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1.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12.xml" ContentType="application/vnd.openxmlformats-officedocument.drawing+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drawings/drawing13.xml" ContentType="application/vnd.openxmlformats-officedocument.drawing+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29.xml" ContentType="application/vnd.openxmlformats-officedocument.spreadsheetml.comments+xml"/>
  <Override PartName="/xl/comments3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Z:\ESTIMATOR\NHU HUYNH\QUOTATION\Friwo\"/>
    </mc:Choice>
  </mc:AlternateContent>
  <xr:revisionPtr revIDLastSave="0" documentId="13_ncr:1_{F3FA085C-2557-4FDF-B61E-C1177F6F501D}" xr6:coauthVersionLast="47" xr6:coauthVersionMax="47" xr10:uidLastSave="{00000000-0000-0000-0000-000000000000}"/>
  <workbookProtection workbookAlgorithmName="SHA-512" workbookHashValue="nE0zo9Ek8zNY36MbMx3bh75LLzYfI4sfFZ2MF6NABTKosUx9YNEATCzSCQdrmYI9YWLQmo2pXy4H0Q2aoEd+uw==" workbookSaltValue="I30A7Qg/qX6zE3GMjQ5hUA==" workbookSpinCount="100000" lockStructure="1"/>
  <bookViews>
    <workbookView xWindow="-120" yWindow="-120" windowWidth="19440" windowHeight="15000" tabRatio="928" firstSheet="1" activeTab="2" xr2:uid="{00000000-000D-0000-FFFF-FFFF00000000}"/>
  </bookViews>
  <sheets>
    <sheet name="Extra cost (Courier)" sheetId="41" state="hidden" r:id="rId1"/>
    <sheet name="Quote-P" sheetId="88" r:id="rId2"/>
    <sheet name="Cost EST. GM target" sheetId="72" r:id="rId3"/>
    <sheet name="Testing" sheetId="95" state="hidden" r:id="rId4"/>
    <sheet name="Fix Cost" sheetId="4" state="hidden" r:id="rId5"/>
    <sheet name="Data" sheetId="63" state="hidden" r:id="rId6"/>
    <sheet name="Balance" sheetId="73" state="hidden" r:id="rId7"/>
    <sheet name="Extra cost balance" sheetId="89" state="hidden" r:id="rId8"/>
    <sheet name="Shrinkwraped (Auto)" sheetId="42" state="hidden" r:id="rId9"/>
    <sheet name="Flute in SPV1" sheetId="51" state="hidden" r:id="rId10"/>
    <sheet name="Flute in SPV2" sheetId="96" state="hidden" r:id="rId11"/>
    <sheet name="Data coating" sheetId="94" state="hidden" r:id="rId12"/>
    <sheet name="input" sheetId="70" state="hidden" r:id="rId13"/>
    <sheet name="Data transport" sheetId="98" state="hidden" r:id="rId14"/>
    <sheet name="Sum local charge July.19" sheetId="52" state="hidden" r:id="rId15"/>
    <sheet name="Coating" sheetId="71" state="hidden" r:id="rId16"/>
    <sheet name="Paper" sheetId="2" state="hidden" r:id="rId17"/>
    <sheet name="FC" sheetId="93" r:id="rId18"/>
    <sheet name="Droplist" sheetId="91" state="hidden" r:id="rId19"/>
    <sheet name="CR" sheetId="92" r:id="rId20"/>
    <sheet name="Summary Data" sheetId="90" state="hidden" r:id="rId21"/>
    <sheet name="Production cost" sheetId="27" state="hidden" r:id="rId22"/>
    <sheet name="CBD Colgate" sheetId="85" state="hidden" r:id="rId23"/>
    <sheet name="Sumary Crayola" sheetId="83" state="hidden" r:id="rId24"/>
    <sheet name="crayola temp" sheetId="81" state="hidden" r:id="rId25"/>
    <sheet name="CBD KinhDo" sheetId="84" state="hidden" r:id="rId26"/>
    <sheet name="Report" sheetId="74" state="hidden" r:id="rId27"/>
    <sheet name="Proof - Pro" sheetId="82" state="hidden" r:id="rId28"/>
    <sheet name="Other" sheetId="80" state="hidden" r:id="rId29"/>
    <sheet name="Ink" sheetId="60" state="hidden" r:id="rId30"/>
    <sheet name="Glue" sheetId="61" state="hidden" r:id="rId31"/>
    <sheet name="PO Check" sheetId="39" state="hidden" r:id="rId32"/>
    <sheet name="Data Plate change &amp; Proof SPV" sheetId="36" state="hidden" r:id="rId33"/>
    <sheet name="Courier charge (DHL)" sheetId="38" state="hidden" r:id="rId34"/>
    <sheet name="Extra cost Tray" sheetId="87" state="hidden" r:id="rId35"/>
    <sheet name="weight" sheetId="19" state="hidden" r:id="rId36"/>
    <sheet name="Courier charge (Fedex)" sheetId="86" state="hidden" r:id="rId37"/>
    <sheet name="Proof cost" sheetId="66" state="hidden" r:id="rId38"/>
    <sheet name="Packing Materials" sheetId="3" state="hidden" r:id="rId39"/>
    <sheet name="Freight" sheetId="7" state="hidden" r:id="rId40"/>
    <sheet name="STD packing nominate acc" sheetId="48" state="hidden" r:id="rId41"/>
    <sheet name="Data Extra cost" sheetId="43" state="hidden" r:id="rId42"/>
    <sheet name="Extra cost" sheetId="58" state="hidden" r:id="rId43"/>
    <sheet name="ACC &amp; Other Material " sheetId="64" state="hidden" r:id="rId44"/>
    <sheet name="REWORK" sheetId="53" state="hidden" r:id="rId45"/>
  </sheets>
  <functionGroups builtInGroupCount="19"/>
  <definedNames>
    <definedName name="\T" localSheetId="3">#REF!</definedName>
    <definedName name="\T">#REF!</definedName>
    <definedName name="_?692" localSheetId="3">#REF!</definedName>
    <definedName name="_?692">#REF!</definedName>
    <definedName name="__?692" localSheetId="3">#REF!</definedName>
    <definedName name="__?692">#REF!</definedName>
    <definedName name="_________________lap1">#REF!</definedName>
    <definedName name="_________________lap2">#REF!</definedName>
    <definedName name="________________CON1">#REF!</definedName>
    <definedName name="________________CON2">#REF!</definedName>
    <definedName name="________________lap1">#REF!</definedName>
    <definedName name="________________lap2">#REF!</definedName>
    <definedName name="________________NET2">#REF!</definedName>
    <definedName name="_______________CON1">#REF!</definedName>
    <definedName name="_______________CON2">#REF!</definedName>
    <definedName name="_______________lap1">#REF!</definedName>
    <definedName name="_______________lap2">#REF!</definedName>
    <definedName name="_______________NET2">#REF!</definedName>
    <definedName name="______________CON1">#REF!</definedName>
    <definedName name="______________CON2">#REF!</definedName>
    <definedName name="______________lap1">#REF!</definedName>
    <definedName name="______________lap2">#REF!</definedName>
    <definedName name="______________NET2">#REF!</definedName>
    <definedName name="_____________CON1">#REF!</definedName>
    <definedName name="_____________CON2">#REF!</definedName>
    <definedName name="_____________lap1">#REF!</definedName>
    <definedName name="_____________lap2">#REF!</definedName>
    <definedName name="_____________NET2">#REF!</definedName>
    <definedName name="____________CON1">#REF!</definedName>
    <definedName name="____________CON2">#REF!</definedName>
    <definedName name="____________lap1">#REF!</definedName>
    <definedName name="____________lap2">#REF!</definedName>
    <definedName name="____________NET2">#REF!</definedName>
    <definedName name="___________CON1">#REF!</definedName>
    <definedName name="___________CON2">#REF!</definedName>
    <definedName name="___________lap1">#REF!</definedName>
    <definedName name="___________lap2">#REF!</definedName>
    <definedName name="___________NET2">#REF!</definedName>
    <definedName name="__________CON1">#REF!</definedName>
    <definedName name="__________CON2">#REF!</definedName>
    <definedName name="__________lap1">#REF!</definedName>
    <definedName name="__________lap2">#REF!</definedName>
    <definedName name="__________NET2">#REF!</definedName>
    <definedName name="_________CON1">#REF!</definedName>
    <definedName name="_________CON2">#REF!</definedName>
    <definedName name="_________lap1">#REF!</definedName>
    <definedName name="_________lap2">#REF!</definedName>
    <definedName name="_________NET2">#REF!</definedName>
    <definedName name="________CON1">#REF!</definedName>
    <definedName name="________CON2">#REF!</definedName>
    <definedName name="________lap1">#REF!</definedName>
    <definedName name="________lap2">#REF!</definedName>
    <definedName name="________NET2">#REF!</definedName>
    <definedName name="_______CON1">#REF!</definedName>
    <definedName name="_______CON2">#REF!</definedName>
    <definedName name="_______lap1">#REF!</definedName>
    <definedName name="_______lap2">#REF!</definedName>
    <definedName name="_______NET2">#REF!</definedName>
    <definedName name="______CON1">#REF!</definedName>
    <definedName name="______CON2">#REF!</definedName>
    <definedName name="______lap1">#REF!</definedName>
    <definedName name="______lap2">#REF!</definedName>
    <definedName name="______NET2">#REF!</definedName>
    <definedName name="_____CON1">#REF!</definedName>
    <definedName name="_____CON2">#REF!</definedName>
    <definedName name="_____lap1">#REF!</definedName>
    <definedName name="_____lap2">#REF!</definedName>
    <definedName name="_____NET2">#REF!</definedName>
    <definedName name="_____tem1">#REF!</definedName>
    <definedName name="____CON1">#REF!</definedName>
    <definedName name="____CON2">#REF!</definedName>
    <definedName name="____lap1">#REF!</definedName>
    <definedName name="____lap2">#REF!</definedName>
    <definedName name="____NET2">#REF!</definedName>
    <definedName name="____tem1">#REF!</definedName>
    <definedName name="___CON1">#REF!</definedName>
    <definedName name="___CON2">#REF!</definedName>
    <definedName name="___lap1">#REF!</definedName>
    <definedName name="___lap2">#REF!</definedName>
    <definedName name="___NET2">#REF!</definedName>
    <definedName name="___tem1">#REF!</definedName>
    <definedName name="__123Graph_A" localSheetId="3" hidden="1">#REF!</definedName>
    <definedName name="__123Graph_A" hidden="1">#REF!</definedName>
    <definedName name="__123Graph_AINDTRY" localSheetId="3" hidden="1">#REF!</definedName>
    <definedName name="__123Graph_AINDTRY" hidden="1">#REF!</definedName>
    <definedName name="__123Graph_B" localSheetId="3" hidden="1">#REF!</definedName>
    <definedName name="__123Graph_B" hidden="1">#REF!</definedName>
    <definedName name="__123Graph_BINDTRY" localSheetId="3" hidden="1">#REF!</definedName>
    <definedName name="__123Graph_BINDTRY" hidden="1">#REF!</definedName>
    <definedName name="__123Graph_C" localSheetId="3" hidden="1">#REF!</definedName>
    <definedName name="__123Graph_C" hidden="1">#REF!</definedName>
    <definedName name="__123Graph_CINDTRY" localSheetId="3" hidden="1">#REF!</definedName>
    <definedName name="__123Graph_CINDTRY" hidden="1">#REF!</definedName>
    <definedName name="__123Graph_D" localSheetId="3" hidden="1">#REF!</definedName>
    <definedName name="__123Graph_D" hidden="1">#REF!</definedName>
    <definedName name="__123Graph_DINDTRY" localSheetId="3" hidden="1">#REF!</definedName>
    <definedName name="__123Graph_DINDTRY" hidden="1">#REF!</definedName>
    <definedName name="__123Graph_X" localSheetId="3" hidden="1">#REF!</definedName>
    <definedName name="__123Graph_X" hidden="1">#REF!</definedName>
    <definedName name="__123Graph_XINDTRY" localSheetId="3" hidden="1">#REF!</definedName>
    <definedName name="__123Graph_XINDTRY" hidden="1">#REF!</definedName>
    <definedName name="__CON1">#REF!</definedName>
    <definedName name="__CON2">#REF!</definedName>
    <definedName name="__HTM2" localSheetId="20" hidden="1">{"'Sheet1'!$A$1:$Z$85","'Sheet1'!$AB$3"}</definedName>
    <definedName name="__HTM2" localSheetId="3" hidden="1">{"'Sheet1'!$A$1:$Z$85","'Sheet1'!$AB$3"}</definedName>
    <definedName name="__HTM2" hidden="1">{"'Sheet1'!$A$1:$Z$85","'Sheet1'!$AB$3"}</definedName>
    <definedName name="__IntlFixup" hidden="1">TRUE</definedName>
    <definedName name="__lap1" localSheetId="3">#REF!</definedName>
    <definedName name="__lap1">#REF!</definedName>
    <definedName name="__lap2" localSheetId="3">#REF!</definedName>
    <definedName name="__lap2">#REF!</definedName>
    <definedName name="__NET2" localSheetId="3">#REF!</definedName>
    <definedName name="__NET2">#REF!</definedName>
    <definedName name="__tem1">#REF!</definedName>
    <definedName name="__W5" localSheetId="3">{"Book1"}</definedName>
    <definedName name="__W5">{"Book1"}</definedName>
    <definedName name="_01_01_99">#REF!</definedName>
    <definedName name="_01_02_99">#REF!</definedName>
    <definedName name="_01_03_99">#REF!</definedName>
    <definedName name="_01_04_99">#REF!</definedName>
    <definedName name="_01_05_99">#REF!</definedName>
    <definedName name="_01_06_99">#REF!</definedName>
    <definedName name="_01_07_99">#REF!</definedName>
    <definedName name="_01_08_1999">#REF!</definedName>
    <definedName name="_1">#N/A</definedName>
    <definedName name="_1000A01">#N/A</definedName>
    <definedName name="_2">#N/A</definedName>
    <definedName name="_a1" localSheetId="20" hidden="1">{"'Sheet1'!$L$16"}</definedName>
    <definedName name="_a1" localSheetId="3" hidden="1">{"'Sheet1'!$L$16"}</definedName>
    <definedName name="_a1" hidden="1">{"'Sheet1'!$L$16"}</definedName>
    <definedName name="_a129" localSheetId="20" hidden="1">{"Offgrid",#N/A,FALSE,"OFFGRID";"Region",#N/A,FALSE,"REGION";"Offgrid -2",#N/A,FALSE,"OFFGRID";"WTP",#N/A,FALSE,"WTP";"WTP -2",#N/A,FALSE,"WTP";"Project",#N/A,FALSE,"PROJECT";"Summary -2",#N/A,FALSE,"SUMMARY"}</definedName>
    <definedName name="_a129" localSheetId="3" hidden="1">{"Offgrid",#N/A,FALSE,"OFFGRID";"Region",#N/A,FALSE,"REGION";"Offgrid -2",#N/A,FALSE,"OFFGRID";"WTP",#N/A,FALSE,"WTP";"WTP -2",#N/A,FALSE,"WTP";"Project",#N/A,FALSE,"PROJECT";"Summary -2",#N/A,FALSE,"SUMMARY"}</definedName>
    <definedName name="_a129" hidden="1">{"Offgrid",#N/A,FALSE,"OFFGRID";"Region",#N/A,FALSE,"REGION";"Offgrid -2",#N/A,FALSE,"OFFGRID";"WTP",#N/A,FALSE,"WTP";"WTP -2",#N/A,FALSE,"WTP";"Project",#N/A,FALSE,"PROJECT";"Summary -2",#N/A,FALSE,"SUMMARY"}</definedName>
    <definedName name="_a130" localSheetId="20" hidden="1">{"Offgrid",#N/A,FALSE,"OFFGRID";"Region",#N/A,FALSE,"REGION";"Offgrid -2",#N/A,FALSE,"OFFGRID";"WTP",#N/A,FALSE,"WTP";"WTP -2",#N/A,FALSE,"WTP";"Project",#N/A,FALSE,"PROJECT";"Summary -2",#N/A,FALSE,"SUMMARY"}</definedName>
    <definedName name="_a130" localSheetId="3" hidden="1">{"Offgrid",#N/A,FALSE,"OFFGRID";"Region",#N/A,FALSE,"REGION";"Offgrid -2",#N/A,FALSE,"OFFGRID";"WTP",#N/A,FALSE,"WTP";"WTP -2",#N/A,FALSE,"WTP";"Project",#N/A,FALSE,"PROJECT";"Summary -2",#N/A,FALSE,"SUMMARY"}</definedName>
    <definedName name="_a130" hidden="1">{"Offgrid",#N/A,FALSE,"OFFGRID";"Region",#N/A,FALSE,"REGION";"Offgrid -2",#N/A,FALSE,"OFFGRID";"WTP",#N/A,FALSE,"WTP";"WTP -2",#N/A,FALSE,"WTP";"Project",#N/A,FALSE,"PROJECT";"Summary -2",#N/A,FALSE,"SUMMARY"}</definedName>
    <definedName name="_CON1" localSheetId="3">#REF!</definedName>
    <definedName name="_CON1">#REF!</definedName>
    <definedName name="_CON2" localSheetId="3">#REF!</definedName>
    <definedName name="_CON2">#REF!</definedName>
    <definedName name="_E99999" localSheetId="3">#REF!</definedName>
    <definedName name="_E99999">#REF!</definedName>
    <definedName name="_F1" localSheetId="20" hidden="1">{"'Sheet1'!$L$16"}</definedName>
    <definedName name="_F1" localSheetId="3" hidden="1">{"'Sheet1'!$L$16"}</definedName>
    <definedName name="_F1" hidden="1">{"'Sheet1'!$L$16"}</definedName>
    <definedName name="_Fill" localSheetId="20" hidden="1">#REF!</definedName>
    <definedName name="_Fill" hidden="1">#REF!</definedName>
    <definedName name="_filll" localSheetId="20" hidden="1">#REF!</definedName>
    <definedName name="_filll" hidden="1">#REF!</definedName>
    <definedName name="_xlnm._FilterDatabase" localSheetId="15" hidden="1">Coating!$A$6:$N$186</definedName>
    <definedName name="_xlnm._FilterDatabase" localSheetId="5" hidden="1">Data!$13:$822</definedName>
    <definedName name="_xlnm._FilterDatabase" localSheetId="4" hidden="1">'Fix Cost'!$A$6:$N$167</definedName>
    <definedName name="_xlnm._FilterDatabase" localSheetId="30" hidden="1">Glue!$A$6:$L$154</definedName>
    <definedName name="_xlnm._FilterDatabase" localSheetId="29" hidden="1">Ink!$A$7:$M$258</definedName>
    <definedName name="_xlnm._FilterDatabase" localSheetId="12" hidden="1">input!$A$23:$Q$372</definedName>
    <definedName name="_xlnm._FilterDatabase" localSheetId="38" hidden="1">'Packing Materials'!#REF!</definedName>
    <definedName name="_xlnm._FilterDatabase" localSheetId="16" hidden="1">Paper!$A$5:$T$71</definedName>
    <definedName name="_xlnm._FilterDatabase" localSheetId="21" hidden="1">'Production cost'!$A$6:$S$694</definedName>
    <definedName name="_xlnm._FilterDatabase" localSheetId="27" hidden="1">'Proof - Pro'!$A$6:$S$304</definedName>
    <definedName name="_xlnm._FilterDatabase" localSheetId="37" hidden="1">'Proof cost'!$I$22:$T$55</definedName>
    <definedName name="_xlnm._FilterDatabase" localSheetId="8" hidden="1">'Shrinkwraped (Auto)'!$A$1:$Q$40</definedName>
    <definedName name="_xlnm._FilterDatabase" localSheetId="14" hidden="1">'Sum local charge July.19'!$B$2:$B$74</definedName>
    <definedName name="_xlnm._FilterDatabase" localSheetId="20" hidden="1">'Summary Data'!$B$4:$AT$57</definedName>
    <definedName name="_xlnm._FilterDatabase" localSheetId="3" hidden="1">Testing!$B$2:$J$1767</definedName>
    <definedName name="_xlnm._FilterDatabase" hidden="1">#REF!</definedName>
    <definedName name="_HTM2" localSheetId="20" hidden="1">{"'Sheet1'!$A$1:$Z$85","'Sheet1'!$AB$3"}</definedName>
    <definedName name="_HTM2" localSheetId="3" hidden="1">{"'Sheet1'!$A$1:$Z$85","'Sheet1'!$AB$3"}</definedName>
    <definedName name="_HTM2" hidden="1">{"'Sheet1'!$A$1:$Z$85","'Sheet1'!$AB$3"}</definedName>
    <definedName name="_Key1" localSheetId="20" hidden="1">#REF!</definedName>
    <definedName name="_Key1" localSheetId="3" hidden="1">#REF!</definedName>
    <definedName name="_Key1" hidden="1">#REF!</definedName>
    <definedName name="_Key2" localSheetId="20" hidden="1">#REF!</definedName>
    <definedName name="_Key2" hidden="1">#REF!</definedName>
    <definedName name="_key22" localSheetId="20" hidden="1">#REF!</definedName>
    <definedName name="_key22" hidden="1">#REF!</definedName>
    <definedName name="_keyy" localSheetId="20" hidden="1">#REF!</definedName>
    <definedName name="_keyy" localSheetId="3" hidden="1">#REF!</definedName>
    <definedName name="_keyy" hidden="1">#REF!</definedName>
    <definedName name="_keyyy" localSheetId="20" hidden="1">#REF!</definedName>
    <definedName name="_keyyy" hidden="1">#REF!</definedName>
    <definedName name="_lap1">#REF!</definedName>
    <definedName name="_lap2">#REF!</definedName>
    <definedName name="_m1" localSheetId="20" hidden="1">{"'Sheet1'!$L$16"}</definedName>
    <definedName name="_m1" localSheetId="3" hidden="1">{"'Sheet1'!$L$16"}</definedName>
    <definedName name="_m1" hidden="1">{"'Sheet1'!$L$16"}</definedName>
    <definedName name="_NET2">#REF!</definedName>
    <definedName name="_nnn1" localSheetId="20" hidden="1">{"USD",#N/A,FALSE,"Janv 97"}</definedName>
    <definedName name="_nnn1" localSheetId="3" hidden="1">{"USD",#N/A,FALSE,"Janv 97"}</definedName>
    <definedName name="_nnn1" hidden="1">{"USD",#N/A,FALSE,"Janv 97"}</definedName>
    <definedName name="_NSO2" localSheetId="20" hidden="1">{"'Sheet1'!$L$16"}</definedName>
    <definedName name="_NSO2" localSheetId="3" hidden="1">{"'Sheet1'!$L$16"}</definedName>
    <definedName name="_NSO2" hidden="1">{"'Sheet1'!$L$16"}</definedName>
    <definedName name="_ntm1" localSheetId="20" hidden="1">{"USD",#N/A,FALSE,"Janv 97"}</definedName>
    <definedName name="_ntm1" localSheetId="3" hidden="1">{"USD",#N/A,FALSE,"Janv 97"}</definedName>
    <definedName name="_ntm1" hidden="1">{"USD",#N/A,FALSE,"Janv 97"}</definedName>
    <definedName name="_Order1" hidden="1">255</definedName>
    <definedName name="_Order2" hidden="1">255</definedName>
    <definedName name="_Phi1" localSheetId="20" hidden="1">{"'Sheet1'!$L$16"}</definedName>
    <definedName name="_Phi1" localSheetId="3" hidden="1">{"'Sheet1'!$L$16"}</definedName>
    <definedName name="_Phi1" hidden="1">{"'Sheet1'!$L$16"}</definedName>
    <definedName name="_phi2" localSheetId="20" hidden="1">{"USD",#N/A,FALSE,"Janv 97"}</definedName>
    <definedName name="_phi2" localSheetId="3" hidden="1">{"USD",#N/A,FALSE,"Janv 97"}</definedName>
    <definedName name="_phi2" hidden="1">{"USD",#N/A,FALSE,"Janv 97"}</definedName>
    <definedName name="_Sort" localSheetId="20" hidden="1">#REF!</definedName>
    <definedName name="_Sort" localSheetId="3" hidden="1">#REF!</definedName>
    <definedName name="_Sort" hidden="1">#REF!</definedName>
    <definedName name="_sortt" localSheetId="20" hidden="1">#REF!</definedName>
    <definedName name="_sortt" localSheetId="3" hidden="1">#REF!</definedName>
    <definedName name="_sortt" hidden="1">#REF!</definedName>
    <definedName name="_tem1">#REF!</definedName>
    <definedName name="_vvv1" localSheetId="20" hidden="1">{"USD",#N/A,FALSE,"Dec 96 "}</definedName>
    <definedName name="_vvv1" localSheetId="3" hidden="1">{"USD",#N/A,FALSE,"Dec 96 "}</definedName>
    <definedName name="_vvv1" hidden="1">{"USD",#N/A,FALSE,"Dec 96 "}</definedName>
    <definedName name="a" localSheetId="20" hidden="1">{"FF",#N/A,FALSE,"Janv 97"}</definedName>
    <definedName name="a" localSheetId="3" hidden="1">{"FF",#N/A,FALSE,"Janv 97"}</definedName>
    <definedName name="a" hidden="1">{"FF",#N/A,FALSE,"Janv 97"}</definedName>
    <definedName name="A01_">#N/A</definedName>
    <definedName name="A01AC">#N/A</definedName>
    <definedName name="A01CAT">#N/A</definedName>
    <definedName name="A01CODE">#N/A</definedName>
    <definedName name="A01DATA">#N/A</definedName>
    <definedName name="A01MI">#N/A</definedName>
    <definedName name="A01TO">#N/A</definedName>
    <definedName name="AA" localSheetId="3">#REF!</definedName>
    <definedName name="AA">#REF!</definedName>
    <definedName name="AAA" localSheetId="3">#REF!</definedName>
    <definedName name="AAA">#REF!</definedName>
    <definedName name="abc" localSheetId="20" hidden="1">{"FF",#N/A,FALSE,"Dec 96 "}</definedName>
    <definedName name="abc" localSheetId="3" hidden="1">{"FF",#N/A,FALSE,"Dec 96 "}</definedName>
    <definedName name="abc" hidden="1">{"FF",#N/A,FALSE,"Dec 96 "}</definedName>
    <definedName name="AccessDatabase" hidden="1">"D:\DATA\CBS\99CBS.mdb"</definedName>
    <definedName name="All_Item" localSheetId="3">#REF!</definedName>
    <definedName name="All_Item">#REF!</definedName>
    <definedName name="ALPIN">#N/A</definedName>
    <definedName name="ALPJYOU">#N/A</definedName>
    <definedName name="ALPTOI">#N/A</definedName>
    <definedName name="apq1wtbk" localSheetId="3">#REF!</definedName>
    <definedName name="apq1wtbk">#REF!</definedName>
    <definedName name="asas" localSheetId="20" hidden="1">{"FF",#N/A,FALSE,"Janv 97"}</definedName>
    <definedName name="asas" localSheetId="3" hidden="1">{"FF",#N/A,FALSE,"Janv 97"}</definedName>
    <definedName name="asas" hidden="1">{"FF",#N/A,FALSE,"Janv 97"}</definedName>
    <definedName name="balance_type">1</definedName>
    <definedName name="Bao" localSheetId="20" hidden="1">{#N/A,#N/A,FALSE,"Chi tiÆt"}</definedName>
    <definedName name="Bao" localSheetId="3" hidden="1">{#N/A,#N/A,FALSE,"Chi tiÆt"}</definedName>
    <definedName name="Bao" hidden="1">{#N/A,#N/A,FALSE,"Chi tiÆt"}</definedName>
    <definedName name="BarData" localSheetId="3">#REF!</definedName>
    <definedName name="BarData">#REF!</definedName>
    <definedName name="BB" localSheetId="3">#REF!</definedName>
    <definedName name="BB">#REF!</definedName>
    <definedName name="BBB" localSheetId="20" hidden="1">{"'Sheet1'!$L$16"}</definedName>
    <definedName name="BBB" localSheetId="3" hidden="1">{"'Sheet1'!$L$16"}</definedName>
    <definedName name="BBB" hidden="1">{"'Sheet1'!$L$16"}</definedName>
    <definedName name="BHT_IMP">#REF!</definedName>
    <definedName name="BLOCK1">#REF!</definedName>
    <definedName name="BLOCK2">#REF!</definedName>
    <definedName name="BLOCK3">#REF!</definedName>
    <definedName name="BOQ">#REF!</definedName>
    <definedName name="BVCISUMMARY">#REF!</definedName>
    <definedName name="calc">1</definedName>
    <definedName name="cap" localSheetId="3">#REF!</definedName>
    <definedName name="cap">#REF!</definedName>
    <definedName name="cap0.7" localSheetId="3">#REF!</definedName>
    <definedName name="cap0.7">#REF!</definedName>
    <definedName name="Category_All" localSheetId="3">#REF!</definedName>
    <definedName name="Category_All">#REF!</definedName>
    <definedName name="CATIN">#N/A</definedName>
    <definedName name="CATJYOU">#N/A</definedName>
    <definedName name="CATREC">#N/A</definedName>
    <definedName name="CATSYU">#N/A</definedName>
    <definedName name="CL" localSheetId="3">#REF!</definedName>
    <definedName name="CL">#REF!</definedName>
    <definedName name="Code" localSheetId="20" hidden="1">#REF!</definedName>
    <definedName name="Code" localSheetId="3" hidden="1">#REF!</definedName>
    <definedName name="Code" hidden="1">#REF!</definedName>
    <definedName name="CODE_ACC">#REF!</definedName>
    <definedName name="CODE_IN">#REF!</definedName>
    <definedName name="CODE_MTL">#REF!</definedName>
    <definedName name="CODE_OUT">#REF!</definedName>
    <definedName name="CODE_USD">#REF!</definedName>
    <definedName name="CODE_WH">#REF!</definedName>
    <definedName name="COMMON">#REF!</definedName>
    <definedName name="comp1_45">#REF!</definedName>
    <definedName name="comp2">#REF!</definedName>
    <definedName name="comp3">#REF!</definedName>
    <definedName name="compnew">#REF!</definedName>
    <definedName name="compnewvscomp2">#REF!</definedName>
    <definedName name="compnewvscomp3">#REF!</definedName>
    <definedName name="CON_EQP_COS">#REF!</definedName>
    <definedName name="CON_EQP_COST">#REF!</definedName>
    <definedName name="CONST_EQ">#REF!</definedName>
    <definedName name="COVER">#REF!</definedName>
    <definedName name="CRITINST">#REF!</definedName>
    <definedName name="CRITPURC">#REF!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tdn9697">#REF!</definedName>
    <definedName name="CURRENCY">#REF!</definedName>
    <definedName name="D_7101A_B">#REF!</definedName>
    <definedName name="DAILY_INVENTORY_REPORT">#REF!</definedName>
    <definedName name="data">#REF!</definedName>
    <definedName name="DATA_DATA2_List">#REF!</definedName>
    <definedName name="data1" localSheetId="20" hidden="1">#REF!</definedName>
    <definedName name="data1" hidden="1">#REF!</definedName>
    <definedName name="data2" localSheetId="20" hidden="1">#REF!</definedName>
    <definedName name="data2" hidden="1">#REF!</definedName>
    <definedName name="data3" localSheetId="20" hidden="1">#REF!</definedName>
    <definedName name="data3" hidden="1">#REF!</definedName>
    <definedName name="DATA4">#REF!</definedName>
    <definedName name="Data41">#REF!</definedName>
    <definedName name="DATA5">#REF!</definedName>
    <definedName name="DATA6">#REF!</definedName>
    <definedName name="DATA7">#REF!</definedName>
    <definedName name="_xlnm.Database">#REF!</definedName>
    <definedName name="DDAY">#REF!</definedName>
    <definedName name="dest.rev">#REF!</definedName>
    <definedName name="dest.svc">#REF!</definedName>
    <definedName name="Discount" localSheetId="20" hidden="1">#REF!</definedName>
    <definedName name="Discount" hidden="1">#REF!</definedName>
    <definedName name="display_area_2" localSheetId="20" hidden="1">#REF!</definedName>
    <definedName name="display_area_2" hidden="1">#REF!</definedName>
    <definedName name="DM">#REF!</definedName>
    <definedName name="dobt">#REF!</definedName>
    <definedName name="doc_arrayy" localSheetId="3">{"Book1"}</definedName>
    <definedName name="doc_arrayy">{"Book1"}</definedName>
    <definedName name="Document_array" localSheetId="34">{"Book1"}</definedName>
    <definedName name="Document_array" localSheetId="3">{"Book1"}</definedName>
    <definedName name="Document_array">{"Book1"}</definedName>
    <definedName name="Dong">Data!$Q$1044:$R$1044</definedName>
    <definedName name="DSUMDATA" localSheetId="3">#REF!</definedName>
    <definedName name="DSUMDATA">#REF!</definedName>
    <definedName name="Dung" localSheetId="20" hidden="1">{"'Sheet1'!$L$16"}</definedName>
    <definedName name="Dung" localSheetId="3" hidden="1">{"'Sheet1'!$L$16"}</definedName>
    <definedName name="Dung" hidden="1">{"'Sheet1'!$L$16"}</definedName>
    <definedName name="EDBL_WH">#REF!</definedName>
    <definedName name="eexwzone">#REF!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xcel_BuiltIn__FilterDatabase_10">#REF!</definedName>
    <definedName name="Excel_BuiltIn__FilterDatabase_11">#REF!</definedName>
    <definedName name="Excel_BuiltIn__FilterDatabase_12">#REF!</definedName>
    <definedName name="Excel_BuiltIn__FilterDatabase_13">#REF!</definedName>
    <definedName name="Excel_BuiltIn__FilterDatabase_14">#REF!</definedName>
    <definedName name="Excel_BuiltIn__FilterDatabase_15">#REF!</definedName>
    <definedName name="expd">#REF!</definedName>
    <definedName name="expdzone">#REF!</definedName>
    <definedName name="expr">#REF!</definedName>
    <definedName name="exprzone">#REF!</definedName>
    <definedName name="FACTOR">#REF!</definedName>
    <definedName name="FCode" localSheetId="20" hidden="1">#REF!</definedName>
    <definedName name="FCode" hidden="1">#REF!</definedName>
    <definedName name="fff" localSheetId="20" hidden="1">{"FF",#N/A,FALSE,"Janv 97"}</definedName>
    <definedName name="fff" localSheetId="3" hidden="1">{"FF",#N/A,FALSE,"Janv 97"}</definedName>
    <definedName name="fff" hidden="1">{"FF",#N/A,FALSE,"Janv 97"}</definedName>
    <definedName name="fgg" localSheetId="20" hidden="1">{"FF",#N/A,FALSE,"Dec 96 "}</definedName>
    <definedName name="fgg" localSheetId="3" hidden="1">{"FF",#N/A,FALSE,"Dec 96 "}</definedName>
    <definedName name="fgg" hidden="1">{"FF",#N/A,FALSE,"Dec 96 "}</definedName>
    <definedName name="fggj" localSheetId="20" hidden="1">{"FF",#N/A,FALSE,"Projection"}</definedName>
    <definedName name="fggj" localSheetId="3" hidden="1">{"FF",#N/A,FALSE,"Projection"}</definedName>
    <definedName name="fggj" hidden="1">{"FF",#N/A,FALSE,"Projection"}</definedName>
    <definedName name="fjdjhdh" localSheetId="3">#REF!</definedName>
    <definedName name="fjdjhdh">#REF!</definedName>
    <definedName name="FY">2001</definedName>
    <definedName name="gadga" localSheetId="20" hidden="1">{"USD",#N/A,FALSE,"Dec 96 "}</definedName>
    <definedName name="gadga" localSheetId="3" hidden="1">{"USD",#N/A,FALSE,"Dec 96 "}</definedName>
    <definedName name="gadga" hidden="1">{"USD",#N/A,FALSE,"Dec 96 "}</definedName>
    <definedName name="gffds" localSheetId="20" hidden="1">{"'Sheet1'!$A$1:$Z$85","'Sheet1'!$AB$3"}</definedName>
    <definedName name="gffds" localSheetId="3" hidden="1">{"'Sheet1'!$A$1:$Z$85","'Sheet1'!$AB$3"}</definedName>
    <definedName name="gffds" hidden="1">{"'Sheet1'!$A$1:$Z$85","'Sheet1'!$AB$3"}</definedName>
    <definedName name="GK" localSheetId="3">#REF!</definedName>
    <definedName name="GK">#REF!</definedName>
    <definedName name="H1_1" localSheetId="20" hidden="1">{"FF",#N/A,FALSE,"Projection"}</definedName>
    <definedName name="H1_1" localSheetId="3" hidden="1">{"FF",#N/A,FALSE,"Projection"}</definedName>
    <definedName name="H1_1" hidden="1">{"FF",#N/A,FALSE,"Projection"}</definedName>
    <definedName name="H1_2" localSheetId="20" hidden="1">{"USD",#N/A,FALSE,"Dec 96 "}</definedName>
    <definedName name="H1_2" localSheetId="3" hidden="1">{"USD",#N/A,FALSE,"Dec 96 "}</definedName>
    <definedName name="H1_2" hidden="1">{"USD",#N/A,FALSE,"Dec 96 "}</definedName>
    <definedName name="Herbal" localSheetId="20" hidden="1">{"Syn_janv",#N/A,FALSE,"Janv 97"}</definedName>
    <definedName name="Herbal" localSheetId="3" hidden="1">{"Syn_janv",#N/A,FALSE,"Janv 97"}</definedName>
    <definedName name="Herbal" hidden="1">{"Syn_janv",#N/A,FALSE,"Janv 97"}</definedName>
    <definedName name="Herballx" localSheetId="20" hidden="1">{"Syn_janv",#N/A,FALSE,"Janv 97"}</definedName>
    <definedName name="Herballx" localSheetId="3" hidden="1">{"Syn_janv",#N/A,FALSE,"Janv 97"}</definedName>
    <definedName name="Herballx" hidden="1">{"Syn_janv",#N/A,FALSE,"Janv 97"}</definedName>
    <definedName name="HH" localSheetId="20" hidden="1">{"USD",#N/A,FALSE,"Janv 97"}</definedName>
    <definedName name="HH" localSheetId="3" hidden="1">{"USD",#N/A,FALSE,"Janv 97"}</definedName>
    <definedName name="HH" hidden="1">{"USD",#N/A,FALSE,"Janv 97"}</definedName>
    <definedName name="hhhjf" localSheetId="20" hidden="1">{#N/A,#N/A,FALSE,"Chi tiÆt"}</definedName>
    <definedName name="hhhjf" localSheetId="3" hidden="1">{#N/A,#N/A,FALSE,"Chi tiÆt"}</definedName>
    <definedName name="hhhjf" hidden="1">{#N/A,#N/A,FALSE,"Chi tiÆt"}</definedName>
    <definedName name="HiddenRows" localSheetId="20" hidden="1">#REF!</definedName>
    <definedName name="HiddenRows" localSheetId="3" hidden="1">#REF!</definedName>
    <definedName name="HiddenRows" hidden="1">#REF!</definedName>
    <definedName name="HM" localSheetId="3">#REF!</definedName>
    <definedName name="HM">#REF!</definedName>
    <definedName name="hoai">#REF!</definedName>
    <definedName name="Hologram_K228">Data!$R$958</definedName>
    <definedName name="HOME_MANP" localSheetId="3">#REF!</definedName>
    <definedName name="HOME_MANP">#REF!</definedName>
    <definedName name="HOMEOFFICE_COST" localSheetId="3">#REF!</definedName>
    <definedName name="HOMEOFFICE_COST">#REF!</definedName>
    <definedName name="HTML" localSheetId="20" hidden="1">{"'Sheet1'!$A$1:$Z$85","'Sheet1'!$AB$3"}</definedName>
    <definedName name="HTML" localSheetId="3" hidden="1">{"'Sheet1'!$A$1:$Z$85","'Sheet1'!$AB$3"}</definedName>
    <definedName name="HTML" hidden="1">{"'Sheet1'!$A$1:$Z$85","'Sheet1'!$AB$3"}</definedName>
    <definedName name="HTML_CodePage" hidden="1">950</definedName>
    <definedName name="HTML_Control" localSheetId="34" hidden="1">{"'Sheet1'!$L$16"}</definedName>
    <definedName name="HTML_Control" localSheetId="20" hidden="1">{"'Sheet1'!$L$16"}</definedName>
    <definedName name="HTML_Control" localSheetId="3" hidden="1">{"'Sheet1'!$L$16"}</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tt_controlll" localSheetId="20" hidden="1">{"'Sheet1'!$L$16"}</definedName>
    <definedName name="htt_controlll" localSheetId="3" hidden="1">{"'Sheet1'!$L$16"}</definedName>
    <definedName name="htt_controlll" hidden="1">{"'Sheet1'!$L$16"}</definedName>
    <definedName name="huy" localSheetId="20" hidden="1">{"'Sheet1'!$L$16"}</definedName>
    <definedName name="huy" localSheetId="3" hidden="1">{"'Sheet1'!$L$16"}</definedName>
    <definedName name="huy" hidden="1">{"'Sheet1'!$L$16"}</definedName>
    <definedName name="IDLAB_COST" localSheetId="3">#REF!</definedName>
    <definedName name="IDLAB_COST">#REF!</definedName>
    <definedName name="IND_LAB">#REF!</definedName>
    <definedName name="INDMANP">#REF!</definedName>
    <definedName name="ixpd" localSheetId="3">#REF!</definedName>
    <definedName name="ixpd">#REF!</definedName>
    <definedName name="ixpr" localSheetId="3">#REF!</definedName>
    <definedName name="ixpr">#REF!</definedName>
    <definedName name="K">#REF!</definedName>
    <definedName name="KBA">Data!$T$1145:$V$1145</definedName>
    <definedName name="Kem">Data!$N$1044:$O$1044</definedName>
    <definedName name="kieu" localSheetId="20" hidden="1">{"FF",#N/A,FALSE,"Projection"}</definedName>
    <definedName name="kieu" localSheetId="3" hidden="1">{"FF",#N/A,FALSE,"Projection"}</definedName>
    <definedName name="kieu" hidden="1">{"FF",#N/A,FALSE,"Projection"}</definedName>
    <definedName name="kieu1" localSheetId="20" hidden="1">{"'Sheet1'!$L$16"}</definedName>
    <definedName name="kieu1" localSheetId="3" hidden="1">{"'Sheet1'!$L$16"}</definedName>
    <definedName name="kieu1" hidden="1">{"'Sheet1'!$L$16"}</definedName>
    <definedName name="kieu2" localSheetId="20" hidden="1">{"'Sheet1'!$L$16"}</definedName>
    <definedName name="kieu2" localSheetId="3" hidden="1">{"'Sheet1'!$L$16"}</definedName>
    <definedName name="kieu2" hidden="1">{"'Sheet1'!$L$16"}</definedName>
    <definedName name="kkk" localSheetId="20" hidden="1">{"USD",#N/A,FALSE,"Janv 97"}</definedName>
    <definedName name="kkk" localSheetId="3" hidden="1">{"USD",#N/A,FALSE,"Janv 97"}</definedName>
    <definedName name="kkk" hidden="1">{"USD",#N/A,FALSE,"Janv 97"}</definedName>
    <definedName name="Komori_240">Data!$T$1140:$V$1140</definedName>
    <definedName name="Komori_L240">Data!$T$1141:$V$1141</definedName>
    <definedName name="Komori_LS640">Data!$T$1142:$V$1142</definedName>
    <definedName name="Komori_LS740">Data!$T$1143:$V$1143</definedName>
    <definedName name="Komori_LX640">Data!$T$1144:$V$1144</definedName>
    <definedName name="KRexportzone" localSheetId="3">#REF!</definedName>
    <definedName name="KRexportzone">#REF!</definedName>
    <definedName name="KVC" localSheetId="3">#REF!</definedName>
    <definedName name="KVC">#REF!</definedName>
    <definedName name="L" localSheetId="3">#REF!</definedName>
    <definedName name="L">#REF!</definedName>
    <definedName name="lisstt">#REF!</definedName>
    <definedName name="list">#REF!</definedName>
    <definedName name="listt">#REF!</definedName>
    <definedName name="lVC">#REF!</definedName>
    <definedName name="m" localSheetId="20" hidden="1">{"USD",#N/A,FALSE,"Janv 97"}</definedName>
    <definedName name="m" localSheetId="3" hidden="1">{"USD",#N/A,FALSE,"Janv 97"}</definedName>
    <definedName name="m" hidden="1">{"USD",#N/A,FALSE,"Janv 97"}</definedName>
    <definedName name="MAJ_CON_EQP" localSheetId="3">#REF!</definedName>
    <definedName name="MAJ_CON_EQP">#REF!</definedName>
    <definedName name="manchine" localSheetId="20" hidden="1">{"USD",#N/A,FALSE,"Janv 97"}</definedName>
    <definedName name="manchine" localSheetId="3" hidden="1">{"USD",#N/A,FALSE,"Janv 97"}</definedName>
    <definedName name="manchine" hidden="1">{"USD",#N/A,FALSE,"Janv 97"}</definedName>
    <definedName name="MAY" localSheetId="3">#REF!</definedName>
    <definedName name="MAY">#REF!</definedName>
    <definedName name="Metalize_Non_Thermal_Polyplex">Data!$R$954:$X$954</definedName>
    <definedName name="MG_A" localSheetId="3">#REF!</definedName>
    <definedName name="MG_A">#REF!</definedName>
    <definedName name="Mitsubishi">Data!$T$1146:$W$1146</definedName>
    <definedName name="mmm" localSheetId="20" hidden="1">{"USD",#N/A,FALSE,"Janv 97"}</definedName>
    <definedName name="mmm" localSheetId="3" hidden="1">{"USD",#N/A,FALSE,"Janv 97"}</definedName>
    <definedName name="mmm" hidden="1">{"USD",#N/A,FALSE,"Janv 97"}</definedName>
    <definedName name="month" localSheetId="3">CONCATENATE("CGS KIDO ",TEXT(#REF!,"mm")," ",YEAR(#REF!))</definedName>
    <definedName name="month">CONCATENATE("CGS KIDO ",TEXT(#REF!,"mm")," ",YEAR(#REF!))</definedName>
    <definedName name="month2" localSheetId="3">CONCATENATE("CGM KIDO ",TEXT(#REF!,"mm")," ",YEAR(#REF!))</definedName>
    <definedName name="month2">CONCATENATE("CGM KIDO ",TEXT(#REF!,"mm")," ",YEAR(#REF!))</definedName>
    <definedName name="name" localSheetId="3">#REF!</definedName>
    <definedName name="name">#REF!</definedName>
    <definedName name="NCcap0.7" localSheetId="3">#REF!</definedName>
    <definedName name="NCcap0.7">#REF!</definedName>
    <definedName name="NCcap1" localSheetId="3">#REF!</definedName>
    <definedName name="NCcap1">#REF!</definedName>
    <definedName name="NET">#REF!</definedName>
    <definedName name="NET_1">#REF!</definedName>
    <definedName name="NET_ANA">#REF!</definedName>
    <definedName name="NET_ANA_1">#REF!</definedName>
    <definedName name="NET_ANA_2">#REF!</definedName>
    <definedName name="NGAØY">#REF!</definedName>
    <definedName name="nhap">#REF!</definedName>
    <definedName name="NHAP1">#REF!</definedName>
    <definedName name="NHAP2">#REF!</definedName>
    <definedName name="NNN" localSheetId="20" hidden="1">{"USD",#N/A,FALSE,"Janv 97"}</definedName>
    <definedName name="NNN" localSheetId="3" hidden="1">{"USD",#N/A,FALSE,"Janv 97"}</definedName>
    <definedName name="NNN" hidden="1">{"USD",#N/A,FALSE,"Janv 97"}</definedName>
    <definedName name="NO" localSheetId="3">#REF!</definedName>
    <definedName name="NO">#REF!</definedName>
    <definedName name="nop" localSheetId="20" hidden="1">{"Syn_janv",#N/A,FALSE,"Janv 97"}</definedName>
    <definedName name="nop" localSheetId="3" hidden="1">{"Syn_janv",#N/A,FALSE,"Janv 97"}</definedName>
    <definedName name="nop" hidden="1">{"Syn_janv",#N/A,FALSE,"Janv 97"}</definedName>
    <definedName name="ntm" localSheetId="20" hidden="1">{"USD",#N/A,FALSE,"Janv 97"}</definedName>
    <definedName name="ntm" localSheetId="3" hidden="1">{"USD",#N/A,FALSE,"Janv 97"}</definedName>
    <definedName name="ntm" hidden="1">{"USD",#N/A,FALSE,"Janv 97"}</definedName>
    <definedName name="OrderTable" localSheetId="20" hidden="1">#REF!</definedName>
    <definedName name="OrderTable" localSheetId="3" hidden="1">#REF!</definedName>
    <definedName name="OrderTable" hidden="1">#REF!</definedName>
    <definedName name="OUT_ACC">#REF!</definedName>
    <definedName name="Outgoing2">#REF!</definedName>
    <definedName name="period">12</definedName>
    <definedName name="Popn" localSheetId="20" hidden="1">{"'Sheet1'!$L$16"}</definedName>
    <definedName name="Popn" localSheetId="3" hidden="1">{"'Sheet1'!$L$16"}</definedName>
    <definedName name="Popn" hidden="1">{"'Sheet1'!$L$16"}</definedName>
    <definedName name="PRICE">#REF!</definedName>
    <definedName name="PRICE1">#REF!</definedName>
    <definedName name="_xlnm.Print_Area" localSheetId="2">'Cost EST. GM target'!$A$1:$P$78</definedName>
    <definedName name="_xlnm.Print_Area" localSheetId="24">'crayola temp'!$A$1:$N$239</definedName>
    <definedName name="_xlnm.Print_Area" localSheetId="34">'Extra cost Tray'!$A$11:$L$19</definedName>
    <definedName name="_xlnm.Print_Area" localSheetId="31">'PO Check'!$A$1:$AK$27</definedName>
    <definedName name="_xlnm.Print_Area" localSheetId="3">#REF!</definedName>
    <definedName name="_xlnm.Print_Area">#REF!</definedName>
    <definedName name="Print_Area_MI" localSheetId="3">#REF!</definedName>
    <definedName name="Print_Area_MI">#REF!</definedName>
    <definedName name="_xlnm.Print_Titles" localSheetId="3">#REF!</definedName>
    <definedName name="_xlnm.Print_Titles">#REF!</definedName>
    <definedName name="Print_Titles_MI">#REF!</definedName>
    <definedName name="PRINTA">#REF!</definedName>
    <definedName name="PRINTB">#REF!</definedName>
    <definedName name="PRINTC">#REF!</definedName>
    <definedName name="ProdForm" localSheetId="20" hidden="1">#REF!</definedName>
    <definedName name="ProdForm" hidden="1">#REF!</definedName>
    <definedName name="Product" localSheetId="20" hidden="1">#REF!</definedName>
    <definedName name="Product" hidden="1">#REF!</definedName>
    <definedName name="PRODUCTS">#REF!</definedName>
    <definedName name="Promotion">Data!$R$1005:$S$1005</definedName>
    <definedName name="PROPOSAL" localSheetId="3">#REF!</definedName>
    <definedName name="PROPOSAL">#REF!</definedName>
    <definedName name="qqq" localSheetId="3">#REF!</definedName>
    <definedName name="qqq">#REF!</definedName>
    <definedName name="quit" localSheetId="20" hidden="1">{"USD",#N/A,FALSE,"Dec 96 "}</definedName>
    <definedName name="quit" localSheetId="3" hidden="1">{"USD",#N/A,FALSE,"Dec 96 "}</definedName>
    <definedName name="quit" hidden="1">{"USD",#N/A,FALSE,"Dec 96 "}</definedName>
    <definedName name="random" localSheetId="20" hidden="1">{"Syn_janv",#N/A,FALSE,"Janv 97"}</definedName>
    <definedName name="random" localSheetId="3" hidden="1">{"Syn_janv",#N/A,FALSE,"Janv 97"}</definedName>
    <definedName name="random" hidden="1">{"Syn_janv",#N/A,FALSE,"Janv 97"}</definedName>
    <definedName name="RCArea" localSheetId="20" hidden="1">#REF!</definedName>
    <definedName name="RCArea" localSheetId="3" hidden="1">#REF!</definedName>
    <definedName name="RCArea" hidden="1">#REF!</definedName>
    <definedName name="RECOUT">#N/A</definedName>
    <definedName name="region" localSheetId="3">#REF!</definedName>
    <definedName name="region">#REF!</definedName>
    <definedName name="Regular">Data!$R$1004:$S$1004</definedName>
    <definedName name="REPORT" localSheetId="3">#REF!</definedName>
    <definedName name="REPORT">#REF!</definedName>
    <definedName name="revised" localSheetId="20" hidden="1">{"Synthese",#N/A,FALSE,"Dec 96 (2)"}</definedName>
    <definedName name="revised" localSheetId="3" hidden="1">{"Synthese",#N/A,FALSE,"Dec 96 (2)"}</definedName>
    <definedName name="revised" hidden="1">{"Synthese",#N/A,FALSE,"Dec 96 (2)"}</definedName>
    <definedName name="RFP003A" localSheetId="3">#REF!</definedName>
    <definedName name="RFP003A">#REF!</definedName>
    <definedName name="RFP003B" localSheetId="3">#REF!</definedName>
    <definedName name="RFP003B">#REF!</definedName>
    <definedName name="RFP003C" localSheetId="3">#REF!</definedName>
    <definedName name="RFP003C">#REF!</definedName>
    <definedName name="RFP003D">#REF!</definedName>
    <definedName name="RFP003E">#REF!</definedName>
    <definedName name="RFP003F">#REF!</definedName>
    <definedName name="round">1</definedName>
    <definedName name="SAPBEXdnldView" hidden="1">"D9P38S4M447DUUEMYLX6G5N5K"</definedName>
    <definedName name="SAPBEXrevision" hidden="1">1</definedName>
    <definedName name="SAPBEXsysID" hidden="1">"BWT"</definedName>
    <definedName name="SAPBEXwbID" hidden="1">"9E0I4UKMRB0OIZ030MIBCA0Z1"</definedName>
    <definedName name="SCH" localSheetId="3">#REF!</definedName>
    <definedName name="SCH">#REF!</definedName>
    <definedName name="Sheet1" localSheetId="3">#REF!</definedName>
    <definedName name="Sheet1">#REF!</definedName>
    <definedName name="SIZE" localSheetId="3">#REF!</definedName>
    <definedName name="SIZE">#REF!</definedName>
    <definedName name="SORT">#REF!</definedName>
    <definedName name="SORT_AREA">#REF!</definedName>
    <definedName name="SPEC">#REF!</definedName>
    <definedName name="SpecialPrice" localSheetId="20" hidden="1">#REF!</definedName>
    <definedName name="SpecialPrice" hidden="1">#REF!</definedName>
    <definedName name="SPECSUMMARY">#REF!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UMMARY">#REF!</definedName>
    <definedName name="summary1" localSheetId="20" hidden="1">#REF!</definedName>
    <definedName name="summary1" hidden="1">#REF!</definedName>
    <definedName name="TAMTINH">#REF!</definedName>
    <definedName name="tbl_ProdInfo" localSheetId="20" hidden="1">#REF!</definedName>
    <definedName name="tbl_ProdInfo" hidden="1">#REF!</definedName>
    <definedName name="temp">#REF!</definedName>
    <definedName name="test" localSheetId="20" hidden="1">{"FF",#N/A,FALSE,"Janv 97"}</definedName>
    <definedName name="test" localSheetId="3" hidden="1">{"FF",#N/A,FALSE,"Janv 97"}</definedName>
    <definedName name="test" hidden="1">{"FF",#N/A,FALSE,"Janv 97"}</definedName>
    <definedName name="TEST0" localSheetId="3">#REF!</definedName>
    <definedName name="TEST0">#REF!</definedName>
    <definedName name="TESTHKEY" localSheetId="3">#REF!</definedName>
    <definedName name="TESTHKEY">#REF!</definedName>
    <definedName name="TESTKEYS" localSheetId="3">#REF!</definedName>
    <definedName name="TESTKEYS">#REF!</definedName>
    <definedName name="TESTVKEY">#REF!</definedName>
    <definedName name="TG">#REF!</definedName>
    <definedName name="Thang07" localSheetId="20" hidden="1">{"'Sheet1'!$L$16"}</definedName>
    <definedName name="Thang07" localSheetId="3" hidden="1">{"'Sheet1'!$L$16"}</definedName>
    <definedName name="Thang07" hidden="1">{"'Sheet1'!$L$16"}</definedName>
    <definedName name="thang08" localSheetId="20" hidden="1">{"'Sheet1'!$L$16"}</definedName>
    <definedName name="thang08" localSheetId="3" hidden="1">{"'Sheet1'!$L$16"}</definedName>
    <definedName name="thang08" hidden="1">{"'Sheet1'!$L$16"}</definedName>
    <definedName name="Thermal_Gloss_OPP_Import">Data!$R$951:$X$951</definedName>
    <definedName name="Thermal_Matt_OPP_Import">Data!$R$950:$Z$950</definedName>
    <definedName name="THI" localSheetId="3">#REF!</definedName>
    <definedName name="THI">#REF!</definedName>
    <definedName name="thuy" localSheetId="20" hidden="1">{"FF",#N/A,FALSE,"Janv 97"}</definedName>
    <definedName name="thuy" localSheetId="3" hidden="1">{"FF",#N/A,FALSE,"Janv 97"}</definedName>
    <definedName name="thuy" hidden="1">{"FF",#N/A,FALSE,"Janv 97"}</definedName>
    <definedName name="TITAN" localSheetId="3">#REF!</definedName>
    <definedName name="TITAN">#REF!</definedName>
    <definedName name="tluong" localSheetId="3">#REF!</definedName>
    <definedName name="tluong">#REF!</definedName>
    <definedName name="TON" localSheetId="3">#REF!</definedName>
    <definedName name="TON">#REF!</definedName>
    <definedName name="TOP">#REF!</definedName>
    <definedName name="top_lane" localSheetId="3">#REF!</definedName>
    <definedName name="top_lane">#REF!</definedName>
    <definedName name="top_pct" localSheetId="3">#REF!</definedName>
    <definedName name="top_pct">#REF!</definedName>
    <definedName name="TOTAL_IN">#REF!</definedName>
    <definedName name="TOTAL_OUT">#REF!</definedName>
    <definedName name="TPLRP">#REF!</definedName>
    <definedName name="TRADE2">#REF!</definedName>
    <definedName name="TRAM">#REF!</definedName>
    <definedName name="ttbt">#REF!</definedName>
    <definedName name="ups_curr">#REF!</definedName>
    <definedName name="ups_curr_gross">#REF!</definedName>
    <definedName name="USD_IMP">#REF!</definedName>
    <definedName name="value">3</definedName>
    <definedName name="VARIINST" localSheetId="3">#REF!</definedName>
    <definedName name="VARIINST">#REF!</definedName>
    <definedName name="VARIPURC" localSheetId="3">#REF!</definedName>
    <definedName name="VARIPURC">#REF!</definedName>
    <definedName name="vccot" localSheetId="3">#REF!</definedName>
    <definedName name="vccot">#REF!</definedName>
    <definedName name="vctb">#REF!</definedName>
    <definedName name="versionno">1</definedName>
    <definedName name="Vlcap0.7" localSheetId="3">#REF!</definedName>
    <definedName name="Vlcap0.7">#REF!</definedName>
    <definedName name="VLcap1" localSheetId="3">#REF!</definedName>
    <definedName name="VLcap1">#REF!</definedName>
    <definedName name="VND_IMP" localSheetId="3">#REF!</definedName>
    <definedName name="VND_IMP">#REF!</definedName>
    <definedName name="VVV" localSheetId="20" hidden="1">{"USD",#N/A,FALSE,"Dec 96 "}</definedName>
    <definedName name="VVV" localSheetId="3" hidden="1">{"USD",#N/A,FALSE,"Dec 96 "}</definedName>
    <definedName name="VVV" hidden="1">{"USD",#N/A,FALSE,"Dec 96 "}</definedName>
    <definedName name="W" localSheetId="3">#REF!</definedName>
    <definedName name="W">#REF!</definedName>
    <definedName name="wrn" localSheetId="20" hidden="1">{"FF",#N/A,FALSE,"Projection"}</definedName>
    <definedName name="wrn" localSheetId="3" hidden="1">{"FF",#N/A,FALSE,"Projection"}</definedName>
    <definedName name="wrn" hidden="1">{"FF",#N/A,FALSE,"Projection"}</definedName>
    <definedName name="wrn.chi._.tiÆt." localSheetId="20" hidden="1">{#N/A,#N/A,FALSE,"Chi tiÆt"}</definedName>
    <definedName name="wrn.chi._.tiÆt." localSheetId="3" hidden="1">{#N/A,#N/A,FALSE,"Chi tiÆt"}</definedName>
    <definedName name="wrn.chi._.tiÆt." hidden="1">{#N/A,#N/A,FALSE,"Chi tiÆt"}</definedName>
    <definedName name="wrn.Net._.Sales._.en._.FF_Dec." localSheetId="20" hidden="1">{"FF",#N/A,FALSE,"Dec 96 "}</definedName>
    <definedName name="wrn.Net._.Sales._.en._.FF_Dec." localSheetId="3" hidden="1">{"FF",#N/A,FALSE,"Dec 96 "}</definedName>
    <definedName name="wrn.Net._.Sales._.en._.FF_Dec." hidden="1">{"FF",#N/A,FALSE,"Dec 96 "}</definedName>
    <definedName name="wrn.Net._.Sales._.en._.FF_janv." localSheetId="20" hidden="1">{"FF",#N/A,FALSE,"Janv 97"}</definedName>
    <definedName name="wrn.Net._.Sales._.en._.FF_janv." localSheetId="3" hidden="1">{"FF",#N/A,FALSE,"Janv 97"}</definedName>
    <definedName name="wrn.Net._.Sales._.en._.FF_janv." hidden="1">{"FF",#N/A,FALSE,"Janv 97"}</definedName>
    <definedName name="wrn.Net._.Sales._.en._.USD_Dec." localSheetId="20" hidden="1">{"USD",#N/A,FALSE,"Dec 96 "}</definedName>
    <definedName name="wrn.Net._.Sales._.en._.USD_Dec." localSheetId="3" hidden="1">{"USD",#N/A,FALSE,"Dec 96 "}</definedName>
    <definedName name="wrn.Net._.Sales._.en._.USD_Dec." hidden="1">{"USD",#N/A,FALSE,"Dec 96 "}</definedName>
    <definedName name="wrn.Net._.Sales._.en._.USD_janv." localSheetId="20" hidden="1">{"USD",#N/A,FALSE,"Janv 97"}</definedName>
    <definedName name="wrn.Net._.Sales._.en._.USD_janv." localSheetId="3" hidden="1">{"USD",#N/A,FALSE,"Janv 97"}</definedName>
    <definedName name="wrn.Net._.Sales._.en._.USD_janv." hidden="1">{"USD",#N/A,FALSE,"Janv 97"}</definedName>
    <definedName name="wrn.Projection._.en._.FF." localSheetId="20" hidden="1">{"FF",#N/A,FALSE,"Projection"}</definedName>
    <definedName name="wrn.Projection._.en._.FF." localSheetId="3" hidden="1">{"FF",#N/A,FALSE,"Projection"}</definedName>
    <definedName name="wrn.Projection._.en._.FF." hidden="1">{"FF",#N/A,FALSE,"Projection"}</definedName>
    <definedName name="wrn.Report." localSheetId="20" hidden="1">{"Offgrid",#N/A,FALSE,"OFFGRID";"Region",#N/A,FALSE,"REGION";"Offgrid -2",#N/A,FALSE,"OFFGRID";"WTP",#N/A,FALSE,"WTP";"WTP -2",#N/A,FALSE,"WTP";"Project",#N/A,FALSE,"PROJECT";"Summary -2",#N/A,FALSE,"SUMMARY"}</definedName>
    <definedName name="wrn.Report." localSheetId="3"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ynt_dec." localSheetId="20" hidden="1">{"Synthese",#N/A,FALSE,"Dec 96 (2)"}</definedName>
    <definedName name="wrn.Synt_dec." localSheetId="3" hidden="1">{"Synthese",#N/A,FALSE,"Dec 96 (2)"}</definedName>
    <definedName name="wrn.Synt_dec." hidden="1">{"Synthese",#N/A,FALSE,"Dec 96 (2)"}</definedName>
    <definedName name="wrn.Synt_janv." localSheetId="20" hidden="1">{"Syn_janv",#N/A,FALSE,"Janv 97"}</definedName>
    <definedName name="wrn.Synt_janv." localSheetId="3" hidden="1">{"Syn_janv",#N/A,FALSE,"Janv 97"}</definedName>
    <definedName name="wrn.Synt_janv." hidden="1">{"Syn_janv",#N/A,FALSE,"Janv 97"}</definedName>
    <definedName name="wrn.vd." localSheetId="20" hidden="1">{#N/A,#N/A,TRUE,"BT M200 da 10x20"}</definedName>
    <definedName name="wrn.vd." localSheetId="3" hidden="1">{#N/A,#N/A,TRUE,"BT M200 da 10x20"}</definedName>
    <definedName name="wrn.vd." hidden="1">{#N/A,#N/A,TRUE,"BT M200 da 10x20"}</definedName>
    <definedName name="wrnf.report" localSheetId="20" hidden="1">{"Offgrid",#N/A,FALSE,"OFFGRID";"Region",#N/A,FALSE,"REGION";"Offgrid -2",#N/A,FALSE,"OFFGRID";"WTP",#N/A,FALSE,"WTP";"WTP -2",#N/A,FALSE,"WTP";"Project",#N/A,FALSE,"PROJECT";"Summary -2",#N/A,FALSE,"SUMMARY"}</definedName>
    <definedName name="wrnf.report" localSheetId="3"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X" localSheetId="3">#REF!</definedName>
    <definedName name="X">#REF!</definedName>
    <definedName name="zig" localSheetId="20" hidden="1">{"Syn_janv",#N/A,FALSE,"Janv 97"}</definedName>
    <definedName name="zig" localSheetId="3" hidden="1">{"Syn_janv",#N/A,FALSE,"Janv 97"}</definedName>
    <definedName name="zig" hidden="1">{"Syn_janv",#N/A,FALSE,"Janv 97"}</definedName>
    <definedName name="Zigzac" localSheetId="20" hidden="1">{"USD",#N/A,FALSE,"Janv 97"}</definedName>
    <definedName name="Zigzac" localSheetId="3" hidden="1">{"USD",#N/A,FALSE,"Janv 97"}</definedName>
    <definedName name="Zigzac" hidden="1">{"USD",#N/A,FALSE,"Janv 97"}</definedName>
    <definedName name="zone" localSheetId="3">#REF!</definedName>
    <definedName name="zone">#REF!</definedName>
    <definedName name="ZYX" localSheetId="3">#REF!</definedName>
    <definedName name="ZYX">#REF!</definedName>
    <definedName name="ZZZ" localSheetId="3">#REF!</definedName>
    <definedName name="ZZZ">#REF!</definedName>
  </definedNames>
  <calcPr calcId="191029"/>
</workbook>
</file>

<file path=xl/calcChain.xml><?xml version="1.0" encoding="utf-8"?>
<calcChain xmlns="http://schemas.openxmlformats.org/spreadsheetml/2006/main">
  <c r="AR71" i="2" l="1"/>
  <c r="AS16" i="2"/>
  <c r="AS17" i="2"/>
  <c r="AS18" i="2"/>
  <c r="AS19" i="2"/>
  <c r="AS20" i="2"/>
  <c r="AS21" i="2"/>
  <c r="C1183" i="70"/>
  <c r="B1183" i="70"/>
  <c r="F358" i="70"/>
  <c r="G358" i="70"/>
  <c r="H358" i="70"/>
  <c r="E25" i="70"/>
  <c r="D1070" i="70"/>
  <c r="B27" i="70"/>
  <c r="B1" i="70"/>
  <c r="H13" i="92"/>
  <c r="C1235" i="63"/>
  <c r="C1234" i="63"/>
  <c r="C1233" i="63"/>
  <c r="C1232" i="63"/>
  <c r="C1231" i="63"/>
  <c r="C1230" i="63"/>
  <c r="H1204" i="63" s="1"/>
  <c r="I1204" i="63" s="1"/>
  <c r="H1226" i="63"/>
  <c r="I1226" i="63" s="1"/>
  <c r="E1226" i="63"/>
  <c r="H1225" i="63"/>
  <c r="I1225" i="63" s="1"/>
  <c r="E1225" i="63"/>
  <c r="H1224" i="63"/>
  <c r="I1224" i="63" s="1"/>
  <c r="E1224" i="63"/>
  <c r="I1223" i="63"/>
  <c r="H1223" i="63"/>
  <c r="E1223" i="63"/>
  <c r="I1222" i="63"/>
  <c r="H1222" i="63"/>
  <c r="E1222" i="63"/>
  <c r="I1221" i="63"/>
  <c r="H1221" i="63"/>
  <c r="E1221" i="63"/>
  <c r="I1220" i="63"/>
  <c r="H1220" i="63"/>
  <c r="E1220" i="63"/>
  <c r="I1219" i="63"/>
  <c r="H1219" i="63"/>
  <c r="E1219" i="63"/>
  <c r="I1218" i="63"/>
  <c r="H1218" i="63"/>
  <c r="E1218" i="63"/>
  <c r="I1217" i="63"/>
  <c r="H1217" i="63"/>
  <c r="E1217" i="63"/>
  <c r="I1216" i="63"/>
  <c r="H1216" i="63"/>
  <c r="E1216" i="63"/>
  <c r="I1215" i="63"/>
  <c r="H1215" i="63"/>
  <c r="E1215" i="63"/>
  <c r="I1214" i="63"/>
  <c r="H1214" i="63"/>
  <c r="E1214" i="63"/>
  <c r="I1213" i="63"/>
  <c r="H1213" i="63"/>
  <c r="E1213" i="63"/>
  <c r="I1212" i="63"/>
  <c r="H1212" i="63"/>
  <c r="E1212" i="63"/>
  <c r="I1211" i="63"/>
  <c r="H1211" i="63"/>
  <c r="E1211" i="63"/>
  <c r="H1210" i="63"/>
  <c r="I1210" i="63" s="1"/>
  <c r="E1210" i="63"/>
  <c r="I1209" i="63"/>
  <c r="H1209" i="63"/>
  <c r="E1209" i="63"/>
  <c r="H1208" i="63"/>
  <c r="I1208" i="63" s="1"/>
  <c r="E1208" i="63"/>
  <c r="I1207" i="63"/>
  <c r="H1207" i="63"/>
  <c r="E1207" i="63"/>
  <c r="I1206" i="63"/>
  <c r="H1206" i="63"/>
  <c r="E1206" i="63"/>
  <c r="I1205" i="63"/>
  <c r="H1205" i="63"/>
  <c r="E1205" i="63"/>
  <c r="E1204" i="63"/>
  <c r="E1203" i="63"/>
  <c r="H1202" i="63"/>
  <c r="I1202" i="63" s="1"/>
  <c r="E1202" i="63"/>
  <c r="I1201" i="63"/>
  <c r="H1201" i="63"/>
  <c r="E1201" i="63"/>
  <c r="C1195" i="63"/>
  <c r="H1195" i="63" s="1"/>
  <c r="C1194" i="63"/>
  <c r="G1145" i="63" s="1"/>
  <c r="H1193" i="63"/>
  <c r="C1193" i="63"/>
  <c r="H1192" i="63"/>
  <c r="C1192" i="63"/>
  <c r="C1188" i="63"/>
  <c r="B1145" i="63" s="1"/>
  <c r="C1187" i="63"/>
  <c r="H1187" i="63" s="1"/>
  <c r="H1186" i="63"/>
  <c r="C1186" i="63"/>
  <c r="H1185" i="63"/>
  <c r="C1185" i="63"/>
  <c r="C1184" i="63"/>
  <c r="B1140" i="63" s="1"/>
  <c r="B1141" i="63" s="1"/>
  <c r="C1183" i="63"/>
  <c r="H1183" i="63" s="1"/>
  <c r="H1182" i="63"/>
  <c r="C1182" i="63"/>
  <c r="H1181" i="63"/>
  <c r="F1181" i="63"/>
  <c r="C1181" i="63"/>
  <c r="F1180" i="63"/>
  <c r="C1180" i="63"/>
  <c r="H1180" i="63" s="1"/>
  <c r="F1179" i="63"/>
  <c r="C1179" i="63"/>
  <c r="H1179" i="63" s="1"/>
  <c r="F1178" i="63"/>
  <c r="C1178" i="63"/>
  <c r="H1178" i="63" s="1"/>
  <c r="F1177" i="63"/>
  <c r="C1177" i="63"/>
  <c r="H1177" i="63" s="1"/>
  <c r="F1176" i="63"/>
  <c r="C1176" i="63"/>
  <c r="H1176" i="63" s="1"/>
  <c r="F1175" i="63"/>
  <c r="C1175" i="63"/>
  <c r="H1175" i="63" s="1"/>
  <c r="H1174" i="63"/>
  <c r="F1174" i="63"/>
  <c r="C1174" i="63"/>
  <c r="H1173" i="63"/>
  <c r="F1173" i="63"/>
  <c r="C1173" i="63"/>
  <c r="H1172" i="63"/>
  <c r="C1172" i="63"/>
  <c r="H1170" i="63"/>
  <c r="C1170" i="63"/>
  <c r="F1169" i="63"/>
  <c r="C1169" i="63"/>
  <c r="H1169" i="63" s="1"/>
  <c r="F1168" i="63"/>
  <c r="C1168" i="63"/>
  <c r="H1168" i="63" s="1"/>
  <c r="H1167" i="63"/>
  <c r="F1167" i="63"/>
  <c r="C1167" i="63"/>
  <c r="H1165" i="63"/>
  <c r="F1165" i="63"/>
  <c r="C1165" i="63"/>
  <c r="F1164" i="63"/>
  <c r="C1164" i="63"/>
  <c r="H1164" i="63" s="1"/>
  <c r="F1163" i="63"/>
  <c r="C1163" i="63"/>
  <c r="H1163" i="63" s="1"/>
  <c r="F1162" i="63"/>
  <c r="C1162" i="63"/>
  <c r="H1162" i="63" s="1"/>
  <c r="F1161" i="63"/>
  <c r="C1161" i="63"/>
  <c r="H1161" i="63" s="1"/>
  <c r="F1160" i="63"/>
  <c r="C1160" i="63"/>
  <c r="H1160" i="63" s="1"/>
  <c r="H1159" i="63"/>
  <c r="F1159" i="63"/>
  <c r="C1159" i="63"/>
  <c r="H1158" i="63"/>
  <c r="F1158" i="63"/>
  <c r="C1158" i="63"/>
  <c r="H1157" i="63"/>
  <c r="C1157" i="63"/>
  <c r="C1155" i="63"/>
  <c r="H1155" i="63" s="1"/>
  <c r="C1154" i="63"/>
  <c r="H1154" i="63" s="1"/>
  <c r="H1153" i="63"/>
  <c r="C1153" i="63"/>
  <c r="A1145" i="63"/>
  <c r="B1144" i="63"/>
  <c r="A1144" i="63"/>
  <c r="H1143" i="63"/>
  <c r="B1143" i="63"/>
  <c r="A1143" i="63"/>
  <c r="H1142" i="63"/>
  <c r="H1144" i="63" s="1"/>
  <c r="B1142" i="63"/>
  <c r="A1142" i="63"/>
  <c r="A1141" i="63"/>
  <c r="A1140" i="63"/>
  <c r="B1077" i="63"/>
  <c r="B1068" i="63" s="1"/>
  <c r="B1076" i="63"/>
  <c r="A1076" i="63"/>
  <c r="B1075" i="63"/>
  <c r="A1075" i="63"/>
  <c r="B1074" i="63"/>
  <c r="A1074" i="63"/>
  <c r="B1073" i="63"/>
  <c r="A1073" i="63"/>
  <c r="A1068" i="63"/>
  <c r="G1061" i="63"/>
  <c r="F1061" i="63"/>
  <c r="B1061" i="63"/>
  <c r="B1060" i="63"/>
  <c r="B1057" i="63"/>
  <c r="C1054" i="63"/>
  <c r="B1054" i="63"/>
  <c r="A1046" i="63"/>
  <c r="B1035" i="63"/>
  <c r="B1032" i="63"/>
  <c r="B1031" i="63"/>
  <c r="B1013" i="63"/>
  <c r="B1012" i="63"/>
  <c r="B1011" i="63"/>
  <c r="B1010" i="63"/>
  <c r="B1009" i="63"/>
  <c r="B1008" i="63"/>
  <c r="B1007" i="63"/>
  <c r="D1005" i="63"/>
  <c r="B1005" i="63" s="1"/>
  <c r="D1004" i="63"/>
  <c r="B1004" i="63" s="1"/>
  <c r="H988" i="63"/>
  <c r="E988" i="63"/>
  <c r="D988" i="63"/>
  <c r="E986" i="63"/>
  <c r="E985" i="63"/>
  <c r="D985" i="63"/>
  <c r="E984" i="63"/>
  <c r="D984" i="63"/>
  <c r="E983" i="63"/>
  <c r="D983" i="63"/>
  <c r="E982" i="63"/>
  <c r="D982" i="63"/>
  <c r="E981" i="63"/>
  <c r="D981" i="63"/>
  <c r="E980" i="63"/>
  <c r="D980" i="63"/>
  <c r="E979" i="63"/>
  <c r="D979" i="63"/>
  <c r="D978" i="63"/>
  <c r="E977" i="63"/>
  <c r="D977" i="63"/>
  <c r="E976" i="63"/>
  <c r="I974" i="63"/>
  <c r="I988" i="63" s="1"/>
  <c r="D969" i="63"/>
  <c r="D957" i="63"/>
  <c r="I954" i="63"/>
  <c r="I951" i="63"/>
  <c r="H951" i="63"/>
  <c r="I950" i="63"/>
  <c r="H950" i="63"/>
  <c r="E941" i="63"/>
  <c r="E940" i="63"/>
  <c r="I939" i="63"/>
  <c r="I937" i="63" s="1"/>
  <c r="H937" i="63"/>
  <c r="E936" i="63"/>
  <c r="E935" i="63"/>
  <c r="I934" i="63"/>
  <c r="E932" i="63"/>
  <c r="I931" i="63"/>
  <c r="E931" i="63"/>
  <c r="E925" i="63"/>
  <c r="E924" i="63"/>
  <c r="E923" i="63"/>
  <c r="E922" i="63"/>
  <c r="E921" i="63"/>
  <c r="I918" i="63"/>
  <c r="H918" i="63"/>
  <c r="E918" i="63"/>
  <c r="I917" i="63"/>
  <c r="I916" i="63"/>
  <c r="E916" i="63"/>
  <c r="E915" i="63"/>
  <c r="E913" i="63"/>
  <c r="A894" i="63"/>
  <c r="A893" i="63"/>
  <c r="A892" i="63"/>
  <c r="A891" i="63"/>
  <c r="A890" i="63"/>
  <c r="A889" i="63"/>
  <c r="A888" i="63"/>
  <c r="A887" i="63"/>
  <c r="A886" i="63"/>
  <c r="A885" i="63"/>
  <c r="A884" i="63"/>
  <c r="A883" i="63"/>
  <c r="A882" i="63"/>
  <c r="A881" i="63"/>
  <c r="A880" i="63"/>
  <c r="A879" i="63"/>
  <c r="A878" i="63"/>
  <c r="A877" i="63"/>
  <c r="A876" i="63"/>
  <c r="A875" i="63"/>
  <c r="A874" i="63"/>
  <c r="A873" i="63"/>
  <c r="A872" i="63"/>
  <c r="A871" i="63"/>
  <c r="A870" i="63"/>
  <c r="A869" i="63"/>
  <c r="A868" i="63"/>
  <c r="A867" i="63"/>
  <c r="A866" i="63"/>
  <c r="A865" i="63"/>
  <c r="A864" i="63"/>
  <c r="A863" i="63"/>
  <c r="A862" i="63"/>
  <c r="A861" i="63"/>
  <c r="A860" i="63"/>
  <c r="A859" i="63"/>
  <c r="A858" i="63"/>
  <c r="A857" i="63"/>
  <c r="A856" i="63"/>
  <c r="A855" i="63"/>
  <c r="A854" i="63"/>
  <c r="A853" i="63"/>
  <c r="A852" i="63"/>
  <c r="A851" i="63"/>
  <c r="A850" i="63"/>
  <c r="A849" i="63"/>
  <c r="A848" i="63"/>
  <c r="A847" i="63"/>
  <c r="A846" i="63"/>
  <c r="A845" i="63"/>
  <c r="A844" i="63"/>
  <c r="A843" i="63"/>
  <c r="A842" i="63"/>
  <c r="A841" i="63"/>
  <c r="A840" i="63"/>
  <c r="A839" i="63"/>
  <c r="A838" i="63"/>
  <c r="A837" i="63"/>
  <c r="A836" i="63"/>
  <c r="A835" i="63"/>
  <c r="A834" i="63"/>
  <c r="A833" i="63"/>
  <c r="A832" i="63"/>
  <c r="A822" i="63"/>
  <c r="A821" i="63"/>
  <c r="A820" i="63"/>
  <c r="A819" i="63"/>
  <c r="A818" i="63"/>
  <c r="A817" i="63"/>
  <c r="A816" i="63"/>
  <c r="A815" i="63"/>
  <c r="A814" i="63"/>
  <c r="A813" i="63"/>
  <c r="A812" i="63"/>
  <c r="A811" i="63"/>
  <c r="A810" i="63"/>
  <c r="A809" i="63"/>
  <c r="A808" i="63"/>
  <c r="A807" i="63"/>
  <c r="A806" i="63"/>
  <c r="A805" i="63"/>
  <c r="A804" i="63"/>
  <c r="A803" i="63"/>
  <c r="A802" i="63"/>
  <c r="A801" i="63"/>
  <c r="A800" i="63"/>
  <c r="A799" i="63"/>
  <c r="A798" i="63"/>
  <c r="A797" i="63"/>
  <c r="A796" i="63"/>
  <c r="A795" i="63"/>
  <c r="A794" i="63"/>
  <c r="A793" i="63"/>
  <c r="A792" i="63"/>
  <c r="A791" i="63"/>
  <c r="A790" i="63"/>
  <c r="A789" i="63"/>
  <c r="A788" i="63"/>
  <c r="A787" i="63"/>
  <c r="A786" i="63"/>
  <c r="A785" i="63"/>
  <c r="A784" i="63"/>
  <c r="A783" i="63"/>
  <c r="A782" i="63"/>
  <c r="A781" i="63"/>
  <c r="A780" i="63"/>
  <c r="A779" i="63"/>
  <c r="A778" i="63"/>
  <c r="A777" i="63"/>
  <c r="A776" i="63"/>
  <c r="A775" i="63"/>
  <c r="A774" i="63"/>
  <c r="A773" i="63"/>
  <c r="A772" i="63"/>
  <c r="A771" i="63"/>
  <c r="A770" i="63"/>
  <c r="A769" i="63"/>
  <c r="A768" i="63"/>
  <c r="A767" i="63"/>
  <c r="A766" i="63"/>
  <c r="A765" i="63"/>
  <c r="A764" i="63"/>
  <c r="A763" i="63"/>
  <c r="A762" i="63"/>
  <c r="A761" i="63"/>
  <c r="A760" i="63"/>
  <c r="A759" i="63"/>
  <c r="A758" i="63"/>
  <c r="A757" i="63"/>
  <c r="A756" i="63"/>
  <c r="A755" i="63"/>
  <c r="A754" i="63"/>
  <c r="A753" i="63"/>
  <c r="A752" i="63"/>
  <c r="A751" i="63"/>
  <c r="A750" i="63"/>
  <c r="A749" i="63"/>
  <c r="A748" i="63"/>
  <c r="A747" i="63"/>
  <c r="A746" i="63"/>
  <c r="A745" i="63"/>
  <c r="A744" i="63"/>
  <c r="A743" i="63"/>
  <c r="A742" i="63"/>
  <c r="A741" i="63"/>
  <c r="A740" i="63"/>
  <c r="A739" i="63"/>
  <c r="A738" i="63"/>
  <c r="A737" i="63"/>
  <c r="A736" i="63"/>
  <c r="A735" i="63"/>
  <c r="A734" i="63"/>
  <c r="A733" i="63"/>
  <c r="A732" i="63"/>
  <c r="A731" i="63"/>
  <c r="A730" i="63"/>
  <c r="A729" i="63"/>
  <c r="A728" i="63"/>
  <c r="A727" i="63"/>
  <c r="A726" i="63"/>
  <c r="A725" i="63"/>
  <c r="A724" i="63"/>
  <c r="A723" i="63"/>
  <c r="A722" i="63"/>
  <c r="A721" i="63"/>
  <c r="A720" i="63"/>
  <c r="A719" i="63"/>
  <c r="A718" i="63"/>
  <c r="A717" i="63"/>
  <c r="A716" i="63"/>
  <c r="A715" i="63"/>
  <c r="A714" i="63"/>
  <c r="A713" i="63"/>
  <c r="A712" i="63"/>
  <c r="A711" i="63"/>
  <c r="A710" i="63"/>
  <c r="A709" i="63"/>
  <c r="A708" i="63"/>
  <c r="A707" i="63"/>
  <c r="A706" i="63"/>
  <c r="A705" i="63"/>
  <c r="A704" i="63"/>
  <c r="A703" i="63"/>
  <c r="A702" i="63"/>
  <c r="A701" i="63"/>
  <c r="A700" i="63"/>
  <c r="A699" i="63"/>
  <c r="A698" i="63"/>
  <c r="A697" i="63"/>
  <c r="A696" i="63"/>
  <c r="A695" i="63"/>
  <c r="A694" i="63"/>
  <c r="A693" i="63"/>
  <c r="A692" i="63"/>
  <c r="A691" i="63"/>
  <c r="A690" i="63"/>
  <c r="A689" i="63"/>
  <c r="A688" i="63"/>
  <c r="A687" i="63"/>
  <c r="A686" i="63"/>
  <c r="A685" i="63"/>
  <c r="A684" i="63"/>
  <c r="A683" i="63"/>
  <c r="A682" i="63"/>
  <c r="A681" i="63"/>
  <c r="A680" i="63"/>
  <c r="A679" i="63"/>
  <c r="A678" i="63"/>
  <c r="A677" i="63"/>
  <c r="A676" i="63"/>
  <c r="A675" i="63"/>
  <c r="A674" i="63"/>
  <c r="A673" i="63"/>
  <c r="A672" i="63"/>
  <c r="A671" i="63"/>
  <c r="A670" i="63"/>
  <c r="A669" i="63"/>
  <c r="A668" i="63"/>
  <c r="A667" i="63"/>
  <c r="A666" i="63"/>
  <c r="A665" i="63"/>
  <c r="A664" i="63"/>
  <c r="A663" i="63"/>
  <c r="A662" i="63"/>
  <c r="A661" i="63"/>
  <c r="A660" i="63"/>
  <c r="A659" i="63"/>
  <c r="A658" i="63"/>
  <c r="A657" i="63"/>
  <c r="A656" i="63"/>
  <c r="A655" i="63"/>
  <c r="A654" i="63"/>
  <c r="A653" i="63"/>
  <c r="A652" i="63"/>
  <c r="A651" i="63"/>
  <c r="A650" i="63"/>
  <c r="A649" i="63"/>
  <c r="A648" i="63"/>
  <c r="A647" i="63"/>
  <c r="A646" i="63"/>
  <c r="A645" i="63"/>
  <c r="A644" i="63"/>
  <c r="A643" i="63"/>
  <c r="A642" i="63"/>
  <c r="A641" i="63"/>
  <c r="A640" i="63"/>
  <c r="A639" i="63"/>
  <c r="A638" i="63"/>
  <c r="A637" i="63"/>
  <c r="A636" i="63"/>
  <c r="A635" i="63"/>
  <c r="A634" i="63"/>
  <c r="A633" i="63"/>
  <c r="A632" i="63"/>
  <c r="A631" i="63"/>
  <c r="A630" i="63"/>
  <c r="A629" i="63"/>
  <c r="A628" i="63"/>
  <c r="A627" i="63"/>
  <c r="A626" i="63"/>
  <c r="A625" i="63"/>
  <c r="A624" i="63"/>
  <c r="A623" i="63"/>
  <c r="A622" i="63"/>
  <c r="A621" i="63"/>
  <c r="A620" i="63"/>
  <c r="A619" i="63"/>
  <c r="A618" i="63"/>
  <c r="A617" i="63"/>
  <c r="A616" i="63"/>
  <c r="A615" i="63"/>
  <c r="A614" i="63"/>
  <c r="A613" i="63"/>
  <c r="A612" i="63"/>
  <c r="A611" i="63"/>
  <c r="A610" i="63"/>
  <c r="A609" i="63"/>
  <c r="A608" i="63"/>
  <c r="A607" i="63"/>
  <c r="A606" i="63"/>
  <c r="A605" i="63"/>
  <c r="A604" i="63"/>
  <c r="A603" i="63"/>
  <c r="A602" i="63"/>
  <c r="A601" i="63"/>
  <c r="A600" i="63"/>
  <c r="A599" i="63"/>
  <c r="A598" i="63"/>
  <c r="A597" i="63"/>
  <c r="A596" i="63"/>
  <c r="A595" i="63"/>
  <c r="A594" i="63"/>
  <c r="A593" i="63"/>
  <c r="A592" i="63"/>
  <c r="A591" i="63"/>
  <c r="A590" i="63"/>
  <c r="A589" i="63"/>
  <c r="A588" i="63"/>
  <c r="A587" i="63"/>
  <c r="A586" i="63"/>
  <c r="A585" i="63"/>
  <c r="A584" i="63"/>
  <c r="A583" i="63"/>
  <c r="A582" i="63"/>
  <c r="A581" i="63"/>
  <c r="A580" i="63"/>
  <c r="A579" i="63"/>
  <c r="A578" i="63"/>
  <c r="A577" i="63"/>
  <c r="A576" i="63"/>
  <c r="A575" i="63"/>
  <c r="A574" i="63"/>
  <c r="A573" i="63"/>
  <c r="A572" i="63"/>
  <c r="A571" i="63"/>
  <c r="A570" i="63"/>
  <c r="A569" i="63"/>
  <c r="A568" i="63"/>
  <c r="A567" i="63"/>
  <c r="A566" i="63"/>
  <c r="A565" i="63"/>
  <c r="A564" i="63"/>
  <c r="A563" i="63"/>
  <c r="A562" i="63"/>
  <c r="A561" i="63"/>
  <c r="A560" i="63"/>
  <c r="A559" i="63"/>
  <c r="A558" i="63"/>
  <c r="A557" i="63"/>
  <c r="A556" i="63"/>
  <c r="A555" i="63"/>
  <c r="A554" i="63"/>
  <c r="A553" i="63"/>
  <c r="A552" i="63"/>
  <c r="A551" i="63"/>
  <c r="A550" i="63"/>
  <c r="A549" i="63"/>
  <c r="A548" i="63"/>
  <c r="A547" i="63"/>
  <c r="A546" i="63"/>
  <c r="A545" i="63"/>
  <c r="A544" i="63"/>
  <c r="A543" i="63"/>
  <c r="A542" i="63"/>
  <c r="A541" i="63"/>
  <c r="A540" i="63"/>
  <c r="A539" i="63"/>
  <c r="A538" i="63"/>
  <c r="A537" i="63"/>
  <c r="A536" i="63"/>
  <c r="A535" i="63"/>
  <c r="A534" i="63"/>
  <c r="A533" i="63"/>
  <c r="A532" i="63"/>
  <c r="A531" i="63"/>
  <c r="A530" i="63"/>
  <c r="A529" i="63"/>
  <c r="A528" i="63"/>
  <c r="A527" i="63"/>
  <c r="A526" i="63"/>
  <c r="A525" i="63"/>
  <c r="A524" i="63"/>
  <c r="A523" i="63"/>
  <c r="A522" i="63"/>
  <c r="A521" i="63"/>
  <c r="A520" i="63"/>
  <c r="A519" i="63"/>
  <c r="A518" i="63"/>
  <c r="A517" i="63"/>
  <c r="A516" i="63"/>
  <c r="A515" i="63"/>
  <c r="A514" i="63"/>
  <c r="A513" i="63"/>
  <c r="A512" i="63"/>
  <c r="A511" i="63"/>
  <c r="A510" i="63"/>
  <c r="A509" i="63"/>
  <c r="A508" i="63"/>
  <c r="A507" i="63"/>
  <c r="A506" i="63"/>
  <c r="A505" i="63"/>
  <c r="A504" i="63"/>
  <c r="A503" i="63"/>
  <c r="A502" i="63"/>
  <c r="A501" i="63"/>
  <c r="A500" i="63"/>
  <c r="A499" i="63"/>
  <c r="A498" i="63"/>
  <c r="A497" i="63"/>
  <c r="A496" i="63"/>
  <c r="A495" i="63"/>
  <c r="A494" i="63"/>
  <c r="A493" i="63"/>
  <c r="A492" i="63"/>
  <c r="A491" i="63"/>
  <c r="A490" i="63"/>
  <c r="A489" i="63"/>
  <c r="A488" i="63"/>
  <c r="A487" i="63"/>
  <c r="A486" i="63"/>
  <c r="A485" i="63"/>
  <c r="A484" i="63"/>
  <c r="A483" i="63"/>
  <c r="A482" i="63"/>
  <c r="A481" i="63"/>
  <c r="A480" i="63"/>
  <c r="A479" i="63"/>
  <c r="A478" i="63"/>
  <c r="A477" i="63"/>
  <c r="A476" i="63"/>
  <c r="A475" i="63"/>
  <c r="A474" i="63"/>
  <c r="A473" i="63"/>
  <c r="A472" i="63"/>
  <c r="A471" i="63"/>
  <c r="A470" i="63"/>
  <c r="A469" i="63"/>
  <c r="A468" i="63"/>
  <c r="A467" i="63"/>
  <c r="A466" i="63"/>
  <c r="A465" i="63"/>
  <c r="A464" i="63"/>
  <c r="A463" i="63"/>
  <c r="A462" i="63"/>
  <c r="A461" i="63"/>
  <c r="A460" i="63"/>
  <c r="A459" i="63"/>
  <c r="A458" i="63"/>
  <c r="A457" i="63"/>
  <c r="A456" i="63"/>
  <c r="A455" i="63"/>
  <c r="A454" i="63"/>
  <c r="A453" i="63"/>
  <c r="A452" i="63"/>
  <c r="A451" i="63"/>
  <c r="A450" i="63"/>
  <c r="A449" i="63"/>
  <c r="A448" i="63"/>
  <c r="A447" i="63"/>
  <c r="A446" i="63"/>
  <c r="A445" i="63"/>
  <c r="A444" i="63"/>
  <c r="A443" i="63"/>
  <c r="A442" i="63"/>
  <c r="A441" i="63"/>
  <c r="A440" i="63"/>
  <c r="A439" i="63"/>
  <c r="A438" i="63"/>
  <c r="A437" i="63"/>
  <c r="A436" i="63"/>
  <c r="A435" i="63"/>
  <c r="A434" i="63"/>
  <c r="A433" i="63"/>
  <c r="A432" i="63"/>
  <c r="A431" i="63"/>
  <c r="A430" i="63"/>
  <c r="A429" i="63"/>
  <c r="A428" i="63"/>
  <c r="A427" i="63"/>
  <c r="A426" i="63"/>
  <c r="A425" i="63"/>
  <c r="A424" i="63"/>
  <c r="A423" i="63"/>
  <c r="A422" i="63"/>
  <c r="A421" i="63"/>
  <c r="A420" i="63"/>
  <c r="A419" i="63"/>
  <c r="A418" i="63"/>
  <c r="A417" i="63"/>
  <c r="A416" i="63"/>
  <c r="A415" i="63"/>
  <c r="A414" i="63"/>
  <c r="A413" i="63"/>
  <c r="A412" i="63"/>
  <c r="A411" i="63"/>
  <c r="A410" i="63"/>
  <c r="A409" i="63"/>
  <c r="A408" i="63"/>
  <c r="A407" i="63"/>
  <c r="A406" i="63"/>
  <c r="A405" i="63"/>
  <c r="A404" i="63"/>
  <c r="A403" i="63"/>
  <c r="A402" i="63"/>
  <c r="A401" i="63"/>
  <c r="A400" i="63"/>
  <c r="A399" i="63"/>
  <c r="A398" i="63"/>
  <c r="A397" i="63"/>
  <c r="A396" i="63"/>
  <c r="A395" i="63"/>
  <c r="A394" i="63"/>
  <c r="A393" i="63"/>
  <c r="A392" i="63"/>
  <c r="A391" i="63"/>
  <c r="A390" i="63"/>
  <c r="A389" i="63"/>
  <c r="A388" i="63"/>
  <c r="A387" i="63"/>
  <c r="A386" i="63"/>
  <c r="A385" i="63"/>
  <c r="A384" i="63"/>
  <c r="A383" i="63"/>
  <c r="A382" i="63"/>
  <c r="A381" i="63"/>
  <c r="A380" i="63"/>
  <c r="A379" i="63"/>
  <c r="A378" i="63"/>
  <c r="A377" i="63"/>
  <c r="A376" i="63"/>
  <c r="A375" i="63"/>
  <c r="A374" i="63"/>
  <c r="A373" i="63"/>
  <c r="A372" i="63"/>
  <c r="A371" i="63"/>
  <c r="A370" i="63"/>
  <c r="A369" i="63"/>
  <c r="A368" i="63"/>
  <c r="A367" i="63"/>
  <c r="A366" i="63"/>
  <c r="A365" i="63"/>
  <c r="A364" i="63"/>
  <c r="A363" i="63"/>
  <c r="A362" i="63"/>
  <c r="A361" i="63"/>
  <c r="A360" i="63"/>
  <c r="A359" i="63"/>
  <c r="A358" i="63"/>
  <c r="A357" i="63"/>
  <c r="A356" i="63"/>
  <c r="A355" i="63"/>
  <c r="A354" i="63"/>
  <c r="A353" i="63"/>
  <c r="A352" i="63"/>
  <c r="A351" i="63"/>
  <c r="A350" i="63"/>
  <c r="A349" i="63"/>
  <c r="A348" i="63"/>
  <c r="A347" i="63"/>
  <c r="A346" i="63"/>
  <c r="A345" i="63"/>
  <c r="A344" i="63"/>
  <c r="A343" i="63"/>
  <c r="A342" i="63"/>
  <c r="A341" i="63"/>
  <c r="A340" i="63"/>
  <c r="A339" i="63"/>
  <c r="A338" i="63"/>
  <c r="A337" i="63"/>
  <c r="A336" i="63"/>
  <c r="A335" i="63"/>
  <c r="A334" i="63"/>
  <c r="A333" i="63"/>
  <c r="A332" i="63"/>
  <c r="A331" i="63"/>
  <c r="A330" i="63"/>
  <c r="A329" i="63"/>
  <c r="A328" i="63"/>
  <c r="A327" i="63"/>
  <c r="A326" i="63"/>
  <c r="A325" i="63"/>
  <c r="A324" i="63"/>
  <c r="A323" i="63"/>
  <c r="A322" i="63"/>
  <c r="A321" i="63"/>
  <c r="A320" i="63"/>
  <c r="A319" i="63"/>
  <c r="A318" i="63"/>
  <c r="A317" i="63"/>
  <c r="A316" i="63"/>
  <c r="A315" i="63"/>
  <c r="A314" i="63"/>
  <c r="A313" i="63"/>
  <c r="A312" i="63"/>
  <c r="A311" i="63"/>
  <c r="A310" i="63"/>
  <c r="A309" i="63"/>
  <c r="A308" i="63"/>
  <c r="A307" i="63"/>
  <c r="A306" i="63"/>
  <c r="A305" i="63"/>
  <c r="A304" i="63"/>
  <c r="A303" i="63"/>
  <c r="A302" i="63"/>
  <c r="A301" i="63"/>
  <c r="A300" i="63"/>
  <c r="A299" i="63"/>
  <c r="A298" i="63"/>
  <c r="A297" i="63"/>
  <c r="A296" i="63"/>
  <c r="A295" i="63"/>
  <c r="A294" i="63"/>
  <c r="A293" i="63"/>
  <c r="A292" i="63"/>
  <c r="A291" i="63"/>
  <c r="A290" i="63"/>
  <c r="A289" i="63"/>
  <c r="A288" i="63"/>
  <c r="A287" i="63"/>
  <c r="A286" i="63"/>
  <c r="A285" i="63"/>
  <c r="A284" i="63"/>
  <c r="A283" i="63"/>
  <c r="A282" i="63"/>
  <c r="A281" i="63"/>
  <c r="A280" i="63"/>
  <c r="A279" i="63"/>
  <c r="A278" i="63"/>
  <c r="A277" i="63"/>
  <c r="A276" i="63"/>
  <c r="A275" i="63"/>
  <c r="A274" i="63"/>
  <c r="A273" i="63"/>
  <c r="A272" i="63"/>
  <c r="A271" i="63"/>
  <c r="A270" i="63"/>
  <c r="A269" i="63"/>
  <c r="A268" i="63"/>
  <c r="A267" i="63"/>
  <c r="A266" i="63"/>
  <c r="A265" i="63"/>
  <c r="A264" i="63"/>
  <c r="A263" i="63"/>
  <c r="A262" i="63"/>
  <c r="A261" i="63"/>
  <c r="A260" i="63"/>
  <c r="A259" i="63"/>
  <c r="A258" i="63"/>
  <c r="A257" i="63"/>
  <c r="A256" i="63"/>
  <c r="A255" i="63"/>
  <c r="A254" i="63"/>
  <c r="A253" i="63"/>
  <c r="A252" i="63"/>
  <c r="A251" i="63"/>
  <c r="A250" i="63"/>
  <c r="A249" i="63"/>
  <c r="A248" i="63"/>
  <c r="A247" i="63"/>
  <c r="A246" i="63"/>
  <c r="A245" i="63"/>
  <c r="A244" i="63"/>
  <c r="A243" i="63"/>
  <c r="A242" i="63"/>
  <c r="A241" i="63"/>
  <c r="A240" i="63"/>
  <c r="A239" i="63"/>
  <c r="A238" i="63"/>
  <c r="A237" i="63"/>
  <c r="A236" i="63"/>
  <c r="A235" i="63"/>
  <c r="A234" i="63"/>
  <c r="A233" i="63"/>
  <c r="A232" i="63"/>
  <c r="A231" i="63"/>
  <c r="A230" i="63"/>
  <c r="A229" i="63"/>
  <c r="A228" i="63"/>
  <c r="A227" i="63"/>
  <c r="A226" i="63"/>
  <c r="A225" i="63"/>
  <c r="A224" i="63"/>
  <c r="A223" i="63"/>
  <c r="A222" i="63"/>
  <c r="A221" i="63"/>
  <c r="A220" i="63"/>
  <c r="A219" i="63"/>
  <c r="A218" i="63"/>
  <c r="A217" i="63"/>
  <c r="A216" i="63"/>
  <c r="A215" i="63"/>
  <c r="A214" i="63"/>
  <c r="A213" i="63"/>
  <c r="A212" i="63"/>
  <c r="A211" i="63"/>
  <c r="A210" i="63"/>
  <c r="A209" i="63"/>
  <c r="A208" i="63"/>
  <c r="A207" i="63"/>
  <c r="A206" i="63"/>
  <c r="A205" i="63"/>
  <c r="A204" i="63"/>
  <c r="A203" i="63"/>
  <c r="A202" i="63"/>
  <c r="A201" i="63"/>
  <c r="A200" i="63"/>
  <c r="A199" i="63"/>
  <c r="A198" i="63"/>
  <c r="A197" i="63"/>
  <c r="A196" i="63"/>
  <c r="A195" i="63"/>
  <c r="A194" i="63"/>
  <c r="A193" i="63"/>
  <c r="A192" i="63"/>
  <c r="A191" i="63"/>
  <c r="A190" i="63"/>
  <c r="A189" i="63"/>
  <c r="A188" i="63"/>
  <c r="A187" i="63"/>
  <c r="A186" i="63"/>
  <c r="A185" i="63"/>
  <c r="A184" i="63"/>
  <c r="A183" i="63"/>
  <c r="A182" i="63"/>
  <c r="A181" i="63"/>
  <c r="A180" i="63"/>
  <c r="A179" i="63"/>
  <c r="A178" i="63"/>
  <c r="A177" i="63"/>
  <c r="A176" i="63"/>
  <c r="A175" i="63"/>
  <c r="A174" i="63"/>
  <c r="A173" i="63"/>
  <c r="A172" i="63"/>
  <c r="A171" i="63"/>
  <c r="A170" i="63"/>
  <c r="A169" i="63"/>
  <c r="A168" i="63"/>
  <c r="A167" i="63"/>
  <c r="A166" i="63"/>
  <c r="A165" i="63"/>
  <c r="A164" i="63"/>
  <c r="A163" i="63"/>
  <c r="A162" i="63"/>
  <c r="A161" i="63"/>
  <c r="A160" i="63"/>
  <c r="A159" i="63"/>
  <c r="A158" i="63"/>
  <c r="A157" i="63"/>
  <c r="A156" i="63"/>
  <c r="A155" i="63"/>
  <c r="A154" i="63"/>
  <c r="A153" i="63"/>
  <c r="A152" i="63"/>
  <c r="A151" i="63"/>
  <c r="A150" i="63"/>
  <c r="A149" i="63"/>
  <c r="A148" i="63"/>
  <c r="A147" i="63"/>
  <c r="A146" i="63"/>
  <c r="A145" i="63"/>
  <c r="A144" i="63"/>
  <c r="A143" i="63"/>
  <c r="A142" i="63"/>
  <c r="A141" i="63"/>
  <c r="A140" i="63"/>
  <c r="A139" i="63"/>
  <c r="A138" i="63"/>
  <c r="A137" i="63"/>
  <c r="A136" i="63"/>
  <c r="A135" i="63"/>
  <c r="A134" i="63"/>
  <c r="A133" i="63"/>
  <c r="A132" i="63"/>
  <c r="A131" i="63"/>
  <c r="A130" i="63"/>
  <c r="A129" i="63"/>
  <c r="A128" i="63"/>
  <c r="A127" i="63"/>
  <c r="A126" i="63"/>
  <c r="A125" i="63"/>
  <c r="A124" i="63"/>
  <c r="A123" i="63"/>
  <c r="A122" i="63"/>
  <c r="A121" i="63"/>
  <c r="A120" i="63"/>
  <c r="A119" i="63"/>
  <c r="A118" i="63"/>
  <c r="A117" i="63"/>
  <c r="A116" i="63"/>
  <c r="A115" i="63"/>
  <c r="A114" i="63"/>
  <c r="A113" i="63"/>
  <c r="A112" i="63"/>
  <c r="A111" i="63"/>
  <c r="A110" i="63"/>
  <c r="A109" i="63"/>
  <c r="A108" i="63"/>
  <c r="A107" i="63"/>
  <c r="A106" i="63"/>
  <c r="A105" i="63"/>
  <c r="A104" i="63"/>
  <c r="A103" i="63"/>
  <c r="A102" i="63"/>
  <c r="A101" i="63"/>
  <c r="A100" i="63"/>
  <c r="A99" i="63"/>
  <c r="A98" i="63"/>
  <c r="A97" i="63"/>
  <c r="A96" i="63"/>
  <c r="A95" i="63"/>
  <c r="A94" i="63"/>
  <c r="A93" i="63"/>
  <c r="A92" i="63"/>
  <c r="A91" i="63"/>
  <c r="A90" i="63"/>
  <c r="A89" i="63"/>
  <c r="A88" i="63"/>
  <c r="A87" i="63"/>
  <c r="A86" i="63"/>
  <c r="A85" i="63"/>
  <c r="A84" i="63"/>
  <c r="A83" i="63"/>
  <c r="A82" i="63"/>
  <c r="A81" i="63"/>
  <c r="A80" i="63"/>
  <c r="A79" i="63"/>
  <c r="A78" i="63"/>
  <c r="A77" i="63"/>
  <c r="A76" i="63"/>
  <c r="A75" i="63"/>
  <c r="A74" i="63"/>
  <c r="A73" i="63"/>
  <c r="A72" i="63"/>
  <c r="A71" i="63"/>
  <c r="A70" i="63"/>
  <c r="A69" i="63"/>
  <c r="A68" i="63"/>
  <c r="A67" i="63"/>
  <c r="A66" i="63"/>
  <c r="A65" i="63"/>
  <c r="A64" i="63"/>
  <c r="A63" i="63"/>
  <c r="A62" i="63"/>
  <c r="A61" i="63"/>
  <c r="A60" i="63"/>
  <c r="A59" i="63"/>
  <c r="A58" i="63"/>
  <c r="A57" i="63"/>
  <c r="A56" i="63"/>
  <c r="A55" i="63"/>
  <c r="A54" i="63"/>
  <c r="A53" i="63"/>
  <c r="A52" i="63"/>
  <c r="A51" i="63"/>
  <c r="A50" i="63"/>
  <c r="A49" i="63"/>
  <c r="A48" i="63"/>
  <c r="A47" i="63"/>
  <c r="A46" i="63"/>
  <c r="A45" i="63"/>
  <c r="A44" i="63"/>
  <c r="A43" i="63"/>
  <c r="A42" i="63"/>
  <c r="A41" i="63"/>
  <c r="A40" i="63"/>
  <c r="A39" i="63"/>
  <c r="A38" i="63"/>
  <c r="A37" i="63"/>
  <c r="A36" i="63"/>
  <c r="A35" i="63"/>
  <c r="A34" i="63"/>
  <c r="A33" i="63"/>
  <c r="A32" i="63"/>
  <c r="A31" i="63"/>
  <c r="A30" i="63"/>
  <c r="A29" i="63"/>
  <c r="A28" i="63"/>
  <c r="A27" i="63"/>
  <c r="A26" i="63"/>
  <c r="A25" i="63"/>
  <c r="A24" i="63"/>
  <c r="A23" i="63"/>
  <c r="A22" i="63"/>
  <c r="A21" i="63"/>
  <c r="A20" i="63"/>
  <c r="A19" i="63"/>
  <c r="A18" i="63"/>
  <c r="A17" i="63"/>
  <c r="A16" i="63"/>
  <c r="A15" i="63"/>
  <c r="A14" i="63"/>
  <c r="A13" i="63"/>
  <c r="H258" i="43"/>
  <c r="H257" i="43"/>
  <c r="H256" i="43"/>
  <c r="H255" i="43"/>
  <c r="H254" i="43"/>
  <c r="H253" i="43"/>
  <c r="H240" i="43"/>
  <c r="H239" i="43"/>
  <c r="H238" i="43"/>
  <c r="H237" i="43"/>
  <c r="H236" i="43"/>
  <c r="H235" i="43"/>
  <c r="H222" i="43"/>
  <c r="H221" i="43"/>
  <c r="H220" i="43"/>
  <c r="H219" i="43"/>
  <c r="H218" i="43"/>
  <c r="H217" i="43"/>
  <c r="H204" i="43"/>
  <c r="H203" i="43"/>
  <c r="H202" i="43"/>
  <c r="H201" i="43"/>
  <c r="H200" i="43"/>
  <c r="H199" i="43"/>
  <c r="D1006" i="63" l="1"/>
  <c r="B1006" i="63" s="1"/>
  <c r="G1144" i="63"/>
  <c r="G1142" i="63" s="1"/>
  <c r="G1143" i="63" s="1"/>
  <c r="H1194" i="63"/>
  <c r="H1184" i="63"/>
  <c r="H1188" i="63"/>
  <c r="H1203" i="63"/>
  <c r="I1203" i="63" s="1"/>
  <c r="B10" i="80"/>
  <c r="E87" i="80"/>
  <c r="C81" i="80"/>
  <c r="B81" i="80"/>
  <c r="B83" i="80" s="1"/>
  <c r="A86" i="80"/>
  <c r="C82" i="80"/>
  <c r="B320" i="43"/>
  <c r="H315" i="43"/>
  <c r="J1173" i="70"/>
  <c r="J1174" i="70"/>
  <c r="J1118" i="70"/>
  <c r="J1102" i="70"/>
  <c r="J1103" i="70"/>
  <c r="J1104" i="70"/>
  <c r="J1105" i="70"/>
  <c r="J1106" i="70"/>
  <c r="J1107" i="70"/>
  <c r="J1108" i="70"/>
  <c r="J1109" i="70"/>
  <c r="J1110" i="70"/>
  <c r="J1101" i="70"/>
  <c r="J1095" i="70"/>
  <c r="J1096" i="70"/>
  <c r="J1097" i="70"/>
  <c r="J1098" i="70"/>
  <c r="J1099" i="70"/>
  <c r="J1094" i="70"/>
  <c r="J1092" i="70"/>
  <c r="J1058" i="70"/>
  <c r="J1059" i="70"/>
  <c r="J1060" i="70"/>
  <c r="J1061" i="70"/>
  <c r="J932" i="70"/>
  <c r="J933" i="70"/>
  <c r="J934" i="70"/>
  <c r="J935" i="70"/>
  <c r="J936" i="70"/>
  <c r="J937" i="70"/>
  <c r="J938" i="70"/>
  <c r="J939" i="70"/>
  <c r="J940" i="70"/>
  <c r="J941" i="70"/>
  <c r="J942" i="70"/>
  <c r="J943" i="70"/>
  <c r="J944" i="70"/>
  <c r="J945" i="70"/>
  <c r="J946" i="70"/>
  <c r="J947" i="70"/>
  <c r="J948" i="70"/>
  <c r="J949" i="70"/>
  <c r="J950" i="70"/>
  <c r="J951" i="70"/>
  <c r="J952" i="70"/>
  <c r="J953" i="70"/>
  <c r="J954" i="70"/>
  <c r="J931" i="70"/>
  <c r="J864" i="70"/>
  <c r="J865" i="70"/>
  <c r="J866" i="70"/>
  <c r="J867" i="70"/>
  <c r="J883" i="70"/>
  <c r="J884" i="70"/>
  <c r="J885" i="70"/>
  <c r="J886" i="70"/>
  <c r="J887" i="70"/>
  <c r="J888" i="70"/>
  <c r="J889" i="70"/>
  <c r="J890" i="70"/>
  <c r="J891" i="70"/>
  <c r="J892" i="70"/>
  <c r="J893" i="70"/>
  <c r="J894" i="70"/>
  <c r="J895" i="70"/>
  <c r="J896" i="70"/>
  <c r="J897" i="70"/>
  <c r="J898" i="70"/>
  <c r="J899" i="70"/>
  <c r="J900" i="70"/>
  <c r="J901" i="70"/>
  <c r="J902" i="70"/>
  <c r="J903" i="70"/>
  <c r="J904" i="70"/>
  <c r="J905" i="70"/>
  <c r="J906" i="70"/>
  <c r="J907" i="70"/>
  <c r="J908" i="70"/>
  <c r="J909" i="70"/>
  <c r="J910" i="70"/>
  <c r="J911" i="70"/>
  <c r="J912" i="70"/>
  <c r="J913" i="70"/>
  <c r="J914" i="70"/>
  <c r="J915" i="70"/>
  <c r="J916" i="70"/>
  <c r="J917" i="70"/>
  <c r="J918" i="70"/>
  <c r="J919" i="70"/>
  <c r="J920" i="70"/>
  <c r="J921" i="70"/>
  <c r="J922" i="70"/>
  <c r="J923" i="70"/>
  <c r="J924" i="70"/>
  <c r="J925" i="70"/>
  <c r="J926" i="70"/>
  <c r="J927" i="70"/>
  <c r="J928" i="70"/>
  <c r="J863" i="70"/>
  <c r="J859" i="70"/>
  <c r="J422" i="70"/>
  <c r="J423" i="70"/>
  <c r="J424" i="70"/>
  <c r="J425" i="70"/>
  <c r="J426" i="70"/>
  <c r="J427" i="70"/>
  <c r="J428" i="70"/>
  <c r="J429" i="70"/>
  <c r="J430" i="70"/>
  <c r="J431" i="70"/>
  <c r="J432" i="70"/>
  <c r="J433" i="70"/>
  <c r="J434" i="70"/>
  <c r="J435" i="70"/>
  <c r="J436" i="70"/>
  <c r="J437" i="70"/>
  <c r="J438" i="70"/>
  <c r="J439" i="70"/>
  <c r="J440" i="70"/>
  <c r="J441" i="70"/>
  <c r="J408" i="70"/>
  <c r="J409" i="70"/>
  <c r="Z11" i="91"/>
  <c r="Z10" i="91"/>
  <c r="Z9" i="91"/>
  <c r="Z8" i="91"/>
  <c r="Z7" i="91"/>
  <c r="Z6" i="91"/>
  <c r="Z5" i="91"/>
  <c r="Z4" i="91"/>
  <c r="Z3" i="91"/>
  <c r="AA3" i="91" s="1"/>
  <c r="AB3" i="91" s="1"/>
  <c r="C83" i="80" l="1"/>
  <c r="B85" i="80" s="1"/>
  <c r="E82" i="80"/>
  <c r="AA4" i="91"/>
  <c r="AA5" i="91"/>
  <c r="AA6" i="91" l="1"/>
  <c r="AA7" i="91"/>
  <c r="AA8" i="91" l="1"/>
  <c r="AA9" i="91" l="1"/>
  <c r="AA10" i="91" l="1"/>
  <c r="AA11" i="91" s="1"/>
  <c r="F7" i="70" l="1"/>
  <c r="E7" i="70"/>
  <c r="B1250" i="70"/>
  <c r="B1249" i="70"/>
  <c r="S254" i="43" l="1"/>
  <c r="S255" i="43"/>
  <c r="S256" i="43"/>
  <c r="S257" i="43"/>
  <c r="S258" i="43"/>
  <c r="S253" i="43"/>
  <c r="S236" i="43"/>
  <c r="S237" i="43"/>
  <c r="S238" i="43"/>
  <c r="S239" i="43"/>
  <c r="S240" i="43"/>
  <c r="S235" i="43"/>
  <c r="S218" i="43"/>
  <c r="S219" i="43"/>
  <c r="S220" i="43"/>
  <c r="S221" i="43"/>
  <c r="S222" i="43"/>
  <c r="S217" i="43"/>
  <c r="S199" i="43"/>
  <c r="S200" i="43"/>
  <c r="S201" i="43"/>
  <c r="S202" i="43"/>
  <c r="S203" i="43"/>
  <c r="S204" i="43"/>
  <c r="K252" i="43"/>
  <c r="K234" i="43"/>
  <c r="K216" i="43"/>
  <c r="K198" i="43"/>
  <c r="V261" i="43"/>
  <c r="P258" i="43"/>
  <c r="P257" i="43"/>
  <c r="P256" i="43"/>
  <c r="T254" i="43"/>
  <c r="T255" i="43" s="1"/>
  <c r="T256" i="43" s="1"/>
  <c r="T257" i="43" s="1"/>
  <c r="T258" i="43" s="1"/>
  <c r="T259" i="43" s="1"/>
  <c r="P255" i="43"/>
  <c r="P254" i="43"/>
  <c r="S252" i="43"/>
  <c r="V243" i="43"/>
  <c r="P240" i="43"/>
  <c r="P239" i="43"/>
  <c r="P238" i="43"/>
  <c r="T236" i="43"/>
  <c r="T237" i="43" s="1"/>
  <c r="T238" i="43" s="1"/>
  <c r="T239" i="43" s="1"/>
  <c r="T240" i="43" s="1"/>
  <c r="T241" i="43" s="1"/>
  <c r="P237" i="43"/>
  <c r="P236" i="43"/>
  <c r="S234" i="43"/>
  <c r="V225" i="43"/>
  <c r="P222" i="43"/>
  <c r="P221" i="43"/>
  <c r="P220" i="43"/>
  <c r="T218" i="43"/>
  <c r="T219" i="43" s="1"/>
  <c r="T220" i="43" s="1"/>
  <c r="T221" i="43" s="1"/>
  <c r="T222" i="43" s="1"/>
  <c r="T223" i="43" s="1"/>
  <c r="P219" i="43"/>
  <c r="P218" i="43"/>
  <c r="S216" i="43"/>
  <c r="V207" i="43"/>
  <c r="P204" i="43"/>
  <c r="P203" i="43"/>
  <c r="P202" i="43"/>
  <c r="T200" i="43"/>
  <c r="T201" i="43" s="1"/>
  <c r="T202" i="43" s="1"/>
  <c r="T203" i="43" s="1"/>
  <c r="T204" i="43" s="1"/>
  <c r="T205" i="43" s="1"/>
  <c r="P201" i="43"/>
  <c r="P200" i="43"/>
  <c r="S198" i="43"/>
  <c r="S182" i="43"/>
  <c r="S183" i="43"/>
  <c r="S184" i="43"/>
  <c r="S185" i="43"/>
  <c r="S186" i="43"/>
  <c r="W186" i="43" s="1"/>
  <c r="S181" i="43"/>
  <c r="K180" i="43"/>
  <c r="S180" i="43"/>
  <c r="T182" i="43"/>
  <c r="T183" i="43" s="1"/>
  <c r="T184" i="43" s="1"/>
  <c r="T185" i="43" s="1"/>
  <c r="T186" i="43" s="1"/>
  <c r="T187" i="43" s="1"/>
  <c r="P187" i="43"/>
  <c r="P186" i="43"/>
  <c r="P185" i="43"/>
  <c r="P184" i="43"/>
  <c r="P183" i="43"/>
  <c r="P182" i="43"/>
  <c r="P205" i="43" l="1"/>
  <c r="W204" i="43"/>
  <c r="P223" i="43"/>
  <c r="W222" i="43"/>
  <c r="P241" i="43"/>
  <c r="W240" i="43"/>
  <c r="P259" i="43"/>
  <c r="W258" i="43"/>
  <c r="A60" i="98" l="1"/>
  <c r="A54" i="98"/>
  <c r="A55" i="98"/>
  <c r="A56" i="98"/>
  <c r="A57" i="98"/>
  <c r="A58" i="98"/>
  <c r="A59" i="98"/>
  <c r="A53" i="98"/>
  <c r="A62" i="98"/>
  <c r="B62" i="98" s="1"/>
  <c r="K118" i="64" l="1"/>
  <c r="L118" i="64"/>
  <c r="O12" i="98" l="1"/>
  <c r="O47" i="98" s="1"/>
  <c r="N12" i="98"/>
  <c r="N47" i="98" s="1"/>
  <c r="M12" i="98"/>
  <c r="M47" i="98" s="1"/>
  <c r="L12" i="98"/>
  <c r="L47" i="98" s="1"/>
  <c r="K12" i="98"/>
  <c r="K47" i="98" s="1"/>
  <c r="J12" i="98"/>
  <c r="J47" i="98" s="1"/>
  <c r="I12" i="98"/>
  <c r="I47" i="98" s="1"/>
  <c r="H12" i="98"/>
  <c r="H47" i="98" s="1"/>
  <c r="G12" i="98"/>
  <c r="G47" i="98" s="1"/>
  <c r="F12" i="98"/>
  <c r="F47" i="98" s="1"/>
  <c r="F46" i="98" s="1"/>
  <c r="Y5" i="98"/>
  <c r="J37" i="48" s="1"/>
  <c r="X5" i="98"/>
  <c r="I37" i="48" s="1"/>
  <c r="P19" i="48" s="1"/>
  <c r="W5" i="98"/>
  <c r="H37" i="48" s="1"/>
  <c r="O19" i="48" s="1"/>
  <c r="V5" i="98"/>
  <c r="G37" i="48" s="1"/>
  <c r="N19" i="48" s="1"/>
  <c r="U5" i="98"/>
  <c r="F37" i="48" s="1"/>
  <c r="T5" i="98"/>
  <c r="E37" i="48" s="1"/>
  <c r="L19" i="48" s="1"/>
  <c r="S5" i="98"/>
  <c r="D37" i="48" s="1"/>
  <c r="K19" i="48" s="1"/>
  <c r="R5" i="98"/>
  <c r="C37" i="48" s="1"/>
  <c r="J19" i="48" s="1"/>
  <c r="Q5" i="98"/>
  <c r="B37" i="48" s="1"/>
  <c r="I19" i="48" s="1"/>
  <c r="P5" i="98"/>
  <c r="A37" i="48" s="1"/>
  <c r="H19" i="48" s="1"/>
  <c r="G46" i="98" l="1"/>
  <c r="H46" i="98" s="1"/>
  <c r="I46" i="98" s="1"/>
  <c r="J46" i="98" s="1"/>
  <c r="K46" i="98" s="1"/>
  <c r="L46" i="98" s="1"/>
  <c r="M46" i="98" s="1"/>
  <c r="N46" i="98" s="1"/>
  <c r="O46" i="98" s="1"/>
  <c r="H182" i="43"/>
  <c r="H183" i="43"/>
  <c r="H184" i="43"/>
  <c r="H185" i="43"/>
  <c r="H186" i="43"/>
  <c r="H181" i="43"/>
  <c r="J196" i="66"/>
  <c r="I195" i="66"/>
  <c r="K195" i="66"/>
  <c r="M194" i="66"/>
  <c r="K194" i="66"/>
  <c r="I194" i="66"/>
  <c r="C9" i="70" l="1"/>
  <c r="F1227" i="70" l="1"/>
  <c r="F1228" i="70"/>
  <c r="T85" i="52" l="1"/>
  <c r="T84" i="52"/>
  <c r="P86" i="52"/>
  <c r="P85" i="52"/>
  <c r="P84" i="52"/>
  <c r="D855" i="70"/>
  <c r="B675" i="27"/>
  <c r="D675" i="27"/>
  <c r="E675" i="27"/>
  <c r="V675" i="27"/>
  <c r="X675" i="27" s="1"/>
  <c r="B676" i="27"/>
  <c r="D676" i="27"/>
  <c r="E676" i="27"/>
  <c r="V676" i="27"/>
  <c r="Y676" i="27" s="1"/>
  <c r="B677" i="27"/>
  <c r="D677" i="27"/>
  <c r="E677" i="27"/>
  <c r="V677" i="27"/>
  <c r="X677" i="27" s="1"/>
  <c r="B678" i="27"/>
  <c r="D678" i="27"/>
  <c r="E678" i="27"/>
  <c r="V678" i="27"/>
  <c r="Y678" i="27" s="1"/>
  <c r="B679" i="27"/>
  <c r="D679" i="27"/>
  <c r="E679" i="27"/>
  <c r="V679" i="27"/>
  <c r="X679" i="27" s="1"/>
  <c r="B660" i="27"/>
  <c r="D660" i="27"/>
  <c r="E660" i="27"/>
  <c r="V660" i="27"/>
  <c r="X660" i="27" s="1"/>
  <c r="B661" i="27"/>
  <c r="D661" i="27"/>
  <c r="E661" i="27"/>
  <c r="V661" i="27"/>
  <c r="X661" i="27" s="1"/>
  <c r="B662" i="27"/>
  <c r="D662" i="27"/>
  <c r="E662" i="27"/>
  <c r="V662" i="27"/>
  <c r="X662" i="27" s="1"/>
  <c r="B663" i="27"/>
  <c r="D663" i="27"/>
  <c r="E663" i="27"/>
  <c r="V663" i="27"/>
  <c r="X663" i="27" s="1"/>
  <c r="B664" i="27"/>
  <c r="D664" i="27"/>
  <c r="E664" i="27"/>
  <c r="V664" i="27"/>
  <c r="X664" i="27" s="1"/>
  <c r="B622" i="27"/>
  <c r="D622" i="27"/>
  <c r="E622" i="27"/>
  <c r="V622" i="27"/>
  <c r="X622" i="27" s="1"/>
  <c r="B623" i="27"/>
  <c r="D623" i="27"/>
  <c r="E623" i="27"/>
  <c r="V623" i="27"/>
  <c r="X623" i="27" s="1"/>
  <c r="Y623" i="27"/>
  <c r="B624" i="27"/>
  <c r="D624" i="27"/>
  <c r="E624" i="27"/>
  <c r="V624" i="27"/>
  <c r="X624" i="27" s="1"/>
  <c r="B625" i="27"/>
  <c r="D625" i="27"/>
  <c r="E625" i="27"/>
  <c r="V625" i="27"/>
  <c r="X625" i="27" s="1"/>
  <c r="B626" i="27"/>
  <c r="D626" i="27"/>
  <c r="E626" i="27"/>
  <c r="V626" i="27"/>
  <c r="X626" i="27" s="1"/>
  <c r="C364" i="27"/>
  <c r="J364" i="27"/>
  <c r="V364" i="27"/>
  <c r="X364" i="27" s="1"/>
  <c r="C365" i="27"/>
  <c r="J365" i="27"/>
  <c r="V365" i="27"/>
  <c r="X365" i="27" s="1"/>
  <c r="C366" i="27"/>
  <c r="J366" i="27"/>
  <c r="V366" i="27"/>
  <c r="X366" i="27" s="1"/>
  <c r="C367" i="27"/>
  <c r="J367" i="27"/>
  <c r="V367" i="27"/>
  <c r="X367" i="27" s="1"/>
  <c r="C368" i="27"/>
  <c r="J368" i="27"/>
  <c r="V368" i="27"/>
  <c r="X368" i="27" s="1"/>
  <c r="C326" i="27"/>
  <c r="J326" i="27"/>
  <c r="V326" i="27"/>
  <c r="X326" i="27" s="1"/>
  <c r="C327" i="27"/>
  <c r="J327" i="27"/>
  <c r="V327" i="27"/>
  <c r="X327" i="27" s="1"/>
  <c r="C328" i="27"/>
  <c r="J328" i="27"/>
  <c r="V328" i="27"/>
  <c r="X328" i="27" s="1"/>
  <c r="C329" i="27"/>
  <c r="J329" i="27"/>
  <c r="V329" i="27"/>
  <c r="Y329" i="27" s="1"/>
  <c r="C330" i="27"/>
  <c r="J330" i="27"/>
  <c r="V330" i="27"/>
  <c r="X330" i="27" s="1"/>
  <c r="C288" i="27"/>
  <c r="J288" i="27"/>
  <c r="V288" i="27"/>
  <c r="Y288" i="27" s="1"/>
  <c r="X288" i="27"/>
  <c r="C289" i="27"/>
  <c r="J289" i="27"/>
  <c r="V289" i="27"/>
  <c r="X289" i="27" s="1"/>
  <c r="C290" i="27"/>
  <c r="J290" i="27"/>
  <c r="V290" i="27"/>
  <c r="X290" i="27" s="1"/>
  <c r="C291" i="27"/>
  <c r="J291" i="27"/>
  <c r="V291" i="27"/>
  <c r="X291" i="27" s="1"/>
  <c r="C292" i="27"/>
  <c r="J292" i="27"/>
  <c r="V292" i="27"/>
  <c r="X292" i="27" s="1"/>
  <c r="V34" i="27"/>
  <c r="X34" i="27" s="1"/>
  <c r="V35" i="27"/>
  <c r="Y35" i="27" s="1"/>
  <c r="V36" i="27"/>
  <c r="X36" i="27" s="1"/>
  <c r="V37" i="27"/>
  <c r="X37" i="27" s="1"/>
  <c r="V38" i="27"/>
  <c r="X38" i="27" s="1"/>
  <c r="K354" i="70"/>
  <c r="J354" i="70"/>
  <c r="E140" i="61"/>
  <c r="E138" i="61"/>
  <c r="E136" i="61"/>
  <c r="E134" i="61"/>
  <c r="E132" i="61"/>
  <c r="U42" i="2"/>
  <c r="E42" i="2" s="1"/>
  <c r="AO41" i="2"/>
  <c r="AM41" i="2"/>
  <c r="M41" i="2"/>
  <c r="K41" i="2"/>
  <c r="J41" i="2"/>
  <c r="I41" i="2"/>
  <c r="G41" i="2"/>
  <c r="F41" i="2"/>
  <c r="E41" i="2"/>
  <c r="K348" i="70"/>
  <c r="J348" i="70"/>
  <c r="K342" i="70"/>
  <c r="J342" i="70"/>
  <c r="K339" i="70"/>
  <c r="J339" i="70"/>
  <c r="K345" i="70"/>
  <c r="J345" i="70"/>
  <c r="K336" i="70"/>
  <c r="J336" i="70"/>
  <c r="Y624" i="27" l="1"/>
  <c r="Y365" i="27"/>
  <c r="Y622" i="27"/>
  <c r="X329" i="27"/>
  <c r="Y679" i="27"/>
  <c r="Y677" i="27"/>
  <c r="K42" i="2"/>
  <c r="I42" i="2"/>
  <c r="G42" i="2"/>
  <c r="J42" i="2"/>
  <c r="V42" i="2" s="1"/>
  <c r="W42" i="2" s="1"/>
  <c r="AO42" i="2"/>
  <c r="AM42" i="2"/>
  <c r="AQ42" i="2" s="1"/>
  <c r="M42" i="2"/>
  <c r="Y328" i="27"/>
  <c r="Y625" i="27"/>
  <c r="Y36" i="27"/>
  <c r="Y290" i="27"/>
  <c r="Y662" i="27"/>
  <c r="Y38" i="27"/>
  <c r="X35" i="27"/>
  <c r="X676" i="27"/>
  <c r="Y366" i="27"/>
  <c r="Y663" i="27"/>
  <c r="Y330" i="27"/>
  <c r="Y664" i="27"/>
  <c r="X678" i="27"/>
  <c r="F42" i="2"/>
  <c r="C42" i="2" s="1"/>
  <c r="B42" i="2" s="1"/>
  <c r="U43" i="2"/>
  <c r="N43" i="2" s="1"/>
  <c r="Y37" i="27"/>
  <c r="Y326" i="27"/>
  <c r="Y368" i="27"/>
  <c r="Y291" i="27"/>
  <c r="Y364" i="27"/>
  <c r="Y660" i="27"/>
  <c r="D856" i="70"/>
  <c r="Y626" i="27"/>
  <c r="Y661" i="27"/>
  <c r="Y675" i="27"/>
  <c r="Y292" i="27"/>
  <c r="Y327" i="27"/>
  <c r="Y34" i="27"/>
  <c r="Y289" i="27"/>
  <c r="Y367" i="27"/>
  <c r="L336" i="70"/>
  <c r="P42" i="2" s="1"/>
  <c r="N42" i="2"/>
  <c r="M336" i="70"/>
  <c r="Q42" i="2" s="1"/>
  <c r="O42" i="2"/>
  <c r="L345" i="70"/>
  <c r="M345" i="70"/>
  <c r="L339" i="70"/>
  <c r="M339" i="70"/>
  <c r="L342" i="70"/>
  <c r="M342" i="70"/>
  <c r="L348" i="70"/>
  <c r="M348" i="70"/>
  <c r="S6" i="93"/>
  <c r="P6" i="93"/>
  <c r="O6" i="93"/>
  <c r="M6" i="93"/>
  <c r="L6" i="93"/>
  <c r="N6" i="93" s="1"/>
  <c r="K6" i="93"/>
  <c r="T6" i="93"/>
  <c r="R6" i="93"/>
  <c r="Q6" i="93"/>
  <c r="L1135" i="70"/>
  <c r="L1136" i="70" s="1"/>
  <c r="L1137" i="70" s="1"/>
  <c r="L1138" i="70" s="1"/>
  <c r="L1139" i="70" s="1"/>
  <c r="L1140" i="70" s="1"/>
  <c r="L1141" i="70" s="1"/>
  <c r="L1142" i="70" s="1"/>
  <c r="L1143" i="70" s="1"/>
  <c r="AT224" i="66"/>
  <c r="AT223" i="66"/>
  <c r="AT212" i="66"/>
  <c r="AS212" i="66"/>
  <c r="AS213" i="66" s="1"/>
  <c r="AS214" i="66" s="1"/>
  <c r="AS215" i="66" s="1"/>
  <c r="AS216" i="66" s="1"/>
  <c r="AS217" i="66" s="1"/>
  <c r="AS218" i="66" s="1"/>
  <c r="AS219" i="66" s="1"/>
  <c r="AS220" i="66" s="1"/>
  <c r="AS221" i="66" s="1"/>
  <c r="AS222" i="66" s="1"/>
  <c r="AS223" i="66" s="1"/>
  <c r="AS224" i="66" s="1"/>
  <c r="AT211" i="66"/>
  <c r="AT210" i="66"/>
  <c r="AT209" i="66"/>
  <c r="AT208" i="66"/>
  <c r="AS208" i="66"/>
  <c r="AS209" i="66" s="1"/>
  <c r="AS210" i="66" s="1"/>
  <c r="AS211" i="66" s="1"/>
  <c r="AT207" i="66"/>
  <c r="AT206" i="66"/>
  <c r="AS206" i="66"/>
  <c r="AS207" i="66" s="1"/>
  <c r="AT205" i="66"/>
  <c r="AT204" i="66"/>
  <c r="AS204" i="66"/>
  <c r="AS205" i="66" s="1"/>
  <c r="AT203" i="66"/>
  <c r="AT202" i="66"/>
  <c r="AS202" i="66"/>
  <c r="AS203" i="66" s="1"/>
  <c r="AT201" i="66"/>
  <c r="AS201" i="66"/>
  <c r="AS200" i="66"/>
  <c r="AT199" i="66"/>
  <c r="AT198" i="66"/>
  <c r="AS198" i="66"/>
  <c r="AS199" i="66" s="1"/>
  <c r="AT197" i="66"/>
  <c r="AS197" i="66"/>
  <c r="AT196" i="66"/>
  <c r="AS196" i="66"/>
  <c r="AT195" i="66"/>
  <c r="AS195" i="66"/>
  <c r="AT194" i="66"/>
  <c r="AS194" i="66"/>
  <c r="AS193" i="66"/>
  <c r="AT192" i="66"/>
  <c r="AT191" i="66"/>
  <c r="AT190" i="66"/>
  <c r="AT189" i="66"/>
  <c r="AT188" i="66"/>
  <c r="AT187" i="66"/>
  <c r="AT186" i="66"/>
  <c r="AS185" i="66"/>
  <c r="AS186" i="66" s="1"/>
  <c r="AS187" i="66" s="1"/>
  <c r="AS188" i="66" s="1"/>
  <c r="AS189" i="66" s="1"/>
  <c r="AS190" i="66" s="1"/>
  <c r="AS191" i="66" s="1"/>
  <c r="AS192" i="66" s="1"/>
  <c r="AS184" i="66"/>
  <c r="AT183" i="66"/>
  <c r="AS182" i="66"/>
  <c r="AS183" i="66" s="1"/>
  <c r="AT181" i="66"/>
  <c r="AT170" i="66"/>
  <c r="AT169" i="66"/>
  <c r="AT163" i="66"/>
  <c r="AT162" i="66"/>
  <c r="AT161" i="66"/>
  <c r="AS161" i="66"/>
  <c r="AS162" i="66" s="1"/>
  <c r="AS163" i="66" s="1"/>
  <c r="AS164" i="66" s="1"/>
  <c r="AS165" i="66" s="1"/>
  <c r="AS166" i="66" s="1"/>
  <c r="AS167" i="66" s="1"/>
  <c r="AS168" i="66" s="1"/>
  <c r="AS169" i="66" s="1"/>
  <c r="AS170" i="66" s="1"/>
  <c r="AS171" i="66" s="1"/>
  <c r="AS172" i="66" s="1"/>
  <c r="AS173" i="66" s="1"/>
  <c r="AS174" i="66" s="1"/>
  <c r="AS175" i="66" s="1"/>
  <c r="AS176" i="66" s="1"/>
  <c r="AS177" i="66" s="1"/>
  <c r="AS178" i="66" s="1"/>
  <c r="AS179" i="66" s="1"/>
  <c r="AS180" i="66" s="1"/>
  <c r="AS181" i="66" s="1"/>
  <c r="AT160" i="66"/>
  <c r="AT89" i="66"/>
  <c r="AS89" i="66"/>
  <c r="AS90" i="66" s="1"/>
  <c r="AS91" i="66" s="1"/>
  <c r="AS92" i="66" s="1"/>
  <c r="AS93" i="66" s="1"/>
  <c r="AS94" i="66" s="1"/>
  <c r="AS95" i="66" s="1"/>
  <c r="AS96" i="66" s="1"/>
  <c r="AS97" i="66" s="1"/>
  <c r="AS98" i="66" s="1"/>
  <c r="AS99" i="66" s="1"/>
  <c r="AS100" i="66" s="1"/>
  <c r="AS101" i="66" s="1"/>
  <c r="AS102" i="66" s="1"/>
  <c r="AS103" i="66" s="1"/>
  <c r="AS104" i="66" s="1"/>
  <c r="AS105" i="66" s="1"/>
  <c r="AS106" i="66" s="1"/>
  <c r="AS107" i="66" s="1"/>
  <c r="AS108" i="66" s="1"/>
  <c r="AS109" i="66" s="1"/>
  <c r="AS110" i="66" s="1"/>
  <c r="AS111" i="66" s="1"/>
  <c r="AS112" i="66" s="1"/>
  <c r="AS113" i="66" s="1"/>
  <c r="AS114" i="66" s="1"/>
  <c r="AS115" i="66" s="1"/>
  <c r="AS116" i="66" s="1"/>
  <c r="AS117" i="66" s="1"/>
  <c r="AS118" i="66" s="1"/>
  <c r="AS119" i="66" s="1"/>
  <c r="AS120" i="66" s="1"/>
  <c r="AS121" i="66" s="1"/>
  <c r="AS122" i="66" s="1"/>
  <c r="AS123" i="66" s="1"/>
  <c r="AS124" i="66" s="1"/>
  <c r="AS125" i="66" s="1"/>
  <c r="AS126" i="66" s="1"/>
  <c r="AS127" i="66" s="1"/>
  <c r="AS128" i="66" s="1"/>
  <c r="AS129" i="66" s="1"/>
  <c r="AS130" i="66" s="1"/>
  <c r="AS131" i="66" s="1"/>
  <c r="AS132" i="66" s="1"/>
  <c r="AS133" i="66" s="1"/>
  <c r="AS134" i="66" s="1"/>
  <c r="AS135" i="66" s="1"/>
  <c r="AS136" i="66" s="1"/>
  <c r="AS137" i="66" s="1"/>
  <c r="AS138" i="66" s="1"/>
  <c r="AS139" i="66" s="1"/>
  <c r="AS140" i="66" s="1"/>
  <c r="AS141" i="66" s="1"/>
  <c r="AS142" i="66" s="1"/>
  <c r="AS143" i="66" s="1"/>
  <c r="AS144" i="66" s="1"/>
  <c r="AS145" i="66" s="1"/>
  <c r="AS146" i="66" s="1"/>
  <c r="AS147" i="66" s="1"/>
  <c r="AS148" i="66" s="1"/>
  <c r="AS149" i="66" s="1"/>
  <c r="AS150" i="66" s="1"/>
  <c r="AS151" i="66" s="1"/>
  <c r="AS152" i="66" s="1"/>
  <c r="AS153" i="66" s="1"/>
  <c r="AS154" i="66" s="1"/>
  <c r="AS155" i="66" s="1"/>
  <c r="AS156" i="66" s="1"/>
  <c r="AS157" i="66" s="1"/>
  <c r="AS158" i="66" s="1"/>
  <c r="AS159" i="66" s="1"/>
  <c r="AS160" i="66" s="1"/>
  <c r="AT88" i="66"/>
  <c r="AT57" i="66"/>
  <c r="AS57" i="66"/>
  <c r="AS58" i="66" s="1"/>
  <c r="AS59" i="66" s="1"/>
  <c r="AS60" i="66" s="1"/>
  <c r="AS61" i="66" s="1"/>
  <c r="AS62" i="66" s="1"/>
  <c r="AS63" i="66" s="1"/>
  <c r="AS64" i="66" s="1"/>
  <c r="AS65" i="66" s="1"/>
  <c r="AS66" i="66" s="1"/>
  <c r="AS67" i="66" s="1"/>
  <c r="AS68" i="66" s="1"/>
  <c r="AS69" i="66" s="1"/>
  <c r="AS70" i="66" s="1"/>
  <c r="AS71" i="66" s="1"/>
  <c r="AS72" i="66" s="1"/>
  <c r="AS73" i="66" s="1"/>
  <c r="AS74" i="66" s="1"/>
  <c r="AS75" i="66" s="1"/>
  <c r="AS76" i="66" s="1"/>
  <c r="AS77" i="66" s="1"/>
  <c r="AS78" i="66" s="1"/>
  <c r="AS79" i="66" s="1"/>
  <c r="AS80" i="66" s="1"/>
  <c r="AS81" i="66" s="1"/>
  <c r="AS82" i="66" s="1"/>
  <c r="AS83" i="66" s="1"/>
  <c r="AS84" i="66" s="1"/>
  <c r="AS85" i="66" s="1"/>
  <c r="AS86" i="66" s="1"/>
  <c r="AS87" i="66" s="1"/>
  <c r="AS88" i="66" s="1"/>
  <c r="AT56" i="66"/>
  <c r="AT22" i="66"/>
  <c r="AT21" i="66"/>
  <c r="AS21" i="66"/>
  <c r="AS22" i="66" s="1"/>
  <c r="AS23" i="66" s="1"/>
  <c r="AS24" i="66" s="1"/>
  <c r="AS25" i="66" s="1"/>
  <c r="AS26" i="66" s="1"/>
  <c r="AS27" i="66" s="1"/>
  <c r="AS28" i="66" s="1"/>
  <c r="AS29" i="66" s="1"/>
  <c r="AS30" i="66" s="1"/>
  <c r="AS31" i="66" s="1"/>
  <c r="AS32" i="66" s="1"/>
  <c r="AS33" i="66" s="1"/>
  <c r="AS34" i="66" s="1"/>
  <c r="AS35" i="66" s="1"/>
  <c r="AS36" i="66" s="1"/>
  <c r="AS37" i="66" s="1"/>
  <c r="AS38" i="66" s="1"/>
  <c r="AS39" i="66" s="1"/>
  <c r="AS40" i="66" s="1"/>
  <c r="AS41" i="66" s="1"/>
  <c r="AS42" i="66" s="1"/>
  <c r="AS43" i="66" s="1"/>
  <c r="AS44" i="66" s="1"/>
  <c r="AS45" i="66" s="1"/>
  <c r="AS46" i="66" s="1"/>
  <c r="AS47" i="66" s="1"/>
  <c r="AS48" i="66" s="1"/>
  <c r="AS49" i="66" s="1"/>
  <c r="AS50" i="66" s="1"/>
  <c r="AS51" i="66" s="1"/>
  <c r="AS52" i="66" s="1"/>
  <c r="AS53" i="66" s="1"/>
  <c r="AS54" i="66" s="1"/>
  <c r="AS55" i="66" s="1"/>
  <c r="AS56" i="66" s="1"/>
  <c r="AT20" i="66"/>
  <c r="AS8" i="66"/>
  <c r="AS9" i="66" s="1"/>
  <c r="AS10" i="66" s="1"/>
  <c r="AS11" i="66" s="1"/>
  <c r="AS12" i="66" s="1"/>
  <c r="AS13" i="66" s="1"/>
  <c r="AS14" i="66" s="1"/>
  <c r="AS15" i="66" s="1"/>
  <c r="AS16" i="66" s="1"/>
  <c r="AS17" i="66" s="1"/>
  <c r="AS18" i="66" s="1"/>
  <c r="AS19" i="66" s="1"/>
  <c r="AS20" i="66" s="1"/>
  <c r="AS1" i="66"/>
  <c r="AT152" i="4"/>
  <c r="AT99" i="4"/>
  <c r="AT88" i="4"/>
  <c r="AT87" i="4"/>
  <c r="AT86" i="4"/>
  <c r="AT84" i="4"/>
  <c r="AT83" i="4"/>
  <c r="AT81" i="4"/>
  <c r="AT80" i="4"/>
  <c r="AT78" i="4"/>
  <c r="AT77" i="4"/>
  <c r="AT75" i="4"/>
  <c r="AT74" i="4"/>
  <c r="AT72" i="4"/>
  <c r="AT71" i="4"/>
  <c r="AT69" i="4"/>
  <c r="AT68" i="4"/>
  <c r="AT67" i="4"/>
  <c r="AT65" i="4"/>
  <c r="AT64" i="4"/>
  <c r="AT62" i="4"/>
  <c r="AT61" i="4"/>
  <c r="AT59" i="4"/>
  <c r="AT58" i="4"/>
  <c r="AT56" i="4"/>
  <c r="AT55" i="4"/>
  <c r="AT53" i="4"/>
  <c r="AT52" i="4"/>
  <c r="AT50" i="4"/>
  <c r="AT49" i="4"/>
  <c r="AT47" i="4"/>
  <c r="AT46" i="4"/>
  <c r="AT44" i="4"/>
  <c r="AT43" i="4"/>
  <c r="AT41" i="4"/>
  <c r="AT40" i="4"/>
  <c r="AT38" i="4"/>
  <c r="AT37" i="4"/>
  <c r="AT35" i="4"/>
  <c r="AT34" i="4"/>
  <c r="AT32" i="4"/>
  <c r="AT31" i="4"/>
  <c r="AT29" i="4"/>
  <c r="AT28" i="4"/>
  <c r="AT26" i="4"/>
  <c r="AT25" i="4"/>
  <c r="AT23" i="4"/>
  <c r="AT22" i="4"/>
  <c r="AT20" i="4"/>
  <c r="AT19" i="4"/>
  <c r="AT17" i="4"/>
  <c r="AT16" i="4"/>
  <c r="AT14" i="4"/>
  <c r="AT13" i="4"/>
  <c r="AT11" i="4"/>
  <c r="AT10" i="4"/>
  <c r="AT702" i="27"/>
  <c r="AT700" i="27"/>
  <c r="AT699" i="27"/>
  <c r="AT698" i="27"/>
  <c r="AT697" i="27"/>
  <c r="AT696" i="27"/>
  <c r="AT695" i="27"/>
  <c r="AT589" i="27"/>
  <c r="AT588" i="27"/>
  <c r="AT563" i="27"/>
  <c r="AT562" i="27"/>
  <c r="AT495" i="27"/>
  <c r="AT494" i="27"/>
  <c r="AT493" i="27"/>
  <c r="AT492" i="27"/>
  <c r="AT470" i="27"/>
  <c r="AT469" i="27"/>
  <c r="AT259" i="27"/>
  <c r="AT258" i="27"/>
  <c r="AT197" i="27"/>
  <c r="AT77" i="27"/>
  <c r="AT76" i="27"/>
  <c r="AT45" i="27"/>
  <c r="AT44" i="27"/>
  <c r="AT703" i="27"/>
  <c r="AT193" i="61"/>
  <c r="AT192" i="61"/>
  <c r="AT191" i="61"/>
  <c r="AT190" i="61"/>
  <c r="AT189" i="61"/>
  <c r="AT188" i="61"/>
  <c r="AT187" i="61"/>
  <c r="AT186" i="61"/>
  <c r="AT185" i="61"/>
  <c r="AT184" i="61"/>
  <c r="AT183" i="61"/>
  <c r="AT182" i="61"/>
  <c r="AT181" i="61"/>
  <c r="AT180" i="61"/>
  <c r="AT179" i="61"/>
  <c r="AT178" i="61"/>
  <c r="AT177" i="61"/>
  <c r="AT176" i="61"/>
  <c r="AT175" i="61"/>
  <c r="AT174" i="61"/>
  <c r="AT173" i="61"/>
  <c r="AT172" i="61"/>
  <c r="AT171" i="61"/>
  <c r="AT170" i="61"/>
  <c r="AT169" i="61"/>
  <c r="AT168" i="61"/>
  <c r="AT167" i="61"/>
  <c r="AT166" i="61"/>
  <c r="AT165" i="61"/>
  <c r="AT164" i="61"/>
  <c r="AT163" i="61"/>
  <c r="AT162" i="61"/>
  <c r="AT161" i="61"/>
  <c r="AT160" i="61"/>
  <c r="AT159" i="61"/>
  <c r="AT158" i="61"/>
  <c r="AT157" i="61"/>
  <c r="AT156" i="61"/>
  <c r="AT155" i="61"/>
  <c r="AT153" i="61"/>
  <c r="AT151" i="61"/>
  <c r="AT149" i="61"/>
  <c r="AT147" i="61"/>
  <c r="AT145" i="61"/>
  <c r="AT143" i="61"/>
  <c r="AT131" i="61"/>
  <c r="AT129" i="61"/>
  <c r="AT127" i="61"/>
  <c r="AT125" i="61"/>
  <c r="AT123" i="61"/>
  <c r="AT121" i="61"/>
  <c r="AT119" i="61"/>
  <c r="AT117" i="61"/>
  <c r="AT115" i="61"/>
  <c r="AT109" i="61"/>
  <c r="AT103" i="61"/>
  <c r="AT97" i="61"/>
  <c r="AT91" i="61"/>
  <c r="AT85" i="61"/>
  <c r="AT79" i="61"/>
  <c r="AT73" i="61"/>
  <c r="AT67" i="61"/>
  <c r="AT61" i="61"/>
  <c r="AT55" i="61"/>
  <c r="AT49" i="61"/>
  <c r="AT43" i="61"/>
  <c r="AT37" i="61"/>
  <c r="AT31" i="61"/>
  <c r="AT25" i="61"/>
  <c r="AT19" i="61"/>
  <c r="AT13" i="61"/>
  <c r="AT241" i="71"/>
  <c r="AT240" i="71"/>
  <c r="AT239" i="71"/>
  <c r="AT238" i="71"/>
  <c r="AT237" i="71"/>
  <c r="AT236" i="71"/>
  <c r="AT235" i="71"/>
  <c r="AT234" i="71"/>
  <c r="AT233" i="71"/>
  <c r="AT232" i="71"/>
  <c r="AT231" i="71"/>
  <c r="AT230" i="71"/>
  <c r="AT229" i="71"/>
  <c r="AT228" i="71"/>
  <c r="AT227" i="71"/>
  <c r="AT226" i="71"/>
  <c r="AT225" i="71"/>
  <c r="AT224" i="71"/>
  <c r="AT223" i="71"/>
  <c r="AT222" i="71"/>
  <c r="AT221" i="71"/>
  <c r="AT220" i="71"/>
  <c r="AT219" i="71"/>
  <c r="AT218" i="71"/>
  <c r="AT217" i="71"/>
  <c r="AT216" i="71"/>
  <c r="AT215" i="71"/>
  <c r="AT214" i="71"/>
  <c r="AT213" i="71"/>
  <c r="AT212" i="71"/>
  <c r="AT211" i="71"/>
  <c r="AT210" i="71"/>
  <c r="AT209" i="71"/>
  <c r="AT208" i="71"/>
  <c r="AT207" i="71"/>
  <c r="AT206" i="71"/>
  <c r="AT205" i="71"/>
  <c r="AT204" i="71"/>
  <c r="AT203" i="71"/>
  <c r="AT202" i="71"/>
  <c r="AT201" i="71"/>
  <c r="AT200" i="71"/>
  <c r="AT199" i="71"/>
  <c r="AT198" i="71"/>
  <c r="AT197" i="71"/>
  <c r="AT196" i="71"/>
  <c r="AT195" i="71"/>
  <c r="AT194" i="71"/>
  <c r="AT193" i="71"/>
  <c r="AT192" i="71"/>
  <c r="AT191" i="71"/>
  <c r="AT190" i="71"/>
  <c r="AT189" i="71"/>
  <c r="AT188" i="71"/>
  <c r="AT187" i="71"/>
  <c r="AT177" i="71"/>
  <c r="AT167" i="71"/>
  <c r="AT157" i="71"/>
  <c r="AT147" i="71"/>
  <c r="AT137" i="71"/>
  <c r="AT127" i="71"/>
  <c r="AT117" i="71"/>
  <c r="AT107" i="71"/>
  <c r="AT97" i="71"/>
  <c r="AT87" i="71"/>
  <c r="AT77" i="71"/>
  <c r="AT67" i="71"/>
  <c r="AT57" i="71"/>
  <c r="AT47" i="71"/>
  <c r="AT37" i="71"/>
  <c r="AT27" i="71"/>
  <c r="AT17" i="71"/>
  <c r="AT290" i="60"/>
  <c r="AT289" i="60"/>
  <c r="AT288" i="60"/>
  <c r="AT287" i="60"/>
  <c r="AT286" i="60"/>
  <c r="AT285" i="60"/>
  <c r="AT284" i="60"/>
  <c r="AT283" i="60"/>
  <c r="AT282" i="60"/>
  <c r="AT281" i="60"/>
  <c r="AT280" i="60"/>
  <c r="AT279" i="60"/>
  <c r="AT278" i="60"/>
  <c r="AT277" i="60"/>
  <c r="AT276" i="60"/>
  <c r="AT275" i="60"/>
  <c r="AT274" i="60"/>
  <c r="AT273" i="60"/>
  <c r="AT272" i="60"/>
  <c r="AT271" i="60"/>
  <c r="AT270" i="60"/>
  <c r="AT269" i="60"/>
  <c r="AT268" i="60"/>
  <c r="AT267" i="60"/>
  <c r="AT266" i="60"/>
  <c r="AT265" i="60"/>
  <c r="AT264" i="60"/>
  <c r="AT263" i="60"/>
  <c r="AT261" i="60"/>
  <c r="AT260" i="60"/>
  <c r="AT259" i="60"/>
  <c r="AT258" i="60"/>
  <c r="AT250" i="60"/>
  <c r="AT242" i="60"/>
  <c r="AT234" i="60"/>
  <c r="AT219" i="60"/>
  <c r="AT204" i="60"/>
  <c r="AT189" i="60"/>
  <c r="AT174" i="60"/>
  <c r="AT159" i="60"/>
  <c r="AT144" i="60"/>
  <c r="AT129" i="60"/>
  <c r="AT114" i="60"/>
  <c r="AT99" i="60"/>
  <c r="AT84" i="60"/>
  <c r="AT69" i="60"/>
  <c r="AT54" i="60"/>
  <c r="AT39" i="60"/>
  <c r="AT24" i="60"/>
  <c r="AR42" i="2" l="1"/>
  <c r="AL42" i="2"/>
  <c r="S42" i="2"/>
  <c r="Q43" i="2"/>
  <c r="AC42" i="2"/>
  <c r="P43" i="2"/>
  <c r="K43" i="2"/>
  <c r="G43" i="2"/>
  <c r="I43" i="2"/>
  <c r="M43" i="2"/>
  <c r="AM43" i="2"/>
  <c r="AQ43" i="2" s="1"/>
  <c r="J43" i="2"/>
  <c r="E43" i="2"/>
  <c r="AO43" i="2"/>
  <c r="U44" i="2"/>
  <c r="Q44" i="2" s="1"/>
  <c r="F43" i="2"/>
  <c r="C43" i="2" s="1"/>
  <c r="B43" i="2" s="1"/>
  <c r="D857" i="70"/>
  <c r="O43" i="2"/>
  <c r="AD42" i="2"/>
  <c r="I93" i="70"/>
  <c r="I110" i="70"/>
  <c r="I127" i="70"/>
  <c r="I144" i="70"/>
  <c r="AL43" i="2" l="1"/>
  <c r="V43" i="2"/>
  <c r="S43" i="2"/>
  <c r="J44" i="2"/>
  <c r="G44" i="2"/>
  <c r="K44" i="2"/>
  <c r="F44" i="2"/>
  <c r="C44" i="2" s="1"/>
  <c r="B44" i="2" s="1"/>
  <c r="M44" i="2"/>
  <c r="AM44" i="2"/>
  <c r="AQ44" i="2" s="1"/>
  <c r="E44" i="2"/>
  <c r="AO44" i="2"/>
  <c r="U45" i="2"/>
  <c r="I44" i="2"/>
  <c r="N44" i="2"/>
  <c r="O44" i="2"/>
  <c r="P44" i="2"/>
  <c r="D858" i="70"/>
  <c r="B645" i="27"/>
  <c r="D645" i="27"/>
  <c r="E645" i="27"/>
  <c r="V645" i="27"/>
  <c r="Y645" i="27" s="1"/>
  <c r="B646" i="27"/>
  <c r="D646" i="27"/>
  <c r="E646" i="27"/>
  <c r="V646" i="27"/>
  <c r="X646" i="27" s="1"/>
  <c r="Y646" i="27"/>
  <c r="B647" i="27"/>
  <c r="D647" i="27"/>
  <c r="E647" i="27"/>
  <c r="V647" i="27"/>
  <c r="X647" i="27" s="1"/>
  <c r="B648" i="27"/>
  <c r="D648" i="27"/>
  <c r="E648" i="27"/>
  <c r="V648" i="27"/>
  <c r="Y648" i="27" s="1"/>
  <c r="B649" i="27"/>
  <c r="D649" i="27"/>
  <c r="E649" i="27"/>
  <c r="V649" i="27"/>
  <c r="X649" i="27" s="1"/>
  <c r="A1003" i="70"/>
  <c r="A1004" i="70" s="1"/>
  <c r="A1005" i="70" s="1"/>
  <c r="A1006" i="70" s="1"/>
  <c r="A1007" i="70" s="1"/>
  <c r="A1008" i="70" s="1"/>
  <c r="A1009" i="70" s="1"/>
  <c r="A1010" i="70" s="1"/>
  <c r="A1011" i="70" s="1"/>
  <c r="A1012" i="70" s="1"/>
  <c r="A1013" i="70" s="1"/>
  <c r="A1014" i="70" s="1"/>
  <c r="A1015" i="70" s="1"/>
  <c r="A1016" i="70" s="1"/>
  <c r="D723" i="70"/>
  <c r="D720" i="70"/>
  <c r="D738" i="70"/>
  <c r="D700" i="70"/>
  <c r="D685" i="70"/>
  <c r="D682" i="70"/>
  <c r="D662" i="70"/>
  <c r="D663" i="70" s="1"/>
  <c r="D664" i="70" s="1"/>
  <c r="D665" i="70" s="1"/>
  <c r="D647" i="70"/>
  <c r="D644" i="70"/>
  <c r="A1033" i="70"/>
  <c r="A1018" i="70"/>
  <c r="B632" i="27"/>
  <c r="D632" i="27"/>
  <c r="E632" i="27"/>
  <c r="V632" i="27"/>
  <c r="X632" i="27" s="1"/>
  <c r="B633" i="27"/>
  <c r="D633" i="27"/>
  <c r="E633" i="27"/>
  <c r="V633" i="27"/>
  <c r="X633" i="27" s="1"/>
  <c r="B634" i="27"/>
  <c r="D634" i="27"/>
  <c r="E634" i="27"/>
  <c r="V634" i="27"/>
  <c r="Y634" i="27" s="1"/>
  <c r="A1000" i="70"/>
  <c r="J506" i="27"/>
  <c r="V506" i="27"/>
  <c r="Y506" i="27" s="1"/>
  <c r="J507" i="27"/>
  <c r="V507" i="27"/>
  <c r="Y507" i="27" s="1"/>
  <c r="J508" i="27"/>
  <c r="V508" i="27"/>
  <c r="Y508" i="27" s="1"/>
  <c r="J509" i="27"/>
  <c r="V509" i="27"/>
  <c r="Y509" i="27" s="1"/>
  <c r="J510" i="27"/>
  <c r="V510" i="27"/>
  <c r="X510" i="27" s="1"/>
  <c r="J511" i="27"/>
  <c r="V511" i="27"/>
  <c r="X511" i="27" s="1"/>
  <c r="J512" i="27"/>
  <c r="V512" i="27"/>
  <c r="X512" i="27" s="1"/>
  <c r="J513" i="27"/>
  <c r="V513" i="27"/>
  <c r="X513" i="27" s="1"/>
  <c r="J514" i="27"/>
  <c r="V514" i="27"/>
  <c r="X514" i="27" s="1"/>
  <c r="J515" i="27"/>
  <c r="V515" i="27"/>
  <c r="Y515" i="27" s="1"/>
  <c r="D868" i="70"/>
  <c r="D869" i="70" s="1"/>
  <c r="D870" i="70" s="1"/>
  <c r="D871" i="70" s="1"/>
  <c r="D872" i="70" s="1"/>
  <c r="D873" i="70" s="1"/>
  <c r="D874" i="70" s="1"/>
  <c r="D875" i="70" s="1"/>
  <c r="D876" i="70" s="1"/>
  <c r="D877" i="70" s="1"/>
  <c r="D878" i="70" s="1"/>
  <c r="D879" i="70" s="1"/>
  <c r="D880" i="70" s="1"/>
  <c r="D881" i="70" s="1"/>
  <c r="D882" i="70" s="1"/>
  <c r="Y632" i="27" l="1"/>
  <c r="X506" i="27"/>
  <c r="Y649" i="27"/>
  <c r="Y514" i="27"/>
  <c r="Y512" i="27"/>
  <c r="Y510" i="27"/>
  <c r="X645" i="27"/>
  <c r="X515" i="27"/>
  <c r="Y511" i="27"/>
  <c r="X507" i="27"/>
  <c r="X509" i="27"/>
  <c r="X634" i="27"/>
  <c r="S44" i="2"/>
  <c r="I45" i="2"/>
  <c r="AO45" i="2"/>
  <c r="F45" i="2"/>
  <c r="C45" i="2" s="1"/>
  <c r="B45" i="2" s="1"/>
  <c r="J45" i="2"/>
  <c r="K45" i="2"/>
  <c r="U46" i="2"/>
  <c r="M45" i="2"/>
  <c r="AM45" i="2"/>
  <c r="AQ45" i="2" s="1"/>
  <c r="E45" i="2"/>
  <c r="G45" i="2"/>
  <c r="N45" i="2"/>
  <c r="O45" i="2"/>
  <c r="P45" i="2"/>
  <c r="Q45" i="2"/>
  <c r="AL44" i="2"/>
  <c r="V44" i="2"/>
  <c r="X508" i="27"/>
  <c r="AD43" i="2"/>
  <c r="W43" i="2"/>
  <c r="AC43" i="2" s="1"/>
  <c r="X648" i="27"/>
  <c r="Y633" i="27"/>
  <c r="Y647" i="27"/>
  <c r="Y513" i="27"/>
  <c r="D645" i="70"/>
  <c r="D648" i="70"/>
  <c r="D721" i="70"/>
  <c r="D724" i="70"/>
  <c r="D739" i="70"/>
  <c r="D701" i="70"/>
  <c r="D686" i="70"/>
  <c r="D683" i="70"/>
  <c r="A1001" i="70"/>
  <c r="A1019" i="70"/>
  <c r="A1034" i="70"/>
  <c r="AR43" i="2" l="1"/>
  <c r="G46" i="2"/>
  <c r="E46" i="2"/>
  <c r="AO46" i="2"/>
  <c r="I46" i="2"/>
  <c r="U47" i="2"/>
  <c r="J46" i="2"/>
  <c r="F46" i="2"/>
  <c r="C46" i="2" s="1"/>
  <c r="B46" i="2" s="1"/>
  <c r="K46" i="2"/>
  <c r="AM46" i="2"/>
  <c r="AQ46" i="2" s="1"/>
  <c r="M46" i="2"/>
  <c r="O46" i="2"/>
  <c r="N46" i="2"/>
  <c r="P46" i="2"/>
  <c r="Q46" i="2"/>
  <c r="AD44" i="2"/>
  <c r="W44" i="2"/>
  <c r="AC44" i="2" s="1"/>
  <c r="V45" i="2"/>
  <c r="AL45" i="2"/>
  <c r="S45" i="2"/>
  <c r="D649" i="70"/>
  <c r="D725" i="70"/>
  <c r="D740" i="70"/>
  <c r="D702" i="70"/>
  <c r="D687" i="70"/>
  <c r="A1035" i="70"/>
  <c r="A1020" i="70"/>
  <c r="AR44" i="2" l="1"/>
  <c r="U48" i="2"/>
  <c r="F47" i="2"/>
  <c r="C47" i="2" s="1"/>
  <c r="B47" i="2" s="1"/>
  <c r="AM47" i="2"/>
  <c r="AQ47" i="2" s="1"/>
  <c r="G47" i="2"/>
  <c r="I47" i="2"/>
  <c r="M47" i="2"/>
  <c r="E47" i="2"/>
  <c r="J47" i="2"/>
  <c r="K47" i="2"/>
  <c r="AO47" i="2"/>
  <c r="S46" i="2"/>
  <c r="AL46" i="2"/>
  <c r="V46" i="2"/>
  <c r="W45" i="2"/>
  <c r="AC45" i="2" s="1"/>
  <c r="AD45" i="2"/>
  <c r="D650" i="70"/>
  <c r="D726" i="70"/>
  <c r="D741" i="70"/>
  <c r="D703" i="70"/>
  <c r="D688" i="70"/>
  <c r="A1021" i="70"/>
  <c r="A1036" i="70"/>
  <c r="AR45" i="2" l="1"/>
  <c r="W46" i="2"/>
  <c r="AC46" i="2" s="1"/>
  <c r="AD46" i="2"/>
  <c r="S47" i="2"/>
  <c r="V47" i="2"/>
  <c r="W47" i="2" s="1"/>
  <c r="AC47" i="2" s="1"/>
  <c r="AL47" i="2"/>
  <c r="E48" i="2"/>
  <c r="AM48" i="2"/>
  <c r="AQ48" i="2" s="1"/>
  <c r="M48" i="2"/>
  <c r="F48" i="2"/>
  <c r="C48" i="2" s="1"/>
  <c r="B48" i="2" s="1"/>
  <c r="AO48" i="2"/>
  <c r="G48" i="2"/>
  <c r="I48" i="2"/>
  <c r="J48" i="2"/>
  <c r="K48" i="2"/>
  <c r="O48" i="2"/>
  <c r="N48" i="2"/>
  <c r="D651" i="70"/>
  <c r="D727" i="70"/>
  <c r="D689" i="70"/>
  <c r="A1037" i="70"/>
  <c r="A1022" i="70"/>
  <c r="AR46" i="2" l="1"/>
  <c r="V48" i="2"/>
  <c r="AL48" i="2"/>
  <c r="D652" i="70"/>
  <c r="D728" i="70"/>
  <c r="D690" i="70"/>
  <c r="A1023" i="70"/>
  <c r="A1038" i="70"/>
  <c r="AD48" i="2" l="1"/>
  <c r="W48" i="2"/>
  <c r="AC48" i="2" s="1"/>
  <c r="D653" i="70"/>
  <c r="D729" i="70"/>
  <c r="D691" i="70"/>
  <c r="A1039" i="70"/>
  <c r="A1024" i="70"/>
  <c r="AR48" i="2" l="1"/>
  <c r="D654" i="70"/>
  <c r="D730" i="70"/>
  <c r="D692" i="70"/>
  <c r="A1025" i="70"/>
  <c r="A1040" i="70"/>
  <c r="D655" i="70" l="1"/>
  <c r="D656" i="70" s="1"/>
  <c r="D731" i="70"/>
  <c r="D732" i="70" s="1"/>
  <c r="D693" i="70"/>
  <c r="D694" i="70" s="1"/>
  <c r="A1041" i="70"/>
  <c r="A1042" i="70" s="1"/>
  <c r="A1043" i="70" s="1"/>
  <c r="A1044" i="70" s="1"/>
  <c r="A1045" i="70" s="1"/>
  <c r="A1046" i="70" s="1"/>
  <c r="A1026" i="70"/>
  <c r="A1027" i="70" s="1"/>
  <c r="A1028" i="70" l="1"/>
  <c r="D364" i="27"/>
  <c r="D733" i="70"/>
  <c r="D695" i="70"/>
  <c r="D326" i="27"/>
  <c r="D288" i="27"/>
  <c r="D657" i="70"/>
  <c r="D406" i="70"/>
  <c r="D391" i="70"/>
  <c r="A1161" i="70"/>
  <c r="B630" i="27"/>
  <c r="D630" i="27"/>
  <c r="E630" i="27"/>
  <c r="V630" i="27"/>
  <c r="Y630" i="27" s="1"/>
  <c r="B631" i="27"/>
  <c r="D631" i="27"/>
  <c r="E631" i="27"/>
  <c r="V631" i="27"/>
  <c r="X631" i="27" s="1"/>
  <c r="A995" i="70"/>
  <c r="A979" i="70"/>
  <c r="A965" i="70"/>
  <c r="J481" i="27"/>
  <c r="V481" i="27"/>
  <c r="X481" i="27" s="1"/>
  <c r="J482" i="27"/>
  <c r="V482" i="27"/>
  <c r="Y482" i="27" s="1"/>
  <c r="J483" i="27"/>
  <c r="V483" i="27"/>
  <c r="X483" i="27" s="1"/>
  <c r="J484" i="27"/>
  <c r="V484" i="27"/>
  <c r="Y484" i="27" s="1"/>
  <c r="J485" i="27"/>
  <c r="V485" i="27"/>
  <c r="X485" i="27" s="1"/>
  <c r="D839" i="70"/>
  <c r="C459" i="27"/>
  <c r="J459" i="27"/>
  <c r="V459" i="27"/>
  <c r="Y459" i="27" s="1"/>
  <c r="C460" i="27"/>
  <c r="J460" i="27"/>
  <c r="V460" i="27"/>
  <c r="Y460" i="27" s="1"/>
  <c r="C461" i="27"/>
  <c r="J461" i="27"/>
  <c r="V461" i="27"/>
  <c r="Y461" i="27" s="1"/>
  <c r="C462" i="27"/>
  <c r="J462" i="27"/>
  <c r="V462" i="27"/>
  <c r="X462" i="27" s="1"/>
  <c r="C463" i="27"/>
  <c r="J463" i="27"/>
  <c r="V463" i="27"/>
  <c r="Y463" i="27" s="1"/>
  <c r="D818" i="70"/>
  <c r="C444" i="27"/>
  <c r="J444" i="27"/>
  <c r="V444" i="27"/>
  <c r="X444" i="27" s="1"/>
  <c r="C445" i="27"/>
  <c r="J445" i="27"/>
  <c r="V445" i="27"/>
  <c r="Y445" i="27" s="1"/>
  <c r="C446" i="27"/>
  <c r="J446" i="27"/>
  <c r="V446" i="27"/>
  <c r="X446" i="27" s="1"/>
  <c r="C447" i="27"/>
  <c r="J447" i="27"/>
  <c r="V447" i="27"/>
  <c r="X447" i="27" s="1"/>
  <c r="C448" i="27"/>
  <c r="J448" i="27"/>
  <c r="V448" i="27"/>
  <c r="X448" i="27" s="1"/>
  <c r="D803" i="70"/>
  <c r="C429" i="27"/>
  <c r="J429" i="27"/>
  <c r="V429" i="27"/>
  <c r="Y429" i="27" s="1"/>
  <c r="C430" i="27"/>
  <c r="J430" i="27"/>
  <c r="V430" i="27"/>
  <c r="X430" i="27" s="1"/>
  <c r="C431" i="27"/>
  <c r="J431" i="27"/>
  <c r="V431" i="27"/>
  <c r="X431" i="27" s="1"/>
  <c r="C432" i="27"/>
  <c r="J432" i="27"/>
  <c r="V432" i="27"/>
  <c r="Y432" i="27" s="1"/>
  <c r="C433" i="27"/>
  <c r="J433" i="27"/>
  <c r="V433" i="27"/>
  <c r="Y433" i="27" s="1"/>
  <c r="D788" i="70"/>
  <c r="C414" i="27"/>
  <c r="J414" i="27"/>
  <c r="V414" i="27"/>
  <c r="X414" i="27" s="1"/>
  <c r="C415" i="27"/>
  <c r="J415" i="27"/>
  <c r="V415" i="27"/>
  <c r="X415" i="27" s="1"/>
  <c r="C416" i="27"/>
  <c r="J416" i="27"/>
  <c r="V416" i="27"/>
  <c r="X416" i="27" s="1"/>
  <c r="C417" i="27"/>
  <c r="J417" i="27"/>
  <c r="V417" i="27"/>
  <c r="X417" i="27" s="1"/>
  <c r="C418" i="27"/>
  <c r="J418" i="27"/>
  <c r="V418" i="27"/>
  <c r="Y418" i="27" s="1"/>
  <c r="D773" i="70"/>
  <c r="C399" i="27"/>
  <c r="J399" i="27"/>
  <c r="V399" i="27"/>
  <c r="X399" i="27" s="1"/>
  <c r="C400" i="27"/>
  <c r="J400" i="27"/>
  <c r="V400" i="27"/>
  <c r="Y400" i="27" s="1"/>
  <c r="C401" i="27"/>
  <c r="J401" i="27"/>
  <c r="V401" i="27"/>
  <c r="Y401" i="27" s="1"/>
  <c r="C402" i="27"/>
  <c r="J402" i="27"/>
  <c r="V402" i="27"/>
  <c r="Y402" i="27" s="1"/>
  <c r="C403" i="27"/>
  <c r="J403" i="27"/>
  <c r="V403" i="27"/>
  <c r="X403" i="27" s="1"/>
  <c r="Y403" i="27"/>
  <c r="D758" i="70"/>
  <c r="D390" i="27" s="1"/>
  <c r="C384" i="27"/>
  <c r="J384" i="27"/>
  <c r="V384" i="27"/>
  <c r="X384" i="27" s="1"/>
  <c r="C385" i="27"/>
  <c r="J385" i="27"/>
  <c r="V385" i="27"/>
  <c r="X385" i="27" s="1"/>
  <c r="C386" i="27"/>
  <c r="J386" i="27"/>
  <c r="V386" i="27"/>
  <c r="X386" i="27" s="1"/>
  <c r="C387" i="27"/>
  <c r="J387" i="27"/>
  <c r="V387" i="27"/>
  <c r="Y387" i="27" s="1"/>
  <c r="C388" i="27"/>
  <c r="J388" i="27"/>
  <c r="V388" i="27"/>
  <c r="Y388" i="27" s="1"/>
  <c r="C390" i="27"/>
  <c r="J390" i="27"/>
  <c r="V390" i="27"/>
  <c r="X390" i="27" s="1"/>
  <c r="C391" i="27"/>
  <c r="J391" i="27"/>
  <c r="V391" i="27"/>
  <c r="Y391" i="27" s="1"/>
  <c r="C392" i="27"/>
  <c r="J392" i="27"/>
  <c r="V392" i="27"/>
  <c r="Y392" i="27" s="1"/>
  <c r="X392" i="27"/>
  <c r="C393" i="27"/>
  <c r="J393" i="27"/>
  <c r="V393" i="27"/>
  <c r="X393" i="27" s="1"/>
  <c r="C275" i="27"/>
  <c r="D275" i="27"/>
  <c r="J275" i="27"/>
  <c r="V275" i="27"/>
  <c r="X275" i="27" s="1"/>
  <c r="C276" i="27"/>
  <c r="D276" i="27"/>
  <c r="J276" i="27"/>
  <c r="V276" i="27"/>
  <c r="X276" i="27" s="1"/>
  <c r="Y276" i="27"/>
  <c r="C277" i="27"/>
  <c r="D277" i="27"/>
  <c r="J277" i="27"/>
  <c r="V277" i="27"/>
  <c r="X277" i="27" s="1"/>
  <c r="D743" i="70"/>
  <c r="D744" i="70" s="1"/>
  <c r="D745" i="70" s="1"/>
  <c r="D746" i="70" s="1"/>
  <c r="D747" i="70" s="1"/>
  <c r="D748" i="70" s="1"/>
  <c r="D749" i="70" s="1"/>
  <c r="D750" i="70" s="1"/>
  <c r="D751" i="70" s="1"/>
  <c r="D752" i="70" s="1"/>
  <c r="C346" i="27"/>
  <c r="J346" i="27"/>
  <c r="V346" i="27"/>
  <c r="Y346" i="27" s="1"/>
  <c r="C347" i="27"/>
  <c r="J347" i="27"/>
  <c r="V347" i="27"/>
  <c r="Y347" i="27" s="1"/>
  <c r="C348" i="27"/>
  <c r="J348" i="27"/>
  <c r="V348" i="27"/>
  <c r="X348" i="27" s="1"/>
  <c r="C349" i="27"/>
  <c r="J349" i="27"/>
  <c r="V349" i="27"/>
  <c r="X349" i="27" s="1"/>
  <c r="C350" i="27"/>
  <c r="J350" i="27"/>
  <c r="V350" i="27"/>
  <c r="Y350" i="27" s="1"/>
  <c r="D704" i="70"/>
  <c r="C308" i="27"/>
  <c r="J308" i="27"/>
  <c r="V308" i="27"/>
  <c r="X308" i="27" s="1"/>
  <c r="C309" i="27"/>
  <c r="J309" i="27"/>
  <c r="V309" i="27"/>
  <c r="X309" i="27" s="1"/>
  <c r="C310" i="27"/>
  <c r="J310" i="27"/>
  <c r="V310" i="27"/>
  <c r="X310" i="27" s="1"/>
  <c r="C311" i="27"/>
  <c r="J311" i="27"/>
  <c r="V311" i="27"/>
  <c r="X311" i="27" s="1"/>
  <c r="C312" i="27"/>
  <c r="J312" i="27"/>
  <c r="V312" i="27"/>
  <c r="X312" i="27" s="1"/>
  <c r="D666" i="70"/>
  <c r="X387" i="27" l="1"/>
  <c r="X400" i="27"/>
  <c r="X459" i="27"/>
  <c r="Y393" i="27"/>
  <c r="Y390" i="27"/>
  <c r="X482" i="27"/>
  <c r="Y631" i="27"/>
  <c r="X402" i="27"/>
  <c r="Y399" i="27"/>
  <c r="X484" i="27"/>
  <c r="X388" i="27"/>
  <c r="Y414" i="27"/>
  <c r="X429" i="27"/>
  <c r="Y415" i="27"/>
  <c r="Y430" i="27"/>
  <c r="X445" i="27"/>
  <c r="Y481" i="27"/>
  <c r="Y384" i="27"/>
  <c r="X391" i="27"/>
  <c r="X401" i="27"/>
  <c r="X463" i="27"/>
  <c r="X418" i="27"/>
  <c r="X461" i="27"/>
  <c r="Y348" i="27"/>
  <c r="Y431" i="27"/>
  <c r="Y462" i="27"/>
  <c r="Y309" i="27"/>
  <c r="Y349" i="27"/>
  <c r="Y446" i="27"/>
  <c r="X346" i="27"/>
  <c r="X432" i="27"/>
  <c r="X460" i="27"/>
  <c r="Y310" i="27"/>
  <c r="X350" i="27"/>
  <c r="Y275" i="27"/>
  <c r="X347" i="27"/>
  <c r="X433" i="27"/>
  <c r="X630" i="27"/>
  <c r="Y311" i="27"/>
  <c r="Y277" i="27"/>
  <c r="Y385" i="27"/>
  <c r="Y416" i="27"/>
  <c r="Y447" i="27"/>
  <c r="Y485" i="27"/>
  <c r="Y312" i="27"/>
  <c r="Y308" i="27"/>
  <c r="Y386" i="27"/>
  <c r="Y417" i="27"/>
  <c r="Y448" i="27"/>
  <c r="Y444" i="27"/>
  <c r="Y483" i="27"/>
  <c r="A1029" i="70"/>
  <c r="D365" i="27"/>
  <c r="D734" i="70"/>
  <c r="D696" i="70"/>
  <c r="D327" i="27"/>
  <c r="D289" i="27"/>
  <c r="D658" i="70"/>
  <c r="A1162" i="70"/>
  <c r="D392" i="70"/>
  <c r="D407" i="70"/>
  <c r="D840" i="70"/>
  <c r="A966" i="70"/>
  <c r="A980" i="70"/>
  <c r="A996" i="70"/>
  <c r="D819" i="70"/>
  <c r="D804" i="70"/>
  <c r="D789" i="70"/>
  <c r="D774" i="70"/>
  <c r="D753" i="70"/>
  <c r="D384" i="27"/>
  <c r="D759" i="70"/>
  <c r="D705" i="70"/>
  <c r="D667" i="70"/>
  <c r="A1030" i="70" l="1"/>
  <c r="D366" i="27"/>
  <c r="D735" i="70"/>
  <c r="D697" i="70"/>
  <c r="D328" i="27"/>
  <c r="D290" i="27"/>
  <c r="D659" i="70"/>
  <c r="A997" i="70"/>
  <c r="D393" i="70"/>
  <c r="A1163" i="70"/>
  <c r="A981" i="70"/>
  <c r="A967" i="70"/>
  <c r="D841" i="70"/>
  <c r="D820" i="70"/>
  <c r="D805" i="70"/>
  <c r="D790" i="70"/>
  <c r="D775" i="70"/>
  <c r="D760" i="70"/>
  <c r="D391" i="27"/>
  <c r="D754" i="70"/>
  <c r="D385" i="27"/>
  <c r="D706" i="70"/>
  <c r="D668" i="70"/>
  <c r="A1031" i="70" l="1"/>
  <c r="D367" i="27"/>
  <c r="D736" i="70"/>
  <c r="D698" i="70"/>
  <c r="D329" i="27"/>
  <c r="D291" i="27"/>
  <c r="D660" i="70"/>
  <c r="A1164" i="70"/>
  <c r="D394" i="70"/>
  <c r="A998" i="70"/>
  <c r="D842" i="70"/>
  <c r="A968" i="70"/>
  <c r="A982" i="70"/>
  <c r="D821" i="70"/>
  <c r="D806" i="70"/>
  <c r="D791" i="70"/>
  <c r="D776" i="70"/>
  <c r="D755" i="70"/>
  <c r="D386" i="27"/>
  <c r="D761" i="70"/>
  <c r="D392" i="27"/>
  <c r="D707" i="70"/>
  <c r="D669" i="70"/>
  <c r="D368" i="27" l="1"/>
  <c r="D330" i="27"/>
  <c r="D292" i="27"/>
  <c r="D395" i="70"/>
  <c r="A1165" i="70"/>
  <c r="A983" i="70"/>
  <c r="A969" i="70"/>
  <c r="D843" i="70"/>
  <c r="D822" i="70"/>
  <c r="D807" i="70"/>
  <c r="D792" i="70"/>
  <c r="D777" i="70"/>
  <c r="D762" i="70"/>
  <c r="D393" i="27"/>
  <c r="D756" i="70"/>
  <c r="D388" i="27" s="1"/>
  <c r="D387" i="27"/>
  <c r="D708" i="70"/>
  <c r="D670" i="70"/>
  <c r="A1166" i="70" l="1"/>
  <c r="D396" i="70"/>
  <c r="D844" i="70"/>
  <c r="A970" i="70"/>
  <c r="A984" i="70"/>
  <c r="D823" i="70"/>
  <c r="D808" i="70"/>
  <c r="D793" i="70"/>
  <c r="D778" i="70"/>
  <c r="D763" i="70"/>
  <c r="D709" i="70"/>
  <c r="D671" i="70"/>
  <c r="D397" i="70" l="1"/>
  <c r="A1167" i="70"/>
  <c r="A985" i="70"/>
  <c r="A971" i="70"/>
  <c r="D845" i="70"/>
  <c r="D824" i="70"/>
  <c r="D809" i="70"/>
  <c r="D794" i="70"/>
  <c r="D779" i="70"/>
  <c r="D764" i="70"/>
  <c r="D710" i="70"/>
  <c r="D672" i="70"/>
  <c r="A1168" i="70" l="1"/>
  <c r="D398" i="70"/>
  <c r="D846" i="70"/>
  <c r="A972" i="70"/>
  <c r="A986" i="70"/>
  <c r="D825" i="70"/>
  <c r="D810" i="70"/>
  <c r="D795" i="70"/>
  <c r="D780" i="70"/>
  <c r="D765" i="70"/>
  <c r="D711" i="70"/>
  <c r="D673" i="70"/>
  <c r="D399" i="70" l="1"/>
  <c r="D400" i="70" s="1"/>
  <c r="A1169" i="70"/>
  <c r="A987" i="70"/>
  <c r="A973" i="70"/>
  <c r="D847" i="70"/>
  <c r="D826" i="70"/>
  <c r="D811" i="70"/>
  <c r="D796" i="70"/>
  <c r="D781" i="70"/>
  <c r="D766" i="70"/>
  <c r="D712" i="70"/>
  <c r="D674" i="70"/>
  <c r="D401" i="70" l="1"/>
  <c r="A1170" i="70"/>
  <c r="D848" i="70"/>
  <c r="A974" i="70"/>
  <c r="A988" i="70"/>
  <c r="A989" i="70" s="1"/>
  <c r="D827" i="70"/>
  <c r="D812" i="70"/>
  <c r="D797" i="70"/>
  <c r="D782" i="70"/>
  <c r="D767" i="70"/>
  <c r="D399" i="27" s="1"/>
  <c r="D713" i="70"/>
  <c r="D675" i="70"/>
  <c r="A990" i="70" l="1"/>
  <c r="D402" i="70"/>
  <c r="A1171" i="70"/>
  <c r="A975" i="70"/>
  <c r="D849" i="70"/>
  <c r="D828" i="70"/>
  <c r="D459" i="27"/>
  <c r="D813" i="70"/>
  <c r="D444" i="27"/>
  <c r="D798" i="70"/>
  <c r="D429" i="27"/>
  <c r="D783" i="70"/>
  <c r="D414" i="27"/>
  <c r="D768" i="70"/>
  <c r="D400" i="27" s="1"/>
  <c r="D714" i="70"/>
  <c r="D346" i="27" s="1"/>
  <c r="D676" i="70"/>
  <c r="A991" i="70" l="1"/>
  <c r="D403" i="70"/>
  <c r="A1172" i="70"/>
  <c r="D850" i="70"/>
  <c r="A976" i="70"/>
  <c r="D829" i="70"/>
  <c r="D460" i="27"/>
  <c r="D814" i="70"/>
  <c r="D445" i="27"/>
  <c r="D799" i="70"/>
  <c r="D430" i="27"/>
  <c r="D784" i="70"/>
  <c r="D415" i="27"/>
  <c r="D769" i="70"/>
  <c r="D401" i="27" s="1"/>
  <c r="D715" i="70"/>
  <c r="D347" i="27" s="1"/>
  <c r="D308" i="27"/>
  <c r="D677" i="70"/>
  <c r="A992" i="70" l="1"/>
  <c r="D404" i="70"/>
  <c r="A1173" i="70"/>
  <c r="A977" i="70"/>
  <c r="D851" i="70"/>
  <c r="D830" i="70"/>
  <c r="D461" i="27"/>
  <c r="D815" i="70"/>
  <c r="D446" i="27"/>
  <c r="D800" i="70"/>
  <c r="D431" i="27"/>
  <c r="D785" i="70"/>
  <c r="D416" i="27"/>
  <c r="D770" i="70"/>
  <c r="D402" i="27" s="1"/>
  <c r="D716" i="70"/>
  <c r="D348" i="27" s="1"/>
  <c r="D309" i="27"/>
  <c r="D678" i="70"/>
  <c r="A993" i="70" l="1"/>
  <c r="A1174" i="70"/>
  <c r="D852" i="70"/>
  <c r="A978" i="70"/>
  <c r="D831" i="70"/>
  <c r="D462" i="27"/>
  <c r="D816" i="70"/>
  <c r="D447" i="27"/>
  <c r="D801" i="70"/>
  <c r="D432" i="27"/>
  <c r="D786" i="70"/>
  <c r="D417" i="27"/>
  <c r="D771" i="70"/>
  <c r="D403" i="27" s="1"/>
  <c r="D717" i="70"/>
  <c r="D349" i="27" s="1"/>
  <c r="D310" i="27"/>
  <c r="D679" i="70"/>
  <c r="D853" i="70" l="1"/>
  <c r="D463" i="27"/>
  <c r="D448" i="27"/>
  <c r="D433" i="27"/>
  <c r="D418" i="27"/>
  <c r="D718" i="70"/>
  <c r="D350" i="27" s="1"/>
  <c r="D311" i="27"/>
  <c r="D680" i="70"/>
  <c r="D312" i="27" l="1"/>
  <c r="C270" i="27" l="1"/>
  <c r="J270" i="27"/>
  <c r="V270" i="27"/>
  <c r="X270" i="27" s="1"/>
  <c r="C271" i="27"/>
  <c r="J271" i="27"/>
  <c r="V271" i="27"/>
  <c r="X271" i="27" s="1"/>
  <c r="C272" i="27"/>
  <c r="J272" i="27"/>
  <c r="V272" i="27"/>
  <c r="X272" i="27" s="1"/>
  <c r="C273" i="27"/>
  <c r="J273" i="27"/>
  <c r="V273" i="27"/>
  <c r="X273" i="27" s="1"/>
  <c r="C274" i="27"/>
  <c r="J274" i="27"/>
  <c r="V274" i="27"/>
  <c r="X274" i="27" s="1"/>
  <c r="D629" i="70"/>
  <c r="C238" i="27"/>
  <c r="J238" i="27"/>
  <c r="V238" i="27"/>
  <c r="Y238" i="27" s="1"/>
  <c r="C239" i="27"/>
  <c r="J239" i="27"/>
  <c r="V239" i="27"/>
  <c r="X239" i="27" s="1"/>
  <c r="C240" i="27"/>
  <c r="J240" i="27"/>
  <c r="V240" i="27"/>
  <c r="Y240" i="27" s="1"/>
  <c r="C241" i="27"/>
  <c r="J241" i="27"/>
  <c r="V241" i="27"/>
  <c r="Y241" i="27" s="1"/>
  <c r="C242" i="27"/>
  <c r="J242" i="27"/>
  <c r="V242" i="27"/>
  <c r="Y242" i="27" s="1"/>
  <c r="D597" i="70"/>
  <c r="C223" i="27"/>
  <c r="J223" i="27"/>
  <c r="V223" i="27"/>
  <c r="Y223" i="27" s="1"/>
  <c r="C224" i="27"/>
  <c r="J224" i="27"/>
  <c r="V224" i="27"/>
  <c r="X224" i="27" s="1"/>
  <c r="C225" i="27"/>
  <c r="J225" i="27"/>
  <c r="V225" i="27"/>
  <c r="X225" i="27" s="1"/>
  <c r="C226" i="27"/>
  <c r="J226" i="27"/>
  <c r="V226" i="27"/>
  <c r="X226" i="27" s="1"/>
  <c r="C227" i="27"/>
  <c r="J227" i="27"/>
  <c r="V227" i="27"/>
  <c r="X227" i="27" s="1"/>
  <c r="D582" i="70"/>
  <c r="C208" i="27"/>
  <c r="J208" i="27"/>
  <c r="V208" i="27"/>
  <c r="X208" i="27" s="1"/>
  <c r="C209" i="27"/>
  <c r="J209" i="27"/>
  <c r="V209" i="27"/>
  <c r="Y209" i="27" s="1"/>
  <c r="C210" i="27"/>
  <c r="J210" i="27"/>
  <c r="V210" i="27"/>
  <c r="Y210" i="27" s="1"/>
  <c r="C211" i="27"/>
  <c r="J211" i="27"/>
  <c r="V211" i="27"/>
  <c r="Y211" i="27" s="1"/>
  <c r="C212" i="27"/>
  <c r="J212" i="27"/>
  <c r="V212" i="27"/>
  <c r="X212" i="27" s="1"/>
  <c r="D567" i="70"/>
  <c r="C193" i="27"/>
  <c r="V193" i="27"/>
  <c r="Y193" i="27" s="1"/>
  <c r="C194" i="27"/>
  <c r="V194" i="27"/>
  <c r="X194" i="27" s="1"/>
  <c r="C195" i="27"/>
  <c r="V195" i="27"/>
  <c r="X195" i="27" s="1"/>
  <c r="C196" i="27"/>
  <c r="V196" i="27"/>
  <c r="X196" i="27" s="1"/>
  <c r="D550" i="70"/>
  <c r="C178" i="27"/>
  <c r="V178" i="27"/>
  <c r="X178" i="27" s="1"/>
  <c r="C179" i="27"/>
  <c r="V179" i="27"/>
  <c r="X179" i="27"/>
  <c r="Y179" i="27"/>
  <c r="C180" i="27"/>
  <c r="V180" i="27"/>
  <c r="X180" i="27" s="1"/>
  <c r="C181" i="27"/>
  <c r="V181" i="27"/>
  <c r="Y181" i="27" s="1"/>
  <c r="C182" i="27"/>
  <c r="V182" i="27"/>
  <c r="X182" i="27" s="1"/>
  <c r="D535" i="70"/>
  <c r="C163" i="27"/>
  <c r="V163" i="27"/>
  <c r="X163" i="27" s="1"/>
  <c r="C164" i="27"/>
  <c r="V164" i="27"/>
  <c r="Y164" i="27" s="1"/>
  <c r="C165" i="27"/>
  <c r="V165" i="27"/>
  <c r="X165" i="27" s="1"/>
  <c r="C166" i="27"/>
  <c r="V166" i="27"/>
  <c r="X166" i="27" s="1"/>
  <c r="C167" i="27"/>
  <c r="V167" i="27"/>
  <c r="X167" i="27" s="1"/>
  <c r="D520" i="70"/>
  <c r="C148" i="27"/>
  <c r="V148" i="27"/>
  <c r="X148" i="27" s="1"/>
  <c r="C149" i="27"/>
  <c r="V149" i="27"/>
  <c r="X149" i="27" s="1"/>
  <c r="C150" i="27"/>
  <c r="V150" i="27"/>
  <c r="X150" i="27" s="1"/>
  <c r="C151" i="27"/>
  <c r="V151" i="27"/>
  <c r="Y151" i="27" s="1"/>
  <c r="C152" i="27"/>
  <c r="V152" i="27"/>
  <c r="X152" i="27" s="1"/>
  <c r="D505" i="70"/>
  <c r="C133" i="27"/>
  <c r="V133" i="27"/>
  <c r="X133" i="27" s="1"/>
  <c r="Y133" i="27"/>
  <c r="C134" i="27"/>
  <c r="V134" i="27"/>
  <c r="Y134" i="27" s="1"/>
  <c r="C135" i="27"/>
  <c r="V135" i="27"/>
  <c r="X135" i="27" s="1"/>
  <c r="C136" i="27"/>
  <c r="V136" i="27"/>
  <c r="X136" i="27" s="1"/>
  <c r="C137" i="27"/>
  <c r="V137" i="27"/>
  <c r="X137" i="27" s="1"/>
  <c r="D490" i="70"/>
  <c r="C118" i="27"/>
  <c r="V118" i="27"/>
  <c r="X118" i="27" s="1"/>
  <c r="C119" i="27"/>
  <c r="V119" i="27"/>
  <c r="X119" i="27" s="1"/>
  <c r="Y119" i="27"/>
  <c r="C120" i="27"/>
  <c r="V120" i="27"/>
  <c r="X120" i="27" s="1"/>
  <c r="C121" i="27"/>
  <c r="V121" i="27"/>
  <c r="X121" i="27" s="1"/>
  <c r="C122" i="27"/>
  <c r="V122" i="27"/>
  <c r="X122" i="27" s="1"/>
  <c r="D475" i="70"/>
  <c r="C103" i="27"/>
  <c r="V103" i="27"/>
  <c r="X103" i="27" s="1"/>
  <c r="Y103" i="27"/>
  <c r="C104" i="27"/>
  <c r="V104" i="27"/>
  <c r="X104" i="27" s="1"/>
  <c r="C105" i="27"/>
  <c r="V105" i="27"/>
  <c r="X105" i="27" s="1"/>
  <c r="C106" i="27"/>
  <c r="V106" i="27"/>
  <c r="Y106" i="27" s="1"/>
  <c r="C107" i="27"/>
  <c r="V107" i="27"/>
  <c r="Y107" i="27" s="1"/>
  <c r="D460" i="70"/>
  <c r="C88" i="27"/>
  <c r="V88" i="27"/>
  <c r="X88" i="27" s="1"/>
  <c r="C89" i="27"/>
  <c r="V89" i="27"/>
  <c r="Y89" i="27" s="1"/>
  <c r="C90" i="27"/>
  <c r="V90" i="27"/>
  <c r="X90" i="27" s="1"/>
  <c r="C91" i="27"/>
  <c r="V91" i="27"/>
  <c r="Y91" i="27" s="1"/>
  <c r="C92" i="27"/>
  <c r="V92" i="27"/>
  <c r="X92" i="27" s="1"/>
  <c r="C93" i="27"/>
  <c r="V93" i="27"/>
  <c r="X93" i="27" s="1"/>
  <c r="C94" i="27"/>
  <c r="V94" i="27"/>
  <c r="X94" i="27" s="1"/>
  <c r="C95" i="27"/>
  <c r="V95" i="27"/>
  <c r="X95" i="27" s="1"/>
  <c r="C96" i="27"/>
  <c r="V96" i="27"/>
  <c r="X96" i="27" s="1"/>
  <c r="C97" i="27"/>
  <c r="V97" i="27"/>
  <c r="Y97" i="27" s="1"/>
  <c r="D445" i="70"/>
  <c r="D376" i="70"/>
  <c r="D377" i="70" s="1"/>
  <c r="D378" i="70" s="1"/>
  <c r="D379" i="70" s="1"/>
  <c r="D380" i="70" s="1"/>
  <c r="D381" i="70" s="1"/>
  <c r="D382" i="70" s="1"/>
  <c r="D383" i="70" s="1"/>
  <c r="D384" i="70" s="1"/>
  <c r="D385" i="70" s="1"/>
  <c r="D386" i="70" s="1"/>
  <c r="D387" i="70" s="1"/>
  <c r="D388" i="70" s="1"/>
  <c r="D389" i="70" s="1"/>
  <c r="C152" i="71"/>
  <c r="C151" i="71"/>
  <c r="C150" i="71"/>
  <c r="C149" i="71"/>
  <c r="C148" i="71"/>
  <c r="C142" i="71"/>
  <c r="C141" i="71"/>
  <c r="C140" i="71"/>
  <c r="C139" i="71"/>
  <c r="C138" i="71"/>
  <c r="C132" i="71"/>
  <c r="C131" i="71"/>
  <c r="C130" i="71"/>
  <c r="C129" i="71"/>
  <c r="C128" i="71"/>
  <c r="C122" i="71"/>
  <c r="C121" i="71"/>
  <c r="C120" i="71"/>
  <c r="C119" i="71"/>
  <c r="C118" i="71"/>
  <c r="C112" i="71"/>
  <c r="C111" i="71"/>
  <c r="C110" i="71"/>
  <c r="C109" i="71"/>
  <c r="C108" i="71"/>
  <c r="C102" i="71"/>
  <c r="C101" i="71"/>
  <c r="C100" i="71"/>
  <c r="C99" i="71"/>
  <c r="C98" i="71"/>
  <c r="C92" i="71"/>
  <c r="C91" i="71"/>
  <c r="C90" i="71"/>
  <c r="C89" i="71"/>
  <c r="C88" i="71"/>
  <c r="C82" i="71"/>
  <c r="C81" i="71"/>
  <c r="C80" i="71"/>
  <c r="C79" i="71"/>
  <c r="C78" i="71"/>
  <c r="C72" i="71"/>
  <c r="C71" i="71"/>
  <c r="C70" i="71"/>
  <c r="C69" i="71"/>
  <c r="C68" i="71"/>
  <c r="C62" i="71"/>
  <c r="C61" i="71"/>
  <c r="C60" i="71"/>
  <c r="C59" i="71"/>
  <c r="C58" i="71"/>
  <c r="C52" i="71"/>
  <c r="C51" i="71"/>
  <c r="C50" i="71"/>
  <c r="C49" i="71"/>
  <c r="C48" i="71"/>
  <c r="C42" i="71"/>
  <c r="C41" i="71"/>
  <c r="C40" i="71"/>
  <c r="C39" i="71"/>
  <c r="C38" i="71"/>
  <c r="C32" i="71"/>
  <c r="C31" i="71"/>
  <c r="C30" i="71"/>
  <c r="C29" i="71"/>
  <c r="C28" i="71"/>
  <c r="C22" i="71"/>
  <c r="C21" i="71"/>
  <c r="C20" i="71"/>
  <c r="C19" i="71"/>
  <c r="C18" i="71"/>
  <c r="Q18" i="71"/>
  <c r="Q28" i="71" s="1"/>
  <c r="P18" i="71"/>
  <c r="R18" i="71"/>
  <c r="R28" i="71" s="1"/>
  <c r="R38" i="71" s="1"/>
  <c r="R48" i="71" s="1"/>
  <c r="R58" i="71" s="1"/>
  <c r="R68" i="71" s="1"/>
  <c r="R78" i="71" s="1"/>
  <c r="R88" i="71" s="1"/>
  <c r="R98" i="71" s="1"/>
  <c r="R108" i="71" s="1"/>
  <c r="R118" i="71" s="1"/>
  <c r="R128" i="71" s="1"/>
  <c r="R138" i="71" s="1"/>
  <c r="R148" i="71" s="1"/>
  <c r="R9" i="71"/>
  <c r="R10" i="71" s="1"/>
  <c r="R11" i="71" s="1"/>
  <c r="R12" i="71" s="1"/>
  <c r="R13" i="71" s="1"/>
  <c r="R14" i="71" s="1"/>
  <c r="R24" i="71" s="1"/>
  <c r="R34" i="71" s="1"/>
  <c r="R44" i="71" s="1"/>
  <c r="R54" i="71" s="1"/>
  <c r="R64" i="71" s="1"/>
  <c r="R74" i="71" s="1"/>
  <c r="R84" i="71" s="1"/>
  <c r="R94" i="71" s="1"/>
  <c r="R104" i="71" s="1"/>
  <c r="R114" i="71" s="1"/>
  <c r="R124" i="71" s="1"/>
  <c r="R134" i="71" s="1"/>
  <c r="R144" i="71" s="1"/>
  <c r="R154" i="71" s="1"/>
  <c r="D13" i="71"/>
  <c r="D8" i="71"/>
  <c r="Q9" i="71"/>
  <c r="Q10" i="71" s="1"/>
  <c r="P9" i="71"/>
  <c r="D15" i="71" s="1"/>
  <c r="E98" i="61"/>
  <c r="E99" i="61"/>
  <c r="E100" i="61"/>
  <c r="E101" i="61"/>
  <c r="E102" i="61"/>
  <c r="E104" i="61"/>
  <c r="E105" i="61"/>
  <c r="E106" i="61"/>
  <c r="E107" i="61"/>
  <c r="E108" i="61"/>
  <c r="E110" i="61"/>
  <c r="E111" i="61"/>
  <c r="E112" i="61"/>
  <c r="E113" i="61"/>
  <c r="E114" i="61"/>
  <c r="O14" i="61"/>
  <c r="O20" i="61" s="1"/>
  <c r="O9" i="61"/>
  <c r="O15" i="61" s="1"/>
  <c r="E8" i="61"/>
  <c r="N14" i="61"/>
  <c r="E14" i="61" s="1"/>
  <c r="N9" i="61"/>
  <c r="I263" i="70"/>
  <c r="M21" i="2" s="1"/>
  <c r="I246" i="70"/>
  <c r="I42" i="70"/>
  <c r="Q26" i="60"/>
  <c r="Q41" i="60" s="1"/>
  <c r="Q56" i="60" s="1"/>
  <c r="Q71" i="60" s="1"/>
  <c r="Q86" i="60" s="1"/>
  <c r="Q101" i="60" s="1"/>
  <c r="Q116" i="60" s="1"/>
  <c r="Q131" i="60" s="1"/>
  <c r="Q146" i="60" s="1"/>
  <c r="Q161" i="60" s="1"/>
  <c r="Q176" i="60" s="1"/>
  <c r="Q191" i="60" s="1"/>
  <c r="Q206" i="60" s="1"/>
  <c r="Q221" i="60" s="1"/>
  <c r="Q27" i="60"/>
  <c r="Q42" i="60" s="1"/>
  <c r="Q57" i="60" s="1"/>
  <c r="Q72" i="60" s="1"/>
  <c r="Q87" i="60" s="1"/>
  <c r="Q102" i="60" s="1"/>
  <c r="Q117" i="60" s="1"/>
  <c r="Q132" i="60" s="1"/>
  <c r="Q147" i="60" s="1"/>
  <c r="Q162" i="60" s="1"/>
  <c r="Q177" i="60" s="1"/>
  <c r="Q192" i="60" s="1"/>
  <c r="Q207" i="60" s="1"/>
  <c r="Q222" i="60" s="1"/>
  <c r="Q28" i="60"/>
  <c r="Q43" i="60" s="1"/>
  <c r="Q58" i="60" s="1"/>
  <c r="Q73" i="60" s="1"/>
  <c r="Q88" i="60" s="1"/>
  <c r="Q103" i="60" s="1"/>
  <c r="Q118" i="60" s="1"/>
  <c r="Q133" i="60" s="1"/>
  <c r="Q148" i="60" s="1"/>
  <c r="Q163" i="60" s="1"/>
  <c r="Q178" i="60" s="1"/>
  <c r="Q193" i="60" s="1"/>
  <c r="Q208" i="60" s="1"/>
  <c r="Q223" i="60" s="1"/>
  <c r="Q29" i="60"/>
  <c r="Q44" i="60" s="1"/>
  <c r="Q59" i="60" s="1"/>
  <c r="Q74" i="60" s="1"/>
  <c r="Q89" i="60" s="1"/>
  <c r="Q104" i="60" s="1"/>
  <c r="Q119" i="60" s="1"/>
  <c r="Q134" i="60" s="1"/>
  <c r="Q149" i="60" s="1"/>
  <c r="Q164" i="60" s="1"/>
  <c r="Q179" i="60" s="1"/>
  <c r="Q194" i="60" s="1"/>
  <c r="Q209" i="60" s="1"/>
  <c r="Q224" i="60" s="1"/>
  <c r="Q30" i="60"/>
  <c r="Q45" i="60" s="1"/>
  <c r="Q60" i="60" s="1"/>
  <c r="Q75" i="60" s="1"/>
  <c r="Q90" i="60" s="1"/>
  <c r="Q105" i="60" s="1"/>
  <c r="Q120" i="60" s="1"/>
  <c r="Q135" i="60" s="1"/>
  <c r="Q150" i="60" s="1"/>
  <c r="Q165" i="60" s="1"/>
  <c r="Q180" i="60" s="1"/>
  <c r="Q195" i="60" s="1"/>
  <c r="Q210" i="60" s="1"/>
  <c r="Q225" i="60" s="1"/>
  <c r="Q31" i="60"/>
  <c r="Q46" i="60" s="1"/>
  <c r="Q61" i="60" s="1"/>
  <c r="Q76" i="60" s="1"/>
  <c r="Q91" i="60" s="1"/>
  <c r="Q106" i="60" s="1"/>
  <c r="Q121" i="60" s="1"/>
  <c r="Q136" i="60" s="1"/>
  <c r="Q151" i="60" s="1"/>
  <c r="Q166" i="60" s="1"/>
  <c r="Q181" i="60" s="1"/>
  <c r="Q196" i="60" s="1"/>
  <c r="Q211" i="60" s="1"/>
  <c r="Q226" i="60" s="1"/>
  <c r="Q32" i="60"/>
  <c r="Q47" i="60" s="1"/>
  <c r="Q62" i="60" s="1"/>
  <c r="Q77" i="60" s="1"/>
  <c r="Q92" i="60" s="1"/>
  <c r="Q107" i="60" s="1"/>
  <c r="Q122" i="60" s="1"/>
  <c r="Q137" i="60" s="1"/>
  <c r="Q152" i="60" s="1"/>
  <c r="Q167" i="60" s="1"/>
  <c r="Q182" i="60" s="1"/>
  <c r="Q197" i="60" s="1"/>
  <c r="Q212" i="60" s="1"/>
  <c r="Q227" i="60" s="1"/>
  <c r="Q33" i="60"/>
  <c r="Q48" i="60" s="1"/>
  <c r="Q63" i="60" s="1"/>
  <c r="Q78" i="60" s="1"/>
  <c r="Q93" i="60" s="1"/>
  <c r="Q108" i="60" s="1"/>
  <c r="Q123" i="60" s="1"/>
  <c r="Q138" i="60" s="1"/>
  <c r="Q153" i="60" s="1"/>
  <c r="Q168" i="60" s="1"/>
  <c r="Q183" i="60" s="1"/>
  <c r="Q198" i="60" s="1"/>
  <c r="Q213" i="60" s="1"/>
  <c r="Q228" i="60" s="1"/>
  <c r="Q34" i="60"/>
  <c r="Q49" i="60" s="1"/>
  <c r="Q64" i="60" s="1"/>
  <c r="Q79" i="60" s="1"/>
  <c r="Q94" i="60" s="1"/>
  <c r="Q109" i="60" s="1"/>
  <c r="Q124" i="60" s="1"/>
  <c r="Q139" i="60" s="1"/>
  <c r="Q154" i="60" s="1"/>
  <c r="Q169" i="60" s="1"/>
  <c r="Q184" i="60" s="1"/>
  <c r="Q199" i="60" s="1"/>
  <c r="Q214" i="60" s="1"/>
  <c r="Q229" i="60" s="1"/>
  <c r="Q35" i="60"/>
  <c r="Q50" i="60" s="1"/>
  <c r="Q65" i="60" s="1"/>
  <c r="Q80" i="60" s="1"/>
  <c r="Q95" i="60" s="1"/>
  <c r="Q110" i="60" s="1"/>
  <c r="Q125" i="60" s="1"/>
  <c r="Q140" i="60" s="1"/>
  <c r="Q155" i="60" s="1"/>
  <c r="Q170" i="60" s="1"/>
  <c r="Q185" i="60" s="1"/>
  <c r="Q200" i="60" s="1"/>
  <c r="Q215" i="60" s="1"/>
  <c r="Q230" i="60" s="1"/>
  <c r="Q36" i="60"/>
  <c r="Q51" i="60" s="1"/>
  <c r="Q66" i="60" s="1"/>
  <c r="Q81" i="60" s="1"/>
  <c r="Q96" i="60" s="1"/>
  <c r="Q111" i="60" s="1"/>
  <c r="Q126" i="60" s="1"/>
  <c r="Q141" i="60" s="1"/>
  <c r="Q156" i="60" s="1"/>
  <c r="Q171" i="60" s="1"/>
  <c r="Q186" i="60" s="1"/>
  <c r="Q201" i="60" s="1"/>
  <c r="Q216" i="60" s="1"/>
  <c r="Q231" i="60" s="1"/>
  <c r="Q37" i="60"/>
  <c r="Q52" i="60" s="1"/>
  <c r="Q67" i="60" s="1"/>
  <c r="Q82" i="60" s="1"/>
  <c r="Q97" i="60" s="1"/>
  <c r="Q112" i="60" s="1"/>
  <c r="Q127" i="60" s="1"/>
  <c r="Q142" i="60" s="1"/>
  <c r="Q157" i="60" s="1"/>
  <c r="Q172" i="60" s="1"/>
  <c r="Q187" i="60" s="1"/>
  <c r="Q202" i="60" s="1"/>
  <c r="Q217" i="60" s="1"/>
  <c r="Q232" i="60" s="1"/>
  <c r="Q38" i="60"/>
  <c r="Q53" i="60" s="1"/>
  <c r="Q68" i="60" s="1"/>
  <c r="Q83" i="60" s="1"/>
  <c r="Q98" i="60" s="1"/>
  <c r="Q113" i="60" s="1"/>
  <c r="Q128" i="60" s="1"/>
  <c r="Q143" i="60" s="1"/>
  <c r="Q158" i="60" s="1"/>
  <c r="Q173" i="60" s="1"/>
  <c r="Q188" i="60" s="1"/>
  <c r="Q203" i="60" s="1"/>
  <c r="Q218" i="60" s="1"/>
  <c r="Q233" i="60" s="1"/>
  <c r="Q25" i="60"/>
  <c r="Q40" i="60" s="1"/>
  <c r="Q55" i="60" s="1"/>
  <c r="Q70" i="60" s="1"/>
  <c r="Q85" i="60" s="1"/>
  <c r="Q100" i="60" s="1"/>
  <c r="Q115" i="60" s="1"/>
  <c r="Q130" i="60" s="1"/>
  <c r="Q145" i="60" s="1"/>
  <c r="Q160" i="60" s="1"/>
  <c r="Q175" i="60" s="1"/>
  <c r="Q190" i="60" s="1"/>
  <c r="Q205" i="60" s="1"/>
  <c r="Q220" i="60" s="1"/>
  <c r="P25" i="60"/>
  <c r="P40" i="60" s="1"/>
  <c r="P11" i="60"/>
  <c r="P26" i="60" s="1"/>
  <c r="O25" i="60"/>
  <c r="O40" i="60" s="1"/>
  <c r="O55" i="60" s="1"/>
  <c r="O70" i="60" s="1"/>
  <c r="O85" i="60" s="1"/>
  <c r="O100" i="60" s="1"/>
  <c r="O115" i="60" s="1"/>
  <c r="O130" i="60" s="1"/>
  <c r="O145" i="60" s="1"/>
  <c r="O160" i="60" s="1"/>
  <c r="O175" i="60" s="1"/>
  <c r="O190" i="60" s="1"/>
  <c r="O205" i="60" s="1"/>
  <c r="O220" i="60" s="1"/>
  <c r="O11" i="60"/>
  <c r="O26" i="60" s="1"/>
  <c r="O41" i="60" s="1"/>
  <c r="O56" i="60" s="1"/>
  <c r="O71" i="60" s="1"/>
  <c r="O86" i="60" s="1"/>
  <c r="O101" i="60" s="1"/>
  <c r="O116" i="60" s="1"/>
  <c r="O131" i="60" s="1"/>
  <c r="O146" i="60" s="1"/>
  <c r="O161" i="60" s="1"/>
  <c r="O176" i="60" s="1"/>
  <c r="O191" i="60" s="1"/>
  <c r="O206" i="60" s="1"/>
  <c r="O221" i="60" s="1"/>
  <c r="J261" i="70"/>
  <c r="J244" i="70"/>
  <c r="J227" i="70"/>
  <c r="J210" i="70"/>
  <c r="J193" i="70"/>
  <c r="GA42" i="70"/>
  <c r="GA41" i="70"/>
  <c r="GA40" i="70"/>
  <c r="GA39" i="70"/>
  <c r="GA38" i="70"/>
  <c r="GA37" i="70"/>
  <c r="GA36" i="70"/>
  <c r="GA35" i="70"/>
  <c r="GA34" i="70"/>
  <c r="GA33" i="70"/>
  <c r="GA32" i="70"/>
  <c r="GA31" i="70"/>
  <c r="GA30" i="70"/>
  <c r="GA29" i="70"/>
  <c r="GA28" i="70"/>
  <c r="GA27" i="70"/>
  <c r="GA26" i="70"/>
  <c r="GA25" i="70"/>
  <c r="FR42" i="70"/>
  <c r="FR41" i="70"/>
  <c r="FR40" i="70"/>
  <c r="FR39" i="70"/>
  <c r="FR38" i="70"/>
  <c r="FR37" i="70"/>
  <c r="FR36" i="70"/>
  <c r="FR35" i="70"/>
  <c r="FR34" i="70"/>
  <c r="FR33" i="70"/>
  <c r="FR32" i="70"/>
  <c r="FR31" i="70"/>
  <c r="FR30" i="70"/>
  <c r="FR29" i="70"/>
  <c r="FR28" i="70"/>
  <c r="FR27" i="70"/>
  <c r="FR26" i="70"/>
  <c r="FR25" i="70"/>
  <c r="FI42" i="70"/>
  <c r="FI41" i="70"/>
  <c r="FI40" i="70"/>
  <c r="FI39" i="70"/>
  <c r="FI38" i="70"/>
  <c r="FI37" i="70"/>
  <c r="FI36" i="70"/>
  <c r="FI35" i="70"/>
  <c r="FI34" i="70"/>
  <c r="FI33" i="70"/>
  <c r="FI32" i="70"/>
  <c r="FI31" i="70"/>
  <c r="FI30" i="70"/>
  <c r="FI29" i="70"/>
  <c r="FI28" i="70"/>
  <c r="FI27" i="70"/>
  <c r="FI26" i="70"/>
  <c r="FI25" i="70"/>
  <c r="EZ42" i="70"/>
  <c r="EZ41" i="70"/>
  <c r="EZ40" i="70"/>
  <c r="EZ39" i="70"/>
  <c r="EZ38" i="70"/>
  <c r="EZ37" i="70"/>
  <c r="EZ36" i="70"/>
  <c r="EZ35" i="70"/>
  <c r="EZ34" i="70"/>
  <c r="EZ33" i="70"/>
  <c r="EZ32" i="70"/>
  <c r="EZ31" i="70"/>
  <c r="EZ30" i="70"/>
  <c r="EZ29" i="70"/>
  <c r="EZ28" i="70"/>
  <c r="EZ27" i="70"/>
  <c r="EZ26" i="70"/>
  <c r="EZ25" i="70"/>
  <c r="EQ42" i="70"/>
  <c r="EQ41" i="70"/>
  <c r="EQ40" i="70"/>
  <c r="EQ39" i="70"/>
  <c r="EQ38" i="70"/>
  <c r="EQ37" i="70"/>
  <c r="EQ36" i="70"/>
  <c r="EQ35" i="70"/>
  <c r="EQ34" i="70"/>
  <c r="EQ33" i="70"/>
  <c r="EQ32" i="70"/>
  <c r="EQ31" i="70"/>
  <c r="EQ30" i="70"/>
  <c r="EQ29" i="70"/>
  <c r="EQ28" i="70"/>
  <c r="EQ27" i="70"/>
  <c r="EQ26" i="70"/>
  <c r="EQ25" i="70"/>
  <c r="EH42" i="70"/>
  <c r="EH41" i="70"/>
  <c r="EH40" i="70"/>
  <c r="EH39" i="70"/>
  <c r="EH38" i="70"/>
  <c r="EH37" i="70"/>
  <c r="EH36" i="70"/>
  <c r="EH35" i="70"/>
  <c r="EH34" i="70"/>
  <c r="EH33" i="70"/>
  <c r="EH32" i="70"/>
  <c r="EH31" i="70"/>
  <c r="EH30" i="70"/>
  <c r="EH29" i="70"/>
  <c r="EH28" i="70"/>
  <c r="EH27" i="70"/>
  <c r="EH26" i="70"/>
  <c r="EH25" i="70"/>
  <c r="DY42" i="70"/>
  <c r="DY41" i="70"/>
  <c r="DY40" i="70"/>
  <c r="DY39" i="70"/>
  <c r="DY38" i="70"/>
  <c r="DY37" i="70"/>
  <c r="DY36" i="70"/>
  <c r="DY35" i="70"/>
  <c r="DY34" i="70"/>
  <c r="DY33" i="70"/>
  <c r="DY32" i="70"/>
  <c r="DY31" i="70"/>
  <c r="DY30" i="70"/>
  <c r="DY29" i="70"/>
  <c r="DY28" i="70"/>
  <c r="DY27" i="70"/>
  <c r="DY26" i="70"/>
  <c r="DY25" i="70"/>
  <c r="DP42" i="70"/>
  <c r="DP41" i="70"/>
  <c r="DP40" i="70"/>
  <c r="DP39" i="70"/>
  <c r="DP38" i="70"/>
  <c r="DP37" i="70"/>
  <c r="DP36" i="70"/>
  <c r="DP35" i="70"/>
  <c r="DP34" i="70"/>
  <c r="DP33" i="70"/>
  <c r="DP32" i="70"/>
  <c r="DP31" i="70"/>
  <c r="DP30" i="70"/>
  <c r="DP29" i="70"/>
  <c r="DP28" i="70"/>
  <c r="DP27" i="70"/>
  <c r="DP26" i="70"/>
  <c r="DP25" i="70"/>
  <c r="DG42" i="70"/>
  <c r="DG41" i="70"/>
  <c r="DG40" i="70"/>
  <c r="DG39" i="70"/>
  <c r="DG38" i="70"/>
  <c r="DG37" i="70"/>
  <c r="DG36" i="70"/>
  <c r="DG35" i="70"/>
  <c r="DG34" i="70"/>
  <c r="DG33" i="70"/>
  <c r="DG32" i="70"/>
  <c r="DG31" i="70"/>
  <c r="DG30" i="70"/>
  <c r="DG29" i="70"/>
  <c r="DG28" i="70"/>
  <c r="DG27" i="70"/>
  <c r="DG26" i="70"/>
  <c r="DG25" i="70"/>
  <c r="CX42" i="70"/>
  <c r="CX41" i="70"/>
  <c r="CX40" i="70"/>
  <c r="CX39" i="70"/>
  <c r="CX38" i="70"/>
  <c r="CX37" i="70"/>
  <c r="CX36" i="70"/>
  <c r="CX35" i="70"/>
  <c r="CX34" i="70"/>
  <c r="CX33" i="70"/>
  <c r="CX32" i="70"/>
  <c r="CX31" i="70"/>
  <c r="CX30" i="70"/>
  <c r="CX29" i="70"/>
  <c r="CX28" i="70"/>
  <c r="CX27" i="70"/>
  <c r="CX26" i="70"/>
  <c r="CX25" i="70"/>
  <c r="CO42" i="70"/>
  <c r="CO41" i="70"/>
  <c r="CO40" i="70"/>
  <c r="CO39" i="70"/>
  <c r="CO38" i="70"/>
  <c r="CO37" i="70"/>
  <c r="CO36" i="70"/>
  <c r="CO35" i="70"/>
  <c r="CO34" i="70"/>
  <c r="CO33" i="70"/>
  <c r="CO32" i="70"/>
  <c r="CO31" i="70"/>
  <c r="CO30" i="70"/>
  <c r="CO29" i="70"/>
  <c r="CO28" i="70"/>
  <c r="CO27" i="70"/>
  <c r="CO26" i="70"/>
  <c r="CO25" i="70"/>
  <c r="AU91" i="70"/>
  <c r="AU108" i="70" s="1"/>
  <c r="AU125" i="70" s="1"/>
  <c r="AU142" i="70" s="1"/>
  <c r="AU159" i="70" s="1"/>
  <c r="AU176" i="70" s="1"/>
  <c r="AU193" i="70" s="1"/>
  <c r="AU210" i="70" s="1"/>
  <c r="AU227" i="70" s="1"/>
  <c r="AU244" i="70" s="1"/>
  <c r="AU261" i="70" s="1"/>
  <c r="CF42" i="70"/>
  <c r="CF41" i="70"/>
  <c r="CF40" i="70"/>
  <c r="CF39" i="70"/>
  <c r="CF38" i="70"/>
  <c r="CF37" i="70"/>
  <c r="CF36" i="70"/>
  <c r="CF35" i="70"/>
  <c r="CF34" i="70"/>
  <c r="CF33" i="70"/>
  <c r="CF32" i="70"/>
  <c r="CF31" i="70"/>
  <c r="CF30" i="70"/>
  <c r="CF29" i="70"/>
  <c r="CF28" i="70"/>
  <c r="CF27" i="70"/>
  <c r="CF26" i="70"/>
  <c r="CF25" i="70"/>
  <c r="BW42" i="70"/>
  <c r="BW41" i="70"/>
  <c r="BW40" i="70"/>
  <c r="BW39" i="70"/>
  <c r="BW38" i="70"/>
  <c r="BW37" i="70"/>
  <c r="BW36" i="70"/>
  <c r="BW35" i="70"/>
  <c r="BW34" i="70"/>
  <c r="BW33" i="70"/>
  <c r="BW32" i="70"/>
  <c r="BW31" i="70"/>
  <c r="BW30" i="70"/>
  <c r="BW29" i="70"/>
  <c r="BW28" i="70"/>
  <c r="BW27" i="70"/>
  <c r="BW26" i="70"/>
  <c r="BW25" i="70"/>
  <c r="BO24" i="70"/>
  <c r="BO42" i="70" s="1"/>
  <c r="BQ42" i="70" s="1"/>
  <c r="BJ42" i="70" s="1"/>
  <c r="BN42" i="70"/>
  <c r="BN41" i="70"/>
  <c r="BN40" i="70"/>
  <c r="BN39" i="70"/>
  <c r="BN38" i="70"/>
  <c r="BN37" i="70"/>
  <c r="BN36" i="70"/>
  <c r="BN35" i="70"/>
  <c r="BN34" i="70"/>
  <c r="BN33" i="70"/>
  <c r="BN32" i="70"/>
  <c r="BN31" i="70"/>
  <c r="BN30" i="70"/>
  <c r="BN29" i="70"/>
  <c r="BN28" i="70"/>
  <c r="BN27" i="70"/>
  <c r="BN26" i="70"/>
  <c r="BN25" i="70"/>
  <c r="BF42" i="70"/>
  <c r="BH42" i="70" s="1"/>
  <c r="BA42" i="70" s="1"/>
  <c r="BF41" i="70"/>
  <c r="BH41" i="70" s="1"/>
  <c r="BA41" i="70" s="1"/>
  <c r="BF40" i="70"/>
  <c r="BH40" i="70" s="1"/>
  <c r="BA40" i="70" s="1"/>
  <c r="BF39" i="70"/>
  <c r="BH39" i="70" s="1"/>
  <c r="BA39" i="70" s="1"/>
  <c r="BF38" i="70"/>
  <c r="BH38" i="70" s="1"/>
  <c r="BA38" i="70" s="1"/>
  <c r="BF37" i="70"/>
  <c r="BG37" i="70" s="1"/>
  <c r="BB37" i="70" s="1"/>
  <c r="BF36" i="70"/>
  <c r="BH36" i="70" s="1"/>
  <c r="BA36" i="70" s="1"/>
  <c r="BF35" i="70"/>
  <c r="BH35" i="70" s="1"/>
  <c r="BA35" i="70" s="1"/>
  <c r="BF34" i="70"/>
  <c r="BH34" i="70" s="1"/>
  <c r="BA34" i="70" s="1"/>
  <c r="BF33" i="70"/>
  <c r="BH33" i="70" s="1"/>
  <c r="BA33" i="70" s="1"/>
  <c r="BF32" i="70"/>
  <c r="BH32" i="70" s="1"/>
  <c r="BA32" i="70" s="1"/>
  <c r="BF31" i="70"/>
  <c r="BH31" i="70" s="1"/>
  <c r="BA31" i="70" s="1"/>
  <c r="BF30" i="70"/>
  <c r="BH30" i="70" s="1"/>
  <c r="BA30" i="70" s="1"/>
  <c r="BF29" i="70"/>
  <c r="BG29" i="70" s="1"/>
  <c r="BB29" i="70" s="1"/>
  <c r="BF28" i="70"/>
  <c r="BH28" i="70" s="1"/>
  <c r="BA28" i="70" s="1"/>
  <c r="BF27" i="70"/>
  <c r="BH27" i="70" s="1"/>
  <c r="BA27" i="70" s="1"/>
  <c r="BF26" i="70"/>
  <c r="BH26" i="70" s="1"/>
  <c r="BA26" i="70" s="1"/>
  <c r="BF25" i="70"/>
  <c r="BH25" i="70" s="1"/>
  <c r="BA25" i="70" s="1"/>
  <c r="BE42" i="70"/>
  <c r="BE41" i="70"/>
  <c r="BE40" i="70"/>
  <c r="BE39" i="70"/>
  <c r="BE38" i="70"/>
  <c r="BE37" i="70"/>
  <c r="BE36" i="70"/>
  <c r="BE35" i="70"/>
  <c r="BE34" i="70"/>
  <c r="BE33" i="70"/>
  <c r="BE32" i="70"/>
  <c r="BE31" i="70"/>
  <c r="BE30" i="70"/>
  <c r="BE29" i="70"/>
  <c r="BE28" i="70"/>
  <c r="BE27" i="70"/>
  <c r="BE26" i="70"/>
  <c r="BE25" i="70"/>
  <c r="AN21" i="2"/>
  <c r="AM21" i="2"/>
  <c r="O21" i="2"/>
  <c r="E21" i="19" s="1"/>
  <c r="N21" i="2"/>
  <c r="D21" i="19" s="1"/>
  <c r="K21" i="2"/>
  <c r="J21" i="2"/>
  <c r="F21" i="19" s="1"/>
  <c r="I21" i="2"/>
  <c r="G21" i="2"/>
  <c r="E21" i="2"/>
  <c r="D21" i="2"/>
  <c r="B21" i="2"/>
  <c r="AN20" i="2"/>
  <c r="AM20" i="2"/>
  <c r="O20" i="2"/>
  <c r="N20" i="2"/>
  <c r="K20" i="2"/>
  <c r="J20" i="2"/>
  <c r="I20" i="2"/>
  <c r="V36" i="66" s="1"/>
  <c r="G20" i="2"/>
  <c r="E20" i="2"/>
  <c r="D20" i="2"/>
  <c r="B20" i="2"/>
  <c r="AN19" i="2"/>
  <c r="AM19" i="2"/>
  <c r="O19" i="2"/>
  <c r="N19" i="2"/>
  <c r="K19" i="2"/>
  <c r="J19" i="2"/>
  <c r="Z19" i="2" s="1"/>
  <c r="I19" i="2"/>
  <c r="V35" i="66" s="1"/>
  <c r="G19" i="2"/>
  <c r="E19" i="2"/>
  <c r="D19" i="2"/>
  <c r="B19" i="2"/>
  <c r="AN18" i="2"/>
  <c r="AM18" i="2"/>
  <c r="O18" i="2"/>
  <c r="N18" i="2"/>
  <c r="K18" i="2"/>
  <c r="J18" i="2"/>
  <c r="I18" i="2"/>
  <c r="V34" i="66" s="1"/>
  <c r="G18" i="2"/>
  <c r="E18" i="2"/>
  <c r="D18" i="2"/>
  <c r="B18" i="2"/>
  <c r="AN17" i="2"/>
  <c r="AM17" i="2"/>
  <c r="O17" i="2"/>
  <c r="N17" i="2"/>
  <c r="K17" i="2"/>
  <c r="J17" i="2"/>
  <c r="Z17" i="2" s="1"/>
  <c r="I17" i="2"/>
  <c r="G17" i="2"/>
  <c r="E17" i="2"/>
  <c r="D17" i="2"/>
  <c r="B17" i="2"/>
  <c r="AN16" i="2"/>
  <c r="AM16" i="2"/>
  <c r="O16" i="2"/>
  <c r="N16" i="2"/>
  <c r="K16" i="2"/>
  <c r="J16" i="2"/>
  <c r="I16" i="2"/>
  <c r="V32" i="66" s="1"/>
  <c r="G16" i="2"/>
  <c r="E16" i="2"/>
  <c r="D16" i="2"/>
  <c r="B16" i="2"/>
  <c r="W254" i="70"/>
  <c r="W255" i="70" s="1"/>
  <c r="W256" i="70" s="1"/>
  <c r="W257" i="70" s="1"/>
  <c r="AS252" i="70"/>
  <c r="AS251" i="70"/>
  <c r="AS250" i="70"/>
  <c r="AS249" i="70"/>
  <c r="R249" i="70"/>
  <c r="R250" i="70" s="1"/>
  <c r="R251" i="70" s="1"/>
  <c r="AS248" i="70"/>
  <c r="S248" i="70"/>
  <c r="K248" i="70"/>
  <c r="AW247" i="70"/>
  <c r="AW249" i="70" s="1"/>
  <c r="AS247" i="70"/>
  <c r="M20" i="2"/>
  <c r="W237" i="70"/>
  <c r="W238" i="70" s="1"/>
  <c r="W239" i="70" s="1"/>
  <c r="W240" i="70" s="1"/>
  <c r="AS235" i="70"/>
  <c r="AS234" i="70"/>
  <c r="AS233" i="70"/>
  <c r="AS232" i="70"/>
  <c r="R232" i="70"/>
  <c r="R233" i="70" s="1"/>
  <c r="R234" i="70" s="1"/>
  <c r="AS231" i="70"/>
  <c r="S231" i="70"/>
  <c r="K231" i="70"/>
  <c r="AW230" i="70"/>
  <c r="AW232" i="70" s="1"/>
  <c r="AS230" i="70"/>
  <c r="I229" i="70"/>
  <c r="M19" i="2" s="1"/>
  <c r="W220" i="70"/>
  <c r="W221" i="70" s="1"/>
  <c r="W222" i="70" s="1"/>
  <c r="W223" i="70" s="1"/>
  <c r="AS218" i="70"/>
  <c r="AS217" i="70"/>
  <c r="AS216" i="70"/>
  <c r="AS215" i="70"/>
  <c r="R215" i="70"/>
  <c r="R216" i="70" s="1"/>
  <c r="R217" i="70" s="1"/>
  <c r="AS214" i="70"/>
  <c r="S214" i="70"/>
  <c r="T214" i="70" s="1"/>
  <c r="K214" i="70"/>
  <c r="AW213" i="70"/>
  <c r="AW215" i="70" s="1"/>
  <c r="AS213" i="70"/>
  <c r="I212" i="70"/>
  <c r="M18" i="2" s="1"/>
  <c r="W203" i="70"/>
  <c r="W204" i="70" s="1"/>
  <c r="W205" i="70" s="1"/>
  <c r="W206" i="70" s="1"/>
  <c r="AS201" i="70"/>
  <c r="AS200" i="70"/>
  <c r="AS199" i="70"/>
  <c r="AS198" i="70"/>
  <c r="R198" i="70"/>
  <c r="R199" i="70" s="1"/>
  <c r="R200" i="70" s="1"/>
  <c r="AS197" i="70"/>
  <c r="S197" i="70"/>
  <c r="K197" i="70"/>
  <c r="AW196" i="70"/>
  <c r="AW198" i="70" s="1"/>
  <c r="AS196" i="70"/>
  <c r="I195" i="70"/>
  <c r="M17" i="2" s="1"/>
  <c r="M33" i="66" s="1"/>
  <c r="W271" i="70"/>
  <c r="W272" i="70" s="1"/>
  <c r="W273" i="70" s="1"/>
  <c r="W274" i="70" s="1"/>
  <c r="AS269" i="70"/>
  <c r="AS268" i="70"/>
  <c r="AS267" i="70"/>
  <c r="AS266" i="70"/>
  <c r="R266" i="70"/>
  <c r="R267" i="70" s="1"/>
  <c r="R268" i="70" s="1"/>
  <c r="AS265" i="70"/>
  <c r="S265" i="70"/>
  <c r="AW264" i="70"/>
  <c r="AW266" i="70" s="1"/>
  <c r="AS264" i="70"/>
  <c r="B620" i="27"/>
  <c r="D620" i="27"/>
  <c r="E620" i="27"/>
  <c r="V620" i="27"/>
  <c r="X620" i="27" s="1"/>
  <c r="B621" i="27"/>
  <c r="D621" i="27"/>
  <c r="E621" i="27"/>
  <c r="V621" i="27"/>
  <c r="X621" i="27" s="1"/>
  <c r="B627" i="27"/>
  <c r="D627" i="27"/>
  <c r="E627" i="27"/>
  <c r="V627" i="27"/>
  <c r="X627" i="27" s="1"/>
  <c r="B628" i="27"/>
  <c r="D628" i="27"/>
  <c r="E628" i="27"/>
  <c r="V628" i="27"/>
  <c r="X628" i="27" s="1"/>
  <c r="B629" i="27"/>
  <c r="D629" i="27"/>
  <c r="E629" i="27"/>
  <c r="V629" i="27"/>
  <c r="X629" i="27" s="1"/>
  <c r="C441" i="27"/>
  <c r="D441" i="27"/>
  <c r="J441" i="27"/>
  <c r="C442" i="27"/>
  <c r="D442" i="27"/>
  <c r="J442" i="27"/>
  <c r="C443" i="27"/>
  <c r="D443" i="27"/>
  <c r="J443" i="27"/>
  <c r="C449" i="27"/>
  <c r="D449" i="27"/>
  <c r="J449" i="27"/>
  <c r="C450" i="27"/>
  <c r="D450" i="27"/>
  <c r="J450" i="27"/>
  <c r="C451" i="27"/>
  <c r="D451" i="27"/>
  <c r="J451" i="27"/>
  <c r="C452" i="27"/>
  <c r="D452" i="27"/>
  <c r="J452" i="27"/>
  <c r="C453" i="27"/>
  <c r="D453" i="27"/>
  <c r="J453" i="27"/>
  <c r="C454" i="27"/>
  <c r="D454" i="27"/>
  <c r="J454" i="27"/>
  <c r="C455" i="27"/>
  <c r="D455" i="27"/>
  <c r="J455" i="27"/>
  <c r="C456" i="27"/>
  <c r="D456" i="27"/>
  <c r="J456" i="27"/>
  <c r="C457" i="27"/>
  <c r="D457" i="27"/>
  <c r="J457" i="27"/>
  <c r="C458" i="27"/>
  <c r="D458" i="27"/>
  <c r="J458" i="27"/>
  <c r="C434" i="27"/>
  <c r="D434" i="27"/>
  <c r="J434" i="27"/>
  <c r="C435" i="27"/>
  <c r="D435" i="27"/>
  <c r="J435" i="27"/>
  <c r="C436" i="27"/>
  <c r="D436" i="27"/>
  <c r="J436" i="27"/>
  <c r="C437" i="27"/>
  <c r="D437" i="27"/>
  <c r="J437" i="27"/>
  <c r="C438" i="27"/>
  <c r="D438" i="27"/>
  <c r="J438" i="27"/>
  <c r="C439" i="27"/>
  <c r="D439" i="27"/>
  <c r="J439" i="27"/>
  <c r="C440" i="27"/>
  <c r="D440" i="27"/>
  <c r="J440" i="27"/>
  <c r="C428" i="27"/>
  <c r="D428" i="27"/>
  <c r="J428" i="27"/>
  <c r="Y212" i="27" l="1"/>
  <c r="Y166" i="27"/>
  <c r="X91" i="27"/>
  <c r="X107" i="27"/>
  <c r="Y163" i="27"/>
  <c r="Y93" i="27"/>
  <c r="X210" i="27"/>
  <c r="X223" i="27"/>
  <c r="X241" i="27"/>
  <c r="Y118" i="27"/>
  <c r="Y152" i="27"/>
  <c r="Y90" i="27"/>
  <c r="Y92" i="27"/>
  <c r="X181" i="27"/>
  <c r="X209" i="27"/>
  <c r="X242" i="27"/>
  <c r="Y227" i="27"/>
  <c r="Y274" i="27"/>
  <c r="X193" i="27"/>
  <c r="X238" i="27"/>
  <c r="AJ19" i="2"/>
  <c r="Y135" i="27"/>
  <c r="X151" i="27"/>
  <c r="Y178" i="27"/>
  <c r="S16" i="2"/>
  <c r="Y94" i="27"/>
  <c r="Y120" i="27"/>
  <c r="X164" i="27"/>
  <c r="Y180" i="27"/>
  <c r="Y226" i="27"/>
  <c r="X240" i="27"/>
  <c r="Y136" i="27"/>
  <c r="Y149" i="27"/>
  <c r="Y195" i="27"/>
  <c r="Y270" i="27"/>
  <c r="X106" i="27"/>
  <c r="X134" i="27"/>
  <c r="Y167" i="27"/>
  <c r="X211" i="27"/>
  <c r="Y208" i="27"/>
  <c r="Y273" i="27"/>
  <c r="BO32" i="70"/>
  <c r="BQ32" i="70" s="1"/>
  <c r="BJ32" i="70" s="1"/>
  <c r="Y150" i="27"/>
  <c r="Y225" i="27"/>
  <c r="Y271" i="27"/>
  <c r="X97" i="27"/>
  <c r="X89" i="27"/>
  <c r="Y137" i="27"/>
  <c r="Y196" i="27"/>
  <c r="Y194" i="27"/>
  <c r="AH19" i="2"/>
  <c r="V21" i="2"/>
  <c r="L21" i="2" s="1"/>
  <c r="X19" i="2"/>
  <c r="Y95" i="27"/>
  <c r="Y104" i="27"/>
  <c r="Y121" i="27"/>
  <c r="X21" i="2"/>
  <c r="AF21" i="2" s="1"/>
  <c r="AK19" i="2"/>
  <c r="Y239" i="27"/>
  <c r="Y96" i="27"/>
  <c r="Y88" i="27"/>
  <c r="Y105" i="27"/>
  <c r="Y122" i="27"/>
  <c r="Y148" i="27"/>
  <c r="Y165" i="27"/>
  <c r="Y182" i="27"/>
  <c r="Y224" i="27"/>
  <c r="Y272" i="27"/>
  <c r="D630" i="70"/>
  <c r="D598" i="70"/>
  <c r="D583" i="70"/>
  <c r="D568" i="70"/>
  <c r="D551" i="70"/>
  <c r="D536" i="70"/>
  <c r="D521" i="70"/>
  <c r="D506" i="70"/>
  <c r="D491" i="70"/>
  <c r="D476" i="70"/>
  <c r="D461" i="70"/>
  <c r="D446" i="70"/>
  <c r="U18" i="2"/>
  <c r="M34" i="66"/>
  <c r="U19" i="2"/>
  <c r="M35" i="66"/>
  <c r="U20" i="2"/>
  <c r="M36" i="66"/>
  <c r="C16" i="2"/>
  <c r="H16" i="2" s="1"/>
  <c r="N32" i="66" s="1"/>
  <c r="K32" i="66"/>
  <c r="J32" i="66" s="1"/>
  <c r="B16" i="19"/>
  <c r="W32" i="66"/>
  <c r="X32" i="66" s="1"/>
  <c r="F16" i="19"/>
  <c r="P32" i="66"/>
  <c r="D16" i="19"/>
  <c r="Q32" i="66"/>
  <c r="E16" i="19"/>
  <c r="K33" i="66"/>
  <c r="J33" i="66" s="1"/>
  <c r="B17" i="19"/>
  <c r="S17" i="2"/>
  <c r="AA17" i="2" s="1"/>
  <c r="V33" i="66"/>
  <c r="W33" i="66"/>
  <c r="F17" i="19"/>
  <c r="P33" i="66"/>
  <c r="D17" i="19"/>
  <c r="Q33" i="66"/>
  <c r="E17" i="19"/>
  <c r="K34" i="66"/>
  <c r="J34" i="66" s="1"/>
  <c r="B18" i="19"/>
  <c r="Z18" i="2"/>
  <c r="W34" i="66"/>
  <c r="X34" i="66" s="1"/>
  <c r="F18" i="19"/>
  <c r="P34" i="66"/>
  <c r="D18" i="19"/>
  <c r="Q34" i="66"/>
  <c r="E18" i="19"/>
  <c r="K35" i="66"/>
  <c r="J35" i="66" s="1"/>
  <c r="B19" i="19"/>
  <c r="W35" i="66"/>
  <c r="X35" i="66" s="1"/>
  <c r="F19" i="19"/>
  <c r="P35" i="66"/>
  <c r="D19" i="19"/>
  <c r="Q35" i="66"/>
  <c r="E19" i="19"/>
  <c r="K36" i="66"/>
  <c r="J36" i="66" s="1"/>
  <c r="B20" i="19"/>
  <c r="W36" i="66"/>
  <c r="X36" i="66" s="1"/>
  <c r="F20" i="19"/>
  <c r="P36" i="66"/>
  <c r="D20" i="19"/>
  <c r="Q36" i="66"/>
  <c r="E20" i="19"/>
  <c r="C21" i="2"/>
  <c r="B21" i="19"/>
  <c r="G21" i="19" s="1"/>
  <c r="H21" i="19" s="1"/>
  <c r="R19" i="71"/>
  <c r="R29" i="71" s="1"/>
  <c r="R39" i="71" s="1"/>
  <c r="R49" i="71" s="1"/>
  <c r="R59" i="71" s="1"/>
  <c r="R69" i="71" s="1"/>
  <c r="R79" i="71" s="1"/>
  <c r="R89" i="71" s="1"/>
  <c r="R99" i="71" s="1"/>
  <c r="R109" i="71" s="1"/>
  <c r="R119" i="71" s="1"/>
  <c r="R129" i="71" s="1"/>
  <c r="R139" i="71" s="1"/>
  <c r="R149" i="71" s="1"/>
  <c r="P10" i="71"/>
  <c r="P19" i="71"/>
  <c r="D19" i="71" s="1"/>
  <c r="D23" i="71"/>
  <c r="D18" i="71"/>
  <c r="P28" i="71"/>
  <c r="Q38" i="71"/>
  <c r="Q11" i="71"/>
  <c r="Q12" i="71" s="1"/>
  <c r="Q20" i="71"/>
  <c r="D9" i="71"/>
  <c r="Q19" i="71"/>
  <c r="R23" i="71"/>
  <c r="R33" i="71" s="1"/>
  <c r="R43" i="71" s="1"/>
  <c r="R53" i="71" s="1"/>
  <c r="R63" i="71" s="1"/>
  <c r="R73" i="71" s="1"/>
  <c r="R83" i="71" s="1"/>
  <c r="R93" i="71" s="1"/>
  <c r="R103" i="71" s="1"/>
  <c r="R113" i="71" s="1"/>
  <c r="R123" i="71" s="1"/>
  <c r="R133" i="71" s="1"/>
  <c r="R143" i="71" s="1"/>
  <c r="R153" i="71" s="1"/>
  <c r="R22" i="71"/>
  <c r="R32" i="71" s="1"/>
  <c r="R42" i="71" s="1"/>
  <c r="R52" i="71" s="1"/>
  <c r="R62" i="71" s="1"/>
  <c r="R72" i="71" s="1"/>
  <c r="R82" i="71" s="1"/>
  <c r="R92" i="71" s="1"/>
  <c r="R102" i="71" s="1"/>
  <c r="R112" i="71" s="1"/>
  <c r="R122" i="71" s="1"/>
  <c r="R132" i="71" s="1"/>
  <c r="R142" i="71" s="1"/>
  <c r="R152" i="71" s="1"/>
  <c r="R21" i="71"/>
  <c r="R31" i="71" s="1"/>
  <c r="R41" i="71" s="1"/>
  <c r="R51" i="71" s="1"/>
  <c r="R61" i="71" s="1"/>
  <c r="R71" i="71" s="1"/>
  <c r="R81" i="71" s="1"/>
  <c r="R91" i="71" s="1"/>
  <c r="R101" i="71" s="1"/>
  <c r="R111" i="71" s="1"/>
  <c r="R121" i="71" s="1"/>
  <c r="R131" i="71" s="1"/>
  <c r="R141" i="71" s="1"/>
  <c r="R151" i="71" s="1"/>
  <c r="R20" i="71"/>
  <c r="R30" i="71" s="1"/>
  <c r="R40" i="71" s="1"/>
  <c r="R50" i="71" s="1"/>
  <c r="R60" i="71" s="1"/>
  <c r="R70" i="71" s="1"/>
  <c r="R80" i="71" s="1"/>
  <c r="R90" i="71" s="1"/>
  <c r="R100" i="71" s="1"/>
  <c r="R110" i="71" s="1"/>
  <c r="R120" i="71" s="1"/>
  <c r="R130" i="71" s="1"/>
  <c r="R140" i="71" s="1"/>
  <c r="R150" i="71" s="1"/>
  <c r="R15" i="71"/>
  <c r="N20" i="61"/>
  <c r="E20" i="61" s="1"/>
  <c r="O21" i="61"/>
  <c r="O26" i="61"/>
  <c r="N10" i="61"/>
  <c r="O10" i="61"/>
  <c r="E9" i="61"/>
  <c r="N15" i="61"/>
  <c r="O12" i="60"/>
  <c r="O13" i="60" s="1"/>
  <c r="O14" i="60" s="1"/>
  <c r="O15" i="60" s="1"/>
  <c r="O16" i="60" s="1"/>
  <c r="O17" i="60" s="1"/>
  <c r="O18" i="60" s="1"/>
  <c r="O19" i="60" s="1"/>
  <c r="O20" i="60" s="1"/>
  <c r="O21" i="60" s="1"/>
  <c r="O22" i="60" s="1"/>
  <c r="O23" i="60" s="1"/>
  <c r="O38" i="60" s="1"/>
  <c r="O53" i="60" s="1"/>
  <c r="O68" i="60" s="1"/>
  <c r="O83" i="60" s="1"/>
  <c r="O98" i="60" s="1"/>
  <c r="O113" i="60" s="1"/>
  <c r="O128" i="60" s="1"/>
  <c r="O143" i="60" s="1"/>
  <c r="O158" i="60" s="1"/>
  <c r="O173" i="60" s="1"/>
  <c r="O188" i="60" s="1"/>
  <c r="O203" i="60" s="1"/>
  <c r="O218" i="60" s="1"/>
  <c r="O233" i="60" s="1"/>
  <c r="P12" i="60"/>
  <c r="P13" i="60" s="1"/>
  <c r="P14" i="60" s="1"/>
  <c r="P15" i="60" s="1"/>
  <c r="P16" i="60" s="1"/>
  <c r="P17" i="60" s="1"/>
  <c r="P18" i="60" s="1"/>
  <c r="P19" i="60" s="1"/>
  <c r="P20" i="60" s="1"/>
  <c r="P21" i="60" s="1"/>
  <c r="P22" i="60" s="1"/>
  <c r="P23" i="60" s="1"/>
  <c r="P38" i="60" s="1"/>
  <c r="P53" i="60" s="1"/>
  <c r="P41" i="60"/>
  <c r="P55" i="60"/>
  <c r="O34" i="60"/>
  <c r="O49" i="60" s="1"/>
  <c r="O64" i="60" s="1"/>
  <c r="O79" i="60" s="1"/>
  <c r="O94" i="60" s="1"/>
  <c r="O109" i="60" s="1"/>
  <c r="O124" i="60" s="1"/>
  <c r="O139" i="60" s="1"/>
  <c r="O154" i="60" s="1"/>
  <c r="O169" i="60" s="1"/>
  <c r="O184" i="60" s="1"/>
  <c r="O199" i="60" s="1"/>
  <c r="O214" i="60" s="1"/>
  <c r="O229" i="60" s="1"/>
  <c r="O27" i="60"/>
  <c r="O42" i="60" s="1"/>
  <c r="O57" i="60" s="1"/>
  <c r="O72" i="60" s="1"/>
  <c r="O87" i="60" s="1"/>
  <c r="O102" i="60" s="1"/>
  <c r="O117" i="60" s="1"/>
  <c r="O132" i="60" s="1"/>
  <c r="O147" i="60" s="1"/>
  <c r="O162" i="60" s="1"/>
  <c r="O177" i="60" s="1"/>
  <c r="O192" i="60" s="1"/>
  <c r="O207" i="60" s="1"/>
  <c r="O222" i="60" s="1"/>
  <c r="O28" i="60"/>
  <c r="O43" i="60" s="1"/>
  <c r="O58" i="60" s="1"/>
  <c r="O73" i="60" s="1"/>
  <c r="O88" i="60" s="1"/>
  <c r="O103" i="60" s="1"/>
  <c r="O118" i="60" s="1"/>
  <c r="O133" i="60" s="1"/>
  <c r="O148" i="60" s="1"/>
  <c r="O163" i="60" s="1"/>
  <c r="O178" i="60" s="1"/>
  <c r="O193" i="60" s="1"/>
  <c r="O208" i="60" s="1"/>
  <c r="O223" i="60" s="1"/>
  <c r="O30" i="60"/>
  <c r="O45" i="60" s="1"/>
  <c r="O60" i="60" s="1"/>
  <c r="O75" i="60" s="1"/>
  <c r="O90" i="60" s="1"/>
  <c r="O105" i="60" s="1"/>
  <c r="O120" i="60" s="1"/>
  <c r="O135" i="60" s="1"/>
  <c r="O150" i="60" s="1"/>
  <c r="O165" i="60" s="1"/>
  <c r="O180" i="60" s="1"/>
  <c r="O195" i="60" s="1"/>
  <c r="O210" i="60" s="1"/>
  <c r="O225" i="60" s="1"/>
  <c r="O32" i="60"/>
  <c r="O47" i="60" s="1"/>
  <c r="O62" i="60" s="1"/>
  <c r="O77" i="60" s="1"/>
  <c r="O92" i="60" s="1"/>
  <c r="O107" i="60" s="1"/>
  <c r="O122" i="60" s="1"/>
  <c r="O137" i="60" s="1"/>
  <c r="O152" i="60" s="1"/>
  <c r="O167" i="60" s="1"/>
  <c r="O182" i="60" s="1"/>
  <c r="O197" i="60" s="1"/>
  <c r="O212" i="60" s="1"/>
  <c r="O227" i="60" s="1"/>
  <c r="BO31" i="70"/>
  <c r="BP31" i="70" s="1"/>
  <c r="BK31" i="70" s="1"/>
  <c r="BO27" i="70"/>
  <c r="BP27" i="70" s="1"/>
  <c r="BK27" i="70" s="1"/>
  <c r="BO36" i="70"/>
  <c r="BQ36" i="70" s="1"/>
  <c r="BJ36" i="70" s="1"/>
  <c r="BO28" i="70"/>
  <c r="BQ28" i="70" s="1"/>
  <c r="BJ28" i="70" s="1"/>
  <c r="BX24" i="70"/>
  <c r="BX27" i="70" s="1"/>
  <c r="BO38" i="70"/>
  <c r="BQ38" i="70" s="1"/>
  <c r="BJ38" i="70" s="1"/>
  <c r="BO25" i="70"/>
  <c r="BQ25" i="70" s="1"/>
  <c r="BJ25" i="70" s="1"/>
  <c r="BO34" i="70"/>
  <c r="BQ34" i="70" s="1"/>
  <c r="BJ34" i="70" s="1"/>
  <c r="S21" i="2"/>
  <c r="BO30" i="70"/>
  <c r="BQ30" i="70" s="1"/>
  <c r="BJ30" i="70" s="1"/>
  <c r="BO39" i="70"/>
  <c r="BP39" i="70" s="1"/>
  <c r="BK39" i="70" s="1"/>
  <c r="BO26" i="70"/>
  <c r="BQ26" i="70" s="1"/>
  <c r="BJ26" i="70" s="1"/>
  <c r="BO35" i="70"/>
  <c r="BP35" i="70" s="1"/>
  <c r="BK35" i="70" s="1"/>
  <c r="BX28" i="70"/>
  <c r="BX32" i="70"/>
  <c r="BX36" i="70"/>
  <c r="BX40" i="70"/>
  <c r="BX35" i="70"/>
  <c r="BX39" i="70"/>
  <c r="BX26" i="70"/>
  <c r="BX30" i="70"/>
  <c r="BX34" i="70"/>
  <c r="BX38" i="70"/>
  <c r="BX29" i="70"/>
  <c r="BX33" i="70"/>
  <c r="BX37" i="70"/>
  <c r="BH37" i="70"/>
  <c r="BA37" i="70" s="1"/>
  <c r="BO37" i="70"/>
  <c r="BO40" i="70"/>
  <c r="BQ40" i="70" s="1"/>
  <c r="BJ40" i="70" s="1"/>
  <c r="BO29" i="70"/>
  <c r="BO41" i="70"/>
  <c r="BO33" i="70"/>
  <c r="BP42" i="70"/>
  <c r="BK42" i="70" s="1"/>
  <c r="BG41" i="70"/>
  <c r="BB41" i="70" s="1"/>
  <c r="BG33" i="70"/>
  <c r="BB33" i="70" s="1"/>
  <c r="BH29" i="70"/>
  <c r="BA29" i="70" s="1"/>
  <c r="BG25" i="70"/>
  <c r="BB25" i="70" s="1"/>
  <c r="BG28" i="70"/>
  <c r="BB28" i="70" s="1"/>
  <c r="BG32" i="70"/>
  <c r="BB32" i="70" s="1"/>
  <c r="BG36" i="70"/>
  <c r="BB36" i="70" s="1"/>
  <c r="BG40" i="70"/>
  <c r="BB40" i="70" s="1"/>
  <c r="BG27" i="70"/>
  <c r="BB27" i="70" s="1"/>
  <c r="BG31" i="70"/>
  <c r="BB31" i="70" s="1"/>
  <c r="BG35" i="70"/>
  <c r="BB35" i="70" s="1"/>
  <c r="BG39" i="70"/>
  <c r="BB39" i="70" s="1"/>
  <c r="BG26" i="70"/>
  <c r="BB26" i="70" s="1"/>
  <c r="BG30" i="70"/>
  <c r="BB30" i="70" s="1"/>
  <c r="BG34" i="70"/>
  <c r="BB34" i="70" s="1"/>
  <c r="BG38" i="70"/>
  <c r="BB38" i="70" s="1"/>
  <c r="BG42" i="70"/>
  <c r="BB42" i="70" s="1"/>
  <c r="AD21" i="2"/>
  <c r="U21" i="2"/>
  <c r="AQ21" i="2"/>
  <c r="AH21" i="2"/>
  <c r="AK21" i="2" s="1"/>
  <c r="F21" i="2"/>
  <c r="H21" i="2"/>
  <c r="AJ21" i="2"/>
  <c r="W21" i="2"/>
  <c r="U17" i="2"/>
  <c r="V18" i="2"/>
  <c r="L18" i="2" s="1"/>
  <c r="X18" i="2"/>
  <c r="AW216" i="70"/>
  <c r="AW218" i="70" s="1"/>
  <c r="AW233" i="70"/>
  <c r="AW235" i="70" s="1"/>
  <c r="S18" i="2"/>
  <c r="V20" i="2"/>
  <c r="L20" i="2" s="1"/>
  <c r="V17" i="2"/>
  <c r="L17" i="2" s="1"/>
  <c r="AW250" i="70"/>
  <c r="AL17" i="2"/>
  <c r="AL18" i="2"/>
  <c r="AK17" i="2"/>
  <c r="V19" i="2"/>
  <c r="L19" i="2" s="1"/>
  <c r="AJ18" i="2"/>
  <c r="AJ17" i="2"/>
  <c r="AH18" i="2"/>
  <c r="AI17" i="2"/>
  <c r="AL20" i="2"/>
  <c r="AH20" i="2"/>
  <c r="Z20" i="2"/>
  <c r="X20" i="2"/>
  <c r="AJ20" i="2"/>
  <c r="S20" i="2"/>
  <c r="AH17" i="2"/>
  <c r="X17" i="2"/>
  <c r="AQ16" i="2"/>
  <c r="AH16" i="2"/>
  <c r="AK16" i="2" s="1"/>
  <c r="AI19" i="2"/>
  <c r="S19" i="2"/>
  <c r="W16" i="2"/>
  <c r="AK20" i="2"/>
  <c r="AK18" i="2"/>
  <c r="AI20" i="2"/>
  <c r="AI18" i="2"/>
  <c r="AL19" i="2"/>
  <c r="S249" i="70"/>
  <c r="S232" i="70"/>
  <c r="S251" i="70"/>
  <c r="R252" i="70"/>
  <c r="S250" i="70"/>
  <c r="T248" i="70"/>
  <c r="M212" i="70"/>
  <c r="Q18" i="2" s="1"/>
  <c r="S234" i="70"/>
  <c r="R235" i="70"/>
  <c r="S215" i="70"/>
  <c r="T215" i="70" s="1"/>
  <c r="S233" i="70"/>
  <c r="T231" i="70"/>
  <c r="S217" i="70"/>
  <c r="R218" i="70"/>
  <c r="S198" i="70"/>
  <c r="S216" i="70"/>
  <c r="AW199" i="70"/>
  <c r="S200" i="70"/>
  <c r="R201" i="70"/>
  <c r="S199" i="70"/>
  <c r="T197" i="70"/>
  <c r="AW267" i="70"/>
  <c r="AW269" i="70" s="1"/>
  <c r="Y628" i="27"/>
  <c r="Y627" i="27"/>
  <c r="Y629" i="27"/>
  <c r="S266" i="70"/>
  <c r="Y620" i="27"/>
  <c r="Y621" i="27"/>
  <c r="S268" i="70"/>
  <c r="R269" i="70"/>
  <c r="S267" i="70"/>
  <c r="T265" i="70"/>
  <c r="AE21" i="2" l="1"/>
  <c r="AI21" i="2" s="1"/>
  <c r="Z21" i="2" s="1"/>
  <c r="M229" i="70"/>
  <c r="Q19" i="2" s="1"/>
  <c r="J19" i="19" s="1"/>
  <c r="F16" i="2"/>
  <c r="BP32" i="70"/>
  <c r="BK32" i="70" s="1"/>
  <c r="O31" i="60"/>
  <c r="O46" i="60" s="1"/>
  <c r="O61" i="60" s="1"/>
  <c r="O76" i="60" s="1"/>
  <c r="O91" i="60" s="1"/>
  <c r="O106" i="60" s="1"/>
  <c r="O121" i="60" s="1"/>
  <c r="O136" i="60" s="1"/>
  <c r="O151" i="60" s="1"/>
  <c r="O166" i="60" s="1"/>
  <c r="O181" i="60" s="1"/>
  <c r="O196" i="60" s="1"/>
  <c r="O211" i="60" s="1"/>
  <c r="O226" i="60" s="1"/>
  <c r="O35" i="60"/>
  <c r="O50" i="60" s="1"/>
  <c r="O65" i="60" s="1"/>
  <c r="O80" i="60" s="1"/>
  <c r="O95" i="60" s="1"/>
  <c r="O110" i="60" s="1"/>
  <c r="O125" i="60" s="1"/>
  <c r="O140" i="60" s="1"/>
  <c r="O155" i="60" s="1"/>
  <c r="O170" i="60" s="1"/>
  <c r="O185" i="60" s="1"/>
  <c r="O200" i="60" s="1"/>
  <c r="O215" i="60" s="1"/>
  <c r="O230" i="60" s="1"/>
  <c r="O37" i="60"/>
  <c r="O52" i="60" s="1"/>
  <c r="O67" i="60" s="1"/>
  <c r="O82" i="60" s="1"/>
  <c r="O97" i="60" s="1"/>
  <c r="O112" i="60" s="1"/>
  <c r="O127" i="60" s="1"/>
  <c r="O142" i="60" s="1"/>
  <c r="O157" i="60" s="1"/>
  <c r="O172" i="60" s="1"/>
  <c r="O187" i="60" s="1"/>
  <c r="O202" i="60" s="1"/>
  <c r="O217" i="60" s="1"/>
  <c r="O232" i="60" s="1"/>
  <c r="O33" i="60"/>
  <c r="O48" i="60" s="1"/>
  <c r="O63" i="60" s="1"/>
  <c r="O78" i="60" s="1"/>
  <c r="O93" i="60" s="1"/>
  <c r="O108" i="60" s="1"/>
  <c r="O123" i="60" s="1"/>
  <c r="O138" i="60" s="1"/>
  <c r="O153" i="60" s="1"/>
  <c r="O168" i="60" s="1"/>
  <c r="O183" i="60" s="1"/>
  <c r="O198" i="60" s="1"/>
  <c r="O213" i="60" s="1"/>
  <c r="O228" i="60" s="1"/>
  <c r="P29" i="71"/>
  <c r="P39" i="71" s="1"/>
  <c r="P49" i="71" s="1"/>
  <c r="P59" i="71" s="1"/>
  <c r="P69" i="71" s="1"/>
  <c r="P79" i="71" s="1"/>
  <c r="D79" i="71" s="1"/>
  <c r="BX25" i="70"/>
  <c r="BZ25" i="70" s="1"/>
  <c r="BS25" i="70" s="1"/>
  <c r="BX31" i="70"/>
  <c r="BY31" i="70" s="1"/>
  <c r="BT31" i="70" s="1"/>
  <c r="O29" i="60"/>
  <c r="O44" i="60" s="1"/>
  <c r="O59" i="60" s="1"/>
  <c r="O74" i="60" s="1"/>
  <c r="O89" i="60" s="1"/>
  <c r="O104" i="60" s="1"/>
  <c r="O119" i="60" s="1"/>
  <c r="O134" i="60" s="1"/>
  <c r="O149" i="60" s="1"/>
  <c r="O164" i="60" s="1"/>
  <c r="O179" i="60" s="1"/>
  <c r="O194" i="60" s="1"/>
  <c r="O209" i="60" s="1"/>
  <c r="O224" i="60" s="1"/>
  <c r="AG21" i="2"/>
  <c r="BX42" i="70"/>
  <c r="BZ42" i="70" s="1"/>
  <c r="BS42" i="70" s="1"/>
  <c r="O36" i="60"/>
  <c r="O51" i="60" s="1"/>
  <c r="O66" i="60" s="1"/>
  <c r="O81" i="60" s="1"/>
  <c r="O96" i="60" s="1"/>
  <c r="O111" i="60" s="1"/>
  <c r="O126" i="60" s="1"/>
  <c r="O141" i="60" s="1"/>
  <c r="O156" i="60" s="1"/>
  <c r="O171" i="60" s="1"/>
  <c r="O186" i="60" s="1"/>
  <c r="O201" i="60" s="1"/>
  <c r="O216" i="60" s="1"/>
  <c r="O231" i="60" s="1"/>
  <c r="C21" i="19"/>
  <c r="D631" i="70"/>
  <c r="D599" i="70"/>
  <c r="D584" i="70"/>
  <c r="D569" i="70"/>
  <c r="D552" i="70"/>
  <c r="D537" i="70"/>
  <c r="D522" i="70"/>
  <c r="D507" i="70"/>
  <c r="D492" i="70"/>
  <c r="D477" i="70"/>
  <c r="D462" i="70"/>
  <c r="D447" i="70"/>
  <c r="AW201" i="70"/>
  <c r="M195" i="70"/>
  <c r="Q17" i="2" s="1"/>
  <c r="J18" i="19"/>
  <c r="S34" i="66"/>
  <c r="G20" i="19"/>
  <c r="H20" i="19" s="1"/>
  <c r="G19" i="19"/>
  <c r="H19" i="19" s="1"/>
  <c r="G18" i="19"/>
  <c r="H18" i="19" s="1"/>
  <c r="G17" i="19"/>
  <c r="H17" i="19" s="1"/>
  <c r="X33" i="66"/>
  <c r="G16" i="19"/>
  <c r="H16" i="19" s="1"/>
  <c r="L32" i="66"/>
  <c r="C16" i="19"/>
  <c r="D85" i="71"/>
  <c r="D29" i="71"/>
  <c r="D45" i="71"/>
  <c r="D25" i="71"/>
  <c r="D35" i="71"/>
  <c r="D55" i="71"/>
  <c r="D39" i="71"/>
  <c r="D59" i="71"/>
  <c r="D65" i="71"/>
  <c r="D69" i="71"/>
  <c r="P11" i="71"/>
  <c r="D10" i="71"/>
  <c r="P20" i="71"/>
  <c r="Q29" i="71"/>
  <c r="Q48" i="71"/>
  <c r="D75" i="71"/>
  <c r="P89" i="71"/>
  <c r="D49" i="71"/>
  <c r="Q22" i="71"/>
  <c r="R16" i="71"/>
  <c r="R26" i="71" s="1"/>
  <c r="R36" i="71" s="1"/>
  <c r="R46" i="71" s="1"/>
  <c r="R56" i="71" s="1"/>
  <c r="R66" i="71" s="1"/>
  <c r="R76" i="71" s="1"/>
  <c r="R86" i="71" s="1"/>
  <c r="R96" i="71" s="1"/>
  <c r="R106" i="71" s="1"/>
  <c r="R116" i="71" s="1"/>
  <c r="R126" i="71" s="1"/>
  <c r="R136" i="71" s="1"/>
  <c r="R146" i="71" s="1"/>
  <c r="R156" i="71" s="1"/>
  <c r="R25" i="71"/>
  <c r="R35" i="71" s="1"/>
  <c r="R45" i="71" s="1"/>
  <c r="R55" i="71" s="1"/>
  <c r="R65" i="71" s="1"/>
  <c r="R75" i="71" s="1"/>
  <c r="R85" i="71" s="1"/>
  <c r="R95" i="71" s="1"/>
  <c r="R105" i="71" s="1"/>
  <c r="R115" i="71" s="1"/>
  <c r="R125" i="71" s="1"/>
  <c r="R135" i="71" s="1"/>
  <c r="R145" i="71" s="1"/>
  <c r="R155" i="71" s="1"/>
  <c r="Q30" i="71"/>
  <c r="D33" i="71"/>
  <c r="D28" i="71"/>
  <c r="P38" i="71"/>
  <c r="Q21" i="71"/>
  <c r="Q13" i="71"/>
  <c r="N26" i="61"/>
  <c r="E26" i="61" s="1"/>
  <c r="O32" i="61"/>
  <c r="N21" i="61"/>
  <c r="E15" i="61"/>
  <c r="O11" i="61"/>
  <c r="O16" i="61"/>
  <c r="N11" i="61"/>
  <c r="N16" i="61"/>
  <c r="E10" i="61"/>
  <c r="O27" i="61"/>
  <c r="AA21" i="2"/>
  <c r="P36" i="60"/>
  <c r="P51" i="60" s="1"/>
  <c r="P29" i="60"/>
  <c r="P30" i="60"/>
  <c r="P27" i="60"/>
  <c r="P42" i="60" s="1"/>
  <c r="P28" i="60"/>
  <c r="P43" i="60" s="1"/>
  <c r="P37" i="60"/>
  <c r="P52" i="60" s="1"/>
  <c r="P35" i="60"/>
  <c r="P33" i="60"/>
  <c r="P48" i="60" s="1"/>
  <c r="P31" i="60"/>
  <c r="P34" i="60"/>
  <c r="P32" i="60"/>
  <c r="P47" i="60" s="1"/>
  <c r="P70" i="60"/>
  <c r="P68" i="60"/>
  <c r="P56" i="60"/>
  <c r="P44" i="60"/>
  <c r="BP30" i="70"/>
  <c r="BK30" i="70" s="1"/>
  <c r="BQ35" i="70"/>
  <c r="BJ35" i="70" s="1"/>
  <c r="BQ31" i="70"/>
  <c r="BJ31" i="70" s="1"/>
  <c r="BP38" i="70"/>
  <c r="BK38" i="70" s="1"/>
  <c r="BP26" i="70"/>
  <c r="BK26" i="70" s="1"/>
  <c r="BP36" i="70"/>
  <c r="BK36" i="70" s="1"/>
  <c r="BP28" i="70"/>
  <c r="BK28" i="70" s="1"/>
  <c r="BQ39" i="70"/>
  <c r="BJ39" i="70" s="1"/>
  <c r="BP25" i="70"/>
  <c r="BK25" i="70" s="1"/>
  <c r="T249" i="70"/>
  <c r="T250" i="70" s="1"/>
  <c r="T251" i="70" s="1"/>
  <c r="BP34" i="70"/>
  <c r="BK34" i="70" s="1"/>
  <c r="BQ27" i="70"/>
  <c r="BJ27" i="70" s="1"/>
  <c r="AW252" i="70"/>
  <c r="M246" i="70"/>
  <c r="Q20" i="2" s="1"/>
  <c r="BX41" i="70"/>
  <c r="CG24" i="70"/>
  <c r="BZ27" i="70"/>
  <c r="BS27" i="70" s="1"/>
  <c r="BY27" i="70"/>
  <c r="BT27" i="70" s="1"/>
  <c r="BZ38" i="70"/>
  <c r="BS38" i="70" s="1"/>
  <c r="BY38" i="70"/>
  <c r="BT38" i="70" s="1"/>
  <c r="BZ40" i="70"/>
  <c r="BS40" i="70" s="1"/>
  <c r="BY40" i="70"/>
  <c r="BT40" i="70" s="1"/>
  <c r="BZ34" i="70"/>
  <c r="BS34" i="70" s="1"/>
  <c r="BY34" i="70"/>
  <c r="BT34" i="70" s="1"/>
  <c r="BZ36" i="70"/>
  <c r="BS36" i="70" s="1"/>
  <c r="BY36" i="70"/>
  <c r="BT36" i="70" s="1"/>
  <c r="BZ30" i="70"/>
  <c r="BS30" i="70" s="1"/>
  <c r="BY30" i="70"/>
  <c r="BT30" i="70" s="1"/>
  <c r="BZ32" i="70"/>
  <c r="BS32" i="70" s="1"/>
  <c r="BY32" i="70"/>
  <c r="BT32" i="70" s="1"/>
  <c r="BZ37" i="70"/>
  <c r="BS37" i="70" s="1"/>
  <c r="BY37" i="70"/>
  <c r="BT37" i="70" s="1"/>
  <c r="BZ26" i="70"/>
  <c r="BS26" i="70" s="1"/>
  <c r="BY26" i="70"/>
  <c r="BT26" i="70" s="1"/>
  <c r="BZ28" i="70"/>
  <c r="BS28" i="70" s="1"/>
  <c r="BY28" i="70"/>
  <c r="BT28" i="70" s="1"/>
  <c r="BZ33" i="70"/>
  <c r="BS33" i="70" s="1"/>
  <c r="BY33" i="70"/>
  <c r="BT33" i="70" s="1"/>
  <c r="BZ39" i="70"/>
  <c r="BS39" i="70" s="1"/>
  <c r="BY39" i="70"/>
  <c r="BT39" i="70" s="1"/>
  <c r="BZ29" i="70"/>
  <c r="BS29" i="70" s="1"/>
  <c r="BY29" i="70"/>
  <c r="BT29" i="70" s="1"/>
  <c r="BZ35" i="70"/>
  <c r="BS35" i="70" s="1"/>
  <c r="BY35" i="70"/>
  <c r="BT35" i="70" s="1"/>
  <c r="BP40" i="70"/>
  <c r="BK40" i="70" s="1"/>
  <c r="BQ33" i="70"/>
  <c r="BJ33" i="70" s="1"/>
  <c r="BP33" i="70"/>
  <c r="BK33" i="70" s="1"/>
  <c r="BQ41" i="70"/>
  <c r="BJ41" i="70" s="1"/>
  <c r="BP41" i="70"/>
  <c r="BK41" i="70" s="1"/>
  <c r="BQ29" i="70"/>
  <c r="BJ29" i="70" s="1"/>
  <c r="BP29" i="70"/>
  <c r="BK29" i="70" s="1"/>
  <c r="BQ37" i="70"/>
  <c r="BJ37" i="70" s="1"/>
  <c r="BP37" i="70"/>
  <c r="BK37" i="70" s="1"/>
  <c r="AE16" i="2"/>
  <c r="AI16" i="2" s="1"/>
  <c r="Z16" i="2" s="1"/>
  <c r="AA16" i="2" s="1"/>
  <c r="AC21" i="2"/>
  <c r="T232" i="70"/>
  <c r="T233" i="70" s="1"/>
  <c r="T234" i="70" s="1"/>
  <c r="AA18" i="2"/>
  <c r="AA20" i="2"/>
  <c r="AA19" i="2"/>
  <c r="T266" i="70"/>
  <c r="T267" i="70" s="1"/>
  <c r="T268" i="70" s="1"/>
  <c r="R253" i="70"/>
  <c r="S252" i="70"/>
  <c r="R236" i="70"/>
  <c r="S235" i="70"/>
  <c r="T216" i="70"/>
  <c r="T217" i="70" s="1"/>
  <c r="S218" i="70"/>
  <c r="R219" i="70"/>
  <c r="T198" i="70"/>
  <c r="T199" i="70" s="1"/>
  <c r="T200" i="70" s="1"/>
  <c r="R202" i="70"/>
  <c r="S201" i="70"/>
  <c r="R270" i="70"/>
  <c r="S269" i="70"/>
  <c r="B124" i="52"/>
  <c r="B123" i="52"/>
  <c r="T86" i="52"/>
  <c r="T83" i="52"/>
  <c r="P83" i="52"/>
  <c r="T82" i="52"/>
  <c r="P82" i="52"/>
  <c r="T81" i="52"/>
  <c r="P81" i="52"/>
  <c r="T80" i="52"/>
  <c r="P80" i="52"/>
  <c r="T79" i="52"/>
  <c r="P79" i="52"/>
  <c r="T78" i="52"/>
  <c r="P78" i="52"/>
  <c r="T77" i="52"/>
  <c r="P77" i="52"/>
  <c r="M68" i="52"/>
  <c r="N68" i="52" s="1"/>
  <c r="O68" i="52" s="1"/>
  <c r="P68" i="52" s="1"/>
  <c r="P66" i="52"/>
  <c r="O66" i="52"/>
  <c r="N66" i="52"/>
  <c r="M66" i="52"/>
  <c r="L66" i="52"/>
  <c r="M45" i="52"/>
  <c r="N45" i="52" s="1"/>
  <c r="O45" i="52" s="1"/>
  <c r="P45" i="52" s="1"/>
  <c r="P43" i="52"/>
  <c r="O43" i="52"/>
  <c r="N43" i="52"/>
  <c r="M43" i="52"/>
  <c r="L43" i="52"/>
  <c r="K43" i="52"/>
  <c r="J43" i="52"/>
  <c r="I43" i="52"/>
  <c r="H43" i="52"/>
  <c r="G43" i="52"/>
  <c r="F43" i="52"/>
  <c r="E43" i="52"/>
  <c r="D43" i="52"/>
  <c r="C43" i="52"/>
  <c r="S35" i="66" l="1"/>
  <c r="P7" i="98"/>
  <c r="A39" i="48" s="1"/>
  <c r="P8" i="98"/>
  <c r="A40" i="48" s="1"/>
  <c r="Q6" i="98"/>
  <c r="B38" i="48" s="1"/>
  <c r="R8" i="98"/>
  <c r="C40" i="48" s="1"/>
  <c r="S8" i="98"/>
  <c r="D40" i="48" s="1"/>
  <c r="U6" i="98"/>
  <c r="F38" i="48" s="1"/>
  <c r="U8" i="98"/>
  <c r="F40" i="48" s="1"/>
  <c r="V6" i="98"/>
  <c r="G38" i="48" s="1"/>
  <c r="W6" i="98"/>
  <c r="H38" i="48" s="1"/>
  <c r="X7" i="98"/>
  <c r="I39" i="48" s="1"/>
  <c r="X8" i="98"/>
  <c r="I40" i="48" s="1"/>
  <c r="X6" i="98"/>
  <c r="I38" i="48" s="1"/>
  <c r="Y6" i="98"/>
  <c r="J38" i="48" s="1"/>
  <c r="Y8" i="98"/>
  <c r="J40" i="48" s="1"/>
  <c r="Q7" i="98"/>
  <c r="B39" i="48" s="1"/>
  <c r="U7" i="98"/>
  <c r="F39" i="48" s="1"/>
  <c r="Y7" i="98"/>
  <c r="J39" i="48" s="1"/>
  <c r="P6" i="98"/>
  <c r="A38" i="48" s="1"/>
  <c r="Q8" i="98"/>
  <c r="B40" i="48" s="1"/>
  <c r="W7" i="98"/>
  <c r="H39" i="48" s="1"/>
  <c r="W8" i="98"/>
  <c r="H40" i="48" s="1"/>
  <c r="R7" i="98"/>
  <c r="C39" i="48" s="1"/>
  <c r="V8" i="98"/>
  <c r="G40" i="48" s="1"/>
  <c r="S7" i="98"/>
  <c r="D39" i="48" s="1"/>
  <c r="V7" i="98"/>
  <c r="G39" i="48" s="1"/>
  <c r="R6" i="98"/>
  <c r="C38" i="48" s="1"/>
  <c r="S6" i="98"/>
  <c r="D38" i="48" s="1"/>
  <c r="T6" i="98"/>
  <c r="E38" i="48" s="1"/>
  <c r="T7" i="98"/>
  <c r="E39" i="48" s="1"/>
  <c r="T8" i="98"/>
  <c r="E40" i="48" s="1"/>
  <c r="BZ31" i="70"/>
  <c r="BS31" i="70" s="1"/>
  <c r="BY42" i="70"/>
  <c r="BT42" i="70" s="1"/>
  <c r="BY25" i="70"/>
  <c r="BT25" i="70" s="1"/>
  <c r="N32" i="61"/>
  <c r="D632" i="70"/>
  <c r="D600" i="70"/>
  <c r="D585" i="70"/>
  <c r="D570" i="70"/>
  <c r="D553" i="70"/>
  <c r="D538" i="70"/>
  <c r="D523" i="70"/>
  <c r="D508" i="70"/>
  <c r="D493" i="70"/>
  <c r="D478" i="70"/>
  <c r="D463" i="70"/>
  <c r="D448" i="70"/>
  <c r="J20" i="19"/>
  <c r="S36" i="66"/>
  <c r="J17" i="19"/>
  <c r="S33" i="66"/>
  <c r="D20" i="71"/>
  <c r="P30" i="71"/>
  <c r="P12" i="71"/>
  <c r="D11" i="71"/>
  <c r="P21" i="71"/>
  <c r="Q23" i="71"/>
  <c r="Q58" i="71"/>
  <c r="P99" i="71"/>
  <c r="D89" i="71"/>
  <c r="D95" i="71"/>
  <c r="Q39" i="71"/>
  <c r="Q40" i="71"/>
  <c r="Q31" i="71"/>
  <c r="D38" i="71"/>
  <c r="P48" i="71"/>
  <c r="D43" i="71"/>
  <c r="Q32" i="71"/>
  <c r="Q14" i="71"/>
  <c r="N27" i="61"/>
  <c r="E21" i="61"/>
  <c r="O12" i="61"/>
  <c r="O17" i="61"/>
  <c r="O33" i="61"/>
  <c r="N22" i="61"/>
  <c r="E16" i="61"/>
  <c r="E32" i="61"/>
  <c r="N38" i="61"/>
  <c r="O22" i="61"/>
  <c r="O38" i="61"/>
  <c r="N12" i="61"/>
  <c r="N17" i="61"/>
  <c r="E11" i="61"/>
  <c r="P50" i="60"/>
  <c r="P45" i="60"/>
  <c r="P49" i="60"/>
  <c r="P46" i="60"/>
  <c r="P61" i="60" s="1"/>
  <c r="P67" i="60"/>
  <c r="P62" i="60"/>
  <c r="P85" i="60"/>
  <c r="P59" i="60"/>
  <c r="P66" i="60"/>
  <c r="P57" i="60"/>
  <c r="P63" i="60"/>
  <c r="P58" i="60"/>
  <c r="P71" i="60"/>
  <c r="P83" i="60"/>
  <c r="CG41" i="70"/>
  <c r="CP24" i="70"/>
  <c r="CG28" i="70"/>
  <c r="CG26" i="70"/>
  <c r="CG37" i="70"/>
  <c r="CG32" i="70"/>
  <c r="CG30" i="70"/>
  <c r="CG25" i="70"/>
  <c r="CG36" i="70"/>
  <c r="CG34" i="70"/>
  <c r="CG40" i="70"/>
  <c r="CG38" i="70"/>
  <c r="CG27" i="70"/>
  <c r="CG42" i="70"/>
  <c r="CG31" i="70"/>
  <c r="CG35" i="70"/>
  <c r="CG29" i="70"/>
  <c r="CG39" i="70"/>
  <c r="CG33" i="70"/>
  <c r="BZ41" i="70"/>
  <c r="BS41" i="70" s="1"/>
  <c r="AU76" i="70" s="1"/>
  <c r="BY41" i="70"/>
  <c r="BT41" i="70" s="1"/>
  <c r="AU59" i="70"/>
  <c r="AT59" i="70"/>
  <c r="T252" i="70"/>
  <c r="R254" i="70"/>
  <c r="S253" i="70"/>
  <c r="T235" i="70"/>
  <c r="R237" i="70"/>
  <c r="S236" i="70"/>
  <c r="R220" i="70"/>
  <c r="S219" i="70"/>
  <c r="T218" i="70"/>
  <c r="T201" i="70"/>
  <c r="R203" i="70"/>
  <c r="S202" i="70"/>
  <c r="T269" i="70"/>
  <c r="R271" i="70"/>
  <c r="S270" i="70"/>
  <c r="L23" i="48" l="1"/>
  <c r="L24" i="48"/>
  <c r="L26" i="48"/>
  <c r="K23" i="48"/>
  <c r="K24" i="48"/>
  <c r="K26" i="48"/>
  <c r="J23" i="48"/>
  <c r="J24" i="48"/>
  <c r="J26" i="48"/>
  <c r="H23" i="48"/>
  <c r="H24" i="48"/>
  <c r="H26" i="48"/>
  <c r="Q23" i="48"/>
  <c r="Q24" i="48"/>
  <c r="Q26" i="48"/>
  <c r="P23" i="48"/>
  <c r="P24" i="48"/>
  <c r="P26" i="48"/>
  <c r="O23" i="48"/>
  <c r="O24" i="48"/>
  <c r="O26" i="48"/>
  <c r="N23" i="48"/>
  <c r="N24" i="48"/>
  <c r="N26" i="48"/>
  <c r="M23" i="48"/>
  <c r="M24" i="48"/>
  <c r="M26" i="48"/>
  <c r="I23" i="48"/>
  <c r="I24" i="48"/>
  <c r="I26" i="48"/>
  <c r="AT76" i="70"/>
  <c r="P65" i="60"/>
  <c r="D633" i="70"/>
  <c r="D601" i="70"/>
  <c r="D586" i="70"/>
  <c r="D571" i="70"/>
  <c r="D554" i="70"/>
  <c r="D539" i="70"/>
  <c r="D524" i="70"/>
  <c r="D509" i="70"/>
  <c r="D494" i="70"/>
  <c r="D479" i="70"/>
  <c r="D464" i="70"/>
  <c r="D449" i="70"/>
  <c r="D21" i="71"/>
  <c r="P31" i="71"/>
  <c r="P13" i="71"/>
  <c r="P22" i="71"/>
  <c r="D12" i="71"/>
  <c r="D30" i="71"/>
  <c r="P40" i="71"/>
  <c r="Q68" i="71"/>
  <c r="Q49" i="71"/>
  <c r="Q41" i="71"/>
  <c r="Q15" i="71"/>
  <c r="Q24" i="71"/>
  <c r="D53" i="71"/>
  <c r="P58" i="71"/>
  <c r="D48" i="71"/>
  <c r="Q42" i="71"/>
  <c r="Q33" i="71"/>
  <c r="P109" i="71"/>
  <c r="P119" i="71" s="1"/>
  <c r="P129" i="71" s="1"/>
  <c r="P139" i="71" s="1"/>
  <c r="P149" i="71" s="1"/>
  <c r="D105" i="71"/>
  <c r="D99" i="71"/>
  <c r="Q50" i="71"/>
  <c r="Q16" i="71"/>
  <c r="O18" i="61"/>
  <c r="N23" i="61"/>
  <c r="E17" i="61"/>
  <c r="E22" i="61"/>
  <c r="N28" i="61"/>
  <c r="O28" i="61"/>
  <c r="N33" i="61"/>
  <c r="E27" i="61"/>
  <c r="N18" i="61"/>
  <c r="E12" i="61"/>
  <c r="E38" i="61"/>
  <c r="N44" i="61"/>
  <c r="O39" i="61"/>
  <c r="O44" i="61"/>
  <c r="O23" i="61"/>
  <c r="P60" i="60"/>
  <c r="P75" i="60" s="1"/>
  <c r="P64" i="60"/>
  <c r="P74" i="60"/>
  <c r="P98" i="60"/>
  <c r="P78" i="60"/>
  <c r="P72" i="60"/>
  <c r="P73" i="60"/>
  <c r="P100" i="60"/>
  <c r="P77" i="60"/>
  <c r="P80" i="60"/>
  <c r="P82" i="60"/>
  <c r="P86" i="60"/>
  <c r="P76" i="60"/>
  <c r="P79" i="60"/>
  <c r="P81" i="60"/>
  <c r="CH35" i="70"/>
  <c r="CC35" i="70" s="1"/>
  <c r="CI35" i="70"/>
  <c r="CB35" i="70" s="1"/>
  <c r="CH25" i="70"/>
  <c r="CC25" i="70" s="1"/>
  <c r="CI25" i="70"/>
  <c r="CB25" i="70" s="1"/>
  <c r="CH31" i="70"/>
  <c r="CC31" i="70" s="1"/>
  <c r="CI31" i="70"/>
  <c r="CB31" i="70" s="1"/>
  <c r="CH30" i="70"/>
  <c r="CC30" i="70" s="1"/>
  <c r="CI30" i="70"/>
  <c r="CB30" i="70" s="1"/>
  <c r="CI42" i="70"/>
  <c r="CB42" i="70" s="1"/>
  <c r="CH42" i="70"/>
  <c r="CC42" i="70" s="1"/>
  <c r="CI27" i="70"/>
  <c r="CB27" i="70" s="1"/>
  <c r="CH27" i="70"/>
  <c r="CC27" i="70" s="1"/>
  <c r="CH37" i="70"/>
  <c r="CC37" i="70" s="1"/>
  <c r="CI37" i="70"/>
  <c r="CB37" i="70" s="1"/>
  <c r="CI32" i="70"/>
  <c r="CB32" i="70" s="1"/>
  <c r="CH32" i="70"/>
  <c r="CC32" i="70" s="1"/>
  <c r="CH38" i="70"/>
  <c r="CC38" i="70" s="1"/>
  <c r="CI38" i="70"/>
  <c r="CB38" i="70" s="1"/>
  <c r="CI26" i="70"/>
  <c r="CB26" i="70" s="1"/>
  <c r="CH26" i="70"/>
  <c r="CC26" i="70" s="1"/>
  <c r="CH33" i="70"/>
  <c r="CC33" i="70" s="1"/>
  <c r="CI33" i="70"/>
  <c r="CB33" i="70" s="1"/>
  <c r="CI40" i="70"/>
  <c r="CB40" i="70" s="1"/>
  <c r="CH40" i="70"/>
  <c r="CC40" i="70" s="1"/>
  <c r="CH28" i="70"/>
  <c r="CC28" i="70" s="1"/>
  <c r="CI28" i="70"/>
  <c r="CB28" i="70" s="1"/>
  <c r="CI39" i="70"/>
  <c r="CB39" i="70" s="1"/>
  <c r="CH39" i="70"/>
  <c r="CC39" i="70" s="1"/>
  <c r="CI34" i="70"/>
  <c r="CB34" i="70" s="1"/>
  <c r="CH34" i="70"/>
  <c r="CC34" i="70" s="1"/>
  <c r="CP41" i="70"/>
  <c r="CP28" i="70"/>
  <c r="CP40" i="70"/>
  <c r="CP32" i="70"/>
  <c r="CY24" i="70"/>
  <c r="CP36" i="70"/>
  <c r="CP39" i="70"/>
  <c r="CP42" i="70"/>
  <c r="CP27" i="70"/>
  <c r="CP37" i="70"/>
  <c r="CP31" i="70"/>
  <c r="CP25" i="70"/>
  <c r="CP29" i="70"/>
  <c r="CP26" i="70"/>
  <c r="CP33" i="70"/>
  <c r="CP30" i="70"/>
  <c r="CP35" i="70"/>
  <c r="CP34" i="70"/>
  <c r="CP38" i="70"/>
  <c r="CH29" i="70"/>
  <c r="CC29" i="70" s="1"/>
  <c r="CI29" i="70"/>
  <c r="CB29" i="70" s="1"/>
  <c r="CI36" i="70"/>
  <c r="CB36" i="70" s="1"/>
  <c r="CH36" i="70"/>
  <c r="CC36" i="70" s="1"/>
  <c r="CH41" i="70"/>
  <c r="CC41" i="70" s="1"/>
  <c r="CI41" i="70"/>
  <c r="CB41" i="70" s="1"/>
  <c r="T253" i="70"/>
  <c r="R255" i="70"/>
  <c r="S254" i="70"/>
  <c r="T236" i="70"/>
  <c r="S237" i="70"/>
  <c r="R238" i="70"/>
  <c r="T219" i="70"/>
  <c r="R221" i="70"/>
  <c r="S220" i="70"/>
  <c r="T202" i="70"/>
  <c r="S203" i="70"/>
  <c r="R204" i="70"/>
  <c r="T270" i="70"/>
  <c r="R272" i="70"/>
  <c r="S271" i="70"/>
  <c r="D634" i="70" l="1"/>
  <c r="D602" i="70"/>
  <c r="D587" i="70"/>
  <c r="D572" i="70"/>
  <c r="D555" i="70"/>
  <c r="D540" i="70"/>
  <c r="D525" i="70"/>
  <c r="D510" i="70"/>
  <c r="D495" i="70"/>
  <c r="D480" i="70"/>
  <c r="D465" i="70"/>
  <c r="D450" i="70"/>
  <c r="D149" i="71"/>
  <c r="D155" i="71"/>
  <c r="D139" i="71"/>
  <c r="D145" i="71"/>
  <c r="D129" i="71"/>
  <c r="D135" i="71"/>
  <c r="D119" i="71"/>
  <c r="D125" i="71"/>
  <c r="P32" i="71"/>
  <c r="D22" i="71"/>
  <c r="P14" i="71"/>
  <c r="P23" i="71"/>
  <c r="P33" i="71" s="1"/>
  <c r="P43" i="71" s="1"/>
  <c r="P53" i="71" s="1"/>
  <c r="P63" i="71" s="1"/>
  <c r="P73" i="71" s="1"/>
  <c r="P83" i="71" s="1"/>
  <c r="P93" i="71" s="1"/>
  <c r="P103" i="71" s="1"/>
  <c r="P113" i="71" s="1"/>
  <c r="P123" i="71" s="1"/>
  <c r="P133" i="71" s="1"/>
  <c r="P143" i="71" s="1"/>
  <c r="P153" i="71" s="1"/>
  <c r="D40" i="71"/>
  <c r="P50" i="71"/>
  <c r="P41" i="71"/>
  <c r="D31" i="71"/>
  <c r="Q43" i="71"/>
  <c r="Q52" i="71"/>
  <c r="Q26" i="71"/>
  <c r="Q60" i="71"/>
  <c r="Q34" i="71"/>
  <c r="D109" i="71"/>
  <c r="D115" i="71"/>
  <c r="D58" i="71"/>
  <c r="D63" i="71"/>
  <c r="P68" i="71"/>
  <c r="Q25" i="71"/>
  <c r="Q51" i="71"/>
  <c r="Q78" i="71"/>
  <c r="Q59" i="71"/>
  <c r="O29" i="61"/>
  <c r="O45" i="61"/>
  <c r="E18" i="61"/>
  <c r="N24" i="61"/>
  <c r="O50" i="61"/>
  <c r="E28" i="61"/>
  <c r="N34" i="61"/>
  <c r="O24" i="61"/>
  <c r="N29" i="61"/>
  <c r="E23" i="61"/>
  <c r="E44" i="61"/>
  <c r="N50" i="61"/>
  <c r="N39" i="61"/>
  <c r="E33" i="61"/>
  <c r="O34" i="61"/>
  <c r="P95" i="60"/>
  <c r="P90" i="60"/>
  <c r="P96" i="60"/>
  <c r="P115" i="60"/>
  <c r="P101" i="60"/>
  <c r="P87" i="60"/>
  <c r="P92" i="60"/>
  <c r="P113" i="60"/>
  <c r="P94" i="60"/>
  <c r="P97" i="60"/>
  <c r="P88" i="60"/>
  <c r="P89" i="60"/>
  <c r="P91" i="60"/>
  <c r="P93" i="60"/>
  <c r="CQ36" i="70"/>
  <c r="CL36" i="70" s="1"/>
  <c r="CR36" i="70"/>
  <c r="CK36" i="70" s="1"/>
  <c r="CQ29" i="70"/>
  <c r="CL29" i="70" s="1"/>
  <c r="CR29" i="70"/>
  <c r="CK29" i="70" s="1"/>
  <c r="CR25" i="70"/>
  <c r="CK25" i="70" s="1"/>
  <c r="CQ25" i="70"/>
  <c r="CL25" i="70" s="1"/>
  <c r="CQ32" i="70"/>
  <c r="CL32" i="70" s="1"/>
  <c r="CR32" i="70"/>
  <c r="CK32" i="70" s="1"/>
  <c r="CR31" i="70"/>
  <c r="CK31" i="70" s="1"/>
  <c r="CQ31" i="70"/>
  <c r="CL31" i="70" s="1"/>
  <c r="CQ40" i="70"/>
  <c r="CL40" i="70" s="1"/>
  <c r="CR40" i="70"/>
  <c r="CK40" i="70" s="1"/>
  <c r="AU93" i="70"/>
  <c r="CQ28" i="70"/>
  <c r="CL28" i="70" s="1"/>
  <c r="CR28" i="70"/>
  <c r="CK28" i="70" s="1"/>
  <c r="AT93" i="70"/>
  <c r="CR38" i="70"/>
  <c r="CK38" i="70" s="1"/>
  <c r="CQ38" i="70"/>
  <c r="CL38" i="70" s="1"/>
  <c r="CR34" i="70"/>
  <c r="CK34" i="70" s="1"/>
  <c r="CQ34" i="70"/>
  <c r="CL34" i="70" s="1"/>
  <c r="CR35" i="70"/>
  <c r="CK35" i="70" s="1"/>
  <c r="CQ35" i="70"/>
  <c r="CL35" i="70" s="1"/>
  <c r="CR27" i="70"/>
  <c r="CK27" i="70" s="1"/>
  <c r="CQ27" i="70"/>
  <c r="CL27" i="70" s="1"/>
  <c r="CR41" i="70"/>
  <c r="CK41" i="70" s="1"/>
  <c r="CQ41" i="70"/>
  <c r="CL41" i="70" s="1"/>
  <c r="CQ26" i="70"/>
  <c r="CL26" i="70" s="1"/>
  <c r="CR26" i="70"/>
  <c r="CK26" i="70" s="1"/>
  <c r="CY41" i="70"/>
  <c r="DH24" i="70"/>
  <c r="CY35" i="70"/>
  <c r="CY25" i="70"/>
  <c r="CY39" i="70"/>
  <c r="CY29" i="70"/>
  <c r="CY38" i="70"/>
  <c r="CY28" i="70"/>
  <c r="CY26" i="70"/>
  <c r="CY33" i="70"/>
  <c r="CY40" i="70"/>
  <c r="CY32" i="70"/>
  <c r="CY30" i="70"/>
  <c r="CY37" i="70"/>
  <c r="CY36" i="70"/>
  <c r="CY34" i="70"/>
  <c r="CY27" i="70"/>
  <c r="CY42" i="70"/>
  <c r="CY31" i="70"/>
  <c r="CR30" i="70"/>
  <c r="CK30" i="70" s="1"/>
  <c r="CQ30" i="70"/>
  <c r="CL30" i="70" s="1"/>
  <c r="CR42" i="70"/>
  <c r="CK42" i="70" s="1"/>
  <c r="CQ42" i="70"/>
  <c r="CL42" i="70" s="1"/>
  <c r="CR37" i="70"/>
  <c r="CK37" i="70" s="1"/>
  <c r="CQ37" i="70"/>
  <c r="CL37" i="70" s="1"/>
  <c r="CQ33" i="70"/>
  <c r="CL33" i="70" s="1"/>
  <c r="CR33" i="70"/>
  <c r="CK33" i="70" s="1"/>
  <c r="CQ39" i="70"/>
  <c r="CL39" i="70" s="1"/>
  <c r="CR39" i="70"/>
  <c r="CK39" i="70" s="1"/>
  <c r="T254" i="70"/>
  <c r="R256" i="70"/>
  <c r="S255" i="70"/>
  <c r="R239" i="70"/>
  <c r="S238" i="70"/>
  <c r="T237" i="70"/>
  <c r="T220" i="70"/>
  <c r="R222" i="70"/>
  <c r="S221" i="70"/>
  <c r="R205" i="70"/>
  <c r="S204" i="70"/>
  <c r="T203" i="70"/>
  <c r="T271" i="70"/>
  <c r="R273" i="70"/>
  <c r="S272" i="70"/>
  <c r="AT110" i="70" l="1"/>
  <c r="AU110" i="70"/>
  <c r="D635" i="70"/>
  <c r="D603" i="70"/>
  <c r="D588" i="70"/>
  <c r="D573" i="70"/>
  <c r="D556" i="70"/>
  <c r="D541" i="70"/>
  <c r="D526" i="70"/>
  <c r="D511" i="70"/>
  <c r="D496" i="70"/>
  <c r="D481" i="70"/>
  <c r="D466" i="70"/>
  <c r="D451" i="70"/>
  <c r="D32" i="71"/>
  <c r="P42" i="71"/>
  <c r="D50" i="71"/>
  <c r="P60" i="71"/>
  <c r="D41" i="71"/>
  <c r="P51" i="71"/>
  <c r="P15" i="71"/>
  <c r="P24" i="71"/>
  <c r="P34" i="71" s="1"/>
  <c r="P44" i="71" s="1"/>
  <c r="P54" i="71" s="1"/>
  <c r="P64" i="71" s="1"/>
  <c r="P74" i="71" s="1"/>
  <c r="P84" i="71" s="1"/>
  <c r="P94" i="71" s="1"/>
  <c r="P104" i="71" s="1"/>
  <c r="P114" i="71" s="1"/>
  <c r="P124" i="71" s="1"/>
  <c r="P134" i="71" s="1"/>
  <c r="P144" i="71" s="1"/>
  <c r="P154" i="71" s="1"/>
  <c r="Q61" i="71"/>
  <c r="Q70" i="71"/>
  <c r="Q62" i="71"/>
  <c r="Q44" i="71"/>
  <c r="Q69" i="71"/>
  <c r="Q35" i="71"/>
  <c r="Q36" i="71"/>
  <c r="Q53" i="71"/>
  <c r="Q88" i="71"/>
  <c r="D73" i="71"/>
  <c r="P78" i="71"/>
  <c r="D68" i="71"/>
  <c r="O56" i="61"/>
  <c r="E50" i="61"/>
  <c r="N56" i="61"/>
  <c r="O30" i="61"/>
  <c r="O35" i="61"/>
  <c r="E24" i="61"/>
  <c r="N30" i="61"/>
  <c r="E34" i="61"/>
  <c r="N40" i="61"/>
  <c r="N45" i="61"/>
  <c r="E39" i="61"/>
  <c r="N35" i="61"/>
  <c r="E29" i="61"/>
  <c r="O51" i="61"/>
  <c r="O40" i="61"/>
  <c r="P107" i="60"/>
  <c r="P111" i="60"/>
  <c r="P106" i="60"/>
  <c r="P102" i="60"/>
  <c r="P128" i="60"/>
  <c r="P116" i="60"/>
  <c r="P108" i="60"/>
  <c r="P103" i="60"/>
  <c r="P109" i="60"/>
  <c r="P105" i="60"/>
  <c r="P110" i="60"/>
  <c r="P104" i="60"/>
  <c r="P112" i="60"/>
  <c r="P130" i="60"/>
  <c r="DA31" i="70"/>
  <c r="CT31" i="70" s="1"/>
  <c r="CZ31" i="70"/>
  <c r="CU31" i="70" s="1"/>
  <c r="DA40" i="70"/>
  <c r="CT40" i="70" s="1"/>
  <c r="CZ40" i="70"/>
  <c r="CU40" i="70" s="1"/>
  <c r="DA35" i="70"/>
  <c r="CT35" i="70" s="1"/>
  <c r="CZ35" i="70"/>
  <c r="CU35" i="70" s="1"/>
  <c r="DA42" i="70"/>
  <c r="CT42" i="70" s="1"/>
  <c r="CZ42" i="70"/>
  <c r="CU42" i="70" s="1"/>
  <c r="DA33" i="70"/>
  <c r="CT33" i="70" s="1"/>
  <c r="CZ33" i="70"/>
  <c r="CU33" i="70" s="1"/>
  <c r="DH41" i="70"/>
  <c r="DH32" i="70"/>
  <c r="DQ24" i="70"/>
  <c r="DH36" i="70"/>
  <c r="DH28" i="70"/>
  <c r="DH40" i="70"/>
  <c r="DH30" i="70"/>
  <c r="DH34" i="70"/>
  <c r="DH35" i="70"/>
  <c r="DH38" i="70"/>
  <c r="DH27" i="70"/>
  <c r="DH42" i="70"/>
  <c r="DH31" i="70"/>
  <c r="DH25" i="70"/>
  <c r="DH29" i="70"/>
  <c r="DH39" i="70"/>
  <c r="DH33" i="70"/>
  <c r="DH26" i="70"/>
  <c r="DH37" i="70"/>
  <c r="DA41" i="70"/>
  <c r="CT41" i="70" s="1"/>
  <c r="CZ41" i="70"/>
  <c r="CU41" i="70" s="1"/>
  <c r="DA25" i="70"/>
  <c r="CT25" i="70" s="1"/>
  <c r="CZ25" i="70"/>
  <c r="CU25" i="70" s="1"/>
  <c r="DA26" i="70"/>
  <c r="CT26" i="70" s="1"/>
  <c r="CZ26" i="70"/>
  <c r="CU26" i="70" s="1"/>
  <c r="CZ34" i="70"/>
  <c r="CU34" i="70" s="1"/>
  <c r="DA34" i="70"/>
  <c r="CT34" i="70" s="1"/>
  <c r="DA28" i="70"/>
  <c r="CT28" i="70" s="1"/>
  <c r="CZ28" i="70"/>
  <c r="CU28" i="70" s="1"/>
  <c r="DA27" i="70"/>
  <c r="CT27" i="70" s="1"/>
  <c r="CZ27" i="70"/>
  <c r="CU27" i="70" s="1"/>
  <c r="DA36" i="70"/>
  <c r="CT36" i="70" s="1"/>
  <c r="CZ36" i="70"/>
  <c r="CU36" i="70" s="1"/>
  <c r="DA38" i="70"/>
  <c r="CT38" i="70" s="1"/>
  <c r="CZ38" i="70"/>
  <c r="CU38" i="70" s="1"/>
  <c r="DA37" i="70"/>
  <c r="CT37" i="70" s="1"/>
  <c r="CZ37" i="70"/>
  <c r="CU37" i="70" s="1"/>
  <c r="CZ29" i="70"/>
  <c r="CU29" i="70" s="1"/>
  <c r="DA29" i="70"/>
  <c r="CT29" i="70" s="1"/>
  <c r="DA32" i="70"/>
  <c r="CT32" i="70" s="1"/>
  <c r="CZ32" i="70"/>
  <c r="CU32" i="70" s="1"/>
  <c r="DA30" i="70"/>
  <c r="CT30" i="70" s="1"/>
  <c r="CZ30" i="70"/>
  <c r="CU30" i="70" s="1"/>
  <c r="DA39" i="70"/>
  <c r="CT39" i="70" s="1"/>
  <c r="CZ39" i="70"/>
  <c r="CU39" i="70" s="1"/>
  <c r="T255" i="70"/>
  <c r="R257" i="70"/>
  <c r="S256" i="70"/>
  <c r="T238" i="70"/>
  <c r="R240" i="70"/>
  <c r="S239" i="70"/>
  <c r="T221" i="70"/>
  <c r="R223" i="70"/>
  <c r="S222" i="70"/>
  <c r="T204" i="70"/>
  <c r="R206" i="70"/>
  <c r="S205" i="70"/>
  <c r="T272" i="70"/>
  <c r="R274" i="70"/>
  <c r="S273" i="70"/>
  <c r="AO954" i="63"/>
  <c r="AO951" i="63"/>
  <c r="AO950" i="63"/>
  <c r="J36" i="70"/>
  <c r="AT127" i="70" l="1"/>
  <c r="AU127" i="70"/>
  <c r="AV110" i="70"/>
  <c r="D636" i="70"/>
  <c r="D604" i="70"/>
  <c r="D589" i="70"/>
  <c r="D574" i="70"/>
  <c r="D557" i="70"/>
  <c r="D542" i="70"/>
  <c r="D527" i="70"/>
  <c r="D512" i="70"/>
  <c r="D497" i="70"/>
  <c r="D482" i="70"/>
  <c r="D467" i="70"/>
  <c r="D452" i="70"/>
  <c r="D60" i="71"/>
  <c r="P70" i="71"/>
  <c r="P16" i="71"/>
  <c r="P26" i="71" s="1"/>
  <c r="P36" i="71" s="1"/>
  <c r="P46" i="71" s="1"/>
  <c r="P56" i="71" s="1"/>
  <c r="P66" i="71" s="1"/>
  <c r="P76" i="71" s="1"/>
  <c r="P86" i="71" s="1"/>
  <c r="P96" i="71" s="1"/>
  <c r="P106" i="71" s="1"/>
  <c r="P116" i="71" s="1"/>
  <c r="P126" i="71" s="1"/>
  <c r="P136" i="71" s="1"/>
  <c r="P146" i="71" s="1"/>
  <c r="P156" i="71" s="1"/>
  <c r="P25" i="71"/>
  <c r="P35" i="71" s="1"/>
  <c r="P45" i="71" s="1"/>
  <c r="P55" i="71" s="1"/>
  <c r="P65" i="71" s="1"/>
  <c r="P75" i="71" s="1"/>
  <c r="P85" i="71" s="1"/>
  <c r="P95" i="71" s="1"/>
  <c r="P105" i="71" s="1"/>
  <c r="P115" i="71" s="1"/>
  <c r="P125" i="71" s="1"/>
  <c r="P135" i="71" s="1"/>
  <c r="P145" i="71" s="1"/>
  <c r="P155" i="71" s="1"/>
  <c r="P61" i="71"/>
  <c r="D51" i="71"/>
  <c r="D42" i="71"/>
  <c r="P52" i="71"/>
  <c r="Q79" i="71"/>
  <c r="Q54" i="71"/>
  <c r="Q63" i="71"/>
  <c r="Q45" i="71"/>
  <c r="Q80" i="71"/>
  <c r="Q72" i="71"/>
  <c r="P88" i="71"/>
  <c r="D83" i="71"/>
  <c r="D78" i="71"/>
  <c r="Q46" i="71"/>
  <c r="Q98" i="71"/>
  <c r="Q71" i="71"/>
  <c r="O46" i="61"/>
  <c r="N41" i="61"/>
  <c r="E35" i="61"/>
  <c r="O41" i="61"/>
  <c r="N62" i="61"/>
  <c r="E56" i="61"/>
  <c r="O62" i="61"/>
  <c r="O57" i="61"/>
  <c r="N51" i="61"/>
  <c r="E45" i="61"/>
  <c r="E40" i="61"/>
  <c r="N46" i="61"/>
  <c r="E30" i="61"/>
  <c r="N36" i="61"/>
  <c r="O36" i="61"/>
  <c r="P117" i="60"/>
  <c r="P131" i="60"/>
  <c r="P126" i="60"/>
  <c r="P123" i="60"/>
  <c r="P124" i="60"/>
  <c r="P120" i="60"/>
  <c r="P122" i="60"/>
  <c r="P125" i="60"/>
  <c r="P143" i="60"/>
  <c r="P127" i="60"/>
  <c r="P145" i="60"/>
  <c r="P118" i="60"/>
  <c r="P119" i="60"/>
  <c r="P121" i="60"/>
  <c r="DJ40" i="70"/>
  <c r="DC40" i="70" s="1"/>
  <c r="DI40" i="70"/>
  <c r="DD40" i="70" s="1"/>
  <c r="DJ31" i="70"/>
  <c r="DC31" i="70" s="1"/>
  <c r="DI31" i="70"/>
  <c r="DD31" i="70" s="1"/>
  <c r="DJ28" i="70"/>
  <c r="DC28" i="70" s="1"/>
  <c r="DI28" i="70"/>
  <c r="DD28" i="70" s="1"/>
  <c r="DI25" i="70"/>
  <c r="DD25" i="70" s="1"/>
  <c r="DJ25" i="70"/>
  <c r="DC25" i="70" s="1"/>
  <c r="DJ42" i="70"/>
  <c r="DC42" i="70" s="1"/>
  <c r="DI42" i="70"/>
  <c r="DD42" i="70" s="1"/>
  <c r="DJ36" i="70"/>
  <c r="DC36" i="70" s="1"/>
  <c r="DI36" i="70"/>
  <c r="DD36" i="70" s="1"/>
  <c r="DJ37" i="70"/>
  <c r="DC37" i="70" s="1"/>
  <c r="DI37" i="70"/>
  <c r="DD37" i="70" s="1"/>
  <c r="DI27" i="70"/>
  <c r="DD27" i="70" s="1"/>
  <c r="DJ27" i="70"/>
  <c r="DC27" i="70" s="1"/>
  <c r="DQ41" i="70"/>
  <c r="DZ24" i="70"/>
  <c r="DQ27" i="70"/>
  <c r="DQ42" i="70"/>
  <c r="DQ31" i="70"/>
  <c r="DQ25" i="70"/>
  <c r="DQ32" i="70"/>
  <c r="DQ35" i="70"/>
  <c r="DQ29" i="70"/>
  <c r="DQ39" i="70"/>
  <c r="DQ33" i="70"/>
  <c r="DQ28" i="70"/>
  <c r="DQ26" i="70"/>
  <c r="DQ37" i="70"/>
  <c r="DQ30" i="70"/>
  <c r="DQ36" i="70"/>
  <c r="DQ34" i="70"/>
  <c r="DQ40" i="70"/>
  <c r="DQ38" i="70"/>
  <c r="DJ26" i="70"/>
  <c r="DC26" i="70" s="1"/>
  <c r="DI26" i="70"/>
  <c r="DD26" i="70" s="1"/>
  <c r="DJ38" i="70"/>
  <c r="DC38" i="70" s="1"/>
  <c r="DI38" i="70"/>
  <c r="DD38" i="70" s="1"/>
  <c r="DJ32" i="70"/>
  <c r="DC32" i="70" s="1"/>
  <c r="DI32" i="70"/>
  <c r="DD32" i="70" s="1"/>
  <c r="DJ33" i="70"/>
  <c r="DC33" i="70" s="1"/>
  <c r="DI33" i="70"/>
  <c r="DD33" i="70" s="1"/>
  <c r="DJ35" i="70"/>
  <c r="DC35" i="70" s="1"/>
  <c r="DI35" i="70"/>
  <c r="DD35" i="70" s="1"/>
  <c r="DI41" i="70"/>
  <c r="DD41" i="70" s="1"/>
  <c r="DJ41" i="70"/>
  <c r="DC41" i="70" s="1"/>
  <c r="DJ39" i="70"/>
  <c r="DC39" i="70" s="1"/>
  <c r="DI39" i="70"/>
  <c r="DD39" i="70" s="1"/>
  <c r="DJ34" i="70"/>
  <c r="DC34" i="70" s="1"/>
  <c r="DI34" i="70"/>
  <c r="DD34" i="70" s="1"/>
  <c r="DJ29" i="70"/>
  <c r="DC29" i="70" s="1"/>
  <c r="DI29" i="70"/>
  <c r="DD29" i="70" s="1"/>
  <c r="DI30" i="70"/>
  <c r="DD30" i="70" s="1"/>
  <c r="DJ30" i="70"/>
  <c r="DC30" i="70" s="1"/>
  <c r="T256" i="70"/>
  <c r="R258" i="70"/>
  <c r="S257" i="70"/>
  <c r="T239" i="70"/>
  <c r="R241" i="70"/>
  <c r="S240" i="70"/>
  <c r="T222" i="70"/>
  <c r="R224" i="70"/>
  <c r="S223" i="70"/>
  <c r="T205" i="70"/>
  <c r="R207" i="70"/>
  <c r="S206" i="70"/>
  <c r="T273" i="70"/>
  <c r="R275" i="70"/>
  <c r="S274" i="70"/>
  <c r="C1112" i="70"/>
  <c r="J1112" i="70" s="1"/>
  <c r="C1113" i="70" l="1"/>
  <c r="J1113" i="70" s="1"/>
  <c r="C1114" i="70"/>
  <c r="J1114" i="70" s="1"/>
  <c r="C1115" i="70"/>
  <c r="J1115" i="70" s="1"/>
  <c r="C1116" i="70"/>
  <c r="J1116" i="70" s="1"/>
  <c r="C1117" i="70"/>
  <c r="J1117" i="70" s="1"/>
  <c r="V1112" i="70"/>
  <c r="T1112" i="70"/>
  <c r="C1119" i="70"/>
  <c r="J1119" i="70" s="1"/>
  <c r="C1120" i="70"/>
  <c r="J1120" i="70" s="1"/>
  <c r="C1121" i="70"/>
  <c r="J1121" i="70" s="1"/>
  <c r="C1122" i="70"/>
  <c r="J1122" i="70" s="1"/>
  <c r="AU144" i="70"/>
  <c r="AT144" i="70"/>
  <c r="D637" i="70"/>
  <c r="D605" i="70"/>
  <c r="D590" i="70"/>
  <c r="D575" i="70"/>
  <c r="D558" i="70"/>
  <c r="D543" i="70"/>
  <c r="D528" i="70"/>
  <c r="D513" i="70"/>
  <c r="D498" i="70"/>
  <c r="D483" i="70"/>
  <c r="D468" i="70"/>
  <c r="D453" i="70"/>
  <c r="P62" i="71"/>
  <c r="D52" i="71"/>
  <c r="P71" i="71"/>
  <c r="D61" i="71"/>
  <c r="D70" i="71"/>
  <c r="P80" i="71"/>
  <c r="Q64" i="71"/>
  <c r="Q90" i="71"/>
  <c r="D93" i="71"/>
  <c r="D88" i="71"/>
  <c r="P98" i="71"/>
  <c r="Q89" i="71"/>
  <c r="Q81" i="71"/>
  <c r="Q55" i="71"/>
  <c r="Q56" i="71"/>
  <c r="Q108" i="71"/>
  <c r="Q118" i="71" s="1"/>
  <c r="Q128" i="71" s="1"/>
  <c r="Q138" i="71" s="1"/>
  <c r="Q148" i="71" s="1"/>
  <c r="Q82" i="71"/>
  <c r="Q73" i="71"/>
  <c r="E36" i="61"/>
  <c r="N42" i="61"/>
  <c r="N57" i="61"/>
  <c r="E51" i="61"/>
  <c r="N68" i="61"/>
  <c r="N74" i="61" s="1"/>
  <c r="N80" i="61" s="1"/>
  <c r="N86" i="61" s="1"/>
  <c r="N92" i="61" s="1"/>
  <c r="E62" i="61"/>
  <c r="O63" i="61"/>
  <c r="N47" i="61"/>
  <c r="E41" i="61"/>
  <c r="O47" i="61"/>
  <c r="O42" i="61"/>
  <c r="E46" i="61"/>
  <c r="N52" i="61"/>
  <c r="O68" i="61"/>
  <c r="O74" i="61" s="1"/>
  <c r="O80" i="61" s="1"/>
  <c r="O86" i="61" s="1"/>
  <c r="O92" i="61" s="1"/>
  <c r="O52" i="61"/>
  <c r="P146" i="60"/>
  <c r="P158" i="60"/>
  <c r="P142" i="60"/>
  <c r="P138" i="60"/>
  <c r="P132" i="60"/>
  <c r="P136" i="60"/>
  <c r="P140" i="60"/>
  <c r="P137" i="60"/>
  <c r="P160" i="60"/>
  <c r="P175" i="60" s="1"/>
  <c r="P190" i="60" s="1"/>
  <c r="P205" i="60" s="1"/>
  <c r="P220" i="60" s="1"/>
  <c r="P139" i="60"/>
  <c r="P134" i="60"/>
  <c r="P133" i="60"/>
  <c r="P135" i="60"/>
  <c r="P141" i="60"/>
  <c r="DS36" i="70"/>
  <c r="DL36" i="70" s="1"/>
  <c r="DR36" i="70"/>
  <c r="DM36" i="70" s="1"/>
  <c r="DS35" i="70"/>
  <c r="DL35" i="70" s="1"/>
  <c r="DR35" i="70"/>
  <c r="DM35" i="70" s="1"/>
  <c r="DS30" i="70"/>
  <c r="DL30" i="70" s="1"/>
  <c r="DR30" i="70"/>
  <c r="DM30" i="70" s="1"/>
  <c r="DS32" i="70"/>
  <c r="DL32" i="70" s="1"/>
  <c r="DR32" i="70"/>
  <c r="DM32" i="70" s="1"/>
  <c r="DR37" i="70"/>
  <c r="DM37" i="70" s="1"/>
  <c r="DS37" i="70"/>
  <c r="DL37" i="70" s="1"/>
  <c r="DR25" i="70"/>
  <c r="DM25" i="70" s="1"/>
  <c r="DS25" i="70"/>
  <c r="DL25" i="70" s="1"/>
  <c r="DR26" i="70"/>
  <c r="DM26" i="70" s="1"/>
  <c r="DS26" i="70"/>
  <c r="DL26" i="70" s="1"/>
  <c r="DS31" i="70"/>
  <c r="DL31" i="70" s="1"/>
  <c r="DR31" i="70"/>
  <c r="DM31" i="70" s="1"/>
  <c r="DS28" i="70"/>
  <c r="DL28" i="70" s="1"/>
  <c r="DR28" i="70"/>
  <c r="DM28" i="70" s="1"/>
  <c r="DS42" i="70"/>
  <c r="DL42" i="70" s="1"/>
  <c r="DR42" i="70"/>
  <c r="DM42" i="70" s="1"/>
  <c r="DR38" i="70"/>
  <c r="DM38" i="70" s="1"/>
  <c r="DS38" i="70"/>
  <c r="DL38" i="70" s="1"/>
  <c r="DR33" i="70"/>
  <c r="DM33" i="70" s="1"/>
  <c r="DS33" i="70"/>
  <c r="DL33" i="70" s="1"/>
  <c r="DS27" i="70"/>
  <c r="DL27" i="70" s="1"/>
  <c r="DR27" i="70"/>
  <c r="DM27" i="70" s="1"/>
  <c r="DS40" i="70"/>
  <c r="DL40" i="70" s="1"/>
  <c r="DR40" i="70"/>
  <c r="DM40" i="70" s="1"/>
  <c r="DS39" i="70"/>
  <c r="DL39" i="70" s="1"/>
  <c r="DR39" i="70"/>
  <c r="DM39" i="70" s="1"/>
  <c r="DZ41" i="70"/>
  <c r="EI24" i="70"/>
  <c r="DZ36" i="70"/>
  <c r="DZ28" i="70"/>
  <c r="DZ32" i="70"/>
  <c r="DZ40" i="70"/>
  <c r="DZ39" i="70"/>
  <c r="DZ33" i="70"/>
  <c r="DZ26" i="70"/>
  <c r="DZ37" i="70"/>
  <c r="DZ30" i="70"/>
  <c r="DZ27" i="70"/>
  <c r="DZ34" i="70"/>
  <c r="DZ38" i="70"/>
  <c r="DZ42" i="70"/>
  <c r="DZ31" i="70"/>
  <c r="DZ25" i="70"/>
  <c r="DZ35" i="70"/>
  <c r="DZ29" i="70"/>
  <c r="DS34" i="70"/>
  <c r="DL34" i="70" s="1"/>
  <c r="DR34" i="70"/>
  <c r="DM34" i="70" s="1"/>
  <c r="DR29" i="70"/>
  <c r="DM29" i="70" s="1"/>
  <c r="DS29" i="70"/>
  <c r="DL29" i="70" s="1"/>
  <c r="DR41" i="70"/>
  <c r="DM41" i="70" s="1"/>
  <c r="DS41" i="70"/>
  <c r="DL41" i="70" s="1"/>
  <c r="T257" i="70"/>
  <c r="R259" i="70"/>
  <c r="S258" i="70"/>
  <c r="T240" i="70"/>
  <c r="R242" i="70"/>
  <c r="S241" i="70"/>
  <c r="T223" i="70"/>
  <c r="R225" i="70"/>
  <c r="S224" i="70"/>
  <c r="T206" i="70"/>
  <c r="S207" i="70"/>
  <c r="R208" i="70"/>
  <c r="S275" i="70"/>
  <c r="R276" i="70"/>
  <c r="T274" i="70"/>
  <c r="K61" i="70"/>
  <c r="E33" i="71" s="1"/>
  <c r="K78" i="70"/>
  <c r="E43" i="71" s="1"/>
  <c r="K95" i="70"/>
  <c r="E53" i="71" s="1"/>
  <c r="V1117" i="70" l="1"/>
  <c r="T1117" i="70"/>
  <c r="V1116" i="70"/>
  <c r="T1116" i="70"/>
  <c r="V1115" i="70"/>
  <c r="T1115" i="70"/>
  <c r="T1114" i="70"/>
  <c r="V1114" i="70"/>
  <c r="V1113" i="70"/>
  <c r="T1113" i="70"/>
  <c r="U1114" i="70" s="1"/>
  <c r="V1122" i="70"/>
  <c r="T1122" i="70"/>
  <c r="V1121" i="70"/>
  <c r="T1121" i="70"/>
  <c r="V1120" i="70"/>
  <c r="T1120" i="70"/>
  <c r="V1119" i="70"/>
  <c r="T1119" i="70"/>
  <c r="U1112" i="70"/>
  <c r="U1117" i="70"/>
  <c r="AU161" i="70"/>
  <c r="AT161" i="70"/>
  <c r="D638" i="70"/>
  <c r="D606" i="70"/>
  <c r="D591" i="70"/>
  <c r="D576" i="70"/>
  <c r="D559" i="70"/>
  <c r="D544" i="70"/>
  <c r="D529" i="70"/>
  <c r="D514" i="70"/>
  <c r="D499" i="70"/>
  <c r="D484" i="70"/>
  <c r="D469" i="70"/>
  <c r="D454" i="70"/>
  <c r="D71" i="71"/>
  <c r="P81" i="71"/>
  <c r="D80" i="71"/>
  <c r="P90" i="71"/>
  <c r="P72" i="71"/>
  <c r="D62" i="71"/>
  <c r="Q100" i="71"/>
  <c r="Q92" i="71"/>
  <c r="Q66" i="71"/>
  <c r="Q83" i="71"/>
  <c r="Q99" i="71"/>
  <c r="Q91" i="71"/>
  <c r="Q74" i="71"/>
  <c r="P108" i="71"/>
  <c r="P118" i="71" s="1"/>
  <c r="P128" i="71" s="1"/>
  <c r="P138" i="71" s="1"/>
  <c r="P148" i="71" s="1"/>
  <c r="D103" i="71"/>
  <c r="D98" i="71"/>
  <c r="Q65" i="71"/>
  <c r="E92" i="61"/>
  <c r="E86" i="61"/>
  <c r="E80" i="61"/>
  <c r="E74" i="61"/>
  <c r="E42" i="61"/>
  <c r="N48" i="61"/>
  <c r="O58" i="61"/>
  <c r="E68" i="61"/>
  <c r="E52" i="61"/>
  <c r="N58" i="61"/>
  <c r="O53" i="61"/>
  <c r="N53" i="61"/>
  <c r="E47" i="61"/>
  <c r="O69" i="61"/>
  <c r="O75" i="61" s="1"/>
  <c r="O81" i="61" s="1"/>
  <c r="O87" i="61" s="1"/>
  <c r="O93" i="61" s="1"/>
  <c r="O48" i="61"/>
  <c r="E57" i="61"/>
  <c r="N63" i="61"/>
  <c r="P156" i="60"/>
  <c r="P147" i="60"/>
  <c r="P149" i="60"/>
  <c r="P155" i="60"/>
  <c r="P157" i="60"/>
  <c r="P150" i="60"/>
  <c r="P153" i="60"/>
  <c r="P173" i="60"/>
  <c r="P188" i="60" s="1"/>
  <c r="P203" i="60" s="1"/>
  <c r="P218" i="60" s="1"/>
  <c r="P233" i="60" s="1"/>
  <c r="P154" i="60"/>
  <c r="P152" i="60"/>
  <c r="P151" i="60"/>
  <c r="P148" i="60"/>
  <c r="P161" i="60"/>
  <c r="P176" i="60" s="1"/>
  <c r="P191" i="60" s="1"/>
  <c r="P206" i="60" s="1"/>
  <c r="P221" i="60" s="1"/>
  <c r="EB25" i="70"/>
  <c r="DU25" i="70" s="1"/>
  <c r="EA25" i="70"/>
  <c r="DV25" i="70" s="1"/>
  <c r="EA26" i="70"/>
  <c r="DV26" i="70" s="1"/>
  <c r="EB26" i="70"/>
  <c r="DU26" i="70" s="1"/>
  <c r="EA41" i="70"/>
  <c r="DV41" i="70" s="1"/>
  <c r="EB41" i="70"/>
  <c r="DU41" i="70" s="1"/>
  <c r="EB31" i="70"/>
  <c r="DU31" i="70" s="1"/>
  <c r="EA31" i="70"/>
  <c r="DV31" i="70" s="1"/>
  <c r="EA33" i="70"/>
  <c r="DV33" i="70" s="1"/>
  <c r="EB33" i="70"/>
  <c r="DU33" i="70" s="1"/>
  <c r="EA37" i="70"/>
  <c r="DV37" i="70" s="1"/>
  <c r="EB37" i="70"/>
  <c r="DU37" i="70" s="1"/>
  <c r="EA42" i="70"/>
  <c r="DV42" i="70" s="1"/>
  <c r="EB42" i="70"/>
  <c r="DU42" i="70" s="1"/>
  <c r="EB39" i="70"/>
  <c r="DU39" i="70" s="1"/>
  <c r="EA39" i="70"/>
  <c r="DV39" i="70" s="1"/>
  <c r="EB35" i="70"/>
  <c r="DU35" i="70" s="1"/>
  <c r="EA35" i="70"/>
  <c r="DV35" i="70" s="1"/>
  <c r="EB38" i="70"/>
  <c r="DU38" i="70" s="1"/>
  <c r="EA38" i="70"/>
  <c r="DV38" i="70" s="1"/>
  <c r="EB40" i="70"/>
  <c r="DU40" i="70" s="1"/>
  <c r="EA40" i="70"/>
  <c r="DV40" i="70" s="1"/>
  <c r="EI41" i="70"/>
  <c r="EI32" i="70"/>
  <c r="EI28" i="70"/>
  <c r="EI36" i="70"/>
  <c r="ER24" i="70"/>
  <c r="EI34" i="70"/>
  <c r="EI38" i="70"/>
  <c r="EI33" i="70"/>
  <c r="EI27" i="70"/>
  <c r="EI42" i="70"/>
  <c r="EI31" i="70"/>
  <c r="EI25" i="70"/>
  <c r="EI35" i="70"/>
  <c r="EI29" i="70"/>
  <c r="EI39" i="70"/>
  <c r="EI40" i="70"/>
  <c r="EI26" i="70"/>
  <c r="EI37" i="70"/>
  <c r="EI30" i="70"/>
  <c r="EB34" i="70"/>
  <c r="DU34" i="70" s="1"/>
  <c r="EA34" i="70"/>
  <c r="DV34" i="70" s="1"/>
  <c r="EB32" i="70"/>
  <c r="DU32" i="70" s="1"/>
  <c r="EA32" i="70"/>
  <c r="DV32" i="70" s="1"/>
  <c r="EB27" i="70"/>
  <c r="DU27" i="70" s="1"/>
  <c r="EA27" i="70"/>
  <c r="DV27" i="70" s="1"/>
  <c r="EB28" i="70"/>
  <c r="DU28" i="70" s="1"/>
  <c r="EA28" i="70"/>
  <c r="DV28" i="70" s="1"/>
  <c r="EB29" i="70"/>
  <c r="DU29" i="70" s="1"/>
  <c r="EA29" i="70"/>
  <c r="DV29" i="70" s="1"/>
  <c r="EB30" i="70"/>
  <c r="DU30" i="70" s="1"/>
  <c r="EA30" i="70"/>
  <c r="DV30" i="70" s="1"/>
  <c r="EB36" i="70"/>
  <c r="DU36" i="70" s="1"/>
  <c r="EA36" i="70"/>
  <c r="DV36" i="70" s="1"/>
  <c r="T258" i="70"/>
  <c r="R260" i="70"/>
  <c r="S259" i="70"/>
  <c r="T241" i="70"/>
  <c r="R243" i="70"/>
  <c r="S242" i="70"/>
  <c r="T224" i="70"/>
  <c r="R226" i="70"/>
  <c r="S225" i="70"/>
  <c r="R209" i="70"/>
  <c r="S208" i="70"/>
  <c r="T207" i="70"/>
  <c r="R277" i="70"/>
  <c r="S276" i="70"/>
  <c r="T275" i="70"/>
  <c r="C32" i="96"/>
  <c r="J28" i="96"/>
  <c r="G28" i="96"/>
  <c r="F28" i="96"/>
  <c r="D28" i="96"/>
  <c r="C28" i="96"/>
  <c r="B28" i="96"/>
  <c r="J27" i="96"/>
  <c r="G27" i="96"/>
  <c r="F27" i="96"/>
  <c r="D27" i="96"/>
  <c r="C27" i="96"/>
  <c r="B27" i="96"/>
  <c r="J26" i="96"/>
  <c r="G26" i="96"/>
  <c r="F26" i="96"/>
  <c r="D26" i="96"/>
  <c r="C26" i="96"/>
  <c r="B26" i="96"/>
  <c r="J25" i="96"/>
  <c r="G25" i="96"/>
  <c r="F25" i="96"/>
  <c r="D25" i="96"/>
  <c r="C25" i="96"/>
  <c r="B25" i="96"/>
  <c r="J24" i="96"/>
  <c r="G24" i="96"/>
  <c r="F24" i="96"/>
  <c r="D24" i="96"/>
  <c r="C24" i="96"/>
  <c r="B24" i="96"/>
  <c r="J23" i="96"/>
  <c r="G23" i="96"/>
  <c r="F23" i="96"/>
  <c r="D23" i="96"/>
  <c r="C23" i="96"/>
  <c r="B23" i="96"/>
  <c r="J22" i="96"/>
  <c r="G22" i="96"/>
  <c r="F22" i="96"/>
  <c r="D22" i="96"/>
  <c r="C22" i="96"/>
  <c r="B22" i="96"/>
  <c r="J21" i="96"/>
  <c r="G21" i="96"/>
  <c r="F21" i="96"/>
  <c r="D21" i="96"/>
  <c r="C21" i="96"/>
  <c r="B21" i="96"/>
  <c r="J20" i="96"/>
  <c r="G20" i="96"/>
  <c r="F20" i="96"/>
  <c r="D20" i="96"/>
  <c r="C20" i="96"/>
  <c r="B20" i="96"/>
  <c r="J19" i="96"/>
  <c r="G19" i="96"/>
  <c r="F19" i="96"/>
  <c r="D19" i="96"/>
  <c r="C19" i="96"/>
  <c r="B19" i="96"/>
  <c r="J18" i="96"/>
  <c r="G18" i="96"/>
  <c r="F18" i="96"/>
  <c r="D18" i="96"/>
  <c r="C18" i="96"/>
  <c r="B18" i="96"/>
  <c r="J17" i="96"/>
  <c r="G17" i="96"/>
  <c r="F17" i="96"/>
  <c r="D17" i="96"/>
  <c r="C17" i="96"/>
  <c r="B17" i="96"/>
  <c r="J16" i="96"/>
  <c r="G16" i="96"/>
  <c r="F16" i="96"/>
  <c r="D16" i="96"/>
  <c r="C16" i="96"/>
  <c r="B16" i="96"/>
  <c r="J15" i="96"/>
  <c r="G15" i="96"/>
  <c r="F15" i="96"/>
  <c r="D15" i="96"/>
  <c r="C15" i="96"/>
  <c r="B15" i="96"/>
  <c r="J14" i="96"/>
  <c r="G14" i="96"/>
  <c r="F14" i="96"/>
  <c r="D14" i="96"/>
  <c r="C14" i="96"/>
  <c r="B14" i="96"/>
  <c r="J13" i="96"/>
  <c r="G13" i="96"/>
  <c r="F13" i="96"/>
  <c r="D13" i="96"/>
  <c r="C13" i="96"/>
  <c r="B13" i="96"/>
  <c r="J12" i="96"/>
  <c r="G12" i="96"/>
  <c r="F12" i="96"/>
  <c r="D12" i="96"/>
  <c r="C12" i="96"/>
  <c r="B12" i="96"/>
  <c r="W11" i="96"/>
  <c r="J11" i="96"/>
  <c r="G11" i="96"/>
  <c r="F11" i="96"/>
  <c r="D11" i="96"/>
  <c r="C11" i="96"/>
  <c r="B11" i="96"/>
  <c r="S10" i="96"/>
  <c r="J10" i="96"/>
  <c r="G10" i="96"/>
  <c r="F10" i="96"/>
  <c r="D10" i="96"/>
  <c r="C10" i="96"/>
  <c r="B10" i="96"/>
  <c r="J9" i="96"/>
  <c r="G9" i="96"/>
  <c r="F9" i="96"/>
  <c r="D9" i="96"/>
  <c r="C9" i="96"/>
  <c r="B9" i="96"/>
  <c r="J8" i="96"/>
  <c r="G8" i="96"/>
  <c r="F8" i="96"/>
  <c r="D8" i="96"/>
  <c r="C8" i="96"/>
  <c r="B8" i="96"/>
  <c r="J7" i="96"/>
  <c r="G7" i="96"/>
  <c r="F7" i="96"/>
  <c r="D7" i="96"/>
  <c r="C7" i="96"/>
  <c r="B7" i="96"/>
  <c r="J6" i="96"/>
  <c r="G6" i="96"/>
  <c r="F6" i="96"/>
  <c r="D6" i="96"/>
  <c r="C6" i="96"/>
  <c r="B6" i="96"/>
  <c r="J5" i="96"/>
  <c r="G5" i="96"/>
  <c r="F5" i="96"/>
  <c r="D5" i="96"/>
  <c r="C5" i="96"/>
  <c r="B5" i="96"/>
  <c r="J4" i="96"/>
  <c r="G4" i="96"/>
  <c r="F4" i="96"/>
  <c r="D4" i="96"/>
  <c r="C4" i="96"/>
  <c r="B4" i="96"/>
  <c r="R3" i="96"/>
  <c r="J3" i="96"/>
  <c r="G3" i="96"/>
  <c r="F3" i="96"/>
  <c r="D3" i="96"/>
  <c r="C3" i="96"/>
  <c r="B3" i="96"/>
  <c r="S180" i="70"/>
  <c r="S163" i="70"/>
  <c r="S146" i="70"/>
  <c r="S129" i="70"/>
  <c r="S112" i="70"/>
  <c r="S95" i="70"/>
  <c r="S78" i="70"/>
  <c r="S61" i="70"/>
  <c r="S44" i="70"/>
  <c r="U1113" i="70" l="1"/>
  <c r="U1116" i="70"/>
  <c r="U1115" i="70"/>
  <c r="AT178" i="70"/>
  <c r="AU178" i="70"/>
  <c r="D639" i="70"/>
  <c r="D270" i="27"/>
  <c r="D607" i="70"/>
  <c r="D592" i="70"/>
  <c r="D577" i="70"/>
  <c r="D560" i="70"/>
  <c r="D545" i="70"/>
  <c r="D530" i="70"/>
  <c r="D515" i="70"/>
  <c r="D500" i="70"/>
  <c r="D485" i="70"/>
  <c r="D470" i="70"/>
  <c r="D455" i="70"/>
  <c r="D153" i="71"/>
  <c r="D148" i="71"/>
  <c r="D143" i="71"/>
  <c r="E143" i="71"/>
  <c r="D138" i="71"/>
  <c r="D133" i="71"/>
  <c r="D128" i="71"/>
  <c r="E133" i="71"/>
  <c r="D123" i="71"/>
  <c r="E123" i="71"/>
  <c r="D118" i="71"/>
  <c r="P100" i="71"/>
  <c r="D90" i="71"/>
  <c r="P91" i="71"/>
  <c r="D81" i="71"/>
  <c r="D72" i="71"/>
  <c r="P82" i="71"/>
  <c r="Q75" i="71"/>
  <c r="Q84" i="71"/>
  <c r="Q110" i="71"/>
  <c r="Q120" i="71" s="1"/>
  <c r="Q130" i="71" s="1"/>
  <c r="Q140" i="71" s="1"/>
  <c r="Q150" i="71" s="1"/>
  <c r="Q101" i="71"/>
  <c r="Q102" i="71"/>
  <c r="D113" i="71"/>
  <c r="E113" i="71"/>
  <c r="D108" i="71"/>
  <c r="Q93" i="71"/>
  <c r="Q76" i="71"/>
  <c r="Q109" i="71"/>
  <c r="Q119" i="71" s="1"/>
  <c r="Q129" i="71" s="1"/>
  <c r="Q139" i="71" s="1"/>
  <c r="Q149" i="71" s="1"/>
  <c r="E48" i="61"/>
  <c r="N54" i="61"/>
  <c r="O54" i="61"/>
  <c r="N59" i="61"/>
  <c r="E53" i="61"/>
  <c r="O64" i="61"/>
  <c r="E63" i="61"/>
  <c r="N69" i="61"/>
  <c r="N75" i="61" s="1"/>
  <c r="N81" i="61" s="1"/>
  <c r="N87" i="61" s="1"/>
  <c r="N93" i="61" s="1"/>
  <c r="E58" i="61"/>
  <c r="N64" i="61"/>
  <c r="O59" i="61"/>
  <c r="P168" i="60"/>
  <c r="P183" i="60" s="1"/>
  <c r="P198" i="60" s="1"/>
  <c r="P213" i="60" s="1"/>
  <c r="P228" i="60" s="1"/>
  <c r="P172" i="60"/>
  <c r="P187" i="60" s="1"/>
  <c r="P202" i="60" s="1"/>
  <c r="P217" i="60" s="1"/>
  <c r="P232" i="60" s="1"/>
  <c r="P165" i="60"/>
  <c r="P180" i="60" s="1"/>
  <c r="P195" i="60" s="1"/>
  <c r="P210" i="60" s="1"/>
  <c r="P225" i="60" s="1"/>
  <c r="P169" i="60"/>
  <c r="P184" i="60" s="1"/>
  <c r="P199" i="60" s="1"/>
  <c r="P214" i="60" s="1"/>
  <c r="P229" i="60" s="1"/>
  <c r="P164" i="60"/>
  <c r="P179" i="60" s="1"/>
  <c r="P194" i="60" s="1"/>
  <c r="P209" i="60" s="1"/>
  <c r="P224" i="60" s="1"/>
  <c r="P166" i="60"/>
  <c r="P181" i="60" s="1"/>
  <c r="P196" i="60" s="1"/>
  <c r="P211" i="60" s="1"/>
  <c r="P226" i="60" s="1"/>
  <c r="P167" i="60"/>
  <c r="P182" i="60" s="1"/>
  <c r="P197" i="60" s="1"/>
  <c r="P212" i="60" s="1"/>
  <c r="P227" i="60" s="1"/>
  <c r="P162" i="60"/>
  <c r="P177" i="60" s="1"/>
  <c r="P192" i="60" s="1"/>
  <c r="P207" i="60" s="1"/>
  <c r="P222" i="60" s="1"/>
  <c r="P163" i="60"/>
  <c r="P178" i="60" s="1"/>
  <c r="P193" i="60" s="1"/>
  <c r="P208" i="60" s="1"/>
  <c r="P223" i="60" s="1"/>
  <c r="P170" i="60"/>
  <c r="P185" i="60" s="1"/>
  <c r="P200" i="60" s="1"/>
  <c r="P215" i="60" s="1"/>
  <c r="P230" i="60" s="1"/>
  <c r="P171" i="60"/>
  <c r="P186" i="60" s="1"/>
  <c r="P201" i="60" s="1"/>
  <c r="P216" i="60" s="1"/>
  <c r="P231" i="60" s="1"/>
  <c r="EJ37" i="70"/>
  <c r="EE37" i="70" s="1"/>
  <c r="EK37" i="70"/>
  <c r="ED37" i="70" s="1"/>
  <c r="EK26" i="70"/>
  <c r="ED26" i="70" s="1"/>
  <c r="EJ26" i="70"/>
  <c r="EE26" i="70" s="1"/>
  <c r="EK27" i="70"/>
  <c r="ED27" i="70" s="1"/>
  <c r="EJ27" i="70"/>
  <c r="EE27" i="70" s="1"/>
  <c r="EK41" i="70"/>
  <c r="ED41" i="70" s="1"/>
  <c r="EJ41" i="70"/>
  <c r="EE41" i="70" s="1"/>
  <c r="EK40" i="70"/>
  <c r="ED40" i="70" s="1"/>
  <c r="EJ40" i="70"/>
  <c r="EE40" i="70" s="1"/>
  <c r="EJ33" i="70"/>
  <c r="EE33" i="70" s="1"/>
  <c r="EK33" i="70"/>
  <c r="ED33" i="70" s="1"/>
  <c r="EK32" i="70"/>
  <c r="ED32" i="70" s="1"/>
  <c r="EJ32" i="70"/>
  <c r="EE32" i="70" s="1"/>
  <c r="EK39" i="70"/>
  <c r="ED39" i="70" s="1"/>
  <c r="EJ39" i="70"/>
  <c r="EE39" i="70" s="1"/>
  <c r="EK38" i="70"/>
  <c r="ED38" i="70" s="1"/>
  <c r="EJ38" i="70"/>
  <c r="EE38" i="70" s="1"/>
  <c r="EK29" i="70"/>
  <c r="ED29" i="70" s="1"/>
  <c r="EJ29" i="70"/>
  <c r="EE29" i="70" s="1"/>
  <c r="EK34" i="70"/>
  <c r="ED34" i="70" s="1"/>
  <c r="EJ34" i="70"/>
  <c r="EE34" i="70" s="1"/>
  <c r="EK42" i="70"/>
  <c r="ED42" i="70" s="1"/>
  <c r="EJ42" i="70"/>
  <c r="EE42" i="70" s="1"/>
  <c r="EK35" i="70"/>
  <c r="ED35" i="70" s="1"/>
  <c r="EJ35" i="70"/>
  <c r="EE35" i="70" s="1"/>
  <c r="ER41" i="70"/>
  <c r="FA24" i="70"/>
  <c r="ER28" i="70"/>
  <c r="ER31" i="70"/>
  <c r="ER25" i="70"/>
  <c r="ER35" i="70"/>
  <c r="ER29" i="70"/>
  <c r="ER36" i="70"/>
  <c r="ER39" i="70"/>
  <c r="ER33" i="70"/>
  <c r="ER26" i="70"/>
  <c r="ER37" i="70"/>
  <c r="ER32" i="70"/>
  <c r="ER30" i="70"/>
  <c r="ER34" i="70"/>
  <c r="ER40" i="70"/>
  <c r="ER38" i="70"/>
  <c r="ER27" i="70"/>
  <c r="ER42" i="70"/>
  <c r="EJ25" i="70"/>
  <c r="EE25" i="70" s="1"/>
  <c r="EK25" i="70"/>
  <c r="ED25" i="70" s="1"/>
  <c r="EK36" i="70"/>
  <c r="ED36" i="70" s="1"/>
  <c r="EJ36" i="70"/>
  <c r="EE36" i="70" s="1"/>
  <c r="EJ30" i="70"/>
  <c r="EE30" i="70" s="1"/>
  <c r="EK30" i="70"/>
  <c r="ED30" i="70" s="1"/>
  <c r="EK31" i="70"/>
  <c r="ED31" i="70" s="1"/>
  <c r="EJ31" i="70"/>
  <c r="EE31" i="70" s="1"/>
  <c r="EK28" i="70"/>
  <c r="ED28" i="70" s="1"/>
  <c r="EJ28" i="70"/>
  <c r="EE28" i="70" s="1"/>
  <c r="T259" i="70"/>
  <c r="R261" i="70"/>
  <c r="S261" i="70" s="1"/>
  <c r="S260" i="70"/>
  <c r="T242" i="70"/>
  <c r="R244" i="70"/>
  <c r="S244" i="70" s="1"/>
  <c r="S243" i="70"/>
  <c r="T225" i="70"/>
  <c r="R227" i="70"/>
  <c r="S227" i="70" s="1"/>
  <c r="S226" i="70"/>
  <c r="T208" i="70"/>
  <c r="R210" i="70"/>
  <c r="S210" i="70" s="1"/>
  <c r="S209" i="70"/>
  <c r="T276" i="70"/>
  <c r="R278" i="70"/>
  <c r="S278" i="70" s="1"/>
  <c r="S277" i="70"/>
  <c r="C1347" i="95"/>
  <c r="C1142" i="95"/>
  <c r="C1143" i="95" s="1"/>
  <c r="C971" i="95"/>
  <c r="C972" i="95" s="1"/>
  <c r="C582" i="95"/>
  <c r="C551" i="95"/>
  <c r="C552" i="95" s="1"/>
  <c r="C510" i="95"/>
  <c r="C389" i="95"/>
  <c r="C248" i="95"/>
  <c r="C65" i="95"/>
  <c r="C4" i="95"/>
  <c r="AT101" i="2"/>
  <c r="AT100" i="2"/>
  <c r="AT99" i="2"/>
  <c r="AT98" i="2"/>
  <c r="AT97" i="2"/>
  <c r="AT96" i="2"/>
  <c r="AT95" i="2"/>
  <c r="AT94" i="2"/>
  <c r="AT93" i="2"/>
  <c r="AT92" i="2"/>
  <c r="AT91" i="2"/>
  <c r="AT90" i="2"/>
  <c r="AT89" i="2"/>
  <c r="AT88" i="2"/>
  <c r="AT87" i="2"/>
  <c r="AT86" i="2"/>
  <c r="AT85" i="2"/>
  <c r="AT84" i="2"/>
  <c r="AT83" i="2"/>
  <c r="AT82" i="2"/>
  <c r="AT81" i="2"/>
  <c r="AT80" i="2"/>
  <c r="AT79" i="2"/>
  <c r="AT78" i="2"/>
  <c r="AT77" i="2"/>
  <c r="AT76" i="2"/>
  <c r="AT75" i="2"/>
  <c r="AT74" i="2"/>
  <c r="AT73" i="2"/>
  <c r="AT72" i="2"/>
  <c r="AT60" i="2"/>
  <c r="AT59" i="2"/>
  <c r="AT52" i="2"/>
  <c r="AT51" i="2"/>
  <c r="AT50" i="2"/>
  <c r="AT33" i="2"/>
  <c r="AT26" i="2"/>
  <c r="AT61" i="64"/>
  <c r="AT59" i="64"/>
  <c r="AT51" i="64"/>
  <c r="AT50" i="64"/>
  <c r="AT49" i="64"/>
  <c r="AT47" i="64"/>
  <c r="AT46" i="64"/>
  <c r="AT45" i="64"/>
  <c r="AT44" i="64"/>
  <c r="AT43" i="64"/>
  <c r="AT42" i="64"/>
  <c r="AT26" i="64"/>
  <c r="AT24" i="64"/>
  <c r="AT23" i="64"/>
  <c r="AT183" i="3"/>
  <c r="AT182" i="3"/>
  <c r="AT181" i="3"/>
  <c r="AT180" i="3"/>
  <c r="AT179" i="3"/>
  <c r="AT178" i="3"/>
  <c r="AT177" i="3"/>
  <c r="AT176" i="3"/>
  <c r="AT175" i="3"/>
  <c r="AT174" i="3"/>
  <c r="AT173" i="3"/>
  <c r="AT172" i="3"/>
  <c r="AT171" i="3"/>
  <c r="AT170" i="3"/>
  <c r="AT169" i="3"/>
  <c r="AT168" i="3"/>
  <c r="AT167" i="3"/>
  <c r="AT166" i="3"/>
  <c r="AT165" i="3"/>
  <c r="AT164" i="3"/>
  <c r="AT163" i="3"/>
  <c r="AT162" i="3"/>
  <c r="AT161" i="3"/>
  <c r="AT160" i="3"/>
  <c r="AT159" i="3"/>
  <c r="AT158" i="3"/>
  <c r="AT157" i="3"/>
  <c r="AT156" i="3"/>
  <c r="AT155" i="3"/>
  <c r="AT154" i="3"/>
  <c r="AT153" i="3"/>
  <c r="AT152" i="3"/>
  <c r="AT151" i="3"/>
  <c r="AT150" i="3"/>
  <c r="AT149" i="3"/>
  <c r="AT148" i="3"/>
  <c r="AT147" i="3"/>
  <c r="AT146" i="3"/>
  <c r="AT145" i="3"/>
  <c r="AT144" i="3"/>
  <c r="AT143" i="3"/>
  <c r="AT142" i="3"/>
  <c r="AT141" i="3"/>
  <c r="AT140" i="3"/>
  <c r="AT139" i="3"/>
  <c r="AT138" i="3"/>
  <c r="AT137" i="3"/>
  <c r="AT136" i="3"/>
  <c r="AT135" i="3"/>
  <c r="AT134" i="3"/>
  <c r="AT133" i="3"/>
  <c r="AT132" i="3"/>
  <c r="AT131" i="3"/>
  <c r="AT130" i="3"/>
  <c r="AT129" i="3"/>
  <c r="AT128" i="3"/>
  <c r="AT127" i="3"/>
  <c r="AT126" i="3"/>
  <c r="AT125" i="3"/>
  <c r="AT124" i="3"/>
  <c r="AT123" i="3"/>
  <c r="AT122" i="3"/>
  <c r="AT121" i="3"/>
  <c r="AT120" i="3"/>
  <c r="AT119" i="3"/>
  <c r="AT118" i="3"/>
  <c r="AT117" i="3"/>
  <c r="AT116" i="3"/>
  <c r="AT115" i="3"/>
  <c r="AT114" i="3"/>
  <c r="AT113" i="3"/>
  <c r="AT112" i="3"/>
  <c r="AT111" i="3"/>
  <c r="AT110" i="3"/>
  <c r="AT109" i="3"/>
  <c r="AT108" i="3"/>
  <c r="AT107" i="3"/>
  <c r="AT106" i="3"/>
  <c r="AT105" i="3"/>
  <c r="AT104" i="3"/>
  <c r="AT103" i="3"/>
  <c r="AT102" i="3"/>
  <c r="AT101" i="3"/>
  <c r="AT100" i="3"/>
  <c r="AT99" i="3"/>
  <c r="AT98" i="3"/>
  <c r="AT97" i="3"/>
  <c r="AT96" i="3"/>
  <c r="AT95" i="3"/>
  <c r="AT94" i="3"/>
  <c r="AT93" i="3"/>
  <c r="AT92" i="3"/>
  <c r="AT91" i="3"/>
  <c r="AT90" i="3"/>
  <c r="AT89" i="3"/>
  <c r="AT88" i="3"/>
  <c r="AT87" i="3"/>
  <c r="AT86" i="3"/>
  <c r="AT85" i="3"/>
  <c r="AT84" i="3"/>
  <c r="AT83" i="3"/>
  <c r="AT82" i="3"/>
  <c r="AT81" i="3"/>
  <c r="AT80" i="3"/>
  <c r="AT79" i="3"/>
  <c r="AT78" i="3"/>
  <c r="AT8" i="3"/>
  <c r="S2" i="94"/>
  <c r="U2" i="94" s="1"/>
  <c r="T6" i="94"/>
  <c r="T11" i="94" s="1"/>
  <c r="S5" i="94"/>
  <c r="U5" i="94" s="1"/>
  <c r="S4" i="94"/>
  <c r="U4" i="94" s="1"/>
  <c r="S3" i="94"/>
  <c r="U3" i="94" s="1"/>
  <c r="S1" i="94"/>
  <c r="U1" i="94" s="1"/>
  <c r="R1" i="94" s="1"/>
  <c r="B2" i="94"/>
  <c r="B3" i="94" s="1"/>
  <c r="B4" i="94" s="1"/>
  <c r="B5" i="94" s="1"/>
  <c r="B6" i="94" s="1"/>
  <c r="B7" i="94" s="1"/>
  <c r="B8" i="94" s="1"/>
  <c r="B9" i="94" s="1"/>
  <c r="B10" i="94" s="1"/>
  <c r="B11" i="94" s="1"/>
  <c r="B12" i="94" s="1"/>
  <c r="B13" i="94" s="1"/>
  <c r="B14" i="94" s="1"/>
  <c r="B15" i="94" s="1"/>
  <c r="B16" i="94" s="1"/>
  <c r="B17" i="94" s="1"/>
  <c r="B18" i="94" s="1"/>
  <c r="B19" i="94" s="1"/>
  <c r="B20" i="94" s="1"/>
  <c r="B21" i="94" s="1"/>
  <c r="B22" i="94" s="1"/>
  <c r="B23" i="94" s="1"/>
  <c r="B24" i="94" s="1"/>
  <c r="B25" i="94" s="1"/>
  <c r="B26" i="94" s="1"/>
  <c r="B27" i="94" s="1"/>
  <c r="B28" i="94" s="1"/>
  <c r="B29" i="94" s="1"/>
  <c r="B30" i="94" s="1"/>
  <c r="B31" i="94" s="1"/>
  <c r="B32" i="94" s="1"/>
  <c r="B33" i="94" s="1"/>
  <c r="B34" i="94" s="1"/>
  <c r="B35" i="94" s="1"/>
  <c r="B36" i="94" s="1"/>
  <c r="B37" i="94" s="1"/>
  <c r="B38" i="94" s="1"/>
  <c r="B39" i="94" s="1"/>
  <c r="K1144" i="70"/>
  <c r="T7" i="94" l="1"/>
  <c r="S6" i="94"/>
  <c r="U6" i="94" s="1"/>
  <c r="R6" i="94" s="1"/>
  <c r="AU195" i="70"/>
  <c r="AT195" i="70"/>
  <c r="D640" i="70"/>
  <c r="D271" i="27"/>
  <c r="D608" i="70"/>
  <c r="D593" i="70"/>
  <c r="D578" i="70"/>
  <c r="D561" i="70"/>
  <c r="D546" i="70"/>
  <c r="D531" i="70"/>
  <c r="D516" i="70"/>
  <c r="D501" i="70"/>
  <c r="D486" i="70"/>
  <c r="D471" i="70"/>
  <c r="D456" i="70"/>
  <c r="P92" i="71"/>
  <c r="D82" i="71"/>
  <c r="D100" i="71"/>
  <c r="P110" i="71"/>
  <c r="D91" i="71"/>
  <c r="P101" i="71"/>
  <c r="Q94" i="71"/>
  <c r="Q86" i="71"/>
  <c r="Q85" i="71"/>
  <c r="Q112" i="71"/>
  <c r="Q122" i="71" s="1"/>
  <c r="Q132" i="71" s="1"/>
  <c r="Q142" i="71" s="1"/>
  <c r="Q152" i="71" s="1"/>
  <c r="Q103" i="71"/>
  <c r="Q111" i="71"/>
  <c r="Q121" i="71" s="1"/>
  <c r="Q131" i="71" s="1"/>
  <c r="Q141" i="71" s="1"/>
  <c r="Q151" i="71" s="1"/>
  <c r="E93" i="61"/>
  <c r="E87" i="61"/>
  <c r="E81" i="61"/>
  <c r="E75" i="61"/>
  <c r="O65" i="61"/>
  <c r="E59" i="61"/>
  <c r="N65" i="61"/>
  <c r="E54" i="61"/>
  <c r="N60" i="61"/>
  <c r="E64" i="61"/>
  <c r="N70" i="61"/>
  <c r="N76" i="61" s="1"/>
  <c r="N82" i="61" s="1"/>
  <c r="N88" i="61" s="1"/>
  <c r="N94" i="61" s="1"/>
  <c r="E69" i="61"/>
  <c r="O60" i="61"/>
  <c r="O70" i="61"/>
  <c r="O76" i="61" s="1"/>
  <c r="O82" i="61" s="1"/>
  <c r="O88" i="61" s="1"/>
  <c r="O94" i="61" s="1"/>
  <c r="ET30" i="70"/>
  <c r="EM30" i="70" s="1"/>
  <c r="ES30" i="70"/>
  <c r="EN30" i="70" s="1"/>
  <c r="ET35" i="70"/>
  <c r="EM35" i="70" s="1"/>
  <c r="ES35" i="70"/>
  <c r="EN35" i="70" s="1"/>
  <c r="ES32" i="70"/>
  <c r="EN32" i="70" s="1"/>
  <c r="ET32" i="70"/>
  <c r="EM32" i="70" s="1"/>
  <c r="ET25" i="70"/>
  <c r="EM25" i="70" s="1"/>
  <c r="ES25" i="70"/>
  <c r="EN25" i="70" s="1"/>
  <c r="ET37" i="70"/>
  <c r="EM37" i="70" s="1"/>
  <c r="ES37" i="70"/>
  <c r="EN37" i="70" s="1"/>
  <c r="ET31" i="70"/>
  <c r="EM31" i="70" s="1"/>
  <c r="ES31" i="70"/>
  <c r="EN31" i="70" s="1"/>
  <c r="ET42" i="70"/>
  <c r="EM42" i="70" s="1"/>
  <c r="ES42" i="70"/>
  <c r="EN42" i="70" s="1"/>
  <c r="ET26" i="70"/>
  <c r="EM26" i="70" s="1"/>
  <c r="ES26" i="70"/>
  <c r="EN26" i="70" s="1"/>
  <c r="ET28" i="70"/>
  <c r="EM28" i="70" s="1"/>
  <c r="ES28" i="70"/>
  <c r="EN28" i="70" s="1"/>
  <c r="ET27" i="70"/>
  <c r="EM27" i="70" s="1"/>
  <c r="ES27" i="70"/>
  <c r="EN27" i="70" s="1"/>
  <c r="ES33" i="70"/>
  <c r="EN33" i="70" s="1"/>
  <c r="ET33" i="70"/>
  <c r="EM33" i="70" s="1"/>
  <c r="FA41" i="70"/>
  <c r="FJ24" i="70"/>
  <c r="FA28" i="70"/>
  <c r="FA33" i="70"/>
  <c r="FA32" i="70"/>
  <c r="FA26" i="70"/>
  <c r="FA37" i="70"/>
  <c r="FA36" i="70"/>
  <c r="FA30" i="70"/>
  <c r="FA40" i="70"/>
  <c r="FA34" i="70"/>
  <c r="FA27" i="70"/>
  <c r="FA38" i="70"/>
  <c r="FA31" i="70"/>
  <c r="FA42" i="70"/>
  <c r="FA35" i="70"/>
  <c r="FA25" i="70"/>
  <c r="FA39" i="70"/>
  <c r="FA29" i="70"/>
  <c r="ET38" i="70"/>
  <c r="EM38" i="70" s="1"/>
  <c r="ES38" i="70"/>
  <c r="EN38" i="70" s="1"/>
  <c r="ET39" i="70"/>
  <c r="EM39" i="70" s="1"/>
  <c r="ES39" i="70"/>
  <c r="EN39" i="70" s="1"/>
  <c r="ET41" i="70"/>
  <c r="EM41" i="70" s="1"/>
  <c r="ES41" i="70"/>
  <c r="EN41" i="70" s="1"/>
  <c r="ET40" i="70"/>
  <c r="EM40" i="70" s="1"/>
  <c r="ES40" i="70"/>
  <c r="EN40" i="70" s="1"/>
  <c r="ES36" i="70"/>
  <c r="EN36" i="70" s="1"/>
  <c r="ET36" i="70"/>
  <c r="EM36" i="70" s="1"/>
  <c r="ET34" i="70"/>
  <c r="EM34" i="70" s="1"/>
  <c r="ES34" i="70"/>
  <c r="EN34" i="70" s="1"/>
  <c r="ET29" i="70"/>
  <c r="EM29" i="70" s="1"/>
  <c r="ES29" i="70"/>
  <c r="EN29" i="70" s="1"/>
  <c r="T260" i="70"/>
  <c r="T243" i="70"/>
  <c r="T244" i="70" s="1"/>
  <c r="T226" i="70"/>
  <c r="T227" i="70" s="1"/>
  <c r="T209" i="70"/>
  <c r="T210" i="70" s="1"/>
  <c r="T277" i="70"/>
  <c r="T278" i="70" s="1"/>
  <c r="S7" i="94"/>
  <c r="U7" i="94" s="1"/>
  <c r="T8" i="94"/>
  <c r="S11" i="94"/>
  <c r="U11" i="94" s="1"/>
  <c r="T16" i="94"/>
  <c r="T12" i="94"/>
  <c r="C249" i="95"/>
  <c r="C250" i="95" s="1"/>
  <c r="C66" i="95"/>
  <c r="C5" i="95"/>
  <c r="C390" i="95"/>
  <c r="C511" i="95"/>
  <c r="C553" i="95"/>
  <c r="C583" i="95"/>
  <c r="C973" i="95"/>
  <c r="C1144" i="95"/>
  <c r="C1348" i="95"/>
  <c r="W3" i="94"/>
  <c r="Z3" i="94" s="1"/>
  <c r="W4" i="94"/>
  <c r="Z4" i="94" s="1"/>
  <c r="W5" i="94"/>
  <c r="Z5" i="94" s="1"/>
  <c r="W2" i="94"/>
  <c r="Z2" i="94" s="1"/>
  <c r="V5" i="94"/>
  <c r="Y5" i="94" s="1"/>
  <c r="W1" i="94"/>
  <c r="V3" i="94"/>
  <c r="Y3" i="94" s="1"/>
  <c r="V4" i="94"/>
  <c r="Y4" i="94" s="1"/>
  <c r="V2" i="94"/>
  <c r="Y2" i="94" s="1"/>
  <c r="V1" i="94"/>
  <c r="R2" i="94"/>
  <c r="R5" i="94"/>
  <c r="R3" i="94"/>
  <c r="R4" i="94"/>
  <c r="R7" i="94" l="1"/>
  <c r="V6" i="94"/>
  <c r="Y6" i="94" s="1"/>
  <c r="W6" i="94"/>
  <c r="Z6" i="94" s="1"/>
  <c r="AT212" i="70"/>
  <c r="AU212" i="70"/>
  <c r="D641" i="70"/>
  <c r="D272" i="27"/>
  <c r="D609" i="70"/>
  <c r="D594" i="70"/>
  <c r="D579" i="70"/>
  <c r="D562" i="70"/>
  <c r="D547" i="70"/>
  <c r="D532" i="70"/>
  <c r="D517" i="70"/>
  <c r="D502" i="70"/>
  <c r="D487" i="70"/>
  <c r="D472" i="70"/>
  <c r="D457" i="70"/>
  <c r="D101" i="71"/>
  <c r="P111" i="71"/>
  <c r="D92" i="71"/>
  <c r="P102" i="71"/>
  <c r="D110" i="71"/>
  <c r="P120" i="71"/>
  <c r="Q95" i="71"/>
  <c r="Q96" i="71"/>
  <c r="Q104" i="71"/>
  <c r="Q113" i="71"/>
  <c r="Q123" i="71" s="1"/>
  <c r="Q133" i="71" s="1"/>
  <c r="Q143" i="71" s="1"/>
  <c r="Q153" i="71" s="1"/>
  <c r="E94" i="61"/>
  <c r="E88" i="61"/>
  <c r="E82" i="61"/>
  <c r="E76" i="61"/>
  <c r="O71" i="61"/>
  <c r="O77" i="61" s="1"/>
  <c r="O83" i="61" s="1"/>
  <c r="O89" i="61" s="1"/>
  <c r="O95" i="61" s="1"/>
  <c r="O66" i="61"/>
  <c r="E70" i="61"/>
  <c r="E60" i="61"/>
  <c r="N66" i="61"/>
  <c r="N71" i="61"/>
  <c r="N77" i="61" s="1"/>
  <c r="N83" i="61" s="1"/>
  <c r="N89" i="61" s="1"/>
  <c r="N95" i="61" s="1"/>
  <c r="E65" i="61"/>
  <c r="FC39" i="70"/>
  <c r="EV39" i="70" s="1"/>
  <c r="FB39" i="70"/>
  <c r="EW39" i="70" s="1"/>
  <c r="FC40" i="70"/>
  <c r="EV40" i="70" s="1"/>
  <c r="FB40" i="70"/>
  <c r="EW40" i="70" s="1"/>
  <c r="FJ41" i="70"/>
  <c r="FJ28" i="70"/>
  <c r="FJ40" i="70"/>
  <c r="FJ32" i="70"/>
  <c r="FS24" i="70"/>
  <c r="FJ36" i="70"/>
  <c r="FJ38" i="70"/>
  <c r="FJ27" i="70"/>
  <c r="FJ42" i="70"/>
  <c r="FJ37" i="70"/>
  <c r="FJ31" i="70"/>
  <c r="FJ25" i="70"/>
  <c r="FJ35" i="70"/>
  <c r="FJ29" i="70"/>
  <c r="FJ39" i="70"/>
  <c r="FJ33" i="70"/>
  <c r="FJ26" i="70"/>
  <c r="FJ30" i="70"/>
  <c r="FJ34" i="70"/>
  <c r="FC25" i="70"/>
  <c r="EV25" i="70" s="1"/>
  <c r="FB25" i="70"/>
  <c r="EW25" i="70" s="1"/>
  <c r="FB30" i="70"/>
  <c r="EW30" i="70" s="1"/>
  <c r="FC30" i="70"/>
  <c r="EV30" i="70" s="1"/>
  <c r="FC41" i="70"/>
  <c r="EV41" i="70" s="1"/>
  <c r="FB41" i="70"/>
  <c r="EW41" i="70" s="1"/>
  <c r="FC35" i="70"/>
  <c r="EV35" i="70" s="1"/>
  <c r="FB35" i="70"/>
  <c r="EW35" i="70" s="1"/>
  <c r="FC36" i="70"/>
  <c r="EV36" i="70" s="1"/>
  <c r="FB36" i="70"/>
  <c r="EW36" i="70" s="1"/>
  <c r="FC42" i="70"/>
  <c r="EV42" i="70" s="1"/>
  <c r="FB42" i="70"/>
  <c r="EW42" i="70" s="1"/>
  <c r="FB37" i="70"/>
  <c r="EW37" i="70" s="1"/>
  <c r="FC37" i="70"/>
  <c r="EV37" i="70" s="1"/>
  <c r="FC31" i="70"/>
  <c r="EV31" i="70" s="1"/>
  <c r="FB31" i="70"/>
  <c r="EW31" i="70" s="1"/>
  <c r="FC26" i="70"/>
  <c r="EV26" i="70" s="1"/>
  <c r="FB26" i="70"/>
  <c r="EW26" i="70" s="1"/>
  <c r="FB38" i="70"/>
  <c r="EW38" i="70" s="1"/>
  <c r="FC38" i="70"/>
  <c r="EV38" i="70" s="1"/>
  <c r="FC32" i="70"/>
  <c r="EV32" i="70" s="1"/>
  <c r="FB32" i="70"/>
  <c r="EW32" i="70" s="1"/>
  <c r="FC27" i="70"/>
  <c r="EV27" i="70" s="1"/>
  <c r="FB27" i="70"/>
  <c r="EW27" i="70" s="1"/>
  <c r="FB33" i="70"/>
  <c r="EW33" i="70" s="1"/>
  <c r="FC33" i="70"/>
  <c r="EV33" i="70" s="1"/>
  <c r="FB29" i="70"/>
  <c r="EW29" i="70" s="1"/>
  <c r="FC29" i="70"/>
  <c r="EV29" i="70" s="1"/>
  <c r="FC34" i="70"/>
  <c r="EV34" i="70" s="1"/>
  <c r="FB34" i="70"/>
  <c r="EW34" i="70" s="1"/>
  <c r="FC28" i="70"/>
  <c r="EV28" i="70" s="1"/>
  <c r="FB28" i="70"/>
  <c r="EW28" i="70" s="1"/>
  <c r="T261" i="70"/>
  <c r="V11" i="94"/>
  <c r="Y11" i="94" s="1"/>
  <c r="W7" i="94"/>
  <c r="Z7" i="94" s="1"/>
  <c r="V7" i="94"/>
  <c r="Y7" i="94" s="1"/>
  <c r="W11" i="94"/>
  <c r="Z11" i="94" s="1"/>
  <c r="T13" i="94"/>
  <c r="S12" i="94"/>
  <c r="S16" i="94"/>
  <c r="T21" i="94"/>
  <c r="T17" i="94"/>
  <c r="S8" i="94"/>
  <c r="T9" i="94"/>
  <c r="C1349" i="95"/>
  <c r="C554" i="95"/>
  <c r="C512" i="95"/>
  <c r="C251" i="95"/>
  <c r="C67" i="95"/>
  <c r="C584" i="95"/>
  <c r="C974" i="95"/>
  <c r="C1145" i="95"/>
  <c r="C391" i="95"/>
  <c r="C6" i="95"/>
  <c r="AT229" i="70" l="1"/>
  <c r="AU229" i="70"/>
  <c r="D642" i="70"/>
  <c r="D273" i="27"/>
  <c r="D610" i="70"/>
  <c r="D595" i="70"/>
  <c r="D580" i="70"/>
  <c r="D563" i="70"/>
  <c r="D548" i="70"/>
  <c r="D533" i="70"/>
  <c r="D518" i="70"/>
  <c r="D503" i="70"/>
  <c r="D488" i="70"/>
  <c r="D473" i="70"/>
  <c r="D458" i="70"/>
  <c r="D120" i="71"/>
  <c r="P130" i="71"/>
  <c r="P112" i="71"/>
  <c r="D102" i="71"/>
  <c r="D111" i="71"/>
  <c r="P121" i="71"/>
  <c r="Q114" i="71"/>
  <c r="Q106" i="71"/>
  <c r="Q105" i="71"/>
  <c r="E95" i="61"/>
  <c r="E89" i="61"/>
  <c r="E83" i="61"/>
  <c r="E77" i="61"/>
  <c r="O72" i="61"/>
  <c r="O78" i="61" s="1"/>
  <c r="O84" i="61" s="1"/>
  <c r="O90" i="61" s="1"/>
  <c r="O96" i="61" s="1"/>
  <c r="E66" i="61"/>
  <c r="N72" i="61"/>
  <c r="N78" i="61" s="1"/>
  <c r="N84" i="61" s="1"/>
  <c r="N90" i="61" s="1"/>
  <c r="N96" i="61" s="1"/>
  <c r="E71" i="61"/>
  <c r="FK37" i="70"/>
  <c r="FF37" i="70" s="1"/>
  <c r="FL37" i="70"/>
  <c r="FE37" i="70" s="1"/>
  <c r="FK25" i="70"/>
  <c r="FF25" i="70" s="1"/>
  <c r="FL25" i="70"/>
  <c r="FE25" i="70" s="1"/>
  <c r="FL32" i="70"/>
  <c r="FE32" i="70" s="1"/>
  <c r="FK32" i="70"/>
  <c r="FF32" i="70" s="1"/>
  <c r="FK34" i="70"/>
  <c r="FF34" i="70" s="1"/>
  <c r="FL34" i="70"/>
  <c r="FE34" i="70" s="1"/>
  <c r="FK31" i="70"/>
  <c r="FF31" i="70" s="1"/>
  <c r="FL31" i="70"/>
  <c r="FE31" i="70" s="1"/>
  <c r="FL40" i="70"/>
  <c r="FE40" i="70" s="1"/>
  <c r="FK40" i="70"/>
  <c r="FF40" i="70" s="1"/>
  <c r="FL30" i="70"/>
  <c r="FE30" i="70" s="1"/>
  <c r="FK30" i="70"/>
  <c r="FF30" i="70" s="1"/>
  <c r="FL26" i="70"/>
  <c r="FE26" i="70" s="1"/>
  <c r="FK26" i="70"/>
  <c r="FF26" i="70" s="1"/>
  <c r="FL42" i="70"/>
  <c r="FE42" i="70" s="1"/>
  <c r="FK42" i="70"/>
  <c r="FF42" i="70" s="1"/>
  <c r="FK41" i="70"/>
  <c r="FF41" i="70" s="1"/>
  <c r="FL41" i="70"/>
  <c r="FE41" i="70" s="1"/>
  <c r="FL33" i="70"/>
  <c r="FE33" i="70" s="1"/>
  <c r="FK33" i="70"/>
  <c r="FF33" i="70" s="1"/>
  <c r="FL27" i="70"/>
  <c r="FE27" i="70" s="1"/>
  <c r="FK27" i="70"/>
  <c r="FF27" i="70" s="1"/>
  <c r="FL39" i="70"/>
  <c r="FE39" i="70" s="1"/>
  <c r="FK39" i="70"/>
  <c r="FF39" i="70" s="1"/>
  <c r="FL38" i="70"/>
  <c r="FE38" i="70" s="1"/>
  <c r="FK38" i="70"/>
  <c r="FF38" i="70" s="1"/>
  <c r="FK29" i="70"/>
  <c r="FF29" i="70" s="1"/>
  <c r="FL29" i="70"/>
  <c r="FE29" i="70" s="1"/>
  <c r="FL36" i="70"/>
  <c r="FE36" i="70" s="1"/>
  <c r="FK36" i="70"/>
  <c r="FF36" i="70" s="1"/>
  <c r="FL28" i="70"/>
  <c r="FE28" i="70" s="1"/>
  <c r="FK28" i="70"/>
  <c r="FF28" i="70" s="1"/>
  <c r="FK35" i="70"/>
  <c r="FF35" i="70" s="1"/>
  <c r="FL35" i="70"/>
  <c r="FE35" i="70" s="1"/>
  <c r="FS41" i="70"/>
  <c r="FS28" i="70"/>
  <c r="FS40" i="70"/>
  <c r="FS32" i="70"/>
  <c r="GB24" i="70"/>
  <c r="FS36" i="70"/>
  <c r="FS35" i="70"/>
  <c r="FS29" i="70"/>
  <c r="FS39" i="70"/>
  <c r="FS33" i="70"/>
  <c r="FS26" i="70"/>
  <c r="FS37" i="70"/>
  <c r="FS30" i="70"/>
  <c r="FS34" i="70"/>
  <c r="FS38" i="70"/>
  <c r="FS27" i="70"/>
  <c r="FS42" i="70"/>
  <c r="FS31" i="70"/>
  <c r="FS25" i="70"/>
  <c r="T10" i="94"/>
  <c r="S10" i="94" s="1"/>
  <c r="S9" i="94"/>
  <c r="U8" i="94"/>
  <c r="W8" i="94"/>
  <c r="Z8" i="94" s="1"/>
  <c r="V8" i="94"/>
  <c r="Y8" i="94" s="1"/>
  <c r="T18" i="94"/>
  <c r="S17" i="94"/>
  <c r="S21" i="94"/>
  <c r="T26" i="94"/>
  <c r="T22" i="94"/>
  <c r="U16" i="94"/>
  <c r="W16" i="94"/>
  <c r="Z16" i="94" s="1"/>
  <c r="V16" i="94"/>
  <c r="Y16" i="94" s="1"/>
  <c r="U12" i="94"/>
  <c r="W12" i="94"/>
  <c r="Z12" i="94" s="1"/>
  <c r="V12" i="94"/>
  <c r="Y12" i="94" s="1"/>
  <c r="T14" i="94"/>
  <c r="S13" i="94"/>
  <c r="C975" i="95"/>
  <c r="C585" i="95"/>
  <c r="C1350" i="95"/>
  <c r="C252" i="95"/>
  <c r="C392" i="95"/>
  <c r="C1146" i="95"/>
  <c r="C68" i="95"/>
  <c r="C513" i="95"/>
  <c r="C555" i="95"/>
  <c r="C7" i="95"/>
  <c r="AU246" i="70" l="1"/>
  <c r="AT246" i="70"/>
  <c r="D274" i="27"/>
  <c r="D130" i="71"/>
  <c r="P140" i="71"/>
  <c r="D121" i="71"/>
  <c r="P131" i="71"/>
  <c r="Q124" i="71"/>
  <c r="D112" i="71"/>
  <c r="P122" i="71"/>
  <c r="Q115" i="71"/>
  <c r="Q125" i="71" s="1"/>
  <c r="Q135" i="71" s="1"/>
  <c r="Q145" i="71" s="1"/>
  <c r="Q155" i="71" s="1"/>
  <c r="Q116" i="71"/>
  <c r="E96" i="61"/>
  <c r="E90" i="61"/>
  <c r="E84" i="61"/>
  <c r="E78" i="61"/>
  <c r="E72" i="61"/>
  <c r="FU37" i="70"/>
  <c r="FN37" i="70" s="1"/>
  <c r="FT37" i="70"/>
  <c r="FO37" i="70" s="1"/>
  <c r="FU32" i="70"/>
  <c r="FN32" i="70" s="1"/>
  <c r="FT32" i="70"/>
  <c r="FO32" i="70" s="1"/>
  <c r="FT25" i="70"/>
  <c r="FO25" i="70" s="1"/>
  <c r="FU25" i="70"/>
  <c r="FN25" i="70" s="1"/>
  <c r="FU26" i="70"/>
  <c r="FN26" i="70" s="1"/>
  <c r="FT26" i="70"/>
  <c r="FO26" i="70" s="1"/>
  <c r="FU40" i="70"/>
  <c r="FN40" i="70" s="1"/>
  <c r="FT40" i="70"/>
  <c r="FO40" i="70" s="1"/>
  <c r="FT42" i="70"/>
  <c r="FO42" i="70" s="1"/>
  <c r="FU42" i="70"/>
  <c r="FN42" i="70" s="1"/>
  <c r="FT39" i="70"/>
  <c r="FO39" i="70" s="1"/>
  <c r="FU39" i="70"/>
  <c r="FN39" i="70" s="1"/>
  <c r="FT41" i="70"/>
  <c r="FO41" i="70" s="1"/>
  <c r="FU41" i="70"/>
  <c r="FN41" i="70" s="1"/>
  <c r="FU31" i="70"/>
  <c r="FN31" i="70" s="1"/>
  <c r="FT31" i="70"/>
  <c r="FO31" i="70" s="1"/>
  <c r="FU27" i="70"/>
  <c r="FN27" i="70" s="1"/>
  <c r="FT27" i="70"/>
  <c r="FO27" i="70" s="1"/>
  <c r="FU29" i="70"/>
  <c r="FN29" i="70" s="1"/>
  <c r="FT29" i="70"/>
  <c r="FO29" i="70" s="1"/>
  <c r="FU38" i="70"/>
  <c r="FN38" i="70" s="1"/>
  <c r="FT38" i="70"/>
  <c r="FO38" i="70" s="1"/>
  <c r="FU35" i="70"/>
  <c r="FN35" i="70" s="1"/>
  <c r="FT35" i="70"/>
  <c r="FO35" i="70" s="1"/>
  <c r="FU33" i="70"/>
  <c r="FN33" i="70" s="1"/>
  <c r="FT33" i="70"/>
  <c r="FO33" i="70" s="1"/>
  <c r="FU28" i="70"/>
  <c r="FN28" i="70" s="1"/>
  <c r="FT28" i="70"/>
  <c r="FO28" i="70" s="1"/>
  <c r="FU34" i="70"/>
  <c r="FN34" i="70" s="1"/>
  <c r="FT34" i="70"/>
  <c r="FO34" i="70" s="1"/>
  <c r="FU36" i="70"/>
  <c r="FN36" i="70" s="1"/>
  <c r="FT36" i="70"/>
  <c r="FO36" i="70" s="1"/>
  <c r="FT30" i="70"/>
  <c r="FO30" i="70" s="1"/>
  <c r="FU30" i="70"/>
  <c r="FN30" i="70" s="1"/>
  <c r="GB41" i="70"/>
  <c r="GB32" i="70"/>
  <c r="GB30" i="70"/>
  <c r="GB36" i="70"/>
  <c r="GB34" i="70"/>
  <c r="GB40" i="70"/>
  <c r="GB38" i="70"/>
  <c r="GB27" i="70"/>
  <c r="GB42" i="70"/>
  <c r="GB31" i="70"/>
  <c r="GB25" i="70"/>
  <c r="GB35" i="70"/>
  <c r="GB29" i="70"/>
  <c r="GB39" i="70"/>
  <c r="GB33" i="70"/>
  <c r="GB28" i="70"/>
  <c r="GB26" i="70"/>
  <c r="GB37" i="70"/>
  <c r="W13" i="94"/>
  <c r="Z13" i="94" s="1"/>
  <c r="U13" i="94"/>
  <c r="V13" i="94"/>
  <c r="Y13" i="94" s="1"/>
  <c r="T15" i="94"/>
  <c r="S15" i="94" s="1"/>
  <c r="S14" i="94"/>
  <c r="S22" i="94"/>
  <c r="T23" i="94"/>
  <c r="T27" i="94"/>
  <c r="T31" i="94"/>
  <c r="S26" i="94"/>
  <c r="U21" i="94"/>
  <c r="W21" i="94"/>
  <c r="Z21" i="94" s="1"/>
  <c r="V21" i="94"/>
  <c r="Y21" i="94" s="1"/>
  <c r="U17" i="94"/>
  <c r="W17" i="94"/>
  <c r="Z17" i="94" s="1"/>
  <c r="V17" i="94"/>
  <c r="Y17" i="94" s="1"/>
  <c r="T19" i="94"/>
  <c r="S18" i="94"/>
  <c r="R8" i="94"/>
  <c r="U9" i="94"/>
  <c r="W9" i="94"/>
  <c r="Z9" i="94" s="1"/>
  <c r="V9" i="94"/>
  <c r="Y9" i="94" s="1"/>
  <c r="U10" i="94"/>
  <c r="W10" i="94"/>
  <c r="Z10" i="94" s="1"/>
  <c r="V10" i="94"/>
  <c r="Y10" i="94" s="1"/>
  <c r="C586" i="95"/>
  <c r="C393" i="95"/>
  <c r="C556" i="95"/>
  <c r="C253" i="95"/>
  <c r="C976" i="95"/>
  <c r="C8" i="95"/>
  <c r="C1147" i="95"/>
  <c r="C514" i="95"/>
  <c r="C69" i="95"/>
  <c r="C1351" i="95"/>
  <c r="AU263" i="70" l="1"/>
  <c r="AT263" i="70"/>
  <c r="D140" i="71"/>
  <c r="P150" i="71"/>
  <c r="D150" i="71" s="1"/>
  <c r="D131" i="71"/>
  <c r="P141" i="71"/>
  <c r="D122" i="71"/>
  <c r="P132" i="71"/>
  <c r="Q134" i="71"/>
  <c r="Q126" i="71"/>
  <c r="GC36" i="70"/>
  <c r="FX36" i="70" s="1"/>
  <c r="GD36" i="70"/>
  <c r="FW36" i="70" s="1"/>
  <c r="GD35" i="70"/>
  <c r="FW35" i="70" s="1"/>
  <c r="GC35" i="70"/>
  <c r="FX35" i="70" s="1"/>
  <c r="GC25" i="70"/>
  <c r="FX25" i="70" s="1"/>
  <c r="GD25" i="70"/>
  <c r="FW25" i="70" s="1"/>
  <c r="GD30" i="70"/>
  <c r="FW30" i="70" s="1"/>
  <c r="GC30" i="70"/>
  <c r="FX30" i="70" s="1"/>
  <c r="GD31" i="70"/>
  <c r="FW31" i="70" s="1"/>
  <c r="GC31" i="70"/>
  <c r="FX31" i="70" s="1"/>
  <c r="GD26" i="70"/>
  <c r="FW26" i="70" s="1"/>
  <c r="GC26" i="70"/>
  <c r="FX26" i="70" s="1"/>
  <c r="GD42" i="70"/>
  <c r="FW42" i="70" s="1"/>
  <c r="GC42" i="70"/>
  <c r="FX42" i="70" s="1"/>
  <c r="GC41" i="70"/>
  <c r="FX41" i="70" s="1"/>
  <c r="GD41" i="70"/>
  <c r="FW41" i="70" s="1"/>
  <c r="GD28" i="70"/>
  <c r="FW28" i="70" s="1"/>
  <c r="GC28" i="70"/>
  <c r="FX28" i="70" s="1"/>
  <c r="GD27" i="70"/>
  <c r="FW27" i="70" s="1"/>
  <c r="GC27" i="70"/>
  <c r="FX27" i="70" s="1"/>
  <c r="GC37" i="70"/>
  <c r="FX37" i="70" s="1"/>
  <c r="GD37" i="70"/>
  <c r="FW37" i="70" s="1"/>
  <c r="GC33" i="70"/>
  <c r="FX33" i="70" s="1"/>
  <c r="GD33" i="70"/>
  <c r="FW33" i="70" s="1"/>
  <c r="GC38" i="70"/>
  <c r="FX38" i="70" s="1"/>
  <c r="GD38" i="70"/>
  <c r="FW38" i="70" s="1"/>
  <c r="GC39" i="70"/>
  <c r="FX39" i="70" s="1"/>
  <c r="GD39" i="70"/>
  <c r="FW39" i="70" s="1"/>
  <c r="GD40" i="70"/>
  <c r="FW40" i="70" s="1"/>
  <c r="GC40" i="70"/>
  <c r="FX40" i="70" s="1"/>
  <c r="GD32" i="70"/>
  <c r="FW32" i="70" s="1"/>
  <c r="GC32" i="70"/>
  <c r="FX32" i="70" s="1"/>
  <c r="GC29" i="70"/>
  <c r="FX29" i="70" s="1"/>
  <c r="GD29" i="70"/>
  <c r="FW29" i="70" s="1"/>
  <c r="GD34" i="70"/>
  <c r="FW34" i="70" s="1"/>
  <c r="GC34" i="70"/>
  <c r="FX34" i="70" s="1"/>
  <c r="R10" i="94"/>
  <c r="R11" i="94"/>
  <c r="R12" i="94"/>
  <c r="R9" i="94"/>
  <c r="W18" i="94"/>
  <c r="Z18" i="94" s="1"/>
  <c r="U18" i="94"/>
  <c r="V18" i="94"/>
  <c r="Y18" i="94" s="1"/>
  <c r="T20" i="94"/>
  <c r="S20" i="94" s="1"/>
  <c r="S19" i="94"/>
  <c r="T24" i="94"/>
  <c r="S23" i="94"/>
  <c r="W22" i="94"/>
  <c r="Z22" i="94" s="1"/>
  <c r="U22" i="94"/>
  <c r="V22" i="94"/>
  <c r="Y22" i="94" s="1"/>
  <c r="W14" i="94"/>
  <c r="Z14" i="94" s="1"/>
  <c r="U14" i="94"/>
  <c r="V14" i="94"/>
  <c r="Y14" i="94" s="1"/>
  <c r="W15" i="94"/>
  <c r="Z15" i="94" s="1"/>
  <c r="U15" i="94"/>
  <c r="V15" i="94"/>
  <c r="Y15" i="94" s="1"/>
  <c r="R13" i="94"/>
  <c r="U26" i="94"/>
  <c r="W26" i="94"/>
  <c r="Z26" i="94" s="1"/>
  <c r="V26" i="94"/>
  <c r="Y26" i="94" s="1"/>
  <c r="T36" i="94"/>
  <c r="T32" i="94"/>
  <c r="S31" i="94"/>
  <c r="S27" i="94"/>
  <c r="T28" i="94"/>
  <c r="C557" i="95"/>
  <c r="C70" i="95"/>
  <c r="C1148" i="95"/>
  <c r="C515" i="95"/>
  <c r="C977" i="95"/>
  <c r="C394" i="95"/>
  <c r="C1352" i="95"/>
  <c r="C587" i="95"/>
  <c r="C9" i="95"/>
  <c r="C254" i="95"/>
  <c r="D141" i="71" l="1"/>
  <c r="P151" i="71"/>
  <c r="D151" i="71" s="1"/>
  <c r="Q144" i="71"/>
  <c r="D132" i="71"/>
  <c r="P142" i="71"/>
  <c r="Q136" i="71"/>
  <c r="T29" i="94"/>
  <c r="S28" i="94"/>
  <c r="W27" i="94"/>
  <c r="Z27" i="94" s="1"/>
  <c r="U27" i="94"/>
  <c r="V27" i="94"/>
  <c r="Y27" i="94" s="1"/>
  <c r="R18" i="94"/>
  <c r="R15" i="94"/>
  <c r="R16" i="94"/>
  <c r="R14" i="94"/>
  <c r="R17" i="94"/>
  <c r="W23" i="94"/>
  <c r="Z23" i="94" s="1"/>
  <c r="U23" i="94"/>
  <c r="V23" i="94"/>
  <c r="Y23" i="94" s="1"/>
  <c r="T25" i="94"/>
  <c r="S25" i="94" s="1"/>
  <c r="S24" i="94"/>
  <c r="W19" i="94"/>
  <c r="Z19" i="94" s="1"/>
  <c r="U19" i="94"/>
  <c r="V19" i="94"/>
  <c r="Y19" i="94" s="1"/>
  <c r="W20" i="94"/>
  <c r="Z20" i="94" s="1"/>
  <c r="U20" i="94"/>
  <c r="V20" i="94"/>
  <c r="Y20" i="94" s="1"/>
  <c r="U31" i="94"/>
  <c r="W31" i="94"/>
  <c r="Z31" i="94" s="1"/>
  <c r="V31" i="94"/>
  <c r="Y31" i="94" s="1"/>
  <c r="T33" i="94"/>
  <c r="S32" i="94"/>
  <c r="S36" i="94"/>
  <c r="T41" i="94"/>
  <c r="T37" i="94"/>
  <c r="C1149" i="95"/>
  <c r="C978" i="95"/>
  <c r="C588" i="95"/>
  <c r="C71" i="95"/>
  <c r="C1353" i="95"/>
  <c r="C10" i="95"/>
  <c r="C395" i="95"/>
  <c r="C516" i="95"/>
  <c r="C255" i="95"/>
  <c r="C558" i="95"/>
  <c r="D142" i="71" l="1"/>
  <c r="P152" i="71"/>
  <c r="D152" i="71" s="1"/>
  <c r="Q154" i="71"/>
  <c r="Q146" i="71"/>
  <c r="R22" i="94"/>
  <c r="R20" i="94"/>
  <c r="R21" i="94"/>
  <c r="R19" i="94"/>
  <c r="W24" i="94"/>
  <c r="Z24" i="94" s="1"/>
  <c r="U24" i="94"/>
  <c r="V24" i="94"/>
  <c r="Y24" i="94" s="1"/>
  <c r="W25" i="94"/>
  <c r="Z25" i="94" s="1"/>
  <c r="U25" i="94"/>
  <c r="V25" i="94"/>
  <c r="Y25" i="94" s="1"/>
  <c r="R23" i="94"/>
  <c r="W28" i="94"/>
  <c r="Z28" i="94" s="1"/>
  <c r="U28" i="94"/>
  <c r="V28" i="94"/>
  <c r="Y28" i="94" s="1"/>
  <c r="T30" i="94"/>
  <c r="S30" i="94" s="1"/>
  <c r="S29" i="94"/>
  <c r="T38" i="94"/>
  <c r="S37" i="94"/>
  <c r="T42" i="94"/>
  <c r="T46" i="94"/>
  <c r="S41" i="94"/>
  <c r="U36" i="94"/>
  <c r="W36" i="94"/>
  <c r="Z36" i="94" s="1"/>
  <c r="V36" i="94"/>
  <c r="Y36" i="94" s="1"/>
  <c r="U32" i="94"/>
  <c r="W32" i="94"/>
  <c r="Z32" i="94" s="1"/>
  <c r="V32" i="94"/>
  <c r="Y32" i="94" s="1"/>
  <c r="S33" i="94"/>
  <c r="T34" i="94"/>
  <c r="C517" i="95"/>
  <c r="C979" i="95"/>
  <c r="C256" i="95"/>
  <c r="C396" i="95"/>
  <c r="C559" i="95"/>
  <c r="C11" i="95"/>
  <c r="C1354" i="95"/>
  <c r="C589" i="95"/>
  <c r="C72" i="95"/>
  <c r="C1150" i="95"/>
  <c r="Q156" i="71" l="1"/>
  <c r="T35" i="94"/>
  <c r="S35" i="94" s="1"/>
  <c r="S34" i="94"/>
  <c r="W33" i="94"/>
  <c r="Z33" i="94" s="1"/>
  <c r="U33" i="94"/>
  <c r="V33" i="94"/>
  <c r="Y33" i="94" s="1"/>
  <c r="W29" i="94"/>
  <c r="Z29" i="94" s="1"/>
  <c r="U29" i="94"/>
  <c r="V29" i="94"/>
  <c r="Y29" i="94" s="1"/>
  <c r="W30" i="94"/>
  <c r="Z30" i="94" s="1"/>
  <c r="U30" i="94"/>
  <c r="V30" i="94"/>
  <c r="Y30" i="94" s="1"/>
  <c r="R25" i="94"/>
  <c r="R26" i="94"/>
  <c r="R28" i="94"/>
  <c r="R24" i="94"/>
  <c r="R27" i="94"/>
  <c r="U41" i="94"/>
  <c r="W41" i="94"/>
  <c r="Z41" i="94" s="1"/>
  <c r="V41" i="94"/>
  <c r="Y41" i="94" s="1"/>
  <c r="T47" i="94"/>
  <c r="S46" i="94"/>
  <c r="S42" i="94"/>
  <c r="T43" i="94"/>
  <c r="U37" i="94"/>
  <c r="W37" i="94"/>
  <c r="Z37" i="94" s="1"/>
  <c r="V37" i="94"/>
  <c r="Y37" i="94" s="1"/>
  <c r="T39" i="94"/>
  <c r="S38" i="94"/>
  <c r="C257" i="95"/>
  <c r="C590" i="95"/>
  <c r="C73" i="95"/>
  <c r="C1355" i="95"/>
  <c r="C1151" i="95"/>
  <c r="C397" i="95"/>
  <c r="C560" i="95"/>
  <c r="C980" i="95"/>
  <c r="C12" i="95"/>
  <c r="C518" i="95"/>
  <c r="R33" i="94" l="1"/>
  <c r="R31" i="94"/>
  <c r="R32" i="94"/>
  <c r="R29" i="94"/>
  <c r="R30" i="94"/>
  <c r="W38" i="94"/>
  <c r="Z38" i="94" s="1"/>
  <c r="U38" i="94"/>
  <c r="V38" i="94"/>
  <c r="Y38" i="94" s="1"/>
  <c r="T40" i="94"/>
  <c r="S40" i="94" s="1"/>
  <c r="S39" i="94"/>
  <c r="S43" i="94"/>
  <c r="T44" i="94"/>
  <c r="W42" i="94"/>
  <c r="Z42" i="94" s="1"/>
  <c r="U42" i="94"/>
  <c r="V42" i="94"/>
  <c r="Y42" i="94" s="1"/>
  <c r="W34" i="94"/>
  <c r="Z34" i="94" s="1"/>
  <c r="U34" i="94"/>
  <c r="V34" i="94"/>
  <c r="Y34" i="94" s="1"/>
  <c r="W35" i="94"/>
  <c r="Z35" i="94" s="1"/>
  <c r="U35" i="94"/>
  <c r="V35" i="94"/>
  <c r="Y35" i="94" s="1"/>
  <c r="U46" i="94"/>
  <c r="W46" i="94"/>
  <c r="Z46" i="94" s="1"/>
  <c r="V46" i="94"/>
  <c r="Y46" i="94" s="1"/>
  <c r="T48" i="94"/>
  <c r="S47" i="94"/>
  <c r="C1152" i="95"/>
  <c r="C1356" i="95"/>
  <c r="C591" i="95"/>
  <c r="C13" i="95"/>
  <c r="C74" i="95"/>
  <c r="C258" i="95"/>
  <c r="C981" i="95"/>
  <c r="C561" i="95"/>
  <c r="C398" i="95"/>
  <c r="C519" i="95"/>
  <c r="W47" i="94" l="1"/>
  <c r="Z47" i="94" s="1"/>
  <c r="U47" i="94"/>
  <c r="V47" i="94"/>
  <c r="Y47" i="94" s="1"/>
  <c r="S48" i="94"/>
  <c r="T49" i="94"/>
  <c r="R37" i="94"/>
  <c r="R35" i="94"/>
  <c r="R36" i="94"/>
  <c r="R38" i="94"/>
  <c r="R34" i="94"/>
  <c r="T45" i="94"/>
  <c r="S45" i="94" s="1"/>
  <c r="S44" i="94"/>
  <c r="W43" i="94"/>
  <c r="Z43" i="94" s="1"/>
  <c r="U43" i="94"/>
  <c r="V43" i="94"/>
  <c r="Y43" i="94" s="1"/>
  <c r="W39" i="94"/>
  <c r="Z39" i="94" s="1"/>
  <c r="U39" i="94"/>
  <c r="V39" i="94"/>
  <c r="Y39" i="94" s="1"/>
  <c r="W40" i="94"/>
  <c r="Z40" i="94" s="1"/>
  <c r="U40" i="94"/>
  <c r="V40" i="94"/>
  <c r="Y40" i="94" s="1"/>
  <c r="C982" i="95"/>
  <c r="C592" i="95"/>
  <c r="C1153" i="95"/>
  <c r="C562" i="95"/>
  <c r="C1357" i="95"/>
  <c r="C259" i="95"/>
  <c r="C520" i="95"/>
  <c r="C399" i="95"/>
  <c r="C75" i="95"/>
  <c r="C14" i="95"/>
  <c r="R41" i="94" l="1"/>
  <c r="R39" i="94"/>
  <c r="R40" i="94"/>
  <c r="R42" i="94"/>
  <c r="R43" i="94"/>
  <c r="W44" i="94"/>
  <c r="Z44" i="94" s="1"/>
  <c r="U44" i="94"/>
  <c r="V44" i="94"/>
  <c r="Y44" i="94" s="1"/>
  <c r="W45" i="94"/>
  <c r="Z45" i="94" s="1"/>
  <c r="U45" i="94"/>
  <c r="V45" i="94"/>
  <c r="Y45" i="94" s="1"/>
  <c r="T50" i="94"/>
  <c r="S50" i="94" s="1"/>
  <c r="S49" i="94"/>
  <c r="W48" i="94"/>
  <c r="Z48" i="94" s="1"/>
  <c r="U48" i="94"/>
  <c r="V48" i="94"/>
  <c r="Y48" i="94" s="1"/>
  <c r="C593" i="95"/>
  <c r="C521" i="95"/>
  <c r="C1154" i="95"/>
  <c r="C400" i="95"/>
  <c r="C260" i="95"/>
  <c r="C1358" i="95"/>
  <c r="C76" i="95"/>
  <c r="C563" i="95"/>
  <c r="C983" i="95"/>
  <c r="C15" i="95"/>
  <c r="W49" i="94" l="1"/>
  <c r="Z49" i="94" s="1"/>
  <c r="U49" i="94"/>
  <c r="V49" i="94"/>
  <c r="Y49" i="94" s="1"/>
  <c r="W50" i="94"/>
  <c r="Z50" i="94" s="1"/>
  <c r="U50" i="94"/>
  <c r="V50" i="94"/>
  <c r="Y50" i="94" s="1"/>
  <c r="R48" i="94"/>
  <c r="R47" i="94"/>
  <c r="R46" i="94"/>
  <c r="R44" i="94"/>
  <c r="R45" i="94"/>
  <c r="C564" i="95"/>
  <c r="C984" i="95"/>
  <c r="C77" i="95"/>
  <c r="C1359" i="95"/>
  <c r="C401" i="95"/>
  <c r="C1155" i="95"/>
  <c r="C16" i="95"/>
  <c r="C261" i="95"/>
  <c r="C594" i="95"/>
  <c r="C522" i="95"/>
  <c r="R50" i="94" l="1"/>
  <c r="R49" i="94"/>
  <c r="C402" i="95"/>
  <c r="C1360" i="95"/>
  <c r="C523" i="95"/>
  <c r="C595" i="95"/>
  <c r="C262" i="95"/>
  <c r="C565" i="95"/>
  <c r="C1156" i="95"/>
  <c r="C78" i="95"/>
  <c r="C17" i="95"/>
  <c r="C985" i="95"/>
  <c r="C1157" i="70" l="1"/>
  <c r="J1157" i="70" s="1"/>
  <c r="C1156" i="70"/>
  <c r="J1156" i="70" s="1"/>
  <c r="C1155" i="70"/>
  <c r="J1155" i="70" s="1"/>
  <c r="C1158" i="70"/>
  <c r="J1158" i="70" s="1"/>
  <c r="C1146" i="70"/>
  <c r="J1146" i="70" s="1"/>
  <c r="C1150" i="70"/>
  <c r="J1150" i="70" s="1"/>
  <c r="C1147" i="70"/>
  <c r="J1147" i="70" s="1"/>
  <c r="C1148" i="70"/>
  <c r="J1148" i="70" s="1"/>
  <c r="C1151" i="70"/>
  <c r="J1151" i="70" s="1"/>
  <c r="C1152" i="70"/>
  <c r="J1152" i="70" s="1"/>
  <c r="C1145" i="70"/>
  <c r="J1145" i="70" s="1"/>
  <c r="C1149" i="70"/>
  <c r="J1149" i="70" s="1"/>
  <c r="C1153" i="70"/>
  <c r="J1153" i="70" s="1"/>
  <c r="C596" i="95"/>
  <c r="C524" i="95"/>
  <c r="C79" i="95"/>
  <c r="C1361" i="95"/>
  <c r="C263" i="95"/>
  <c r="C18" i="95"/>
  <c r="C1157" i="95"/>
  <c r="C566" i="95"/>
  <c r="C986" i="95"/>
  <c r="C403" i="95"/>
  <c r="C987" i="95" l="1"/>
  <c r="C1158" i="95"/>
  <c r="C264" i="95"/>
  <c r="C597" i="95"/>
  <c r="C1362" i="95"/>
  <c r="C525" i="95"/>
  <c r="C567" i="95"/>
  <c r="C404" i="95"/>
  <c r="C19" i="95"/>
  <c r="C80" i="95"/>
  <c r="C405" i="95" l="1"/>
  <c r="C598" i="95"/>
  <c r="C265" i="95"/>
  <c r="C81" i="95"/>
  <c r="C526" i="95"/>
  <c r="C568" i="95"/>
  <c r="C1159" i="95"/>
  <c r="C20" i="95"/>
  <c r="C988" i="95"/>
  <c r="C1363" i="95"/>
  <c r="C989" i="95" l="1"/>
  <c r="C527" i="95"/>
  <c r="C21" i="95"/>
  <c r="C599" i="95"/>
  <c r="C569" i="95"/>
  <c r="C82" i="95"/>
  <c r="C266" i="95"/>
  <c r="C1160" i="95"/>
  <c r="C1364" i="95"/>
  <c r="C406" i="95"/>
  <c r="C407" i="95" l="1"/>
  <c r="C267" i="95"/>
  <c r="C83" i="95"/>
  <c r="C570" i="95"/>
  <c r="C22" i="95"/>
  <c r="C1365" i="95"/>
  <c r="C1161" i="95"/>
  <c r="C528" i="95"/>
  <c r="C600" i="95"/>
  <c r="C990" i="95"/>
  <c r="C991" i="95" l="1"/>
  <c r="C601" i="95"/>
  <c r="C1162" i="95"/>
  <c r="C268" i="95"/>
  <c r="C529" i="95"/>
  <c r="C1366" i="95"/>
  <c r="C84" i="95"/>
  <c r="C408" i="95"/>
  <c r="C23" i="95"/>
  <c r="C571" i="95"/>
  <c r="C602" i="95" l="1"/>
  <c r="C85" i="95"/>
  <c r="C530" i="95"/>
  <c r="C1163" i="95"/>
  <c r="C992" i="95"/>
  <c r="C1367" i="95"/>
  <c r="C269" i="95"/>
  <c r="C572" i="95"/>
  <c r="C24" i="95"/>
  <c r="C409" i="95"/>
  <c r="C270" i="95" l="1"/>
  <c r="C86" i="95"/>
  <c r="C573" i="95"/>
  <c r="C993" i="95"/>
  <c r="C410" i="95"/>
  <c r="C25" i="95"/>
  <c r="C1368" i="95"/>
  <c r="C1164" i="95"/>
  <c r="C531" i="95"/>
  <c r="C603" i="95"/>
  <c r="C994" i="95" l="1"/>
  <c r="C26" i="95"/>
  <c r="C1165" i="95"/>
  <c r="C574" i="95"/>
  <c r="C411" i="95"/>
  <c r="C532" i="95"/>
  <c r="C604" i="95"/>
  <c r="C1369" i="95"/>
  <c r="C271" i="95"/>
  <c r="C87" i="95"/>
  <c r="C412" i="95" l="1"/>
  <c r="C1370" i="95"/>
  <c r="C1166" i="95"/>
  <c r="C533" i="95"/>
  <c r="C27" i="95"/>
  <c r="C272" i="95"/>
  <c r="C605" i="95"/>
  <c r="C575" i="95"/>
  <c r="C88" i="95"/>
  <c r="C995" i="95"/>
  <c r="C1167" i="95" l="1"/>
  <c r="C576" i="95"/>
  <c r="C28" i="95"/>
  <c r="C534" i="95"/>
  <c r="C996" i="95"/>
  <c r="C89" i="95"/>
  <c r="C606" i="95"/>
  <c r="C273" i="95"/>
  <c r="C1371" i="95"/>
  <c r="C413" i="95"/>
  <c r="C997" i="95" l="1"/>
  <c r="C90" i="95"/>
  <c r="C577" i="95"/>
  <c r="C1168" i="95"/>
  <c r="C414" i="95"/>
  <c r="C607" i="95"/>
  <c r="C274" i="95"/>
  <c r="C535" i="95"/>
  <c r="C29" i="95"/>
  <c r="C1372" i="95"/>
  <c r="C30" i="95" l="1"/>
  <c r="C608" i="95"/>
  <c r="C1169" i="95"/>
  <c r="C578" i="95"/>
  <c r="C1373" i="95"/>
  <c r="C275" i="95"/>
  <c r="C91" i="95"/>
  <c r="C536" i="95"/>
  <c r="C415" i="95"/>
  <c r="C998" i="95"/>
  <c r="C1170" i="95" l="1"/>
  <c r="C609" i="95"/>
  <c r="C416" i="95"/>
  <c r="C999" i="95"/>
  <c r="C1374" i="95"/>
  <c r="C537" i="95"/>
  <c r="C276" i="95"/>
  <c r="C579" i="95"/>
  <c r="C92" i="95"/>
  <c r="C31" i="95"/>
  <c r="C1000" i="95" l="1"/>
  <c r="C610" i="95"/>
  <c r="C93" i="95"/>
  <c r="C277" i="95"/>
  <c r="C1375" i="95"/>
  <c r="C538" i="95"/>
  <c r="C32" i="95"/>
  <c r="C1171" i="95"/>
  <c r="C417" i="95"/>
  <c r="C94" i="95" l="1"/>
  <c r="C1001" i="95"/>
  <c r="C1172" i="95"/>
  <c r="C539" i="95"/>
  <c r="C278" i="95"/>
  <c r="C418" i="95"/>
  <c r="C1376" i="95"/>
  <c r="C33" i="95"/>
  <c r="C611" i="95"/>
  <c r="C1002" i="95" l="1"/>
  <c r="C1377" i="95"/>
  <c r="C540" i="95"/>
  <c r="C612" i="95"/>
  <c r="C34" i="95"/>
  <c r="C419" i="95"/>
  <c r="C279" i="95"/>
  <c r="C1173" i="95"/>
  <c r="C95" i="95"/>
  <c r="C1174" i="95" l="1"/>
  <c r="C280" i="95"/>
  <c r="C613" i="95"/>
  <c r="C1378" i="95"/>
  <c r="C35" i="95"/>
  <c r="C96" i="95"/>
  <c r="C420" i="95"/>
  <c r="C541" i="95"/>
  <c r="C1003" i="95"/>
  <c r="C1004" i="95" l="1"/>
  <c r="C542" i="95"/>
  <c r="C36" i="95"/>
  <c r="C1379" i="95"/>
  <c r="C421" i="95"/>
  <c r="C1175" i="95"/>
  <c r="C97" i="95"/>
  <c r="C614" i="95"/>
  <c r="C281" i="95"/>
  <c r="C1176" i="95" l="1"/>
  <c r="C37" i="95"/>
  <c r="C1005" i="95"/>
  <c r="C98" i="95"/>
  <c r="C1380" i="95"/>
  <c r="C615" i="95"/>
  <c r="C422" i="95"/>
  <c r="C282" i="95"/>
  <c r="C543" i="95"/>
  <c r="C616" i="95" l="1"/>
  <c r="C1381" i="95"/>
  <c r="C99" i="95"/>
  <c r="C1006" i="95"/>
  <c r="C283" i="95"/>
  <c r="C38" i="95"/>
  <c r="C1177" i="95"/>
  <c r="C544" i="95"/>
  <c r="C423" i="95"/>
  <c r="C545" i="95" l="1"/>
  <c r="C1007" i="95"/>
  <c r="C1178" i="95"/>
  <c r="C39" i="95"/>
  <c r="C100" i="95"/>
  <c r="C1382" i="95"/>
  <c r="C424" i="95"/>
  <c r="C284" i="95"/>
  <c r="C617" i="95"/>
  <c r="C425" i="95" l="1"/>
  <c r="C1179" i="95"/>
  <c r="C101" i="95"/>
  <c r="C40" i="95"/>
  <c r="C546" i="95"/>
  <c r="C618" i="95"/>
  <c r="C285" i="95"/>
  <c r="C1383" i="95"/>
  <c r="C1008" i="95"/>
  <c r="C1009" i="95" l="1"/>
  <c r="C1384" i="95"/>
  <c r="C41" i="95"/>
  <c r="C1180" i="95"/>
  <c r="C426" i="95"/>
  <c r="C286" i="95"/>
  <c r="C102" i="95"/>
  <c r="C547" i="95"/>
  <c r="C619" i="95"/>
  <c r="C1385" i="95" l="1"/>
  <c r="C1181" i="95"/>
  <c r="C548" i="95"/>
  <c r="C427" i="95"/>
  <c r="C42" i="95"/>
  <c r="C103" i="95"/>
  <c r="C287" i="95"/>
  <c r="C620" i="95"/>
  <c r="C1010" i="95"/>
  <c r="C428" i="95" l="1"/>
  <c r="C104" i="95"/>
  <c r="C288" i="95"/>
  <c r="C43" i="95"/>
  <c r="C1182" i="95"/>
  <c r="C1011" i="95"/>
  <c r="C621" i="95"/>
  <c r="C1386" i="95"/>
  <c r="C105" i="95" l="1"/>
  <c r="C289" i="95"/>
  <c r="C44" i="95"/>
  <c r="C1387" i="95"/>
  <c r="C1012" i="95"/>
  <c r="C1183" i="95"/>
  <c r="C622" i="95"/>
  <c r="C429" i="95"/>
  <c r="C45" i="95" l="1"/>
  <c r="C430" i="95"/>
  <c r="C1013" i="95"/>
  <c r="C106" i="95"/>
  <c r="C623" i="95"/>
  <c r="C290" i="95"/>
  <c r="C1388" i="95"/>
  <c r="C1184" i="95"/>
  <c r="C107" i="95" l="1"/>
  <c r="C431" i="95"/>
  <c r="C291" i="95"/>
  <c r="C1014" i="95"/>
  <c r="C46" i="95"/>
  <c r="C1389" i="95"/>
  <c r="C624" i="95"/>
  <c r="C1185" i="95"/>
  <c r="C625" i="95" l="1"/>
  <c r="C1390" i="95"/>
  <c r="C1015" i="95"/>
  <c r="C108" i="95"/>
  <c r="C292" i="95"/>
  <c r="C47" i="95"/>
  <c r="C1186" i="95"/>
  <c r="C432" i="95"/>
  <c r="C48" i="95" l="1"/>
  <c r="C109" i="95"/>
  <c r="C433" i="95"/>
  <c r="C293" i="95"/>
  <c r="C1391" i="95"/>
  <c r="C1187" i="95"/>
  <c r="C1016" i="95"/>
  <c r="C626" i="95"/>
  <c r="C110" i="95" l="1"/>
  <c r="C627" i="95"/>
  <c r="C1017" i="95"/>
  <c r="C294" i="95"/>
  <c r="C49" i="95"/>
  <c r="C434" i="95"/>
  <c r="C1188" i="95"/>
  <c r="C1392" i="95"/>
  <c r="C1189" i="95" l="1"/>
  <c r="C295" i="95"/>
  <c r="C1018" i="95"/>
  <c r="C435" i="95"/>
  <c r="C1393" i="95"/>
  <c r="C50" i="95"/>
  <c r="C628" i="95"/>
  <c r="C111" i="95"/>
  <c r="C112" i="95" l="1"/>
  <c r="C296" i="95"/>
  <c r="C1019" i="95"/>
  <c r="C1190" i="95"/>
  <c r="C629" i="95"/>
  <c r="C51" i="95"/>
  <c r="C1394" i="95"/>
  <c r="C436" i="95"/>
  <c r="C1395" i="95" l="1"/>
  <c r="C630" i="95"/>
  <c r="C52" i="95"/>
  <c r="C437" i="95"/>
  <c r="C1020" i="95"/>
  <c r="C297" i="95"/>
  <c r="C113" i="95"/>
  <c r="C1191" i="95"/>
  <c r="C1192" i="95" l="1"/>
  <c r="C53" i="95"/>
  <c r="C114" i="95"/>
  <c r="C1021" i="95"/>
  <c r="C1396" i="95"/>
  <c r="C438" i="95"/>
  <c r="C631" i="95"/>
  <c r="C298" i="95"/>
  <c r="C632" i="95" l="1"/>
  <c r="C299" i="95"/>
  <c r="C1397" i="95"/>
  <c r="C1022" i="95"/>
  <c r="C54" i="95"/>
  <c r="C439" i="95"/>
  <c r="C115" i="95"/>
  <c r="C1193" i="95"/>
  <c r="C1023" i="95" l="1"/>
  <c r="C116" i="95"/>
  <c r="C440" i="95"/>
  <c r="C55" i="95"/>
  <c r="C1398" i="95"/>
  <c r="C300" i="95"/>
  <c r="C1194" i="95"/>
  <c r="C633" i="95"/>
  <c r="C634" i="95" l="1"/>
  <c r="C117" i="95"/>
  <c r="C1399" i="95"/>
  <c r="C1024" i="95"/>
  <c r="C1195" i="95"/>
  <c r="C441" i="95"/>
  <c r="C301" i="95"/>
  <c r="C56" i="95"/>
  <c r="C118" i="95" l="1"/>
  <c r="C442" i="95"/>
  <c r="C1196" i="95"/>
  <c r="C1400" i="95"/>
  <c r="C635" i="95"/>
  <c r="C57" i="95"/>
  <c r="C1025" i="95"/>
  <c r="C302" i="95"/>
  <c r="C303" i="95" l="1"/>
  <c r="C1197" i="95"/>
  <c r="C1026" i="95"/>
  <c r="C1401" i="95"/>
  <c r="C443" i="95"/>
  <c r="C58" i="95"/>
  <c r="C636" i="95"/>
  <c r="C119" i="95"/>
  <c r="C120" i="95" l="1"/>
  <c r="C1027" i="95"/>
  <c r="C1402" i="95"/>
  <c r="C1198" i="95"/>
  <c r="C304" i="95"/>
  <c r="C637" i="95"/>
  <c r="C59" i="95"/>
  <c r="C444" i="95"/>
  <c r="C1403" i="95" l="1"/>
  <c r="C445" i="95"/>
  <c r="C638" i="95"/>
  <c r="C305" i="95"/>
  <c r="C60" i="95"/>
  <c r="C1028" i="95"/>
  <c r="C121" i="95"/>
  <c r="C1199" i="95"/>
  <c r="C446" i="95" l="1"/>
  <c r="C1200" i="95"/>
  <c r="C1029" i="95"/>
  <c r="C122" i="95"/>
  <c r="C61" i="95"/>
  <c r="C306" i="95"/>
  <c r="C639" i="95"/>
  <c r="C1404" i="95"/>
  <c r="C123" i="95" l="1"/>
  <c r="C1201" i="95"/>
  <c r="C640" i="95"/>
  <c r="C62" i="95"/>
  <c r="C1030" i="95"/>
  <c r="C1405" i="95"/>
  <c r="C307" i="95"/>
  <c r="C447" i="95"/>
  <c r="C641" i="95" l="1"/>
  <c r="C124" i="95"/>
  <c r="C448" i="95"/>
  <c r="C1202" i="95"/>
  <c r="C1406" i="95"/>
  <c r="C1031" i="95"/>
  <c r="C308" i="95"/>
  <c r="C1407" i="95" l="1"/>
  <c r="C1203" i="95"/>
  <c r="C125" i="95"/>
  <c r="C1032" i="95"/>
  <c r="C309" i="95"/>
  <c r="C449" i="95"/>
  <c r="C642" i="95"/>
  <c r="C450" i="95" l="1"/>
  <c r="C1204" i="95"/>
  <c r="C126" i="95"/>
  <c r="C1408" i="95"/>
  <c r="C643" i="95"/>
  <c r="C310" i="95"/>
  <c r="C1033" i="95"/>
  <c r="C1205" i="95" l="1"/>
  <c r="C644" i="95"/>
  <c r="C127" i="95"/>
  <c r="C1409" i="95"/>
  <c r="C311" i="95"/>
  <c r="C451" i="95"/>
  <c r="C1034" i="95"/>
  <c r="C1206" i="95" l="1"/>
  <c r="C1410" i="95"/>
  <c r="C1035" i="95"/>
  <c r="C128" i="95"/>
  <c r="C645" i="95"/>
  <c r="C312" i="95"/>
  <c r="C452" i="95"/>
  <c r="C1411" i="95" l="1"/>
  <c r="C646" i="95"/>
  <c r="C129" i="95"/>
  <c r="C1207" i="95"/>
  <c r="C453" i="95"/>
  <c r="C1036" i="95"/>
  <c r="C313" i="95"/>
  <c r="C1037" i="95" l="1"/>
  <c r="C1208" i="95"/>
  <c r="C314" i="95"/>
  <c r="C130" i="95"/>
  <c r="C454" i="95"/>
  <c r="C647" i="95"/>
  <c r="C1412" i="95"/>
  <c r="C1209" i="95" l="1"/>
  <c r="C455" i="95"/>
  <c r="C1413" i="95"/>
  <c r="C648" i="95"/>
  <c r="C315" i="95"/>
  <c r="C131" i="95"/>
  <c r="C1038" i="95"/>
  <c r="C316" i="95" l="1"/>
  <c r="C649" i="95"/>
  <c r="C456" i="95"/>
  <c r="C1210" i="95"/>
  <c r="C132" i="95"/>
  <c r="C1039" i="95"/>
  <c r="C1414" i="95"/>
  <c r="C1415" i="95" l="1"/>
  <c r="C133" i="95"/>
  <c r="C1040" i="95"/>
  <c r="C1211" i="95"/>
  <c r="C457" i="95"/>
  <c r="C650" i="95"/>
  <c r="C317" i="95"/>
  <c r="C1416" i="95" l="1"/>
  <c r="C1212" i="95"/>
  <c r="C651" i="95"/>
  <c r="C1041" i="95"/>
  <c r="C134" i="95"/>
  <c r="C318" i="95"/>
  <c r="C458" i="95"/>
  <c r="C1213" i="95" l="1"/>
  <c r="C135" i="95"/>
  <c r="C1042" i="95"/>
  <c r="C652" i="95"/>
  <c r="C459" i="95"/>
  <c r="C319" i="95"/>
  <c r="C1417" i="95"/>
  <c r="C653" i="95" l="1"/>
  <c r="C136" i="95"/>
  <c r="C1043" i="95"/>
  <c r="C320" i="95"/>
  <c r="C460" i="95"/>
  <c r="C1214" i="95"/>
  <c r="C1418" i="95"/>
  <c r="C654" i="95" l="1"/>
  <c r="C1044" i="95"/>
  <c r="C137" i="95"/>
  <c r="C1215" i="95"/>
  <c r="C1419" i="95"/>
  <c r="C321" i="95"/>
  <c r="C461" i="95"/>
  <c r="C322" i="95" l="1"/>
  <c r="C655" i="95"/>
  <c r="C1216" i="95"/>
  <c r="C138" i="95"/>
  <c r="C1045" i="95"/>
  <c r="C462" i="95"/>
  <c r="C1420" i="95"/>
  <c r="C1217" i="95" l="1"/>
  <c r="C1421" i="95"/>
  <c r="C1046" i="95"/>
  <c r="C323" i="95"/>
  <c r="C656" i="95"/>
  <c r="C463" i="95"/>
  <c r="C139" i="95"/>
  <c r="C324" i="95" l="1"/>
  <c r="C1047" i="95"/>
  <c r="C140" i="95"/>
  <c r="C1218" i="95"/>
  <c r="C1422" i="95"/>
  <c r="C464" i="95"/>
  <c r="C657" i="95"/>
  <c r="C1423" i="95" l="1"/>
  <c r="C141" i="95"/>
  <c r="C465" i="95"/>
  <c r="C1048" i="95"/>
  <c r="C658" i="95"/>
  <c r="C1219" i="95"/>
  <c r="C325" i="95"/>
  <c r="C142" i="95" l="1"/>
  <c r="C659" i="95"/>
  <c r="C1424" i="95"/>
  <c r="C1220" i="95"/>
  <c r="C1049" i="95"/>
  <c r="C326" i="95"/>
  <c r="C466" i="95"/>
  <c r="C1425" i="95" l="1"/>
  <c r="C1050" i="95"/>
  <c r="C467" i="95"/>
  <c r="C1221" i="95"/>
  <c r="C327" i="95"/>
  <c r="C660" i="95"/>
  <c r="C143" i="95"/>
  <c r="C468" i="95" l="1"/>
  <c r="C661" i="95"/>
  <c r="C328" i="95"/>
  <c r="C144" i="95"/>
  <c r="C1222" i="95"/>
  <c r="C1051" i="95"/>
  <c r="C1426" i="95"/>
  <c r="C1052" i="95" l="1"/>
  <c r="C662" i="95"/>
  <c r="C469" i="95"/>
  <c r="C1427" i="95"/>
  <c r="C329" i="95"/>
  <c r="C1223" i="95"/>
  <c r="C145" i="95"/>
  <c r="C1428" i="95" l="1"/>
  <c r="C146" i="95"/>
  <c r="C470" i="95"/>
  <c r="C1053" i="95"/>
  <c r="C1224" i="95"/>
  <c r="C663" i="95"/>
  <c r="C330" i="95"/>
  <c r="C471" i="95" l="1"/>
  <c r="C331" i="95"/>
  <c r="C1054" i="95"/>
  <c r="C1225" i="95"/>
  <c r="C147" i="95"/>
  <c r="C1429" i="95"/>
  <c r="C664" i="95"/>
  <c r="C1055" i="95" l="1"/>
  <c r="C148" i="95"/>
  <c r="C1430" i="95"/>
  <c r="C332" i="95"/>
  <c r="C472" i="95"/>
  <c r="C665" i="95"/>
  <c r="C1226" i="95"/>
  <c r="C149" i="95" l="1"/>
  <c r="C1227" i="95"/>
  <c r="C333" i="95"/>
  <c r="C1056" i="95"/>
  <c r="C666" i="95"/>
  <c r="C1431" i="95"/>
  <c r="C473" i="95"/>
  <c r="C1228" i="95" l="1"/>
  <c r="C1432" i="95"/>
  <c r="C334" i="95"/>
  <c r="C667" i="95"/>
  <c r="C474" i="95"/>
  <c r="C150" i="95"/>
  <c r="C1057" i="95"/>
  <c r="C475" i="95" l="1"/>
  <c r="C335" i="95"/>
  <c r="C1433" i="95"/>
  <c r="C151" i="95"/>
  <c r="C668" i="95"/>
  <c r="C1058" i="95"/>
  <c r="C1229" i="95"/>
  <c r="C1434" i="95" l="1"/>
  <c r="C476" i="95"/>
  <c r="C1230" i="95"/>
  <c r="C1059" i="95"/>
  <c r="C152" i="95"/>
  <c r="C336" i="95"/>
  <c r="C669" i="95"/>
  <c r="C153" i="95" l="1"/>
  <c r="C670" i="95"/>
  <c r="C337" i="95"/>
  <c r="C1231" i="95"/>
  <c r="C477" i="95"/>
  <c r="C1435" i="95"/>
  <c r="C1060" i="95"/>
  <c r="C154" i="95" l="1"/>
  <c r="C1232" i="95"/>
  <c r="C338" i="95"/>
  <c r="C671" i="95"/>
  <c r="C1061" i="95"/>
  <c r="C478" i="95"/>
  <c r="C1436" i="95"/>
  <c r="C1233" i="95" l="1"/>
  <c r="C672" i="95"/>
  <c r="C155" i="95"/>
  <c r="C1437" i="95"/>
  <c r="C1062" i="95"/>
  <c r="C339" i="95"/>
  <c r="C479" i="95"/>
  <c r="C340" i="95" l="1"/>
  <c r="C673" i="95"/>
  <c r="C1234" i="95"/>
  <c r="C156" i="95"/>
  <c r="C480" i="95"/>
  <c r="C1438" i="95"/>
  <c r="C1063" i="95"/>
  <c r="C1064" i="95" l="1"/>
  <c r="C157" i="95"/>
  <c r="C1439" i="95"/>
  <c r="C1235" i="95"/>
  <c r="C481" i="95"/>
  <c r="C674" i="95"/>
  <c r="C341" i="95"/>
  <c r="C158" i="95" l="1"/>
  <c r="C482" i="95"/>
  <c r="C1065" i="95"/>
  <c r="C1236" i="95"/>
  <c r="C1440" i="95"/>
  <c r="C675" i="95"/>
  <c r="C342" i="95"/>
  <c r="C1066" i="95" l="1"/>
  <c r="C483" i="95"/>
  <c r="C676" i="95"/>
  <c r="C1237" i="95"/>
  <c r="C1441" i="95"/>
  <c r="C343" i="95"/>
  <c r="C159" i="95"/>
  <c r="C344" i="95" l="1"/>
  <c r="C160" i="95"/>
  <c r="C1442" i="95"/>
  <c r="C1238" i="95"/>
  <c r="C677" i="95"/>
  <c r="C484" i="95"/>
  <c r="C1067" i="95"/>
  <c r="C345" i="95" l="1"/>
  <c r="C1068" i="95"/>
  <c r="C161" i="95"/>
  <c r="C1239" i="95"/>
  <c r="C678" i="95"/>
  <c r="C1443" i="95"/>
  <c r="C485" i="95"/>
  <c r="C679" i="95" l="1"/>
  <c r="C346" i="95"/>
  <c r="C1444" i="95"/>
  <c r="C1240" i="95"/>
  <c r="C1069" i="95"/>
  <c r="C162" i="95"/>
  <c r="C486" i="95"/>
  <c r="C163" i="95" l="1"/>
  <c r="C1241" i="95"/>
  <c r="C347" i="95"/>
  <c r="C1070" i="95"/>
  <c r="C1445" i="95"/>
  <c r="C487" i="95"/>
  <c r="C680" i="95"/>
  <c r="C1446" i="95" l="1"/>
  <c r="C1071" i="95"/>
  <c r="C164" i="95"/>
  <c r="C1242" i="95"/>
  <c r="C488" i="95"/>
  <c r="C348" i="95"/>
  <c r="C681" i="95"/>
  <c r="C1447" i="95" l="1"/>
  <c r="C489" i="95"/>
  <c r="C165" i="95"/>
  <c r="C1072" i="95"/>
  <c r="C682" i="95"/>
  <c r="C349" i="95"/>
  <c r="C1243" i="95"/>
  <c r="C166" i="95" l="1"/>
  <c r="C683" i="95"/>
  <c r="C1448" i="95"/>
  <c r="C350" i="95"/>
  <c r="C1073" i="95"/>
  <c r="C490" i="95"/>
  <c r="C1244" i="95"/>
  <c r="C351" i="95" l="1"/>
  <c r="C1449" i="95"/>
  <c r="C491" i="95"/>
  <c r="C684" i="95"/>
  <c r="C1074" i="95"/>
  <c r="C1245" i="95"/>
  <c r="C167" i="95"/>
  <c r="C1450" i="95" l="1"/>
  <c r="C1246" i="95"/>
  <c r="C1075" i="95"/>
  <c r="C352" i="95"/>
  <c r="C168" i="95"/>
  <c r="C685" i="95"/>
  <c r="C492" i="95"/>
  <c r="C353" i="95" l="1"/>
  <c r="C686" i="95"/>
  <c r="C169" i="95"/>
  <c r="C493" i="95"/>
  <c r="C1247" i="95"/>
  <c r="C1076" i="95"/>
  <c r="C1451" i="95"/>
  <c r="C1452" i="95" l="1"/>
  <c r="C354" i="95"/>
  <c r="C494" i="95"/>
  <c r="C1077" i="95"/>
  <c r="C1248" i="95"/>
  <c r="C170" i="95"/>
  <c r="C687" i="95"/>
  <c r="C171" i="95" l="1"/>
  <c r="C495" i="95"/>
  <c r="C1078" i="95"/>
  <c r="C355" i="95"/>
  <c r="C1249" i="95"/>
  <c r="C1453" i="95"/>
  <c r="C688" i="95"/>
  <c r="C1079" i="95" l="1"/>
  <c r="C1454" i="95"/>
  <c r="C172" i="95"/>
  <c r="C356" i="95"/>
  <c r="C689" i="95"/>
  <c r="C1250" i="95"/>
  <c r="C496" i="95"/>
  <c r="C1251" i="95" l="1"/>
  <c r="C173" i="95"/>
  <c r="C1080" i="95"/>
  <c r="C690" i="95"/>
  <c r="C357" i="95"/>
  <c r="C497" i="95"/>
  <c r="C1455" i="95"/>
  <c r="C498" i="95" l="1"/>
  <c r="C174" i="95"/>
  <c r="C691" i="95"/>
  <c r="C1456" i="95"/>
  <c r="C358" i="95"/>
  <c r="C1081" i="95"/>
  <c r="C1252" i="95"/>
  <c r="C359" i="95" l="1"/>
  <c r="C1457" i="95"/>
  <c r="C1082" i="95"/>
  <c r="C499" i="95"/>
  <c r="C1253" i="95"/>
  <c r="C692" i="95"/>
  <c r="C175" i="95"/>
  <c r="C1083" i="95" l="1"/>
  <c r="C1458" i="95"/>
  <c r="C176" i="95"/>
  <c r="C693" i="95"/>
  <c r="C500" i="95"/>
  <c r="C360" i="95"/>
  <c r="C1254" i="95"/>
  <c r="C1459" i="95" l="1"/>
  <c r="C501" i="95"/>
  <c r="C1255" i="95"/>
  <c r="C361" i="95"/>
  <c r="C1084" i="95"/>
  <c r="C694" i="95"/>
  <c r="C177" i="95"/>
  <c r="C1085" i="95" l="1"/>
  <c r="C502" i="95"/>
  <c r="C178" i="95"/>
  <c r="C1256" i="95"/>
  <c r="C695" i="95"/>
  <c r="C1460" i="95"/>
  <c r="C362" i="95"/>
  <c r="C503" i="95" l="1"/>
  <c r="C363" i="95"/>
  <c r="C1461" i="95"/>
  <c r="C1257" i="95"/>
  <c r="C696" i="95"/>
  <c r="C179" i="95"/>
  <c r="C1086" i="95"/>
  <c r="C180" i="95" l="1"/>
  <c r="C364" i="95"/>
  <c r="C697" i="95"/>
  <c r="C1087" i="95"/>
  <c r="C1258" i="95"/>
  <c r="C1462" i="95"/>
  <c r="C504" i="95"/>
  <c r="C1463" i="95" l="1"/>
  <c r="C1259" i="95"/>
  <c r="C698" i="95"/>
  <c r="C365" i="95"/>
  <c r="C505" i="95"/>
  <c r="C1088" i="95"/>
  <c r="C181" i="95"/>
  <c r="C699" i="95" l="1"/>
  <c r="C1260" i="95"/>
  <c r="C1089" i="95"/>
  <c r="C506" i="95"/>
  <c r="C1464" i="95"/>
  <c r="C366" i="95"/>
  <c r="C182" i="95"/>
  <c r="C1261" i="95" l="1"/>
  <c r="C700" i="95"/>
  <c r="C1090" i="95"/>
  <c r="C367" i="95"/>
  <c r="C1465" i="95"/>
  <c r="C183" i="95"/>
  <c r="C507" i="95"/>
  <c r="C1091" i="95" l="1"/>
  <c r="C368" i="95"/>
  <c r="C1262" i="95"/>
  <c r="C184" i="95"/>
  <c r="C1466" i="95"/>
  <c r="C701" i="95"/>
  <c r="C185" i="95" l="1"/>
  <c r="C1092" i="95"/>
  <c r="C702" i="95"/>
  <c r="C1467" i="95"/>
  <c r="C1263" i="95"/>
  <c r="C369" i="95"/>
  <c r="C186" i="95" l="1"/>
  <c r="C1264" i="95"/>
  <c r="C1093" i="95"/>
  <c r="C1468" i="95"/>
  <c r="C703" i="95"/>
  <c r="C370" i="95"/>
  <c r="C1265" i="95" l="1"/>
  <c r="C371" i="95"/>
  <c r="C1469" i="95"/>
  <c r="C1094" i="95"/>
  <c r="C187" i="95"/>
  <c r="C704" i="95"/>
  <c r="C188" i="95" l="1"/>
  <c r="C1095" i="95"/>
  <c r="C1266" i="95"/>
  <c r="C372" i="95"/>
  <c r="C1470" i="95"/>
  <c r="C705" i="95"/>
  <c r="C1471" i="95" l="1"/>
  <c r="C373" i="95"/>
  <c r="C1096" i="95"/>
  <c r="C706" i="95"/>
  <c r="C1267" i="95"/>
  <c r="C189" i="95"/>
  <c r="C374" i="95" l="1"/>
  <c r="C707" i="95"/>
  <c r="C1472" i="95"/>
  <c r="C1268" i="95"/>
  <c r="C1097" i="95"/>
  <c r="C190" i="95"/>
  <c r="C1473" i="95" l="1"/>
  <c r="C1098" i="95"/>
  <c r="C191" i="95"/>
  <c r="C708" i="95"/>
  <c r="C1269" i="95"/>
  <c r="C375" i="95"/>
  <c r="C192" i="95" l="1"/>
  <c r="C376" i="95"/>
  <c r="C1270" i="95"/>
  <c r="C709" i="95"/>
  <c r="C1099" i="95"/>
  <c r="C1474" i="95"/>
  <c r="C1100" i="95" l="1"/>
  <c r="C193" i="95"/>
  <c r="C1475" i="95"/>
  <c r="C1271" i="95"/>
  <c r="C377" i="95"/>
  <c r="C710" i="95"/>
  <c r="C1476" i="95" l="1"/>
  <c r="C1272" i="95"/>
  <c r="C194" i="95"/>
  <c r="C1101" i="95"/>
  <c r="C711" i="95"/>
  <c r="C378" i="95"/>
  <c r="C1273" i="95" l="1"/>
  <c r="C1102" i="95"/>
  <c r="C379" i="95"/>
  <c r="C1477" i="95"/>
  <c r="C712" i="95"/>
  <c r="C195" i="95"/>
  <c r="C1274" i="95" l="1"/>
  <c r="C196" i="95"/>
  <c r="C1103" i="95"/>
  <c r="C713" i="95"/>
  <c r="C1478" i="95"/>
  <c r="C380" i="95"/>
  <c r="C197" i="95" l="1"/>
  <c r="C714" i="95"/>
  <c r="C1275" i="95"/>
  <c r="C1479" i="95"/>
  <c r="C1104" i="95"/>
  <c r="C381" i="95"/>
  <c r="C1276" i="95" l="1"/>
  <c r="C1105" i="95"/>
  <c r="C382" i="95"/>
  <c r="C1480" i="95"/>
  <c r="C715" i="95"/>
  <c r="C198" i="95"/>
  <c r="C1106" i="95" l="1"/>
  <c r="C383" i="95"/>
  <c r="C1481" i="95"/>
  <c r="C199" i="95"/>
  <c r="C716" i="95"/>
  <c r="C1277" i="95"/>
  <c r="C717" i="95" l="1"/>
  <c r="C1278" i="95"/>
  <c r="C200" i="95"/>
  <c r="C1482" i="95"/>
  <c r="C1107" i="95"/>
  <c r="C384" i="95"/>
  <c r="C1108" i="95" l="1"/>
  <c r="C1483" i="95"/>
  <c r="C385" i="95"/>
  <c r="C718" i="95"/>
  <c r="C1279" i="95"/>
  <c r="C201" i="95"/>
  <c r="C1109" i="95" l="1"/>
  <c r="C202" i="95"/>
  <c r="C1280" i="95"/>
  <c r="C386" i="95"/>
  <c r="C719" i="95"/>
  <c r="C1484" i="95"/>
  <c r="C1281" i="95" l="1"/>
  <c r="C203" i="95"/>
  <c r="C720" i="95"/>
  <c r="C1485" i="95"/>
  <c r="C1110" i="95"/>
  <c r="C721" i="95" l="1"/>
  <c r="C1282" i="95"/>
  <c r="C204" i="95"/>
  <c r="C1111" i="95"/>
  <c r="C1486" i="95"/>
  <c r="C205" i="95" l="1"/>
  <c r="C1283" i="95"/>
  <c r="C1487" i="95"/>
  <c r="C722" i="95"/>
  <c r="C1112" i="95"/>
  <c r="C723" i="95" l="1"/>
  <c r="C1488" i="95"/>
  <c r="C1113" i="95"/>
  <c r="C1284" i="95"/>
  <c r="C206" i="95"/>
  <c r="C1489" i="95" l="1"/>
  <c r="C1114" i="95"/>
  <c r="C1285" i="95"/>
  <c r="C724" i="95"/>
  <c r="C207" i="95"/>
  <c r="C1286" i="95" l="1"/>
  <c r="C208" i="95"/>
  <c r="C725" i="95"/>
  <c r="C1115" i="95"/>
  <c r="C1490" i="95"/>
  <c r="C1287" i="95" l="1"/>
  <c r="C1491" i="95"/>
  <c r="C726" i="95"/>
  <c r="C209" i="95"/>
  <c r="C1116" i="95"/>
  <c r="C1117" i="95" l="1"/>
  <c r="C210" i="95"/>
  <c r="C727" i="95"/>
  <c r="C1492" i="95"/>
  <c r="C1288" i="95"/>
  <c r="C728" i="95" l="1"/>
  <c r="C1493" i="95"/>
  <c r="C1289" i="95"/>
  <c r="C211" i="95"/>
  <c r="C1118" i="95"/>
  <c r="C1494" i="95" l="1"/>
  <c r="C1290" i="95"/>
  <c r="C212" i="95"/>
  <c r="C1119" i="95"/>
  <c r="C729" i="95"/>
  <c r="C213" i="95" l="1"/>
  <c r="C1495" i="95"/>
  <c r="C730" i="95"/>
  <c r="C1291" i="95"/>
  <c r="C1120" i="95"/>
  <c r="C1292" i="95" l="1"/>
  <c r="C1496" i="95"/>
  <c r="C1121" i="95"/>
  <c r="C731" i="95"/>
  <c r="C214" i="95"/>
  <c r="C1497" i="95" l="1"/>
  <c r="C1122" i="95"/>
  <c r="C732" i="95"/>
  <c r="C215" i="95"/>
  <c r="C1293" i="95"/>
  <c r="C1294" i="95" l="1"/>
  <c r="C733" i="95"/>
  <c r="C216" i="95"/>
  <c r="C1123" i="95"/>
  <c r="C1498" i="95"/>
  <c r="C1295" i="95" l="1"/>
  <c r="C1499" i="95"/>
  <c r="C734" i="95"/>
  <c r="C1124" i="95"/>
  <c r="C217" i="95"/>
  <c r="C735" i="95" l="1"/>
  <c r="C218" i="95"/>
  <c r="C1125" i="95"/>
  <c r="C1500" i="95"/>
  <c r="C1296" i="95"/>
  <c r="C1126" i="95" l="1"/>
  <c r="C219" i="95"/>
  <c r="C1501" i="95"/>
  <c r="C1297" i="95"/>
  <c r="C736" i="95"/>
  <c r="C737" i="95" l="1"/>
  <c r="C1502" i="95"/>
  <c r="C220" i="95"/>
  <c r="C1298" i="95"/>
  <c r="C1127" i="95"/>
  <c r="C221" i="95" l="1"/>
  <c r="C1503" i="95"/>
  <c r="C1128" i="95"/>
  <c r="C1299" i="95"/>
  <c r="C738" i="95"/>
  <c r="C739" i="95" l="1"/>
  <c r="C1300" i="95"/>
  <c r="C1504" i="95"/>
  <c r="C1129" i="95"/>
  <c r="C222" i="95"/>
  <c r="C1505" i="95" l="1"/>
  <c r="C1130" i="95"/>
  <c r="C740" i="95"/>
  <c r="C223" i="95"/>
  <c r="C1301" i="95"/>
  <c r="C741" i="95" l="1"/>
  <c r="C1302" i="95"/>
  <c r="C224" i="95"/>
  <c r="C1131" i="95"/>
  <c r="C1506" i="95"/>
  <c r="C742" i="95" l="1"/>
  <c r="C1507" i="95"/>
  <c r="C1303" i="95"/>
  <c r="C1132" i="95"/>
  <c r="C225" i="95"/>
  <c r="C1304" i="95" l="1"/>
  <c r="C743" i="95"/>
  <c r="C1133" i="95"/>
  <c r="C1508" i="95"/>
  <c r="C226" i="95"/>
  <c r="C227" i="95" l="1"/>
  <c r="C1509" i="95"/>
  <c r="C744" i="95"/>
  <c r="C1134" i="95"/>
  <c r="C1305" i="95"/>
  <c r="C1135" i="95" l="1"/>
  <c r="C745" i="95"/>
  <c r="C228" i="95"/>
  <c r="C1306" i="95"/>
  <c r="C1510" i="95"/>
  <c r="C229" i="95" l="1"/>
  <c r="C1136" i="95"/>
  <c r="C746" i="95"/>
  <c r="C1511" i="95"/>
  <c r="C1307" i="95"/>
  <c r="C747" i="95" l="1"/>
  <c r="C1308" i="95"/>
  <c r="C1137" i="95"/>
  <c r="C1512" i="95"/>
  <c r="C230" i="95"/>
  <c r="C1309" i="95" l="1"/>
  <c r="C1138" i="95"/>
  <c r="C748" i="95"/>
  <c r="C1513" i="95"/>
  <c r="C231" i="95"/>
  <c r="C1139" i="95" l="1"/>
  <c r="C232" i="95"/>
  <c r="C1310" i="95"/>
  <c r="C1514" i="95"/>
  <c r="C749" i="95"/>
  <c r="C1515" i="95" l="1"/>
  <c r="C750" i="95"/>
  <c r="C1311" i="95"/>
  <c r="C233" i="95"/>
  <c r="C234" i="95" l="1"/>
  <c r="C1312" i="95"/>
  <c r="C751" i="95"/>
  <c r="C1516" i="95"/>
  <c r="C1517" i="95" l="1"/>
  <c r="C1313" i="95"/>
  <c r="C752" i="95"/>
  <c r="C235" i="95"/>
  <c r="C753" i="95" l="1"/>
  <c r="C1518" i="95"/>
  <c r="C1314" i="95"/>
  <c r="C236" i="95"/>
  <c r="C1123" i="70"/>
  <c r="J1123" i="70" s="1"/>
  <c r="V1123" i="70" l="1"/>
  <c r="T1123" i="70"/>
  <c r="C237" i="95"/>
  <c r="C1519" i="95"/>
  <c r="C1315" i="95"/>
  <c r="C754" i="95"/>
  <c r="A358" i="70"/>
  <c r="H1181" i="70" s="1"/>
  <c r="A25" i="70"/>
  <c r="Y1" i="94" l="1"/>
  <c r="C1144" i="70" s="1"/>
  <c r="J1144" i="70" s="1"/>
  <c r="I358" i="70"/>
  <c r="B7" i="2"/>
  <c r="A315" i="70"/>
  <c r="F316" i="70" s="1"/>
  <c r="F33" i="70"/>
  <c r="C755" i="95"/>
  <c r="C1316" i="95"/>
  <c r="C1520" i="95"/>
  <c r="C238" i="95"/>
  <c r="A370" i="70"/>
  <c r="A367" i="70"/>
  <c r="A364" i="70"/>
  <c r="A361" i="70"/>
  <c r="E858" i="70" l="1"/>
  <c r="J858" i="70" s="1"/>
  <c r="F371" i="70"/>
  <c r="E854" i="70"/>
  <c r="J854" i="70" s="1"/>
  <c r="F359" i="70"/>
  <c r="E855" i="70"/>
  <c r="J855" i="70" s="1"/>
  <c r="F362" i="70"/>
  <c r="M8" i="61"/>
  <c r="O8" i="71"/>
  <c r="M9" i="61"/>
  <c r="N10" i="60"/>
  <c r="O9" i="71"/>
  <c r="N11" i="60"/>
  <c r="O10" i="71"/>
  <c r="N19" i="60"/>
  <c r="N12" i="60"/>
  <c r="N14" i="60"/>
  <c r="N15" i="60"/>
  <c r="N13" i="60"/>
  <c r="N17" i="60"/>
  <c r="N20" i="60"/>
  <c r="N22" i="60"/>
  <c r="N18" i="60"/>
  <c r="N23" i="60"/>
  <c r="O12" i="71"/>
  <c r="N16" i="60"/>
  <c r="O11" i="71"/>
  <c r="N21" i="60"/>
  <c r="M10" i="61"/>
  <c r="M11" i="61"/>
  <c r="O13" i="71"/>
  <c r="O14" i="71"/>
  <c r="M12" i="61"/>
  <c r="O16" i="71"/>
  <c r="O15" i="71"/>
  <c r="A263" i="70"/>
  <c r="E856" i="70"/>
  <c r="J856" i="70" s="1"/>
  <c r="F365" i="70"/>
  <c r="E857" i="70"/>
  <c r="J857" i="70" s="1"/>
  <c r="F368" i="70"/>
  <c r="G854" i="70"/>
  <c r="F854" i="70" s="1"/>
  <c r="I854" i="70"/>
  <c r="C994" i="70"/>
  <c r="J994" i="70" s="1"/>
  <c r="T627" i="27" s="1"/>
  <c r="E737" i="70"/>
  <c r="E699" i="70"/>
  <c r="E661" i="70"/>
  <c r="C995" i="70"/>
  <c r="J995" i="70" s="1"/>
  <c r="T628" i="27" s="1"/>
  <c r="E662" i="70"/>
  <c r="E738" i="70"/>
  <c r="E700" i="70"/>
  <c r="C996" i="70"/>
  <c r="E663" i="70"/>
  <c r="E739" i="70"/>
  <c r="E701" i="70"/>
  <c r="C997" i="70"/>
  <c r="J997" i="70" s="1"/>
  <c r="T630" i="27" s="1"/>
  <c r="E664" i="70"/>
  <c r="E740" i="70"/>
  <c r="E702" i="70"/>
  <c r="C998" i="70"/>
  <c r="J998" i="70" s="1"/>
  <c r="T631" i="27" s="1"/>
  <c r="E665" i="70"/>
  <c r="E703" i="70"/>
  <c r="E741" i="70"/>
  <c r="A246" i="70"/>
  <c r="A229" i="70"/>
  <c r="A212" i="70"/>
  <c r="A195" i="70"/>
  <c r="C978" i="70"/>
  <c r="J978" i="70" s="1"/>
  <c r="E853" i="70"/>
  <c r="J853" i="70" s="1"/>
  <c r="T485" i="27" s="1"/>
  <c r="E816" i="70"/>
  <c r="G816" i="70" s="1"/>
  <c r="E831" i="70"/>
  <c r="E786" i="70"/>
  <c r="G786" i="70" s="1"/>
  <c r="E801" i="70"/>
  <c r="E756" i="70"/>
  <c r="G756" i="70" s="1"/>
  <c r="E771" i="70"/>
  <c r="E680" i="70"/>
  <c r="G680" i="70" s="1"/>
  <c r="E718" i="70"/>
  <c r="E610" i="70"/>
  <c r="G610" i="70" s="1"/>
  <c r="E642" i="70"/>
  <c r="E580" i="70"/>
  <c r="G580" i="70" s="1"/>
  <c r="E595" i="70"/>
  <c r="E548" i="70"/>
  <c r="G548" i="70" s="1"/>
  <c r="E563" i="70"/>
  <c r="E518" i="70"/>
  <c r="G518" i="70" s="1"/>
  <c r="E533" i="70"/>
  <c r="E488" i="70"/>
  <c r="G488" i="70" s="1"/>
  <c r="E503" i="70"/>
  <c r="E458" i="70"/>
  <c r="E473" i="70"/>
  <c r="E389" i="70"/>
  <c r="A148" i="71"/>
  <c r="A92" i="61"/>
  <c r="A220" i="60"/>
  <c r="A93" i="61"/>
  <c r="A221" i="60"/>
  <c r="A233" i="60"/>
  <c r="A149" i="71"/>
  <c r="A150" i="71"/>
  <c r="A230" i="60"/>
  <c r="A223" i="60"/>
  <c r="A226" i="60"/>
  <c r="A228" i="60"/>
  <c r="A232" i="60"/>
  <c r="A229" i="60"/>
  <c r="A231" i="60"/>
  <c r="A225" i="60"/>
  <c r="A224" i="60"/>
  <c r="A222" i="60"/>
  <c r="A227" i="60"/>
  <c r="A151" i="71"/>
  <c r="A152" i="71"/>
  <c r="A94" i="61"/>
  <c r="A153" i="71"/>
  <c r="A95" i="61"/>
  <c r="A96" i="61"/>
  <c r="A155" i="71"/>
  <c r="A20" i="2"/>
  <c r="C1317" i="95"/>
  <c r="C1521" i="95"/>
  <c r="C756" i="95"/>
  <c r="C239" i="95"/>
  <c r="M312" i="70"/>
  <c r="L312" i="70"/>
  <c r="I178" i="70"/>
  <c r="M16" i="2" s="1"/>
  <c r="I161" i="70"/>
  <c r="I76" i="70"/>
  <c r="I59" i="70"/>
  <c r="G855" i="70" l="1"/>
  <c r="F855" i="70" s="1"/>
  <c r="G858" i="70"/>
  <c r="F858" i="70" s="1"/>
  <c r="G856" i="70"/>
  <c r="F856" i="70" s="1"/>
  <c r="I858" i="70"/>
  <c r="I856" i="70"/>
  <c r="C1012" i="70"/>
  <c r="J1012" i="70" s="1"/>
  <c r="T645" i="27" s="1"/>
  <c r="F203" i="70"/>
  <c r="C1013" i="70"/>
  <c r="J1013" i="70" s="1"/>
  <c r="T646" i="27" s="1"/>
  <c r="F220" i="70"/>
  <c r="I857" i="70"/>
  <c r="C1016" i="70"/>
  <c r="F271" i="70"/>
  <c r="C1014" i="70"/>
  <c r="J1014" i="70" s="1"/>
  <c r="T647" i="27" s="1"/>
  <c r="F237" i="70"/>
  <c r="G857" i="70"/>
  <c r="F857" i="70" s="1"/>
  <c r="C1015" i="70"/>
  <c r="J1015" i="70" s="1"/>
  <c r="T648" i="27" s="1"/>
  <c r="F254" i="70"/>
  <c r="I855" i="70"/>
  <c r="I996" i="70"/>
  <c r="L629" i="27" s="1"/>
  <c r="J996" i="70"/>
  <c r="T629" i="27" s="1"/>
  <c r="A19" i="2"/>
  <c r="A19" i="19" s="1"/>
  <c r="A18" i="2"/>
  <c r="C630" i="27"/>
  <c r="I580" i="70"/>
  <c r="L212" i="27" s="1"/>
  <c r="C629" i="27"/>
  <c r="I680" i="70"/>
  <c r="L312" i="27" s="1"/>
  <c r="I786" i="70"/>
  <c r="L418" i="27" s="1"/>
  <c r="I518" i="70"/>
  <c r="L152" i="27" s="1"/>
  <c r="G996" i="70"/>
  <c r="I629" i="27" s="1"/>
  <c r="I998" i="70"/>
  <c r="L631" i="27" s="1"/>
  <c r="I488" i="70"/>
  <c r="L122" i="27" s="1"/>
  <c r="I548" i="70"/>
  <c r="L182" i="27" s="1"/>
  <c r="I610" i="70"/>
  <c r="L242" i="27" s="1"/>
  <c r="I756" i="70"/>
  <c r="L388" i="27" s="1"/>
  <c r="I816" i="70"/>
  <c r="L448" i="27" s="1"/>
  <c r="C631" i="27"/>
  <c r="I997" i="70"/>
  <c r="L630" i="27" s="1"/>
  <c r="G998" i="70"/>
  <c r="I631" i="27" s="1"/>
  <c r="G997" i="70"/>
  <c r="I630" i="27" s="1"/>
  <c r="M1174" i="70"/>
  <c r="E882" i="70"/>
  <c r="A21" i="2"/>
  <c r="A21" i="19" s="1"/>
  <c r="M1170" i="70"/>
  <c r="E878" i="70"/>
  <c r="E827" i="70"/>
  <c r="C974" i="70"/>
  <c r="J974" i="70" s="1"/>
  <c r="E849" i="70"/>
  <c r="J849" i="70" s="1"/>
  <c r="T481" i="27" s="1"/>
  <c r="E797" i="70"/>
  <c r="E812" i="70"/>
  <c r="E767" i="70"/>
  <c r="E782" i="70"/>
  <c r="E714" i="70"/>
  <c r="E752" i="70"/>
  <c r="E385" i="70"/>
  <c r="E676" i="70"/>
  <c r="A108" i="71"/>
  <c r="A68" i="61"/>
  <c r="A160" i="60"/>
  <c r="E638" i="70"/>
  <c r="E606" i="70"/>
  <c r="E591" i="70"/>
  <c r="E576" i="70"/>
  <c r="E559" i="70"/>
  <c r="E544" i="70"/>
  <c r="E529" i="70"/>
  <c r="E514" i="70"/>
  <c r="E499" i="70"/>
  <c r="E484" i="70"/>
  <c r="E469" i="70"/>
  <c r="E454" i="70"/>
  <c r="A69" i="61"/>
  <c r="A173" i="60"/>
  <c r="A161" i="60"/>
  <c r="A110" i="71"/>
  <c r="A109" i="71"/>
  <c r="A172" i="60"/>
  <c r="A171" i="60"/>
  <c r="A169" i="60"/>
  <c r="A165" i="60"/>
  <c r="A162" i="60"/>
  <c r="A167" i="60"/>
  <c r="A170" i="60"/>
  <c r="A163" i="60"/>
  <c r="A166" i="60"/>
  <c r="A164" i="60"/>
  <c r="A168" i="60"/>
  <c r="A112" i="71"/>
  <c r="A111" i="71"/>
  <c r="A70" i="61"/>
  <c r="A113" i="71"/>
  <c r="A71" i="61"/>
  <c r="A72" i="61"/>
  <c r="A115" i="71"/>
  <c r="M1171" i="70"/>
  <c r="E879" i="70"/>
  <c r="E828" i="70"/>
  <c r="C975" i="70"/>
  <c r="J975" i="70" s="1"/>
  <c r="E850" i="70"/>
  <c r="J850" i="70" s="1"/>
  <c r="T482" i="27" s="1"/>
  <c r="E798" i="70"/>
  <c r="E813" i="70"/>
  <c r="E768" i="70"/>
  <c r="E783" i="70"/>
  <c r="E715" i="70"/>
  <c r="E753" i="70"/>
  <c r="E386" i="70"/>
  <c r="E677" i="70"/>
  <c r="A118" i="71"/>
  <c r="A74" i="61"/>
  <c r="A175" i="60"/>
  <c r="A75" i="61"/>
  <c r="A188" i="60"/>
  <c r="A176" i="60"/>
  <c r="E639" i="70"/>
  <c r="E607" i="70"/>
  <c r="E592" i="70"/>
  <c r="E577" i="70"/>
  <c r="E560" i="70"/>
  <c r="E545" i="70"/>
  <c r="E530" i="70"/>
  <c r="E515" i="70"/>
  <c r="E500" i="70"/>
  <c r="E485" i="70"/>
  <c r="E470" i="70"/>
  <c r="E455" i="70"/>
  <c r="A120" i="71"/>
  <c r="A119" i="71"/>
  <c r="A187" i="60"/>
  <c r="A184" i="60"/>
  <c r="A186" i="60"/>
  <c r="A180" i="60"/>
  <c r="A177" i="60"/>
  <c r="A182" i="60"/>
  <c r="A185" i="60"/>
  <c r="A178" i="60"/>
  <c r="A181" i="60"/>
  <c r="A179" i="60"/>
  <c r="A183" i="60"/>
  <c r="A122" i="71"/>
  <c r="A121" i="71"/>
  <c r="A76" i="61"/>
  <c r="A123" i="71"/>
  <c r="A77" i="61"/>
  <c r="A78" i="61"/>
  <c r="A125" i="71"/>
  <c r="M1172" i="70"/>
  <c r="E880" i="70"/>
  <c r="E829" i="70"/>
  <c r="C976" i="70"/>
  <c r="J976" i="70" s="1"/>
  <c r="E851" i="70"/>
  <c r="J851" i="70" s="1"/>
  <c r="T483" i="27" s="1"/>
  <c r="E799" i="70"/>
  <c r="E814" i="70"/>
  <c r="E769" i="70"/>
  <c r="E784" i="70"/>
  <c r="E716" i="70"/>
  <c r="E754" i="70"/>
  <c r="E387" i="70"/>
  <c r="E678" i="70"/>
  <c r="A128" i="71"/>
  <c r="A80" i="61"/>
  <c r="A190" i="60"/>
  <c r="A81" i="61"/>
  <c r="A203" i="60"/>
  <c r="A191" i="60"/>
  <c r="A129" i="71"/>
  <c r="A130" i="71"/>
  <c r="A194" i="60"/>
  <c r="A202" i="60"/>
  <c r="A198" i="60"/>
  <c r="A199" i="60"/>
  <c r="A201" i="60"/>
  <c r="A195" i="60"/>
  <c r="A192" i="60"/>
  <c r="A197" i="60"/>
  <c r="A200" i="60"/>
  <c r="A193" i="60"/>
  <c r="A196" i="60"/>
  <c r="E640" i="70"/>
  <c r="E608" i="70"/>
  <c r="E593" i="70"/>
  <c r="E578" i="70"/>
  <c r="E561" i="70"/>
  <c r="E546" i="70"/>
  <c r="E531" i="70"/>
  <c r="E516" i="70"/>
  <c r="E501" i="70"/>
  <c r="E486" i="70"/>
  <c r="E471" i="70"/>
  <c r="E456" i="70"/>
  <c r="A131" i="71"/>
  <c r="A132" i="71"/>
  <c r="A82" i="61"/>
  <c r="A133" i="71"/>
  <c r="A83" i="61"/>
  <c r="A84" i="61"/>
  <c r="A135" i="71"/>
  <c r="M1173" i="70"/>
  <c r="E881" i="70"/>
  <c r="E830" i="70"/>
  <c r="C977" i="70"/>
  <c r="J977" i="70" s="1"/>
  <c r="E852" i="70"/>
  <c r="J852" i="70" s="1"/>
  <c r="T484" i="27" s="1"/>
  <c r="E800" i="70"/>
  <c r="E815" i="70"/>
  <c r="E770" i="70"/>
  <c r="E785" i="70"/>
  <c r="E717" i="70"/>
  <c r="E755" i="70"/>
  <c r="E388" i="70"/>
  <c r="E679" i="70"/>
  <c r="A138" i="71"/>
  <c r="A86" i="61"/>
  <c r="A205" i="60"/>
  <c r="A87" i="61"/>
  <c r="A218" i="60"/>
  <c r="A206" i="60"/>
  <c r="A139" i="71"/>
  <c r="A140" i="71"/>
  <c r="A215" i="60"/>
  <c r="A209" i="60"/>
  <c r="A213" i="60"/>
  <c r="A208" i="60"/>
  <c r="A217" i="60"/>
  <c r="A214" i="60"/>
  <c r="A211" i="60"/>
  <c r="A216" i="60"/>
  <c r="A210" i="60"/>
  <c r="A207" i="60"/>
  <c r="A212" i="60"/>
  <c r="A142" i="71"/>
  <c r="A141" i="71"/>
  <c r="A88" i="61"/>
  <c r="E641" i="70"/>
  <c r="E609" i="70"/>
  <c r="E594" i="70"/>
  <c r="E579" i="70"/>
  <c r="E562" i="70"/>
  <c r="E547" i="70"/>
  <c r="E532" i="70"/>
  <c r="E517" i="70"/>
  <c r="E502" i="70"/>
  <c r="E487" i="70"/>
  <c r="E472" i="70"/>
  <c r="E457" i="70"/>
  <c r="A143" i="71"/>
  <c r="A89" i="61"/>
  <c r="A90" i="61"/>
  <c r="A145" i="71"/>
  <c r="G853" i="70"/>
  <c r="I853" i="70"/>
  <c r="L485" i="27" s="1"/>
  <c r="G831" i="70"/>
  <c r="I831" i="70"/>
  <c r="L463" i="27" s="1"/>
  <c r="F816" i="70"/>
  <c r="G801" i="70"/>
  <c r="I801" i="70"/>
  <c r="L433" i="27" s="1"/>
  <c r="F786" i="70"/>
  <c r="G771" i="70"/>
  <c r="I771" i="70"/>
  <c r="L403" i="27" s="1"/>
  <c r="F756" i="70"/>
  <c r="G718" i="70"/>
  <c r="I718" i="70"/>
  <c r="L350" i="27" s="1"/>
  <c r="F680" i="70"/>
  <c r="G642" i="70"/>
  <c r="I642" i="70"/>
  <c r="L274" i="27" s="1"/>
  <c r="F610" i="70"/>
  <c r="G595" i="70"/>
  <c r="I595" i="70"/>
  <c r="L227" i="27" s="1"/>
  <c r="F580" i="70"/>
  <c r="G563" i="70"/>
  <c r="F563" i="70" s="1"/>
  <c r="J563" i="70" s="1"/>
  <c r="I563" i="70"/>
  <c r="F548" i="70"/>
  <c r="I182" i="27"/>
  <c r="G533" i="70"/>
  <c r="I533" i="70"/>
  <c r="L167" i="27" s="1"/>
  <c r="F518" i="70"/>
  <c r="I152" i="27"/>
  <c r="G503" i="70"/>
  <c r="I503" i="70"/>
  <c r="L137" i="27" s="1"/>
  <c r="F488" i="70"/>
  <c r="I122" i="27"/>
  <c r="G473" i="70"/>
  <c r="I473" i="70"/>
  <c r="L107" i="27" s="1"/>
  <c r="M32" i="66"/>
  <c r="I36" i="66"/>
  <c r="A20" i="19"/>
  <c r="I34" i="66"/>
  <c r="A18" i="19"/>
  <c r="A17" i="2"/>
  <c r="V16" i="2"/>
  <c r="L16" i="2" s="1"/>
  <c r="U16" i="2"/>
  <c r="C627" i="27"/>
  <c r="G994" i="70"/>
  <c r="I627" i="27" s="1"/>
  <c r="I994" i="70"/>
  <c r="L627" i="27" s="1"/>
  <c r="C628" i="27"/>
  <c r="I995" i="70"/>
  <c r="L628" i="27" s="1"/>
  <c r="G995" i="70"/>
  <c r="I628" i="27" s="1"/>
  <c r="C1522" i="95"/>
  <c r="C1318" i="95"/>
  <c r="C757" i="95"/>
  <c r="C240" i="95"/>
  <c r="C1133" i="70"/>
  <c r="J1133" i="70" s="1"/>
  <c r="C1132" i="70"/>
  <c r="J1132" i="70" s="1"/>
  <c r="C1131" i="70"/>
  <c r="J1131" i="70" s="1"/>
  <c r="C1130" i="70"/>
  <c r="J1130" i="70" s="1"/>
  <c r="C1129" i="70"/>
  <c r="J1129" i="70" s="1"/>
  <c r="C1128" i="70"/>
  <c r="J1128" i="70" s="1"/>
  <c r="C1127" i="70"/>
  <c r="J1127" i="70" s="1"/>
  <c r="C1126" i="70"/>
  <c r="J1126" i="70" s="1"/>
  <c r="C1125" i="70"/>
  <c r="J1125" i="70" s="1"/>
  <c r="C1124" i="70"/>
  <c r="J1124" i="70" s="1"/>
  <c r="K1110" i="70"/>
  <c r="C645" i="27" l="1"/>
  <c r="I1012" i="70"/>
  <c r="L645" i="27" s="1"/>
  <c r="C646" i="27"/>
  <c r="G1013" i="70"/>
  <c r="G1012" i="70"/>
  <c r="F1012" i="70" s="1"/>
  <c r="C648" i="27"/>
  <c r="I1015" i="70"/>
  <c r="L648" i="27" s="1"/>
  <c r="G1015" i="70"/>
  <c r="F1015" i="70" s="1"/>
  <c r="I1013" i="70"/>
  <c r="L646" i="27" s="1"/>
  <c r="M92" i="61"/>
  <c r="O148" i="71"/>
  <c r="N220" i="60"/>
  <c r="N221" i="60"/>
  <c r="N233" i="60"/>
  <c r="M93" i="61"/>
  <c r="N226" i="60"/>
  <c r="N227" i="60"/>
  <c r="O149" i="71"/>
  <c r="N228" i="60"/>
  <c r="O150" i="71"/>
  <c r="N232" i="60"/>
  <c r="N229" i="60"/>
  <c r="N231" i="60"/>
  <c r="N225" i="60"/>
  <c r="N222" i="60"/>
  <c r="N230" i="60"/>
  <c r="N224" i="60"/>
  <c r="N223" i="60"/>
  <c r="O152" i="71"/>
  <c r="M94" i="61"/>
  <c r="O151" i="71"/>
  <c r="M95" i="61"/>
  <c r="O153" i="71"/>
  <c r="M96" i="61"/>
  <c r="O155" i="71"/>
  <c r="O154" i="71"/>
  <c r="O156" i="71"/>
  <c r="I35" i="66"/>
  <c r="C647" i="27"/>
  <c r="O138" i="71"/>
  <c r="M86" i="61"/>
  <c r="N205" i="60"/>
  <c r="N218" i="60"/>
  <c r="N206" i="60"/>
  <c r="M87" i="61"/>
  <c r="N216" i="60"/>
  <c r="N215" i="60"/>
  <c r="N210" i="60"/>
  <c r="N209" i="60"/>
  <c r="N207" i="60"/>
  <c r="O139" i="71"/>
  <c r="N213" i="60"/>
  <c r="N212" i="60"/>
  <c r="O140" i="71"/>
  <c r="N208" i="60"/>
  <c r="N217" i="60"/>
  <c r="N214" i="60"/>
  <c r="N211" i="60"/>
  <c r="O142" i="71"/>
  <c r="M88" i="61"/>
  <c r="O141" i="71"/>
  <c r="O143" i="71"/>
  <c r="M89" i="61"/>
  <c r="M90" i="61"/>
  <c r="O145" i="71"/>
  <c r="O144" i="71"/>
  <c r="O146" i="71"/>
  <c r="M74" i="61"/>
  <c r="O118" i="71"/>
  <c r="N175" i="60"/>
  <c r="M75" i="61"/>
  <c r="N188" i="60"/>
  <c r="N176" i="60"/>
  <c r="N184" i="60"/>
  <c r="N179" i="60"/>
  <c r="O120" i="71"/>
  <c r="N186" i="60"/>
  <c r="N183" i="60"/>
  <c r="N180" i="60"/>
  <c r="N177" i="60"/>
  <c r="O119" i="71"/>
  <c r="N182" i="60"/>
  <c r="N181" i="60"/>
  <c r="N185" i="60"/>
  <c r="N178" i="60"/>
  <c r="N187" i="60"/>
  <c r="O122" i="71"/>
  <c r="O121" i="71"/>
  <c r="M76" i="61"/>
  <c r="O123" i="71"/>
  <c r="M77" i="61"/>
  <c r="M78" i="61"/>
  <c r="O124" i="71"/>
  <c r="O125" i="71"/>
  <c r="O126" i="71"/>
  <c r="I1014" i="70"/>
  <c r="L647" i="27" s="1"/>
  <c r="J1016" i="70"/>
  <c r="T649" i="27" s="1"/>
  <c r="G1016" i="70"/>
  <c r="I1016" i="70"/>
  <c r="L649" i="27" s="1"/>
  <c r="C649" i="27"/>
  <c r="G1014" i="70"/>
  <c r="F1014" i="70" s="1"/>
  <c r="O108" i="71"/>
  <c r="M68" i="61"/>
  <c r="N160" i="60"/>
  <c r="N173" i="60"/>
  <c r="M69" i="61"/>
  <c r="N161" i="60"/>
  <c r="O109" i="71"/>
  <c r="N170" i="60"/>
  <c r="N163" i="60"/>
  <c r="N172" i="60"/>
  <c r="N166" i="60"/>
  <c r="O110" i="71"/>
  <c r="N171" i="60"/>
  <c r="N164" i="60"/>
  <c r="N169" i="60"/>
  <c r="N168" i="60"/>
  <c r="N165" i="60"/>
  <c r="N167" i="60"/>
  <c r="N162" i="60"/>
  <c r="O111" i="71"/>
  <c r="M70" i="61"/>
  <c r="O112" i="71"/>
  <c r="O113" i="71"/>
  <c r="M71" i="61"/>
  <c r="M72" i="61"/>
  <c r="O114" i="71"/>
  <c r="O115" i="71"/>
  <c r="O116" i="71"/>
  <c r="O128" i="71"/>
  <c r="M80" i="61"/>
  <c r="N190" i="60"/>
  <c r="N203" i="60"/>
  <c r="M81" i="61"/>
  <c r="N191" i="60"/>
  <c r="N201" i="60"/>
  <c r="N195" i="60"/>
  <c r="N192" i="60"/>
  <c r="N197" i="60"/>
  <c r="N194" i="60"/>
  <c r="N200" i="60"/>
  <c r="O129" i="71"/>
  <c r="N202" i="60"/>
  <c r="N193" i="60"/>
  <c r="N199" i="60"/>
  <c r="O130" i="71"/>
  <c r="N198" i="60"/>
  <c r="N196" i="60"/>
  <c r="O131" i="71"/>
  <c r="M82" i="61"/>
  <c r="O132" i="71"/>
  <c r="O133" i="71"/>
  <c r="M83" i="61"/>
  <c r="M84" i="61"/>
  <c r="O135" i="71"/>
  <c r="O134" i="71"/>
  <c r="O136" i="71"/>
  <c r="F312" i="27"/>
  <c r="J680" i="70"/>
  <c r="T312" i="27" s="1"/>
  <c r="F388" i="27"/>
  <c r="J756" i="70"/>
  <c r="T388" i="27" s="1"/>
  <c r="F418" i="27"/>
  <c r="J786" i="70"/>
  <c r="T418" i="27" s="1"/>
  <c r="F448" i="27"/>
  <c r="J816" i="70"/>
  <c r="T448" i="27" s="1"/>
  <c r="F212" i="27"/>
  <c r="J580" i="70"/>
  <c r="T212" i="27" s="1"/>
  <c r="F242" i="27"/>
  <c r="J610" i="70"/>
  <c r="T242" i="27" s="1"/>
  <c r="F122" i="27"/>
  <c r="J488" i="70"/>
  <c r="T122" i="27" s="1"/>
  <c r="F152" i="27"/>
  <c r="J518" i="70"/>
  <c r="T152" i="27" s="1"/>
  <c r="F182" i="27"/>
  <c r="J548" i="70"/>
  <c r="T182" i="27" s="1"/>
  <c r="V1124" i="70"/>
  <c r="T1124" i="70"/>
  <c r="V1125" i="70"/>
  <c r="T1125" i="70"/>
  <c r="V1126" i="70"/>
  <c r="T1126" i="70"/>
  <c r="V1127" i="70"/>
  <c r="T1127" i="70"/>
  <c r="V1128" i="70"/>
  <c r="T1128" i="70"/>
  <c r="V1129" i="70"/>
  <c r="T1129" i="70"/>
  <c r="V1130" i="70"/>
  <c r="T1130" i="70"/>
  <c r="V1131" i="70"/>
  <c r="T1131" i="70"/>
  <c r="V1132" i="70"/>
  <c r="T1132" i="70"/>
  <c r="V1133" i="70"/>
  <c r="T1133" i="70"/>
  <c r="G881" i="70"/>
  <c r="I881" i="70"/>
  <c r="L514" i="27" s="1"/>
  <c r="G880" i="70"/>
  <c r="I880" i="70"/>
  <c r="L513" i="27" s="1"/>
  <c r="G879" i="70"/>
  <c r="I879" i="70"/>
  <c r="L512" i="27" s="1"/>
  <c r="G878" i="70"/>
  <c r="I878" i="70"/>
  <c r="L511" i="27" s="1"/>
  <c r="G882" i="70"/>
  <c r="I882" i="70"/>
  <c r="L515" i="27" s="1"/>
  <c r="F1013" i="70"/>
  <c r="I646" i="27"/>
  <c r="G472" i="70"/>
  <c r="I472" i="70"/>
  <c r="L106" i="27" s="1"/>
  <c r="G487" i="70"/>
  <c r="I487" i="70"/>
  <c r="L121" i="27" s="1"/>
  <c r="G502" i="70"/>
  <c r="I502" i="70"/>
  <c r="L136" i="27" s="1"/>
  <c r="G517" i="70"/>
  <c r="I517" i="70"/>
  <c r="L151" i="27" s="1"/>
  <c r="G532" i="70"/>
  <c r="I532" i="70"/>
  <c r="L166" i="27" s="1"/>
  <c r="G547" i="70"/>
  <c r="I547" i="70"/>
  <c r="L181" i="27" s="1"/>
  <c r="G562" i="70"/>
  <c r="I562" i="70"/>
  <c r="L196" i="27" s="1"/>
  <c r="G579" i="70"/>
  <c r="F579" i="70" s="1"/>
  <c r="I579" i="70"/>
  <c r="L211" i="27" s="1"/>
  <c r="G594" i="70"/>
  <c r="I594" i="70"/>
  <c r="L226" i="27" s="1"/>
  <c r="G609" i="70"/>
  <c r="I609" i="70"/>
  <c r="L241" i="27" s="1"/>
  <c r="G641" i="70"/>
  <c r="I641" i="70"/>
  <c r="L273" i="27" s="1"/>
  <c r="G679" i="70"/>
  <c r="I679" i="70"/>
  <c r="L311" i="27" s="1"/>
  <c r="G755" i="70"/>
  <c r="I755" i="70"/>
  <c r="L387" i="27" s="1"/>
  <c r="G717" i="70"/>
  <c r="I717" i="70"/>
  <c r="L349" i="27" s="1"/>
  <c r="G785" i="70"/>
  <c r="I785" i="70"/>
  <c r="L417" i="27" s="1"/>
  <c r="G770" i="70"/>
  <c r="I770" i="70"/>
  <c r="L402" i="27" s="1"/>
  <c r="G815" i="70"/>
  <c r="I815" i="70"/>
  <c r="L447" i="27" s="1"/>
  <c r="G800" i="70"/>
  <c r="I800" i="70"/>
  <c r="L432" i="27" s="1"/>
  <c r="G852" i="70"/>
  <c r="I852" i="70"/>
  <c r="L484" i="27" s="1"/>
  <c r="G830" i="70"/>
  <c r="I830" i="70"/>
  <c r="L462" i="27" s="1"/>
  <c r="B135" i="71"/>
  <c r="G135" i="71"/>
  <c r="I135" i="71" s="1"/>
  <c r="M135" i="71"/>
  <c r="AT135" i="71" s="1"/>
  <c r="B136" i="71"/>
  <c r="B134" i="71"/>
  <c r="M133" i="71"/>
  <c r="AT133" i="71" s="1"/>
  <c r="B133" i="71"/>
  <c r="G133" i="71"/>
  <c r="I133" i="71" s="1"/>
  <c r="B132" i="71"/>
  <c r="G132" i="71"/>
  <c r="B131" i="71"/>
  <c r="G131" i="71"/>
  <c r="G471" i="70"/>
  <c r="I471" i="70"/>
  <c r="L105" i="27" s="1"/>
  <c r="G486" i="70"/>
  <c r="I486" i="70"/>
  <c r="L120" i="27" s="1"/>
  <c r="G501" i="70"/>
  <c r="I501" i="70"/>
  <c r="L135" i="27" s="1"/>
  <c r="G516" i="70"/>
  <c r="I516" i="70"/>
  <c r="L150" i="27" s="1"/>
  <c r="G531" i="70"/>
  <c r="I531" i="70"/>
  <c r="L165" i="27" s="1"/>
  <c r="G546" i="70"/>
  <c r="I546" i="70"/>
  <c r="L180" i="27" s="1"/>
  <c r="G561" i="70"/>
  <c r="I561" i="70"/>
  <c r="L195" i="27" s="1"/>
  <c r="G578" i="70"/>
  <c r="F578" i="70" s="1"/>
  <c r="I578" i="70"/>
  <c r="L210" i="27" s="1"/>
  <c r="G593" i="70"/>
  <c r="I593" i="70"/>
  <c r="L225" i="27" s="1"/>
  <c r="G608" i="70"/>
  <c r="I608" i="70"/>
  <c r="L240" i="27" s="1"/>
  <c r="G640" i="70"/>
  <c r="I640" i="70"/>
  <c r="L272" i="27" s="1"/>
  <c r="G130" i="71"/>
  <c r="B130" i="71"/>
  <c r="G129" i="71"/>
  <c r="B129" i="71"/>
  <c r="G128" i="71"/>
  <c r="B128" i="71"/>
  <c r="G678" i="70"/>
  <c r="I678" i="70"/>
  <c r="L310" i="27" s="1"/>
  <c r="G754" i="70"/>
  <c r="I754" i="70"/>
  <c r="L386" i="27" s="1"/>
  <c r="G716" i="70"/>
  <c r="I716" i="70"/>
  <c r="L348" i="27" s="1"/>
  <c r="G784" i="70"/>
  <c r="I784" i="70"/>
  <c r="L416" i="27" s="1"/>
  <c r="G769" i="70"/>
  <c r="I769" i="70"/>
  <c r="L401" i="27" s="1"/>
  <c r="G814" i="70"/>
  <c r="I814" i="70"/>
  <c r="L446" i="27" s="1"/>
  <c r="G799" i="70"/>
  <c r="I799" i="70"/>
  <c r="L431" i="27" s="1"/>
  <c r="G851" i="70"/>
  <c r="I851" i="70"/>
  <c r="L483" i="27" s="1"/>
  <c r="G829" i="70"/>
  <c r="I829" i="70"/>
  <c r="L461" i="27" s="1"/>
  <c r="B125" i="71"/>
  <c r="G125" i="71"/>
  <c r="I125" i="71" s="1"/>
  <c r="M125" i="71"/>
  <c r="AT125" i="71" s="1"/>
  <c r="B126" i="71"/>
  <c r="B124" i="71"/>
  <c r="M123" i="71"/>
  <c r="AT123" i="71" s="1"/>
  <c r="B123" i="71"/>
  <c r="G123" i="71"/>
  <c r="I123" i="71" s="1"/>
  <c r="G121" i="71"/>
  <c r="B121" i="71"/>
  <c r="B122" i="71"/>
  <c r="G122" i="71"/>
  <c r="G119" i="71"/>
  <c r="B119" i="71"/>
  <c r="G120" i="71"/>
  <c r="B120" i="71"/>
  <c r="G470" i="70"/>
  <c r="I470" i="70"/>
  <c r="L104" i="27" s="1"/>
  <c r="G485" i="70"/>
  <c r="I485" i="70"/>
  <c r="L119" i="27" s="1"/>
  <c r="G500" i="70"/>
  <c r="I500" i="70"/>
  <c r="L134" i="27" s="1"/>
  <c r="G515" i="70"/>
  <c r="I515" i="70"/>
  <c r="L149" i="27" s="1"/>
  <c r="G530" i="70"/>
  <c r="I530" i="70"/>
  <c r="L164" i="27" s="1"/>
  <c r="G545" i="70"/>
  <c r="I545" i="70"/>
  <c r="L179" i="27" s="1"/>
  <c r="G560" i="70"/>
  <c r="I560" i="70"/>
  <c r="L194" i="27" s="1"/>
  <c r="G577" i="70"/>
  <c r="F577" i="70" s="1"/>
  <c r="I577" i="70"/>
  <c r="L209" i="27" s="1"/>
  <c r="G592" i="70"/>
  <c r="I592" i="70"/>
  <c r="L224" i="27" s="1"/>
  <c r="G607" i="70"/>
  <c r="I607" i="70"/>
  <c r="L239" i="27" s="1"/>
  <c r="G639" i="70"/>
  <c r="I639" i="70"/>
  <c r="L271" i="27" s="1"/>
  <c r="G118" i="71"/>
  <c r="B118" i="71"/>
  <c r="G677" i="70"/>
  <c r="I677" i="70"/>
  <c r="L309" i="27" s="1"/>
  <c r="G753" i="70"/>
  <c r="I753" i="70"/>
  <c r="L385" i="27" s="1"/>
  <c r="G715" i="70"/>
  <c r="I715" i="70"/>
  <c r="L347" i="27" s="1"/>
  <c r="G783" i="70"/>
  <c r="I783" i="70"/>
  <c r="L415" i="27" s="1"/>
  <c r="G768" i="70"/>
  <c r="I768" i="70"/>
  <c r="L400" i="27" s="1"/>
  <c r="G813" i="70"/>
  <c r="I813" i="70"/>
  <c r="L445" i="27" s="1"/>
  <c r="G798" i="70"/>
  <c r="I798" i="70"/>
  <c r="L430" i="27" s="1"/>
  <c r="G850" i="70"/>
  <c r="I850" i="70"/>
  <c r="L482" i="27" s="1"/>
  <c r="G828" i="70"/>
  <c r="I828" i="70"/>
  <c r="L460" i="27" s="1"/>
  <c r="B115" i="71"/>
  <c r="G115" i="71"/>
  <c r="I115" i="71" s="1"/>
  <c r="M115" i="71"/>
  <c r="AT115" i="71" s="1"/>
  <c r="B116" i="71"/>
  <c r="B114" i="71"/>
  <c r="M113" i="71"/>
  <c r="AT113" i="71" s="1"/>
  <c r="B113" i="71"/>
  <c r="G113" i="71"/>
  <c r="I113" i="71" s="1"/>
  <c r="G111" i="71"/>
  <c r="B111" i="71"/>
  <c r="B112" i="71"/>
  <c r="G112" i="71"/>
  <c r="G109" i="71"/>
  <c r="B109" i="71"/>
  <c r="G110" i="71"/>
  <c r="B110" i="71"/>
  <c r="G454" i="70"/>
  <c r="I454" i="70"/>
  <c r="L88" i="27" s="1"/>
  <c r="G469" i="70"/>
  <c r="I469" i="70"/>
  <c r="L103" i="27" s="1"/>
  <c r="G484" i="70"/>
  <c r="I484" i="70"/>
  <c r="L118" i="27" s="1"/>
  <c r="G499" i="70"/>
  <c r="I499" i="70"/>
  <c r="L133" i="27" s="1"/>
  <c r="G514" i="70"/>
  <c r="I514" i="70"/>
  <c r="L148" i="27" s="1"/>
  <c r="G529" i="70"/>
  <c r="I529" i="70"/>
  <c r="L163" i="27" s="1"/>
  <c r="G544" i="70"/>
  <c r="I544" i="70"/>
  <c r="L178" i="27" s="1"/>
  <c r="G559" i="70"/>
  <c r="I559" i="70"/>
  <c r="L193" i="27" s="1"/>
  <c r="G576" i="70"/>
  <c r="F576" i="70" s="1"/>
  <c r="I576" i="70"/>
  <c r="L208" i="27" s="1"/>
  <c r="G591" i="70"/>
  <c r="I591" i="70"/>
  <c r="L223" i="27" s="1"/>
  <c r="G606" i="70"/>
  <c r="I606" i="70"/>
  <c r="L238" i="27" s="1"/>
  <c r="G638" i="70"/>
  <c r="I638" i="70"/>
  <c r="L270" i="27" s="1"/>
  <c r="B108" i="71"/>
  <c r="G108" i="71"/>
  <c r="G676" i="70"/>
  <c r="I676" i="70"/>
  <c r="L308" i="27" s="1"/>
  <c r="G752" i="70"/>
  <c r="I752" i="70"/>
  <c r="L384" i="27" s="1"/>
  <c r="G714" i="70"/>
  <c r="I714" i="70"/>
  <c r="L346" i="27" s="1"/>
  <c r="G782" i="70"/>
  <c r="I782" i="70"/>
  <c r="L414" i="27" s="1"/>
  <c r="G767" i="70"/>
  <c r="I767" i="70"/>
  <c r="L399" i="27" s="1"/>
  <c r="G812" i="70"/>
  <c r="I812" i="70"/>
  <c r="L444" i="27" s="1"/>
  <c r="G797" i="70"/>
  <c r="I797" i="70"/>
  <c r="L429" i="27" s="1"/>
  <c r="G849" i="70"/>
  <c r="I849" i="70"/>
  <c r="L481" i="27" s="1"/>
  <c r="G827" i="70"/>
  <c r="I827" i="70"/>
  <c r="L459" i="27" s="1"/>
  <c r="F853" i="70"/>
  <c r="F485" i="27" s="1"/>
  <c r="I485" i="27"/>
  <c r="F831" i="70"/>
  <c r="F801" i="70"/>
  <c r="F771" i="70"/>
  <c r="F718" i="70"/>
  <c r="F642" i="70"/>
  <c r="F595" i="70"/>
  <c r="F533" i="70"/>
  <c r="I167" i="27"/>
  <c r="F503" i="70"/>
  <c r="I137" i="27"/>
  <c r="F473" i="70"/>
  <c r="I107" i="27"/>
  <c r="I33" i="66"/>
  <c r="A17" i="19"/>
  <c r="AD16" i="2"/>
  <c r="AC16" i="2"/>
  <c r="C241" i="95"/>
  <c r="C1319" i="95"/>
  <c r="C758" i="95"/>
  <c r="C1523" i="95"/>
  <c r="B1057" i="70"/>
  <c r="B1056" i="70"/>
  <c r="B1055" i="70"/>
  <c r="I1061" i="70"/>
  <c r="I1060" i="70"/>
  <c r="I1059" i="70"/>
  <c r="I1058" i="70"/>
  <c r="G1061" i="70"/>
  <c r="F1061" i="70" s="1"/>
  <c r="G1060" i="70"/>
  <c r="F1060" i="70" s="1"/>
  <c r="G1059" i="70"/>
  <c r="F1059" i="70" s="1"/>
  <c r="G1058" i="70"/>
  <c r="F1058" i="70" s="1"/>
  <c r="I648" i="27" l="1"/>
  <c r="I645" i="27"/>
  <c r="I647" i="27"/>
  <c r="I649" i="27"/>
  <c r="F1016" i="70"/>
  <c r="F274" i="27"/>
  <c r="J642" i="70"/>
  <c r="T274" i="27" s="1"/>
  <c r="F350" i="27"/>
  <c r="J718" i="70"/>
  <c r="T350" i="27" s="1"/>
  <c r="F403" i="27"/>
  <c r="J771" i="70"/>
  <c r="T403" i="27" s="1"/>
  <c r="F433" i="27"/>
  <c r="J801" i="70"/>
  <c r="T433" i="27" s="1"/>
  <c r="F463" i="27"/>
  <c r="J831" i="70"/>
  <c r="T463" i="27" s="1"/>
  <c r="F227" i="27"/>
  <c r="J595" i="70"/>
  <c r="T227" i="27" s="1"/>
  <c r="F208" i="27"/>
  <c r="J576" i="70"/>
  <c r="T208" i="27" s="1"/>
  <c r="F209" i="27"/>
  <c r="J577" i="70"/>
  <c r="T209" i="27" s="1"/>
  <c r="F210" i="27"/>
  <c r="J578" i="70"/>
  <c r="T210" i="27" s="1"/>
  <c r="F211" i="27"/>
  <c r="J579" i="70"/>
  <c r="T211" i="27" s="1"/>
  <c r="F107" i="27"/>
  <c r="J473" i="70"/>
  <c r="T107" i="27" s="1"/>
  <c r="F137" i="27"/>
  <c r="J503" i="70"/>
  <c r="T137" i="27" s="1"/>
  <c r="F167" i="27"/>
  <c r="J533" i="70"/>
  <c r="T167" i="27" s="1"/>
  <c r="H1012" i="70"/>
  <c r="J645" i="27" s="1"/>
  <c r="F645" i="27"/>
  <c r="H1013" i="70"/>
  <c r="J646" i="27" s="1"/>
  <c r="F646" i="27"/>
  <c r="F647" i="27"/>
  <c r="H1014" i="70"/>
  <c r="J647" i="27" s="1"/>
  <c r="H1015" i="70"/>
  <c r="J648" i="27" s="1"/>
  <c r="F648" i="27"/>
  <c r="F882" i="70"/>
  <c r="I515" i="27"/>
  <c r="F878" i="70"/>
  <c r="I511" i="27"/>
  <c r="F879" i="70"/>
  <c r="I512" i="27"/>
  <c r="F880" i="70"/>
  <c r="I513" i="27"/>
  <c r="F881" i="70"/>
  <c r="I514" i="27"/>
  <c r="F827" i="70"/>
  <c r="F849" i="70"/>
  <c r="F481" i="27" s="1"/>
  <c r="I481" i="27"/>
  <c r="F797" i="70"/>
  <c r="F812" i="70"/>
  <c r="F767" i="70"/>
  <c r="F782" i="70"/>
  <c r="F714" i="70"/>
  <c r="F752" i="70"/>
  <c r="F676" i="70"/>
  <c r="J108" i="71"/>
  <c r="M108" i="71" s="1"/>
  <c r="AT108" i="71" s="1"/>
  <c r="I108" i="71"/>
  <c r="K108" i="71"/>
  <c r="F638" i="70"/>
  <c r="F606" i="70"/>
  <c r="F591" i="70"/>
  <c r="F559" i="70"/>
  <c r="I193" i="27"/>
  <c r="F544" i="70"/>
  <c r="I178" i="27"/>
  <c r="F529" i="70"/>
  <c r="I163" i="27"/>
  <c r="F514" i="70"/>
  <c r="I148" i="27"/>
  <c r="F499" i="70"/>
  <c r="I133" i="27"/>
  <c r="F484" i="70"/>
  <c r="I118" i="27"/>
  <c r="F469" i="70"/>
  <c r="I103" i="27"/>
  <c r="I88" i="27"/>
  <c r="F454" i="70"/>
  <c r="I110" i="71"/>
  <c r="K110" i="71"/>
  <c r="J110" i="71"/>
  <c r="M110" i="71" s="1"/>
  <c r="AT110" i="71" s="1"/>
  <c r="I109" i="71"/>
  <c r="J109" i="71"/>
  <c r="M109" i="71" s="1"/>
  <c r="AT109" i="71" s="1"/>
  <c r="K109" i="71"/>
  <c r="K112" i="71"/>
  <c r="J112" i="71"/>
  <c r="M112" i="71" s="1"/>
  <c r="AT112" i="71" s="1"/>
  <c r="I112" i="71"/>
  <c r="K111" i="71"/>
  <c r="J111" i="71"/>
  <c r="M111" i="71" s="1"/>
  <c r="AT111" i="71" s="1"/>
  <c r="I111" i="71"/>
  <c r="F828" i="70"/>
  <c r="F850" i="70"/>
  <c r="F482" i="27" s="1"/>
  <c r="I482" i="27"/>
  <c r="F798" i="70"/>
  <c r="F813" i="70"/>
  <c r="F768" i="70"/>
  <c r="F783" i="70"/>
  <c r="F715" i="70"/>
  <c r="F753" i="70"/>
  <c r="F677" i="70"/>
  <c r="J118" i="71"/>
  <c r="M118" i="71" s="1"/>
  <c r="AT118" i="71" s="1"/>
  <c r="I118" i="71"/>
  <c r="K118" i="71"/>
  <c r="F639" i="70"/>
  <c r="F607" i="70"/>
  <c r="F592" i="70"/>
  <c r="F560" i="70"/>
  <c r="I194" i="27"/>
  <c r="F545" i="70"/>
  <c r="I179" i="27"/>
  <c r="F530" i="70"/>
  <c r="I164" i="27"/>
  <c r="F515" i="70"/>
  <c r="I149" i="27"/>
  <c r="F500" i="70"/>
  <c r="I134" i="27"/>
  <c r="F485" i="70"/>
  <c r="I119" i="27"/>
  <c r="F470" i="70"/>
  <c r="I104" i="27"/>
  <c r="K120" i="71"/>
  <c r="J120" i="71"/>
  <c r="M120" i="71" s="1"/>
  <c r="AT120" i="71" s="1"/>
  <c r="I120" i="71"/>
  <c r="I119" i="71"/>
  <c r="J119" i="71"/>
  <c r="M119" i="71" s="1"/>
  <c r="AT119" i="71" s="1"/>
  <c r="K119" i="71"/>
  <c r="K122" i="71"/>
  <c r="J122" i="71"/>
  <c r="M122" i="71" s="1"/>
  <c r="AT122" i="71" s="1"/>
  <c r="I122" i="71"/>
  <c r="K121" i="71"/>
  <c r="J121" i="71"/>
  <c r="M121" i="71" s="1"/>
  <c r="AT121" i="71" s="1"/>
  <c r="I121" i="71"/>
  <c r="F829" i="70"/>
  <c r="F851" i="70"/>
  <c r="F483" i="27" s="1"/>
  <c r="I483" i="27"/>
  <c r="F799" i="70"/>
  <c r="F814" i="70"/>
  <c r="F769" i="70"/>
  <c r="F784" i="70"/>
  <c r="F716" i="70"/>
  <c r="F754" i="70"/>
  <c r="F678" i="70"/>
  <c r="J128" i="71"/>
  <c r="M128" i="71" s="1"/>
  <c r="AT128" i="71" s="1"/>
  <c r="K128" i="71"/>
  <c r="I128" i="71"/>
  <c r="I129" i="71"/>
  <c r="K129" i="71"/>
  <c r="J129" i="71"/>
  <c r="M129" i="71" s="1"/>
  <c r="AT129" i="71" s="1"/>
  <c r="K130" i="71"/>
  <c r="I130" i="71"/>
  <c r="J130" i="71"/>
  <c r="M130" i="71" s="1"/>
  <c r="AT130" i="71" s="1"/>
  <c r="F640" i="70"/>
  <c r="F608" i="70"/>
  <c r="F593" i="70"/>
  <c r="F561" i="70"/>
  <c r="I195" i="27"/>
  <c r="F546" i="70"/>
  <c r="I180" i="27"/>
  <c r="F531" i="70"/>
  <c r="I165" i="27"/>
  <c r="F516" i="70"/>
  <c r="I150" i="27"/>
  <c r="F501" i="70"/>
  <c r="I135" i="27"/>
  <c r="F486" i="70"/>
  <c r="I120" i="27"/>
  <c r="F471" i="70"/>
  <c r="I105" i="27"/>
  <c r="K131" i="71"/>
  <c r="J131" i="71"/>
  <c r="M131" i="71" s="1"/>
  <c r="AT131" i="71" s="1"/>
  <c r="I131" i="71"/>
  <c r="K132" i="71"/>
  <c r="J132" i="71"/>
  <c r="M132" i="71" s="1"/>
  <c r="AT132" i="71" s="1"/>
  <c r="I132" i="71"/>
  <c r="F830" i="70"/>
  <c r="F852" i="70"/>
  <c r="F484" i="27" s="1"/>
  <c r="I484" i="27"/>
  <c r="F800" i="70"/>
  <c r="F815" i="70"/>
  <c r="F770" i="70"/>
  <c r="F785" i="70"/>
  <c r="F717" i="70"/>
  <c r="F755" i="70"/>
  <c r="F679" i="70"/>
  <c r="F641" i="70"/>
  <c r="F609" i="70"/>
  <c r="F594" i="70"/>
  <c r="F562" i="70"/>
  <c r="I196" i="27"/>
  <c r="F547" i="70"/>
  <c r="I181" i="27"/>
  <c r="F532" i="70"/>
  <c r="I166" i="27"/>
  <c r="F517" i="70"/>
  <c r="I151" i="27"/>
  <c r="F502" i="70"/>
  <c r="I136" i="27"/>
  <c r="F487" i="70"/>
  <c r="I121" i="27"/>
  <c r="F472" i="70"/>
  <c r="I106" i="27"/>
  <c r="C1320" i="95"/>
  <c r="C1524" i="95"/>
  <c r="C759" i="95"/>
  <c r="C242" i="95"/>
  <c r="C441" i="70"/>
  <c r="C440" i="70"/>
  <c r="C439" i="70"/>
  <c r="C438" i="70"/>
  <c r="C437" i="70"/>
  <c r="C436" i="70"/>
  <c r="C435" i="70"/>
  <c r="C434" i="70"/>
  <c r="C433" i="70"/>
  <c r="C432" i="70"/>
  <c r="C431" i="70"/>
  <c r="C430" i="70"/>
  <c r="C429" i="70"/>
  <c r="C428" i="70"/>
  <c r="C427" i="70"/>
  <c r="M413" i="70"/>
  <c r="L414" i="70"/>
  <c r="E413" i="70"/>
  <c r="E423" i="70" s="1"/>
  <c r="H1016" i="70" l="1"/>
  <c r="J649" i="27" s="1"/>
  <c r="F649" i="27"/>
  <c r="F514" i="27"/>
  <c r="J881" i="70"/>
  <c r="T514" i="27" s="1"/>
  <c r="F513" i="27"/>
  <c r="J880" i="70"/>
  <c r="T513" i="27" s="1"/>
  <c r="F512" i="27"/>
  <c r="J879" i="70"/>
  <c r="T512" i="27" s="1"/>
  <c r="F511" i="27"/>
  <c r="J878" i="70"/>
  <c r="T511" i="27" s="1"/>
  <c r="F515" i="27"/>
  <c r="J882" i="70"/>
  <c r="T515" i="27" s="1"/>
  <c r="F273" i="27"/>
  <c r="J641" i="70"/>
  <c r="T273" i="27" s="1"/>
  <c r="F311" i="27"/>
  <c r="J679" i="70"/>
  <c r="T311" i="27" s="1"/>
  <c r="F387" i="27"/>
  <c r="J755" i="70"/>
  <c r="T387" i="27" s="1"/>
  <c r="F349" i="27"/>
  <c r="J717" i="70"/>
  <c r="T349" i="27" s="1"/>
  <c r="F417" i="27"/>
  <c r="J785" i="70"/>
  <c r="T417" i="27" s="1"/>
  <c r="F402" i="27"/>
  <c r="J770" i="70"/>
  <c r="T402" i="27" s="1"/>
  <c r="F447" i="27"/>
  <c r="J815" i="70"/>
  <c r="T447" i="27" s="1"/>
  <c r="F432" i="27"/>
  <c r="J800" i="70"/>
  <c r="T432" i="27" s="1"/>
  <c r="F462" i="27"/>
  <c r="J830" i="70"/>
  <c r="T462" i="27" s="1"/>
  <c r="F272" i="27"/>
  <c r="J640" i="70"/>
  <c r="T272" i="27" s="1"/>
  <c r="F310" i="27"/>
  <c r="J678" i="70"/>
  <c r="T310" i="27" s="1"/>
  <c r="F386" i="27"/>
  <c r="J754" i="70"/>
  <c r="T386" i="27" s="1"/>
  <c r="F348" i="27"/>
  <c r="J716" i="70"/>
  <c r="T348" i="27" s="1"/>
  <c r="F416" i="27"/>
  <c r="J784" i="70"/>
  <c r="T416" i="27" s="1"/>
  <c r="F401" i="27"/>
  <c r="J769" i="70"/>
  <c r="T401" i="27" s="1"/>
  <c r="F446" i="27"/>
  <c r="J814" i="70"/>
  <c r="T446" i="27" s="1"/>
  <c r="F431" i="27"/>
  <c r="J799" i="70"/>
  <c r="T431" i="27" s="1"/>
  <c r="F461" i="27"/>
  <c r="J829" i="70"/>
  <c r="T461" i="27" s="1"/>
  <c r="F271" i="27"/>
  <c r="J639" i="70"/>
  <c r="T271" i="27" s="1"/>
  <c r="F309" i="27"/>
  <c r="J677" i="70"/>
  <c r="T309" i="27" s="1"/>
  <c r="F385" i="27"/>
  <c r="J753" i="70"/>
  <c r="T385" i="27" s="1"/>
  <c r="F347" i="27"/>
  <c r="J715" i="70"/>
  <c r="T347" i="27" s="1"/>
  <c r="F415" i="27"/>
  <c r="J783" i="70"/>
  <c r="T415" i="27" s="1"/>
  <c r="F400" i="27"/>
  <c r="J768" i="70"/>
  <c r="T400" i="27" s="1"/>
  <c r="F445" i="27"/>
  <c r="J813" i="70"/>
  <c r="T445" i="27" s="1"/>
  <c r="F430" i="27"/>
  <c r="J798" i="70"/>
  <c r="T430" i="27" s="1"/>
  <c r="F460" i="27"/>
  <c r="J828" i="70"/>
  <c r="T460" i="27" s="1"/>
  <c r="F270" i="27"/>
  <c r="J638" i="70"/>
  <c r="T270" i="27" s="1"/>
  <c r="F308" i="27"/>
  <c r="J676" i="70"/>
  <c r="T308" i="27" s="1"/>
  <c r="F384" i="27"/>
  <c r="J752" i="70"/>
  <c r="T384" i="27" s="1"/>
  <c r="F346" i="27"/>
  <c r="J714" i="70"/>
  <c r="T346" i="27" s="1"/>
  <c r="F414" i="27"/>
  <c r="J782" i="70"/>
  <c r="T414" i="27" s="1"/>
  <c r="F399" i="27"/>
  <c r="J767" i="70"/>
  <c r="T399" i="27" s="1"/>
  <c r="F444" i="27"/>
  <c r="J812" i="70"/>
  <c r="T444" i="27" s="1"/>
  <c r="F429" i="27"/>
  <c r="J797" i="70"/>
  <c r="T429" i="27" s="1"/>
  <c r="F459" i="27"/>
  <c r="J827" i="70"/>
  <c r="T459" i="27" s="1"/>
  <c r="F226" i="27"/>
  <c r="J594" i="70"/>
  <c r="T226" i="27" s="1"/>
  <c r="F241" i="27"/>
  <c r="J609" i="70"/>
  <c r="T241" i="27" s="1"/>
  <c r="F225" i="27"/>
  <c r="J593" i="70"/>
  <c r="T225" i="27" s="1"/>
  <c r="F240" i="27"/>
  <c r="J608" i="70"/>
  <c r="T240" i="27" s="1"/>
  <c r="F224" i="27"/>
  <c r="J592" i="70"/>
  <c r="T224" i="27" s="1"/>
  <c r="F239" i="27"/>
  <c r="J607" i="70"/>
  <c r="T239" i="27" s="1"/>
  <c r="F223" i="27"/>
  <c r="J591" i="70"/>
  <c r="T223" i="27" s="1"/>
  <c r="F238" i="27"/>
  <c r="J606" i="70"/>
  <c r="T238" i="27" s="1"/>
  <c r="F106" i="27"/>
  <c r="J472" i="70"/>
  <c r="T106" i="27" s="1"/>
  <c r="F121" i="27"/>
  <c r="J487" i="70"/>
  <c r="T121" i="27" s="1"/>
  <c r="F136" i="27"/>
  <c r="J502" i="70"/>
  <c r="T136" i="27" s="1"/>
  <c r="F151" i="27"/>
  <c r="J517" i="70"/>
  <c r="T151" i="27" s="1"/>
  <c r="F166" i="27"/>
  <c r="J532" i="70"/>
  <c r="T166" i="27" s="1"/>
  <c r="F181" i="27"/>
  <c r="J547" i="70"/>
  <c r="T181" i="27" s="1"/>
  <c r="F196" i="27"/>
  <c r="J562" i="70"/>
  <c r="T196" i="27" s="1"/>
  <c r="F105" i="27"/>
  <c r="J471" i="70"/>
  <c r="T105" i="27" s="1"/>
  <c r="F120" i="27"/>
  <c r="J486" i="70"/>
  <c r="T120" i="27" s="1"/>
  <c r="F135" i="27"/>
  <c r="J501" i="70"/>
  <c r="T135" i="27" s="1"/>
  <c r="F150" i="27"/>
  <c r="J516" i="70"/>
  <c r="T150" i="27" s="1"/>
  <c r="F165" i="27"/>
  <c r="J531" i="70"/>
  <c r="T165" i="27" s="1"/>
  <c r="F180" i="27"/>
  <c r="J546" i="70"/>
  <c r="T180" i="27" s="1"/>
  <c r="F195" i="27"/>
  <c r="J561" i="70"/>
  <c r="T195" i="27" s="1"/>
  <c r="F104" i="27"/>
  <c r="J470" i="70"/>
  <c r="T104" i="27" s="1"/>
  <c r="F119" i="27"/>
  <c r="J485" i="70"/>
  <c r="T119" i="27" s="1"/>
  <c r="F134" i="27"/>
  <c r="J500" i="70"/>
  <c r="T134" i="27" s="1"/>
  <c r="F149" i="27"/>
  <c r="J515" i="70"/>
  <c r="T149" i="27" s="1"/>
  <c r="F164" i="27"/>
  <c r="J530" i="70"/>
  <c r="T164" i="27" s="1"/>
  <c r="F179" i="27"/>
  <c r="J545" i="70"/>
  <c r="T179" i="27" s="1"/>
  <c r="F194" i="27"/>
  <c r="J560" i="70"/>
  <c r="T194" i="27" s="1"/>
  <c r="F88" i="27"/>
  <c r="J454" i="70"/>
  <c r="T88" i="27" s="1"/>
  <c r="F103" i="27"/>
  <c r="J469" i="70"/>
  <c r="T103" i="27" s="1"/>
  <c r="F118" i="27"/>
  <c r="J484" i="70"/>
  <c r="T118" i="27" s="1"/>
  <c r="F133" i="27"/>
  <c r="J499" i="70"/>
  <c r="T133" i="27" s="1"/>
  <c r="F148" i="27"/>
  <c r="J514" i="70"/>
  <c r="T148" i="27" s="1"/>
  <c r="F163" i="27"/>
  <c r="J529" i="70"/>
  <c r="T163" i="27" s="1"/>
  <c r="F178" i="27"/>
  <c r="J544" i="70"/>
  <c r="T178" i="27" s="1"/>
  <c r="F193" i="27"/>
  <c r="J559" i="70"/>
  <c r="T193" i="27" s="1"/>
  <c r="L109" i="71"/>
  <c r="L118" i="71"/>
  <c r="L119" i="71"/>
  <c r="L108" i="71"/>
  <c r="L129" i="71"/>
  <c r="L110" i="71"/>
  <c r="L132" i="71"/>
  <c r="L131" i="71"/>
  <c r="L130" i="71"/>
  <c r="L128" i="71"/>
  <c r="L121" i="71"/>
  <c r="L122" i="71"/>
  <c r="L120" i="71"/>
  <c r="L111" i="71"/>
  <c r="L112" i="71"/>
  <c r="C760" i="95"/>
  <c r="C243" i="95"/>
  <c r="C1525" i="95"/>
  <c r="C1321" i="95"/>
  <c r="E414" i="70"/>
  <c r="E424" i="70" s="1"/>
  <c r="M414" i="70"/>
  <c r="L415" i="70"/>
  <c r="L416" i="70" s="1"/>
  <c r="L417" i="70" s="1"/>
  <c r="L418" i="70" s="1"/>
  <c r="L419" i="70" s="1"/>
  <c r="L420" i="70" s="1"/>
  <c r="L421" i="70" s="1"/>
  <c r="E421" i="70" s="1"/>
  <c r="E431" i="70" s="1"/>
  <c r="A317" i="70"/>
  <c r="A318" i="70" s="1"/>
  <c r="F319" i="70" s="1"/>
  <c r="M416" i="70" l="1"/>
  <c r="M419" i="70"/>
  <c r="M415" i="70"/>
  <c r="E416" i="70"/>
  <c r="E426" i="70" s="1"/>
  <c r="M418" i="70"/>
  <c r="E415" i="70"/>
  <c r="E425" i="70" s="1"/>
  <c r="M421" i="70"/>
  <c r="E417" i="70"/>
  <c r="E427" i="70" s="1"/>
  <c r="M417" i="70"/>
  <c r="E420" i="70"/>
  <c r="E430" i="70" s="1"/>
  <c r="E418" i="70"/>
  <c r="E428" i="70" s="1"/>
  <c r="M420" i="70"/>
  <c r="E419" i="70"/>
  <c r="E429" i="70" s="1"/>
  <c r="C1526" i="95"/>
  <c r="C244" i="95"/>
  <c r="C761" i="95"/>
  <c r="C1322" i="95"/>
  <c r="A320" i="70"/>
  <c r="A323" i="70" s="1"/>
  <c r="A326" i="70" s="1"/>
  <c r="Z1145" i="63"/>
  <c r="Z1144" i="63"/>
  <c r="Z1143" i="63"/>
  <c r="Z1142" i="63"/>
  <c r="Z1141" i="63"/>
  <c r="Z1140" i="63"/>
  <c r="Y1145" i="63"/>
  <c r="Y1144" i="63"/>
  <c r="Y1143" i="63"/>
  <c r="Y1142" i="63"/>
  <c r="Y1141" i="63"/>
  <c r="Y1140" i="63"/>
  <c r="C245" i="95" l="1"/>
  <c r="C1527" i="95"/>
  <c r="C762" i="95"/>
  <c r="C1323" i="95"/>
  <c r="A329" i="70"/>
  <c r="C763" i="95" l="1"/>
  <c r="C1324" i="95"/>
  <c r="C1528" i="95"/>
  <c r="A332" i="70"/>
  <c r="C1529" i="95" l="1"/>
  <c r="C764" i="95"/>
  <c r="C1325" i="95"/>
  <c r="A335" i="70"/>
  <c r="A338" i="70" l="1"/>
  <c r="A336" i="70"/>
  <c r="C765" i="95"/>
  <c r="C1326" i="95"/>
  <c r="C1530" i="95"/>
  <c r="A132" i="61" l="1"/>
  <c r="F337" i="70"/>
  <c r="M132" i="61" s="1"/>
  <c r="A341" i="70"/>
  <c r="A339" i="70"/>
  <c r="F340" i="70" s="1"/>
  <c r="M134" i="61" s="1"/>
  <c r="C1531" i="95"/>
  <c r="C1327" i="95"/>
  <c r="C766" i="95"/>
  <c r="J176" i="70"/>
  <c r="K180" i="70"/>
  <c r="E103" i="71" s="1"/>
  <c r="K163" i="70"/>
  <c r="E93" i="71" s="1"/>
  <c r="J159" i="70"/>
  <c r="J142" i="70"/>
  <c r="K146" i="70"/>
  <c r="E83" i="71" s="1"/>
  <c r="K129" i="70"/>
  <c r="E73" i="71" s="1"/>
  <c r="J125" i="70"/>
  <c r="K112" i="70"/>
  <c r="E63" i="71" s="1"/>
  <c r="J108" i="70"/>
  <c r="AI947" i="63"/>
  <c r="AI949" i="63" s="1"/>
  <c r="AI951" i="63" s="1"/>
  <c r="AI953" i="63" s="1"/>
  <c r="AI955" i="63" s="1"/>
  <c r="AI957" i="63" s="1"/>
  <c r="AI959" i="63" s="1"/>
  <c r="AI961" i="63" s="1"/>
  <c r="AI963" i="63" s="1"/>
  <c r="J91" i="70"/>
  <c r="J74" i="70"/>
  <c r="W186" i="70"/>
  <c r="W187" i="70" s="1"/>
  <c r="W188" i="70" s="1"/>
  <c r="W189" i="70" s="1"/>
  <c r="AS184" i="70"/>
  <c r="AS183" i="70"/>
  <c r="AS182" i="70"/>
  <c r="AS181" i="70"/>
  <c r="R181" i="70"/>
  <c r="S181" i="70" s="1"/>
  <c r="AS180" i="70"/>
  <c r="AW179" i="70"/>
  <c r="AW181" i="70" s="1"/>
  <c r="AS179" i="70"/>
  <c r="W169" i="70"/>
  <c r="W170" i="70" s="1"/>
  <c r="W171" i="70" s="1"/>
  <c r="W172" i="70" s="1"/>
  <c r="AS167" i="70"/>
  <c r="AS166" i="70"/>
  <c r="AS165" i="70"/>
  <c r="AS164" i="70"/>
  <c r="R164" i="70"/>
  <c r="S164" i="70" s="1"/>
  <c r="AS163" i="70"/>
  <c r="AW162" i="70"/>
  <c r="AW164" i="70" s="1"/>
  <c r="AS162" i="70"/>
  <c r="W152" i="70"/>
  <c r="W153" i="70" s="1"/>
  <c r="W154" i="70" s="1"/>
  <c r="W155" i="70" s="1"/>
  <c r="AS150" i="70"/>
  <c r="AS149" i="70"/>
  <c r="AS148" i="70"/>
  <c r="AS147" i="70"/>
  <c r="R147" i="70"/>
  <c r="S147" i="70" s="1"/>
  <c r="AS146" i="70"/>
  <c r="AW145" i="70"/>
  <c r="AS145" i="70"/>
  <c r="W135" i="70"/>
  <c r="W136" i="70" s="1"/>
  <c r="W137" i="70" s="1"/>
  <c r="W138" i="70" s="1"/>
  <c r="AS133" i="70"/>
  <c r="AS132" i="70"/>
  <c r="AS131" i="70"/>
  <c r="AS130" i="70"/>
  <c r="R130" i="70"/>
  <c r="S130" i="70" s="1"/>
  <c r="AS129" i="70"/>
  <c r="AW128" i="70"/>
  <c r="AS128" i="70"/>
  <c r="W118" i="70"/>
  <c r="W119" i="70" s="1"/>
  <c r="W120" i="70" s="1"/>
  <c r="W121" i="70" s="1"/>
  <c r="AS116" i="70"/>
  <c r="AS115" i="70"/>
  <c r="AS114" i="70"/>
  <c r="AS113" i="70"/>
  <c r="R113" i="70"/>
  <c r="S113" i="70" s="1"/>
  <c r="AS112" i="70"/>
  <c r="T112" i="70"/>
  <c r="AW111" i="70"/>
  <c r="AW113" i="70" s="1"/>
  <c r="AS111" i="70"/>
  <c r="W101" i="70"/>
  <c r="W102" i="70" s="1"/>
  <c r="W103" i="70" s="1"/>
  <c r="W104" i="70" s="1"/>
  <c r="AS99" i="70"/>
  <c r="AS98" i="70"/>
  <c r="AS97" i="70"/>
  <c r="AS96" i="70"/>
  <c r="R96" i="70"/>
  <c r="AS95" i="70"/>
  <c r="T95" i="70"/>
  <c r="AW94" i="70"/>
  <c r="AS94" i="70"/>
  <c r="W84" i="70"/>
  <c r="W85" i="70" s="1"/>
  <c r="W86" i="70" s="1"/>
  <c r="W87" i="70" s="1"/>
  <c r="AS82" i="70"/>
  <c r="AS81" i="70"/>
  <c r="AS80" i="70"/>
  <c r="AS79" i="70"/>
  <c r="R79" i="70"/>
  <c r="AS78" i="70"/>
  <c r="T78" i="70"/>
  <c r="AW77" i="70"/>
  <c r="AS77" i="70"/>
  <c r="W67" i="70"/>
  <c r="W68" i="70" s="1"/>
  <c r="W69" i="70" s="1"/>
  <c r="W70" i="70" s="1"/>
  <c r="R62" i="70"/>
  <c r="S62" i="70" s="1"/>
  <c r="J57" i="70"/>
  <c r="AB44" i="70"/>
  <c r="AS65" i="70"/>
  <c r="AS64" i="70"/>
  <c r="AS63" i="70"/>
  <c r="AS62" i="70"/>
  <c r="AS61" i="70"/>
  <c r="AW60" i="70"/>
  <c r="AW62" i="70" s="1"/>
  <c r="AS60" i="70"/>
  <c r="Z61" i="70"/>
  <c r="Z78" i="70" s="1"/>
  <c r="Z79" i="70" s="1"/>
  <c r="Z45" i="70"/>
  <c r="Z46" i="70" s="1"/>
  <c r="Z47" i="70" s="1"/>
  <c r="Z48" i="70" s="1"/>
  <c r="Z49" i="70" s="1"/>
  <c r="Z50" i="70" s="1"/>
  <c r="Z51" i="70" s="1"/>
  <c r="Z52" i="70" s="1"/>
  <c r="Z53" i="70" s="1"/>
  <c r="Z54" i="70" s="1"/>
  <c r="Z55" i="70" s="1"/>
  <c r="Z56" i="70" s="1"/>
  <c r="Z57" i="70" s="1"/>
  <c r="J40" i="70"/>
  <c r="K47" i="70"/>
  <c r="K64" i="70" s="1"/>
  <c r="K81" i="70" s="1"/>
  <c r="K98" i="70" s="1"/>
  <c r="K115" i="70" s="1"/>
  <c r="K132" i="70" s="1"/>
  <c r="K149" i="70" s="1"/>
  <c r="K166" i="70" s="1"/>
  <c r="K183" i="70" s="1"/>
  <c r="AI946" i="63"/>
  <c r="AL946" i="63" s="1"/>
  <c r="K44" i="70" s="1"/>
  <c r="E23" i="71" s="1"/>
  <c r="AL944" i="63"/>
  <c r="AK944" i="63"/>
  <c r="AJ944" i="63"/>
  <c r="AL940" i="63"/>
  <c r="AJ942" i="63"/>
  <c r="L1056" i="63"/>
  <c r="L1055" i="63"/>
  <c r="L1054" i="63"/>
  <c r="A342" i="70" l="1"/>
  <c r="A42" i="2"/>
  <c r="A134" i="61"/>
  <c r="A344" i="70"/>
  <c r="K200" i="70"/>
  <c r="K217" i="70" s="1"/>
  <c r="K234" i="70" s="1"/>
  <c r="K251" i="70" s="1"/>
  <c r="K268" i="70" s="1"/>
  <c r="K265" i="70" s="1"/>
  <c r="E153" i="71" s="1"/>
  <c r="AJ945" i="63"/>
  <c r="K27" i="70"/>
  <c r="E13" i="71" s="1"/>
  <c r="R80" i="70"/>
  <c r="S80" i="70" s="1"/>
  <c r="S79" i="70"/>
  <c r="R97" i="70"/>
  <c r="S96" i="70"/>
  <c r="T96" i="70" s="1"/>
  <c r="C1532" i="95"/>
  <c r="C767" i="95"/>
  <c r="C1328" i="95"/>
  <c r="Z62" i="70"/>
  <c r="Z63" i="70" s="1"/>
  <c r="Z64" i="70" s="1"/>
  <c r="Z65" i="70" s="1"/>
  <c r="Z66" i="70" s="1"/>
  <c r="Z67" i="70" s="1"/>
  <c r="Z68" i="70" s="1"/>
  <c r="Z69" i="70" s="1"/>
  <c r="Z70" i="70" s="1"/>
  <c r="Z71" i="70" s="1"/>
  <c r="Z72" i="70" s="1"/>
  <c r="Z73" i="70" s="1"/>
  <c r="Z74" i="70" s="1"/>
  <c r="R131" i="70"/>
  <c r="T113" i="70"/>
  <c r="AW147" i="70"/>
  <c r="Z95" i="70"/>
  <c r="Z96" i="70" s="1"/>
  <c r="Z97" i="70" s="1"/>
  <c r="AW148" i="70"/>
  <c r="AW150" i="70" s="1"/>
  <c r="R114" i="70"/>
  <c r="AW79" i="70"/>
  <c r="R148" i="70"/>
  <c r="R165" i="70"/>
  <c r="R182" i="70"/>
  <c r="AW182" i="70"/>
  <c r="AW184" i="70" s="1"/>
  <c r="R63" i="70"/>
  <c r="S63" i="70" s="1"/>
  <c r="AW131" i="70"/>
  <c r="AW133" i="70" s="1"/>
  <c r="AW165" i="70"/>
  <c r="AW167" i="70" s="1"/>
  <c r="T146" i="70"/>
  <c r="T147" i="70" s="1"/>
  <c r="AW130" i="70"/>
  <c r="AW114" i="70"/>
  <c r="AW116" i="70" s="1"/>
  <c r="AI948" i="63"/>
  <c r="AI950" i="63" s="1"/>
  <c r="AJ946" i="63"/>
  <c r="AK946" i="63"/>
  <c r="AW96" i="70"/>
  <c r="AW97" i="70"/>
  <c r="AW99" i="70" s="1"/>
  <c r="T180" i="70"/>
  <c r="T181" i="70" s="1"/>
  <c r="T163" i="70"/>
  <c r="T129" i="70"/>
  <c r="Z80" i="70"/>
  <c r="U78" i="70"/>
  <c r="Q78" i="70" s="1"/>
  <c r="AW80" i="70"/>
  <c r="T61" i="70"/>
  <c r="U61" i="70" s="1"/>
  <c r="Q61" i="70" s="1"/>
  <c r="B61" i="70" s="1"/>
  <c r="R64" i="70"/>
  <c r="S64" i="70" s="1"/>
  <c r="AW63" i="70"/>
  <c r="AW65" i="70" s="1"/>
  <c r="R81" i="70" l="1"/>
  <c r="S81" i="70" s="1"/>
  <c r="C1042" i="70"/>
  <c r="J1042" i="70" s="1"/>
  <c r="T675" i="27" s="1"/>
  <c r="F343" i="70"/>
  <c r="M136" i="61" s="1"/>
  <c r="A347" i="70"/>
  <c r="A345" i="70"/>
  <c r="F346" i="70" s="1"/>
  <c r="M138" i="61" s="1"/>
  <c r="C989" i="70"/>
  <c r="C1027" i="70"/>
  <c r="J1027" i="70" s="1"/>
  <c r="T660" i="27" s="1"/>
  <c r="E694" i="70"/>
  <c r="G694" i="70" s="1"/>
  <c r="E732" i="70"/>
  <c r="E400" i="70"/>
  <c r="G400" i="70" s="1"/>
  <c r="E656" i="70"/>
  <c r="A43" i="2"/>
  <c r="A136" i="61"/>
  <c r="A44" i="2"/>
  <c r="M127" i="70"/>
  <c r="R183" i="70"/>
  <c r="S182" i="70"/>
  <c r="R166" i="70"/>
  <c r="S165" i="70"/>
  <c r="R149" i="70"/>
  <c r="S148" i="70"/>
  <c r="T148" i="70" s="1"/>
  <c r="R115" i="70"/>
  <c r="S114" i="70"/>
  <c r="T114" i="70" s="1"/>
  <c r="R132" i="70"/>
  <c r="S131" i="70"/>
  <c r="R98" i="70"/>
  <c r="S97" i="70"/>
  <c r="T97" i="70" s="1"/>
  <c r="U97" i="70" s="1"/>
  <c r="Q97" i="70" s="1"/>
  <c r="C1533" i="95"/>
  <c r="C1329" i="95"/>
  <c r="C768" i="95"/>
  <c r="AW82" i="70"/>
  <c r="M76" i="70"/>
  <c r="AI952" i="63"/>
  <c r="AJ950" i="63"/>
  <c r="M93" i="70"/>
  <c r="M161" i="70"/>
  <c r="M144" i="70"/>
  <c r="U96" i="70"/>
  <c r="Q96" i="70" s="1"/>
  <c r="B96" i="70" s="1"/>
  <c r="U95" i="70"/>
  <c r="Q95" i="70" s="1"/>
  <c r="B95" i="70" s="1"/>
  <c r="Z112" i="70"/>
  <c r="U112" i="70" s="1"/>
  <c r="Q112" i="70" s="1"/>
  <c r="B112" i="70" s="1"/>
  <c r="T62" i="70"/>
  <c r="U62" i="70" s="1"/>
  <c r="Q62" i="70" s="1"/>
  <c r="B62" i="70" s="1"/>
  <c r="M110" i="70"/>
  <c r="M178" i="70"/>
  <c r="Q16" i="2" s="1"/>
  <c r="T164" i="70"/>
  <c r="T63" i="70"/>
  <c r="U63" i="70" s="1"/>
  <c r="Q63" i="70" s="1"/>
  <c r="B63" i="70" s="1"/>
  <c r="T130" i="70"/>
  <c r="AJ947" i="63"/>
  <c r="AL948" i="63"/>
  <c r="AJ948" i="63"/>
  <c r="AK948" i="63"/>
  <c r="AL950" i="63"/>
  <c r="AJ951" i="63" s="1"/>
  <c r="AK950" i="63"/>
  <c r="B78" i="70"/>
  <c r="T182" i="70"/>
  <c r="T165" i="70"/>
  <c r="Z98" i="70"/>
  <c r="Z81" i="70"/>
  <c r="R82" i="70"/>
  <c r="S82" i="70" s="1"/>
  <c r="T79" i="70"/>
  <c r="U79" i="70" s="1"/>
  <c r="Q79" i="70" s="1"/>
  <c r="R65" i="70"/>
  <c r="S65" i="70" s="1"/>
  <c r="I1042" i="70" l="1"/>
  <c r="L675" i="27" s="1"/>
  <c r="G1042" i="70"/>
  <c r="F1042" i="70" s="1"/>
  <c r="C675" i="27"/>
  <c r="G989" i="70"/>
  <c r="I622" i="27" s="1"/>
  <c r="J989" i="70"/>
  <c r="T622" i="27" s="1"/>
  <c r="Z113" i="70"/>
  <c r="C622" i="27"/>
  <c r="C1043" i="70"/>
  <c r="J1043" i="70" s="1"/>
  <c r="T676" i="27" s="1"/>
  <c r="C990" i="70"/>
  <c r="J990" i="70" s="1"/>
  <c r="T623" i="27" s="1"/>
  <c r="E695" i="70"/>
  <c r="C1028" i="70"/>
  <c r="J1028" i="70" s="1"/>
  <c r="T661" i="27" s="1"/>
  <c r="E733" i="70"/>
  <c r="A138" i="61"/>
  <c r="A45" i="2"/>
  <c r="E401" i="70"/>
  <c r="E657" i="70"/>
  <c r="A350" i="70"/>
  <c r="A348" i="70"/>
  <c r="F349" i="70" s="1"/>
  <c r="M140" i="61" s="1"/>
  <c r="H400" i="70"/>
  <c r="L34" i="27" s="1"/>
  <c r="I989" i="70"/>
  <c r="L622" i="27" s="1"/>
  <c r="I694" i="70"/>
  <c r="L326" i="27" s="1"/>
  <c r="C660" i="27"/>
  <c r="G1027" i="70"/>
  <c r="I1027" i="70"/>
  <c r="L660" i="27" s="1"/>
  <c r="G732" i="70"/>
  <c r="I732" i="70"/>
  <c r="L364" i="27" s="1"/>
  <c r="F694" i="70"/>
  <c r="G656" i="70"/>
  <c r="I656" i="70"/>
  <c r="L288" i="27" s="1"/>
  <c r="F400" i="70"/>
  <c r="I34" i="27"/>
  <c r="J16" i="19"/>
  <c r="S32" i="66"/>
  <c r="S98" i="70"/>
  <c r="T98" i="70" s="1"/>
  <c r="U98" i="70" s="1"/>
  <c r="Q98" i="70" s="1"/>
  <c r="B98" i="70" s="1"/>
  <c r="R99" i="70"/>
  <c r="S132" i="70"/>
  <c r="R133" i="70"/>
  <c r="S115" i="70"/>
  <c r="T115" i="70" s="1"/>
  <c r="R116" i="70"/>
  <c r="S149" i="70"/>
  <c r="T149" i="70" s="1"/>
  <c r="R150" i="70"/>
  <c r="S166" i="70"/>
  <c r="T166" i="70" s="1"/>
  <c r="R167" i="70"/>
  <c r="R184" i="70"/>
  <c r="S183" i="70"/>
  <c r="T183" i="70" s="1"/>
  <c r="C769" i="95"/>
  <c r="C1534" i="95"/>
  <c r="C1330" i="95"/>
  <c r="T131" i="70"/>
  <c r="AL952" i="63"/>
  <c r="AI954" i="63"/>
  <c r="AK952" i="63"/>
  <c r="AJ952" i="63"/>
  <c r="AJ953" i="63"/>
  <c r="T80" i="70"/>
  <c r="U80" i="70" s="1"/>
  <c r="Q80" i="70" s="1"/>
  <c r="B80" i="70" s="1"/>
  <c r="Z129" i="70"/>
  <c r="U129" i="70" s="1"/>
  <c r="Q129" i="70" s="1"/>
  <c r="B129" i="70" s="1"/>
  <c r="Z114" i="70"/>
  <c r="Z115" i="70" s="1"/>
  <c r="Z116" i="70" s="1"/>
  <c r="Z117" i="70" s="1"/>
  <c r="U113" i="70"/>
  <c r="Q113" i="70" s="1"/>
  <c r="B113" i="70" s="1"/>
  <c r="AJ949" i="63"/>
  <c r="B97" i="70"/>
  <c r="B79" i="70"/>
  <c r="Z99" i="70"/>
  <c r="R83" i="70"/>
  <c r="S83" i="70" s="1"/>
  <c r="Z82" i="70"/>
  <c r="R66" i="70"/>
  <c r="S66" i="70" s="1"/>
  <c r="T64" i="70"/>
  <c r="U64" i="70" s="1"/>
  <c r="Q64" i="70" s="1"/>
  <c r="I675" i="27" l="1"/>
  <c r="T132" i="70"/>
  <c r="F326" i="27"/>
  <c r="J694" i="70"/>
  <c r="T326" i="27" s="1"/>
  <c r="F34" i="27"/>
  <c r="J400" i="70"/>
  <c r="T34" i="27" s="1"/>
  <c r="G401" i="70"/>
  <c r="H401" i="70"/>
  <c r="L35" i="27" s="1"/>
  <c r="G733" i="70"/>
  <c r="I733" i="70"/>
  <c r="L365" i="27" s="1"/>
  <c r="G1028" i="70"/>
  <c r="C661" i="27"/>
  <c r="I1028" i="70"/>
  <c r="L661" i="27" s="1"/>
  <c r="C1044" i="70"/>
  <c r="J1044" i="70" s="1"/>
  <c r="T677" i="27" s="1"/>
  <c r="E658" i="70"/>
  <c r="C991" i="70"/>
  <c r="J991" i="70" s="1"/>
  <c r="T624" i="27" s="1"/>
  <c r="E696" i="70"/>
  <c r="C1029" i="70"/>
  <c r="J1029" i="70" s="1"/>
  <c r="T662" i="27" s="1"/>
  <c r="E734" i="70"/>
  <c r="A140" i="61"/>
  <c r="E402" i="70"/>
  <c r="G695" i="70"/>
  <c r="I695" i="70"/>
  <c r="L327" i="27" s="1"/>
  <c r="A353" i="70"/>
  <c r="A354" i="70" s="1"/>
  <c r="F355" i="70" s="1"/>
  <c r="A351" i="70"/>
  <c r="F352" i="70" s="1"/>
  <c r="C623" i="27"/>
  <c r="I990" i="70"/>
  <c r="L623" i="27" s="1"/>
  <c r="G990" i="70"/>
  <c r="I623" i="27" s="1"/>
  <c r="G657" i="70"/>
  <c r="I657" i="70"/>
  <c r="L289" i="27" s="1"/>
  <c r="C676" i="27"/>
  <c r="G1043" i="70"/>
  <c r="I1043" i="70"/>
  <c r="L676" i="27" s="1"/>
  <c r="F675" i="27"/>
  <c r="H1042" i="70"/>
  <c r="J675" i="27" s="1"/>
  <c r="F1027" i="70"/>
  <c r="I660" i="27"/>
  <c r="F732" i="70"/>
  <c r="F656" i="70"/>
  <c r="T81" i="70"/>
  <c r="U81" i="70" s="1"/>
  <c r="Q81" i="70" s="1"/>
  <c r="B81" i="70" s="1"/>
  <c r="Z146" i="70"/>
  <c r="Z147" i="70" s="1"/>
  <c r="S184" i="70"/>
  <c r="T184" i="70" s="1"/>
  <c r="R185" i="70"/>
  <c r="S167" i="70"/>
  <c r="T167" i="70" s="1"/>
  <c r="R168" i="70"/>
  <c r="S150" i="70"/>
  <c r="T150" i="70" s="1"/>
  <c r="R151" i="70"/>
  <c r="S116" i="70"/>
  <c r="T116" i="70" s="1"/>
  <c r="U116" i="70" s="1"/>
  <c r="Q116" i="70" s="1"/>
  <c r="B116" i="70" s="1"/>
  <c r="R117" i="70"/>
  <c r="S133" i="70"/>
  <c r="T133" i="70" s="1"/>
  <c r="R134" i="70"/>
  <c r="S99" i="70"/>
  <c r="T99" i="70" s="1"/>
  <c r="R100" i="70"/>
  <c r="C1331" i="95"/>
  <c r="C1535" i="95"/>
  <c r="C770" i="95"/>
  <c r="AJ955" i="63"/>
  <c r="AI956" i="63"/>
  <c r="AK954" i="63"/>
  <c r="AL954" i="63"/>
  <c r="AJ954" i="63"/>
  <c r="U115" i="70"/>
  <c r="Q115" i="70" s="1"/>
  <c r="B115" i="70" s="1"/>
  <c r="Z130" i="70"/>
  <c r="Z131" i="70" s="1"/>
  <c r="Z132" i="70" s="1"/>
  <c r="Z133" i="70" s="1"/>
  <c r="U146" i="70"/>
  <c r="Q146" i="70" s="1"/>
  <c r="B146" i="70" s="1"/>
  <c r="U114" i="70"/>
  <c r="Q114" i="70" s="1"/>
  <c r="B114" i="70" s="1"/>
  <c r="Z118" i="70"/>
  <c r="Z100" i="70"/>
  <c r="R84" i="70"/>
  <c r="S84" i="70" s="1"/>
  <c r="Z83" i="70"/>
  <c r="B64" i="70"/>
  <c r="T65" i="70"/>
  <c r="U65" i="70" s="1"/>
  <c r="Q65" i="70" s="1"/>
  <c r="R67" i="70"/>
  <c r="S67" i="70" s="1"/>
  <c r="T82" i="70" l="1"/>
  <c r="U82" i="70" s="1"/>
  <c r="Q82" i="70" s="1"/>
  <c r="F288" i="27"/>
  <c r="J656" i="70"/>
  <c r="T288" i="27" s="1"/>
  <c r="F364" i="27"/>
  <c r="J732" i="70"/>
  <c r="T364" i="27" s="1"/>
  <c r="Z163" i="70"/>
  <c r="Z180" i="70" s="1"/>
  <c r="F657" i="70"/>
  <c r="F695" i="70"/>
  <c r="C677" i="27"/>
  <c r="G1044" i="70"/>
  <c r="I1044" i="70"/>
  <c r="L677" i="27" s="1"/>
  <c r="G402" i="70"/>
  <c r="H402" i="70"/>
  <c r="L36" i="27" s="1"/>
  <c r="I734" i="70"/>
  <c r="L366" i="27" s="1"/>
  <c r="G734" i="70"/>
  <c r="F1028" i="70"/>
  <c r="I661" i="27"/>
  <c r="C662" i="27"/>
  <c r="G1029" i="70"/>
  <c r="I1029" i="70"/>
  <c r="L662" i="27" s="1"/>
  <c r="F1043" i="70"/>
  <c r="I676" i="27"/>
  <c r="G696" i="70"/>
  <c r="I696" i="70"/>
  <c r="L328" i="27" s="1"/>
  <c r="F733" i="70"/>
  <c r="A48" i="2"/>
  <c r="C1046" i="70"/>
  <c r="J1046" i="70" s="1"/>
  <c r="T679" i="27" s="1"/>
  <c r="C1031" i="70"/>
  <c r="J1031" i="70" s="1"/>
  <c r="T664" i="27" s="1"/>
  <c r="E736" i="70"/>
  <c r="E660" i="70"/>
  <c r="E698" i="70"/>
  <c r="E404" i="70"/>
  <c r="C993" i="70"/>
  <c r="J993" i="70" s="1"/>
  <c r="T626" i="27" s="1"/>
  <c r="C624" i="27"/>
  <c r="G991" i="70"/>
  <c r="I624" i="27" s="1"/>
  <c r="I991" i="70"/>
  <c r="L624" i="27" s="1"/>
  <c r="G658" i="70"/>
  <c r="I658" i="70"/>
  <c r="L290" i="27" s="1"/>
  <c r="I35" i="27"/>
  <c r="F401" i="70"/>
  <c r="F660" i="27"/>
  <c r="H1027" i="70"/>
  <c r="J660" i="27" s="1"/>
  <c r="U133" i="70"/>
  <c r="Q133" i="70" s="1"/>
  <c r="B133" i="70" s="1"/>
  <c r="U99" i="70"/>
  <c r="Q99" i="70" s="1"/>
  <c r="B99" i="70" s="1"/>
  <c r="Z134" i="70"/>
  <c r="Z135" i="70" s="1"/>
  <c r="U130" i="70"/>
  <c r="Q130" i="70" s="1"/>
  <c r="B130" i="70" s="1"/>
  <c r="S100" i="70"/>
  <c r="T100" i="70" s="1"/>
  <c r="U100" i="70" s="1"/>
  <c r="Q100" i="70" s="1"/>
  <c r="B100" i="70" s="1"/>
  <c r="R101" i="70"/>
  <c r="S134" i="70"/>
  <c r="T134" i="70" s="1"/>
  <c r="R135" i="70"/>
  <c r="S117" i="70"/>
  <c r="T117" i="70" s="1"/>
  <c r="U117" i="70" s="1"/>
  <c r="Q117" i="70" s="1"/>
  <c r="B117" i="70" s="1"/>
  <c r="R118" i="70"/>
  <c r="S151" i="70"/>
  <c r="T151" i="70" s="1"/>
  <c r="R152" i="70"/>
  <c r="S168" i="70"/>
  <c r="T168" i="70" s="1"/>
  <c r="R169" i="70"/>
  <c r="S185" i="70"/>
  <c r="T185" i="70" s="1"/>
  <c r="R186" i="70"/>
  <c r="C1536" i="95"/>
  <c r="C771" i="95"/>
  <c r="C1332" i="95"/>
  <c r="U131" i="70"/>
  <c r="Q131" i="70" s="1"/>
  <c r="B131" i="70" s="1"/>
  <c r="AJ957" i="63"/>
  <c r="AK956" i="63"/>
  <c r="AI958" i="63"/>
  <c r="AJ956" i="63"/>
  <c r="AL956" i="63"/>
  <c r="U132" i="70"/>
  <c r="Q132" i="70" s="1"/>
  <c r="B132" i="70" s="1"/>
  <c r="Z164" i="70"/>
  <c r="U163" i="70"/>
  <c r="Q163" i="70" s="1"/>
  <c r="B163" i="70" s="1"/>
  <c r="Z148" i="70"/>
  <c r="U147" i="70"/>
  <c r="Q147" i="70" s="1"/>
  <c r="B147" i="70" s="1"/>
  <c r="B82" i="70"/>
  <c r="Z119" i="70"/>
  <c r="Z101" i="70"/>
  <c r="T83" i="70"/>
  <c r="U83" i="70" s="1"/>
  <c r="Q83" i="70" s="1"/>
  <c r="R85" i="70"/>
  <c r="S85" i="70" s="1"/>
  <c r="Z84" i="70"/>
  <c r="B65" i="70"/>
  <c r="R68" i="70"/>
  <c r="S68" i="70" s="1"/>
  <c r="T66" i="70"/>
  <c r="U66" i="70" s="1"/>
  <c r="Q66" i="70" s="1"/>
  <c r="B1054" i="70"/>
  <c r="B1053" i="70"/>
  <c r="B1052" i="70"/>
  <c r="B1051" i="70"/>
  <c r="B1050" i="70"/>
  <c r="B1049" i="70"/>
  <c r="B1048" i="70"/>
  <c r="B1047" i="70"/>
  <c r="J14" i="70"/>
  <c r="F365" i="27" l="1"/>
  <c r="J733" i="70"/>
  <c r="T365" i="27" s="1"/>
  <c r="F327" i="27"/>
  <c r="J695" i="70"/>
  <c r="T327" i="27" s="1"/>
  <c r="F289" i="27"/>
  <c r="J657" i="70"/>
  <c r="T289" i="27" s="1"/>
  <c r="F35" i="27"/>
  <c r="J401" i="70"/>
  <c r="T35" i="27" s="1"/>
  <c r="F402" i="70"/>
  <c r="I36" i="27"/>
  <c r="F1029" i="70"/>
  <c r="I662" i="27"/>
  <c r="U134" i="70"/>
  <c r="Q134" i="70" s="1"/>
  <c r="B134" i="70" s="1"/>
  <c r="C626" i="27"/>
  <c r="G993" i="70"/>
  <c r="I626" i="27" s="1"/>
  <c r="I993" i="70"/>
  <c r="L626" i="27" s="1"/>
  <c r="F1044" i="70"/>
  <c r="I677" i="27"/>
  <c r="C679" i="27"/>
  <c r="I1046" i="70"/>
  <c r="L679" i="27" s="1"/>
  <c r="G1046" i="70"/>
  <c r="G404" i="70"/>
  <c r="H404" i="70"/>
  <c r="L38" i="27" s="1"/>
  <c r="I698" i="70"/>
  <c r="L330" i="27" s="1"/>
  <c r="G698" i="70"/>
  <c r="F661" i="27"/>
  <c r="H1028" i="70"/>
  <c r="J661" i="27" s="1"/>
  <c r="F658" i="70"/>
  <c r="I660" i="70"/>
  <c r="L292" i="27" s="1"/>
  <c r="G660" i="70"/>
  <c r="F696" i="70"/>
  <c r="F734" i="70"/>
  <c r="G736" i="70"/>
  <c r="I736" i="70"/>
  <c r="L368" i="27" s="1"/>
  <c r="C664" i="27"/>
  <c r="I1031" i="70"/>
  <c r="L664" i="27" s="1"/>
  <c r="G1031" i="70"/>
  <c r="F676" i="27"/>
  <c r="H1043" i="70"/>
  <c r="J676" i="27" s="1"/>
  <c r="C17" i="2"/>
  <c r="AD17" i="2"/>
  <c r="W17" i="2"/>
  <c r="AR17" i="2" s="1"/>
  <c r="AF17" i="2"/>
  <c r="Z265" i="70"/>
  <c r="Z266" i="70" s="1"/>
  <c r="Z197" i="70"/>
  <c r="Z214" i="70" s="1"/>
  <c r="Z231" i="70" s="1"/>
  <c r="Z248" i="70" s="1"/>
  <c r="S186" i="70"/>
  <c r="T186" i="70" s="1"/>
  <c r="R187" i="70"/>
  <c r="S169" i="70"/>
  <c r="T169" i="70" s="1"/>
  <c r="R170" i="70"/>
  <c r="S152" i="70"/>
  <c r="T152" i="70" s="1"/>
  <c r="R153" i="70"/>
  <c r="S118" i="70"/>
  <c r="T118" i="70" s="1"/>
  <c r="U118" i="70" s="1"/>
  <c r="Q118" i="70" s="1"/>
  <c r="B118" i="70" s="1"/>
  <c r="R119" i="70"/>
  <c r="S135" i="70"/>
  <c r="T135" i="70" s="1"/>
  <c r="R136" i="70"/>
  <c r="S101" i="70"/>
  <c r="T101" i="70" s="1"/>
  <c r="U101" i="70" s="1"/>
  <c r="Q101" i="70" s="1"/>
  <c r="B101" i="70" s="1"/>
  <c r="R102" i="70"/>
  <c r="C1333" i="95"/>
  <c r="C772" i="95"/>
  <c r="C1537" i="95"/>
  <c r="AJ959" i="63"/>
  <c r="AI960" i="63"/>
  <c r="AL958" i="63"/>
  <c r="AJ958" i="63"/>
  <c r="AK958" i="63"/>
  <c r="Z149" i="70"/>
  <c r="U148" i="70"/>
  <c r="Q148" i="70" s="1"/>
  <c r="B148" i="70" s="1"/>
  <c r="Z165" i="70"/>
  <c r="U164" i="70"/>
  <c r="Q164" i="70" s="1"/>
  <c r="B164" i="70" s="1"/>
  <c r="Z181" i="70"/>
  <c r="U180" i="70"/>
  <c r="Q180" i="70" s="1"/>
  <c r="B180" i="70" s="1"/>
  <c r="B83" i="70"/>
  <c r="Z136" i="70"/>
  <c r="Z120" i="70"/>
  <c r="Z102" i="70"/>
  <c r="R86" i="70"/>
  <c r="S86" i="70" s="1"/>
  <c r="Z85" i="70"/>
  <c r="T84" i="70"/>
  <c r="U84" i="70" s="1"/>
  <c r="Q84" i="70" s="1"/>
  <c r="B66" i="70"/>
  <c r="R69" i="70"/>
  <c r="S69" i="70" s="1"/>
  <c r="T67" i="70"/>
  <c r="U67" i="70" s="1"/>
  <c r="Q67" i="70" s="1"/>
  <c r="F993" i="70"/>
  <c r="F366" i="27" l="1"/>
  <c r="J734" i="70"/>
  <c r="T366" i="27" s="1"/>
  <c r="F328" i="27"/>
  <c r="J696" i="70"/>
  <c r="T328" i="27" s="1"/>
  <c r="F290" i="27"/>
  <c r="J658" i="70"/>
  <c r="T290" i="27" s="1"/>
  <c r="F36" i="27"/>
  <c r="J402" i="70"/>
  <c r="T36" i="27" s="1"/>
  <c r="F626" i="27"/>
  <c r="H993" i="70"/>
  <c r="J626" i="27" s="1"/>
  <c r="F660" i="70"/>
  <c r="F404" i="70"/>
  <c r="I38" i="27"/>
  <c r="F1046" i="70"/>
  <c r="I679" i="27"/>
  <c r="F736" i="70"/>
  <c r="U265" i="70"/>
  <c r="Q265" i="70" s="1"/>
  <c r="A265" i="70" s="1"/>
  <c r="D220" i="60" s="1"/>
  <c r="F662" i="27"/>
  <c r="H1029" i="70"/>
  <c r="J662" i="27" s="1"/>
  <c r="F989" i="70"/>
  <c r="F990" i="70"/>
  <c r="F991" i="70"/>
  <c r="X265" i="70"/>
  <c r="F698" i="70"/>
  <c r="F677" i="27"/>
  <c r="H1044" i="70"/>
  <c r="J677" i="27" s="1"/>
  <c r="F1031" i="70"/>
  <c r="I664" i="27"/>
  <c r="F978" i="70"/>
  <c r="F998" i="70"/>
  <c r="F997" i="70"/>
  <c r="F996" i="70"/>
  <c r="F995" i="70"/>
  <c r="F994" i="70"/>
  <c r="F977" i="70"/>
  <c r="F976" i="70"/>
  <c r="F975" i="70"/>
  <c r="F974" i="70"/>
  <c r="L33" i="66"/>
  <c r="C17" i="19"/>
  <c r="AE17" i="2"/>
  <c r="AC17" i="2"/>
  <c r="F17" i="2"/>
  <c r="H17" i="2"/>
  <c r="AQ17" i="2"/>
  <c r="C18" i="2"/>
  <c r="AD18" i="2"/>
  <c r="W18" i="2"/>
  <c r="AR18" i="2" s="1"/>
  <c r="AF18" i="2"/>
  <c r="X248" i="70"/>
  <c r="Z249" i="70"/>
  <c r="U248" i="70"/>
  <c r="Q248" i="70" s="1"/>
  <c r="A248" i="70" s="1"/>
  <c r="X231" i="70"/>
  <c r="Z232" i="70"/>
  <c r="U231" i="70"/>
  <c r="Q231" i="70" s="1"/>
  <c r="X214" i="70"/>
  <c r="Z215" i="70"/>
  <c r="U214" i="70"/>
  <c r="Q214" i="70" s="1"/>
  <c r="X197" i="70"/>
  <c r="Z198" i="70"/>
  <c r="U197" i="70"/>
  <c r="Q197" i="70" s="1"/>
  <c r="U135" i="70"/>
  <c r="Q135" i="70" s="1"/>
  <c r="B135" i="70" s="1"/>
  <c r="Z267" i="70"/>
  <c r="X266" i="70"/>
  <c r="U266" i="70"/>
  <c r="Q266" i="70" s="1"/>
  <c r="S102" i="70"/>
  <c r="T102" i="70" s="1"/>
  <c r="U102" i="70" s="1"/>
  <c r="Q102" i="70" s="1"/>
  <c r="B102" i="70" s="1"/>
  <c r="R103" i="70"/>
  <c r="S136" i="70"/>
  <c r="T136" i="70" s="1"/>
  <c r="U136" i="70" s="1"/>
  <c r="Q136" i="70" s="1"/>
  <c r="B136" i="70" s="1"/>
  <c r="R137" i="70"/>
  <c r="S119" i="70"/>
  <c r="T119" i="70" s="1"/>
  <c r="U119" i="70" s="1"/>
  <c r="Q119" i="70" s="1"/>
  <c r="B119" i="70" s="1"/>
  <c r="R120" i="70"/>
  <c r="S153" i="70"/>
  <c r="T153" i="70" s="1"/>
  <c r="R154" i="70"/>
  <c r="S170" i="70"/>
  <c r="T170" i="70" s="1"/>
  <c r="R171" i="70"/>
  <c r="S187" i="70"/>
  <c r="T187" i="70" s="1"/>
  <c r="R188" i="70"/>
  <c r="C1538" i="95"/>
  <c r="C773" i="95"/>
  <c r="C1334" i="95"/>
  <c r="AJ961" i="63"/>
  <c r="AI962" i="63"/>
  <c r="AK960" i="63"/>
  <c r="AL960" i="63"/>
  <c r="AJ960" i="63"/>
  <c r="Z182" i="70"/>
  <c r="U181" i="70"/>
  <c r="Q181" i="70" s="1"/>
  <c r="B181" i="70" s="1"/>
  <c r="Z166" i="70"/>
  <c r="U165" i="70"/>
  <c r="Q165" i="70" s="1"/>
  <c r="B165" i="70" s="1"/>
  <c r="Z150" i="70"/>
  <c r="U149" i="70"/>
  <c r="Q149" i="70" s="1"/>
  <c r="B149" i="70" s="1"/>
  <c r="B84" i="70"/>
  <c r="Z137" i="70"/>
  <c r="Z121" i="70"/>
  <c r="Z103" i="70"/>
  <c r="Z86" i="70"/>
  <c r="R87" i="70"/>
  <c r="S87" i="70" s="1"/>
  <c r="T85" i="70"/>
  <c r="U85" i="70" s="1"/>
  <c r="Q85" i="70" s="1"/>
  <c r="B67" i="70"/>
  <c r="T68" i="70"/>
  <c r="U68" i="70" s="1"/>
  <c r="Q68" i="70" s="1"/>
  <c r="R70" i="70"/>
  <c r="S70" i="70" s="1"/>
  <c r="F330" i="27" l="1"/>
  <c r="J698" i="70"/>
  <c r="T330" i="27" s="1"/>
  <c r="F368" i="27"/>
  <c r="J736" i="70"/>
  <c r="T368" i="27" s="1"/>
  <c r="F292" i="27"/>
  <c r="J660" i="70"/>
  <c r="T292" i="27" s="1"/>
  <c r="F38" i="27"/>
  <c r="J404" i="70"/>
  <c r="T38" i="27" s="1"/>
  <c r="B265" i="70"/>
  <c r="F624" i="27"/>
  <c r="H991" i="70"/>
  <c r="J624" i="27" s="1"/>
  <c r="F623" i="27"/>
  <c r="H990" i="70"/>
  <c r="J623" i="27" s="1"/>
  <c r="F679" i="27"/>
  <c r="H1046" i="70"/>
  <c r="J679" i="27" s="1"/>
  <c r="F664" i="27"/>
  <c r="H1031" i="70"/>
  <c r="J664" i="27" s="1"/>
  <c r="F622" i="27"/>
  <c r="H989" i="70"/>
  <c r="J622" i="27" s="1"/>
  <c r="F630" i="27"/>
  <c r="H997" i="70"/>
  <c r="J630" i="27" s="1"/>
  <c r="F631" i="27"/>
  <c r="H998" i="70"/>
  <c r="J631" i="27" s="1"/>
  <c r="L34" i="66"/>
  <c r="C18" i="19"/>
  <c r="AG17" i="2"/>
  <c r="N33" i="66"/>
  <c r="F628" i="27"/>
  <c r="H995" i="70"/>
  <c r="J628" i="27" s="1"/>
  <c r="F627" i="27"/>
  <c r="H994" i="70"/>
  <c r="J627" i="27" s="1"/>
  <c r="F629" i="27"/>
  <c r="H996" i="70"/>
  <c r="J629" i="27" s="1"/>
  <c r="W19" i="2"/>
  <c r="AR19" i="2" s="1"/>
  <c r="C19" i="2"/>
  <c r="AF19" i="2"/>
  <c r="AD19" i="2"/>
  <c r="AE18" i="2"/>
  <c r="AC18" i="2"/>
  <c r="H18" i="2"/>
  <c r="N34" i="66" s="1"/>
  <c r="F18" i="2"/>
  <c r="AQ18" i="2"/>
  <c r="B248" i="70"/>
  <c r="D205" i="60"/>
  <c r="Z250" i="70"/>
  <c r="X249" i="70"/>
  <c r="U249" i="70"/>
  <c r="Q249" i="70" s="1"/>
  <c r="B231" i="70"/>
  <c r="A231" i="70"/>
  <c r="D190" i="60" s="1"/>
  <c r="Z233" i="70"/>
  <c r="X232" i="70"/>
  <c r="U232" i="70"/>
  <c r="Q232" i="70" s="1"/>
  <c r="B214" i="70"/>
  <c r="A214" i="70"/>
  <c r="D175" i="60" s="1"/>
  <c r="Z216" i="70"/>
  <c r="X215" i="70"/>
  <c r="U215" i="70"/>
  <c r="Q215" i="70" s="1"/>
  <c r="B197" i="70"/>
  <c r="A197" i="70"/>
  <c r="D160" i="60" s="1"/>
  <c r="X198" i="70"/>
  <c r="Z199" i="70"/>
  <c r="U198" i="70"/>
  <c r="Q198" i="70" s="1"/>
  <c r="B266" i="70"/>
  <c r="A266" i="70"/>
  <c r="D221" i="60" s="1"/>
  <c r="X267" i="70"/>
  <c r="Z268" i="70"/>
  <c r="U267" i="70"/>
  <c r="Q267" i="70" s="1"/>
  <c r="S188" i="70"/>
  <c r="T188" i="70" s="1"/>
  <c r="R189" i="70"/>
  <c r="S171" i="70"/>
  <c r="T171" i="70" s="1"/>
  <c r="R172" i="70"/>
  <c r="S154" i="70"/>
  <c r="T154" i="70" s="1"/>
  <c r="R155" i="70"/>
  <c r="S120" i="70"/>
  <c r="T120" i="70" s="1"/>
  <c r="U120" i="70" s="1"/>
  <c r="Q120" i="70" s="1"/>
  <c r="B120" i="70" s="1"/>
  <c r="R121" i="70"/>
  <c r="S137" i="70"/>
  <c r="T137" i="70" s="1"/>
  <c r="R138" i="70"/>
  <c r="S103" i="70"/>
  <c r="T103" i="70" s="1"/>
  <c r="U103" i="70" s="1"/>
  <c r="Q103" i="70" s="1"/>
  <c r="R104" i="70"/>
  <c r="C774" i="95"/>
  <c r="C1335" i="95"/>
  <c r="C1539" i="95"/>
  <c r="A301" i="70"/>
  <c r="F309" i="70" s="1"/>
  <c r="A291" i="70"/>
  <c r="F299" i="70" s="1"/>
  <c r="A281" i="70"/>
  <c r="F289" i="70" s="1"/>
  <c r="AJ963" i="63"/>
  <c r="AJ962" i="63"/>
  <c r="AK962" i="63"/>
  <c r="AL962" i="63"/>
  <c r="Z167" i="70"/>
  <c r="U166" i="70"/>
  <c r="Q166" i="70" s="1"/>
  <c r="B166" i="70" s="1"/>
  <c r="Z183" i="70"/>
  <c r="U182" i="70"/>
  <c r="Q182" i="70" s="1"/>
  <c r="B182" i="70" s="1"/>
  <c r="U150" i="70"/>
  <c r="Q150" i="70" s="1"/>
  <c r="B150" i="70" s="1"/>
  <c r="Z151" i="70"/>
  <c r="A324" i="70"/>
  <c r="F325" i="70" s="1"/>
  <c r="A321" i="70"/>
  <c r="F322" i="70" s="1"/>
  <c r="A327" i="70"/>
  <c r="F328" i="70" s="1"/>
  <c r="A330" i="70"/>
  <c r="F331" i="70" s="1"/>
  <c r="A333" i="70"/>
  <c r="C1045" i="70"/>
  <c r="J1045" i="70" s="1"/>
  <c r="T678" i="27" s="1"/>
  <c r="B85" i="70"/>
  <c r="Z138" i="70"/>
  <c r="Z122" i="70"/>
  <c r="Z104" i="70"/>
  <c r="Z87" i="70"/>
  <c r="R88" i="70"/>
  <c r="S88" i="70" s="1"/>
  <c r="T86" i="70"/>
  <c r="U86" i="70" s="1"/>
  <c r="Q86" i="70" s="1"/>
  <c r="B68" i="70"/>
  <c r="T69" i="70"/>
  <c r="U69" i="70" s="1"/>
  <c r="Q69" i="70" s="1"/>
  <c r="R71" i="70"/>
  <c r="S71" i="70" s="1"/>
  <c r="A312" i="70"/>
  <c r="F313" i="70" s="1"/>
  <c r="M112" i="61" l="1"/>
  <c r="M113" i="61"/>
  <c r="M110" i="61"/>
  <c r="M114" i="61"/>
  <c r="M111" i="61"/>
  <c r="M104" i="61"/>
  <c r="M108" i="61"/>
  <c r="M107" i="61"/>
  <c r="M105" i="61"/>
  <c r="M106" i="61"/>
  <c r="M99" i="61"/>
  <c r="M98" i="61"/>
  <c r="M100" i="61"/>
  <c r="M101" i="61"/>
  <c r="M102" i="61"/>
  <c r="A41" i="2"/>
  <c r="F334" i="70"/>
  <c r="C678" i="27"/>
  <c r="G1045" i="70"/>
  <c r="I1045" i="70"/>
  <c r="L678" i="27" s="1"/>
  <c r="C992" i="70"/>
  <c r="C1030" i="70"/>
  <c r="J1030" i="70" s="1"/>
  <c r="T663" i="27" s="1"/>
  <c r="E697" i="70"/>
  <c r="G697" i="70" s="1"/>
  <c r="E735" i="70"/>
  <c r="E403" i="70"/>
  <c r="G403" i="70" s="1"/>
  <c r="E659" i="70"/>
  <c r="A46" i="2"/>
  <c r="A142" i="61"/>
  <c r="A47" i="2"/>
  <c r="E722" i="70"/>
  <c r="E684" i="70"/>
  <c r="E646" i="70"/>
  <c r="E693" i="70"/>
  <c r="E731" i="70"/>
  <c r="E655" i="70"/>
  <c r="E654" i="70"/>
  <c r="E730" i="70"/>
  <c r="E692" i="70"/>
  <c r="E653" i="70"/>
  <c r="E729" i="70"/>
  <c r="E691" i="70"/>
  <c r="E652" i="70"/>
  <c r="E728" i="70"/>
  <c r="E690" i="70"/>
  <c r="E651" i="70"/>
  <c r="E727" i="70"/>
  <c r="E689" i="70"/>
  <c r="E649" i="70"/>
  <c r="E725" i="70"/>
  <c r="E687" i="70"/>
  <c r="E650" i="70"/>
  <c r="E726" i="70"/>
  <c r="E688" i="70"/>
  <c r="C999" i="70"/>
  <c r="E719" i="70"/>
  <c r="E681" i="70"/>
  <c r="E643" i="70"/>
  <c r="E644" i="70"/>
  <c r="E720" i="70"/>
  <c r="E682" i="70"/>
  <c r="E683" i="70"/>
  <c r="E721" i="70"/>
  <c r="E645" i="70"/>
  <c r="E648" i="70"/>
  <c r="E724" i="70"/>
  <c r="E686" i="70"/>
  <c r="E647" i="70"/>
  <c r="E723" i="70"/>
  <c r="E685" i="70"/>
  <c r="C1032" i="70"/>
  <c r="J1032" i="70" s="1"/>
  <c r="C1017" i="70"/>
  <c r="J1017" i="70" s="1"/>
  <c r="E399" i="70"/>
  <c r="C1026" i="70"/>
  <c r="J1026" i="70" s="1"/>
  <c r="C1041" i="70"/>
  <c r="J1041" i="70" s="1"/>
  <c r="C1040" i="70"/>
  <c r="J1040" i="70" s="1"/>
  <c r="C1025" i="70"/>
  <c r="J1025" i="70" s="1"/>
  <c r="C1024" i="70"/>
  <c r="J1024" i="70" s="1"/>
  <c r="C1039" i="70"/>
  <c r="J1039" i="70" s="1"/>
  <c r="C1038" i="70"/>
  <c r="J1038" i="70" s="1"/>
  <c r="C1023" i="70"/>
  <c r="J1023" i="70" s="1"/>
  <c r="C1022" i="70"/>
  <c r="J1022" i="70" s="1"/>
  <c r="C1037" i="70"/>
  <c r="J1037" i="70" s="1"/>
  <c r="C1020" i="70"/>
  <c r="J1020" i="70" s="1"/>
  <c r="C1035" i="70"/>
  <c r="J1035" i="70" s="1"/>
  <c r="C1036" i="70"/>
  <c r="J1036" i="70" s="1"/>
  <c r="C1021" i="70"/>
  <c r="J1021" i="70" s="1"/>
  <c r="E406" i="70"/>
  <c r="C1000" i="70"/>
  <c r="J1000" i="70" s="1"/>
  <c r="T633" i="27" s="1"/>
  <c r="E407" i="70"/>
  <c r="C1001" i="70"/>
  <c r="J1001" i="70" s="1"/>
  <c r="T634" i="27" s="1"/>
  <c r="C1034" i="70"/>
  <c r="J1034" i="70" s="1"/>
  <c r="C1019" i="70"/>
  <c r="J1019" i="70" s="1"/>
  <c r="C1018" i="70"/>
  <c r="J1018" i="70" s="1"/>
  <c r="C1033" i="70"/>
  <c r="J1033" i="70" s="1"/>
  <c r="E390" i="70"/>
  <c r="C979" i="70"/>
  <c r="C987" i="70"/>
  <c r="E398" i="70"/>
  <c r="C986" i="70"/>
  <c r="E397" i="70"/>
  <c r="C985" i="70"/>
  <c r="E396" i="70"/>
  <c r="C984" i="70"/>
  <c r="E395" i="70"/>
  <c r="C982" i="70"/>
  <c r="E393" i="70"/>
  <c r="C983" i="70"/>
  <c r="E394" i="70"/>
  <c r="E405" i="70"/>
  <c r="C981" i="70"/>
  <c r="E392" i="70"/>
  <c r="C980" i="70"/>
  <c r="E391" i="70"/>
  <c r="C988" i="70"/>
  <c r="L35" i="66"/>
  <c r="C19" i="19"/>
  <c r="A98" i="61"/>
  <c r="A99" i="61"/>
  <c r="A100" i="61"/>
  <c r="A101" i="61"/>
  <c r="A102" i="61"/>
  <c r="A104" i="61"/>
  <c r="A105" i="61"/>
  <c r="A106" i="61"/>
  <c r="A107" i="61"/>
  <c r="A108" i="61"/>
  <c r="A110" i="61"/>
  <c r="A111" i="61"/>
  <c r="A112" i="61"/>
  <c r="A113" i="61"/>
  <c r="A114" i="61"/>
  <c r="G221" i="60"/>
  <c r="G190" i="60"/>
  <c r="G175" i="60"/>
  <c r="G160" i="60"/>
  <c r="F19" i="2"/>
  <c r="H19" i="2"/>
  <c r="AQ19" i="2"/>
  <c r="AE19" i="2"/>
  <c r="AC19" i="2"/>
  <c r="C20" i="2"/>
  <c r="W20" i="2"/>
  <c r="AF20" i="2"/>
  <c r="AD20" i="2"/>
  <c r="AG18" i="2"/>
  <c r="B249" i="70"/>
  <c r="A249" i="70"/>
  <c r="D206" i="60" s="1"/>
  <c r="X250" i="70"/>
  <c r="Z251" i="70"/>
  <c r="U250" i="70"/>
  <c r="Q250" i="70" s="1"/>
  <c r="B232" i="70"/>
  <c r="A232" i="70"/>
  <c r="D191" i="60" s="1"/>
  <c r="X233" i="70"/>
  <c r="Z234" i="70"/>
  <c r="U233" i="70"/>
  <c r="Q233" i="70" s="1"/>
  <c r="B215" i="70"/>
  <c r="A215" i="70"/>
  <c r="D176" i="60" s="1"/>
  <c r="X216" i="70"/>
  <c r="Z217" i="70"/>
  <c r="U216" i="70"/>
  <c r="Q216" i="70" s="1"/>
  <c r="B198" i="70"/>
  <c r="A198" i="70"/>
  <c r="D161" i="60" s="1"/>
  <c r="X199" i="70"/>
  <c r="Z200" i="70"/>
  <c r="U199" i="70"/>
  <c r="Q199" i="70" s="1"/>
  <c r="U137" i="70"/>
  <c r="Q137" i="70" s="1"/>
  <c r="B137" i="70" s="1"/>
  <c r="B267" i="70"/>
  <c r="A267" i="70"/>
  <c r="D222" i="60" s="1"/>
  <c r="Z269" i="70"/>
  <c r="X268" i="70"/>
  <c r="U268" i="70"/>
  <c r="Q268" i="70" s="1"/>
  <c r="S104" i="70"/>
  <c r="T104" i="70" s="1"/>
  <c r="R105" i="70"/>
  <c r="S138" i="70"/>
  <c r="T138" i="70" s="1"/>
  <c r="R139" i="70"/>
  <c r="S121" i="70"/>
  <c r="T121" i="70" s="1"/>
  <c r="U121" i="70" s="1"/>
  <c r="Q121" i="70" s="1"/>
  <c r="B121" i="70" s="1"/>
  <c r="R122" i="70"/>
  <c r="S155" i="70"/>
  <c r="T155" i="70" s="1"/>
  <c r="R156" i="70"/>
  <c r="S172" i="70"/>
  <c r="T172" i="70" s="1"/>
  <c r="R173" i="70"/>
  <c r="S189" i="70"/>
  <c r="T189" i="70" s="1"/>
  <c r="R190" i="70"/>
  <c r="C775" i="95"/>
  <c r="C1540" i="95"/>
  <c r="C1336" i="95"/>
  <c r="A93" i="70"/>
  <c r="A76" i="70"/>
  <c r="A59" i="70"/>
  <c r="A42" i="70"/>
  <c r="U183" i="70"/>
  <c r="Q183" i="70" s="1"/>
  <c r="B183" i="70" s="1"/>
  <c r="Z184" i="70"/>
  <c r="Z168" i="70"/>
  <c r="U167" i="70"/>
  <c r="Q167" i="70" s="1"/>
  <c r="B167" i="70" s="1"/>
  <c r="Z152" i="70"/>
  <c r="U151" i="70"/>
  <c r="Q151" i="70" s="1"/>
  <c r="B151" i="70" s="1"/>
  <c r="B103" i="70"/>
  <c r="B86" i="70"/>
  <c r="Z139" i="70"/>
  <c r="Z123" i="70"/>
  <c r="Z105" i="70"/>
  <c r="T87" i="70"/>
  <c r="U87" i="70" s="1"/>
  <c r="Q87" i="70" s="1"/>
  <c r="Z88" i="70"/>
  <c r="R89" i="70"/>
  <c r="S89" i="70" s="1"/>
  <c r="B69" i="70"/>
  <c r="T70" i="70"/>
  <c r="U70" i="70" s="1"/>
  <c r="Q70" i="70" s="1"/>
  <c r="R72" i="70"/>
  <c r="S72" i="70" s="1"/>
  <c r="A110" i="70"/>
  <c r="A161" i="70"/>
  <c r="F414" i="70"/>
  <c r="J414" i="70" s="1"/>
  <c r="A127" i="70"/>
  <c r="A144" i="70"/>
  <c r="F413" i="70"/>
  <c r="J413" i="70" s="1"/>
  <c r="A178" i="70"/>
  <c r="C1011" i="70" l="1"/>
  <c r="J1011" i="70" s="1"/>
  <c r="F186" i="70"/>
  <c r="C1007" i="70"/>
  <c r="J1007" i="70" s="1"/>
  <c r="F118" i="70"/>
  <c r="C1004" i="70"/>
  <c r="J1004" i="70" s="1"/>
  <c r="F67" i="70"/>
  <c r="C1009" i="70"/>
  <c r="J1009" i="70" s="1"/>
  <c r="F152" i="70"/>
  <c r="C1005" i="70"/>
  <c r="J1005" i="70" s="1"/>
  <c r="F84" i="70"/>
  <c r="C1003" i="70"/>
  <c r="J1003" i="70" s="1"/>
  <c r="F50" i="70"/>
  <c r="C1006" i="70"/>
  <c r="J1006" i="70" s="1"/>
  <c r="F101" i="70"/>
  <c r="C1008" i="70"/>
  <c r="J1008" i="70" s="1"/>
  <c r="F135" i="70"/>
  <c r="C1010" i="70"/>
  <c r="J1010" i="70" s="1"/>
  <c r="F169" i="70"/>
  <c r="F988" i="70"/>
  <c r="J988" i="70"/>
  <c r="T621" i="27" s="1"/>
  <c r="F980" i="70"/>
  <c r="J980" i="70"/>
  <c r="F981" i="70"/>
  <c r="J981" i="70"/>
  <c r="F983" i="70"/>
  <c r="J983" i="70"/>
  <c r="F982" i="70"/>
  <c r="J982" i="70"/>
  <c r="F984" i="70"/>
  <c r="J984" i="70"/>
  <c r="F985" i="70"/>
  <c r="J985" i="70"/>
  <c r="F986" i="70"/>
  <c r="J986" i="70"/>
  <c r="F987" i="70"/>
  <c r="F620" i="27" s="1"/>
  <c r="J987" i="70"/>
  <c r="T620" i="27" s="1"/>
  <c r="F979" i="70"/>
  <c r="J979" i="70"/>
  <c r="G999" i="70"/>
  <c r="I632" i="27" s="1"/>
  <c r="J999" i="70"/>
  <c r="T632" i="27" s="1"/>
  <c r="I992" i="70"/>
  <c r="L625" i="27" s="1"/>
  <c r="J992" i="70"/>
  <c r="T625" i="27" s="1"/>
  <c r="E839" i="70"/>
  <c r="J839" i="70" s="1"/>
  <c r="F992" i="70"/>
  <c r="F625" i="27" s="1"/>
  <c r="C625" i="27"/>
  <c r="G992" i="70"/>
  <c r="I625" i="27" s="1"/>
  <c r="H403" i="70"/>
  <c r="L37" i="27" s="1"/>
  <c r="I697" i="70"/>
  <c r="L329" i="27" s="1"/>
  <c r="F1045" i="70"/>
  <c r="I678" i="27"/>
  <c r="C663" i="27"/>
  <c r="G1030" i="70"/>
  <c r="I1030" i="70"/>
  <c r="L663" i="27" s="1"/>
  <c r="G735" i="70"/>
  <c r="I735" i="70"/>
  <c r="L367" i="27" s="1"/>
  <c r="F697" i="70"/>
  <c r="G659" i="70"/>
  <c r="I659" i="70"/>
  <c r="L291" i="27" s="1"/>
  <c r="F403" i="70"/>
  <c r="I37" i="27"/>
  <c r="F999" i="70"/>
  <c r="F632" i="27" s="1"/>
  <c r="I999" i="70"/>
  <c r="L632" i="27" s="1"/>
  <c r="C632" i="27"/>
  <c r="E868" i="70"/>
  <c r="I868" i="70" s="1"/>
  <c r="C1002" i="70"/>
  <c r="J1002" i="70" s="1"/>
  <c r="G986" i="70"/>
  <c r="I986" i="70"/>
  <c r="I987" i="70"/>
  <c r="L620" i="27" s="1"/>
  <c r="G987" i="70"/>
  <c r="I620" i="27" s="1"/>
  <c r="C620" i="27"/>
  <c r="G1001" i="70"/>
  <c r="I634" i="27" s="1"/>
  <c r="I1001" i="70"/>
  <c r="L634" i="27" s="1"/>
  <c r="F1001" i="70"/>
  <c r="C634" i="27"/>
  <c r="G1000" i="70"/>
  <c r="I633" i="27" s="1"/>
  <c r="I1000" i="70"/>
  <c r="L633" i="27" s="1"/>
  <c r="F1000" i="70"/>
  <c r="C633" i="27"/>
  <c r="M1169" i="70"/>
  <c r="E877" i="70"/>
  <c r="M1167" i="70"/>
  <c r="E875" i="70"/>
  <c r="M1166" i="70"/>
  <c r="E874" i="70"/>
  <c r="M1168" i="70"/>
  <c r="E876" i="70"/>
  <c r="M1165" i="70"/>
  <c r="E873" i="70"/>
  <c r="M1161" i="70"/>
  <c r="E869" i="70"/>
  <c r="M1162" i="70"/>
  <c r="E870" i="70"/>
  <c r="M1163" i="70"/>
  <c r="E871" i="70"/>
  <c r="M1164" i="70"/>
  <c r="E872" i="70"/>
  <c r="M1160" i="70"/>
  <c r="C1048" i="70"/>
  <c r="J1048" i="70" s="1"/>
  <c r="C1049" i="70"/>
  <c r="J1049" i="70" s="1"/>
  <c r="C1050" i="70"/>
  <c r="J1050" i="70" s="1"/>
  <c r="C1051" i="70"/>
  <c r="J1051" i="70" s="1"/>
  <c r="C1052" i="70"/>
  <c r="J1052" i="70" s="1"/>
  <c r="C1053" i="70"/>
  <c r="J1053" i="70" s="1"/>
  <c r="C1054" i="70"/>
  <c r="J1054" i="70" s="1"/>
  <c r="C1055" i="70"/>
  <c r="J1055" i="70" s="1"/>
  <c r="C1056" i="70"/>
  <c r="J1056" i="70" s="1"/>
  <c r="C1057" i="70"/>
  <c r="J1057" i="70" s="1"/>
  <c r="C1047" i="70"/>
  <c r="J1047" i="70" s="1"/>
  <c r="C973" i="70"/>
  <c r="E848" i="70"/>
  <c r="J848" i="70" s="1"/>
  <c r="C971" i="70"/>
  <c r="E846" i="70"/>
  <c r="J846" i="70" s="1"/>
  <c r="C970" i="70"/>
  <c r="E845" i="70"/>
  <c r="J845" i="70" s="1"/>
  <c r="C972" i="70"/>
  <c r="E847" i="70"/>
  <c r="J847" i="70" s="1"/>
  <c r="C969" i="70"/>
  <c r="E844" i="70"/>
  <c r="J844" i="70" s="1"/>
  <c r="C964" i="70"/>
  <c r="C965" i="70"/>
  <c r="E840" i="70"/>
  <c r="J840" i="70" s="1"/>
  <c r="C966" i="70"/>
  <c r="E841" i="70"/>
  <c r="J841" i="70" s="1"/>
  <c r="C967" i="70"/>
  <c r="E842" i="70"/>
  <c r="J842" i="70" s="1"/>
  <c r="C968" i="70"/>
  <c r="E843" i="70"/>
  <c r="J843" i="70" s="1"/>
  <c r="C621" i="27"/>
  <c r="I988" i="70"/>
  <c r="L621" i="27" s="1"/>
  <c r="G988" i="70"/>
  <c r="I621" i="27" s="1"/>
  <c r="E811" i="70"/>
  <c r="E826" i="70"/>
  <c r="E809" i="70"/>
  <c r="E824" i="70"/>
  <c r="E808" i="70"/>
  <c r="E823" i="70"/>
  <c r="E810" i="70"/>
  <c r="E825" i="70"/>
  <c r="E807" i="70"/>
  <c r="E822" i="70"/>
  <c r="E802" i="70"/>
  <c r="E817" i="70"/>
  <c r="E803" i="70"/>
  <c r="E818" i="70"/>
  <c r="E804" i="70"/>
  <c r="E819" i="70"/>
  <c r="E805" i="70"/>
  <c r="E820" i="70"/>
  <c r="E806" i="70"/>
  <c r="E821" i="70"/>
  <c r="E781" i="70"/>
  <c r="E796" i="70"/>
  <c r="E779" i="70"/>
  <c r="E794" i="70"/>
  <c r="E778" i="70"/>
  <c r="E793" i="70"/>
  <c r="E780" i="70"/>
  <c r="E795" i="70"/>
  <c r="E777" i="70"/>
  <c r="E792" i="70"/>
  <c r="E772" i="70"/>
  <c r="E787" i="70"/>
  <c r="E773" i="70"/>
  <c r="E788" i="70"/>
  <c r="E774" i="70"/>
  <c r="E789" i="70"/>
  <c r="E775" i="70"/>
  <c r="E790" i="70"/>
  <c r="E776" i="70"/>
  <c r="E791" i="70"/>
  <c r="E751" i="70"/>
  <c r="E766" i="70"/>
  <c r="E749" i="70"/>
  <c r="E764" i="70"/>
  <c r="E748" i="70"/>
  <c r="E763" i="70"/>
  <c r="E750" i="70"/>
  <c r="E765" i="70"/>
  <c r="E747" i="70"/>
  <c r="E762" i="70"/>
  <c r="E742" i="70"/>
  <c r="E757" i="70"/>
  <c r="E743" i="70"/>
  <c r="E758" i="70"/>
  <c r="E744" i="70"/>
  <c r="E759" i="70"/>
  <c r="E745" i="70"/>
  <c r="E760" i="70"/>
  <c r="E746" i="70"/>
  <c r="E761" i="70"/>
  <c r="E675" i="70"/>
  <c r="E713" i="70"/>
  <c r="E673" i="70"/>
  <c r="E711" i="70"/>
  <c r="E672" i="70"/>
  <c r="E710" i="70"/>
  <c r="E674" i="70"/>
  <c r="E712" i="70"/>
  <c r="E671" i="70"/>
  <c r="E709" i="70"/>
  <c r="E666" i="70"/>
  <c r="E704" i="70"/>
  <c r="E667" i="70"/>
  <c r="E705" i="70"/>
  <c r="E668" i="70"/>
  <c r="E706" i="70"/>
  <c r="E669" i="70"/>
  <c r="E707" i="70"/>
  <c r="E670" i="70"/>
  <c r="E708" i="70"/>
  <c r="E605" i="70"/>
  <c r="E637" i="70"/>
  <c r="E603" i="70"/>
  <c r="E635" i="70"/>
  <c r="E602" i="70"/>
  <c r="E634" i="70"/>
  <c r="E604" i="70"/>
  <c r="E636" i="70"/>
  <c r="E601" i="70"/>
  <c r="E633" i="70"/>
  <c r="E596" i="70"/>
  <c r="E628" i="70"/>
  <c r="E597" i="70"/>
  <c r="E629" i="70"/>
  <c r="E598" i="70"/>
  <c r="E630" i="70"/>
  <c r="E599" i="70"/>
  <c r="E631" i="70"/>
  <c r="E600" i="70"/>
  <c r="E632" i="70"/>
  <c r="E575" i="70"/>
  <c r="E590" i="70"/>
  <c r="E573" i="70"/>
  <c r="E588" i="70"/>
  <c r="E572" i="70"/>
  <c r="E587" i="70"/>
  <c r="E574" i="70"/>
  <c r="E589" i="70"/>
  <c r="E571" i="70"/>
  <c r="E586" i="70"/>
  <c r="E566" i="70"/>
  <c r="E581" i="70"/>
  <c r="E567" i="70"/>
  <c r="E582" i="70"/>
  <c r="E568" i="70"/>
  <c r="E583" i="70"/>
  <c r="E569" i="70"/>
  <c r="E584" i="70"/>
  <c r="E570" i="70"/>
  <c r="E585" i="70"/>
  <c r="E543" i="70"/>
  <c r="E558" i="70"/>
  <c r="E541" i="70"/>
  <c r="E556" i="70"/>
  <c r="E540" i="70"/>
  <c r="E555" i="70"/>
  <c r="E542" i="70"/>
  <c r="E557" i="70"/>
  <c r="E539" i="70"/>
  <c r="E554" i="70"/>
  <c r="E534" i="70"/>
  <c r="E549" i="70"/>
  <c r="E535" i="70"/>
  <c r="E550" i="70"/>
  <c r="E536" i="70"/>
  <c r="E551" i="70"/>
  <c r="E537" i="70"/>
  <c r="E552" i="70"/>
  <c r="E538" i="70"/>
  <c r="E553" i="70"/>
  <c r="E513" i="70"/>
  <c r="E528" i="70"/>
  <c r="E511" i="70"/>
  <c r="E526" i="70"/>
  <c r="E510" i="70"/>
  <c r="E525" i="70"/>
  <c r="E512" i="70"/>
  <c r="E527" i="70"/>
  <c r="E509" i="70"/>
  <c r="E524" i="70"/>
  <c r="E504" i="70"/>
  <c r="E519" i="70"/>
  <c r="E505" i="70"/>
  <c r="E520" i="70"/>
  <c r="E506" i="70"/>
  <c r="E521" i="70"/>
  <c r="E507" i="70"/>
  <c r="E522" i="70"/>
  <c r="E508" i="70"/>
  <c r="E523" i="70"/>
  <c r="E483" i="70"/>
  <c r="E498" i="70"/>
  <c r="E481" i="70"/>
  <c r="E496" i="70"/>
  <c r="E480" i="70"/>
  <c r="E495" i="70"/>
  <c r="E482" i="70"/>
  <c r="E497" i="70"/>
  <c r="E479" i="70"/>
  <c r="E494" i="70"/>
  <c r="E474" i="70"/>
  <c r="E489" i="70"/>
  <c r="E475" i="70"/>
  <c r="E490" i="70"/>
  <c r="E476" i="70"/>
  <c r="E491" i="70"/>
  <c r="E477" i="70"/>
  <c r="E492" i="70"/>
  <c r="E478" i="70"/>
  <c r="E493" i="70"/>
  <c r="E453" i="70"/>
  <c r="E468" i="70"/>
  <c r="E451" i="70"/>
  <c r="E466" i="70"/>
  <c r="E450" i="70"/>
  <c r="E465" i="70"/>
  <c r="E452" i="70"/>
  <c r="E467" i="70"/>
  <c r="E449" i="70"/>
  <c r="E464" i="70"/>
  <c r="E444" i="70"/>
  <c r="E459" i="70"/>
  <c r="E445" i="70"/>
  <c r="E460" i="70"/>
  <c r="E446" i="70"/>
  <c r="E461" i="70"/>
  <c r="E447" i="70"/>
  <c r="E462" i="70"/>
  <c r="E448" i="70"/>
  <c r="E463" i="70"/>
  <c r="L36" i="66"/>
  <c r="C20" i="19"/>
  <c r="AG19" i="2"/>
  <c r="N35" i="66"/>
  <c r="A16" i="2"/>
  <c r="E384" i="70"/>
  <c r="A98" i="71"/>
  <c r="A62" i="61"/>
  <c r="A145" i="60"/>
  <c r="A63" i="61"/>
  <c r="A158" i="60"/>
  <c r="A146" i="60"/>
  <c r="A100" i="71"/>
  <c r="A99" i="71"/>
  <c r="A153" i="60"/>
  <c r="A157" i="60"/>
  <c r="A150" i="60"/>
  <c r="A154" i="60"/>
  <c r="A149" i="60"/>
  <c r="A151" i="60"/>
  <c r="A152" i="60"/>
  <c r="A147" i="60"/>
  <c r="A148" i="60"/>
  <c r="A155" i="60"/>
  <c r="A156" i="60"/>
  <c r="A102" i="71"/>
  <c r="A101" i="71"/>
  <c r="A64" i="61"/>
  <c r="A103" i="71"/>
  <c r="A65" i="61"/>
  <c r="A66" i="61"/>
  <c r="A105" i="71"/>
  <c r="E382" i="70"/>
  <c r="A78" i="71"/>
  <c r="A50" i="61"/>
  <c r="A115" i="60"/>
  <c r="A51" i="61"/>
  <c r="A116" i="60"/>
  <c r="A128" i="60"/>
  <c r="A80" i="71"/>
  <c r="A79" i="71"/>
  <c r="A127" i="60"/>
  <c r="A123" i="60"/>
  <c r="A117" i="60"/>
  <c r="A121" i="60"/>
  <c r="A125" i="60"/>
  <c r="A122" i="60"/>
  <c r="A124" i="60"/>
  <c r="A119" i="60"/>
  <c r="A118" i="60"/>
  <c r="A120" i="60"/>
  <c r="A126" i="60"/>
  <c r="A82" i="71"/>
  <c r="A81" i="71"/>
  <c r="A52" i="61"/>
  <c r="A83" i="71"/>
  <c r="A53" i="61"/>
  <c r="A54" i="61"/>
  <c r="A85" i="71"/>
  <c r="E381" i="70"/>
  <c r="A68" i="71"/>
  <c r="A44" i="61"/>
  <c r="A100" i="60"/>
  <c r="A45" i="61"/>
  <c r="A113" i="60"/>
  <c r="A101" i="60"/>
  <c r="A69" i="71"/>
  <c r="A70" i="71"/>
  <c r="A102" i="60"/>
  <c r="A111" i="60"/>
  <c r="A108" i="60"/>
  <c r="A109" i="60"/>
  <c r="A105" i="60"/>
  <c r="A107" i="60"/>
  <c r="A110" i="60"/>
  <c r="A112" i="60"/>
  <c r="A103" i="60"/>
  <c r="A104" i="60"/>
  <c r="A106" i="60"/>
  <c r="A71" i="71"/>
  <c r="A72" i="71"/>
  <c r="A46" i="61"/>
  <c r="A73" i="71"/>
  <c r="A47" i="61"/>
  <c r="A48" i="61"/>
  <c r="A75" i="71"/>
  <c r="E383" i="70"/>
  <c r="A88" i="71"/>
  <c r="A56" i="61"/>
  <c r="A130" i="60"/>
  <c r="A57" i="61"/>
  <c r="A131" i="60"/>
  <c r="A143" i="60"/>
  <c r="A90" i="71"/>
  <c r="A89" i="71"/>
  <c r="A141" i="60"/>
  <c r="A132" i="60"/>
  <c r="A134" i="60"/>
  <c r="A140" i="60"/>
  <c r="A142" i="60"/>
  <c r="A135" i="60"/>
  <c r="A138" i="60"/>
  <c r="A139" i="60"/>
  <c r="A137" i="60"/>
  <c r="A136" i="60"/>
  <c r="A133" i="60"/>
  <c r="A91" i="71"/>
  <c r="A92" i="71"/>
  <c r="A58" i="61"/>
  <c r="A93" i="71"/>
  <c r="A59" i="61"/>
  <c r="A60" i="61"/>
  <c r="A95" i="71"/>
  <c r="E380" i="70"/>
  <c r="A58" i="71"/>
  <c r="A38" i="61"/>
  <c r="A85" i="60"/>
  <c r="A39" i="61"/>
  <c r="A86" i="60"/>
  <c r="A98" i="60"/>
  <c r="A60" i="71"/>
  <c r="A59" i="71"/>
  <c r="A92" i="60"/>
  <c r="A96" i="60"/>
  <c r="A91" i="60"/>
  <c r="A87" i="60"/>
  <c r="A93" i="60"/>
  <c r="A88" i="60"/>
  <c r="A94" i="60"/>
  <c r="A90" i="60"/>
  <c r="A95" i="60"/>
  <c r="A89" i="60"/>
  <c r="A97" i="60"/>
  <c r="A62" i="71"/>
  <c r="A61" i="71"/>
  <c r="A40" i="61"/>
  <c r="A63" i="71"/>
  <c r="A41" i="61"/>
  <c r="A42" i="61"/>
  <c r="A65" i="71"/>
  <c r="X36" i="70"/>
  <c r="E375" i="70"/>
  <c r="A8" i="71"/>
  <c r="A8" i="61"/>
  <c r="A10" i="60"/>
  <c r="A10" i="71"/>
  <c r="A9" i="71"/>
  <c r="A9" i="61"/>
  <c r="A11" i="60"/>
  <c r="A11" i="71"/>
  <c r="A12" i="71"/>
  <c r="A10" i="61"/>
  <c r="A17" i="60"/>
  <c r="A12" i="60"/>
  <c r="A21" i="60"/>
  <c r="A22" i="60"/>
  <c r="A19" i="60"/>
  <c r="A20" i="60"/>
  <c r="A18" i="60"/>
  <c r="A23" i="60"/>
  <c r="A15" i="60"/>
  <c r="A13" i="60"/>
  <c r="A14" i="60"/>
  <c r="A16" i="60"/>
  <c r="A13" i="71"/>
  <c r="A11" i="61"/>
  <c r="A12" i="61"/>
  <c r="A15" i="71"/>
  <c r="A8" i="2"/>
  <c r="E376" i="70"/>
  <c r="A25" i="60"/>
  <c r="A18" i="71"/>
  <c r="A14" i="61"/>
  <c r="A15" i="61"/>
  <c r="A26" i="60"/>
  <c r="A19" i="71"/>
  <c r="A20" i="71"/>
  <c r="A38" i="60"/>
  <c r="A32" i="60"/>
  <c r="A29" i="60"/>
  <c r="A27" i="60"/>
  <c r="A28" i="60"/>
  <c r="A37" i="60"/>
  <c r="A35" i="60"/>
  <c r="A21" i="71"/>
  <c r="A22" i="71"/>
  <c r="A16" i="61"/>
  <c r="A36" i="60"/>
  <c r="A30" i="60"/>
  <c r="A33" i="60"/>
  <c r="A34" i="60"/>
  <c r="A31" i="60"/>
  <c r="A23" i="71"/>
  <c r="A17" i="61"/>
  <c r="A18" i="61"/>
  <c r="A25" i="71"/>
  <c r="E377" i="70"/>
  <c r="A28" i="71"/>
  <c r="A20" i="61"/>
  <c r="A40" i="60"/>
  <c r="A21" i="61"/>
  <c r="A53" i="60"/>
  <c r="A41" i="60"/>
  <c r="A29" i="71"/>
  <c r="A30" i="71"/>
  <c r="A52" i="60"/>
  <c r="A47" i="60"/>
  <c r="A44" i="60"/>
  <c r="A50" i="60"/>
  <c r="A51" i="60"/>
  <c r="A42" i="60"/>
  <c r="A48" i="60"/>
  <c r="A43" i="60"/>
  <c r="A31" i="71"/>
  <c r="A32" i="71"/>
  <c r="A22" i="61"/>
  <c r="A45" i="60"/>
  <c r="A49" i="60"/>
  <c r="A46" i="60"/>
  <c r="A33" i="71"/>
  <c r="A23" i="61"/>
  <c r="A24" i="61"/>
  <c r="A35" i="71"/>
  <c r="E378" i="70"/>
  <c r="A38" i="71"/>
  <c r="A26" i="61"/>
  <c r="A55" i="60"/>
  <c r="A27" i="61"/>
  <c r="A56" i="60"/>
  <c r="A68" i="60"/>
  <c r="A39" i="71"/>
  <c r="A40" i="71"/>
  <c r="A59" i="60"/>
  <c r="A63" i="60"/>
  <c r="A57" i="60"/>
  <c r="A58" i="60"/>
  <c r="A62" i="60"/>
  <c r="A60" i="60"/>
  <c r="A65" i="60"/>
  <c r="A67" i="60"/>
  <c r="A61" i="60"/>
  <c r="A64" i="60"/>
  <c r="A66" i="60"/>
  <c r="A42" i="71"/>
  <c r="A41" i="71"/>
  <c r="A28" i="61"/>
  <c r="A43" i="71"/>
  <c r="A29" i="61"/>
  <c r="A30" i="61"/>
  <c r="A45" i="71"/>
  <c r="X104" i="70"/>
  <c r="E379" i="70"/>
  <c r="A48" i="71"/>
  <c r="A32" i="61"/>
  <c r="A70" i="60"/>
  <c r="A33" i="61"/>
  <c r="A83" i="60"/>
  <c r="A71" i="60"/>
  <c r="A50" i="71"/>
  <c r="A49" i="71"/>
  <c r="A80" i="60"/>
  <c r="A75" i="60"/>
  <c r="A81" i="60"/>
  <c r="A72" i="60"/>
  <c r="A77" i="60"/>
  <c r="A79" i="60"/>
  <c r="A82" i="60"/>
  <c r="A73" i="60"/>
  <c r="A74" i="60"/>
  <c r="A76" i="60"/>
  <c r="A78" i="60"/>
  <c r="A51" i="71"/>
  <c r="A52" i="71"/>
  <c r="A34" i="61"/>
  <c r="A53" i="71"/>
  <c r="A35" i="61"/>
  <c r="A36" i="61"/>
  <c r="A55" i="71"/>
  <c r="G222" i="60"/>
  <c r="I221" i="60"/>
  <c r="L221" i="60" s="1"/>
  <c r="J221" i="60"/>
  <c r="G206" i="60"/>
  <c r="G191" i="60"/>
  <c r="I190" i="60"/>
  <c r="L190" i="60" s="1"/>
  <c r="J190" i="60"/>
  <c r="G176" i="60"/>
  <c r="I175" i="60"/>
  <c r="L175" i="60" s="1"/>
  <c r="J175" i="60"/>
  <c r="G161" i="60"/>
  <c r="I160" i="60"/>
  <c r="L160" i="60" s="1"/>
  <c r="J160" i="60"/>
  <c r="AE20" i="2"/>
  <c r="AC20" i="2"/>
  <c r="H20" i="2"/>
  <c r="F20" i="2"/>
  <c r="AQ20" i="2"/>
  <c r="U104" i="70"/>
  <c r="Q104" i="70" s="1"/>
  <c r="B104" i="70" s="1"/>
  <c r="B250" i="70"/>
  <c r="A250" i="70"/>
  <c r="D207" i="60" s="1"/>
  <c r="Z252" i="70"/>
  <c r="X251" i="70"/>
  <c r="U251" i="70"/>
  <c r="Q251" i="70" s="1"/>
  <c r="B233" i="70"/>
  <c r="A233" i="70"/>
  <c r="D192" i="60" s="1"/>
  <c r="Z235" i="70"/>
  <c r="X234" i="70"/>
  <c r="U234" i="70"/>
  <c r="Q234" i="70" s="1"/>
  <c r="B216" i="70"/>
  <c r="A216" i="70"/>
  <c r="D177" i="60" s="1"/>
  <c r="Z218" i="70"/>
  <c r="X217" i="70"/>
  <c r="U217" i="70"/>
  <c r="Q217" i="70" s="1"/>
  <c r="B199" i="70"/>
  <c r="A199" i="70"/>
  <c r="D162" i="60" s="1"/>
  <c r="Z201" i="70"/>
  <c r="X200" i="70"/>
  <c r="U200" i="70"/>
  <c r="Q200" i="70" s="1"/>
  <c r="B268" i="70"/>
  <c r="A268" i="70"/>
  <c r="D223" i="60" s="1"/>
  <c r="X269" i="70"/>
  <c r="Z270" i="70"/>
  <c r="U269" i="70"/>
  <c r="Q269" i="70" s="1"/>
  <c r="U138" i="70"/>
  <c r="Q138" i="70" s="1"/>
  <c r="B138" i="70" s="1"/>
  <c r="A121" i="70"/>
  <c r="D94" i="60" s="1"/>
  <c r="S190" i="70"/>
  <c r="T190" i="70" s="1"/>
  <c r="R191" i="70"/>
  <c r="S173" i="70"/>
  <c r="T173" i="70" s="1"/>
  <c r="R174" i="70"/>
  <c r="S156" i="70"/>
  <c r="T156" i="70" s="1"/>
  <c r="R157" i="70"/>
  <c r="S122" i="70"/>
  <c r="T122" i="70" s="1"/>
  <c r="U122" i="70" s="1"/>
  <c r="Q122" i="70" s="1"/>
  <c r="B122" i="70" s="1"/>
  <c r="R123" i="70"/>
  <c r="S139" i="70"/>
  <c r="T139" i="70" s="1"/>
  <c r="R140" i="70"/>
  <c r="S105" i="70"/>
  <c r="T105" i="70" s="1"/>
  <c r="R106" i="70"/>
  <c r="X37" i="94"/>
  <c r="X36" i="94"/>
  <c r="X40" i="94"/>
  <c r="X38" i="94"/>
  <c r="X39" i="94"/>
  <c r="X39" i="70"/>
  <c r="X32" i="70"/>
  <c r="X6" i="94"/>
  <c r="X10" i="94"/>
  <c r="X9" i="94"/>
  <c r="X8" i="94"/>
  <c r="X7" i="94"/>
  <c r="X34" i="70"/>
  <c r="X13" i="94"/>
  <c r="X12" i="94"/>
  <c r="X14" i="94"/>
  <c r="X11" i="94"/>
  <c r="X15" i="94"/>
  <c r="X35" i="94"/>
  <c r="X32" i="94"/>
  <c r="X31" i="94"/>
  <c r="X34" i="94"/>
  <c r="X33" i="94"/>
  <c r="X35" i="70"/>
  <c r="X20" i="94"/>
  <c r="X19" i="94"/>
  <c r="X18" i="94"/>
  <c r="X17" i="94"/>
  <c r="X16" i="94"/>
  <c r="X45" i="94"/>
  <c r="X44" i="94"/>
  <c r="X43" i="94"/>
  <c r="X42" i="94"/>
  <c r="X41" i="94"/>
  <c r="X21" i="94"/>
  <c r="X22" i="94"/>
  <c r="X25" i="94"/>
  <c r="X24" i="94"/>
  <c r="X23" i="94"/>
  <c r="X4" i="94"/>
  <c r="X3" i="94"/>
  <c r="X5" i="94"/>
  <c r="X1" i="94"/>
  <c r="X2" i="94"/>
  <c r="Z1" i="94"/>
  <c r="C1154" i="70" s="1"/>
  <c r="J1154" i="70" s="1"/>
  <c r="X29" i="70"/>
  <c r="X29" i="94"/>
  <c r="X28" i="94"/>
  <c r="X30" i="94"/>
  <c r="X27" i="94"/>
  <c r="X26" i="94"/>
  <c r="X46" i="94"/>
  <c r="X49" i="94"/>
  <c r="X50" i="94"/>
  <c r="X48" i="94"/>
  <c r="X47" i="94"/>
  <c r="X87" i="70"/>
  <c r="X30" i="70"/>
  <c r="X28" i="70"/>
  <c r="C1541" i="95"/>
  <c r="C776" i="95"/>
  <c r="C1337" i="95"/>
  <c r="X138" i="70"/>
  <c r="X122" i="70"/>
  <c r="X38" i="70"/>
  <c r="X40" i="70"/>
  <c r="X27" i="70"/>
  <c r="X37" i="70"/>
  <c r="X31" i="70"/>
  <c r="X33" i="70"/>
  <c r="Z169" i="70"/>
  <c r="X169" i="70" s="1"/>
  <c r="U168" i="70"/>
  <c r="Q168" i="70" s="1"/>
  <c r="B168" i="70" s="1"/>
  <c r="U184" i="70"/>
  <c r="Q184" i="70" s="1"/>
  <c r="B184" i="70" s="1"/>
  <c r="Z185" i="70"/>
  <c r="X185" i="70" s="1"/>
  <c r="U152" i="70"/>
  <c r="Q152" i="70" s="1"/>
  <c r="B152" i="70" s="1"/>
  <c r="Z153" i="70"/>
  <c r="X153" i="70" s="1"/>
  <c r="X52" i="70"/>
  <c r="Y42" i="70"/>
  <c r="X51" i="70"/>
  <c r="X50" i="70"/>
  <c r="X57" i="70"/>
  <c r="X49" i="70"/>
  <c r="X48" i="70"/>
  <c r="X56" i="70"/>
  <c r="X55" i="70"/>
  <c r="X47" i="70"/>
  <c r="X54" i="70"/>
  <c r="X45" i="70"/>
  <c r="X46" i="70"/>
  <c r="X53" i="70"/>
  <c r="X44" i="70"/>
  <c r="X95" i="70"/>
  <c r="X96" i="70"/>
  <c r="X97" i="70"/>
  <c r="X98" i="70"/>
  <c r="X99" i="70"/>
  <c r="X100" i="70"/>
  <c r="A103" i="70" s="1"/>
  <c r="D78" i="60" s="1"/>
  <c r="X101" i="70"/>
  <c r="X102" i="70"/>
  <c r="X103" i="70"/>
  <c r="X164" i="70"/>
  <c r="X163" i="70"/>
  <c r="X165" i="70"/>
  <c r="X166" i="70"/>
  <c r="X167" i="70"/>
  <c r="X168" i="70"/>
  <c r="X180" i="70"/>
  <c r="X181" i="70"/>
  <c r="X182" i="70"/>
  <c r="X183" i="70"/>
  <c r="X184" i="70"/>
  <c r="X81" i="70"/>
  <c r="X79" i="70"/>
  <c r="X78" i="70"/>
  <c r="X80" i="70"/>
  <c r="X82" i="70"/>
  <c r="X83" i="70"/>
  <c r="A86" i="70" s="1"/>
  <c r="D63" i="60" s="1"/>
  <c r="X84" i="70"/>
  <c r="X85" i="70"/>
  <c r="X86" i="70"/>
  <c r="X112" i="70"/>
  <c r="X113" i="70"/>
  <c r="X114" i="70"/>
  <c r="X115" i="70"/>
  <c r="X116" i="70"/>
  <c r="X117" i="70"/>
  <c r="A120" i="70" s="1"/>
  <c r="D93" i="60" s="1"/>
  <c r="X118" i="70"/>
  <c r="X119" i="70"/>
  <c r="X120" i="70"/>
  <c r="X121" i="70"/>
  <c r="X146" i="70"/>
  <c r="X147" i="70"/>
  <c r="X148" i="70"/>
  <c r="X149" i="70"/>
  <c r="X150" i="70"/>
  <c r="X151" i="70"/>
  <c r="X152" i="70"/>
  <c r="X69" i="70"/>
  <c r="X68" i="70"/>
  <c r="X62" i="70"/>
  <c r="X67" i="70"/>
  <c r="X74" i="70"/>
  <c r="X61" i="70"/>
  <c r="X73" i="70"/>
  <c r="X66" i="70"/>
  <c r="A69" i="70" s="1"/>
  <c r="D48" i="60" s="1"/>
  <c r="X72" i="70"/>
  <c r="X65" i="70"/>
  <c r="X71" i="70"/>
  <c r="X64" i="70"/>
  <c r="X70" i="70"/>
  <c r="X63" i="70"/>
  <c r="X129" i="70"/>
  <c r="X130" i="70"/>
  <c r="X131" i="70"/>
  <c r="X132" i="70"/>
  <c r="X133" i="70"/>
  <c r="X134" i="70"/>
  <c r="A137" i="70" s="1"/>
  <c r="D108" i="60" s="1"/>
  <c r="X135" i="70"/>
  <c r="X136" i="70"/>
  <c r="X137" i="70"/>
  <c r="B87" i="70"/>
  <c r="A87" i="70"/>
  <c r="D64" i="60" s="1"/>
  <c r="Z140" i="70"/>
  <c r="X139" i="70"/>
  <c r="Z124" i="70"/>
  <c r="X123" i="70"/>
  <c r="Z106" i="70"/>
  <c r="X105" i="70"/>
  <c r="U105" i="70"/>
  <c r="Q105" i="70" s="1"/>
  <c r="T88" i="70"/>
  <c r="U88" i="70" s="1"/>
  <c r="Q88" i="70" s="1"/>
  <c r="Z89" i="70"/>
  <c r="X88" i="70"/>
  <c r="R90" i="70"/>
  <c r="S90" i="70" s="1"/>
  <c r="B70" i="70"/>
  <c r="A70" i="70"/>
  <c r="D49" i="60" s="1"/>
  <c r="T71" i="70"/>
  <c r="U71" i="70" s="1"/>
  <c r="Q71" i="70" s="1"/>
  <c r="R73" i="70"/>
  <c r="S73" i="70" s="1"/>
  <c r="M44" i="61" l="1"/>
  <c r="N100" i="60"/>
  <c r="O68" i="71"/>
  <c r="N101" i="60"/>
  <c r="M45" i="61"/>
  <c r="N113" i="60"/>
  <c r="N102" i="60"/>
  <c r="N109" i="60"/>
  <c r="N104" i="60"/>
  <c r="N105" i="60"/>
  <c r="N112" i="60"/>
  <c r="N106" i="60"/>
  <c r="O70" i="71"/>
  <c r="N111" i="60"/>
  <c r="N107" i="60"/>
  <c r="N108" i="60"/>
  <c r="N110" i="60"/>
  <c r="N103" i="60"/>
  <c r="O69" i="71"/>
  <c r="O71" i="71"/>
  <c r="O72" i="71"/>
  <c r="M46" i="61"/>
  <c r="M47" i="61"/>
  <c r="O73" i="71"/>
  <c r="M48" i="61"/>
  <c r="O74" i="71"/>
  <c r="O76" i="71"/>
  <c r="O75" i="71"/>
  <c r="N115" i="60"/>
  <c r="O78" i="71"/>
  <c r="M50" i="61"/>
  <c r="N128" i="60"/>
  <c r="N116" i="60"/>
  <c r="M51" i="61"/>
  <c r="N117" i="60"/>
  <c r="N120" i="60"/>
  <c r="O80" i="71"/>
  <c r="N121" i="60"/>
  <c r="N124" i="60"/>
  <c r="N126" i="60"/>
  <c r="N127" i="60"/>
  <c r="N125" i="60"/>
  <c r="N119" i="60"/>
  <c r="O79" i="71"/>
  <c r="N123" i="60"/>
  <c r="N122" i="60"/>
  <c r="N118" i="60"/>
  <c r="O82" i="71"/>
  <c r="O81" i="71"/>
  <c r="M52" i="61"/>
  <c r="M53" i="61"/>
  <c r="O83" i="71"/>
  <c r="M54" i="61"/>
  <c r="O84" i="71"/>
  <c r="O86" i="71"/>
  <c r="O85" i="71"/>
  <c r="N40" i="60"/>
  <c r="M20" i="61"/>
  <c r="O28" i="71"/>
  <c r="N53" i="60"/>
  <c r="N41" i="60"/>
  <c r="M21" i="61"/>
  <c r="N44" i="60"/>
  <c r="N43" i="60"/>
  <c r="N52" i="60"/>
  <c r="N51" i="60"/>
  <c r="N47" i="60"/>
  <c r="N42" i="60"/>
  <c r="O29" i="71"/>
  <c r="N48" i="60"/>
  <c r="N46" i="60"/>
  <c r="O30" i="71"/>
  <c r="N49" i="60"/>
  <c r="N45" i="60"/>
  <c r="N50" i="60"/>
  <c r="O31" i="71"/>
  <c r="M22" i="61"/>
  <c r="O32" i="71"/>
  <c r="M23" i="61"/>
  <c r="O33" i="71"/>
  <c r="M24" i="61"/>
  <c r="O34" i="71"/>
  <c r="O35" i="71"/>
  <c r="O36" i="71"/>
  <c r="M14" i="61"/>
  <c r="M15" i="61"/>
  <c r="N25" i="60"/>
  <c r="O18" i="71"/>
  <c r="N26" i="60"/>
  <c r="O20" i="71"/>
  <c r="N29" i="60"/>
  <c r="O19" i="71"/>
  <c r="N38" i="60"/>
  <c r="N34" i="60"/>
  <c r="N32" i="60"/>
  <c r="N33" i="60"/>
  <c r="N31" i="60"/>
  <c r="O21" i="71"/>
  <c r="N36" i="60"/>
  <c r="N30" i="60"/>
  <c r="N35" i="60"/>
  <c r="N37" i="60"/>
  <c r="M16" i="61"/>
  <c r="N28" i="60"/>
  <c r="N27" i="60"/>
  <c r="O22" i="71"/>
  <c r="O23" i="71"/>
  <c r="M17" i="61"/>
  <c r="O24" i="71"/>
  <c r="M18" i="61"/>
  <c r="O25" i="71"/>
  <c r="O26" i="71"/>
  <c r="O58" i="71"/>
  <c r="M38" i="61"/>
  <c r="N85" i="60"/>
  <c r="N98" i="60"/>
  <c r="M39" i="61"/>
  <c r="N86" i="60"/>
  <c r="O60" i="71"/>
  <c r="N96" i="60"/>
  <c r="N90" i="60"/>
  <c r="N92" i="60"/>
  <c r="N91" i="60"/>
  <c r="N93" i="60"/>
  <c r="N95" i="60"/>
  <c r="N97" i="60"/>
  <c r="N87" i="60"/>
  <c r="N88" i="60"/>
  <c r="N89" i="60"/>
  <c r="N94" i="60"/>
  <c r="O59" i="71"/>
  <c r="O62" i="71"/>
  <c r="O61" i="71"/>
  <c r="M40" i="61"/>
  <c r="O63" i="71"/>
  <c r="M41" i="61"/>
  <c r="O64" i="71"/>
  <c r="M42" i="61"/>
  <c r="O66" i="71"/>
  <c r="O65" i="71"/>
  <c r="AO21" i="2"/>
  <c r="AO16" i="2"/>
  <c r="Y32" i="66" s="1"/>
  <c r="AO18" i="2"/>
  <c r="Y34" i="66" s="1"/>
  <c r="AO19" i="2"/>
  <c r="Y35" i="66" s="1"/>
  <c r="AO20" i="2"/>
  <c r="Y36" i="66" s="1"/>
  <c r="AO17" i="2"/>
  <c r="Y33" i="66" s="1"/>
  <c r="O88" i="71"/>
  <c r="N130" i="60"/>
  <c r="M56" i="61"/>
  <c r="N131" i="60"/>
  <c r="M57" i="61"/>
  <c r="N143" i="60"/>
  <c r="N141" i="60"/>
  <c r="N142" i="60"/>
  <c r="N138" i="60"/>
  <c r="N139" i="60"/>
  <c r="N132" i="60"/>
  <c r="N135" i="60"/>
  <c r="N136" i="60"/>
  <c r="N137" i="60"/>
  <c r="N134" i="60"/>
  <c r="O90" i="71"/>
  <c r="O89" i="71"/>
  <c r="N140" i="60"/>
  <c r="N133" i="60"/>
  <c r="O91" i="71"/>
  <c r="M58" i="61"/>
  <c r="O92" i="71"/>
  <c r="O93" i="71"/>
  <c r="M59" i="61"/>
  <c r="M60" i="61"/>
  <c r="O94" i="71"/>
  <c r="O96" i="71"/>
  <c r="O95" i="71"/>
  <c r="N55" i="60"/>
  <c r="M26" i="61"/>
  <c r="O38" i="71"/>
  <c r="N56" i="60"/>
  <c r="N68" i="60"/>
  <c r="M27" i="61"/>
  <c r="O39" i="71"/>
  <c r="N57" i="60"/>
  <c r="N60" i="60"/>
  <c r="O40" i="71"/>
  <c r="N65" i="60"/>
  <c r="N64" i="60"/>
  <c r="N59" i="60"/>
  <c r="N58" i="60"/>
  <c r="N67" i="60"/>
  <c r="N66" i="60"/>
  <c r="N61" i="60"/>
  <c r="N63" i="60"/>
  <c r="N62" i="60"/>
  <c r="M28" i="61"/>
  <c r="O41" i="71"/>
  <c r="O42" i="71"/>
  <c r="M29" i="61"/>
  <c r="O43" i="71"/>
  <c r="O44" i="71"/>
  <c r="M30" i="61"/>
  <c r="O45" i="71"/>
  <c r="O46" i="71"/>
  <c r="N145" i="60"/>
  <c r="M62" i="61"/>
  <c r="O98" i="71"/>
  <c r="N146" i="60"/>
  <c r="M63" i="61"/>
  <c r="N158" i="60"/>
  <c r="N153" i="60"/>
  <c r="N149" i="60"/>
  <c r="N148" i="60"/>
  <c r="N157" i="60"/>
  <c r="N151" i="60"/>
  <c r="O99" i="71"/>
  <c r="N155" i="60"/>
  <c r="N150" i="60"/>
  <c r="N152" i="60"/>
  <c r="N156" i="60"/>
  <c r="O100" i="71"/>
  <c r="N154" i="60"/>
  <c r="N147" i="60"/>
  <c r="O101" i="71"/>
  <c r="M64" i="61"/>
  <c r="O102" i="71"/>
  <c r="M65" i="61"/>
  <c r="O103" i="71"/>
  <c r="M66" i="61"/>
  <c r="O104" i="71"/>
  <c r="O105" i="71"/>
  <c r="O106" i="71"/>
  <c r="O48" i="71"/>
  <c r="M32" i="61"/>
  <c r="N70" i="60"/>
  <c r="M33" i="61"/>
  <c r="N83" i="60"/>
  <c r="N71" i="60"/>
  <c r="O49" i="71"/>
  <c r="N75" i="60"/>
  <c r="N72" i="60"/>
  <c r="N82" i="60"/>
  <c r="N78" i="60"/>
  <c r="O50" i="71"/>
  <c r="N81" i="60"/>
  <c r="N77" i="60"/>
  <c r="N73" i="60"/>
  <c r="N74" i="60"/>
  <c r="N80" i="60"/>
  <c r="N79" i="60"/>
  <c r="N76" i="60"/>
  <c r="O52" i="71"/>
  <c r="M34" i="61"/>
  <c r="O51" i="71"/>
  <c r="M35" i="61"/>
  <c r="O53" i="71"/>
  <c r="M36" i="61"/>
  <c r="O54" i="71"/>
  <c r="O55" i="71"/>
  <c r="O56" i="71"/>
  <c r="H987" i="70"/>
  <c r="J620" i="27" s="1"/>
  <c r="F968" i="70"/>
  <c r="J968" i="70"/>
  <c r="F967" i="70"/>
  <c r="J967" i="70"/>
  <c r="F966" i="70"/>
  <c r="J966" i="70"/>
  <c r="F965" i="70"/>
  <c r="J965" i="70"/>
  <c r="F969" i="70"/>
  <c r="J969" i="70"/>
  <c r="F972" i="70"/>
  <c r="J972" i="70"/>
  <c r="F970" i="70"/>
  <c r="J970" i="70"/>
  <c r="F971" i="70"/>
  <c r="J971" i="70"/>
  <c r="F973" i="70"/>
  <c r="J973" i="70"/>
  <c r="F964" i="70"/>
  <c r="J964" i="70"/>
  <c r="F329" i="27"/>
  <c r="J697" i="70"/>
  <c r="T329" i="27" s="1"/>
  <c r="F37" i="27"/>
  <c r="J403" i="70"/>
  <c r="T37" i="27" s="1"/>
  <c r="V1118" i="70"/>
  <c r="T1118" i="70"/>
  <c r="H992" i="70"/>
  <c r="J625" i="27" s="1"/>
  <c r="M412" i="70"/>
  <c r="E412" i="70"/>
  <c r="E422" i="70" s="1"/>
  <c r="H999" i="70"/>
  <c r="J632" i="27" s="1"/>
  <c r="G868" i="70"/>
  <c r="F868" i="70" s="1"/>
  <c r="J868" i="70" s="1"/>
  <c r="F678" i="27"/>
  <c r="H1045" i="70"/>
  <c r="J678" i="27" s="1"/>
  <c r="F1030" i="70"/>
  <c r="I663" i="27"/>
  <c r="F735" i="70"/>
  <c r="F659" i="70"/>
  <c r="G872" i="70"/>
  <c r="F872" i="70" s="1"/>
  <c r="J872" i="70" s="1"/>
  <c r="I872" i="70"/>
  <c r="G871" i="70"/>
  <c r="F871" i="70" s="1"/>
  <c r="J871" i="70" s="1"/>
  <c r="I871" i="70"/>
  <c r="G870" i="70"/>
  <c r="F870" i="70" s="1"/>
  <c r="J870" i="70" s="1"/>
  <c r="I870" i="70"/>
  <c r="G869" i="70"/>
  <c r="F869" i="70" s="1"/>
  <c r="J869" i="70" s="1"/>
  <c r="I869" i="70"/>
  <c r="G873" i="70"/>
  <c r="I873" i="70"/>
  <c r="L506" i="27" s="1"/>
  <c r="G876" i="70"/>
  <c r="I876" i="70"/>
  <c r="L509" i="27" s="1"/>
  <c r="G874" i="70"/>
  <c r="I874" i="70"/>
  <c r="L507" i="27" s="1"/>
  <c r="G875" i="70"/>
  <c r="I875" i="70"/>
  <c r="L508" i="27" s="1"/>
  <c r="G877" i="70"/>
  <c r="I877" i="70"/>
  <c r="L510" i="27" s="1"/>
  <c r="F633" i="27"/>
  <c r="H1000" i="70"/>
  <c r="J633" i="27" s="1"/>
  <c r="F634" i="27"/>
  <c r="H1001" i="70"/>
  <c r="J634" i="27" s="1"/>
  <c r="I1047" i="70"/>
  <c r="G1047" i="70"/>
  <c r="F1047" i="70" s="1"/>
  <c r="I1057" i="70"/>
  <c r="G1057" i="70"/>
  <c r="F1057" i="70" s="1"/>
  <c r="G1056" i="70"/>
  <c r="F1056" i="70" s="1"/>
  <c r="I1056" i="70"/>
  <c r="I1055" i="70"/>
  <c r="G1055" i="70"/>
  <c r="F1055" i="70" s="1"/>
  <c r="G1054" i="70"/>
  <c r="F1054" i="70" s="1"/>
  <c r="I1054" i="70"/>
  <c r="G1053" i="70"/>
  <c r="F1053" i="70" s="1"/>
  <c r="I1053" i="70"/>
  <c r="G1052" i="70"/>
  <c r="F1052" i="70" s="1"/>
  <c r="I1052" i="70"/>
  <c r="G1051" i="70"/>
  <c r="F1051" i="70" s="1"/>
  <c r="I1051" i="70"/>
  <c r="G1050" i="70"/>
  <c r="F1050" i="70" s="1"/>
  <c r="I1050" i="70"/>
  <c r="G1049" i="70"/>
  <c r="F1049" i="70" s="1"/>
  <c r="I1049" i="70"/>
  <c r="I1048" i="70"/>
  <c r="G1048" i="70"/>
  <c r="F1048" i="70" s="1"/>
  <c r="F621" i="27"/>
  <c r="H988" i="70"/>
  <c r="J621" i="27" s="1"/>
  <c r="G965" i="70"/>
  <c r="AG20" i="2"/>
  <c r="N36" i="66"/>
  <c r="B55" i="71"/>
  <c r="M55" i="71"/>
  <c r="AT55" i="71" s="1"/>
  <c r="B56" i="71"/>
  <c r="G55" i="71"/>
  <c r="I55" i="71" s="1"/>
  <c r="B54" i="71"/>
  <c r="G53" i="71"/>
  <c r="I53" i="71" s="1"/>
  <c r="M53" i="71"/>
  <c r="AT53" i="71" s="1"/>
  <c r="B53" i="71"/>
  <c r="B52" i="71"/>
  <c r="G52" i="71"/>
  <c r="G51" i="71"/>
  <c r="B51" i="71"/>
  <c r="B49" i="71"/>
  <c r="G49" i="71"/>
  <c r="B50" i="71"/>
  <c r="G50" i="71"/>
  <c r="G48" i="71"/>
  <c r="B48" i="71"/>
  <c r="B45" i="71"/>
  <c r="B46" i="71"/>
  <c r="G45" i="71"/>
  <c r="I45" i="71" s="1"/>
  <c r="M45" i="71"/>
  <c r="AT45" i="71" s="1"/>
  <c r="B44" i="71"/>
  <c r="M43" i="71"/>
  <c r="AT43" i="71" s="1"/>
  <c r="G43" i="71"/>
  <c r="I43" i="71" s="1"/>
  <c r="B43" i="71"/>
  <c r="G41" i="71"/>
  <c r="B41" i="71"/>
  <c r="B42" i="71"/>
  <c r="G42" i="71"/>
  <c r="G40" i="71"/>
  <c r="B40" i="71"/>
  <c r="G39" i="71"/>
  <c r="B39" i="71"/>
  <c r="B38" i="71"/>
  <c r="G38" i="71"/>
  <c r="B35" i="71"/>
  <c r="G35" i="71"/>
  <c r="I35" i="71" s="1"/>
  <c r="B36" i="71"/>
  <c r="M35" i="71"/>
  <c r="AT35" i="71" s="1"/>
  <c r="B34" i="71"/>
  <c r="M33" i="71"/>
  <c r="AT33" i="71" s="1"/>
  <c r="B33" i="71"/>
  <c r="G33" i="71"/>
  <c r="I33" i="71" s="1"/>
  <c r="B32" i="71"/>
  <c r="G32" i="71"/>
  <c r="B31" i="71"/>
  <c r="G31" i="71"/>
  <c r="G30" i="71"/>
  <c r="B30" i="71"/>
  <c r="G29" i="71"/>
  <c r="B29" i="71"/>
  <c r="G28" i="71"/>
  <c r="B28" i="71"/>
  <c r="B25" i="71"/>
  <c r="B26" i="71"/>
  <c r="M25" i="71"/>
  <c r="AT25" i="71" s="1"/>
  <c r="G25" i="71"/>
  <c r="I25" i="71" s="1"/>
  <c r="G23" i="71"/>
  <c r="I23" i="71" s="1"/>
  <c r="B23" i="71"/>
  <c r="B24" i="71"/>
  <c r="M23" i="71"/>
  <c r="AT23" i="71" s="1"/>
  <c r="B22" i="71"/>
  <c r="G22" i="71"/>
  <c r="B21" i="71"/>
  <c r="G21" i="71"/>
  <c r="G20" i="71"/>
  <c r="B20" i="71"/>
  <c r="G19" i="71"/>
  <c r="B19" i="71"/>
  <c r="G18" i="71"/>
  <c r="B18" i="71"/>
  <c r="B65" i="71"/>
  <c r="B66" i="71"/>
  <c r="M65" i="71"/>
  <c r="AT65" i="71" s="1"/>
  <c r="G65" i="71"/>
  <c r="I65" i="71" s="1"/>
  <c r="B64" i="71"/>
  <c r="B63" i="71"/>
  <c r="G63" i="71"/>
  <c r="I63" i="71" s="1"/>
  <c r="M63" i="71"/>
  <c r="AT63" i="71" s="1"/>
  <c r="B61" i="71"/>
  <c r="G61" i="71"/>
  <c r="B62" i="71"/>
  <c r="G62" i="71"/>
  <c r="G59" i="71"/>
  <c r="B59" i="71"/>
  <c r="B60" i="71"/>
  <c r="G60" i="71"/>
  <c r="B58" i="71"/>
  <c r="G58" i="71"/>
  <c r="B95" i="71"/>
  <c r="M95" i="71"/>
  <c r="AT95" i="71" s="1"/>
  <c r="G95" i="71"/>
  <c r="I95" i="71" s="1"/>
  <c r="B96" i="71"/>
  <c r="B94" i="71"/>
  <c r="B93" i="71"/>
  <c r="M93" i="71"/>
  <c r="AT93" i="71" s="1"/>
  <c r="G93" i="71"/>
  <c r="I93" i="71" s="1"/>
  <c r="B92" i="71"/>
  <c r="G92" i="71"/>
  <c r="B91" i="71"/>
  <c r="G91" i="71"/>
  <c r="G89" i="71"/>
  <c r="B89" i="71"/>
  <c r="G90" i="71"/>
  <c r="B90" i="71"/>
  <c r="G88" i="71"/>
  <c r="B88" i="71"/>
  <c r="B75" i="71"/>
  <c r="G75" i="71"/>
  <c r="I75" i="71" s="1"/>
  <c r="M75" i="71"/>
  <c r="AT75" i="71" s="1"/>
  <c r="B76" i="71"/>
  <c r="B74" i="71"/>
  <c r="G73" i="71"/>
  <c r="I73" i="71" s="1"/>
  <c r="B73" i="71"/>
  <c r="M73" i="71"/>
  <c r="AT73" i="71" s="1"/>
  <c r="G72" i="71"/>
  <c r="B72" i="71"/>
  <c r="G71" i="71"/>
  <c r="B71" i="71"/>
  <c r="G70" i="71"/>
  <c r="B70" i="71"/>
  <c r="G69" i="71"/>
  <c r="B69" i="71"/>
  <c r="B68" i="71"/>
  <c r="G68" i="71"/>
  <c r="B85" i="71"/>
  <c r="B86" i="71"/>
  <c r="M85" i="71"/>
  <c r="AT85" i="71" s="1"/>
  <c r="G85" i="71"/>
  <c r="I85" i="71" s="1"/>
  <c r="B84" i="71"/>
  <c r="G83" i="71"/>
  <c r="I83" i="71" s="1"/>
  <c r="B83" i="71"/>
  <c r="M83" i="71"/>
  <c r="AT83" i="71" s="1"/>
  <c r="B81" i="71"/>
  <c r="G81" i="71"/>
  <c r="B82" i="71"/>
  <c r="G82" i="71"/>
  <c r="G79" i="71"/>
  <c r="B79" i="71"/>
  <c r="B80" i="71"/>
  <c r="G80" i="71"/>
  <c r="G78" i="71"/>
  <c r="B78" i="71"/>
  <c r="B105" i="71"/>
  <c r="G105" i="71"/>
  <c r="I105" i="71" s="1"/>
  <c r="B106" i="71"/>
  <c r="M105" i="71"/>
  <c r="AT105" i="71" s="1"/>
  <c r="B103" i="71"/>
  <c r="G103" i="71"/>
  <c r="I103" i="71" s="1"/>
  <c r="B104" i="71"/>
  <c r="M103" i="71"/>
  <c r="AT103" i="71" s="1"/>
  <c r="B101" i="71"/>
  <c r="G101" i="71"/>
  <c r="G102" i="71"/>
  <c r="B102" i="71"/>
  <c r="G99" i="71"/>
  <c r="B99" i="71"/>
  <c r="B100" i="71"/>
  <c r="G100" i="71"/>
  <c r="G98" i="71"/>
  <c r="B98" i="71"/>
  <c r="I32" i="66"/>
  <c r="A16" i="19"/>
  <c r="G223" i="60"/>
  <c r="I222" i="60"/>
  <c r="L222" i="60" s="1"/>
  <c r="J222" i="60"/>
  <c r="G207" i="60"/>
  <c r="I206" i="60"/>
  <c r="L206" i="60" s="1"/>
  <c r="J206" i="60"/>
  <c r="G192" i="60"/>
  <c r="I191" i="60"/>
  <c r="L191" i="60" s="1"/>
  <c r="J191" i="60"/>
  <c r="G177" i="60"/>
  <c r="I176" i="60"/>
  <c r="L176" i="60" s="1"/>
  <c r="J176" i="60"/>
  <c r="G162" i="60"/>
  <c r="I161" i="60"/>
  <c r="L161" i="60" s="1"/>
  <c r="J161" i="60"/>
  <c r="G108" i="60"/>
  <c r="G93" i="60"/>
  <c r="G94" i="60"/>
  <c r="G78" i="60"/>
  <c r="G63" i="60"/>
  <c r="G64" i="60"/>
  <c r="G49" i="60"/>
  <c r="G48" i="60"/>
  <c r="A104" i="70"/>
  <c r="D79" i="60" s="1"/>
  <c r="B251" i="70"/>
  <c r="A251" i="70"/>
  <c r="D208" i="60" s="1"/>
  <c r="X252" i="70"/>
  <c r="Z253" i="70"/>
  <c r="U252" i="70"/>
  <c r="Q252" i="70" s="1"/>
  <c r="B234" i="70"/>
  <c r="A234" i="70"/>
  <c r="D193" i="60" s="1"/>
  <c r="X235" i="70"/>
  <c r="Z236" i="70"/>
  <c r="U235" i="70"/>
  <c r="Q235" i="70" s="1"/>
  <c r="B217" i="70"/>
  <c r="A217" i="70"/>
  <c r="D178" i="60" s="1"/>
  <c r="Z219" i="70"/>
  <c r="X218" i="70"/>
  <c r="U218" i="70"/>
  <c r="Q218" i="70" s="1"/>
  <c r="B200" i="70"/>
  <c r="A200" i="70"/>
  <c r="D163" i="60" s="1"/>
  <c r="X201" i="70"/>
  <c r="Z202" i="70"/>
  <c r="U201" i="70"/>
  <c r="Q201" i="70" s="1"/>
  <c r="U139" i="70"/>
  <c r="Q139" i="70" s="1"/>
  <c r="A139" i="70" s="1"/>
  <c r="D110" i="60" s="1"/>
  <c r="A138" i="70"/>
  <c r="D109" i="60" s="1"/>
  <c r="B269" i="70"/>
  <c r="A269" i="70"/>
  <c r="D224" i="60" s="1"/>
  <c r="Z271" i="70"/>
  <c r="X270" i="70"/>
  <c r="U270" i="70"/>
  <c r="Q270" i="70" s="1"/>
  <c r="A122" i="70"/>
  <c r="D95" i="60" s="1"/>
  <c r="S106" i="70"/>
  <c r="T106" i="70" s="1"/>
  <c r="U106" i="70" s="1"/>
  <c r="Q106" i="70" s="1"/>
  <c r="A106" i="70" s="1"/>
  <c r="D81" i="60" s="1"/>
  <c r="R107" i="70"/>
  <c r="S140" i="70"/>
  <c r="T140" i="70" s="1"/>
  <c r="R141" i="70"/>
  <c r="S123" i="70"/>
  <c r="T123" i="70" s="1"/>
  <c r="U123" i="70" s="1"/>
  <c r="Q123" i="70" s="1"/>
  <c r="B123" i="70" s="1"/>
  <c r="R124" i="70"/>
  <c r="S157" i="70"/>
  <c r="T157" i="70" s="1"/>
  <c r="R158" i="70"/>
  <c r="S174" i="70"/>
  <c r="T174" i="70" s="1"/>
  <c r="R175" i="70"/>
  <c r="S191" i="70"/>
  <c r="T191" i="70" s="1"/>
  <c r="R192" i="70"/>
  <c r="C1542" i="95"/>
  <c r="C1338" i="95"/>
  <c r="C777" i="95"/>
  <c r="Z186" i="70"/>
  <c r="U185" i="70"/>
  <c r="Q185" i="70" s="1"/>
  <c r="B185" i="70" s="1"/>
  <c r="Z154" i="70"/>
  <c r="U153" i="70"/>
  <c r="Q153" i="70" s="1"/>
  <c r="B153" i="70" s="1"/>
  <c r="Z170" i="70"/>
  <c r="U169" i="70"/>
  <c r="Q169" i="70" s="1"/>
  <c r="B169" i="70" s="1"/>
  <c r="A130" i="70"/>
  <c r="D101" i="60" s="1"/>
  <c r="A134" i="70"/>
  <c r="D105" i="60" s="1"/>
  <c r="A146" i="70"/>
  <c r="D115" i="60" s="1"/>
  <c r="A150" i="70"/>
  <c r="D119" i="60" s="1"/>
  <c r="A114" i="70"/>
  <c r="D87" i="60" s="1"/>
  <c r="A118" i="70"/>
  <c r="D91" i="60" s="1"/>
  <c r="A80" i="70"/>
  <c r="D57" i="60" s="1"/>
  <c r="A84" i="70"/>
  <c r="D61" i="60" s="1"/>
  <c r="A95" i="70"/>
  <c r="D70" i="60" s="1"/>
  <c r="A99" i="70"/>
  <c r="D74" i="60" s="1"/>
  <c r="A129" i="70"/>
  <c r="D100" i="60" s="1"/>
  <c r="A133" i="70"/>
  <c r="D104" i="60" s="1"/>
  <c r="A113" i="70"/>
  <c r="D86" i="60" s="1"/>
  <c r="A117" i="70"/>
  <c r="D90" i="60" s="1"/>
  <c r="A78" i="70"/>
  <c r="D55" i="60" s="1"/>
  <c r="A82" i="70"/>
  <c r="D59" i="60" s="1"/>
  <c r="A183" i="70"/>
  <c r="A63" i="70"/>
  <c r="D42" i="60" s="1"/>
  <c r="A67" i="70"/>
  <c r="D46" i="60" s="1"/>
  <c r="A61" i="70"/>
  <c r="D40" i="60" s="1"/>
  <c r="A65" i="70"/>
  <c r="D44" i="60" s="1"/>
  <c r="A112" i="70"/>
  <c r="D85" i="60" s="1"/>
  <c r="A116" i="70"/>
  <c r="D89" i="60" s="1"/>
  <c r="A79" i="70"/>
  <c r="D56" i="60" s="1"/>
  <c r="A83" i="70"/>
  <c r="D60" i="60" s="1"/>
  <c r="A182" i="70"/>
  <c r="A81" i="70"/>
  <c r="D58" i="60" s="1"/>
  <c r="A85" i="70"/>
  <c r="D62" i="60" s="1"/>
  <c r="A181" i="70"/>
  <c r="A64" i="70"/>
  <c r="D43" i="60" s="1"/>
  <c r="A68" i="70"/>
  <c r="D47" i="60" s="1"/>
  <c r="A180" i="70"/>
  <c r="A184" i="70"/>
  <c r="D149" i="60" s="1"/>
  <c r="A166" i="70"/>
  <c r="D133" i="60" s="1"/>
  <c r="A62" i="70"/>
  <c r="D41" i="60" s="1"/>
  <c r="A66" i="70"/>
  <c r="D45" i="60" s="1"/>
  <c r="A149" i="70"/>
  <c r="D118" i="60" s="1"/>
  <c r="A165" i="70"/>
  <c r="D132" i="60" s="1"/>
  <c r="A98" i="70"/>
  <c r="D73" i="60" s="1"/>
  <c r="A102" i="70"/>
  <c r="D77" i="60" s="1"/>
  <c r="A132" i="70"/>
  <c r="D103" i="60" s="1"/>
  <c r="A136" i="70"/>
  <c r="D107" i="60" s="1"/>
  <c r="A148" i="70"/>
  <c r="D117" i="60" s="1"/>
  <c r="A152" i="70"/>
  <c r="D121" i="60" s="1"/>
  <c r="A163" i="70"/>
  <c r="D130" i="60" s="1"/>
  <c r="A167" i="70"/>
  <c r="D134" i="60" s="1"/>
  <c r="A97" i="70"/>
  <c r="D72" i="60" s="1"/>
  <c r="A101" i="70"/>
  <c r="D76" i="60" s="1"/>
  <c r="A131" i="70"/>
  <c r="D102" i="60" s="1"/>
  <c r="A135" i="70"/>
  <c r="D106" i="60" s="1"/>
  <c r="A147" i="70"/>
  <c r="D116" i="60" s="1"/>
  <c r="A151" i="70"/>
  <c r="D120" i="60" s="1"/>
  <c r="A115" i="70"/>
  <c r="D88" i="60" s="1"/>
  <c r="A119" i="70"/>
  <c r="D92" i="60" s="1"/>
  <c r="A164" i="70"/>
  <c r="D131" i="60" s="1"/>
  <c r="A168" i="70"/>
  <c r="D135" i="60" s="1"/>
  <c r="A96" i="70"/>
  <c r="D71" i="60" s="1"/>
  <c r="A100" i="70"/>
  <c r="D75" i="60" s="1"/>
  <c r="B105" i="70"/>
  <c r="A105" i="70"/>
  <c r="D80" i="60" s="1"/>
  <c r="B88" i="70"/>
  <c r="A88" i="70"/>
  <c r="D65" i="60" s="1"/>
  <c r="X140" i="70"/>
  <c r="Z141" i="70"/>
  <c r="Z125" i="70"/>
  <c r="X125" i="70" s="1"/>
  <c r="X124" i="70"/>
  <c r="Z107" i="70"/>
  <c r="X106" i="70"/>
  <c r="Z90" i="70"/>
  <c r="X89" i="70"/>
  <c r="R91" i="70"/>
  <c r="S91" i="70" s="1"/>
  <c r="T89" i="70"/>
  <c r="U89" i="70" s="1"/>
  <c r="Q89" i="70" s="1"/>
  <c r="A71" i="70"/>
  <c r="D50" i="60" s="1"/>
  <c r="B71" i="70"/>
  <c r="T72" i="70"/>
  <c r="U72" i="70" s="1"/>
  <c r="Q72" i="70" s="1"/>
  <c r="R74" i="70"/>
  <c r="S74" i="70" s="1"/>
  <c r="AS48" i="70"/>
  <c r="AS47" i="70"/>
  <c r="AS46" i="70"/>
  <c r="AS45" i="70"/>
  <c r="AS44" i="70"/>
  <c r="AS43" i="70"/>
  <c r="F291" i="27" l="1"/>
  <c r="J659" i="70"/>
  <c r="T291" i="27" s="1"/>
  <c r="F367" i="27"/>
  <c r="J735" i="70"/>
  <c r="T367" i="27" s="1"/>
  <c r="U1121" i="70"/>
  <c r="U1122" i="70"/>
  <c r="U1120" i="70"/>
  <c r="U1118" i="70"/>
  <c r="U1119" i="70"/>
  <c r="U1123" i="70"/>
  <c r="U1127" i="70"/>
  <c r="U1130" i="70"/>
  <c r="U1133" i="70"/>
  <c r="U1126" i="70"/>
  <c r="U1125" i="70"/>
  <c r="U1124" i="70"/>
  <c r="U1128" i="70"/>
  <c r="U1132" i="70"/>
  <c r="U1129" i="70"/>
  <c r="U1131" i="70"/>
  <c r="F663" i="27"/>
  <c r="H1030" i="70"/>
  <c r="J663" i="27" s="1"/>
  <c r="F877" i="70"/>
  <c r="I510" i="27"/>
  <c r="F875" i="70"/>
  <c r="I508" i="27"/>
  <c r="F874" i="70"/>
  <c r="I507" i="27"/>
  <c r="F876" i="70"/>
  <c r="I509" i="27"/>
  <c r="F873" i="70"/>
  <c r="I506" i="27"/>
  <c r="D145" i="60"/>
  <c r="G145" i="60" s="1"/>
  <c r="D146" i="60"/>
  <c r="G146" i="60" s="1"/>
  <c r="D147" i="60"/>
  <c r="G147" i="60" s="1"/>
  <c r="D148" i="60"/>
  <c r="G148" i="60" s="1"/>
  <c r="J98" i="71"/>
  <c r="M98" i="71" s="1"/>
  <c r="AT98" i="71" s="1"/>
  <c r="I98" i="71"/>
  <c r="K98" i="71"/>
  <c r="K100" i="71"/>
  <c r="J100" i="71"/>
  <c r="M100" i="71" s="1"/>
  <c r="AT100" i="71" s="1"/>
  <c r="I100" i="71"/>
  <c r="I99" i="71"/>
  <c r="J99" i="71"/>
  <c r="M99" i="71" s="1"/>
  <c r="AT99" i="71" s="1"/>
  <c r="K99" i="71"/>
  <c r="K102" i="71"/>
  <c r="J102" i="71"/>
  <c r="M102" i="71" s="1"/>
  <c r="AT102" i="71" s="1"/>
  <c r="I102" i="71"/>
  <c r="K101" i="71"/>
  <c r="I101" i="71"/>
  <c r="J101" i="71"/>
  <c r="M101" i="71" s="1"/>
  <c r="AT101" i="71" s="1"/>
  <c r="J78" i="71"/>
  <c r="M78" i="71" s="1"/>
  <c r="AT78" i="71" s="1"/>
  <c r="I78" i="71"/>
  <c r="J80" i="71"/>
  <c r="M80" i="71" s="1"/>
  <c r="AT80" i="71" s="1"/>
  <c r="I80" i="71"/>
  <c r="I79" i="71"/>
  <c r="J79" i="71"/>
  <c r="M79" i="71" s="1"/>
  <c r="AT79" i="71" s="1"/>
  <c r="J82" i="71"/>
  <c r="M82" i="71" s="1"/>
  <c r="AT82" i="71" s="1"/>
  <c r="I82" i="71"/>
  <c r="J81" i="71"/>
  <c r="M81" i="71" s="1"/>
  <c r="AT81" i="71" s="1"/>
  <c r="I81" i="71"/>
  <c r="J68" i="71"/>
  <c r="M68" i="71" s="1"/>
  <c r="AT68" i="71" s="1"/>
  <c r="I68" i="71"/>
  <c r="I69" i="71"/>
  <c r="J69" i="71"/>
  <c r="M69" i="71" s="1"/>
  <c r="AT69" i="71" s="1"/>
  <c r="J70" i="71"/>
  <c r="M70" i="71" s="1"/>
  <c r="AT70" i="71" s="1"/>
  <c r="I70" i="71"/>
  <c r="J71" i="71"/>
  <c r="M71" i="71" s="1"/>
  <c r="AT71" i="71" s="1"/>
  <c r="I71" i="71"/>
  <c r="J72" i="71"/>
  <c r="M72" i="71" s="1"/>
  <c r="AT72" i="71" s="1"/>
  <c r="I72" i="71"/>
  <c r="I88" i="71"/>
  <c r="J88" i="71"/>
  <c r="M88" i="71" s="1"/>
  <c r="AT88" i="71" s="1"/>
  <c r="I90" i="71"/>
  <c r="J90" i="71"/>
  <c r="M90" i="71" s="1"/>
  <c r="AT90" i="71" s="1"/>
  <c r="J89" i="71"/>
  <c r="M89" i="71" s="1"/>
  <c r="AT89" i="71" s="1"/>
  <c r="I89" i="71"/>
  <c r="J91" i="71"/>
  <c r="M91" i="71" s="1"/>
  <c r="AT91" i="71" s="1"/>
  <c r="I91" i="71"/>
  <c r="J92" i="71"/>
  <c r="M92" i="71" s="1"/>
  <c r="AT92" i="71" s="1"/>
  <c r="I92" i="71"/>
  <c r="J58" i="71"/>
  <c r="M58" i="71" s="1"/>
  <c r="AT58" i="71" s="1"/>
  <c r="I58" i="71"/>
  <c r="I60" i="71"/>
  <c r="J60" i="71"/>
  <c r="M60" i="71" s="1"/>
  <c r="AT60" i="71" s="1"/>
  <c r="J59" i="71"/>
  <c r="M59" i="71" s="1"/>
  <c r="AT59" i="71" s="1"/>
  <c r="I59" i="71"/>
  <c r="J62" i="71"/>
  <c r="M62" i="71" s="1"/>
  <c r="AT62" i="71" s="1"/>
  <c r="I62" i="71"/>
  <c r="I61" i="71"/>
  <c r="J61" i="71"/>
  <c r="M61" i="71" s="1"/>
  <c r="AT61" i="71" s="1"/>
  <c r="J18" i="71"/>
  <c r="M18" i="71" s="1"/>
  <c r="AT18" i="71" s="1"/>
  <c r="I18" i="71"/>
  <c r="J19" i="71"/>
  <c r="M19" i="71" s="1"/>
  <c r="AT19" i="71" s="1"/>
  <c r="I19" i="71"/>
  <c r="J20" i="71"/>
  <c r="M20" i="71" s="1"/>
  <c r="AT20" i="71" s="1"/>
  <c r="I20" i="71"/>
  <c r="I21" i="71"/>
  <c r="J21" i="71"/>
  <c r="M21" i="71" s="1"/>
  <c r="AT21" i="71" s="1"/>
  <c r="J22" i="71"/>
  <c r="M22" i="71" s="1"/>
  <c r="AT22" i="71" s="1"/>
  <c r="I22" i="71"/>
  <c r="I28" i="71"/>
  <c r="J28" i="71"/>
  <c r="M28" i="71" s="1"/>
  <c r="AT28" i="71" s="1"/>
  <c r="I29" i="71"/>
  <c r="J29" i="71"/>
  <c r="M29" i="71" s="1"/>
  <c r="AT29" i="71" s="1"/>
  <c r="J30" i="71"/>
  <c r="M30" i="71" s="1"/>
  <c r="AT30" i="71" s="1"/>
  <c r="I30" i="71"/>
  <c r="I31" i="71"/>
  <c r="J31" i="71"/>
  <c r="M31" i="71" s="1"/>
  <c r="AT31" i="71" s="1"/>
  <c r="J32" i="71"/>
  <c r="M32" i="71" s="1"/>
  <c r="AT32" i="71" s="1"/>
  <c r="I32" i="71"/>
  <c r="J38" i="71"/>
  <c r="M38" i="71" s="1"/>
  <c r="AT38" i="71" s="1"/>
  <c r="I38" i="71"/>
  <c r="I39" i="71"/>
  <c r="J39" i="71"/>
  <c r="M39" i="71" s="1"/>
  <c r="AT39" i="71" s="1"/>
  <c r="J40" i="71"/>
  <c r="M40" i="71" s="1"/>
  <c r="AT40" i="71" s="1"/>
  <c r="I40" i="71"/>
  <c r="I42" i="71"/>
  <c r="J42" i="71"/>
  <c r="M42" i="71" s="1"/>
  <c r="AT42" i="71" s="1"/>
  <c r="J41" i="71"/>
  <c r="M41" i="71" s="1"/>
  <c r="AT41" i="71" s="1"/>
  <c r="I41" i="71"/>
  <c r="I48" i="71"/>
  <c r="J48" i="71"/>
  <c r="M48" i="71" s="1"/>
  <c r="AT48" i="71" s="1"/>
  <c r="I50" i="71"/>
  <c r="J50" i="71"/>
  <c r="M50" i="71" s="1"/>
  <c r="AT50" i="71" s="1"/>
  <c r="I49" i="71"/>
  <c r="J49" i="71"/>
  <c r="M49" i="71" s="1"/>
  <c r="AT49" i="71" s="1"/>
  <c r="J51" i="71"/>
  <c r="M51" i="71" s="1"/>
  <c r="AT51" i="71" s="1"/>
  <c r="I51" i="71"/>
  <c r="J52" i="71"/>
  <c r="M52" i="71" s="1"/>
  <c r="AT52" i="71" s="1"/>
  <c r="I52" i="71"/>
  <c r="G224" i="60"/>
  <c r="I223" i="60"/>
  <c r="L223" i="60" s="1"/>
  <c r="J223" i="60"/>
  <c r="G208" i="60"/>
  <c r="I207" i="60"/>
  <c r="L207" i="60" s="1"/>
  <c r="J207" i="60"/>
  <c r="G193" i="60"/>
  <c r="I192" i="60"/>
  <c r="L192" i="60" s="1"/>
  <c r="J192" i="60"/>
  <c r="G178" i="60"/>
  <c r="I177" i="60"/>
  <c r="L177" i="60" s="1"/>
  <c r="J177" i="60"/>
  <c r="G163" i="60"/>
  <c r="I162" i="60"/>
  <c r="L162" i="60" s="1"/>
  <c r="J162" i="60"/>
  <c r="G149" i="60"/>
  <c r="G130" i="60"/>
  <c r="G133" i="60"/>
  <c r="G135" i="60"/>
  <c r="G131" i="60"/>
  <c r="G134" i="60"/>
  <c r="G132" i="60"/>
  <c r="G119" i="60"/>
  <c r="G121" i="60"/>
  <c r="G116" i="60"/>
  <c r="G117" i="60"/>
  <c r="G115" i="60"/>
  <c r="G120" i="60"/>
  <c r="G118" i="60"/>
  <c r="G104" i="60"/>
  <c r="G110" i="60"/>
  <c r="G100" i="60"/>
  <c r="G106" i="60"/>
  <c r="G107" i="60"/>
  <c r="G105" i="60"/>
  <c r="G102" i="60"/>
  <c r="G103" i="60"/>
  <c r="G101" i="60"/>
  <c r="G109" i="60"/>
  <c r="I108" i="60"/>
  <c r="L108" i="60" s="1"/>
  <c r="G92" i="60"/>
  <c r="G90" i="60"/>
  <c r="G91" i="60"/>
  <c r="G85" i="60"/>
  <c r="G88" i="60"/>
  <c r="G86" i="60"/>
  <c r="G87" i="60"/>
  <c r="G95" i="60"/>
  <c r="I94" i="60"/>
  <c r="L94" i="60" s="1"/>
  <c r="G89" i="60"/>
  <c r="I93" i="60"/>
  <c r="L93" i="60" s="1"/>
  <c r="G75" i="60"/>
  <c r="G74" i="60"/>
  <c r="G71" i="60"/>
  <c r="G70" i="60"/>
  <c r="G73" i="60"/>
  <c r="G76" i="60"/>
  <c r="G72" i="60"/>
  <c r="G79" i="60"/>
  <c r="G77" i="60"/>
  <c r="I78" i="60"/>
  <c r="L78" i="60" s="1"/>
  <c r="G80" i="60"/>
  <c r="G81" i="60"/>
  <c r="G58" i="60"/>
  <c r="G60" i="60"/>
  <c r="I64" i="60"/>
  <c r="L64" i="60" s="1"/>
  <c r="G56" i="60"/>
  <c r="G61" i="60"/>
  <c r="G62" i="60"/>
  <c r="G59" i="60"/>
  <c r="G55" i="60"/>
  <c r="G57" i="60"/>
  <c r="I63" i="60"/>
  <c r="L63" i="60" s="1"/>
  <c r="G65" i="60"/>
  <c r="G47" i="60"/>
  <c r="G43" i="60"/>
  <c r="G44" i="60"/>
  <c r="I48" i="60"/>
  <c r="L48" i="60" s="1"/>
  <c r="G50" i="60"/>
  <c r="G45" i="60"/>
  <c r="G41" i="60"/>
  <c r="G46" i="60"/>
  <c r="I49" i="60"/>
  <c r="L49" i="60" s="1"/>
  <c r="G40" i="60"/>
  <c r="G42" i="60"/>
  <c r="B252" i="70"/>
  <c r="A252" i="70"/>
  <c r="D209" i="60" s="1"/>
  <c r="Z254" i="70"/>
  <c r="X253" i="70"/>
  <c r="U253" i="70"/>
  <c r="Q253" i="70" s="1"/>
  <c r="B235" i="70"/>
  <c r="A235" i="70"/>
  <c r="D194" i="60" s="1"/>
  <c r="B139" i="70"/>
  <c r="Z237" i="70"/>
  <c r="X236" i="70"/>
  <c r="U236" i="70"/>
  <c r="Q236" i="70" s="1"/>
  <c r="B218" i="70"/>
  <c r="A218" i="70"/>
  <c r="D179" i="60" s="1"/>
  <c r="Z220" i="70"/>
  <c r="X219" i="70"/>
  <c r="U219" i="70"/>
  <c r="Q219" i="70" s="1"/>
  <c r="B201" i="70"/>
  <c r="A201" i="70"/>
  <c r="D164" i="60" s="1"/>
  <c r="Z203" i="70"/>
  <c r="X202" i="70"/>
  <c r="U202" i="70"/>
  <c r="Q202" i="70" s="1"/>
  <c r="B270" i="70"/>
  <c r="A270" i="70"/>
  <c r="D225" i="60" s="1"/>
  <c r="Z272" i="70"/>
  <c r="X271" i="70"/>
  <c r="U271" i="70"/>
  <c r="Q271" i="70" s="1"/>
  <c r="U140" i="70"/>
  <c r="Q140" i="70" s="1"/>
  <c r="B140" i="70" s="1"/>
  <c r="A123" i="70"/>
  <c r="D96" i="60" s="1"/>
  <c r="S192" i="70"/>
  <c r="T192" i="70" s="1"/>
  <c r="R193" i="70"/>
  <c r="S193" i="70" s="1"/>
  <c r="S175" i="70"/>
  <c r="T175" i="70" s="1"/>
  <c r="R176" i="70"/>
  <c r="S176" i="70" s="1"/>
  <c r="S158" i="70"/>
  <c r="T158" i="70" s="1"/>
  <c r="R159" i="70"/>
  <c r="S159" i="70" s="1"/>
  <c r="S124" i="70"/>
  <c r="T124" i="70" s="1"/>
  <c r="R125" i="70"/>
  <c r="S125" i="70" s="1"/>
  <c r="S141" i="70"/>
  <c r="T141" i="70" s="1"/>
  <c r="U141" i="70" s="1"/>
  <c r="Q141" i="70" s="1"/>
  <c r="R142" i="70"/>
  <c r="S142" i="70" s="1"/>
  <c r="S107" i="70"/>
  <c r="T107" i="70" s="1"/>
  <c r="U107" i="70" s="1"/>
  <c r="Q107" i="70" s="1"/>
  <c r="R108" i="70"/>
  <c r="S108" i="70" s="1"/>
  <c r="C1339" i="95"/>
  <c r="C778" i="95"/>
  <c r="C1543" i="95"/>
  <c r="B106" i="70"/>
  <c r="A185" i="70"/>
  <c r="D150" i="60" s="1"/>
  <c r="A169" i="70"/>
  <c r="D136" i="60" s="1"/>
  <c r="A153" i="70"/>
  <c r="D122" i="60" s="1"/>
  <c r="U154" i="70"/>
  <c r="Q154" i="70" s="1"/>
  <c r="Z155" i="70"/>
  <c r="X154" i="70"/>
  <c r="Z171" i="70"/>
  <c r="U170" i="70"/>
  <c r="Q170" i="70" s="1"/>
  <c r="X170" i="70"/>
  <c r="Z187" i="70"/>
  <c r="U186" i="70"/>
  <c r="Q186" i="70" s="1"/>
  <c r="X186" i="70"/>
  <c r="B89" i="70"/>
  <c r="A89" i="70"/>
  <c r="D66" i="60" s="1"/>
  <c r="Z142" i="70"/>
  <c r="X142" i="70" s="1"/>
  <c r="X141" i="70"/>
  <c r="Z108" i="70"/>
  <c r="X108" i="70" s="1"/>
  <c r="X107" i="70"/>
  <c r="Z91" i="70"/>
  <c r="X91" i="70" s="1"/>
  <c r="X90" i="70"/>
  <c r="T90" i="70"/>
  <c r="U90" i="70" s="1"/>
  <c r="Q90" i="70" s="1"/>
  <c r="B72" i="70"/>
  <c r="A72" i="70"/>
  <c r="D51" i="60" s="1"/>
  <c r="T73" i="70"/>
  <c r="T74" i="70" s="1"/>
  <c r="U74" i="70" s="1"/>
  <c r="Q74" i="70" s="1"/>
  <c r="W50" i="70"/>
  <c r="W51" i="70" s="1"/>
  <c r="W52" i="70" s="1"/>
  <c r="W53" i="70" s="1"/>
  <c r="R45" i="70"/>
  <c r="F506" i="27" l="1"/>
  <c r="J873" i="70"/>
  <c r="T506" i="27" s="1"/>
  <c r="F509" i="27"/>
  <c r="J876" i="70"/>
  <c r="T509" i="27" s="1"/>
  <c r="F507" i="27"/>
  <c r="J874" i="70"/>
  <c r="T507" i="27" s="1"/>
  <c r="F508" i="27"/>
  <c r="J875" i="70"/>
  <c r="T508" i="27" s="1"/>
  <c r="F510" i="27"/>
  <c r="J877" i="70"/>
  <c r="T510" i="27" s="1"/>
  <c r="C1134" i="70"/>
  <c r="C1135" i="70"/>
  <c r="C1136" i="70"/>
  <c r="C1137" i="70"/>
  <c r="C1138" i="70"/>
  <c r="C1142" i="70"/>
  <c r="C1143" i="70"/>
  <c r="C1139" i="70"/>
  <c r="C1140" i="70"/>
  <c r="C1141" i="70"/>
  <c r="L99" i="71"/>
  <c r="L98" i="71"/>
  <c r="G458" i="70"/>
  <c r="I92" i="27" s="1"/>
  <c r="I458" i="70"/>
  <c r="L92" i="27" s="1"/>
  <c r="G457" i="70"/>
  <c r="I91" i="27" s="1"/>
  <c r="I457" i="70"/>
  <c r="L91" i="27" s="1"/>
  <c r="G456" i="70"/>
  <c r="I90" i="27" s="1"/>
  <c r="I456" i="70"/>
  <c r="L90" i="27" s="1"/>
  <c r="G455" i="70"/>
  <c r="I89" i="27" s="1"/>
  <c r="I455" i="70"/>
  <c r="L89" i="27" s="1"/>
  <c r="L101" i="71"/>
  <c r="L102" i="71"/>
  <c r="L100" i="71"/>
  <c r="G225" i="60"/>
  <c r="I224" i="60"/>
  <c r="L224" i="60" s="1"/>
  <c r="J224" i="60"/>
  <c r="G209" i="60"/>
  <c r="I208" i="60"/>
  <c r="L208" i="60" s="1"/>
  <c r="J208" i="60"/>
  <c r="G194" i="60"/>
  <c r="I193" i="60"/>
  <c r="L193" i="60" s="1"/>
  <c r="J193" i="60"/>
  <c r="G179" i="60"/>
  <c r="I178" i="60"/>
  <c r="L178" i="60" s="1"/>
  <c r="J178" i="60"/>
  <c r="G164" i="60"/>
  <c r="I163" i="60"/>
  <c r="L163" i="60" s="1"/>
  <c r="J163" i="60"/>
  <c r="I148" i="60"/>
  <c r="L148" i="60" s="1"/>
  <c r="J148" i="60"/>
  <c r="I149" i="60"/>
  <c r="L149" i="60" s="1"/>
  <c r="J149" i="60"/>
  <c r="I146" i="60"/>
  <c r="L146" i="60" s="1"/>
  <c r="J146" i="60"/>
  <c r="G150" i="60"/>
  <c r="I145" i="60"/>
  <c r="L145" i="60" s="1"/>
  <c r="J145" i="60"/>
  <c r="I147" i="60"/>
  <c r="L147" i="60" s="1"/>
  <c r="J147" i="60"/>
  <c r="I131" i="60"/>
  <c r="L131" i="60" s="1"/>
  <c r="I135" i="60"/>
  <c r="L135" i="60" s="1"/>
  <c r="I132" i="60"/>
  <c r="L132" i="60" s="1"/>
  <c r="I133" i="60"/>
  <c r="L133" i="60" s="1"/>
  <c r="I134" i="60"/>
  <c r="L134" i="60" s="1"/>
  <c r="I130" i="60"/>
  <c r="L130" i="60" s="1"/>
  <c r="G136" i="60"/>
  <c r="G122" i="60"/>
  <c r="I118" i="60"/>
  <c r="L118" i="60" s="1"/>
  <c r="I116" i="60"/>
  <c r="L116" i="60" s="1"/>
  <c r="I117" i="60"/>
  <c r="L117" i="60" s="1"/>
  <c r="I120" i="60"/>
  <c r="L120" i="60" s="1"/>
  <c r="I121" i="60"/>
  <c r="L121" i="60" s="1"/>
  <c r="I115" i="60"/>
  <c r="L115" i="60" s="1"/>
  <c r="I119" i="60"/>
  <c r="L119" i="60" s="1"/>
  <c r="I106" i="60"/>
  <c r="L106" i="60" s="1"/>
  <c r="I103" i="60"/>
  <c r="L103" i="60" s="1"/>
  <c r="I102" i="60"/>
  <c r="L102" i="60" s="1"/>
  <c r="I100" i="60"/>
  <c r="L100" i="60" s="1"/>
  <c r="I109" i="60"/>
  <c r="L109" i="60" s="1"/>
  <c r="I105" i="60"/>
  <c r="L105" i="60" s="1"/>
  <c r="I110" i="60"/>
  <c r="L110" i="60" s="1"/>
  <c r="I101" i="60"/>
  <c r="L101" i="60" s="1"/>
  <c r="I107" i="60"/>
  <c r="L107" i="60" s="1"/>
  <c r="I104" i="60"/>
  <c r="L104" i="60" s="1"/>
  <c r="I95" i="60"/>
  <c r="L95" i="60" s="1"/>
  <c r="G96" i="60"/>
  <c r="I87" i="60"/>
  <c r="L87" i="60" s="1"/>
  <c r="I91" i="60"/>
  <c r="L91" i="60" s="1"/>
  <c r="I85" i="60"/>
  <c r="L85" i="60" s="1"/>
  <c r="I89" i="60"/>
  <c r="L89" i="60" s="1"/>
  <c r="I86" i="60"/>
  <c r="L86" i="60" s="1"/>
  <c r="I90" i="60"/>
  <c r="L90" i="60" s="1"/>
  <c r="I88" i="60"/>
  <c r="L88" i="60" s="1"/>
  <c r="I92" i="60"/>
  <c r="L92" i="60" s="1"/>
  <c r="I70" i="60"/>
  <c r="L70" i="60" s="1"/>
  <c r="I80" i="60"/>
  <c r="L80" i="60" s="1"/>
  <c r="I72" i="60"/>
  <c r="L72" i="60" s="1"/>
  <c r="I71" i="60"/>
  <c r="L71" i="60" s="1"/>
  <c r="I79" i="60"/>
  <c r="L79" i="60" s="1"/>
  <c r="I76" i="60"/>
  <c r="L76" i="60" s="1"/>
  <c r="I74" i="60"/>
  <c r="L74" i="60" s="1"/>
  <c r="I81" i="60"/>
  <c r="L81" i="60" s="1"/>
  <c r="I77" i="60"/>
  <c r="L77" i="60" s="1"/>
  <c r="I73" i="60"/>
  <c r="L73" i="60" s="1"/>
  <c r="I75" i="60"/>
  <c r="L75" i="60" s="1"/>
  <c r="I55" i="60"/>
  <c r="L55" i="60" s="1"/>
  <c r="I56" i="60"/>
  <c r="L56" i="60" s="1"/>
  <c r="I65" i="60"/>
  <c r="L65" i="60" s="1"/>
  <c r="I59" i="60"/>
  <c r="L59" i="60" s="1"/>
  <c r="I62" i="60"/>
  <c r="L62" i="60" s="1"/>
  <c r="I60" i="60"/>
  <c r="L60" i="60" s="1"/>
  <c r="G66" i="60"/>
  <c r="I57" i="60"/>
  <c r="L57" i="60" s="1"/>
  <c r="I61" i="60"/>
  <c r="L61" i="60" s="1"/>
  <c r="I58" i="60"/>
  <c r="L58" i="60" s="1"/>
  <c r="I42" i="60"/>
  <c r="L42" i="60" s="1"/>
  <c r="I41" i="60"/>
  <c r="L41" i="60" s="1"/>
  <c r="I44" i="60"/>
  <c r="L44" i="60" s="1"/>
  <c r="I46" i="60"/>
  <c r="L46" i="60" s="1"/>
  <c r="I40" i="60"/>
  <c r="L40" i="60" s="1"/>
  <c r="I45" i="60"/>
  <c r="L45" i="60" s="1"/>
  <c r="I43" i="60"/>
  <c r="L43" i="60" s="1"/>
  <c r="G51" i="60"/>
  <c r="I50" i="60"/>
  <c r="L50" i="60" s="1"/>
  <c r="I47" i="60"/>
  <c r="L47" i="60" s="1"/>
  <c r="B253" i="70"/>
  <c r="A253" i="70"/>
  <c r="D210" i="60" s="1"/>
  <c r="Z255" i="70"/>
  <c r="X254" i="70"/>
  <c r="U254" i="70"/>
  <c r="Q254" i="70" s="1"/>
  <c r="B236" i="70"/>
  <c r="A236" i="70"/>
  <c r="D195" i="60" s="1"/>
  <c r="Z238" i="70"/>
  <c r="X237" i="70"/>
  <c r="U237" i="70"/>
  <c r="Q237" i="70" s="1"/>
  <c r="B219" i="70"/>
  <c r="A219" i="70"/>
  <c r="D180" i="60" s="1"/>
  <c r="Z221" i="70"/>
  <c r="X220" i="70"/>
  <c r="U220" i="70"/>
  <c r="Q220" i="70" s="1"/>
  <c r="B202" i="70"/>
  <c r="A202" i="70"/>
  <c r="D165" i="60" s="1"/>
  <c r="Z204" i="70"/>
  <c r="X203" i="70"/>
  <c r="U203" i="70"/>
  <c r="Q203" i="70" s="1"/>
  <c r="T159" i="70"/>
  <c r="B271" i="70"/>
  <c r="A271" i="70"/>
  <c r="D226" i="60" s="1"/>
  <c r="X272" i="70"/>
  <c r="Z273" i="70"/>
  <c r="U272" i="70"/>
  <c r="Q272" i="70" s="1"/>
  <c r="U124" i="70"/>
  <c r="Q124" i="70" s="1"/>
  <c r="B124" i="70" s="1"/>
  <c r="A140" i="70"/>
  <c r="D111" i="60" s="1"/>
  <c r="R46" i="70"/>
  <c r="S46" i="70" s="1"/>
  <c r="S45" i="70"/>
  <c r="T108" i="70"/>
  <c r="U108" i="70" s="1"/>
  <c r="Q108" i="70" s="1"/>
  <c r="B108" i="70" s="1"/>
  <c r="T142" i="70"/>
  <c r="U142" i="70" s="1"/>
  <c r="Q142" i="70" s="1"/>
  <c r="T125" i="70"/>
  <c r="U125" i="70" s="1"/>
  <c r="Q125" i="70" s="1"/>
  <c r="A125" i="70" s="1"/>
  <c r="D98" i="60" s="1"/>
  <c r="T176" i="70"/>
  <c r="T193" i="70"/>
  <c r="C779" i="95"/>
  <c r="C1544" i="95"/>
  <c r="C1340" i="95"/>
  <c r="U73" i="70"/>
  <c r="Q73" i="70" s="1"/>
  <c r="B73" i="70" s="1"/>
  <c r="B154" i="70"/>
  <c r="A154" i="70"/>
  <c r="D123" i="60" s="1"/>
  <c r="B170" i="70"/>
  <c r="A170" i="70"/>
  <c r="D137" i="60" s="1"/>
  <c r="Z172" i="70"/>
  <c r="U171" i="70"/>
  <c r="Q171" i="70" s="1"/>
  <c r="X171" i="70"/>
  <c r="Z188" i="70"/>
  <c r="U187" i="70"/>
  <c r="Q187" i="70" s="1"/>
  <c r="X187" i="70"/>
  <c r="B186" i="70"/>
  <c r="A186" i="70"/>
  <c r="D151" i="60" s="1"/>
  <c r="Z156" i="70"/>
  <c r="U155" i="70"/>
  <c r="Q155" i="70" s="1"/>
  <c r="X155" i="70"/>
  <c r="B141" i="70"/>
  <c r="A141" i="70"/>
  <c r="D112" i="60" s="1"/>
  <c r="B107" i="70"/>
  <c r="A107" i="70"/>
  <c r="D82" i="60" s="1"/>
  <c r="B90" i="70"/>
  <c r="A90" i="70"/>
  <c r="D67" i="60" s="1"/>
  <c r="T91" i="70"/>
  <c r="U91" i="70" s="1"/>
  <c r="Q91" i="70" s="1"/>
  <c r="B74" i="70"/>
  <c r="A74" i="70"/>
  <c r="D53" i="60" s="1"/>
  <c r="I590" i="27"/>
  <c r="I587" i="27"/>
  <c r="I561" i="27"/>
  <c r="I556" i="27"/>
  <c r="I555" i="27"/>
  <c r="I539" i="27"/>
  <c r="I537" i="27"/>
  <c r="I534" i="27"/>
  <c r="I533" i="27"/>
  <c r="I688" i="27"/>
  <c r="I689" i="27"/>
  <c r="I690" i="27"/>
  <c r="I691" i="27"/>
  <c r="I692" i="27"/>
  <c r="I693" i="27"/>
  <c r="I694" i="27"/>
  <c r="I486" i="27"/>
  <c r="I487" i="27"/>
  <c r="I488" i="27"/>
  <c r="I489" i="27"/>
  <c r="I490" i="27"/>
  <c r="I491" i="27"/>
  <c r="F1142" i="70" l="1"/>
  <c r="J1142" i="70"/>
  <c r="F1138" i="70"/>
  <c r="J1138" i="70"/>
  <c r="F1136" i="70"/>
  <c r="J1136" i="70"/>
  <c r="F1141" i="70"/>
  <c r="J1141" i="70"/>
  <c r="F1135" i="70"/>
  <c r="J1135" i="70"/>
  <c r="F1140" i="70"/>
  <c r="J1140" i="70"/>
  <c r="F1134" i="70"/>
  <c r="J1134" i="70"/>
  <c r="F1137" i="70"/>
  <c r="J1137" i="70"/>
  <c r="F1139" i="70"/>
  <c r="J1139" i="70"/>
  <c r="F1143" i="70"/>
  <c r="J1143" i="70"/>
  <c r="F455" i="70"/>
  <c r="F456" i="70"/>
  <c r="F457" i="70"/>
  <c r="F458" i="70"/>
  <c r="G226" i="60"/>
  <c r="I225" i="60"/>
  <c r="L225" i="60" s="1"/>
  <c r="J225" i="60"/>
  <c r="G210" i="60"/>
  <c r="I209" i="60"/>
  <c r="L209" i="60" s="1"/>
  <c r="J209" i="60"/>
  <c r="G195" i="60"/>
  <c r="I194" i="60"/>
  <c r="L194" i="60" s="1"/>
  <c r="J194" i="60"/>
  <c r="G180" i="60"/>
  <c r="I179" i="60"/>
  <c r="L179" i="60" s="1"/>
  <c r="J179" i="60"/>
  <c r="G165" i="60"/>
  <c r="I164" i="60"/>
  <c r="L164" i="60" s="1"/>
  <c r="J164" i="60"/>
  <c r="I150" i="60"/>
  <c r="L150" i="60" s="1"/>
  <c r="J150" i="60"/>
  <c r="G151" i="60"/>
  <c r="I136" i="60"/>
  <c r="L136" i="60" s="1"/>
  <c r="G137" i="60"/>
  <c r="G123" i="60"/>
  <c r="I122" i="60"/>
  <c r="L122" i="60" s="1"/>
  <c r="G112" i="60"/>
  <c r="G111" i="60"/>
  <c r="G98" i="60"/>
  <c r="I96" i="60"/>
  <c r="L96" i="60" s="1"/>
  <c r="G82" i="60"/>
  <c r="I66" i="60"/>
  <c r="L66" i="60" s="1"/>
  <c r="G67" i="60"/>
  <c r="I51" i="60"/>
  <c r="L51" i="60" s="1"/>
  <c r="G53" i="60"/>
  <c r="B254" i="70"/>
  <c r="A254" i="70"/>
  <c r="D211" i="60" s="1"/>
  <c r="X255" i="70"/>
  <c r="Z256" i="70"/>
  <c r="U255" i="70"/>
  <c r="Q255" i="70" s="1"/>
  <c r="B237" i="70"/>
  <c r="A237" i="70"/>
  <c r="D196" i="60" s="1"/>
  <c r="X238" i="70"/>
  <c r="Z239" i="70"/>
  <c r="U238" i="70"/>
  <c r="Q238" i="70" s="1"/>
  <c r="B220" i="70"/>
  <c r="A220" i="70"/>
  <c r="D181" i="60" s="1"/>
  <c r="X221" i="70"/>
  <c r="Z222" i="70"/>
  <c r="U221" i="70"/>
  <c r="Q221" i="70" s="1"/>
  <c r="B203" i="70"/>
  <c r="A203" i="70"/>
  <c r="D166" i="60" s="1"/>
  <c r="X204" i="70"/>
  <c r="Z205" i="70"/>
  <c r="U204" i="70"/>
  <c r="Q204" i="70" s="1"/>
  <c r="A124" i="70"/>
  <c r="D97" i="60" s="1"/>
  <c r="R47" i="70"/>
  <c r="S47" i="70" s="1"/>
  <c r="B272" i="70"/>
  <c r="A272" i="70"/>
  <c r="D227" i="60" s="1"/>
  <c r="Z274" i="70"/>
  <c r="X273" i="70"/>
  <c r="U273" i="70"/>
  <c r="Q273" i="70" s="1"/>
  <c r="B125" i="70"/>
  <c r="C1545" i="95"/>
  <c r="C1341" i="95"/>
  <c r="C780" i="95"/>
  <c r="A108" i="70"/>
  <c r="D83" i="60" s="1"/>
  <c r="A73" i="70"/>
  <c r="D52" i="60" s="1"/>
  <c r="B155" i="70"/>
  <c r="A155" i="70"/>
  <c r="D124" i="60" s="1"/>
  <c r="U156" i="70"/>
  <c r="Q156" i="70" s="1"/>
  <c r="X156" i="70"/>
  <c r="Z157" i="70"/>
  <c r="B171" i="70"/>
  <c r="A171" i="70"/>
  <c r="D138" i="60" s="1"/>
  <c r="Z173" i="70"/>
  <c r="U172" i="70"/>
  <c r="Q172" i="70" s="1"/>
  <c r="X172" i="70"/>
  <c r="Z189" i="70"/>
  <c r="U188" i="70"/>
  <c r="Q188" i="70" s="1"/>
  <c r="X188" i="70"/>
  <c r="B187" i="70"/>
  <c r="A187" i="70"/>
  <c r="D152" i="60" s="1"/>
  <c r="B142" i="70"/>
  <c r="A142" i="70"/>
  <c r="D113" i="60" s="1"/>
  <c r="B91" i="70"/>
  <c r="A91" i="70"/>
  <c r="D68" i="60" s="1"/>
  <c r="F92" i="27" l="1"/>
  <c r="J458" i="70"/>
  <c r="T92" i="27" s="1"/>
  <c r="F91" i="27"/>
  <c r="J457" i="70"/>
  <c r="T91" i="27" s="1"/>
  <c r="F90" i="27"/>
  <c r="J456" i="70"/>
  <c r="T90" i="27" s="1"/>
  <c r="F89" i="27"/>
  <c r="J455" i="70"/>
  <c r="T89" i="27" s="1"/>
  <c r="G227" i="60"/>
  <c r="I226" i="60"/>
  <c r="L226" i="60" s="1"/>
  <c r="J226" i="60"/>
  <c r="G211" i="60"/>
  <c r="I210" i="60"/>
  <c r="L210" i="60" s="1"/>
  <c r="J210" i="60"/>
  <c r="G196" i="60"/>
  <c r="I195" i="60"/>
  <c r="L195" i="60" s="1"/>
  <c r="J195" i="60"/>
  <c r="G181" i="60"/>
  <c r="I180" i="60"/>
  <c r="L180" i="60" s="1"/>
  <c r="J180" i="60"/>
  <c r="G166" i="60"/>
  <c r="I165" i="60"/>
  <c r="L165" i="60" s="1"/>
  <c r="J165" i="60"/>
  <c r="G152" i="60"/>
  <c r="I151" i="60"/>
  <c r="L151" i="60" s="1"/>
  <c r="J151" i="60"/>
  <c r="I137" i="60"/>
  <c r="L137" i="60" s="1"/>
  <c r="G138" i="60"/>
  <c r="G124" i="60"/>
  <c r="I123" i="60"/>
  <c r="L123" i="60" s="1"/>
  <c r="I111" i="60"/>
  <c r="L111" i="60" s="1"/>
  <c r="G113" i="60"/>
  <c r="I112" i="60"/>
  <c r="L112" i="60" s="1"/>
  <c r="G97" i="60"/>
  <c r="I98" i="60"/>
  <c r="L98" i="60" s="1"/>
  <c r="G83" i="60"/>
  <c r="I82" i="60"/>
  <c r="L82" i="60" s="1"/>
  <c r="G68" i="60"/>
  <c r="I67" i="60"/>
  <c r="L67" i="60" s="1"/>
  <c r="G52" i="60"/>
  <c r="I53" i="60"/>
  <c r="L53" i="60" s="1"/>
  <c r="B255" i="70"/>
  <c r="A255" i="70"/>
  <c r="D212" i="60" s="1"/>
  <c r="Z257" i="70"/>
  <c r="X256" i="70"/>
  <c r="U256" i="70"/>
  <c r="Q256" i="70" s="1"/>
  <c r="B238" i="70"/>
  <c r="A238" i="70"/>
  <c r="D197" i="60" s="1"/>
  <c r="Z240" i="70"/>
  <c r="X239" i="70"/>
  <c r="U239" i="70"/>
  <c r="Q239" i="70" s="1"/>
  <c r="B221" i="70"/>
  <c r="A221" i="70"/>
  <c r="D182" i="60" s="1"/>
  <c r="Z223" i="70"/>
  <c r="X222" i="70"/>
  <c r="U222" i="70"/>
  <c r="Q222" i="70" s="1"/>
  <c r="B204" i="70"/>
  <c r="A204" i="70"/>
  <c r="D167" i="60" s="1"/>
  <c r="Z206" i="70"/>
  <c r="X205" i="70"/>
  <c r="U205" i="70"/>
  <c r="Q205" i="70" s="1"/>
  <c r="R48" i="70"/>
  <c r="S48" i="70" s="1"/>
  <c r="A273" i="70"/>
  <c r="D228" i="60" s="1"/>
  <c r="B273" i="70"/>
  <c r="Z275" i="70"/>
  <c r="X274" i="70"/>
  <c r="U274" i="70"/>
  <c r="Q274" i="70" s="1"/>
  <c r="C781" i="95"/>
  <c r="C1546" i="95"/>
  <c r="C1342" i="95"/>
  <c r="Z174" i="70"/>
  <c r="U173" i="70"/>
  <c r="Q173" i="70" s="1"/>
  <c r="X173" i="70"/>
  <c r="X157" i="70"/>
  <c r="U157" i="70"/>
  <c r="Q157" i="70" s="1"/>
  <c r="Z158" i="70"/>
  <c r="B188" i="70"/>
  <c r="A188" i="70"/>
  <c r="D153" i="60" s="1"/>
  <c r="U189" i="70"/>
  <c r="Q189" i="70" s="1"/>
  <c r="Z190" i="70"/>
  <c r="X189" i="70"/>
  <c r="B156" i="70"/>
  <c r="A156" i="70"/>
  <c r="D125" i="60" s="1"/>
  <c r="B172" i="70"/>
  <c r="A172" i="70"/>
  <c r="D139" i="60" s="1"/>
  <c r="H1055" i="70"/>
  <c r="J688" i="27" s="1"/>
  <c r="H1056" i="70"/>
  <c r="J689" i="27" s="1"/>
  <c r="L689" i="27"/>
  <c r="H1057" i="70"/>
  <c r="J690" i="27" s="1"/>
  <c r="H1058" i="70"/>
  <c r="J691" i="27" s="1"/>
  <c r="L691" i="27"/>
  <c r="H1059" i="70"/>
  <c r="J692" i="27" s="1"/>
  <c r="H1060" i="70"/>
  <c r="J693" i="27" s="1"/>
  <c r="L693" i="27"/>
  <c r="B680" i="27"/>
  <c r="D680" i="27"/>
  <c r="E680" i="27"/>
  <c r="T680" i="27"/>
  <c r="V680" i="27"/>
  <c r="X680" i="27" s="1"/>
  <c r="B681" i="27"/>
  <c r="D681" i="27"/>
  <c r="E681" i="27"/>
  <c r="T681" i="27"/>
  <c r="V681" i="27"/>
  <c r="B682" i="27"/>
  <c r="D682" i="27"/>
  <c r="E682" i="27"/>
  <c r="T682" i="27"/>
  <c r="V682" i="27"/>
  <c r="Y682" i="27" s="1"/>
  <c r="B683" i="27"/>
  <c r="D683" i="27"/>
  <c r="E683" i="27"/>
  <c r="T683" i="27"/>
  <c r="V683" i="27"/>
  <c r="X683" i="27" s="1"/>
  <c r="B684" i="27"/>
  <c r="D684" i="27"/>
  <c r="E684" i="27"/>
  <c r="T684" i="27"/>
  <c r="V684" i="27"/>
  <c r="X684" i="27" s="1"/>
  <c r="B685" i="27"/>
  <c r="D685" i="27"/>
  <c r="E685" i="27"/>
  <c r="T685" i="27"/>
  <c r="V685" i="27"/>
  <c r="B686" i="27"/>
  <c r="D686" i="27"/>
  <c r="E686" i="27"/>
  <c r="T686" i="27"/>
  <c r="V686" i="27"/>
  <c r="Y686" i="27" s="1"/>
  <c r="B687" i="27"/>
  <c r="D687" i="27"/>
  <c r="E687" i="27"/>
  <c r="T687" i="27"/>
  <c r="V687" i="27"/>
  <c r="X687" i="27" s="1"/>
  <c r="B688" i="27"/>
  <c r="C688" i="27"/>
  <c r="D688" i="27"/>
  <c r="E688" i="27"/>
  <c r="F688" i="27"/>
  <c r="L688" i="27"/>
  <c r="T688" i="27"/>
  <c r="V688" i="27"/>
  <c r="X688" i="27" s="1"/>
  <c r="B689" i="27"/>
  <c r="C689" i="27"/>
  <c r="D689" i="27"/>
  <c r="E689" i="27"/>
  <c r="F689" i="27"/>
  <c r="T689" i="27"/>
  <c r="V689" i="27"/>
  <c r="B690" i="27"/>
  <c r="C690" i="27"/>
  <c r="D690" i="27"/>
  <c r="E690" i="27"/>
  <c r="F690" i="27"/>
  <c r="L690" i="27"/>
  <c r="T690" i="27"/>
  <c r="V690" i="27"/>
  <c r="Y690" i="27" s="1"/>
  <c r="B691" i="27"/>
  <c r="C691" i="27"/>
  <c r="D691" i="27"/>
  <c r="E691" i="27"/>
  <c r="F691" i="27"/>
  <c r="T691" i="27"/>
  <c r="V691" i="27"/>
  <c r="Y691" i="27" s="1"/>
  <c r="B692" i="27"/>
  <c r="C692" i="27"/>
  <c r="D692" i="27"/>
  <c r="E692" i="27"/>
  <c r="F692" i="27"/>
  <c r="L692" i="27"/>
  <c r="T692" i="27"/>
  <c r="V692" i="27"/>
  <c r="X692" i="27" s="1"/>
  <c r="B693" i="27"/>
  <c r="C693" i="27"/>
  <c r="D693" i="27"/>
  <c r="E693" i="27"/>
  <c r="F693" i="27"/>
  <c r="T693" i="27"/>
  <c r="V693" i="27"/>
  <c r="B635" i="27"/>
  <c r="B636" i="27"/>
  <c r="B637" i="27"/>
  <c r="B638" i="27"/>
  <c r="B639" i="27"/>
  <c r="B640" i="27"/>
  <c r="B641" i="27"/>
  <c r="B642" i="27"/>
  <c r="B643" i="27"/>
  <c r="B644" i="27"/>
  <c r="B650" i="27"/>
  <c r="B651" i="27"/>
  <c r="B652" i="27"/>
  <c r="B653" i="27"/>
  <c r="B654" i="27"/>
  <c r="B655" i="27"/>
  <c r="B656" i="27"/>
  <c r="B657" i="27"/>
  <c r="B658" i="27"/>
  <c r="B659" i="27"/>
  <c r="B665" i="27"/>
  <c r="B666" i="27"/>
  <c r="B667" i="27"/>
  <c r="B668" i="27"/>
  <c r="B669" i="27"/>
  <c r="B670" i="27"/>
  <c r="B671" i="27"/>
  <c r="B672" i="27"/>
  <c r="B673" i="27"/>
  <c r="B674" i="27"/>
  <c r="B694" i="27"/>
  <c r="D650" i="27"/>
  <c r="E650" i="27"/>
  <c r="T650" i="27"/>
  <c r="V650" i="27"/>
  <c r="Y650" i="27" s="1"/>
  <c r="D651" i="27"/>
  <c r="E651" i="27"/>
  <c r="T651" i="27"/>
  <c r="V651" i="27"/>
  <c r="Y651" i="27" s="1"/>
  <c r="D652" i="27"/>
  <c r="E652" i="27"/>
  <c r="T652" i="27"/>
  <c r="V652" i="27"/>
  <c r="Y652" i="27" s="1"/>
  <c r="D653" i="27"/>
  <c r="E653" i="27"/>
  <c r="T653" i="27"/>
  <c r="V653" i="27"/>
  <c r="X653" i="27" s="1"/>
  <c r="D654" i="27"/>
  <c r="E654" i="27"/>
  <c r="T654" i="27"/>
  <c r="V654" i="27"/>
  <c r="Y654" i="27" s="1"/>
  <c r="D655" i="27"/>
  <c r="E655" i="27"/>
  <c r="T655" i="27"/>
  <c r="V655" i="27"/>
  <c r="X655" i="27" s="1"/>
  <c r="D656" i="27"/>
  <c r="E656" i="27"/>
  <c r="T656" i="27"/>
  <c r="V656" i="27"/>
  <c r="Y656" i="27" s="1"/>
  <c r="D657" i="27"/>
  <c r="E657" i="27"/>
  <c r="T657" i="27"/>
  <c r="V657" i="27"/>
  <c r="X657" i="27" s="1"/>
  <c r="D658" i="27"/>
  <c r="E658" i="27"/>
  <c r="T658" i="27"/>
  <c r="V658" i="27"/>
  <c r="X658" i="27" s="1"/>
  <c r="D659" i="27"/>
  <c r="E659" i="27"/>
  <c r="T659" i="27"/>
  <c r="V659" i="27"/>
  <c r="X659" i="27" s="1"/>
  <c r="D665" i="27"/>
  <c r="E665" i="27"/>
  <c r="T665" i="27"/>
  <c r="V665" i="27"/>
  <c r="Y665" i="27" s="1"/>
  <c r="D666" i="27"/>
  <c r="E666" i="27"/>
  <c r="T666" i="27"/>
  <c r="V666" i="27"/>
  <c r="Y666" i="27" s="1"/>
  <c r="D667" i="27"/>
  <c r="E667" i="27"/>
  <c r="T667" i="27"/>
  <c r="V667" i="27"/>
  <c r="X667" i="27" s="1"/>
  <c r="D668" i="27"/>
  <c r="E668" i="27"/>
  <c r="T668" i="27"/>
  <c r="V668" i="27"/>
  <c r="Y668" i="27" s="1"/>
  <c r="D669" i="27"/>
  <c r="E669" i="27"/>
  <c r="T669" i="27"/>
  <c r="V669" i="27"/>
  <c r="X669" i="27" s="1"/>
  <c r="B607" i="27"/>
  <c r="D607" i="27"/>
  <c r="E607" i="27"/>
  <c r="T607" i="27"/>
  <c r="V607" i="27"/>
  <c r="Y607" i="27" s="1"/>
  <c r="B608" i="27"/>
  <c r="D608" i="27"/>
  <c r="E608" i="27"/>
  <c r="T608" i="27"/>
  <c r="V608" i="27"/>
  <c r="B609" i="27"/>
  <c r="D609" i="27"/>
  <c r="E609" i="27"/>
  <c r="T609" i="27"/>
  <c r="V609" i="27"/>
  <c r="X609" i="27" s="1"/>
  <c r="B610" i="27"/>
  <c r="D610" i="27"/>
  <c r="E610" i="27"/>
  <c r="T610" i="27"/>
  <c r="V610" i="27"/>
  <c r="Y610" i="27" s="1"/>
  <c r="B611" i="27"/>
  <c r="D611" i="27"/>
  <c r="E611" i="27"/>
  <c r="T611" i="27"/>
  <c r="V611" i="27"/>
  <c r="X611" i="27" s="1"/>
  <c r="B612" i="27"/>
  <c r="D612" i="27"/>
  <c r="E612" i="27"/>
  <c r="T612" i="27"/>
  <c r="V612" i="27"/>
  <c r="B613" i="27"/>
  <c r="D613" i="27"/>
  <c r="E613" i="27"/>
  <c r="T613" i="27"/>
  <c r="V613" i="27"/>
  <c r="X613" i="27" s="1"/>
  <c r="B614" i="27"/>
  <c r="D614" i="27"/>
  <c r="E614" i="27"/>
  <c r="T614" i="27"/>
  <c r="V614" i="27"/>
  <c r="Y614" i="27" s="1"/>
  <c r="B615" i="27"/>
  <c r="D615" i="27"/>
  <c r="E615" i="27"/>
  <c r="T615" i="27"/>
  <c r="V615" i="27"/>
  <c r="X615" i="27" s="1"/>
  <c r="B616" i="27"/>
  <c r="D616" i="27"/>
  <c r="E616" i="27"/>
  <c r="T616" i="27"/>
  <c r="V616" i="27"/>
  <c r="X616" i="27" s="1"/>
  <c r="B617" i="27"/>
  <c r="D617" i="27"/>
  <c r="E617" i="27"/>
  <c r="T617" i="27"/>
  <c r="V617" i="27"/>
  <c r="B618" i="27"/>
  <c r="D618" i="27"/>
  <c r="E618" i="27"/>
  <c r="T618" i="27"/>
  <c r="V618" i="27"/>
  <c r="Y618" i="27" s="1"/>
  <c r="B619" i="27"/>
  <c r="D619" i="27"/>
  <c r="E619" i="27"/>
  <c r="T619" i="27"/>
  <c r="V619" i="27"/>
  <c r="X619" i="27" s="1"/>
  <c r="J476" i="27"/>
  <c r="T476" i="27"/>
  <c r="V476" i="27"/>
  <c r="Y476" i="27" s="1"/>
  <c r="J477" i="27"/>
  <c r="T477" i="27"/>
  <c r="V477" i="27"/>
  <c r="X477" i="27" s="1"/>
  <c r="J478" i="27"/>
  <c r="T478" i="27"/>
  <c r="V478" i="27"/>
  <c r="X478" i="27" s="1"/>
  <c r="J479" i="27"/>
  <c r="T479" i="27"/>
  <c r="V479" i="27"/>
  <c r="Y479" i="27" s="1"/>
  <c r="J480" i="27"/>
  <c r="T480" i="27"/>
  <c r="V480" i="27"/>
  <c r="Y480" i="27" s="1"/>
  <c r="E835" i="70"/>
  <c r="E836" i="70"/>
  <c r="F836" i="70" s="1"/>
  <c r="J836" i="70" s="1"/>
  <c r="E834" i="70"/>
  <c r="F834" i="70" s="1"/>
  <c r="J834" i="70" s="1"/>
  <c r="E833" i="70"/>
  <c r="E832" i="70"/>
  <c r="F832" i="70" s="1"/>
  <c r="J832" i="70" s="1"/>
  <c r="C336" i="27"/>
  <c r="D336" i="27"/>
  <c r="J336" i="27"/>
  <c r="V336" i="27"/>
  <c r="C337" i="27"/>
  <c r="D337" i="27"/>
  <c r="J337" i="27"/>
  <c r="V337" i="27"/>
  <c r="Y337" i="27" s="1"/>
  <c r="C338" i="27"/>
  <c r="D338" i="27"/>
  <c r="J338" i="27"/>
  <c r="V338" i="27"/>
  <c r="X338" i="27" s="1"/>
  <c r="C339" i="27"/>
  <c r="D339" i="27"/>
  <c r="J339" i="27"/>
  <c r="V339" i="27"/>
  <c r="Y339" i="27" s="1"/>
  <c r="C340" i="27"/>
  <c r="D340" i="27"/>
  <c r="J340" i="27"/>
  <c r="V340" i="27"/>
  <c r="C341" i="27"/>
  <c r="D341" i="27"/>
  <c r="J341" i="27"/>
  <c r="V341" i="27"/>
  <c r="X341" i="27" s="1"/>
  <c r="C342" i="27"/>
  <c r="D342" i="27"/>
  <c r="J342" i="27"/>
  <c r="V342" i="27"/>
  <c r="C343" i="27"/>
  <c r="D343" i="27"/>
  <c r="J343" i="27"/>
  <c r="V343" i="27"/>
  <c r="C344" i="27"/>
  <c r="D344" i="27"/>
  <c r="J344" i="27"/>
  <c r="V344" i="27"/>
  <c r="C345" i="27"/>
  <c r="D345" i="27"/>
  <c r="J345" i="27"/>
  <c r="V345" i="27"/>
  <c r="Y345" i="27" s="1"/>
  <c r="C351" i="27"/>
  <c r="D351" i="27"/>
  <c r="J351" i="27"/>
  <c r="V351" i="27"/>
  <c r="X351" i="27" s="1"/>
  <c r="C352" i="27"/>
  <c r="D352" i="27"/>
  <c r="J352" i="27"/>
  <c r="V352" i="27"/>
  <c r="Y352" i="27" s="1"/>
  <c r="C353" i="27"/>
  <c r="D353" i="27"/>
  <c r="J353" i="27"/>
  <c r="V353" i="27"/>
  <c r="X353" i="27" s="1"/>
  <c r="C354" i="27"/>
  <c r="D354" i="27"/>
  <c r="J354" i="27"/>
  <c r="V354" i="27"/>
  <c r="Y354" i="27" s="1"/>
  <c r="C355" i="27"/>
  <c r="D355" i="27"/>
  <c r="J355" i="27"/>
  <c r="V355" i="27"/>
  <c r="X355" i="27" s="1"/>
  <c r="C356" i="27"/>
  <c r="D356" i="27"/>
  <c r="J356" i="27"/>
  <c r="V356" i="27"/>
  <c r="Y356" i="27" s="1"/>
  <c r="C357" i="27"/>
  <c r="D357" i="27"/>
  <c r="J357" i="27"/>
  <c r="V357" i="27"/>
  <c r="Y357" i="27" s="1"/>
  <c r="C358" i="27"/>
  <c r="D358" i="27"/>
  <c r="J358" i="27"/>
  <c r="V358" i="27"/>
  <c r="Y358" i="27" s="1"/>
  <c r="C359" i="27"/>
  <c r="D359" i="27"/>
  <c r="J359" i="27"/>
  <c r="V359" i="27"/>
  <c r="X359" i="27" s="1"/>
  <c r="C360" i="27"/>
  <c r="D360" i="27"/>
  <c r="J360" i="27"/>
  <c r="V360" i="27"/>
  <c r="Y360" i="27" s="1"/>
  <c r="C361" i="27"/>
  <c r="D361" i="27"/>
  <c r="J361" i="27"/>
  <c r="V361" i="27"/>
  <c r="C362" i="27"/>
  <c r="D362" i="27"/>
  <c r="J362" i="27"/>
  <c r="V362" i="27"/>
  <c r="X362" i="27" s="1"/>
  <c r="C363" i="27"/>
  <c r="D363" i="27"/>
  <c r="J363" i="27"/>
  <c r="V363" i="27"/>
  <c r="Y363" i="27" s="1"/>
  <c r="G228" i="60" l="1"/>
  <c r="I227" i="60"/>
  <c r="L227" i="60" s="1"/>
  <c r="J227" i="60"/>
  <c r="G212" i="60"/>
  <c r="I211" i="60"/>
  <c r="L211" i="60" s="1"/>
  <c r="J211" i="60"/>
  <c r="G197" i="60"/>
  <c r="I196" i="60"/>
  <c r="L196" i="60" s="1"/>
  <c r="J196" i="60"/>
  <c r="G182" i="60"/>
  <c r="I181" i="60"/>
  <c r="L181" i="60" s="1"/>
  <c r="J181" i="60"/>
  <c r="G167" i="60"/>
  <c r="I166" i="60"/>
  <c r="L166" i="60" s="1"/>
  <c r="J166" i="60"/>
  <c r="G153" i="60"/>
  <c r="I152" i="60"/>
  <c r="L152" i="60" s="1"/>
  <c r="J152" i="60"/>
  <c r="I138" i="60"/>
  <c r="L138" i="60" s="1"/>
  <c r="G139" i="60"/>
  <c r="G125" i="60"/>
  <c r="I124" i="60"/>
  <c r="L124" i="60" s="1"/>
  <c r="I113" i="60"/>
  <c r="L113" i="60" s="1"/>
  <c r="I97" i="60"/>
  <c r="L97" i="60" s="1"/>
  <c r="I83" i="60"/>
  <c r="L83" i="60" s="1"/>
  <c r="I68" i="60"/>
  <c r="L68" i="60" s="1"/>
  <c r="I52" i="60"/>
  <c r="L52" i="60" s="1"/>
  <c r="B256" i="70"/>
  <c r="A256" i="70"/>
  <c r="D213" i="60" s="1"/>
  <c r="Z258" i="70"/>
  <c r="X257" i="70"/>
  <c r="U257" i="70"/>
  <c r="Q257" i="70" s="1"/>
  <c r="A239" i="70"/>
  <c r="D198" i="60" s="1"/>
  <c r="B239" i="70"/>
  <c r="Z241" i="70"/>
  <c r="X240" i="70"/>
  <c r="U240" i="70"/>
  <c r="Q240" i="70" s="1"/>
  <c r="B222" i="70"/>
  <c r="A222" i="70"/>
  <c r="D183" i="60" s="1"/>
  <c r="X223" i="70"/>
  <c r="Z224" i="70"/>
  <c r="U223" i="70"/>
  <c r="Q223" i="70" s="1"/>
  <c r="A205" i="70"/>
  <c r="D168" i="60" s="1"/>
  <c r="B205" i="70"/>
  <c r="Z207" i="70"/>
  <c r="X206" i="70"/>
  <c r="U206" i="70"/>
  <c r="Q206" i="70" s="1"/>
  <c r="R49" i="70"/>
  <c r="S49" i="70" s="1"/>
  <c r="B274" i="70"/>
  <c r="A274" i="70"/>
  <c r="D229" i="60" s="1"/>
  <c r="Z276" i="70"/>
  <c r="X275" i="70"/>
  <c r="U275" i="70"/>
  <c r="Q275" i="70" s="1"/>
  <c r="Y688" i="27"/>
  <c r="C782" i="95"/>
  <c r="C1343" i="95"/>
  <c r="C1547" i="95"/>
  <c r="C609" i="27"/>
  <c r="U158" i="70"/>
  <c r="Q158" i="70" s="1"/>
  <c r="Z159" i="70"/>
  <c r="X158" i="70"/>
  <c r="B157" i="70"/>
  <c r="A157" i="70"/>
  <c r="D126" i="60" s="1"/>
  <c r="C608" i="27"/>
  <c r="Z191" i="70"/>
  <c r="X190" i="70"/>
  <c r="U190" i="70"/>
  <c r="Q190" i="70" s="1"/>
  <c r="B173" i="70"/>
  <c r="A173" i="70"/>
  <c r="D140" i="60" s="1"/>
  <c r="B189" i="70"/>
  <c r="A189" i="70"/>
  <c r="D154" i="60" s="1"/>
  <c r="Z175" i="70"/>
  <c r="X174" i="70"/>
  <c r="U174" i="70"/>
  <c r="Q174" i="70" s="1"/>
  <c r="I643" i="70"/>
  <c r="L275" i="27" s="1"/>
  <c r="G643" i="70"/>
  <c r="I644" i="70"/>
  <c r="L276" i="27" s="1"/>
  <c r="G644" i="70"/>
  <c r="I645" i="70"/>
  <c r="L277" i="27" s="1"/>
  <c r="G645" i="70"/>
  <c r="I661" i="70"/>
  <c r="G661" i="70"/>
  <c r="I662" i="70"/>
  <c r="G662" i="70"/>
  <c r="I663" i="70"/>
  <c r="G663" i="70"/>
  <c r="I664" i="70"/>
  <c r="G664" i="70"/>
  <c r="I665" i="70"/>
  <c r="G665" i="70"/>
  <c r="I681" i="70"/>
  <c r="G681" i="70"/>
  <c r="I682" i="70"/>
  <c r="G682" i="70"/>
  <c r="I683" i="70"/>
  <c r="G683" i="70"/>
  <c r="I699" i="70"/>
  <c r="G699" i="70"/>
  <c r="I700" i="70"/>
  <c r="G700" i="70"/>
  <c r="I701" i="70"/>
  <c r="G701" i="70"/>
  <c r="I702" i="70"/>
  <c r="G702" i="70"/>
  <c r="I703" i="70"/>
  <c r="G703" i="70"/>
  <c r="I719" i="70"/>
  <c r="G719" i="70"/>
  <c r="I720" i="70"/>
  <c r="G720" i="70"/>
  <c r="I721" i="70"/>
  <c r="G721" i="70"/>
  <c r="I737" i="70"/>
  <c r="G737" i="70"/>
  <c r="I738" i="70"/>
  <c r="G738" i="70"/>
  <c r="I739" i="70"/>
  <c r="G739" i="70"/>
  <c r="I740" i="70"/>
  <c r="G740" i="70"/>
  <c r="I741" i="70"/>
  <c r="G741" i="70"/>
  <c r="X690" i="27"/>
  <c r="Y659" i="27"/>
  <c r="X691" i="27"/>
  <c r="Y687" i="27"/>
  <c r="Y683" i="27"/>
  <c r="X686" i="27"/>
  <c r="X682" i="27"/>
  <c r="Y680" i="27"/>
  <c r="X681" i="27"/>
  <c r="Y681" i="27"/>
  <c r="X689" i="27"/>
  <c r="Y689" i="27"/>
  <c r="X693" i="27"/>
  <c r="Y693" i="27"/>
  <c r="Y692" i="27"/>
  <c r="X685" i="27"/>
  <c r="Y685" i="27"/>
  <c r="Y684" i="27"/>
  <c r="Y655" i="27"/>
  <c r="X345" i="27"/>
  <c r="X666" i="27"/>
  <c r="Y653" i="27"/>
  <c r="Y657" i="27"/>
  <c r="X668" i="27"/>
  <c r="X651" i="27"/>
  <c r="Y669" i="27"/>
  <c r="Y667" i="27"/>
  <c r="Y658" i="27"/>
  <c r="X665" i="27"/>
  <c r="X656" i="27"/>
  <c r="X654" i="27"/>
  <c r="X652" i="27"/>
  <c r="X650" i="27"/>
  <c r="Y616" i="27"/>
  <c r="X476" i="27"/>
  <c r="X614" i="27"/>
  <c r="X607" i="27"/>
  <c r="X610" i="27"/>
  <c r="Y615" i="27"/>
  <c r="Y611" i="27"/>
  <c r="X480" i="27"/>
  <c r="X618" i="27"/>
  <c r="X363" i="27"/>
  <c r="Y619" i="27"/>
  <c r="C607" i="27"/>
  <c r="X612" i="27"/>
  <c r="Y612" i="27"/>
  <c r="X617" i="27"/>
  <c r="Y617" i="27"/>
  <c r="X608" i="27"/>
  <c r="Y608" i="27"/>
  <c r="Y613" i="27"/>
  <c r="Y609" i="27"/>
  <c r="X358" i="27"/>
  <c r="X479" i="27"/>
  <c r="Y359" i="27"/>
  <c r="Y353" i="27"/>
  <c r="Y477" i="27"/>
  <c r="Y478" i="27"/>
  <c r="Y338" i="27"/>
  <c r="Y361" i="27"/>
  <c r="X361" i="27"/>
  <c r="X354" i="27"/>
  <c r="X352" i="27"/>
  <c r="Y343" i="27"/>
  <c r="X343" i="27"/>
  <c r="F833" i="70"/>
  <c r="J833" i="70" s="1"/>
  <c r="F835" i="70"/>
  <c r="J835" i="70" s="1"/>
  <c r="X340" i="27"/>
  <c r="Y340" i="27"/>
  <c r="X336" i="27"/>
  <c r="Y336" i="27"/>
  <c r="X344" i="27"/>
  <c r="Y344" i="27"/>
  <c r="X342" i="27"/>
  <c r="Y342" i="27"/>
  <c r="X357" i="27"/>
  <c r="X337" i="27"/>
  <c r="Y362" i="27"/>
  <c r="X360" i="27"/>
  <c r="Y355" i="27"/>
  <c r="Y341" i="27"/>
  <c r="X339" i="27"/>
  <c r="X356" i="27"/>
  <c r="Y351" i="27"/>
  <c r="I205" i="43"/>
  <c r="I223" i="43" s="1"/>
  <c r="I241" i="43" s="1"/>
  <c r="I259" i="43" s="1"/>
  <c r="L205" i="43"/>
  <c r="L223" i="43" s="1"/>
  <c r="L241" i="43" s="1"/>
  <c r="L259" i="43" s="1"/>
  <c r="K205" i="43"/>
  <c r="K223" i="43" s="1"/>
  <c r="K241" i="43" s="1"/>
  <c r="K259" i="43" s="1"/>
  <c r="J205" i="43"/>
  <c r="J223" i="43" s="1"/>
  <c r="J241" i="43" s="1"/>
  <c r="J259" i="43" s="1"/>
  <c r="L204" i="43"/>
  <c r="L222" i="43" s="1"/>
  <c r="L240" i="43" s="1"/>
  <c r="L258" i="43" s="1"/>
  <c r="K204" i="43"/>
  <c r="K222" i="43" s="1"/>
  <c r="K240" i="43" s="1"/>
  <c r="K258" i="43" s="1"/>
  <c r="J204" i="43"/>
  <c r="J222" i="43" s="1"/>
  <c r="J240" i="43" s="1"/>
  <c r="J258" i="43" s="1"/>
  <c r="L203" i="43"/>
  <c r="L221" i="43" s="1"/>
  <c r="L239" i="43" s="1"/>
  <c r="L257" i="43" s="1"/>
  <c r="K203" i="43"/>
  <c r="K221" i="43" s="1"/>
  <c r="K239" i="43" s="1"/>
  <c r="K257" i="43" s="1"/>
  <c r="J203" i="43"/>
  <c r="J221" i="43" s="1"/>
  <c r="J239" i="43" s="1"/>
  <c r="J257" i="43" s="1"/>
  <c r="L202" i="43"/>
  <c r="L220" i="43" s="1"/>
  <c r="L238" i="43" s="1"/>
  <c r="L256" i="43" s="1"/>
  <c r="K202" i="43"/>
  <c r="K220" i="43" s="1"/>
  <c r="K238" i="43" s="1"/>
  <c r="K256" i="43" s="1"/>
  <c r="J202" i="43"/>
  <c r="J220" i="43" s="1"/>
  <c r="J238" i="43" s="1"/>
  <c r="J256" i="43" s="1"/>
  <c r="L201" i="43"/>
  <c r="L219" i="43" s="1"/>
  <c r="L237" i="43" s="1"/>
  <c r="L255" i="43" s="1"/>
  <c r="K201" i="43"/>
  <c r="K219" i="43" s="1"/>
  <c r="K237" i="43" s="1"/>
  <c r="K255" i="43" s="1"/>
  <c r="J201" i="43"/>
  <c r="J219" i="43" s="1"/>
  <c r="J237" i="43" s="1"/>
  <c r="J255" i="43" s="1"/>
  <c r="L199" i="43"/>
  <c r="L217" i="43" s="1"/>
  <c r="L235" i="43" s="1"/>
  <c r="L253" i="43" s="1"/>
  <c r="K199" i="43"/>
  <c r="K217" i="43" s="1"/>
  <c r="K235" i="43" s="1"/>
  <c r="K253" i="43" s="1"/>
  <c r="J199" i="43"/>
  <c r="J217" i="43" s="1"/>
  <c r="J235" i="43" s="1"/>
  <c r="J253" i="43" s="1"/>
  <c r="F205" i="43"/>
  <c r="E205" i="43"/>
  <c r="E223" i="43" s="1"/>
  <c r="E241" i="43" s="1"/>
  <c r="E259" i="43" s="1"/>
  <c r="F204" i="43"/>
  <c r="F222" i="43" s="1"/>
  <c r="F240" i="43" s="1"/>
  <c r="F258" i="43" s="1"/>
  <c r="E204" i="43"/>
  <c r="E222" i="43" s="1"/>
  <c r="E240" i="43" s="1"/>
  <c r="E258" i="43" s="1"/>
  <c r="F203" i="43"/>
  <c r="F221" i="43" s="1"/>
  <c r="F239" i="43" s="1"/>
  <c r="F257" i="43" s="1"/>
  <c r="E203" i="43"/>
  <c r="E221" i="43" s="1"/>
  <c r="E239" i="43" s="1"/>
  <c r="E257" i="43" s="1"/>
  <c r="F202" i="43"/>
  <c r="F220" i="43" s="1"/>
  <c r="F238" i="43" s="1"/>
  <c r="F256" i="43" s="1"/>
  <c r="E202" i="43"/>
  <c r="F201" i="43"/>
  <c r="F219" i="43" s="1"/>
  <c r="F237" i="43" s="1"/>
  <c r="F255" i="43" s="1"/>
  <c r="E201" i="43"/>
  <c r="E219" i="43" s="1"/>
  <c r="E237" i="43" s="1"/>
  <c r="E255" i="43" s="1"/>
  <c r="F199" i="43"/>
  <c r="F217" i="43" s="1"/>
  <c r="F235" i="43" s="1"/>
  <c r="F253" i="43" s="1"/>
  <c r="E199" i="43"/>
  <c r="E217" i="43" s="1"/>
  <c r="E235" i="43" s="1"/>
  <c r="E253" i="43" s="1"/>
  <c r="R50" i="70" l="1"/>
  <c r="S50" i="70" s="1"/>
  <c r="G229" i="60"/>
  <c r="I228" i="60"/>
  <c r="L228" i="60" s="1"/>
  <c r="J228" i="60"/>
  <c r="G213" i="60"/>
  <c r="I212" i="60"/>
  <c r="L212" i="60" s="1"/>
  <c r="J212" i="60"/>
  <c r="G198" i="60"/>
  <c r="I197" i="60"/>
  <c r="L197" i="60" s="1"/>
  <c r="J197" i="60"/>
  <c r="G183" i="60"/>
  <c r="I182" i="60"/>
  <c r="L182" i="60" s="1"/>
  <c r="J182" i="60"/>
  <c r="G168" i="60"/>
  <c r="I167" i="60"/>
  <c r="L167" i="60" s="1"/>
  <c r="J167" i="60"/>
  <c r="G154" i="60"/>
  <c r="I153" i="60"/>
  <c r="L153" i="60" s="1"/>
  <c r="J153" i="60"/>
  <c r="G140" i="60"/>
  <c r="I139" i="60"/>
  <c r="L139" i="60" s="1"/>
  <c r="G126" i="60"/>
  <c r="I125" i="60"/>
  <c r="L125" i="60" s="1"/>
  <c r="B257" i="70"/>
  <c r="A257" i="70"/>
  <c r="D214" i="60" s="1"/>
  <c r="Z259" i="70"/>
  <c r="X258" i="70"/>
  <c r="U258" i="70"/>
  <c r="Q258" i="70" s="1"/>
  <c r="B240" i="70"/>
  <c r="A240" i="70"/>
  <c r="D199" i="60" s="1"/>
  <c r="Z242" i="70"/>
  <c r="X241" i="70"/>
  <c r="U241" i="70"/>
  <c r="Q241" i="70" s="1"/>
  <c r="B223" i="70"/>
  <c r="A223" i="70"/>
  <c r="D184" i="60" s="1"/>
  <c r="Z225" i="70"/>
  <c r="X224" i="70"/>
  <c r="U224" i="70"/>
  <c r="Q224" i="70" s="1"/>
  <c r="B206" i="70"/>
  <c r="A206" i="70"/>
  <c r="D169" i="60" s="1"/>
  <c r="Z208" i="70"/>
  <c r="X207" i="70"/>
  <c r="U207" i="70"/>
  <c r="Q207" i="70" s="1"/>
  <c r="B275" i="70"/>
  <c r="A275" i="70"/>
  <c r="D230" i="60" s="1"/>
  <c r="Z277" i="70"/>
  <c r="X276" i="70"/>
  <c r="U276" i="70"/>
  <c r="Q276" i="70" s="1"/>
  <c r="C1344" i="95"/>
  <c r="C783" i="95"/>
  <c r="C1548" i="95"/>
  <c r="X191" i="70"/>
  <c r="U191" i="70"/>
  <c r="Q191" i="70" s="1"/>
  <c r="Z192" i="70"/>
  <c r="Z176" i="70"/>
  <c r="X175" i="70"/>
  <c r="U175" i="70"/>
  <c r="Q175" i="70" s="1"/>
  <c r="B190" i="70"/>
  <c r="A190" i="70"/>
  <c r="D155" i="60" s="1"/>
  <c r="X159" i="70"/>
  <c r="U159" i="70"/>
  <c r="Q159" i="70" s="1"/>
  <c r="A174" i="70"/>
  <c r="D141" i="60" s="1"/>
  <c r="B174" i="70"/>
  <c r="B158" i="70"/>
  <c r="A158" i="70"/>
  <c r="D127" i="60" s="1"/>
  <c r="F223" i="43"/>
  <c r="R51" i="70"/>
  <c r="S51" i="70" s="1"/>
  <c r="E220" i="43"/>
  <c r="G230" i="60" l="1"/>
  <c r="I229" i="60"/>
  <c r="L229" i="60" s="1"/>
  <c r="J229" i="60"/>
  <c r="G214" i="60"/>
  <c r="I213" i="60"/>
  <c r="L213" i="60" s="1"/>
  <c r="J213" i="60"/>
  <c r="G199" i="60"/>
  <c r="I198" i="60"/>
  <c r="L198" i="60" s="1"/>
  <c r="J198" i="60"/>
  <c r="G184" i="60"/>
  <c r="I183" i="60"/>
  <c r="L183" i="60" s="1"/>
  <c r="J183" i="60"/>
  <c r="I168" i="60"/>
  <c r="L168" i="60" s="1"/>
  <c r="J168" i="60"/>
  <c r="G169" i="60"/>
  <c r="G155" i="60"/>
  <c r="I154" i="60"/>
  <c r="L154" i="60" s="1"/>
  <c r="J154" i="60"/>
  <c r="G141" i="60"/>
  <c r="I140" i="60"/>
  <c r="L140" i="60" s="1"/>
  <c r="G127" i="60"/>
  <c r="I126" i="60"/>
  <c r="L126" i="60" s="1"/>
  <c r="B258" i="70"/>
  <c r="A258" i="70"/>
  <c r="D215" i="60" s="1"/>
  <c r="Z260" i="70"/>
  <c r="X259" i="70"/>
  <c r="U259" i="70"/>
  <c r="Q259" i="70" s="1"/>
  <c r="B241" i="70"/>
  <c r="A241" i="70"/>
  <c r="D200" i="60" s="1"/>
  <c r="Z243" i="70"/>
  <c r="X242" i="70"/>
  <c r="U242" i="70"/>
  <c r="Q242" i="70" s="1"/>
  <c r="B224" i="70"/>
  <c r="A224" i="70"/>
  <c r="D185" i="60" s="1"/>
  <c r="Z226" i="70"/>
  <c r="X225" i="70"/>
  <c r="U225" i="70"/>
  <c r="Q225" i="70" s="1"/>
  <c r="B207" i="70"/>
  <c r="A207" i="70"/>
  <c r="D170" i="60" s="1"/>
  <c r="Z209" i="70"/>
  <c r="X208" i="70"/>
  <c r="U208" i="70"/>
  <c r="Q208" i="70" s="1"/>
  <c r="B276" i="70"/>
  <c r="A276" i="70"/>
  <c r="D231" i="60" s="1"/>
  <c r="Z278" i="70"/>
  <c r="X277" i="70"/>
  <c r="U277" i="70"/>
  <c r="Q277" i="70" s="1"/>
  <c r="C1549" i="95"/>
  <c r="C784" i="95"/>
  <c r="B175" i="70"/>
  <c r="A175" i="70"/>
  <c r="D142" i="60" s="1"/>
  <c r="X176" i="70"/>
  <c r="U176" i="70"/>
  <c r="Q176" i="70" s="1"/>
  <c r="Z193" i="70"/>
  <c r="X192" i="70"/>
  <c r="U192" i="70"/>
  <c r="Q192" i="70" s="1"/>
  <c r="B159" i="70"/>
  <c r="A159" i="70"/>
  <c r="D128" i="60" s="1"/>
  <c r="B191" i="70"/>
  <c r="A191" i="70"/>
  <c r="D156" i="60" s="1"/>
  <c r="F241" i="43"/>
  <c r="R52" i="70"/>
  <c r="S52" i="70" s="1"/>
  <c r="E238" i="43"/>
  <c r="E256" i="43" s="1"/>
  <c r="G231" i="60" l="1"/>
  <c r="I230" i="60"/>
  <c r="L230" i="60" s="1"/>
  <c r="J230" i="60"/>
  <c r="G215" i="60"/>
  <c r="I214" i="60"/>
  <c r="L214" i="60" s="1"/>
  <c r="J214" i="60"/>
  <c r="G200" i="60"/>
  <c r="I199" i="60"/>
  <c r="L199" i="60" s="1"/>
  <c r="J199" i="60"/>
  <c r="G185" i="60"/>
  <c r="I184" i="60"/>
  <c r="L184" i="60" s="1"/>
  <c r="J184" i="60"/>
  <c r="I169" i="60"/>
  <c r="L169" i="60" s="1"/>
  <c r="J169" i="60"/>
  <c r="G170" i="60"/>
  <c r="G156" i="60"/>
  <c r="I155" i="60"/>
  <c r="L155" i="60" s="1"/>
  <c r="J155" i="60"/>
  <c r="G142" i="60"/>
  <c r="I141" i="60"/>
  <c r="L141" i="60" s="1"/>
  <c r="I127" i="60"/>
  <c r="L127" i="60" s="1"/>
  <c r="G128" i="60"/>
  <c r="B259" i="70"/>
  <c r="A259" i="70"/>
  <c r="D216" i="60" s="1"/>
  <c r="Z261" i="70"/>
  <c r="X260" i="70"/>
  <c r="U260" i="70"/>
  <c r="Q260" i="70" s="1"/>
  <c r="B242" i="70"/>
  <c r="A242" i="70"/>
  <c r="D201" i="60" s="1"/>
  <c r="Z244" i="70"/>
  <c r="X243" i="70"/>
  <c r="U243" i="70"/>
  <c r="Q243" i="70" s="1"/>
  <c r="B225" i="70"/>
  <c r="A225" i="70"/>
  <c r="D186" i="60" s="1"/>
  <c r="Z227" i="70"/>
  <c r="X226" i="70"/>
  <c r="U226" i="70"/>
  <c r="Q226" i="70" s="1"/>
  <c r="B208" i="70"/>
  <c r="A208" i="70"/>
  <c r="D171" i="60" s="1"/>
  <c r="Z210" i="70"/>
  <c r="X209" i="70"/>
  <c r="U209" i="70"/>
  <c r="Q209" i="70" s="1"/>
  <c r="B277" i="70"/>
  <c r="A277" i="70"/>
  <c r="D232" i="60" s="1"/>
  <c r="X278" i="70"/>
  <c r="U278" i="70"/>
  <c r="Q278" i="70" s="1"/>
  <c r="A278" i="70" s="1"/>
  <c r="C1550" i="95"/>
  <c r="C785" i="95"/>
  <c r="B192" i="70"/>
  <c r="A192" i="70"/>
  <c r="D157" i="60" s="1"/>
  <c r="X193" i="70"/>
  <c r="U193" i="70"/>
  <c r="Q193" i="70" s="1"/>
  <c r="B176" i="70"/>
  <c r="A176" i="70"/>
  <c r="D143" i="60" s="1"/>
  <c r="F259" i="43"/>
  <c r="R53" i="70"/>
  <c r="S53" i="70" s="1"/>
  <c r="K53" i="93"/>
  <c r="K52" i="93"/>
  <c r="K51" i="93"/>
  <c r="K50" i="93"/>
  <c r="K49" i="93"/>
  <c r="K48" i="93"/>
  <c r="K47" i="93"/>
  <c r="K46" i="93"/>
  <c r="K45" i="93"/>
  <c r="K44" i="93"/>
  <c r="K43" i="93"/>
  <c r="K42" i="93"/>
  <c r="K41" i="93"/>
  <c r="K40" i="93"/>
  <c r="K39" i="93"/>
  <c r="K38" i="93"/>
  <c r="K37" i="93"/>
  <c r="K36" i="93"/>
  <c r="K35" i="93"/>
  <c r="K34" i="93"/>
  <c r="K33" i="93"/>
  <c r="K32" i="93"/>
  <c r="K31" i="93"/>
  <c r="K30" i="93"/>
  <c r="K29" i="93"/>
  <c r="K28" i="93"/>
  <c r="K27" i="93"/>
  <c r="K26" i="93"/>
  <c r="K25" i="93"/>
  <c r="K24" i="93"/>
  <c r="K23" i="93"/>
  <c r="K22" i="93"/>
  <c r="K21" i="93"/>
  <c r="K20" i="93"/>
  <c r="K19" i="93"/>
  <c r="K18" i="93"/>
  <c r="K17" i="93"/>
  <c r="K16" i="93"/>
  <c r="K15" i="93"/>
  <c r="K14" i="93"/>
  <c r="K13" i="93"/>
  <c r="K12" i="93"/>
  <c r="K11" i="93"/>
  <c r="K10" i="93"/>
  <c r="K9" i="93"/>
  <c r="K8" i="93"/>
  <c r="AO42" i="70"/>
  <c r="AO41" i="70"/>
  <c r="AO40" i="70"/>
  <c r="AO39" i="70"/>
  <c r="AO38" i="70"/>
  <c r="AO37" i="70"/>
  <c r="AO36" i="70"/>
  <c r="AO35" i="70"/>
  <c r="AO34" i="70"/>
  <c r="AO33" i="70"/>
  <c r="AO32" i="70"/>
  <c r="AS31" i="70"/>
  <c r="AO31" i="70"/>
  <c r="AS30" i="70"/>
  <c r="AO30" i="70"/>
  <c r="AS29" i="70"/>
  <c r="AO29" i="70"/>
  <c r="AS28" i="70"/>
  <c r="AO28" i="70"/>
  <c r="AS27" i="70"/>
  <c r="AO27" i="70"/>
  <c r="AS26" i="70"/>
  <c r="AO26" i="70"/>
  <c r="AO25" i="70"/>
  <c r="W33" i="70"/>
  <c r="W34" i="70" s="1"/>
  <c r="W35" i="70" s="1"/>
  <c r="W36" i="70" s="1"/>
  <c r="R28" i="70"/>
  <c r="I25" i="70" l="1"/>
  <c r="F412" i="70" s="1"/>
  <c r="G232" i="60"/>
  <c r="I231" i="60"/>
  <c r="L231" i="60" s="1"/>
  <c r="J231" i="60"/>
  <c r="G216" i="60"/>
  <c r="I215" i="60"/>
  <c r="L215" i="60" s="1"/>
  <c r="J215" i="60"/>
  <c r="G201" i="60"/>
  <c r="I200" i="60"/>
  <c r="L200" i="60" s="1"/>
  <c r="J200" i="60"/>
  <c r="G186" i="60"/>
  <c r="I185" i="60"/>
  <c r="L185" i="60" s="1"/>
  <c r="J185" i="60"/>
  <c r="I170" i="60"/>
  <c r="L170" i="60" s="1"/>
  <c r="J170" i="60"/>
  <c r="G171" i="60"/>
  <c r="G157" i="60"/>
  <c r="I156" i="60"/>
  <c r="L156" i="60" s="1"/>
  <c r="J156" i="60"/>
  <c r="I142" i="60"/>
  <c r="L142" i="60" s="1"/>
  <c r="G143" i="60"/>
  <c r="I128" i="60"/>
  <c r="L128" i="60" s="1"/>
  <c r="B260" i="70"/>
  <c r="A260" i="70"/>
  <c r="D217" i="60" s="1"/>
  <c r="X261" i="70"/>
  <c r="U261" i="70"/>
  <c r="Q261" i="70" s="1"/>
  <c r="B243" i="70"/>
  <c r="A243" i="70"/>
  <c r="D202" i="60" s="1"/>
  <c r="X244" i="70"/>
  <c r="U244" i="70"/>
  <c r="Q244" i="70" s="1"/>
  <c r="B226" i="70"/>
  <c r="A226" i="70"/>
  <c r="D187" i="60" s="1"/>
  <c r="X227" i="70"/>
  <c r="U227" i="70"/>
  <c r="Q227" i="70" s="1"/>
  <c r="B209" i="70"/>
  <c r="A209" i="70"/>
  <c r="D172" i="60" s="1"/>
  <c r="X210" i="70"/>
  <c r="U210" i="70"/>
  <c r="Q210" i="70" s="1"/>
  <c r="D233" i="60"/>
  <c r="B278" i="70"/>
  <c r="C1551" i="95"/>
  <c r="C786" i="95"/>
  <c r="B193" i="70"/>
  <c r="A193" i="70"/>
  <c r="D158" i="60" s="1"/>
  <c r="R54" i="70"/>
  <c r="S54" i="70" s="1"/>
  <c r="R29" i="70"/>
  <c r="F11" i="70"/>
  <c r="E11" i="70"/>
  <c r="D11" i="70"/>
  <c r="B7" i="70"/>
  <c r="G4" i="72"/>
  <c r="G3" i="72"/>
  <c r="L71" i="91"/>
  <c r="H67" i="91"/>
  <c r="I67" i="91" s="1"/>
  <c r="H66" i="91"/>
  <c r="I66" i="91" s="1"/>
  <c r="L65" i="91"/>
  <c r="H65" i="91"/>
  <c r="I65" i="91" s="1"/>
  <c r="L64" i="91"/>
  <c r="H64" i="91"/>
  <c r="I64" i="91" s="1"/>
  <c r="L63" i="91"/>
  <c r="H63" i="91"/>
  <c r="L62" i="91"/>
  <c r="H62" i="91"/>
  <c r="I62" i="91" s="1"/>
  <c r="L61" i="91"/>
  <c r="H61" i="91"/>
  <c r="I61" i="91" s="1"/>
  <c r="L60" i="91"/>
  <c r="H60" i="91"/>
  <c r="I60" i="91" s="1"/>
  <c r="L59" i="91"/>
  <c r="H59" i="91"/>
  <c r="I59" i="91" s="1"/>
  <c r="L58" i="91"/>
  <c r="H58" i="91"/>
  <c r="I58" i="91" s="1"/>
  <c r="L57" i="91"/>
  <c r="H57" i="91"/>
  <c r="I57" i="91" s="1"/>
  <c r="L56" i="91"/>
  <c r="H56" i="91"/>
  <c r="I56" i="91" s="1"/>
  <c r="L55" i="91"/>
  <c r="H55" i="91"/>
  <c r="I55" i="91" s="1"/>
  <c r="L54" i="91"/>
  <c r="H54" i="91"/>
  <c r="I54" i="91" s="1"/>
  <c r="L53" i="91"/>
  <c r="H53" i="91"/>
  <c r="L52" i="91"/>
  <c r="H52" i="91"/>
  <c r="I52" i="91" s="1"/>
  <c r="L51" i="91"/>
  <c r="H51" i="91"/>
  <c r="I51" i="91" s="1"/>
  <c r="L50" i="91"/>
  <c r="H50" i="91"/>
  <c r="I50" i="91" s="1"/>
  <c r="L49" i="91"/>
  <c r="H49" i="91"/>
  <c r="I49" i="91" s="1"/>
  <c r="L48" i="91"/>
  <c r="H48" i="91"/>
  <c r="I48" i="91" s="1"/>
  <c r="L47" i="91"/>
  <c r="H47" i="91"/>
  <c r="I47" i="91" s="1"/>
  <c r="V46" i="91"/>
  <c r="L46" i="91"/>
  <c r="H46" i="91"/>
  <c r="I46" i="91" s="1"/>
  <c r="L45" i="91"/>
  <c r="H45" i="91"/>
  <c r="I45" i="91" s="1"/>
  <c r="L44" i="91"/>
  <c r="H44" i="91"/>
  <c r="L43" i="91"/>
  <c r="H43" i="91"/>
  <c r="L42" i="91"/>
  <c r="H42" i="91"/>
  <c r="I42" i="91" s="1"/>
  <c r="L41" i="91"/>
  <c r="H41" i="91"/>
  <c r="I41" i="91" s="1"/>
  <c r="L40" i="91"/>
  <c r="H40" i="91"/>
  <c r="I40" i="91" s="1"/>
  <c r="L39" i="91"/>
  <c r="H39" i="91"/>
  <c r="L38" i="91"/>
  <c r="H38" i="91"/>
  <c r="I38" i="91" s="1"/>
  <c r="L37" i="91"/>
  <c r="H37" i="91"/>
  <c r="L36" i="91"/>
  <c r="H36" i="91"/>
  <c r="I36" i="91" s="1"/>
  <c r="L35" i="91"/>
  <c r="H35" i="91"/>
  <c r="L34" i="91"/>
  <c r="H34" i="91"/>
  <c r="I34" i="91" s="1"/>
  <c r="B34" i="91"/>
  <c r="L33" i="91"/>
  <c r="H33" i="91"/>
  <c r="I33" i="91" s="1"/>
  <c r="B33" i="91"/>
  <c r="E33" i="91" s="1"/>
  <c r="L32" i="91"/>
  <c r="H32" i="91"/>
  <c r="I32" i="91" s="1"/>
  <c r="B32" i="91"/>
  <c r="E32" i="91" s="1"/>
  <c r="L31" i="91"/>
  <c r="H31" i="91"/>
  <c r="I31" i="91" s="1"/>
  <c r="B31" i="91"/>
  <c r="E31" i="91" s="1"/>
  <c r="L30" i="91"/>
  <c r="H30" i="91"/>
  <c r="B30" i="91"/>
  <c r="L29" i="91"/>
  <c r="H29" i="91"/>
  <c r="B29" i="91"/>
  <c r="E29" i="91" s="1"/>
  <c r="L28" i="91"/>
  <c r="H28" i="91"/>
  <c r="I28" i="91" s="1"/>
  <c r="B28" i="91"/>
  <c r="E28" i="91" s="1"/>
  <c r="L27" i="91"/>
  <c r="H27" i="91"/>
  <c r="B27" i="91"/>
  <c r="E27" i="91" s="1"/>
  <c r="L26" i="91"/>
  <c r="H26" i="91"/>
  <c r="B26" i="91"/>
  <c r="L25" i="91"/>
  <c r="H25" i="91"/>
  <c r="B25" i="91"/>
  <c r="L24" i="91"/>
  <c r="H24" i="91"/>
  <c r="B24" i="91"/>
  <c r="L23" i="91"/>
  <c r="H23" i="91"/>
  <c r="I23" i="91" s="1"/>
  <c r="B23" i="91"/>
  <c r="L22" i="91"/>
  <c r="H22" i="91"/>
  <c r="B22" i="91"/>
  <c r="L21" i="91"/>
  <c r="H21" i="91"/>
  <c r="B21" i="91"/>
  <c r="L20" i="91"/>
  <c r="H20" i="91"/>
  <c r="B20" i="91"/>
  <c r="L19" i="91"/>
  <c r="H19" i="91"/>
  <c r="I19" i="91" s="1"/>
  <c r="B19" i="91"/>
  <c r="E19" i="91" s="1"/>
  <c r="L18" i="91"/>
  <c r="H18" i="91"/>
  <c r="I18" i="91" s="1"/>
  <c r="B18" i="91"/>
  <c r="L17" i="91"/>
  <c r="H17" i="91"/>
  <c r="I17" i="91" s="1"/>
  <c r="B17" i="91"/>
  <c r="E17" i="91" s="1"/>
  <c r="L16" i="91"/>
  <c r="H16" i="91"/>
  <c r="B16" i="91"/>
  <c r="E16" i="91" s="1"/>
  <c r="L15" i="91"/>
  <c r="H15" i="91"/>
  <c r="I15" i="91" s="1"/>
  <c r="B15" i="91"/>
  <c r="L14" i="91"/>
  <c r="H14" i="91"/>
  <c r="B14" i="91"/>
  <c r="L13" i="91"/>
  <c r="H13" i="91"/>
  <c r="I13" i="91" s="1"/>
  <c r="B13" i="91"/>
  <c r="E13" i="91" s="1"/>
  <c r="L12" i="91"/>
  <c r="H12" i="91"/>
  <c r="I12" i="91" s="1"/>
  <c r="B12" i="91"/>
  <c r="L11" i="91"/>
  <c r="H11" i="91"/>
  <c r="I11" i="91" s="1"/>
  <c r="B11" i="91"/>
  <c r="E11" i="91" s="1"/>
  <c r="L10" i="91"/>
  <c r="H10" i="91"/>
  <c r="B10" i="91"/>
  <c r="L9" i="91"/>
  <c r="H9" i="91"/>
  <c r="B9" i="91"/>
  <c r="E9" i="91" s="1"/>
  <c r="L8" i="91"/>
  <c r="H8" i="91"/>
  <c r="I8" i="91" s="1"/>
  <c r="B8" i="91"/>
  <c r="L7" i="91"/>
  <c r="H7" i="91"/>
  <c r="I7" i="91" s="1"/>
  <c r="B7" i="91"/>
  <c r="L6" i="91"/>
  <c r="H6" i="91"/>
  <c r="I6" i="91" s="1"/>
  <c r="B6" i="91"/>
  <c r="L5" i="91"/>
  <c r="H5" i="91"/>
  <c r="I5" i="91" s="1"/>
  <c r="B5" i="91"/>
  <c r="E5" i="91" s="1"/>
  <c r="L4" i="91"/>
  <c r="H4" i="91"/>
  <c r="I4" i="91" s="1"/>
  <c r="B4" i="91"/>
  <c r="L3" i="91"/>
  <c r="M3" i="91" s="1"/>
  <c r="H3" i="91"/>
  <c r="I3" i="91" s="1"/>
  <c r="B3" i="91"/>
  <c r="C3" i="91" s="1"/>
  <c r="C332" i="27"/>
  <c r="D332" i="27"/>
  <c r="J332" i="27"/>
  <c r="V332" i="27"/>
  <c r="X332" i="27" s="1"/>
  <c r="C333" i="27"/>
  <c r="D333" i="27"/>
  <c r="J333" i="27"/>
  <c r="V333" i="27"/>
  <c r="Y333" i="27" s="1"/>
  <c r="C334" i="27"/>
  <c r="D334" i="27"/>
  <c r="J334" i="27"/>
  <c r="V334" i="27"/>
  <c r="Y334" i="27" s="1"/>
  <c r="C335" i="27"/>
  <c r="D335" i="27"/>
  <c r="J335" i="27"/>
  <c r="V335" i="27"/>
  <c r="X335" i="27" s="1"/>
  <c r="C369" i="27"/>
  <c r="D369" i="27"/>
  <c r="J369" i="27"/>
  <c r="V369" i="27"/>
  <c r="Y369" i="27" s="1"/>
  <c r="C370" i="27"/>
  <c r="D370" i="27"/>
  <c r="J370" i="27"/>
  <c r="V370" i="27"/>
  <c r="X370" i="27" s="1"/>
  <c r="C371" i="27"/>
  <c r="D371" i="27"/>
  <c r="J371" i="27"/>
  <c r="V371" i="27"/>
  <c r="Y371" i="27" s="1"/>
  <c r="C372" i="27"/>
  <c r="D372" i="27"/>
  <c r="J372" i="27"/>
  <c r="V372" i="27"/>
  <c r="X372" i="27" s="1"/>
  <c r="C373" i="27"/>
  <c r="D373" i="27"/>
  <c r="J373" i="27"/>
  <c r="V373" i="27"/>
  <c r="X373" i="27" s="1"/>
  <c r="D1183" i="70" l="1"/>
  <c r="I9" i="91"/>
  <c r="I232" i="60"/>
  <c r="L232" i="60" s="1"/>
  <c r="J232" i="60"/>
  <c r="G217" i="60"/>
  <c r="I216" i="60"/>
  <c r="L216" i="60" s="1"/>
  <c r="J216" i="60"/>
  <c r="G202" i="60"/>
  <c r="I201" i="60"/>
  <c r="L201" i="60" s="1"/>
  <c r="J201" i="60"/>
  <c r="G187" i="60"/>
  <c r="I186" i="60"/>
  <c r="L186" i="60" s="1"/>
  <c r="J186" i="60"/>
  <c r="G172" i="60"/>
  <c r="I171" i="60"/>
  <c r="L171" i="60" s="1"/>
  <c r="J171" i="60"/>
  <c r="G158" i="60"/>
  <c r="I157" i="60"/>
  <c r="L157" i="60" s="1"/>
  <c r="J157" i="60"/>
  <c r="I143" i="60"/>
  <c r="L143" i="60" s="1"/>
  <c r="A261" i="70"/>
  <c r="D218" i="60" s="1"/>
  <c r="B261" i="70"/>
  <c r="A244" i="70"/>
  <c r="D203" i="60" s="1"/>
  <c r="B244" i="70"/>
  <c r="A227" i="70"/>
  <c r="D188" i="60" s="1"/>
  <c r="B227" i="70"/>
  <c r="A210" i="70"/>
  <c r="D173" i="60" s="1"/>
  <c r="B210" i="70"/>
  <c r="C787" i="95"/>
  <c r="C1552" i="95"/>
  <c r="E12" i="91"/>
  <c r="E14" i="91"/>
  <c r="E15" i="91"/>
  <c r="E18" i="91"/>
  <c r="I10" i="91"/>
  <c r="AW26" i="70"/>
  <c r="AW28" i="70" s="1"/>
  <c r="AW43" i="70"/>
  <c r="AP41" i="70"/>
  <c r="AQ41" i="70" s="1"/>
  <c r="AL41" i="70" s="1"/>
  <c r="R55" i="70"/>
  <c r="S55" i="70" s="1"/>
  <c r="D7" i="70"/>
  <c r="E3" i="91"/>
  <c r="C4" i="91"/>
  <c r="E6" i="91"/>
  <c r="C7" i="70"/>
  <c r="AP30" i="70"/>
  <c r="AR30" i="70" s="1"/>
  <c r="AK30" i="70" s="1"/>
  <c r="AP35" i="70"/>
  <c r="AR35" i="70" s="1"/>
  <c r="AK35" i="70" s="1"/>
  <c r="AP36" i="70"/>
  <c r="AQ36" i="70" s="1"/>
  <c r="AL36" i="70" s="1"/>
  <c r="AP27" i="70"/>
  <c r="AR27" i="70" s="1"/>
  <c r="AK27" i="70" s="1"/>
  <c r="S28" i="70"/>
  <c r="S27" i="70"/>
  <c r="AP37" i="70"/>
  <c r="AQ37" i="70" s="1"/>
  <c r="AL37" i="70" s="1"/>
  <c r="AP29" i="70"/>
  <c r="AP34" i="70"/>
  <c r="AR34" i="70" s="1"/>
  <c r="AK34" i="70" s="1"/>
  <c r="AP42" i="70"/>
  <c r="AQ42" i="70" s="1"/>
  <c r="AL42" i="70" s="1"/>
  <c r="AP39" i="70"/>
  <c r="AR39" i="70" s="1"/>
  <c r="AK39" i="70" s="1"/>
  <c r="AP26" i="70"/>
  <c r="AP32" i="70"/>
  <c r="AQ32" i="70" s="1"/>
  <c r="AL32" i="70" s="1"/>
  <c r="AP33" i="70"/>
  <c r="AQ33" i="70" s="1"/>
  <c r="AL33" i="70" s="1"/>
  <c r="AP28" i="70"/>
  <c r="AQ28" i="70" s="1"/>
  <c r="AL28" i="70" s="1"/>
  <c r="AP31" i="70"/>
  <c r="AP40" i="70"/>
  <c r="AR40" i="70" s="1"/>
  <c r="AK40" i="70" s="1"/>
  <c r="AP38" i="70"/>
  <c r="AR38" i="70" s="1"/>
  <c r="AK38" i="70" s="1"/>
  <c r="AP25" i="70"/>
  <c r="AQ25" i="70" s="1"/>
  <c r="AL25" i="70" s="1"/>
  <c r="X369" i="27"/>
  <c r="Y335" i="27"/>
  <c r="X334" i="27"/>
  <c r="Y370" i="27"/>
  <c r="X333" i="27"/>
  <c r="X371" i="27"/>
  <c r="Y372" i="27"/>
  <c r="Y373" i="27"/>
  <c r="Y332" i="27"/>
  <c r="E7" i="91"/>
  <c r="S29" i="70"/>
  <c r="R30" i="70"/>
  <c r="I29" i="91"/>
  <c r="I39" i="91" s="1"/>
  <c r="M4" i="91"/>
  <c r="C5" i="91"/>
  <c r="C443" i="70"/>
  <c r="E4" i="91" l="1"/>
  <c r="I14" i="91"/>
  <c r="I21" i="91" s="1"/>
  <c r="I20" i="91"/>
  <c r="M5" i="91"/>
  <c r="AR33" i="70"/>
  <c r="AK33" i="70" s="1"/>
  <c r="C6" i="91"/>
  <c r="G218" i="60"/>
  <c r="I217" i="60"/>
  <c r="L217" i="60" s="1"/>
  <c r="J217" i="60"/>
  <c r="G203" i="60"/>
  <c r="I202" i="60"/>
  <c r="L202" i="60" s="1"/>
  <c r="J202" i="60"/>
  <c r="G188" i="60"/>
  <c r="I187" i="60"/>
  <c r="L187" i="60" s="1"/>
  <c r="J187" i="60"/>
  <c r="I172" i="60"/>
  <c r="L172" i="60" s="1"/>
  <c r="J172" i="60"/>
  <c r="G173" i="60"/>
  <c r="I158" i="60"/>
  <c r="L158" i="60" s="1"/>
  <c r="J158" i="60"/>
  <c r="C1553" i="95"/>
  <c r="C788" i="95"/>
  <c r="AQ35" i="70"/>
  <c r="AL35" i="70" s="1"/>
  <c r="AW29" i="70"/>
  <c r="AW31" i="70" s="1"/>
  <c r="AR36" i="70"/>
  <c r="AK36" i="70" s="1"/>
  <c r="I16" i="91"/>
  <c r="I839" i="70"/>
  <c r="L471" i="27" s="1"/>
  <c r="G839" i="70"/>
  <c r="I27" i="91"/>
  <c r="I25" i="91"/>
  <c r="I26" i="91"/>
  <c r="I666" i="70"/>
  <c r="G666" i="70"/>
  <c r="F666" i="70" s="1"/>
  <c r="J666" i="70" s="1"/>
  <c r="I772" i="70"/>
  <c r="G772" i="70"/>
  <c r="F772" i="70" s="1"/>
  <c r="J772" i="70" s="1"/>
  <c r="I787" i="70"/>
  <c r="G787" i="70"/>
  <c r="F787" i="70" s="1"/>
  <c r="J787" i="70" s="1"/>
  <c r="G742" i="70"/>
  <c r="F742" i="70" s="1"/>
  <c r="J742" i="70" s="1"/>
  <c r="I742" i="70"/>
  <c r="I757" i="70"/>
  <c r="G757" i="70"/>
  <c r="F757" i="70" s="1"/>
  <c r="J757" i="70" s="1"/>
  <c r="I704" i="70"/>
  <c r="L336" i="27" s="1"/>
  <c r="G704" i="70"/>
  <c r="I802" i="70"/>
  <c r="L434" i="27" s="1"/>
  <c r="G802" i="70"/>
  <c r="I817" i="70"/>
  <c r="L449" i="27" s="1"/>
  <c r="G817" i="70"/>
  <c r="AR28" i="70"/>
  <c r="AK28" i="70" s="1"/>
  <c r="AQ38" i="70"/>
  <c r="AL38" i="70" s="1"/>
  <c r="AR41" i="70"/>
  <c r="AK41" i="70" s="1"/>
  <c r="AW45" i="70"/>
  <c r="AW46" i="70"/>
  <c r="AQ30" i="70"/>
  <c r="AL30" i="70" s="1"/>
  <c r="T44" i="70"/>
  <c r="U44" i="70" s="1"/>
  <c r="Q44" i="70" s="1"/>
  <c r="A44" i="70" s="1"/>
  <c r="R56" i="70"/>
  <c r="S56" i="70" s="1"/>
  <c r="AQ34" i="70"/>
  <c r="AL34" i="70" s="1"/>
  <c r="AQ27" i="70"/>
  <c r="AL27" i="70" s="1"/>
  <c r="T27" i="70"/>
  <c r="AR42" i="70"/>
  <c r="AK42" i="70" s="1"/>
  <c r="AQ39" i="70"/>
  <c r="AL39" i="70" s="1"/>
  <c r="AR25" i="70"/>
  <c r="AK25" i="70" s="1"/>
  <c r="AR37" i="70"/>
  <c r="AK37" i="70" s="1"/>
  <c r="AR29" i="70"/>
  <c r="AK29" i="70" s="1"/>
  <c r="AQ29" i="70"/>
  <c r="AL29" i="70" s="1"/>
  <c r="AR32" i="70"/>
  <c r="AK32" i="70" s="1"/>
  <c r="AR31" i="70"/>
  <c r="AK31" i="70" s="1"/>
  <c r="AQ31" i="70"/>
  <c r="AL31" i="70" s="1"/>
  <c r="AR26" i="70"/>
  <c r="AK26" i="70" s="1"/>
  <c r="AQ26" i="70"/>
  <c r="AL26" i="70" s="1"/>
  <c r="AQ40" i="70"/>
  <c r="AL40" i="70" s="1"/>
  <c r="G1003" i="70"/>
  <c r="G1007" i="70"/>
  <c r="G1011" i="70"/>
  <c r="G1002" i="70"/>
  <c r="I1002" i="70"/>
  <c r="C682" i="27"/>
  <c r="C686" i="27"/>
  <c r="C683" i="27"/>
  <c r="C687" i="27"/>
  <c r="I976" i="70"/>
  <c r="L609" i="27" s="1"/>
  <c r="L351" i="27"/>
  <c r="L353" i="27"/>
  <c r="L370" i="27"/>
  <c r="L372" i="27"/>
  <c r="L332" i="27"/>
  <c r="L334" i="27"/>
  <c r="G385" i="70"/>
  <c r="H405" i="70"/>
  <c r="F699" i="70"/>
  <c r="J699" i="70" s="1"/>
  <c r="G407" i="70"/>
  <c r="F407" i="70" s="1"/>
  <c r="J407" i="70" s="1"/>
  <c r="G975" i="70"/>
  <c r="I608" i="27" s="1"/>
  <c r="L373" i="27"/>
  <c r="I975" i="70"/>
  <c r="L608" i="27" s="1"/>
  <c r="G976" i="70"/>
  <c r="I609" i="27" s="1"/>
  <c r="F681" i="70"/>
  <c r="J681" i="70" s="1"/>
  <c r="F683" i="70"/>
  <c r="J683" i="70" s="1"/>
  <c r="F664" i="70"/>
  <c r="J664" i="70" s="1"/>
  <c r="G386" i="70"/>
  <c r="G399" i="70"/>
  <c r="F399" i="70" s="1"/>
  <c r="J399" i="70" s="1"/>
  <c r="H386" i="70"/>
  <c r="G974" i="70"/>
  <c r="I607" i="27" s="1"/>
  <c r="F682" i="70"/>
  <c r="J682" i="70" s="1"/>
  <c r="G398" i="70"/>
  <c r="F398" i="70" s="1"/>
  <c r="J398" i="70" s="1"/>
  <c r="I974" i="70"/>
  <c r="L607" i="27" s="1"/>
  <c r="L352" i="27"/>
  <c r="L369" i="27"/>
  <c r="L371" i="27"/>
  <c r="L333" i="27"/>
  <c r="L335" i="27"/>
  <c r="F662" i="70"/>
  <c r="J662" i="70" s="1"/>
  <c r="H398" i="70"/>
  <c r="H385" i="70"/>
  <c r="H399" i="70"/>
  <c r="G406" i="70"/>
  <c r="F406" i="70" s="1"/>
  <c r="J406" i="70" s="1"/>
  <c r="G387" i="70"/>
  <c r="F665" i="70"/>
  <c r="J665" i="70" s="1"/>
  <c r="G405" i="70"/>
  <c r="F405" i="70" s="1"/>
  <c r="J405" i="70" s="1"/>
  <c r="H407" i="70"/>
  <c r="F661" i="70"/>
  <c r="J661" i="70" s="1"/>
  <c r="H387" i="70"/>
  <c r="H406" i="70"/>
  <c r="F663" i="70"/>
  <c r="J663" i="70" s="1"/>
  <c r="C684" i="27"/>
  <c r="C685" i="27"/>
  <c r="G1008" i="70"/>
  <c r="I1008" i="70"/>
  <c r="G1005" i="70"/>
  <c r="I1005" i="70"/>
  <c r="I964" i="70"/>
  <c r="G964" i="70"/>
  <c r="G1004" i="70"/>
  <c r="I1004" i="70"/>
  <c r="G1009" i="70"/>
  <c r="I1009" i="70"/>
  <c r="I1006" i="70"/>
  <c r="G1006" i="70"/>
  <c r="I1010" i="70"/>
  <c r="G1010" i="70"/>
  <c r="H375" i="70"/>
  <c r="G375" i="70"/>
  <c r="F375" i="70" s="1"/>
  <c r="J375" i="70" s="1"/>
  <c r="E8" i="91"/>
  <c r="E20" i="91" s="1"/>
  <c r="S30" i="70"/>
  <c r="R31" i="70"/>
  <c r="M6" i="91"/>
  <c r="I566" i="70"/>
  <c r="G549" i="70"/>
  <c r="G534" i="70"/>
  <c r="G519" i="70"/>
  <c r="G504" i="70"/>
  <c r="G489" i="70"/>
  <c r="G474" i="70"/>
  <c r="G459" i="70"/>
  <c r="I93" i="27" s="1"/>
  <c r="G446" i="70"/>
  <c r="G551" i="70"/>
  <c r="G536" i="70"/>
  <c r="G521" i="70"/>
  <c r="G506" i="70"/>
  <c r="G491" i="70"/>
  <c r="G476" i="70"/>
  <c r="G461" i="70"/>
  <c r="I95" i="27" s="1"/>
  <c r="G447" i="70"/>
  <c r="G552" i="70"/>
  <c r="G537" i="70"/>
  <c r="G522" i="70"/>
  <c r="G507" i="70"/>
  <c r="G492" i="70"/>
  <c r="G477" i="70"/>
  <c r="G462" i="70"/>
  <c r="I96" i="27" s="1"/>
  <c r="G448" i="70"/>
  <c r="G553" i="70"/>
  <c r="G538" i="70"/>
  <c r="G523" i="70"/>
  <c r="G508" i="70"/>
  <c r="G493" i="70"/>
  <c r="G478" i="70"/>
  <c r="G463" i="70"/>
  <c r="I97" i="27" s="1"/>
  <c r="G450" i="70"/>
  <c r="G555" i="70"/>
  <c r="G540" i="70"/>
  <c r="G525" i="70"/>
  <c r="G510" i="70"/>
  <c r="G495" i="70"/>
  <c r="G480" i="70"/>
  <c r="G465" i="70"/>
  <c r="G451" i="70"/>
  <c r="G556" i="70"/>
  <c r="G541" i="70"/>
  <c r="G526" i="70"/>
  <c r="G511" i="70"/>
  <c r="G496" i="70"/>
  <c r="G481" i="70"/>
  <c r="G466" i="70"/>
  <c r="G452" i="70"/>
  <c r="G557" i="70"/>
  <c r="G542" i="70"/>
  <c r="G527" i="70"/>
  <c r="G512" i="70"/>
  <c r="G497" i="70"/>
  <c r="G482" i="70"/>
  <c r="G467" i="70"/>
  <c r="E10" i="91" l="1"/>
  <c r="I22" i="91"/>
  <c r="C7" i="91"/>
  <c r="I35" i="91"/>
  <c r="I37" i="91" s="1"/>
  <c r="I218" i="60"/>
  <c r="L218" i="60" s="1"/>
  <c r="J218" i="60"/>
  <c r="I203" i="60"/>
  <c r="L203" i="60" s="1"/>
  <c r="J203" i="60"/>
  <c r="I188" i="60"/>
  <c r="L188" i="60" s="1"/>
  <c r="J188" i="60"/>
  <c r="I173" i="60"/>
  <c r="L173" i="60" s="1"/>
  <c r="J173" i="60"/>
  <c r="B44" i="70"/>
  <c r="D25" i="60"/>
  <c r="F817" i="70"/>
  <c r="F802" i="70"/>
  <c r="I1003" i="70"/>
  <c r="C789" i="95"/>
  <c r="C1554" i="95"/>
  <c r="T45" i="70"/>
  <c r="U27" i="70"/>
  <c r="Q27" i="70" s="1"/>
  <c r="T28" i="70"/>
  <c r="I981" i="70"/>
  <c r="L614" i="27" s="1"/>
  <c r="G983" i="70"/>
  <c r="I616" i="27" s="1"/>
  <c r="F616" i="27"/>
  <c r="I977" i="70"/>
  <c r="L610" i="27" s="1"/>
  <c r="I619" i="27"/>
  <c r="G980" i="70"/>
  <c r="I613" i="27" s="1"/>
  <c r="C615" i="27"/>
  <c r="I985" i="70"/>
  <c r="L618" i="27" s="1"/>
  <c r="I984" i="70"/>
  <c r="L617" i="27" s="1"/>
  <c r="G977" i="70"/>
  <c r="I610" i="27" s="1"/>
  <c r="G979" i="70"/>
  <c r="I612" i="27" s="1"/>
  <c r="G978" i="70"/>
  <c r="I611" i="27" s="1"/>
  <c r="AB45" i="70"/>
  <c r="I636" i="70"/>
  <c r="G636" i="70"/>
  <c r="F636" i="70" s="1"/>
  <c r="J636" i="70" s="1"/>
  <c r="I635" i="70"/>
  <c r="G635" i="70"/>
  <c r="F635" i="70" s="1"/>
  <c r="J635" i="70" s="1"/>
  <c r="I634" i="70"/>
  <c r="G634" i="70"/>
  <c r="F634" i="70" s="1"/>
  <c r="J634" i="70" s="1"/>
  <c r="I632" i="70"/>
  <c r="G632" i="70"/>
  <c r="F632" i="70" s="1"/>
  <c r="J632" i="70" s="1"/>
  <c r="I631" i="70"/>
  <c r="G631" i="70"/>
  <c r="F631" i="70" s="1"/>
  <c r="J631" i="70" s="1"/>
  <c r="I630" i="70"/>
  <c r="G630" i="70"/>
  <c r="F630" i="70" s="1"/>
  <c r="J630" i="70" s="1"/>
  <c r="I628" i="70"/>
  <c r="G628" i="70"/>
  <c r="F628" i="70" s="1"/>
  <c r="J628" i="70" s="1"/>
  <c r="I652" i="70"/>
  <c r="G652" i="70"/>
  <c r="F652" i="70" s="1"/>
  <c r="J652" i="70" s="1"/>
  <c r="I648" i="70"/>
  <c r="G648" i="70"/>
  <c r="F648" i="70" s="1"/>
  <c r="J648" i="70" s="1"/>
  <c r="I655" i="70"/>
  <c r="G655" i="70"/>
  <c r="F655" i="70" s="1"/>
  <c r="J655" i="70" s="1"/>
  <c r="I651" i="70"/>
  <c r="G651" i="70"/>
  <c r="F651" i="70" s="1"/>
  <c r="J651" i="70" s="1"/>
  <c r="I647" i="70"/>
  <c r="G647" i="70"/>
  <c r="F647" i="70" s="1"/>
  <c r="J647" i="70" s="1"/>
  <c r="I653" i="70"/>
  <c r="G653" i="70"/>
  <c r="F653" i="70" s="1"/>
  <c r="J653" i="70" s="1"/>
  <c r="I654" i="70"/>
  <c r="G654" i="70"/>
  <c r="F654" i="70" s="1"/>
  <c r="J654" i="70" s="1"/>
  <c r="I650" i="70"/>
  <c r="G650" i="70"/>
  <c r="F650" i="70" s="1"/>
  <c r="J650" i="70" s="1"/>
  <c r="I646" i="70"/>
  <c r="G646" i="70"/>
  <c r="F646" i="70" s="1"/>
  <c r="J646" i="70" s="1"/>
  <c r="I649" i="70"/>
  <c r="G649" i="70"/>
  <c r="F649" i="70" s="1"/>
  <c r="J649" i="70" s="1"/>
  <c r="I691" i="70"/>
  <c r="G691" i="70"/>
  <c r="F691" i="70" s="1"/>
  <c r="J691" i="70" s="1"/>
  <c r="I729" i="70"/>
  <c r="L361" i="27" s="1"/>
  <c r="G729" i="70"/>
  <c r="I687" i="70"/>
  <c r="G687" i="70"/>
  <c r="F687" i="70" s="1"/>
  <c r="J687" i="70" s="1"/>
  <c r="I725" i="70"/>
  <c r="L357" i="27" s="1"/>
  <c r="G725" i="70"/>
  <c r="I693" i="70"/>
  <c r="G693" i="70"/>
  <c r="F693" i="70" s="1"/>
  <c r="J693" i="70" s="1"/>
  <c r="I731" i="70"/>
  <c r="L363" i="27" s="1"/>
  <c r="G731" i="70"/>
  <c r="I685" i="70"/>
  <c r="G685" i="70"/>
  <c r="F685" i="70" s="1"/>
  <c r="J685" i="70" s="1"/>
  <c r="I723" i="70"/>
  <c r="L355" i="27" s="1"/>
  <c r="G723" i="70"/>
  <c r="I707" i="70"/>
  <c r="L339" i="27" s="1"/>
  <c r="G707" i="70"/>
  <c r="G820" i="70"/>
  <c r="I820" i="70"/>
  <c r="L452" i="27" s="1"/>
  <c r="I669" i="70"/>
  <c r="G669" i="70"/>
  <c r="F669" i="70" s="1"/>
  <c r="J669" i="70" s="1"/>
  <c r="I790" i="70"/>
  <c r="G790" i="70"/>
  <c r="F790" i="70" s="1"/>
  <c r="J790" i="70" s="1"/>
  <c r="I760" i="70"/>
  <c r="L392" i="27" s="1"/>
  <c r="G760" i="70"/>
  <c r="I745" i="70"/>
  <c r="G745" i="70"/>
  <c r="F745" i="70" s="1"/>
  <c r="J745" i="70" s="1"/>
  <c r="G775" i="70"/>
  <c r="F775" i="70" s="1"/>
  <c r="J775" i="70" s="1"/>
  <c r="I775" i="70"/>
  <c r="I805" i="70"/>
  <c r="L437" i="27" s="1"/>
  <c r="G805" i="70"/>
  <c r="I692" i="70"/>
  <c r="G692" i="70"/>
  <c r="F692" i="70" s="1"/>
  <c r="J692" i="70" s="1"/>
  <c r="I730" i="70"/>
  <c r="L362" i="27" s="1"/>
  <c r="G730" i="70"/>
  <c r="I722" i="70"/>
  <c r="L354" i="27" s="1"/>
  <c r="G722" i="70"/>
  <c r="I684" i="70"/>
  <c r="G684" i="70"/>
  <c r="F684" i="70" s="1"/>
  <c r="J684" i="70" s="1"/>
  <c r="G819" i="70"/>
  <c r="I819" i="70"/>
  <c r="L451" i="27" s="1"/>
  <c r="I789" i="70"/>
  <c r="G789" i="70"/>
  <c r="F789" i="70" s="1"/>
  <c r="J789" i="70" s="1"/>
  <c r="I804" i="70"/>
  <c r="L436" i="27" s="1"/>
  <c r="G804" i="70"/>
  <c r="I759" i="70"/>
  <c r="L391" i="27" s="1"/>
  <c r="G759" i="70"/>
  <c r="G774" i="70"/>
  <c r="F774" i="70" s="1"/>
  <c r="J774" i="70" s="1"/>
  <c r="I774" i="70"/>
  <c r="I744" i="70"/>
  <c r="G744" i="70"/>
  <c r="F744" i="70" s="1"/>
  <c r="J744" i="70" s="1"/>
  <c r="I668" i="70"/>
  <c r="G668" i="70"/>
  <c r="F668" i="70" s="1"/>
  <c r="J668" i="70" s="1"/>
  <c r="I706" i="70"/>
  <c r="L338" i="27" s="1"/>
  <c r="G706" i="70"/>
  <c r="I728" i="70"/>
  <c r="L360" i="27" s="1"/>
  <c r="G728" i="70"/>
  <c r="I690" i="70"/>
  <c r="G690" i="70"/>
  <c r="F690" i="70" s="1"/>
  <c r="J690" i="70" s="1"/>
  <c r="I686" i="70"/>
  <c r="G686" i="70"/>
  <c r="F686" i="70" s="1"/>
  <c r="J686" i="70" s="1"/>
  <c r="I724" i="70"/>
  <c r="L356" i="27" s="1"/>
  <c r="G724" i="70"/>
  <c r="I712" i="70"/>
  <c r="L344" i="27" s="1"/>
  <c r="G712" i="70"/>
  <c r="I810" i="70"/>
  <c r="L442" i="27" s="1"/>
  <c r="G810" i="70"/>
  <c r="G825" i="70"/>
  <c r="I825" i="70"/>
  <c r="L457" i="27" s="1"/>
  <c r="I674" i="70"/>
  <c r="G674" i="70"/>
  <c r="F674" i="70" s="1"/>
  <c r="J674" i="70" s="1"/>
  <c r="G780" i="70"/>
  <c r="F780" i="70" s="1"/>
  <c r="J780" i="70" s="1"/>
  <c r="I780" i="70"/>
  <c r="I795" i="70"/>
  <c r="G795" i="70"/>
  <c r="F795" i="70" s="1"/>
  <c r="J795" i="70" s="1"/>
  <c r="I750" i="70"/>
  <c r="G750" i="70"/>
  <c r="F750" i="70" s="1"/>
  <c r="J750" i="70" s="1"/>
  <c r="I765" i="70"/>
  <c r="G765" i="70"/>
  <c r="F765" i="70" s="1"/>
  <c r="J765" i="70" s="1"/>
  <c r="I746" i="70"/>
  <c r="G746" i="70"/>
  <c r="F746" i="70" s="1"/>
  <c r="J746" i="70" s="1"/>
  <c r="I761" i="70"/>
  <c r="L393" i="27" s="1"/>
  <c r="G761" i="70"/>
  <c r="I708" i="70"/>
  <c r="L340" i="27" s="1"/>
  <c r="G708" i="70"/>
  <c r="I806" i="70"/>
  <c r="L438" i="27" s="1"/>
  <c r="G806" i="70"/>
  <c r="G821" i="70"/>
  <c r="I821" i="70"/>
  <c r="L453" i="27" s="1"/>
  <c r="I670" i="70"/>
  <c r="G670" i="70"/>
  <c r="F670" i="70" s="1"/>
  <c r="J670" i="70" s="1"/>
  <c r="G776" i="70"/>
  <c r="F776" i="70" s="1"/>
  <c r="J776" i="70" s="1"/>
  <c r="I776" i="70"/>
  <c r="I791" i="70"/>
  <c r="G791" i="70"/>
  <c r="F791" i="70" s="1"/>
  <c r="J791" i="70" s="1"/>
  <c r="I689" i="70"/>
  <c r="G689" i="70"/>
  <c r="F689" i="70" s="1"/>
  <c r="J689" i="70" s="1"/>
  <c r="I727" i="70"/>
  <c r="L359" i="27" s="1"/>
  <c r="G727" i="70"/>
  <c r="G824" i="70"/>
  <c r="I824" i="70"/>
  <c r="L456" i="27" s="1"/>
  <c r="I673" i="70"/>
  <c r="G673" i="70"/>
  <c r="F673" i="70" s="1"/>
  <c r="J673" i="70" s="1"/>
  <c r="I794" i="70"/>
  <c r="G794" i="70"/>
  <c r="F794" i="70" s="1"/>
  <c r="J794" i="70" s="1"/>
  <c r="I764" i="70"/>
  <c r="G764" i="70"/>
  <c r="F764" i="70" s="1"/>
  <c r="J764" i="70" s="1"/>
  <c r="I711" i="70"/>
  <c r="L343" i="27" s="1"/>
  <c r="G711" i="70"/>
  <c r="I749" i="70"/>
  <c r="G749" i="70"/>
  <c r="F749" i="70" s="1"/>
  <c r="J749" i="70" s="1"/>
  <c r="G779" i="70"/>
  <c r="F779" i="70" s="1"/>
  <c r="J779" i="70" s="1"/>
  <c r="I779" i="70"/>
  <c r="I809" i="70"/>
  <c r="L441" i="27" s="1"/>
  <c r="G809" i="70"/>
  <c r="I726" i="70"/>
  <c r="L358" i="27" s="1"/>
  <c r="G726" i="70"/>
  <c r="I688" i="70"/>
  <c r="G688" i="70"/>
  <c r="F688" i="70" s="1"/>
  <c r="J688" i="70" s="1"/>
  <c r="I763" i="70"/>
  <c r="G763" i="70"/>
  <c r="F763" i="70" s="1"/>
  <c r="J763" i="70" s="1"/>
  <c r="G778" i="70"/>
  <c r="F778" i="70" s="1"/>
  <c r="J778" i="70" s="1"/>
  <c r="I778" i="70"/>
  <c r="I748" i="70"/>
  <c r="G748" i="70"/>
  <c r="F748" i="70" s="1"/>
  <c r="J748" i="70" s="1"/>
  <c r="I793" i="70"/>
  <c r="G793" i="70"/>
  <c r="F793" i="70" s="1"/>
  <c r="J793" i="70" s="1"/>
  <c r="I808" i="70"/>
  <c r="L440" i="27" s="1"/>
  <c r="G808" i="70"/>
  <c r="G823" i="70"/>
  <c r="I823" i="70"/>
  <c r="L455" i="27" s="1"/>
  <c r="I672" i="70"/>
  <c r="G672" i="70"/>
  <c r="F672" i="70" s="1"/>
  <c r="J672" i="70" s="1"/>
  <c r="I710" i="70"/>
  <c r="L342" i="27" s="1"/>
  <c r="G710" i="70"/>
  <c r="AW48" i="70"/>
  <c r="R57" i="70"/>
  <c r="S57" i="70" s="1"/>
  <c r="F1009" i="70"/>
  <c r="I642" i="27"/>
  <c r="F1004" i="70"/>
  <c r="I637" i="27"/>
  <c r="F1008" i="70"/>
  <c r="I641" i="27"/>
  <c r="F1010" i="70"/>
  <c r="I643" i="27"/>
  <c r="F1006" i="70"/>
  <c r="I639" i="27"/>
  <c r="F1011" i="70"/>
  <c r="I644" i="27"/>
  <c r="F1005" i="70"/>
  <c r="I638" i="27"/>
  <c r="F1002" i="70"/>
  <c r="I635" i="27"/>
  <c r="F1007" i="70"/>
  <c r="I640" i="27"/>
  <c r="F1003" i="70"/>
  <c r="I636" i="27"/>
  <c r="G384" i="70"/>
  <c r="E620" i="70"/>
  <c r="G620" i="70" s="1"/>
  <c r="F620" i="70" s="1"/>
  <c r="J620" i="70" s="1"/>
  <c r="I586" i="70"/>
  <c r="G520" i="70"/>
  <c r="F520" i="70" s="1"/>
  <c r="J520" i="70" s="1"/>
  <c r="G380" i="70"/>
  <c r="G550" i="70"/>
  <c r="F550" i="70" s="1"/>
  <c r="J550" i="70" s="1"/>
  <c r="G460" i="70"/>
  <c r="I582" i="70"/>
  <c r="G575" i="70"/>
  <c r="G490" i="70"/>
  <c r="F490" i="70" s="1"/>
  <c r="J490" i="70" s="1"/>
  <c r="H376" i="70"/>
  <c r="C617" i="27"/>
  <c r="E624" i="70"/>
  <c r="I624" i="70" s="1"/>
  <c r="G513" i="70"/>
  <c r="F513" i="70" s="1"/>
  <c r="J513" i="70" s="1"/>
  <c r="G464" i="70"/>
  <c r="F464" i="70" s="1"/>
  <c r="J464" i="70" s="1"/>
  <c r="E612" i="70"/>
  <c r="I612" i="70" s="1"/>
  <c r="I980" i="70"/>
  <c r="L613" i="27" s="1"/>
  <c r="C611" i="27"/>
  <c r="E616" i="70"/>
  <c r="G616" i="70" s="1"/>
  <c r="F616" i="70" s="1"/>
  <c r="J616" i="70" s="1"/>
  <c r="G524" i="70"/>
  <c r="F524" i="70" s="1"/>
  <c r="J524" i="70" s="1"/>
  <c r="I844" i="70"/>
  <c r="L476" i="27" s="1"/>
  <c r="I979" i="70"/>
  <c r="L612" i="27" s="1"/>
  <c r="I978" i="70"/>
  <c r="L611" i="27" s="1"/>
  <c r="C610" i="27"/>
  <c r="G468" i="70"/>
  <c r="F468" i="70" s="1"/>
  <c r="J468" i="70" s="1"/>
  <c r="G528" i="70"/>
  <c r="F528" i="70" s="1"/>
  <c r="J528" i="70" s="1"/>
  <c r="I590" i="70"/>
  <c r="E613" i="70"/>
  <c r="I613" i="70" s="1"/>
  <c r="E617" i="70"/>
  <c r="I617" i="70" s="1"/>
  <c r="E621" i="70"/>
  <c r="G621" i="70" s="1"/>
  <c r="F621" i="70" s="1"/>
  <c r="J621" i="70" s="1"/>
  <c r="E625" i="70"/>
  <c r="G625" i="70" s="1"/>
  <c r="F625" i="70" s="1"/>
  <c r="J625" i="70" s="1"/>
  <c r="G483" i="70"/>
  <c r="F483" i="70" s="1"/>
  <c r="J483" i="70" s="1"/>
  <c r="G543" i="70"/>
  <c r="F543" i="70" s="1"/>
  <c r="J543" i="70" s="1"/>
  <c r="G605" i="70"/>
  <c r="E614" i="70"/>
  <c r="I614" i="70" s="1"/>
  <c r="E618" i="70"/>
  <c r="I618" i="70" s="1"/>
  <c r="E622" i="70"/>
  <c r="G622" i="70" s="1"/>
  <c r="F622" i="70" s="1"/>
  <c r="J622" i="70" s="1"/>
  <c r="I848" i="70"/>
  <c r="L480" i="27" s="1"/>
  <c r="I1011" i="70"/>
  <c r="I982" i="70"/>
  <c r="L615" i="27" s="1"/>
  <c r="G498" i="70"/>
  <c r="F498" i="70" s="1"/>
  <c r="J498" i="70" s="1"/>
  <c r="G558" i="70"/>
  <c r="F558" i="70" s="1"/>
  <c r="J558" i="70" s="1"/>
  <c r="E611" i="70"/>
  <c r="G611" i="70" s="1"/>
  <c r="F611" i="70" s="1"/>
  <c r="J611" i="70" s="1"/>
  <c r="E615" i="70"/>
  <c r="I615" i="70" s="1"/>
  <c r="E619" i="70"/>
  <c r="I619" i="70" s="1"/>
  <c r="E623" i="70"/>
  <c r="G623" i="70" s="1"/>
  <c r="F623" i="70" s="1"/>
  <c r="J623" i="70" s="1"/>
  <c r="G475" i="70"/>
  <c r="F475" i="70" s="1"/>
  <c r="J475" i="70" s="1"/>
  <c r="G535" i="70"/>
  <c r="F535" i="70" s="1"/>
  <c r="J535" i="70" s="1"/>
  <c r="G597" i="70"/>
  <c r="C613" i="27"/>
  <c r="G505" i="70"/>
  <c r="F505" i="70" s="1"/>
  <c r="J505" i="70" s="1"/>
  <c r="G567" i="70"/>
  <c r="G445" i="70"/>
  <c r="G453" i="70"/>
  <c r="F453" i="70" s="1"/>
  <c r="J453" i="70" s="1"/>
  <c r="I840" i="70"/>
  <c r="L472" i="27" s="1"/>
  <c r="G981" i="70"/>
  <c r="I614" i="27" s="1"/>
  <c r="G494" i="70"/>
  <c r="F494" i="70" s="1"/>
  <c r="J494" i="70" s="1"/>
  <c r="G554" i="70"/>
  <c r="F554" i="70" s="1"/>
  <c r="J554" i="70" s="1"/>
  <c r="G509" i="70"/>
  <c r="F509" i="70" s="1"/>
  <c r="J509" i="70" s="1"/>
  <c r="I571" i="70"/>
  <c r="G449" i="70"/>
  <c r="F449" i="70" s="1"/>
  <c r="J449" i="70" s="1"/>
  <c r="G984" i="70"/>
  <c r="C612" i="27"/>
  <c r="G982" i="70"/>
  <c r="C614" i="27"/>
  <c r="I1007" i="70"/>
  <c r="G479" i="70"/>
  <c r="F479" i="70" s="1"/>
  <c r="J479" i="70" s="1"/>
  <c r="G539" i="70"/>
  <c r="F539" i="70" s="1"/>
  <c r="J539" i="70" s="1"/>
  <c r="I601" i="70"/>
  <c r="C680" i="27"/>
  <c r="C619" i="27"/>
  <c r="I1041" i="70"/>
  <c r="G1041" i="70"/>
  <c r="F643" i="70"/>
  <c r="F737" i="70"/>
  <c r="G1040" i="70"/>
  <c r="I1040" i="70"/>
  <c r="I1038" i="70"/>
  <c r="G1038" i="70"/>
  <c r="F645" i="70"/>
  <c r="F741" i="70"/>
  <c r="F721" i="70"/>
  <c r="F703" i="70"/>
  <c r="F701" i="70"/>
  <c r="F720" i="70"/>
  <c r="F702" i="70"/>
  <c r="F740" i="70"/>
  <c r="F644" i="70"/>
  <c r="G1039" i="70"/>
  <c r="I1039" i="70"/>
  <c r="F739" i="70"/>
  <c r="F719" i="70"/>
  <c r="I1037" i="70"/>
  <c r="G1037" i="70"/>
  <c r="F700" i="70"/>
  <c r="F738" i="70"/>
  <c r="C616" i="27"/>
  <c r="L619" i="27"/>
  <c r="G985" i="70"/>
  <c r="I983" i="70"/>
  <c r="L616" i="27" s="1"/>
  <c r="I1026" i="70"/>
  <c r="L659" i="27" s="1"/>
  <c r="C659" i="27"/>
  <c r="G1026" i="70"/>
  <c r="I659" i="27" s="1"/>
  <c r="G1024" i="70"/>
  <c r="I657" i="27" s="1"/>
  <c r="C657" i="27"/>
  <c r="I1024" i="70"/>
  <c r="L657" i="27" s="1"/>
  <c r="C618" i="27"/>
  <c r="G1020" i="70"/>
  <c r="I653" i="27" s="1"/>
  <c r="C653" i="27"/>
  <c r="I1020" i="70"/>
  <c r="L653" i="27" s="1"/>
  <c r="C667" i="27"/>
  <c r="G1034" i="70"/>
  <c r="I667" i="27" s="1"/>
  <c r="I1034" i="70"/>
  <c r="L667" i="27" s="1"/>
  <c r="C654" i="27"/>
  <c r="G1021" i="70"/>
  <c r="I654" i="27" s="1"/>
  <c r="I1021" i="70"/>
  <c r="L654" i="27" s="1"/>
  <c r="C665" i="27"/>
  <c r="G1032" i="70"/>
  <c r="I665" i="27" s="1"/>
  <c r="I1032" i="70"/>
  <c r="L665" i="27" s="1"/>
  <c r="C655" i="27"/>
  <c r="G1022" i="70"/>
  <c r="I655" i="27" s="1"/>
  <c r="I1022" i="70"/>
  <c r="L655" i="27" s="1"/>
  <c r="G1033" i="70"/>
  <c r="I666" i="27" s="1"/>
  <c r="I1033" i="70"/>
  <c r="L666" i="27" s="1"/>
  <c r="C666" i="27"/>
  <c r="G1019" i="70"/>
  <c r="I652" i="27" s="1"/>
  <c r="C652" i="27"/>
  <c r="I1019" i="70"/>
  <c r="L652" i="27" s="1"/>
  <c r="C650" i="27"/>
  <c r="G1017" i="70"/>
  <c r="I650" i="27" s="1"/>
  <c r="I1017" i="70"/>
  <c r="L650" i="27" s="1"/>
  <c r="I1018" i="70"/>
  <c r="L651" i="27" s="1"/>
  <c r="C651" i="27"/>
  <c r="G1018" i="70"/>
  <c r="I651" i="27" s="1"/>
  <c r="I1035" i="70"/>
  <c r="L668" i="27" s="1"/>
  <c r="C668" i="27"/>
  <c r="G1035" i="70"/>
  <c r="I668" i="27" s="1"/>
  <c r="I1025" i="70"/>
  <c r="L658" i="27" s="1"/>
  <c r="C658" i="27"/>
  <c r="G1025" i="70"/>
  <c r="I658" i="27" s="1"/>
  <c r="G1036" i="70"/>
  <c r="C669" i="27"/>
  <c r="I1036" i="70"/>
  <c r="L669" i="27" s="1"/>
  <c r="G1023" i="70"/>
  <c r="I656" i="27" s="1"/>
  <c r="C656" i="27"/>
  <c r="I1023" i="70"/>
  <c r="L656" i="27" s="1"/>
  <c r="I970" i="70"/>
  <c r="G970" i="70"/>
  <c r="G972" i="70"/>
  <c r="I972" i="70"/>
  <c r="G967" i="70"/>
  <c r="I967" i="70"/>
  <c r="I966" i="70"/>
  <c r="G966" i="70"/>
  <c r="G971" i="70"/>
  <c r="I971" i="70"/>
  <c r="G968" i="70"/>
  <c r="I968" i="70"/>
  <c r="G846" i="70"/>
  <c r="I846" i="70"/>
  <c r="L478" i="27" s="1"/>
  <c r="G847" i="70"/>
  <c r="I847" i="70"/>
  <c r="L479" i="27" s="1"/>
  <c r="G842" i="70"/>
  <c r="I842" i="70"/>
  <c r="L474" i="27" s="1"/>
  <c r="G843" i="70"/>
  <c r="I843" i="70"/>
  <c r="L475" i="27" s="1"/>
  <c r="F839" i="70"/>
  <c r="I471" i="27"/>
  <c r="I841" i="70"/>
  <c r="L473" i="27" s="1"/>
  <c r="G841" i="70"/>
  <c r="I845" i="70"/>
  <c r="L477" i="27" s="1"/>
  <c r="G845" i="70"/>
  <c r="F704" i="70"/>
  <c r="I583" i="70"/>
  <c r="G583" i="70"/>
  <c r="G581" i="70"/>
  <c r="I581" i="70"/>
  <c r="G602" i="70"/>
  <c r="I602" i="70"/>
  <c r="I589" i="70"/>
  <c r="G589" i="70"/>
  <c r="G588" i="70"/>
  <c r="I588" i="70"/>
  <c r="I587" i="70"/>
  <c r="G587" i="70"/>
  <c r="I585" i="70"/>
  <c r="G585" i="70"/>
  <c r="G584" i="70"/>
  <c r="I584" i="70"/>
  <c r="I604" i="70"/>
  <c r="G604" i="70"/>
  <c r="I603" i="70"/>
  <c r="G603" i="70"/>
  <c r="G600" i="70"/>
  <c r="I600" i="70"/>
  <c r="I599" i="70"/>
  <c r="G599" i="70"/>
  <c r="I598" i="70"/>
  <c r="G598" i="70"/>
  <c r="G596" i="70"/>
  <c r="I596" i="70"/>
  <c r="I574" i="70"/>
  <c r="G574" i="70"/>
  <c r="I573" i="70"/>
  <c r="G573" i="70"/>
  <c r="I572" i="70"/>
  <c r="G572" i="70"/>
  <c r="G570" i="70"/>
  <c r="I570" i="70"/>
  <c r="I569" i="70"/>
  <c r="G569" i="70"/>
  <c r="I568" i="70"/>
  <c r="G568" i="70"/>
  <c r="G393" i="70"/>
  <c r="F393" i="70" s="1"/>
  <c r="J393" i="70" s="1"/>
  <c r="H393" i="70"/>
  <c r="G378" i="70"/>
  <c r="H378" i="70"/>
  <c r="H381" i="70"/>
  <c r="G381" i="70"/>
  <c r="G394" i="70"/>
  <c r="F394" i="70" s="1"/>
  <c r="J394" i="70" s="1"/>
  <c r="H394" i="70"/>
  <c r="H379" i="70"/>
  <c r="G379" i="70"/>
  <c r="G397" i="70"/>
  <c r="F397" i="70" s="1"/>
  <c r="J397" i="70" s="1"/>
  <c r="H397" i="70"/>
  <c r="G382" i="70"/>
  <c r="H382" i="70"/>
  <c r="G395" i="70"/>
  <c r="F395" i="70" s="1"/>
  <c r="J395" i="70" s="1"/>
  <c r="H395" i="70"/>
  <c r="G392" i="70"/>
  <c r="F392" i="70" s="1"/>
  <c r="J392" i="70" s="1"/>
  <c r="H392" i="70"/>
  <c r="H377" i="70"/>
  <c r="G377" i="70"/>
  <c r="H390" i="70"/>
  <c r="G390" i="70"/>
  <c r="F390" i="70" s="1"/>
  <c r="J390" i="70" s="1"/>
  <c r="G391" i="70"/>
  <c r="F391" i="70" s="1"/>
  <c r="J391" i="70" s="1"/>
  <c r="H391" i="70"/>
  <c r="G388" i="70"/>
  <c r="F388" i="70" s="1"/>
  <c r="J388" i="70" s="1"/>
  <c r="H388" i="70"/>
  <c r="H383" i="70"/>
  <c r="G383" i="70"/>
  <c r="G389" i="70"/>
  <c r="F389" i="70" s="1"/>
  <c r="J389" i="70" s="1"/>
  <c r="H389" i="70"/>
  <c r="G396" i="70"/>
  <c r="F396" i="70" s="1"/>
  <c r="J396" i="70" s="1"/>
  <c r="H396" i="70"/>
  <c r="E21" i="91"/>
  <c r="E22" i="91"/>
  <c r="E23" i="91" s="1"/>
  <c r="S31" i="70"/>
  <c r="R32" i="70"/>
  <c r="M7" i="91"/>
  <c r="I467" i="70"/>
  <c r="F467" i="70"/>
  <c r="J467" i="70" s="1"/>
  <c r="I482" i="70"/>
  <c r="F482" i="70"/>
  <c r="J482" i="70" s="1"/>
  <c r="I497" i="70"/>
  <c r="F497" i="70"/>
  <c r="J497" i="70" s="1"/>
  <c r="I512" i="70"/>
  <c r="F512" i="70"/>
  <c r="J512" i="70" s="1"/>
  <c r="I527" i="70"/>
  <c r="F527" i="70"/>
  <c r="J527" i="70" s="1"/>
  <c r="I542" i="70"/>
  <c r="F542" i="70"/>
  <c r="J542" i="70" s="1"/>
  <c r="I557" i="70"/>
  <c r="F557" i="70"/>
  <c r="J557" i="70" s="1"/>
  <c r="I452" i="70"/>
  <c r="F452" i="70"/>
  <c r="J452" i="70" s="1"/>
  <c r="I466" i="70"/>
  <c r="F466" i="70"/>
  <c r="J466" i="70" s="1"/>
  <c r="I481" i="70"/>
  <c r="F481" i="70"/>
  <c r="J481" i="70" s="1"/>
  <c r="I496" i="70"/>
  <c r="F496" i="70"/>
  <c r="J496" i="70" s="1"/>
  <c r="I511" i="70"/>
  <c r="F511" i="70"/>
  <c r="J511" i="70" s="1"/>
  <c r="I526" i="70"/>
  <c r="F526" i="70"/>
  <c r="J526" i="70" s="1"/>
  <c r="I541" i="70"/>
  <c r="F541" i="70"/>
  <c r="J541" i="70" s="1"/>
  <c r="I556" i="70"/>
  <c r="F556" i="70"/>
  <c r="J556" i="70" s="1"/>
  <c r="I451" i="70"/>
  <c r="F451" i="70"/>
  <c r="J451" i="70" s="1"/>
  <c r="I465" i="70"/>
  <c r="F465" i="70"/>
  <c r="J465" i="70" s="1"/>
  <c r="I480" i="70"/>
  <c r="F480" i="70"/>
  <c r="J480" i="70" s="1"/>
  <c r="I495" i="70"/>
  <c r="F495" i="70"/>
  <c r="J495" i="70" s="1"/>
  <c r="I510" i="70"/>
  <c r="F510" i="70"/>
  <c r="J510" i="70" s="1"/>
  <c r="I525" i="70"/>
  <c r="F525" i="70"/>
  <c r="J525" i="70" s="1"/>
  <c r="I540" i="70"/>
  <c r="F540" i="70"/>
  <c r="J540" i="70" s="1"/>
  <c r="I555" i="70"/>
  <c r="F555" i="70"/>
  <c r="J555" i="70" s="1"/>
  <c r="I450" i="70"/>
  <c r="F450" i="70"/>
  <c r="J450" i="70" s="1"/>
  <c r="I463" i="70"/>
  <c r="L97" i="27" s="1"/>
  <c r="F463" i="70"/>
  <c r="I478" i="70"/>
  <c r="F478" i="70"/>
  <c r="J478" i="70" s="1"/>
  <c r="I493" i="70"/>
  <c r="F493" i="70"/>
  <c r="J493" i="70" s="1"/>
  <c r="I508" i="70"/>
  <c r="F508" i="70"/>
  <c r="J508" i="70" s="1"/>
  <c r="I523" i="70"/>
  <c r="F523" i="70"/>
  <c r="J523" i="70" s="1"/>
  <c r="I538" i="70"/>
  <c r="F538" i="70"/>
  <c r="J538" i="70" s="1"/>
  <c r="I553" i="70"/>
  <c r="F553" i="70"/>
  <c r="J553" i="70" s="1"/>
  <c r="I448" i="70"/>
  <c r="F448" i="70"/>
  <c r="J448" i="70" s="1"/>
  <c r="I462" i="70"/>
  <c r="L96" i="27" s="1"/>
  <c r="F462" i="70"/>
  <c r="I477" i="70"/>
  <c r="F477" i="70"/>
  <c r="J477" i="70" s="1"/>
  <c r="I492" i="70"/>
  <c r="F492" i="70"/>
  <c r="J492" i="70" s="1"/>
  <c r="I507" i="70"/>
  <c r="F507" i="70"/>
  <c r="J507" i="70" s="1"/>
  <c r="I522" i="70"/>
  <c r="F522" i="70"/>
  <c r="J522" i="70" s="1"/>
  <c r="I537" i="70"/>
  <c r="F537" i="70"/>
  <c r="J537" i="70" s="1"/>
  <c r="I552" i="70"/>
  <c r="F552" i="70"/>
  <c r="J552" i="70" s="1"/>
  <c r="I447" i="70"/>
  <c r="F447" i="70"/>
  <c r="J447" i="70" s="1"/>
  <c r="I461" i="70"/>
  <c r="L95" i="27" s="1"/>
  <c r="F461" i="70"/>
  <c r="I476" i="70"/>
  <c r="F476" i="70"/>
  <c r="J476" i="70" s="1"/>
  <c r="I491" i="70"/>
  <c r="F491" i="70"/>
  <c r="J491" i="70" s="1"/>
  <c r="I506" i="70"/>
  <c r="F506" i="70"/>
  <c r="J506" i="70" s="1"/>
  <c r="I521" i="70"/>
  <c r="F521" i="70"/>
  <c r="J521" i="70" s="1"/>
  <c r="I536" i="70"/>
  <c r="F536" i="70"/>
  <c r="J536" i="70" s="1"/>
  <c r="I551" i="70"/>
  <c r="F551" i="70"/>
  <c r="J551" i="70" s="1"/>
  <c r="I446" i="70"/>
  <c r="F446" i="70"/>
  <c r="J446" i="70" s="1"/>
  <c r="I459" i="70"/>
  <c r="L93" i="27" s="1"/>
  <c r="F459" i="70"/>
  <c r="I474" i="70"/>
  <c r="F474" i="70"/>
  <c r="J474" i="70" s="1"/>
  <c r="I489" i="70"/>
  <c r="F489" i="70"/>
  <c r="J489" i="70" s="1"/>
  <c r="I504" i="70"/>
  <c r="F504" i="70"/>
  <c r="J504" i="70" s="1"/>
  <c r="I519" i="70"/>
  <c r="F519" i="70"/>
  <c r="J519" i="70" s="1"/>
  <c r="I534" i="70"/>
  <c r="F534" i="70"/>
  <c r="J534" i="70" s="1"/>
  <c r="I549" i="70"/>
  <c r="F549" i="70"/>
  <c r="J549" i="70" s="1"/>
  <c r="G566" i="70"/>
  <c r="I444" i="70"/>
  <c r="G444" i="70"/>
  <c r="I24" i="91" l="1"/>
  <c r="F336" i="27"/>
  <c r="J704" i="70"/>
  <c r="T336" i="27" s="1"/>
  <c r="F370" i="27"/>
  <c r="J738" i="70"/>
  <c r="T370" i="27" s="1"/>
  <c r="F332" i="27"/>
  <c r="J700" i="70"/>
  <c r="T332" i="27" s="1"/>
  <c r="F351" i="27"/>
  <c r="J719" i="70"/>
  <c r="T351" i="27" s="1"/>
  <c r="F371" i="27"/>
  <c r="J739" i="70"/>
  <c r="T371" i="27" s="1"/>
  <c r="F276" i="27"/>
  <c r="J644" i="70"/>
  <c r="T276" i="27" s="1"/>
  <c r="F372" i="27"/>
  <c r="J740" i="70"/>
  <c r="T372" i="27" s="1"/>
  <c r="F334" i="27"/>
  <c r="J702" i="70"/>
  <c r="T334" i="27" s="1"/>
  <c r="F352" i="27"/>
  <c r="J720" i="70"/>
  <c r="T352" i="27" s="1"/>
  <c r="F333" i="27"/>
  <c r="J701" i="70"/>
  <c r="T333" i="27" s="1"/>
  <c r="F335" i="27"/>
  <c r="J703" i="70"/>
  <c r="T335" i="27" s="1"/>
  <c r="F353" i="27"/>
  <c r="J721" i="70"/>
  <c r="T353" i="27" s="1"/>
  <c r="F373" i="27"/>
  <c r="J741" i="70"/>
  <c r="T373" i="27" s="1"/>
  <c r="F277" i="27"/>
  <c r="J645" i="70"/>
  <c r="T277" i="27" s="1"/>
  <c r="F369" i="27"/>
  <c r="J737" i="70"/>
  <c r="T369" i="27" s="1"/>
  <c r="F275" i="27"/>
  <c r="J643" i="70"/>
  <c r="T275" i="27" s="1"/>
  <c r="F434" i="27"/>
  <c r="J802" i="70"/>
  <c r="T434" i="27" s="1"/>
  <c r="F449" i="27"/>
  <c r="J817" i="70"/>
  <c r="T449" i="27" s="1"/>
  <c r="F93" i="27"/>
  <c r="J459" i="70"/>
  <c r="T93" i="27" s="1"/>
  <c r="F95" i="27"/>
  <c r="J461" i="70"/>
  <c r="T95" i="27" s="1"/>
  <c r="F96" i="27"/>
  <c r="J462" i="70"/>
  <c r="T96" i="27" s="1"/>
  <c r="F97" i="27"/>
  <c r="J463" i="70"/>
  <c r="T97" i="27" s="1"/>
  <c r="M8" i="91"/>
  <c r="C8" i="91"/>
  <c r="C9" i="91"/>
  <c r="F761" i="70"/>
  <c r="F759" i="70"/>
  <c r="F760" i="70"/>
  <c r="F460" i="70"/>
  <c r="I94" i="27"/>
  <c r="F445" i="70"/>
  <c r="J445" i="70" s="1"/>
  <c r="A27" i="70"/>
  <c r="I490" i="70"/>
  <c r="F805" i="70"/>
  <c r="F823" i="70"/>
  <c r="F808" i="70"/>
  <c r="F809" i="70"/>
  <c r="F824" i="70"/>
  <c r="F821" i="70"/>
  <c r="F806" i="70"/>
  <c r="F825" i="70"/>
  <c r="F810" i="70"/>
  <c r="F804" i="70"/>
  <c r="F819" i="70"/>
  <c r="F820" i="70"/>
  <c r="C790" i="95"/>
  <c r="C1555" i="95"/>
  <c r="I670" i="27"/>
  <c r="F1037" i="70"/>
  <c r="H1037" i="70" s="1"/>
  <c r="I669" i="27"/>
  <c r="F1036" i="70"/>
  <c r="I673" i="27"/>
  <c r="F1040" i="70"/>
  <c r="H1040" i="70" s="1"/>
  <c r="I672" i="27"/>
  <c r="F1039" i="70"/>
  <c r="H1039" i="70" s="1"/>
  <c r="I674" i="27"/>
  <c r="F1041" i="70"/>
  <c r="H1041" i="70" s="1"/>
  <c r="I671" i="27"/>
  <c r="F1038" i="70"/>
  <c r="H1038" i="70" s="1"/>
  <c r="T46" i="70"/>
  <c r="U45" i="70"/>
  <c r="Q45" i="70" s="1"/>
  <c r="U28" i="70"/>
  <c r="Q28" i="70" s="1"/>
  <c r="B28" i="70" s="1"/>
  <c r="T29" i="70"/>
  <c r="I509" i="70"/>
  <c r="L143" i="27" s="1"/>
  <c r="G619" i="70"/>
  <c r="F619" i="70" s="1"/>
  <c r="J619" i="70" s="1"/>
  <c r="I969" i="70"/>
  <c r="I965" i="70"/>
  <c r="H384" i="70"/>
  <c r="G973" i="70"/>
  <c r="I606" i="27" s="1"/>
  <c r="G822" i="70"/>
  <c r="I822" i="70"/>
  <c r="L454" i="27" s="1"/>
  <c r="I709" i="70"/>
  <c r="L341" i="27" s="1"/>
  <c r="G709" i="70"/>
  <c r="I792" i="70"/>
  <c r="G792" i="70"/>
  <c r="F792" i="70" s="1"/>
  <c r="J792" i="70" s="1"/>
  <c r="G777" i="70"/>
  <c r="F777" i="70" s="1"/>
  <c r="I777" i="70"/>
  <c r="L409" i="27" s="1"/>
  <c r="I807" i="70"/>
  <c r="L439" i="27" s="1"/>
  <c r="G807" i="70"/>
  <c r="I671" i="70"/>
  <c r="G671" i="70"/>
  <c r="F671" i="70" s="1"/>
  <c r="J671" i="70" s="1"/>
  <c r="I633" i="70"/>
  <c r="G633" i="70"/>
  <c r="F633" i="70" s="1"/>
  <c r="J633" i="70" s="1"/>
  <c r="I788" i="70"/>
  <c r="L420" i="27" s="1"/>
  <c r="G788" i="70"/>
  <c r="F788" i="70" s="1"/>
  <c r="I667" i="70"/>
  <c r="G667" i="70"/>
  <c r="F667" i="70" s="1"/>
  <c r="J667" i="70" s="1"/>
  <c r="G781" i="70"/>
  <c r="F781" i="70" s="1"/>
  <c r="I781" i="70"/>
  <c r="L413" i="27" s="1"/>
  <c r="I713" i="70"/>
  <c r="L345" i="27" s="1"/>
  <c r="G713" i="70"/>
  <c r="F713" i="70" s="1"/>
  <c r="I743" i="70"/>
  <c r="G743" i="70"/>
  <c r="F743" i="70" s="1"/>
  <c r="J743" i="70" s="1"/>
  <c r="I705" i="70"/>
  <c r="L337" i="27" s="1"/>
  <c r="G705" i="70"/>
  <c r="F705" i="70" s="1"/>
  <c r="I796" i="70"/>
  <c r="L428" i="27" s="1"/>
  <c r="G796" i="70"/>
  <c r="I751" i="70"/>
  <c r="L383" i="27" s="1"/>
  <c r="G751" i="70"/>
  <c r="F751" i="70" s="1"/>
  <c r="I766" i="70"/>
  <c r="L398" i="27" s="1"/>
  <c r="G766" i="70"/>
  <c r="F766" i="70" s="1"/>
  <c r="I811" i="70"/>
  <c r="L443" i="27" s="1"/>
  <c r="G811" i="70"/>
  <c r="I637" i="70"/>
  <c r="G637" i="70"/>
  <c r="F637" i="70" s="1"/>
  <c r="J637" i="70" s="1"/>
  <c r="I747" i="70"/>
  <c r="L379" i="27" s="1"/>
  <c r="G747" i="70"/>
  <c r="F747" i="70" s="1"/>
  <c r="G826" i="70"/>
  <c r="I826" i="70"/>
  <c r="L458" i="27" s="1"/>
  <c r="G818" i="70"/>
  <c r="I818" i="70"/>
  <c r="L450" i="27" s="1"/>
  <c r="I629" i="70"/>
  <c r="G629" i="70"/>
  <c r="F629" i="70" s="1"/>
  <c r="J629" i="70" s="1"/>
  <c r="I758" i="70"/>
  <c r="L390" i="27" s="1"/>
  <c r="G758" i="70"/>
  <c r="G773" i="70"/>
  <c r="F773" i="70" s="1"/>
  <c r="I773" i="70"/>
  <c r="L405" i="27" s="1"/>
  <c r="I803" i="70"/>
  <c r="L435" i="27" s="1"/>
  <c r="G803" i="70"/>
  <c r="I762" i="70"/>
  <c r="L394" i="27" s="1"/>
  <c r="G762" i="70"/>
  <c r="F762" i="70" s="1"/>
  <c r="I675" i="70"/>
  <c r="G675" i="70"/>
  <c r="F675" i="70" s="1"/>
  <c r="J675" i="70" s="1"/>
  <c r="H983" i="70"/>
  <c r="J616" i="27" s="1"/>
  <c r="I603" i="27"/>
  <c r="H985" i="70"/>
  <c r="J618" i="27" s="1"/>
  <c r="I618" i="27"/>
  <c r="I605" i="27"/>
  <c r="G618" i="70"/>
  <c r="F618" i="70" s="1"/>
  <c r="J618" i="70" s="1"/>
  <c r="I604" i="27"/>
  <c r="F615" i="27"/>
  <c r="I615" i="27"/>
  <c r="I539" i="70"/>
  <c r="L173" i="27" s="1"/>
  <c r="F617" i="27"/>
  <c r="I617" i="27"/>
  <c r="I597" i="70"/>
  <c r="I575" i="70"/>
  <c r="I513" i="70"/>
  <c r="L147" i="27" s="1"/>
  <c r="G376" i="70"/>
  <c r="I620" i="70"/>
  <c r="G571" i="70"/>
  <c r="G613" i="70"/>
  <c r="F613" i="70" s="1"/>
  <c r="J613" i="70" s="1"/>
  <c r="G840" i="70"/>
  <c r="F840" i="70" s="1"/>
  <c r="G586" i="70"/>
  <c r="H380" i="70"/>
  <c r="I520" i="70"/>
  <c r="I498" i="70"/>
  <c r="L132" i="27" s="1"/>
  <c r="I611" i="70"/>
  <c r="G617" i="70"/>
  <c r="F617" i="70" s="1"/>
  <c r="J617" i="70" s="1"/>
  <c r="G624" i="70"/>
  <c r="F624" i="70" s="1"/>
  <c r="J624" i="70" s="1"/>
  <c r="I550" i="70"/>
  <c r="I567" i="70"/>
  <c r="I625" i="70"/>
  <c r="G582" i="70"/>
  <c r="I535" i="70"/>
  <c r="I460" i="70"/>
  <c r="L94" i="27" s="1"/>
  <c r="I524" i="70"/>
  <c r="L158" i="27" s="1"/>
  <c r="I616" i="70"/>
  <c r="I475" i="70"/>
  <c r="G612" i="70"/>
  <c r="F612" i="70" s="1"/>
  <c r="J612" i="70" s="1"/>
  <c r="I605" i="70"/>
  <c r="I621" i="70"/>
  <c r="G844" i="70"/>
  <c r="I476" i="27" s="1"/>
  <c r="I505" i="70"/>
  <c r="I449" i="70"/>
  <c r="I528" i="70"/>
  <c r="L162" i="27" s="1"/>
  <c r="I464" i="70"/>
  <c r="L98" i="27" s="1"/>
  <c r="I554" i="70"/>
  <c r="I973" i="70"/>
  <c r="I622" i="70"/>
  <c r="I623" i="70"/>
  <c r="G848" i="70"/>
  <c r="I480" i="27" s="1"/>
  <c r="I445" i="70"/>
  <c r="I483" i="70"/>
  <c r="L117" i="27" s="1"/>
  <c r="H981" i="70"/>
  <c r="J614" i="27" s="1"/>
  <c r="I494" i="70"/>
  <c r="L128" i="27" s="1"/>
  <c r="I453" i="70"/>
  <c r="G601" i="70"/>
  <c r="I543" i="70"/>
  <c r="L177" i="27" s="1"/>
  <c r="G969" i="70"/>
  <c r="I558" i="70"/>
  <c r="I468" i="70"/>
  <c r="L102" i="27" s="1"/>
  <c r="G614" i="70"/>
  <c r="F614" i="70" s="1"/>
  <c r="J614" i="70" s="1"/>
  <c r="G615" i="70"/>
  <c r="F615" i="70" s="1"/>
  <c r="J615" i="70" s="1"/>
  <c r="G590" i="70"/>
  <c r="I479" i="70"/>
  <c r="L113" i="27" s="1"/>
  <c r="C681" i="27"/>
  <c r="H974" i="70"/>
  <c r="J607" i="27" s="1"/>
  <c r="F607" i="27"/>
  <c r="H976" i="70"/>
  <c r="J609" i="27" s="1"/>
  <c r="F609" i="27"/>
  <c r="H975" i="70"/>
  <c r="J608" i="27" s="1"/>
  <c r="F608" i="27"/>
  <c r="F1017" i="70"/>
  <c r="F1033" i="70"/>
  <c r="F1021" i="70"/>
  <c r="F1026" i="70"/>
  <c r="F1019" i="70"/>
  <c r="F1032" i="70"/>
  <c r="F1035" i="70"/>
  <c r="F1022" i="70"/>
  <c r="F1018" i="70"/>
  <c r="F1023" i="70"/>
  <c r="F1025" i="70"/>
  <c r="F1034" i="70"/>
  <c r="F1020" i="70"/>
  <c r="F1024" i="70"/>
  <c r="H977" i="70"/>
  <c r="J610" i="27" s="1"/>
  <c r="F610" i="27"/>
  <c r="F613" i="27"/>
  <c r="H980" i="70"/>
  <c r="J613" i="27" s="1"/>
  <c r="H978" i="70"/>
  <c r="J611" i="27" s="1"/>
  <c r="F611" i="27"/>
  <c r="H986" i="70"/>
  <c r="J619" i="27" s="1"/>
  <c r="F619" i="27"/>
  <c r="F612" i="27"/>
  <c r="H979" i="70"/>
  <c r="J612" i="27" s="1"/>
  <c r="I473" i="27"/>
  <c r="F841" i="70"/>
  <c r="I475" i="27"/>
  <c r="F843" i="70"/>
  <c r="I477" i="27"/>
  <c r="F845" i="70"/>
  <c r="F477" i="27" s="1"/>
  <c r="I479" i="27"/>
  <c r="F847" i="70"/>
  <c r="F479" i="27" s="1"/>
  <c r="I474" i="27"/>
  <c r="F842" i="70"/>
  <c r="F846" i="70"/>
  <c r="F478" i="27" s="1"/>
  <c r="I478" i="27"/>
  <c r="F706" i="70"/>
  <c r="F710" i="70"/>
  <c r="F722" i="70"/>
  <c r="F727" i="70"/>
  <c r="F730" i="70"/>
  <c r="F712" i="70"/>
  <c r="F724" i="70"/>
  <c r="F726" i="70"/>
  <c r="F723" i="70"/>
  <c r="F731" i="70"/>
  <c r="F708" i="70"/>
  <c r="F725" i="70"/>
  <c r="F707" i="70"/>
  <c r="F711" i="70"/>
  <c r="F728" i="70"/>
  <c r="F729" i="70"/>
  <c r="E24" i="91"/>
  <c r="R33" i="70"/>
  <c r="S32" i="70"/>
  <c r="M9" i="91"/>
  <c r="B598" i="27"/>
  <c r="B599" i="27"/>
  <c r="B600" i="27"/>
  <c r="B601" i="27"/>
  <c r="B602" i="27"/>
  <c r="B603" i="27"/>
  <c r="B604" i="27"/>
  <c r="B605" i="27"/>
  <c r="B606" i="27"/>
  <c r="B597" i="27"/>
  <c r="V434" i="27"/>
  <c r="X434" i="27" s="1"/>
  <c r="V435" i="27"/>
  <c r="X435" i="27" s="1"/>
  <c r="V436" i="27"/>
  <c r="X436" i="27" s="1"/>
  <c r="V437" i="27"/>
  <c r="V438" i="27"/>
  <c r="X438" i="27" s="1"/>
  <c r="V439" i="27"/>
  <c r="V440" i="27"/>
  <c r="X440" i="27" s="1"/>
  <c r="V441" i="27"/>
  <c r="Y441" i="27" s="1"/>
  <c r="V442" i="27"/>
  <c r="X442" i="27" s="1"/>
  <c r="V443" i="27"/>
  <c r="X443" i="27" s="1"/>
  <c r="V449" i="27"/>
  <c r="V450" i="27"/>
  <c r="Y450" i="27" s="1"/>
  <c r="V451" i="27"/>
  <c r="X451" i="27" s="1"/>
  <c r="V452" i="27"/>
  <c r="X452" i="27" s="1"/>
  <c r="V453" i="27"/>
  <c r="X453" i="27" s="1"/>
  <c r="V454" i="27"/>
  <c r="V455" i="27"/>
  <c r="X455" i="27" s="1"/>
  <c r="V456" i="27"/>
  <c r="Y456" i="27" s="1"/>
  <c r="V457" i="27"/>
  <c r="X457" i="27" s="1"/>
  <c r="V458" i="27"/>
  <c r="C420" i="27"/>
  <c r="D420" i="27"/>
  <c r="J420" i="27"/>
  <c r="V420" i="27"/>
  <c r="X420" i="27" s="1"/>
  <c r="C421" i="27"/>
  <c r="D421" i="27"/>
  <c r="F421" i="27"/>
  <c r="J421" i="27"/>
  <c r="L421" i="27"/>
  <c r="T421" i="27"/>
  <c r="V421" i="27"/>
  <c r="X421" i="27" s="1"/>
  <c r="C422" i="27"/>
  <c r="D422" i="27"/>
  <c r="F422" i="27"/>
  <c r="J422" i="27"/>
  <c r="L422" i="27"/>
  <c r="T422" i="27"/>
  <c r="V422" i="27"/>
  <c r="Y422" i="27" s="1"/>
  <c r="C423" i="27"/>
  <c r="D423" i="27"/>
  <c r="F423" i="27"/>
  <c r="J423" i="27"/>
  <c r="L423" i="27"/>
  <c r="T423" i="27"/>
  <c r="V423" i="27"/>
  <c r="Y423" i="27" s="1"/>
  <c r="C424" i="27"/>
  <c r="D424" i="27"/>
  <c r="J424" i="27"/>
  <c r="T424" i="27"/>
  <c r="V424" i="27"/>
  <c r="C425" i="27"/>
  <c r="D425" i="27"/>
  <c r="F425" i="27"/>
  <c r="J425" i="27"/>
  <c r="L425" i="27"/>
  <c r="T425" i="27"/>
  <c r="V425" i="27"/>
  <c r="X425" i="27" s="1"/>
  <c r="C426" i="27"/>
  <c r="D426" i="27"/>
  <c r="F426" i="27"/>
  <c r="J426" i="27"/>
  <c r="L426" i="27"/>
  <c r="T426" i="27"/>
  <c r="V426" i="27"/>
  <c r="Y426" i="27" s="1"/>
  <c r="C427" i="27"/>
  <c r="D427" i="27"/>
  <c r="F427" i="27"/>
  <c r="J427" i="27"/>
  <c r="L427" i="27"/>
  <c r="T427" i="27"/>
  <c r="V427" i="27"/>
  <c r="Y427" i="27" s="1"/>
  <c r="C394" i="27"/>
  <c r="D394" i="27"/>
  <c r="J394" i="27"/>
  <c r="V394" i="27"/>
  <c r="X394" i="27" s="1"/>
  <c r="C395" i="27"/>
  <c r="D395" i="27"/>
  <c r="F395" i="27"/>
  <c r="J395" i="27"/>
  <c r="L395" i="27"/>
  <c r="T395" i="27"/>
  <c r="V395" i="27"/>
  <c r="X395" i="27" s="1"/>
  <c r="C396" i="27"/>
  <c r="D396" i="27"/>
  <c r="F396" i="27"/>
  <c r="J396" i="27"/>
  <c r="L396" i="27"/>
  <c r="T396" i="27"/>
  <c r="V396" i="27"/>
  <c r="X396" i="27" s="1"/>
  <c r="C397" i="27"/>
  <c r="D397" i="27"/>
  <c r="F397" i="27"/>
  <c r="J397" i="27"/>
  <c r="L397" i="27"/>
  <c r="T397" i="27"/>
  <c r="V397" i="27"/>
  <c r="Y397" i="27" s="1"/>
  <c r="C398" i="27"/>
  <c r="D398" i="27"/>
  <c r="J398" i="27"/>
  <c r="V398" i="27"/>
  <c r="Y398" i="27" s="1"/>
  <c r="C404" i="27"/>
  <c r="D404" i="27"/>
  <c r="F404" i="27"/>
  <c r="J404" i="27"/>
  <c r="L404" i="27"/>
  <c r="T404" i="27"/>
  <c r="V404" i="27"/>
  <c r="Y404" i="27" s="1"/>
  <c r="C405" i="27"/>
  <c r="D405" i="27"/>
  <c r="J405" i="27"/>
  <c r="V405" i="27"/>
  <c r="X405" i="27" s="1"/>
  <c r="C406" i="27"/>
  <c r="D406" i="27"/>
  <c r="F406" i="27"/>
  <c r="J406" i="27"/>
  <c r="L406" i="27"/>
  <c r="T406" i="27"/>
  <c r="V406" i="27"/>
  <c r="Y406" i="27" s="1"/>
  <c r="C407" i="27"/>
  <c r="D407" i="27"/>
  <c r="F407" i="27"/>
  <c r="J407" i="27"/>
  <c r="L407" i="27"/>
  <c r="T407" i="27"/>
  <c r="V407" i="27"/>
  <c r="X407" i="27" s="1"/>
  <c r="C408" i="27"/>
  <c r="D408" i="27"/>
  <c r="F408" i="27"/>
  <c r="J408" i="27"/>
  <c r="L408" i="27"/>
  <c r="T408" i="27"/>
  <c r="V408" i="27"/>
  <c r="Y408" i="27" s="1"/>
  <c r="C409" i="27"/>
  <c r="D409" i="27"/>
  <c r="J409" i="27"/>
  <c r="V409" i="27"/>
  <c r="X409" i="27" s="1"/>
  <c r="C410" i="27"/>
  <c r="D410" i="27"/>
  <c r="F410" i="27"/>
  <c r="J410" i="27"/>
  <c r="L410" i="27"/>
  <c r="T410" i="27"/>
  <c r="V410" i="27"/>
  <c r="Y410" i="27" s="1"/>
  <c r="C411" i="27"/>
  <c r="D411" i="27"/>
  <c r="F411" i="27"/>
  <c r="J411" i="27"/>
  <c r="L411" i="27"/>
  <c r="T411" i="27"/>
  <c r="V411" i="27"/>
  <c r="Y411" i="27" s="1"/>
  <c r="C412" i="27"/>
  <c r="D412" i="27"/>
  <c r="F412" i="27"/>
  <c r="J412" i="27"/>
  <c r="L412" i="27"/>
  <c r="T412" i="27"/>
  <c r="V412" i="27"/>
  <c r="C413" i="27"/>
  <c r="D413" i="27"/>
  <c r="J413" i="27"/>
  <c r="V413" i="27"/>
  <c r="X413" i="27" s="1"/>
  <c r="C419" i="27"/>
  <c r="D419" i="27"/>
  <c r="F419" i="27"/>
  <c r="J419" i="27"/>
  <c r="L419" i="27"/>
  <c r="T419" i="27"/>
  <c r="V419" i="27"/>
  <c r="Y419" i="27" s="1"/>
  <c r="V428" i="27"/>
  <c r="Y428" i="27" s="1"/>
  <c r="C376" i="27"/>
  <c r="D376" i="27"/>
  <c r="F376" i="27"/>
  <c r="J376" i="27"/>
  <c r="L376" i="27"/>
  <c r="T376" i="27"/>
  <c r="V376" i="27"/>
  <c r="X376" i="27" s="1"/>
  <c r="C377" i="27"/>
  <c r="D377" i="27"/>
  <c r="F377" i="27"/>
  <c r="J377" i="27"/>
  <c r="L377" i="27"/>
  <c r="T377" i="27"/>
  <c r="V377" i="27"/>
  <c r="X377" i="27" s="1"/>
  <c r="C378" i="27"/>
  <c r="D378" i="27"/>
  <c r="F378" i="27"/>
  <c r="J378" i="27"/>
  <c r="L378" i="27"/>
  <c r="T378" i="27"/>
  <c r="V378" i="27"/>
  <c r="C379" i="27"/>
  <c r="D379" i="27"/>
  <c r="J379" i="27"/>
  <c r="V379" i="27"/>
  <c r="C380" i="27"/>
  <c r="D380" i="27"/>
  <c r="F380" i="27"/>
  <c r="J380" i="27"/>
  <c r="L380" i="27"/>
  <c r="T380" i="27"/>
  <c r="V380" i="27"/>
  <c r="Y380" i="27" s="1"/>
  <c r="C381" i="27"/>
  <c r="D381" i="27"/>
  <c r="F381" i="27"/>
  <c r="J381" i="27"/>
  <c r="L381" i="27"/>
  <c r="T381" i="27"/>
  <c r="V381" i="27"/>
  <c r="Y381" i="27" s="1"/>
  <c r="C382" i="27"/>
  <c r="D382" i="27"/>
  <c r="F382" i="27"/>
  <c r="J382" i="27"/>
  <c r="L382" i="27"/>
  <c r="T382" i="27"/>
  <c r="V382" i="27"/>
  <c r="X382" i="27" s="1"/>
  <c r="C383" i="27"/>
  <c r="D383" i="27"/>
  <c r="J383" i="27"/>
  <c r="V383" i="27"/>
  <c r="C389" i="27"/>
  <c r="D389" i="27"/>
  <c r="F389" i="27"/>
  <c r="J389" i="27"/>
  <c r="L389" i="27"/>
  <c r="T389" i="27"/>
  <c r="V389" i="27"/>
  <c r="Y389" i="27" s="1"/>
  <c r="C233" i="27"/>
  <c r="J233" i="27"/>
  <c r="V233" i="27"/>
  <c r="X233" i="27" s="1"/>
  <c r="C234" i="27"/>
  <c r="J234" i="27"/>
  <c r="V234" i="27"/>
  <c r="X234" i="27" s="1"/>
  <c r="C235" i="27"/>
  <c r="J235" i="27"/>
  <c r="V235" i="27"/>
  <c r="X235" i="27" s="1"/>
  <c r="C236" i="27"/>
  <c r="J236" i="27"/>
  <c r="V236" i="27"/>
  <c r="X236" i="27" s="1"/>
  <c r="C237" i="27"/>
  <c r="J237" i="27"/>
  <c r="V237" i="27"/>
  <c r="X237" i="27" s="1"/>
  <c r="C218" i="27"/>
  <c r="J218" i="27"/>
  <c r="V218" i="27"/>
  <c r="Y218" i="27" s="1"/>
  <c r="C219" i="27"/>
  <c r="J219" i="27"/>
  <c r="V219" i="27"/>
  <c r="Y219" i="27" s="1"/>
  <c r="C220" i="27"/>
  <c r="J220" i="27"/>
  <c r="V220" i="27"/>
  <c r="Y220" i="27" s="1"/>
  <c r="C221" i="27"/>
  <c r="J221" i="27"/>
  <c r="V221" i="27"/>
  <c r="Y221" i="27" s="1"/>
  <c r="C222" i="27"/>
  <c r="J222" i="27"/>
  <c r="V222" i="27"/>
  <c r="Y222" i="27" s="1"/>
  <c r="C203" i="27"/>
  <c r="J203" i="27"/>
  <c r="V203" i="27"/>
  <c r="Y203" i="27" s="1"/>
  <c r="C204" i="27"/>
  <c r="J204" i="27"/>
  <c r="V204" i="27"/>
  <c r="Y204" i="27" s="1"/>
  <c r="C205" i="27"/>
  <c r="J205" i="27"/>
  <c r="V205" i="27"/>
  <c r="Y205" i="27" s="1"/>
  <c r="C206" i="27"/>
  <c r="J206" i="27"/>
  <c r="V206" i="27"/>
  <c r="Y206" i="27" s="1"/>
  <c r="C207" i="27"/>
  <c r="J207" i="27"/>
  <c r="V207" i="27"/>
  <c r="Y207" i="27" s="1"/>
  <c r="I173" i="27"/>
  <c r="I174" i="27"/>
  <c r="L174" i="27"/>
  <c r="I175" i="27"/>
  <c r="L175" i="27"/>
  <c r="I176" i="27"/>
  <c r="L176" i="27"/>
  <c r="I177" i="27"/>
  <c r="I158" i="27"/>
  <c r="I159" i="27"/>
  <c r="L159" i="27"/>
  <c r="I160" i="27"/>
  <c r="L160" i="27"/>
  <c r="I161" i="27"/>
  <c r="L161" i="27"/>
  <c r="I162" i="27"/>
  <c r="I143" i="27"/>
  <c r="I144" i="27"/>
  <c r="L144" i="27"/>
  <c r="I145" i="27"/>
  <c r="L145" i="27"/>
  <c r="I146" i="27"/>
  <c r="L146" i="27"/>
  <c r="I147" i="27"/>
  <c r="I128" i="27"/>
  <c r="I129" i="27"/>
  <c r="L129" i="27"/>
  <c r="I130" i="27"/>
  <c r="L130" i="27"/>
  <c r="I131" i="27"/>
  <c r="L131" i="27"/>
  <c r="I113" i="27"/>
  <c r="I114" i="27"/>
  <c r="L114" i="27"/>
  <c r="I115" i="27"/>
  <c r="L115" i="27"/>
  <c r="I116" i="27"/>
  <c r="L116" i="27"/>
  <c r="I117" i="27"/>
  <c r="I98" i="27"/>
  <c r="I99" i="27"/>
  <c r="L99" i="27"/>
  <c r="I100" i="27"/>
  <c r="L100" i="27"/>
  <c r="I101" i="27"/>
  <c r="L101" i="27"/>
  <c r="I102" i="27"/>
  <c r="C173" i="27"/>
  <c r="F173" i="27"/>
  <c r="T173" i="27"/>
  <c r="V173" i="27"/>
  <c r="X173" i="27" s="1"/>
  <c r="C174" i="27"/>
  <c r="F174" i="27"/>
  <c r="T174" i="27"/>
  <c r="V174" i="27"/>
  <c r="X174" i="27" s="1"/>
  <c r="C175" i="27"/>
  <c r="F175" i="27"/>
  <c r="T175" i="27"/>
  <c r="V175" i="27"/>
  <c r="X175" i="27" s="1"/>
  <c r="C176" i="27"/>
  <c r="F176" i="27"/>
  <c r="T176" i="27"/>
  <c r="V176" i="27"/>
  <c r="Y176" i="27" s="1"/>
  <c r="C177" i="27"/>
  <c r="F177" i="27"/>
  <c r="T177" i="27"/>
  <c r="V177" i="27"/>
  <c r="X177" i="27" s="1"/>
  <c r="C158" i="27"/>
  <c r="F158" i="27"/>
  <c r="T158" i="27"/>
  <c r="V158" i="27"/>
  <c r="X158" i="27" s="1"/>
  <c r="C159" i="27"/>
  <c r="F159" i="27"/>
  <c r="T159" i="27"/>
  <c r="V159" i="27"/>
  <c r="X159" i="27" s="1"/>
  <c r="C160" i="27"/>
  <c r="F160" i="27"/>
  <c r="T160" i="27"/>
  <c r="V160" i="27"/>
  <c r="Y160" i="27" s="1"/>
  <c r="C161" i="27"/>
  <c r="F161" i="27"/>
  <c r="T161" i="27"/>
  <c r="V161" i="27"/>
  <c r="Y161" i="27" s="1"/>
  <c r="C162" i="27"/>
  <c r="F162" i="27"/>
  <c r="T162" i="27"/>
  <c r="V162" i="27"/>
  <c r="X162" i="27" s="1"/>
  <c r="C143" i="27"/>
  <c r="F143" i="27"/>
  <c r="T143" i="27"/>
  <c r="V143" i="27"/>
  <c r="Y143" i="27" s="1"/>
  <c r="C144" i="27"/>
  <c r="F144" i="27"/>
  <c r="T144" i="27"/>
  <c r="V144" i="27"/>
  <c r="X144" i="27" s="1"/>
  <c r="C145" i="27"/>
  <c r="F145" i="27"/>
  <c r="T145" i="27"/>
  <c r="V145" i="27"/>
  <c r="X145" i="27" s="1"/>
  <c r="C146" i="27"/>
  <c r="F146" i="27"/>
  <c r="T146" i="27"/>
  <c r="V146" i="27"/>
  <c r="Y146" i="27" s="1"/>
  <c r="C147" i="27"/>
  <c r="F147" i="27"/>
  <c r="T147" i="27"/>
  <c r="V147" i="27"/>
  <c r="Y147" i="27" s="1"/>
  <c r="C128" i="27"/>
  <c r="F128" i="27"/>
  <c r="T128" i="27"/>
  <c r="V128" i="27"/>
  <c r="X128" i="27" s="1"/>
  <c r="C129" i="27"/>
  <c r="F129" i="27"/>
  <c r="T129" i="27"/>
  <c r="V129" i="27"/>
  <c r="X129" i="27" s="1"/>
  <c r="C130" i="27"/>
  <c r="F130" i="27"/>
  <c r="T130" i="27"/>
  <c r="V130" i="27"/>
  <c r="Y130" i="27" s="1"/>
  <c r="C131" i="27"/>
  <c r="F131" i="27"/>
  <c r="T131" i="27"/>
  <c r="V131" i="27"/>
  <c r="Y131" i="27" s="1"/>
  <c r="C132" i="27"/>
  <c r="F132" i="27"/>
  <c r="I132" i="27"/>
  <c r="T132" i="27"/>
  <c r="V132" i="27"/>
  <c r="X132" i="27" s="1"/>
  <c r="C113" i="27"/>
  <c r="F113" i="27"/>
  <c r="T113" i="27"/>
  <c r="V113" i="27"/>
  <c r="Y113" i="27" s="1"/>
  <c r="C114" i="27"/>
  <c r="F114" i="27"/>
  <c r="T114" i="27"/>
  <c r="V114" i="27"/>
  <c r="X114" i="27" s="1"/>
  <c r="C115" i="27"/>
  <c r="F115" i="27"/>
  <c r="T115" i="27"/>
  <c r="V115" i="27"/>
  <c r="X115" i="27" s="1"/>
  <c r="C116" i="27"/>
  <c r="F116" i="27"/>
  <c r="T116" i="27"/>
  <c r="V116" i="27"/>
  <c r="Y116" i="27" s="1"/>
  <c r="C117" i="27"/>
  <c r="F117" i="27"/>
  <c r="T117" i="27"/>
  <c r="V117" i="27"/>
  <c r="Y117" i="27" s="1"/>
  <c r="C98" i="27"/>
  <c r="F98" i="27"/>
  <c r="T98" i="27"/>
  <c r="V98" i="27"/>
  <c r="X98" i="27" s="1"/>
  <c r="C99" i="27"/>
  <c r="F99" i="27"/>
  <c r="T99" i="27"/>
  <c r="V99" i="27"/>
  <c r="X99" i="27" s="1"/>
  <c r="C100" i="27"/>
  <c r="F100" i="27"/>
  <c r="T100" i="27"/>
  <c r="V100" i="27"/>
  <c r="Y100" i="27" s="1"/>
  <c r="C101" i="27"/>
  <c r="F101" i="27"/>
  <c r="T101" i="27"/>
  <c r="V101" i="27"/>
  <c r="X101" i="27" s="1"/>
  <c r="C102" i="27"/>
  <c r="F102" i="27"/>
  <c r="T102" i="27"/>
  <c r="V102" i="27"/>
  <c r="X102" i="27" s="1"/>
  <c r="C83" i="27"/>
  <c r="T83" i="27"/>
  <c r="V83" i="27"/>
  <c r="X83" i="27" s="1"/>
  <c r="C84" i="27"/>
  <c r="T84" i="27"/>
  <c r="V84" i="27"/>
  <c r="X84" i="27" s="1"/>
  <c r="C85" i="27"/>
  <c r="T85" i="27"/>
  <c r="V85" i="27"/>
  <c r="Y85" i="27" s="1"/>
  <c r="C86" i="27"/>
  <c r="T86" i="27"/>
  <c r="V86" i="27"/>
  <c r="Y86" i="27" s="1"/>
  <c r="C87" i="27"/>
  <c r="T87" i="27"/>
  <c r="V87" i="27"/>
  <c r="X87" i="27" s="1"/>
  <c r="I30" i="91" l="1"/>
  <c r="I43" i="91"/>
  <c r="F361" i="27"/>
  <c r="J729" i="70"/>
  <c r="T361" i="27" s="1"/>
  <c r="F360" i="27"/>
  <c r="J728" i="70"/>
  <c r="T360" i="27" s="1"/>
  <c r="F343" i="27"/>
  <c r="J711" i="70"/>
  <c r="T343" i="27" s="1"/>
  <c r="F339" i="27"/>
  <c r="J707" i="70"/>
  <c r="T339" i="27" s="1"/>
  <c r="F357" i="27"/>
  <c r="J725" i="70"/>
  <c r="T357" i="27" s="1"/>
  <c r="F340" i="27"/>
  <c r="J708" i="70"/>
  <c r="T340" i="27" s="1"/>
  <c r="F363" i="27"/>
  <c r="J731" i="70"/>
  <c r="T363" i="27" s="1"/>
  <c r="F355" i="27"/>
  <c r="J723" i="70"/>
  <c r="T355" i="27" s="1"/>
  <c r="F358" i="27"/>
  <c r="J726" i="70"/>
  <c r="T358" i="27" s="1"/>
  <c r="F356" i="27"/>
  <c r="J724" i="70"/>
  <c r="T356" i="27" s="1"/>
  <c r="F344" i="27"/>
  <c r="J712" i="70"/>
  <c r="T344" i="27" s="1"/>
  <c r="F362" i="27"/>
  <c r="J730" i="70"/>
  <c r="T362" i="27" s="1"/>
  <c r="F359" i="27"/>
  <c r="J727" i="70"/>
  <c r="T359" i="27" s="1"/>
  <c r="F354" i="27"/>
  <c r="J722" i="70"/>
  <c r="T354" i="27" s="1"/>
  <c r="F342" i="27"/>
  <c r="J710" i="70"/>
  <c r="T342" i="27" s="1"/>
  <c r="F338" i="27"/>
  <c r="J706" i="70"/>
  <c r="T338" i="27" s="1"/>
  <c r="F394" i="27"/>
  <c r="J762" i="70"/>
  <c r="T394" i="27" s="1"/>
  <c r="F405" i="27"/>
  <c r="J773" i="70"/>
  <c r="T405" i="27" s="1"/>
  <c r="F379" i="27"/>
  <c r="J747" i="70"/>
  <c r="T379" i="27" s="1"/>
  <c r="F398" i="27"/>
  <c r="J766" i="70"/>
  <c r="T398" i="27" s="1"/>
  <c r="F383" i="27"/>
  <c r="J751" i="70"/>
  <c r="T383" i="27" s="1"/>
  <c r="F337" i="27"/>
  <c r="J705" i="70"/>
  <c r="T337" i="27" s="1"/>
  <c r="F345" i="27"/>
  <c r="J713" i="70"/>
  <c r="T345" i="27" s="1"/>
  <c r="F413" i="27"/>
  <c r="J781" i="70"/>
  <c r="T413" i="27" s="1"/>
  <c r="F420" i="27"/>
  <c r="J788" i="70"/>
  <c r="T420" i="27" s="1"/>
  <c r="F409" i="27"/>
  <c r="J777" i="70"/>
  <c r="T409" i="27" s="1"/>
  <c r="F452" i="27"/>
  <c r="J820" i="70"/>
  <c r="T452" i="27" s="1"/>
  <c r="F451" i="27"/>
  <c r="J819" i="70"/>
  <c r="T451" i="27" s="1"/>
  <c r="F436" i="27"/>
  <c r="J804" i="70"/>
  <c r="T436" i="27" s="1"/>
  <c r="F442" i="27"/>
  <c r="J810" i="70"/>
  <c r="T442" i="27" s="1"/>
  <c r="F457" i="27"/>
  <c r="J825" i="70"/>
  <c r="T457" i="27" s="1"/>
  <c r="F438" i="27"/>
  <c r="J806" i="70"/>
  <c r="T438" i="27" s="1"/>
  <c r="F453" i="27"/>
  <c r="J821" i="70"/>
  <c r="T453" i="27" s="1"/>
  <c r="F456" i="27"/>
  <c r="J824" i="70"/>
  <c r="T456" i="27" s="1"/>
  <c r="F441" i="27"/>
  <c r="J809" i="70"/>
  <c r="T441" i="27" s="1"/>
  <c r="F440" i="27"/>
  <c r="J808" i="70"/>
  <c r="T440" i="27" s="1"/>
  <c r="F455" i="27"/>
  <c r="J823" i="70"/>
  <c r="T455" i="27" s="1"/>
  <c r="F437" i="27"/>
  <c r="J805" i="70"/>
  <c r="T437" i="27" s="1"/>
  <c r="F392" i="27"/>
  <c r="J760" i="70"/>
  <c r="T392" i="27" s="1"/>
  <c r="F391" i="27"/>
  <c r="J759" i="70"/>
  <c r="T391" i="27" s="1"/>
  <c r="F393" i="27"/>
  <c r="J761" i="70"/>
  <c r="T393" i="27" s="1"/>
  <c r="F94" i="27"/>
  <c r="J460" i="70"/>
  <c r="T94" i="27" s="1"/>
  <c r="C10" i="91"/>
  <c r="C11" i="91"/>
  <c r="C12" i="91"/>
  <c r="F758" i="70"/>
  <c r="D10" i="60"/>
  <c r="F803" i="70"/>
  <c r="F818" i="70"/>
  <c r="F826" i="70"/>
  <c r="F811" i="70"/>
  <c r="F796" i="70"/>
  <c r="F807" i="70"/>
  <c r="F822" i="70"/>
  <c r="C1556" i="95"/>
  <c r="C791" i="95"/>
  <c r="F424" i="27"/>
  <c r="B45" i="70"/>
  <c r="A45" i="70"/>
  <c r="U46" i="70"/>
  <c r="Q46" i="70" s="1"/>
  <c r="T47" i="70"/>
  <c r="U29" i="70"/>
  <c r="Q29" i="70" s="1"/>
  <c r="T30" i="70"/>
  <c r="A28" i="70"/>
  <c r="H965" i="70"/>
  <c r="H982" i="70"/>
  <c r="J615" i="27" s="1"/>
  <c r="F618" i="27"/>
  <c r="H984" i="70"/>
  <c r="J617" i="27" s="1"/>
  <c r="I472" i="27"/>
  <c r="F844" i="70"/>
  <c r="F476" i="27" s="1"/>
  <c r="F709" i="70"/>
  <c r="F614" i="27"/>
  <c r="F848" i="70"/>
  <c r="F480" i="27" s="1"/>
  <c r="L424" i="27"/>
  <c r="H1020" i="70"/>
  <c r="J653" i="27" s="1"/>
  <c r="F653" i="27"/>
  <c r="H1025" i="70"/>
  <c r="J658" i="27" s="1"/>
  <c r="F658" i="27"/>
  <c r="H1018" i="70"/>
  <c r="J651" i="27" s="1"/>
  <c r="F651" i="27"/>
  <c r="H1035" i="70"/>
  <c r="J668" i="27" s="1"/>
  <c r="F668" i="27"/>
  <c r="H1032" i="70"/>
  <c r="J665" i="27" s="1"/>
  <c r="F665" i="27"/>
  <c r="H1033" i="70"/>
  <c r="J666" i="27" s="1"/>
  <c r="F666" i="27"/>
  <c r="H1026" i="70"/>
  <c r="J659" i="27" s="1"/>
  <c r="F659" i="27"/>
  <c r="H1024" i="70"/>
  <c r="J657" i="27" s="1"/>
  <c r="F657" i="27"/>
  <c r="H1034" i="70"/>
  <c r="J667" i="27" s="1"/>
  <c r="F667" i="27"/>
  <c r="H1023" i="70"/>
  <c r="J656" i="27" s="1"/>
  <c r="F656" i="27"/>
  <c r="H1022" i="70"/>
  <c r="J655" i="27" s="1"/>
  <c r="F655" i="27"/>
  <c r="H1036" i="70"/>
  <c r="J669" i="27" s="1"/>
  <c r="F669" i="27"/>
  <c r="H1019" i="70"/>
  <c r="J652" i="27" s="1"/>
  <c r="F652" i="27"/>
  <c r="H1021" i="70"/>
  <c r="J654" i="27" s="1"/>
  <c r="F654" i="27"/>
  <c r="H1017" i="70"/>
  <c r="J650" i="27" s="1"/>
  <c r="F650" i="27"/>
  <c r="X389" i="27"/>
  <c r="Y434" i="27"/>
  <c r="Y442" i="27"/>
  <c r="Y438" i="27"/>
  <c r="Y436" i="27"/>
  <c r="Y435" i="27"/>
  <c r="X422" i="27"/>
  <c r="X441" i="27"/>
  <c r="Y440" i="27"/>
  <c r="Y457" i="27"/>
  <c r="X456" i="27"/>
  <c r="Y455" i="27"/>
  <c r="Y453" i="27"/>
  <c r="Y452" i="27"/>
  <c r="Y451" i="27"/>
  <c r="Y443" i="27"/>
  <c r="Y382" i="27"/>
  <c r="Y413" i="27"/>
  <c r="X450" i="27"/>
  <c r="E25" i="91"/>
  <c r="X203" i="27"/>
  <c r="R34" i="70"/>
  <c r="S33" i="70"/>
  <c r="M10" i="91"/>
  <c r="Y458" i="27"/>
  <c r="X458" i="27"/>
  <c r="X449" i="27"/>
  <c r="Y449" i="27"/>
  <c r="X439" i="27"/>
  <c r="Y439" i="27"/>
  <c r="Y454" i="27"/>
  <c r="X454" i="27"/>
  <c r="Y437" i="27"/>
  <c r="X437" i="27"/>
  <c r="X398" i="27"/>
  <c r="Y407" i="27"/>
  <c r="X427" i="27"/>
  <c r="X426" i="27"/>
  <c r="X419" i="27"/>
  <c r="X207" i="27"/>
  <c r="X381" i="27"/>
  <c r="Y236" i="27"/>
  <c r="X380" i="27"/>
  <c r="X428" i="27"/>
  <c r="X404" i="27"/>
  <c r="X423" i="27"/>
  <c r="Y377" i="27"/>
  <c r="Y376" i="27"/>
  <c r="Y395" i="27"/>
  <c r="X221" i="27"/>
  <c r="X411" i="27"/>
  <c r="Y409" i="27"/>
  <c r="X424" i="27"/>
  <c r="Y424" i="27"/>
  <c r="Y420" i="27"/>
  <c r="Y425" i="27"/>
  <c r="Y421" i="27"/>
  <c r="Y394" i="27"/>
  <c r="X205" i="27"/>
  <c r="X219" i="27"/>
  <c r="Y234" i="27"/>
  <c r="X408" i="27"/>
  <c r="X397" i="27"/>
  <c r="X412" i="27"/>
  <c r="Y412" i="27"/>
  <c r="X410" i="27"/>
  <c r="Y405" i="27"/>
  <c r="X406" i="27"/>
  <c r="Y396" i="27"/>
  <c r="X378" i="27"/>
  <c r="Y378" i="27"/>
  <c r="Y379" i="27"/>
  <c r="X379" i="27"/>
  <c r="Y383" i="27"/>
  <c r="X383" i="27"/>
  <c r="X206" i="27"/>
  <c r="X222" i="27"/>
  <c r="X218" i="27"/>
  <c r="Y237" i="27"/>
  <c r="Y235" i="27"/>
  <c r="Y233" i="27"/>
  <c r="X143" i="27"/>
  <c r="X204" i="27"/>
  <c r="X220" i="27"/>
  <c r="X116" i="27"/>
  <c r="X131" i="27"/>
  <c r="Y101" i="27"/>
  <c r="X86" i="27"/>
  <c r="X113" i="27"/>
  <c r="X130" i="27"/>
  <c r="X147" i="27"/>
  <c r="X160" i="27"/>
  <c r="X176" i="27"/>
  <c r="Y173" i="27"/>
  <c r="X85" i="27"/>
  <c r="X100" i="27"/>
  <c r="X117" i="27"/>
  <c r="X146" i="27"/>
  <c r="Y177" i="27"/>
  <c r="Y162" i="27"/>
  <c r="X161" i="27"/>
  <c r="Y158" i="27"/>
  <c r="Y174" i="27"/>
  <c r="Y175" i="27"/>
  <c r="Y159" i="27"/>
  <c r="Y144" i="27"/>
  <c r="Y145" i="27"/>
  <c r="Y132" i="27"/>
  <c r="Y128" i="27"/>
  <c r="Y129" i="27"/>
  <c r="Y114" i="27"/>
  <c r="Y115" i="27"/>
  <c r="Y102" i="27"/>
  <c r="Y98" i="27"/>
  <c r="Y99" i="27"/>
  <c r="Y87" i="27"/>
  <c r="Y83" i="27"/>
  <c r="Y84" i="27"/>
  <c r="I44" i="91" l="1"/>
  <c r="I53" i="91" s="1"/>
  <c r="F341" i="27"/>
  <c r="J709" i="70"/>
  <c r="T341" i="27" s="1"/>
  <c r="F454" i="27"/>
  <c r="J822" i="70"/>
  <c r="T454" i="27" s="1"/>
  <c r="F439" i="27"/>
  <c r="J807" i="70"/>
  <c r="T439" i="27" s="1"/>
  <c r="F428" i="27"/>
  <c r="J796" i="70"/>
  <c r="T428" i="27" s="1"/>
  <c r="F443" i="27"/>
  <c r="J811" i="70"/>
  <c r="T443" i="27" s="1"/>
  <c r="F458" i="27"/>
  <c r="J826" i="70"/>
  <c r="T458" i="27" s="1"/>
  <c r="F450" i="27"/>
  <c r="J818" i="70"/>
  <c r="T450" i="27" s="1"/>
  <c r="F435" i="27"/>
  <c r="J803" i="70"/>
  <c r="T435" i="27" s="1"/>
  <c r="F390" i="27"/>
  <c r="J758" i="70"/>
  <c r="T390" i="27" s="1"/>
  <c r="C13" i="91"/>
  <c r="D26" i="60"/>
  <c r="D11" i="60"/>
  <c r="C1557" i="95"/>
  <c r="C792" i="95"/>
  <c r="U47" i="70"/>
  <c r="Q47" i="70" s="1"/>
  <c r="T48" i="70"/>
  <c r="B46" i="70"/>
  <c r="A46" i="70"/>
  <c r="U30" i="70"/>
  <c r="Q30" i="70" s="1"/>
  <c r="T31" i="70"/>
  <c r="B29" i="70"/>
  <c r="A29" i="70"/>
  <c r="E26" i="91"/>
  <c r="S34" i="70"/>
  <c r="R35" i="70"/>
  <c r="M11" i="91"/>
  <c r="D374" i="27"/>
  <c r="D375" i="27"/>
  <c r="D261" i="27"/>
  <c r="D262" i="27"/>
  <c r="D263" i="27"/>
  <c r="D264" i="27"/>
  <c r="D265" i="27"/>
  <c r="D266" i="27"/>
  <c r="D267" i="27"/>
  <c r="D268" i="27"/>
  <c r="D269" i="27"/>
  <c r="D278" i="27"/>
  <c r="D279" i="27"/>
  <c r="D280" i="27"/>
  <c r="D281" i="27"/>
  <c r="D282" i="27"/>
  <c r="D283" i="27"/>
  <c r="D284" i="27"/>
  <c r="D285" i="27"/>
  <c r="D286" i="27"/>
  <c r="D287" i="27"/>
  <c r="D293" i="27"/>
  <c r="D294" i="27"/>
  <c r="D295" i="27"/>
  <c r="D296" i="27"/>
  <c r="D297" i="27"/>
  <c r="D298" i="27"/>
  <c r="D299" i="27"/>
  <c r="D300" i="27"/>
  <c r="D301" i="27"/>
  <c r="D302" i="27"/>
  <c r="D303" i="27"/>
  <c r="D304" i="27"/>
  <c r="D305" i="27"/>
  <c r="D306" i="27"/>
  <c r="D307" i="27"/>
  <c r="D313" i="27"/>
  <c r="D314" i="27"/>
  <c r="D315" i="27"/>
  <c r="D316" i="27"/>
  <c r="D317" i="27"/>
  <c r="D318" i="27"/>
  <c r="D319" i="27"/>
  <c r="D320" i="27"/>
  <c r="D321" i="27"/>
  <c r="D322" i="27"/>
  <c r="D323" i="27"/>
  <c r="D324" i="27"/>
  <c r="D325" i="27"/>
  <c r="D331" i="27"/>
  <c r="D260" i="27"/>
  <c r="L317" i="27"/>
  <c r="L318" i="27"/>
  <c r="L319" i="27"/>
  <c r="L320" i="27"/>
  <c r="L321" i="27"/>
  <c r="L322" i="27"/>
  <c r="L323" i="27"/>
  <c r="L324" i="27"/>
  <c r="L325" i="27"/>
  <c r="L331" i="27"/>
  <c r="C317" i="27"/>
  <c r="F317" i="27"/>
  <c r="J317" i="27"/>
  <c r="T317" i="27"/>
  <c r="V317" i="27"/>
  <c r="C318" i="27"/>
  <c r="F318" i="27"/>
  <c r="J318" i="27"/>
  <c r="T318" i="27"/>
  <c r="V318" i="27"/>
  <c r="Y318" i="27" s="1"/>
  <c r="C319" i="27"/>
  <c r="F319" i="27"/>
  <c r="J319" i="27"/>
  <c r="T319" i="27"/>
  <c r="V319" i="27"/>
  <c r="C320" i="27"/>
  <c r="F320" i="27"/>
  <c r="J320" i="27"/>
  <c r="T320" i="27"/>
  <c r="V320" i="27"/>
  <c r="Y320" i="27" s="1"/>
  <c r="C321" i="27"/>
  <c r="F321" i="27"/>
  <c r="J321" i="27"/>
  <c r="T321" i="27"/>
  <c r="V321" i="27"/>
  <c r="C322" i="27"/>
  <c r="F322" i="27"/>
  <c r="J322" i="27"/>
  <c r="T322" i="27"/>
  <c r="V322" i="27"/>
  <c r="Y322" i="27" s="1"/>
  <c r="C323" i="27"/>
  <c r="F323" i="27"/>
  <c r="J323" i="27"/>
  <c r="T323" i="27"/>
  <c r="V323" i="27"/>
  <c r="X323" i="27" s="1"/>
  <c r="C324" i="27"/>
  <c r="F324" i="27"/>
  <c r="J324" i="27"/>
  <c r="T324" i="27"/>
  <c r="V324" i="27"/>
  <c r="Y324" i="27" s="1"/>
  <c r="C325" i="27"/>
  <c r="F325" i="27"/>
  <c r="J325" i="27"/>
  <c r="T325" i="27"/>
  <c r="V325" i="27"/>
  <c r="X325" i="27" s="1"/>
  <c r="C331" i="27"/>
  <c r="F331" i="27"/>
  <c r="J331" i="27"/>
  <c r="T331" i="27"/>
  <c r="V331" i="27"/>
  <c r="Y331" i="27" s="1"/>
  <c r="J3" i="91" l="1"/>
  <c r="I63" i="91"/>
  <c r="J11" i="91" s="1"/>
  <c r="J53" i="91"/>
  <c r="J43" i="91"/>
  <c r="J27" i="91"/>
  <c r="J56" i="91"/>
  <c r="J61" i="91"/>
  <c r="J59" i="91"/>
  <c r="J36" i="91"/>
  <c r="J64" i="91"/>
  <c r="J50" i="91"/>
  <c r="J26" i="91"/>
  <c r="J37" i="91"/>
  <c r="J41" i="91"/>
  <c r="J58" i="91"/>
  <c r="J24" i="91"/>
  <c r="J23" i="91"/>
  <c r="J14" i="91"/>
  <c r="J49" i="91"/>
  <c r="J22" i="91"/>
  <c r="J39" i="91"/>
  <c r="J46" i="91"/>
  <c r="J34" i="91"/>
  <c r="J16" i="91"/>
  <c r="J28" i="91"/>
  <c r="J54" i="91"/>
  <c r="J32" i="91"/>
  <c r="J33" i="91"/>
  <c r="J65" i="91"/>
  <c r="J25" i="91"/>
  <c r="J30" i="91"/>
  <c r="J60" i="91"/>
  <c r="J45" i="91"/>
  <c r="J67" i="91"/>
  <c r="J48" i="91"/>
  <c r="J52" i="91"/>
  <c r="J15" i="91"/>
  <c r="J62" i="91"/>
  <c r="J17" i="91"/>
  <c r="J31" i="91"/>
  <c r="J44" i="91"/>
  <c r="J66" i="91"/>
  <c r="J55" i="91"/>
  <c r="C14" i="91"/>
  <c r="C15" i="91"/>
  <c r="C16" i="91"/>
  <c r="G26" i="60"/>
  <c r="D27" i="60"/>
  <c r="G27" i="60" s="1"/>
  <c r="G11" i="60"/>
  <c r="D12" i="60"/>
  <c r="C1558" i="95"/>
  <c r="C793" i="95"/>
  <c r="U48" i="70"/>
  <c r="Q48" i="70" s="1"/>
  <c r="T49" i="70"/>
  <c r="B47" i="70"/>
  <c r="A47" i="70"/>
  <c r="D28" i="60" s="1"/>
  <c r="U31" i="70"/>
  <c r="Q31" i="70" s="1"/>
  <c r="T32" i="70"/>
  <c r="B30" i="70"/>
  <c r="A30" i="70"/>
  <c r="E30" i="91"/>
  <c r="R36" i="70"/>
  <c r="S35" i="70"/>
  <c r="M12" i="91"/>
  <c r="X322" i="27"/>
  <c r="X320" i="27"/>
  <c r="X331" i="27"/>
  <c r="X324" i="27"/>
  <c r="X318" i="27"/>
  <c r="Y325" i="27"/>
  <c r="X321" i="27"/>
  <c r="Y321" i="27"/>
  <c r="X319" i="27"/>
  <c r="Y319" i="27"/>
  <c r="Y323" i="27"/>
  <c r="X317" i="27"/>
  <c r="Y317" i="27"/>
  <c r="J4" i="91" l="1"/>
  <c r="J7" i="91"/>
  <c r="J12" i="91"/>
  <c r="J21" i="91"/>
  <c r="J9" i="91"/>
  <c r="J18" i="91"/>
  <c r="J10" i="91"/>
  <c r="J5" i="91"/>
  <c r="J6" i="91"/>
  <c r="J47" i="91"/>
  <c r="J13" i="91"/>
  <c r="J8" i="91"/>
  <c r="J38" i="91"/>
  <c r="J19" i="91"/>
  <c r="J29" i="91"/>
  <c r="J51" i="91"/>
  <c r="J35" i="91"/>
  <c r="J40" i="91"/>
  <c r="J20" i="91"/>
  <c r="J57" i="91"/>
  <c r="J42" i="91"/>
  <c r="J63" i="91"/>
  <c r="C17" i="91"/>
  <c r="I26" i="60"/>
  <c r="L26" i="60" s="1"/>
  <c r="G28" i="60"/>
  <c r="I27" i="60"/>
  <c r="L27" i="60" s="1"/>
  <c r="G12" i="60"/>
  <c r="D13" i="60"/>
  <c r="C1559" i="95"/>
  <c r="C794" i="95"/>
  <c r="T50" i="70"/>
  <c r="U49" i="70"/>
  <c r="Q49" i="70" s="1"/>
  <c r="A48" i="70"/>
  <c r="D29" i="60" s="1"/>
  <c r="B48" i="70"/>
  <c r="A31" i="70"/>
  <c r="B31" i="70"/>
  <c r="U32" i="70"/>
  <c r="Q32" i="70" s="1"/>
  <c r="T33" i="70"/>
  <c r="E34" i="91"/>
  <c r="F3" i="91" s="1"/>
  <c r="R37" i="70"/>
  <c r="S36" i="70"/>
  <c r="M13" i="91"/>
  <c r="L294" i="27"/>
  <c r="L296" i="27"/>
  <c r="L297" i="27"/>
  <c r="L298" i="27"/>
  <c r="L300" i="27"/>
  <c r="L301" i="27"/>
  <c r="L302" i="27"/>
  <c r="L304" i="27"/>
  <c r="L305" i="27"/>
  <c r="L306" i="27"/>
  <c r="L313" i="27"/>
  <c r="L314" i="27"/>
  <c r="L315" i="27"/>
  <c r="L287" i="27"/>
  <c r="F316" i="27"/>
  <c r="C287" i="27"/>
  <c r="F287" i="27"/>
  <c r="J287" i="27"/>
  <c r="T287" i="27"/>
  <c r="V287" i="27"/>
  <c r="Y287" i="27" s="1"/>
  <c r="C293" i="27"/>
  <c r="J293" i="27"/>
  <c r="T293" i="27"/>
  <c r="V293" i="27"/>
  <c r="C294" i="27"/>
  <c r="F294" i="27"/>
  <c r="J294" i="27"/>
  <c r="T294" i="27"/>
  <c r="V294" i="27"/>
  <c r="Y294" i="27" s="1"/>
  <c r="C295" i="27"/>
  <c r="F295" i="27"/>
  <c r="J295" i="27"/>
  <c r="T295" i="27"/>
  <c r="V295" i="27"/>
  <c r="C296" i="27"/>
  <c r="F296" i="27"/>
  <c r="J296" i="27"/>
  <c r="T296" i="27"/>
  <c r="V296" i="27"/>
  <c r="Y296" i="27" s="1"/>
  <c r="C297" i="27"/>
  <c r="F297" i="27"/>
  <c r="J297" i="27"/>
  <c r="T297" i="27"/>
  <c r="V297" i="27"/>
  <c r="C298" i="27"/>
  <c r="F298" i="27"/>
  <c r="J298" i="27"/>
  <c r="T298" i="27"/>
  <c r="V298" i="27"/>
  <c r="Y298" i="27" s="1"/>
  <c r="C299" i="27"/>
  <c r="J299" i="27"/>
  <c r="T299" i="27"/>
  <c r="V299" i="27"/>
  <c r="Y299" i="27" s="1"/>
  <c r="C300" i="27"/>
  <c r="F300" i="27"/>
  <c r="J300" i="27"/>
  <c r="T300" i="27"/>
  <c r="V300" i="27"/>
  <c r="Y300" i="27" s="1"/>
  <c r="C301" i="27"/>
  <c r="J301" i="27"/>
  <c r="T301" i="27"/>
  <c r="V301" i="27"/>
  <c r="Y301" i="27" s="1"/>
  <c r="C302" i="27"/>
  <c r="F302" i="27"/>
  <c r="J302" i="27"/>
  <c r="T302" i="27"/>
  <c r="V302" i="27"/>
  <c r="Y302" i="27" s="1"/>
  <c r="C303" i="27"/>
  <c r="J303" i="27"/>
  <c r="T303" i="27"/>
  <c r="V303" i="27"/>
  <c r="Y303" i="27" s="1"/>
  <c r="C304" i="27"/>
  <c r="F304" i="27"/>
  <c r="J304" i="27"/>
  <c r="T304" i="27"/>
  <c r="V304" i="27"/>
  <c r="Y304" i="27" s="1"/>
  <c r="C305" i="27"/>
  <c r="F305" i="27"/>
  <c r="J305" i="27"/>
  <c r="T305" i="27"/>
  <c r="V305" i="27"/>
  <c r="Y305" i="27" s="1"/>
  <c r="C306" i="27"/>
  <c r="J306" i="27"/>
  <c r="T306" i="27"/>
  <c r="V306" i="27"/>
  <c r="Y306" i="27" s="1"/>
  <c r="C307" i="27"/>
  <c r="J307" i="27"/>
  <c r="T307" i="27"/>
  <c r="V307" i="27"/>
  <c r="Y307" i="27" s="1"/>
  <c r="C313" i="27"/>
  <c r="F313" i="27"/>
  <c r="J313" i="27"/>
  <c r="T313" i="27"/>
  <c r="V313" i="27"/>
  <c r="Y313" i="27" s="1"/>
  <c r="C314" i="27"/>
  <c r="F314" i="27"/>
  <c r="J314" i="27"/>
  <c r="T314" i="27"/>
  <c r="V314" i="27"/>
  <c r="Y314" i="27" s="1"/>
  <c r="C315" i="27"/>
  <c r="F315" i="27"/>
  <c r="J315" i="27"/>
  <c r="T315" i="27"/>
  <c r="V315" i="27"/>
  <c r="Y315" i="27" s="1"/>
  <c r="C316" i="27"/>
  <c r="J316" i="27"/>
  <c r="T316" i="27"/>
  <c r="V316" i="27"/>
  <c r="Y316" i="27" s="1"/>
  <c r="C374" i="27"/>
  <c r="F374" i="27"/>
  <c r="J374" i="27"/>
  <c r="L374" i="27"/>
  <c r="T374" i="27"/>
  <c r="V374" i="27"/>
  <c r="Y374" i="27" s="1"/>
  <c r="C375" i="27"/>
  <c r="F375" i="27"/>
  <c r="J375" i="27"/>
  <c r="L375" i="27"/>
  <c r="T375" i="27"/>
  <c r="V375" i="27"/>
  <c r="Y375" i="27" s="1"/>
  <c r="I184" i="27"/>
  <c r="L184" i="27"/>
  <c r="I185" i="27"/>
  <c r="L185" i="27"/>
  <c r="I186" i="27"/>
  <c r="L186" i="27"/>
  <c r="I187" i="27"/>
  <c r="L183" i="27"/>
  <c r="I183" i="27"/>
  <c r="I169" i="27"/>
  <c r="L169" i="27"/>
  <c r="I170" i="27"/>
  <c r="L170" i="27"/>
  <c r="I171" i="27"/>
  <c r="L171" i="27"/>
  <c r="I172" i="27"/>
  <c r="L172" i="27"/>
  <c r="I168" i="27"/>
  <c r="I154" i="27"/>
  <c r="L154" i="27"/>
  <c r="I155" i="27"/>
  <c r="L155" i="27"/>
  <c r="I156" i="27"/>
  <c r="L156" i="27"/>
  <c r="I157" i="27"/>
  <c r="L157" i="27"/>
  <c r="L153" i="27"/>
  <c r="I153" i="27"/>
  <c r="C153" i="27"/>
  <c r="F153" i="27"/>
  <c r="T153" i="27"/>
  <c r="V153" i="27"/>
  <c r="X153" i="27" s="1"/>
  <c r="C154" i="27"/>
  <c r="F154" i="27"/>
  <c r="T154" i="27"/>
  <c r="V154" i="27"/>
  <c r="X154" i="27" s="1"/>
  <c r="C155" i="27"/>
  <c r="F155" i="27"/>
  <c r="T155" i="27"/>
  <c r="V155" i="27"/>
  <c r="C156" i="27"/>
  <c r="F156" i="27"/>
  <c r="T156" i="27"/>
  <c r="V156" i="27"/>
  <c r="Y156" i="27" s="1"/>
  <c r="C157" i="27"/>
  <c r="F157" i="27"/>
  <c r="T157" i="27"/>
  <c r="V157" i="27"/>
  <c r="X157" i="27" s="1"/>
  <c r="C168" i="27"/>
  <c r="F168" i="27"/>
  <c r="L168" i="27"/>
  <c r="T168" i="27"/>
  <c r="V168" i="27"/>
  <c r="X168" i="27" s="1"/>
  <c r="C169" i="27"/>
  <c r="F169" i="27"/>
  <c r="T169" i="27"/>
  <c r="V169" i="27"/>
  <c r="C170" i="27"/>
  <c r="F170" i="27"/>
  <c r="T170" i="27"/>
  <c r="V170" i="27"/>
  <c r="Y170" i="27" s="1"/>
  <c r="C171" i="27"/>
  <c r="F171" i="27"/>
  <c r="T171" i="27"/>
  <c r="V171" i="27"/>
  <c r="X171" i="27" s="1"/>
  <c r="C172" i="27"/>
  <c r="F172" i="27"/>
  <c r="T172" i="27"/>
  <c r="V172" i="27"/>
  <c r="X172" i="27" s="1"/>
  <c r="C183" i="27"/>
  <c r="F183" i="27"/>
  <c r="T183" i="27"/>
  <c r="V183" i="27"/>
  <c r="C184" i="27"/>
  <c r="F184" i="27"/>
  <c r="T184" i="27"/>
  <c r="V184" i="27"/>
  <c r="Y184" i="27" s="1"/>
  <c r="C185" i="27"/>
  <c r="F185" i="27"/>
  <c r="T185" i="27"/>
  <c r="V185" i="27"/>
  <c r="Y185" i="27" s="1"/>
  <c r="C186" i="27"/>
  <c r="F186" i="27"/>
  <c r="T186" i="27"/>
  <c r="V186" i="27"/>
  <c r="Y186" i="27" s="1"/>
  <c r="C187" i="27"/>
  <c r="F187" i="27"/>
  <c r="L187" i="27"/>
  <c r="T187" i="27"/>
  <c r="V187" i="27"/>
  <c r="X187" i="27" s="1"/>
  <c r="C18" i="91" l="1"/>
  <c r="G29" i="60"/>
  <c r="I28" i="60"/>
  <c r="L28" i="60" s="1"/>
  <c r="G13" i="60"/>
  <c r="D14" i="60"/>
  <c r="F16" i="91"/>
  <c r="F14" i="91"/>
  <c r="C795" i="95"/>
  <c r="C1560" i="95"/>
  <c r="A49" i="70"/>
  <c r="D30" i="60" s="1"/>
  <c r="B49" i="70"/>
  <c r="T51" i="70"/>
  <c r="U50" i="70"/>
  <c r="Q50" i="70" s="1"/>
  <c r="A32" i="70"/>
  <c r="B32" i="70"/>
  <c r="U33" i="70"/>
  <c r="Q33" i="70" s="1"/>
  <c r="T34" i="70"/>
  <c r="F29" i="91"/>
  <c r="F5" i="91"/>
  <c r="F20" i="91"/>
  <c r="F4" i="91"/>
  <c r="F21" i="91"/>
  <c r="F12" i="91"/>
  <c r="F31" i="91"/>
  <c r="F13" i="91"/>
  <c r="F30" i="91"/>
  <c r="F24" i="91"/>
  <c r="F8" i="91"/>
  <c r="F25" i="91"/>
  <c r="F33" i="91"/>
  <c r="F15" i="91"/>
  <c r="F28" i="91"/>
  <c r="F32" i="91"/>
  <c r="F6" i="91"/>
  <c r="F10" i="91"/>
  <c r="F9" i="91"/>
  <c r="F18" i="91"/>
  <c r="F34" i="91"/>
  <c r="F19" i="91"/>
  <c r="F17" i="91"/>
  <c r="F23" i="91"/>
  <c r="F22" i="91"/>
  <c r="F26" i="91"/>
  <c r="F11" i="91"/>
  <c r="F27" i="91"/>
  <c r="F7" i="91"/>
  <c r="T24" i="70"/>
  <c r="R38" i="70"/>
  <c r="S37" i="70"/>
  <c r="M14" i="91"/>
  <c r="X306" i="27"/>
  <c r="X170" i="27"/>
  <c r="X300" i="27"/>
  <c r="X294" i="27"/>
  <c r="X375" i="27"/>
  <c r="X301" i="27"/>
  <c r="X315" i="27"/>
  <c r="X307" i="27"/>
  <c r="X296" i="27"/>
  <c r="L293" i="27"/>
  <c r="F307" i="27"/>
  <c r="F303" i="27"/>
  <c r="L316" i="27"/>
  <c r="L307" i="27"/>
  <c r="L303" i="27"/>
  <c r="L299" i="27"/>
  <c r="L295" i="27"/>
  <c r="X305" i="27"/>
  <c r="F301" i="27"/>
  <c r="X299" i="27"/>
  <c r="F299" i="27"/>
  <c r="X287" i="27"/>
  <c r="X314" i="27"/>
  <c r="X313" i="27"/>
  <c r="F306" i="27"/>
  <c r="X302" i="27"/>
  <c r="X298" i="27"/>
  <c r="F293" i="27"/>
  <c r="Y293" i="27"/>
  <c r="X293" i="27"/>
  <c r="Y297" i="27"/>
  <c r="X297" i="27"/>
  <c r="X374" i="27"/>
  <c r="X316" i="27"/>
  <c r="X304" i="27"/>
  <c r="X303" i="27"/>
  <c r="Y295" i="27"/>
  <c r="X295" i="27"/>
  <c r="X184" i="27"/>
  <c r="X185" i="27"/>
  <c r="Y157" i="27"/>
  <c r="X186" i="27"/>
  <c r="Y171" i="27"/>
  <c r="Y187" i="27"/>
  <c r="Y153" i="27"/>
  <c r="X156" i="27"/>
  <c r="X183" i="27"/>
  <c r="Y183" i="27"/>
  <c r="X169" i="27"/>
  <c r="Y169" i="27"/>
  <c r="X155" i="27"/>
  <c r="Y155" i="27"/>
  <c r="Y172" i="27"/>
  <c r="Y168" i="27"/>
  <c r="Y154" i="27"/>
  <c r="C19" i="91" l="1"/>
  <c r="C20" i="91" s="1"/>
  <c r="C21" i="91"/>
  <c r="C22" i="91" s="1"/>
  <c r="G30" i="60"/>
  <c r="I29" i="60"/>
  <c r="L29" i="60" s="1"/>
  <c r="G14" i="60"/>
  <c r="D15" i="60"/>
  <c r="C1561" i="95"/>
  <c r="C796" i="95"/>
  <c r="B50" i="70"/>
  <c r="A50" i="70"/>
  <c r="D31" i="60" s="1"/>
  <c r="U51" i="70"/>
  <c r="Q51" i="70" s="1"/>
  <c r="T52" i="70"/>
  <c r="A33" i="70"/>
  <c r="B33" i="70"/>
  <c r="U34" i="70"/>
  <c r="Q34" i="70" s="1"/>
  <c r="T35" i="70"/>
  <c r="L683" i="27"/>
  <c r="L686" i="27"/>
  <c r="L682" i="27"/>
  <c r="L684" i="27"/>
  <c r="L685" i="27"/>
  <c r="L687" i="27"/>
  <c r="L680" i="27"/>
  <c r="L681" i="27"/>
  <c r="S38" i="70"/>
  <c r="R39" i="70"/>
  <c r="M15" i="91"/>
  <c r="V189" i="43"/>
  <c r="C23" i="91" l="1"/>
  <c r="C24" i="91" s="1"/>
  <c r="G31" i="60"/>
  <c r="I30" i="60"/>
  <c r="L30" i="60" s="1"/>
  <c r="G15" i="60"/>
  <c r="D16" i="60"/>
  <c r="C797" i="95"/>
  <c r="C1562" i="95"/>
  <c r="T53" i="70"/>
  <c r="U52" i="70"/>
  <c r="Q52" i="70" s="1"/>
  <c r="B51" i="70"/>
  <c r="A51" i="70"/>
  <c r="D32" i="60" s="1"/>
  <c r="A34" i="70"/>
  <c r="B34" i="70"/>
  <c r="U35" i="70"/>
  <c r="Q35" i="70" s="1"/>
  <c r="T36" i="70"/>
  <c r="I680" i="27"/>
  <c r="I686" i="27"/>
  <c r="I685" i="27"/>
  <c r="I684" i="27"/>
  <c r="I687" i="27"/>
  <c r="I681" i="27"/>
  <c r="I683" i="27"/>
  <c r="I682" i="27"/>
  <c r="S39" i="70"/>
  <c r="R40" i="70"/>
  <c r="S40" i="70" s="1"/>
  <c r="M16" i="91"/>
  <c r="M17" i="91" l="1"/>
  <c r="M18" i="91" s="1"/>
  <c r="M19" i="91" s="1"/>
  <c r="M20" i="91" s="1"/>
  <c r="M21" i="91" s="1"/>
  <c r="M22" i="91" s="1"/>
  <c r="M23" i="91" s="1"/>
  <c r="M24" i="91" s="1"/>
  <c r="M25" i="91" s="1"/>
  <c r="M26" i="91" s="1"/>
  <c r="M27" i="91" s="1"/>
  <c r="M28" i="91" s="1"/>
  <c r="M29" i="91" s="1"/>
  <c r="M30" i="91" s="1"/>
  <c r="M31" i="91" s="1"/>
  <c r="M32" i="91" s="1"/>
  <c r="M33" i="91" s="1"/>
  <c r="M34" i="91" s="1"/>
  <c r="M35" i="91" s="1"/>
  <c r="M36" i="91" s="1"/>
  <c r="M37" i="91" s="1"/>
  <c r="M38" i="91" s="1"/>
  <c r="M39" i="91" s="1"/>
  <c r="M40" i="91" s="1"/>
  <c r="M41" i="91" s="1"/>
  <c r="M42" i="91" s="1"/>
  <c r="M43" i="91" s="1"/>
  <c r="M44" i="91" s="1"/>
  <c r="M45" i="91" s="1"/>
  <c r="M46" i="91" s="1"/>
  <c r="M47" i="91" s="1"/>
  <c r="M48" i="91" s="1"/>
  <c r="M49" i="91" s="1"/>
  <c r="M50" i="91" s="1"/>
  <c r="M51" i="91" s="1"/>
  <c r="M52" i="91" s="1"/>
  <c r="M53" i="91" s="1"/>
  <c r="M54" i="91" s="1"/>
  <c r="M55" i="91" s="1"/>
  <c r="M56" i="91" s="1"/>
  <c r="M57" i="91" s="1"/>
  <c r="M58" i="91" s="1"/>
  <c r="M59" i="91" s="1"/>
  <c r="M60" i="91" s="1"/>
  <c r="M61" i="91" s="1"/>
  <c r="M62" i="91" s="1"/>
  <c r="M63" i="91" s="1"/>
  <c r="M64" i="91" s="1"/>
  <c r="M65" i="91" s="1"/>
  <c r="N3" i="91"/>
  <c r="C25" i="91"/>
  <c r="G32" i="60"/>
  <c r="I31" i="60"/>
  <c r="L31" i="60" s="1"/>
  <c r="G16" i="60"/>
  <c r="D17" i="60"/>
  <c r="C798" i="95"/>
  <c r="C1563" i="95"/>
  <c r="B52" i="70"/>
  <c r="A52" i="70"/>
  <c r="D33" i="60" s="1"/>
  <c r="U53" i="70"/>
  <c r="Q53" i="70" s="1"/>
  <c r="T54" i="70"/>
  <c r="B35" i="70"/>
  <c r="A35" i="70"/>
  <c r="U36" i="70"/>
  <c r="Q36" i="70" s="1"/>
  <c r="T37" i="70"/>
  <c r="H1051" i="70"/>
  <c r="J684" i="27" s="1"/>
  <c r="F684" i="27"/>
  <c r="H1053" i="70"/>
  <c r="J686" i="27" s="1"/>
  <c r="F686" i="27"/>
  <c r="F682" i="27"/>
  <c r="H1049" i="70"/>
  <c r="J682" i="27" s="1"/>
  <c r="F681" i="27"/>
  <c r="H1048" i="70"/>
  <c r="J681" i="27" s="1"/>
  <c r="H1050" i="70"/>
  <c r="J683" i="27" s="1"/>
  <c r="F683" i="27"/>
  <c r="H1054" i="70"/>
  <c r="J687" i="27" s="1"/>
  <c r="F687" i="27"/>
  <c r="F680" i="27"/>
  <c r="H1047" i="70"/>
  <c r="J680" i="27" s="1"/>
  <c r="F685" i="27"/>
  <c r="H1052" i="70"/>
  <c r="J685" i="27" s="1"/>
  <c r="C26" i="91" l="1"/>
  <c r="G33" i="60"/>
  <c r="I32" i="60"/>
  <c r="L32" i="60" s="1"/>
  <c r="G17" i="60"/>
  <c r="D18" i="60"/>
  <c r="C799" i="95"/>
  <c r="C1564" i="95"/>
  <c r="A53" i="70"/>
  <c r="D34" i="60" s="1"/>
  <c r="B53" i="70"/>
  <c r="U54" i="70"/>
  <c r="Q54" i="70" s="1"/>
  <c r="T55" i="70"/>
  <c r="B36" i="70"/>
  <c r="A36" i="70"/>
  <c r="U37" i="70"/>
  <c r="Q37" i="70" s="1"/>
  <c r="T38" i="70"/>
  <c r="B1" i="43"/>
  <c r="C27" i="91" l="1"/>
  <c r="C28" i="91"/>
  <c r="G34" i="60"/>
  <c r="I33" i="60"/>
  <c r="L33" i="60" s="1"/>
  <c r="G18" i="60"/>
  <c r="D19" i="60"/>
  <c r="C1565" i="95"/>
  <c r="C800" i="95"/>
  <c r="B54" i="70"/>
  <c r="A54" i="70"/>
  <c r="D35" i="60" s="1"/>
  <c r="U55" i="70"/>
  <c r="Q55" i="70" s="1"/>
  <c r="T56" i="70"/>
  <c r="A37" i="70"/>
  <c r="B37" i="70"/>
  <c r="U38" i="70"/>
  <c r="Q38" i="70" s="1"/>
  <c r="T39" i="70"/>
  <c r="E28" i="96"/>
  <c r="E27" i="96"/>
  <c r="E26" i="96"/>
  <c r="E25" i="96"/>
  <c r="E24" i="96"/>
  <c r="E23" i="96"/>
  <c r="E22" i="96"/>
  <c r="I21" i="96"/>
  <c r="E21" i="96"/>
  <c r="I20" i="96"/>
  <c r="E20" i="96"/>
  <c r="I19" i="96"/>
  <c r="E19" i="96"/>
  <c r="I18" i="96"/>
  <c r="E18" i="96"/>
  <c r="E17" i="96"/>
  <c r="E16" i="96"/>
  <c r="I15" i="96"/>
  <c r="E15" i="96"/>
  <c r="E14" i="96"/>
  <c r="E13" i="96"/>
  <c r="E12" i="96"/>
  <c r="E11" i="96"/>
  <c r="E10" i="96"/>
  <c r="E9" i="96"/>
  <c r="E8" i="96"/>
  <c r="E7" i="96"/>
  <c r="E6" i="96"/>
  <c r="E5" i="96"/>
  <c r="E4" i="96"/>
  <c r="E3" i="96"/>
  <c r="C29" i="91" l="1"/>
  <c r="C30" i="91"/>
  <c r="G35" i="60"/>
  <c r="I34" i="60"/>
  <c r="L34" i="60" s="1"/>
  <c r="G19" i="60"/>
  <c r="D20" i="60"/>
  <c r="W9" i="96"/>
  <c r="C1566" i="95"/>
  <c r="C801" i="95"/>
  <c r="U56" i="70"/>
  <c r="Q56" i="70" s="1"/>
  <c r="T57" i="70"/>
  <c r="U57" i="70" s="1"/>
  <c r="Q57" i="70" s="1"/>
  <c r="A55" i="70"/>
  <c r="D36" i="60" s="1"/>
  <c r="B55" i="70"/>
  <c r="A38" i="70"/>
  <c r="B38" i="70"/>
  <c r="U39" i="70"/>
  <c r="Q39" i="70" s="1"/>
  <c r="T40" i="70"/>
  <c r="C31" i="91" l="1"/>
  <c r="C32" i="91"/>
  <c r="C33" i="91" s="1"/>
  <c r="I35" i="60"/>
  <c r="L35" i="60" s="1"/>
  <c r="G36" i="60"/>
  <c r="G20" i="60"/>
  <c r="D21" i="60"/>
  <c r="B57" i="70"/>
  <c r="A57" i="70"/>
  <c r="C1567" i="95"/>
  <c r="C802" i="95"/>
  <c r="B56" i="70"/>
  <c r="A56" i="70"/>
  <c r="D37" i="60" s="1"/>
  <c r="A39" i="70"/>
  <c r="D22" i="60" s="1"/>
  <c r="B39" i="70"/>
  <c r="U40" i="70"/>
  <c r="Q40" i="70" s="1"/>
  <c r="C21" i="80"/>
  <c r="C20" i="80"/>
  <c r="I81" i="89"/>
  <c r="K84" i="89"/>
  <c r="K89" i="89" s="1"/>
  <c r="E84" i="89"/>
  <c r="E89" i="89" s="1"/>
  <c r="K82" i="89"/>
  <c r="K2" i="89"/>
  <c r="K12" i="89"/>
  <c r="K22" i="89"/>
  <c r="K32" i="89"/>
  <c r="K42" i="89"/>
  <c r="K52" i="89"/>
  <c r="K62" i="89"/>
  <c r="K72" i="89"/>
  <c r="K74" i="89"/>
  <c r="K79" i="89" s="1"/>
  <c r="E74" i="89"/>
  <c r="E79" i="89" s="1"/>
  <c r="K64" i="89"/>
  <c r="K69" i="89" s="1"/>
  <c r="E64" i="89"/>
  <c r="E69" i="89" s="1"/>
  <c r="K54" i="89"/>
  <c r="K59" i="89" s="1"/>
  <c r="E54" i="89"/>
  <c r="E59" i="89" s="1"/>
  <c r="K44" i="89"/>
  <c r="K49" i="89" s="1"/>
  <c r="E44" i="89"/>
  <c r="E49" i="89" s="1"/>
  <c r="K34" i="89"/>
  <c r="K39" i="89" s="1"/>
  <c r="E34" i="89"/>
  <c r="E39" i="89" s="1"/>
  <c r="K24" i="89"/>
  <c r="K29" i="89" s="1"/>
  <c r="E24" i="89"/>
  <c r="E29" i="89" s="1"/>
  <c r="K14" i="89"/>
  <c r="K19" i="89" s="1"/>
  <c r="E14" i="89"/>
  <c r="E19" i="89" s="1"/>
  <c r="K4" i="89"/>
  <c r="K9" i="89" s="1"/>
  <c r="E4" i="89"/>
  <c r="E9" i="89" s="1"/>
  <c r="K35" i="73"/>
  <c r="K34" i="73"/>
  <c r="K33" i="73"/>
  <c r="D324" i="43"/>
  <c r="D320" i="43"/>
  <c r="B318" i="43"/>
  <c r="D38" i="60" l="1"/>
  <c r="J358" i="70"/>
  <c r="C34" i="91"/>
  <c r="D33" i="91"/>
  <c r="D32" i="91"/>
  <c r="D34" i="91"/>
  <c r="D31" i="91"/>
  <c r="G37" i="60"/>
  <c r="G38" i="60"/>
  <c r="I36" i="60"/>
  <c r="L36" i="60" s="1"/>
  <c r="G22" i="60"/>
  <c r="G21" i="60"/>
  <c r="C803" i="95"/>
  <c r="C1568" i="95"/>
  <c r="A40" i="70"/>
  <c r="D23" i="60" s="1"/>
  <c r="B40" i="70"/>
  <c r="J82" i="89"/>
  <c r="D82" i="89"/>
  <c r="A81" i="89"/>
  <c r="B331" i="43"/>
  <c r="Z321" i="43"/>
  <c r="Y321" i="43"/>
  <c r="X321" i="43"/>
  <c r="W321" i="43"/>
  <c r="V321" i="43"/>
  <c r="J315" i="43"/>
  <c r="Z314" i="43"/>
  <c r="Y314" i="43"/>
  <c r="X314" i="43"/>
  <c r="W314" i="43"/>
  <c r="V314" i="43"/>
  <c r="D34" i="83"/>
  <c r="F219" i="81"/>
  <c r="F218" i="81"/>
  <c r="F216" i="81"/>
  <c r="O3" i="2"/>
  <c r="P9" i="63"/>
  <c r="Q9" i="63"/>
  <c r="R9" i="63"/>
  <c r="S9" i="63"/>
  <c r="B160" i="43"/>
  <c r="K165" i="43"/>
  <c r="L163" i="43"/>
  <c r="K163" i="43"/>
  <c r="L162" i="43"/>
  <c r="K162" i="43"/>
  <c r="L161" i="43"/>
  <c r="K161" i="43"/>
  <c r="K160" i="43"/>
  <c r="H160" i="43"/>
  <c r="L159" i="43"/>
  <c r="K159" i="43"/>
  <c r="L158" i="43"/>
  <c r="K158" i="43"/>
  <c r="K156" i="43"/>
  <c r="K168" i="43" s="1"/>
  <c r="L155" i="43"/>
  <c r="K155" i="43"/>
  <c r="C297" i="64"/>
  <c r="K358" i="70" l="1"/>
  <c r="D3" i="91"/>
  <c r="D30" i="91"/>
  <c r="D27" i="91"/>
  <c r="D29" i="91"/>
  <c r="D28" i="91"/>
  <c r="D25" i="91"/>
  <c r="D23" i="91"/>
  <c r="D24" i="91"/>
  <c r="D14" i="91"/>
  <c r="D13" i="91"/>
  <c r="D18" i="91"/>
  <c r="D15" i="91"/>
  <c r="D8" i="91"/>
  <c r="D10" i="91"/>
  <c r="D16" i="91"/>
  <c r="D6" i="91"/>
  <c r="D7" i="91"/>
  <c r="D12" i="91"/>
  <c r="D17" i="91"/>
  <c r="D5" i="91"/>
  <c r="D9" i="91"/>
  <c r="D11" i="91"/>
  <c r="D4" i="91"/>
  <c r="D19" i="91"/>
  <c r="D22" i="91"/>
  <c r="D21" i="91"/>
  <c r="D20" i="91"/>
  <c r="D26" i="91"/>
  <c r="G205" i="60"/>
  <c r="J205" i="60" s="1"/>
  <c r="G25" i="60"/>
  <c r="I38" i="60"/>
  <c r="L38" i="60" s="1"/>
  <c r="I37" i="60"/>
  <c r="L37" i="60" s="1"/>
  <c r="G23" i="60"/>
  <c r="C1569" i="95"/>
  <c r="C804" i="95"/>
  <c r="L3" i="70"/>
  <c r="K3" i="70"/>
  <c r="J3" i="70"/>
  <c r="I3" i="70"/>
  <c r="P7" i="63"/>
  <c r="I1" i="70"/>
  <c r="I205" i="60" l="1"/>
  <c r="L205" i="60" s="1"/>
  <c r="I25" i="60"/>
  <c r="L25" i="60" s="1"/>
  <c r="C805" i="95"/>
  <c r="C1570" i="95"/>
  <c r="F311" i="43"/>
  <c r="B289" i="43"/>
  <c r="D290" i="43"/>
  <c r="B290" i="43"/>
  <c r="C288" i="43"/>
  <c r="B284" i="43"/>
  <c r="E285" i="43" s="1"/>
  <c r="C806" i="95" l="1"/>
  <c r="C1571" i="95"/>
  <c r="B292" i="43"/>
  <c r="B306" i="43" s="1"/>
  <c r="D306" i="43" s="1"/>
  <c r="B299" i="43"/>
  <c r="D292" i="43"/>
  <c r="Z290" i="43"/>
  <c r="Y290" i="43"/>
  <c r="X290" i="43"/>
  <c r="W290" i="43"/>
  <c r="V290" i="43"/>
  <c r="J287" i="43"/>
  <c r="Z286" i="43"/>
  <c r="Y286" i="43"/>
  <c r="X286" i="43"/>
  <c r="W286" i="43"/>
  <c r="V286" i="43"/>
  <c r="C1572" i="95" l="1"/>
  <c r="C807" i="95"/>
  <c r="C161" i="64"/>
  <c r="C808" i="95" l="1"/>
  <c r="C1573" i="95"/>
  <c r="I1226" i="70"/>
  <c r="I1225" i="70"/>
  <c r="C1574" i="95" l="1"/>
  <c r="C809" i="95"/>
  <c r="K128" i="43"/>
  <c r="K140" i="43" s="1"/>
  <c r="C1575" i="95" l="1"/>
  <c r="C810" i="95"/>
  <c r="O136" i="64"/>
  <c r="P136" i="64" s="1"/>
  <c r="R136" i="64" s="1"/>
  <c r="S136" i="64" s="1"/>
  <c r="E124" i="64" s="1"/>
  <c r="C811" i="95" l="1"/>
  <c r="C1576" i="95"/>
  <c r="C278" i="64"/>
  <c r="C279" i="64" s="1"/>
  <c r="J6" i="88"/>
  <c r="D38" i="88"/>
  <c r="B38" i="88"/>
  <c r="D21" i="88"/>
  <c r="E14" i="88"/>
  <c r="D14" i="88"/>
  <c r="C14" i="88"/>
  <c r="B14" i="88"/>
  <c r="J9" i="88"/>
  <c r="J8" i="88"/>
  <c r="J5" i="88"/>
  <c r="C5" i="88"/>
  <c r="G38" i="88"/>
  <c r="C812" i="95" l="1"/>
  <c r="C1577" i="95"/>
  <c r="J51" i="72"/>
  <c r="C1578" i="95" l="1"/>
  <c r="C813" i="95"/>
  <c r="D58" i="64"/>
  <c r="D57" i="64"/>
  <c r="D56" i="64"/>
  <c r="P191" i="66"/>
  <c r="P190" i="66"/>
  <c r="P189" i="66"/>
  <c r="A1282" i="70"/>
  <c r="A1281" i="70"/>
  <c r="A1280" i="70"/>
  <c r="A1279" i="70"/>
  <c r="A1278" i="70"/>
  <c r="A1277" i="70"/>
  <c r="A1276" i="70"/>
  <c r="A1275" i="70"/>
  <c r="A1274" i="70"/>
  <c r="A1256" i="70"/>
  <c r="C36" i="98" s="1"/>
  <c r="A1264" i="70"/>
  <c r="C44" i="98" s="1"/>
  <c r="A1263" i="70"/>
  <c r="C43" i="98" s="1"/>
  <c r="A1262" i="70"/>
  <c r="C42" i="98" s="1"/>
  <c r="A1261" i="70"/>
  <c r="C41" i="98" s="1"/>
  <c r="A1260" i="70"/>
  <c r="C40" i="98" s="1"/>
  <c r="A1259" i="70"/>
  <c r="C39" i="98" s="1"/>
  <c r="A1258" i="70"/>
  <c r="C38" i="98" s="1"/>
  <c r="A1257" i="70"/>
  <c r="C37" i="98" s="1"/>
  <c r="C37" i="87"/>
  <c r="D37" i="87" s="1"/>
  <c r="C42" i="87"/>
  <c r="C1579" i="95" l="1"/>
  <c r="C814" i="95"/>
  <c r="C34" i="87"/>
  <c r="C33" i="87"/>
  <c r="A44" i="87"/>
  <c r="C41" i="87"/>
  <c r="C40" i="87"/>
  <c r="C39" i="87"/>
  <c r="C38" i="87"/>
  <c r="C35" i="87"/>
  <c r="C32" i="87"/>
  <c r="M4" i="3"/>
  <c r="C1580" i="95" l="1"/>
  <c r="C815" i="95"/>
  <c r="C816" i="95" l="1"/>
  <c r="C1581" i="95"/>
  <c r="I6" i="7"/>
  <c r="J4" i="64"/>
  <c r="N4" i="71"/>
  <c r="L4" i="61"/>
  <c r="M5" i="60"/>
  <c r="T3" i="2"/>
  <c r="B54" i="80"/>
  <c r="V11" i="91"/>
  <c r="Z835" i="63"/>
  <c r="Z836" i="63"/>
  <c r="Z837" i="63"/>
  <c r="Z838" i="63"/>
  <c r="Z839" i="63"/>
  <c r="Z840" i="63"/>
  <c r="Z841" i="63"/>
  <c r="Z842" i="63"/>
  <c r="Z843" i="63"/>
  <c r="Z844" i="63"/>
  <c r="Z845" i="63"/>
  <c r="Z846" i="63"/>
  <c r="Z847" i="63"/>
  <c r="Z848" i="63"/>
  <c r="Z849" i="63"/>
  <c r="Z850" i="63"/>
  <c r="Z851" i="63"/>
  <c r="Z852" i="63"/>
  <c r="Z853" i="63"/>
  <c r="Z854" i="63"/>
  <c r="Z855" i="63"/>
  <c r="Z856" i="63"/>
  <c r="Z857" i="63"/>
  <c r="Z858" i="63"/>
  <c r="Z859" i="63"/>
  <c r="Z860" i="63"/>
  <c r="Z861" i="63"/>
  <c r="Z862" i="63"/>
  <c r="Z863" i="63"/>
  <c r="Z864" i="63"/>
  <c r="Z865" i="63"/>
  <c r="Z866" i="63"/>
  <c r="Z867" i="63"/>
  <c r="Z868" i="63"/>
  <c r="Z869" i="63"/>
  <c r="Z870" i="63"/>
  <c r="Z871" i="63"/>
  <c r="Z872" i="63"/>
  <c r="Z873" i="63"/>
  <c r="Z874" i="63"/>
  <c r="Z875" i="63"/>
  <c r="Z876" i="63"/>
  <c r="Z877" i="63"/>
  <c r="Z878" i="63"/>
  <c r="Z879" i="63"/>
  <c r="Z880" i="63"/>
  <c r="Z881" i="63"/>
  <c r="Z882" i="63"/>
  <c r="Z883" i="63"/>
  <c r="Z884" i="63"/>
  <c r="Z885" i="63"/>
  <c r="Z886" i="63"/>
  <c r="Z887" i="63"/>
  <c r="Z888" i="63"/>
  <c r="Z889" i="63"/>
  <c r="Z890" i="63"/>
  <c r="Z891" i="63"/>
  <c r="Z892" i="63"/>
  <c r="Z893" i="63"/>
  <c r="Z894" i="63"/>
  <c r="Z834" i="63"/>
  <c r="Z822" i="63"/>
  <c r="Z15" i="63"/>
  <c r="Z16" i="63"/>
  <c r="Z17" i="63"/>
  <c r="Z18" i="63"/>
  <c r="Z19" i="63"/>
  <c r="Z20" i="63"/>
  <c r="Z21" i="63"/>
  <c r="Z22" i="63"/>
  <c r="Z23" i="63"/>
  <c r="Z24" i="63"/>
  <c r="Z25" i="63"/>
  <c r="Z26" i="63"/>
  <c r="Z27" i="63"/>
  <c r="Z28" i="63"/>
  <c r="Z29" i="63"/>
  <c r="Z30" i="63"/>
  <c r="Z31" i="63"/>
  <c r="Z32" i="63"/>
  <c r="Z33" i="63"/>
  <c r="Z34" i="63"/>
  <c r="Z35" i="63"/>
  <c r="Z36" i="63"/>
  <c r="Z37" i="63"/>
  <c r="Z38" i="63"/>
  <c r="Z39" i="63"/>
  <c r="Z40" i="63"/>
  <c r="Z41" i="63"/>
  <c r="Z42" i="63"/>
  <c r="Z43" i="63"/>
  <c r="Z44" i="63"/>
  <c r="Z45" i="63"/>
  <c r="Z46" i="63"/>
  <c r="Z47" i="63"/>
  <c r="Z48" i="63"/>
  <c r="Z49" i="63"/>
  <c r="Z50" i="63"/>
  <c r="Z51" i="63"/>
  <c r="Z52" i="63"/>
  <c r="Z53" i="63"/>
  <c r="Z54" i="63"/>
  <c r="Z55" i="63"/>
  <c r="Z56" i="63"/>
  <c r="Z57" i="63"/>
  <c r="Z58" i="63"/>
  <c r="Z59" i="63"/>
  <c r="Z60" i="63"/>
  <c r="Z61" i="63"/>
  <c r="Z62" i="63"/>
  <c r="Z63" i="63"/>
  <c r="Z64" i="63"/>
  <c r="Z65" i="63"/>
  <c r="Z66" i="63"/>
  <c r="Z67" i="63"/>
  <c r="Z68" i="63"/>
  <c r="Z69" i="63"/>
  <c r="Z70" i="63"/>
  <c r="Z71" i="63"/>
  <c r="Z72" i="63"/>
  <c r="Z73" i="63"/>
  <c r="Z74" i="63"/>
  <c r="Z75" i="63"/>
  <c r="Z76" i="63"/>
  <c r="Z77" i="63"/>
  <c r="Z78" i="63"/>
  <c r="Z79" i="63"/>
  <c r="Z80" i="63"/>
  <c r="Z81" i="63"/>
  <c r="Z82" i="63"/>
  <c r="Z83" i="63"/>
  <c r="Z84" i="63"/>
  <c r="Z85" i="63"/>
  <c r="Z86" i="63"/>
  <c r="Z87" i="63"/>
  <c r="Z88" i="63"/>
  <c r="Z89" i="63"/>
  <c r="Z90" i="63"/>
  <c r="Z91" i="63"/>
  <c r="Z92" i="63"/>
  <c r="Z93" i="63"/>
  <c r="Z94" i="63"/>
  <c r="Z95" i="63"/>
  <c r="Z96" i="63"/>
  <c r="Z97" i="63"/>
  <c r="Z98" i="63"/>
  <c r="Z99" i="63"/>
  <c r="Z100" i="63"/>
  <c r="Z101" i="63"/>
  <c r="Z102" i="63"/>
  <c r="Z103" i="63"/>
  <c r="Z104" i="63"/>
  <c r="Z105" i="63"/>
  <c r="Z106" i="63"/>
  <c r="Z107" i="63"/>
  <c r="Z108" i="63"/>
  <c r="Z109" i="63"/>
  <c r="Z110" i="63"/>
  <c r="Z111" i="63"/>
  <c r="Z112" i="63"/>
  <c r="Z113" i="63"/>
  <c r="Z114" i="63"/>
  <c r="Z115" i="63"/>
  <c r="Z116" i="63"/>
  <c r="Z117" i="63"/>
  <c r="Z118" i="63"/>
  <c r="Z119" i="63"/>
  <c r="Z120" i="63"/>
  <c r="Z121" i="63"/>
  <c r="Z122" i="63"/>
  <c r="Z123" i="63"/>
  <c r="Z124" i="63"/>
  <c r="Z125" i="63"/>
  <c r="Z126" i="63"/>
  <c r="Z127" i="63"/>
  <c r="Z128" i="63"/>
  <c r="Z129" i="63"/>
  <c r="Z130" i="63"/>
  <c r="Z131" i="63"/>
  <c r="Z132" i="63"/>
  <c r="Z133" i="63"/>
  <c r="Z134" i="63"/>
  <c r="Z135" i="63"/>
  <c r="Z136" i="63"/>
  <c r="Z137" i="63"/>
  <c r="Z138" i="63"/>
  <c r="Z139" i="63"/>
  <c r="Z140" i="63"/>
  <c r="Z141" i="63"/>
  <c r="Z142" i="63"/>
  <c r="Z143" i="63"/>
  <c r="Z144" i="63"/>
  <c r="Z145" i="63"/>
  <c r="Z146" i="63"/>
  <c r="Z147" i="63"/>
  <c r="Z148" i="63"/>
  <c r="Z149" i="63"/>
  <c r="Z150" i="63"/>
  <c r="Z151" i="63"/>
  <c r="Z152" i="63"/>
  <c r="Z153" i="63"/>
  <c r="Z154" i="63"/>
  <c r="Z155" i="63"/>
  <c r="Z156" i="63"/>
  <c r="Z157" i="63"/>
  <c r="Z158" i="63"/>
  <c r="Z159" i="63"/>
  <c r="Z160" i="63"/>
  <c r="Z161" i="63"/>
  <c r="Z162" i="63"/>
  <c r="Z163" i="63"/>
  <c r="Z164" i="63"/>
  <c r="Z165" i="63"/>
  <c r="Z166" i="63"/>
  <c r="Z167" i="63"/>
  <c r="Z168" i="63"/>
  <c r="Z169" i="63"/>
  <c r="Z170" i="63"/>
  <c r="Z171" i="63"/>
  <c r="Z172" i="63"/>
  <c r="Z173" i="63"/>
  <c r="Z174" i="63"/>
  <c r="Z175" i="63"/>
  <c r="Z176" i="63"/>
  <c r="Z177" i="63"/>
  <c r="Z178" i="63"/>
  <c r="Z179" i="63"/>
  <c r="Z180" i="63"/>
  <c r="Z181" i="63"/>
  <c r="Z182" i="63"/>
  <c r="Z183" i="63"/>
  <c r="Z184" i="63"/>
  <c r="Z185" i="63"/>
  <c r="Z186" i="63"/>
  <c r="Z187" i="63"/>
  <c r="Z188" i="63"/>
  <c r="Z189" i="63"/>
  <c r="Z190" i="63"/>
  <c r="Z191" i="63"/>
  <c r="Z192" i="63"/>
  <c r="Z193" i="63"/>
  <c r="Z194" i="63"/>
  <c r="Z195" i="63"/>
  <c r="Z196" i="63"/>
  <c r="Z197" i="63"/>
  <c r="Z198" i="63"/>
  <c r="Z199" i="63"/>
  <c r="Z200" i="63"/>
  <c r="Z201" i="63"/>
  <c r="Z202" i="63"/>
  <c r="Z203" i="63"/>
  <c r="Z204" i="63"/>
  <c r="Z205" i="63"/>
  <c r="Z206" i="63"/>
  <c r="Z207" i="63"/>
  <c r="Z208" i="63"/>
  <c r="Z209" i="63"/>
  <c r="Z210" i="63"/>
  <c r="Z211" i="63"/>
  <c r="Z212" i="63"/>
  <c r="Z213" i="63"/>
  <c r="Z214" i="63"/>
  <c r="Z215" i="63"/>
  <c r="Z216" i="63"/>
  <c r="Z217" i="63"/>
  <c r="Z218" i="63"/>
  <c r="Z219" i="63"/>
  <c r="Z220" i="63"/>
  <c r="Z221" i="63"/>
  <c r="Z222" i="63"/>
  <c r="Z223" i="63"/>
  <c r="Z224" i="63"/>
  <c r="Z225" i="63"/>
  <c r="Z226" i="63"/>
  <c r="Z227" i="63"/>
  <c r="Z228" i="63"/>
  <c r="Z229" i="63"/>
  <c r="Z230" i="63"/>
  <c r="Z231" i="63"/>
  <c r="Z232" i="63"/>
  <c r="Z233" i="63"/>
  <c r="Z234" i="63"/>
  <c r="Z235" i="63"/>
  <c r="Z236" i="63"/>
  <c r="Z237" i="63"/>
  <c r="Z238" i="63"/>
  <c r="Z239" i="63"/>
  <c r="Z240" i="63"/>
  <c r="Z241" i="63"/>
  <c r="Z242" i="63"/>
  <c r="Z243" i="63"/>
  <c r="Z244" i="63"/>
  <c r="Z245" i="63"/>
  <c r="Z246" i="63"/>
  <c r="Z247" i="63"/>
  <c r="Z248" i="63"/>
  <c r="Z249" i="63"/>
  <c r="Z250" i="63"/>
  <c r="Z251" i="63"/>
  <c r="Z252" i="63"/>
  <c r="Z253" i="63"/>
  <c r="Z254" i="63"/>
  <c r="Z255" i="63"/>
  <c r="Z256" i="63"/>
  <c r="Z257" i="63"/>
  <c r="Z258" i="63"/>
  <c r="Z259" i="63"/>
  <c r="Z260" i="63"/>
  <c r="Z261" i="63"/>
  <c r="Z262" i="63"/>
  <c r="Z263" i="63"/>
  <c r="Z264" i="63"/>
  <c r="Z265" i="63"/>
  <c r="Z266" i="63"/>
  <c r="Z267" i="63"/>
  <c r="Z268" i="63"/>
  <c r="Z269" i="63"/>
  <c r="Z270" i="63"/>
  <c r="Z271" i="63"/>
  <c r="Z272" i="63"/>
  <c r="Z273" i="63"/>
  <c r="Z274" i="63"/>
  <c r="Z275" i="63"/>
  <c r="Z276" i="63"/>
  <c r="Z277" i="63"/>
  <c r="Z278" i="63"/>
  <c r="Z279" i="63"/>
  <c r="Z280" i="63"/>
  <c r="Z281" i="63"/>
  <c r="Z282" i="63"/>
  <c r="Z283" i="63"/>
  <c r="Z284" i="63"/>
  <c r="Z285" i="63"/>
  <c r="Z286" i="63"/>
  <c r="Z287" i="63"/>
  <c r="Z288" i="63"/>
  <c r="Z289" i="63"/>
  <c r="Z290" i="63"/>
  <c r="Z291" i="63"/>
  <c r="Z292" i="63"/>
  <c r="Z293" i="63"/>
  <c r="Z294" i="63"/>
  <c r="Z295" i="63"/>
  <c r="Z296" i="63"/>
  <c r="Z297" i="63"/>
  <c r="Z298" i="63"/>
  <c r="Z299" i="63"/>
  <c r="Z300" i="63"/>
  <c r="Z301" i="63"/>
  <c r="Z302" i="63"/>
  <c r="Z303" i="63"/>
  <c r="Z304" i="63"/>
  <c r="Z305" i="63"/>
  <c r="Z306" i="63"/>
  <c r="Z307" i="63"/>
  <c r="Z308" i="63"/>
  <c r="Z309" i="63"/>
  <c r="Z310" i="63"/>
  <c r="Z311" i="63"/>
  <c r="Z312" i="63"/>
  <c r="Z313" i="63"/>
  <c r="Z314" i="63"/>
  <c r="Z315" i="63"/>
  <c r="Z316" i="63"/>
  <c r="Z317" i="63"/>
  <c r="Z318" i="63"/>
  <c r="Z319" i="63"/>
  <c r="Z320" i="63"/>
  <c r="Z321" i="63"/>
  <c r="Z322" i="63"/>
  <c r="Z323" i="63"/>
  <c r="Z324" i="63"/>
  <c r="Z325" i="63"/>
  <c r="Z326" i="63"/>
  <c r="Z327" i="63"/>
  <c r="Z328" i="63"/>
  <c r="Z329" i="63"/>
  <c r="Z330" i="63"/>
  <c r="Z331" i="63"/>
  <c r="Z332" i="63"/>
  <c r="Z333" i="63"/>
  <c r="Z334" i="63"/>
  <c r="Z335" i="63"/>
  <c r="Z336" i="63"/>
  <c r="Z337" i="63"/>
  <c r="Z338" i="63"/>
  <c r="Z339" i="63"/>
  <c r="Z340" i="63"/>
  <c r="Z341" i="63"/>
  <c r="Z342" i="63"/>
  <c r="Z343" i="63"/>
  <c r="Z344" i="63"/>
  <c r="Z345" i="63"/>
  <c r="Z346" i="63"/>
  <c r="Z347" i="63"/>
  <c r="Z348" i="63"/>
  <c r="Z349" i="63"/>
  <c r="Z350" i="63"/>
  <c r="Z351" i="63"/>
  <c r="Z352" i="63"/>
  <c r="Z353" i="63"/>
  <c r="Z354" i="63"/>
  <c r="Z355" i="63"/>
  <c r="Z356" i="63"/>
  <c r="Z357" i="63"/>
  <c r="Z358" i="63"/>
  <c r="Z359" i="63"/>
  <c r="Z360" i="63"/>
  <c r="Z361" i="63"/>
  <c r="Z362" i="63"/>
  <c r="Z363" i="63"/>
  <c r="Z364" i="63"/>
  <c r="Z365" i="63"/>
  <c r="Z366" i="63"/>
  <c r="Z367" i="63"/>
  <c r="Z368" i="63"/>
  <c r="Z369" i="63"/>
  <c r="Z370" i="63"/>
  <c r="Z371" i="63"/>
  <c r="Z372" i="63"/>
  <c r="Z373" i="63"/>
  <c r="Z374" i="63"/>
  <c r="Z375" i="63"/>
  <c r="Z376" i="63"/>
  <c r="Z377" i="63"/>
  <c r="Z378" i="63"/>
  <c r="Z379" i="63"/>
  <c r="Z380" i="63"/>
  <c r="Z381" i="63"/>
  <c r="Z382" i="63"/>
  <c r="Z383" i="63"/>
  <c r="Z384" i="63"/>
  <c r="Z385" i="63"/>
  <c r="Z386" i="63"/>
  <c r="Z387" i="63"/>
  <c r="Z388" i="63"/>
  <c r="Z389" i="63"/>
  <c r="Z390" i="63"/>
  <c r="Z391" i="63"/>
  <c r="Z392" i="63"/>
  <c r="Z393" i="63"/>
  <c r="Z394" i="63"/>
  <c r="Z395" i="63"/>
  <c r="Z396" i="63"/>
  <c r="Z397" i="63"/>
  <c r="Z398" i="63"/>
  <c r="Z399" i="63"/>
  <c r="Z400" i="63"/>
  <c r="Z401" i="63"/>
  <c r="Z402" i="63"/>
  <c r="Z403" i="63"/>
  <c r="Z404" i="63"/>
  <c r="Z405" i="63"/>
  <c r="Z406" i="63"/>
  <c r="Z407" i="63"/>
  <c r="Z408" i="63"/>
  <c r="Z409" i="63"/>
  <c r="Z410" i="63"/>
  <c r="Z411" i="63"/>
  <c r="Z412" i="63"/>
  <c r="Z413" i="63"/>
  <c r="Z414" i="63"/>
  <c r="Z415" i="63"/>
  <c r="Z416" i="63"/>
  <c r="Z417" i="63"/>
  <c r="Z418" i="63"/>
  <c r="Z419" i="63"/>
  <c r="Z420" i="63"/>
  <c r="Z421" i="63"/>
  <c r="Z422" i="63"/>
  <c r="Z423" i="63"/>
  <c r="Z424" i="63"/>
  <c r="Z425" i="63"/>
  <c r="Z426" i="63"/>
  <c r="Z427" i="63"/>
  <c r="Z428" i="63"/>
  <c r="Z429" i="63"/>
  <c r="Z430" i="63"/>
  <c r="Z431" i="63"/>
  <c r="Z432" i="63"/>
  <c r="Z433" i="63"/>
  <c r="Z434" i="63"/>
  <c r="Z435" i="63"/>
  <c r="Z436" i="63"/>
  <c r="Z437" i="63"/>
  <c r="Z438" i="63"/>
  <c r="Z439" i="63"/>
  <c r="Z440" i="63"/>
  <c r="Z441" i="63"/>
  <c r="Z442" i="63"/>
  <c r="Z443" i="63"/>
  <c r="Z444" i="63"/>
  <c r="Z445" i="63"/>
  <c r="Z446" i="63"/>
  <c r="Z447" i="63"/>
  <c r="Z448" i="63"/>
  <c r="Z449" i="63"/>
  <c r="Z450" i="63"/>
  <c r="Z451" i="63"/>
  <c r="Z452" i="63"/>
  <c r="Z453" i="63"/>
  <c r="Z454" i="63"/>
  <c r="Z455" i="63"/>
  <c r="Z456" i="63"/>
  <c r="Z457" i="63"/>
  <c r="Z458" i="63"/>
  <c r="Z459" i="63"/>
  <c r="Z460" i="63"/>
  <c r="Z461" i="63"/>
  <c r="Z462" i="63"/>
  <c r="Z463" i="63"/>
  <c r="Z464" i="63"/>
  <c r="Z465" i="63"/>
  <c r="Z466" i="63"/>
  <c r="Z467" i="63"/>
  <c r="Z468" i="63"/>
  <c r="Z469" i="63"/>
  <c r="Z470" i="63"/>
  <c r="Z471" i="63"/>
  <c r="Z472" i="63"/>
  <c r="Z473" i="63"/>
  <c r="Z474" i="63"/>
  <c r="Z475" i="63"/>
  <c r="Z476" i="63"/>
  <c r="Z477" i="63"/>
  <c r="Z478" i="63"/>
  <c r="Z479" i="63"/>
  <c r="Z480" i="63"/>
  <c r="Z481" i="63"/>
  <c r="Z482" i="63"/>
  <c r="Z483" i="63"/>
  <c r="Z484" i="63"/>
  <c r="Z485" i="63"/>
  <c r="Z486" i="63"/>
  <c r="Z487" i="63"/>
  <c r="Z488" i="63"/>
  <c r="Z489" i="63"/>
  <c r="Z490" i="63"/>
  <c r="Z491" i="63"/>
  <c r="Z492" i="63"/>
  <c r="Z493" i="63"/>
  <c r="Z494" i="63"/>
  <c r="Z495" i="63"/>
  <c r="Z496" i="63"/>
  <c r="Z497" i="63"/>
  <c r="Z498" i="63"/>
  <c r="Z499" i="63"/>
  <c r="Z500" i="63"/>
  <c r="Z501" i="63"/>
  <c r="Z502" i="63"/>
  <c r="Z503" i="63"/>
  <c r="Z504" i="63"/>
  <c r="Z505" i="63"/>
  <c r="Z506" i="63"/>
  <c r="Z507" i="63"/>
  <c r="Z508" i="63"/>
  <c r="Z509" i="63"/>
  <c r="Z510" i="63"/>
  <c r="Z511" i="63"/>
  <c r="Z512" i="63"/>
  <c r="Z513" i="63"/>
  <c r="Z514" i="63"/>
  <c r="Z515" i="63"/>
  <c r="Z516" i="63"/>
  <c r="Z517" i="63"/>
  <c r="Z518" i="63"/>
  <c r="Z519" i="63"/>
  <c r="Z520" i="63"/>
  <c r="Z521" i="63"/>
  <c r="Z522" i="63"/>
  <c r="Z523" i="63"/>
  <c r="Z524" i="63"/>
  <c r="Z525" i="63"/>
  <c r="Z526" i="63"/>
  <c r="Z527" i="63"/>
  <c r="Z528" i="63"/>
  <c r="Z529" i="63"/>
  <c r="Z530" i="63"/>
  <c r="Z531" i="63"/>
  <c r="Z532" i="63"/>
  <c r="Z533" i="63"/>
  <c r="Z534" i="63"/>
  <c r="Z535" i="63"/>
  <c r="Z536" i="63"/>
  <c r="Z537" i="63"/>
  <c r="Z538" i="63"/>
  <c r="Z539" i="63"/>
  <c r="Z540" i="63"/>
  <c r="Z541" i="63"/>
  <c r="Z542" i="63"/>
  <c r="Z543" i="63"/>
  <c r="Z544" i="63"/>
  <c r="Z545" i="63"/>
  <c r="Z546" i="63"/>
  <c r="Z547" i="63"/>
  <c r="Z548" i="63"/>
  <c r="Z549" i="63"/>
  <c r="Z550" i="63"/>
  <c r="Z551" i="63"/>
  <c r="Z552" i="63"/>
  <c r="Z553" i="63"/>
  <c r="Z554" i="63"/>
  <c r="Z555" i="63"/>
  <c r="Z556" i="63"/>
  <c r="Z557" i="63"/>
  <c r="Z558" i="63"/>
  <c r="Z559" i="63"/>
  <c r="Z560" i="63"/>
  <c r="Z561" i="63"/>
  <c r="Z562" i="63"/>
  <c r="Z563" i="63"/>
  <c r="Z564" i="63"/>
  <c r="Z565" i="63"/>
  <c r="Z566" i="63"/>
  <c r="Z567" i="63"/>
  <c r="Z568" i="63"/>
  <c r="Z569" i="63"/>
  <c r="Z570" i="63"/>
  <c r="Z571" i="63"/>
  <c r="Z572" i="63"/>
  <c r="Z573" i="63"/>
  <c r="Z574" i="63"/>
  <c r="Z575" i="63"/>
  <c r="Z576" i="63"/>
  <c r="Z577" i="63"/>
  <c r="Z578" i="63"/>
  <c r="Z579" i="63"/>
  <c r="Z580" i="63"/>
  <c r="Z581" i="63"/>
  <c r="Z582" i="63"/>
  <c r="Z583" i="63"/>
  <c r="Z584" i="63"/>
  <c r="Z585" i="63"/>
  <c r="Z586" i="63"/>
  <c r="Z587" i="63"/>
  <c r="Z588" i="63"/>
  <c r="Z589" i="63"/>
  <c r="Z590" i="63"/>
  <c r="Z591" i="63"/>
  <c r="Z592" i="63"/>
  <c r="Z593" i="63"/>
  <c r="Z594" i="63"/>
  <c r="Z595" i="63"/>
  <c r="Z596" i="63"/>
  <c r="Z597" i="63"/>
  <c r="Z598" i="63"/>
  <c r="Z599" i="63"/>
  <c r="Z600" i="63"/>
  <c r="Z601" i="63"/>
  <c r="Z602" i="63"/>
  <c r="Z603" i="63"/>
  <c r="Z604" i="63"/>
  <c r="Z605" i="63"/>
  <c r="Z606" i="63"/>
  <c r="Z607" i="63"/>
  <c r="Z608" i="63"/>
  <c r="Z609" i="63"/>
  <c r="Z610" i="63"/>
  <c r="Z611" i="63"/>
  <c r="Z612" i="63"/>
  <c r="Z613" i="63"/>
  <c r="Z614" i="63"/>
  <c r="Z615" i="63"/>
  <c r="Z616" i="63"/>
  <c r="Z617" i="63"/>
  <c r="Z618" i="63"/>
  <c r="Z619" i="63"/>
  <c r="Z620" i="63"/>
  <c r="Z621" i="63"/>
  <c r="Z622" i="63"/>
  <c r="Z623" i="63"/>
  <c r="Z624" i="63"/>
  <c r="Z625" i="63"/>
  <c r="Z626" i="63"/>
  <c r="Z627" i="63"/>
  <c r="Z628" i="63"/>
  <c r="Z629" i="63"/>
  <c r="Z630" i="63"/>
  <c r="Z631" i="63"/>
  <c r="Z632" i="63"/>
  <c r="Z633" i="63"/>
  <c r="Z634" i="63"/>
  <c r="Z635" i="63"/>
  <c r="Z636" i="63"/>
  <c r="Z637" i="63"/>
  <c r="Z638" i="63"/>
  <c r="Z639" i="63"/>
  <c r="Z640" i="63"/>
  <c r="Z641" i="63"/>
  <c r="Z642" i="63"/>
  <c r="Z643" i="63"/>
  <c r="Z644" i="63"/>
  <c r="Z645" i="63"/>
  <c r="Z646" i="63"/>
  <c r="Z647" i="63"/>
  <c r="Z648" i="63"/>
  <c r="Z649" i="63"/>
  <c r="Z650" i="63"/>
  <c r="Z651" i="63"/>
  <c r="Z652" i="63"/>
  <c r="Z653" i="63"/>
  <c r="Z654" i="63"/>
  <c r="Z655" i="63"/>
  <c r="Z656" i="63"/>
  <c r="Z657" i="63"/>
  <c r="Z658" i="63"/>
  <c r="Z659" i="63"/>
  <c r="Z660" i="63"/>
  <c r="Z661" i="63"/>
  <c r="Z662" i="63"/>
  <c r="Z663" i="63"/>
  <c r="Z664" i="63"/>
  <c r="Z665" i="63"/>
  <c r="Z666" i="63"/>
  <c r="Z667" i="63"/>
  <c r="Z668" i="63"/>
  <c r="Z669" i="63"/>
  <c r="Z670" i="63"/>
  <c r="Z671" i="63"/>
  <c r="Z672" i="63"/>
  <c r="Z673" i="63"/>
  <c r="Z674" i="63"/>
  <c r="Z675" i="63"/>
  <c r="Z676" i="63"/>
  <c r="Z677" i="63"/>
  <c r="Z678" i="63"/>
  <c r="Z679" i="63"/>
  <c r="Z680" i="63"/>
  <c r="Z681" i="63"/>
  <c r="Z682" i="63"/>
  <c r="Z683" i="63"/>
  <c r="Z684" i="63"/>
  <c r="Z685" i="63"/>
  <c r="Z686" i="63"/>
  <c r="Z687" i="63"/>
  <c r="Z688" i="63"/>
  <c r="Z689" i="63"/>
  <c r="Z690" i="63"/>
  <c r="Z691" i="63"/>
  <c r="Z692" i="63"/>
  <c r="Z693" i="63"/>
  <c r="Z694" i="63"/>
  <c r="Z695" i="63"/>
  <c r="Z696" i="63"/>
  <c r="Z697" i="63"/>
  <c r="Z698" i="63"/>
  <c r="Z699" i="63"/>
  <c r="Z700" i="63"/>
  <c r="Z701" i="63"/>
  <c r="Z702" i="63"/>
  <c r="Z703" i="63"/>
  <c r="Z704" i="63"/>
  <c r="Z705" i="63"/>
  <c r="Z706" i="63"/>
  <c r="Z707" i="63"/>
  <c r="Z708" i="63"/>
  <c r="Z709" i="63"/>
  <c r="Z710" i="63"/>
  <c r="Z711" i="63"/>
  <c r="Z712" i="63"/>
  <c r="Z713" i="63"/>
  <c r="Z714" i="63"/>
  <c r="Z715" i="63"/>
  <c r="Z716" i="63"/>
  <c r="Z717" i="63"/>
  <c r="Z718" i="63"/>
  <c r="Z719" i="63"/>
  <c r="Z720" i="63"/>
  <c r="Z721" i="63"/>
  <c r="Z722" i="63"/>
  <c r="Z723" i="63"/>
  <c r="Z724" i="63"/>
  <c r="Z725" i="63"/>
  <c r="Z726" i="63"/>
  <c r="Z727" i="63"/>
  <c r="Z728" i="63"/>
  <c r="Z729" i="63"/>
  <c r="Z730" i="63"/>
  <c r="Z731" i="63"/>
  <c r="Z732" i="63"/>
  <c r="Z733" i="63"/>
  <c r="Z734" i="63"/>
  <c r="Z735" i="63"/>
  <c r="Z736" i="63"/>
  <c r="Z737" i="63"/>
  <c r="Z738" i="63"/>
  <c r="Z739" i="63"/>
  <c r="Z740" i="63"/>
  <c r="Z741" i="63"/>
  <c r="Z742" i="63"/>
  <c r="Z743" i="63"/>
  <c r="Z744" i="63"/>
  <c r="Z745" i="63"/>
  <c r="Z746" i="63"/>
  <c r="Z747" i="63"/>
  <c r="Z748" i="63"/>
  <c r="Z749" i="63"/>
  <c r="Z750" i="63"/>
  <c r="Z751" i="63"/>
  <c r="Z752" i="63"/>
  <c r="Z753" i="63"/>
  <c r="Z754" i="63"/>
  <c r="Z755" i="63"/>
  <c r="Z756" i="63"/>
  <c r="Z757" i="63"/>
  <c r="Z758" i="63"/>
  <c r="Z759" i="63"/>
  <c r="Z760" i="63"/>
  <c r="Z761" i="63"/>
  <c r="Z762" i="63"/>
  <c r="Z763" i="63"/>
  <c r="Z764" i="63"/>
  <c r="Z765" i="63"/>
  <c r="Z766" i="63"/>
  <c r="Z767" i="63"/>
  <c r="Z768" i="63"/>
  <c r="Z769" i="63"/>
  <c r="Z770" i="63"/>
  <c r="Z771" i="63"/>
  <c r="Z772" i="63"/>
  <c r="Z773" i="63"/>
  <c r="Z774" i="63"/>
  <c r="Z775" i="63"/>
  <c r="Z776" i="63"/>
  <c r="Z777" i="63"/>
  <c r="Z778" i="63"/>
  <c r="Z779" i="63"/>
  <c r="Z780" i="63"/>
  <c r="Z781" i="63"/>
  <c r="Z782" i="63"/>
  <c r="Z783" i="63"/>
  <c r="Z784" i="63"/>
  <c r="Z785" i="63"/>
  <c r="Z786" i="63"/>
  <c r="Z787" i="63"/>
  <c r="Z788" i="63"/>
  <c r="Z789" i="63"/>
  <c r="Z790" i="63"/>
  <c r="Z791" i="63"/>
  <c r="Z792" i="63"/>
  <c r="Z793" i="63"/>
  <c r="Z794" i="63"/>
  <c r="Z795" i="63"/>
  <c r="Z796" i="63"/>
  <c r="Z797" i="63"/>
  <c r="Z798" i="63"/>
  <c r="Z799" i="63"/>
  <c r="Z800" i="63"/>
  <c r="Z801" i="63"/>
  <c r="Z802" i="63"/>
  <c r="Z803" i="63"/>
  <c r="Z804" i="63"/>
  <c r="Z805" i="63"/>
  <c r="Z806" i="63"/>
  <c r="Z807" i="63"/>
  <c r="Z808" i="63"/>
  <c r="Z809" i="63"/>
  <c r="Z810" i="63"/>
  <c r="Z811" i="63"/>
  <c r="Z812" i="63"/>
  <c r="Z813" i="63"/>
  <c r="Z814" i="63"/>
  <c r="Z815" i="63"/>
  <c r="Z816" i="63"/>
  <c r="Z817" i="63"/>
  <c r="Z818" i="63"/>
  <c r="Z819" i="63"/>
  <c r="Z820" i="63"/>
  <c r="Z821" i="63"/>
  <c r="Z14" i="63"/>
  <c r="C1582" i="95" l="1"/>
  <c r="C817" i="95"/>
  <c r="C1583" i="95" l="1"/>
  <c r="C818" i="95"/>
  <c r="V4" i="91"/>
  <c r="V5" i="91"/>
  <c r="V6" i="91"/>
  <c r="V7" i="91"/>
  <c r="V8" i="91"/>
  <c r="V9" i="91"/>
  <c r="V10" i="91"/>
  <c r="V12" i="91"/>
  <c r="V13" i="91"/>
  <c r="V14" i="91"/>
  <c r="V15" i="91"/>
  <c r="V16" i="91"/>
  <c r="V17" i="91"/>
  <c r="V18" i="91"/>
  <c r="V19" i="91"/>
  <c r="V20" i="91"/>
  <c r="V21" i="91"/>
  <c r="V22" i="91"/>
  <c r="V23" i="91"/>
  <c r="V24" i="91"/>
  <c r="V25" i="91"/>
  <c r="V26" i="91"/>
  <c r="V27" i="91"/>
  <c r="V28" i="91"/>
  <c r="V29" i="91"/>
  <c r="V30" i="91"/>
  <c r="V31" i="91"/>
  <c r="V32" i="91"/>
  <c r="V33" i="91"/>
  <c r="V34" i="91"/>
  <c r="V35" i="91"/>
  <c r="V36" i="91"/>
  <c r="V37" i="91"/>
  <c r="V38" i="91"/>
  <c r="V39" i="91"/>
  <c r="V40" i="91"/>
  <c r="V41" i="91"/>
  <c r="V42" i="91"/>
  <c r="V43" i="91"/>
  <c r="V44" i="91"/>
  <c r="V45" i="91"/>
  <c r="V47" i="91"/>
  <c r="V48" i="91"/>
  <c r="V3" i="91"/>
  <c r="W3" i="91" s="1"/>
  <c r="W4" i="91" l="1"/>
  <c r="C819" i="95"/>
  <c r="C1584" i="95"/>
  <c r="J122" i="4"/>
  <c r="J123" i="4"/>
  <c r="J124" i="4"/>
  <c r="J125" i="4"/>
  <c r="J126" i="4"/>
  <c r="J127" i="4"/>
  <c r="J128" i="4"/>
  <c r="J129" i="4"/>
  <c r="J130" i="4"/>
  <c r="J131" i="4"/>
  <c r="W5" i="91" l="1"/>
  <c r="C1585" i="95"/>
  <c r="C820" i="95"/>
  <c r="C232" i="64"/>
  <c r="C188" i="64"/>
  <c r="C195" i="64"/>
  <c r="R818" i="63"/>
  <c r="R819" i="63"/>
  <c r="R820" i="63"/>
  <c r="R821" i="63"/>
  <c r="R822" i="63"/>
  <c r="W6" i="91" l="1"/>
  <c r="C821" i="95"/>
  <c r="C1586" i="95"/>
  <c r="L82" i="63"/>
  <c r="X82" i="63" s="1"/>
  <c r="M82" i="63"/>
  <c r="N82" i="63"/>
  <c r="O82" i="63"/>
  <c r="S82" i="63"/>
  <c r="U82" i="63" s="1"/>
  <c r="W82" i="63"/>
  <c r="Y82" i="63"/>
  <c r="AC82" i="63"/>
  <c r="R82" i="63" s="1"/>
  <c r="AF82" i="63"/>
  <c r="W7" i="91" l="1"/>
  <c r="C822" i="95"/>
  <c r="C1587" i="95"/>
  <c r="H21" i="96"/>
  <c r="H15" i="96"/>
  <c r="H20" i="96"/>
  <c r="H19" i="96"/>
  <c r="H18" i="96"/>
  <c r="P82" i="63"/>
  <c r="AD82" i="63"/>
  <c r="AE82" i="63"/>
  <c r="T82" i="63"/>
  <c r="E32" i="72"/>
  <c r="J37" i="72"/>
  <c r="B64" i="80"/>
  <c r="H121" i="64"/>
  <c r="C292" i="64"/>
  <c r="C294" i="64"/>
  <c r="C296" i="64" s="1"/>
  <c r="C268" i="64"/>
  <c r="C263" i="64" s="1"/>
  <c r="C269" i="64"/>
  <c r="C271" i="64"/>
  <c r="W8" i="91" l="1"/>
  <c r="I7" i="96"/>
  <c r="H7" i="96"/>
  <c r="I25" i="96"/>
  <c r="H25" i="96"/>
  <c r="I8" i="96"/>
  <c r="H8" i="96"/>
  <c r="I24" i="96"/>
  <c r="H24" i="96"/>
  <c r="I5" i="96"/>
  <c r="H5" i="96"/>
  <c r="I6" i="96"/>
  <c r="H6" i="96"/>
  <c r="I10" i="96"/>
  <c r="H10" i="96"/>
  <c r="I22" i="96"/>
  <c r="W10" i="96" s="1"/>
  <c r="H22" i="96"/>
  <c r="I14" i="96"/>
  <c r="H14" i="96"/>
  <c r="I17" i="96"/>
  <c r="H17" i="96"/>
  <c r="I11" i="96"/>
  <c r="H11" i="96"/>
  <c r="I26" i="96"/>
  <c r="H26" i="96"/>
  <c r="I12" i="96"/>
  <c r="H12" i="96"/>
  <c r="I9" i="96"/>
  <c r="H9" i="96"/>
  <c r="I27" i="96"/>
  <c r="H27" i="96"/>
  <c r="I13" i="96"/>
  <c r="H13" i="96"/>
  <c r="I16" i="96"/>
  <c r="H16" i="96"/>
  <c r="I28" i="96"/>
  <c r="H28" i="96"/>
  <c r="I4" i="96"/>
  <c r="H4" i="96"/>
  <c r="I23" i="96"/>
  <c r="H23" i="96"/>
  <c r="I3" i="96"/>
  <c r="H3" i="96"/>
  <c r="C823" i="95"/>
  <c r="C1588" i="95"/>
  <c r="J87" i="89"/>
  <c r="D87" i="89"/>
  <c r="J77" i="89"/>
  <c r="D77" i="89"/>
  <c r="J67" i="89"/>
  <c r="D67" i="89"/>
  <c r="J57" i="89"/>
  <c r="D57" i="89"/>
  <c r="J47" i="89"/>
  <c r="D47" i="89"/>
  <c r="J37" i="89"/>
  <c r="D37" i="89"/>
  <c r="J27" i="89"/>
  <c r="D27" i="89"/>
  <c r="J17" i="89"/>
  <c r="D17" i="89"/>
  <c r="J7" i="89"/>
  <c r="D7" i="89"/>
  <c r="J373" i="70"/>
  <c r="Q702" i="27" s="1"/>
  <c r="W9" i="91" l="1"/>
  <c r="W10" i="91"/>
  <c r="W11" i="91" s="1"/>
  <c r="W12" i="91" s="1"/>
  <c r="C1589" i="95"/>
  <c r="C824" i="95"/>
  <c r="G253" i="64"/>
  <c r="E252" i="64"/>
  <c r="W13" i="91" l="1"/>
  <c r="W14" i="91" s="1"/>
  <c r="W15" i="91" s="1"/>
  <c r="W16" i="91" s="1"/>
  <c r="W17" i="91" s="1"/>
  <c r="C1590" i="95"/>
  <c r="C825" i="95"/>
  <c r="C267" i="43"/>
  <c r="C268" i="43" s="1"/>
  <c r="W18" i="91" l="1"/>
  <c r="W19" i="91" s="1"/>
  <c r="W20" i="91" s="1"/>
  <c r="W21" i="91" s="1"/>
  <c r="W22" i="91" s="1"/>
  <c r="W23" i="91" s="1"/>
  <c r="C1591" i="95"/>
  <c r="C826" i="95"/>
  <c r="G126" i="58"/>
  <c r="A126" i="58"/>
  <c r="G116" i="58"/>
  <c r="A116" i="58"/>
  <c r="G106" i="58"/>
  <c r="A106" i="58"/>
  <c r="G96" i="58"/>
  <c r="A96" i="58"/>
  <c r="G86" i="58"/>
  <c r="A86" i="58"/>
  <c r="D131" i="58"/>
  <c r="E128" i="58"/>
  <c r="E133" i="58" s="1"/>
  <c r="D121" i="58"/>
  <c r="E118" i="58"/>
  <c r="E123" i="58" s="1"/>
  <c r="D111" i="58"/>
  <c r="E108" i="58"/>
  <c r="E113" i="58" s="1"/>
  <c r="D101" i="58"/>
  <c r="E98" i="58"/>
  <c r="E103" i="58" s="1"/>
  <c r="A248" i="43"/>
  <c r="A230" i="43"/>
  <c r="A212" i="43"/>
  <c r="A194" i="43"/>
  <c r="A176" i="43"/>
  <c r="D257" i="43"/>
  <c r="D239" i="43"/>
  <c r="D221" i="43"/>
  <c r="D203" i="43"/>
  <c r="D185" i="43"/>
  <c r="W24" i="91" l="1"/>
  <c r="W25" i="91" s="1"/>
  <c r="W26" i="91"/>
  <c r="W27" i="91" s="1"/>
  <c r="W28" i="91" s="1"/>
  <c r="W29" i="91" s="1"/>
  <c r="W30" i="91" s="1"/>
  <c r="W31" i="91" s="1"/>
  <c r="W32" i="91" s="1"/>
  <c r="W33" i="91" s="1"/>
  <c r="W34" i="91" s="1"/>
  <c r="W35" i="91" s="1"/>
  <c r="W36" i="91" s="1"/>
  <c r="W37" i="91" s="1"/>
  <c r="W38" i="91" s="1"/>
  <c r="W39" i="91" s="1"/>
  <c r="W40" i="91" s="1"/>
  <c r="W41" i="91" s="1"/>
  <c r="W42" i="91" s="1"/>
  <c r="W43" i="91" s="1"/>
  <c r="W44" i="91" s="1"/>
  <c r="W45" i="91" s="1"/>
  <c r="W46" i="91" s="1"/>
  <c r="W47" i="91" s="1"/>
  <c r="C827" i="95"/>
  <c r="C1592" i="95"/>
  <c r="J179" i="43"/>
  <c r="J178" i="43"/>
  <c r="H177" i="43"/>
  <c r="H195" i="43"/>
  <c r="J197" i="43"/>
  <c r="J196" i="43"/>
  <c r="J215" i="43"/>
  <c r="J214" i="43"/>
  <c r="H213" i="43"/>
  <c r="J233" i="43"/>
  <c r="J232" i="43"/>
  <c r="H231" i="43"/>
  <c r="J251" i="43"/>
  <c r="J250" i="43"/>
  <c r="H249" i="43"/>
  <c r="R107" i="72"/>
  <c r="R106" i="72"/>
  <c r="R105" i="72"/>
  <c r="D5" i="70"/>
  <c r="W48" i="91" l="1"/>
  <c r="X21" i="91" s="1"/>
  <c r="C1593" i="95"/>
  <c r="C828" i="95"/>
  <c r="D310" i="43"/>
  <c r="D342" i="43"/>
  <c r="D171" i="43"/>
  <c r="K171" i="43"/>
  <c r="M5" i="3"/>
  <c r="X3" i="91" l="1"/>
  <c r="X26" i="91"/>
  <c r="X17" i="91"/>
  <c r="X10" i="91"/>
  <c r="X18" i="91"/>
  <c r="X14" i="91"/>
  <c r="X15" i="91"/>
  <c r="X12" i="91"/>
  <c r="X8" i="91"/>
  <c r="X5" i="91"/>
  <c r="X7" i="91"/>
  <c r="X4" i="91"/>
  <c r="X23" i="91"/>
  <c r="X20" i="91"/>
  <c r="X11" i="91"/>
  <c r="X9" i="91"/>
  <c r="X39" i="91"/>
  <c r="X16" i="91"/>
  <c r="X13" i="91"/>
  <c r="X6" i="91"/>
  <c r="X45" i="91"/>
  <c r="X46" i="91"/>
  <c r="X31" i="91"/>
  <c r="X27" i="91"/>
  <c r="X19" i="91"/>
  <c r="X28" i="91"/>
  <c r="X25" i="91"/>
  <c r="X47" i="91"/>
  <c r="X36" i="91"/>
  <c r="X24" i="91"/>
  <c r="X48" i="91"/>
  <c r="X22" i="91"/>
  <c r="X34" i="91"/>
  <c r="X32" i="91"/>
  <c r="X37" i="91"/>
  <c r="X41" i="91"/>
  <c r="X44" i="91"/>
  <c r="X38" i="91"/>
  <c r="X33" i="91"/>
  <c r="X35" i="91"/>
  <c r="X30" i="91"/>
  <c r="X42" i="91"/>
  <c r="X29" i="91"/>
  <c r="X43" i="91"/>
  <c r="X40" i="91"/>
  <c r="C829" i="95"/>
  <c r="C1594" i="95"/>
  <c r="K145" i="43"/>
  <c r="D145" i="43"/>
  <c r="C830" i="95" l="1"/>
  <c r="C1595" i="95"/>
  <c r="K134" i="43"/>
  <c r="N7" i="39"/>
  <c r="N8" i="39"/>
  <c r="N9" i="39"/>
  <c r="N10" i="39"/>
  <c r="N11" i="39"/>
  <c r="N12" i="39"/>
  <c r="N13" i="39"/>
  <c r="N14" i="39"/>
  <c r="N15" i="39"/>
  <c r="N16" i="39"/>
  <c r="N17" i="39"/>
  <c r="N18" i="39"/>
  <c r="N19" i="39"/>
  <c r="N20" i="39"/>
  <c r="C169" i="64"/>
  <c r="C240" i="64"/>
  <c r="C204" i="64"/>
  <c r="J39" i="72"/>
  <c r="C1596" i="95" l="1"/>
  <c r="C831" i="95"/>
  <c r="X829" i="63"/>
  <c r="M8" i="63"/>
  <c r="AC1140" i="63"/>
  <c r="C832" i="95" l="1"/>
  <c r="C1597" i="95"/>
  <c r="I164" i="66"/>
  <c r="A1273" i="70"/>
  <c r="A1272" i="70"/>
  <c r="A1271" i="70"/>
  <c r="A1255" i="70"/>
  <c r="C35" i="98" s="1"/>
  <c r="A1254" i="70"/>
  <c r="C34" i="98" s="1"/>
  <c r="A1253" i="70"/>
  <c r="C33" i="98" s="1"/>
  <c r="C833" i="95" l="1"/>
  <c r="C1598" i="95"/>
  <c r="G4" i="70"/>
  <c r="G3" i="70"/>
  <c r="F4" i="70"/>
  <c r="F3" i="70"/>
  <c r="C1599" i="95" l="1"/>
  <c r="C834" i="95"/>
  <c r="T33" i="72"/>
  <c r="S33" i="72"/>
  <c r="C835" i="95" l="1"/>
  <c r="C1600" i="95"/>
  <c r="V694" i="27"/>
  <c r="Y694" i="27" s="1"/>
  <c r="V674" i="27"/>
  <c r="Y674" i="27" s="1"/>
  <c r="V673" i="27"/>
  <c r="Y673" i="27" s="1"/>
  <c r="V672" i="27"/>
  <c r="Y672" i="27" s="1"/>
  <c r="V671" i="27"/>
  <c r="X671" i="27" s="1"/>
  <c r="V670" i="27"/>
  <c r="V644" i="27"/>
  <c r="Y644" i="27" s="1"/>
  <c r="V643" i="27"/>
  <c r="Y643" i="27" s="1"/>
  <c r="V642" i="27"/>
  <c r="Y642" i="27" s="1"/>
  <c r="V641" i="27"/>
  <c r="Y641" i="27" s="1"/>
  <c r="V640" i="27"/>
  <c r="Y640" i="27" s="1"/>
  <c r="V639" i="27"/>
  <c r="Y639" i="27" s="1"/>
  <c r="V638" i="27"/>
  <c r="X638" i="27" s="1"/>
  <c r="V637" i="27"/>
  <c r="Y637" i="27" s="1"/>
  <c r="V636" i="27"/>
  <c r="V635" i="27"/>
  <c r="Y635" i="27" s="1"/>
  <c r="V606" i="27"/>
  <c r="Y606" i="27" s="1"/>
  <c r="V605" i="27"/>
  <c r="Y605" i="27" s="1"/>
  <c r="V604" i="27"/>
  <c r="Y604" i="27" s="1"/>
  <c r="V603" i="27"/>
  <c r="Y603" i="27" s="1"/>
  <c r="V602" i="27"/>
  <c r="V601" i="27"/>
  <c r="Y601" i="27" s="1"/>
  <c r="V600" i="27"/>
  <c r="Y600" i="27" s="1"/>
  <c r="V599" i="27"/>
  <c r="Y599" i="27" s="1"/>
  <c r="V598" i="27"/>
  <c r="Y598" i="27" s="1"/>
  <c r="V597" i="27"/>
  <c r="Y597" i="27" s="1"/>
  <c r="V596" i="27"/>
  <c r="Y596" i="27" s="1"/>
  <c r="V595" i="27"/>
  <c r="Y595" i="27" s="1"/>
  <c r="V594" i="27"/>
  <c r="X594" i="27" s="1"/>
  <c r="V593" i="27"/>
  <c r="Y593" i="27" s="1"/>
  <c r="V592" i="27"/>
  <c r="X592" i="27" s="1"/>
  <c r="V591" i="27"/>
  <c r="Y591" i="27" s="1"/>
  <c r="V590" i="27"/>
  <c r="Y590" i="27" s="1"/>
  <c r="V587" i="27"/>
  <c r="Y587" i="27" s="1"/>
  <c r="V586" i="27"/>
  <c r="Y586" i="27" s="1"/>
  <c r="V585" i="27"/>
  <c r="Y585" i="27" s="1"/>
  <c r="V584" i="27"/>
  <c r="Y584" i="27" s="1"/>
  <c r="V583" i="27"/>
  <c r="X583" i="27" s="1"/>
  <c r="V582" i="27"/>
  <c r="Y582" i="27" s="1"/>
  <c r="V581" i="27"/>
  <c r="Y581" i="27" s="1"/>
  <c r="V580" i="27"/>
  <c r="Y580" i="27" s="1"/>
  <c r="V579" i="27"/>
  <c r="Y579" i="27" s="1"/>
  <c r="V578" i="27"/>
  <c r="Y578" i="27" s="1"/>
  <c r="V577" i="27"/>
  <c r="Y577" i="27" s="1"/>
  <c r="V576" i="27"/>
  <c r="Y576" i="27" s="1"/>
  <c r="V575" i="27"/>
  <c r="X575" i="27" s="1"/>
  <c r="V574" i="27"/>
  <c r="Y574" i="27" s="1"/>
  <c r="V573" i="27"/>
  <c r="Y573" i="27" s="1"/>
  <c r="V572" i="27"/>
  <c r="Y572" i="27" s="1"/>
  <c r="V571" i="27"/>
  <c r="Y571" i="27" s="1"/>
  <c r="V570" i="27"/>
  <c r="Y570" i="27" s="1"/>
  <c r="V569" i="27"/>
  <c r="Y569" i="27" s="1"/>
  <c r="V568" i="27"/>
  <c r="Y568" i="27" s="1"/>
  <c r="V567" i="27"/>
  <c r="X567" i="27" s="1"/>
  <c r="V566" i="27"/>
  <c r="V565" i="27"/>
  <c r="V564" i="27"/>
  <c r="Y564" i="27" s="1"/>
  <c r="V497" i="27"/>
  <c r="V498" i="27"/>
  <c r="X498" i="27" s="1"/>
  <c r="V499" i="27"/>
  <c r="X499" i="27" s="1"/>
  <c r="V500" i="27"/>
  <c r="Y500" i="27" s="1"/>
  <c r="V501" i="27"/>
  <c r="Y501" i="27" s="1"/>
  <c r="V502" i="27"/>
  <c r="Y502" i="27" s="1"/>
  <c r="V503" i="27"/>
  <c r="X503" i="27" s="1"/>
  <c r="V504" i="27"/>
  <c r="X504" i="27" s="1"/>
  <c r="V505" i="27"/>
  <c r="X505" i="27" s="1"/>
  <c r="V516" i="27"/>
  <c r="X516" i="27" s="1"/>
  <c r="V517" i="27"/>
  <c r="X517" i="27" s="1"/>
  <c r="V518" i="27"/>
  <c r="X518" i="27" s="1"/>
  <c r="V519" i="27"/>
  <c r="X519" i="27" s="1"/>
  <c r="V520" i="27"/>
  <c r="X520" i="27" s="1"/>
  <c r="V521" i="27"/>
  <c r="X521" i="27" s="1"/>
  <c r="V522" i="27"/>
  <c r="X522" i="27" s="1"/>
  <c r="V523" i="27"/>
  <c r="X523" i="27" s="1"/>
  <c r="V524" i="27"/>
  <c r="X524" i="27" s="1"/>
  <c r="V525" i="27"/>
  <c r="X525" i="27" s="1"/>
  <c r="V526" i="27"/>
  <c r="Y526" i="27" s="1"/>
  <c r="V527" i="27"/>
  <c r="X527" i="27" s="1"/>
  <c r="V528" i="27"/>
  <c r="X528" i="27" s="1"/>
  <c r="V529" i="27"/>
  <c r="Y529" i="27" s="1"/>
  <c r="V530" i="27"/>
  <c r="X530" i="27" s="1"/>
  <c r="V531" i="27"/>
  <c r="X531" i="27" s="1"/>
  <c r="V532" i="27"/>
  <c r="X532" i="27" s="1"/>
  <c r="V533" i="27"/>
  <c r="X533" i="27" s="1"/>
  <c r="V534" i="27"/>
  <c r="Y534" i="27" s="1"/>
  <c r="V535" i="27"/>
  <c r="Y535" i="27" s="1"/>
  <c r="V536" i="27"/>
  <c r="X536" i="27" s="1"/>
  <c r="V537" i="27"/>
  <c r="X537" i="27" s="1"/>
  <c r="V538" i="27"/>
  <c r="X538" i="27" s="1"/>
  <c r="V539" i="27"/>
  <c r="X539" i="27" s="1"/>
  <c r="V540" i="27"/>
  <c r="X540" i="27" s="1"/>
  <c r="V541" i="27"/>
  <c r="X541" i="27" s="1"/>
  <c r="V542" i="27"/>
  <c r="X542" i="27" s="1"/>
  <c r="V543" i="27"/>
  <c r="X543" i="27" s="1"/>
  <c r="V544" i="27"/>
  <c r="X544" i="27" s="1"/>
  <c r="V545" i="27"/>
  <c r="Y545" i="27" s="1"/>
  <c r="V546" i="27"/>
  <c r="X546" i="27" s="1"/>
  <c r="V547" i="27"/>
  <c r="Y547" i="27" s="1"/>
  <c r="V548" i="27"/>
  <c r="X548" i="27" s="1"/>
  <c r="V549" i="27"/>
  <c r="X549" i="27" s="1"/>
  <c r="V550" i="27"/>
  <c r="X550" i="27" s="1"/>
  <c r="V551" i="27"/>
  <c r="X551" i="27" s="1"/>
  <c r="V552" i="27"/>
  <c r="X552" i="27" s="1"/>
  <c r="V553" i="27"/>
  <c r="X553" i="27" s="1"/>
  <c r="V554" i="27"/>
  <c r="X554" i="27" s="1"/>
  <c r="V555" i="27"/>
  <c r="Y555" i="27" s="1"/>
  <c r="V556" i="27"/>
  <c r="X556" i="27" s="1"/>
  <c r="V557" i="27"/>
  <c r="X557" i="27" s="1"/>
  <c r="V558" i="27"/>
  <c r="X558" i="27" s="1"/>
  <c r="V559" i="27"/>
  <c r="X559" i="27" s="1"/>
  <c r="V560" i="27"/>
  <c r="X560" i="27" s="1"/>
  <c r="V561" i="27"/>
  <c r="X561" i="27" s="1"/>
  <c r="V496" i="27"/>
  <c r="Y496" i="27" s="1"/>
  <c r="X497" i="27"/>
  <c r="V472" i="27"/>
  <c r="X472" i="27" s="1"/>
  <c r="V473" i="27"/>
  <c r="X473" i="27" s="1"/>
  <c r="V474" i="27"/>
  <c r="X474" i="27" s="1"/>
  <c r="V475" i="27"/>
  <c r="Y475" i="27" s="1"/>
  <c r="V486" i="27"/>
  <c r="X486" i="27" s="1"/>
  <c r="V487" i="27"/>
  <c r="X487" i="27" s="1"/>
  <c r="V488" i="27"/>
  <c r="X488" i="27" s="1"/>
  <c r="V489" i="27"/>
  <c r="X489" i="27" s="1"/>
  <c r="V490" i="27"/>
  <c r="X490" i="27" s="1"/>
  <c r="V491" i="27"/>
  <c r="X491" i="27" s="1"/>
  <c r="V471" i="27"/>
  <c r="Y471" i="27" s="1"/>
  <c r="V261" i="27"/>
  <c r="X261" i="27" s="1"/>
  <c r="V262" i="27"/>
  <c r="X262" i="27" s="1"/>
  <c r="V263" i="27"/>
  <c r="X263" i="27" s="1"/>
  <c r="V264" i="27"/>
  <c r="Y264" i="27" s="1"/>
  <c r="V265" i="27"/>
  <c r="X265" i="27" s="1"/>
  <c r="V266" i="27"/>
  <c r="X266" i="27" s="1"/>
  <c r="V267" i="27"/>
  <c r="Y267" i="27" s="1"/>
  <c r="V268" i="27"/>
  <c r="X268" i="27" s="1"/>
  <c r="V269" i="27"/>
  <c r="X269" i="27" s="1"/>
  <c r="V278" i="27"/>
  <c r="X278" i="27" s="1"/>
  <c r="V279" i="27"/>
  <c r="X279" i="27" s="1"/>
  <c r="V280" i="27"/>
  <c r="Y280" i="27" s="1"/>
  <c r="V281" i="27"/>
  <c r="X281" i="27" s="1"/>
  <c r="V282" i="27"/>
  <c r="X282" i="27" s="1"/>
  <c r="V283" i="27"/>
  <c r="Y283" i="27" s="1"/>
  <c r="V284" i="27"/>
  <c r="X284" i="27" s="1"/>
  <c r="V285" i="27"/>
  <c r="X285" i="27" s="1"/>
  <c r="V286" i="27"/>
  <c r="X286" i="27" s="1"/>
  <c r="V464" i="27"/>
  <c r="X464" i="27" s="1"/>
  <c r="V465" i="27"/>
  <c r="Y465" i="27" s="1"/>
  <c r="V466" i="27"/>
  <c r="X466" i="27" s="1"/>
  <c r="V467" i="27"/>
  <c r="X467" i="27" s="1"/>
  <c r="V468" i="27"/>
  <c r="X468" i="27" s="1"/>
  <c r="V260" i="27"/>
  <c r="Y260" i="27" s="1"/>
  <c r="V199" i="27"/>
  <c r="X199" i="27" s="1"/>
  <c r="V200" i="27"/>
  <c r="Y200" i="27" s="1"/>
  <c r="V201" i="27"/>
  <c r="X201" i="27" s="1"/>
  <c r="V202" i="27"/>
  <c r="Y202" i="27" s="1"/>
  <c r="V213" i="27"/>
  <c r="Y213" i="27" s="1"/>
  <c r="V214" i="27"/>
  <c r="X214" i="27" s="1"/>
  <c r="V215" i="27"/>
  <c r="Y215" i="27" s="1"/>
  <c r="V216" i="27"/>
  <c r="X216" i="27" s="1"/>
  <c r="V217" i="27"/>
  <c r="X217" i="27" s="1"/>
  <c r="V228" i="27"/>
  <c r="Y228" i="27" s="1"/>
  <c r="V229" i="27"/>
  <c r="Y229" i="27" s="1"/>
  <c r="V230" i="27"/>
  <c r="Y230" i="27" s="1"/>
  <c r="V231" i="27"/>
  <c r="Y231" i="27" s="1"/>
  <c r="V232" i="27"/>
  <c r="Y232" i="27" s="1"/>
  <c r="V243" i="27"/>
  <c r="X243" i="27" s="1"/>
  <c r="V244" i="27"/>
  <c r="Y244" i="27" s="1"/>
  <c r="V245" i="27"/>
  <c r="X245" i="27" s="1"/>
  <c r="V246" i="27"/>
  <c r="Y246" i="27" s="1"/>
  <c r="V247" i="27"/>
  <c r="Y247" i="27" s="1"/>
  <c r="V248" i="27"/>
  <c r="Y248" i="27" s="1"/>
  <c r="V249" i="27"/>
  <c r="Y249" i="27" s="1"/>
  <c r="V250" i="27"/>
  <c r="Y250" i="27" s="1"/>
  <c r="V251" i="27"/>
  <c r="Y251" i="27" s="1"/>
  <c r="V252" i="27"/>
  <c r="Y252" i="27" s="1"/>
  <c r="V253" i="27"/>
  <c r="X253" i="27" s="1"/>
  <c r="V254" i="27"/>
  <c r="Y254" i="27" s="1"/>
  <c r="V255" i="27"/>
  <c r="Y255" i="27" s="1"/>
  <c r="V256" i="27"/>
  <c r="Y256" i="27" s="1"/>
  <c r="V257" i="27"/>
  <c r="Y257" i="27" s="1"/>
  <c r="V198" i="27"/>
  <c r="X198" i="27" s="1"/>
  <c r="V192" i="27"/>
  <c r="Y192" i="27" s="1"/>
  <c r="V191" i="27"/>
  <c r="Y191" i="27" s="1"/>
  <c r="V190" i="27"/>
  <c r="Y190" i="27" s="1"/>
  <c r="V189" i="27"/>
  <c r="Y189" i="27" s="1"/>
  <c r="V188" i="27"/>
  <c r="X188" i="27" s="1"/>
  <c r="V142" i="27"/>
  <c r="Y142" i="27" s="1"/>
  <c r="V141" i="27"/>
  <c r="Y141" i="27" s="1"/>
  <c r="V140" i="27"/>
  <c r="Y140" i="27" s="1"/>
  <c r="V139" i="27"/>
  <c r="Y139" i="27" s="1"/>
  <c r="V138" i="27"/>
  <c r="Y138" i="27" s="1"/>
  <c r="V127" i="27"/>
  <c r="X127" i="27" s="1"/>
  <c r="V126" i="27"/>
  <c r="Y126" i="27" s="1"/>
  <c r="V125" i="27"/>
  <c r="X125" i="27" s="1"/>
  <c r="V124" i="27"/>
  <c r="V123" i="27"/>
  <c r="Y123" i="27" s="1"/>
  <c r="V112" i="27"/>
  <c r="Y112" i="27" s="1"/>
  <c r="V111" i="27"/>
  <c r="Y111" i="27" s="1"/>
  <c r="V110" i="27"/>
  <c r="Y110" i="27" s="1"/>
  <c r="V109" i="27"/>
  <c r="V108" i="27"/>
  <c r="V82" i="27"/>
  <c r="Y82" i="27" s="1"/>
  <c r="V81" i="27"/>
  <c r="X81" i="27" s="1"/>
  <c r="V80" i="27"/>
  <c r="Y80" i="27" s="1"/>
  <c r="V79" i="27"/>
  <c r="V78" i="27"/>
  <c r="V75" i="27"/>
  <c r="Y75" i="27" s="1"/>
  <c r="V74" i="27"/>
  <c r="Y74" i="27" s="1"/>
  <c r="V73" i="27"/>
  <c r="Y73" i="27" s="1"/>
  <c r="V72" i="27"/>
  <c r="Y72" i="27" s="1"/>
  <c r="V71" i="27"/>
  <c r="X71" i="27" s="1"/>
  <c r="V70" i="27"/>
  <c r="Y70" i="27" s="1"/>
  <c r="V69" i="27"/>
  <c r="X69" i="27" s="1"/>
  <c r="V68" i="27"/>
  <c r="Y68" i="27" s="1"/>
  <c r="V67" i="27"/>
  <c r="Y67" i="27" s="1"/>
  <c r="V66" i="27"/>
  <c r="Y66" i="27" s="1"/>
  <c r="V65" i="27"/>
  <c r="Y65" i="27" s="1"/>
  <c r="V64" i="27"/>
  <c r="Y64" i="27" s="1"/>
  <c r="V63" i="27"/>
  <c r="X63" i="27" s="1"/>
  <c r="V62" i="27"/>
  <c r="Y62" i="27" s="1"/>
  <c r="V61" i="27"/>
  <c r="V60" i="27"/>
  <c r="Y60" i="27" s="1"/>
  <c r="V59" i="27"/>
  <c r="Y59" i="27" s="1"/>
  <c r="V58" i="27"/>
  <c r="Y58" i="27" s="1"/>
  <c r="V57" i="27"/>
  <c r="Y57" i="27" s="1"/>
  <c r="V56" i="27"/>
  <c r="Y56" i="27" s="1"/>
  <c r="V55" i="27"/>
  <c r="X55" i="27" s="1"/>
  <c r="V54" i="27"/>
  <c r="Y54" i="27" s="1"/>
  <c r="V53" i="27"/>
  <c r="X53" i="27" s="1"/>
  <c r="V52" i="27"/>
  <c r="Y52" i="27" s="1"/>
  <c r="V51" i="27"/>
  <c r="Y51" i="27" s="1"/>
  <c r="V50" i="27"/>
  <c r="Y50" i="27" s="1"/>
  <c r="V49" i="27"/>
  <c r="Y49" i="27" s="1"/>
  <c r="V48" i="27"/>
  <c r="Y48" i="27" s="1"/>
  <c r="V47" i="27"/>
  <c r="V46" i="27"/>
  <c r="V10" i="27"/>
  <c r="X10" i="27" s="1"/>
  <c r="V11" i="27"/>
  <c r="X11" i="27" s="1"/>
  <c r="V12" i="27"/>
  <c r="X12" i="27" s="1"/>
  <c r="V13" i="27"/>
  <c r="Y13" i="27" s="1"/>
  <c r="V14" i="27"/>
  <c r="X14" i="27" s="1"/>
  <c r="V15" i="27"/>
  <c r="Y15" i="27" s="1"/>
  <c r="V16" i="27"/>
  <c r="Y16" i="27" s="1"/>
  <c r="V17" i="27"/>
  <c r="X17" i="27" s="1"/>
  <c r="V18" i="27"/>
  <c r="X18" i="27" s="1"/>
  <c r="V19" i="27"/>
  <c r="X19" i="27" s="1"/>
  <c r="V20" i="27"/>
  <c r="X20" i="27" s="1"/>
  <c r="V21" i="27"/>
  <c r="Y21" i="27" s="1"/>
  <c r="V22" i="27"/>
  <c r="X22" i="27" s="1"/>
  <c r="V23" i="27"/>
  <c r="Y23" i="27" s="1"/>
  <c r="V24" i="27"/>
  <c r="Y24" i="27" s="1"/>
  <c r="V25" i="27"/>
  <c r="X25" i="27" s="1"/>
  <c r="V26" i="27"/>
  <c r="X26" i="27" s="1"/>
  <c r="V27" i="27"/>
  <c r="X27" i="27" s="1"/>
  <c r="V28" i="27"/>
  <c r="X28" i="27" s="1"/>
  <c r="V29" i="27"/>
  <c r="Y29" i="27" s="1"/>
  <c r="V30" i="27"/>
  <c r="X30" i="27" s="1"/>
  <c r="V31" i="27"/>
  <c r="X31" i="27" s="1"/>
  <c r="V32" i="27"/>
  <c r="Y32" i="27" s="1"/>
  <c r="V33" i="27"/>
  <c r="X33" i="27" s="1"/>
  <c r="V39" i="27"/>
  <c r="X39" i="27" s="1"/>
  <c r="V40" i="27"/>
  <c r="X40" i="27" s="1"/>
  <c r="V41" i="27"/>
  <c r="X41" i="27" s="1"/>
  <c r="V42" i="27"/>
  <c r="Y42" i="27" s="1"/>
  <c r="V43" i="27"/>
  <c r="X43" i="27" s="1"/>
  <c r="V9" i="27"/>
  <c r="X9" i="27" s="1"/>
  <c r="X8" i="27"/>
  <c r="Y8" i="27"/>
  <c r="C1601" i="95" l="1"/>
  <c r="C836" i="95"/>
  <c r="Y518" i="27"/>
  <c r="X534" i="27"/>
  <c r="Y504" i="27"/>
  <c r="X526" i="27"/>
  <c r="X500" i="27"/>
  <c r="Y542" i="27"/>
  <c r="Y558" i="27"/>
  <c r="Y550" i="27"/>
  <c r="Y539" i="27"/>
  <c r="X547" i="27"/>
  <c r="Y531" i="27"/>
  <c r="X555" i="27"/>
  <c r="X502" i="27"/>
  <c r="X501" i="27"/>
  <c r="X535" i="27"/>
  <c r="Y214" i="27"/>
  <c r="Y546" i="27"/>
  <c r="Y520" i="27"/>
  <c r="X232" i="27"/>
  <c r="Y560" i="27"/>
  <c r="Y552" i="27"/>
  <c r="Y536" i="27"/>
  <c r="Y544" i="27"/>
  <c r="Y198" i="27"/>
  <c r="Y243" i="27"/>
  <c r="X32" i="27"/>
  <c r="Y528" i="27"/>
  <c r="X267" i="27"/>
  <c r="X16" i="27"/>
  <c r="Y43" i="27"/>
  <c r="Y201" i="27"/>
  <c r="X529" i="27"/>
  <c r="Y30" i="27"/>
  <c r="X15" i="27"/>
  <c r="Y488" i="27"/>
  <c r="Y559" i="27"/>
  <c r="X545" i="27"/>
  <c r="Y22" i="27"/>
  <c r="X475" i="27"/>
  <c r="Y553" i="27"/>
  <c r="Y521" i="27"/>
  <c r="Y543" i="27"/>
  <c r="Y537" i="27"/>
  <c r="Y527" i="27"/>
  <c r="X24" i="27"/>
  <c r="X251" i="27"/>
  <c r="X465" i="27"/>
  <c r="X215" i="27"/>
  <c r="Y561" i="27"/>
  <c r="Y551" i="27"/>
  <c r="Y519" i="27"/>
  <c r="Y503" i="27"/>
  <c r="X23" i="27"/>
  <c r="X283" i="27"/>
  <c r="Y46" i="27"/>
  <c r="X46" i="27"/>
  <c r="X47" i="27"/>
  <c r="Y47" i="27"/>
  <c r="X61" i="27"/>
  <c r="Y61" i="27"/>
  <c r="Y78" i="27"/>
  <c r="X78" i="27"/>
  <c r="X79" i="27"/>
  <c r="Y79" i="27"/>
  <c r="Y108" i="27"/>
  <c r="X108" i="27"/>
  <c r="X109" i="27"/>
  <c r="Y109" i="27"/>
  <c r="Y124" i="27"/>
  <c r="X124" i="27"/>
  <c r="Y565" i="27"/>
  <c r="X565" i="27"/>
  <c r="Y566" i="27"/>
  <c r="X566" i="27"/>
  <c r="X602" i="27"/>
  <c r="Y602" i="27"/>
  <c r="X636" i="27"/>
  <c r="Y636" i="27"/>
  <c r="X670" i="27"/>
  <c r="Y670" i="27"/>
  <c r="Y28" i="27"/>
  <c r="Y12" i="27"/>
  <c r="Y41" i="27"/>
  <c r="Y20" i="27"/>
  <c r="Y31" i="27"/>
  <c r="Y14" i="27"/>
  <c r="X42" i="27"/>
  <c r="X29" i="27"/>
  <c r="X21" i="27"/>
  <c r="X13" i="27"/>
  <c r="Y53" i="27"/>
  <c r="X70" i="27"/>
  <c r="X54" i="27"/>
  <c r="Y71" i="27"/>
  <c r="Y55" i="27"/>
  <c r="X62" i="27"/>
  <c r="Y69" i="27"/>
  <c r="Y63" i="27"/>
  <c r="Y81" i="27"/>
  <c r="X126" i="27"/>
  <c r="X142" i="27"/>
  <c r="Y188" i="27"/>
  <c r="Y127" i="27"/>
  <c r="X80" i="27"/>
  <c r="Y125" i="27"/>
  <c r="Y281" i="27"/>
  <c r="Y265" i="27"/>
  <c r="X280" i="27"/>
  <c r="X264" i="27"/>
  <c r="Y464" i="27"/>
  <c r="Y279" i="27"/>
  <c r="Y263" i="27"/>
  <c r="Y282" i="27"/>
  <c r="Y266" i="27"/>
  <c r="X581" i="27"/>
  <c r="Y567" i="27"/>
  <c r="Y575" i="27"/>
  <c r="Y474" i="27"/>
  <c r="Y487" i="27"/>
  <c r="X573" i="27"/>
  <c r="X582" i="27"/>
  <c r="Y486" i="27"/>
  <c r="X574" i="27"/>
  <c r="Y583" i="27"/>
  <c r="Y592" i="27"/>
  <c r="X593" i="27"/>
  <c r="Y594" i="27"/>
  <c r="X600" i="27"/>
  <c r="X637" i="27"/>
  <c r="Y671" i="27"/>
  <c r="X644" i="27"/>
  <c r="X601" i="27"/>
  <c r="Y638" i="27"/>
  <c r="X591" i="27"/>
  <c r="X599" i="27"/>
  <c r="X635" i="27"/>
  <c r="X643" i="27"/>
  <c r="X590" i="27"/>
  <c r="X598" i="27"/>
  <c r="X606" i="27"/>
  <c r="X642" i="27"/>
  <c r="X694" i="27"/>
  <c r="X597" i="27"/>
  <c r="X605" i="27"/>
  <c r="X641" i="27"/>
  <c r="X674" i="27"/>
  <c r="X596" i="27"/>
  <c r="X604" i="27"/>
  <c r="X640" i="27"/>
  <c r="X673" i="27"/>
  <c r="X595" i="27"/>
  <c r="X603" i="27"/>
  <c r="X639" i="27"/>
  <c r="X672" i="27"/>
  <c r="X564" i="27"/>
  <c r="X572" i="27"/>
  <c r="X580" i="27"/>
  <c r="X571" i="27"/>
  <c r="X579" i="27"/>
  <c r="X587" i="27"/>
  <c r="X570" i="27"/>
  <c r="X578" i="27"/>
  <c r="X586" i="27"/>
  <c r="X569" i="27"/>
  <c r="X577" i="27"/>
  <c r="X585" i="27"/>
  <c r="X568" i="27"/>
  <c r="X576" i="27"/>
  <c r="X584" i="27"/>
  <c r="Y530" i="27"/>
  <c r="Y554" i="27"/>
  <c r="Y538" i="27"/>
  <c r="Y522" i="27"/>
  <c r="Y523" i="27"/>
  <c r="Y505" i="27"/>
  <c r="Y497" i="27"/>
  <c r="Y556" i="27"/>
  <c r="Y548" i="27"/>
  <c r="Y540" i="27"/>
  <c r="Y532" i="27"/>
  <c r="Y524" i="27"/>
  <c r="Y516" i="27"/>
  <c r="Y498" i="27"/>
  <c r="Y557" i="27"/>
  <c r="Y549" i="27"/>
  <c r="Y541" i="27"/>
  <c r="Y533" i="27"/>
  <c r="Y525" i="27"/>
  <c r="Y517" i="27"/>
  <c r="Y499" i="27"/>
  <c r="X496" i="27"/>
  <c r="Y489" i="27"/>
  <c r="Y490" i="27"/>
  <c r="Y472" i="27"/>
  <c r="Y491" i="27"/>
  <c r="Y473" i="27"/>
  <c r="X471" i="27"/>
  <c r="Y466" i="27"/>
  <c r="Y284" i="27"/>
  <c r="Y268" i="27"/>
  <c r="Y467" i="27"/>
  <c r="Y285" i="27"/>
  <c r="Y269" i="27"/>
  <c r="Y261" i="27"/>
  <c r="Y468" i="27"/>
  <c r="Y286" i="27"/>
  <c r="Y278" i="27"/>
  <c r="Y262" i="27"/>
  <c r="X260" i="27"/>
  <c r="Y216" i="27"/>
  <c r="X250" i="27"/>
  <c r="X244" i="27"/>
  <c r="X252" i="27"/>
  <c r="Y199" i="27"/>
  <c r="Y217" i="27"/>
  <c r="Y245" i="27"/>
  <c r="Y253" i="27"/>
  <c r="X213" i="27"/>
  <c r="X231" i="27"/>
  <c r="X249" i="27"/>
  <c r="X257" i="27"/>
  <c r="X202" i="27"/>
  <c r="X230" i="27"/>
  <c r="X248" i="27"/>
  <c r="X256" i="27"/>
  <c r="X229" i="27"/>
  <c r="X247" i="27"/>
  <c r="X255" i="27"/>
  <c r="X200" i="27"/>
  <c r="X228" i="27"/>
  <c r="X246" i="27"/>
  <c r="X254" i="27"/>
  <c r="X123" i="27"/>
  <c r="X141" i="27"/>
  <c r="X112" i="27"/>
  <c r="X140" i="27"/>
  <c r="X111" i="27"/>
  <c r="X139" i="27"/>
  <c r="X192" i="27"/>
  <c r="X82" i="27"/>
  <c r="X110" i="27"/>
  <c r="X138" i="27"/>
  <c r="X191" i="27"/>
  <c r="X190" i="27"/>
  <c r="X189" i="27"/>
  <c r="X52" i="27"/>
  <c r="X60" i="27"/>
  <c r="X68" i="27"/>
  <c r="X51" i="27"/>
  <c r="X59" i="27"/>
  <c r="X67" i="27"/>
  <c r="X75" i="27"/>
  <c r="X50" i="27"/>
  <c r="X58" i="27"/>
  <c r="X66" i="27"/>
  <c r="X74" i="27"/>
  <c r="X49" i="27"/>
  <c r="X57" i="27"/>
  <c r="X65" i="27"/>
  <c r="X73" i="27"/>
  <c r="X48" i="27"/>
  <c r="X56" i="27"/>
  <c r="X64" i="27"/>
  <c r="X72" i="27"/>
  <c r="Y33" i="27"/>
  <c r="Y25" i="27"/>
  <c r="Y17" i="27"/>
  <c r="Y39" i="27"/>
  <c r="Y26" i="27"/>
  <c r="Y18" i="27"/>
  <c r="Y10" i="27"/>
  <c r="Y40" i="27"/>
  <c r="Y27" i="27"/>
  <c r="Y19" i="27"/>
  <c r="Y11" i="27"/>
  <c r="Y9" i="27"/>
  <c r="C837" i="95" l="1"/>
  <c r="C1602" i="95"/>
  <c r="L9" i="66"/>
  <c r="B4" i="51"/>
  <c r="C4" i="51"/>
  <c r="D4" i="51"/>
  <c r="E4" i="51"/>
  <c r="F4" i="51"/>
  <c r="G4" i="51"/>
  <c r="J4" i="51"/>
  <c r="B5" i="51"/>
  <c r="C5" i="51"/>
  <c r="D5" i="51"/>
  <c r="E5" i="51"/>
  <c r="F5" i="51"/>
  <c r="G5" i="51"/>
  <c r="I5" i="51"/>
  <c r="J5" i="51"/>
  <c r="B6" i="51"/>
  <c r="C6" i="51"/>
  <c r="D6" i="51"/>
  <c r="E6" i="51"/>
  <c r="F6" i="51"/>
  <c r="G6" i="51"/>
  <c r="J6" i="51"/>
  <c r="B7" i="51"/>
  <c r="C7" i="51"/>
  <c r="D7" i="51"/>
  <c r="E7" i="51"/>
  <c r="F7" i="51"/>
  <c r="G7" i="51"/>
  <c r="J7" i="51"/>
  <c r="B8" i="51"/>
  <c r="C8" i="51"/>
  <c r="D8" i="51"/>
  <c r="E8" i="51"/>
  <c r="F8" i="51"/>
  <c r="G8" i="51"/>
  <c r="J8" i="51"/>
  <c r="B9" i="51"/>
  <c r="C9" i="51"/>
  <c r="D9" i="51"/>
  <c r="E9" i="51"/>
  <c r="F9" i="51"/>
  <c r="G9" i="51"/>
  <c r="I9" i="51"/>
  <c r="J9" i="51"/>
  <c r="B10" i="51"/>
  <c r="C10" i="51"/>
  <c r="D10" i="51"/>
  <c r="E10" i="51"/>
  <c r="F10" i="51"/>
  <c r="G10" i="51"/>
  <c r="J10" i="51"/>
  <c r="B11" i="51"/>
  <c r="C11" i="51"/>
  <c r="D11" i="51"/>
  <c r="E11" i="51"/>
  <c r="F11" i="51"/>
  <c r="G11" i="51"/>
  <c r="I11" i="51"/>
  <c r="J11" i="51"/>
  <c r="B12" i="51"/>
  <c r="C12" i="51"/>
  <c r="D12" i="51"/>
  <c r="E12" i="51"/>
  <c r="F12" i="51"/>
  <c r="G12" i="51"/>
  <c r="J12" i="51"/>
  <c r="B13" i="51"/>
  <c r="C13" i="51"/>
  <c r="D13" i="51"/>
  <c r="E13" i="51"/>
  <c r="F13" i="51"/>
  <c r="G13" i="51"/>
  <c r="H13" i="51"/>
  <c r="I13" i="51"/>
  <c r="J13" i="51"/>
  <c r="B14" i="51"/>
  <c r="C14" i="51"/>
  <c r="D14" i="51"/>
  <c r="E14" i="51"/>
  <c r="F14" i="51"/>
  <c r="G14" i="51"/>
  <c r="I14" i="51"/>
  <c r="J14" i="51"/>
  <c r="B15" i="51"/>
  <c r="C15" i="51"/>
  <c r="D15" i="51"/>
  <c r="E15" i="51"/>
  <c r="F15" i="51"/>
  <c r="G15" i="51"/>
  <c r="I15" i="51"/>
  <c r="J15" i="51"/>
  <c r="B16" i="51"/>
  <c r="C16" i="51"/>
  <c r="D16" i="51"/>
  <c r="E16" i="51"/>
  <c r="F16" i="51"/>
  <c r="G16" i="51"/>
  <c r="J16" i="51"/>
  <c r="B17" i="51"/>
  <c r="C17" i="51"/>
  <c r="D17" i="51"/>
  <c r="E17" i="51"/>
  <c r="F17" i="51"/>
  <c r="G17" i="51"/>
  <c r="I17" i="51"/>
  <c r="J17" i="51"/>
  <c r="B18" i="51"/>
  <c r="C18" i="51"/>
  <c r="D18" i="51"/>
  <c r="E18" i="51"/>
  <c r="F18" i="51"/>
  <c r="G18" i="51"/>
  <c r="I18" i="51"/>
  <c r="J18" i="51"/>
  <c r="B19" i="51"/>
  <c r="C19" i="51"/>
  <c r="D19" i="51"/>
  <c r="E19" i="51"/>
  <c r="F19" i="51"/>
  <c r="G19" i="51"/>
  <c r="I19" i="51"/>
  <c r="J19" i="51"/>
  <c r="B20" i="51"/>
  <c r="C20" i="51"/>
  <c r="D20" i="51"/>
  <c r="E20" i="51"/>
  <c r="F20" i="51"/>
  <c r="G20" i="51"/>
  <c r="I20" i="51"/>
  <c r="J20" i="51"/>
  <c r="B21" i="51"/>
  <c r="C21" i="51"/>
  <c r="D21" i="51"/>
  <c r="E21" i="51"/>
  <c r="F21" i="51"/>
  <c r="G21" i="51"/>
  <c r="I21" i="51"/>
  <c r="J21" i="51"/>
  <c r="B22" i="51"/>
  <c r="C22" i="51"/>
  <c r="D22" i="51"/>
  <c r="E22" i="51"/>
  <c r="F22" i="51"/>
  <c r="G22" i="51"/>
  <c r="J22" i="51"/>
  <c r="B23" i="51"/>
  <c r="C23" i="51"/>
  <c r="D23" i="51"/>
  <c r="E23" i="51"/>
  <c r="F23" i="51"/>
  <c r="G23" i="51"/>
  <c r="J23" i="51"/>
  <c r="B24" i="51"/>
  <c r="C24" i="51"/>
  <c r="D24" i="51"/>
  <c r="E24" i="51"/>
  <c r="F24" i="51"/>
  <c r="G24" i="51"/>
  <c r="J24" i="51"/>
  <c r="B25" i="51"/>
  <c r="C25" i="51"/>
  <c r="D25" i="51"/>
  <c r="E25" i="51"/>
  <c r="F25" i="51"/>
  <c r="G25" i="51"/>
  <c r="J25" i="51"/>
  <c r="B26" i="51"/>
  <c r="C26" i="51"/>
  <c r="D26" i="51"/>
  <c r="E26" i="51"/>
  <c r="F26" i="51"/>
  <c r="G26" i="51"/>
  <c r="J26" i="51"/>
  <c r="B27" i="51"/>
  <c r="C27" i="51"/>
  <c r="D27" i="51"/>
  <c r="E27" i="51"/>
  <c r="F27" i="51"/>
  <c r="G27" i="51"/>
  <c r="H27" i="51"/>
  <c r="I27" i="51"/>
  <c r="J27" i="51"/>
  <c r="B28" i="51"/>
  <c r="C28" i="51"/>
  <c r="D28" i="51"/>
  <c r="E28" i="51"/>
  <c r="F28" i="51"/>
  <c r="G28" i="51"/>
  <c r="H28" i="51"/>
  <c r="I28" i="51"/>
  <c r="J28" i="51"/>
  <c r="J3" i="51"/>
  <c r="G3" i="51"/>
  <c r="F3" i="51"/>
  <c r="E3" i="51"/>
  <c r="D3" i="51"/>
  <c r="C3" i="51"/>
  <c r="B3" i="51"/>
  <c r="D1209" i="70"/>
  <c r="C1209" i="70"/>
  <c r="B1209" i="70"/>
  <c r="B1210" i="70" s="1"/>
  <c r="D1197" i="70"/>
  <c r="C1197" i="70"/>
  <c r="B1197" i="70"/>
  <c r="B1198" i="70" s="1"/>
  <c r="C1185" i="70"/>
  <c r="B1185" i="70"/>
  <c r="B1186" i="70" s="1"/>
  <c r="B1188" i="70" s="1"/>
  <c r="C1603" i="95" l="1"/>
  <c r="C838" i="95"/>
  <c r="C1186" i="70"/>
  <c r="C1188" i="70" s="1"/>
  <c r="D1210" i="70"/>
  <c r="D1212" i="70" s="1"/>
  <c r="C1198" i="70"/>
  <c r="C1200" i="70" s="1"/>
  <c r="D1198" i="70"/>
  <c r="D1200" i="70" s="1"/>
  <c r="C1210" i="70"/>
  <c r="C1212" i="70" s="1"/>
  <c r="B1200" i="70"/>
  <c r="N1193" i="70"/>
  <c r="B1212" i="70"/>
  <c r="N1205" i="70"/>
  <c r="H5" i="51"/>
  <c r="K69" i="7"/>
  <c r="N1083" i="63"/>
  <c r="M1083" i="63"/>
  <c r="L1083" i="63"/>
  <c r="C1604" i="95" l="1"/>
  <c r="C839" i="95"/>
  <c r="I6" i="51"/>
  <c r="H6" i="51"/>
  <c r="C36" i="87"/>
  <c r="K127" i="43"/>
  <c r="H132" i="43"/>
  <c r="B132" i="43"/>
  <c r="C840" i="95" l="1"/>
  <c r="C1605" i="95"/>
  <c r="D80" i="7"/>
  <c r="C841" i="95" l="1"/>
  <c r="C1606" i="95"/>
  <c r="L413" i="63"/>
  <c r="M413" i="63"/>
  <c r="N413" i="63"/>
  <c r="O413" i="63"/>
  <c r="S413" i="63"/>
  <c r="U413" i="63" s="1"/>
  <c r="W413" i="63"/>
  <c r="Y413" i="63"/>
  <c r="AC413" i="63"/>
  <c r="R413" i="63" s="1"/>
  <c r="AF413" i="63"/>
  <c r="L414" i="63"/>
  <c r="M414" i="63"/>
  <c r="N414" i="63"/>
  <c r="O414" i="63"/>
  <c r="S414" i="63"/>
  <c r="U414" i="63" s="1"/>
  <c r="W414" i="63"/>
  <c r="Y414" i="63"/>
  <c r="AC414" i="63"/>
  <c r="R414" i="63" s="1"/>
  <c r="AF414" i="63"/>
  <c r="L415" i="63"/>
  <c r="M415" i="63"/>
  <c r="N415" i="63"/>
  <c r="O415" i="63"/>
  <c r="S415" i="63"/>
  <c r="U415" i="63" s="1"/>
  <c r="W415" i="63"/>
  <c r="Y415" i="63"/>
  <c r="AC415" i="63"/>
  <c r="R415" i="63" s="1"/>
  <c r="AF415" i="63"/>
  <c r="L416" i="63"/>
  <c r="M416" i="63"/>
  <c r="N416" i="63"/>
  <c r="O416" i="63"/>
  <c r="S416" i="63"/>
  <c r="U416" i="63" s="1"/>
  <c r="W416" i="63"/>
  <c r="Y416" i="63"/>
  <c r="AC416" i="63"/>
  <c r="R416" i="63" s="1"/>
  <c r="AF416" i="63"/>
  <c r="L417" i="63"/>
  <c r="M417" i="63"/>
  <c r="N417" i="63"/>
  <c r="O417" i="63"/>
  <c r="S417" i="63"/>
  <c r="U417" i="63" s="1"/>
  <c r="W417" i="63"/>
  <c r="Y417" i="63"/>
  <c r="AC417" i="63"/>
  <c r="R417" i="63" s="1"/>
  <c r="AF417" i="63"/>
  <c r="L418" i="63"/>
  <c r="M418" i="63"/>
  <c r="N418" i="63"/>
  <c r="O418" i="63"/>
  <c r="S418" i="63"/>
  <c r="U418" i="63" s="1"/>
  <c r="W418" i="63"/>
  <c r="Y418" i="63"/>
  <c r="AC418" i="63"/>
  <c r="R418" i="63" s="1"/>
  <c r="AF418" i="63"/>
  <c r="L419" i="63"/>
  <c r="M419" i="63"/>
  <c r="N419" i="63"/>
  <c r="O419" i="63"/>
  <c r="S419" i="63"/>
  <c r="U419" i="63" s="1"/>
  <c r="W419" i="63"/>
  <c r="Y419" i="63"/>
  <c r="AC419" i="63"/>
  <c r="R419" i="63" s="1"/>
  <c r="AF419" i="63"/>
  <c r="L420" i="63"/>
  <c r="M420" i="63"/>
  <c r="N420" i="63"/>
  <c r="O420" i="63"/>
  <c r="S420" i="63"/>
  <c r="U420" i="63" s="1"/>
  <c r="W420" i="63"/>
  <c r="Y420" i="63"/>
  <c r="AC420" i="63"/>
  <c r="R420" i="63" s="1"/>
  <c r="AF420" i="63"/>
  <c r="L421" i="63"/>
  <c r="M421" i="63"/>
  <c r="N421" i="63"/>
  <c r="O421" i="63"/>
  <c r="S421" i="63"/>
  <c r="U421" i="63" s="1"/>
  <c r="W421" i="63"/>
  <c r="Y421" i="63"/>
  <c r="AC421" i="63"/>
  <c r="R421" i="63" s="1"/>
  <c r="AF421" i="63"/>
  <c r="L422" i="63"/>
  <c r="M422" i="63"/>
  <c r="N422" i="63"/>
  <c r="O422" i="63"/>
  <c r="S422" i="63"/>
  <c r="U422" i="63" s="1"/>
  <c r="W422" i="63"/>
  <c r="Y422" i="63"/>
  <c r="AC422" i="63"/>
  <c r="R422" i="63" s="1"/>
  <c r="AF422" i="63"/>
  <c r="L423" i="63"/>
  <c r="M423" i="63"/>
  <c r="N423" i="63"/>
  <c r="O423" i="63"/>
  <c r="S423" i="63"/>
  <c r="U423" i="63" s="1"/>
  <c r="W423" i="63"/>
  <c r="Y423" i="63"/>
  <c r="AC423" i="63"/>
  <c r="R423" i="63" s="1"/>
  <c r="AF423" i="63"/>
  <c r="L424" i="63"/>
  <c r="M424" i="63"/>
  <c r="N424" i="63"/>
  <c r="O424" i="63"/>
  <c r="S424" i="63"/>
  <c r="U424" i="63" s="1"/>
  <c r="W424" i="63"/>
  <c r="Y424" i="63"/>
  <c r="AC424" i="63"/>
  <c r="R424" i="63" s="1"/>
  <c r="AF424" i="63"/>
  <c r="L425" i="63"/>
  <c r="M425" i="63"/>
  <c r="N425" i="63"/>
  <c r="O425" i="63"/>
  <c r="S425" i="63"/>
  <c r="U425" i="63" s="1"/>
  <c r="W425" i="63"/>
  <c r="Y425" i="63"/>
  <c r="AC425" i="63"/>
  <c r="R425" i="63" s="1"/>
  <c r="AF425" i="63"/>
  <c r="L426" i="63"/>
  <c r="M426" i="63"/>
  <c r="N426" i="63"/>
  <c r="O426" i="63"/>
  <c r="S426" i="63"/>
  <c r="U426" i="63" s="1"/>
  <c r="W426" i="63"/>
  <c r="Y426" i="63"/>
  <c r="AC426" i="63"/>
  <c r="R426" i="63" s="1"/>
  <c r="AF426" i="63"/>
  <c r="L427" i="63"/>
  <c r="M427" i="63"/>
  <c r="N427" i="63"/>
  <c r="O427" i="63"/>
  <c r="S427" i="63"/>
  <c r="U427" i="63" s="1"/>
  <c r="W427" i="63"/>
  <c r="Y427" i="63"/>
  <c r="AC427" i="63"/>
  <c r="R427" i="63" s="1"/>
  <c r="AF427" i="63"/>
  <c r="L428" i="63"/>
  <c r="M428" i="63"/>
  <c r="N428" i="63"/>
  <c r="O428" i="63"/>
  <c r="S428" i="63"/>
  <c r="U428" i="63" s="1"/>
  <c r="W428" i="63"/>
  <c r="Y428" i="63"/>
  <c r="AC428" i="63"/>
  <c r="R428" i="63" s="1"/>
  <c r="AF428" i="63"/>
  <c r="L429" i="63"/>
  <c r="M429" i="63"/>
  <c r="N429" i="63"/>
  <c r="O429" i="63"/>
  <c r="S429" i="63"/>
  <c r="U429" i="63" s="1"/>
  <c r="W429" i="63"/>
  <c r="Y429" i="63"/>
  <c r="AC429" i="63"/>
  <c r="R429" i="63" s="1"/>
  <c r="AF429" i="63"/>
  <c r="L430" i="63"/>
  <c r="M430" i="63"/>
  <c r="N430" i="63"/>
  <c r="O430" i="63"/>
  <c r="S430" i="63"/>
  <c r="U430" i="63" s="1"/>
  <c r="W430" i="63"/>
  <c r="Y430" i="63"/>
  <c r="AC430" i="63"/>
  <c r="R430" i="63" s="1"/>
  <c r="AF430" i="63"/>
  <c r="L431" i="63"/>
  <c r="M431" i="63"/>
  <c r="N431" i="63"/>
  <c r="O431" i="63"/>
  <c r="S431" i="63"/>
  <c r="U431" i="63" s="1"/>
  <c r="W431" i="63"/>
  <c r="Y431" i="63"/>
  <c r="AC431" i="63"/>
  <c r="R431" i="63" s="1"/>
  <c r="AF431" i="63"/>
  <c r="L432" i="63"/>
  <c r="M432" i="63"/>
  <c r="N432" i="63"/>
  <c r="O432" i="63"/>
  <c r="S432" i="63"/>
  <c r="U432" i="63" s="1"/>
  <c r="W432" i="63"/>
  <c r="Y432" i="63"/>
  <c r="AC432" i="63"/>
  <c r="R432" i="63" s="1"/>
  <c r="AF432" i="63"/>
  <c r="L433" i="63"/>
  <c r="M433" i="63"/>
  <c r="N433" i="63"/>
  <c r="O433" i="63"/>
  <c r="S433" i="63"/>
  <c r="U433" i="63" s="1"/>
  <c r="W433" i="63"/>
  <c r="Y433" i="63"/>
  <c r="AC433" i="63"/>
  <c r="R433" i="63" s="1"/>
  <c r="AF433" i="63"/>
  <c r="L434" i="63"/>
  <c r="M434" i="63"/>
  <c r="N434" i="63"/>
  <c r="O434" i="63"/>
  <c r="S434" i="63"/>
  <c r="U434" i="63" s="1"/>
  <c r="W434" i="63"/>
  <c r="Y434" i="63"/>
  <c r="AC434" i="63"/>
  <c r="R434" i="63" s="1"/>
  <c r="AF434" i="63"/>
  <c r="L435" i="63"/>
  <c r="M435" i="63"/>
  <c r="N435" i="63"/>
  <c r="O435" i="63"/>
  <c r="S435" i="63"/>
  <c r="U435" i="63" s="1"/>
  <c r="W435" i="63"/>
  <c r="Y435" i="63"/>
  <c r="AC435" i="63"/>
  <c r="R435" i="63" s="1"/>
  <c r="AF435" i="63"/>
  <c r="L436" i="63"/>
  <c r="M436" i="63"/>
  <c r="N436" i="63"/>
  <c r="O436" i="63"/>
  <c r="S436" i="63"/>
  <c r="U436" i="63" s="1"/>
  <c r="W436" i="63"/>
  <c r="Y436" i="63"/>
  <c r="AC436" i="63"/>
  <c r="R436" i="63" s="1"/>
  <c r="AF436" i="63"/>
  <c r="L437" i="63"/>
  <c r="M437" i="63"/>
  <c r="N437" i="63"/>
  <c r="O437" i="63"/>
  <c r="S437" i="63"/>
  <c r="U437" i="63" s="1"/>
  <c r="W437" i="63"/>
  <c r="Y437" i="63"/>
  <c r="AC437" i="63"/>
  <c r="R437" i="63" s="1"/>
  <c r="AF437" i="63"/>
  <c r="L438" i="63"/>
  <c r="M438" i="63"/>
  <c r="N438" i="63"/>
  <c r="O438" i="63"/>
  <c r="S438" i="63"/>
  <c r="U438" i="63" s="1"/>
  <c r="W438" i="63"/>
  <c r="Y438" i="63"/>
  <c r="AC438" i="63"/>
  <c r="R438" i="63" s="1"/>
  <c r="AF438" i="63"/>
  <c r="L439" i="63"/>
  <c r="M439" i="63"/>
  <c r="N439" i="63"/>
  <c r="O439" i="63"/>
  <c r="S439" i="63"/>
  <c r="U439" i="63" s="1"/>
  <c r="W439" i="63"/>
  <c r="Y439" i="63"/>
  <c r="AC439" i="63"/>
  <c r="R439" i="63" s="1"/>
  <c r="AF439" i="63"/>
  <c r="L440" i="63"/>
  <c r="X440" i="63" s="1"/>
  <c r="M440" i="63"/>
  <c r="N440" i="63"/>
  <c r="O440" i="63"/>
  <c r="S440" i="63"/>
  <c r="U440" i="63" s="1"/>
  <c r="W440" i="63"/>
  <c r="Y440" i="63"/>
  <c r="AC440" i="63"/>
  <c r="R440" i="63" s="1"/>
  <c r="AF440" i="63"/>
  <c r="L441" i="63"/>
  <c r="X441" i="63" s="1"/>
  <c r="M441" i="63"/>
  <c r="N441" i="63"/>
  <c r="O441" i="63"/>
  <c r="S441" i="63"/>
  <c r="U441" i="63" s="1"/>
  <c r="W441" i="63"/>
  <c r="Y441" i="63"/>
  <c r="AC441" i="63"/>
  <c r="R441" i="63" s="1"/>
  <c r="AF441" i="63"/>
  <c r="L442" i="63"/>
  <c r="M442" i="63"/>
  <c r="N442" i="63"/>
  <c r="O442" i="63"/>
  <c r="S442" i="63"/>
  <c r="U442" i="63" s="1"/>
  <c r="W442" i="63"/>
  <c r="Y442" i="63"/>
  <c r="AC442" i="63"/>
  <c r="R442" i="63" s="1"/>
  <c r="AF442" i="63"/>
  <c r="L443" i="63"/>
  <c r="M443" i="63"/>
  <c r="N443" i="63"/>
  <c r="O443" i="63"/>
  <c r="S443" i="63"/>
  <c r="U443" i="63" s="1"/>
  <c r="W443" i="63"/>
  <c r="Y443" i="63"/>
  <c r="AC443" i="63"/>
  <c r="R443" i="63" s="1"/>
  <c r="AF443" i="63"/>
  <c r="L444" i="63"/>
  <c r="M444" i="63"/>
  <c r="N444" i="63"/>
  <c r="O444" i="63"/>
  <c r="S444" i="63"/>
  <c r="U444" i="63" s="1"/>
  <c r="W444" i="63"/>
  <c r="Y444" i="63"/>
  <c r="AC444" i="63"/>
  <c r="R444" i="63" s="1"/>
  <c r="AF444" i="63"/>
  <c r="L445" i="63"/>
  <c r="M445" i="63"/>
  <c r="N445" i="63"/>
  <c r="O445" i="63"/>
  <c r="S445" i="63"/>
  <c r="U445" i="63" s="1"/>
  <c r="W445" i="63"/>
  <c r="Y445" i="63"/>
  <c r="AC445" i="63"/>
  <c r="R445" i="63" s="1"/>
  <c r="AF445" i="63"/>
  <c r="L446" i="63"/>
  <c r="M446" i="63"/>
  <c r="N446" i="63"/>
  <c r="O446" i="63"/>
  <c r="S446" i="63"/>
  <c r="U446" i="63" s="1"/>
  <c r="W446" i="63"/>
  <c r="Y446" i="63"/>
  <c r="AC446" i="63"/>
  <c r="R446" i="63" s="1"/>
  <c r="AF446" i="63"/>
  <c r="L447" i="63"/>
  <c r="M447" i="63"/>
  <c r="N447" i="63"/>
  <c r="O447" i="63"/>
  <c r="S447" i="63"/>
  <c r="U447" i="63" s="1"/>
  <c r="W447" i="63"/>
  <c r="Y447" i="63"/>
  <c r="AC447" i="63"/>
  <c r="R447" i="63" s="1"/>
  <c r="AF447" i="63"/>
  <c r="L448" i="63"/>
  <c r="M448" i="63"/>
  <c r="N448" i="63"/>
  <c r="O448" i="63"/>
  <c r="S448" i="63"/>
  <c r="U448" i="63" s="1"/>
  <c r="W448" i="63"/>
  <c r="Y448" i="63"/>
  <c r="AC448" i="63"/>
  <c r="R448" i="63" s="1"/>
  <c r="AF448" i="63"/>
  <c r="L449" i="63"/>
  <c r="X449" i="63" s="1"/>
  <c r="M449" i="63"/>
  <c r="N449" i="63"/>
  <c r="O449" i="63"/>
  <c r="S449" i="63"/>
  <c r="U449" i="63" s="1"/>
  <c r="W449" i="63"/>
  <c r="Y449" i="63"/>
  <c r="AC449" i="63"/>
  <c r="R449" i="63" s="1"/>
  <c r="AF449" i="63"/>
  <c r="L450" i="63"/>
  <c r="M450" i="63"/>
  <c r="N450" i="63"/>
  <c r="O450" i="63"/>
  <c r="S450" i="63"/>
  <c r="U450" i="63" s="1"/>
  <c r="W450" i="63"/>
  <c r="Y450" i="63"/>
  <c r="AC450" i="63"/>
  <c r="R450" i="63" s="1"/>
  <c r="AF450" i="63"/>
  <c r="L451" i="63"/>
  <c r="M451" i="63"/>
  <c r="N451" i="63"/>
  <c r="O451" i="63"/>
  <c r="S451" i="63"/>
  <c r="U451" i="63" s="1"/>
  <c r="W451" i="63"/>
  <c r="Y451" i="63"/>
  <c r="AC451" i="63"/>
  <c r="R451" i="63" s="1"/>
  <c r="AF451" i="63"/>
  <c r="L452" i="63"/>
  <c r="M452" i="63"/>
  <c r="N452" i="63"/>
  <c r="O452" i="63"/>
  <c r="S452" i="63"/>
  <c r="U452" i="63" s="1"/>
  <c r="W452" i="63"/>
  <c r="Y452" i="63"/>
  <c r="AC452" i="63"/>
  <c r="R452" i="63" s="1"/>
  <c r="AF452" i="63"/>
  <c r="L453" i="63"/>
  <c r="M453" i="63"/>
  <c r="N453" i="63"/>
  <c r="O453" i="63"/>
  <c r="S453" i="63"/>
  <c r="U453" i="63" s="1"/>
  <c r="W453" i="63"/>
  <c r="Y453" i="63"/>
  <c r="AC453" i="63"/>
  <c r="R453" i="63" s="1"/>
  <c r="AF453" i="63"/>
  <c r="L454" i="63"/>
  <c r="M454" i="63"/>
  <c r="N454" i="63"/>
  <c r="O454" i="63"/>
  <c r="S454" i="63"/>
  <c r="U454" i="63" s="1"/>
  <c r="W454" i="63"/>
  <c r="Y454" i="63"/>
  <c r="AC454" i="63"/>
  <c r="R454" i="63" s="1"/>
  <c r="AF454" i="63"/>
  <c r="L455" i="63"/>
  <c r="M455" i="63"/>
  <c r="N455" i="63"/>
  <c r="O455" i="63"/>
  <c r="S455" i="63"/>
  <c r="U455" i="63" s="1"/>
  <c r="W455" i="63"/>
  <c r="Y455" i="63"/>
  <c r="AC455" i="63"/>
  <c r="R455" i="63" s="1"/>
  <c r="AF455" i="63"/>
  <c r="M8" i="87"/>
  <c r="L8" i="87"/>
  <c r="M7" i="87"/>
  <c r="L7" i="87"/>
  <c r="D56" i="80"/>
  <c r="L52" i="80"/>
  <c r="C52" i="80"/>
  <c r="C842" i="95" l="1"/>
  <c r="C1607" i="95"/>
  <c r="X444" i="63"/>
  <c r="X436" i="63"/>
  <c r="X453" i="63"/>
  <c r="X445" i="63"/>
  <c r="P452" i="63"/>
  <c r="P448" i="63"/>
  <c r="P444" i="63"/>
  <c r="P440" i="63"/>
  <c r="P436" i="63"/>
  <c r="P432" i="63"/>
  <c r="P428" i="63"/>
  <c r="P424" i="63"/>
  <c r="P420" i="63"/>
  <c r="P416" i="63"/>
  <c r="P455" i="63"/>
  <c r="P451" i="63"/>
  <c r="P447" i="63"/>
  <c r="P443" i="63"/>
  <c r="P439" i="63"/>
  <c r="P435" i="63"/>
  <c r="P431" i="63"/>
  <c r="P427" i="63"/>
  <c r="P423" i="63"/>
  <c r="P419" i="63"/>
  <c r="P415" i="63"/>
  <c r="P450" i="63"/>
  <c r="P446" i="63"/>
  <c r="P442" i="63"/>
  <c r="P438" i="63"/>
  <c r="P434" i="63"/>
  <c r="P430" i="63"/>
  <c r="P426" i="63"/>
  <c r="P422" i="63"/>
  <c r="P418" i="63"/>
  <c r="P414" i="63"/>
  <c r="P454" i="63"/>
  <c r="P453" i="63"/>
  <c r="P449" i="63"/>
  <c r="P445" i="63"/>
  <c r="P441" i="63"/>
  <c r="P437" i="63"/>
  <c r="P433" i="63"/>
  <c r="P429" i="63"/>
  <c r="P425" i="63"/>
  <c r="P421" i="63"/>
  <c r="P417" i="63"/>
  <c r="P413" i="63"/>
  <c r="X432" i="63"/>
  <c r="X428" i="63"/>
  <c r="X424" i="63"/>
  <c r="X420" i="63"/>
  <c r="X431" i="63"/>
  <c r="X427" i="63"/>
  <c r="X423" i="63"/>
  <c r="X419" i="63"/>
  <c r="X416" i="63"/>
  <c r="AD415" i="63"/>
  <c r="X415" i="63"/>
  <c r="X448" i="63"/>
  <c r="X451" i="63"/>
  <c r="X446" i="63"/>
  <c r="X442" i="63"/>
  <c r="X438" i="63"/>
  <c r="X434" i="63"/>
  <c r="X430" i="63"/>
  <c r="X426" i="63"/>
  <c r="X422" i="63"/>
  <c r="X418" i="63"/>
  <c r="AD414" i="63"/>
  <c r="X414" i="63"/>
  <c r="X452" i="63"/>
  <c r="X447" i="63"/>
  <c r="X454" i="63"/>
  <c r="X450" i="63"/>
  <c r="X455" i="63"/>
  <c r="X443" i="63"/>
  <c r="X439" i="63"/>
  <c r="X435" i="63"/>
  <c r="X437" i="63"/>
  <c r="X433" i="63"/>
  <c r="X429" i="63"/>
  <c r="X425" i="63"/>
  <c r="X421" i="63"/>
  <c r="X417" i="63"/>
  <c r="T413" i="63"/>
  <c r="X413" i="63"/>
  <c r="AE413" i="63"/>
  <c r="AD413" i="63"/>
  <c r="AE414" i="63"/>
  <c r="T414" i="63"/>
  <c r="T415" i="63"/>
  <c r="AE415" i="63"/>
  <c r="C843" i="95" l="1"/>
  <c r="C1608" i="95"/>
  <c r="T229" i="64"/>
  <c r="S229" i="64"/>
  <c r="R229" i="64"/>
  <c r="Q229" i="64"/>
  <c r="P229" i="64"/>
  <c r="T227" i="64"/>
  <c r="S227" i="64"/>
  <c r="R227" i="64"/>
  <c r="Q227" i="64"/>
  <c r="P227" i="64"/>
  <c r="T194" i="64"/>
  <c r="S194" i="64"/>
  <c r="R194" i="64"/>
  <c r="Q194" i="64"/>
  <c r="P194" i="64"/>
  <c r="T192" i="64"/>
  <c r="S192" i="64"/>
  <c r="R192" i="64"/>
  <c r="Q192" i="64"/>
  <c r="P192" i="64"/>
  <c r="T158" i="64"/>
  <c r="S158" i="64"/>
  <c r="R158" i="64"/>
  <c r="Q158" i="64"/>
  <c r="P158" i="64"/>
  <c r="T156" i="64"/>
  <c r="S156" i="64"/>
  <c r="R156" i="64"/>
  <c r="Q156" i="64"/>
  <c r="P156" i="64"/>
  <c r="H122" i="64"/>
  <c r="G120" i="64"/>
  <c r="H120" i="64" s="1"/>
  <c r="H119" i="64"/>
  <c r="H125" i="64"/>
  <c r="C1609" i="95" l="1"/>
  <c r="C844" i="95"/>
  <c r="L176" i="64"/>
  <c r="L175" i="64"/>
  <c r="L174" i="64"/>
  <c r="L173" i="64"/>
  <c r="L172" i="64"/>
  <c r="L171" i="64"/>
  <c r="L170" i="64"/>
  <c r="L169" i="64"/>
  <c r="L168" i="64"/>
  <c r="F251" i="64"/>
  <c r="E233" i="64"/>
  <c r="K228" i="64"/>
  <c r="E226" i="64"/>
  <c r="F222" i="64"/>
  <c r="D219" i="64"/>
  <c r="F217" i="64"/>
  <c r="D214" i="64"/>
  <c r="E197" i="64"/>
  <c r="K193" i="64"/>
  <c r="C192" i="64"/>
  <c r="E189" i="64"/>
  <c r="K186" i="64"/>
  <c r="C185" i="64"/>
  <c r="M165" i="64"/>
  <c r="E162" i="64"/>
  <c r="C160" i="64"/>
  <c r="D153" i="64"/>
  <c r="F153" i="64" s="1"/>
  <c r="C32" i="51"/>
  <c r="C43" i="87"/>
  <c r="Z151" i="43"/>
  <c r="Y151" i="43"/>
  <c r="X151" i="43"/>
  <c r="W151" i="43"/>
  <c r="V151" i="43"/>
  <c r="Z149" i="43"/>
  <c r="Y149" i="43"/>
  <c r="X149" i="43"/>
  <c r="W149" i="43"/>
  <c r="V149" i="43"/>
  <c r="Z121" i="43"/>
  <c r="Y121" i="43"/>
  <c r="X121" i="43"/>
  <c r="W121" i="43"/>
  <c r="V121" i="43"/>
  <c r="Z123" i="43"/>
  <c r="Y123" i="43"/>
  <c r="X123" i="43"/>
  <c r="W123" i="43"/>
  <c r="V123" i="43"/>
  <c r="C845" i="95" l="1"/>
  <c r="C1610" i="95"/>
  <c r="K14" i="87"/>
  <c r="O53" i="80"/>
  <c r="L14" i="87"/>
  <c r="P53" i="80"/>
  <c r="M14" i="87"/>
  <c r="Q53" i="80"/>
  <c r="N14" i="87"/>
  <c r="R53" i="80"/>
  <c r="L12" i="87"/>
  <c r="P51" i="80"/>
  <c r="O14" i="87"/>
  <c r="S53" i="80"/>
  <c r="M12" i="87"/>
  <c r="Q51" i="80"/>
  <c r="N12" i="87"/>
  <c r="R51" i="80"/>
  <c r="K12" i="87"/>
  <c r="O51" i="80"/>
  <c r="O12" i="87"/>
  <c r="S51" i="80"/>
  <c r="C1611" i="95" l="1"/>
  <c r="C846" i="95"/>
  <c r="H19" i="51"/>
  <c r="H18" i="51"/>
  <c r="H21" i="51"/>
  <c r="H20" i="51"/>
  <c r="H17" i="51"/>
  <c r="H15" i="51"/>
  <c r="H14" i="51"/>
  <c r="H11" i="51"/>
  <c r="H9" i="51"/>
  <c r="Z833" i="63"/>
  <c r="Z832" i="63"/>
  <c r="Z831" i="63"/>
  <c r="C1612" i="95" l="1"/>
  <c r="C847" i="95"/>
  <c r="I10" i="51"/>
  <c r="H10" i="51"/>
  <c r="I12" i="51"/>
  <c r="H12" i="51"/>
  <c r="I16" i="51"/>
  <c r="H16" i="51"/>
  <c r="I22" i="51"/>
  <c r="H22" i="51"/>
  <c r="I26" i="51"/>
  <c r="H26" i="51"/>
  <c r="I3" i="51"/>
  <c r="H3" i="51"/>
  <c r="I4" i="51"/>
  <c r="H4" i="51"/>
  <c r="I23" i="51"/>
  <c r="H23" i="51"/>
  <c r="I7" i="51"/>
  <c r="H7" i="51"/>
  <c r="I8" i="51"/>
  <c r="H8" i="51"/>
  <c r="I24" i="51"/>
  <c r="H24" i="51"/>
  <c r="I25" i="51"/>
  <c r="H25" i="51"/>
  <c r="O933" i="63"/>
  <c r="C848" i="95" l="1"/>
  <c r="C1613" i="95"/>
  <c r="M10" i="63"/>
  <c r="M7" i="63"/>
  <c r="D122" i="72"/>
  <c r="D121" i="72"/>
  <c r="D120" i="72"/>
  <c r="D119" i="72"/>
  <c r="D118" i="72"/>
  <c r="C1614" i="95" l="1"/>
  <c r="C849" i="95"/>
  <c r="D73" i="80"/>
  <c r="AG82" i="63"/>
  <c r="AG421" i="63"/>
  <c r="AG428" i="63"/>
  <c r="AG440" i="63"/>
  <c r="AG441" i="63"/>
  <c r="AG450" i="63"/>
  <c r="AG451" i="63"/>
  <c r="AG426" i="63"/>
  <c r="AG437" i="63"/>
  <c r="AG438" i="63"/>
  <c r="AG439" i="63"/>
  <c r="AG423" i="63"/>
  <c r="AG417" i="63"/>
  <c r="AG419" i="63"/>
  <c r="AG431" i="63"/>
  <c r="AG436" i="63"/>
  <c r="AG449" i="63"/>
  <c r="AG413" i="63"/>
  <c r="AG422" i="63"/>
  <c r="AG424" i="63"/>
  <c r="AG429" i="63"/>
  <c r="AG415" i="63"/>
  <c r="AG435" i="63"/>
  <c r="AG446" i="63"/>
  <c r="AG447" i="63"/>
  <c r="AG448" i="63"/>
  <c r="AG454" i="63"/>
  <c r="AG455" i="63"/>
  <c r="AG443" i="63"/>
  <c r="AG452" i="63"/>
  <c r="AG420" i="63"/>
  <c r="AG427" i="63"/>
  <c r="AG433" i="63"/>
  <c r="AG434" i="63"/>
  <c r="AG445" i="63"/>
  <c r="AG453" i="63"/>
  <c r="AG442" i="63"/>
  <c r="AG414" i="63"/>
  <c r="AG418" i="63"/>
  <c r="AG425" i="63"/>
  <c r="AG430" i="63"/>
  <c r="AG432" i="63"/>
  <c r="AG416" i="63"/>
  <c r="AG444" i="63"/>
  <c r="C850" i="95" l="1"/>
  <c r="C1615" i="95"/>
  <c r="G99" i="64"/>
  <c r="G98" i="64"/>
  <c r="G96" i="64"/>
  <c r="C851" i="95" l="1"/>
  <c r="C1616" i="95"/>
  <c r="M8" i="4"/>
  <c r="H12" i="85"/>
  <c r="H13" i="85"/>
  <c r="H14" i="85"/>
  <c r="H15" i="85"/>
  <c r="H16" i="85"/>
  <c r="F16" i="85"/>
  <c r="F15" i="85"/>
  <c r="F14" i="85"/>
  <c r="F13" i="85"/>
  <c r="F12" i="85"/>
  <c r="F11" i="85"/>
  <c r="F10" i="85"/>
  <c r="F9" i="85"/>
  <c r="F8" i="85"/>
  <c r="F7" i="85"/>
  <c r="C1617" i="95" l="1"/>
  <c r="C852" i="95"/>
  <c r="C1618" i="95" l="1"/>
  <c r="C853" i="95"/>
  <c r="D30" i="83"/>
  <c r="AI34" i="83"/>
  <c r="AG34" i="83"/>
  <c r="AE34" i="83"/>
  <c r="AC34" i="83"/>
  <c r="AA34" i="83"/>
  <c r="Y34" i="83"/>
  <c r="W34" i="83"/>
  <c r="U34" i="83"/>
  <c r="S34" i="83"/>
  <c r="Q34" i="83"/>
  <c r="O34" i="83"/>
  <c r="M34" i="83"/>
  <c r="K34" i="83"/>
  <c r="I34" i="83"/>
  <c r="G34" i="83"/>
  <c r="C1619" i="95" l="1"/>
  <c r="C854" i="95"/>
  <c r="N937" i="63"/>
  <c r="L937" i="63"/>
  <c r="P28" i="91" s="1"/>
  <c r="C1620" i="95" l="1"/>
  <c r="C855" i="95"/>
  <c r="S28" i="91"/>
  <c r="F1112" i="70"/>
  <c r="F421" i="70"/>
  <c r="J421" i="70" s="1"/>
  <c r="F420" i="70"/>
  <c r="J420" i="70" s="1"/>
  <c r="F419" i="70"/>
  <c r="J419" i="70" s="1"/>
  <c r="F418" i="70"/>
  <c r="J418" i="70" s="1"/>
  <c r="F417" i="70"/>
  <c r="J417" i="70" s="1"/>
  <c r="F416" i="70"/>
  <c r="J416" i="70" s="1"/>
  <c r="F415" i="70"/>
  <c r="J415" i="70" s="1"/>
  <c r="I166" i="66"/>
  <c r="C856" i="95" l="1"/>
  <c r="C1621" i="95"/>
  <c r="I168" i="66"/>
  <c r="I167" i="66"/>
  <c r="I165" i="66"/>
  <c r="H966" i="70"/>
  <c r="H967" i="70"/>
  <c r="H968" i="70"/>
  <c r="H969" i="70"/>
  <c r="H970" i="70"/>
  <c r="H971" i="70"/>
  <c r="H972" i="70"/>
  <c r="H973" i="70"/>
  <c r="R60" i="66"/>
  <c r="K1194" i="70"/>
  <c r="J1194" i="70"/>
  <c r="I1194" i="70"/>
  <c r="H1194" i="70"/>
  <c r="G1194" i="70"/>
  <c r="K1193" i="70"/>
  <c r="J1193" i="70"/>
  <c r="I1193" i="70"/>
  <c r="H1193" i="70"/>
  <c r="G1193" i="70"/>
  <c r="K1206" i="70"/>
  <c r="J1206" i="70"/>
  <c r="I1206" i="70"/>
  <c r="H1206" i="70"/>
  <c r="G1206" i="70"/>
  <c r="K1205" i="70"/>
  <c r="J1205" i="70"/>
  <c r="I1205" i="70"/>
  <c r="H1205" i="70"/>
  <c r="G1205" i="70"/>
  <c r="G1182" i="70"/>
  <c r="H1182" i="70"/>
  <c r="I1182" i="70"/>
  <c r="J1182" i="70"/>
  <c r="K1182" i="70"/>
  <c r="K1181" i="70"/>
  <c r="J1181" i="70"/>
  <c r="I1181" i="70"/>
  <c r="G1181" i="70"/>
  <c r="C1088" i="70"/>
  <c r="J1088" i="70" s="1"/>
  <c r="C1084" i="70"/>
  <c r="J1084" i="70" s="1"/>
  <c r="C1079" i="70"/>
  <c r="J1079" i="70" s="1"/>
  <c r="C1077" i="70"/>
  <c r="J1077" i="70" s="1"/>
  <c r="C1075" i="70"/>
  <c r="J1075" i="70" s="1"/>
  <c r="H50" i="87"/>
  <c r="H55" i="87" s="1"/>
  <c r="O5" i="87"/>
  <c r="O4" i="87"/>
  <c r="O3" i="87"/>
  <c r="O2" i="87"/>
  <c r="G47" i="87"/>
  <c r="F47" i="87"/>
  <c r="E47" i="87"/>
  <c r="D47" i="87"/>
  <c r="F43" i="87"/>
  <c r="G42" i="87"/>
  <c r="D41" i="87"/>
  <c r="G40" i="87"/>
  <c r="F40" i="87"/>
  <c r="E40" i="87"/>
  <c r="D40" i="87"/>
  <c r="G39" i="87"/>
  <c r="F39" i="87"/>
  <c r="E39" i="87"/>
  <c r="D39" i="87"/>
  <c r="G38" i="87"/>
  <c r="F38" i="87"/>
  <c r="E38" i="87"/>
  <c r="D38" i="87"/>
  <c r="G37" i="87"/>
  <c r="F37" i="87"/>
  <c r="E37" i="87"/>
  <c r="G36" i="87"/>
  <c r="F36" i="87"/>
  <c r="E36" i="87"/>
  <c r="D36" i="87"/>
  <c r="G35" i="87"/>
  <c r="F35" i="87"/>
  <c r="E35" i="87"/>
  <c r="D35" i="87"/>
  <c r="G34" i="87"/>
  <c r="F34" i="87"/>
  <c r="E34" i="87"/>
  <c r="D34" i="87"/>
  <c r="G33" i="87"/>
  <c r="F33" i="87"/>
  <c r="E33" i="87"/>
  <c r="D33" i="87"/>
  <c r="G32" i="87"/>
  <c r="F32" i="87"/>
  <c r="E32" i="87"/>
  <c r="D32" i="87"/>
  <c r="C27" i="87"/>
  <c r="G26" i="87"/>
  <c r="F26" i="87"/>
  <c r="E26" i="87"/>
  <c r="D26" i="87"/>
  <c r="G25" i="87"/>
  <c r="F25" i="87"/>
  <c r="E25" i="87"/>
  <c r="D25" i="87"/>
  <c r="G24" i="87"/>
  <c r="F24" i="87"/>
  <c r="E24" i="87"/>
  <c r="D24" i="87"/>
  <c r="G12" i="87"/>
  <c r="F12" i="87"/>
  <c r="F13" i="87" s="1"/>
  <c r="E12" i="87"/>
  <c r="D12" i="87"/>
  <c r="D13" i="87" s="1"/>
  <c r="G3" i="87"/>
  <c r="A3" i="87"/>
  <c r="C1622" i="95" l="1"/>
  <c r="C857" i="95"/>
  <c r="E41" i="87"/>
  <c r="F42" i="87"/>
  <c r="C1073" i="70"/>
  <c r="J1073" i="70" s="1"/>
  <c r="D42" i="87"/>
  <c r="C1078" i="70"/>
  <c r="J1078" i="70" s="1"/>
  <c r="C1082" i="70"/>
  <c r="J1082" i="70" s="1"/>
  <c r="C1074" i="70"/>
  <c r="J1074" i="70" s="1"/>
  <c r="C1076" i="70"/>
  <c r="J1076" i="70" s="1"/>
  <c r="C1080" i="70"/>
  <c r="J1080" i="70" s="1"/>
  <c r="C1087" i="70"/>
  <c r="J1087" i="70" s="1"/>
  <c r="C1083" i="70"/>
  <c r="J1083" i="70" s="1"/>
  <c r="C1091" i="70"/>
  <c r="J1091" i="70" s="1"/>
  <c r="C1090" i="70"/>
  <c r="J1090" i="70" s="1"/>
  <c r="C1086" i="70"/>
  <c r="J1086" i="70" s="1"/>
  <c r="C1089" i="70"/>
  <c r="J1089" i="70" s="1"/>
  <c r="C1085" i="70"/>
  <c r="J1085" i="70" s="1"/>
  <c r="C1081" i="70"/>
  <c r="J1081" i="70" s="1"/>
  <c r="D14" i="87"/>
  <c r="D18" i="87" s="1"/>
  <c r="C5" i="87"/>
  <c r="C7" i="87"/>
  <c r="F14" i="87"/>
  <c r="F18" i="87" s="1"/>
  <c r="G13" i="87"/>
  <c r="C8" i="87" s="1"/>
  <c r="G43" i="87"/>
  <c r="F41" i="87"/>
  <c r="E42" i="87"/>
  <c r="D43" i="87"/>
  <c r="E13" i="87"/>
  <c r="C6" i="87" s="1"/>
  <c r="G41" i="87"/>
  <c r="E43" i="87"/>
  <c r="C858" i="95" l="1"/>
  <c r="C1623" i="95"/>
  <c r="D6" i="87"/>
  <c r="E6" i="87"/>
  <c r="E15" i="87" s="1"/>
  <c r="E8" i="87"/>
  <c r="G15" i="87" s="1"/>
  <c r="D8" i="87"/>
  <c r="G14" i="87"/>
  <c r="G18" i="87" s="1"/>
  <c r="D23" i="87"/>
  <c r="F23" i="87"/>
  <c r="F27" i="87" s="1"/>
  <c r="D5" i="87"/>
  <c r="E5" i="87"/>
  <c r="D15" i="87" s="1"/>
  <c r="E7" i="87"/>
  <c r="F15" i="87" s="1"/>
  <c r="D7" i="87"/>
  <c r="E14" i="87"/>
  <c r="E18" i="87" s="1"/>
  <c r="O89" i="7"/>
  <c r="R85" i="4"/>
  <c r="R82" i="4"/>
  <c r="R79" i="4"/>
  <c r="R76" i="4"/>
  <c r="R73" i="4"/>
  <c r="C859" i="95" l="1"/>
  <c r="C1624" i="95"/>
  <c r="E23" i="87"/>
  <c r="E27" i="87" s="1"/>
  <c r="D27" i="87"/>
  <c r="G23" i="87"/>
  <c r="G27" i="87" s="1"/>
  <c r="C860" i="95" l="1"/>
  <c r="C1625" i="95"/>
  <c r="W833" i="63"/>
  <c r="W834" i="63"/>
  <c r="W835" i="63"/>
  <c r="W836" i="63"/>
  <c r="W837" i="63"/>
  <c r="W838" i="63"/>
  <c r="W839" i="63"/>
  <c r="W840" i="63"/>
  <c r="W841" i="63"/>
  <c r="W842" i="63"/>
  <c r="W843" i="63"/>
  <c r="W844" i="63"/>
  <c r="W845" i="63"/>
  <c r="W846" i="63"/>
  <c r="W847" i="63"/>
  <c r="W848" i="63"/>
  <c r="W849" i="63"/>
  <c r="W850" i="63"/>
  <c r="W851" i="63"/>
  <c r="W852" i="63"/>
  <c r="W853" i="63"/>
  <c r="W854" i="63"/>
  <c r="W855" i="63"/>
  <c r="W856" i="63"/>
  <c r="W857" i="63"/>
  <c r="W858" i="63"/>
  <c r="W859" i="63"/>
  <c r="W860" i="63"/>
  <c r="W861" i="63"/>
  <c r="W862" i="63"/>
  <c r="W863" i="63"/>
  <c r="W864" i="63"/>
  <c r="W865" i="63"/>
  <c r="W866" i="63"/>
  <c r="W867" i="63"/>
  <c r="W868" i="63"/>
  <c r="W869" i="63"/>
  <c r="W870" i="63"/>
  <c r="W871" i="63"/>
  <c r="W872" i="63"/>
  <c r="W873" i="63"/>
  <c r="W874" i="63"/>
  <c r="W875" i="63"/>
  <c r="W876" i="63"/>
  <c r="W877" i="63"/>
  <c r="W878" i="63"/>
  <c r="W879" i="63"/>
  <c r="W880" i="63"/>
  <c r="W881" i="63"/>
  <c r="W882" i="63"/>
  <c r="W883" i="63"/>
  <c r="W884" i="63"/>
  <c r="W885" i="63"/>
  <c r="W886" i="63"/>
  <c r="W887" i="63"/>
  <c r="W888" i="63"/>
  <c r="W889" i="63"/>
  <c r="W832" i="63"/>
  <c r="L264" i="63"/>
  <c r="M264" i="63"/>
  <c r="N264" i="63"/>
  <c r="O264" i="63"/>
  <c r="S264" i="63"/>
  <c r="U264" i="63" s="1"/>
  <c r="W264" i="63"/>
  <c r="Y264" i="63"/>
  <c r="AC264" i="63"/>
  <c r="R264" i="63" s="1"/>
  <c r="AF264" i="63"/>
  <c r="C1626" i="95" l="1"/>
  <c r="C861" i="95"/>
  <c r="P264" i="63"/>
  <c r="X264" i="63"/>
  <c r="AC818" i="63"/>
  <c r="S1257" i="63"/>
  <c r="S1258" i="63"/>
  <c r="S1259" i="63"/>
  <c r="S1260" i="63"/>
  <c r="S1256" i="63"/>
  <c r="R1065" i="63"/>
  <c r="S1065" i="63"/>
  <c r="R1066" i="63"/>
  <c r="S1066" i="63"/>
  <c r="R1067" i="63"/>
  <c r="S1067" i="63"/>
  <c r="R1068" i="63"/>
  <c r="S1068" i="63"/>
  <c r="R1069" i="63"/>
  <c r="S1069" i="63"/>
  <c r="S1064" i="63"/>
  <c r="R1064" i="63"/>
  <c r="Q1065" i="63"/>
  <c r="Q1066" i="63"/>
  <c r="Q1067" i="63"/>
  <c r="Q1068" i="63"/>
  <c r="Q1069" i="63"/>
  <c r="Q1064" i="63"/>
  <c r="P1065" i="63"/>
  <c r="P1066" i="63"/>
  <c r="P1067" i="63"/>
  <c r="P1068" i="63"/>
  <c r="P1069" i="63"/>
  <c r="P1064" i="63"/>
  <c r="P1063" i="63"/>
  <c r="AA891" i="63"/>
  <c r="AA892" i="63"/>
  <c r="AA893" i="63"/>
  <c r="AA894" i="63"/>
  <c r="AA890" i="63"/>
  <c r="P833" i="63"/>
  <c r="P834" i="63"/>
  <c r="P835" i="63"/>
  <c r="P836" i="63"/>
  <c r="P837" i="63"/>
  <c r="P838" i="63"/>
  <c r="P839" i="63"/>
  <c r="P840" i="63"/>
  <c r="P841" i="63"/>
  <c r="P842" i="63"/>
  <c r="P843" i="63"/>
  <c r="P844" i="63"/>
  <c r="P845" i="63"/>
  <c r="P846" i="63"/>
  <c r="P847" i="63"/>
  <c r="P848" i="63"/>
  <c r="P849" i="63"/>
  <c r="P850" i="63"/>
  <c r="P851" i="63"/>
  <c r="P852" i="63"/>
  <c r="P853" i="63"/>
  <c r="P854" i="63"/>
  <c r="P855" i="63"/>
  <c r="P856" i="63"/>
  <c r="P857" i="63"/>
  <c r="P858" i="63"/>
  <c r="P859" i="63"/>
  <c r="P860" i="63"/>
  <c r="P861" i="63"/>
  <c r="P862" i="63"/>
  <c r="P863" i="63"/>
  <c r="P864" i="63"/>
  <c r="P865" i="63"/>
  <c r="P866" i="63"/>
  <c r="P867" i="63"/>
  <c r="P868" i="63"/>
  <c r="P869" i="63"/>
  <c r="P870" i="63"/>
  <c r="P871" i="63"/>
  <c r="P872" i="63"/>
  <c r="P873" i="63"/>
  <c r="P874" i="63"/>
  <c r="P875" i="63"/>
  <c r="P876" i="63"/>
  <c r="P877" i="63"/>
  <c r="P878" i="63"/>
  <c r="P879" i="63"/>
  <c r="P880" i="63"/>
  <c r="P881" i="63"/>
  <c r="P882" i="63"/>
  <c r="P883" i="63"/>
  <c r="P884" i="63"/>
  <c r="P885" i="63"/>
  <c r="P886" i="63"/>
  <c r="P887" i="63"/>
  <c r="P888" i="63"/>
  <c r="P889" i="63"/>
  <c r="P832" i="63"/>
  <c r="AC833" i="63"/>
  <c r="AC834" i="63"/>
  <c r="AC835" i="63"/>
  <c r="AC836" i="63"/>
  <c r="AC837" i="63"/>
  <c r="AC838" i="63"/>
  <c r="AC839" i="63"/>
  <c r="AC840" i="63"/>
  <c r="AC841" i="63"/>
  <c r="AC842" i="63"/>
  <c r="AC843" i="63"/>
  <c r="AC844" i="63"/>
  <c r="AC845" i="63"/>
  <c r="AC846" i="63"/>
  <c r="AC847" i="63"/>
  <c r="AC848" i="63"/>
  <c r="AC849" i="63"/>
  <c r="AC850" i="63"/>
  <c r="AC851" i="63"/>
  <c r="AC852" i="63"/>
  <c r="AC853" i="63"/>
  <c r="AC854" i="63"/>
  <c r="AC855" i="63"/>
  <c r="AC856" i="63"/>
  <c r="AC857" i="63"/>
  <c r="AC858" i="63"/>
  <c r="AC859" i="63"/>
  <c r="AC860" i="63"/>
  <c r="AC861" i="63"/>
  <c r="AC862" i="63"/>
  <c r="AC863" i="63"/>
  <c r="AC864" i="63"/>
  <c r="AC865" i="63"/>
  <c r="AC866" i="63"/>
  <c r="AC867" i="63"/>
  <c r="AC868" i="63"/>
  <c r="AC869" i="63"/>
  <c r="AC870" i="63"/>
  <c r="AC871" i="63"/>
  <c r="AC872" i="63"/>
  <c r="AC873" i="63"/>
  <c r="AC874" i="63"/>
  <c r="AC875" i="63"/>
  <c r="AC876" i="63"/>
  <c r="AC877" i="63"/>
  <c r="AC878" i="63"/>
  <c r="AC879" i="63"/>
  <c r="AC880" i="63"/>
  <c r="AC881" i="63"/>
  <c r="AC882" i="63"/>
  <c r="AC883" i="63"/>
  <c r="AC884" i="63"/>
  <c r="AC885" i="63"/>
  <c r="AC886" i="63"/>
  <c r="AC887" i="63"/>
  <c r="AC888" i="63"/>
  <c r="AC889" i="63"/>
  <c r="AC832" i="63"/>
  <c r="C862" i="95" l="1"/>
  <c r="C1627" i="95"/>
  <c r="AF891" i="63"/>
  <c r="AF892" i="63"/>
  <c r="AF893" i="63"/>
  <c r="AF894" i="63"/>
  <c r="AF890" i="63"/>
  <c r="Y891" i="63"/>
  <c r="Y892" i="63"/>
  <c r="Y893" i="63"/>
  <c r="Y894" i="63"/>
  <c r="Y890" i="63"/>
  <c r="Y832" i="63"/>
  <c r="Y833" i="63"/>
  <c r="Y834" i="63"/>
  <c r="Y835" i="63"/>
  <c r="Y836" i="63"/>
  <c r="Y837" i="63"/>
  <c r="Y838" i="63"/>
  <c r="Y839" i="63"/>
  <c r="Y840" i="63"/>
  <c r="Y841" i="63"/>
  <c r="Y842" i="63"/>
  <c r="Y843" i="63"/>
  <c r="Y844" i="63"/>
  <c r="Y845" i="63"/>
  <c r="Y846" i="63"/>
  <c r="Y847" i="63"/>
  <c r="Y848" i="63"/>
  <c r="Y849" i="63"/>
  <c r="Y850" i="63"/>
  <c r="Y851" i="63"/>
  <c r="Y852" i="63"/>
  <c r="Y853" i="63"/>
  <c r="Y854" i="63"/>
  <c r="Y855" i="63"/>
  <c r="Y856" i="63"/>
  <c r="Y857" i="63"/>
  <c r="Y858" i="63"/>
  <c r="Y859" i="63"/>
  <c r="Y860" i="63"/>
  <c r="Y861" i="63"/>
  <c r="Y862" i="63"/>
  <c r="Y863" i="63"/>
  <c r="Y864" i="63"/>
  <c r="Y865" i="63"/>
  <c r="Y866" i="63"/>
  <c r="Y867" i="63"/>
  <c r="Y868" i="63"/>
  <c r="Y869" i="63"/>
  <c r="Y870" i="63"/>
  <c r="Y871" i="63"/>
  <c r="Y872" i="63"/>
  <c r="Y873" i="63"/>
  <c r="Y874" i="63"/>
  <c r="Y875" i="63"/>
  <c r="Y876" i="63"/>
  <c r="Y877" i="63"/>
  <c r="Y878" i="63"/>
  <c r="Y879" i="63"/>
  <c r="Y880" i="63"/>
  <c r="Y881" i="63"/>
  <c r="Y882" i="63"/>
  <c r="Y883" i="63"/>
  <c r="Y884" i="63"/>
  <c r="Y885" i="63"/>
  <c r="Y886" i="63"/>
  <c r="Y887" i="63"/>
  <c r="Y888" i="63"/>
  <c r="Y889" i="63"/>
  <c r="Y831" i="63"/>
  <c r="M891" i="63"/>
  <c r="M892" i="63"/>
  <c r="M893" i="63"/>
  <c r="M894" i="63"/>
  <c r="M890" i="63"/>
  <c r="AF819" i="63"/>
  <c r="AF820" i="63"/>
  <c r="AF821" i="63"/>
  <c r="AF822" i="63"/>
  <c r="AF818" i="63"/>
  <c r="J2" i="70"/>
  <c r="L2" i="87" s="1"/>
  <c r="K2" i="70"/>
  <c r="M2" i="87" s="1"/>
  <c r="L2" i="70"/>
  <c r="N2" i="87" s="1"/>
  <c r="J4" i="70"/>
  <c r="K4" i="70"/>
  <c r="L4" i="70"/>
  <c r="I4" i="70"/>
  <c r="I2" i="70"/>
  <c r="K1" i="87"/>
  <c r="R68" i="3"/>
  <c r="R44" i="3"/>
  <c r="R20" i="3"/>
  <c r="C863" i="95" l="1"/>
  <c r="C1628" i="95"/>
  <c r="L4" i="72"/>
  <c r="B336" i="43"/>
  <c r="B337" i="43"/>
  <c r="B305" i="43"/>
  <c r="B304" i="43"/>
  <c r="B166" i="43"/>
  <c r="B165" i="43"/>
  <c r="I166" i="43"/>
  <c r="L166" i="43" s="1"/>
  <c r="H166" i="43"/>
  <c r="K166" i="43" s="1"/>
  <c r="H165" i="43"/>
  <c r="I164" i="43"/>
  <c r="L164" i="43" s="1"/>
  <c r="H164" i="43"/>
  <c r="K164" i="43" s="1"/>
  <c r="I138" i="43"/>
  <c r="H138" i="43"/>
  <c r="H137" i="43"/>
  <c r="I136" i="43"/>
  <c r="H136" i="43"/>
  <c r="B138" i="43"/>
  <c r="B137" i="43"/>
  <c r="C246" i="64"/>
  <c r="C245" i="64"/>
  <c r="C210" i="64"/>
  <c r="C209" i="64"/>
  <c r="C176" i="64"/>
  <c r="C175" i="64"/>
  <c r="D86" i="7"/>
  <c r="U3" i="52" s="1"/>
  <c r="I5" i="70"/>
  <c r="C272" i="64" s="1"/>
  <c r="C298" i="64"/>
  <c r="G86" i="7"/>
  <c r="X3" i="52" s="1"/>
  <c r="L5" i="70"/>
  <c r="F86" i="7"/>
  <c r="W3" i="52" s="1"/>
  <c r="K5" i="70"/>
  <c r="E86" i="7"/>
  <c r="V3" i="52" s="1"/>
  <c r="J5" i="70"/>
  <c r="N3" i="87"/>
  <c r="M3" i="87"/>
  <c r="L3" i="87"/>
  <c r="K2" i="87"/>
  <c r="K3" i="87"/>
  <c r="Q1154" i="63"/>
  <c r="Q1155" i="63"/>
  <c r="Q1156" i="63"/>
  <c r="Q1157" i="63"/>
  <c r="Q1170" i="63"/>
  <c r="Q1171" i="63"/>
  <c r="Q1172" i="63"/>
  <c r="Q1182" i="63"/>
  <c r="Q1183" i="63"/>
  <c r="Q1184" i="63"/>
  <c r="Q1185" i="63"/>
  <c r="Q1186" i="63"/>
  <c r="Q1187" i="63"/>
  <c r="Q1188" i="63"/>
  <c r="Q1189" i="63"/>
  <c r="Q1190" i="63"/>
  <c r="Q1191" i="63"/>
  <c r="Q1192" i="63"/>
  <c r="Q1193" i="63"/>
  <c r="Q1194" i="63"/>
  <c r="Q1195" i="63"/>
  <c r="Q1196" i="63"/>
  <c r="Q1197" i="63"/>
  <c r="Q1153" i="63"/>
  <c r="N1154" i="63"/>
  <c r="N1155" i="63"/>
  <c r="N1156" i="63"/>
  <c r="N1157" i="63"/>
  <c r="N1158" i="63"/>
  <c r="N1159" i="63"/>
  <c r="N1160" i="63"/>
  <c r="N1161" i="63"/>
  <c r="N1162" i="63"/>
  <c r="N1163" i="63"/>
  <c r="N1164" i="63"/>
  <c r="N1165" i="63"/>
  <c r="N1166" i="63"/>
  <c r="N1167" i="63"/>
  <c r="N1168" i="63"/>
  <c r="N1169" i="63"/>
  <c r="N1170" i="63"/>
  <c r="N1171" i="63"/>
  <c r="N1172" i="63"/>
  <c r="N1173" i="63"/>
  <c r="N1174" i="63"/>
  <c r="N1175" i="63"/>
  <c r="N1176" i="63"/>
  <c r="N1177" i="63"/>
  <c r="N1178" i="63"/>
  <c r="N1179" i="63"/>
  <c r="N1180" i="63"/>
  <c r="N1181" i="63"/>
  <c r="N1182" i="63"/>
  <c r="N1183" i="63"/>
  <c r="N1184" i="63"/>
  <c r="N1185" i="63"/>
  <c r="N1186" i="63"/>
  <c r="N1187" i="63"/>
  <c r="N1188" i="63"/>
  <c r="N1189" i="63"/>
  <c r="N1190" i="63"/>
  <c r="N1191" i="63"/>
  <c r="N1192" i="63"/>
  <c r="N1193" i="63"/>
  <c r="N1194" i="63"/>
  <c r="N1195" i="63"/>
  <c r="N1196" i="63"/>
  <c r="N1197" i="63"/>
  <c r="N1153" i="63"/>
  <c r="L1154" i="63"/>
  <c r="L1155" i="63"/>
  <c r="L1156" i="63"/>
  <c r="L1157" i="63"/>
  <c r="L1158" i="63"/>
  <c r="L1159" i="63"/>
  <c r="L1160" i="63"/>
  <c r="L1161" i="63"/>
  <c r="L1162" i="63"/>
  <c r="L1163" i="63"/>
  <c r="L1164" i="63"/>
  <c r="L1165" i="63"/>
  <c r="L1166" i="63"/>
  <c r="L1167" i="63"/>
  <c r="L1168" i="63"/>
  <c r="L1169" i="63"/>
  <c r="L1170" i="63"/>
  <c r="L1171" i="63"/>
  <c r="L1172" i="63"/>
  <c r="L1173" i="63"/>
  <c r="L1174" i="63"/>
  <c r="L1175" i="63"/>
  <c r="L1176" i="63"/>
  <c r="L1177" i="63"/>
  <c r="L1178" i="63"/>
  <c r="L1180" i="63"/>
  <c r="L1181" i="63"/>
  <c r="L1182" i="63"/>
  <c r="L1183" i="63"/>
  <c r="L1184" i="63"/>
  <c r="L1185" i="63"/>
  <c r="L1186" i="63"/>
  <c r="L1187" i="63"/>
  <c r="L1188" i="63"/>
  <c r="L1189" i="63"/>
  <c r="L1190" i="63"/>
  <c r="L1191" i="63"/>
  <c r="L1192" i="63"/>
  <c r="L1193" i="63"/>
  <c r="L1194" i="63"/>
  <c r="L1195" i="63"/>
  <c r="L1153" i="63"/>
  <c r="N1149" i="63"/>
  <c r="P1146" i="63"/>
  <c r="O1146" i="63"/>
  <c r="N1146" i="63"/>
  <c r="S1145" i="63"/>
  <c r="Q1145" i="63"/>
  <c r="P1145" i="63"/>
  <c r="O1145" i="63"/>
  <c r="N1145" i="63"/>
  <c r="P1144" i="63"/>
  <c r="O1144" i="63"/>
  <c r="N1144" i="63"/>
  <c r="P1143" i="63"/>
  <c r="O1143" i="63"/>
  <c r="N1143" i="63"/>
  <c r="P1142" i="63"/>
  <c r="O1142" i="63"/>
  <c r="N1142" i="63"/>
  <c r="S1141" i="63"/>
  <c r="P1141" i="63"/>
  <c r="O1141" i="63"/>
  <c r="N1141" i="63"/>
  <c r="S1140" i="63"/>
  <c r="Q1140" i="63"/>
  <c r="P1140" i="63"/>
  <c r="O1140" i="63"/>
  <c r="N1140" i="63"/>
  <c r="S1139" i="63"/>
  <c r="R1139" i="63"/>
  <c r="Q1139" i="63"/>
  <c r="P1139" i="63"/>
  <c r="O1139" i="63"/>
  <c r="N1139" i="63"/>
  <c r="M1139" i="63"/>
  <c r="L1139" i="63"/>
  <c r="O1135" i="63"/>
  <c r="N1135" i="63"/>
  <c r="M1135" i="63"/>
  <c r="L1135" i="63"/>
  <c r="O1134" i="63"/>
  <c r="N1134" i="63"/>
  <c r="M1134" i="63"/>
  <c r="L1134" i="63"/>
  <c r="N1133" i="63"/>
  <c r="M1133" i="63"/>
  <c r="L1133" i="63"/>
  <c r="N1132" i="63"/>
  <c r="M1132" i="63"/>
  <c r="L1132" i="63"/>
  <c r="N1131" i="63"/>
  <c r="M1131" i="63"/>
  <c r="L1131" i="63"/>
  <c r="O1130" i="63"/>
  <c r="N1130" i="63"/>
  <c r="M1130" i="63"/>
  <c r="L1130" i="63"/>
  <c r="N1129" i="63"/>
  <c r="M1129" i="63"/>
  <c r="L1129" i="63"/>
  <c r="O1127" i="63"/>
  <c r="N1127" i="63"/>
  <c r="M1127" i="63"/>
  <c r="L1127" i="63"/>
  <c r="O1126" i="63"/>
  <c r="N1126" i="63"/>
  <c r="M1126" i="63"/>
  <c r="L1126" i="63"/>
  <c r="N1125" i="63"/>
  <c r="M1125" i="63"/>
  <c r="L1125" i="63"/>
  <c r="N1124" i="63"/>
  <c r="M1124" i="63"/>
  <c r="L1124" i="63"/>
  <c r="N1123" i="63"/>
  <c r="M1123" i="63"/>
  <c r="L1123" i="63"/>
  <c r="O1122" i="63"/>
  <c r="N1122" i="63"/>
  <c r="M1122" i="63"/>
  <c r="L1122" i="63"/>
  <c r="N1121" i="63"/>
  <c r="M1121" i="63"/>
  <c r="L1121" i="63"/>
  <c r="O1119" i="63"/>
  <c r="N1119" i="63"/>
  <c r="M1119" i="63"/>
  <c r="L1119" i="63"/>
  <c r="O1118" i="63"/>
  <c r="N1118" i="63"/>
  <c r="M1118" i="63"/>
  <c r="L1118" i="63"/>
  <c r="N1117" i="63"/>
  <c r="M1117" i="63"/>
  <c r="L1117" i="63"/>
  <c r="N1116" i="63"/>
  <c r="M1116" i="63"/>
  <c r="L1116" i="63"/>
  <c r="N1115" i="63"/>
  <c r="M1115" i="63"/>
  <c r="L1115" i="63"/>
  <c r="O1114" i="63"/>
  <c r="N1114" i="63"/>
  <c r="M1114" i="63"/>
  <c r="L1114" i="63"/>
  <c r="N1113" i="63"/>
  <c r="M1113" i="63"/>
  <c r="L1113" i="63"/>
  <c r="O1112" i="63"/>
  <c r="N1112" i="63"/>
  <c r="L1112" i="63"/>
  <c r="S1109" i="63"/>
  <c r="R1109" i="63"/>
  <c r="Q1109" i="63"/>
  <c r="P1109" i="63"/>
  <c r="O1109" i="63"/>
  <c r="N1109" i="63"/>
  <c r="M1109" i="63"/>
  <c r="L1109" i="63"/>
  <c r="S1108" i="63"/>
  <c r="R1108" i="63"/>
  <c r="Q1108" i="63"/>
  <c r="P1108" i="63"/>
  <c r="O1108" i="63"/>
  <c r="N1108" i="63"/>
  <c r="M1108" i="63"/>
  <c r="L1108" i="63"/>
  <c r="S1107" i="63"/>
  <c r="R1107" i="63"/>
  <c r="Q1107" i="63"/>
  <c r="P1107" i="63"/>
  <c r="O1107" i="63"/>
  <c r="N1107" i="63"/>
  <c r="M1107" i="63"/>
  <c r="L1107" i="63"/>
  <c r="S1106" i="63"/>
  <c r="R1106" i="63"/>
  <c r="Q1106" i="63"/>
  <c r="P1106" i="63"/>
  <c r="O1106" i="63"/>
  <c r="N1106" i="63"/>
  <c r="M1106" i="63"/>
  <c r="L1106" i="63"/>
  <c r="S1105" i="63"/>
  <c r="R1105" i="63"/>
  <c r="Q1105" i="63"/>
  <c r="P1105" i="63"/>
  <c r="O1105" i="63"/>
  <c r="N1105" i="63"/>
  <c r="M1105" i="63"/>
  <c r="L1105" i="63"/>
  <c r="S1104" i="63"/>
  <c r="R1104" i="63"/>
  <c r="Q1104" i="63"/>
  <c r="P1104" i="63"/>
  <c r="O1104" i="63"/>
  <c r="N1104" i="63"/>
  <c r="M1104" i="63"/>
  <c r="L1104" i="63"/>
  <c r="S1103" i="63"/>
  <c r="R1103" i="63"/>
  <c r="Q1103" i="63"/>
  <c r="P1103" i="63"/>
  <c r="O1103" i="63"/>
  <c r="N1103" i="63"/>
  <c r="M1103" i="63"/>
  <c r="L1103" i="63"/>
  <c r="S1102" i="63"/>
  <c r="R1102" i="63"/>
  <c r="Q1102" i="63"/>
  <c r="P1102" i="63"/>
  <c r="O1102" i="63"/>
  <c r="N1102" i="63"/>
  <c r="M1102" i="63"/>
  <c r="L1102" i="63"/>
  <c r="S1101" i="63"/>
  <c r="R1101" i="63"/>
  <c r="Q1101" i="63"/>
  <c r="P1101" i="63"/>
  <c r="O1101" i="63"/>
  <c r="N1101" i="63"/>
  <c r="M1101" i="63"/>
  <c r="L1101" i="63"/>
  <c r="S1100" i="63"/>
  <c r="R1100" i="63"/>
  <c r="Q1100" i="63"/>
  <c r="P1100" i="63"/>
  <c r="O1100" i="63"/>
  <c r="N1100" i="63"/>
  <c r="M1100" i="63"/>
  <c r="L1100" i="63"/>
  <c r="S1099" i="63"/>
  <c r="R1099" i="63"/>
  <c r="Q1099" i="63"/>
  <c r="P1099" i="63"/>
  <c r="O1099" i="63"/>
  <c r="N1099" i="63"/>
  <c r="M1099" i="63"/>
  <c r="L1099" i="63"/>
  <c r="S1098" i="63"/>
  <c r="R1098" i="63"/>
  <c r="Q1098" i="63"/>
  <c r="P1098" i="63"/>
  <c r="O1098" i="63"/>
  <c r="N1098" i="63"/>
  <c r="M1098" i="63"/>
  <c r="L1098" i="63"/>
  <c r="S1097" i="63"/>
  <c r="R1097" i="63"/>
  <c r="Q1097" i="63"/>
  <c r="P1097" i="63"/>
  <c r="O1097" i="63"/>
  <c r="N1097" i="63"/>
  <c r="M1097" i="63"/>
  <c r="L1097" i="63"/>
  <c r="O1094" i="63"/>
  <c r="N1094" i="63"/>
  <c r="M1094" i="63"/>
  <c r="L1094" i="63"/>
  <c r="O1093" i="63"/>
  <c r="N1093" i="63"/>
  <c r="M1093" i="63"/>
  <c r="L1093" i="63"/>
  <c r="O1092" i="63"/>
  <c r="N1092" i="63"/>
  <c r="M1092" i="63"/>
  <c r="L1092" i="63"/>
  <c r="O1091" i="63"/>
  <c r="N1091" i="63"/>
  <c r="M1091" i="63"/>
  <c r="L1091" i="63"/>
  <c r="O1090" i="63"/>
  <c r="N1090" i="63"/>
  <c r="M1090" i="63"/>
  <c r="L1090" i="63"/>
  <c r="O1089" i="63"/>
  <c r="N1089" i="63"/>
  <c r="M1089" i="63"/>
  <c r="L1089" i="63"/>
  <c r="O1088" i="63"/>
  <c r="N1088" i="63"/>
  <c r="M1088" i="63"/>
  <c r="L1088" i="63"/>
  <c r="O1087" i="63"/>
  <c r="N1087" i="63"/>
  <c r="M1087" i="63"/>
  <c r="L1087" i="63"/>
  <c r="O1086" i="63"/>
  <c r="N1086" i="63"/>
  <c r="M1086" i="63"/>
  <c r="L1086" i="63"/>
  <c r="L1085" i="63"/>
  <c r="N1082" i="63"/>
  <c r="M1082" i="63"/>
  <c r="L1082" i="63"/>
  <c r="N1081" i="63"/>
  <c r="M1081" i="63"/>
  <c r="L1081" i="63"/>
  <c r="N1080" i="63"/>
  <c r="M1080" i="63"/>
  <c r="L1080" i="63"/>
  <c r="N1079" i="63"/>
  <c r="M1079" i="63"/>
  <c r="L1079" i="63"/>
  <c r="L1077" i="63"/>
  <c r="L1076" i="63"/>
  <c r="L1075" i="63"/>
  <c r="L1074" i="63"/>
  <c r="L1073" i="63"/>
  <c r="L1072" i="63"/>
  <c r="L1071" i="63"/>
  <c r="L1070" i="63"/>
  <c r="L1069" i="63"/>
  <c r="L1067" i="63"/>
  <c r="L1066" i="63"/>
  <c r="L1065" i="63"/>
  <c r="L1064" i="63"/>
  <c r="M1072" i="63"/>
  <c r="M1071" i="63"/>
  <c r="M1070" i="63"/>
  <c r="M1069" i="63"/>
  <c r="M1067" i="63"/>
  <c r="M1066" i="63"/>
  <c r="M1065" i="63"/>
  <c r="M1064" i="63"/>
  <c r="R1060" i="63"/>
  <c r="R1057" i="63"/>
  <c r="R1054" i="63"/>
  <c r="Q1060" i="63"/>
  <c r="Q1058" i="63"/>
  <c r="Q1057" i="63"/>
  <c r="Q1056" i="63"/>
  <c r="Q1054" i="63"/>
  <c r="O1058" i="63"/>
  <c r="O1057" i="63"/>
  <c r="O1056" i="63"/>
  <c r="O1054" i="63"/>
  <c r="N1057" i="63"/>
  <c r="M1059" i="63"/>
  <c r="M1053" i="63"/>
  <c r="L1053" i="63"/>
  <c r="Q1045" i="63"/>
  <c r="R1045" i="63"/>
  <c r="Q1046" i="63"/>
  <c r="R1046" i="63"/>
  <c r="Q1047" i="63"/>
  <c r="R1047" i="63"/>
  <c r="Q1048" i="63"/>
  <c r="R1048" i="63"/>
  <c r="Q1049" i="63"/>
  <c r="R1049" i="63"/>
  <c r="Q1050" i="63"/>
  <c r="R1050" i="63"/>
  <c r="P1045" i="63"/>
  <c r="P1046" i="63"/>
  <c r="P1047" i="63"/>
  <c r="P1048" i="63"/>
  <c r="P1049" i="63"/>
  <c r="P1050" i="63"/>
  <c r="R1044" i="63"/>
  <c r="Q1044" i="63"/>
  <c r="P1044" i="63"/>
  <c r="O1044" i="63"/>
  <c r="N1045" i="63"/>
  <c r="N1046" i="63"/>
  <c r="N1047" i="63"/>
  <c r="N1048" i="63"/>
  <c r="N1049" i="63"/>
  <c r="N1050" i="63"/>
  <c r="M1046" i="63"/>
  <c r="M1047" i="63"/>
  <c r="M1048" i="63"/>
  <c r="M1049" i="63"/>
  <c r="M1050" i="63"/>
  <c r="L1045" i="63"/>
  <c r="M1045" i="63"/>
  <c r="N1044" i="63"/>
  <c r="M1044" i="63"/>
  <c r="M1022" i="63"/>
  <c r="N1022" i="63"/>
  <c r="M1023" i="63"/>
  <c r="N1023" i="63"/>
  <c r="M1024" i="63"/>
  <c r="N1024" i="63"/>
  <c r="M1025" i="63"/>
  <c r="N1025" i="63"/>
  <c r="M1026" i="63"/>
  <c r="M1027" i="63"/>
  <c r="N1027" i="63"/>
  <c r="M1028" i="63"/>
  <c r="N1028" i="63"/>
  <c r="M1029" i="63"/>
  <c r="N1029" i="63"/>
  <c r="M1030" i="63"/>
  <c r="N1030" i="63"/>
  <c r="N1031" i="63"/>
  <c r="N1032" i="63"/>
  <c r="M1033" i="63"/>
  <c r="N1033" i="63"/>
  <c r="M1034" i="63"/>
  <c r="N1034" i="63"/>
  <c r="N1035" i="63"/>
  <c r="M1036" i="63"/>
  <c r="N1036" i="63"/>
  <c r="M1037" i="63"/>
  <c r="N1037" i="63"/>
  <c r="M1038" i="63"/>
  <c r="N1038" i="63"/>
  <c r="M1039" i="63"/>
  <c r="N1039" i="63"/>
  <c r="M1040" i="63"/>
  <c r="N1040" i="63"/>
  <c r="M1041" i="63"/>
  <c r="N1041" i="63"/>
  <c r="M1042" i="63"/>
  <c r="N1042" i="63"/>
  <c r="M1043" i="63"/>
  <c r="N1043" i="63"/>
  <c r="L1023" i="63"/>
  <c r="L1024" i="63"/>
  <c r="L1025" i="63"/>
  <c r="L1026" i="63"/>
  <c r="L1027" i="63"/>
  <c r="L1028" i="63"/>
  <c r="L1029" i="63"/>
  <c r="L1030" i="63"/>
  <c r="L1031" i="63"/>
  <c r="L1032" i="63"/>
  <c r="L1033" i="63"/>
  <c r="L1034" i="63"/>
  <c r="L1035" i="63"/>
  <c r="L1036" i="63"/>
  <c r="L1037" i="63"/>
  <c r="L1038" i="63"/>
  <c r="L1040" i="63"/>
  <c r="L1042" i="63"/>
  <c r="L1043" i="63"/>
  <c r="N1016" i="63"/>
  <c r="N1017" i="63"/>
  <c r="N1018" i="63"/>
  <c r="N1019" i="63"/>
  <c r="N1015" i="63"/>
  <c r="M1016" i="63"/>
  <c r="M1017" i="63"/>
  <c r="M1018" i="63"/>
  <c r="M1019" i="63"/>
  <c r="M1015" i="63"/>
  <c r="O1007" i="63"/>
  <c r="O1008" i="63"/>
  <c r="O1009" i="63"/>
  <c r="O1010" i="63"/>
  <c r="O1011" i="63"/>
  <c r="O1012" i="63"/>
  <c r="O1013" i="63"/>
  <c r="N1005" i="63"/>
  <c r="N1006" i="63"/>
  <c r="N1007" i="63"/>
  <c r="N1008" i="63"/>
  <c r="N1009" i="63"/>
  <c r="N1010" i="63"/>
  <c r="N1011" i="63"/>
  <c r="N1012" i="63"/>
  <c r="N1013" i="63"/>
  <c r="N1004" i="63"/>
  <c r="L1016" i="63"/>
  <c r="L1017" i="63"/>
  <c r="L1018" i="63"/>
  <c r="L1019" i="63"/>
  <c r="L1020" i="63"/>
  <c r="L1022" i="63"/>
  <c r="L1015" i="63"/>
  <c r="L1004" i="63"/>
  <c r="L1005" i="63"/>
  <c r="L1006" i="63"/>
  <c r="L1007" i="63"/>
  <c r="L1008" i="63"/>
  <c r="L1009" i="63"/>
  <c r="L1010" i="63"/>
  <c r="L1011" i="63"/>
  <c r="L1012" i="63"/>
  <c r="L1013" i="63"/>
  <c r="L1003" i="63"/>
  <c r="Q1181" i="63"/>
  <c r="Q1180" i="63"/>
  <c r="Q1179" i="63"/>
  <c r="Q1178" i="63"/>
  <c r="Q1177" i="63"/>
  <c r="Q1176" i="63"/>
  <c r="Q1175" i="63"/>
  <c r="Q1174" i="63"/>
  <c r="Q1173" i="63"/>
  <c r="Q1169" i="63"/>
  <c r="Q1168" i="63"/>
  <c r="Q1167" i="63"/>
  <c r="Q1166" i="63"/>
  <c r="Q1165" i="63"/>
  <c r="Q1164" i="63"/>
  <c r="Q1163" i="63"/>
  <c r="Q1162" i="63"/>
  <c r="Q1161" i="63"/>
  <c r="Q1160" i="63"/>
  <c r="Q1159" i="63"/>
  <c r="Q1158" i="63"/>
  <c r="R1146" i="63"/>
  <c r="M1146" i="63"/>
  <c r="L1146" i="63"/>
  <c r="R1145" i="63"/>
  <c r="M1145" i="63"/>
  <c r="L1145" i="63"/>
  <c r="R1142" i="63"/>
  <c r="M1144" i="63"/>
  <c r="L1144" i="63"/>
  <c r="S1146" i="63"/>
  <c r="R1143" i="63"/>
  <c r="M1143" i="63"/>
  <c r="L1143" i="63"/>
  <c r="S1144" i="63"/>
  <c r="M1142" i="63"/>
  <c r="L1142" i="63"/>
  <c r="L1141" i="63"/>
  <c r="M1141" i="63"/>
  <c r="L1140" i="63"/>
  <c r="M1076" i="63"/>
  <c r="M1075" i="63"/>
  <c r="M1074" i="63"/>
  <c r="M1073" i="63"/>
  <c r="L1068" i="63"/>
  <c r="R1061" i="63"/>
  <c r="Q1061" i="63"/>
  <c r="M1061" i="63"/>
  <c r="M1060" i="63"/>
  <c r="N1054" i="63"/>
  <c r="L1046" i="63"/>
  <c r="M1035" i="63"/>
  <c r="M1032" i="63"/>
  <c r="M1031" i="63"/>
  <c r="M1013" i="63"/>
  <c r="M1012" i="63"/>
  <c r="M1011" i="63"/>
  <c r="M1010" i="63"/>
  <c r="M1009" i="63"/>
  <c r="M1008" i="63"/>
  <c r="M1007" i="63"/>
  <c r="O1005" i="63"/>
  <c r="M1004" i="63"/>
  <c r="L1306" i="63"/>
  <c r="L265" i="63"/>
  <c r="M265" i="63"/>
  <c r="N265" i="63"/>
  <c r="O265" i="63"/>
  <c r="S265" i="63"/>
  <c r="U265" i="63" s="1"/>
  <c r="W265" i="63"/>
  <c r="L266" i="63"/>
  <c r="M266" i="63"/>
  <c r="N266" i="63"/>
  <c r="O266" i="63"/>
  <c r="S266" i="63"/>
  <c r="U266" i="63" s="1"/>
  <c r="W266" i="63"/>
  <c r="L267" i="63"/>
  <c r="M267" i="63"/>
  <c r="N267" i="63"/>
  <c r="O267" i="63"/>
  <c r="S267" i="63"/>
  <c r="U267" i="63" s="1"/>
  <c r="W267" i="63"/>
  <c r="L268" i="63"/>
  <c r="M268" i="63"/>
  <c r="N268" i="63"/>
  <c r="O268" i="63"/>
  <c r="S268" i="63"/>
  <c r="U268" i="63" s="1"/>
  <c r="W268" i="63"/>
  <c r="L269" i="63"/>
  <c r="M269" i="63"/>
  <c r="N269" i="63"/>
  <c r="O269" i="63"/>
  <c r="S269" i="63"/>
  <c r="U269" i="63" s="1"/>
  <c r="W269" i="63"/>
  <c r="L270" i="63"/>
  <c r="M270" i="63"/>
  <c r="N270" i="63"/>
  <c r="O270" i="63"/>
  <c r="S270" i="63"/>
  <c r="U270" i="63" s="1"/>
  <c r="W270" i="63"/>
  <c r="L271" i="63"/>
  <c r="M271" i="63"/>
  <c r="N271" i="63"/>
  <c r="O271" i="63"/>
  <c r="S271" i="63"/>
  <c r="U271" i="63" s="1"/>
  <c r="W271" i="63"/>
  <c r="L272" i="63"/>
  <c r="M272" i="63"/>
  <c r="N272" i="63"/>
  <c r="O272" i="63"/>
  <c r="S272" i="63"/>
  <c r="U272" i="63" s="1"/>
  <c r="W272" i="63"/>
  <c r="L273" i="63"/>
  <c r="M273" i="63"/>
  <c r="N273" i="63"/>
  <c r="O273" i="63"/>
  <c r="S273" i="63"/>
  <c r="U273" i="63" s="1"/>
  <c r="W273" i="63"/>
  <c r="Y265" i="63"/>
  <c r="Y266" i="63"/>
  <c r="Y267" i="63"/>
  <c r="Y268" i="63"/>
  <c r="Y269" i="63"/>
  <c r="Y270" i="63"/>
  <c r="Y271" i="63"/>
  <c r="Y272" i="63"/>
  <c r="Y273" i="63"/>
  <c r="AC265" i="63"/>
  <c r="R265" i="63" s="1"/>
  <c r="AC266" i="63"/>
  <c r="R266" i="63" s="1"/>
  <c r="AC267" i="63"/>
  <c r="R267" i="63" s="1"/>
  <c r="AC268" i="63"/>
  <c r="R268" i="63" s="1"/>
  <c r="AC269" i="63"/>
  <c r="R269" i="63" s="1"/>
  <c r="AC270" i="63"/>
  <c r="R270" i="63" s="1"/>
  <c r="AC271" i="63"/>
  <c r="R271" i="63" s="1"/>
  <c r="AC272" i="63"/>
  <c r="R272" i="63" s="1"/>
  <c r="AC273" i="63"/>
  <c r="R273" i="63" s="1"/>
  <c r="AF265" i="63"/>
  <c r="AF266" i="63"/>
  <c r="AF267" i="63"/>
  <c r="AF268" i="63"/>
  <c r="AF269" i="63"/>
  <c r="AF270" i="63"/>
  <c r="AF271" i="63"/>
  <c r="AF272" i="63"/>
  <c r="AF273" i="63"/>
  <c r="L812" i="63"/>
  <c r="M812" i="63"/>
  <c r="N812" i="63"/>
  <c r="O812" i="63"/>
  <c r="S812" i="63"/>
  <c r="U812" i="63" s="1"/>
  <c r="W812" i="63"/>
  <c r="Y812" i="63"/>
  <c r="AC812" i="63"/>
  <c r="R812" i="63" s="1"/>
  <c r="AF812" i="63"/>
  <c r="L813" i="63"/>
  <c r="M813" i="63"/>
  <c r="N813" i="63"/>
  <c r="O813" i="63"/>
  <c r="S813" i="63"/>
  <c r="U813" i="63" s="1"/>
  <c r="W813" i="63"/>
  <c r="Y813" i="63"/>
  <c r="AC813" i="63"/>
  <c r="R813" i="63" s="1"/>
  <c r="AF813" i="63"/>
  <c r="L814" i="63"/>
  <c r="M814" i="63"/>
  <c r="N814" i="63"/>
  <c r="O814" i="63"/>
  <c r="S814" i="63"/>
  <c r="U814" i="63" s="1"/>
  <c r="W814" i="63"/>
  <c r="Y814" i="63"/>
  <c r="AC814" i="63"/>
  <c r="R814" i="63" s="1"/>
  <c r="AF814" i="63"/>
  <c r="L815" i="63"/>
  <c r="M815" i="63"/>
  <c r="N815" i="63"/>
  <c r="O815" i="63"/>
  <c r="S815" i="63"/>
  <c r="U815" i="63" s="1"/>
  <c r="W815" i="63"/>
  <c r="Y815" i="63"/>
  <c r="AC815" i="63"/>
  <c r="R815" i="63" s="1"/>
  <c r="AF815" i="63"/>
  <c r="L816" i="63"/>
  <c r="M816" i="63"/>
  <c r="N816" i="63"/>
  <c r="O816" i="63"/>
  <c r="S816" i="63"/>
  <c r="U816" i="63" s="1"/>
  <c r="W816" i="63"/>
  <c r="Y816" i="63"/>
  <c r="AC816" i="63"/>
  <c r="R816" i="63" s="1"/>
  <c r="AF816" i="63"/>
  <c r="A1049" i="63" l="1"/>
  <c r="A1048" i="63"/>
  <c r="A1047" i="63"/>
  <c r="A1050" i="63"/>
  <c r="L42" i="2"/>
  <c r="L43" i="2"/>
  <c r="L44" i="2"/>
  <c r="L45" i="2"/>
  <c r="L46" i="2"/>
  <c r="L47" i="2"/>
  <c r="L48" i="2"/>
  <c r="P326" i="27"/>
  <c r="P292" i="27"/>
  <c r="P291" i="27"/>
  <c r="P327" i="27"/>
  <c r="P364" i="27"/>
  <c r="P368" i="27"/>
  <c r="P328" i="27"/>
  <c r="P290" i="27"/>
  <c r="P367" i="27"/>
  <c r="P366" i="27"/>
  <c r="P330" i="27"/>
  <c r="P329" i="27"/>
  <c r="P289" i="27"/>
  <c r="P365" i="27"/>
  <c r="P288" i="27"/>
  <c r="P37" i="27"/>
  <c r="P34" i="27"/>
  <c r="P36" i="27"/>
  <c r="P38" i="27"/>
  <c r="P35" i="27"/>
  <c r="P623" i="27"/>
  <c r="P622" i="27"/>
  <c r="P624" i="27"/>
  <c r="P625" i="27"/>
  <c r="P626" i="27"/>
  <c r="O327" i="27"/>
  <c r="O368" i="27"/>
  <c r="K364" i="27"/>
  <c r="O364" i="27"/>
  <c r="K328" i="27"/>
  <c r="K291" i="27"/>
  <c r="K292" i="27"/>
  <c r="O290" i="27"/>
  <c r="O292" i="27"/>
  <c r="K368" i="27"/>
  <c r="O329" i="27"/>
  <c r="O366" i="27"/>
  <c r="K288" i="27"/>
  <c r="K366" i="27"/>
  <c r="O326" i="27"/>
  <c r="K365" i="27"/>
  <c r="O289" i="27"/>
  <c r="O367" i="27"/>
  <c r="K326" i="27"/>
  <c r="K290" i="27"/>
  <c r="O291" i="27"/>
  <c r="K329" i="27"/>
  <c r="O328" i="27"/>
  <c r="O288" i="27"/>
  <c r="O365" i="27"/>
  <c r="K327" i="27"/>
  <c r="K330" i="27"/>
  <c r="K289" i="27"/>
  <c r="O330" i="27"/>
  <c r="K367" i="27"/>
  <c r="I326" i="27"/>
  <c r="I288" i="27"/>
  <c r="I364" i="27"/>
  <c r="I289" i="27"/>
  <c r="I327" i="27"/>
  <c r="I365" i="27"/>
  <c r="I328" i="27"/>
  <c r="I366" i="27"/>
  <c r="I290" i="27"/>
  <c r="I368" i="27"/>
  <c r="I330" i="27"/>
  <c r="I292" i="27"/>
  <c r="I329" i="27"/>
  <c r="I291" i="27"/>
  <c r="I367" i="27"/>
  <c r="P679" i="27"/>
  <c r="P678" i="27"/>
  <c r="P664" i="27"/>
  <c r="P660" i="27"/>
  <c r="P677" i="27"/>
  <c r="P663" i="27"/>
  <c r="P676" i="27"/>
  <c r="P662" i="27"/>
  <c r="P675" i="27"/>
  <c r="P661" i="27"/>
  <c r="H220" i="60"/>
  <c r="H221" i="60"/>
  <c r="K221" i="60" s="1"/>
  <c r="H205" i="60"/>
  <c r="K205" i="60" s="1"/>
  <c r="H190" i="60"/>
  <c r="K190" i="60" s="1"/>
  <c r="H175" i="60"/>
  <c r="K175" i="60" s="1"/>
  <c r="H160" i="60"/>
  <c r="K160" i="60" s="1"/>
  <c r="H222" i="60"/>
  <c r="K222" i="60" s="1"/>
  <c r="H206" i="60"/>
  <c r="K206" i="60" s="1"/>
  <c r="H191" i="60"/>
  <c r="K191" i="60" s="1"/>
  <c r="H176" i="60"/>
  <c r="K176" i="60" s="1"/>
  <c r="H161" i="60"/>
  <c r="K161" i="60" s="1"/>
  <c r="H223" i="60"/>
  <c r="K223" i="60" s="1"/>
  <c r="H207" i="60"/>
  <c r="K207" i="60" s="1"/>
  <c r="H192" i="60"/>
  <c r="K192" i="60" s="1"/>
  <c r="H177" i="60"/>
  <c r="K177" i="60" s="1"/>
  <c r="H162" i="60"/>
  <c r="K162" i="60" s="1"/>
  <c r="H108" i="60"/>
  <c r="H93" i="60"/>
  <c r="H94" i="60"/>
  <c r="H78" i="60"/>
  <c r="H63" i="60"/>
  <c r="H64" i="60"/>
  <c r="H49" i="60"/>
  <c r="H48" i="60"/>
  <c r="H224" i="60"/>
  <c r="K224" i="60" s="1"/>
  <c r="H208" i="60"/>
  <c r="K208" i="60" s="1"/>
  <c r="H193" i="60"/>
  <c r="K193" i="60" s="1"/>
  <c r="H178" i="60"/>
  <c r="K178" i="60" s="1"/>
  <c r="H163" i="60"/>
  <c r="K163" i="60" s="1"/>
  <c r="H146" i="60"/>
  <c r="K146" i="60" s="1"/>
  <c r="H149" i="60"/>
  <c r="K149" i="60" s="1"/>
  <c r="H145" i="60"/>
  <c r="K145" i="60" s="1"/>
  <c r="H130" i="60"/>
  <c r="H133" i="60"/>
  <c r="H135" i="60"/>
  <c r="H131" i="60"/>
  <c r="H134" i="60"/>
  <c r="H132" i="60"/>
  <c r="H119" i="60"/>
  <c r="H121" i="60"/>
  <c r="H116" i="60"/>
  <c r="H117" i="60"/>
  <c r="H115" i="60"/>
  <c r="H120" i="60"/>
  <c r="H118" i="60"/>
  <c r="H104" i="60"/>
  <c r="H110" i="60"/>
  <c r="H100" i="60"/>
  <c r="H106" i="60"/>
  <c r="H107" i="60"/>
  <c r="H105" i="60"/>
  <c r="H102" i="60"/>
  <c r="H103" i="60"/>
  <c r="H101" i="60"/>
  <c r="H109" i="60"/>
  <c r="H92" i="60"/>
  <c r="H90" i="60"/>
  <c r="H91" i="60"/>
  <c r="H85" i="60"/>
  <c r="H88" i="60"/>
  <c r="H86" i="60"/>
  <c r="H87" i="60"/>
  <c r="H95" i="60"/>
  <c r="H89" i="60"/>
  <c r="H75" i="60"/>
  <c r="H74" i="60"/>
  <c r="H71" i="60"/>
  <c r="H70" i="60"/>
  <c r="H73" i="60"/>
  <c r="H76" i="60"/>
  <c r="H72" i="60"/>
  <c r="H79" i="60"/>
  <c r="H77" i="60"/>
  <c r="H80" i="60"/>
  <c r="H81" i="60"/>
  <c r="H58" i="60"/>
  <c r="H60" i="60"/>
  <c r="H56" i="60"/>
  <c r="H61" i="60"/>
  <c r="H62" i="60"/>
  <c r="H59" i="60"/>
  <c r="H55" i="60"/>
  <c r="H57" i="60"/>
  <c r="H65" i="60"/>
  <c r="H47" i="60"/>
  <c r="H43" i="60"/>
  <c r="H44" i="60"/>
  <c r="H50" i="60"/>
  <c r="H45" i="60"/>
  <c r="H41" i="60"/>
  <c r="H46" i="60"/>
  <c r="H40" i="60"/>
  <c r="H42" i="60"/>
  <c r="H148" i="60"/>
  <c r="K148" i="60" s="1"/>
  <c r="H147" i="60"/>
  <c r="K147" i="60" s="1"/>
  <c r="H225" i="60"/>
  <c r="K225" i="60" s="1"/>
  <c r="H209" i="60"/>
  <c r="K209" i="60" s="1"/>
  <c r="H194" i="60"/>
  <c r="K194" i="60" s="1"/>
  <c r="H179" i="60"/>
  <c r="K179" i="60" s="1"/>
  <c r="H164" i="60"/>
  <c r="K164" i="60" s="1"/>
  <c r="H150" i="60"/>
  <c r="K150" i="60" s="1"/>
  <c r="H136" i="60"/>
  <c r="H122" i="60"/>
  <c r="H96" i="60"/>
  <c r="H66" i="60"/>
  <c r="H51" i="60"/>
  <c r="H226" i="60"/>
  <c r="K226" i="60" s="1"/>
  <c r="H210" i="60"/>
  <c r="K210" i="60" s="1"/>
  <c r="H195" i="60"/>
  <c r="K195" i="60" s="1"/>
  <c r="H180" i="60"/>
  <c r="K180" i="60" s="1"/>
  <c r="H165" i="60"/>
  <c r="K165" i="60" s="1"/>
  <c r="H151" i="60"/>
  <c r="K151" i="60" s="1"/>
  <c r="H137" i="60"/>
  <c r="H123" i="60"/>
  <c r="H112" i="60"/>
  <c r="H111" i="60"/>
  <c r="H98" i="60"/>
  <c r="H82" i="60"/>
  <c r="H67" i="60"/>
  <c r="H53" i="60"/>
  <c r="H227" i="60"/>
  <c r="K227" i="60" s="1"/>
  <c r="H211" i="60"/>
  <c r="K211" i="60" s="1"/>
  <c r="H196" i="60"/>
  <c r="K196" i="60" s="1"/>
  <c r="H181" i="60"/>
  <c r="K181" i="60" s="1"/>
  <c r="H166" i="60"/>
  <c r="K166" i="60" s="1"/>
  <c r="H152" i="60"/>
  <c r="K152" i="60" s="1"/>
  <c r="H138" i="60"/>
  <c r="H124" i="60"/>
  <c r="H113" i="60"/>
  <c r="H97" i="60"/>
  <c r="H83" i="60"/>
  <c r="H68" i="60"/>
  <c r="H52" i="60"/>
  <c r="H228" i="60"/>
  <c r="K228" i="60" s="1"/>
  <c r="H212" i="60"/>
  <c r="K212" i="60" s="1"/>
  <c r="H197" i="60"/>
  <c r="K197" i="60" s="1"/>
  <c r="H182" i="60"/>
  <c r="K182" i="60" s="1"/>
  <c r="H167" i="60"/>
  <c r="K167" i="60" s="1"/>
  <c r="H153" i="60"/>
  <c r="K153" i="60" s="1"/>
  <c r="H139" i="60"/>
  <c r="H125" i="60"/>
  <c r="H229" i="60"/>
  <c r="K229" i="60" s="1"/>
  <c r="H213" i="60"/>
  <c r="K213" i="60" s="1"/>
  <c r="H198" i="60"/>
  <c r="K198" i="60" s="1"/>
  <c r="H183" i="60"/>
  <c r="K183" i="60" s="1"/>
  <c r="H168" i="60"/>
  <c r="K168" i="60" s="1"/>
  <c r="H154" i="60"/>
  <c r="K154" i="60" s="1"/>
  <c r="H140" i="60"/>
  <c r="H126" i="60"/>
  <c r="H230" i="60"/>
  <c r="K230" i="60" s="1"/>
  <c r="H214" i="60"/>
  <c r="K214" i="60" s="1"/>
  <c r="H199" i="60"/>
  <c r="K199" i="60" s="1"/>
  <c r="H184" i="60"/>
  <c r="K184" i="60" s="1"/>
  <c r="H169" i="60"/>
  <c r="K169" i="60" s="1"/>
  <c r="H155" i="60"/>
  <c r="K155" i="60" s="1"/>
  <c r="H141" i="60"/>
  <c r="H127" i="60"/>
  <c r="H231" i="60"/>
  <c r="K231" i="60" s="1"/>
  <c r="H215" i="60"/>
  <c r="K215" i="60" s="1"/>
  <c r="H200" i="60"/>
  <c r="K200" i="60" s="1"/>
  <c r="H185" i="60"/>
  <c r="K185" i="60" s="1"/>
  <c r="H170" i="60"/>
  <c r="K170" i="60" s="1"/>
  <c r="H156" i="60"/>
  <c r="K156" i="60" s="1"/>
  <c r="H142" i="60"/>
  <c r="H128" i="60"/>
  <c r="H232" i="60"/>
  <c r="K232" i="60" s="1"/>
  <c r="H216" i="60"/>
  <c r="K216" i="60" s="1"/>
  <c r="H201" i="60"/>
  <c r="K201" i="60" s="1"/>
  <c r="H186" i="60"/>
  <c r="K186" i="60" s="1"/>
  <c r="H171" i="60"/>
  <c r="K171" i="60" s="1"/>
  <c r="H157" i="60"/>
  <c r="K157" i="60" s="1"/>
  <c r="H143" i="60"/>
  <c r="H233" i="60"/>
  <c r="H217" i="60"/>
  <c r="K217" i="60" s="1"/>
  <c r="H202" i="60"/>
  <c r="K202" i="60" s="1"/>
  <c r="H187" i="60"/>
  <c r="K187" i="60" s="1"/>
  <c r="H172" i="60"/>
  <c r="K172" i="60" s="1"/>
  <c r="H158" i="60"/>
  <c r="K158" i="60" s="1"/>
  <c r="H218" i="60"/>
  <c r="K218" i="60" s="1"/>
  <c r="H203" i="60"/>
  <c r="K203" i="60" s="1"/>
  <c r="H188" i="60"/>
  <c r="K188" i="60" s="1"/>
  <c r="H173" i="60"/>
  <c r="K173" i="60" s="1"/>
  <c r="H25" i="60"/>
  <c r="H10" i="60"/>
  <c r="H11" i="60"/>
  <c r="H26" i="60"/>
  <c r="H12" i="60"/>
  <c r="H27" i="60"/>
  <c r="H28" i="60"/>
  <c r="H13" i="60"/>
  <c r="H29" i="60"/>
  <c r="H14" i="60"/>
  <c r="H30" i="60"/>
  <c r="H15" i="60"/>
  <c r="H31" i="60"/>
  <c r="H16" i="60"/>
  <c r="H32" i="60"/>
  <c r="H17" i="60"/>
  <c r="H33" i="60"/>
  <c r="H34" i="60"/>
  <c r="H18" i="60"/>
  <c r="H19" i="60"/>
  <c r="H35" i="60"/>
  <c r="H20" i="60"/>
  <c r="H36" i="60"/>
  <c r="H22" i="60"/>
  <c r="H21" i="60"/>
  <c r="H37" i="60"/>
  <c r="H38" i="60"/>
  <c r="H23" i="60"/>
  <c r="I242" i="27"/>
  <c r="I227" i="27"/>
  <c r="I238" i="27"/>
  <c r="I223" i="27"/>
  <c r="I239" i="27"/>
  <c r="I224" i="27"/>
  <c r="I240" i="27"/>
  <c r="I225" i="27"/>
  <c r="I241" i="27"/>
  <c r="I226" i="27"/>
  <c r="K459" i="27"/>
  <c r="O459" i="27"/>
  <c r="K460" i="27"/>
  <c r="O460" i="27"/>
  <c r="K461" i="27"/>
  <c r="O461" i="27"/>
  <c r="K462" i="27"/>
  <c r="O462" i="27"/>
  <c r="K463" i="27"/>
  <c r="O463" i="27"/>
  <c r="K444" i="27"/>
  <c r="O444" i="27"/>
  <c r="K445" i="27"/>
  <c r="O445" i="27"/>
  <c r="K446" i="27"/>
  <c r="O446" i="27"/>
  <c r="K447" i="27"/>
  <c r="O447" i="27"/>
  <c r="K448" i="27"/>
  <c r="O448" i="27"/>
  <c r="K429" i="27"/>
  <c r="O429" i="27"/>
  <c r="K430" i="27"/>
  <c r="O430" i="27"/>
  <c r="K431" i="27"/>
  <c r="O431" i="27"/>
  <c r="K432" i="27"/>
  <c r="O432" i="27"/>
  <c r="K433" i="27"/>
  <c r="O433" i="27"/>
  <c r="K414" i="27"/>
  <c r="O414" i="27"/>
  <c r="K415" i="27"/>
  <c r="O415" i="27"/>
  <c r="K416" i="27"/>
  <c r="O416" i="27"/>
  <c r="K417" i="27"/>
  <c r="O417" i="27"/>
  <c r="K418" i="27"/>
  <c r="O418" i="27"/>
  <c r="K399" i="27"/>
  <c r="O399" i="27"/>
  <c r="K400" i="27"/>
  <c r="O400" i="27"/>
  <c r="K401" i="27"/>
  <c r="O401" i="27"/>
  <c r="K402" i="27"/>
  <c r="O402" i="27"/>
  <c r="K403" i="27"/>
  <c r="O403" i="27"/>
  <c r="K384" i="27"/>
  <c r="O384" i="27"/>
  <c r="K385" i="27"/>
  <c r="O385" i="27"/>
  <c r="K386" i="27"/>
  <c r="O386" i="27"/>
  <c r="K387" i="27"/>
  <c r="O387" i="27"/>
  <c r="K388" i="27"/>
  <c r="O388" i="27"/>
  <c r="K390" i="27"/>
  <c r="O390" i="27"/>
  <c r="K391" i="27"/>
  <c r="O391" i="27"/>
  <c r="K392" i="27"/>
  <c r="O392" i="27"/>
  <c r="K393" i="27"/>
  <c r="O393" i="27"/>
  <c r="K275" i="27"/>
  <c r="O275" i="27"/>
  <c r="K276" i="27"/>
  <c r="O276" i="27"/>
  <c r="K277" i="27"/>
  <c r="O277" i="27"/>
  <c r="K346" i="27"/>
  <c r="O346" i="27"/>
  <c r="K347" i="27"/>
  <c r="O347" i="27"/>
  <c r="K348" i="27"/>
  <c r="O348" i="27"/>
  <c r="K349" i="27"/>
  <c r="O349" i="27"/>
  <c r="K350" i="27"/>
  <c r="O350" i="27"/>
  <c r="K308" i="27"/>
  <c r="O308" i="27"/>
  <c r="K309" i="27"/>
  <c r="O309" i="27"/>
  <c r="K310" i="27"/>
  <c r="O310" i="27"/>
  <c r="K311" i="27"/>
  <c r="O311" i="27"/>
  <c r="K312" i="27"/>
  <c r="O312" i="27"/>
  <c r="K270" i="27"/>
  <c r="O270" i="27"/>
  <c r="K271" i="27"/>
  <c r="O271" i="27"/>
  <c r="K272" i="27"/>
  <c r="O272" i="27"/>
  <c r="K273" i="27"/>
  <c r="O273" i="27"/>
  <c r="K274" i="27"/>
  <c r="O274" i="27"/>
  <c r="I448" i="27"/>
  <c r="I418" i="27"/>
  <c r="I388" i="27"/>
  <c r="I312" i="27"/>
  <c r="I463" i="27"/>
  <c r="I433" i="27"/>
  <c r="I403" i="27"/>
  <c r="I350" i="27"/>
  <c r="I274" i="27"/>
  <c r="I459" i="27"/>
  <c r="I429" i="27"/>
  <c r="I444" i="27"/>
  <c r="I399" i="27"/>
  <c r="I414" i="27"/>
  <c r="I346" i="27"/>
  <c r="I384" i="27"/>
  <c r="I308" i="27"/>
  <c r="I270" i="27"/>
  <c r="I460" i="27"/>
  <c r="I430" i="27"/>
  <c r="I445" i="27"/>
  <c r="I400" i="27"/>
  <c r="I415" i="27"/>
  <c r="I347" i="27"/>
  <c r="I385" i="27"/>
  <c r="I309" i="27"/>
  <c r="I271" i="27"/>
  <c r="I461" i="27"/>
  <c r="I431" i="27"/>
  <c r="I446" i="27"/>
  <c r="I401" i="27"/>
  <c r="I416" i="27"/>
  <c r="I348" i="27"/>
  <c r="I386" i="27"/>
  <c r="I310" i="27"/>
  <c r="I272" i="27"/>
  <c r="I462" i="27"/>
  <c r="I432" i="27"/>
  <c r="I447" i="27"/>
  <c r="I402" i="27"/>
  <c r="I417" i="27"/>
  <c r="I349" i="27"/>
  <c r="I387" i="27"/>
  <c r="I311" i="27"/>
  <c r="I273" i="27"/>
  <c r="I277" i="27"/>
  <c r="I276" i="27"/>
  <c r="I275" i="27"/>
  <c r="I393" i="27"/>
  <c r="I391" i="27"/>
  <c r="I392" i="27"/>
  <c r="I390" i="27"/>
  <c r="P459" i="27"/>
  <c r="P460" i="27"/>
  <c r="P461" i="27"/>
  <c r="P462" i="27"/>
  <c r="P463" i="27"/>
  <c r="P444" i="27"/>
  <c r="P445" i="27"/>
  <c r="P446" i="27"/>
  <c r="P447" i="27"/>
  <c r="P448" i="27"/>
  <c r="P429" i="27"/>
  <c r="P430" i="27"/>
  <c r="P431" i="27"/>
  <c r="P432" i="27"/>
  <c r="P433" i="27"/>
  <c r="P414" i="27"/>
  <c r="P415" i="27"/>
  <c r="P416" i="27"/>
  <c r="P417" i="27"/>
  <c r="P418" i="27"/>
  <c r="P399" i="27"/>
  <c r="P400" i="27"/>
  <c r="P401" i="27"/>
  <c r="P402" i="27"/>
  <c r="P403" i="27"/>
  <c r="P384" i="27"/>
  <c r="P385" i="27"/>
  <c r="P386" i="27"/>
  <c r="P387" i="27"/>
  <c r="P388" i="27"/>
  <c r="P390" i="27"/>
  <c r="P391" i="27"/>
  <c r="P392" i="27"/>
  <c r="P393" i="27"/>
  <c r="P275" i="27"/>
  <c r="P276" i="27"/>
  <c r="P277" i="27"/>
  <c r="P346" i="27"/>
  <c r="P347" i="27"/>
  <c r="P348" i="27"/>
  <c r="P349" i="27"/>
  <c r="P350" i="27"/>
  <c r="P308" i="27"/>
  <c r="P309" i="27"/>
  <c r="P310" i="27"/>
  <c r="P311" i="27"/>
  <c r="P312" i="27"/>
  <c r="P270" i="27"/>
  <c r="P271" i="27"/>
  <c r="P272" i="27"/>
  <c r="P273" i="27"/>
  <c r="P274" i="27"/>
  <c r="P238" i="27"/>
  <c r="P239" i="27"/>
  <c r="P240" i="27"/>
  <c r="P241" i="27"/>
  <c r="P242" i="27"/>
  <c r="P223" i="27"/>
  <c r="P224" i="27"/>
  <c r="P225" i="27"/>
  <c r="P226" i="27"/>
  <c r="P227" i="27"/>
  <c r="P208" i="27"/>
  <c r="P209" i="27"/>
  <c r="P210" i="27"/>
  <c r="P211" i="27"/>
  <c r="P212" i="27"/>
  <c r="P193" i="27"/>
  <c r="P194" i="27"/>
  <c r="P195" i="27"/>
  <c r="P196" i="27"/>
  <c r="P178" i="27"/>
  <c r="P179" i="27"/>
  <c r="P180" i="27"/>
  <c r="P181" i="27"/>
  <c r="P182" i="27"/>
  <c r="P163" i="27"/>
  <c r="P164" i="27"/>
  <c r="P165" i="27"/>
  <c r="P166" i="27"/>
  <c r="P167" i="27"/>
  <c r="P148" i="27"/>
  <c r="P149" i="27"/>
  <c r="P150" i="27"/>
  <c r="P151" i="27"/>
  <c r="P152" i="27"/>
  <c r="P133" i="27"/>
  <c r="P134" i="27"/>
  <c r="P135" i="27"/>
  <c r="P136" i="27"/>
  <c r="P137" i="27"/>
  <c r="P118" i="27"/>
  <c r="P119" i="27"/>
  <c r="P120" i="27"/>
  <c r="P121" i="27"/>
  <c r="P122" i="27"/>
  <c r="P103" i="27"/>
  <c r="P104" i="27"/>
  <c r="P105" i="27"/>
  <c r="P106" i="27"/>
  <c r="P107" i="27"/>
  <c r="P88" i="27"/>
  <c r="P89" i="27"/>
  <c r="P90" i="27"/>
  <c r="P91" i="27"/>
  <c r="P92" i="27"/>
  <c r="P93" i="27"/>
  <c r="P94" i="27"/>
  <c r="P95" i="27"/>
  <c r="P96" i="27"/>
  <c r="P97" i="27"/>
  <c r="P506" i="27"/>
  <c r="P507" i="27"/>
  <c r="P508" i="27"/>
  <c r="P509" i="27"/>
  <c r="P510" i="27"/>
  <c r="P511" i="27"/>
  <c r="P512" i="27"/>
  <c r="P513" i="27"/>
  <c r="P514" i="27"/>
  <c r="P515" i="27"/>
  <c r="P632" i="27"/>
  <c r="P633" i="27"/>
  <c r="P634" i="27"/>
  <c r="P630" i="27"/>
  <c r="P631" i="27"/>
  <c r="P481" i="27"/>
  <c r="P482" i="27"/>
  <c r="P483" i="27"/>
  <c r="P484" i="27"/>
  <c r="P485" i="27"/>
  <c r="P645" i="27"/>
  <c r="P646" i="27"/>
  <c r="P647" i="27"/>
  <c r="P648" i="27"/>
  <c r="P649" i="27"/>
  <c r="W12" i="96"/>
  <c r="Y12" i="96" s="1"/>
  <c r="P628" i="27"/>
  <c r="P621" i="27"/>
  <c r="P627" i="27"/>
  <c r="P620" i="27"/>
  <c r="P629" i="27"/>
  <c r="P455" i="27"/>
  <c r="P440" i="27"/>
  <c r="P452" i="27"/>
  <c r="P458" i="27"/>
  <c r="P434" i="27"/>
  <c r="P454" i="27"/>
  <c r="P443" i="27"/>
  <c r="P456" i="27"/>
  <c r="P436" i="27"/>
  <c r="P439" i="27"/>
  <c r="P453" i="27"/>
  <c r="P438" i="27"/>
  <c r="P450" i="27"/>
  <c r="P451" i="27"/>
  <c r="P441" i="27"/>
  <c r="P457" i="27"/>
  <c r="P428" i="27"/>
  <c r="P435" i="27"/>
  <c r="P449" i="27"/>
  <c r="P437" i="27"/>
  <c r="P442" i="27"/>
  <c r="K452" i="27"/>
  <c r="K437" i="27"/>
  <c r="O455" i="27"/>
  <c r="O456" i="27"/>
  <c r="K453" i="27"/>
  <c r="O450" i="27"/>
  <c r="O437" i="27"/>
  <c r="O438" i="27"/>
  <c r="O449" i="27"/>
  <c r="O436" i="27"/>
  <c r="K450" i="27"/>
  <c r="K440" i="27"/>
  <c r="O451" i="27"/>
  <c r="O441" i="27"/>
  <c r="O452" i="27"/>
  <c r="K439" i="27"/>
  <c r="K451" i="27"/>
  <c r="O440" i="27"/>
  <c r="K443" i="27"/>
  <c r="O458" i="27"/>
  <c r="O439" i="27"/>
  <c r="K449" i="27"/>
  <c r="O428" i="27"/>
  <c r="K441" i="27"/>
  <c r="K458" i="27"/>
  <c r="K455" i="27"/>
  <c r="K428" i="27"/>
  <c r="K457" i="27"/>
  <c r="O435" i="27"/>
  <c r="O442" i="27"/>
  <c r="K435" i="27"/>
  <c r="K438" i="27"/>
  <c r="O454" i="27"/>
  <c r="O443" i="27"/>
  <c r="K436" i="27"/>
  <c r="K434" i="27"/>
  <c r="K456" i="27"/>
  <c r="O453" i="27"/>
  <c r="O457" i="27"/>
  <c r="K454" i="27"/>
  <c r="K442" i="27"/>
  <c r="O434" i="27"/>
  <c r="I434" i="27"/>
  <c r="I449" i="27"/>
  <c r="I437" i="27"/>
  <c r="I441" i="27"/>
  <c r="I457" i="27"/>
  <c r="I452" i="27"/>
  <c r="I456" i="27"/>
  <c r="I442" i="27"/>
  <c r="I455" i="27"/>
  <c r="I453" i="27"/>
  <c r="I436" i="27"/>
  <c r="I440" i="27"/>
  <c r="I438" i="27"/>
  <c r="I451" i="27"/>
  <c r="I435" i="27"/>
  <c r="I428" i="27"/>
  <c r="I450" i="27"/>
  <c r="I439" i="27"/>
  <c r="I443" i="27"/>
  <c r="I458" i="27"/>
  <c r="I454" i="27"/>
  <c r="L1048" i="63"/>
  <c r="C1629" i="95"/>
  <c r="C864" i="95"/>
  <c r="P351" i="27"/>
  <c r="P353" i="27"/>
  <c r="P340" i="27"/>
  <c r="P337" i="27"/>
  <c r="P354" i="27"/>
  <c r="P359" i="27"/>
  <c r="P338" i="27"/>
  <c r="P341" i="27"/>
  <c r="P356" i="27"/>
  <c r="P336" i="27"/>
  <c r="P361" i="27"/>
  <c r="P362" i="27"/>
  <c r="P357" i="27"/>
  <c r="P355" i="27"/>
  <c r="P358" i="27"/>
  <c r="P339" i="27"/>
  <c r="P360" i="27"/>
  <c r="P342" i="27"/>
  <c r="P343" i="27"/>
  <c r="P345" i="27"/>
  <c r="P352" i="27"/>
  <c r="P363" i="27"/>
  <c r="P344" i="27"/>
  <c r="P369" i="27"/>
  <c r="P373" i="27"/>
  <c r="P334" i="27"/>
  <c r="P371" i="27"/>
  <c r="P370" i="27"/>
  <c r="P332" i="27"/>
  <c r="P333" i="27"/>
  <c r="P335" i="27"/>
  <c r="P372" i="27"/>
  <c r="P477" i="27"/>
  <c r="P476" i="27"/>
  <c r="P478" i="27"/>
  <c r="P480" i="27"/>
  <c r="P479" i="27"/>
  <c r="P610" i="27"/>
  <c r="P614" i="27"/>
  <c r="P618" i="27"/>
  <c r="P607" i="27"/>
  <c r="P615" i="27"/>
  <c r="P609" i="27"/>
  <c r="P613" i="27"/>
  <c r="P617" i="27"/>
  <c r="P619" i="27"/>
  <c r="P608" i="27"/>
  <c r="P612" i="27"/>
  <c r="P616" i="27"/>
  <c r="P611" i="27"/>
  <c r="K337" i="27"/>
  <c r="K356" i="27"/>
  <c r="O343" i="27"/>
  <c r="O340" i="27"/>
  <c r="K359" i="27"/>
  <c r="O363" i="27"/>
  <c r="O342" i="27"/>
  <c r="O358" i="27"/>
  <c r="K345" i="27"/>
  <c r="K343" i="27"/>
  <c r="O362" i="27"/>
  <c r="K340" i="27"/>
  <c r="O359" i="27"/>
  <c r="K336" i="27"/>
  <c r="O354" i="27"/>
  <c r="O361" i="27"/>
  <c r="K362" i="27"/>
  <c r="K338" i="27"/>
  <c r="K354" i="27"/>
  <c r="O344" i="27"/>
  <c r="O337" i="27"/>
  <c r="O336" i="27"/>
  <c r="O341" i="27"/>
  <c r="K361" i="27"/>
  <c r="K360" i="27"/>
  <c r="K341" i="27"/>
  <c r="K357" i="27"/>
  <c r="O338" i="27"/>
  <c r="K351" i="27"/>
  <c r="O352" i="27"/>
  <c r="O339" i="27"/>
  <c r="K339" i="27"/>
  <c r="K358" i="27"/>
  <c r="K344" i="27"/>
  <c r="O353" i="27"/>
  <c r="K355" i="27"/>
  <c r="O351" i="27"/>
  <c r="K352" i="27"/>
  <c r="O345" i="27"/>
  <c r="K353" i="27"/>
  <c r="O355" i="27"/>
  <c r="O360" i="27"/>
  <c r="K363" i="27"/>
  <c r="K342" i="27"/>
  <c r="O357" i="27"/>
  <c r="O356" i="27"/>
  <c r="K371" i="27"/>
  <c r="O371" i="27"/>
  <c r="K372" i="27"/>
  <c r="O369" i="27"/>
  <c r="O372" i="27"/>
  <c r="O373" i="27"/>
  <c r="O334" i="27"/>
  <c r="K369" i="27"/>
  <c r="O333" i="27"/>
  <c r="K332" i="27"/>
  <c r="K334" i="27"/>
  <c r="K335" i="27"/>
  <c r="K333" i="27"/>
  <c r="K373" i="27"/>
  <c r="K370" i="27"/>
  <c r="O370" i="27"/>
  <c r="O332" i="27"/>
  <c r="O335" i="27"/>
  <c r="I353" i="27"/>
  <c r="I334" i="27"/>
  <c r="I332" i="27"/>
  <c r="I371" i="27"/>
  <c r="I335" i="27"/>
  <c r="I372" i="27"/>
  <c r="I370" i="27"/>
  <c r="I336" i="27"/>
  <c r="I351" i="27"/>
  <c r="I333" i="27"/>
  <c r="I369" i="27"/>
  <c r="I373" i="27"/>
  <c r="I352" i="27"/>
  <c r="I344" i="27"/>
  <c r="I358" i="27"/>
  <c r="I345" i="27"/>
  <c r="I359" i="27"/>
  <c r="I360" i="27"/>
  <c r="I338" i="27"/>
  <c r="I355" i="27"/>
  <c r="I357" i="27"/>
  <c r="I362" i="27"/>
  <c r="I361" i="27"/>
  <c r="I342" i="27"/>
  <c r="I363" i="27"/>
  <c r="I339" i="27"/>
  <c r="I354" i="27"/>
  <c r="I356" i="27"/>
  <c r="I340" i="27"/>
  <c r="I343" i="27"/>
  <c r="I341" i="27"/>
  <c r="I337" i="27"/>
  <c r="P681" i="27"/>
  <c r="P684" i="27"/>
  <c r="P691" i="27"/>
  <c r="P652" i="27"/>
  <c r="P668" i="27"/>
  <c r="P657" i="27"/>
  <c r="P665" i="27"/>
  <c r="P692" i="27"/>
  <c r="P693" i="27"/>
  <c r="P654" i="27"/>
  <c r="P685" i="27"/>
  <c r="P688" i="27"/>
  <c r="P651" i="27"/>
  <c r="P659" i="27"/>
  <c r="P667" i="27"/>
  <c r="P690" i="27"/>
  <c r="P689" i="27"/>
  <c r="P656" i="27"/>
  <c r="P650" i="27"/>
  <c r="P658" i="27"/>
  <c r="P666" i="27"/>
  <c r="P680" i="27"/>
  <c r="P682" i="27"/>
  <c r="P687" i="27"/>
  <c r="P653" i="27"/>
  <c r="P669" i="27"/>
  <c r="P683" i="27"/>
  <c r="P686" i="27"/>
  <c r="P655" i="27"/>
  <c r="K410" i="27"/>
  <c r="K412" i="27"/>
  <c r="K419" i="27"/>
  <c r="K383" i="27"/>
  <c r="K389" i="27"/>
  <c r="I381" i="27"/>
  <c r="K380" i="27"/>
  <c r="I378" i="27"/>
  <c r="O377" i="27"/>
  <c r="I412" i="27"/>
  <c r="I411" i="27"/>
  <c r="I409" i="27"/>
  <c r="K408" i="27"/>
  <c r="K407" i="27"/>
  <c r="O404" i="27"/>
  <c r="K398" i="27"/>
  <c r="K395" i="27"/>
  <c r="O394" i="27"/>
  <c r="K427" i="27"/>
  <c r="K425" i="27"/>
  <c r="I424" i="27"/>
  <c r="K421" i="27"/>
  <c r="K420" i="27"/>
  <c r="I377" i="27"/>
  <c r="O419" i="27"/>
  <c r="I396" i="27"/>
  <c r="I420" i="27"/>
  <c r="I376" i="27"/>
  <c r="I408" i="27"/>
  <c r="I404" i="27"/>
  <c r="O398" i="27"/>
  <c r="I398" i="27"/>
  <c r="I395" i="27"/>
  <c r="I394" i="27"/>
  <c r="I427" i="27"/>
  <c r="I425" i="27"/>
  <c r="I423" i="27"/>
  <c r="O383" i="27"/>
  <c r="I383" i="27"/>
  <c r="O376" i="27"/>
  <c r="I413" i="27"/>
  <c r="O408" i="27"/>
  <c r="O395" i="27"/>
  <c r="O427" i="27"/>
  <c r="O423" i="27"/>
  <c r="I382" i="27"/>
  <c r="I407" i="27"/>
  <c r="O380" i="27"/>
  <c r="I380" i="27"/>
  <c r="K411" i="27"/>
  <c r="O407" i="27"/>
  <c r="I405" i="27"/>
  <c r="K422" i="27"/>
  <c r="K376" i="27"/>
  <c r="O411" i="27"/>
  <c r="O406" i="27"/>
  <c r="O422" i="27"/>
  <c r="I422" i="27"/>
  <c r="I421" i="27"/>
  <c r="O426" i="27"/>
  <c r="I426" i="27"/>
  <c r="K423" i="27"/>
  <c r="K426" i="27"/>
  <c r="K424" i="27"/>
  <c r="O424" i="27"/>
  <c r="O420" i="27"/>
  <c r="O425" i="27"/>
  <c r="O421" i="27"/>
  <c r="O389" i="27"/>
  <c r="I389" i="27"/>
  <c r="I406" i="27"/>
  <c r="O410" i="27"/>
  <c r="K394" i="27"/>
  <c r="O412" i="27"/>
  <c r="K406" i="27"/>
  <c r="K409" i="27"/>
  <c r="O409" i="27"/>
  <c r="K405" i="27"/>
  <c r="O405" i="27"/>
  <c r="I397" i="27"/>
  <c r="I419" i="27"/>
  <c r="K404" i="27"/>
  <c r="K396" i="27"/>
  <c r="O396" i="27"/>
  <c r="K413" i="27"/>
  <c r="O413" i="27"/>
  <c r="I410" i="27"/>
  <c r="O397" i="27"/>
  <c r="K397" i="27"/>
  <c r="O381" i="27"/>
  <c r="K381" i="27"/>
  <c r="K377" i="27"/>
  <c r="K379" i="27"/>
  <c r="O379" i="27"/>
  <c r="I379" i="27"/>
  <c r="K378" i="27"/>
  <c r="O378" i="27"/>
  <c r="K382" i="27"/>
  <c r="O382" i="27"/>
  <c r="K331" i="27"/>
  <c r="O323" i="27"/>
  <c r="K325" i="27"/>
  <c r="I321" i="27"/>
  <c r="I317" i="27"/>
  <c r="O325" i="27"/>
  <c r="I325" i="27"/>
  <c r="K317" i="27"/>
  <c r="K321" i="27"/>
  <c r="I319" i="27"/>
  <c r="O317" i="27"/>
  <c r="I323" i="27"/>
  <c r="O319" i="27"/>
  <c r="K323" i="27"/>
  <c r="O321" i="27"/>
  <c r="O318" i="27"/>
  <c r="O331" i="27"/>
  <c r="O322" i="27"/>
  <c r="K319" i="27"/>
  <c r="K320" i="27"/>
  <c r="K322" i="27"/>
  <c r="O320" i="27"/>
  <c r="K318" i="27"/>
  <c r="I324" i="27"/>
  <c r="K324" i="27"/>
  <c r="I331" i="27"/>
  <c r="O324" i="27"/>
  <c r="I322" i="27"/>
  <c r="I320" i="27"/>
  <c r="I318" i="27"/>
  <c r="I374" i="27"/>
  <c r="O315" i="27"/>
  <c r="O304" i="27"/>
  <c r="K302" i="27"/>
  <c r="O300" i="27"/>
  <c r="O298" i="27"/>
  <c r="O287" i="27"/>
  <c r="K315" i="27"/>
  <c r="I302" i="27"/>
  <c r="O305" i="27"/>
  <c r="I297" i="27"/>
  <c r="I294" i="27"/>
  <c r="K301" i="27"/>
  <c r="K374" i="27"/>
  <c r="K313" i="27"/>
  <c r="K305" i="27"/>
  <c r="K304" i="27"/>
  <c r="K298" i="27"/>
  <c r="I313" i="27"/>
  <c r="I293" i="27"/>
  <c r="I304" i="27"/>
  <c r="I298" i="27"/>
  <c r="O313" i="27"/>
  <c r="O297" i="27"/>
  <c r="K294" i="27"/>
  <c r="K316" i="27"/>
  <c r="K306" i="27"/>
  <c r="I306" i="27"/>
  <c r="I300" i="27"/>
  <c r="I296" i="27"/>
  <c r="K300" i="27"/>
  <c r="O295" i="27"/>
  <c r="I305" i="27"/>
  <c r="K375" i="27"/>
  <c r="O306" i="27"/>
  <c r="I314" i="27"/>
  <c r="I301" i="27"/>
  <c r="I287" i="27"/>
  <c r="O302" i="27"/>
  <c r="K295" i="27"/>
  <c r="K314" i="27"/>
  <c r="K307" i="27"/>
  <c r="O303" i="27"/>
  <c r="K299" i="27"/>
  <c r="K296" i="27"/>
  <c r="K287" i="27"/>
  <c r="I307" i="27"/>
  <c r="I303" i="27"/>
  <c r="I299" i="27"/>
  <c r="I295" i="27"/>
  <c r="O314" i="27"/>
  <c r="O374" i="27"/>
  <c r="K303" i="27"/>
  <c r="K297" i="27"/>
  <c r="K293" i="27"/>
  <c r="O375" i="27"/>
  <c r="I375" i="27"/>
  <c r="I315" i="27"/>
  <c r="O299" i="27"/>
  <c r="O296" i="27"/>
  <c r="O294" i="27"/>
  <c r="O316" i="27"/>
  <c r="O293" i="27"/>
  <c r="I316" i="27"/>
  <c r="O307" i="27"/>
  <c r="O301" i="27"/>
  <c r="P398" i="27"/>
  <c r="P407" i="27"/>
  <c r="P87" i="27"/>
  <c r="P86" i="27"/>
  <c r="P85" i="27"/>
  <c r="P84" i="27"/>
  <c r="P83" i="27"/>
  <c r="P102" i="27"/>
  <c r="P101" i="27"/>
  <c r="P100" i="27"/>
  <c r="P99" i="27"/>
  <c r="P98" i="27"/>
  <c r="P117" i="27"/>
  <c r="P116" i="27"/>
  <c r="P115" i="27"/>
  <c r="P114" i="27"/>
  <c r="P113" i="27"/>
  <c r="P132" i="27"/>
  <c r="P131" i="27"/>
  <c r="P130" i="27"/>
  <c r="P129" i="27"/>
  <c r="P128" i="27"/>
  <c r="P147" i="27"/>
  <c r="P146" i="27"/>
  <c r="P145" i="27"/>
  <c r="P144" i="27"/>
  <c r="P143" i="27"/>
  <c r="P162" i="27"/>
  <c r="P161" i="27"/>
  <c r="P160" i="27"/>
  <c r="P159" i="27"/>
  <c r="P158" i="27"/>
  <c r="P177" i="27"/>
  <c r="P176" i="27"/>
  <c r="P175" i="27"/>
  <c r="P174" i="27"/>
  <c r="P173" i="27"/>
  <c r="P207" i="27"/>
  <c r="P206" i="27"/>
  <c r="P205" i="27"/>
  <c r="P204" i="27"/>
  <c r="P203" i="27"/>
  <c r="P222" i="27"/>
  <c r="P221" i="27"/>
  <c r="P220" i="27"/>
  <c r="P219" i="27"/>
  <c r="P218" i="27"/>
  <c r="P237" i="27"/>
  <c r="P236" i="27"/>
  <c r="P235" i="27"/>
  <c r="P234" i="27"/>
  <c r="P233" i="27"/>
  <c r="P383" i="27"/>
  <c r="P382" i="27"/>
  <c r="P376" i="27"/>
  <c r="P419" i="27"/>
  <c r="P413" i="27"/>
  <c r="P410" i="27"/>
  <c r="P406" i="27"/>
  <c r="P405" i="27"/>
  <c r="P397" i="27"/>
  <c r="P396" i="27"/>
  <c r="P426" i="27"/>
  <c r="P423" i="27"/>
  <c r="P422" i="27"/>
  <c r="P378" i="27"/>
  <c r="P411" i="27"/>
  <c r="P380" i="27"/>
  <c r="P412" i="27"/>
  <c r="P408" i="27"/>
  <c r="P427" i="27"/>
  <c r="P389" i="27"/>
  <c r="P424" i="27"/>
  <c r="P420" i="27"/>
  <c r="P425" i="27"/>
  <c r="P421" i="27"/>
  <c r="P394" i="27"/>
  <c r="P404" i="27"/>
  <c r="P409" i="27"/>
  <c r="P395" i="27"/>
  <c r="P381" i="27"/>
  <c r="P377" i="27"/>
  <c r="P379" i="27"/>
  <c r="P325" i="27"/>
  <c r="P322" i="27"/>
  <c r="P320" i="27"/>
  <c r="P319" i="27"/>
  <c r="P318" i="27"/>
  <c r="P317" i="27"/>
  <c r="P323" i="27"/>
  <c r="P321" i="27"/>
  <c r="P324" i="27"/>
  <c r="P331" i="27"/>
  <c r="P187" i="27"/>
  <c r="P186" i="27"/>
  <c r="P185" i="27"/>
  <c r="P184" i="27"/>
  <c r="P183" i="27"/>
  <c r="P172" i="27"/>
  <c r="P171" i="27"/>
  <c r="P170" i="27"/>
  <c r="P169" i="27"/>
  <c r="P168" i="27"/>
  <c r="P157" i="27"/>
  <c r="P156" i="27"/>
  <c r="P155" i="27"/>
  <c r="P154" i="27"/>
  <c r="P153" i="27"/>
  <c r="P375" i="27"/>
  <c r="P316" i="27"/>
  <c r="P314" i="27"/>
  <c r="P313" i="27"/>
  <c r="P307" i="27"/>
  <c r="P306" i="27"/>
  <c r="P305" i="27"/>
  <c r="P303" i="27"/>
  <c r="P301" i="27"/>
  <c r="P299" i="27"/>
  <c r="P297" i="27"/>
  <c r="P296" i="27"/>
  <c r="P295" i="27"/>
  <c r="P294" i="27"/>
  <c r="P293" i="27"/>
  <c r="P315" i="27"/>
  <c r="P298" i="27"/>
  <c r="P300" i="27"/>
  <c r="P287" i="27"/>
  <c r="P304" i="27"/>
  <c r="P302" i="27"/>
  <c r="P374" i="27"/>
  <c r="L1050" i="63"/>
  <c r="L1047" i="63"/>
  <c r="L1049" i="63"/>
  <c r="K169" i="43"/>
  <c r="E87" i="7"/>
  <c r="V4" i="52" s="1"/>
  <c r="L3" i="2"/>
  <c r="F87" i="7"/>
  <c r="W4" i="52" s="1"/>
  <c r="M3" i="2"/>
  <c r="G87" i="7"/>
  <c r="X4" i="52" s="1"/>
  <c r="N3" i="2"/>
  <c r="K3" i="2"/>
  <c r="D87" i="7"/>
  <c r="U4" i="52" s="1"/>
  <c r="F153" i="4"/>
  <c r="P273" i="63"/>
  <c r="P265" i="63"/>
  <c r="P272" i="63"/>
  <c r="P271" i="63"/>
  <c r="P816" i="63"/>
  <c r="P270" i="63"/>
  <c r="P815" i="63"/>
  <c r="P269" i="63"/>
  <c r="P814" i="63"/>
  <c r="P268" i="63"/>
  <c r="P813" i="63"/>
  <c r="P267" i="63"/>
  <c r="P812" i="63"/>
  <c r="P266" i="63"/>
  <c r="X812" i="63"/>
  <c r="X816" i="63"/>
  <c r="X815" i="63"/>
  <c r="P596" i="27"/>
  <c r="P599" i="27"/>
  <c r="P635" i="27"/>
  <c r="P643" i="27"/>
  <c r="P595" i="27"/>
  <c r="P605" i="27"/>
  <c r="P642" i="27"/>
  <c r="P600" i="27"/>
  <c r="P636" i="27"/>
  <c r="P639" i="27"/>
  <c r="P604" i="27"/>
  <c r="P597" i="27"/>
  <c r="P593" i="27"/>
  <c r="P601" i="27"/>
  <c r="P637" i="27"/>
  <c r="P603" i="27"/>
  <c r="P640" i="27"/>
  <c r="P606" i="27"/>
  <c r="P594" i="27"/>
  <c r="P602" i="27"/>
  <c r="P638" i="27"/>
  <c r="P641" i="27"/>
  <c r="P598" i="27"/>
  <c r="X272" i="63"/>
  <c r="X273" i="63"/>
  <c r="X270" i="63"/>
  <c r="X268" i="63"/>
  <c r="X269" i="63"/>
  <c r="X266" i="63"/>
  <c r="X267" i="63"/>
  <c r="X271" i="63"/>
  <c r="X265" i="63"/>
  <c r="X814" i="63"/>
  <c r="X813" i="63"/>
  <c r="S1142" i="63"/>
  <c r="R1144" i="63"/>
  <c r="M1005" i="63"/>
  <c r="O1004" i="63"/>
  <c r="M1140" i="63"/>
  <c r="S1143" i="63"/>
  <c r="O1006" i="63"/>
  <c r="P67" i="52" l="1"/>
  <c r="P65" i="52"/>
  <c r="P63" i="52"/>
  <c r="O63" i="52"/>
  <c r="O64" i="52" s="1"/>
  <c r="O65" i="52" s="1"/>
  <c r="O67" i="52" s="1"/>
  <c r="O55" i="52"/>
  <c r="N55" i="52"/>
  <c r="L55" i="52"/>
  <c r="K55" i="52"/>
  <c r="J55" i="52"/>
  <c r="G55" i="52"/>
  <c r="F55" i="52"/>
  <c r="D55" i="52"/>
  <c r="C55" i="52"/>
  <c r="P54" i="52"/>
  <c r="M54" i="52"/>
  <c r="L54" i="52"/>
  <c r="J54" i="52"/>
  <c r="I54" i="52"/>
  <c r="H54" i="52"/>
  <c r="E54" i="52"/>
  <c r="D54" i="52"/>
  <c r="O40" i="52"/>
  <c r="N40" i="52"/>
  <c r="N32" i="52"/>
  <c r="M32" i="52"/>
  <c r="K32" i="52"/>
  <c r="J32" i="52"/>
  <c r="I32" i="52"/>
  <c r="D32" i="52"/>
  <c r="C32" i="52"/>
  <c r="O31" i="52"/>
  <c r="P31" i="52" s="1"/>
  <c r="N31" i="52"/>
  <c r="M31" i="52"/>
  <c r="J31" i="52"/>
  <c r="I31" i="52"/>
  <c r="E31" i="52"/>
  <c r="D31" i="52"/>
  <c r="C31" i="52"/>
  <c r="O20" i="52"/>
  <c r="P20" i="52" s="1"/>
  <c r="O19" i="52"/>
  <c r="P19" i="52" s="1"/>
  <c r="L19" i="52"/>
  <c r="E19" i="52"/>
  <c r="N18" i="52"/>
  <c r="M18" i="52"/>
  <c r="L17" i="52"/>
  <c r="F17" i="52"/>
  <c r="E17" i="52"/>
  <c r="E16" i="52"/>
  <c r="L15" i="52"/>
  <c r="E15" i="52"/>
  <c r="L14" i="52"/>
  <c r="F14" i="52"/>
  <c r="F13" i="52"/>
  <c r="E13" i="52"/>
  <c r="F12" i="52"/>
  <c r="E12" i="52"/>
  <c r="L11" i="52"/>
  <c r="O10" i="52"/>
  <c r="P10" i="52" s="1"/>
  <c r="M10" i="52"/>
  <c r="L10" i="52"/>
  <c r="F10" i="52"/>
  <c r="O9" i="52"/>
  <c r="P9" i="52" s="1"/>
  <c r="N9" i="52"/>
  <c r="K9" i="52"/>
  <c r="J9" i="52"/>
  <c r="I9" i="52"/>
  <c r="D9" i="52"/>
  <c r="C9" i="52"/>
  <c r="M8" i="52"/>
  <c r="K8" i="52"/>
  <c r="J8" i="52"/>
  <c r="G8" i="52"/>
  <c r="D8" i="52"/>
  <c r="N63" i="52"/>
  <c r="C8" i="52"/>
  <c r="N8" i="52"/>
  <c r="M9" i="52"/>
  <c r="N10" i="52"/>
  <c r="L12" i="52"/>
  <c r="F15" i="52"/>
  <c r="F18" i="52"/>
  <c r="F31" i="52"/>
  <c r="L32" i="52"/>
  <c r="C54" i="52"/>
  <c r="K54" i="52"/>
  <c r="E55" i="52"/>
  <c r="M55" i="52"/>
  <c r="P64" i="52"/>
  <c r="H8" i="52"/>
  <c r="G9" i="52"/>
  <c r="E11" i="52"/>
  <c r="L13" i="52"/>
  <c r="F16" i="52"/>
  <c r="O18" i="52"/>
  <c r="P18" i="52" s="1"/>
  <c r="O22" i="52"/>
  <c r="P22" i="52" s="1"/>
  <c r="K31" i="52"/>
  <c r="E32" i="52"/>
  <c r="O32" i="52"/>
  <c r="P32" i="52" s="1"/>
  <c r="F54" i="52"/>
  <c r="N54" i="52"/>
  <c r="H55" i="52"/>
  <c r="P55" i="52"/>
  <c r="I8" i="52"/>
  <c r="H9" i="52"/>
  <c r="E10" i="52"/>
  <c r="F11" i="52"/>
  <c r="E14" i="52"/>
  <c r="L16" i="52"/>
  <c r="L31" i="52"/>
  <c r="F32" i="52"/>
  <c r="G54" i="52"/>
  <c r="O54" i="52"/>
  <c r="I55" i="52"/>
  <c r="C865" i="95"/>
  <c r="C1630" i="95"/>
  <c r="M1068" i="63"/>
  <c r="M1077" i="63"/>
  <c r="M1006" i="63"/>
  <c r="O41" i="52" l="1"/>
  <c r="P40" i="52"/>
  <c r="C866" i="95"/>
  <c r="C1631" i="95"/>
  <c r="AF832" i="63"/>
  <c r="AF833" i="63"/>
  <c r="AF834" i="63"/>
  <c r="AF835" i="63"/>
  <c r="AF836" i="63"/>
  <c r="AF837" i="63"/>
  <c r="AF838" i="63"/>
  <c r="AF839" i="63"/>
  <c r="AF840" i="63"/>
  <c r="AF841" i="63"/>
  <c r="AF842" i="63"/>
  <c r="AF843" i="63"/>
  <c r="AF844" i="63"/>
  <c r="AF845" i="63"/>
  <c r="AF846" i="63"/>
  <c r="AF847" i="63"/>
  <c r="AF848" i="63"/>
  <c r="AF849" i="63"/>
  <c r="AF850" i="63"/>
  <c r="AF851" i="63"/>
  <c r="AF852" i="63"/>
  <c r="AF853" i="63"/>
  <c r="AF854" i="63"/>
  <c r="AF855" i="63"/>
  <c r="AF856" i="63"/>
  <c r="AF857" i="63"/>
  <c r="AF858" i="63"/>
  <c r="AF859" i="63"/>
  <c r="AF860" i="63"/>
  <c r="AF861" i="63"/>
  <c r="AF862" i="63"/>
  <c r="AF863" i="63"/>
  <c r="AF864" i="63"/>
  <c r="AF865" i="63"/>
  <c r="AF866" i="63"/>
  <c r="AF867" i="63"/>
  <c r="AF868" i="63"/>
  <c r="AF869" i="63"/>
  <c r="AF870" i="63"/>
  <c r="AF871" i="63"/>
  <c r="AF872" i="63"/>
  <c r="AF873" i="63"/>
  <c r="AF874" i="63"/>
  <c r="AF875" i="63"/>
  <c r="AF876" i="63"/>
  <c r="AF877" i="63"/>
  <c r="AF878" i="63"/>
  <c r="AF879" i="63"/>
  <c r="AF880" i="63"/>
  <c r="AF881" i="63"/>
  <c r="AF882" i="63"/>
  <c r="AF883" i="63"/>
  <c r="AF884" i="63"/>
  <c r="AF885" i="63"/>
  <c r="AF886" i="63"/>
  <c r="AF887" i="63"/>
  <c r="AF888" i="63"/>
  <c r="AF889" i="63"/>
  <c r="AF831" i="63"/>
  <c r="M833" i="63"/>
  <c r="N833" i="63"/>
  <c r="O833" i="63"/>
  <c r="M834" i="63"/>
  <c r="N834" i="63"/>
  <c r="O834" i="63"/>
  <c r="M835" i="63"/>
  <c r="N835" i="63"/>
  <c r="O835" i="63"/>
  <c r="M836" i="63"/>
  <c r="N836" i="63"/>
  <c r="O836" i="63"/>
  <c r="M837" i="63"/>
  <c r="N837" i="63"/>
  <c r="O837" i="63"/>
  <c r="M838" i="63"/>
  <c r="N838" i="63"/>
  <c r="O838" i="63"/>
  <c r="M839" i="63"/>
  <c r="N839" i="63"/>
  <c r="O839" i="63"/>
  <c r="M840" i="63"/>
  <c r="N840" i="63"/>
  <c r="O840" i="63"/>
  <c r="M841" i="63"/>
  <c r="N841" i="63"/>
  <c r="O841" i="63"/>
  <c r="M842" i="63"/>
  <c r="N842" i="63"/>
  <c r="O842" i="63"/>
  <c r="M843" i="63"/>
  <c r="N843" i="63"/>
  <c r="O843" i="63"/>
  <c r="M844" i="63"/>
  <c r="N844" i="63"/>
  <c r="O844" i="63"/>
  <c r="M845" i="63"/>
  <c r="N845" i="63"/>
  <c r="O845" i="63"/>
  <c r="M846" i="63"/>
  <c r="N846" i="63"/>
  <c r="O846" i="63"/>
  <c r="M847" i="63"/>
  <c r="N847" i="63"/>
  <c r="O847" i="63"/>
  <c r="M848" i="63"/>
  <c r="N848" i="63"/>
  <c r="O848" i="63"/>
  <c r="L849" i="63"/>
  <c r="M849" i="63"/>
  <c r="N849" i="63"/>
  <c r="O849" i="63"/>
  <c r="L850" i="63"/>
  <c r="M850" i="63"/>
  <c r="N850" i="63"/>
  <c r="O850" i="63"/>
  <c r="L851" i="63"/>
  <c r="M851" i="63"/>
  <c r="N851" i="63"/>
  <c r="O851" i="63"/>
  <c r="L852" i="63"/>
  <c r="X852" i="63" s="1"/>
  <c r="M852" i="63"/>
  <c r="N852" i="63"/>
  <c r="O852" i="63"/>
  <c r="L853" i="63"/>
  <c r="X853" i="63" s="1"/>
  <c r="M853" i="63"/>
  <c r="N853" i="63"/>
  <c r="O853" i="63"/>
  <c r="L854" i="63"/>
  <c r="X854" i="63" s="1"/>
  <c r="M854" i="63"/>
  <c r="N854" i="63"/>
  <c r="O854" i="63"/>
  <c r="L855" i="63"/>
  <c r="X855" i="63" s="1"/>
  <c r="M855" i="63"/>
  <c r="N855" i="63"/>
  <c r="O855" i="63"/>
  <c r="L856" i="63"/>
  <c r="X856" i="63" s="1"/>
  <c r="M856" i="63"/>
  <c r="N856" i="63"/>
  <c r="O856" i="63"/>
  <c r="L857" i="63"/>
  <c r="X857" i="63" s="1"/>
  <c r="M857" i="63"/>
  <c r="N857" i="63"/>
  <c r="O857" i="63"/>
  <c r="L858" i="63"/>
  <c r="X858" i="63" s="1"/>
  <c r="M858" i="63"/>
  <c r="N858" i="63"/>
  <c r="O858" i="63"/>
  <c r="L859" i="63"/>
  <c r="X859" i="63" s="1"/>
  <c r="M859" i="63"/>
  <c r="N859" i="63"/>
  <c r="O859" i="63"/>
  <c r="L860" i="63"/>
  <c r="X860" i="63" s="1"/>
  <c r="M860" i="63"/>
  <c r="N860" i="63"/>
  <c r="O860" i="63"/>
  <c r="L861" i="63"/>
  <c r="X861" i="63" s="1"/>
  <c r="M861" i="63"/>
  <c r="N861" i="63"/>
  <c r="O861" i="63"/>
  <c r="L862" i="63"/>
  <c r="X862" i="63" s="1"/>
  <c r="M862" i="63"/>
  <c r="N862" i="63"/>
  <c r="O862" i="63"/>
  <c r="L863" i="63"/>
  <c r="X863" i="63" s="1"/>
  <c r="M863" i="63"/>
  <c r="N863" i="63"/>
  <c r="O863" i="63"/>
  <c r="L864" i="63"/>
  <c r="X864" i="63" s="1"/>
  <c r="M864" i="63"/>
  <c r="N864" i="63"/>
  <c r="O864" i="63"/>
  <c r="L865" i="63"/>
  <c r="X865" i="63" s="1"/>
  <c r="M865" i="63"/>
  <c r="N865" i="63"/>
  <c r="O865" i="63"/>
  <c r="L866" i="63"/>
  <c r="X866" i="63" s="1"/>
  <c r="M866" i="63"/>
  <c r="N866" i="63"/>
  <c r="O866" i="63"/>
  <c r="L867" i="63"/>
  <c r="X867" i="63" s="1"/>
  <c r="M867" i="63"/>
  <c r="N867" i="63"/>
  <c r="O867" i="63"/>
  <c r="L868" i="63"/>
  <c r="X868" i="63" s="1"/>
  <c r="M868" i="63"/>
  <c r="N868" i="63"/>
  <c r="O868" i="63"/>
  <c r="L869" i="63"/>
  <c r="X869" i="63" s="1"/>
  <c r="M869" i="63"/>
  <c r="N869" i="63"/>
  <c r="O869" i="63"/>
  <c r="L870" i="63"/>
  <c r="M870" i="63"/>
  <c r="N870" i="63"/>
  <c r="O870" i="63"/>
  <c r="L871" i="63"/>
  <c r="M871" i="63"/>
  <c r="N871" i="63"/>
  <c r="O871" i="63"/>
  <c r="L872" i="63"/>
  <c r="M872" i="63"/>
  <c r="N872" i="63"/>
  <c r="O872" i="63"/>
  <c r="L873" i="63"/>
  <c r="M873" i="63"/>
  <c r="N873" i="63"/>
  <c r="O873" i="63"/>
  <c r="L874" i="63"/>
  <c r="M874" i="63"/>
  <c r="N874" i="63"/>
  <c r="O874" i="63"/>
  <c r="L875" i="63"/>
  <c r="M875" i="63"/>
  <c r="N875" i="63"/>
  <c r="O875" i="63"/>
  <c r="L876" i="63"/>
  <c r="M876" i="63"/>
  <c r="N876" i="63"/>
  <c r="O876" i="63"/>
  <c r="L877" i="63"/>
  <c r="M877" i="63"/>
  <c r="N877" i="63"/>
  <c r="O877" i="63"/>
  <c r="L878" i="63"/>
  <c r="M878" i="63"/>
  <c r="N878" i="63"/>
  <c r="O878" i="63"/>
  <c r="L879" i="63"/>
  <c r="M879" i="63"/>
  <c r="N879" i="63"/>
  <c r="O879" i="63"/>
  <c r="L880" i="63"/>
  <c r="M880" i="63"/>
  <c r="N880" i="63"/>
  <c r="O880" i="63"/>
  <c r="L881" i="63"/>
  <c r="M881" i="63"/>
  <c r="N881" i="63"/>
  <c r="O881" i="63"/>
  <c r="L882" i="63"/>
  <c r="M882" i="63"/>
  <c r="N882" i="63"/>
  <c r="O882" i="63"/>
  <c r="L883" i="63"/>
  <c r="M883" i="63"/>
  <c r="N883" i="63"/>
  <c r="O883" i="63"/>
  <c r="L884" i="63"/>
  <c r="M884" i="63"/>
  <c r="N884" i="63"/>
  <c r="O884" i="63"/>
  <c r="L885" i="63"/>
  <c r="M885" i="63"/>
  <c r="N885" i="63"/>
  <c r="O885" i="63"/>
  <c r="L886" i="63"/>
  <c r="M886" i="63"/>
  <c r="N886" i="63"/>
  <c r="O886" i="63"/>
  <c r="L887" i="63"/>
  <c r="M887" i="63"/>
  <c r="N887" i="63"/>
  <c r="O887" i="63"/>
  <c r="L888" i="63"/>
  <c r="M888" i="63"/>
  <c r="N888" i="63"/>
  <c r="O888" i="63"/>
  <c r="L889" i="63"/>
  <c r="M889" i="63"/>
  <c r="N889" i="63"/>
  <c r="O889" i="63"/>
  <c r="O832" i="63"/>
  <c r="N832" i="63"/>
  <c r="M832" i="63"/>
  <c r="W828" i="63"/>
  <c r="W827" i="63"/>
  <c r="W826" i="63"/>
  <c r="W825" i="63"/>
  <c r="P827" i="63"/>
  <c r="P828" i="63"/>
  <c r="L828" i="63"/>
  <c r="X828" i="63" s="1"/>
  <c r="M828" i="63"/>
  <c r="N828" i="63"/>
  <c r="O828" i="63"/>
  <c r="L826" i="63"/>
  <c r="X826" i="63" s="1"/>
  <c r="M826" i="63"/>
  <c r="N826" i="63"/>
  <c r="O826" i="63"/>
  <c r="L827" i="63"/>
  <c r="X827" i="63" s="1"/>
  <c r="M827" i="63"/>
  <c r="N827" i="63"/>
  <c r="O827" i="63"/>
  <c r="O825" i="63"/>
  <c r="N825" i="63"/>
  <c r="M825" i="63"/>
  <c r="L825" i="63"/>
  <c r="X825" i="63" s="1"/>
  <c r="Y15" i="63"/>
  <c r="Y16" i="63"/>
  <c r="Y17" i="63"/>
  <c r="Y18" i="63"/>
  <c r="Y19" i="63"/>
  <c r="Y20" i="63"/>
  <c r="Y21" i="63"/>
  <c r="Y22" i="63"/>
  <c r="Y23" i="63"/>
  <c r="Y24" i="63"/>
  <c r="Y25" i="63"/>
  <c r="Y26" i="63"/>
  <c r="Y27" i="63"/>
  <c r="Y28" i="63"/>
  <c r="Y29" i="63"/>
  <c r="Y30" i="63"/>
  <c r="Y31" i="63"/>
  <c r="Y32" i="63"/>
  <c r="Y33" i="63"/>
  <c r="Y34" i="63"/>
  <c r="Y35" i="63"/>
  <c r="Y36" i="63"/>
  <c r="Y37" i="63"/>
  <c r="Y38" i="63"/>
  <c r="Y39" i="63"/>
  <c r="Y40" i="63"/>
  <c r="Y41" i="63"/>
  <c r="Y42" i="63"/>
  <c r="Y43" i="63"/>
  <c r="Y44" i="63"/>
  <c r="Y45" i="63"/>
  <c r="Y46" i="63"/>
  <c r="Y47" i="63"/>
  <c r="Y48" i="63"/>
  <c r="Y49" i="63"/>
  <c r="Y50" i="63"/>
  <c r="Y51" i="63"/>
  <c r="Y52" i="63"/>
  <c r="Y53" i="63"/>
  <c r="Y54" i="63"/>
  <c r="Y55" i="63"/>
  <c r="Y56" i="63"/>
  <c r="Y57" i="63"/>
  <c r="Y58" i="63"/>
  <c r="Y59" i="63"/>
  <c r="Y60" i="63"/>
  <c r="Y61" i="63"/>
  <c r="Y62" i="63"/>
  <c r="Y63" i="63"/>
  <c r="Y64" i="63"/>
  <c r="Y65" i="63"/>
  <c r="Y66" i="63"/>
  <c r="Y67" i="63"/>
  <c r="Y68" i="63"/>
  <c r="Y69" i="63"/>
  <c r="Y70" i="63"/>
  <c r="Y71" i="63"/>
  <c r="Y72" i="63"/>
  <c r="Y73" i="63"/>
  <c r="Y74" i="63"/>
  <c r="Y75" i="63"/>
  <c r="Y76" i="63"/>
  <c r="Y77" i="63"/>
  <c r="Y78" i="63"/>
  <c r="Y79" i="63"/>
  <c r="Y80" i="63"/>
  <c r="Y81" i="63"/>
  <c r="Y83" i="63"/>
  <c r="Y84" i="63"/>
  <c r="Y85" i="63"/>
  <c r="Y86" i="63"/>
  <c r="Y87" i="63"/>
  <c r="Y88" i="63"/>
  <c r="Y89" i="63"/>
  <c r="Y90" i="63"/>
  <c r="Y91" i="63"/>
  <c r="Y92" i="63"/>
  <c r="Y93" i="63"/>
  <c r="Y94" i="63"/>
  <c r="Y95" i="63"/>
  <c r="Y96" i="63"/>
  <c r="Y97" i="63"/>
  <c r="Y98" i="63"/>
  <c r="Y99" i="63"/>
  <c r="Y100" i="63"/>
  <c r="Y101" i="63"/>
  <c r="Y102" i="63"/>
  <c r="Y103" i="63"/>
  <c r="Y104" i="63"/>
  <c r="Y105" i="63"/>
  <c r="Y106" i="63"/>
  <c r="Y107" i="63"/>
  <c r="Y108" i="63"/>
  <c r="Y109" i="63"/>
  <c r="Y110" i="63"/>
  <c r="Y111" i="63"/>
  <c r="Y112" i="63"/>
  <c r="Y113" i="63"/>
  <c r="Y114" i="63"/>
  <c r="Y115" i="63"/>
  <c r="Y116" i="63"/>
  <c r="Y117" i="63"/>
  <c r="Y118" i="63"/>
  <c r="Y119" i="63"/>
  <c r="Y120" i="63"/>
  <c r="Y121" i="63"/>
  <c r="Y122" i="63"/>
  <c r="Y123" i="63"/>
  <c r="Y124" i="63"/>
  <c r="Y125" i="63"/>
  <c r="Y126" i="63"/>
  <c r="Y127" i="63"/>
  <c r="Y128" i="63"/>
  <c r="Y129" i="63"/>
  <c r="Y130" i="63"/>
  <c r="Y131" i="63"/>
  <c r="Y132" i="63"/>
  <c r="Y133" i="63"/>
  <c r="Y134" i="63"/>
  <c r="Y135" i="63"/>
  <c r="Y136" i="63"/>
  <c r="Y137" i="63"/>
  <c r="Y138" i="63"/>
  <c r="Y139" i="63"/>
  <c r="Y140" i="63"/>
  <c r="Y141" i="63"/>
  <c r="Y142" i="63"/>
  <c r="Y143" i="63"/>
  <c r="Y144" i="63"/>
  <c r="Y145" i="63"/>
  <c r="Y146" i="63"/>
  <c r="Y147" i="63"/>
  <c r="Y148" i="63"/>
  <c r="Y149" i="63"/>
  <c r="Y150" i="63"/>
  <c r="Y151" i="63"/>
  <c r="Y152" i="63"/>
  <c r="Y153" i="63"/>
  <c r="Y154" i="63"/>
  <c r="Y155" i="63"/>
  <c r="Y156" i="63"/>
  <c r="Y157" i="63"/>
  <c r="Y158" i="63"/>
  <c r="Y159" i="63"/>
  <c r="Y160" i="63"/>
  <c r="Y161" i="63"/>
  <c r="Y162" i="63"/>
  <c r="Y163" i="63"/>
  <c r="Y164" i="63"/>
  <c r="Y165" i="63"/>
  <c r="Y166" i="63"/>
  <c r="Y167" i="63"/>
  <c r="Y168" i="63"/>
  <c r="Y169" i="63"/>
  <c r="Y170" i="63"/>
  <c r="Y171" i="63"/>
  <c r="Y172" i="63"/>
  <c r="Y173" i="63"/>
  <c r="Y174" i="63"/>
  <c r="Y175" i="63"/>
  <c r="Y176" i="63"/>
  <c r="Y177" i="63"/>
  <c r="Y178" i="63"/>
  <c r="Y179" i="63"/>
  <c r="Y180" i="63"/>
  <c r="Y181" i="63"/>
  <c r="Y182" i="63"/>
  <c r="Y183" i="63"/>
  <c r="Y184" i="63"/>
  <c r="Y185" i="63"/>
  <c r="Y186" i="63"/>
  <c r="Y187" i="63"/>
  <c r="Y188" i="63"/>
  <c r="Y189" i="63"/>
  <c r="Y190" i="63"/>
  <c r="Y191" i="63"/>
  <c r="Y192" i="63"/>
  <c r="Y193" i="63"/>
  <c r="Y194" i="63"/>
  <c r="Y195" i="63"/>
  <c r="Y196" i="63"/>
  <c r="Y197" i="63"/>
  <c r="Y198" i="63"/>
  <c r="Y199" i="63"/>
  <c r="Y200" i="63"/>
  <c r="Y201" i="63"/>
  <c r="Y202" i="63"/>
  <c r="Y203" i="63"/>
  <c r="Y204" i="63"/>
  <c r="Y205" i="63"/>
  <c r="Y206" i="63"/>
  <c r="Y207" i="63"/>
  <c r="Y208" i="63"/>
  <c r="Y209" i="63"/>
  <c r="Y210" i="63"/>
  <c r="Y211" i="63"/>
  <c r="Y212" i="63"/>
  <c r="Y213" i="63"/>
  <c r="Y214" i="63"/>
  <c r="Y215" i="63"/>
  <c r="Y216" i="63"/>
  <c r="Y217" i="63"/>
  <c r="Y218" i="63"/>
  <c r="Y219" i="63"/>
  <c r="Y220" i="63"/>
  <c r="Y221" i="63"/>
  <c r="Y222" i="63"/>
  <c r="Y223" i="63"/>
  <c r="Y224" i="63"/>
  <c r="Y225" i="63"/>
  <c r="Y226" i="63"/>
  <c r="Y227" i="63"/>
  <c r="Y228" i="63"/>
  <c r="Y229" i="63"/>
  <c r="Y230" i="63"/>
  <c r="Y231" i="63"/>
  <c r="Y232" i="63"/>
  <c r="Y233" i="63"/>
  <c r="Y234" i="63"/>
  <c r="Y235" i="63"/>
  <c r="Y236" i="63"/>
  <c r="Y237" i="63"/>
  <c r="Y238" i="63"/>
  <c r="Y239" i="63"/>
  <c r="Y240" i="63"/>
  <c r="Y241" i="63"/>
  <c r="Y242" i="63"/>
  <c r="Y243" i="63"/>
  <c r="Y244" i="63"/>
  <c r="Y245" i="63"/>
  <c r="Y246" i="63"/>
  <c r="Y247" i="63"/>
  <c r="Y248" i="63"/>
  <c r="Y249" i="63"/>
  <c r="Y250" i="63"/>
  <c r="Y251" i="63"/>
  <c r="Y252" i="63"/>
  <c r="Y253" i="63"/>
  <c r="Y254" i="63"/>
  <c r="Y255" i="63"/>
  <c r="Y256" i="63"/>
  <c r="Y257" i="63"/>
  <c r="Y258" i="63"/>
  <c r="Y259" i="63"/>
  <c r="Y260" i="63"/>
  <c r="Y261" i="63"/>
  <c r="Y262" i="63"/>
  <c r="Y263" i="63"/>
  <c r="Y274" i="63"/>
  <c r="Y275" i="63"/>
  <c r="Y276" i="63"/>
  <c r="Y277" i="63"/>
  <c r="Y278" i="63"/>
  <c r="Y279" i="63"/>
  <c r="Y280" i="63"/>
  <c r="Y281" i="63"/>
  <c r="Y282" i="63"/>
  <c r="Y283" i="63"/>
  <c r="Y284" i="63"/>
  <c r="Y285" i="63"/>
  <c r="Y286" i="63"/>
  <c r="Y287" i="63"/>
  <c r="Y288" i="63"/>
  <c r="Y289" i="63"/>
  <c r="Y290" i="63"/>
  <c r="Y291" i="63"/>
  <c r="Y292" i="63"/>
  <c r="Y293" i="63"/>
  <c r="Y294" i="63"/>
  <c r="Y295" i="63"/>
  <c r="Y296" i="63"/>
  <c r="Y297" i="63"/>
  <c r="Y298" i="63"/>
  <c r="Y299" i="63"/>
  <c r="Y300" i="63"/>
  <c r="Y301" i="63"/>
  <c r="Y302" i="63"/>
  <c r="Y303" i="63"/>
  <c r="Y304" i="63"/>
  <c r="Y305" i="63"/>
  <c r="Y306" i="63"/>
  <c r="Y307" i="63"/>
  <c r="Y308" i="63"/>
  <c r="Y309" i="63"/>
  <c r="Y310" i="63"/>
  <c r="Y311" i="63"/>
  <c r="Y312" i="63"/>
  <c r="Y313" i="63"/>
  <c r="Y314" i="63"/>
  <c r="Y315" i="63"/>
  <c r="Y316" i="63"/>
  <c r="Y317" i="63"/>
  <c r="Y318" i="63"/>
  <c r="Y319" i="63"/>
  <c r="Y320" i="63"/>
  <c r="Y321" i="63"/>
  <c r="Y322" i="63"/>
  <c r="Y323" i="63"/>
  <c r="Y324" i="63"/>
  <c r="Y325" i="63"/>
  <c r="Y326" i="63"/>
  <c r="Y327" i="63"/>
  <c r="Y328" i="63"/>
  <c r="Y329" i="63"/>
  <c r="Y330" i="63"/>
  <c r="Y331" i="63"/>
  <c r="Y332" i="63"/>
  <c r="Y333" i="63"/>
  <c r="Y334" i="63"/>
  <c r="Y335" i="63"/>
  <c r="Y336" i="63"/>
  <c r="Y337" i="63"/>
  <c r="Y338" i="63"/>
  <c r="Y339" i="63"/>
  <c r="Y340" i="63"/>
  <c r="Y341" i="63"/>
  <c r="Y342" i="63"/>
  <c r="Y343" i="63"/>
  <c r="Y344" i="63"/>
  <c r="Y345" i="63"/>
  <c r="Y346" i="63"/>
  <c r="Y347" i="63"/>
  <c r="Y348" i="63"/>
  <c r="Y349" i="63"/>
  <c r="Y350" i="63"/>
  <c r="Y351" i="63"/>
  <c r="Y352" i="63"/>
  <c r="Y353" i="63"/>
  <c r="Y354" i="63"/>
  <c r="Y355" i="63"/>
  <c r="Y356" i="63"/>
  <c r="Y357" i="63"/>
  <c r="Y358" i="63"/>
  <c r="Y359" i="63"/>
  <c r="Y360" i="63"/>
  <c r="Y361" i="63"/>
  <c r="Y362" i="63"/>
  <c r="Y363" i="63"/>
  <c r="Y364" i="63"/>
  <c r="Y365" i="63"/>
  <c r="Y366" i="63"/>
  <c r="Y367" i="63"/>
  <c r="Y368" i="63"/>
  <c r="Y369" i="63"/>
  <c r="Y370" i="63"/>
  <c r="Y371" i="63"/>
  <c r="Y372" i="63"/>
  <c r="Y373" i="63"/>
  <c r="Y374" i="63"/>
  <c r="Y375" i="63"/>
  <c r="Y376" i="63"/>
  <c r="Y377" i="63"/>
  <c r="Y378" i="63"/>
  <c r="Y379" i="63"/>
  <c r="Y380" i="63"/>
  <c r="Y381" i="63"/>
  <c r="Y382" i="63"/>
  <c r="Y383" i="63"/>
  <c r="Y384" i="63"/>
  <c r="Y385" i="63"/>
  <c r="Y386" i="63"/>
  <c r="Y387" i="63"/>
  <c r="Y388" i="63"/>
  <c r="Y389" i="63"/>
  <c r="Y390" i="63"/>
  <c r="Y391" i="63"/>
  <c r="Y392" i="63"/>
  <c r="Y393" i="63"/>
  <c r="Y394" i="63"/>
  <c r="Y395" i="63"/>
  <c r="Y396" i="63"/>
  <c r="Y397" i="63"/>
  <c r="Y398" i="63"/>
  <c r="Y399" i="63"/>
  <c r="Y400" i="63"/>
  <c r="Y401" i="63"/>
  <c r="Y402" i="63"/>
  <c r="Y403" i="63"/>
  <c r="Y404" i="63"/>
  <c r="Y405" i="63"/>
  <c r="Y406" i="63"/>
  <c r="Y407" i="63"/>
  <c r="Y408" i="63"/>
  <c r="Y409" i="63"/>
  <c r="Y410" i="63"/>
  <c r="Y411" i="63"/>
  <c r="Y412" i="63"/>
  <c r="Y456" i="63"/>
  <c r="Y457" i="63"/>
  <c r="Y458" i="63"/>
  <c r="Y459" i="63"/>
  <c r="Y460" i="63"/>
  <c r="Y461" i="63"/>
  <c r="Y462" i="63"/>
  <c r="Y463" i="63"/>
  <c r="Y464" i="63"/>
  <c r="Y465" i="63"/>
  <c r="Y466" i="63"/>
  <c r="Y467" i="63"/>
  <c r="Y468" i="63"/>
  <c r="Y469" i="63"/>
  <c r="Y470" i="63"/>
  <c r="Y471" i="63"/>
  <c r="Y472" i="63"/>
  <c r="Y473" i="63"/>
  <c r="Y474" i="63"/>
  <c r="Y475" i="63"/>
  <c r="Y476" i="63"/>
  <c r="Y477" i="63"/>
  <c r="Y478" i="63"/>
  <c r="Y479" i="63"/>
  <c r="Y480" i="63"/>
  <c r="Y481" i="63"/>
  <c r="Y482" i="63"/>
  <c r="Y483" i="63"/>
  <c r="Y484" i="63"/>
  <c r="Y485" i="63"/>
  <c r="Y486" i="63"/>
  <c r="Y487" i="63"/>
  <c r="Y488" i="63"/>
  <c r="Y489" i="63"/>
  <c r="Y490" i="63"/>
  <c r="Y491" i="63"/>
  <c r="Y492" i="63"/>
  <c r="Y493" i="63"/>
  <c r="Y494" i="63"/>
  <c r="Y495" i="63"/>
  <c r="Y496" i="63"/>
  <c r="Y497" i="63"/>
  <c r="Y498" i="63"/>
  <c r="Y499" i="63"/>
  <c r="Y500" i="63"/>
  <c r="Y501" i="63"/>
  <c r="Y502" i="63"/>
  <c r="Y503" i="63"/>
  <c r="Y504" i="63"/>
  <c r="Y505" i="63"/>
  <c r="Y506" i="63"/>
  <c r="Y507" i="63"/>
  <c r="Y508" i="63"/>
  <c r="Y509" i="63"/>
  <c r="Y510" i="63"/>
  <c r="Y511" i="63"/>
  <c r="Y512" i="63"/>
  <c r="Y513" i="63"/>
  <c r="Y514" i="63"/>
  <c r="Y515" i="63"/>
  <c r="Y516" i="63"/>
  <c r="Y517" i="63"/>
  <c r="Y518" i="63"/>
  <c r="Y519" i="63"/>
  <c r="Y520" i="63"/>
  <c r="Y521" i="63"/>
  <c r="Y522" i="63"/>
  <c r="Y523" i="63"/>
  <c r="Y524" i="63"/>
  <c r="Y525" i="63"/>
  <c r="Y526" i="63"/>
  <c r="Y527" i="63"/>
  <c r="Y528" i="63"/>
  <c r="Y529" i="63"/>
  <c r="Y530" i="63"/>
  <c r="Y531" i="63"/>
  <c r="Y532" i="63"/>
  <c r="Y533" i="63"/>
  <c r="Y534" i="63"/>
  <c r="Y535" i="63"/>
  <c r="Y536" i="63"/>
  <c r="Y537" i="63"/>
  <c r="Y538" i="63"/>
  <c r="Y539" i="63"/>
  <c r="Y540" i="63"/>
  <c r="Y541" i="63"/>
  <c r="Y542" i="63"/>
  <c r="Y543" i="63"/>
  <c r="Y544" i="63"/>
  <c r="Y545" i="63"/>
  <c r="Y546" i="63"/>
  <c r="Y547" i="63"/>
  <c r="Y548" i="63"/>
  <c r="Y549" i="63"/>
  <c r="Y550" i="63"/>
  <c r="Y551" i="63"/>
  <c r="Y552" i="63"/>
  <c r="Y553" i="63"/>
  <c r="Y554" i="63"/>
  <c r="Y555" i="63"/>
  <c r="Y556" i="63"/>
  <c r="Y557" i="63"/>
  <c r="Y558" i="63"/>
  <c r="Y559" i="63"/>
  <c r="Y560" i="63"/>
  <c r="Y561" i="63"/>
  <c r="Y562" i="63"/>
  <c r="Y563" i="63"/>
  <c r="Y564" i="63"/>
  <c r="Y565" i="63"/>
  <c r="Y566" i="63"/>
  <c r="Y567" i="63"/>
  <c r="Y568" i="63"/>
  <c r="Y569" i="63"/>
  <c r="Y570" i="63"/>
  <c r="Y571" i="63"/>
  <c r="Y572" i="63"/>
  <c r="Y573" i="63"/>
  <c r="Y574" i="63"/>
  <c r="Y575" i="63"/>
  <c r="Y576" i="63"/>
  <c r="Y577" i="63"/>
  <c r="Y578" i="63"/>
  <c r="Y579" i="63"/>
  <c r="Y580" i="63"/>
  <c r="Y581" i="63"/>
  <c r="Y582" i="63"/>
  <c r="Y583" i="63"/>
  <c r="Y584" i="63"/>
  <c r="Y585" i="63"/>
  <c r="Y586" i="63"/>
  <c r="Y587" i="63"/>
  <c r="Y588" i="63"/>
  <c r="Y589" i="63"/>
  <c r="Y590" i="63"/>
  <c r="Y591" i="63"/>
  <c r="Y592" i="63"/>
  <c r="Y593" i="63"/>
  <c r="Y594" i="63"/>
  <c r="Y595" i="63"/>
  <c r="Y596" i="63"/>
  <c r="Y597" i="63"/>
  <c r="Y598" i="63"/>
  <c r="Y599" i="63"/>
  <c r="Y600" i="63"/>
  <c r="Y601" i="63"/>
  <c r="Y602" i="63"/>
  <c r="Y603" i="63"/>
  <c r="Y604" i="63"/>
  <c r="Y605" i="63"/>
  <c r="Y606" i="63"/>
  <c r="Y607" i="63"/>
  <c r="Y608" i="63"/>
  <c r="Y609" i="63"/>
  <c r="Y610" i="63"/>
  <c r="Y611" i="63"/>
  <c r="Y612" i="63"/>
  <c r="Y613" i="63"/>
  <c r="Y614" i="63"/>
  <c r="Y615" i="63"/>
  <c r="Y616" i="63"/>
  <c r="Y617" i="63"/>
  <c r="Y618" i="63"/>
  <c r="Y619" i="63"/>
  <c r="Y620" i="63"/>
  <c r="Y621" i="63"/>
  <c r="Y622" i="63"/>
  <c r="Y623" i="63"/>
  <c r="Y624" i="63"/>
  <c r="Y625" i="63"/>
  <c r="Y626" i="63"/>
  <c r="Y627" i="63"/>
  <c r="Y628" i="63"/>
  <c r="Y629" i="63"/>
  <c r="Y630" i="63"/>
  <c r="Y631" i="63"/>
  <c r="Y632" i="63"/>
  <c r="Y633" i="63"/>
  <c r="Y634" i="63"/>
  <c r="Y635" i="63"/>
  <c r="Y636" i="63"/>
  <c r="Y637" i="63"/>
  <c r="Y638" i="63"/>
  <c r="Y639" i="63"/>
  <c r="Y640" i="63"/>
  <c r="Y641" i="63"/>
  <c r="Y642" i="63"/>
  <c r="Y643" i="63"/>
  <c r="Y644" i="63"/>
  <c r="Y645" i="63"/>
  <c r="Y646" i="63"/>
  <c r="Y647" i="63"/>
  <c r="Y648" i="63"/>
  <c r="Y649" i="63"/>
  <c r="Y650" i="63"/>
  <c r="Y651" i="63"/>
  <c r="Y652" i="63"/>
  <c r="Y653" i="63"/>
  <c r="Y654" i="63"/>
  <c r="Y655" i="63"/>
  <c r="Y656" i="63"/>
  <c r="Y657" i="63"/>
  <c r="Y658" i="63"/>
  <c r="Y659" i="63"/>
  <c r="Y660" i="63"/>
  <c r="Y661" i="63"/>
  <c r="Y662" i="63"/>
  <c r="Y663" i="63"/>
  <c r="Y664" i="63"/>
  <c r="Y665" i="63"/>
  <c r="Y666" i="63"/>
  <c r="Y667" i="63"/>
  <c r="Y668" i="63"/>
  <c r="Y669" i="63"/>
  <c r="Y670" i="63"/>
  <c r="Y671" i="63"/>
  <c r="Y672" i="63"/>
  <c r="Y673" i="63"/>
  <c r="Y674" i="63"/>
  <c r="Y675" i="63"/>
  <c r="Y676" i="63"/>
  <c r="Y677" i="63"/>
  <c r="Y678" i="63"/>
  <c r="Y679" i="63"/>
  <c r="Y680" i="63"/>
  <c r="Y681" i="63"/>
  <c r="Y682" i="63"/>
  <c r="Y683" i="63"/>
  <c r="Y684" i="63"/>
  <c r="Y685" i="63"/>
  <c r="Y686" i="63"/>
  <c r="Y687" i="63"/>
  <c r="Y688" i="63"/>
  <c r="Y689" i="63"/>
  <c r="Y690" i="63"/>
  <c r="Y691" i="63"/>
  <c r="Y692" i="63"/>
  <c r="Y693" i="63"/>
  <c r="Y694" i="63"/>
  <c r="Y695" i="63"/>
  <c r="Y696" i="63"/>
  <c r="Y697" i="63"/>
  <c r="Y698" i="63"/>
  <c r="Y699" i="63"/>
  <c r="Y700" i="63"/>
  <c r="Y701" i="63"/>
  <c r="Y702" i="63"/>
  <c r="Y703" i="63"/>
  <c r="Y704" i="63"/>
  <c r="Y705" i="63"/>
  <c r="Y706" i="63"/>
  <c r="Y707" i="63"/>
  <c r="Y708" i="63"/>
  <c r="Y709" i="63"/>
  <c r="Y710" i="63"/>
  <c r="Y711" i="63"/>
  <c r="Y712" i="63"/>
  <c r="Y713" i="63"/>
  <c r="Y714" i="63"/>
  <c r="Y715" i="63"/>
  <c r="Y716" i="63"/>
  <c r="Y717" i="63"/>
  <c r="Y718" i="63"/>
  <c r="Y719" i="63"/>
  <c r="Y720" i="63"/>
  <c r="Y721" i="63"/>
  <c r="Y722" i="63"/>
  <c r="Y723" i="63"/>
  <c r="Y724" i="63"/>
  <c r="Y725" i="63"/>
  <c r="Y726" i="63"/>
  <c r="Y727" i="63"/>
  <c r="Y728" i="63"/>
  <c r="Y729" i="63"/>
  <c r="Y730" i="63"/>
  <c r="Y731" i="63"/>
  <c r="Y732" i="63"/>
  <c r="Y733" i="63"/>
  <c r="Y734" i="63"/>
  <c r="Y735" i="63"/>
  <c r="Y736" i="63"/>
  <c r="Y737" i="63"/>
  <c r="Y738" i="63"/>
  <c r="Y739" i="63"/>
  <c r="Y740" i="63"/>
  <c r="Y741" i="63"/>
  <c r="Y742" i="63"/>
  <c r="Y743" i="63"/>
  <c r="Y744" i="63"/>
  <c r="Y745" i="63"/>
  <c r="Y746" i="63"/>
  <c r="Y747" i="63"/>
  <c r="Y748" i="63"/>
  <c r="Y749" i="63"/>
  <c r="Y750" i="63"/>
  <c r="Y751" i="63"/>
  <c r="Y752" i="63"/>
  <c r="Y753" i="63"/>
  <c r="Y754" i="63"/>
  <c r="Y755" i="63"/>
  <c r="Y756" i="63"/>
  <c r="Y757" i="63"/>
  <c r="Y758" i="63"/>
  <c r="Y759" i="63"/>
  <c r="Y760" i="63"/>
  <c r="Y761" i="63"/>
  <c r="Y762" i="63"/>
  <c r="Y763" i="63"/>
  <c r="Y764" i="63"/>
  <c r="Y765" i="63"/>
  <c r="Y766" i="63"/>
  <c r="Y767" i="63"/>
  <c r="Y768" i="63"/>
  <c r="Y769" i="63"/>
  <c r="Y770" i="63"/>
  <c r="Y771" i="63"/>
  <c r="Y772" i="63"/>
  <c r="Y773" i="63"/>
  <c r="Y774" i="63"/>
  <c r="Y775" i="63"/>
  <c r="Y776" i="63"/>
  <c r="Y777" i="63"/>
  <c r="Y778" i="63"/>
  <c r="Y779" i="63"/>
  <c r="Y780" i="63"/>
  <c r="Y781" i="63"/>
  <c r="Y782" i="63"/>
  <c r="Y783" i="63"/>
  <c r="Y784" i="63"/>
  <c r="Y785" i="63"/>
  <c r="Y786" i="63"/>
  <c r="Y787" i="63"/>
  <c r="Y788" i="63"/>
  <c r="Y789" i="63"/>
  <c r="Y790" i="63"/>
  <c r="Y791" i="63"/>
  <c r="Y792" i="63"/>
  <c r="Y793" i="63"/>
  <c r="Y794" i="63"/>
  <c r="Y795" i="63"/>
  <c r="Y796" i="63"/>
  <c r="Y797" i="63"/>
  <c r="Y798" i="63"/>
  <c r="Y799" i="63"/>
  <c r="Y800" i="63"/>
  <c r="Y801" i="63"/>
  <c r="Y802" i="63"/>
  <c r="Y803" i="63"/>
  <c r="Y804" i="63"/>
  <c r="Y805" i="63"/>
  <c r="Y806" i="63"/>
  <c r="Y807" i="63"/>
  <c r="Y808" i="63"/>
  <c r="Y809" i="63"/>
  <c r="Y810" i="63"/>
  <c r="Y811" i="63"/>
  <c r="Y14" i="63"/>
  <c r="S729" i="63"/>
  <c r="U729" i="63" s="1"/>
  <c r="W729" i="63"/>
  <c r="S730" i="63"/>
  <c r="U730" i="63" s="1"/>
  <c r="W730" i="63"/>
  <c r="S731" i="63"/>
  <c r="U731" i="63" s="1"/>
  <c r="W731" i="63"/>
  <c r="S732" i="63"/>
  <c r="U732" i="63" s="1"/>
  <c r="W732" i="63"/>
  <c r="S733" i="63"/>
  <c r="U733" i="63" s="1"/>
  <c r="W733" i="63"/>
  <c r="S734" i="63"/>
  <c r="U734" i="63" s="1"/>
  <c r="W734" i="63"/>
  <c r="S735" i="63"/>
  <c r="U735" i="63" s="1"/>
  <c r="W735" i="63"/>
  <c r="S736" i="63"/>
  <c r="U736" i="63" s="1"/>
  <c r="W736" i="63"/>
  <c r="S737" i="63"/>
  <c r="U737" i="63" s="1"/>
  <c r="W737" i="63"/>
  <c r="S738" i="63"/>
  <c r="U738" i="63" s="1"/>
  <c r="W738" i="63"/>
  <c r="S739" i="63"/>
  <c r="U739" i="63" s="1"/>
  <c r="W739" i="63"/>
  <c r="S740" i="63"/>
  <c r="U740" i="63" s="1"/>
  <c r="W740" i="63"/>
  <c r="S741" i="63"/>
  <c r="U741" i="63" s="1"/>
  <c r="W741" i="63"/>
  <c r="S742" i="63"/>
  <c r="U742" i="63" s="1"/>
  <c r="W742" i="63"/>
  <c r="S743" i="63"/>
  <c r="U743" i="63" s="1"/>
  <c r="W743" i="63"/>
  <c r="S744" i="63"/>
  <c r="U744" i="63" s="1"/>
  <c r="W744" i="63"/>
  <c r="S745" i="63"/>
  <c r="U745" i="63" s="1"/>
  <c r="W745" i="63"/>
  <c r="S746" i="63"/>
  <c r="U746" i="63" s="1"/>
  <c r="W746" i="63"/>
  <c r="S747" i="63"/>
  <c r="U747" i="63" s="1"/>
  <c r="W747" i="63"/>
  <c r="S748" i="63"/>
  <c r="U748" i="63" s="1"/>
  <c r="W748" i="63"/>
  <c r="S749" i="63"/>
  <c r="U749" i="63" s="1"/>
  <c r="W749" i="63"/>
  <c r="S750" i="63"/>
  <c r="U750" i="63" s="1"/>
  <c r="W750" i="63"/>
  <c r="S751" i="63"/>
  <c r="U751" i="63" s="1"/>
  <c r="W751" i="63"/>
  <c r="S752" i="63"/>
  <c r="U752" i="63" s="1"/>
  <c r="W752" i="63"/>
  <c r="S753" i="63"/>
  <c r="U753" i="63" s="1"/>
  <c r="W753" i="63"/>
  <c r="S754" i="63"/>
  <c r="U754" i="63" s="1"/>
  <c r="W754" i="63"/>
  <c r="S755" i="63"/>
  <c r="U755" i="63" s="1"/>
  <c r="W755" i="63"/>
  <c r="S756" i="63"/>
  <c r="U756" i="63" s="1"/>
  <c r="W756" i="63"/>
  <c r="S757" i="63"/>
  <c r="U757" i="63" s="1"/>
  <c r="W757" i="63"/>
  <c r="S758" i="63"/>
  <c r="U758" i="63" s="1"/>
  <c r="W758" i="63"/>
  <c r="S759" i="63"/>
  <c r="U759" i="63" s="1"/>
  <c r="W759" i="63"/>
  <c r="S760" i="63"/>
  <c r="U760" i="63" s="1"/>
  <c r="W760" i="63"/>
  <c r="S761" i="63"/>
  <c r="U761" i="63" s="1"/>
  <c r="W761" i="63"/>
  <c r="S762" i="63"/>
  <c r="U762" i="63" s="1"/>
  <c r="W762" i="63"/>
  <c r="S763" i="63"/>
  <c r="U763" i="63" s="1"/>
  <c r="W763" i="63"/>
  <c r="S764" i="63"/>
  <c r="U764" i="63" s="1"/>
  <c r="W764" i="63"/>
  <c r="S765" i="63"/>
  <c r="U765" i="63" s="1"/>
  <c r="W765" i="63"/>
  <c r="S766" i="63"/>
  <c r="U766" i="63" s="1"/>
  <c r="W766" i="63"/>
  <c r="S767" i="63"/>
  <c r="U767" i="63" s="1"/>
  <c r="W767" i="63"/>
  <c r="S768" i="63"/>
  <c r="U768" i="63" s="1"/>
  <c r="W768" i="63"/>
  <c r="S769" i="63"/>
  <c r="U769" i="63" s="1"/>
  <c r="W769" i="63"/>
  <c r="S770" i="63"/>
  <c r="U770" i="63" s="1"/>
  <c r="W770" i="63"/>
  <c r="S787" i="63"/>
  <c r="U787" i="63" s="1"/>
  <c r="W787" i="63"/>
  <c r="S788" i="63"/>
  <c r="U788" i="63" s="1"/>
  <c r="W788" i="63"/>
  <c r="S789" i="63"/>
  <c r="U789" i="63" s="1"/>
  <c r="W789" i="63"/>
  <c r="S790" i="63"/>
  <c r="U790" i="63" s="1"/>
  <c r="W790" i="63"/>
  <c r="S791" i="63"/>
  <c r="U791" i="63" s="1"/>
  <c r="W791" i="63"/>
  <c r="S792" i="63"/>
  <c r="U792" i="63" s="1"/>
  <c r="W792" i="63"/>
  <c r="S793" i="63"/>
  <c r="U793" i="63" s="1"/>
  <c r="W793" i="63"/>
  <c r="S794" i="63"/>
  <c r="U794" i="63" s="1"/>
  <c r="W794" i="63"/>
  <c r="S795" i="63"/>
  <c r="U795" i="63" s="1"/>
  <c r="W795" i="63"/>
  <c r="S796" i="63"/>
  <c r="U796" i="63" s="1"/>
  <c r="W796" i="63"/>
  <c r="S797" i="63"/>
  <c r="U797" i="63" s="1"/>
  <c r="W797" i="63"/>
  <c r="S798" i="63"/>
  <c r="U798" i="63" s="1"/>
  <c r="W798" i="63"/>
  <c r="S799" i="63"/>
  <c r="U799" i="63" s="1"/>
  <c r="W799" i="63"/>
  <c r="S800" i="63"/>
  <c r="U800" i="63" s="1"/>
  <c r="W800" i="63"/>
  <c r="S801" i="63"/>
  <c r="U801" i="63" s="1"/>
  <c r="W801" i="63"/>
  <c r="S802" i="63"/>
  <c r="U802" i="63" s="1"/>
  <c r="W802" i="63"/>
  <c r="S803" i="63"/>
  <c r="U803" i="63" s="1"/>
  <c r="W803" i="63"/>
  <c r="S804" i="63"/>
  <c r="U804" i="63" s="1"/>
  <c r="W804" i="63"/>
  <c r="S805" i="63"/>
  <c r="U805" i="63" s="1"/>
  <c r="W805" i="63"/>
  <c r="S806" i="63"/>
  <c r="U806" i="63" s="1"/>
  <c r="W806" i="63"/>
  <c r="S807" i="63"/>
  <c r="U807" i="63" s="1"/>
  <c r="W807" i="63"/>
  <c r="S808" i="63"/>
  <c r="U808" i="63" s="1"/>
  <c r="W808" i="63"/>
  <c r="S809" i="63"/>
  <c r="U809" i="63" s="1"/>
  <c r="W809" i="63"/>
  <c r="S810" i="63"/>
  <c r="U810" i="63" s="1"/>
  <c r="W810" i="63"/>
  <c r="S811" i="63"/>
  <c r="U811" i="63" s="1"/>
  <c r="W811" i="63"/>
  <c r="O42" i="52" l="1"/>
  <c r="P41" i="52"/>
  <c r="C867" i="95"/>
  <c r="C1632" i="95"/>
  <c r="X888" i="63"/>
  <c r="X886" i="63"/>
  <c r="X884" i="63"/>
  <c r="X882" i="63"/>
  <c r="X880" i="63"/>
  <c r="X878" i="63"/>
  <c r="X876" i="63"/>
  <c r="X874" i="63"/>
  <c r="X872" i="63"/>
  <c r="X870" i="63"/>
  <c r="T850" i="63"/>
  <c r="X850" i="63"/>
  <c r="X889" i="63"/>
  <c r="X887" i="63"/>
  <c r="X885" i="63"/>
  <c r="X883" i="63"/>
  <c r="X881" i="63"/>
  <c r="X879" i="63"/>
  <c r="X877" i="63"/>
  <c r="X875" i="63"/>
  <c r="X873" i="63"/>
  <c r="X871" i="63"/>
  <c r="T851" i="63"/>
  <c r="X851" i="63"/>
  <c r="T849" i="63"/>
  <c r="X849" i="63"/>
  <c r="AC484" i="63"/>
  <c r="R484" i="63" s="1"/>
  <c r="AC15" i="63"/>
  <c r="R15" i="63" s="1"/>
  <c r="AC16" i="63"/>
  <c r="R16" i="63" s="1"/>
  <c r="AC17" i="63"/>
  <c r="R17" i="63" s="1"/>
  <c r="AC18" i="63"/>
  <c r="R18" i="63" s="1"/>
  <c r="AC19" i="63"/>
  <c r="R19" i="63" s="1"/>
  <c r="AC20" i="63"/>
  <c r="R20" i="63" s="1"/>
  <c r="AC21" i="63"/>
  <c r="R21" i="63" s="1"/>
  <c r="AC22" i="63"/>
  <c r="R22" i="63" s="1"/>
  <c r="AC23" i="63"/>
  <c r="R23" i="63" s="1"/>
  <c r="AC24" i="63"/>
  <c r="R24" i="63" s="1"/>
  <c r="AC25" i="63"/>
  <c r="R25" i="63" s="1"/>
  <c r="AC26" i="63"/>
  <c r="R26" i="63" s="1"/>
  <c r="AC27" i="63"/>
  <c r="R27" i="63" s="1"/>
  <c r="AC28" i="63"/>
  <c r="R28" i="63" s="1"/>
  <c r="AC29" i="63"/>
  <c r="R29" i="63" s="1"/>
  <c r="AC30" i="63"/>
  <c r="R30" i="63" s="1"/>
  <c r="AC31" i="63"/>
  <c r="R31" i="63" s="1"/>
  <c r="AC32" i="63"/>
  <c r="R32" i="63" s="1"/>
  <c r="AC33" i="63"/>
  <c r="R33" i="63" s="1"/>
  <c r="AC34" i="63"/>
  <c r="R34" i="63" s="1"/>
  <c r="AC35" i="63"/>
  <c r="R35" i="63" s="1"/>
  <c r="AC36" i="63"/>
  <c r="R36" i="63" s="1"/>
  <c r="AC37" i="63"/>
  <c r="R37" i="63" s="1"/>
  <c r="AC38" i="63"/>
  <c r="R38" i="63" s="1"/>
  <c r="AC39" i="63"/>
  <c r="R39" i="63" s="1"/>
  <c r="AC40" i="63"/>
  <c r="R40" i="63" s="1"/>
  <c r="AC41" i="63"/>
  <c r="R41" i="63" s="1"/>
  <c r="AC42" i="63"/>
  <c r="R42" i="63" s="1"/>
  <c r="AC43" i="63"/>
  <c r="R43" i="63" s="1"/>
  <c r="AC44" i="63"/>
  <c r="R44" i="63" s="1"/>
  <c r="AC45" i="63"/>
  <c r="R45" i="63" s="1"/>
  <c r="AC46" i="63"/>
  <c r="R46" i="63" s="1"/>
  <c r="AC47" i="63"/>
  <c r="R47" i="63" s="1"/>
  <c r="AC48" i="63"/>
  <c r="R48" i="63" s="1"/>
  <c r="AC49" i="63"/>
  <c r="R49" i="63" s="1"/>
  <c r="AC50" i="63"/>
  <c r="R50" i="63" s="1"/>
  <c r="AC51" i="63"/>
  <c r="R51" i="63" s="1"/>
  <c r="AC52" i="63"/>
  <c r="R52" i="63" s="1"/>
  <c r="AC53" i="63"/>
  <c r="R53" i="63" s="1"/>
  <c r="AC54" i="63"/>
  <c r="R54" i="63" s="1"/>
  <c r="AC55" i="63"/>
  <c r="R55" i="63" s="1"/>
  <c r="AC56" i="63"/>
  <c r="R56" i="63" s="1"/>
  <c r="AC57" i="63"/>
  <c r="R57" i="63" s="1"/>
  <c r="AC58" i="63"/>
  <c r="R58" i="63" s="1"/>
  <c r="AC59" i="63"/>
  <c r="R59" i="63" s="1"/>
  <c r="AC60" i="63"/>
  <c r="R60" i="63" s="1"/>
  <c r="AC61" i="63"/>
  <c r="R61" i="63" s="1"/>
  <c r="AC62" i="63"/>
  <c r="R62" i="63" s="1"/>
  <c r="AC63" i="63"/>
  <c r="R63" i="63" s="1"/>
  <c r="AC64" i="63"/>
  <c r="R64" i="63" s="1"/>
  <c r="AC65" i="63"/>
  <c r="R65" i="63" s="1"/>
  <c r="AC66" i="63"/>
  <c r="R66" i="63" s="1"/>
  <c r="AC67" i="63"/>
  <c r="R67" i="63" s="1"/>
  <c r="AC68" i="63"/>
  <c r="R68" i="63" s="1"/>
  <c r="AC69" i="63"/>
  <c r="R69" i="63" s="1"/>
  <c r="AC70" i="63"/>
  <c r="R70" i="63" s="1"/>
  <c r="AC71" i="63"/>
  <c r="R71" i="63" s="1"/>
  <c r="AC72" i="63"/>
  <c r="R72" i="63" s="1"/>
  <c r="AC73" i="63"/>
  <c r="R73" i="63" s="1"/>
  <c r="AC74" i="63"/>
  <c r="R74" i="63" s="1"/>
  <c r="AC75" i="63"/>
  <c r="R75" i="63" s="1"/>
  <c r="AC76" i="63"/>
  <c r="R76" i="63" s="1"/>
  <c r="AC77" i="63"/>
  <c r="R77" i="63" s="1"/>
  <c r="AC78" i="63"/>
  <c r="R78" i="63" s="1"/>
  <c r="AC79" i="63"/>
  <c r="R79" i="63" s="1"/>
  <c r="AC80" i="63"/>
  <c r="R80" i="63" s="1"/>
  <c r="AC81" i="63"/>
  <c r="R81" i="63" s="1"/>
  <c r="AC83" i="63"/>
  <c r="R83" i="63" s="1"/>
  <c r="AC84" i="63"/>
  <c r="R84" i="63" s="1"/>
  <c r="AC85" i="63"/>
  <c r="R85" i="63" s="1"/>
  <c r="AC86" i="63"/>
  <c r="R86" i="63" s="1"/>
  <c r="AC87" i="63"/>
  <c r="R87" i="63" s="1"/>
  <c r="AC88" i="63"/>
  <c r="R88" i="63" s="1"/>
  <c r="AC89" i="63"/>
  <c r="R89" i="63" s="1"/>
  <c r="AC90" i="63"/>
  <c r="R90" i="63" s="1"/>
  <c r="AC91" i="63"/>
  <c r="R91" i="63" s="1"/>
  <c r="AC92" i="63"/>
  <c r="R92" i="63" s="1"/>
  <c r="AC93" i="63"/>
  <c r="R93" i="63" s="1"/>
  <c r="AC94" i="63"/>
  <c r="R94" i="63" s="1"/>
  <c r="AC95" i="63"/>
  <c r="R95" i="63" s="1"/>
  <c r="AC96" i="63"/>
  <c r="R96" i="63" s="1"/>
  <c r="AC97" i="63"/>
  <c r="R97" i="63" s="1"/>
  <c r="AC98" i="63"/>
  <c r="R98" i="63" s="1"/>
  <c r="AC99" i="63"/>
  <c r="R99" i="63" s="1"/>
  <c r="AC100" i="63"/>
  <c r="R100" i="63" s="1"/>
  <c r="AC101" i="63"/>
  <c r="R101" i="63" s="1"/>
  <c r="AC102" i="63"/>
  <c r="R102" i="63" s="1"/>
  <c r="AC103" i="63"/>
  <c r="R103" i="63" s="1"/>
  <c r="AC104" i="63"/>
  <c r="R104" i="63" s="1"/>
  <c r="AC105" i="63"/>
  <c r="R105" i="63" s="1"/>
  <c r="AC106" i="63"/>
  <c r="R106" i="63" s="1"/>
  <c r="AC107" i="63"/>
  <c r="R107" i="63" s="1"/>
  <c r="AC108" i="63"/>
  <c r="R108" i="63" s="1"/>
  <c r="AC109" i="63"/>
  <c r="R109" i="63" s="1"/>
  <c r="AC110" i="63"/>
  <c r="R110" i="63" s="1"/>
  <c r="AC111" i="63"/>
  <c r="R111" i="63" s="1"/>
  <c r="AC112" i="63"/>
  <c r="R112" i="63" s="1"/>
  <c r="AC113" i="63"/>
  <c r="R113" i="63" s="1"/>
  <c r="AC114" i="63"/>
  <c r="R114" i="63" s="1"/>
  <c r="AC115" i="63"/>
  <c r="R115" i="63" s="1"/>
  <c r="AC116" i="63"/>
  <c r="R116" i="63" s="1"/>
  <c r="AC117" i="63"/>
  <c r="R117" i="63" s="1"/>
  <c r="AC118" i="63"/>
  <c r="R118" i="63" s="1"/>
  <c r="AC119" i="63"/>
  <c r="R119" i="63" s="1"/>
  <c r="AC120" i="63"/>
  <c r="R120" i="63" s="1"/>
  <c r="AC121" i="63"/>
  <c r="R121" i="63" s="1"/>
  <c r="AC122" i="63"/>
  <c r="R122" i="63" s="1"/>
  <c r="AC123" i="63"/>
  <c r="R123" i="63" s="1"/>
  <c r="AC124" i="63"/>
  <c r="R124" i="63" s="1"/>
  <c r="AC125" i="63"/>
  <c r="R125" i="63" s="1"/>
  <c r="AC126" i="63"/>
  <c r="R126" i="63" s="1"/>
  <c r="AC127" i="63"/>
  <c r="R127" i="63" s="1"/>
  <c r="AC128" i="63"/>
  <c r="R128" i="63" s="1"/>
  <c r="AC129" i="63"/>
  <c r="R129" i="63" s="1"/>
  <c r="AC130" i="63"/>
  <c r="R130" i="63" s="1"/>
  <c r="AC131" i="63"/>
  <c r="R131" i="63" s="1"/>
  <c r="AC132" i="63"/>
  <c r="R132" i="63" s="1"/>
  <c r="AC133" i="63"/>
  <c r="R133" i="63" s="1"/>
  <c r="AC134" i="63"/>
  <c r="R134" i="63" s="1"/>
  <c r="AC135" i="63"/>
  <c r="R135" i="63" s="1"/>
  <c r="AC136" i="63"/>
  <c r="R136" i="63" s="1"/>
  <c r="AC137" i="63"/>
  <c r="R137" i="63" s="1"/>
  <c r="AC138" i="63"/>
  <c r="R138" i="63" s="1"/>
  <c r="AC139" i="63"/>
  <c r="R139" i="63" s="1"/>
  <c r="AC140" i="63"/>
  <c r="R140" i="63" s="1"/>
  <c r="AC141" i="63"/>
  <c r="R141" i="63" s="1"/>
  <c r="AC142" i="63"/>
  <c r="R142" i="63" s="1"/>
  <c r="AC143" i="63"/>
  <c r="R143" i="63" s="1"/>
  <c r="AC144" i="63"/>
  <c r="R144" i="63" s="1"/>
  <c r="AC145" i="63"/>
  <c r="R145" i="63" s="1"/>
  <c r="AC146" i="63"/>
  <c r="R146" i="63" s="1"/>
  <c r="AC147" i="63"/>
  <c r="R147" i="63" s="1"/>
  <c r="AC148" i="63"/>
  <c r="R148" i="63" s="1"/>
  <c r="AC149" i="63"/>
  <c r="R149" i="63" s="1"/>
  <c r="AC150" i="63"/>
  <c r="R150" i="63" s="1"/>
  <c r="AC151" i="63"/>
  <c r="R151" i="63" s="1"/>
  <c r="AC152" i="63"/>
  <c r="R152" i="63" s="1"/>
  <c r="AC153" i="63"/>
  <c r="R153" i="63" s="1"/>
  <c r="AC154" i="63"/>
  <c r="R154" i="63" s="1"/>
  <c r="AC155" i="63"/>
  <c r="R155" i="63" s="1"/>
  <c r="AC156" i="63"/>
  <c r="R156" i="63" s="1"/>
  <c r="AC157" i="63"/>
  <c r="R157" i="63" s="1"/>
  <c r="AC158" i="63"/>
  <c r="R158" i="63" s="1"/>
  <c r="AC159" i="63"/>
  <c r="R159" i="63" s="1"/>
  <c r="AC160" i="63"/>
  <c r="R160" i="63" s="1"/>
  <c r="AC161" i="63"/>
  <c r="R161" i="63" s="1"/>
  <c r="AC162" i="63"/>
  <c r="R162" i="63" s="1"/>
  <c r="AC163" i="63"/>
  <c r="R163" i="63" s="1"/>
  <c r="AC164" i="63"/>
  <c r="R164" i="63" s="1"/>
  <c r="AC165" i="63"/>
  <c r="R165" i="63" s="1"/>
  <c r="AC166" i="63"/>
  <c r="R166" i="63" s="1"/>
  <c r="AC167" i="63"/>
  <c r="R167" i="63" s="1"/>
  <c r="AC168" i="63"/>
  <c r="R168" i="63" s="1"/>
  <c r="AC169" i="63"/>
  <c r="R169" i="63" s="1"/>
  <c r="AC170" i="63"/>
  <c r="R170" i="63" s="1"/>
  <c r="AC171" i="63"/>
  <c r="R171" i="63" s="1"/>
  <c r="AC172" i="63"/>
  <c r="R172" i="63" s="1"/>
  <c r="AC173" i="63"/>
  <c r="R173" i="63" s="1"/>
  <c r="AC174" i="63"/>
  <c r="R174" i="63" s="1"/>
  <c r="AC175" i="63"/>
  <c r="R175" i="63" s="1"/>
  <c r="AC176" i="63"/>
  <c r="R176" i="63" s="1"/>
  <c r="AC177" i="63"/>
  <c r="R177" i="63" s="1"/>
  <c r="AC178" i="63"/>
  <c r="R178" i="63" s="1"/>
  <c r="AC179" i="63"/>
  <c r="R179" i="63" s="1"/>
  <c r="AC180" i="63"/>
  <c r="R180" i="63" s="1"/>
  <c r="AC181" i="63"/>
  <c r="R181" i="63" s="1"/>
  <c r="AC182" i="63"/>
  <c r="R182" i="63" s="1"/>
  <c r="AC183" i="63"/>
  <c r="R183" i="63" s="1"/>
  <c r="AC184" i="63"/>
  <c r="R184" i="63" s="1"/>
  <c r="AC185" i="63"/>
  <c r="R185" i="63" s="1"/>
  <c r="AC186" i="63"/>
  <c r="R186" i="63" s="1"/>
  <c r="AC187" i="63"/>
  <c r="R187" i="63" s="1"/>
  <c r="AC188" i="63"/>
  <c r="R188" i="63" s="1"/>
  <c r="AC189" i="63"/>
  <c r="R189" i="63" s="1"/>
  <c r="AC190" i="63"/>
  <c r="R190" i="63" s="1"/>
  <c r="AC191" i="63"/>
  <c r="R191" i="63" s="1"/>
  <c r="AC192" i="63"/>
  <c r="R192" i="63" s="1"/>
  <c r="AC193" i="63"/>
  <c r="R193" i="63" s="1"/>
  <c r="AC194" i="63"/>
  <c r="R194" i="63" s="1"/>
  <c r="AC195" i="63"/>
  <c r="R195" i="63" s="1"/>
  <c r="AC196" i="63"/>
  <c r="R196" i="63" s="1"/>
  <c r="AC197" i="63"/>
  <c r="R197" i="63" s="1"/>
  <c r="AC198" i="63"/>
  <c r="R198" i="63" s="1"/>
  <c r="AC199" i="63"/>
  <c r="R199" i="63" s="1"/>
  <c r="AC200" i="63"/>
  <c r="R200" i="63" s="1"/>
  <c r="AC201" i="63"/>
  <c r="R201" i="63" s="1"/>
  <c r="AC202" i="63"/>
  <c r="R202" i="63" s="1"/>
  <c r="AC203" i="63"/>
  <c r="R203" i="63" s="1"/>
  <c r="AC204" i="63"/>
  <c r="R204" i="63" s="1"/>
  <c r="AC205" i="63"/>
  <c r="R205" i="63" s="1"/>
  <c r="AC206" i="63"/>
  <c r="R206" i="63" s="1"/>
  <c r="AC207" i="63"/>
  <c r="R207" i="63" s="1"/>
  <c r="AC208" i="63"/>
  <c r="R208" i="63" s="1"/>
  <c r="AC209" i="63"/>
  <c r="R209" i="63" s="1"/>
  <c r="AC210" i="63"/>
  <c r="R210" i="63" s="1"/>
  <c r="AC211" i="63"/>
  <c r="R211" i="63" s="1"/>
  <c r="AC212" i="63"/>
  <c r="R212" i="63" s="1"/>
  <c r="AC213" i="63"/>
  <c r="R213" i="63" s="1"/>
  <c r="AC214" i="63"/>
  <c r="R214" i="63" s="1"/>
  <c r="AC215" i="63"/>
  <c r="R215" i="63" s="1"/>
  <c r="AC216" i="63"/>
  <c r="R216" i="63" s="1"/>
  <c r="AC217" i="63"/>
  <c r="R217" i="63" s="1"/>
  <c r="AC218" i="63"/>
  <c r="R218" i="63" s="1"/>
  <c r="AC219" i="63"/>
  <c r="R219" i="63" s="1"/>
  <c r="AC220" i="63"/>
  <c r="R220" i="63" s="1"/>
  <c r="AC221" i="63"/>
  <c r="R221" i="63" s="1"/>
  <c r="AC222" i="63"/>
  <c r="R222" i="63" s="1"/>
  <c r="AC223" i="63"/>
  <c r="R223" i="63" s="1"/>
  <c r="AC224" i="63"/>
  <c r="R224" i="63" s="1"/>
  <c r="AC225" i="63"/>
  <c r="R225" i="63" s="1"/>
  <c r="AC226" i="63"/>
  <c r="R226" i="63" s="1"/>
  <c r="AC227" i="63"/>
  <c r="R227" i="63" s="1"/>
  <c r="AC228" i="63"/>
  <c r="R228" i="63" s="1"/>
  <c r="AC229" i="63"/>
  <c r="R229" i="63" s="1"/>
  <c r="AC230" i="63"/>
  <c r="R230" i="63" s="1"/>
  <c r="AC231" i="63"/>
  <c r="R231" i="63" s="1"/>
  <c r="AC232" i="63"/>
  <c r="R232" i="63" s="1"/>
  <c r="AC233" i="63"/>
  <c r="R233" i="63" s="1"/>
  <c r="AC234" i="63"/>
  <c r="R234" i="63" s="1"/>
  <c r="AC235" i="63"/>
  <c r="R235" i="63" s="1"/>
  <c r="AC236" i="63"/>
  <c r="R236" i="63" s="1"/>
  <c r="AC237" i="63"/>
  <c r="R237" i="63" s="1"/>
  <c r="AC238" i="63"/>
  <c r="R238" i="63" s="1"/>
  <c r="AC239" i="63"/>
  <c r="R239" i="63" s="1"/>
  <c r="AC240" i="63"/>
  <c r="R240" i="63" s="1"/>
  <c r="AC241" i="63"/>
  <c r="R241" i="63" s="1"/>
  <c r="AC242" i="63"/>
  <c r="R242" i="63" s="1"/>
  <c r="AC243" i="63"/>
  <c r="R243" i="63" s="1"/>
  <c r="AC244" i="63"/>
  <c r="R244" i="63" s="1"/>
  <c r="AC245" i="63"/>
  <c r="R245" i="63" s="1"/>
  <c r="AC246" i="63"/>
  <c r="R246" i="63" s="1"/>
  <c r="AC247" i="63"/>
  <c r="R247" i="63" s="1"/>
  <c r="AC248" i="63"/>
  <c r="R248" i="63" s="1"/>
  <c r="AC249" i="63"/>
  <c r="R249" i="63" s="1"/>
  <c r="AC250" i="63"/>
  <c r="R250" i="63" s="1"/>
  <c r="AC251" i="63"/>
  <c r="R251" i="63" s="1"/>
  <c r="AC252" i="63"/>
  <c r="R252" i="63" s="1"/>
  <c r="AC253" i="63"/>
  <c r="R253" i="63" s="1"/>
  <c r="AC254" i="63"/>
  <c r="R254" i="63" s="1"/>
  <c r="AC255" i="63"/>
  <c r="R255" i="63" s="1"/>
  <c r="AC256" i="63"/>
  <c r="R256" i="63" s="1"/>
  <c r="AC257" i="63"/>
  <c r="R257" i="63" s="1"/>
  <c r="AC258" i="63"/>
  <c r="R258" i="63" s="1"/>
  <c r="AC259" i="63"/>
  <c r="R259" i="63" s="1"/>
  <c r="AC260" i="63"/>
  <c r="R260" i="63" s="1"/>
  <c r="AC261" i="63"/>
  <c r="R261" i="63" s="1"/>
  <c r="AC262" i="63"/>
  <c r="R262" i="63" s="1"/>
  <c r="AC263" i="63"/>
  <c r="R263" i="63" s="1"/>
  <c r="AC274" i="63"/>
  <c r="R274" i="63" s="1"/>
  <c r="AC275" i="63"/>
  <c r="R275" i="63" s="1"/>
  <c r="AC276" i="63"/>
  <c r="R276" i="63" s="1"/>
  <c r="AC277" i="63"/>
  <c r="R277" i="63" s="1"/>
  <c r="AC278" i="63"/>
  <c r="R278" i="63" s="1"/>
  <c r="AC279" i="63"/>
  <c r="R279" i="63" s="1"/>
  <c r="AC280" i="63"/>
  <c r="R280" i="63" s="1"/>
  <c r="AC281" i="63"/>
  <c r="R281" i="63" s="1"/>
  <c r="AC282" i="63"/>
  <c r="R282" i="63" s="1"/>
  <c r="AC283" i="63"/>
  <c r="R283" i="63" s="1"/>
  <c r="AC284" i="63"/>
  <c r="R284" i="63" s="1"/>
  <c r="AC285" i="63"/>
  <c r="R285" i="63" s="1"/>
  <c r="AC286" i="63"/>
  <c r="R286" i="63" s="1"/>
  <c r="AC287" i="63"/>
  <c r="R287" i="63" s="1"/>
  <c r="AC288" i="63"/>
  <c r="R288" i="63" s="1"/>
  <c r="AC289" i="63"/>
  <c r="R289" i="63" s="1"/>
  <c r="AC290" i="63"/>
  <c r="R290" i="63" s="1"/>
  <c r="AC291" i="63"/>
  <c r="R291" i="63" s="1"/>
  <c r="AC292" i="63"/>
  <c r="R292" i="63" s="1"/>
  <c r="AC293" i="63"/>
  <c r="R293" i="63" s="1"/>
  <c r="AC294" i="63"/>
  <c r="R294" i="63" s="1"/>
  <c r="AC295" i="63"/>
  <c r="R295" i="63" s="1"/>
  <c r="AC296" i="63"/>
  <c r="R296" i="63" s="1"/>
  <c r="AC297" i="63"/>
  <c r="R297" i="63" s="1"/>
  <c r="AC298" i="63"/>
  <c r="R298" i="63" s="1"/>
  <c r="AC299" i="63"/>
  <c r="R299" i="63" s="1"/>
  <c r="AC300" i="63"/>
  <c r="R300" i="63" s="1"/>
  <c r="AC301" i="63"/>
  <c r="R301" i="63" s="1"/>
  <c r="AC302" i="63"/>
  <c r="R302" i="63" s="1"/>
  <c r="AC303" i="63"/>
  <c r="R303" i="63" s="1"/>
  <c r="AC304" i="63"/>
  <c r="R304" i="63" s="1"/>
  <c r="AC305" i="63"/>
  <c r="R305" i="63" s="1"/>
  <c r="AC306" i="63"/>
  <c r="R306" i="63" s="1"/>
  <c r="AC307" i="63"/>
  <c r="R307" i="63" s="1"/>
  <c r="AC308" i="63"/>
  <c r="R308" i="63" s="1"/>
  <c r="AC309" i="63"/>
  <c r="R309" i="63" s="1"/>
  <c r="AC310" i="63"/>
  <c r="R310" i="63" s="1"/>
  <c r="AC311" i="63"/>
  <c r="R311" i="63" s="1"/>
  <c r="AC312" i="63"/>
  <c r="R312" i="63" s="1"/>
  <c r="AC313" i="63"/>
  <c r="R313" i="63" s="1"/>
  <c r="AC314" i="63"/>
  <c r="R314" i="63" s="1"/>
  <c r="AC315" i="63"/>
  <c r="R315" i="63" s="1"/>
  <c r="AC316" i="63"/>
  <c r="R316" i="63" s="1"/>
  <c r="AC317" i="63"/>
  <c r="R317" i="63" s="1"/>
  <c r="AC318" i="63"/>
  <c r="R318" i="63" s="1"/>
  <c r="AC319" i="63"/>
  <c r="R319" i="63" s="1"/>
  <c r="AC320" i="63"/>
  <c r="R320" i="63" s="1"/>
  <c r="AC321" i="63"/>
  <c r="R321" i="63" s="1"/>
  <c r="AC322" i="63"/>
  <c r="R322" i="63" s="1"/>
  <c r="AC323" i="63"/>
  <c r="R323" i="63" s="1"/>
  <c r="AC324" i="63"/>
  <c r="R324" i="63" s="1"/>
  <c r="AC325" i="63"/>
  <c r="R325" i="63" s="1"/>
  <c r="AC326" i="63"/>
  <c r="R326" i="63" s="1"/>
  <c r="AC327" i="63"/>
  <c r="R327" i="63" s="1"/>
  <c r="AC328" i="63"/>
  <c r="R328" i="63" s="1"/>
  <c r="AC329" i="63"/>
  <c r="R329" i="63" s="1"/>
  <c r="AC330" i="63"/>
  <c r="R330" i="63" s="1"/>
  <c r="AC331" i="63"/>
  <c r="R331" i="63" s="1"/>
  <c r="AC332" i="63"/>
  <c r="R332" i="63" s="1"/>
  <c r="AC333" i="63"/>
  <c r="R333" i="63" s="1"/>
  <c r="AC334" i="63"/>
  <c r="R334" i="63" s="1"/>
  <c r="AC335" i="63"/>
  <c r="R335" i="63" s="1"/>
  <c r="AC336" i="63"/>
  <c r="R336" i="63" s="1"/>
  <c r="AC337" i="63"/>
  <c r="R337" i="63" s="1"/>
  <c r="AC338" i="63"/>
  <c r="R338" i="63" s="1"/>
  <c r="AC339" i="63"/>
  <c r="R339" i="63" s="1"/>
  <c r="AC340" i="63"/>
  <c r="R340" i="63" s="1"/>
  <c r="AC341" i="63"/>
  <c r="R341" i="63" s="1"/>
  <c r="AC342" i="63"/>
  <c r="R342" i="63" s="1"/>
  <c r="AC343" i="63"/>
  <c r="R343" i="63" s="1"/>
  <c r="AC344" i="63"/>
  <c r="R344" i="63" s="1"/>
  <c r="AC345" i="63"/>
  <c r="R345" i="63" s="1"/>
  <c r="AC346" i="63"/>
  <c r="R346" i="63" s="1"/>
  <c r="AC347" i="63"/>
  <c r="R347" i="63" s="1"/>
  <c r="AC348" i="63"/>
  <c r="R348" i="63" s="1"/>
  <c r="AC349" i="63"/>
  <c r="R349" i="63" s="1"/>
  <c r="AC350" i="63"/>
  <c r="R350" i="63" s="1"/>
  <c r="AC351" i="63"/>
  <c r="R351" i="63" s="1"/>
  <c r="AC352" i="63"/>
  <c r="R352" i="63" s="1"/>
  <c r="AC353" i="63"/>
  <c r="R353" i="63" s="1"/>
  <c r="AC354" i="63"/>
  <c r="R354" i="63" s="1"/>
  <c r="AC355" i="63"/>
  <c r="R355" i="63" s="1"/>
  <c r="AC356" i="63"/>
  <c r="R356" i="63" s="1"/>
  <c r="AC357" i="63"/>
  <c r="R357" i="63" s="1"/>
  <c r="AC358" i="63"/>
  <c r="R358" i="63" s="1"/>
  <c r="AC359" i="63"/>
  <c r="R359" i="63" s="1"/>
  <c r="AC360" i="63"/>
  <c r="R360" i="63" s="1"/>
  <c r="AC361" i="63"/>
  <c r="R361" i="63" s="1"/>
  <c r="AC362" i="63"/>
  <c r="R362" i="63" s="1"/>
  <c r="AC363" i="63"/>
  <c r="R363" i="63" s="1"/>
  <c r="AC364" i="63"/>
  <c r="R364" i="63" s="1"/>
  <c r="AC365" i="63"/>
  <c r="R365" i="63" s="1"/>
  <c r="AC366" i="63"/>
  <c r="R366" i="63" s="1"/>
  <c r="AC367" i="63"/>
  <c r="R367" i="63" s="1"/>
  <c r="AC368" i="63"/>
  <c r="R368" i="63" s="1"/>
  <c r="AC369" i="63"/>
  <c r="R369" i="63" s="1"/>
  <c r="AC370" i="63"/>
  <c r="R370" i="63" s="1"/>
  <c r="AC371" i="63"/>
  <c r="R371" i="63" s="1"/>
  <c r="AC372" i="63"/>
  <c r="R372" i="63" s="1"/>
  <c r="AC373" i="63"/>
  <c r="R373" i="63" s="1"/>
  <c r="AC374" i="63"/>
  <c r="R374" i="63" s="1"/>
  <c r="AC375" i="63"/>
  <c r="R375" i="63" s="1"/>
  <c r="AC376" i="63"/>
  <c r="R376" i="63" s="1"/>
  <c r="AC377" i="63"/>
  <c r="R377" i="63" s="1"/>
  <c r="AC378" i="63"/>
  <c r="R378" i="63" s="1"/>
  <c r="AC379" i="63"/>
  <c r="R379" i="63" s="1"/>
  <c r="AC380" i="63"/>
  <c r="R380" i="63" s="1"/>
  <c r="AC381" i="63"/>
  <c r="R381" i="63" s="1"/>
  <c r="AC382" i="63"/>
  <c r="R382" i="63" s="1"/>
  <c r="AC383" i="63"/>
  <c r="R383" i="63" s="1"/>
  <c r="AC384" i="63"/>
  <c r="R384" i="63" s="1"/>
  <c r="AC385" i="63"/>
  <c r="R385" i="63" s="1"/>
  <c r="AC386" i="63"/>
  <c r="R386" i="63" s="1"/>
  <c r="AC387" i="63"/>
  <c r="R387" i="63" s="1"/>
  <c r="AC388" i="63"/>
  <c r="R388" i="63" s="1"/>
  <c r="AC389" i="63"/>
  <c r="R389" i="63" s="1"/>
  <c r="AC390" i="63"/>
  <c r="R390" i="63" s="1"/>
  <c r="AC391" i="63"/>
  <c r="R391" i="63" s="1"/>
  <c r="AC392" i="63"/>
  <c r="R392" i="63" s="1"/>
  <c r="AC393" i="63"/>
  <c r="R393" i="63" s="1"/>
  <c r="AC394" i="63"/>
  <c r="R394" i="63" s="1"/>
  <c r="AC395" i="63"/>
  <c r="R395" i="63" s="1"/>
  <c r="AC396" i="63"/>
  <c r="R396" i="63" s="1"/>
  <c r="AC397" i="63"/>
  <c r="R397" i="63" s="1"/>
  <c r="AC398" i="63"/>
  <c r="R398" i="63" s="1"/>
  <c r="AC399" i="63"/>
  <c r="R399" i="63" s="1"/>
  <c r="AC400" i="63"/>
  <c r="R400" i="63" s="1"/>
  <c r="AC401" i="63"/>
  <c r="R401" i="63" s="1"/>
  <c r="AC402" i="63"/>
  <c r="R402" i="63" s="1"/>
  <c r="AC403" i="63"/>
  <c r="R403" i="63" s="1"/>
  <c r="AC404" i="63"/>
  <c r="R404" i="63" s="1"/>
  <c r="AC405" i="63"/>
  <c r="R405" i="63" s="1"/>
  <c r="AC406" i="63"/>
  <c r="R406" i="63" s="1"/>
  <c r="AC407" i="63"/>
  <c r="R407" i="63" s="1"/>
  <c r="AC408" i="63"/>
  <c r="R408" i="63" s="1"/>
  <c r="AC409" i="63"/>
  <c r="R409" i="63" s="1"/>
  <c r="AC410" i="63"/>
  <c r="R410" i="63" s="1"/>
  <c r="AC411" i="63"/>
  <c r="R411" i="63" s="1"/>
  <c r="AC412" i="63"/>
  <c r="R412" i="63" s="1"/>
  <c r="AC456" i="63"/>
  <c r="R456" i="63" s="1"/>
  <c r="AC457" i="63"/>
  <c r="R457" i="63" s="1"/>
  <c r="AC458" i="63"/>
  <c r="R458" i="63" s="1"/>
  <c r="AC459" i="63"/>
  <c r="R459" i="63" s="1"/>
  <c r="AC460" i="63"/>
  <c r="R460" i="63" s="1"/>
  <c r="AC461" i="63"/>
  <c r="R461" i="63" s="1"/>
  <c r="AC462" i="63"/>
  <c r="R462" i="63" s="1"/>
  <c r="AC463" i="63"/>
  <c r="R463" i="63" s="1"/>
  <c r="AC464" i="63"/>
  <c r="R464" i="63" s="1"/>
  <c r="AC465" i="63"/>
  <c r="R465" i="63" s="1"/>
  <c r="AC466" i="63"/>
  <c r="R466" i="63" s="1"/>
  <c r="AC467" i="63"/>
  <c r="R467" i="63" s="1"/>
  <c r="AC468" i="63"/>
  <c r="R468" i="63" s="1"/>
  <c r="AC469" i="63"/>
  <c r="R469" i="63" s="1"/>
  <c r="AC470" i="63"/>
  <c r="R470" i="63" s="1"/>
  <c r="AC471" i="63"/>
  <c r="R471" i="63" s="1"/>
  <c r="AC472" i="63"/>
  <c r="R472" i="63" s="1"/>
  <c r="AC473" i="63"/>
  <c r="R473" i="63" s="1"/>
  <c r="AC474" i="63"/>
  <c r="R474" i="63" s="1"/>
  <c r="AC475" i="63"/>
  <c r="R475" i="63" s="1"/>
  <c r="AC476" i="63"/>
  <c r="R476" i="63" s="1"/>
  <c r="AC477" i="63"/>
  <c r="R477" i="63" s="1"/>
  <c r="AC478" i="63"/>
  <c r="R478" i="63" s="1"/>
  <c r="AC479" i="63"/>
  <c r="R479" i="63" s="1"/>
  <c r="AC480" i="63"/>
  <c r="R480" i="63" s="1"/>
  <c r="AC481" i="63"/>
  <c r="R481" i="63" s="1"/>
  <c r="AC482" i="63"/>
  <c r="R482" i="63" s="1"/>
  <c r="AC483" i="63"/>
  <c r="R483" i="63" s="1"/>
  <c r="AC485" i="63"/>
  <c r="R485" i="63" s="1"/>
  <c r="AC486" i="63"/>
  <c r="R486" i="63" s="1"/>
  <c r="AC487" i="63"/>
  <c r="R487" i="63" s="1"/>
  <c r="AC488" i="63"/>
  <c r="R488" i="63" s="1"/>
  <c r="AC489" i="63"/>
  <c r="R489" i="63" s="1"/>
  <c r="AC490" i="63"/>
  <c r="R490" i="63" s="1"/>
  <c r="AC491" i="63"/>
  <c r="R491" i="63" s="1"/>
  <c r="AC492" i="63"/>
  <c r="R492" i="63" s="1"/>
  <c r="AC493" i="63"/>
  <c r="R493" i="63" s="1"/>
  <c r="AC494" i="63"/>
  <c r="R494" i="63" s="1"/>
  <c r="AC495" i="63"/>
  <c r="R495" i="63" s="1"/>
  <c r="AC496" i="63"/>
  <c r="R496" i="63" s="1"/>
  <c r="AC497" i="63"/>
  <c r="R497" i="63" s="1"/>
  <c r="AC498" i="63"/>
  <c r="R498" i="63" s="1"/>
  <c r="AC499" i="63"/>
  <c r="R499" i="63" s="1"/>
  <c r="AC500" i="63"/>
  <c r="R500" i="63" s="1"/>
  <c r="AC501" i="63"/>
  <c r="R501" i="63" s="1"/>
  <c r="AC502" i="63"/>
  <c r="R502" i="63" s="1"/>
  <c r="AC503" i="63"/>
  <c r="R503" i="63" s="1"/>
  <c r="AC504" i="63"/>
  <c r="R504" i="63" s="1"/>
  <c r="AC505" i="63"/>
  <c r="R505" i="63" s="1"/>
  <c r="AC506" i="63"/>
  <c r="R506" i="63" s="1"/>
  <c r="AC507" i="63"/>
  <c r="R507" i="63" s="1"/>
  <c r="AC508" i="63"/>
  <c r="R508" i="63" s="1"/>
  <c r="AC509" i="63"/>
  <c r="R509" i="63" s="1"/>
  <c r="AC510" i="63"/>
  <c r="R510" i="63" s="1"/>
  <c r="AC511" i="63"/>
  <c r="R511" i="63" s="1"/>
  <c r="AC512" i="63"/>
  <c r="R512" i="63" s="1"/>
  <c r="AC513" i="63"/>
  <c r="R513" i="63" s="1"/>
  <c r="AC514" i="63"/>
  <c r="R514" i="63" s="1"/>
  <c r="AC515" i="63"/>
  <c r="R515" i="63" s="1"/>
  <c r="AC516" i="63"/>
  <c r="R516" i="63" s="1"/>
  <c r="AC517" i="63"/>
  <c r="R517" i="63" s="1"/>
  <c r="AC518" i="63"/>
  <c r="R518" i="63" s="1"/>
  <c r="AC519" i="63"/>
  <c r="R519" i="63" s="1"/>
  <c r="AC520" i="63"/>
  <c r="R520" i="63" s="1"/>
  <c r="AC521" i="63"/>
  <c r="R521" i="63" s="1"/>
  <c r="AC522" i="63"/>
  <c r="R522" i="63" s="1"/>
  <c r="AC523" i="63"/>
  <c r="R523" i="63" s="1"/>
  <c r="AC524" i="63"/>
  <c r="R524" i="63" s="1"/>
  <c r="AC525" i="63"/>
  <c r="R525" i="63" s="1"/>
  <c r="AC526" i="63"/>
  <c r="R526" i="63" s="1"/>
  <c r="AC527" i="63"/>
  <c r="R527" i="63" s="1"/>
  <c r="AC528" i="63"/>
  <c r="R528" i="63" s="1"/>
  <c r="AC529" i="63"/>
  <c r="R529" i="63" s="1"/>
  <c r="AC530" i="63"/>
  <c r="R530" i="63" s="1"/>
  <c r="AC531" i="63"/>
  <c r="R531" i="63" s="1"/>
  <c r="AC532" i="63"/>
  <c r="R532" i="63" s="1"/>
  <c r="AC533" i="63"/>
  <c r="R533" i="63" s="1"/>
  <c r="AC534" i="63"/>
  <c r="R534" i="63" s="1"/>
  <c r="AC535" i="63"/>
  <c r="R535" i="63" s="1"/>
  <c r="AC536" i="63"/>
  <c r="R536" i="63" s="1"/>
  <c r="AC537" i="63"/>
  <c r="R537" i="63" s="1"/>
  <c r="AC538" i="63"/>
  <c r="R538" i="63" s="1"/>
  <c r="AC539" i="63"/>
  <c r="R539" i="63" s="1"/>
  <c r="AC540" i="63"/>
  <c r="R540" i="63" s="1"/>
  <c r="AC541" i="63"/>
  <c r="R541" i="63" s="1"/>
  <c r="AC542" i="63"/>
  <c r="R542" i="63" s="1"/>
  <c r="AC543" i="63"/>
  <c r="R543" i="63" s="1"/>
  <c r="AC544" i="63"/>
  <c r="R544" i="63" s="1"/>
  <c r="AC545" i="63"/>
  <c r="R545" i="63" s="1"/>
  <c r="AC546" i="63"/>
  <c r="R546" i="63" s="1"/>
  <c r="AC547" i="63"/>
  <c r="R547" i="63" s="1"/>
  <c r="AC548" i="63"/>
  <c r="R548" i="63" s="1"/>
  <c r="AC549" i="63"/>
  <c r="R549" i="63" s="1"/>
  <c r="AC550" i="63"/>
  <c r="R550" i="63" s="1"/>
  <c r="AC551" i="63"/>
  <c r="R551" i="63" s="1"/>
  <c r="AC552" i="63"/>
  <c r="R552" i="63" s="1"/>
  <c r="AC553" i="63"/>
  <c r="R553" i="63" s="1"/>
  <c r="AC554" i="63"/>
  <c r="R554" i="63" s="1"/>
  <c r="AC555" i="63"/>
  <c r="R555" i="63" s="1"/>
  <c r="AC556" i="63"/>
  <c r="R556" i="63" s="1"/>
  <c r="AC557" i="63"/>
  <c r="R557" i="63" s="1"/>
  <c r="AC558" i="63"/>
  <c r="R558" i="63" s="1"/>
  <c r="AC559" i="63"/>
  <c r="R559" i="63" s="1"/>
  <c r="AC560" i="63"/>
  <c r="R560" i="63" s="1"/>
  <c r="AC561" i="63"/>
  <c r="R561" i="63" s="1"/>
  <c r="AC562" i="63"/>
  <c r="R562" i="63" s="1"/>
  <c r="AC563" i="63"/>
  <c r="R563" i="63" s="1"/>
  <c r="AC564" i="63"/>
  <c r="R564" i="63" s="1"/>
  <c r="AC565" i="63"/>
  <c r="R565" i="63" s="1"/>
  <c r="AC566" i="63"/>
  <c r="R566" i="63" s="1"/>
  <c r="AC567" i="63"/>
  <c r="R567" i="63" s="1"/>
  <c r="AC568" i="63"/>
  <c r="R568" i="63" s="1"/>
  <c r="AC569" i="63"/>
  <c r="R569" i="63" s="1"/>
  <c r="AC570" i="63"/>
  <c r="R570" i="63" s="1"/>
  <c r="AC571" i="63"/>
  <c r="R571" i="63" s="1"/>
  <c r="AC572" i="63"/>
  <c r="R572" i="63" s="1"/>
  <c r="AC573" i="63"/>
  <c r="R573" i="63" s="1"/>
  <c r="AC574" i="63"/>
  <c r="R574" i="63" s="1"/>
  <c r="AC575" i="63"/>
  <c r="R575" i="63" s="1"/>
  <c r="AC576" i="63"/>
  <c r="R576" i="63" s="1"/>
  <c r="AC577" i="63"/>
  <c r="R577" i="63" s="1"/>
  <c r="AC578" i="63"/>
  <c r="R578" i="63" s="1"/>
  <c r="AC579" i="63"/>
  <c r="R579" i="63" s="1"/>
  <c r="AC580" i="63"/>
  <c r="R580" i="63" s="1"/>
  <c r="AC581" i="63"/>
  <c r="R581" i="63" s="1"/>
  <c r="AC582" i="63"/>
  <c r="R582" i="63" s="1"/>
  <c r="AC583" i="63"/>
  <c r="R583" i="63" s="1"/>
  <c r="AC584" i="63"/>
  <c r="R584" i="63" s="1"/>
  <c r="AC585" i="63"/>
  <c r="R585" i="63" s="1"/>
  <c r="AC586" i="63"/>
  <c r="R586" i="63" s="1"/>
  <c r="AC587" i="63"/>
  <c r="R587" i="63" s="1"/>
  <c r="AC588" i="63"/>
  <c r="R588" i="63" s="1"/>
  <c r="AC589" i="63"/>
  <c r="R589" i="63" s="1"/>
  <c r="AC590" i="63"/>
  <c r="R590" i="63" s="1"/>
  <c r="AC591" i="63"/>
  <c r="R591" i="63" s="1"/>
  <c r="AC592" i="63"/>
  <c r="R592" i="63" s="1"/>
  <c r="AC593" i="63"/>
  <c r="R593" i="63" s="1"/>
  <c r="AC594" i="63"/>
  <c r="R594" i="63" s="1"/>
  <c r="AC595" i="63"/>
  <c r="R595" i="63" s="1"/>
  <c r="AC596" i="63"/>
  <c r="R596" i="63" s="1"/>
  <c r="AC597" i="63"/>
  <c r="R597" i="63" s="1"/>
  <c r="AC598" i="63"/>
  <c r="R598" i="63" s="1"/>
  <c r="AC599" i="63"/>
  <c r="R599" i="63" s="1"/>
  <c r="AC600" i="63"/>
  <c r="R600" i="63" s="1"/>
  <c r="AC601" i="63"/>
  <c r="R601" i="63" s="1"/>
  <c r="AC602" i="63"/>
  <c r="R602" i="63" s="1"/>
  <c r="AC603" i="63"/>
  <c r="R603" i="63" s="1"/>
  <c r="AC604" i="63"/>
  <c r="R604" i="63" s="1"/>
  <c r="AC605" i="63"/>
  <c r="R605" i="63" s="1"/>
  <c r="AC606" i="63"/>
  <c r="R606" i="63" s="1"/>
  <c r="AC607" i="63"/>
  <c r="R607" i="63" s="1"/>
  <c r="AC608" i="63"/>
  <c r="R608" i="63" s="1"/>
  <c r="AC609" i="63"/>
  <c r="R609" i="63" s="1"/>
  <c r="AC610" i="63"/>
  <c r="R610" i="63" s="1"/>
  <c r="AC611" i="63"/>
  <c r="R611" i="63" s="1"/>
  <c r="AC612" i="63"/>
  <c r="R612" i="63" s="1"/>
  <c r="AC613" i="63"/>
  <c r="R613" i="63" s="1"/>
  <c r="AC614" i="63"/>
  <c r="R614" i="63" s="1"/>
  <c r="AC615" i="63"/>
  <c r="R615" i="63" s="1"/>
  <c r="AC616" i="63"/>
  <c r="R616" i="63" s="1"/>
  <c r="AC617" i="63"/>
  <c r="R617" i="63" s="1"/>
  <c r="AC618" i="63"/>
  <c r="R618" i="63" s="1"/>
  <c r="AC619" i="63"/>
  <c r="R619" i="63" s="1"/>
  <c r="AC620" i="63"/>
  <c r="R620" i="63" s="1"/>
  <c r="AC621" i="63"/>
  <c r="R621" i="63" s="1"/>
  <c r="AC622" i="63"/>
  <c r="R622" i="63" s="1"/>
  <c r="AC623" i="63"/>
  <c r="R623" i="63" s="1"/>
  <c r="AC624" i="63"/>
  <c r="R624" i="63" s="1"/>
  <c r="AC625" i="63"/>
  <c r="R625" i="63" s="1"/>
  <c r="AC626" i="63"/>
  <c r="R626" i="63" s="1"/>
  <c r="AC627" i="63"/>
  <c r="R627" i="63" s="1"/>
  <c r="AC628" i="63"/>
  <c r="R628" i="63" s="1"/>
  <c r="AC629" i="63"/>
  <c r="R629" i="63" s="1"/>
  <c r="AC630" i="63"/>
  <c r="R630" i="63" s="1"/>
  <c r="AC631" i="63"/>
  <c r="R631" i="63" s="1"/>
  <c r="AC632" i="63"/>
  <c r="R632" i="63" s="1"/>
  <c r="AC633" i="63"/>
  <c r="R633" i="63" s="1"/>
  <c r="AC634" i="63"/>
  <c r="R634" i="63" s="1"/>
  <c r="AC635" i="63"/>
  <c r="R635" i="63" s="1"/>
  <c r="AC636" i="63"/>
  <c r="R636" i="63" s="1"/>
  <c r="AC637" i="63"/>
  <c r="R637" i="63" s="1"/>
  <c r="AC638" i="63"/>
  <c r="R638" i="63" s="1"/>
  <c r="AC639" i="63"/>
  <c r="R639" i="63" s="1"/>
  <c r="AC640" i="63"/>
  <c r="R640" i="63" s="1"/>
  <c r="AC641" i="63"/>
  <c r="R641" i="63" s="1"/>
  <c r="AC642" i="63"/>
  <c r="R642" i="63" s="1"/>
  <c r="AC643" i="63"/>
  <c r="R643" i="63" s="1"/>
  <c r="AC644" i="63"/>
  <c r="R644" i="63" s="1"/>
  <c r="AC645" i="63"/>
  <c r="R645" i="63" s="1"/>
  <c r="AC646" i="63"/>
  <c r="R646" i="63" s="1"/>
  <c r="AC647" i="63"/>
  <c r="R647" i="63" s="1"/>
  <c r="AC648" i="63"/>
  <c r="R648" i="63" s="1"/>
  <c r="AC649" i="63"/>
  <c r="R649" i="63" s="1"/>
  <c r="AC650" i="63"/>
  <c r="R650" i="63" s="1"/>
  <c r="AC651" i="63"/>
  <c r="R651" i="63" s="1"/>
  <c r="AC652" i="63"/>
  <c r="R652" i="63" s="1"/>
  <c r="AC653" i="63"/>
  <c r="R653" i="63" s="1"/>
  <c r="AC654" i="63"/>
  <c r="R654" i="63" s="1"/>
  <c r="AC655" i="63"/>
  <c r="R655" i="63" s="1"/>
  <c r="AC656" i="63"/>
  <c r="R656" i="63" s="1"/>
  <c r="AC657" i="63"/>
  <c r="R657" i="63" s="1"/>
  <c r="AC658" i="63"/>
  <c r="R658" i="63" s="1"/>
  <c r="AC659" i="63"/>
  <c r="R659" i="63" s="1"/>
  <c r="AC660" i="63"/>
  <c r="R660" i="63" s="1"/>
  <c r="AC661" i="63"/>
  <c r="R661" i="63" s="1"/>
  <c r="AC662" i="63"/>
  <c r="R662" i="63" s="1"/>
  <c r="AC663" i="63"/>
  <c r="R663" i="63" s="1"/>
  <c r="AC664" i="63"/>
  <c r="R664" i="63" s="1"/>
  <c r="AC665" i="63"/>
  <c r="R665" i="63" s="1"/>
  <c r="AC666" i="63"/>
  <c r="R666" i="63" s="1"/>
  <c r="AC667" i="63"/>
  <c r="R667" i="63" s="1"/>
  <c r="AC668" i="63"/>
  <c r="R668" i="63" s="1"/>
  <c r="AC669" i="63"/>
  <c r="R669" i="63" s="1"/>
  <c r="AC670" i="63"/>
  <c r="R670" i="63" s="1"/>
  <c r="AC671" i="63"/>
  <c r="R671" i="63" s="1"/>
  <c r="AC672" i="63"/>
  <c r="R672" i="63" s="1"/>
  <c r="AC673" i="63"/>
  <c r="R673" i="63" s="1"/>
  <c r="AC674" i="63"/>
  <c r="R674" i="63" s="1"/>
  <c r="AC675" i="63"/>
  <c r="R675" i="63" s="1"/>
  <c r="AC676" i="63"/>
  <c r="R676" i="63" s="1"/>
  <c r="AC677" i="63"/>
  <c r="R677" i="63" s="1"/>
  <c r="AC678" i="63"/>
  <c r="R678" i="63" s="1"/>
  <c r="AC679" i="63"/>
  <c r="R679" i="63" s="1"/>
  <c r="AC680" i="63"/>
  <c r="R680" i="63" s="1"/>
  <c r="AC681" i="63"/>
  <c r="R681" i="63" s="1"/>
  <c r="AC682" i="63"/>
  <c r="R682" i="63" s="1"/>
  <c r="AC683" i="63"/>
  <c r="R683" i="63" s="1"/>
  <c r="AC684" i="63"/>
  <c r="R684" i="63" s="1"/>
  <c r="AC685" i="63"/>
  <c r="R685" i="63" s="1"/>
  <c r="AC686" i="63"/>
  <c r="R686" i="63" s="1"/>
  <c r="AC687" i="63"/>
  <c r="R687" i="63" s="1"/>
  <c r="AC688" i="63"/>
  <c r="R688" i="63" s="1"/>
  <c r="AC689" i="63"/>
  <c r="R689" i="63" s="1"/>
  <c r="AC690" i="63"/>
  <c r="R690" i="63" s="1"/>
  <c r="AC691" i="63"/>
  <c r="R691" i="63" s="1"/>
  <c r="AC692" i="63"/>
  <c r="R692" i="63" s="1"/>
  <c r="AC693" i="63"/>
  <c r="R693" i="63" s="1"/>
  <c r="AC694" i="63"/>
  <c r="R694" i="63" s="1"/>
  <c r="AC695" i="63"/>
  <c r="R695" i="63" s="1"/>
  <c r="AC696" i="63"/>
  <c r="R696" i="63" s="1"/>
  <c r="AC697" i="63"/>
  <c r="R697" i="63" s="1"/>
  <c r="AC698" i="63"/>
  <c r="R698" i="63" s="1"/>
  <c r="AC699" i="63"/>
  <c r="R699" i="63" s="1"/>
  <c r="AC700" i="63"/>
  <c r="R700" i="63" s="1"/>
  <c r="AC701" i="63"/>
  <c r="R701" i="63" s="1"/>
  <c r="AC702" i="63"/>
  <c r="R702" i="63" s="1"/>
  <c r="AC703" i="63"/>
  <c r="R703" i="63" s="1"/>
  <c r="AC704" i="63"/>
  <c r="R704" i="63" s="1"/>
  <c r="AC705" i="63"/>
  <c r="R705" i="63" s="1"/>
  <c r="AC706" i="63"/>
  <c r="R706" i="63" s="1"/>
  <c r="AC707" i="63"/>
  <c r="R707" i="63" s="1"/>
  <c r="AC708" i="63"/>
  <c r="R708" i="63" s="1"/>
  <c r="AC709" i="63"/>
  <c r="R709" i="63" s="1"/>
  <c r="AC710" i="63"/>
  <c r="R710" i="63" s="1"/>
  <c r="AC711" i="63"/>
  <c r="R711" i="63" s="1"/>
  <c r="AC712" i="63"/>
  <c r="R712" i="63" s="1"/>
  <c r="AC713" i="63"/>
  <c r="R713" i="63" s="1"/>
  <c r="AC714" i="63"/>
  <c r="R714" i="63" s="1"/>
  <c r="AC715" i="63"/>
  <c r="R715" i="63" s="1"/>
  <c r="AC716" i="63"/>
  <c r="R716" i="63" s="1"/>
  <c r="AC717" i="63"/>
  <c r="R717" i="63" s="1"/>
  <c r="AC718" i="63"/>
  <c r="R718" i="63" s="1"/>
  <c r="AC719" i="63"/>
  <c r="R719" i="63" s="1"/>
  <c r="AC720" i="63"/>
  <c r="R720" i="63" s="1"/>
  <c r="AC721" i="63"/>
  <c r="R721" i="63" s="1"/>
  <c r="AC722" i="63"/>
  <c r="R722" i="63" s="1"/>
  <c r="AC723" i="63"/>
  <c r="R723" i="63" s="1"/>
  <c r="AC724" i="63"/>
  <c r="R724" i="63" s="1"/>
  <c r="AC725" i="63"/>
  <c r="R725" i="63" s="1"/>
  <c r="AC726" i="63"/>
  <c r="R726" i="63" s="1"/>
  <c r="AC727" i="63"/>
  <c r="R727" i="63" s="1"/>
  <c r="AC728" i="63"/>
  <c r="R728" i="63" s="1"/>
  <c r="AC729" i="63"/>
  <c r="R729" i="63" s="1"/>
  <c r="AC730" i="63"/>
  <c r="R730" i="63" s="1"/>
  <c r="AC731" i="63"/>
  <c r="R731" i="63" s="1"/>
  <c r="AC732" i="63"/>
  <c r="R732" i="63" s="1"/>
  <c r="AC733" i="63"/>
  <c r="R733" i="63" s="1"/>
  <c r="AC734" i="63"/>
  <c r="R734" i="63" s="1"/>
  <c r="AC735" i="63"/>
  <c r="R735" i="63" s="1"/>
  <c r="AC736" i="63"/>
  <c r="R736" i="63" s="1"/>
  <c r="AC737" i="63"/>
  <c r="R737" i="63" s="1"/>
  <c r="AC738" i="63"/>
  <c r="R738" i="63" s="1"/>
  <c r="AC739" i="63"/>
  <c r="R739" i="63" s="1"/>
  <c r="AC740" i="63"/>
  <c r="R740" i="63" s="1"/>
  <c r="AC741" i="63"/>
  <c r="R741" i="63" s="1"/>
  <c r="AC742" i="63"/>
  <c r="R742" i="63" s="1"/>
  <c r="AC743" i="63"/>
  <c r="R743" i="63" s="1"/>
  <c r="AC744" i="63"/>
  <c r="R744" i="63" s="1"/>
  <c r="AC745" i="63"/>
  <c r="R745" i="63" s="1"/>
  <c r="AC746" i="63"/>
  <c r="R746" i="63" s="1"/>
  <c r="AC747" i="63"/>
  <c r="R747" i="63" s="1"/>
  <c r="AC748" i="63"/>
  <c r="R748" i="63" s="1"/>
  <c r="AC749" i="63"/>
  <c r="R749" i="63" s="1"/>
  <c r="AC750" i="63"/>
  <c r="R750" i="63" s="1"/>
  <c r="AC751" i="63"/>
  <c r="R751" i="63" s="1"/>
  <c r="AC752" i="63"/>
  <c r="R752" i="63" s="1"/>
  <c r="AC753" i="63"/>
  <c r="R753" i="63" s="1"/>
  <c r="AC754" i="63"/>
  <c r="R754" i="63" s="1"/>
  <c r="AC755" i="63"/>
  <c r="R755" i="63" s="1"/>
  <c r="AC756" i="63"/>
  <c r="R756" i="63" s="1"/>
  <c r="AC757" i="63"/>
  <c r="R757" i="63" s="1"/>
  <c r="AC758" i="63"/>
  <c r="R758" i="63" s="1"/>
  <c r="AC759" i="63"/>
  <c r="R759" i="63" s="1"/>
  <c r="AC760" i="63"/>
  <c r="R760" i="63" s="1"/>
  <c r="AC761" i="63"/>
  <c r="R761" i="63" s="1"/>
  <c r="AC762" i="63"/>
  <c r="R762" i="63" s="1"/>
  <c r="AC763" i="63"/>
  <c r="R763" i="63" s="1"/>
  <c r="AC764" i="63"/>
  <c r="R764" i="63" s="1"/>
  <c r="AC765" i="63"/>
  <c r="R765" i="63" s="1"/>
  <c r="AC766" i="63"/>
  <c r="R766" i="63" s="1"/>
  <c r="AC767" i="63"/>
  <c r="R767" i="63" s="1"/>
  <c r="AC768" i="63"/>
  <c r="R768" i="63" s="1"/>
  <c r="AC769" i="63"/>
  <c r="R769" i="63" s="1"/>
  <c r="AC770" i="63"/>
  <c r="R770" i="63" s="1"/>
  <c r="AC771" i="63"/>
  <c r="R771" i="63" s="1"/>
  <c r="AC772" i="63"/>
  <c r="R772" i="63" s="1"/>
  <c r="AC773" i="63"/>
  <c r="R773" i="63" s="1"/>
  <c r="AC774" i="63"/>
  <c r="R774" i="63" s="1"/>
  <c r="AC775" i="63"/>
  <c r="R775" i="63" s="1"/>
  <c r="AC776" i="63"/>
  <c r="R776" i="63" s="1"/>
  <c r="AC777" i="63"/>
  <c r="R777" i="63" s="1"/>
  <c r="AC778" i="63"/>
  <c r="R778" i="63" s="1"/>
  <c r="AC779" i="63"/>
  <c r="R779" i="63" s="1"/>
  <c r="AC780" i="63"/>
  <c r="R780" i="63" s="1"/>
  <c r="AC781" i="63"/>
  <c r="R781" i="63" s="1"/>
  <c r="AC782" i="63"/>
  <c r="R782" i="63" s="1"/>
  <c r="AC783" i="63"/>
  <c r="R783" i="63" s="1"/>
  <c r="AC784" i="63"/>
  <c r="R784" i="63" s="1"/>
  <c r="AC785" i="63"/>
  <c r="R785" i="63" s="1"/>
  <c r="AC786" i="63"/>
  <c r="R786" i="63" s="1"/>
  <c r="AC787" i="63"/>
  <c r="R787" i="63" s="1"/>
  <c r="AC788" i="63"/>
  <c r="AC789" i="63"/>
  <c r="R789" i="63" s="1"/>
  <c r="AC790" i="63"/>
  <c r="R790" i="63" s="1"/>
  <c r="AC791" i="63"/>
  <c r="R791" i="63" s="1"/>
  <c r="AC792" i="63"/>
  <c r="R792" i="63" s="1"/>
  <c r="AC793" i="63"/>
  <c r="R793" i="63" s="1"/>
  <c r="AC794" i="63"/>
  <c r="R794" i="63" s="1"/>
  <c r="AC795" i="63"/>
  <c r="R795" i="63" s="1"/>
  <c r="AC796" i="63"/>
  <c r="R796" i="63" s="1"/>
  <c r="AC797" i="63"/>
  <c r="R797" i="63" s="1"/>
  <c r="AC798" i="63"/>
  <c r="R798" i="63" s="1"/>
  <c r="AC799" i="63"/>
  <c r="R799" i="63" s="1"/>
  <c r="AC800" i="63"/>
  <c r="R800" i="63" s="1"/>
  <c r="AC801" i="63"/>
  <c r="R801" i="63" s="1"/>
  <c r="AC802" i="63"/>
  <c r="R802" i="63" s="1"/>
  <c r="AC803" i="63"/>
  <c r="R803" i="63" s="1"/>
  <c r="AC804" i="63"/>
  <c r="R804" i="63" s="1"/>
  <c r="AC805" i="63"/>
  <c r="R805" i="63" s="1"/>
  <c r="AC806" i="63"/>
  <c r="R806" i="63" s="1"/>
  <c r="AC807" i="63"/>
  <c r="R807" i="63" s="1"/>
  <c r="AC808" i="63"/>
  <c r="R808" i="63" s="1"/>
  <c r="AC809" i="63"/>
  <c r="R809" i="63" s="1"/>
  <c r="AC810" i="63"/>
  <c r="R810" i="63" s="1"/>
  <c r="AC811" i="63"/>
  <c r="R811" i="63" s="1"/>
  <c r="AF15" i="63"/>
  <c r="AF16" i="63"/>
  <c r="AF17" i="63"/>
  <c r="AF18" i="63"/>
  <c r="AF19" i="63"/>
  <c r="AF20" i="63"/>
  <c r="AF21" i="63"/>
  <c r="AF22" i="63"/>
  <c r="AF23" i="63"/>
  <c r="AF24" i="63"/>
  <c r="AF25" i="63"/>
  <c r="AF26" i="63"/>
  <c r="AF27" i="63"/>
  <c r="AF28" i="63"/>
  <c r="AF29" i="63"/>
  <c r="AF30" i="63"/>
  <c r="AF31" i="63"/>
  <c r="AF32" i="63"/>
  <c r="AF33" i="63"/>
  <c r="AF34" i="63"/>
  <c r="AF35" i="63"/>
  <c r="AF36" i="63"/>
  <c r="AF37" i="63"/>
  <c r="AF38" i="63"/>
  <c r="AF39" i="63"/>
  <c r="AF40" i="63"/>
  <c r="AF41" i="63"/>
  <c r="AF42" i="63"/>
  <c r="AF43" i="63"/>
  <c r="AF44" i="63"/>
  <c r="AF45" i="63"/>
  <c r="AF46" i="63"/>
  <c r="AF47" i="63"/>
  <c r="AF48" i="63"/>
  <c r="AF49" i="63"/>
  <c r="AF50" i="63"/>
  <c r="AF51" i="63"/>
  <c r="AF52" i="63"/>
  <c r="AF53" i="63"/>
  <c r="AF54" i="63"/>
  <c r="AF55" i="63"/>
  <c r="AF56" i="63"/>
  <c r="AF57" i="63"/>
  <c r="AF58" i="63"/>
  <c r="AF59" i="63"/>
  <c r="AF60" i="63"/>
  <c r="AF61" i="63"/>
  <c r="AF62" i="63"/>
  <c r="AF63" i="63"/>
  <c r="AF64" i="63"/>
  <c r="AF65" i="63"/>
  <c r="AF66" i="63"/>
  <c r="AF67" i="63"/>
  <c r="AF68" i="63"/>
  <c r="AF69" i="63"/>
  <c r="AF70" i="63"/>
  <c r="AF71" i="63"/>
  <c r="AF72" i="63"/>
  <c r="AF73" i="63"/>
  <c r="AF74" i="63"/>
  <c r="AF75" i="63"/>
  <c r="AF76" i="63"/>
  <c r="AF77" i="63"/>
  <c r="AF78" i="63"/>
  <c r="AF79" i="63"/>
  <c r="AF80" i="63"/>
  <c r="AF81" i="63"/>
  <c r="AF83" i="63"/>
  <c r="AF84" i="63"/>
  <c r="AF85" i="63"/>
  <c r="AF86" i="63"/>
  <c r="AF87" i="63"/>
  <c r="AF88" i="63"/>
  <c r="AF89" i="63"/>
  <c r="AF90" i="63"/>
  <c r="AF91" i="63"/>
  <c r="AF92" i="63"/>
  <c r="AF93" i="63"/>
  <c r="AF94" i="63"/>
  <c r="AF95" i="63"/>
  <c r="AF96" i="63"/>
  <c r="AF97" i="63"/>
  <c r="AF98" i="63"/>
  <c r="AF99" i="63"/>
  <c r="AF100" i="63"/>
  <c r="AF101" i="63"/>
  <c r="AF102" i="63"/>
  <c r="AF103" i="63"/>
  <c r="AF104" i="63"/>
  <c r="AF105" i="63"/>
  <c r="AF106" i="63"/>
  <c r="AF107" i="63"/>
  <c r="AF108" i="63"/>
  <c r="AF109" i="63"/>
  <c r="AF110" i="63"/>
  <c r="AF111" i="63"/>
  <c r="AF112" i="63"/>
  <c r="AF113" i="63"/>
  <c r="AF114" i="63"/>
  <c r="AF115" i="63"/>
  <c r="AF116" i="63"/>
  <c r="AF117" i="63"/>
  <c r="AF118" i="63"/>
  <c r="AF119" i="63"/>
  <c r="AF120" i="63"/>
  <c r="AF121" i="63"/>
  <c r="AF122" i="63"/>
  <c r="AF123" i="63"/>
  <c r="AF124" i="63"/>
  <c r="AF125" i="63"/>
  <c r="AF126" i="63"/>
  <c r="AF127" i="63"/>
  <c r="AF128" i="63"/>
  <c r="AF129" i="63"/>
  <c r="AF130" i="63"/>
  <c r="AF131" i="63"/>
  <c r="AF132" i="63"/>
  <c r="AF133" i="63"/>
  <c r="AF134" i="63"/>
  <c r="AF135" i="63"/>
  <c r="AF136" i="63"/>
  <c r="AF137" i="63"/>
  <c r="AF138" i="63"/>
  <c r="AF139" i="63"/>
  <c r="AF140" i="63"/>
  <c r="AF141" i="63"/>
  <c r="AF142" i="63"/>
  <c r="AF143" i="63"/>
  <c r="AF144" i="63"/>
  <c r="AF145" i="63"/>
  <c r="AF146" i="63"/>
  <c r="AF147" i="63"/>
  <c r="AF148" i="63"/>
  <c r="AF149" i="63"/>
  <c r="AF150" i="63"/>
  <c r="AF151" i="63"/>
  <c r="AF152" i="63"/>
  <c r="AF153" i="63"/>
  <c r="AF154" i="63"/>
  <c r="AF155" i="63"/>
  <c r="AF156" i="63"/>
  <c r="AF157" i="63"/>
  <c r="AF158" i="63"/>
  <c r="AF159" i="63"/>
  <c r="AF160" i="63"/>
  <c r="AF161" i="63"/>
  <c r="AF162" i="63"/>
  <c r="AF163" i="63"/>
  <c r="AF164" i="63"/>
  <c r="AF165" i="63"/>
  <c r="AF166" i="63"/>
  <c r="AF167" i="63"/>
  <c r="AF168" i="63"/>
  <c r="AF169" i="63"/>
  <c r="AF170" i="63"/>
  <c r="AF171" i="63"/>
  <c r="AF172" i="63"/>
  <c r="AF173" i="63"/>
  <c r="AF174" i="63"/>
  <c r="AF175" i="63"/>
  <c r="AF176" i="63"/>
  <c r="AF177" i="63"/>
  <c r="AF178" i="63"/>
  <c r="AF179" i="63"/>
  <c r="AF180" i="63"/>
  <c r="AF181" i="63"/>
  <c r="AF182" i="63"/>
  <c r="AF183" i="63"/>
  <c r="AF184" i="63"/>
  <c r="AF185" i="63"/>
  <c r="AF186" i="63"/>
  <c r="AF187" i="63"/>
  <c r="AF188" i="63"/>
  <c r="AF189" i="63"/>
  <c r="AF190" i="63"/>
  <c r="AF191" i="63"/>
  <c r="AF192" i="63"/>
  <c r="AF193" i="63"/>
  <c r="AF194" i="63"/>
  <c r="AF195" i="63"/>
  <c r="AF196" i="63"/>
  <c r="AF197" i="63"/>
  <c r="AF198" i="63"/>
  <c r="AF199" i="63"/>
  <c r="AF200" i="63"/>
  <c r="AF201" i="63"/>
  <c r="AF202" i="63"/>
  <c r="AF203" i="63"/>
  <c r="AF204" i="63"/>
  <c r="AF205" i="63"/>
  <c r="AF206" i="63"/>
  <c r="AF207" i="63"/>
  <c r="AF208" i="63"/>
  <c r="AF209" i="63"/>
  <c r="AF210" i="63"/>
  <c r="AF211" i="63"/>
  <c r="AF212" i="63"/>
  <c r="AF213" i="63"/>
  <c r="AF214" i="63"/>
  <c r="AF215" i="63"/>
  <c r="AF216" i="63"/>
  <c r="AF217" i="63"/>
  <c r="AF218" i="63"/>
  <c r="AF219" i="63"/>
  <c r="AF220" i="63"/>
  <c r="AF221" i="63"/>
  <c r="AF222" i="63"/>
  <c r="AF223" i="63"/>
  <c r="AF224" i="63"/>
  <c r="AF225" i="63"/>
  <c r="AF226" i="63"/>
  <c r="AF227" i="63"/>
  <c r="AF228" i="63"/>
  <c r="AF229" i="63"/>
  <c r="AF230" i="63"/>
  <c r="AF231" i="63"/>
  <c r="AF232" i="63"/>
  <c r="AF233" i="63"/>
  <c r="AF234" i="63"/>
  <c r="AF235" i="63"/>
  <c r="AF236" i="63"/>
  <c r="AF237" i="63"/>
  <c r="AF238" i="63"/>
  <c r="AF239" i="63"/>
  <c r="AF240" i="63"/>
  <c r="AF241" i="63"/>
  <c r="AF242" i="63"/>
  <c r="AF243" i="63"/>
  <c r="AF244" i="63"/>
  <c r="AF245" i="63"/>
  <c r="AF246" i="63"/>
  <c r="AF247" i="63"/>
  <c r="AF248" i="63"/>
  <c r="AF249" i="63"/>
  <c r="AF250" i="63"/>
  <c r="AF251" i="63"/>
  <c r="AF252" i="63"/>
  <c r="AF253" i="63"/>
  <c r="AF254" i="63"/>
  <c r="AF255" i="63"/>
  <c r="AF256" i="63"/>
  <c r="AF257" i="63"/>
  <c r="AF258" i="63"/>
  <c r="AF259" i="63"/>
  <c r="AF260" i="63"/>
  <c r="AF261" i="63"/>
  <c r="AF262" i="63"/>
  <c r="AF263" i="63"/>
  <c r="AF274" i="63"/>
  <c r="AF275" i="63"/>
  <c r="AF276" i="63"/>
  <c r="AF277" i="63"/>
  <c r="AF278" i="63"/>
  <c r="AF279" i="63"/>
  <c r="AF280" i="63"/>
  <c r="AF281" i="63"/>
  <c r="AF282" i="63"/>
  <c r="AF283" i="63"/>
  <c r="AF284" i="63"/>
  <c r="AF285" i="63"/>
  <c r="AF286" i="63"/>
  <c r="AF287" i="63"/>
  <c r="AF288" i="63"/>
  <c r="AF289" i="63"/>
  <c r="AF290" i="63"/>
  <c r="AF291" i="63"/>
  <c r="AF292" i="63"/>
  <c r="AF293" i="63"/>
  <c r="AF294" i="63"/>
  <c r="AF295" i="63"/>
  <c r="AF296" i="63"/>
  <c r="AF297" i="63"/>
  <c r="AF298" i="63"/>
  <c r="AF299" i="63"/>
  <c r="AF300" i="63"/>
  <c r="AF301" i="63"/>
  <c r="AF302" i="63"/>
  <c r="AF303" i="63"/>
  <c r="AF304" i="63"/>
  <c r="AF305" i="63"/>
  <c r="AF306" i="63"/>
  <c r="AF307" i="63"/>
  <c r="AF308" i="63"/>
  <c r="AF309" i="63"/>
  <c r="AF310" i="63"/>
  <c r="AF311" i="63"/>
  <c r="AF312" i="63"/>
  <c r="AF313" i="63"/>
  <c r="AF314" i="63"/>
  <c r="AF315" i="63"/>
  <c r="AF316" i="63"/>
  <c r="AF317" i="63"/>
  <c r="AF318" i="63"/>
  <c r="AF319" i="63"/>
  <c r="AF320" i="63"/>
  <c r="AF321" i="63"/>
  <c r="AF322" i="63"/>
  <c r="AF323" i="63"/>
  <c r="AF324" i="63"/>
  <c r="AF325" i="63"/>
  <c r="AF326" i="63"/>
  <c r="AF327" i="63"/>
  <c r="AF328" i="63"/>
  <c r="AF329" i="63"/>
  <c r="AF330" i="63"/>
  <c r="AF331" i="63"/>
  <c r="AF332" i="63"/>
  <c r="AF333" i="63"/>
  <c r="AF334" i="63"/>
  <c r="AF335" i="63"/>
  <c r="AF336" i="63"/>
  <c r="AF337" i="63"/>
  <c r="AF338" i="63"/>
  <c r="AF339" i="63"/>
  <c r="AF340" i="63"/>
  <c r="AF341" i="63"/>
  <c r="AF342" i="63"/>
  <c r="AF343" i="63"/>
  <c r="AF344" i="63"/>
  <c r="AF345" i="63"/>
  <c r="AF346" i="63"/>
  <c r="AF347" i="63"/>
  <c r="AF348" i="63"/>
  <c r="AF349" i="63"/>
  <c r="AF350" i="63"/>
  <c r="AF351" i="63"/>
  <c r="AF352" i="63"/>
  <c r="AF353" i="63"/>
  <c r="AF354" i="63"/>
  <c r="AF355" i="63"/>
  <c r="AF356" i="63"/>
  <c r="AF357" i="63"/>
  <c r="AF358" i="63"/>
  <c r="AF359" i="63"/>
  <c r="AF360" i="63"/>
  <c r="AF361" i="63"/>
  <c r="AF362" i="63"/>
  <c r="AF363" i="63"/>
  <c r="AF364" i="63"/>
  <c r="AF365" i="63"/>
  <c r="AF366" i="63"/>
  <c r="AF367" i="63"/>
  <c r="AF368" i="63"/>
  <c r="AF369" i="63"/>
  <c r="AF370" i="63"/>
  <c r="AF371" i="63"/>
  <c r="AF372" i="63"/>
  <c r="AF373" i="63"/>
  <c r="AF374" i="63"/>
  <c r="AF375" i="63"/>
  <c r="AF376" i="63"/>
  <c r="AF377" i="63"/>
  <c r="AF378" i="63"/>
  <c r="AF379" i="63"/>
  <c r="AF380" i="63"/>
  <c r="AF381" i="63"/>
  <c r="AF382" i="63"/>
  <c r="AF383" i="63"/>
  <c r="AF384" i="63"/>
  <c r="AF385" i="63"/>
  <c r="AF386" i="63"/>
  <c r="AF387" i="63"/>
  <c r="AF388" i="63"/>
  <c r="AF389" i="63"/>
  <c r="AF390" i="63"/>
  <c r="AF391" i="63"/>
  <c r="AF392" i="63"/>
  <c r="AF393" i="63"/>
  <c r="AF394" i="63"/>
  <c r="AF395" i="63"/>
  <c r="AF396" i="63"/>
  <c r="AF397" i="63"/>
  <c r="AF398" i="63"/>
  <c r="AF399" i="63"/>
  <c r="AF400" i="63"/>
  <c r="AF401" i="63"/>
  <c r="AF402" i="63"/>
  <c r="AF403" i="63"/>
  <c r="AF404" i="63"/>
  <c r="AF405" i="63"/>
  <c r="AF406" i="63"/>
  <c r="AF407" i="63"/>
  <c r="AF408" i="63"/>
  <c r="AF409" i="63"/>
  <c r="AF410" i="63"/>
  <c r="AF411" i="63"/>
  <c r="AF412" i="63"/>
  <c r="AF456" i="63"/>
  <c r="AF457" i="63"/>
  <c r="AF458" i="63"/>
  <c r="AF459" i="63"/>
  <c r="AF460" i="63"/>
  <c r="AF461" i="63"/>
  <c r="AF462" i="63"/>
  <c r="AF463" i="63"/>
  <c r="AF464" i="63"/>
  <c r="AF465" i="63"/>
  <c r="AF466" i="63"/>
  <c r="AF467" i="63"/>
  <c r="AF468" i="63"/>
  <c r="AF469" i="63"/>
  <c r="AF470" i="63"/>
  <c r="AF471" i="63"/>
  <c r="AF472" i="63"/>
  <c r="AF473" i="63"/>
  <c r="AF474" i="63"/>
  <c r="AF475" i="63"/>
  <c r="AF476" i="63"/>
  <c r="AF477" i="63"/>
  <c r="AF478" i="63"/>
  <c r="AF479" i="63"/>
  <c r="AF480" i="63"/>
  <c r="AF481" i="63"/>
  <c r="AF482" i="63"/>
  <c r="AF483" i="63"/>
  <c r="AF484" i="63"/>
  <c r="AF485" i="63"/>
  <c r="AF486" i="63"/>
  <c r="AF487" i="63"/>
  <c r="AF488" i="63"/>
  <c r="AF489" i="63"/>
  <c r="AF490" i="63"/>
  <c r="AF491" i="63"/>
  <c r="AF492" i="63"/>
  <c r="AF493" i="63"/>
  <c r="AF494" i="63"/>
  <c r="AF495" i="63"/>
  <c r="AF496" i="63"/>
  <c r="AF497" i="63"/>
  <c r="AF498" i="63"/>
  <c r="AF499" i="63"/>
  <c r="AF500" i="63"/>
  <c r="AF501" i="63"/>
  <c r="AF502" i="63"/>
  <c r="AF503" i="63"/>
  <c r="AF504" i="63"/>
  <c r="AF505" i="63"/>
  <c r="AF506" i="63"/>
  <c r="AF507" i="63"/>
  <c r="AF508" i="63"/>
  <c r="AF509" i="63"/>
  <c r="AF510" i="63"/>
  <c r="AF511" i="63"/>
  <c r="AF512" i="63"/>
  <c r="AF513" i="63"/>
  <c r="AF514" i="63"/>
  <c r="AF515" i="63"/>
  <c r="AF516" i="63"/>
  <c r="AF517" i="63"/>
  <c r="AF518" i="63"/>
  <c r="AF519" i="63"/>
  <c r="AF520" i="63"/>
  <c r="AF521" i="63"/>
  <c r="AF522" i="63"/>
  <c r="AF523" i="63"/>
  <c r="AF524" i="63"/>
  <c r="AF525" i="63"/>
  <c r="AF526" i="63"/>
  <c r="AF527" i="63"/>
  <c r="AF528" i="63"/>
  <c r="AF529" i="63"/>
  <c r="AF530" i="63"/>
  <c r="AF531" i="63"/>
  <c r="AF532" i="63"/>
  <c r="AF533" i="63"/>
  <c r="AF534" i="63"/>
  <c r="AF535" i="63"/>
  <c r="AF536" i="63"/>
  <c r="AF537" i="63"/>
  <c r="AF538" i="63"/>
  <c r="AF539" i="63"/>
  <c r="AF540" i="63"/>
  <c r="AF541" i="63"/>
  <c r="AF542" i="63"/>
  <c r="AF543" i="63"/>
  <c r="AF544" i="63"/>
  <c r="AF545" i="63"/>
  <c r="AF546" i="63"/>
  <c r="AF547" i="63"/>
  <c r="AF548" i="63"/>
  <c r="AF549" i="63"/>
  <c r="AF550" i="63"/>
  <c r="AF551" i="63"/>
  <c r="AF552" i="63"/>
  <c r="AF553" i="63"/>
  <c r="AF554" i="63"/>
  <c r="AF555" i="63"/>
  <c r="AF556" i="63"/>
  <c r="AF557" i="63"/>
  <c r="AF558" i="63"/>
  <c r="AF559" i="63"/>
  <c r="AF560" i="63"/>
  <c r="AF561" i="63"/>
  <c r="AF562" i="63"/>
  <c r="AF563" i="63"/>
  <c r="AF564" i="63"/>
  <c r="AF565" i="63"/>
  <c r="AF566" i="63"/>
  <c r="AF567" i="63"/>
  <c r="AF568" i="63"/>
  <c r="AF569" i="63"/>
  <c r="AF570" i="63"/>
  <c r="AF571" i="63"/>
  <c r="AF572" i="63"/>
  <c r="AF573" i="63"/>
  <c r="AF574" i="63"/>
  <c r="AF575" i="63"/>
  <c r="AF576" i="63"/>
  <c r="AF577" i="63"/>
  <c r="AF578" i="63"/>
  <c r="AF579" i="63"/>
  <c r="AF580" i="63"/>
  <c r="AF581" i="63"/>
  <c r="AF582" i="63"/>
  <c r="AF583" i="63"/>
  <c r="AF584" i="63"/>
  <c r="AF585" i="63"/>
  <c r="AF586" i="63"/>
  <c r="AF587" i="63"/>
  <c r="AF588" i="63"/>
  <c r="AF589" i="63"/>
  <c r="AF590" i="63"/>
  <c r="AF591" i="63"/>
  <c r="AF592" i="63"/>
  <c r="AF593" i="63"/>
  <c r="AF594" i="63"/>
  <c r="AF595" i="63"/>
  <c r="AF596" i="63"/>
  <c r="AF597" i="63"/>
  <c r="AF598" i="63"/>
  <c r="AF599" i="63"/>
  <c r="AF600" i="63"/>
  <c r="AF601" i="63"/>
  <c r="AF602" i="63"/>
  <c r="AF603" i="63"/>
  <c r="AF604" i="63"/>
  <c r="AF605" i="63"/>
  <c r="AF606" i="63"/>
  <c r="AF607" i="63"/>
  <c r="AF608" i="63"/>
  <c r="AF609" i="63"/>
  <c r="AF610" i="63"/>
  <c r="AF611" i="63"/>
  <c r="AF612" i="63"/>
  <c r="AF613" i="63"/>
  <c r="AF614" i="63"/>
  <c r="AF615" i="63"/>
  <c r="AF616" i="63"/>
  <c r="AF617" i="63"/>
  <c r="AF618" i="63"/>
  <c r="AF619" i="63"/>
  <c r="AF620" i="63"/>
  <c r="AF621" i="63"/>
  <c r="AF622" i="63"/>
  <c r="AF623" i="63"/>
  <c r="AF624" i="63"/>
  <c r="AF625" i="63"/>
  <c r="AF626" i="63"/>
  <c r="AF627" i="63"/>
  <c r="AF628" i="63"/>
  <c r="AF629" i="63"/>
  <c r="AF630" i="63"/>
  <c r="AF631" i="63"/>
  <c r="AF632" i="63"/>
  <c r="AF633" i="63"/>
  <c r="AF634" i="63"/>
  <c r="AF635" i="63"/>
  <c r="AF636" i="63"/>
  <c r="AF637" i="63"/>
  <c r="AF638" i="63"/>
  <c r="AF639" i="63"/>
  <c r="AF640" i="63"/>
  <c r="AF641" i="63"/>
  <c r="AF642" i="63"/>
  <c r="AF643" i="63"/>
  <c r="AF644" i="63"/>
  <c r="AF645" i="63"/>
  <c r="AF646" i="63"/>
  <c r="AF647" i="63"/>
  <c r="AF648" i="63"/>
  <c r="AF649" i="63"/>
  <c r="AF650" i="63"/>
  <c r="AF651" i="63"/>
  <c r="AF652" i="63"/>
  <c r="AF653" i="63"/>
  <c r="AF654" i="63"/>
  <c r="AF655" i="63"/>
  <c r="AF656" i="63"/>
  <c r="AF657" i="63"/>
  <c r="AF658" i="63"/>
  <c r="AF659" i="63"/>
  <c r="AF660" i="63"/>
  <c r="AF661" i="63"/>
  <c r="AF662" i="63"/>
  <c r="AF663" i="63"/>
  <c r="AF664" i="63"/>
  <c r="AF665" i="63"/>
  <c r="AF666" i="63"/>
  <c r="AF667" i="63"/>
  <c r="AF668" i="63"/>
  <c r="AF669" i="63"/>
  <c r="AF670" i="63"/>
  <c r="AF671" i="63"/>
  <c r="AF672" i="63"/>
  <c r="AF673" i="63"/>
  <c r="AF674" i="63"/>
  <c r="AF675" i="63"/>
  <c r="AF676" i="63"/>
  <c r="AF677" i="63"/>
  <c r="AF678" i="63"/>
  <c r="AF679" i="63"/>
  <c r="AF680" i="63"/>
  <c r="AF681" i="63"/>
  <c r="AF682" i="63"/>
  <c r="AF683" i="63"/>
  <c r="AF684" i="63"/>
  <c r="AF685" i="63"/>
  <c r="AF686" i="63"/>
  <c r="AF687" i="63"/>
  <c r="AF688" i="63"/>
  <c r="AF689" i="63"/>
  <c r="AF690" i="63"/>
  <c r="AF691" i="63"/>
  <c r="AF692" i="63"/>
  <c r="AF693" i="63"/>
  <c r="AF694" i="63"/>
  <c r="AF695" i="63"/>
  <c r="AF696" i="63"/>
  <c r="AF697" i="63"/>
  <c r="AF698" i="63"/>
  <c r="AF699" i="63"/>
  <c r="AF700" i="63"/>
  <c r="AF701" i="63"/>
  <c r="AF702" i="63"/>
  <c r="AF703" i="63"/>
  <c r="AF704" i="63"/>
  <c r="AF705" i="63"/>
  <c r="AF706" i="63"/>
  <c r="AF707" i="63"/>
  <c r="AF708" i="63"/>
  <c r="AF709" i="63"/>
  <c r="AF710" i="63"/>
  <c r="AF711" i="63"/>
  <c r="AF712" i="63"/>
  <c r="AF713" i="63"/>
  <c r="AF714" i="63"/>
  <c r="AF715" i="63"/>
  <c r="AF716" i="63"/>
  <c r="AF717" i="63"/>
  <c r="AF718" i="63"/>
  <c r="AF719" i="63"/>
  <c r="AF720" i="63"/>
  <c r="AF721" i="63"/>
  <c r="AF722" i="63"/>
  <c r="AF723" i="63"/>
  <c r="AF724" i="63"/>
  <c r="AF725" i="63"/>
  <c r="AF726" i="63"/>
  <c r="AF727" i="63"/>
  <c r="AF728" i="63"/>
  <c r="AF729" i="63"/>
  <c r="AF730" i="63"/>
  <c r="AF731" i="63"/>
  <c r="AF732" i="63"/>
  <c r="AF733" i="63"/>
  <c r="AF734" i="63"/>
  <c r="AF735" i="63"/>
  <c r="AF736" i="63"/>
  <c r="AF737" i="63"/>
  <c r="AF738" i="63"/>
  <c r="AF739" i="63"/>
  <c r="AF740" i="63"/>
  <c r="AF741" i="63"/>
  <c r="AF742" i="63"/>
  <c r="AF743" i="63"/>
  <c r="AF744" i="63"/>
  <c r="AF745" i="63"/>
  <c r="AF746" i="63"/>
  <c r="AF747" i="63"/>
  <c r="AF748" i="63"/>
  <c r="AF749" i="63"/>
  <c r="AF750" i="63"/>
  <c r="AF751" i="63"/>
  <c r="AF752" i="63"/>
  <c r="AF753" i="63"/>
  <c r="AF754" i="63"/>
  <c r="AF755" i="63"/>
  <c r="AF756" i="63"/>
  <c r="AF757" i="63"/>
  <c r="AF758" i="63"/>
  <c r="AF759" i="63"/>
  <c r="AF760" i="63"/>
  <c r="AF761" i="63"/>
  <c r="AF762" i="63"/>
  <c r="AF763" i="63"/>
  <c r="AF764" i="63"/>
  <c r="AF765" i="63"/>
  <c r="AF766" i="63"/>
  <c r="AF767" i="63"/>
  <c r="AF768" i="63"/>
  <c r="AF769" i="63"/>
  <c r="AF770" i="63"/>
  <c r="AF771" i="63"/>
  <c r="AF772" i="63"/>
  <c r="AF773" i="63"/>
  <c r="AF774" i="63"/>
  <c r="AF775" i="63"/>
  <c r="AF776" i="63"/>
  <c r="AF777" i="63"/>
  <c r="AF778" i="63"/>
  <c r="AF779" i="63"/>
  <c r="AF780" i="63"/>
  <c r="AF781" i="63"/>
  <c r="AF782" i="63"/>
  <c r="AF783" i="63"/>
  <c r="AF784" i="63"/>
  <c r="AF785" i="63"/>
  <c r="AF786" i="63"/>
  <c r="AF787" i="63"/>
  <c r="AF788" i="63"/>
  <c r="AF789" i="63"/>
  <c r="AF790" i="63"/>
  <c r="AF791" i="63"/>
  <c r="AF792" i="63"/>
  <c r="AF793" i="63"/>
  <c r="AF794" i="63"/>
  <c r="AF795" i="63"/>
  <c r="AF796" i="63"/>
  <c r="AF797" i="63"/>
  <c r="AF798" i="63"/>
  <c r="AF799" i="63"/>
  <c r="AF800" i="63"/>
  <c r="AF801" i="63"/>
  <c r="AF802" i="63"/>
  <c r="AF803" i="63"/>
  <c r="AF804" i="63"/>
  <c r="AF805" i="63"/>
  <c r="AF806" i="63"/>
  <c r="AF807" i="63"/>
  <c r="AF808" i="63"/>
  <c r="AF809" i="63"/>
  <c r="AF810" i="63"/>
  <c r="AF811" i="63"/>
  <c r="AF14" i="63"/>
  <c r="M14" i="63"/>
  <c r="M15" i="63"/>
  <c r="M16" i="63"/>
  <c r="M17" i="63"/>
  <c r="M18" i="63"/>
  <c r="M19" i="63"/>
  <c r="M20" i="63"/>
  <c r="M21" i="63"/>
  <c r="M22" i="63"/>
  <c r="M23" i="63"/>
  <c r="M24" i="63"/>
  <c r="M25" i="63"/>
  <c r="M26" i="63"/>
  <c r="M27" i="63"/>
  <c r="M28" i="63"/>
  <c r="M29" i="63"/>
  <c r="M30" i="63"/>
  <c r="M31" i="63"/>
  <c r="M32" i="63"/>
  <c r="M33" i="63"/>
  <c r="M34" i="63"/>
  <c r="M35" i="63"/>
  <c r="M36" i="63"/>
  <c r="M37" i="63"/>
  <c r="M38" i="63"/>
  <c r="M39" i="63"/>
  <c r="M40" i="63"/>
  <c r="M41" i="63"/>
  <c r="M42" i="63"/>
  <c r="M43" i="63"/>
  <c r="M44" i="63"/>
  <c r="M45" i="63"/>
  <c r="M46" i="63"/>
  <c r="M47" i="63"/>
  <c r="M48" i="63"/>
  <c r="M49" i="63"/>
  <c r="M50" i="63"/>
  <c r="M51" i="63"/>
  <c r="M52" i="63"/>
  <c r="M53" i="63"/>
  <c r="M54" i="63"/>
  <c r="M55" i="63"/>
  <c r="M56" i="63"/>
  <c r="M57" i="63"/>
  <c r="M58" i="63"/>
  <c r="M59" i="63"/>
  <c r="M60" i="63"/>
  <c r="M61" i="63"/>
  <c r="M62" i="63"/>
  <c r="M63" i="63"/>
  <c r="M64" i="63"/>
  <c r="M65" i="63"/>
  <c r="M66" i="63"/>
  <c r="M67" i="63"/>
  <c r="M68" i="63"/>
  <c r="M69" i="63"/>
  <c r="M70" i="63"/>
  <c r="M71" i="63"/>
  <c r="M72" i="63"/>
  <c r="M73" i="63"/>
  <c r="M74" i="63"/>
  <c r="M75" i="63"/>
  <c r="M76" i="63"/>
  <c r="M77" i="63"/>
  <c r="M78" i="63"/>
  <c r="M79" i="63"/>
  <c r="M80" i="63"/>
  <c r="M81" i="63"/>
  <c r="M83" i="63"/>
  <c r="M84" i="63"/>
  <c r="M85" i="63"/>
  <c r="M86" i="63"/>
  <c r="M87" i="63"/>
  <c r="M88" i="63"/>
  <c r="M89" i="63"/>
  <c r="M90" i="63"/>
  <c r="M91" i="63"/>
  <c r="M92" i="63"/>
  <c r="M93" i="63"/>
  <c r="M94" i="63"/>
  <c r="M95" i="63"/>
  <c r="M96" i="63"/>
  <c r="M97" i="63"/>
  <c r="M98" i="63"/>
  <c r="M99" i="63"/>
  <c r="M100" i="63"/>
  <c r="M101" i="63"/>
  <c r="M102" i="63"/>
  <c r="M103" i="63"/>
  <c r="M104" i="63"/>
  <c r="M105" i="63"/>
  <c r="M106" i="63"/>
  <c r="M107" i="63"/>
  <c r="M108" i="63"/>
  <c r="M109" i="63"/>
  <c r="M110" i="63"/>
  <c r="M111" i="63"/>
  <c r="M112" i="63"/>
  <c r="M113" i="63"/>
  <c r="M114" i="63"/>
  <c r="M115" i="63"/>
  <c r="M116" i="63"/>
  <c r="M117" i="63"/>
  <c r="M118" i="63"/>
  <c r="M119" i="63"/>
  <c r="M120" i="63"/>
  <c r="M121" i="63"/>
  <c r="M122" i="63"/>
  <c r="M123" i="63"/>
  <c r="M124" i="63"/>
  <c r="M125" i="63"/>
  <c r="M126" i="63"/>
  <c r="M127" i="63"/>
  <c r="M128" i="63"/>
  <c r="M129" i="63"/>
  <c r="M130" i="63"/>
  <c r="M131" i="63"/>
  <c r="M132" i="63"/>
  <c r="M133" i="63"/>
  <c r="M134" i="63"/>
  <c r="M135" i="63"/>
  <c r="M136" i="63"/>
  <c r="M137" i="63"/>
  <c r="M138" i="63"/>
  <c r="M139" i="63"/>
  <c r="M140" i="63"/>
  <c r="M141" i="63"/>
  <c r="M142" i="63"/>
  <c r="M143" i="63"/>
  <c r="M144" i="63"/>
  <c r="M145" i="63"/>
  <c r="M146" i="63"/>
  <c r="M147" i="63"/>
  <c r="M148" i="63"/>
  <c r="M149" i="63"/>
  <c r="M150" i="63"/>
  <c r="M151" i="63"/>
  <c r="M152" i="63"/>
  <c r="M153" i="63"/>
  <c r="M154" i="63"/>
  <c r="M155" i="63"/>
  <c r="M156" i="63"/>
  <c r="M157" i="63"/>
  <c r="M158" i="63"/>
  <c r="M159" i="63"/>
  <c r="M160" i="63"/>
  <c r="M161" i="63"/>
  <c r="M162" i="63"/>
  <c r="M163" i="63"/>
  <c r="M164" i="63"/>
  <c r="M165" i="63"/>
  <c r="M166" i="63"/>
  <c r="M167" i="63"/>
  <c r="M168" i="63"/>
  <c r="M169" i="63"/>
  <c r="M170" i="63"/>
  <c r="M171" i="63"/>
  <c r="M172" i="63"/>
  <c r="M173" i="63"/>
  <c r="M174" i="63"/>
  <c r="M175" i="63"/>
  <c r="M176" i="63"/>
  <c r="M177" i="63"/>
  <c r="M178" i="63"/>
  <c r="M179" i="63"/>
  <c r="M180" i="63"/>
  <c r="M181" i="63"/>
  <c r="M182" i="63"/>
  <c r="M183" i="63"/>
  <c r="M184" i="63"/>
  <c r="M185" i="63"/>
  <c r="M186" i="63"/>
  <c r="M187" i="63"/>
  <c r="M188" i="63"/>
  <c r="M189" i="63"/>
  <c r="M190" i="63"/>
  <c r="M191" i="63"/>
  <c r="M192" i="63"/>
  <c r="M193" i="63"/>
  <c r="M194" i="63"/>
  <c r="M195" i="63"/>
  <c r="M196" i="63"/>
  <c r="M197" i="63"/>
  <c r="M198" i="63"/>
  <c r="M199" i="63"/>
  <c r="M200" i="63"/>
  <c r="M201" i="63"/>
  <c r="M202" i="63"/>
  <c r="M203" i="63"/>
  <c r="M204" i="63"/>
  <c r="M205" i="63"/>
  <c r="M206" i="63"/>
  <c r="M207" i="63"/>
  <c r="M208" i="63"/>
  <c r="M209" i="63"/>
  <c r="M210" i="63"/>
  <c r="M211" i="63"/>
  <c r="M212" i="63"/>
  <c r="M213" i="63"/>
  <c r="M214" i="63"/>
  <c r="M215" i="63"/>
  <c r="M216" i="63"/>
  <c r="M217" i="63"/>
  <c r="M218" i="63"/>
  <c r="M219" i="63"/>
  <c r="M220" i="63"/>
  <c r="M221" i="63"/>
  <c r="M222" i="63"/>
  <c r="M223" i="63"/>
  <c r="M224" i="63"/>
  <c r="M225" i="63"/>
  <c r="M226" i="63"/>
  <c r="M227" i="63"/>
  <c r="M228" i="63"/>
  <c r="M229" i="63"/>
  <c r="M230" i="63"/>
  <c r="M231" i="63"/>
  <c r="M232" i="63"/>
  <c r="M233" i="63"/>
  <c r="M234" i="63"/>
  <c r="M235" i="63"/>
  <c r="M236" i="63"/>
  <c r="M237" i="63"/>
  <c r="M238" i="63"/>
  <c r="M239" i="63"/>
  <c r="M240" i="63"/>
  <c r="M241" i="63"/>
  <c r="M242" i="63"/>
  <c r="M243" i="63"/>
  <c r="M244" i="63"/>
  <c r="M245" i="63"/>
  <c r="M246" i="63"/>
  <c r="M247" i="63"/>
  <c r="M248" i="63"/>
  <c r="M249" i="63"/>
  <c r="M250" i="63"/>
  <c r="M251" i="63"/>
  <c r="M252" i="63"/>
  <c r="M253" i="63"/>
  <c r="M254" i="63"/>
  <c r="M255" i="63"/>
  <c r="M256" i="63"/>
  <c r="M257" i="63"/>
  <c r="M258" i="63"/>
  <c r="M259" i="63"/>
  <c r="M260" i="63"/>
  <c r="M261" i="63"/>
  <c r="M262" i="63"/>
  <c r="M263" i="63"/>
  <c r="M274" i="63"/>
  <c r="M275" i="63"/>
  <c r="M276" i="63"/>
  <c r="M277" i="63"/>
  <c r="M278" i="63"/>
  <c r="M279" i="63"/>
  <c r="M280" i="63"/>
  <c r="M281" i="63"/>
  <c r="M282" i="63"/>
  <c r="M283" i="63"/>
  <c r="M284" i="63"/>
  <c r="M285" i="63"/>
  <c r="M286" i="63"/>
  <c r="M287" i="63"/>
  <c r="M288" i="63"/>
  <c r="M289" i="63"/>
  <c r="M290" i="63"/>
  <c r="M291" i="63"/>
  <c r="M292" i="63"/>
  <c r="M293" i="63"/>
  <c r="M294" i="63"/>
  <c r="M295" i="63"/>
  <c r="M296" i="63"/>
  <c r="M297" i="63"/>
  <c r="M298" i="63"/>
  <c r="M299" i="63"/>
  <c r="M300" i="63"/>
  <c r="M301" i="63"/>
  <c r="M302" i="63"/>
  <c r="M303" i="63"/>
  <c r="M304" i="63"/>
  <c r="M305" i="63"/>
  <c r="M306" i="63"/>
  <c r="M307" i="63"/>
  <c r="M308" i="63"/>
  <c r="M309" i="63"/>
  <c r="M310" i="63"/>
  <c r="M311" i="63"/>
  <c r="M312" i="63"/>
  <c r="M313" i="63"/>
  <c r="M314" i="63"/>
  <c r="M315" i="63"/>
  <c r="M316" i="63"/>
  <c r="M317" i="63"/>
  <c r="M318" i="63"/>
  <c r="M319" i="63"/>
  <c r="M320" i="63"/>
  <c r="M321" i="63"/>
  <c r="M322" i="63"/>
  <c r="M323" i="63"/>
  <c r="M324" i="63"/>
  <c r="M325" i="63"/>
  <c r="M326" i="63"/>
  <c r="M327" i="63"/>
  <c r="M328" i="63"/>
  <c r="M329" i="63"/>
  <c r="M330" i="63"/>
  <c r="M331" i="63"/>
  <c r="M332" i="63"/>
  <c r="M333" i="63"/>
  <c r="M334" i="63"/>
  <c r="M335" i="63"/>
  <c r="M336" i="63"/>
  <c r="M337" i="63"/>
  <c r="M338" i="63"/>
  <c r="M339" i="63"/>
  <c r="M340" i="63"/>
  <c r="M341" i="63"/>
  <c r="M342" i="63"/>
  <c r="M343" i="63"/>
  <c r="M344" i="63"/>
  <c r="M345" i="63"/>
  <c r="M346" i="63"/>
  <c r="M347" i="63"/>
  <c r="M348" i="63"/>
  <c r="M349" i="63"/>
  <c r="M350" i="63"/>
  <c r="M351" i="63"/>
  <c r="M352" i="63"/>
  <c r="M353" i="63"/>
  <c r="M354" i="63"/>
  <c r="M355" i="63"/>
  <c r="M356" i="63"/>
  <c r="M357" i="63"/>
  <c r="M358" i="63"/>
  <c r="M359" i="63"/>
  <c r="M360" i="63"/>
  <c r="M361" i="63"/>
  <c r="M362" i="63"/>
  <c r="M363" i="63"/>
  <c r="M364" i="63"/>
  <c r="M365" i="63"/>
  <c r="M366" i="63"/>
  <c r="M367" i="63"/>
  <c r="M368" i="63"/>
  <c r="M369" i="63"/>
  <c r="M370" i="63"/>
  <c r="M371" i="63"/>
  <c r="M372" i="63"/>
  <c r="M373" i="63"/>
  <c r="M374" i="63"/>
  <c r="M375" i="63"/>
  <c r="M376" i="63"/>
  <c r="M377" i="63"/>
  <c r="M378" i="63"/>
  <c r="M379" i="63"/>
  <c r="M380" i="63"/>
  <c r="M381" i="63"/>
  <c r="M382" i="63"/>
  <c r="M383" i="63"/>
  <c r="M384" i="63"/>
  <c r="M385" i="63"/>
  <c r="M386" i="63"/>
  <c r="M387" i="63"/>
  <c r="M388" i="63"/>
  <c r="M389" i="63"/>
  <c r="M390" i="63"/>
  <c r="M391" i="63"/>
  <c r="M392" i="63"/>
  <c r="M393" i="63"/>
  <c r="M394" i="63"/>
  <c r="M395" i="63"/>
  <c r="M396" i="63"/>
  <c r="M397" i="63"/>
  <c r="M398" i="63"/>
  <c r="M399" i="63"/>
  <c r="M400" i="63"/>
  <c r="M401" i="63"/>
  <c r="M402" i="63"/>
  <c r="M403" i="63"/>
  <c r="M404" i="63"/>
  <c r="M405" i="63"/>
  <c r="M406" i="63"/>
  <c r="M407" i="63"/>
  <c r="M408" i="63"/>
  <c r="M409" i="63"/>
  <c r="M410" i="63"/>
  <c r="M411" i="63"/>
  <c r="M412" i="63"/>
  <c r="M456" i="63"/>
  <c r="M457" i="63"/>
  <c r="M458" i="63"/>
  <c r="M459" i="63"/>
  <c r="M460" i="63"/>
  <c r="M461" i="63"/>
  <c r="M462" i="63"/>
  <c r="M463" i="63"/>
  <c r="M464" i="63"/>
  <c r="M465" i="63"/>
  <c r="M466" i="63"/>
  <c r="M467" i="63"/>
  <c r="M468" i="63"/>
  <c r="M469" i="63"/>
  <c r="M470" i="63"/>
  <c r="M471" i="63"/>
  <c r="M472" i="63"/>
  <c r="M473" i="63"/>
  <c r="M474" i="63"/>
  <c r="M475" i="63"/>
  <c r="M476" i="63"/>
  <c r="M477" i="63"/>
  <c r="M478" i="63"/>
  <c r="M479" i="63"/>
  <c r="M480" i="63"/>
  <c r="M481" i="63"/>
  <c r="M482" i="63"/>
  <c r="M483" i="63"/>
  <c r="M484" i="63"/>
  <c r="M485" i="63"/>
  <c r="M486" i="63"/>
  <c r="M487" i="63"/>
  <c r="M488" i="63"/>
  <c r="M489" i="63"/>
  <c r="M490" i="63"/>
  <c r="M491" i="63"/>
  <c r="M492" i="63"/>
  <c r="M493" i="63"/>
  <c r="M494" i="63"/>
  <c r="M495" i="63"/>
  <c r="M496" i="63"/>
  <c r="M497" i="63"/>
  <c r="M498" i="63"/>
  <c r="M499" i="63"/>
  <c r="M500" i="63"/>
  <c r="M501" i="63"/>
  <c r="M502" i="63"/>
  <c r="M503" i="63"/>
  <c r="M504" i="63"/>
  <c r="M505" i="63"/>
  <c r="M506" i="63"/>
  <c r="M507" i="63"/>
  <c r="M508" i="63"/>
  <c r="M509" i="63"/>
  <c r="M510" i="63"/>
  <c r="M511" i="63"/>
  <c r="M512" i="63"/>
  <c r="M513" i="63"/>
  <c r="M514" i="63"/>
  <c r="M515" i="63"/>
  <c r="M516" i="63"/>
  <c r="M517" i="63"/>
  <c r="M518" i="63"/>
  <c r="M519" i="63"/>
  <c r="M520" i="63"/>
  <c r="M521" i="63"/>
  <c r="M522" i="63"/>
  <c r="M523" i="63"/>
  <c r="M524" i="63"/>
  <c r="M525" i="63"/>
  <c r="M526" i="63"/>
  <c r="M527" i="63"/>
  <c r="M528" i="63"/>
  <c r="M529" i="63"/>
  <c r="M530" i="63"/>
  <c r="M531" i="63"/>
  <c r="M532" i="63"/>
  <c r="M533" i="63"/>
  <c r="M534" i="63"/>
  <c r="M535" i="63"/>
  <c r="M536" i="63"/>
  <c r="M537" i="63"/>
  <c r="M538" i="63"/>
  <c r="M539" i="63"/>
  <c r="M540" i="63"/>
  <c r="M541" i="63"/>
  <c r="M542" i="63"/>
  <c r="M543" i="63"/>
  <c r="M544" i="63"/>
  <c r="M545" i="63"/>
  <c r="M546" i="63"/>
  <c r="M547" i="63"/>
  <c r="M548" i="63"/>
  <c r="M549" i="63"/>
  <c r="M550" i="63"/>
  <c r="M551" i="63"/>
  <c r="M552" i="63"/>
  <c r="M553" i="63"/>
  <c r="M554" i="63"/>
  <c r="M555" i="63"/>
  <c r="M556" i="63"/>
  <c r="M557" i="63"/>
  <c r="M558" i="63"/>
  <c r="M559" i="63"/>
  <c r="M560" i="63"/>
  <c r="M561" i="63"/>
  <c r="M562" i="63"/>
  <c r="M563" i="63"/>
  <c r="M564" i="63"/>
  <c r="M565" i="63"/>
  <c r="M566" i="63"/>
  <c r="M567" i="63"/>
  <c r="M568" i="63"/>
  <c r="M569" i="63"/>
  <c r="M570" i="63"/>
  <c r="M571" i="63"/>
  <c r="M572" i="63"/>
  <c r="M573" i="63"/>
  <c r="M574" i="63"/>
  <c r="M575" i="63"/>
  <c r="M576" i="63"/>
  <c r="M577" i="63"/>
  <c r="M578" i="63"/>
  <c r="M579" i="63"/>
  <c r="M580" i="63"/>
  <c r="M581" i="63"/>
  <c r="M582" i="63"/>
  <c r="M583" i="63"/>
  <c r="M584" i="63"/>
  <c r="M585" i="63"/>
  <c r="M586" i="63"/>
  <c r="M587" i="63"/>
  <c r="M588" i="63"/>
  <c r="M589" i="63"/>
  <c r="M590" i="63"/>
  <c r="M591" i="63"/>
  <c r="M592" i="63"/>
  <c r="M593" i="63"/>
  <c r="M594" i="63"/>
  <c r="M595" i="63"/>
  <c r="M596" i="63"/>
  <c r="M597" i="63"/>
  <c r="M598" i="63"/>
  <c r="M599" i="63"/>
  <c r="M600" i="63"/>
  <c r="M601" i="63"/>
  <c r="M602" i="63"/>
  <c r="M603" i="63"/>
  <c r="M604" i="63"/>
  <c r="M605" i="63"/>
  <c r="M606" i="63"/>
  <c r="M607" i="63"/>
  <c r="M608" i="63"/>
  <c r="M609" i="63"/>
  <c r="M610" i="63"/>
  <c r="M611" i="63"/>
  <c r="M612" i="63"/>
  <c r="M613" i="63"/>
  <c r="M614" i="63"/>
  <c r="M615" i="63"/>
  <c r="M616" i="63"/>
  <c r="M617" i="63"/>
  <c r="M618" i="63"/>
  <c r="M619" i="63"/>
  <c r="M620" i="63"/>
  <c r="M621" i="63"/>
  <c r="M622" i="63"/>
  <c r="M623" i="63"/>
  <c r="M624" i="63"/>
  <c r="M625" i="63"/>
  <c r="M626" i="63"/>
  <c r="M627" i="63"/>
  <c r="M628" i="63"/>
  <c r="M629" i="63"/>
  <c r="M630" i="63"/>
  <c r="M631" i="63"/>
  <c r="M632" i="63"/>
  <c r="M633" i="63"/>
  <c r="M634" i="63"/>
  <c r="M635" i="63"/>
  <c r="M636" i="63"/>
  <c r="M637" i="63"/>
  <c r="M638" i="63"/>
  <c r="M639" i="63"/>
  <c r="M640" i="63"/>
  <c r="M641" i="63"/>
  <c r="M642" i="63"/>
  <c r="M643" i="63"/>
  <c r="M644" i="63"/>
  <c r="M645" i="63"/>
  <c r="M646" i="63"/>
  <c r="M647" i="63"/>
  <c r="M648" i="63"/>
  <c r="M649" i="63"/>
  <c r="M650" i="63"/>
  <c r="M651" i="63"/>
  <c r="M652" i="63"/>
  <c r="M653" i="63"/>
  <c r="M654" i="63"/>
  <c r="M655" i="63"/>
  <c r="M656" i="63"/>
  <c r="M657" i="63"/>
  <c r="M658" i="63"/>
  <c r="M659" i="63"/>
  <c r="M660" i="63"/>
  <c r="M661" i="63"/>
  <c r="M662" i="63"/>
  <c r="M663" i="63"/>
  <c r="M664" i="63"/>
  <c r="M665" i="63"/>
  <c r="M666" i="63"/>
  <c r="M667" i="63"/>
  <c r="M668" i="63"/>
  <c r="M669" i="63"/>
  <c r="M670" i="63"/>
  <c r="M671" i="63"/>
  <c r="M672" i="63"/>
  <c r="M673" i="63"/>
  <c r="M674" i="63"/>
  <c r="M675" i="63"/>
  <c r="M676" i="63"/>
  <c r="M677" i="63"/>
  <c r="M678" i="63"/>
  <c r="M679" i="63"/>
  <c r="M680" i="63"/>
  <c r="M681" i="63"/>
  <c r="M682" i="63"/>
  <c r="M683" i="63"/>
  <c r="M684" i="63"/>
  <c r="M685" i="63"/>
  <c r="M686" i="63"/>
  <c r="M687" i="63"/>
  <c r="M688" i="63"/>
  <c r="M689" i="63"/>
  <c r="M690" i="63"/>
  <c r="M691" i="63"/>
  <c r="M692" i="63"/>
  <c r="M693" i="63"/>
  <c r="M694" i="63"/>
  <c r="M695" i="63"/>
  <c r="M696" i="63"/>
  <c r="M697" i="63"/>
  <c r="M698" i="63"/>
  <c r="M699" i="63"/>
  <c r="M700" i="63"/>
  <c r="M701" i="63"/>
  <c r="M702" i="63"/>
  <c r="M703" i="63"/>
  <c r="M704" i="63"/>
  <c r="M705" i="63"/>
  <c r="M706" i="63"/>
  <c r="M707" i="63"/>
  <c r="M708" i="63"/>
  <c r="M709" i="63"/>
  <c r="M710" i="63"/>
  <c r="M711" i="63"/>
  <c r="M712" i="63"/>
  <c r="M713" i="63"/>
  <c r="M714" i="63"/>
  <c r="M715" i="63"/>
  <c r="M716" i="63"/>
  <c r="M717" i="63"/>
  <c r="M718" i="63"/>
  <c r="M719" i="63"/>
  <c r="M720" i="63"/>
  <c r="M721" i="63"/>
  <c r="M722" i="63"/>
  <c r="M723" i="63"/>
  <c r="M724" i="63"/>
  <c r="M725" i="63"/>
  <c r="M726" i="63"/>
  <c r="M727" i="63"/>
  <c r="M728" i="63"/>
  <c r="M729" i="63"/>
  <c r="M730" i="63"/>
  <c r="M731" i="63"/>
  <c r="M732" i="63"/>
  <c r="M733" i="63"/>
  <c r="M734" i="63"/>
  <c r="M735" i="63"/>
  <c r="M736" i="63"/>
  <c r="M737" i="63"/>
  <c r="M738" i="63"/>
  <c r="M739" i="63"/>
  <c r="M740" i="63"/>
  <c r="M741" i="63"/>
  <c r="M742" i="63"/>
  <c r="M743" i="63"/>
  <c r="M744" i="63"/>
  <c r="M745" i="63"/>
  <c r="M746" i="63"/>
  <c r="M747" i="63"/>
  <c r="M748" i="63"/>
  <c r="M749" i="63"/>
  <c r="M750" i="63"/>
  <c r="M751" i="63"/>
  <c r="M752" i="63"/>
  <c r="M753" i="63"/>
  <c r="M754" i="63"/>
  <c r="M755" i="63"/>
  <c r="M756" i="63"/>
  <c r="M757" i="63"/>
  <c r="M758" i="63"/>
  <c r="M759" i="63"/>
  <c r="M760" i="63"/>
  <c r="M761" i="63"/>
  <c r="M762" i="63"/>
  <c r="M763" i="63"/>
  <c r="M764" i="63"/>
  <c r="M765" i="63"/>
  <c r="M766" i="63"/>
  <c r="M767" i="63"/>
  <c r="M768" i="63"/>
  <c r="M769" i="63"/>
  <c r="M770" i="63"/>
  <c r="M771" i="63"/>
  <c r="M772" i="63"/>
  <c r="M773" i="63"/>
  <c r="M774" i="63"/>
  <c r="M775" i="63"/>
  <c r="M776" i="63"/>
  <c r="M777" i="63"/>
  <c r="M778" i="63"/>
  <c r="M779" i="63"/>
  <c r="M780" i="63"/>
  <c r="M781" i="63"/>
  <c r="M782" i="63"/>
  <c r="M783" i="63"/>
  <c r="M784" i="63"/>
  <c r="M785" i="63"/>
  <c r="M786" i="63"/>
  <c r="M787" i="63"/>
  <c r="M788" i="63"/>
  <c r="M789" i="63"/>
  <c r="M790" i="63"/>
  <c r="M791" i="63"/>
  <c r="M792" i="63"/>
  <c r="M793" i="63"/>
  <c r="M794" i="63"/>
  <c r="M795" i="63"/>
  <c r="M796" i="63"/>
  <c r="M797" i="63"/>
  <c r="M798" i="63"/>
  <c r="M799" i="63"/>
  <c r="M800" i="63"/>
  <c r="M801" i="63"/>
  <c r="M802" i="63"/>
  <c r="M803" i="63"/>
  <c r="M804" i="63"/>
  <c r="M805" i="63"/>
  <c r="M806" i="63"/>
  <c r="M807" i="63"/>
  <c r="M808" i="63"/>
  <c r="M809" i="63"/>
  <c r="M810" i="63"/>
  <c r="M811" i="63"/>
  <c r="M13" i="63"/>
  <c r="O14" i="63"/>
  <c r="O15" i="63"/>
  <c r="O16" i="63"/>
  <c r="O17" i="63"/>
  <c r="O18" i="63"/>
  <c r="O19" i="63"/>
  <c r="O20" i="63"/>
  <c r="O21" i="63"/>
  <c r="O22" i="63"/>
  <c r="O23" i="63"/>
  <c r="O24" i="63"/>
  <c r="O25" i="63"/>
  <c r="O26" i="63"/>
  <c r="O27" i="63"/>
  <c r="O28" i="63"/>
  <c r="O29" i="63"/>
  <c r="O30" i="63"/>
  <c r="O31" i="63"/>
  <c r="O32" i="63"/>
  <c r="O33" i="63"/>
  <c r="O34" i="63"/>
  <c r="O35" i="63"/>
  <c r="O36" i="63"/>
  <c r="O37" i="63"/>
  <c r="O38" i="63"/>
  <c r="O39" i="63"/>
  <c r="O40" i="63"/>
  <c r="O41" i="63"/>
  <c r="O42" i="63"/>
  <c r="O43" i="63"/>
  <c r="O44" i="63"/>
  <c r="O45" i="63"/>
  <c r="O46" i="63"/>
  <c r="O47" i="63"/>
  <c r="O48" i="63"/>
  <c r="O49" i="63"/>
  <c r="O50" i="63"/>
  <c r="O51" i="63"/>
  <c r="O52" i="63"/>
  <c r="O53" i="63"/>
  <c r="O54" i="63"/>
  <c r="O55" i="63"/>
  <c r="O56" i="63"/>
  <c r="O57" i="63"/>
  <c r="O58" i="63"/>
  <c r="O59" i="63"/>
  <c r="O60" i="63"/>
  <c r="O61" i="63"/>
  <c r="O62" i="63"/>
  <c r="O63" i="63"/>
  <c r="O64" i="63"/>
  <c r="O65" i="63"/>
  <c r="O66" i="63"/>
  <c r="O67" i="63"/>
  <c r="O68" i="63"/>
  <c r="O69" i="63"/>
  <c r="O70" i="63"/>
  <c r="O71" i="63"/>
  <c r="O72" i="63"/>
  <c r="O73" i="63"/>
  <c r="O74" i="63"/>
  <c r="O75" i="63"/>
  <c r="O76" i="63"/>
  <c r="O77" i="63"/>
  <c r="O78" i="63"/>
  <c r="O79" i="63"/>
  <c r="O80" i="63"/>
  <c r="O81" i="63"/>
  <c r="O83" i="63"/>
  <c r="O84" i="63"/>
  <c r="O85" i="63"/>
  <c r="O86" i="63"/>
  <c r="O87" i="63"/>
  <c r="O88" i="63"/>
  <c r="O89" i="63"/>
  <c r="O90" i="63"/>
  <c r="O91" i="63"/>
  <c r="O92" i="63"/>
  <c r="O93" i="63"/>
  <c r="O94" i="63"/>
  <c r="O95" i="63"/>
  <c r="O96" i="63"/>
  <c r="O97" i="63"/>
  <c r="O98" i="63"/>
  <c r="O99" i="63"/>
  <c r="O100" i="63"/>
  <c r="O101" i="63"/>
  <c r="O102" i="63"/>
  <c r="O103" i="63"/>
  <c r="O104" i="63"/>
  <c r="O105" i="63"/>
  <c r="O106" i="63"/>
  <c r="O107" i="63"/>
  <c r="O108" i="63"/>
  <c r="O109" i="63"/>
  <c r="O110" i="63"/>
  <c r="O111" i="63"/>
  <c r="O112" i="63"/>
  <c r="O113" i="63"/>
  <c r="O114" i="63"/>
  <c r="O115" i="63"/>
  <c r="O116" i="63"/>
  <c r="O117" i="63"/>
  <c r="O118" i="63"/>
  <c r="O119" i="63"/>
  <c r="O120" i="63"/>
  <c r="O121" i="63"/>
  <c r="O122" i="63"/>
  <c r="O123" i="63"/>
  <c r="O124" i="63"/>
  <c r="O125" i="63"/>
  <c r="O126" i="63"/>
  <c r="O127" i="63"/>
  <c r="O128" i="63"/>
  <c r="O129" i="63"/>
  <c r="O130" i="63"/>
  <c r="O131" i="63"/>
  <c r="O132" i="63"/>
  <c r="O133" i="63"/>
  <c r="O134" i="63"/>
  <c r="O135" i="63"/>
  <c r="O136" i="63"/>
  <c r="O137" i="63"/>
  <c r="O138" i="63"/>
  <c r="O139" i="63"/>
  <c r="O140" i="63"/>
  <c r="O141" i="63"/>
  <c r="O142" i="63"/>
  <c r="O143" i="63"/>
  <c r="O144" i="63"/>
  <c r="O145" i="63"/>
  <c r="O146" i="63"/>
  <c r="O147" i="63"/>
  <c r="O148" i="63"/>
  <c r="O149" i="63"/>
  <c r="O150" i="63"/>
  <c r="O151" i="63"/>
  <c r="O152" i="63"/>
  <c r="O153" i="63"/>
  <c r="O154" i="63"/>
  <c r="O155" i="63"/>
  <c r="O156" i="63"/>
  <c r="O157" i="63"/>
  <c r="O158" i="63"/>
  <c r="O159" i="63"/>
  <c r="O160" i="63"/>
  <c r="O161" i="63"/>
  <c r="O162" i="63"/>
  <c r="O163" i="63"/>
  <c r="O164" i="63"/>
  <c r="O165" i="63"/>
  <c r="O166" i="63"/>
  <c r="O167" i="63"/>
  <c r="O168" i="63"/>
  <c r="O169" i="63"/>
  <c r="O170" i="63"/>
  <c r="O171" i="63"/>
  <c r="O172" i="63"/>
  <c r="O173" i="63"/>
  <c r="O174" i="63"/>
  <c r="O175" i="63"/>
  <c r="O176" i="63"/>
  <c r="O177" i="63"/>
  <c r="O178" i="63"/>
  <c r="O179" i="63"/>
  <c r="O180" i="63"/>
  <c r="O181" i="63"/>
  <c r="O182" i="63"/>
  <c r="O183" i="63"/>
  <c r="O184" i="63"/>
  <c r="O185" i="63"/>
  <c r="O186" i="63"/>
  <c r="O187" i="63"/>
  <c r="O188" i="63"/>
  <c r="O189" i="63"/>
  <c r="O190" i="63"/>
  <c r="O191" i="63"/>
  <c r="O192" i="63"/>
  <c r="O193" i="63"/>
  <c r="O194" i="63"/>
  <c r="O195" i="63"/>
  <c r="O196" i="63"/>
  <c r="O197" i="63"/>
  <c r="O198" i="63"/>
  <c r="O199" i="63"/>
  <c r="O200" i="63"/>
  <c r="O201" i="63"/>
  <c r="O202" i="63"/>
  <c r="O203" i="63"/>
  <c r="O204" i="63"/>
  <c r="O205" i="63"/>
  <c r="O206" i="63"/>
  <c r="O207" i="63"/>
  <c r="O208" i="63"/>
  <c r="O209" i="63"/>
  <c r="O210" i="63"/>
  <c r="O211" i="63"/>
  <c r="O212" i="63"/>
  <c r="O213" i="63"/>
  <c r="O214" i="63"/>
  <c r="O215" i="63"/>
  <c r="O216" i="63"/>
  <c r="O217" i="63"/>
  <c r="O218" i="63"/>
  <c r="O219" i="63"/>
  <c r="O220" i="63"/>
  <c r="O221" i="63"/>
  <c r="O222" i="63"/>
  <c r="O223" i="63"/>
  <c r="O224" i="63"/>
  <c r="O225" i="63"/>
  <c r="O226" i="63"/>
  <c r="O227" i="63"/>
  <c r="O228" i="63"/>
  <c r="O229" i="63"/>
  <c r="O230" i="63"/>
  <c r="O231" i="63"/>
  <c r="O232" i="63"/>
  <c r="O233" i="63"/>
  <c r="O234" i="63"/>
  <c r="O235" i="63"/>
  <c r="O236" i="63"/>
  <c r="O237" i="63"/>
  <c r="O238" i="63"/>
  <c r="O239" i="63"/>
  <c r="O240" i="63"/>
  <c r="O241" i="63"/>
  <c r="O242" i="63"/>
  <c r="O243" i="63"/>
  <c r="O244" i="63"/>
  <c r="O245" i="63"/>
  <c r="O246" i="63"/>
  <c r="O247" i="63"/>
  <c r="O248" i="63"/>
  <c r="O249" i="63"/>
  <c r="O250" i="63"/>
  <c r="O251" i="63"/>
  <c r="O252" i="63"/>
  <c r="O253" i="63"/>
  <c r="O254" i="63"/>
  <c r="O255" i="63"/>
  <c r="O256" i="63"/>
  <c r="O257" i="63"/>
  <c r="O258" i="63"/>
  <c r="O259" i="63"/>
  <c r="O260" i="63"/>
  <c r="O261" i="63"/>
  <c r="O262" i="63"/>
  <c r="O263" i="63"/>
  <c r="O274" i="63"/>
  <c r="O275" i="63"/>
  <c r="O276" i="63"/>
  <c r="O277" i="63"/>
  <c r="O278" i="63"/>
  <c r="O279" i="63"/>
  <c r="O280" i="63"/>
  <c r="O281" i="63"/>
  <c r="O282" i="63"/>
  <c r="O283" i="63"/>
  <c r="O284" i="63"/>
  <c r="O285" i="63"/>
  <c r="O286" i="63"/>
  <c r="O287" i="63"/>
  <c r="O288" i="63"/>
  <c r="O289" i="63"/>
  <c r="O290" i="63"/>
  <c r="O291" i="63"/>
  <c r="O292" i="63"/>
  <c r="O293" i="63"/>
  <c r="O294" i="63"/>
  <c r="O295" i="63"/>
  <c r="O296" i="63"/>
  <c r="O297" i="63"/>
  <c r="O298" i="63"/>
  <c r="O299" i="63"/>
  <c r="O300" i="63"/>
  <c r="O301" i="63"/>
  <c r="O302" i="63"/>
  <c r="O303" i="63"/>
  <c r="O304" i="63"/>
  <c r="O305" i="63"/>
  <c r="O306" i="63"/>
  <c r="O307" i="63"/>
  <c r="O308" i="63"/>
  <c r="O309" i="63"/>
  <c r="O310" i="63"/>
  <c r="O311" i="63"/>
  <c r="O312" i="63"/>
  <c r="O313" i="63"/>
  <c r="O314" i="63"/>
  <c r="O315" i="63"/>
  <c r="O316" i="63"/>
  <c r="O317" i="63"/>
  <c r="O318" i="63"/>
  <c r="O319" i="63"/>
  <c r="O320" i="63"/>
  <c r="O321" i="63"/>
  <c r="O322" i="63"/>
  <c r="O323" i="63"/>
  <c r="O324" i="63"/>
  <c r="O325" i="63"/>
  <c r="O326" i="63"/>
  <c r="O327" i="63"/>
  <c r="O328" i="63"/>
  <c r="O329" i="63"/>
  <c r="O330" i="63"/>
  <c r="O331" i="63"/>
  <c r="O332" i="63"/>
  <c r="O333" i="63"/>
  <c r="O334" i="63"/>
  <c r="O335" i="63"/>
  <c r="O336" i="63"/>
  <c r="O337" i="63"/>
  <c r="O338" i="63"/>
  <c r="O339" i="63"/>
  <c r="O340" i="63"/>
  <c r="O341" i="63"/>
  <c r="O342" i="63"/>
  <c r="O343" i="63"/>
  <c r="O344" i="63"/>
  <c r="O345" i="63"/>
  <c r="O346" i="63"/>
  <c r="O347" i="63"/>
  <c r="O348" i="63"/>
  <c r="O349" i="63"/>
  <c r="O350" i="63"/>
  <c r="O351" i="63"/>
  <c r="O352" i="63"/>
  <c r="O353" i="63"/>
  <c r="O354" i="63"/>
  <c r="O355" i="63"/>
  <c r="O356" i="63"/>
  <c r="O357" i="63"/>
  <c r="O358" i="63"/>
  <c r="O359" i="63"/>
  <c r="O360" i="63"/>
  <c r="O361" i="63"/>
  <c r="O362" i="63"/>
  <c r="O363" i="63"/>
  <c r="O364" i="63"/>
  <c r="O365" i="63"/>
  <c r="O366" i="63"/>
  <c r="O367" i="63"/>
  <c r="O368" i="63"/>
  <c r="O369" i="63"/>
  <c r="O370" i="63"/>
  <c r="O371" i="63"/>
  <c r="O372" i="63"/>
  <c r="O373" i="63"/>
  <c r="O374" i="63"/>
  <c r="O375" i="63"/>
  <c r="O376" i="63"/>
  <c r="O377" i="63"/>
  <c r="O378" i="63"/>
  <c r="O379" i="63"/>
  <c r="O380" i="63"/>
  <c r="O381" i="63"/>
  <c r="O382" i="63"/>
  <c r="O383" i="63"/>
  <c r="O384" i="63"/>
  <c r="O385" i="63"/>
  <c r="O386" i="63"/>
  <c r="O387" i="63"/>
  <c r="O388" i="63"/>
  <c r="O389" i="63"/>
  <c r="O390" i="63"/>
  <c r="O391" i="63"/>
  <c r="O392" i="63"/>
  <c r="O393" i="63"/>
  <c r="O394" i="63"/>
  <c r="O395" i="63"/>
  <c r="O396" i="63"/>
  <c r="O397" i="63"/>
  <c r="O398" i="63"/>
  <c r="O399" i="63"/>
  <c r="O400" i="63"/>
  <c r="O401" i="63"/>
  <c r="O402" i="63"/>
  <c r="O403" i="63"/>
  <c r="O404" i="63"/>
  <c r="O405" i="63"/>
  <c r="O406" i="63"/>
  <c r="O407" i="63"/>
  <c r="O408" i="63"/>
  <c r="O409" i="63"/>
  <c r="O410" i="63"/>
  <c r="O411" i="63"/>
  <c r="O412" i="63"/>
  <c r="O456" i="63"/>
  <c r="O457" i="63"/>
  <c r="O458" i="63"/>
  <c r="O459" i="63"/>
  <c r="O460" i="63"/>
  <c r="O461" i="63"/>
  <c r="O462" i="63"/>
  <c r="O463" i="63"/>
  <c r="O464" i="63"/>
  <c r="O465" i="63"/>
  <c r="O466" i="63"/>
  <c r="O467" i="63"/>
  <c r="O468" i="63"/>
  <c r="O469" i="63"/>
  <c r="O470" i="63"/>
  <c r="O471" i="63"/>
  <c r="O472" i="63"/>
  <c r="O473" i="63"/>
  <c r="O474" i="63"/>
  <c r="O475" i="63"/>
  <c r="O476" i="63"/>
  <c r="O477" i="63"/>
  <c r="O478" i="63"/>
  <c r="O479" i="63"/>
  <c r="O480" i="63"/>
  <c r="O481" i="63"/>
  <c r="O482" i="63"/>
  <c r="O483" i="63"/>
  <c r="O484" i="63"/>
  <c r="O485" i="63"/>
  <c r="O486" i="63"/>
  <c r="O487" i="63"/>
  <c r="O488" i="63"/>
  <c r="O489" i="63"/>
  <c r="O490" i="63"/>
  <c r="O491" i="63"/>
  <c r="O492" i="63"/>
  <c r="O493" i="63"/>
  <c r="O494" i="63"/>
  <c r="O495" i="63"/>
  <c r="O496" i="63"/>
  <c r="O497" i="63"/>
  <c r="O498" i="63"/>
  <c r="O499" i="63"/>
  <c r="O500" i="63"/>
  <c r="O501" i="63"/>
  <c r="O502" i="63"/>
  <c r="O503" i="63"/>
  <c r="O504" i="63"/>
  <c r="O505" i="63"/>
  <c r="O506" i="63"/>
  <c r="O507" i="63"/>
  <c r="O508" i="63"/>
  <c r="O509" i="63"/>
  <c r="O510" i="63"/>
  <c r="O511" i="63"/>
  <c r="O512" i="63"/>
  <c r="O513" i="63"/>
  <c r="O514" i="63"/>
  <c r="O515" i="63"/>
  <c r="O516" i="63"/>
  <c r="O517" i="63"/>
  <c r="O518" i="63"/>
  <c r="O519" i="63"/>
  <c r="O520" i="63"/>
  <c r="O521" i="63"/>
  <c r="O522" i="63"/>
  <c r="O523" i="63"/>
  <c r="O524" i="63"/>
  <c r="O525" i="63"/>
  <c r="O526" i="63"/>
  <c r="O527" i="63"/>
  <c r="O528" i="63"/>
  <c r="O529" i="63"/>
  <c r="O530" i="63"/>
  <c r="O531" i="63"/>
  <c r="O532" i="63"/>
  <c r="O533" i="63"/>
  <c r="O534" i="63"/>
  <c r="O535" i="63"/>
  <c r="O536" i="63"/>
  <c r="O537" i="63"/>
  <c r="O538" i="63"/>
  <c r="O539" i="63"/>
  <c r="O540" i="63"/>
  <c r="O541" i="63"/>
  <c r="O542" i="63"/>
  <c r="O543" i="63"/>
  <c r="O544" i="63"/>
  <c r="O545" i="63"/>
  <c r="O546" i="63"/>
  <c r="O547" i="63"/>
  <c r="O548" i="63"/>
  <c r="O549" i="63"/>
  <c r="O550" i="63"/>
  <c r="O551" i="63"/>
  <c r="O552" i="63"/>
  <c r="O553" i="63"/>
  <c r="O554" i="63"/>
  <c r="O555" i="63"/>
  <c r="O556" i="63"/>
  <c r="O557" i="63"/>
  <c r="O558" i="63"/>
  <c r="O559" i="63"/>
  <c r="O560" i="63"/>
  <c r="O561" i="63"/>
  <c r="O562" i="63"/>
  <c r="O563" i="63"/>
  <c r="O564" i="63"/>
  <c r="O565" i="63"/>
  <c r="O566" i="63"/>
  <c r="O567" i="63"/>
  <c r="O568" i="63"/>
  <c r="O569" i="63"/>
  <c r="O570" i="63"/>
  <c r="O571" i="63"/>
  <c r="O572" i="63"/>
  <c r="O573" i="63"/>
  <c r="O574" i="63"/>
  <c r="O575" i="63"/>
  <c r="O576" i="63"/>
  <c r="O577" i="63"/>
  <c r="O578" i="63"/>
  <c r="O579" i="63"/>
  <c r="O580" i="63"/>
  <c r="O581" i="63"/>
  <c r="O582" i="63"/>
  <c r="O583" i="63"/>
  <c r="O584" i="63"/>
  <c r="O585" i="63"/>
  <c r="O586" i="63"/>
  <c r="O587" i="63"/>
  <c r="O588" i="63"/>
  <c r="O589" i="63"/>
  <c r="O590" i="63"/>
  <c r="O591" i="63"/>
  <c r="O592" i="63"/>
  <c r="O593" i="63"/>
  <c r="O594" i="63"/>
  <c r="O595" i="63"/>
  <c r="O596" i="63"/>
  <c r="O597" i="63"/>
  <c r="O598" i="63"/>
  <c r="O599" i="63"/>
  <c r="O600" i="63"/>
  <c r="O601" i="63"/>
  <c r="O602" i="63"/>
  <c r="O603" i="63"/>
  <c r="O604" i="63"/>
  <c r="O605" i="63"/>
  <c r="O606" i="63"/>
  <c r="O607" i="63"/>
  <c r="O608" i="63"/>
  <c r="O609" i="63"/>
  <c r="O610" i="63"/>
  <c r="O611" i="63"/>
  <c r="O612" i="63"/>
  <c r="O613" i="63"/>
  <c r="O614" i="63"/>
  <c r="O615" i="63"/>
  <c r="O616" i="63"/>
  <c r="O617" i="63"/>
  <c r="O618" i="63"/>
  <c r="O619" i="63"/>
  <c r="O620" i="63"/>
  <c r="O621" i="63"/>
  <c r="O622" i="63"/>
  <c r="O623" i="63"/>
  <c r="O624" i="63"/>
  <c r="O625" i="63"/>
  <c r="O626" i="63"/>
  <c r="O627" i="63"/>
  <c r="O628" i="63"/>
  <c r="O629" i="63"/>
  <c r="O630" i="63"/>
  <c r="O631" i="63"/>
  <c r="O632" i="63"/>
  <c r="O633" i="63"/>
  <c r="O634" i="63"/>
  <c r="O635" i="63"/>
  <c r="O636" i="63"/>
  <c r="O637" i="63"/>
  <c r="O638" i="63"/>
  <c r="O639" i="63"/>
  <c r="O640" i="63"/>
  <c r="O641" i="63"/>
  <c r="O642" i="63"/>
  <c r="O643" i="63"/>
  <c r="O644" i="63"/>
  <c r="O645" i="63"/>
  <c r="O646" i="63"/>
  <c r="O647" i="63"/>
  <c r="O648" i="63"/>
  <c r="O649" i="63"/>
  <c r="O650" i="63"/>
  <c r="O651" i="63"/>
  <c r="O652" i="63"/>
  <c r="O653" i="63"/>
  <c r="O654" i="63"/>
  <c r="O655" i="63"/>
  <c r="O656" i="63"/>
  <c r="O657" i="63"/>
  <c r="O658" i="63"/>
  <c r="O659" i="63"/>
  <c r="O660" i="63"/>
  <c r="O661" i="63"/>
  <c r="O662" i="63"/>
  <c r="O663" i="63"/>
  <c r="O664" i="63"/>
  <c r="O665" i="63"/>
  <c r="O666" i="63"/>
  <c r="O667" i="63"/>
  <c r="O668" i="63"/>
  <c r="O669" i="63"/>
  <c r="O670" i="63"/>
  <c r="O671" i="63"/>
  <c r="O672" i="63"/>
  <c r="O673" i="63"/>
  <c r="O674" i="63"/>
  <c r="O675" i="63"/>
  <c r="O676" i="63"/>
  <c r="O677" i="63"/>
  <c r="O678" i="63"/>
  <c r="O679" i="63"/>
  <c r="O680" i="63"/>
  <c r="O681" i="63"/>
  <c r="O682" i="63"/>
  <c r="O683" i="63"/>
  <c r="O684" i="63"/>
  <c r="O685" i="63"/>
  <c r="O686" i="63"/>
  <c r="O687" i="63"/>
  <c r="O688" i="63"/>
  <c r="O689" i="63"/>
  <c r="O690" i="63"/>
  <c r="O691" i="63"/>
  <c r="O692" i="63"/>
  <c r="O693" i="63"/>
  <c r="O694" i="63"/>
  <c r="O695" i="63"/>
  <c r="O696" i="63"/>
  <c r="O697" i="63"/>
  <c r="O698" i="63"/>
  <c r="O699" i="63"/>
  <c r="O700" i="63"/>
  <c r="O701" i="63"/>
  <c r="O702" i="63"/>
  <c r="O703" i="63"/>
  <c r="O704" i="63"/>
  <c r="O705" i="63"/>
  <c r="O706" i="63"/>
  <c r="O707" i="63"/>
  <c r="O708" i="63"/>
  <c r="O709" i="63"/>
  <c r="O710" i="63"/>
  <c r="O711" i="63"/>
  <c r="O712" i="63"/>
  <c r="O713" i="63"/>
  <c r="O714" i="63"/>
  <c r="O715" i="63"/>
  <c r="O716" i="63"/>
  <c r="O717" i="63"/>
  <c r="O718" i="63"/>
  <c r="O719" i="63"/>
  <c r="O720" i="63"/>
  <c r="O721" i="63"/>
  <c r="O722" i="63"/>
  <c r="O723" i="63"/>
  <c r="O724" i="63"/>
  <c r="O725" i="63"/>
  <c r="O726" i="63"/>
  <c r="O727" i="63"/>
  <c r="O728" i="63"/>
  <c r="O729" i="63"/>
  <c r="O730" i="63"/>
  <c r="O731" i="63"/>
  <c r="O732" i="63"/>
  <c r="O733" i="63"/>
  <c r="O734" i="63"/>
  <c r="O735" i="63"/>
  <c r="O736" i="63"/>
  <c r="O737" i="63"/>
  <c r="O738" i="63"/>
  <c r="O739" i="63"/>
  <c r="O740" i="63"/>
  <c r="O741" i="63"/>
  <c r="O742" i="63"/>
  <c r="O743" i="63"/>
  <c r="O744" i="63"/>
  <c r="O745" i="63"/>
  <c r="O746" i="63"/>
  <c r="O747" i="63"/>
  <c r="O748" i="63"/>
  <c r="O749" i="63"/>
  <c r="O750" i="63"/>
  <c r="O751" i="63"/>
  <c r="O752" i="63"/>
  <c r="O753" i="63"/>
  <c r="O754" i="63"/>
  <c r="O755" i="63"/>
  <c r="O756" i="63"/>
  <c r="O757" i="63"/>
  <c r="O758" i="63"/>
  <c r="O759" i="63"/>
  <c r="O760" i="63"/>
  <c r="O761" i="63"/>
  <c r="O762" i="63"/>
  <c r="O763" i="63"/>
  <c r="O764" i="63"/>
  <c r="O765" i="63"/>
  <c r="O766" i="63"/>
  <c r="O767" i="63"/>
  <c r="O768" i="63"/>
  <c r="O769" i="63"/>
  <c r="O770" i="63"/>
  <c r="O771" i="63"/>
  <c r="O772" i="63"/>
  <c r="O773" i="63"/>
  <c r="O774" i="63"/>
  <c r="O775" i="63"/>
  <c r="O776" i="63"/>
  <c r="O777" i="63"/>
  <c r="O778" i="63"/>
  <c r="O779" i="63"/>
  <c r="O780" i="63"/>
  <c r="O781" i="63"/>
  <c r="O782" i="63"/>
  <c r="O783" i="63"/>
  <c r="O784" i="63"/>
  <c r="O785" i="63"/>
  <c r="O786" i="63"/>
  <c r="O787" i="63"/>
  <c r="O788" i="63"/>
  <c r="O789" i="63"/>
  <c r="O790" i="63"/>
  <c r="O791" i="63"/>
  <c r="O792" i="63"/>
  <c r="O793" i="63"/>
  <c r="O794" i="63"/>
  <c r="O795" i="63"/>
  <c r="O796" i="63"/>
  <c r="O797" i="63"/>
  <c r="O798" i="63"/>
  <c r="O799" i="63"/>
  <c r="O800" i="63"/>
  <c r="O801" i="63"/>
  <c r="O802" i="63"/>
  <c r="O803" i="63"/>
  <c r="O804" i="63"/>
  <c r="O805" i="63"/>
  <c r="O806" i="63"/>
  <c r="O807" i="63"/>
  <c r="O808" i="63"/>
  <c r="O809" i="63"/>
  <c r="O810" i="63"/>
  <c r="O811" i="63"/>
  <c r="N14" i="63"/>
  <c r="N15" i="63"/>
  <c r="N16" i="63"/>
  <c r="N17" i="63"/>
  <c r="N18" i="63"/>
  <c r="N19" i="63"/>
  <c r="N20" i="63"/>
  <c r="N21" i="63"/>
  <c r="N22" i="63"/>
  <c r="N23" i="63"/>
  <c r="N24" i="63"/>
  <c r="N25" i="63"/>
  <c r="N26" i="63"/>
  <c r="N27" i="63"/>
  <c r="N28" i="63"/>
  <c r="N29" i="63"/>
  <c r="N30" i="63"/>
  <c r="N31" i="63"/>
  <c r="N32" i="63"/>
  <c r="N33" i="63"/>
  <c r="N34" i="63"/>
  <c r="N35" i="63"/>
  <c r="N36" i="63"/>
  <c r="N37" i="63"/>
  <c r="N38" i="63"/>
  <c r="N39" i="63"/>
  <c r="N40" i="63"/>
  <c r="N41" i="63"/>
  <c r="N42" i="63"/>
  <c r="N43" i="63"/>
  <c r="N44" i="63"/>
  <c r="N45" i="63"/>
  <c r="N46" i="63"/>
  <c r="N47" i="63"/>
  <c r="N48" i="63"/>
  <c r="N49" i="63"/>
  <c r="N50" i="63"/>
  <c r="N51" i="63"/>
  <c r="N52" i="63"/>
  <c r="N53" i="63"/>
  <c r="N54" i="63"/>
  <c r="N55" i="63"/>
  <c r="N56" i="63"/>
  <c r="N57" i="63"/>
  <c r="N58" i="63"/>
  <c r="N59" i="63"/>
  <c r="N60" i="63"/>
  <c r="N61" i="63"/>
  <c r="N62" i="63"/>
  <c r="N63" i="63"/>
  <c r="N64" i="63"/>
  <c r="N65" i="63"/>
  <c r="N66" i="63"/>
  <c r="N67" i="63"/>
  <c r="N68" i="63"/>
  <c r="N69" i="63"/>
  <c r="N70" i="63"/>
  <c r="N71" i="63"/>
  <c r="N72" i="63"/>
  <c r="N73" i="63"/>
  <c r="N74" i="63"/>
  <c r="N75" i="63"/>
  <c r="N76" i="63"/>
  <c r="N77" i="63"/>
  <c r="N78" i="63"/>
  <c r="N79" i="63"/>
  <c r="N80" i="63"/>
  <c r="N81" i="63"/>
  <c r="N83" i="63"/>
  <c r="N84" i="63"/>
  <c r="N85" i="63"/>
  <c r="N86" i="63"/>
  <c r="N87" i="63"/>
  <c r="N88" i="63"/>
  <c r="N89" i="63"/>
  <c r="N90" i="63"/>
  <c r="N91" i="63"/>
  <c r="N92" i="63"/>
  <c r="N93" i="63"/>
  <c r="N94" i="63"/>
  <c r="N95" i="63"/>
  <c r="N96" i="63"/>
  <c r="N97" i="63"/>
  <c r="N98" i="63"/>
  <c r="N99" i="63"/>
  <c r="N100" i="63"/>
  <c r="N101" i="63"/>
  <c r="N102" i="63"/>
  <c r="N103" i="63"/>
  <c r="N104" i="63"/>
  <c r="N105" i="63"/>
  <c r="N106" i="63"/>
  <c r="N107" i="63"/>
  <c r="N108" i="63"/>
  <c r="N109" i="63"/>
  <c r="N110" i="63"/>
  <c r="N111" i="63"/>
  <c r="N112" i="63"/>
  <c r="N113" i="63"/>
  <c r="N114" i="63"/>
  <c r="N115" i="63"/>
  <c r="N116" i="63"/>
  <c r="N117" i="63"/>
  <c r="N118" i="63"/>
  <c r="N119" i="63"/>
  <c r="N120" i="63"/>
  <c r="N121" i="63"/>
  <c r="N122" i="63"/>
  <c r="N123" i="63"/>
  <c r="N124" i="63"/>
  <c r="N125" i="63"/>
  <c r="N126" i="63"/>
  <c r="N127" i="63"/>
  <c r="N128" i="63"/>
  <c r="N129" i="63"/>
  <c r="N130" i="63"/>
  <c r="N131" i="63"/>
  <c r="N132" i="63"/>
  <c r="N133" i="63"/>
  <c r="N134" i="63"/>
  <c r="N135" i="63"/>
  <c r="N136" i="63"/>
  <c r="N137" i="63"/>
  <c r="N138" i="63"/>
  <c r="N139" i="63"/>
  <c r="N140" i="63"/>
  <c r="N141" i="63"/>
  <c r="N142" i="63"/>
  <c r="N143" i="63"/>
  <c r="N144" i="63"/>
  <c r="N145" i="63"/>
  <c r="N146" i="63"/>
  <c r="N147" i="63"/>
  <c r="N148" i="63"/>
  <c r="N149" i="63"/>
  <c r="N150" i="63"/>
  <c r="N151" i="63"/>
  <c r="N152" i="63"/>
  <c r="N153" i="63"/>
  <c r="N154" i="63"/>
  <c r="N155" i="63"/>
  <c r="N156" i="63"/>
  <c r="N157" i="63"/>
  <c r="N158" i="63"/>
  <c r="N159" i="63"/>
  <c r="N160" i="63"/>
  <c r="N161" i="63"/>
  <c r="N162" i="63"/>
  <c r="N163" i="63"/>
  <c r="N164" i="63"/>
  <c r="N165" i="63"/>
  <c r="N166" i="63"/>
  <c r="N167" i="63"/>
  <c r="N168" i="63"/>
  <c r="N169" i="63"/>
  <c r="N170" i="63"/>
  <c r="N171" i="63"/>
  <c r="N172" i="63"/>
  <c r="N173" i="63"/>
  <c r="N174" i="63"/>
  <c r="N175" i="63"/>
  <c r="N176" i="63"/>
  <c r="N177" i="63"/>
  <c r="N178" i="63"/>
  <c r="N179" i="63"/>
  <c r="N180" i="63"/>
  <c r="N181" i="63"/>
  <c r="N182" i="63"/>
  <c r="N183" i="63"/>
  <c r="N184" i="63"/>
  <c r="N185" i="63"/>
  <c r="N186" i="63"/>
  <c r="N187" i="63"/>
  <c r="N188" i="63"/>
  <c r="N189" i="63"/>
  <c r="N190" i="63"/>
  <c r="N191" i="63"/>
  <c r="N192" i="63"/>
  <c r="N193" i="63"/>
  <c r="N194" i="63"/>
  <c r="N195" i="63"/>
  <c r="N196" i="63"/>
  <c r="N197" i="63"/>
  <c r="N198" i="63"/>
  <c r="N199" i="63"/>
  <c r="N200" i="63"/>
  <c r="N201" i="63"/>
  <c r="N202" i="63"/>
  <c r="N203" i="63"/>
  <c r="N204" i="63"/>
  <c r="N205" i="63"/>
  <c r="N206" i="63"/>
  <c r="N207" i="63"/>
  <c r="N208" i="63"/>
  <c r="N209" i="63"/>
  <c r="N210" i="63"/>
  <c r="N211" i="63"/>
  <c r="N212" i="63"/>
  <c r="N213" i="63"/>
  <c r="N214" i="63"/>
  <c r="N215" i="63"/>
  <c r="N216" i="63"/>
  <c r="N217" i="63"/>
  <c r="N218" i="63"/>
  <c r="N219" i="63"/>
  <c r="N220" i="63"/>
  <c r="N221" i="63"/>
  <c r="N222" i="63"/>
  <c r="N223" i="63"/>
  <c r="N224" i="63"/>
  <c r="N225" i="63"/>
  <c r="N226" i="63"/>
  <c r="N227" i="63"/>
  <c r="N228" i="63"/>
  <c r="N229" i="63"/>
  <c r="N230" i="63"/>
  <c r="N231" i="63"/>
  <c r="N232" i="63"/>
  <c r="N233" i="63"/>
  <c r="N234" i="63"/>
  <c r="N235" i="63"/>
  <c r="N236" i="63"/>
  <c r="N237" i="63"/>
  <c r="N238" i="63"/>
  <c r="N239" i="63"/>
  <c r="N240" i="63"/>
  <c r="N241" i="63"/>
  <c r="N242" i="63"/>
  <c r="N243" i="63"/>
  <c r="N244" i="63"/>
  <c r="N245" i="63"/>
  <c r="N246" i="63"/>
  <c r="N247" i="63"/>
  <c r="N248" i="63"/>
  <c r="N249" i="63"/>
  <c r="N250" i="63"/>
  <c r="N251" i="63"/>
  <c r="N252" i="63"/>
  <c r="N253" i="63"/>
  <c r="N254" i="63"/>
  <c r="N255" i="63"/>
  <c r="N256" i="63"/>
  <c r="N257" i="63"/>
  <c r="N258" i="63"/>
  <c r="N259" i="63"/>
  <c r="N260" i="63"/>
  <c r="N261" i="63"/>
  <c r="N262" i="63"/>
  <c r="N263" i="63"/>
  <c r="N274" i="63"/>
  <c r="N275" i="63"/>
  <c r="N276" i="63"/>
  <c r="N277" i="63"/>
  <c r="N278" i="63"/>
  <c r="N279" i="63"/>
  <c r="N280" i="63"/>
  <c r="N281" i="63"/>
  <c r="N282" i="63"/>
  <c r="N283" i="63"/>
  <c r="N284" i="63"/>
  <c r="N285" i="63"/>
  <c r="N286" i="63"/>
  <c r="N287" i="63"/>
  <c r="N288" i="63"/>
  <c r="N289" i="63"/>
  <c r="N290" i="63"/>
  <c r="N291" i="63"/>
  <c r="N292" i="63"/>
  <c r="N293" i="63"/>
  <c r="N294" i="63"/>
  <c r="N295" i="63"/>
  <c r="N296" i="63"/>
  <c r="N297" i="63"/>
  <c r="N298" i="63"/>
  <c r="N299" i="63"/>
  <c r="N300" i="63"/>
  <c r="N301" i="63"/>
  <c r="N302" i="63"/>
  <c r="N303" i="63"/>
  <c r="N304" i="63"/>
  <c r="N305" i="63"/>
  <c r="N306" i="63"/>
  <c r="N307" i="63"/>
  <c r="N308" i="63"/>
  <c r="N309" i="63"/>
  <c r="N310" i="63"/>
  <c r="N311" i="63"/>
  <c r="N312" i="63"/>
  <c r="N313" i="63"/>
  <c r="N314" i="63"/>
  <c r="N315" i="63"/>
  <c r="N316" i="63"/>
  <c r="N317" i="63"/>
  <c r="N318" i="63"/>
  <c r="N319" i="63"/>
  <c r="N320" i="63"/>
  <c r="N321" i="63"/>
  <c r="N322" i="63"/>
  <c r="N323" i="63"/>
  <c r="N324" i="63"/>
  <c r="N325" i="63"/>
  <c r="N326" i="63"/>
  <c r="N327" i="63"/>
  <c r="N328" i="63"/>
  <c r="N329" i="63"/>
  <c r="N330" i="63"/>
  <c r="N331" i="63"/>
  <c r="N332" i="63"/>
  <c r="N333" i="63"/>
  <c r="N334" i="63"/>
  <c r="N335" i="63"/>
  <c r="N336" i="63"/>
  <c r="N337" i="63"/>
  <c r="N338" i="63"/>
  <c r="N339" i="63"/>
  <c r="N340" i="63"/>
  <c r="N341" i="63"/>
  <c r="N342" i="63"/>
  <c r="N343" i="63"/>
  <c r="N344" i="63"/>
  <c r="N345" i="63"/>
  <c r="N346" i="63"/>
  <c r="N347" i="63"/>
  <c r="N348" i="63"/>
  <c r="N349" i="63"/>
  <c r="N350" i="63"/>
  <c r="N351" i="63"/>
  <c r="N352" i="63"/>
  <c r="N353" i="63"/>
  <c r="N354" i="63"/>
  <c r="N355" i="63"/>
  <c r="N356" i="63"/>
  <c r="N357" i="63"/>
  <c r="N358" i="63"/>
  <c r="N359" i="63"/>
  <c r="N360" i="63"/>
  <c r="N361" i="63"/>
  <c r="N362" i="63"/>
  <c r="N363" i="63"/>
  <c r="N364" i="63"/>
  <c r="N365" i="63"/>
  <c r="N366" i="63"/>
  <c r="N367" i="63"/>
  <c r="N368" i="63"/>
  <c r="N369" i="63"/>
  <c r="N370" i="63"/>
  <c r="N371" i="63"/>
  <c r="N372" i="63"/>
  <c r="N373" i="63"/>
  <c r="N374" i="63"/>
  <c r="N375" i="63"/>
  <c r="N376" i="63"/>
  <c r="N377" i="63"/>
  <c r="N378" i="63"/>
  <c r="N379" i="63"/>
  <c r="N380" i="63"/>
  <c r="N381" i="63"/>
  <c r="N382" i="63"/>
  <c r="N383" i="63"/>
  <c r="N384" i="63"/>
  <c r="N385" i="63"/>
  <c r="N386" i="63"/>
  <c r="N387" i="63"/>
  <c r="N388" i="63"/>
  <c r="N389" i="63"/>
  <c r="N390" i="63"/>
  <c r="N391" i="63"/>
  <c r="N392" i="63"/>
  <c r="N393" i="63"/>
  <c r="N394" i="63"/>
  <c r="N395" i="63"/>
  <c r="N396" i="63"/>
  <c r="N397" i="63"/>
  <c r="N398" i="63"/>
  <c r="N399" i="63"/>
  <c r="N400" i="63"/>
  <c r="N401" i="63"/>
  <c r="N402" i="63"/>
  <c r="N403" i="63"/>
  <c r="N404" i="63"/>
  <c r="N405" i="63"/>
  <c r="N406" i="63"/>
  <c r="N407" i="63"/>
  <c r="N408" i="63"/>
  <c r="N409" i="63"/>
  <c r="N410" i="63"/>
  <c r="N411" i="63"/>
  <c r="N412" i="63"/>
  <c r="N456" i="63"/>
  <c r="N457" i="63"/>
  <c r="N458" i="63"/>
  <c r="N459" i="63"/>
  <c r="N460" i="63"/>
  <c r="N461" i="63"/>
  <c r="N462" i="63"/>
  <c r="N463" i="63"/>
  <c r="N464" i="63"/>
  <c r="N465" i="63"/>
  <c r="N466" i="63"/>
  <c r="N467" i="63"/>
  <c r="N468" i="63"/>
  <c r="N469" i="63"/>
  <c r="N470" i="63"/>
  <c r="N471" i="63"/>
  <c r="N472" i="63"/>
  <c r="N473" i="63"/>
  <c r="N474" i="63"/>
  <c r="N475" i="63"/>
  <c r="N476" i="63"/>
  <c r="N477" i="63"/>
  <c r="N478" i="63"/>
  <c r="N479" i="63"/>
  <c r="N480" i="63"/>
  <c r="N481" i="63"/>
  <c r="N482" i="63"/>
  <c r="N483" i="63"/>
  <c r="N484" i="63"/>
  <c r="N485" i="63"/>
  <c r="N486" i="63"/>
  <c r="N487" i="63"/>
  <c r="N488" i="63"/>
  <c r="N489" i="63"/>
  <c r="N490" i="63"/>
  <c r="N491" i="63"/>
  <c r="N492" i="63"/>
  <c r="N493" i="63"/>
  <c r="N494" i="63"/>
  <c r="N495" i="63"/>
  <c r="N496" i="63"/>
  <c r="N497" i="63"/>
  <c r="N498" i="63"/>
  <c r="N499" i="63"/>
  <c r="N500" i="63"/>
  <c r="N501" i="63"/>
  <c r="N502" i="63"/>
  <c r="N503" i="63"/>
  <c r="N504" i="63"/>
  <c r="N505" i="63"/>
  <c r="N506" i="63"/>
  <c r="N507" i="63"/>
  <c r="N508" i="63"/>
  <c r="N509" i="63"/>
  <c r="N510" i="63"/>
  <c r="N511" i="63"/>
  <c r="N512" i="63"/>
  <c r="N513" i="63"/>
  <c r="N514" i="63"/>
  <c r="N515" i="63"/>
  <c r="N516" i="63"/>
  <c r="N517" i="63"/>
  <c r="N518" i="63"/>
  <c r="N519" i="63"/>
  <c r="N520" i="63"/>
  <c r="N521" i="63"/>
  <c r="N522" i="63"/>
  <c r="N523" i="63"/>
  <c r="N524" i="63"/>
  <c r="N525" i="63"/>
  <c r="N526" i="63"/>
  <c r="N527" i="63"/>
  <c r="N528" i="63"/>
  <c r="N529" i="63"/>
  <c r="N530" i="63"/>
  <c r="N531" i="63"/>
  <c r="N532" i="63"/>
  <c r="N533" i="63"/>
  <c r="N534" i="63"/>
  <c r="N535" i="63"/>
  <c r="N536" i="63"/>
  <c r="N537" i="63"/>
  <c r="N538" i="63"/>
  <c r="N539" i="63"/>
  <c r="N540" i="63"/>
  <c r="N541" i="63"/>
  <c r="N542" i="63"/>
  <c r="N543" i="63"/>
  <c r="N544" i="63"/>
  <c r="N545" i="63"/>
  <c r="N546" i="63"/>
  <c r="N547" i="63"/>
  <c r="N548" i="63"/>
  <c r="N549" i="63"/>
  <c r="N550" i="63"/>
  <c r="N551" i="63"/>
  <c r="N552" i="63"/>
  <c r="N553" i="63"/>
  <c r="N554" i="63"/>
  <c r="N555" i="63"/>
  <c r="N556" i="63"/>
  <c r="N557" i="63"/>
  <c r="N558" i="63"/>
  <c r="N559" i="63"/>
  <c r="N560" i="63"/>
  <c r="N561" i="63"/>
  <c r="N562" i="63"/>
  <c r="N563" i="63"/>
  <c r="N564" i="63"/>
  <c r="N565" i="63"/>
  <c r="N566" i="63"/>
  <c r="N567" i="63"/>
  <c r="N568" i="63"/>
  <c r="N569" i="63"/>
  <c r="N570" i="63"/>
  <c r="N571" i="63"/>
  <c r="N572" i="63"/>
  <c r="N573" i="63"/>
  <c r="N574" i="63"/>
  <c r="N575" i="63"/>
  <c r="N576" i="63"/>
  <c r="N577" i="63"/>
  <c r="N578" i="63"/>
  <c r="N579" i="63"/>
  <c r="N580" i="63"/>
  <c r="N581" i="63"/>
  <c r="N582" i="63"/>
  <c r="N583" i="63"/>
  <c r="N584" i="63"/>
  <c r="N585" i="63"/>
  <c r="N586" i="63"/>
  <c r="N587" i="63"/>
  <c r="N588" i="63"/>
  <c r="N589" i="63"/>
  <c r="N590" i="63"/>
  <c r="N591" i="63"/>
  <c r="N592" i="63"/>
  <c r="N593" i="63"/>
  <c r="N594" i="63"/>
  <c r="N595" i="63"/>
  <c r="N596" i="63"/>
  <c r="N597" i="63"/>
  <c r="N598" i="63"/>
  <c r="N599" i="63"/>
  <c r="N600" i="63"/>
  <c r="N601" i="63"/>
  <c r="N602" i="63"/>
  <c r="N603" i="63"/>
  <c r="N604" i="63"/>
  <c r="N605" i="63"/>
  <c r="N606" i="63"/>
  <c r="N607" i="63"/>
  <c r="N608" i="63"/>
  <c r="N609" i="63"/>
  <c r="N610" i="63"/>
  <c r="N611" i="63"/>
  <c r="N612" i="63"/>
  <c r="N613" i="63"/>
  <c r="N614" i="63"/>
  <c r="N615" i="63"/>
  <c r="N616" i="63"/>
  <c r="N617" i="63"/>
  <c r="N618" i="63"/>
  <c r="N619" i="63"/>
  <c r="N620" i="63"/>
  <c r="N621" i="63"/>
  <c r="N622" i="63"/>
  <c r="N623" i="63"/>
  <c r="N624" i="63"/>
  <c r="N625" i="63"/>
  <c r="N626" i="63"/>
  <c r="N627" i="63"/>
  <c r="N628" i="63"/>
  <c r="N629" i="63"/>
  <c r="N630" i="63"/>
  <c r="N631" i="63"/>
  <c r="N632" i="63"/>
  <c r="N633" i="63"/>
  <c r="N634" i="63"/>
  <c r="N635" i="63"/>
  <c r="N636" i="63"/>
  <c r="N637" i="63"/>
  <c r="N638" i="63"/>
  <c r="N639" i="63"/>
  <c r="N640" i="63"/>
  <c r="N641" i="63"/>
  <c r="N642" i="63"/>
  <c r="N643" i="63"/>
  <c r="N644" i="63"/>
  <c r="N645" i="63"/>
  <c r="N646" i="63"/>
  <c r="N647" i="63"/>
  <c r="N648" i="63"/>
  <c r="N649" i="63"/>
  <c r="N650" i="63"/>
  <c r="N651" i="63"/>
  <c r="N652" i="63"/>
  <c r="N653" i="63"/>
  <c r="N654" i="63"/>
  <c r="N655" i="63"/>
  <c r="N656" i="63"/>
  <c r="N657" i="63"/>
  <c r="N658" i="63"/>
  <c r="N659" i="63"/>
  <c r="N660" i="63"/>
  <c r="N661" i="63"/>
  <c r="N662" i="63"/>
  <c r="N663" i="63"/>
  <c r="N664" i="63"/>
  <c r="N665" i="63"/>
  <c r="N666" i="63"/>
  <c r="N667" i="63"/>
  <c r="N668" i="63"/>
  <c r="N669" i="63"/>
  <c r="N670" i="63"/>
  <c r="N671" i="63"/>
  <c r="N672" i="63"/>
  <c r="N673" i="63"/>
  <c r="N674" i="63"/>
  <c r="N675" i="63"/>
  <c r="N676" i="63"/>
  <c r="N677" i="63"/>
  <c r="N678" i="63"/>
  <c r="N679" i="63"/>
  <c r="N680" i="63"/>
  <c r="N681" i="63"/>
  <c r="N682" i="63"/>
  <c r="N683" i="63"/>
  <c r="N684" i="63"/>
  <c r="N685" i="63"/>
  <c r="N686" i="63"/>
  <c r="N687" i="63"/>
  <c r="N688" i="63"/>
  <c r="N689" i="63"/>
  <c r="N690" i="63"/>
  <c r="N691" i="63"/>
  <c r="N692" i="63"/>
  <c r="N693" i="63"/>
  <c r="N694" i="63"/>
  <c r="N695" i="63"/>
  <c r="N696" i="63"/>
  <c r="N697" i="63"/>
  <c r="N698" i="63"/>
  <c r="N699" i="63"/>
  <c r="N700" i="63"/>
  <c r="N701" i="63"/>
  <c r="N702" i="63"/>
  <c r="N703" i="63"/>
  <c r="N704" i="63"/>
  <c r="N705" i="63"/>
  <c r="N706" i="63"/>
  <c r="N707" i="63"/>
  <c r="N708" i="63"/>
  <c r="N709" i="63"/>
  <c r="N710" i="63"/>
  <c r="N711" i="63"/>
  <c r="N712" i="63"/>
  <c r="N713" i="63"/>
  <c r="N714" i="63"/>
  <c r="N715" i="63"/>
  <c r="N716" i="63"/>
  <c r="N717" i="63"/>
  <c r="N718" i="63"/>
  <c r="N719" i="63"/>
  <c r="N720" i="63"/>
  <c r="N721" i="63"/>
  <c r="N722" i="63"/>
  <c r="N723" i="63"/>
  <c r="N724" i="63"/>
  <c r="N725" i="63"/>
  <c r="N726" i="63"/>
  <c r="N727" i="63"/>
  <c r="N728" i="63"/>
  <c r="N729" i="63"/>
  <c r="N730" i="63"/>
  <c r="N731" i="63"/>
  <c r="N732" i="63"/>
  <c r="N733" i="63"/>
  <c r="N734" i="63"/>
  <c r="N735" i="63"/>
  <c r="N736" i="63"/>
  <c r="N737" i="63"/>
  <c r="N738" i="63"/>
  <c r="N739" i="63"/>
  <c r="N740" i="63"/>
  <c r="N741" i="63"/>
  <c r="N742" i="63"/>
  <c r="N743" i="63"/>
  <c r="N744" i="63"/>
  <c r="N745" i="63"/>
  <c r="N746" i="63"/>
  <c r="N747" i="63"/>
  <c r="N748" i="63"/>
  <c r="N749" i="63"/>
  <c r="N750" i="63"/>
  <c r="N751" i="63"/>
  <c r="N752" i="63"/>
  <c r="N753" i="63"/>
  <c r="N754" i="63"/>
  <c r="N755" i="63"/>
  <c r="N756" i="63"/>
  <c r="N757" i="63"/>
  <c r="N758" i="63"/>
  <c r="N759" i="63"/>
  <c r="N760" i="63"/>
  <c r="N761" i="63"/>
  <c r="N762" i="63"/>
  <c r="N763" i="63"/>
  <c r="N764" i="63"/>
  <c r="N765" i="63"/>
  <c r="N766" i="63"/>
  <c r="N767" i="63"/>
  <c r="N768" i="63"/>
  <c r="N769" i="63"/>
  <c r="N770" i="63"/>
  <c r="N771" i="63"/>
  <c r="N772" i="63"/>
  <c r="N773" i="63"/>
  <c r="N774" i="63"/>
  <c r="N775" i="63"/>
  <c r="N776" i="63"/>
  <c r="N777" i="63"/>
  <c r="N778" i="63"/>
  <c r="N779" i="63"/>
  <c r="N780" i="63"/>
  <c r="N781" i="63"/>
  <c r="N782" i="63"/>
  <c r="N783" i="63"/>
  <c r="N784" i="63"/>
  <c r="N785" i="63"/>
  <c r="N786" i="63"/>
  <c r="N787" i="63"/>
  <c r="N788" i="63"/>
  <c r="N789" i="63"/>
  <c r="N790" i="63"/>
  <c r="N791" i="63"/>
  <c r="N792" i="63"/>
  <c r="N793" i="63"/>
  <c r="N794" i="63"/>
  <c r="N795" i="63"/>
  <c r="N796" i="63"/>
  <c r="N797" i="63"/>
  <c r="N798" i="63"/>
  <c r="N799" i="63"/>
  <c r="N800" i="63"/>
  <c r="N801" i="63"/>
  <c r="N802" i="63"/>
  <c r="N803" i="63"/>
  <c r="N804" i="63"/>
  <c r="N805" i="63"/>
  <c r="N806" i="63"/>
  <c r="N807" i="63"/>
  <c r="N808" i="63"/>
  <c r="N809" i="63"/>
  <c r="N810" i="63"/>
  <c r="N811" i="63"/>
  <c r="L729" i="63"/>
  <c r="L730" i="63"/>
  <c r="L731" i="63"/>
  <c r="L732" i="63"/>
  <c r="L733" i="63"/>
  <c r="L734" i="63"/>
  <c r="L735" i="63"/>
  <c r="L736" i="63"/>
  <c r="L737" i="63"/>
  <c r="L738" i="63"/>
  <c r="L739" i="63"/>
  <c r="L740" i="63"/>
  <c r="L741" i="63"/>
  <c r="L742" i="63"/>
  <c r="L743" i="63"/>
  <c r="L744" i="63"/>
  <c r="L745" i="63"/>
  <c r="L746" i="63"/>
  <c r="L747" i="63"/>
  <c r="L748" i="63"/>
  <c r="L749" i="63"/>
  <c r="L750" i="63"/>
  <c r="L751" i="63"/>
  <c r="L752" i="63"/>
  <c r="L753" i="63"/>
  <c r="L754" i="63"/>
  <c r="L755" i="63"/>
  <c r="L756" i="63"/>
  <c r="L757" i="63"/>
  <c r="L758" i="63"/>
  <c r="L759" i="63"/>
  <c r="L760" i="63"/>
  <c r="L761" i="63"/>
  <c r="X761" i="63" s="1"/>
  <c r="L762" i="63"/>
  <c r="X762" i="63" s="1"/>
  <c r="L763" i="63"/>
  <c r="X763" i="63" s="1"/>
  <c r="L764" i="63"/>
  <c r="X764" i="63" s="1"/>
  <c r="L765" i="63"/>
  <c r="X765" i="63" s="1"/>
  <c r="L766" i="63"/>
  <c r="X766" i="63" s="1"/>
  <c r="L767" i="63"/>
  <c r="X767" i="63" s="1"/>
  <c r="L768" i="63"/>
  <c r="L769" i="63"/>
  <c r="L770" i="63"/>
  <c r="L787" i="63"/>
  <c r="L788" i="63"/>
  <c r="L789" i="63"/>
  <c r="L790" i="63"/>
  <c r="L791" i="63"/>
  <c r="L792" i="63"/>
  <c r="L793" i="63"/>
  <c r="L794" i="63"/>
  <c r="L795" i="63"/>
  <c r="L796" i="63"/>
  <c r="L797" i="63"/>
  <c r="L798" i="63"/>
  <c r="L799" i="63"/>
  <c r="L800" i="63"/>
  <c r="L801" i="63"/>
  <c r="L802" i="63"/>
  <c r="L803" i="63"/>
  <c r="L804" i="63"/>
  <c r="L805" i="63"/>
  <c r="L806" i="63"/>
  <c r="L807" i="63"/>
  <c r="L808" i="63"/>
  <c r="L809" i="63"/>
  <c r="L810" i="63"/>
  <c r="L811" i="63"/>
  <c r="L836" i="63"/>
  <c r="X836" i="63" s="1"/>
  <c r="L837" i="63"/>
  <c r="X837" i="63" s="1"/>
  <c r="L838" i="63"/>
  <c r="X838" i="63" s="1"/>
  <c r="L839" i="63"/>
  <c r="X839" i="63" s="1"/>
  <c r="L840" i="63"/>
  <c r="X840" i="63" s="1"/>
  <c r="L841" i="63"/>
  <c r="X841" i="63" s="1"/>
  <c r="L842" i="63"/>
  <c r="X842" i="63" s="1"/>
  <c r="L843" i="63"/>
  <c r="X843" i="63" s="1"/>
  <c r="L844" i="63"/>
  <c r="X844" i="63" s="1"/>
  <c r="L845" i="63"/>
  <c r="X845" i="63" s="1"/>
  <c r="L846" i="63"/>
  <c r="X846" i="63" s="1"/>
  <c r="L847" i="63"/>
  <c r="X847" i="63" s="1"/>
  <c r="L848" i="63"/>
  <c r="X848" i="63" s="1"/>
  <c r="L835" i="63"/>
  <c r="X835" i="63" s="1"/>
  <c r="L834" i="63"/>
  <c r="X834" i="63" s="1"/>
  <c r="L833" i="63"/>
  <c r="X833" i="63" s="1"/>
  <c r="L832" i="63"/>
  <c r="X832" i="63" s="1"/>
  <c r="O44" i="52" l="1"/>
  <c r="P44" i="52" s="1"/>
  <c r="P42" i="52"/>
  <c r="C1633" i="95"/>
  <c r="C868" i="95"/>
  <c r="R788" i="63"/>
  <c r="P788" i="63" s="1"/>
  <c r="P803" i="63"/>
  <c r="P763" i="63"/>
  <c r="P802" i="63"/>
  <c r="P786" i="63"/>
  <c r="P770" i="63"/>
  <c r="P754" i="63"/>
  <c r="P738" i="63"/>
  <c r="P730" i="63"/>
  <c r="P787" i="63"/>
  <c r="P810" i="63"/>
  <c r="P794" i="63"/>
  <c r="P778" i="63"/>
  <c r="P762" i="63"/>
  <c r="P746" i="63"/>
  <c r="P809" i="63"/>
  <c r="P801" i="63"/>
  <c r="P793" i="63"/>
  <c r="P777" i="63"/>
  <c r="P769" i="63"/>
  <c r="P761" i="63"/>
  <c r="P753" i="63"/>
  <c r="P745" i="63"/>
  <c r="P737" i="63"/>
  <c r="P729" i="63"/>
  <c r="P795" i="63"/>
  <c r="P771" i="63"/>
  <c r="P755" i="63"/>
  <c r="P747" i="63"/>
  <c r="P739" i="63"/>
  <c r="P731" i="63"/>
  <c r="P768" i="63"/>
  <c r="P779" i="63"/>
  <c r="P752" i="63"/>
  <c r="P800" i="63"/>
  <c r="P792" i="63"/>
  <c r="P776" i="63"/>
  <c r="P760" i="63"/>
  <c r="P744" i="63"/>
  <c r="P736" i="63"/>
  <c r="P728" i="63"/>
  <c r="P799" i="63"/>
  <c r="P775" i="63"/>
  <c r="P806" i="63"/>
  <c r="P798" i="63"/>
  <c r="P790" i="63"/>
  <c r="P774" i="63"/>
  <c r="P766" i="63"/>
  <c r="P758" i="63"/>
  <c r="P750" i="63"/>
  <c r="P742" i="63"/>
  <c r="P734" i="63"/>
  <c r="P811" i="63"/>
  <c r="P807" i="63"/>
  <c r="P759" i="63"/>
  <c r="P805" i="63"/>
  <c r="P797" i="63"/>
  <c r="P789" i="63"/>
  <c r="P773" i="63"/>
  <c r="P765" i="63"/>
  <c r="P757" i="63"/>
  <c r="P749" i="63"/>
  <c r="P741" i="63"/>
  <c r="P733" i="63"/>
  <c r="P808" i="63"/>
  <c r="P791" i="63"/>
  <c r="P767" i="63"/>
  <c r="P751" i="63"/>
  <c r="P743" i="63"/>
  <c r="P735" i="63"/>
  <c r="P804" i="63"/>
  <c r="P796" i="63"/>
  <c r="P780" i="63"/>
  <c r="P772" i="63"/>
  <c r="P764" i="63"/>
  <c r="P756" i="63"/>
  <c r="P748" i="63"/>
  <c r="P740" i="63"/>
  <c r="P732" i="63"/>
  <c r="T804" i="63"/>
  <c r="X804" i="63"/>
  <c r="T796" i="63"/>
  <c r="X796" i="63"/>
  <c r="X788" i="63"/>
  <c r="T756" i="63"/>
  <c r="X756" i="63"/>
  <c r="T748" i="63"/>
  <c r="X748" i="63"/>
  <c r="T740" i="63"/>
  <c r="X740" i="63"/>
  <c r="T732" i="63"/>
  <c r="X732" i="63"/>
  <c r="T811" i="63"/>
  <c r="X811" i="63"/>
  <c r="T803" i="63"/>
  <c r="X803" i="63"/>
  <c r="T795" i="63"/>
  <c r="X795" i="63"/>
  <c r="T787" i="63"/>
  <c r="X787" i="63"/>
  <c r="T755" i="63"/>
  <c r="X755" i="63"/>
  <c r="T747" i="63"/>
  <c r="X747" i="63"/>
  <c r="T739" i="63"/>
  <c r="X739" i="63"/>
  <c r="T731" i="63"/>
  <c r="X731" i="63"/>
  <c r="T810" i="63"/>
  <c r="X810" i="63"/>
  <c r="T802" i="63"/>
  <c r="X802" i="63"/>
  <c r="T794" i="63"/>
  <c r="X794" i="63"/>
  <c r="X770" i="63"/>
  <c r="T754" i="63"/>
  <c r="X754" i="63"/>
  <c r="T746" i="63"/>
  <c r="X746" i="63"/>
  <c r="T738" i="63"/>
  <c r="X738" i="63"/>
  <c r="T730" i="63"/>
  <c r="X730" i="63"/>
  <c r="T749" i="63"/>
  <c r="X749" i="63"/>
  <c r="T809" i="63"/>
  <c r="X809" i="63"/>
  <c r="T801" i="63"/>
  <c r="X801" i="63"/>
  <c r="T793" i="63"/>
  <c r="X793" i="63"/>
  <c r="T753" i="63"/>
  <c r="X753" i="63"/>
  <c r="T789" i="63"/>
  <c r="X789" i="63"/>
  <c r="T733" i="63"/>
  <c r="X733" i="63"/>
  <c r="X769" i="63"/>
  <c r="T745" i="63"/>
  <c r="X745" i="63"/>
  <c r="X768" i="63"/>
  <c r="T797" i="63"/>
  <c r="X797" i="63"/>
  <c r="T757" i="63"/>
  <c r="X757" i="63"/>
  <c r="T737" i="63"/>
  <c r="X737" i="63"/>
  <c r="T729" i="63"/>
  <c r="X729" i="63"/>
  <c r="T808" i="63"/>
  <c r="X808" i="63"/>
  <c r="T800" i="63"/>
  <c r="X800" i="63"/>
  <c r="T792" i="63"/>
  <c r="X792" i="63"/>
  <c r="T760" i="63"/>
  <c r="X760" i="63"/>
  <c r="T752" i="63"/>
  <c r="X752" i="63"/>
  <c r="T744" i="63"/>
  <c r="X744" i="63"/>
  <c r="T736" i="63"/>
  <c r="X736" i="63"/>
  <c r="T807" i="63"/>
  <c r="X807" i="63"/>
  <c r="T799" i="63"/>
  <c r="X799" i="63"/>
  <c r="T791" i="63"/>
  <c r="X791" i="63"/>
  <c r="T759" i="63"/>
  <c r="X759" i="63"/>
  <c r="T751" i="63"/>
  <c r="X751" i="63"/>
  <c r="T743" i="63"/>
  <c r="X743" i="63"/>
  <c r="T735" i="63"/>
  <c r="X735" i="63"/>
  <c r="T806" i="63"/>
  <c r="X806" i="63"/>
  <c r="T798" i="63"/>
  <c r="X798" i="63"/>
  <c r="T790" i="63"/>
  <c r="X790" i="63"/>
  <c r="T758" i="63"/>
  <c r="X758" i="63"/>
  <c r="T750" i="63"/>
  <c r="X750" i="63"/>
  <c r="T742" i="63"/>
  <c r="X742" i="63"/>
  <c r="T734" i="63"/>
  <c r="X734" i="63"/>
  <c r="T741" i="63"/>
  <c r="X741" i="63"/>
  <c r="T805" i="63"/>
  <c r="X805" i="63"/>
  <c r="K133" i="64"/>
  <c r="AD756" i="63"/>
  <c r="AE756" i="63"/>
  <c r="AD732" i="63"/>
  <c r="AE732" i="63"/>
  <c r="AE759" i="63"/>
  <c r="AD759" i="63"/>
  <c r="AE747" i="63"/>
  <c r="AD747" i="63"/>
  <c r="AE735" i="63"/>
  <c r="AD735" i="63"/>
  <c r="AD758" i="63"/>
  <c r="AE758" i="63"/>
  <c r="AD754" i="63"/>
  <c r="AE754" i="63"/>
  <c r="AD750" i="63"/>
  <c r="AE750" i="63"/>
  <c r="AD746" i="63"/>
  <c r="AE746" i="63"/>
  <c r="AD742" i="63"/>
  <c r="AE742" i="63"/>
  <c r="AD738" i="63"/>
  <c r="AE738" i="63"/>
  <c r="AD734" i="63"/>
  <c r="AE734" i="63"/>
  <c r="AD730" i="63"/>
  <c r="AE730" i="63"/>
  <c r="AD760" i="63"/>
  <c r="AE760" i="63"/>
  <c r="AD736" i="63"/>
  <c r="AE736" i="63"/>
  <c r="AE755" i="63"/>
  <c r="AD755" i="63"/>
  <c r="AE751" i="63"/>
  <c r="AD751" i="63"/>
  <c r="AE739" i="63"/>
  <c r="AD739" i="63"/>
  <c r="AE731" i="63"/>
  <c r="AD731" i="63"/>
  <c r="AE757" i="63"/>
  <c r="AD757" i="63"/>
  <c r="AE753" i="63"/>
  <c r="AD753" i="63"/>
  <c r="AE749" i="63"/>
  <c r="AD749" i="63"/>
  <c r="AE745" i="63"/>
  <c r="AD745" i="63"/>
  <c r="AE741" i="63"/>
  <c r="AD741" i="63"/>
  <c r="AE737" i="63"/>
  <c r="AD737" i="63"/>
  <c r="AE733" i="63"/>
  <c r="AD733" i="63"/>
  <c r="AE729" i="63"/>
  <c r="AD729" i="63"/>
  <c r="AD748" i="63"/>
  <c r="AE748" i="63"/>
  <c r="AD744" i="63"/>
  <c r="AE744" i="63"/>
  <c r="AD740" i="63"/>
  <c r="AE740" i="63"/>
  <c r="AD752" i="63"/>
  <c r="AE752" i="63"/>
  <c r="AE743" i="63"/>
  <c r="AD743" i="63"/>
  <c r="AE802" i="63"/>
  <c r="AD802" i="63"/>
  <c r="AE790" i="63"/>
  <c r="AD790" i="63"/>
  <c r="AD809" i="63"/>
  <c r="AE809" i="63"/>
  <c r="AD805" i="63"/>
  <c r="AE805" i="63"/>
  <c r="AD801" i="63"/>
  <c r="AE801" i="63"/>
  <c r="AD797" i="63"/>
  <c r="AE797" i="63"/>
  <c r="AD793" i="63"/>
  <c r="AE793" i="63"/>
  <c r="AD789" i="63"/>
  <c r="AE789" i="63"/>
  <c r="AE806" i="63"/>
  <c r="AD806" i="63"/>
  <c r="AE794" i="63"/>
  <c r="AD794" i="63"/>
  <c r="AD808" i="63"/>
  <c r="AE808" i="63"/>
  <c r="AD804" i="63"/>
  <c r="AE804" i="63"/>
  <c r="AE800" i="63"/>
  <c r="AD800" i="63"/>
  <c r="AE796" i="63"/>
  <c r="AD796" i="63"/>
  <c r="AD792" i="63"/>
  <c r="AE792" i="63"/>
  <c r="AE810" i="63"/>
  <c r="AD810" i="63"/>
  <c r="AD798" i="63"/>
  <c r="AE798" i="63"/>
  <c r="AD811" i="63"/>
  <c r="AE811" i="63"/>
  <c r="AD807" i="63"/>
  <c r="AE807" i="63"/>
  <c r="AD803" i="63"/>
  <c r="AE803" i="63"/>
  <c r="AD799" i="63"/>
  <c r="AE799" i="63"/>
  <c r="AD795" i="63"/>
  <c r="AE795" i="63"/>
  <c r="AD791" i="63"/>
  <c r="AE791" i="63"/>
  <c r="AD787" i="63"/>
  <c r="AE787" i="63"/>
  <c r="C869" i="95" l="1"/>
  <c r="C1634" i="95"/>
  <c r="C1635" i="95" l="1"/>
  <c r="C870" i="95"/>
  <c r="L134" i="43"/>
  <c r="C1636" i="95" l="1"/>
  <c r="C871" i="95"/>
  <c r="K1" i="2"/>
  <c r="C872" i="95" l="1"/>
  <c r="C1637" i="95"/>
  <c r="D50" i="64"/>
  <c r="S831" i="63"/>
  <c r="O831" i="63"/>
  <c r="N831" i="63"/>
  <c r="M831" i="63"/>
  <c r="L831" i="63"/>
  <c r="X831" i="63" s="1"/>
  <c r="C873" i="95" l="1"/>
  <c r="C1638" i="95"/>
  <c r="T831" i="63"/>
  <c r="AE831" i="63"/>
  <c r="AD831" i="63"/>
  <c r="O967" i="63"/>
  <c r="O966" i="63"/>
  <c r="N967" i="63"/>
  <c r="L967" i="63"/>
  <c r="N966" i="63"/>
  <c r="L966" i="63"/>
  <c r="H48" i="2" l="1"/>
  <c r="H47" i="2"/>
  <c r="H46" i="2"/>
  <c r="H45" i="2"/>
  <c r="H44" i="2"/>
  <c r="H43" i="2"/>
  <c r="H42" i="2"/>
  <c r="C1639" i="95"/>
  <c r="C874" i="95"/>
  <c r="P817" i="63"/>
  <c r="AC817" i="63"/>
  <c r="D70" i="2"/>
  <c r="X70" i="2" s="1"/>
  <c r="D69" i="2"/>
  <c r="D68" i="2"/>
  <c r="D67" i="2"/>
  <c r="D66" i="2"/>
  <c r="X66" i="2" s="1"/>
  <c r="D65" i="2"/>
  <c r="D64" i="2"/>
  <c r="D63" i="2"/>
  <c r="X63" i="2" s="1"/>
  <c r="D62" i="2"/>
  <c r="X62" i="2" s="1"/>
  <c r="D61" i="2"/>
  <c r="A70" i="2"/>
  <c r="M70" i="2" s="1"/>
  <c r="A69" i="2"/>
  <c r="M69" i="2" s="1"/>
  <c r="A68" i="2"/>
  <c r="M68" i="2" s="1"/>
  <c r="A67" i="2"/>
  <c r="M67" i="2" s="1"/>
  <c r="A66" i="2"/>
  <c r="M66" i="2" s="1"/>
  <c r="A65" i="2"/>
  <c r="M65" i="2" s="1"/>
  <c r="A64" i="2"/>
  <c r="M64" i="2" s="1"/>
  <c r="A63" i="2"/>
  <c r="M63" i="2" s="1"/>
  <c r="A62" i="2"/>
  <c r="M62" i="2" s="1"/>
  <c r="A61" i="2"/>
  <c r="M61" i="2" s="1"/>
  <c r="AM40" i="2"/>
  <c r="AM39" i="2"/>
  <c r="AM38" i="2"/>
  <c r="AM37" i="2"/>
  <c r="AM36" i="2"/>
  <c r="AM35" i="2"/>
  <c r="AM34" i="2"/>
  <c r="G124" i="64"/>
  <c r="F124" i="64"/>
  <c r="J220" i="70" l="1"/>
  <c r="J254" i="70"/>
  <c r="J237" i="70"/>
  <c r="J271" i="70"/>
  <c r="J203" i="70"/>
  <c r="C875" i="95"/>
  <c r="C1640" i="95"/>
  <c r="AQ34" i="2"/>
  <c r="M108" i="72" s="1"/>
  <c r="AQ35" i="2"/>
  <c r="M109" i="72" s="1"/>
  <c r="AQ36" i="2"/>
  <c r="M110" i="72" s="1"/>
  <c r="AQ37" i="2"/>
  <c r="M111" i="72" s="1"/>
  <c r="AQ38" i="2"/>
  <c r="M112" i="72" s="1"/>
  <c r="AQ39" i="2"/>
  <c r="M113" i="72" s="1"/>
  <c r="AQ40" i="2"/>
  <c r="M114" i="72" s="1"/>
  <c r="M116" i="72"/>
  <c r="M117" i="72"/>
  <c r="B67" i="2"/>
  <c r="X67" i="2"/>
  <c r="V68" i="2"/>
  <c r="X68" i="2"/>
  <c r="B61" i="2"/>
  <c r="X61" i="2"/>
  <c r="J69" i="2"/>
  <c r="X69" i="2"/>
  <c r="V64" i="2"/>
  <c r="X64" i="2"/>
  <c r="B65" i="2"/>
  <c r="X65" i="2"/>
  <c r="J186" i="70"/>
  <c r="C70" i="2" s="1"/>
  <c r="J152" i="70"/>
  <c r="C68" i="2" s="1"/>
  <c r="J118" i="70"/>
  <c r="C66" i="2" s="1"/>
  <c r="J84" i="70"/>
  <c r="C64" i="2" s="1"/>
  <c r="J50" i="70"/>
  <c r="C62" i="2" s="1"/>
  <c r="J169" i="70"/>
  <c r="C69" i="2" s="1"/>
  <c r="J135" i="70"/>
  <c r="C67" i="2" s="1"/>
  <c r="J101" i="70"/>
  <c r="C65" i="2" s="1"/>
  <c r="J67" i="70"/>
  <c r="C63" i="2" s="1"/>
  <c r="J33" i="70"/>
  <c r="C61" i="2" s="1"/>
  <c r="Q70" i="2"/>
  <c r="B68" i="2"/>
  <c r="V70" i="2"/>
  <c r="P66" i="2"/>
  <c r="Q69" i="2"/>
  <c r="O67" i="2"/>
  <c r="V67" i="2"/>
  <c r="N67" i="2"/>
  <c r="W66" i="2"/>
  <c r="B69" i="2"/>
  <c r="B66" i="2"/>
  <c r="O68" i="2"/>
  <c r="J67" i="2"/>
  <c r="W70" i="2"/>
  <c r="P61" i="2"/>
  <c r="I69" i="2"/>
  <c r="L68" i="2"/>
  <c r="V61" i="2"/>
  <c r="P68" i="2"/>
  <c r="K68" i="2"/>
  <c r="K67" i="2"/>
  <c r="L66" i="2"/>
  <c r="K70" i="2"/>
  <c r="P69" i="2"/>
  <c r="L69" i="2"/>
  <c r="W69" i="2"/>
  <c r="O69" i="2"/>
  <c r="K69" i="2"/>
  <c r="V69" i="2"/>
  <c r="N69" i="2"/>
  <c r="N68" i="2"/>
  <c r="J68" i="2"/>
  <c r="W68" i="2"/>
  <c r="Q68" i="2"/>
  <c r="I68" i="2"/>
  <c r="Q67" i="2"/>
  <c r="I67" i="2"/>
  <c r="P67" i="2"/>
  <c r="L67" i="2"/>
  <c r="W67" i="2"/>
  <c r="O66" i="2"/>
  <c r="K66" i="2"/>
  <c r="V66" i="2"/>
  <c r="N66" i="2"/>
  <c r="J66" i="2"/>
  <c r="Q66" i="2"/>
  <c r="I66" i="2"/>
  <c r="N65" i="2"/>
  <c r="I65" i="2"/>
  <c r="P65" i="2"/>
  <c r="K65" i="2"/>
  <c r="O65" i="2"/>
  <c r="J65" i="2"/>
  <c r="V65" i="2"/>
  <c r="Q65" i="2"/>
  <c r="Q64" i="2"/>
  <c r="P64" i="2"/>
  <c r="K64" i="2"/>
  <c r="O64" i="2"/>
  <c r="J64" i="2"/>
  <c r="B64" i="2"/>
  <c r="N64" i="2"/>
  <c r="I64" i="2"/>
  <c r="P63" i="2"/>
  <c r="K63" i="2"/>
  <c r="Q63" i="2"/>
  <c r="V63" i="2"/>
  <c r="O63" i="2"/>
  <c r="J63" i="2"/>
  <c r="N63" i="2"/>
  <c r="I63" i="2"/>
  <c r="P62" i="2"/>
  <c r="K62" i="2"/>
  <c r="V62" i="2"/>
  <c r="O62" i="2"/>
  <c r="J62" i="2"/>
  <c r="B62" i="2"/>
  <c r="N62" i="2"/>
  <c r="I62" i="2"/>
  <c r="Q62" i="2"/>
  <c r="O70" i="2"/>
  <c r="J70" i="2"/>
  <c r="B70" i="2"/>
  <c r="N70" i="2"/>
  <c r="I70" i="2"/>
  <c r="P70" i="2"/>
  <c r="L70" i="2"/>
  <c r="B63" i="2"/>
  <c r="I61" i="2"/>
  <c r="Q61" i="2"/>
  <c r="N61" i="2"/>
  <c r="J61" i="2"/>
  <c r="K61" i="2"/>
  <c r="O61" i="2"/>
  <c r="AR66" i="2" l="1"/>
  <c r="AR67" i="2"/>
  <c r="AR68" i="2"/>
  <c r="AR69" i="2"/>
  <c r="AR70" i="2"/>
  <c r="C876" i="95"/>
  <c r="C1641" i="95"/>
  <c r="S69" i="2"/>
  <c r="AC68" i="2"/>
  <c r="S64" i="2"/>
  <c r="S63" i="2"/>
  <c r="S61" i="2"/>
  <c r="S70" i="2"/>
  <c r="S62" i="2"/>
  <c r="AD64" i="2"/>
  <c r="S65" i="2"/>
  <c r="AD68" i="2"/>
  <c r="S67" i="2"/>
  <c r="S66" i="2"/>
  <c r="S68" i="2"/>
  <c r="AD63" i="2"/>
  <c r="AD62" i="2"/>
  <c r="AC69" i="2"/>
  <c r="AD69" i="2"/>
  <c r="AD61" i="2"/>
  <c r="AC67" i="2"/>
  <c r="AD67" i="2"/>
  <c r="AD70" i="2"/>
  <c r="AC70" i="2"/>
  <c r="AD65" i="2"/>
  <c r="AD66" i="2"/>
  <c r="AC66" i="2"/>
  <c r="R68" i="2"/>
  <c r="R69" i="2"/>
  <c r="R66" i="2"/>
  <c r="R67" i="2"/>
  <c r="R70" i="2"/>
  <c r="H45" i="72"/>
  <c r="H43" i="72"/>
  <c r="C877" i="95" l="1"/>
  <c r="C1642" i="95"/>
  <c r="P953" i="63"/>
  <c r="P952" i="63"/>
  <c r="O953" i="63"/>
  <c r="O952" i="63"/>
  <c r="O949" i="63"/>
  <c r="O948" i="63"/>
  <c r="P959" i="63"/>
  <c r="P958" i="63"/>
  <c r="P957" i="63"/>
  <c r="P956" i="63"/>
  <c r="P955" i="63"/>
  <c r="P954" i="63"/>
  <c r="P951" i="63"/>
  <c r="P950" i="63"/>
  <c r="P946" i="63"/>
  <c r="P945" i="63"/>
  <c r="P944" i="63"/>
  <c r="P943" i="63"/>
  <c r="Q959" i="63"/>
  <c r="Q958" i="63"/>
  <c r="Q957" i="63"/>
  <c r="Q956" i="63"/>
  <c r="Q955" i="63"/>
  <c r="Q954" i="63"/>
  <c r="Q953" i="63"/>
  <c r="Q952" i="63"/>
  <c r="Q951" i="63"/>
  <c r="Q950" i="63"/>
  <c r="Q949" i="63"/>
  <c r="Q948" i="63"/>
  <c r="Q946" i="63"/>
  <c r="Q945" i="63"/>
  <c r="Q944" i="63"/>
  <c r="Q943" i="63"/>
  <c r="O959" i="63"/>
  <c r="O956" i="63"/>
  <c r="O955" i="63"/>
  <c r="O944" i="63"/>
  <c r="O943" i="63"/>
  <c r="O957" i="63"/>
  <c r="O946" i="63"/>
  <c r="O945" i="63"/>
  <c r="C1643" i="95" l="1"/>
  <c r="C878" i="95"/>
  <c r="C31" i="87"/>
  <c r="C47" i="87"/>
  <c r="C30" i="87"/>
  <c r="B69" i="80"/>
  <c r="C299" i="64"/>
  <c r="C300" i="64" s="1"/>
  <c r="B70" i="80"/>
  <c r="C44" i="87"/>
  <c r="L138" i="43"/>
  <c r="K138" i="43"/>
  <c r="K4" i="87"/>
  <c r="D29" i="87" s="1"/>
  <c r="D78" i="7"/>
  <c r="C1644" i="95" l="1"/>
  <c r="C879" i="95"/>
  <c r="C45" i="87"/>
  <c r="C46" i="87"/>
  <c r="G44" i="87"/>
  <c r="F44" i="87"/>
  <c r="E44" i="87"/>
  <c r="D44" i="87"/>
  <c r="E29" i="87"/>
  <c r="G29" i="87"/>
  <c r="F29" i="87"/>
  <c r="K63" i="7"/>
  <c r="C880" i="95" l="1"/>
  <c r="C1645" i="95"/>
  <c r="G46" i="87"/>
  <c r="F46" i="87"/>
  <c r="E46" i="87"/>
  <c r="D46" i="87"/>
  <c r="D45" i="87"/>
  <c r="G45" i="87"/>
  <c r="F45" i="87"/>
  <c r="E45" i="87"/>
  <c r="D30" i="87"/>
  <c r="F30" i="87"/>
  <c r="E30" i="87"/>
  <c r="G30" i="87"/>
  <c r="F31" i="87"/>
  <c r="G31" i="87"/>
  <c r="E31" i="87"/>
  <c r="D31" i="87"/>
  <c r="C1646" i="95" l="1"/>
  <c r="C881" i="95"/>
  <c r="E28" i="87"/>
  <c r="E48" i="87" s="1"/>
  <c r="D28" i="87"/>
  <c r="D48" i="87" s="1"/>
  <c r="F28" i="87"/>
  <c r="F48" i="87" s="1"/>
  <c r="G28" i="87"/>
  <c r="G48" i="87" s="1"/>
  <c r="G54" i="7"/>
  <c r="F54" i="7"/>
  <c r="E54" i="7"/>
  <c r="D54" i="7"/>
  <c r="C54" i="7"/>
  <c r="C882" i="95" l="1"/>
  <c r="C1647" i="95"/>
  <c r="V287" i="43"/>
  <c r="V315" i="43"/>
  <c r="W287" i="43"/>
  <c r="W315" i="43"/>
  <c r="X287" i="43"/>
  <c r="X315" i="43"/>
  <c r="Y287" i="43"/>
  <c r="Y315" i="43"/>
  <c r="Z287" i="43"/>
  <c r="Z315" i="43"/>
  <c r="P228" i="64"/>
  <c r="P193" i="64"/>
  <c r="P157" i="64"/>
  <c r="R157" i="64"/>
  <c r="R193" i="64"/>
  <c r="R228" i="64"/>
  <c r="Q157" i="64"/>
  <c r="Q228" i="64"/>
  <c r="Q193" i="64"/>
  <c r="T228" i="64"/>
  <c r="T157" i="64"/>
  <c r="T193" i="64"/>
  <c r="S193" i="64"/>
  <c r="S228" i="64"/>
  <c r="S157" i="64"/>
  <c r="V150" i="43"/>
  <c r="V122" i="43"/>
  <c r="W150" i="43"/>
  <c r="W122" i="43"/>
  <c r="X150" i="43"/>
  <c r="X122" i="43"/>
  <c r="Y150" i="43"/>
  <c r="Y122" i="43"/>
  <c r="Z150" i="43"/>
  <c r="Z122" i="43"/>
  <c r="R890" i="63"/>
  <c r="C1648" i="95" l="1"/>
  <c r="C883" i="95"/>
  <c r="O13" i="87"/>
  <c r="S52" i="80"/>
  <c r="N13" i="87"/>
  <c r="R52" i="80"/>
  <c r="K13" i="87"/>
  <c r="O52" i="80"/>
  <c r="M13" i="87"/>
  <c r="Q52" i="80"/>
  <c r="L13" i="87"/>
  <c r="P52" i="80"/>
  <c r="D77" i="7"/>
  <c r="D76" i="7"/>
  <c r="K65" i="7"/>
  <c r="K64" i="7"/>
  <c r="C1649" i="95" l="1"/>
  <c r="C884" i="95"/>
  <c r="L70" i="72"/>
  <c r="H70" i="72"/>
  <c r="C70" i="72"/>
  <c r="C885" i="95" l="1"/>
  <c r="C1650" i="95"/>
  <c r="E70" i="72"/>
  <c r="C1651" i="95" l="1"/>
  <c r="C886" i="95"/>
  <c r="D1" i="43"/>
  <c r="T40" i="7"/>
  <c r="T41" i="7"/>
  <c r="AD41" i="7" s="1"/>
  <c r="T42" i="7"/>
  <c r="AD42" i="7" s="1"/>
  <c r="T43" i="7"/>
  <c r="AD43" i="7" s="1"/>
  <c r="T44" i="7"/>
  <c r="AD44" i="7" s="1"/>
  <c r="T45" i="7"/>
  <c r="AD45" i="7" s="1"/>
  <c r="T46" i="7"/>
  <c r="AD46" i="7" s="1"/>
  <c r="T47" i="7"/>
  <c r="AD47" i="7" s="1"/>
  <c r="T48" i="7"/>
  <c r="AD48" i="7" s="1"/>
  <c r="T49" i="7"/>
  <c r="AD49" i="7" s="1"/>
  <c r="T50" i="7"/>
  <c r="AD50" i="7" s="1"/>
  <c r="T51" i="7"/>
  <c r="AD51" i="7" s="1"/>
  <c r="T52" i="7"/>
  <c r="AD52" i="7" s="1"/>
  <c r="T53" i="7"/>
  <c r="AD53" i="7" s="1"/>
  <c r="T54" i="7"/>
  <c r="AD54" i="7" s="1"/>
  <c r="T55" i="7"/>
  <c r="AD55" i="7" s="1"/>
  <c r="C62" i="7"/>
  <c r="C65" i="7" s="1"/>
  <c r="L44" i="85"/>
  <c r="F55" i="85"/>
  <c r="L31" i="85"/>
  <c r="L30" i="85"/>
  <c r="F31" i="85"/>
  <c r="F30" i="85"/>
  <c r="L22" i="85"/>
  <c r="L21" i="85"/>
  <c r="F22" i="85"/>
  <c r="F21" i="85"/>
  <c r="H11" i="85"/>
  <c r="H10" i="85"/>
  <c r="H9" i="85"/>
  <c r="H8" i="85"/>
  <c r="H7" i="85"/>
  <c r="T7" i="84"/>
  <c r="N959" i="63"/>
  <c r="M959" i="63"/>
  <c r="L959" i="63"/>
  <c r="O941" i="63"/>
  <c r="D87" i="66" s="1"/>
  <c r="O938" i="63"/>
  <c r="C68" i="43" s="1"/>
  <c r="O936" i="63"/>
  <c r="D82" i="66" s="1"/>
  <c r="O986" i="63"/>
  <c r="O976" i="63"/>
  <c r="O975" i="63"/>
  <c r="O973" i="63"/>
  <c r="O970" i="63"/>
  <c r="O962" i="63"/>
  <c r="O978" i="63"/>
  <c r="O969" i="63"/>
  <c r="O968" i="63"/>
  <c r="O984" i="63"/>
  <c r="O964" i="63"/>
  <c r="O963" i="63"/>
  <c r="D91" i="66"/>
  <c r="O942" i="63"/>
  <c r="D88" i="66" s="1"/>
  <c r="O932" i="63"/>
  <c r="D78" i="66" s="1"/>
  <c r="O925" i="63"/>
  <c r="D71" i="66" s="1"/>
  <c r="O924" i="63"/>
  <c r="D70" i="66" s="1"/>
  <c r="O923" i="63"/>
  <c r="D69" i="66" s="1"/>
  <c r="O913" i="63"/>
  <c r="AD826" i="63"/>
  <c r="AE826" i="63"/>
  <c r="AD827" i="63"/>
  <c r="AE827" i="63"/>
  <c r="AD828" i="63"/>
  <c r="AE828" i="63"/>
  <c r="AD829" i="63"/>
  <c r="AE829" i="63"/>
  <c r="AE825" i="63"/>
  <c r="AD825" i="63"/>
  <c r="T826" i="63"/>
  <c r="T827" i="63"/>
  <c r="T828" i="63"/>
  <c r="T829" i="63"/>
  <c r="T825" i="63"/>
  <c r="S771" i="63"/>
  <c r="U771" i="63" s="1"/>
  <c r="S772" i="63"/>
  <c r="U772" i="63" s="1"/>
  <c r="S773" i="63"/>
  <c r="U773" i="63" s="1"/>
  <c r="S774" i="63"/>
  <c r="U774" i="63" s="1"/>
  <c r="S775" i="63"/>
  <c r="U775" i="63" s="1"/>
  <c r="S776" i="63"/>
  <c r="U776" i="63" s="1"/>
  <c r="S777" i="63"/>
  <c r="U777" i="63" s="1"/>
  <c r="S778" i="63"/>
  <c r="U778" i="63" s="1"/>
  <c r="S779" i="63"/>
  <c r="U779" i="63" s="1"/>
  <c r="S780" i="63"/>
  <c r="U780" i="63" s="1"/>
  <c r="S781" i="63"/>
  <c r="U781" i="63" s="1"/>
  <c r="S782" i="63"/>
  <c r="U782" i="63" s="1"/>
  <c r="S783" i="63"/>
  <c r="U783" i="63" s="1"/>
  <c r="S784" i="63"/>
  <c r="U784" i="63" s="1"/>
  <c r="S785" i="63"/>
  <c r="U785" i="63" s="1"/>
  <c r="S786" i="63"/>
  <c r="U786" i="63" s="1"/>
  <c r="S817" i="63"/>
  <c r="U817" i="63" s="1"/>
  <c r="W14" i="63"/>
  <c r="W15" i="63"/>
  <c r="W16" i="63"/>
  <c r="W17" i="63"/>
  <c r="W18" i="63"/>
  <c r="W19" i="63"/>
  <c r="W20" i="63"/>
  <c r="W21" i="63"/>
  <c r="W22" i="63"/>
  <c r="W23" i="63"/>
  <c r="W24" i="63"/>
  <c r="W25" i="63"/>
  <c r="W26" i="63"/>
  <c r="W27" i="63"/>
  <c r="W28" i="63"/>
  <c r="W29" i="63"/>
  <c r="W30" i="63"/>
  <c r="W31" i="63"/>
  <c r="W32" i="63"/>
  <c r="W33" i="63"/>
  <c r="W34" i="63"/>
  <c r="W35" i="63"/>
  <c r="W36" i="63"/>
  <c r="W37" i="63"/>
  <c r="W38" i="63"/>
  <c r="W39" i="63"/>
  <c r="W40" i="63"/>
  <c r="W41" i="63"/>
  <c r="W42" i="63"/>
  <c r="W43" i="63"/>
  <c r="W44" i="63"/>
  <c r="W45" i="63"/>
  <c r="W46" i="63"/>
  <c r="W47" i="63"/>
  <c r="W48" i="63"/>
  <c r="W49" i="63"/>
  <c r="W50" i="63"/>
  <c r="W51" i="63"/>
  <c r="W52" i="63"/>
  <c r="W53" i="63"/>
  <c r="W54" i="63"/>
  <c r="W55" i="63"/>
  <c r="W56" i="63"/>
  <c r="W57" i="63"/>
  <c r="W58" i="63"/>
  <c r="W59" i="63"/>
  <c r="W60" i="63"/>
  <c r="W61" i="63"/>
  <c r="W62" i="63"/>
  <c r="W63" i="63"/>
  <c r="W64" i="63"/>
  <c r="W65" i="63"/>
  <c r="W66" i="63"/>
  <c r="W67" i="63"/>
  <c r="W68" i="63"/>
  <c r="W69" i="63"/>
  <c r="W70" i="63"/>
  <c r="W71" i="63"/>
  <c r="W72" i="63"/>
  <c r="W73" i="63"/>
  <c r="W74" i="63"/>
  <c r="W75" i="63"/>
  <c r="W76" i="63"/>
  <c r="W77" i="63"/>
  <c r="W78" i="63"/>
  <c r="W79" i="63"/>
  <c r="W80" i="63"/>
  <c r="W81" i="63"/>
  <c r="W83" i="63"/>
  <c r="W84" i="63"/>
  <c r="W85" i="63"/>
  <c r="W86" i="63"/>
  <c r="W87" i="63"/>
  <c r="W88" i="63"/>
  <c r="W89" i="63"/>
  <c r="W90" i="63"/>
  <c r="W91" i="63"/>
  <c r="W92" i="63"/>
  <c r="W93" i="63"/>
  <c r="W94" i="63"/>
  <c r="W95" i="63"/>
  <c r="W96" i="63"/>
  <c r="W97" i="63"/>
  <c r="W98" i="63"/>
  <c r="W99" i="63"/>
  <c r="W100" i="63"/>
  <c r="W101" i="63"/>
  <c r="W102" i="63"/>
  <c r="W103" i="63"/>
  <c r="W104" i="63"/>
  <c r="W105" i="63"/>
  <c r="W106" i="63"/>
  <c r="W107" i="63"/>
  <c r="W108" i="63"/>
  <c r="W109" i="63"/>
  <c r="W110" i="63"/>
  <c r="W111" i="63"/>
  <c r="W112" i="63"/>
  <c r="W113" i="63"/>
  <c r="W114" i="63"/>
  <c r="W115" i="63"/>
  <c r="W116" i="63"/>
  <c r="W117" i="63"/>
  <c r="W118" i="63"/>
  <c r="W119" i="63"/>
  <c r="W120" i="63"/>
  <c r="W121" i="63"/>
  <c r="W122" i="63"/>
  <c r="W123" i="63"/>
  <c r="W124" i="63"/>
  <c r="W125" i="63"/>
  <c r="W126" i="63"/>
  <c r="W127" i="63"/>
  <c r="W128" i="63"/>
  <c r="W129" i="63"/>
  <c r="W130" i="63"/>
  <c r="W131" i="63"/>
  <c r="W132" i="63"/>
  <c r="W133" i="63"/>
  <c r="W134" i="63"/>
  <c r="W135" i="63"/>
  <c r="W136" i="63"/>
  <c r="W137" i="63"/>
  <c r="W138" i="63"/>
  <c r="W139" i="63"/>
  <c r="W140" i="63"/>
  <c r="W141" i="63"/>
  <c r="W142" i="63"/>
  <c r="W143" i="63"/>
  <c r="W144" i="63"/>
  <c r="W145" i="63"/>
  <c r="W146" i="63"/>
  <c r="W147" i="63"/>
  <c r="W148" i="63"/>
  <c r="W149" i="63"/>
  <c r="W150" i="63"/>
  <c r="W151" i="63"/>
  <c r="W152" i="63"/>
  <c r="W153" i="63"/>
  <c r="W154" i="63"/>
  <c r="W155" i="63"/>
  <c r="W156" i="63"/>
  <c r="W157" i="63"/>
  <c r="W158" i="63"/>
  <c r="W159" i="63"/>
  <c r="W160" i="63"/>
  <c r="W161" i="63"/>
  <c r="W162" i="63"/>
  <c r="W163" i="63"/>
  <c r="W164" i="63"/>
  <c r="W165" i="63"/>
  <c r="W166" i="63"/>
  <c r="W167" i="63"/>
  <c r="W168" i="63"/>
  <c r="W169" i="63"/>
  <c r="W170" i="63"/>
  <c r="W171" i="63"/>
  <c r="W172" i="63"/>
  <c r="W173" i="63"/>
  <c r="W174" i="63"/>
  <c r="W175" i="63"/>
  <c r="W176" i="63"/>
  <c r="W177" i="63"/>
  <c r="W178" i="63"/>
  <c r="W179" i="63"/>
  <c r="W180" i="63"/>
  <c r="W181" i="63"/>
  <c r="W182" i="63"/>
  <c r="W183" i="63"/>
  <c r="W184" i="63"/>
  <c r="W185" i="63"/>
  <c r="W186" i="63"/>
  <c r="W187" i="63"/>
  <c r="W188" i="63"/>
  <c r="W189" i="63"/>
  <c r="W190" i="63"/>
  <c r="W191" i="63"/>
  <c r="W192" i="63"/>
  <c r="W193" i="63"/>
  <c r="W194" i="63"/>
  <c r="W195" i="63"/>
  <c r="W196" i="63"/>
  <c r="W197" i="63"/>
  <c r="W198" i="63"/>
  <c r="W199" i="63"/>
  <c r="W200" i="63"/>
  <c r="W201" i="63"/>
  <c r="W202" i="63"/>
  <c r="W203" i="63"/>
  <c r="W204" i="63"/>
  <c r="W205" i="63"/>
  <c r="W206" i="63"/>
  <c r="W207" i="63"/>
  <c r="W208" i="63"/>
  <c r="W209" i="63"/>
  <c r="W210" i="63"/>
  <c r="W211" i="63"/>
  <c r="W212" i="63"/>
  <c r="W213" i="63"/>
  <c r="W214" i="63"/>
  <c r="W215" i="63"/>
  <c r="W216" i="63"/>
  <c r="W217" i="63"/>
  <c r="W218" i="63"/>
  <c r="W219" i="63"/>
  <c r="W220" i="63"/>
  <c r="W221" i="63"/>
  <c r="W222" i="63"/>
  <c r="W223" i="63"/>
  <c r="W224" i="63"/>
  <c r="W225" i="63"/>
  <c r="W226" i="63"/>
  <c r="W227" i="63"/>
  <c r="W228" i="63"/>
  <c r="W229" i="63"/>
  <c r="W230" i="63"/>
  <c r="W231" i="63"/>
  <c r="W232" i="63"/>
  <c r="W233" i="63"/>
  <c r="W234" i="63"/>
  <c r="W235" i="63"/>
  <c r="W236" i="63"/>
  <c r="W237" i="63"/>
  <c r="W238" i="63"/>
  <c r="W239" i="63"/>
  <c r="W240" i="63"/>
  <c r="W241" i="63"/>
  <c r="W242" i="63"/>
  <c r="W243" i="63"/>
  <c r="W244" i="63"/>
  <c r="W245" i="63"/>
  <c r="W246" i="63"/>
  <c r="W247" i="63"/>
  <c r="W248" i="63"/>
  <c r="W249" i="63"/>
  <c r="W250" i="63"/>
  <c r="W251" i="63"/>
  <c r="W252" i="63"/>
  <c r="W253" i="63"/>
  <c r="W254" i="63"/>
  <c r="W255" i="63"/>
  <c r="W256" i="63"/>
  <c r="W257" i="63"/>
  <c r="W258" i="63"/>
  <c r="W259" i="63"/>
  <c r="W260" i="63"/>
  <c r="W261" i="63"/>
  <c r="W262" i="63"/>
  <c r="W263" i="63"/>
  <c r="W274" i="63"/>
  <c r="W275" i="63"/>
  <c r="W276" i="63"/>
  <c r="W277" i="63"/>
  <c r="W278" i="63"/>
  <c r="W279" i="63"/>
  <c r="W280" i="63"/>
  <c r="W281" i="63"/>
  <c r="W282" i="63"/>
  <c r="W283" i="63"/>
  <c r="W284" i="63"/>
  <c r="W285" i="63"/>
  <c r="W286" i="63"/>
  <c r="W287" i="63"/>
  <c r="W288" i="63"/>
  <c r="W289" i="63"/>
  <c r="W290" i="63"/>
  <c r="W291" i="63"/>
  <c r="W292" i="63"/>
  <c r="W293" i="63"/>
  <c r="W294" i="63"/>
  <c r="W295" i="63"/>
  <c r="W296" i="63"/>
  <c r="W297" i="63"/>
  <c r="W298" i="63"/>
  <c r="W299" i="63"/>
  <c r="W300" i="63"/>
  <c r="W301" i="63"/>
  <c r="W302" i="63"/>
  <c r="W303" i="63"/>
  <c r="W304" i="63"/>
  <c r="W305" i="63"/>
  <c r="W306" i="63"/>
  <c r="W307" i="63"/>
  <c r="W308" i="63"/>
  <c r="W309" i="63"/>
  <c r="W310" i="63"/>
  <c r="W311" i="63"/>
  <c r="W312" i="63"/>
  <c r="W313" i="63"/>
  <c r="W314" i="63"/>
  <c r="W315" i="63"/>
  <c r="W316" i="63"/>
  <c r="W317" i="63"/>
  <c r="W318" i="63"/>
  <c r="W319" i="63"/>
  <c r="W320" i="63"/>
  <c r="W321" i="63"/>
  <c r="W322" i="63"/>
  <c r="W323" i="63"/>
  <c r="W324" i="63"/>
  <c r="W325" i="63"/>
  <c r="W326" i="63"/>
  <c r="W327" i="63"/>
  <c r="W328" i="63"/>
  <c r="W329" i="63"/>
  <c r="W330" i="63"/>
  <c r="W331" i="63"/>
  <c r="W332" i="63"/>
  <c r="W333" i="63"/>
  <c r="W334" i="63"/>
  <c r="W335" i="63"/>
  <c r="W336" i="63"/>
  <c r="W337" i="63"/>
  <c r="W338" i="63"/>
  <c r="W339" i="63"/>
  <c r="W340" i="63"/>
  <c r="W341" i="63"/>
  <c r="W342" i="63"/>
  <c r="W343" i="63"/>
  <c r="W344" i="63"/>
  <c r="W345" i="63"/>
  <c r="W346" i="63"/>
  <c r="W347" i="63"/>
  <c r="W348" i="63"/>
  <c r="W349" i="63"/>
  <c r="W350" i="63"/>
  <c r="W351" i="63"/>
  <c r="W352" i="63"/>
  <c r="W353" i="63"/>
  <c r="W354" i="63"/>
  <c r="W355" i="63"/>
  <c r="W356" i="63"/>
  <c r="W357" i="63"/>
  <c r="W358" i="63"/>
  <c r="W359" i="63"/>
  <c r="W360" i="63"/>
  <c r="W361" i="63"/>
  <c r="W362" i="63"/>
  <c r="W363" i="63"/>
  <c r="W364" i="63"/>
  <c r="W365" i="63"/>
  <c r="W366" i="63"/>
  <c r="W367" i="63"/>
  <c r="W368" i="63"/>
  <c r="W369" i="63"/>
  <c r="W370" i="63"/>
  <c r="W371" i="63"/>
  <c r="W372" i="63"/>
  <c r="W373" i="63"/>
  <c r="W374" i="63"/>
  <c r="W375" i="63"/>
  <c r="W376" i="63"/>
  <c r="W377" i="63"/>
  <c r="W378" i="63"/>
  <c r="W379" i="63"/>
  <c r="W380" i="63"/>
  <c r="W381" i="63"/>
  <c r="W382" i="63"/>
  <c r="W383" i="63"/>
  <c r="W384" i="63"/>
  <c r="W385" i="63"/>
  <c r="W386" i="63"/>
  <c r="W387" i="63"/>
  <c r="W388" i="63"/>
  <c r="W389" i="63"/>
  <c r="W390" i="63"/>
  <c r="W391" i="63"/>
  <c r="W392" i="63"/>
  <c r="W393" i="63"/>
  <c r="W394" i="63"/>
  <c r="W395" i="63"/>
  <c r="W396" i="63"/>
  <c r="W397" i="63"/>
  <c r="W398" i="63"/>
  <c r="W399" i="63"/>
  <c r="W400" i="63"/>
  <c r="W401" i="63"/>
  <c r="W402" i="63"/>
  <c r="W403" i="63"/>
  <c r="W404" i="63"/>
  <c r="W405" i="63"/>
  <c r="W406" i="63"/>
  <c r="W407" i="63"/>
  <c r="W408" i="63"/>
  <c r="W409" i="63"/>
  <c r="W410" i="63"/>
  <c r="W411" i="63"/>
  <c r="W412" i="63"/>
  <c r="W456" i="63"/>
  <c r="W457" i="63"/>
  <c r="W458" i="63"/>
  <c r="W459" i="63"/>
  <c r="W460" i="63"/>
  <c r="W461" i="63"/>
  <c r="W462" i="63"/>
  <c r="W463" i="63"/>
  <c r="W464" i="63"/>
  <c r="W465" i="63"/>
  <c r="W466" i="63"/>
  <c r="W467" i="63"/>
  <c r="W468" i="63"/>
  <c r="W469" i="63"/>
  <c r="W470" i="63"/>
  <c r="W471" i="63"/>
  <c r="W472" i="63"/>
  <c r="W473" i="63"/>
  <c r="W474" i="63"/>
  <c r="W475" i="63"/>
  <c r="W476" i="63"/>
  <c r="W477" i="63"/>
  <c r="W478" i="63"/>
  <c r="W479" i="63"/>
  <c r="W480" i="63"/>
  <c r="W481" i="63"/>
  <c r="W482" i="63"/>
  <c r="W483" i="63"/>
  <c r="W484" i="63"/>
  <c r="W485" i="63"/>
  <c r="W486" i="63"/>
  <c r="W487" i="63"/>
  <c r="W488" i="63"/>
  <c r="W489" i="63"/>
  <c r="W490" i="63"/>
  <c r="W491" i="63"/>
  <c r="W492" i="63"/>
  <c r="W493" i="63"/>
  <c r="W494" i="63"/>
  <c r="W495" i="63"/>
  <c r="W496" i="63"/>
  <c r="W497" i="63"/>
  <c r="W498" i="63"/>
  <c r="W499" i="63"/>
  <c r="W500" i="63"/>
  <c r="W501" i="63"/>
  <c r="W502" i="63"/>
  <c r="W503" i="63"/>
  <c r="W504" i="63"/>
  <c r="W505" i="63"/>
  <c r="W506" i="63"/>
  <c r="W507" i="63"/>
  <c r="W508" i="63"/>
  <c r="W509" i="63"/>
  <c r="W510" i="63"/>
  <c r="W511" i="63"/>
  <c r="W512" i="63"/>
  <c r="W513" i="63"/>
  <c r="W514" i="63"/>
  <c r="W515" i="63"/>
  <c r="W516" i="63"/>
  <c r="W517" i="63"/>
  <c r="W518" i="63"/>
  <c r="W519" i="63"/>
  <c r="W520" i="63"/>
  <c r="W521" i="63"/>
  <c r="W522" i="63"/>
  <c r="W523" i="63"/>
  <c r="W524" i="63"/>
  <c r="W525" i="63"/>
  <c r="W526" i="63"/>
  <c r="W527" i="63"/>
  <c r="W528" i="63"/>
  <c r="W529" i="63"/>
  <c r="W530" i="63"/>
  <c r="W531" i="63"/>
  <c r="W532" i="63"/>
  <c r="W533" i="63"/>
  <c r="W534" i="63"/>
  <c r="W535" i="63"/>
  <c r="W536" i="63"/>
  <c r="W537" i="63"/>
  <c r="W538" i="63"/>
  <c r="W539" i="63"/>
  <c r="W540" i="63"/>
  <c r="W541" i="63"/>
  <c r="W542" i="63"/>
  <c r="W543" i="63"/>
  <c r="W544" i="63"/>
  <c r="W545" i="63"/>
  <c r="W546" i="63"/>
  <c r="W547" i="63"/>
  <c r="W548" i="63"/>
  <c r="W549" i="63"/>
  <c r="W550" i="63"/>
  <c r="W551" i="63"/>
  <c r="W552" i="63"/>
  <c r="W553" i="63"/>
  <c r="W554" i="63"/>
  <c r="W555" i="63"/>
  <c r="W556" i="63"/>
  <c r="W557" i="63"/>
  <c r="W558" i="63"/>
  <c r="W559" i="63"/>
  <c r="W560" i="63"/>
  <c r="W561" i="63"/>
  <c r="W562" i="63"/>
  <c r="W563" i="63"/>
  <c r="W564" i="63"/>
  <c r="W565" i="63"/>
  <c r="W566" i="63"/>
  <c r="W567" i="63"/>
  <c r="W568" i="63"/>
  <c r="W569" i="63"/>
  <c r="W570" i="63"/>
  <c r="W571" i="63"/>
  <c r="W572" i="63"/>
  <c r="W573" i="63"/>
  <c r="W574" i="63"/>
  <c r="W575" i="63"/>
  <c r="W576" i="63"/>
  <c r="W577" i="63"/>
  <c r="W578" i="63"/>
  <c r="W579" i="63"/>
  <c r="W580" i="63"/>
  <c r="W581" i="63"/>
  <c r="W582" i="63"/>
  <c r="W583" i="63"/>
  <c r="W584" i="63"/>
  <c r="W585" i="63"/>
  <c r="W586" i="63"/>
  <c r="W587" i="63"/>
  <c r="W588" i="63"/>
  <c r="W589" i="63"/>
  <c r="W590" i="63"/>
  <c r="W591" i="63"/>
  <c r="W592" i="63"/>
  <c r="W593" i="63"/>
  <c r="W594" i="63"/>
  <c r="W595" i="63"/>
  <c r="W596" i="63"/>
  <c r="W597" i="63"/>
  <c r="W598" i="63"/>
  <c r="W599" i="63"/>
  <c r="W600" i="63"/>
  <c r="W601" i="63"/>
  <c r="W602" i="63"/>
  <c r="W603" i="63"/>
  <c r="W604" i="63"/>
  <c r="W605" i="63"/>
  <c r="W606" i="63"/>
  <c r="W607" i="63"/>
  <c r="W608" i="63"/>
  <c r="W609" i="63"/>
  <c r="W610" i="63"/>
  <c r="W611" i="63"/>
  <c r="W612" i="63"/>
  <c r="W613" i="63"/>
  <c r="W614" i="63"/>
  <c r="W615" i="63"/>
  <c r="W616" i="63"/>
  <c r="W617" i="63"/>
  <c r="W618" i="63"/>
  <c r="W619" i="63"/>
  <c r="W620" i="63"/>
  <c r="W621" i="63"/>
  <c r="W622" i="63"/>
  <c r="W623" i="63"/>
  <c r="W624" i="63"/>
  <c r="W625" i="63"/>
  <c r="W626" i="63"/>
  <c r="W627" i="63"/>
  <c r="W628" i="63"/>
  <c r="W629" i="63"/>
  <c r="W630" i="63"/>
  <c r="W631" i="63"/>
  <c r="W632" i="63"/>
  <c r="W633" i="63"/>
  <c r="W634" i="63"/>
  <c r="W635" i="63"/>
  <c r="W636" i="63"/>
  <c r="W637" i="63"/>
  <c r="W638" i="63"/>
  <c r="W639" i="63"/>
  <c r="W640" i="63"/>
  <c r="W641" i="63"/>
  <c r="W642" i="63"/>
  <c r="W643" i="63"/>
  <c r="W644" i="63"/>
  <c r="W645" i="63"/>
  <c r="W646" i="63"/>
  <c r="W647" i="63"/>
  <c r="W648" i="63"/>
  <c r="W649" i="63"/>
  <c r="W650" i="63"/>
  <c r="W651" i="63"/>
  <c r="W652" i="63"/>
  <c r="W653" i="63"/>
  <c r="W654" i="63"/>
  <c r="W655" i="63"/>
  <c r="W656" i="63"/>
  <c r="W657" i="63"/>
  <c r="W658" i="63"/>
  <c r="W659" i="63"/>
  <c r="W660" i="63"/>
  <c r="W661" i="63"/>
  <c r="W662" i="63"/>
  <c r="W663" i="63"/>
  <c r="W664" i="63"/>
  <c r="W665" i="63"/>
  <c r="W666" i="63"/>
  <c r="W667" i="63"/>
  <c r="W668" i="63"/>
  <c r="W669" i="63"/>
  <c r="W670" i="63"/>
  <c r="W671" i="63"/>
  <c r="W672" i="63"/>
  <c r="W673" i="63"/>
  <c r="W674" i="63"/>
  <c r="W675" i="63"/>
  <c r="W676" i="63"/>
  <c r="W677" i="63"/>
  <c r="W678" i="63"/>
  <c r="W679" i="63"/>
  <c r="W680" i="63"/>
  <c r="W681" i="63"/>
  <c r="W682" i="63"/>
  <c r="W683" i="63"/>
  <c r="W684" i="63"/>
  <c r="W685" i="63"/>
  <c r="W686" i="63"/>
  <c r="W687" i="63"/>
  <c r="W688" i="63"/>
  <c r="W689" i="63"/>
  <c r="W690" i="63"/>
  <c r="W691" i="63"/>
  <c r="W692" i="63"/>
  <c r="W693" i="63"/>
  <c r="W694" i="63"/>
  <c r="W695" i="63"/>
  <c r="W696" i="63"/>
  <c r="W697" i="63"/>
  <c r="W698" i="63"/>
  <c r="W699" i="63"/>
  <c r="W700" i="63"/>
  <c r="W701" i="63"/>
  <c r="W702" i="63"/>
  <c r="W703" i="63"/>
  <c r="W704" i="63"/>
  <c r="W705" i="63"/>
  <c r="W706" i="63"/>
  <c r="W707" i="63"/>
  <c r="W708" i="63"/>
  <c r="W709" i="63"/>
  <c r="W710" i="63"/>
  <c r="W711" i="63"/>
  <c r="W712" i="63"/>
  <c r="W713" i="63"/>
  <c r="W714" i="63"/>
  <c r="W715" i="63"/>
  <c r="W716" i="63"/>
  <c r="W717" i="63"/>
  <c r="W718" i="63"/>
  <c r="W719" i="63"/>
  <c r="W720" i="63"/>
  <c r="W721" i="63"/>
  <c r="W722" i="63"/>
  <c r="W723" i="63"/>
  <c r="W724" i="63"/>
  <c r="W725" i="63"/>
  <c r="W726" i="63"/>
  <c r="W727" i="63"/>
  <c r="W728" i="63"/>
  <c r="W771" i="63"/>
  <c r="W772" i="63"/>
  <c r="W773" i="63"/>
  <c r="W774" i="63"/>
  <c r="W775" i="63"/>
  <c r="W776" i="63"/>
  <c r="W777" i="63"/>
  <c r="W778" i="63"/>
  <c r="W779" i="63"/>
  <c r="W780" i="63"/>
  <c r="W781" i="63"/>
  <c r="W782" i="63"/>
  <c r="W783" i="63"/>
  <c r="W784" i="63"/>
  <c r="W785" i="63"/>
  <c r="W786" i="63"/>
  <c r="W817" i="63"/>
  <c r="L780" i="63"/>
  <c r="L781" i="63"/>
  <c r="L782" i="63"/>
  <c r="L783" i="63"/>
  <c r="L784" i="63"/>
  <c r="L785" i="63"/>
  <c r="L786" i="63"/>
  <c r="X786" i="63" s="1"/>
  <c r="L817" i="63"/>
  <c r="M817" i="63"/>
  <c r="N817" i="63"/>
  <c r="O817" i="63"/>
  <c r="W13" i="63"/>
  <c r="P785" i="63"/>
  <c r="P784" i="63"/>
  <c r="P783" i="63"/>
  <c r="P782" i="63"/>
  <c r="P781" i="63"/>
  <c r="P727" i="63"/>
  <c r="P726" i="63"/>
  <c r="P725" i="63"/>
  <c r="P723" i="63"/>
  <c r="P722" i="63"/>
  <c r="P721" i="63"/>
  <c r="P719" i="63"/>
  <c r="P718" i="63"/>
  <c r="P717" i="63"/>
  <c r="P715" i="63"/>
  <c r="P714" i="63"/>
  <c r="P713" i="63"/>
  <c r="P711" i="63"/>
  <c r="P710" i="63"/>
  <c r="P709" i="63"/>
  <c r="P707" i="63"/>
  <c r="P706" i="63"/>
  <c r="P705" i="63"/>
  <c r="P703" i="63"/>
  <c r="P702" i="63"/>
  <c r="P701" i="63"/>
  <c r="P700" i="63"/>
  <c r="P699" i="63"/>
  <c r="P697" i="63"/>
  <c r="P695" i="63"/>
  <c r="P693" i="63"/>
  <c r="P691" i="63"/>
  <c r="P689" i="63"/>
  <c r="P687" i="63"/>
  <c r="P685" i="63"/>
  <c r="P683" i="63"/>
  <c r="P681" i="63"/>
  <c r="P679" i="63"/>
  <c r="P677" i="63"/>
  <c r="P675" i="63"/>
  <c r="P673" i="63"/>
  <c r="P671" i="63"/>
  <c r="P669" i="63"/>
  <c r="P667" i="63"/>
  <c r="P665" i="63"/>
  <c r="P663" i="63"/>
  <c r="P661" i="63"/>
  <c r="P659" i="63"/>
  <c r="P657" i="63"/>
  <c r="P655" i="63"/>
  <c r="P653" i="63"/>
  <c r="P651" i="63"/>
  <c r="P649" i="63"/>
  <c r="P647" i="63"/>
  <c r="P645" i="63"/>
  <c r="P643" i="63"/>
  <c r="P641" i="63"/>
  <c r="P639" i="63"/>
  <c r="P637" i="63"/>
  <c r="P635" i="63"/>
  <c r="P633" i="63"/>
  <c r="P631" i="63"/>
  <c r="P629" i="63"/>
  <c r="P627" i="63"/>
  <c r="P625" i="63"/>
  <c r="P623" i="63"/>
  <c r="P621" i="63"/>
  <c r="P619" i="63"/>
  <c r="P617" i="63"/>
  <c r="P615" i="63"/>
  <c r="P613" i="63"/>
  <c r="P611" i="63"/>
  <c r="P609" i="63"/>
  <c r="P607" i="63"/>
  <c r="P605" i="63"/>
  <c r="P603" i="63"/>
  <c r="P601" i="63"/>
  <c r="P599" i="63"/>
  <c r="P597" i="63"/>
  <c r="P595" i="63"/>
  <c r="P593" i="63"/>
  <c r="P591" i="63"/>
  <c r="P589" i="63"/>
  <c r="P587" i="63"/>
  <c r="P585" i="63"/>
  <c r="P583" i="63"/>
  <c r="P581" i="63"/>
  <c r="P579" i="63"/>
  <c r="P577" i="63"/>
  <c r="P575" i="63"/>
  <c r="P573" i="63"/>
  <c r="P571" i="63"/>
  <c r="P569" i="63"/>
  <c r="P567" i="63"/>
  <c r="P565" i="63"/>
  <c r="P563" i="63"/>
  <c r="P561" i="63"/>
  <c r="P559" i="63"/>
  <c r="P557" i="63"/>
  <c r="P555" i="63"/>
  <c r="P553" i="63"/>
  <c r="P551" i="63"/>
  <c r="P549" i="63"/>
  <c r="P547" i="63"/>
  <c r="P545" i="63"/>
  <c r="P543" i="63"/>
  <c r="P541" i="63"/>
  <c r="P539" i="63"/>
  <c r="P537" i="63"/>
  <c r="P535" i="63"/>
  <c r="P533" i="63"/>
  <c r="P531" i="63"/>
  <c r="P529" i="63"/>
  <c r="P527" i="63"/>
  <c r="P525" i="63"/>
  <c r="P523" i="63"/>
  <c r="P521" i="63"/>
  <c r="P518" i="63"/>
  <c r="P516" i="63"/>
  <c r="P514" i="63"/>
  <c r="P512" i="63"/>
  <c r="P510" i="63"/>
  <c r="P508" i="63"/>
  <c r="P506" i="63"/>
  <c r="P504" i="63"/>
  <c r="P502" i="63"/>
  <c r="P500" i="63"/>
  <c r="P498" i="63"/>
  <c r="P496" i="63"/>
  <c r="P494" i="63"/>
  <c r="P492" i="63"/>
  <c r="P490" i="63"/>
  <c r="P488" i="63"/>
  <c r="P486" i="63"/>
  <c r="P484" i="63"/>
  <c r="P482" i="63"/>
  <c r="P480" i="63"/>
  <c r="P478" i="63"/>
  <c r="P474" i="63"/>
  <c r="P470" i="63"/>
  <c r="P468" i="63"/>
  <c r="P466" i="63"/>
  <c r="P464" i="63"/>
  <c r="P462" i="63"/>
  <c r="P460" i="63"/>
  <c r="P458" i="63"/>
  <c r="P456" i="63"/>
  <c r="P411" i="63"/>
  <c r="P409" i="63"/>
  <c r="P407" i="63"/>
  <c r="P405" i="63"/>
  <c r="P403" i="63"/>
  <c r="P401" i="63"/>
  <c r="P399" i="63"/>
  <c r="P397" i="63"/>
  <c r="P395" i="63"/>
  <c r="P393" i="63"/>
  <c r="P391" i="63"/>
  <c r="P389" i="63"/>
  <c r="P387" i="63"/>
  <c r="P385" i="63"/>
  <c r="P383" i="63"/>
  <c r="P381" i="63"/>
  <c r="P379" i="63"/>
  <c r="P377" i="63"/>
  <c r="P375" i="63"/>
  <c r="P373" i="63"/>
  <c r="P371" i="63"/>
  <c r="P369" i="63"/>
  <c r="P367" i="63"/>
  <c r="P365" i="63"/>
  <c r="P363" i="63"/>
  <c r="P361" i="63"/>
  <c r="P359" i="63"/>
  <c r="P357" i="63"/>
  <c r="P355" i="63"/>
  <c r="P353" i="63"/>
  <c r="P351" i="63"/>
  <c r="P349" i="63"/>
  <c r="P347" i="63"/>
  <c r="P345" i="63"/>
  <c r="P343" i="63"/>
  <c r="P341" i="63"/>
  <c r="P339" i="63"/>
  <c r="P337" i="63"/>
  <c r="P335" i="63"/>
  <c r="P333" i="63"/>
  <c r="P331" i="63"/>
  <c r="P329" i="63"/>
  <c r="P327" i="63"/>
  <c r="P325" i="63"/>
  <c r="P323" i="63"/>
  <c r="P321" i="63"/>
  <c r="P319" i="63"/>
  <c r="P317" i="63"/>
  <c r="P315" i="63"/>
  <c r="P313" i="63"/>
  <c r="P311" i="63"/>
  <c r="P309" i="63"/>
  <c r="P307" i="63"/>
  <c r="P305" i="63"/>
  <c r="P303" i="63"/>
  <c r="P301" i="63"/>
  <c r="P299" i="63"/>
  <c r="P297" i="63"/>
  <c r="P295" i="63"/>
  <c r="P293" i="63"/>
  <c r="P291" i="63"/>
  <c r="P289" i="63"/>
  <c r="P287" i="63"/>
  <c r="P285" i="63"/>
  <c r="P283" i="63"/>
  <c r="P281" i="63"/>
  <c r="P279" i="63"/>
  <c r="P277" i="63"/>
  <c r="P275" i="63"/>
  <c r="P262" i="63"/>
  <c r="P260" i="63"/>
  <c r="P258" i="63"/>
  <c r="P256" i="63"/>
  <c r="P254" i="63"/>
  <c r="P250" i="63"/>
  <c r="P246" i="63"/>
  <c r="P242" i="63"/>
  <c r="P238" i="63"/>
  <c r="P234" i="63"/>
  <c r="P230" i="63"/>
  <c r="P226" i="63"/>
  <c r="P222" i="63"/>
  <c r="P218" i="63"/>
  <c r="P214" i="63"/>
  <c r="P210" i="63"/>
  <c r="P206" i="63"/>
  <c r="P202" i="63"/>
  <c r="P198" i="63"/>
  <c r="P194" i="63"/>
  <c r="P190" i="63"/>
  <c r="P186" i="63"/>
  <c r="P182" i="63"/>
  <c r="P178" i="63"/>
  <c r="P174" i="63"/>
  <c r="P170" i="63"/>
  <c r="P166" i="63"/>
  <c r="P162" i="63"/>
  <c r="P158" i="63"/>
  <c r="P154" i="63"/>
  <c r="P150" i="63"/>
  <c r="P146" i="63"/>
  <c r="P142" i="63"/>
  <c r="P138" i="63"/>
  <c r="P134" i="63"/>
  <c r="P130" i="63"/>
  <c r="P126" i="63"/>
  <c r="P122" i="63"/>
  <c r="P118" i="63"/>
  <c r="P114" i="63"/>
  <c r="P110" i="63"/>
  <c r="P106" i="63"/>
  <c r="P102" i="63"/>
  <c r="P98" i="63"/>
  <c r="P94" i="63"/>
  <c r="P90" i="63"/>
  <c r="P88" i="63"/>
  <c r="P86" i="63"/>
  <c r="P84" i="63"/>
  <c r="P81" i="63"/>
  <c r="P79" i="63"/>
  <c r="P77" i="63"/>
  <c r="P75" i="63"/>
  <c r="P73" i="63"/>
  <c r="P71" i="63"/>
  <c r="P69" i="63"/>
  <c r="P67" i="63"/>
  <c r="P65" i="63"/>
  <c r="P63" i="63"/>
  <c r="P61" i="63"/>
  <c r="P57" i="63"/>
  <c r="P55" i="63"/>
  <c r="P53" i="63"/>
  <c r="P51" i="63"/>
  <c r="P49" i="63"/>
  <c r="P47" i="63"/>
  <c r="P45" i="63"/>
  <c r="P43" i="63"/>
  <c r="P41" i="63"/>
  <c r="P39" i="63"/>
  <c r="P37" i="63"/>
  <c r="P35" i="63"/>
  <c r="P33" i="63"/>
  <c r="P31" i="63"/>
  <c r="P29" i="63"/>
  <c r="P27" i="63"/>
  <c r="P25" i="63"/>
  <c r="P23" i="63"/>
  <c r="P21" i="63"/>
  <c r="P19" i="63"/>
  <c r="P17" i="63"/>
  <c r="P15" i="63"/>
  <c r="AC14" i="63"/>
  <c r="P987" i="63"/>
  <c r="P989" i="63"/>
  <c r="P978" i="63"/>
  <c r="P964" i="63"/>
  <c r="P965" i="63"/>
  <c r="P968" i="63"/>
  <c r="P969" i="63"/>
  <c r="P970" i="63"/>
  <c r="P971" i="63"/>
  <c r="P972" i="63"/>
  <c r="P973" i="63"/>
  <c r="P974" i="63"/>
  <c r="P975" i="63"/>
  <c r="P963" i="63"/>
  <c r="P962" i="63"/>
  <c r="N963" i="63"/>
  <c r="N964" i="63"/>
  <c r="N965" i="63"/>
  <c r="N968" i="63"/>
  <c r="N969" i="63"/>
  <c r="N970" i="63"/>
  <c r="N971" i="63"/>
  <c r="N972" i="63"/>
  <c r="N973" i="63"/>
  <c r="N974" i="63"/>
  <c r="N975" i="63"/>
  <c r="N976" i="63"/>
  <c r="N977" i="63"/>
  <c r="N978" i="63"/>
  <c r="N979" i="63"/>
  <c r="N980" i="63"/>
  <c r="N981" i="63"/>
  <c r="N982" i="63"/>
  <c r="N983" i="63"/>
  <c r="N984" i="63"/>
  <c r="N985" i="63"/>
  <c r="N986" i="63"/>
  <c r="N987" i="63"/>
  <c r="N988" i="63"/>
  <c r="N989" i="63"/>
  <c r="N962" i="63"/>
  <c r="L963" i="63"/>
  <c r="L964" i="63"/>
  <c r="L965" i="63"/>
  <c r="L968" i="63"/>
  <c r="L969" i="63"/>
  <c r="L970" i="63"/>
  <c r="L971" i="63"/>
  <c r="L972" i="63"/>
  <c r="L973" i="63"/>
  <c r="L974" i="63"/>
  <c r="L975" i="63"/>
  <c r="L976" i="63"/>
  <c r="L977" i="63"/>
  <c r="L978" i="63"/>
  <c r="L979" i="63"/>
  <c r="L980" i="63"/>
  <c r="L981" i="63"/>
  <c r="M996" i="63" s="1"/>
  <c r="L982" i="63"/>
  <c r="L983" i="63"/>
  <c r="L984" i="63"/>
  <c r="L985" i="63"/>
  <c r="L986" i="63"/>
  <c r="L987" i="63"/>
  <c r="L988" i="63"/>
  <c r="M995" i="63" s="1"/>
  <c r="L989" i="63"/>
  <c r="L962" i="63"/>
  <c r="P988" i="63"/>
  <c r="P986" i="63"/>
  <c r="P985" i="63"/>
  <c r="P984" i="63"/>
  <c r="P983" i="63"/>
  <c r="P982" i="63"/>
  <c r="P981" i="63"/>
  <c r="P980" i="63"/>
  <c r="P979" i="63"/>
  <c r="P977" i="63"/>
  <c r="P976" i="63"/>
  <c r="P942" i="63"/>
  <c r="E88" i="66" s="1"/>
  <c r="P941" i="63"/>
  <c r="E87" i="66" s="1"/>
  <c r="P940" i="63"/>
  <c r="E86" i="66" s="1"/>
  <c r="P939" i="63"/>
  <c r="E85" i="66" s="1"/>
  <c r="P938" i="63"/>
  <c r="E84" i="66" s="1"/>
  <c r="E83" i="66"/>
  <c r="P936" i="63"/>
  <c r="E82" i="66" s="1"/>
  <c r="P935" i="63"/>
  <c r="E81" i="66" s="1"/>
  <c r="P934" i="63"/>
  <c r="E80" i="66" s="1"/>
  <c r="P933" i="63"/>
  <c r="E79" i="66" s="1"/>
  <c r="P932" i="63"/>
  <c r="P931" i="63"/>
  <c r="E77" i="66" s="1"/>
  <c r="P925" i="63"/>
  <c r="E71" i="66" s="1"/>
  <c r="P924" i="63"/>
  <c r="E70" i="66" s="1"/>
  <c r="P923" i="63"/>
  <c r="E69" i="66" s="1"/>
  <c r="P922" i="63"/>
  <c r="E68" i="66" s="1"/>
  <c r="P921" i="63"/>
  <c r="E67" i="66" s="1"/>
  <c r="P920" i="63"/>
  <c r="E66" i="66" s="1"/>
  <c r="P919" i="63"/>
  <c r="E65" i="66" s="1"/>
  <c r="P918" i="63"/>
  <c r="E64" i="66" s="1"/>
  <c r="P917" i="63"/>
  <c r="E63" i="66" s="1"/>
  <c r="P916" i="63"/>
  <c r="E62" i="66" s="1"/>
  <c r="P915" i="63"/>
  <c r="E61" i="66" s="1"/>
  <c r="P914" i="63"/>
  <c r="E60" i="66" s="1"/>
  <c r="P913" i="63"/>
  <c r="E59" i="66" s="1"/>
  <c r="P912" i="63"/>
  <c r="E58" i="66" s="1"/>
  <c r="O921" i="63"/>
  <c r="D67" i="66" s="1"/>
  <c r="O920" i="63"/>
  <c r="D66" i="66" s="1"/>
  <c r="O919" i="63"/>
  <c r="D65" i="66" s="1"/>
  <c r="O915" i="63"/>
  <c r="D61" i="66" s="1"/>
  <c r="O914" i="63"/>
  <c r="D60" i="66" s="1"/>
  <c r="O912" i="63"/>
  <c r="D58" i="66" s="1"/>
  <c r="N955" i="63"/>
  <c r="N956" i="63"/>
  <c r="N957" i="63"/>
  <c r="N958" i="63"/>
  <c r="N954" i="63"/>
  <c r="N951" i="63"/>
  <c r="N950" i="63"/>
  <c r="N932" i="63"/>
  <c r="N933" i="63"/>
  <c r="N934" i="63"/>
  <c r="N935" i="63"/>
  <c r="N936" i="63"/>
  <c r="N938" i="63"/>
  <c r="N939" i="63"/>
  <c r="N940" i="63"/>
  <c r="N941" i="63"/>
  <c r="N942" i="63"/>
  <c r="N943" i="63"/>
  <c r="N944" i="63"/>
  <c r="N945" i="63"/>
  <c r="N946" i="63"/>
  <c r="N931" i="63"/>
  <c r="N915" i="63"/>
  <c r="N916" i="63"/>
  <c r="N917" i="63"/>
  <c r="N918" i="63"/>
  <c r="N919" i="63"/>
  <c r="N920" i="63"/>
  <c r="N921" i="63"/>
  <c r="N922" i="63"/>
  <c r="N923" i="63"/>
  <c r="N924" i="63"/>
  <c r="N925" i="63"/>
  <c r="N914" i="63"/>
  <c r="N913" i="63"/>
  <c r="N912" i="63"/>
  <c r="M955" i="63"/>
  <c r="M956" i="63"/>
  <c r="M957" i="63"/>
  <c r="M958" i="63"/>
  <c r="M954" i="63"/>
  <c r="M951" i="63"/>
  <c r="M950" i="63"/>
  <c r="M946" i="63"/>
  <c r="M945" i="63"/>
  <c r="M944" i="63"/>
  <c r="M943" i="63"/>
  <c r="M941" i="63"/>
  <c r="M942" i="63"/>
  <c r="M913" i="63"/>
  <c r="L958" i="63"/>
  <c r="L957" i="63"/>
  <c r="B103" i="66" s="1"/>
  <c r="L956" i="63"/>
  <c r="B102" i="66" s="1"/>
  <c r="L955" i="63"/>
  <c r="B101" i="66" s="1"/>
  <c r="L954" i="63"/>
  <c r="L951" i="63"/>
  <c r="B97" i="66" s="1"/>
  <c r="L950" i="63"/>
  <c r="B96" i="66" s="1"/>
  <c r="L946" i="63"/>
  <c r="B92" i="66" s="1"/>
  <c r="L945" i="63"/>
  <c r="B91" i="66" s="1"/>
  <c r="L944" i="63"/>
  <c r="B90" i="66" s="1"/>
  <c r="L943" i="63"/>
  <c r="L942" i="63"/>
  <c r="L941" i="63"/>
  <c r="L940" i="63"/>
  <c r="L939" i="63"/>
  <c r="L938" i="63"/>
  <c r="B83" i="66"/>
  <c r="L932" i="63"/>
  <c r="L933" i="63"/>
  <c r="L934" i="63"/>
  <c r="L935" i="63"/>
  <c r="L936" i="63"/>
  <c r="L931" i="63"/>
  <c r="L914" i="63"/>
  <c r="L915" i="63"/>
  <c r="L916" i="63"/>
  <c r="L917" i="63"/>
  <c r="L918" i="63"/>
  <c r="L919" i="63"/>
  <c r="L920" i="63"/>
  <c r="L921" i="63"/>
  <c r="L922" i="63"/>
  <c r="L923" i="63"/>
  <c r="L924" i="63"/>
  <c r="L925" i="63"/>
  <c r="L913" i="63"/>
  <c r="L912" i="63"/>
  <c r="O922" i="63"/>
  <c r="D68" i="66" s="1"/>
  <c r="S833" i="63"/>
  <c r="U833" i="63" s="1"/>
  <c r="S834" i="63"/>
  <c r="U834" i="63" s="1"/>
  <c r="S835" i="63"/>
  <c r="U835" i="63" s="1"/>
  <c r="S836" i="63"/>
  <c r="U836" i="63" s="1"/>
  <c r="S837" i="63"/>
  <c r="U837" i="63" s="1"/>
  <c r="S838" i="63"/>
  <c r="U838" i="63" s="1"/>
  <c r="S839" i="63"/>
  <c r="U839" i="63" s="1"/>
  <c r="S840" i="63"/>
  <c r="U840" i="63" s="1"/>
  <c r="S841" i="63"/>
  <c r="U841" i="63" s="1"/>
  <c r="S842" i="63"/>
  <c r="U842" i="63" s="1"/>
  <c r="S843" i="63"/>
  <c r="U843" i="63" s="1"/>
  <c r="S844" i="63"/>
  <c r="U844" i="63" s="1"/>
  <c r="S845" i="63"/>
  <c r="U845" i="63" s="1"/>
  <c r="S846" i="63"/>
  <c r="U846" i="63" s="1"/>
  <c r="S847" i="63"/>
  <c r="U847" i="63" s="1"/>
  <c r="S848" i="63"/>
  <c r="U848" i="63" s="1"/>
  <c r="S849" i="63"/>
  <c r="U849" i="63" s="1"/>
  <c r="S850" i="63"/>
  <c r="U850" i="63" s="1"/>
  <c r="S851" i="63"/>
  <c r="U851" i="63" s="1"/>
  <c r="S852" i="63"/>
  <c r="U852" i="63" s="1"/>
  <c r="S853" i="63"/>
  <c r="U853" i="63" s="1"/>
  <c r="S854" i="63"/>
  <c r="U854" i="63" s="1"/>
  <c r="S855" i="63"/>
  <c r="U855" i="63" s="1"/>
  <c r="S856" i="63"/>
  <c r="U856" i="63" s="1"/>
  <c r="S857" i="63"/>
  <c r="U857" i="63" s="1"/>
  <c r="S858" i="63"/>
  <c r="U858" i="63" s="1"/>
  <c r="S859" i="63"/>
  <c r="U859" i="63" s="1"/>
  <c r="S860" i="63"/>
  <c r="U860" i="63" s="1"/>
  <c r="S861" i="63"/>
  <c r="U861" i="63" s="1"/>
  <c r="S862" i="63"/>
  <c r="U862" i="63" s="1"/>
  <c r="S863" i="63"/>
  <c r="U863" i="63" s="1"/>
  <c r="S864" i="63"/>
  <c r="U864" i="63" s="1"/>
  <c r="S865" i="63"/>
  <c r="U865" i="63" s="1"/>
  <c r="S866" i="63"/>
  <c r="U866" i="63" s="1"/>
  <c r="S867" i="63"/>
  <c r="U867" i="63" s="1"/>
  <c r="S868" i="63"/>
  <c r="U868" i="63" s="1"/>
  <c r="S869" i="63"/>
  <c r="U869" i="63" s="1"/>
  <c r="S870" i="63"/>
  <c r="U870" i="63" s="1"/>
  <c r="S871" i="63"/>
  <c r="U871" i="63" s="1"/>
  <c r="S872" i="63"/>
  <c r="U872" i="63" s="1"/>
  <c r="S873" i="63"/>
  <c r="U873" i="63" s="1"/>
  <c r="S874" i="63"/>
  <c r="U874" i="63" s="1"/>
  <c r="S875" i="63"/>
  <c r="U875" i="63" s="1"/>
  <c r="S876" i="63"/>
  <c r="U876" i="63" s="1"/>
  <c r="S877" i="63"/>
  <c r="U877" i="63" s="1"/>
  <c r="S878" i="63"/>
  <c r="U878" i="63" s="1"/>
  <c r="S879" i="63"/>
  <c r="U879" i="63" s="1"/>
  <c r="S880" i="63"/>
  <c r="U880" i="63" s="1"/>
  <c r="S881" i="63"/>
  <c r="U881" i="63" s="1"/>
  <c r="S882" i="63"/>
  <c r="U882" i="63" s="1"/>
  <c r="S883" i="63"/>
  <c r="U883" i="63" s="1"/>
  <c r="S884" i="63"/>
  <c r="U884" i="63" s="1"/>
  <c r="S885" i="63"/>
  <c r="U885" i="63" s="1"/>
  <c r="S886" i="63"/>
  <c r="U886" i="63" s="1"/>
  <c r="S887" i="63"/>
  <c r="U887" i="63" s="1"/>
  <c r="S888" i="63"/>
  <c r="U888" i="63" s="1"/>
  <c r="S889" i="63"/>
  <c r="U889" i="63" s="1"/>
  <c r="S832" i="63"/>
  <c r="U832" i="63" s="1"/>
  <c r="AD849" i="63"/>
  <c r="AE850" i="63"/>
  <c r="AD851" i="63"/>
  <c r="L890" i="63"/>
  <c r="X890" i="63" s="1"/>
  <c r="L891" i="63"/>
  <c r="X891" i="63" s="1"/>
  <c r="L892" i="63"/>
  <c r="X892" i="63" s="1"/>
  <c r="L893" i="63"/>
  <c r="X893" i="63" s="1"/>
  <c r="L894" i="63"/>
  <c r="X894" i="63" s="1"/>
  <c r="AC826" i="63"/>
  <c r="AC827" i="63"/>
  <c r="AC828" i="63"/>
  <c r="AC825" i="63"/>
  <c r="S826" i="63"/>
  <c r="S827" i="63"/>
  <c r="S828" i="63"/>
  <c r="S825" i="63"/>
  <c r="P826" i="63"/>
  <c r="R826" i="63" s="1"/>
  <c r="Z826" i="63" s="1"/>
  <c r="R827" i="63"/>
  <c r="Z827" i="63" s="1"/>
  <c r="P825" i="63"/>
  <c r="L14" i="63"/>
  <c r="T14" i="63" s="1"/>
  <c r="L15" i="63"/>
  <c r="L16" i="63"/>
  <c r="L17" i="63"/>
  <c r="L18" i="63"/>
  <c r="X18" i="63" s="1"/>
  <c r="L19" i="63"/>
  <c r="L20" i="63"/>
  <c r="L21" i="63"/>
  <c r="X21" i="63" s="1"/>
  <c r="L22" i="63"/>
  <c r="L23" i="63"/>
  <c r="X23" i="63" s="1"/>
  <c r="L24" i="63"/>
  <c r="L25" i="63"/>
  <c r="L26" i="63"/>
  <c r="X26" i="63" s="1"/>
  <c r="L27" i="63"/>
  <c r="L28" i="63"/>
  <c r="L29" i="63"/>
  <c r="T29" i="63" s="1"/>
  <c r="L30" i="63"/>
  <c r="L31" i="63"/>
  <c r="X31" i="63" s="1"/>
  <c r="L32" i="63"/>
  <c r="L33" i="63"/>
  <c r="X33" i="63" s="1"/>
  <c r="L34" i="63"/>
  <c r="X34" i="63" s="1"/>
  <c r="L35" i="63"/>
  <c r="L36" i="63"/>
  <c r="L37" i="63"/>
  <c r="X37" i="63" s="1"/>
  <c r="L38" i="63"/>
  <c r="L39" i="63"/>
  <c r="L40" i="63"/>
  <c r="L41" i="63"/>
  <c r="L42" i="63"/>
  <c r="L43" i="63"/>
  <c r="L44" i="63"/>
  <c r="L45" i="63"/>
  <c r="X45" i="63" s="1"/>
  <c r="L46" i="63"/>
  <c r="L47" i="63"/>
  <c r="X47" i="63" s="1"/>
  <c r="L48" i="63"/>
  <c r="L49" i="63"/>
  <c r="L50" i="63"/>
  <c r="X50" i="63" s="1"/>
  <c r="L51" i="63"/>
  <c r="L52" i="63"/>
  <c r="L53" i="63"/>
  <c r="L54" i="63"/>
  <c r="L55" i="63"/>
  <c r="X55" i="63" s="1"/>
  <c r="L56" i="63"/>
  <c r="L57" i="63"/>
  <c r="L58" i="63"/>
  <c r="L59" i="63"/>
  <c r="L60" i="63"/>
  <c r="L61" i="63"/>
  <c r="L62" i="63"/>
  <c r="L63" i="63"/>
  <c r="L64" i="63"/>
  <c r="L65" i="63"/>
  <c r="X65" i="63" s="1"/>
  <c r="L66" i="63"/>
  <c r="L67" i="63"/>
  <c r="L68" i="63"/>
  <c r="L69" i="63"/>
  <c r="L70" i="63"/>
  <c r="L71" i="63"/>
  <c r="L72" i="63"/>
  <c r="L73" i="63"/>
  <c r="L74" i="63"/>
  <c r="L75" i="63"/>
  <c r="L76" i="63"/>
  <c r="L77" i="63"/>
  <c r="L78" i="63"/>
  <c r="L79" i="63"/>
  <c r="L80" i="63"/>
  <c r="L81" i="63"/>
  <c r="L83" i="63"/>
  <c r="L84" i="63"/>
  <c r="L85" i="63"/>
  <c r="L86" i="63"/>
  <c r="L87" i="63"/>
  <c r="L88" i="63"/>
  <c r="L89" i="63"/>
  <c r="L90" i="63"/>
  <c r="L91" i="63"/>
  <c r="L92" i="63"/>
  <c r="L93" i="63"/>
  <c r="L94" i="63"/>
  <c r="L95" i="63"/>
  <c r="L96" i="63"/>
  <c r="L97" i="63"/>
  <c r="L98" i="63"/>
  <c r="L99" i="63"/>
  <c r="L100" i="63"/>
  <c r="L101" i="63"/>
  <c r="L102" i="63"/>
  <c r="L103" i="63"/>
  <c r="L104" i="63"/>
  <c r="L105" i="63"/>
  <c r="L106" i="63"/>
  <c r="L107" i="63"/>
  <c r="L108" i="63"/>
  <c r="L109" i="63"/>
  <c r="L110" i="63"/>
  <c r="L111" i="63"/>
  <c r="L112" i="63"/>
  <c r="L113" i="63"/>
  <c r="L114" i="63"/>
  <c r="L115" i="63"/>
  <c r="L116" i="63"/>
  <c r="L117" i="63"/>
  <c r="L118" i="63"/>
  <c r="L119" i="63"/>
  <c r="L120" i="63"/>
  <c r="L121" i="63"/>
  <c r="L122" i="63"/>
  <c r="L123" i="63"/>
  <c r="L124" i="63"/>
  <c r="L125" i="63"/>
  <c r="L126" i="63"/>
  <c r="L127" i="63"/>
  <c r="L128" i="63"/>
  <c r="L129" i="63"/>
  <c r="L130" i="63"/>
  <c r="L131" i="63"/>
  <c r="L132" i="63"/>
  <c r="L133" i="63"/>
  <c r="L134" i="63"/>
  <c r="L135" i="63"/>
  <c r="L136" i="63"/>
  <c r="L137" i="63"/>
  <c r="L138" i="63"/>
  <c r="L139" i="63"/>
  <c r="L140" i="63"/>
  <c r="L141" i="63"/>
  <c r="L142" i="63"/>
  <c r="L143" i="63"/>
  <c r="L144" i="63"/>
  <c r="L145" i="63"/>
  <c r="L146" i="63"/>
  <c r="L147" i="63"/>
  <c r="L148" i="63"/>
  <c r="L149" i="63"/>
  <c r="L150" i="63"/>
  <c r="L151" i="63"/>
  <c r="L152" i="63"/>
  <c r="L153" i="63"/>
  <c r="L154" i="63"/>
  <c r="L155" i="63"/>
  <c r="L156" i="63"/>
  <c r="L157" i="63"/>
  <c r="L158" i="63"/>
  <c r="X158" i="63" s="1"/>
  <c r="L159" i="63"/>
  <c r="L160" i="63"/>
  <c r="L161" i="63"/>
  <c r="X161" i="63" s="1"/>
  <c r="L162" i="63"/>
  <c r="X162" i="63" s="1"/>
  <c r="L163" i="63"/>
  <c r="L164" i="63"/>
  <c r="X164" i="63" s="1"/>
  <c r="L165" i="63"/>
  <c r="L166" i="63"/>
  <c r="L167" i="63"/>
  <c r="L168" i="63"/>
  <c r="L169" i="63"/>
  <c r="X169" i="63" s="1"/>
  <c r="L170" i="63"/>
  <c r="L171" i="63"/>
  <c r="L172" i="63"/>
  <c r="L173" i="63"/>
  <c r="L174" i="63"/>
  <c r="X174" i="63" s="1"/>
  <c r="L175" i="63"/>
  <c r="L176" i="63"/>
  <c r="L177" i="63"/>
  <c r="L178" i="63"/>
  <c r="X178" i="63" s="1"/>
  <c r="L179" i="63"/>
  <c r="X179" i="63" s="1"/>
  <c r="L180" i="63"/>
  <c r="L181" i="63"/>
  <c r="L182" i="63"/>
  <c r="X182" i="63" s="1"/>
  <c r="L183" i="63"/>
  <c r="L184" i="63"/>
  <c r="L185" i="63"/>
  <c r="L186" i="63"/>
  <c r="L187" i="63"/>
  <c r="X187" i="63" s="1"/>
  <c r="L188" i="63"/>
  <c r="L189" i="63"/>
  <c r="L190" i="63"/>
  <c r="X190" i="63" s="1"/>
  <c r="L191" i="63"/>
  <c r="L192" i="63"/>
  <c r="X192" i="63" s="1"/>
  <c r="L193" i="63"/>
  <c r="L194" i="63"/>
  <c r="L195" i="63"/>
  <c r="L196" i="63"/>
  <c r="L197" i="63"/>
  <c r="L198" i="63"/>
  <c r="L199" i="63"/>
  <c r="L200" i="63"/>
  <c r="L201" i="63"/>
  <c r="L202" i="63"/>
  <c r="L203" i="63"/>
  <c r="L204" i="63"/>
  <c r="L205" i="63"/>
  <c r="L206" i="63"/>
  <c r="X206" i="63" s="1"/>
  <c r="L207" i="63"/>
  <c r="L208" i="63"/>
  <c r="L209" i="63"/>
  <c r="L210" i="63"/>
  <c r="X210" i="63" s="1"/>
  <c r="L211" i="63"/>
  <c r="L212" i="63"/>
  <c r="L213" i="63"/>
  <c r="L214" i="63"/>
  <c r="X214" i="63" s="1"/>
  <c r="L215" i="63"/>
  <c r="L216" i="63"/>
  <c r="L217" i="63"/>
  <c r="L218" i="63"/>
  <c r="X218" i="63" s="1"/>
  <c r="L219" i="63"/>
  <c r="X219" i="63" s="1"/>
  <c r="L220" i="63"/>
  <c r="X220" i="63" s="1"/>
  <c r="L221" i="63"/>
  <c r="L222" i="63"/>
  <c r="L223" i="63"/>
  <c r="L224" i="63"/>
  <c r="L225" i="63"/>
  <c r="L226" i="63"/>
  <c r="L227" i="63"/>
  <c r="L228" i="63"/>
  <c r="L229" i="63"/>
  <c r="L230" i="63"/>
  <c r="L231" i="63"/>
  <c r="L232" i="63"/>
  <c r="L233" i="63"/>
  <c r="L234" i="63"/>
  <c r="L235" i="63"/>
  <c r="L236" i="63"/>
  <c r="L237" i="63"/>
  <c r="L238" i="63"/>
  <c r="L239" i="63"/>
  <c r="L240" i="63"/>
  <c r="X240" i="63" s="1"/>
  <c r="L241" i="63"/>
  <c r="L242" i="63"/>
  <c r="X242" i="63" s="1"/>
  <c r="L243" i="63"/>
  <c r="X243" i="63" s="1"/>
  <c r="L244" i="63"/>
  <c r="L245" i="63"/>
  <c r="L246" i="63"/>
  <c r="X246" i="63" s="1"/>
  <c r="L247" i="63"/>
  <c r="L248" i="63"/>
  <c r="L249" i="63"/>
  <c r="L250" i="63"/>
  <c r="L251" i="63"/>
  <c r="L252" i="63"/>
  <c r="L253" i="63"/>
  <c r="L254" i="63"/>
  <c r="L255" i="63"/>
  <c r="L256" i="63"/>
  <c r="L257" i="63"/>
  <c r="L258" i="63"/>
  <c r="X258" i="63" s="1"/>
  <c r="L259" i="63"/>
  <c r="X259" i="63" s="1"/>
  <c r="L260" i="63"/>
  <c r="L261" i="63"/>
  <c r="L262" i="63"/>
  <c r="X262" i="63" s="1"/>
  <c r="L263" i="63"/>
  <c r="L274" i="63"/>
  <c r="L275" i="63"/>
  <c r="L276" i="63"/>
  <c r="X276" i="63" s="1"/>
  <c r="L277" i="63"/>
  <c r="X277" i="63" s="1"/>
  <c r="L278" i="63"/>
  <c r="L279" i="63"/>
  <c r="L280" i="63"/>
  <c r="X280" i="63" s="1"/>
  <c r="L281" i="63"/>
  <c r="L282" i="63"/>
  <c r="X282" i="63" s="1"/>
  <c r="L283" i="63"/>
  <c r="L284" i="63"/>
  <c r="L285" i="63"/>
  <c r="L286" i="63"/>
  <c r="L287" i="63"/>
  <c r="L288" i="63"/>
  <c r="X288" i="63" s="1"/>
  <c r="L289" i="63"/>
  <c r="L290" i="63"/>
  <c r="X290" i="63" s="1"/>
  <c r="L291" i="63"/>
  <c r="L292" i="63"/>
  <c r="L293" i="63"/>
  <c r="L294" i="63"/>
  <c r="L295" i="63"/>
  <c r="L296" i="63"/>
  <c r="X296" i="63" s="1"/>
  <c r="L297" i="63"/>
  <c r="L298" i="63"/>
  <c r="X298" i="63" s="1"/>
  <c r="L299" i="63"/>
  <c r="L300" i="63"/>
  <c r="L301" i="63"/>
  <c r="L302" i="63"/>
  <c r="L303" i="63"/>
  <c r="L304" i="63"/>
  <c r="L305" i="63"/>
  <c r="L306" i="63"/>
  <c r="L307" i="63"/>
  <c r="L308" i="63"/>
  <c r="L309" i="63"/>
  <c r="L310" i="63"/>
  <c r="L311" i="63"/>
  <c r="L312" i="63"/>
  <c r="L313" i="63"/>
  <c r="L314" i="63"/>
  <c r="X314" i="63" s="1"/>
  <c r="L315" i="63"/>
  <c r="L316" i="63"/>
  <c r="L317" i="63"/>
  <c r="L318" i="63"/>
  <c r="T318" i="63" s="1"/>
  <c r="L319" i="63"/>
  <c r="L320" i="63"/>
  <c r="L321" i="63"/>
  <c r="L322" i="63"/>
  <c r="L323" i="63"/>
  <c r="L324" i="63"/>
  <c r="L325" i="63"/>
  <c r="L326" i="63"/>
  <c r="L327" i="63"/>
  <c r="L328" i="63"/>
  <c r="L329" i="63"/>
  <c r="L330" i="63"/>
  <c r="L331" i="63"/>
  <c r="L332" i="63"/>
  <c r="L333" i="63"/>
  <c r="L334" i="63"/>
  <c r="L335" i="63"/>
  <c r="L336" i="63"/>
  <c r="L337" i="63"/>
  <c r="L338" i="63"/>
  <c r="L339" i="63"/>
  <c r="L340" i="63"/>
  <c r="L341" i="63"/>
  <c r="L342" i="63"/>
  <c r="L343" i="63"/>
  <c r="L344" i="63"/>
  <c r="L345" i="63"/>
  <c r="L346" i="63"/>
  <c r="L347" i="63"/>
  <c r="L348" i="63"/>
  <c r="L349" i="63"/>
  <c r="L350" i="63"/>
  <c r="L351" i="63"/>
  <c r="L352" i="63"/>
  <c r="L353" i="63"/>
  <c r="L354" i="63"/>
  <c r="L355" i="63"/>
  <c r="L356" i="63"/>
  <c r="L357" i="63"/>
  <c r="L358" i="63"/>
  <c r="L359" i="63"/>
  <c r="L360" i="63"/>
  <c r="L361" i="63"/>
  <c r="L362" i="63"/>
  <c r="L363" i="63"/>
  <c r="L364" i="63"/>
  <c r="L365" i="63"/>
  <c r="L366" i="63"/>
  <c r="L367" i="63"/>
  <c r="L368" i="63"/>
  <c r="L369" i="63"/>
  <c r="L370" i="63"/>
  <c r="L371" i="63"/>
  <c r="L372" i="63"/>
  <c r="L373" i="63"/>
  <c r="L374" i="63"/>
  <c r="L375" i="63"/>
  <c r="L376" i="63"/>
  <c r="L377" i="63"/>
  <c r="L378" i="63"/>
  <c r="L379" i="63"/>
  <c r="L380" i="63"/>
  <c r="L381" i="63"/>
  <c r="L382" i="63"/>
  <c r="L383" i="63"/>
  <c r="L384" i="63"/>
  <c r="L385" i="63"/>
  <c r="L386" i="63"/>
  <c r="L387" i="63"/>
  <c r="L388" i="63"/>
  <c r="L389" i="63"/>
  <c r="L390" i="63"/>
  <c r="L391" i="63"/>
  <c r="L392" i="63"/>
  <c r="L393" i="63"/>
  <c r="L394" i="63"/>
  <c r="L395" i="63"/>
  <c r="L396" i="63"/>
  <c r="L397" i="63"/>
  <c r="L398" i="63"/>
  <c r="L399" i="63"/>
  <c r="L400" i="63"/>
  <c r="L401" i="63"/>
  <c r="L402" i="63"/>
  <c r="L403" i="63"/>
  <c r="L404" i="63"/>
  <c r="L405" i="63"/>
  <c r="L406" i="63"/>
  <c r="L407" i="63"/>
  <c r="L408" i="63"/>
  <c r="L409" i="63"/>
  <c r="L410" i="63"/>
  <c r="L411" i="63"/>
  <c r="L412" i="63"/>
  <c r="L456" i="63"/>
  <c r="L457" i="63"/>
  <c r="L458" i="63"/>
  <c r="L459" i="63"/>
  <c r="L460" i="63"/>
  <c r="L461" i="63"/>
  <c r="L462" i="63"/>
  <c r="L463" i="63"/>
  <c r="L464" i="63"/>
  <c r="L465" i="63"/>
  <c r="L466" i="63"/>
  <c r="L467" i="63"/>
  <c r="L468" i="63"/>
  <c r="L469" i="63"/>
  <c r="L470" i="63"/>
  <c r="L471" i="63"/>
  <c r="L472" i="63"/>
  <c r="L473" i="63"/>
  <c r="L474" i="63"/>
  <c r="X474" i="63" s="1"/>
  <c r="L475" i="63"/>
  <c r="L476" i="63"/>
  <c r="L477" i="63"/>
  <c r="L478" i="63"/>
  <c r="L479" i="63"/>
  <c r="L480" i="63"/>
  <c r="L481" i="63"/>
  <c r="X481" i="63" s="1"/>
  <c r="L482" i="63"/>
  <c r="L483" i="63"/>
  <c r="L484" i="63"/>
  <c r="L485" i="63"/>
  <c r="L486" i="63"/>
  <c r="L487" i="63"/>
  <c r="L488" i="63"/>
  <c r="L489" i="63"/>
  <c r="L490" i="63"/>
  <c r="L491" i="63"/>
  <c r="L492" i="63"/>
  <c r="L493" i="63"/>
  <c r="L494" i="63"/>
  <c r="L495" i="63"/>
  <c r="L496" i="63"/>
  <c r="L497" i="63"/>
  <c r="L498" i="63"/>
  <c r="L499" i="63"/>
  <c r="L500" i="63"/>
  <c r="L501" i="63"/>
  <c r="L502" i="63"/>
  <c r="L503" i="63"/>
  <c r="L504" i="63"/>
  <c r="L505" i="63"/>
  <c r="L506" i="63"/>
  <c r="L507" i="63"/>
  <c r="L508" i="63"/>
  <c r="L509" i="63"/>
  <c r="X509" i="63" s="1"/>
  <c r="L510" i="63"/>
  <c r="L511" i="63"/>
  <c r="L512" i="63"/>
  <c r="L513" i="63"/>
  <c r="L514" i="63"/>
  <c r="L515" i="63"/>
  <c r="L516" i="63"/>
  <c r="L517" i="63"/>
  <c r="X517" i="63" s="1"/>
  <c r="L518" i="63"/>
  <c r="L519" i="63"/>
  <c r="L520" i="63"/>
  <c r="L521" i="63"/>
  <c r="L522" i="63"/>
  <c r="L523" i="63"/>
  <c r="X523" i="63" s="1"/>
  <c r="L524" i="63"/>
  <c r="L525" i="63"/>
  <c r="L526" i="63"/>
  <c r="L527" i="63"/>
  <c r="L528" i="63"/>
  <c r="L529" i="63"/>
  <c r="L530" i="63"/>
  <c r="L531" i="63"/>
  <c r="L532" i="63"/>
  <c r="L533" i="63"/>
  <c r="L534" i="63"/>
  <c r="L535" i="63"/>
  <c r="L536" i="63"/>
  <c r="L537" i="63"/>
  <c r="L538" i="63"/>
  <c r="L539" i="63"/>
  <c r="L540" i="63"/>
  <c r="L541" i="63"/>
  <c r="L542" i="63"/>
  <c r="L543" i="63"/>
  <c r="L544" i="63"/>
  <c r="L545" i="63"/>
  <c r="L546" i="63"/>
  <c r="L547" i="63"/>
  <c r="L548" i="63"/>
  <c r="L549" i="63"/>
  <c r="L550" i="63"/>
  <c r="L551" i="63"/>
  <c r="L552" i="63"/>
  <c r="L553" i="63"/>
  <c r="L554" i="63"/>
  <c r="L555" i="63"/>
  <c r="L556" i="63"/>
  <c r="L557" i="63"/>
  <c r="L558" i="63"/>
  <c r="L559" i="63"/>
  <c r="L560" i="63"/>
  <c r="L561" i="63"/>
  <c r="L562" i="63"/>
  <c r="L563" i="63"/>
  <c r="L564" i="63"/>
  <c r="L565" i="63"/>
  <c r="L566" i="63"/>
  <c r="L567" i="63"/>
  <c r="L568" i="63"/>
  <c r="L569" i="63"/>
  <c r="L570" i="63"/>
  <c r="T570" i="63" s="1"/>
  <c r="L571" i="63"/>
  <c r="L572" i="63"/>
  <c r="L573" i="63"/>
  <c r="L574" i="63"/>
  <c r="L575" i="63"/>
  <c r="L576" i="63"/>
  <c r="L577" i="63"/>
  <c r="L578" i="63"/>
  <c r="L579" i="63"/>
  <c r="X579" i="63" s="1"/>
  <c r="L580" i="63"/>
  <c r="L581" i="63"/>
  <c r="X581" i="63" s="1"/>
  <c r="L582" i="63"/>
  <c r="L583" i="63"/>
  <c r="L584" i="63"/>
  <c r="L585" i="63"/>
  <c r="L586" i="63"/>
  <c r="L587" i="63"/>
  <c r="X587" i="63" s="1"/>
  <c r="L588" i="63"/>
  <c r="L589" i="63"/>
  <c r="X589" i="63" s="1"/>
  <c r="L590" i="63"/>
  <c r="L591" i="63"/>
  <c r="L592" i="63"/>
  <c r="L593" i="63"/>
  <c r="L594" i="63"/>
  <c r="L595" i="63"/>
  <c r="L596" i="63"/>
  <c r="L597" i="63"/>
  <c r="X597" i="63" s="1"/>
  <c r="L598" i="63"/>
  <c r="L599" i="63"/>
  <c r="L600" i="63"/>
  <c r="L601" i="63"/>
  <c r="L602" i="63"/>
  <c r="L603" i="63"/>
  <c r="X603" i="63" s="1"/>
  <c r="L604" i="63"/>
  <c r="L605" i="63"/>
  <c r="X605" i="63" s="1"/>
  <c r="L606" i="63"/>
  <c r="L607" i="63"/>
  <c r="L608" i="63"/>
  <c r="L609" i="63"/>
  <c r="L610" i="63"/>
  <c r="L611" i="63"/>
  <c r="T611" i="63" s="1"/>
  <c r="L612" i="63"/>
  <c r="T612" i="63" s="1"/>
  <c r="L613" i="63"/>
  <c r="T613" i="63" s="1"/>
  <c r="L614" i="63"/>
  <c r="T614" i="63" s="1"/>
  <c r="L615" i="63"/>
  <c r="T615" i="63" s="1"/>
  <c r="L616" i="63"/>
  <c r="T616" i="63" s="1"/>
  <c r="L617" i="63"/>
  <c r="T617" i="63" s="1"/>
  <c r="L618" i="63"/>
  <c r="L619" i="63"/>
  <c r="L620" i="63"/>
  <c r="L621" i="63"/>
  <c r="L622" i="63"/>
  <c r="L623" i="63"/>
  <c r="L624" i="63"/>
  <c r="L625" i="63"/>
  <c r="L626" i="63"/>
  <c r="L627" i="63"/>
  <c r="L628" i="63"/>
  <c r="L629" i="63"/>
  <c r="L630" i="63"/>
  <c r="L631" i="63"/>
  <c r="L632" i="63"/>
  <c r="T632" i="63" s="1"/>
  <c r="L633" i="63"/>
  <c r="T633" i="63" s="1"/>
  <c r="L634" i="63"/>
  <c r="T634" i="63" s="1"/>
  <c r="L635" i="63"/>
  <c r="T635" i="63" s="1"/>
  <c r="L636" i="63"/>
  <c r="T636" i="63" s="1"/>
  <c r="L637" i="63"/>
  <c r="T637" i="63" s="1"/>
  <c r="L638" i="63"/>
  <c r="T638" i="63" s="1"/>
  <c r="L639" i="63"/>
  <c r="T639" i="63" s="1"/>
  <c r="L640" i="63"/>
  <c r="L641" i="63"/>
  <c r="L642" i="63"/>
  <c r="L643" i="63"/>
  <c r="L644" i="63"/>
  <c r="L645" i="63"/>
  <c r="L646" i="63"/>
  <c r="L647" i="63"/>
  <c r="L648" i="63"/>
  <c r="L649" i="63"/>
  <c r="L650" i="63"/>
  <c r="L651" i="63"/>
  <c r="L652" i="63"/>
  <c r="L653" i="63"/>
  <c r="L654" i="63"/>
  <c r="L655" i="63"/>
  <c r="L656" i="63"/>
  <c r="L657" i="63"/>
  <c r="L658" i="63"/>
  <c r="L659" i="63"/>
  <c r="L660" i="63"/>
  <c r="L661" i="63"/>
  <c r="L662" i="63"/>
  <c r="L663" i="63"/>
  <c r="L664" i="63"/>
  <c r="L665" i="63"/>
  <c r="L666" i="63"/>
  <c r="L667" i="63"/>
  <c r="L668" i="63"/>
  <c r="L669" i="63"/>
  <c r="L670" i="63"/>
  <c r="L671" i="63"/>
  <c r="L672" i="63"/>
  <c r="L673" i="63"/>
  <c r="L674" i="63"/>
  <c r="L675" i="63"/>
  <c r="L676" i="63"/>
  <c r="L677" i="63"/>
  <c r="L678" i="63"/>
  <c r="L679" i="63"/>
  <c r="L680" i="63"/>
  <c r="L681" i="63"/>
  <c r="L682" i="63"/>
  <c r="L683" i="63"/>
  <c r="X683" i="63" s="1"/>
  <c r="L684" i="63"/>
  <c r="L685" i="63"/>
  <c r="X685" i="63" s="1"/>
  <c r="L686" i="63"/>
  <c r="L687" i="63"/>
  <c r="L688" i="63"/>
  <c r="L689" i="63"/>
  <c r="L690" i="63"/>
  <c r="L691" i="63"/>
  <c r="X691" i="63" s="1"/>
  <c r="L692" i="63"/>
  <c r="L693" i="63"/>
  <c r="X693" i="63" s="1"/>
  <c r="L694" i="63"/>
  <c r="L695" i="63"/>
  <c r="L696" i="63"/>
  <c r="L697" i="63"/>
  <c r="L698" i="63"/>
  <c r="L699" i="63"/>
  <c r="X699" i="63" s="1"/>
  <c r="L700" i="63"/>
  <c r="L701" i="63"/>
  <c r="X701" i="63" s="1"/>
  <c r="L702" i="63"/>
  <c r="L703" i="63"/>
  <c r="L704" i="63"/>
  <c r="L705" i="63"/>
  <c r="L706" i="63"/>
  <c r="L707" i="63"/>
  <c r="L708" i="63"/>
  <c r="L709" i="63"/>
  <c r="L710" i="63"/>
  <c r="L711" i="63"/>
  <c r="L712" i="63"/>
  <c r="L713" i="63"/>
  <c r="L714" i="63"/>
  <c r="L715" i="63"/>
  <c r="L716" i="63"/>
  <c r="L717" i="63"/>
  <c r="L718" i="63"/>
  <c r="L719" i="63"/>
  <c r="L720" i="63"/>
  <c r="L721" i="63"/>
  <c r="L722" i="63"/>
  <c r="L723" i="63"/>
  <c r="L724" i="63"/>
  <c r="L725" i="63"/>
  <c r="L726" i="63"/>
  <c r="L727" i="63"/>
  <c r="L728" i="63"/>
  <c r="L771" i="63"/>
  <c r="L772" i="63"/>
  <c r="L773" i="63"/>
  <c r="X773" i="63" s="1"/>
  <c r="L774" i="63"/>
  <c r="L775" i="63"/>
  <c r="L776" i="63"/>
  <c r="L777" i="63"/>
  <c r="L778" i="63"/>
  <c r="L779" i="63"/>
  <c r="O13" i="63"/>
  <c r="N13" i="63"/>
  <c r="L13" i="63"/>
  <c r="P10" i="63"/>
  <c r="O974" i="63" s="1"/>
  <c r="D2" i="58"/>
  <c r="D1" i="83"/>
  <c r="O7" i="83"/>
  <c r="I7" i="83"/>
  <c r="G26" i="83"/>
  <c r="O26" i="83"/>
  <c r="O21" i="83"/>
  <c r="M26" i="83"/>
  <c r="M21" i="83"/>
  <c r="K26" i="83"/>
  <c r="I26" i="83"/>
  <c r="AO57" i="2"/>
  <c r="Y55" i="66" s="1"/>
  <c r="T172" i="66"/>
  <c r="AT172" i="66" s="1"/>
  <c r="T173" i="66"/>
  <c r="AT173" i="66" s="1"/>
  <c r="T174" i="66"/>
  <c r="AT174" i="66" s="1"/>
  <c r="T175" i="66"/>
  <c r="AT175" i="66" s="1"/>
  <c r="T176" i="66"/>
  <c r="AT176" i="66" s="1"/>
  <c r="T177" i="66"/>
  <c r="AT177" i="66" s="1"/>
  <c r="T178" i="66"/>
  <c r="AT178" i="66" s="1"/>
  <c r="T179" i="66"/>
  <c r="AT179" i="66" s="1"/>
  <c r="T180" i="66"/>
  <c r="AT180" i="66" s="1"/>
  <c r="T171" i="66"/>
  <c r="AT171" i="66" s="1"/>
  <c r="G141" i="81"/>
  <c r="I141" i="81" s="1"/>
  <c r="G140" i="81"/>
  <c r="I140" i="81" s="1"/>
  <c r="J140" i="81" s="1"/>
  <c r="G139" i="81"/>
  <c r="I139" i="81" s="1"/>
  <c r="J139" i="81" s="1"/>
  <c r="K139" i="81" s="1"/>
  <c r="G138" i="81"/>
  <c r="I138" i="81" s="1"/>
  <c r="J138" i="81" s="1"/>
  <c r="G137" i="81"/>
  <c r="I137" i="81" s="1"/>
  <c r="J137" i="81" s="1"/>
  <c r="K137" i="81" s="1"/>
  <c r="N137" i="81" s="1"/>
  <c r="G136" i="81"/>
  <c r="I136" i="81" s="1"/>
  <c r="G135" i="81"/>
  <c r="I135" i="81" s="1"/>
  <c r="J135" i="81" s="1"/>
  <c r="G134" i="81"/>
  <c r="I134" i="81" s="1"/>
  <c r="J134" i="81" s="1"/>
  <c r="G133" i="81"/>
  <c r="I133" i="81" s="1"/>
  <c r="J133" i="81" s="1"/>
  <c r="K133" i="81" s="1"/>
  <c r="I170" i="66"/>
  <c r="AI26" i="83"/>
  <c r="AG26" i="83"/>
  <c r="AE26" i="83"/>
  <c r="AC26" i="83"/>
  <c r="AA26" i="83"/>
  <c r="Y26" i="83"/>
  <c r="W26" i="83"/>
  <c r="U26" i="83"/>
  <c r="S26" i="83"/>
  <c r="Q26" i="83"/>
  <c r="D26" i="83"/>
  <c r="AO56" i="2"/>
  <c r="Y54" i="66" s="1"/>
  <c r="AO55" i="2"/>
  <c r="Y53" i="66" s="1"/>
  <c r="AO54" i="2"/>
  <c r="Y52" i="66" s="1"/>
  <c r="AO53" i="2"/>
  <c r="Y51" i="66" s="1"/>
  <c r="Y50" i="66"/>
  <c r="Y49" i="66"/>
  <c r="Y48" i="66"/>
  <c r="AO40" i="2"/>
  <c r="Y47" i="66" s="1"/>
  <c r="AO39" i="2"/>
  <c r="Y46" i="66" s="1"/>
  <c r="AO38" i="2"/>
  <c r="Y45" i="66" s="1"/>
  <c r="AO37" i="2"/>
  <c r="Y44" i="66" s="1"/>
  <c r="AO36" i="2"/>
  <c r="Y43" i="66" s="1"/>
  <c r="AO35" i="2"/>
  <c r="Y42" i="66" s="1"/>
  <c r="AO34" i="2"/>
  <c r="Y41" i="66" s="1"/>
  <c r="AO29" i="2"/>
  <c r="Y40" i="66" s="1"/>
  <c r="AO28" i="2"/>
  <c r="Y39" i="66" s="1"/>
  <c r="AO27" i="2"/>
  <c r="Y38" i="66" s="1"/>
  <c r="Y37" i="66"/>
  <c r="AO15" i="2"/>
  <c r="Y31" i="66" s="1"/>
  <c r="AO14" i="2"/>
  <c r="Y30" i="66" s="1"/>
  <c r="AO13" i="2"/>
  <c r="Y29" i="66" s="1"/>
  <c r="AO12" i="2"/>
  <c r="Y28" i="66" s="1"/>
  <c r="AO11" i="2"/>
  <c r="Y27" i="66" s="1"/>
  <c r="AO10" i="2"/>
  <c r="Y26" i="66" s="1"/>
  <c r="AO9" i="2"/>
  <c r="Y25" i="66" s="1"/>
  <c r="AO8" i="2"/>
  <c r="Y24" i="66" s="1"/>
  <c r="AO7" i="2"/>
  <c r="Y23" i="66" s="1"/>
  <c r="AN7" i="2"/>
  <c r="AN8" i="2"/>
  <c r="AN9" i="2"/>
  <c r="AN10" i="2"/>
  <c r="AN11" i="2"/>
  <c r="AN12" i="2"/>
  <c r="AN13" i="2"/>
  <c r="AN14" i="2"/>
  <c r="AN15" i="2"/>
  <c r="AI6" i="83"/>
  <c r="AG6" i="83"/>
  <c r="AE6" i="83"/>
  <c r="AC6" i="83"/>
  <c r="AA6" i="83"/>
  <c r="Y6" i="83"/>
  <c r="W6" i="83"/>
  <c r="U6" i="83"/>
  <c r="S6" i="83"/>
  <c r="Q6" i="83"/>
  <c r="Y193" i="66" s="1"/>
  <c r="O179" i="71"/>
  <c r="O180" i="71"/>
  <c r="O181" i="71"/>
  <c r="O182" i="71"/>
  <c r="O183" i="71"/>
  <c r="O184" i="71"/>
  <c r="O185" i="71"/>
  <c r="O186" i="71"/>
  <c r="O178" i="71"/>
  <c r="O169" i="71"/>
  <c r="O170" i="71"/>
  <c r="O171" i="71"/>
  <c r="O172" i="71"/>
  <c r="O173" i="71"/>
  <c r="O174" i="71"/>
  <c r="O175" i="71"/>
  <c r="O176" i="71"/>
  <c r="O168" i="71"/>
  <c r="O159" i="71"/>
  <c r="O160" i="71"/>
  <c r="O161" i="71"/>
  <c r="O162" i="71"/>
  <c r="O163" i="71"/>
  <c r="O164" i="71"/>
  <c r="O165" i="71"/>
  <c r="O166" i="71"/>
  <c r="O158" i="71"/>
  <c r="M154" i="61"/>
  <c r="M152" i="61"/>
  <c r="M150" i="61"/>
  <c r="M148" i="61"/>
  <c r="M146" i="61"/>
  <c r="M144" i="61"/>
  <c r="M142" i="61"/>
  <c r="M130" i="61"/>
  <c r="M128" i="61"/>
  <c r="M126" i="61"/>
  <c r="M124" i="61"/>
  <c r="M122" i="61"/>
  <c r="M120" i="61"/>
  <c r="M118" i="61"/>
  <c r="M116" i="61"/>
  <c r="N252" i="60"/>
  <c r="N253" i="60"/>
  <c r="N254" i="60"/>
  <c r="N255" i="60"/>
  <c r="N256" i="60"/>
  <c r="N257" i="60"/>
  <c r="N251" i="60"/>
  <c r="N244" i="60"/>
  <c r="N245" i="60"/>
  <c r="N246" i="60"/>
  <c r="N247" i="60"/>
  <c r="N248" i="60"/>
  <c r="N249" i="60"/>
  <c r="N243" i="60"/>
  <c r="N236" i="60"/>
  <c r="N237" i="60"/>
  <c r="N238" i="60"/>
  <c r="N239" i="60"/>
  <c r="N240" i="60"/>
  <c r="N241" i="60"/>
  <c r="N235" i="60"/>
  <c r="N262" i="60"/>
  <c r="T596" i="27"/>
  <c r="T278" i="82" s="1"/>
  <c r="T597" i="27"/>
  <c r="T279" i="82" s="1"/>
  <c r="T598" i="27"/>
  <c r="T280" i="82" s="1"/>
  <c r="T599" i="27"/>
  <c r="T281" i="82" s="1"/>
  <c r="T600" i="27"/>
  <c r="T282" i="82" s="1"/>
  <c r="T601" i="27"/>
  <c r="T283" i="82" s="1"/>
  <c r="T602" i="27"/>
  <c r="T284" i="82" s="1"/>
  <c r="T603" i="27"/>
  <c r="T285" i="82" s="1"/>
  <c r="T604" i="27"/>
  <c r="T286" i="82" s="1"/>
  <c r="T605" i="27"/>
  <c r="T287" i="82" s="1"/>
  <c r="T606" i="27"/>
  <c r="T288" i="82" s="1"/>
  <c r="T635" i="27"/>
  <c r="T289" i="82" s="1"/>
  <c r="T636" i="27"/>
  <c r="T290" i="82" s="1"/>
  <c r="T637" i="27"/>
  <c r="T291" i="82" s="1"/>
  <c r="T638" i="27"/>
  <c r="T292" i="82" s="1"/>
  <c r="T639" i="27"/>
  <c r="T293" i="82" s="1"/>
  <c r="T640" i="27"/>
  <c r="T294" i="82" s="1"/>
  <c r="T641" i="27"/>
  <c r="T295" i="82" s="1"/>
  <c r="T642" i="27"/>
  <c r="T296" i="82" s="1"/>
  <c r="T643" i="27"/>
  <c r="T297" i="82" s="1"/>
  <c r="T644" i="27"/>
  <c r="T298" i="82" s="1"/>
  <c r="T670" i="27"/>
  <c r="T299" i="82" s="1"/>
  <c r="T671" i="27"/>
  <c r="T300" i="82" s="1"/>
  <c r="T672" i="27"/>
  <c r="T301" i="82" s="1"/>
  <c r="T673" i="27"/>
  <c r="T302" i="82" s="1"/>
  <c r="T674" i="27"/>
  <c r="T303" i="82" s="1"/>
  <c r="T694" i="27"/>
  <c r="T304" i="82" s="1"/>
  <c r="T595" i="27"/>
  <c r="T277" i="82" s="1"/>
  <c r="T565" i="27"/>
  <c r="T247" i="82" s="1"/>
  <c r="T566" i="27"/>
  <c r="T248" i="82" s="1"/>
  <c r="T567" i="27"/>
  <c r="T249" i="82" s="1"/>
  <c r="T568" i="27"/>
  <c r="T250" i="82" s="1"/>
  <c r="T569" i="27"/>
  <c r="T251" i="82" s="1"/>
  <c r="T570" i="27"/>
  <c r="T252" i="82" s="1"/>
  <c r="T571" i="27"/>
  <c r="T253" i="82" s="1"/>
  <c r="T572" i="27"/>
  <c r="T254" i="82" s="1"/>
  <c r="T573" i="27"/>
  <c r="T255" i="82" s="1"/>
  <c r="T574" i="27"/>
  <c r="T256" i="82" s="1"/>
  <c r="T575" i="27"/>
  <c r="T257" i="82" s="1"/>
  <c r="T576" i="27"/>
  <c r="T258" i="82" s="1"/>
  <c r="T577" i="27"/>
  <c r="T259" i="82" s="1"/>
  <c r="T578" i="27"/>
  <c r="T260" i="82" s="1"/>
  <c r="T579" i="27"/>
  <c r="T261" i="82" s="1"/>
  <c r="T580" i="27"/>
  <c r="T262" i="82" s="1"/>
  <c r="T581" i="27"/>
  <c r="T263" i="82" s="1"/>
  <c r="T582" i="27"/>
  <c r="T264" i="82" s="1"/>
  <c r="T583" i="27"/>
  <c r="T265" i="82" s="1"/>
  <c r="T584" i="27"/>
  <c r="T266" i="82" s="1"/>
  <c r="T585" i="27"/>
  <c r="T267" i="82" s="1"/>
  <c r="T586" i="27"/>
  <c r="T268" i="82" s="1"/>
  <c r="T587" i="27"/>
  <c r="T269" i="82" s="1"/>
  <c r="T564" i="27"/>
  <c r="T246" i="82" s="1"/>
  <c r="T497" i="27"/>
  <c r="T189" i="82" s="1"/>
  <c r="T498" i="27"/>
  <c r="T190" i="82" s="1"/>
  <c r="T499" i="27"/>
  <c r="T191" i="82" s="1"/>
  <c r="T500" i="27"/>
  <c r="T192" i="82" s="1"/>
  <c r="T501" i="27"/>
  <c r="T193" i="82" s="1"/>
  <c r="T502" i="27"/>
  <c r="T194" i="82" s="1"/>
  <c r="T503" i="27"/>
  <c r="T195" i="82" s="1"/>
  <c r="T504" i="27"/>
  <c r="T196" i="82" s="1"/>
  <c r="T505" i="27"/>
  <c r="T197" i="82" s="1"/>
  <c r="T516" i="27"/>
  <c r="T198" i="82" s="1"/>
  <c r="T517" i="27"/>
  <c r="T199" i="82" s="1"/>
  <c r="T518" i="27"/>
  <c r="T200" i="82" s="1"/>
  <c r="T519" i="27"/>
  <c r="T201" i="82" s="1"/>
  <c r="T520" i="27"/>
  <c r="T202" i="82" s="1"/>
  <c r="T521" i="27"/>
  <c r="T203" i="82" s="1"/>
  <c r="T522" i="27"/>
  <c r="T204" i="82" s="1"/>
  <c r="T523" i="27"/>
  <c r="T205" i="82" s="1"/>
  <c r="T524" i="27"/>
  <c r="T206" i="82" s="1"/>
  <c r="T525" i="27"/>
  <c r="T207" i="82" s="1"/>
  <c r="T526" i="27"/>
  <c r="T208" i="82" s="1"/>
  <c r="T527" i="27"/>
  <c r="T209" i="82" s="1"/>
  <c r="T528" i="27"/>
  <c r="T210" i="82" s="1"/>
  <c r="T529" i="27"/>
  <c r="T211" i="82" s="1"/>
  <c r="T530" i="27"/>
  <c r="T212" i="82" s="1"/>
  <c r="T531" i="27"/>
  <c r="T213" i="82" s="1"/>
  <c r="T532" i="27"/>
  <c r="T214" i="82" s="1"/>
  <c r="T533" i="27"/>
  <c r="T215" i="82" s="1"/>
  <c r="T534" i="27"/>
  <c r="T216" i="82" s="1"/>
  <c r="T535" i="27"/>
  <c r="T217" i="82" s="1"/>
  <c r="T536" i="27"/>
  <c r="T218" i="82" s="1"/>
  <c r="T537" i="27"/>
  <c r="T219" i="82" s="1"/>
  <c r="T538" i="27"/>
  <c r="T220" i="82" s="1"/>
  <c r="T539" i="27"/>
  <c r="T221" i="82" s="1"/>
  <c r="T540" i="27"/>
  <c r="T222" i="82" s="1"/>
  <c r="T541" i="27"/>
  <c r="T223" i="82" s="1"/>
  <c r="T542" i="27"/>
  <c r="T224" i="82" s="1"/>
  <c r="T543" i="27"/>
  <c r="T225" i="82" s="1"/>
  <c r="T544" i="27"/>
  <c r="T226" i="82" s="1"/>
  <c r="T545" i="27"/>
  <c r="T227" i="82" s="1"/>
  <c r="T546" i="27"/>
  <c r="T228" i="82" s="1"/>
  <c r="T547" i="27"/>
  <c r="T229" i="82" s="1"/>
  <c r="T548" i="27"/>
  <c r="T230" i="82" s="1"/>
  <c r="T549" i="27"/>
  <c r="T231" i="82" s="1"/>
  <c r="T550" i="27"/>
  <c r="T232" i="82" s="1"/>
  <c r="T551" i="27"/>
  <c r="T233" i="82" s="1"/>
  <c r="T552" i="27"/>
  <c r="T234" i="82" s="1"/>
  <c r="T553" i="27"/>
  <c r="T235" i="82" s="1"/>
  <c r="T554" i="27"/>
  <c r="T236" i="82" s="1"/>
  <c r="T555" i="27"/>
  <c r="T237" i="82" s="1"/>
  <c r="T556" i="27"/>
  <c r="T238" i="82" s="1"/>
  <c r="T557" i="27"/>
  <c r="T239" i="82" s="1"/>
  <c r="T558" i="27"/>
  <c r="T240" i="82" s="1"/>
  <c r="T559" i="27"/>
  <c r="T241" i="82" s="1"/>
  <c r="T560" i="27"/>
  <c r="T242" i="82" s="1"/>
  <c r="T561" i="27"/>
  <c r="T243" i="82" s="1"/>
  <c r="T496" i="27"/>
  <c r="T188" i="82" s="1"/>
  <c r="T472" i="27"/>
  <c r="T174" i="82" s="1"/>
  <c r="T473" i="27"/>
  <c r="T175" i="82" s="1"/>
  <c r="T474" i="27"/>
  <c r="T176" i="82" s="1"/>
  <c r="T475" i="27"/>
  <c r="T177" i="82" s="1"/>
  <c r="T486" i="27"/>
  <c r="T178" i="82" s="1"/>
  <c r="T487" i="27"/>
  <c r="T179" i="82" s="1"/>
  <c r="T488" i="27"/>
  <c r="T180" i="82" s="1"/>
  <c r="T489" i="27"/>
  <c r="T181" i="82" s="1"/>
  <c r="T490" i="27"/>
  <c r="T182" i="82" s="1"/>
  <c r="T491" i="27"/>
  <c r="T183" i="82" s="1"/>
  <c r="T471" i="27"/>
  <c r="T173" i="82" s="1"/>
  <c r="T261" i="27"/>
  <c r="T137" i="82" s="1"/>
  <c r="T262" i="27"/>
  <c r="T138" i="82" s="1"/>
  <c r="T263" i="27"/>
  <c r="T139" i="82" s="1"/>
  <c r="T264" i="27"/>
  <c r="T140" i="82" s="1"/>
  <c r="T265" i="27"/>
  <c r="T141" i="82" s="1"/>
  <c r="T266" i="27"/>
  <c r="T142" i="82" s="1"/>
  <c r="T267" i="27"/>
  <c r="T143" i="82" s="1"/>
  <c r="T268" i="27"/>
  <c r="T144" i="82" s="1"/>
  <c r="T269" i="27"/>
  <c r="T145" i="82" s="1"/>
  <c r="T278" i="27"/>
  <c r="T146" i="82" s="1"/>
  <c r="T279" i="27"/>
  <c r="T147" i="82" s="1"/>
  <c r="T280" i="27"/>
  <c r="T148" i="82" s="1"/>
  <c r="T281" i="27"/>
  <c r="T149" i="82" s="1"/>
  <c r="T282" i="27"/>
  <c r="T150" i="82" s="1"/>
  <c r="T283" i="27"/>
  <c r="T151" i="82" s="1"/>
  <c r="T284" i="27"/>
  <c r="T152" i="82" s="1"/>
  <c r="T285" i="27"/>
  <c r="T153" i="82" s="1"/>
  <c r="T286" i="27"/>
  <c r="T154" i="82" s="1"/>
  <c r="T155" i="82"/>
  <c r="T156" i="82"/>
  <c r="T157" i="82"/>
  <c r="T158" i="82"/>
  <c r="T159" i="82"/>
  <c r="T160" i="82"/>
  <c r="T161" i="82"/>
  <c r="T162" i="82"/>
  <c r="T163" i="82"/>
  <c r="T164" i="82"/>
  <c r="T165" i="82"/>
  <c r="T464" i="27"/>
  <c r="T166" i="82" s="1"/>
  <c r="T465" i="27"/>
  <c r="T167" i="82" s="1"/>
  <c r="T466" i="27"/>
  <c r="T168" i="82" s="1"/>
  <c r="T467" i="27"/>
  <c r="T169" i="82" s="1"/>
  <c r="T468" i="27"/>
  <c r="T170" i="82" s="1"/>
  <c r="T260" i="27"/>
  <c r="T136" i="82" s="1"/>
  <c r="T243" i="27"/>
  <c r="T119" i="82" s="1"/>
  <c r="T244" i="27"/>
  <c r="T120" i="82" s="1"/>
  <c r="T245" i="27"/>
  <c r="T121" i="82" s="1"/>
  <c r="T246" i="27"/>
  <c r="T122" i="82" s="1"/>
  <c r="T247" i="27"/>
  <c r="T123" i="82" s="1"/>
  <c r="T248" i="27"/>
  <c r="T124" i="82" s="1"/>
  <c r="T249" i="27"/>
  <c r="T125" i="82" s="1"/>
  <c r="T250" i="27"/>
  <c r="T126" i="82" s="1"/>
  <c r="T251" i="27"/>
  <c r="T127" i="82" s="1"/>
  <c r="T252" i="27"/>
  <c r="T128" i="82" s="1"/>
  <c r="T253" i="27"/>
  <c r="T129" i="82" s="1"/>
  <c r="T254" i="27"/>
  <c r="T130" i="82" s="1"/>
  <c r="T255" i="27"/>
  <c r="T131" i="82" s="1"/>
  <c r="T256" i="27"/>
  <c r="T132" i="82" s="1"/>
  <c r="T257" i="27"/>
  <c r="T133" i="82" s="1"/>
  <c r="T79" i="27"/>
  <c r="T74" i="82" s="1"/>
  <c r="T80" i="27"/>
  <c r="T75" i="82" s="1"/>
  <c r="T81" i="27"/>
  <c r="T76" i="82" s="1"/>
  <c r="T82" i="27"/>
  <c r="T77" i="82" s="1"/>
  <c r="T78" i="82"/>
  <c r="T79" i="82"/>
  <c r="T80" i="82"/>
  <c r="T81" i="82"/>
  <c r="T82" i="82"/>
  <c r="T108" i="27"/>
  <c r="T83" i="82" s="1"/>
  <c r="T109" i="27"/>
  <c r="T84" i="82" s="1"/>
  <c r="T110" i="27"/>
  <c r="T85" i="82" s="1"/>
  <c r="T111" i="27"/>
  <c r="T86" i="82" s="1"/>
  <c r="T112" i="27"/>
  <c r="T87" i="82" s="1"/>
  <c r="T123" i="27"/>
  <c r="T88" i="82" s="1"/>
  <c r="T124" i="27"/>
  <c r="T89" i="82" s="1"/>
  <c r="T125" i="27"/>
  <c r="T90" i="82" s="1"/>
  <c r="T126" i="27"/>
  <c r="T91" i="82" s="1"/>
  <c r="T127" i="27"/>
  <c r="T92" i="82" s="1"/>
  <c r="T138" i="27"/>
  <c r="T93" i="82" s="1"/>
  <c r="T139" i="27"/>
  <c r="T94" i="82" s="1"/>
  <c r="T140" i="27"/>
  <c r="T95" i="82" s="1"/>
  <c r="T141" i="27"/>
  <c r="T96" i="82" s="1"/>
  <c r="T142" i="27"/>
  <c r="T97" i="82" s="1"/>
  <c r="T188" i="27"/>
  <c r="T98" i="82" s="1"/>
  <c r="T189" i="27"/>
  <c r="T99" i="82" s="1"/>
  <c r="T190" i="27"/>
  <c r="T100" i="82" s="1"/>
  <c r="T191" i="27"/>
  <c r="T101" i="82" s="1"/>
  <c r="T192" i="27"/>
  <c r="T102" i="82" s="1"/>
  <c r="T47" i="27"/>
  <c r="T42" i="82" s="1"/>
  <c r="T48" i="27"/>
  <c r="T43" i="82" s="1"/>
  <c r="T49" i="27"/>
  <c r="T44" i="82" s="1"/>
  <c r="T50" i="27"/>
  <c r="T45" i="82" s="1"/>
  <c r="T51" i="27"/>
  <c r="T46" i="82" s="1"/>
  <c r="T52" i="27"/>
  <c r="T47" i="82" s="1"/>
  <c r="T53" i="27"/>
  <c r="T48" i="82" s="1"/>
  <c r="T54" i="27"/>
  <c r="T49" i="82" s="1"/>
  <c r="T55" i="27"/>
  <c r="T50" i="82" s="1"/>
  <c r="T56" i="27"/>
  <c r="T51" i="82" s="1"/>
  <c r="T57" i="27"/>
  <c r="T52" i="82" s="1"/>
  <c r="T58" i="27"/>
  <c r="T53" i="82" s="1"/>
  <c r="T59" i="27"/>
  <c r="T54" i="82" s="1"/>
  <c r="T60" i="27"/>
  <c r="T55" i="82" s="1"/>
  <c r="T61" i="27"/>
  <c r="T56" i="82" s="1"/>
  <c r="T62" i="27"/>
  <c r="T57" i="82" s="1"/>
  <c r="T63" i="27"/>
  <c r="T58" i="82" s="1"/>
  <c r="T64" i="27"/>
  <c r="T59" i="82" s="1"/>
  <c r="T65" i="27"/>
  <c r="T60" i="82" s="1"/>
  <c r="T66" i="27"/>
  <c r="T61" i="82" s="1"/>
  <c r="T67" i="27"/>
  <c r="T62" i="82" s="1"/>
  <c r="T68" i="27"/>
  <c r="T63" i="82" s="1"/>
  <c r="T69" i="27"/>
  <c r="T64" i="82" s="1"/>
  <c r="T70" i="27"/>
  <c r="T65" i="82" s="1"/>
  <c r="T71" i="27"/>
  <c r="T66" i="82" s="1"/>
  <c r="T72" i="27"/>
  <c r="T67" i="82" s="1"/>
  <c r="T73" i="27"/>
  <c r="T68" i="82" s="1"/>
  <c r="T74" i="27"/>
  <c r="T69" i="82" s="1"/>
  <c r="T75" i="27"/>
  <c r="T70" i="82" s="1"/>
  <c r="T46" i="27"/>
  <c r="T41" i="82" s="1"/>
  <c r="T22" i="27"/>
  <c r="T22" i="82" s="1"/>
  <c r="T23" i="27"/>
  <c r="T23" i="82" s="1"/>
  <c r="T24" i="27"/>
  <c r="T24" i="82" s="1"/>
  <c r="T25" i="27"/>
  <c r="T25" i="82" s="1"/>
  <c r="T26" i="27"/>
  <c r="T26" i="82" s="1"/>
  <c r="T27" i="27"/>
  <c r="T27" i="82" s="1"/>
  <c r="T28" i="27"/>
  <c r="T28" i="82" s="1"/>
  <c r="T29" i="27"/>
  <c r="T29" i="82" s="1"/>
  <c r="T30" i="27"/>
  <c r="T30" i="82" s="1"/>
  <c r="T31" i="27"/>
  <c r="T31" i="82" s="1"/>
  <c r="T32" i="27"/>
  <c r="T32" i="82" s="1"/>
  <c r="T33" i="27"/>
  <c r="T33" i="82" s="1"/>
  <c r="T39" i="27"/>
  <c r="T34" i="82" s="1"/>
  <c r="T40" i="27"/>
  <c r="T35" i="82" s="1"/>
  <c r="T41" i="27"/>
  <c r="T36" i="82" s="1"/>
  <c r="T42" i="27"/>
  <c r="T37" i="82" s="1"/>
  <c r="T43" i="27"/>
  <c r="T38" i="82" s="1"/>
  <c r="T9" i="27"/>
  <c r="P167" i="4"/>
  <c r="P166" i="4"/>
  <c r="P150" i="4"/>
  <c r="P151" i="4" s="1"/>
  <c r="P148" i="4"/>
  <c r="P149" i="4" s="1"/>
  <c r="P146" i="4"/>
  <c r="P147" i="4" s="1"/>
  <c r="P144" i="4"/>
  <c r="P145" i="4" s="1"/>
  <c r="P142" i="4"/>
  <c r="P143" i="4" s="1"/>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109" i="4"/>
  <c r="P108" i="4"/>
  <c r="P107" i="4"/>
  <c r="P106" i="4"/>
  <c r="P105" i="4"/>
  <c r="P104" i="4"/>
  <c r="P103" i="4"/>
  <c r="P102" i="4"/>
  <c r="P101" i="4"/>
  <c r="P100" i="4"/>
  <c r="P98" i="4"/>
  <c r="P97" i="4"/>
  <c r="P96" i="4"/>
  <c r="P95" i="4"/>
  <c r="P94" i="4"/>
  <c r="P93" i="4"/>
  <c r="P92" i="4"/>
  <c r="P91" i="4"/>
  <c r="P90" i="4"/>
  <c r="P89" i="4"/>
  <c r="P85" i="4"/>
  <c r="P82" i="4"/>
  <c r="P79" i="4"/>
  <c r="P76" i="4"/>
  <c r="P73" i="4"/>
  <c r="P70" i="4"/>
  <c r="P66" i="4"/>
  <c r="P63" i="4"/>
  <c r="P60" i="4"/>
  <c r="P57" i="4"/>
  <c r="P54" i="4"/>
  <c r="P51" i="4"/>
  <c r="P48" i="4"/>
  <c r="P45" i="4"/>
  <c r="P42" i="4"/>
  <c r="P39" i="4"/>
  <c r="P36" i="4"/>
  <c r="P33" i="4"/>
  <c r="P30" i="4"/>
  <c r="P27" i="4"/>
  <c r="P24" i="4"/>
  <c r="P21" i="4"/>
  <c r="P18" i="4"/>
  <c r="P15" i="4"/>
  <c r="P12" i="4"/>
  <c r="P9" i="4"/>
  <c r="R3" i="51"/>
  <c r="G24" i="7"/>
  <c r="G25" i="7"/>
  <c r="K7" i="39"/>
  <c r="K8" i="39"/>
  <c r="K9" i="39"/>
  <c r="K10" i="39"/>
  <c r="K11" i="39"/>
  <c r="K12" i="39"/>
  <c r="K13" i="39"/>
  <c r="K14" i="39"/>
  <c r="K15" i="39"/>
  <c r="K16" i="39"/>
  <c r="K17" i="39"/>
  <c r="K18" i="39"/>
  <c r="K19" i="39"/>
  <c r="K20" i="39"/>
  <c r="J7" i="39"/>
  <c r="J8" i="39"/>
  <c r="J9" i="39"/>
  <c r="J10" i="39"/>
  <c r="J11" i="39"/>
  <c r="J12" i="39"/>
  <c r="J13" i="39"/>
  <c r="J14" i="39"/>
  <c r="J15" i="39"/>
  <c r="J16" i="39"/>
  <c r="J17" i="39"/>
  <c r="J18" i="39"/>
  <c r="J19" i="39"/>
  <c r="J20" i="39"/>
  <c r="J566" i="27"/>
  <c r="J248" i="82" s="1"/>
  <c r="J567" i="27"/>
  <c r="J249" i="82" s="1"/>
  <c r="J568" i="27"/>
  <c r="J250" i="82" s="1"/>
  <c r="J569" i="27"/>
  <c r="J251" i="82" s="1"/>
  <c r="J570" i="27"/>
  <c r="J252" i="82" s="1"/>
  <c r="J571" i="27"/>
  <c r="J253" i="82" s="1"/>
  <c r="J572" i="27"/>
  <c r="J254" i="82" s="1"/>
  <c r="J573" i="27"/>
  <c r="J255" i="82" s="1"/>
  <c r="J574" i="27"/>
  <c r="J256" i="82" s="1"/>
  <c r="J575" i="27"/>
  <c r="J257" i="82" s="1"/>
  <c r="J576" i="27"/>
  <c r="J258" i="82" s="1"/>
  <c r="J577" i="27"/>
  <c r="J259" i="82" s="1"/>
  <c r="J578" i="27"/>
  <c r="J260" i="82" s="1"/>
  <c r="J579" i="27"/>
  <c r="J261" i="82" s="1"/>
  <c r="J580" i="27"/>
  <c r="J262" i="82" s="1"/>
  <c r="J581" i="27"/>
  <c r="J263" i="82" s="1"/>
  <c r="J582" i="27"/>
  <c r="J264" i="82" s="1"/>
  <c r="J583" i="27"/>
  <c r="J265" i="82" s="1"/>
  <c r="J584" i="27"/>
  <c r="J266" i="82" s="1"/>
  <c r="J585" i="27"/>
  <c r="J267" i="82" s="1"/>
  <c r="J586" i="27"/>
  <c r="J268" i="82" s="1"/>
  <c r="J587" i="27"/>
  <c r="J269" i="82" s="1"/>
  <c r="J565" i="27"/>
  <c r="J247" i="82" s="1"/>
  <c r="J564" i="27"/>
  <c r="J246" i="82" s="1"/>
  <c r="J498" i="27"/>
  <c r="J190" i="82" s="1"/>
  <c r="J499" i="27"/>
  <c r="J191" i="82" s="1"/>
  <c r="J500" i="27"/>
  <c r="J192" i="82" s="1"/>
  <c r="J501" i="27"/>
  <c r="J193" i="82" s="1"/>
  <c r="J502" i="27"/>
  <c r="J194" i="82" s="1"/>
  <c r="J503" i="27"/>
  <c r="J195" i="82" s="1"/>
  <c r="J504" i="27"/>
  <c r="J196" i="82" s="1"/>
  <c r="J505" i="27"/>
  <c r="J197" i="82" s="1"/>
  <c r="J516" i="27"/>
  <c r="J198" i="82" s="1"/>
  <c r="J517" i="27"/>
  <c r="J199" i="82" s="1"/>
  <c r="J518" i="27"/>
  <c r="J200" i="82" s="1"/>
  <c r="J519" i="27"/>
  <c r="J201" i="82" s="1"/>
  <c r="J520" i="27"/>
  <c r="J202" i="82" s="1"/>
  <c r="J521" i="27"/>
  <c r="J203" i="82" s="1"/>
  <c r="J522" i="27"/>
  <c r="J204" i="82" s="1"/>
  <c r="J523" i="27"/>
  <c r="J205" i="82" s="1"/>
  <c r="J524" i="27"/>
  <c r="J206" i="82" s="1"/>
  <c r="J525" i="27"/>
  <c r="J207" i="82" s="1"/>
  <c r="J526" i="27"/>
  <c r="J208" i="82" s="1"/>
  <c r="J527" i="27"/>
  <c r="J209" i="82" s="1"/>
  <c r="J528" i="27"/>
  <c r="J210" i="82" s="1"/>
  <c r="J529" i="27"/>
  <c r="J211" i="82" s="1"/>
  <c r="J530" i="27"/>
  <c r="J212" i="82" s="1"/>
  <c r="J531" i="27"/>
  <c r="J213" i="82" s="1"/>
  <c r="J532" i="27"/>
  <c r="J214" i="82" s="1"/>
  <c r="J533" i="27"/>
  <c r="J215" i="82" s="1"/>
  <c r="J534" i="27"/>
  <c r="J216" i="82" s="1"/>
  <c r="J535" i="27"/>
  <c r="J217" i="82" s="1"/>
  <c r="J536" i="27"/>
  <c r="J218" i="82" s="1"/>
  <c r="J537" i="27"/>
  <c r="J219" i="82" s="1"/>
  <c r="J538" i="27"/>
  <c r="J220" i="82" s="1"/>
  <c r="J539" i="27"/>
  <c r="J221" i="82" s="1"/>
  <c r="J540" i="27"/>
  <c r="J222" i="82" s="1"/>
  <c r="J541" i="27"/>
  <c r="J223" i="82" s="1"/>
  <c r="J542" i="27"/>
  <c r="J224" i="82" s="1"/>
  <c r="J543" i="27"/>
  <c r="J225" i="82" s="1"/>
  <c r="J544" i="27"/>
  <c r="J226" i="82" s="1"/>
  <c r="J545" i="27"/>
  <c r="J227" i="82" s="1"/>
  <c r="J546" i="27"/>
  <c r="J228" i="82" s="1"/>
  <c r="J547" i="27"/>
  <c r="J229" i="82" s="1"/>
  <c r="J548" i="27"/>
  <c r="J230" i="82" s="1"/>
  <c r="J549" i="27"/>
  <c r="J231" i="82" s="1"/>
  <c r="J550" i="27"/>
  <c r="J232" i="82" s="1"/>
  <c r="J551" i="27"/>
  <c r="J233" i="82" s="1"/>
  <c r="J552" i="27"/>
  <c r="J234" i="82" s="1"/>
  <c r="J553" i="27"/>
  <c r="J235" i="82" s="1"/>
  <c r="J554" i="27"/>
  <c r="J236" i="82" s="1"/>
  <c r="J555" i="27"/>
  <c r="J237" i="82" s="1"/>
  <c r="J556" i="27"/>
  <c r="J238" i="82" s="1"/>
  <c r="J557" i="27"/>
  <c r="J239" i="82" s="1"/>
  <c r="J558" i="27"/>
  <c r="J240" i="82" s="1"/>
  <c r="J559" i="27"/>
  <c r="J241" i="82" s="1"/>
  <c r="J560" i="27"/>
  <c r="J242" i="82" s="1"/>
  <c r="J561" i="27"/>
  <c r="J243" i="82" s="1"/>
  <c r="J497" i="27"/>
  <c r="J189" i="82" s="1"/>
  <c r="J496" i="27"/>
  <c r="J188" i="82" s="1"/>
  <c r="J472" i="27"/>
  <c r="J473" i="27"/>
  <c r="J474" i="27"/>
  <c r="J475" i="27"/>
  <c r="J486" i="27"/>
  <c r="J487" i="27"/>
  <c r="J488" i="27"/>
  <c r="J489" i="27"/>
  <c r="J490" i="27"/>
  <c r="J491" i="27"/>
  <c r="J471" i="27"/>
  <c r="J261" i="27"/>
  <c r="J262" i="27"/>
  <c r="J263" i="27"/>
  <c r="J264" i="27"/>
  <c r="J265" i="27"/>
  <c r="J266" i="27"/>
  <c r="J267" i="27"/>
  <c r="J268" i="27"/>
  <c r="J269" i="27"/>
  <c r="J278" i="27"/>
  <c r="J279" i="27"/>
  <c r="J280" i="27"/>
  <c r="J281" i="27"/>
  <c r="J282" i="27"/>
  <c r="J283" i="27"/>
  <c r="J284" i="27"/>
  <c r="J285" i="27"/>
  <c r="J286" i="27"/>
  <c r="J464" i="27"/>
  <c r="J465" i="27"/>
  <c r="J466" i="27"/>
  <c r="J467" i="27"/>
  <c r="J468" i="27"/>
  <c r="J260" i="27"/>
  <c r="J200" i="27"/>
  <c r="J201" i="27"/>
  <c r="J202" i="27"/>
  <c r="J213" i="27"/>
  <c r="J214" i="27"/>
  <c r="J215" i="27"/>
  <c r="J216" i="27"/>
  <c r="J217" i="27"/>
  <c r="J228" i="27"/>
  <c r="J229" i="27"/>
  <c r="J230" i="27"/>
  <c r="J231" i="27"/>
  <c r="J232" i="27"/>
  <c r="J243" i="27"/>
  <c r="J244" i="27"/>
  <c r="J245" i="27"/>
  <c r="J246" i="27"/>
  <c r="J247" i="27"/>
  <c r="J248" i="27"/>
  <c r="J249" i="27"/>
  <c r="J250" i="27"/>
  <c r="J251" i="27"/>
  <c r="J252" i="27"/>
  <c r="J253" i="27"/>
  <c r="J254" i="27"/>
  <c r="J255" i="27"/>
  <c r="J256" i="27"/>
  <c r="J257" i="27"/>
  <c r="J199" i="27"/>
  <c r="J198" i="27"/>
  <c r="E85" i="4"/>
  <c r="E82" i="4"/>
  <c r="E79" i="4"/>
  <c r="E76" i="4"/>
  <c r="E73" i="4"/>
  <c r="E70" i="4"/>
  <c r="D85" i="4"/>
  <c r="D82" i="4"/>
  <c r="D79" i="4"/>
  <c r="D76" i="4"/>
  <c r="D73" i="4"/>
  <c r="D70" i="4"/>
  <c r="D66" i="4"/>
  <c r="D63" i="4"/>
  <c r="D60" i="4"/>
  <c r="D57" i="4"/>
  <c r="D54" i="4"/>
  <c r="D51" i="4"/>
  <c r="D48" i="4"/>
  <c r="D45" i="4"/>
  <c r="D42" i="4"/>
  <c r="D39" i="4"/>
  <c r="D36" i="4"/>
  <c r="D33" i="4"/>
  <c r="D30" i="4"/>
  <c r="D27" i="4"/>
  <c r="D24" i="4"/>
  <c r="D21" i="4"/>
  <c r="D18" i="4"/>
  <c r="D15" i="4"/>
  <c r="D12" i="4"/>
  <c r="D9" i="4"/>
  <c r="M819" i="63"/>
  <c r="M820" i="63"/>
  <c r="M821" i="63"/>
  <c r="M822" i="63"/>
  <c r="M818" i="63"/>
  <c r="M104" i="72"/>
  <c r="AM15" i="2"/>
  <c r="AQ15" i="2" s="1"/>
  <c r="M103" i="72" s="1"/>
  <c r="AM14" i="2"/>
  <c r="AQ14" i="2" s="1"/>
  <c r="M102" i="72" s="1"/>
  <c r="AM13" i="2"/>
  <c r="AQ13" i="2" s="1"/>
  <c r="M101" i="72" s="1"/>
  <c r="AM12" i="2"/>
  <c r="AQ12" i="2" s="1"/>
  <c r="M100" i="72" s="1"/>
  <c r="AM11" i="2"/>
  <c r="AQ11" i="2" s="1"/>
  <c r="M99" i="72" s="1"/>
  <c r="AM10" i="2"/>
  <c r="AQ10" i="2" s="1"/>
  <c r="M98" i="72" s="1"/>
  <c r="AM9" i="2"/>
  <c r="AQ9" i="2" s="1"/>
  <c r="M97" i="72" s="1"/>
  <c r="AM8" i="2"/>
  <c r="AQ8" i="2" s="1"/>
  <c r="M96" i="72" s="1"/>
  <c r="AM7" i="2"/>
  <c r="AQ7" i="2" s="1"/>
  <c r="M95" i="72" s="1"/>
  <c r="I5" i="42"/>
  <c r="K9" i="42" s="1"/>
  <c r="M9" i="42" s="1"/>
  <c r="L2" i="66"/>
  <c r="E2" i="82"/>
  <c r="E3" i="82" s="1"/>
  <c r="E4" i="82" s="1"/>
  <c r="K275" i="82"/>
  <c r="K276" i="82"/>
  <c r="K277" i="82"/>
  <c r="K278" i="82"/>
  <c r="K279" i="82"/>
  <c r="K280" i="82"/>
  <c r="K281" i="82"/>
  <c r="K282" i="82"/>
  <c r="K283" i="82"/>
  <c r="K284" i="82"/>
  <c r="K285" i="82"/>
  <c r="K286" i="82"/>
  <c r="K287" i="82"/>
  <c r="K288" i="82"/>
  <c r="K289" i="82"/>
  <c r="K290" i="82"/>
  <c r="K291" i="82"/>
  <c r="K292" i="82"/>
  <c r="K293" i="82"/>
  <c r="K294" i="82"/>
  <c r="K295" i="82"/>
  <c r="K296" i="82"/>
  <c r="K297" i="82"/>
  <c r="K298" i="82"/>
  <c r="K299" i="82"/>
  <c r="K300" i="82"/>
  <c r="K301" i="82"/>
  <c r="K302" i="82"/>
  <c r="K303" i="82"/>
  <c r="K304" i="82"/>
  <c r="K273" i="82"/>
  <c r="K274" i="82"/>
  <c r="K272" i="82"/>
  <c r="K247" i="82"/>
  <c r="K248" i="82"/>
  <c r="K249" i="82"/>
  <c r="K250" i="82"/>
  <c r="K251" i="82"/>
  <c r="K252" i="82"/>
  <c r="K253" i="82"/>
  <c r="K254" i="82"/>
  <c r="K255" i="82"/>
  <c r="K256" i="82"/>
  <c r="K257" i="82"/>
  <c r="K258" i="82"/>
  <c r="K259" i="82"/>
  <c r="K260" i="82"/>
  <c r="K261" i="82"/>
  <c r="K262" i="82"/>
  <c r="K263" i="82"/>
  <c r="K264" i="82"/>
  <c r="K265" i="82"/>
  <c r="K266" i="82"/>
  <c r="K267" i="82"/>
  <c r="K268" i="82"/>
  <c r="K269" i="82"/>
  <c r="K246" i="82"/>
  <c r="C248" i="82"/>
  <c r="C251" i="82"/>
  <c r="C252" i="82"/>
  <c r="C253" i="82"/>
  <c r="C256" i="82"/>
  <c r="C257" i="82"/>
  <c r="C258" i="82"/>
  <c r="C259" i="82"/>
  <c r="C260" i="82"/>
  <c r="C261" i="82"/>
  <c r="C262" i="82"/>
  <c r="C263" i="82"/>
  <c r="C264" i="82"/>
  <c r="C265" i="82"/>
  <c r="C266" i="82"/>
  <c r="C267" i="82"/>
  <c r="C268" i="82"/>
  <c r="C269" i="82"/>
  <c r="C247" i="82"/>
  <c r="C246" i="82"/>
  <c r="K196" i="82"/>
  <c r="K197" i="82"/>
  <c r="K198" i="82"/>
  <c r="K199" i="82"/>
  <c r="K200" i="82"/>
  <c r="K201" i="82"/>
  <c r="K202" i="82"/>
  <c r="K203" i="82"/>
  <c r="K204" i="82"/>
  <c r="K205" i="82"/>
  <c r="K206" i="82"/>
  <c r="K207" i="82"/>
  <c r="K208" i="82"/>
  <c r="K209" i="82"/>
  <c r="K210" i="82"/>
  <c r="K211" i="82"/>
  <c r="K212" i="82"/>
  <c r="K213" i="82"/>
  <c r="K214" i="82"/>
  <c r="K215" i="82"/>
  <c r="K216" i="82"/>
  <c r="K217" i="82"/>
  <c r="K218" i="82"/>
  <c r="K219" i="82"/>
  <c r="K220" i="82"/>
  <c r="K221" i="82"/>
  <c r="K222" i="82"/>
  <c r="K223" i="82"/>
  <c r="K224" i="82"/>
  <c r="K225" i="82"/>
  <c r="K226" i="82"/>
  <c r="K227" i="82"/>
  <c r="K228" i="82"/>
  <c r="K229" i="82"/>
  <c r="K230" i="82"/>
  <c r="K231" i="82"/>
  <c r="K232" i="82"/>
  <c r="K233" i="82"/>
  <c r="K234" i="82"/>
  <c r="K235" i="82"/>
  <c r="K236" i="82"/>
  <c r="K237" i="82"/>
  <c r="K238" i="82"/>
  <c r="K239" i="82"/>
  <c r="K240" i="82"/>
  <c r="K241" i="82"/>
  <c r="K242" i="82"/>
  <c r="K243" i="82"/>
  <c r="C197" i="82"/>
  <c r="C198" i="82"/>
  <c r="C199" i="82"/>
  <c r="C200" i="82"/>
  <c r="C201" i="82"/>
  <c r="C202" i="82"/>
  <c r="C203" i="82"/>
  <c r="C204" i="82"/>
  <c r="C205" i="82"/>
  <c r="C206" i="82"/>
  <c r="C207" i="82"/>
  <c r="C208" i="82"/>
  <c r="C209" i="82"/>
  <c r="C210" i="82"/>
  <c r="C211" i="82"/>
  <c r="C212" i="82"/>
  <c r="C213" i="82"/>
  <c r="C214" i="82"/>
  <c r="C215" i="82"/>
  <c r="C216" i="82"/>
  <c r="C217" i="82"/>
  <c r="C218" i="82"/>
  <c r="C219" i="82"/>
  <c r="C220" i="82"/>
  <c r="C221" i="82"/>
  <c r="C222" i="82"/>
  <c r="C223" i="82"/>
  <c r="C224" i="82"/>
  <c r="C225" i="82"/>
  <c r="C226" i="82"/>
  <c r="C227" i="82"/>
  <c r="C228" i="82"/>
  <c r="C229" i="82"/>
  <c r="C230" i="82"/>
  <c r="C231" i="82"/>
  <c r="C232" i="82"/>
  <c r="C233" i="82"/>
  <c r="C234" i="82"/>
  <c r="C235" i="82"/>
  <c r="C236" i="82"/>
  <c r="C237" i="82"/>
  <c r="C238" i="82"/>
  <c r="C239" i="82"/>
  <c r="C240" i="82"/>
  <c r="C241" i="82"/>
  <c r="C242" i="82"/>
  <c r="C243" i="82"/>
  <c r="C191" i="82"/>
  <c r="K191" i="82"/>
  <c r="C192" i="82"/>
  <c r="K192" i="82"/>
  <c r="C193" i="82"/>
  <c r="K193" i="82"/>
  <c r="C194" i="82"/>
  <c r="K194" i="82"/>
  <c r="C195" i="82"/>
  <c r="K195" i="82"/>
  <c r="C196" i="82"/>
  <c r="C189" i="82"/>
  <c r="K189" i="82"/>
  <c r="C190" i="82"/>
  <c r="K190" i="82"/>
  <c r="K188" i="82"/>
  <c r="C188" i="82"/>
  <c r="C175" i="82"/>
  <c r="K175" i="82"/>
  <c r="C176" i="82"/>
  <c r="K176" i="82"/>
  <c r="C177" i="82"/>
  <c r="K177" i="82"/>
  <c r="C178" i="82"/>
  <c r="K178" i="82"/>
  <c r="C179" i="82"/>
  <c r="K179" i="82"/>
  <c r="C180" i="82"/>
  <c r="K180" i="82"/>
  <c r="C181" i="82"/>
  <c r="K181" i="82"/>
  <c r="C182" i="82"/>
  <c r="K182" i="82"/>
  <c r="C183" i="82"/>
  <c r="K183" i="82"/>
  <c r="C174" i="82"/>
  <c r="K174" i="82"/>
  <c r="K173" i="82"/>
  <c r="C173" i="82"/>
  <c r="K106" i="82"/>
  <c r="K107" i="82"/>
  <c r="K108" i="82"/>
  <c r="K109" i="82"/>
  <c r="K110" i="82"/>
  <c r="K111" i="82"/>
  <c r="K112" i="82"/>
  <c r="K113" i="82"/>
  <c r="K114" i="82"/>
  <c r="K115" i="82"/>
  <c r="K116" i="82"/>
  <c r="K117" i="82"/>
  <c r="K118" i="82"/>
  <c r="K119" i="82"/>
  <c r="K120" i="82"/>
  <c r="K121" i="82"/>
  <c r="K122" i="82"/>
  <c r="K123" i="82"/>
  <c r="K124" i="82"/>
  <c r="K125" i="82"/>
  <c r="K126" i="82"/>
  <c r="K127" i="82"/>
  <c r="K128" i="82"/>
  <c r="K129" i="82"/>
  <c r="K130" i="82"/>
  <c r="K131" i="82"/>
  <c r="K132" i="82"/>
  <c r="K133" i="82"/>
  <c r="K105" i="82"/>
  <c r="K104" i="82"/>
  <c r="K75" i="82"/>
  <c r="K76" i="82"/>
  <c r="K77" i="82"/>
  <c r="K78" i="82"/>
  <c r="K79" i="82"/>
  <c r="K80" i="82"/>
  <c r="K81" i="82"/>
  <c r="K82" i="82"/>
  <c r="K83" i="82"/>
  <c r="K84" i="82"/>
  <c r="K85" i="82"/>
  <c r="K86" i="82"/>
  <c r="K87" i="82"/>
  <c r="K88" i="82"/>
  <c r="K89" i="82"/>
  <c r="K90" i="82"/>
  <c r="K91" i="82"/>
  <c r="K92" i="82"/>
  <c r="K93" i="82"/>
  <c r="K94" i="82"/>
  <c r="K95" i="82"/>
  <c r="K96" i="82"/>
  <c r="K97" i="82"/>
  <c r="K98" i="82"/>
  <c r="K99" i="82"/>
  <c r="K100" i="82"/>
  <c r="K101" i="82"/>
  <c r="K102" i="82"/>
  <c r="K74" i="82"/>
  <c r="K73" i="82"/>
  <c r="P309" i="82"/>
  <c r="P308" i="82"/>
  <c r="P307" i="82"/>
  <c r="P306" i="82"/>
  <c r="H186" i="82"/>
  <c r="B170" i="82"/>
  <c r="B169" i="82"/>
  <c r="B168" i="82"/>
  <c r="B167" i="82"/>
  <c r="B166" i="82"/>
  <c r="P38" i="82"/>
  <c r="P37" i="82"/>
  <c r="P36" i="82"/>
  <c r="P35" i="82"/>
  <c r="P34" i="82"/>
  <c r="P33" i="82"/>
  <c r="P32" i="82"/>
  <c r="P31" i="82"/>
  <c r="P30" i="82"/>
  <c r="P29" i="82"/>
  <c r="P28" i="82"/>
  <c r="P27" i="82"/>
  <c r="P26" i="82"/>
  <c r="P25" i="82"/>
  <c r="P24" i="82"/>
  <c r="P23" i="82"/>
  <c r="P22" i="82"/>
  <c r="P21" i="82"/>
  <c r="P20" i="82"/>
  <c r="P19" i="82"/>
  <c r="P18" i="82"/>
  <c r="P17" i="82"/>
  <c r="P16" i="82"/>
  <c r="P15" i="82"/>
  <c r="P14" i="82"/>
  <c r="P13" i="82"/>
  <c r="P12" i="82"/>
  <c r="P11" i="82"/>
  <c r="P10" i="82"/>
  <c r="P9" i="82"/>
  <c r="P8" i="82"/>
  <c r="C8" i="81"/>
  <c r="C216" i="81"/>
  <c r="C217" i="81"/>
  <c r="C219" i="81"/>
  <c r="C218" i="81"/>
  <c r="I219" i="81"/>
  <c r="I218" i="81"/>
  <c r="T591" i="27"/>
  <c r="T592" i="27"/>
  <c r="T593" i="27"/>
  <c r="T594" i="27"/>
  <c r="T590" i="27"/>
  <c r="E78" i="58"/>
  <c r="E69" i="58"/>
  <c r="E74" i="58" s="1"/>
  <c r="E60" i="58"/>
  <c r="E65" i="58" s="1"/>
  <c r="E51" i="58"/>
  <c r="E56" i="58" s="1"/>
  <c r="E42" i="58"/>
  <c r="E47" i="58" s="1"/>
  <c r="E33" i="58"/>
  <c r="E38" i="58" s="1"/>
  <c r="E24" i="58"/>
  <c r="E29" i="58" s="1"/>
  <c r="K9" i="81"/>
  <c r="K6" i="81"/>
  <c r="K8" i="81" s="1"/>
  <c r="I229" i="81"/>
  <c r="K229" i="81" s="1"/>
  <c r="I228" i="81"/>
  <c r="K228" i="81" s="1"/>
  <c r="N228" i="81" s="1"/>
  <c r="I227" i="81"/>
  <c r="K227" i="81" s="1"/>
  <c r="N227" i="81" s="1"/>
  <c r="I206" i="81"/>
  <c r="J206" i="81" s="1"/>
  <c r="K206" i="81" s="1"/>
  <c r="N206" i="81" s="1"/>
  <c r="I205" i="81"/>
  <c r="J205" i="81" s="1"/>
  <c r="K205" i="81" s="1"/>
  <c r="N205" i="81" s="1"/>
  <c r="I204" i="81"/>
  <c r="J204" i="81" s="1"/>
  <c r="K204" i="81" s="1"/>
  <c r="N204" i="81" s="1"/>
  <c r="I203" i="81"/>
  <c r="J203" i="81" s="1"/>
  <c r="K203" i="81" s="1"/>
  <c r="N203" i="81" s="1"/>
  <c r="I202" i="81"/>
  <c r="J202" i="81" s="1"/>
  <c r="K202" i="81" s="1"/>
  <c r="N202" i="81" s="1"/>
  <c r="I201" i="81"/>
  <c r="J201" i="81" s="1"/>
  <c r="K201" i="81" s="1"/>
  <c r="N201" i="81" s="1"/>
  <c r="I200" i="81"/>
  <c r="J200" i="81" s="1"/>
  <c r="K200" i="81" s="1"/>
  <c r="N200" i="81" s="1"/>
  <c r="I199" i="81"/>
  <c r="J199" i="81" s="1"/>
  <c r="K199" i="81" s="1"/>
  <c r="N199" i="81" s="1"/>
  <c r="I198" i="81"/>
  <c r="J198" i="81" s="1"/>
  <c r="K198" i="81" s="1"/>
  <c r="N198" i="81" s="1"/>
  <c r="I197" i="81"/>
  <c r="J197" i="81" s="1"/>
  <c r="K197" i="81" s="1"/>
  <c r="N197" i="81" s="1"/>
  <c r="I196" i="81"/>
  <c r="J196" i="81" s="1"/>
  <c r="K196" i="81" s="1"/>
  <c r="N196" i="81" s="1"/>
  <c r="I195" i="81"/>
  <c r="J195" i="81" s="1"/>
  <c r="K195" i="81" s="1"/>
  <c r="N195" i="81" s="1"/>
  <c r="I194" i="81"/>
  <c r="J194" i="81" s="1"/>
  <c r="K194" i="81" s="1"/>
  <c r="N194" i="81" s="1"/>
  <c r="I193" i="81"/>
  <c r="J193" i="81" s="1"/>
  <c r="K193" i="81" s="1"/>
  <c r="N193" i="81" s="1"/>
  <c r="I192" i="81"/>
  <c r="J192" i="81" s="1"/>
  <c r="K192" i="81" s="1"/>
  <c r="N192" i="81" s="1"/>
  <c r="I191" i="81"/>
  <c r="J191" i="81" s="1"/>
  <c r="K191" i="81" s="1"/>
  <c r="N191" i="81" s="1"/>
  <c r="I190" i="81"/>
  <c r="J190" i="81" s="1"/>
  <c r="K190" i="81" s="1"/>
  <c r="N190" i="81" s="1"/>
  <c r="I189" i="81"/>
  <c r="J189" i="81" s="1"/>
  <c r="K189" i="81" s="1"/>
  <c r="N189" i="81" s="1"/>
  <c r="I188" i="81"/>
  <c r="J188" i="81" s="1"/>
  <c r="K188" i="81" s="1"/>
  <c r="N188" i="81" s="1"/>
  <c r="I187" i="81"/>
  <c r="J187" i="81" s="1"/>
  <c r="K187" i="81" s="1"/>
  <c r="N187" i="81" s="1"/>
  <c r="I186" i="81"/>
  <c r="J186" i="81" s="1"/>
  <c r="K186" i="81" s="1"/>
  <c r="N186" i="81" s="1"/>
  <c r="I185" i="81"/>
  <c r="I177" i="81"/>
  <c r="K176" i="81"/>
  <c r="N176" i="81" s="1"/>
  <c r="K175" i="81"/>
  <c r="N175" i="81" s="1"/>
  <c r="K174" i="81"/>
  <c r="N174" i="81" s="1"/>
  <c r="K173" i="81"/>
  <c r="N173" i="81" s="1"/>
  <c r="K172" i="81"/>
  <c r="F168" i="81"/>
  <c r="I166" i="81"/>
  <c r="J166" i="81" s="1"/>
  <c r="K166" i="81" s="1"/>
  <c r="N166" i="81" s="1"/>
  <c r="I165" i="81"/>
  <c r="J165" i="81" s="1"/>
  <c r="K165" i="81" s="1"/>
  <c r="N165" i="81" s="1"/>
  <c r="I164" i="81"/>
  <c r="J164" i="81" s="1"/>
  <c r="K164" i="81" s="1"/>
  <c r="N164" i="81" s="1"/>
  <c r="I163" i="81"/>
  <c r="J163" i="81" s="1"/>
  <c r="K163" i="81" s="1"/>
  <c r="N163" i="81" s="1"/>
  <c r="I162" i="81"/>
  <c r="J162" i="81" s="1"/>
  <c r="K162" i="81" s="1"/>
  <c r="N162" i="81" s="1"/>
  <c r="I161" i="81"/>
  <c r="J161" i="81" s="1"/>
  <c r="K161" i="81" s="1"/>
  <c r="N161" i="81" s="1"/>
  <c r="I160" i="81"/>
  <c r="J160" i="81" s="1"/>
  <c r="K160" i="81" s="1"/>
  <c r="N160" i="81" s="1"/>
  <c r="I159" i="81"/>
  <c r="J159" i="81" s="1"/>
  <c r="K159" i="81" s="1"/>
  <c r="N159" i="81" s="1"/>
  <c r="I158" i="81"/>
  <c r="J158" i="81" s="1"/>
  <c r="K158" i="81" s="1"/>
  <c r="N158" i="81" s="1"/>
  <c r="I157" i="81"/>
  <c r="J157" i="81" s="1"/>
  <c r="K157" i="81" s="1"/>
  <c r="N157" i="81" s="1"/>
  <c r="I156" i="81"/>
  <c r="J156" i="81" s="1"/>
  <c r="K156" i="81" s="1"/>
  <c r="N156" i="81" s="1"/>
  <c r="I155" i="81"/>
  <c r="J155" i="81" s="1"/>
  <c r="K155" i="81" s="1"/>
  <c r="N155" i="81" s="1"/>
  <c r="I154" i="81"/>
  <c r="J154" i="81" s="1"/>
  <c r="K154" i="81" s="1"/>
  <c r="N154" i="81" s="1"/>
  <c r="I153" i="81"/>
  <c r="J153" i="81" s="1"/>
  <c r="K153" i="81" s="1"/>
  <c r="N153" i="81" s="1"/>
  <c r="I152" i="81"/>
  <c r="J152" i="81" s="1"/>
  <c r="K152" i="81" s="1"/>
  <c r="N152" i="81" s="1"/>
  <c r="I151" i="81"/>
  <c r="J151" i="81" s="1"/>
  <c r="K151" i="81" s="1"/>
  <c r="N151" i="81" s="1"/>
  <c r="I150" i="81"/>
  <c r="J150" i="81" s="1"/>
  <c r="K150" i="81" s="1"/>
  <c r="N150" i="81" s="1"/>
  <c r="I149" i="81"/>
  <c r="J149" i="81" s="1"/>
  <c r="K149" i="81" s="1"/>
  <c r="N149" i="81" s="1"/>
  <c r="F143" i="81"/>
  <c r="I125" i="81"/>
  <c r="J125" i="81" s="1"/>
  <c r="I124" i="81"/>
  <c r="J124" i="81" s="1"/>
  <c r="I123" i="81"/>
  <c r="J123" i="81" s="1"/>
  <c r="I122" i="81"/>
  <c r="J122" i="81" s="1"/>
  <c r="I121" i="81"/>
  <c r="J121" i="81" s="1"/>
  <c r="I120" i="81"/>
  <c r="J120" i="81" s="1"/>
  <c r="I119" i="81"/>
  <c r="J119" i="81" s="1"/>
  <c r="I118" i="81"/>
  <c r="J118" i="81" s="1"/>
  <c r="I117" i="81"/>
  <c r="J117" i="81" s="1"/>
  <c r="I116" i="81"/>
  <c r="J116" i="81" s="1"/>
  <c r="I115" i="81"/>
  <c r="J115" i="81" s="1"/>
  <c r="I114" i="81"/>
  <c r="J114" i="81" s="1"/>
  <c r="I113" i="81"/>
  <c r="J113" i="81" s="1"/>
  <c r="I112" i="81"/>
  <c r="J112" i="81" s="1"/>
  <c r="I111" i="81"/>
  <c r="J111" i="81" s="1"/>
  <c r="I110" i="81"/>
  <c r="J110" i="81" s="1"/>
  <c r="I109" i="81"/>
  <c r="J109" i="81" s="1"/>
  <c r="I108" i="81"/>
  <c r="J108" i="81" s="1"/>
  <c r="I107" i="81"/>
  <c r="J107" i="81" s="1"/>
  <c r="I106" i="81"/>
  <c r="J106" i="81" s="1"/>
  <c r="I105" i="81"/>
  <c r="J105" i="81" s="1"/>
  <c r="N104" i="81"/>
  <c r="I104" i="81"/>
  <c r="J104" i="81" s="1"/>
  <c r="K96" i="81"/>
  <c r="N96" i="81" s="1"/>
  <c r="J96" i="81"/>
  <c r="H96" i="81"/>
  <c r="K95" i="81"/>
  <c r="N95" i="81" s="1"/>
  <c r="J95" i="81"/>
  <c r="H95" i="81"/>
  <c r="K94" i="81"/>
  <c r="N94" i="81" s="1"/>
  <c r="J94" i="81"/>
  <c r="H94" i="81"/>
  <c r="K93" i="81"/>
  <c r="N93" i="81" s="1"/>
  <c r="J93" i="81"/>
  <c r="H93" i="81"/>
  <c r="K92" i="81"/>
  <c r="N92" i="81" s="1"/>
  <c r="J92" i="81"/>
  <c r="H92" i="81"/>
  <c r="K91" i="81"/>
  <c r="N91" i="81" s="1"/>
  <c r="J91" i="81"/>
  <c r="H91" i="81"/>
  <c r="K90" i="81"/>
  <c r="N90" i="81" s="1"/>
  <c r="J90" i="81"/>
  <c r="H90" i="81"/>
  <c r="K89" i="81"/>
  <c r="N89" i="81" s="1"/>
  <c r="J89" i="81"/>
  <c r="H89" i="81"/>
  <c r="K88" i="81"/>
  <c r="N88" i="81" s="1"/>
  <c r="J88" i="81"/>
  <c r="H88" i="81"/>
  <c r="K87" i="81"/>
  <c r="N87" i="81" s="1"/>
  <c r="J87" i="81"/>
  <c r="H87" i="81"/>
  <c r="K86" i="81"/>
  <c r="N86" i="81" s="1"/>
  <c r="J86" i="81"/>
  <c r="H86" i="81"/>
  <c r="K85" i="81"/>
  <c r="N85" i="81" s="1"/>
  <c r="J85" i="81"/>
  <c r="H85" i="81"/>
  <c r="K84" i="81"/>
  <c r="N84" i="81" s="1"/>
  <c r="J84" i="81"/>
  <c r="H84" i="81"/>
  <c r="K83" i="81"/>
  <c r="N83" i="81" s="1"/>
  <c r="J83" i="81"/>
  <c r="H83" i="81"/>
  <c r="K82" i="81"/>
  <c r="N82" i="81" s="1"/>
  <c r="J82" i="81"/>
  <c r="H82" i="81"/>
  <c r="K81" i="81"/>
  <c r="N81" i="81" s="1"/>
  <c r="J81" i="81"/>
  <c r="H81" i="81"/>
  <c r="K80" i="81"/>
  <c r="N80" i="81" s="1"/>
  <c r="J80" i="81"/>
  <c r="H80" i="81"/>
  <c r="K79" i="81"/>
  <c r="N79" i="81" s="1"/>
  <c r="J79" i="81"/>
  <c r="H79" i="81"/>
  <c r="K78" i="81"/>
  <c r="N78" i="81" s="1"/>
  <c r="J78" i="81"/>
  <c r="H78" i="81"/>
  <c r="K77" i="81"/>
  <c r="N77" i="81" s="1"/>
  <c r="J77" i="81"/>
  <c r="H77" i="81"/>
  <c r="K76" i="81"/>
  <c r="N76" i="81" s="1"/>
  <c r="J76" i="81"/>
  <c r="H76" i="81"/>
  <c r="K75" i="81"/>
  <c r="N75" i="81" s="1"/>
  <c r="J75" i="81"/>
  <c r="H75" i="81"/>
  <c r="K74" i="81"/>
  <c r="N74" i="81" s="1"/>
  <c r="J74" i="81"/>
  <c r="H74" i="81"/>
  <c r="K73" i="81"/>
  <c r="N73" i="81" s="1"/>
  <c r="J73" i="81"/>
  <c r="H73" i="81"/>
  <c r="K72" i="81"/>
  <c r="N72" i="81" s="1"/>
  <c r="J72" i="81"/>
  <c r="H72" i="81"/>
  <c r="K71" i="81"/>
  <c r="N71" i="81" s="1"/>
  <c r="J71" i="81"/>
  <c r="H71" i="81"/>
  <c r="K70" i="81"/>
  <c r="N70" i="81" s="1"/>
  <c r="J70" i="81"/>
  <c r="H70" i="81"/>
  <c r="K69" i="81"/>
  <c r="N69" i="81" s="1"/>
  <c r="J69" i="81"/>
  <c r="H69" i="81"/>
  <c r="K68" i="81"/>
  <c r="N68" i="81" s="1"/>
  <c r="J68" i="81"/>
  <c r="H68" i="81"/>
  <c r="K67" i="81"/>
  <c r="N67" i="81" s="1"/>
  <c r="J67" i="81"/>
  <c r="H67" i="81"/>
  <c r="K66" i="81"/>
  <c r="N66" i="81" s="1"/>
  <c r="J66" i="81"/>
  <c r="H66" i="81"/>
  <c r="K65" i="81"/>
  <c r="N65" i="81" s="1"/>
  <c r="J65" i="81"/>
  <c r="H65" i="81"/>
  <c r="F56" i="81"/>
  <c r="I55" i="81"/>
  <c r="J55" i="81" s="1"/>
  <c r="K55" i="81" s="1"/>
  <c r="N55" i="81" s="1"/>
  <c r="I54" i="81"/>
  <c r="J54" i="81" s="1"/>
  <c r="K54" i="81" s="1"/>
  <c r="N54" i="81" s="1"/>
  <c r="I53" i="81"/>
  <c r="J53" i="81" s="1"/>
  <c r="K53" i="81" s="1"/>
  <c r="N53" i="81" s="1"/>
  <c r="I52" i="81"/>
  <c r="J52" i="81" s="1"/>
  <c r="K52" i="81" s="1"/>
  <c r="N52" i="81" s="1"/>
  <c r="I51" i="81"/>
  <c r="J51" i="81" s="1"/>
  <c r="B38" i="81"/>
  <c r="B37" i="81"/>
  <c r="B33" i="81"/>
  <c r="B32" i="81"/>
  <c r="K24" i="81"/>
  <c r="K48" i="72"/>
  <c r="K53" i="72" s="1"/>
  <c r="L992" i="63"/>
  <c r="L991" i="63"/>
  <c r="L990" i="63"/>
  <c r="L130" i="43"/>
  <c r="K130" i="43"/>
  <c r="P724" i="63"/>
  <c r="P720" i="63"/>
  <c r="P716" i="63"/>
  <c r="P712" i="63"/>
  <c r="P708" i="63"/>
  <c r="P704" i="63"/>
  <c r="P698" i="63"/>
  <c r="P696" i="63"/>
  <c r="P694" i="63"/>
  <c r="P692" i="63"/>
  <c r="P690" i="63"/>
  <c r="P688" i="63"/>
  <c r="P686" i="63"/>
  <c r="P684" i="63"/>
  <c r="P682" i="63"/>
  <c r="P680" i="63"/>
  <c r="P678" i="63"/>
  <c r="P676" i="63"/>
  <c r="P674" i="63"/>
  <c r="P672" i="63"/>
  <c r="P670" i="63"/>
  <c r="P668" i="63"/>
  <c r="P666" i="63"/>
  <c r="P664" i="63"/>
  <c r="P662" i="63"/>
  <c r="P660" i="63"/>
  <c r="P658" i="63"/>
  <c r="P656" i="63"/>
  <c r="P654" i="63"/>
  <c r="P652" i="63"/>
  <c r="P650" i="63"/>
  <c r="P648" i="63"/>
  <c r="P646" i="63"/>
  <c r="P644" i="63"/>
  <c r="P642" i="63"/>
  <c r="P640" i="63"/>
  <c r="P638" i="63"/>
  <c r="P636" i="63"/>
  <c r="P634" i="63"/>
  <c r="P632" i="63"/>
  <c r="P630" i="63"/>
  <c r="P628" i="63"/>
  <c r="P626" i="63"/>
  <c r="P624" i="63"/>
  <c r="P622" i="63"/>
  <c r="P620" i="63"/>
  <c r="P618" i="63"/>
  <c r="P616" i="63"/>
  <c r="P614" i="63"/>
  <c r="P612" i="63"/>
  <c r="P610" i="63"/>
  <c r="P608" i="63"/>
  <c r="P606" i="63"/>
  <c r="P604" i="63"/>
  <c r="P602" i="63"/>
  <c r="P600" i="63"/>
  <c r="P598" i="63"/>
  <c r="P596" i="63"/>
  <c r="P594" i="63"/>
  <c r="P592" i="63"/>
  <c r="P590" i="63"/>
  <c r="P588" i="63"/>
  <c r="P586" i="63"/>
  <c r="P584" i="63"/>
  <c r="P582" i="63"/>
  <c r="P580" i="63"/>
  <c r="P578" i="63"/>
  <c r="P576" i="63"/>
  <c r="P574" i="63"/>
  <c r="P572" i="63"/>
  <c r="P570" i="63"/>
  <c r="P568" i="63"/>
  <c r="P566" i="63"/>
  <c r="P564" i="63"/>
  <c r="P562" i="63"/>
  <c r="P560" i="63"/>
  <c r="P558" i="63"/>
  <c r="P556" i="63"/>
  <c r="P554" i="63"/>
  <c r="P552" i="63"/>
  <c r="P550" i="63"/>
  <c r="P548" i="63"/>
  <c r="P546" i="63"/>
  <c r="P544" i="63"/>
  <c r="P542" i="63"/>
  <c r="P540" i="63"/>
  <c r="P538" i="63"/>
  <c r="P536" i="63"/>
  <c r="P534" i="63"/>
  <c r="P532" i="63"/>
  <c r="P530" i="63"/>
  <c r="P528" i="63"/>
  <c r="P526" i="63"/>
  <c r="P524" i="63"/>
  <c r="P522" i="63"/>
  <c r="P520" i="63"/>
  <c r="P519" i="63"/>
  <c r="P517" i="63"/>
  <c r="P515" i="63"/>
  <c r="P513" i="63"/>
  <c r="P511" i="63"/>
  <c r="P509" i="63"/>
  <c r="P507" i="63"/>
  <c r="P505" i="63"/>
  <c r="P503" i="63"/>
  <c r="P501" i="63"/>
  <c r="P499" i="63"/>
  <c r="P497" i="63"/>
  <c r="P495" i="63"/>
  <c r="P493" i="63"/>
  <c r="P491" i="63"/>
  <c r="P489" i="63"/>
  <c r="P487" i="63"/>
  <c r="P485" i="63"/>
  <c r="P483" i="63"/>
  <c r="P481" i="63"/>
  <c r="P479" i="63"/>
  <c r="P477" i="63"/>
  <c r="P476" i="63"/>
  <c r="P475" i="63"/>
  <c r="P473" i="63"/>
  <c r="P472" i="63"/>
  <c r="P471" i="63"/>
  <c r="P469" i="63"/>
  <c r="P467" i="63"/>
  <c r="P465" i="63"/>
  <c r="P463" i="63"/>
  <c r="P461" i="63"/>
  <c r="P459" i="63"/>
  <c r="P457" i="63"/>
  <c r="P412" i="63"/>
  <c r="P410" i="63"/>
  <c r="P408" i="63"/>
  <c r="P406" i="63"/>
  <c r="P404" i="63"/>
  <c r="P402" i="63"/>
  <c r="P400" i="63"/>
  <c r="P398" i="63"/>
  <c r="P396" i="63"/>
  <c r="P394" i="63"/>
  <c r="P392" i="63"/>
  <c r="P390" i="63"/>
  <c r="P388" i="63"/>
  <c r="P386" i="63"/>
  <c r="P384" i="63"/>
  <c r="P382" i="63"/>
  <c r="P380" i="63"/>
  <c r="P378" i="63"/>
  <c r="P376" i="63"/>
  <c r="P374" i="63"/>
  <c r="P372" i="63"/>
  <c r="P370" i="63"/>
  <c r="P368" i="63"/>
  <c r="P366" i="63"/>
  <c r="P364" i="63"/>
  <c r="P362" i="63"/>
  <c r="P360" i="63"/>
  <c r="P358" i="63"/>
  <c r="P356" i="63"/>
  <c r="P354" i="63"/>
  <c r="P352" i="63"/>
  <c r="P350" i="63"/>
  <c r="P348" i="63"/>
  <c r="P346" i="63"/>
  <c r="P344" i="63"/>
  <c r="P342" i="63"/>
  <c r="P340" i="63"/>
  <c r="P338" i="63"/>
  <c r="P336" i="63"/>
  <c r="P334" i="63"/>
  <c r="P332" i="63"/>
  <c r="P330" i="63"/>
  <c r="P328" i="63"/>
  <c r="P326" i="63"/>
  <c r="P324" i="63"/>
  <c r="P322" i="63"/>
  <c r="P320" i="63"/>
  <c r="P318" i="63"/>
  <c r="P316" i="63"/>
  <c r="P314" i="63"/>
  <c r="P312" i="63"/>
  <c r="P310" i="63"/>
  <c r="P308" i="63"/>
  <c r="P306" i="63"/>
  <c r="P304" i="63"/>
  <c r="P302" i="63"/>
  <c r="P300" i="63"/>
  <c r="P298" i="63"/>
  <c r="P296" i="63"/>
  <c r="P294" i="63"/>
  <c r="P292" i="63"/>
  <c r="P290" i="63"/>
  <c r="P288" i="63"/>
  <c r="Q942" i="63"/>
  <c r="Q941" i="63"/>
  <c r="Q940" i="63"/>
  <c r="Q939" i="63"/>
  <c r="Q935" i="63"/>
  <c r="Q933" i="63"/>
  <c r="Q932" i="63"/>
  <c r="Q931" i="63"/>
  <c r="Q924" i="63"/>
  <c r="Q923" i="63"/>
  <c r="Q922" i="63"/>
  <c r="Q916" i="63"/>
  <c r="Q915" i="63"/>
  <c r="Q913" i="63"/>
  <c r="P1197" i="63"/>
  <c r="P1195" i="63"/>
  <c r="P1194" i="63"/>
  <c r="P1193" i="63"/>
  <c r="P1192" i="63"/>
  <c r="P1189" i="63"/>
  <c r="P1188" i="63"/>
  <c r="P1187" i="63"/>
  <c r="P1186" i="63"/>
  <c r="P1185" i="63"/>
  <c r="P1184" i="63"/>
  <c r="P1183" i="63"/>
  <c r="P1182" i="63"/>
  <c r="P1181" i="63"/>
  <c r="P1180" i="63"/>
  <c r="P1179" i="63"/>
  <c r="P1178" i="63"/>
  <c r="P1177" i="63"/>
  <c r="P1176" i="63"/>
  <c r="P1175" i="63"/>
  <c r="P1174" i="63"/>
  <c r="P1173" i="63"/>
  <c r="P1172" i="63"/>
  <c r="P1170" i="63"/>
  <c r="P1168" i="63"/>
  <c r="P1167" i="63"/>
  <c r="P1166" i="63"/>
  <c r="P1165" i="63"/>
  <c r="P1164" i="63"/>
  <c r="P1163" i="63"/>
  <c r="P1162" i="63"/>
  <c r="P1161" i="63"/>
  <c r="P1160" i="63"/>
  <c r="P1159" i="63"/>
  <c r="P1158" i="63"/>
  <c r="P1157" i="63"/>
  <c r="P1155" i="63"/>
  <c r="P1154" i="63"/>
  <c r="P1153" i="63"/>
  <c r="P592" i="27"/>
  <c r="P274" i="82" s="1"/>
  <c r="P275" i="82"/>
  <c r="P276" i="82"/>
  <c r="P277" i="82"/>
  <c r="P278" i="82"/>
  <c r="P279" i="82"/>
  <c r="P280" i="82"/>
  <c r="P281" i="82"/>
  <c r="P282" i="82"/>
  <c r="P283" i="82"/>
  <c r="P284" i="82"/>
  <c r="P285" i="82"/>
  <c r="P286" i="82"/>
  <c r="P287" i="82"/>
  <c r="P288" i="82"/>
  <c r="P289" i="82"/>
  <c r="P290" i="82"/>
  <c r="P291" i="82"/>
  <c r="P292" i="82"/>
  <c r="P293" i="82"/>
  <c r="P294" i="82"/>
  <c r="P295" i="82"/>
  <c r="P296" i="82"/>
  <c r="P297" i="82"/>
  <c r="P644" i="27"/>
  <c r="P298" i="82" s="1"/>
  <c r="P670" i="27"/>
  <c r="P299" i="82" s="1"/>
  <c r="P671" i="27"/>
  <c r="P300" i="82" s="1"/>
  <c r="P672" i="27"/>
  <c r="P301" i="82" s="1"/>
  <c r="P673" i="27"/>
  <c r="P674" i="27"/>
  <c r="P303" i="82" s="1"/>
  <c r="P694" i="27"/>
  <c r="A185" i="71"/>
  <c r="A179" i="71"/>
  <c r="A180" i="71"/>
  <c r="A181" i="71"/>
  <c r="A182" i="71"/>
  <c r="A183" i="71"/>
  <c r="A178" i="71"/>
  <c r="A175" i="71"/>
  <c r="A169" i="71"/>
  <c r="A170" i="71"/>
  <c r="A171" i="71"/>
  <c r="A172" i="71"/>
  <c r="A173" i="71"/>
  <c r="A168" i="71"/>
  <c r="A165" i="71"/>
  <c r="A159" i="71"/>
  <c r="A160" i="71"/>
  <c r="A161" i="71"/>
  <c r="A162" i="71"/>
  <c r="A163" i="71"/>
  <c r="A158" i="71"/>
  <c r="A154" i="61"/>
  <c r="A152" i="61"/>
  <c r="A150" i="61"/>
  <c r="A148" i="61"/>
  <c r="A146" i="61"/>
  <c r="A144" i="61"/>
  <c r="A130" i="61"/>
  <c r="A128" i="61"/>
  <c r="A126" i="61"/>
  <c r="A124" i="61"/>
  <c r="A122" i="61"/>
  <c r="A120" i="61"/>
  <c r="A118" i="61"/>
  <c r="A116" i="61"/>
  <c r="A252" i="60"/>
  <c r="A253" i="60"/>
  <c r="A254" i="60"/>
  <c r="A255" i="60"/>
  <c r="A256" i="60"/>
  <c r="A257" i="60"/>
  <c r="A251" i="60"/>
  <c r="A244" i="60"/>
  <c r="A245" i="60"/>
  <c r="A246" i="60"/>
  <c r="A247" i="60"/>
  <c r="A248" i="60"/>
  <c r="A249" i="60"/>
  <c r="A243" i="60"/>
  <c r="A236" i="60"/>
  <c r="A237" i="60"/>
  <c r="A238" i="60"/>
  <c r="A239" i="60"/>
  <c r="A240" i="60"/>
  <c r="A241" i="60"/>
  <c r="A235" i="60"/>
  <c r="H148" i="64"/>
  <c r="I135" i="64"/>
  <c r="C10" i="7"/>
  <c r="G40" i="2"/>
  <c r="G39" i="2"/>
  <c r="G38" i="2"/>
  <c r="G37" i="2"/>
  <c r="G36" i="2"/>
  <c r="G35" i="2"/>
  <c r="G34" i="2"/>
  <c r="H1212" i="70"/>
  <c r="H1200" i="70"/>
  <c r="AB891" i="63"/>
  <c r="AB892" i="63"/>
  <c r="AB893" i="63"/>
  <c r="AB894" i="63"/>
  <c r="AB890" i="63"/>
  <c r="E72" i="66"/>
  <c r="E73" i="66"/>
  <c r="E74" i="66"/>
  <c r="E75" i="66"/>
  <c r="E76" i="66"/>
  <c r="E89" i="66"/>
  <c r="E90" i="66"/>
  <c r="E91" i="66"/>
  <c r="E92" i="66"/>
  <c r="B93" i="66"/>
  <c r="E93" i="66"/>
  <c r="E94" i="66"/>
  <c r="E95" i="66"/>
  <c r="E96" i="66"/>
  <c r="E97" i="66"/>
  <c r="E100" i="66"/>
  <c r="E101" i="66"/>
  <c r="D102" i="66"/>
  <c r="E102" i="66"/>
  <c r="E103" i="66"/>
  <c r="E104" i="66"/>
  <c r="B105" i="66"/>
  <c r="D105" i="66"/>
  <c r="E105" i="66"/>
  <c r="E20" i="70"/>
  <c r="E19" i="70"/>
  <c r="N1211" i="63"/>
  <c r="N1212" i="63"/>
  <c r="N1213" i="63"/>
  <c r="N1214" i="63"/>
  <c r="N1210" i="63"/>
  <c r="L1307" i="63"/>
  <c r="L1308" i="63"/>
  <c r="L1309" i="63"/>
  <c r="L1310" i="63"/>
  <c r="O991" i="63"/>
  <c r="O992" i="63"/>
  <c r="O990" i="63"/>
  <c r="L953" i="63"/>
  <c r="B99" i="66" s="1"/>
  <c r="M953" i="63"/>
  <c r="D99" i="66"/>
  <c r="E99" i="66"/>
  <c r="E98" i="66"/>
  <c r="D98" i="66"/>
  <c r="M952" i="63"/>
  <c r="L952" i="63"/>
  <c r="B98" i="66" s="1"/>
  <c r="L949" i="63"/>
  <c r="B95" i="66" s="1"/>
  <c r="M949" i="63"/>
  <c r="D95" i="66"/>
  <c r="D94" i="66"/>
  <c r="M948" i="63"/>
  <c r="L948" i="63"/>
  <c r="B94" i="66" s="1"/>
  <c r="L927" i="63"/>
  <c r="O927" i="63"/>
  <c r="D73" i="66" s="1"/>
  <c r="L928" i="63"/>
  <c r="O928" i="63"/>
  <c r="D74" i="66" s="1"/>
  <c r="L929" i="63"/>
  <c r="O929" i="63"/>
  <c r="D75" i="66" s="1"/>
  <c r="L930" i="63"/>
  <c r="O930" i="63"/>
  <c r="D76" i="66" s="1"/>
  <c r="O926" i="63"/>
  <c r="D72" i="66" s="1"/>
  <c r="L926" i="63"/>
  <c r="N891" i="63"/>
  <c r="O891" i="63"/>
  <c r="R891" i="63"/>
  <c r="S891" i="63"/>
  <c r="U891" i="63" s="1"/>
  <c r="W891" i="63"/>
  <c r="N892" i="63"/>
  <c r="O892" i="63"/>
  <c r="R892" i="63"/>
  <c r="S892" i="63"/>
  <c r="U892" i="63" s="1"/>
  <c r="W892" i="63"/>
  <c r="N893" i="63"/>
  <c r="O893" i="63"/>
  <c r="R893" i="63"/>
  <c r="S893" i="63"/>
  <c r="U893" i="63" s="1"/>
  <c r="W893" i="63"/>
  <c r="R1207" i="63"/>
  <c r="N894" i="63"/>
  <c r="O894" i="63"/>
  <c r="R894" i="63"/>
  <c r="S894" i="63"/>
  <c r="U894" i="63" s="1"/>
  <c r="W894" i="63"/>
  <c r="R1204" i="63"/>
  <c r="W890" i="63"/>
  <c r="S890" i="63"/>
  <c r="U890" i="63" s="1"/>
  <c r="O890" i="63"/>
  <c r="N890" i="63"/>
  <c r="V894" i="63"/>
  <c r="V893" i="63"/>
  <c r="V892" i="63"/>
  <c r="V891" i="63"/>
  <c r="V890" i="63"/>
  <c r="V829" i="63"/>
  <c r="R829" i="63"/>
  <c r="Z829" i="63" s="1"/>
  <c r="Q829" i="63"/>
  <c r="P829" i="63"/>
  <c r="L819" i="63"/>
  <c r="X819" i="63" s="1"/>
  <c r="N819" i="63"/>
  <c r="O819" i="63"/>
  <c r="Q819" i="63"/>
  <c r="S819" i="63"/>
  <c r="U819" i="63" s="1"/>
  <c r="W819" i="63"/>
  <c r="Y819" i="63"/>
  <c r="AA819" i="63"/>
  <c r="M1265" i="63" s="1"/>
  <c r="L67" i="91" s="1"/>
  <c r="AB819" i="63"/>
  <c r="L820" i="63"/>
  <c r="X820" i="63" s="1"/>
  <c r="N820" i="63"/>
  <c r="O820" i="63"/>
  <c r="Q820" i="63"/>
  <c r="S820" i="63"/>
  <c r="U820" i="63" s="1"/>
  <c r="W820" i="63"/>
  <c r="Y820" i="63"/>
  <c r="AA820" i="63"/>
  <c r="M1266" i="63" s="1"/>
  <c r="L68" i="91" s="1"/>
  <c r="AB820" i="63"/>
  <c r="L821" i="63"/>
  <c r="N821" i="63"/>
  <c r="O821" i="63"/>
  <c r="Q821" i="63"/>
  <c r="S821" i="63"/>
  <c r="U821" i="63" s="1"/>
  <c r="W821" i="63"/>
  <c r="Y821" i="63"/>
  <c r="AA821" i="63"/>
  <c r="M1267" i="63" s="1"/>
  <c r="L69" i="91" s="1"/>
  <c r="AB821" i="63"/>
  <c r="L822" i="63"/>
  <c r="N822" i="63"/>
  <c r="O822" i="63"/>
  <c r="Q822" i="63"/>
  <c r="S822" i="63"/>
  <c r="U822" i="63" s="1"/>
  <c r="W822" i="63"/>
  <c r="Y822" i="63"/>
  <c r="AA822" i="63"/>
  <c r="M1268" i="63" s="1"/>
  <c r="L70" i="91" s="1"/>
  <c r="AB822" i="63"/>
  <c r="AB818" i="63"/>
  <c r="AA818" i="63"/>
  <c r="M1264" i="63" s="1"/>
  <c r="L66" i="91" s="1"/>
  <c r="M66" i="91" s="1"/>
  <c r="Y818" i="63"/>
  <c r="W818" i="63"/>
  <c r="S818" i="63"/>
  <c r="U818" i="63" s="1"/>
  <c r="Q818" i="63"/>
  <c r="O818" i="63"/>
  <c r="N818" i="63"/>
  <c r="L818" i="63"/>
  <c r="X818" i="63" s="1"/>
  <c r="P286" i="63"/>
  <c r="P284" i="63"/>
  <c r="P282" i="63"/>
  <c r="P280" i="63"/>
  <c r="P278" i="63"/>
  <c r="P276" i="63"/>
  <c r="P274" i="63"/>
  <c r="P263" i="63"/>
  <c r="P261" i="63"/>
  <c r="P259" i="63"/>
  <c r="P257" i="63"/>
  <c r="P255" i="63"/>
  <c r="P253" i="63"/>
  <c r="P252" i="63"/>
  <c r="P251" i="63"/>
  <c r="P249" i="63"/>
  <c r="P248" i="63"/>
  <c r="P247" i="63"/>
  <c r="P245" i="63"/>
  <c r="P244" i="63"/>
  <c r="P243" i="63"/>
  <c r="P241" i="63"/>
  <c r="P240" i="63"/>
  <c r="P239" i="63"/>
  <c r="P237" i="63"/>
  <c r="P236" i="63"/>
  <c r="P235" i="63"/>
  <c r="P233" i="63"/>
  <c r="P232" i="63"/>
  <c r="P231" i="63"/>
  <c r="P229" i="63"/>
  <c r="P228" i="63"/>
  <c r="P227" i="63"/>
  <c r="P225" i="63"/>
  <c r="P224" i="63"/>
  <c r="P223" i="63"/>
  <c r="P221" i="63"/>
  <c r="P220" i="63"/>
  <c r="P219" i="63"/>
  <c r="P217" i="63"/>
  <c r="P216" i="63"/>
  <c r="P215" i="63"/>
  <c r="P213" i="63"/>
  <c r="P212" i="63"/>
  <c r="P211" i="63"/>
  <c r="P209" i="63"/>
  <c r="P208" i="63"/>
  <c r="P207" i="63"/>
  <c r="P205" i="63"/>
  <c r="P204" i="63"/>
  <c r="P203" i="63"/>
  <c r="P201" i="63"/>
  <c r="P200" i="63"/>
  <c r="P199" i="63"/>
  <c r="P197" i="63"/>
  <c r="P196" i="63"/>
  <c r="P195" i="63"/>
  <c r="P193" i="63"/>
  <c r="P192" i="63"/>
  <c r="P191" i="63"/>
  <c r="P189" i="63"/>
  <c r="P188" i="63"/>
  <c r="P187" i="63"/>
  <c r="P185" i="63"/>
  <c r="P184" i="63"/>
  <c r="P183" i="63"/>
  <c r="P181" i="63"/>
  <c r="P180" i="63"/>
  <c r="P179" i="63"/>
  <c r="P177" i="63"/>
  <c r="P176" i="63"/>
  <c r="P175" i="63"/>
  <c r="P173" i="63"/>
  <c r="P172" i="63"/>
  <c r="P171" i="63"/>
  <c r="P169" i="63"/>
  <c r="P168" i="63"/>
  <c r="P167" i="63"/>
  <c r="P165" i="63"/>
  <c r="P164" i="63"/>
  <c r="P163" i="63"/>
  <c r="P161" i="63"/>
  <c r="P160" i="63"/>
  <c r="P159" i="63"/>
  <c r="P157" i="63"/>
  <c r="P156" i="63"/>
  <c r="P155" i="63"/>
  <c r="P153" i="63"/>
  <c r="P152" i="63"/>
  <c r="P151" i="63"/>
  <c r="P149" i="63"/>
  <c r="P148" i="63"/>
  <c r="P147" i="63"/>
  <c r="P145" i="63"/>
  <c r="P144" i="63"/>
  <c r="P143" i="63"/>
  <c r="P141" i="63"/>
  <c r="P140" i="63"/>
  <c r="P139" i="63"/>
  <c r="P137" i="63"/>
  <c r="P136" i="63"/>
  <c r="P135" i="63"/>
  <c r="P133" i="63"/>
  <c r="P132" i="63"/>
  <c r="P131" i="63"/>
  <c r="P129" i="63"/>
  <c r="P128" i="63"/>
  <c r="P127" i="63"/>
  <c r="P125" i="63"/>
  <c r="P124" i="63"/>
  <c r="P123" i="63"/>
  <c r="P121" i="63"/>
  <c r="P120" i="63"/>
  <c r="P119" i="63"/>
  <c r="P117" i="63"/>
  <c r="P116" i="63"/>
  <c r="P115" i="63"/>
  <c r="P113" i="63"/>
  <c r="P112" i="63"/>
  <c r="P111" i="63"/>
  <c r="P109" i="63"/>
  <c r="P108" i="63"/>
  <c r="P107" i="63"/>
  <c r="P105" i="63"/>
  <c r="P104" i="63"/>
  <c r="P103" i="63"/>
  <c r="P101" i="63"/>
  <c r="P100" i="63"/>
  <c r="P99" i="63"/>
  <c r="P97" i="63"/>
  <c r="P96" i="63"/>
  <c r="P95" i="63"/>
  <c r="P93" i="63"/>
  <c r="P92" i="63"/>
  <c r="P91" i="63"/>
  <c r="P89" i="63"/>
  <c r="P87" i="63"/>
  <c r="P85" i="63"/>
  <c r="P83" i="63"/>
  <c r="P80" i="63"/>
  <c r="P78" i="63"/>
  <c r="P76" i="63"/>
  <c r="P74" i="63"/>
  <c r="P72" i="63"/>
  <c r="P70" i="63"/>
  <c r="P68" i="63"/>
  <c r="P66" i="63"/>
  <c r="P64" i="63"/>
  <c r="P62" i="63"/>
  <c r="P60" i="63"/>
  <c r="P59" i="63"/>
  <c r="P58" i="63"/>
  <c r="P56" i="63"/>
  <c r="P54" i="63"/>
  <c r="P52" i="63"/>
  <c r="P50" i="63"/>
  <c r="P48" i="63"/>
  <c r="P46" i="63"/>
  <c r="P44" i="63"/>
  <c r="P42" i="63"/>
  <c r="P40" i="63"/>
  <c r="P38" i="63"/>
  <c r="P36" i="63"/>
  <c r="P34" i="63"/>
  <c r="P32" i="63"/>
  <c r="P30" i="63"/>
  <c r="P28" i="63"/>
  <c r="P26" i="63"/>
  <c r="P24" i="63"/>
  <c r="P22" i="63"/>
  <c r="P20" i="63"/>
  <c r="P18" i="63"/>
  <c r="P16" i="63"/>
  <c r="D173" i="4"/>
  <c r="E63" i="36" s="1"/>
  <c r="H1210" i="70"/>
  <c r="J151" i="72" s="1"/>
  <c r="G151" i="72" s="1"/>
  <c r="H1198" i="70"/>
  <c r="B2" i="60"/>
  <c r="D2" i="60"/>
  <c r="F57" i="2"/>
  <c r="E57" i="2"/>
  <c r="F56" i="2"/>
  <c r="E56" i="2"/>
  <c r="F55" i="2"/>
  <c r="E55" i="2"/>
  <c r="F54" i="2"/>
  <c r="E54" i="2"/>
  <c r="C53" i="2"/>
  <c r="C35" i="19" s="1"/>
  <c r="F53" i="2"/>
  <c r="E53" i="2"/>
  <c r="D57" i="2"/>
  <c r="D56" i="2"/>
  <c r="D55" i="2"/>
  <c r="D54" i="2"/>
  <c r="D53" i="2"/>
  <c r="E60" i="36"/>
  <c r="F60" i="36"/>
  <c r="G60" i="36"/>
  <c r="M5" i="87"/>
  <c r="L4" i="87"/>
  <c r="I20" i="70"/>
  <c r="I19" i="70"/>
  <c r="E17" i="70"/>
  <c r="C58" i="72"/>
  <c r="R87" i="66"/>
  <c r="R84" i="66"/>
  <c r="R81" i="66"/>
  <c r="R78" i="66"/>
  <c r="R75" i="66"/>
  <c r="R72" i="66"/>
  <c r="R69" i="66"/>
  <c r="R66" i="66"/>
  <c r="R63" i="66"/>
  <c r="N89" i="7"/>
  <c r="C134" i="72"/>
  <c r="C135" i="72"/>
  <c r="C136" i="72"/>
  <c r="C137" i="72"/>
  <c r="C138" i="72"/>
  <c r="C139" i="72"/>
  <c r="C140" i="72"/>
  <c r="C127" i="72"/>
  <c r="C128" i="72"/>
  <c r="C129" i="72"/>
  <c r="C130" i="72"/>
  <c r="C131" i="72"/>
  <c r="C132" i="72"/>
  <c r="C133" i="72"/>
  <c r="C126" i="72"/>
  <c r="C125" i="72"/>
  <c r="D236" i="60"/>
  <c r="G236" i="60" s="1"/>
  <c r="I236" i="60" s="1"/>
  <c r="L236" i="60" s="1"/>
  <c r="D237" i="60"/>
  <c r="G237" i="60" s="1"/>
  <c r="I237" i="60" s="1"/>
  <c r="L237" i="60" s="1"/>
  <c r="D238" i="60"/>
  <c r="G238" i="60" s="1"/>
  <c r="D239" i="60"/>
  <c r="G239" i="60" s="1"/>
  <c r="I239" i="60" s="1"/>
  <c r="L239" i="60" s="1"/>
  <c r="D240" i="60"/>
  <c r="G240" i="60" s="1"/>
  <c r="I240" i="60" s="1"/>
  <c r="L240" i="60" s="1"/>
  <c r="D241" i="60"/>
  <c r="G241" i="60" s="1"/>
  <c r="D235" i="60"/>
  <c r="G235" i="60" s="1"/>
  <c r="D244" i="60"/>
  <c r="G244" i="60" s="1"/>
  <c r="I244" i="60" s="1"/>
  <c r="L244" i="60" s="1"/>
  <c r="D245" i="60"/>
  <c r="G245" i="60" s="1"/>
  <c r="I245" i="60" s="1"/>
  <c r="L245" i="60" s="1"/>
  <c r="D246" i="60"/>
  <c r="G246" i="60" s="1"/>
  <c r="I246" i="60" s="1"/>
  <c r="L246" i="60" s="1"/>
  <c r="D247" i="60"/>
  <c r="G247" i="60" s="1"/>
  <c r="I247" i="60" s="1"/>
  <c r="L247" i="60" s="1"/>
  <c r="D248" i="60"/>
  <c r="G248" i="60" s="1"/>
  <c r="I248" i="60" s="1"/>
  <c r="L248" i="60" s="1"/>
  <c r="D249" i="60"/>
  <c r="G249" i="60" s="1"/>
  <c r="I249" i="60" s="1"/>
  <c r="L249" i="60" s="1"/>
  <c r="D243" i="60"/>
  <c r="G243" i="60" s="1"/>
  <c r="I243" i="60" s="1"/>
  <c r="L243" i="60" s="1"/>
  <c r="D252" i="60"/>
  <c r="G252" i="60" s="1"/>
  <c r="I252" i="60" s="1"/>
  <c r="L252" i="60" s="1"/>
  <c r="D253" i="60"/>
  <c r="G253" i="60" s="1"/>
  <c r="I253" i="60" s="1"/>
  <c r="L253" i="60" s="1"/>
  <c r="D254" i="60"/>
  <c r="G254" i="60" s="1"/>
  <c r="I254" i="60" s="1"/>
  <c r="L254" i="60" s="1"/>
  <c r="D255" i="60"/>
  <c r="G255" i="60" s="1"/>
  <c r="I255" i="60" s="1"/>
  <c r="L255" i="60" s="1"/>
  <c r="D256" i="60"/>
  <c r="G256" i="60" s="1"/>
  <c r="I256" i="60" s="1"/>
  <c r="L256" i="60" s="1"/>
  <c r="D257" i="60"/>
  <c r="G257" i="60" s="1"/>
  <c r="I257" i="60" s="1"/>
  <c r="L257" i="60" s="1"/>
  <c r="D251" i="60"/>
  <c r="G251" i="60" s="1"/>
  <c r="I251" i="60" s="1"/>
  <c r="L251" i="60" s="1"/>
  <c r="I22" i="60"/>
  <c r="L22" i="60" s="1"/>
  <c r="I23" i="60"/>
  <c r="L23" i="60" s="1"/>
  <c r="I94" i="72"/>
  <c r="H94" i="72"/>
  <c r="G94" i="72"/>
  <c r="F94" i="72"/>
  <c r="E94" i="72"/>
  <c r="D94" i="72"/>
  <c r="C94" i="72"/>
  <c r="AX6" i="39"/>
  <c r="L20" i="39"/>
  <c r="I20" i="39"/>
  <c r="H20" i="39"/>
  <c r="G20" i="39"/>
  <c r="P20" i="39" s="1"/>
  <c r="L19" i="39"/>
  <c r="I19" i="39"/>
  <c r="H19" i="39"/>
  <c r="G19" i="39"/>
  <c r="P19" i="39" s="1"/>
  <c r="L18" i="39"/>
  <c r="I18" i="39"/>
  <c r="H18" i="39"/>
  <c r="G18" i="39"/>
  <c r="P18" i="39" s="1"/>
  <c r="L17" i="39"/>
  <c r="I17" i="39"/>
  <c r="H17" i="39"/>
  <c r="G17" i="39"/>
  <c r="P17" i="39" s="1"/>
  <c r="L16" i="39"/>
  <c r="I16" i="39"/>
  <c r="H16" i="39"/>
  <c r="G16" i="39"/>
  <c r="P16" i="39" s="1"/>
  <c r="L15" i="39"/>
  <c r="I15" i="39"/>
  <c r="H15" i="39"/>
  <c r="G15" i="39"/>
  <c r="P15" i="39" s="1"/>
  <c r="L14" i="39"/>
  <c r="I14" i="39"/>
  <c r="H14" i="39"/>
  <c r="G14" i="39"/>
  <c r="P14" i="39" s="1"/>
  <c r="L13" i="39"/>
  <c r="I13" i="39"/>
  <c r="H13" i="39"/>
  <c r="G13" i="39"/>
  <c r="P13" i="39" s="1"/>
  <c r="L12" i="39"/>
  <c r="I12" i="39"/>
  <c r="H12" i="39"/>
  <c r="G12" i="39"/>
  <c r="P12" i="39" s="1"/>
  <c r="L11" i="39"/>
  <c r="I11" i="39"/>
  <c r="H11" i="39"/>
  <c r="G11" i="39"/>
  <c r="P11" i="39" s="1"/>
  <c r="L10" i="39"/>
  <c r="I10" i="39"/>
  <c r="H10" i="39"/>
  <c r="G10" i="39"/>
  <c r="P10" i="39" s="1"/>
  <c r="L9" i="39"/>
  <c r="I9" i="39"/>
  <c r="H9" i="39"/>
  <c r="G9" i="39"/>
  <c r="P9" i="39" s="1"/>
  <c r="L8" i="39"/>
  <c r="I8" i="39"/>
  <c r="H8" i="39"/>
  <c r="G8" i="39"/>
  <c r="P8" i="39" s="1"/>
  <c r="L7" i="39"/>
  <c r="I7" i="39"/>
  <c r="H7" i="39"/>
  <c r="G7" i="39"/>
  <c r="P7" i="39" s="1"/>
  <c r="H13" i="42"/>
  <c r="H15" i="42" s="1"/>
  <c r="G13" i="42"/>
  <c r="G15" i="42" s="1"/>
  <c r="B1" i="58"/>
  <c r="B5" i="41"/>
  <c r="B4" i="41"/>
  <c r="G2" i="74"/>
  <c r="Y14" i="74"/>
  <c r="Y13" i="74"/>
  <c r="Y12" i="74"/>
  <c r="Y11" i="74"/>
  <c r="Y10" i="74"/>
  <c r="Y9" i="74"/>
  <c r="Y8" i="74"/>
  <c r="Y7" i="74"/>
  <c r="Y6" i="74"/>
  <c r="Y5" i="74"/>
  <c r="Y4" i="74"/>
  <c r="Y3" i="74"/>
  <c r="G7" i="2"/>
  <c r="O95" i="72" s="1"/>
  <c r="I123" i="4"/>
  <c r="I124" i="4"/>
  <c r="I125" i="4"/>
  <c r="I126" i="4"/>
  <c r="I127" i="4"/>
  <c r="I128" i="4"/>
  <c r="I129" i="4"/>
  <c r="I130" i="4"/>
  <c r="I131" i="4"/>
  <c r="I122" i="4"/>
  <c r="A57" i="2"/>
  <c r="C122" i="72" s="1"/>
  <c r="A56" i="2"/>
  <c r="C121" i="72" s="1"/>
  <c r="A55" i="2"/>
  <c r="C120" i="72" s="1"/>
  <c r="A54" i="2"/>
  <c r="A53" i="2"/>
  <c r="C117" i="72"/>
  <c r="C116" i="72"/>
  <c r="C115" i="72"/>
  <c r="A40" i="2"/>
  <c r="C114" i="72" s="1"/>
  <c r="A39" i="2"/>
  <c r="C113" i="72" s="1"/>
  <c r="A38" i="2"/>
  <c r="A37" i="2"/>
  <c r="A36" i="2"/>
  <c r="A35" i="2"/>
  <c r="A34" i="2"/>
  <c r="A29" i="2"/>
  <c r="A28" i="2"/>
  <c r="A27" i="2"/>
  <c r="A15" i="2"/>
  <c r="A14" i="2"/>
  <c r="A13" i="2"/>
  <c r="A12" i="2"/>
  <c r="A11" i="2"/>
  <c r="A10" i="2"/>
  <c r="A7" i="73" s="1"/>
  <c r="I31" i="89" s="1"/>
  <c r="A9" i="2"/>
  <c r="A5" i="73"/>
  <c r="I11" i="89" s="1"/>
  <c r="A7" i="2"/>
  <c r="F1119" i="70"/>
  <c r="H107" i="4" s="1"/>
  <c r="F1122" i="70"/>
  <c r="H110" i="4" s="1"/>
  <c r="F1123" i="70"/>
  <c r="H111" i="4" s="1"/>
  <c r="H100" i="4"/>
  <c r="E85" i="7"/>
  <c r="F85" i="7"/>
  <c r="G85" i="7"/>
  <c r="D85" i="7"/>
  <c r="C573" i="27"/>
  <c r="C255" i="82" s="1"/>
  <c r="C572" i="27"/>
  <c r="C254" i="82" s="1"/>
  <c r="C568" i="27"/>
  <c r="C250" i="82" s="1"/>
  <c r="C567" i="27"/>
  <c r="C249" i="82" s="1"/>
  <c r="B465" i="27"/>
  <c r="B466" i="27"/>
  <c r="B467" i="27"/>
  <c r="B468" i="27"/>
  <c r="B464" i="27"/>
  <c r="F1070" i="70"/>
  <c r="O8" i="4" s="1"/>
  <c r="J122" i="43"/>
  <c r="P24" i="42"/>
  <c r="K41" i="72"/>
  <c r="K43" i="72" s="1"/>
  <c r="K46" i="72" s="1"/>
  <c r="E6" i="58"/>
  <c r="E11" i="58" s="1"/>
  <c r="E88" i="58"/>
  <c r="E93" i="58" s="1"/>
  <c r="E15" i="58"/>
  <c r="E20" i="58" s="1"/>
  <c r="C50" i="64"/>
  <c r="E50" i="64" s="1"/>
  <c r="H56" i="64" s="1"/>
  <c r="F50" i="64"/>
  <c r="C60" i="64"/>
  <c r="H60" i="64" s="1"/>
  <c r="C62" i="64"/>
  <c r="H62" i="64" s="1"/>
  <c r="E62" i="64"/>
  <c r="M37" i="73"/>
  <c r="L37" i="73"/>
  <c r="J37" i="73"/>
  <c r="I37" i="73"/>
  <c r="G37" i="73"/>
  <c r="F37" i="73"/>
  <c r="F34" i="73"/>
  <c r="F35" i="73"/>
  <c r="M25" i="73"/>
  <c r="L25" i="73"/>
  <c r="J25" i="73"/>
  <c r="I25" i="73"/>
  <c r="G25" i="73"/>
  <c r="F25" i="73"/>
  <c r="L35" i="73"/>
  <c r="I35" i="73"/>
  <c r="L34" i="73"/>
  <c r="I34" i="73"/>
  <c r="L33" i="73"/>
  <c r="J83" i="89" s="1"/>
  <c r="J84" i="89" s="1"/>
  <c r="I33" i="73"/>
  <c r="F33" i="73"/>
  <c r="D83" i="89" s="1"/>
  <c r="D84" i="89" s="1"/>
  <c r="G5" i="72"/>
  <c r="H7" i="72"/>
  <c r="G7" i="72"/>
  <c r="J8" i="2"/>
  <c r="K8" i="2"/>
  <c r="I8" i="2"/>
  <c r="V24" i="66" s="1"/>
  <c r="K7" i="2"/>
  <c r="J7" i="2"/>
  <c r="I7" i="2"/>
  <c r="N7" i="2"/>
  <c r="O7" i="2"/>
  <c r="N8" i="2"/>
  <c r="D8" i="19" s="1"/>
  <c r="O8" i="2"/>
  <c r="G57" i="72"/>
  <c r="G861" i="70"/>
  <c r="I861" i="70"/>
  <c r="G412" i="70"/>
  <c r="F43" i="27"/>
  <c r="F38" i="82" s="1"/>
  <c r="F42" i="27"/>
  <c r="F41" i="27"/>
  <c r="F36" i="82" s="1"/>
  <c r="F40" i="27"/>
  <c r="F35" i="82" s="1"/>
  <c r="F39" i="27"/>
  <c r="F34" i="82" s="1"/>
  <c r="F33" i="27"/>
  <c r="F33" i="82" s="1"/>
  <c r="F32" i="27"/>
  <c r="F32" i="82" s="1"/>
  <c r="F31" i="27"/>
  <c r="F31" i="82" s="1"/>
  <c r="F30" i="27"/>
  <c r="F30" i="82" s="1"/>
  <c r="F29" i="27"/>
  <c r="F29" i="82" s="1"/>
  <c r="F28" i="27"/>
  <c r="F28" i="82" s="1"/>
  <c r="F27" i="27"/>
  <c r="F27" i="82" s="1"/>
  <c r="F26" i="27"/>
  <c r="F26" i="82" s="1"/>
  <c r="F25" i="27"/>
  <c r="F25" i="82" s="1"/>
  <c r="F24" i="27"/>
  <c r="F24" i="82" s="1"/>
  <c r="F23" i="27"/>
  <c r="F23" i="82" s="1"/>
  <c r="F22" i="27"/>
  <c r="F22" i="82" s="1"/>
  <c r="F9" i="27"/>
  <c r="F9" i="82" s="1"/>
  <c r="D10" i="3"/>
  <c r="G8" i="3"/>
  <c r="R19" i="3" s="1"/>
  <c r="F8" i="3"/>
  <c r="C1215" i="70"/>
  <c r="E28" i="72" s="1"/>
  <c r="D23" i="88" s="1"/>
  <c r="G6" i="72"/>
  <c r="G8" i="72"/>
  <c r="H50" i="72"/>
  <c r="H30" i="72"/>
  <c r="H16" i="72"/>
  <c r="D2" i="43"/>
  <c r="G3" i="3"/>
  <c r="K3" i="66"/>
  <c r="F3" i="61"/>
  <c r="F4" i="7"/>
  <c r="G2" i="2"/>
  <c r="F3" i="4"/>
  <c r="F3" i="71"/>
  <c r="F4" i="60"/>
  <c r="G3" i="64"/>
  <c r="G3" i="27"/>
  <c r="B2" i="41"/>
  <c r="B2" i="74"/>
  <c r="D6" i="39"/>
  <c r="B3" i="41"/>
  <c r="D2" i="74"/>
  <c r="L6" i="72"/>
  <c r="D1" i="58"/>
  <c r="E3" i="41"/>
  <c r="W11" i="51"/>
  <c r="S10" i="51"/>
  <c r="E101" i="4"/>
  <c r="F101" i="4"/>
  <c r="E102" i="4"/>
  <c r="F102" i="4"/>
  <c r="E103" i="4"/>
  <c r="F103" i="4"/>
  <c r="E104" i="4"/>
  <c r="F104" i="4"/>
  <c r="E105" i="4"/>
  <c r="F105" i="4"/>
  <c r="E106" i="4"/>
  <c r="F106" i="4"/>
  <c r="E107" i="4"/>
  <c r="F107" i="4"/>
  <c r="E108" i="4"/>
  <c r="F108" i="4"/>
  <c r="E109" i="4"/>
  <c r="F109" i="4"/>
  <c r="E110" i="4"/>
  <c r="F110" i="4"/>
  <c r="E111" i="4"/>
  <c r="F111" i="4"/>
  <c r="F100" i="4"/>
  <c r="E100" i="4"/>
  <c r="D101" i="4"/>
  <c r="D102" i="4"/>
  <c r="D103" i="4"/>
  <c r="D104" i="4"/>
  <c r="D105" i="4"/>
  <c r="D106" i="4"/>
  <c r="D107" i="4"/>
  <c r="D108" i="4"/>
  <c r="D109" i="4"/>
  <c r="D110" i="4"/>
  <c r="D111" i="4"/>
  <c r="D100" i="4"/>
  <c r="D112" i="4"/>
  <c r="K21" i="83"/>
  <c r="L604" i="27"/>
  <c r="L286" i="82" s="1"/>
  <c r="L603" i="27"/>
  <c r="L285" i="82" s="1"/>
  <c r="L592" i="27"/>
  <c r="L274" i="82" s="1"/>
  <c r="L593" i="27"/>
  <c r="L275" i="82" s="1"/>
  <c r="L594" i="27"/>
  <c r="L276" i="82" s="1"/>
  <c r="L595" i="27"/>
  <c r="L277" i="82" s="1"/>
  <c r="L596" i="27"/>
  <c r="L278" i="82" s="1"/>
  <c r="L597" i="27"/>
  <c r="L279" i="82" s="1"/>
  <c r="L598" i="27"/>
  <c r="L280" i="82" s="1"/>
  <c r="L599" i="27"/>
  <c r="L281" i="82" s="1"/>
  <c r="L600" i="27"/>
  <c r="L282" i="82" s="1"/>
  <c r="L601" i="27"/>
  <c r="L283" i="82" s="1"/>
  <c r="L602" i="27"/>
  <c r="L284" i="82" s="1"/>
  <c r="L591" i="27"/>
  <c r="L273" i="82" s="1"/>
  <c r="L590" i="27"/>
  <c r="L272" i="82" s="1"/>
  <c r="I601" i="27"/>
  <c r="I283" i="82" s="1"/>
  <c r="I602" i="27"/>
  <c r="I284" i="82" s="1"/>
  <c r="I600" i="27"/>
  <c r="I282" i="82" s="1"/>
  <c r="I599" i="27"/>
  <c r="I281" i="82" s="1"/>
  <c r="I598" i="27"/>
  <c r="I280" i="82" s="1"/>
  <c r="I597" i="27"/>
  <c r="I279" i="82" s="1"/>
  <c r="I596" i="27"/>
  <c r="I278" i="82" s="1"/>
  <c r="I595" i="27"/>
  <c r="I277" i="82" s="1"/>
  <c r="I594" i="27"/>
  <c r="I276" i="82" s="1"/>
  <c r="I593" i="27"/>
  <c r="I275" i="82" s="1"/>
  <c r="I592" i="27"/>
  <c r="I274" i="82" s="1"/>
  <c r="I591" i="27"/>
  <c r="I273" i="82" s="1"/>
  <c r="I272" i="82"/>
  <c r="L586" i="27"/>
  <c r="L268" i="82" s="1"/>
  <c r="L585" i="27"/>
  <c r="L267" i="82" s="1"/>
  <c r="L584" i="27"/>
  <c r="L266" i="82" s="1"/>
  <c r="L582" i="27"/>
  <c r="L264" i="82" s="1"/>
  <c r="L583" i="27"/>
  <c r="L265" i="82" s="1"/>
  <c r="L581" i="27"/>
  <c r="L263" i="82" s="1"/>
  <c r="L580" i="27"/>
  <c r="L262" i="82" s="1"/>
  <c r="L579" i="27"/>
  <c r="L261" i="82" s="1"/>
  <c r="L578" i="27"/>
  <c r="L260" i="82" s="1"/>
  <c r="L577" i="27"/>
  <c r="L259" i="82" s="1"/>
  <c r="L576" i="27"/>
  <c r="L258" i="82" s="1"/>
  <c r="L575" i="27"/>
  <c r="L257" i="82" s="1"/>
  <c r="L574" i="27"/>
  <c r="L256" i="82" s="1"/>
  <c r="L565" i="27"/>
  <c r="L247" i="82" s="1"/>
  <c r="L566" i="27"/>
  <c r="L248" i="82" s="1"/>
  <c r="L567" i="27"/>
  <c r="L249" i="82" s="1"/>
  <c r="L568" i="27"/>
  <c r="L250" i="82" s="1"/>
  <c r="L569" i="27"/>
  <c r="L251" i="82" s="1"/>
  <c r="L570" i="27"/>
  <c r="L252" i="82" s="1"/>
  <c r="L571" i="27"/>
  <c r="L253" i="82" s="1"/>
  <c r="L572" i="27"/>
  <c r="L254" i="82" s="1"/>
  <c r="L573" i="27"/>
  <c r="L255" i="82" s="1"/>
  <c r="L564" i="27"/>
  <c r="L246" i="82" s="1"/>
  <c r="I574" i="27"/>
  <c r="I256" i="82" s="1"/>
  <c r="I573" i="27"/>
  <c r="I255" i="82" s="1"/>
  <c r="I572" i="27"/>
  <c r="I254" i="82" s="1"/>
  <c r="I571" i="27"/>
  <c r="I253" i="82" s="1"/>
  <c r="I570" i="27"/>
  <c r="I252" i="82" s="1"/>
  <c r="I569" i="27"/>
  <c r="I251" i="82" s="1"/>
  <c r="I565" i="27"/>
  <c r="I247" i="82" s="1"/>
  <c r="I566" i="27"/>
  <c r="I248" i="82" s="1"/>
  <c r="I567" i="27"/>
  <c r="I249" i="82" s="1"/>
  <c r="I568" i="27"/>
  <c r="I250" i="82" s="1"/>
  <c r="I564" i="27"/>
  <c r="I246" i="82" s="1"/>
  <c r="I560" i="27"/>
  <c r="I242" i="82" s="1"/>
  <c r="I559" i="27"/>
  <c r="I241" i="82" s="1"/>
  <c r="I558" i="27"/>
  <c r="I240" i="82" s="1"/>
  <c r="I557" i="27"/>
  <c r="I239" i="82" s="1"/>
  <c r="L560" i="27"/>
  <c r="L242" i="82" s="1"/>
  <c r="L559" i="27"/>
  <c r="L241" i="82" s="1"/>
  <c r="L558" i="27"/>
  <c r="L240" i="82" s="1"/>
  <c r="L557" i="27"/>
  <c r="L239" i="82" s="1"/>
  <c r="L554" i="27"/>
  <c r="L236" i="82" s="1"/>
  <c r="L553" i="27"/>
  <c r="L235" i="82" s="1"/>
  <c r="L552" i="27"/>
  <c r="L234" i="82" s="1"/>
  <c r="L551" i="27"/>
  <c r="L233" i="82" s="1"/>
  <c r="L542" i="27"/>
  <c r="L224" i="82" s="1"/>
  <c r="L543" i="27"/>
  <c r="L225" i="82" s="1"/>
  <c r="L544" i="27"/>
  <c r="L226" i="82" s="1"/>
  <c r="L545" i="27"/>
  <c r="L227" i="82" s="1"/>
  <c r="L546" i="27"/>
  <c r="L228" i="82" s="1"/>
  <c r="L547" i="27"/>
  <c r="L229" i="82" s="1"/>
  <c r="L548" i="27"/>
  <c r="L230" i="82" s="1"/>
  <c r="L549" i="27"/>
  <c r="L231" i="82" s="1"/>
  <c r="L550" i="27"/>
  <c r="L232" i="82" s="1"/>
  <c r="L541" i="27"/>
  <c r="L223" i="82" s="1"/>
  <c r="L540" i="27"/>
  <c r="L222" i="82" s="1"/>
  <c r="L539" i="27"/>
  <c r="L221" i="82" s="1"/>
  <c r="I541" i="27"/>
  <c r="I223" i="82" s="1"/>
  <c r="I542" i="27"/>
  <c r="I224" i="82" s="1"/>
  <c r="I543" i="27"/>
  <c r="I225" i="82" s="1"/>
  <c r="I544" i="27"/>
  <c r="I226" i="82" s="1"/>
  <c r="I545" i="27"/>
  <c r="I227" i="82" s="1"/>
  <c r="I546" i="27"/>
  <c r="I228" i="82" s="1"/>
  <c r="I547" i="27"/>
  <c r="I229" i="82" s="1"/>
  <c r="I548" i="27"/>
  <c r="I230" i="82" s="1"/>
  <c r="I549" i="27"/>
  <c r="I231" i="82" s="1"/>
  <c r="I550" i="27"/>
  <c r="I232" i="82" s="1"/>
  <c r="I540" i="27"/>
  <c r="I222" i="82" s="1"/>
  <c r="L537" i="27"/>
  <c r="L219" i="82" s="1"/>
  <c r="L538" i="27"/>
  <c r="L220" i="82" s="1"/>
  <c r="I536" i="27"/>
  <c r="I218" i="82" s="1"/>
  <c r="L536" i="27"/>
  <c r="L218" i="82" s="1"/>
  <c r="L535" i="27"/>
  <c r="L217" i="82" s="1"/>
  <c r="L532" i="27"/>
  <c r="L214" i="82" s="1"/>
  <c r="L531" i="27"/>
  <c r="L213" i="82" s="1"/>
  <c r="I532" i="27"/>
  <c r="I214" i="82" s="1"/>
  <c r="I531" i="27"/>
  <c r="I213" i="82" s="1"/>
  <c r="I530" i="27"/>
  <c r="I212" i="82" s="1"/>
  <c r="I529" i="27"/>
  <c r="I211" i="82" s="1"/>
  <c r="L530" i="27"/>
  <c r="L212" i="82" s="1"/>
  <c r="L529" i="27"/>
  <c r="L211" i="82" s="1"/>
  <c r="L528" i="27"/>
  <c r="L210" i="82" s="1"/>
  <c r="I528" i="27"/>
  <c r="I210" i="82" s="1"/>
  <c r="I527" i="27"/>
  <c r="I209" i="82" s="1"/>
  <c r="L527" i="27"/>
  <c r="L209" i="82" s="1"/>
  <c r="L526" i="27"/>
  <c r="L208" i="82" s="1"/>
  <c r="I526" i="27"/>
  <c r="I208" i="82" s="1"/>
  <c r="L525" i="27"/>
  <c r="L207" i="82" s="1"/>
  <c r="I525" i="27"/>
  <c r="I207" i="82" s="1"/>
  <c r="I523" i="27"/>
  <c r="I205" i="82" s="1"/>
  <c r="I524" i="27"/>
  <c r="I206" i="82" s="1"/>
  <c r="I522" i="27"/>
  <c r="I204" i="82" s="1"/>
  <c r="I520" i="27"/>
  <c r="I202" i="82" s="1"/>
  <c r="I521" i="27"/>
  <c r="I203" i="82" s="1"/>
  <c r="I519" i="27"/>
  <c r="I201" i="82" s="1"/>
  <c r="I517" i="27"/>
  <c r="I199" i="82" s="1"/>
  <c r="I518" i="27"/>
  <c r="I200" i="82" s="1"/>
  <c r="L517" i="27"/>
  <c r="L199" i="82" s="1"/>
  <c r="L518" i="27"/>
  <c r="L200" i="82" s="1"/>
  <c r="L519" i="27"/>
  <c r="L201" i="82" s="1"/>
  <c r="L520" i="27"/>
  <c r="L202" i="82" s="1"/>
  <c r="L521" i="27"/>
  <c r="L203" i="82" s="1"/>
  <c r="L522" i="27"/>
  <c r="L204" i="82" s="1"/>
  <c r="L523" i="27"/>
  <c r="L205" i="82" s="1"/>
  <c r="L524" i="27"/>
  <c r="L206" i="82" s="1"/>
  <c r="L516" i="27"/>
  <c r="L198" i="82" s="1"/>
  <c r="I516" i="27"/>
  <c r="I198" i="82" s="1"/>
  <c r="L502" i="27"/>
  <c r="L194" i="82" s="1"/>
  <c r="L503" i="27"/>
  <c r="L195" i="82" s="1"/>
  <c r="L504" i="27"/>
  <c r="L196" i="82" s="1"/>
  <c r="L505" i="27"/>
  <c r="L197" i="82" s="1"/>
  <c r="I502" i="27"/>
  <c r="I194" i="82" s="1"/>
  <c r="I503" i="27"/>
  <c r="I195" i="82" s="1"/>
  <c r="I504" i="27"/>
  <c r="I196" i="82" s="1"/>
  <c r="I505" i="27"/>
  <c r="I197" i="82" s="1"/>
  <c r="L501" i="27"/>
  <c r="L193" i="82" s="1"/>
  <c r="I501" i="27"/>
  <c r="I193" i="82" s="1"/>
  <c r="L497" i="27"/>
  <c r="L189" i="82" s="1"/>
  <c r="L498" i="27"/>
  <c r="L190" i="82" s="1"/>
  <c r="L499" i="27"/>
  <c r="L191" i="82" s="1"/>
  <c r="L500" i="27"/>
  <c r="L192" i="82" s="1"/>
  <c r="I497" i="27"/>
  <c r="I189" i="82" s="1"/>
  <c r="I498" i="27"/>
  <c r="I190" i="82" s="1"/>
  <c r="I499" i="27"/>
  <c r="I191" i="82" s="1"/>
  <c r="I500" i="27"/>
  <c r="I192" i="82" s="1"/>
  <c r="L496" i="27"/>
  <c r="L188" i="82" s="1"/>
  <c r="I496" i="27"/>
  <c r="I188" i="82" s="1"/>
  <c r="I179" i="82"/>
  <c r="I180" i="82"/>
  <c r="I181" i="82"/>
  <c r="I182" i="82"/>
  <c r="I183" i="82"/>
  <c r="I178" i="82"/>
  <c r="I174" i="82"/>
  <c r="I175" i="82"/>
  <c r="I176" i="82"/>
  <c r="I177" i="82"/>
  <c r="L174" i="82"/>
  <c r="L175" i="82"/>
  <c r="L176" i="82"/>
  <c r="L177" i="82"/>
  <c r="L486" i="27"/>
  <c r="L178" i="82" s="1"/>
  <c r="L487" i="27"/>
  <c r="L179" i="82" s="1"/>
  <c r="L488" i="27"/>
  <c r="L180" i="82" s="1"/>
  <c r="L489" i="27"/>
  <c r="L181" i="82" s="1"/>
  <c r="L490" i="27"/>
  <c r="L182" i="82" s="1"/>
  <c r="L491" i="27"/>
  <c r="L183" i="82" s="1"/>
  <c r="L173" i="82"/>
  <c r="I173" i="82"/>
  <c r="L261" i="27"/>
  <c r="L137" i="82" s="1"/>
  <c r="L262" i="27"/>
  <c r="L138" i="82" s="1"/>
  <c r="L263" i="27"/>
  <c r="L139" i="82" s="1"/>
  <c r="L264" i="27"/>
  <c r="L140" i="82" s="1"/>
  <c r="L265" i="27"/>
  <c r="L141" i="82" s="1"/>
  <c r="L266" i="27"/>
  <c r="L142" i="82" s="1"/>
  <c r="L267" i="27"/>
  <c r="L143" i="82" s="1"/>
  <c r="L268" i="27"/>
  <c r="L144" i="82" s="1"/>
  <c r="L269" i="27"/>
  <c r="L145" i="82" s="1"/>
  <c r="L278" i="27"/>
  <c r="L146" i="82" s="1"/>
  <c r="L279" i="27"/>
  <c r="L147" i="82" s="1"/>
  <c r="L280" i="27"/>
  <c r="L148" i="82" s="1"/>
  <c r="L281" i="27"/>
  <c r="L149" i="82" s="1"/>
  <c r="L282" i="27"/>
  <c r="L150" i="82" s="1"/>
  <c r="L283" i="27"/>
  <c r="L151" i="82" s="1"/>
  <c r="L284" i="27"/>
  <c r="L152" i="82" s="1"/>
  <c r="L285" i="27"/>
  <c r="L153" i="82" s="1"/>
  <c r="L286" i="27"/>
  <c r="L154" i="82" s="1"/>
  <c r="L155" i="82"/>
  <c r="L156" i="82"/>
  <c r="L157" i="82"/>
  <c r="L158" i="82"/>
  <c r="L159" i="82"/>
  <c r="L160" i="82"/>
  <c r="L161" i="82"/>
  <c r="L162" i="82"/>
  <c r="L163" i="82"/>
  <c r="L164" i="82"/>
  <c r="L165" i="82"/>
  <c r="L464" i="27"/>
  <c r="L166" i="82" s="1"/>
  <c r="L465" i="27"/>
  <c r="L167" i="82" s="1"/>
  <c r="L466" i="27"/>
  <c r="L168" i="82" s="1"/>
  <c r="L467" i="27"/>
  <c r="L169" i="82" s="1"/>
  <c r="L468" i="27"/>
  <c r="L170" i="82" s="1"/>
  <c r="L260" i="27"/>
  <c r="L136" i="82" s="1"/>
  <c r="L243" i="27"/>
  <c r="L119" i="82" s="1"/>
  <c r="L244" i="27"/>
  <c r="L120" i="82" s="1"/>
  <c r="L245" i="27"/>
  <c r="L121" i="82" s="1"/>
  <c r="L246" i="27"/>
  <c r="L122" i="82" s="1"/>
  <c r="L247" i="27"/>
  <c r="L123" i="82" s="1"/>
  <c r="L248" i="27"/>
  <c r="L124" i="82" s="1"/>
  <c r="L249" i="27"/>
  <c r="L125" i="82" s="1"/>
  <c r="L250" i="27"/>
  <c r="L126" i="82" s="1"/>
  <c r="L251" i="27"/>
  <c r="L127" i="82" s="1"/>
  <c r="L252" i="27"/>
  <c r="L128" i="82" s="1"/>
  <c r="L253" i="27"/>
  <c r="L129" i="82" s="1"/>
  <c r="L254" i="27"/>
  <c r="L130" i="82" s="1"/>
  <c r="L255" i="27"/>
  <c r="L131" i="82" s="1"/>
  <c r="L256" i="27"/>
  <c r="L132" i="82" s="1"/>
  <c r="L257" i="27"/>
  <c r="L133" i="82" s="1"/>
  <c r="L108" i="27"/>
  <c r="L83" i="82" s="1"/>
  <c r="L109" i="27"/>
  <c r="L84" i="82" s="1"/>
  <c r="L110" i="27"/>
  <c r="L85" i="82" s="1"/>
  <c r="L111" i="27"/>
  <c r="L86" i="82" s="1"/>
  <c r="L112" i="27"/>
  <c r="L87" i="82" s="1"/>
  <c r="L123" i="27"/>
  <c r="L88" i="82" s="1"/>
  <c r="L124" i="27"/>
  <c r="L89" i="82" s="1"/>
  <c r="L125" i="27"/>
  <c r="L90" i="82" s="1"/>
  <c r="L126" i="27"/>
  <c r="L91" i="82" s="1"/>
  <c r="L127" i="27"/>
  <c r="L92" i="82" s="1"/>
  <c r="L138" i="27"/>
  <c r="L93" i="82" s="1"/>
  <c r="L139" i="27"/>
  <c r="L94" i="82" s="1"/>
  <c r="L140" i="27"/>
  <c r="L95" i="82" s="1"/>
  <c r="L141" i="27"/>
  <c r="L96" i="82" s="1"/>
  <c r="L142" i="27"/>
  <c r="L97" i="82" s="1"/>
  <c r="L188" i="27"/>
  <c r="L98" i="82" s="1"/>
  <c r="L189" i="27"/>
  <c r="L99" i="82" s="1"/>
  <c r="L190" i="27"/>
  <c r="L100" i="82" s="1"/>
  <c r="L191" i="27"/>
  <c r="L101" i="82" s="1"/>
  <c r="L192" i="27"/>
  <c r="L102" i="82" s="1"/>
  <c r="I108" i="27"/>
  <c r="I83" i="82" s="1"/>
  <c r="I109" i="27"/>
  <c r="I84" i="82" s="1"/>
  <c r="I110" i="27"/>
  <c r="I85" i="82" s="1"/>
  <c r="I111" i="27"/>
  <c r="I86" i="82" s="1"/>
  <c r="I112" i="27"/>
  <c r="I87" i="82" s="1"/>
  <c r="I123" i="27"/>
  <c r="I88" i="82" s="1"/>
  <c r="I124" i="27"/>
  <c r="I89" i="82" s="1"/>
  <c r="I125" i="27"/>
  <c r="I90" i="82" s="1"/>
  <c r="I126" i="27"/>
  <c r="I91" i="82" s="1"/>
  <c r="I127" i="27"/>
  <c r="I92" i="82" s="1"/>
  <c r="I138" i="27"/>
  <c r="I93" i="82" s="1"/>
  <c r="I139" i="27"/>
  <c r="I94" i="82" s="1"/>
  <c r="I140" i="27"/>
  <c r="I95" i="82" s="1"/>
  <c r="I141" i="27"/>
  <c r="I96" i="82" s="1"/>
  <c r="I142" i="27"/>
  <c r="I97" i="82" s="1"/>
  <c r="I188" i="27"/>
  <c r="I98" i="82" s="1"/>
  <c r="I189" i="27"/>
  <c r="I99" i="82" s="1"/>
  <c r="I190" i="27"/>
  <c r="I100" i="82" s="1"/>
  <c r="I191" i="27"/>
  <c r="I101" i="82" s="1"/>
  <c r="I192" i="27"/>
  <c r="I102" i="82" s="1"/>
  <c r="L22" i="27"/>
  <c r="L22" i="82" s="1"/>
  <c r="L23" i="27"/>
  <c r="L23" i="82" s="1"/>
  <c r="L24" i="27"/>
  <c r="L24" i="82" s="1"/>
  <c r="L25" i="27"/>
  <c r="L25" i="82" s="1"/>
  <c r="L26" i="27"/>
  <c r="L26" i="82" s="1"/>
  <c r="L27" i="27"/>
  <c r="L27" i="82" s="1"/>
  <c r="L28" i="27"/>
  <c r="L28" i="82" s="1"/>
  <c r="L29" i="27"/>
  <c r="L29" i="82" s="1"/>
  <c r="L30" i="27"/>
  <c r="L30" i="82" s="1"/>
  <c r="L31" i="27"/>
  <c r="L31" i="82" s="1"/>
  <c r="L32" i="27"/>
  <c r="L32" i="82" s="1"/>
  <c r="L33" i="27"/>
  <c r="L33" i="82" s="1"/>
  <c r="L39" i="27"/>
  <c r="L34" i="82" s="1"/>
  <c r="L40" i="27"/>
  <c r="L35" i="82" s="1"/>
  <c r="L41" i="27"/>
  <c r="L36" i="82" s="1"/>
  <c r="L42" i="27"/>
  <c r="L37" i="82" s="1"/>
  <c r="L43" i="27"/>
  <c r="L38" i="82" s="1"/>
  <c r="I22" i="27"/>
  <c r="I22" i="82" s="1"/>
  <c r="I23" i="27"/>
  <c r="I23" i="82" s="1"/>
  <c r="I24" i="27"/>
  <c r="I24" i="82" s="1"/>
  <c r="I25" i="27"/>
  <c r="I25" i="82" s="1"/>
  <c r="I26" i="27"/>
  <c r="I26" i="82" s="1"/>
  <c r="I27" i="27"/>
  <c r="I27" i="82" s="1"/>
  <c r="I28" i="27"/>
  <c r="I28" i="82" s="1"/>
  <c r="I29" i="27"/>
  <c r="I29" i="82" s="1"/>
  <c r="I30" i="27"/>
  <c r="I30" i="82" s="1"/>
  <c r="I31" i="27"/>
  <c r="I31" i="82" s="1"/>
  <c r="I32" i="27"/>
  <c r="I32" i="82" s="1"/>
  <c r="I33" i="27"/>
  <c r="I33" i="82" s="1"/>
  <c r="I39" i="27"/>
  <c r="I34" i="82" s="1"/>
  <c r="I40" i="27"/>
  <c r="I35" i="82" s="1"/>
  <c r="I41" i="27"/>
  <c r="I36" i="82" s="1"/>
  <c r="I42" i="27"/>
  <c r="I37" i="82" s="1"/>
  <c r="I43" i="27"/>
  <c r="I38" i="82" s="1"/>
  <c r="L9" i="27"/>
  <c r="L9" i="82" s="1"/>
  <c r="I9" i="27"/>
  <c r="I9" i="82" s="1"/>
  <c r="L315" i="70"/>
  <c r="P35" i="2" s="1"/>
  <c r="M315" i="70"/>
  <c r="Q35" i="2" s="1"/>
  <c r="I109" i="72" s="1"/>
  <c r="N36" i="2"/>
  <c r="M318" i="70"/>
  <c r="Q36" i="2" s="1"/>
  <c r="L321" i="70"/>
  <c r="P37" i="2" s="1"/>
  <c r="M321" i="70"/>
  <c r="Q37" i="2" s="1"/>
  <c r="J324" i="70"/>
  <c r="L324" i="70" s="1"/>
  <c r="P38" i="2" s="1"/>
  <c r="K324" i="70"/>
  <c r="M324" i="70" s="1"/>
  <c r="Q38" i="2" s="1"/>
  <c r="I112" i="72" s="1"/>
  <c r="J327" i="70"/>
  <c r="L327" i="70" s="1"/>
  <c r="P39" i="2" s="1"/>
  <c r="K327" i="70"/>
  <c r="M327" i="70" s="1"/>
  <c r="Q39" i="2" s="1"/>
  <c r="J330" i="70"/>
  <c r="L330" i="70" s="1"/>
  <c r="P40" i="2" s="1"/>
  <c r="K330" i="70"/>
  <c r="M330" i="70" s="1"/>
  <c r="Q40" i="2" s="1"/>
  <c r="S47" i="66" s="1"/>
  <c r="J333" i="70"/>
  <c r="K333" i="70"/>
  <c r="J351" i="70"/>
  <c r="K351" i="70"/>
  <c r="L354" i="70"/>
  <c r="P48" i="2" s="1"/>
  <c r="M354" i="70"/>
  <c r="Q48" i="2" s="1"/>
  <c r="Q34" i="2"/>
  <c r="J25" i="19" s="1"/>
  <c r="P34" i="2"/>
  <c r="D94" i="64"/>
  <c r="F94" i="64" s="1"/>
  <c r="C94" i="64"/>
  <c r="E94" i="64" s="1"/>
  <c r="D79" i="64"/>
  <c r="C79" i="64"/>
  <c r="E79" i="64" s="1"/>
  <c r="R70" i="4"/>
  <c r="F85" i="4"/>
  <c r="F82" i="4"/>
  <c r="F79" i="4"/>
  <c r="F76" i="4"/>
  <c r="F73" i="4"/>
  <c r="F70" i="4"/>
  <c r="B85" i="4"/>
  <c r="B82" i="4"/>
  <c r="B79" i="4"/>
  <c r="B76" i="4"/>
  <c r="B73" i="4"/>
  <c r="B70" i="4"/>
  <c r="I72" i="4" s="1"/>
  <c r="C591" i="27"/>
  <c r="C273" i="82" s="1"/>
  <c r="C592" i="27"/>
  <c r="C274" i="82" s="1"/>
  <c r="C593" i="27"/>
  <c r="C275" i="82" s="1"/>
  <c r="C594" i="27"/>
  <c r="C276" i="82" s="1"/>
  <c r="C595" i="27"/>
  <c r="C277" i="82" s="1"/>
  <c r="C596" i="27"/>
  <c r="C278" i="82" s="1"/>
  <c r="C597" i="27"/>
  <c r="C279" i="82" s="1"/>
  <c r="C598" i="27"/>
  <c r="C280" i="82" s="1"/>
  <c r="C599" i="27"/>
  <c r="C281" i="82" s="1"/>
  <c r="C600" i="27"/>
  <c r="C282" i="82" s="1"/>
  <c r="C601" i="27"/>
  <c r="C283" i="82" s="1"/>
  <c r="C602" i="27"/>
  <c r="C284" i="82" s="1"/>
  <c r="C603" i="27"/>
  <c r="C285" i="82" s="1"/>
  <c r="C604" i="27"/>
  <c r="C286" i="82" s="1"/>
  <c r="C605" i="27"/>
  <c r="C287" i="82" s="1"/>
  <c r="C606" i="27"/>
  <c r="C288" i="82" s="1"/>
  <c r="C635" i="27"/>
  <c r="C289" i="82" s="1"/>
  <c r="C636" i="27"/>
  <c r="C290" i="82" s="1"/>
  <c r="C637" i="27"/>
  <c r="C291" i="82" s="1"/>
  <c r="C638" i="27"/>
  <c r="C292" i="82" s="1"/>
  <c r="C639" i="27"/>
  <c r="C293" i="82" s="1"/>
  <c r="C640" i="27"/>
  <c r="C294" i="82" s="1"/>
  <c r="C641" i="27"/>
  <c r="C295" i="82" s="1"/>
  <c r="C642" i="27"/>
  <c r="C296" i="82" s="1"/>
  <c r="C643" i="27"/>
  <c r="C297" i="82" s="1"/>
  <c r="C644" i="27"/>
  <c r="C298" i="82" s="1"/>
  <c r="C670" i="27"/>
  <c r="C299" i="82" s="1"/>
  <c r="C671" i="27"/>
  <c r="C300" i="82" s="1"/>
  <c r="C672" i="27"/>
  <c r="C301" i="82" s="1"/>
  <c r="C673" i="27"/>
  <c r="C302" i="82" s="1"/>
  <c r="C674" i="27"/>
  <c r="C303" i="82" s="1"/>
  <c r="C694" i="27"/>
  <c r="C304" i="82" s="1"/>
  <c r="C590" i="27"/>
  <c r="C272" i="82" s="1"/>
  <c r="C261" i="27"/>
  <c r="K261" i="27" s="1"/>
  <c r="K137" i="82" s="1"/>
  <c r="C262" i="27"/>
  <c r="P262" i="27" s="1"/>
  <c r="P138" i="82" s="1"/>
  <c r="C263" i="27"/>
  <c r="C139" i="82" s="1"/>
  <c r="C264" i="27"/>
  <c r="P264" i="27" s="1"/>
  <c r="P140" i="82" s="1"/>
  <c r="C265" i="27"/>
  <c r="C141" i="82" s="1"/>
  <c r="C266" i="27"/>
  <c r="P266" i="27" s="1"/>
  <c r="P142" i="82" s="1"/>
  <c r="C267" i="27"/>
  <c r="P267" i="27" s="1"/>
  <c r="P143" i="82" s="1"/>
  <c r="C268" i="27"/>
  <c r="C144" i="82" s="1"/>
  <c r="C269" i="27"/>
  <c r="P269" i="27" s="1"/>
  <c r="P145" i="82" s="1"/>
  <c r="C278" i="27"/>
  <c r="P278" i="27" s="1"/>
  <c r="P146" i="82" s="1"/>
  <c r="C279" i="27"/>
  <c r="C147" i="82" s="1"/>
  <c r="C280" i="27"/>
  <c r="C148" i="82" s="1"/>
  <c r="C281" i="27"/>
  <c r="C149" i="82" s="1"/>
  <c r="C282" i="27"/>
  <c r="P282" i="27" s="1"/>
  <c r="P150" i="82" s="1"/>
  <c r="C283" i="27"/>
  <c r="K283" i="27" s="1"/>
  <c r="K151" i="82" s="1"/>
  <c r="C284" i="27"/>
  <c r="C152" i="82" s="1"/>
  <c r="C285" i="27"/>
  <c r="P285" i="27" s="1"/>
  <c r="P153" i="82" s="1"/>
  <c r="C286" i="27"/>
  <c r="P286" i="27" s="1"/>
  <c r="P154" i="82" s="1"/>
  <c r="C155" i="82"/>
  <c r="C156" i="82"/>
  <c r="C157" i="82"/>
  <c r="P158" i="82"/>
  <c r="P159" i="82"/>
  <c r="C160" i="82"/>
  <c r="P161" i="82"/>
  <c r="P162" i="82"/>
  <c r="C163" i="82"/>
  <c r="C164" i="82"/>
  <c r="C165" i="82"/>
  <c r="C464" i="27"/>
  <c r="C166" i="82" s="1"/>
  <c r="C465" i="27"/>
  <c r="P465" i="27" s="1"/>
  <c r="P167" i="82" s="1"/>
  <c r="C466" i="27"/>
  <c r="C168" i="82" s="1"/>
  <c r="C467" i="27"/>
  <c r="P467" i="27" s="1"/>
  <c r="P169" i="82" s="1"/>
  <c r="C468" i="27"/>
  <c r="C170" i="82" s="1"/>
  <c r="I263" i="27"/>
  <c r="I139" i="82" s="1"/>
  <c r="C199" i="27"/>
  <c r="C200" i="27"/>
  <c r="P200" i="27" s="1"/>
  <c r="P106" i="82" s="1"/>
  <c r="C201" i="27"/>
  <c r="P201" i="27" s="1"/>
  <c r="P107" i="82" s="1"/>
  <c r="C202" i="27"/>
  <c r="C213" i="27"/>
  <c r="P213" i="27" s="1"/>
  <c r="C214" i="27"/>
  <c r="P214" i="27" s="1"/>
  <c r="P110" i="82" s="1"/>
  <c r="C215" i="27"/>
  <c r="P215" i="27" s="1"/>
  <c r="P111" i="82" s="1"/>
  <c r="C216" i="27"/>
  <c r="C217" i="27"/>
  <c r="P217" i="27" s="1"/>
  <c r="P113" i="82" s="1"/>
  <c r="C228" i="27"/>
  <c r="P228" i="27" s="1"/>
  <c r="P114" i="82" s="1"/>
  <c r="C229" i="27"/>
  <c r="P229" i="27" s="1"/>
  <c r="P115" i="82" s="1"/>
  <c r="C230" i="27"/>
  <c r="P230" i="27" s="1"/>
  <c r="P116" i="82" s="1"/>
  <c r="C231" i="27"/>
  <c r="C232" i="27"/>
  <c r="P232" i="27" s="1"/>
  <c r="P118" i="82" s="1"/>
  <c r="C243" i="27"/>
  <c r="P243" i="27" s="1"/>
  <c r="P119" i="82" s="1"/>
  <c r="C244" i="27"/>
  <c r="P244" i="27" s="1"/>
  <c r="P120" i="82" s="1"/>
  <c r="C245" i="27"/>
  <c r="C246" i="27"/>
  <c r="P246" i="27" s="1"/>
  <c r="P122" i="82" s="1"/>
  <c r="C247" i="27"/>
  <c r="P247" i="27" s="1"/>
  <c r="P123" i="82" s="1"/>
  <c r="C248" i="27"/>
  <c r="I248" i="27" s="1"/>
  <c r="C249" i="27"/>
  <c r="I249" i="27" s="1"/>
  <c r="C250" i="27"/>
  <c r="I250" i="27" s="1"/>
  <c r="C251" i="27"/>
  <c r="I251" i="27" s="1"/>
  <c r="C252" i="27"/>
  <c r="I252" i="27" s="1"/>
  <c r="C253" i="27"/>
  <c r="C254" i="27"/>
  <c r="I254" i="27" s="1"/>
  <c r="C255" i="27"/>
  <c r="I255" i="27" s="1"/>
  <c r="C256" i="27"/>
  <c r="I256" i="27" s="1"/>
  <c r="C257" i="27"/>
  <c r="I257" i="27" s="1"/>
  <c r="C198" i="27"/>
  <c r="P198" i="27" s="1"/>
  <c r="P104" i="82" s="1"/>
  <c r="C79" i="27"/>
  <c r="C74" i="82" s="1"/>
  <c r="C80" i="27"/>
  <c r="C75" i="82" s="1"/>
  <c r="C81" i="27"/>
  <c r="C76" i="82" s="1"/>
  <c r="C82" i="27"/>
  <c r="C77" i="82" s="1"/>
  <c r="C78" i="82"/>
  <c r="C79" i="82"/>
  <c r="C80" i="82"/>
  <c r="C81" i="82"/>
  <c r="C82" i="82"/>
  <c r="C108" i="27"/>
  <c r="C83" i="82" s="1"/>
  <c r="C109" i="27"/>
  <c r="C84" i="82" s="1"/>
  <c r="C110" i="27"/>
  <c r="C85" i="82" s="1"/>
  <c r="C111" i="27"/>
  <c r="C86" i="82" s="1"/>
  <c r="C112" i="27"/>
  <c r="C87" i="82" s="1"/>
  <c r="C123" i="27"/>
  <c r="C88" i="82" s="1"/>
  <c r="C124" i="27"/>
  <c r="C89" i="82" s="1"/>
  <c r="C125" i="27"/>
  <c r="C90" i="82" s="1"/>
  <c r="C126" i="27"/>
  <c r="C91" i="82" s="1"/>
  <c r="C127" i="27"/>
  <c r="C92" i="82" s="1"/>
  <c r="C138" i="27"/>
  <c r="C93" i="82" s="1"/>
  <c r="C139" i="27"/>
  <c r="C94" i="82" s="1"/>
  <c r="C140" i="27"/>
  <c r="C95" i="82" s="1"/>
  <c r="C141" i="27"/>
  <c r="C96" i="82" s="1"/>
  <c r="C142" i="27"/>
  <c r="C97" i="82" s="1"/>
  <c r="C188" i="27"/>
  <c r="C98" i="82" s="1"/>
  <c r="C189" i="27"/>
  <c r="C99" i="82" s="1"/>
  <c r="C190" i="27"/>
  <c r="C100" i="82" s="1"/>
  <c r="C191" i="27"/>
  <c r="C101" i="82" s="1"/>
  <c r="C192" i="27"/>
  <c r="C102" i="82" s="1"/>
  <c r="C78" i="27"/>
  <c r="C73" i="82" s="1"/>
  <c r="C61" i="27"/>
  <c r="C62" i="27"/>
  <c r="C63" i="27"/>
  <c r="C58" i="82" s="1"/>
  <c r="C64" i="27"/>
  <c r="L64" i="27" s="1"/>
  <c r="L59" i="82" s="1"/>
  <c r="C65" i="27"/>
  <c r="C60" i="82" s="1"/>
  <c r="C66" i="27"/>
  <c r="C61" i="82" s="1"/>
  <c r="C67" i="27"/>
  <c r="C62" i="82" s="1"/>
  <c r="C68" i="27"/>
  <c r="C69" i="27"/>
  <c r="C64" i="82" s="1"/>
  <c r="C70" i="27"/>
  <c r="C71" i="27"/>
  <c r="C72" i="27"/>
  <c r="C73" i="27"/>
  <c r="C68" i="82" s="1"/>
  <c r="C74" i="27"/>
  <c r="C69" i="82" s="1"/>
  <c r="C75" i="27"/>
  <c r="C70" i="82" s="1"/>
  <c r="G47" i="27"/>
  <c r="G42" i="82" s="1"/>
  <c r="G48" i="27"/>
  <c r="G43" i="82" s="1"/>
  <c r="G49" i="27"/>
  <c r="G50" i="27"/>
  <c r="G45" i="82" s="1"/>
  <c r="G51" i="27"/>
  <c r="G46" i="82" s="1"/>
  <c r="G52" i="27"/>
  <c r="G47" i="82" s="1"/>
  <c r="G53" i="27"/>
  <c r="G54" i="27"/>
  <c r="G49" i="82" s="1"/>
  <c r="G55" i="27"/>
  <c r="G50" i="82" s="1"/>
  <c r="G56" i="27"/>
  <c r="G51" i="82" s="1"/>
  <c r="G57" i="27"/>
  <c r="G58" i="27"/>
  <c r="G53" i="82" s="1"/>
  <c r="G59" i="27"/>
  <c r="G60" i="27"/>
  <c r="G55" i="82" s="1"/>
  <c r="G61" i="27"/>
  <c r="G56" i="82" s="1"/>
  <c r="G62" i="27"/>
  <c r="G57" i="82" s="1"/>
  <c r="G63" i="27"/>
  <c r="G58" i="82" s="1"/>
  <c r="G64" i="27"/>
  <c r="G59" i="82" s="1"/>
  <c r="G65" i="27"/>
  <c r="G66" i="27"/>
  <c r="G61" i="82" s="1"/>
  <c r="G67" i="27"/>
  <c r="G62" i="82" s="1"/>
  <c r="G68" i="27"/>
  <c r="G63" i="82" s="1"/>
  <c r="G69" i="27"/>
  <c r="G70" i="27"/>
  <c r="G65" i="82" s="1"/>
  <c r="G71" i="27"/>
  <c r="G66" i="82" s="1"/>
  <c r="G72" i="27"/>
  <c r="G67" i="82" s="1"/>
  <c r="G73" i="27"/>
  <c r="G74" i="27"/>
  <c r="G69" i="82" s="1"/>
  <c r="G75" i="27"/>
  <c r="E47" i="27"/>
  <c r="E42" i="82" s="1"/>
  <c r="E48" i="27"/>
  <c r="E43" i="82" s="1"/>
  <c r="E49" i="27"/>
  <c r="E44" i="82" s="1"/>
  <c r="E50" i="27"/>
  <c r="E45" i="82" s="1"/>
  <c r="E51" i="27"/>
  <c r="E46" i="82" s="1"/>
  <c r="E52" i="27"/>
  <c r="E53" i="27"/>
  <c r="E48" i="82" s="1"/>
  <c r="E54" i="27"/>
  <c r="E49" i="82" s="1"/>
  <c r="E55" i="27"/>
  <c r="E50" i="82" s="1"/>
  <c r="E56" i="27"/>
  <c r="E51" i="82" s="1"/>
  <c r="E57" i="27"/>
  <c r="E52" i="82" s="1"/>
  <c r="E58" i="27"/>
  <c r="E53" i="82" s="1"/>
  <c r="E59" i="27"/>
  <c r="E54" i="82" s="1"/>
  <c r="E60" i="27"/>
  <c r="E61" i="27"/>
  <c r="E56" i="82" s="1"/>
  <c r="E62" i="27"/>
  <c r="E57" i="82" s="1"/>
  <c r="E63" i="27"/>
  <c r="E58" i="82" s="1"/>
  <c r="E64" i="27"/>
  <c r="E59" i="82" s="1"/>
  <c r="E65" i="27"/>
  <c r="E60" i="82" s="1"/>
  <c r="E66" i="27"/>
  <c r="E61" i="82" s="1"/>
  <c r="E67" i="27"/>
  <c r="E62" i="82" s="1"/>
  <c r="E68" i="27"/>
  <c r="E63" i="82" s="1"/>
  <c r="E69" i="27"/>
  <c r="E64" i="82" s="1"/>
  <c r="E70" i="27"/>
  <c r="E65" i="82" s="1"/>
  <c r="E71" i="27"/>
  <c r="E66" i="82" s="1"/>
  <c r="E72" i="27"/>
  <c r="E67" i="82" s="1"/>
  <c r="E73" i="27"/>
  <c r="E68" i="82" s="1"/>
  <c r="E74" i="27"/>
  <c r="E69" i="82" s="1"/>
  <c r="E75" i="27"/>
  <c r="E70" i="82" s="1"/>
  <c r="G46" i="27"/>
  <c r="E46" i="27"/>
  <c r="E41" i="82" s="1"/>
  <c r="H958" i="70"/>
  <c r="J591" i="27" s="1"/>
  <c r="J273" i="82" s="1"/>
  <c r="H960" i="70"/>
  <c r="J593" i="27" s="1"/>
  <c r="J275" i="82" s="1"/>
  <c r="H961" i="70"/>
  <c r="J594" i="27" s="1"/>
  <c r="J276" i="82" s="1"/>
  <c r="H962" i="70"/>
  <c r="J595" i="27" s="1"/>
  <c r="J277" i="82" s="1"/>
  <c r="H963" i="70"/>
  <c r="J596" i="27" s="1"/>
  <c r="J278" i="82" s="1"/>
  <c r="H964" i="70"/>
  <c r="J597" i="27" s="1"/>
  <c r="J279" i="82" s="1"/>
  <c r="J598" i="27"/>
  <c r="J280" i="82" s="1"/>
  <c r="J599" i="27"/>
  <c r="J281" i="82" s="1"/>
  <c r="J600" i="27"/>
  <c r="J282" i="82" s="1"/>
  <c r="J601" i="27"/>
  <c r="J283" i="82" s="1"/>
  <c r="J602" i="27"/>
  <c r="J284" i="82" s="1"/>
  <c r="J603" i="27"/>
  <c r="J285" i="82" s="1"/>
  <c r="J604" i="27"/>
  <c r="J286" i="82" s="1"/>
  <c r="J605" i="27"/>
  <c r="J287" i="82" s="1"/>
  <c r="J606" i="27"/>
  <c r="J288" i="82" s="1"/>
  <c r="H1002" i="70"/>
  <c r="J635" i="27" s="1"/>
  <c r="J289" i="82" s="1"/>
  <c r="H1003" i="70"/>
  <c r="J636" i="27" s="1"/>
  <c r="J290" i="82" s="1"/>
  <c r="H1004" i="70"/>
  <c r="J637" i="27" s="1"/>
  <c r="J291" i="82" s="1"/>
  <c r="H1005" i="70"/>
  <c r="J638" i="27" s="1"/>
  <c r="J292" i="82" s="1"/>
  <c r="H1006" i="70"/>
  <c r="J639" i="27" s="1"/>
  <c r="J293" i="82" s="1"/>
  <c r="H1007" i="70"/>
  <c r="J640" i="27" s="1"/>
  <c r="J294" i="82" s="1"/>
  <c r="H1008" i="70"/>
  <c r="J641" i="27" s="1"/>
  <c r="J295" i="82" s="1"/>
  <c r="H1009" i="70"/>
  <c r="J642" i="27" s="1"/>
  <c r="J296" i="82" s="1"/>
  <c r="H1010" i="70"/>
  <c r="J643" i="27" s="1"/>
  <c r="J297" i="82" s="1"/>
  <c r="H1011" i="70"/>
  <c r="J644" i="27" s="1"/>
  <c r="J298" i="82" s="1"/>
  <c r="J670" i="27"/>
  <c r="J299" i="82" s="1"/>
  <c r="J671" i="27"/>
  <c r="J300" i="82" s="1"/>
  <c r="J672" i="27"/>
  <c r="J301" i="82" s="1"/>
  <c r="J673" i="27"/>
  <c r="J302" i="82" s="1"/>
  <c r="J674" i="27"/>
  <c r="J303" i="82" s="1"/>
  <c r="H1061" i="70"/>
  <c r="J694" i="27" s="1"/>
  <c r="J304" i="82" s="1"/>
  <c r="H957" i="70"/>
  <c r="J590" i="27" s="1"/>
  <c r="J272" i="82" s="1"/>
  <c r="D591" i="27"/>
  <c r="D273" i="82" s="1"/>
  <c r="E591" i="27"/>
  <c r="E273" i="82" s="1"/>
  <c r="D592" i="27"/>
  <c r="D274" i="82" s="1"/>
  <c r="D593" i="27"/>
  <c r="D275" i="82" s="1"/>
  <c r="E593" i="27"/>
  <c r="E275" i="82" s="1"/>
  <c r="D594" i="27"/>
  <c r="D276" i="82" s="1"/>
  <c r="E594" i="27"/>
  <c r="E276" i="82" s="1"/>
  <c r="D595" i="27"/>
  <c r="D277" i="82" s="1"/>
  <c r="E595" i="27"/>
  <c r="E277" i="82" s="1"/>
  <c r="D596" i="27"/>
  <c r="D278" i="82" s="1"/>
  <c r="E596" i="27"/>
  <c r="E278" i="82" s="1"/>
  <c r="D597" i="27"/>
  <c r="D279" i="82" s="1"/>
  <c r="E597" i="27"/>
  <c r="E279" i="82" s="1"/>
  <c r="D598" i="27"/>
  <c r="D280" i="82" s="1"/>
  <c r="E598" i="27"/>
  <c r="E280" i="82" s="1"/>
  <c r="D599" i="27"/>
  <c r="D281" i="82" s="1"/>
  <c r="E599" i="27"/>
  <c r="E281" i="82" s="1"/>
  <c r="D600" i="27"/>
  <c r="D282" i="82" s="1"/>
  <c r="E600" i="27"/>
  <c r="E282" i="82" s="1"/>
  <c r="D601" i="27"/>
  <c r="D283" i="82" s="1"/>
  <c r="E601" i="27"/>
  <c r="E283" i="82" s="1"/>
  <c r="D602" i="27"/>
  <c r="D284" i="82" s="1"/>
  <c r="E602" i="27"/>
  <c r="E284" i="82" s="1"/>
  <c r="D603" i="27"/>
  <c r="D285" i="82" s="1"/>
  <c r="E603" i="27"/>
  <c r="E285" i="82" s="1"/>
  <c r="D604" i="27"/>
  <c r="D286" i="82" s="1"/>
  <c r="E604" i="27"/>
  <c r="E286" i="82" s="1"/>
  <c r="D605" i="27"/>
  <c r="D287" i="82" s="1"/>
  <c r="E605" i="27"/>
  <c r="E287" i="82" s="1"/>
  <c r="D606" i="27"/>
  <c r="D288" i="82" s="1"/>
  <c r="E606" i="27"/>
  <c r="E288" i="82" s="1"/>
  <c r="D635" i="27"/>
  <c r="D289" i="82" s="1"/>
  <c r="E635" i="27"/>
  <c r="E289" i="82" s="1"/>
  <c r="D636" i="27"/>
  <c r="D290" i="82" s="1"/>
  <c r="E636" i="27"/>
  <c r="E290" i="82" s="1"/>
  <c r="D637" i="27"/>
  <c r="D291" i="82" s="1"/>
  <c r="E637" i="27"/>
  <c r="E291" i="82" s="1"/>
  <c r="D638" i="27"/>
  <c r="D292" i="82" s="1"/>
  <c r="E638" i="27"/>
  <c r="E292" i="82" s="1"/>
  <c r="D639" i="27"/>
  <c r="D293" i="82" s="1"/>
  <c r="E639" i="27"/>
  <c r="E293" i="82" s="1"/>
  <c r="D640" i="27"/>
  <c r="D294" i="82" s="1"/>
  <c r="E640" i="27"/>
  <c r="E294" i="82" s="1"/>
  <c r="D641" i="27"/>
  <c r="D295" i="82" s="1"/>
  <c r="E641" i="27"/>
  <c r="E295" i="82" s="1"/>
  <c r="D642" i="27"/>
  <c r="D296" i="82" s="1"/>
  <c r="E642" i="27"/>
  <c r="E296" i="82" s="1"/>
  <c r="D643" i="27"/>
  <c r="D297" i="82" s="1"/>
  <c r="E643" i="27"/>
  <c r="E297" i="82" s="1"/>
  <c r="D644" i="27"/>
  <c r="D298" i="82" s="1"/>
  <c r="E644" i="27"/>
  <c r="E298" i="82" s="1"/>
  <c r="D670" i="27"/>
  <c r="D299" i="82" s="1"/>
  <c r="E670" i="27"/>
  <c r="E299" i="82" s="1"/>
  <c r="D671" i="27"/>
  <c r="D300" i="82" s="1"/>
  <c r="E671" i="27"/>
  <c r="E300" i="82" s="1"/>
  <c r="D672" i="27"/>
  <c r="D301" i="82" s="1"/>
  <c r="E672" i="27"/>
  <c r="E301" i="82" s="1"/>
  <c r="D673" i="27"/>
  <c r="D302" i="82" s="1"/>
  <c r="E673" i="27"/>
  <c r="E302" i="82" s="1"/>
  <c r="D674" i="27"/>
  <c r="D303" i="82" s="1"/>
  <c r="E674" i="27"/>
  <c r="E303" i="82" s="1"/>
  <c r="D694" i="27"/>
  <c r="D304" i="82" s="1"/>
  <c r="E694" i="27"/>
  <c r="E304" i="82" s="1"/>
  <c r="E590" i="27"/>
  <c r="E272" i="82" s="1"/>
  <c r="D590" i="27"/>
  <c r="D272" i="82" s="1"/>
  <c r="L605" i="27"/>
  <c r="L287" i="82" s="1"/>
  <c r="L606" i="27"/>
  <c r="L288" i="82" s="1"/>
  <c r="L635" i="27"/>
  <c r="L289" i="82" s="1"/>
  <c r="L636" i="27"/>
  <c r="L290" i="82" s="1"/>
  <c r="L637" i="27"/>
  <c r="L291" i="82" s="1"/>
  <c r="L638" i="27"/>
  <c r="L292" i="82" s="1"/>
  <c r="L639" i="27"/>
  <c r="L293" i="82" s="1"/>
  <c r="L640" i="27"/>
  <c r="L294" i="82" s="1"/>
  <c r="L641" i="27"/>
  <c r="L295" i="82" s="1"/>
  <c r="L642" i="27"/>
  <c r="L296" i="82" s="1"/>
  <c r="L643" i="27"/>
  <c r="L297" i="82" s="1"/>
  <c r="L644" i="27"/>
  <c r="L298" i="82" s="1"/>
  <c r="L670" i="27"/>
  <c r="L299" i="82" s="1"/>
  <c r="L671" i="27"/>
  <c r="L300" i="82" s="1"/>
  <c r="L672" i="27"/>
  <c r="L301" i="82" s="1"/>
  <c r="L673" i="27"/>
  <c r="L302" i="82" s="1"/>
  <c r="L674" i="27"/>
  <c r="L303" i="82" s="1"/>
  <c r="L694" i="27"/>
  <c r="L304" i="82" s="1"/>
  <c r="I285" i="82"/>
  <c r="I286" i="82"/>
  <c r="I287" i="82"/>
  <c r="I288" i="82"/>
  <c r="I289" i="82"/>
  <c r="I290" i="82"/>
  <c r="I291" i="82"/>
  <c r="I292" i="82"/>
  <c r="I293" i="82"/>
  <c r="I294" i="82"/>
  <c r="I295" i="82"/>
  <c r="I296" i="82"/>
  <c r="I297" i="82"/>
  <c r="I298" i="82"/>
  <c r="I299" i="82"/>
  <c r="I300" i="82"/>
  <c r="I301" i="82"/>
  <c r="I302" i="82"/>
  <c r="I303" i="82"/>
  <c r="I304" i="82"/>
  <c r="F591" i="27"/>
  <c r="F273" i="82" s="1"/>
  <c r="F592" i="27"/>
  <c r="F274" i="82" s="1"/>
  <c r="F593" i="27"/>
  <c r="F275" i="82" s="1"/>
  <c r="F594" i="27"/>
  <c r="F276" i="82" s="1"/>
  <c r="F595" i="27"/>
  <c r="H595" i="27" s="1"/>
  <c r="M595" i="27" s="1"/>
  <c r="S595" i="27" s="1"/>
  <c r="F596" i="27"/>
  <c r="F597" i="27"/>
  <c r="F279" i="82" s="1"/>
  <c r="F598" i="27"/>
  <c r="F280" i="82" s="1"/>
  <c r="F599" i="27"/>
  <c r="F281" i="82" s="1"/>
  <c r="F600" i="27"/>
  <c r="F282" i="82" s="1"/>
  <c r="F601" i="27"/>
  <c r="F283" i="82" s="1"/>
  <c r="F602" i="27"/>
  <c r="F284" i="82" s="1"/>
  <c r="F603" i="27"/>
  <c r="F285" i="82" s="1"/>
  <c r="F604" i="27"/>
  <c r="F286" i="82" s="1"/>
  <c r="F605" i="27"/>
  <c r="F287" i="82" s="1"/>
  <c r="F606" i="27"/>
  <c r="F288" i="82" s="1"/>
  <c r="F635" i="27"/>
  <c r="F289" i="82" s="1"/>
  <c r="F636" i="27"/>
  <c r="F637" i="27"/>
  <c r="F291" i="82" s="1"/>
  <c r="F638" i="27"/>
  <c r="F292" i="82" s="1"/>
  <c r="F639" i="27"/>
  <c r="F293" i="82" s="1"/>
  <c r="F640" i="27"/>
  <c r="F294" i="82" s="1"/>
  <c r="F641" i="27"/>
  <c r="F295" i="82" s="1"/>
  <c r="F642" i="27"/>
  <c r="F296" i="82" s="1"/>
  <c r="F643" i="27"/>
  <c r="F297" i="82" s="1"/>
  <c r="F644" i="27"/>
  <c r="F298" i="82" s="1"/>
  <c r="F670" i="27"/>
  <c r="F299" i="82" s="1"/>
  <c r="F671" i="27"/>
  <c r="F300" i="82" s="1"/>
  <c r="F672" i="27"/>
  <c r="F301" i="82" s="1"/>
  <c r="F673" i="27"/>
  <c r="F674" i="27"/>
  <c r="F303" i="82" s="1"/>
  <c r="F694" i="27"/>
  <c r="F304" i="82" s="1"/>
  <c r="F590" i="27"/>
  <c r="F272" i="82" s="1"/>
  <c r="I269" i="82"/>
  <c r="L587" i="27"/>
  <c r="L269" i="82" s="1"/>
  <c r="G576" i="27"/>
  <c r="G258" i="82" s="1"/>
  <c r="G577" i="27"/>
  <c r="G259" i="82" s="1"/>
  <c r="G578" i="27"/>
  <c r="G260" i="82" s="1"/>
  <c r="G579" i="27"/>
  <c r="G261" i="82" s="1"/>
  <c r="G580" i="27"/>
  <c r="G262" i="82" s="1"/>
  <c r="G581" i="27"/>
  <c r="G263" i="82" s="1"/>
  <c r="G582" i="27"/>
  <c r="G264" i="82" s="1"/>
  <c r="G583" i="27"/>
  <c r="G265" i="82" s="1"/>
  <c r="G584" i="27"/>
  <c r="G266" i="82" s="1"/>
  <c r="G585" i="27"/>
  <c r="G267" i="82" s="1"/>
  <c r="G586" i="27"/>
  <c r="G268" i="82" s="1"/>
  <c r="G575" i="27"/>
  <c r="G257" i="82" s="1"/>
  <c r="F587" i="27"/>
  <c r="F269" i="82" s="1"/>
  <c r="F575" i="27"/>
  <c r="F257" i="82" s="1"/>
  <c r="F576" i="27"/>
  <c r="F258" i="82" s="1"/>
  <c r="F577" i="27"/>
  <c r="F259" i="82" s="1"/>
  <c r="F578" i="27"/>
  <c r="F260" i="82" s="1"/>
  <c r="F579" i="27"/>
  <c r="F261" i="82" s="1"/>
  <c r="F580" i="27"/>
  <c r="F262" i="82" s="1"/>
  <c r="F581" i="27"/>
  <c r="F263" i="82" s="1"/>
  <c r="F582" i="27"/>
  <c r="F264" i="82" s="1"/>
  <c r="F583" i="27"/>
  <c r="F265" i="82" s="1"/>
  <c r="F584" i="27"/>
  <c r="F266" i="82" s="1"/>
  <c r="F585" i="27"/>
  <c r="F267" i="82" s="1"/>
  <c r="F586" i="27"/>
  <c r="F268" i="82" s="1"/>
  <c r="F565" i="27"/>
  <c r="F247" i="82" s="1"/>
  <c r="F566" i="27"/>
  <c r="F248" i="82" s="1"/>
  <c r="F567" i="27"/>
  <c r="F249" i="82" s="1"/>
  <c r="F568" i="27"/>
  <c r="F250" i="82" s="1"/>
  <c r="F569" i="27"/>
  <c r="F251" i="82" s="1"/>
  <c r="F570" i="27"/>
  <c r="F252" i="82" s="1"/>
  <c r="F571" i="27"/>
  <c r="F253" i="82" s="1"/>
  <c r="F572" i="27"/>
  <c r="F254" i="82" s="1"/>
  <c r="F573" i="27"/>
  <c r="F574" i="27"/>
  <c r="F256" i="82" s="1"/>
  <c r="F564" i="27"/>
  <c r="F246" i="82" s="1"/>
  <c r="L555" i="27"/>
  <c r="L237" i="82" s="1"/>
  <c r="L556" i="27"/>
  <c r="L238" i="82" s="1"/>
  <c r="L561" i="27"/>
  <c r="L243" i="82" s="1"/>
  <c r="I237" i="82"/>
  <c r="I238" i="82"/>
  <c r="I243" i="82"/>
  <c r="F555" i="27"/>
  <c r="F556" i="27"/>
  <c r="F238" i="82" s="1"/>
  <c r="F557" i="27"/>
  <c r="F239" i="82" s="1"/>
  <c r="F558" i="27"/>
  <c r="F240" i="82" s="1"/>
  <c r="F559" i="27"/>
  <c r="F241" i="82" s="1"/>
  <c r="F560" i="27"/>
  <c r="F242" i="82" s="1"/>
  <c r="F561" i="27"/>
  <c r="F243" i="82" s="1"/>
  <c r="F551" i="27"/>
  <c r="F233" i="82" s="1"/>
  <c r="F552" i="27"/>
  <c r="F234" i="82" s="1"/>
  <c r="F553" i="27"/>
  <c r="F235" i="82" s="1"/>
  <c r="F554" i="27"/>
  <c r="F236" i="82" s="1"/>
  <c r="G552" i="27"/>
  <c r="I552" i="27" s="1"/>
  <c r="I234" i="82" s="1"/>
  <c r="G553" i="27"/>
  <c r="G235" i="82" s="1"/>
  <c r="G554" i="27"/>
  <c r="G551" i="27"/>
  <c r="G233" i="82" s="1"/>
  <c r="L534" i="27"/>
  <c r="L216" i="82" s="1"/>
  <c r="I219" i="82"/>
  <c r="I221" i="82"/>
  <c r="F541" i="27"/>
  <c r="F223" i="82" s="1"/>
  <c r="F542" i="27"/>
  <c r="F224" i="82" s="1"/>
  <c r="F543" i="27"/>
  <c r="F225" i="82" s="1"/>
  <c r="F544" i="27"/>
  <c r="F226" i="82" s="1"/>
  <c r="F545" i="27"/>
  <c r="F227" i="82" s="1"/>
  <c r="F546" i="27"/>
  <c r="F228" i="82" s="1"/>
  <c r="F547" i="27"/>
  <c r="F229" i="82" s="1"/>
  <c r="F548" i="27"/>
  <c r="F230" i="82" s="1"/>
  <c r="F549" i="27"/>
  <c r="F231" i="82" s="1"/>
  <c r="F550" i="27"/>
  <c r="F232" i="82" s="1"/>
  <c r="F538" i="27"/>
  <c r="F220" i="82" s="1"/>
  <c r="F539" i="27"/>
  <c r="F221" i="82" s="1"/>
  <c r="F540" i="27"/>
  <c r="F222" i="82" s="1"/>
  <c r="G537" i="27"/>
  <c r="G219" i="82" s="1"/>
  <c r="F537" i="27"/>
  <c r="F219" i="82" s="1"/>
  <c r="F535" i="27"/>
  <c r="F217" i="82" s="1"/>
  <c r="F536" i="27"/>
  <c r="F218" i="82" s="1"/>
  <c r="L533" i="27"/>
  <c r="L215" i="82" s="1"/>
  <c r="I215" i="82"/>
  <c r="I216" i="82"/>
  <c r="F525" i="27"/>
  <c r="F207" i="82" s="1"/>
  <c r="F526" i="27"/>
  <c r="F208" i="82" s="1"/>
  <c r="F527" i="27"/>
  <c r="F209" i="82" s="1"/>
  <c r="F528" i="27"/>
  <c r="F210" i="82" s="1"/>
  <c r="F529" i="27"/>
  <c r="F211" i="82" s="1"/>
  <c r="F530" i="27"/>
  <c r="F212" i="82" s="1"/>
  <c r="F531" i="27"/>
  <c r="F213" i="82" s="1"/>
  <c r="F532" i="27"/>
  <c r="F214" i="82" s="1"/>
  <c r="F533" i="27"/>
  <c r="F215" i="82" s="1"/>
  <c r="F534" i="27"/>
  <c r="F516" i="27"/>
  <c r="F198" i="82" s="1"/>
  <c r="F517" i="27"/>
  <c r="F199" i="82" s="1"/>
  <c r="F518" i="27"/>
  <c r="F200" i="82" s="1"/>
  <c r="F519" i="27"/>
  <c r="F201" i="82" s="1"/>
  <c r="F520" i="27"/>
  <c r="F202" i="82" s="1"/>
  <c r="F521" i="27"/>
  <c r="F203" i="82" s="1"/>
  <c r="F522" i="27"/>
  <c r="F204" i="82" s="1"/>
  <c r="F523" i="27"/>
  <c r="F205" i="82" s="1"/>
  <c r="F524" i="27"/>
  <c r="F206" i="82" s="1"/>
  <c r="F502" i="27"/>
  <c r="F194" i="82" s="1"/>
  <c r="F503" i="27"/>
  <c r="F195" i="82" s="1"/>
  <c r="F504" i="27"/>
  <c r="F196" i="82" s="1"/>
  <c r="F505" i="27"/>
  <c r="F197" i="82" s="1"/>
  <c r="F501" i="27"/>
  <c r="F193" i="82" s="1"/>
  <c r="F497" i="27"/>
  <c r="F189" i="82" s="1"/>
  <c r="F498" i="27"/>
  <c r="F190" i="82" s="1"/>
  <c r="F499" i="27"/>
  <c r="F191" i="82" s="1"/>
  <c r="F500" i="27"/>
  <c r="F192" i="82" s="1"/>
  <c r="F496" i="27"/>
  <c r="F188" i="82" s="1"/>
  <c r="F491" i="27"/>
  <c r="F183" i="82" s="1"/>
  <c r="F486" i="27"/>
  <c r="F178" i="82" s="1"/>
  <c r="F487" i="27"/>
  <c r="F179" i="82" s="1"/>
  <c r="F488" i="27"/>
  <c r="F180" i="82" s="1"/>
  <c r="F489" i="27"/>
  <c r="F181" i="82" s="1"/>
  <c r="F490" i="27"/>
  <c r="F182" i="82" s="1"/>
  <c r="F472" i="27"/>
  <c r="F174" i="82" s="1"/>
  <c r="F473" i="27"/>
  <c r="F175" i="82" s="1"/>
  <c r="F474" i="27"/>
  <c r="F176" i="82" s="1"/>
  <c r="F475" i="27"/>
  <c r="F177" i="82" s="1"/>
  <c r="F471" i="27"/>
  <c r="F173" i="82" s="1"/>
  <c r="F464" i="27"/>
  <c r="F166" i="82" s="1"/>
  <c r="F465" i="27"/>
  <c r="F167" i="82" s="1"/>
  <c r="F466" i="27"/>
  <c r="F168" i="82" s="1"/>
  <c r="F467" i="27"/>
  <c r="H467" i="27" s="1"/>
  <c r="F468" i="27"/>
  <c r="F170" i="82" s="1"/>
  <c r="F165" i="82"/>
  <c r="F164" i="82"/>
  <c r="F163" i="82"/>
  <c r="F162" i="82"/>
  <c r="F161" i="82"/>
  <c r="F160" i="82"/>
  <c r="F159" i="82"/>
  <c r="F158" i="82"/>
  <c r="F157" i="82"/>
  <c r="F156" i="82"/>
  <c r="F155" i="82"/>
  <c r="F286" i="27"/>
  <c r="F154" i="82" s="1"/>
  <c r="F285" i="27"/>
  <c r="F153" i="82" s="1"/>
  <c r="F284" i="27"/>
  <c r="F152" i="82" s="1"/>
  <c r="F283" i="27"/>
  <c r="F151" i="82" s="1"/>
  <c r="F282" i="27"/>
  <c r="F150" i="82" s="1"/>
  <c r="F281" i="27"/>
  <c r="F149" i="82" s="1"/>
  <c r="F280" i="27"/>
  <c r="F148" i="82" s="1"/>
  <c r="F279" i="27"/>
  <c r="F147" i="82" s="1"/>
  <c r="F278" i="27"/>
  <c r="F146" i="82" s="1"/>
  <c r="C260" i="27"/>
  <c r="K260" i="27" s="1"/>
  <c r="K136" i="82" s="1"/>
  <c r="F261" i="27"/>
  <c r="F137" i="82" s="1"/>
  <c r="F262" i="27"/>
  <c r="F138" i="82" s="1"/>
  <c r="F263" i="27"/>
  <c r="F139" i="82" s="1"/>
  <c r="F264" i="27"/>
  <c r="F140" i="82" s="1"/>
  <c r="F265" i="27"/>
  <c r="F141" i="82" s="1"/>
  <c r="F266" i="27"/>
  <c r="F142" i="82" s="1"/>
  <c r="F267" i="27"/>
  <c r="F143" i="82" s="1"/>
  <c r="F268" i="27"/>
  <c r="F144" i="82" s="1"/>
  <c r="F269" i="27"/>
  <c r="F145" i="82" s="1"/>
  <c r="F260" i="27"/>
  <c r="F136" i="82" s="1"/>
  <c r="F249" i="27"/>
  <c r="F125" i="82" s="1"/>
  <c r="F250" i="27"/>
  <c r="F126" i="82" s="1"/>
  <c r="F251" i="27"/>
  <c r="F127" i="82" s="1"/>
  <c r="F252" i="27"/>
  <c r="F128" i="82" s="1"/>
  <c r="F253" i="27"/>
  <c r="F129" i="82" s="1"/>
  <c r="F254" i="27"/>
  <c r="F130" i="82" s="1"/>
  <c r="F255" i="27"/>
  <c r="F131" i="82" s="1"/>
  <c r="F256" i="27"/>
  <c r="F132" i="82" s="1"/>
  <c r="F257" i="27"/>
  <c r="F133" i="82" s="1"/>
  <c r="F248" i="27"/>
  <c r="F124" i="82" s="1"/>
  <c r="F243" i="27"/>
  <c r="F119" i="82" s="1"/>
  <c r="F244" i="27"/>
  <c r="F120" i="82" s="1"/>
  <c r="F245" i="27"/>
  <c r="F121" i="82" s="1"/>
  <c r="F246" i="27"/>
  <c r="F122" i="82" s="1"/>
  <c r="F247" i="27"/>
  <c r="F123" i="82" s="1"/>
  <c r="F142" i="27"/>
  <c r="F97" i="82" s="1"/>
  <c r="F188" i="27"/>
  <c r="F98" i="82" s="1"/>
  <c r="F189" i="27"/>
  <c r="F99" i="82" s="1"/>
  <c r="F190" i="27"/>
  <c r="F100" i="82" s="1"/>
  <c r="F191" i="27"/>
  <c r="F101" i="82" s="1"/>
  <c r="F192" i="27"/>
  <c r="F102" i="82" s="1"/>
  <c r="F127" i="27"/>
  <c r="F92" i="82" s="1"/>
  <c r="F138" i="27"/>
  <c r="F93" i="82" s="1"/>
  <c r="F139" i="27"/>
  <c r="F94" i="82" s="1"/>
  <c r="F140" i="27"/>
  <c r="F95" i="82" s="1"/>
  <c r="F141" i="27"/>
  <c r="F96" i="82" s="1"/>
  <c r="F108" i="27"/>
  <c r="F83" i="82" s="1"/>
  <c r="F109" i="27"/>
  <c r="F84" i="82" s="1"/>
  <c r="F110" i="27"/>
  <c r="F85" i="82" s="1"/>
  <c r="F111" i="27"/>
  <c r="F86" i="82" s="1"/>
  <c r="F112" i="27"/>
  <c r="F87" i="82" s="1"/>
  <c r="F123" i="27"/>
  <c r="F88" i="82" s="1"/>
  <c r="F124" i="27"/>
  <c r="F89" i="82" s="1"/>
  <c r="F125" i="27"/>
  <c r="F90" i="82" s="1"/>
  <c r="F126" i="27"/>
  <c r="F91" i="82" s="1"/>
  <c r="G413" i="70"/>
  <c r="H413" i="70" s="1"/>
  <c r="K165" i="66" s="1"/>
  <c r="G414" i="70"/>
  <c r="H414" i="70" s="1"/>
  <c r="K166" i="66" s="1"/>
  <c r="G415" i="70"/>
  <c r="H415" i="70" s="1"/>
  <c r="K167" i="66" s="1"/>
  <c r="G416" i="70"/>
  <c r="H416" i="70" s="1"/>
  <c r="K168" i="66" s="1"/>
  <c r="G417" i="70"/>
  <c r="H417" i="70" s="1"/>
  <c r="G418" i="70"/>
  <c r="H418" i="70" s="1"/>
  <c r="G419" i="70"/>
  <c r="H419" i="70" s="1"/>
  <c r="G420" i="70"/>
  <c r="H420" i="70" s="1"/>
  <c r="G421" i="70"/>
  <c r="H421" i="70" s="1"/>
  <c r="G422" i="70"/>
  <c r="G423" i="70"/>
  <c r="G424" i="70"/>
  <c r="G425" i="70"/>
  <c r="G426" i="70"/>
  <c r="G427" i="70"/>
  <c r="G428" i="70"/>
  <c r="G429" i="70"/>
  <c r="G430" i="70"/>
  <c r="G431" i="70"/>
  <c r="G432" i="70"/>
  <c r="G433" i="70"/>
  <c r="G434" i="70"/>
  <c r="G435" i="70"/>
  <c r="G436" i="70"/>
  <c r="G437" i="70"/>
  <c r="G438" i="70"/>
  <c r="G439" i="70"/>
  <c r="G440" i="70"/>
  <c r="G441" i="70"/>
  <c r="F50" i="27"/>
  <c r="F45" i="82" s="1"/>
  <c r="F51" i="27"/>
  <c r="F46" i="82" s="1"/>
  <c r="F52" i="27"/>
  <c r="F47" i="82" s="1"/>
  <c r="F53" i="27"/>
  <c r="F48" i="82" s="1"/>
  <c r="F54" i="27"/>
  <c r="F55" i="27"/>
  <c r="F50" i="82" s="1"/>
  <c r="F56" i="27"/>
  <c r="F51" i="82" s="1"/>
  <c r="F57" i="27"/>
  <c r="F52" i="82" s="1"/>
  <c r="F58" i="27"/>
  <c r="F53" i="82" s="1"/>
  <c r="F59" i="27"/>
  <c r="F60" i="27"/>
  <c r="F55" i="82" s="1"/>
  <c r="F61" i="27"/>
  <c r="F62" i="27"/>
  <c r="F57" i="82" s="1"/>
  <c r="F63" i="27"/>
  <c r="F58" i="82" s="1"/>
  <c r="F64" i="27"/>
  <c r="F59" i="82" s="1"/>
  <c r="F65" i="27"/>
  <c r="F60" i="82" s="1"/>
  <c r="F66" i="27"/>
  <c r="F61" i="82" s="1"/>
  <c r="F67" i="27"/>
  <c r="F62" i="82" s="1"/>
  <c r="F68" i="27"/>
  <c r="F69" i="27"/>
  <c r="F64" i="82" s="1"/>
  <c r="F70" i="27"/>
  <c r="F71" i="27"/>
  <c r="F66" i="82" s="1"/>
  <c r="F72" i="27"/>
  <c r="F67" i="82" s="1"/>
  <c r="F73" i="27"/>
  <c r="F74" i="27"/>
  <c r="F69" i="82" s="1"/>
  <c r="F75" i="27"/>
  <c r="F47" i="27"/>
  <c r="F42" i="82" s="1"/>
  <c r="F48" i="27"/>
  <c r="F43" i="82" s="1"/>
  <c r="F49" i="27"/>
  <c r="F44" i="82" s="1"/>
  <c r="F46" i="27"/>
  <c r="F41" i="82" s="1"/>
  <c r="D8" i="7"/>
  <c r="D45" i="7"/>
  <c r="E45" i="7"/>
  <c r="F45" i="7"/>
  <c r="G45" i="7"/>
  <c r="H45" i="7"/>
  <c r="I45" i="7"/>
  <c r="J45" i="7"/>
  <c r="K45" i="7"/>
  <c r="L45" i="7"/>
  <c r="M45" i="7"/>
  <c r="N45" i="7"/>
  <c r="O45" i="7"/>
  <c r="P45" i="7"/>
  <c r="Q45" i="7"/>
  <c r="R45" i="7"/>
  <c r="C45" i="7"/>
  <c r="C23" i="7"/>
  <c r="C24" i="7"/>
  <c r="E24" i="7"/>
  <c r="C25" i="7"/>
  <c r="E25" i="7"/>
  <c r="C22" i="7"/>
  <c r="B9" i="7"/>
  <c r="F3" i="7"/>
  <c r="C67" i="7"/>
  <c r="I61" i="3"/>
  <c r="E61" i="3"/>
  <c r="F61" i="3"/>
  <c r="E64" i="3"/>
  <c r="F64" i="3"/>
  <c r="D64" i="3"/>
  <c r="D61" i="3"/>
  <c r="G56" i="3"/>
  <c r="R67" i="3" s="1"/>
  <c r="F56" i="3"/>
  <c r="E56" i="3"/>
  <c r="L56" i="3" s="1"/>
  <c r="M58" i="3" s="1"/>
  <c r="D58" i="3"/>
  <c r="D57" i="3"/>
  <c r="D56" i="3"/>
  <c r="F72" i="3" s="1"/>
  <c r="AT72" i="3" s="1"/>
  <c r="I37" i="3"/>
  <c r="E37" i="3"/>
  <c r="F37" i="3"/>
  <c r="E40" i="3"/>
  <c r="F40" i="3"/>
  <c r="D40" i="3"/>
  <c r="D37" i="3"/>
  <c r="D34" i="3"/>
  <c r="G32" i="3"/>
  <c r="R43" i="3" s="1"/>
  <c r="F32" i="3"/>
  <c r="N36" i="3" s="1"/>
  <c r="E32" i="3"/>
  <c r="L32" i="3" s="1"/>
  <c r="M34" i="3" s="1"/>
  <c r="D33" i="3"/>
  <c r="D32" i="3"/>
  <c r="F48" i="3" s="1"/>
  <c r="AT48" i="3" s="1"/>
  <c r="F74" i="3"/>
  <c r="AT74" i="3" s="1"/>
  <c r="S47" i="82"/>
  <c r="S58" i="82"/>
  <c r="S65" i="82"/>
  <c r="S60" i="82"/>
  <c r="S56" i="82"/>
  <c r="S69" i="82"/>
  <c r="S59" i="82"/>
  <c r="S52" i="82"/>
  <c r="S63" i="82"/>
  <c r="S53" i="82"/>
  <c r="S62" i="82"/>
  <c r="S55" i="82"/>
  <c r="S64" i="82"/>
  <c r="S50" i="82"/>
  <c r="S48" i="82"/>
  <c r="S49" i="82"/>
  <c r="S45" i="82"/>
  <c r="S43" i="82"/>
  <c r="S68" i="82"/>
  <c r="S44" i="82"/>
  <c r="S54" i="82"/>
  <c r="S67" i="82"/>
  <c r="S57" i="82"/>
  <c r="S70" i="82"/>
  <c r="I13" i="3"/>
  <c r="E16" i="3"/>
  <c r="F16" i="3"/>
  <c r="D16" i="3"/>
  <c r="D13" i="3"/>
  <c r="J145" i="64" s="1"/>
  <c r="E13" i="3"/>
  <c r="F13" i="3"/>
  <c r="E135" i="64" s="1"/>
  <c r="D9" i="3"/>
  <c r="E8" i="3"/>
  <c r="L8" i="3" s="1"/>
  <c r="D8" i="3"/>
  <c r="H1209" i="70"/>
  <c r="H1197" i="70"/>
  <c r="H1211" i="70"/>
  <c r="H1185" i="70"/>
  <c r="B166" i="4"/>
  <c r="B167" i="4"/>
  <c r="R150" i="4"/>
  <c r="R148" i="4"/>
  <c r="R146" i="4"/>
  <c r="R144" i="4"/>
  <c r="R142" i="4"/>
  <c r="B150" i="4"/>
  <c r="J150" i="4" s="1"/>
  <c r="B148" i="4"/>
  <c r="J148" i="4" s="1"/>
  <c r="B146" i="4"/>
  <c r="J146" i="4" s="1"/>
  <c r="B144" i="4"/>
  <c r="J144" i="4" s="1"/>
  <c r="B142" i="4"/>
  <c r="F150" i="4"/>
  <c r="F148" i="4"/>
  <c r="F146" i="4"/>
  <c r="F144" i="4"/>
  <c r="R141" i="4"/>
  <c r="R132" i="4"/>
  <c r="R133" i="4"/>
  <c r="R134" i="4"/>
  <c r="R135" i="4"/>
  <c r="R136" i="4"/>
  <c r="R137" i="4"/>
  <c r="R138" i="4"/>
  <c r="R139" i="4"/>
  <c r="R140" i="4"/>
  <c r="B133" i="4"/>
  <c r="B134" i="4"/>
  <c r="B135" i="4"/>
  <c r="B136" i="4"/>
  <c r="B137" i="4"/>
  <c r="B138" i="4"/>
  <c r="B139" i="4"/>
  <c r="B140" i="4"/>
  <c r="B141" i="4"/>
  <c r="B132" i="4"/>
  <c r="R122" i="4"/>
  <c r="R123" i="4"/>
  <c r="R124" i="4"/>
  <c r="R125" i="4"/>
  <c r="R126" i="4"/>
  <c r="R127" i="4"/>
  <c r="R128" i="4"/>
  <c r="R129" i="4"/>
  <c r="R130" i="4"/>
  <c r="R131" i="4"/>
  <c r="B122" i="4"/>
  <c r="B123" i="4"/>
  <c r="B124" i="4"/>
  <c r="B125" i="4"/>
  <c r="B126" i="4"/>
  <c r="B127" i="4"/>
  <c r="B128" i="4"/>
  <c r="B129" i="4"/>
  <c r="B130" i="4"/>
  <c r="B131" i="4"/>
  <c r="R117" i="4"/>
  <c r="R118" i="4"/>
  <c r="R119" i="4"/>
  <c r="R120" i="4"/>
  <c r="R121" i="4"/>
  <c r="B117" i="4"/>
  <c r="B118" i="4"/>
  <c r="J118" i="4" s="1"/>
  <c r="B119" i="4"/>
  <c r="J119" i="4" s="1"/>
  <c r="B120" i="4"/>
  <c r="J120" i="4" s="1"/>
  <c r="B121" i="4"/>
  <c r="J121" i="4" s="1"/>
  <c r="R113" i="4"/>
  <c r="R114" i="4"/>
  <c r="R115" i="4"/>
  <c r="R116" i="4"/>
  <c r="R112" i="4"/>
  <c r="E113" i="4"/>
  <c r="E114" i="4"/>
  <c r="E115" i="4"/>
  <c r="E116" i="4"/>
  <c r="E112" i="4"/>
  <c r="D113" i="4"/>
  <c r="D114" i="4"/>
  <c r="D115" i="4"/>
  <c r="D116" i="4"/>
  <c r="B113" i="4"/>
  <c r="B114" i="4"/>
  <c r="B115" i="4"/>
  <c r="B116" i="4"/>
  <c r="B112" i="4"/>
  <c r="R101" i="4"/>
  <c r="R102" i="4"/>
  <c r="R103" i="4"/>
  <c r="R104" i="4"/>
  <c r="R105" i="4"/>
  <c r="R106" i="4"/>
  <c r="R107" i="4"/>
  <c r="R108" i="4"/>
  <c r="R109" i="4"/>
  <c r="R110" i="4"/>
  <c r="R111" i="4"/>
  <c r="R100" i="4"/>
  <c r="B101" i="4"/>
  <c r="B102" i="4"/>
  <c r="B103" i="4"/>
  <c r="B104" i="4"/>
  <c r="B105" i="4"/>
  <c r="B106" i="4"/>
  <c r="B107" i="4"/>
  <c r="J107" i="4" s="1"/>
  <c r="B108" i="4"/>
  <c r="B109" i="4"/>
  <c r="B110" i="4"/>
  <c r="J110" i="4" s="1"/>
  <c r="B111" i="4"/>
  <c r="J111" i="4" s="1"/>
  <c r="B100" i="4"/>
  <c r="R90" i="4"/>
  <c r="R91" i="4"/>
  <c r="R92" i="4"/>
  <c r="R93" i="4"/>
  <c r="R94" i="4"/>
  <c r="R95" i="4"/>
  <c r="R96" i="4"/>
  <c r="R97" i="4"/>
  <c r="R98" i="4"/>
  <c r="R89" i="4"/>
  <c r="E98" i="4"/>
  <c r="F98" i="4"/>
  <c r="F97" i="4"/>
  <c r="E97" i="4"/>
  <c r="J92" i="4"/>
  <c r="J93" i="4"/>
  <c r="J94" i="4"/>
  <c r="J95" i="4"/>
  <c r="J96" i="4"/>
  <c r="J97" i="4"/>
  <c r="J98" i="4"/>
  <c r="H93" i="4"/>
  <c r="H94" i="4"/>
  <c r="H95" i="4"/>
  <c r="H96" i="4"/>
  <c r="H92" i="4"/>
  <c r="J90" i="4"/>
  <c r="J91" i="4"/>
  <c r="J89" i="4"/>
  <c r="F90" i="4"/>
  <c r="G90" i="4"/>
  <c r="F91" i="4"/>
  <c r="G91" i="4"/>
  <c r="G89" i="4"/>
  <c r="F89" i="4"/>
  <c r="E90" i="4"/>
  <c r="E91" i="4"/>
  <c r="E89" i="4"/>
  <c r="B98" i="4"/>
  <c r="B97" i="4"/>
  <c r="B92" i="4"/>
  <c r="K92" i="4" s="1"/>
  <c r="B93" i="4"/>
  <c r="B94" i="4"/>
  <c r="B95" i="4"/>
  <c r="B96" i="4"/>
  <c r="B91" i="4"/>
  <c r="K91" i="4" s="1"/>
  <c r="B90" i="4"/>
  <c r="B89" i="4"/>
  <c r="F66" i="4"/>
  <c r="E66" i="4"/>
  <c r="F63" i="4"/>
  <c r="E63" i="4"/>
  <c r="F60" i="4"/>
  <c r="E60" i="4"/>
  <c r="F57" i="4"/>
  <c r="E57" i="4"/>
  <c r="F54" i="4"/>
  <c r="E54" i="4"/>
  <c r="F51" i="4"/>
  <c r="E51" i="4"/>
  <c r="F48" i="4"/>
  <c r="E48" i="4"/>
  <c r="F45" i="4"/>
  <c r="E45" i="4"/>
  <c r="F42" i="4"/>
  <c r="E42" i="4"/>
  <c r="F39" i="4"/>
  <c r="E39" i="4"/>
  <c r="F36" i="4"/>
  <c r="E36" i="4"/>
  <c r="F33" i="4"/>
  <c r="E33" i="4"/>
  <c r="F30" i="4"/>
  <c r="E30" i="4"/>
  <c r="F27" i="4"/>
  <c r="E27" i="4"/>
  <c r="F24" i="4"/>
  <c r="E24" i="4"/>
  <c r="F21" i="4"/>
  <c r="E21" i="4"/>
  <c r="F18" i="4"/>
  <c r="E18" i="4"/>
  <c r="F15" i="4"/>
  <c r="E15" i="4"/>
  <c r="F12" i="4"/>
  <c r="E12" i="4"/>
  <c r="F9" i="4"/>
  <c r="E9" i="4"/>
  <c r="B66" i="4"/>
  <c r="I67" i="4" s="1"/>
  <c r="B63" i="4"/>
  <c r="B60" i="4"/>
  <c r="B57" i="4"/>
  <c r="B54" i="4"/>
  <c r="B51" i="4"/>
  <c r="B48" i="4"/>
  <c r="B45" i="4"/>
  <c r="B42" i="4"/>
  <c r="B39" i="4"/>
  <c r="B36" i="4"/>
  <c r="B33" i="4"/>
  <c r="B30" i="4"/>
  <c r="B27" i="4"/>
  <c r="B24" i="4"/>
  <c r="B21" i="4"/>
  <c r="B18" i="4"/>
  <c r="B15" i="4"/>
  <c r="B12" i="4"/>
  <c r="B9" i="4"/>
  <c r="J361" i="70"/>
  <c r="J364" i="70"/>
  <c r="N55" i="2" s="1"/>
  <c r="J367" i="70"/>
  <c r="L367" i="70" s="1"/>
  <c r="P56" i="2" s="1"/>
  <c r="J370" i="70"/>
  <c r="L370" i="70" s="1"/>
  <c r="P57" i="2" s="1"/>
  <c r="K361" i="70"/>
  <c r="K364" i="70"/>
  <c r="M364" i="70" s="1"/>
  <c r="Q55" i="2" s="1"/>
  <c r="S53" i="66" s="1"/>
  <c r="K367" i="70"/>
  <c r="O56" i="2" s="1"/>
  <c r="K370" i="70"/>
  <c r="M370" i="70" s="1"/>
  <c r="Q57" i="2" s="1"/>
  <c r="M55" i="2"/>
  <c r="M56" i="2"/>
  <c r="M57" i="2"/>
  <c r="M54" i="2"/>
  <c r="M53" i="2"/>
  <c r="I55" i="2"/>
  <c r="J55" i="2"/>
  <c r="F37" i="19" s="1"/>
  <c r="K55" i="2"/>
  <c r="I56" i="2"/>
  <c r="J56" i="2"/>
  <c r="F38" i="19" s="1"/>
  <c r="K56" i="2"/>
  <c r="I57" i="2"/>
  <c r="J57" i="2"/>
  <c r="F39" i="19" s="1"/>
  <c r="K57" i="2"/>
  <c r="I54" i="2"/>
  <c r="J54" i="2"/>
  <c r="K54" i="2"/>
  <c r="K53" i="2"/>
  <c r="J53" i="2"/>
  <c r="W51" i="66" s="1"/>
  <c r="I53" i="2"/>
  <c r="H54" i="2"/>
  <c r="H55" i="2"/>
  <c r="N53" i="66" s="1"/>
  <c r="H56" i="2"/>
  <c r="N54" i="66" s="1"/>
  <c r="H57" i="2"/>
  <c r="N55" i="66" s="1"/>
  <c r="H53" i="2"/>
  <c r="G54" i="2"/>
  <c r="G55" i="2"/>
  <c r="G56" i="2"/>
  <c r="G57" i="2"/>
  <c r="G53" i="2"/>
  <c r="C54" i="2"/>
  <c r="C55" i="2"/>
  <c r="C37" i="19" s="1"/>
  <c r="C56" i="2"/>
  <c r="L54" i="66" s="1"/>
  <c r="C57" i="2"/>
  <c r="L55" i="66" s="1"/>
  <c r="M36" i="2"/>
  <c r="M37" i="2"/>
  <c r="M38" i="2"/>
  <c r="M39" i="2"/>
  <c r="M40" i="2"/>
  <c r="M35" i="2"/>
  <c r="I37" i="2"/>
  <c r="J37" i="2"/>
  <c r="K37" i="2"/>
  <c r="I38" i="2"/>
  <c r="J38" i="2"/>
  <c r="W45" i="66" s="1"/>
  <c r="K38" i="2"/>
  <c r="I39" i="2"/>
  <c r="J39" i="2"/>
  <c r="K39" i="2"/>
  <c r="I40" i="2"/>
  <c r="J40" i="2"/>
  <c r="W47" i="66" s="1"/>
  <c r="K40" i="2"/>
  <c r="F32" i="19"/>
  <c r="F33" i="19"/>
  <c r="F34" i="19"/>
  <c r="I35" i="2"/>
  <c r="J35" i="2"/>
  <c r="K35" i="2"/>
  <c r="I36" i="2"/>
  <c r="J36" i="2"/>
  <c r="K36" i="2"/>
  <c r="M34" i="2"/>
  <c r="L34" i="2" s="1"/>
  <c r="K34" i="2"/>
  <c r="J34" i="2"/>
  <c r="I34" i="2"/>
  <c r="E35" i="2"/>
  <c r="F35" i="2"/>
  <c r="E36" i="2"/>
  <c r="F36" i="2"/>
  <c r="E37" i="2"/>
  <c r="F37" i="2"/>
  <c r="E38" i="2"/>
  <c r="F38" i="2"/>
  <c r="E39" i="2"/>
  <c r="E113" i="72" s="1"/>
  <c r="F39" i="2"/>
  <c r="C39" i="2" s="1"/>
  <c r="L46" i="66" s="1"/>
  <c r="E40" i="2"/>
  <c r="E114" i="72" s="1"/>
  <c r="F40" i="2"/>
  <c r="C40" i="2" s="1"/>
  <c r="C31" i="19" s="1"/>
  <c r="E115" i="72"/>
  <c r="C41" i="2"/>
  <c r="E116" i="72"/>
  <c r="L49" i="66"/>
  <c r="E117" i="72"/>
  <c r="L50" i="66"/>
  <c r="F34" i="2"/>
  <c r="E34" i="2"/>
  <c r="M29" i="2"/>
  <c r="U29" i="2" s="1"/>
  <c r="N29" i="2"/>
  <c r="P40" i="66" s="1"/>
  <c r="O29" i="2"/>
  <c r="G107" i="72" s="1"/>
  <c r="P29" i="2"/>
  <c r="G17" i="36" s="1"/>
  <c r="Q29" i="2"/>
  <c r="J24" i="19" s="1"/>
  <c r="M28" i="2"/>
  <c r="N28" i="2"/>
  <c r="F106" i="72" s="1"/>
  <c r="O28" i="2"/>
  <c r="E23" i="19" s="1"/>
  <c r="P28" i="2"/>
  <c r="G16" i="36" s="1"/>
  <c r="Q28" i="2"/>
  <c r="I29" i="2"/>
  <c r="J29" i="2"/>
  <c r="F24" i="19" s="1"/>
  <c r="K29" i="2"/>
  <c r="I28" i="2"/>
  <c r="J28" i="2"/>
  <c r="K28" i="2"/>
  <c r="Q27" i="2"/>
  <c r="I105" i="72" s="1"/>
  <c r="P27" i="2"/>
  <c r="G15" i="36" s="1"/>
  <c r="O27" i="2"/>
  <c r="G105" i="72" s="1"/>
  <c r="N27" i="2"/>
  <c r="F105" i="72" s="1"/>
  <c r="M27" i="2"/>
  <c r="U27" i="2" s="1"/>
  <c r="K27" i="2"/>
  <c r="J27" i="2"/>
  <c r="F22" i="19" s="1"/>
  <c r="I27" i="2"/>
  <c r="C29" i="2"/>
  <c r="AP29" i="2" s="1"/>
  <c r="C28" i="2"/>
  <c r="AP28" i="2" s="1"/>
  <c r="C27" i="2"/>
  <c r="AP27" i="2" s="1"/>
  <c r="M9" i="2"/>
  <c r="AS9" i="2" s="1"/>
  <c r="N9" i="2"/>
  <c r="D9" i="19" s="1"/>
  <c r="O9" i="2"/>
  <c r="G97" i="72" s="1"/>
  <c r="M10" i="2"/>
  <c r="AS10" i="2" s="1"/>
  <c r="N10" i="2"/>
  <c r="O10" i="2"/>
  <c r="G98" i="72" s="1"/>
  <c r="M11" i="2"/>
  <c r="AS11" i="2" s="1"/>
  <c r="N11" i="2"/>
  <c r="P27" i="66" s="1"/>
  <c r="O11" i="2"/>
  <c r="Q27" i="66" s="1"/>
  <c r="M12" i="2"/>
  <c r="AS12" i="2" s="1"/>
  <c r="N12" i="2"/>
  <c r="O12" i="2"/>
  <c r="E12" i="19" s="1"/>
  <c r="M13" i="2"/>
  <c r="N13" i="2"/>
  <c r="P29" i="66" s="1"/>
  <c r="O13" i="2"/>
  <c r="G101" i="72" s="1"/>
  <c r="M14" i="2"/>
  <c r="AS14" i="2" s="1"/>
  <c r="N14" i="2"/>
  <c r="D14" i="19" s="1"/>
  <c r="O14" i="2"/>
  <c r="E14" i="19" s="1"/>
  <c r="M15" i="2"/>
  <c r="N15" i="2"/>
  <c r="P31" i="66" s="1"/>
  <c r="O15" i="2"/>
  <c r="E15" i="19" s="1"/>
  <c r="P37" i="66"/>
  <c r="Q37" i="66"/>
  <c r="I9" i="2"/>
  <c r="J9" i="2"/>
  <c r="K9" i="2"/>
  <c r="I10" i="2"/>
  <c r="V26" i="66" s="1"/>
  <c r="J10" i="2"/>
  <c r="K10" i="2"/>
  <c r="I11" i="2"/>
  <c r="V27" i="66" s="1"/>
  <c r="J11" i="2"/>
  <c r="K11" i="2"/>
  <c r="I12" i="2"/>
  <c r="V28" i="66" s="1"/>
  <c r="J12" i="2"/>
  <c r="K12" i="2"/>
  <c r="I13" i="2"/>
  <c r="J13" i="2"/>
  <c r="K13" i="2"/>
  <c r="I14" i="2"/>
  <c r="V30" i="66" s="1"/>
  <c r="J14" i="2"/>
  <c r="K14" i="2"/>
  <c r="I15" i="2"/>
  <c r="J15" i="2"/>
  <c r="K15" i="2"/>
  <c r="V37" i="66"/>
  <c r="M8" i="2"/>
  <c r="AS8" i="2" s="1"/>
  <c r="M7" i="2"/>
  <c r="AS7" i="2" s="1"/>
  <c r="G8" i="2"/>
  <c r="G9" i="2"/>
  <c r="G10" i="2"/>
  <c r="G11" i="2"/>
  <c r="G12" i="2"/>
  <c r="G13" i="2"/>
  <c r="G14" i="2"/>
  <c r="G15" i="2"/>
  <c r="O104" i="72"/>
  <c r="E8" i="2"/>
  <c r="C5" i="73" s="1"/>
  <c r="E9" i="2"/>
  <c r="C6" i="73" s="1"/>
  <c r="E10" i="2"/>
  <c r="C7" i="73" s="1"/>
  <c r="E11" i="2"/>
  <c r="C8" i="73" s="1"/>
  <c r="E12" i="2"/>
  <c r="C9" i="73" s="1"/>
  <c r="E13" i="2"/>
  <c r="C10" i="73" s="1"/>
  <c r="E14" i="2"/>
  <c r="C11" i="73" s="1"/>
  <c r="E15" i="2"/>
  <c r="C12" i="73" s="1"/>
  <c r="C13" i="73"/>
  <c r="D9" i="2"/>
  <c r="D10" i="2"/>
  <c r="D11" i="2"/>
  <c r="D12" i="2"/>
  <c r="D13" i="2"/>
  <c r="D14" i="2"/>
  <c r="D15" i="2"/>
  <c r="B8" i="2"/>
  <c r="D96" i="72" s="1"/>
  <c r="B9" i="2"/>
  <c r="K25" i="66" s="1"/>
  <c r="B10" i="2"/>
  <c r="D98" i="72" s="1"/>
  <c r="B11" i="2"/>
  <c r="D99" i="72" s="1"/>
  <c r="B12" i="2"/>
  <c r="B12" i="19" s="1"/>
  <c r="B13" i="2"/>
  <c r="C13" i="2" s="1"/>
  <c r="B10" i="73" s="1"/>
  <c r="B14" i="2"/>
  <c r="K30" i="66" s="1"/>
  <c r="J30" i="66" s="1"/>
  <c r="B15" i="2"/>
  <c r="D103" i="72" s="1"/>
  <c r="D104" i="72"/>
  <c r="E7" i="2"/>
  <c r="C4" i="73" s="1"/>
  <c r="I14" i="88"/>
  <c r="E154" i="61"/>
  <c r="E152" i="61"/>
  <c r="E150" i="61"/>
  <c r="E148" i="61"/>
  <c r="E146" i="61"/>
  <c r="E144" i="61"/>
  <c r="E142" i="61"/>
  <c r="E130" i="61"/>
  <c r="E128" i="61"/>
  <c r="E126" i="61"/>
  <c r="E124" i="61"/>
  <c r="E122" i="61"/>
  <c r="E120" i="61"/>
  <c r="E118" i="61"/>
  <c r="E116" i="61"/>
  <c r="D185" i="71"/>
  <c r="D183" i="71"/>
  <c r="D182" i="71"/>
  <c r="C182" i="71"/>
  <c r="D181" i="71"/>
  <c r="C181" i="71"/>
  <c r="D180" i="71"/>
  <c r="C180" i="71"/>
  <c r="D179" i="71"/>
  <c r="C179" i="71"/>
  <c r="D178" i="71"/>
  <c r="C178" i="71"/>
  <c r="D175" i="71"/>
  <c r="D173" i="71"/>
  <c r="D172" i="71"/>
  <c r="C172" i="71"/>
  <c r="D171" i="71"/>
  <c r="C171" i="71"/>
  <c r="D170" i="71"/>
  <c r="C170" i="71"/>
  <c r="D169" i="71"/>
  <c r="C169" i="71"/>
  <c r="D168" i="71"/>
  <c r="C168" i="71"/>
  <c r="D165" i="71"/>
  <c r="D163" i="71"/>
  <c r="D162" i="71"/>
  <c r="C162" i="71"/>
  <c r="D161" i="71"/>
  <c r="C161" i="71"/>
  <c r="D160" i="71"/>
  <c r="C160" i="71"/>
  <c r="D159" i="71"/>
  <c r="C159" i="71"/>
  <c r="D158" i="71"/>
  <c r="C158" i="71"/>
  <c r="J159" i="66"/>
  <c r="J158" i="66"/>
  <c r="J157" i="66"/>
  <c r="J156" i="66"/>
  <c r="J155" i="66"/>
  <c r="J154" i="66"/>
  <c r="J153" i="66"/>
  <c r="J152" i="66"/>
  <c r="J151" i="66"/>
  <c r="J150" i="66"/>
  <c r="J149" i="66"/>
  <c r="J148" i="66"/>
  <c r="J147" i="66"/>
  <c r="J146" i="66"/>
  <c r="J145" i="66"/>
  <c r="J144" i="66"/>
  <c r="J143" i="66"/>
  <c r="J142" i="66"/>
  <c r="J141" i="66"/>
  <c r="J140" i="66"/>
  <c r="J139" i="66"/>
  <c r="J138" i="66"/>
  <c r="J137" i="66"/>
  <c r="J136" i="66"/>
  <c r="J135" i="66"/>
  <c r="J134" i="66"/>
  <c r="J133" i="66"/>
  <c r="J132" i="66"/>
  <c r="J131" i="66"/>
  <c r="J130" i="66"/>
  <c r="J129" i="66"/>
  <c r="J128" i="66"/>
  <c r="J127" i="66"/>
  <c r="J126" i="66"/>
  <c r="J125" i="66"/>
  <c r="J124" i="66"/>
  <c r="J123" i="66"/>
  <c r="J122" i="66"/>
  <c r="J121" i="66"/>
  <c r="J120" i="66"/>
  <c r="J119" i="66"/>
  <c r="J118" i="66"/>
  <c r="J117" i="66"/>
  <c r="J116" i="66"/>
  <c r="J115" i="66"/>
  <c r="J114" i="66"/>
  <c r="J113" i="66"/>
  <c r="J112" i="66"/>
  <c r="J111" i="66"/>
  <c r="J110" i="66"/>
  <c r="J109" i="66"/>
  <c r="J108" i="66"/>
  <c r="J107" i="66"/>
  <c r="J106" i="66"/>
  <c r="J105" i="66"/>
  <c r="J104" i="66"/>
  <c r="J103" i="66"/>
  <c r="J102" i="66"/>
  <c r="J101" i="66"/>
  <c r="J100" i="66"/>
  <c r="J99" i="66"/>
  <c r="J98" i="66"/>
  <c r="J97" i="66"/>
  <c r="J94" i="66"/>
  <c r="J93" i="66"/>
  <c r="J92" i="66"/>
  <c r="J91" i="66"/>
  <c r="J90" i="66"/>
  <c r="C12" i="71"/>
  <c r="C11" i="71"/>
  <c r="C10" i="71"/>
  <c r="C9" i="71"/>
  <c r="C8" i="71"/>
  <c r="V55" i="7"/>
  <c r="N39" i="7" s="1"/>
  <c r="V54" i="7"/>
  <c r="V53" i="7"/>
  <c r="V52" i="7"/>
  <c r="V51" i="7"/>
  <c r="V50" i="7"/>
  <c r="M39" i="7" s="1"/>
  <c r="V49" i="7"/>
  <c r="L39" i="7" s="1"/>
  <c r="V48" i="7"/>
  <c r="K39" i="7" s="1"/>
  <c r="V47" i="7"/>
  <c r="J39" i="7" s="1"/>
  <c r="V46" i="7"/>
  <c r="I39" i="7" s="1"/>
  <c r="V45" i="7"/>
  <c r="H39" i="7" s="1"/>
  <c r="V44" i="7"/>
  <c r="G39" i="7" s="1"/>
  <c r="V43" i="7"/>
  <c r="F39" i="7" s="1"/>
  <c r="V42" i="7"/>
  <c r="E39" i="7" s="1"/>
  <c r="V41" i="7"/>
  <c r="D39" i="7" s="1"/>
  <c r="V40" i="7"/>
  <c r="C39" i="7" s="1"/>
  <c r="N1211" i="70"/>
  <c r="M1211" i="70"/>
  <c r="F60" i="3"/>
  <c r="E60" i="3"/>
  <c r="D60" i="3"/>
  <c r="N1199" i="70"/>
  <c r="M1199" i="70"/>
  <c r="H1199" i="70"/>
  <c r="M1187" i="70"/>
  <c r="N1187" i="70" s="1"/>
  <c r="H1187" i="70"/>
  <c r="I16" i="3" s="1"/>
  <c r="D38" i="3"/>
  <c r="D36" i="3"/>
  <c r="E36" i="3"/>
  <c r="F36" i="3"/>
  <c r="F62" i="3"/>
  <c r="P67" i="3" s="1"/>
  <c r="P68" i="3" s="1"/>
  <c r="D62" i="3"/>
  <c r="D15" i="3"/>
  <c r="D12" i="3"/>
  <c r="E15" i="3"/>
  <c r="H136" i="64" s="1"/>
  <c r="H138" i="64" s="1"/>
  <c r="E12" i="3"/>
  <c r="B211" i="66"/>
  <c r="E226" i="66"/>
  <c r="B212" i="66"/>
  <c r="E228" i="66"/>
  <c r="B226" i="66"/>
  <c r="B227" i="66"/>
  <c r="B228" i="66"/>
  <c r="F212" i="66"/>
  <c r="F211" i="66"/>
  <c r="D228" i="66"/>
  <c r="D211" i="66"/>
  <c r="D226" i="66"/>
  <c r="F227" i="66"/>
  <c r="D227" i="66"/>
  <c r="D212" i="66"/>
  <c r="W12" i="51"/>
  <c r="Y12" i="51" s="1"/>
  <c r="P583" i="27"/>
  <c r="P265" i="82" s="1"/>
  <c r="P577" i="27"/>
  <c r="P259" i="82" s="1"/>
  <c r="P567" i="27"/>
  <c r="P249" i="82" s="1"/>
  <c r="P571" i="27"/>
  <c r="P253" i="82" s="1"/>
  <c r="P569" i="27"/>
  <c r="P251" i="82" s="1"/>
  <c r="P585" i="27"/>
  <c r="P267" i="82" s="1"/>
  <c r="P579" i="27"/>
  <c r="P261" i="82" s="1"/>
  <c r="P568" i="27"/>
  <c r="P250" i="82" s="1"/>
  <c r="P572" i="27"/>
  <c r="P254" i="82" s="1"/>
  <c r="P586" i="27"/>
  <c r="P268" i="82" s="1"/>
  <c r="P580" i="27"/>
  <c r="P262" i="82" s="1"/>
  <c r="P565" i="27"/>
  <c r="P247" i="82" s="1"/>
  <c r="P573" i="27"/>
  <c r="P255" i="82" s="1"/>
  <c r="P582" i="27"/>
  <c r="P264" i="82" s="1"/>
  <c r="P576" i="27"/>
  <c r="P258" i="82" s="1"/>
  <c r="P566" i="27"/>
  <c r="P248" i="82" s="1"/>
  <c r="P570" i="27"/>
  <c r="P252" i="82" s="1"/>
  <c r="P545" i="27"/>
  <c r="P227" i="82" s="1"/>
  <c r="P549" i="27"/>
  <c r="P231" i="82" s="1"/>
  <c r="P532" i="27"/>
  <c r="P214" i="82" s="1"/>
  <c r="P520" i="27"/>
  <c r="P202" i="82" s="1"/>
  <c r="P500" i="27"/>
  <c r="P192" i="82" s="1"/>
  <c r="P530" i="27"/>
  <c r="P212" i="82" s="1"/>
  <c r="P521" i="27"/>
  <c r="P203" i="82" s="1"/>
  <c r="P503" i="27"/>
  <c r="P195" i="82" s="1"/>
  <c r="P505" i="27"/>
  <c r="P197" i="82" s="1"/>
  <c r="P501" i="27"/>
  <c r="P193" i="82" s="1"/>
  <c r="P498" i="27"/>
  <c r="P190" i="82" s="1"/>
  <c r="P496" i="27"/>
  <c r="P188" i="82" s="1"/>
  <c r="P543" i="27"/>
  <c r="P225" i="82" s="1"/>
  <c r="P544" i="27"/>
  <c r="P226" i="82" s="1"/>
  <c r="P548" i="27"/>
  <c r="P230" i="82" s="1"/>
  <c r="P518" i="27"/>
  <c r="P200" i="82" s="1"/>
  <c r="P542" i="27"/>
  <c r="P224" i="82" s="1"/>
  <c r="P546" i="27"/>
  <c r="P228" i="82" s="1"/>
  <c r="P550" i="27"/>
  <c r="P232" i="82" s="1"/>
  <c r="P547" i="27"/>
  <c r="P229" i="82" s="1"/>
  <c r="P523" i="27"/>
  <c r="P205" i="82" s="1"/>
  <c r="P517" i="27"/>
  <c r="P199" i="82" s="1"/>
  <c r="P499" i="27"/>
  <c r="P191" i="82" s="1"/>
  <c r="P561" i="27"/>
  <c r="P243" i="82" s="1"/>
  <c r="P534" i="27"/>
  <c r="P216" i="82" s="1"/>
  <c r="P524" i="27"/>
  <c r="P206" i="82" s="1"/>
  <c r="P502" i="27"/>
  <c r="P194" i="82" s="1"/>
  <c r="P504" i="27"/>
  <c r="P196" i="82" s="1"/>
  <c r="P497" i="27"/>
  <c r="P189" i="82" s="1"/>
  <c r="P491" i="27"/>
  <c r="P183" i="82" s="1"/>
  <c r="P486" i="27"/>
  <c r="P178" i="82" s="1"/>
  <c r="P489" i="27"/>
  <c r="P181" i="82" s="1"/>
  <c r="P474" i="27"/>
  <c r="P176" i="82" s="1"/>
  <c r="P487" i="27"/>
  <c r="P179" i="82" s="1"/>
  <c r="P473" i="27"/>
  <c r="P175" i="82" s="1"/>
  <c r="P488" i="27"/>
  <c r="P180" i="82" s="1"/>
  <c r="P490" i="27"/>
  <c r="P182" i="82" s="1"/>
  <c r="P472" i="27"/>
  <c r="P174" i="82" s="1"/>
  <c r="P475" i="27"/>
  <c r="P177" i="82" s="1"/>
  <c r="P11" i="27"/>
  <c r="P13" i="27"/>
  <c r="P15" i="27"/>
  <c r="P17" i="27"/>
  <c r="P19" i="27"/>
  <c r="P21" i="27"/>
  <c r="P23" i="27"/>
  <c r="P25" i="27"/>
  <c r="P27" i="27"/>
  <c r="P29" i="27"/>
  <c r="P31" i="27"/>
  <c r="P33" i="27"/>
  <c r="P40" i="27"/>
  <c r="P42" i="27"/>
  <c r="P10" i="27"/>
  <c r="P12" i="27"/>
  <c r="P14" i="27"/>
  <c r="P16" i="27"/>
  <c r="P18" i="27"/>
  <c r="P20" i="27"/>
  <c r="P22" i="27"/>
  <c r="P24" i="27"/>
  <c r="P26" i="27"/>
  <c r="P28" i="27"/>
  <c r="P30" i="27"/>
  <c r="P39" i="27"/>
  <c r="P43" i="27"/>
  <c r="P32" i="27"/>
  <c r="P41" i="27"/>
  <c r="Q15" i="2"/>
  <c r="S31" i="66" s="1"/>
  <c r="Q14" i="2"/>
  <c r="H12" i="36" s="1"/>
  <c r="Q13" i="2"/>
  <c r="Q12" i="2"/>
  <c r="Q11" i="2"/>
  <c r="Q10" i="2"/>
  <c r="H8" i="36" s="1"/>
  <c r="C44" i="41"/>
  <c r="D20" i="41"/>
  <c r="E36" i="41"/>
  <c r="C20" i="41"/>
  <c r="D36" i="41"/>
  <c r="C12" i="41"/>
  <c r="E44" i="41"/>
  <c r="E20" i="41"/>
  <c r="P471" i="27"/>
  <c r="P173" i="82" s="1"/>
  <c r="H89" i="7"/>
  <c r="M1054" i="63"/>
  <c r="M1057" i="63"/>
  <c r="J2" i="66"/>
  <c r="J3" i="66" s="1"/>
  <c r="B2" i="7"/>
  <c r="V828" i="63"/>
  <c r="V827" i="63"/>
  <c r="V826" i="63"/>
  <c r="V825" i="63"/>
  <c r="B32" i="36"/>
  <c r="D32" i="36"/>
  <c r="B33" i="36"/>
  <c r="D33" i="36"/>
  <c r="B34" i="36"/>
  <c r="D34" i="36"/>
  <c r="K202" i="66"/>
  <c r="K204" i="66"/>
  <c r="O208" i="66"/>
  <c r="F210" i="66"/>
  <c r="F209" i="66"/>
  <c r="E210" i="66"/>
  <c r="E227" i="66"/>
  <c r="E209" i="66"/>
  <c r="C210" i="66"/>
  <c r="C211" i="66"/>
  <c r="C212" i="66"/>
  <c r="C226" i="66"/>
  <c r="C227" i="66"/>
  <c r="C228" i="66"/>
  <c r="C209" i="66"/>
  <c r="M206" i="66"/>
  <c r="O204" i="66"/>
  <c r="O202" i="66"/>
  <c r="O201" i="66"/>
  <c r="I198" i="66"/>
  <c r="K198" i="66" s="1"/>
  <c r="L198" i="66" s="1"/>
  <c r="H198" i="66"/>
  <c r="J198" i="66" s="1"/>
  <c r="I184" i="66"/>
  <c r="T184" i="66" s="1"/>
  <c r="AT184" i="66" s="1"/>
  <c r="F166" i="4"/>
  <c r="I21" i="83"/>
  <c r="F154" i="4"/>
  <c r="S61" i="82"/>
  <c r="S66" i="82"/>
  <c r="S46" i="82"/>
  <c r="S51" i="82"/>
  <c r="R828" i="63"/>
  <c r="Z828" i="63" s="1"/>
  <c r="D87" i="64"/>
  <c r="F87" i="64" s="1"/>
  <c r="C87" i="64"/>
  <c r="E87" i="64" s="1"/>
  <c r="D72" i="64"/>
  <c r="C72" i="64"/>
  <c r="E72" i="64" s="1"/>
  <c r="U988" i="63"/>
  <c r="T995" i="63" s="1"/>
  <c r="O995" i="63" s="1"/>
  <c r="O996" i="63"/>
  <c r="D59" i="66"/>
  <c r="E78" i="66"/>
  <c r="D89" i="66"/>
  <c r="D90" i="66"/>
  <c r="D92" i="66"/>
  <c r="D93" i="66"/>
  <c r="D101" i="66"/>
  <c r="D103" i="66"/>
  <c r="Q10" i="63"/>
  <c r="R10" i="63"/>
  <c r="S10" i="63"/>
  <c r="F142" i="4"/>
  <c r="S42" i="82"/>
  <c r="I83" i="43"/>
  <c r="L83" i="43" s="1"/>
  <c r="G20" i="48"/>
  <c r="G27" i="48"/>
  <c r="G25" i="48"/>
  <c r="G22" i="48"/>
  <c r="G21" i="48"/>
  <c r="F8" i="53"/>
  <c r="D8" i="53"/>
  <c r="E8" i="53"/>
  <c r="B10" i="53"/>
  <c r="H15" i="53"/>
  <c r="B16" i="53"/>
  <c r="B15" i="53"/>
  <c r="B14" i="53"/>
  <c r="B13" i="53"/>
  <c r="B12" i="53"/>
  <c r="B11" i="53"/>
  <c r="E7" i="53"/>
  <c r="H7" i="53"/>
  <c r="D7" i="53"/>
  <c r="H6" i="53"/>
  <c r="H5" i="53"/>
  <c r="B4" i="53"/>
  <c r="E6" i="53"/>
  <c r="H8" i="53"/>
  <c r="K137" i="43"/>
  <c r="L135" i="43"/>
  <c r="K135" i="43"/>
  <c r="K133" i="43"/>
  <c r="L133" i="43"/>
  <c r="K132" i="43"/>
  <c r="L127" i="43"/>
  <c r="L131" i="43"/>
  <c r="K131" i="43"/>
  <c r="C89" i="7"/>
  <c r="D89" i="7"/>
  <c r="E89" i="7"/>
  <c r="F89" i="7"/>
  <c r="G89" i="7"/>
  <c r="I89" i="7"/>
  <c r="J89" i="7"/>
  <c r="K89" i="7"/>
  <c r="L89" i="7"/>
  <c r="M89" i="7"/>
  <c r="B89" i="7"/>
  <c r="D39" i="36"/>
  <c r="D25" i="36"/>
  <c r="D29" i="36"/>
  <c r="K495" i="27"/>
  <c r="K187" i="82" s="1"/>
  <c r="C55" i="43"/>
  <c r="H55" i="43" s="1"/>
  <c r="C47" i="43"/>
  <c r="D47" i="43"/>
  <c r="G49" i="43"/>
  <c r="E9" i="53"/>
  <c r="B9" i="53" s="1"/>
  <c r="E104" i="43"/>
  <c r="G104" i="43" s="1"/>
  <c r="L8" i="42"/>
  <c r="E69" i="43"/>
  <c r="E68" i="43"/>
  <c r="L73" i="43"/>
  <c r="L72" i="43"/>
  <c r="G18" i="42"/>
  <c r="G19" i="42" s="1"/>
  <c r="E5" i="53"/>
  <c r="D153" i="43"/>
  <c r="J150" i="43"/>
  <c r="D125" i="43"/>
  <c r="L74" i="43"/>
  <c r="G107" i="43"/>
  <c r="C113" i="43"/>
  <c r="H113" i="43" s="1"/>
  <c r="G103" i="43"/>
  <c r="B101" i="43"/>
  <c r="H83" i="43"/>
  <c r="E77" i="43"/>
  <c r="G77" i="43" s="1"/>
  <c r="C28" i="43"/>
  <c r="B17" i="43"/>
  <c r="D17" i="43"/>
  <c r="F17" i="43" s="1"/>
  <c r="C17" i="43"/>
  <c r="E17" i="43" s="1"/>
  <c r="C20" i="43"/>
  <c r="D20" i="43"/>
  <c r="G22" i="43"/>
  <c r="E73" i="43"/>
  <c r="E74" i="43" s="1"/>
  <c r="G74" i="43" s="1"/>
  <c r="N14" i="42"/>
  <c r="F13" i="58" s="1"/>
  <c r="F217" i="81" s="1"/>
  <c r="N9" i="42"/>
  <c r="E8" i="41"/>
  <c r="D8" i="41"/>
  <c r="C8" i="41"/>
  <c r="D6" i="53"/>
  <c r="AV20" i="39"/>
  <c r="AW20" i="39" s="1"/>
  <c r="AM7" i="39"/>
  <c r="AP7" i="39"/>
  <c r="AQ7" i="39"/>
  <c r="AR7" i="39"/>
  <c r="AS7" i="39"/>
  <c r="AU7" i="39" s="1"/>
  <c r="AM8" i="39"/>
  <c r="AN8" i="39"/>
  <c r="AP8" i="39"/>
  <c r="AQ8" i="39"/>
  <c r="AR8" i="39"/>
  <c r="AS8" i="39"/>
  <c r="AU8" i="39" s="1"/>
  <c r="AM9" i="39"/>
  <c r="AN9" i="39"/>
  <c r="AP9" i="39"/>
  <c r="AQ9" i="39"/>
  <c r="AR9" i="39"/>
  <c r="AS9" i="39"/>
  <c r="AU9" i="39" s="1"/>
  <c r="AM10" i="39"/>
  <c r="AN10" i="39"/>
  <c r="AP10" i="39"/>
  <c r="AQ10" i="39"/>
  <c r="AR10" i="39"/>
  <c r="AS10" i="39"/>
  <c r="AU10" i="39" s="1"/>
  <c r="AM11" i="39"/>
  <c r="AN11" i="39"/>
  <c r="AP11" i="39"/>
  <c r="AQ11" i="39"/>
  <c r="AR11" i="39"/>
  <c r="AS11" i="39"/>
  <c r="AU11" i="39" s="1"/>
  <c r="AM12" i="39"/>
  <c r="AN12" i="39"/>
  <c r="AP12" i="39"/>
  <c r="AQ12" i="39"/>
  <c r="AR12" i="39"/>
  <c r="AS12" i="39"/>
  <c r="AU12" i="39" s="1"/>
  <c r="AM13" i="39"/>
  <c r="AN13" i="39"/>
  <c r="AP13" i="39"/>
  <c r="AQ13" i="39"/>
  <c r="AR13" i="39"/>
  <c r="AS13" i="39"/>
  <c r="AU13" i="39" s="1"/>
  <c r="AM14" i="39"/>
  <c r="AN14" i="39"/>
  <c r="AP14" i="39"/>
  <c r="AQ14" i="39"/>
  <c r="AR14" i="39"/>
  <c r="AS14" i="39"/>
  <c r="AU14" i="39" s="1"/>
  <c r="AM15" i="39"/>
  <c r="AN15" i="39"/>
  <c r="AP15" i="39"/>
  <c r="AQ15" i="39"/>
  <c r="AR15" i="39"/>
  <c r="AS15" i="39"/>
  <c r="AU15" i="39" s="1"/>
  <c r="AM16" i="39"/>
  <c r="AN16" i="39"/>
  <c r="AP16" i="39"/>
  <c r="AQ16" i="39"/>
  <c r="AR16" i="39"/>
  <c r="AS16" i="39"/>
  <c r="AU16" i="39" s="1"/>
  <c r="AM17" i="39"/>
  <c r="AN17" i="39"/>
  <c r="AP17" i="39"/>
  <c r="AQ17" i="39"/>
  <c r="AR17" i="39"/>
  <c r="AS17" i="39"/>
  <c r="AU17" i="39" s="1"/>
  <c r="AM18" i="39"/>
  <c r="AN18" i="39"/>
  <c r="AP18" i="39"/>
  <c r="AQ18" i="39"/>
  <c r="AR18" i="39"/>
  <c r="AS18" i="39"/>
  <c r="AU18" i="39" s="1"/>
  <c r="AM19" i="39"/>
  <c r="AN19" i="39"/>
  <c r="AP19" i="39"/>
  <c r="AQ19" i="39"/>
  <c r="AR19" i="39"/>
  <c r="AS19" i="39"/>
  <c r="AU19" i="39" s="1"/>
  <c r="AM20" i="39"/>
  <c r="AN20" i="39"/>
  <c r="AP20" i="39"/>
  <c r="AQ20" i="39"/>
  <c r="AR20" i="39"/>
  <c r="AS20" i="39"/>
  <c r="AU20" i="39" s="1"/>
  <c r="AM6" i="39"/>
  <c r="AD17" i="39"/>
  <c r="AV19" i="39"/>
  <c r="AW19" i="39" s="1"/>
  <c r="AD19" i="39"/>
  <c r="Z19" i="39"/>
  <c r="AC19" i="39" s="1"/>
  <c r="AV18" i="39"/>
  <c r="AW18" i="39" s="1"/>
  <c r="AD18" i="39"/>
  <c r="Z18" i="39"/>
  <c r="AC18" i="39" s="1"/>
  <c r="AV17" i="39"/>
  <c r="AW17" i="39" s="1"/>
  <c r="Z17" i="39"/>
  <c r="AC17" i="39" s="1"/>
  <c r="AV16" i="39"/>
  <c r="AW16" i="39" s="1"/>
  <c r="AD16" i="39"/>
  <c r="Z16" i="39"/>
  <c r="AC16" i="39" s="1"/>
  <c r="AV15" i="39"/>
  <c r="AW15" i="39" s="1"/>
  <c r="AD15" i="39"/>
  <c r="Z15" i="39"/>
  <c r="AC15" i="39" s="1"/>
  <c r="Z6" i="39"/>
  <c r="AC6" i="39" s="1"/>
  <c r="AD6" i="39"/>
  <c r="AP6" i="39"/>
  <c r="AQ6" i="39"/>
  <c r="AR6" i="39"/>
  <c r="AS6" i="39"/>
  <c r="AU6" i="39" s="1"/>
  <c r="AV6" i="39"/>
  <c r="AW6" i="39" s="1"/>
  <c r="Z7" i="39"/>
  <c r="AC7" i="39" s="1"/>
  <c r="AD7" i="39"/>
  <c r="AV7" i="39"/>
  <c r="AW7" i="39" s="1"/>
  <c r="Z8" i="39"/>
  <c r="AC8" i="39" s="1"/>
  <c r="AD8" i="39"/>
  <c r="AV8" i="39"/>
  <c r="AW8" i="39" s="1"/>
  <c r="Z9" i="39"/>
  <c r="AC9" i="39" s="1"/>
  <c r="AD9" i="39"/>
  <c r="AV9" i="39"/>
  <c r="AW9" i="39" s="1"/>
  <c r="Z10" i="39"/>
  <c r="AC10" i="39" s="1"/>
  <c r="AD10" i="39"/>
  <c r="AV10" i="39"/>
  <c r="AW10" i="39" s="1"/>
  <c r="Z11" i="39"/>
  <c r="AC11" i="39" s="1"/>
  <c r="AD11" i="39"/>
  <c r="AV11" i="39"/>
  <c r="AW11" i="39" s="1"/>
  <c r="Z12" i="39"/>
  <c r="AC12" i="39" s="1"/>
  <c r="AD12" i="39"/>
  <c r="AV12" i="39"/>
  <c r="AW12" i="39" s="1"/>
  <c r="Z13" i="39"/>
  <c r="AC13" i="39" s="1"/>
  <c r="AD13" i="39"/>
  <c r="AV13" i="39"/>
  <c r="AW13" i="39" s="1"/>
  <c r="Z14" i="39"/>
  <c r="AC14" i="39" s="1"/>
  <c r="AD14" i="39"/>
  <c r="AV14" i="39"/>
  <c r="AW14" i="39" s="1"/>
  <c r="Z20" i="39"/>
  <c r="AC20" i="39" s="1"/>
  <c r="AD20" i="39"/>
  <c r="AN6" i="39"/>
  <c r="AN7" i="39"/>
  <c r="B22" i="36"/>
  <c r="B30" i="36"/>
  <c r="B31" i="36"/>
  <c r="B24" i="36"/>
  <c r="B25" i="36"/>
  <c r="B26" i="36"/>
  <c r="B27" i="36"/>
  <c r="B28" i="36"/>
  <c r="B29" i="36"/>
  <c r="B23" i="36"/>
  <c r="K12" i="41"/>
  <c r="K13" i="41" s="1"/>
  <c r="K14" i="41" s="1"/>
  <c r="K16" i="41"/>
  <c r="M16" i="41"/>
  <c r="M13" i="41"/>
  <c r="M14" i="41" s="1"/>
  <c r="D30" i="36"/>
  <c r="D31" i="36"/>
  <c r="D23" i="36"/>
  <c r="C71" i="43"/>
  <c r="D5" i="53"/>
  <c r="D27" i="36"/>
  <c r="H495" i="27"/>
  <c r="D24" i="36"/>
  <c r="D26" i="36"/>
  <c r="H494" i="27"/>
  <c r="L136" i="43"/>
  <c r="P591" i="27"/>
  <c r="P273" i="82" s="1"/>
  <c r="D28" i="36"/>
  <c r="P578" i="27"/>
  <c r="P260" i="82" s="1"/>
  <c r="P584" i="27"/>
  <c r="P266" i="82" s="1"/>
  <c r="P587" i="27"/>
  <c r="P269" i="82" s="1"/>
  <c r="P564" i="27"/>
  <c r="P246" i="82" s="1"/>
  <c r="P581" i="27"/>
  <c r="P263" i="82" s="1"/>
  <c r="P575" i="27"/>
  <c r="P257" i="82" s="1"/>
  <c r="P8" i="27"/>
  <c r="P9" i="27"/>
  <c r="P574" i="27"/>
  <c r="P256" i="82" s="1"/>
  <c r="P519" i="27"/>
  <c r="P201" i="82" s="1"/>
  <c r="P516" i="27"/>
  <c r="P198" i="82" s="1"/>
  <c r="P527" i="27"/>
  <c r="P209" i="82" s="1"/>
  <c r="P528" i="27"/>
  <c r="P210" i="82" s="1"/>
  <c r="P557" i="27"/>
  <c r="P239" i="82" s="1"/>
  <c r="P551" i="27"/>
  <c r="P233" i="82" s="1"/>
  <c r="P539" i="27"/>
  <c r="P221" i="82" s="1"/>
  <c r="P553" i="27"/>
  <c r="P235" i="82" s="1"/>
  <c r="P529" i="27"/>
  <c r="P211" i="82" s="1"/>
  <c r="P531" i="27"/>
  <c r="P213" i="82" s="1"/>
  <c r="P552" i="27"/>
  <c r="P234" i="82" s="1"/>
  <c r="P559" i="27"/>
  <c r="P241" i="82" s="1"/>
  <c r="P556" i="27"/>
  <c r="P238" i="82" s="1"/>
  <c r="P522" i="27"/>
  <c r="P204" i="82" s="1"/>
  <c r="P558" i="27"/>
  <c r="P240" i="82" s="1"/>
  <c r="P533" i="27"/>
  <c r="P215" i="82" s="1"/>
  <c r="P555" i="27"/>
  <c r="P237" i="82" s="1"/>
  <c r="P536" i="27"/>
  <c r="P218" i="82" s="1"/>
  <c r="P540" i="27"/>
  <c r="P222" i="82" s="1"/>
  <c r="P535" i="27"/>
  <c r="P217" i="82" s="1"/>
  <c r="P560" i="27"/>
  <c r="P242" i="82" s="1"/>
  <c r="P541" i="27"/>
  <c r="P223" i="82" s="1"/>
  <c r="P537" i="27"/>
  <c r="P219" i="82" s="1"/>
  <c r="P554" i="27"/>
  <c r="P236" i="82" s="1"/>
  <c r="P538" i="27"/>
  <c r="P220" i="82" s="1"/>
  <c r="P525" i="27"/>
  <c r="P207" i="82" s="1"/>
  <c r="P526" i="27"/>
  <c r="P208" i="82" s="1"/>
  <c r="P590" i="27"/>
  <c r="I6" i="42" s="1"/>
  <c r="D22" i="36"/>
  <c r="J11" i="53"/>
  <c r="H11" i="53" s="1"/>
  <c r="F25" i="7"/>
  <c r="F24" i="7"/>
  <c r="S41" i="82"/>
  <c r="I142" i="81"/>
  <c r="J142" i="81" s="1"/>
  <c r="K142" i="81" s="1"/>
  <c r="S17" i="63"/>
  <c r="U17" i="63" s="1"/>
  <c r="S21" i="63"/>
  <c r="U21" i="63" s="1"/>
  <c r="S25" i="63"/>
  <c r="U25" i="63" s="1"/>
  <c r="S18" i="63"/>
  <c r="U18" i="63" s="1"/>
  <c r="S22" i="63"/>
  <c r="U22" i="63" s="1"/>
  <c r="S26" i="63"/>
  <c r="U26" i="63" s="1"/>
  <c r="S15" i="63"/>
  <c r="U15" i="63" s="1"/>
  <c r="S19" i="63"/>
  <c r="U19" i="63" s="1"/>
  <c r="S23" i="63"/>
  <c r="U23" i="63" s="1"/>
  <c r="S14" i="63"/>
  <c r="U14" i="63" s="1"/>
  <c r="S16" i="63"/>
  <c r="U16" i="63" s="1"/>
  <c r="S20" i="63"/>
  <c r="U20" i="63" s="1"/>
  <c r="S24" i="63"/>
  <c r="U24" i="63" s="1"/>
  <c r="S27" i="63"/>
  <c r="U27" i="63" s="1"/>
  <c r="S31" i="63"/>
  <c r="U31" i="63" s="1"/>
  <c r="S35" i="63"/>
  <c r="U35" i="63" s="1"/>
  <c r="S39" i="63"/>
  <c r="U39" i="63" s="1"/>
  <c r="S43" i="63"/>
  <c r="U43" i="63" s="1"/>
  <c r="S47" i="63"/>
  <c r="U47" i="63" s="1"/>
  <c r="S51" i="63"/>
  <c r="U51" i="63" s="1"/>
  <c r="S55" i="63"/>
  <c r="U55" i="63" s="1"/>
  <c r="S59" i="63"/>
  <c r="U59" i="63" s="1"/>
  <c r="S63" i="63"/>
  <c r="U63" i="63" s="1"/>
  <c r="S67" i="63"/>
  <c r="U67" i="63" s="1"/>
  <c r="S71" i="63"/>
  <c r="U71" i="63" s="1"/>
  <c r="S75" i="63"/>
  <c r="U75" i="63" s="1"/>
  <c r="S79" i="63"/>
  <c r="U79" i="63" s="1"/>
  <c r="S84" i="63"/>
  <c r="U84" i="63" s="1"/>
  <c r="S88" i="63"/>
  <c r="U88" i="63" s="1"/>
  <c r="S92" i="63"/>
  <c r="U92" i="63" s="1"/>
  <c r="S96" i="63"/>
  <c r="U96" i="63" s="1"/>
  <c r="S100" i="63"/>
  <c r="U100" i="63" s="1"/>
  <c r="S104" i="63"/>
  <c r="U104" i="63" s="1"/>
  <c r="S108" i="63"/>
  <c r="U108" i="63" s="1"/>
  <c r="S112" i="63"/>
  <c r="U112" i="63" s="1"/>
  <c r="S116" i="63"/>
  <c r="U116" i="63" s="1"/>
  <c r="S28" i="63"/>
  <c r="U28" i="63" s="1"/>
  <c r="S32" i="63"/>
  <c r="U32" i="63" s="1"/>
  <c r="S36" i="63"/>
  <c r="U36" i="63" s="1"/>
  <c r="S40" i="63"/>
  <c r="U40" i="63" s="1"/>
  <c r="S44" i="63"/>
  <c r="U44" i="63" s="1"/>
  <c r="S48" i="63"/>
  <c r="U48" i="63" s="1"/>
  <c r="S52" i="63"/>
  <c r="U52" i="63" s="1"/>
  <c r="S56" i="63"/>
  <c r="U56" i="63" s="1"/>
  <c r="S60" i="63"/>
  <c r="U60" i="63" s="1"/>
  <c r="S64" i="63"/>
  <c r="U64" i="63" s="1"/>
  <c r="S68" i="63"/>
  <c r="U68" i="63" s="1"/>
  <c r="S72" i="63"/>
  <c r="U72" i="63" s="1"/>
  <c r="S76" i="63"/>
  <c r="U76" i="63" s="1"/>
  <c r="S80" i="63"/>
  <c r="U80" i="63" s="1"/>
  <c r="S85" i="63"/>
  <c r="U85" i="63" s="1"/>
  <c r="S89" i="63"/>
  <c r="U89" i="63" s="1"/>
  <c r="S93" i="63"/>
  <c r="U93" i="63" s="1"/>
  <c r="S97" i="63"/>
  <c r="U97" i="63" s="1"/>
  <c r="S101" i="63"/>
  <c r="U101" i="63" s="1"/>
  <c r="S105" i="63"/>
  <c r="U105" i="63" s="1"/>
  <c r="S109" i="63"/>
  <c r="U109" i="63" s="1"/>
  <c r="S113" i="63"/>
  <c r="U113" i="63" s="1"/>
  <c r="S117" i="63"/>
  <c r="U117" i="63" s="1"/>
  <c r="S121" i="63"/>
  <c r="U121" i="63" s="1"/>
  <c r="S125" i="63"/>
  <c r="U125" i="63" s="1"/>
  <c r="S129" i="63"/>
  <c r="U129" i="63" s="1"/>
  <c r="S133" i="63"/>
  <c r="U133" i="63" s="1"/>
  <c r="S137" i="63"/>
  <c r="U137" i="63" s="1"/>
  <c r="S141" i="63"/>
  <c r="U141" i="63" s="1"/>
  <c r="S145" i="63"/>
  <c r="U145" i="63" s="1"/>
  <c r="S149" i="63"/>
  <c r="U149" i="63" s="1"/>
  <c r="S153" i="63"/>
  <c r="U153" i="63" s="1"/>
  <c r="S157" i="63"/>
  <c r="U157" i="63" s="1"/>
  <c r="S161" i="63"/>
  <c r="U161" i="63" s="1"/>
  <c r="S165" i="63"/>
  <c r="U165" i="63" s="1"/>
  <c r="S169" i="63"/>
  <c r="U169" i="63" s="1"/>
  <c r="S173" i="63"/>
  <c r="U173" i="63" s="1"/>
  <c r="S177" i="63"/>
  <c r="U177" i="63" s="1"/>
  <c r="S181" i="63"/>
  <c r="U181" i="63" s="1"/>
  <c r="S185" i="63"/>
  <c r="U185" i="63" s="1"/>
  <c r="S189" i="63"/>
  <c r="U189" i="63" s="1"/>
  <c r="S193" i="63"/>
  <c r="U193" i="63" s="1"/>
  <c r="S197" i="63"/>
  <c r="U197" i="63" s="1"/>
  <c r="S201" i="63"/>
  <c r="U201" i="63" s="1"/>
  <c r="S205" i="63"/>
  <c r="U205" i="63" s="1"/>
  <c r="S209" i="63"/>
  <c r="U209" i="63" s="1"/>
  <c r="S213" i="63"/>
  <c r="U213" i="63" s="1"/>
  <c r="S217" i="63"/>
  <c r="U217" i="63" s="1"/>
  <c r="S221" i="63"/>
  <c r="U221" i="63" s="1"/>
  <c r="S225" i="63"/>
  <c r="U225" i="63" s="1"/>
  <c r="S229" i="63"/>
  <c r="U229" i="63" s="1"/>
  <c r="S233" i="63"/>
  <c r="U233" i="63" s="1"/>
  <c r="S237" i="63"/>
  <c r="U237" i="63" s="1"/>
  <c r="S241" i="63"/>
  <c r="U241" i="63" s="1"/>
  <c r="S245" i="63"/>
  <c r="U245" i="63" s="1"/>
  <c r="S249" i="63"/>
  <c r="U249" i="63" s="1"/>
  <c r="S253" i="63"/>
  <c r="U253" i="63" s="1"/>
  <c r="S257" i="63"/>
  <c r="U257" i="63" s="1"/>
  <c r="S261" i="63"/>
  <c r="U261" i="63" s="1"/>
  <c r="S274" i="63"/>
  <c r="U274" i="63" s="1"/>
  <c r="S278" i="63"/>
  <c r="U278" i="63" s="1"/>
  <c r="S282" i="63"/>
  <c r="U282" i="63" s="1"/>
  <c r="S286" i="63"/>
  <c r="U286" i="63" s="1"/>
  <c r="S290" i="63"/>
  <c r="U290" i="63" s="1"/>
  <c r="S294" i="63"/>
  <c r="U294" i="63" s="1"/>
  <c r="S298" i="63"/>
  <c r="U298" i="63" s="1"/>
  <c r="S302" i="63"/>
  <c r="U302" i="63" s="1"/>
  <c r="S306" i="63"/>
  <c r="U306" i="63" s="1"/>
  <c r="S310" i="63"/>
  <c r="U310" i="63" s="1"/>
  <c r="S314" i="63"/>
  <c r="U314" i="63" s="1"/>
  <c r="S318" i="63"/>
  <c r="U318" i="63" s="1"/>
  <c r="S322" i="63"/>
  <c r="U322" i="63" s="1"/>
  <c r="S326" i="63"/>
  <c r="U326" i="63" s="1"/>
  <c r="S330" i="63"/>
  <c r="U330" i="63" s="1"/>
  <c r="S334" i="63"/>
  <c r="U334" i="63" s="1"/>
  <c r="S338" i="63"/>
  <c r="U338" i="63" s="1"/>
  <c r="S342" i="63"/>
  <c r="U342" i="63" s="1"/>
  <c r="S346" i="63"/>
  <c r="U346" i="63" s="1"/>
  <c r="S350" i="63"/>
  <c r="U350" i="63" s="1"/>
  <c r="S354" i="63"/>
  <c r="U354" i="63" s="1"/>
  <c r="S358" i="63"/>
  <c r="U358" i="63" s="1"/>
  <c r="S362" i="63"/>
  <c r="U362" i="63" s="1"/>
  <c r="S366" i="63"/>
  <c r="U366" i="63" s="1"/>
  <c r="S370" i="63"/>
  <c r="U370" i="63" s="1"/>
  <c r="S374" i="63"/>
  <c r="U374" i="63" s="1"/>
  <c r="S29" i="63"/>
  <c r="U29" i="63" s="1"/>
  <c r="S33" i="63"/>
  <c r="U33" i="63" s="1"/>
  <c r="S37" i="63"/>
  <c r="U37" i="63" s="1"/>
  <c r="S41" i="63"/>
  <c r="U41" i="63" s="1"/>
  <c r="S45" i="63"/>
  <c r="U45" i="63" s="1"/>
  <c r="S49" i="63"/>
  <c r="U49" i="63" s="1"/>
  <c r="S53" i="63"/>
  <c r="U53" i="63" s="1"/>
  <c r="S57" i="63"/>
  <c r="U57" i="63" s="1"/>
  <c r="S61" i="63"/>
  <c r="U61" i="63" s="1"/>
  <c r="S65" i="63"/>
  <c r="U65" i="63" s="1"/>
  <c r="S69" i="63"/>
  <c r="U69" i="63" s="1"/>
  <c r="S73" i="63"/>
  <c r="U73" i="63" s="1"/>
  <c r="S77" i="63"/>
  <c r="U77" i="63" s="1"/>
  <c r="S81" i="63"/>
  <c r="U81" i="63" s="1"/>
  <c r="S86" i="63"/>
  <c r="U86" i="63" s="1"/>
  <c r="S90" i="63"/>
  <c r="U90" i="63" s="1"/>
  <c r="S94" i="63"/>
  <c r="U94" i="63" s="1"/>
  <c r="S98" i="63"/>
  <c r="U98" i="63" s="1"/>
  <c r="S102" i="63"/>
  <c r="U102" i="63" s="1"/>
  <c r="S106" i="63"/>
  <c r="U106" i="63" s="1"/>
  <c r="S110" i="63"/>
  <c r="U110" i="63" s="1"/>
  <c r="S114" i="63"/>
  <c r="U114" i="63" s="1"/>
  <c r="S118" i="63"/>
  <c r="U118" i="63" s="1"/>
  <c r="S122" i="63"/>
  <c r="U122" i="63" s="1"/>
  <c r="S126" i="63"/>
  <c r="U126" i="63" s="1"/>
  <c r="S130" i="63"/>
  <c r="U130" i="63" s="1"/>
  <c r="S134" i="63"/>
  <c r="U134" i="63" s="1"/>
  <c r="S138" i="63"/>
  <c r="U138" i="63" s="1"/>
  <c r="S142" i="63"/>
  <c r="U142" i="63" s="1"/>
  <c r="S146" i="63"/>
  <c r="U146" i="63" s="1"/>
  <c r="S150" i="63"/>
  <c r="U150" i="63" s="1"/>
  <c r="S154" i="63"/>
  <c r="U154" i="63" s="1"/>
  <c r="S158" i="63"/>
  <c r="U158" i="63" s="1"/>
  <c r="S162" i="63"/>
  <c r="U162" i="63" s="1"/>
  <c r="S166" i="63"/>
  <c r="U166" i="63" s="1"/>
  <c r="S30" i="63"/>
  <c r="U30" i="63" s="1"/>
  <c r="S46" i="63"/>
  <c r="U46" i="63" s="1"/>
  <c r="S62" i="63"/>
  <c r="U62" i="63" s="1"/>
  <c r="S78" i="63"/>
  <c r="U78" i="63" s="1"/>
  <c r="S95" i="63"/>
  <c r="U95" i="63" s="1"/>
  <c r="S111" i="63"/>
  <c r="U111" i="63" s="1"/>
  <c r="S123" i="63"/>
  <c r="U123" i="63" s="1"/>
  <c r="S131" i="63"/>
  <c r="U131" i="63" s="1"/>
  <c r="S139" i="63"/>
  <c r="U139" i="63" s="1"/>
  <c r="S147" i="63"/>
  <c r="U147" i="63" s="1"/>
  <c r="S155" i="63"/>
  <c r="U155" i="63" s="1"/>
  <c r="S163" i="63"/>
  <c r="U163" i="63" s="1"/>
  <c r="S170" i="63"/>
  <c r="U170" i="63" s="1"/>
  <c r="S175" i="63"/>
  <c r="U175" i="63" s="1"/>
  <c r="S180" i="63"/>
  <c r="U180" i="63" s="1"/>
  <c r="S186" i="63"/>
  <c r="U186" i="63" s="1"/>
  <c r="S191" i="63"/>
  <c r="U191" i="63" s="1"/>
  <c r="S196" i="63"/>
  <c r="U196" i="63" s="1"/>
  <c r="S202" i="63"/>
  <c r="U202" i="63" s="1"/>
  <c r="S207" i="63"/>
  <c r="U207" i="63" s="1"/>
  <c r="S212" i="63"/>
  <c r="U212" i="63" s="1"/>
  <c r="S218" i="63"/>
  <c r="U218" i="63" s="1"/>
  <c r="S223" i="63"/>
  <c r="U223" i="63" s="1"/>
  <c r="S228" i="63"/>
  <c r="U228" i="63" s="1"/>
  <c r="S234" i="63"/>
  <c r="U234" i="63" s="1"/>
  <c r="S239" i="63"/>
  <c r="U239" i="63" s="1"/>
  <c r="S244" i="63"/>
  <c r="U244" i="63" s="1"/>
  <c r="S250" i="63"/>
  <c r="U250" i="63" s="1"/>
  <c r="S255" i="63"/>
  <c r="U255" i="63" s="1"/>
  <c r="S260" i="63"/>
  <c r="U260" i="63" s="1"/>
  <c r="S275" i="63"/>
  <c r="U275" i="63" s="1"/>
  <c r="S280" i="63"/>
  <c r="U280" i="63" s="1"/>
  <c r="S285" i="63"/>
  <c r="U285" i="63" s="1"/>
  <c r="S291" i="63"/>
  <c r="U291" i="63" s="1"/>
  <c r="S296" i="63"/>
  <c r="U296" i="63" s="1"/>
  <c r="S301" i="63"/>
  <c r="U301" i="63" s="1"/>
  <c r="S307" i="63"/>
  <c r="U307" i="63" s="1"/>
  <c r="S312" i="63"/>
  <c r="U312" i="63" s="1"/>
  <c r="S317" i="63"/>
  <c r="U317" i="63" s="1"/>
  <c r="S323" i="63"/>
  <c r="U323" i="63" s="1"/>
  <c r="S328" i="63"/>
  <c r="U328" i="63" s="1"/>
  <c r="S333" i="63"/>
  <c r="U333" i="63" s="1"/>
  <c r="S339" i="63"/>
  <c r="U339" i="63" s="1"/>
  <c r="S344" i="63"/>
  <c r="U344" i="63" s="1"/>
  <c r="S349" i="63"/>
  <c r="U349" i="63" s="1"/>
  <c r="S355" i="63"/>
  <c r="U355" i="63" s="1"/>
  <c r="S360" i="63"/>
  <c r="U360" i="63" s="1"/>
  <c r="S365" i="63"/>
  <c r="U365" i="63" s="1"/>
  <c r="S371" i="63"/>
  <c r="U371" i="63" s="1"/>
  <c r="S376" i="63"/>
  <c r="U376" i="63" s="1"/>
  <c r="S380" i="63"/>
  <c r="U380" i="63" s="1"/>
  <c r="S384" i="63"/>
  <c r="U384" i="63" s="1"/>
  <c r="S388" i="63"/>
  <c r="U388" i="63" s="1"/>
  <c r="S392" i="63"/>
  <c r="U392" i="63" s="1"/>
  <c r="S396" i="63"/>
  <c r="U396" i="63" s="1"/>
  <c r="S400" i="63"/>
  <c r="U400" i="63" s="1"/>
  <c r="S404" i="63"/>
  <c r="U404" i="63" s="1"/>
  <c r="S408" i="63"/>
  <c r="U408" i="63" s="1"/>
  <c r="S412" i="63"/>
  <c r="U412" i="63" s="1"/>
  <c r="S459" i="63"/>
  <c r="U459" i="63" s="1"/>
  <c r="S463" i="63"/>
  <c r="U463" i="63" s="1"/>
  <c r="S467" i="63"/>
  <c r="U467" i="63" s="1"/>
  <c r="S471" i="63"/>
  <c r="U471" i="63" s="1"/>
  <c r="S475" i="63"/>
  <c r="U475" i="63" s="1"/>
  <c r="S479" i="63"/>
  <c r="U479" i="63" s="1"/>
  <c r="S483" i="63"/>
  <c r="U483" i="63" s="1"/>
  <c r="S487" i="63"/>
  <c r="U487" i="63" s="1"/>
  <c r="S491" i="63"/>
  <c r="U491" i="63" s="1"/>
  <c r="S495" i="63"/>
  <c r="U495" i="63" s="1"/>
  <c r="S499" i="63"/>
  <c r="U499" i="63" s="1"/>
  <c r="S503" i="63"/>
  <c r="U503" i="63" s="1"/>
  <c r="S507" i="63"/>
  <c r="U507" i="63" s="1"/>
  <c r="S511" i="63"/>
  <c r="U511" i="63" s="1"/>
  <c r="S515" i="63"/>
  <c r="U515" i="63" s="1"/>
  <c r="S519" i="63"/>
  <c r="U519" i="63" s="1"/>
  <c r="S522" i="63"/>
  <c r="U522" i="63" s="1"/>
  <c r="S526" i="63"/>
  <c r="U526" i="63" s="1"/>
  <c r="S530" i="63"/>
  <c r="U530" i="63" s="1"/>
  <c r="S534" i="63"/>
  <c r="U534" i="63" s="1"/>
  <c r="S538" i="63"/>
  <c r="U538" i="63" s="1"/>
  <c r="S542" i="63"/>
  <c r="U542" i="63" s="1"/>
  <c r="S546" i="63"/>
  <c r="U546" i="63" s="1"/>
  <c r="S550" i="63"/>
  <c r="U550" i="63" s="1"/>
  <c r="S554" i="63"/>
  <c r="U554" i="63" s="1"/>
  <c r="S558" i="63"/>
  <c r="U558" i="63" s="1"/>
  <c r="S34" i="63"/>
  <c r="U34" i="63" s="1"/>
  <c r="S50" i="63"/>
  <c r="U50" i="63" s="1"/>
  <c r="S66" i="63"/>
  <c r="U66" i="63" s="1"/>
  <c r="S83" i="63"/>
  <c r="U83" i="63" s="1"/>
  <c r="S99" i="63"/>
  <c r="U99" i="63" s="1"/>
  <c r="S115" i="63"/>
  <c r="U115" i="63" s="1"/>
  <c r="S124" i="63"/>
  <c r="U124" i="63" s="1"/>
  <c r="S132" i="63"/>
  <c r="U132" i="63" s="1"/>
  <c r="S140" i="63"/>
  <c r="U140" i="63" s="1"/>
  <c r="S148" i="63"/>
  <c r="U148" i="63" s="1"/>
  <c r="S156" i="63"/>
  <c r="U156" i="63" s="1"/>
  <c r="S164" i="63"/>
  <c r="U164" i="63" s="1"/>
  <c r="S171" i="63"/>
  <c r="U171" i="63" s="1"/>
  <c r="S176" i="63"/>
  <c r="U176" i="63" s="1"/>
  <c r="S182" i="63"/>
  <c r="U182" i="63" s="1"/>
  <c r="S187" i="63"/>
  <c r="U187" i="63" s="1"/>
  <c r="S192" i="63"/>
  <c r="U192" i="63" s="1"/>
  <c r="S198" i="63"/>
  <c r="U198" i="63" s="1"/>
  <c r="S203" i="63"/>
  <c r="U203" i="63" s="1"/>
  <c r="S208" i="63"/>
  <c r="U208" i="63" s="1"/>
  <c r="S214" i="63"/>
  <c r="U214" i="63" s="1"/>
  <c r="S219" i="63"/>
  <c r="U219" i="63" s="1"/>
  <c r="S224" i="63"/>
  <c r="U224" i="63" s="1"/>
  <c r="S230" i="63"/>
  <c r="U230" i="63" s="1"/>
  <c r="S235" i="63"/>
  <c r="U235" i="63" s="1"/>
  <c r="S240" i="63"/>
  <c r="U240" i="63" s="1"/>
  <c r="S246" i="63"/>
  <c r="U246" i="63" s="1"/>
  <c r="S251" i="63"/>
  <c r="U251" i="63" s="1"/>
  <c r="S256" i="63"/>
  <c r="U256" i="63" s="1"/>
  <c r="S262" i="63"/>
  <c r="U262" i="63" s="1"/>
  <c r="S276" i="63"/>
  <c r="U276" i="63" s="1"/>
  <c r="S281" i="63"/>
  <c r="U281" i="63" s="1"/>
  <c r="S287" i="63"/>
  <c r="U287" i="63" s="1"/>
  <c r="S292" i="63"/>
  <c r="U292" i="63" s="1"/>
  <c r="S297" i="63"/>
  <c r="U297" i="63" s="1"/>
  <c r="S303" i="63"/>
  <c r="U303" i="63" s="1"/>
  <c r="S308" i="63"/>
  <c r="U308" i="63" s="1"/>
  <c r="S313" i="63"/>
  <c r="U313" i="63" s="1"/>
  <c r="S319" i="63"/>
  <c r="U319" i="63" s="1"/>
  <c r="S324" i="63"/>
  <c r="U324" i="63" s="1"/>
  <c r="S329" i="63"/>
  <c r="U329" i="63" s="1"/>
  <c r="S335" i="63"/>
  <c r="U335" i="63" s="1"/>
  <c r="S340" i="63"/>
  <c r="U340" i="63" s="1"/>
  <c r="S345" i="63"/>
  <c r="U345" i="63" s="1"/>
  <c r="S351" i="63"/>
  <c r="U351" i="63" s="1"/>
  <c r="S356" i="63"/>
  <c r="U356" i="63" s="1"/>
  <c r="S361" i="63"/>
  <c r="U361" i="63" s="1"/>
  <c r="S367" i="63"/>
  <c r="U367" i="63" s="1"/>
  <c r="S372" i="63"/>
  <c r="U372" i="63" s="1"/>
  <c r="S377" i="63"/>
  <c r="U377" i="63" s="1"/>
  <c r="S381" i="63"/>
  <c r="U381" i="63" s="1"/>
  <c r="S385" i="63"/>
  <c r="U385" i="63" s="1"/>
  <c r="S389" i="63"/>
  <c r="U389" i="63" s="1"/>
  <c r="S393" i="63"/>
  <c r="U393" i="63" s="1"/>
  <c r="S397" i="63"/>
  <c r="U397" i="63" s="1"/>
  <c r="S401" i="63"/>
  <c r="U401" i="63" s="1"/>
  <c r="S405" i="63"/>
  <c r="U405" i="63" s="1"/>
  <c r="S409" i="63"/>
  <c r="U409" i="63" s="1"/>
  <c r="S456" i="63"/>
  <c r="U456" i="63" s="1"/>
  <c r="S460" i="63"/>
  <c r="U460" i="63" s="1"/>
  <c r="S464" i="63"/>
  <c r="U464" i="63" s="1"/>
  <c r="S468" i="63"/>
  <c r="U468" i="63" s="1"/>
  <c r="S472" i="63"/>
  <c r="U472" i="63" s="1"/>
  <c r="S476" i="63"/>
  <c r="U476" i="63" s="1"/>
  <c r="S480" i="63"/>
  <c r="U480" i="63" s="1"/>
  <c r="S484" i="63"/>
  <c r="U484" i="63" s="1"/>
  <c r="S488" i="63"/>
  <c r="U488" i="63" s="1"/>
  <c r="S492" i="63"/>
  <c r="U492" i="63" s="1"/>
  <c r="S496" i="63"/>
  <c r="U496" i="63" s="1"/>
  <c r="S500" i="63"/>
  <c r="U500" i="63" s="1"/>
  <c r="S504" i="63"/>
  <c r="U504" i="63" s="1"/>
  <c r="S508" i="63"/>
  <c r="U508" i="63" s="1"/>
  <c r="S512" i="63"/>
  <c r="U512" i="63" s="1"/>
  <c r="S516" i="63"/>
  <c r="U516" i="63" s="1"/>
  <c r="S523" i="63"/>
  <c r="U523" i="63" s="1"/>
  <c r="S527" i="63"/>
  <c r="U527" i="63" s="1"/>
  <c r="S531" i="63"/>
  <c r="U531" i="63" s="1"/>
  <c r="S535" i="63"/>
  <c r="U535" i="63" s="1"/>
  <c r="S539" i="63"/>
  <c r="U539" i="63" s="1"/>
  <c r="S543" i="63"/>
  <c r="U543" i="63" s="1"/>
  <c r="S547" i="63"/>
  <c r="U547" i="63" s="1"/>
  <c r="S551" i="63"/>
  <c r="U551" i="63" s="1"/>
  <c r="S555" i="63"/>
  <c r="U555" i="63" s="1"/>
  <c r="S559" i="63"/>
  <c r="U559" i="63" s="1"/>
  <c r="S563" i="63"/>
  <c r="U563" i="63" s="1"/>
  <c r="S567" i="63"/>
  <c r="U567" i="63" s="1"/>
  <c r="S571" i="63"/>
  <c r="U571" i="63" s="1"/>
  <c r="S575" i="63"/>
  <c r="U575" i="63" s="1"/>
  <c r="S579" i="63"/>
  <c r="U579" i="63" s="1"/>
  <c r="S583" i="63"/>
  <c r="U583" i="63" s="1"/>
  <c r="S587" i="63"/>
  <c r="U587" i="63" s="1"/>
  <c r="S591" i="63"/>
  <c r="U591" i="63" s="1"/>
  <c r="S38" i="63"/>
  <c r="U38" i="63" s="1"/>
  <c r="S70" i="63"/>
  <c r="U70" i="63" s="1"/>
  <c r="S103" i="63"/>
  <c r="U103" i="63" s="1"/>
  <c r="S127" i="63"/>
  <c r="U127" i="63" s="1"/>
  <c r="S143" i="63"/>
  <c r="U143" i="63" s="1"/>
  <c r="S159" i="63"/>
  <c r="U159" i="63" s="1"/>
  <c r="S172" i="63"/>
  <c r="U172" i="63" s="1"/>
  <c r="S183" i="63"/>
  <c r="U183" i="63" s="1"/>
  <c r="S194" i="63"/>
  <c r="U194" i="63" s="1"/>
  <c r="S204" i="63"/>
  <c r="U204" i="63" s="1"/>
  <c r="S215" i="63"/>
  <c r="U215" i="63" s="1"/>
  <c r="S226" i="63"/>
  <c r="U226" i="63" s="1"/>
  <c r="S236" i="63"/>
  <c r="U236" i="63" s="1"/>
  <c r="S247" i="63"/>
  <c r="U247" i="63" s="1"/>
  <c r="S258" i="63"/>
  <c r="U258" i="63" s="1"/>
  <c r="S277" i="63"/>
  <c r="U277" i="63" s="1"/>
  <c r="S288" i="63"/>
  <c r="U288" i="63" s="1"/>
  <c r="S299" i="63"/>
  <c r="U299" i="63" s="1"/>
  <c r="S309" i="63"/>
  <c r="U309" i="63" s="1"/>
  <c r="S320" i="63"/>
  <c r="U320" i="63" s="1"/>
  <c r="S331" i="63"/>
  <c r="U331" i="63" s="1"/>
  <c r="S341" i="63"/>
  <c r="U341" i="63" s="1"/>
  <c r="S352" i="63"/>
  <c r="U352" i="63" s="1"/>
  <c r="S363" i="63"/>
  <c r="U363" i="63" s="1"/>
  <c r="S373" i="63"/>
  <c r="U373" i="63" s="1"/>
  <c r="S382" i="63"/>
  <c r="U382" i="63" s="1"/>
  <c r="S390" i="63"/>
  <c r="U390" i="63" s="1"/>
  <c r="S398" i="63"/>
  <c r="U398" i="63" s="1"/>
  <c r="S406" i="63"/>
  <c r="U406" i="63" s="1"/>
  <c r="S457" i="63"/>
  <c r="U457" i="63" s="1"/>
  <c r="S465" i="63"/>
  <c r="U465" i="63" s="1"/>
  <c r="S473" i="63"/>
  <c r="U473" i="63" s="1"/>
  <c r="S481" i="63"/>
  <c r="U481" i="63" s="1"/>
  <c r="S489" i="63"/>
  <c r="U489" i="63" s="1"/>
  <c r="S497" i="63"/>
  <c r="U497" i="63" s="1"/>
  <c r="S505" i="63"/>
  <c r="U505" i="63" s="1"/>
  <c r="S513" i="63"/>
  <c r="U513" i="63" s="1"/>
  <c r="S520" i="63"/>
  <c r="U520" i="63" s="1"/>
  <c r="S528" i="63"/>
  <c r="U528" i="63" s="1"/>
  <c r="S536" i="63"/>
  <c r="U536" i="63" s="1"/>
  <c r="S544" i="63"/>
  <c r="U544" i="63" s="1"/>
  <c r="S552" i="63"/>
  <c r="U552" i="63" s="1"/>
  <c r="S560" i="63"/>
  <c r="U560" i="63" s="1"/>
  <c r="S565" i="63"/>
  <c r="U565" i="63" s="1"/>
  <c r="S570" i="63"/>
  <c r="U570" i="63" s="1"/>
  <c r="S576" i="63"/>
  <c r="U576" i="63" s="1"/>
  <c r="S581" i="63"/>
  <c r="U581" i="63" s="1"/>
  <c r="S586" i="63"/>
  <c r="U586" i="63" s="1"/>
  <c r="S592" i="63"/>
  <c r="U592" i="63" s="1"/>
  <c r="S596" i="63"/>
  <c r="U596" i="63" s="1"/>
  <c r="S600" i="63"/>
  <c r="U600" i="63" s="1"/>
  <c r="S604" i="63"/>
  <c r="U604" i="63" s="1"/>
  <c r="S608" i="63"/>
  <c r="U608" i="63" s="1"/>
  <c r="S612" i="63"/>
  <c r="U612" i="63" s="1"/>
  <c r="S616" i="63"/>
  <c r="U616" i="63" s="1"/>
  <c r="S620" i="63"/>
  <c r="U620" i="63" s="1"/>
  <c r="S624" i="63"/>
  <c r="U624" i="63" s="1"/>
  <c r="S628" i="63"/>
  <c r="U628" i="63" s="1"/>
  <c r="S632" i="63"/>
  <c r="U632" i="63" s="1"/>
  <c r="S636" i="63"/>
  <c r="U636" i="63" s="1"/>
  <c r="S640" i="63"/>
  <c r="U640" i="63" s="1"/>
  <c r="S644" i="63"/>
  <c r="U644" i="63" s="1"/>
  <c r="S648" i="63"/>
  <c r="U648" i="63" s="1"/>
  <c r="S652" i="63"/>
  <c r="U652" i="63" s="1"/>
  <c r="S656" i="63"/>
  <c r="U656" i="63" s="1"/>
  <c r="S660" i="63"/>
  <c r="U660" i="63" s="1"/>
  <c r="S664" i="63"/>
  <c r="U664" i="63" s="1"/>
  <c r="S668" i="63"/>
  <c r="U668" i="63" s="1"/>
  <c r="S672" i="63"/>
  <c r="U672" i="63" s="1"/>
  <c r="S676" i="63"/>
  <c r="U676" i="63" s="1"/>
  <c r="S680" i="63"/>
  <c r="U680" i="63" s="1"/>
  <c r="S684" i="63"/>
  <c r="U684" i="63" s="1"/>
  <c r="S688" i="63"/>
  <c r="U688" i="63" s="1"/>
  <c r="S692" i="63"/>
  <c r="U692" i="63" s="1"/>
  <c r="S696" i="63"/>
  <c r="U696" i="63" s="1"/>
  <c r="S700" i="63"/>
  <c r="U700" i="63" s="1"/>
  <c r="S704" i="63"/>
  <c r="U704" i="63" s="1"/>
  <c r="S708" i="63"/>
  <c r="U708" i="63" s="1"/>
  <c r="S712" i="63"/>
  <c r="U712" i="63" s="1"/>
  <c r="S716" i="63"/>
  <c r="U716" i="63" s="1"/>
  <c r="S720" i="63"/>
  <c r="U720" i="63" s="1"/>
  <c r="S724" i="63"/>
  <c r="U724" i="63" s="1"/>
  <c r="S728" i="63"/>
  <c r="U728" i="63" s="1"/>
  <c r="S386" i="63"/>
  <c r="U386" i="63" s="1"/>
  <c r="S410" i="63"/>
  <c r="U410" i="63" s="1"/>
  <c r="S469" i="63"/>
  <c r="U469" i="63" s="1"/>
  <c r="S485" i="63"/>
  <c r="U485" i="63" s="1"/>
  <c r="S493" i="63"/>
  <c r="U493" i="63" s="1"/>
  <c r="S509" i="63"/>
  <c r="U509" i="63" s="1"/>
  <c r="S524" i="63"/>
  <c r="U524" i="63" s="1"/>
  <c r="S540" i="63"/>
  <c r="U540" i="63" s="1"/>
  <c r="S562" i="63"/>
  <c r="U562" i="63" s="1"/>
  <c r="S568" i="63"/>
  <c r="U568" i="63" s="1"/>
  <c r="S578" i="63"/>
  <c r="U578" i="63" s="1"/>
  <c r="S589" i="63"/>
  <c r="U589" i="63" s="1"/>
  <c r="S598" i="63"/>
  <c r="U598" i="63" s="1"/>
  <c r="S606" i="63"/>
  <c r="U606" i="63" s="1"/>
  <c r="S610" i="63"/>
  <c r="U610" i="63" s="1"/>
  <c r="S618" i="63"/>
  <c r="U618" i="63" s="1"/>
  <c r="S622" i="63"/>
  <c r="U622" i="63" s="1"/>
  <c r="S626" i="63"/>
  <c r="U626" i="63" s="1"/>
  <c r="S634" i="63"/>
  <c r="U634" i="63" s="1"/>
  <c r="S642" i="63"/>
  <c r="U642" i="63" s="1"/>
  <c r="S646" i="63"/>
  <c r="U646" i="63" s="1"/>
  <c r="S650" i="63"/>
  <c r="U650" i="63" s="1"/>
  <c r="S662" i="63"/>
  <c r="U662" i="63" s="1"/>
  <c r="S674" i="63"/>
  <c r="U674" i="63" s="1"/>
  <c r="S678" i="63"/>
  <c r="U678" i="63" s="1"/>
  <c r="S686" i="63"/>
  <c r="U686" i="63" s="1"/>
  <c r="S698" i="63"/>
  <c r="U698" i="63" s="1"/>
  <c r="S702" i="63"/>
  <c r="U702" i="63" s="1"/>
  <c r="S710" i="63"/>
  <c r="U710" i="63" s="1"/>
  <c r="S714" i="63"/>
  <c r="U714" i="63" s="1"/>
  <c r="S722" i="63"/>
  <c r="U722" i="63" s="1"/>
  <c r="S13" i="63"/>
  <c r="S58" i="63"/>
  <c r="U58" i="63" s="1"/>
  <c r="S120" i="63"/>
  <c r="U120" i="63" s="1"/>
  <c r="S190" i="63"/>
  <c r="U190" i="63" s="1"/>
  <c r="S211" i="63"/>
  <c r="U211" i="63" s="1"/>
  <c r="S254" i="63"/>
  <c r="U254" i="63" s="1"/>
  <c r="S284" i="63"/>
  <c r="U284" i="63" s="1"/>
  <c r="S305" i="63"/>
  <c r="U305" i="63" s="1"/>
  <c r="S327" i="63"/>
  <c r="U327" i="63" s="1"/>
  <c r="S348" i="63"/>
  <c r="U348" i="63" s="1"/>
  <c r="S369" i="63"/>
  <c r="U369" i="63" s="1"/>
  <c r="S387" i="63"/>
  <c r="U387" i="63" s="1"/>
  <c r="S395" i="63"/>
  <c r="U395" i="63" s="1"/>
  <c r="S411" i="63"/>
  <c r="U411" i="63" s="1"/>
  <c r="S470" i="63"/>
  <c r="U470" i="63" s="1"/>
  <c r="S486" i="63"/>
  <c r="U486" i="63" s="1"/>
  <c r="S502" i="63"/>
  <c r="U502" i="63" s="1"/>
  <c r="S518" i="63"/>
  <c r="U518" i="63" s="1"/>
  <c r="S525" i="63"/>
  <c r="U525" i="63" s="1"/>
  <c r="S541" i="63"/>
  <c r="U541" i="63" s="1"/>
  <c r="S557" i="63"/>
  <c r="U557" i="63" s="1"/>
  <c r="S569" i="63"/>
  <c r="U569" i="63" s="1"/>
  <c r="S574" i="63"/>
  <c r="U574" i="63" s="1"/>
  <c r="S590" i="63"/>
  <c r="U590" i="63" s="1"/>
  <c r="S599" i="63"/>
  <c r="U599" i="63" s="1"/>
  <c r="S607" i="63"/>
  <c r="U607" i="63" s="1"/>
  <c r="S615" i="63"/>
  <c r="U615" i="63" s="1"/>
  <c r="S619" i="63"/>
  <c r="U619" i="63" s="1"/>
  <c r="S631" i="63"/>
  <c r="U631" i="63" s="1"/>
  <c r="S635" i="63"/>
  <c r="U635" i="63" s="1"/>
  <c r="S643" i="63"/>
  <c r="U643" i="63" s="1"/>
  <c r="S651" i="63"/>
  <c r="U651" i="63" s="1"/>
  <c r="S659" i="63"/>
  <c r="U659" i="63" s="1"/>
  <c r="S667" i="63"/>
  <c r="U667" i="63" s="1"/>
  <c r="S675" i="63"/>
  <c r="U675" i="63" s="1"/>
  <c r="S679" i="63"/>
  <c r="U679" i="63" s="1"/>
  <c r="S691" i="63"/>
  <c r="U691" i="63" s="1"/>
  <c r="S42" i="63"/>
  <c r="U42" i="63" s="1"/>
  <c r="S74" i="63"/>
  <c r="U74" i="63" s="1"/>
  <c r="S107" i="63"/>
  <c r="U107" i="63" s="1"/>
  <c r="S128" i="63"/>
  <c r="U128" i="63" s="1"/>
  <c r="S144" i="63"/>
  <c r="U144" i="63" s="1"/>
  <c r="S160" i="63"/>
  <c r="U160" i="63" s="1"/>
  <c r="S174" i="63"/>
  <c r="U174" i="63" s="1"/>
  <c r="S184" i="63"/>
  <c r="U184" i="63" s="1"/>
  <c r="S195" i="63"/>
  <c r="U195" i="63" s="1"/>
  <c r="S206" i="63"/>
  <c r="U206" i="63" s="1"/>
  <c r="S216" i="63"/>
  <c r="U216" i="63" s="1"/>
  <c r="S227" i="63"/>
  <c r="U227" i="63" s="1"/>
  <c r="S238" i="63"/>
  <c r="U238" i="63" s="1"/>
  <c r="S248" i="63"/>
  <c r="U248" i="63" s="1"/>
  <c r="S259" i="63"/>
  <c r="U259" i="63" s="1"/>
  <c r="S279" i="63"/>
  <c r="U279" i="63" s="1"/>
  <c r="S289" i="63"/>
  <c r="U289" i="63" s="1"/>
  <c r="S300" i="63"/>
  <c r="U300" i="63" s="1"/>
  <c r="S311" i="63"/>
  <c r="U311" i="63" s="1"/>
  <c r="S321" i="63"/>
  <c r="U321" i="63" s="1"/>
  <c r="S332" i="63"/>
  <c r="U332" i="63" s="1"/>
  <c r="S343" i="63"/>
  <c r="U343" i="63" s="1"/>
  <c r="S353" i="63"/>
  <c r="U353" i="63" s="1"/>
  <c r="S364" i="63"/>
  <c r="U364" i="63" s="1"/>
  <c r="S375" i="63"/>
  <c r="U375" i="63" s="1"/>
  <c r="S383" i="63"/>
  <c r="U383" i="63" s="1"/>
  <c r="S391" i="63"/>
  <c r="U391" i="63" s="1"/>
  <c r="S399" i="63"/>
  <c r="U399" i="63" s="1"/>
  <c r="S407" i="63"/>
  <c r="U407" i="63" s="1"/>
  <c r="S458" i="63"/>
  <c r="U458" i="63" s="1"/>
  <c r="S466" i="63"/>
  <c r="U466" i="63" s="1"/>
  <c r="S474" i="63"/>
  <c r="U474" i="63" s="1"/>
  <c r="S482" i="63"/>
  <c r="U482" i="63" s="1"/>
  <c r="S490" i="63"/>
  <c r="U490" i="63" s="1"/>
  <c r="S498" i="63"/>
  <c r="U498" i="63" s="1"/>
  <c r="S506" i="63"/>
  <c r="U506" i="63" s="1"/>
  <c r="S514" i="63"/>
  <c r="U514" i="63" s="1"/>
  <c r="S521" i="63"/>
  <c r="U521" i="63" s="1"/>
  <c r="S529" i="63"/>
  <c r="U529" i="63" s="1"/>
  <c r="S537" i="63"/>
  <c r="U537" i="63" s="1"/>
  <c r="S545" i="63"/>
  <c r="U545" i="63" s="1"/>
  <c r="S553" i="63"/>
  <c r="U553" i="63" s="1"/>
  <c r="S561" i="63"/>
  <c r="U561" i="63" s="1"/>
  <c r="S566" i="63"/>
  <c r="U566" i="63" s="1"/>
  <c r="S572" i="63"/>
  <c r="U572" i="63" s="1"/>
  <c r="S577" i="63"/>
  <c r="U577" i="63" s="1"/>
  <c r="S582" i="63"/>
  <c r="U582" i="63" s="1"/>
  <c r="S588" i="63"/>
  <c r="U588" i="63" s="1"/>
  <c r="S593" i="63"/>
  <c r="U593" i="63" s="1"/>
  <c r="S597" i="63"/>
  <c r="U597" i="63" s="1"/>
  <c r="S601" i="63"/>
  <c r="U601" i="63" s="1"/>
  <c r="S605" i="63"/>
  <c r="U605" i="63" s="1"/>
  <c r="S609" i="63"/>
  <c r="U609" i="63" s="1"/>
  <c r="S613" i="63"/>
  <c r="U613" i="63" s="1"/>
  <c r="S617" i="63"/>
  <c r="U617" i="63" s="1"/>
  <c r="S621" i="63"/>
  <c r="U621" i="63" s="1"/>
  <c r="S625" i="63"/>
  <c r="U625" i="63" s="1"/>
  <c r="S629" i="63"/>
  <c r="U629" i="63" s="1"/>
  <c r="S633" i="63"/>
  <c r="U633" i="63" s="1"/>
  <c r="S637" i="63"/>
  <c r="U637" i="63" s="1"/>
  <c r="S641" i="63"/>
  <c r="U641" i="63" s="1"/>
  <c r="S645" i="63"/>
  <c r="U645" i="63" s="1"/>
  <c r="S649" i="63"/>
  <c r="U649" i="63" s="1"/>
  <c r="S653" i="63"/>
  <c r="U653" i="63" s="1"/>
  <c r="S657" i="63"/>
  <c r="U657" i="63" s="1"/>
  <c r="S661" i="63"/>
  <c r="U661" i="63" s="1"/>
  <c r="S665" i="63"/>
  <c r="U665" i="63" s="1"/>
  <c r="S669" i="63"/>
  <c r="U669" i="63" s="1"/>
  <c r="S673" i="63"/>
  <c r="U673" i="63" s="1"/>
  <c r="S677" i="63"/>
  <c r="U677" i="63" s="1"/>
  <c r="S681" i="63"/>
  <c r="U681" i="63" s="1"/>
  <c r="S685" i="63"/>
  <c r="U685" i="63" s="1"/>
  <c r="S689" i="63"/>
  <c r="U689" i="63" s="1"/>
  <c r="S693" i="63"/>
  <c r="U693" i="63" s="1"/>
  <c r="S697" i="63"/>
  <c r="U697" i="63" s="1"/>
  <c r="S701" i="63"/>
  <c r="U701" i="63" s="1"/>
  <c r="S705" i="63"/>
  <c r="U705" i="63" s="1"/>
  <c r="S709" i="63"/>
  <c r="U709" i="63" s="1"/>
  <c r="S713" i="63"/>
  <c r="U713" i="63" s="1"/>
  <c r="S717" i="63"/>
  <c r="U717" i="63" s="1"/>
  <c r="S721" i="63"/>
  <c r="U721" i="63" s="1"/>
  <c r="S725" i="63"/>
  <c r="U725" i="63" s="1"/>
  <c r="S54" i="63"/>
  <c r="U54" i="63" s="1"/>
  <c r="S87" i="63"/>
  <c r="U87" i="63" s="1"/>
  <c r="S119" i="63"/>
  <c r="U119" i="63" s="1"/>
  <c r="S135" i="63"/>
  <c r="U135" i="63" s="1"/>
  <c r="S151" i="63"/>
  <c r="U151" i="63" s="1"/>
  <c r="S167" i="63"/>
  <c r="U167" i="63" s="1"/>
  <c r="S178" i="63"/>
  <c r="U178" i="63" s="1"/>
  <c r="S188" i="63"/>
  <c r="U188" i="63" s="1"/>
  <c r="S199" i="63"/>
  <c r="U199" i="63" s="1"/>
  <c r="S210" i="63"/>
  <c r="U210" i="63" s="1"/>
  <c r="S220" i="63"/>
  <c r="U220" i="63" s="1"/>
  <c r="S231" i="63"/>
  <c r="U231" i="63" s="1"/>
  <c r="S242" i="63"/>
  <c r="U242" i="63" s="1"/>
  <c r="S252" i="63"/>
  <c r="U252" i="63" s="1"/>
  <c r="S263" i="63"/>
  <c r="U263" i="63" s="1"/>
  <c r="S283" i="63"/>
  <c r="U283" i="63" s="1"/>
  <c r="S293" i="63"/>
  <c r="U293" i="63" s="1"/>
  <c r="S304" i="63"/>
  <c r="U304" i="63" s="1"/>
  <c r="S315" i="63"/>
  <c r="U315" i="63" s="1"/>
  <c r="S325" i="63"/>
  <c r="U325" i="63" s="1"/>
  <c r="S336" i="63"/>
  <c r="U336" i="63" s="1"/>
  <c r="S347" i="63"/>
  <c r="U347" i="63" s="1"/>
  <c r="S357" i="63"/>
  <c r="U357" i="63" s="1"/>
  <c r="S368" i="63"/>
  <c r="U368" i="63" s="1"/>
  <c r="S378" i="63"/>
  <c r="U378" i="63" s="1"/>
  <c r="S394" i="63"/>
  <c r="U394" i="63" s="1"/>
  <c r="S402" i="63"/>
  <c r="U402" i="63" s="1"/>
  <c r="S461" i="63"/>
  <c r="U461" i="63" s="1"/>
  <c r="S477" i="63"/>
  <c r="U477" i="63" s="1"/>
  <c r="S501" i="63"/>
  <c r="U501" i="63" s="1"/>
  <c r="S517" i="63"/>
  <c r="U517" i="63" s="1"/>
  <c r="S532" i="63"/>
  <c r="U532" i="63" s="1"/>
  <c r="S548" i="63"/>
  <c r="U548" i="63" s="1"/>
  <c r="S556" i="63"/>
  <c r="U556" i="63" s="1"/>
  <c r="S573" i="63"/>
  <c r="U573" i="63" s="1"/>
  <c r="S584" i="63"/>
  <c r="U584" i="63" s="1"/>
  <c r="S594" i="63"/>
  <c r="U594" i="63" s="1"/>
  <c r="S602" i="63"/>
  <c r="U602" i="63" s="1"/>
  <c r="S614" i="63"/>
  <c r="U614" i="63" s="1"/>
  <c r="S630" i="63"/>
  <c r="U630" i="63" s="1"/>
  <c r="S638" i="63"/>
  <c r="U638" i="63" s="1"/>
  <c r="S654" i="63"/>
  <c r="U654" i="63" s="1"/>
  <c r="S658" i="63"/>
  <c r="U658" i="63" s="1"/>
  <c r="S666" i="63"/>
  <c r="U666" i="63" s="1"/>
  <c r="S670" i="63"/>
  <c r="U670" i="63" s="1"/>
  <c r="S682" i="63"/>
  <c r="U682" i="63" s="1"/>
  <c r="S690" i="63"/>
  <c r="U690" i="63" s="1"/>
  <c r="S694" i="63"/>
  <c r="U694" i="63" s="1"/>
  <c r="S706" i="63"/>
  <c r="U706" i="63" s="1"/>
  <c r="S718" i="63"/>
  <c r="U718" i="63" s="1"/>
  <c r="S726" i="63"/>
  <c r="U726" i="63" s="1"/>
  <c r="S91" i="63"/>
  <c r="U91" i="63" s="1"/>
  <c r="S136" i="63"/>
  <c r="U136" i="63" s="1"/>
  <c r="S152" i="63"/>
  <c r="U152" i="63" s="1"/>
  <c r="S168" i="63"/>
  <c r="U168" i="63" s="1"/>
  <c r="S179" i="63"/>
  <c r="U179" i="63" s="1"/>
  <c r="S200" i="63"/>
  <c r="U200" i="63" s="1"/>
  <c r="S222" i="63"/>
  <c r="U222" i="63" s="1"/>
  <c r="S232" i="63"/>
  <c r="U232" i="63" s="1"/>
  <c r="S243" i="63"/>
  <c r="U243" i="63" s="1"/>
  <c r="S295" i="63"/>
  <c r="U295" i="63" s="1"/>
  <c r="S316" i="63"/>
  <c r="U316" i="63" s="1"/>
  <c r="S337" i="63"/>
  <c r="U337" i="63" s="1"/>
  <c r="S359" i="63"/>
  <c r="U359" i="63" s="1"/>
  <c r="S379" i="63"/>
  <c r="U379" i="63" s="1"/>
  <c r="S403" i="63"/>
  <c r="U403" i="63" s="1"/>
  <c r="S462" i="63"/>
  <c r="U462" i="63" s="1"/>
  <c r="S478" i="63"/>
  <c r="U478" i="63" s="1"/>
  <c r="S494" i="63"/>
  <c r="U494" i="63" s="1"/>
  <c r="S510" i="63"/>
  <c r="U510" i="63" s="1"/>
  <c r="S533" i="63"/>
  <c r="U533" i="63" s="1"/>
  <c r="S549" i="63"/>
  <c r="U549" i="63" s="1"/>
  <c r="S564" i="63"/>
  <c r="U564" i="63" s="1"/>
  <c r="S580" i="63"/>
  <c r="U580" i="63" s="1"/>
  <c r="S585" i="63"/>
  <c r="U585" i="63" s="1"/>
  <c r="S595" i="63"/>
  <c r="U595" i="63" s="1"/>
  <c r="S603" i="63"/>
  <c r="U603" i="63" s="1"/>
  <c r="S611" i="63"/>
  <c r="U611" i="63" s="1"/>
  <c r="S623" i="63"/>
  <c r="U623" i="63" s="1"/>
  <c r="S627" i="63"/>
  <c r="U627" i="63" s="1"/>
  <c r="S639" i="63"/>
  <c r="U639" i="63" s="1"/>
  <c r="S647" i="63"/>
  <c r="U647" i="63" s="1"/>
  <c r="S655" i="63"/>
  <c r="U655" i="63" s="1"/>
  <c r="S663" i="63"/>
  <c r="U663" i="63" s="1"/>
  <c r="S671" i="63"/>
  <c r="U671" i="63" s="1"/>
  <c r="S683" i="63"/>
  <c r="U683" i="63" s="1"/>
  <c r="S687" i="63"/>
  <c r="U687" i="63" s="1"/>
  <c r="S699" i="63"/>
  <c r="U699" i="63" s="1"/>
  <c r="S715" i="63"/>
  <c r="U715" i="63" s="1"/>
  <c r="S703" i="63"/>
  <c r="U703" i="63" s="1"/>
  <c r="S719" i="63"/>
  <c r="U719" i="63" s="1"/>
  <c r="S707" i="63"/>
  <c r="U707" i="63" s="1"/>
  <c r="S723" i="63"/>
  <c r="U723" i="63" s="1"/>
  <c r="S695" i="63"/>
  <c r="U695" i="63" s="1"/>
  <c r="S711" i="63"/>
  <c r="U711" i="63" s="1"/>
  <c r="S727" i="63"/>
  <c r="U727" i="63" s="1"/>
  <c r="J195" i="43" l="1"/>
  <c r="L21" i="48"/>
  <c r="K21" i="48"/>
  <c r="J21" i="48"/>
  <c r="H21" i="48"/>
  <c r="Q21" i="48"/>
  <c r="P21" i="48"/>
  <c r="O21" i="48"/>
  <c r="N21" i="48"/>
  <c r="M21" i="48"/>
  <c r="I21" i="48"/>
  <c r="J213" i="43"/>
  <c r="L22" i="48"/>
  <c r="K22" i="48"/>
  <c r="J22" i="48"/>
  <c r="H22" i="48"/>
  <c r="Q22" i="48"/>
  <c r="P22" i="48"/>
  <c r="O22" i="48"/>
  <c r="N22" i="48"/>
  <c r="M22" i="48"/>
  <c r="I22" i="48"/>
  <c r="J231" i="43"/>
  <c r="L25" i="48"/>
  <c r="K25" i="48"/>
  <c r="J25" i="48"/>
  <c r="H25" i="48"/>
  <c r="Q25" i="48"/>
  <c r="P25" i="48"/>
  <c r="O25" i="48"/>
  <c r="N25" i="48"/>
  <c r="M25" i="48"/>
  <c r="I25" i="48"/>
  <c r="J249" i="43"/>
  <c r="L27" i="48"/>
  <c r="K27" i="48"/>
  <c r="J27" i="48"/>
  <c r="H27" i="48"/>
  <c r="Q27" i="48"/>
  <c r="P27" i="48"/>
  <c r="O27" i="48"/>
  <c r="N27" i="48"/>
  <c r="M27" i="48"/>
  <c r="I27" i="48"/>
  <c r="J177" i="43"/>
  <c r="L20" i="48"/>
  <c r="K20" i="48"/>
  <c r="J20" i="48"/>
  <c r="H20" i="48"/>
  <c r="Q20" i="48"/>
  <c r="P20" i="48"/>
  <c r="O20" i="48"/>
  <c r="N20" i="48"/>
  <c r="M20" i="48"/>
  <c r="I20" i="48"/>
  <c r="M1232" i="70"/>
  <c r="N46" i="7" s="1"/>
  <c r="W51" i="7" s="1"/>
  <c r="J14" i="72"/>
  <c r="F1118" i="70"/>
  <c r="H106" i="4" s="1"/>
  <c r="M351" i="70"/>
  <c r="Q47" i="2" s="1"/>
  <c r="O47" i="2"/>
  <c r="L351" i="70"/>
  <c r="P47" i="2" s="1"/>
  <c r="H116" i="72" s="1"/>
  <c r="N47" i="2"/>
  <c r="AR47" i="2" s="1"/>
  <c r="M333" i="70"/>
  <c r="Q41" i="2" s="1"/>
  <c r="I115" i="72" s="1"/>
  <c r="O41" i="2"/>
  <c r="L333" i="70"/>
  <c r="P41" i="2" s="1"/>
  <c r="I32" i="19" s="1"/>
  <c r="N41" i="2"/>
  <c r="H41" i="2"/>
  <c r="AQ41" i="2"/>
  <c r="M115" i="72" s="1"/>
  <c r="B145" i="71"/>
  <c r="B146" i="71"/>
  <c r="B144" i="71"/>
  <c r="B143" i="71"/>
  <c r="B141" i="71"/>
  <c r="B142" i="71"/>
  <c r="B140" i="71"/>
  <c r="B139" i="71"/>
  <c r="B138" i="71"/>
  <c r="O103" i="72"/>
  <c r="O102" i="72"/>
  <c r="O101" i="72"/>
  <c r="O100" i="72"/>
  <c r="O99" i="72"/>
  <c r="O98" i="72"/>
  <c r="O97" i="72"/>
  <c r="O96" i="72"/>
  <c r="F1113" i="70"/>
  <c r="H101" i="4" s="1"/>
  <c r="F1115" i="70"/>
  <c r="H103" i="4" s="1"/>
  <c r="F1116" i="70"/>
  <c r="H104" i="4" s="1"/>
  <c r="F1117" i="70"/>
  <c r="H105" i="4" s="1"/>
  <c r="O108" i="72"/>
  <c r="O109" i="72"/>
  <c r="O110" i="72"/>
  <c r="O111" i="72"/>
  <c r="O112" i="72"/>
  <c r="O113" i="72"/>
  <c r="O114" i="72"/>
  <c r="O115" i="72"/>
  <c r="O116" i="72"/>
  <c r="O117" i="72"/>
  <c r="B89" i="66"/>
  <c r="H23" i="71"/>
  <c r="H75" i="71"/>
  <c r="H55" i="71"/>
  <c r="H35" i="71"/>
  <c r="H85" i="71"/>
  <c r="H65" i="71"/>
  <c r="H45" i="71"/>
  <c r="H25" i="71"/>
  <c r="H33" i="71"/>
  <c r="H95" i="71"/>
  <c r="H43" i="71"/>
  <c r="H105" i="71"/>
  <c r="H53" i="71"/>
  <c r="H155" i="71"/>
  <c r="H145" i="71"/>
  <c r="H135" i="71"/>
  <c r="H125" i="71"/>
  <c r="H115" i="71"/>
  <c r="H63" i="71"/>
  <c r="H73" i="71"/>
  <c r="H83" i="71"/>
  <c r="H93" i="71"/>
  <c r="H103" i="71"/>
  <c r="H153" i="71"/>
  <c r="H143" i="71"/>
  <c r="H133" i="71"/>
  <c r="H123" i="71"/>
  <c r="H113" i="71"/>
  <c r="D24" i="71"/>
  <c r="D66" i="71"/>
  <c r="D86" i="71"/>
  <c r="D36" i="71"/>
  <c r="D56" i="71"/>
  <c r="D46" i="71"/>
  <c r="D26" i="71"/>
  <c r="D76" i="71"/>
  <c r="D34" i="71"/>
  <c r="D96" i="71"/>
  <c r="D44" i="71"/>
  <c r="D106" i="71"/>
  <c r="D54" i="71"/>
  <c r="D156" i="71"/>
  <c r="D146" i="71"/>
  <c r="D136" i="71"/>
  <c r="D126" i="71"/>
  <c r="D116" i="71"/>
  <c r="D64" i="71"/>
  <c r="D74" i="71"/>
  <c r="D84" i="71"/>
  <c r="D94" i="71"/>
  <c r="D104" i="71"/>
  <c r="D154" i="71"/>
  <c r="D144" i="71"/>
  <c r="D134" i="71"/>
  <c r="D124" i="71"/>
  <c r="D114" i="71"/>
  <c r="B104" i="66"/>
  <c r="A16" i="71"/>
  <c r="G16" i="71" s="1"/>
  <c r="K16" i="71" s="1"/>
  <c r="C23" i="71"/>
  <c r="A24" i="71"/>
  <c r="C65" i="71"/>
  <c r="A46" i="71"/>
  <c r="A86" i="71"/>
  <c r="C85" i="71"/>
  <c r="A66" i="71"/>
  <c r="C35" i="71"/>
  <c r="C55" i="71"/>
  <c r="C75" i="71"/>
  <c r="A36" i="71"/>
  <c r="A56" i="71"/>
  <c r="C45" i="71"/>
  <c r="C25" i="71"/>
  <c r="A26" i="71"/>
  <c r="A76" i="71"/>
  <c r="A34" i="71"/>
  <c r="C33" i="71"/>
  <c r="C95" i="71"/>
  <c r="A96" i="71"/>
  <c r="C43" i="71"/>
  <c r="A44" i="71"/>
  <c r="C105" i="71"/>
  <c r="A106" i="71"/>
  <c r="A54" i="71"/>
  <c r="C53" i="71"/>
  <c r="C155" i="71"/>
  <c r="A156" i="71"/>
  <c r="C145" i="71"/>
  <c r="A146" i="71"/>
  <c r="C135" i="71"/>
  <c r="A136" i="71"/>
  <c r="C125" i="71"/>
  <c r="A126" i="71"/>
  <c r="C115" i="71"/>
  <c r="A116" i="71"/>
  <c r="A64" i="71"/>
  <c r="C63" i="71"/>
  <c r="C73" i="71"/>
  <c r="A74" i="71"/>
  <c r="A84" i="71"/>
  <c r="C83" i="71"/>
  <c r="A94" i="71"/>
  <c r="C93" i="71"/>
  <c r="A104" i="71"/>
  <c r="C103" i="71"/>
  <c r="C153" i="71"/>
  <c r="G153" i="71" s="1"/>
  <c r="I153" i="71" s="1"/>
  <c r="A144" i="71"/>
  <c r="C143" i="71"/>
  <c r="G143" i="71" s="1"/>
  <c r="I143" i="71" s="1"/>
  <c r="A134" i="71"/>
  <c r="C133" i="71"/>
  <c r="A124" i="71"/>
  <c r="C123" i="71"/>
  <c r="A114" i="71"/>
  <c r="C113" i="71"/>
  <c r="A154" i="71"/>
  <c r="I208" i="27"/>
  <c r="I209" i="27"/>
  <c r="I210" i="27"/>
  <c r="I211" i="27"/>
  <c r="I212" i="27"/>
  <c r="K88" i="71"/>
  <c r="L88" i="71" s="1"/>
  <c r="K90" i="71"/>
  <c r="L90" i="71" s="1"/>
  <c r="K89" i="71"/>
  <c r="L89" i="71" s="1"/>
  <c r="K91" i="71"/>
  <c r="L91" i="71" s="1"/>
  <c r="K92" i="71"/>
  <c r="L92" i="71" s="1"/>
  <c r="J131" i="60"/>
  <c r="K131" i="60" s="1"/>
  <c r="J135" i="60"/>
  <c r="K135" i="60" s="1"/>
  <c r="J132" i="60"/>
  <c r="K132" i="60" s="1"/>
  <c r="J133" i="60"/>
  <c r="K133" i="60" s="1"/>
  <c r="J134" i="60"/>
  <c r="K134" i="60" s="1"/>
  <c r="J130" i="60"/>
  <c r="K130" i="60" s="1"/>
  <c r="J136" i="60"/>
  <c r="K136" i="60" s="1"/>
  <c r="J137" i="60"/>
  <c r="K137" i="60" s="1"/>
  <c r="J138" i="60"/>
  <c r="K138" i="60" s="1"/>
  <c r="J139" i="60"/>
  <c r="K139" i="60" s="1"/>
  <c r="J140" i="60"/>
  <c r="K140" i="60" s="1"/>
  <c r="J141" i="60"/>
  <c r="K141" i="60" s="1"/>
  <c r="J142" i="60"/>
  <c r="K142" i="60" s="1"/>
  <c r="J143" i="60"/>
  <c r="K143" i="60" s="1"/>
  <c r="K78" i="71"/>
  <c r="L78" i="71" s="1"/>
  <c r="K80" i="71"/>
  <c r="L80" i="71" s="1"/>
  <c r="K79" i="71"/>
  <c r="L79" i="71" s="1"/>
  <c r="K82" i="71"/>
  <c r="L82" i="71" s="1"/>
  <c r="K81" i="71"/>
  <c r="L81" i="71" s="1"/>
  <c r="J118" i="60"/>
  <c r="K118" i="60" s="1"/>
  <c r="J116" i="60"/>
  <c r="K116" i="60" s="1"/>
  <c r="J117" i="60"/>
  <c r="K117" i="60" s="1"/>
  <c r="J120" i="60"/>
  <c r="K120" i="60" s="1"/>
  <c r="J121" i="60"/>
  <c r="K121" i="60" s="1"/>
  <c r="J115" i="60"/>
  <c r="K115" i="60" s="1"/>
  <c r="J119" i="60"/>
  <c r="K119" i="60" s="1"/>
  <c r="J122" i="60"/>
  <c r="K122" i="60" s="1"/>
  <c r="J123" i="60"/>
  <c r="K123" i="60" s="1"/>
  <c r="J124" i="60"/>
  <c r="K124" i="60" s="1"/>
  <c r="J125" i="60"/>
  <c r="K125" i="60" s="1"/>
  <c r="J126" i="60"/>
  <c r="K126" i="60" s="1"/>
  <c r="J127" i="60"/>
  <c r="K127" i="60" s="1"/>
  <c r="J128" i="60"/>
  <c r="K128" i="60" s="1"/>
  <c r="K68" i="71"/>
  <c r="L68" i="71" s="1"/>
  <c r="K69" i="71"/>
  <c r="L69" i="71" s="1"/>
  <c r="K70" i="71"/>
  <c r="L70" i="71" s="1"/>
  <c r="K71" i="71"/>
  <c r="L71" i="71" s="1"/>
  <c r="K72" i="71"/>
  <c r="L72" i="71" s="1"/>
  <c r="J108" i="60"/>
  <c r="K108" i="60" s="1"/>
  <c r="J106" i="60"/>
  <c r="K106" i="60" s="1"/>
  <c r="J103" i="60"/>
  <c r="K103" i="60" s="1"/>
  <c r="J102" i="60"/>
  <c r="K102" i="60" s="1"/>
  <c r="J100" i="60"/>
  <c r="K100" i="60" s="1"/>
  <c r="J109" i="60"/>
  <c r="K109" i="60" s="1"/>
  <c r="J105" i="60"/>
  <c r="K105" i="60" s="1"/>
  <c r="J110" i="60"/>
  <c r="K110" i="60" s="1"/>
  <c r="J101" i="60"/>
  <c r="K101" i="60" s="1"/>
  <c r="J107" i="60"/>
  <c r="K107" i="60" s="1"/>
  <c r="J104" i="60"/>
  <c r="K104" i="60" s="1"/>
  <c r="J111" i="60"/>
  <c r="K111" i="60" s="1"/>
  <c r="J112" i="60"/>
  <c r="K112" i="60" s="1"/>
  <c r="J113" i="60"/>
  <c r="K113" i="60" s="1"/>
  <c r="K58" i="71"/>
  <c r="L58" i="71" s="1"/>
  <c r="K60" i="71"/>
  <c r="L60" i="71" s="1"/>
  <c r="K59" i="71"/>
  <c r="L59" i="71" s="1"/>
  <c r="K62" i="71"/>
  <c r="L62" i="71" s="1"/>
  <c r="K61" i="71"/>
  <c r="L61" i="71" s="1"/>
  <c r="J94" i="60"/>
  <c r="K94" i="60" s="1"/>
  <c r="J93" i="60"/>
  <c r="K93" i="60" s="1"/>
  <c r="J95" i="60"/>
  <c r="K95" i="60" s="1"/>
  <c r="J87" i="60"/>
  <c r="K87" i="60" s="1"/>
  <c r="J91" i="60"/>
  <c r="K91" i="60" s="1"/>
  <c r="J85" i="60"/>
  <c r="K85" i="60" s="1"/>
  <c r="J89" i="60"/>
  <c r="K89" i="60" s="1"/>
  <c r="J86" i="60"/>
  <c r="K86" i="60" s="1"/>
  <c r="J90" i="60"/>
  <c r="K90" i="60" s="1"/>
  <c r="J88" i="60"/>
  <c r="K88" i="60" s="1"/>
  <c r="J92" i="60"/>
  <c r="K92" i="60" s="1"/>
  <c r="J96" i="60"/>
  <c r="K96" i="60" s="1"/>
  <c r="J98" i="60"/>
  <c r="K98" i="60" s="1"/>
  <c r="J97" i="60"/>
  <c r="K97" i="60" s="1"/>
  <c r="K48" i="71"/>
  <c r="L48" i="71" s="1"/>
  <c r="K50" i="71"/>
  <c r="L50" i="71" s="1"/>
  <c r="K49" i="71"/>
  <c r="L49" i="71" s="1"/>
  <c r="K51" i="71"/>
  <c r="L51" i="71" s="1"/>
  <c r="K52" i="71"/>
  <c r="L52" i="71" s="1"/>
  <c r="J78" i="60"/>
  <c r="K78" i="60" s="1"/>
  <c r="J70" i="60"/>
  <c r="K70" i="60" s="1"/>
  <c r="J80" i="60"/>
  <c r="K80" i="60" s="1"/>
  <c r="J72" i="60"/>
  <c r="K72" i="60" s="1"/>
  <c r="J71" i="60"/>
  <c r="K71" i="60" s="1"/>
  <c r="J79" i="60"/>
  <c r="K79" i="60" s="1"/>
  <c r="J76" i="60"/>
  <c r="K76" i="60" s="1"/>
  <c r="J74" i="60"/>
  <c r="K74" i="60" s="1"/>
  <c r="J81" i="60"/>
  <c r="K81" i="60" s="1"/>
  <c r="J77" i="60"/>
  <c r="K77" i="60" s="1"/>
  <c r="J73" i="60"/>
  <c r="K73" i="60" s="1"/>
  <c r="J75" i="60"/>
  <c r="K75" i="60" s="1"/>
  <c r="J82" i="60"/>
  <c r="K82" i="60" s="1"/>
  <c r="J83" i="60"/>
  <c r="K83" i="60" s="1"/>
  <c r="K38" i="71"/>
  <c r="L38" i="71" s="1"/>
  <c r="K39" i="71"/>
  <c r="L39" i="71" s="1"/>
  <c r="K40" i="71"/>
  <c r="L40" i="71" s="1"/>
  <c r="K42" i="71"/>
  <c r="L42" i="71" s="1"/>
  <c r="K41" i="71"/>
  <c r="L41" i="71" s="1"/>
  <c r="J64" i="60"/>
  <c r="K64" i="60" s="1"/>
  <c r="J63" i="60"/>
  <c r="K63" i="60" s="1"/>
  <c r="J55" i="60"/>
  <c r="K55" i="60" s="1"/>
  <c r="J56" i="60"/>
  <c r="K56" i="60" s="1"/>
  <c r="J65" i="60"/>
  <c r="K65" i="60" s="1"/>
  <c r="J59" i="60"/>
  <c r="K59" i="60" s="1"/>
  <c r="J62" i="60"/>
  <c r="K62" i="60" s="1"/>
  <c r="J60" i="60"/>
  <c r="K60" i="60" s="1"/>
  <c r="J57" i="60"/>
  <c r="K57" i="60" s="1"/>
  <c r="J61" i="60"/>
  <c r="K61" i="60" s="1"/>
  <c r="J58" i="60"/>
  <c r="K58" i="60" s="1"/>
  <c r="J66" i="60"/>
  <c r="K66" i="60" s="1"/>
  <c r="J67" i="60"/>
  <c r="K67" i="60" s="1"/>
  <c r="J68" i="60"/>
  <c r="K68" i="60" s="1"/>
  <c r="K28" i="71"/>
  <c r="L28" i="71" s="1"/>
  <c r="K29" i="71"/>
  <c r="L29" i="71" s="1"/>
  <c r="K30" i="71"/>
  <c r="L30" i="71" s="1"/>
  <c r="K31" i="71"/>
  <c r="L31" i="71" s="1"/>
  <c r="K32" i="71"/>
  <c r="L32" i="71" s="1"/>
  <c r="J48" i="60"/>
  <c r="K48" i="60" s="1"/>
  <c r="J49" i="60"/>
  <c r="K49" i="60" s="1"/>
  <c r="J42" i="60"/>
  <c r="K42" i="60" s="1"/>
  <c r="J41" i="60"/>
  <c r="K41" i="60" s="1"/>
  <c r="J44" i="60"/>
  <c r="K44" i="60" s="1"/>
  <c r="J46" i="60"/>
  <c r="K46" i="60" s="1"/>
  <c r="J40" i="60"/>
  <c r="K40" i="60" s="1"/>
  <c r="J45" i="60"/>
  <c r="K45" i="60" s="1"/>
  <c r="J43" i="60"/>
  <c r="K43" i="60" s="1"/>
  <c r="J50" i="60"/>
  <c r="K50" i="60" s="1"/>
  <c r="J47" i="60"/>
  <c r="K47" i="60" s="1"/>
  <c r="J51" i="60"/>
  <c r="K51" i="60" s="1"/>
  <c r="J53" i="60"/>
  <c r="K53" i="60" s="1"/>
  <c r="J52" i="60"/>
  <c r="K52" i="60" s="1"/>
  <c r="J11" i="60"/>
  <c r="J12" i="60"/>
  <c r="J13" i="60"/>
  <c r="J14" i="60"/>
  <c r="J15" i="60"/>
  <c r="J16" i="60"/>
  <c r="J17" i="60"/>
  <c r="J18" i="60"/>
  <c r="J19" i="60"/>
  <c r="J20" i="60"/>
  <c r="J21" i="60"/>
  <c r="J22" i="60"/>
  <c r="J23" i="60"/>
  <c r="K18" i="71"/>
  <c r="L18" i="71" s="1"/>
  <c r="K19" i="71"/>
  <c r="L19" i="71" s="1"/>
  <c r="K20" i="71"/>
  <c r="L20" i="71" s="1"/>
  <c r="K21" i="71"/>
  <c r="L21" i="71" s="1"/>
  <c r="K22" i="71"/>
  <c r="L22" i="71" s="1"/>
  <c r="J26" i="60"/>
  <c r="K26" i="60" s="1"/>
  <c r="J27" i="60"/>
  <c r="K27" i="60" s="1"/>
  <c r="J28" i="60"/>
  <c r="K28" i="60" s="1"/>
  <c r="J29" i="60"/>
  <c r="K29" i="60" s="1"/>
  <c r="J30" i="60"/>
  <c r="K30" i="60" s="1"/>
  <c r="J31" i="60"/>
  <c r="K31" i="60" s="1"/>
  <c r="J32" i="60"/>
  <c r="K32" i="60" s="1"/>
  <c r="J33" i="60"/>
  <c r="K33" i="60" s="1"/>
  <c r="J34" i="60"/>
  <c r="K34" i="60" s="1"/>
  <c r="J35" i="60"/>
  <c r="K35" i="60" s="1"/>
  <c r="J36" i="60"/>
  <c r="K36" i="60" s="1"/>
  <c r="J38" i="60"/>
  <c r="K38" i="60" s="1"/>
  <c r="J37" i="60"/>
  <c r="K37" i="60" s="1"/>
  <c r="J25" i="60"/>
  <c r="K25" i="60" s="1"/>
  <c r="F148" i="71"/>
  <c r="E148" i="71"/>
  <c r="F138" i="71"/>
  <c r="E138" i="71"/>
  <c r="F128" i="71"/>
  <c r="E128" i="71"/>
  <c r="F118" i="71"/>
  <c r="E118" i="71"/>
  <c r="F108" i="71"/>
  <c r="E108" i="71"/>
  <c r="F150" i="71"/>
  <c r="E150" i="71"/>
  <c r="F149" i="71"/>
  <c r="E149" i="71"/>
  <c r="F140" i="71"/>
  <c r="E140" i="71"/>
  <c r="F139" i="71"/>
  <c r="E139" i="71"/>
  <c r="F129" i="71"/>
  <c r="E129" i="71"/>
  <c r="F130" i="71"/>
  <c r="E130" i="71"/>
  <c r="F119" i="71"/>
  <c r="E119" i="71"/>
  <c r="F120" i="71"/>
  <c r="E120" i="71"/>
  <c r="F109" i="71"/>
  <c r="E109" i="71"/>
  <c r="F110" i="71"/>
  <c r="E110" i="71"/>
  <c r="F151" i="71"/>
  <c r="E151" i="71"/>
  <c r="E152" i="71"/>
  <c r="F152" i="71"/>
  <c r="E142" i="71"/>
  <c r="F142" i="71"/>
  <c r="F141" i="71"/>
  <c r="E141" i="71"/>
  <c r="E132" i="71"/>
  <c r="F132" i="71"/>
  <c r="F131" i="71"/>
  <c r="E131" i="71"/>
  <c r="F121" i="71"/>
  <c r="E121" i="71"/>
  <c r="E122" i="71"/>
  <c r="F122" i="71"/>
  <c r="F111" i="71"/>
  <c r="E111" i="71"/>
  <c r="E112" i="71"/>
  <c r="F112" i="71"/>
  <c r="F154" i="71"/>
  <c r="E154" i="71"/>
  <c r="F153" i="71"/>
  <c r="F144" i="71"/>
  <c r="E144" i="71"/>
  <c r="F143" i="71"/>
  <c r="F134" i="71"/>
  <c r="E134" i="71"/>
  <c r="F133" i="71"/>
  <c r="F124" i="71"/>
  <c r="E124" i="71"/>
  <c r="F123" i="71"/>
  <c r="F114" i="71"/>
  <c r="E114" i="71"/>
  <c r="F113" i="71"/>
  <c r="F156" i="71"/>
  <c r="E156" i="71"/>
  <c r="F155" i="71"/>
  <c r="E155" i="71"/>
  <c r="G155" i="71" s="1"/>
  <c r="F146" i="71"/>
  <c r="E146" i="71"/>
  <c r="F145" i="71"/>
  <c r="E145" i="71"/>
  <c r="F136" i="71"/>
  <c r="E136" i="71"/>
  <c r="F135" i="71"/>
  <c r="E135" i="71"/>
  <c r="F126" i="71"/>
  <c r="E126" i="71"/>
  <c r="F125" i="71"/>
  <c r="E125" i="71"/>
  <c r="F116" i="71"/>
  <c r="E116" i="71"/>
  <c r="F115" i="71"/>
  <c r="E115" i="71"/>
  <c r="F190" i="60"/>
  <c r="E190" i="60"/>
  <c r="F175" i="60"/>
  <c r="F205" i="60"/>
  <c r="E175" i="60"/>
  <c r="F160" i="60"/>
  <c r="F220" i="60"/>
  <c r="E205" i="60"/>
  <c r="E160" i="60"/>
  <c r="E220" i="60"/>
  <c r="F206" i="60"/>
  <c r="F176" i="60"/>
  <c r="F221" i="60"/>
  <c r="E206" i="60"/>
  <c r="E176" i="60"/>
  <c r="F188" i="60"/>
  <c r="F233" i="60"/>
  <c r="E221" i="60"/>
  <c r="F191" i="60"/>
  <c r="E188" i="60"/>
  <c r="E233" i="60"/>
  <c r="E191" i="60"/>
  <c r="F203" i="60"/>
  <c r="F161" i="60"/>
  <c r="E203" i="60"/>
  <c r="F173" i="60"/>
  <c r="F218" i="60"/>
  <c r="E173" i="60"/>
  <c r="E161" i="60"/>
  <c r="E218" i="60"/>
  <c r="F228" i="60"/>
  <c r="E223" i="60"/>
  <c r="F227" i="60"/>
  <c r="E213" i="60"/>
  <c r="F209" i="60"/>
  <c r="E215" i="60"/>
  <c r="F202" i="60"/>
  <c r="E193" i="60"/>
  <c r="F198" i="60"/>
  <c r="E182" i="60"/>
  <c r="F179" i="60"/>
  <c r="E164" i="60"/>
  <c r="F162" i="60"/>
  <c r="E169" i="60"/>
  <c r="E165" i="60"/>
  <c r="E228" i="60"/>
  <c r="F226" i="60"/>
  <c r="E227" i="60"/>
  <c r="F208" i="60"/>
  <c r="E209" i="60"/>
  <c r="F211" i="60"/>
  <c r="E202" i="60"/>
  <c r="F197" i="60"/>
  <c r="E198" i="60"/>
  <c r="F181" i="60"/>
  <c r="E179" i="60"/>
  <c r="F185" i="60"/>
  <c r="E162" i="60"/>
  <c r="F172" i="60"/>
  <c r="F223" i="60"/>
  <c r="F193" i="60"/>
  <c r="F164" i="60"/>
  <c r="E226" i="60"/>
  <c r="F225" i="60"/>
  <c r="E208" i="60"/>
  <c r="F210" i="60"/>
  <c r="E211" i="60"/>
  <c r="F200" i="60"/>
  <c r="E197" i="60"/>
  <c r="F194" i="60"/>
  <c r="E181" i="60"/>
  <c r="F184" i="60"/>
  <c r="E185" i="60"/>
  <c r="F170" i="60"/>
  <c r="E172" i="60"/>
  <c r="F168" i="60"/>
  <c r="E229" i="60"/>
  <c r="F215" i="60"/>
  <c r="F165" i="60"/>
  <c r="F222" i="60"/>
  <c r="E225" i="60"/>
  <c r="F231" i="60"/>
  <c r="E210" i="60"/>
  <c r="F216" i="60"/>
  <c r="E200" i="60"/>
  <c r="F201" i="60"/>
  <c r="E194" i="60"/>
  <c r="F180" i="60"/>
  <c r="E184" i="60"/>
  <c r="F177" i="60"/>
  <c r="E170" i="60"/>
  <c r="F167" i="60"/>
  <c r="F213" i="60"/>
  <c r="E186" i="60"/>
  <c r="E222" i="60"/>
  <c r="F224" i="60"/>
  <c r="E231" i="60"/>
  <c r="F207" i="60"/>
  <c r="E216" i="60"/>
  <c r="F217" i="60"/>
  <c r="E201" i="60"/>
  <c r="F199" i="60"/>
  <c r="E180" i="60"/>
  <c r="F183" i="60"/>
  <c r="E177" i="60"/>
  <c r="F163" i="60"/>
  <c r="F166" i="60"/>
  <c r="E168" i="60"/>
  <c r="E232" i="60"/>
  <c r="F182" i="60"/>
  <c r="E224" i="60"/>
  <c r="F230" i="60"/>
  <c r="E207" i="60"/>
  <c r="F214" i="60"/>
  <c r="E217" i="60"/>
  <c r="F195" i="60"/>
  <c r="E199" i="60"/>
  <c r="F192" i="60"/>
  <c r="E183" i="60"/>
  <c r="F178" i="60"/>
  <c r="E163" i="60"/>
  <c r="F171" i="60"/>
  <c r="E167" i="60"/>
  <c r="E166" i="60"/>
  <c r="E196" i="60"/>
  <c r="F229" i="60"/>
  <c r="E230" i="60"/>
  <c r="F232" i="60"/>
  <c r="E214" i="60"/>
  <c r="F212" i="60"/>
  <c r="E195" i="60"/>
  <c r="F196" i="60"/>
  <c r="E192" i="60"/>
  <c r="F186" i="60"/>
  <c r="E178" i="60"/>
  <c r="F187" i="60"/>
  <c r="E171" i="60"/>
  <c r="F169" i="60"/>
  <c r="E212" i="60"/>
  <c r="E187" i="60"/>
  <c r="E55" i="71"/>
  <c r="F56" i="71"/>
  <c r="E56" i="71"/>
  <c r="F55" i="71"/>
  <c r="E54" i="71"/>
  <c r="F54" i="71"/>
  <c r="F53" i="71"/>
  <c r="E52" i="71"/>
  <c r="F52" i="71"/>
  <c r="F51" i="71"/>
  <c r="E51" i="71"/>
  <c r="E78" i="60"/>
  <c r="F78" i="60"/>
  <c r="E76" i="60"/>
  <c r="F76" i="60"/>
  <c r="F74" i="60"/>
  <c r="E74" i="60"/>
  <c r="E73" i="60"/>
  <c r="F73" i="60"/>
  <c r="F82" i="60"/>
  <c r="E82" i="60"/>
  <c r="E79" i="60"/>
  <c r="F79" i="60"/>
  <c r="F77" i="60"/>
  <c r="E77" i="60"/>
  <c r="E72" i="60"/>
  <c r="F72" i="60"/>
  <c r="F81" i="60"/>
  <c r="E81" i="60"/>
  <c r="E75" i="60"/>
  <c r="F75" i="60"/>
  <c r="F80" i="60"/>
  <c r="E80" i="60"/>
  <c r="F49" i="71"/>
  <c r="E49" i="71"/>
  <c r="E50" i="71"/>
  <c r="F50" i="71"/>
  <c r="F71" i="60"/>
  <c r="E71" i="60"/>
  <c r="F83" i="60"/>
  <c r="E83" i="60"/>
  <c r="F70" i="60"/>
  <c r="E70" i="60"/>
  <c r="F48" i="71"/>
  <c r="E48" i="71"/>
  <c r="F45" i="71"/>
  <c r="E46" i="71"/>
  <c r="F46" i="71"/>
  <c r="E45" i="71"/>
  <c r="F44" i="71"/>
  <c r="E44" i="71"/>
  <c r="F43" i="71"/>
  <c r="F41" i="71"/>
  <c r="E41" i="71"/>
  <c r="F42" i="71"/>
  <c r="E42" i="71"/>
  <c r="F66" i="60"/>
  <c r="E66" i="60"/>
  <c r="F64" i="60"/>
  <c r="E64" i="60"/>
  <c r="E61" i="60"/>
  <c r="F61" i="60"/>
  <c r="E67" i="60"/>
  <c r="F67" i="60"/>
  <c r="F65" i="60"/>
  <c r="E65" i="60"/>
  <c r="F60" i="60"/>
  <c r="E60" i="60"/>
  <c r="E62" i="60"/>
  <c r="F62" i="60"/>
  <c r="F58" i="60"/>
  <c r="E58" i="60"/>
  <c r="F57" i="60"/>
  <c r="E57" i="60"/>
  <c r="F63" i="60"/>
  <c r="E63" i="60"/>
  <c r="E59" i="60"/>
  <c r="F59" i="60"/>
  <c r="F40" i="71"/>
  <c r="E40" i="71"/>
  <c r="F39" i="71"/>
  <c r="E39" i="71"/>
  <c r="E68" i="60"/>
  <c r="F68" i="60"/>
  <c r="F56" i="60"/>
  <c r="E56" i="60"/>
  <c r="F55" i="60"/>
  <c r="E55" i="60"/>
  <c r="F38" i="71"/>
  <c r="E38" i="71"/>
  <c r="F35" i="71"/>
  <c r="F36" i="71"/>
  <c r="E35" i="71"/>
  <c r="E36" i="71"/>
  <c r="F34" i="71"/>
  <c r="E34" i="71"/>
  <c r="F33" i="71"/>
  <c r="F46" i="60"/>
  <c r="E46" i="60"/>
  <c r="F49" i="60"/>
  <c r="E49" i="60"/>
  <c r="E45" i="60"/>
  <c r="F45" i="60"/>
  <c r="E32" i="71"/>
  <c r="F32" i="71"/>
  <c r="F31" i="71"/>
  <c r="E31" i="71"/>
  <c r="F43" i="60"/>
  <c r="E43" i="60"/>
  <c r="F48" i="60"/>
  <c r="E48" i="60"/>
  <c r="F42" i="60"/>
  <c r="E42" i="60"/>
  <c r="E51" i="60"/>
  <c r="F51" i="60"/>
  <c r="F50" i="60"/>
  <c r="E50" i="60"/>
  <c r="E44" i="60"/>
  <c r="F44" i="60"/>
  <c r="F47" i="60"/>
  <c r="E47" i="60"/>
  <c r="F52" i="60"/>
  <c r="E52" i="60"/>
  <c r="E30" i="71"/>
  <c r="F30" i="71"/>
  <c r="E29" i="71"/>
  <c r="F29" i="71"/>
  <c r="F41" i="60"/>
  <c r="E41" i="60"/>
  <c r="E53" i="60"/>
  <c r="F53" i="60"/>
  <c r="F40" i="60"/>
  <c r="E40" i="60"/>
  <c r="E28" i="71"/>
  <c r="F28" i="71"/>
  <c r="F26" i="71"/>
  <c r="F25" i="71"/>
  <c r="E25" i="71"/>
  <c r="E26" i="71"/>
  <c r="F23" i="71"/>
  <c r="F24" i="71"/>
  <c r="E24" i="71"/>
  <c r="E31" i="60"/>
  <c r="F31" i="60"/>
  <c r="F34" i="60"/>
  <c r="E34" i="60"/>
  <c r="F33" i="60"/>
  <c r="E33" i="60"/>
  <c r="E30" i="60"/>
  <c r="F30" i="60"/>
  <c r="E36" i="60"/>
  <c r="F36" i="60"/>
  <c r="E22" i="71"/>
  <c r="F22" i="71"/>
  <c r="F21" i="71"/>
  <c r="E21" i="71"/>
  <c r="F35" i="60"/>
  <c r="E35" i="60"/>
  <c r="F37" i="60"/>
  <c r="E37" i="60"/>
  <c r="F28" i="60"/>
  <c r="E28" i="60"/>
  <c r="F27" i="60"/>
  <c r="E27" i="60"/>
  <c r="E29" i="60"/>
  <c r="F29" i="60"/>
  <c r="F32" i="60"/>
  <c r="E32" i="60"/>
  <c r="E38" i="60"/>
  <c r="F38" i="60"/>
  <c r="F20" i="71"/>
  <c r="E20" i="71"/>
  <c r="E19" i="71"/>
  <c r="F19" i="71"/>
  <c r="F26" i="60"/>
  <c r="E26" i="60"/>
  <c r="E18" i="71"/>
  <c r="F18" i="71"/>
  <c r="F25" i="60"/>
  <c r="E25" i="60"/>
  <c r="F15" i="71"/>
  <c r="E15" i="71"/>
  <c r="F13" i="71"/>
  <c r="E65" i="71"/>
  <c r="F66" i="71"/>
  <c r="E66" i="71"/>
  <c r="F65" i="71"/>
  <c r="F64" i="71"/>
  <c r="E64" i="71"/>
  <c r="F63" i="71"/>
  <c r="F61" i="71"/>
  <c r="E61" i="71"/>
  <c r="E62" i="71"/>
  <c r="F62" i="71"/>
  <c r="F97" i="60"/>
  <c r="E97" i="60"/>
  <c r="F89" i="60"/>
  <c r="E89" i="60"/>
  <c r="E95" i="60"/>
  <c r="F95" i="60"/>
  <c r="F90" i="60"/>
  <c r="E90" i="60"/>
  <c r="F94" i="60"/>
  <c r="E94" i="60"/>
  <c r="F88" i="60"/>
  <c r="E88" i="60"/>
  <c r="F93" i="60"/>
  <c r="E93" i="60"/>
  <c r="E87" i="60"/>
  <c r="F87" i="60"/>
  <c r="F91" i="60"/>
  <c r="E91" i="60"/>
  <c r="F96" i="60"/>
  <c r="E96" i="60"/>
  <c r="F92" i="60"/>
  <c r="E92" i="60"/>
  <c r="E59" i="71"/>
  <c r="F59" i="71"/>
  <c r="E60" i="71"/>
  <c r="F60" i="71"/>
  <c r="F98" i="60"/>
  <c r="E98" i="60"/>
  <c r="E86" i="60"/>
  <c r="F86" i="60"/>
  <c r="E85" i="60"/>
  <c r="F85" i="60"/>
  <c r="E58" i="71"/>
  <c r="F58" i="71"/>
  <c r="F96" i="71"/>
  <c r="E96" i="71"/>
  <c r="F95" i="71"/>
  <c r="E95" i="71"/>
  <c r="F94" i="71"/>
  <c r="E94" i="71"/>
  <c r="F93" i="71"/>
  <c r="E92" i="71"/>
  <c r="F92" i="71"/>
  <c r="F91" i="71"/>
  <c r="E91" i="71"/>
  <c r="F133" i="60"/>
  <c r="E133" i="60"/>
  <c r="E136" i="60"/>
  <c r="F136" i="60"/>
  <c r="F137" i="60"/>
  <c r="E137" i="60"/>
  <c r="E139" i="60"/>
  <c r="F139" i="60"/>
  <c r="E138" i="60"/>
  <c r="F138" i="60"/>
  <c r="F135" i="60"/>
  <c r="E135" i="60"/>
  <c r="F142" i="60"/>
  <c r="E142" i="60"/>
  <c r="F140" i="60"/>
  <c r="E140" i="60"/>
  <c r="E134" i="60"/>
  <c r="F134" i="60"/>
  <c r="F132" i="60"/>
  <c r="E132" i="60"/>
  <c r="E141" i="60"/>
  <c r="F141" i="60"/>
  <c r="E89" i="71"/>
  <c r="F89" i="71"/>
  <c r="F90" i="71"/>
  <c r="E90" i="71"/>
  <c r="F143" i="60"/>
  <c r="E143" i="60"/>
  <c r="E131" i="60"/>
  <c r="F131" i="60"/>
  <c r="E130" i="60"/>
  <c r="F130" i="60"/>
  <c r="E88" i="71"/>
  <c r="F88" i="71"/>
  <c r="F75" i="71"/>
  <c r="E76" i="71"/>
  <c r="F76" i="71"/>
  <c r="E75" i="71"/>
  <c r="F74" i="71"/>
  <c r="E74" i="71"/>
  <c r="F73" i="71"/>
  <c r="E72" i="71"/>
  <c r="F72" i="71"/>
  <c r="F71" i="71"/>
  <c r="E71" i="71"/>
  <c r="F106" i="60"/>
  <c r="E106" i="60"/>
  <c r="E104" i="60"/>
  <c r="F104" i="60"/>
  <c r="E103" i="60"/>
  <c r="F103" i="60"/>
  <c r="E112" i="60"/>
  <c r="F112" i="60"/>
  <c r="E110" i="60"/>
  <c r="F110" i="60"/>
  <c r="F107" i="60"/>
  <c r="E107" i="60"/>
  <c r="E105" i="60"/>
  <c r="F105" i="60"/>
  <c r="F109" i="60"/>
  <c r="E109" i="60"/>
  <c r="F108" i="60"/>
  <c r="E108" i="60"/>
  <c r="F111" i="60"/>
  <c r="E111" i="60"/>
  <c r="F102" i="60"/>
  <c r="E102" i="60"/>
  <c r="E70" i="71"/>
  <c r="F70" i="71"/>
  <c r="F69" i="71"/>
  <c r="E69" i="71"/>
  <c r="F101" i="60"/>
  <c r="E101" i="60"/>
  <c r="E113" i="60"/>
  <c r="F113" i="60"/>
  <c r="E100" i="60"/>
  <c r="F100" i="60"/>
  <c r="F68" i="71"/>
  <c r="E68" i="71"/>
  <c r="F86" i="71"/>
  <c r="E86" i="71"/>
  <c r="E85" i="71"/>
  <c r="F85" i="71"/>
  <c r="E84" i="71"/>
  <c r="F84" i="71"/>
  <c r="F83" i="71"/>
  <c r="F81" i="71"/>
  <c r="E81" i="71"/>
  <c r="F82" i="71"/>
  <c r="E82" i="71"/>
  <c r="F126" i="60"/>
  <c r="E126" i="60"/>
  <c r="F120" i="60"/>
  <c r="E120" i="60"/>
  <c r="E118" i="60"/>
  <c r="F118" i="60"/>
  <c r="E119" i="60"/>
  <c r="F119" i="60"/>
  <c r="F124" i="60"/>
  <c r="E124" i="60"/>
  <c r="F122" i="60"/>
  <c r="E122" i="60"/>
  <c r="F125" i="60"/>
  <c r="E125" i="60"/>
  <c r="F121" i="60"/>
  <c r="E121" i="60"/>
  <c r="F117" i="60"/>
  <c r="E117" i="60"/>
  <c r="F123" i="60"/>
  <c r="E123" i="60"/>
  <c r="E127" i="60"/>
  <c r="F127" i="60"/>
  <c r="F79" i="71"/>
  <c r="E79" i="71"/>
  <c r="F80" i="71"/>
  <c r="E80" i="71"/>
  <c r="E128" i="60"/>
  <c r="F128" i="60"/>
  <c r="E116" i="60"/>
  <c r="F116" i="60"/>
  <c r="F115" i="60"/>
  <c r="E115" i="60"/>
  <c r="E78" i="71"/>
  <c r="F78" i="71"/>
  <c r="F106" i="71"/>
  <c r="E106" i="71"/>
  <c r="F105" i="71"/>
  <c r="E105" i="71"/>
  <c r="E104" i="71"/>
  <c r="F104" i="71"/>
  <c r="F103" i="71"/>
  <c r="F101" i="71"/>
  <c r="E101" i="71"/>
  <c r="E102" i="71"/>
  <c r="F102" i="71"/>
  <c r="E156" i="60"/>
  <c r="F156" i="60"/>
  <c r="E155" i="60"/>
  <c r="F155" i="60"/>
  <c r="F148" i="60"/>
  <c r="E148" i="60"/>
  <c r="E147" i="60"/>
  <c r="F147" i="60"/>
  <c r="F152" i="60"/>
  <c r="E152" i="60"/>
  <c r="F151" i="60"/>
  <c r="E151" i="60"/>
  <c r="E149" i="60"/>
  <c r="F149" i="60"/>
  <c r="F154" i="60"/>
  <c r="E154" i="60"/>
  <c r="F150" i="60"/>
  <c r="E150" i="60"/>
  <c r="F157" i="60"/>
  <c r="E157" i="60"/>
  <c r="F153" i="60"/>
  <c r="E153" i="60"/>
  <c r="F99" i="71"/>
  <c r="E99" i="71"/>
  <c r="E100" i="71"/>
  <c r="F100" i="71"/>
  <c r="E146" i="60"/>
  <c r="F146" i="60"/>
  <c r="F158" i="60"/>
  <c r="E158" i="60"/>
  <c r="E145" i="60"/>
  <c r="F145" i="60"/>
  <c r="E98" i="71"/>
  <c r="F98" i="71"/>
  <c r="U15" i="2"/>
  <c r="AS15" i="2"/>
  <c r="U13" i="2"/>
  <c r="AS13" i="2"/>
  <c r="AB21" i="2"/>
  <c r="AB17" i="2"/>
  <c r="AB18" i="2"/>
  <c r="AB19" i="2"/>
  <c r="AB20" i="2"/>
  <c r="D7" i="19"/>
  <c r="L358" i="70"/>
  <c r="Q4" i="51"/>
  <c r="N54" i="2"/>
  <c r="Q4" i="96"/>
  <c r="M358" i="70"/>
  <c r="R4" i="51"/>
  <c r="R5" i="51" s="1"/>
  <c r="O54" i="2"/>
  <c r="Q52" i="66" s="1"/>
  <c r="R4" i="96"/>
  <c r="R5" i="96" s="1"/>
  <c r="C1652" i="95"/>
  <c r="C887" i="95"/>
  <c r="D84" i="66"/>
  <c r="C35" i="2"/>
  <c r="F1121" i="70"/>
  <c r="H109" i="4" s="1"/>
  <c r="F1120" i="70"/>
  <c r="H108" i="4" s="1"/>
  <c r="F1114" i="70"/>
  <c r="H102" i="4" s="1"/>
  <c r="A6" i="73"/>
  <c r="I21" i="89" s="1"/>
  <c r="C36" i="2"/>
  <c r="C38" i="2"/>
  <c r="L45" i="66" s="1"/>
  <c r="C37" i="2"/>
  <c r="B20" i="73" s="1"/>
  <c r="M67" i="91"/>
  <c r="M68" i="91" s="1"/>
  <c r="M69" i="91" s="1"/>
  <c r="M70" i="91" s="1"/>
  <c r="M71" i="91" s="1"/>
  <c r="N6" i="91" s="1"/>
  <c r="B87" i="66"/>
  <c r="P32" i="91"/>
  <c r="B74" i="66"/>
  <c r="P19" i="91"/>
  <c r="B59" i="66"/>
  <c r="P4" i="91"/>
  <c r="B64" i="66"/>
  <c r="P9" i="91"/>
  <c r="S9" i="91" s="1"/>
  <c r="B80" i="66"/>
  <c r="P25" i="91"/>
  <c r="S25" i="91" s="1"/>
  <c r="B88" i="66"/>
  <c r="P33" i="91"/>
  <c r="B72" i="66"/>
  <c r="P17" i="91"/>
  <c r="S17" i="91" s="1"/>
  <c r="B71" i="66"/>
  <c r="P16" i="91"/>
  <c r="S16" i="91" s="1"/>
  <c r="B63" i="66"/>
  <c r="P8" i="91"/>
  <c r="B79" i="66"/>
  <c r="P24" i="91"/>
  <c r="B58" i="66"/>
  <c r="P3" i="91"/>
  <c r="I554" i="27"/>
  <c r="I236" i="82" s="1"/>
  <c r="B73" i="66"/>
  <c r="P18" i="91"/>
  <c r="B70" i="66"/>
  <c r="P15" i="91"/>
  <c r="S15" i="91" s="1"/>
  <c r="B62" i="66"/>
  <c r="P7" i="91"/>
  <c r="B78" i="66"/>
  <c r="P23" i="91"/>
  <c r="B65" i="66"/>
  <c r="P10" i="91"/>
  <c r="B69" i="66"/>
  <c r="P14" i="91"/>
  <c r="B61" i="66"/>
  <c r="P6" i="91"/>
  <c r="B81" i="66"/>
  <c r="P26" i="91"/>
  <c r="S26" i="91" s="1"/>
  <c r="B76" i="66"/>
  <c r="P21" i="91"/>
  <c r="B68" i="66"/>
  <c r="P13" i="91"/>
  <c r="B60" i="66"/>
  <c r="P5" i="91"/>
  <c r="B84" i="66"/>
  <c r="P29" i="91"/>
  <c r="S29" i="91" s="1"/>
  <c r="B67" i="66"/>
  <c r="P12" i="91"/>
  <c r="B77" i="66"/>
  <c r="P22" i="91"/>
  <c r="B85" i="66"/>
  <c r="P30" i="91"/>
  <c r="S30" i="91" s="1"/>
  <c r="B75" i="66"/>
  <c r="P20" i="91"/>
  <c r="B66" i="66"/>
  <c r="P11" i="91"/>
  <c r="B82" i="66"/>
  <c r="P27" i="91"/>
  <c r="S27" i="91" s="1"/>
  <c r="B86" i="66"/>
  <c r="P31" i="91"/>
  <c r="S31" i="91" s="1"/>
  <c r="C76" i="7"/>
  <c r="C81" i="7"/>
  <c r="A7" i="19"/>
  <c r="C66" i="7"/>
  <c r="P24" i="66"/>
  <c r="C23" i="73"/>
  <c r="X15" i="2"/>
  <c r="AF15" i="2" s="1"/>
  <c r="F15" i="19"/>
  <c r="X28" i="2"/>
  <c r="F23" i="19"/>
  <c r="X12" i="2"/>
  <c r="AF12" i="2" s="1"/>
  <c r="F12" i="19"/>
  <c r="X14" i="2"/>
  <c r="AF14" i="2" s="1"/>
  <c r="F14" i="19"/>
  <c r="X13" i="2"/>
  <c r="AF13" i="2" s="1"/>
  <c r="F13" i="19"/>
  <c r="X312" i="63"/>
  <c r="X14" i="63"/>
  <c r="C22" i="73"/>
  <c r="O916" i="63"/>
  <c r="D62" i="66" s="1"/>
  <c r="L38" i="66"/>
  <c r="B14" i="73"/>
  <c r="F16" i="36"/>
  <c r="B15" i="73"/>
  <c r="F17" i="36"/>
  <c r="B16" i="73"/>
  <c r="E108" i="72"/>
  <c r="C17" i="73"/>
  <c r="E112" i="72"/>
  <c r="C21" i="73"/>
  <c r="E111" i="72"/>
  <c r="C20" i="73"/>
  <c r="E110" i="72"/>
  <c r="C19" i="73"/>
  <c r="E109" i="72"/>
  <c r="C18" i="73"/>
  <c r="E119" i="72"/>
  <c r="B23" i="73"/>
  <c r="N51" i="66"/>
  <c r="D22" i="73"/>
  <c r="F22" i="73" s="1"/>
  <c r="N52" i="66"/>
  <c r="D23" i="73"/>
  <c r="F23" i="73" s="1"/>
  <c r="F215" i="81"/>
  <c r="C99" i="72"/>
  <c r="A8" i="73"/>
  <c r="I41" i="89" s="1"/>
  <c r="C100" i="72"/>
  <c r="A9" i="73"/>
  <c r="C101" i="72"/>
  <c r="A10" i="73"/>
  <c r="I30" i="66"/>
  <c r="I139" i="66" s="1"/>
  <c r="A11" i="73"/>
  <c r="C103" i="72"/>
  <c r="A12" i="73"/>
  <c r="C104" i="72"/>
  <c r="A13" i="73"/>
  <c r="C105" i="72"/>
  <c r="A14" i="73"/>
  <c r="I51" i="89" s="1"/>
  <c r="C106" i="72"/>
  <c r="A15" i="73"/>
  <c r="A24" i="19"/>
  <c r="A16" i="73"/>
  <c r="C108" i="72"/>
  <c r="A17" i="73"/>
  <c r="I61" i="89" s="1"/>
  <c r="C109" i="72"/>
  <c r="A18" i="73"/>
  <c r="C110" i="72"/>
  <c r="A19" i="73"/>
  <c r="C111" i="72"/>
  <c r="A20" i="73"/>
  <c r="C112" i="72"/>
  <c r="A21" i="73"/>
  <c r="C118" i="72"/>
  <c r="A22" i="73"/>
  <c r="I71" i="89" s="1"/>
  <c r="C119" i="72"/>
  <c r="A23" i="73"/>
  <c r="E118" i="72"/>
  <c r="B22" i="73"/>
  <c r="C5" i="36"/>
  <c r="C22" i="36" s="1"/>
  <c r="F22" i="36" s="1"/>
  <c r="A17" i="36"/>
  <c r="A34" i="36" s="1"/>
  <c r="I25" i="66"/>
  <c r="I64" i="66" s="1"/>
  <c r="X704" i="63"/>
  <c r="X696" i="63"/>
  <c r="X688" i="63"/>
  <c r="X608" i="63"/>
  <c r="X600" i="63"/>
  <c r="X592" i="63"/>
  <c r="X584" i="63"/>
  <c r="X504" i="63"/>
  <c r="X293" i="63"/>
  <c r="X285" i="63"/>
  <c r="X703" i="63"/>
  <c r="X695" i="63"/>
  <c r="X687" i="63"/>
  <c r="X607" i="63"/>
  <c r="X599" i="63"/>
  <c r="X591" i="63"/>
  <c r="X583" i="63"/>
  <c r="X519" i="63"/>
  <c r="X503" i="63"/>
  <c r="X316" i="63"/>
  <c r="X292" i="63"/>
  <c r="X284" i="63"/>
  <c r="P260" i="27"/>
  <c r="K124" i="64" s="1"/>
  <c r="A37" i="19"/>
  <c r="X700" i="63"/>
  <c r="X692" i="63"/>
  <c r="X684" i="63"/>
  <c r="X604" i="63"/>
  <c r="X596" i="63"/>
  <c r="X588" i="63"/>
  <c r="X580" i="63"/>
  <c r="X524" i="63"/>
  <c r="X516" i="63"/>
  <c r="X508" i="63"/>
  <c r="X313" i="63"/>
  <c r="X297" i="63"/>
  <c r="X289" i="63"/>
  <c r="X281" i="63"/>
  <c r="X263" i="63"/>
  <c r="X247" i="63"/>
  <c r="X239" i="63"/>
  <c r="X215" i="63"/>
  <c r="X183" i="63"/>
  <c r="X159" i="63"/>
  <c r="X70" i="63"/>
  <c r="X46" i="63"/>
  <c r="X22" i="63"/>
  <c r="I50" i="66"/>
  <c r="L51" i="66"/>
  <c r="C23" i="19"/>
  <c r="A34" i="19"/>
  <c r="P78" i="27"/>
  <c r="P73" i="82" s="1"/>
  <c r="A26" i="19"/>
  <c r="Q28" i="66"/>
  <c r="I43" i="66"/>
  <c r="H34" i="72"/>
  <c r="X702" i="63"/>
  <c r="X694" i="63"/>
  <c r="X686" i="63"/>
  <c r="X606" i="63"/>
  <c r="X598" i="63"/>
  <c r="X590" i="63"/>
  <c r="X582" i="63"/>
  <c r="X518" i="63"/>
  <c r="X510" i="63"/>
  <c r="X502" i="63"/>
  <c r="X315" i="63"/>
  <c r="X299" i="63"/>
  <c r="X291" i="63"/>
  <c r="X283" i="63"/>
  <c r="X275" i="63"/>
  <c r="X241" i="63"/>
  <c r="X217" i="63"/>
  <c r="X201" i="63"/>
  <c r="X193" i="63"/>
  <c r="X48" i="63"/>
  <c r="I55" i="66"/>
  <c r="A35" i="19"/>
  <c r="E959" i="70"/>
  <c r="E592" i="27" s="1"/>
  <c r="E274" i="82" s="1"/>
  <c r="X623" i="63"/>
  <c r="X646" i="63"/>
  <c r="X630" i="63"/>
  <c r="X622" i="63"/>
  <c r="A22" i="19"/>
  <c r="X653" i="63"/>
  <c r="X645" i="63"/>
  <c r="X629" i="63"/>
  <c r="X621" i="63"/>
  <c r="I38" i="66"/>
  <c r="A30" i="19"/>
  <c r="X652" i="63"/>
  <c r="X644" i="63"/>
  <c r="X628" i="63"/>
  <c r="X620" i="63"/>
  <c r="X631" i="63"/>
  <c r="X651" i="63"/>
  <c r="X643" i="63"/>
  <c r="X627" i="63"/>
  <c r="X619" i="63"/>
  <c r="X647" i="63"/>
  <c r="P79" i="27"/>
  <c r="P74" i="82" s="1"/>
  <c r="P468" i="27"/>
  <c r="P170" i="82" s="1"/>
  <c r="A9" i="19"/>
  <c r="H237" i="60"/>
  <c r="P108" i="27"/>
  <c r="P83" i="82" s="1"/>
  <c r="X505" i="63"/>
  <c r="X294" i="63"/>
  <c r="X286" i="63"/>
  <c r="X278" i="63"/>
  <c r="X260" i="63"/>
  <c r="X244" i="63"/>
  <c r="X212" i="63"/>
  <c r="X204" i="63"/>
  <c r="X196" i="63"/>
  <c r="X43" i="63"/>
  <c r="X35" i="63"/>
  <c r="I53" i="66"/>
  <c r="P188" i="27"/>
  <c r="P98" i="82" s="1"/>
  <c r="X648" i="63"/>
  <c r="X640" i="63"/>
  <c r="X624" i="63"/>
  <c r="X822" i="63"/>
  <c r="T822" i="63"/>
  <c r="K112" i="4"/>
  <c r="I112" i="4"/>
  <c r="F112" i="4"/>
  <c r="J112" i="4" s="1"/>
  <c r="P38" i="66"/>
  <c r="R98" i="72"/>
  <c r="R97" i="72"/>
  <c r="R104" i="72"/>
  <c r="R96" i="72"/>
  <c r="R103" i="72"/>
  <c r="R102" i="72"/>
  <c r="R99" i="72"/>
  <c r="R101" i="72"/>
  <c r="F122" i="4"/>
  <c r="M208" i="66" s="1"/>
  <c r="R100" i="72"/>
  <c r="K117" i="4"/>
  <c r="J117" i="4"/>
  <c r="H90" i="4"/>
  <c r="H89" i="4"/>
  <c r="H91" i="4"/>
  <c r="R14" i="63"/>
  <c r="P14" i="63" s="1"/>
  <c r="X197" i="63"/>
  <c r="X36" i="63"/>
  <c r="X817" i="63"/>
  <c r="M23" i="66"/>
  <c r="R58" i="66" s="1"/>
  <c r="X27" i="2"/>
  <c r="X29" i="2"/>
  <c r="A5" i="36"/>
  <c r="A22" i="36" s="1"/>
  <c r="N6" i="39"/>
  <c r="A43" i="80"/>
  <c r="B53" i="2"/>
  <c r="Y11" i="66"/>
  <c r="J11" i="66" s="1"/>
  <c r="Y173" i="66"/>
  <c r="I173" i="66" s="1"/>
  <c r="Y175" i="66"/>
  <c r="I175" i="66" s="1"/>
  <c r="Y219" i="66"/>
  <c r="I219" i="66" s="1"/>
  <c r="C273" i="64"/>
  <c r="C276" i="64" s="1"/>
  <c r="K121" i="64"/>
  <c r="T821" i="63"/>
  <c r="X821" i="63"/>
  <c r="D60" i="58"/>
  <c r="X706" i="63"/>
  <c r="X698" i="63"/>
  <c r="X690" i="63"/>
  <c r="X682" i="63"/>
  <c r="X650" i="63"/>
  <c r="X642" i="63"/>
  <c r="X626" i="63"/>
  <c r="X618" i="63"/>
  <c r="X610" i="63"/>
  <c r="X602" i="63"/>
  <c r="X586" i="63"/>
  <c r="X522" i="63"/>
  <c r="X515" i="63"/>
  <c r="X507" i="63"/>
  <c r="X483" i="63"/>
  <c r="X467" i="63"/>
  <c r="X705" i="63"/>
  <c r="X697" i="63"/>
  <c r="X689" i="63"/>
  <c r="X649" i="63"/>
  <c r="X641" i="63"/>
  <c r="X625" i="63"/>
  <c r="X609" i="63"/>
  <c r="X601" i="63"/>
  <c r="X593" i="63"/>
  <c r="X585" i="63"/>
  <c r="X521" i="63"/>
  <c r="X514" i="63"/>
  <c r="X506" i="63"/>
  <c r="X482" i="63"/>
  <c r="X466" i="63"/>
  <c r="X311" i="63"/>
  <c r="X295" i="63"/>
  <c r="X287" i="63"/>
  <c r="X279" i="63"/>
  <c r="X261" i="63"/>
  <c r="X245" i="63"/>
  <c r="X213" i="63"/>
  <c r="X60" i="63"/>
  <c r="X28" i="63"/>
  <c r="X20" i="63"/>
  <c r="X772" i="63"/>
  <c r="T722" i="63"/>
  <c r="X722" i="63"/>
  <c r="T714" i="63"/>
  <c r="X714" i="63"/>
  <c r="T674" i="63"/>
  <c r="X674" i="63"/>
  <c r="T666" i="63"/>
  <c r="X666" i="63"/>
  <c r="T658" i="63"/>
  <c r="X658" i="63"/>
  <c r="X634" i="63"/>
  <c r="T594" i="63"/>
  <c r="X594" i="63"/>
  <c r="T578" i="63"/>
  <c r="X578" i="63"/>
  <c r="X570" i="63"/>
  <c r="T562" i="63"/>
  <c r="X562" i="63"/>
  <c r="T554" i="63"/>
  <c r="X554" i="63"/>
  <c r="T546" i="63"/>
  <c r="X546" i="63"/>
  <c r="T538" i="63"/>
  <c r="X538" i="63"/>
  <c r="T530" i="63"/>
  <c r="X530" i="63"/>
  <c r="X499" i="63"/>
  <c r="X491" i="63"/>
  <c r="X475" i="63"/>
  <c r="X459" i="63"/>
  <c r="T408" i="63"/>
  <c r="X408" i="63"/>
  <c r="T400" i="63"/>
  <c r="X400" i="63"/>
  <c r="T392" i="63"/>
  <c r="X392" i="63"/>
  <c r="T384" i="63"/>
  <c r="X384" i="63"/>
  <c r="T376" i="63"/>
  <c r="X376" i="63"/>
  <c r="T368" i="63"/>
  <c r="X368" i="63"/>
  <c r="T360" i="63"/>
  <c r="X360" i="63"/>
  <c r="T352" i="63"/>
  <c r="X352" i="63"/>
  <c r="T344" i="63"/>
  <c r="X344" i="63"/>
  <c r="T336" i="63"/>
  <c r="X336" i="63"/>
  <c r="T328" i="63"/>
  <c r="X328" i="63"/>
  <c r="T320" i="63"/>
  <c r="X320" i="63"/>
  <c r="T304" i="63"/>
  <c r="X304" i="63"/>
  <c r="T254" i="63"/>
  <c r="X254" i="63"/>
  <c r="X238" i="63"/>
  <c r="T230" i="63"/>
  <c r="X230" i="63"/>
  <c r="X222" i="63"/>
  <c r="X198" i="63"/>
  <c r="X166" i="63"/>
  <c r="X150" i="63"/>
  <c r="T142" i="63"/>
  <c r="X142" i="63"/>
  <c r="X134" i="63"/>
  <c r="X126" i="63"/>
  <c r="X118" i="63"/>
  <c r="X110" i="63"/>
  <c r="T102" i="63"/>
  <c r="X102" i="63"/>
  <c r="T94" i="63"/>
  <c r="X94" i="63"/>
  <c r="X86" i="63"/>
  <c r="X77" i="63"/>
  <c r="X69" i="63"/>
  <c r="X61" i="63"/>
  <c r="X53" i="63"/>
  <c r="X29" i="63"/>
  <c r="T785" i="63"/>
  <c r="X785" i="63"/>
  <c r="T779" i="63"/>
  <c r="X779" i="63"/>
  <c r="X771" i="63"/>
  <c r="T721" i="63"/>
  <c r="X721" i="63"/>
  <c r="T713" i="63"/>
  <c r="X713" i="63"/>
  <c r="T681" i="63"/>
  <c r="X681" i="63"/>
  <c r="T673" i="63"/>
  <c r="X673" i="63"/>
  <c r="T665" i="63"/>
  <c r="X665" i="63"/>
  <c r="T657" i="63"/>
  <c r="X657" i="63"/>
  <c r="X633" i="63"/>
  <c r="X617" i="63"/>
  <c r="T577" i="63"/>
  <c r="X577" i="63"/>
  <c r="T569" i="63"/>
  <c r="X569" i="63"/>
  <c r="T561" i="63"/>
  <c r="X561" i="63"/>
  <c r="T553" i="63"/>
  <c r="X553" i="63"/>
  <c r="T545" i="63"/>
  <c r="X545" i="63"/>
  <c r="T537" i="63"/>
  <c r="X537" i="63"/>
  <c r="T529" i="63"/>
  <c r="X529" i="63"/>
  <c r="X498" i="63"/>
  <c r="X490" i="63"/>
  <c r="X458" i="63"/>
  <c r="T407" i="63"/>
  <c r="X407" i="63"/>
  <c r="T399" i="63"/>
  <c r="X399" i="63"/>
  <c r="T391" i="63"/>
  <c r="X391" i="63"/>
  <c r="T383" i="63"/>
  <c r="X383" i="63"/>
  <c r="T375" i="63"/>
  <c r="X375" i="63"/>
  <c r="T367" i="63"/>
  <c r="X367" i="63"/>
  <c r="T359" i="63"/>
  <c r="X359" i="63"/>
  <c r="T351" i="63"/>
  <c r="X351" i="63"/>
  <c r="T343" i="63"/>
  <c r="X343" i="63"/>
  <c r="T335" i="63"/>
  <c r="X335" i="63"/>
  <c r="T327" i="63"/>
  <c r="X327" i="63"/>
  <c r="T319" i="63"/>
  <c r="X319" i="63"/>
  <c r="T303" i="63"/>
  <c r="X303" i="63"/>
  <c r="T253" i="63"/>
  <c r="X253" i="63"/>
  <c r="X237" i="63"/>
  <c r="T229" i="63"/>
  <c r="X229" i="63"/>
  <c r="X221" i="63"/>
  <c r="X205" i="63"/>
  <c r="X189" i="63"/>
  <c r="X181" i="63"/>
  <c r="X173" i="63"/>
  <c r="X165" i="63"/>
  <c r="X157" i="63"/>
  <c r="X149" i="63"/>
  <c r="X141" i="63"/>
  <c r="T133" i="63"/>
  <c r="X133" i="63"/>
  <c r="X125" i="63"/>
  <c r="X117" i="63"/>
  <c r="X109" i="63"/>
  <c r="T101" i="63"/>
  <c r="X101" i="63"/>
  <c r="T93" i="63"/>
  <c r="X93" i="63"/>
  <c r="X85" i="63"/>
  <c r="X76" i="63"/>
  <c r="X68" i="63"/>
  <c r="X52" i="63"/>
  <c r="X44" i="63"/>
  <c r="T784" i="63"/>
  <c r="X784" i="63"/>
  <c r="T778" i="63"/>
  <c r="X778" i="63"/>
  <c r="T728" i="63"/>
  <c r="X728" i="63"/>
  <c r="T720" i="63"/>
  <c r="X720" i="63"/>
  <c r="T712" i="63"/>
  <c r="X712" i="63"/>
  <c r="T680" i="63"/>
  <c r="X680" i="63"/>
  <c r="T672" i="63"/>
  <c r="X672" i="63"/>
  <c r="T664" i="63"/>
  <c r="X664" i="63"/>
  <c r="T656" i="63"/>
  <c r="X656" i="63"/>
  <c r="X632" i="63"/>
  <c r="X616" i="63"/>
  <c r="T576" i="63"/>
  <c r="X576" i="63"/>
  <c r="T568" i="63"/>
  <c r="X568" i="63"/>
  <c r="T560" i="63"/>
  <c r="X560" i="63"/>
  <c r="T552" i="63"/>
  <c r="X552" i="63"/>
  <c r="T544" i="63"/>
  <c r="X544" i="63"/>
  <c r="T536" i="63"/>
  <c r="X536" i="63"/>
  <c r="T528" i="63"/>
  <c r="X528" i="63"/>
  <c r="X520" i="63"/>
  <c r="T513" i="63"/>
  <c r="X513" i="63"/>
  <c r="X497" i="63"/>
  <c r="X489" i="63"/>
  <c r="X473" i="63"/>
  <c r="X465" i="63"/>
  <c r="X457" i="63"/>
  <c r="T406" i="63"/>
  <c r="X406" i="63"/>
  <c r="T398" i="63"/>
  <c r="X398" i="63"/>
  <c r="T390" i="63"/>
  <c r="X390" i="63"/>
  <c r="T382" i="63"/>
  <c r="X382" i="63"/>
  <c r="T374" i="63"/>
  <c r="X374" i="63"/>
  <c r="T366" i="63"/>
  <c r="X366" i="63"/>
  <c r="T358" i="63"/>
  <c r="X358" i="63"/>
  <c r="T350" i="63"/>
  <c r="X350" i="63"/>
  <c r="T342" i="63"/>
  <c r="X342" i="63"/>
  <c r="T334" i="63"/>
  <c r="X334" i="63"/>
  <c r="T326" i="63"/>
  <c r="X326" i="63"/>
  <c r="X318" i="63"/>
  <c r="T310" i="63"/>
  <c r="X310" i="63"/>
  <c r="T302" i="63"/>
  <c r="X302" i="63"/>
  <c r="T252" i="63"/>
  <c r="X252" i="63"/>
  <c r="X236" i="63"/>
  <c r="T228" i="63"/>
  <c r="X228" i="63"/>
  <c r="X188" i="63"/>
  <c r="X180" i="63"/>
  <c r="X172" i="63"/>
  <c r="X156" i="63"/>
  <c r="X148" i="63"/>
  <c r="T140" i="63"/>
  <c r="X140" i="63"/>
  <c r="T132" i="63"/>
  <c r="X132" i="63"/>
  <c r="X124" i="63"/>
  <c r="X116" i="63"/>
  <c r="X108" i="63"/>
  <c r="T100" i="63"/>
  <c r="X100" i="63"/>
  <c r="T92" i="63"/>
  <c r="X92" i="63"/>
  <c r="X84" i="63"/>
  <c r="T75" i="63"/>
  <c r="X75" i="63"/>
  <c r="X67" i="63"/>
  <c r="X59" i="63"/>
  <c r="X51" i="63"/>
  <c r="X27" i="63"/>
  <c r="X19" i="63"/>
  <c r="T783" i="63"/>
  <c r="X783" i="63"/>
  <c r="T777" i="63"/>
  <c r="X777" i="63"/>
  <c r="T727" i="63"/>
  <c r="X727" i="63"/>
  <c r="T719" i="63"/>
  <c r="X719" i="63"/>
  <c r="T711" i="63"/>
  <c r="X711" i="63"/>
  <c r="T679" i="63"/>
  <c r="X679" i="63"/>
  <c r="T671" i="63"/>
  <c r="X671" i="63"/>
  <c r="T663" i="63"/>
  <c r="X663" i="63"/>
  <c r="T655" i="63"/>
  <c r="X655" i="63"/>
  <c r="X639" i="63"/>
  <c r="X615" i="63"/>
  <c r="T575" i="63"/>
  <c r="X575" i="63"/>
  <c r="T567" i="63"/>
  <c r="X567" i="63"/>
  <c r="T559" i="63"/>
  <c r="X559" i="63"/>
  <c r="T551" i="63"/>
  <c r="X551" i="63"/>
  <c r="T543" i="63"/>
  <c r="X543" i="63"/>
  <c r="T535" i="63"/>
  <c r="X535" i="63"/>
  <c r="T527" i="63"/>
  <c r="X527" i="63"/>
  <c r="T512" i="63"/>
  <c r="X512" i="63"/>
  <c r="X496" i="63"/>
  <c r="X488" i="63"/>
  <c r="X480" i="63"/>
  <c r="X472" i="63"/>
  <c r="X464" i="63"/>
  <c r="X456" i="63"/>
  <c r="T405" i="63"/>
  <c r="X405" i="63"/>
  <c r="T397" i="63"/>
  <c r="X397" i="63"/>
  <c r="T389" i="63"/>
  <c r="X389" i="63"/>
  <c r="T381" i="63"/>
  <c r="X381" i="63"/>
  <c r="T373" i="63"/>
  <c r="X373" i="63"/>
  <c r="T365" i="63"/>
  <c r="X365" i="63"/>
  <c r="T357" i="63"/>
  <c r="X357" i="63"/>
  <c r="T349" i="63"/>
  <c r="X349" i="63"/>
  <c r="T341" i="63"/>
  <c r="X341" i="63"/>
  <c r="T333" i="63"/>
  <c r="X333" i="63"/>
  <c r="T325" i="63"/>
  <c r="X325" i="63"/>
  <c r="T317" i="63"/>
  <c r="X317" i="63"/>
  <c r="T309" i="63"/>
  <c r="X309" i="63"/>
  <c r="T301" i="63"/>
  <c r="X301" i="63"/>
  <c r="T251" i="63"/>
  <c r="X251" i="63"/>
  <c r="T235" i="63"/>
  <c r="X235" i="63"/>
  <c r="T227" i="63"/>
  <c r="X227" i="63"/>
  <c r="X211" i="63"/>
  <c r="X203" i="63"/>
  <c r="X195" i="63"/>
  <c r="X171" i="63"/>
  <c r="X163" i="63"/>
  <c r="X155" i="63"/>
  <c r="X147" i="63"/>
  <c r="X139" i="63"/>
  <c r="X131" i="63"/>
  <c r="X123" i="63"/>
  <c r="X115" i="63"/>
  <c r="X107" i="63"/>
  <c r="T99" i="63"/>
  <c r="X99" i="63"/>
  <c r="T91" i="63"/>
  <c r="X91" i="63"/>
  <c r="X83" i="63"/>
  <c r="X74" i="63"/>
  <c r="X66" i="63"/>
  <c r="X58" i="63"/>
  <c r="X42" i="63"/>
  <c r="T782" i="63"/>
  <c r="X782" i="63"/>
  <c r="T776" i="63"/>
  <c r="X776" i="63"/>
  <c r="T726" i="63"/>
  <c r="X726" i="63"/>
  <c r="T718" i="63"/>
  <c r="X718" i="63"/>
  <c r="T710" i="63"/>
  <c r="X710" i="63"/>
  <c r="T678" i="63"/>
  <c r="X678" i="63"/>
  <c r="T670" i="63"/>
  <c r="X670" i="63"/>
  <c r="T662" i="63"/>
  <c r="X662" i="63"/>
  <c r="T654" i="63"/>
  <c r="X654" i="63"/>
  <c r="X638" i="63"/>
  <c r="X614" i="63"/>
  <c r="T574" i="63"/>
  <c r="X574" i="63"/>
  <c r="T566" i="63"/>
  <c r="X566" i="63"/>
  <c r="T558" i="63"/>
  <c r="X558" i="63"/>
  <c r="T550" i="63"/>
  <c r="X550" i="63"/>
  <c r="T542" i="63"/>
  <c r="X542" i="63"/>
  <c r="T534" i="63"/>
  <c r="X534" i="63"/>
  <c r="T526" i="63"/>
  <c r="X526" i="63"/>
  <c r="T511" i="63"/>
  <c r="X511" i="63"/>
  <c r="X495" i="63"/>
  <c r="X487" i="63"/>
  <c r="X479" i="63"/>
  <c r="X471" i="63"/>
  <c r="X463" i="63"/>
  <c r="T412" i="63"/>
  <c r="X412" i="63"/>
  <c r="T404" i="63"/>
  <c r="X404" i="63"/>
  <c r="T396" i="63"/>
  <c r="X396" i="63"/>
  <c r="T388" i="63"/>
  <c r="X388" i="63"/>
  <c r="T380" i="63"/>
  <c r="X380" i="63"/>
  <c r="T372" i="63"/>
  <c r="X372" i="63"/>
  <c r="T364" i="63"/>
  <c r="X364" i="63"/>
  <c r="T356" i="63"/>
  <c r="X356" i="63"/>
  <c r="T348" i="63"/>
  <c r="X348" i="63"/>
  <c r="T340" i="63"/>
  <c r="X340" i="63"/>
  <c r="T332" i="63"/>
  <c r="X332" i="63"/>
  <c r="T324" i="63"/>
  <c r="X324" i="63"/>
  <c r="T308" i="63"/>
  <c r="X308" i="63"/>
  <c r="T300" i="63"/>
  <c r="X300" i="63"/>
  <c r="T250" i="63"/>
  <c r="X250" i="63"/>
  <c r="T234" i="63"/>
  <c r="X234" i="63"/>
  <c r="T226" i="63"/>
  <c r="X226" i="63"/>
  <c r="X202" i="63"/>
  <c r="X194" i="63"/>
  <c r="X186" i="63"/>
  <c r="X170" i="63"/>
  <c r="X154" i="63"/>
  <c r="X146" i="63"/>
  <c r="X138" i="63"/>
  <c r="T130" i="63"/>
  <c r="X130" i="63"/>
  <c r="X122" i="63"/>
  <c r="X114" i="63"/>
  <c r="X106" i="63"/>
  <c r="T98" i="63"/>
  <c r="X98" i="63"/>
  <c r="X90" i="63"/>
  <c r="X81" i="63"/>
  <c r="T73" i="63"/>
  <c r="X73" i="63"/>
  <c r="X57" i="63"/>
  <c r="X49" i="63"/>
  <c r="X41" i="63"/>
  <c r="X25" i="63"/>
  <c r="X17" i="63"/>
  <c r="T781" i="63"/>
  <c r="X781" i="63"/>
  <c r="T775" i="63"/>
  <c r="X775" i="63"/>
  <c r="T725" i="63"/>
  <c r="X725" i="63"/>
  <c r="T717" i="63"/>
  <c r="X717" i="63"/>
  <c r="T709" i="63"/>
  <c r="X709" i="63"/>
  <c r="T677" i="63"/>
  <c r="X677" i="63"/>
  <c r="T669" i="63"/>
  <c r="X669" i="63"/>
  <c r="T661" i="63"/>
  <c r="X661" i="63"/>
  <c r="X637" i="63"/>
  <c r="X613" i="63"/>
  <c r="T573" i="63"/>
  <c r="X573" i="63"/>
  <c r="T565" i="63"/>
  <c r="X565" i="63"/>
  <c r="T557" i="63"/>
  <c r="X557" i="63"/>
  <c r="T549" i="63"/>
  <c r="X549" i="63"/>
  <c r="T541" i="63"/>
  <c r="X541" i="63"/>
  <c r="T533" i="63"/>
  <c r="X533" i="63"/>
  <c r="T525" i="63"/>
  <c r="X525" i="63"/>
  <c r="X494" i="63"/>
  <c r="X486" i="63"/>
  <c r="X478" i="63"/>
  <c r="X470" i="63"/>
  <c r="X462" i="63"/>
  <c r="T411" i="63"/>
  <c r="X411" i="63"/>
  <c r="T403" i="63"/>
  <c r="X403" i="63"/>
  <c r="T395" i="63"/>
  <c r="X395" i="63"/>
  <c r="T387" i="63"/>
  <c r="X387" i="63"/>
  <c r="T379" i="63"/>
  <c r="X379" i="63"/>
  <c r="T371" i="63"/>
  <c r="X371" i="63"/>
  <c r="T363" i="63"/>
  <c r="X363" i="63"/>
  <c r="T355" i="63"/>
  <c r="X355" i="63"/>
  <c r="T347" i="63"/>
  <c r="X347" i="63"/>
  <c r="T339" i="63"/>
  <c r="X339" i="63"/>
  <c r="T331" i="63"/>
  <c r="X331" i="63"/>
  <c r="T323" i="63"/>
  <c r="X323" i="63"/>
  <c r="T307" i="63"/>
  <c r="X307" i="63"/>
  <c r="X257" i="63"/>
  <c r="T249" i="63"/>
  <c r="X249" i="63"/>
  <c r="T233" i="63"/>
  <c r="X233" i="63"/>
  <c r="T225" i="63"/>
  <c r="X225" i="63"/>
  <c r="X209" i="63"/>
  <c r="X185" i="63"/>
  <c r="X177" i="63"/>
  <c r="X153" i="63"/>
  <c r="X145" i="63"/>
  <c r="T137" i="63"/>
  <c r="X137" i="63"/>
  <c r="X129" i="63"/>
  <c r="X121" i="63"/>
  <c r="X113" i="63"/>
  <c r="X105" i="63"/>
  <c r="T97" i="63"/>
  <c r="X97" i="63"/>
  <c r="X89" i="63"/>
  <c r="X80" i="63"/>
  <c r="X72" i="63"/>
  <c r="X64" i="63"/>
  <c r="X56" i="63"/>
  <c r="X40" i="63"/>
  <c r="X32" i="63"/>
  <c r="X24" i="63"/>
  <c r="X16" i="63"/>
  <c r="T780" i="63"/>
  <c r="X780" i="63"/>
  <c r="T774" i="63"/>
  <c r="X774" i="63"/>
  <c r="T724" i="63"/>
  <c r="X724" i="63"/>
  <c r="T716" i="63"/>
  <c r="X716" i="63"/>
  <c r="T708" i="63"/>
  <c r="X708" i="63"/>
  <c r="T676" i="63"/>
  <c r="X676" i="63"/>
  <c r="T668" i="63"/>
  <c r="X668" i="63"/>
  <c r="T660" i="63"/>
  <c r="X660" i="63"/>
  <c r="X636" i="63"/>
  <c r="X612" i="63"/>
  <c r="T572" i="63"/>
  <c r="X572" i="63"/>
  <c r="T564" i="63"/>
  <c r="X564" i="63"/>
  <c r="T556" i="63"/>
  <c r="X556" i="63"/>
  <c r="T548" i="63"/>
  <c r="X548" i="63"/>
  <c r="T540" i="63"/>
  <c r="X540" i="63"/>
  <c r="T532" i="63"/>
  <c r="X532" i="63"/>
  <c r="X501" i="63"/>
  <c r="X493" i="63"/>
  <c r="X485" i="63"/>
  <c r="X477" i="63"/>
  <c r="X469" i="63"/>
  <c r="X461" i="63"/>
  <c r="T410" i="63"/>
  <c r="X410" i="63"/>
  <c r="T402" i="63"/>
  <c r="X402" i="63"/>
  <c r="T394" i="63"/>
  <c r="X394" i="63"/>
  <c r="T386" i="63"/>
  <c r="X386" i="63"/>
  <c r="T378" i="63"/>
  <c r="X378" i="63"/>
  <c r="T370" i="63"/>
  <c r="X370" i="63"/>
  <c r="T362" i="63"/>
  <c r="X362" i="63"/>
  <c r="T354" i="63"/>
  <c r="X354" i="63"/>
  <c r="T346" i="63"/>
  <c r="X346" i="63"/>
  <c r="T338" i="63"/>
  <c r="X338" i="63"/>
  <c r="T330" i="63"/>
  <c r="X330" i="63"/>
  <c r="T322" i="63"/>
  <c r="X322" i="63"/>
  <c r="T306" i="63"/>
  <c r="X306" i="63"/>
  <c r="X274" i="63"/>
  <c r="X256" i="63"/>
  <c r="T248" i="63"/>
  <c r="X248" i="63"/>
  <c r="X232" i="63"/>
  <c r="X224" i="63"/>
  <c r="X216" i="63"/>
  <c r="X208" i="63"/>
  <c r="X200" i="63"/>
  <c r="X184" i="63"/>
  <c r="X176" i="63"/>
  <c r="X168" i="63"/>
  <c r="X160" i="63"/>
  <c r="X152" i="63"/>
  <c r="X144" i="63"/>
  <c r="X136" i="63"/>
  <c r="X128" i="63"/>
  <c r="X120" i="63"/>
  <c r="X112" i="63"/>
  <c r="X104" i="63"/>
  <c r="T96" i="63"/>
  <c r="X96" i="63"/>
  <c r="X88" i="63"/>
  <c r="X79" i="63"/>
  <c r="X71" i="63"/>
  <c r="X63" i="63"/>
  <c r="T39" i="63"/>
  <c r="X39" i="63"/>
  <c r="X15" i="63"/>
  <c r="T723" i="63"/>
  <c r="X723" i="63"/>
  <c r="T715" i="63"/>
  <c r="X715" i="63"/>
  <c r="T707" i="63"/>
  <c r="X707" i="63"/>
  <c r="T675" i="63"/>
  <c r="X675" i="63"/>
  <c r="T667" i="63"/>
  <c r="X667" i="63"/>
  <c r="T659" i="63"/>
  <c r="X659" i="63"/>
  <c r="X635" i="63"/>
  <c r="X611" i="63"/>
  <c r="T595" i="63"/>
  <c r="X595" i="63"/>
  <c r="T571" i="63"/>
  <c r="X571" i="63"/>
  <c r="T563" i="63"/>
  <c r="X563" i="63"/>
  <c r="T555" i="63"/>
  <c r="X555" i="63"/>
  <c r="T547" i="63"/>
  <c r="X547" i="63"/>
  <c r="T539" i="63"/>
  <c r="X539" i="63"/>
  <c r="T531" i="63"/>
  <c r="X531" i="63"/>
  <c r="X500" i="63"/>
  <c r="X492" i="63"/>
  <c r="X484" i="63"/>
  <c r="X476" i="63"/>
  <c r="X468" i="63"/>
  <c r="X460" i="63"/>
  <c r="T409" i="63"/>
  <c r="X409" i="63"/>
  <c r="T401" i="63"/>
  <c r="X401" i="63"/>
  <c r="T393" i="63"/>
  <c r="X393" i="63"/>
  <c r="T385" i="63"/>
  <c r="X385" i="63"/>
  <c r="T377" i="63"/>
  <c r="X377" i="63"/>
  <c r="T369" i="63"/>
  <c r="X369" i="63"/>
  <c r="T361" i="63"/>
  <c r="X361" i="63"/>
  <c r="T353" i="63"/>
  <c r="X353" i="63"/>
  <c r="T345" i="63"/>
  <c r="X345" i="63"/>
  <c r="T337" i="63"/>
  <c r="X337" i="63"/>
  <c r="T329" i="63"/>
  <c r="X329" i="63"/>
  <c r="T321" i="63"/>
  <c r="X321" i="63"/>
  <c r="T305" i="63"/>
  <c r="X305" i="63"/>
  <c r="X255" i="63"/>
  <c r="X231" i="63"/>
  <c r="T223" i="63"/>
  <c r="X223" i="63"/>
  <c r="X207" i="63"/>
  <c r="X199" i="63"/>
  <c r="X191" i="63"/>
  <c r="X175" i="63"/>
  <c r="X167" i="63"/>
  <c r="X151" i="63"/>
  <c r="X143" i="63"/>
  <c r="X135" i="63"/>
  <c r="X127" i="63"/>
  <c r="X119" i="63"/>
  <c r="X111" i="63"/>
  <c r="X103" i="63"/>
  <c r="T95" i="63"/>
  <c r="X95" i="63"/>
  <c r="X87" i="63"/>
  <c r="T78" i="63"/>
  <c r="X78" i="63"/>
  <c r="X62" i="63"/>
  <c r="X54" i="63"/>
  <c r="T38" i="63"/>
  <c r="X38" i="63"/>
  <c r="X30" i="63"/>
  <c r="AG46" i="7"/>
  <c r="AE46" i="7"/>
  <c r="AF46" i="7" s="1"/>
  <c r="AE50" i="7"/>
  <c r="AF50" i="7" s="1"/>
  <c r="AG50" i="7"/>
  <c r="AG51" i="7"/>
  <c r="AE51" i="7"/>
  <c r="AF51" i="7" s="1"/>
  <c r="AE43" i="7"/>
  <c r="AF43" i="7" s="1"/>
  <c r="AG43" i="7"/>
  <c r="AG52" i="7"/>
  <c r="AE52" i="7"/>
  <c r="AF52" i="7" s="1"/>
  <c r="AE41" i="7"/>
  <c r="AF41" i="7" s="1"/>
  <c r="AG41" i="7"/>
  <c r="AG54" i="7"/>
  <c r="AE54" i="7"/>
  <c r="AF54" i="7" s="1"/>
  <c r="AE42" i="7"/>
  <c r="AF42" i="7" s="1"/>
  <c r="AG42" i="7"/>
  <c r="AE44" i="7"/>
  <c r="AF44" i="7" s="1"/>
  <c r="AG44" i="7"/>
  <c r="AG55" i="7"/>
  <c r="AE55" i="7"/>
  <c r="AF55" i="7" s="1"/>
  <c r="AG47" i="7"/>
  <c r="AE47" i="7"/>
  <c r="AF47" i="7" s="1"/>
  <c r="AG48" i="7"/>
  <c r="AE48" i="7"/>
  <c r="AF48" i="7" s="1"/>
  <c r="AE53" i="7"/>
  <c r="AF53" i="7" s="1"/>
  <c r="AG53" i="7"/>
  <c r="AE45" i="7"/>
  <c r="AF45" i="7" s="1"/>
  <c r="AG45" i="7"/>
  <c r="AE49" i="7"/>
  <c r="AF49" i="7" s="1"/>
  <c r="AG49" i="7"/>
  <c r="C6" i="36"/>
  <c r="I6" i="36" s="1"/>
  <c r="H412" i="70"/>
  <c r="Z12" i="2"/>
  <c r="C9" i="36"/>
  <c r="I9" i="36" s="1"/>
  <c r="AK13" i="2"/>
  <c r="C13" i="36"/>
  <c r="I13" i="36" s="1"/>
  <c r="P156" i="82"/>
  <c r="O958" i="63"/>
  <c r="D104" i="66" s="1"/>
  <c r="G96" i="72"/>
  <c r="F96" i="72"/>
  <c r="I24" i="66"/>
  <c r="A47" i="80"/>
  <c r="G95" i="72"/>
  <c r="F95" i="72"/>
  <c r="I41" i="66"/>
  <c r="P464" i="27"/>
  <c r="P166" i="82" s="1"/>
  <c r="P192" i="27"/>
  <c r="P102" i="82" s="1"/>
  <c r="I39" i="3"/>
  <c r="J148" i="72"/>
  <c r="G148" i="72" s="1"/>
  <c r="J1199" i="70"/>
  <c r="J149" i="72"/>
  <c r="E149" i="72" s="1"/>
  <c r="J1211" i="70"/>
  <c r="J152" i="72"/>
  <c r="E152" i="72" s="1"/>
  <c r="D8" i="60"/>
  <c r="I70" i="4"/>
  <c r="I71" i="4" s="1"/>
  <c r="S38" i="66"/>
  <c r="E104" i="72"/>
  <c r="E100" i="72"/>
  <c r="AK12" i="2"/>
  <c r="K70" i="4"/>
  <c r="A25" i="19"/>
  <c r="I39" i="66"/>
  <c r="A6" i="36"/>
  <c r="A23" i="36" s="1"/>
  <c r="P254" i="27"/>
  <c r="P130" i="82" s="1"/>
  <c r="I45" i="66"/>
  <c r="F1232" i="70"/>
  <c r="G46" i="7" s="1"/>
  <c r="W44" i="7" s="1"/>
  <c r="Q39" i="66"/>
  <c r="K116" i="72"/>
  <c r="E101" i="72"/>
  <c r="E97" i="72"/>
  <c r="D5" i="83"/>
  <c r="Q5" i="83" s="1"/>
  <c r="E1232" i="70"/>
  <c r="F46" i="7" s="1"/>
  <c r="W43" i="7" s="1"/>
  <c r="P125" i="27"/>
  <c r="P90" i="82" s="1"/>
  <c r="P139" i="27"/>
  <c r="P94" i="82" s="1"/>
  <c r="P251" i="27"/>
  <c r="P127" i="82" s="1"/>
  <c r="E103" i="72"/>
  <c r="E99" i="72"/>
  <c r="E102" i="72"/>
  <c r="E98" i="72"/>
  <c r="D22" i="3"/>
  <c r="D23" i="3"/>
  <c r="K39" i="3"/>
  <c r="D46" i="3"/>
  <c r="D47" i="3"/>
  <c r="D44" i="3"/>
  <c r="G44" i="3" s="1"/>
  <c r="D45" i="3"/>
  <c r="G45" i="3" s="1"/>
  <c r="D43" i="3"/>
  <c r="G43" i="3" s="1"/>
  <c r="F73" i="3"/>
  <c r="AT73" i="3" s="1"/>
  <c r="D69" i="3"/>
  <c r="G69" i="3" s="1"/>
  <c r="D67" i="3"/>
  <c r="G67" i="3" s="1"/>
  <c r="D68" i="3"/>
  <c r="G68" i="3" s="1"/>
  <c r="K63" i="3"/>
  <c r="D71" i="3"/>
  <c r="D70" i="3"/>
  <c r="F1" i="58"/>
  <c r="H1" i="58" s="1"/>
  <c r="P78" i="82"/>
  <c r="P255" i="27"/>
  <c r="P131" i="82" s="1"/>
  <c r="P82" i="82"/>
  <c r="P111" i="27"/>
  <c r="P86" i="82" s="1"/>
  <c r="J9" i="4"/>
  <c r="M21" i="4"/>
  <c r="J35" i="4"/>
  <c r="J34" i="4"/>
  <c r="M33" i="4"/>
  <c r="L33" i="4"/>
  <c r="I167" i="4"/>
  <c r="L167" i="4"/>
  <c r="M167" i="4"/>
  <c r="L14" i="85"/>
  <c r="L15" i="85"/>
  <c r="L12" i="85"/>
  <c r="L16" i="85"/>
  <c r="L13" i="85"/>
  <c r="J12" i="4"/>
  <c r="M12" i="4"/>
  <c r="J25" i="4"/>
  <c r="J26" i="4"/>
  <c r="M24" i="4"/>
  <c r="L24" i="4"/>
  <c r="J37" i="4"/>
  <c r="J38" i="4"/>
  <c r="M36" i="4"/>
  <c r="L36" i="4"/>
  <c r="L166" i="4"/>
  <c r="M166" i="4"/>
  <c r="I166" i="4"/>
  <c r="I15" i="4"/>
  <c r="I17" i="4" s="1"/>
  <c r="M15" i="4"/>
  <c r="J29" i="4"/>
  <c r="J28" i="4"/>
  <c r="M27" i="4"/>
  <c r="L27" i="4"/>
  <c r="I38" i="73"/>
  <c r="J127" i="72"/>
  <c r="J131" i="72"/>
  <c r="J135" i="72"/>
  <c r="J139" i="72"/>
  <c r="J129" i="72"/>
  <c r="J137" i="72"/>
  <c r="J130" i="72"/>
  <c r="J134" i="72"/>
  <c r="J128" i="72"/>
  <c r="J132" i="72"/>
  <c r="J136" i="72"/>
  <c r="J140" i="72"/>
  <c r="J133" i="72"/>
  <c r="J126" i="72"/>
  <c r="J138" i="72"/>
  <c r="M18" i="4"/>
  <c r="J31" i="4"/>
  <c r="J32" i="4"/>
  <c r="M30" i="4"/>
  <c r="L30" i="4"/>
  <c r="J58" i="4"/>
  <c r="J59" i="4"/>
  <c r="M57" i="4"/>
  <c r="L57" i="4"/>
  <c r="A33" i="19"/>
  <c r="I49" i="66"/>
  <c r="M48" i="4"/>
  <c r="J62" i="4"/>
  <c r="J61" i="4"/>
  <c r="M60" i="4"/>
  <c r="L60" i="4"/>
  <c r="M39" i="4"/>
  <c r="I51" i="4"/>
  <c r="M51" i="4"/>
  <c r="J65" i="4"/>
  <c r="J64" i="4"/>
  <c r="M63" i="4"/>
  <c r="L63" i="4"/>
  <c r="M45" i="4"/>
  <c r="A29" i="19"/>
  <c r="M42" i="4"/>
  <c r="M54" i="4"/>
  <c r="P13" i="85"/>
  <c r="J13" i="85" s="1"/>
  <c r="P12" i="85"/>
  <c r="J12" i="85" s="1"/>
  <c r="P14" i="85"/>
  <c r="J14" i="85" s="1"/>
  <c r="P16" i="85"/>
  <c r="J16" i="85" s="1"/>
  <c r="P15" i="85"/>
  <c r="J15" i="85" s="1"/>
  <c r="P304" i="82"/>
  <c r="P302" i="82"/>
  <c r="L94" i="4"/>
  <c r="M94" i="4"/>
  <c r="K107" i="4"/>
  <c r="M107" i="4"/>
  <c r="L107" i="4"/>
  <c r="M123" i="4"/>
  <c r="M138" i="4"/>
  <c r="J68" i="4"/>
  <c r="J67" i="4"/>
  <c r="L66" i="4"/>
  <c r="M66" i="4"/>
  <c r="L96" i="4"/>
  <c r="M96" i="4"/>
  <c r="L92" i="4"/>
  <c r="M92" i="4"/>
  <c r="M109" i="4"/>
  <c r="M105" i="4"/>
  <c r="M101" i="4"/>
  <c r="L114" i="4"/>
  <c r="M114" i="4"/>
  <c r="M121" i="4"/>
  <c r="L121" i="4"/>
  <c r="M117" i="4"/>
  <c r="L117" i="4"/>
  <c r="M129" i="4"/>
  <c r="M125" i="4"/>
  <c r="M140" i="4"/>
  <c r="M136" i="4"/>
  <c r="M147" i="4"/>
  <c r="M146" i="4"/>
  <c r="J66" i="4"/>
  <c r="M89" i="4"/>
  <c r="L89" i="4"/>
  <c r="L95" i="4"/>
  <c r="M95" i="4"/>
  <c r="M97" i="4"/>
  <c r="L97" i="4"/>
  <c r="N97" i="4" s="1"/>
  <c r="AT97" i="4" s="1"/>
  <c r="M100" i="4"/>
  <c r="M108" i="4"/>
  <c r="M104" i="4"/>
  <c r="L112" i="4"/>
  <c r="M112" i="4"/>
  <c r="M113" i="4"/>
  <c r="L113" i="4"/>
  <c r="K120" i="4"/>
  <c r="L120" i="4"/>
  <c r="M120" i="4"/>
  <c r="M128" i="4"/>
  <c r="M124" i="4"/>
  <c r="M139" i="4"/>
  <c r="M135" i="4"/>
  <c r="M149" i="4"/>
  <c r="M148" i="4"/>
  <c r="J70" i="4"/>
  <c r="J71" i="4"/>
  <c r="J72" i="4"/>
  <c r="M70" i="4"/>
  <c r="L70" i="4"/>
  <c r="J83" i="4"/>
  <c r="J84" i="4"/>
  <c r="M82" i="4"/>
  <c r="L82" i="4"/>
  <c r="L90" i="4"/>
  <c r="M90" i="4"/>
  <c r="M103" i="4"/>
  <c r="F116" i="4"/>
  <c r="J116" i="4" s="1"/>
  <c r="L116" i="4"/>
  <c r="M116" i="4"/>
  <c r="M131" i="4"/>
  <c r="M151" i="4"/>
  <c r="M150" i="4"/>
  <c r="J75" i="4"/>
  <c r="J74" i="4"/>
  <c r="L73" i="4"/>
  <c r="M73" i="4"/>
  <c r="J86" i="4"/>
  <c r="J87" i="4"/>
  <c r="L85" i="4"/>
  <c r="M85" i="4"/>
  <c r="K66" i="4"/>
  <c r="I68" i="4"/>
  <c r="M91" i="4"/>
  <c r="L91" i="4"/>
  <c r="N91" i="4" s="1"/>
  <c r="AT91" i="4" s="1"/>
  <c r="M93" i="4"/>
  <c r="L93" i="4"/>
  <c r="K110" i="4"/>
  <c r="L110" i="4"/>
  <c r="M110" i="4"/>
  <c r="M102" i="4"/>
  <c r="M115" i="4"/>
  <c r="L115" i="4"/>
  <c r="K118" i="4"/>
  <c r="L118" i="4"/>
  <c r="M118" i="4"/>
  <c r="M130" i="4"/>
  <c r="M126" i="4"/>
  <c r="M141" i="4"/>
  <c r="M137" i="4"/>
  <c r="M133" i="4"/>
  <c r="M145" i="4"/>
  <c r="M144" i="4"/>
  <c r="J77" i="4"/>
  <c r="J78" i="4"/>
  <c r="M76" i="4"/>
  <c r="L76" i="4"/>
  <c r="L98" i="4"/>
  <c r="M98" i="4"/>
  <c r="M111" i="4"/>
  <c r="L111" i="4"/>
  <c r="M119" i="4"/>
  <c r="L119" i="4"/>
  <c r="M127" i="4"/>
  <c r="M134" i="4"/>
  <c r="J81" i="4"/>
  <c r="J80" i="4"/>
  <c r="M79" i="4"/>
  <c r="L79" i="4"/>
  <c r="K23" i="66"/>
  <c r="D24" i="19"/>
  <c r="I66" i="4"/>
  <c r="H572" i="27"/>
  <c r="N572" i="27" s="1"/>
  <c r="P248" i="27"/>
  <c r="P124" i="82" s="1"/>
  <c r="G6" i="39"/>
  <c r="K76" i="4"/>
  <c r="L39" i="66"/>
  <c r="F15" i="36"/>
  <c r="A15" i="19"/>
  <c r="C24" i="19"/>
  <c r="R40" i="66"/>
  <c r="M27" i="66"/>
  <c r="A13" i="36"/>
  <c r="A55" i="36" s="1"/>
  <c r="H15" i="36"/>
  <c r="P80" i="27"/>
  <c r="P75" i="82" s="1"/>
  <c r="H97" i="4"/>
  <c r="I97" i="4" s="1"/>
  <c r="I82" i="4"/>
  <c r="I83" i="4" s="1"/>
  <c r="M26" i="73"/>
  <c r="C36" i="19"/>
  <c r="M38" i="66"/>
  <c r="A9" i="36"/>
  <c r="A26" i="36" s="1"/>
  <c r="P140" i="27"/>
  <c r="P95" i="82" s="1"/>
  <c r="P256" i="27"/>
  <c r="P132" i="82" s="1"/>
  <c r="I48" i="66"/>
  <c r="D22" i="19"/>
  <c r="A36" i="19"/>
  <c r="I31" i="66"/>
  <c r="I146" i="66" s="1"/>
  <c r="I147" i="66" s="1"/>
  <c r="I40" i="66"/>
  <c r="L52" i="66"/>
  <c r="C17" i="36"/>
  <c r="I17" i="36" s="1"/>
  <c r="P126" i="27"/>
  <c r="P91" i="82" s="1"/>
  <c r="I62" i="3"/>
  <c r="E151" i="72"/>
  <c r="F39" i="3"/>
  <c r="I40" i="3"/>
  <c r="I64" i="3"/>
  <c r="A13" i="19"/>
  <c r="A11" i="19"/>
  <c r="K26" i="66"/>
  <c r="C22" i="19"/>
  <c r="D23" i="19"/>
  <c r="A28" i="19"/>
  <c r="I23" i="66"/>
  <c r="I29" i="66"/>
  <c r="I132" i="66" s="1"/>
  <c r="I133" i="66" s="1"/>
  <c r="I27" i="66"/>
  <c r="I118" i="66" s="1"/>
  <c r="R39" i="66"/>
  <c r="I44" i="66"/>
  <c r="I42" i="66"/>
  <c r="I54" i="66"/>
  <c r="I52" i="66"/>
  <c r="M40" i="66"/>
  <c r="A7" i="36"/>
  <c r="A49" i="36" s="1"/>
  <c r="A11" i="36"/>
  <c r="A53" i="36" s="1"/>
  <c r="A15" i="36"/>
  <c r="A57" i="36" s="1"/>
  <c r="H17" i="36"/>
  <c r="V56" i="2"/>
  <c r="W56" i="2" s="1"/>
  <c r="C14" i="2"/>
  <c r="S40" i="66"/>
  <c r="P82" i="27"/>
  <c r="P77" i="82" s="1"/>
  <c r="P138" i="27"/>
  <c r="P93" i="82" s="1"/>
  <c r="P79" i="82"/>
  <c r="P112" i="27"/>
  <c r="P87" i="82" s="1"/>
  <c r="P189" i="27"/>
  <c r="P99" i="82" s="1"/>
  <c r="P252" i="27"/>
  <c r="P128" i="82" s="1"/>
  <c r="L74" i="27"/>
  <c r="L69" i="82" s="1"/>
  <c r="A32" i="19"/>
  <c r="I46" i="66"/>
  <c r="I38" i="3"/>
  <c r="O937" i="63"/>
  <c r="D83" i="66" s="1"/>
  <c r="P261" i="27"/>
  <c r="P137" i="82" s="1"/>
  <c r="B10" i="19"/>
  <c r="D11" i="19"/>
  <c r="E6" i="36"/>
  <c r="C11" i="36"/>
  <c r="I11" i="36" s="1"/>
  <c r="B14" i="19"/>
  <c r="E8" i="36"/>
  <c r="G19" i="43"/>
  <c r="I78" i="4"/>
  <c r="AG264" i="63"/>
  <c r="AG817" i="63"/>
  <c r="K5" i="87"/>
  <c r="L5" i="87"/>
  <c r="M4" i="87"/>
  <c r="N4" i="87"/>
  <c r="N5" i="87"/>
  <c r="B8" i="19"/>
  <c r="K24" i="66"/>
  <c r="P25" i="66"/>
  <c r="E7" i="36"/>
  <c r="J95" i="66"/>
  <c r="D14" i="71"/>
  <c r="Z15" i="2"/>
  <c r="J96" i="66"/>
  <c r="D16" i="71"/>
  <c r="V40" i="2"/>
  <c r="T819" i="63"/>
  <c r="AD894" i="63"/>
  <c r="T894" i="63"/>
  <c r="AD890" i="63"/>
  <c r="T890" i="63"/>
  <c r="AE893" i="63"/>
  <c r="T893" i="63"/>
  <c r="AE822" i="63"/>
  <c r="AE820" i="63"/>
  <c r="T820" i="63"/>
  <c r="AD892" i="63"/>
  <c r="T892" i="63"/>
  <c r="AE818" i="63"/>
  <c r="T818" i="63"/>
  <c r="AE891" i="63"/>
  <c r="T891" i="63"/>
  <c r="W14" i="2"/>
  <c r="E13" i="19"/>
  <c r="E10" i="19"/>
  <c r="I28" i="66"/>
  <c r="I125" i="66" s="1"/>
  <c r="Q26" i="66"/>
  <c r="Q24" i="66"/>
  <c r="A10" i="36"/>
  <c r="A52" i="36" s="1"/>
  <c r="S14" i="2"/>
  <c r="B9" i="19"/>
  <c r="E9" i="19"/>
  <c r="K29" i="66"/>
  <c r="J29" i="66" s="1"/>
  <c r="Q29" i="66"/>
  <c r="Q25" i="66"/>
  <c r="C14" i="36"/>
  <c r="I14" i="36" s="1"/>
  <c r="C10" i="2"/>
  <c r="W13" i="2"/>
  <c r="A8" i="19"/>
  <c r="A12" i="19"/>
  <c r="B13" i="19"/>
  <c r="E11" i="19"/>
  <c r="E8" i="19"/>
  <c r="I37" i="66"/>
  <c r="A14" i="36"/>
  <c r="A56" i="36" s="1"/>
  <c r="P110" i="27"/>
  <c r="P85" i="82" s="1"/>
  <c r="H464" i="27"/>
  <c r="P281" i="27"/>
  <c r="P149" i="82" s="1"/>
  <c r="P157" i="82"/>
  <c r="P165" i="82"/>
  <c r="P142" i="27"/>
  <c r="P97" i="82" s="1"/>
  <c r="P81" i="82"/>
  <c r="P124" i="27"/>
  <c r="P89" i="82" s="1"/>
  <c r="P191" i="27"/>
  <c r="P101" i="82" s="1"/>
  <c r="P250" i="27"/>
  <c r="P126" i="82" s="1"/>
  <c r="D15" i="19"/>
  <c r="P30" i="66"/>
  <c r="C7" i="36"/>
  <c r="I7" i="36" s="1"/>
  <c r="Z13" i="2"/>
  <c r="S12" i="2"/>
  <c r="M467" i="27"/>
  <c r="M169" i="82" s="1"/>
  <c r="S169" i="82" s="1"/>
  <c r="D13" i="19"/>
  <c r="K27" i="66"/>
  <c r="J27" i="66" s="1"/>
  <c r="T786" i="63"/>
  <c r="K85" i="4"/>
  <c r="F75" i="3"/>
  <c r="AT75" i="3" s="1"/>
  <c r="B15" i="19"/>
  <c r="B11" i="19"/>
  <c r="Q23" i="66"/>
  <c r="Q40" i="66"/>
  <c r="C16" i="36"/>
  <c r="I16" i="36" s="1"/>
  <c r="I87" i="4"/>
  <c r="I85" i="4"/>
  <c r="I86" i="4" s="1"/>
  <c r="K97" i="4"/>
  <c r="I132" i="4"/>
  <c r="F11" i="71"/>
  <c r="P190" i="27"/>
  <c r="P100" i="82" s="1"/>
  <c r="P160" i="82"/>
  <c r="P466" i="27"/>
  <c r="P168" i="82" s="1"/>
  <c r="A39" i="19"/>
  <c r="G236" i="82"/>
  <c r="I244" i="27"/>
  <c r="M10" i="3"/>
  <c r="E5" i="36"/>
  <c r="AK15" i="2"/>
  <c r="E22" i="19"/>
  <c r="A23" i="19"/>
  <c r="A27" i="19"/>
  <c r="F12" i="60"/>
  <c r="P39" i="66"/>
  <c r="I51" i="66"/>
  <c r="A16" i="36"/>
  <c r="A33" i="36" s="1"/>
  <c r="K89" i="4"/>
  <c r="P164" i="82"/>
  <c r="P268" i="27"/>
  <c r="P144" i="82" s="1"/>
  <c r="A31" i="19"/>
  <c r="D95" i="72"/>
  <c r="W44" i="66"/>
  <c r="B7" i="19"/>
  <c r="E7" i="19"/>
  <c r="K31" i="66"/>
  <c r="J31" i="66" s="1"/>
  <c r="E24" i="19"/>
  <c r="Q38" i="66"/>
  <c r="C15" i="36"/>
  <c r="I15" i="36" s="1"/>
  <c r="H254" i="60"/>
  <c r="P80" i="82"/>
  <c r="P127" i="27"/>
  <c r="P92" i="82" s="1"/>
  <c r="P280" i="27"/>
  <c r="P148" i="82" s="1"/>
  <c r="P284" i="27"/>
  <c r="P152" i="82" s="1"/>
  <c r="I47" i="66"/>
  <c r="W43" i="66"/>
  <c r="F248" i="60"/>
  <c r="B100" i="66"/>
  <c r="D186" i="71"/>
  <c r="D176" i="71"/>
  <c r="D166" i="71"/>
  <c r="D184" i="71"/>
  <c r="D174" i="71"/>
  <c r="D164" i="71"/>
  <c r="P893" i="63"/>
  <c r="P892" i="63"/>
  <c r="AD718" i="63"/>
  <c r="AE718" i="63"/>
  <c r="AD710" i="63"/>
  <c r="AE710" i="63"/>
  <c r="AE775" i="63"/>
  <c r="AD775" i="63"/>
  <c r="AE725" i="63"/>
  <c r="AD725" i="63"/>
  <c r="AE721" i="63"/>
  <c r="AD721" i="63"/>
  <c r="AE717" i="63"/>
  <c r="AD717" i="63"/>
  <c r="AE713" i="63"/>
  <c r="AD713" i="63"/>
  <c r="AE709" i="63"/>
  <c r="AD709" i="63"/>
  <c r="R986" i="63"/>
  <c r="AD722" i="63"/>
  <c r="AE722" i="63"/>
  <c r="AG877" i="63"/>
  <c r="AG889" i="63"/>
  <c r="AG881" i="63"/>
  <c r="AG821" i="63"/>
  <c r="AG892" i="63"/>
  <c r="AG870" i="63"/>
  <c r="AG874" i="63"/>
  <c r="AG878" i="63"/>
  <c r="AG882" i="63"/>
  <c r="AG886" i="63"/>
  <c r="AG831" i="63"/>
  <c r="AG822" i="63"/>
  <c r="AG893" i="63"/>
  <c r="AG871" i="63"/>
  <c r="AG875" i="63"/>
  <c r="AG879" i="63"/>
  <c r="AG883" i="63"/>
  <c r="AG887" i="63"/>
  <c r="AG819" i="63"/>
  <c r="AG894" i="63"/>
  <c r="AG872" i="63"/>
  <c r="AG876" i="63"/>
  <c r="AG880" i="63"/>
  <c r="AG884" i="63"/>
  <c r="AG888" i="63"/>
  <c r="AG820" i="63"/>
  <c r="AG818" i="63"/>
  <c r="AG891" i="63"/>
  <c r="AG890" i="63"/>
  <c r="AG873" i="63"/>
  <c r="AG885" i="63"/>
  <c r="AG845" i="63"/>
  <c r="AG855" i="63"/>
  <c r="AG858" i="63"/>
  <c r="AG869" i="63"/>
  <c r="AG853" i="63"/>
  <c r="AG859" i="63"/>
  <c r="AG849" i="63"/>
  <c r="AG847" i="63"/>
  <c r="AG834" i="63"/>
  <c r="AG856" i="63"/>
  <c r="AG837" i="63"/>
  <c r="AG844" i="63"/>
  <c r="AG843" i="63"/>
  <c r="AG865" i="63"/>
  <c r="AG832" i="63"/>
  <c r="AG851" i="63"/>
  <c r="AG862" i="63"/>
  <c r="AG846" i="63"/>
  <c r="AG868" i="63"/>
  <c r="AG852" i="63"/>
  <c r="AG833" i="63"/>
  <c r="AG836" i="63"/>
  <c r="AG839" i="63"/>
  <c r="AG861" i="63"/>
  <c r="AG841" i="63"/>
  <c r="AG848" i="63"/>
  <c r="AG854" i="63"/>
  <c r="AG842" i="63"/>
  <c r="AG864" i="63"/>
  <c r="AG863" i="63"/>
  <c r="AG866" i="63"/>
  <c r="AG835" i="63"/>
  <c r="AG857" i="63"/>
  <c r="AG867" i="63"/>
  <c r="AG840" i="63"/>
  <c r="AG850" i="63"/>
  <c r="AG838" i="63"/>
  <c r="AG860" i="63"/>
  <c r="P890" i="63"/>
  <c r="P891" i="63"/>
  <c r="AD774" i="63"/>
  <c r="AE774" i="63"/>
  <c r="AD728" i="63"/>
  <c r="AE728" i="63"/>
  <c r="AD724" i="63"/>
  <c r="AE724" i="63"/>
  <c r="AD720" i="63"/>
  <c r="AE720" i="63"/>
  <c r="AD716" i="63"/>
  <c r="AE716" i="63"/>
  <c r="AD712" i="63"/>
  <c r="AE712" i="63"/>
  <c r="AD708" i="63"/>
  <c r="AE708" i="63"/>
  <c r="AD776" i="63"/>
  <c r="AE776" i="63"/>
  <c r="AD726" i="63"/>
  <c r="AE726" i="63"/>
  <c r="AD714" i="63"/>
  <c r="AE714" i="63"/>
  <c r="P894" i="63"/>
  <c r="AE727" i="63"/>
  <c r="AD727" i="63"/>
  <c r="AE723" i="63"/>
  <c r="AD723" i="63"/>
  <c r="AE719" i="63"/>
  <c r="AD719" i="63"/>
  <c r="AE715" i="63"/>
  <c r="AD715" i="63"/>
  <c r="AE711" i="63"/>
  <c r="AD711" i="63"/>
  <c r="AE707" i="63"/>
  <c r="AD707" i="63"/>
  <c r="C34" i="2"/>
  <c r="AP34" i="2" s="1"/>
  <c r="P11" i="63"/>
  <c r="AE881" i="63" s="1"/>
  <c r="O951" i="63"/>
  <c r="D97" i="66" s="1"/>
  <c r="D79" i="66"/>
  <c r="O950" i="63"/>
  <c r="D96" i="66" s="1"/>
  <c r="O931" i="63"/>
  <c r="O939" i="63"/>
  <c r="D101" i="43" s="1"/>
  <c r="O918" i="63"/>
  <c r="D64" i="66" s="1"/>
  <c r="O954" i="63"/>
  <c r="D100" i="66" s="1"/>
  <c r="O934" i="63"/>
  <c r="D80" i="66" s="1"/>
  <c r="O917" i="63"/>
  <c r="D63" i="66" s="1"/>
  <c r="O988" i="63"/>
  <c r="P216" i="27"/>
  <c r="P112" i="82" s="1"/>
  <c r="P202" i="27"/>
  <c r="P108" i="82" s="1"/>
  <c r="I247" i="27"/>
  <c r="I243" i="27"/>
  <c r="I246" i="27"/>
  <c r="P253" i="27"/>
  <c r="P129" i="82" s="1"/>
  <c r="I253" i="27"/>
  <c r="I129" i="82" s="1"/>
  <c r="I245" i="27"/>
  <c r="P109" i="82"/>
  <c r="P199" i="27"/>
  <c r="P105" i="82" s="1"/>
  <c r="AG267" i="63"/>
  <c r="AG271" i="63"/>
  <c r="AG265" i="63"/>
  <c r="AG269" i="63"/>
  <c r="AG273" i="63"/>
  <c r="AG268" i="63"/>
  <c r="AG272" i="63"/>
  <c r="AG266" i="63"/>
  <c r="AG270" i="63"/>
  <c r="AG813" i="63"/>
  <c r="AG816" i="63"/>
  <c r="AG812" i="63"/>
  <c r="AG815" i="63"/>
  <c r="AG814" i="63"/>
  <c r="AD821" i="63"/>
  <c r="L66" i="27"/>
  <c r="L61" i="82" s="1"/>
  <c r="AE402" i="63"/>
  <c r="B209" i="66"/>
  <c r="U826" i="63"/>
  <c r="AG16" i="63"/>
  <c r="AG20" i="63"/>
  <c r="AG24" i="63"/>
  <c r="AG28" i="63"/>
  <c r="AG32" i="63"/>
  <c r="AG36" i="63"/>
  <c r="AG40" i="63"/>
  <c r="AG44" i="63"/>
  <c r="AG48" i="63"/>
  <c r="AG52" i="63"/>
  <c r="T52" i="63" s="1"/>
  <c r="AG56" i="63"/>
  <c r="AG60" i="63"/>
  <c r="AG64" i="63"/>
  <c r="AG68" i="63"/>
  <c r="AG72" i="63"/>
  <c r="AG76" i="63"/>
  <c r="AG80" i="63"/>
  <c r="AG85" i="63"/>
  <c r="T85" i="63" s="1"/>
  <c r="AG89" i="63"/>
  <c r="T89" i="63" s="1"/>
  <c r="AG93" i="63"/>
  <c r="AG97" i="63"/>
  <c r="AG101" i="63"/>
  <c r="AG105" i="63"/>
  <c r="AG109" i="63"/>
  <c r="AG113" i="63"/>
  <c r="T113" i="63" s="1"/>
  <c r="AG117" i="63"/>
  <c r="AG121" i="63"/>
  <c r="AG125" i="63"/>
  <c r="AG129" i="63"/>
  <c r="T129" i="63" s="1"/>
  <c r="AG133" i="63"/>
  <c r="AG137" i="63"/>
  <c r="AG141" i="63"/>
  <c r="AG145" i="63"/>
  <c r="T145" i="63" s="1"/>
  <c r="AG149" i="63"/>
  <c r="T149" i="63" s="1"/>
  <c r="AG153" i="63"/>
  <c r="T153" i="63" s="1"/>
  <c r="AG157" i="63"/>
  <c r="AG161" i="63"/>
  <c r="AG165" i="63"/>
  <c r="AG169" i="63"/>
  <c r="AG173" i="63"/>
  <c r="T173" i="63" s="1"/>
  <c r="AG177" i="63"/>
  <c r="T177" i="63" s="1"/>
  <c r="AG181" i="63"/>
  <c r="T181" i="63" s="1"/>
  <c r="AG185" i="63"/>
  <c r="T185" i="63" s="1"/>
  <c r="AG189" i="63"/>
  <c r="AG193" i="63"/>
  <c r="AG197" i="63"/>
  <c r="AG201" i="63"/>
  <c r="AG205" i="63"/>
  <c r="T205" i="63" s="1"/>
  <c r="AG209" i="63"/>
  <c r="T209" i="63" s="1"/>
  <c r="AG213" i="63"/>
  <c r="AG217" i="63"/>
  <c r="AG221" i="63"/>
  <c r="T221" i="63" s="1"/>
  <c r="AG225" i="63"/>
  <c r="AG229" i="63"/>
  <c r="AG233" i="63"/>
  <c r="AG237" i="63"/>
  <c r="T237" i="63" s="1"/>
  <c r="AG241" i="63"/>
  <c r="AG245" i="63"/>
  <c r="AG249" i="63"/>
  <c r="AG253" i="63"/>
  <c r="AG257" i="63"/>
  <c r="T257" i="63" s="1"/>
  <c r="AG261" i="63"/>
  <c r="AG274" i="63"/>
  <c r="T274" i="63" s="1"/>
  <c r="AG278" i="63"/>
  <c r="AG282" i="63"/>
  <c r="AG286" i="63"/>
  <c r="AG290" i="63"/>
  <c r="AG294" i="63"/>
  <c r="AG298" i="63"/>
  <c r="AG302" i="63"/>
  <c r="AG306" i="63"/>
  <c r="AG310" i="63"/>
  <c r="AG314" i="63"/>
  <c r="AG318" i="63"/>
  <c r="AG322" i="63"/>
  <c r="AG17" i="63"/>
  <c r="T17" i="63" s="1"/>
  <c r="AG21" i="63"/>
  <c r="AG25" i="63"/>
  <c r="T25" i="63" s="1"/>
  <c r="AG29" i="63"/>
  <c r="AG33" i="63"/>
  <c r="AG37" i="63"/>
  <c r="AG41" i="63"/>
  <c r="T41" i="63" s="1"/>
  <c r="AG45" i="63"/>
  <c r="AG49" i="63"/>
  <c r="T49" i="63" s="1"/>
  <c r="AG53" i="63"/>
  <c r="T53" i="63" s="1"/>
  <c r="AG57" i="63"/>
  <c r="T57" i="63" s="1"/>
  <c r="AG61" i="63"/>
  <c r="T61" i="63" s="1"/>
  <c r="AG65" i="63"/>
  <c r="AG69" i="63"/>
  <c r="T69" i="63" s="1"/>
  <c r="AG73" i="63"/>
  <c r="AG77" i="63"/>
  <c r="AG81" i="63"/>
  <c r="AG86" i="63"/>
  <c r="T86" i="63" s="1"/>
  <c r="AG90" i="63"/>
  <c r="T90" i="63" s="1"/>
  <c r="AG94" i="63"/>
  <c r="AG98" i="63"/>
  <c r="AG102" i="63"/>
  <c r="AG106" i="63"/>
  <c r="T106" i="63" s="1"/>
  <c r="AG110" i="63"/>
  <c r="AG114" i="63"/>
  <c r="AG118" i="63"/>
  <c r="AG122" i="63"/>
  <c r="AG126" i="63"/>
  <c r="AG130" i="63"/>
  <c r="AG134" i="63"/>
  <c r="T134" i="63" s="1"/>
  <c r="AG138" i="63"/>
  <c r="T138" i="63" s="1"/>
  <c r="AG142" i="63"/>
  <c r="AG146" i="63"/>
  <c r="T146" i="63" s="1"/>
  <c r="AG150" i="63"/>
  <c r="T150" i="63" s="1"/>
  <c r="AG154" i="63"/>
  <c r="T154" i="63" s="1"/>
  <c r="AG158" i="63"/>
  <c r="AG162" i="63"/>
  <c r="AG166" i="63"/>
  <c r="T166" i="63" s="1"/>
  <c r="AG170" i="63"/>
  <c r="T170" i="63" s="1"/>
  <c r="AG174" i="63"/>
  <c r="AG178" i="63"/>
  <c r="AG182" i="63"/>
  <c r="AG186" i="63"/>
  <c r="T186" i="63" s="1"/>
  <c r="AG190" i="63"/>
  <c r="AG194" i="63"/>
  <c r="T194" i="63" s="1"/>
  <c r="AG198" i="63"/>
  <c r="T198" i="63" s="1"/>
  <c r="AG19" i="63"/>
  <c r="T19" i="63" s="1"/>
  <c r="AG27" i="63"/>
  <c r="T27" i="63" s="1"/>
  <c r="AG35" i="63"/>
  <c r="AG43" i="63"/>
  <c r="AG51" i="63"/>
  <c r="T51" i="63" s="1"/>
  <c r="AG59" i="63"/>
  <c r="T59" i="63" s="1"/>
  <c r="AG67" i="63"/>
  <c r="T67" i="63" s="1"/>
  <c r="AG75" i="63"/>
  <c r="AG84" i="63"/>
  <c r="T84" i="63" s="1"/>
  <c r="AG92" i="63"/>
  <c r="AG100" i="63"/>
  <c r="AG108" i="63"/>
  <c r="T108" i="63" s="1"/>
  <c r="AG116" i="63"/>
  <c r="AG124" i="63"/>
  <c r="AG132" i="63"/>
  <c r="AG140" i="63"/>
  <c r="AG148" i="63"/>
  <c r="T148" i="63" s="1"/>
  <c r="AG156" i="63"/>
  <c r="T156" i="63" s="1"/>
  <c r="AG164" i="63"/>
  <c r="AG172" i="63"/>
  <c r="T172" i="63" s="1"/>
  <c r="AG180" i="63"/>
  <c r="T180" i="63" s="1"/>
  <c r="AG188" i="63"/>
  <c r="T188" i="63" s="1"/>
  <c r="AG196" i="63"/>
  <c r="AG203" i="63"/>
  <c r="T203" i="63" s="1"/>
  <c r="AG208" i="63"/>
  <c r="T208" i="63" s="1"/>
  <c r="AG214" i="63"/>
  <c r="AG219" i="63"/>
  <c r="AG224" i="63"/>
  <c r="T224" i="63" s="1"/>
  <c r="AG230" i="63"/>
  <c r="AG235" i="63"/>
  <c r="AG240" i="63"/>
  <c r="AG246" i="63"/>
  <c r="AG251" i="63"/>
  <c r="AG256" i="63"/>
  <c r="T256" i="63" s="1"/>
  <c r="AG262" i="63"/>
  <c r="AG276" i="63"/>
  <c r="AG281" i="63"/>
  <c r="AG287" i="63"/>
  <c r="AG292" i="63"/>
  <c r="AG297" i="63"/>
  <c r="AG303" i="63"/>
  <c r="AG308" i="63"/>
  <c r="AG313" i="63"/>
  <c r="AG319" i="63"/>
  <c r="AG324" i="63"/>
  <c r="AG328" i="63"/>
  <c r="AG332" i="63"/>
  <c r="AG336" i="63"/>
  <c r="AG340" i="63"/>
  <c r="AG344" i="63"/>
  <c r="AG348" i="63"/>
  <c r="AG352" i="63"/>
  <c r="AG356" i="63"/>
  <c r="AG360" i="63"/>
  <c r="AG364" i="63"/>
  <c r="AG368" i="63"/>
  <c r="AG372" i="63"/>
  <c r="AG376" i="63"/>
  <c r="AG380" i="63"/>
  <c r="AG384" i="63"/>
  <c r="AG388" i="63"/>
  <c r="AG392" i="63"/>
  <c r="AG396" i="63"/>
  <c r="AG400" i="63"/>
  <c r="AG404" i="63"/>
  <c r="AG408" i="63"/>
  <c r="AG412" i="63"/>
  <c r="AG459" i="63"/>
  <c r="T459" i="63" s="1"/>
  <c r="AG463" i="63"/>
  <c r="T463" i="63" s="1"/>
  <c r="AG467" i="63"/>
  <c r="AG471" i="63"/>
  <c r="T471" i="63" s="1"/>
  <c r="AG475" i="63"/>
  <c r="T475" i="63" s="1"/>
  <c r="AG479" i="63"/>
  <c r="T479" i="63" s="1"/>
  <c r="AG483" i="63"/>
  <c r="AG487" i="63"/>
  <c r="T487" i="63" s="1"/>
  <c r="AG491" i="63"/>
  <c r="T491" i="63" s="1"/>
  <c r="AG495" i="63"/>
  <c r="T495" i="63" s="1"/>
  <c r="AG499" i="63"/>
  <c r="T499" i="63" s="1"/>
  <c r="AG503" i="63"/>
  <c r="AG507" i="63"/>
  <c r="AG511" i="63"/>
  <c r="AG515" i="63"/>
  <c r="AG519" i="63"/>
  <c r="AG522" i="63"/>
  <c r="AG526" i="63"/>
  <c r="AG530" i="63"/>
  <c r="AG534" i="63"/>
  <c r="AG538" i="63"/>
  <c r="AG542" i="63"/>
  <c r="AG546" i="63"/>
  <c r="AG550" i="63"/>
  <c r="AG554" i="63"/>
  <c r="AG558" i="63"/>
  <c r="AG562" i="63"/>
  <c r="AG566" i="63"/>
  <c r="AG570" i="63"/>
  <c r="AG574" i="63"/>
  <c r="AG578" i="63"/>
  <c r="AG582" i="63"/>
  <c r="AG586" i="63"/>
  <c r="AG590" i="63"/>
  <c r="AG594" i="63"/>
  <c r="AG598" i="63"/>
  <c r="AG22" i="63"/>
  <c r="AG30" i="63"/>
  <c r="T30" i="63" s="1"/>
  <c r="AG38" i="63"/>
  <c r="AG46" i="63"/>
  <c r="AG54" i="63"/>
  <c r="T54" i="63" s="1"/>
  <c r="AG62" i="63"/>
  <c r="T62" i="63" s="1"/>
  <c r="AG70" i="63"/>
  <c r="AG78" i="63"/>
  <c r="AG87" i="63"/>
  <c r="T87" i="63" s="1"/>
  <c r="AG95" i="63"/>
  <c r="AG103" i="63"/>
  <c r="T103" i="63" s="1"/>
  <c r="AG111" i="63"/>
  <c r="AG119" i="63"/>
  <c r="AG127" i="63"/>
  <c r="AG135" i="63"/>
  <c r="T135" i="63" s="1"/>
  <c r="AG143" i="63"/>
  <c r="T143" i="63" s="1"/>
  <c r="AG151" i="63"/>
  <c r="T151" i="63" s="1"/>
  <c r="AG159" i="63"/>
  <c r="AG167" i="63"/>
  <c r="T167" i="63" s="1"/>
  <c r="AG175" i="63"/>
  <c r="T175" i="63" s="1"/>
  <c r="AG183" i="63"/>
  <c r="AG191" i="63"/>
  <c r="T191" i="63" s="1"/>
  <c r="AG199" i="63"/>
  <c r="T199" i="63" s="1"/>
  <c r="AG204" i="63"/>
  <c r="AG210" i="63"/>
  <c r="AG215" i="63"/>
  <c r="AG220" i="63"/>
  <c r="AG226" i="63"/>
  <c r="AG231" i="63"/>
  <c r="T231" i="63" s="1"/>
  <c r="AG236" i="63"/>
  <c r="T236" i="63" s="1"/>
  <c r="AG242" i="63"/>
  <c r="AG247" i="63"/>
  <c r="AG252" i="63"/>
  <c r="AG258" i="63"/>
  <c r="AG263" i="63"/>
  <c r="AG277" i="63"/>
  <c r="AG283" i="63"/>
  <c r="AG288" i="63"/>
  <c r="AG293" i="63"/>
  <c r="AG299" i="63"/>
  <c r="AG304" i="63"/>
  <c r="AG309" i="63"/>
  <c r="AG315" i="63"/>
  <c r="AG320" i="63"/>
  <c r="AG325" i="63"/>
  <c r="AG329" i="63"/>
  <c r="AG333" i="63"/>
  <c r="AG337" i="63"/>
  <c r="AG341" i="63"/>
  <c r="AG345" i="63"/>
  <c r="AG349" i="63"/>
  <c r="AG353" i="63"/>
  <c r="AG357" i="63"/>
  <c r="AG361" i="63"/>
  <c r="AG365" i="63"/>
  <c r="AG369" i="63"/>
  <c r="AG373" i="63"/>
  <c r="AG377" i="63"/>
  <c r="AG381" i="63"/>
  <c r="AG385" i="63"/>
  <c r="AG389" i="63"/>
  <c r="AG393" i="63"/>
  <c r="AG397" i="63"/>
  <c r="AG401" i="63"/>
  <c r="AG405" i="63"/>
  <c r="AG409" i="63"/>
  <c r="AG456" i="63"/>
  <c r="T456" i="63" s="1"/>
  <c r="AG460" i="63"/>
  <c r="T460" i="63" s="1"/>
  <c r="AG464" i="63"/>
  <c r="T464" i="63" s="1"/>
  <c r="AG468" i="63"/>
  <c r="T468" i="63" s="1"/>
  <c r="AG472" i="63"/>
  <c r="T472" i="63" s="1"/>
  <c r="AG476" i="63"/>
  <c r="T476" i="63" s="1"/>
  <c r="AG480" i="63"/>
  <c r="T480" i="63" s="1"/>
  <c r="AG484" i="63"/>
  <c r="T484" i="63" s="1"/>
  <c r="AG488" i="63"/>
  <c r="T488" i="63" s="1"/>
  <c r="AG492" i="63"/>
  <c r="T492" i="63" s="1"/>
  <c r="AG496" i="63"/>
  <c r="T496" i="63" s="1"/>
  <c r="AG500" i="63"/>
  <c r="T500" i="63" s="1"/>
  <c r="AG504" i="63"/>
  <c r="AG508" i="63"/>
  <c r="AG512" i="63"/>
  <c r="AG516" i="63"/>
  <c r="AG523" i="63"/>
  <c r="AG527" i="63"/>
  <c r="AG531" i="63"/>
  <c r="AG535" i="63"/>
  <c r="AG539" i="63"/>
  <c r="AG543" i="63"/>
  <c r="AG547" i="63"/>
  <c r="AG551" i="63"/>
  <c r="AG555" i="63"/>
  <c r="AG559" i="63"/>
  <c r="AG563" i="63"/>
  <c r="AG567" i="63"/>
  <c r="AG571" i="63"/>
  <c r="AG575" i="63"/>
  <c r="AG579" i="63"/>
  <c r="AG583" i="63"/>
  <c r="AG587" i="63"/>
  <c r="AG591" i="63"/>
  <c r="AG595" i="63"/>
  <c r="AG599" i="63"/>
  <c r="AG603" i="63"/>
  <c r="AG607" i="63"/>
  <c r="AG611" i="63"/>
  <c r="AG615" i="63"/>
  <c r="AG619" i="63"/>
  <c r="AG623" i="63"/>
  <c r="AG627" i="63"/>
  <c r="AG631" i="63"/>
  <c r="AG635" i="63"/>
  <c r="AG639" i="63"/>
  <c r="AG643" i="63"/>
  <c r="AG647" i="63"/>
  <c r="AG651" i="63"/>
  <c r="AG655" i="63"/>
  <c r="AG659" i="63"/>
  <c r="AG663" i="63"/>
  <c r="AG667" i="63"/>
  <c r="AG671" i="63"/>
  <c r="AG675" i="63"/>
  <c r="AG679" i="63"/>
  <c r="AG683" i="63"/>
  <c r="AG687" i="63"/>
  <c r="AG691" i="63"/>
  <c r="AG695" i="63"/>
  <c r="AG699" i="63"/>
  <c r="AG15" i="63"/>
  <c r="T15" i="63" s="1"/>
  <c r="AG23" i="63"/>
  <c r="AG31" i="63"/>
  <c r="AG39" i="63"/>
  <c r="AG47" i="63"/>
  <c r="AG55" i="63"/>
  <c r="AG63" i="63"/>
  <c r="T63" i="63" s="1"/>
  <c r="AG71" i="63"/>
  <c r="T71" i="63" s="1"/>
  <c r="AG79" i="63"/>
  <c r="AG88" i="63"/>
  <c r="T88" i="63" s="1"/>
  <c r="AG96" i="63"/>
  <c r="AG104" i="63"/>
  <c r="T104" i="63" s="1"/>
  <c r="AG112" i="63"/>
  <c r="AG120" i="63"/>
  <c r="AG128" i="63"/>
  <c r="AG136" i="63"/>
  <c r="T136" i="63" s="1"/>
  <c r="AG144" i="63"/>
  <c r="T144" i="63" s="1"/>
  <c r="AG152" i="63"/>
  <c r="T152" i="63" s="1"/>
  <c r="AG160" i="63"/>
  <c r="T160" i="63" s="1"/>
  <c r="AG168" i="63"/>
  <c r="T168" i="63" s="1"/>
  <c r="AG176" i="63"/>
  <c r="T176" i="63" s="1"/>
  <c r="AG184" i="63"/>
  <c r="T184" i="63" s="1"/>
  <c r="AG192" i="63"/>
  <c r="AG200" i="63"/>
  <c r="T200" i="63" s="1"/>
  <c r="AG206" i="63"/>
  <c r="AG211" i="63"/>
  <c r="T211" i="63" s="1"/>
  <c r="AG216" i="63"/>
  <c r="T216" i="63" s="1"/>
  <c r="AG222" i="63"/>
  <c r="T222" i="63" s="1"/>
  <c r="AG227" i="63"/>
  <c r="AG232" i="63"/>
  <c r="T232" i="63" s="1"/>
  <c r="AG238" i="63"/>
  <c r="T238" i="63" s="1"/>
  <c r="AG243" i="63"/>
  <c r="AG248" i="63"/>
  <c r="AG254" i="63"/>
  <c r="AG259" i="63"/>
  <c r="AG279" i="63"/>
  <c r="AG284" i="63"/>
  <c r="AG289" i="63"/>
  <c r="AG295" i="63"/>
  <c r="AG300" i="63"/>
  <c r="AG305" i="63"/>
  <c r="AG311" i="63"/>
  <c r="AG316" i="63"/>
  <c r="AG321" i="63"/>
  <c r="AG326" i="63"/>
  <c r="AG330" i="63"/>
  <c r="AG334" i="63"/>
  <c r="AG338" i="63"/>
  <c r="AG342" i="63"/>
  <c r="AG346" i="63"/>
  <c r="AG350" i="63"/>
  <c r="AG354" i="63"/>
  <c r="AG358" i="63"/>
  <c r="AG362" i="63"/>
  <c r="AG366" i="63"/>
  <c r="AG370" i="63"/>
  <c r="AG374" i="63"/>
  <c r="AG378" i="63"/>
  <c r="AG382" i="63"/>
  <c r="AG386" i="63"/>
  <c r="AG390" i="63"/>
  <c r="AG394" i="63"/>
  <c r="AG398" i="63"/>
  <c r="AG402" i="63"/>
  <c r="AG406" i="63"/>
  <c r="AG410" i="63"/>
  <c r="AG457" i="63"/>
  <c r="T457" i="63" s="1"/>
  <c r="AG461" i="63"/>
  <c r="T461" i="63" s="1"/>
  <c r="AG465" i="63"/>
  <c r="T465" i="63" s="1"/>
  <c r="AG469" i="63"/>
  <c r="T469" i="63" s="1"/>
  <c r="AG473" i="63"/>
  <c r="T473" i="63" s="1"/>
  <c r="AG477" i="63"/>
  <c r="T477" i="63" s="1"/>
  <c r="AG481" i="63"/>
  <c r="AG485" i="63"/>
  <c r="T485" i="63" s="1"/>
  <c r="AG489" i="63"/>
  <c r="T489" i="63" s="1"/>
  <c r="AG493" i="63"/>
  <c r="T493" i="63" s="1"/>
  <c r="AG497" i="63"/>
  <c r="T497" i="63" s="1"/>
  <c r="AG501" i="63"/>
  <c r="T501" i="63" s="1"/>
  <c r="AG505" i="63"/>
  <c r="AG509" i="63"/>
  <c r="AG513" i="63"/>
  <c r="AG517" i="63"/>
  <c r="AG520" i="63"/>
  <c r="AG524" i="63"/>
  <c r="AG528" i="63"/>
  <c r="AG532" i="63"/>
  <c r="AG536" i="63"/>
  <c r="AG540" i="63"/>
  <c r="AG544" i="63"/>
  <c r="AG548" i="63"/>
  <c r="AG552" i="63"/>
  <c r="AG556" i="63"/>
  <c r="AG560" i="63"/>
  <c r="AG564" i="63"/>
  <c r="AG568" i="63"/>
  <c r="AG572" i="63"/>
  <c r="AG576" i="63"/>
  <c r="AG580" i="63"/>
  <c r="AG584" i="63"/>
  <c r="AG588" i="63"/>
  <c r="AG592" i="63"/>
  <c r="AG596" i="63"/>
  <c r="AG600" i="63"/>
  <c r="AG604" i="63"/>
  <c r="AG608" i="63"/>
  <c r="AG612" i="63"/>
  <c r="AG616" i="63"/>
  <c r="AG620" i="63"/>
  <c r="AG624" i="63"/>
  <c r="AG628" i="63"/>
  <c r="AG632" i="63"/>
  <c r="AG636" i="63"/>
  <c r="AG640" i="63"/>
  <c r="AG644" i="63"/>
  <c r="AG648" i="63"/>
  <c r="AG652" i="63"/>
  <c r="AG656" i="63"/>
  <c r="AG660" i="63"/>
  <c r="AG664" i="63"/>
  <c r="AG668" i="63"/>
  <c r="AG672" i="63"/>
  <c r="AG676" i="63"/>
  <c r="AG680" i="63"/>
  <c r="AG684" i="63"/>
  <c r="AG688" i="63"/>
  <c r="AG692" i="63"/>
  <c r="AG696" i="63"/>
  <c r="AG18" i="63"/>
  <c r="AG50" i="63"/>
  <c r="AG83" i="63"/>
  <c r="T83" i="63" s="1"/>
  <c r="AG115" i="63"/>
  <c r="AG147" i="63"/>
  <c r="T147" i="63" s="1"/>
  <c r="AG179" i="63"/>
  <c r="AG207" i="63"/>
  <c r="T207" i="63" s="1"/>
  <c r="AG228" i="63"/>
  <c r="AG250" i="63"/>
  <c r="AG280" i="63"/>
  <c r="AG301" i="63"/>
  <c r="AG323" i="63"/>
  <c r="AG339" i="63"/>
  <c r="AG355" i="63"/>
  <c r="AG371" i="63"/>
  <c r="AG387" i="63"/>
  <c r="AG403" i="63"/>
  <c r="AG462" i="63"/>
  <c r="T462" i="63" s="1"/>
  <c r="AG478" i="63"/>
  <c r="T478" i="63" s="1"/>
  <c r="AG494" i="63"/>
  <c r="T494" i="63" s="1"/>
  <c r="AG510" i="63"/>
  <c r="AG525" i="63"/>
  <c r="AG541" i="63"/>
  <c r="AG557" i="63"/>
  <c r="AG573" i="63"/>
  <c r="AG589" i="63"/>
  <c r="AG602" i="63"/>
  <c r="AG610" i="63"/>
  <c r="AG618" i="63"/>
  <c r="AG626" i="63"/>
  <c r="AG634" i="63"/>
  <c r="AG642" i="63"/>
  <c r="AG650" i="63"/>
  <c r="AG658" i="63"/>
  <c r="AG666" i="63"/>
  <c r="AG674" i="63"/>
  <c r="AG682" i="63"/>
  <c r="AG690" i="63"/>
  <c r="AG698" i="63"/>
  <c r="AG703" i="63"/>
  <c r="AG707" i="63"/>
  <c r="AG711" i="63"/>
  <c r="AG715" i="63"/>
  <c r="AG719" i="63"/>
  <c r="AG723" i="63"/>
  <c r="AG727" i="63"/>
  <c r="AG731" i="63"/>
  <c r="AG735" i="63"/>
  <c r="AG739" i="63"/>
  <c r="AG743" i="63"/>
  <c r="AG747" i="63"/>
  <c r="AG751" i="63"/>
  <c r="AG755" i="63"/>
  <c r="AG759" i="63"/>
  <c r="AG763" i="63"/>
  <c r="AG767" i="63"/>
  <c r="AG771" i="63"/>
  <c r="AG775" i="63"/>
  <c r="AG779" i="63"/>
  <c r="AG783" i="63"/>
  <c r="AG787" i="63"/>
  <c r="AG791" i="63"/>
  <c r="AG795" i="63"/>
  <c r="AG799" i="63"/>
  <c r="AG803" i="63"/>
  <c r="AG807" i="63"/>
  <c r="AG811" i="63"/>
  <c r="AG26" i="63"/>
  <c r="AG58" i="63"/>
  <c r="T58" i="63" s="1"/>
  <c r="AG91" i="63"/>
  <c r="AG123" i="63"/>
  <c r="AG155" i="63"/>
  <c r="T155" i="63" s="1"/>
  <c r="AG187" i="63"/>
  <c r="AG212" i="63"/>
  <c r="AG234" i="63"/>
  <c r="AG255" i="63"/>
  <c r="T255" i="63" s="1"/>
  <c r="AG285" i="63"/>
  <c r="AG307" i="63"/>
  <c r="AG327" i="63"/>
  <c r="AG343" i="63"/>
  <c r="AG359" i="63"/>
  <c r="AG375" i="63"/>
  <c r="AG391" i="63"/>
  <c r="AG407" i="63"/>
  <c r="AG466" i="63"/>
  <c r="AG482" i="63"/>
  <c r="AG498" i="63"/>
  <c r="T498" i="63" s="1"/>
  <c r="AG514" i="63"/>
  <c r="AG529" i="63"/>
  <c r="AG545" i="63"/>
  <c r="AG561" i="63"/>
  <c r="AG577" i="63"/>
  <c r="AG593" i="63"/>
  <c r="AG605" i="63"/>
  <c r="AG613" i="63"/>
  <c r="AG621" i="63"/>
  <c r="AG629" i="63"/>
  <c r="AG637" i="63"/>
  <c r="AG645" i="63"/>
  <c r="AG653" i="63"/>
  <c r="AG661" i="63"/>
  <c r="AG669" i="63"/>
  <c r="AG677" i="63"/>
  <c r="AG685" i="63"/>
  <c r="AG693" i="63"/>
  <c r="AG700" i="63"/>
  <c r="AG704" i="63"/>
  <c r="AG708" i="63"/>
  <c r="AG712" i="63"/>
  <c r="AG716" i="63"/>
  <c r="AG720" i="63"/>
  <c r="AG724" i="63"/>
  <c r="AG728" i="63"/>
  <c r="AG732" i="63"/>
  <c r="AG736" i="63"/>
  <c r="AG740" i="63"/>
  <c r="AG744" i="63"/>
  <c r="AG748" i="63"/>
  <c r="AG752" i="63"/>
  <c r="AG756" i="63"/>
  <c r="AG760" i="63"/>
  <c r="AG764" i="63"/>
  <c r="AG768" i="63"/>
  <c r="AG772" i="63"/>
  <c r="AG776" i="63"/>
  <c r="AG780" i="63"/>
  <c r="AG784" i="63"/>
  <c r="AG788" i="63"/>
  <c r="AG792" i="63"/>
  <c r="AG796" i="63"/>
  <c r="AG800" i="63"/>
  <c r="AG804" i="63"/>
  <c r="AG808" i="63"/>
  <c r="AG14" i="63"/>
  <c r="AG139" i="63"/>
  <c r="T139" i="63" s="1"/>
  <c r="AG244" i="63"/>
  <c r="AG296" i="63"/>
  <c r="AG335" i="63"/>
  <c r="AG367" i="63"/>
  <c r="AG399" i="63"/>
  <c r="AG474" i="63"/>
  <c r="AG506" i="63"/>
  <c r="AG537" i="63"/>
  <c r="AG569" i="63"/>
  <c r="AG601" i="63"/>
  <c r="AG609" i="63"/>
  <c r="AG625" i="63"/>
  <c r="AG641" i="63"/>
  <c r="AG649" i="63"/>
  <c r="AG665" i="63"/>
  <c r="AG673" i="63"/>
  <c r="AG681" i="63"/>
  <c r="AG697" i="63"/>
  <c r="AG702" i="63"/>
  <c r="AG706" i="63"/>
  <c r="AG710" i="63"/>
  <c r="AG718" i="63"/>
  <c r="AG722" i="63"/>
  <c r="AG726" i="63"/>
  <c r="AG730" i="63"/>
  <c r="AG738" i="63"/>
  <c r="AG742" i="63"/>
  <c r="AG746" i="63"/>
  <c r="AG754" i="63"/>
  <c r="AG758" i="63"/>
  <c r="AG762" i="63"/>
  <c r="AG770" i="63"/>
  <c r="AG774" i="63"/>
  <c r="AG782" i="63"/>
  <c r="AG786" i="63"/>
  <c r="AG790" i="63"/>
  <c r="AG798" i="63"/>
  <c r="AG802" i="63"/>
  <c r="AG806" i="63"/>
  <c r="AG34" i="63"/>
  <c r="AG66" i="63"/>
  <c r="T66" i="63" s="1"/>
  <c r="AG99" i="63"/>
  <c r="AG131" i="63"/>
  <c r="T131" i="63" s="1"/>
  <c r="AG163" i="63"/>
  <c r="T163" i="63" s="1"/>
  <c r="AG195" i="63"/>
  <c r="T195" i="63" s="1"/>
  <c r="AG218" i="63"/>
  <c r="AG239" i="63"/>
  <c r="AG260" i="63"/>
  <c r="AG291" i="63"/>
  <c r="AG312" i="63"/>
  <c r="AG331" i="63"/>
  <c r="AG347" i="63"/>
  <c r="AG363" i="63"/>
  <c r="AG379" i="63"/>
  <c r="AG395" i="63"/>
  <c r="AG411" i="63"/>
  <c r="AG470" i="63"/>
  <c r="T470" i="63" s="1"/>
  <c r="AG486" i="63"/>
  <c r="T486" i="63" s="1"/>
  <c r="AG502" i="63"/>
  <c r="AG518" i="63"/>
  <c r="AG533" i="63"/>
  <c r="AG549" i="63"/>
  <c r="AG565" i="63"/>
  <c r="AG581" i="63"/>
  <c r="AG597" i="63"/>
  <c r="AG606" i="63"/>
  <c r="AG614" i="63"/>
  <c r="AG622" i="63"/>
  <c r="AG630" i="63"/>
  <c r="AG638" i="63"/>
  <c r="AG646" i="63"/>
  <c r="AG654" i="63"/>
  <c r="AG662" i="63"/>
  <c r="AG670" i="63"/>
  <c r="AG678" i="63"/>
  <c r="AG686" i="63"/>
  <c r="AG694" i="63"/>
  <c r="AG701" i="63"/>
  <c r="AG705" i="63"/>
  <c r="AG709" i="63"/>
  <c r="AG713" i="63"/>
  <c r="AG717" i="63"/>
  <c r="AG721" i="63"/>
  <c r="AG725" i="63"/>
  <c r="AG729" i="63"/>
  <c r="AG733" i="63"/>
  <c r="AG737" i="63"/>
  <c r="AG741" i="63"/>
  <c r="AG745" i="63"/>
  <c r="AG749" i="63"/>
  <c r="AG753" i="63"/>
  <c r="AG757" i="63"/>
  <c r="AG761" i="63"/>
  <c r="AG765" i="63"/>
  <c r="AG769" i="63"/>
  <c r="AG773" i="63"/>
  <c r="AG777" i="63"/>
  <c r="AG781" i="63"/>
  <c r="AG785" i="63"/>
  <c r="AG789" i="63"/>
  <c r="AG793" i="63"/>
  <c r="AG797" i="63"/>
  <c r="AG801" i="63"/>
  <c r="AG805" i="63"/>
  <c r="AG809" i="63"/>
  <c r="AG42" i="63"/>
  <c r="T42" i="63" s="1"/>
  <c r="AG74" i="63"/>
  <c r="AG107" i="63"/>
  <c r="T107" i="63" s="1"/>
  <c r="AG171" i="63"/>
  <c r="T171" i="63" s="1"/>
  <c r="AG202" i="63"/>
  <c r="T202" i="63" s="1"/>
  <c r="AG223" i="63"/>
  <c r="AG275" i="63"/>
  <c r="AG317" i="63"/>
  <c r="AG351" i="63"/>
  <c r="AG383" i="63"/>
  <c r="AG458" i="63"/>
  <c r="T458" i="63" s="1"/>
  <c r="AG490" i="63"/>
  <c r="T490" i="63" s="1"/>
  <c r="AG521" i="63"/>
  <c r="AG553" i="63"/>
  <c r="AG585" i="63"/>
  <c r="AG617" i="63"/>
  <c r="AG633" i="63"/>
  <c r="AG657" i="63"/>
  <c r="AG689" i="63"/>
  <c r="AG714" i="63"/>
  <c r="AG734" i="63"/>
  <c r="AG750" i="63"/>
  <c r="AG766" i="63"/>
  <c r="AG778" i="63"/>
  <c r="AG794" i="63"/>
  <c r="AG810" i="63"/>
  <c r="AE777" i="63"/>
  <c r="U827" i="63"/>
  <c r="H28" i="2" s="1"/>
  <c r="D15" i="73" s="1"/>
  <c r="F15" i="73" s="1"/>
  <c r="AE779" i="63"/>
  <c r="U828" i="63"/>
  <c r="AD778" i="63"/>
  <c r="AD399" i="63"/>
  <c r="AD379" i="63"/>
  <c r="AE226" i="63"/>
  <c r="AE25" i="63"/>
  <c r="O983" i="63"/>
  <c r="R983" i="63" s="1"/>
  <c r="AD786" i="63"/>
  <c r="L68" i="27"/>
  <c r="L63" i="82" s="1"/>
  <c r="P71" i="27"/>
  <c r="P66" i="82" s="1"/>
  <c r="F226" i="66"/>
  <c r="F228" i="66"/>
  <c r="P66" i="27"/>
  <c r="P61" i="82" s="1"/>
  <c r="F161" i="4"/>
  <c r="N35" i="2"/>
  <c r="R984" i="63"/>
  <c r="K132" i="64"/>
  <c r="E211" i="66"/>
  <c r="D209" i="66"/>
  <c r="F157" i="4"/>
  <c r="F162" i="4"/>
  <c r="E212" i="66"/>
  <c r="F165" i="4"/>
  <c r="F158" i="4"/>
  <c r="P822" i="63"/>
  <c r="AE372" i="63"/>
  <c r="AE340" i="63"/>
  <c r="AD334" i="63"/>
  <c r="AE318" i="63"/>
  <c r="AD303" i="63"/>
  <c r="AD301" i="63"/>
  <c r="AD234" i="63"/>
  <c r="AE229" i="63"/>
  <c r="AE200" i="63"/>
  <c r="AE144" i="63"/>
  <c r="AE384" i="63"/>
  <c r="AE336" i="63"/>
  <c r="AE302" i="63"/>
  <c r="AE256" i="63"/>
  <c r="AE235" i="63"/>
  <c r="AE185" i="63"/>
  <c r="AE93" i="63"/>
  <c r="AE85" i="63"/>
  <c r="AD53" i="63"/>
  <c r="AE391" i="63"/>
  <c r="AD375" i="63"/>
  <c r="AE255" i="63"/>
  <c r="AE189" i="63"/>
  <c r="AE186" i="63"/>
  <c r="AD140" i="63"/>
  <c r="AD103" i="63"/>
  <c r="AD94" i="63"/>
  <c r="AE86" i="63"/>
  <c r="AD41" i="63"/>
  <c r="B8" i="53"/>
  <c r="AL40" i="2"/>
  <c r="M24" i="66"/>
  <c r="F104" i="72"/>
  <c r="P28" i="66"/>
  <c r="D12" i="19"/>
  <c r="P26" i="66"/>
  <c r="D10" i="19"/>
  <c r="E107" i="72"/>
  <c r="L40" i="66"/>
  <c r="E121" i="72"/>
  <c r="C38" i="19"/>
  <c r="D102" i="72"/>
  <c r="E12" i="36"/>
  <c r="E120" i="72"/>
  <c r="B55" i="2"/>
  <c r="K53" i="66" s="1"/>
  <c r="J53" i="66" s="1"/>
  <c r="F36" i="19"/>
  <c r="V54" i="2"/>
  <c r="B6" i="53"/>
  <c r="D101" i="72"/>
  <c r="E11" i="36"/>
  <c r="D97" i="72"/>
  <c r="C9" i="2"/>
  <c r="I107" i="72"/>
  <c r="I12" i="4"/>
  <c r="K90" i="4"/>
  <c r="D100" i="72"/>
  <c r="W12" i="2"/>
  <c r="V31" i="66"/>
  <c r="S15" i="2"/>
  <c r="C10" i="36"/>
  <c r="G103" i="72"/>
  <c r="Q31" i="66"/>
  <c r="G102" i="72"/>
  <c r="Q30" i="66"/>
  <c r="H105" i="72"/>
  <c r="R38" i="66"/>
  <c r="I106" i="72"/>
  <c r="S39" i="66"/>
  <c r="H16" i="36"/>
  <c r="U28" i="2"/>
  <c r="M39" i="66"/>
  <c r="E122" i="72"/>
  <c r="C39" i="19"/>
  <c r="J15" i="4"/>
  <c r="L71" i="27"/>
  <c r="L66" i="82" s="1"/>
  <c r="AD176" i="63"/>
  <c r="I468" i="27"/>
  <c r="I170" i="82" s="1"/>
  <c r="D1232" i="70"/>
  <c r="E46" i="7" s="1"/>
  <c r="W42" i="7" s="1"/>
  <c r="AE819" i="63"/>
  <c r="F1" i="43"/>
  <c r="M198" i="66"/>
  <c r="N198" i="66" s="1"/>
  <c r="I193" i="66" s="1"/>
  <c r="T193" i="66" s="1"/>
  <c r="AT193" i="66" s="1"/>
  <c r="P265" i="27"/>
  <c r="P141" i="82" s="1"/>
  <c r="C8" i="7"/>
  <c r="C1232" i="70"/>
  <c r="D46" i="7" s="1"/>
  <c r="W41" i="7" s="1"/>
  <c r="AD819" i="63"/>
  <c r="C133" i="82"/>
  <c r="I133" i="82"/>
  <c r="C121" i="82"/>
  <c r="P81" i="27"/>
  <c r="P76" i="82" s="1"/>
  <c r="P123" i="27"/>
  <c r="P88" i="82" s="1"/>
  <c r="P163" i="82"/>
  <c r="P263" i="27"/>
  <c r="P139" i="82" s="1"/>
  <c r="C132" i="82"/>
  <c r="C124" i="82"/>
  <c r="I124" i="82"/>
  <c r="C120" i="82"/>
  <c r="C116" i="82"/>
  <c r="C113" i="82"/>
  <c r="C109" i="82"/>
  <c r="P245" i="27"/>
  <c r="P121" i="82" s="1"/>
  <c r="P141" i="27"/>
  <c r="P96" i="82" s="1"/>
  <c r="P109" i="27"/>
  <c r="P84" i="82" s="1"/>
  <c r="P155" i="82"/>
  <c r="P283" i="27"/>
  <c r="P151" i="82" s="1"/>
  <c r="P249" i="27"/>
  <c r="P125" i="82" s="1"/>
  <c r="C131" i="82"/>
  <c r="I131" i="82"/>
  <c r="C127" i="82"/>
  <c r="C119" i="82"/>
  <c r="C115" i="82"/>
  <c r="C111" i="82"/>
  <c r="C129" i="82"/>
  <c r="C117" i="82"/>
  <c r="C105" i="82"/>
  <c r="P231" i="27"/>
  <c r="P117" i="82" s="1"/>
  <c r="P279" i="27"/>
  <c r="P147" i="82" s="1"/>
  <c r="P257" i="27"/>
  <c r="P133" i="82" s="1"/>
  <c r="C104" i="82"/>
  <c r="C130" i="82"/>
  <c r="I130" i="82"/>
  <c r="C122" i="82"/>
  <c r="C114" i="82"/>
  <c r="C106" i="82"/>
  <c r="F156" i="4"/>
  <c r="F160" i="4"/>
  <c r="F164" i="4"/>
  <c r="F155" i="4"/>
  <c r="F159" i="4"/>
  <c r="F163" i="4"/>
  <c r="F167" i="4"/>
  <c r="V42" i="66"/>
  <c r="V49" i="66"/>
  <c r="V47" i="66"/>
  <c r="X47" i="66" s="1"/>
  <c r="S40" i="2"/>
  <c r="V45" i="66"/>
  <c r="X45" i="66" s="1"/>
  <c r="V52" i="66"/>
  <c r="S54" i="2"/>
  <c r="T54" i="2" s="1"/>
  <c r="AT54" i="2" s="1"/>
  <c r="V54" i="66"/>
  <c r="S56" i="2"/>
  <c r="T56" i="2" s="1"/>
  <c r="AT56" i="2" s="1"/>
  <c r="D3" i="60"/>
  <c r="W23" i="66"/>
  <c r="L7" i="72"/>
  <c r="N8" i="4"/>
  <c r="L164" i="66" s="1"/>
  <c r="AD101" i="63"/>
  <c r="AE101" i="63"/>
  <c r="H13" i="2"/>
  <c r="L62" i="27"/>
  <c r="L57" i="82" s="1"/>
  <c r="L70" i="27"/>
  <c r="L65" i="82" s="1"/>
  <c r="D14" i="3"/>
  <c r="V41" i="2"/>
  <c r="F251" i="60"/>
  <c r="J22" i="19"/>
  <c r="W46" i="66"/>
  <c r="W41" i="66"/>
  <c r="V41" i="66"/>
  <c r="V43" i="66"/>
  <c r="V50" i="66"/>
  <c r="V48" i="66"/>
  <c r="S41" i="2"/>
  <c r="V46" i="66"/>
  <c r="V44" i="66"/>
  <c r="V51" i="66"/>
  <c r="X51" i="66" s="1"/>
  <c r="V55" i="66"/>
  <c r="S57" i="2"/>
  <c r="T57" i="2" s="1"/>
  <c r="AT57" i="2" s="1"/>
  <c r="V53" i="66"/>
  <c r="S55" i="2"/>
  <c r="T55" i="2" s="1"/>
  <c r="AT55" i="2" s="1"/>
  <c r="J42" i="4"/>
  <c r="J135" i="64"/>
  <c r="D1" i="19"/>
  <c r="L1232" i="70"/>
  <c r="M46" i="7" s="1"/>
  <c r="W50" i="7" s="1"/>
  <c r="K1232" i="70"/>
  <c r="L46" i="7" s="1"/>
  <c r="W49" i="7" s="1"/>
  <c r="N1232" i="70"/>
  <c r="O46" i="7" s="1"/>
  <c r="W52" i="7" s="1"/>
  <c r="N37" i="72"/>
  <c r="H73" i="72"/>
  <c r="K125" i="81"/>
  <c r="AD229" i="63"/>
  <c r="P820" i="63"/>
  <c r="J245" i="60"/>
  <c r="AJ14" i="2"/>
  <c r="AI14" i="2"/>
  <c r="AH14" i="2"/>
  <c r="B13" i="73"/>
  <c r="AH15" i="2"/>
  <c r="AJ15" i="2"/>
  <c r="AI15" i="2"/>
  <c r="K37" i="66"/>
  <c r="K28" i="66"/>
  <c r="J28" i="66" s="1"/>
  <c r="C12" i="2"/>
  <c r="AJ12" i="2"/>
  <c r="AH12" i="2"/>
  <c r="AI12" i="2"/>
  <c r="E14" i="36"/>
  <c r="E10" i="36"/>
  <c r="AJ13" i="2"/>
  <c r="AI13" i="2"/>
  <c r="AH13" i="2"/>
  <c r="I9" i="4"/>
  <c r="I10" i="4" s="1"/>
  <c r="V38" i="66"/>
  <c r="S27" i="2"/>
  <c r="H107" i="72"/>
  <c r="V40" i="66"/>
  <c r="S29" i="2"/>
  <c r="V39" i="66"/>
  <c r="S28" i="2"/>
  <c r="AL27" i="2"/>
  <c r="E105" i="72"/>
  <c r="J236" i="60"/>
  <c r="Z14" i="2"/>
  <c r="F18" i="60"/>
  <c r="E18" i="60"/>
  <c r="I26" i="66"/>
  <c r="M25" i="66"/>
  <c r="C8" i="36"/>
  <c r="I8" i="36" s="1"/>
  <c r="F9" i="71"/>
  <c r="E169" i="71"/>
  <c r="C102" i="72"/>
  <c r="A12" i="36"/>
  <c r="A29" i="36" s="1"/>
  <c r="A14" i="19"/>
  <c r="I235" i="60"/>
  <c r="L235" i="60" s="1"/>
  <c r="J235" i="60"/>
  <c r="F16" i="60"/>
  <c r="M31" i="66"/>
  <c r="C12" i="36"/>
  <c r="I12" i="36" s="1"/>
  <c r="I100" i="4"/>
  <c r="J100" i="4" s="1"/>
  <c r="K100" i="4" s="1"/>
  <c r="L100" i="4" s="1"/>
  <c r="N100" i="4" s="1"/>
  <c r="AT100" i="4" s="1"/>
  <c r="AK14" i="2"/>
  <c r="V29" i="66"/>
  <c r="S13" i="2"/>
  <c r="V25" i="66"/>
  <c r="J25" i="66" s="1"/>
  <c r="M37" i="66"/>
  <c r="U14" i="2"/>
  <c r="M30" i="66"/>
  <c r="U12" i="2"/>
  <c r="M28" i="66"/>
  <c r="M26" i="66"/>
  <c r="C98" i="72"/>
  <c r="E248" i="60"/>
  <c r="I139" i="4"/>
  <c r="J139" i="4" s="1"/>
  <c r="G128" i="4"/>
  <c r="E186" i="71"/>
  <c r="E178" i="71"/>
  <c r="F166" i="71"/>
  <c r="F160" i="71"/>
  <c r="E255" i="60"/>
  <c r="E253" i="60"/>
  <c r="E251" i="60"/>
  <c r="E246" i="60"/>
  <c r="E244" i="60"/>
  <c r="F240" i="60"/>
  <c r="F236" i="60"/>
  <c r="F16" i="71"/>
  <c r="F10" i="71"/>
  <c r="I138" i="4"/>
  <c r="J138" i="4" s="1"/>
  <c r="E182" i="71"/>
  <c r="E174" i="71"/>
  <c r="F164" i="71"/>
  <c r="F159" i="71"/>
  <c r="F256" i="60"/>
  <c r="F254" i="60"/>
  <c r="F252" i="60"/>
  <c r="F247" i="60"/>
  <c r="F245" i="60"/>
  <c r="F243" i="60"/>
  <c r="F239" i="60"/>
  <c r="F235" i="60"/>
  <c r="F14" i="71"/>
  <c r="F257" i="60"/>
  <c r="F131" i="4"/>
  <c r="I133" i="4"/>
  <c r="J133" i="4" s="1"/>
  <c r="E180" i="71"/>
  <c r="E171" i="71"/>
  <c r="F162" i="71"/>
  <c r="F158" i="71"/>
  <c r="E256" i="60"/>
  <c r="E254" i="60"/>
  <c r="E252" i="60"/>
  <c r="E247" i="60"/>
  <c r="E245" i="60"/>
  <c r="E243" i="60"/>
  <c r="F238" i="60"/>
  <c r="I6" i="39"/>
  <c r="E1173" i="70"/>
  <c r="E9" i="71"/>
  <c r="F161" i="71"/>
  <c r="F246" i="60"/>
  <c r="F12" i="71"/>
  <c r="E14" i="60"/>
  <c r="F13" i="60"/>
  <c r="F17" i="60"/>
  <c r="M6" i="39"/>
  <c r="F129" i="4"/>
  <c r="F255" i="60"/>
  <c r="F244" i="60"/>
  <c r="G127" i="4"/>
  <c r="E179" i="71"/>
  <c r="F253" i="60"/>
  <c r="F241" i="60"/>
  <c r="E1174" i="70"/>
  <c r="F8" i="71"/>
  <c r="I142" i="4"/>
  <c r="I143" i="4" s="1"/>
  <c r="I106" i="4"/>
  <c r="A8" i="36"/>
  <c r="A50" i="36" s="1"/>
  <c r="G122" i="4"/>
  <c r="N208" i="66" s="1"/>
  <c r="F11" i="60"/>
  <c r="F15" i="60"/>
  <c r="F23" i="60"/>
  <c r="F10" i="60"/>
  <c r="I1209" i="70"/>
  <c r="I151" i="72" s="1"/>
  <c r="J1209" i="70"/>
  <c r="I63" i="3"/>
  <c r="I41" i="3"/>
  <c r="I1199" i="70"/>
  <c r="I149" i="72" s="1"/>
  <c r="A10" i="19"/>
  <c r="F14" i="60"/>
  <c r="M29" i="66"/>
  <c r="I117" i="4"/>
  <c r="F237" i="60"/>
  <c r="W15" i="2"/>
  <c r="E13" i="36"/>
  <c r="E9" i="36"/>
  <c r="C11" i="2"/>
  <c r="C15" i="2"/>
  <c r="E161" i="71"/>
  <c r="E168" i="71"/>
  <c r="E170" i="71"/>
  <c r="F184" i="71"/>
  <c r="F179" i="71"/>
  <c r="I67" i="27"/>
  <c r="I62" i="82" s="1"/>
  <c r="H468" i="27"/>
  <c r="I551" i="27"/>
  <c r="I233" i="82" s="1"/>
  <c r="E236" i="60"/>
  <c r="E238" i="60"/>
  <c r="E240" i="60"/>
  <c r="E159" i="71"/>
  <c r="E164" i="71"/>
  <c r="E172" i="71"/>
  <c r="F178" i="71"/>
  <c r="F180" i="71"/>
  <c r="F182" i="71"/>
  <c r="F186" i="71"/>
  <c r="F183" i="71"/>
  <c r="G124" i="4"/>
  <c r="G131" i="4"/>
  <c r="I140" i="4"/>
  <c r="J140" i="4" s="1"/>
  <c r="I136" i="4"/>
  <c r="J136" i="4" s="1"/>
  <c r="I148" i="4"/>
  <c r="I149" i="4" s="1"/>
  <c r="F124" i="4"/>
  <c r="F123" i="4"/>
  <c r="E249" i="60"/>
  <c r="I115" i="4"/>
  <c r="G137" i="4"/>
  <c r="F133" i="4"/>
  <c r="E181" i="71"/>
  <c r="E184" i="71"/>
  <c r="G123" i="4"/>
  <c r="G125" i="4"/>
  <c r="I134" i="4"/>
  <c r="J134" i="4" s="1"/>
  <c r="I135" i="4"/>
  <c r="J135" i="4" s="1"/>
  <c r="F130" i="4"/>
  <c r="F126" i="4"/>
  <c r="F125" i="4"/>
  <c r="E257" i="60"/>
  <c r="I110" i="4"/>
  <c r="F135" i="4"/>
  <c r="C107" i="72"/>
  <c r="J239" i="60"/>
  <c r="E235" i="60"/>
  <c r="E237" i="60"/>
  <c r="E239" i="60"/>
  <c r="E241" i="60"/>
  <c r="E158" i="71"/>
  <c r="E160" i="71"/>
  <c r="E162" i="71"/>
  <c r="E166" i="71"/>
  <c r="E176" i="71"/>
  <c r="F181" i="71"/>
  <c r="F185" i="71"/>
  <c r="G129" i="4"/>
  <c r="G130" i="4"/>
  <c r="G126" i="4"/>
  <c r="I137" i="4"/>
  <c r="J137" i="4" s="1"/>
  <c r="I144" i="4"/>
  <c r="I145" i="4" s="1"/>
  <c r="F127" i="4"/>
  <c r="K127" i="4" s="1"/>
  <c r="F128" i="4"/>
  <c r="F107" i="72"/>
  <c r="F139" i="4"/>
  <c r="C97" i="72"/>
  <c r="G100" i="72"/>
  <c r="E19" i="72"/>
  <c r="F14" i="88" s="1"/>
  <c r="T4" i="2"/>
  <c r="B90" i="80" s="1"/>
  <c r="E17" i="60"/>
  <c r="E13" i="60"/>
  <c r="E11" i="71"/>
  <c r="E14" i="71"/>
  <c r="E16" i="60"/>
  <c r="E12" i="60"/>
  <c r="P23" i="66"/>
  <c r="E10" i="71"/>
  <c r="J246" i="60"/>
  <c r="E10" i="60"/>
  <c r="G10" i="60" s="1"/>
  <c r="J10" i="60" s="1"/>
  <c r="E15" i="60"/>
  <c r="E11" i="60"/>
  <c r="E8" i="71"/>
  <c r="G8" i="71" s="1"/>
  <c r="E12" i="71"/>
  <c r="E16" i="71"/>
  <c r="E23" i="60"/>
  <c r="I1211" i="70"/>
  <c r="I152" i="72" s="1"/>
  <c r="H28" i="43"/>
  <c r="I28" i="43"/>
  <c r="L28" i="43" s="1"/>
  <c r="E62" i="3"/>
  <c r="O67" i="3" s="1"/>
  <c r="O68" i="3" s="1"/>
  <c r="G99" i="72"/>
  <c r="J255" i="60"/>
  <c r="I22" i="19"/>
  <c r="F31" i="19"/>
  <c r="J36" i="4"/>
  <c r="I24" i="4"/>
  <c r="I60" i="4"/>
  <c r="I62" i="4" s="1"/>
  <c r="J60" i="4"/>
  <c r="F115" i="4"/>
  <c r="J115" i="4" s="1"/>
  <c r="G234" i="82"/>
  <c r="C63" i="82"/>
  <c r="I68" i="27"/>
  <c r="I63" i="82" s="1"/>
  <c r="H1073" i="70"/>
  <c r="R9" i="4" s="1"/>
  <c r="A440" i="70"/>
  <c r="A74" i="27" s="1"/>
  <c r="H573" i="27"/>
  <c r="M573" i="27" s="1"/>
  <c r="S573" i="27" s="1"/>
  <c r="F255" i="82"/>
  <c r="C118" i="82"/>
  <c r="J238" i="60"/>
  <c r="K117" i="81"/>
  <c r="H35" i="72"/>
  <c r="H51" i="72" s="1"/>
  <c r="H53" i="72" s="1"/>
  <c r="P818" i="63"/>
  <c r="P819" i="63"/>
  <c r="K121" i="81"/>
  <c r="N122" i="81" s="1"/>
  <c r="K119" i="81"/>
  <c r="N120" i="81" s="1"/>
  <c r="K123" i="81"/>
  <c r="N124" i="81" s="1"/>
  <c r="H252" i="60"/>
  <c r="I238" i="60"/>
  <c r="L238" i="60" s="1"/>
  <c r="J51" i="4"/>
  <c r="I102" i="4"/>
  <c r="F50" i="3"/>
  <c r="AT50" i="3" s="1"/>
  <c r="N60" i="3"/>
  <c r="N61" i="3"/>
  <c r="G41" i="82"/>
  <c r="G70" i="82"/>
  <c r="I75" i="27"/>
  <c r="I70" i="82" s="1"/>
  <c r="G54" i="82"/>
  <c r="C150" i="82"/>
  <c r="I282" i="27"/>
  <c r="I150" i="82" s="1"/>
  <c r="T8" i="27"/>
  <c r="T8" i="82" s="1"/>
  <c r="T9" i="82"/>
  <c r="C64" i="7"/>
  <c r="C80" i="7"/>
  <c r="C77" i="7"/>
  <c r="C63" i="7"/>
  <c r="C78" i="7"/>
  <c r="C79" i="7"/>
  <c r="I146" i="4"/>
  <c r="I147" i="4" s="1"/>
  <c r="I150" i="4"/>
  <c r="I151" i="4" s="1"/>
  <c r="W39" i="66"/>
  <c r="H106" i="72"/>
  <c r="I23" i="19"/>
  <c r="O35" i="2"/>
  <c r="K95" i="4"/>
  <c r="F113" i="4"/>
  <c r="J113" i="4" s="1"/>
  <c r="F141" i="4"/>
  <c r="F15" i="81"/>
  <c r="I14" i="3"/>
  <c r="O11" i="3"/>
  <c r="M9" i="3" s="1"/>
  <c r="N37" i="3"/>
  <c r="H465" i="27"/>
  <c r="C125" i="82"/>
  <c r="I125" i="82"/>
  <c r="C123" i="82"/>
  <c r="C107" i="82"/>
  <c r="K282" i="27"/>
  <c r="K150" i="82" s="1"/>
  <c r="K280" i="27"/>
  <c r="K148" i="82" s="1"/>
  <c r="E185" i="71"/>
  <c r="I119" i="4"/>
  <c r="F132" i="4"/>
  <c r="F140" i="4"/>
  <c r="G138" i="4"/>
  <c r="F136" i="4"/>
  <c r="F134" i="4"/>
  <c r="I535" i="27"/>
  <c r="I217" i="82" s="1"/>
  <c r="K113" i="4"/>
  <c r="C162" i="82"/>
  <c r="I162" i="82"/>
  <c r="C158" i="82"/>
  <c r="K158" i="82"/>
  <c r="C154" i="82"/>
  <c r="I286" i="27"/>
  <c r="I154" i="82" s="1"/>
  <c r="C146" i="82"/>
  <c r="I278" i="27"/>
  <c r="I146" i="82" s="1"/>
  <c r="C142" i="82"/>
  <c r="K266" i="27"/>
  <c r="K142" i="82" s="1"/>
  <c r="C140" i="82"/>
  <c r="K264" i="27"/>
  <c r="K140" i="82" s="1"/>
  <c r="C138" i="82"/>
  <c r="I262" i="27"/>
  <c r="I138" i="82" s="1"/>
  <c r="F37" i="82"/>
  <c r="C136" i="82"/>
  <c r="O260" i="27"/>
  <c r="O136" i="82" s="1"/>
  <c r="H568" i="27"/>
  <c r="N568" i="27" s="1"/>
  <c r="I71" i="27"/>
  <c r="I66" i="82" s="1"/>
  <c r="C66" i="82"/>
  <c r="I63" i="27"/>
  <c r="I58" i="82" s="1"/>
  <c r="C56" i="82"/>
  <c r="I61" i="27"/>
  <c r="I56" i="82" s="1"/>
  <c r="C126" i="82"/>
  <c r="I126" i="82"/>
  <c r="C110" i="82"/>
  <c r="I266" i="27"/>
  <c r="I142" i="82" s="1"/>
  <c r="I158" i="82"/>
  <c r="G108" i="4"/>
  <c r="A4" i="73"/>
  <c r="D54" i="64"/>
  <c r="H54" i="64" s="1"/>
  <c r="D53" i="64"/>
  <c r="H53" i="64" s="1"/>
  <c r="D52" i="64"/>
  <c r="H52" i="64" s="1"/>
  <c r="D55" i="64"/>
  <c r="H55" i="64" s="1"/>
  <c r="C95" i="72"/>
  <c r="H1075" i="70"/>
  <c r="R15" i="4" s="1"/>
  <c r="H1077" i="70"/>
  <c r="R21" i="4" s="1"/>
  <c r="H1079" i="70"/>
  <c r="R27" i="4" s="1"/>
  <c r="H1081" i="70"/>
  <c r="R33" i="4" s="1"/>
  <c r="H1083" i="70"/>
  <c r="R39" i="4" s="1"/>
  <c r="H1085" i="70"/>
  <c r="R45" i="4" s="1"/>
  <c r="H1087" i="70"/>
  <c r="R51" i="4" s="1"/>
  <c r="H1089" i="70"/>
  <c r="R57" i="4" s="1"/>
  <c r="H1091" i="70"/>
  <c r="R63" i="4" s="1"/>
  <c r="H1074" i="70"/>
  <c r="R12" i="4" s="1"/>
  <c r="H1076" i="70"/>
  <c r="R18" i="4" s="1"/>
  <c r="H1078" i="70"/>
  <c r="R24" i="4" s="1"/>
  <c r="H1080" i="70"/>
  <c r="R30" i="4" s="1"/>
  <c r="H1082" i="70"/>
  <c r="R36" i="4" s="1"/>
  <c r="H1084" i="70"/>
  <c r="R42" i="4" s="1"/>
  <c r="H1086" i="70"/>
  <c r="R48" i="4" s="1"/>
  <c r="H1088" i="70"/>
  <c r="R54" i="4" s="1"/>
  <c r="H1090" i="70"/>
  <c r="R60" i="4" s="1"/>
  <c r="H1092" i="70"/>
  <c r="R66" i="4" s="1"/>
  <c r="S42" i="66"/>
  <c r="B29" i="2"/>
  <c r="W9" i="51"/>
  <c r="W10" i="51"/>
  <c r="B27" i="2"/>
  <c r="B28" i="2"/>
  <c r="R825" i="63"/>
  <c r="Z825" i="63" s="1"/>
  <c r="I65" i="3"/>
  <c r="V23" i="66"/>
  <c r="J27" i="4"/>
  <c r="J39" i="4"/>
  <c r="I57" i="4"/>
  <c r="I45" i="4"/>
  <c r="I47" i="4" s="1"/>
  <c r="J33" i="4"/>
  <c r="I108" i="4"/>
  <c r="J166" i="4"/>
  <c r="J57" i="4"/>
  <c r="F277" i="82"/>
  <c r="K466" i="27"/>
  <c r="K168" i="82" s="1"/>
  <c r="I264" i="27"/>
  <c r="I140" i="82" s="1"/>
  <c r="G110" i="4"/>
  <c r="I156" i="82"/>
  <c r="W30" i="66"/>
  <c r="X30" i="66" s="1"/>
  <c r="E14" i="3"/>
  <c r="G104" i="72"/>
  <c r="W28" i="66"/>
  <c r="X28" i="66" s="1"/>
  <c r="J21" i="4"/>
  <c r="I21" i="4"/>
  <c r="I23" i="4" s="1"/>
  <c r="J63" i="4"/>
  <c r="I141" i="4"/>
  <c r="K15" i="3"/>
  <c r="F49" i="82"/>
  <c r="H466" i="27"/>
  <c r="K164" i="82"/>
  <c r="I280" i="27"/>
  <c r="I148" i="82" s="1"/>
  <c r="J241" i="60"/>
  <c r="I241" i="60"/>
  <c r="L241" i="60" s="1"/>
  <c r="C30" i="19"/>
  <c r="AL15" i="2"/>
  <c r="H98" i="4"/>
  <c r="I98" i="4" s="1"/>
  <c r="K468" i="27"/>
  <c r="K170" i="82" s="1"/>
  <c r="I268" i="27"/>
  <c r="I144" i="82" s="1"/>
  <c r="I284" i="27"/>
  <c r="I152" i="82" s="1"/>
  <c r="I75" i="4"/>
  <c r="J85" i="4"/>
  <c r="H6" i="72"/>
  <c r="I6" i="72" s="1"/>
  <c r="I1" i="83"/>
  <c r="K11" i="81"/>
  <c r="B57" i="2"/>
  <c r="K55" i="66" s="1"/>
  <c r="J55" i="66" s="1"/>
  <c r="B54" i="2"/>
  <c r="K52" i="66" s="1"/>
  <c r="J52" i="66" s="1"/>
  <c r="B56" i="2"/>
  <c r="K54" i="66" s="1"/>
  <c r="J54" i="66" s="1"/>
  <c r="W31" i="66"/>
  <c r="G105" i="4"/>
  <c r="G132" i="4"/>
  <c r="K156" i="82"/>
  <c r="I160" i="82"/>
  <c r="I464" i="27"/>
  <c r="I166" i="82" s="1"/>
  <c r="I81" i="4"/>
  <c r="F169" i="82"/>
  <c r="F165" i="71"/>
  <c r="F169" i="71"/>
  <c r="F171" i="71"/>
  <c r="F174" i="71"/>
  <c r="F175" i="71"/>
  <c r="E106" i="72"/>
  <c r="I103" i="4"/>
  <c r="I114" i="4"/>
  <c r="G133" i="4"/>
  <c r="G141" i="4"/>
  <c r="G139" i="4"/>
  <c r="F20" i="60"/>
  <c r="F163" i="71"/>
  <c r="F168" i="71"/>
  <c r="F170" i="71"/>
  <c r="F172" i="71"/>
  <c r="F176" i="71"/>
  <c r="F173" i="71"/>
  <c r="F249" i="60"/>
  <c r="J254" i="60"/>
  <c r="I104" i="4"/>
  <c r="G135" i="4"/>
  <c r="F137" i="4"/>
  <c r="G106" i="72"/>
  <c r="J256" i="60"/>
  <c r="E19" i="60"/>
  <c r="J26" i="19"/>
  <c r="L29" i="66"/>
  <c r="F97" i="72"/>
  <c r="F98" i="72"/>
  <c r="F99" i="72"/>
  <c r="F101" i="72"/>
  <c r="L361" i="70"/>
  <c r="P54" i="2" s="1"/>
  <c r="R52" i="66" s="1"/>
  <c r="F100" i="72"/>
  <c r="F103" i="72"/>
  <c r="W29" i="66"/>
  <c r="F102" i="72"/>
  <c r="A38" i="19"/>
  <c r="L6" i="39"/>
  <c r="L44" i="66"/>
  <c r="AL41" i="2"/>
  <c r="W42" i="66"/>
  <c r="W50" i="66"/>
  <c r="W49" i="66"/>
  <c r="W48" i="66"/>
  <c r="W38" i="66"/>
  <c r="E183" i="71"/>
  <c r="AL28" i="2"/>
  <c r="I24" i="19"/>
  <c r="E165" i="71"/>
  <c r="E175" i="71"/>
  <c r="W25" i="66"/>
  <c r="W37" i="66"/>
  <c r="X37" i="66" s="1"/>
  <c r="F11" i="36"/>
  <c r="AL13" i="2"/>
  <c r="V13" i="2"/>
  <c r="L13" i="2" s="1"/>
  <c r="W27" i="66"/>
  <c r="X27" i="66" s="1"/>
  <c r="F237" i="82"/>
  <c r="F302" i="82"/>
  <c r="F290" i="82"/>
  <c r="H596" i="27"/>
  <c r="M596" i="27" s="1"/>
  <c r="S596" i="27" s="1"/>
  <c r="F278" i="82"/>
  <c r="I260" i="27"/>
  <c r="I136" i="82" s="1"/>
  <c r="I553" i="27"/>
  <c r="I235" i="82" s="1"/>
  <c r="E55" i="82"/>
  <c r="E47" i="82"/>
  <c r="G68" i="82"/>
  <c r="I73" i="27"/>
  <c r="I68" i="82" s="1"/>
  <c r="G64" i="82"/>
  <c r="I69" i="27"/>
  <c r="I64" i="82" s="1"/>
  <c r="G60" i="82"/>
  <c r="I65" i="27"/>
  <c r="I60" i="82" s="1"/>
  <c r="G52" i="82"/>
  <c r="G48" i="82"/>
  <c r="G44" i="82"/>
  <c r="C65" i="82"/>
  <c r="I70" i="27"/>
  <c r="I65" i="82" s="1"/>
  <c r="C57" i="82"/>
  <c r="I62" i="27"/>
  <c r="I57" i="82" s="1"/>
  <c r="I265" i="27"/>
  <c r="I141" i="82" s="1"/>
  <c r="C128" i="82"/>
  <c r="I128" i="82"/>
  <c r="C112" i="82"/>
  <c r="C108" i="82"/>
  <c r="I466" i="27"/>
  <c r="I168" i="82" s="1"/>
  <c r="I164" i="82"/>
  <c r="O53" i="2"/>
  <c r="M361" i="70"/>
  <c r="Q54" i="2" s="1"/>
  <c r="J36" i="19" s="1"/>
  <c r="E65" i="2"/>
  <c r="E69" i="2"/>
  <c r="E67" i="2"/>
  <c r="E68" i="2"/>
  <c r="E62" i="2"/>
  <c r="E66" i="2"/>
  <c r="E70" i="2"/>
  <c r="E63" i="2"/>
  <c r="E64" i="2"/>
  <c r="W62" i="2"/>
  <c r="AR62" i="2" s="1"/>
  <c r="E61" i="2"/>
  <c r="S41" i="66"/>
  <c r="O34" i="2"/>
  <c r="E25" i="19" s="1"/>
  <c r="M367" i="70"/>
  <c r="Q56" i="2" s="1"/>
  <c r="S54" i="66" s="1"/>
  <c r="J33" i="19"/>
  <c r="S49" i="66"/>
  <c r="I108" i="72"/>
  <c r="O40" i="2"/>
  <c r="O38" i="2"/>
  <c r="S45" i="66"/>
  <c r="O57" i="2"/>
  <c r="G122" i="72" s="1"/>
  <c r="J29" i="19"/>
  <c r="O36" i="2"/>
  <c r="I110" i="72"/>
  <c r="J27" i="19"/>
  <c r="S43" i="66"/>
  <c r="I117" i="72"/>
  <c r="S50" i="66"/>
  <c r="J30" i="19"/>
  <c r="I113" i="72"/>
  <c r="S46" i="66"/>
  <c r="I111" i="72"/>
  <c r="S44" i="66"/>
  <c r="N53" i="2"/>
  <c r="O55" i="2"/>
  <c r="Q53" i="66" s="1"/>
  <c r="I116" i="72"/>
  <c r="O39" i="2"/>
  <c r="O37" i="2"/>
  <c r="N595" i="27"/>
  <c r="J50" i="72"/>
  <c r="E47" i="41" s="1"/>
  <c r="P272" i="82"/>
  <c r="H187" i="82"/>
  <c r="I538" i="27"/>
  <c r="I220" i="82" s="1"/>
  <c r="I55" i="43"/>
  <c r="L55" i="43" s="1"/>
  <c r="I113" i="43"/>
  <c r="L113" i="43" s="1"/>
  <c r="J11" i="19"/>
  <c r="I99" i="72"/>
  <c r="J13" i="19"/>
  <c r="S29" i="66"/>
  <c r="J12" i="19"/>
  <c r="I100" i="72"/>
  <c r="J14" i="19"/>
  <c r="S30" i="66"/>
  <c r="E63" i="3"/>
  <c r="B5" i="53"/>
  <c r="B17" i="53" s="1"/>
  <c r="B18" i="53" s="1"/>
  <c r="B7" i="53"/>
  <c r="C13" i="19"/>
  <c r="F13" i="2"/>
  <c r="L47" i="66"/>
  <c r="F38" i="3"/>
  <c r="P43" i="3" s="1"/>
  <c r="P44" i="3" s="1"/>
  <c r="I114" i="72"/>
  <c r="J31" i="19"/>
  <c r="A14" i="71"/>
  <c r="H13" i="71"/>
  <c r="A164" i="71"/>
  <c r="H163" i="71"/>
  <c r="C165" i="71"/>
  <c r="H165" i="71"/>
  <c r="A166" i="71"/>
  <c r="G166" i="71" s="1"/>
  <c r="I166" i="71" s="1"/>
  <c r="A174" i="71"/>
  <c r="M174" i="71" s="1"/>
  <c r="AT174" i="71" s="1"/>
  <c r="H173" i="71"/>
  <c r="C175" i="71"/>
  <c r="H175" i="71"/>
  <c r="A176" i="71"/>
  <c r="G176" i="71" s="1"/>
  <c r="K176" i="71" s="1"/>
  <c r="A184" i="71"/>
  <c r="M184" i="71" s="1"/>
  <c r="AT184" i="71" s="1"/>
  <c r="H183" i="71"/>
  <c r="H185" i="71"/>
  <c r="A186" i="71"/>
  <c r="M186" i="71" s="1"/>
  <c r="AT186" i="71" s="1"/>
  <c r="I74" i="27"/>
  <c r="I69" i="82" s="1"/>
  <c r="I72" i="27"/>
  <c r="I67" i="82" s="1"/>
  <c r="I66" i="27"/>
  <c r="I61" i="82" s="1"/>
  <c r="I64" i="27"/>
  <c r="I59" i="82" s="1"/>
  <c r="F56" i="85"/>
  <c r="L38" i="73"/>
  <c r="F38" i="73"/>
  <c r="J26" i="73"/>
  <c r="F26" i="73"/>
  <c r="E20" i="60"/>
  <c r="C15" i="71"/>
  <c r="H15" i="71"/>
  <c r="J23" i="19"/>
  <c r="J24" i="4"/>
  <c r="I36" i="4"/>
  <c r="I38" i="4" s="1"/>
  <c r="I30" i="4"/>
  <c r="I31" i="4" s="1"/>
  <c r="K94" i="4"/>
  <c r="I116" i="4"/>
  <c r="K167" i="4"/>
  <c r="O59" i="3"/>
  <c r="M57" i="3" s="1"/>
  <c r="I157" i="82"/>
  <c r="I155" i="82"/>
  <c r="K79" i="4"/>
  <c r="J79" i="4"/>
  <c r="D2" i="71"/>
  <c r="D2" i="61"/>
  <c r="D3" i="61" s="1"/>
  <c r="I1232" i="70"/>
  <c r="J46" i="7" s="1"/>
  <c r="W47" i="7" s="1"/>
  <c r="Q1232" i="70"/>
  <c r="R46" i="7" s="1"/>
  <c r="W55" i="7" s="1"/>
  <c r="O39" i="7" s="1"/>
  <c r="J1232" i="70"/>
  <c r="K46" i="7" s="1"/>
  <c r="W48" i="7" s="1"/>
  <c r="B1232" i="70"/>
  <c r="C46" i="7" s="1"/>
  <c r="W40" i="7" s="1"/>
  <c r="G1232" i="70"/>
  <c r="H46" i="7" s="1"/>
  <c r="W45" i="7" s="1"/>
  <c r="O1232" i="70"/>
  <c r="P46" i="7" s="1"/>
  <c r="W53" i="7" s="1"/>
  <c r="H1232" i="70"/>
  <c r="I46" i="7" s="1"/>
  <c r="W46" i="7" s="1"/>
  <c r="P1232" i="70"/>
  <c r="Q46" i="7" s="1"/>
  <c r="W54" i="7" s="1"/>
  <c r="G2" i="42"/>
  <c r="O9" i="42" s="1"/>
  <c r="N12" i="3"/>
  <c r="N13" i="3"/>
  <c r="F21" i="60"/>
  <c r="H2" i="74"/>
  <c r="P821" i="63"/>
  <c r="Y10" i="66"/>
  <c r="Y184" i="66"/>
  <c r="Y182" i="66"/>
  <c r="Y16" i="66"/>
  <c r="J16" i="66" s="1"/>
  <c r="Y177" i="66"/>
  <c r="I177" i="66" s="1"/>
  <c r="Y18" i="66"/>
  <c r="J18" i="66" s="1"/>
  <c r="Y221" i="66"/>
  <c r="I221" i="66" s="1"/>
  <c r="Y179" i="66"/>
  <c r="I179" i="66" s="1"/>
  <c r="AE319" i="63"/>
  <c r="AD319" i="63"/>
  <c r="AE783" i="63"/>
  <c r="E2" i="3"/>
  <c r="AD86" i="63"/>
  <c r="AE103" i="63"/>
  <c r="AE785" i="63"/>
  <c r="AD780" i="63"/>
  <c r="N167" i="81"/>
  <c r="K106" i="81"/>
  <c r="N107" i="81" s="1"/>
  <c r="K108" i="81"/>
  <c r="N109" i="81" s="1"/>
  <c r="K110" i="81"/>
  <c r="N111" i="81" s="1"/>
  <c r="F117" i="72"/>
  <c r="N39" i="2"/>
  <c r="AE147" i="63"/>
  <c r="L75" i="43"/>
  <c r="L76" i="43" s="1"/>
  <c r="L77" i="43" s="1"/>
  <c r="C69" i="43" s="1"/>
  <c r="J10" i="19"/>
  <c r="I98" i="72"/>
  <c r="J15" i="19"/>
  <c r="I103" i="72"/>
  <c r="K61" i="27"/>
  <c r="K56" i="82" s="1"/>
  <c r="A428" i="70"/>
  <c r="A62" i="27" s="1"/>
  <c r="A436" i="70"/>
  <c r="A70" i="27" s="1"/>
  <c r="L48" i="66"/>
  <c r="C32" i="19"/>
  <c r="G17" i="43"/>
  <c r="H17" i="43" s="1"/>
  <c r="I17" i="43" s="1"/>
  <c r="G105" i="43"/>
  <c r="G46" i="43"/>
  <c r="B210" i="66"/>
  <c r="H11" i="36"/>
  <c r="H9" i="36"/>
  <c r="H13" i="36"/>
  <c r="H10" i="36"/>
  <c r="S26" i="66"/>
  <c r="S27" i="66"/>
  <c r="S28" i="66"/>
  <c r="C34" i="19"/>
  <c r="C27" i="19"/>
  <c r="I101" i="72"/>
  <c r="I102" i="72"/>
  <c r="H247" i="60"/>
  <c r="H253" i="60"/>
  <c r="H243" i="60"/>
  <c r="H255" i="60"/>
  <c r="H249" i="60"/>
  <c r="H238" i="60"/>
  <c r="A431" i="70"/>
  <c r="A65" i="27" s="1"/>
  <c r="E38" i="3"/>
  <c r="N43" i="3" s="1"/>
  <c r="N44" i="3" s="1"/>
  <c r="K111" i="4"/>
  <c r="O69" i="27"/>
  <c r="O64" i="82" s="1"/>
  <c r="J257" i="60"/>
  <c r="J253" i="60"/>
  <c r="J247" i="60"/>
  <c r="J244" i="60"/>
  <c r="J243" i="60"/>
  <c r="J28" i="19"/>
  <c r="J34" i="19"/>
  <c r="V14" i="2"/>
  <c r="L14" i="2" s="1"/>
  <c r="V15" i="2"/>
  <c r="L15" i="2" s="1"/>
  <c r="W40" i="66"/>
  <c r="E163" i="71"/>
  <c r="E173" i="71"/>
  <c r="J18" i="4"/>
  <c r="I25" i="4"/>
  <c r="J30" i="4"/>
  <c r="J48" i="4"/>
  <c r="J54" i="4"/>
  <c r="I54" i="4"/>
  <c r="I55" i="4" s="1"/>
  <c r="I26" i="4"/>
  <c r="I42" i="4"/>
  <c r="I44" i="4" s="1"/>
  <c r="I48" i="4"/>
  <c r="I49" i="4" s="1"/>
  <c r="I18" i="4"/>
  <c r="I19" i="4" s="1"/>
  <c r="K98" i="4"/>
  <c r="I61" i="4"/>
  <c r="K96" i="4"/>
  <c r="K93" i="4"/>
  <c r="I101" i="4"/>
  <c r="G140" i="4"/>
  <c r="G134" i="4"/>
  <c r="J167" i="4"/>
  <c r="E24" i="72"/>
  <c r="J140" i="64"/>
  <c r="F49" i="3"/>
  <c r="AT49" i="3" s="1"/>
  <c r="F63" i="82"/>
  <c r="F56" i="82"/>
  <c r="F68" i="82"/>
  <c r="F65" i="82"/>
  <c r="F54" i="82"/>
  <c r="F70" i="82"/>
  <c r="F216" i="82"/>
  <c r="C59" i="82"/>
  <c r="C67" i="82"/>
  <c r="I127" i="82"/>
  <c r="I132" i="82"/>
  <c r="K157" i="82"/>
  <c r="I281" i="27"/>
  <c r="I149" i="82" s="1"/>
  <c r="I165" i="82"/>
  <c r="I279" i="27"/>
  <c r="I147" i="82" s="1"/>
  <c r="I163" i="82"/>
  <c r="J76" i="4"/>
  <c r="I76" i="4"/>
  <c r="I77" i="4" s="1"/>
  <c r="I84" i="4"/>
  <c r="K82" i="4"/>
  <c r="J82" i="4"/>
  <c r="G102" i="4"/>
  <c r="G106" i="4"/>
  <c r="G111" i="4"/>
  <c r="G101" i="4"/>
  <c r="G100" i="4"/>
  <c r="E21" i="60"/>
  <c r="AD818" i="63"/>
  <c r="AD822" i="63"/>
  <c r="AE821" i="63"/>
  <c r="AD820" i="63"/>
  <c r="C169" i="82"/>
  <c r="I467" i="27"/>
  <c r="I169" i="82" s="1"/>
  <c r="C167" i="82"/>
  <c r="I465" i="27"/>
  <c r="I167" i="82" s="1"/>
  <c r="K465" i="27"/>
  <c r="K167" i="82" s="1"/>
  <c r="C161" i="82"/>
  <c r="I161" i="82"/>
  <c r="K161" i="82"/>
  <c r="C159" i="82"/>
  <c r="I159" i="82"/>
  <c r="K159" i="82"/>
  <c r="C153" i="82"/>
  <c r="I285" i="27"/>
  <c r="I153" i="82" s="1"/>
  <c r="K285" i="27"/>
  <c r="K153" i="82" s="1"/>
  <c r="C151" i="82"/>
  <c r="I283" i="27"/>
  <c r="I151" i="82" s="1"/>
  <c r="C145" i="82"/>
  <c r="I269" i="27"/>
  <c r="I145" i="82" s="1"/>
  <c r="C143" i="82"/>
  <c r="I267" i="27"/>
  <c r="I143" i="82" s="1"/>
  <c r="K267" i="27"/>
  <c r="K143" i="82" s="1"/>
  <c r="C137" i="82"/>
  <c r="I261" i="27"/>
  <c r="I137" i="82" s="1"/>
  <c r="W24" i="66"/>
  <c r="X24" i="66" s="1"/>
  <c r="F19" i="60"/>
  <c r="I140" i="64"/>
  <c r="I145" i="64"/>
  <c r="F22" i="60"/>
  <c r="E22" i="60"/>
  <c r="Y172" i="66"/>
  <c r="I172" i="66" s="1"/>
  <c r="Y214" i="66"/>
  <c r="I214" i="66" s="1"/>
  <c r="Y216" i="66"/>
  <c r="I216" i="66" s="1"/>
  <c r="Y174" i="66"/>
  <c r="I174" i="66" s="1"/>
  <c r="Y13" i="66"/>
  <c r="J13" i="66" s="1"/>
  <c r="Y218" i="66"/>
  <c r="I218" i="66" s="1"/>
  <c r="Y176" i="66"/>
  <c r="I176" i="66" s="1"/>
  <c r="Y15" i="66"/>
  <c r="J15" i="66" s="1"/>
  <c r="Y220" i="66"/>
  <c r="I220" i="66" s="1"/>
  <c r="Y178" i="66"/>
  <c r="I178" i="66" s="1"/>
  <c r="Y17" i="66"/>
  <c r="J17" i="66" s="1"/>
  <c r="Y180" i="66"/>
  <c r="I180" i="66" s="1"/>
  <c r="Y222" i="66"/>
  <c r="I222" i="66" s="1"/>
  <c r="Y19" i="66"/>
  <c r="J19" i="66" s="1"/>
  <c r="E2" i="27"/>
  <c r="D2" i="4"/>
  <c r="L8" i="4" s="1"/>
  <c r="D3" i="7"/>
  <c r="D4" i="7" s="1"/>
  <c r="I2" i="66"/>
  <c r="I3" i="66" s="1"/>
  <c r="I36" i="73"/>
  <c r="J56" i="81"/>
  <c r="K51" i="81"/>
  <c r="N118" i="81"/>
  <c r="N172" i="81"/>
  <c r="N177" i="81" s="1"/>
  <c r="K177" i="81"/>
  <c r="J185" i="81"/>
  <c r="J207" i="81" s="1"/>
  <c r="I207" i="81"/>
  <c r="I56" i="81"/>
  <c r="I167" i="81"/>
  <c r="K115" i="81"/>
  <c r="N116" i="81" s="1"/>
  <c r="K107" i="81"/>
  <c r="N108" i="81" s="1"/>
  <c r="K109" i="81"/>
  <c r="N110" i="81" s="1"/>
  <c r="K111" i="81"/>
  <c r="N112" i="81" s="1"/>
  <c r="K116" i="81"/>
  <c r="N117" i="81" s="1"/>
  <c r="K118" i="81"/>
  <c r="N119" i="81" s="1"/>
  <c r="K120" i="81"/>
  <c r="N121" i="81" s="1"/>
  <c r="K122" i="81"/>
  <c r="N123" i="81" s="1"/>
  <c r="K124" i="81"/>
  <c r="N125" i="81" s="1"/>
  <c r="N467" i="27"/>
  <c r="K28" i="83"/>
  <c r="AE28" i="83"/>
  <c r="D91" i="58"/>
  <c r="U28" i="83"/>
  <c r="D27" i="58"/>
  <c r="D28" i="83"/>
  <c r="D36" i="58"/>
  <c r="L53" i="66"/>
  <c r="V55" i="2"/>
  <c r="W55" i="66"/>
  <c r="W53" i="66"/>
  <c r="V57" i="2"/>
  <c r="L364" i="70"/>
  <c r="P55" i="2" s="1"/>
  <c r="H120" i="72" s="1"/>
  <c r="Q54" i="66"/>
  <c r="E38" i="19"/>
  <c r="G121" i="72"/>
  <c r="AD147" i="63"/>
  <c r="AD144" i="63"/>
  <c r="I5" i="64"/>
  <c r="O2" i="42" s="1"/>
  <c r="O1" i="42" s="1"/>
  <c r="L5" i="61"/>
  <c r="D115" i="43"/>
  <c r="AE399" i="63"/>
  <c r="D6" i="58"/>
  <c r="C70" i="7"/>
  <c r="C74" i="7"/>
  <c r="C73" i="7"/>
  <c r="C71" i="7"/>
  <c r="C75" i="7"/>
  <c r="C68" i="7"/>
  <c r="C72" i="7"/>
  <c r="C69" i="7"/>
  <c r="F51" i="3"/>
  <c r="AT51" i="3" s="1"/>
  <c r="C136" i="64"/>
  <c r="C138" i="64" s="1"/>
  <c r="H141" i="64"/>
  <c r="H143" i="64" s="1"/>
  <c r="H241" i="60"/>
  <c r="H240" i="60"/>
  <c r="H256" i="60"/>
  <c r="H246" i="60"/>
  <c r="H244" i="60"/>
  <c r="L65" i="27"/>
  <c r="L60" i="82" s="1"/>
  <c r="L63" i="27"/>
  <c r="L58" i="82" s="1"/>
  <c r="L61" i="27"/>
  <c r="L56" i="82" s="1"/>
  <c r="L72" i="27"/>
  <c r="L67" i="82" s="1"/>
  <c r="L69" i="27"/>
  <c r="L64" i="82" s="1"/>
  <c r="L67" i="27"/>
  <c r="L62" i="82" s="1"/>
  <c r="L75" i="27"/>
  <c r="L70" i="82" s="1"/>
  <c r="L73" i="27"/>
  <c r="L68" i="82" s="1"/>
  <c r="K67" i="27"/>
  <c r="K62" i="82" s="1"/>
  <c r="K62" i="27"/>
  <c r="K57" i="82" s="1"/>
  <c r="O65" i="27"/>
  <c r="O60" i="82" s="1"/>
  <c r="O64" i="27"/>
  <c r="O59" i="82" s="1"/>
  <c r="D136" i="64"/>
  <c r="D138" i="64" s="1"/>
  <c r="D1180" i="70"/>
  <c r="F9" i="3" s="1"/>
  <c r="M15" i="3" s="1"/>
  <c r="C33" i="19"/>
  <c r="H15" i="81"/>
  <c r="C1218" i="70"/>
  <c r="Z7" i="98" s="1"/>
  <c r="E39" i="3"/>
  <c r="J39" i="19"/>
  <c r="I122" i="72"/>
  <c r="S55" i="66"/>
  <c r="J37" i="19"/>
  <c r="I120" i="72"/>
  <c r="N142" i="81"/>
  <c r="G73" i="43"/>
  <c r="G75" i="43" s="1"/>
  <c r="Q11" i="63"/>
  <c r="I200" i="66"/>
  <c r="T200" i="66" s="1"/>
  <c r="AT200" i="66" s="1"/>
  <c r="G15" i="81"/>
  <c r="D1204" i="70"/>
  <c r="F57" i="3" s="1"/>
  <c r="M63" i="3" s="1"/>
  <c r="C13" i="71"/>
  <c r="K13" i="71" s="1"/>
  <c r="C163" i="71"/>
  <c r="J163" i="71" s="1"/>
  <c r="C183" i="71"/>
  <c r="C185" i="71"/>
  <c r="AL29" i="2"/>
  <c r="AL14" i="2"/>
  <c r="AL12" i="2"/>
  <c r="W26" i="66"/>
  <c r="X26" i="66" s="1"/>
  <c r="V12" i="2"/>
  <c r="L12" i="2" s="1"/>
  <c r="V29" i="2"/>
  <c r="L29" i="2" s="1"/>
  <c r="V28" i="2"/>
  <c r="L28" i="2" s="1"/>
  <c r="V27" i="2"/>
  <c r="L27" i="2" s="1"/>
  <c r="W52" i="66"/>
  <c r="W54" i="66"/>
  <c r="I52" i="4"/>
  <c r="I58" i="4"/>
  <c r="I59" i="4"/>
  <c r="I33" i="4"/>
  <c r="I35" i="4" s="1"/>
  <c r="J45" i="4"/>
  <c r="I27" i="4"/>
  <c r="I28" i="4" s="1"/>
  <c r="I63" i="4"/>
  <c r="I64" i="4" s="1"/>
  <c r="I39" i="4"/>
  <c r="I40" i="4" s="1"/>
  <c r="I107" i="4"/>
  <c r="I111" i="4"/>
  <c r="I109" i="4"/>
  <c r="I105" i="4"/>
  <c r="J105" i="4" s="1"/>
  <c r="K105" i="4" s="1"/>
  <c r="L105" i="4" s="1"/>
  <c r="I53" i="4"/>
  <c r="G136" i="4"/>
  <c r="F138" i="4"/>
  <c r="K115" i="4"/>
  <c r="I113" i="4"/>
  <c r="I120" i="4"/>
  <c r="I118" i="4"/>
  <c r="K166" i="4"/>
  <c r="O35" i="3"/>
  <c r="M33" i="3" s="1"/>
  <c r="L36" i="73"/>
  <c r="C173" i="71"/>
  <c r="K116" i="4"/>
  <c r="F114" i="4"/>
  <c r="J114" i="4" s="1"/>
  <c r="K114" i="4"/>
  <c r="K121" i="4"/>
  <c r="I121" i="4"/>
  <c r="K119" i="4"/>
  <c r="F36" i="73"/>
  <c r="J248" i="60"/>
  <c r="N97" i="81"/>
  <c r="K104" i="81"/>
  <c r="N105" i="81" s="1"/>
  <c r="K112" i="81"/>
  <c r="N113" i="81" s="1"/>
  <c r="N229" i="81"/>
  <c r="K230" i="81"/>
  <c r="J219" i="81"/>
  <c r="K219" i="81" s="1"/>
  <c r="K262" i="27"/>
  <c r="K138" i="82" s="1"/>
  <c r="K278" i="27"/>
  <c r="K146" i="82" s="1"/>
  <c r="K286" i="27"/>
  <c r="K154" i="82" s="1"/>
  <c r="K162" i="82"/>
  <c r="K265" i="27"/>
  <c r="K141" i="82" s="1"/>
  <c r="K263" i="27"/>
  <c r="K139" i="82" s="1"/>
  <c r="K279" i="27"/>
  <c r="K147" i="82" s="1"/>
  <c r="K155" i="82"/>
  <c r="K163" i="82"/>
  <c r="K269" i="27"/>
  <c r="K145" i="82" s="1"/>
  <c r="K464" i="27"/>
  <c r="K166" i="82" s="1"/>
  <c r="K268" i="27"/>
  <c r="K144" i="82" s="1"/>
  <c r="K284" i="27"/>
  <c r="K152" i="82" s="1"/>
  <c r="K160" i="82"/>
  <c r="K467" i="27"/>
  <c r="K169" i="82" s="1"/>
  <c r="K281" i="27"/>
  <c r="K149" i="82" s="1"/>
  <c r="K165" i="82"/>
  <c r="O261" i="27"/>
  <c r="O137" i="82" s="1"/>
  <c r="O265" i="27"/>
  <c r="O141" i="82" s="1"/>
  <c r="O269" i="27"/>
  <c r="O145" i="82" s="1"/>
  <c r="O281" i="27"/>
  <c r="O149" i="82" s="1"/>
  <c r="O285" i="27"/>
  <c r="O153" i="82" s="1"/>
  <c r="O157" i="82"/>
  <c r="O161" i="82"/>
  <c r="O165" i="82"/>
  <c r="O467" i="27"/>
  <c r="O169" i="82" s="1"/>
  <c r="O264" i="27"/>
  <c r="O140" i="82" s="1"/>
  <c r="O160" i="82"/>
  <c r="O262" i="27"/>
  <c r="O138" i="82" s="1"/>
  <c r="O266" i="27"/>
  <c r="O142" i="82" s="1"/>
  <c r="O278" i="27"/>
  <c r="O146" i="82" s="1"/>
  <c r="O282" i="27"/>
  <c r="O150" i="82" s="1"/>
  <c r="O286" i="27"/>
  <c r="O154" i="82" s="1"/>
  <c r="O158" i="82"/>
  <c r="O162" i="82"/>
  <c r="O464" i="27"/>
  <c r="O166" i="82" s="1"/>
  <c r="O468" i="27"/>
  <c r="O170" i="82" s="1"/>
  <c r="O268" i="27"/>
  <c r="O144" i="82" s="1"/>
  <c r="O156" i="82"/>
  <c r="O466" i="27"/>
  <c r="O168" i="82" s="1"/>
  <c r="O263" i="27"/>
  <c r="O139" i="82" s="1"/>
  <c r="O267" i="27"/>
  <c r="O143" i="82" s="1"/>
  <c r="O279" i="27"/>
  <c r="O147" i="82" s="1"/>
  <c r="O283" i="27"/>
  <c r="O151" i="82" s="1"/>
  <c r="O155" i="82"/>
  <c r="O159" i="82"/>
  <c r="O163" i="82"/>
  <c r="O465" i="27"/>
  <c r="O167" i="82" s="1"/>
  <c r="O280" i="27"/>
  <c r="O148" i="82" s="1"/>
  <c r="O284" i="27"/>
  <c r="O152" i="82" s="1"/>
  <c r="O164" i="82"/>
  <c r="K73" i="4"/>
  <c r="I79" i="4"/>
  <c r="I80" i="4" s="1"/>
  <c r="J73" i="4"/>
  <c r="I73" i="4"/>
  <c r="I74" i="4" s="1"/>
  <c r="G103" i="4"/>
  <c r="G109" i="4"/>
  <c r="G104" i="4"/>
  <c r="G107" i="4"/>
  <c r="E2" i="64"/>
  <c r="E1" i="2"/>
  <c r="F1215" i="70" s="1"/>
  <c r="C96" i="72"/>
  <c r="J240" i="60"/>
  <c r="J249" i="60"/>
  <c r="J218" i="81"/>
  <c r="K218" i="81" s="1"/>
  <c r="J237" i="60"/>
  <c r="J251" i="60"/>
  <c r="J252" i="60"/>
  <c r="F63" i="36"/>
  <c r="K167" i="81"/>
  <c r="J167" i="81"/>
  <c r="K114" i="81"/>
  <c r="N115" i="81" s="1"/>
  <c r="K113" i="81"/>
  <c r="N114" i="81" s="1"/>
  <c r="K105" i="81"/>
  <c r="N106" i="81" s="1"/>
  <c r="C206" i="71"/>
  <c r="P2" i="74" s="1"/>
  <c r="AD782" i="63"/>
  <c r="AE781" i="63"/>
  <c r="O971" i="63"/>
  <c r="O989" i="63"/>
  <c r="Y185" i="66"/>
  <c r="Y200" i="66"/>
  <c r="Y171" i="66"/>
  <c r="I171" i="66" s="1"/>
  <c r="Y213" i="66"/>
  <c r="I213" i="66" s="1"/>
  <c r="Y12" i="66"/>
  <c r="J12" i="66" s="1"/>
  <c r="Y215" i="66"/>
  <c r="I215" i="66" s="1"/>
  <c r="Y14" i="66"/>
  <c r="J14" i="66" s="1"/>
  <c r="Y217" i="66"/>
  <c r="I217" i="66" s="1"/>
  <c r="O965" i="63"/>
  <c r="O982" i="63"/>
  <c r="R982" i="63" s="1"/>
  <c r="O972" i="63"/>
  <c r="O985" i="63"/>
  <c r="R985" i="63" s="1"/>
  <c r="O980" i="63"/>
  <c r="R980" i="63" s="1"/>
  <c r="O981" i="63"/>
  <c r="AD361" i="63"/>
  <c r="AE173" i="63"/>
  <c r="AD172" i="63"/>
  <c r="AE171" i="63"/>
  <c r="AD14" i="63"/>
  <c r="O977" i="63"/>
  <c r="F20" i="85"/>
  <c r="L20" i="85"/>
  <c r="AD401" i="63"/>
  <c r="AE397" i="63"/>
  <c r="AD397" i="63"/>
  <c r="AE394" i="63"/>
  <c r="AD394" i="63"/>
  <c r="AE392" i="63"/>
  <c r="AD392" i="63"/>
  <c r="AE390" i="63"/>
  <c r="AD390" i="63"/>
  <c r="AE388" i="63"/>
  <c r="AD388" i="63"/>
  <c r="AD387" i="63"/>
  <c r="AE387" i="63"/>
  <c r="AD386" i="63"/>
  <c r="AE386" i="63"/>
  <c r="AE385" i="63"/>
  <c r="AD385" i="63"/>
  <c r="AE382" i="63"/>
  <c r="AD381" i="63"/>
  <c r="AE381" i="63"/>
  <c r="AE379" i="63"/>
  <c r="AE378" i="63"/>
  <c r="AD378" i="63"/>
  <c r="AD377" i="63"/>
  <c r="AE377" i="63"/>
  <c r="AD376" i="63"/>
  <c r="AE376" i="63"/>
  <c r="AD371" i="63"/>
  <c r="AD370" i="63"/>
  <c r="AE370" i="63"/>
  <c r="AE369" i="63"/>
  <c r="AD369" i="63"/>
  <c r="AE343" i="63"/>
  <c r="AD343" i="63"/>
  <c r="AE341" i="63"/>
  <c r="AD341" i="63"/>
  <c r="AD339" i="63"/>
  <c r="AE339" i="63"/>
  <c r="AD338" i="63"/>
  <c r="AE338" i="63"/>
  <c r="AD337" i="63"/>
  <c r="AE337" i="63"/>
  <c r="AE333" i="63"/>
  <c r="AD333" i="63"/>
  <c r="AE332" i="63"/>
  <c r="AD332" i="63"/>
  <c r="AD331" i="63"/>
  <c r="AD330" i="63"/>
  <c r="AE330" i="63"/>
  <c r="AE329" i="63"/>
  <c r="AD329" i="63"/>
  <c r="AE328" i="63"/>
  <c r="AD328" i="63"/>
  <c r="AE326" i="63"/>
  <c r="AD326" i="63"/>
  <c r="AE325" i="63"/>
  <c r="AD325" i="63"/>
  <c r="AE324" i="63"/>
  <c r="AD324" i="63"/>
  <c r="AD323" i="63"/>
  <c r="AE323" i="63"/>
  <c r="AD322" i="63"/>
  <c r="AE321" i="63"/>
  <c r="AD321" i="63"/>
  <c r="AD317" i="63"/>
  <c r="AE317" i="63"/>
  <c r="AD310" i="63"/>
  <c r="AE310" i="63"/>
  <c r="AE309" i="63"/>
  <c r="AD309" i="63"/>
  <c r="AE308" i="63"/>
  <c r="AD308" i="63"/>
  <c r="AD307" i="63"/>
  <c r="AE307" i="63"/>
  <c r="AD305" i="63"/>
  <c r="AE305" i="63"/>
  <c r="AD304" i="63"/>
  <c r="AE304" i="63"/>
  <c r="AE303" i="63"/>
  <c r="AD300" i="63"/>
  <c r="AE300" i="63"/>
  <c r="AD274" i="63"/>
  <c r="AE274" i="63"/>
  <c r="AE257" i="63"/>
  <c r="AD257" i="63"/>
  <c r="AD253" i="63"/>
  <c r="AE253" i="63"/>
  <c r="AE252" i="63"/>
  <c r="AD252" i="63"/>
  <c r="AE251" i="63"/>
  <c r="AD251" i="63"/>
  <c r="AD250" i="63"/>
  <c r="AE250" i="63"/>
  <c r="AD249" i="63"/>
  <c r="AE249" i="63"/>
  <c r="AE248" i="63"/>
  <c r="AD248" i="63"/>
  <c r="AD237" i="63"/>
  <c r="AE237" i="63"/>
  <c r="AE236" i="63"/>
  <c r="AD236" i="63"/>
  <c r="AE234" i="63"/>
  <c r="AE233" i="63"/>
  <c r="AD233" i="63"/>
  <c r="AD231" i="63"/>
  <c r="AE231" i="63"/>
  <c r="AE230" i="63"/>
  <c r="AD230" i="63"/>
  <c r="AD228" i="63"/>
  <c r="AE228" i="63"/>
  <c r="AE227" i="63"/>
  <c r="AD227" i="63"/>
  <c r="AE225" i="63"/>
  <c r="AD225" i="63"/>
  <c r="AD223" i="63"/>
  <c r="AE223" i="63"/>
  <c r="AD209" i="63"/>
  <c r="AE209" i="63"/>
  <c r="AE208" i="63"/>
  <c r="AD208" i="63"/>
  <c r="AD207" i="63"/>
  <c r="AE207" i="63"/>
  <c r="AD205" i="63"/>
  <c r="AE205" i="63"/>
  <c r="AE203" i="63"/>
  <c r="AD203" i="63"/>
  <c r="AD202" i="63"/>
  <c r="AE202" i="63"/>
  <c r="AD198" i="63"/>
  <c r="AE198" i="63"/>
  <c r="AE195" i="63"/>
  <c r="AD195" i="63"/>
  <c r="AE194" i="63"/>
  <c r="AD194" i="63"/>
  <c r="AD191" i="63"/>
  <c r="AE191" i="63"/>
  <c r="AD188" i="63"/>
  <c r="AE188" i="63"/>
  <c r="AD181" i="63"/>
  <c r="AE181" i="63"/>
  <c r="AD180" i="63"/>
  <c r="AE180" i="63"/>
  <c r="AD175" i="63"/>
  <c r="AE167" i="63"/>
  <c r="AD167" i="63"/>
  <c r="AE166" i="63"/>
  <c r="AD149" i="63"/>
  <c r="AE149" i="63"/>
  <c r="AD148" i="63"/>
  <c r="AE148" i="63"/>
  <c r="AD143" i="63"/>
  <c r="AE143" i="63"/>
  <c r="AD142" i="63"/>
  <c r="AE142" i="63"/>
  <c r="AE141" i="63"/>
  <c r="AD141" i="63"/>
  <c r="AE140" i="63"/>
  <c r="AD139" i="63"/>
  <c r="AE139" i="63"/>
  <c r="AD138" i="63"/>
  <c r="AE138" i="63"/>
  <c r="AE136" i="63"/>
  <c r="AD136" i="63"/>
  <c r="AD135" i="63"/>
  <c r="AE135" i="63"/>
  <c r="AD134" i="63"/>
  <c r="AE134" i="63"/>
  <c r="AE133" i="63"/>
  <c r="AD133" i="63"/>
  <c r="AE132" i="63"/>
  <c r="AD132" i="63"/>
  <c r="AE131" i="63"/>
  <c r="AD131" i="63"/>
  <c r="AD130" i="63"/>
  <c r="AE130" i="63"/>
  <c r="AD122" i="63"/>
  <c r="AE108" i="63"/>
  <c r="AD108" i="63"/>
  <c r="AD107" i="63"/>
  <c r="AE107" i="63"/>
  <c r="AD106" i="63"/>
  <c r="AE106" i="63"/>
  <c r="AE105" i="63"/>
  <c r="AD105" i="63"/>
  <c r="AD104" i="63"/>
  <c r="AE104" i="63"/>
  <c r="AE100" i="63"/>
  <c r="AD100" i="63"/>
  <c r="AE99" i="63"/>
  <c r="AD99" i="63"/>
  <c r="AD98" i="63"/>
  <c r="AE98" i="63"/>
  <c r="AD97" i="63"/>
  <c r="AE97" i="63"/>
  <c r="AD96" i="63"/>
  <c r="AE96" i="63"/>
  <c r="AD95" i="63"/>
  <c r="AE95" i="63"/>
  <c r="AE94" i="63"/>
  <c r="AD92" i="63"/>
  <c r="AE92" i="63"/>
  <c r="AD91" i="63"/>
  <c r="AE91" i="63"/>
  <c r="AE90" i="63"/>
  <c r="AD90" i="63"/>
  <c r="AE89" i="63"/>
  <c r="AD89" i="63"/>
  <c r="AD88" i="63"/>
  <c r="AE88" i="63"/>
  <c r="AD87" i="63"/>
  <c r="AE87" i="63"/>
  <c r="AD84" i="63"/>
  <c r="AE84" i="63"/>
  <c r="AD83" i="63"/>
  <c r="AE83" i="63"/>
  <c r="AD78" i="63"/>
  <c r="AE78" i="63"/>
  <c r="AE75" i="63"/>
  <c r="AD75" i="63"/>
  <c r="AE73" i="63"/>
  <c r="AD73" i="63"/>
  <c r="AD57" i="63"/>
  <c r="AE57" i="63"/>
  <c r="AD54" i="63"/>
  <c r="AE54" i="63"/>
  <c r="AD52" i="63"/>
  <c r="AE52" i="63"/>
  <c r="AD42" i="63"/>
  <c r="AE42" i="63"/>
  <c r="AD40" i="63"/>
  <c r="AE40" i="63"/>
  <c r="AD39" i="63"/>
  <c r="AE39" i="63"/>
  <c r="AD38" i="63"/>
  <c r="AE38" i="63"/>
  <c r="AD25" i="63"/>
  <c r="AE17" i="63"/>
  <c r="AD17" i="63"/>
  <c r="AE16" i="63"/>
  <c r="AD16" i="63"/>
  <c r="AD185" i="63"/>
  <c r="AE334" i="63"/>
  <c r="AD200" i="63"/>
  <c r="AE375" i="63"/>
  <c r="AD166" i="63"/>
  <c r="N56" i="2"/>
  <c r="P54" i="66" s="1"/>
  <c r="N34" i="2"/>
  <c r="N38" i="2"/>
  <c r="N40" i="2"/>
  <c r="N57" i="2"/>
  <c r="D27" i="19"/>
  <c r="P43" i="66"/>
  <c r="F110" i="72"/>
  <c r="H121" i="72"/>
  <c r="R54" i="66"/>
  <c r="I38" i="19"/>
  <c r="I25" i="19"/>
  <c r="R41" i="66"/>
  <c r="H108" i="72"/>
  <c r="L318" i="70"/>
  <c r="P36" i="2" s="1"/>
  <c r="N37" i="2"/>
  <c r="F119" i="72"/>
  <c r="P52" i="66"/>
  <c r="D36" i="19"/>
  <c r="I34" i="19"/>
  <c r="R50" i="66"/>
  <c r="H117" i="72"/>
  <c r="I30" i="19"/>
  <c r="R46" i="66"/>
  <c r="H113" i="72"/>
  <c r="H114" i="72"/>
  <c r="R47" i="66"/>
  <c r="I31" i="19"/>
  <c r="H109" i="72"/>
  <c r="R42" i="66"/>
  <c r="I26" i="19"/>
  <c r="I28" i="19"/>
  <c r="H111" i="72"/>
  <c r="R44" i="66"/>
  <c r="H122" i="72"/>
  <c r="R55" i="66"/>
  <c r="I39" i="19"/>
  <c r="F120" i="72"/>
  <c r="P53" i="66"/>
  <c r="D37" i="19"/>
  <c r="H112" i="72"/>
  <c r="I29" i="19"/>
  <c r="R45" i="66"/>
  <c r="D52" i="41"/>
  <c r="E28" i="41"/>
  <c r="C52" i="41"/>
  <c r="D28" i="41"/>
  <c r="E52" i="41"/>
  <c r="C28" i="41"/>
  <c r="D44" i="41"/>
  <c r="C36" i="41"/>
  <c r="D12" i="41"/>
  <c r="K136" i="43"/>
  <c r="H41" i="7"/>
  <c r="P8" i="85"/>
  <c r="J8" i="85" s="1"/>
  <c r="I1197" i="70"/>
  <c r="I148" i="72" s="1"/>
  <c r="J1197" i="70"/>
  <c r="G26" i="73"/>
  <c r="I26" i="73"/>
  <c r="L26" i="73"/>
  <c r="G38" i="73"/>
  <c r="J38" i="73"/>
  <c r="M38" i="73"/>
  <c r="B11" i="39"/>
  <c r="AC28" i="83"/>
  <c r="W28" i="83"/>
  <c r="I28" i="83"/>
  <c r="O28" i="83"/>
  <c r="D9" i="58"/>
  <c r="D18" i="58"/>
  <c r="L56" i="85"/>
  <c r="G63" i="36"/>
  <c r="AE358" i="63"/>
  <c r="AE64" i="63"/>
  <c r="AE63" i="63"/>
  <c r="AE348" i="63"/>
  <c r="S11" i="63"/>
  <c r="N5" i="71"/>
  <c r="M6" i="60"/>
  <c r="D85" i="43"/>
  <c r="Q28" i="83"/>
  <c r="Y28" i="83"/>
  <c r="AG28" i="83"/>
  <c r="S28" i="83"/>
  <c r="AA28" i="83"/>
  <c r="AI28" i="83"/>
  <c r="M28" i="83"/>
  <c r="G28" i="83"/>
  <c r="D63" i="58"/>
  <c r="D72" i="58"/>
  <c r="D81" i="58"/>
  <c r="D45" i="58"/>
  <c r="D54" i="58"/>
  <c r="U7" i="84"/>
  <c r="D210" i="66"/>
  <c r="P63" i="27"/>
  <c r="P58" i="82" s="1"/>
  <c r="P64" i="27"/>
  <c r="P59" i="82" s="1"/>
  <c r="P68" i="27"/>
  <c r="P63" i="82" s="1"/>
  <c r="P69" i="27"/>
  <c r="P64" i="82" s="1"/>
  <c r="P73" i="27"/>
  <c r="P68" i="82" s="1"/>
  <c r="P70" i="27"/>
  <c r="P65" i="82" s="1"/>
  <c r="P62" i="27"/>
  <c r="P57" i="82" s="1"/>
  <c r="P74" i="27"/>
  <c r="P69" i="82" s="1"/>
  <c r="P72" i="27"/>
  <c r="P67" i="82" s="1"/>
  <c r="P65" i="27"/>
  <c r="P60" i="82" s="1"/>
  <c r="P75" i="27"/>
  <c r="P70" i="82" s="1"/>
  <c r="P61" i="27"/>
  <c r="P56" i="82" s="1"/>
  <c r="AE216" i="63"/>
  <c r="AE220" i="63"/>
  <c r="AE355" i="63"/>
  <c r="AE61" i="63"/>
  <c r="AE30" i="63"/>
  <c r="AD360" i="63"/>
  <c r="AE221" i="63"/>
  <c r="AD366" i="63"/>
  <c r="P67" i="27"/>
  <c r="P62" i="82" s="1"/>
  <c r="AE29" i="63"/>
  <c r="AD19" i="63"/>
  <c r="AD363" i="63"/>
  <c r="AD69" i="63"/>
  <c r="AD344" i="63"/>
  <c r="AD145" i="63"/>
  <c r="AE32" i="63"/>
  <c r="AD221" i="63"/>
  <c r="AD66" i="63"/>
  <c r="AD349" i="63"/>
  <c r="AD347" i="63"/>
  <c r="AE368" i="63"/>
  <c r="AD56" i="63"/>
  <c r="R11" i="63"/>
  <c r="A437" i="70"/>
  <c r="A438" i="70"/>
  <c r="K68" i="27"/>
  <c r="K63" i="82" s="1"/>
  <c r="O70" i="27"/>
  <c r="O65" i="82" s="1"/>
  <c r="O68" i="27"/>
  <c r="O63" i="82" s="1"/>
  <c r="H257" i="60"/>
  <c r="H239" i="60"/>
  <c r="H251" i="60"/>
  <c r="H236" i="60"/>
  <c r="H235" i="60"/>
  <c r="H245" i="60"/>
  <c r="H248" i="60"/>
  <c r="K75" i="27"/>
  <c r="K70" i="82" s="1"/>
  <c r="A433" i="70"/>
  <c r="K74" i="27"/>
  <c r="K69" i="82" s="1"/>
  <c r="A439" i="70"/>
  <c r="K69" i="27"/>
  <c r="K64" i="82" s="1"/>
  <c r="A430" i="70"/>
  <c r="A64" i="27" s="1"/>
  <c r="O63" i="27"/>
  <c r="O58" i="82" s="1"/>
  <c r="O73" i="27"/>
  <c r="O68" i="82" s="1"/>
  <c r="O72" i="27"/>
  <c r="O67" i="82" s="1"/>
  <c r="K72" i="27"/>
  <c r="K67" i="82" s="1"/>
  <c r="K65" i="27"/>
  <c r="K60" i="82" s="1"/>
  <c r="A435" i="70"/>
  <c r="K70" i="27"/>
  <c r="K65" i="82" s="1"/>
  <c r="K63" i="27"/>
  <c r="K58" i="82" s="1"/>
  <c r="A429" i="70"/>
  <c r="A63" i="27" s="1"/>
  <c r="K71" i="27"/>
  <c r="K66" i="82" s="1"/>
  <c r="O75" i="27"/>
  <c r="O70" i="82" s="1"/>
  <c r="O66" i="27"/>
  <c r="O61" i="82" s="1"/>
  <c r="O61" i="27"/>
  <c r="O56" i="82" s="1"/>
  <c r="O71" i="27"/>
  <c r="O66" i="82" s="1"/>
  <c r="O62" i="27"/>
  <c r="O57" i="82" s="1"/>
  <c r="K64" i="27"/>
  <c r="K59" i="82" s="1"/>
  <c r="A434" i="70"/>
  <c r="K73" i="27"/>
  <c r="K68" i="82" s="1"/>
  <c r="A427" i="70"/>
  <c r="K66" i="27"/>
  <c r="K61" i="82" s="1"/>
  <c r="A432" i="70"/>
  <c r="A441" i="70"/>
  <c r="O67" i="27"/>
  <c r="O62" i="82" s="1"/>
  <c r="L9" i="85"/>
  <c r="L10" i="85"/>
  <c r="L11" i="85"/>
  <c r="L7" i="85"/>
  <c r="L8" i="85"/>
  <c r="O74" i="27"/>
  <c r="O69" i="82" s="1"/>
  <c r="R1208" i="63"/>
  <c r="R1205" i="63"/>
  <c r="M277" i="82"/>
  <c r="S277" i="82" s="1"/>
  <c r="R1206" i="63"/>
  <c r="AD785" i="63"/>
  <c r="AD783" i="63"/>
  <c r="AD781" i="63"/>
  <c r="AD779" i="63"/>
  <c r="AD777" i="63"/>
  <c r="AD893" i="63"/>
  <c r="AD891" i="63"/>
  <c r="AD850" i="63"/>
  <c r="AE786" i="63"/>
  <c r="AE784" i="63"/>
  <c r="AE782" i="63"/>
  <c r="AE780" i="63"/>
  <c r="AE778" i="63"/>
  <c r="AE894" i="63"/>
  <c r="AE892" i="63"/>
  <c r="AE890" i="63"/>
  <c r="AE851" i="63"/>
  <c r="AE849" i="63"/>
  <c r="O979" i="63"/>
  <c r="R979" i="63" s="1"/>
  <c r="AD784" i="63"/>
  <c r="P10" i="85"/>
  <c r="J10" i="85" s="1"/>
  <c r="P11" i="85"/>
  <c r="J11" i="85" s="1"/>
  <c r="C1" i="83"/>
  <c r="P7" i="85"/>
  <c r="J7" i="85" s="1"/>
  <c r="T56" i="7"/>
  <c r="AD398" i="63"/>
  <c r="AE398" i="63"/>
  <c r="AD402" i="63"/>
  <c r="AD189" i="63"/>
  <c r="AD255" i="63"/>
  <c r="AE301" i="63"/>
  <c r="AD318" i="63"/>
  <c r="AD336" i="63"/>
  <c r="AD340" i="63"/>
  <c r="AE371" i="63"/>
  <c r="AD382" i="63"/>
  <c r="AD186" i="63"/>
  <c r="AD226" i="63"/>
  <c r="AD235" i="63"/>
  <c r="AD256" i="63"/>
  <c r="AD302" i="63"/>
  <c r="AE322" i="63"/>
  <c r="AE331" i="63"/>
  <c r="AD372" i="63"/>
  <c r="AD384" i="63"/>
  <c r="AD391" i="63"/>
  <c r="AE401" i="63"/>
  <c r="AE393" i="63"/>
  <c r="AD393" i="63"/>
  <c r="AE389" i="63"/>
  <c r="AD389" i="63"/>
  <c r="AE383" i="63"/>
  <c r="AD383" i="63"/>
  <c r="AD380" i="63"/>
  <c r="AE380" i="63"/>
  <c r="AD374" i="63"/>
  <c r="AE374" i="63"/>
  <c r="AE373" i="63"/>
  <c r="AD373" i="63"/>
  <c r="AE342" i="63"/>
  <c r="AD342" i="63"/>
  <c r="AD335" i="63"/>
  <c r="AE335" i="63"/>
  <c r="AD327" i="63"/>
  <c r="AE327" i="63"/>
  <c r="AE320" i="63"/>
  <c r="AD320" i="63"/>
  <c r="AE306" i="63"/>
  <c r="AD306" i="63"/>
  <c r="AD254" i="63"/>
  <c r="AE254" i="63"/>
  <c r="AD238" i="63"/>
  <c r="AE238" i="63"/>
  <c r="AD232" i="63"/>
  <c r="AE232" i="63"/>
  <c r="AD224" i="63"/>
  <c r="AE224" i="63"/>
  <c r="AD211" i="63"/>
  <c r="AE211" i="63"/>
  <c r="AE199" i="63"/>
  <c r="AD199" i="63"/>
  <c r="AD184" i="63"/>
  <c r="AE184" i="63"/>
  <c r="AE179" i="63"/>
  <c r="AD146" i="63"/>
  <c r="AE146" i="63"/>
  <c r="AE137" i="63"/>
  <c r="AD137" i="63"/>
  <c r="AE129" i="63"/>
  <c r="AD129" i="63"/>
  <c r="AE109" i="63"/>
  <c r="AD109" i="63"/>
  <c r="AD102" i="63"/>
  <c r="AE102" i="63"/>
  <c r="AD85" i="63"/>
  <c r="AD93" i="63"/>
  <c r="AE41" i="63"/>
  <c r="AE53" i="63"/>
  <c r="B10" i="39"/>
  <c r="D24" i="58"/>
  <c r="D78" i="58"/>
  <c r="D69" i="58"/>
  <c r="D51" i="58"/>
  <c r="AE165" i="63"/>
  <c r="AE71" i="63"/>
  <c r="AD71" i="63"/>
  <c r="AD165" i="63"/>
  <c r="AD58" i="63"/>
  <c r="AD177" i="63"/>
  <c r="AD346" i="63"/>
  <c r="AD362" i="63"/>
  <c r="AE62" i="63"/>
  <c r="AD32" i="63"/>
  <c r="AD173" i="63"/>
  <c r="AD350" i="63"/>
  <c r="AD396" i="63"/>
  <c r="AE177" i="63"/>
  <c r="AE346" i="63"/>
  <c r="AE362" i="63"/>
  <c r="AD24" i="63"/>
  <c r="AD155" i="63"/>
  <c r="AD348" i="63"/>
  <c r="AD364" i="63"/>
  <c r="AE44" i="63"/>
  <c r="AE68" i="63"/>
  <c r="AE175" i="63"/>
  <c r="AE344" i="63"/>
  <c r="AD15" i="63"/>
  <c r="AD51" i="63"/>
  <c r="AD150" i="63"/>
  <c r="AD351" i="63"/>
  <c r="AD367" i="63"/>
  <c r="AE27" i="63"/>
  <c r="AE170" i="63"/>
  <c r="AE222" i="63"/>
  <c r="AE359" i="63"/>
  <c r="AE364" i="63"/>
  <c r="AD168" i="63"/>
  <c r="AD357" i="63"/>
  <c r="AE349" i="63"/>
  <c r="AE356" i="63"/>
  <c r="AD29" i="63"/>
  <c r="AD216" i="63"/>
  <c r="AE59" i="63"/>
  <c r="AE345" i="63"/>
  <c r="AD354" i="63"/>
  <c r="AE403" i="63"/>
  <c r="AE58" i="63"/>
  <c r="AE350" i="63"/>
  <c r="AE366" i="63"/>
  <c r="AD30" i="63"/>
  <c r="AD64" i="63"/>
  <c r="AD163" i="63"/>
  <c r="AD352" i="63"/>
  <c r="AD368" i="63"/>
  <c r="AE56" i="63"/>
  <c r="AE145" i="63"/>
  <c r="AE352" i="63"/>
  <c r="AD61" i="63"/>
  <c r="AD162" i="63"/>
  <c r="AD355" i="63"/>
  <c r="AD403" i="63"/>
  <c r="AE69" i="63"/>
  <c r="AE176" i="63"/>
  <c r="AE347" i="63"/>
  <c r="AE363" i="63"/>
  <c r="AD49" i="63"/>
  <c r="AD365" i="63"/>
  <c r="AE168" i="63"/>
  <c r="AE357" i="63"/>
  <c r="AD59" i="63"/>
  <c r="AD345" i="63"/>
  <c r="AE67" i="63"/>
  <c r="AE353" i="63"/>
  <c r="AE14" i="63"/>
  <c r="AD62" i="63"/>
  <c r="AD358" i="63"/>
  <c r="AE66" i="63"/>
  <c r="AE354" i="63"/>
  <c r="AE396" i="63"/>
  <c r="AD44" i="63"/>
  <c r="AD68" i="63"/>
  <c r="AD171" i="63"/>
  <c r="AD356" i="63"/>
  <c r="AE24" i="63"/>
  <c r="AE163" i="63"/>
  <c r="AE360" i="63"/>
  <c r="AD27" i="63"/>
  <c r="AD170" i="63"/>
  <c r="AD222" i="63"/>
  <c r="AD359" i="63"/>
  <c r="AE15" i="63"/>
  <c r="AE51" i="63"/>
  <c r="AE150" i="63"/>
  <c r="AE351" i="63"/>
  <c r="AE367" i="63"/>
  <c r="AD63" i="63"/>
  <c r="AD220" i="63"/>
  <c r="AE49" i="63"/>
  <c r="AE365" i="63"/>
  <c r="AD67" i="63"/>
  <c r="AD353" i="63"/>
  <c r="AE19" i="63"/>
  <c r="AE172" i="63"/>
  <c r="AE361" i="63"/>
  <c r="D42" i="58"/>
  <c r="P9" i="85"/>
  <c r="J9" i="85" s="1"/>
  <c r="D33" i="58"/>
  <c r="AD395" i="63"/>
  <c r="AE160" i="63"/>
  <c r="AE157" i="63"/>
  <c r="AE155" i="63"/>
  <c r="AD153" i="63"/>
  <c r="AD152" i="63"/>
  <c r="AD151" i="63"/>
  <c r="J4" i="66"/>
  <c r="AD675" i="63"/>
  <c r="AE675" i="63"/>
  <c r="AD681" i="63"/>
  <c r="AE681" i="63"/>
  <c r="AE680" i="63"/>
  <c r="AD680" i="63"/>
  <c r="AD679" i="63"/>
  <c r="AE679" i="63"/>
  <c r="AE678" i="63"/>
  <c r="AD678" i="63"/>
  <c r="AD677" i="63"/>
  <c r="AE677" i="63"/>
  <c r="AE676" i="63"/>
  <c r="AD676" i="63"/>
  <c r="AE674" i="63"/>
  <c r="AD674" i="63"/>
  <c r="AD673" i="63"/>
  <c r="AE673" i="63"/>
  <c r="AE672" i="63"/>
  <c r="AD672" i="63"/>
  <c r="AD671" i="63"/>
  <c r="AE671" i="63"/>
  <c r="AE670" i="63"/>
  <c r="AD670" i="63"/>
  <c r="AD669" i="63"/>
  <c r="AE669" i="63"/>
  <c r="AE668" i="63"/>
  <c r="AD668" i="63"/>
  <c r="AE667" i="63"/>
  <c r="AD667" i="63"/>
  <c r="AD666" i="63"/>
  <c r="AE666" i="63"/>
  <c r="AE665" i="63"/>
  <c r="AD665" i="63"/>
  <c r="AD664" i="63"/>
  <c r="AE664" i="63"/>
  <c r="AD663" i="63"/>
  <c r="AE663" i="63"/>
  <c r="AD662" i="63"/>
  <c r="AE662" i="63"/>
  <c r="AD661" i="63"/>
  <c r="AE661" i="63"/>
  <c r="AD660" i="63"/>
  <c r="AE660" i="63"/>
  <c r="AD659" i="63"/>
  <c r="AE659" i="63"/>
  <c r="AD658" i="63"/>
  <c r="AE658" i="63"/>
  <c r="AE657" i="63"/>
  <c r="AD657" i="63"/>
  <c r="AD656" i="63"/>
  <c r="AE656" i="63"/>
  <c r="AE655" i="63"/>
  <c r="AD655" i="63"/>
  <c r="AE654" i="63"/>
  <c r="AD654" i="63"/>
  <c r="AD639" i="63"/>
  <c r="AE639" i="63"/>
  <c r="AD638" i="63"/>
  <c r="AE638" i="63"/>
  <c r="AD637" i="63"/>
  <c r="AE637" i="63"/>
  <c r="AD636" i="63"/>
  <c r="AE636" i="63"/>
  <c r="AD635" i="63"/>
  <c r="AE635" i="63"/>
  <c r="AD634" i="63"/>
  <c r="AE634" i="63"/>
  <c r="AD633" i="63"/>
  <c r="AE633" i="63"/>
  <c r="AD632" i="63"/>
  <c r="AE632" i="63"/>
  <c r="AD617" i="63"/>
  <c r="AE617" i="63"/>
  <c r="AD616" i="63"/>
  <c r="AE616" i="63"/>
  <c r="AD615" i="63"/>
  <c r="AE615" i="63"/>
  <c r="AD614" i="63"/>
  <c r="AE614" i="63"/>
  <c r="AD613" i="63"/>
  <c r="AE613" i="63"/>
  <c r="AD612" i="63"/>
  <c r="AE612" i="63"/>
  <c r="AD611" i="63"/>
  <c r="AE611" i="63"/>
  <c r="AD595" i="63"/>
  <c r="AE595" i="63"/>
  <c r="AD594" i="63"/>
  <c r="AE594" i="63"/>
  <c r="AD578" i="63"/>
  <c r="AE578" i="63"/>
  <c r="AD577" i="63"/>
  <c r="AE577" i="63"/>
  <c r="AD576" i="63"/>
  <c r="AE576" i="63"/>
  <c r="AD575" i="63"/>
  <c r="AE575" i="63"/>
  <c r="AD574" i="63"/>
  <c r="AE574" i="63"/>
  <c r="AD573" i="63"/>
  <c r="AE573" i="63"/>
  <c r="AE572" i="63"/>
  <c r="AD572" i="63"/>
  <c r="AE571" i="63"/>
  <c r="AD571" i="63"/>
  <c r="AD570" i="63"/>
  <c r="AE570" i="63"/>
  <c r="AE569" i="63"/>
  <c r="AD569" i="63"/>
  <c r="AE568" i="63"/>
  <c r="AD568" i="63"/>
  <c r="AE567" i="63"/>
  <c r="AD567" i="63"/>
  <c r="AE566" i="63"/>
  <c r="AD566" i="63"/>
  <c r="AE565" i="63"/>
  <c r="AD565" i="63"/>
  <c r="AE564" i="63"/>
  <c r="AD564" i="63"/>
  <c r="AE563" i="63"/>
  <c r="AD563" i="63"/>
  <c r="AD562" i="63"/>
  <c r="AE562" i="63"/>
  <c r="AE561" i="63"/>
  <c r="AD561" i="63"/>
  <c r="AE560" i="63"/>
  <c r="AD560" i="63"/>
  <c r="AD559" i="63"/>
  <c r="AE559" i="63"/>
  <c r="AD558" i="63"/>
  <c r="AE558" i="63"/>
  <c r="AD557" i="63"/>
  <c r="AE557" i="63"/>
  <c r="AE556" i="63"/>
  <c r="AD556" i="63"/>
  <c r="AD555" i="63"/>
  <c r="AE555" i="63"/>
  <c r="AD554" i="63"/>
  <c r="AE554" i="63"/>
  <c r="AD553" i="63"/>
  <c r="AE553" i="63"/>
  <c r="AD552" i="63"/>
  <c r="AE552" i="63"/>
  <c r="AD551" i="63"/>
  <c r="AE551" i="63"/>
  <c r="AE550" i="63"/>
  <c r="AD550" i="63"/>
  <c r="AD549" i="63"/>
  <c r="AE549" i="63"/>
  <c r="AE548" i="63"/>
  <c r="AD548" i="63"/>
  <c r="AD547" i="63"/>
  <c r="AE547" i="63"/>
  <c r="AD546" i="63"/>
  <c r="AE546" i="63"/>
  <c r="AE545" i="63"/>
  <c r="AD545" i="63"/>
  <c r="AD544" i="63"/>
  <c r="AE544" i="63"/>
  <c r="AD543" i="63"/>
  <c r="AE543" i="63"/>
  <c r="AD542" i="63"/>
  <c r="AE542" i="63"/>
  <c r="AD541" i="63"/>
  <c r="AE541" i="63"/>
  <c r="AD540" i="63"/>
  <c r="AE540" i="63"/>
  <c r="AD539" i="63"/>
  <c r="AE539" i="63"/>
  <c r="AD538" i="63"/>
  <c r="AE538" i="63"/>
  <c r="AD537" i="63"/>
  <c r="AE537" i="63"/>
  <c r="AD536" i="63"/>
  <c r="AE536" i="63"/>
  <c r="AD535" i="63"/>
  <c r="AE535" i="63"/>
  <c r="AD534" i="63"/>
  <c r="AE534" i="63"/>
  <c r="AD533" i="63"/>
  <c r="AE533" i="63"/>
  <c r="AD532" i="63"/>
  <c r="AE532" i="63"/>
  <c r="AD531" i="63"/>
  <c r="AE531" i="63"/>
  <c r="AD530" i="63"/>
  <c r="AE530" i="63"/>
  <c r="AD529" i="63"/>
  <c r="AE529" i="63"/>
  <c r="AD528" i="63"/>
  <c r="AE528" i="63"/>
  <c r="AD527" i="63"/>
  <c r="AE527" i="63"/>
  <c r="AD526" i="63"/>
  <c r="AE526" i="63"/>
  <c r="AD525" i="63"/>
  <c r="AE525" i="63"/>
  <c r="AE513" i="63"/>
  <c r="AD513" i="63"/>
  <c r="AD512" i="63"/>
  <c r="AE512" i="63"/>
  <c r="AE511" i="63"/>
  <c r="AD511" i="63"/>
  <c r="AE501" i="63"/>
  <c r="AD501" i="63"/>
  <c r="AD500" i="63"/>
  <c r="AE500" i="63"/>
  <c r="AE499" i="63"/>
  <c r="AD499" i="63"/>
  <c r="AD498" i="63"/>
  <c r="AE498" i="63"/>
  <c r="AE497" i="63"/>
  <c r="AD497" i="63"/>
  <c r="AD496" i="63"/>
  <c r="AE496" i="63"/>
  <c r="AE495" i="63"/>
  <c r="AD495" i="63"/>
  <c r="AD494" i="63"/>
  <c r="AE494" i="63"/>
  <c r="AE493" i="63"/>
  <c r="AD493" i="63"/>
  <c r="AD492" i="63"/>
  <c r="AE492" i="63"/>
  <c r="AE491" i="63"/>
  <c r="AD491" i="63"/>
  <c r="AD490" i="63"/>
  <c r="AE490" i="63"/>
  <c r="AE489" i="63"/>
  <c r="AD489" i="63"/>
  <c r="AD488" i="63"/>
  <c r="AE488" i="63"/>
  <c r="AE487" i="63"/>
  <c r="AD487" i="63"/>
  <c r="AD486" i="63"/>
  <c r="AE486" i="63"/>
  <c r="AE485" i="63"/>
  <c r="AD485" i="63"/>
  <c r="AD484" i="63"/>
  <c r="AE484" i="63"/>
  <c r="AD480" i="63"/>
  <c r="AE480" i="63"/>
  <c r="AE479" i="63"/>
  <c r="AD479" i="63"/>
  <c r="AD478" i="63"/>
  <c r="AE478" i="63"/>
  <c r="AE477" i="63"/>
  <c r="AD477" i="63"/>
  <c r="AD476" i="63"/>
  <c r="AE476" i="63"/>
  <c r="AE475" i="63"/>
  <c r="AD475" i="63"/>
  <c r="AD474" i="63"/>
  <c r="AE474" i="63"/>
  <c r="AE473" i="63"/>
  <c r="AD473" i="63"/>
  <c r="AD472" i="63"/>
  <c r="AE472" i="63"/>
  <c r="AE471" i="63"/>
  <c r="AD471" i="63"/>
  <c r="AD470" i="63"/>
  <c r="AE470" i="63"/>
  <c r="AE469" i="63"/>
  <c r="AD469" i="63"/>
  <c r="AE468" i="63"/>
  <c r="AD468" i="63"/>
  <c r="AD465" i="63"/>
  <c r="AE465" i="63"/>
  <c r="AE464" i="63"/>
  <c r="AD464" i="63"/>
  <c r="AE461" i="63"/>
  <c r="AD461" i="63"/>
  <c r="AE460" i="63"/>
  <c r="AD460" i="63"/>
  <c r="AE457" i="63"/>
  <c r="AD457" i="63"/>
  <c r="AD411" i="63"/>
  <c r="AE411" i="63"/>
  <c r="AE408" i="63"/>
  <c r="AD408" i="63"/>
  <c r="AD405" i="63"/>
  <c r="AE405" i="63"/>
  <c r="AE462" i="63"/>
  <c r="AD462" i="63"/>
  <c r="AD458" i="63"/>
  <c r="AE458" i="63"/>
  <c r="AD412" i="63"/>
  <c r="AE412" i="63"/>
  <c r="AE410" i="63"/>
  <c r="AD410" i="63"/>
  <c r="AD407" i="63"/>
  <c r="AE407" i="63"/>
  <c r="AE404" i="63"/>
  <c r="AD404" i="63"/>
  <c r="AD463" i="63"/>
  <c r="AE463" i="63"/>
  <c r="AE459" i="63"/>
  <c r="AD459" i="63"/>
  <c r="AD456" i="63"/>
  <c r="AE456" i="63"/>
  <c r="AD409" i="63"/>
  <c r="AE409" i="63"/>
  <c r="AD406" i="63"/>
  <c r="AE406" i="63"/>
  <c r="AE400" i="63"/>
  <c r="AD400" i="63"/>
  <c r="AE395" i="63"/>
  <c r="AD156" i="63"/>
  <c r="AE156" i="63"/>
  <c r="AD154" i="63"/>
  <c r="AE154" i="63"/>
  <c r="AE152" i="63"/>
  <c r="AD160" i="63"/>
  <c r="AE151" i="63"/>
  <c r="AE153" i="63"/>
  <c r="AD157" i="63"/>
  <c r="J136" i="81"/>
  <c r="K136" i="81" s="1"/>
  <c r="N136" i="81" s="1"/>
  <c r="K140" i="81"/>
  <c r="N140" i="81" s="1"/>
  <c r="K134" i="81"/>
  <c r="N134" i="81" s="1"/>
  <c r="K138" i="81"/>
  <c r="N138" i="81" s="1"/>
  <c r="N133" i="81"/>
  <c r="N139" i="81"/>
  <c r="K135" i="81"/>
  <c r="N135" i="81" s="1"/>
  <c r="J141" i="81"/>
  <c r="K114" i="72" l="1"/>
  <c r="W55" i="2"/>
  <c r="AR55" i="2" s="1"/>
  <c r="W54" i="2"/>
  <c r="AR54" i="2"/>
  <c r="G150" i="71"/>
  <c r="G138" i="71"/>
  <c r="I138" i="71" s="1"/>
  <c r="G151" i="71"/>
  <c r="G140" i="71"/>
  <c r="I140" i="71" s="1"/>
  <c r="G139" i="71"/>
  <c r="G141" i="71"/>
  <c r="K141" i="71" s="1"/>
  <c r="G149" i="71"/>
  <c r="I149" i="71" s="1"/>
  <c r="G148" i="71"/>
  <c r="K148" i="71" s="1"/>
  <c r="N115" i="4"/>
  <c r="AT115" i="4" s="1"/>
  <c r="N105" i="4"/>
  <c r="AT105" i="4" s="1"/>
  <c r="N107" i="4"/>
  <c r="AT107" i="4" s="1"/>
  <c r="N76" i="4"/>
  <c r="AT76" i="4" s="1"/>
  <c r="N89" i="4"/>
  <c r="AT89" i="4" s="1"/>
  <c r="Q53" i="2"/>
  <c r="S51" i="66" s="1"/>
  <c r="P53" i="2"/>
  <c r="R51" i="66" s="1"/>
  <c r="B315" i="43"/>
  <c r="B319" i="43" s="1"/>
  <c r="C276" i="43"/>
  <c r="C265" i="43"/>
  <c r="I33" i="19"/>
  <c r="R49" i="66"/>
  <c r="N79" i="4"/>
  <c r="AT79" i="4" s="1"/>
  <c r="N111" i="4"/>
  <c r="AT111" i="4" s="1"/>
  <c r="N93" i="4"/>
  <c r="AT93" i="4" s="1"/>
  <c r="N82" i="4"/>
  <c r="AT82" i="4" s="1"/>
  <c r="N121" i="4"/>
  <c r="AT121" i="4" s="1"/>
  <c r="N113" i="4"/>
  <c r="AT113" i="4" s="1"/>
  <c r="N70" i="4"/>
  <c r="AT70" i="4" s="1"/>
  <c r="N119" i="4"/>
  <c r="AT119" i="4" s="1"/>
  <c r="N117" i="4"/>
  <c r="AT117" i="4" s="1"/>
  <c r="S48" i="66"/>
  <c r="N57" i="4"/>
  <c r="AT57" i="4" s="1"/>
  <c r="N63" i="4"/>
  <c r="AT63" i="4" s="1"/>
  <c r="N36" i="4"/>
  <c r="AT36" i="4" s="1"/>
  <c r="N60" i="4"/>
  <c r="AT60" i="4" s="1"/>
  <c r="N27" i="4"/>
  <c r="AT27" i="4" s="1"/>
  <c r="N30" i="4"/>
  <c r="AT30" i="4" s="1"/>
  <c r="N33" i="4"/>
  <c r="AT33" i="4" s="1"/>
  <c r="N24" i="4"/>
  <c r="AT24" i="4" s="1"/>
  <c r="N98" i="4"/>
  <c r="AT98" i="4" s="1"/>
  <c r="N118" i="4"/>
  <c r="AT118" i="4" s="1"/>
  <c r="N110" i="4"/>
  <c r="AT110" i="4" s="1"/>
  <c r="N85" i="4"/>
  <c r="AT85" i="4" s="1"/>
  <c r="N73" i="4"/>
  <c r="AT73" i="4" s="1"/>
  <c r="N116" i="4"/>
  <c r="AT116" i="4" s="1"/>
  <c r="N90" i="4"/>
  <c r="AT90" i="4" s="1"/>
  <c r="N120" i="4"/>
  <c r="AT120" i="4" s="1"/>
  <c r="N112" i="4"/>
  <c r="AT112" i="4" s="1"/>
  <c r="N95" i="4"/>
  <c r="AT95" i="4" s="1"/>
  <c r="N114" i="4"/>
  <c r="AT114" i="4" s="1"/>
  <c r="N92" i="4"/>
  <c r="AT92" i="4" s="1"/>
  <c r="N96" i="4"/>
  <c r="AT96" i="4" s="1"/>
  <c r="N66" i="4"/>
  <c r="AT66" i="4" s="1"/>
  <c r="N94" i="4"/>
  <c r="AT94" i="4" s="1"/>
  <c r="N166" i="4"/>
  <c r="AT166" i="4" s="1"/>
  <c r="N167" i="4"/>
  <c r="AT167" i="4" s="1"/>
  <c r="J32" i="19"/>
  <c r="H115" i="72"/>
  <c r="R48" i="66"/>
  <c r="G119" i="72"/>
  <c r="E36" i="19"/>
  <c r="AD47" i="2"/>
  <c r="W41" i="2"/>
  <c r="AC41" i="2" s="1"/>
  <c r="G109" i="72"/>
  <c r="D132" i="61"/>
  <c r="D134" i="61"/>
  <c r="D136" i="61"/>
  <c r="D138" i="61"/>
  <c r="D140" i="61"/>
  <c r="T21" i="2"/>
  <c r="T42" i="2"/>
  <c r="AT42" i="2" s="1"/>
  <c r="T43" i="2"/>
  <c r="AT43" i="2" s="1"/>
  <c r="T44" i="2"/>
  <c r="AT44" i="2" s="1"/>
  <c r="T45" i="2"/>
  <c r="AT45" i="2" s="1"/>
  <c r="T46" i="2"/>
  <c r="AT46" i="2" s="1"/>
  <c r="T47" i="2"/>
  <c r="AT47" i="2" s="1"/>
  <c r="F109" i="72"/>
  <c r="C132" i="61"/>
  <c r="C134" i="61"/>
  <c r="C136" i="61"/>
  <c r="C138" i="61"/>
  <c r="C140" i="61"/>
  <c r="AP42" i="2"/>
  <c r="AP43" i="2"/>
  <c r="AP44" i="2"/>
  <c r="AP45" i="2"/>
  <c r="AP46" i="2"/>
  <c r="AP47" i="2"/>
  <c r="AP48" i="2"/>
  <c r="G142" i="71"/>
  <c r="I139" i="71"/>
  <c r="J139" i="71"/>
  <c r="M139" i="71" s="1"/>
  <c r="AT139" i="71" s="1"/>
  <c r="K139" i="71"/>
  <c r="G145" i="71"/>
  <c r="I145" i="71" s="1"/>
  <c r="J101" i="4"/>
  <c r="K101" i="4" s="1"/>
  <c r="L101" i="4" s="1"/>
  <c r="N101" i="4" s="1"/>
  <c r="AT101" i="4" s="1"/>
  <c r="J104" i="4"/>
  <c r="K104" i="4" s="1"/>
  <c r="L104" i="4" s="1"/>
  <c r="N104" i="4" s="1"/>
  <c r="AT104" i="4" s="1"/>
  <c r="J103" i="4"/>
  <c r="K103" i="4" s="1"/>
  <c r="L103" i="4" s="1"/>
  <c r="N103" i="4" s="1"/>
  <c r="AT103" i="4" s="1"/>
  <c r="B12" i="73"/>
  <c r="AP15" i="2"/>
  <c r="B8" i="73"/>
  <c r="AP11" i="2"/>
  <c r="AP12" i="2"/>
  <c r="B6" i="73"/>
  <c r="AP9" i="2"/>
  <c r="AP39" i="2"/>
  <c r="AP40" i="2"/>
  <c r="AP41" i="2"/>
  <c r="B7" i="73"/>
  <c r="AP10" i="2"/>
  <c r="B11" i="73"/>
  <c r="AP14" i="2"/>
  <c r="AP61" i="2"/>
  <c r="AP63" i="2"/>
  <c r="AP65" i="2"/>
  <c r="AP67" i="2"/>
  <c r="AP69" i="2"/>
  <c r="AP62" i="2"/>
  <c r="AP64" i="2"/>
  <c r="AP66" i="2"/>
  <c r="AP68" i="2"/>
  <c r="AP70" i="2"/>
  <c r="AP21" i="2"/>
  <c r="AP16" i="2"/>
  <c r="AP17" i="2"/>
  <c r="AP18" i="2"/>
  <c r="AP19" i="2"/>
  <c r="AP20" i="2"/>
  <c r="AP13" i="2"/>
  <c r="C28" i="19"/>
  <c r="AP37" i="2"/>
  <c r="B21" i="73"/>
  <c r="AP38" i="2"/>
  <c r="L43" i="66"/>
  <c r="AP36" i="2"/>
  <c r="B35" i="2"/>
  <c r="AP35" i="2"/>
  <c r="G12" i="71"/>
  <c r="I12" i="71" s="1"/>
  <c r="G10" i="71"/>
  <c r="I10" i="71" s="1"/>
  <c r="G11" i="71"/>
  <c r="I11" i="71" s="1"/>
  <c r="J154" i="71"/>
  <c r="M154" i="71"/>
  <c r="AT154" i="71" s="1"/>
  <c r="G154" i="71"/>
  <c r="K113" i="71"/>
  <c r="L113" i="71" s="1"/>
  <c r="J113" i="71"/>
  <c r="J114" i="71"/>
  <c r="M114" i="71"/>
  <c r="AT114" i="71" s="1"/>
  <c r="G114" i="71"/>
  <c r="K123" i="71"/>
  <c r="L123" i="71" s="1"/>
  <c r="J123" i="71"/>
  <c r="J124" i="71"/>
  <c r="M124" i="71"/>
  <c r="AT124" i="71" s="1"/>
  <c r="G124" i="71"/>
  <c r="K133" i="71"/>
  <c r="L133" i="71" s="1"/>
  <c r="J133" i="71"/>
  <c r="J134" i="71"/>
  <c r="M134" i="71"/>
  <c r="AT134" i="71" s="1"/>
  <c r="G134" i="71"/>
  <c r="K143" i="71"/>
  <c r="L143" i="71" s="1"/>
  <c r="J143" i="71"/>
  <c r="J144" i="71"/>
  <c r="M144" i="71"/>
  <c r="AT144" i="71" s="1"/>
  <c r="G144" i="71"/>
  <c r="K153" i="71"/>
  <c r="L153" i="71" s="1"/>
  <c r="J153" i="71"/>
  <c r="K103" i="71"/>
  <c r="L103" i="71" s="1"/>
  <c r="J103" i="71"/>
  <c r="J104" i="71"/>
  <c r="M104" i="71"/>
  <c r="AT104" i="71" s="1"/>
  <c r="G104" i="71"/>
  <c r="K93" i="71"/>
  <c r="L93" i="71" s="1"/>
  <c r="J93" i="71"/>
  <c r="M94" i="71"/>
  <c r="AT94" i="71" s="1"/>
  <c r="G94" i="71"/>
  <c r="J94" i="71"/>
  <c r="K83" i="71"/>
  <c r="L83" i="71" s="1"/>
  <c r="J83" i="71"/>
  <c r="J84" i="71"/>
  <c r="M84" i="71"/>
  <c r="AT84" i="71" s="1"/>
  <c r="G84" i="71"/>
  <c r="G74" i="71"/>
  <c r="M74" i="71"/>
  <c r="AT74" i="71" s="1"/>
  <c r="J74" i="71"/>
  <c r="K73" i="71"/>
  <c r="L73" i="71" s="1"/>
  <c r="J73" i="71"/>
  <c r="K63" i="71"/>
  <c r="L63" i="71" s="1"/>
  <c r="J63" i="71"/>
  <c r="G64" i="71"/>
  <c r="J64" i="71"/>
  <c r="M64" i="71"/>
  <c r="AT64" i="71" s="1"/>
  <c r="J116" i="71"/>
  <c r="G116" i="71"/>
  <c r="M116" i="71"/>
  <c r="AT116" i="71" s="1"/>
  <c r="J115" i="71"/>
  <c r="K115" i="71"/>
  <c r="L115" i="71" s="1"/>
  <c r="J126" i="71"/>
  <c r="G126" i="71"/>
  <c r="M126" i="71"/>
  <c r="AT126" i="71" s="1"/>
  <c r="J125" i="71"/>
  <c r="K125" i="71"/>
  <c r="L125" i="71" s="1"/>
  <c r="J136" i="71"/>
  <c r="G136" i="71"/>
  <c r="M136" i="71"/>
  <c r="AT136" i="71" s="1"/>
  <c r="J135" i="71"/>
  <c r="K135" i="71"/>
  <c r="L135" i="71" s="1"/>
  <c r="J146" i="71"/>
  <c r="G146" i="71"/>
  <c r="M146" i="71"/>
  <c r="AT146" i="71" s="1"/>
  <c r="J145" i="71"/>
  <c r="K145" i="71"/>
  <c r="J156" i="71"/>
  <c r="G156" i="71"/>
  <c r="M156" i="71"/>
  <c r="AT156" i="71" s="1"/>
  <c r="J155" i="71"/>
  <c r="K155" i="71"/>
  <c r="K53" i="71"/>
  <c r="L53" i="71" s="1"/>
  <c r="J53" i="71"/>
  <c r="G54" i="71"/>
  <c r="M54" i="71"/>
  <c r="AT54" i="71" s="1"/>
  <c r="J54" i="71"/>
  <c r="J106" i="71"/>
  <c r="G106" i="71"/>
  <c r="M106" i="71"/>
  <c r="AT106" i="71" s="1"/>
  <c r="K105" i="71"/>
  <c r="L105" i="71" s="1"/>
  <c r="J105" i="71"/>
  <c r="G44" i="71"/>
  <c r="J44" i="71"/>
  <c r="M44" i="71"/>
  <c r="AT44" i="71" s="1"/>
  <c r="K43" i="71"/>
  <c r="L43" i="71" s="1"/>
  <c r="J43" i="71"/>
  <c r="J96" i="71"/>
  <c r="G96" i="71"/>
  <c r="M96" i="71"/>
  <c r="AT96" i="71" s="1"/>
  <c r="K95" i="71"/>
  <c r="L95" i="71" s="1"/>
  <c r="J95" i="71"/>
  <c r="K33" i="71"/>
  <c r="L33" i="71" s="1"/>
  <c r="J33" i="71"/>
  <c r="J34" i="71"/>
  <c r="M34" i="71"/>
  <c r="AT34" i="71" s="1"/>
  <c r="G34" i="71"/>
  <c r="J76" i="71"/>
  <c r="M76" i="71"/>
  <c r="AT76" i="71" s="1"/>
  <c r="G76" i="71"/>
  <c r="G26" i="71"/>
  <c r="J26" i="71"/>
  <c r="M26" i="71"/>
  <c r="AT26" i="71" s="1"/>
  <c r="K25" i="71"/>
  <c r="L25" i="71" s="1"/>
  <c r="J25" i="71"/>
  <c r="K45" i="71"/>
  <c r="L45" i="71" s="1"/>
  <c r="J45" i="71"/>
  <c r="G56" i="71"/>
  <c r="J56" i="71"/>
  <c r="M56" i="71"/>
  <c r="AT56" i="71" s="1"/>
  <c r="J36" i="71"/>
  <c r="M36" i="71"/>
  <c r="AT36" i="71" s="1"/>
  <c r="G36" i="71"/>
  <c r="K75" i="71"/>
  <c r="L75" i="71" s="1"/>
  <c r="J75" i="71"/>
  <c r="J55" i="71"/>
  <c r="K55" i="71"/>
  <c r="L55" i="71" s="1"/>
  <c r="K35" i="71"/>
  <c r="L35" i="71" s="1"/>
  <c r="J35" i="71"/>
  <c r="M66" i="71"/>
  <c r="AT66" i="71" s="1"/>
  <c r="G66" i="71"/>
  <c r="J66" i="71"/>
  <c r="K85" i="71"/>
  <c r="L85" i="71" s="1"/>
  <c r="J85" i="71"/>
  <c r="M86" i="71"/>
  <c r="AT86" i="71" s="1"/>
  <c r="J86" i="71"/>
  <c r="G86" i="71"/>
  <c r="J46" i="71"/>
  <c r="G46" i="71"/>
  <c r="M46" i="71"/>
  <c r="AT46" i="71" s="1"/>
  <c r="J65" i="71"/>
  <c r="K65" i="71"/>
  <c r="L65" i="71" s="1"/>
  <c r="J24" i="71"/>
  <c r="M24" i="71"/>
  <c r="AT24" i="71" s="1"/>
  <c r="G24" i="71"/>
  <c r="K23" i="71"/>
  <c r="L23" i="71" s="1"/>
  <c r="J23" i="71"/>
  <c r="G9" i="71"/>
  <c r="K9" i="71" s="1"/>
  <c r="N1163" i="70"/>
  <c r="C1163" i="70" s="1"/>
  <c r="J1163" i="70" s="1"/>
  <c r="P156" i="4" s="1"/>
  <c r="N1174" i="70"/>
  <c r="I8" i="71"/>
  <c r="K8" i="71"/>
  <c r="N1161" i="70"/>
  <c r="C1161" i="70" s="1"/>
  <c r="J1161" i="70" s="1"/>
  <c r="P154" i="4" s="1"/>
  <c r="N1162" i="70"/>
  <c r="C1162" i="70" s="1"/>
  <c r="J1162" i="70" s="1"/>
  <c r="P155" i="4" s="1"/>
  <c r="N1173" i="70"/>
  <c r="N1160" i="70"/>
  <c r="C1160" i="70" s="1"/>
  <c r="J1160" i="70" s="1"/>
  <c r="P153" i="4" s="1"/>
  <c r="I59" i="66"/>
  <c r="I60" i="66"/>
  <c r="I58" i="66"/>
  <c r="L59" i="66" s="1"/>
  <c r="I62" i="66"/>
  <c r="I63" i="66"/>
  <c r="I61" i="66"/>
  <c r="Y61" i="66" s="1"/>
  <c r="I155" i="71"/>
  <c r="G152" i="71"/>
  <c r="K151" i="71"/>
  <c r="J151" i="71"/>
  <c r="M151" i="71" s="1"/>
  <c r="AT151" i="71" s="1"/>
  <c r="I151" i="71"/>
  <c r="I150" i="71"/>
  <c r="K150" i="71"/>
  <c r="J150" i="71"/>
  <c r="M150" i="71" s="1"/>
  <c r="AT150" i="71" s="1"/>
  <c r="I148" i="71"/>
  <c r="I153" i="66"/>
  <c r="M153" i="66" s="1"/>
  <c r="I85" i="66"/>
  <c r="L86" i="66" s="1"/>
  <c r="N132" i="71"/>
  <c r="N131" i="71"/>
  <c r="N130" i="71"/>
  <c r="N129" i="71"/>
  <c r="N135" i="71"/>
  <c r="N128" i="71"/>
  <c r="N133" i="71"/>
  <c r="N122" i="71"/>
  <c r="N121" i="71"/>
  <c r="N120" i="71"/>
  <c r="N119" i="71"/>
  <c r="N125" i="71"/>
  <c r="N118" i="71"/>
  <c r="N123" i="71"/>
  <c r="D3" i="71"/>
  <c r="N112" i="71"/>
  <c r="N105" i="71"/>
  <c r="N93" i="71"/>
  <c r="N73" i="71"/>
  <c r="N51" i="71"/>
  <c r="N43" i="71"/>
  <c r="N42" i="71"/>
  <c r="N38" i="71"/>
  <c r="N29" i="71"/>
  <c r="N95" i="71"/>
  <c r="N92" i="71"/>
  <c r="N111" i="71"/>
  <c r="N88" i="71"/>
  <c r="N68" i="71"/>
  <c r="N52" i="71"/>
  <c r="N31" i="71"/>
  <c r="N30" i="71"/>
  <c r="N23" i="71"/>
  <c r="N18" i="71"/>
  <c r="N110" i="71"/>
  <c r="N100" i="71"/>
  <c r="N80" i="71"/>
  <c r="N69" i="71"/>
  <c r="N65" i="71"/>
  <c r="N60" i="71"/>
  <c r="N53" i="71"/>
  <c r="N39" i="71"/>
  <c r="N35" i="71"/>
  <c r="N32" i="71"/>
  <c r="N21" i="71"/>
  <c r="N109" i="71"/>
  <c r="N89" i="71"/>
  <c r="N85" i="71"/>
  <c r="N81" i="71"/>
  <c r="N70" i="71"/>
  <c r="N48" i="71"/>
  <c r="N25" i="71"/>
  <c r="N115" i="71"/>
  <c r="N108" i="71"/>
  <c r="N103" i="71"/>
  <c r="N101" i="71"/>
  <c r="N90" i="71"/>
  <c r="N83" i="71"/>
  <c r="N82" i="71"/>
  <c r="N61" i="71"/>
  <c r="N19" i="71"/>
  <c r="N102" i="71"/>
  <c r="N98" i="71"/>
  <c r="N78" i="71"/>
  <c r="N63" i="71"/>
  <c r="N62" i="71"/>
  <c r="N58" i="71"/>
  <c r="N49" i="71"/>
  <c r="N45" i="71"/>
  <c r="N40" i="71"/>
  <c r="N33" i="71"/>
  <c r="N28" i="71"/>
  <c r="N22" i="71"/>
  <c r="N113" i="71"/>
  <c r="N91" i="71"/>
  <c r="N71" i="71"/>
  <c r="N99" i="71"/>
  <c r="N59" i="71"/>
  <c r="N20" i="71"/>
  <c r="N72" i="71"/>
  <c r="N50" i="71"/>
  <c r="N55" i="71"/>
  <c r="N41" i="71"/>
  <c r="N75" i="71"/>
  <c r="N79" i="71"/>
  <c r="J15" i="71"/>
  <c r="K15" i="71"/>
  <c r="Q45" i="66"/>
  <c r="D114" i="61"/>
  <c r="D113" i="61"/>
  <c r="D99" i="61"/>
  <c r="D102" i="61"/>
  <c r="D98" i="61"/>
  <c r="D111" i="61"/>
  <c r="D101" i="61"/>
  <c r="D105" i="61"/>
  <c r="D108" i="61"/>
  <c r="D100" i="61"/>
  <c r="D104" i="61"/>
  <c r="D107" i="61"/>
  <c r="D112" i="61"/>
  <c r="D110" i="61"/>
  <c r="D106" i="61"/>
  <c r="D20" i="61"/>
  <c r="D14" i="61"/>
  <c r="D15" i="61"/>
  <c r="D21" i="61"/>
  <c r="D26" i="61"/>
  <c r="D27" i="61"/>
  <c r="D32" i="61"/>
  <c r="D38" i="61"/>
  <c r="D22" i="61"/>
  <c r="D33" i="61"/>
  <c r="D23" i="61"/>
  <c r="D28" i="61"/>
  <c r="D44" i="61"/>
  <c r="D39" i="61"/>
  <c r="D24" i="61"/>
  <c r="D29" i="61"/>
  <c r="D45" i="61"/>
  <c r="D34" i="61"/>
  <c r="D50" i="61"/>
  <c r="D40" i="61"/>
  <c r="D30" i="61"/>
  <c r="D51" i="61"/>
  <c r="D35" i="61"/>
  <c r="D56" i="61"/>
  <c r="D57" i="61"/>
  <c r="D41" i="61"/>
  <c r="D62" i="61"/>
  <c r="D46" i="61"/>
  <c r="D36" i="61"/>
  <c r="D86" i="61"/>
  <c r="D80" i="61"/>
  <c r="D42" i="61"/>
  <c r="D92" i="61"/>
  <c r="D74" i="61"/>
  <c r="D52" i="61"/>
  <c r="D68" i="61"/>
  <c r="D63" i="61"/>
  <c r="D47" i="61"/>
  <c r="D58" i="61"/>
  <c r="D69" i="61"/>
  <c r="D93" i="61"/>
  <c r="D87" i="61"/>
  <c r="D75" i="61"/>
  <c r="D48" i="61"/>
  <c r="D53" i="61"/>
  <c r="D81" i="61"/>
  <c r="D54" i="61"/>
  <c r="D64" i="61"/>
  <c r="D59" i="61"/>
  <c r="D60" i="61"/>
  <c r="D94" i="61"/>
  <c r="D65" i="61"/>
  <c r="D76" i="61"/>
  <c r="D88" i="61"/>
  <c r="D70" i="61"/>
  <c r="D82" i="61"/>
  <c r="D77" i="61"/>
  <c r="D83" i="61"/>
  <c r="D89" i="61"/>
  <c r="D95" i="61"/>
  <c r="D71" i="61"/>
  <c r="D66" i="61"/>
  <c r="D90" i="61"/>
  <c r="D84" i="61"/>
  <c r="D78" i="61"/>
  <c r="D96" i="61"/>
  <c r="D72" i="61"/>
  <c r="D16" i="61"/>
  <c r="D17" i="61"/>
  <c r="D18" i="61"/>
  <c r="C105" i="61"/>
  <c r="C111" i="61"/>
  <c r="C110" i="61"/>
  <c r="C102" i="61"/>
  <c r="C99" i="61"/>
  <c r="C104" i="61"/>
  <c r="C98" i="61"/>
  <c r="C112" i="61"/>
  <c r="C106" i="61"/>
  <c r="C113" i="61"/>
  <c r="C100" i="61"/>
  <c r="C107" i="61"/>
  <c r="C108" i="61"/>
  <c r="C114" i="61"/>
  <c r="C101" i="61"/>
  <c r="C20" i="61"/>
  <c r="C15" i="61"/>
  <c r="C14" i="61"/>
  <c r="C26" i="61"/>
  <c r="C21" i="61"/>
  <c r="C27" i="61"/>
  <c r="C32" i="61"/>
  <c r="C38" i="61"/>
  <c r="C22" i="61"/>
  <c r="C33" i="61"/>
  <c r="C39" i="61"/>
  <c r="C23" i="61"/>
  <c r="C44" i="61"/>
  <c r="C28" i="61"/>
  <c r="C24" i="61"/>
  <c r="C45" i="61"/>
  <c r="C29" i="61"/>
  <c r="C34" i="61"/>
  <c r="C50" i="61"/>
  <c r="C56" i="61"/>
  <c r="C40" i="61"/>
  <c r="C30" i="61"/>
  <c r="C51" i="61"/>
  <c r="C35" i="61"/>
  <c r="C57" i="61"/>
  <c r="C62" i="61"/>
  <c r="C46" i="61"/>
  <c r="C41" i="61"/>
  <c r="C36" i="61"/>
  <c r="C80" i="61"/>
  <c r="C47" i="61"/>
  <c r="C92" i="61"/>
  <c r="C74" i="61"/>
  <c r="C42" i="61"/>
  <c r="C52" i="61"/>
  <c r="C68" i="61"/>
  <c r="C86" i="61"/>
  <c r="C63" i="61"/>
  <c r="C81" i="61"/>
  <c r="C58" i="61"/>
  <c r="C69" i="61"/>
  <c r="C93" i="61"/>
  <c r="C87" i="61"/>
  <c r="C75" i="61"/>
  <c r="C48" i="61"/>
  <c r="C53" i="61"/>
  <c r="C54" i="61"/>
  <c r="C64" i="61"/>
  <c r="C59" i="61"/>
  <c r="C82" i="61"/>
  <c r="C60" i="61"/>
  <c r="C94" i="61"/>
  <c r="C65" i="61"/>
  <c r="C76" i="61"/>
  <c r="C88" i="61"/>
  <c r="C70" i="61"/>
  <c r="C66" i="61"/>
  <c r="C77" i="61"/>
  <c r="C83" i="61"/>
  <c r="C89" i="61"/>
  <c r="C95" i="61"/>
  <c r="C71" i="61"/>
  <c r="C96" i="61"/>
  <c r="C72" i="61"/>
  <c r="C90" i="61"/>
  <c r="C84" i="61"/>
  <c r="C78" i="61"/>
  <c r="C16" i="61"/>
  <c r="C17" i="61"/>
  <c r="C18" i="61"/>
  <c r="J35" i="19"/>
  <c r="I118" i="72"/>
  <c r="G220" i="60"/>
  <c r="G233" i="60"/>
  <c r="M232" i="60"/>
  <c r="AT232" i="60" s="1"/>
  <c r="M231" i="60"/>
  <c r="AT231" i="60" s="1"/>
  <c r="M230" i="60"/>
  <c r="AT230" i="60" s="1"/>
  <c r="M229" i="60"/>
  <c r="AT229" i="60" s="1"/>
  <c r="M228" i="60"/>
  <c r="AT228" i="60" s="1"/>
  <c r="M227" i="60"/>
  <c r="AT227" i="60" s="1"/>
  <c r="M226" i="60"/>
  <c r="AT226" i="60" s="1"/>
  <c r="M225" i="60"/>
  <c r="AT225" i="60" s="1"/>
  <c r="M224" i="60"/>
  <c r="AT224" i="60" s="1"/>
  <c r="M223" i="60"/>
  <c r="AT223" i="60" s="1"/>
  <c r="M222" i="60"/>
  <c r="AT222" i="60" s="1"/>
  <c r="M221" i="60"/>
  <c r="AT221" i="60" s="1"/>
  <c r="M218" i="60"/>
  <c r="AT218" i="60" s="1"/>
  <c r="M217" i="60"/>
  <c r="AT217" i="60" s="1"/>
  <c r="M216" i="60"/>
  <c r="AT216" i="60" s="1"/>
  <c r="M215" i="60"/>
  <c r="AT215" i="60" s="1"/>
  <c r="M214" i="60"/>
  <c r="AT214" i="60" s="1"/>
  <c r="M213" i="60"/>
  <c r="AT213" i="60" s="1"/>
  <c r="M212" i="60"/>
  <c r="AT212" i="60" s="1"/>
  <c r="M211" i="60"/>
  <c r="AT211" i="60" s="1"/>
  <c r="M210" i="60"/>
  <c r="AT210" i="60" s="1"/>
  <c r="M209" i="60"/>
  <c r="AT209" i="60" s="1"/>
  <c r="M208" i="60"/>
  <c r="AT208" i="60" s="1"/>
  <c r="M207" i="60"/>
  <c r="AT207" i="60" s="1"/>
  <c r="M206" i="60"/>
  <c r="AT206" i="60" s="1"/>
  <c r="M205" i="60"/>
  <c r="AT205" i="60" s="1"/>
  <c r="M203" i="60"/>
  <c r="AT203" i="60" s="1"/>
  <c r="M202" i="60"/>
  <c r="AT202" i="60" s="1"/>
  <c r="M201" i="60"/>
  <c r="AT201" i="60" s="1"/>
  <c r="M200" i="60"/>
  <c r="AT200" i="60" s="1"/>
  <c r="M199" i="60"/>
  <c r="AT199" i="60" s="1"/>
  <c r="M198" i="60"/>
  <c r="AT198" i="60" s="1"/>
  <c r="M197" i="60"/>
  <c r="AT197" i="60" s="1"/>
  <c r="M196" i="60"/>
  <c r="AT196" i="60" s="1"/>
  <c r="M195" i="60"/>
  <c r="AT195" i="60" s="1"/>
  <c r="M194" i="60"/>
  <c r="AT194" i="60" s="1"/>
  <c r="M193" i="60"/>
  <c r="AT193" i="60" s="1"/>
  <c r="M192" i="60"/>
  <c r="AT192" i="60" s="1"/>
  <c r="M191" i="60"/>
  <c r="AT191" i="60" s="1"/>
  <c r="M190" i="60"/>
  <c r="AT190" i="60" s="1"/>
  <c r="M188" i="60"/>
  <c r="AT188" i="60" s="1"/>
  <c r="M187" i="60"/>
  <c r="AT187" i="60" s="1"/>
  <c r="M186" i="60"/>
  <c r="AT186" i="60" s="1"/>
  <c r="M185" i="60"/>
  <c r="AT185" i="60" s="1"/>
  <c r="M184" i="60"/>
  <c r="AT184" i="60" s="1"/>
  <c r="M183" i="60"/>
  <c r="AT183" i="60" s="1"/>
  <c r="M182" i="60"/>
  <c r="AT182" i="60" s="1"/>
  <c r="M181" i="60"/>
  <c r="AT181" i="60" s="1"/>
  <c r="M180" i="60"/>
  <c r="AT180" i="60" s="1"/>
  <c r="M179" i="60"/>
  <c r="AT179" i="60" s="1"/>
  <c r="M178" i="60"/>
  <c r="AT178" i="60" s="1"/>
  <c r="M177" i="60"/>
  <c r="AT177" i="60" s="1"/>
  <c r="M176" i="60"/>
  <c r="AT176" i="60" s="1"/>
  <c r="M175" i="60"/>
  <c r="AT175" i="60" s="1"/>
  <c r="M172" i="60"/>
  <c r="AT172" i="60" s="1"/>
  <c r="M164" i="60"/>
  <c r="AT164" i="60" s="1"/>
  <c r="M155" i="60"/>
  <c r="AT155" i="60" s="1"/>
  <c r="M147" i="60"/>
  <c r="AT147" i="60" s="1"/>
  <c r="M123" i="60"/>
  <c r="AT123" i="60" s="1"/>
  <c r="M115" i="60"/>
  <c r="AT115" i="60" s="1"/>
  <c r="M106" i="60"/>
  <c r="AT106" i="60" s="1"/>
  <c r="M82" i="60"/>
  <c r="AT82" i="60" s="1"/>
  <c r="M74" i="60"/>
  <c r="AT74" i="60" s="1"/>
  <c r="M167" i="60"/>
  <c r="AT167" i="60" s="1"/>
  <c r="M158" i="60"/>
  <c r="AT158" i="60" s="1"/>
  <c r="M150" i="60"/>
  <c r="AT150" i="60" s="1"/>
  <c r="M126" i="60"/>
  <c r="AT126" i="60" s="1"/>
  <c r="M118" i="60"/>
  <c r="AT118" i="60" s="1"/>
  <c r="M109" i="60"/>
  <c r="AT109" i="60" s="1"/>
  <c r="M101" i="60"/>
  <c r="AT101" i="60" s="1"/>
  <c r="M77" i="60"/>
  <c r="AT77" i="60" s="1"/>
  <c r="M170" i="60"/>
  <c r="AT170" i="60" s="1"/>
  <c r="M162" i="60"/>
  <c r="AT162" i="60" s="1"/>
  <c r="M153" i="60"/>
  <c r="AT153" i="60" s="1"/>
  <c r="M145" i="60"/>
  <c r="AT145" i="60" s="1"/>
  <c r="M121" i="60"/>
  <c r="AT121" i="60" s="1"/>
  <c r="M112" i="60"/>
  <c r="AT112" i="60" s="1"/>
  <c r="M104" i="60"/>
  <c r="AT104" i="60" s="1"/>
  <c r="M80" i="60"/>
  <c r="AT80" i="60" s="1"/>
  <c r="M72" i="60"/>
  <c r="AT72" i="60" s="1"/>
  <c r="M173" i="60"/>
  <c r="AT173" i="60" s="1"/>
  <c r="M165" i="60"/>
  <c r="AT165" i="60" s="1"/>
  <c r="M156" i="60"/>
  <c r="AT156" i="60" s="1"/>
  <c r="M148" i="60"/>
  <c r="AT148" i="60" s="1"/>
  <c r="M142" i="60"/>
  <c r="AT142" i="60" s="1"/>
  <c r="M140" i="60"/>
  <c r="AT140" i="60" s="1"/>
  <c r="M138" i="60"/>
  <c r="AT138" i="60" s="1"/>
  <c r="M136" i="60"/>
  <c r="AT136" i="60" s="1"/>
  <c r="M134" i="60"/>
  <c r="AT134" i="60" s="1"/>
  <c r="M132" i="60"/>
  <c r="AT132" i="60" s="1"/>
  <c r="M130" i="60"/>
  <c r="AT130" i="60" s="1"/>
  <c r="M124" i="60"/>
  <c r="AT124" i="60" s="1"/>
  <c r="M116" i="60"/>
  <c r="AT116" i="60" s="1"/>
  <c r="M107" i="60"/>
  <c r="AT107" i="60" s="1"/>
  <c r="M98" i="60"/>
  <c r="AT98" i="60" s="1"/>
  <c r="M96" i="60"/>
  <c r="AT96" i="60" s="1"/>
  <c r="M94" i="60"/>
  <c r="AT94" i="60" s="1"/>
  <c r="M92" i="60"/>
  <c r="AT92" i="60" s="1"/>
  <c r="M90" i="60"/>
  <c r="AT90" i="60" s="1"/>
  <c r="M88" i="60"/>
  <c r="AT88" i="60" s="1"/>
  <c r="M86" i="60"/>
  <c r="AT86" i="60" s="1"/>
  <c r="M83" i="60"/>
  <c r="AT83" i="60" s="1"/>
  <c r="M168" i="60"/>
  <c r="AT168" i="60" s="1"/>
  <c r="M160" i="60"/>
  <c r="AT160" i="60" s="1"/>
  <c r="M151" i="60"/>
  <c r="AT151" i="60" s="1"/>
  <c r="M127" i="60"/>
  <c r="AT127" i="60" s="1"/>
  <c r="M119" i="60"/>
  <c r="AT119" i="60" s="1"/>
  <c r="M110" i="60"/>
  <c r="AT110" i="60" s="1"/>
  <c r="M102" i="60"/>
  <c r="AT102" i="60" s="1"/>
  <c r="M78" i="60"/>
  <c r="AT78" i="60" s="1"/>
  <c r="M171" i="60"/>
  <c r="AT171" i="60" s="1"/>
  <c r="M163" i="60"/>
  <c r="AT163" i="60" s="1"/>
  <c r="M154" i="60"/>
  <c r="AT154" i="60" s="1"/>
  <c r="M146" i="60"/>
  <c r="AT146" i="60" s="1"/>
  <c r="M122" i="60"/>
  <c r="AT122" i="60" s="1"/>
  <c r="M113" i="60"/>
  <c r="AT113" i="60" s="1"/>
  <c r="M105" i="60"/>
  <c r="AT105" i="60" s="1"/>
  <c r="M81" i="60"/>
  <c r="AT81" i="60" s="1"/>
  <c r="M73" i="60"/>
  <c r="AT73" i="60" s="1"/>
  <c r="M166" i="60"/>
  <c r="AT166" i="60" s="1"/>
  <c r="M108" i="60"/>
  <c r="AT108" i="60" s="1"/>
  <c r="M47" i="60"/>
  <c r="AT47" i="60" s="1"/>
  <c r="M32" i="60"/>
  <c r="AT32" i="60" s="1"/>
  <c r="M152" i="60"/>
  <c r="AT152" i="60" s="1"/>
  <c r="M137" i="60"/>
  <c r="AT137" i="60" s="1"/>
  <c r="M128" i="60"/>
  <c r="AT128" i="60" s="1"/>
  <c r="M93" i="60"/>
  <c r="AT93" i="60" s="1"/>
  <c r="M85" i="60"/>
  <c r="AT85" i="60" s="1"/>
  <c r="M66" i="60"/>
  <c r="AT66" i="60" s="1"/>
  <c r="M50" i="60"/>
  <c r="AT50" i="60" s="1"/>
  <c r="M42" i="60"/>
  <c r="AT42" i="60" s="1"/>
  <c r="M37" i="60"/>
  <c r="AT37" i="60" s="1"/>
  <c r="M29" i="60"/>
  <c r="AT29" i="60" s="1"/>
  <c r="M139" i="60"/>
  <c r="AT139" i="60" s="1"/>
  <c r="M95" i="60"/>
  <c r="AT95" i="60" s="1"/>
  <c r="M68" i="60"/>
  <c r="AT68" i="60" s="1"/>
  <c r="M157" i="60"/>
  <c r="AT157" i="60" s="1"/>
  <c r="M100" i="60"/>
  <c r="AT100" i="60" s="1"/>
  <c r="M70" i="60"/>
  <c r="AT70" i="60" s="1"/>
  <c r="M64" i="60"/>
  <c r="AT64" i="60" s="1"/>
  <c r="M62" i="60"/>
  <c r="AT62" i="60" s="1"/>
  <c r="M60" i="60"/>
  <c r="AT60" i="60" s="1"/>
  <c r="M58" i="60"/>
  <c r="AT58" i="60" s="1"/>
  <c r="M56" i="60"/>
  <c r="AT56" i="60" s="1"/>
  <c r="M53" i="60"/>
  <c r="AT53" i="60" s="1"/>
  <c r="M45" i="60"/>
  <c r="AT45" i="60" s="1"/>
  <c r="M34" i="60"/>
  <c r="AT34" i="60" s="1"/>
  <c r="M26" i="60"/>
  <c r="AT26" i="60" s="1"/>
  <c r="M143" i="60"/>
  <c r="AT143" i="60" s="1"/>
  <c r="M135" i="60"/>
  <c r="AT135" i="60" s="1"/>
  <c r="M120" i="60"/>
  <c r="AT120" i="60" s="1"/>
  <c r="M91" i="60"/>
  <c r="AT91" i="60" s="1"/>
  <c r="M76" i="60"/>
  <c r="AT76" i="60" s="1"/>
  <c r="M48" i="60"/>
  <c r="AT48" i="60" s="1"/>
  <c r="M40" i="60"/>
  <c r="AT40" i="60" s="1"/>
  <c r="M31" i="60"/>
  <c r="AT31" i="60" s="1"/>
  <c r="M79" i="60"/>
  <c r="AT79" i="60" s="1"/>
  <c r="M149" i="60"/>
  <c r="AT149" i="60" s="1"/>
  <c r="M125" i="60"/>
  <c r="AT125" i="60" s="1"/>
  <c r="M67" i="60"/>
  <c r="AT67" i="60" s="1"/>
  <c r="M51" i="60"/>
  <c r="AT51" i="60" s="1"/>
  <c r="M43" i="60"/>
  <c r="AT43" i="60" s="1"/>
  <c r="M36" i="60"/>
  <c r="AT36" i="60" s="1"/>
  <c r="M28" i="60"/>
  <c r="AT28" i="60" s="1"/>
  <c r="M103" i="60"/>
  <c r="AT103" i="60" s="1"/>
  <c r="M35" i="60"/>
  <c r="AT35" i="60" s="1"/>
  <c r="M169" i="60"/>
  <c r="AT169" i="60" s="1"/>
  <c r="M141" i="60"/>
  <c r="AT141" i="60" s="1"/>
  <c r="M133" i="60"/>
  <c r="AT133" i="60" s="1"/>
  <c r="M111" i="60"/>
  <c r="AT111" i="60" s="1"/>
  <c r="M97" i="60"/>
  <c r="AT97" i="60" s="1"/>
  <c r="M89" i="60"/>
  <c r="AT89" i="60" s="1"/>
  <c r="M75" i="60"/>
  <c r="AT75" i="60" s="1"/>
  <c r="M71" i="60"/>
  <c r="AT71" i="60" s="1"/>
  <c r="M46" i="60"/>
  <c r="AT46" i="60" s="1"/>
  <c r="M33" i="60"/>
  <c r="AT33" i="60" s="1"/>
  <c r="M25" i="60"/>
  <c r="AT25" i="60" s="1"/>
  <c r="M44" i="60"/>
  <c r="AT44" i="60" s="1"/>
  <c r="M27" i="60"/>
  <c r="AT27" i="60" s="1"/>
  <c r="M117" i="60"/>
  <c r="AT117" i="60" s="1"/>
  <c r="M65" i="60"/>
  <c r="AT65" i="60" s="1"/>
  <c r="M63" i="60"/>
  <c r="AT63" i="60" s="1"/>
  <c r="M61" i="60"/>
  <c r="AT61" i="60" s="1"/>
  <c r="M59" i="60"/>
  <c r="AT59" i="60" s="1"/>
  <c r="M57" i="60"/>
  <c r="AT57" i="60" s="1"/>
  <c r="M55" i="60"/>
  <c r="AT55" i="60" s="1"/>
  <c r="M49" i="60"/>
  <c r="AT49" i="60" s="1"/>
  <c r="M41" i="60"/>
  <c r="AT41" i="60" s="1"/>
  <c r="M38" i="60"/>
  <c r="AT38" i="60" s="1"/>
  <c r="M30" i="60"/>
  <c r="AT30" i="60" s="1"/>
  <c r="M161" i="60"/>
  <c r="AT161" i="60" s="1"/>
  <c r="M131" i="60"/>
  <c r="AT131" i="60" s="1"/>
  <c r="M87" i="60"/>
  <c r="AT87" i="60" s="1"/>
  <c r="M52" i="60"/>
  <c r="AT52" i="60" s="1"/>
  <c r="L42" i="66"/>
  <c r="B18" i="73"/>
  <c r="C26" i="19"/>
  <c r="AR56" i="2"/>
  <c r="D4" i="60"/>
  <c r="J37" i="66"/>
  <c r="T16" i="2"/>
  <c r="T17" i="2"/>
  <c r="AT17" i="2" s="1"/>
  <c r="T18" i="2"/>
  <c r="AT18" i="2" s="1"/>
  <c r="T20" i="2"/>
  <c r="AT20" i="2" s="1"/>
  <c r="T19" i="2"/>
  <c r="AT19" i="2" s="1"/>
  <c r="X16" i="2"/>
  <c r="K13" i="60"/>
  <c r="K12" i="60"/>
  <c r="K17" i="60"/>
  <c r="K19" i="60"/>
  <c r="K18" i="60"/>
  <c r="K11" i="60"/>
  <c r="T9" i="96"/>
  <c r="Q5" i="96"/>
  <c r="U9" i="96" s="1"/>
  <c r="Q5" i="51"/>
  <c r="U9" i="51" s="1"/>
  <c r="T9" i="51"/>
  <c r="L127" i="4"/>
  <c r="N127" i="4" s="1"/>
  <c r="AT127" i="4" s="1"/>
  <c r="J121" i="64"/>
  <c r="L121" i="64" s="1"/>
  <c r="K128" i="4"/>
  <c r="L128" i="4" s="1"/>
  <c r="N128" i="4" s="1"/>
  <c r="AT128" i="4" s="1"/>
  <c r="C888" i="95"/>
  <c r="C1653" i="95"/>
  <c r="K148" i="4"/>
  <c r="L148" i="4" s="1"/>
  <c r="N148" i="4" s="1"/>
  <c r="AT148" i="4" s="1"/>
  <c r="K144" i="4"/>
  <c r="L144" i="4" s="1"/>
  <c r="N144" i="4" s="1"/>
  <c r="AT144" i="4" s="1"/>
  <c r="K146" i="4"/>
  <c r="L146" i="4" s="1"/>
  <c r="N146" i="4" s="1"/>
  <c r="AT146" i="4" s="1"/>
  <c r="K150" i="4"/>
  <c r="L150" i="4" s="1"/>
  <c r="N150" i="4" s="1"/>
  <c r="AT150" i="4" s="1"/>
  <c r="K123" i="4"/>
  <c r="L123" i="4" s="1"/>
  <c r="N123" i="4" s="1"/>
  <c r="AT123" i="4" s="1"/>
  <c r="X11" i="2"/>
  <c r="AF11" i="2" s="1"/>
  <c r="N1164" i="70"/>
  <c r="C1164" i="70" s="1"/>
  <c r="J1164" i="70" s="1"/>
  <c r="P157" i="4" s="1"/>
  <c r="N1165" i="70"/>
  <c r="C1165" i="70" s="1"/>
  <c r="J1165" i="70" s="1"/>
  <c r="P158" i="4" s="1"/>
  <c r="N1166" i="70"/>
  <c r="C1166" i="70" s="1"/>
  <c r="J1166" i="70" s="1"/>
  <c r="P159" i="4" s="1"/>
  <c r="N1167" i="70"/>
  <c r="C1167" i="70" s="1"/>
  <c r="J1167" i="70" s="1"/>
  <c r="P160" i="4" s="1"/>
  <c r="N1168" i="70"/>
  <c r="C1168" i="70" s="1"/>
  <c r="J1168" i="70" s="1"/>
  <c r="P161" i="4" s="1"/>
  <c r="N1169" i="70"/>
  <c r="C1169" i="70" s="1"/>
  <c r="J1169" i="70" s="1"/>
  <c r="P162" i="4" s="1"/>
  <c r="N1170" i="70"/>
  <c r="C1170" i="70" s="1"/>
  <c r="J1170" i="70" s="1"/>
  <c r="P163" i="4" s="1"/>
  <c r="N1171" i="70"/>
  <c r="C1171" i="70" s="1"/>
  <c r="J1171" i="70" s="1"/>
  <c r="P164" i="4" s="1"/>
  <c r="N1172" i="70"/>
  <c r="C1172" i="70" s="1"/>
  <c r="J1172" i="70" s="1"/>
  <c r="P165" i="4" s="1"/>
  <c r="AE879" i="63"/>
  <c r="C29" i="19"/>
  <c r="B19" i="73"/>
  <c r="K126" i="4"/>
  <c r="L126" i="4" s="1"/>
  <c r="N126" i="4" s="1"/>
  <c r="AT126" i="4" s="1"/>
  <c r="K125" i="4"/>
  <c r="L125" i="4" s="1"/>
  <c r="N125" i="4" s="1"/>
  <c r="AT125" i="4" s="1"/>
  <c r="K129" i="4"/>
  <c r="L129" i="4" s="1"/>
  <c r="N129" i="4" s="1"/>
  <c r="AT129" i="4" s="1"/>
  <c r="K131" i="4"/>
  <c r="L131" i="4" s="1"/>
  <c r="N131" i="4" s="1"/>
  <c r="AT131" i="4" s="1"/>
  <c r="K130" i="4"/>
  <c r="L130" i="4" s="1"/>
  <c r="N130" i="4" s="1"/>
  <c r="AT130" i="4" s="1"/>
  <c r="K124" i="4"/>
  <c r="L124" i="4" s="1"/>
  <c r="N124" i="4" s="1"/>
  <c r="AT124" i="4" s="1"/>
  <c r="K122" i="4"/>
  <c r="J141" i="4"/>
  <c r="J26" i="66"/>
  <c r="N20" i="91"/>
  <c r="I46" i="4"/>
  <c r="J24" i="66"/>
  <c r="N46" i="91"/>
  <c r="N13" i="91"/>
  <c r="N66" i="91"/>
  <c r="N52" i="91"/>
  <c r="N61" i="91"/>
  <c r="N21" i="91"/>
  <c r="N48" i="91"/>
  <c r="N58" i="91"/>
  <c r="N37" i="91"/>
  <c r="N11" i="91"/>
  <c r="N64" i="91"/>
  <c r="N49" i="91"/>
  <c r="N34" i="91"/>
  <c r="N16" i="91"/>
  <c r="N47" i="91"/>
  <c r="N27" i="91"/>
  <c r="N45" i="91"/>
  <c r="N4" i="91"/>
  <c r="S22" i="91"/>
  <c r="S13" i="91"/>
  <c r="S6" i="91"/>
  <c r="S23" i="91"/>
  <c r="S18" i="91"/>
  <c r="S8" i="91"/>
  <c r="S33" i="91"/>
  <c r="N62" i="91"/>
  <c r="N18" i="91"/>
  <c r="N41" i="91"/>
  <c r="N32" i="91"/>
  <c r="N25" i="91"/>
  <c r="N7" i="91"/>
  <c r="N36" i="91"/>
  <c r="N14" i="91"/>
  <c r="N42" i="91"/>
  <c r="N51" i="91"/>
  <c r="N8" i="91"/>
  <c r="N63" i="91"/>
  <c r="N19" i="91"/>
  <c r="N35" i="91"/>
  <c r="N9" i="91"/>
  <c r="N44" i="91"/>
  <c r="S11" i="91"/>
  <c r="S14" i="91"/>
  <c r="S7" i="91"/>
  <c r="S19" i="91"/>
  <c r="N54" i="91"/>
  <c r="N50" i="91"/>
  <c r="N22" i="91"/>
  <c r="N17" i="91"/>
  <c r="N53" i="91"/>
  <c r="N10" i="91"/>
  <c r="N30" i="91"/>
  <c r="N39" i="91"/>
  <c r="D11" i="7"/>
  <c r="N55" i="91"/>
  <c r="N23" i="91"/>
  <c r="N26" i="91"/>
  <c r="N33" i="91"/>
  <c r="N43" i="91"/>
  <c r="N12" i="91"/>
  <c r="N38" i="91"/>
  <c r="N60" i="91"/>
  <c r="S20" i="91"/>
  <c r="S21" i="91"/>
  <c r="Q3" i="91"/>
  <c r="Q4" i="91" s="1"/>
  <c r="S3" i="91"/>
  <c r="S32" i="91"/>
  <c r="N28" i="91"/>
  <c r="N56" i="91"/>
  <c r="N31" i="91"/>
  <c r="N40" i="91"/>
  <c r="N24" i="91"/>
  <c r="N65" i="91"/>
  <c r="N15" i="91"/>
  <c r="N59" i="91"/>
  <c r="N29" i="91"/>
  <c r="N67" i="91"/>
  <c r="N57" i="91"/>
  <c r="N5" i="91"/>
  <c r="S5" i="91"/>
  <c r="S10" i="91"/>
  <c r="S24" i="91"/>
  <c r="S4" i="91"/>
  <c r="D148" i="61"/>
  <c r="C150" i="61"/>
  <c r="C148" i="61"/>
  <c r="D152" i="61"/>
  <c r="E2" i="74"/>
  <c r="I22" i="4"/>
  <c r="AE884" i="63"/>
  <c r="D146" i="61"/>
  <c r="C146" i="61"/>
  <c r="AD875" i="63"/>
  <c r="T312" i="63"/>
  <c r="J23" i="66"/>
  <c r="K16" i="60"/>
  <c r="K15" i="60"/>
  <c r="L65" i="2"/>
  <c r="X9" i="2"/>
  <c r="AF9" i="2" s="1"/>
  <c r="X10" i="2"/>
  <c r="AF10" i="2" s="1"/>
  <c r="K164" i="66"/>
  <c r="M164" i="66" s="1"/>
  <c r="X8" i="2"/>
  <c r="AF8" i="2" s="1"/>
  <c r="E3" i="27"/>
  <c r="AE880" i="63"/>
  <c r="AD871" i="63"/>
  <c r="AD887" i="63"/>
  <c r="AE875" i="63"/>
  <c r="AE872" i="63"/>
  <c r="AE888" i="63"/>
  <c r="AD879" i="63"/>
  <c r="AE883" i="63"/>
  <c r="AD874" i="63"/>
  <c r="AE876" i="63"/>
  <c r="AD883" i="63"/>
  <c r="T622" i="63"/>
  <c r="T645" i="63"/>
  <c r="T644" i="63"/>
  <c r="P136" i="82"/>
  <c r="I16" i="4"/>
  <c r="C30" i="36"/>
  <c r="F30" i="36" s="1"/>
  <c r="B38" i="19"/>
  <c r="K10" i="81"/>
  <c r="K119" i="72"/>
  <c r="J16" i="36"/>
  <c r="X7" i="2"/>
  <c r="AF7" i="2" s="1"/>
  <c r="AE870" i="63"/>
  <c r="AE878" i="63"/>
  <c r="AE886" i="63"/>
  <c r="AD873" i="63"/>
  <c r="AD881" i="63"/>
  <c r="AD889" i="63"/>
  <c r="AE877" i="63"/>
  <c r="AE887" i="63"/>
  <c r="AD878" i="63"/>
  <c r="I79" i="66"/>
  <c r="I81" i="66" s="1"/>
  <c r="AE874" i="63"/>
  <c r="AE882" i="63"/>
  <c r="AD877" i="63"/>
  <c r="AD885" i="63"/>
  <c r="AE871" i="63"/>
  <c r="T788" i="63"/>
  <c r="K115" i="72"/>
  <c r="L19" i="85"/>
  <c r="B37" i="19"/>
  <c r="A51" i="36"/>
  <c r="I5" i="36"/>
  <c r="A47" i="36"/>
  <c r="I39" i="73"/>
  <c r="K121" i="72"/>
  <c r="T643" i="63"/>
  <c r="X23" i="66"/>
  <c r="K117" i="72"/>
  <c r="A31" i="36"/>
  <c r="C24" i="36"/>
  <c r="F24" i="36" s="1"/>
  <c r="C29" i="36"/>
  <c r="F29" i="36" s="1"/>
  <c r="A59" i="36"/>
  <c r="D9" i="61"/>
  <c r="C124" i="61"/>
  <c r="D11" i="61"/>
  <c r="D12" i="61"/>
  <c r="C120" i="61"/>
  <c r="C10" i="61"/>
  <c r="D120" i="61"/>
  <c r="C11" i="61"/>
  <c r="C126" i="61"/>
  <c r="C8" i="61"/>
  <c r="D8" i="61"/>
  <c r="C12" i="61"/>
  <c r="D10" i="61"/>
  <c r="C9" i="61"/>
  <c r="A32" i="36"/>
  <c r="I104" i="66"/>
  <c r="I105" i="66" s="1"/>
  <c r="M105" i="66" s="1"/>
  <c r="A54" i="36"/>
  <c r="T113" i="43"/>
  <c r="D116" i="43" s="1"/>
  <c r="T80" i="63"/>
  <c r="T16" i="63"/>
  <c r="T141" i="63"/>
  <c r="T109" i="63"/>
  <c r="T44" i="63"/>
  <c r="T105" i="63"/>
  <c r="T40" i="63"/>
  <c r="T165" i="63"/>
  <c r="T68" i="63"/>
  <c r="T64" i="63"/>
  <c r="T32" i="63"/>
  <c r="T189" i="63"/>
  <c r="T157" i="63"/>
  <c r="T56" i="63"/>
  <c r="T24" i="63"/>
  <c r="T872" i="63"/>
  <c r="T881" i="63"/>
  <c r="AE772" i="63"/>
  <c r="AD442" i="63"/>
  <c r="AE440" i="63"/>
  <c r="AE436" i="63"/>
  <c r="AD434" i="63"/>
  <c r="AD438" i="63"/>
  <c r="AE450" i="63"/>
  <c r="AD454" i="63"/>
  <c r="AE434" i="63"/>
  <c r="AE442" i="63"/>
  <c r="AE452" i="63"/>
  <c r="AD452" i="63"/>
  <c r="AD445" i="63"/>
  <c r="AE439" i="63"/>
  <c r="AE447" i="63"/>
  <c r="AD453" i="63"/>
  <c r="AD455" i="63"/>
  <c r="AD446" i="63"/>
  <c r="AD436" i="63"/>
  <c r="AD439" i="63"/>
  <c r="AD441" i="63"/>
  <c r="AD447" i="63"/>
  <c r="AD437" i="63"/>
  <c r="AD443" i="63"/>
  <c r="AE438" i="63"/>
  <c r="AE446" i="63"/>
  <c r="AD448" i="63"/>
  <c r="AD433" i="63"/>
  <c r="AD444" i="63"/>
  <c r="AD449" i="63"/>
  <c r="AD435" i="63"/>
  <c r="AD450" i="63"/>
  <c r="AE444" i="63"/>
  <c r="AD440" i="63"/>
  <c r="AE455" i="63"/>
  <c r="AE435" i="63"/>
  <c r="AE443" i="63"/>
  <c r="AE448" i="63"/>
  <c r="AE445" i="63"/>
  <c r="AE454" i="63"/>
  <c r="AE437" i="63"/>
  <c r="AE449" i="63"/>
  <c r="AE453" i="63"/>
  <c r="AE441" i="63"/>
  <c r="AD451" i="63"/>
  <c r="AE451" i="63"/>
  <c r="AE433" i="63"/>
  <c r="T447" i="63"/>
  <c r="T452" i="63"/>
  <c r="T444" i="63"/>
  <c r="T448" i="63"/>
  <c r="T449" i="63"/>
  <c r="T450" i="63"/>
  <c r="T445" i="63"/>
  <c r="T438" i="63"/>
  <c r="T437" i="63"/>
  <c r="T442" i="63"/>
  <c r="T454" i="63"/>
  <c r="T446" i="63"/>
  <c r="T443" i="63"/>
  <c r="T439" i="63"/>
  <c r="T436" i="63"/>
  <c r="T441" i="63"/>
  <c r="T434" i="63"/>
  <c r="T435" i="63"/>
  <c r="T453" i="63"/>
  <c r="T451" i="63"/>
  <c r="T455" i="63"/>
  <c r="T433" i="63"/>
  <c r="T440" i="63"/>
  <c r="AD788" i="63"/>
  <c r="AE788" i="63"/>
  <c r="AD872" i="63"/>
  <c r="AD888" i="63"/>
  <c r="AE873" i="63"/>
  <c r="AE889" i="63"/>
  <c r="AD876" i="63"/>
  <c r="AD880" i="63"/>
  <c r="AD882" i="63"/>
  <c r="AD884" i="63"/>
  <c r="AE885" i="63"/>
  <c r="AD870" i="63"/>
  <c r="AD886" i="63"/>
  <c r="T887" i="63"/>
  <c r="T886" i="63"/>
  <c r="T889" i="63"/>
  <c r="T888" i="63"/>
  <c r="T883" i="63"/>
  <c r="T882" i="63"/>
  <c r="T877" i="63"/>
  <c r="T884" i="63"/>
  <c r="T879" i="63"/>
  <c r="T878" i="63"/>
  <c r="T885" i="63"/>
  <c r="T880" i="63"/>
  <c r="T875" i="63"/>
  <c r="T874" i="63"/>
  <c r="T873" i="63"/>
  <c r="T876" i="63"/>
  <c r="T871" i="63"/>
  <c r="T870" i="63"/>
  <c r="C43" i="80"/>
  <c r="C44" i="80" s="1"/>
  <c r="D43" i="80"/>
  <c r="D44" i="80" s="1"/>
  <c r="D47" i="80"/>
  <c r="D48" i="80" s="1"/>
  <c r="C47" i="80"/>
  <c r="C48" i="80" s="1"/>
  <c r="I1" i="89"/>
  <c r="D12" i="89"/>
  <c r="D22" i="89"/>
  <c r="D32" i="89"/>
  <c r="H12" i="2"/>
  <c r="AG12" i="2" s="1"/>
  <c r="B9" i="73"/>
  <c r="K11" i="36"/>
  <c r="D10" i="73"/>
  <c r="F10" i="73" s="1"/>
  <c r="B324" i="43"/>
  <c r="H321" i="43"/>
  <c r="C25" i="19"/>
  <c r="B17" i="73"/>
  <c r="D72" i="89"/>
  <c r="D62" i="89"/>
  <c r="D52" i="89"/>
  <c r="D42" i="89"/>
  <c r="K170" i="43"/>
  <c r="K172" i="43" s="1"/>
  <c r="L166" i="66"/>
  <c r="L41" i="66"/>
  <c r="C23" i="36"/>
  <c r="F23" i="36" s="1"/>
  <c r="N67" i="3"/>
  <c r="N68" i="3" s="1"/>
  <c r="Q68" i="3" s="1"/>
  <c r="S68" i="3" s="1"/>
  <c r="AD520" i="63"/>
  <c r="AD54" i="2"/>
  <c r="C33" i="36"/>
  <c r="F33" i="36" s="1"/>
  <c r="W40" i="2"/>
  <c r="AC40" i="2" s="1"/>
  <c r="J15" i="36"/>
  <c r="K237" i="60"/>
  <c r="C9" i="19"/>
  <c r="AA5" i="83"/>
  <c r="AG5" i="83"/>
  <c r="O5" i="83"/>
  <c r="K5" i="83"/>
  <c r="B39" i="19"/>
  <c r="C31" i="36"/>
  <c r="F31" i="36" s="1"/>
  <c r="A58" i="36"/>
  <c r="Y64" i="66"/>
  <c r="C269" i="43"/>
  <c r="C271" i="43" s="1"/>
  <c r="C273" i="43" s="1"/>
  <c r="C279" i="43"/>
  <c r="C281" i="43" s="1"/>
  <c r="H959" i="70"/>
  <c r="J592" i="27" s="1"/>
  <c r="J274" i="82" s="1"/>
  <c r="I70" i="66"/>
  <c r="L71" i="66" s="1"/>
  <c r="C28" i="36"/>
  <c r="F28" i="36" s="1"/>
  <c r="I97" i="66"/>
  <c r="F19" i="85"/>
  <c r="K14" i="88"/>
  <c r="I65" i="66"/>
  <c r="Y65" i="66" s="1"/>
  <c r="L65" i="66"/>
  <c r="R15" i="85"/>
  <c r="AE520" i="63"/>
  <c r="AD125" i="63"/>
  <c r="AD121" i="63"/>
  <c r="AE117" i="63"/>
  <c r="AE190" i="63"/>
  <c r="AE76" i="63"/>
  <c r="AD127" i="63"/>
  <c r="AD692" i="63"/>
  <c r="AE111" i="63"/>
  <c r="AD76" i="63"/>
  <c r="T76" i="63"/>
  <c r="AD116" i="63"/>
  <c r="AD182" i="63"/>
  <c r="AD204" i="63"/>
  <c r="AD80" i="63"/>
  <c r="T520" i="63"/>
  <c r="X44" i="66"/>
  <c r="X43" i="66"/>
  <c r="K185" i="81"/>
  <c r="C32" i="36"/>
  <c r="F32" i="36" s="1"/>
  <c r="C118" i="61"/>
  <c r="X46" i="66"/>
  <c r="P42" i="66"/>
  <c r="A25" i="36"/>
  <c r="T625" i="63"/>
  <c r="D26" i="19"/>
  <c r="AE125" i="63"/>
  <c r="AE35" i="63"/>
  <c r="AD72" i="63"/>
  <c r="AD111" i="63"/>
  <c r="AE116" i="63"/>
  <c r="AE122" i="63"/>
  <c r="AE127" i="63"/>
  <c r="AE183" i="63"/>
  <c r="AE204" i="63"/>
  <c r="AE128" i="63"/>
  <c r="AE80" i="63"/>
  <c r="AE121" i="63"/>
  <c r="AD128" i="63"/>
  <c r="T74" i="63"/>
  <c r="T640" i="63"/>
  <c r="T79" i="63"/>
  <c r="AE77" i="63"/>
  <c r="AE36" i="63"/>
  <c r="AE72" i="63"/>
  <c r="AD113" i="63"/>
  <c r="AE118" i="63"/>
  <c r="AD123" i="63"/>
  <c r="AD183" i="63"/>
  <c r="AD112" i="63"/>
  <c r="AD201" i="63"/>
  <c r="T629" i="63"/>
  <c r="T650" i="63"/>
  <c r="AE599" i="63"/>
  <c r="AE192" i="63"/>
  <c r="AE79" i="63"/>
  <c r="AE113" i="63"/>
  <c r="AD118" i="63"/>
  <c r="AE123" i="63"/>
  <c r="AE187" i="63"/>
  <c r="AD193" i="63"/>
  <c r="AE201" i="63"/>
  <c r="AE112" i="63"/>
  <c r="AD77" i="63"/>
  <c r="T621" i="63"/>
  <c r="T642" i="63"/>
  <c r="T631" i="63"/>
  <c r="AE196" i="63"/>
  <c r="AD192" i="63"/>
  <c r="AD79" i="63"/>
  <c r="AE114" i="63"/>
  <c r="AD119" i="63"/>
  <c r="AE124" i="63"/>
  <c r="AD187" i="63"/>
  <c r="AE193" i="63"/>
  <c r="AE206" i="63"/>
  <c r="AE197" i="63"/>
  <c r="T628" i="63"/>
  <c r="T627" i="63"/>
  <c r="AD74" i="63"/>
  <c r="AD81" i="63"/>
  <c r="AD114" i="63"/>
  <c r="AE119" i="63"/>
  <c r="AD124" i="63"/>
  <c r="AD206" i="63"/>
  <c r="AD34" i="63"/>
  <c r="AD197" i="63"/>
  <c r="T646" i="63"/>
  <c r="T626" i="63"/>
  <c r="T624" i="63"/>
  <c r="T623" i="63"/>
  <c r="AD579" i="63"/>
  <c r="AD836" i="63"/>
  <c r="AE37" i="63"/>
  <c r="AE74" i="63"/>
  <c r="AE81" i="63"/>
  <c r="AE110" i="63"/>
  <c r="AE115" i="63"/>
  <c r="AD120" i="63"/>
  <c r="AD126" i="63"/>
  <c r="T649" i="63"/>
  <c r="T618" i="63"/>
  <c r="T652" i="63"/>
  <c r="T620" i="63"/>
  <c r="T651" i="63"/>
  <c r="T619" i="63"/>
  <c r="AE33" i="63"/>
  <c r="AD117" i="63"/>
  <c r="AD179" i="63"/>
  <c r="AD110" i="63"/>
  <c r="AD115" i="63"/>
  <c r="AE120" i="63"/>
  <c r="AE126" i="63"/>
  <c r="AE182" i="63"/>
  <c r="AD190" i="63"/>
  <c r="T630" i="63"/>
  <c r="T641" i="63"/>
  <c r="T653" i="63"/>
  <c r="T648" i="63"/>
  <c r="T647" i="63"/>
  <c r="F13" i="36"/>
  <c r="H11" i="2"/>
  <c r="F12" i="2"/>
  <c r="H9" i="2"/>
  <c r="T115" i="63"/>
  <c r="T117" i="63"/>
  <c r="X41" i="66"/>
  <c r="T124" i="63"/>
  <c r="T126" i="63"/>
  <c r="T72" i="63"/>
  <c r="T128" i="63"/>
  <c r="T127" i="63"/>
  <c r="T116" i="63"/>
  <c r="T122" i="63"/>
  <c r="T123" i="63"/>
  <c r="T120" i="63"/>
  <c r="T119" i="63"/>
  <c r="T118" i="63"/>
  <c r="T112" i="63"/>
  <c r="T111" i="63"/>
  <c r="T114" i="63"/>
  <c r="T81" i="63"/>
  <c r="T125" i="63"/>
  <c r="T110" i="63"/>
  <c r="T77" i="63"/>
  <c r="T121" i="63"/>
  <c r="K235" i="60"/>
  <c r="W17" i="83"/>
  <c r="Q9" i="83"/>
  <c r="Q115" i="72"/>
  <c r="X25" i="66"/>
  <c r="X29" i="66"/>
  <c r="X39" i="66"/>
  <c r="X40" i="66"/>
  <c r="X38" i="66"/>
  <c r="X53" i="66"/>
  <c r="X55" i="66"/>
  <c r="X48" i="66"/>
  <c r="X50" i="66"/>
  <c r="O19" i="3"/>
  <c r="O20" i="3" s="1"/>
  <c r="N19" i="3"/>
  <c r="X54" i="66"/>
  <c r="X52" i="66"/>
  <c r="X49" i="66"/>
  <c r="X42" i="66"/>
  <c r="X31" i="66"/>
  <c r="Q97" i="72"/>
  <c r="R117" i="72"/>
  <c r="Q107" i="72"/>
  <c r="Q108" i="72"/>
  <c r="Q103" i="72"/>
  <c r="R116" i="72"/>
  <c r="R115" i="72"/>
  <c r="Q111" i="72"/>
  <c r="Q104" i="72"/>
  <c r="Q99" i="72"/>
  <c r="R112" i="72"/>
  <c r="R111" i="72"/>
  <c r="Q100" i="72"/>
  <c r="Q106" i="72"/>
  <c r="Q105" i="72"/>
  <c r="R110" i="72"/>
  <c r="Q117" i="72"/>
  <c r="Q116" i="72"/>
  <c r="R109" i="72"/>
  <c r="R108" i="72"/>
  <c r="Q113" i="72"/>
  <c r="Q112" i="72"/>
  <c r="Q98" i="72"/>
  <c r="Q114" i="72"/>
  <c r="Q109" i="72"/>
  <c r="R113" i="72"/>
  <c r="Q101" i="72"/>
  <c r="Q110" i="72"/>
  <c r="R114" i="72"/>
  <c r="Q102" i="72"/>
  <c r="AD583" i="63"/>
  <c r="AE603" i="63"/>
  <c r="AE619" i="63"/>
  <c r="AD696" i="63"/>
  <c r="AE836" i="63"/>
  <c r="AE31" i="63"/>
  <c r="AE47" i="63"/>
  <c r="AE853" i="63"/>
  <c r="AD855" i="63"/>
  <c r="AD169" i="63"/>
  <c r="AD587" i="63"/>
  <c r="AE607" i="63"/>
  <c r="AE623" i="63"/>
  <c r="AD700" i="63"/>
  <c r="AD832" i="63"/>
  <c r="AE863" i="63"/>
  <c r="AE855" i="63"/>
  <c r="AD290" i="63"/>
  <c r="AE316" i="63"/>
  <c r="AD523" i="63"/>
  <c r="AD591" i="63"/>
  <c r="AE627" i="63"/>
  <c r="AD283" i="63"/>
  <c r="AE854" i="63"/>
  <c r="AE631" i="63"/>
  <c r="AE856" i="63"/>
  <c r="AE643" i="63"/>
  <c r="AD865" i="63"/>
  <c r="AD854" i="63"/>
  <c r="AE158" i="63"/>
  <c r="AE159" i="63"/>
  <c r="AD504" i="63"/>
  <c r="AD516" i="63"/>
  <c r="AE647" i="63"/>
  <c r="AD684" i="63"/>
  <c r="AD21" i="63"/>
  <c r="AD856" i="63"/>
  <c r="AD212" i="63"/>
  <c r="AD508" i="63"/>
  <c r="AE651" i="63"/>
  <c r="AD688" i="63"/>
  <c r="AD159" i="63"/>
  <c r="AD481" i="63"/>
  <c r="AD505" i="63"/>
  <c r="AD509" i="63"/>
  <c r="AD517" i="63"/>
  <c r="AE524" i="63"/>
  <c r="AE580" i="63"/>
  <c r="AE584" i="63"/>
  <c r="AE588" i="63"/>
  <c r="AE592" i="63"/>
  <c r="AE596" i="63"/>
  <c r="AD599" i="63"/>
  <c r="AD603" i="63"/>
  <c r="AD607" i="63"/>
  <c r="AD619" i="63"/>
  <c r="AD623" i="63"/>
  <c r="AD627" i="63"/>
  <c r="AD631" i="63"/>
  <c r="AD643" i="63"/>
  <c r="AD647" i="63"/>
  <c r="AD651" i="63"/>
  <c r="AE684" i="63"/>
  <c r="AE688" i="63"/>
  <c r="AE692" i="63"/>
  <c r="AE696" i="63"/>
  <c r="AE700" i="63"/>
  <c r="AE833" i="63"/>
  <c r="AD867" i="63"/>
  <c r="AD217" i="63"/>
  <c r="AE845" i="63"/>
  <c r="AE869" i="63"/>
  <c r="AD863" i="63"/>
  <c r="AE864" i="63"/>
  <c r="AD20" i="63"/>
  <c r="AD26" i="63"/>
  <c r="AD55" i="63"/>
  <c r="AE215" i="63"/>
  <c r="AE293" i="63"/>
  <c r="AD316" i="63"/>
  <c r="U825" i="63"/>
  <c r="AE481" i="63"/>
  <c r="AE505" i="63"/>
  <c r="AE509" i="63"/>
  <c r="AE517" i="63"/>
  <c r="AD524" i="63"/>
  <c r="AD580" i="63"/>
  <c r="AD584" i="63"/>
  <c r="AD588" i="63"/>
  <c r="AD592" i="63"/>
  <c r="AD596" i="63"/>
  <c r="AE600" i="63"/>
  <c r="AE604" i="63"/>
  <c r="AE608" i="63"/>
  <c r="AE620" i="63"/>
  <c r="AE624" i="63"/>
  <c r="AE628" i="63"/>
  <c r="AE640" i="63"/>
  <c r="AE644" i="63"/>
  <c r="AE648" i="63"/>
  <c r="AE652" i="63"/>
  <c r="AE685" i="63"/>
  <c r="AE689" i="63"/>
  <c r="AE693" i="63"/>
  <c r="AE697" i="63"/>
  <c r="AE701" i="63"/>
  <c r="AE859" i="63"/>
  <c r="AE857" i="63"/>
  <c r="AD845" i="63"/>
  <c r="AD219" i="63"/>
  <c r="AE217" i="63"/>
  <c r="AD161" i="63"/>
  <c r="AE847" i="63"/>
  <c r="AE834" i="63"/>
  <c r="AD869" i="63"/>
  <c r="AE866" i="63"/>
  <c r="AD864" i="63"/>
  <c r="AD314" i="63"/>
  <c r="AE243" i="63"/>
  <c r="AE867" i="63"/>
  <c r="AE164" i="63"/>
  <c r="AE277" i="63"/>
  <c r="AD296" i="63"/>
  <c r="AE466" i="63"/>
  <c r="AE482" i="63"/>
  <c r="AE502" i="63"/>
  <c r="AE506" i="63"/>
  <c r="AE510" i="63"/>
  <c r="AE514" i="63"/>
  <c r="AE518" i="63"/>
  <c r="AE521" i="63"/>
  <c r="AE581" i="63"/>
  <c r="AE585" i="63"/>
  <c r="AE589" i="63"/>
  <c r="AE593" i="63"/>
  <c r="T597" i="63"/>
  <c r="AD600" i="63"/>
  <c r="AD604" i="63"/>
  <c r="AD608" i="63"/>
  <c r="AD620" i="63"/>
  <c r="AD624" i="63"/>
  <c r="AD628" i="63"/>
  <c r="AD640" i="63"/>
  <c r="AD644" i="63"/>
  <c r="AD648" i="63"/>
  <c r="AD652" i="63"/>
  <c r="AD685" i="63"/>
  <c r="AD689" i="63"/>
  <c r="AD693" i="63"/>
  <c r="AD697" i="63"/>
  <c r="AD701" i="63"/>
  <c r="AE835" i="63"/>
  <c r="AE169" i="63"/>
  <c r="AD833" i="63"/>
  <c r="AD862" i="63"/>
  <c r="AD834" i="63"/>
  <c r="AE247" i="63"/>
  <c r="AE314" i="63"/>
  <c r="AD279" i="63"/>
  <c r="AD299" i="63"/>
  <c r="AE311" i="63"/>
  <c r="AE313" i="63"/>
  <c r="T581" i="63"/>
  <c r="T770" i="63"/>
  <c r="AD466" i="63"/>
  <c r="AD518" i="63"/>
  <c r="AD589" i="63"/>
  <c r="AE605" i="63"/>
  <c r="AE653" i="63"/>
  <c r="AD690" i="63"/>
  <c r="T769" i="63"/>
  <c r="AD506" i="63"/>
  <c r="AD521" i="63"/>
  <c r="AD593" i="63"/>
  <c r="AE609" i="63"/>
  <c r="AE629" i="63"/>
  <c r="AE649" i="63"/>
  <c r="AD682" i="63"/>
  <c r="AD702" i="63"/>
  <c r="AD839" i="63"/>
  <c r="AD46" i="63"/>
  <c r="AE46" i="63"/>
  <c r="AD281" i="63"/>
  <c r="AD467" i="63"/>
  <c r="AD507" i="63"/>
  <c r="AD519" i="63"/>
  <c r="AE586" i="63"/>
  <c r="AD597" i="63"/>
  <c r="AD605" i="63"/>
  <c r="AD625" i="63"/>
  <c r="AD641" i="63"/>
  <c r="AD649" i="63"/>
  <c r="AE682" i="63"/>
  <c r="AE690" i="63"/>
  <c r="AE698" i="63"/>
  <c r="AE702" i="63"/>
  <c r="AD847" i="63"/>
  <c r="AE20" i="63"/>
  <c r="AD178" i="63"/>
  <c r="AD218" i="63"/>
  <c r="AE848" i="63"/>
  <c r="AD859" i="63"/>
  <c r="AD868" i="63"/>
  <c r="AD817" i="63"/>
  <c r="AD28" i="63"/>
  <c r="AD860" i="63"/>
  <c r="AD18" i="63"/>
  <c r="AE239" i="63"/>
  <c r="AE283" i="63"/>
  <c r="AD312" i="63"/>
  <c r="AD482" i="63"/>
  <c r="AD502" i="63"/>
  <c r="AD514" i="63"/>
  <c r="AD585" i="63"/>
  <c r="AE601" i="63"/>
  <c r="AE621" i="63"/>
  <c r="AE645" i="63"/>
  <c r="AD698" i="63"/>
  <c r="AE860" i="63"/>
  <c r="AD48" i="63"/>
  <c r="AD311" i="63"/>
  <c r="AD483" i="63"/>
  <c r="AD503" i="63"/>
  <c r="AD515" i="63"/>
  <c r="AE522" i="63"/>
  <c r="AE582" i="63"/>
  <c r="AE590" i="63"/>
  <c r="AD601" i="63"/>
  <c r="AD609" i="63"/>
  <c r="AD621" i="63"/>
  <c r="AD629" i="63"/>
  <c r="AD645" i="63"/>
  <c r="AD653" i="63"/>
  <c r="AE686" i="63"/>
  <c r="AE694" i="63"/>
  <c r="AE60" i="63"/>
  <c r="AE467" i="63"/>
  <c r="AE483" i="63"/>
  <c r="AE503" i="63"/>
  <c r="AE507" i="63"/>
  <c r="AE515" i="63"/>
  <c r="AE519" i="63"/>
  <c r="AD522" i="63"/>
  <c r="AD582" i="63"/>
  <c r="AD586" i="63"/>
  <c r="AD590" i="63"/>
  <c r="AE598" i="63"/>
  <c r="AE602" i="63"/>
  <c r="AE606" i="63"/>
  <c r="AE610" i="63"/>
  <c r="AE618" i="63"/>
  <c r="AE622" i="63"/>
  <c r="AE626" i="63"/>
  <c r="AE630" i="63"/>
  <c r="AE642" i="63"/>
  <c r="AE646" i="63"/>
  <c r="AE650" i="63"/>
  <c r="AE683" i="63"/>
  <c r="AE687" i="63"/>
  <c r="AE691" i="63"/>
  <c r="AE695" i="63"/>
  <c r="AE699" i="63"/>
  <c r="AD158" i="63"/>
  <c r="AD866" i="63"/>
  <c r="AE868" i="63"/>
  <c r="AE161" i="63"/>
  <c r="AE865" i="63"/>
  <c r="AD846" i="63"/>
  <c r="AE276" i="63"/>
  <c r="AD313" i="63"/>
  <c r="AD22" i="63"/>
  <c r="AE241" i="63"/>
  <c r="AD258" i="63"/>
  <c r="AD287" i="63"/>
  <c r="AE312" i="63"/>
  <c r="T772" i="63"/>
  <c r="AD510" i="63"/>
  <c r="AD581" i="63"/>
  <c r="AE597" i="63"/>
  <c r="AE625" i="63"/>
  <c r="AE641" i="63"/>
  <c r="AD686" i="63"/>
  <c r="AD694" i="63"/>
  <c r="AD843" i="63"/>
  <c r="AD842" i="63"/>
  <c r="AE504" i="63"/>
  <c r="AE508" i="63"/>
  <c r="AE516" i="63"/>
  <c r="AE523" i="63"/>
  <c r="AE579" i="63"/>
  <c r="AE583" i="63"/>
  <c r="AE587" i="63"/>
  <c r="AE591" i="63"/>
  <c r="AD598" i="63"/>
  <c r="AD602" i="63"/>
  <c r="AD606" i="63"/>
  <c r="AD610" i="63"/>
  <c r="AD618" i="63"/>
  <c r="AD622" i="63"/>
  <c r="AD626" i="63"/>
  <c r="AD630" i="63"/>
  <c r="AD642" i="63"/>
  <c r="AD646" i="63"/>
  <c r="AD650" i="63"/>
  <c r="AD683" i="63"/>
  <c r="AD687" i="63"/>
  <c r="AD691" i="63"/>
  <c r="AD695" i="63"/>
  <c r="AD699" i="63"/>
  <c r="AD65" i="63"/>
  <c r="AE858" i="63"/>
  <c r="AD844" i="63"/>
  <c r="AE842" i="63"/>
  <c r="AE23" i="63"/>
  <c r="AE837" i="63"/>
  <c r="AE843" i="63"/>
  <c r="AD858" i="63"/>
  <c r="AD291" i="63"/>
  <c r="AE260" i="63"/>
  <c r="AE22" i="63"/>
  <c r="AD244" i="63"/>
  <c r="AE263" i="63"/>
  <c r="AE289" i="63"/>
  <c r="AD315" i="63"/>
  <c r="T771" i="63"/>
  <c r="T812" i="63"/>
  <c r="T269" i="63"/>
  <c r="AE315" i="63"/>
  <c r="T768" i="63"/>
  <c r="AD771" i="63"/>
  <c r="AD769" i="63"/>
  <c r="AE768" i="63"/>
  <c r="AD770" i="63"/>
  <c r="AE770" i="63"/>
  <c r="AE769" i="63"/>
  <c r="AD768" i="63"/>
  <c r="AE771" i="63"/>
  <c r="AD772" i="63"/>
  <c r="AA12" i="2"/>
  <c r="AH44" i="7"/>
  <c r="AH51" i="7"/>
  <c r="AH41" i="7"/>
  <c r="AH52" i="7"/>
  <c r="A30" i="36"/>
  <c r="C26" i="36"/>
  <c r="F26" i="36" s="1"/>
  <c r="H1" i="43"/>
  <c r="B98" i="43" s="1"/>
  <c r="B150" i="43"/>
  <c r="B153" i="43" s="1"/>
  <c r="B122" i="43"/>
  <c r="B125" i="43" s="1"/>
  <c r="L167" i="66"/>
  <c r="M167" i="66" s="1"/>
  <c r="L165" i="66"/>
  <c r="M165" i="66" s="1"/>
  <c r="D3" i="4"/>
  <c r="F64" i="36"/>
  <c r="D31" i="41"/>
  <c r="D55" i="41"/>
  <c r="E15" i="41"/>
  <c r="D15" i="41"/>
  <c r="W467" i="27"/>
  <c r="Z467" i="27" s="1"/>
  <c r="AA467" i="27"/>
  <c r="Q568" i="27"/>
  <c r="R568" i="27" s="1"/>
  <c r="AT568" i="27" s="1"/>
  <c r="W568" i="27"/>
  <c r="Z568" i="27" s="1"/>
  <c r="AA568" i="27"/>
  <c r="Q572" i="27"/>
  <c r="R572" i="27" s="1"/>
  <c r="AT572" i="27" s="1"/>
  <c r="W572" i="27"/>
  <c r="Z572" i="27" s="1"/>
  <c r="AA572" i="27"/>
  <c r="Q595" i="27"/>
  <c r="R595" i="27" s="1"/>
  <c r="AT595" i="27" s="1"/>
  <c r="W595" i="27"/>
  <c r="Z595" i="27" s="1"/>
  <c r="AA595" i="27"/>
  <c r="L109" i="72"/>
  <c r="L117" i="72"/>
  <c r="R43" i="2" s="1"/>
  <c r="Y43" i="2" s="1"/>
  <c r="L101" i="72"/>
  <c r="AR13" i="2" s="1"/>
  <c r="L110" i="72"/>
  <c r="L108" i="72"/>
  <c r="AR20" i="2" s="1"/>
  <c r="L102" i="72"/>
  <c r="AR14" i="2" s="1"/>
  <c r="L111" i="72"/>
  <c r="L103" i="72"/>
  <c r="AR15" i="2" s="1"/>
  <c r="L112" i="72"/>
  <c r="L104" i="72"/>
  <c r="AR16" i="2" s="1"/>
  <c r="L113" i="72"/>
  <c r="L97" i="72"/>
  <c r="L114" i="72"/>
  <c r="L98" i="72"/>
  <c r="L115" i="72"/>
  <c r="L99" i="72"/>
  <c r="L116" i="72"/>
  <c r="R42" i="2" s="1"/>
  <c r="Y42" i="2" s="1"/>
  <c r="L100" i="72"/>
  <c r="AR12" i="2" s="1"/>
  <c r="T522" i="63"/>
  <c r="T521" i="63"/>
  <c r="T524" i="63"/>
  <c r="T523" i="63"/>
  <c r="T313" i="63"/>
  <c r="AE14" i="2"/>
  <c r="T316" i="63"/>
  <c r="T315" i="63"/>
  <c r="T311" i="63"/>
  <c r="AE15" i="2"/>
  <c r="T314" i="63"/>
  <c r="AE13" i="2"/>
  <c r="W65" i="2"/>
  <c r="AR65" i="2" s="1"/>
  <c r="W63" i="2"/>
  <c r="AE12" i="2"/>
  <c r="W64" i="2"/>
  <c r="AR64" i="2" s="1"/>
  <c r="W28" i="2"/>
  <c r="AR28" i="2" s="1"/>
  <c r="AC54" i="2"/>
  <c r="AC56" i="2"/>
  <c r="D107" i="72"/>
  <c r="AE429" i="63"/>
  <c r="AE417" i="63"/>
  <c r="AE421" i="63"/>
  <c r="AE425" i="63"/>
  <c r="AE428" i="63"/>
  <c r="AE432" i="63"/>
  <c r="AE416" i="63"/>
  <c r="AE420" i="63"/>
  <c r="AE424" i="63"/>
  <c r="AD426" i="63"/>
  <c r="T429" i="63"/>
  <c r="AD422" i="63"/>
  <c r="AD428" i="63"/>
  <c r="AE427" i="63"/>
  <c r="AD419" i="63"/>
  <c r="T416" i="63"/>
  <c r="T430" i="63"/>
  <c r="T427" i="63"/>
  <c r="AD423" i="63"/>
  <c r="AE419" i="63"/>
  <c r="T425" i="63"/>
  <c r="T421" i="63"/>
  <c r="AD424" i="63"/>
  <c r="AE423" i="63"/>
  <c r="AD427" i="63"/>
  <c r="T432" i="63"/>
  <c r="T428" i="63"/>
  <c r="AD432" i="63"/>
  <c r="AD430" i="63"/>
  <c r="AD417" i="63"/>
  <c r="AD420" i="63"/>
  <c r="AD418" i="63"/>
  <c r="T422" i="63"/>
  <c r="AE426" i="63"/>
  <c r="T424" i="63"/>
  <c r="T423" i="63"/>
  <c r="AD429" i="63"/>
  <c r="T419" i="63"/>
  <c r="T417" i="63"/>
  <c r="AE418" i="63"/>
  <c r="AD431" i="63"/>
  <c r="AE431" i="63"/>
  <c r="T418" i="63"/>
  <c r="AD416" i="63"/>
  <c r="AE430" i="63"/>
  <c r="AD421" i="63"/>
  <c r="AD425" i="63"/>
  <c r="AE422" i="63"/>
  <c r="T431" i="63"/>
  <c r="T420" i="63"/>
  <c r="T426" i="63"/>
  <c r="H134" i="4"/>
  <c r="K134" i="4" s="1"/>
  <c r="L134" i="4" s="1"/>
  <c r="N134" i="4" s="1"/>
  <c r="AT134" i="4" s="1"/>
  <c r="R10" i="85"/>
  <c r="T579" i="63"/>
  <c r="T266" i="63"/>
  <c r="S467" i="27"/>
  <c r="G14" i="19"/>
  <c r="H14" i="19" s="1"/>
  <c r="E148" i="72"/>
  <c r="H148" i="72"/>
  <c r="H32" i="64"/>
  <c r="I32" i="64" s="1"/>
  <c r="AT32" i="64" s="1"/>
  <c r="J119" i="64"/>
  <c r="L119" i="64" s="1"/>
  <c r="J120" i="64"/>
  <c r="L120" i="64" s="1"/>
  <c r="J122" i="64"/>
  <c r="L122" i="64" s="1"/>
  <c r="R16" i="85"/>
  <c r="H105" i="43"/>
  <c r="AD196" i="63"/>
  <c r="AD259" i="63"/>
  <c r="AE245" i="63"/>
  <c r="AE840" i="63"/>
  <c r="AD245" i="63"/>
  <c r="AE298" i="63"/>
  <c r="AE295" i="63"/>
  <c r="AD292" i="63"/>
  <c r="AE288" i="63"/>
  <c r="AE285" i="63"/>
  <c r="AD280" i="63"/>
  <c r="AD278" i="63"/>
  <c r="AD275" i="63"/>
  <c r="AE262" i="63"/>
  <c r="AD246" i="63"/>
  <c r="AE242" i="63"/>
  <c r="AE240" i="63"/>
  <c r="AE214" i="63"/>
  <c r="AD213" i="63"/>
  <c r="AD50" i="63"/>
  <c r="AD43" i="63"/>
  <c r="AD286" i="63"/>
  <c r="AE219" i="63"/>
  <c r="AE839" i="63"/>
  <c r="AE218" i="63"/>
  <c r="AD239" i="63"/>
  <c r="AD282" i="63"/>
  <c r="AD297" i="63"/>
  <c r="AE284" i="63"/>
  <c r="AE261" i="63"/>
  <c r="AD247" i="63"/>
  <c r="AE178" i="63"/>
  <c r="AE838" i="63"/>
  <c r="AE28" i="63"/>
  <c r="AD70" i="63"/>
  <c r="AD60" i="63"/>
  <c r="AE844" i="63"/>
  <c r="AD837" i="63"/>
  <c r="AE65" i="63"/>
  <c r="AD23" i="63"/>
  <c r="AD838" i="63"/>
  <c r="AD840" i="63"/>
  <c r="AE18" i="63"/>
  <c r="AD841" i="63"/>
  <c r="H10" i="2"/>
  <c r="L26" i="66"/>
  <c r="H14" i="2"/>
  <c r="C14" i="19"/>
  <c r="L30" i="66"/>
  <c r="F14" i="2"/>
  <c r="F12" i="36"/>
  <c r="A48" i="36"/>
  <c r="C25" i="36"/>
  <c r="F25" i="36" s="1"/>
  <c r="A28" i="36"/>
  <c r="I10" i="36"/>
  <c r="C27" i="36"/>
  <c r="F27" i="36" s="1"/>
  <c r="T761" i="63"/>
  <c r="T767" i="63"/>
  <c r="K179" i="81"/>
  <c r="N179" i="81" s="1"/>
  <c r="N35" i="81" s="1"/>
  <c r="H75" i="43"/>
  <c r="G47" i="43"/>
  <c r="J17" i="43"/>
  <c r="D29" i="43" s="1"/>
  <c r="T55" i="43"/>
  <c r="D56" i="43" s="1"/>
  <c r="K254" i="60"/>
  <c r="G168" i="71"/>
  <c r="I168" i="71" s="1"/>
  <c r="G171" i="71"/>
  <c r="J171" i="71" s="1"/>
  <c r="M171" i="71" s="1"/>
  <c r="G182" i="71"/>
  <c r="I182" i="71" s="1"/>
  <c r="R14" i="85"/>
  <c r="R13" i="85"/>
  <c r="K6" i="39"/>
  <c r="G13" i="19"/>
  <c r="H13" i="19" s="1"/>
  <c r="G15" i="19"/>
  <c r="H15" i="19" s="1"/>
  <c r="H18" i="42"/>
  <c r="T815" i="63"/>
  <c r="R9" i="85"/>
  <c r="G5" i="83"/>
  <c r="AI5" i="83"/>
  <c r="I5" i="83"/>
  <c r="AE5" i="83"/>
  <c r="I60" i="64"/>
  <c r="AT60" i="64" s="1"/>
  <c r="L37" i="66"/>
  <c r="F14" i="36"/>
  <c r="I122" i="82"/>
  <c r="U5" i="83"/>
  <c r="Y5" i="83"/>
  <c r="S5" i="83"/>
  <c r="W5" i="83"/>
  <c r="G51" i="3"/>
  <c r="M5" i="83"/>
  <c r="G169" i="71"/>
  <c r="K169" i="71" s="1"/>
  <c r="G160" i="71"/>
  <c r="I160" i="71" s="1"/>
  <c r="AC5" i="83"/>
  <c r="G185" i="71"/>
  <c r="I185" i="71" s="1"/>
  <c r="W56" i="7"/>
  <c r="G180" i="71"/>
  <c r="K180" i="71" s="1"/>
  <c r="G159" i="71"/>
  <c r="K159" i="71" s="1"/>
  <c r="T586" i="63"/>
  <c r="T46" i="63"/>
  <c r="T220" i="63"/>
  <c r="AD47" i="63"/>
  <c r="T762" i="63"/>
  <c r="T764" i="63"/>
  <c r="T47" i="63"/>
  <c r="T161" i="63"/>
  <c r="T814" i="63"/>
  <c r="T813" i="63"/>
  <c r="T268" i="63"/>
  <c r="T271" i="63"/>
  <c r="AA13" i="2"/>
  <c r="T816" i="63"/>
  <c r="AE812" i="63"/>
  <c r="AD813" i="63"/>
  <c r="AE813" i="63"/>
  <c r="AE815" i="63"/>
  <c r="AD815" i="63"/>
  <c r="AD816" i="63"/>
  <c r="AD814" i="63"/>
  <c r="AD812" i="63"/>
  <c r="AE814" i="63"/>
  <c r="AE816" i="63"/>
  <c r="G14" i="71"/>
  <c r="K14" i="71" s="1"/>
  <c r="R11" i="85"/>
  <c r="R8" i="85"/>
  <c r="T270" i="63"/>
  <c r="T272" i="63"/>
  <c r="T273" i="63"/>
  <c r="T265" i="63"/>
  <c r="T267" i="63"/>
  <c r="N45" i="3"/>
  <c r="K45" i="3"/>
  <c r="E50" i="3" s="1"/>
  <c r="T610" i="63"/>
  <c r="T600" i="63"/>
  <c r="T584" i="63"/>
  <c r="T599" i="63"/>
  <c r="T583" i="63"/>
  <c r="F23" i="3"/>
  <c r="G23" i="3" s="1"/>
  <c r="F71" i="3"/>
  <c r="G71" i="3" s="1"/>
  <c r="F47" i="3"/>
  <c r="G47" i="3" s="1"/>
  <c r="T585" i="63"/>
  <c r="T602" i="63"/>
  <c r="T596" i="63"/>
  <c r="T580" i="63"/>
  <c r="T590" i="63"/>
  <c r="T609" i="63"/>
  <c r="T605" i="63"/>
  <c r="T589" i="63"/>
  <c r="T608" i="63"/>
  <c r="T592" i="63"/>
  <c r="T607" i="63"/>
  <c r="T591" i="63"/>
  <c r="K69" i="3"/>
  <c r="E74" i="3" s="1"/>
  <c r="N69" i="3"/>
  <c r="T606" i="63"/>
  <c r="T601" i="63"/>
  <c r="T593" i="63"/>
  <c r="T604" i="63"/>
  <c r="T588" i="63"/>
  <c r="T603" i="63"/>
  <c r="T587" i="63"/>
  <c r="T598" i="63"/>
  <c r="T582" i="63"/>
  <c r="I82" i="66"/>
  <c r="A24" i="36"/>
  <c r="J17" i="36"/>
  <c r="R12" i="85"/>
  <c r="T192" i="63"/>
  <c r="T190" i="63"/>
  <c r="T201" i="63"/>
  <c r="T197" i="63"/>
  <c r="T179" i="63"/>
  <c r="T206" i="63"/>
  <c r="T183" i="63"/>
  <c r="T182" i="63"/>
  <c r="T193" i="63"/>
  <c r="T187" i="63"/>
  <c r="T204" i="63"/>
  <c r="T196" i="63"/>
  <c r="AD704" i="63"/>
  <c r="AE265" i="63"/>
  <c r="AE271" i="63"/>
  <c r="AD273" i="63"/>
  <c r="AD272" i="63"/>
  <c r="AE272" i="63"/>
  <c r="AD270" i="63"/>
  <c r="AD271" i="63"/>
  <c r="AD268" i="63"/>
  <c r="AE268" i="63"/>
  <c r="AE273" i="63"/>
  <c r="AD267" i="63"/>
  <c r="AE269" i="63"/>
  <c r="AE270" i="63"/>
  <c r="AD265" i="63"/>
  <c r="AE266" i="63"/>
  <c r="AE267" i="63"/>
  <c r="AD266" i="63"/>
  <c r="AD269" i="63"/>
  <c r="I90" i="66"/>
  <c r="I91" i="66" s="1"/>
  <c r="I92" i="66" s="1"/>
  <c r="I93" i="66" s="1"/>
  <c r="I94" i="66" s="1"/>
  <c r="I95" i="66" s="1"/>
  <c r="I96" i="66" s="1"/>
  <c r="Y96" i="66" s="1"/>
  <c r="F11" i="2"/>
  <c r="C11" i="19"/>
  <c r="M572" i="27"/>
  <c r="S572" i="27" s="1"/>
  <c r="M166" i="66"/>
  <c r="G158" i="71"/>
  <c r="K158" i="71" s="1"/>
  <c r="AA15" i="2"/>
  <c r="K245" i="60"/>
  <c r="AB13" i="2"/>
  <c r="G75" i="3"/>
  <c r="F9" i="2"/>
  <c r="F7" i="36"/>
  <c r="G172" i="71"/>
  <c r="J172" i="71" s="1"/>
  <c r="M172" i="71" s="1"/>
  <c r="C34" i="36"/>
  <c r="F34" i="36" s="1"/>
  <c r="A27" i="36"/>
  <c r="R70" i="66"/>
  <c r="K120" i="72"/>
  <c r="T694" i="63"/>
  <c r="T685" i="63"/>
  <c r="T703" i="63"/>
  <c r="T696" i="63"/>
  <c r="T695" i="63"/>
  <c r="AE706" i="63"/>
  <c r="T689" i="63"/>
  <c r="T686" i="63"/>
  <c r="T706" i="63"/>
  <c r="T704" i="63"/>
  <c r="T698" i="63"/>
  <c r="T692" i="63"/>
  <c r="T691" i="63"/>
  <c r="T705" i="63"/>
  <c r="T702" i="63"/>
  <c r="T700" i="63"/>
  <c r="T690" i="63"/>
  <c r="T688" i="63"/>
  <c r="T687" i="63"/>
  <c r="T701" i="63"/>
  <c r="T697" i="63"/>
  <c r="T474" i="63"/>
  <c r="T693" i="63"/>
  <c r="T682" i="63"/>
  <c r="T684" i="63"/>
  <c r="T699" i="63"/>
  <c r="T683" i="63"/>
  <c r="AE704" i="63"/>
  <c r="AE703" i="63"/>
  <c r="AD705" i="63"/>
  <c r="AE705" i="63"/>
  <c r="AD703" i="63"/>
  <c r="AD706" i="63"/>
  <c r="F39" i="73"/>
  <c r="G179" i="71"/>
  <c r="I179" i="71" s="1"/>
  <c r="I76" i="66"/>
  <c r="H151" i="72"/>
  <c r="C23" i="41"/>
  <c r="D39" i="41"/>
  <c r="E41" i="3"/>
  <c r="G149" i="72"/>
  <c r="F41" i="3"/>
  <c r="H149" i="72"/>
  <c r="C1192" i="70"/>
  <c r="E33" i="3" s="1"/>
  <c r="M38" i="3" s="1"/>
  <c r="F148" i="72"/>
  <c r="E65" i="3"/>
  <c r="G152" i="72"/>
  <c r="D63" i="3"/>
  <c r="D66" i="3" s="1"/>
  <c r="F151" i="72"/>
  <c r="AE286" i="63"/>
  <c r="AD243" i="63"/>
  <c r="AD37" i="63"/>
  <c r="AE34" i="63"/>
  <c r="AD853" i="63"/>
  <c r="AE852" i="63"/>
  <c r="AE817" i="63"/>
  <c r="AE299" i="63"/>
  <c r="AD298" i="63"/>
  <c r="AE296" i="63"/>
  <c r="AD295" i="63"/>
  <c r="AE292" i="63"/>
  <c r="AE290" i="63"/>
  <c r="AD289" i="63"/>
  <c r="AD288" i="63"/>
  <c r="AE287" i="63"/>
  <c r="AD285" i="63"/>
  <c r="AE281" i="63"/>
  <c r="AE280" i="63"/>
  <c r="AE279" i="63"/>
  <c r="AE278" i="63"/>
  <c r="AD277" i="63"/>
  <c r="AE275" i="63"/>
  <c r="AD263" i="63"/>
  <c r="AD262" i="63"/>
  <c r="AE258" i="63"/>
  <c r="AE246" i="63"/>
  <c r="AE244" i="63"/>
  <c r="AD242" i="63"/>
  <c r="AD241" i="63"/>
  <c r="AD240" i="63"/>
  <c r="AD215" i="63"/>
  <c r="AE213" i="63"/>
  <c r="AE212" i="63"/>
  <c r="AD164" i="63"/>
  <c r="AE55" i="63"/>
  <c r="AE50" i="63"/>
  <c r="AE48" i="63"/>
  <c r="AE43" i="63"/>
  <c r="AD36" i="63"/>
  <c r="AD35" i="63"/>
  <c r="AD33" i="63"/>
  <c r="AE26" i="63"/>
  <c r="AE259" i="63"/>
  <c r="AD294" i="63"/>
  <c r="AE846" i="63"/>
  <c r="AE861" i="63"/>
  <c r="AE162" i="63"/>
  <c r="AE832" i="63"/>
  <c r="AE70" i="63"/>
  <c r="AE841" i="63"/>
  <c r="AE21" i="63"/>
  <c r="AD848" i="63"/>
  <c r="AD861" i="63"/>
  <c r="AD857" i="63"/>
  <c r="AD31" i="63"/>
  <c r="AE862" i="63"/>
  <c r="AD835" i="63"/>
  <c r="AD852" i="63"/>
  <c r="AD214" i="63"/>
  <c r="AE210" i="63"/>
  <c r="AD293" i="63"/>
  <c r="AE297" i="63"/>
  <c r="AE291" i="63"/>
  <c r="AD284" i="63"/>
  <c r="AD276" i="63"/>
  <c r="AD261" i="63"/>
  <c r="T835" i="63"/>
  <c r="T842" i="63"/>
  <c r="T861" i="63"/>
  <c r="T844" i="63"/>
  <c r="M464" i="27"/>
  <c r="M166" i="82" s="1"/>
  <c r="S166" i="82" s="1"/>
  <c r="N464" i="27"/>
  <c r="C39" i="41"/>
  <c r="E23" i="41"/>
  <c r="E64" i="36"/>
  <c r="E31" i="41"/>
  <c r="E55" i="41"/>
  <c r="D23" i="41"/>
  <c r="D47" i="41"/>
  <c r="E39" i="41"/>
  <c r="K236" i="60"/>
  <c r="AC12" i="2"/>
  <c r="T766" i="63"/>
  <c r="T765" i="63"/>
  <c r="T763" i="63"/>
  <c r="T28" i="63"/>
  <c r="T847" i="63"/>
  <c r="T162" i="63"/>
  <c r="B1218" i="70"/>
  <c r="Z6" i="98" s="1"/>
  <c r="I37" i="4"/>
  <c r="I43" i="4"/>
  <c r="T869" i="63"/>
  <c r="R43" i="7"/>
  <c r="H27" i="2"/>
  <c r="G72" i="7"/>
  <c r="I72" i="7"/>
  <c r="I73" i="7"/>
  <c r="G73" i="7"/>
  <c r="G74" i="7"/>
  <c r="I74" i="7"/>
  <c r="C47" i="41"/>
  <c r="E53" i="87"/>
  <c r="G53" i="87"/>
  <c r="D53" i="87"/>
  <c r="F53" i="87"/>
  <c r="J6" i="39"/>
  <c r="I29" i="4"/>
  <c r="I34" i="4"/>
  <c r="I75" i="7"/>
  <c r="G75" i="7"/>
  <c r="G70" i="7"/>
  <c r="I70" i="7"/>
  <c r="T294" i="63"/>
  <c r="T60" i="63"/>
  <c r="I71" i="7"/>
  <c r="G71" i="7"/>
  <c r="T291" i="63"/>
  <c r="T244" i="63"/>
  <c r="T514" i="63"/>
  <c r="T26" i="63"/>
  <c r="T505" i="63"/>
  <c r="T295" i="63"/>
  <c r="T259" i="63"/>
  <c r="T31" i="63"/>
  <c r="T504" i="63"/>
  <c r="T293" i="63"/>
  <c r="T263" i="63"/>
  <c r="T242" i="63"/>
  <c r="T70" i="63"/>
  <c r="T515" i="63"/>
  <c r="T483" i="63"/>
  <c r="T467" i="63"/>
  <c r="T287" i="63"/>
  <c r="T214" i="63"/>
  <c r="T174" i="63"/>
  <c r="T158" i="63"/>
  <c r="T45" i="63"/>
  <c r="T290" i="63"/>
  <c r="T217" i="63"/>
  <c r="T169" i="63"/>
  <c r="T860" i="63"/>
  <c r="T867" i="63"/>
  <c r="T863" i="63"/>
  <c r="T848" i="63"/>
  <c r="T836" i="63"/>
  <c r="T846" i="63"/>
  <c r="T865" i="63"/>
  <c r="T856" i="63"/>
  <c r="T859" i="63"/>
  <c r="T855" i="63"/>
  <c r="T275" i="63"/>
  <c r="T773" i="63"/>
  <c r="T518" i="63"/>
  <c r="T260" i="63"/>
  <c r="T34" i="63"/>
  <c r="T517" i="63"/>
  <c r="T289" i="63"/>
  <c r="T55" i="63"/>
  <c r="T23" i="63"/>
  <c r="T516" i="63"/>
  <c r="T288" i="63"/>
  <c r="T258" i="63"/>
  <c r="T215" i="63"/>
  <c r="T159" i="63"/>
  <c r="T281" i="63"/>
  <c r="T286" i="63"/>
  <c r="T261" i="63"/>
  <c r="T245" i="63"/>
  <c r="T213" i="63"/>
  <c r="T36" i="63"/>
  <c r="T20" i="63"/>
  <c r="T838" i="63"/>
  <c r="T857" i="63"/>
  <c r="T864" i="63"/>
  <c r="T841" i="63"/>
  <c r="T833" i="63"/>
  <c r="T862" i="63"/>
  <c r="T843" i="63"/>
  <c r="T834" i="63"/>
  <c r="T845" i="63"/>
  <c r="T264" i="63"/>
  <c r="T502" i="63"/>
  <c r="T239" i="63"/>
  <c r="T506" i="63"/>
  <c r="T482" i="63"/>
  <c r="T212" i="63"/>
  <c r="T280" i="63"/>
  <c r="T50" i="63"/>
  <c r="T481" i="63"/>
  <c r="T284" i="63"/>
  <c r="T283" i="63"/>
  <c r="T210" i="63"/>
  <c r="T22" i="63"/>
  <c r="T507" i="63"/>
  <c r="T297" i="63"/>
  <c r="T276" i="63"/>
  <c r="T246" i="63"/>
  <c r="T43" i="63"/>
  <c r="T37" i="63"/>
  <c r="T21" i="63"/>
  <c r="T298" i="63"/>
  <c r="T282" i="63"/>
  <c r="T241" i="63"/>
  <c r="T48" i="63"/>
  <c r="E49" i="87"/>
  <c r="E50" i="87" s="1"/>
  <c r="F49" i="87"/>
  <c r="F50" i="87" s="1"/>
  <c r="D49" i="87"/>
  <c r="D50" i="87" s="1"/>
  <c r="G49" i="87"/>
  <c r="G50" i="87" s="1"/>
  <c r="T218" i="63"/>
  <c r="T296" i="63"/>
  <c r="T466" i="63"/>
  <c r="T285" i="63"/>
  <c r="T510" i="63"/>
  <c r="T18" i="63"/>
  <c r="T509" i="63"/>
  <c r="T279" i="63"/>
  <c r="T243" i="63"/>
  <c r="T508" i="63"/>
  <c r="T299" i="63"/>
  <c r="T277" i="63"/>
  <c r="T247" i="63"/>
  <c r="T519" i="63"/>
  <c r="T503" i="63"/>
  <c r="T292" i="63"/>
  <c r="T262" i="63"/>
  <c r="T240" i="63"/>
  <c r="T219" i="63"/>
  <c r="T164" i="63"/>
  <c r="T35" i="63"/>
  <c r="T178" i="63"/>
  <c r="T65" i="63"/>
  <c r="T33" i="63"/>
  <c r="T278" i="63"/>
  <c r="T840" i="63"/>
  <c r="T866" i="63"/>
  <c r="T854" i="63"/>
  <c r="T839" i="63"/>
  <c r="T868" i="63"/>
  <c r="T832" i="63"/>
  <c r="T837" i="63"/>
  <c r="T858" i="63"/>
  <c r="L25" i="66"/>
  <c r="I32" i="4"/>
  <c r="AB12" i="2"/>
  <c r="L139" i="66"/>
  <c r="M118" i="66"/>
  <c r="M146" i="66"/>
  <c r="Y132" i="66"/>
  <c r="Y118" i="66"/>
  <c r="L146" i="66"/>
  <c r="M139" i="66"/>
  <c r="L132" i="66"/>
  <c r="L118" i="66"/>
  <c r="Y146" i="66"/>
  <c r="Y139" i="66"/>
  <c r="M132" i="66"/>
  <c r="I148" i="66"/>
  <c r="Y147" i="66"/>
  <c r="L147" i="66"/>
  <c r="M147" i="66"/>
  <c r="Y125" i="66"/>
  <c r="L125" i="66"/>
  <c r="M125" i="66"/>
  <c r="I134" i="66"/>
  <c r="L133" i="66"/>
  <c r="Y133" i="66"/>
  <c r="M133" i="66"/>
  <c r="I66" i="66"/>
  <c r="Y66" i="66" s="1"/>
  <c r="I67" i="66"/>
  <c r="I111" i="66"/>
  <c r="R67" i="66"/>
  <c r="R79" i="66"/>
  <c r="R61" i="66"/>
  <c r="R64" i="66"/>
  <c r="I73" i="66"/>
  <c r="L74" i="66" s="1"/>
  <c r="R76" i="66"/>
  <c r="R73" i="66"/>
  <c r="R85" i="66"/>
  <c r="R82" i="66"/>
  <c r="D1192" i="70"/>
  <c r="K57" i="4"/>
  <c r="K33" i="4"/>
  <c r="K27" i="4"/>
  <c r="G12" i="19"/>
  <c r="H12" i="19" s="1"/>
  <c r="K36" i="4"/>
  <c r="K24" i="4"/>
  <c r="I20" i="4"/>
  <c r="I65" i="4"/>
  <c r="I41" i="4"/>
  <c r="I50" i="4"/>
  <c r="K60" i="4"/>
  <c r="I56" i="4"/>
  <c r="I14" i="4"/>
  <c r="I13" i="4"/>
  <c r="I11" i="4"/>
  <c r="H6" i="39"/>
  <c r="F8" i="36"/>
  <c r="L28" i="66"/>
  <c r="I120" i="82"/>
  <c r="I24" i="39"/>
  <c r="C15" i="19"/>
  <c r="C10" i="19"/>
  <c r="C12" i="19"/>
  <c r="AA14" i="2"/>
  <c r="F10" i="36"/>
  <c r="F10" i="2"/>
  <c r="M466" i="27"/>
  <c r="M168" i="82" s="1"/>
  <c r="S168" i="82" s="1"/>
  <c r="M468" i="27"/>
  <c r="M170" i="82" s="1"/>
  <c r="S170" i="82" s="1"/>
  <c r="M465" i="27"/>
  <c r="M167" i="82" s="1"/>
  <c r="S167" i="82" s="1"/>
  <c r="T852" i="63"/>
  <c r="T817" i="63"/>
  <c r="H68" i="2" s="1"/>
  <c r="Y68" i="2" s="1"/>
  <c r="T853" i="63"/>
  <c r="N184" i="71"/>
  <c r="B36" i="19"/>
  <c r="G36" i="19" s="1"/>
  <c r="H36" i="19" s="1"/>
  <c r="F9" i="36"/>
  <c r="T28" i="43"/>
  <c r="D31" i="43" s="1"/>
  <c r="G162" i="71"/>
  <c r="K162" i="71" s="1"/>
  <c r="G178" i="71"/>
  <c r="I178" i="71" s="1"/>
  <c r="J125" i="64"/>
  <c r="L125" i="64" s="1"/>
  <c r="E2" i="2"/>
  <c r="V7" i="2" s="1"/>
  <c r="H28" i="64"/>
  <c r="I28" i="64" s="1"/>
  <c r="AT28" i="64" s="1"/>
  <c r="C55" i="41"/>
  <c r="L27" i="66"/>
  <c r="G161" i="71"/>
  <c r="B24" i="19"/>
  <c r="G24" i="19" s="1"/>
  <c r="H24" i="19" s="1"/>
  <c r="AE763" i="63"/>
  <c r="AE264" i="63"/>
  <c r="AD264" i="63"/>
  <c r="AD773" i="63"/>
  <c r="AD767" i="63"/>
  <c r="AE766" i="63"/>
  <c r="AE767" i="63"/>
  <c r="AD766" i="63"/>
  <c r="H133" i="4"/>
  <c r="K133" i="4" s="1"/>
  <c r="L133" i="4" s="1"/>
  <c r="N133" i="4" s="1"/>
  <c r="AT133" i="4" s="1"/>
  <c r="AD260" i="63"/>
  <c r="AD174" i="63"/>
  <c r="AD210" i="63"/>
  <c r="AE773" i="63"/>
  <c r="AE764" i="63"/>
  <c r="AD761" i="63"/>
  <c r="AD764" i="63"/>
  <c r="AE45" i="63"/>
  <c r="AD45" i="63"/>
  <c r="AE174" i="63"/>
  <c r="AE282" i="63"/>
  <c r="AE294" i="63"/>
  <c r="AD765" i="63"/>
  <c r="AE761" i="63"/>
  <c r="AE765" i="63"/>
  <c r="AE762" i="63"/>
  <c r="AD763" i="63"/>
  <c r="AD762" i="63"/>
  <c r="K39" i="66"/>
  <c r="J39" i="66" s="1"/>
  <c r="D106" i="72"/>
  <c r="B23" i="19"/>
  <c r="G23" i="19" s="1"/>
  <c r="H23" i="19" s="1"/>
  <c r="E16" i="36"/>
  <c r="A69" i="82"/>
  <c r="K239" i="60"/>
  <c r="K252" i="60"/>
  <c r="M255" i="82"/>
  <c r="S255" i="82" s="1"/>
  <c r="N573" i="27"/>
  <c r="H140" i="4"/>
  <c r="K140" i="4" s="1"/>
  <c r="L140" i="4" s="1"/>
  <c r="N140" i="4" s="1"/>
  <c r="AT140" i="4" s="1"/>
  <c r="N468" i="27"/>
  <c r="N39" i="66"/>
  <c r="K16" i="36"/>
  <c r="H29" i="2"/>
  <c r="P51" i="66"/>
  <c r="H138" i="4"/>
  <c r="K138" i="4" s="1"/>
  <c r="L138" i="4" s="1"/>
  <c r="N138" i="4" s="1"/>
  <c r="AT138" i="4" s="1"/>
  <c r="K257" i="60"/>
  <c r="J176" i="71"/>
  <c r="H137" i="4"/>
  <c r="K137" i="4" s="1"/>
  <c r="L137" i="4" s="1"/>
  <c r="N137" i="4" s="1"/>
  <c r="AT137" i="4" s="1"/>
  <c r="M176" i="71"/>
  <c r="F118" i="72"/>
  <c r="G173" i="71"/>
  <c r="I173" i="71" s="1"/>
  <c r="A57" i="82"/>
  <c r="A65" i="82"/>
  <c r="AG13" i="2"/>
  <c r="N29" i="66"/>
  <c r="A46" i="7"/>
  <c r="G170" i="71"/>
  <c r="J170" i="71" s="1"/>
  <c r="M170" i="71" s="1"/>
  <c r="H127" i="72"/>
  <c r="G9" i="64" s="1"/>
  <c r="H9" i="64" s="1"/>
  <c r="I9" i="64" s="1"/>
  <c r="H131" i="72"/>
  <c r="G13" i="64" s="1"/>
  <c r="H13" i="64" s="1"/>
  <c r="I13" i="64" s="1"/>
  <c r="H135" i="72"/>
  <c r="G17" i="64" s="1"/>
  <c r="H17" i="64" s="1"/>
  <c r="I17" i="64" s="1"/>
  <c r="H139" i="72"/>
  <c r="G21" i="64" s="1"/>
  <c r="H21" i="64" s="1"/>
  <c r="I21" i="64" s="1"/>
  <c r="L121" i="72"/>
  <c r="H128" i="72"/>
  <c r="G10" i="64" s="1"/>
  <c r="H10" i="64" s="1"/>
  <c r="H132" i="72"/>
  <c r="G14" i="64" s="1"/>
  <c r="H14" i="64" s="1"/>
  <c r="I14" i="64" s="1"/>
  <c r="H136" i="72"/>
  <c r="G18" i="64" s="1"/>
  <c r="H18" i="64" s="1"/>
  <c r="I18" i="64" s="1"/>
  <c r="H140" i="72"/>
  <c r="G22" i="64" s="1"/>
  <c r="H22" i="64" s="1"/>
  <c r="I22" i="64" s="1"/>
  <c r="L118" i="72"/>
  <c r="R44" i="2" s="1"/>
  <c r="Y44" i="2" s="1"/>
  <c r="L122" i="72"/>
  <c r="H129" i="72"/>
  <c r="G11" i="64" s="1"/>
  <c r="H11" i="64" s="1"/>
  <c r="I11" i="64" s="1"/>
  <c r="H133" i="72"/>
  <c r="G15" i="64" s="1"/>
  <c r="H15" i="64" s="1"/>
  <c r="I15" i="64" s="1"/>
  <c r="H137" i="72"/>
  <c r="G19" i="64" s="1"/>
  <c r="H19" i="64" s="1"/>
  <c r="I19" i="64" s="1"/>
  <c r="H126" i="72"/>
  <c r="G8" i="64" s="1"/>
  <c r="L119" i="72"/>
  <c r="R45" i="2" s="1"/>
  <c r="Y45" i="2" s="1"/>
  <c r="H130" i="72"/>
  <c r="G12" i="64" s="1"/>
  <c r="H12" i="64" s="1"/>
  <c r="I12" i="64" s="1"/>
  <c r="H134" i="72"/>
  <c r="G16" i="64" s="1"/>
  <c r="H16" i="64" s="1"/>
  <c r="I16" i="64" s="1"/>
  <c r="H138" i="72"/>
  <c r="G20" i="64" s="1"/>
  <c r="H20" i="64" s="1"/>
  <c r="I20" i="64" s="1"/>
  <c r="L120" i="72"/>
  <c r="H22" i="43"/>
  <c r="G20" i="43"/>
  <c r="T83" i="43"/>
  <c r="D86" i="43" s="1"/>
  <c r="I62" i="64"/>
  <c r="AT62" i="64" s="1"/>
  <c r="K163" i="71"/>
  <c r="B31" i="73"/>
  <c r="B2" i="73"/>
  <c r="H135" i="4"/>
  <c r="K135" i="4" s="1"/>
  <c r="L135" i="4" s="1"/>
  <c r="N135" i="4" s="1"/>
  <c r="AT135" i="4" s="1"/>
  <c r="H49" i="43"/>
  <c r="H139" i="4"/>
  <c r="K139" i="4" s="1"/>
  <c r="L139" i="4" s="1"/>
  <c r="N139" i="4" s="1"/>
  <c r="AT139" i="4" s="1"/>
  <c r="H107" i="43"/>
  <c r="H77" i="43"/>
  <c r="E43" i="7"/>
  <c r="W29" i="2"/>
  <c r="E17" i="36"/>
  <c r="T63" i="2"/>
  <c r="AT63" i="2" s="1"/>
  <c r="T69" i="2"/>
  <c r="AT69" i="2" s="1"/>
  <c r="T64" i="2"/>
  <c r="AT64" i="2" s="1"/>
  <c r="T68" i="2"/>
  <c r="AT68" i="2" s="1"/>
  <c r="T65" i="2"/>
  <c r="AT65" i="2" s="1"/>
  <c r="T61" i="2"/>
  <c r="AT61" i="2" s="1"/>
  <c r="T70" i="2"/>
  <c r="AT70" i="2" s="1"/>
  <c r="T67" i="2"/>
  <c r="AT67" i="2" s="1"/>
  <c r="T62" i="2"/>
  <c r="AT62" i="2" s="1"/>
  <c r="T66" i="2"/>
  <c r="AT66" i="2" s="1"/>
  <c r="T27" i="2"/>
  <c r="AT27" i="2" s="1"/>
  <c r="T12" i="2"/>
  <c r="AT12" i="2" s="1"/>
  <c r="L168" i="66"/>
  <c r="M168" i="66" s="1"/>
  <c r="T14" i="2"/>
  <c r="AT14" i="2" s="1"/>
  <c r="T13" i="2"/>
  <c r="AT13" i="2" s="1"/>
  <c r="T28" i="2"/>
  <c r="AT28" i="2" s="1"/>
  <c r="T29" i="2"/>
  <c r="AT29" i="2" s="1"/>
  <c r="T41" i="2"/>
  <c r="AT41" i="2" s="1"/>
  <c r="T15" i="2"/>
  <c r="AT15" i="2" s="1"/>
  <c r="T40" i="2"/>
  <c r="AT40" i="2" s="1"/>
  <c r="S52" i="66"/>
  <c r="H136" i="4"/>
  <c r="K136" i="4" s="1"/>
  <c r="L136" i="4" s="1"/>
  <c r="N136" i="4" s="1"/>
  <c r="AT136" i="4" s="1"/>
  <c r="O6" i="39"/>
  <c r="P6" i="39" s="1"/>
  <c r="AF6" i="39" s="1"/>
  <c r="K249" i="60"/>
  <c r="D35" i="19"/>
  <c r="E26" i="19"/>
  <c r="R62" i="2"/>
  <c r="AC62" i="2"/>
  <c r="AD29" i="2"/>
  <c r="G181" i="71"/>
  <c r="I181" i="71" s="1"/>
  <c r="K105" i="72"/>
  <c r="AD27" i="2"/>
  <c r="AD28" i="2"/>
  <c r="E15" i="36"/>
  <c r="K40" i="66"/>
  <c r="J40" i="66" s="1"/>
  <c r="H15" i="2"/>
  <c r="D12" i="73" s="1"/>
  <c r="F12" i="73" s="1"/>
  <c r="F15" i="2"/>
  <c r="H141" i="4"/>
  <c r="K141" i="4" s="1"/>
  <c r="L141" i="4" s="1"/>
  <c r="N141" i="4" s="1"/>
  <c r="AT141" i="4" s="1"/>
  <c r="H132" i="4"/>
  <c r="L31" i="66"/>
  <c r="AC14" i="2"/>
  <c r="K246" i="60"/>
  <c r="C10" i="83"/>
  <c r="G183" i="71"/>
  <c r="I183" i="71" s="1"/>
  <c r="AD55" i="2"/>
  <c r="E37" i="19"/>
  <c r="K240" i="60"/>
  <c r="K241" i="60"/>
  <c r="Y56" i="2"/>
  <c r="I119" i="72"/>
  <c r="G120" i="72"/>
  <c r="D150" i="61"/>
  <c r="AC13" i="2"/>
  <c r="K255" i="60"/>
  <c r="D118" i="61"/>
  <c r="Q42" i="66"/>
  <c r="K238" i="60"/>
  <c r="K166" i="71"/>
  <c r="L166" i="71" s="1"/>
  <c r="K22" i="60"/>
  <c r="I176" i="71"/>
  <c r="L176" i="71" s="1"/>
  <c r="G165" i="71"/>
  <c r="I165" i="71" s="1"/>
  <c r="N465" i="27"/>
  <c r="K21" i="60"/>
  <c r="M278" i="82"/>
  <c r="S278" i="82" s="1"/>
  <c r="M568" i="27"/>
  <c r="S568" i="27" s="1"/>
  <c r="N596" i="27"/>
  <c r="N218" i="81"/>
  <c r="K253" i="60"/>
  <c r="K256" i="60"/>
  <c r="I53" i="64"/>
  <c r="AT53" i="64" s="1"/>
  <c r="P41" i="7"/>
  <c r="O43" i="3"/>
  <c r="O44" i="3" s="1"/>
  <c r="Q44" i="3" s="1"/>
  <c r="S44" i="3" s="1"/>
  <c r="G49" i="3"/>
  <c r="M166" i="71"/>
  <c r="I56" i="64"/>
  <c r="AT56" i="64" s="1"/>
  <c r="G123" i="64"/>
  <c r="H123" i="64" s="1"/>
  <c r="J124" i="64" s="1"/>
  <c r="I54" i="64"/>
  <c r="AT54" i="64" s="1"/>
  <c r="I55" i="64"/>
  <c r="AT55" i="64" s="1"/>
  <c r="I52" i="64"/>
  <c r="AT52" i="64" s="1"/>
  <c r="H57" i="64"/>
  <c r="H58" i="64" s="1"/>
  <c r="H48" i="64" s="1"/>
  <c r="K20" i="60"/>
  <c r="E3" i="64"/>
  <c r="H41" i="64"/>
  <c r="I41" i="64" s="1"/>
  <c r="AT41" i="64" s="1"/>
  <c r="H37" i="64"/>
  <c r="I37" i="64" s="1"/>
  <c r="AT37" i="64" s="1"/>
  <c r="H31" i="64"/>
  <c r="I31" i="64" s="1"/>
  <c r="AT31" i="64" s="1"/>
  <c r="H35" i="64"/>
  <c r="I35" i="64" s="1"/>
  <c r="AT35" i="64" s="1"/>
  <c r="H33" i="64"/>
  <c r="I33" i="64" s="1"/>
  <c r="AT33" i="64" s="1"/>
  <c r="H38" i="64"/>
  <c r="I38" i="64" s="1"/>
  <c r="AT38" i="64" s="1"/>
  <c r="H34" i="64"/>
  <c r="I34" i="64" s="1"/>
  <c r="AT34" i="64" s="1"/>
  <c r="H29" i="64"/>
  <c r="I29" i="64" s="1"/>
  <c r="AT29" i="64" s="1"/>
  <c r="N466" i="27"/>
  <c r="H27" i="64"/>
  <c r="I27" i="64" s="1"/>
  <c r="AT27" i="64" s="1"/>
  <c r="H40" i="64"/>
  <c r="I40" i="64" s="1"/>
  <c r="AT40" i="64" s="1"/>
  <c r="H30" i="64"/>
  <c r="I30" i="64" s="1"/>
  <c r="AT30" i="64" s="1"/>
  <c r="H36" i="64"/>
  <c r="I36" i="64" s="1"/>
  <c r="AT36" i="64" s="1"/>
  <c r="H39" i="64"/>
  <c r="I39" i="64" s="1"/>
  <c r="AT39" i="64" s="1"/>
  <c r="Y54" i="2"/>
  <c r="D85" i="66"/>
  <c r="A60" i="82"/>
  <c r="G15" i="71"/>
  <c r="I15" i="71" s="1"/>
  <c r="B22" i="19"/>
  <c r="G22" i="19" s="1"/>
  <c r="H22" i="19" s="1"/>
  <c r="I36" i="19"/>
  <c r="O940" i="63"/>
  <c r="D86" i="66" s="1"/>
  <c r="K38" i="66"/>
  <c r="J38" i="66" s="1"/>
  <c r="H119" i="72"/>
  <c r="D105" i="72"/>
  <c r="G175" i="71"/>
  <c r="I175" i="71" s="1"/>
  <c r="AH55" i="7"/>
  <c r="K248" i="60"/>
  <c r="W27" i="2"/>
  <c r="AR27" i="2" s="1"/>
  <c r="K243" i="60"/>
  <c r="G64" i="36"/>
  <c r="O5" i="42"/>
  <c r="K251" i="60"/>
  <c r="J166" i="71"/>
  <c r="E39" i="19"/>
  <c r="J38" i="19"/>
  <c r="I121" i="72"/>
  <c r="D7" i="84"/>
  <c r="K23" i="60"/>
  <c r="G118" i="72"/>
  <c r="K244" i="60"/>
  <c r="C144" i="61"/>
  <c r="K247" i="60"/>
  <c r="K101" i="72"/>
  <c r="AD13" i="2"/>
  <c r="E35" i="19"/>
  <c r="Q51" i="66"/>
  <c r="G112" i="72"/>
  <c r="Q41" i="66"/>
  <c r="Q55" i="66"/>
  <c r="D154" i="61"/>
  <c r="G13" i="71"/>
  <c r="I13" i="71" s="1"/>
  <c r="H37" i="2"/>
  <c r="D20" i="73" s="1"/>
  <c r="F20" i="73" s="1"/>
  <c r="H39" i="2"/>
  <c r="H40" i="2"/>
  <c r="H36" i="2"/>
  <c r="D19" i="73" s="1"/>
  <c r="F19" i="73" s="1"/>
  <c r="H35" i="2"/>
  <c r="D18" i="73" s="1"/>
  <c r="F18" i="73" s="1"/>
  <c r="H38" i="2"/>
  <c r="D21" i="73" s="1"/>
  <c r="F21" i="73" s="1"/>
  <c r="H34" i="2"/>
  <c r="D17" i="73" s="1"/>
  <c r="F17" i="73" s="1"/>
  <c r="G108" i="72"/>
  <c r="D116" i="61"/>
  <c r="G114" i="72"/>
  <c r="E31" i="19"/>
  <c r="D128" i="61"/>
  <c r="Q47" i="66"/>
  <c r="E27" i="19"/>
  <c r="G116" i="72"/>
  <c r="D142" i="61"/>
  <c r="Q49" i="66"/>
  <c r="E33" i="19"/>
  <c r="G110" i="72"/>
  <c r="D124" i="61"/>
  <c r="E29" i="19"/>
  <c r="Q43" i="66"/>
  <c r="G115" i="72"/>
  <c r="D130" i="61"/>
  <c r="Q48" i="66"/>
  <c r="E32" i="19"/>
  <c r="D144" i="61"/>
  <c r="E34" i="19"/>
  <c r="G117" i="72"/>
  <c r="Q50" i="66"/>
  <c r="E28" i="19"/>
  <c r="G111" i="72"/>
  <c r="D122" i="61"/>
  <c r="Q44" i="66"/>
  <c r="G113" i="72"/>
  <c r="D126" i="61"/>
  <c r="Q46" i="66"/>
  <c r="E30" i="19"/>
  <c r="C31" i="41"/>
  <c r="C15" i="41"/>
  <c r="J18" i="42"/>
  <c r="J10" i="66"/>
  <c r="G72" i="3"/>
  <c r="G163" i="71"/>
  <c r="I163" i="71" s="1"/>
  <c r="G48" i="3"/>
  <c r="G186" i="71"/>
  <c r="J186" i="71"/>
  <c r="G174" i="71"/>
  <c r="I174" i="71" s="1"/>
  <c r="J174" i="71"/>
  <c r="J165" i="71"/>
  <c r="K165" i="71"/>
  <c r="E3" i="3"/>
  <c r="G74" i="3"/>
  <c r="G50" i="3"/>
  <c r="G73" i="3"/>
  <c r="G184" i="71"/>
  <c r="K184" i="71" s="1"/>
  <c r="J184" i="71"/>
  <c r="J175" i="71"/>
  <c r="K175" i="71"/>
  <c r="G164" i="71"/>
  <c r="J164" i="71"/>
  <c r="M164" i="71"/>
  <c r="I37" i="19"/>
  <c r="D34" i="19"/>
  <c r="F113" i="72"/>
  <c r="D30" i="19"/>
  <c r="P46" i="66"/>
  <c r="R53" i="66"/>
  <c r="P50" i="66"/>
  <c r="N126" i="81"/>
  <c r="N33" i="81" s="1"/>
  <c r="O935" i="63"/>
  <c r="D81" i="66" s="1"/>
  <c r="D77" i="66"/>
  <c r="B1219" i="70"/>
  <c r="D39" i="3"/>
  <c r="F121" i="72"/>
  <c r="P995" i="63"/>
  <c r="R988" i="63"/>
  <c r="K56" i="81"/>
  <c r="N51" i="81"/>
  <c r="N56" i="81" s="1"/>
  <c r="N99" i="81" s="1"/>
  <c r="N32" i="81" s="1"/>
  <c r="K51" i="66"/>
  <c r="B35" i="19"/>
  <c r="K103" i="72"/>
  <c r="AD15" i="2"/>
  <c r="AC15" i="2"/>
  <c r="K102" i="72"/>
  <c r="AD14" i="2"/>
  <c r="AB15" i="2"/>
  <c r="AB14" i="2"/>
  <c r="AC55" i="2"/>
  <c r="Y55" i="2"/>
  <c r="K122" i="72"/>
  <c r="W57" i="2"/>
  <c r="AR57" i="2" s="1"/>
  <c r="T55" i="66"/>
  <c r="AT55" i="66" s="1"/>
  <c r="K10" i="60"/>
  <c r="AA17" i="83"/>
  <c r="AG17" i="83"/>
  <c r="I42" i="7"/>
  <c r="D43" i="7"/>
  <c r="AC17" i="83"/>
  <c r="E41" i="7"/>
  <c r="R41" i="7"/>
  <c r="AI17" i="83"/>
  <c r="U17" i="83"/>
  <c r="S17" i="83"/>
  <c r="J43" i="7"/>
  <c r="G43" i="7"/>
  <c r="AH47" i="7"/>
  <c r="L43" i="7"/>
  <c r="K41" i="7"/>
  <c r="M42" i="7"/>
  <c r="L42" i="7"/>
  <c r="P42" i="7"/>
  <c r="H42" i="7"/>
  <c r="O42" i="7"/>
  <c r="L41" i="7"/>
  <c r="M43" i="7"/>
  <c r="N42" i="7"/>
  <c r="N43" i="7"/>
  <c r="C42" i="7"/>
  <c r="F42" i="7"/>
  <c r="Q42" i="7"/>
  <c r="G42" i="7"/>
  <c r="AH53" i="7"/>
  <c r="AH49" i="7"/>
  <c r="D41" i="7"/>
  <c r="D42" i="7"/>
  <c r="J42" i="7"/>
  <c r="K42" i="7"/>
  <c r="G41" i="7"/>
  <c r="K43" i="7"/>
  <c r="N41" i="7"/>
  <c r="I43" i="7"/>
  <c r="M41" i="7"/>
  <c r="P43" i="7"/>
  <c r="H43" i="7"/>
  <c r="C43" i="7"/>
  <c r="O41" i="7"/>
  <c r="O43" i="7"/>
  <c r="E42" i="7"/>
  <c r="Q43" i="7"/>
  <c r="Q41" i="7"/>
  <c r="F43" i="7"/>
  <c r="F41" i="7"/>
  <c r="R42" i="7"/>
  <c r="AH45" i="7"/>
  <c r="AH48" i="7"/>
  <c r="T54" i="66"/>
  <c r="AT54" i="66" s="1"/>
  <c r="R981" i="63"/>
  <c r="P996" i="63"/>
  <c r="N185" i="81"/>
  <c r="N207" i="81" s="1"/>
  <c r="N36" i="81" s="1"/>
  <c r="K207" i="81"/>
  <c r="K173" i="71"/>
  <c r="J173" i="71"/>
  <c r="M22" i="72"/>
  <c r="L39" i="73"/>
  <c r="K106" i="72"/>
  <c r="K104" i="72"/>
  <c r="F63" i="3"/>
  <c r="C1204" i="70"/>
  <c r="E57" i="3" s="1"/>
  <c r="M62" i="3" s="1"/>
  <c r="C1219" i="70"/>
  <c r="D12" i="7" s="1"/>
  <c r="E17" i="3"/>
  <c r="R7" i="85"/>
  <c r="A59" i="82"/>
  <c r="A58" i="82"/>
  <c r="N219" i="81"/>
  <c r="K107" i="72"/>
  <c r="K100" i="72"/>
  <c r="AD12" i="2"/>
  <c r="K185" i="71"/>
  <c r="J185" i="71"/>
  <c r="D17" i="3"/>
  <c r="Q467" i="27"/>
  <c r="R467" i="27" s="1"/>
  <c r="AT467" i="27" s="1"/>
  <c r="P45" i="66"/>
  <c r="F112" i="72"/>
  <c r="D29" i="19"/>
  <c r="C152" i="61"/>
  <c r="D38" i="19"/>
  <c r="AD56" i="2"/>
  <c r="C142" i="61"/>
  <c r="P49" i="66"/>
  <c r="D33" i="19"/>
  <c r="F116" i="72"/>
  <c r="C116" i="61"/>
  <c r="F108" i="72"/>
  <c r="P41" i="66"/>
  <c r="D25" i="19"/>
  <c r="F114" i="72"/>
  <c r="C128" i="61"/>
  <c r="P47" i="66"/>
  <c r="D31" i="19"/>
  <c r="C154" i="61"/>
  <c r="P55" i="66"/>
  <c r="D39" i="19"/>
  <c r="AD57" i="2"/>
  <c r="F122" i="72"/>
  <c r="F111" i="72"/>
  <c r="D28" i="19"/>
  <c r="C122" i="61"/>
  <c r="P44" i="66"/>
  <c r="F115" i="72"/>
  <c r="P48" i="66"/>
  <c r="C130" i="61"/>
  <c r="D32" i="19"/>
  <c r="I27" i="19"/>
  <c r="H110" i="72"/>
  <c r="R43" i="66"/>
  <c r="J41" i="7"/>
  <c r="C41" i="7"/>
  <c r="I41" i="7"/>
  <c r="Y17" i="83"/>
  <c r="AE17" i="83"/>
  <c r="N174" i="71"/>
  <c r="N186" i="71"/>
  <c r="M247" i="60"/>
  <c r="AT247" i="60" s="1"/>
  <c r="M256" i="60"/>
  <c r="AT256" i="60" s="1"/>
  <c r="M255" i="60"/>
  <c r="AT255" i="60" s="1"/>
  <c r="M251" i="60"/>
  <c r="AT251" i="60" s="1"/>
  <c r="M253" i="60"/>
  <c r="AT253" i="60" s="1"/>
  <c r="M257" i="60"/>
  <c r="AT257" i="60" s="1"/>
  <c r="M246" i="60"/>
  <c r="AT246" i="60" s="1"/>
  <c r="M237" i="60"/>
  <c r="AT237" i="60" s="1"/>
  <c r="M23" i="60"/>
  <c r="AT23" i="60" s="1"/>
  <c r="M248" i="60"/>
  <c r="AT248" i="60" s="1"/>
  <c r="M238" i="60"/>
  <c r="AT238" i="60" s="1"/>
  <c r="AH43" i="7"/>
  <c r="M22" i="60"/>
  <c r="AT22" i="60" s="1"/>
  <c r="M254" i="60"/>
  <c r="AT254" i="60" s="1"/>
  <c r="M244" i="60"/>
  <c r="AT244" i="60" s="1"/>
  <c r="M239" i="60"/>
  <c r="AT239" i="60" s="1"/>
  <c r="M236" i="60"/>
  <c r="AT236" i="60" s="1"/>
  <c r="M241" i="60"/>
  <c r="AT241" i="60" s="1"/>
  <c r="M252" i="60"/>
  <c r="AT252" i="60" s="1"/>
  <c r="M249" i="60"/>
  <c r="AT249" i="60" s="1"/>
  <c r="M235" i="60"/>
  <c r="AT235" i="60" s="1"/>
  <c r="M245" i="60"/>
  <c r="AT245" i="60" s="1"/>
  <c r="M240" i="60"/>
  <c r="AT240" i="60" s="1"/>
  <c r="M243" i="60"/>
  <c r="AT243" i="60" s="1"/>
  <c r="A73" i="27"/>
  <c r="A68" i="82"/>
  <c r="M16" i="71"/>
  <c r="J16" i="71"/>
  <c r="A70" i="82"/>
  <c r="A75" i="27"/>
  <c r="A64" i="82"/>
  <c r="A69" i="27"/>
  <c r="A71" i="27"/>
  <c r="A66" i="82"/>
  <c r="K183" i="71"/>
  <c r="J183" i="71"/>
  <c r="A68" i="27"/>
  <c r="A63" i="82"/>
  <c r="A61" i="82"/>
  <c r="A66" i="27"/>
  <c r="A61" i="27"/>
  <c r="A56" i="82"/>
  <c r="A67" i="27"/>
  <c r="A62" i="82"/>
  <c r="A72" i="27"/>
  <c r="A67" i="82"/>
  <c r="AH42" i="7"/>
  <c r="AH54" i="7"/>
  <c r="AH46" i="7"/>
  <c r="AH50" i="7"/>
  <c r="K141" i="81"/>
  <c r="N141" i="81" s="1"/>
  <c r="K138" i="71" l="1"/>
  <c r="J138" i="71"/>
  <c r="M138" i="71" s="1"/>
  <c r="AT138" i="71" s="1"/>
  <c r="J140" i="71"/>
  <c r="M140" i="71" s="1"/>
  <c r="AT140" i="71" s="1"/>
  <c r="K140" i="71"/>
  <c r="N59" i="66"/>
  <c r="AL21" i="2"/>
  <c r="AT21" i="2"/>
  <c r="AL16" i="2"/>
  <c r="AT16" i="2"/>
  <c r="J149" i="71"/>
  <c r="M149" i="71" s="1"/>
  <c r="AT149" i="71" s="1"/>
  <c r="K149" i="71"/>
  <c r="AR21" i="2"/>
  <c r="Y58" i="66"/>
  <c r="J148" i="71"/>
  <c r="M148" i="71" s="1"/>
  <c r="AT148" i="71" s="1"/>
  <c r="I141" i="71"/>
  <c r="J141" i="71"/>
  <c r="M141" i="71" s="1"/>
  <c r="AT141" i="71" s="1"/>
  <c r="M153" i="71"/>
  <c r="AT153" i="71" s="1"/>
  <c r="L153" i="66"/>
  <c r="M155" i="71"/>
  <c r="AT155" i="71" s="1"/>
  <c r="M143" i="71"/>
  <c r="AT143" i="71" s="1"/>
  <c r="L132" i="4"/>
  <c r="H322" i="43"/>
  <c r="T10" i="66"/>
  <c r="AT10" i="66" s="1"/>
  <c r="AU10" i="66" s="1"/>
  <c r="Q22" i="83"/>
  <c r="AC27" i="2"/>
  <c r="B84" i="80"/>
  <c r="B86" i="80" s="1"/>
  <c r="H118" i="72"/>
  <c r="I35" i="19"/>
  <c r="F6" i="98"/>
  <c r="K6" i="98"/>
  <c r="G6" i="98"/>
  <c r="L6" i="98"/>
  <c r="K7" i="98"/>
  <c r="O6" i="98"/>
  <c r="N7" i="98"/>
  <c r="O7" i="98"/>
  <c r="M6" i="98"/>
  <c r="N6" i="98"/>
  <c r="G7" i="98"/>
  <c r="F7" i="98"/>
  <c r="I6" i="98"/>
  <c r="I7" i="98"/>
  <c r="H7" i="98"/>
  <c r="H6" i="98"/>
  <c r="M7" i="98"/>
  <c r="J7" i="98"/>
  <c r="L7" i="98"/>
  <c r="J6" i="98"/>
  <c r="N116" i="71"/>
  <c r="N156" i="71"/>
  <c r="N66" i="71"/>
  <c r="N106" i="71"/>
  <c r="N26" i="71"/>
  <c r="N34" i="71"/>
  <c r="N138" i="71"/>
  <c r="N94" i="71"/>
  <c r="N124" i="71"/>
  <c r="N134" i="71"/>
  <c r="N139" i="71"/>
  <c r="N64" i="71"/>
  <c r="N74" i="71"/>
  <c r="N154" i="71"/>
  <c r="N36" i="71"/>
  <c r="N56" i="71"/>
  <c r="N76" i="71"/>
  <c r="N140" i="71"/>
  <c r="N114" i="71"/>
  <c r="N24" i="71"/>
  <c r="N126" i="71"/>
  <c r="N146" i="71"/>
  <c r="N136" i="71"/>
  <c r="N150" i="71"/>
  <c r="N54" i="71"/>
  <c r="N46" i="71"/>
  <c r="N151" i="71"/>
  <c r="N44" i="71"/>
  <c r="N96" i="71"/>
  <c r="N104" i="71"/>
  <c r="N86" i="71"/>
  <c r="N84" i="71"/>
  <c r="N144" i="71"/>
  <c r="L122" i="4"/>
  <c r="M122" i="4"/>
  <c r="F136" i="61"/>
  <c r="L136" i="61" s="1"/>
  <c r="F132" i="61"/>
  <c r="I132" i="61" s="1"/>
  <c r="F108" i="61"/>
  <c r="L108" i="61" s="1"/>
  <c r="AT108" i="61" s="1"/>
  <c r="F140" i="61"/>
  <c r="K140" i="61" s="1"/>
  <c r="J10" i="71"/>
  <c r="M10" i="71" s="1"/>
  <c r="AT10" i="71" s="1"/>
  <c r="L62" i="66"/>
  <c r="R62" i="66" s="1"/>
  <c r="T62" i="66" s="1"/>
  <c r="AT62" i="66" s="1"/>
  <c r="F138" i="61"/>
  <c r="I138" i="61" s="1"/>
  <c r="F105" i="61"/>
  <c r="L105" i="61" s="1"/>
  <c r="AT105" i="61" s="1"/>
  <c r="F134" i="61"/>
  <c r="L134" i="61" s="1"/>
  <c r="Y153" i="66"/>
  <c r="F106" i="61"/>
  <c r="L106" i="61" s="1"/>
  <c r="AT106" i="61" s="1"/>
  <c r="F99" i="61"/>
  <c r="L99" i="61" s="1"/>
  <c r="AT99" i="61" s="1"/>
  <c r="L145" i="71"/>
  <c r="L139" i="71"/>
  <c r="K12" i="71"/>
  <c r="L12" i="71" s="1"/>
  <c r="L138" i="71"/>
  <c r="F111" i="61"/>
  <c r="L111" i="61" s="1"/>
  <c r="AT111" i="61" s="1"/>
  <c r="L140" i="71"/>
  <c r="R46" i="2"/>
  <c r="Y46" i="2" s="1"/>
  <c r="R48" i="2"/>
  <c r="Y48" i="2" s="1"/>
  <c r="S48" i="2" s="1"/>
  <c r="T48" i="2" s="1"/>
  <c r="AT48" i="2" s="1"/>
  <c r="R47" i="2"/>
  <c r="Y47" i="2" s="1"/>
  <c r="M145" i="71"/>
  <c r="K142" i="71"/>
  <c r="J142" i="71"/>
  <c r="M142" i="71" s="1"/>
  <c r="I142" i="71"/>
  <c r="L141" i="71"/>
  <c r="N166" i="71"/>
  <c r="AT166" i="71"/>
  <c r="N170" i="71"/>
  <c r="AT170" i="71"/>
  <c r="N176" i="71"/>
  <c r="AT176" i="71"/>
  <c r="N171" i="71"/>
  <c r="AT171" i="71"/>
  <c r="N164" i="71"/>
  <c r="AT164" i="71"/>
  <c r="N172" i="71"/>
  <c r="AT172" i="71"/>
  <c r="F83" i="61"/>
  <c r="I83" i="61" s="1"/>
  <c r="N16" i="71"/>
  <c r="AT16" i="71"/>
  <c r="F60" i="61"/>
  <c r="L60" i="61" s="1"/>
  <c r="AT60" i="61" s="1"/>
  <c r="F34" i="61"/>
  <c r="L34" i="61" s="1"/>
  <c r="AT34" i="61" s="1"/>
  <c r="F28" i="61"/>
  <c r="L28" i="61" s="1"/>
  <c r="AT28" i="61" s="1"/>
  <c r="F95" i="61"/>
  <c r="L95" i="61" s="1"/>
  <c r="AT95" i="61" s="1"/>
  <c r="F65" i="61"/>
  <c r="L65" i="61" s="1"/>
  <c r="AT65" i="61" s="1"/>
  <c r="F48" i="61"/>
  <c r="L48" i="61" s="1"/>
  <c r="AT48" i="61" s="1"/>
  <c r="F40" i="61"/>
  <c r="L40" i="61" s="1"/>
  <c r="AT40" i="61" s="1"/>
  <c r="F21" i="61"/>
  <c r="L21" i="61" s="1"/>
  <c r="AT21" i="61" s="1"/>
  <c r="F16" i="61"/>
  <c r="L16" i="61" s="1"/>
  <c r="AT16" i="61" s="1"/>
  <c r="F68" i="61"/>
  <c r="L68" i="61" s="1"/>
  <c r="AT68" i="61" s="1"/>
  <c r="F46" i="61"/>
  <c r="L46" i="61" s="1"/>
  <c r="AT46" i="61" s="1"/>
  <c r="F89" i="61"/>
  <c r="L89" i="61" s="1"/>
  <c r="AT89" i="61" s="1"/>
  <c r="F94" i="61"/>
  <c r="L94" i="61" s="1"/>
  <c r="AT94" i="61" s="1"/>
  <c r="F75" i="61"/>
  <c r="L75" i="61" s="1"/>
  <c r="AT75" i="61" s="1"/>
  <c r="F23" i="61"/>
  <c r="L23" i="61" s="1"/>
  <c r="AT23" i="61" s="1"/>
  <c r="F52" i="61"/>
  <c r="L52" i="61" s="1"/>
  <c r="AT52" i="61" s="1"/>
  <c r="F50" i="61"/>
  <c r="L50" i="61" s="1"/>
  <c r="AT50" i="61" s="1"/>
  <c r="F62" i="61"/>
  <c r="L62" i="61" s="1"/>
  <c r="AT62" i="61" s="1"/>
  <c r="F15" i="61"/>
  <c r="L15" i="61" s="1"/>
  <c r="AT15" i="61" s="1"/>
  <c r="I9" i="71"/>
  <c r="F72" i="61"/>
  <c r="L72" i="61" s="1"/>
  <c r="AT72" i="61" s="1"/>
  <c r="K11" i="71"/>
  <c r="L11" i="71" s="1"/>
  <c r="K10" i="71"/>
  <c r="L150" i="71"/>
  <c r="I24" i="71"/>
  <c r="K24" i="71"/>
  <c r="I46" i="71"/>
  <c r="K46" i="71"/>
  <c r="I86" i="71"/>
  <c r="K86" i="71"/>
  <c r="I66" i="71"/>
  <c r="K66" i="71"/>
  <c r="I36" i="71"/>
  <c r="K36" i="71"/>
  <c r="I56" i="71"/>
  <c r="K56" i="71"/>
  <c r="I26" i="71"/>
  <c r="K26" i="71"/>
  <c r="I76" i="71"/>
  <c r="K76" i="71"/>
  <c r="I34" i="71"/>
  <c r="K34" i="71"/>
  <c r="I96" i="71"/>
  <c r="K96" i="71"/>
  <c r="I44" i="71"/>
  <c r="K44" i="71"/>
  <c r="I106" i="71"/>
  <c r="K106" i="71"/>
  <c r="I54" i="71"/>
  <c r="K54" i="71"/>
  <c r="I156" i="71"/>
  <c r="K156" i="71"/>
  <c r="I146" i="71"/>
  <c r="K146" i="71"/>
  <c r="I136" i="71"/>
  <c r="K136" i="71"/>
  <c r="I126" i="71"/>
  <c r="K126" i="71"/>
  <c r="I116" i="71"/>
  <c r="K116" i="71"/>
  <c r="I64" i="71"/>
  <c r="K64" i="71"/>
  <c r="I74" i="71"/>
  <c r="K74" i="71"/>
  <c r="I84" i="71"/>
  <c r="K84" i="71"/>
  <c r="I94" i="71"/>
  <c r="K94" i="71"/>
  <c r="K104" i="71"/>
  <c r="I104" i="71"/>
  <c r="K144" i="71"/>
  <c r="I144" i="71"/>
  <c r="K134" i="71"/>
  <c r="I134" i="71"/>
  <c r="K124" i="71"/>
  <c r="I124" i="71"/>
  <c r="K114" i="71"/>
  <c r="I114" i="71"/>
  <c r="K154" i="71"/>
  <c r="I154" i="71"/>
  <c r="L149" i="71"/>
  <c r="F77" i="61"/>
  <c r="L77" i="61" s="1"/>
  <c r="AT77" i="61" s="1"/>
  <c r="F93" i="61"/>
  <c r="L93" i="61" s="1"/>
  <c r="AT93" i="61" s="1"/>
  <c r="L155" i="71"/>
  <c r="L148" i="71"/>
  <c r="F1173" i="70"/>
  <c r="F1174" i="70"/>
  <c r="E1160" i="70"/>
  <c r="F1160" i="70" s="1"/>
  <c r="L151" i="71"/>
  <c r="K152" i="71"/>
  <c r="J152" i="71"/>
  <c r="M152" i="71" s="1"/>
  <c r="I152" i="71"/>
  <c r="F74" i="61"/>
  <c r="L74" i="61" s="1"/>
  <c r="AT74" i="61" s="1"/>
  <c r="F87" i="61"/>
  <c r="L87" i="61" s="1"/>
  <c r="AT87" i="61" s="1"/>
  <c r="F59" i="61"/>
  <c r="L59" i="61" s="1"/>
  <c r="AT59" i="61" s="1"/>
  <c r="F57" i="61"/>
  <c r="L57" i="61" s="1"/>
  <c r="AT57" i="61" s="1"/>
  <c r="F22" i="61"/>
  <c r="L22" i="61" s="1"/>
  <c r="AT22" i="61" s="1"/>
  <c r="F20" i="61"/>
  <c r="L20" i="61" s="1"/>
  <c r="AT20" i="61" s="1"/>
  <c r="F92" i="61"/>
  <c r="L92" i="61" s="1"/>
  <c r="AT92" i="61" s="1"/>
  <c r="F45" i="61"/>
  <c r="L45" i="61" s="1"/>
  <c r="AT45" i="61" s="1"/>
  <c r="F78" i="61"/>
  <c r="L78" i="61" s="1"/>
  <c r="AT78" i="61" s="1"/>
  <c r="F33" i="61"/>
  <c r="L33" i="61" s="1"/>
  <c r="AT33" i="61" s="1"/>
  <c r="F96" i="61"/>
  <c r="L96" i="61" s="1"/>
  <c r="AT96" i="61" s="1"/>
  <c r="F41" i="61"/>
  <c r="L41" i="61" s="1"/>
  <c r="AT41" i="61" s="1"/>
  <c r="F14" i="61"/>
  <c r="L14" i="61" s="1"/>
  <c r="AT14" i="61" s="1"/>
  <c r="F90" i="61"/>
  <c r="L90" i="61" s="1"/>
  <c r="AT90" i="61" s="1"/>
  <c r="F70" i="61"/>
  <c r="L70" i="61" s="1"/>
  <c r="AT70" i="61" s="1"/>
  <c r="F58" i="61"/>
  <c r="L58" i="61" s="1"/>
  <c r="AT58" i="61" s="1"/>
  <c r="F35" i="61"/>
  <c r="L35" i="61" s="1"/>
  <c r="AT35" i="61" s="1"/>
  <c r="F54" i="61"/>
  <c r="L54" i="61" s="1"/>
  <c r="AT54" i="61" s="1"/>
  <c r="F24" i="61"/>
  <c r="L24" i="61" s="1"/>
  <c r="AT24" i="61" s="1"/>
  <c r="F32" i="61"/>
  <c r="L32" i="61" s="1"/>
  <c r="AT32" i="61" s="1"/>
  <c r="F80" i="61"/>
  <c r="L80" i="61" s="1"/>
  <c r="AT80" i="61" s="1"/>
  <c r="F71" i="61"/>
  <c r="L71" i="61" s="1"/>
  <c r="AT71" i="61" s="1"/>
  <c r="F76" i="61"/>
  <c r="L76" i="61" s="1"/>
  <c r="AT76" i="61" s="1"/>
  <c r="F53" i="61"/>
  <c r="L53" i="61" s="1"/>
  <c r="AT53" i="61" s="1"/>
  <c r="F63" i="61"/>
  <c r="L63" i="61" s="1"/>
  <c r="AT63" i="61" s="1"/>
  <c r="F30" i="61"/>
  <c r="L30" i="61" s="1"/>
  <c r="AT30" i="61" s="1"/>
  <c r="F17" i="61"/>
  <c r="L17" i="61" s="1"/>
  <c r="AT17" i="61" s="1"/>
  <c r="F36" i="61"/>
  <c r="L36" i="61" s="1"/>
  <c r="AT36" i="61" s="1"/>
  <c r="F44" i="61"/>
  <c r="L44" i="61" s="1"/>
  <c r="AT44" i="61" s="1"/>
  <c r="F26" i="61"/>
  <c r="L26" i="61" s="1"/>
  <c r="AT26" i="61" s="1"/>
  <c r="F66" i="61"/>
  <c r="L66" i="61" s="1"/>
  <c r="AT66" i="61" s="1"/>
  <c r="F88" i="61"/>
  <c r="L88" i="61" s="1"/>
  <c r="AT88" i="61" s="1"/>
  <c r="F81" i="61"/>
  <c r="L81" i="61" s="1"/>
  <c r="AT81" i="61" s="1"/>
  <c r="F47" i="61"/>
  <c r="L47" i="61" s="1"/>
  <c r="AT47" i="61" s="1"/>
  <c r="F51" i="61"/>
  <c r="L51" i="61" s="1"/>
  <c r="AT51" i="61" s="1"/>
  <c r="F18" i="61"/>
  <c r="L18" i="61" s="1"/>
  <c r="AT18" i="61" s="1"/>
  <c r="F27" i="61"/>
  <c r="L27" i="61" s="1"/>
  <c r="AT27" i="61" s="1"/>
  <c r="F86" i="61"/>
  <c r="L86" i="61" s="1"/>
  <c r="AT86" i="61" s="1"/>
  <c r="F39" i="61"/>
  <c r="L39" i="61" s="1"/>
  <c r="AT39" i="61" s="1"/>
  <c r="F84" i="61"/>
  <c r="G84" i="61" s="1"/>
  <c r="F82" i="61"/>
  <c r="L82" i="61" s="1"/>
  <c r="AT82" i="61" s="1"/>
  <c r="F42" i="61"/>
  <c r="L42" i="61" s="1"/>
  <c r="AT42" i="61" s="1"/>
  <c r="F69" i="61"/>
  <c r="L69" i="61" s="1"/>
  <c r="AT69" i="61" s="1"/>
  <c r="F29" i="61"/>
  <c r="L29" i="61" s="1"/>
  <c r="AT29" i="61" s="1"/>
  <c r="F64" i="61"/>
  <c r="L64" i="61" s="1"/>
  <c r="AT64" i="61" s="1"/>
  <c r="F38" i="61"/>
  <c r="L38" i="61" s="1"/>
  <c r="AT38" i="61" s="1"/>
  <c r="F56" i="61"/>
  <c r="L56" i="61" s="1"/>
  <c r="AT56" i="61" s="1"/>
  <c r="F101" i="61"/>
  <c r="F110" i="61"/>
  <c r="F112" i="61"/>
  <c r="F98" i="61"/>
  <c r="F107" i="61"/>
  <c r="F102" i="61"/>
  <c r="F104" i="61"/>
  <c r="F100" i="61"/>
  <c r="F113" i="61"/>
  <c r="F114" i="61"/>
  <c r="F11" i="61"/>
  <c r="F9" i="61"/>
  <c r="I9" i="61" s="1"/>
  <c r="F12" i="61"/>
  <c r="F10" i="61"/>
  <c r="F8" i="61"/>
  <c r="J233" i="60"/>
  <c r="K233" i="60" s="1"/>
  <c r="J220" i="60"/>
  <c r="K220" i="60" s="1"/>
  <c r="R54" i="2"/>
  <c r="J119" i="72" s="1"/>
  <c r="AB29" i="2"/>
  <c r="AR29" i="2"/>
  <c r="AC63" i="2"/>
  <c r="AR63" i="2"/>
  <c r="B153" i="4"/>
  <c r="J153" i="4" s="1"/>
  <c r="AF16" i="2"/>
  <c r="AG16" i="2" s="1"/>
  <c r="AB16" i="2"/>
  <c r="AJ16" i="2"/>
  <c r="B157" i="4"/>
  <c r="E1164" i="70"/>
  <c r="F1164" i="70" s="1"/>
  <c r="B156" i="4"/>
  <c r="E1163" i="70"/>
  <c r="F1163" i="70" s="1"/>
  <c r="B155" i="4"/>
  <c r="E1162" i="70"/>
  <c r="F1162" i="70" s="1"/>
  <c r="B154" i="4"/>
  <c r="E1161" i="70"/>
  <c r="F1161" i="70" s="1"/>
  <c r="T10" i="51"/>
  <c r="Z12" i="51"/>
  <c r="U10" i="51"/>
  <c r="Y10" i="51" s="1"/>
  <c r="Z10" i="51" s="1"/>
  <c r="Y11" i="51"/>
  <c r="Z11" i="51" s="1"/>
  <c r="Y9" i="51"/>
  <c r="Z9" i="51" s="1"/>
  <c r="Y11" i="96"/>
  <c r="Z11" i="96" s="1"/>
  <c r="U10" i="96"/>
  <c r="Y10" i="96" s="1"/>
  <c r="Z10" i="96" s="1"/>
  <c r="Y9" i="96"/>
  <c r="T10" i="96"/>
  <c r="Z12" i="96"/>
  <c r="B165" i="4"/>
  <c r="E1172" i="70"/>
  <c r="F1172" i="70" s="1"/>
  <c r="B164" i="4"/>
  <c r="E1171" i="70"/>
  <c r="F1171" i="70" s="1"/>
  <c r="B163" i="4"/>
  <c r="E1170" i="70"/>
  <c r="F1170" i="70" s="1"/>
  <c r="B162" i="4"/>
  <c r="E1169" i="70"/>
  <c r="F1169" i="70" s="1"/>
  <c r="B161" i="4"/>
  <c r="E1168" i="70"/>
  <c r="F1168" i="70" s="1"/>
  <c r="B160" i="4"/>
  <c r="E1167" i="70"/>
  <c r="F1167" i="70" s="1"/>
  <c r="B159" i="4"/>
  <c r="E1166" i="70"/>
  <c r="F1166" i="70" s="1"/>
  <c r="B158" i="4"/>
  <c r="E1165" i="70"/>
  <c r="F1165" i="70" s="1"/>
  <c r="F136" i="72"/>
  <c r="AT18" i="64"/>
  <c r="F129" i="72"/>
  <c r="AT11" i="64"/>
  <c r="F139" i="72"/>
  <c r="AT21" i="64"/>
  <c r="F138" i="72"/>
  <c r="AT20" i="64"/>
  <c r="F135" i="72"/>
  <c r="AT17" i="64"/>
  <c r="F131" i="72"/>
  <c r="AT13" i="64"/>
  <c r="F130" i="72"/>
  <c r="AT12" i="64"/>
  <c r="F140" i="72"/>
  <c r="AT22" i="64"/>
  <c r="F127" i="72"/>
  <c r="AT9" i="64"/>
  <c r="F134" i="72"/>
  <c r="AT16" i="64"/>
  <c r="F132" i="72"/>
  <c r="AT14" i="64"/>
  <c r="F137" i="72"/>
  <c r="AT19" i="64"/>
  <c r="F133" i="72"/>
  <c r="AT15" i="64"/>
  <c r="C1654" i="95"/>
  <c r="C889" i="95"/>
  <c r="N81" i="66"/>
  <c r="J126" i="64"/>
  <c r="L126" i="64" s="1"/>
  <c r="H105" i="64"/>
  <c r="H567" i="27" s="1"/>
  <c r="M567" i="27" s="1"/>
  <c r="M249" i="82" s="1"/>
  <c r="S249" i="82" s="1"/>
  <c r="F29" i="19"/>
  <c r="V38" i="2"/>
  <c r="K112" i="72" s="1"/>
  <c r="F30" i="19"/>
  <c r="V39" i="2"/>
  <c r="Q5" i="91"/>
  <c r="F35" i="19"/>
  <c r="V53" i="2"/>
  <c r="D8" i="2"/>
  <c r="C8" i="2" s="1"/>
  <c r="AP8" i="2" s="1"/>
  <c r="H156" i="82"/>
  <c r="H173" i="82"/>
  <c r="C11" i="7"/>
  <c r="S12" i="91"/>
  <c r="T14" i="91" s="1"/>
  <c r="H139" i="82"/>
  <c r="H153" i="82"/>
  <c r="H164" i="82"/>
  <c r="H213" i="82"/>
  <c r="H220" i="82"/>
  <c r="H175" i="82"/>
  <c r="H274" i="82"/>
  <c r="H282" i="82"/>
  <c r="H243" i="82"/>
  <c r="H255" i="82"/>
  <c r="N255" i="82" s="1"/>
  <c r="Q255" i="82" s="1"/>
  <c r="R255" i="82" s="1"/>
  <c r="H239" i="82"/>
  <c r="H306" i="82"/>
  <c r="M306" i="82" s="1"/>
  <c r="N306" i="82" s="1"/>
  <c r="Q306" i="82" s="1"/>
  <c r="R306" i="82" s="1"/>
  <c r="H225" i="82"/>
  <c r="H214" i="82"/>
  <c r="H55" i="82"/>
  <c r="N55" i="82" s="1"/>
  <c r="H261" i="82"/>
  <c r="H101" i="82"/>
  <c r="H177" i="82"/>
  <c r="H280" i="82"/>
  <c r="H85" i="82"/>
  <c r="H157" i="82"/>
  <c r="H89" i="82"/>
  <c r="H160" i="82"/>
  <c r="H155" i="82"/>
  <c r="H228" i="82"/>
  <c r="H66" i="82"/>
  <c r="N66" i="82" s="1"/>
  <c r="Q66" i="82" s="1"/>
  <c r="R66" i="82" s="1"/>
  <c r="H138" i="82"/>
  <c r="H125" i="82"/>
  <c r="H122" i="82"/>
  <c r="H234" i="82"/>
  <c r="H230" i="82"/>
  <c r="H240" i="82"/>
  <c r="H52" i="82"/>
  <c r="N52" i="82" s="1"/>
  <c r="H92" i="82"/>
  <c r="H283" i="82"/>
  <c r="H154" i="82"/>
  <c r="H237" i="82"/>
  <c r="H137" i="82"/>
  <c r="H47" i="82"/>
  <c r="N47" i="82" s="1"/>
  <c r="H70" i="82"/>
  <c r="N70" i="82" s="1"/>
  <c r="Q70" i="82" s="1"/>
  <c r="R70" i="82" s="1"/>
  <c r="H91" i="82"/>
  <c r="H208" i="82"/>
  <c r="H226" i="82"/>
  <c r="H67" i="82"/>
  <c r="N67" i="82" s="1"/>
  <c r="Q67" i="82" s="1"/>
  <c r="R67" i="82" s="1"/>
  <c r="H53" i="82"/>
  <c r="N53" i="82" s="1"/>
  <c r="H99" i="82"/>
  <c r="H34" i="82"/>
  <c r="M34" i="82" s="1"/>
  <c r="S34" i="82" s="1"/>
  <c r="H86" i="82"/>
  <c r="H238" i="82"/>
  <c r="H95" i="82"/>
  <c r="H276" i="82"/>
  <c r="H165" i="82"/>
  <c r="H223" i="82"/>
  <c r="H140" i="82"/>
  <c r="N62" i="66"/>
  <c r="H281" i="82"/>
  <c r="H253" i="82"/>
  <c r="H201" i="82"/>
  <c r="H96" i="82"/>
  <c r="H90" i="82"/>
  <c r="H182" i="82"/>
  <c r="H268" i="82"/>
  <c r="H97" i="82"/>
  <c r="H84" i="82"/>
  <c r="H94" i="82"/>
  <c r="H176" i="82"/>
  <c r="H120" i="82"/>
  <c r="H174" i="82"/>
  <c r="H87" i="82"/>
  <c r="H166" i="82"/>
  <c r="N166" i="82" s="1"/>
  <c r="Q166" i="82" s="1"/>
  <c r="R166" i="82" s="1"/>
  <c r="H206" i="82"/>
  <c r="H181" i="82"/>
  <c r="H293" i="82"/>
  <c r="H163" i="82"/>
  <c r="F146" i="61"/>
  <c r="K146" i="61" s="1"/>
  <c r="H48" i="82"/>
  <c r="N48" i="82" s="1"/>
  <c r="H288" i="82"/>
  <c r="H297" i="82"/>
  <c r="H30" i="82"/>
  <c r="M30" i="82" s="1"/>
  <c r="S30" i="82" s="1"/>
  <c r="H272" i="82"/>
  <c r="H212" i="82"/>
  <c r="H196" i="82"/>
  <c r="H127" i="82"/>
  <c r="H246" i="82"/>
  <c r="H221" i="82"/>
  <c r="H256" i="82"/>
  <c r="H257" i="82"/>
  <c r="H132" i="82"/>
  <c r="H128" i="82"/>
  <c r="H142" i="82"/>
  <c r="H50" i="82"/>
  <c r="N50" i="82" s="1"/>
  <c r="H46" i="82"/>
  <c r="N46" i="82" s="1"/>
  <c r="H294" i="82"/>
  <c r="H295" i="82"/>
  <c r="H279" i="82"/>
  <c r="H236" i="82"/>
  <c r="H133" i="82"/>
  <c r="H35" i="82"/>
  <c r="M35" i="82" s="1"/>
  <c r="S35" i="82" s="1"/>
  <c r="H124" i="82"/>
  <c r="H259" i="82"/>
  <c r="H69" i="82"/>
  <c r="N69" i="82" s="1"/>
  <c r="Q69" i="82" s="1"/>
  <c r="R69" i="82" s="1"/>
  <c r="H265" i="82"/>
  <c r="H302" i="82"/>
  <c r="H68" i="82"/>
  <c r="N68" i="82" s="1"/>
  <c r="Q68" i="82" s="1"/>
  <c r="R68" i="82" s="1"/>
  <c r="H178" i="82"/>
  <c r="H158" i="82"/>
  <c r="H197" i="82"/>
  <c r="H180" i="82"/>
  <c r="H195" i="82"/>
  <c r="H191" i="82"/>
  <c r="H303" i="82"/>
  <c r="H260" i="82"/>
  <c r="H241" i="82"/>
  <c r="H254" i="82"/>
  <c r="H60" i="82"/>
  <c r="N60" i="82" s="1"/>
  <c r="Q60" i="82" s="1"/>
  <c r="R60" i="82" s="1"/>
  <c r="H65" i="82"/>
  <c r="N65" i="82" s="1"/>
  <c r="Q65" i="82" s="1"/>
  <c r="R65" i="82" s="1"/>
  <c r="H126" i="82"/>
  <c r="H203" i="82"/>
  <c r="H98" i="82"/>
  <c r="H278" i="82"/>
  <c r="N278" i="82" s="1"/>
  <c r="Q278" i="82" s="1"/>
  <c r="R278" i="82" s="1"/>
  <c r="H264" i="82"/>
  <c r="H192" i="82"/>
  <c r="H273" i="82"/>
  <c r="H210" i="82"/>
  <c r="H233" i="82"/>
  <c r="H194" i="82"/>
  <c r="H229" i="82"/>
  <c r="H54" i="82"/>
  <c r="N54" i="82" s="1"/>
  <c r="H129" i="82"/>
  <c r="H250" i="82"/>
  <c r="H235" i="82"/>
  <c r="H32" i="82"/>
  <c r="H64" i="82"/>
  <c r="N64" i="82" s="1"/>
  <c r="Q64" i="82" s="1"/>
  <c r="R64" i="82" s="1"/>
  <c r="H205" i="82"/>
  <c r="H284" i="82"/>
  <c r="H141" i="82"/>
  <c r="H169" i="82"/>
  <c r="N169" i="82" s="1"/>
  <c r="Q169" i="82" s="1"/>
  <c r="R169" i="82" s="1"/>
  <c r="H162" i="82"/>
  <c r="H277" i="82"/>
  <c r="N277" i="82" s="1"/>
  <c r="Q277" i="82" s="1"/>
  <c r="R277" i="82" s="1"/>
  <c r="H57" i="82"/>
  <c r="N57" i="82" s="1"/>
  <c r="Q57" i="82" s="1"/>
  <c r="R57" i="82" s="1"/>
  <c r="H262" i="82"/>
  <c r="H304" i="82"/>
  <c r="H224" i="82"/>
  <c r="H252" i="82"/>
  <c r="H211" i="82"/>
  <c r="H218" i="82"/>
  <c r="H199" i="82"/>
  <c r="H267" i="82"/>
  <c r="H200" i="82"/>
  <c r="H88" i="82"/>
  <c r="H119" i="82"/>
  <c r="H231" i="82"/>
  <c r="H189" i="82"/>
  <c r="H217" i="82"/>
  <c r="H121" i="82"/>
  <c r="H159" i="82"/>
  <c r="H170" i="82"/>
  <c r="N170" i="82" s="1"/>
  <c r="Q170" i="82" s="1"/>
  <c r="R170" i="82" s="1"/>
  <c r="H258" i="82"/>
  <c r="H63" i="82"/>
  <c r="N63" i="82" s="1"/>
  <c r="Q63" i="82" s="1"/>
  <c r="R63" i="82" s="1"/>
  <c r="H83" i="82"/>
  <c r="H219" i="82"/>
  <c r="H190" i="82"/>
  <c r="H301" i="82"/>
  <c r="H232" i="82"/>
  <c r="H167" i="82"/>
  <c r="N167" i="82" s="1"/>
  <c r="Q167" i="82" s="1"/>
  <c r="R167" i="82" s="1"/>
  <c r="H222" i="82"/>
  <c r="H145" i="82"/>
  <c r="H143" i="82"/>
  <c r="H286" i="82"/>
  <c r="H59" i="82"/>
  <c r="N59" i="82" s="1"/>
  <c r="Q59" i="82" s="1"/>
  <c r="R59" i="82" s="1"/>
  <c r="H152" i="82"/>
  <c r="H183" i="82"/>
  <c r="H56" i="82"/>
  <c r="N56" i="82" s="1"/>
  <c r="Q56" i="82" s="1"/>
  <c r="R56" i="82" s="1"/>
  <c r="H168" i="82"/>
  <c r="N168" i="82" s="1"/>
  <c r="Q168" i="82" s="1"/>
  <c r="R168" i="82" s="1"/>
  <c r="H202" i="82"/>
  <c r="H61" i="82"/>
  <c r="N61" i="82" s="1"/>
  <c r="Q61" i="82" s="1"/>
  <c r="R61" i="82" s="1"/>
  <c r="H209" i="82"/>
  <c r="H51" i="82"/>
  <c r="N51" i="82" s="1"/>
  <c r="H227" i="82"/>
  <c r="H266" i="82"/>
  <c r="H102" i="82"/>
  <c r="H123" i="82"/>
  <c r="H216" i="82"/>
  <c r="H131" i="82"/>
  <c r="H249" i="82"/>
  <c r="N249" i="82" s="1"/>
  <c r="Q249" i="82" s="1"/>
  <c r="R249" i="82" s="1"/>
  <c r="H33" i="82"/>
  <c r="M33" i="82" s="1"/>
  <c r="S33" i="82" s="1"/>
  <c r="H269" i="82"/>
  <c r="H193" i="82"/>
  <c r="H62" i="82"/>
  <c r="N62" i="82" s="1"/>
  <c r="Q62" i="82" s="1"/>
  <c r="R62" i="82" s="1"/>
  <c r="H298" i="82"/>
  <c r="H263" i="82"/>
  <c r="H31" i="82"/>
  <c r="M31" i="82" s="1"/>
  <c r="S31" i="82" s="1"/>
  <c r="H93" i="82"/>
  <c r="H207" i="82"/>
  <c r="H36" i="82"/>
  <c r="M36" i="82" s="1"/>
  <c r="S36" i="82" s="1"/>
  <c r="H179" i="82"/>
  <c r="H275" i="82"/>
  <c r="H161" i="82"/>
  <c r="H242" i="82"/>
  <c r="H198" i="82"/>
  <c r="H58" i="82"/>
  <c r="N58" i="82" s="1"/>
  <c r="Q58" i="82" s="1"/>
  <c r="R58" i="82" s="1"/>
  <c r="H204" i="82"/>
  <c r="H100" i="82"/>
  <c r="H215" i="82"/>
  <c r="H188" i="82"/>
  <c r="H247" i="82"/>
  <c r="H251" i="82"/>
  <c r="H300" i="82"/>
  <c r="H248" i="82"/>
  <c r="H130" i="82"/>
  <c r="H29" i="82"/>
  <c r="M29" i="82" s="1"/>
  <c r="S29" i="82" s="1"/>
  <c r="H285" i="82"/>
  <c r="H296" i="82"/>
  <c r="N65" i="66"/>
  <c r="R65" i="66" s="1"/>
  <c r="T65" i="66" s="1"/>
  <c r="AT65" i="66" s="1"/>
  <c r="H44" i="82"/>
  <c r="N44" i="82" s="1"/>
  <c r="L104" i="66"/>
  <c r="F148" i="61"/>
  <c r="L148" i="61" s="1"/>
  <c r="AT148" i="61" s="1"/>
  <c r="F150" i="61"/>
  <c r="I150" i="61" s="1"/>
  <c r="T64" i="66"/>
  <c r="AT64" i="66" s="1"/>
  <c r="T61" i="66"/>
  <c r="AT61" i="66" s="1"/>
  <c r="N66" i="66"/>
  <c r="N63" i="66"/>
  <c r="H43" i="82"/>
  <c r="N43" i="82" s="1"/>
  <c r="H45" i="82"/>
  <c r="N45" i="82" s="1"/>
  <c r="H42" i="82"/>
  <c r="N42" i="82" s="1"/>
  <c r="T63" i="66"/>
  <c r="AT63" i="66" s="1"/>
  <c r="I80" i="66"/>
  <c r="N80" i="66" s="1"/>
  <c r="T58" i="66"/>
  <c r="AT58" i="66" s="1"/>
  <c r="I71" i="66"/>
  <c r="N71" i="66" s="1"/>
  <c r="R71" i="66" s="1"/>
  <c r="L80" i="66"/>
  <c r="H136" i="82"/>
  <c r="H9" i="82"/>
  <c r="M9" i="82" s="1"/>
  <c r="S9" i="82" s="1"/>
  <c r="H41" i="82"/>
  <c r="N41" i="82" s="1"/>
  <c r="N60" i="66"/>
  <c r="K14" i="60"/>
  <c r="R59" i="66"/>
  <c r="T59" i="66" s="1"/>
  <c r="AT59" i="66" s="1"/>
  <c r="F11" i="19"/>
  <c r="G11" i="19" s="1"/>
  <c r="H11" i="19" s="1"/>
  <c r="V11" i="2"/>
  <c r="L11" i="2" s="1"/>
  <c r="G38" i="19"/>
  <c r="H38" i="19" s="1"/>
  <c r="G37" i="19"/>
  <c r="H37" i="19" s="1"/>
  <c r="T79" i="66"/>
  <c r="AT79" i="66" s="1"/>
  <c r="M104" i="66"/>
  <c r="Q67" i="3"/>
  <c r="S67" i="3" s="1"/>
  <c r="Y79" i="66"/>
  <c r="L16" i="36"/>
  <c r="F27" i="19"/>
  <c r="V37" i="2"/>
  <c r="V36" i="2"/>
  <c r="V8" i="2"/>
  <c r="L8" i="2" s="1"/>
  <c r="F28" i="19"/>
  <c r="F25" i="19"/>
  <c r="F9" i="19"/>
  <c r="G9" i="19" s="1"/>
  <c r="H9" i="19" s="1"/>
  <c r="F8" i="19"/>
  <c r="G8" i="19" s="1"/>
  <c r="H8" i="19" s="1"/>
  <c r="F10" i="19"/>
  <c r="G10" i="19" s="1"/>
  <c r="H10" i="19" s="1"/>
  <c r="V35" i="2"/>
  <c r="V34" i="2"/>
  <c r="V10" i="2"/>
  <c r="L10" i="2" s="1"/>
  <c r="F26" i="19"/>
  <c r="V9" i="2"/>
  <c r="L9" i="2" s="1"/>
  <c r="G19" i="73"/>
  <c r="L63" i="2"/>
  <c r="G18" i="73"/>
  <c r="G20" i="73"/>
  <c r="F7" i="19"/>
  <c r="G7" i="19" s="1"/>
  <c r="H7" i="19" s="1"/>
  <c r="N28" i="66"/>
  <c r="F124" i="61"/>
  <c r="K124" i="61" s="1"/>
  <c r="F120" i="61"/>
  <c r="K120" i="61" s="1"/>
  <c r="I98" i="66"/>
  <c r="Y98" i="66" s="1"/>
  <c r="L97" i="66"/>
  <c r="Y104" i="66"/>
  <c r="F126" i="61"/>
  <c r="K126" i="61" s="1"/>
  <c r="Y70" i="66"/>
  <c r="T70" i="66"/>
  <c r="AT70" i="66" s="1"/>
  <c r="I72" i="66"/>
  <c r="N72" i="66" s="1"/>
  <c r="Y97" i="66"/>
  <c r="M97" i="66"/>
  <c r="Y91" i="66"/>
  <c r="K142" i="43"/>
  <c r="K143" i="43" s="1"/>
  <c r="K144" i="43" s="1"/>
  <c r="K146" i="43" s="1"/>
  <c r="I67" i="7"/>
  <c r="G21" i="73"/>
  <c r="G15" i="73"/>
  <c r="G23" i="73"/>
  <c r="G22" i="73"/>
  <c r="K17" i="36"/>
  <c r="L17" i="36" s="1"/>
  <c r="D16" i="73"/>
  <c r="F16" i="73" s="1"/>
  <c r="G16" i="73" s="1"/>
  <c r="N38" i="66"/>
  <c r="T38" i="66" s="1"/>
  <c r="AT38" i="66" s="1"/>
  <c r="D14" i="73"/>
  <c r="F14" i="73" s="1"/>
  <c r="N30" i="66"/>
  <c r="D11" i="73"/>
  <c r="F11" i="73" s="1"/>
  <c r="G11" i="73" s="1"/>
  <c r="K8" i="36"/>
  <c r="D7" i="73"/>
  <c r="F7" i="73" s="1"/>
  <c r="K7" i="36"/>
  <c r="D6" i="73"/>
  <c r="F6" i="73" s="1"/>
  <c r="K14" i="36"/>
  <c r="D13" i="73"/>
  <c r="F13" i="73" s="1"/>
  <c r="G13" i="73" s="1"/>
  <c r="K9" i="36"/>
  <c r="D8" i="73"/>
  <c r="F8" i="73" s="1"/>
  <c r="B326" i="43"/>
  <c r="D326" i="43" s="1"/>
  <c r="D327" i="43" s="1"/>
  <c r="K10" i="36"/>
  <c r="D9" i="73"/>
  <c r="F9" i="73" s="1"/>
  <c r="D2" i="89"/>
  <c r="G12" i="73"/>
  <c r="G17" i="73"/>
  <c r="G10" i="73"/>
  <c r="H123" i="43"/>
  <c r="D136" i="43" s="1"/>
  <c r="H290" i="43"/>
  <c r="D303" i="43" s="1"/>
  <c r="F118" i="61"/>
  <c r="L118" i="61" s="1"/>
  <c r="AT118" i="61" s="1"/>
  <c r="C280" i="64"/>
  <c r="C281" i="64" s="1"/>
  <c r="C282" i="64" s="1"/>
  <c r="C284" i="64" s="1"/>
  <c r="H107" i="64"/>
  <c r="J107" i="64" s="1"/>
  <c r="L107" i="64" s="1"/>
  <c r="H108" i="64"/>
  <c r="J108" i="64" s="1"/>
  <c r="L108" i="64" s="1"/>
  <c r="H106" i="64"/>
  <c r="J106" i="64" s="1"/>
  <c r="L106" i="64" s="1"/>
  <c r="L124" i="64"/>
  <c r="I68" i="66"/>
  <c r="Y68" i="66" s="1"/>
  <c r="L68" i="66"/>
  <c r="B71" i="43"/>
  <c r="D71" i="43" s="1"/>
  <c r="G68" i="43" s="1"/>
  <c r="E71" i="43" s="1"/>
  <c r="L91" i="66"/>
  <c r="AG9" i="2"/>
  <c r="T76" i="66"/>
  <c r="AT76" i="66" s="1"/>
  <c r="L77" i="66"/>
  <c r="Y82" i="66"/>
  <c r="L83" i="66"/>
  <c r="N27" i="66"/>
  <c r="AG11" i="2"/>
  <c r="N25" i="66"/>
  <c r="N37" i="66"/>
  <c r="AC28" i="2"/>
  <c r="B175" i="71" s="1"/>
  <c r="R56" i="2"/>
  <c r="J121" i="72" s="1"/>
  <c r="L90" i="66"/>
  <c r="M90" i="66"/>
  <c r="J11" i="71"/>
  <c r="M11" i="71" s="1"/>
  <c r="AB28" i="2"/>
  <c r="Y63" i="66"/>
  <c r="R64" i="2"/>
  <c r="Y62" i="66"/>
  <c r="Y90" i="66"/>
  <c r="AC64" i="2"/>
  <c r="J51" i="66"/>
  <c r="T51" i="66" s="1"/>
  <c r="AT51" i="66" s="1"/>
  <c r="N20" i="3"/>
  <c r="T71" i="2"/>
  <c r="AT71" i="2" s="1"/>
  <c r="T30" i="2"/>
  <c r="J129" i="64"/>
  <c r="I129" i="64" s="1"/>
  <c r="I128" i="64"/>
  <c r="J128" i="64" s="1"/>
  <c r="L128" i="64" s="1"/>
  <c r="C213" i="43"/>
  <c r="H214" i="43" s="1"/>
  <c r="C249" i="43"/>
  <c r="H250" i="43" s="1"/>
  <c r="C195" i="43"/>
  <c r="H196" i="43" s="1"/>
  <c r="J198" i="43" s="1"/>
  <c r="C201" i="43" s="1"/>
  <c r="C231" i="43"/>
  <c r="H232" i="43" s="1"/>
  <c r="C177" i="43"/>
  <c r="H178" i="43" s="1"/>
  <c r="AC65" i="2"/>
  <c r="R65" i="2"/>
  <c r="AB572" i="27"/>
  <c r="AB467" i="27"/>
  <c r="AB595" i="27"/>
  <c r="Q464" i="27"/>
  <c r="R464" i="27" s="1"/>
  <c r="AT464" i="27" s="1"/>
  <c r="W464" i="27"/>
  <c r="Z464" i="27" s="1"/>
  <c r="AA464" i="27"/>
  <c r="Q466" i="27"/>
  <c r="R466" i="27" s="1"/>
  <c r="AT466" i="27" s="1"/>
  <c r="W466" i="27"/>
  <c r="Z466" i="27" s="1"/>
  <c r="AA466" i="27"/>
  <c r="Q465" i="27"/>
  <c r="R465" i="27" s="1"/>
  <c r="AT465" i="27" s="1"/>
  <c r="W465" i="27"/>
  <c r="Z465" i="27" s="1"/>
  <c r="AA465" i="27"/>
  <c r="Q468" i="27"/>
  <c r="R468" i="27" s="1"/>
  <c r="AT468" i="27" s="1"/>
  <c r="W468" i="27"/>
  <c r="Z468" i="27" s="1"/>
  <c r="AA468" i="27"/>
  <c r="Q573" i="27"/>
  <c r="R573" i="27" s="1"/>
  <c r="AT573" i="27" s="1"/>
  <c r="W573" i="27"/>
  <c r="Z573" i="27" s="1"/>
  <c r="AA573" i="27"/>
  <c r="AB568" i="27"/>
  <c r="Q596" i="27"/>
  <c r="R596" i="27" s="1"/>
  <c r="AT596" i="27" s="1"/>
  <c r="W596" i="27"/>
  <c r="Z596" i="27" s="1"/>
  <c r="AA596" i="27"/>
  <c r="R55" i="2"/>
  <c r="J120" i="72" s="1"/>
  <c r="T82" i="66"/>
  <c r="AT82" i="66" s="1"/>
  <c r="I83" i="66"/>
  <c r="Y83" i="66" s="1"/>
  <c r="R28" i="2"/>
  <c r="R63" i="2"/>
  <c r="R27" i="2"/>
  <c r="R29" i="2"/>
  <c r="L61" i="2"/>
  <c r="I169" i="71"/>
  <c r="L169" i="71" s="1"/>
  <c r="J169" i="71"/>
  <c r="M169" i="71" s="1"/>
  <c r="AG14" i="2"/>
  <c r="K168" i="71"/>
  <c r="L168" i="71" s="1"/>
  <c r="K12" i="36"/>
  <c r="I180" i="71"/>
  <c r="L180" i="71" s="1"/>
  <c r="L8" i="71"/>
  <c r="I14" i="71"/>
  <c r="L14" i="71" s="1"/>
  <c r="K171" i="71"/>
  <c r="H70" i="2"/>
  <c r="Y70" i="2" s="1"/>
  <c r="J182" i="71"/>
  <c r="M182" i="71" s="1"/>
  <c r="M254" i="82"/>
  <c r="S254" i="82" s="1"/>
  <c r="J12" i="71"/>
  <c r="M12" i="71" s="1"/>
  <c r="J168" i="71"/>
  <c r="M168" i="71" s="1"/>
  <c r="K182" i="71"/>
  <c r="L182" i="71" s="1"/>
  <c r="I171" i="71"/>
  <c r="I172" i="71"/>
  <c r="I159" i="71"/>
  <c r="L159" i="71" s="1"/>
  <c r="K160" i="71"/>
  <c r="L160" i="71" s="1"/>
  <c r="D57" i="43"/>
  <c r="D58" i="43" s="1"/>
  <c r="J180" i="71"/>
  <c r="M180" i="71" s="1"/>
  <c r="J159" i="71"/>
  <c r="M159" i="71" s="1"/>
  <c r="J160" i="71"/>
  <c r="M160" i="71" s="1"/>
  <c r="N26" i="66"/>
  <c r="AG10" i="2"/>
  <c r="N118" i="66"/>
  <c r="R118" i="66" s="1"/>
  <c r="T118" i="66" s="1"/>
  <c r="AT118" i="66" s="1"/>
  <c r="J127" i="64"/>
  <c r="L127" i="64" s="1"/>
  <c r="C228" i="64"/>
  <c r="C229" i="64" s="1"/>
  <c r="C186" i="64"/>
  <c r="C193" i="64"/>
  <c r="I84" i="66"/>
  <c r="Y84" i="66" s="1"/>
  <c r="D117" i="43"/>
  <c r="D87" i="43"/>
  <c r="H64" i="2"/>
  <c r="H61" i="2"/>
  <c r="D42" i="3"/>
  <c r="G42" i="3" s="1"/>
  <c r="I158" i="71"/>
  <c r="L158" i="71" s="1"/>
  <c r="J158" i="71"/>
  <c r="M158" i="71" s="1"/>
  <c r="I77" i="66"/>
  <c r="N77" i="66" s="1"/>
  <c r="L92" i="66"/>
  <c r="L93" i="66"/>
  <c r="G66" i="3"/>
  <c r="L163" i="71"/>
  <c r="H67" i="2"/>
  <c r="Y67" i="2" s="1"/>
  <c r="H65" i="2"/>
  <c r="H62" i="2"/>
  <c r="Y62" i="2" s="1"/>
  <c r="K172" i="71"/>
  <c r="H66" i="2"/>
  <c r="Y66" i="2" s="1"/>
  <c r="S465" i="27"/>
  <c r="S464" i="27"/>
  <c r="K179" i="71"/>
  <c r="L179" i="71" s="1"/>
  <c r="J179" i="71"/>
  <c r="M179" i="71" s="1"/>
  <c r="Y92" i="66"/>
  <c r="M91" i="66"/>
  <c r="M93" i="66"/>
  <c r="Y93" i="66"/>
  <c r="I78" i="66"/>
  <c r="N78" i="66" s="1"/>
  <c r="M92" i="66"/>
  <c r="L94" i="66"/>
  <c r="M94" i="66"/>
  <c r="Y94" i="66"/>
  <c r="AC29" i="2"/>
  <c r="B179" i="71" s="1"/>
  <c r="Y76" i="66"/>
  <c r="S466" i="27"/>
  <c r="I170" i="71"/>
  <c r="M96" i="66"/>
  <c r="D41" i="3"/>
  <c r="F149" i="72"/>
  <c r="F65" i="3"/>
  <c r="H152" i="72"/>
  <c r="L105" i="66"/>
  <c r="N105" i="66" s="1"/>
  <c r="R105" i="66" s="1"/>
  <c r="T105" i="66" s="1"/>
  <c r="AT105" i="66" s="1"/>
  <c r="D65" i="3"/>
  <c r="F152" i="72"/>
  <c r="F33" i="3"/>
  <c r="M39" i="3" s="1"/>
  <c r="B72" i="64"/>
  <c r="G72" i="64" s="1"/>
  <c r="H72" i="64" s="1"/>
  <c r="I72" i="64" s="1"/>
  <c r="I106" i="66"/>
  <c r="Y106" i="66" s="1"/>
  <c r="H63" i="2"/>
  <c r="H69" i="2"/>
  <c r="Y69" i="2" s="1"/>
  <c r="K30" i="4"/>
  <c r="K15" i="36"/>
  <c r="L15" i="36" s="1"/>
  <c r="L96" i="66"/>
  <c r="N139" i="66"/>
  <c r="R139" i="66" s="1"/>
  <c r="T139" i="66" s="1"/>
  <c r="AT139" i="66" s="1"/>
  <c r="J123" i="64"/>
  <c r="L123" i="64" s="1"/>
  <c r="K63" i="4"/>
  <c r="B79" i="64"/>
  <c r="G79" i="64" s="1"/>
  <c r="H79" i="64" s="1"/>
  <c r="I79" i="64" s="1"/>
  <c r="N132" i="66"/>
  <c r="R132" i="66" s="1"/>
  <c r="T132" i="66" s="1"/>
  <c r="AT132" i="66" s="1"/>
  <c r="N153" i="66"/>
  <c r="R153" i="66" s="1"/>
  <c r="T153" i="66" s="1"/>
  <c r="AT153" i="66" s="1"/>
  <c r="Y105" i="66"/>
  <c r="I149" i="66"/>
  <c r="M148" i="66"/>
  <c r="Y148" i="66"/>
  <c r="L148" i="66"/>
  <c r="I112" i="66"/>
  <c r="Y112" i="66" s="1"/>
  <c r="L111" i="66"/>
  <c r="M111" i="66"/>
  <c r="Y111" i="66"/>
  <c r="T66" i="66"/>
  <c r="AT66" i="66" s="1"/>
  <c r="T39" i="66"/>
  <c r="AT39" i="66" s="1"/>
  <c r="N125" i="66"/>
  <c r="R125" i="66" s="1"/>
  <c r="T125" i="66" s="1"/>
  <c r="AT125" i="66" s="1"/>
  <c r="N133" i="66"/>
  <c r="R133" i="66" s="1"/>
  <c r="T133" i="66" s="1"/>
  <c r="AT133" i="66" s="1"/>
  <c r="H8" i="82"/>
  <c r="N147" i="66"/>
  <c r="R147" i="66" s="1"/>
  <c r="T147" i="66" s="1"/>
  <c r="AT147" i="66" s="1"/>
  <c r="N146" i="66"/>
  <c r="R146" i="66" s="1"/>
  <c r="T146" i="66" s="1"/>
  <c r="AT146" i="66" s="1"/>
  <c r="I135" i="66"/>
  <c r="M134" i="66"/>
  <c r="Y134" i="66"/>
  <c r="L134" i="66"/>
  <c r="H28" i="82"/>
  <c r="N69" i="66"/>
  <c r="I69" i="66"/>
  <c r="Y69" i="66" s="1"/>
  <c r="N68" i="66"/>
  <c r="Y67" i="66"/>
  <c r="T67" i="66"/>
  <c r="AT67" i="66" s="1"/>
  <c r="T52" i="66"/>
  <c r="AT52" i="66" s="1"/>
  <c r="I87" i="66"/>
  <c r="I86" i="66"/>
  <c r="Y85" i="66"/>
  <c r="T85" i="66"/>
  <c r="AT85" i="66" s="1"/>
  <c r="Y81" i="66"/>
  <c r="T81" i="66"/>
  <c r="AT81" i="66" s="1"/>
  <c r="I75" i="66"/>
  <c r="I74" i="66"/>
  <c r="Y73" i="66"/>
  <c r="T73" i="66"/>
  <c r="AT73" i="66" s="1"/>
  <c r="T53" i="66"/>
  <c r="AT53" i="66" s="1"/>
  <c r="M95" i="66"/>
  <c r="L95" i="66"/>
  <c r="Y95" i="66"/>
  <c r="J178" i="71"/>
  <c r="M178" i="71" s="1"/>
  <c r="Q43" i="3"/>
  <c r="S43" i="3" s="1"/>
  <c r="K178" i="71"/>
  <c r="L178" i="71" s="1"/>
  <c r="H49" i="82"/>
  <c r="N49" i="82" s="1"/>
  <c r="H287" i="82"/>
  <c r="H144" i="82"/>
  <c r="S468" i="27"/>
  <c r="H113" i="64"/>
  <c r="J113" i="64" s="1"/>
  <c r="L113" i="64" s="1"/>
  <c r="K161" i="71"/>
  <c r="J161" i="71"/>
  <c r="M161" i="71" s="1"/>
  <c r="H111" i="64"/>
  <c r="J111" i="64" s="1"/>
  <c r="L111" i="64" s="1"/>
  <c r="D32" i="43"/>
  <c r="D33" i="43" s="1"/>
  <c r="J162" i="71"/>
  <c r="M162" i="71" s="1"/>
  <c r="I161" i="71"/>
  <c r="I162" i="71"/>
  <c r="L162" i="71" s="1"/>
  <c r="K170" i="71"/>
  <c r="Q995" i="63"/>
  <c r="O987" i="63"/>
  <c r="L173" i="71"/>
  <c r="Y28" i="2"/>
  <c r="N40" i="66"/>
  <c r="T40" i="66" s="1"/>
  <c r="AT40" i="66" s="1"/>
  <c r="Y29" i="2"/>
  <c r="L15" i="71"/>
  <c r="AE6" i="39"/>
  <c r="AH6" i="39" s="1"/>
  <c r="J34" i="73"/>
  <c r="G34" i="73"/>
  <c r="G33" i="73"/>
  <c r="J33" i="73"/>
  <c r="M33" i="73"/>
  <c r="M35" i="73"/>
  <c r="J35" i="73"/>
  <c r="G35" i="73"/>
  <c r="M34" i="73"/>
  <c r="M15" i="71"/>
  <c r="H151" i="43"/>
  <c r="L175" i="71"/>
  <c r="M250" i="82"/>
  <c r="S250" i="82" s="1"/>
  <c r="L165" i="71"/>
  <c r="K181" i="71"/>
  <c r="L181" i="71" s="1"/>
  <c r="J181" i="71"/>
  <c r="M181" i="71" s="1"/>
  <c r="AB27" i="2"/>
  <c r="Y27" i="2"/>
  <c r="B165" i="71"/>
  <c r="B163" i="71"/>
  <c r="B162" i="71"/>
  <c r="N31" i="66"/>
  <c r="AG15" i="2"/>
  <c r="K13" i="36"/>
  <c r="F130" i="61"/>
  <c r="K130" i="61" s="1"/>
  <c r="K174" i="71"/>
  <c r="L174" i="71" s="1"/>
  <c r="I184" i="71"/>
  <c r="L184" i="71" s="1"/>
  <c r="W61" i="2"/>
  <c r="AR61" i="2" s="1"/>
  <c r="F128" i="61"/>
  <c r="F116" i="61"/>
  <c r="F142" i="61"/>
  <c r="G39" i="19"/>
  <c r="H39" i="19" s="1"/>
  <c r="I57" i="64"/>
  <c r="AT57" i="64" s="1"/>
  <c r="I25" i="64"/>
  <c r="AT25" i="64" s="1"/>
  <c r="I58" i="64"/>
  <c r="AT58" i="64" s="1"/>
  <c r="F154" i="61"/>
  <c r="G154" i="61" s="1"/>
  <c r="F122" i="61"/>
  <c r="F152" i="61"/>
  <c r="F144" i="61"/>
  <c r="I10" i="64"/>
  <c r="AT10" i="64" s="1"/>
  <c r="H112" i="64"/>
  <c r="J112" i="64" s="1"/>
  <c r="L112" i="64" s="1"/>
  <c r="H110" i="64"/>
  <c r="J110" i="64" s="1"/>
  <c r="L110" i="64" s="1"/>
  <c r="H25" i="64"/>
  <c r="M175" i="71"/>
  <c r="M165" i="71"/>
  <c r="K164" i="71"/>
  <c r="I164" i="71"/>
  <c r="K186" i="71"/>
  <c r="I186" i="71"/>
  <c r="M163" i="71"/>
  <c r="M185" i="71"/>
  <c r="Y59" i="66"/>
  <c r="N1194" i="70"/>
  <c r="N1195" i="70"/>
  <c r="L37" i="3" s="1"/>
  <c r="L35" i="3"/>
  <c r="M37" i="3" s="1"/>
  <c r="H124" i="43"/>
  <c r="D128" i="43" s="1"/>
  <c r="B158" i="71"/>
  <c r="B164" i="71"/>
  <c r="B160" i="71"/>
  <c r="B166" i="71"/>
  <c r="B161" i="71"/>
  <c r="B159" i="71"/>
  <c r="R57" i="2"/>
  <c r="J122" i="72" s="1"/>
  <c r="Y57" i="2"/>
  <c r="AC57" i="2"/>
  <c r="C12" i="7"/>
  <c r="N1207" i="70"/>
  <c r="L61" i="3" s="1"/>
  <c r="N1206" i="70"/>
  <c r="L59" i="3"/>
  <c r="N63" i="3"/>
  <c r="N62" i="3"/>
  <c r="M173" i="71"/>
  <c r="Q996" i="63"/>
  <c r="L13" i="71"/>
  <c r="L183" i="71"/>
  <c r="I16" i="71"/>
  <c r="L185" i="71"/>
  <c r="M183" i="71"/>
  <c r="F101" i="43"/>
  <c r="C102" i="43" s="1"/>
  <c r="D114" i="43" s="1"/>
  <c r="B100" i="43"/>
  <c r="N149" i="71" l="1"/>
  <c r="N141" i="71"/>
  <c r="K113" i="72"/>
  <c r="N155" i="71"/>
  <c r="N148" i="71"/>
  <c r="N143" i="71"/>
  <c r="N153" i="71"/>
  <c r="B89" i="80"/>
  <c r="B88" i="80"/>
  <c r="G35" i="19"/>
  <c r="H35" i="19" s="1"/>
  <c r="H233" i="43"/>
  <c r="J234" i="43"/>
  <c r="C237" i="43" s="1"/>
  <c r="W207" i="43"/>
  <c r="W208" i="43" s="1"/>
  <c r="W209" i="43" s="1"/>
  <c r="W197" i="43"/>
  <c r="W198" i="43" s="1"/>
  <c r="H251" i="43"/>
  <c r="J252" i="43"/>
  <c r="C255" i="43" s="1"/>
  <c r="H215" i="43"/>
  <c r="J216" i="43"/>
  <c r="C219" i="43" s="1"/>
  <c r="J180" i="43"/>
  <c r="C183" i="43" s="1"/>
  <c r="H179" i="43"/>
  <c r="H197" i="43"/>
  <c r="L140" i="61"/>
  <c r="N10" i="71"/>
  <c r="N122" i="4"/>
  <c r="AT122" i="4" s="1"/>
  <c r="AT152" i="71"/>
  <c r="N152" i="71"/>
  <c r="AT142" i="71"/>
  <c r="N142" i="71"/>
  <c r="AT145" i="71"/>
  <c r="N145" i="71"/>
  <c r="K83" i="61"/>
  <c r="I106" i="61"/>
  <c r="K106" i="61"/>
  <c r="G106" i="61"/>
  <c r="K132" i="61"/>
  <c r="L132" i="61"/>
  <c r="I99" i="61"/>
  <c r="G136" i="61"/>
  <c r="I136" i="61"/>
  <c r="K136" i="61"/>
  <c r="I108" i="61"/>
  <c r="K108" i="61"/>
  <c r="G108" i="61"/>
  <c r="K99" i="61"/>
  <c r="G99" i="61"/>
  <c r="G60" i="61"/>
  <c r="G132" i="61"/>
  <c r="J132" i="61" s="1"/>
  <c r="K138" i="61"/>
  <c r="G105" i="61"/>
  <c r="K105" i="61"/>
  <c r="G140" i="61"/>
  <c r="I140" i="61"/>
  <c r="L138" i="61"/>
  <c r="I105" i="61"/>
  <c r="I60" i="61"/>
  <c r="H23" i="73"/>
  <c r="I23" i="73" s="1"/>
  <c r="J23" i="73" s="1"/>
  <c r="K111" i="61"/>
  <c r="G111" i="61"/>
  <c r="I111" i="61"/>
  <c r="K134" i="61"/>
  <c r="G138" i="61"/>
  <c r="J138" i="61" s="1"/>
  <c r="G134" i="61"/>
  <c r="I134" i="61"/>
  <c r="I34" i="61"/>
  <c r="L7" i="2"/>
  <c r="L142" i="71"/>
  <c r="K34" i="61"/>
  <c r="G34" i="61"/>
  <c r="K48" i="61"/>
  <c r="G48" i="61"/>
  <c r="I48" i="61"/>
  <c r="K89" i="61"/>
  <c r="G65" i="61"/>
  <c r="K94" i="61"/>
  <c r="I94" i="61"/>
  <c r="K65" i="61"/>
  <c r="G72" i="61"/>
  <c r="G94" i="61"/>
  <c r="I65" i="61"/>
  <c r="I72" i="61"/>
  <c r="K72" i="61"/>
  <c r="I89" i="61"/>
  <c r="G89" i="61"/>
  <c r="L83" i="61"/>
  <c r="AT83" i="61" s="1"/>
  <c r="G95" i="61"/>
  <c r="I95" i="61"/>
  <c r="K95" i="61"/>
  <c r="G83" i="61"/>
  <c r="J83" i="61" s="1"/>
  <c r="N178" i="71"/>
  <c r="AT178" i="71"/>
  <c r="N160" i="71"/>
  <c r="AT160" i="71"/>
  <c r="N175" i="71"/>
  <c r="AT175" i="71"/>
  <c r="N163" i="71"/>
  <c r="AT163" i="71"/>
  <c r="G96" i="61"/>
  <c r="N179" i="71"/>
  <c r="AT179" i="71"/>
  <c r="N173" i="71"/>
  <c r="AT173" i="71"/>
  <c r="N162" i="71"/>
  <c r="AT162" i="71"/>
  <c r="N180" i="71"/>
  <c r="AT180" i="71"/>
  <c r="N182" i="71"/>
  <c r="AT182" i="71"/>
  <c r="N185" i="71"/>
  <c r="AT185" i="71"/>
  <c r="N168" i="71"/>
  <c r="AT168" i="71"/>
  <c r="N183" i="71"/>
  <c r="AT183" i="71"/>
  <c r="N181" i="71"/>
  <c r="AT181" i="71"/>
  <c r="N165" i="71"/>
  <c r="AT165" i="71"/>
  <c r="N161" i="71"/>
  <c r="AT161" i="71"/>
  <c r="N169" i="71"/>
  <c r="AT169" i="71"/>
  <c r="G40" i="61"/>
  <c r="K40" i="61"/>
  <c r="N158" i="71"/>
  <c r="AT158" i="71"/>
  <c r="N159" i="71"/>
  <c r="AT159" i="71"/>
  <c r="K46" i="61"/>
  <c r="G16" i="61"/>
  <c r="I52" i="61"/>
  <c r="K60" i="61"/>
  <c r="I50" i="61"/>
  <c r="I16" i="61"/>
  <c r="G50" i="61"/>
  <c r="K16" i="61"/>
  <c r="K50" i="61"/>
  <c r="L84" i="71"/>
  <c r="G14" i="61"/>
  <c r="I28" i="61"/>
  <c r="G28" i="61"/>
  <c r="K28" i="61"/>
  <c r="I46" i="61"/>
  <c r="G46" i="61"/>
  <c r="L126" i="71"/>
  <c r="L74" i="71"/>
  <c r="K75" i="61"/>
  <c r="I47" i="61"/>
  <c r="G87" i="61"/>
  <c r="K87" i="61"/>
  <c r="I75" i="61"/>
  <c r="G75" i="61"/>
  <c r="I87" i="61"/>
  <c r="I74" i="61"/>
  <c r="I78" i="61"/>
  <c r="N15" i="71"/>
  <c r="AT15" i="71"/>
  <c r="N11" i="71"/>
  <c r="AT11" i="71"/>
  <c r="L54" i="71"/>
  <c r="L34" i="71"/>
  <c r="L36" i="71"/>
  <c r="N12" i="71"/>
  <c r="AT12" i="71"/>
  <c r="L24" i="71"/>
  <c r="L136" i="71"/>
  <c r="I40" i="61"/>
  <c r="G59" i="61"/>
  <c r="G52" i="61"/>
  <c r="K52" i="61"/>
  <c r="G23" i="61"/>
  <c r="I23" i="61"/>
  <c r="G21" i="61"/>
  <c r="K23" i="61"/>
  <c r="I21" i="61"/>
  <c r="K21" i="61"/>
  <c r="K66" i="61"/>
  <c r="K68" i="61"/>
  <c r="L64" i="71"/>
  <c r="I68" i="61"/>
  <c r="G62" i="61"/>
  <c r="K62" i="61"/>
  <c r="L106" i="71"/>
  <c r="I62" i="61"/>
  <c r="I77" i="61"/>
  <c r="L146" i="71"/>
  <c r="K77" i="61"/>
  <c r="G77" i="61"/>
  <c r="G68" i="61"/>
  <c r="G66" i="61"/>
  <c r="K15" i="61"/>
  <c r="K76" i="61"/>
  <c r="I92" i="61"/>
  <c r="I15" i="61"/>
  <c r="K93" i="61"/>
  <c r="I76" i="61"/>
  <c r="G92" i="61"/>
  <c r="G15" i="61"/>
  <c r="I93" i="61"/>
  <c r="G76" i="61"/>
  <c r="K92" i="61"/>
  <c r="G93" i="61"/>
  <c r="I70" i="61"/>
  <c r="L44" i="71"/>
  <c r="G70" i="61"/>
  <c r="K70" i="61"/>
  <c r="I66" i="61"/>
  <c r="L94" i="71"/>
  <c r="L116" i="71"/>
  <c r="L156" i="71"/>
  <c r="L96" i="71"/>
  <c r="L56" i="71"/>
  <c r="L46" i="71"/>
  <c r="L26" i="71"/>
  <c r="L86" i="71"/>
  <c r="L76" i="71"/>
  <c r="L66" i="71"/>
  <c r="L154" i="71"/>
  <c r="L114" i="71"/>
  <c r="L124" i="71"/>
  <c r="L134" i="71"/>
  <c r="L144" i="71"/>
  <c r="L104" i="71"/>
  <c r="I59" i="61"/>
  <c r="K59" i="61"/>
  <c r="K96" i="61"/>
  <c r="I57" i="61"/>
  <c r="I96" i="61"/>
  <c r="G57" i="61"/>
  <c r="I41" i="61"/>
  <c r="K57" i="61"/>
  <c r="G41" i="61"/>
  <c r="K74" i="61"/>
  <c r="K78" i="61"/>
  <c r="K41" i="61"/>
  <c r="G22" i="61"/>
  <c r="G74" i="61"/>
  <c r="G78" i="61"/>
  <c r="K22" i="61"/>
  <c r="I14" i="61"/>
  <c r="I22" i="61"/>
  <c r="K14" i="61"/>
  <c r="G20" i="61"/>
  <c r="L152" i="71"/>
  <c r="K26" i="61"/>
  <c r="I20" i="61"/>
  <c r="K20" i="61"/>
  <c r="I90" i="61"/>
  <c r="I71" i="61"/>
  <c r="K90" i="61"/>
  <c r="G71" i="61"/>
  <c r="G90" i="61"/>
  <c r="I24" i="61"/>
  <c r="I45" i="61"/>
  <c r="L84" i="61"/>
  <c r="AT84" i="61" s="1"/>
  <c r="I88" i="61"/>
  <c r="K58" i="61"/>
  <c r="G26" i="61"/>
  <c r="G88" i="61"/>
  <c r="K45" i="61"/>
  <c r="K88" i="61"/>
  <c r="G45" i="61"/>
  <c r="J45" i="61" s="1"/>
  <c r="K53" i="61"/>
  <c r="K71" i="61"/>
  <c r="G53" i="61"/>
  <c r="I53" i="61"/>
  <c r="G58" i="61"/>
  <c r="I26" i="61"/>
  <c r="I58" i="61"/>
  <c r="K33" i="61"/>
  <c r="K47" i="61"/>
  <c r="I33" i="61"/>
  <c r="I30" i="61"/>
  <c r="G47" i="61"/>
  <c r="G30" i="61"/>
  <c r="I54" i="61"/>
  <c r="K30" i="61"/>
  <c r="G54" i="61"/>
  <c r="K54" i="61"/>
  <c r="K84" i="61"/>
  <c r="G33" i="61"/>
  <c r="K63" i="61"/>
  <c r="I32" i="61"/>
  <c r="G32" i="61"/>
  <c r="I36" i="61"/>
  <c r="G36" i="61"/>
  <c r="K32" i="61"/>
  <c r="K36" i="61"/>
  <c r="I63" i="61"/>
  <c r="G63" i="61"/>
  <c r="I81" i="61"/>
  <c r="G81" i="61"/>
  <c r="K35" i="61"/>
  <c r="K81" i="61"/>
  <c r="I35" i="61"/>
  <c r="G35" i="61"/>
  <c r="I84" i="61"/>
  <c r="J84" i="61" s="1"/>
  <c r="G24" i="61"/>
  <c r="K24" i="61"/>
  <c r="I80" i="61"/>
  <c r="K27" i="61"/>
  <c r="G80" i="61"/>
  <c r="K80" i="61"/>
  <c r="G82" i="61"/>
  <c r="G44" i="61"/>
  <c r="K44" i="61"/>
  <c r="I44" i="61"/>
  <c r="I17" i="61"/>
  <c r="I69" i="61"/>
  <c r="G17" i="61"/>
  <c r="K17" i="61"/>
  <c r="K51" i="61"/>
  <c r="K64" i="61"/>
  <c r="I51" i="61"/>
  <c r="G27" i="61"/>
  <c r="G51" i="61"/>
  <c r="G69" i="61"/>
  <c r="K82" i="61"/>
  <c r="I82" i="61"/>
  <c r="I86" i="61"/>
  <c r="G86" i="61"/>
  <c r="K86" i="61"/>
  <c r="G38" i="61"/>
  <c r="I38" i="61"/>
  <c r="K69" i="61"/>
  <c r="I27" i="61"/>
  <c r="I64" i="61"/>
  <c r="G42" i="61"/>
  <c r="I18" i="61"/>
  <c r="G18" i="61"/>
  <c r="K18" i="61"/>
  <c r="G39" i="61"/>
  <c r="I29" i="61"/>
  <c r="G29" i="61"/>
  <c r="K42" i="61"/>
  <c r="K29" i="61"/>
  <c r="I42" i="61"/>
  <c r="K38" i="61"/>
  <c r="G64" i="61"/>
  <c r="I39" i="61"/>
  <c r="K39" i="61"/>
  <c r="K56" i="61"/>
  <c r="I56" i="61"/>
  <c r="G56" i="61"/>
  <c r="K107" i="61"/>
  <c r="I107" i="61"/>
  <c r="G107" i="61"/>
  <c r="L107" i="61"/>
  <c r="AT107" i="61" s="1"/>
  <c r="K101" i="61"/>
  <c r="G101" i="61"/>
  <c r="I101" i="61"/>
  <c r="L101" i="61"/>
  <c r="AT101" i="61" s="1"/>
  <c r="K98" i="61"/>
  <c r="G98" i="61"/>
  <c r="I98" i="61"/>
  <c r="L98" i="61"/>
  <c r="AT98" i="61" s="1"/>
  <c r="I113" i="61"/>
  <c r="K113" i="61"/>
  <c r="G113" i="61"/>
  <c r="L113" i="61"/>
  <c r="AT113" i="61" s="1"/>
  <c r="K112" i="61"/>
  <c r="I112" i="61"/>
  <c r="G112" i="61"/>
  <c r="L112" i="61"/>
  <c r="AT112" i="61" s="1"/>
  <c r="G100" i="61"/>
  <c r="K100" i="61"/>
  <c r="I100" i="61"/>
  <c r="L100" i="61"/>
  <c r="AT100" i="61" s="1"/>
  <c r="G114" i="61"/>
  <c r="K114" i="61"/>
  <c r="I114" i="61"/>
  <c r="L114" i="61"/>
  <c r="AT114" i="61" s="1"/>
  <c r="I104" i="61"/>
  <c r="K104" i="61"/>
  <c r="G104" i="61"/>
  <c r="L104" i="61"/>
  <c r="AT104" i="61" s="1"/>
  <c r="I102" i="61"/>
  <c r="K102" i="61"/>
  <c r="G102" i="61"/>
  <c r="L102" i="61"/>
  <c r="AT102" i="61" s="1"/>
  <c r="I110" i="61"/>
  <c r="K110" i="61"/>
  <c r="G110" i="61"/>
  <c r="L110" i="61"/>
  <c r="AT110" i="61" s="1"/>
  <c r="Y13" i="51"/>
  <c r="S567" i="27"/>
  <c r="Y13" i="96"/>
  <c r="Z9" i="96"/>
  <c r="Z13" i="51"/>
  <c r="AA9" i="51" s="1"/>
  <c r="M154" i="4"/>
  <c r="J154" i="4"/>
  <c r="M155" i="4"/>
  <c r="J155" i="4"/>
  <c r="M156" i="4"/>
  <c r="J156" i="4"/>
  <c r="M157" i="4"/>
  <c r="J157" i="4"/>
  <c r="I158" i="4"/>
  <c r="L158" i="4"/>
  <c r="M158" i="4"/>
  <c r="J158" i="4"/>
  <c r="K158" i="4"/>
  <c r="I159" i="4"/>
  <c r="L159" i="4"/>
  <c r="M159" i="4"/>
  <c r="J159" i="4"/>
  <c r="K159" i="4"/>
  <c r="I160" i="4"/>
  <c r="M160" i="4"/>
  <c r="L160" i="4"/>
  <c r="J160" i="4"/>
  <c r="K160" i="4"/>
  <c r="I161" i="4"/>
  <c r="M161" i="4"/>
  <c r="L161" i="4"/>
  <c r="J161" i="4"/>
  <c r="K161" i="4"/>
  <c r="I162" i="4"/>
  <c r="L162" i="4"/>
  <c r="M162" i="4"/>
  <c r="J162" i="4"/>
  <c r="K162" i="4"/>
  <c r="I163" i="4"/>
  <c r="L163" i="4"/>
  <c r="M163" i="4"/>
  <c r="K163" i="4"/>
  <c r="J163" i="4"/>
  <c r="I164" i="4"/>
  <c r="M164" i="4"/>
  <c r="L164" i="4"/>
  <c r="J164" i="4"/>
  <c r="K164" i="4"/>
  <c r="I165" i="4"/>
  <c r="M165" i="4"/>
  <c r="L165" i="4"/>
  <c r="J165" i="4"/>
  <c r="K165" i="4"/>
  <c r="C890" i="95"/>
  <c r="C1655" i="95"/>
  <c r="H167" i="4"/>
  <c r="C426" i="70"/>
  <c r="H166" i="4"/>
  <c r="C425" i="70"/>
  <c r="H165" i="4"/>
  <c r="C424" i="70"/>
  <c r="H164" i="4"/>
  <c r="C423" i="70"/>
  <c r="H163" i="4"/>
  <c r="C422" i="70"/>
  <c r="H162" i="4"/>
  <c r="C421" i="70"/>
  <c r="H161" i="4"/>
  <c r="C420" i="70"/>
  <c r="H160" i="4"/>
  <c r="C419" i="70"/>
  <c r="H159" i="4"/>
  <c r="C418" i="70"/>
  <c r="H158" i="4"/>
  <c r="C417" i="70"/>
  <c r="H157" i="4"/>
  <c r="C416" i="70"/>
  <c r="H156" i="4"/>
  <c r="C415" i="70"/>
  <c r="H155" i="4"/>
  <c r="C414" i="70"/>
  <c r="C413" i="70"/>
  <c r="H154" i="4"/>
  <c r="H153" i="4"/>
  <c r="J124" i="43"/>
  <c r="D138" i="43" s="1"/>
  <c r="N567" i="27"/>
  <c r="W567" i="27" s="1"/>
  <c r="Z567" i="27" s="1"/>
  <c r="H37" i="82"/>
  <c r="M37" i="82" s="1"/>
  <c r="S37" i="82" s="1"/>
  <c r="H38" i="82"/>
  <c r="M38" i="82" s="1"/>
  <c r="S38" i="82" s="1"/>
  <c r="Q6" i="91"/>
  <c r="Q7" i="91" s="1"/>
  <c r="Q8" i="91" s="1"/>
  <c r="AD53" i="2"/>
  <c r="K118" i="72"/>
  <c r="B5" i="73"/>
  <c r="H8" i="2"/>
  <c r="Q96" i="72"/>
  <c r="L24" i="66"/>
  <c r="F6" i="36"/>
  <c r="C8" i="19"/>
  <c r="F8" i="2"/>
  <c r="N29" i="82"/>
  <c r="Q29" i="82" s="1"/>
  <c r="R29" i="82" s="1"/>
  <c r="E96" i="72"/>
  <c r="L96" i="72"/>
  <c r="T7" i="91"/>
  <c r="T24" i="91"/>
  <c r="T16" i="91"/>
  <c r="T25" i="91"/>
  <c r="T28" i="91"/>
  <c r="T17" i="91"/>
  <c r="T21" i="91"/>
  <c r="T31" i="91"/>
  <c r="T27" i="91"/>
  <c r="T12" i="91"/>
  <c r="T11" i="91"/>
  <c r="T10" i="91"/>
  <c r="T26" i="91"/>
  <c r="T6" i="91"/>
  <c r="T8" i="91"/>
  <c r="T13" i="91"/>
  <c r="T19" i="91"/>
  <c r="T18" i="91"/>
  <c r="T23" i="91"/>
  <c r="T32" i="91"/>
  <c r="T30" i="91"/>
  <c r="T29" i="91"/>
  <c r="T3" i="91"/>
  <c r="T20" i="91"/>
  <c r="T15" i="91"/>
  <c r="T22" i="91"/>
  <c r="T33" i="91"/>
  <c r="T9" i="91"/>
  <c r="T5" i="91"/>
  <c r="T4" i="91"/>
  <c r="Y80" i="66"/>
  <c r="K7" i="60"/>
  <c r="N34" i="82"/>
  <c r="Q34" i="82" s="1"/>
  <c r="R34" i="82" s="1"/>
  <c r="I148" i="61"/>
  <c r="G146" i="61"/>
  <c r="I146" i="61"/>
  <c r="N35" i="82"/>
  <c r="Q35" i="82" s="1"/>
  <c r="R35" i="82" s="1"/>
  <c r="N33" i="82"/>
  <c r="Q33" i="82" s="1"/>
  <c r="R33" i="82" s="1"/>
  <c r="L146" i="61"/>
  <c r="AT146" i="61" s="1"/>
  <c r="L150" i="61"/>
  <c r="AT150" i="61" s="1"/>
  <c r="G150" i="61"/>
  <c r="J150" i="61" s="1"/>
  <c r="N36" i="82"/>
  <c r="Q36" i="82" s="1"/>
  <c r="R36" i="82" s="1"/>
  <c r="G148" i="61"/>
  <c r="R80" i="66"/>
  <c r="T80" i="66" s="1"/>
  <c r="AT80" i="66" s="1"/>
  <c r="K148" i="61"/>
  <c r="R68" i="66"/>
  <c r="T68" i="66" s="1"/>
  <c r="AT68" i="66" s="1"/>
  <c r="N31" i="82"/>
  <c r="Q31" i="82" s="1"/>
  <c r="R31" i="82" s="1"/>
  <c r="N30" i="82"/>
  <c r="Q30" i="82" s="1"/>
  <c r="R30" i="82" s="1"/>
  <c r="M32" i="82"/>
  <c r="S32" i="82" s="1"/>
  <c r="R77" i="66"/>
  <c r="T77" i="66" s="1"/>
  <c r="AT77" i="66" s="1"/>
  <c r="N250" i="82"/>
  <c r="Q250" i="82" s="1"/>
  <c r="R250" i="82" s="1"/>
  <c r="N254" i="82"/>
  <c r="Q254" i="82" s="1"/>
  <c r="R254" i="82" s="1"/>
  <c r="N104" i="66"/>
  <c r="R104" i="66" s="1"/>
  <c r="T104" i="66" s="1"/>
  <c r="AT104" i="66" s="1"/>
  <c r="K150" i="61"/>
  <c r="T71" i="66"/>
  <c r="AT71" i="66" s="1"/>
  <c r="Y71" i="66"/>
  <c r="N9" i="82"/>
  <c r="Q9" i="82" s="1"/>
  <c r="R9" i="82" s="1"/>
  <c r="K9" i="60"/>
  <c r="J9" i="60"/>
  <c r="J7" i="60"/>
  <c r="G9" i="73"/>
  <c r="W11" i="2"/>
  <c r="AR11" i="2" s="1"/>
  <c r="K99" i="72"/>
  <c r="AD11" i="2"/>
  <c r="I99" i="66"/>
  <c r="Y99" i="66" s="1"/>
  <c r="W10" i="2"/>
  <c r="AR10" i="2" s="1"/>
  <c r="K98" i="72"/>
  <c r="AD10" i="2"/>
  <c r="K96" i="72"/>
  <c r="AD8" i="2"/>
  <c r="K108" i="72"/>
  <c r="K110" i="72"/>
  <c r="AD9" i="2"/>
  <c r="K97" i="72"/>
  <c r="K109" i="72"/>
  <c r="K111" i="72"/>
  <c r="G124" i="61"/>
  <c r="L124" i="61"/>
  <c r="AT124" i="61" s="1"/>
  <c r="I124" i="61"/>
  <c r="J142" i="4"/>
  <c r="K142" i="4" s="1"/>
  <c r="M8" i="82"/>
  <c r="S8" i="82" s="1"/>
  <c r="K95" i="72"/>
  <c r="AD7" i="2"/>
  <c r="T72" i="66"/>
  <c r="AT72" i="66" s="1"/>
  <c r="M36" i="3"/>
  <c r="E48" i="3" s="1"/>
  <c r="L120" i="61"/>
  <c r="AT120" i="61" s="1"/>
  <c r="G120" i="61"/>
  <c r="I120" i="61"/>
  <c r="I10" i="61"/>
  <c r="G12" i="61"/>
  <c r="I126" i="61"/>
  <c r="I12" i="61"/>
  <c r="I11" i="61"/>
  <c r="G10" i="61"/>
  <c r="G9" i="61"/>
  <c r="J9" i="61" s="1"/>
  <c r="G8" i="61"/>
  <c r="I8" i="61"/>
  <c r="N97" i="66"/>
  <c r="R97" i="66" s="1"/>
  <c r="T97" i="66" s="1"/>
  <c r="AT97" i="66" s="1"/>
  <c r="L98" i="66"/>
  <c r="M98" i="66"/>
  <c r="L126" i="61"/>
  <c r="AT126" i="61" s="1"/>
  <c r="G126" i="61"/>
  <c r="Y72" i="66"/>
  <c r="G11" i="61"/>
  <c r="K118" i="61"/>
  <c r="G14" i="73"/>
  <c r="I118" i="61"/>
  <c r="G118" i="61"/>
  <c r="G7" i="73"/>
  <c r="G8" i="73"/>
  <c r="G6" i="73"/>
  <c r="D118" i="43"/>
  <c r="J107" i="72"/>
  <c r="H16" i="73"/>
  <c r="J105" i="72"/>
  <c r="H14" i="73"/>
  <c r="J106" i="72"/>
  <c r="H15" i="73"/>
  <c r="J152" i="43"/>
  <c r="D166" i="43" s="1"/>
  <c r="D164" i="43"/>
  <c r="J322" i="43"/>
  <c r="B168" i="71"/>
  <c r="Y65" i="2"/>
  <c r="H291" i="43"/>
  <c r="D295" i="43" s="1"/>
  <c r="J291" i="43"/>
  <c r="D305" i="43" s="1"/>
  <c r="N91" i="66"/>
  <c r="R91" i="66" s="1"/>
  <c r="T91" i="66" s="1"/>
  <c r="AT91" i="66" s="1"/>
  <c r="B170" i="71"/>
  <c r="B169" i="71"/>
  <c r="B173" i="71"/>
  <c r="B174" i="71"/>
  <c r="B171" i="71"/>
  <c r="G69" i="43"/>
  <c r="F71" i="43" s="1"/>
  <c r="G71" i="43" s="1"/>
  <c r="H71" i="43" s="1"/>
  <c r="D84" i="43" s="1"/>
  <c r="D88" i="43" s="1"/>
  <c r="B172" i="71"/>
  <c r="B176" i="71"/>
  <c r="Y64" i="2"/>
  <c r="N83" i="66"/>
  <c r="R83" i="66" s="1"/>
  <c r="T83" i="66" s="1"/>
  <c r="AT83" i="66" s="1"/>
  <c r="Y77" i="66"/>
  <c r="T84" i="66"/>
  <c r="AT84" i="66" s="1"/>
  <c r="N90" i="66"/>
  <c r="R90" i="66" s="1"/>
  <c r="T90" i="66" s="1"/>
  <c r="AT90" i="66" s="1"/>
  <c r="F128" i="72"/>
  <c r="C179" i="43"/>
  <c r="C233" i="43"/>
  <c r="C197" i="43"/>
  <c r="C251" i="43"/>
  <c r="C215" i="43"/>
  <c r="K76" i="7"/>
  <c r="G67" i="7"/>
  <c r="K77" i="7"/>
  <c r="Y63" i="2"/>
  <c r="AB596" i="27"/>
  <c r="AB465" i="27"/>
  <c r="AB573" i="27"/>
  <c r="AB468" i="27"/>
  <c r="AB466" i="27"/>
  <c r="AB464" i="27"/>
  <c r="R61" i="2"/>
  <c r="Y61" i="2" s="1"/>
  <c r="K80" i="7"/>
  <c r="K78" i="7"/>
  <c r="L171" i="71"/>
  <c r="L172" i="71"/>
  <c r="F70" i="3"/>
  <c r="G70" i="3" s="1"/>
  <c r="F76" i="3" s="1"/>
  <c r="AT76" i="3" s="1"/>
  <c r="C196" i="64"/>
  <c r="I194" i="64"/>
  <c r="E208" i="64" s="1"/>
  <c r="C189" i="64"/>
  <c r="I187" i="64"/>
  <c r="C230" i="64"/>
  <c r="C233" i="64" s="1"/>
  <c r="I229" i="64"/>
  <c r="E244" i="64" s="1"/>
  <c r="L129" i="64"/>
  <c r="N84" i="66"/>
  <c r="L170" i="71"/>
  <c r="D130" i="43"/>
  <c r="L9" i="71"/>
  <c r="N93" i="66"/>
  <c r="R93" i="66" s="1"/>
  <c r="T93" i="66" s="1"/>
  <c r="AT93" i="66" s="1"/>
  <c r="Y78" i="66"/>
  <c r="T78" i="66"/>
  <c r="AT78" i="66" s="1"/>
  <c r="D134" i="43"/>
  <c r="B186" i="71"/>
  <c r="B182" i="71"/>
  <c r="B185" i="71"/>
  <c r="B184" i="71"/>
  <c r="B178" i="71"/>
  <c r="L161" i="71"/>
  <c r="B181" i="71"/>
  <c r="B183" i="71"/>
  <c r="B180" i="71"/>
  <c r="N92" i="66"/>
  <c r="R92" i="66" s="1"/>
  <c r="T92" i="66" s="1"/>
  <c r="AT92" i="66" s="1"/>
  <c r="L106" i="66"/>
  <c r="N94" i="66"/>
  <c r="R94" i="66" s="1"/>
  <c r="T94" i="66" s="1"/>
  <c r="AT94" i="66" s="1"/>
  <c r="R987" i="63"/>
  <c r="D133" i="43"/>
  <c r="D135" i="43"/>
  <c r="D132" i="43"/>
  <c r="D137" i="43"/>
  <c r="D127" i="43"/>
  <c r="D131" i="43"/>
  <c r="I107" i="66"/>
  <c r="Y107" i="66" s="1"/>
  <c r="L10" i="71"/>
  <c r="N39" i="3"/>
  <c r="N38" i="3"/>
  <c r="M106" i="66"/>
  <c r="L112" i="66"/>
  <c r="M112" i="66"/>
  <c r="I113" i="66"/>
  <c r="I114" i="66" s="1"/>
  <c r="N148" i="66"/>
  <c r="R148" i="66" s="1"/>
  <c r="T148" i="66" s="1"/>
  <c r="AT148" i="66" s="1"/>
  <c r="I150" i="66"/>
  <c r="L149" i="66"/>
  <c r="M149" i="66"/>
  <c r="Y149" i="66"/>
  <c r="N111" i="66"/>
  <c r="R111" i="66" s="1"/>
  <c r="T111" i="66" s="1"/>
  <c r="AT111" i="66" s="1"/>
  <c r="I136" i="66"/>
  <c r="L135" i="66"/>
  <c r="Y135" i="66"/>
  <c r="M135" i="66"/>
  <c r="N134" i="66"/>
  <c r="R134" i="66" s="1"/>
  <c r="T134" i="66" s="1"/>
  <c r="AT134" i="66" s="1"/>
  <c r="M28" i="82"/>
  <c r="T69" i="66"/>
  <c r="AT69" i="66" s="1"/>
  <c r="Y86" i="66"/>
  <c r="N86" i="66"/>
  <c r="R86" i="66" s="1"/>
  <c r="T86" i="66" s="1"/>
  <c r="AT86" i="66" s="1"/>
  <c r="Y75" i="66"/>
  <c r="T75" i="66"/>
  <c r="AT75" i="66" s="1"/>
  <c r="N75" i="66"/>
  <c r="Y74" i="66"/>
  <c r="N74" i="66"/>
  <c r="R74" i="66" s="1"/>
  <c r="T74" i="66" s="1"/>
  <c r="AT74" i="66" s="1"/>
  <c r="Y87" i="66"/>
  <c r="T87" i="66"/>
  <c r="AT87" i="66" s="1"/>
  <c r="N87" i="66"/>
  <c r="G36" i="73"/>
  <c r="G39" i="73" s="1"/>
  <c r="AY6" i="39"/>
  <c r="H152" i="43"/>
  <c r="M36" i="73"/>
  <c r="M39" i="73" s="1"/>
  <c r="J36" i="73"/>
  <c r="J39" i="73" s="1"/>
  <c r="L154" i="61"/>
  <c r="AT154" i="61" s="1"/>
  <c r="I154" i="61"/>
  <c r="J154" i="61" s="1"/>
  <c r="AC61" i="2"/>
  <c r="G152" i="61"/>
  <c r="I48" i="64"/>
  <c r="K154" i="61"/>
  <c r="K152" i="61"/>
  <c r="L186" i="71"/>
  <c r="L152" i="61"/>
  <c r="AT152" i="61" s="1"/>
  <c r="I152" i="61"/>
  <c r="G122" i="61"/>
  <c r="G130" i="61"/>
  <c r="L164" i="71"/>
  <c r="K122" i="61"/>
  <c r="I122" i="61"/>
  <c r="L122" i="61"/>
  <c r="AT122" i="61" s="1"/>
  <c r="I144" i="61"/>
  <c r="G144" i="61"/>
  <c r="K142" i="61"/>
  <c r="G142" i="61"/>
  <c r="L142" i="61"/>
  <c r="AT142" i="61" s="1"/>
  <c r="I142" i="61"/>
  <c r="L116" i="61"/>
  <c r="AT116" i="61" s="1"/>
  <c r="I130" i="61"/>
  <c r="L130" i="61"/>
  <c r="AT130" i="61" s="1"/>
  <c r="G116" i="61"/>
  <c r="K128" i="61"/>
  <c r="K116" i="61"/>
  <c r="I116" i="61"/>
  <c r="I128" i="61"/>
  <c r="G128" i="61"/>
  <c r="L128" i="61"/>
  <c r="AT128" i="61" s="1"/>
  <c r="L36" i="3"/>
  <c r="L60" i="3"/>
  <c r="Y60" i="66"/>
  <c r="T60" i="66"/>
  <c r="AT60" i="66" s="1"/>
  <c r="M61" i="3"/>
  <c r="M60" i="3"/>
  <c r="L16" i="71"/>
  <c r="K6" i="71"/>
  <c r="L130" i="64"/>
  <c r="K23" i="73" l="1"/>
  <c r="L23" i="73" s="1"/>
  <c r="M23" i="73" s="1"/>
  <c r="D140" i="43"/>
  <c r="J106" i="4"/>
  <c r="K106" i="4" s="1"/>
  <c r="J132" i="4"/>
  <c r="K132" i="4" s="1"/>
  <c r="M132" i="4" s="1"/>
  <c r="N132" i="4" s="1"/>
  <c r="AT132" i="4" s="1"/>
  <c r="D337" i="43"/>
  <c r="D335" i="43"/>
  <c r="B91" i="80"/>
  <c r="B92" i="80" s="1"/>
  <c r="E10" i="80" s="1"/>
  <c r="S829" i="63" s="1"/>
  <c r="U829" i="63" s="1"/>
  <c r="J59" i="61"/>
  <c r="V204" i="43"/>
  <c r="V197" i="43"/>
  <c r="V198" i="43" s="1"/>
  <c r="V199" i="43" s="1"/>
  <c r="W215" i="43"/>
  <c r="W216" i="43" s="1"/>
  <c r="W225" i="43"/>
  <c r="W226" i="43" s="1"/>
  <c r="W227" i="43" s="1"/>
  <c r="V222" i="43"/>
  <c r="V215" i="43"/>
  <c r="V216" i="43" s="1"/>
  <c r="W251" i="43"/>
  <c r="W252" i="43" s="1"/>
  <c r="W261" i="43"/>
  <c r="W262" i="43" s="1"/>
  <c r="W263" i="43" s="1"/>
  <c r="V258" i="43"/>
  <c r="V251" i="43"/>
  <c r="V252" i="43" s="1"/>
  <c r="V209" i="43"/>
  <c r="Y207" i="43" s="1"/>
  <c r="Z207" i="43"/>
  <c r="W233" i="43"/>
  <c r="W234" i="43" s="1"/>
  <c r="W243" i="43"/>
  <c r="W244" i="43" s="1"/>
  <c r="W245" i="43" s="1"/>
  <c r="V240" i="43"/>
  <c r="V233" i="43"/>
  <c r="V234" i="43" s="1"/>
  <c r="W189" i="43"/>
  <c r="W190" i="43" s="1"/>
  <c r="W191" i="43" s="1"/>
  <c r="Z189" i="43" s="1"/>
  <c r="V179" i="43"/>
  <c r="V180" i="43" s="1"/>
  <c r="J106" i="61"/>
  <c r="N164" i="4"/>
  <c r="AT164" i="4" s="1"/>
  <c r="N160" i="4"/>
  <c r="AT160" i="4" s="1"/>
  <c r="N161" i="4"/>
  <c r="AT161" i="4" s="1"/>
  <c r="N165" i="4"/>
  <c r="AT165" i="4" s="1"/>
  <c r="D1185" i="70"/>
  <c r="F12" i="3"/>
  <c r="I146" i="64" s="1"/>
  <c r="I148" i="64" s="1"/>
  <c r="M106" i="4"/>
  <c r="L106" i="4"/>
  <c r="L142" i="4"/>
  <c r="M142" i="4"/>
  <c r="N163" i="4"/>
  <c r="AT163" i="4" s="1"/>
  <c r="N162" i="4"/>
  <c r="AT162" i="4" s="1"/>
  <c r="N159" i="4"/>
  <c r="AT159" i="4" s="1"/>
  <c r="N158" i="4"/>
  <c r="AT158" i="4" s="1"/>
  <c r="J99" i="61"/>
  <c r="J136" i="61"/>
  <c r="J108" i="61"/>
  <c r="J60" i="61"/>
  <c r="J105" i="61"/>
  <c r="J111" i="61"/>
  <c r="J140" i="61"/>
  <c r="J134" i="61"/>
  <c r="J48" i="61"/>
  <c r="J34" i="61"/>
  <c r="J102" i="61"/>
  <c r="J65" i="61"/>
  <c r="J94" i="61"/>
  <c r="J95" i="61"/>
  <c r="J89" i="61"/>
  <c r="J72" i="61"/>
  <c r="J40" i="61"/>
  <c r="J96" i="61"/>
  <c r="J14" i="61"/>
  <c r="J28" i="61"/>
  <c r="J52" i="61"/>
  <c r="J16" i="61"/>
  <c r="J50" i="61"/>
  <c r="J46" i="61"/>
  <c r="J78" i="61"/>
  <c r="J68" i="61"/>
  <c r="J47" i="61"/>
  <c r="J75" i="61"/>
  <c r="J87" i="61"/>
  <c r="J74" i="61"/>
  <c r="J33" i="61"/>
  <c r="J22" i="61"/>
  <c r="J77" i="61"/>
  <c r="J63" i="61"/>
  <c r="J92" i="61"/>
  <c r="J21" i="61"/>
  <c r="J23" i="61"/>
  <c r="J90" i="61"/>
  <c r="J76" i="61"/>
  <c r="J66" i="61"/>
  <c r="J41" i="61"/>
  <c r="J62" i="61"/>
  <c r="J93" i="61"/>
  <c r="J15" i="61"/>
  <c r="J88" i="61"/>
  <c r="J71" i="61"/>
  <c r="J20" i="61"/>
  <c r="J57" i="61"/>
  <c r="J70" i="61"/>
  <c r="J53" i="61"/>
  <c r="J24" i="61"/>
  <c r="J30" i="61"/>
  <c r="J26" i="61"/>
  <c r="J58" i="61"/>
  <c r="J81" i="61"/>
  <c r="J32" i="61"/>
  <c r="J17" i="61"/>
  <c r="J80" i="61"/>
  <c r="J54" i="61"/>
  <c r="J36" i="61"/>
  <c r="J69" i="61"/>
  <c r="J27" i="61"/>
  <c r="J82" i="61"/>
  <c r="J35" i="61"/>
  <c r="J44" i="61"/>
  <c r="J64" i="61"/>
  <c r="J51" i="61"/>
  <c r="J86" i="61"/>
  <c r="J18" i="61"/>
  <c r="J39" i="61"/>
  <c r="J38" i="61"/>
  <c r="J42" i="61"/>
  <c r="J29" i="61"/>
  <c r="J100" i="61"/>
  <c r="J98" i="61"/>
  <c r="J110" i="61"/>
  <c r="J114" i="61"/>
  <c r="J56" i="61"/>
  <c r="J112" i="61"/>
  <c r="J104" i="61"/>
  <c r="J113" i="61"/>
  <c r="J101" i="61"/>
  <c r="J107" i="61"/>
  <c r="Q567" i="27"/>
  <c r="R567" i="27" s="1"/>
  <c r="AT567" i="27" s="1"/>
  <c r="AA12" i="51"/>
  <c r="AA10" i="51"/>
  <c r="AA11" i="51"/>
  <c r="Z13" i="96"/>
  <c r="AA9" i="96" s="1"/>
  <c r="AA13" i="96" s="1"/>
  <c r="J23" i="72"/>
  <c r="S2" i="74" s="1"/>
  <c r="AT48" i="64"/>
  <c r="W8" i="2"/>
  <c r="AB8" i="2" s="1"/>
  <c r="U8" i="2" s="1"/>
  <c r="J102" i="4"/>
  <c r="K102" i="4" s="1"/>
  <c r="L102" i="4" s="1"/>
  <c r="N102" i="4" s="1"/>
  <c r="AT102" i="4" s="1"/>
  <c r="J108" i="4"/>
  <c r="K108" i="4" s="1"/>
  <c r="L108" i="4" s="1"/>
  <c r="N108" i="4" s="1"/>
  <c r="AT108" i="4" s="1"/>
  <c r="C1656" i="95"/>
  <c r="C891" i="95"/>
  <c r="T15" i="66"/>
  <c r="AT15" i="66" s="1"/>
  <c r="T16" i="66"/>
  <c r="AT16" i="66" s="1"/>
  <c r="T18" i="66"/>
  <c r="AT18" i="66" s="1"/>
  <c r="T17" i="66"/>
  <c r="AT17" i="66" s="1"/>
  <c r="M9" i="66"/>
  <c r="I8" i="66" s="1"/>
  <c r="T19" i="66"/>
  <c r="AT19" i="66" s="1"/>
  <c r="T13" i="66"/>
  <c r="AT13" i="66" s="1"/>
  <c r="T11" i="66"/>
  <c r="AT11" i="66" s="1"/>
  <c r="T12" i="66"/>
  <c r="AT12" i="66" s="1"/>
  <c r="T14" i="66"/>
  <c r="AT14" i="66" s="1"/>
  <c r="J164" i="66"/>
  <c r="A412" i="70"/>
  <c r="C46" i="27"/>
  <c r="J165" i="66"/>
  <c r="C47" i="27"/>
  <c r="A413" i="70"/>
  <c r="J166" i="66"/>
  <c r="C48" i="27"/>
  <c r="A414" i="70"/>
  <c r="J167" i="66"/>
  <c r="C49" i="27"/>
  <c r="A415" i="70"/>
  <c r="J168" i="66"/>
  <c r="C50" i="27"/>
  <c r="A416" i="70"/>
  <c r="A417" i="70"/>
  <c r="C51" i="27"/>
  <c r="C52" i="27"/>
  <c r="A418" i="70"/>
  <c r="C53" i="27"/>
  <c r="A419" i="70"/>
  <c r="C54" i="27"/>
  <c r="A420" i="70"/>
  <c r="C55" i="27"/>
  <c r="A421" i="70"/>
  <c r="C56" i="27"/>
  <c r="A422" i="70"/>
  <c r="C57" i="27"/>
  <c r="A423" i="70"/>
  <c r="C58" i="27"/>
  <c r="A424" i="70"/>
  <c r="C59" i="27"/>
  <c r="A425" i="70"/>
  <c r="C60" i="27"/>
  <c r="A426" i="70"/>
  <c r="AA567" i="27"/>
  <c r="AB567" i="27" s="1"/>
  <c r="W9" i="2"/>
  <c r="J109" i="4"/>
  <c r="K109" i="4" s="1"/>
  <c r="L109" i="4" s="1"/>
  <c r="N109" i="4" s="1"/>
  <c r="AT109" i="4" s="1"/>
  <c r="N37" i="82"/>
  <c r="Q37" i="82" s="1"/>
  <c r="R37" i="82" s="1"/>
  <c r="N38" i="82"/>
  <c r="Q38" i="82" s="1"/>
  <c r="R38" i="82" s="1"/>
  <c r="AE11" i="2"/>
  <c r="AC11" i="2"/>
  <c r="AB11" i="2"/>
  <c r="U11" i="2" s="1"/>
  <c r="AE10" i="2"/>
  <c r="AC10" i="2"/>
  <c r="AB10" i="2"/>
  <c r="U10" i="2" s="1"/>
  <c r="Q9" i="91"/>
  <c r="Q10" i="91" s="1"/>
  <c r="Q11" i="91" s="1"/>
  <c r="D5" i="73"/>
  <c r="F5" i="73" s="1"/>
  <c r="AG8" i="2"/>
  <c r="K6" i="36"/>
  <c r="N24" i="66"/>
  <c r="A51" i="89"/>
  <c r="A31" i="89"/>
  <c r="A11" i="89"/>
  <c r="A41" i="89"/>
  <c r="A61" i="89"/>
  <c r="A71" i="89"/>
  <c r="A21" i="89"/>
  <c r="V186" i="43"/>
  <c r="L54" i="2"/>
  <c r="L55" i="2"/>
  <c r="L37" i="2"/>
  <c r="W37" i="2" s="1"/>
  <c r="L36" i="2"/>
  <c r="L41" i="2"/>
  <c r="L53" i="2"/>
  <c r="L40" i="2"/>
  <c r="L56" i="2"/>
  <c r="L39" i="2"/>
  <c r="W39" i="2" s="1"/>
  <c r="L35" i="2"/>
  <c r="L57" i="2"/>
  <c r="L38" i="2"/>
  <c r="W38" i="2" s="1"/>
  <c r="J148" i="61"/>
  <c r="J146" i="61"/>
  <c r="N32" i="82"/>
  <c r="Q32" i="82" s="1"/>
  <c r="R32" i="82" s="1"/>
  <c r="S28" i="82"/>
  <c r="N28" i="82"/>
  <c r="Q28" i="82" s="1"/>
  <c r="R28" i="82" s="1"/>
  <c r="I100" i="66"/>
  <c r="Y100" i="66" s="1"/>
  <c r="J12" i="61"/>
  <c r="N8" i="82"/>
  <c r="Q8" i="82" s="1"/>
  <c r="R8" i="82" s="1"/>
  <c r="J23" i="4"/>
  <c r="J22" i="4" s="1"/>
  <c r="K21" i="4" s="1"/>
  <c r="L21" i="4" s="1"/>
  <c r="N21" i="4" s="1"/>
  <c r="AT21" i="4" s="1"/>
  <c r="W179" i="43"/>
  <c r="W180" i="43" s="1"/>
  <c r="M99" i="66"/>
  <c r="L99" i="66"/>
  <c r="J124" i="61"/>
  <c r="J120" i="61"/>
  <c r="J17" i="4"/>
  <c r="J16" i="4" s="1"/>
  <c r="K15" i="4" s="1"/>
  <c r="L15" i="4" s="1"/>
  <c r="N15" i="4" s="1"/>
  <c r="AT15" i="4" s="1"/>
  <c r="L64" i="2"/>
  <c r="J20" i="4"/>
  <c r="J19" i="4" s="1"/>
  <c r="K18" i="4" s="1"/>
  <c r="L18" i="4" s="1"/>
  <c r="N18" i="4" s="1"/>
  <c r="AT18" i="4" s="1"/>
  <c r="L62" i="2"/>
  <c r="J14" i="4"/>
  <c r="J13" i="4" s="1"/>
  <c r="K12" i="4" s="1"/>
  <c r="L12" i="4" s="1"/>
  <c r="N12" i="4" s="1"/>
  <c r="AT12" i="4" s="1"/>
  <c r="W7" i="2"/>
  <c r="J11" i="4"/>
  <c r="J10" i="4" s="1"/>
  <c r="K9" i="4" s="1"/>
  <c r="D4" i="70"/>
  <c r="J10" i="61"/>
  <c r="J11" i="61"/>
  <c r="J126" i="61"/>
  <c r="J8" i="61"/>
  <c r="N98" i="66"/>
  <c r="R98" i="66" s="1"/>
  <c r="T98" i="66" s="1"/>
  <c r="AT98" i="66" s="1"/>
  <c r="J118" i="61"/>
  <c r="D142" i="43"/>
  <c r="D143" i="43" s="1"/>
  <c r="I15" i="73"/>
  <c r="J15" i="73" s="1"/>
  <c r="K15" i="73"/>
  <c r="L15" i="73" s="1"/>
  <c r="M15" i="73" s="1"/>
  <c r="I14" i="73"/>
  <c r="J14" i="73" s="1"/>
  <c r="K14" i="73"/>
  <c r="K16" i="73"/>
  <c r="L16" i="73" s="1"/>
  <c r="M16" i="73" s="1"/>
  <c r="I16" i="73"/>
  <c r="J16" i="73" s="1"/>
  <c r="D330" i="43"/>
  <c r="D333" i="43"/>
  <c r="D329" i="43"/>
  <c r="D332" i="43"/>
  <c r="D336" i="43"/>
  <c r="D334" i="43"/>
  <c r="D331" i="43"/>
  <c r="D162" i="43"/>
  <c r="D160" i="43"/>
  <c r="D161" i="43"/>
  <c r="D165" i="43"/>
  <c r="D159" i="43"/>
  <c r="D158" i="43"/>
  <c r="D156" i="43"/>
  <c r="D163" i="43"/>
  <c r="D155" i="43"/>
  <c r="D301" i="43"/>
  <c r="D300" i="43"/>
  <c r="D302" i="43"/>
  <c r="D298" i="43"/>
  <c r="D299" i="43"/>
  <c r="D294" i="43"/>
  <c r="D297" i="43"/>
  <c r="D304" i="43"/>
  <c r="C197" i="64"/>
  <c r="K230" i="64"/>
  <c r="E246" i="64" s="1"/>
  <c r="I230" i="64"/>
  <c r="E236" i="64" s="1"/>
  <c r="K188" i="64"/>
  <c r="I188" i="64"/>
  <c r="I195" i="64"/>
  <c r="K195" i="64"/>
  <c r="E210" i="64" s="1"/>
  <c r="M107" i="66"/>
  <c r="M113" i="66"/>
  <c r="Y113" i="66"/>
  <c r="L107" i="66"/>
  <c r="I108" i="66"/>
  <c r="M108" i="66" s="1"/>
  <c r="F46" i="3"/>
  <c r="G46" i="3" s="1"/>
  <c r="F52" i="3" s="1"/>
  <c r="N106" i="66"/>
  <c r="R106" i="66" s="1"/>
  <c r="T106" i="66" s="1"/>
  <c r="AT106" i="66" s="1"/>
  <c r="L113" i="66"/>
  <c r="N112" i="66"/>
  <c r="R112" i="66" s="1"/>
  <c r="T112" i="66" s="1"/>
  <c r="AT112" i="66" s="1"/>
  <c r="N149" i="66"/>
  <c r="R149" i="66" s="1"/>
  <c r="T149" i="66" s="1"/>
  <c r="AT149" i="66" s="1"/>
  <c r="I151" i="66"/>
  <c r="M150" i="66"/>
  <c r="L150" i="66"/>
  <c r="Y150" i="66"/>
  <c r="I115" i="66"/>
  <c r="Y114" i="66"/>
  <c r="M114" i="66"/>
  <c r="L114" i="66"/>
  <c r="N135" i="66"/>
  <c r="R135" i="66" s="1"/>
  <c r="T135" i="66" s="1"/>
  <c r="AT135" i="66" s="1"/>
  <c r="I137" i="66"/>
  <c r="N137" i="66" s="1"/>
  <c r="M136" i="66"/>
  <c r="L136" i="66"/>
  <c r="Y136" i="66"/>
  <c r="I57" i="66"/>
  <c r="J152" i="61"/>
  <c r="J130" i="61"/>
  <c r="J122" i="61"/>
  <c r="J144" i="61"/>
  <c r="J142" i="61"/>
  <c r="J116" i="61"/>
  <c r="J128" i="61"/>
  <c r="I6" i="61"/>
  <c r="L6" i="71"/>
  <c r="E72" i="3"/>
  <c r="G76" i="3"/>
  <c r="G77" i="3" s="1"/>
  <c r="F77" i="3"/>
  <c r="AT77" i="3" s="1"/>
  <c r="V253" i="43" l="1"/>
  <c r="AC39" i="2"/>
  <c r="V181" i="43"/>
  <c r="AA13" i="51"/>
  <c r="V235" i="43"/>
  <c r="D168" i="43"/>
  <c r="V217" i="43"/>
  <c r="D14" i="83"/>
  <c r="Q14" i="83" s="1"/>
  <c r="G14" i="83" s="1"/>
  <c r="V241" i="43"/>
  <c r="V242" i="43" s="1"/>
  <c r="V245" i="43"/>
  <c r="Y243" i="43" s="1"/>
  <c r="Z243" i="43"/>
  <c r="V259" i="43"/>
  <c r="V260" i="43" s="1"/>
  <c r="V263" i="43"/>
  <c r="Y261" i="43" s="1"/>
  <c r="Z261" i="43"/>
  <c r="V223" i="43"/>
  <c r="V224" i="43" s="1"/>
  <c r="V227" i="43"/>
  <c r="Y225" i="43" s="1"/>
  <c r="Z225" i="43"/>
  <c r="V205" i="43"/>
  <c r="V206" i="43" s="1"/>
  <c r="V187" i="43"/>
  <c r="V188" i="43" s="1"/>
  <c r="V191" i="43"/>
  <c r="Y189" i="43" s="1"/>
  <c r="D1186" i="70"/>
  <c r="D1188" i="70" s="1"/>
  <c r="N1181" i="70"/>
  <c r="F14" i="3"/>
  <c r="P19" i="3" s="1"/>
  <c r="N106" i="4"/>
  <c r="AT106" i="4" s="1"/>
  <c r="L9" i="4"/>
  <c r="M9" i="4"/>
  <c r="N142" i="4"/>
  <c r="AT142" i="4" s="1"/>
  <c r="AU16" i="66"/>
  <c r="AU21" i="66"/>
  <c r="AU13" i="66"/>
  <c r="AU22" i="66"/>
  <c r="AU20" i="66"/>
  <c r="AU12" i="66"/>
  <c r="AU14" i="66"/>
  <c r="AU11" i="66"/>
  <c r="AU19" i="66"/>
  <c r="AU17" i="66"/>
  <c r="AU18" i="66"/>
  <c r="AU15" i="66"/>
  <c r="N23" i="72"/>
  <c r="AB9" i="2"/>
  <c r="U9" i="2" s="1"/>
  <c r="AR9" i="2"/>
  <c r="AE8" i="2"/>
  <c r="AR8" i="2"/>
  <c r="AC38" i="2"/>
  <c r="AC37" i="2"/>
  <c r="AC8" i="2"/>
  <c r="AA12" i="96"/>
  <c r="AA10" i="96"/>
  <c r="AA11" i="96"/>
  <c r="G52" i="3"/>
  <c r="G53" i="3" s="1"/>
  <c r="AT52" i="3"/>
  <c r="AC9" i="2"/>
  <c r="AE9" i="2"/>
  <c r="C1657" i="95"/>
  <c r="C892" i="95"/>
  <c r="A55" i="82"/>
  <c r="A60" i="27"/>
  <c r="C55" i="82"/>
  <c r="K60" i="27"/>
  <c r="K55" i="82" s="1"/>
  <c r="I60" i="27"/>
  <c r="I55" i="82" s="1"/>
  <c r="L60" i="27"/>
  <c r="L55" i="82" s="1"/>
  <c r="P60" i="27"/>
  <c r="P55" i="82" s="1"/>
  <c r="O60" i="27"/>
  <c r="O55" i="82" s="1"/>
  <c r="A54" i="82"/>
  <c r="A59" i="27"/>
  <c r="C54" i="82"/>
  <c r="I59" i="27"/>
  <c r="I54" i="82" s="1"/>
  <c r="O59" i="27"/>
  <c r="O54" i="82" s="1"/>
  <c r="P59" i="27"/>
  <c r="P54" i="82" s="1"/>
  <c r="K59" i="27"/>
  <c r="K54" i="82" s="1"/>
  <c r="L59" i="27"/>
  <c r="L54" i="82" s="1"/>
  <c r="A53" i="82"/>
  <c r="A58" i="27"/>
  <c r="C53" i="82"/>
  <c r="O58" i="27"/>
  <c r="O53" i="82" s="1"/>
  <c r="I58" i="27"/>
  <c r="I53" i="82" s="1"/>
  <c r="L58" i="27"/>
  <c r="L53" i="82" s="1"/>
  <c r="K58" i="27"/>
  <c r="K53" i="82" s="1"/>
  <c r="P58" i="27"/>
  <c r="P53" i="82" s="1"/>
  <c r="A57" i="27"/>
  <c r="A52" i="82"/>
  <c r="C52" i="82"/>
  <c r="P57" i="27"/>
  <c r="P52" i="82" s="1"/>
  <c r="K57" i="27"/>
  <c r="K52" i="82" s="1"/>
  <c r="O57" i="27"/>
  <c r="O52" i="82" s="1"/>
  <c r="I57" i="27"/>
  <c r="I52" i="82" s="1"/>
  <c r="L57" i="27"/>
  <c r="L52" i="82" s="1"/>
  <c r="A56" i="27"/>
  <c r="A51" i="82"/>
  <c r="I56" i="27"/>
  <c r="I51" i="82" s="1"/>
  <c r="C39" i="36"/>
  <c r="C51" i="82"/>
  <c r="O56" i="27"/>
  <c r="L56" i="27"/>
  <c r="P56" i="27"/>
  <c r="K56" i="27"/>
  <c r="A55" i="27"/>
  <c r="A50" i="82"/>
  <c r="P55" i="27"/>
  <c r="P50" i="82" s="1"/>
  <c r="O55" i="27"/>
  <c r="O50" i="82" s="1"/>
  <c r="L55" i="27"/>
  <c r="L50" i="82" s="1"/>
  <c r="I55" i="27"/>
  <c r="I50" i="82" s="1"/>
  <c r="C50" i="82"/>
  <c r="K55" i="27"/>
  <c r="K50" i="82" s="1"/>
  <c r="A54" i="27"/>
  <c r="A49" i="82"/>
  <c r="L54" i="27"/>
  <c r="L49" i="82" s="1"/>
  <c r="K54" i="27"/>
  <c r="K49" i="82" s="1"/>
  <c r="O54" i="27"/>
  <c r="O49" i="82" s="1"/>
  <c r="P54" i="27"/>
  <c r="P49" i="82" s="1"/>
  <c r="C49" i="82"/>
  <c r="I54" i="27"/>
  <c r="I49" i="82" s="1"/>
  <c r="A48" i="82"/>
  <c r="A53" i="27"/>
  <c r="C48" i="82"/>
  <c r="P53" i="27"/>
  <c r="P48" i="82" s="1"/>
  <c r="K53" i="27"/>
  <c r="K48" i="82" s="1"/>
  <c r="L53" i="27"/>
  <c r="L48" i="82" s="1"/>
  <c r="O53" i="27"/>
  <c r="O48" i="82" s="1"/>
  <c r="I53" i="27"/>
  <c r="I48" i="82" s="1"/>
  <c r="A52" i="27"/>
  <c r="A47" i="82"/>
  <c r="C47" i="82"/>
  <c r="L52" i="27"/>
  <c r="L47" i="82" s="1"/>
  <c r="K52" i="27"/>
  <c r="K47" i="82" s="1"/>
  <c r="O52" i="27"/>
  <c r="O47" i="82" s="1"/>
  <c r="P52" i="27"/>
  <c r="P47" i="82" s="1"/>
  <c r="I52" i="27"/>
  <c r="I47" i="82" s="1"/>
  <c r="C46" i="82"/>
  <c r="P51" i="27"/>
  <c r="P46" i="82" s="1"/>
  <c r="I51" i="27"/>
  <c r="I46" i="82" s="1"/>
  <c r="K51" i="27"/>
  <c r="K46" i="82" s="1"/>
  <c r="O51" i="27"/>
  <c r="O46" i="82" s="1"/>
  <c r="L51" i="27"/>
  <c r="L46" i="82" s="1"/>
  <c r="A46" i="82"/>
  <c r="A51" i="27"/>
  <c r="A45" i="82"/>
  <c r="A50" i="27"/>
  <c r="C45" i="82"/>
  <c r="P50" i="27"/>
  <c r="P45" i="82" s="1"/>
  <c r="O50" i="27"/>
  <c r="O45" i="82" s="1"/>
  <c r="L50" i="27"/>
  <c r="L45" i="82" s="1"/>
  <c r="K50" i="27"/>
  <c r="K45" i="82" s="1"/>
  <c r="I50" i="27"/>
  <c r="I45" i="82" s="1"/>
  <c r="R168" i="66"/>
  <c r="Q168" i="66"/>
  <c r="O168" i="66"/>
  <c r="N168" i="66"/>
  <c r="A49" i="27"/>
  <c r="A44" i="82"/>
  <c r="C44" i="82"/>
  <c r="I49" i="27"/>
  <c r="I44" i="82" s="1"/>
  <c r="P49" i="27"/>
  <c r="P44" i="82" s="1"/>
  <c r="L49" i="27"/>
  <c r="L44" i="82" s="1"/>
  <c r="O49" i="27"/>
  <c r="O44" i="82" s="1"/>
  <c r="K49" i="27"/>
  <c r="K44" i="82" s="1"/>
  <c r="R167" i="66"/>
  <c r="O167" i="66"/>
  <c r="Q167" i="66"/>
  <c r="N167" i="66"/>
  <c r="A48" i="27"/>
  <c r="A43" i="82"/>
  <c r="I48" i="27"/>
  <c r="I43" i="82" s="1"/>
  <c r="C43" i="82"/>
  <c r="P48" i="27"/>
  <c r="P43" i="82" s="1"/>
  <c r="L48" i="27"/>
  <c r="L43" i="82" s="1"/>
  <c r="O48" i="27"/>
  <c r="O43" i="82" s="1"/>
  <c r="K48" i="27"/>
  <c r="K43" i="82" s="1"/>
  <c r="N166" i="66"/>
  <c r="R166" i="66"/>
  <c r="Q166" i="66"/>
  <c r="O166" i="66"/>
  <c r="A42" i="82"/>
  <c r="A47" i="27"/>
  <c r="C42" i="82"/>
  <c r="K47" i="27"/>
  <c r="K42" i="82" s="1"/>
  <c r="I47" i="27"/>
  <c r="I42" i="82" s="1"/>
  <c r="O47" i="27"/>
  <c r="O42" i="82" s="1"/>
  <c r="L47" i="27"/>
  <c r="L42" i="82" s="1"/>
  <c r="P47" i="27"/>
  <c r="P42" i="82" s="1"/>
  <c r="O165" i="66"/>
  <c r="N165" i="66"/>
  <c r="Q165" i="66"/>
  <c r="R165" i="66"/>
  <c r="I46" i="27"/>
  <c r="I41" i="82" s="1"/>
  <c r="C41" i="82"/>
  <c r="P46" i="27"/>
  <c r="P41" i="82" s="1"/>
  <c r="L46" i="27"/>
  <c r="L41" i="82" s="1"/>
  <c r="O46" i="27"/>
  <c r="O41" i="82" s="1"/>
  <c r="K46" i="27"/>
  <c r="K41" i="82" s="1"/>
  <c r="A46" i="27"/>
  <c r="A41" i="82"/>
  <c r="R164" i="66"/>
  <c r="O164" i="66"/>
  <c r="N164" i="66"/>
  <c r="Q164" i="66"/>
  <c r="J47" i="4"/>
  <c r="J46" i="4" s="1"/>
  <c r="K45" i="4" s="1"/>
  <c r="L45" i="4" s="1"/>
  <c r="N45" i="4" s="1"/>
  <c r="AT45" i="4" s="1"/>
  <c r="W36" i="2"/>
  <c r="J44" i="4"/>
  <c r="J43" i="4" s="1"/>
  <c r="K42" i="4" s="1"/>
  <c r="L42" i="4" s="1"/>
  <c r="N42" i="4" s="1"/>
  <c r="AT42" i="4" s="1"/>
  <c r="W35" i="2"/>
  <c r="J56" i="4"/>
  <c r="J55" i="4" s="1"/>
  <c r="K54" i="4" s="1"/>
  <c r="L54" i="4" s="1"/>
  <c r="N54" i="4" s="1"/>
  <c r="AT54" i="4" s="1"/>
  <c r="J50" i="4"/>
  <c r="J49" i="4" s="1"/>
  <c r="K48" i="4" s="1"/>
  <c r="L48" i="4" s="1"/>
  <c r="N48" i="4" s="1"/>
  <c r="AT48" i="4" s="1"/>
  <c r="J53" i="4"/>
  <c r="J52" i="4" s="1"/>
  <c r="K51" i="4" s="1"/>
  <c r="L51" i="4" s="1"/>
  <c r="N51" i="4" s="1"/>
  <c r="AT51" i="4" s="1"/>
  <c r="Q12" i="91"/>
  <c r="Q13" i="91" s="1"/>
  <c r="W34" i="2"/>
  <c r="J41" i="4"/>
  <c r="J40" i="4" s="1"/>
  <c r="K39" i="4" s="1"/>
  <c r="L39" i="4" s="1"/>
  <c r="N39" i="4" s="1"/>
  <c r="AT39" i="4" s="1"/>
  <c r="W53" i="2"/>
  <c r="AR53" i="2" s="1"/>
  <c r="G5" i="73"/>
  <c r="D13" i="89"/>
  <c r="D14" i="89" s="1"/>
  <c r="D43" i="89"/>
  <c r="D44" i="89" s="1"/>
  <c r="D23" i="89"/>
  <c r="D24" i="89" s="1"/>
  <c r="D73" i="89"/>
  <c r="D74" i="89" s="1"/>
  <c r="D33" i="89"/>
  <c r="D34" i="89" s="1"/>
  <c r="D63" i="89"/>
  <c r="D64" i="89" s="1"/>
  <c r="D53" i="89"/>
  <c r="D54" i="89" s="1"/>
  <c r="H42" i="27"/>
  <c r="M42" i="27" s="1"/>
  <c r="S42" i="27" s="1"/>
  <c r="H43" i="27"/>
  <c r="M43" i="27" s="1"/>
  <c r="S43" i="27" s="1"/>
  <c r="L100" i="66"/>
  <c r="I101" i="66"/>
  <c r="L101" i="66" s="1"/>
  <c r="M100" i="66"/>
  <c r="N99" i="66"/>
  <c r="R99" i="66" s="1"/>
  <c r="T99" i="66" s="1"/>
  <c r="AT99" i="66" s="1"/>
  <c r="F4" i="61"/>
  <c r="D4" i="61" s="1"/>
  <c r="G1" i="42"/>
  <c r="G3" i="42" s="1"/>
  <c r="G2" i="19"/>
  <c r="D2" i="19" s="1"/>
  <c r="B286" i="43"/>
  <c r="F4" i="4"/>
  <c r="D4" i="4" s="1"/>
  <c r="F4" i="71"/>
  <c r="D4" i="71" s="1"/>
  <c r="F5" i="60"/>
  <c r="D5" i="60" s="1"/>
  <c r="C1249" i="70" s="1"/>
  <c r="E266" i="60" s="1"/>
  <c r="G3" i="2"/>
  <c r="E3" i="2" s="1"/>
  <c r="H1186" i="70" s="1"/>
  <c r="H1188" i="70" s="1"/>
  <c r="F5" i="7"/>
  <c r="D5" i="7" s="1"/>
  <c r="G4" i="64"/>
  <c r="G4" i="27"/>
  <c r="E4" i="27" s="1"/>
  <c r="G4" i="3"/>
  <c r="AE7" i="2"/>
  <c r="AC7" i="2"/>
  <c r="H8" i="27"/>
  <c r="AB7" i="2"/>
  <c r="D339" i="43"/>
  <c r="D340" i="43" s="1"/>
  <c r="D341" i="43" s="1"/>
  <c r="L14" i="73"/>
  <c r="D144" i="43"/>
  <c r="D146" i="43" s="1"/>
  <c r="D169" i="43"/>
  <c r="D170" i="43" s="1"/>
  <c r="D172" i="43" s="1"/>
  <c r="D307" i="43"/>
  <c r="D308" i="43" s="1"/>
  <c r="I109" i="66"/>
  <c r="Y109" i="66" s="1"/>
  <c r="N113" i="66"/>
  <c r="R113" i="66" s="1"/>
  <c r="T113" i="66" s="1"/>
  <c r="AT113" i="66" s="1"/>
  <c r="N107" i="66"/>
  <c r="R107" i="66" s="1"/>
  <c r="T107" i="66" s="1"/>
  <c r="AT107" i="66" s="1"/>
  <c r="I197" i="64"/>
  <c r="E200" i="64" s="1"/>
  <c r="E245" i="64"/>
  <c r="E243" i="64"/>
  <c r="E242" i="64"/>
  <c r="E241" i="64"/>
  <c r="E240" i="64"/>
  <c r="E239" i="64"/>
  <c r="E238" i="64"/>
  <c r="C235" i="64"/>
  <c r="E235" i="64" s="1"/>
  <c r="Y108" i="66"/>
  <c r="L108" i="66"/>
  <c r="N108" i="66" s="1"/>
  <c r="R108" i="66" s="1"/>
  <c r="T108" i="66" s="1"/>
  <c r="AT108" i="66" s="1"/>
  <c r="F53" i="3"/>
  <c r="N150" i="66"/>
  <c r="R150" i="66" s="1"/>
  <c r="T150" i="66" s="1"/>
  <c r="AT150" i="66" s="1"/>
  <c r="I152" i="66"/>
  <c r="Y151" i="66"/>
  <c r="L151" i="66"/>
  <c r="M151" i="66"/>
  <c r="N151" i="66"/>
  <c r="R151" i="66" s="1"/>
  <c r="T151" i="66" s="1"/>
  <c r="AT151" i="66" s="1"/>
  <c r="I116" i="66"/>
  <c r="Y115" i="66"/>
  <c r="L115" i="66"/>
  <c r="M115" i="66"/>
  <c r="N114" i="66"/>
  <c r="R114" i="66" s="1"/>
  <c r="T114" i="66" s="1"/>
  <c r="AT114" i="66" s="1"/>
  <c r="N136" i="66"/>
  <c r="R136" i="66" s="1"/>
  <c r="T136" i="66" s="1"/>
  <c r="AT136" i="66" s="1"/>
  <c r="I138" i="66"/>
  <c r="N138" i="66" s="1"/>
  <c r="Y137" i="66"/>
  <c r="L137" i="66"/>
  <c r="M137" i="66"/>
  <c r="J6" i="61"/>
  <c r="E248" i="64" l="1"/>
  <c r="W206" i="43"/>
  <c r="Y204" i="43" s="1"/>
  <c r="Z204" i="43"/>
  <c r="W224" i="43"/>
  <c r="Y222" i="43" s="1"/>
  <c r="Z222" i="43"/>
  <c r="W260" i="43"/>
  <c r="Y258" i="43" s="1"/>
  <c r="Z258" i="43"/>
  <c r="W242" i="43"/>
  <c r="Y240" i="43" s="1"/>
  <c r="Z240" i="43"/>
  <c r="W188" i="43"/>
  <c r="Y186" i="43" s="1"/>
  <c r="Z186" i="43"/>
  <c r="I17" i="3"/>
  <c r="B1221" i="70"/>
  <c r="P20" i="3"/>
  <c r="Q20" i="3" s="1"/>
  <c r="S20" i="3" s="1"/>
  <c r="Q19" i="3"/>
  <c r="S19" i="3" s="1"/>
  <c r="N1182" i="70"/>
  <c r="L12" i="3" s="1"/>
  <c r="N1183" i="70"/>
  <c r="L13" i="3" s="1"/>
  <c r="L11" i="3"/>
  <c r="J1187" i="70"/>
  <c r="J146" i="72" s="1"/>
  <c r="F15" i="3"/>
  <c r="I15" i="81"/>
  <c r="E13" i="81" s="1"/>
  <c r="E14" i="81" s="1"/>
  <c r="C1180" i="70"/>
  <c r="E9" i="3" s="1"/>
  <c r="M14" i="3" s="1"/>
  <c r="N14" i="3" s="1"/>
  <c r="K6" i="83"/>
  <c r="C214" i="81" s="1"/>
  <c r="D1218" i="70"/>
  <c r="Z8" i="98" s="1"/>
  <c r="F8" i="98" s="1"/>
  <c r="N9" i="4"/>
  <c r="AT9" i="4" s="1"/>
  <c r="AU67" i="4" s="1"/>
  <c r="AR35" i="2"/>
  <c r="H34" i="27"/>
  <c r="H35" i="27"/>
  <c r="H36" i="27"/>
  <c r="H37" i="27"/>
  <c r="H38" i="27"/>
  <c r="B148" i="71"/>
  <c r="B150" i="71"/>
  <c r="B149" i="71"/>
  <c r="B151" i="71"/>
  <c r="B152" i="71"/>
  <c r="B154" i="71"/>
  <c r="B153" i="71"/>
  <c r="B155" i="71"/>
  <c r="B156" i="71"/>
  <c r="H238" i="27"/>
  <c r="H239" i="27"/>
  <c r="H240" i="27"/>
  <c r="H241" i="27"/>
  <c r="H242" i="27"/>
  <c r="H223" i="27"/>
  <c r="H224" i="27"/>
  <c r="H225" i="27"/>
  <c r="H226" i="27"/>
  <c r="H227" i="27"/>
  <c r="H208" i="27"/>
  <c r="H209" i="27"/>
  <c r="H210" i="27"/>
  <c r="H211" i="27"/>
  <c r="H212" i="27"/>
  <c r="H193" i="27"/>
  <c r="H194" i="27"/>
  <c r="H195" i="27"/>
  <c r="H196" i="27"/>
  <c r="H178" i="27"/>
  <c r="H179" i="27"/>
  <c r="H180" i="27"/>
  <c r="H181" i="27"/>
  <c r="H182" i="27"/>
  <c r="H163" i="27"/>
  <c r="H164" i="27"/>
  <c r="H165" i="27"/>
  <c r="H166" i="27"/>
  <c r="H167" i="27"/>
  <c r="H148" i="27"/>
  <c r="H149" i="27"/>
  <c r="H150" i="27"/>
  <c r="H151" i="27"/>
  <c r="H152" i="27"/>
  <c r="H133" i="27"/>
  <c r="H134" i="27"/>
  <c r="H135" i="27"/>
  <c r="H136" i="27"/>
  <c r="H137" i="27"/>
  <c r="H118" i="27"/>
  <c r="H119" i="27"/>
  <c r="H120" i="27"/>
  <c r="H121" i="27"/>
  <c r="H122" i="27"/>
  <c r="H103" i="27"/>
  <c r="H104" i="27"/>
  <c r="H105" i="27"/>
  <c r="H106" i="27"/>
  <c r="H107" i="27"/>
  <c r="H88" i="27"/>
  <c r="H92" i="27"/>
  <c r="H91" i="27"/>
  <c r="H90" i="27"/>
  <c r="H89" i="27"/>
  <c r="H93" i="27"/>
  <c r="H95" i="27"/>
  <c r="H96" i="27"/>
  <c r="H97" i="27"/>
  <c r="H94" i="27"/>
  <c r="B92" i="61"/>
  <c r="H92" i="61" s="1"/>
  <c r="B93" i="61"/>
  <c r="H93" i="61" s="1"/>
  <c r="B94" i="61"/>
  <c r="H94" i="61" s="1"/>
  <c r="B95" i="61"/>
  <c r="H95" i="61" s="1"/>
  <c r="B96" i="61"/>
  <c r="H96" i="61" s="1"/>
  <c r="B86" i="61"/>
  <c r="H86" i="61" s="1"/>
  <c r="B87" i="61"/>
  <c r="H87" i="61" s="1"/>
  <c r="B88" i="61"/>
  <c r="H88" i="61" s="1"/>
  <c r="B89" i="61"/>
  <c r="H89" i="61" s="1"/>
  <c r="B90" i="61"/>
  <c r="H90" i="61" s="1"/>
  <c r="B80" i="61"/>
  <c r="H80" i="61" s="1"/>
  <c r="B81" i="61"/>
  <c r="H81" i="61" s="1"/>
  <c r="B82" i="61"/>
  <c r="H82" i="61" s="1"/>
  <c r="B83" i="61"/>
  <c r="H83" i="61" s="1"/>
  <c r="B84" i="61"/>
  <c r="H84" i="61" s="1"/>
  <c r="B74" i="61"/>
  <c r="H74" i="61" s="1"/>
  <c r="B75" i="61"/>
  <c r="H75" i="61" s="1"/>
  <c r="B76" i="61"/>
  <c r="H76" i="61" s="1"/>
  <c r="B77" i="61"/>
  <c r="H77" i="61" s="1"/>
  <c r="B78" i="61"/>
  <c r="H78" i="61" s="1"/>
  <c r="B99" i="61"/>
  <c r="H99" i="61" s="1"/>
  <c r="B113" i="61"/>
  <c r="H113" i="61" s="1"/>
  <c r="B111" i="61"/>
  <c r="H111" i="61" s="1"/>
  <c r="B101" i="61"/>
  <c r="H101" i="61" s="1"/>
  <c r="B14" i="61"/>
  <c r="H14" i="61" s="1"/>
  <c r="B104" i="61"/>
  <c r="H104" i="61" s="1"/>
  <c r="B107" i="61"/>
  <c r="H107" i="61" s="1"/>
  <c r="B106" i="61"/>
  <c r="H106" i="61" s="1"/>
  <c r="B110" i="61"/>
  <c r="H110" i="61" s="1"/>
  <c r="B98" i="61"/>
  <c r="H98" i="61" s="1"/>
  <c r="B100" i="61"/>
  <c r="H100" i="61" s="1"/>
  <c r="B112" i="61"/>
  <c r="H112" i="61" s="1"/>
  <c r="B114" i="61"/>
  <c r="H114" i="61" s="1"/>
  <c r="B102" i="61"/>
  <c r="H102" i="61" s="1"/>
  <c r="B8" i="61"/>
  <c r="B105" i="61"/>
  <c r="H105" i="61" s="1"/>
  <c r="B108" i="61"/>
  <c r="H108" i="61" s="1"/>
  <c r="B20" i="61"/>
  <c r="H20" i="61" s="1"/>
  <c r="B9" i="61"/>
  <c r="H9" i="61" s="1"/>
  <c r="K9" i="61" s="1"/>
  <c r="L9" i="61" s="1"/>
  <c r="AT9" i="61" s="1"/>
  <c r="B15" i="61"/>
  <c r="H15" i="61" s="1"/>
  <c r="B26" i="61"/>
  <c r="H26" i="61" s="1"/>
  <c r="B10" i="61"/>
  <c r="B16" i="61"/>
  <c r="H16" i="61" s="1"/>
  <c r="B32" i="61"/>
  <c r="H32" i="61" s="1"/>
  <c r="B21" i="61"/>
  <c r="H21" i="61" s="1"/>
  <c r="B11" i="61"/>
  <c r="H11" i="61" s="1"/>
  <c r="K11" i="61" s="1"/>
  <c r="L11" i="61" s="1"/>
  <c r="AT11" i="61" s="1"/>
  <c r="B17" i="61"/>
  <c r="H17" i="61" s="1"/>
  <c r="B27" i="61"/>
  <c r="H27" i="61" s="1"/>
  <c r="B38" i="61"/>
  <c r="H38" i="61" s="1"/>
  <c r="B22" i="61"/>
  <c r="H22" i="61" s="1"/>
  <c r="B12" i="61"/>
  <c r="H12" i="61" s="1"/>
  <c r="K12" i="61" s="1"/>
  <c r="L12" i="61" s="1"/>
  <c r="AT12" i="61" s="1"/>
  <c r="B23" i="61"/>
  <c r="H23" i="61" s="1"/>
  <c r="B33" i="61"/>
  <c r="H33" i="61" s="1"/>
  <c r="B28" i="61"/>
  <c r="H28" i="61" s="1"/>
  <c r="B18" i="61"/>
  <c r="H18" i="61" s="1"/>
  <c r="B44" i="61"/>
  <c r="H44" i="61" s="1"/>
  <c r="B24" i="61"/>
  <c r="H24" i="61" s="1"/>
  <c r="B50" i="61"/>
  <c r="H50" i="61" s="1"/>
  <c r="B34" i="61"/>
  <c r="H34" i="61" s="1"/>
  <c r="B39" i="61"/>
  <c r="H39" i="61" s="1"/>
  <c r="B29" i="61"/>
  <c r="H29" i="61" s="1"/>
  <c r="B35" i="61"/>
  <c r="H35" i="61" s="1"/>
  <c r="B40" i="61"/>
  <c r="H40" i="61" s="1"/>
  <c r="B56" i="61"/>
  <c r="H56" i="61" s="1"/>
  <c r="B45" i="61"/>
  <c r="H45" i="61" s="1"/>
  <c r="B30" i="61"/>
  <c r="H30" i="61" s="1"/>
  <c r="B51" i="61"/>
  <c r="H51" i="61" s="1"/>
  <c r="B41" i="61"/>
  <c r="H41" i="61" s="1"/>
  <c r="B62" i="61"/>
  <c r="H62" i="61" s="1"/>
  <c r="B46" i="61"/>
  <c r="H46" i="61" s="1"/>
  <c r="B36" i="61"/>
  <c r="H36" i="61" s="1"/>
  <c r="B42" i="61"/>
  <c r="H42" i="61" s="1"/>
  <c r="B68" i="61"/>
  <c r="H68" i="61" s="1"/>
  <c r="B57" i="61"/>
  <c r="H57" i="61" s="1"/>
  <c r="B52" i="61"/>
  <c r="H52" i="61" s="1"/>
  <c r="B47" i="61"/>
  <c r="H47" i="61" s="1"/>
  <c r="B58" i="61"/>
  <c r="H58" i="61" s="1"/>
  <c r="B48" i="61"/>
  <c r="H48" i="61" s="1"/>
  <c r="B53" i="61"/>
  <c r="H53" i="61" s="1"/>
  <c r="B63" i="61"/>
  <c r="H63" i="61" s="1"/>
  <c r="B69" i="61"/>
  <c r="H69" i="61" s="1"/>
  <c r="B54" i="61"/>
  <c r="H54" i="61" s="1"/>
  <c r="B59" i="61"/>
  <c r="H59" i="61" s="1"/>
  <c r="B64" i="61"/>
  <c r="H64" i="61" s="1"/>
  <c r="B70" i="61"/>
  <c r="H70" i="61" s="1"/>
  <c r="B60" i="61"/>
  <c r="H60" i="61" s="1"/>
  <c r="B65" i="61"/>
  <c r="H65" i="61" s="1"/>
  <c r="B71" i="61"/>
  <c r="H71" i="61" s="1"/>
  <c r="B66" i="61"/>
  <c r="H66" i="61" s="1"/>
  <c r="B72" i="61"/>
  <c r="H72" i="61" s="1"/>
  <c r="B40" i="60"/>
  <c r="B53" i="60"/>
  <c r="B42" i="60"/>
  <c r="B31" i="60"/>
  <c r="B76" i="60"/>
  <c r="B115" i="60"/>
  <c r="B91" i="60"/>
  <c r="B102" i="60"/>
  <c r="B103" i="60"/>
  <c r="B143" i="60"/>
  <c r="B126" i="60"/>
  <c r="B152" i="60"/>
  <c r="B233" i="60"/>
  <c r="I233" i="60" s="1"/>
  <c r="L233" i="60" s="1"/>
  <c r="M233" i="60" s="1"/>
  <c r="AT233" i="60" s="1"/>
  <c r="B229" i="60"/>
  <c r="B164" i="60"/>
  <c r="B202" i="60"/>
  <c r="B226" i="60"/>
  <c r="B170" i="60"/>
  <c r="B201" i="60"/>
  <c r="B199" i="60"/>
  <c r="B71" i="60"/>
  <c r="B145" i="60"/>
  <c r="B221" i="60"/>
  <c r="B32" i="60"/>
  <c r="B45" i="60"/>
  <c r="B85" i="60"/>
  <c r="B63" i="60"/>
  <c r="B64" i="60"/>
  <c r="B73" i="60"/>
  <c r="B81" i="60"/>
  <c r="B111" i="60"/>
  <c r="B122" i="60"/>
  <c r="B160" i="60"/>
  <c r="B133" i="60"/>
  <c r="B153" i="60"/>
  <c r="B191" i="60"/>
  <c r="B154" i="60"/>
  <c r="B151" i="60"/>
  <c r="B196" i="60"/>
  <c r="B223" i="60"/>
  <c r="B162" i="60"/>
  <c r="B197" i="60"/>
  <c r="B225" i="60"/>
  <c r="B167" i="60"/>
  <c r="B166" i="60"/>
  <c r="B61" i="60"/>
  <c r="B79" i="60"/>
  <c r="B109" i="60"/>
  <c r="B123" i="60"/>
  <c r="B190" i="60"/>
  <c r="B185" i="60"/>
  <c r="B200" i="60"/>
  <c r="B38" i="60"/>
  <c r="B27" i="60"/>
  <c r="B51" i="60"/>
  <c r="B49" i="60"/>
  <c r="B77" i="60"/>
  <c r="B78" i="60"/>
  <c r="B74" i="60"/>
  <c r="B94" i="60"/>
  <c r="B88" i="60"/>
  <c r="B104" i="60"/>
  <c r="B130" i="60"/>
  <c r="B107" i="60"/>
  <c r="B108" i="60"/>
  <c r="B120" i="60"/>
  <c r="B137" i="60"/>
  <c r="B188" i="60"/>
  <c r="B193" i="60"/>
  <c r="B227" i="60"/>
  <c r="B172" i="60"/>
  <c r="B194" i="60"/>
  <c r="B231" i="60"/>
  <c r="B207" i="60"/>
  <c r="B43" i="60"/>
  <c r="B175" i="60"/>
  <c r="B25" i="60"/>
  <c r="B55" i="60"/>
  <c r="B56" i="60"/>
  <c r="B50" i="60"/>
  <c r="B59" i="60"/>
  <c r="B62" i="60"/>
  <c r="B86" i="60"/>
  <c r="B72" i="60"/>
  <c r="B92" i="60"/>
  <c r="B93" i="60"/>
  <c r="B89" i="60"/>
  <c r="B105" i="60"/>
  <c r="B117" i="60"/>
  <c r="B121" i="60"/>
  <c r="B158" i="60"/>
  <c r="B139" i="60"/>
  <c r="B206" i="60"/>
  <c r="B149" i="60"/>
  <c r="B232" i="60"/>
  <c r="B165" i="60"/>
  <c r="B198" i="60"/>
  <c r="B208" i="60"/>
  <c r="B168" i="60"/>
  <c r="B180" i="60"/>
  <c r="B230" i="60"/>
  <c r="B183" i="60"/>
  <c r="B116" i="60"/>
  <c r="B26" i="60"/>
  <c r="B36" i="60"/>
  <c r="B52" i="60"/>
  <c r="B70" i="60"/>
  <c r="B67" i="60"/>
  <c r="B83" i="60"/>
  <c r="B98" i="60"/>
  <c r="B100" i="60"/>
  <c r="B113" i="60"/>
  <c r="B97" i="60"/>
  <c r="B106" i="60"/>
  <c r="B118" i="60"/>
  <c r="B131" i="60"/>
  <c r="B134" i="60"/>
  <c r="B141" i="60"/>
  <c r="B136" i="60"/>
  <c r="B146" i="60"/>
  <c r="B220" i="60"/>
  <c r="I220" i="60" s="1"/>
  <c r="L220" i="60" s="1"/>
  <c r="M220" i="60" s="1"/>
  <c r="AT220" i="60" s="1"/>
  <c r="B147" i="60"/>
  <c r="B218" i="60"/>
  <c r="B203" i="60"/>
  <c r="B186" i="60"/>
  <c r="B214" i="60"/>
  <c r="B213" i="60"/>
  <c r="B181" i="60"/>
  <c r="B210" i="60"/>
  <c r="B110" i="60"/>
  <c r="B119" i="60"/>
  <c r="B150" i="60"/>
  <c r="B155" i="60"/>
  <c r="B215" i="60"/>
  <c r="B222" i="60"/>
  <c r="B35" i="60"/>
  <c r="B37" i="60"/>
  <c r="B47" i="60"/>
  <c r="B33" i="60"/>
  <c r="B60" i="60"/>
  <c r="B46" i="60"/>
  <c r="B58" i="60"/>
  <c r="B75" i="60"/>
  <c r="B96" i="60"/>
  <c r="B112" i="60"/>
  <c r="B128" i="60"/>
  <c r="B127" i="60"/>
  <c r="B132" i="60"/>
  <c r="B138" i="60"/>
  <c r="B176" i="60"/>
  <c r="B156" i="60"/>
  <c r="B192" i="60"/>
  <c r="B182" i="60"/>
  <c r="B209" i="60"/>
  <c r="B184" i="60"/>
  <c r="B195" i="60"/>
  <c r="B216" i="60"/>
  <c r="B178" i="60"/>
  <c r="B217" i="60"/>
  <c r="B28" i="60"/>
  <c r="B44" i="60"/>
  <c r="B65" i="60"/>
  <c r="B140" i="60"/>
  <c r="B173" i="60"/>
  <c r="B161" i="60"/>
  <c r="B187" i="60"/>
  <c r="B228" i="60"/>
  <c r="B224" i="60"/>
  <c r="B41" i="60"/>
  <c r="B29" i="60"/>
  <c r="B68" i="60"/>
  <c r="B30" i="60"/>
  <c r="B48" i="60"/>
  <c r="B66" i="60"/>
  <c r="B57" i="60"/>
  <c r="B80" i="60"/>
  <c r="B82" i="60"/>
  <c r="B87" i="60"/>
  <c r="B95" i="60"/>
  <c r="B125" i="60"/>
  <c r="B124" i="60"/>
  <c r="B135" i="60"/>
  <c r="B142" i="60"/>
  <c r="B205" i="60"/>
  <c r="B157" i="60"/>
  <c r="B148" i="60"/>
  <c r="B212" i="60"/>
  <c r="B171" i="60"/>
  <c r="B179" i="60"/>
  <c r="B211" i="60"/>
  <c r="B169" i="60"/>
  <c r="B177" i="60"/>
  <c r="B163" i="60"/>
  <c r="B34" i="60"/>
  <c r="B101" i="60"/>
  <c r="B90" i="60"/>
  <c r="AC36" i="2"/>
  <c r="AC34" i="2"/>
  <c r="H25" i="27"/>
  <c r="M25" i="27" s="1"/>
  <c r="S25" i="27" s="1"/>
  <c r="C1658" i="95"/>
  <c r="C893" i="95"/>
  <c r="T168" i="66"/>
  <c r="AT168" i="66" s="1"/>
  <c r="Q14" i="91"/>
  <c r="Q48" i="82"/>
  <c r="R48" i="82" s="1"/>
  <c r="Q55" i="82"/>
  <c r="R55" i="82" s="1"/>
  <c r="T167" i="66"/>
  <c r="AT167" i="66" s="1"/>
  <c r="T164" i="66"/>
  <c r="AT164" i="66" s="1"/>
  <c r="Q41" i="82"/>
  <c r="R41" i="82" s="1"/>
  <c r="T165" i="66"/>
  <c r="AT165" i="66" s="1"/>
  <c r="Q42" i="82"/>
  <c r="R42" i="82" s="1"/>
  <c r="T166" i="66"/>
  <c r="AT166" i="66" s="1"/>
  <c r="Q43" i="82"/>
  <c r="R43" i="82" s="1"/>
  <c r="Q44" i="82"/>
  <c r="R44" i="82" s="1"/>
  <c r="Q45" i="82"/>
  <c r="R45" i="82" s="1"/>
  <c r="Q46" i="82"/>
  <c r="R46" i="82" s="1"/>
  <c r="Q47" i="82"/>
  <c r="R47" i="82" s="1"/>
  <c r="Q49" i="82"/>
  <c r="R49" i="82" s="1"/>
  <c r="Q50" i="82"/>
  <c r="R50" i="82" s="1"/>
  <c r="K51" i="82"/>
  <c r="F39" i="36"/>
  <c r="I39" i="36"/>
  <c r="P51" i="82"/>
  <c r="L51" i="82"/>
  <c r="G39" i="36"/>
  <c r="O51" i="82"/>
  <c r="H39" i="36"/>
  <c r="Q52" i="82"/>
  <c r="R52" i="82" s="1"/>
  <c r="Q53" i="82"/>
  <c r="R53" i="82" s="1"/>
  <c r="Q54" i="82"/>
  <c r="R54" i="82" s="1"/>
  <c r="H30" i="27"/>
  <c r="M30" i="27" s="1"/>
  <c r="S30" i="27" s="1"/>
  <c r="H27" i="27"/>
  <c r="M27" i="27" s="1"/>
  <c r="S27" i="27" s="1"/>
  <c r="H26" i="27"/>
  <c r="M26" i="27" s="1"/>
  <c r="S26" i="27" s="1"/>
  <c r="H23" i="27"/>
  <c r="M23" i="27" s="1"/>
  <c r="S23" i="27" s="1"/>
  <c r="H9" i="27"/>
  <c r="M9" i="27" s="1"/>
  <c r="S9" i="27" s="1"/>
  <c r="H40" i="27"/>
  <c r="M40" i="27" s="1"/>
  <c r="S40" i="27" s="1"/>
  <c r="H32" i="27"/>
  <c r="M32" i="27" s="1"/>
  <c r="S32" i="27" s="1"/>
  <c r="H33" i="27"/>
  <c r="M33" i="27" s="1"/>
  <c r="S33" i="27" s="1"/>
  <c r="H31" i="27"/>
  <c r="M31" i="27" s="1"/>
  <c r="S31" i="27" s="1"/>
  <c r="H28" i="27"/>
  <c r="M28" i="27" s="1"/>
  <c r="S28" i="27" s="1"/>
  <c r="H39" i="27"/>
  <c r="M39" i="27" s="1"/>
  <c r="S39" i="27" s="1"/>
  <c r="H29" i="27"/>
  <c r="M29" i="27" s="1"/>
  <c r="S29" i="27" s="1"/>
  <c r="H41" i="27"/>
  <c r="M41" i="27" s="1"/>
  <c r="S41" i="27" s="1"/>
  <c r="H24" i="27"/>
  <c r="M24" i="27" s="1"/>
  <c r="S24" i="27" s="1"/>
  <c r="AC35" i="2"/>
  <c r="Q15" i="91"/>
  <c r="H22" i="27"/>
  <c r="M22" i="27" s="1"/>
  <c r="S22" i="27" s="1"/>
  <c r="AC53" i="2"/>
  <c r="Y53" i="2"/>
  <c r="S53" i="2" s="1"/>
  <c r="T53" i="2" s="1"/>
  <c r="R53" i="2"/>
  <c r="J118" i="72" s="1"/>
  <c r="B87" i="64"/>
  <c r="G87" i="64" s="1"/>
  <c r="H87" i="64" s="1"/>
  <c r="H112" i="27"/>
  <c r="H125" i="27"/>
  <c r="H186" i="27"/>
  <c r="H111" i="27"/>
  <c r="H126" i="27"/>
  <c r="H127" i="27"/>
  <c r="H187" i="27"/>
  <c r="H172" i="27"/>
  <c r="H109" i="27"/>
  <c r="H170" i="27"/>
  <c r="H169" i="27"/>
  <c r="H171" i="27"/>
  <c r="H157" i="27"/>
  <c r="H154" i="27"/>
  <c r="H140" i="27"/>
  <c r="H184" i="27"/>
  <c r="H155" i="27"/>
  <c r="H141" i="27"/>
  <c r="H142" i="27"/>
  <c r="H139" i="27"/>
  <c r="H156" i="27"/>
  <c r="H110" i="27"/>
  <c r="H124" i="27"/>
  <c r="H185" i="27"/>
  <c r="B253" i="60"/>
  <c r="H102" i="27"/>
  <c r="H162" i="27"/>
  <c r="M162" i="27" s="1"/>
  <c r="S162" i="27" s="1"/>
  <c r="H177" i="27"/>
  <c r="M177" i="27" s="1"/>
  <c r="S177" i="27" s="1"/>
  <c r="H161" i="27"/>
  <c r="H115" i="27"/>
  <c r="H132" i="27"/>
  <c r="M132" i="27" s="1"/>
  <c r="S132" i="27" s="1"/>
  <c r="H160" i="27"/>
  <c r="M160" i="27" s="1"/>
  <c r="S160" i="27" s="1"/>
  <c r="H176" i="27"/>
  <c r="H108" i="27"/>
  <c r="B243" i="60"/>
  <c r="H244" i="27"/>
  <c r="H188" i="27"/>
  <c r="H255" i="27"/>
  <c r="H72" i="27"/>
  <c r="H75" i="27"/>
  <c r="H189" i="27"/>
  <c r="F151" i="4"/>
  <c r="K151" i="4" s="1"/>
  <c r="L151" i="4" s="1"/>
  <c r="N151" i="4" s="1"/>
  <c r="AT151" i="4" s="1"/>
  <c r="B249" i="60"/>
  <c r="B256" i="60"/>
  <c r="B240" i="60"/>
  <c r="H52" i="27"/>
  <c r="H57" i="27"/>
  <c r="B94" i="64"/>
  <c r="G94" i="64" s="1"/>
  <c r="H94" i="64" s="1"/>
  <c r="I94" i="64" s="1"/>
  <c r="H257" i="27"/>
  <c r="H253" i="27"/>
  <c r="M253" i="27" s="1"/>
  <c r="H191" i="27"/>
  <c r="H123" i="27"/>
  <c r="H66" i="27"/>
  <c r="B246" i="60"/>
  <c r="H249" i="27"/>
  <c r="H65" i="27"/>
  <c r="H158" i="27"/>
  <c r="M158" i="27" s="1"/>
  <c r="S158" i="27" s="1"/>
  <c r="H113" i="27"/>
  <c r="H100" i="27"/>
  <c r="M100" i="27" s="1"/>
  <c r="S100" i="27" s="1"/>
  <c r="H190" i="27"/>
  <c r="H69" i="27"/>
  <c r="H64" i="27"/>
  <c r="H183" i="27"/>
  <c r="H56" i="27"/>
  <c r="H73" i="27"/>
  <c r="H55" i="27"/>
  <c r="H62" i="27"/>
  <c r="H250" i="27"/>
  <c r="H58" i="27"/>
  <c r="H53" i="27"/>
  <c r="B238" i="60"/>
  <c r="H117" i="27"/>
  <c r="M117" i="27" s="1"/>
  <c r="S117" i="27" s="1"/>
  <c r="H114" i="27"/>
  <c r="M114" i="27" s="1"/>
  <c r="S114" i="27" s="1"/>
  <c r="H129" i="27"/>
  <c r="M129" i="27" s="1"/>
  <c r="S129" i="27" s="1"/>
  <c r="H243" i="27"/>
  <c r="H252" i="27"/>
  <c r="B255" i="60"/>
  <c r="H138" i="27"/>
  <c r="B239" i="60"/>
  <c r="H256" i="27"/>
  <c r="B237" i="60"/>
  <c r="B257" i="60"/>
  <c r="H173" i="27"/>
  <c r="H175" i="27"/>
  <c r="M175" i="27" s="1"/>
  <c r="S175" i="27" s="1"/>
  <c r="H146" i="27"/>
  <c r="M146" i="27" s="1"/>
  <c r="S146" i="27" s="1"/>
  <c r="H99" i="27"/>
  <c r="M99" i="27" s="1"/>
  <c r="S99" i="27" s="1"/>
  <c r="H159" i="27"/>
  <c r="H147" i="27"/>
  <c r="M147" i="27" s="1"/>
  <c r="S147" i="27" s="1"/>
  <c r="H145" i="27"/>
  <c r="M145" i="27" s="1"/>
  <c r="S145" i="27" s="1"/>
  <c r="B251" i="60"/>
  <c r="H248" i="27"/>
  <c r="F143" i="4"/>
  <c r="K143" i="4" s="1"/>
  <c r="H70" i="27"/>
  <c r="B244" i="60"/>
  <c r="B236" i="60"/>
  <c r="H71" i="27"/>
  <c r="H254" i="27"/>
  <c r="H245" i="27"/>
  <c r="B248" i="60"/>
  <c r="B235" i="60"/>
  <c r="B241" i="60"/>
  <c r="H68" i="27"/>
  <c r="H60" i="27"/>
  <c r="H116" i="27"/>
  <c r="M116" i="27" s="1"/>
  <c r="S116" i="27" s="1"/>
  <c r="H98" i="27"/>
  <c r="M98" i="27" s="1"/>
  <c r="S98" i="27" s="1"/>
  <c r="H174" i="27"/>
  <c r="M174" i="27" s="1"/>
  <c r="S174" i="27" s="1"/>
  <c r="H143" i="27"/>
  <c r="M143" i="27" s="1"/>
  <c r="S143" i="27" s="1"/>
  <c r="H74" i="27"/>
  <c r="B254" i="60"/>
  <c r="H67" i="27"/>
  <c r="H61" i="27"/>
  <c r="H246" i="27"/>
  <c r="B247" i="60"/>
  <c r="H153" i="27"/>
  <c r="H247" i="27"/>
  <c r="B245" i="60"/>
  <c r="H251" i="27"/>
  <c r="F145" i="4"/>
  <c r="K145" i="4" s="1"/>
  <c r="L145" i="4" s="1"/>
  <c r="N145" i="4" s="1"/>
  <c r="AT145" i="4" s="1"/>
  <c r="H128" i="27"/>
  <c r="M128" i="27" s="1"/>
  <c r="S128" i="27" s="1"/>
  <c r="H130" i="27"/>
  <c r="M130" i="27" s="1"/>
  <c r="S130" i="27" s="1"/>
  <c r="H144" i="27"/>
  <c r="H131" i="27"/>
  <c r="M131" i="27" s="1"/>
  <c r="S131" i="27" s="1"/>
  <c r="H101" i="27"/>
  <c r="M101" i="27" s="1"/>
  <c r="S101" i="27" s="1"/>
  <c r="H51" i="27"/>
  <c r="H59" i="27"/>
  <c r="F171" i="4"/>
  <c r="F147" i="4"/>
  <c r="K147" i="4" s="1"/>
  <c r="L147" i="4" s="1"/>
  <c r="N147" i="4" s="1"/>
  <c r="AT147" i="4" s="1"/>
  <c r="B252" i="60"/>
  <c r="H192" i="27"/>
  <c r="H54" i="27"/>
  <c r="F149" i="4"/>
  <c r="K149" i="4" s="1"/>
  <c r="L149" i="4" s="1"/>
  <c r="N149" i="4" s="1"/>
  <c r="AT149" i="4" s="1"/>
  <c r="H63" i="27"/>
  <c r="N42" i="27"/>
  <c r="W42" i="27" s="1"/>
  <c r="Z42" i="27" s="1"/>
  <c r="I155" i="4"/>
  <c r="K155" i="4" s="1"/>
  <c r="L155" i="4" s="1"/>
  <c r="N155" i="4" s="1"/>
  <c r="AT155" i="4" s="1"/>
  <c r="I157" i="4"/>
  <c r="K157" i="4" s="1"/>
  <c r="L157" i="4" s="1"/>
  <c r="N157" i="4" s="1"/>
  <c r="AT157" i="4" s="1"/>
  <c r="I156" i="4"/>
  <c r="K156" i="4" s="1"/>
  <c r="L156" i="4" s="1"/>
  <c r="N156" i="4" s="1"/>
  <c r="AT156" i="4" s="1"/>
  <c r="H168" i="27"/>
  <c r="M168" i="27" s="1"/>
  <c r="S168" i="27" s="1"/>
  <c r="H47" i="27"/>
  <c r="H48" i="27"/>
  <c r="H50" i="27"/>
  <c r="H49" i="27"/>
  <c r="N100" i="66"/>
  <c r="R100" i="66" s="1"/>
  <c r="T100" i="66" s="1"/>
  <c r="AT100" i="66" s="1"/>
  <c r="I102" i="66"/>
  <c r="M101" i="66"/>
  <c r="N101" i="66" s="1"/>
  <c r="R101" i="66" s="1"/>
  <c r="T101" i="66" s="1"/>
  <c r="AT101" i="66" s="1"/>
  <c r="Y101" i="66"/>
  <c r="I153" i="4"/>
  <c r="K153" i="4" s="1"/>
  <c r="M153" i="4" s="1"/>
  <c r="I154" i="4"/>
  <c r="K154" i="4" s="1"/>
  <c r="L154" i="4" s="1"/>
  <c r="N154" i="4" s="1"/>
  <c r="AT154" i="4" s="1"/>
  <c r="X185" i="43"/>
  <c r="N43" i="27"/>
  <c r="B11" i="60"/>
  <c r="I11" i="60" s="1"/>
  <c r="L11" i="60" s="1"/>
  <c r="M11" i="60" s="1"/>
  <c r="AT11" i="60" s="1"/>
  <c r="B20" i="60"/>
  <c r="I20" i="60" s="1"/>
  <c r="L20" i="60" s="1"/>
  <c r="M20" i="60" s="1"/>
  <c r="AT20" i="60" s="1"/>
  <c r="B14" i="71"/>
  <c r="J14" i="71" s="1"/>
  <c r="M14" i="71" s="1"/>
  <c r="B15" i="60"/>
  <c r="I15" i="60" s="1"/>
  <c r="L15" i="60" s="1"/>
  <c r="M15" i="60" s="1"/>
  <c r="AT15" i="60" s="1"/>
  <c r="B13" i="71"/>
  <c r="J13" i="71" s="1"/>
  <c r="B17" i="60"/>
  <c r="I17" i="60" s="1"/>
  <c r="L17" i="60" s="1"/>
  <c r="M17" i="60" s="1"/>
  <c r="AT17" i="60" s="1"/>
  <c r="B18" i="60"/>
  <c r="I18" i="60" s="1"/>
  <c r="L18" i="60" s="1"/>
  <c r="M18" i="60" s="1"/>
  <c r="AT18" i="60" s="1"/>
  <c r="B15" i="71"/>
  <c r="N96" i="66" s="1"/>
  <c r="R96" i="66" s="1"/>
  <c r="T96" i="66" s="1"/>
  <c r="AT96" i="66" s="1"/>
  <c r="H46" i="27"/>
  <c r="B16" i="60"/>
  <c r="I16" i="60" s="1"/>
  <c r="L16" i="60" s="1"/>
  <c r="M16" i="60" s="1"/>
  <c r="AT16" i="60" s="1"/>
  <c r="B19" i="60"/>
  <c r="I19" i="60" s="1"/>
  <c r="L19" i="60" s="1"/>
  <c r="M19" i="60" s="1"/>
  <c r="AT19" i="60" s="1"/>
  <c r="B14" i="60"/>
  <c r="I14" i="60" s="1"/>
  <c r="L14" i="60" s="1"/>
  <c r="M14" i="60" s="1"/>
  <c r="AT14" i="60" s="1"/>
  <c r="B12" i="71"/>
  <c r="B11" i="71"/>
  <c r="B10" i="71"/>
  <c r="B23" i="60"/>
  <c r="B10" i="60"/>
  <c r="I10" i="60" s="1"/>
  <c r="B13" i="60"/>
  <c r="I13" i="60" s="1"/>
  <c r="L13" i="60" s="1"/>
  <c r="M13" i="60" s="1"/>
  <c r="AT13" i="60" s="1"/>
  <c r="B22" i="60"/>
  <c r="B9" i="71"/>
  <c r="J9" i="71" s="1"/>
  <c r="M9" i="71" s="1"/>
  <c r="B16" i="71"/>
  <c r="B8" i="71"/>
  <c r="J8" i="71" s="1"/>
  <c r="M8" i="71" s="1"/>
  <c r="B21" i="60"/>
  <c r="I21" i="60" s="1"/>
  <c r="L21" i="60" s="1"/>
  <c r="M21" i="60" s="1"/>
  <c r="AT21" i="60" s="1"/>
  <c r="B12" i="60"/>
  <c r="I12" i="60" s="1"/>
  <c r="L12" i="60" s="1"/>
  <c r="M12" i="60" s="1"/>
  <c r="AT12" i="60" s="1"/>
  <c r="H10" i="61"/>
  <c r="K10" i="61" s="1"/>
  <c r="L10" i="61" s="1"/>
  <c r="AT10" i="61" s="1"/>
  <c r="H8" i="61"/>
  <c r="K8" i="61" s="1"/>
  <c r="U7" i="2"/>
  <c r="E4" i="3"/>
  <c r="K4" i="66"/>
  <c r="I4" i="66" s="1"/>
  <c r="B1280" i="70"/>
  <c r="B1277" i="70"/>
  <c r="B1260" i="70"/>
  <c r="D40" i="98" s="1"/>
  <c r="B1274" i="70"/>
  <c r="B1254" i="70"/>
  <c r="D34" i="98" s="1"/>
  <c r="B1253" i="70"/>
  <c r="D33" i="98" s="1"/>
  <c r="I15" i="3"/>
  <c r="B1282" i="70"/>
  <c r="B1220" i="70"/>
  <c r="B1261" i="70"/>
  <c r="D41" i="98" s="1"/>
  <c r="B1273" i="70"/>
  <c r="B1256" i="70"/>
  <c r="D36" i="98" s="1"/>
  <c r="J1185" i="70"/>
  <c r="B1279" i="70"/>
  <c r="B1258" i="70"/>
  <c r="D38" i="98" s="1"/>
  <c r="B1272" i="70"/>
  <c r="B1264" i="70"/>
  <c r="D44" i="98" s="1"/>
  <c r="C1250" i="70"/>
  <c r="E267" i="60" s="1"/>
  <c r="D268" i="60" s="1"/>
  <c r="D269" i="60" s="1"/>
  <c r="B1276" i="70"/>
  <c r="B1259" i="70"/>
  <c r="D39" i="98" s="1"/>
  <c r="B1271" i="70"/>
  <c r="B1275" i="70"/>
  <c r="B1281" i="70"/>
  <c r="B1262" i="70"/>
  <c r="D42" i="98" s="1"/>
  <c r="B1255" i="70"/>
  <c r="D35" i="98" s="1"/>
  <c r="B1278" i="70"/>
  <c r="B1263" i="70"/>
  <c r="D43" i="98" s="1"/>
  <c r="B1257" i="70"/>
  <c r="D37" i="98" s="1"/>
  <c r="M8" i="27"/>
  <c r="S8" i="27" s="1"/>
  <c r="J10" i="53" s="1"/>
  <c r="H10" i="53" s="1"/>
  <c r="C156" i="64"/>
  <c r="E4" i="64"/>
  <c r="C254" i="64" s="1"/>
  <c r="C255" i="64" s="1"/>
  <c r="C256" i="64" s="1"/>
  <c r="G8" i="42"/>
  <c r="K8" i="42" s="1"/>
  <c r="M8" i="42" s="1"/>
  <c r="N8" i="42" s="1"/>
  <c r="O8" i="42" s="1"/>
  <c r="O10" i="42" s="1"/>
  <c r="G20" i="42"/>
  <c r="E249" i="64"/>
  <c r="I110" i="66"/>
  <c r="M14" i="73"/>
  <c r="D343" i="43"/>
  <c r="D309" i="43"/>
  <c r="D311" i="43" s="1"/>
  <c r="M109" i="66"/>
  <c r="L109" i="66"/>
  <c r="E209" i="64"/>
  <c r="E207" i="64"/>
  <c r="E206" i="64"/>
  <c r="E205" i="64"/>
  <c r="E204" i="64"/>
  <c r="E203" i="64"/>
  <c r="E202" i="64"/>
  <c r="C199" i="64"/>
  <c r="E199" i="64" s="1"/>
  <c r="M152" i="66"/>
  <c r="L152" i="66"/>
  <c r="N152" i="66"/>
  <c r="R152" i="66" s="1"/>
  <c r="T152" i="66" s="1"/>
  <c r="AT152" i="66" s="1"/>
  <c r="Y152" i="66"/>
  <c r="N115" i="66"/>
  <c r="R115" i="66" s="1"/>
  <c r="T115" i="66" s="1"/>
  <c r="AT115" i="66" s="1"/>
  <c r="I117" i="66"/>
  <c r="M116" i="66"/>
  <c r="Y116" i="66"/>
  <c r="L116" i="66"/>
  <c r="R137" i="66"/>
  <c r="T137" i="66" s="1"/>
  <c r="AT137" i="66" s="1"/>
  <c r="I140" i="66"/>
  <c r="M138" i="66"/>
  <c r="Y138" i="66"/>
  <c r="L138" i="66"/>
  <c r="R138" i="66" s="1"/>
  <c r="T138" i="66" s="1"/>
  <c r="AT138" i="66" s="1"/>
  <c r="Q16" i="91" l="1"/>
  <c r="E212" i="64"/>
  <c r="X203" i="43"/>
  <c r="X239" i="43"/>
  <c r="X257" i="43"/>
  <c r="X221" i="43"/>
  <c r="C180" i="43"/>
  <c r="C184" i="43" s="1"/>
  <c r="C185" i="43" s="1"/>
  <c r="D87" i="58" s="1"/>
  <c r="D88" i="58" s="1"/>
  <c r="E146" i="72"/>
  <c r="G146" i="72"/>
  <c r="F146" i="72"/>
  <c r="A1228" i="70"/>
  <c r="B25" i="7" s="1"/>
  <c r="C16" i="7"/>
  <c r="A1234" i="70"/>
  <c r="A1225" i="70"/>
  <c r="A1227" i="70"/>
  <c r="B24" i="7" s="1"/>
  <c r="A1226" i="70"/>
  <c r="B23" i="7" s="1"/>
  <c r="M1221" i="70"/>
  <c r="M1223" i="70"/>
  <c r="I1219" i="70"/>
  <c r="J1219" i="70"/>
  <c r="F25" i="3"/>
  <c r="D19" i="3"/>
  <c r="G19" i="3" s="1"/>
  <c r="D21" i="3"/>
  <c r="G21" i="3" s="1"/>
  <c r="N21" i="3"/>
  <c r="K21" i="3"/>
  <c r="E26" i="3" s="1"/>
  <c r="F26" i="3" s="1"/>
  <c r="N8" i="98"/>
  <c r="I8" i="98"/>
  <c r="K8" i="98"/>
  <c r="G8" i="98"/>
  <c r="O8" i="98"/>
  <c r="H8" i="98"/>
  <c r="J8" i="98"/>
  <c r="M8" i="98"/>
  <c r="L8" i="98"/>
  <c r="AU46" i="4"/>
  <c r="AU110" i="4"/>
  <c r="AU41" i="4"/>
  <c r="AU105" i="4"/>
  <c r="AU59" i="4"/>
  <c r="AU76" i="4"/>
  <c r="AU101" i="4"/>
  <c r="AU64" i="4"/>
  <c r="AU115" i="4"/>
  <c r="AU78" i="4"/>
  <c r="AU138" i="4"/>
  <c r="AU60" i="4"/>
  <c r="AU74" i="4"/>
  <c r="AU128" i="4"/>
  <c r="AU140" i="4"/>
  <c r="AU106" i="4"/>
  <c r="AU142" i="4"/>
  <c r="AU125" i="4"/>
  <c r="AU132" i="4"/>
  <c r="AU42" i="4"/>
  <c r="AU83" i="4"/>
  <c r="AU85" i="4"/>
  <c r="AU112" i="4"/>
  <c r="AU93" i="4"/>
  <c r="AU70" i="4"/>
  <c r="AU134" i="4"/>
  <c r="AU124" i="4"/>
  <c r="AU89" i="4"/>
  <c r="AU123" i="4"/>
  <c r="AU51" i="4"/>
  <c r="AU135" i="4"/>
  <c r="AU55" i="4"/>
  <c r="AU97" i="4"/>
  <c r="AU48" i="4"/>
  <c r="AU103" i="4"/>
  <c r="AU120" i="4"/>
  <c r="AU68" i="4"/>
  <c r="AU102" i="4"/>
  <c r="AU104" i="4"/>
  <c r="AU77" i="4"/>
  <c r="AU130" i="4"/>
  <c r="AU56" i="4"/>
  <c r="AU40" i="4"/>
  <c r="AU107" i="4"/>
  <c r="AU66" i="4"/>
  <c r="AU98" i="4"/>
  <c r="AU81" i="4"/>
  <c r="AU129" i="4"/>
  <c r="AU52" i="4"/>
  <c r="AU116" i="4"/>
  <c r="AU75" i="4"/>
  <c r="AU119" i="4"/>
  <c r="AU71" i="4"/>
  <c r="AU91" i="4"/>
  <c r="AU96" i="4"/>
  <c r="AU69" i="4"/>
  <c r="AU121" i="4"/>
  <c r="AU94" i="4"/>
  <c r="AU108" i="4"/>
  <c r="AU73" i="4"/>
  <c r="AU87" i="4"/>
  <c r="AU44" i="4"/>
  <c r="AU47" i="4"/>
  <c r="AU126" i="4"/>
  <c r="AU131" i="4"/>
  <c r="AU62" i="4"/>
  <c r="AU122" i="4"/>
  <c r="AU61" i="4"/>
  <c r="AU65" i="4"/>
  <c r="AU58" i="4"/>
  <c r="AU127" i="4"/>
  <c r="AU100" i="4"/>
  <c r="AU54" i="4"/>
  <c r="AU53" i="4"/>
  <c r="AU88" i="4"/>
  <c r="AU99" i="4"/>
  <c r="AU57" i="4"/>
  <c r="AU117" i="4"/>
  <c r="AU114" i="4"/>
  <c r="AU95" i="4"/>
  <c r="AU63" i="4"/>
  <c r="AU43" i="4"/>
  <c r="AU50" i="4"/>
  <c r="AU82" i="4"/>
  <c r="AU118" i="4"/>
  <c r="AU72" i="4"/>
  <c r="AU113" i="4"/>
  <c r="AU45" i="4"/>
  <c r="AU141" i="4"/>
  <c r="AU139" i="4"/>
  <c r="AU90" i="4"/>
  <c r="AU80" i="4"/>
  <c r="AU111" i="4"/>
  <c r="AU109" i="4"/>
  <c r="AU86" i="4"/>
  <c r="AU79" i="4"/>
  <c r="AU137" i="4"/>
  <c r="AU49" i="4"/>
  <c r="AU136" i="4"/>
  <c r="AU133" i="4"/>
  <c r="AU39" i="4"/>
  <c r="AU92" i="4"/>
  <c r="AU84" i="4"/>
  <c r="E11" i="7"/>
  <c r="D1220" i="70"/>
  <c r="F13" i="7" s="1"/>
  <c r="E16" i="81"/>
  <c r="D22" i="81" s="1"/>
  <c r="E15" i="81"/>
  <c r="D21" i="81" s="1"/>
  <c r="I141" i="64"/>
  <c r="I143" i="64" s="1"/>
  <c r="I136" i="64"/>
  <c r="I138" i="64" s="1"/>
  <c r="H146" i="72"/>
  <c r="F17" i="3"/>
  <c r="D20" i="3" s="1"/>
  <c r="G20" i="3" s="1"/>
  <c r="M6" i="83"/>
  <c r="C215" i="81" s="1"/>
  <c r="D1219" i="70"/>
  <c r="K1219" i="70" s="1"/>
  <c r="M12" i="3"/>
  <c r="M13" i="3"/>
  <c r="L143" i="4"/>
  <c r="M143" i="4"/>
  <c r="AU37" i="4"/>
  <c r="AU29" i="4"/>
  <c r="AU21" i="4"/>
  <c r="AU13" i="4"/>
  <c r="AU32" i="4"/>
  <c r="AU28" i="4"/>
  <c r="AU20" i="4"/>
  <c r="AU12" i="4"/>
  <c r="AU38" i="4"/>
  <c r="AU34" i="4"/>
  <c r="AU30" i="4"/>
  <c r="AU26" i="4"/>
  <c r="AU22" i="4"/>
  <c r="AU18" i="4"/>
  <c r="AU14" i="4"/>
  <c r="AU10" i="4"/>
  <c r="AU33" i="4"/>
  <c r="AU25" i="4"/>
  <c r="AU17" i="4"/>
  <c r="AU9" i="4"/>
  <c r="AU36" i="4"/>
  <c r="AU24" i="4"/>
  <c r="AU16" i="4"/>
  <c r="AU23" i="4"/>
  <c r="AU15" i="4"/>
  <c r="AU31" i="4"/>
  <c r="AU27" i="4"/>
  <c r="AU11" i="4"/>
  <c r="AU19" i="4"/>
  <c r="AU35" i="4"/>
  <c r="H679" i="27"/>
  <c r="H678" i="27"/>
  <c r="H677" i="27"/>
  <c r="H676" i="27"/>
  <c r="H675" i="27"/>
  <c r="H664" i="27"/>
  <c r="H663" i="27"/>
  <c r="H662" i="27"/>
  <c r="H661" i="27"/>
  <c r="H660" i="27"/>
  <c r="H626" i="27"/>
  <c r="H625" i="27"/>
  <c r="H624" i="27"/>
  <c r="H623" i="27"/>
  <c r="H622" i="27"/>
  <c r="H364" i="27"/>
  <c r="H365" i="27"/>
  <c r="H366" i="27"/>
  <c r="H367" i="27"/>
  <c r="H368" i="27"/>
  <c r="H326" i="27"/>
  <c r="H327" i="27"/>
  <c r="H328" i="27"/>
  <c r="H329" i="27"/>
  <c r="H330" i="27"/>
  <c r="H288" i="27"/>
  <c r="H289" i="27"/>
  <c r="H290" i="27"/>
  <c r="H291" i="27"/>
  <c r="H292" i="27"/>
  <c r="M38" i="27"/>
  <c r="S38" i="27" s="1"/>
  <c r="N38" i="27"/>
  <c r="M37" i="27"/>
  <c r="S37" i="27" s="1"/>
  <c r="N37" i="27"/>
  <c r="M36" i="27"/>
  <c r="S36" i="27" s="1"/>
  <c r="N36" i="27"/>
  <c r="M35" i="27"/>
  <c r="S35" i="27" s="1"/>
  <c r="N35" i="27"/>
  <c r="M34" i="27"/>
  <c r="S34" i="27" s="1"/>
  <c r="N34" i="27"/>
  <c r="B140" i="61"/>
  <c r="H140" i="61" s="1"/>
  <c r="B136" i="61"/>
  <c r="H136" i="61" s="1"/>
  <c r="B138" i="61"/>
  <c r="H138" i="61" s="1"/>
  <c r="B132" i="61"/>
  <c r="H132" i="61" s="1"/>
  <c r="B134" i="61"/>
  <c r="H134" i="61" s="1"/>
  <c r="N25" i="27"/>
  <c r="AA25" i="27" s="1"/>
  <c r="N9" i="71"/>
  <c r="AT9" i="71"/>
  <c r="N8" i="71"/>
  <c r="AT8" i="71"/>
  <c r="N14" i="71"/>
  <c r="AT14" i="71"/>
  <c r="H649" i="27"/>
  <c r="H648" i="27"/>
  <c r="H647" i="27"/>
  <c r="H646" i="27"/>
  <c r="H645" i="27"/>
  <c r="H514" i="27"/>
  <c r="H513" i="27"/>
  <c r="H512" i="27"/>
  <c r="H511" i="27"/>
  <c r="H515" i="27"/>
  <c r="H632" i="27"/>
  <c r="H634" i="27"/>
  <c r="H633" i="27"/>
  <c r="H506" i="27"/>
  <c r="H509" i="27"/>
  <c r="H507" i="27"/>
  <c r="H508" i="27"/>
  <c r="H510" i="27"/>
  <c r="H631" i="27"/>
  <c r="H630" i="27"/>
  <c r="H484" i="27"/>
  <c r="H483" i="27"/>
  <c r="H482" i="27"/>
  <c r="H481" i="27"/>
  <c r="H485" i="27"/>
  <c r="H459" i="27"/>
  <c r="H460" i="27"/>
  <c r="H461" i="27"/>
  <c r="H462" i="27"/>
  <c r="H463" i="27"/>
  <c r="H447" i="27"/>
  <c r="H446" i="27"/>
  <c r="H445" i="27"/>
  <c r="H444" i="27"/>
  <c r="H448" i="27"/>
  <c r="H429" i="27"/>
  <c r="H430" i="27"/>
  <c r="H431" i="27"/>
  <c r="H432" i="27"/>
  <c r="H433" i="27"/>
  <c r="H399" i="27"/>
  <c r="H400" i="27"/>
  <c r="H401" i="27"/>
  <c r="H402" i="27"/>
  <c r="H417" i="27"/>
  <c r="H416" i="27"/>
  <c r="H415" i="27"/>
  <c r="H414" i="27"/>
  <c r="H418" i="27"/>
  <c r="H403" i="27"/>
  <c r="H387" i="27"/>
  <c r="H386" i="27"/>
  <c r="H385" i="27"/>
  <c r="H384" i="27"/>
  <c r="H388" i="27"/>
  <c r="H276" i="27"/>
  <c r="H277" i="27"/>
  <c r="H275" i="27"/>
  <c r="H392" i="27"/>
  <c r="H391" i="27"/>
  <c r="H393" i="27"/>
  <c r="H390" i="27"/>
  <c r="H346" i="27"/>
  <c r="H347" i="27"/>
  <c r="H348" i="27"/>
  <c r="H349" i="27"/>
  <c r="H350" i="27"/>
  <c r="H311" i="27"/>
  <c r="H310" i="27"/>
  <c r="H309" i="27"/>
  <c r="H308" i="27"/>
  <c r="H312" i="27"/>
  <c r="H270" i="27"/>
  <c r="H271" i="27"/>
  <c r="H272" i="27"/>
  <c r="H273" i="27"/>
  <c r="H274" i="27"/>
  <c r="M242" i="27"/>
  <c r="S242" i="27" s="1"/>
  <c r="N242" i="27"/>
  <c r="M241" i="27"/>
  <c r="S241" i="27" s="1"/>
  <c r="N241" i="27"/>
  <c r="M240" i="27"/>
  <c r="S240" i="27" s="1"/>
  <c r="N240" i="27"/>
  <c r="M239" i="27"/>
  <c r="S239" i="27" s="1"/>
  <c r="N239" i="27"/>
  <c r="M238" i="27"/>
  <c r="S238" i="27" s="1"/>
  <c r="N238" i="27"/>
  <c r="M227" i="27"/>
  <c r="S227" i="27" s="1"/>
  <c r="N227" i="27"/>
  <c r="M226" i="27"/>
  <c r="S226" i="27" s="1"/>
  <c r="N226" i="27"/>
  <c r="M225" i="27"/>
  <c r="S225" i="27" s="1"/>
  <c r="N225" i="27"/>
  <c r="M224" i="27"/>
  <c r="S224" i="27" s="1"/>
  <c r="N224" i="27"/>
  <c r="M223" i="27"/>
  <c r="S223" i="27" s="1"/>
  <c r="N223" i="27"/>
  <c r="M212" i="27"/>
  <c r="S212" i="27" s="1"/>
  <c r="N212" i="27"/>
  <c r="M211" i="27"/>
  <c r="S211" i="27" s="1"/>
  <c r="N211" i="27"/>
  <c r="M210" i="27"/>
  <c r="S210" i="27" s="1"/>
  <c r="N210" i="27"/>
  <c r="M209" i="27"/>
  <c r="S209" i="27" s="1"/>
  <c r="N209" i="27"/>
  <c r="M208" i="27"/>
  <c r="S208" i="27" s="1"/>
  <c r="N208" i="27"/>
  <c r="M196" i="27"/>
  <c r="S196" i="27" s="1"/>
  <c r="N196" i="27"/>
  <c r="M195" i="27"/>
  <c r="S195" i="27" s="1"/>
  <c r="N195" i="27"/>
  <c r="M194" i="27"/>
  <c r="S194" i="27" s="1"/>
  <c r="N194" i="27"/>
  <c r="M193" i="27"/>
  <c r="S193" i="27" s="1"/>
  <c r="N193" i="27"/>
  <c r="M182" i="27"/>
  <c r="S182" i="27" s="1"/>
  <c r="N182" i="27"/>
  <c r="M181" i="27"/>
  <c r="S181" i="27" s="1"/>
  <c r="N181" i="27"/>
  <c r="M180" i="27"/>
  <c r="S180" i="27" s="1"/>
  <c r="N180" i="27"/>
  <c r="M179" i="27"/>
  <c r="S179" i="27" s="1"/>
  <c r="N179" i="27"/>
  <c r="M178" i="27"/>
  <c r="S178" i="27" s="1"/>
  <c r="N178" i="27"/>
  <c r="M167" i="27"/>
  <c r="S167" i="27" s="1"/>
  <c r="N167" i="27"/>
  <c r="M166" i="27"/>
  <c r="S166" i="27" s="1"/>
  <c r="N166" i="27"/>
  <c r="M165" i="27"/>
  <c r="S165" i="27" s="1"/>
  <c r="N165" i="27"/>
  <c r="M164" i="27"/>
  <c r="S164" i="27" s="1"/>
  <c r="N164" i="27"/>
  <c r="M163" i="27"/>
  <c r="S163" i="27" s="1"/>
  <c r="N163" i="27"/>
  <c r="M152" i="27"/>
  <c r="S152" i="27" s="1"/>
  <c r="N152" i="27"/>
  <c r="M151" i="27"/>
  <c r="S151" i="27" s="1"/>
  <c r="N151" i="27"/>
  <c r="M150" i="27"/>
  <c r="S150" i="27" s="1"/>
  <c r="N150" i="27"/>
  <c r="M149" i="27"/>
  <c r="S149" i="27" s="1"/>
  <c r="N149" i="27"/>
  <c r="M148" i="27"/>
  <c r="S148" i="27" s="1"/>
  <c r="N148" i="27"/>
  <c r="M137" i="27"/>
  <c r="S137" i="27" s="1"/>
  <c r="N137" i="27"/>
  <c r="M136" i="27"/>
  <c r="S136" i="27" s="1"/>
  <c r="N136" i="27"/>
  <c r="M135" i="27"/>
  <c r="S135" i="27" s="1"/>
  <c r="N135" i="27"/>
  <c r="M134" i="27"/>
  <c r="S134" i="27" s="1"/>
  <c r="N134" i="27"/>
  <c r="M133" i="27"/>
  <c r="S133" i="27" s="1"/>
  <c r="N133" i="27"/>
  <c r="M122" i="27"/>
  <c r="S122" i="27" s="1"/>
  <c r="N122" i="27"/>
  <c r="M121" i="27"/>
  <c r="S121" i="27" s="1"/>
  <c r="N121" i="27"/>
  <c r="M120" i="27"/>
  <c r="S120" i="27" s="1"/>
  <c r="N120" i="27"/>
  <c r="M119" i="27"/>
  <c r="S119" i="27" s="1"/>
  <c r="N119" i="27"/>
  <c r="M118" i="27"/>
  <c r="S118" i="27" s="1"/>
  <c r="N118" i="27"/>
  <c r="M107" i="27"/>
  <c r="S107" i="27" s="1"/>
  <c r="N107" i="27"/>
  <c r="M106" i="27"/>
  <c r="S106" i="27" s="1"/>
  <c r="N106" i="27"/>
  <c r="M105" i="27"/>
  <c r="S105" i="27" s="1"/>
  <c r="N105" i="27"/>
  <c r="M104" i="27"/>
  <c r="S104" i="27" s="1"/>
  <c r="N104" i="27"/>
  <c r="M103" i="27"/>
  <c r="S103" i="27" s="1"/>
  <c r="N103" i="27"/>
  <c r="M94" i="27"/>
  <c r="S94" i="27" s="1"/>
  <c r="N94" i="27"/>
  <c r="M97" i="27"/>
  <c r="S97" i="27" s="1"/>
  <c r="N97" i="27"/>
  <c r="M96" i="27"/>
  <c r="S96" i="27" s="1"/>
  <c r="N96" i="27"/>
  <c r="M95" i="27"/>
  <c r="S95" i="27" s="1"/>
  <c r="N95" i="27"/>
  <c r="M93" i="27"/>
  <c r="S93" i="27" s="1"/>
  <c r="N93" i="27"/>
  <c r="M89" i="27"/>
  <c r="S89" i="27" s="1"/>
  <c r="N89" i="27"/>
  <c r="M90" i="27"/>
  <c r="S90" i="27" s="1"/>
  <c r="N90" i="27"/>
  <c r="M91" i="27"/>
  <c r="S91" i="27" s="1"/>
  <c r="N91" i="27"/>
  <c r="M92" i="27"/>
  <c r="S92" i="27" s="1"/>
  <c r="N92" i="27"/>
  <c r="M88" i="27"/>
  <c r="S88" i="27" s="1"/>
  <c r="N88" i="27"/>
  <c r="H629" i="27"/>
  <c r="H628" i="27"/>
  <c r="H627" i="27"/>
  <c r="H621" i="27"/>
  <c r="H620" i="27"/>
  <c r="H437" i="27"/>
  <c r="H434" i="27"/>
  <c r="H449" i="27"/>
  <c r="H452" i="27"/>
  <c r="H451" i="27"/>
  <c r="H436" i="27"/>
  <c r="H442" i="27"/>
  <c r="H457" i="27"/>
  <c r="H438" i="27"/>
  <c r="H453" i="27"/>
  <c r="H456" i="27"/>
  <c r="H441" i="27"/>
  <c r="H440" i="27"/>
  <c r="H455" i="27"/>
  <c r="H454" i="27"/>
  <c r="H439" i="27"/>
  <c r="H428" i="27"/>
  <c r="H443" i="27"/>
  <c r="H458" i="27"/>
  <c r="H450" i="27"/>
  <c r="H435" i="27"/>
  <c r="H471" i="27"/>
  <c r="M471" i="27" s="1"/>
  <c r="N471" i="27" s="1"/>
  <c r="Q471" i="27" s="1"/>
  <c r="R471" i="27" s="1"/>
  <c r="AT471" i="27" s="1"/>
  <c r="H641" i="27"/>
  <c r="M641" i="27" s="1"/>
  <c r="N641" i="27" s="1"/>
  <c r="AA641" i="27" s="1"/>
  <c r="F173" i="4"/>
  <c r="H321" i="27"/>
  <c r="M321" i="27" s="1"/>
  <c r="S321" i="27" s="1"/>
  <c r="H578" i="27"/>
  <c r="M578" i="27" s="1"/>
  <c r="M260" i="82" s="1"/>
  <c r="H496" i="27"/>
  <c r="M496" i="27" s="1"/>
  <c r="N496" i="27" s="1"/>
  <c r="Q496" i="27" s="1"/>
  <c r="R496" i="27" s="1"/>
  <c r="AT496" i="27" s="1"/>
  <c r="H281" i="27"/>
  <c r="M281" i="27" s="1"/>
  <c r="S281" i="27" s="1"/>
  <c r="H597" i="27"/>
  <c r="M597" i="27" s="1"/>
  <c r="M279" i="82" s="1"/>
  <c r="H424" i="27"/>
  <c r="M424" i="27" s="1"/>
  <c r="S424" i="27" s="1"/>
  <c r="H280" i="27"/>
  <c r="M280" i="27" s="1"/>
  <c r="N280" i="27" s="1"/>
  <c r="Q280" i="27" s="1"/>
  <c r="R280" i="27" s="1"/>
  <c r="AT280" i="27" s="1"/>
  <c r="H582" i="27"/>
  <c r="M582" i="27" s="1"/>
  <c r="M264" i="82" s="1"/>
  <c r="H615" i="27"/>
  <c r="M615" i="27" s="1"/>
  <c r="S615" i="27" s="1"/>
  <c r="H474" i="27"/>
  <c r="M474" i="27" s="1"/>
  <c r="N474" i="27" s="1"/>
  <c r="W474" i="27" s="1"/>
  <c r="Z474" i="27" s="1"/>
  <c r="H606" i="27"/>
  <c r="M606" i="27" s="1"/>
  <c r="N606" i="27" s="1"/>
  <c r="Q606" i="27" s="1"/>
  <c r="R606" i="27" s="1"/>
  <c r="AT606" i="27" s="1"/>
  <c r="H687" i="27"/>
  <c r="M687" i="27" s="1"/>
  <c r="S687" i="27" s="1"/>
  <c r="H655" i="27"/>
  <c r="M655" i="27" s="1"/>
  <c r="S655" i="27" s="1"/>
  <c r="H690" i="27"/>
  <c r="M690" i="27" s="1"/>
  <c r="S690" i="27" s="1"/>
  <c r="B118" i="61"/>
  <c r="H118" i="61" s="1"/>
  <c r="H405" i="27"/>
  <c r="M405" i="27" s="1"/>
  <c r="S405" i="27" s="1"/>
  <c r="H612" i="27"/>
  <c r="M612" i="27" s="1"/>
  <c r="S612" i="27" s="1"/>
  <c r="B116" i="61"/>
  <c r="H116" i="61" s="1"/>
  <c r="B124" i="61"/>
  <c r="H124" i="61" s="1"/>
  <c r="T58" i="2"/>
  <c r="AT58" i="2" s="1"/>
  <c r="AT53" i="2"/>
  <c r="H351" i="27"/>
  <c r="M351" i="27" s="1"/>
  <c r="S351" i="27" s="1"/>
  <c r="H658" i="27"/>
  <c r="M658" i="27" s="1"/>
  <c r="S658" i="27" s="1"/>
  <c r="H603" i="27"/>
  <c r="M603" i="27" s="1"/>
  <c r="N603" i="27" s="1"/>
  <c r="W603" i="27" s="1"/>
  <c r="Z603" i="27" s="1"/>
  <c r="H692" i="27"/>
  <c r="M692" i="27" s="1"/>
  <c r="S692" i="27" s="1"/>
  <c r="N30" i="27"/>
  <c r="AA30" i="27" s="1"/>
  <c r="C1659" i="95"/>
  <c r="C894" i="95"/>
  <c r="N40" i="27"/>
  <c r="AA40" i="27" s="1"/>
  <c r="Q51" i="82"/>
  <c r="R51" i="82" s="1"/>
  <c r="J39" i="36"/>
  <c r="I161" i="66"/>
  <c r="H555" i="27"/>
  <c r="M555" i="27" s="1"/>
  <c r="M237" i="82" s="1"/>
  <c r="N23" i="27"/>
  <c r="AA23" i="27" s="1"/>
  <c r="N27" i="27"/>
  <c r="W27" i="27" s="1"/>
  <c r="Z27" i="27" s="1"/>
  <c r="H472" i="27"/>
  <c r="M472" i="27" s="1"/>
  <c r="S472" i="27" s="1"/>
  <c r="H394" i="27"/>
  <c r="M394" i="27" s="1"/>
  <c r="S394" i="27" s="1"/>
  <c r="H550" i="27"/>
  <c r="M550" i="27" s="1"/>
  <c r="N550" i="27" s="1"/>
  <c r="W550" i="27" s="1"/>
  <c r="Z550" i="27" s="1"/>
  <c r="H560" i="27"/>
  <c r="M560" i="27" s="1"/>
  <c r="N560" i="27" s="1"/>
  <c r="AA560" i="27" s="1"/>
  <c r="H580" i="27"/>
  <c r="M580" i="27" s="1"/>
  <c r="N580" i="27" s="1"/>
  <c r="W580" i="27" s="1"/>
  <c r="Z580" i="27" s="1"/>
  <c r="H682" i="27"/>
  <c r="M682" i="27" s="1"/>
  <c r="S682" i="27" s="1"/>
  <c r="H284" i="27"/>
  <c r="M284" i="27" s="1"/>
  <c r="N284" i="27" s="1"/>
  <c r="Q284" i="27" s="1"/>
  <c r="R284" i="27" s="1"/>
  <c r="AT284" i="27" s="1"/>
  <c r="H610" i="27"/>
  <c r="M610" i="27" s="1"/>
  <c r="S610" i="27" s="1"/>
  <c r="H665" i="27"/>
  <c r="M665" i="27" s="1"/>
  <c r="S665" i="27" s="1"/>
  <c r="N29" i="27"/>
  <c r="AA29" i="27" s="1"/>
  <c r="F43" i="80"/>
  <c r="I43" i="80" s="1"/>
  <c r="H374" i="27"/>
  <c r="M374" i="27" s="1"/>
  <c r="S374" i="27" s="1"/>
  <c r="B120" i="61"/>
  <c r="H120" i="61" s="1"/>
  <c r="F47" i="80"/>
  <c r="I47" i="80" s="1"/>
  <c r="H395" i="27"/>
  <c r="M395" i="27" s="1"/>
  <c r="S395" i="27" s="1"/>
  <c r="H500" i="27"/>
  <c r="M500" i="27" s="1"/>
  <c r="N500" i="27" s="1"/>
  <c r="AA500" i="27" s="1"/>
  <c r="H524" i="27"/>
  <c r="M524" i="27" s="1"/>
  <c r="M206" i="82" s="1"/>
  <c r="H283" i="27"/>
  <c r="M283" i="27" s="1"/>
  <c r="M151" i="82" s="1"/>
  <c r="H260" i="27"/>
  <c r="M260" i="27" s="1"/>
  <c r="N260" i="27" s="1"/>
  <c r="N39" i="27"/>
  <c r="W39" i="27" s="1"/>
  <c r="Z39" i="27" s="1"/>
  <c r="H475" i="27"/>
  <c r="M475" i="27" s="1"/>
  <c r="N475" i="27" s="1"/>
  <c r="AA475" i="27" s="1"/>
  <c r="H473" i="27"/>
  <c r="M473" i="27" s="1"/>
  <c r="M175" i="82" s="1"/>
  <c r="H426" i="27"/>
  <c r="M426" i="27" s="1"/>
  <c r="S426" i="27" s="1"/>
  <c r="H303" i="27"/>
  <c r="M303" i="27" s="1"/>
  <c r="S303" i="27" s="1"/>
  <c r="H539" i="27"/>
  <c r="M539" i="27" s="1"/>
  <c r="N539" i="27" s="1"/>
  <c r="AA539" i="27" s="1"/>
  <c r="H544" i="27"/>
  <c r="M544" i="27" s="1"/>
  <c r="N544" i="27" s="1"/>
  <c r="W544" i="27" s="1"/>
  <c r="Z544" i="27" s="1"/>
  <c r="H491" i="27"/>
  <c r="M491" i="27" s="1"/>
  <c r="S491" i="27" s="1"/>
  <c r="H575" i="27"/>
  <c r="M575" i="27" s="1"/>
  <c r="N575" i="27" s="1"/>
  <c r="Q575" i="27" s="1"/>
  <c r="R575" i="27" s="1"/>
  <c r="AT575" i="27" s="1"/>
  <c r="H372" i="27"/>
  <c r="M372" i="27" s="1"/>
  <c r="S372" i="27" s="1"/>
  <c r="H688" i="27"/>
  <c r="M688" i="27" s="1"/>
  <c r="S688" i="27" s="1"/>
  <c r="H614" i="27"/>
  <c r="M614" i="27" s="1"/>
  <c r="S614" i="27" s="1"/>
  <c r="H680" i="27"/>
  <c r="M680" i="27" s="1"/>
  <c r="S680" i="27" s="1"/>
  <c r="H479" i="27"/>
  <c r="M479" i="27" s="1"/>
  <c r="S479" i="27" s="1"/>
  <c r="H412" i="27"/>
  <c r="M412" i="27" s="1"/>
  <c r="S412" i="27" s="1"/>
  <c r="H530" i="27"/>
  <c r="M530" i="27" s="1"/>
  <c r="N530" i="27" s="1"/>
  <c r="AA530" i="27" s="1"/>
  <c r="H375" i="27"/>
  <c r="M375" i="27" s="1"/>
  <c r="S375" i="27" s="1"/>
  <c r="B126" i="61"/>
  <c r="H126" i="61" s="1"/>
  <c r="N26" i="27"/>
  <c r="W26" i="27" s="1"/>
  <c r="Z26" i="27" s="1"/>
  <c r="H419" i="27"/>
  <c r="M419" i="27" s="1"/>
  <c r="S419" i="27" s="1"/>
  <c r="H581" i="27"/>
  <c r="M581" i="27" s="1"/>
  <c r="N581" i="27" s="1"/>
  <c r="AA581" i="27" s="1"/>
  <c r="H320" i="27"/>
  <c r="M320" i="27" s="1"/>
  <c r="S320" i="27" s="1"/>
  <c r="H681" i="27"/>
  <c r="M681" i="27" s="1"/>
  <c r="S681" i="27" s="1"/>
  <c r="B152" i="61"/>
  <c r="H152" i="61" s="1"/>
  <c r="H477" i="27"/>
  <c r="M477" i="27" s="1"/>
  <c r="S477" i="27" s="1"/>
  <c r="H332" i="27"/>
  <c r="M332" i="27" s="1"/>
  <c r="S332" i="27" s="1"/>
  <c r="B122" i="61"/>
  <c r="H122" i="61" s="1"/>
  <c r="H694" i="27"/>
  <c r="M694" i="27" s="1"/>
  <c r="N694" i="27" s="1"/>
  <c r="AA694" i="27" s="1"/>
  <c r="H282" i="27"/>
  <c r="M282" i="27" s="1"/>
  <c r="M150" i="82" s="1"/>
  <c r="H613" i="27"/>
  <c r="M613" i="27" s="1"/>
  <c r="S613" i="27" s="1"/>
  <c r="H279" i="27"/>
  <c r="M279" i="27" s="1"/>
  <c r="N279" i="27" s="1"/>
  <c r="AA279" i="27" s="1"/>
  <c r="H344" i="27"/>
  <c r="M344" i="27" s="1"/>
  <c r="S344" i="27" s="1"/>
  <c r="H267" i="27"/>
  <c r="M267" i="27" s="1"/>
  <c r="N267" i="27" s="1"/>
  <c r="Q267" i="27" s="1"/>
  <c r="R267" i="27" s="1"/>
  <c r="AT267" i="27" s="1"/>
  <c r="H421" i="27"/>
  <c r="M421" i="27" s="1"/>
  <c r="S421" i="27" s="1"/>
  <c r="H499" i="27"/>
  <c r="M499" i="27" s="1"/>
  <c r="N499" i="27" s="1"/>
  <c r="Q499" i="27" s="1"/>
  <c r="R499" i="27" s="1"/>
  <c r="AT499" i="27" s="1"/>
  <c r="B146" i="61"/>
  <c r="H146" i="61" s="1"/>
  <c r="H335" i="27"/>
  <c r="M335" i="27" s="1"/>
  <c r="S335" i="27" s="1"/>
  <c r="H640" i="27"/>
  <c r="M640" i="27" s="1"/>
  <c r="N640" i="27" s="1"/>
  <c r="Q640" i="27" s="1"/>
  <c r="R640" i="27" s="1"/>
  <c r="AT640" i="27" s="1"/>
  <c r="H639" i="27"/>
  <c r="M639" i="27" s="1"/>
  <c r="N639" i="27" s="1"/>
  <c r="Q639" i="27" s="1"/>
  <c r="R639" i="27" s="1"/>
  <c r="AT639" i="27" s="1"/>
  <c r="H262" i="27"/>
  <c r="M262" i="27" s="1"/>
  <c r="N262" i="27" s="1"/>
  <c r="AA262" i="27" s="1"/>
  <c r="H296" i="27"/>
  <c r="M296" i="27" s="1"/>
  <c r="S296" i="27" s="1"/>
  <c r="H693" i="27"/>
  <c r="M693" i="27" s="1"/>
  <c r="S693" i="27" s="1"/>
  <c r="H345" i="27"/>
  <c r="M345" i="27" s="1"/>
  <c r="S345" i="27" s="1"/>
  <c r="H577" i="27"/>
  <c r="M577" i="27" s="1"/>
  <c r="M259" i="82" s="1"/>
  <c r="S259" i="82" s="1"/>
  <c r="H602" i="27"/>
  <c r="M602" i="27" s="1"/>
  <c r="N602" i="27" s="1"/>
  <c r="AA602" i="27" s="1"/>
  <c r="H278" i="27"/>
  <c r="M278" i="27" s="1"/>
  <c r="N278" i="27" s="1"/>
  <c r="W278" i="27" s="1"/>
  <c r="Z278" i="27" s="1"/>
  <c r="H264" i="27"/>
  <c r="M264" i="27" s="1"/>
  <c r="N264" i="27" s="1"/>
  <c r="AA264" i="27" s="1"/>
  <c r="H308" i="82"/>
  <c r="M308" i="82" s="1"/>
  <c r="N308" i="82" s="1"/>
  <c r="Q308" i="82" s="1"/>
  <c r="R308" i="82" s="1"/>
  <c r="H300" i="27"/>
  <c r="M300" i="27" s="1"/>
  <c r="S300" i="27" s="1"/>
  <c r="H302" i="27"/>
  <c r="M302" i="27" s="1"/>
  <c r="S302" i="27" s="1"/>
  <c r="H519" i="27"/>
  <c r="M519" i="27" s="1"/>
  <c r="S519" i="27" s="1"/>
  <c r="H263" i="27"/>
  <c r="M263" i="27" s="1"/>
  <c r="N263" i="27" s="1"/>
  <c r="H536" i="27"/>
  <c r="M536" i="27" s="1"/>
  <c r="N536" i="27" s="1"/>
  <c r="W536" i="27" s="1"/>
  <c r="Z536" i="27" s="1"/>
  <c r="H672" i="27"/>
  <c r="M672" i="27" s="1"/>
  <c r="S672" i="27" s="1"/>
  <c r="H397" i="27"/>
  <c r="M397" i="27" s="1"/>
  <c r="S397" i="27" s="1"/>
  <c r="H266" i="27"/>
  <c r="M266" i="27" s="1"/>
  <c r="N266" i="27" s="1"/>
  <c r="H261" i="27"/>
  <c r="M261" i="27" s="1"/>
  <c r="N261" i="27" s="1"/>
  <c r="H427" i="27"/>
  <c r="M427" i="27" s="1"/>
  <c r="S427" i="27" s="1"/>
  <c r="H409" i="27"/>
  <c r="M409" i="27" s="1"/>
  <c r="S409" i="27" s="1"/>
  <c r="H601" i="27"/>
  <c r="M601" i="27" s="1"/>
  <c r="S601" i="27" s="1"/>
  <c r="H420" i="27"/>
  <c r="M420" i="27" s="1"/>
  <c r="S420" i="27" s="1"/>
  <c r="H322" i="27"/>
  <c r="M322" i="27" s="1"/>
  <c r="S322" i="27" s="1"/>
  <c r="H324" i="27"/>
  <c r="M324" i="27" s="1"/>
  <c r="S324" i="27" s="1"/>
  <c r="H599" i="27"/>
  <c r="M599" i="27" s="1"/>
  <c r="N599" i="27" s="1"/>
  <c r="W599" i="27" s="1"/>
  <c r="Z599" i="27" s="1"/>
  <c r="H306" i="27"/>
  <c r="M306" i="27" s="1"/>
  <c r="S306" i="27" s="1"/>
  <c r="H287" i="27"/>
  <c r="M287" i="27" s="1"/>
  <c r="S287" i="27" s="1"/>
  <c r="H600" i="27"/>
  <c r="M600" i="27" s="1"/>
  <c r="M282" i="82" s="1"/>
  <c r="H425" i="27"/>
  <c r="M425" i="27" s="1"/>
  <c r="S425" i="27" s="1"/>
  <c r="H502" i="27"/>
  <c r="M502" i="27" s="1"/>
  <c r="S502" i="27" s="1"/>
  <c r="H598" i="27"/>
  <c r="M598" i="27" s="1"/>
  <c r="N598" i="27" s="1"/>
  <c r="AA598" i="27" s="1"/>
  <c r="H542" i="27"/>
  <c r="M542" i="27" s="1"/>
  <c r="M224" i="82" s="1"/>
  <c r="H376" i="27"/>
  <c r="M376" i="27" s="1"/>
  <c r="S376" i="27" s="1"/>
  <c r="H307" i="27"/>
  <c r="M307" i="27" s="1"/>
  <c r="S307" i="27" s="1"/>
  <c r="H565" i="27"/>
  <c r="M565" i="27" s="1"/>
  <c r="M247" i="82" s="1"/>
  <c r="H338" i="27"/>
  <c r="M338" i="27" s="1"/>
  <c r="S338" i="27" s="1"/>
  <c r="H532" i="27"/>
  <c r="M532" i="27" s="1"/>
  <c r="N532" i="27" s="1"/>
  <c r="AA532" i="27" s="1"/>
  <c r="B130" i="61"/>
  <c r="H130" i="61" s="1"/>
  <c r="H411" i="27"/>
  <c r="M411" i="27" s="1"/>
  <c r="S411" i="27" s="1"/>
  <c r="H486" i="27"/>
  <c r="M486" i="27" s="1"/>
  <c r="N486" i="27" s="1"/>
  <c r="Q486" i="27" s="1"/>
  <c r="R486" i="27" s="1"/>
  <c r="AT486" i="27" s="1"/>
  <c r="H354" i="27"/>
  <c r="M354" i="27" s="1"/>
  <c r="S354" i="27" s="1"/>
  <c r="N32" i="27"/>
  <c r="W32" i="27" s="1"/>
  <c r="Z32" i="27" s="1"/>
  <c r="H651" i="27"/>
  <c r="M651" i="27" s="1"/>
  <c r="S651" i="27" s="1"/>
  <c r="N31" i="27"/>
  <c r="Q31" i="27" s="1"/>
  <c r="R31" i="27" s="1"/>
  <c r="AT31" i="27" s="1"/>
  <c r="N33" i="27"/>
  <c r="W33" i="27" s="1"/>
  <c r="Z33" i="27" s="1"/>
  <c r="H611" i="27"/>
  <c r="M611" i="27" s="1"/>
  <c r="S611" i="27" s="1"/>
  <c r="N28" i="27"/>
  <c r="AA28" i="27" s="1"/>
  <c r="N22" i="27"/>
  <c r="AA22" i="27" s="1"/>
  <c r="N41" i="27"/>
  <c r="Q41" i="27" s="1"/>
  <c r="R41" i="27" s="1"/>
  <c r="AT41" i="27" s="1"/>
  <c r="H371" i="27"/>
  <c r="M371" i="27" s="1"/>
  <c r="S371" i="27" s="1"/>
  <c r="H617" i="27"/>
  <c r="M617" i="27" s="1"/>
  <c r="S617" i="27" s="1"/>
  <c r="H691" i="27"/>
  <c r="M691" i="27" s="1"/>
  <c r="S691" i="27" s="1"/>
  <c r="H352" i="27"/>
  <c r="M352" i="27" s="1"/>
  <c r="S352" i="27" s="1"/>
  <c r="H360" i="27"/>
  <c r="M360" i="27" s="1"/>
  <c r="S360" i="27" s="1"/>
  <c r="H490" i="27"/>
  <c r="M490" i="27" s="1"/>
  <c r="N490" i="27" s="1"/>
  <c r="Q490" i="27" s="1"/>
  <c r="R490" i="27" s="1"/>
  <c r="AT490" i="27" s="1"/>
  <c r="H533" i="27"/>
  <c r="M533" i="27" s="1"/>
  <c r="M215" i="82" s="1"/>
  <c r="H293" i="27"/>
  <c r="M293" i="27" s="1"/>
  <c r="S293" i="27" s="1"/>
  <c r="B144" i="61"/>
  <c r="H144" i="61" s="1"/>
  <c r="K144" i="61" s="1"/>
  <c r="L144" i="61" s="1"/>
  <c r="AT144" i="61" s="1"/>
  <c r="H314" i="27"/>
  <c r="M314" i="27" s="1"/>
  <c r="S314" i="27" s="1"/>
  <c r="H584" i="27"/>
  <c r="M584" i="27" s="1"/>
  <c r="S584" i="27" s="1"/>
  <c r="H378" i="27"/>
  <c r="M378" i="27" s="1"/>
  <c r="S378" i="27" s="1"/>
  <c r="H553" i="27"/>
  <c r="M553" i="27" s="1"/>
  <c r="N553" i="27" s="1"/>
  <c r="W553" i="27" s="1"/>
  <c r="Z553" i="27" s="1"/>
  <c r="H318" i="27"/>
  <c r="M318" i="27" s="1"/>
  <c r="S318" i="27" s="1"/>
  <c r="H644" i="27"/>
  <c r="M644" i="27" s="1"/>
  <c r="S644" i="27" s="1"/>
  <c r="H269" i="27"/>
  <c r="M269" i="27" s="1"/>
  <c r="M145" i="82" s="1"/>
  <c r="H382" i="27"/>
  <c r="M382" i="27" s="1"/>
  <c r="S382" i="27" s="1"/>
  <c r="H605" i="27"/>
  <c r="M605" i="27" s="1"/>
  <c r="M287" i="82" s="1"/>
  <c r="H552" i="27"/>
  <c r="M552" i="27" s="1"/>
  <c r="N552" i="27" s="1"/>
  <c r="W552" i="27" s="1"/>
  <c r="Z552" i="27" s="1"/>
  <c r="H558" i="27"/>
  <c r="M558" i="27" s="1"/>
  <c r="S558" i="27" s="1"/>
  <c r="H325" i="27"/>
  <c r="M325" i="27" s="1"/>
  <c r="S325" i="27" s="1"/>
  <c r="H585" i="27"/>
  <c r="M585" i="27" s="1"/>
  <c r="N585" i="27" s="1"/>
  <c r="Q585" i="27" s="1"/>
  <c r="R585" i="27" s="1"/>
  <c r="AT585" i="27" s="1"/>
  <c r="H522" i="27"/>
  <c r="M522" i="27" s="1"/>
  <c r="N522" i="27" s="1"/>
  <c r="AA522" i="27" s="1"/>
  <c r="H576" i="27"/>
  <c r="M576" i="27" s="1"/>
  <c r="S576" i="27" s="1"/>
  <c r="H516" i="27"/>
  <c r="M516" i="27" s="1"/>
  <c r="S516" i="27" s="1"/>
  <c r="H579" i="27"/>
  <c r="M579" i="27" s="1"/>
  <c r="M261" i="82" s="1"/>
  <c r="H333" i="27"/>
  <c r="M333" i="27" s="1"/>
  <c r="S333" i="27" s="1"/>
  <c r="H334" i="27"/>
  <c r="M334" i="27" s="1"/>
  <c r="S334" i="27" s="1"/>
  <c r="H341" i="27"/>
  <c r="M341" i="27" s="1"/>
  <c r="S341" i="27" s="1"/>
  <c r="H657" i="27"/>
  <c r="M657" i="27" s="1"/>
  <c r="S657" i="27" s="1"/>
  <c r="H689" i="27"/>
  <c r="M689" i="27" s="1"/>
  <c r="S689" i="27" s="1"/>
  <c r="H480" i="27"/>
  <c r="M480" i="27" s="1"/>
  <c r="S480" i="27" s="1"/>
  <c r="H369" i="27"/>
  <c r="M369" i="27" s="1"/>
  <c r="S369" i="27" s="1"/>
  <c r="H618" i="27"/>
  <c r="M618" i="27" s="1"/>
  <c r="S618" i="27" s="1"/>
  <c r="H604" i="27"/>
  <c r="M604" i="27" s="1"/>
  <c r="S604" i="27" s="1"/>
  <c r="H556" i="27"/>
  <c r="M556" i="27" s="1"/>
  <c r="M238" i="82" s="1"/>
  <c r="H554" i="27"/>
  <c r="M554" i="27" s="1"/>
  <c r="M236" i="82" s="1"/>
  <c r="H537" i="27"/>
  <c r="M537" i="27" s="1"/>
  <c r="N537" i="27" s="1"/>
  <c r="Q537" i="27" s="1"/>
  <c r="R537" i="27" s="1"/>
  <c r="AT537" i="27" s="1"/>
  <c r="H501" i="27"/>
  <c r="M501" i="27" s="1"/>
  <c r="S501" i="27" s="1"/>
  <c r="H574" i="27"/>
  <c r="M574" i="27" s="1"/>
  <c r="M256" i="82" s="1"/>
  <c r="H668" i="27"/>
  <c r="M668" i="27" s="1"/>
  <c r="S668" i="27" s="1"/>
  <c r="H268" i="27"/>
  <c r="M268" i="27" s="1"/>
  <c r="N268" i="27" s="1"/>
  <c r="Q268" i="27" s="1"/>
  <c r="R268" i="27" s="1"/>
  <c r="AT268" i="27" s="1"/>
  <c r="H543" i="27"/>
  <c r="M543" i="27" s="1"/>
  <c r="M225" i="82" s="1"/>
  <c r="H594" i="27"/>
  <c r="M594" i="27" s="1"/>
  <c r="N594" i="27" s="1"/>
  <c r="W594" i="27" s="1"/>
  <c r="Z594" i="27" s="1"/>
  <c r="H389" i="27"/>
  <c r="M389" i="27" s="1"/>
  <c r="S389" i="27" s="1"/>
  <c r="H406" i="27"/>
  <c r="M406" i="27" s="1"/>
  <c r="S406" i="27" s="1"/>
  <c r="H637" i="27"/>
  <c r="M637" i="27" s="1"/>
  <c r="N637" i="27" s="1"/>
  <c r="Q637" i="27" s="1"/>
  <c r="R637" i="27" s="1"/>
  <c r="AT637" i="27" s="1"/>
  <c r="H307" i="82"/>
  <c r="M307" i="82" s="1"/>
  <c r="N307" i="82" s="1"/>
  <c r="Q307" i="82" s="1"/>
  <c r="R307" i="82" s="1"/>
  <c r="H323" i="27"/>
  <c r="M323" i="27" s="1"/>
  <c r="S323" i="27" s="1"/>
  <c r="H340" i="27"/>
  <c r="M340" i="27" s="1"/>
  <c r="S340" i="27" s="1"/>
  <c r="H666" i="27"/>
  <c r="M666" i="27" s="1"/>
  <c r="S666" i="27" s="1"/>
  <c r="H535" i="27"/>
  <c r="M535" i="27" s="1"/>
  <c r="N535" i="27" s="1"/>
  <c r="Q535" i="27" s="1"/>
  <c r="R535" i="27" s="1"/>
  <c r="AT535" i="27" s="1"/>
  <c r="H379" i="27"/>
  <c r="M379" i="27" s="1"/>
  <c r="S379" i="27" s="1"/>
  <c r="H413" i="27"/>
  <c r="M413" i="27" s="1"/>
  <c r="S413" i="27" s="1"/>
  <c r="H545" i="27"/>
  <c r="M545" i="27" s="1"/>
  <c r="N545" i="27" s="1"/>
  <c r="AA545" i="27" s="1"/>
  <c r="H591" i="27"/>
  <c r="M591" i="27" s="1"/>
  <c r="M273" i="82" s="1"/>
  <c r="S273" i="82" s="1"/>
  <c r="H297" i="27"/>
  <c r="M297" i="27" s="1"/>
  <c r="S297" i="27" s="1"/>
  <c r="H518" i="27"/>
  <c r="M518" i="27" s="1"/>
  <c r="M200" i="82" s="1"/>
  <c r="N200" i="82" s="1"/>
  <c r="Q200" i="82" s="1"/>
  <c r="R200" i="82" s="1"/>
  <c r="H363" i="27"/>
  <c r="M363" i="27" s="1"/>
  <c r="S363" i="27" s="1"/>
  <c r="B154" i="61"/>
  <c r="H154" i="61" s="1"/>
  <c r="H342" i="27"/>
  <c r="M342" i="27" s="1"/>
  <c r="S342" i="27" s="1"/>
  <c r="H656" i="27"/>
  <c r="M656" i="27" s="1"/>
  <c r="S656" i="27" s="1"/>
  <c r="H370" i="27"/>
  <c r="M370" i="27" s="1"/>
  <c r="S370" i="27" s="1"/>
  <c r="H669" i="27"/>
  <c r="M669" i="27" s="1"/>
  <c r="S669" i="27" s="1"/>
  <c r="B150" i="61"/>
  <c r="H150" i="61" s="1"/>
  <c r="H616" i="27"/>
  <c r="M616" i="27" s="1"/>
  <c r="S616" i="27" s="1"/>
  <c r="H404" i="27"/>
  <c r="M404" i="27" s="1"/>
  <c r="S404" i="27" s="1"/>
  <c r="H538" i="27"/>
  <c r="M538" i="27" s="1"/>
  <c r="N538" i="27" s="1"/>
  <c r="AA538" i="27" s="1"/>
  <c r="H531" i="27"/>
  <c r="M531" i="27" s="1"/>
  <c r="N531" i="27" s="1"/>
  <c r="AA531" i="27" s="1"/>
  <c r="H525" i="27"/>
  <c r="M525" i="27" s="1"/>
  <c r="M207" i="82" s="1"/>
  <c r="H488" i="27"/>
  <c r="M488" i="27" s="1"/>
  <c r="N488" i="27" s="1"/>
  <c r="W488" i="27" s="1"/>
  <c r="Z488" i="27" s="1"/>
  <c r="H521" i="27"/>
  <c r="M521" i="27" s="1"/>
  <c r="N521" i="27" s="1"/>
  <c r="W521" i="27" s="1"/>
  <c r="Z521" i="27" s="1"/>
  <c r="H265" i="27"/>
  <c r="M265" i="27" s="1"/>
  <c r="N265" i="27" s="1"/>
  <c r="AA265" i="27" s="1"/>
  <c r="H517" i="27"/>
  <c r="M517" i="27" s="1"/>
  <c r="N517" i="27" s="1"/>
  <c r="W517" i="27" s="1"/>
  <c r="Z517" i="27" s="1"/>
  <c r="H527" i="27"/>
  <c r="M527" i="27" s="1"/>
  <c r="S527" i="27" s="1"/>
  <c r="H569" i="27"/>
  <c r="M569" i="27" s="1"/>
  <c r="N569" i="27" s="1"/>
  <c r="Q569" i="27" s="1"/>
  <c r="R569" i="27" s="1"/>
  <c r="AT569" i="27" s="1"/>
  <c r="H319" i="27"/>
  <c r="M319" i="27" s="1"/>
  <c r="S319" i="27" s="1"/>
  <c r="H423" i="27"/>
  <c r="M423" i="27" s="1"/>
  <c r="S423" i="27" s="1"/>
  <c r="H636" i="27"/>
  <c r="M636" i="27" s="1"/>
  <c r="N636" i="27" s="1"/>
  <c r="Q636" i="27" s="1"/>
  <c r="R636" i="27" s="1"/>
  <c r="AT636" i="27" s="1"/>
  <c r="H547" i="27"/>
  <c r="M547" i="27" s="1"/>
  <c r="N547" i="27" s="1"/>
  <c r="AA547" i="27" s="1"/>
  <c r="H587" i="27"/>
  <c r="M587" i="27" s="1"/>
  <c r="S587" i="27" s="1"/>
  <c r="H377" i="27"/>
  <c r="M377" i="27" s="1"/>
  <c r="S377" i="27" s="1"/>
  <c r="H337" i="27"/>
  <c r="M337" i="27" s="1"/>
  <c r="S337" i="27" s="1"/>
  <c r="H356" i="27"/>
  <c r="M356" i="27" s="1"/>
  <c r="S356" i="27" s="1"/>
  <c r="H528" i="27"/>
  <c r="M528" i="27" s="1"/>
  <c r="N528" i="27" s="1"/>
  <c r="AA528" i="27" s="1"/>
  <c r="H505" i="27"/>
  <c r="M505" i="27" s="1"/>
  <c r="S505" i="27" s="1"/>
  <c r="H398" i="27"/>
  <c r="M398" i="27" s="1"/>
  <c r="S398" i="27" s="1"/>
  <c r="H503" i="27"/>
  <c r="M503" i="27" s="1"/>
  <c r="S503" i="27" s="1"/>
  <c r="H671" i="27"/>
  <c r="M671" i="27" s="1"/>
  <c r="S671" i="27" s="1"/>
  <c r="H313" i="27"/>
  <c r="M313" i="27" s="1"/>
  <c r="S313" i="27" s="1"/>
  <c r="B142" i="61"/>
  <c r="H142" i="61" s="1"/>
  <c r="H361" i="27"/>
  <c r="M361" i="27" s="1"/>
  <c r="S361" i="27" s="1"/>
  <c r="H343" i="27"/>
  <c r="M343" i="27" s="1"/>
  <c r="S343" i="27" s="1"/>
  <c r="H358" i="27"/>
  <c r="M358" i="27" s="1"/>
  <c r="S358" i="27" s="1"/>
  <c r="H659" i="27"/>
  <c r="M659" i="27" s="1"/>
  <c r="S659" i="27" s="1"/>
  <c r="H353" i="27"/>
  <c r="M353" i="27" s="1"/>
  <c r="S353" i="27" s="1"/>
  <c r="H654" i="27"/>
  <c r="M654" i="27" s="1"/>
  <c r="S654" i="27" s="1"/>
  <c r="B148" i="61"/>
  <c r="H148" i="61" s="1"/>
  <c r="H607" i="27"/>
  <c r="M607" i="27" s="1"/>
  <c r="S607" i="27" s="1"/>
  <c r="H380" i="27"/>
  <c r="M380" i="27" s="1"/>
  <c r="S380" i="27" s="1"/>
  <c r="H593" i="27"/>
  <c r="M593" i="27" s="1"/>
  <c r="M275" i="82" s="1"/>
  <c r="H331" i="27"/>
  <c r="M331" i="27" s="1"/>
  <c r="S331" i="27" s="1"/>
  <c r="H534" i="27"/>
  <c r="M534" i="27" s="1"/>
  <c r="N534" i="27" s="1"/>
  <c r="Q534" i="27" s="1"/>
  <c r="R534" i="27" s="1"/>
  <c r="AT534" i="27" s="1"/>
  <c r="H497" i="27"/>
  <c r="M497" i="27" s="1"/>
  <c r="S497" i="27" s="1"/>
  <c r="H583" i="27"/>
  <c r="M583" i="27" s="1"/>
  <c r="S583" i="27" s="1"/>
  <c r="H301" i="27"/>
  <c r="M301" i="27" s="1"/>
  <c r="S301" i="27" s="1"/>
  <c r="H410" i="27"/>
  <c r="M410" i="27" s="1"/>
  <c r="S410" i="27" s="1"/>
  <c r="H286" i="27"/>
  <c r="M286" i="27" s="1"/>
  <c r="N286" i="27" s="1"/>
  <c r="W286" i="27" s="1"/>
  <c r="Z286" i="27" s="1"/>
  <c r="H498" i="27"/>
  <c r="M498" i="27" s="1"/>
  <c r="S498" i="27" s="1"/>
  <c r="H541" i="27"/>
  <c r="M541" i="27" s="1"/>
  <c r="S541" i="27" s="1"/>
  <c r="H408" i="27"/>
  <c r="M408" i="27" s="1"/>
  <c r="S408" i="27" s="1"/>
  <c r="H299" i="27"/>
  <c r="M299" i="27" s="1"/>
  <c r="S299" i="27" s="1"/>
  <c r="H546" i="27"/>
  <c r="M546" i="27" s="1"/>
  <c r="N546" i="27" s="1"/>
  <c r="AA546" i="27" s="1"/>
  <c r="H316" i="27"/>
  <c r="M316" i="27" s="1"/>
  <c r="S316" i="27" s="1"/>
  <c r="H670" i="27"/>
  <c r="M670" i="27" s="1"/>
  <c r="N670" i="27" s="1"/>
  <c r="W670" i="27" s="1"/>
  <c r="Z670" i="27" s="1"/>
  <c r="H396" i="27"/>
  <c r="M396" i="27" s="1"/>
  <c r="S396" i="27" s="1"/>
  <c r="H653" i="27"/>
  <c r="M653" i="27" s="1"/>
  <c r="S653" i="27" s="1"/>
  <c r="H652" i="27"/>
  <c r="M652" i="27" s="1"/>
  <c r="S652" i="27" s="1"/>
  <c r="H339" i="27"/>
  <c r="M339" i="27" s="1"/>
  <c r="S339" i="27" s="1"/>
  <c r="H317" i="27"/>
  <c r="M317" i="27" s="1"/>
  <c r="S317" i="27" s="1"/>
  <c r="H487" i="27"/>
  <c r="M487" i="27" s="1"/>
  <c r="N487" i="27" s="1"/>
  <c r="W487" i="27" s="1"/>
  <c r="Z487" i="27" s="1"/>
  <c r="H608" i="27"/>
  <c r="M608" i="27" s="1"/>
  <c r="S608" i="27" s="1"/>
  <c r="H609" i="27"/>
  <c r="M609" i="27" s="1"/>
  <c r="S609" i="27" s="1"/>
  <c r="H359" i="27"/>
  <c r="M359" i="27" s="1"/>
  <c r="S359" i="27" s="1"/>
  <c r="H683" i="27"/>
  <c r="M683" i="27" s="1"/>
  <c r="S683" i="27" s="1"/>
  <c r="H336" i="27"/>
  <c r="M336" i="27" s="1"/>
  <c r="S336" i="27" s="1"/>
  <c r="H686" i="27"/>
  <c r="M686" i="27" s="1"/>
  <c r="S686" i="27" s="1"/>
  <c r="H383" i="27"/>
  <c r="M383" i="27" s="1"/>
  <c r="S383" i="27" s="1"/>
  <c r="H529" i="27"/>
  <c r="M529" i="27" s="1"/>
  <c r="N529" i="27" s="1"/>
  <c r="AA529" i="27" s="1"/>
  <c r="H294" i="27"/>
  <c r="M294" i="27" s="1"/>
  <c r="S294" i="27" s="1"/>
  <c r="H643" i="27"/>
  <c r="M643" i="27" s="1"/>
  <c r="M297" i="82" s="1"/>
  <c r="H489" i="27"/>
  <c r="M489" i="27" s="1"/>
  <c r="N489" i="27" s="1"/>
  <c r="Q489" i="27" s="1"/>
  <c r="R489" i="27" s="1"/>
  <c r="AT489" i="27" s="1"/>
  <c r="H285" i="27"/>
  <c r="M285" i="27" s="1"/>
  <c r="N285" i="27" s="1"/>
  <c r="AA285" i="27" s="1"/>
  <c r="H557" i="27"/>
  <c r="M557" i="27" s="1"/>
  <c r="N557" i="27" s="1"/>
  <c r="Q557" i="27" s="1"/>
  <c r="R557" i="27" s="1"/>
  <c r="AT557" i="27" s="1"/>
  <c r="H549" i="27"/>
  <c r="M549" i="27" s="1"/>
  <c r="N549" i="27" s="1"/>
  <c r="W549" i="27" s="1"/>
  <c r="Z549" i="27" s="1"/>
  <c r="H295" i="27"/>
  <c r="M295" i="27" s="1"/>
  <c r="S295" i="27" s="1"/>
  <c r="H673" i="27"/>
  <c r="M673" i="27" s="1"/>
  <c r="N673" i="27" s="1"/>
  <c r="AA673" i="27" s="1"/>
  <c r="H407" i="27"/>
  <c r="M407" i="27" s="1"/>
  <c r="S407" i="27" s="1"/>
  <c r="H561" i="27"/>
  <c r="M561" i="27" s="1"/>
  <c r="N561" i="27" s="1"/>
  <c r="W561" i="27" s="1"/>
  <c r="Z561" i="27" s="1"/>
  <c r="H674" i="27"/>
  <c r="M674" i="27" s="1"/>
  <c r="N674" i="27" s="1"/>
  <c r="Q674" i="27" s="1"/>
  <c r="R674" i="27" s="1"/>
  <c r="AT674" i="27" s="1"/>
  <c r="H422" i="27"/>
  <c r="M422" i="27" s="1"/>
  <c r="S422" i="27" s="1"/>
  <c r="H355" i="27"/>
  <c r="M355" i="27" s="1"/>
  <c r="S355" i="27" s="1"/>
  <c r="H357" i="27"/>
  <c r="M357" i="27" s="1"/>
  <c r="S357" i="27" s="1"/>
  <c r="H667" i="27"/>
  <c r="M667" i="27" s="1"/>
  <c r="S667" i="27" s="1"/>
  <c r="H309" i="82"/>
  <c r="M309" i="82" s="1"/>
  <c r="N309" i="82" s="1"/>
  <c r="Q309" i="82" s="1"/>
  <c r="R309" i="82" s="1"/>
  <c r="H586" i="27"/>
  <c r="M586" i="27" s="1"/>
  <c r="S586" i="27" s="1"/>
  <c r="H305" i="27"/>
  <c r="M305" i="27" s="1"/>
  <c r="S305" i="27" s="1"/>
  <c r="B128" i="61"/>
  <c r="H128" i="61" s="1"/>
  <c r="H592" i="27"/>
  <c r="M592" i="27" s="1"/>
  <c r="S592" i="27" s="1"/>
  <c r="H571" i="27"/>
  <c r="M571" i="27" s="1"/>
  <c r="M253" i="82" s="1"/>
  <c r="S253" i="82" s="1"/>
  <c r="H298" i="27"/>
  <c r="M298" i="27" s="1"/>
  <c r="S298" i="27" s="1"/>
  <c r="H476" i="27"/>
  <c r="M476" i="27" s="1"/>
  <c r="S476" i="27" s="1"/>
  <c r="H619" i="27"/>
  <c r="M619" i="27" s="1"/>
  <c r="S619" i="27" s="1"/>
  <c r="H373" i="27"/>
  <c r="M373" i="27" s="1"/>
  <c r="S373" i="27" s="1"/>
  <c r="H478" i="27"/>
  <c r="M478" i="27" s="1"/>
  <c r="S478" i="27" s="1"/>
  <c r="H685" i="27"/>
  <c r="M685" i="27" s="1"/>
  <c r="S685" i="27" s="1"/>
  <c r="H362" i="27"/>
  <c r="M362" i="27" s="1"/>
  <c r="S362" i="27" s="1"/>
  <c r="H684" i="27"/>
  <c r="M684" i="27" s="1"/>
  <c r="S684" i="27" s="1"/>
  <c r="H381" i="27"/>
  <c r="M381" i="27" s="1"/>
  <c r="N381" i="27" s="1"/>
  <c r="H504" i="27"/>
  <c r="M504" i="27" s="1"/>
  <c r="M196" i="82" s="1"/>
  <c r="S196" i="82" s="1"/>
  <c r="H315" i="27"/>
  <c r="M315" i="27" s="1"/>
  <c r="S315" i="27" s="1"/>
  <c r="H559" i="27"/>
  <c r="M559" i="27" s="1"/>
  <c r="N559" i="27" s="1"/>
  <c r="W559" i="27" s="1"/>
  <c r="Z559" i="27" s="1"/>
  <c r="H523" i="27"/>
  <c r="M523" i="27" s="1"/>
  <c r="S523" i="27" s="1"/>
  <c r="H642" i="27"/>
  <c r="M642" i="27" s="1"/>
  <c r="N642" i="27" s="1"/>
  <c r="Q642" i="27" s="1"/>
  <c r="R642" i="27" s="1"/>
  <c r="AT642" i="27" s="1"/>
  <c r="H548" i="27"/>
  <c r="M548" i="27" s="1"/>
  <c r="N548" i="27" s="1"/>
  <c r="Q548" i="27" s="1"/>
  <c r="R548" i="27" s="1"/>
  <c r="AT548" i="27" s="1"/>
  <c r="H638" i="27"/>
  <c r="M638" i="27" s="1"/>
  <c r="N638" i="27" s="1"/>
  <c r="AA638" i="27" s="1"/>
  <c r="H520" i="27"/>
  <c r="M520" i="27" s="1"/>
  <c r="N520" i="27" s="1"/>
  <c r="AA520" i="27" s="1"/>
  <c r="H570" i="27"/>
  <c r="M570" i="27" s="1"/>
  <c r="N570" i="27" s="1"/>
  <c r="W570" i="27" s="1"/>
  <c r="Z570" i="27" s="1"/>
  <c r="H566" i="27"/>
  <c r="M566" i="27" s="1"/>
  <c r="S566" i="27" s="1"/>
  <c r="H564" i="27"/>
  <c r="M564" i="27" s="1"/>
  <c r="N564" i="27" s="1"/>
  <c r="W564" i="27" s="1"/>
  <c r="Z564" i="27" s="1"/>
  <c r="H635" i="27"/>
  <c r="M635" i="27" s="1"/>
  <c r="N635" i="27" s="1"/>
  <c r="W635" i="27" s="1"/>
  <c r="Z635" i="27" s="1"/>
  <c r="H304" i="27"/>
  <c r="M304" i="27" s="1"/>
  <c r="S304" i="27" s="1"/>
  <c r="H551" i="27"/>
  <c r="M551" i="27" s="1"/>
  <c r="M233" i="82" s="1"/>
  <c r="H590" i="27"/>
  <c r="M590" i="27" s="1"/>
  <c r="S590" i="27" s="1"/>
  <c r="H650" i="27"/>
  <c r="M650" i="27" s="1"/>
  <c r="S650" i="27" s="1"/>
  <c r="H540" i="27"/>
  <c r="M540" i="27" s="1"/>
  <c r="N540" i="27" s="1"/>
  <c r="AA540" i="27" s="1"/>
  <c r="H526" i="27"/>
  <c r="M526" i="27" s="1"/>
  <c r="N526" i="27" s="1"/>
  <c r="Q526" i="27" s="1"/>
  <c r="R526" i="27" s="1"/>
  <c r="AT526" i="27" s="1"/>
  <c r="N24" i="27"/>
  <c r="AA24" i="27" s="1"/>
  <c r="Q17" i="91"/>
  <c r="Q18" i="91" s="1"/>
  <c r="H22" i="73"/>
  <c r="K22" i="73" s="1"/>
  <c r="L22" i="73" s="1"/>
  <c r="M22" i="73" s="1"/>
  <c r="I87" i="64"/>
  <c r="H8" i="64"/>
  <c r="C216" i="43"/>
  <c r="C220" i="43" s="1"/>
  <c r="C221" i="43" s="1"/>
  <c r="D107" i="58" s="1"/>
  <c r="D108" i="58" s="1"/>
  <c r="C252" i="43"/>
  <c r="C256" i="43" s="1"/>
  <c r="C257" i="43" s="1"/>
  <c r="D127" i="58" s="1"/>
  <c r="D128" i="58" s="1"/>
  <c r="C198" i="43"/>
  <c r="C202" i="43" s="1"/>
  <c r="C203" i="43" s="1"/>
  <c r="D97" i="58" s="1"/>
  <c r="D98" i="58" s="1"/>
  <c r="C234" i="43"/>
  <c r="C238" i="43" s="1"/>
  <c r="C239" i="43" s="1"/>
  <c r="D117" i="58" s="1"/>
  <c r="D118" i="58" s="1"/>
  <c r="N132" i="27"/>
  <c r="AA132" i="27" s="1"/>
  <c r="N162" i="27"/>
  <c r="Q162" i="27" s="1"/>
  <c r="R162" i="27" s="1"/>
  <c r="AT162" i="27" s="1"/>
  <c r="N116" i="27"/>
  <c r="AA116" i="27" s="1"/>
  <c r="N129" i="27"/>
  <c r="AA129" i="27" s="1"/>
  <c r="N175" i="27"/>
  <c r="AA175" i="27" s="1"/>
  <c r="N146" i="27"/>
  <c r="Q146" i="27" s="1"/>
  <c r="R146" i="27" s="1"/>
  <c r="AT146" i="27" s="1"/>
  <c r="AA42" i="27"/>
  <c r="AB42" i="27" s="1"/>
  <c r="N114" i="27"/>
  <c r="AA114" i="27" s="1"/>
  <c r="N158" i="27"/>
  <c r="Q158" i="27" s="1"/>
  <c r="R158" i="27" s="1"/>
  <c r="AT158" i="27" s="1"/>
  <c r="N143" i="27"/>
  <c r="Q143" i="27" s="1"/>
  <c r="R143" i="27" s="1"/>
  <c r="AT143" i="27" s="1"/>
  <c r="M161" i="27"/>
  <c r="S161" i="27" s="1"/>
  <c r="M110" i="27"/>
  <c r="M141" i="27"/>
  <c r="N141" i="27" s="1"/>
  <c r="M154" i="27"/>
  <c r="S154" i="27" s="1"/>
  <c r="M169" i="27"/>
  <c r="S169" i="27" s="1"/>
  <c r="M187" i="27"/>
  <c r="S187" i="27" s="1"/>
  <c r="M186" i="27"/>
  <c r="S186" i="27" s="1"/>
  <c r="N174" i="27"/>
  <c r="Q174" i="27" s="1"/>
  <c r="R174" i="27" s="1"/>
  <c r="AT174" i="27" s="1"/>
  <c r="N117" i="27"/>
  <c r="AA117" i="27" s="1"/>
  <c r="N99" i="27"/>
  <c r="W99" i="27" s="1"/>
  <c r="Z99" i="27" s="1"/>
  <c r="M176" i="27"/>
  <c r="S176" i="27" s="1"/>
  <c r="N130" i="27"/>
  <c r="AA130" i="27" s="1"/>
  <c r="M144" i="27"/>
  <c r="S144" i="27" s="1"/>
  <c r="M159" i="27"/>
  <c r="S159" i="27" s="1"/>
  <c r="M173" i="27"/>
  <c r="S173" i="27" s="1"/>
  <c r="M113" i="27"/>
  <c r="S113" i="27" s="1"/>
  <c r="M115" i="27"/>
  <c r="S115" i="27" s="1"/>
  <c r="M102" i="27"/>
  <c r="S102" i="27" s="1"/>
  <c r="M156" i="27"/>
  <c r="S156" i="27" s="1"/>
  <c r="M155" i="27"/>
  <c r="S155" i="27" s="1"/>
  <c r="M157" i="27"/>
  <c r="S157" i="27" s="1"/>
  <c r="M170" i="27"/>
  <c r="S170" i="27" s="1"/>
  <c r="M127" i="27"/>
  <c r="N127" i="27" s="1"/>
  <c r="M125" i="27"/>
  <c r="N125" i="27" s="1"/>
  <c r="M112" i="27"/>
  <c r="N112" i="27" s="1"/>
  <c r="M57" i="27"/>
  <c r="S57" i="27" s="1"/>
  <c r="M185" i="27"/>
  <c r="S185" i="27" s="1"/>
  <c r="M139" i="27"/>
  <c r="N139" i="27" s="1"/>
  <c r="M184" i="27"/>
  <c r="S184" i="27" s="1"/>
  <c r="M109" i="27"/>
  <c r="M126" i="27"/>
  <c r="N126" i="27" s="1"/>
  <c r="M124" i="27"/>
  <c r="N124" i="27" s="1"/>
  <c r="M142" i="27"/>
  <c r="M140" i="27"/>
  <c r="N140" i="27" s="1"/>
  <c r="M171" i="27"/>
  <c r="S171" i="27" s="1"/>
  <c r="M172" i="27"/>
  <c r="S172" i="27" s="1"/>
  <c r="M111" i="27"/>
  <c r="M63" i="27"/>
  <c r="S63" i="27" s="1"/>
  <c r="M247" i="27"/>
  <c r="N247" i="27" s="1"/>
  <c r="M71" i="27"/>
  <c r="S71" i="27" s="1"/>
  <c r="M252" i="27"/>
  <c r="N252" i="27" s="1"/>
  <c r="M65" i="27"/>
  <c r="S65" i="27" s="1"/>
  <c r="M255" i="27"/>
  <c r="N255" i="27" s="1"/>
  <c r="N196" i="82"/>
  <c r="Q196" i="82" s="1"/>
  <c r="R196" i="82" s="1"/>
  <c r="N253" i="82"/>
  <c r="Q253" i="82" s="1"/>
  <c r="R253" i="82" s="1"/>
  <c r="N273" i="82"/>
  <c r="Q273" i="82" s="1"/>
  <c r="R273" i="82" s="1"/>
  <c r="N101" i="27"/>
  <c r="W101" i="27" s="1"/>
  <c r="Z101" i="27" s="1"/>
  <c r="N145" i="27"/>
  <c r="Q145" i="27" s="1"/>
  <c r="R145" i="27" s="1"/>
  <c r="AT145" i="27" s="1"/>
  <c r="N177" i="27"/>
  <c r="AA177" i="27" s="1"/>
  <c r="N160" i="27"/>
  <c r="W160" i="27" s="1"/>
  <c r="Z160" i="27" s="1"/>
  <c r="M192" i="27"/>
  <c r="N192" i="27" s="1"/>
  <c r="M59" i="27"/>
  <c r="S59" i="27" s="1"/>
  <c r="M74" i="27"/>
  <c r="S74" i="27" s="1"/>
  <c r="M245" i="27"/>
  <c r="M138" i="27"/>
  <c r="N138" i="27" s="1"/>
  <c r="M53" i="27"/>
  <c r="S53" i="27" s="1"/>
  <c r="M62" i="27"/>
  <c r="S62" i="27" s="1"/>
  <c r="M73" i="27"/>
  <c r="S73" i="27" s="1"/>
  <c r="M64" i="27"/>
  <c r="S64" i="27" s="1"/>
  <c r="M257" i="27"/>
  <c r="M52" i="27"/>
  <c r="S52" i="27" s="1"/>
  <c r="M189" i="27"/>
  <c r="M188" i="27"/>
  <c r="N188" i="27" s="1"/>
  <c r="Q42" i="27"/>
  <c r="R42" i="27" s="1"/>
  <c r="AT42" i="27" s="1"/>
  <c r="N147" i="27"/>
  <c r="AA147" i="27" s="1"/>
  <c r="N98" i="27"/>
  <c r="W98" i="27" s="1"/>
  <c r="Z98" i="27" s="1"/>
  <c r="N100" i="27"/>
  <c r="W100" i="27" s="1"/>
  <c r="Z100" i="27" s="1"/>
  <c r="M51" i="27"/>
  <c r="S51" i="27" s="1"/>
  <c r="M254" i="27"/>
  <c r="N254" i="27" s="1"/>
  <c r="M256" i="27"/>
  <c r="N256" i="27" s="1"/>
  <c r="M56" i="27"/>
  <c r="S56" i="27" s="1"/>
  <c r="M69" i="27"/>
  <c r="S69" i="27" s="1"/>
  <c r="M249" i="27"/>
  <c r="N249" i="27" s="1"/>
  <c r="M66" i="27"/>
  <c r="S66" i="27" s="1"/>
  <c r="M191" i="27"/>
  <c r="N191" i="27" s="1"/>
  <c r="M75" i="27"/>
  <c r="S75" i="27" s="1"/>
  <c r="M244" i="27"/>
  <c r="N244" i="27" s="1"/>
  <c r="M108" i="27"/>
  <c r="N108" i="27" s="1"/>
  <c r="M61" i="27"/>
  <c r="S61" i="27" s="1"/>
  <c r="M60" i="27"/>
  <c r="S60" i="27" s="1"/>
  <c r="M248" i="27"/>
  <c r="N248" i="27" s="1"/>
  <c r="M250" i="27"/>
  <c r="N250" i="27" s="1"/>
  <c r="M55" i="27"/>
  <c r="S55" i="27" s="1"/>
  <c r="M72" i="27"/>
  <c r="S72" i="27" s="1"/>
  <c r="N110" i="66"/>
  <c r="R110" i="66" s="1"/>
  <c r="T110" i="66" s="1"/>
  <c r="AT110" i="66" s="1"/>
  <c r="N131" i="27"/>
  <c r="W131" i="27" s="1"/>
  <c r="Z131" i="27" s="1"/>
  <c r="N128" i="27"/>
  <c r="AA128" i="27" s="1"/>
  <c r="M54" i="27"/>
  <c r="S54" i="27" s="1"/>
  <c r="M251" i="27"/>
  <c r="N251" i="27" s="1"/>
  <c r="M153" i="27"/>
  <c r="S153" i="27" s="1"/>
  <c r="M246" i="27"/>
  <c r="N246" i="27" s="1"/>
  <c r="M67" i="27"/>
  <c r="S67" i="27" s="1"/>
  <c r="M68" i="27"/>
  <c r="S68" i="27" s="1"/>
  <c r="M70" i="27"/>
  <c r="S70" i="27" s="1"/>
  <c r="M243" i="27"/>
  <c r="N243" i="27" s="1"/>
  <c r="M58" i="27"/>
  <c r="S58" i="27" s="1"/>
  <c r="M183" i="27"/>
  <c r="S183" i="27" s="1"/>
  <c r="M190" i="27"/>
  <c r="M123" i="27"/>
  <c r="N123" i="27" s="1"/>
  <c r="N253" i="27"/>
  <c r="S253" i="27"/>
  <c r="M129" i="82"/>
  <c r="M50" i="27"/>
  <c r="S50" i="27" s="1"/>
  <c r="N102" i="66"/>
  <c r="R102" i="66" s="1"/>
  <c r="T102" i="66" s="1"/>
  <c r="AT102" i="66" s="1"/>
  <c r="M102" i="66"/>
  <c r="Y102" i="66"/>
  <c r="I103" i="66"/>
  <c r="L103" i="66" s="1"/>
  <c r="L102" i="66"/>
  <c r="L8" i="61"/>
  <c r="L10" i="60"/>
  <c r="L7" i="60" s="1"/>
  <c r="I7" i="60"/>
  <c r="I9" i="60"/>
  <c r="N168" i="27"/>
  <c r="K6" i="4"/>
  <c r="M47" i="27"/>
  <c r="S47" i="27" s="1"/>
  <c r="M48" i="27"/>
  <c r="M49" i="27"/>
  <c r="Q43" i="27"/>
  <c r="R43" i="27" s="1"/>
  <c r="AT43" i="27" s="1"/>
  <c r="W43" i="27"/>
  <c r="Z43" i="27" s="1"/>
  <c r="AA43" i="27"/>
  <c r="E220" i="64"/>
  <c r="E221" i="64" s="1"/>
  <c r="L110" i="66"/>
  <c r="M110" i="66"/>
  <c r="N8" i="27"/>
  <c r="Q8" i="27" s="1"/>
  <c r="R8" i="27" s="1"/>
  <c r="AT8" i="27" s="1"/>
  <c r="N9" i="27"/>
  <c r="Q9" i="27" s="1"/>
  <c r="R9" i="27" s="1"/>
  <c r="AT9" i="27" s="1"/>
  <c r="D270" i="60"/>
  <c r="D18" i="3"/>
  <c r="G18" i="3" s="1"/>
  <c r="J146" i="64"/>
  <c r="J148" i="64" s="1"/>
  <c r="J149" i="64" s="1"/>
  <c r="J136" i="64"/>
  <c r="J138" i="64" s="1"/>
  <c r="J139" i="64" s="1"/>
  <c r="E136" i="64"/>
  <c r="E138" i="64" s="1"/>
  <c r="E139" i="64" s="1"/>
  <c r="J132" i="64" s="1"/>
  <c r="J141" i="64"/>
  <c r="J143" i="64" s="1"/>
  <c r="J144" i="64" s="1"/>
  <c r="N15" i="3"/>
  <c r="F22" i="3" s="1"/>
  <c r="G22" i="3" s="1"/>
  <c r="N95" i="66"/>
  <c r="R95" i="66" s="1"/>
  <c r="T95" i="66" s="1"/>
  <c r="AT95" i="66" s="1"/>
  <c r="M13" i="71"/>
  <c r="AT13" i="71" s="1"/>
  <c r="J153" i="64"/>
  <c r="J154" i="64" s="1"/>
  <c r="J105" i="64"/>
  <c r="J145" i="72"/>
  <c r="I1234" i="70"/>
  <c r="Q1233" i="70"/>
  <c r="R47" i="7" s="1"/>
  <c r="C15" i="7"/>
  <c r="L122" i="52" s="1"/>
  <c r="G1233" i="70"/>
  <c r="H47" i="7" s="1"/>
  <c r="F1233" i="70"/>
  <c r="G47" i="7" s="1"/>
  <c r="N1234" i="70"/>
  <c r="C1234" i="70"/>
  <c r="M1234" i="70"/>
  <c r="P1233" i="70"/>
  <c r="Q47" i="7" s="1"/>
  <c r="E1233" i="70"/>
  <c r="F47" i="7" s="1"/>
  <c r="K1234" i="70"/>
  <c r="O1234" i="70"/>
  <c r="J1233" i="70"/>
  <c r="K47" i="7" s="1"/>
  <c r="H1234" i="70"/>
  <c r="J1234" i="70"/>
  <c r="Q1234" i="70"/>
  <c r="E1234" i="70"/>
  <c r="M1233" i="70"/>
  <c r="N47" i="7" s="1"/>
  <c r="C1233" i="70"/>
  <c r="D47" i="7" s="1"/>
  <c r="B1233" i="70"/>
  <c r="C47" i="7" s="1"/>
  <c r="G1234" i="70"/>
  <c r="K1233" i="70"/>
  <c r="L47" i="7" s="1"/>
  <c r="F1234" i="70"/>
  <c r="L1233" i="70"/>
  <c r="M47" i="7" s="1"/>
  <c r="I1233" i="70"/>
  <c r="J47" i="7" s="1"/>
  <c r="L1234" i="70"/>
  <c r="P1234" i="70"/>
  <c r="N1233" i="70"/>
  <c r="O47" i="7" s="1"/>
  <c r="O1233" i="70"/>
  <c r="P47" i="7" s="1"/>
  <c r="D1234" i="70"/>
  <c r="H1233" i="70"/>
  <c r="I47" i="7" s="1"/>
  <c r="D1233" i="70"/>
  <c r="E47" i="7" s="1"/>
  <c r="M46" i="27"/>
  <c r="S46" i="27" s="1"/>
  <c r="L153" i="4"/>
  <c r="N153" i="4" s="1"/>
  <c r="AT153" i="4" s="1"/>
  <c r="Y110" i="66"/>
  <c r="E250" i="64"/>
  <c r="E251" i="64" s="1"/>
  <c r="I119" i="66"/>
  <c r="Y117" i="66"/>
  <c r="N117" i="66"/>
  <c r="R117" i="66" s="1"/>
  <c r="T117" i="66" s="1"/>
  <c r="AT117" i="66" s="1"/>
  <c r="L117" i="66"/>
  <c r="M117" i="66"/>
  <c r="I141" i="66"/>
  <c r="M140" i="66"/>
  <c r="Y140" i="66"/>
  <c r="L140" i="66"/>
  <c r="AT8" i="61" l="1"/>
  <c r="AU165" i="61" s="1"/>
  <c r="Q12" i="83"/>
  <c r="K1222" i="70"/>
  <c r="K1221" i="70"/>
  <c r="K1220" i="70"/>
  <c r="K1223" i="70"/>
  <c r="J1222" i="70"/>
  <c r="J1221" i="70"/>
  <c r="J1223" i="70"/>
  <c r="J1220" i="70"/>
  <c r="I1223" i="70"/>
  <c r="I1220" i="70"/>
  <c r="I1222" i="70"/>
  <c r="I1221" i="70"/>
  <c r="AT26" i="3"/>
  <c r="G26" i="3"/>
  <c r="AT25" i="3"/>
  <c r="G25" i="3"/>
  <c r="B1252" i="70"/>
  <c r="B1270" i="70"/>
  <c r="C1224" i="70"/>
  <c r="B22" i="7"/>
  <c r="B48" i="7"/>
  <c r="H154" i="72"/>
  <c r="B38" i="7"/>
  <c r="I79" i="7"/>
  <c r="G79" i="7"/>
  <c r="C205" i="71"/>
  <c r="O2" i="74" s="1"/>
  <c r="C7" i="84" s="1"/>
  <c r="I8" i="64"/>
  <c r="H6" i="64"/>
  <c r="E24" i="3"/>
  <c r="F24" i="3" s="1"/>
  <c r="G24" i="3" s="1"/>
  <c r="K15" i="83" s="1"/>
  <c r="K7" i="83" s="1"/>
  <c r="E12" i="7"/>
  <c r="D1221" i="70"/>
  <c r="F14" i="7" s="1"/>
  <c r="N143" i="4"/>
  <c r="AT143" i="4" s="1"/>
  <c r="AU155" i="4" s="1"/>
  <c r="W25" i="27"/>
  <c r="Z25" i="27" s="1"/>
  <c r="AB25" i="27" s="1"/>
  <c r="Q25" i="27"/>
  <c r="R25" i="27" s="1"/>
  <c r="AT25" i="27" s="1"/>
  <c r="K6" i="61"/>
  <c r="M679" i="27"/>
  <c r="S679" i="27" s="1"/>
  <c r="N679" i="27"/>
  <c r="M675" i="27"/>
  <c r="S675" i="27" s="1"/>
  <c r="N675" i="27"/>
  <c r="M676" i="27"/>
  <c r="S676" i="27" s="1"/>
  <c r="N676" i="27"/>
  <c r="M677" i="27"/>
  <c r="S677" i="27" s="1"/>
  <c r="N677" i="27"/>
  <c r="M678" i="27"/>
  <c r="S678" i="27" s="1"/>
  <c r="N678" i="27"/>
  <c r="M660" i="27"/>
  <c r="S660" i="27" s="1"/>
  <c r="N660" i="27"/>
  <c r="M661" i="27"/>
  <c r="S661" i="27" s="1"/>
  <c r="N661" i="27"/>
  <c r="M662" i="27"/>
  <c r="S662" i="27" s="1"/>
  <c r="N662" i="27"/>
  <c r="M663" i="27"/>
  <c r="S663" i="27" s="1"/>
  <c r="N663" i="27"/>
  <c r="M664" i="27"/>
  <c r="S664" i="27" s="1"/>
  <c r="N664" i="27"/>
  <c r="M622" i="27"/>
  <c r="S622" i="27" s="1"/>
  <c r="N622" i="27"/>
  <c r="M623" i="27"/>
  <c r="S623" i="27" s="1"/>
  <c r="N623" i="27"/>
  <c r="M624" i="27"/>
  <c r="S624" i="27" s="1"/>
  <c r="N624" i="27"/>
  <c r="M625" i="27"/>
  <c r="S625" i="27" s="1"/>
  <c r="N625" i="27"/>
  <c r="M626" i="27"/>
  <c r="S626" i="27" s="1"/>
  <c r="N626" i="27"/>
  <c r="M368" i="27"/>
  <c r="S368" i="27" s="1"/>
  <c r="N368" i="27"/>
  <c r="M367" i="27"/>
  <c r="S367" i="27" s="1"/>
  <c r="N367" i="27"/>
  <c r="M366" i="27"/>
  <c r="S366" i="27" s="1"/>
  <c r="N366" i="27"/>
  <c r="M365" i="27"/>
  <c r="S365" i="27" s="1"/>
  <c r="N365" i="27"/>
  <c r="M364" i="27"/>
  <c r="S364" i="27" s="1"/>
  <c r="N364" i="27"/>
  <c r="M330" i="27"/>
  <c r="S330" i="27" s="1"/>
  <c r="N330" i="27"/>
  <c r="M329" i="27"/>
  <c r="S329" i="27" s="1"/>
  <c r="N329" i="27"/>
  <c r="M328" i="27"/>
  <c r="S328" i="27" s="1"/>
  <c r="N328" i="27"/>
  <c r="M327" i="27"/>
  <c r="S327" i="27" s="1"/>
  <c r="N327" i="27"/>
  <c r="M326" i="27"/>
  <c r="S326" i="27" s="1"/>
  <c r="N326" i="27"/>
  <c r="M292" i="27"/>
  <c r="S292" i="27" s="1"/>
  <c r="N292" i="27"/>
  <c r="M291" i="27"/>
  <c r="S291" i="27" s="1"/>
  <c r="N291" i="27"/>
  <c r="M290" i="27"/>
  <c r="S290" i="27" s="1"/>
  <c r="N290" i="27"/>
  <c r="M289" i="27"/>
  <c r="S289" i="27" s="1"/>
  <c r="N289" i="27"/>
  <c r="M288" i="27"/>
  <c r="S288" i="27" s="1"/>
  <c r="N288" i="27"/>
  <c r="Q34" i="27"/>
  <c r="R34" i="27" s="1"/>
  <c r="W34" i="27"/>
  <c r="Z34" i="27" s="1"/>
  <c r="AA34" i="27"/>
  <c r="Q35" i="27"/>
  <c r="R35" i="27" s="1"/>
  <c r="W35" i="27"/>
  <c r="Z35" i="27" s="1"/>
  <c r="AA35" i="27"/>
  <c r="Q36" i="27"/>
  <c r="R36" i="27" s="1"/>
  <c r="W36" i="27"/>
  <c r="Z36" i="27" s="1"/>
  <c r="AA36" i="27"/>
  <c r="Q37" i="27"/>
  <c r="R37" i="27" s="1"/>
  <c r="W37" i="27"/>
  <c r="Z37" i="27" s="1"/>
  <c r="AA37" i="27"/>
  <c r="Q38" i="27"/>
  <c r="R38" i="27" s="1"/>
  <c r="W38" i="27"/>
  <c r="Z38" i="27" s="1"/>
  <c r="AA38" i="27"/>
  <c r="AA471" i="27"/>
  <c r="AU8" i="27"/>
  <c r="AU9" i="27"/>
  <c r="AU177" i="61"/>
  <c r="AU169" i="61"/>
  <c r="AU161" i="61"/>
  <c r="AU145" i="61"/>
  <c r="AU131" i="61"/>
  <c r="AU127" i="61"/>
  <c r="AU119" i="61"/>
  <c r="AU103" i="61"/>
  <c r="AU99" i="61"/>
  <c r="AU95" i="61"/>
  <c r="AU87" i="61"/>
  <c r="AU71" i="61"/>
  <c r="AU67" i="61"/>
  <c r="AU63" i="61"/>
  <c r="AU55" i="61"/>
  <c r="AU39" i="61"/>
  <c r="AU35" i="61"/>
  <c r="AU31" i="61"/>
  <c r="AU23" i="61"/>
  <c r="AU179" i="61"/>
  <c r="AU69" i="61"/>
  <c r="AU25" i="61"/>
  <c r="AU45" i="61"/>
  <c r="AU180" i="61"/>
  <c r="AU176" i="61"/>
  <c r="AU172" i="61"/>
  <c r="AU164" i="61"/>
  <c r="AU148" i="61"/>
  <c r="AU144" i="61"/>
  <c r="AU130" i="61"/>
  <c r="AU122" i="61"/>
  <c r="AU106" i="61"/>
  <c r="AU102" i="61"/>
  <c r="AU98" i="61"/>
  <c r="AU90" i="61"/>
  <c r="AU74" i="61"/>
  <c r="AU70" i="61"/>
  <c r="AU66" i="61"/>
  <c r="AU58" i="61"/>
  <c r="AU42" i="61"/>
  <c r="AU38" i="61"/>
  <c r="AU34" i="61"/>
  <c r="AU26" i="61"/>
  <c r="AU10" i="61"/>
  <c r="AU167" i="61"/>
  <c r="AU191" i="61"/>
  <c r="AU183" i="61"/>
  <c r="AU117" i="61"/>
  <c r="AU109" i="61"/>
  <c r="AU101" i="61"/>
  <c r="AU85" i="61"/>
  <c r="AU41" i="61"/>
  <c r="AU29" i="61"/>
  <c r="AU17" i="61"/>
  <c r="AU190" i="61"/>
  <c r="AU174" i="61"/>
  <c r="AU170" i="61"/>
  <c r="AU166" i="61"/>
  <c r="AU158" i="61"/>
  <c r="AU142" i="61"/>
  <c r="AU128" i="61"/>
  <c r="AU124" i="61"/>
  <c r="AU116" i="61"/>
  <c r="AU100" i="61"/>
  <c r="AU96" i="61"/>
  <c r="AU92" i="61"/>
  <c r="AU84" i="61"/>
  <c r="AU68" i="61"/>
  <c r="AU64" i="61"/>
  <c r="AU60" i="61"/>
  <c r="AU52" i="61"/>
  <c r="AU36" i="61"/>
  <c r="AU32" i="61"/>
  <c r="AU28" i="61"/>
  <c r="AU20" i="61"/>
  <c r="AU175" i="61"/>
  <c r="AU163" i="61"/>
  <c r="AU159" i="61"/>
  <c r="AU147" i="61"/>
  <c r="AU105" i="61"/>
  <c r="AU97" i="61"/>
  <c r="AU89" i="61"/>
  <c r="AU73" i="61"/>
  <c r="AU21" i="61"/>
  <c r="AU13" i="61"/>
  <c r="AU187" i="61"/>
  <c r="AU241" i="71"/>
  <c r="AU205" i="71"/>
  <c r="AU225" i="71"/>
  <c r="AU240" i="71"/>
  <c r="AU236" i="71"/>
  <c r="AU232" i="71"/>
  <c r="AU228" i="71"/>
  <c r="AU224" i="71"/>
  <c r="AU220" i="71"/>
  <c r="AU216" i="71"/>
  <c r="AU212" i="71"/>
  <c r="AU208" i="71"/>
  <c r="AU204" i="71"/>
  <c r="AU200" i="71"/>
  <c r="AU196" i="71"/>
  <c r="AU192" i="71"/>
  <c r="AU188" i="71"/>
  <c r="AU184" i="71"/>
  <c r="AU233" i="71"/>
  <c r="AU213" i="71"/>
  <c r="AU201" i="71"/>
  <c r="AU239" i="71"/>
  <c r="AU235" i="71"/>
  <c r="AU231" i="71"/>
  <c r="AU227" i="71"/>
  <c r="AU223" i="71"/>
  <c r="AU219" i="71"/>
  <c r="AU215" i="71"/>
  <c r="AU211" i="71"/>
  <c r="AU207" i="71"/>
  <c r="AU203" i="71"/>
  <c r="AU199" i="71"/>
  <c r="AU195" i="71"/>
  <c r="AU191" i="71"/>
  <c r="AU187" i="71"/>
  <c r="AU229" i="71"/>
  <c r="AU193" i="71"/>
  <c r="AU185" i="71"/>
  <c r="AU217" i="71"/>
  <c r="AU238" i="71"/>
  <c r="AU234" i="71"/>
  <c r="AU230" i="71"/>
  <c r="AU226" i="71"/>
  <c r="AU222" i="71"/>
  <c r="AU218" i="71"/>
  <c r="AU214" i="71"/>
  <c r="AU210" i="71"/>
  <c r="AU206" i="71"/>
  <c r="AU202" i="71"/>
  <c r="AU198" i="71"/>
  <c r="AU194" i="71"/>
  <c r="AU190" i="71"/>
  <c r="AU186" i="71"/>
  <c r="AU237" i="71"/>
  <c r="AU221" i="71"/>
  <c r="AU209" i="71"/>
  <c r="AU197" i="71"/>
  <c r="AU189" i="71"/>
  <c r="AU183" i="71"/>
  <c r="AU179" i="71"/>
  <c r="AU175" i="71"/>
  <c r="AU171" i="71"/>
  <c r="AU167" i="71"/>
  <c r="AU163" i="71"/>
  <c r="AU159" i="71"/>
  <c r="AU155" i="71"/>
  <c r="AU151" i="71"/>
  <c r="AU147" i="71"/>
  <c r="AU143" i="71"/>
  <c r="AU139" i="71"/>
  <c r="AU135" i="71"/>
  <c r="AU131" i="71"/>
  <c r="AU127" i="71"/>
  <c r="AU123" i="71"/>
  <c r="AU119" i="71"/>
  <c r="AU115" i="71"/>
  <c r="AU111" i="71"/>
  <c r="AU107" i="71"/>
  <c r="AU103" i="71"/>
  <c r="AU99" i="71"/>
  <c r="AU95" i="71"/>
  <c r="AU91" i="71"/>
  <c r="AU87" i="71"/>
  <c r="AU83" i="71"/>
  <c r="AU79" i="71"/>
  <c r="AU75" i="71"/>
  <c r="AU71" i="71"/>
  <c r="AU67" i="71"/>
  <c r="AU63" i="71"/>
  <c r="AU59" i="71"/>
  <c r="AU55" i="71"/>
  <c r="AU51" i="71"/>
  <c r="AU47" i="71"/>
  <c r="AU43" i="71"/>
  <c r="AU39" i="71"/>
  <c r="AU35" i="71"/>
  <c r="AU31" i="71"/>
  <c r="AU27" i="71"/>
  <c r="AU23" i="71"/>
  <c r="AU19" i="71"/>
  <c r="AU15" i="71"/>
  <c r="AU11" i="71"/>
  <c r="AU177" i="71"/>
  <c r="AU165" i="71"/>
  <c r="AU157" i="71"/>
  <c r="AU145" i="71"/>
  <c r="AU133" i="71"/>
  <c r="AU121" i="71"/>
  <c r="AU109" i="71"/>
  <c r="AU97" i="71"/>
  <c r="AU85" i="71"/>
  <c r="AU73" i="71"/>
  <c r="AU61" i="71"/>
  <c r="AU49" i="71"/>
  <c r="AU33" i="71"/>
  <c r="AU21" i="71"/>
  <c r="AU9" i="71"/>
  <c r="AU180" i="71"/>
  <c r="AU168" i="71"/>
  <c r="AU156" i="71"/>
  <c r="AU144" i="71"/>
  <c r="AU132" i="71"/>
  <c r="AU169" i="71"/>
  <c r="AU141" i="71"/>
  <c r="AU129" i="71"/>
  <c r="AU117" i="71"/>
  <c r="AU101" i="71"/>
  <c r="AU89" i="71"/>
  <c r="AU81" i="71"/>
  <c r="AU65" i="71"/>
  <c r="AU53" i="71"/>
  <c r="AU41" i="71"/>
  <c r="AU29" i="71"/>
  <c r="AU17" i="71"/>
  <c r="AU172" i="71"/>
  <c r="AU164" i="71"/>
  <c r="AU152" i="71"/>
  <c r="AU140" i="71"/>
  <c r="AU128" i="71"/>
  <c r="AU182" i="71"/>
  <c r="AU178" i="71"/>
  <c r="AU174" i="71"/>
  <c r="AU170" i="71"/>
  <c r="AU166" i="71"/>
  <c r="AU162" i="71"/>
  <c r="AU158" i="71"/>
  <c r="AU154" i="71"/>
  <c r="AU150" i="71"/>
  <c r="AU146" i="71"/>
  <c r="AU142" i="71"/>
  <c r="AU138" i="71"/>
  <c r="AU134" i="71"/>
  <c r="AU130" i="71"/>
  <c r="AU126" i="71"/>
  <c r="AU122" i="71"/>
  <c r="AU118" i="71"/>
  <c r="AU114" i="71"/>
  <c r="AU110" i="71"/>
  <c r="AU106" i="71"/>
  <c r="AU102" i="71"/>
  <c r="AU98" i="71"/>
  <c r="AU94" i="71"/>
  <c r="AU90" i="71"/>
  <c r="AU86" i="71"/>
  <c r="AU82" i="71"/>
  <c r="AU78" i="71"/>
  <c r="AU74" i="71"/>
  <c r="AU70" i="71"/>
  <c r="AU66" i="71"/>
  <c r="AU62" i="71"/>
  <c r="AU58" i="71"/>
  <c r="AU54" i="71"/>
  <c r="AU50" i="71"/>
  <c r="AU46" i="71"/>
  <c r="AU42" i="71"/>
  <c r="AU38" i="71"/>
  <c r="AU34" i="71"/>
  <c r="AU30" i="71"/>
  <c r="AU26" i="71"/>
  <c r="AU22" i="71"/>
  <c r="AU18" i="71"/>
  <c r="AU14" i="71"/>
  <c r="AU10" i="71"/>
  <c r="AU173" i="71"/>
  <c r="AU161" i="71"/>
  <c r="AU153" i="71"/>
  <c r="AU149" i="71"/>
  <c r="AU137" i="71"/>
  <c r="AU125" i="71"/>
  <c r="AU113" i="71"/>
  <c r="AU105" i="71"/>
  <c r="AU93" i="71"/>
  <c r="AU77" i="71"/>
  <c r="AU69" i="71"/>
  <c r="AU57" i="71"/>
  <c r="AU45" i="71"/>
  <c r="AU25" i="71"/>
  <c r="AU13" i="71"/>
  <c r="AU176" i="71"/>
  <c r="AU160" i="71"/>
  <c r="AU148" i="71"/>
  <c r="AU136" i="71"/>
  <c r="AU181" i="71"/>
  <c r="AU37" i="71"/>
  <c r="AU96" i="71"/>
  <c r="AU72" i="71"/>
  <c r="AU48" i="71"/>
  <c r="AU40" i="71"/>
  <c r="AU56" i="71"/>
  <c r="AU116" i="71"/>
  <c r="AU92" i="71"/>
  <c r="AU68" i="71"/>
  <c r="AU24" i="71"/>
  <c r="AU64" i="71"/>
  <c r="AU80" i="71"/>
  <c r="AU36" i="71"/>
  <c r="AU100" i="71"/>
  <c r="AU8" i="71"/>
  <c r="AU76" i="71"/>
  <c r="AU28" i="71"/>
  <c r="AU112" i="71"/>
  <c r="AU88" i="71"/>
  <c r="AU44" i="71"/>
  <c r="AU20" i="71"/>
  <c r="AU108" i="71"/>
  <c r="AU104" i="71"/>
  <c r="AU12" i="71"/>
  <c r="AU124" i="71"/>
  <c r="AU32" i="71"/>
  <c r="AU120" i="71"/>
  <c r="AU52" i="71"/>
  <c r="AU84" i="71"/>
  <c r="AU60" i="71"/>
  <c r="AU16" i="71"/>
  <c r="M285" i="82"/>
  <c r="S285" i="82" s="1"/>
  <c r="W641" i="27"/>
  <c r="Z641" i="27" s="1"/>
  <c r="AB641" i="27" s="1"/>
  <c r="S582" i="27"/>
  <c r="N582" i="27"/>
  <c r="Q582" i="27" s="1"/>
  <c r="R582" i="27" s="1"/>
  <c r="AT582" i="27" s="1"/>
  <c r="S603" i="27"/>
  <c r="AA603" i="27"/>
  <c r="AB603" i="27" s="1"/>
  <c r="Q603" i="27"/>
  <c r="R603" i="27" s="1"/>
  <c r="AT603" i="27" s="1"/>
  <c r="N405" i="27"/>
  <c r="Q405" i="27" s="1"/>
  <c r="R405" i="27" s="1"/>
  <c r="AT405" i="27" s="1"/>
  <c r="J122" i="52"/>
  <c r="I122" i="52"/>
  <c r="H122" i="52"/>
  <c r="G122" i="52"/>
  <c r="F122" i="52"/>
  <c r="E122" i="52"/>
  <c r="D122" i="52"/>
  <c r="C122" i="52"/>
  <c r="N645" i="27"/>
  <c r="M645" i="27"/>
  <c r="S645" i="27" s="1"/>
  <c r="M646" i="27"/>
  <c r="S646" i="27" s="1"/>
  <c r="N646" i="27"/>
  <c r="M647" i="27"/>
  <c r="S647" i="27" s="1"/>
  <c r="N647" i="27"/>
  <c r="N648" i="27"/>
  <c r="M648" i="27"/>
  <c r="S648" i="27" s="1"/>
  <c r="M649" i="27"/>
  <c r="S649" i="27" s="1"/>
  <c r="N649" i="27"/>
  <c r="M510" i="27"/>
  <c r="S510" i="27" s="1"/>
  <c r="N510" i="27"/>
  <c r="M508" i="27"/>
  <c r="S508" i="27" s="1"/>
  <c r="N508" i="27"/>
  <c r="M507" i="27"/>
  <c r="S507" i="27" s="1"/>
  <c r="N507" i="27"/>
  <c r="M509" i="27"/>
  <c r="S509" i="27" s="1"/>
  <c r="N509" i="27"/>
  <c r="M506" i="27"/>
  <c r="S506" i="27" s="1"/>
  <c r="N506" i="27"/>
  <c r="M633" i="27"/>
  <c r="S633" i="27" s="1"/>
  <c r="N633" i="27"/>
  <c r="M634" i="27"/>
  <c r="S634" i="27" s="1"/>
  <c r="N634" i="27"/>
  <c r="M632" i="27"/>
  <c r="S632" i="27" s="1"/>
  <c r="N632" i="27"/>
  <c r="M515" i="27"/>
  <c r="S515" i="27" s="1"/>
  <c r="N515" i="27"/>
  <c r="M511" i="27"/>
  <c r="S511" i="27" s="1"/>
  <c r="N511" i="27"/>
  <c r="M512" i="27"/>
  <c r="S512" i="27" s="1"/>
  <c r="N512" i="27"/>
  <c r="M513" i="27"/>
  <c r="S513" i="27" s="1"/>
  <c r="N513" i="27"/>
  <c r="M514" i="27"/>
  <c r="S514" i="27" s="1"/>
  <c r="N514" i="27"/>
  <c r="M630" i="27"/>
  <c r="S630" i="27" s="1"/>
  <c r="N630" i="27"/>
  <c r="M631" i="27"/>
  <c r="S631" i="27" s="1"/>
  <c r="N631" i="27"/>
  <c r="M485" i="27"/>
  <c r="S485" i="27" s="1"/>
  <c r="N485" i="27"/>
  <c r="M481" i="27"/>
  <c r="S481" i="27" s="1"/>
  <c r="N481" i="27"/>
  <c r="M482" i="27"/>
  <c r="S482" i="27" s="1"/>
  <c r="N482" i="27"/>
  <c r="M483" i="27"/>
  <c r="S483" i="27" s="1"/>
  <c r="N483" i="27"/>
  <c r="M484" i="27"/>
  <c r="S484" i="27" s="1"/>
  <c r="N484" i="27"/>
  <c r="M463" i="27"/>
  <c r="S463" i="27" s="1"/>
  <c r="N463" i="27"/>
  <c r="M462" i="27"/>
  <c r="S462" i="27" s="1"/>
  <c r="N462" i="27"/>
  <c r="M461" i="27"/>
  <c r="S461" i="27" s="1"/>
  <c r="N461" i="27"/>
  <c r="M460" i="27"/>
  <c r="S460" i="27" s="1"/>
  <c r="N460" i="27"/>
  <c r="M459" i="27"/>
  <c r="S459" i="27" s="1"/>
  <c r="N459" i="27"/>
  <c r="M448" i="27"/>
  <c r="S448" i="27" s="1"/>
  <c r="N448" i="27"/>
  <c r="M444" i="27"/>
  <c r="S444" i="27" s="1"/>
  <c r="N444" i="27"/>
  <c r="M445" i="27"/>
  <c r="S445" i="27" s="1"/>
  <c r="N445" i="27"/>
  <c r="M446" i="27"/>
  <c r="S446" i="27" s="1"/>
  <c r="N446" i="27"/>
  <c r="M447" i="27"/>
  <c r="S447" i="27" s="1"/>
  <c r="N447" i="27"/>
  <c r="M433" i="27"/>
  <c r="S433" i="27" s="1"/>
  <c r="N433" i="27"/>
  <c r="M432" i="27"/>
  <c r="S432" i="27" s="1"/>
  <c r="N432" i="27"/>
  <c r="M431" i="27"/>
  <c r="S431" i="27" s="1"/>
  <c r="N431" i="27"/>
  <c r="M430" i="27"/>
  <c r="S430" i="27" s="1"/>
  <c r="N430" i="27"/>
  <c r="M429" i="27"/>
  <c r="S429" i="27" s="1"/>
  <c r="N429" i="27"/>
  <c r="M403" i="27"/>
  <c r="S403" i="27" s="1"/>
  <c r="N403" i="27"/>
  <c r="M418" i="27"/>
  <c r="S418" i="27" s="1"/>
  <c r="N418" i="27"/>
  <c r="M414" i="27"/>
  <c r="S414" i="27" s="1"/>
  <c r="N414" i="27"/>
  <c r="M415" i="27"/>
  <c r="S415" i="27" s="1"/>
  <c r="N415" i="27"/>
  <c r="M416" i="27"/>
  <c r="S416" i="27" s="1"/>
  <c r="N416" i="27"/>
  <c r="M417" i="27"/>
  <c r="S417" i="27" s="1"/>
  <c r="N417" i="27"/>
  <c r="M402" i="27"/>
  <c r="S402" i="27" s="1"/>
  <c r="N402" i="27"/>
  <c r="M401" i="27"/>
  <c r="S401" i="27" s="1"/>
  <c r="N401" i="27"/>
  <c r="M400" i="27"/>
  <c r="S400" i="27" s="1"/>
  <c r="N400" i="27"/>
  <c r="M399" i="27"/>
  <c r="S399" i="27" s="1"/>
  <c r="N399" i="27"/>
  <c r="M390" i="27"/>
  <c r="S390" i="27" s="1"/>
  <c r="N390" i="27"/>
  <c r="M393" i="27"/>
  <c r="S393" i="27" s="1"/>
  <c r="N393" i="27"/>
  <c r="M391" i="27"/>
  <c r="S391" i="27" s="1"/>
  <c r="N391" i="27"/>
  <c r="M392" i="27"/>
  <c r="S392" i="27" s="1"/>
  <c r="N392" i="27"/>
  <c r="M275" i="27"/>
  <c r="S275" i="27" s="1"/>
  <c r="N275" i="27"/>
  <c r="M277" i="27"/>
  <c r="S277" i="27" s="1"/>
  <c r="N277" i="27"/>
  <c r="M276" i="27"/>
  <c r="S276" i="27" s="1"/>
  <c r="N276" i="27"/>
  <c r="M388" i="27"/>
  <c r="S388" i="27" s="1"/>
  <c r="N388" i="27"/>
  <c r="M384" i="27"/>
  <c r="S384" i="27" s="1"/>
  <c r="N384" i="27"/>
  <c r="M385" i="27"/>
  <c r="S385" i="27" s="1"/>
  <c r="N385" i="27"/>
  <c r="M386" i="27"/>
  <c r="S386" i="27" s="1"/>
  <c r="N386" i="27"/>
  <c r="M387" i="27"/>
  <c r="S387" i="27" s="1"/>
  <c r="N387" i="27"/>
  <c r="M350" i="27"/>
  <c r="S350" i="27" s="1"/>
  <c r="N350" i="27"/>
  <c r="M349" i="27"/>
  <c r="S349" i="27" s="1"/>
  <c r="N349" i="27"/>
  <c r="M348" i="27"/>
  <c r="S348" i="27" s="1"/>
  <c r="N348" i="27"/>
  <c r="M347" i="27"/>
  <c r="S347" i="27" s="1"/>
  <c r="N347" i="27"/>
  <c r="M346" i="27"/>
  <c r="S346" i="27" s="1"/>
  <c r="N346" i="27"/>
  <c r="M312" i="27"/>
  <c r="S312" i="27" s="1"/>
  <c r="N312" i="27"/>
  <c r="M308" i="27"/>
  <c r="S308" i="27" s="1"/>
  <c r="N308" i="27"/>
  <c r="M309" i="27"/>
  <c r="S309" i="27" s="1"/>
  <c r="N309" i="27"/>
  <c r="M310" i="27"/>
  <c r="S310" i="27" s="1"/>
  <c r="N310" i="27"/>
  <c r="M311" i="27"/>
  <c r="S311" i="27" s="1"/>
  <c r="N311" i="27"/>
  <c r="M274" i="27"/>
  <c r="S274" i="27" s="1"/>
  <c r="N274" i="27"/>
  <c r="M273" i="27"/>
  <c r="S273" i="27" s="1"/>
  <c r="N273" i="27"/>
  <c r="M272" i="27"/>
  <c r="S272" i="27" s="1"/>
  <c r="N272" i="27"/>
  <c r="M271" i="27"/>
  <c r="S271" i="27" s="1"/>
  <c r="N271" i="27"/>
  <c r="M270" i="27"/>
  <c r="S270" i="27" s="1"/>
  <c r="N270" i="27"/>
  <c r="Q238" i="27"/>
  <c r="R238" i="27" s="1"/>
  <c r="AT238" i="27" s="1"/>
  <c r="W238" i="27"/>
  <c r="Z238" i="27" s="1"/>
  <c r="AA238" i="27"/>
  <c r="Q239" i="27"/>
  <c r="R239" i="27" s="1"/>
  <c r="AT239" i="27" s="1"/>
  <c r="W239" i="27"/>
  <c r="Z239" i="27" s="1"/>
  <c r="AA239" i="27"/>
  <c r="Q240" i="27"/>
  <c r="R240" i="27" s="1"/>
  <c r="AT240" i="27" s="1"/>
  <c r="W240" i="27"/>
  <c r="Z240" i="27" s="1"/>
  <c r="AA240" i="27"/>
  <c r="Q241" i="27"/>
  <c r="R241" i="27" s="1"/>
  <c r="AT241" i="27" s="1"/>
  <c r="W241" i="27"/>
  <c r="Z241" i="27" s="1"/>
  <c r="AA241" i="27"/>
  <c r="Q242" i="27"/>
  <c r="R242" i="27" s="1"/>
  <c r="AT242" i="27" s="1"/>
  <c r="W242" i="27"/>
  <c r="Z242" i="27" s="1"/>
  <c r="AA242" i="27"/>
  <c r="Q223" i="27"/>
  <c r="R223" i="27" s="1"/>
  <c r="AT223" i="27" s="1"/>
  <c r="W223" i="27"/>
  <c r="Z223" i="27" s="1"/>
  <c r="AA223" i="27"/>
  <c r="Q224" i="27"/>
  <c r="R224" i="27" s="1"/>
  <c r="AT224" i="27" s="1"/>
  <c r="W224" i="27"/>
  <c r="Z224" i="27" s="1"/>
  <c r="AA224" i="27"/>
  <c r="Q225" i="27"/>
  <c r="R225" i="27" s="1"/>
  <c r="AT225" i="27" s="1"/>
  <c r="W225" i="27"/>
  <c r="Z225" i="27" s="1"/>
  <c r="AA225" i="27"/>
  <c r="Q226" i="27"/>
  <c r="R226" i="27" s="1"/>
  <c r="AT226" i="27" s="1"/>
  <c r="W226" i="27"/>
  <c r="Z226" i="27" s="1"/>
  <c r="AA226" i="27"/>
  <c r="Q227" i="27"/>
  <c r="R227" i="27" s="1"/>
  <c r="AT227" i="27" s="1"/>
  <c r="W227" i="27"/>
  <c r="Z227" i="27" s="1"/>
  <c r="AA227" i="27"/>
  <c r="Q208" i="27"/>
  <c r="R208" i="27" s="1"/>
  <c r="AT208" i="27" s="1"/>
  <c r="W208" i="27"/>
  <c r="Z208" i="27" s="1"/>
  <c r="AA208" i="27"/>
  <c r="Q209" i="27"/>
  <c r="R209" i="27" s="1"/>
  <c r="AT209" i="27" s="1"/>
  <c r="W209" i="27"/>
  <c r="Z209" i="27" s="1"/>
  <c r="AA209" i="27"/>
  <c r="Q210" i="27"/>
  <c r="R210" i="27" s="1"/>
  <c r="AT210" i="27" s="1"/>
  <c r="W210" i="27"/>
  <c r="Z210" i="27" s="1"/>
  <c r="AA210" i="27"/>
  <c r="Q211" i="27"/>
  <c r="R211" i="27" s="1"/>
  <c r="AT211" i="27" s="1"/>
  <c r="W211" i="27"/>
  <c r="Z211" i="27" s="1"/>
  <c r="AA211" i="27"/>
  <c r="Q212" i="27"/>
  <c r="R212" i="27" s="1"/>
  <c r="AT212" i="27" s="1"/>
  <c r="W212" i="27"/>
  <c r="Z212" i="27" s="1"/>
  <c r="AA212" i="27"/>
  <c r="Q193" i="27"/>
  <c r="R193" i="27" s="1"/>
  <c r="AT193" i="27" s="1"/>
  <c r="W193" i="27"/>
  <c r="Z193" i="27" s="1"/>
  <c r="AA193" i="27"/>
  <c r="Q194" i="27"/>
  <c r="R194" i="27" s="1"/>
  <c r="AT194" i="27" s="1"/>
  <c r="W194" i="27"/>
  <c r="Z194" i="27" s="1"/>
  <c r="AA194" i="27"/>
  <c r="Q195" i="27"/>
  <c r="R195" i="27" s="1"/>
  <c r="AT195" i="27" s="1"/>
  <c r="W195" i="27"/>
  <c r="Z195" i="27" s="1"/>
  <c r="AA195" i="27"/>
  <c r="Q196" i="27"/>
  <c r="R196" i="27" s="1"/>
  <c r="AT196" i="27" s="1"/>
  <c r="W196" i="27"/>
  <c r="Z196" i="27" s="1"/>
  <c r="AA196" i="27"/>
  <c r="Q178" i="27"/>
  <c r="R178" i="27" s="1"/>
  <c r="AT178" i="27" s="1"/>
  <c r="W178" i="27"/>
  <c r="Z178" i="27" s="1"/>
  <c r="AA178" i="27"/>
  <c r="Q179" i="27"/>
  <c r="R179" i="27" s="1"/>
  <c r="AT179" i="27" s="1"/>
  <c r="W179" i="27"/>
  <c r="Z179" i="27" s="1"/>
  <c r="AA179" i="27"/>
  <c r="Q180" i="27"/>
  <c r="R180" i="27" s="1"/>
  <c r="AT180" i="27" s="1"/>
  <c r="W180" i="27"/>
  <c r="Z180" i="27" s="1"/>
  <c r="AA180" i="27"/>
  <c r="Q181" i="27"/>
  <c r="R181" i="27" s="1"/>
  <c r="AT181" i="27" s="1"/>
  <c r="W181" i="27"/>
  <c r="Z181" i="27" s="1"/>
  <c r="AA181" i="27"/>
  <c r="Q182" i="27"/>
  <c r="R182" i="27" s="1"/>
  <c r="AT182" i="27" s="1"/>
  <c r="W182" i="27"/>
  <c r="Z182" i="27" s="1"/>
  <c r="AA182" i="27"/>
  <c r="Q163" i="27"/>
  <c r="R163" i="27" s="1"/>
  <c r="AT163" i="27" s="1"/>
  <c r="W163" i="27"/>
  <c r="Z163" i="27" s="1"/>
  <c r="AA163" i="27"/>
  <c r="Q164" i="27"/>
  <c r="R164" i="27" s="1"/>
  <c r="AT164" i="27" s="1"/>
  <c r="W164" i="27"/>
  <c r="Z164" i="27" s="1"/>
  <c r="AA164" i="27"/>
  <c r="Q165" i="27"/>
  <c r="R165" i="27" s="1"/>
  <c r="AT165" i="27" s="1"/>
  <c r="W165" i="27"/>
  <c r="Z165" i="27" s="1"/>
  <c r="AA165" i="27"/>
  <c r="Q166" i="27"/>
  <c r="R166" i="27" s="1"/>
  <c r="AT166" i="27" s="1"/>
  <c r="W166" i="27"/>
  <c r="Z166" i="27" s="1"/>
  <c r="AA166" i="27"/>
  <c r="Q167" i="27"/>
  <c r="R167" i="27" s="1"/>
  <c r="AT167" i="27" s="1"/>
  <c r="W167" i="27"/>
  <c r="Z167" i="27" s="1"/>
  <c r="AA167" i="27"/>
  <c r="Q148" i="27"/>
  <c r="R148" i="27" s="1"/>
  <c r="AT148" i="27" s="1"/>
  <c r="W148" i="27"/>
  <c r="Z148" i="27" s="1"/>
  <c r="AA148" i="27"/>
  <c r="Q149" i="27"/>
  <c r="R149" i="27" s="1"/>
  <c r="AT149" i="27" s="1"/>
  <c r="W149" i="27"/>
  <c r="Z149" i="27" s="1"/>
  <c r="AA149" i="27"/>
  <c r="Q150" i="27"/>
  <c r="R150" i="27" s="1"/>
  <c r="AT150" i="27" s="1"/>
  <c r="W150" i="27"/>
  <c r="Z150" i="27" s="1"/>
  <c r="AA150" i="27"/>
  <c r="Q151" i="27"/>
  <c r="R151" i="27" s="1"/>
  <c r="AT151" i="27" s="1"/>
  <c r="W151" i="27"/>
  <c r="Z151" i="27" s="1"/>
  <c r="AA151" i="27"/>
  <c r="Q152" i="27"/>
  <c r="R152" i="27" s="1"/>
  <c r="AT152" i="27" s="1"/>
  <c r="W152" i="27"/>
  <c r="Z152" i="27" s="1"/>
  <c r="AA152" i="27"/>
  <c r="Q133" i="27"/>
  <c r="R133" i="27" s="1"/>
  <c r="AT133" i="27" s="1"/>
  <c r="W133" i="27"/>
  <c r="Z133" i="27" s="1"/>
  <c r="AA133" i="27"/>
  <c r="Q134" i="27"/>
  <c r="R134" i="27" s="1"/>
  <c r="AT134" i="27" s="1"/>
  <c r="W134" i="27"/>
  <c r="Z134" i="27" s="1"/>
  <c r="AA134" i="27"/>
  <c r="Q135" i="27"/>
  <c r="R135" i="27" s="1"/>
  <c r="AT135" i="27" s="1"/>
  <c r="W135" i="27"/>
  <c r="Z135" i="27" s="1"/>
  <c r="AA135" i="27"/>
  <c r="Q136" i="27"/>
  <c r="R136" i="27" s="1"/>
  <c r="AT136" i="27" s="1"/>
  <c r="W136" i="27"/>
  <c r="Z136" i="27" s="1"/>
  <c r="AA136" i="27"/>
  <c r="Q137" i="27"/>
  <c r="R137" i="27" s="1"/>
  <c r="AT137" i="27" s="1"/>
  <c r="W137" i="27"/>
  <c r="Z137" i="27" s="1"/>
  <c r="AA137" i="27"/>
  <c r="Q118" i="27"/>
  <c r="R118" i="27" s="1"/>
  <c r="AT118" i="27" s="1"/>
  <c r="W118" i="27"/>
  <c r="Z118" i="27" s="1"/>
  <c r="AA118" i="27"/>
  <c r="Q119" i="27"/>
  <c r="R119" i="27" s="1"/>
  <c r="AT119" i="27" s="1"/>
  <c r="W119" i="27"/>
  <c r="Z119" i="27" s="1"/>
  <c r="AA119" i="27"/>
  <c r="Q120" i="27"/>
  <c r="R120" i="27" s="1"/>
  <c r="AT120" i="27" s="1"/>
  <c r="W120" i="27"/>
  <c r="Z120" i="27" s="1"/>
  <c r="AA120" i="27"/>
  <c r="Q121" i="27"/>
  <c r="R121" i="27" s="1"/>
  <c r="AT121" i="27" s="1"/>
  <c r="W121" i="27"/>
  <c r="Z121" i="27" s="1"/>
  <c r="AA121" i="27"/>
  <c r="Q122" i="27"/>
  <c r="R122" i="27" s="1"/>
  <c r="AT122" i="27" s="1"/>
  <c r="W122" i="27"/>
  <c r="Z122" i="27" s="1"/>
  <c r="AA122" i="27"/>
  <c r="Q103" i="27"/>
  <c r="R103" i="27" s="1"/>
  <c r="AT103" i="27" s="1"/>
  <c r="W103" i="27"/>
  <c r="Z103" i="27" s="1"/>
  <c r="AA103" i="27"/>
  <c r="Q104" i="27"/>
  <c r="R104" i="27" s="1"/>
  <c r="AT104" i="27" s="1"/>
  <c r="W104" i="27"/>
  <c r="Z104" i="27" s="1"/>
  <c r="AA104" i="27"/>
  <c r="Q105" i="27"/>
  <c r="R105" i="27" s="1"/>
  <c r="AT105" i="27" s="1"/>
  <c r="W105" i="27"/>
  <c r="Z105" i="27" s="1"/>
  <c r="AA105" i="27"/>
  <c r="Q106" i="27"/>
  <c r="R106" i="27" s="1"/>
  <c r="AT106" i="27" s="1"/>
  <c r="W106" i="27"/>
  <c r="Z106" i="27" s="1"/>
  <c r="AA106" i="27"/>
  <c r="Q107" i="27"/>
  <c r="R107" i="27" s="1"/>
  <c r="AT107" i="27" s="1"/>
  <c r="W107" i="27"/>
  <c r="Z107" i="27" s="1"/>
  <c r="AA107" i="27"/>
  <c r="Q88" i="27"/>
  <c r="R88" i="27" s="1"/>
  <c r="AT88" i="27" s="1"/>
  <c r="W88" i="27"/>
  <c r="Z88" i="27" s="1"/>
  <c r="AA88" i="27"/>
  <c r="Q92" i="27"/>
  <c r="R92" i="27" s="1"/>
  <c r="AT92" i="27" s="1"/>
  <c r="W92" i="27"/>
  <c r="Z92" i="27" s="1"/>
  <c r="AA92" i="27"/>
  <c r="Q91" i="27"/>
  <c r="R91" i="27" s="1"/>
  <c r="AT91" i="27" s="1"/>
  <c r="W91" i="27"/>
  <c r="Z91" i="27" s="1"/>
  <c r="AA91" i="27"/>
  <c r="Q90" i="27"/>
  <c r="R90" i="27" s="1"/>
  <c r="AT90" i="27" s="1"/>
  <c r="W90" i="27"/>
  <c r="Z90" i="27" s="1"/>
  <c r="AA90" i="27"/>
  <c r="Q89" i="27"/>
  <c r="R89" i="27" s="1"/>
  <c r="AT89" i="27" s="1"/>
  <c r="W89" i="27"/>
  <c r="Z89" i="27" s="1"/>
  <c r="AA89" i="27"/>
  <c r="Q93" i="27"/>
  <c r="R93" i="27" s="1"/>
  <c r="AT93" i="27" s="1"/>
  <c r="W93" i="27"/>
  <c r="Z93" i="27" s="1"/>
  <c r="AA93" i="27"/>
  <c r="Q95" i="27"/>
  <c r="R95" i="27" s="1"/>
  <c r="AT95" i="27" s="1"/>
  <c r="W95" i="27"/>
  <c r="Z95" i="27" s="1"/>
  <c r="AA95" i="27"/>
  <c r="Q96" i="27"/>
  <c r="R96" i="27" s="1"/>
  <c r="AT96" i="27" s="1"/>
  <c r="W96" i="27"/>
  <c r="Z96" i="27" s="1"/>
  <c r="AA96" i="27"/>
  <c r="Q97" i="27"/>
  <c r="R97" i="27" s="1"/>
  <c r="AT97" i="27" s="1"/>
  <c r="W97" i="27"/>
  <c r="Z97" i="27" s="1"/>
  <c r="AA97" i="27"/>
  <c r="Q94" i="27"/>
  <c r="R94" i="27" s="1"/>
  <c r="AT94" i="27" s="1"/>
  <c r="W94" i="27"/>
  <c r="Z94" i="27" s="1"/>
  <c r="AA94" i="27"/>
  <c r="Q581" i="27"/>
  <c r="R581" i="27" s="1"/>
  <c r="AT581" i="27" s="1"/>
  <c r="W539" i="27"/>
  <c r="Z539" i="27" s="1"/>
  <c r="AB539" i="27" s="1"/>
  <c r="M221" i="82"/>
  <c r="S221" i="82" s="1"/>
  <c r="N613" i="27"/>
  <c r="Q613" i="27" s="1"/>
  <c r="R613" i="27" s="1"/>
  <c r="AT613" i="27" s="1"/>
  <c r="S471" i="27"/>
  <c r="W471" i="27"/>
  <c r="Z471" i="27" s="1"/>
  <c r="N424" i="27"/>
  <c r="Q424" i="27" s="1"/>
  <c r="R424" i="27" s="1"/>
  <c r="AT424" i="27" s="1"/>
  <c r="M173" i="82"/>
  <c r="S173" i="82" s="1"/>
  <c r="S524" i="27"/>
  <c r="S278" i="27"/>
  <c r="N320" i="27"/>
  <c r="Q320" i="27" s="1"/>
  <c r="R320" i="27" s="1"/>
  <c r="AT320" i="27" s="1"/>
  <c r="N472" i="27"/>
  <c r="W472" i="27" s="1"/>
  <c r="Z472" i="27" s="1"/>
  <c r="N321" i="27"/>
  <c r="Q321" i="27" s="1"/>
  <c r="R321" i="27" s="1"/>
  <c r="AT321" i="27" s="1"/>
  <c r="AA575" i="27"/>
  <c r="M242" i="82"/>
  <c r="S242" i="82" s="1"/>
  <c r="Q560" i="27"/>
  <c r="R560" i="27" s="1"/>
  <c r="AT560" i="27" s="1"/>
  <c r="M188" i="82"/>
  <c r="S188" i="82" s="1"/>
  <c r="S578" i="27"/>
  <c r="S597" i="27"/>
  <c r="Q500" i="27"/>
  <c r="R500" i="27" s="1"/>
  <c r="AT500" i="27" s="1"/>
  <c r="S282" i="27"/>
  <c r="AA27" i="27"/>
  <c r="AB27" i="27" s="1"/>
  <c r="Q602" i="27"/>
  <c r="R602" i="27" s="1"/>
  <c r="AT602" i="27" s="1"/>
  <c r="Q27" i="27"/>
  <c r="R27" i="27" s="1"/>
  <c r="AT27" i="27" s="1"/>
  <c r="M263" i="82"/>
  <c r="S263" i="82" s="1"/>
  <c r="M176" i="82"/>
  <c r="S176" i="82" s="1"/>
  <c r="W30" i="27"/>
  <c r="Z30" i="27" s="1"/>
  <c r="AB30" i="27" s="1"/>
  <c r="N578" i="27"/>
  <c r="Q578" i="27" s="1"/>
  <c r="R578" i="27" s="1"/>
  <c r="AT578" i="27" s="1"/>
  <c r="S641" i="27"/>
  <c r="Q641" i="27"/>
  <c r="R641" i="27" s="1"/>
  <c r="AT641" i="27" s="1"/>
  <c r="Q40" i="27"/>
  <c r="R40" i="27" s="1"/>
  <c r="AT40" i="27" s="1"/>
  <c r="M295" i="82"/>
  <c r="S295" i="82" s="1"/>
  <c r="S280" i="27"/>
  <c r="M148" i="82"/>
  <c r="S148" i="82" s="1"/>
  <c r="AA280" i="27"/>
  <c r="W40" i="27"/>
  <c r="Z40" i="27" s="1"/>
  <c r="AB40" i="27" s="1"/>
  <c r="W280" i="27"/>
  <c r="Z280" i="27" s="1"/>
  <c r="S496" i="27"/>
  <c r="W606" i="27"/>
  <c r="Z606" i="27" s="1"/>
  <c r="M620" i="27"/>
  <c r="S620" i="27" s="1"/>
  <c r="N620" i="27"/>
  <c r="M621" i="27"/>
  <c r="S621" i="27" s="1"/>
  <c r="N621" i="27"/>
  <c r="M627" i="27"/>
  <c r="S627" i="27" s="1"/>
  <c r="N627" i="27"/>
  <c r="M628" i="27"/>
  <c r="S628" i="27" s="1"/>
  <c r="N628" i="27"/>
  <c r="M629" i="27"/>
  <c r="S629" i="27" s="1"/>
  <c r="N629" i="27"/>
  <c r="M435" i="27"/>
  <c r="S435" i="27" s="1"/>
  <c r="N435" i="27"/>
  <c r="Q435" i="27" s="1"/>
  <c r="R435" i="27" s="1"/>
  <c r="AT435" i="27" s="1"/>
  <c r="M450" i="27"/>
  <c r="S450" i="27" s="1"/>
  <c r="N450" i="27"/>
  <c r="Q450" i="27" s="1"/>
  <c r="R450" i="27" s="1"/>
  <c r="AT450" i="27" s="1"/>
  <c r="M458" i="27"/>
  <c r="S458" i="27" s="1"/>
  <c r="N458" i="27"/>
  <c r="Q458" i="27" s="1"/>
  <c r="R458" i="27" s="1"/>
  <c r="AT458" i="27" s="1"/>
  <c r="M443" i="27"/>
  <c r="S443" i="27" s="1"/>
  <c r="N443" i="27"/>
  <c r="Q443" i="27" s="1"/>
  <c r="R443" i="27" s="1"/>
  <c r="AT443" i="27" s="1"/>
  <c r="M428" i="27"/>
  <c r="S428" i="27" s="1"/>
  <c r="N428" i="27"/>
  <c r="Q428" i="27" s="1"/>
  <c r="R428" i="27" s="1"/>
  <c r="AT428" i="27" s="1"/>
  <c r="M439" i="27"/>
  <c r="S439" i="27" s="1"/>
  <c r="N439" i="27"/>
  <c r="Q439" i="27" s="1"/>
  <c r="R439" i="27" s="1"/>
  <c r="AT439" i="27" s="1"/>
  <c r="M454" i="27"/>
  <c r="S454" i="27" s="1"/>
  <c r="N454" i="27"/>
  <c r="Q454" i="27" s="1"/>
  <c r="R454" i="27" s="1"/>
  <c r="AT454" i="27" s="1"/>
  <c r="M455" i="27"/>
  <c r="S455" i="27" s="1"/>
  <c r="N455" i="27"/>
  <c r="Q455" i="27" s="1"/>
  <c r="R455" i="27" s="1"/>
  <c r="AT455" i="27" s="1"/>
  <c r="M440" i="27"/>
  <c r="S440" i="27" s="1"/>
  <c r="N440" i="27"/>
  <c r="Q440" i="27" s="1"/>
  <c r="R440" i="27" s="1"/>
  <c r="AT440" i="27" s="1"/>
  <c r="M441" i="27"/>
  <c r="S441" i="27" s="1"/>
  <c r="N441" i="27"/>
  <c r="Q441" i="27" s="1"/>
  <c r="R441" i="27" s="1"/>
  <c r="AT441" i="27" s="1"/>
  <c r="M456" i="27"/>
  <c r="S456" i="27" s="1"/>
  <c r="N456" i="27"/>
  <c r="AA456" i="27" s="1"/>
  <c r="M453" i="27"/>
  <c r="S453" i="27" s="1"/>
  <c r="N453" i="27"/>
  <c r="Q453" i="27" s="1"/>
  <c r="R453" i="27" s="1"/>
  <c r="AT453" i="27" s="1"/>
  <c r="M438" i="27"/>
  <c r="S438" i="27" s="1"/>
  <c r="N438" i="27"/>
  <c r="Q438" i="27" s="1"/>
  <c r="R438" i="27" s="1"/>
  <c r="AT438" i="27" s="1"/>
  <c r="M457" i="27"/>
  <c r="S457" i="27" s="1"/>
  <c r="N457" i="27"/>
  <c r="Q457" i="27" s="1"/>
  <c r="R457" i="27" s="1"/>
  <c r="AT457" i="27" s="1"/>
  <c r="M442" i="27"/>
  <c r="S442" i="27" s="1"/>
  <c r="N442" i="27"/>
  <c r="Q442" i="27" s="1"/>
  <c r="R442" i="27" s="1"/>
  <c r="AT442" i="27" s="1"/>
  <c r="M436" i="27"/>
  <c r="S436" i="27" s="1"/>
  <c r="N436" i="27"/>
  <c r="Q436" i="27" s="1"/>
  <c r="R436" i="27" s="1"/>
  <c r="AT436" i="27" s="1"/>
  <c r="M451" i="27"/>
  <c r="S451" i="27" s="1"/>
  <c r="N451" i="27"/>
  <c r="Q451" i="27" s="1"/>
  <c r="R451" i="27" s="1"/>
  <c r="AT451" i="27" s="1"/>
  <c r="M452" i="27"/>
  <c r="S452" i="27" s="1"/>
  <c r="N452" i="27"/>
  <c r="Q452" i="27" s="1"/>
  <c r="R452" i="27" s="1"/>
  <c r="AT452" i="27" s="1"/>
  <c r="M449" i="27"/>
  <c r="S449" i="27" s="1"/>
  <c r="N449" i="27"/>
  <c r="Q449" i="27" s="1"/>
  <c r="R449" i="27" s="1"/>
  <c r="AT449" i="27" s="1"/>
  <c r="M434" i="27"/>
  <c r="S434" i="27" s="1"/>
  <c r="N434" i="27"/>
  <c r="Q434" i="27" s="1"/>
  <c r="R434" i="27" s="1"/>
  <c r="AT434" i="27" s="1"/>
  <c r="M437" i="27"/>
  <c r="S437" i="27" s="1"/>
  <c r="N437" i="27"/>
  <c r="Q437" i="27" s="1"/>
  <c r="R437" i="27" s="1"/>
  <c r="AT437" i="27" s="1"/>
  <c r="N375" i="27"/>
  <c r="AA375" i="27" s="1"/>
  <c r="W560" i="27"/>
  <c r="Z560" i="27" s="1"/>
  <c r="AB560" i="27" s="1"/>
  <c r="Q474" i="27"/>
  <c r="R474" i="27" s="1"/>
  <c r="AT474" i="27" s="1"/>
  <c r="AA496" i="27"/>
  <c r="S267" i="27"/>
  <c r="S474" i="27"/>
  <c r="AA474" i="27"/>
  <c r="AB474" i="27" s="1"/>
  <c r="W496" i="27"/>
  <c r="Z496" i="27" s="1"/>
  <c r="S579" i="27"/>
  <c r="N597" i="27"/>
  <c r="W597" i="27" s="1"/>
  <c r="Z597" i="27" s="1"/>
  <c r="S555" i="27"/>
  <c r="N555" i="27"/>
  <c r="Q555" i="27" s="1"/>
  <c r="R555" i="27" s="1"/>
  <c r="AT555" i="27" s="1"/>
  <c r="Q30" i="27"/>
  <c r="R30" i="27" s="1"/>
  <c r="AT30" i="27" s="1"/>
  <c r="M149" i="82"/>
  <c r="S149" i="82" s="1"/>
  <c r="M288" i="82"/>
  <c r="S288" i="82" s="1"/>
  <c r="AA606" i="27"/>
  <c r="N281" i="27"/>
  <c r="AA281" i="27" s="1"/>
  <c r="S606" i="27"/>
  <c r="W475" i="27"/>
  <c r="Z475" i="27" s="1"/>
  <c r="AB475" i="27" s="1"/>
  <c r="Q475" i="27"/>
  <c r="R475" i="27" s="1"/>
  <c r="AT475" i="27" s="1"/>
  <c r="S542" i="27"/>
  <c r="Q580" i="27"/>
  <c r="R580" i="27" s="1"/>
  <c r="AT580" i="27" s="1"/>
  <c r="M262" i="82"/>
  <c r="S262" i="82" s="1"/>
  <c r="N302" i="27"/>
  <c r="W302" i="27" s="1"/>
  <c r="Z302" i="27" s="1"/>
  <c r="S580" i="27"/>
  <c r="C1660" i="95"/>
  <c r="C895" i="95"/>
  <c r="W23" i="27"/>
  <c r="Z23" i="27" s="1"/>
  <c r="AB23" i="27" s="1"/>
  <c r="Q23" i="27"/>
  <c r="R23" i="27" s="1"/>
  <c r="AT23" i="27" s="1"/>
  <c r="S486" i="27"/>
  <c r="B58" i="36"/>
  <c r="D58" i="36" s="1"/>
  <c r="B57" i="36"/>
  <c r="D57" i="36" s="1"/>
  <c r="B59" i="36"/>
  <c r="D59" i="36" s="1"/>
  <c r="Q539" i="27"/>
  <c r="R539" i="27" s="1"/>
  <c r="AT539" i="27" s="1"/>
  <c r="S475" i="27"/>
  <c r="AA580" i="27"/>
  <c r="AB580" i="27" s="1"/>
  <c r="M174" i="82"/>
  <c r="S174" i="82" s="1"/>
  <c r="S539" i="27"/>
  <c r="N524" i="27"/>
  <c r="Q524" i="27" s="1"/>
  <c r="R524" i="27" s="1"/>
  <c r="AT524" i="27" s="1"/>
  <c r="M177" i="82"/>
  <c r="S177" i="82" s="1"/>
  <c r="S265" i="27"/>
  <c r="M178" i="82"/>
  <c r="S178" i="82" s="1"/>
  <c r="N541" i="27"/>
  <c r="W541" i="27" s="1"/>
  <c r="Z541" i="27" s="1"/>
  <c r="AA550" i="27"/>
  <c r="AB550" i="27" s="1"/>
  <c r="W694" i="27"/>
  <c r="Z694" i="27" s="1"/>
  <c r="AB694" i="27" s="1"/>
  <c r="M235" i="82"/>
  <c r="S235" i="82" s="1"/>
  <c r="W29" i="27"/>
  <c r="Z29" i="27" s="1"/>
  <c r="AB29" i="27" s="1"/>
  <c r="Q29" i="27"/>
  <c r="R29" i="27" s="1"/>
  <c r="AT29" i="27" s="1"/>
  <c r="N601" i="27"/>
  <c r="AA601" i="27" s="1"/>
  <c r="AA284" i="27"/>
  <c r="M232" i="82"/>
  <c r="S232" i="82" s="1"/>
  <c r="W284" i="27"/>
  <c r="Z284" i="27" s="1"/>
  <c r="S544" i="27"/>
  <c r="N473" i="27"/>
  <c r="AA473" i="27" s="1"/>
  <c r="M152" i="82"/>
  <c r="S152" i="82" s="1"/>
  <c r="S532" i="27"/>
  <c r="S283" i="27"/>
  <c r="AA535" i="27"/>
  <c r="Q544" i="27"/>
  <c r="R544" i="27" s="1"/>
  <c r="AT544" i="27" s="1"/>
  <c r="N412" i="27"/>
  <c r="W412" i="27" s="1"/>
  <c r="Z412" i="27" s="1"/>
  <c r="W636" i="27"/>
  <c r="Z636" i="27" s="1"/>
  <c r="AA636" i="27"/>
  <c r="S284" i="27"/>
  <c r="W531" i="27"/>
  <c r="Z531" i="27" s="1"/>
  <c r="AB531" i="27" s="1"/>
  <c r="Q553" i="27"/>
  <c r="R553" i="27" s="1"/>
  <c r="AT553" i="27" s="1"/>
  <c r="S473" i="27"/>
  <c r="AA544" i="27"/>
  <c r="AB544" i="27" s="1"/>
  <c r="M201" i="82"/>
  <c r="S201" i="82" s="1"/>
  <c r="Q532" i="27"/>
  <c r="R532" i="27" s="1"/>
  <c r="AT532" i="27" s="1"/>
  <c r="N419" i="27"/>
  <c r="W419" i="27" s="1"/>
  <c r="Z419" i="27" s="1"/>
  <c r="N394" i="27"/>
  <c r="AA394" i="27" s="1"/>
  <c r="M191" i="82"/>
  <c r="S191" i="82" s="1"/>
  <c r="Q550" i="27"/>
  <c r="R550" i="27" s="1"/>
  <c r="AT550" i="27" s="1"/>
  <c r="S550" i="27"/>
  <c r="S575" i="27"/>
  <c r="W500" i="27"/>
  <c r="Z500" i="27" s="1"/>
  <c r="AB500" i="27" s="1"/>
  <c r="S565" i="27"/>
  <c r="Q39" i="27"/>
  <c r="R39" i="27" s="1"/>
  <c r="AT39" i="27" s="1"/>
  <c r="Q536" i="27"/>
  <c r="R536" i="27" s="1"/>
  <c r="AT536" i="27" s="1"/>
  <c r="AA536" i="27"/>
  <c r="AB536" i="27" s="1"/>
  <c r="S560" i="27"/>
  <c r="N565" i="27"/>
  <c r="AA565" i="27" s="1"/>
  <c r="N593" i="27"/>
  <c r="W593" i="27" s="1"/>
  <c r="Z593" i="27" s="1"/>
  <c r="N282" i="27"/>
  <c r="AA282" i="27" s="1"/>
  <c r="M257" i="82"/>
  <c r="S257" i="82" s="1"/>
  <c r="S500" i="27"/>
  <c r="N303" i="27"/>
  <c r="AA303" i="27" s="1"/>
  <c r="W575" i="27"/>
  <c r="Z575" i="27" s="1"/>
  <c r="S581" i="27"/>
  <c r="S636" i="27"/>
  <c r="M143" i="82"/>
  <c r="S143" i="82" s="1"/>
  <c r="Q264" i="27"/>
  <c r="R264" i="27" s="1"/>
  <c r="AT264" i="27" s="1"/>
  <c r="N306" i="27"/>
  <c r="Q306" i="27" s="1"/>
  <c r="R306" i="27" s="1"/>
  <c r="AT306" i="27" s="1"/>
  <c r="W486" i="27"/>
  <c r="Z486" i="27" s="1"/>
  <c r="B52" i="80"/>
  <c r="N283" i="27"/>
  <c r="Q283" i="27" s="1"/>
  <c r="R283" i="27" s="1"/>
  <c r="AT283" i="27" s="1"/>
  <c r="M226" i="82"/>
  <c r="S226" i="82" s="1"/>
  <c r="M140" i="82"/>
  <c r="S140" i="82" s="1"/>
  <c r="AA553" i="27"/>
  <c r="AB553" i="27" s="1"/>
  <c r="Q286" i="27"/>
  <c r="R286" i="27" s="1"/>
  <c r="AT286" i="27" s="1"/>
  <c r="M155" i="82"/>
  <c r="S155" i="82" s="1"/>
  <c r="W31" i="27"/>
  <c r="Z31" i="27" s="1"/>
  <c r="W499" i="27"/>
  <c r="Z499" i="27" s="1"/>
  <c r="Q279" i="27"/>
  <c r="R279" i="27" s="1"/>
  <c r="AT279" i="27" s="1"/>
  <c r="Q26" i="27"/>
  <c r="R26" i="27" s="1"/>
  <c r="AT26" i="27" s="1"/>
  <c r="S286" i="27"/>
  <c r="N519" i="27"/>
  <c r="W519" i="27" s="1"/>
  <c r="Z519" i="27" s="1"/>
  <c r="M204" i="82"/>
  <c r="S204" i="82" s="1"/>
  <c r="Q522" i="27"/>
  <c r="R522" i="27" s="1"/>
  <c r="AT522" i="27" s="1"/>
  <c r="N376" i="27"/>
  <c r="AA376" i="27" s="1"/>
  <c r="AA486" i="27"/>
  <c r="AA499" i="27"/>
  <c r="N576" i="27"/>
  <c r="W576" i="27" s="1"/>
  <c r="Z576" i="27" s="1"/>
  <c r="M183" i="82"/>
  <c r="S183" i="82" s="1"/>
  <c r="S577" i="27"/>
  <c r="AA670" i="27"/>
  <c r="AB670" i="27" s="1"/>
  <c r="N426" i="27"/>
  <c r="AA426" i="27" s="1"/>
  <c r="Q694" i="27"/>
  <c r="R694" i="27" s="1"/>
  <c r="AT694" i="27" s="1"/>
  <c r="Q670" i="27"/>
  <c r="R670" i="27" s="1"/>
  <c r="AT670" i="27" s="1"/>
  <c r="M283" i="82"/>
  <c r="S283" i="82" s="1"/>
  <c r="W535" i="27"/>
  <c r="Z535" i="27" s="1"/>
  <c r="N382" i="27"/>
  <c r="W382" i="27" s="1"/>
  <c r="Z382" i="27" s="1"/>
  <c r="W262" i="27"/>
  <c r="Z262" i="27" s="1"/>
  <c r="AB262" i="27" s="1"/>
  <c r="N307" i="27"/>
  <c r="W307" i="27" s="1"/>
  <c r="Z307" i="27" s="1"/>
  <c r="N501" i="27"/>
  <c r="Q501" i="27" s="1"/>
  <c r="R501" i="27" s="1"/>
  <c r="AT501" i="27" s="1"/>
  <c r="M194" i="82"/>
  <c r="S194" i="82" s="1"/>
  <c r="M197" i="82"/>
  <c r="S197" i="82" s="1"/>
  <c r="N502" i="27"/>
  <c r="Q502" i="27" s="1"/>
  <c r="R502" i="27" s="1"/>
  <c r="AT502" i="27" s="1"/>
  <c r="S694" i="27"/>
  <c r="S551" i="27"/>
  <c r="W530" i="27"/>
  <c r="Z530" i="27" s="1"/>
  <c r="AB530" i="27" s="1"/>
  <c r="S593" i="27"/>
  <c r="AA32" i="27"/>
  <c r="AB32" i="27" s="1"/>
  <c r="W602" i="27"/>
  <c r="Z602" i="27" s="1"/>
  <c r="AB602" i="27" s="1"/>
  <c r="N491" i="27"/>
  <c r="Q491" i="27" s="1"/>
  <c r="R491" i="27" s="1"/>
  <c r="AT491" i="27" s="1"/>
  <c r="N577" i="27"/>
  <c r="W577" i="27" s="1"/>
  <c r="Z577" i="27" s="1"/>
  <c r="S598" i="27"/>
  <c r="S535" i="27"/>
  <c r="J16" i="53" s="1"/>
  <c r="H16" i="53" s="1"/>
  <c r="S670" i="27"/>
  <c r="M212" i="82"/>
  <c r="S212" i="82" s="1"/>
  <c r="M192" i="82"/>
  <c r="S192" i="82" s="1"/>
  <c r="N296" i="27"/>
  <c r="W296" i="27" s="1"/>
  <c r="Z296" i="27" s="1"/>
  <c r="N294" i="27"/>
  <c r="Q294" i="27" s="1"/>
  <c r="R294" i="27" s="1"/>
  <c r="AT294" i="27" s="1"/>
  <c r="Q531" i="27"/>
  <c r="R531" i="27" s="1"/>
  <c r="AT531" i="27" s="1"/>
  <c r="Q529" i="27"/>
  <c r="R529" i="27" s="1"/>
  <c r="AT529" i="27" s="1"/>
  <c r="Q530" i="27"/>
  <c r="R530" i="27" s="1"/>
  <c r="AT530" i="27" s="1"/>
  <c r="M193" i="82"/>
  <c r="S193" i="82" s="1"/>
  <c r="N374" i="27"/>
  <c r="AA374" i="27" s="1"/>
  <c r="AA39" i="27"/>
  <c r="AB39" i="27" s="1"/>
  <c r="N409" i="27"/>
  <c r="AA409" i="27" s="1"/>
  <c r="N420" i="27"/>
  <c r="Q420" i="27" s="1"/>
  <c r="R420" i="27" s="1"/>
  <c r="AT420" i="27" s="1"/>
  <c r="M161" i="82"/>
  <c r="S161" i="82" s="1"/>
  <c r="W581" i="27"/>
  <c r="Z581" i="27" s="1"/>
  <c r="AB581" i="27" s="1"/>
  <c r="M258" i="82"/>
  <c r="S258" i="82" s="1"/>
  <c r="M290" i="82"/>
  <c r="S290" i="82" s="1"/>
  <c r="S499" i="27"/>
  <c r="S279" i="27"/>
  <c r="M147" i="82"/>
  <c r="S147" i="82" s="1"/>
  <c r="W279" i="27"/>
  <c r="Z279" i="27" s="1"/>
  <c r="AB279" i="27" s="1"/>
  <c r="M280" i="82"/>
  <c r="S280" i="82" s="1"/>
  <c r="AA26" i="27"/>
  <c r="AB26" i="27" s="1"/>
  <c r="N551" i="27"/>
  <c r="W551" i="27" s="1"/>
  <c r="Z551" i="27" s="1"/>
  <c r="M299" i="82"/>
  <c r="S299" i="82" s="1"/>
  <c r="S530" i="27"/>
  <c r="M304" i="82"/>
  <c r="S304" i="82" s="1"/>
  <c r="W532" i="27"/>
  <c r="Z532" i="27" s="1"/>
  <c r="AB532" i="27" s="1"/>
  <c r="AA33" i="27"/>
  <c r="AB33" i="27" s="1"/>
  <c r="M163" i="82"/>
  <c r="S163" i="82" s="1"/>
  <c r="S262" i="27"/>
  <c r="N505" i="27"/>
  <c r="Q505" i="27" s="1"/>
  <c r="R505" i="27" s="1"/>
  <c r="AT505" i="27" s="1"/>
  <c r="M138" i="82"/>
  <c r="S138" i="82" s="1"/>
  <c r="N314" i="27"/>
  <c r="Q314" i="27" s="1"/>
  <c r="R314" i="27" s="1"/>
  <c r="AT314" i="27" s="1"/>
  <c r="N542" i="27"/>
  <c r="AA542" i="27" s="1"/>
  <c r="N427" i="27"/>
  <c r="AA427" i="27" s="1"/>
  <c r="S599" i="27"/>
  <c r="Q599" i="27"/>
  <c r="R599" i="27" s="1"/>
  <c r="AT599" i="27" s="1"/>
  <c r="AA640" i="27"/>
  <c r="W28" i="27"/>
  <c r="Z28" i="27" s="1"/>
  <c r="AB28" i="27" s="1"/>
  <c r="N421" i="27"/>
  <c r="AA421" i="27" s="1"/>
  <c r="W267" i="27"/>
  <c r="Z267" i="27" s="1"/>
  <c r="S602" i="27"/>
  <c r="AA267" i="27"/>
  <c r="W598" i="27"/>
  <c r="Z598" i="27" s="1"/>
  <c r="AB598" i="27" s="1"/>
  <c r="S552" i="27"/>
  <c r="AA599" i="27"/>
  <c r="AB599" i="27" s="1"/>
  <c r="S536" i="27"/>
  <c r="J6" i="71"/>
  <c r="N287" i="27"/>
  <c r="W287" i="27" s="1"/>
  <c r="Z287" i="27" s="1"/>
  <c r="M217" i="82"/>
  <c r="S217" i="82" s="1"/>
  <c r="N300" i="27"/>
  <c r="AA300" i="27" s="1"/>
  <c r="M214" i="82"/>
  <c r="S214" i="82" s="1"/>
  <c r="M164" i="82"/>
  <c r="S164" i="82" s="1"/>
  <c r="W640" i="27"/>
  <c r="Z640" i="27" s="1"/>
  <c r="Q33" i="27"/>
  <c r="R33" i="27" s="1"/>
  <c r="AT33" i="27" s="1"/>
  <c r="N411" i="27"/>
  <c r="AA411" i="27" s="1"/>
  <c r="N406" i="27"/>
  <c r="Q406" i="27" s="1"/>
  <c r="R406" i="27" s="1"/>
  <c r="AT406" i="27" s="1"/>
  <c r="M284" i="82"/>
  <c r="S284" i="82" s="1"/>
  <c r="Q262" i="27"/>
  <c r="R262" i="27" s="1"/>
  <c r="AT262" i="27" s="1"/>
  <c r="M281" i="82"/>
  <c r="S281" i="82" s="1"/>
  <c r="M218" i="82"/>
  <c r="N218" i="82" s="1"/>
  <c r="Q218" i="82" s="1"/>
  <c r="R218" i="82" s="1"/>
  <c r="Q598" i="27"/>
  <c r="R598" i="27" s="1"/>
  <c r="AT598" i="27" s="1"/>
  <c r="N316" i="27"/>
  <c r="Q316" i="27" s="1"/>
  <c r="R316" i="27" s="1"/>
  <c r="AT316" i="27" s="1"/>
  <c r="S522" i="27"/>
  <c r="AA286" i="27"/>
  <c r="AB286" i="27" s="1"/>
  <c r="W522" i="27"/>
  <c r="Z522" i="27" s="1"/>
  <c r="AB522" i="27" s="1"/>
  <c r="AA639" i="27"/>
  <c r="S537" i="27"/>
  <c r="M210" i="82"/>
  <c r="S210" i="82" s="1"/>
  <c r="W264" i="27"/>
  <c r="Z264" i="27" s="1"/>
  <c r="AB264" i="27" s="1"/>
  <c r="W529" i="27"/>
  <c r="Z529" i="27" s="1"/>
  <c r="AB529" i="27" s="1"/>
  <c r="W528" i="27"/>
  <c r="Z528" i="27" s="1"/>
  <c r="AB528" i="27" s="1"/>
  <c r="Q265" i="27"/>
  <c r="R265" i="27" s="1"/>
  <c r="AT265" i="27" s="1"/>
  <c r="AA31" i="27"/>
  <c r="S639" i="27"/>
  <c r="Q528" i="27"/>
  <c r="R528" i="27" s="1"/>
  <c r="AT528" i="27" s="1"/>
  <c r="S518" i="27"/>
  <c r="N322" i="27"/>
  <c r="W322" i="27" s="1"/>
  <c r="Z322" i="27" s="1"/>
  <c r="M219" i="82"/>
  <c r="S219" i="82" s="1"/>
  <c r="S640" i="27"/>
  <c r="N672" i="27"/>
  <c r="AA672" i="27" s="1"/>
  <c r="M211" i="82"/>
  <c r="S211" i="82" s="1"/>
  <c r="W265" i="27"/>
  <c r="Z265" i="27" s="1"/>
  <c r="AB265" i="27" s="1"/>
  <c r="M146" i="82"/>
  <c r="S146" i="82" s="1"/>
  <c r="M141" i="82"/>
  <c r="S141" i="82" s="1"/>
  <c r="M293" i="82"/>
  <c r="S293" i="82" s="1"/>
  <c r="M294" i="82"/>
  <c r="S294" i="82" s="1"/>
  <c r="N298" i="27"/>
  <c r="Q298" i="27" s="1"/>
  <c r="R298" i="27" s="1"/>
  <c r="AT298" i="27" s="1"/>
  <c r="N425" i="27"/>
  <c r="AA425" i="27" s="1"/>
  <c r="S529" i="27"/>
  <c r="AA537" i="27"/>
  <c r="N295" i="27"/>
  <c r="Q295" i="27" s="1"/>
  <c r="R295" i="27" s="1"/>
  <c r="AT295" i="27" s="1"/>
  <c r="N380" i="27"/>
  <c r="Q380" i="27" s="1"/>
  <c r="R380" i="27" s="1"/>
  <c r="AT380" i="27" s="1"/>
  <c r="W639" i="27"/>
  <c r="Z639" i="27" s="1"/>
  <c r="S528" i="27"/>
  <c r="N397" i="27"/>
  <c r="AA397" i="27" s="1"/>
  <c r="Q278" i="27"/>
  <c r="R278" i="27" s="1"/>
  <c r="AT278" i="27" s="1"/>
  <c r="S264" i="27"/>
  <c r="W537" i="27"/>
  <c r="Z537" i="27" s="1"/>
  <c r="M154" i="82"/>
  <c r="S154" i="82" s="1"/>
  <c r="M159" i="82"/>
  <c r="S159" i="82" s="1"/>
  <c r="AA278" i="27"/>
  <c r="AB278" i="27" s="1"/>
  <c r="N518" i="27"/>
  <c r="W518" i="27" s="1"/>
  <c r="Z518" i="27" s="1"/>
  <c r="Q28" i="27"/>
  <c r="R28" i="27" s="1"/>
  <c r="AT28" i="27" s="1"/>
  <c r="S600" i="27"/>
  <c r="N600" i="27"/>
  <c r="W600" i="27" s="1"/>
  <c r="Z600" i="27" s="1"/>
  <c r="M301" i="82"/>
  <c r="S301" i="82" s="1"/>
  <c r="S673" i="27"/>
  <c r="Q32" i="27"/>
  <c r="R32" i="27" s="1"/>
  <c r="AT32" i="27" s="1"/>
  <c r="M240" i="82"/>
  <c r="S240" i="82" s="1"/>
  <c r="N503" i="27"/>
  <c r="AA503" i="27" s="1"/>
  <c r="S531" i="27"/>
  <c r="M144" i="82"/>
  <c r="S144" i="82" s="1"/>
  <c r="M213" i="82"/>
  <c r="S213" i="82" s="1"/>
  <c r="N611" i="27"/>
  <c r="W611" i="27" s="1"/>
  <c r="Z611" i="27" s="1"/>
  <c r="M189" i="82"/>
  <c r="S189" i="82" s="1"/>
  <c r="M248" i="82"/>
  <c r="S248" i="82" s="1"/>
  <c r="N497" i="27"/>
  <c r="AA497" i="27" s="1"/>
  <c r="N671" i="27"/>
  <c r="Q671" i="27" s="1"/>
  <c r="R671" i="27" s="1"/>
  <c r="AT671" i="27" s="1"/>
  <c r="N422" i="27"/>
  <c r="AA422" i="27" s="1"/>
  <c r="N558" i="27"/>
  <c r="W558" i="27" s="1"/>
  <c r="Z558" i="27" s="1"/>
  <c r="M195" i="82"/>
  <c r="S195" i="82" s="1"/>
  <c r="N566" i="27"/>
  <c r="W566" i="27" s="1"/>
  <c r="Z566" i="27" s="1"/>
  <c r="S553" i="27"/>
  <c r="Q285" i="27"/>
  <c r="R285" i="27" s="1"/>
  <c r="AT285" i="27" s="1"/>
  <c r="M153" i="82"/>
  <c r="S153" i="82" s="1"/>
  <c r="M156" i="82"/>
  <c r="S156" i="82" s="1"/>
  <c r="W285" i="27"/>
  <c r="Z285" i="27" s="1"/>
  <c r="AB285" i="27" s="1"/>
  <c r="N413" i="27"/>
  <c r="AA413" i="27" s="1"/>
  <c r="W674" i="27"/>
  <c r="Z674" i="27" s="1"/>
  <c r="S268" i="27"/>
  <c r="AA268" i="27"/>
  <c r="W268" i="27"/>
  <c r="Z268" i="27" s="1"/>
  <c r="Q22" i="27"/>
  <c r="R22" i="27" s="1"/>
  <c r="AT22" i="27" s="1"/>
  <c r="N323" i="27"/>
  <c r="W323" i="27" s="1"/>
  <c r="Z323" i="27" s="1"/>
  <c r="S285" i="27"/>
  <c r="W22" i="27"/>
  <c r="Z22" i="27" s="1"/>
  <c r="AB22" i="27" s="1"/>
  <c r="N377" i="27"/>
  <c r="W377" i="27" s="1"/>
  <c r="Z377" i="27" s="1"/>
  <c r="N408" i="27"/>
  <c r="Q408" i="27" s="1"/>
  <c r="R408" i="27" s="1"/>
  <c r="AT408" i="27" s="1"/>
  <c r="Q673" i="27"/>
  <c r="R673" i="27" s="1"/>
  <c r="AT673" i="27" s="1"/>
  <c r="W673" i="27"/>
  <c r="Z673" i="27" s="1"/>
  <c r="AB673" i="27" s="1"/>
  <c r="S548" i="27"/>
  <c r="M302" i="82"/>
  <c r="N302" i="82" s="1"/>
  <c r="Q302" i="82" s="1"/>
  <c r="R302" i="82" s="1"/>
  <c r="Q638" i="27"/>
  <c r="R638" i="27" s="1"/>
  <c r="AT638" i="27" s="1"/>
  <c r="W638" i="27"/>
  <c r="Z638" i="27" s="1"/>
  <c r="AB638" i="27" s="1"/>
  <c r="AA41" i="27"/>
  <c r="N523" i="27"/>
  <c r="W523" i="27" s="1"/>
  <c r="Z523" i="27" s="1"/>
  <c r="N318" i="27"/>
  <c r="W318" i="27" s="1"/>
  <c r="Z318" i="27" s="1"/>
  <c r="M205" i="82"/>
  <c r="S205" i="82" s="1"/>
  <c r="W545" i="27"/>
  <c r="Z545" i="27" s="1"/>
  <c r="AB545" i="27" s="1"/>
  <c r="S525" i="27"/>
  <c r="AA490" i="27"/>
  <c r="S490" i="27"/>
  <c r="M251" i="82"/>
  <c r="S251" i="82" s="1"/>
  <c r="M182" i="82"/>
  <c r="S182" i="82" s="1"/>
  <c r="M222" i="82"/>
  <c r="N222" i="82" s="1"/>
  <c r="Q222" i="82" s="1"/>
  <c r="R222" i="82" s="1"/>
  <c r="N543" i="27"/>
  <c r="AA543" i="27" s="1"/>
  <c r="W557" i="27"/>
  <c r="Z557" i="27" s="1"/>
  <c r="S545" i="27"/>
  <c r="M239" i="82"/>
  <c r="S239" i="82" s="1"/>
  <c r="M286" i="82"/>
  <c r="S286" i="82" s="1"/>
  <c r="AA557" i="27"/>
  <c r="S540" i="27"/>
  <c r="S557" i="27"/>
  <c r="M227" i="82"/>
  <c r="S227" i="82" s="1"/>
  <c r="N604" i="27"/>
  <c r="AA604" i="27" s="1"/>
  <c r="N525" i="27"/>
  <c r="AA525" i="27" s="1"/>
  <c r="M265" i="82"/>
  <c r="S265" i="82" s="1"/>
  <c r="Q545" i="27"/>
  <c r="R545" i="27" s="1"/>
  <c r="AT545" i="27" s="1"/>
  <c r="S543" i="27"/>
  <c r="M300" i="82"/>
  <c r="S300" i="82" s="1"/>
  <c r="W490" i="27"/>
  <c r="Z490" i="27" s="1"/>
  <c r="W569" i="27"/>
  <c r="Z569" i="27" s="1"/>
  <c r="Q540" i="27"/>
  <c r="R540" i="27" s="1"/>
  <c r="AT540" i="27" s="1"/>
  <c r="N304" i="27"/>
  <c r="AA304" i="27" s="1"/>
  <c r="N583" i="27"/>
  <c r="AA583" i="27" s="1"/>
  <c r="N325" i="27"/>
  <c r="W325" i="27" s="1"/>
  <c r="Z325" i="27" s="1"/>
  <c r="AA569" i="27"/>
  <c r="S569" i="27"/>
  <c r="M228" i="82"/>
  <c r="S228" i="82" s="1"/>
  <c r="S487" i="27"/>
  <c r="S635" i="27"/>
  <c r="S554" i="27"/>
  <c r="M179" i="82"/>
  <c r="S179" i="82" s="1"/>
  <c r="S269" i="27"/>
  <c r="Q546" i="27"/>
  <c r="R546" i="27" s="1"/>
  <c r="AT546" i="27" s="1"/>
  <c r="W41" i="27"/>
  <c r="Z41" i="27" s="1"/>
  <c r="N383" i="27"/>
  <c r="AA383" i="27" s="1"/>
  <c r="S521" i="27"/>
  <c r="N644" i="27"/>
  <c r="W644" i="27" s="1"/>
  <c r="Z644" i="27" s="1"/>
  <c r="W642" i="27"/>
  <c r="Z642" i="27" s="1"/>
  <c r="W546" i="27"/>
  <c r="Z546" i="27" s="1"/>
  <c r="AB546" i="27" s="1"/>
  <c r="N423" i="27"/>
  <c r="W423" i="27" s="1"/>
  <c r="Z423" i="27" s="1"/>
  <c r="AA487" i="27"/>
  <c r="AB487" i="27" s="1"/>
  <c r="S571" i="27"/>
  <c r="S546" i="27"/>
  <c r="S564" i="27"/>
  <c r="M162" i="82"/>
  <c r="S162" i="82" s="1"/>
  <c r="AA549" i="27"/>
  <c r="AB549" i="27" s="1"/>
  <c r="N571" i="27"/>
  <c r="W571" i="27" s="1"/>
  <c r="Z571" i="27" s="1"/>
  <c r="AA521" i="27"/>
  <c r="AB521" i="27" s="1"/>
  <c r="AA585" i="27"/>
  <c r="M296" i="82"/>
  <c r="S296" i="82" s="1"/>
  <c r="AA642" i="27"/>
  <c r="N389" i="27"/>
  <c r="AA389" i="27" s="1"/>
  <c r="Q24" i="27"/>
  <c r="R24" i="27" s="1"/>
  <c r="AT24" i="27" s="1"/>
  <c r="Q549" i="27"/>
  <c r="R549" i="27" s="1"/>
  <c r="AT549" i="27" s="1"/>
  <c r="W585" i="27"/>
  <c r="Z585" i="27" s="1"/>
  <c r="Q521" i="27"/>
  <c r="R521" i="27" s="1"/>
  <c r="AT521" i="27" s="1"/>
  <c r="S585" i="27"/>
  <c r="S642" i="27"/>
  <c r="Q635" i="27"/>
  <c r="R635" i="27" s="1"/>
  <c r="AT635" i="27" s="1"/>
  <c r="N554" i="27"/>
  <c r="AA554" i="27" s="1"/>
  <c r="M231" i="82"/>
  <c r="S231" i="82" s="1"/>
  <c r="N269" i="27"/>
  <c r="Q269" i="27" s="1"/>
  <c r="R269" i="27" s="1"/>
  <c r="AT269" i="27" s="1"/>
  <c r="M267" i="82"/>
  <c r="N267" i="82" s="1"/>
  <c r="Q267" i="82" s="1"/>
  <c r="R267" i="82" s="1"/>
  <c r="M203" i="82"/>
  <c r="S203" i="82" s="1"/>
  <c r="S549" i="27"/>
  <c r="N297" i="27"/>
  <c r="AA297" i="27" s="1"/>
  <c r="N293" i="27"/>
  <c r="Q293" i="27" s="1"/>
  <c r="R293" i="27" s="1"/>
  <c r="AT293" i="27" s="1"/>
  <c r="S533" i="27"/>
  <c r="Q487" i="27"/>
  <c r="R487" i="27" s="1"/>
  <c r="AT487" i="27" s="1"/>
  <c r="AA635" i="27"/>
  <c r="AB635" i="27" s="1"/>
  <c r="M289" i="82"/>
  <c r="S289" i="82" s="1"/>
  <c r="S638" i="27"/>
  <c r="M292" i="82"/>
  <c r="S292" i="82" s="1"/>
  <c r="M198" i="82"/>
  <c r="S198" i="82" s="1"/>
  <c r="N504" i="27"/>
  <c r="Q504" i="27" s="1"/>
  <c r="R504" i="27" s="1"/>
  <c r="AT504" i="27" s="1"/>
  <c r="N590" i="27"/>
  <c r="AA590" i="27" s="1"/>
  <c r="S517" i="27"/>
  <c r="N404" i="27"/>
  <c r="W404" i="27" s="1"/>
  <c r="Z404" i="27" s="1"/>
  <c r="N574" i="27"/>
  <c r="AA574" i="27" s="1"/>
  <c r="W540" i="27"/>
  <c r="Z540" i="27" s="1"/>
  <c r="AB540" i="27" s="1"/>
  <c r="S643" i="27"/>
  <c r="M190" i="82"/>
  <c r="N190" i="82" s="1"/>
  <c r="Q190" i="82" s="1"/>
  <c r="R190" i="82" s="1"/>
  <c r="M230" i="82"/>
  <c r="S230" i="82" s="1"/>
  <c r="N407" i="27"/>
  <c r="W407" i="27" s="1"/>
  <c r="Z407" i="27" s="1"/>
  <c r="M199" i="82"/>
  <c r="S199" i="82" s="1"/>
  <c r="S547" i="27"/>
  <c r="N605" i="27"/>
  <c r="W605" i="27" s="1"/>
  <c r="Z605" i="27" s="1"/>
  <c r="N331" i="27"/>
  <c r="AA331" i="27" s="1"/>
  <c r="N498" i="27"/>
  <c r="W498" i="27" s="1"/>
  <c r="Z498" i="27" s="1"/>
  <c r="S637" i="27"/>
  <c r="W520" i="27"/>
  <c r="Z520" i="27" s="1"/>
  <c r="AB520" i="27" s="1"/>
  <c r="AA517" i="27"/>
  <c r="AB517" i="27" s="1"/>
  <c r="M229" i="82"/>
  <c r="S229" i="82" s="1"/>
  <c r="M272" i="82"/>
  <c r="S272" i="82" s="1"/>
  <c r="N379" i="27"/>
  <c r="W379" i="27" s="1"/>
  <c r="Z379" i="27" s="1"/>
  <c r="M266" i="82"/>
  <c r="N266" i="82" s="1"/>
  <c r="Q266" i="82" s="1"/>
  <c r="R266" i="82" s="1"/>
  <c r="W637" i="27"/>
  <c r="Z637" i="27" s="1"/>
  <c r="M202" i="82"/>
  <c r="S202" i="82" s="1"/>
  <c r="S520" i="27"/>
  <c r="N516" i="27"/>
  <c r="Q516" i="27" s="1"/>
  <c r="R516" i="27" s="1"/>
  <c r="AT516" i="27" s="1"/>
  <c r="Q547" i="27"/>
  <c r="R547" i="27" s="1"/>
  <c r="AT547" i="27" s="1"/>
  <c r="S574" i="27"/>
  <c r="S605" i="27"/>
  <c r="M158" i="82"/>
  <c r="S158" i="82" s="1"/>
  <c r="N396" i="27"/>
  <c r="Q396" i="27" s="1"/>
  <c r="R396" i="27" s="1"/>
  <c r="AT396" i="27" s="1"/>
  <c r="N584" i="27"/>
  <c r="W584" i="27" s="1"/>
  <c r="Z584" i="27" s="1"/>
  <c r="Q520" i="27"/>
  <c r="R520" i="27" s="1"/>
  <c r="AT520" i="27" s="1"/>
  <c r="AA637" i="27"/>
  <c r="Q517" i="27"/>
  <c r="R517" i="27" s="1"/>
  <c r="AT517" i="27" s="1"/>
  <c r="N643" i="27"/>
  <c r="Q643" i="27" s="1"/>
  <c r="R643" i="27" s="1"/>
  <c r="AT643" i="27" s="1"/>
  <c r="M268" i="82"/>
  <c r="S268" i="82" s="1"/>
  <c r="W547" i="27"/>
  <c r="Z547" i="27" s="1"/>
  <c r="AB547" i="27" s="1"/>
  <c r="M291" i="82"/>
  <c r="S291" i="82" s="1"/>
  <c r="N586" i="27"/>
  <c r="Q586" i="27" s="1"/>
  <c r="R586" i="27" s="1"/>
  <c r="AT586" i="27" s="1"/>
  <c r="S504" i="27"/>
  <c r="M243" i="82"/>
  <c r="S243" i="82" s="1"/>
  <c r="M234" i="82"/>
  <c r="S234" i="82" s="1"/>
  <c r="S561" i="27"/>
  <c r="N579" i="27"/>
  <c r="Q579" i="27" s="1"/>
  <c r="R579" i="27" s="1"/>
  <c r="AT579" i="27" s="1"/>
  <c r="N587" i="27"/>
  <c r="W587" i="27" s="1"/>
  <c r="Z587" i="27" s="1"/>
  <c r="W538" i="27"/>
  <c r="Z538" i="27" s="1"/>
  <c r="AB538" i="27" s="1"/>
  <c r="M223" i="82"/>
  <c r="S223" i="82" s="1"/>
  <c r="AA489" i="27"/>
  <c r="M269" i="82"/>
  <c r="S269" i="82" s="1"/>
  <c r="N668" i="27"/>
  <c r="Q668" i="27" s="1"/>
  <c r="R668" i="27" s="1"/>
  <c r="AT668" i="27" s="1"/>
  <c r="W489" i="27"/>
  <c r="Z489" i="27" s="1"/>
  <c r="N398" i="27"/>
  <c r="AA398" i="27" s="1"/>
  <c r="Q538" i="27"/>
  <c r="R538" i="27" s="1"/>
  <c r="AT538" i="27" s="1"/>
  <c r="Q570" i="27"/>
  <c r="R570" i="27" s="1"/>
  <c r="AT570" i="27" s="1"/>
  <c r="AA561" i="27"/>
  <c r="AB561" i="27" s="1"/>
  <c r="N653" i="27"/>
  <c r="Q653" i="27" s="1"/>
  <c r="R653" i="27" s="1"/>
  <c r="AT653" i="27" s="1"/>
  <c r="S534" i="27"/>
  <c r="M181" i="82"/>
  <c r="S181" i="82" s="1"/>
  <c r="AA570" i="27"/>
  <c r="AB570" i="27" s="1"/>
  <c r="Q561" i="27"/>
  <c r="R561" i="27" s="1"/>
  <c r="AT561" i="27" s="1"/>
  <c r="M209" i="82"/>
  <c r="S209" i="82" s="1"/>
  <c r="Q552" i="27"/>
  <c r="R552" i="27" s="1"/>
  <c r="AT552" i="27" s="1"/>
  <c r="AA534" i="27"/>
  <c r="M216" i="82"/>
  <c r="S216" i="82" s="1"/>
  <c r="M220" i="82"/>
  <c r="S220" i="82" s="1"/>
  <c r="M252" i="82"/>
  <c r="S252" i="82" s="1"/>
  <c r="S489" i="27"/>
  <c r="AA552" i="27"/>
  <c r="AB552" i="27" s="1"/>
  <c r="N378" i="27"/>
  <c r="AA378" i="27" s="1"/>
  <c r="AA548" i="27"/>
  <c r="W534" i="27"/>
  <c r="Z534" i="27" s="1"/>
  <c r="S538" i="27"/>
  <c r="S570" i="27"/>
  <c r="N527" i="27"/>
  <c r="Q527" i="27" s="1"/>
  <c r="R527" i="27" s="1"/>
  <c r="AT527" i="27" s="1"/>
  <c r="M157" i="82"/>
  <c r="S157" i="82" s="1"/>
  <c r="W548" i="27"/>
  <c r="Z548" i="27" s="1"/>
  <c r="M303" i="82"/>
  <c r="N303" i="82" s="1"/>
  <c r="Q303" i="82" s="1"/>
  <c r="R303" i="82" s="1"/>
  <c r="S559" i="27"/>
  <c r="M241" i="82"/>
  <c r="S241" i="82" s="1"/>
  <c r="S674" i="27"/>
  <c r="Q559" i="27"/>
  <c r="R559" i="27" s="1"/>
  <c r="AT559" i="27" s="1"/>
  <c r="N305" i="27"/>
  <c r="AA305" i="27" s="1"/>
  <c r="AA559" i="27"/>
  <c r="AB559" i="27" s="1"/>
  <c r="AA674" i="27"/>
  <c r="H6" i="61"/>
  <c r="N319" i="27"/>
  <c r="AA319" i="27" s="1"/>
  <c r="M298" i="82"/>
  <c r="S298" i="82" s="1"/>
  <c r="S526" i="27"/>
  <c r="N556" i="27"/>
  <c r="W556" i="27" s="1"/>
  <c r="Z556" i="27" s="1"/>
  <c r="S488" i="27"/>
  <c r="AA564" i="27"/>
  <c r="AB564" i="27" s="1"/>
  <c r="M208" i="82"/>
  <c r="S208" i="82" s="1"/>
  <c r="M180" i="82"/>
  <c r="S180" i="82" s="1"/>
  <c r="S556" i="27"/>
  <c r="Q564" i="27"/>
  <c r="R564" i="27" s="1"/>
  <c r="AT564" i="27" s="1"/>
  <c r="AA488" i="27"/>
  <c r="AB488" i="27" s="1"/>
  <c r="M276" i="82"/>
  <c r="S276" i="82" s="1"/>
  <c r="N313" i="27"/>
  <c r="Q313" i="27" s="1"/>
  <c r="R313" i="27" s="1"/>
  <c r="AT313" i="27" s="1"/>
  <c r="M274" i="82"/>
  <c r="S274" i="82" s="1"/>
  <c r="Q488" i="27"/>
  <c r="R488" i="27" s="1"/>
  <c r="AT488" i="27" s="1"/>
  <c r="Q594" i="27"/>
  <c r="R594" i="27" s="1"/>
  <c r="AT594" i="27" s="1"/>
  <c r="N592" i="27"/>
  <c r="AA592" i="27" s="1"/>
  <c r="N533" i="27"/>
  <c r="W533" i="27" s="1"/>
  <c r="Z533" i="27" s="1"/>
  <c r="N317" i="27"/>
  <c r="Q317" i="27" s="1"/>
  <c r="R317" i="27" s="1"/>
  <c r="AT317" i="27" s="1"/>
  <c r="S591" i="27"/>
  <c r="AA594" i="27"/>
  <c r="AB594" i="27" s="1"/>
  <c r="N591" i="27"/>
  <c r="W591" i="27" s="1"/>
  <c r="Z591" i="27" s="1"/>
  <c r="M246" i="82"/>
  <c r="S246" i="82" s="1"/>
  <c r="S594" i="27"/>
  <c r="W526" i="27"/>
  <c r="Z526" i="27" s="1"/>
  <c r="W24" i="27"/>
  <c r="Z24" i="27" s="1"/>
  <c r="AB24" i="27" s="1"/>
  <c r="AA526" i="27"/>
  <c r="N109" i="66"/>
  <c r="R109" i="66" s="1"/>
  <c r="T109" i="66" s="1"/>
  <c r="AT109" i="66" s="1"/>
  <c r="N116" i="66"/>
  <c r="R116" i="66" s="1"/>
  <c r="T116" i="66" s="1"/>
  <c r="AT116" i="66" s="1"/>
  <c r="Q19" i="91"/>
  <c r="Q20" i="91" s="1"/>
  <c r="Q21" i="91" s="1"/>
  <c r="I22" i="73"/>
  <c r="J22" i="73" s="1"/>
  <c r="N280" i="82"/>
  <c r="Q280" i="82" s="1"/>
  <c r="R280" i="82" s="1"/>
  <c r="M136" i="82"/>
  <c r="N136" i="82" s="1"/>
  <c r="Q136" i="82" s="1"/>
  <c r="R136" i="82" s="1"/>
  <c r="S260" i="27"/>
  <c r="J14" i="53" s="1"/>
  <c r="H14" i="53" s="1"/>
  <c r="W132" i="27"/>
  <c r="Z132" i="27" s="1"/>
  <c r="AB132" i="27" s="1"/>
  <c r="Q129" i="27"/>
  <c r="R129" i="27" s="1"/>
  <c r="AT129" i="27" s="1"/>
  <c r="W129" i="27"/>
  <c r="Z129" i="27" s="1"/>
  <c r="AB129" i="27" s="1"/>
  <c r="Q116" i="27"/>
  <c r="R116" i="27" s="1"/>
  <c r="AT116" i="27" s="1"/>
  <c r="AA146" i="27"/>
  <c r="N179" i="82"/>
  <c r="Q179" i="82" s="1"/>
  <c r="R179" i="82" s="1"/>
  <c r="W146" i="27"/>
  <c r="Z146" i="27" s="1"/>
  <c r="N259" i="82"/>
  <c r="Q259" i="82" s="1"/>
  <c r="R259" i="82" s="1"/>
  <c r="N258" i="82"/>
  <c r="Q258" i="82" s="1"/>
  <c r="R258" i="82" s="1"/>
  <c r="N208" i="82"/>
  <c r="Q208" i="82" s="1"/>
  <c r="R208" i="82" s="1"/>
  <c r="N216" i="82"/>
  <c r="Q216" i="82" s="1"/>
  <c r="R216" i="82" s="1"/>
  <c r="N199" i="82"/>
  <c r="Q199" i="82" s="1"/>
  <c r="R199" i="82" s="1"/>
  <c r="N203" i="82"/>
  <c r="Q203" i="82" s="1"/>
  <c r="R203" i="82" s="1"/>
  <c r="N298" i="82"/>
  <c r="Q298" i="82" s="1"/>
  <c r="R298" i="82" s="1"/>
  <c r="N230" i="82"/>
  <c r="Q230" i="82" s="1"/>
  <c r="R230" i="82" s="1"/>
  <c r="N241" i="82"/>
  <c r="Q241" i="82" s="1"/>
  <c r="R241" i="82" s="1"/>
  <c r="N202" i="82"/>
  <c r="Q202" i="82" s="1"/>
  <c r="R202" i="82" s="1"/>
  <c r="N281" i="82"/>
  <c r="Q281" i="82" s="1"/>
  <c r="R281" i="82" s="1"/>
  <c r="AA162" i="27"/>
  <c r="N296" i="82"/>
  <c r="Q296" i="82" s="1"/>
  <c r="R296" i="82" s="1"/>
  <c r="N276" i="82"/>
  <c r="Q276" i="82" s="1"/>
  <c r="R276" i="82" s="1"/>
  <c r="W162" i="27"/>
  <c r="Z162" i="27" s="1"/>
  <c r="N143" i="82"/>
  <c r="Q143" i="82" s="1"/>
  <c r="R143" i="82" s="1"/>
  <c r="N251" i="82"/>
  <c r="Q251" i="82" s="1"/>
  <c r="R251" i="82" s="1"/>
  <c r="N284" i="82"/>
  <c r="Q284" i="82" s="1"/>
  <c r="R284" i="82" s="1"/>
  <c r="Q132" i="27"/>
  <c r="R132" i="27" s="1"/>
  <c r="AT132" i="27" s="1"/>
  <c r="N182" i="82"/>
  <c r="Q182" i="82" s="1"/>
  <c r="R182" i="82" s="1"/>
  <c r="N197" i="82"/>
  <c r="Q197" i="82" s="1"/>
  <c r="R197" i="82" s="1"/>
  <c r="W116" i="27"/>
  <c r="Z116" i="27" s="1"/>
  <c r="AB116" i="27" s="1"/>
  <c r="Q114" i="27"/>
  <c r="R114" i="27" s="1"/>
  <c r="AT114" i="27" s="1"/>
  <c r="W175" i="27"/>
  <c r="Z175" i="27" s="1"/>
  <c r="AB175" i="27" s="1"/>
  <c r="Q175" i="27"/>
  <c r="R175" i="27" s="1"/>
  <c r="AT175" i="27" s="1"/>
  <c r="AA145" i="27"/>
  <c r="AA99" i="27"/>
  <c r="AB99" i="27" s="1"/>
  <c r="N692" i="27"/>
  <c r="W692" i="27" s="1"/>
  <c r="Z692" i="27" s="1"/>
  <c r="Q101" i="27"/>
  <c r="R101" i="27" s="1"/>
  <c r="AT101" i="27" s="1"/>
  <c r="N50" i="27"/>
  <c r="AA50" i="27" s="1"/>
  <c r="N51" i="27"/>
  <c r="AA51" i="27" s="1"/>
  <c r="N351" i="27"/>
  <c r="AA351" i="27" s="1"/>
  <c r="N395" i="27"/>
  <c r="W395" i="27" s="1"/>
  <c r="Z395" i="27" s="1"/>
  <c r="Q98" i="27"/>
  <c r="R98" i="27" s="1"/>
  <c r="AT98" i="27" s="1"/>
  <c r="N612" i="27"/>
  <c r="W612" i="27" s="1"/>
  <c r="Z612" i="27" s="1"/>
  <c r="AA98" i="27"/>
  <c r="AB98" i="27" s="1"/>
  <c r="Q130" i="27"/>
  <c r="R130" i="27" s="1"/>
  <c r="AT130" i="27" s="1"/>
  <c r="AA143" i="27"/>
  <c r="N693" i="27"/>
  <c r="AA693" i="27" s="1"/>
  <c r="AA101" i="27"/>
  <c r="AB101" i="27" s="1"/>
  <c r="W114" i="27"/>
  <c r="Z114" i="27" s="1"/>
  <c r="AB114" i="27" s="1"/>
  <c r="W143" i="27"/>
  <c r="Z143" i="27" s="1"/>
  <c r="W147" i="27"/>
  <c r="Z147" i="27" s="1"/>
  <c r="AB147" i="27" s="1"/>
  <c r="N369" i="27"/>
  <c r="W369" i="27" s="1"/>
  <c r="Z369" i="27" s="1"/>
  <c r="N159" i="27"/>
  <c r="AA159" i="27" s="1"/>
  <c r="N358" i="27"/>
  <c r="W358" i="27" s="1"/>
  <c r="Z358" i="27" s="1"/>
  <c r="N55" i="27"/>
  <c r="AA55" i="27" s="1"/>
  <c r="N618" i="27"/>
  <c r="AA618" i="27" s="1"/>
  <c r="N75" i="27"/>
  <c r="AA75" i="27" s="1"/>
  <c r="N186" i="27"/>
  <c r="AA186" i="27" s="1"/>
  <c r="W130" i="27"/>
  <c r="Z130" i="27" s="1"/>
  <c r="AB130" i="27" s="1"/>
  <c r="W145" i="27"/>
  <c r="Z145" i="27" s="1"/>
  <c r="W117" i="27"/>
  <c r="Z117" i="27" s="1"/>
  <c r="AB117" i="27" s="1"/>
  <c r="Q131" i="27"/>
  <c r="R131" i="27" s="1"/>
  <c r="AT131" i="27" s="1"/>
  <c r="W174" i="27"/>
  <c r="Z174" i="27" s="1"/>
  <c r="AA158" i="27"/>
  <c r="N681" i="27"/>
  <c r="AA681" i="27" s="1"/>
  <c r="N172" i="27"/>
  <c r="Q172" i="27" s="1"/>
  <c r="R172" i="27" s="1"/>
  <c r="AT172" i="27" s="1"/>
  <c r="Q99" i="27"/>
  <c r="R99" i="27" s="1"/>
  <c r="AT99" i="27" s="1"/>
  <c r="N360" i="27"/>
  <c r="W360" i="27" s="1"/>
  <c r="Z360" i="27" s="1"/>
  <c r="N665" i="27"/>
  <c r="AA665" i="27" s="1"/>
  <c r="W158" i="27"/>
  <c r="Z158" i="27" s="1"/>
  <c r="AA160" i="27"/>
  <c r="AB160" i="27" s="1"/>
  <c r="N341" i="27"/>
  <c r="W341" i="27" s="1"/>
  <c r="Z341" i="27" s="1"/>
  <c r="N69" i="27"/>
  <c r="Q69" i="27" s="1"/>
  <c r="R69" i="27" s="1"/>
  <c r="AT69" i="27" s="1"/>
  <c r="N62" i="27"/>
  <c r="Q62" i="27" s="1"/>
  <c r="R62" i="27" s="1"/>
  <c r="AT62" i="27" s="1"/>
  <c r="N355" i="27"/>
  <c r="W355" i="27" s="1"/>
  <c r="Z355" i="27" s="1"/>
  <c r="N155" i="27"/>
  <c r="AA155" i="27" s="1"/>
  <c r="N113" i="27"/>
  <c r="AA113" i="27" s="1"/>
  <c r="N293" i="82"/>
  <c r="Q293" i="82" s="1"/>
  <c r="R293" i="82" s="1"/>
  <c r="N138" i="82"/>
  <c r="Q138" i="82" s="1"/>
  <c r="R138" i="82" s="1"/>
  <c r="N410" i="27"/>
  <c r="N57" i="27"/>
  <c r="AA57" i="27" s="1"/>
  <c r="W177" i="27"/>
  <c r="Z177" i="27" s="1"/>
  <c r="AB177" i="27" s="1"/>
  <c r="Q117" i="27"/>
  <c r="R117" i="27" s="1"/>
  <c r="AT117" i="27" s="1"/>
  <c r="N687" i="27"/>
  <c r="Q687" i="27" s="1"/>
  <c r="R687" i="27" s="1"/>
  <c r="AT687" i="27" s="1"/>
  <c r="N183" i="27"/>
  <c r="W183" i="27" s="1"/>
  <c r="Z183" i="27" s="1"/>
  <c r="N659" i="27"/>
  <c r="W659" i="27" s="1"/>
  <c r="Z659" i="27" s="1"/>
  <c r="N61" i="27"/>
  <c r="AA61" i="27" s="1"/>
  <c r="S200" i="82"/>
  <c r="N480" i="27"/>
  <c r="W480" i="27" s="1"/>
  <c r="Z480" i="27" s="1"/>
  <c r="N66" i="27"/>
  <c r="W66" i="27" s="1"/>
  <c r="Z66" i="27" s="1"/>
  <c r="N64" i="27"/>
  <c r="AA64" i="27" s="1"/>
  <c r="N651" i="27"/>
  <c r="Q651" i="27" s="1"/>
  <c r="R651" i="27" s="1"/>
  <c r="AT651" i="27" s="1"/>
  <c r="N170" i="27"/>
  <c r="AA170" i="27" s="1"/>
  <c r="N102" i="27"/>
  <c r="N169" i="27"/>
  <c r="AA169" i="27" s="1"/>
  <c r="N299" i="27"/>
  <c r="Q299" i="27" s="1"/>
  <c r="R299" i="27" s="1"/>
  <c r="AT299" i="27" s="1"/>
  <c r="W112" i="27"/>
  <c r="Z112" i="27" s="1"/>
  <c r="Q112" i="27"/>
  <c r="R112" i="27" s="1"/>
  <c r="AT112" i="27" s="1"/>
  <c r="AA112" i="27"/>
  <c r="W263" i="27"/>
  <c r="Z263" i="27" s="1"/>
  <c r="Q263" i="27"/>
  <c r="R263" i="27" s="1"/>
  <c r="AT263" i="27" s="1"/>
  <c r="AA263" i="27"/>
  <c r="Q127" i="27"/>
  <c r="R127" i="27" s="1"/>
  <c r="AT127" i="27" s="1"/>
  <c r="W127" i="27"/>
  <c r="Z127" i="27" s="1"/>
  <c r="AA127" i="27"/>
  <c r="AA381" i="27"/>
  <c r="Q381" i="27"/>
  <c r="R381" i="27" s="1"/>
  <c r="AT381" i="27" s="1"/>
  <c r="W381" i="27"/>
  <c r="Z381" i="27" s="1"/>
  <c r="W266" i="27"/>
  <c r="Z266" i="27" s="1"/>
  <c r="Q266" i="27"/>
  <c r="R266" i="27" s="1"/>
  <c r="AT266" i="27" s="1"/>
  <c r="AA266" i="27"/>
  <c r="N155" i="82"/>
  <c r="Q155" i="82" s="1"/>
  <c r="R155" i="82" s="1"/>
  <c r="N619" i="27"/>
  <c r="Q619" i="27" s="1"/>
  <c r="R619" i="27" s="1"/>
  <c r="AT619" i="27" s="1"/>
  <c r="N183" i="82"/>
  <c r="Q183" i="82" s="1"/>
  <c r="R183" i="82" s="1"/>
  <c r="N52" i="27"/>
  <c r="Q52" i="27" s="1"/>
  <c r="R52" i="27" s="1"/>
  <c r="AT52" i="27" s="1"/>
  <c r="N74" i="27"/>
  <c r="Q74" i="27" s="1"/>
  <c r="R74" i="27" s="1"/>
  <c r="AT74" i="27" s="1"/>
  <c r="N191" i="82"/>
  <c r="Q191" i="82" s="1"/>
  <c r="R191" i="82" s="1"/>
  <c r="N691" i="27"/>
  <c r="Q691" i="27" s="1"/>
  <c r="R691" i="27" s="1"/>
  <c r="AT691" i="27" s="1"/>
  <c r="N610" i="27"/>
  <c r="N650" i="27"/>
  <c r="S140" i="27"/>
  <c r="M95" i="82"/>
  <c r="S124" i="27"/>
  <c r="M89" i="82"/>
  <c r="N354" i="27"/>
  <c r="M91" i="82"/>
  <c r="S126" i="27"/>
  <c r="S261" i="27"/>
  <c r="M137" i="82"/>
  <c r="S139" i="27"/>
  <c r="M94" i="82"/>
  <c r="N157" i="27"/>
  <c r="N156" i="27"/>
  <c r="N315" i="27"/>
  <c r="N115" i="27"/>
  <c r="N173" i="27"/>
  <c r="N144" i="27"/>
  <c r="N356" i="27"/>
  <c r="N337" i="27"/>
  <c r="S141" i="27"/>
  <c r="M96" i="82"/>
  <c r="N161" i="27"/>
  <c r="S282" i="82"/>
  <c r="N282" i="82"/>
  <c r="Q282" i="82" s="1"/>
  <c r="R282" i="82" s="1"/>
  <c r="N283" i="82"/>
  <c r="Q283" i="82" s="1"/>
  <c r="R283" i="82" s="1"/>
  <c r="N176" i="82"/>
  <c r="Q176" i="82" s="1"/>
  <c r="R176" i="82" s="1"/>
  <c r="S111" i="27"/>
  <c r="M86" i="82"/>
  <c r="M97" i="82"/>
  <c r="S142" i="27"/>
  <c r="S109" i="27"/>
  <c r="M84" i="82"/>
  <c r="AA125" i="27"/>
  <c r="Q125" i="27"/>
  <c r="R125" i="27" s="1"/>
  <c r="AT125" i="27" s="1"/>
  <c r="W125" i="27"/>
  <c r="Z125" i="27" s="1"/>
  <c r="S110" i="27"/>
  <c r="M85" i="82"/>
  <c r="S145" i="82"/>
  <c r="N145" i="82"/>
  <c r="Q145" i="82" s="1"/>
  <c r="R145" i="82" s="1"/>
  <c r="N140" i="82"/>
  <c r="Q140" i="82" s="1"/>
  <c r="R140" i="82" s="1"/>
  <c r="S175" i="82"/>
  <c r="N175" i="82"/>
  <c r="Q175" i="82" s="1"/>
  <c r="R175" i="82" s="1"/>
  <c r="N157" i="82"/>
  <c r="Q157" i="82" s="1"/>
  <c r="R157" i="82" s="1"/>
  <c r="Q147" i="27"/>
  <c r="R147" i="27" s="1"/>
  <c r="AT147" i="27" s="1"/>
  <c r="N476" i="27"/>
  <c r="W476" i="27" s="1"/>
  <c r="Z476" i="27" s="1"/>
  <c r="AA140" i="27"/>
  <c r="W140" i="27"/>
  <c r="Z140" i="27" s="1"/>
  <c r="Q140" i="27"/>
  <c r="R140" i="27" s="1"/>
  <c r="AT140" i="27" s="1"/>
  <c r="Q124" i="27"/>
  <c r="R124" i="27" s="1"/>
  <c r="AT124" i="27" s="1"/>
  <c r="W124" i="27"/>
  <c r="Z124" i="27" s="1"/>
  <c r="AA124" i="27"/>
  <c r="Q126" i="27"/>
  <c r="R126" i="27" s="1"/>
  <c r="AT126" i="27" s="1"/>
  <c r="W126" i="27"/>
  <c r="Z126" i="27" s="1"/>
  <c r="AA126" i="27"/>
  <c r="W261" i="27"/>
  <c r="Z261" i="27" s="1"/>
  <c r="AA261" i="27"/>
  <c r="Q261" i="27"/>
  <c r="R261" i="27" s="1"/>
  <c r="AT261" i="27" s="1"/>
  <c r="W139" i="27"/>
  <c r="Z139" i="27" s="1"/>
  <c r="Q139" i="27"/>
  <c r="R139" i="27" s="1"/>
  <c r="AT139" i="27" s="1"/>
  <c r="AA139" i="27"/>
  <c r="N339" i="27"/>
  <c r="N652" i="27"/>
  <c r="S125" i="27"/>
  <c r="M90" i="82"/>
  <c r="AA141" i="27"/>
  <c r="Q141" i="27"/>
  <c r="R141" i="27" s="1"/>
  <c r="AT141" i="27" s="1"/>
  <c r="W141" i="27"/>
  <c r="Z141" i="27" s="1"/>
  <c r="N177" i="82"/>
  <c r="Q177" i="82" s="1"/>
  <c r="R177" i="82" s="1"/>
  <c r="N164" i="82"/>
  <c r="Q164" i="82" s="1"/>
  <c r="R164" i="82" s="1"/>
  <c r="AA131" i="27"/>
  <c r="AB131" i="27" s="1"/>
  <c r="AA174" i="27"/>
  <c r="AA100" i="27"/>
  <c r="AB100" i="27" s="1"/>
  <c r="N165" i="82"/>
  <c r="Q165" i="82" s="1"/>
  <c r="R165" i="82" s="1"/>
  <c r="N156" i="82"/>
  <c r="Q156" i="82" s="1"/>
  <c r="R156" i="82" s="1"/>
  <c r="N174" i="82"/>
  <c r="Q174" i="82" s="1"/>
  <c r="R174" i="82" s="1"/>
  <c r="N68" i="27"/>
  <c r="Q68" i="27" s="1"/>
  <c r="R68" i="27" s="1"/>
  <c r="AT68" i="27" s="1"/>
  <c r="N72" i="27"/>
  <c r="AA72" i="27" s="1"/>
  <c r="N60" i="27"/>
  <c r="W60" i="27" s="1"/>
  <c r="Z60" i="27" s="1"/>
  <c r="N680" i="27"/>
  <c r="W680" i="27" s="1"/>
  <c r="Z680" i="27" s="1"/>
  <c r="N478" i="27"/>
  <c r="AA478" i="27" s="1"/>
  <c r="N56" i="27"/>
  <c r="AA56" i="27" s="1"/>
  <c r="N615" i="27"/>
  <c r="Q615" i="27" s="1"/>
  <c r="R615" i="27" s="1"/>
  <c r="AT615" i="27" s="1"/>
  <c r="N666" i="27"/>
  <c r="N340" i="27"/>
  <c r="N111" i="27"/>
  <c r="N171" i="27"/>
  <c r="N142" i="27"/>
  <c r="N667" i="27"/>
  <c r="N357" i="27"/>
  <c r="N109" i="27"/>
  <c r="N184" i="27"/>
  <c r="N185" i="27"/>
  <c r="M87" i="82"/>
  <c r="S112" i="27"/>
  <c r="S127" i="27"/>
  <c r="M92" i="82"/>
  <c r="M160" i="82"/>
  <c r="S381" i="27"/>
  <c r="N301" i="27"/>
  <c r="N176" i="27"/>
  <c r="N338" i="27"/>
  <c r="N187" i="27"/>
  <c r="N154" i="27"/>
  <c r="N110" i="27"/>
  <c r="M142" i="82"/>
  <c r="S266" i="27"/>
  <c r="N324" i="27"/>
  <c r="S263" i="27"/>
  <c r="M139" i="82"/>
  <c r="Q244" i="27"/>
  <c r="R244" i="27" s="1"/>
  <c r="AT244" i="27" s="1"/>
  <c r="AA244" i="27"/>
  <c r="W244" i="27"/>
  <c r="Z244" i="27" s="1"/>
  <c r="N217" i="82"/>
  <c r="Q217" i="82" s="1"/>
  <c r="R217" i="82" s="1"/>
  <c r="S206" i="82"/>
  <c r="N206" i="82"/>
  <c r="Q206" i="82" s="1"/>
  <c r="R206" i="82" s="1"/>
  <c r="S237" i="82"/>
  <c r="N237" i="82"/>
  <c r="Q237" i="82" s="1"/>
  <c r="R237" i="82" s="1"/>
  <c r="N195" i="82"/>
  <c r="Q195" i="82" s="1"/>
  <c r="R195" i="82" s="1"/>
  <c r="S151" i="82"/>
  <c r="N269" i="82"/>
  <c r="Q269" i="82" s="1"/>
  <c r="R269" i="82" s="1"/>
  <c r="N272" i="82"/>
  <c r="Q272" i="82" s="1"/>
  <c r="R272" i="82" s="1"/>
  <c r="S190" i="27"/>
  <c r="M100" i="82"/>
  <c r="S257" i="27"/>
  <c r="M133" i="82"/>
  <c r="S245" i="27"/>
  <c r="I121" i="82" s="1"/>
  <c r="M121" i="82"/>
  <c r="S121" i="82" s="1"/>
  <c r="AA247" i="27"/>
  <c r="Q247" i="27"/>
  <c r="R247" i="27" s="1"/>
  <c r="AT247" i="27" s="1"/>
  <c r="W247" i="27"/>
  <c r="Z247" i="27" s="1"/>
  <c r="N304" i="82"/>
  <c r="Q304" i="82" s="1"/>
  <c r="R304" i="82" s="1"/>
  <c r="N213" i="82"/>
  <c r="Q213" i="82" s="1"/>
  <c r="R213" i="82" s="1"/>
  <c r="N239" i="82"/>
  <c r="Q239" i="82" s="1"/>
  <c r="R239" i="82" s="1"/>
  <c r="S260" i="82"/>
  <c r="N260" i="82"/>
  <c r="Q260" i="82" s="1"/>
  <c r="R260" i="82" s="1"/>
  <c r="S256" i="82"/>
  <c r="N256" i="82"/>
  <c r="Q256" i="82" s="1"/>
  <c r="R256" i="82" s="1"/>
  <c r="S215" i="82"/>
  <c r="N215" i="82"/>
  <c r="Q215" i="82" s="1"/>
  <c r="R215" i="82" s="1"/>
  <c r="N240" i="82"/>
  <c r="Q240" i="82" s="1"/>
  <c r="R240" i="82" s="1"/>
  <c r="S236" i="82"/>
  <c r="N236" i="82"/>
  <c r="Q236" i="82" s="1"/>
  <c r="R236" i="82" s="1"/>
  <c r="S225" i="82"/>
  <c r="N225" i="82"/>
  <c r="Q225" i="82" s="1"/>
  <c r="R225" i="82" s="1"/>
  <c r="S207" i="82"/>
  <c r="N207" i="82"/>
  <c r="Q207" i="82" s="1"/>
  <c r="R207" i="82" s="1"/>
  <c r="Q100" i="27"/>
  <c r="R100" i="27" s="1"/>
  <c r="AT100" i="27" s="1"/>
  <c r="N345" i="27"/>
  <c r="N370" i="27"/>
  <c r="N342" i="27"/>
  <c r="Q251" i="27"/>
  <c r="R251" i="27" s="1"/>
  <c r="AT251" i="27" s="1"/>
  <c r="W251" i="27"/>
  <c r="Z251" i="27" s="1"/>
  <c r="AA251" i="27"/>
  <c r="N689" i="27"/>
  <c r="N657" i="27"/>
  <c r="M83" i="82"/>
  <c r="S108" i="27"/>
  <c r="W192" i="27"/>
  <c r="Z192" i="27" s="1"/>
  <c r="Q192" i="27"/>
  <c r="R192" i="27" s="1"/>
  <c r="AT192" i="27" s="1"/>
  <c r="AA192" i="27"/>
  <c r="N682" i="27"/>
  <c r="N371" i="27"/>
  <c r="N343" i="27"/>
  <c r="M131" i="82"/>
  <c r="S255" i="27"/>
  <c r="M128" i="82"/>
  <c r="S252" i="27"/>
  <c r="N242" i="82"/>
  <c r="Q242" i="82" s="1"/>
  <c r="R242" i="82" s="1"/>
  <c r="N221" i="82"/>
  <c r="Q221" i="82" s="1"/>
  <c r="R221" i="82" s="1"/>
  <c r="N294" i="82"/>
  <c r="Q294" i="82" s="1"/>
  <c r="R294" i="82" s="1"/>
  <c r="N219" i="82"/>
  <c r="Q219" i="82" s="1"/>
  <c r="R219" i="82" s="1"/>
  <c r="N262" i="82"/>
  <c r="Q262" i="82" s="1"/>
  <c r="R262" i="82" s="1"/>
  <c r="N231" i="82"/>
  <c r="Q231" i="82" s="1"/>
  <c r="R231" i="82" s="1"/>
  <c r="N295" i="82"/>
  <c r="Q295" i="82" s="1"/>
  <c r="R295" i="82" s="1"/>
  <c r="N228" i="82"/>
  <c r="Q228" i="82" s="1"/>
  <c r="R228" i="82" s="1"/>
  <c r="N268" i="82"/>
  <c r="Q268" i="82" s="1"/>
  <c r="R268" i="82" s="1"/>
  <c r="S261" i="82"/>
  <c r="N261" i="82"/>
  <c r="Q261" i="82" s="1"/>
  <c r="R261" i="82" s="1"/>
  <c r="S224" i="82"/>
  <c r="N224" i="82"/>
  <c r="Q224" i="82" s="1"/>
  <c r="R224" i="82" s="1"/>
  <c r="N209" i="82"/>
  <c r="Q209" i="82" s="1"/>
  <c r="R209" i="82" s="1"/>
  <c r="S247" i="82"/>
  <c r="N247" i="82"/>
  <c r="Q247" i="82" s="1"/>
  <c r="R247" i="82" s="1"/>
  <c r="S275" i="82"/>
  <c r="N275" i="82"/>
  <c r="Q275" i="82" s="1"/>
  <c r="R275" i="82" s="1"/>
  <c r="W128" i="27"/>
  <c r="Z128" i="27" s="1"/>
  <c r="AB128" i="27" s="1"/>
  <c r="Q128" i="27"/>
  <c r="R128" i="27" s="1"/>
  <c r="AT128" i="27" s="1"/>
  <c r="S129" i="82"/>
  <c r="N129" i="82"/>
  <c r="Q129" i="82" s="1"/>
  <c r="R129" i="82" s="1"/>
  <c r="S123" i="27"/>
  <c r="M88" i="82"/>
  <c r="S243" i="27"/>
  <c r="I119" i="82" s="1"/>
  <c r="M119" i="82"/>
  <c r="S119" i="82" s="1"/>
  <c r="S246" i="27"/>
  <c r="M122" i="82"/>
  <c r="M127" i="82"/>
  <c r="S251" i="27"/>
  <c r="N189" i="82"/>
  <c r="Q189" i="82" s="1"/>
  <c r="R189" i="82" s="1"/>
  <c r="W248" i="27"/>
  <c r="Z248" i="27" s="1"/>
  <c r="AA248" i="27"/>
  <c r="Q248" i="27"/>
  <c r="R248" i="27" s="1"/>
  <c r="AT248" i="27" s="1"/>
  <c r="W191" i="27"/>
  <c r="Z191" i="27" s="1"/>
  <c r="Q191" i="27"/>
  <c r="R191" i="27" s="1"/>
  <c r="AT191" i="27" s="1"/>
  <c r="AA191" i="27"/>
  <c r="AA249" i="27"/>
  <c r="W249" i="27"/>
  <c r="Z249" i="27" s="1"/>
  <c r="Q249" i="27"/>
  <c r="R249" i="27" s="1"/>
  <c r="AT249" i="27" s="1"/>
  <c r="Q254" i="27"/>
  <c r="R254" i="27" s="1"/>
  <c r="AT254" i="27" s="1"/>
  <c r="AA254" i="27"/>
  <c r="W254" i="27"/>
  <c r="Z254" i="27" s="1"/>
  <c r="N263" i="82"/>
  <c r="Q263" i="82" s="1"/>
  <c r="R263" i="82" s="1"/>
  <c r="N479" i="27"/>
  <c r="N332" i="27"/>
  <c r="N477" i="27"/>
  <c r="N688" i="27"/>
  <c r="S188" i="27"/>
  <c r="J12" i="53" s="1"/>
  <c r="H12" i="53" s="1"/>
  <c r="M98" i="82"/>
  <c r="S138" i="27"/>
  <c r="M93" i="82"/>
  <c r="S192" i="27"/>
  <c r="M102" i="82"/>
  <c r="N232" i="82"/>
  <c r="Q232" i="82" s="1"/>
  <c r="R232" i="82" s="1"/>
  <c r="N654" i="27"/>
  <c r="N617" i="27"/>
  <c r="N361" i="27"/>
  <c r="N65" i="27"/>
  <c r="N71" i="27"/>
  <c r="N63" i="27"/>
  <c r="N229" i="82"/>
  <c r="Q229" i="82" s="1"/>
  <c r="R229" i="82" s="1"/>
  <c r="N144" i="82"/>
  <c r="Q144" i="82" s="1"/>
  <c r="R144" i="82" s="1"/>
  <c r="N246" i="82"/>
  <c r="Q246" i="82" s="1"/>
  <c r="R246" i="82" s="1"/>
  <c r="N162" i="82"/>
  <c r="Q162" i="82" s="1"/>
  <c r="R162" i="82" s="1"/>
  <c r="N212" i="82"/>
  <c r="Q212" i="82" s="1"/>
  <c r="R212" i="82" s="1"/>
  <c r="N211" i="82"/>
  <c r="Q211" i="82" s="1"/>
  <c r="R211" i="82" s="1"/>
  <c r="N210" i="82"/>
  <c r="Q210" i="82" s="1"/>
  <c r="R210" i="82" s="1"/>
  <c r="N205" i="82"/>
  <c r="Q205" i="82" s="1"/>
  <c r="R205" i="82" s="1"/>
  <c r="S287" i="82"/>
  <c r="N287" i="82"/>
  <c r="Q287" i="82" s="1"/>
  <c r="R287" i="82" s="1"/>
  <c r="N194" i="82"/>
  <c r="Q194" i="82" s="1"/>
  <c r="R194" i="82" s="1"/>
  <c r="N248" i="82"/>
  <c r="Q248" i="82" s="1"/>
  <c r="R248" i="82" s="1"/>
  <c r="W253" i="27"/>
  <c r="Z253" i="27" s="1"/>
  <c r="AA253" i="27"/>
  <c r="Q253" i="27"/>
  <c r="R253" i="27" s="1"/>
  <c r="AT253" i="27" s="1"/>
  <c r="W250" i="27"/>
  <c r="Z250" i="27" s="1"/>
  <c r="Q250" i="27"/>
  <c r="R250" i="27" s="1"/>
  <c r="AT250" i="27" s="1"/>
  <c r="AA250" i="27"/>
  <c r="Q108" i="27"/>
  <c r="R108" i="27" s="1"/>
  <c r="AT108" i="27" s="1"/>
  <c r="AA108" i="27"/>
  <c r="W108" i="27"/>
  <c r="Z108" i="27" s="1"/>
  <c r="W256" i="27"/>
  <c r="Z256" i="27" s="1"/>
  <c r="Q256" i="27"/>
  <c r="R256" i="27" s="1"/>
  <c r="AT256" i="27" s="1"/>
  <c r="AA256" i="27"/>
  <c r="S189" i="27"/>
  <c r="M99" i="82"/>
  <c r="AA255" i="27"/>
  <c r="Q255" i="27"/>
  <c r="R255" i="27" s="1"/>
  <c r="AT255" i="27" s="1"/>
  <c r="W255" i="27"/>
  <c r="Z255" i="27" s="1"/>
  <c r="W252" i="27"/>
  <c r="Z252" i="27" s="1"/>
  <c r="AA252" i="27"/>
  <c r="Q252" i="27"/>
  <c r="R252" i="27" s="1"/>
  <c r="AT252" i="27" s="1"/>
  <c r="N257" i="82"/>
  <c r="Q257" i="82" s="1"/>
  <c r="R257" i="82" s="1"/>
  <c r="N243" i="82"/>
  <c r="Q243" i="82" s="1"/>
  <c r="R243" i="82" s="1"/>
  <c r="N181" i="82"/>
  <c r="Q181" i="82" s="1"/>
  <c r="R181" i="82" s="1"/>
  <c r="N204" i="82"/>
  <c r="Q204" i="82" s="1"/>
  <c r="R204" i="82" s="1"/>
  <c r="N159" i="82"/>
  <c r="Q159" i="82" s="1"/>
  <c r="R159" i="82" s="1"/>
  <c r="N265" i="82"/>
  <c r="Q265" i="82" s="1"/>
  <c r="R265" i="82" s="1"/>
  <c r="N198" i="82"/>
  <c r="Q198" i="82" s="1"/>
  <c r="R198" i="82" s="1"/>
  <c r="N300" i="82"/>
  <c r="Q300" i="82" s="1"/>
  <c r="R300" i="82" s="1"/>
  <c r="S264" i="82"/>
  <c r="N264" i="82"/>
  <c r="Q264" i="82" s="1"/>
  <c r="R264" i="82" s="1"/>
  <c r="S150" i="82"/>
  <c r="Q160" i="27"/>
  <c r="R160" i="27" s="1"/>
  <c r="AT160" i="27" s="1"/>
  <c r="N161" i="82"/>
  <c r="Q161" i="82" s="1"/>
  <c r="R161" i="82" s="1"/>
  <c r="N690" i="27"/>
  <c r="N669" i="27"/>
  <c r="N656" i="27"/>
  <c r="N658" i="27"/>
  <c r="Q123" i="27"/>
  <c r="R123" i="27" s="1"/>
  <c r="AT123" i="27" s="1"/>
  <c r="AA123" i="27"/>
  <c r="W123" i="27"/>
  <c r="Z123" i="27" s="1"/>
  <c r="W243" i="27"/>
  <c r="Z243" i="27" s="1"/>
  <c r="AA243" i="27"/>
  <c r="Q243" i="27"/>
  <c r="R243" i="27" s="1"/>
  <c r="AT243" i="27" s="1"/>
  <c r="W246" i="27"/>
  <c r="Z246" i="27" s="1"/>
  <c r="AA246" i="27"/>
  <c r="Q246" i="27"/>
  <c r="R246" i="27" s="1"/>
  <c r="AT246" i="27" s="1"/>
  <c r="N607" i="27"/>
  <c r="N353" i="27"/>
  <c r="M126" i="82"/>
  <c r="S250" i="27"/>
  <c r="N334" i="27"/>
  <c r="N333" i="27"/>
  <c r="M132" i="82"/>
  <c r="S256" i="27"/>
  <c r="Q188" i="27"/>
  <c r="R188" i="27" s="1"/>
  <c r="AT188" i="27" s="1"/>
  <c r="W188" i="27"/>
  <c r="Z188" i="27" s="1"/>
  <c r="AA188" i="27"/>
  <c r="W138" i="27"/>
  <c r="Z138" i="27" s="1"/>
  <c r="AA138" i="27"/>
  <c r="Q138" i="27"/>
  <c r="R138" i="27" s="1"/>
  <c r="AT138" i="27" s="1"/>
  <c r="S247" i="27"/>
  <c r="I123" i="82" s="1"/>
  <c r="M123" i="82"/>
  <c r="S123" i="82" s="1"/>
  <c r="N153" i="82"/>
  <c r="Q153" i="82" s="1"/>
  <c r="R153" i="82" s="1"/>
  <c r="N154" i="82"/>
  <c r="Q154" i="82" s="1"/>
  <c r="R154" i="82" s="1"/>
  <c r="N220" i="82"/>
  <c r="Q220" i="82" s="1"/>
  <c r="R220" i="82" s="1"/>
  <c r="N285" i="82"/>
  <c r="Q285" i="82" s="1"/>
  <c r="R285" i="82" s="1"/>
  <c r="N226" i="82"/>
  <c r="Q226" i="82" s="1"/>
  <c r="R226" i="82" s="1"/>
  <c r="N288" i="82"/>
  <c r="Q288" i="82" s="1"/>
  <c r="R288" i="82" s="1"/>
  <c r="N252" i="82"/>
  <c r="Q252" i="82" s="1"/>
  <c r="R252" i="82" s="1"/>
  <c r="N227" i="82"/>
  <c r="Q227" i="82" s="1"/>
  <c r="R227" i="82" s="1"/>
  <c r="N141" i="82"/>
  <c r="Q141" i="82" s="1"/>
  <c r="R141" i="82" s="1"/>
  <c r="N192" i="82"/>
  <c r="Q192" i="82" s="1"/>
  <c r="R192" i="82" s="1"/>
  <c r="N152" i="82"/>
  <c r="Q152" i="82" s="1"/>
  <c r="R152" i="82" s="1"/>
  <c r="N235" i="82"/>
  <c r="Q235" i="82" s="1"/>
  <c r="R235" i="82" s="1"/>
  <c r="N234" i="82"/>
  <c r="Q234" i="82" s="1"/>
  <c r="R234" i="82" s="1"/>
  <c r="N180" i="82"/>
  <c r="Q180" i="82" s="1"/>
  <c r="R180" i="82" s="1"/>
  <c r="N214" i="82"/>
  <c r="Q214" i="82" s="1"/>
  <c r="R214" i="82" s="1"/>
  <c r="S233" i="82"/>
  <c r="N233" i="82"/>
  <c r="Q233" i="82" s="1"/>
  <c r="R233" i="82" s="1"/>
  <c r="N223" i="82"/>
  <c r="Q223" i="82" s="1"/>
  <c r="R223" i="82" s="1"/>
  <c r="N301" i="82"/>
  <c r="Q301" i="82" s="1"/>
  <c r="R301" i="82" s="1"/>
  <c r="S297" i="82"/>
  <c r="N297" i="82"/>
  <c r="Q297" i="82" s="1"/>
  <c r="R297" i="82" s="1"/>
  <c r="N286" i="82"/>
  <c r="Q286" i="82" s="1"/>
  <c r="R286" i="82" s="1"/>
  <c r="N274" i="82"/>
  <c r="Q274" i="82" s="1"/>
  <c r="R274" i="82" s="1"/>
  <c r="S238" i="82"/>
  <c r="N238" i="82"/>
  <c r="Q238" i="82" s="1"/>
  <c r="R238" i="82" s="1"/>
  <c r="N193" i="82"/>
  <c r="Q193" i="82" s="1"/>
  <c r="R193" i="82" s="1"/>
  <c r="N201" i="82"/>
  <c r="Q201" i="82" s="1"/>
  <c r="R201" i="82" s="1"/>
  <c r="Q177" i="27"/>
  <c r="R177" i="27" s="1"/>
  <c r="AT177" i="27" s="1"/>
  <c r="N158" i="82"/>
  <c r="Q158" i="82" s="1"/>
  <c r="R158" i="82" s="1"/>
  <c r="N616" i="27"/>
  <c r="N344" i="27"/>
  <c r="N614" i="27"/>
  <c r="N335" i="27"/>
  <c r="N363" i="27"/>
  <c r="N190" i="27"/>
  <c r="N58" i="27"/>
  <c r="N70" i="27"/>
  <c r="N67" i="27"/>
  <c r="N153" i="27"/>
  <c r="N54" i="27"/>
  <c r="N352" i="27"/>
  <c r="N372" i="27"/>
  <c r="M124" i="82"/>
  <c r="S248" i="27"/>
  <c r="N684" i="27"/>
  <c r="N362" i="27"/>
  <c r="N685" i="27"/>
  <c r="N373" i="27"/>
  <c r="S244" i="27"/>
  <c r="M120" i="82"/>
  <c r="S191" i="27"/>
  <c r="M101" i="82"/>
  <c r="M125" i="82"/>
  <c r="S249" i="27"/>
  <c r="S254" i="27"/>
  <c r="M130" i="82"/>
  <c r="N178" i="82"/>
  <c r="Q178" i="82" s="1"/>
  <c r="R178" i="82" s="1"/>
  <c r="N188" i="82"/>
  <c r="Q188" i="82" s="1"/>
  <c r="R188" i="82" s="1"/>
  <c r="N655" i="27"/>
  <c r="N686" i="27"/>
  <c r="N336" i="27"/>
  <c r="N683" i="27"/>
  <c r="N359" i="27"/>
  <c r="N609" i="27"/>
  <c r="N608" i="27"/>
  <c r="N189" i="27"/>
  <c r="N257" i="27"/>
  <c r="N73" i="27"/>
  <c r="N53" i="27"/>
  <c r="N245" i="27"/>
  <c r="N59" i="27"/>
  <c r="S279" i="82"/>
  <c r="N279" i="82"/>
  <c r="Q279" i="82" s="1"/>
  <c r="R279" i="82" s="1"/>
  <c r="M103" i="66"/>
  <c r="Y103" i="66"/>
  <c r="N103" i="66"/>
  <c r="R103" i="66" s="1"/>
  <c r="T103" i="66" s="1"/>
  <c r="AT103" i="66" s="1"/>
  <c r="S12" i="83"/>
  <c r="AI12" i="83"/>
  <c r="U12" i="83"/>
  <c r="W12" i="83"/>
  <c r="L6" i="61"/>
  <c r="J21" i="72" s="1"/>
  <c r="AG12" i="83"/>
  <c r="Y12" i="83"/>
  <c r="AA12" i="83"/>
  <c r="AC12" i="83"/>
  <c r="AE12" i="83"/>
  <c r="F34" i="85"/>
  <c r="L9" i="60"/>
  <c r="M9" i="60" s="1"/>
  <c r="M10" i="60"/>
  <c r="N47" i="27"/>
  <c r="W47" i="27" s="1"/>
  <c r="Z47" i="27" s="1"/>
  <c r="W168" i="27"/>
  <c r="Z168" i="27" s="1"/>
  <c r="AA168" i="27"/>
  <c r="Q168" i="27"/>
  <c r="R168" i="27" s="1"/>
  <c r="AT168" i="27" s="1"/>
  <c r="S49" i="27"/>
  <c r="N49" i="27"/>
  <c r="S48" i="27"/>
  <c r="N48" i="27"/>
  <c r="AB43" i="27"/>
  <c r="W8" i="27"/>
  <c r="Z8" i="27" s="1"/>
  <c r="AA8" i="27"/>
  <c r="W9" i="27"/>
  <c r="Z9" i="27" s="1"/>
  <c r="F28" i="3"/>
  <c r="AA9" i="27"/>
  <c r="J133" i="64"/>
  <c r="P1237" i="70"/>
  <c r="Q48" i="7"/>
  <c r="H156" i="72"/>
  <c r="F1237" i="70"/>
  <c r="G48" i="7"/>
  <c r="K48" i="7"/>
  <c r="J1237" i="70"/>
  <c r="K1237" i="70"/>
  <c r="L48" i="7"/>
  <c r="E156" i="72"/>
  <c r="D48" i="7"/>
  <c r="C1237" i="70"/>
  <c r="C157" i="64"/>
  <c r="C158" i="64"/>
  <c r="I164" i="64" s="1"/>
  <c r="I166" i="64" s="1"/>
  <c r="M171" i="64" s="1"/>
  <c r="F156" i="72"/>
  <c r="E48" i="7"/>
  <c r="D1237" i="70"/>
  <c r="M48" i="7"/>
  <c r="L1237" i="70"/>
  <c r="I48" i="7"/>
  <c r="H1237" i="70"/>
  <c r="O48" i="7"/>
  <c r="N1237" i="70"/>
  <c r="M262" i="60"/>
  <c r="AT262" i="60" s="1"/>
  <c r="W260" i="27"/>
  <c r="Z260" i="27" s="1"/>
  <c r="AA260" i="27"/>
  <c r="Q260" i="27"/>
  <c r="R260" i="27" s="1"/>
  <c r="AT260" i="27" s="1"/>
  <c r="H48" i="7"/>
  <c r="G1237" i="70"/>
  <c r="G156" i="72"/>
  <c r="F48" i="7"/>
  <c r="E1237" i="70"/>
  <c r="J48" i="7"/>
  <c r="I1237" i="70"/>
  <c r="N13" i="71"/>
  <c r="Q11" i="83" s="1"/>
  <c r="S22" i="83"/>
  <c r="N46" i="27"/>
  <c r="Q1237" i="70"/>
  <c r="R48" i="7"/>
  <c r="O1237" i="70"/>
  <c r="P48" i="7"/>
  <c r="N48" i="7"/>
  <c r="M1237" i="70"/>
  <c r="F145" i="72"/>
  <c r="E145" i="72"/>
  <c r="H145" i="72"/>
  <c r="G145" i="72"/>
  <c r="E222" i="64"/>
  <c r="E215" i="64"/>
  <c r="E216" i="64" s="1"/>
  <c r="I120" i="66"/>
  <c r="Y119" i="66"/>
  <c r="L119" i="66"/>
  <c r="M119" i="66"/>
  <c r="N140" i="66"/>
  <c r="R140" i="66" s="1"/>
  <c r="T140" i="66" s="1"/>
  <c r="AT140" i="66" s="1"/>
  <c r="I142" i="66"/>
  <c r="Y141" i="66"/>
  <c r="L141" i="66"/>
  <c r="M141" i="66"/>
  <c r="AU173" i="61" l="1"/>
  <c r="AU193" i="61"/>
  <c r="AU33" i="61"/>
  <c r="AU113" i="61"/>
  <c r="AU8" i="61"/>
  <c r="AU40" i="61"/>
  <c r="AU72" i="61"/>
  <c r="AU104" i="61"/>
  <c r="AU146" i="61"/>
  <c r="AU178" i="61"/>
  <c r="AU57" i="61"/>
  <c r="AU125" i="61"/>
  <c r="AU14" i="61"/>
  <c r="AU46" i="61"/>
  <c r="AU78" i="61"/>
  <c r="AU110" i="61"/>
  <c r="AU152" i="61"/>
  <c r="AU184" i="61"/>
  <c r="AU11" i="61"/>
  <c r="AU43" i="61"/>
  <c r="AU75" i="61"/>
  <c r="AU107" i="61"/>
  <c r="AU149" i="61"/>
  <c r="AU181" i="61"/>
  <c r="AU53" i="61"/>
  <c r="AU121" i="61"/>
  <c r="AU12" i="61"/>
  <c r="AU44" i="61"/>
  <c r="AU76" i="61"/>
  <c r="AU108" i="61"/>
  <c r="AU150" i="61"/>
  <c r="AU182" i="61"/>
  <c r="AU65" i="61"/>
  <c r="AU143" i="61"/>
  <c r="AU18" i="61"/>
  <c r="AU50" i="61"/>
  <c r="AU82" i="61"/>
  <c r="AU114" i="61"/>
  <c r="AU156" i="61"/>
  <c r="AU188" i="61"/>
  <c r="AU15" i="61"/>
  <c r="AU47" i="61"/>
  <c r="AU79" i="61"/>
  <c r="AU111" i="61"/>
  <c r="AU153" i="61"/>
  <c r="AU185" i="61"/>
  <c r="AU61" i="61"/>
  <c r="AU129" i="61"/>
  <c r="AU16" i="61"/>
  <c r="AU48" i="61"/>
  <c r="AU80" i="61"/>
  <c r="AU112" i="61"/>
  <c r="AU154" i="61"/>
  <c r="AU186" i="61"/>
  <c r="AU77" i="61"/>
  <c r="AU155" i="61"/>
  <c r="AU22" i="61"/>
  <c r="AU54" i="61"/>
  <c r="AU86" i="61"/>
  <c r="AU118" i="61"/>
  <c r="AU160" i="61"/>
  <c r="AU192" i="61"/>
  <c r="AU19" i="61"/>
  <c r="AU51" i="61"/>
  <c r="AU83" i="61"/>
  <c r="AU115" i="61"/>
  <c r="AU157" i="61"/>
  <c r="AU189" i="61"/>
  <c r="AU37" i="61"/>
  <c r="AU81" i="61"/>
  <c r="AU151" i="61"/>
  <c r="AU24" i="61"/>
  <c r="AU56" i="61"/>
  <c r="AU88" i="61"/>
  <c r="AU120" i="61"/>
  <c r="AU162" i="61"/>
  <c r="AU9" i="61"/>
  <c r="AU93" i="61"/>
  <c r="AU49" i="61"/>
  <c r="AU30" i="61"/>
  <c r="AU62" i="61"/>
  <c r="AU94" i="61"/>
  <c r="AU126" i="61"/>
  <c r="AU168" i="61"/>
  <c r="AU171" i="61"/>
  <c r="AU27" i="61"/>
  <c r="AU59" i="61"/>
  <c r="AU91" i="61"/>
  <c r="AU123" i="61"/>
  <c r="L1221" i="70"/>
  <c r="F1235" i="70" s="1"/>
  <c r="Q10" i="83"/>
  <c r="L1223" i="70"/>
  <c r="J1236" i="70" s="1"/>
  <c r="K50" i="7" s="1"/>
  <c r="AC22" i="83"/>
  <c r="D21" i="7"/>
  <c r="G81" i="7"/>
  <c r="I81" i="7"/>
  <c r="D1276" i="70"/>
  <c r="D1281" i="70"/>
  <c r="D1280" i="70"/>
  <c r="D1274" i="70"/>
  <c r="D1282" i="70"/>
  <c r="D1277" i="70"/>
  <c r="D1272" i="70"/>
  <c r="D1273" i="70"/>
  <c r="D1278" i="70"/>
  <c r="D1271" i="70"/>
  <c r="D1275" i="70"/>
  <c r="D1279" i="70"/>
  <c r="AT24" i="3"/>
  <c r="AI22" i="83"/>
  <c r="W22" i="83"/>
  <c r="AU163" i="4"/>
  <c r="AE22" i="83"/>
  <c r="AU167" i="4"/>
  <c r="AU153" i="4"/>
  <c r="Y22" i="83"/>
  <c r="AA22" i="83"/>
  <c r="AU165" i="4"/>
  <c r="AG22" i="83"/>
  <c r="U22" i="83"/>
  <c r="N6" i="4"/>
  <c r="J31" i="72" s="1"/>
  <c r="U2" i="74" s="1"/>
  <c r="E7" i="84" s="1"/>
  <c r="AU164" i="4"/>
  <c r="F44" i="85"/>
  <c r="N163" i="82"/>
  <c r="Q163" i="82" s="1"/>
  <c r="R163" i="82" s="1"/>
  <c r="G1236" i="70"/>
  <c r="H50" i="7" s="1"/>
  <c r="F1236" i="70"/>
  <c r="D1236" i="70"/>
  <c r="I1236" i="70"/>
  <c r="J50" i="7" s="1"/>
  <c r="AB47" i="7" s="1"/>
  <c r="AC47" i="7" s="1"/>
  <c r="E1236" i="70"/>
  <c r="M1236" i="70"/>
  <c r="N50" i="7" s="1"/>
  <c r="AB51" i="7" s="1"/>
  <c r="AC51" i="7" s="1"/>
  <c r="O1236" i="70"/>
  <c r="P50" i="7" s="1"/>
  <c r="AB53" i="7" s="1"/>
  <c r="AC53" i="7" s="1"/>
  <c r="N1236" i="70"/>
  <c r="O50" i="7" s="1"/>
  <c r="AB52" i="7" s="1"/>
  <c r="AC52" i="7" s="1"/>
  <c r="H1236" i="70"/>
  <c r="I50" i="7" s="1"/>
  <c r="AB46" i="7" s="1"/>
  <c r="AC46" i="7" s="1"/>
  <c r="K1236" i="70"/>
  <c r="L50" i="7" s="1"/>
  <c r="AB49" i="7" s="1"/>
  <c r="AC49" i="7" s="1"/>
  <c r="Q1236" i="70"/>
  <c r="R50" i="7" s="1"/>
  <c r="P1236" i="70"/>
  <c r="Q50" i="7" s="1"/>
  <c r="AB54" i="7" s="1"/>
  <c r="AC54" i="7" s="1"/>
  <c r="AU162" i="4"/>
  <c r="AU154" i="4"/>
  <c r="AU157" i="4"/>
  <c r="AU166" i="4"/>
  <c r="AU158" i="4"/>
  <c r="AU156" i="4"/>
  <c r="AU159" i="4"/>
  <c r="AU161" i="4"/>
  <c r="N173" i="82"/>
  <c r="Q173" i="82" s="1"/>
  <c r="R173" i="82" s="1"/>
  <c r="H1235" i="70"/>
  <c r="I49" i="7" s="1"/>
  <c r="Z46" i="7" s="1"/>
  <c r="AA46" i="7" s="1"/>
  <c r="G1269" i="70"/>
  <c r="A50" i="7"/>
  <c r="AT8" i="64"/>
  <c r="F126" i="72"/>
  <c r="I6" i="64"/>
  <c r="J22" i="72" s="1"/>
  <c r="AU150" i="4"/>
  <c r="AU144" i="4"/>
  <c r="AU152" i="4"/>
  <c r="AU149" i="4"/>
  <c r="AU148" i="4"/>
  <c r="AU146" i="4"/>
  <c r="AU147" i="4"/>
  <c r="AU151" i="4"/>
  <c r="AU145" i="4"/>
  <c r="AU143" i="4"/>
  <c r="AU160" i="4"/>
  <c r="AB471" i="27"/>
  <c r="Q679" i="27"/>
  <c r="R679" i="27" s="1"/>
  <c r="W679" i="27"/>
  <c r="Z679" i="27" s="1"/>
  <c r="AA679" i="27"/>
  <c r="Q678" i="27"/>
  <c r="R678" i="27" s="1"/>
  <c r="W678" i="27"/>
  <c r="Z678" i="27" s="1"/>
  <c r="AA678" i="27"/>
  <c r="Q677" i="27"/>
  <c r="R677" i="27" s="1"/>
  <c r="W677" i="27"/>
  <c r="Z677" i="27" s="1"/>
  <c r="AA677" i="27"/>
  <c r="Q676" i="27"/>
  <c r="R676" i="27" s="1"/>
  <c r="W676" i="27"/>
  <c r="Z676" i="27" s="1"/>
  <c r="AA676" i="27"/>
  <c r="Q675" i="27"/>
  <c r="R675" i="27" s="1"/>
  <c r="W675" i="27"/>
  <c r="Z675" i="27" s="1"/>
  <c r="AA675" i="27"/>
  <c r="Q664" i="27"/>
  <c r="R664" i="27" s="1"/>
  <c r="W664" i="27"/>
  <c r="Z664" i="27" s="1"/>
  <c r="AA664" i="27"/>
  <c r="Q663" i="27"/>
  <c r="R663" i="27" s="1"/>
  <c r="W663" i="27"/>
  <c r="Z663" i="27" s="1"/>
  <c r="AA663" i="27"/>
  <c r="Q662" i="27"/>
  <c r="R662" i="27" s="1"/>
  <c r="W662" i="27"/>
  <c r="Z662" i="27" s="1"/>
  <c r="AA662" i="27"/>
  <c r="Q661" i="27"/>
  <c r="R661" i="27" s="1"/>
  <c r="W661" i="27"/>
  <c r="Z661" i="27" s="1"/>
  <c r="AA661" i="27"/>
  <c r="Q660" i="27"/>
  <c r="R660" i="27" s="1"/>
  <c r="W660" i="27"/>
  <c r="Z660" i="27" s="1"/>
  <c r="AA660" i="27"/>
  <c r="Q626" i="27"/>
  <c r="R626" i="27" s="1"/>
  <c r="W626" i="27"/>
  <c r="Z626" i="27" s="1"/>
  <c r="AA626" i="27"/>
  <c r="Q625" i="27"/>
  <c r="R625" i="27" s="1"/>
  <c r="W625" i="27"/>
  <c r="Z625" i="27" s="1"/>
  <c r="AA625" i="27"/>
  <c r="Q624" i="27"/>
  <c r="R624" i="27" s="1"/>
  <c r="W624" i="27"/>
  <c r="Z624" i="27" s="1"/>
  <c r="AA624" i="27"/>
  <c r="Q623" i="27"/>
  <c r="R623" i="27" s="1"/>
  <c r="W623" i="27"/>
  <c r="Z623" i="27" s="1"/>
  <c r="AA623" i="27"/>
  <c r="Q622" i="27"/>
  <c r="R622" i="27" s="1"/>
  <c r="W622" i="27"/>
  <c r="Z622" i="27" s="1"/>
  <c r="AA622" i="27"/>
  <c r="Q364" i="27"/>
  <c r="R364" i="27" s="1"/>
  <c r="W364" i="27"/>
  <c r="Z364" i="27" s="1"/>
  <c r="AA364" i="27"/>
  <c r="Q365" i="27"/>
  <c r="R365" i="27" s="1"/>
  <c r="W365" i="27"/>
  <c r="Z365" i="27" s="1"/>
  <c r="AA365" i="27"/>
  <c r="Q366" i="27"/>
  <c r="R366" i="27" s="1"/>
  <c r="W366" i="27"/>
  <c r="Z366" i="27" s="1"/>
  <c r="AA366" i="27"/>
  <c r="Q367" i="27"/>
  <c r="R367" i="27" s="1"/>
  <c r="W367" i="27"/>
  <c r="Z367" i="27" s="1"/>
  <c r="AA367" i="27"/>
  <c r="Q368" i="27"/>
  <c r="R368" i="27" s="1"/>
  <c r="W368" i="27"/>
  <c r="Z368" i="27" s="1"/>
  <c r="AA368" i="27"/>
  <c r="Q326" i="27"/>
  <c r="R326" i="27" s="1"/>
  <c r="W326" i="27"/>
  <c r="Z326" i="27" s="1"/>
  <c r="AA326" i="27"/>
  <c r="Q327" i="27"/>
  <c r="R327" i="27" s="1"/>
  <c r="W327" i="27"/>
  <c r="Z327" i="27" s="1"/>
  <c r="AA327" i="27"/>
  <c r="Q328" i="27"/>
  <c r="R328" i="27" s="1"/>
  <c r="W328" i="27"/>
  <c r="Z328" i="27" s="1"/>
  <c r="AA328" i="27"/>
  <c r="Q329" i="27"/>
  <c r="R329" i="27" s="1"/>
  <c r="W329" i="27"/>
  <c r="Z329" i="27" s="1"/>
  <c r="AA329" i="27"/>
  <c r="Q330" i="27"/>
  <c r="R330" i="27" s="1"/>
  <c r="W330" i="27"/>
  <c r="Z330" i="27" s="1"/>
  <c r="AA330" i="27"/>
  <c r="Q288" i="27"/>
  <c r="R288" i="27" s="1"/>
  <c r="W288" i="27"/>
  <c r="Z288" i="27" s="1"/>
  <c r="AA288" i="27"/>
  <c r="Q289" i="27"/>
  <c r="R289" i="27" s="1"/>
  <c r="W289" i="27"/>
  <c r="Z289" i="27" s="1"/>
  <c r="AA289" i="27"/>
  <c r="Q290" i="27"/>
  <c r="R290" i="27" s="1"/>
  <c r="W290" i="27"/>
  <c r="Z290" i="27" s="1"/>
  <c r="AA290" i="27"/>
  <c r="Q291" i="27"/>
  <c r="R291" i="27" s="1"/>
  <c r="W291" i="27"/>
  <c r="Z291" i="27" s="1"/>
  <c r="AA291" i="27"/>
  <c r="Q292" i="27"/>
  <c r="R292" i="27" s="1"/>
  <c r="W292" i="27"/>
  <c r="Z292" i="27" s="1"/>
  <c r="AA292" i="27"/>
  <c r="AB38" i="27"/>
  <c r="AB37" i="27"/>
  <c r="AB36" i="27"/>
  <c r="AB35" i="27"/>
  <c r="AB34" i="27"/>
  <c r="AA582" i="27"/>
  <c r="W582" i="27"/>
  <c r="Z582" i="27" s="1"/>
  <c r="M7" i="60"/>
  <c r="J19" i="72" s="1"/>
  <c r="AT10" i="60"/>
  <c r="AU287" i="60" s="1"/>
  <c r="D388" i="95"/>
  <c r="E388" i="95"/>
  <c r="I388" i="95"/>
  <c r="J388" i="95"/>
  <c r="H388" i="95"/>
  <c r="G388" i="95"/>
  <c r="I247" i="95"/>
  <c r="E247" i="95"/>
  <c r="D247" i="95"/>
  <c r="I248" i="95"/>
  <c r="E248" i="95"/>
  <c r="D248" i="95"/>
  <c r="I250" i="95"/>
  <c r="D249" i="95"/>
  <c r="E250" i="95"/>
  <c r="D250" i="95"/>
  <c r="I249" i="95"/>
  <c r="E249" i="95"/>
  <c r="I251" i="95"/>
  <c r="E251" i="95"/>
  <c r="D251" i="95"/>
  <c r="I252" i="95"/>
  <c r="D252" i="95"/>
  <c r="E252" i="95"/>
  <c r="D253" i="95"/>
  <c r="E253" i="95"/>
  <c r="I253" i="95"/>
  <c r="I254" i="95"/>
  <c r="E254" i="95"/>
  <c r="D254" i="95"/>
  <c r="D255" i="95"/>
  <c r="E255" i="95"/>
  <c r="I255" i="95"/>
  <c r="I256" i="95"/>
  <c r="D256" i="95"/>
  <c r="E256" i="95"/>
  <c r="I257" i="95"/>
  <c r="E257" i="95"/>
  <c r="D257" i="95"/>
  <c r="I258" i="95"/>
  <c r="E258" i="95"/>
  <c r="D258" i="95"/>
  <c r="D259" i="95"/>
  <c r="I259" i="95"/>
  <c r="E259" i="95"/>
  <c r="E260" i="95"/>
  <c r="D260" i="95"/>
  <c r="I260" i="95"/>
  <c r="I261" i="95"/>
  <c r="E261" i="95"/>
  <c r="D261" i="95"/>
  <c r="D262" i="95"/>
  <c r="E262" i="95"/>
  <c r="I262" i="95"/>
  <c r="E263" i="95"/>
  <c r="I263" i="95"/>
  <c r="D263" i="95"/>
  <c r="I264" i="95"/>
  <c r="D264" i="95"/>
  <c r="E264" i="95"/>
  <c r="I265" i="95"/>
  <c r="D265" i="95"/>
  <c r="E265" i="95"/>
  <c r="I266" i="95"/>
  <c r="E266" i="95"/>
  <c r="D266" i="95"/>
  <c r="I267" i="95"/>
  <c r="E267" i="95"/>
  <c r="D267" i="95"/>
  <c r="I268" i="95"/>
  <c r="D268" i="95"/>
  <c r="E268" i="95"/>
  <c r="E269" i="95"/>
  <c r="I269" i="95"/>
  <c r="D269" i="95"/>
  <c r="I270" i="95"/>
  <c r="D270" i="95"/>
  <c r="E270" i="95"/>
  <c r="I271" i="95"/>
  <c r="E271" i="95"/>
  <c r="D271" i="95"/>
  <c r="I272" i="95"/>
  <c r="E272" i="95"/>
  <c r="D272" i="95"/>
  <c r="I273" i="95"/>
  <c r="E273" i="95"/>
  <c r="D273" i="95"/>
  <c r="I274" i="95"/>
  <c r="E274" i="95"/>
  <c r="D274" i="95"/>
  <c r="I275" i="95"/>
  <c r="D275" i="95"/>
  <c r="E275" i="95"/>
  <c r="I276" i="95"/>
  <c r="E276" i="95"/>
  <c r="D276" i="95"/>
  <c r="I277" i="95"/>
  <c r="D277" i="95"/>
  <c r="E277" i="95"/>
  <c r="E278" i="95"/>
  <c r="I278" i="95"/>
  <c r="D278" i="95"/>
  <c r="I279" i="95"/>
  <c r="E279" i="95"/>
  <c r="D279" i="95"/>
  <c r="D280" i="95"/>
  <c r="E280" i="95"/>
  <c r="I280" i="95"/>
  <c r="I281" i="95"/>
  <c r="E281" i="95"/>
  <c r="D281" i="95"/>
  <c r="I282" i="95"/>
  <c r="D282" i="95"/>
  <c r="E282" i="95"/>
  <c r="I283" i="95"/>
  <c r="E283" i="95"/>
  <c r="D283" i="95"/>
  <c r="I284" i="95"/>
  <c r="E284" i="95"/>
  <c r="D284" i="95"/>
  <c r="I285" i="95"/>
  <c r="D285" i="95"/>
  <c r="E285" i="95"/>
  <c r="I286" i="95"/>
  <c r="E286" i="95"/>
  <c r="D286" i="95"/>
  <c r="I287" i="95"/>
  <c r="E287" i="95"/>
  <c r="D287" i="95"/>
  <c r="I288" i="95"/>
  <c r="E288" i="95"/>
  <c r="D288" i="95"/>
  <c r="I289" i="95"/>
  <c r="D289" i="95"/>
  <c r="E289" i="95"/>
  <c r="I290" i="95"/>
  <c r="E290" i="95"/>
  <c r="D290" i="95"/>
  <c r="I291" i="95"/>
  <c r="D291" i="95"/>
  <c r="E291" i="95"/>
  <c r="I292" i="95"/>
  <c r="D292" i="95"/>
  <c r="E292" i="95"/>
  <c r="I293" i="95"/>
  <c r="E293" i="95"/>
  <c r="D293" i="95"/>
  <c r="E294" i="95"/>
  <c r="I294" i="95"/>
  <c r="D294" i="95"/>
  <c r="D295" i="95"/>
  <c r="E295" i="95"/>
  <c r="I295" i="95"/>
  <c r="I296" i="95"/>
  <c r="E296" i="95"/>
  <c r="D296" i="95"/>
  <c r="I297" i="95"/>
  <c r="E297" i="95"/>
  <c r="D297" i="95"/>
  <c r="I298" i="95"/>
  <c r="E298" i="95"/>
  <c r="D298" i="95"/>
  <c r="D299" i="95"/>
  <c r="I299" i="95"/>
  <c r="E299" i="95"/>
  <c r="I300" i="95"/>
  <c r="D300" i="95"/>
  <c r="E300" i="95"/>
  <c r="I301" i="95"/>
  <c r="E301" i="95"/>
  <c r="D301" i="95"/>
  <c r="I302" i="95"/>
  <c r="D302" i="95"/>
  <c r="E302" i="95"/>
  <c r="D303" i="95"/>
  <c r="I303" i="95"/>
  <c r="E303" i="95"/>
  <c r="E304" i="95"/>
  <c r="D304" i="95"/>
  <c r="I304" i="95"/>
  <c r="I305" i="95"/>
  <c r="E305" i="95"/>
  <c r="D305" i="95"/>
  <c r="I306" i="95"/>
  <c r="E306" i="95"/>
  <c r="D306" i="95"/>
  <c r="I307" i="95"/>
  <c r="E307" i="95"/>
  <c r="D307" i="95"/>
  <c r="I308" i="95"/>
  <c r="E308" i="95"/>
  <c r="D308" i="95"/>
  <c r="I309" i="95"/>
  <c r="E309" i="95"/>
  <c r="D309" i="95"/>
  <c r="I310" i="95"/>
  <c r="E310" i="95"/>
  <c r="D310" i="95"/>
  <c r="I311" i="95"/>
  <c r="E311" i="95"/>
  <c r="D311" i="95"/>
  <c r="I312" i="95"/>
  <c r="E312" i="95"/>
  <c r="D312" i="95"/>
  <c r="I313" i="95"/>
  <c r="E313" i="95"/>
  <c r="D313" i="95"/>
  <c r="D314" i="95"/>
  <c r="E314" i="95"/>
  <c r="I314" i="95"/>
  <c r="I315" i="95"/>
  <c r="E315" i="95"/>
  <c r="D315" i="95"/>
  <c r="D316" i="95"/>
  <c r="E316" i="95"/>
  <c r="I316" i="95"/>
  <c r="I317" i="95"/>
  <c r="E317" i="95"/>
  <c r="D317" i="95"/>
  <c r="I318" i="95"/>
  <c r="E318" i="95"/>
  <c r="D318" i="95"/>
  <c r="I319" i="95"/>
  <c r="E319" i="95"/>
  <c r="D319" i="95"/>
  <c r="I320" i="95"/>
  <c r="E320" i="95"/>
  <c r="D320" i="95"/>
  <c r="I321" i="95"/>
  <c r="D321" i="95"/>
  <c r="E321" i="95"/>
  <c r="D322" i="95"/>
  <c r="E322" i="95"/>
  <c r="I322" i="95"/>
  <c r="D323" i="95"/>
  <c r="E323" i="95"/>
  <c r="I323" i="95"/>
  <c r="D324" i="95"/>
  <c r="E324" i="95"/>
  <c r="I324" i="95"/>
  <c r="I325" i="95"/>
  <c r="E325" i="95"/>
  <c r="D325" i="95"/>
  <c r="I326" i="95"/>
  <c r="E326" i="95"/>
  <c r="D326" i="95"/>
  <c r="I327" i="95"/>
  <c r="E327" i="95"/>
  <c r="D327" i="95"/>
  <c r="I328" i="95"/>
  <c r="E328" i="95"/>
  <c r="D328" i="95"/>
  <c r="I329" i="95"/>
  <c r="E329" i="95"/>
  <c r="D329" i="95"/>
  <c r="I330" i="95"/>
  <c r="E330" i="95"/>
  <c r="D330" i="95"/>
  <c r="E331" i="95"/>
  <c r="D331" i="95"/>
  <c r="I331" i="95"/>
  <c r="E332" i="95"/>
  <c r="D332" i="95"/>
  <c r="I332" i="95"/>
  <c r="I333" i="95"/>
  <c r="E333" i="95"/>
  <c r="D333" i="95"/>
  <c r="D334" i="95"/>
  <c r="I334" i="95"/>
  <c r="E334" i="95"/>
  <c r="I335" i="95"/>
  <c r="E335" i="95"/>
  <c r="D335" i="95"/>
  <c r="I336" i="95"/>
  <c r="E336" i="95"/>
  <c r="D336" i="95"/>
  <c r="I337" i="95"/>
  <c r="D337" i="95"/>
  <c r="E337" i="95"/>
  <c r="I338" i="95"/>
  <c r="D338" i="95"/>
  <c r="E338" i="95"/>
  <c r="I339" i="95"/>
  <c r="D339" i="95"/>
  <c r="E339" i="95"/>
  <c r="D340" i="95"/>
  <c r="I340" i="95"/>
  <c r="E340" i="95"/>
  <c r="I341" i="95"/>
  <c r="E341" i="95"/>
  <c r="D341" i="95"/>
  <c r="I342" i="95"/>
  <c r="E342" i="95"/>
  <c r="D342" i="95"/>
  <c r="I343" i="95"/>
  <c r="E343" i="95"/>
  <c r="D343" i="95"/>
  <c r="D344" i="95"/>
  <c r="I344" i="95"/>
  <c r="E344" i="95"/>
  <c r="D345" i="95"/>
  <c r="I345" i="95"/>
  <c r="E345" i="95"/>
  <c r="D346" i="95"/>
  <c r="E346" i="95"/>
  <c r="I346" i="95"/>
  <c r="I347" i="95"/>
  <c r="E347" i="95"/>
  <c r="D347" i="95"/>
  <c r="I348" i="95"/>
  <c r="E348" i="95"/>
  <c r="D348" i="95"/>
  <c r="I349" i="95"/>
  <c r="E349" i="95"/>
  <c r="D349" i="95"/>
  <c r="E350" i="95"/>
  <c r="I350" i="95"/>
  <c r="D350" i="95"/>
  <c r="D351" i="95"/>
  <c r="I351" i="95"/>
  <c r="E351" i="95"/>
  <c r="D352" i="95"/>
  <c r="E352" i="95"/>
  <c r="I352" i="95"/>
  <c r="D353" i="95"/>
  <c r="E353" i="95"/>
  <c r="I353" i="95"/>
  <c r="D354" i="95"/>
  <c r="E354" i="95"/>
  <c r="I354" i="95"/>
  <c r="I355" i="95"/>
  <c r="D355" i="95"/>
  <c r="E355" i="95"/>
  <c r="I356" i="95"/>
  <c r="E356" i="95"/>
  <c r="D356" i="95"/>
  <c r="I357" i="95"/>
  <c r="E357" i="95"/>
  <c r="D357" i="95"/>
  <c r="I358" i="95"/>
  <c r="D358" i="95"/>
  <c r="E358" i="95"/>
  <c r="D359" i="95"/>
  <c r="E359" i="95"/>
  <c r="I359" i="95"/>
  <c r="I360" i="95"/>
  <c r="E360" i="95"/>
  <c r="D360" i="95"/>
  <c r="I361" i="95"/>
  <c r="E361" i="95"/>
  <c r="D361" i="95"/>
  <c r="I362" i="95"/>
  <c r="E362" i="95"/>
  <c r="D362" i="95"/>
  <c r="I363" i="95"/>
  <c r="E363" i="95"/>
  <c r="D363" i="95"/>
  <c r="I364" i="95"/>
  <c r="E364" i="95"/>
  <c r="D364" i="95"/>
  <c r="D365" i="95"/>
  <c r="I365" i="95"/>
  <c r="E365" i="95"/>
  <c r="I366" i="95"/>
  <c r="E366" i="95"/>
  <c r="D366" i="95"/>
  <c r="D367" i="95"/>
  <c r="E367" i="95"/>
  <c r="I367" i="95"/>
  <c r="I368" i="95"/>
  <c r="D368" i="95"/>
  <c r="E368" i="95"/>
  <c r="I369" i="95"/>
  <c r="D369" i="95"/>
  <c r="E369" i="95"/>
  <c r="I370" i="95"/>
  <c r="E370" i="95"/>
  <c r="D370" i="95"/>
  <c r="I371" i="95"/>
  <c r="D371" i="95"/>
  <c r="E371" i="95"/>
  <c r="I372" i="95"/>
  <c r="E372" i="95"/>
  <c r="D372" i="95"/>
  <c r="D373" i="95"/>
  <c r="E373" i="95"/>
  <c r="I373" i="95"/>
  <c r="I374" i="95"/>
  <c r="E374" i="95"/>
  <c r="D374" i="95"/>
  <c r="I375" i="95"/>
  <c r="E375" i="95"/>
  <c r="D375" i="95"/>
  <c r="I376" i="95"/>
  <c r="D376" i="95"/>
  <c r="E376" i="95"/>
  <c r="I377" i="95"/>
  <c r="D377" i="95"/>
  <c r="E377" i="95"/>
  <c r="I378" i="95"/>
  <c r="D378" i="95"/>
  <c r="E378" i="95"/>
  <c r="E379" i="95"/>
  <c r="I379" i="95"/>
  <c r="D379" i="95"/>
  <c r="I380" i="95"/>
  <c r="E380" i="95"/>
  <c r="D380" i="95"/>
  <c r="I381" i="95"/>
  <c r="D381" i="95"/>
  <c r="E381" i="95"/>
  <c r="I382" i="95"/>
  <c r="E382" i="95"/>
  <c r="D382" i="95"/>
  <c r="I383" i="95"/>
  <c r="E383" i="95"/>
  <c r="D383" i="95"/>
  <c r="I384" i="95"/>
  <c r="E384" i="95"/>
  <c r="D384" i="95"/>
  <c r="I385" i="95"/>
  <c r="E385" i="95"/>
  <c r="D385" i="95"/>
  <c r="I386" i="95"/>
  <c r="E386" i="95"/>
  <c r="D386" i="95"/>
  <c r="J251" i="95"/>
  <c r="J259" i="95"/>
  <c r="J267" i="95"/>
  <c r="J275" i="95"/>
  <c r="J283" i="95"/>
  <c r="J291" i="95"/>
  <c r="J299" i="95"/>
  <c r="J307" i="95"/>
  <c r="J315" i="95"/>
  <c r="J323" i="95"/>
  <c r="J331" i="95"/>
  <c r="J339" i="95"/>
  <c r="J347" i="95"/>
  <c r="J355" i="95"/>
  <c r="J363" i="95"/>
  <c r="J371" i="95"/>
  <c r="J379" i="95"/>
  <c r="J250" i="95"/>
  <c r="J252" i="95"/>
  <c r="J260" i="95"/>
  <c r="J268" i="95"/>
  <c r="J276" i="95"/>
  <c r="J284" i="95"/>
  <c r="J308" i="95"/>
  <c r="J348" i="95"/>
  <c r="J253" i="95"/>
  <c r="J261" i="95"/>
  <c r="J269" i="95"/>
  <c r="J277" i="95"/>
  <c r="J285" i="95"/>
  <c r="J293" i="95"/>
  <c r="J301" i="95"/>
  <c r="J309" i="95"/>
  <c r="J317" i="95"/>
  <c r="J325" i="95"/>
  <c r="J333" i="95"/>
  <c r="J341" i="95"/>
  <c r="J349" i="95"/>
  <c r="J357" i="95"/>
  <c r="J365" i="95"/>
  <c r="J373" i="95"/>
  <c r="J381" i="95"/>
  <c r="J274" i="95"/>
  <c r="J298" i="95"/>
  <c r="J338" i="95"/>
  <c r="J378" i="95"/>
  <c r="J316" i="95"/>
  <c r="J364" i="95"/>
  <c r="J254" i="95"/>
  <c r="J262" i="95"/>
  <c r="J270" i="95"/>
  <c r="J278" i="95"/>
  <c r="J286" i="95"/>
  <c r="J294" i="95"/>
  <c r="J302" i="95"/>
  <c r="J310" i="95"/>
  <c r="J318" i="95"/>
  <c r="J326" i="95"/>
  <c r="J334" i="95"/>
  <c r="J342" i="95"/>
  <c r="J350" i="95"/>
  <c r="J358" i="95"/>
  <c r="J366" i="95"/>
  <c r="J374" i="95"/>
  <c r="J382" i="95"/>
  <c r="J290" i="95"/>
  <c r="J314" i="95"/>
  <c r="J354" i="95"/>
  <c r="J248" i="95"/>
  <c r="J324" i="95"/>
  <c r="J372" i="95"/>
  <c r="J255" i="95"/>
  <c r="J263" i="95"/>
  <c r="J271" i="95"/>
  <c r="J279" i="95"/>
  <c r="J287" i="95"/>
  <c r="J295" i="95"/>
  <c r="J303" i="95"/>
  <c r="J311" i="95"/>
  <c r="J319" i="95"/>
  <c r="J327" i="95"/>
  <c r="J335" i="95"/>
  <c r="J343" i="95"/>
  <c r="J351" i="95"/>
  <c r="J359" i="95"/>
  <c r="J367" i="95"/>
  <c r="J375" i="95"/>
  <c r="J383" i="95"/>
  <c r="J384" i="95"/>
  <c r="J282" i="95"/>
  <c r="J306" i="95"/>
  <c r="J346" i="95"/>
  <c r="J386" i="95"/>
  <c r="J332" i="95"/>
  <c r="J380" i="95"/>
  <c r="J256" i="95"/>
  <c r="J264" i="95"/>
  <c r="J272" i="95"/>
  <c r="J280" i="95"/>
  <c r="J288" i="95"/>
  <c r="J296" i="95"/>
  <c r="J304" i="95"/>
  <c r="J312" i="95"/>
  <c r="J320" i="95"/>
  <c r="J328" i="95"/>
  <c r="J336" i="95"/>
  <c r="J344" i="95"/>
  <c r="J352" i="95"/>
  <c r="J360" i="95"/>
  <c r="J368" i="95"/>
  <c r="J376" i="95"/>
  <c r="J266" i="95"/>
  <c r="J322" i="95"/>
  <c r="J370" i="95"/>
  <c r="J300" i="95"/>
  <c r="J356" i="95"/>
  <c r="J257" i="95"/>
  <c r="J265" i="95"/>
  <c r="J273" i="95"/>
  <c r="J281" i="95"/>
  <c r="J289" i="95"/>
  <c r="J297" i="95"/>
  <c r="J305" i="95"/>
  <c r="J313" i="95"/>
  <c r="J321" i="95"/>
  <c r="J329" i="95"/>
  <c r="J337" i="95"/>
  <c r="J345" i="95"/>
  <c r="J353" i="95"/>
  <c r="J361" i="95"/>
  <c r="J369" i="95"/>
  <c r="J377" i="95"/>
  <c r="J385" i="95"/>
  <c r="J247" i="95"/>
  <c r="J258" i="95"/>
  <c r="J330" i="95"/>
  <c r="J362" i="95"/>
  <c r="J292" i="95"/>
  <c r="J340" i="95"/>
  <c r="J249" i="95"/>
  <c r="H251" i="95"/>
  <c r="H258" i="95"/>
  <c r="H259" i="95"/>
  <c r="H261" i="95"/>
  <c r="H262" i="95"/>
  <c r="H266" i="95"/>
  <c r="H275" i="95"/>
  <c r="H278" i="95"/>
  <c r="H281" i="95"/>
  <c r="H285" i="95"/>
  <c r="H286" i="95"/>
  <c r="H293" i="95"/>
  <c r="H294" i="95"/>
  <c r="H295" i="95"/>
  <c r="H299" i="95"/>
  <c r="H301" i="95"/>
  <c r="H303" i="95"/>
  <c r="H313" i="95"/>
  <c r="H317" i="95"/>
  <c r="H318" i="95"/>
  <c r="H323" i="95"/>
  <c r="H325" i="95"/>
  <c r="H326" i="95"/>
  <c r="H338" i="95"/>
  <c r="H341" i="95"/>
  <c r="H349" i="95"/>
  <c r="H350" i="95"/>
  <c r="H351" i="95"/>
  <c r="H359" i="95"/>
  <c r="H366" i="95"/>
  <c r="H367" i="95"/>
  <c r="H371" i="95"/>
  <c r="H373" i="95"/>
  <c r="H379" i="95"/>
  <c r="H383" i="95"/>
  <c r="H385" i="95"/>
  <c r="H247" i="95"/>
  <c r="H249" i="95"/>
  <c r="G251" i="95"/>
  <c r="G258" i="95"/>
  <c r="G259" i="95"/>
  <c r="G261" i="95"/>
  <c r="G262" i="95"/>
  <c r="G266" i="95"/>
  <c r="G275" i="95"/>
  <c r="G278" i="95"/>
  <c r="G281" i="95"/>
  <c r="G285" i="95"/>
  <c r="G286" i="95"/>
  <c r="G293" i="95"/>
  <c r="G294" i="95"/>
  <c r="G295" i="95"/>
  <c r="G299" i="95"/>
  <c r="G301" i="95"/>
  <c r="G303" i="95"/>
  <c r="G313" i="95"/>
  <c r="G317" i="95"/>
  <c r="G318" i="95"/>
  <c r="G323" i="95"/>
  <c r="G325" i="95"/>
  <c r="G326" i="95"/>
  <c r="G338" i="95"/>
  <c r="G341" i="95"/>
  <c r="G349" i="95"/>
  <c r="G350" i="95"/>
  <c r="G351" i="95"/>
  <c r="G359" i="95"/>
  <c r="G366" i="95"/>
  <c r="G367" i="95"/>
  <c r="G371" i="95"/>
  <c r="G373" i="95"/>
  <c r="G379" i="95"/>
  <c r="G383" i="95"/>
  <c r="G385" i="95"/>
  <c r="G247" i="95"/>
  <c r="G249" i="95"/>
  <c r="H253" i="95"/>
  <c r="H265" i="95"/>
  <c r="H269" i="95"/>
  <c r="H270" i="95"/>
  <c r="H273" i="95"/>
  <c r="H277" i="95"/>
  <c r="H284" i="95"/>
  <c r="H288" i="95"/>
  <c r="H289" i="95"/>
  <c r="H297" i="95"/>
  <c r="H300" i="95"/>
  <c r="H305" i="95"/>
  <c r="H308" i="95"/>
  <c r="H309" i="95"/>
  <c r="H314" i="95"/>
  <c r="H321" i="95"/>
  <c r="H322" i="95"/>
  <c r="H329" i="95"/>
  <c r="H333" i="95"/>
  <c r="H334" i="95"/>
  <c r="H336" i="95"/>
  <c r="H337" i="95"/>
  <c r="H346" i="95"/>
  <c r="H348" i="95"/>
  <c r="H354" i="95"/>
  <c r="H357" i="95"/>
  <c r="H360" i="95"/>
  <c r="H361" i="95"/>
  <c r="H370" i="95"/>
  <c r="H372" i="95"/>
  <c r="H376" i="95"/>
  <c r="H378" i="95"/>
  <c r="H380" i="95"/>
  <c r="H384" i="95"/>
  <c r="H386" i="95"/>
  <c r="G253" i="95"/>
  <c r="G265" i="95"/>
  <c r="G269" i="95"/>
  <c r="G270" i="95"/>
  <c r="G273" i="95"/>
  <c r="G277" i="95"/>
  <c r="G284" i="95"/>
  <c r="G288" i="95"/>
  <c r="G289" i="95"/>
  <c r="G297" i="95"/>
  <c r="G300" i="95"/>
  <c r="G305" i="95"/>
  <c r="G308" i="95"/>
  <c r="G309" i="95"/>
  <c r="G314" i="95"/>
  <c r="G321" i="95"/>
  <c r="G322" i="95"/>
  <c r="G329" i="95"/>
  <c r="G333" i="95"/>
  <c r="G334" i="95"/>
  <c r="G336" i="95"/>
  <c r="G337" i="95"/>
  <c r="G346" i="95"/>
  <c r="G348" i="95"/>
  <c r="G354" i="95"/>
  <c r="G357" i="95"/>
  <c r="G360" i="95"/>
  <c r="G361" i="95"/>
  <c r="G370" i="95"/>
  <c r="G372" i="95"/>
  <c r="G376" i="95"/>
  <c r="G378" i="95"/>
  <c r="G380" i="95"/>
  <c r="G384" i="95"/>
  <c r="G386" i="95"/>
  <c r="H255" i="95"/>
  <c r="H257" i="95"/>
  <c r="H260" i="95"/>
  <c r="H272" i="95"/>
  <c r="H276" i="95"/>
  <c r="H287" i="95"/>
  <c r="H291" i="95"/>
  <c r="H292" i="95"/>
  <c r="H296" i="95"/>
  <c r="H304" i="95"/>
  <c r="H312" i="95"/>
  <c r="H319" i="95"/>
  <c r="H320" i="95"/>
  <c r="H328" i="95"/>
  <c r="H332" i="95"/>
  <c r="H345" i="95"/>
  <c r="H353" i="95"/>
  <c r="H355" i="95"/>
  <c r="H356" i="95"/>
  <c r="H364" i="95"/>
  <c r="H365" i="95"/>
  <c r="H368" i="95"/>
  <c r="H374" i="95"/>
  <c r="H382" i="95"/>
  <c r="H250" i="95"/>
  <c r="G255" i="95"/>
  <c r="G257" i="95"/>
  <c r="G260" i="95"/>
  <c r="G272" i="95"/>
  <c r="G276" i="95"/>
  <c r="G287" i="95"/>
  <c r="G291" i="95"/>
  <c r="G292" i="95"/>
  <c r="G296" i="95"/>
  <c r="G304" i="95"/>
  <c r="G312" i="95"/>
  <c r="G319" i="95"/>
  <c r="G320" i="95"/>
  <c r="G328" i="95"/>
  <c r="G332" i="95"/>
  <c r="G345" i="95"/>
  <c r="G353" i="95"/>
  <c r="G355" i="95"/>
  <c r="G356" i="95"/>
  <c r="G364" i="95"/>
  <c r="G365" i="95"/>
  <c r="G368" i="95"/>
  <c r="G374" i="95"/>
  <c r="G382" i="95"/>
  <c r="G250" i="95"/>
  <c r="H252" i="95"/>
  <c r="H254" i="95"/>
  <c r="H256" i="95"/>
  <c r="H263" i="95"/>
  <c r="H264" i="95"/>
  <c r="H267" i="95"/>
  <c r="H268" i="95"/>
  <c r="H271" i="95"/>
  <c r="H274" i="95"/>
  <c r="H279" i="95"/>
  <c r="H280" i="95"/>
  <c r="H282" i="95"/>
  <c r="H283" i="95"/>
  <c r="H290" i="95"/>
  <c r="H298" i="95"/>
  <c r="H302" i="95"/>
  <c r="H306" i="95"/>
  <c r="H307" i="95"/>
  <c r="H310" i="95"/>
  <c r="H311" i="95"/>
  <c r="H315" i="95"/>
  <c r="H316" i="95"/>
  <c r="H324" i="95"/>
  <c r="H327" i="95"/>
  <c r="H330" i="95"/>
  <c r="H331" i="95"/>
  <c r="H335" i="95"/>
  <c r="H339" i="95"/>
  <c r="H340" i="95"/>
  <c r="H342" i="95"/>
  <c r="H343" i="95"/>
  <c r="H344" i="95"/>
  <c r="H347" i="95"/>
  <c r="H352" i="95"/>
  <c r="H358" i="95"/>
  <c r="H362" i="95"/>
  <c r="H363" i="95"/>
  <c r="H369" i="95"/>
  <c r="H375" i="95"/>
  <c r="H377" i="95"/>
  <c r="H381" i="95"/>
  <c r="H248" i="95"/>
  <c r="G252" i="95"/>
  <c r="G254" i="95"/>
  <c r="G256" i="95"/>
  <c r="G263" i="95"/>
  <c r="G264" i="95"/>
  <c r="G267" i="95"/>
  <c r="G268" i="95"/>
  <c r="G271" i="95"/>
  <c r="G274" i="95"/>
  <c r="G279" i="95"/>
  <c r="G280" i="95"/>
  <c r="G282" i="95"/>
  <c r="G283" i="95"/>
  <c r="G290" i="95"/>
  <c r="G298" i="95"/>
  <c r="G302" i="95"/>
  <c r="G306" i="95"/>
  <c r="G307" i="95"/>
  <c r="G310" i="95"/>
  <c r="G311" i="95"/>
  <c r="G315" i="95"/>
  <c r="G316" i="95"/>
  <c r="G324" i="95"/>
  <c r="G327" i="95"/>
  <c r="G330" i="95"/>
  <c r="G331" i="95"/>
  <c r="G335" i="95"/>
  <c r="G339" i="95"/>
  <c r="G340" i="95"/>
  <c r="G342" i="95"/>
  <c r="G343" i="95"/>
  <c r="G344" i="95"/>
  <c r="G347" i="95"/>
  <c r="G352" i="95"/>
  <c r="G358" i="95"/>
  <c r="G362" i="95"/>
  <c r="G363" i="95"/>
  <c r="G369" i="95"/>
  <c r="G375" i="95"/>
  <c r="G377" i="95"/>
  <c r="G381" i="95"/>
  <c r="G248" i="95"/>
  <c r="AA321" i="27"/>
  <c r="AA405" i="27"/>
  <c r="W405" i="27"/>
  <c r="Z405" i="27" s="1"/>
  <c r="W321" i="27"/>
  <c r="Z321" i="27" s="1"/>
  <c r="W613" i="27"/>
  <c r="Z613" i="27" s="1"/>
  <c r="AA613" i="27"/>
  <c r="W649" i="27"/>
  <c r="Z649" i="27" s="1"/>
  <c r="Q649" i="27"/>
  <c r="R649" i="27" s="1"/>
  <c r="AT649" i="27" s="1"/>
  <c r="AA649" i="27"/>
  <c r="AA648" i="27"/>
  <c r="W648" i="27"/>
  <c r="Z648" i="27" s="1"/>
  <c r="Q648" i="27"/>
  <c r="R648" i="27" s="1"/>
  <c r="AT648" i="27" s="1"/>
  <c r="Q647" i="27"/>
  <c r="R647" i="27" s="1"/>
  <c r="AT647" i="27" s="1"/>
  <c r="AA647" i="27"/>
  <c r="W647" i="27"/>
  <c r="Z647" i="27" s="1"/>
  <c r="Q646" i="27"/>
  <c r="R646" i="27" s="1"/>
  <c r="AT646" i="27" s="1"/>
  <c r="AA646" i="27"/>
  <c r="W646" i="27"/>
  <c r="Z646" i="27" s="1"/>
  <c r="Q645" i="27"/>
  <c r="R645" i="27" s="1"/>
  <c r="AT645" i="27" s="1"/>
  <c r="AA645" i="27"/>
  <c r="W645" i="27"/>
  <c r="Z645" i="27" s="1"/>
  <c r="Q514" i="27"/>
  <c r="R514" i="27" s="1"/>
  <c r="AT514" i="27" s="1"/>
  <c r="W514" i="27"/>
  <c r="Z514" i="27" s="1"/>
  <c r="AA514" i="27"/>
  <c r="Q513" i="27"/>
  <c r="R513" i="27" s="1"/>
  <c r="AT513" i="27" s="1"/>
  <c r="W513" i="27"/>
  <c r="Z513" i="27" s="1"/>
  <c r="AA513" i="27"/>
  <c r="Q512" i="27"/>
  <c r="R512" i="27" s="1"/>
  <c r="AT512" i="27" s="1"/>
  <c r="W512" i="27"/>
  <c r="Z512" i="27" s="1"/>
  <c r="AA512" i="27"/>
  <c r="Q511" i="27"/>
  <c r="R511" i="27" s="1"/>
  <c r="AT511" i="27" s="1"/>
  <c r="W511" i="27"/>
  <c r="Z511" i="27" s="1"/>
  <c r="AA511" i="27"/>
  <c r="Q515" i="27"/>
  <c r="R515" i="27" s="1"/>
  <c r="AT515" i="27" s="1"/>
  <c r="W515" i="27"/>
  <c r="Z515" i="27" s="1"/>
  <c r="AA515" i="27"/>
  <c r="Q632" i="27"/>
  <c r="R632" i="27" s="1"/>
  <c r="AT632" i="27" s="1"/>
  <c r="W632" i="27"/>
  <c r="Z632" i="27" s="1"/>
  <c r="AA632" i="27"/>
  <c r="Q634" i="27"/>
  <c r="R634" i="27" s="1"/>
  <c r="AT634" i="27" s="1"/>
  <c r="W634" i="27"/>
  <c r="Z634" i="27" s="1"/>
  <c r="AA634" i="27"/>
  <c r="Q633" i="27"/>
  <c r="R633" i="27" s="1"/>
  <c r="AT633" i="27" s="1"/>
  <c r="W633" i="27"/>
  <c r="Z633" i="27" s="1"/>
  <c r="AA633" i="27"/>
  <c r="Q506" i="27"/>
  <c r="R506" i="27" s="1"/>
  <c r="AT506" i="27" s="1"/>
  <c r="W506" i="27"/>
  <c r="Z506" i="27" s="1"/>
  <c r="AA506" i="27"/>
  <c r="Q509" i="27"/>
  <c r="R509" i="27" s="1"/>
  <c r="AT509" i="27" s="1"/>
  <c r="W509" i="27"/>
  <c r="Z509" i="27" s="1"/>
  <c r="AA509" i="27"/>
  <c r="Q507" i="27"/>
  <c r="R507" i="27" s="1"/>
  <c r="AT507" i="27" s="1"/>
  <c r="W507" i="27"/>
  <c r="Z507" i="27" s="1"/>
  <c r="AA507" i="27"/>
  <c r="Q508" i="27"/>
  <c r="R508" i="27" s="1"/>
  <c r="AT508" i="27" s="1"/>
  <c r="W508" i="27"/>
  <c r="Z508" i="27" s="1"/>
  <c r="AA508" i="27"/>
  <c r="Q510" i="27"/>
  <c r="R510" i="27" s="1"/>
  <c r="AT510" i="27" s="1"/>
  <c r="W510" i="27"/>
  <c r="Z510" i="27" s="1"/>
  <c r="AA510" i="27"/>
  <c r="Q631" i="27"/>
  <c r="R631" i="27" s="1"/>
  <c r="AT631" i="27" s="1"/>
  <c r="W631" i="27"/>
  <c r="Z631" i="27" s="1"/>
  <c r="AA631" i="27"/>
  <c r="Q630" i="27"/>
  <c r="R630" i="27" s="1"/>
  <c r="AT630" i="27" s="1"/>
  <c r="W630" i="27"/>
  <c r="Z630" i="27" s="1"/>
  <c r="AA630" i="27"/>
  <c r="Q484" i="27"/>
  <c r="R484" i="27" s="1"/>
  <c r="AT484" i="27" s="1"/>
  <c r="W484" i="27"/>
  <c r="Z484" i="27" s="1"/>
  <c r="AA484" i="27"/>
  <c r="Q483" i="27"/>
  <c r="R483" i="27" s="1"/>
  <c r="AT483" i="27" s="1"/>
  <c r="W483" i="27"/>
  <c r="Z483" i="27" s="1"/>
  <c r="AA483" i="27"/>
  <c r="Q482" i="27"/>
  <c r="R482" i="27" s="1"/>
  <c r="AT482" i="27" s="1"/>
  <c r="W482" i="27"/>
  <c r="Z482" i="27" s="1"/>
  <c r="AA482" i="27"/>
  <c r="Q481" i="27"/>
  <c r="R481" i="27" s="1"/>
  <c r="AT481" i="27" s="1"/>
  <c r="W481" i="27"/>
  <c r="Z481" i="27" s="1"/>
  <c r="AA481" i="27"/>
  <c r="Q485" i="27"/>
  <c r="R485" i="27" s="1"/>
  <c r="AT485" i="27" s="1"/>
  <c r="W485" i="27"/>
  <c r="Z485" i="27" s="1"/>
  <c r="AA485" i="27"/>
  <c r="Q459" i="27"/>
  <c r="R459" i="27" s="1"/>
  <c r="AT459" i="27" s="1"/>
  <c r="W459" i="27"/>
  <c r="Z459" i="27" s="1"/>
  <c r="AA459" i="27"/>
  <c r="Q460" i="27"/>
  <c r="R460" i="27" s="1"/>
  <c r="AT460" i="27" s="1"/>
  <c r="W460" i="27"/>
  <c r="Z460" i="27" s="1"/>
  <c r="AA460" i="27"/>
  <c r="Q461" i="27"/>
  <c r="R461" i="27" s="1"/>
  <c r="AT461" i="27" s="1"/>
  <c r="W461" i="27"/>
  <c r="Z461" i="27" s="1"/>
  <c r="AA461" i="27"/>
  <c r="Q462" i="27"/>
  <c r="R462" i="27" s="1"/>
  <c r="AT462" i="27" s="1"/>
  <c r="W462" i="27"/>
  <c r="Z462" i="27" s="1"/>
  <c r="AA462" i="27"/>
  <c r="Q463" i="27"/>
  <c r="R463" i="27" s="1"/>
  <c r="AT463" i="27" s="1"/>
  <c r="W463" i="27"/>
  <c r="Z463" i="27" s="1"/>
  <c r="AA463" i="27"/>
  <c r="Q447" i="27"/>
  <c r="R447" i="27" s="1"/>
  <c r="AT447" i="27" s="1"/>
  <c r="W447" i="27"/>
  <c r="Z447" i="27" s="1"/>
  <c r="AA447" i="27"/>
  <c r="Q446" i="27"/>
  <c r="R446" i="27" s="1"/>
  <c r="AT446" i="27" s="1"/>
  <c r="W446" i="27"/>
  <c r="Z446" i="27" s="1"/>
  <c r="AA446" i="27"/>
  <c r="Q445" i="27"/>
  <c r="R445" i="27" s="1"/>
  <c r="AT445" i="27" s="1"/>
  <c r="W445" i="27"/>
  <c r="Z445" i="27" s="1"/>
  <c r="AA445" i="27"/>
  <c r="Q444" i="27"/>
  <c r="R444" i="27" s="1"/>
  <c r="AT444" i="27" s="1"/>
  <c r="W444" i="27"/>
  <c r="Z444" i="27" s="1"/>
  <c r="AA444" i="27"/>
  <c r="Q448" i="27"/>
  <c r="R448" i="27" s="1"/>
  <c r="AT448" i="27" s="1"/>
  <c r="W448" i="27"/>
  <c r="Z448" i="27" s="1"/>
  <c r="AA448" i="27"/>
  <c r="Q429" i="27"/>
  <c r="R429" i="27" s="1"/>
  <c r="AT429" i="27" s="1"/>
  <c r="W429" i="27"/>
  <c r="Z429" i="27" s="1"/>
  <c r="AA429" i="27"/>
  <c r="Q430" i="27"/>
  <c r="R430" i="27" s="1"/>
  <c r="AT430" i="27" s="1"/>
  <c r="W430" i="27"/>
  <c r="Z430" i="27" s="1"/>
  <c r="AA430" i="27"/>
  <c r="Q431" i="27"/>
  <c r="R431" i="27" s="1"/>
  <c r="AT431" i="27" s="1"/>
  <c r="W431" i="27"/>
  <c r="Z431" i="27" s="1"/>
  <c r="AA431" i="27"/>
  <c r="Q432" i="27"/>
  <c r="R432" i="27" s="1"/>
  <c r="AT432" i="27" s="1"/>
  <c r="W432" i="27"/>
  <c r="Z432" i="27" s="1"/>
  <c r="AA432" i="27"/>
  <c r="Q433" i="27"/>
  <c r="R433" i="27" s="1"/>
  <c r="AT433" i="27" s="1"/>
  <c r="W433" i="27"/>
  <c r="Z433" i="27" s="1"/>
  <c r="AA433" i="27"/>
  <c r="Q399" i="27"/>
  <c r="R399" i="27" s="1"/>
  <c r="AT399" i="27" s="1"/>
  <c r="W399" i="27"/>
  <c r="Z399" i="27" s="1"/>
  <c r="AA399" i="27"/>
  <c r="Q400" i="27"/>
  <c r="R400" i="27" s="1"/>
  <c r="AT400" i="27" s="1"/>
  <c r="W400" i="27"/>
  <c r="Z400" i="27" s="1"/>
  <c r="AA400" i="27"/>
  <c r="Q401" i="27"/>
  <c r="R401" i="27" s="1"/>
  <c r="AT401" i="27" s="1"/>
  <c r="W401" i="27"/>
  <c r="Z401" i="27" s="1"/>
  <c r="AA401" i="27"/>
  <c r="Q402" i="27"/>
  <c r="R402" i="27" s="1"/>
  <c r="AT402" i="27" s="1"/>
  <c r="W402" i="27"/>
  <c r="Z402" i="27" s="1"/>
  <c r="AA402" i="27"/>
  <c r="Q417" i="27"/>
  <c r="R417" i="27" s="1"/>
  <c r="AT417" i="27" s="1"/>
  <c r="W417" i="27"/>
  <c r="Z417" i="27" s="1"/>
  <c r="AA417" i="27"/>
  <c r="Q416" i="27"/>
  <c r="R416" i="27" s="1"/>
  <c r="AT416" i="27" s="1"/>
  <c r="W416" i="27"/>
  <c r="Z416" i="27" s="1"/>
  <c r="AA416" i="27"/>
  <c r="Q415" i="27"/>
  <c r="R415" i="27" s="1"/>
  <c r="AT415" i="27" s="1"/>
  <c r="W415" i="27"/>
  <c r="Z415" i="27" s="1"/>
  <c r="AA415" i="27"/>
  <c r="Q414" i="27"/>
  <c r="R414" i="27" s="1"/>
  <c r="AT414" i="27" s="1"/>
  <c r="W414" i="27"/>
  <c r="Z414" i="27" s="1"/>
  <c r="AA414" i="27"/>
  <c r="Q418" i="27"/>
  <c r="R418" i="27" s="1"/>
  <c r="AT418" i="27" s="1"/>
  <c r="W418" i="27"/>
  <c r="Z418" i="27" s="1"/>
  <c r="AA418" i="27"/>
  <c r="Q403" i="27"/>
  <c r="R403" i="27" s="1"/>
  <c r="AT403" i="27" s="1"/>
  <c r="W403" i="27"/>
  <c r="Z403" i="27" s="1"/>
  <c r="AA403" i="27"/>
  <c r="Q387" i="27"/>
  <c r="R387" i="27" s="1"/>
  <c r="AT387" i="27" s="1"/>
  <c r="W387" i="27"/>
  <c r="Z387" i="27" s="1"/>
  <c r="AA387" i="27"/>
  <c r="Q386" i="27"/>
  <c r="R386" i="27" s="1"/>
  <c r="AT386" i="27" s="1"/>
  <c r="W386" i="27"/>
  <c r="Z386" i="27" s="1"/>
  <c r="AA386" i="27"/>
  <c r="Q385" i="27"/>
  <c r="R385" i="27" s="1"/>
  <c r="AT385" i="27" s="1"/>
  <c r="W385" i="27"/>
  <c r="Z385" i="27" s="1"/>
  <c r="AA385" i="27"/>
  <c r="Q384" i="27"/>
  <c r="R384" i="27" s="1"/>
  <c r="AT384" i="27" s="1"/>
  <c r="W384" i="27"/>
  <c r="Z384" i="27" s="1"/>
  <c r="AA384" i="27"/>
  <c r="Q388" i="27"/>
  <c r="R388" i="27" s="1"/>
  <c r="AT388" i="27" s="1"/>
  <c r="W388" i="27"/>
  <c r="Z388" i="27" s="1"/>
  <c r="AA388" i="27"/>
  <c r="Q276" i="27"/>
  <c r="R276" i="27" s="1"/>
  <c r="AT276" i="27" s="1"/>
  <c r="W276" i="27"/>
  <c r="Z276" i="27" s="1"/>
  <c r="AA276" i="27"/>
  <c r="Q277" i="27"/>
  <c r="R277" i="27" s="1"/>
  <c r="AT277" i="27" s="1"/>
  <c r="W277" i="27"/>
  <c r="Z277" i="27" s="1"/>
  <c r="AA277" i="27"/>
  <c r="Q275" i="27"/>
  <c r="R275" i="27" s="1"/>
  <c r="AT275" i="27" s="1"/>
  <c r="W275" i="27"/>
  <c r="Z275" i="27" s="1"/>
  <c r="AA275" i="27"/>
  <c r="Q392" i="27"/>
  <c r="R392" i="27" s="1"/>
  <c r="AT392" i="27" s="1"/>
  <c r="W392" i="27"/>
  <c r="Z392" i="27" s="1"/>
  <c r="AA392" i="27"/>
  <c r="Q391" i="27"/>
  <c r="R391" i="27" s="1"/>
  <c r="AT391" i="27" s="1"/>
  <c r="W391" i="27"/>
  <c r="Z391" i="27" s="1"/>
  <c r="AA391" i="27"/>
  <c r="Q393" i="27"/>
  <c r="R393" i="27" s="1"/>
  <c r="AT393" i="27" s="1"/>
  <c r="W393" i="27"/>
  <c r="Z393" i="27" s="1"/>
  <c r="AA393" i="27"/>
  <c r="Q390" i="27"/>
  <c r="R390" i="27" s="1"/>
  <c r="AT390" i="27" s="1"/>
  <c r="W390" i="27"/>
  <c r="Z390" i="27" s="1"/>
  <c r="AA390" i="27"/>
  <c r="Q346" i="27"/>
  <c r="R346" i="27" s="1"/>
  <c r="AT346" i="27" s="1"/>
  <c r="W346" i="27"/>
  <c r="Z346" i="27" s="1"/>
  <c r="AA346" i="27"/>
  <c r="Q347" i="27"/>
  <c r="R347" i="27" s="1"/>
  <c r="AT347" i="27" s="1"/>
  <c r="W347" i="27"/>
  <c r="Z347" i="27" s="1"/>
  <c r="AA347" i="27"/>
  <c r="Q348" i="27"/>
  <c r="R348" i="27" s="1"/>
  <c r="AT348" i="27" s="1"/>
  <c r="W348" i="27"/>
  <c r="Z348" i="27" s="1"/>
  <c r="AA348" i="27"/>
  <c r="Q349" i="27"/>
  <c r="R349" i="27" s="1"/>
  <c r="AT349" i="27" s="1"/>
  <c r="W349" i="27"/>
  <c r="Z349" i="27" s="1"/>
  <c r="AA349" i="27"/>
  <c r="Q350" i="27"/>
  <c r="R350" i="27" s="1"/>
  <c r="AT350" i="27" s="1"/>
  <c r="W350" i="27"/>
  <c r="Z350" i="27" s="1"/>
  <c r="AA350" i="27"/>
  <c r="Q311" i="27"/>
  <c r="R311" i="27" s="1"/>
  <c r="AT311" i="27" s="1"/>
  <c r="W311" i="27"/>
  <c r="Z311" i="27" s="1"/>
  <c r="AA311" i="27"/>
  <c r="Q310" i="27"/>
  <c r="R310" i="27" s="1"/>
  <c r="AT310" i="27" s="1"/>
  <c r="W310" i="27"/>
  <c r="Z310" i="27" s="1"/>
  <c r="AA310" i="27"/>
  <c r="Q309" i="27"/>
  <c r="R309" i="27" s="1"/>
  <c r="AT309" i="27" s="1"/>
  <c r="W309" i="27"/>
  <c r="Z309" i="27" s="1"/>
  <c r="AA309" i="27"/>
  <c r="Q308" i="27"/>
  <c r="R308" i="27" s="1"/>
  <c r="AT308" i="27" s="1"/>
  <c r="W308" i="27"/>
  <c r="Z308" i="27" s="1"/>
  <c r="AA308" i="27"/>
  <c r="Q312" i="27"/>
  <c r="R312" i="27" s="1"/>
  <c r="AT312" i="27" s="1"/>
  <c r="W312" i="27"/>
  <c r="Z312" i="27" s="1"/>
  <c r="AA312" i="27"/>
  <c r="Q270" i="27"/>
  <c r="R270" i="27" s="1"/>
  <c r="AT270" i="27" s="1"/>
  <c r="W270" i="27"/>
  <c r="Z270" i="27" s="1"/>
  <c r="AA270" i="27"/>
  <c r="Q271" i="27"/>
  <c r="R271" i="27" s="1"/>
  <c r="AT271" i="27" s="1"/>
  <c r="W271" i="27"/>
  <c r="Z271" i="27" s="1"/>
  <c r="AA271" i="27"/>
  <c r="Q272" i="27"/>
  <c r="R272" i="27" s="1"/>
  <c r="AT272" i="27" s="1"/>
  <c r="W272" i="27"/>
  <c r="Z272" i="27" s="1"/>
  <c r="AA272" i="27"/>
  <c r="Q273" i="27"/>
  <c r="R273" i="27" s="1"/>
  <c r="AT273" i="27" s="1"/>
  <c r="W273" i="27"/>
  <c r="Z273" i="27" s="1"/>
  <c r="AA273" i="27"/>
  <c r="Q274" i="27"/>
  <c r="R274" i="27" s="1"/>
  <c r="AT274" i="27" s="1"/>
  <c r="W274" i="27"/>
  <c r="Z274" i="27" s="1"/>
  <c r="AA274" i="27"/>
  <c r="AB242" i="27"/>
  <c r="AB241" i="27"/>
  <c r="AB240" i="27"/>
  <c r="AB239" i="27"/>
  <c r="AB238" i="27"/>
  <c r="AB227" i="27"/>
  <c r="AB226" i="27"/>
  <c r="AB225" i="27"/>
  <c r="AB224" i="27"/>
  <c r="AB223" i="27"/>
  <c r="AB212" i="27"/>
  <c r="AB211" i="27"/>
  <c r="AB210" i="27"/>
  <c r="AB209" i="27"/>
  <c r="AB208" i="27"/>
  <c r="AB196" i="27"/>
  <c r="AB195" i="27"/>
  <c r="AB194" i="27"/>
  <c r="AB193" i="27"/>
  <c r="AB182" i="27"/>
  <c r="AB181" i="27"/>
  <c r="AB180" i="27"/>
  <c r="AB179" i="27"/>
  <c r="AB178" i="27"/>
  <c r="AB167" i="27"/>
  <c r="AB166" i="27"/>
  <c r="AB165" i="27"/>
  <c r="AB164" i="27"/>
  <c r="AB163" i="27"/>
  <c r="AB152" i="27"/>
  <c r="AB151" i="27"/>
  <c r="AB150" i="27"/>
  <c r="AB149" i="27"/>
  <c r="AB148" i="27"/>
  <c r="AB137" i="27"/>
  <c r="AB136" i="27"/>
  <c r="AB135" i="27"/>
  <c r="AB134" i="27"/>
  <c r="AB133" i="27"/>
  <c r="AB122" i="27"/>
  <c r="AB121" i="27"/>
  <c r="AB120" i="27"/>
  <c r="AB119" i="27"/>
  <c r="AB118" i="27"/>
  <c r="AB107" i="27"/>
  <c r="AB106" i="27"/>
  <c r="AB105" i="27"/>
  <c r="AB104" i="27"/>
  <c r="AB103" i="27"/>
  <c r="AB94" i="27"/>
  <c r="AB97" i="27"/>
  <c r="AB96" i="27"/>
  <c r="AB95" i="27"/>
  <c r="AB93" i="27"/>
  <c r="AB89" i="27"/>
  <c r="AB90" i="27"/>
  <c r="AB91" i="27"/>
  <c r="AB92" i="27"/>
  <c r="AB88" i="27"/>
  <c r="W424" i="27"/>
  <c r="Z424" i="27" s="1"/>
  <c r="AA424" i="27"/>
  <c r="AA555" i="27"/>
  <c r="AA453" i="27"/>
  <c r="W443" i="27"/>
  <c r="Z443" i="27" s="1"/>
  <c r="W320" i="27"/>
  <c r="Z320" i="27" s="1"/>
  <c r="AA320" i="27"/>
  <c r="AA472" i="27"/>
  <c r="AB472" i="27" s="1"/>
  <c r="Q472" i="27"/>
  <c r="R472" i="27" s="1"/>
  <c r="AT472" i="27" s="1"/>
  <c r="AA578" i="27"/>
  <c r="W578" i="27"/>
  <c r="Z578" i="27" s="1"/>
  <c r="AB575" i="27"/>
  <c r="B56" i="80"/>
  <c r="M165" i="82"/>
  <c r="S165" i="82" s="1"/>
  <c r="W555" i="27"/>
  <c r="Z555" i="27" s="1"/>
  <c r="AA454" i="27"/>
  <c r="W442" i="27"/>
  <c r="Z442" i="27" s="1"/>
  <c r="W458" i="27"/>
  <c r="Z458" i="27" s="1"/>
  <c r="AB606" i="27"/>
  <c r="AB496" i="27"/>
  <c r="AA449" i="27"/>
  <c r="AA455" i="27"/>
  <c r="W453" i="27"/>
  <c r="Z453" i="27" s="1"/>
  <c r="AA434" i="27"/>
  <c r="AA436" i="27"/>
  <c r="W437" i="27"/>
  <c r="Z437" i="27" s="1"/>
  <c r="AA440" i="27"/>
  <c r="W451" i="27"/>
  <c r="Z451" i="27" s="1"/>
  <c r="W281" i="27"/>
  <c r="Z281" i="27" s="1"/>
  <c r="AB281" i="27" s="1"/>
  <c r="W524" i="27"/>
  <c r="Z524" i="27" s="1"/>
  <c r="W375" i="27"/>
  <c r="Z375" i="27" s="1"/>
  <c r="AB375" i="27" s="1"/>
  <c r="Q281" i="27"/>
  <c r="R281" i="27" s="1"/>
  <c r="AT281" i="27" s="1"/>
  <c r="Q375" i="27"/>
  <c r="R375" i="27" s="1"/>
  <c r="AT375" i="27" s="1"/>
  <c r="AB280" i="27"/>
  <c r="AA452" i="27"/>
  <c r="AA597" i="27"/>
  <c r="AB597" i="27" s="1"/>
  <c r="AA441" i="27"/>
  <c r="Q597" i="27"/>
  <c r="R597" i="27" s="1"/>
  <c r="AT597" i="27" s="1"/>
  <c r="AA302" i="27"/>
  <c r="AB302" i="27" s="1"/>
  <c r="Q302" i="27"/>
  <c r="R302" i="27" s="1"/>
  <c r="AT302" i="27" s="1"/>
  <c r="AA439" i="27"/>
  <c r="AA450" i="27"/>
  <c r="W434" i="27"/>
  <c r="Z434" i="27" s="1"/>
  <c r="Q629" i="27"/>
  <c r="R629" i="27" s="1"/>
  <c r="AT629" i="27" s="1"/>
  <c r="W629" i="27"/>
  <c r="Z629" i="27" s="1"/>
  <c r="AA629" i="27"/>
  <c r="Q628" i="27"/>
  <c r="R628" i="27" s="1"/>
  <c r="AT628" i="27" s="1"/>
  <c r="W628" i="27"/>
  <c r="Z628" i="27" s="1"/>
  <c r="AA628" i="27"/>
  <c r="Q627" i="27"/>
  <c r="R627" i="27" s="1"/>
  <c r="AT627" i="27" s="1"/>
  <c r="W627" i="27"/>
  <c r="Z627" i="27" s="1"/>
  <c r="AA627" i="27"/>
  <c r="Q621" i="27"/>
  <c r="R621" i="27" s="1"/>
  <c r="AT621" i="27" s="1"/>
  <c r="W621" i="27"/>
  <c r="Z621" i="27" s="1"/>
  <c r="AA621" i="27"/>
  <c r="Q620" i="27"/>
  <c r="R620" i="27" s="1"/>
  <c r="AT620" i="27" s="1"/>
  <c r="W620" i="27"/>
  <c r="Z620" i="27" s="1"/>
  <c r="AA620" i="27"/>
  <c r="Q456" i="27"/>
  <c r="R456" i="27" s="1"/>
  <c r="AT456" i="27" s="1"/>
  <c r="W456" i="27"/>
  <c r="Z456" i="27" s="1"/>
  <c r="AB456" i="27" s="1"/>
  <c r="W293" i="27"/>
  <c r="Z293" i="27" s="1"/>
  <c r="J970" i="95"/>
  <c r="E970" i="95"/>
  <c r="D970" i="95"/>
  <c r="AU24" i="3"/>
  <c r="AU25" i="3"/>
  <c r="AU26" i="3"/>
  <c r="G28" i="3"/>
  <c r="AT28" i="3"/>
  <c r="AA524" i="27"/>
  <c r="C896" i="95"/>
  <c r="C1661" i="95"/>
  <c r="Q541" i="27"/>
  <c r="R541" i="27" s="1"/>
  <c r="AT541" i="27" s="1"/>
  <c r="AA541" i="27"/>
  <c r="AB541" i="27" s="1"/>
  <c r="AB639" i="27"/>
  <c r="G59" i="36"/>
  <c r="E59" i="36"/>
  <c r="F59" i="36"/>
  <c r="G57" i="36"/>
  <c r="E57" i="36"/>
  <c r="F57" i="36"/>
  <c r="E58" i="36"/>
  <c r="G58" i="36"/>
  <c r="F58" i="36"/>
  <c r="Q593" i="27"/>
  <c r="R593" i="27" s="1"/>
  <c r="AT593" i="27" s="1"/>
  <c r="W455" i="27"/>
  <c r="Z455" i="27" s="1"/>
  <c r="AA586" i="27"/>
  <c r="W601" i="27"/>
  <c r="Z601" i="27" s="1"/>
  <c r="AB601" i="27" s="1"/>
  <c r="AA296" i="27"/>
  <c r="AB296" i="27" s="1"/>
  <c r="Q282" i="27"/>
  <c r="R282" i="27" s="1"/>
  <c r="AT282" i="27" s="1"/>
  <c r="W450" i="27"/>
  <c r="Z450" i="27" s="1"/>
  <c r="AB499" i="27"/>
  <c r="Q519" i="27"/>
  <c r="R519" i="27" s="1"/>
  <c r="AT519" i="27" s="1"/>
  <c r="Q303" i="27"/>
  <c r="R303" i="27" s="1"/>
  <c r="AT303" i="27" s="1"/>
  <c r="H53" i="80"/>
  <c r="J54" i="80" s="1"/>
  <c r="D70" i="80" s="1"/>
  <c r="W314" i="27"/>
  <c r="Z314" i="27" s="1"/>
  <c r="AA593" i="27"/>
  <c r="AB593" i="27" s="1"/>
  <c r="AA519" i="27"/>
  <c r="AB519" i="27" s="1"/>
  <c r="W303" i="27"/>
  <c r="Z303" i="27" s="1"/>
  <c r="AB303" i="27" s="1"/>
  <c r="Q394" i="27"/>
  <c r="R394" i="27" s="1"/>
  <c r="AT394" i="27" s="1"/>
  <c r="W394" i="27"/>
  <c r="Z394" i="27" s="1"/>
  <c r="AB394" i="27" s="1"/>
  <c r="W473" i="27"/>
  <c r="Z473" i="27" s="1"/>
  <c r="AB473" i="27" s="1"/>
  <c r="Q601" i="27"/>
  <c r="R601" i="27" s="1"/>
  <c r="AT601" i="27" s="1"/>
  <c r="Q427" i="27"/>
  <c r="R427" i="27" s="1"/>
  <c r="AT427" i="27" s="1"/>
  <c r="AA577" i="27"/>
  <c r="AB577" i="27" s="1"/>
  <c r="AB636" i="27"/>
  <c r="AA576" i="27"/>
  <c r="AB576" i="27" s="1"/>
  <c r="AB284" i="27"/>
  <c r="AA412" i="27"/>
  <c r="AB412" i="27" s="1"/>
  <c r="W409" i="27"/>
  <c r="Z409" i="27" s="1"/>
  <c r="AB409" i="27" s="1"/>
  <c r="W413" i="27"/>
  <c r="Z413" i="27" s="1"/>
  <c r="AB413" i="27" s="1"/>
  <c r="W283" i="27"/>
  <c r="Z283" i="27" s="1"/>
  <c r="W282" i="27"/>
  <c r="Z282" i="27" s="1"/>
  <c r="AB282" i="27" s="1"/>
  <c r="Q558" i="27"/>
  <c r="R558" i="27" s="1"/>
  <c r="AT558" i="27" s="1"/>
  <c r="W298" i="27"/>
  <c r="Z298" i="27" s="1"/>
  <c r="Q412" i="27"/>
  <c r="R412" i="27" s="1"/>
  <c r="AT412" i="27" s="1"/>
  <c r="AA491" i="27"/>
  <c r="AB640" i="27"/>
  <c r="AA283" i="27"/>
  <c r="W542" i="27"/>
  <c r="Z542" i="27" s="1"/>
  <c r="AB542" i="27" s="1"/>
  <c r="AA295" i="27"/>
  <c r="AB486" i="27"/>
  <c r="AA382" i="27"/>
  <c r="AB382" i="27" s="1"/>
  <c r="AA294" i="27"/>
  <c r="Q426" i="27"/>
  <c r="R426" i="27" s="1"/>
  <c r="AT426" i="27" s="1"/>
  <c r="Q419" i="27"/>
  <c r="R419" i="27" s="1"/>
  <c r="AT419" i="27" s="1"/>
  <c r="W565" i="27"/>
  <c r="Z565" i="27" s="1"/>
  <c r="AB565" i="27" s="1"/>
  <c r="Q473" i="27"/>
  <c r="R473" i="27" s="1"/>
  <c r="AT473" i="27" s="1"/>
  <c r="AB535" i="27"/>
  <c r="W672" i="27"/>
  <c r="Z672" i="27" s="1"/>
  <c r="AB672" i="27" s="1"/>
  <c r="W586" i="27"/>
  <c r="Z586" i="27" s="1"/>
  <c r="W427" i="27"/>
  <c r="Z427" i="27" s="1"/>
  <c r="AB427" i="27" s="1"/>
  <c r="AA419" i="27"/>
  <c r="AB419" i="27" s="1"/>
  <c r="Q577" i="27"/>
  <c r="R577" i="27" s="1"/>
  <c r="AT577" i="27" s="1"/>
  <c r="AA504" i="27"/>
  <c r="AA505" i="27"/>
  <c r="AA307" i="27"/>
  <c r="AB307" i="27" s="1"/>
  <c r="W525" i="27"/>
  <c r="Z525" i="27" s="1"/>
  <c r="AB525" i="27" s="1"/>
  <c r="Q672" i="27"/>
  <c r="R672" i="27" s="1"/>
  <c r="AT672" i="27" s="1"/>
  <c r="Q565" i="27"/>
  <c r="R565" i="27" s="1"/>
  <c r="AT565" i="27" s="1"/>
  <c r="Q383" i="27"/>
  <c r="R383" i="27" s="1"/>
  <c r="AT383" i="27" s="1"/>
  <c r="Q576" i="27"/>
  <c r="R576" i="27" s="1"/>
  <c r="AT576" i="27" s="1"/>
  <c r="AA502" i="27"/>
  <c r="W503" i="27"/>
  <c r="Z503" i="27" s="1"/>
  <c r="AB503" i="27" s="1"/>
  <c r="AA523" i="27"/>
  <c r="AB523" i="27" s="1"/>
  <c r="AA406" i="27"/>
  <c r="W376" i="27"/>
  <c r="Z376" i="27" s="1"/>
  <c r="AB376" i="27" s="1"/>
  <c r="W426" i="27"/>
  <c r="Z426" i="27" s="1"/>
  <c r="AB426" i="27" s="1"/>
  <c r="W383" i="27"/>
  <c r="Z383" i="27" s="1"/>
  <c r="AB383" i="27" s="1"/>
  <c r="Q518" i="27"/>
  <c r="R518" i="27" s="1"/>
  <c r="AT518" i="27" s="1"/>
  <c r="AA501" i="27"/>
  <c r="W374" i="27"/>
  <c r="Z374" i="27" s="1"/>
  <c r="AB374" i="27" s="1"/>
  <c r="Q382" i="27"/>
  <c r="R382" i="27" s="1"/>
  <c r="AT382" i="27" s="1"/>
  <c r="AA458" i="27"/>
  <c r="W294" i="27"/>
  <c r="Z294" i="27" s="1"/>
  <c r="W502" i="27"/>
  <c r="Z502" i="27" s="1"/>
  <c r="AA316" i="27"/>
  <c r="AA293" i="27"/>
  <c r="W501" i="27"/>
  <c r="Z501" i="27" s="1"/>
  <c r="AA318" i="27"/>
  <c r="AB318" i="27" s="1"/>
  <c r="Q374" i="27"/>
  <c r="R374" i="27" s="1"/>
  <c r="AT374" i="27" s="1"/>
  <c r="W425" i="27"/>
  <c r="Z425" i="27" s="1"/>
  <c r="AB425" i="27" s="1"/>
  <c r="AA380" i="27"/>
  <c r="W420" i="27"/>
  <c r="Z420" i="27" s="1"/>
  <c r="W505" i="27"/>
  <c r="Z505" i="27" s="1"/>
  <c r="Q307" i="27"/>
  <c r="R307" i="27" s="1"/>
  <c r="AT307" i="27" s="1"/>
  <c r="AA322" i="27"/>
  <c r="AB322" i="27" s="1"/>
  <c r="Q376" i="27"/>
  <c r="R376" i="27" s="1"/>
  <c r="AT376" i="27" s="1"/>
  <c r="AB31" i="27"/>
  <c r="AA306" i="27"/>
  <c r="W306" i="27"/>
  <c r="Z306" i="27" s="1"/>
  <c r="Q397" i="27"/>
  <c r="R397" i="27" s="1"/>
  <c r="AT397" i="27" s="1"/>
  <c r="AA420" i="27"/>
  <c r="Q322" i="27"/>
  <c r="R322" i="27" s="1"/>
  <c r="AT322" i="27" s="1"/>
  <c r="W411" i="27"/>
  <c r="Z411" i="27" s="1"/>
  <c r="AB411" i="27" s="1"/>
  <c r="AA457" i="27"/>
  <c r="W457" i="27"/>
  <c r="Z457" i="27" s="1"/>
  <c r="AA600" i="27"/>
  <c r="AB600" i="27" s="1"/>
  <c r="AA287" i="27"/>
  <c r="AB287" i="27" s="1"/>
  <c r="Q542" i="27"/>
  <c r="R542" i="27" s="1"/>
  <c r="AT542" i="27" s="1"/>
  <c r="W604" i="27"/>
  <c r="Z604" i="27" s="1"/>
  <c r="AB604" i="27" s="1"/>
  <c r="Q551" i="27"/>
  <c r="R551" i="27" s="1"/>
  <c r="AT551" i="27" s="1"/>
  <c r="W295" i="27"/>
  <c r="Z295" i="27" s="1"/>
  <c r="W406" i="27"/>
  <c r="Z406" i="27" s="1"/>
  <c r="Q409" i="27"/>
  <c r="R409" i="27" s="1"/>
  <c r="AT409" i="27" s="1"/>
  <c r="Q413" i="27"/>
  <c r="R413" i="27" s="1"/>
  <c r="AT413" i="27" s="1"/>
  <c r="AB537" i="27"/>
  <c r="Q296" i="27"/>
  <c r="R296" i="27" s="1"/>
  <c r="AT296" i="27" s="1"/>
  <c r="Q287" i="27"/>
  <c r="R287" i="27" s="1"/>
  <c r="AT287" i="27" s="1"/>
  <c r="AA558" i="27"/>
  <c r="AB558" i="27" s="1"/>
  <c r="Q604" i="27"/>
  <c r="R604" i="27" s="1"/>
  <c r="AT604" i="27" s="1"/>
  <c r="AA551" i="27"/>
  <c r="AB551" i="27" s="1"/>
  <c r="Q297" i="27"/>
  <c r="R297" i="27" s="1"/>
  <c r="AT297" i="27" s="1"/>
  <c r="AA518" i="27"/>
  <c r="AB518" i="27" s="1"/>
  <c r="W491" i="27"/>
  <c r="Z491" i="27" s="1"/>
  <c r="AA298" i="27"/>
  <c r="W297" i="27"/>
  <c r="Z297" i="27" s="1"/>
  <c r="AB297" i="27" s="1"/>
  <c r="W439" i="27"/>
  <c r="Z439" i="27" s="1"/>
  <c r="AA314" i="27"/>
  <c r="S218" i="82"/>
  <c r="AB569" i="27"/>
  <c r="AA671" i="27"/>
  <c r="Q318" i="27"/>
  <c r="R318" i="27" s="1"/>
  <c r="AT318" i="27" s="1"/>
  <c r="W300" i="27"/>
  <c r="Z300" i="27" s="1"/>
  <c r="AB300" i="27" s="1"/>
  <c r="Q590" i="27"/>
  <c r="R590" i="27" s="1"/>
  <c r="AT590" i="27" s="1"/>
  <c r="Q503" i="27"/>
  <c r="R503" i="27" s="1"/>
  <c r="AT503" i="27" s="1"/>
  <c r="W421" i="27"/>
  <c r="Z421" i="27" s="1"/>
  <c r="AB421" i="27" s="1"/>
  <c r="AB267" i="27"/>
  <c r="W316" i="27"/>
  <c r="Z316" i="27" s="1"/>
  <c r="Q525" i="27"/>
  <c r="R525" i="27" s="1"/>
  <c r="AT525" i="27" s="1"/>
  <c r="Q566" i="27"/>
  <c r="R566" i="27" s="1"/>
  <c r="AT566" i="27" s="1"/>
  <c r="W671" i="27"/>
  <c r="Z671" i="27" s="1"/>
  <c r="Q300" i="27"/>
  <c r="R300" i="27" s="1"/>
  <c r="AT300" i="27" s="1"/>
  <c r="Q523" i="27"/>
  <c r="R523" i="27" s="1"/>
  <c r="AT523" i="27" s="1"/>
  <c r="Q425" i="27"/>
  <c r="R425" i="27" s="1"/>
  <c r="AT425" i="27" s="1"/>
  <c r="Q421" i="27"/>
  <c r="R421" i="27" s="1"/>
  <c r="AT421" i="27" s="1"/>
  <c r="W380" i="27"/>
  <c r="Z380" i="27" s="1"/>
  <c r="W397" i="27"/>
  <c r="Z397" i="27" s="1"/>
  <c r="AB397" i="27" s="1"/>
  <c r="Q423" i="27"/>
  <c r="R423" i="27" s="1"/>
  <c r="AT423" i="27" s="1"/>
  <c r="W428" i="27"/>
  <c r="Z428" i="27" s="1"/>
  <c r="W436" i="27"/>
  <c r="Z436" i="27" s="1"/>
  <c r="Q600" i="27"/>
  <c r="R600" i="27" s="1"/>
  <c r="AT600" i="27" s="1"/>
  <c r="AA428" i="27"/>
  <c r="W454" i="27"/>
  <c r="Z454" i="27" s="1"/>
  <c r="Q411" i="27"/>
  <c r="R411" i="27" s="1"/>
  <c r="AT411" i="27" s="1"/>
  <c r="W590" i="27"/>
  <c r="Z590" i="27" s="1"/>
  <c r="AB590" i="27" s="1"/>
  <c r="W378" i="27"/>
  <c r="Z378" i="27" s="1"/>
  <c r="AB378" i="27" s="1"/>
  <c r="AA584" i="27"/>
  <c r="AB584" i="27" s="1"/>
  <c r="W452" i="27"/>
  <c r="Z452" i="27" s="1"/>
  <c r="W497" i="27"/>
  <c r="Z497" i="27" s="1"/>
  <c r="AB497" i="27" s="1"/>
  <c r="W504" i="27"/>
  <c r="Z504" i="27" s="1"/>
  <c r="Q584" i="27"/>
  <c r="R584" i="27" s="1"/>
  <c r="AT584" i="27" s="1"/>
  <c r="Q497" i="27"/>
  <c r="R497" i="27" s="1"/>
  <c r="AT497" i="27" s="1"/>
  <c r="Q323" i="27"/>
  <c r="R323" i="27" s="1"/>
  <c r="AT323" i="27" s="1"/>
  <c r="Q571" i="27"/>
  <c r="R571" i="27" s="1"/>
  <c r="AT571" i="27" s="1"/>
  <c r="AA325" i="27"/>
  <c r="AB325" i="27" s="1"/>
  <c r="Q325" i="27"/>
  <c r="R325" i="27" s="1"/>
  <c r="AT325" i="27" s="1"/>
  <c r="AB534" i="27"/>
  <c r="Q407" i="27"/>
  <c r="R407" i="27" s="1"/>
  <c r="AT407" i="27" s="1"/>
  <c r="AA407" i="27"/>
  <c r="AB407" i="27" s="1"/>
  <c r="W543" i="27"/>
  <c r="Z543" i="27" s="1"/>
  <c r="AB543" i="27" s="1"/>
  <c r="Q543" i="27"/>
  <c r="R543" i="27" s="1"/>
  <c r="AT543" i="27" s="1"/>
  <c r="Q422" i="27"/>
  <c r="R422" i="27" s="1"/>
  <c r="AT422" i="27" s="1"/>
  <c r="W441" i="27"/>
  <c r="Z441" i="27" s="1"/>
  <c r="AB490" i="27"/>
  <c r="W422" i="27"/>
  <c r="Z422" i="27" s="1"/>
  <c r="AB422" i="27" s="1"/>
  <c r="AA323" i="27"/>
  <c r="AB323" i="27" s="1"/>
  <c r="AB557" i="27"/>
  <c r="AB41" i="27"/>
  <c r="AB268" i="27"/>
  <c r="S222" i="82"/>
  <c r="AA566" i="27"/>
  <c r="AB566" i="27" s="1"/>
  <c r="AA611" i="27"/>
  <c r="AB611" i="27" s="1"/>
  <c r="Q554" i="27"/>
  <c r="R554" i="27" s="1"/>
  <c r="AT554" i="27" s="1"/>
  <c r="Q377" i="27"/>
  <c r="R377" i="27" s="1"/>
  <c r="AT377" i="27" s="1"/>
  <c r="S302" i="82"/>
  <c r="AB674" i="27"/>
  <c r="AA408" i="27"/>
  <c r="W554" i="27"/>
  <c r="Z554" i="27" s="1"/>
  <c r="AB554" i="27" s="1"/>
  <c r="W304" i="27"/>
  <c r="Z304" i="27" s="1"/>
  <c r="AB304" i="27" s="1"/>
  <c r="Q611" i="27"/>
  <c r="R611" i="27" s="1"/>
  <c r="AT611" i="27" s="1"/>
  <c r="AA377" i="27"/>
  <c r="AB377" i="27" s="1"/>
  <c r="Q304" i="27"/>
  <c r="R304" i="27" s="1"/>
  <c r="AT304" i="27" s="1"/>
  <c r="W389" i="27"/>
  <c r="Z389" i="27" s="1"/>
  <c r="AB389" i="27" s="1"/>
  <c r="Q389" i="27"/>
  <c r="R389" i="27" s="1"/>
  <c r="AT389" i="27" s="1"/>
  <c r="Q404" i="27"/>
  <c r="R404" i="27" s="1"/>
  <c r="AT404" i="27" s="1"/>
  <c r="AA533" i="27"/>
  <c r="AB533" i="27" s="1"/>
  <c r="Q533" i="27"/>
  <c r="R533" i="27" s="1"/>
  <c r="AT533" i="27" s="1"/>
  <c r="W408" i="27"/>
  <c r="Z408" i="27" s="1"/>
  <c r="W583" i="27"/>
  <c r="Z583" i="27" s="1"/>
  <c r="AB583" i="27" s="1"/>
  <c r="AA644" i="27"/>
  <c r="AB644" i="27" s="1"/>
  <c r="AA451" i="27"/>
  <c r="Q583" i="27"/>
  <c r="R583" i="27" s="1"/>
  <c r="AT583" i="27" s="1"/>
  <c r="W592" i="27"/>
  <c r="Z592" i="27" s="1"/>
  <c r="AB592" i="27" s="1"/>
  <c r="W653" i="27"/>
  <c r="Z653" i="27" s="1"/>
  <c r="Q644" i="27"/>
  <c r="R644" i="27" s="1"/>
  <c r="AT644" i="27" s="1"/>
  <c r="Q592" i="27"/>
  <c r="R592" i="27" s="1"/>
  <c r="AT592" i="27" s="1"/>
  <c r="AA653" i="27"/>
  <c r="W449" i="27"/>
  <c r="Z449" i="27" s="1"/>
  <c r="AA516" i="27"/>
  <c r="W516" i="27"/>
  <c r="Z516" i="27" s="1"/>
  <c r="AB642" i="27"/>
  <c r="AA404" i="27"/>
  <c r="AB404" i="27" s="1"/>
  <c r="AA442" i="27"/>
  <c r="W269" i="27"/>
  <c r="Z269" i="27" s="1"/>
  <c r="AA269" i="27"/>
  <c r="AB585" i="27"/>
  <c r="Q331" i="27"/>
  <c r="R331" i="27" s="1"/>
  <c r="AT331" i="27" s="1"/>
  <c r="AB548" i="27"/>
  <c r="AA423" i="27"/>
  <c r="AB423" i="27" s="1"/>
  <c r="AA556" i="27"/>
  <c r="AB556" i="27" s="1"/>
  <c r="AA571" i="27"/>
  <c r="AB571" i="27" s="1"/>
  <c r="S267" i="82"/>
  <c r="W574" i="27"/>
  <c r="Z574" i="27" s="1"/>
  <c r="AB574" i="27" s="1"/>
  <c r="Q574" i="27"/>
  <c r="R574" i="27" s="1"/>
  <c r="AT574" i="27" s="1"/>
  <c r="W668" i="27"/>
  <c r="Z668" i="27" s="1"/>
  <c r="AA643" i="27"/>
  <c r="W643" i="27"/>
  <c r="Z643" i="27" s="1"/>
  <c r="AA668" i="27"/>
  <c r="AA438" i="27"/>
  <c r="W440" i="27"/>
  <c r="Z440" i="27" s="1"/>
  <c r="AA437" i="27"/>
  <c r="W438" i="27"/>
  <c r="Z438" i="27" s="1"/>
  <c r="Q398" i="27"/>
  <c r="R398" i="27" s="1"/>
  <c r="AT398" i="27" s="1"/>
  <c r="W398" i="27"/>
  <c r="Z398" i="27" s="1"/>
  <c r="AB398" i="27" s="1"/>
  <c r="AA587" i="27"/>
  <c r="AB587" i="27" s="1"/>
  <c r="AA313" i="27"/>
  <c r="Q587" i="27"/>
  <c r="R587" i="27" s="1"/>
  <c r="AT587" i="27" s="1"/>
  <c r="W313" i="27"/>
  <c r="Z313" i="27" s="1"/>
  <c r="S266" i="82"/>
  <c r="W331" i="27"/>
  <c r="Z331" i="27" s="1"/>
  <c r="AB331" i="27" s="1"/>
  <c r="AB637" i="27"/>
  <c r="AA396" i="27"/>
  <c r="Q498" i="27"/>
  <c r="R498" i="27" s="1"/>
  <c r="AT498" i="27" s="1"/>
  <c r="AA498" i="27"/>
  <c r="AB498" i="27" s="1"/>
  <c r="W396" i="27"/>
  <c r="Z396" i="27" s="1"/>
  <c r="S190" i="82"/>
  <c r="W317" i="27"/>
  <c r="Z317" i="27" s="1"/>
  <c r="AA317" i="27"/>
  <c r="Q556" i="27"/>
  <c r="R556" i="27" s="1"/>
  <c r="AT556" i="27" s="1"/>
  <c r="Q379" i="27"/>
  <c r="R379" i="27" s="1"/>
  <c r="AT379" i="27" s="1"/>
  <c r="Q305" i="27"/>
  <c r="R305" i="27" s="1"/>
  <c r="AT305" i="27" s="1"/>
  <c r="AA579" i="27"/>
  <c r="Q605" i="27"/>
  <c r="R605" i="27" s="1"/>
  <c r="AT605" i="27" s="1"/>
  <c r="AA379" i="27"/>
  <c r="AB379" i="27" s="1"/>
  <c r="W305" i="27"/>
  <c r="Z305" i="27" s="1"/>
  <c r="AB305" i="27" s="1"/>
  <c r="W579" i="27"/>
  <c r="Z579" i="27" s="1"/>
  <c r="W527" i="27"/>
  <c r="Z527" i="27" s="1"/>
  <c r="AA605" i="27"/>
  <c r="AB605" i="27" s="1"/>
  <c r="AB489" i="27"/>
  <c r="AA527" i="27"/>
  <c r="Q378" i="27"/>
  <c r="R378" i="27" s="1"/>
  <c r="AT378" i="27" s="1"/>
  <c r="S303" i="82"/>
  <c r="AB526" i="27"/>
  <c r="Q319" i="27"/>
  <c r="R319" i="27" s="1"/>
  <c r="AT319" i="27" s="1"/>
  <c r="W319" i="27"/>
  <c r="Z319" i="27" s="1"/>
  <c r="AB319" i="27" s="1"/>
  <c r="Q591" i="27"/>
  <c r="R591" i="27" s="1"/>
  <c r="AT591" i="27" s="1"/>
  <c r="AA591" i="27"/>
  <c r="AB591" i="27" s="1"/>
  <c r="AA443" i="27"/>
  <c r="M6" i="71"/>
  <c r="F39" i="85" s="1"/>
  <c r="S136" i="82"/>
  <c r="Q22" i="91"/>
  <c r="AB162" i="27"/>
  <c r="AB146" i="27"/>
  <c r="N121" i="82"/>
  <c r="Q121" i="82" s="1"/>
  <c r="R121" i="82" s="1"/>
  <c r="AA692" i="27"/>
  <c r="AB692" i="27" s="1"/>
  <c r="Q692" i="27"/>
  <c r="R692" i="27" s="1"/>
  <c r="AT692" i="27" s="1"/>
  <c r="Q50" i="27"/>
  <c r="R50" i="27" s="1"/>
  <c r="AT50" i="27" s="1"/>
  <c r="W52" i="27"/>
  <c r="Z52" i="27" s="1"/>
  <c r="W159" i="27"/>
  <c r="Z159" i="27" s="1"/>
  <c r="AB159" i="27" s="1"/>
  <c r="W693" i="27"/>
  <c r="Z693" i="27" s="1"/>
  <c r="AB693" i="27" s="1"/>
  <c r="Q159" i="27"/>
  <c r="R159" i="27" s="1"/>
  <c r="AT159" i="27" s="1"/>
  <c r="AB145" i="27"/>
  <c r="AA74" i="27"/>
  <c r="Q351" i="27"/>
  <c r="R351" i="27" s="1"/>
  <c r="AT351" i="27" s="1"/>
  <c r="W618" i="27"/>
  <c r="Z618" i="27" s="1"/>
  <c r="AB618" i="27" s="1"/>
  <c r="Q75" i="27"/>
  <c r="R75" i="27" s="1"/>
  <c r="AT75" i="27" s="1"/>
  <c r="W351" i="27"/>
  <c r="Z351" i="27" s="1"/>
  <c r="AB351" i="27" s="1"/>
  <c r="Q369" i="27"/>
  <c r="R369" i="27" s="1"/>
  <c r="AT369" i="27" s="1"/>
  <c r="AA612" i="27"/>
  <c r="AB612" i="27" s="1"/>
  <c r="Q169" i="27"/>
  <c r="R169" i="27" s="1"/>
  <c r="AT169" i="27" s="1"/>
  <c r="W55" i="27"/>
  <c r="Z55" i="27" s="1"/>
  <c r="AB55" i="27" s="1"/>
  <c r="Q51" i="27"/>
  <c r="R51" i="27" s="1"/>
  <c r="AT51" i="27" s="1"/>
  <c r="W57" i="27"/>
  <c r="Z57" i="27" s="1"/>
  <c r="AB57" i="27" s="1"/>
  <c r="W51" i="27"/>
  <c r="Z51" i="27" s="1"/>
  <c r="AB51" i="27" s="1"/>
  <c r="Q693" i="27"/>
  <c r="R693" i="27" s="1"/>
  <c r="AT693" i="27" s="1"/>
  <c r="AA480" i="27"/>
  <c r="AB480" i="27" s="1"/>
  <c r="W186" i="27"/>
  <c r="Z186" i="27" s="1"/>
  <c r="AB186" i="27" s="1"/>
  <c r="AB143" i="27"/>
  <c r="W50" i="27"/>
  <c r="Z50" i="27" s="1"/>
  <c r="AB50" i="27" s="1"/>
  <c r="AA183" i="27"/>
  <c r="AB183" i="27" s="1"/>
  <c r="Q186" i="27"/>
  <c r="R186" i="27" s="1"/>
  <c r="AT186" i="27" s="1"/>
  <c r="AA62" i="27"/>
  <c r="Q183" i="27"/>
  <c r="R183" i="27" s="1"/>
  <c r="AT183" i="27" s="1"/>
  <c r="W72" i="27"/>
  <c r="Z72" i="27" s="1"/>
  <c r="AB72" i="27" s="1"/>
  <c r="Q170" i="27"/>
  <c r="R170" i="27" s="1"/>
  <c r="AT170" i="27" s="1"/>
  <c r="AA395" i="27"/>
  <c r="AB395" i="27" s="1"/>
  <c r="Q612" i="27"/>
  <c r="R612" i="27" s="1"/>
  <c r="AT612" i="27" s="1"/>
  <c r="Q681" i="27"/>
  <c r="R681" i="27" s="1"/>
  <c r="AT681" i="27" s="1"/>
  <c r="AA66" i="27"/>
  <c r="AB66" i="27" s="1"/>
  <c r="Q395" i="27"/>
  <c r="R395" i="27" s="1"/>
  <c r="AT395" i="27" s="1"/>
  <c r="Q358" i="27"/>
  <c r="R358" i="27" s="1"/>
  <c r="AT358" i="27" s="1"/>
  <c r="W687" i="27"/>
  <c r="Z687" i="27" s="1"/>
  <c r="AA69" i="27"/>
  <c r="AA358" i="27"/>
  <c r="AB358" i="27" s="1"/>
  <c r="AA619" i="27"/>
  <c r="Q341" i="27"/>
  <c r="R341" i="27" s="1"/>
  <c r="AT341" i="27" s="1"/>
  <c r="AB249" i="27"/>
  <c r="W56" i="27"/>
  <c r="Z56" i="27" s="1"/>
  <c r="AB56" i="27" s="1"/>
  <c r="W75" i="27"/>
  <c r="Z75" i="27" s="1"/>
  <c r="AB75" i="27" s="1"/>
  <c r="Q72" i="27"/>
  <c r="R72" i="27" s="1"/>
  <c r="AT72" i="27" s="1"/>
  <c r="W172" i="27"/>
  <c r="Z172" i="27" s="1"/>
  <c r="AB158" i="27"/>
  <c r="Q64" i="27"/>
  <c r="R64" i="27" s="1"/>
  <c r="AT64" i="27" s="1"/>
  <c r="AA172" i="27"/>
  <c r="W681" i="27"/>
  <c r="Z681" i="27" s="1"/>
  <c r="AB681" i="27" s="1"/>
  <c r="Q618" i="27"/>
  <c r="R618" i="27" s="1"/>
  <c r="AT618" i="27" s="1"/>
  <c r="Q659" i="27"/>
  <c r="R659" i="27" s="1"/>
  <c r="AT659" i="27" s="1"/>
  <c r="Q66" i="27"/>
  <c r="R66" i="27" s="1"/>
  <c r="AT66" i="27" s="1"/>
  <c r="Q480" i="27"/>
  <c r="R480" i="27" s="1"/>
  <c r="AT480" i="27" s="1"/>
  <c r="AA680" i="27"/>
  <c r="AB680" i="27" s="1"/>
  <c r="Q55" i="27"/>
  <c r="R55" i="27" s="1"/>
  <c r="AT55" i="27" s="1"/>
  <c r="AA659" i="27"/>
  <c r="AB659" i="27" s="1"/>
  <c r="W62" i="27"/>
  <c r="Z62" i="27" s="1"/>
  <c r="AA369" i="27"/>
  <c r="AB369" i="27" s="1"/>
  <c r="Q57" i="27"/>
  <c r="R57" i="27" s="1"/>
  <c r="AT57" i="27" s="1"/>
  <c r="W170" i="27"/>
  <c r="Z170" i="27" s="1"/>
  <c r="AB170" i="27" s="1"/>
  <c r="AB266" i="27"/>
  <c r="W478" i="27"/>
  <c r="Z478" i="27" s="1"/>
  <c r="AB478" i="27" s="1"/>
  <c r="W74" i="27"/>
  <c r="Z74" i="27" s="1"/>
  <c r="AA476" i="27"/>
  <c r="AB476" i="27" s="1"/>
  <c r="AB174" i="27"/>
  <c r="AA360" i="27"/>
  <c r="AB360" i="27" s="1"/>
  <c r="AB138" i="27"/>
  <c r="Q478" i="27"/>
  <c r="R478" i="27" s="1"/>
  <c r="AT478" i="27" s="1"/>
  <c r="W61" i="27"/>
  <c r="Z61" i="27" s="1"/>
  <c r="AB61" i="27" s="1"/>
  <c r="AA68" i="27"/>
  <c r="AB141" i="27"/>
  <c r="W169" i="27"/>
  <c r="Z169" i="27" s="1"/>
  <c r="AB169" i="27" s="1"/>
  <c r="Q665" i="27"/>
  <c r="R665" i="27" s="1"/>
  <c r="AT665" i="27" s="1"/>
  <c r="W155" i="27"/>
  <c r="Z155" i="27" s="1"/>
  <c r="AB155" i="27" s="1"/>
  <c r="AB125" i="27"/>
  <c r="W68" i="27"/>
  <c r="Z68" i="27" s="1"/>
  <c r="W651" i="27"/>
  <c r="Z651" i="27" s="1"/>
  <c r="AA691" i="27"/>
  <c r="Q61" i="27"/>
  <c r="R61" i="27" s="1"/>
  <c r="AT61" i="27" s="1"/>
  <c r="AA355" i="27"/>
  <c r="AB355" i="27" s="1"/>
  <c r="AA651" i="27"/>
  <c r="Q360" i="27"/>
  <c r="R360" i="27" s="1"/>
  <c r="AT360" i="27" s="1"/>
  <c r="Q476" i="27"/>
  <c r="R476" i="27" s="1"/>
  <c r="AT476" i="27" s="1"/>
  <c r="W619" i="27"/>
  <c r="Z619" i="27" s="1"/>
  <c r="N123" i="82"/>
  <c r="Q123" i="82" s="1"/>
  <c r="R123" i="82" s="1"/>
  <c r="W64" i="27"/>
  <c r="Z64" i="27" s="1"/>
  <c r="AB64" i="27" s="1"/>
  <c r="AA341" i="27"/>
  <c r="AB341" i="27" s="1"/>
  <c r="Q56" i="27"/>
  <c r="R56" i="27" s="1"/>
  <c r="AT56" i="27" s="1"/>
  <c r="AB191" i="27"/>
  <c r="AA687" i="27"/>
  <c r="AA615" i="27"/>
  <c r="W69" i="27"/>
  <c r="Z69" i="27" s="1"/>
  <c r="AB126" i="27"/>
  <c r="W665" i="27"/>
  <c r="Z665" i="27" s="1"/>
  <c r="AB665" i="27" s="1"/>
  <c r="Q155" i="27"/>
  <c r="R155" i="27" s="1"/>
  <c r="AT155" i="27" s="1"/>
  <c r="Q355" i="27"/>
  <c r="R355" i="27" s="1"/>
  <c r="AT355" i="27" s="1"/>
  <c r="AA102" i="27"/>
  <c r="Q102" i="27"/>
  <c r="R102" i="27" s="1"/>
  <c r="AT102" i="27" s="1"/>
  <c r="W102" i="27"/>
  <c r="Z102" i="27" s="1"/>
  <c r="W410" i="27"/>
  <c r="Z410" i="27" s="1"/>
  <c r="AA410" i="27"/>
  <c r="W691" i="27"/>
  <c r="Z691" i="27" s="1"/>
  <c r="AB108" i="27"/>
  <c r="AB254" i="27"/>
  <c r="W615" i="27"/>
  <c r="Z615" i="27" s="1"/>
  <c r="Q60" i="27"/>
  <c r="R60" i="27" s="1"/>
  <c r="AT60" i="27" s="1"/>
  <c r="AB139" i="27"/>
  <c r="AB261" i="27"/>
  <c r="AB140" i="27"/>
  <c r="Q410" i="27"/>
  <c r="R410" i="27" s="1"/>
  <c r="AT410" i="27" s="1"/>
  <c r="AB381" i="27"/>
  <c r="AB127" i="27"/>
  <c r="AA299" i="27"/>
  <c r="W299" i="27"/>
  <c r="Z299" i="27" s="1"/>
  <c r="Q113" i="27"/>
  <c r="R113" i="27" s="1"/>
  <c r="AT113" i="27" s="1"/>
  <c r="W113" i="27"/>
  <c r="Z113" i="27" s="1"/>
  <c r="AB113" i="27" s="1"/>
  <c r="W435" i="27"/>
  <c r="Z435" i="27" s="1"/>
  <c r="AA435" i="27"/>
  <c r="S142" i="82"/>
  <c r="N142" i="82"/>
  <c r="Q142" i="82" s="1"/>
  <c r="R142" i="82" s="1"/>
  <c r="S92" i="82"/>
  <c r="N92" i="82"/>
  <c r="Q92" i="82" s="1"/>
  <c r="R92" i="82" s="1"/>
  <c r="AA142" i="27"/>
  <c r="W142" i="27"/>
  <c r="Z142" i="27" s="1"/>
  <c r="Q142" i="27"/>
  <c r="R142" i="27" s="1"/>
  <c r="AT142" i="27" s="1"/>
  <c r="S90" i="82"/>
  <c r="N90" i="82"/>
  <c r="Q90" i="82" s="1"/>
  <c r="R90" i="82" s="1"/>
  <c r="S84" i="82"/>
  <c r="N84" i="82"/>
  <c r="Q84" i="82" s="1"/>
  <c r="R84" i="82" s="1"/>
  <c r="S94" i="82"/>
  <c r="N94" i="82"/>
  <c r="Q94" i="82" s="1"/>
  <c r="R94" i="82" s="1"/>
  <c r="AA47" i="27"/>
  <c r="AB47" i="27" s="1"/>
  <c r="Q680" i="27"/>
  <c r="R680" i="27" s="1"/>
  <c r="AT680" i="27" s="1"/>
  <c r="Q110" i="27"/>
  <c r="R110" i="27" s="1"/>
  <c r="AT110" i="27" s="1"/>
  <c r="W110" i="27"/>
  <c r="Z110" i="27" s="1"/>
  <c r="AA110" i="27"/>
  <c r="AA176" i="27"/>
  <c r="Q176" i="27"/>
  <c r="R176" i="27" s="1"/>
  <c r="AT176" i="27" s="1"/>
  <c r="W176" i="27"/>
  <c r="Z176" i="27" s="1"/>
  <c r="Q109" i="27"/>
  <c r="R109" i="27" s="1"/>
  <c r="AT109" i="27" s="1"/>
  <c r="W109" i="27"/>
  <c r="Z109" i="27" s="1"/>
  <c r="AA109" i="27"/>
  <c r="AB124" i="27"/>
  <c r="W337" i="27"/>
  <c r="Z337" i="27" s="1"/>
  <c r="AA337" i="27"/>
  <c r="Q337" i="27"/>
  <c r="R337" i="27" s="1"/>
  <c r="AT337" i="27" s="1"/>
  <c r="W315" i="27"/>
  <c r="Z315" i="27" s="1"/>
  <c r="Q315" i="27"/>
  <c r="R315" i="27" s="1"/>
  <c r="AT315" i="27" s="1"/>
  <c r="AA315" i="27"/>
  <c r="S91" i="82"/>
  <c r="N91" i="82"/>
  <c r="Q91" i="82" s="1"/>
  <c r="R91" i="82" s="1"/>
  <c r="S95" i="82"/>
  <c r="N95" i="82"/>
  <c r="Q95" i="82" s="1"/>
  <c r="R95" i="82" s="1"/>
  <c r="AA52" i="27"/>
  <c r="AA60" i="27"/>
  <c r="AB60" i="27" s="1"/>
  <c r="Q324" i="27"/>
  <c r="R324" i="27" s="1"/>
  <c r="AT324" i="27" s="1"/>
  <c r="AA324" i="27"/>
  <c r="W324" i="27"/>
  <c r="Z324" i="27" s="1"/>
  <c r="W154" i="27"/>
  <c r="Z154" i="27" s="1"/>
  <c r="AA154" i="27"/>
  <c r="Q154" i="27"/>
  <c r="R154" i="27" s="1"/>
  <c r="AT154" i="27" s="1"/>
  <c r="Q301" i="27"/>
  <c r="R301" i="27" s="1"/>
  <c r="AT301" i="27" s="1"/>
  <c r="AA301" i="27"/>
  <c r="W301" i="27"/>
  <c r="Z301" i="27" s="1"/>
  <c r="S87" i="82"/>
  <c r="N87" i="82"/>
  <c r="Q87" i="82" s="1"/>
  <c r="R87" i="82" s="1"/>
  <c r="Q357" i="27"/>
  <c r="R357" i="27" s="1"/>
  <c r="AT357" i="27" s="1"/>
  <c r="AA357" i="27"/>
  <c r="W357" i="27"/>
  <c r="Z357" i="27" s="1"/>
  <c r="W111" i="27"/>
  <c r="Z111" i="27" s="1"/>
  <c r="Q111" i="27"/>
  <c r="R111" i="27" s="1"/>
  <c r="AT111" i="27" s="1"/>
  <c r="AA111" i="27"/>
  <c r="AA652" i="27"/>
  <c r="W652" i="27"/>
  <c r="Z652" i="27" s="1"/>
  <c r="Q652" i="27"/>
  <c r="R652" i="27" s="1"/>
  <c r="AT652" i="27" s="1"/>
  <c r="S97" i="82"/>
  <c r="N97" i="82"/>
  <c r="Q97" i="82" s="1"/>
  <c r="R97" i="82" s="1"/>
  <c r="AA356" i="27"/>
  <c r="Q356" i="27"/>
  <c r="R356" i="27" s="1"/>
  <c r="AT356" i="27" s="1"/>
  <c r="W356" i="27"/>
  <c r="Z356" i="27" s="1"/>
  <c r="W144" i="27"/>
  <c r="Z144" i="27" s="1"/>
  <c r="AA144" i="27"/>
  <c r="Q144" i="27"/>
  <c r="R144" i="27" s="1"/>
  <c r="AT144" i="27" s="1"/>
  <c r="W156" i="27"/>
  <c r="Z156" i="27" s="1"/>
  <c r="Q156" i="27"/>
  <c r="R156" i="27" s="1"/>
  <c r="AT156" i="27" s="1"/>
  <c r="AA156" i="27"/>
  <c r="S137" i="82"/>
  <c r="N137" i="82"/>
  <c r="Q137" i="82" s="1"/>
  <c r="R137" i="82" s="1"/>
  <c r="AA354" i="27"/>
  <c r="Q354" i="27"/>
  <c r="R354" i="27" s="1"/>
  <c r="AT354" i="27" s="1"/>
  <c r="W354" i="27"/>
  <c r="Z354" i="27" s="1"/>
  <c r="AB263" i="27"/>
  <c r="W338" i="27"/>
  <c r="Z338" i="27" s="1"/>
  <c r="AA338" i="27"/>
  <c r="Q338" i="27"/>
  <c r="R338" i="27" s="1"/>
  <c r="AT338" i="27" s="1"/>
  <c r="AA184" i="27"/>
  <c r="W184" i="27"/>
  <c r="Z184" i="27" s="1"/>
  <c r="Q184" i="27"/>
  <c r="R184" i="27" s="1"/>
  <c r="AT184" i="27" s="1"/>
  <c r="AA666" i="27"/>
  <c r="Q666" i="27"/>
  <c r="R666" i="27" s="1"/>
  <c r="AT666" i="27" s="1"/>
  <c r="W666" i="27"/>
  <c r="Z666" i="27" s="1"/>
  <c r="AA115" i="27"/>
  <c r="W115" i="27"/>
  <c r="Z115" i="27" s="1"/>
  <c r="Q115" i="27"/>
  <c r="R115" i="27" s="1"/>
  <c r="AT115" i="27" s="1"/>
  <c r="W610" i="27"/>
  <c r="Z610" i="27" s="1"/>
  <c r="Q610" i="27"/>
  <c r="R610" i="27" s="1"/>
  <c r="AT610" i="27" s="1"/>
  <c r="AA610" i="27"/>
  <c r="S139" i="82"/>
  <c r="N139" i="82"/>
  <c r="Q139" i="82" s="1"/>
  <c r="R139" i="82" s="1"/>
  <c r="AA171" i="27"/>
  <c r="Q171" i="27"/>
  <c r="R171" i="27" s="1"/>
  <c r="AT171" i="27" s="1"/>
  <c r="W171" i="27"/>
  <c r="Z171" i="27" s="1"/>
  <c r="AB188" i="27"/>
  <c r="AB252" i="27"/>
  <c r="AB247" i="27"/>
  <c r="AB244" i="27"/>
  <c r="AA187" i="27"/>
  <c r="W187" i="27"/>
  <c r="Z187" i="27" s="1"/>
  <c r="Q187" i="27"/>
  <c r="R187" i="27" s="1"/>
  <c r="AT187" i="27" s="1"/>
  <c r="N160" i="82"/>
  <c r="Q160" i="82" s="1"/>
  <c r="R160" i="82" s="1"/>
  <c r="S160" i="82"/>
  <c r="AA185" i="27"/>
  <c r="W185" i="27"/>
  <c r="Z185" i="27" s="1"/>
  <c r="Q185" i="27"/>
  <c r="R185" i="27" s="1"/>
  <c r="AT185" i="27" s="1"/>
  <c r="W667" i="27"/>
  <c r="Z667" i="27" s="1"/>
  <c r="AA667" i="27"/>
  <c r="Q667" i="27"/>
  <c r="R667" i="27" s="1"/>
  <c r="AT667" i="27" s="1"/>
  <c r="AA340" i="27"/>
  <c r="Q340" i="27"/>
  <c r="R340" i="27" s="1"/>
  <c r="AT340" i="27" s="1"/>
  <c r="W340" i="27"/>
  <c r="Z340" i="27" s="1"/>
  <c r="Q339" i="27"/>
  <c r="R339" i="27" s="1"/>
  <c r="AT339" i="27" s="1"/>
  <c r="W339" i="27"/>
  <c r="Z339" i="27" s="1"/>
  <c r="AA339" i="27"/>
  <c r="S85" i="82"/>
  <c r="N85" i="82"/>
  <c r="Q85" i="82" s="1"/>
  <c r="R85" i="82" s="1"/>
  <c r="S86" i="82"/>
  <c r="N86" i="82"/>
  <c r="Q86" i="82" s="1"/>
  <c r="R86" i="82" s="1"/>
  <c r="W161" i="27"/>
  <c r="Z161" i="27" s="1"/>
  <c r="AA161" i="27"/>
  <c r="Q161" i="27"/>
  <c r="R161" i="27" s="1"/>
  <c r="AT161" i="27" s="1"/>
  <c r="S96" i="82"/>
  <c r="N96" i="82"/>
  <c r="Q96" i="82" s="1"/>
  <c r="R96" i="82" s="1"/>
  <c r="Q173" i="27"/>
  <c r="R173" i="27" s="1"/>
  <c r="AT173" i="27" s="1"/>
  <c r="W173" i="27"/>
  <c r="Z173" i="27" s="1"/>
  <c r="AA173" i="27"/>
  <c r="AA157" i="27"/>
  <c r="Q157" i="27"/>
  <c r="R157" i="27" s="1"/>
  <c r="AT157" i="27" s="1"/>
  <c r="W157" i="27"/>
  <c r="Z157" i="27" s="1"/>
  <c r="S89" i="82"/>
  <c r="N89" i="82"/>
  <c r="Q89" i="82" s="1"/>
  <c r="R89" i="82" s="1"/>
  <c r="AA650" i="27"/>
  <c r="W650" i="27"/>
  <c r="Z650" i="27" s="1"/>
  <c r="Q650" i="27"/>
  <c r="R650" i="27" s="1"/>
  <c r="AT650" i="27" s="1"/>
  <c r="AB112" i="27"/>
  <c r="Q189" i="27"/>
  <c r="R189" i="27" s="1"/>
  <c r="AT189" i="27" s="1"/>
  <c r="AA189" i="27"/>
  <c r="W189" i="27"/>
  <c r="Z189" i="27" s="1"/>
  <c r="W683" i="27"/>
  <c r="Z683" i="27" s="1"/>
  <c r="Q683" i="27"/>
  <c r="R683" i="27" s="1"/>
  <c r="AT683" i="27" s="1"/>
  <c r="AA683" i="27"/>
  <c r="AA362" i="27"/>
  <c r="Q362" i="27"/>
  <c r="R362" i="27" s="1"/>
  <c r="AT362" i="27" s="1"/>
  <c r="W362" i="27"/>
  <c r="Z362" i="27" s="1"/>
  <c r="Q153" i="27"/>
  <c r="R153" i="27" s="1"/>
  <c r="AT153" i="27" s="1"/>
  <c r="W153" i="27"/>
  <c r="Z153" i="27" s="1"/>
  <c r="AA153" i="27"/>
  <c r="AA344" i="27"/>
  <c r="W344" i="27"/>
  <c r="Z344" i="27" s="1"/>
  <c r="Q344" i="27"/>
  <c r="R344" i="27" s="1"/>
  <c r="AT344" i="27" s="1"/>
  <c r="Q607" i="27"/>
  <c r="R607" i="27" s="1"/>
  <c r="AT607" i="27" s="1"/>
  <c r="AA607" i="27"/>
  <c r="W607" i="27"/>
  <c r="Z607" i="27" s="1"/>
  <c r="Q65" i="27"/>
  <c r="R65" i="27" s="1"/>
  <c r="AT65" i="27" s="1"/>
  <c r="W65" i="27"/>
  <c r="Z65" i="27" s="1"/>
  <c r="AA65" i="27"/>
  <c r="S88" i="82"/>
  <c r="N88" i="82"/>
  <c r="Q88" i="82" s="1"/>
  <c r="R88" i="82" s="1"/>
  <c r="Q371" i="27"/>
  <c r="R371" i="27" s="1"/>
  <c r="AT371" i="27" s="1"/>
  <c r="AA371" i="27"/>
  <c r="W371" i="27"/>
  <c r="Z371" i="27" s="1"/>
  <c r="Q53" i="27"/>
  <c r="R53" i="27" s="1"/>
  <c r="AT53" i="27" s="1"/>
  <c r="AA53" i="27"/>
  <c r="W53" i="27"/>
  <c r="Z53" i="27" s="1"/>
  <c r="Q336" i="27"/>
  <c r="R336" i="27" s="1"/>
  <c r="AT336" i="27" s="1"/>
  <c r="W336" i="27"/>
  <c r="Z336" i="27" s="1"/>
  <c r="AA336" i="27"/>
  <c r="W67" i="27"/>
  <c r="Z67" i="27" s="1"/>
  <c r="AA67" i="27"/>
  <c r="Q67" i="27"/>
  <c r="R67" i="27" s="1"/>
  <c r="AT67" i="27" s="1"/>
  <c r="AB248" i="27"/>
  <c r="AB251" i="27"/>
  <c r="AA59" i="27"/>
  <c r="W59" i="27"/>
  <c r="Z59" i="27" s="1"/>
  <c r="Q59" i="27"/>
  <c r="R59" i="27" s="1"/>
  <c r="AT59" i="27" s="1"/>
  <c r="Q257" i="27"/>
  <c r="R257" i="27" s="1"/>
  <c r="AT257" i="27" s="1"/>
  <c r="W257" i="27"/>
  <c r="Z257" i="27" s="1"/>
  <c r="AA257" i="27"/>
  <c r="W359" i="27"/>
  <c r="Z359" i="27" s="1"/>
  <c r="AA359" i="27"/>
  <c r="Q359" i="27"/>
  <c r="R359" i="27" s="1"/>
  <c r="AT359" i="27" s="1"/>
  <c r="Q655" i="27"/>
  <c r="R655" i="27" s="1"/>
  <c r="AT655" i="27" s="1"/>
  <c r="W655" i="27"/>
  <c r="Z655" i="27" s="1"/>
  <c r="AA655" i="27"/>
  <c r="S125" i="82"/>
  <c r="N125" i="82"/>
  <c r="Q125" i="82" s="1"/>
  <c r="R125" i="82" s="1"/>
  <c r="AA685" i="27"/>
  <c r="Q685" i="27"/>
  <c r="R685" i="27" s="1"/>
  <c r="AT685" i="27" s="1"/>
  <c r="W685" i="27"/>
  <c r="Z685" i="27" s="1"/>
  <c r="Q54" i="27"/>
  <c r="R54" i="27" s="1"/>
  <c r="AT54" i="27" s="1"/>
  <c r="W54" i="27"/>
  <c r="Z54" i="27" s="1"/>
  <c r="AA54" i="27"/>
  <c r="AA58" i="27"/>
  <c r="W58" i="27"/>
  <c r="Z58" i="27" s="1"/>
  <c r="Q58" i="27"/>
  <c r="R58" i="27" s="1"/>
  <c r="AT58" i="27" s="1"/>
  <c r="AA614" i="27"/>
  <c r="W614" i="27"/>
  <c r="Z614" i="27" s="1"/>
  <c r="Q614" i="27"/>
  <c r="R614" i="27" s="1"/>
  <c r="AT614" i="27" s="1"/>
  <c r="W333" i="27"/>
  <c r="Z333" i="27" s="1"/>
  <c r="AA333" i="27"/>
  <c r="Q333" i="27"/>
  <c r="R333" i="27" s="1"/>
  <c r="AT333" i="27" s="1"/>
  <c r="W353" i="27"/>
  <c r="Z353" i="27" s="1"/>
  <c r="AA353" i="27"/>
  <c r="Q353" i="27"/>
  <c r="R353" i="27" s="1"/>
  <c r="AT353" i="27" s="1"/>
  <c r="AB246" i="27"/>
  <c r="AB123" i="27"/>
  <c r="W656" i="27"/>
  <c r="Z656" i="27" s="1"/>
  <c r="Q656" i="27"/>
  <c r="R656" i="27" s="1"/>
  <c r="AT656" i="27" s="1"/>
  <c r="AA656" i="27"/>
  <c r="S99" i="82"/>
  <c r="N99" i="82"/>
  <c r="Q99" i="82" s="1"/>
  <c r="R99" i="82" s="1"/>
  <c r="AB253" i="27"/>
  <c r="Q71" i="27"/>
  <c r="R71" i="27" s="1"/>
  <c r="AT71" i="27" s="1"/>
  <c r="W71" i="27"/>
  <c r="Z71" i="27" s="1"/>
  <c r="AA71" i="27"/>
  <c r="Q654" i="27"/>
  <c r="R654" i="27" s="1"/>
  <c r="AT654" i="27" s="1"/>
  <c r="AA654" i="27"/>
  <c r="W654" i="27"/>
  <c r="Z654" i="27" s="1"/>
  <c r="AA479" i="27"/>
  <c r="W479" i="27"/>
  <c r="Z479" i="27" s="1"/>
  <c r="Q479" i="27"/>
  <c r="R479" i="27" s="1"/>
  <c r="AT479" i="27" s="1"/>
  <c r="S127" i="82"/>
  <c r="N127" i="82"/>
  <c r="Q127" i="82" s="1"/>
  <c r="R127" i="82" s="1"/>
  <c r="N119" i="82"/>
  <c r="Q119" i="82" s="1"/>
  <c r="R119" i="82" s="1"/>
  <c r="AA343" i="27"/>
  <c r="Q343" i="27"/>
  <c r="R343" i="27" s="1"/>
  <c r="AT343" i="27" s="1"/>
  <c r="W343" i="27"/>
  <c r="Z343" i="27" s="1"/>
  <c r="W689" i="27"/>
  <c r="Z689" i="27" s="1"/>
  <c r="Q689" i="27"/>
  <c r="R689" i="27" s="1"/>
  <c r="AT689" i="27" s="1"/>
  <c r="AA689" i="27"/>
  <c r="Q370" i="27"/>
  <c r="R370" i="27" s="1"/>
  <c r="AT370" i="27" s="1"/>
  <c r="AA370" i="27"/>
  <c r="W370" i="27"/>
  <c r="Z370" i="27" s="1"/>
  <c r="AA245" i="27"/>
  <c r="Q245" i="27"/>
  <c r="R245" i="27" s="1"/>
  <c r="AT245" i="27" s="1"/>
  <c r="W245" i="27"/>
  <c r="Z245" i="27" s="1"/>
  <c r="S130" i="82"/>
  <c r="N130" i="82"/>
  <c r="Q130" i="82" s="1"/>
  <c r="R130" i="82" s="1"/>
  <c r="S101" i="82"/>
  <c r="N101" i="82"/>
  <c r="Q101" i="82" s="1"/>
  <c r="R101" i="82" s="1"/>
  <c r="S124" i="82"/>
  <c r="N124" i="82"/>
  <c r="Q124" i="82" s="1"/>
  <c r="R124" i="82" s="1"/>
  <c r="W190" i="27"/>
  <c r="Z190" i="27" s="1"/>
  <c r="Q190" i="27"/>
  <c r="R190" i="27" s="1"/>
  <c r="AT190" i="27" s="1"/>
  <c r="AA190" i="27"/>
  <c r="W334" i="27"/>
  <c r="Z334" i="27" s="1"/>
  <c r="AA334" i="27"/>
  <c r="Q334" i="27"/>
  <c r="R334" i="27" s="1"/>
  <c r="AT334" i="27" s="1"/>
  <c r="Q669" i="27"/>
  <c r="R669" i="27" s="1"/>
  <c r="AT669" i="27" s="1"/>
  <c r="W669" i="27"/>
  <c r="Z669" i="27" s="1"/>
  <c r="AA669" i="27"/>
  <c r="S93" i="82"/>
  <c r="N93" i="82"/>
  <c r="Q93" i="82" s="1"/>
  <c r="R93" i="82" s="1"/>
  <c r="W688" i="27"/>
  <c r="Z688" i="27" s="1"/>
  <c r="AA688" i="27"/>
  <c r="Q688" i="27"/>
  <c r="R688" i="27" s="1"/>
  <c r="AT688" i="27" s="1"/>
  <c r="S122" i="82"/>
  <c r="N122" i="82"/>
  <c r="Q122" i="82" s="1"/>
  <c r="R122" i="82" s="1"/>
  <c r="S128" i="82"/>
  <c r="N128" i="82"/>
  <c r="Q128" i="82" s="1"/>
  <c r="R128" i="82" s="1"/>
  <c r="AA345" i="27"/>
  <c r="W345" i="27"/>
  <c r="Z345" i="27" s="1"/>
  <c r="Q345" i="27"/>
  <c r="R345" i="27" s="1"/>
  <c r="AT345" i="27" s="1"/>
  <c r="S100" i="82"/>
  <c r="N100" i="82"/>
  <c r="Q100" i="82" s="1"/>
  <c r="R100" i="82" s="1"/>
  <c r="AA608" i="27"/>
  <c r="W608" i="27"/>
  <c r="Z608" i="27" s="1"/>
  <c r="Q608" i="27"/>
  <c r="R608" i="27" s="1"/>
  <c r="AT608" i="27" s="1"/>
  <c r="W372" i="27"/>
  <c r="Z372" i="27" s="1"/>
  <c r="Q372" i="27"/>
  <c r="R372" i="27" s="1"/>
  <c r="AT372" i="27" s="1"/>
  <c r="AA372" i="27"/>
  <c r="Q363" i="27"/>
  <c r="R363" i="27" s="1"/>
  <c r="AT363" i="27" s="1"/>
  <c r="AA363" i="27"/>
  <c r="W363" i="27"/>
  <c r="Z363" i="27" s="1"/>
  <c r="W616" i="27"/>
  <c r="Z616" i="27" s="1"/>
  <c r="Q616" i="27"/>
  <c r="R616" i="27" s="1"/>
  <c r="AT616" i="27" s="1"/>
  <c r="AA616" i="27"/>
  <c r="Q690" i="27"/>
  <c r="R690" i="27" s="1"/>
  <c r="AT690" i="27" s="1"/>
  <c r="AA690" i="27"/>
  <c r="W690" i="27"/>
  <c r="Z690" i="27" s="1"/>
  <c r="Q361" i="27"/>
  <c r="R361" i="27" s="1"/>
  <c r="AT361" i="27" s="1"/>
  <c r="AA361" i="27"/>
  <c r="W361" i="27"/>
  <c r="Z361" i="27" s="1"/>
  <c r="W477" i="27"/>
  <c r="Z477" i="27" s="1"/>
  <c r="AA477" i="27"/>
  <c r="Q477" i="27"/>
  <c r="R477" i="27" s="1"/>
  <c r="AT477" i="27" s="1"/>
  <c r="AA682" i="27"/>
  <c r="Q682" i="27"/>
  <c r="R682" i="27" s="1"/>
  <c r="AT682" i="27" s="1"/>
  <c r="W682" i="27"/>
  <c r="Z682" i="27" s="1"/>
  <c r="S83" i="82"/>
  <c r="N83" i="82"/>
  <c r="Q83" i="82" s="1"/>
  <c r="R83" i="82" s="1"/>
  <c r="S133" i="82"/>
  <c r="N133" i="82"/>
  <c r="Q133" i="82" s="1"/>
  <c r="R133" i="82" s="1"/>
  <c r="AA73" i="27"/>
  <c r="W73" i="27"/>
  <c r="Z73" i="27" s="1"/>
  <c r="Q73" i="27"/>
  <c r="R73" i="27" s="1"/>
  <c r="AT73" i="27" s="1"/>
  <c r="AA609" i="27"/>
  <c r="Q609" i="27"/>
  <c r="R609" i="27" s="1"/>
  <c r="AT609" i="27" s="1"/>
  <c r="W609" i="27"/>
  <c r="Z609" i="27" s="1"/>
  <c r="AA686" i="27"/>
  <c r="Q686" i="27"/>
  <c r="R686" i="27" s="1"/>
  <c r="AT686" i="27" s="1"/>
  <c r="W686" i="27"/>
  <c r="Z686" i="27" s="1"/>
  <c r="S120" i="82"/>
  <c r="N120" i="82"/>
  <c r="Q120" i="82" s="1"/>
  <c r="R120" i="82" s="1"/>
  <c r="Q373" i="27"/>
  <c r="R373" i="27" s="1"/>
  <c r="AT373" i="27" s="1"/>
  <c r="AA373" i="27"/>
  <c r="W373" i="27"/>
  <c r="Z373" i="27" s="1"/>
  <c r="Q684" i="27"/>
  <c r="R684" i="27" s="1"/>
  <c r="AT684" i="27" s="1"/>
  <c r="AA684" i="27"/>
  <c r="W684" i="27"/>
  <c r="Z684" i="27" s="1"/>
  <c r="Q352" i="27"/>
  <c r="R352" i="27" s="1"/>
  <c r="AT352" i="27" s="1"/>
  <c r="AA352" i="27"/>
  <c r="W352" i="27"/>
  <c r="Z352" i="27" s="1"/>
  <c r="W70" i="27"/>
  <c r="Z70" i="27" s="1"/>
  <c r="Q70" i="27"/>
  <c r="R70" i="27" s="1"/>
  <c r="AT70" i="27" s="1"/>
  <c r="AA70" i="27"/>
  <c r="Q335" i="27"/>
  <c r="R335" i="27" s="1"/>
  <c r="AT335" i="27" s="1"/>
  <c r="W335" i="27"/>
  <c r="Z335" i="27" s="1"/>
  <c r="AA335" i="27"/>
  <c r="S132" i="82"/>
  <c r="N132" i="82"/>
  <c r="Q132" i="82" s="1"/>
  <c r="R132" i="82" s="1"/>
  <c r="S126" i="82"/>
  <c r="N126" i="82"/>
  <c r="Q126" i="82" s="1"/>
  <c r="R126" i="82" s="1"/>
  <c r="AB243" i="27"/>
  <c r="W658" i="27"/>
  <c r="Z658" i="27" s="1"/>
  <c r="Q658" i="27"/>
  <c r="R658" i="27" s="1"/>
  <c r="AT658" i="27" s="1"/>
  <c r="AA658" i="27"/>
  <c r="AB255" i="27"/>
  <c r="AB256" i="27"/>
  <c r="AB250" i="27"/>
  <c r="Q63" i="27"/>
  <c r="R63" i="27" s="1"/>
  <c r="AT63" i="27" s="1"/>
  <c r="AA63" i="27"/>
  <c r="W63" i="27"/>
  <c r="Z63" i="27" s="1"/>
  <c r="Q617" i="27"/>
  <c r="R617" i="27" s="1"/>
  <c r="AT617" i="27" s="1"/>
  <c r="W617" i="27"/>
  <c r="Z617" i="27" s="1"/>
  <c r="AA617" i="27"/>
  <c r="S102" i="82"/>
  <c r="N102" i="82"/>
  <c r="Q102" i="82" s="1"/>
  <c r="R102" i="82" s="1"/>
  <c r="S98" i="82"/>
  <c r="N98" i="82"/>
  <c r="Q98" i="82" s="1"/>
  <c r="R98" i="82" s="1"/>
  <c r="W332" i="27"/>
  <c r="Z332" i="27" s="1"/>
  <c r="Q332" i="27"/>
  <c r="R332" i="27" s="1"/>
  <c r="AT332" i="27" s="1"/>
  <c r="AA332" i="27"/>
  <c r="S131" i="82"/>
  <c r="N131" i="82"/>
  <c r="Q131" i="82" s="1"/>
  <c r="R131" i="82" s="1"/>
  <c r="AB192" i="27"/>
  <c r="Q657" i="27"/>
  <c r="R657" i="27" s="1"/>
  <c r="AT657" i="27" s="1"/>
  <c r="W657" i="27"/>
  <c r="Z657" i="27" s="1"/>
  <c r="AA657" i="27"/>
  <c r="W342" i="27"/>
  <c r="Z342" i="27" s="1"/>
  <c r="Q342" i="27"/>
  <c r="R342" i="27" s="1"/>
  <c r="AT342" i="27" s="1"/>
  <c r="AA342" i="27"/>
  <c r="D12" i="83"/>
  <c r="N21" i="72"/>
  <c r="Q2" i="74"/>
  <c r="F7" i="84" s="1"/>
  <c r="G12" i="83"/>
  <c r="Q47" i="27"/>
  <c r="R47" i="27" s="1"/>
  <c r="AT47" i="27" s="1"/>
  <c r="AB168" i="27"/>
  <c r="AA48" i="27"/>
  <c r="Q48" i="27"/>
  <c r="R48" i="27" s="1"/>
  <c r="AT48" i="27" s="1"/>
  <c r="W48" i="27"/>
  <c r="Z48" i="27" s="1"/>
  <c r="Q49" i="27"/>
  <c r="R49" i="27" s="1"/>
  <c r="AT49" i="27" s="1"/>
  <c r="W49" i="27"/>
  <c r="Z49" i="27" s="1"/>
  <c r="AA49" i="27"/>
  <c r="AB8" i="27"/>
  <c r="N175" i="64"/>
  <c r="M169" i="64"/>
  <c r="M172" i="64"/>
  <c r="M170" i="64"/>
  <c r="AB9" i="27"/>
  <c r="N168" i="64"/>
  <c r="N169" i="64"/>
  <c r="M175" i="64"/>
  <c r="N176" i="64"/>
  <c r="M174" i="64"/>
  <c r="X53" i="7"/>
  <c r="P52" i="7"/>
  <c r="X55" i="7"/>
  <c r="P39" i="7" s="1"/>
  <c r="R52" i="7"/>
  <c r="W46" i="27"/>
  <c r="Z46" i="27" s="1"/>
  <c r="AA46" i="27"/>
  <c r="Q46" i="27"/>
  <c r="S11" i="83"/>
  <c r="AA11" i="83"/>
  <c r="AI11" i="83"/>
  <c r="W11" i="83"/>
  <c r="AE11" i="83"/>
  <c r="N6" i="71"/>
  <c r="J20" i="72" s="1"/>
  <c r="Y11" i="83"/>
  <c r="AG11" i="83"/>
  <c r="U11" i="83"/>
  <c r="AC11" i="83"/>
  <c r="H52" i="7"/>
  <c r="X45" i="7"/>
  <c r="AB48" i="7"/>
  <c r="AC48" i="7" s="1"/>
  <c r="H157" i="72"/>
  <c r="G49" i="7"/>
  <c r="Z44" i="7" s="1"/>
  <c r="AA44" i="7" s="1"/>
  <c r="X54" i="7"/>
  <c r="Q52" i="7"/>
  <c r="N174" i="64"/>
  <c r="M168" i="64"/>
  <c r="N172" i="64"/>
  <c r="M173" i="64"/>
  <c r="N173" i="64"/>
  <c r="E50" i="7"/>
  <c r="AB42" i="7" s="1"/>
  <c r="AC42" i="7" s="1"/>
  <c r="F158" i="72"/>
  <c r="C162" i="64"/>
  <c r="I158" i="64"/>
  <c r="X41" i="7"/>
  <c r="D52" i="7"/>
  <c r="X48" i="7"/>
  <c r="K52" i="7"/>
  <c r="H158" i="72"/>
  <c r="G50" i="7"/>
  <c r="G158" i="72"/>
  <c r="F50" i="7"/>
  <c r="AB43" i="7" s="1"/>
  <c r="AC43" i="7" s="1"/>
  <c r="Y10" i="83"/>
  <c r="AG10" i="83"/>
  <c r="S10" i="83"/>
  <c r="AA10" i="83"/>
  <c r="AI10" i="83"/>
  <c r="U10" i="83"/>
  <c r="AC10" i="83"/>
  <c r="W10" i="83"/>
  <c r="AE10" i="83"/>
  <c r="X46" i="7"/>
  <c r="I52" i="7"/>
  <c r="N171" i="64"/>
  <c r="M176" i="64"/>
  <c r="N170" i="64"/>
  <c r="X51" i="7"/>
  <c r="N52" i="7"/>
  <c r="AB55" i="7"/>
  <c r="AC55" i="7" s="1"/>
  <c r="J52" i="7"/>
  <c r="X47" i="7"/>
  <c r="F52" i="7"/>
  <c r="X43" i="7"/>
  <c r="AB45" i="7"/>
  <c r="AC45" i="7" s="1"/>
  <c r="AB260" i="27"/>
  <c r="N2" i="74"/>
  <c r="B7" i="84" s="1"/>
  <c r="D10" i="83"/>
  <c r="N19" i="72"/>
  <c r="O52" i="7"/>
  <c r="X52" i="7"/>
  <c r="X50" i="7"/>
  <c r="M52" i="7"/>
  <c r="X42" i="7"/>
  <c r="E52" i="7"/>
  <c r="X49" i="7"/>
  <c r="L52" i="7"/>
  <c r="G52" i="7"/>
  <c r="X44" i="7"/>
  <c r="E217" i="64"/>
  <c r="N119" i="66"/>
  <c r="R119" i="66" s="1"/>
  <c r="T119" i="66" s="1"/>
  <c r="AT119" i="66" s="1"/>
  <c r="I121" i="66"/>
  <c r="M120" i="66"/>
  <c r="Y120" i="66"/>
  <c r="L120" i="66"/>
  <c r="N141" i="66"/>
  <c r="R141" i="66" s="1"/>
  <c r="T141" i="66" s="1"/>
  <c r="AT141" i="66" s="1"/>
  <c r="I143" i="66"/>
  <c r="M142" i="66"/>
  <c r="Y142" i="66"/>
  <c r="L142" i="66"/>
  <c r="E972" i="95" l="1"/>
  <c r="F1269" i="70"/>
  <c r="L1236" i="70"/>
  <c r="M50" i="7" s="1"/>
  <c r="AB50" i="7" s="1"/>
  <c r="AC50" i="7" s="1"/>
  <c r="C1236" i="70"/>
  <c r="D50" i="7" s="1"/>
  <c r="N1235" i="70"/>
  <c r="O49" i="7" s="1"/>
  <c r="Z52" i="7" s="1"/>
  <c r="AA52" i="7" s="1"/>
  <c r="P1235" i="70"/>
  <c r="Q49" i="7" s="1"/>
  <c r="Z54" i="7" s="1"/>
  <c r="AA54" i="7" s="1"/>
  <c r="G1235" i="70"/>
  <c r="H49" i="7" s="1"/>
  <c r="Z45" i="7" s="1"/>
  <c r="AA45" i="7" s="1"/>
  <c r="D1235" i="70"/>
  <c r="M1235" i="70"/>
  <c r="N49" i="7" s="1"/>
  <c r="Z51" i="7" s="1"/>
  <c r="AA51" i="7" s="1"/>
  <c r="I1235" i="70"/>
  <c r="J49" i="7" s="1"/>
  <c r="Z47" i="7" s="1"/>
  <c r="AA47" i="7" s="1"/>
  <c r="C1235" i="70"/>
  <c r="Q1235" i="70"/>
  <c r="R49" i="7" s="1"/>
  <c r="Z55" i="7" s="1"/>
  <c r="R39" i="7" s="1"/>
  <c r="E1235" i="70"/>
  <c r="O1235" i="70"/>
  <c r="P49" i="7" s="1"/>
  <c r="Z53" i="7" s="1"/>
  <c r="AA53" i="7" s="1"/>
  <c r="L1235" i="70"/>
  <c r="M49" i="7" s="1"/>
  <c r="Z50" i="7" s="1"/>
  <c r="AA50" i="7" s="1"/>
  <c r="A49" i="7"/>
  <c r="J1235" i="70"/>
  <c r="K49" i="7" s="1"/>
  <c r="K1235" i="70"/>
  <c r="L49" i="7" s="1"/>
  <c r="Z49" i="7" s="1"/>
  <c r="AA49" i="7" s="1"/>
  <c r="E410" i="95"/>
  <c r="H493" i="95"/>
  <c r="J427" i="95"/>
  <c r="G475" i="95"/>
  <c r="H415" i="95"/>
  <c r="G439" i="95"/>
  <c r="G412" i="95"/>
  <c r="J477" i="95"/>
  <c r="G407" i="95"/>
  <c r="H428" i="95"/>
  <c r="E495" i="95"/>
  <c r="G480" i="95"/>
  <c r="I474" i="95"/>
  <c r="H499" i="95"/>
  <c r="G477" i="95"/>
  <c r="D452" i="95"/>
  <c r="H445" i="95"/>
  <c r="H420" i="95"/>
  <c r="D431" i="95"/>
  <c r="G413" i="95"/>
  <c r="J481" i="95"/>
  <c r="I389" i="95"/>
  <c r="D391" i="95"/>
  <c r="I394" i="95"/>
  <c r="I397" i="95"/>
  <c r="D399" i="95"/>
  <c r="E402" i="95"/>
  <c r="D405" i="95"/>
  <c r="I407" i="95"/>
  <c r="D410" i="95"/>
  <c r="D413" i="95"/>
  <c r="E415" i="95"/>
  <c r="E418" i="95"/>
  <c r="I421" i="95"/>
  <c r="I423" i="95"/>
  <c r="E426" i="95"/>
  <c r="I429" i="95"/>
  <c r="E431" i="95"/>
  <c r="E434" i="95"/>
  <c r="I437" i="95"/>
  <c r="D439" i="95"/>
  <c r="E442" i="95"/>
  <c r="I445" i="95"/>
  <c r="D447" i="95"/>
  <c r="D450" i="95"/>
  <c r="I453" i="95"/>
  <c r="D455" i="95"/>
  <c r="E458" i="95"/>
  <c r="I461" i="95"/>
  <c r="I463" i="95"/>
  <c r="E466" i="95"/>
  <c r="I469" i="95"/>
  <c r="D471" i="95"/>
  <c r="E474" i="95"/>
  <c r="I477" i="95"/>
  <c r="E479" i="95"/>
  <c r="E482" i="95"/>
  <c r="I485" i="95"/>
  <c r="D487" i="95"/>
  <c r="E490" i="95"/>
  <c r="I493" i="95"/>
  <c r="D495" i="95"/>
  <c r="D498" i="95"/>
  <c r="I501" i="95"/>
  <c r="D503" i="95"/>
  <c r="D506" i="95"/>
  <c r="J420" i="95"/>
  <c r="J484" i="95"/>
  <c r="J421" i="95"/>
  <c r="J485" i="95"/>
  <c r="J422" i="95"/>
  <c r="J486" i="95"/>
  <c r="J423" i="95"/>
  <c r="J487" i="95"/>
  <c r="J408" i="95"/>
  <c r="J472" i="95"/>
  <c r="J499" i="95"/>
  <c r="J449" i="95"/>
  <c r="J390" i="95"/>
  <c r="J426" i="95"/>
  <c r="J490" i="95"/>
  <c r="H408" i="95"/>
  <c r="H434" i="95"/>
  <c r="H454" i="95"/>
  <c r="H478" i="95"/>
  <c r="H496" i="95"/>
  <c r="G406" i="95"/>
  <c r="G432" i="95"/>
  <c r="G452" i="95"/>
  <c r="G472" i="95"/>
  <c r="G492" i="95"/>
  <c r="H396" i="95"/>
  <c r="H430" i="95"/>
  <c r="H498" i="95"/>
  <c r="G396" i="95"/>
  <c r="G430" i="95"/>
  <c r="G498" i="95"/>
  <c r="H409" i="95"/>
  <c r="H441" i="95"/>
  <c r="H465" i="95"/>
  <c r="H495" i="95"/>
  <c r="G409" i="95"/>
  <c r="G473" i="95"/>
  <c r="G461" i="95"/>
  <c r="H421" i="95"/>
  <c r="E389" i="95"/>
  <c r="E392" i="95"/>
  <c r="E394" i="95"/>
  <c r="D397" i="95"/>
  <c r="D400" i="95"/>
  <c r="D402" i="95"/>
  <c r="I405" i="95"/>
  <c r="I408" i="95"/>
  <c r="I410" i="95"/>
  <c r="I413" i="95"/>
  <c r="I416" i="95"/>
  <c r="D418" i="95"/>
  <c r="E421" i="95"/>
  <c r="I424" i="95"/>
  <c r="D426" i="95"/>
  <c r="E429" i="95"/>
  <c r="I432" i="95"/>
  <c r="D434" i="95"/>
  <c r="E437" i="95"/>
  <c r="I440" i="95"/>
  <c r="D442" i="95"/>
  <c r="E445" i="95"/>
  <c r="I448" i="95"/>
  <c r="E450" i="95"/>
  <c r="E453" i="95"/>
  <c r="I456" i="95"/>
  <c r="D458" i="95"/>
  <c r="E461" i="95"/>
  <c r="I464" i="95"/>
  <c r="D466" i="95"/>
  <c r="D469" i="95"/>
  <c r="I472" i="95"/>
  <c r="D474" i="95"/>
  <c r="E477" i="95"/>
  <c r="I480" i="95"/>
  <c r="D482" i="95"/>
  <c r="E485" i="95"/>
  <c r="I488" i="95"/>
  <c r="D490" i="95"/>
  <c r="E493" i="95"/>
  <c r="I496" i="95"/>
  <c r="E498" i="95"/>
  <c r="E501" i="95"/>
  <c r="E504" i="95"/>
  <c r="E506" i="95"/>
  <c r="J428" i="95"/>
  <c r="J492" i="95"/>
  <c r="J429" i="95"/>
  <c r="J493" i="95"/>
  <c r="J430" i="95"/>
  <c r="J494" i="95"/>
  <c r="J431" i="95"/>
  <c r="J495" i="95"/>
  <c r="J416" i="95"/>
  <c r="J480" i="95"/>
  <c r="J393" i="95"/>
  <c r="J457" i="95"/>
  <c r="J411" i="95"/>
  <c r="J434" i="95"/>
  <c r="J498" i="95"/>
  <c r="H410" i="95"/>
  <c r="H436" i="95"/>
  <c r="H458" i="95"/>
  <c r="H480" i="95"/>
  <c r="H500" i="95"/>
  <c r="G408" i="95"/>
  <c r="G434" i="95"/>
  <c r="G454" i="95"/>
  <c r="G478" i="95"/>
  <c r="G496" i="95"/>
  <c r="H400" i="95"/>
  <c r="H446" i="95"/>
  <c r="H502" i="95"/>
  <c r="G400" i="95"/>
  <c r="G446" i="95"/>
  <c r="G502" i="95"/>
  <c r="H413" i="95"/>
  <c r="H447" i="95"/>
  <c r="H473" i="95"/>
  <c r="H497" i="95"/>
  <c r="G415" i="95"/>
  <c r="G487" i="95"/>
  <c r="G485" i="95"/>
  <c r="H425" i="95"/>
  <c r="H463" i="95"/>
  <c r="D389" i="95"/>
  <c r="D392" i="95"/>
  <c r="D395" i="95"/>
  <c r="E397" i="95"/>
  <c r="I400" i="95"/>
  <c r="I403" i="95"/>
  <c r="E405" i="95"/>
  <c r="E408" i="95"/>
  <c r="I411" i="95"/>
  <c r="E413" i="95"/>
  <c r="D416" i="95"/>
  <c r="E419" i="95"/>
  <c r="D421" i="95"/>
  <c r="D424" i="95"/>
  <c r="E427" i="95"/>
  <c r="D429" i="95"/>
  <c r="E432" i="95"/>
  <c r="D435" i="95"/>
  <c r="D437" i="95"/>
  <c r="E440" i="95"/>
  <c r="I443" i="95"/>
  <c r="D445" i="95"/>
  <c r="E448" i="95"/>
  <c r="I451" i="95"/>
  <c r="D453" i="95"/>
  <c r="E456" i="95"/>
  <c r="I459" i="95"/>
  <c r="D461" i="95"/>
  <c r="E464" i="95"/>
  <c r="E467" i="95"/>
  <c r="E469" i="95"/>
  <c r="E472" i="95"/>
  <c r="I475" i="95"/>
  <c r="D477" i="95"/>
  <c r="E480" i="95"/>
  <c r="I483" i="95"/>
  <c r="D485" i="95"/>
  <c r="E488" i="95"/>
  <c r="E491" i="95"/>
  <c r="D493" i="95"/>
  <c r="E496" i="95"/>
  <c r="I499" i="95"/>
  <c r="D501" i="95"/>
  <c r="D504" i="95"/>
  <c r="I507" i="95"/>
  <c r="J436" i="95"/>
  <c r="J500" i="95"/>
  <c r="J437" i="95"/>
  <c r="J501" i="95"/>
  <c r="J438" i="95"/>
  <c r="J502" i="95"/>
  <c r="J439" i="95"/>
  <c r="J503" i="95"/>
  <c r="J424" i="95"/>
  <c r="J488" i="95"/>
  <c r="J401" i="95"/>
  <c r="J465" i="95"/>
  <c r="J459" i="95"/>
  <c r="J442" i="95"/>
  <c r="J506" i="95"/>
  <c r="H414" i="95"/>
  <c r="H438" i="95"/>
  <c r="H460" i="95"/>
  <c r="H482" i="95"/>
  <c r="H504" i="95"/>
  <c r="G410" i="95"/>
  <c r="G436" i="95"/>
  <c r="G458" i="95"/>
  <c r="E390" i="95"/>
  <c r="I392" i="95"/>
  <c r="E395" i="95"/>
  <c r="I398" i="95"/>
  <c r="E400" i="95"/>
  <c r="D403" i="95"/>
  <c r="I406" i="95"/>
  <c r="D408" i="95"/>
  <c r="E411" i="95"/>
  <c r="E414" i="95"/>
  <c r="E416" i="95"/>
  <c r="D419" i="95"/>
  <c r="I422" i="95"/>
  <c r="E424" i="95"/>
  <c r="I427" i="95"/>
  <c r="I430" i="95"/>
  <c r="D432" i="95"/>
  <c r="I435" i="95"/>
  <c r="I438" i="95"/>
  <c r="D440" i="95"/>
  <c r="E443" i="95"/>
  <c r="E446" i="95"/>
  <c r="D448" i="95"/>
  <c r="E451" i="95"/>
  <c r="I454" i="95"/>
  <c r="D456" i="95"/>
  <c r="E459" i="95"/>
  <c r="I462" i="95"/>
  <c r="D464" i="95"/>
  <c r="I467" i="95"/>
  <c r="I470" i="95"/>
  <c r="D472" i="95"/>
  <c r="E475" i="95"/>
  <c r="I478" i="95"/>
  <c r="D480" i="95"/>
  <c r="E483" i="95"/>
  <c r="I486" i="95"/>
  <c r="D488" i="95"/>
  <c r="I491" i="95"/>
  <c r="I494" i="95"/>
  <c r="D496" i="95"/>
  <c r="D499" i="95"/>
  <c r="I502" i="95"/>
  <c r="I504" i="95"/>
  <c r="E507" i="95"/>
  <c r="J444" i="95"/>
  <c r="J443" i="95"/>
  <c r="J445" i="95"/>
  <c r="J395" i="95"/>
  <c r="J446" i="95"/>
  <c r="J435" i="95"/>
  <c r="J447" i="95"/>
  <c r="J432" i="95"/>
  <c r="J496" i="95"/>
  <c r="J409" i="95"/>
  <c r="J473" i="95"/>
  <c r="J507" i="95"/>
  <c r="J450" i="95"/>
  <c r="J419" i="95"/>
  <c r="H418" i="95"/>
  <c r="H440" i="95"/>
  <c r="H462" i="95"/>
  <c r="H484" i="95"/>
  <c r="G453" i="95"/>
  <c r="G414" i="95"/>
  <c r="G438" i="95"/>
  <c r="G460" i="95"/>
  <c r="G482" i="95"/>
  <c r="G504" i="95"/>
  <c r="H404" i="95"/>
  <c r="H456" i="95"/>
  <c r="G431" i="95"/>
  <c r="G404" i="95"/>
  <c r="G456" i="95"/>
  <c r="H391" i="95"/>
  <c r="H417" i="95"/>
  <c r="H451" i="95"/>
  <c r="H479" i="95"/>
  <c r="H389" i="95"/>
  <c r="G429" i="95"/>
  <c r="G391" i="95"/>
  <c r="H399" i="95"/>
  <c r="H435" i="95"/>
  <c r="H469" i="95"/>
  <c r="H503" i="95"/>
  <c r="I390" i="95"/>
  <c r="I393" i="95"/>
  <c r="I395" i="95"/>
  <c r="E398" i="95"/>
  <c r="I401" i="95"/>
  <c r="E403" i="95"/>
  <c r="D406" i="95"/>
  <c r="D409" i="95"/>
  <c r="D411" i="95"/>
  <c r="D414" i="95"/>
  <c r="I417" i="95"/>
  <c r="I419" i="95"/>
  <c r="E422" i="95"/>
  <c r="I425" i="95"/>
  <c r="D427" i="95"/>
  <c r="E430" i="95"/>
  <c r="I433" i="95"/>
  <c r="E435" i="95"/>
  <c r="E438" i="95"/>
  <c r="I441" i="95"/>
  <c r="D443" i="95"/>
  <c r="I446" i="95"/>
  <c r="I449" i="95"/>
  <c r="D451" i="95"/>
  <c r="D454" i="95"/>
  <c r="I457" i="95"/>
  <c r="D459" i="95"/>
  <c r="E462" i="95"/>
  <c r="I465" i="95"/>
  <c r="D467" i="95"/>
  <c r="E470" i="95"/>
  <c r="I473" i="95"/>
  <c r="D475" i="95"/>
  <c r="D478" i="95"/>
  <c r="I481" i="95"/>
  <c r="D483" i="95"/>
  <c r="E486" i="95"/>
  <c r="I489" i="95"/>
  <c r="D491" i="95"/>
  <c r="E494" i="95"/>
  <c r="I497" i="95"/>
  <c r="E499" i="95"/>
  <c r="E502" i="95"/>
  <c r="E505" i="95"/>
  <c r="D507" i="95"/>
  <c r="J452" i="95"/>
  <c r="J491" i="95"/>
  <c r="J453" i="95"/>
  <c r="J467" i="95"/>
  <c r="J454" i="95"/>
  <c r="D390" i="95"/>
  <c r="E393" i="95"/>
  <c r="I396" i="95"/>
  <c r="D398" i="95"/>
  <c r="E401" i="95"/>
  <c r="E404" i="95"/>
  <c r="E406" i="95"/>
  <c r="I409" i="95"/>
  <c r="E412" i="95"/>
  <c r="I414" i="95"/>
  <c r="E417" i="95"/>
  <c r="D420" i="95"/>
  <c r="D422" i="95"/>
  <c r="D425" i="95"/>
  <c r="I428" i="95"/>
  <c r="D430" i="95"/>
  <c r="E433" i="95"/>
  <c r="I436" i="95"/>
  <c r="D438" i="95"/>
  <c r="D441" i="95"/>
  <c r="I444" i="95"/>
  <c r="D446" i="95"/>
  <c r="E449" i="95"/>
  <c r="I452" i="95"/>
  <c r="E454" i="95"/>
  <c r="E457" i="95"/>
  <c r="I460" i="95"/>
  <c r="D462" i="95"/>
  <c r="E465" i="95"/>
  <c r="I468" i="95"/>
  <c r="D470" i="95"/>
  <c r="E473" i="95"/>
  <c r="E476" i="95"/>
  <c r="E478" i="95"/>
  <c r="E481" i="95"/>
  <c r="I484" i="95"/>
  <c r="D486" i="95"/>
  <c r="E489" i="95"/>
  <c r="I492" i="95"/>
  <c r="D494" i="95"/>
  <c r="E497" i="95"/>
  <c r="I500" i="95"/>
  <c r="D502" i="95"/>
  <c r="I505" i="95"/>
  <c r="J396" i="95"/>
  <c r="J460" i="95"/>
  <c r="J397" i="95"/>
  <c r="J461" i="95"/>
  <c r="J398" i="95"/>
  <c r="J462" i="95"/>
  <c r="J399" i="95"/>
  <c r="J463" i="95"/>
  <c r="J483" i="95"/>
  <c r="J448" i="95"/>
  <c r="J389" i="95"/>
  <c r="J425" i="95"/>
  <c r="J489" i="95"/>
  <c r="J402" i="95"/>
  <c r="J466" i="95"/>
  <c r="H394" i="95"/>
  <c r="H422" i="95"/>
  <c r="H444" i="95"/>
  <c r="H466" i="95"/>
  <c r="H488" i="95"/>
  <c r="G497" i="95"/>
  <c r="G420" i="95"/>
  <c r="G442" i="95"/>
  <c r="G464" i="95"/>
  <c r="G486" i="95"/>
  <c r="G479" i="95"/>
  <c r="H416" i="95"/>
  <c r="H474" i="95"/>
  <c r="G481" i="95"/>
  <c r="G416" i="95"/>
  <c r="G474" i="95"/>
  <c r="H397" i="95"/>
  <c r="H429" i="95"/>
  <c r="H457" i="95"/>
  <c r="H485" i="95"/>
  <c r="G397" i="95"/>
  <c r="G447" i="95"/>
  <c r="G423" i="95"/>
  <c r="H407" i="95"/>
  <c r="H439" i="95"/>
  <c r="I391" i="95"/>
  <c r="D393" i="95"/>
  <c r="E396" i="95"/>
  <c r="I399" i="95"/>
  <c r="D401" i="95"/>
  <c r="I404" i="95"/>
  <c r="E407" i="95"/>
  <c r="E409" i="95"/>
  <c r="I412" i="95"/>
  <c r="I415" i="95"/>
  <c r="D417" i="95"/>
  <c r="E420" i="95"/>
  <c r="E423" i="95"/>
  <c r="E425" i="95"/>
  <c r="E428" i="95"/>
  <c r="I431" i="95"/>
  <c r="D433" i="95"/>
  <c r="E436" i="95"/>
  <c r="I439" i="95"/>
  <c r="E441" i="95"/>
  <c r="E444" i="95"/>
  <c r="I447" i="95"/>
  <c r="D449" i="95"/>
  <c r="E452" i="95"/>
  <c r="I455" i="95"/>
  <c r="D457" i="95"/>
  <c r="E460" i="95"/>
  <c r="E463" i="95"/>
  <c r="D465" i="95"/>
  <c r="E468" i="95"/>
  <c r="I471" i="95"/>
  <c r="D473" i="95"/>
  <c r="I476" i="95"/>
  <c r="I479" i="95"/>
  <c r="D481" i="95"/>
  <c r="E484" i="95"/>
  <c r="I487" i="95"/>
  <c r="D489" i="95"/>
  <c r="E492" i="95"/>
  <c r="I495" i="95"/>
  <c r="D497" i="95"/>
  <c r="E500" i="95"/>
  <c r="I503" i="95"/>
  <c r="D505" i="95"/>
  <c r="J404" i="95"/>
  <c r="J468" i="95"/>
  <c r="J405" i="95"/>
  <c r="J469" i="95"/>
  <c r="J406" i="95"/>
  <c r="J470" i="95"/>
  <c r="J407" i="95"/>
  <c r="J471" i="95"/>
  <c r="J392" i="95"/>
  <c r="J456" i="95"/>
  <c r="J403" i="95"/>
  <c r="J433" i="95"/>
  <c r="J497" i="95"/>
  <c r="J410" i="95"/>
  <c r="J474" i="95"/>
  <c r="H398" i="95"/>
  <c r="H424" i="95"/>
  <c r="H448" i="95"/>
  <c r="H470" i="95"/>
  <c r="H490" i="95"/>
  <c r="G394" i="95"/>
  <c r="G422" i="95"/>
  <c r="G444" i="95"/>
  <c r="G466" i="95"/>
  <c r="G488" i="95"/>
  <c r="G507" i="95"/>
  <c r="H426" i="95"/>
  <c r="H476" i="95"/>
  <c r="G493" i="95"/>
  <c r="G426" i="95"/>
  <c r="G476" i="95"/>
  <c r="H401" i="95"/>
  <c r="H431" i="95"/>
  <c r="H459" i="95"/>
  <c r="H487" i="95"/>
  <c r="G401" i="95"/>
  <c r="G457" i="95"/>
  <c r="G433" i="95"/>
  <c r="H411" i="95"/>
  <c r="G505" i="95"/>
  <c r="G471" i="95"/>
  <c r="G437" i="95"/>
  <c r="G405" i="95"/>
  <c r="H491" i="95"/>
  <c r="H443" i="95"/>
  <c r="G389" i="95"/>
  <c r="H481" i="95"/>
  <c r="H403" i="95"/>
  <c r="G402" i="95"/>
  <c r="H412" i="95"/>
  <c r="G470" i="95"/>
  <c r="H492" i="95"/>
  <c r="H406" i="95"/>
  <c r="J441" i="95"/>
  <c r="J413" i="95"/>
  <c r="D492" i="95"/>
  <c r="E471" i="95"/>
  <c r="I450" i="95"/>
  <c r="D428" i="95"/>
  <c r="D407" i="95"/>
  <c r="G503" i="95"/>
  <c r="G469" i="95"/>
  <c r="G435" i="95"/>
  <c r="G399" i="95"/>
  <c r="H489" i="95"/>
  <c r="H437" i="95"/>
  <c r="G465" i="95"/>
  <c r="H477" i="95"/>
  <c r="H395" i="95"/>
  <c r="G392" i="95"/>
  <c r="H402" i="95"/>
  <c r="G462" i="95"/>
  <c r="H486" i="95"/>
  <c r="J475" i="95"/>
  <c r="J417" i="95"/>
  <c r="J479" i="95"/>
  <c r="J476" i="95"/>
  <c r="I490" i="95"/>
  <c r="D468" i="95"/>
  <c r="E447" i="95"/>
  <c r="I426" i="95"/>
  <c r="D404" i="95"/>
  <c r="G501" i="95"/>
  <c r="G467" i="95"/>
  <c r="G427" i="95"/>
  <c r="G393" i="95"/>
  <c r="H483" i="95"/>
  <c r="H427" i="95"/>
  <c r="G441" i="95"/>
  <c r="H461" i="95"/>
  <c r="G506" i="95"/>
  <c r="G459" i="95"/>
  <c r="H392" i="95"/>
  <c r="G448" i="95"/>
  <c r="H472" i="95"/>
  <c r="J482" i="95"/>
  <c r="J451" i="95"/>
  <c r="J455" i="95"/>
  <c r="J412" i="95"/>
  <c r="E487" i="95"/>
  <c r="I466" i="95"/>
  <c r="D444" i="95"/>
  <c r="D423" i="95"/>
  <c r="I402" i="95"/>
  <c r="G499" i="95"/>
  <c r="G463" i="95"/>
  <c r="G425" i="95"/>
  <c r="H390" i="95"/>
  <c r="H475" i="95"/>
  <c r="H419" i="95"/>
  <c r="G417" i="95"/>
  <c r="H453" i="95"/>
  <c r="G494" i="95"/>
  <c r="H506" i="95"/>
  <c r="G451" i="95"/>
  <c r="G440" i="95"/>
  <c r="H464" i="95"/>
  <c r="J458" i="95"/>
  <c r="J504" i="95"/>
  <c r="J415" i="95"/>
  <c r="I506" i="95"/>
  <c r="D484" i="95"/>
  <c r="D463" i="95"/>
  <c r="I442" i="95"/>
  <c r="I420" i="95"/>
  <c r="E399" i="95"/>
  <c r="G491" i="95"/>
  <c r="G455" i="95"/>
  <c r="G421" i="95"/>
  <c r="H471" i="95"/>
  <c r="H405" i="95"/>
  <c r="G403" i="95"/>
  <c r="H449" i="95"/>
  <c r="G468" i="95"/>
  <c r="H494" i="95"/>
  <c r="G500" i="95"/>
  <c r="G424" i="95"/>
  <c r="H452" i="95"/>
  <c r="J418" i="95"/>
  <c r="J464" i="95"/>
  <c r="J391" i="95"/>
  <c r="E503" i="95"/>
  <c r="I482" i="95"/>
  <c r="D460" i="95"/>
  <c r="E439" i="95"/>
  <c r="I418" i="95"/>
  <c r="D396" i="95"/>
  <c r="G495" i="95"/>
  <c r="G489" i="95"/>
  <c r="G445" i="95"/>
  <c r="G419" i="95"/>
  <c r="H505" i="95"/>
  <c r="H467" i="95"/>
  <c r="H393" i="95"/>
  <c r="G395" i="95"/>
  <c r="H433" i="95"/>
  <c r="G450" i="95"/>
  <c r="H468" i="95"/>
  <c r="G490" i="95"/>
  <c r="G418" i="95"/>
  <c r="H442" i="95"/>
  <c r="J394" i="95"/>
  <c r="J440" i="95"/>
  <c r="J478" i="95"/>
  <c r="D500" i="95"/>
  <c r="D479" i="95"/>
  <c r="I458" i="95"/>
  <c r="D436" i="95"/>
  <c r="D415" i="95"/>
  <c r="D394" i="95"/>
  <c r="G390" i="95"/>
  <c r="G483" i="95"/>
  <c r="G443" i="95"/>
  <c r="G411" i="95"/>
  <c r="H501" i="95"/>
  <c r="H455" i="95"/>
  <c r="G449" i="95"/>
  <c r="H507" i="95"/>
  <c r="H423" i="95"/>
  <c r="G428" i="95"/>
  <c r="H450" i="95"/>
  <c r="G484" i="95"/>
  <c r="G398" i="95"/>
  <c r="H432" i="95"/>
  <c r="J505" i="95"/>
  <c r="J400" i="95"/>
  <c r="J414" i="95"/>
  <c r="I498" i="95"/>
  <c r="D476" i="95"/>
  <c r="E455" i="95"/>
  <c r="I434" i="95"/>
  <c r="D412" i="95"/>
  <c r="E391" i="95"/>
  <c r="I971" i="95"/>
  <c r="G972" i="95"/>
  <c r="J971" i="95"/>
  <c r="I972" i="95"/>
  <c r="J972" i="95"/>
  <c r="I973" i="95"/>
  <c r="D22" i="83"/>
  <c r="G970" i="95"/>
  <c r="I970" i="95"/>
  <c r="D973" i="95"/>
  <c r="N31" i="72"/>
  <c r="E973" i="95"/>
  <c r="G973" i="95"/>
  <c r="D972" i="95"/>
  <c r="D971" i="95"/>
  <c r="E971" i="95"/>
  <c r="G971" i="95"/>
  <c r="J973" i="95"/>
  <c r="G985" i="95"/>
  <c r="G22" i="83"/>
  <c r="I1017" i="95"/>
  <c r="J1127" i="95"/>
  <c r="I991" i="95"/>
  <c r="E158" i="72"/>
  <c r="D1099" i="95"/>
  <c r="I1128" i="95"/>
  <c r="J1026" i="95"/>
  <c r="E982" i="95"/>
  <c r="D1063" i="95"/>
  <c r="E1089" i="95"/>
  <c r="AB582" i="27"/>
  <c r="J976" i="95"/>
  <c r="E1028" i="95"/>
  <c r="G1106" i="95"/>
  <c r="D1100" i="95"/>
  <c r="J1061" i="95"/>
  <c r="E1120" i="95"/>
  <c r="I1096" i="95"/>
  <c r="G1109" i="95"/>
  <c r="E991" i="95"/>
  <c r="I984" i="95"/>
  <c r="J1055" i="95"/>
  <c r="E1044" i="95"/>
  <c r="E1121" i="95"/>
  <c r="J1096" i="95"/>
  <c r="J1078" i="95"/>
  <c r="I1030" i="95"/>
  <c r="I1027" i="95"/>
  <c r="G1056" i="95"/>
  <c r="E1109" i="95"/>
  <c r="D1118" i="95"/>
  <c r="J1070" i="95"/>
  <c r="I981" i="95"/>
  <c r="J1082" i="95"/>
  <c r="G1130" i="95"/>
  <c r="J1117" i="95"/>
  <c r="E1135" i="95"/>
  <c r="D1121" i="95"/>
  <c r="J1032" i="95"/>
  <c r="D975" i="95"/>
  <c r="G1007" i="95"/>
  <c r="E1105" i="95"/>
  <c r="D1090" i="95"/>
  <c r="D1049" i="95"/>
  <c r="I1047" i="95"/>
  <c r="E1075" i="95"/>
  <c r="I1119" i="95"/>
  <c r="E1066" i="95"/>
  <c r="D980" i="95"/>
  <c r="I1070" i="95"/>
  <c r="I986" i="95"/>
  <c r="G1039" i="95"/>
  <c r="E1052" i="95"/>
  <c r="E1067" i="95"/>
  <c r="D1046" i="95"/>
  <c r="I1107" i="95"/>
  <c r="J1113" i="95"/>
  <c r="G1008" i="95"/>
  <c r="J1067" i="95"/>
  <c r="J1139" i="95"/>
  <c r="I1134" i="95"/>
  <c r="D1000" i="95"/>
  <c r="J1036" i="95"/>
  <c r="D1065" i="95"/>
  <c r="E1023" i="95"/>
  <c r="I998" i="95"/>
  <c r="G1051" i="95"/>
  <c r="D1056" i="95"/>
  <c r="D1117" i="95"/>
  <c r="E1058" i="95"/>
  <c r="E1047" i="95"/>
  <c r="I1110" i="95"/>
  <c r="E1080" i="95"/>
  <c r="I1099" i="95"/>
  <c r="E1128" i="95"/>
  <c r="G990" i="95"/>
  <c r="G1097" i="95"/>
  <c r="D1102" i="95"/>
  <c r="J1108" i="95"/>
  <c r="I1094" i="95"/>
  <c r="G983" i="95"/>
  <c r="D1011" i="95"/>
  <c r="D1082" i="95"/>
  <c r="AU285" i="60"/>
  <c r="AU282" i="60"/>
  <c r="AB455" i="27"/>
  <c r="AU270" i="60"/>
  <c r="AB454" i="27"/>
  <c r="AB524" i="27"/>
  <c r="AU276" i="60"/>
  <c r="AU278" i="60"/>
  <c r="AB458" i="27"/>
  <c r="AU263" i="60"/>
  <c r="G979" i="95"/>
  <c r="I977" i="95"/>
  <c r="E976" i="95"/>
  <c r="I975" i="95"/>
  <c r="G1077" i="95"/>
  <c r="G1065" i="95"/>
  <c r="D1009" i="95"/>
  <c r="D1030" i="95"/>
  <c r="E1007" i="95"/>
  <c r="D1125" i="95"/>
  <c r="D992" i="95"/>
  <c r="D1097" i="95"/>
  <c r="J1075" i="95"/>
  <c r="I1022" i="95"/>
  <c r="J989" i="95"/>
  <c r="G1001" i="95"/>
  <c r="G1135" i="95"/>
  <c r="E1133" i="95"/>
  <c r="E1092" i="95"/>
  <c r="E1014" i="95"/>
  <c r="D1139" i="95"/>
  <c r="J1008" i="95"/>
  <c r="G1113" i="95"/>
  <c r="G1123" i="95"/>
  <c r="D1067" i="95"/>
  <c r="I1068" i="95"/>
  <c r="E1032" i="95"/>
  <c r="G1080" i="95"/>
  <c r="D1128" i="95"/>
  <c r="J1046" i="95"/>
  <c r="I1052" i="95"/>
  <c r="E996" i="95"/>
  <c r="I1064" i="95"/>
  <c r="D1005" i="95"/>
  <c r="J1121" i="95"/>
  <c r="I1029" i="95"/>
  <c r="I1106" i="95"/>
  <c r="E1019" i="95"/>
  <c r="D1074" i="95"/>
  <c r="J1024" i="95"/>
  <c r="J1101" i="95"/>
  <c r="I1001" i="95"/>
  <c r="D1115" i="95"/>
  <c r="J1081" i="95"/>
  <c r="G1045" i="95"/>
  <c r="I1066" i="95"/>
  <c r="D1123" i="95"/>
  <c r="E1021" i="95"/>
  <c r="G1074" i="95"/>
  <c r="E1097" i="95"/>
  <c r="E1031" i="95"/>
  <c r="D1054" i="95"/>
  <c r="E1123" i="95"/>
  <c r="G1088" i="95"/>
  <c r="E1137" i="95"/>
  <c r="J1007" i="95"/>
  <c r="E1064" i="95"/>
  <c r="D1015" i="95"/>
  <c r="E1074" i="95"/>
  <c r="G1095" i="95"/>
  <c r="D1008" i="95"/>
  <c r="I1075" i="95"/>
  <c r="J1128" i="95"/>
  <c r="E1049" i="95"/>
  <c r="E1003" i="95"/>
  <c r="D1058" i="95"/>
  <c r="E1117" i="95"/>
  <c r="E980" i="95"/>
  <c r="I1103" i="95"/>
  <c r="E1016" i="95"/>
  <c r="G1069" i="95"/>
  <c r="E988" i="95"/>
  <c r="I1044" i="95"/>
  <c r="D1101" i="95"/>
  <c r="D996" i="95"/>
  <c r="D1112" i="95"/>
  <c r="J1123" i="95"/>
  <c r="J1090" i="95"/>
  <c r="J1105" i="95"/>
  <c r="E1103" i="95"/>
  <c r="J1071" i="95"/>
  <c r="G1072" i="95"/>
  <c r="J1037" i="95"/>
  <c r="D1040" i="95"/>
  <c r="G1137" i="95"/>
  <c r="G1010" i="95"/>
  <c r="D1013" i="95"/>
  <c r="J1010" i="95"/>
  <c r="J1043" i="95"/>
  <c r="J1044" i="95"/>
  <c r="J1029" i="95"/>
  <c r="G1064" i="95"/>
  <c r="D1051" i="95"/>
  <c r="G1082" i="95"/>
  <c r="J991" i="95"/>
  <c r="I1125" i="95"/>
  <c r="I1016" i="95"/>
  <c r="D1120" i="95"/>
  <c r="I1063" i="95"/>
  <c r="J1040" i="95"/>
  <c r="D1133" i="95"/>
  <c r="J1063" i="95"/>
  <c r="J1051" i="95"/>
  <c r="E1045" i="95"/>
  <c r="I1038" i="95"/>
  <c r="I1084" i="95"/>
  <c r="I1130" i="95"/>
  <c r="I1053" i="95"/>
  <c r="E1034" i="95"/>
  <c r="J1014" i="95"/>
  <c r="E1002" i="95"/>
  <c r="I995" i="95"/>
  <c r="E1043" i="95"/>
  <c r="D1035" i="95"/>
  <c r="D1014" i="95"/>
  <c r="I1093" i="95"/>
  <c r="D1130" i="95"/>
  <c r="I1061" i="95"/>
  <c r="J1110" i="95"/>
  <c r="J1001" i="95"/>
  <c r="J1047" i="95"/>
  <c r="E1129" i="95"/>
  <c r="J1005" i="95"/>
  <c r="D1087" i="95"/>
  <c r="D1043" i="95"/>
  <c r="D1089" i="95"/>
  <c r="D1012" i="95"/>
  <c r="G1005" i="95"/>
  <c r="I1054" i="95"/>
  <c r="J1087" i="95"/>
  <c r="J1066" i="95"/>
  <c r="D1104" i="95"/>
  <c r="G993" i="95"/>
  <c r="E985" i="95"/>
  <c r="G1079" i="95"/>
  <c r="G1002" i="95"/>
  <c r="J1038" i="95"/>
  <c r="G1019" i="95"/>
  <c r="D1032" i="95"/>
  <c r="I1086" i="95"/>
  <c r="G1037" i="95"/>
  <c r="J1135" i="95"/>
  <c r="E1026" i="95"/>
  <c r="E1071" i="95"/>
  <c r="G1125" i="95"/>
  <c r="I1007" i="95"/>
  <c r="J1018" i="95"/>
  <c r="D1027" i="95"/>
  <c r="E1000" i="95"/>
  <c r="E1054" i="95"/>
  <c r="E1008" i="95"/>
  <c r="J1126" i="95"/>
  <c r="G992" i="95"/>
  <c r="I1088" i="95"/>
  <c r="G1138" i="95"/>
  <c r="D1110" i="95"/>
  <c r="G980" i="95"/>
  <c r="I988" i="95"/>
  <c r="I1077" i="95"/>
  <c r="J1009" i="95"/>
  <c r="G1016" i="95"/>
  <c r="J1072" i="95"/>
  <c r="E1011" i="95"/>
  <c r="I1071" i="95"/>
  <c r="D976" i="95"/>
  <c r="I978" i="95"/>
  <c r="G1081" i="95"/>
  <c r="J1112" i="95"/>
  <c r="G1115" i="95"/>
  <c r="E1113" i="95"/>
  <c r="D988" i="95"/>
  <c r="I990" i="95"/>
  <c r="E1132" i="95"/>
  <c r="I1008" i="95"/>
  <c r="J996" i="95"/>
  <c r="J1094" i="95"/>
  <c r="E1094" i="95"/>
  <c r="I983" i="95"/>
  <c r="D1119" i="95"/>
  <c r="J1065" i="95"/>
  <c r="G1009" i="95"/>
  <c r="J1138" i="95"/>
  <c r="E1077" i="95"/>
  <c r="I1009" i="95"/>
  <c r="G1098" i="95"/>
  <c r="G989" i="95"/>
  <c r="J982" i="95"/>
  <c r="G1030" i="95"/>
  <c r="G1076" i="95"/>
  <c r="G1055" i="95"/>
  <c r="J1080" i="95"/>
  <c r="G1061" i="95"/>
  <c r="J1048" i="95"/>
  <c r="D1098" i="95"/>
  <c r="D989" i="95"/>
  <c r="J980" i="95"/>
  <c r="G1116" i="95"/>
  <c r="D993" i="95"/>
  <c r="G1018" i="95"/>
  <c r="I1136" i="95"/>
  <c r="D1055" i="95"/>
  <c r="E1104" i="95"/>
  <c r="D1096" i="95"/>
  <c r="D1075" i="95"/>
  <c r="E1108" i="95"/>
  <c r="G1099" i="95"/>
  <c r="J988" i="95"/>
  <c r="J1034" i="95"/>
  <c r="G1114" i="95"/>
  <c r="J1107" i="95"/>
  <c r="J998" i="95"/>
  <c r="I1033" i="95"/>
  <c r="J1060" i="95"/>
  <c r="J1049" i="95"/>
  <c r="J1095" i="95"/>
  <c r="G1033" i="95"/>
  <c r="E1025" i="95"/>
  <c r="J1104" i="95"/>
  <c r="D983" i="95"/>
  <c r="D1066" i="95"/>
  <c r="D1031" i="95"/>
  <c r="E984" i="95"/>
  <c r="J990" i="95"/>
  <c r="I1117" i="95"/>
  <c r="J1030" i="95"/>
  <c r="D1127" i="95"/>
  <c r="G1042" i="95"/>
  <c r="D985" i="95"/>
  <c r="D1073" i="95"/>
  <c r="E1081" i="95"/>
  <c r="I997" i="95"/>
  <c r="G1108" i="95"/>
  <c r="I1116" i="95"/>
  <c r="E1040" i="95"/>
  <c r="G1035" i="95"/>
  <c r="D1042" i="95"/>
  <c r="E1038" i="95"/>
  <c r="G1087" i="95"/>
  <c r="I1034" i="95"/>
  <c r="J1042" i="95"/>
  <c r="G1093" i="95"/>
  <c r="D1064" i="95"/>
  <c r="E1072" i="95"/>
  <c r="D991" i="95"/>
  <c r="G1105" i="95"/>
  <c r="I1003" i="95"/>
  <c r="G977" i="95"/>
  <c r="G976" i="95"/>
  <c r="E979" i="95"/>
  <c r="E1027" i="95"/>
  <c r="D1025" i="95"/>
  <c r="I1059" i="95"/>
  <c r="D1059" i="95"/>
  <c r="G1090" i="95"/>
  <c r="D1093" i="95"/>
  <c r="D1078" i="95"/>
  <c r="D1111" i="95"/>
  <c r="E1099" i="95"/>
  <c r="D1039" i="95"/>
  <c r="J985" i="95"/>
  <c r="D1086" i="95"/>
  <c r="E1063" i="95"/>
  <c r="D1010" i="95"/>
  <c r="J1111" i="95"/>
  <c r="I1042" i="95"/>
  <c r="G1021" i="95"/>
  <c r="J1057" i="95"/>
  <c r="I1010" i="95"/>
  <c r="D1036" i="95"/>
  <c r="E1085" i="95"/>
  <c r="J1132" i="95"/>
  <c r="E1022" i="95"/>
  <c r="E1001" i="95"/>
  <c r="I1082" i="95"/>
  <c r="I1005" i="95"/>
  <c r="I1137" i="95"/>
  <c r="E1042" i="95"/>
  <c r="G1091" i="95"/>
  <c r="D1029" i="95"/>
  <c r="E1062" i="95"/>
  <c r="E1041" i="95"/>
  <c r="E1030" i="95"/>
  <c r="E1076" i="95"/>
  <c r="E999" i="95"/>
  <c r="G1048" i="95"/>
  <c r="J1041" i="95"/>
  <c r="J1020" i="95"/>
  <c r="J999" i="95"/>
  <c r="I1043" i="95"/>
  <c r="E1091" i="95"/>
  <c r="I980" i="95"/>
  <c r="D1129" i="95"/>
  <c r="D1052" i="95"/>
  <c r="E1101" i="95"/>
  <c r="G1128" i="95"/>
  <c r="I1006" i="95"/>
  <c r="D994" i="95"/>
  <c r="I1041" i="95"/>
  <c r="I1081" i="95"/>
  <c r="I1127" i="95"/>
  <c r="E1004" i="95"/>
  <c r="D1132" i="95"/>
  <c r="E1010" i="95"/>
  <c r="E1046" i="95"/>
  <c r="G1038" i="95"/>
  <c r="I1046" i="95"/>
  <c r="E1086" i="95"/>
  <c r="J1073" i="95"/>
  <c r="J1033" i="95"/>
  <c r="E1059" i="95"/>
  <c r="I1021" i="95"/>
  <c r="G1058" i="95"/>
  <c r="D1033" i="95"/>
  <c r="D982" i="95"/>
  <c r="D1006" i="95"/>
  <c r="G1068" i="95"/>
  <c r="I1135" i="95"/>
  <c r="I1089" i="95"/>
  <c r="J1097" i="95"/>
  <c r="J995" i="95"/>
  <c r="D1124" i="95"/>
  <c r="D1020" i="95"/>
  <c r="I994" i="95"/>
  <c r="E1006" i="95"/>
  <c r="J1015" i="95"/>
  <c r="G1126" i="95"/>
  <c r="G1107" i="95"/>
  <c r="G1060" i="95"/>
  <c r="G1133" i="95"/>
  <c r="D979" i="95"/>
  <c r="I1129" i="95"/>
  <c r="G1127" i="95"/>
  <c r="J1003" i="95"/>
  <c r="J1004" i="95"/>
  <c r="I1002" i="95"/>
  <c r="E1037" i="95"/>
  <c r="J1023" i="95"/>
  <c r="E1055" i="95"/>
  <c r="D1045" i="95"/>
  <c r="E983" i="95"/>
  <c r="E1088" i="95"/>
  <c r="J1031" i="95"/>
  <c r="E1138" i="95"/>
  <c r="G1112" i="95"/>
  <c r="I1057" i="95"/>
  <c r="G988" i="95"/>
  <c r="D1068" i="95"/>
  <c r="D1002" i="95"/>
  <c r="D1113" i="95"/>
  <c r="I1138" i="95"/>
  <c r="G1029" i="95"/>
  <c r="I1078" i="95"/>
  <c r="G1070" i="95"/>
  <c r="G1049" i="95"/>
  <c r="G1028" i="95"/>
  <c r="G1017" i="95"/>
  <c r="G1063" i="95"/>
  <c r="G986" i="95"/>
  <c r="I1035" i="95"/>
  <c r="G1131" i="95"/>
  <c r="G1110" i="95"/>
  <c r="D987" i="95"/>
  <c r="I1132" i="95"/>
  <c r="D1022" i="95"/>
  <c r="I1101" i="95"/>
  <c r="D1095" i="95"/>
  <c r="D986" i="95"/>
  <c r="D1069" i="95"/>
  <c r="D1048" i="95"/>
  <c r="J987" i="95"/>
  <c r="D1037" i="95"/>
  <c r="D1083" i="95"/>
  <c r="J1074" i="95"/>
  <c r="E1136" i="95"/>
  <c r="I989" i="95"/>
  <c r="I1072" i="95"/>
  <c r="D1109" i="95"/>
  <c r="G1096" i="95"/>
  <c r="J1089" i="95"/>
  <c r="G1027" i="95"/>
  <c r="G1073" i="95"/>
  <c r="E998" i="95"/>
  <c r="G1031" i="95"/>
  <c r="I1112" i="95"/>
  <c r="I1114" i="95"/>
  <c r="E990" i="95"/>
  <c r="J1100" i="95"/>
  <c r="G1100" i="95"/>
  <c r="J1079" i="95"/>
  <c r="D1088" i="95"/>
  <c r="E1015" i="95"/>
  <c r="G1013" i="95"/>
  <c r="E1114" i="95"/>
  <c r="D990" i="95"/>
  <c r="I1139" i="95"/>
  <c r="I1045" i="95"/>
  <c r="I1122" i="95"/>
  <c r="G1054" i="95"/>
  <c r="G1041" i="95"/>
  <c r="G995" i="95"/>
  <c r="E1065" i="95"/>
  <c r="J1115" i="95"/>
  <c r="I1131" i="95"/>
  <c r="D1017" i="95"/>
  <c r="J1006" i="95"/>
  <c r="D1070" i="95"/>
  <c r="D1024" i="95"/>
  <c r="D1023" i="95"/>
  <c r="G994" i="95"/>
  <c r="E1057" i="95"/>
  <c r="I976" i="95"/>
  <c r="E975" i="95"/>
  <c r="E974" i="95"/>
  <c r="I979" i="95"/>
  <c r="G1075" i="95"/>
  <c r="E1073" i="95"/>
  <c r="E1106" i="95"/>
  <c r="E1107" i="95"/>
  <c r="D1105" i="95"/>
  <c r="G981" i="95"/>
  <c r="E1126" i="95"/>
  <c r="G1139" i="95"/>
  <c r="E989" i="95"/>
  <c r="I1085" i="95"/>
  <c r="G1032" i="95"/>
  <c r="E1134" i="95"/>
  <c r="J1077" i="95"/>
  <c r="I1056" i="95"/>
  <c r="G1003" i="95"/>
  <c r="I1036" i="95"/>
  <c r="J1136" i="95"/>
  <c r="G1104" i="95"/>
  <c r="I1004" i="95"/>
  <c r="I1050" i="95"/>
  <c r="J1131" i="95"/>
  <c r="J1022" i="95"/>
  <c r="I1118" i="95"/>
  <c r="E995" i="95"/>
  <c r="J1130" i="95"/>
  <c r="J1119" i="95"/>
  <c r="E1009" i="95"/>
  <c r="J1088" i="95"/>
  <c r="G1026" i="95"/>
  <c r="J1019" i="95"/>
  <c r="E1056" i="95"/>
  <c r="E1035" i="95"/>
  <c r="G1078" i="95"/>
  <c r="G1124" i="95"/>
  <c r="J1013" i="95"/>
  <c r="E1039" i="95"/>
  <c r="I1032" i="95"/>
  <c r="E1013" i="95"/>
  <c r="J993" i="95"/>
  <c r="E1090" i="95"/>
  <c r="E981" i="95"/>
  <c r="E1131" i="95"/>
  <c r="I1020" i="95"/>
  <c r="G1012" i="95"/>
  <c r="G991" i="95"/>
  <c r="J1016" i="95"/>
  <c r="E1053" i="95"/>
  <c r="I1040" i="95"/>
  <c r="D1034" i="95"/>
  <c r="J1129" i="95"/>
  <c r="I1121" i="95"/>
  <c r="I1100" i="95"/>
  <c r="J1133" i="95"/>
  <c r="J1056" i="95"/>
  <c r="J1116" i="95"/>
  <c r="G1044" i="95"/>
  <c r="G998" i="95"/>
  <c r="E1012" i="95"/>
  <c r="D1134" i="95"/>
  <c r="I985" i="95"/>
  <c r="J983" i="95"/>
  <c r="D1061" i="95"/>
  <c r="J1011" i="95"/>
  <c r="G1086" i="95"/>
  <c r="E1005" i="95"/>
  <c r="G1101" i="95"/>
  <c r="E1020" i="95"/>
  <c r="G1053" i="95"/>
  <c r="I1095" i="95"/>
  <c r="I1049" i="95"/>
  <c r="G1024" i="95"/>
  <c r="J1076" i="95"/>
  <c r="E1029" i="95"/>
  <c r="I1069" i="95"/>
  <c r="I1074" i="95"/>
  <c r="E1124" i="95"/>
  <c r="E1078" i="95"/>
  <c r="G1111" i="95"/>
  <c r="I1062" i="95"/>
  <c r="G1071" i="95"/>
  <c r="J977" i="95"/>
  <c r="D977" i="95"/>
  <c r="J978" i="95"/>
  <c r="I1019" i="95"/>
  <c r="D1019" i="95"/>
  <c r="G1050" i="95"/>
  <c r="D1053" i="95"/>
  <c r="J1050" i="95"/>
  <c r="J1083" i="95"/>
  <c r="D1072" i="95"/>
  <c r="D1057" i="95"/>
  <c r="I1091" i="95"/>
  <c r="J997" i="95"/>
  <c r="J1134" i="95"/>
  <c r="D1080" i="95"/>
  <c r="I1023" i="95"/>
  <c r="J1000" i="95"/>
  <c r="D1050" i="95"/>
  <c r="G982" i="95"/>
  <c r="J1069" i="95"/>
  <c r="I1048" i="95"/>
  <c r="D1107" i="95"/>
  <c r="G996" i="95"/>
  <c r="D1076" i="95"/>
  <c r="I1013" i="95"/>
  <c r="J1062" i="95"/>
  <c r="I1097" i="95"/>
  <c r="G1022" i="95"/>
  <c r="I1065" i="95"/>
  <c r="I1111" i="95"/>
  <c r="D1001" i="95"/>
  <c r="D1041" i="95"/>
  <c r="E1122" i="95"/>
  <c r="G1000" i="95"/>
  <c r="D981" i="95"/>
  <c r="E1024" i="95"/>
  <c r="E1070" i="95"/>
  <c r="D1062" i="95"/>
  <c r="J1053" i="95"/>
  <c r="D1135" i="95"/>
  <c r="J1059" i="95"/>
  <c r="E1096" i="95"/>
  <c r="G1034" i="95"/>
  <c r="I1083" i="95"/>
  <c r="D1077" i="95"/>
  <c r="J1068" i="95"/>
  <c r="J1114" i="95"/>
  <c r="J1093" i="95"/>
  <c r="E1119" i="95"/>
  <c r="G997" i="95"/>
  <c r="E1087" i="95"/>
  <c r="I1080" i="95"/>
  <c r="E1018" i="95"/>
  <c r="I1011" i="95"/>
  <c r="G1046" i="95"/>
  <c r="I1079" i="95"/>
  <c r="G1136" i="95"/>
  <c r="E1036" i="95"/>
  <c r="I1098" i="95"/>
  <c r="J1106" i="95"/>
  <c r="G1020" i="95"/>
  <c r="I1031" i="95"/>
  <c r="J1039" i="95"/>
  <c r="J1086" i="95"/>
  <c r="E1115" i="95"/>
  <c r="I1067" i="95"/>
  <c r="D1071" i="95"/>
  <c r="E1048" i="95"/>
  <c r="D999" i="95"/>
  <c r="G1134" i="95"/>
  <c r="J1125" i="95"/>
  <c r="E993" i="95"/>
  <c r="J1103" i="95"/>
  <c r="I1037" i="95"/>
  <c r="D1131" i="95"/>
  <c r="D1085" i="95"/>
  <c r="G1092" i="95"/>
  <c r="E1111" i="95"/>
  <c r="J1021" i="95"/>
  <c r="G1132" i="95"/>
  <c r="I1113" i="95"/>
  <c r="E1051" i="95"/>
  <c r="E1069" i="95"/>
  <c r="E977" i="95"/>
  <c r="I974" i="95"/>
  <c r="D978" i="95"/>
  <c r="D1122" i="95"/>
  <c r="G1121" i="95"/>
  <c r="E1139" i="95"/>
  <c r="E997" i="95"/>
  <c r="I996" i="95"/>
  <c r="D1028" i="95"/>
  <c r="J1017" i="95"/>
  <c r="J1002" i="95"/>
  <c r="J1035" i="95"/>
  <c r="E1100" i="95"/>
  <c r="D1079" i="95"/>
  <c r="J1025" i="95"/>
  <c r="D1126" i="95"/>
  <c r="G1015" i="95"/>
  <c r="E994" i="95"/>
  <c r="J1084" i="95"/>
  <c r="I1015" i="95"/>
  <c r="E1095" i="95"/>
  <c r="J1052" i="95"/>
  <c r="J1098" i="95"/>
  <c r="G1036" i="95"/>
  <c r="D1116" i="95"/>
  <c r="D1007" i="95"/>
  <c r="G1043" i="95"/>
  <c r="J1124" i="95"/>
  <c r="G1011" i="95"/>
  <c r="G1057" i="95"/>
  <c r="D995" i="95"/>
  <c r="J986" i="95"/>
  <c r="G1066" i="95"/>
  <c r="D1047" i="95"/>
  <c r="G1083" i="95"/>
  <c r="I1126" i="95"/>
  <c r="D1016" i="95"/>
  <c r="E1110" i="95"/>
  <c r="I999" i="95"/>
  <c r="E1079" i="95"/>
  <c r="D1004" i="95"/>
  <c r="G1040" i="95"/>
  <c r="D1137" i="95"/>
  <c r="E1130" i="95"/>
  <c r="I1123" i="95"/>
  <c r="I1014" i="95"/>
  <c r="G1006" i="95"/>
  <c r="I1039" i="95"/>
  <c r="I1018" i="95"/>
  <c r="J1099" i="95"/>
  <c r="G999" i="95"/>
  <c r="E1127" i="95"/>
  <c r="I1120" i="95"/>
  <c r="D1114" i="95"/>
  <c r="E992" i="95"/>
  <c r="G1025" i="95"/>
  <c r="D1060" i="95"/>
  <c r="D1084" i="95"/>
  <c r="G1004" i="95"/>
  <c r="G1023" i="95"/>
  <c r="J1085" i="95"/>
  <c r="D1094" i="95"/>
  <c r="I1102" i="95"/>
  <c r="J1012" i="95"/>
  <c r="D1021" i="95"/>
  <c r="G984" i="95"/>
  <c r="G1102" i="95"/>
  <c r="J1054" i="95"/>
  <c r="D984" i="95"/>
  <c r="D1136" i="95"/>
  <c r="G1047" i="95"/>
  <c r="I1055" i="95"/>
  <c r="I1108" i="95"/>
  <c r="I1028" i="95"/>
  <c r="I982" i="95"/>
  <c r="G1119" i="95"/>
  <c r="D1103" i="95"/>
  <c r="I1109" i="95"/>
  <c r="J981" i="95"/>
  <c r="E1112" i="95"/>
  <c r="E1050" i="95"/>
  <c r="D1106" i="95"/>
  <c r="D974" i="95"/>
  <c r="J975" i="95"/>
  <c r="J974" i="95"/>
  <c r="J979" i="95"/>
  <c r="AU289" i="60"/>
  <c r="AU268" i="60"/>
  <c r="G978" i="95"/>
  <c r="E978" i="95"/>
  <c r="G974" i="95"/>
  <c r="G975" i="95"/>
  <c r="E1017" i="95"/>
  <c r="D1003" i="95"/>
  <c r="D997" i="95"/>
  <c r="G1059" i="95"/>
  <c r="E1084" i="95"/>
  <c r="J1118" i="95"/>
  <c r="E1118" i="95"/>
  <c r="G1084" i="95"/>
  <c r="I1051" i="95"/>
  <c r="D1091" i="95"/>
  <c r="G1122" i="95"/>
  <c r="G1120" i="95"/>
  <c r="G1094" i="95"/>
  <c r="J1109" i="95"/>
  <c r="E986" i="95"/>
  <c r="E987" i="95"/>
  <c r="J1122" i="95"/>
  <c r="E1098" i="95"/>
  <c r="G1062" i="95"/>
  <c r="E1060" i="95"/>
  <c r="I1000" i="95"/>
  <c r="D1038" i="95"/>
  <c r="G1129" i="95"/>
  <c r="D1138" i="95"/>
  <c r="D1018" i="95"/>
  <c r="D998" i="95"/>
  <c r="J1045" i="95"/>
  <c r="I1024" i="95"/>
  <c r="I1025" i="95"/>
  <c r="G1014" i="95"/>
  <c r="I1058" i="95"/>
  <c r="E1093" i="95"/>
  <c r="I1092" i="95"/>
  <c r="E1033" i="95"/>
  <c r="I1073" i="95"/>
  <c r="G1085" i="95"/>
  <c r="G1052" i="95"/>
  <c r="G1067" i="95"/>
  <c r="J1064" i="95"/>
  <c r="I1087" i="95"/>
  <c r="G987" i="95"/>
  <c r="J984" i="95"/>
  <c r="D1044" i="95"/>
  <c r="I1012" i="95"/>
  <c r="D1026" i="95"/>
  <c r="D1092" i="95"/>
  <c r="I1060" i="95"/>
  <c r="E1061" i="95"/>
  <c r="I1026" i="95"/>
  <c r="J1028" i="95"/>
  <c r="J1027" i="95"/>
  <c r="J994" i="95"/>
  <c r="I1133" i="95"/>
  <c r="E1102" i="95"/>
  <c r="I1115" i="95"/>
  <c r="D1081" i="95"/>
  <c r="I993" i="95"/>
  <c r="I992" i="95"/>
  <c r="E1116" i="95"/>
  <c r="G1118" i="95"/>
  <c r="G1117" i="95"/>
  <c r="J1120" i="95"/>
  <c r="G1089" i="95"/>
  <c r="J1102" i="95"/>
  <c r="E1068" i="95"/>
  <c r="E1083" i="95"/>
  <c r="E1082" i="95"/>
  <c r="G1103" i="95"/>
  <c r="I1105" i="95"/>
  <c r="I1104" i="95"/>
  <c r="D1108" i="95"/>
  <c r="I1076" i="95"/>
  <c r="I987" i="95"/>
  <c r="J1137" i="95"/>
  <c r="I1124" i="95"/>
  <c r="E1125" i="95"/>
  <c r="I1090" i="95"/>
  <c r="J1092" i="95"/>
  <c r="J1091" i="95"/>
  <c r="J1058" i="95"/>
  <c r="J992" i="95"/>
  <c r="AU264" i="60"/>
  <c r="AU272" i="60"/>
  <c r="AU280" i="60"/>
  <c r="AU284" i="60"/>
  <c r="AU265" i="60"/>
  <c r="AU275" i="60"/>
  <c r="AU274" i="60"/>
  <c r="AU269" i="60"/>
  <c r="AU273" i="60"/>
  <c r="AU281" i="60"/>
  <c r="AU286" i="60"/>
  <c r="AU279" i="60"/>
  <c r="AU288" i="60"/>
  <c r="N22" i="72"/>
  <c r="R2" i="74"/>
  <c r="D13" i="83"/>
  <c r="Q13" i="83" s="1"/>
  <c r="AU8" i="64"/>
  <c r="AU9" i="64"/>
  <c r="AU12" i="64"/>
  <c r="AU21" i="64"/>
  <c r="AU47" i="64"/>
  <c r="AU18" i="64"/>
  <c r="AU33" i="64"/>
  <c r="AU31" i="64"/>
  <c r="AU40" i="64"/>
  <c r="AU23" i="64"/>
  <c r="AU15" i="64"/>
  <c r="AU37" i="64"/>
  <c r="AU16" i="64"/>
  <c r="AU13" i="64"/>
  <c r="AU20" i="64"/>
  <c r="AU35" i="64"/>
  <c r="AU10" i="64"/>
  <c r="AU27" i="64"/>
  <c r="AU45" i="64"/>
  <c r="AU24" i="64"/>
  <c r="AU39" i="64"/>
  <c r="AU38" i="64"/>
  <c r="AU30" i="64"/>
  <c r="AU22" i="64"/>
  <c r="AU32" i="64"/>
  <c r="AU43" i="64"/>
  <c r="AU26" i="64"/>
  <c r="AU41" i="64"/>
  <c r="AU11" i="64"/>
  <c r="AU42" i="64"/>
  <c r="AU25" i="64"/>
  <c r="AU34" i="64"/>
  <c r="AU17" i="64"/>
  <c r="AU19" i="64"/>
  <c r="AU46" i="64"/>
  <c r="AU44" i="64"/>
  <c r="AU36" i="64"/>
  <c r="AU28" i="64"/>
  <c r="AU14" i="64"/>
  <c r="AU29" i="64"/>
  <c r="AU55" i="64"/>
  <c r="AU48" i="64"/>
  <c r="AU52" i="64"/>
  <c r="AU59" i="64"/>
  <c r="AU58" i="64"/>
  <c r="AU56" i="64"/>
  <c r="AU54" i="64"/>
  <c r="AU57" i="64"/>
  <c r="AU62" i="64"/>
  <c r="AU49" i="64"/>
  <c r="AU51" i="64"/>
  <c r="AU60" i="64"/>
  <c r="AU61" i="64"/>
  <c r="AU53" i="64"/>
  <c r="AU50" i="64"/>
  <c r="E1271" i="70"/>
  <c r="H1271" i="70" s="1"/>
  <c r="E1273" i="70"/>
  <c r="E1272" i="70"/>
  <c r="H1272" i="70" s="1"/>
  <c r="E1281" i="70"/>
  <c r="H1281" i="70" s="1"/>
  <c r="E1275" i="70"/>
  <c r="H1275" i="70" s="1"/>
  <c r="E1279" i="70"/>
  <c r="H1279" i="70" s="1"/>
  <c r="E1274" i="70"/>
  <c r="H1274" i="70" s="1"/>
  <c r="E1280" i="70"/>
  <c r="H1280" i="70" s="1"/>
  <c r="E1276" i="70"/>
  <c r="H1276" i="70" s="1"/>
  <c r="E1278" i="70"/>
  <c r="H1278" i="70" s="1"/>
  <c r="E1277" i="70"/>
  <c r="H1277" i="70" s="1"/>
  <c r="E1282" i="70"/>
  <c r="H1282" i="70" s="1"/>
  <c r="AU290" i="60"/>
  <c r="AU267" i="60"/>
  <c r="AU277" i="60"/>
  <c r="AU266" i="60"/>
  <c r="AU271" i="60"/>
  <c r="AU283" i="60"/>
  <c r="AU262" i="60"/>
  <c r="AB679" i="27"/>
  <c r="AB675" i="27"/>
  <c r="AB676" i="27"/>
  <c r="AB677" i="27"/>
  <c r="AB678" i="27"/>
  <c r="AB660" i="27"/>
  <c r="AB661" i="27"/>
  <c r="AB662" i="27"/>
  <c r="AB663" i="27"/>
  <c r="AB664" i="27"/>
  <c r="AB622" i="27"/>
  <c r="AB623" i="27"/>
  <c r="AB624" i="27"/>
  <c r="AB625" i="27"/>
  <c r="AB626" i="27"/>
  <c r="AB368" i="27"/>
  <c r="AB367" i="27"/>
  <c r="AB366" i="27"/>
  <c r="AB365" i="27"/>
  <c r="AB364" i="27"/>
  <c r="AB330" i="27"/>
  <c r="AB329" i="27"/>
  <c r="AB328" i="27"/>
  <c r="AB327" i="27"/>
  <c r="AB326" i="27"/>
  <c r="AB292" i="27"/>
  <c r="AB291" i="27"/>
  <c r="AB290" i="27"/>
  <c r="AB289" i="27"/>
  <c r="AB288" i="27"/>
  <c r="AB442" i="27"/>
  <c r="AB555" i="27"/>
  <c r="AU183" i="60"/>
  <c r="AU187" i="60"/>
  <c r="AU203" i="60"/>
  <c r="AU211" i="60"/>
  <c r="AU223" i="60"/>
  <c r="AU196" i="60"/>
  <c r="AU208" i="60"/>
  <c r="AU220" i="60"/>
  <c r="AU232" i="60"/>
  <c r="AU189" i="60"/>
  <c r="AU197" i="60"/>
  <c r="AU201" i="60"/>
  <c r="AU209" i="60"/>
  <c r="AU213" i="60"/>
  <c r="AU217" i="60"/>
  <c r="AU221" i="60"/>
  <c r="AU225" i="60"/>
  <c r="AU229" i="60"/>
  <c r="AU233" i="60"/>
  <c r="AU191" i="60"/>
  <c r="AU199" i="60"/>
  <c r="AU215" i="60"/>
  <c r="AU227" i="60"/>
  <c r="AU184" i="60"/>
  <c r="AU192" i="60"/>
  <c r="AU204" i="60"/>
  <c r="AU216" i="60"/>
  <c r="AU228" i="60"/>
  <c r="AU185" i="60"/>
  <c r="AU193" i="60"/>
  <c r="AU205" i="60"/>
  <c r="AU195" i="60"/>
  <c r="AU207" i="60"/>
  <c r="AU219" i="60"/>
  <c r="AU231" i="60"/>
  <c r="AU188" i="60"/>
  <c r="AU200" i="60"/>
  <c r="AU212" i="60"/>
  <c r="AU224" i="60"/>
  <c r="AU186" i="60"/>
  <c r="AU190" i="60"/>
  <c r="AU194" i="60"/>
  <c r="AU198" i="60"/>
  <c r="AU202" i="60"/>
  <c r="AU206" i="60"/>
  <c r="AU210" i="60"/>
  <c r="AU214" i="60"/>
  <c r="AU218" i="60"/>
  <c r="AU222" i="60"/>
  <c r="AU226" i="60"/>
  <c r="AU230" i="60"/>
  <c r="AU234" i="60"/>
  <c r="AU20" i="60"/>
  <c r="AU40" i="60"/>
  <c r="AU64" i="60"/>
  <c r="AU84" i="60"/>
  <c r="AU108" i="60"/>
  <c r="AU128" i="60"/>
  <c r="AU144" i="60"/>
  <c r="AU152" i="60"/>
  <c r="AU180" i="60"/>
  <c r="AU12" i="60"/>
  <c r="AU48" i="60"/>
  <c r="AU80" i="60"/>
  <c r="AU116" i="60"/>
  <c r="AU172" i="60"/>
  <c r="AU13" i="60"/>
  <c r="AU17" i="60"/>
  <c r="AU21" i="60"/>
  <c r="AU25" i="60"/>
  <c r="AU29" i="60"/>
  <c r="AU33" i="60"/>
  <c r="AU37" i="60"/>
  <c r="AU41" i="60"/>
  <c r="AU45" i="60"/>
  <c r="AU49" i="60"/>
  <c r="AU53" i="60"/>
  <c r="AU57" i="60"/>
  <c r="AU61" i="60"/>
  <c r="AU65" i="60"/>
  <c r="AU69" i="60"/>
  <c r="AU73" i="60"/>
  <c r="AU77" i="60"/>
  <c r="AU81" i="60"/>
  <c r="AU85" i="60"/>
  <c r="AU89" i="60"/>
  <c r="AU93" i="60"/>
  <c r="AU97" i="60"/>
  <c r="AU101" i="60"/>
  <c r="AU105" i="60"/>
  <c r="AU109" i="60"/>
  <c r="AU113" i="60"/>
  <c r="AU117" i="60"/>
  <c r="AU121" i="60"/>
  <c r="AU125" i="60"/>
  <c r="AU129" i="60"/>
  <c r="AU133" i="60"/>
  <c r="AU137" i="60"/>
  <c r="AU141" i="60"/>
  <c r="AU145" i="60"/>
  <c r="AU149" i="60"/>
  <c r="AU153" i="60"/>
  <c r="AU157" i="60"/>
  <c r="AU161" i="60"/>
  <c r="AU165" i="60"/>
  <c r="AU169" i="60"/>
  <c r="AU173" i="60"/>
  <c r="AU177" i="60"/>
  <c r="AU181" i="60"/>
  <c r="AU16" i="60"/>
  <c r="AU44" i="60"/>
  <c r="AU68" i="60"/>
  <c r="AU88" i="60"/>
  <c r="AU112" i="60"/>
  <c r="AU132" i="60"/>
  <c r="AU148" i="60"/>
  <c r="AU156" i="60"/>
  <c r="AU176" i="60"/>
  <c r="AU28" i="60"/>
  <c r="AU36" i="60"/>
  <c r="AU56" i="60"/>
  <c r="AU72" i="60"/>
  <c r="AU92" i="60"/>
  <c r="AU104" i="60"/>
  <c r="AU120" i="60"/>
  <c r="AU136" i="60"/>
  <c r="AU168" i="60"/>
  <c r="AU10" i="60"/>
  <c r="AU14" i="60"/>
  <c r="AU18" i="60"/>
  <c r="AU22" i="60"/>
  <c r="AU26" i="60"/>
  <c r="AU30" i="60"/>
  <c r="AU34" i="60"/>
  <c r="AU38" i="60"/>
  <c r="AU42" i="60"/>
  <c r="AU46" i="60"/>
  <c r="AU50" i="60"/>
  <c r="AU54" i="60"/>
  <c r="AU58" i="60"/>
  <c r="AU62" i="60"/>
  <c r="AU66" i="60"/>
  <c r="AU70" i="60"/>
  <c r="AU74" i="60"/>
  <c r="AU78" i="60"/>
  <c r="AU82" i="60"/>
  <c r="AU86" i="60"/>
  <c r="AU90" i="60"/>
  <c r="AU94" i="60"/>
  <c r="AU98" i="60"/>
  <c r="AU102" i="60"/>
  <c r="AU106" i="60"/>
  <c r="AU110" i="60"/>
  <c r="AU114" i="60"/>
  <c r="AU118" i="60"/>
  <c r="AU122" i="60"/>
  <c r="AU126" i="60"/>
  <c r="AU130" i="60"/>
  <c r="AU134" i="60"/>
  <c r="AU138" i="60"/>
  <c r="AU142" i="60"/>
  <c r="AU146" i="60"/>
  <c r="AU150" i="60"/>
  <c r="AU154" i="60"/>
  <c r="AU158" i="60"/>
  <c r="AU162" i="60"/>
  <c r="AU166" i="60"/>
  <c r="AU170" i="60"/>
  <c r="AU174" i="60"/>
  <c r="AU178" i="60"/>
  <c r="AU182" i="60"/>
  <c r="AU32" i="60"/>
  <c r="AU60" i="60"/>
  <c r="AU96" i="60"/>
  <c r="AU164" i="60"/>
  <c r="AU24" i="60"/>
  <c r="AU52" i="60"/>
  <c r="AU76" i="60"/>
  <c r="AU100" i="60"/>
  <c r="AU124" i="60"/>
  <c r="AU140" i="60"/>
  <c r="AU11" i="60"/>
  <c r="AU15" i="60"/>
  <c r="AU19" i="60"/>
  <c r="AU23" i="60"/>
  <c r="AU27" i="60"/>
  <c r="AU31" i="60"/>
  <c r="AU35" i="60"/>
  <c r="AU39" i="60"/>
  <c r="AU43" i="60"/>
  <c r="AU47" i="60"/>
  <c r="AU51" i="60"/>
  <c r="AU55" i="60"/>
  <c r="AU59" i="60"/>
  <c r="AU63" i="60"/>
  <c r="AU67" i="60"/>
  <c r="AU71" i="60"/>
  <c r="AU75" i="60"/>
  <c r="AU79" i="60"/>
  <c r="AU83" i="60"/>
  <c r="AU87" i="60"/>
  <c r="AU91" i="60"/>
  <c r="AU95" i="60"/>
  <c r="AU99" i="60"/>
  <c r="AU103" i="60"/>
  <c r="AU107" i="60"/>
  <c r="AU111" i="60"/>
  <c r="AU115" i="60"/>
  <c r="AU119" i="60"/>
  <c r="AU123" i="60"/>
  <c r="AU127" i="60"/>
  <c r="AU131" i="60"/>
  <c r="AU135" i="60"/>
  <c r="AU139" i="60"/>
  <c r="AU143" i="60"/>
  <c r="AU147" i="60"/>
  <c r="AU151" i="60"/>
  <c r="AU155" i="60"/>
  <c r="AU159" i="60"/>
  <c r="AU163" i="60"/>
  <c r="AU167" i="60"/>
  <c r="AU171" i="60"/>
  <c r="AU175" i="60"/>
  <c r="AU179" i="60"/>
  <c r="AU235" i="60"/>
  <c r="AU256" i="60"/>
  <c r="AU241" i="60"/>
  <c r="AU261" i="60"/>
  <c r="AU236" i="60"/>
  <c r="AU238" i="60"/>
  <c r="AU243" i="60"/>
  <c r="AU248" i="60"/>
  <c r="AU242" i="60"/>
  <c r="AU255" i="60"/>
  <c r="AU246" i="60"/>
  <c r="AU244" i="60"/>
  <c r="AU254" i="60"/>
  <c r="AU237" i="60"/>
  <c r="AU239" i="60"/>
  <c r="AU250" i="60"/>
  <c r="AU245" i="60"/>
  <c r="AU251" i="60"/>
  <c r="AU253" i="60"/>
  <c r="AU249" i="60"/>
  <c r="AU240" i="60"/>
  <c r="AU257" i="60"/>
  <c r="AU260" i="60"/>
  <c r="AU247" i="60"/>
  <c r="AU259" i="60"/>
  <c r="AU252" i="60"/>
  <c r="AU258" i="60"/>
  <c r="AU160" i="60"/>
  <c r="AB441" i="27"/>
  <c r="AB443" i="27"/>
  <c r="AB449" i="27"/>
  <c r="AB293" i="27"/>
  <c r="AB450" i="27"/>
  <c r="AB437" i="27"/>
  <c r="AB452" i="27"/>
  <c r="AB439" i="27"/>
  <c r="AB436" i="27"/>
  <c r="AB321" i="27"/>
  <c r="AB613" i="27"/>
  <c r="AB424" i="27"/>
  <c r="AB405" i="27"/>
  <c r="AB453" i="27"/>
  <c r="AB451" i="27"/>
  <c r="AB646" i="27"/>
  <c r="AB320" i="27"/>
  <c r="AB648" i="27"/>
  <c r="AB645" i="27"/>
  <c r="AB647" i="27"/>
  <c r="AB649" i="27"/>
  <c r="AB295" i="27"/>
  <c r="AB510" i="27"/>
  <c r="AB508" i="27"/>
  <c r="AB507" i="27"/>
  <c r="AB509" i="27"/>
  <c r="AB506" i="27"/>
  <c r="AB633" i="27"/>
  <c r="AB634" i="27"/>
  <c r="AB632" i="27"/>
  <c r="AB515" i="27"/>
  <c r="AB511" i="27"/>
  <c r="AB512" i="27"/>
  <c r="AB513" i="27"/>
  <c r="AB514" i="27"/>
  <c r="AB630" i="27"/>
  <c r="AB631" i="27"/>
  <c r="AB485" i="27"/>
  <c r="AB481" i="27"/>
  <c r="AB482" i="27"/>
  <c r="AB483" i="27"/>
  <c r="AB484" i="27"/>
  <c r="AB463" i="27"/>
  <c r="AB462" i="27"/>
  <c r="AB461" i="27"/>
  <c r="AB460" i="27"/>
  <c r="AB459" i="27"/>
  <c r="AB448" i="27"/>
  <c r="AB444" i="27"/>
  <c r="AB445" i="27"/>
  <c r="AB446" i="27"/>
  <c r="AB447" i="27"/>
  <c r="AB433" i="27"/>
  <c r="AB432" i="27"/>
  <c r="AB431" i="27"/>
  <c r="AB430" i="27"/>
  <c r="AB429" i="27"/>
  <c r="AB403" i="27"/>
  <c r="AB418" i="27"/>
  <c r="AB414" i="27"/>
  <c r="AB415" i="27"/>
  <c r="AB416" i="27"/>
  <c r="AB417" i="27"/>
  <c r="AB402" i="27"/>
  <c r="AB401" i="27"/>
  <c r="AB400" i="27"/>
  <c r="AB399" i="27"/>
  <c r="AB390" i="27"/>
  <c r="AB393" i="27"/>
  <c r="AB391" i="27"/>
  <c r="AB392" i="27"/>
  <c r="AB275" i="27"/>
  <c r="AB277" i="27"/>
  <c r="AB276" i="27"/>
  <c r="AB388" i="27"/>
  <c r="AB384" i="27"/>
  <c r="AB385" i="27"/>
  <c r="AB386" i="27"/>
  <c r="AB387" i="27"/>
  <c r="AB350" i="27"/>
  <c r="AB349" i="27"/>
  <c r="AB348" i="27"/>
  <c r="AB347" i="27"/>
  <c r="AB346" i="27"/>
  <c r="AB312" i="27"/>
  <c r="AB308" i="27"/>
  <c r="AB309" i="27"/>
  <c r="AB310" i="27"/>
  <c r="AB311" i="27"/>
  <c r="AB274" i="27"/>
  <c r="AB273" i="27"/>
  <c r="AB272" i="27"/>
  <c r="AB271" i="27"/>
  <c r="AB270" i="27"/>
  <c r="AB578" i="27"/>
  <c r="AB440" i="27"/>
  <c r="AB501" i="27"/>
  <c r="AB434" i="27"/>
  <c r="AB620" i="27"/>
  <c r="AB621" i="27"/>
  <c r="AB627" i="27"/>
  <c r="AB628" i="27"/>
  <c r="AB629" i="27"/>
  <c r="AB406" i="27"/>
  <c r="C1662" i="95"/>
  <c r="C897" i="95"/>
  <c r="AB298" i="27"/>
  <c r="AB586" i="27"/>
  <c r="AB491" i="27"/>
  <c r="AB294" i="27"/>
  <c r="AB505" i="27"/>
  <c r="AB314" i="27"/>
  <c r="AB306" i="27"/>
  <c r="H54" i="80"/>
  <c r="B59" i="80" s="1"/>
  <c r="D59" i="80" s="1"/>
  <c r="AB502" i="27"/>
  <c r="AB457" i="27"/>
  <c r="AB380" i="27"/>
  <c r="AB283" i="27"/>
  <c r="AB504" i="27"/>
  <c r="AB420" i="27"/>
  <c r="AB316" i="27"/>
  <c r="AB428" i="27"/>
  <c r="AB671" i="27"/>
  <c r="AB643" i="27"/>
  <c r="AB653" i="27"/>
  <c r="AB527" i="27"/>
  <c r="AB408" i="27"/>
  <c r="AB516" i="27"/>
  <c r="AB668" i="27"/>
  <c r="AB396" i="27"/>
  <c r="AB269" i="27"/>
  <c r="AB313" i="27"/>
  <c r="AB579" i="27"/>
  <c r="AB317" i="27"/>
  <c r="AB438" i="27"/>
  <c r="AB69" i="27"/>
  <c r="Q23" i="91"/>
  <c r="AB74" i="27"/>
  <c r="AB52" i="27"/>
  <c r="AB172" i="27"/>
  <c r="AB62" i="27"/>
  <c r="AB115" i="27"/>
  <c r="AB651" i="27"/>
  <c r="AB619" i="27"/>
  <c r="AB615" i="27"/>
  <c r="AB373" i="27"/>
  <c r="AB73" i="27"/>
  <c r="AB361" i="27"/>
  <c r="AB608" i="27"/>
  <c r="AB687" i="27"/>
  <c r="AB357" i="27"/>
  <c r="AB299" i="27"/>
  <c r="AB68" i="27"/>
  <c r="AB58" i="27"/>
  <c r="AB59" i="27"/>
  <c r="AB691" i="27"/>
  <c r="AB650" i="27"/>
  <c r="AB187" i="27"/>
  <c r="AB184" i="27"/>
  <c r="AB410" i="27"/>
  <c r="AB157" i="27"/>
  <c r="AB173" i="27"/>
  <c r="AB354" i="27"/>
  <c r="AB109" i="27"/>
  <c r="AB102" i="27"/>
  <c r="AB245" i="27"/>
  <c r="AB656" i="27"/>
  <c r="AB362" i="27"/>
  <c r="AB185" i="27"/>
  <c r="AB144" i="27"/>
  <c r="AB111" i="27"/>
  <c r="AB301" i="27"/>
  <c r="AB142" i="27"/>
  <c r="AB435" i="27"/>
  <c r="AB333" i="27"/>
  <c r="AB54" i="27"/>
  <c r="AB337" i="27"/>
  <c r="AB617" i="27"/>
  <c r="AB609" i="27"/>
  <c r="AB616" i="27"/>
  <c r="AB343" i="27"/>
  <c r="AB353" i="27"/>
  <c r="AB67" i="27"/>
  <c r="AB65" i="27"/>
  <c r="AB683" i="27"/>
  <c r="AB340" i="27"/>
  <c r="AB610" i="27"/>
  <c r="AB666" i="27"/>
  <c r="AB338" i="27"/>
  <c r="AB154" i="27"/>
  <c r="AB315" i="27"/>
  <c r="AB176" i="27"/>
  <c r="AB110" i="27"/>
  <c r="AB477" i="27"/>
  <c r="AB71" i="27"/>
  <c r="AB655" i="27"/>
  <c r="AB359" i="27"/>
  <c r="AB339" i="27"/>
  <c r="AB684" i="27"/>
  <c r="AB363" i="27"/>
  <c r="AB345" i="27"/>
  <c r="AB479" i="27"/>
  <c r="AB614" i="27"/>
  <c r="AB189" i="27"/>
  <c r="AB161" i="27"/>
  <c r="AB667" i="27"/>
  <c r="AB171" i="27"/>
  <c r="AB156" i="27"/>
  <c r="AB356" i="27"/>
  <c r="AB652" i="27"/>
  <c r="AB324" i="27"/>
  <c r="AB657" i="27"/>
  <c r="AB335" i="27"/>
  <c r="AB70" i="27"/>
  <c r="AB686" i="27"/>
  <c r="AB688" i="27"/>
  <c r="AB669" i="27"/>
  <c r="AB334" i="27"/>
  <c r="AB689" i="27"/>
  <c r="AB685" i="27"/>
  <c r="AB257" i="27"/>
  <c r="AB336" i="27"/>
  <c r="AB153" i="27"/>
  <c r="AB342" i="27"/>
  <c r="AB332" i="27"/>
  <c r="AB63" i="27"/>
  <c r="AB658" i="27"/>
  <c r="AB352" i="27"/>
  <c r="AB682" i="27"/>
  <c r="AB372" i="27"/>
  <c r="AB190" i="27"/>
  <c r="AB371" i="27"/>
  <c r="AB607" i="27"/>
  <c r="AB344" i="27"/>
  <c r="AB690" i="27"/>
  <c r="AB370" i="27"/>
  <c r="AB654" i="27"/>
  <c r="AB53" i="27"/>
  <c r="AB48" i="27"/>
  <c r="AB49" i="27"/>
  <c r="I167" i="64"/>
  <c r="I168" i="64" s="1"/>
  <c r="I169" i="64" s="1"/>
  <c r="Y45" i="7"/>
  <c r="Y52" i="7"/>
  <c r="Y48" i="7"/>
  <c r="Y55" i="7"/>
  <c r="Q39" i="7" s="1"/>
  <c r="Y53" i="7"/>
  <c r="Y44" i="7"/>
  <c r="AB44" i="7"/>
  <c r="AC44" i="7" s="1"/>
  <c r="Y41" i="7"/>
  <c r="G11" i="83"/>
  <c r="Y50" i="7"/>
  <c r="Y43" i="7"/>
  <c r="Y51" i="7"/>
  <c r="Y54" i="7"/>
  <c r="R46" i="27"/>
  <c r="AT46" i="27" s="1"/>
  <c r="E173" i="64"/>
  <c r="K159" i="64"/>
  <c r="E176" i="64" s="1"/>
  <c r="I159" i="64"/>
  <c r="Y49" i="7"/>
  <c r="Y42" i="7"/>
  <c r="Y47" i="7"/>
  <c r="Y46" i="7"/>
  <c r="G10" i="83"/>
  <c r="AA55" i="7"/>
  <c r="AB41" i="7"/>
  <c r="N20" i="72"/>
  <c r="D11" i="83"/>
  <c r="AB46" i="27"/>
  <c r="N120" i="66"/>
  <c r="R120" i="66" s="1"/>
  <c r="T120" i="66" s="1"/>
  <c r="AT120" i="66" s="1"/>
  <c r="N142" i="66"/>
  <c r="R142" i="66" s="1"/>
  <c r="T142" i="66" s="1"/>
  <c r="AT142" i="66" s="1"/>
  <c r="I122" i="66"/>
  <c r="Y121" i="66"/>
  <c r="L121" i="66"/>
  <c r="M121" i="66"/>
  <c r="I144" i="66"/>
  <c r="N144" i="66" s="1"/>
  <c r="L143" i="66"/>
  <c r="Y143" i="66"/>
  <c r="M143" i="66"/>
  <c r="N46" i="66"/>
  <c r="N45" i="66"/>
  <c r="N49" i="66"/>
  <c r="B36" i="2"/>
  <c r="AR36" i="2" s="1"/>
  <c r="B40" i="2"/>
  <c r="AR40" i="2" s="1"/>
  <c r="E157" i="72" l="1"/>
  <c r="D49" i="7"/>
  <c r="Z41" i="7" s="1"/>
  <c r="AA41" i="7" s="1"/>
  <c r="Z48" i="7"/>
  <c r="AA48" i="7" s="1"/>
  <c r="F157" i="72"/>
  <c r="E49" i="7"/>
  <c r="Z42" i="7" s="1"/>
  <c r="AA42" i="7" s="1"/>
  <c r="F49" i="7"/>
  <c r="Z43" i="7" s="1"/>
  <c r="AA43" i="7" s="1"/>
  <c r="G157" i="72"/>
  <c r="H66" i="95"/>
  <c r="E65" i="95"/>
  <c r="E230" i="95"/>
  <c r="G203" i="95"/>
  <c r="E166" i="95"/>
  <c r="H160" i="95"/>
  <c r="H64" i="95"/>
  <c r="H232" i="95"/>
  <c r="H243" i="95"/>
  <c r="H172" i="95"/>
  <c r="H86" i="95"/>
  <c r="G64" i="95"/>
  <c r="G157" i="95"/>
  <c r="D201" i="95"/>
  <c r="G122" i="95"/>
  <c r="G82" i="95"/>
  <c r="J136" i="95"/>
  <c r="D145" i="95"/>
  <c r="E99" i="95"/>
  <c r="E185" i="95"/>
  <c r="J242" i="95"/>
  <c r="J147" i="95"/>
  <c r="H175" i="95"/>
  <c r="H234" i="95"/>
  <c r="D190" i="95"/>
  <c r="J135" i="95"/>
  <c r="H159" i="95"/>
  <c r="H119" i="95"/>
  <c r="E129" i="95"/>
  <c r="G244" i="95"/>
  <c r="G119" i="95"/>
  <c r="H241" i="95"/>
  <c r="E78" i="95"/>
  <c r="H133" i="95"/>
  <c r="G241" i="95"/>
  <c r="D153" i="95"/>
  <c r="H167" i="95"/>
  <c r="G211" i="95"/>
  <c r="H217" i="95"/>
  <c r="G159" i="95"/>
  <c r="G219" i="95"/>
  <c r="H230" i="95"/>
  <c r="J232" i="95"/>
  <c r="G136" i="95"/>
  <c r="H135" i="95"/>
  <c r="H225" i="95"/>
  <c r="D137" i="95"/>
  <c r="G179" i="95"/>
  <c r="G208" i="95"/>
  <c r="J80" i="95"/>
  <c r="G88" i="95"/>
  <c r="G142" i="95"/>
  <c r="H153" i="95"/>
  <c r="G95" i="95"/>
  <c r="H187" i="95"/>
  <c r="G197" i="95"/>
  <c r="D193" i="95"/>
  <c r="G148" i="95"/>
  <c r="G134" i="95"/>
  <c r="J169" i="95"/>
  <c r="G126" i="95"/>
  <c r="G156" i="95"/>
  <c r="H141" i="95"/>
  <c r="I81" i="95"/>
  <c r="E233" i="95"/>
  <c r="I172" i="95"/>
  <c r="E121" i="95"/>
  <c r="J94" i="95"/>
  <c r="D211" i="95"/>
  <c r="D155" i="95"/>
  <c r="D65" i="95"/>
  <c r="J81" i="95"/>
  <c r="J216" i="95"/>
  <c r="I215" i="95"/>
  <c r="D163" i="95"/>
  <c r="H239" i="95"/>
  <c r="G187" i="95"/>
  <c r="H70" i="95"/>
  <c r="J104" i="95"/>
  <c r="H228" i="95"/>
  <c r="H71" i="95"/>
  <c r="H193" i="95"/>
  <c r="G191" i="95"/>
  <c r="G115" i="95"/>
  <c r="G237" i="95"/>
  <c r="I199" i="95"/>
  <c r="H188" i="95"/>
  <c r="G110" i="95"/>
  <c r="J121" i="95"/>
  <c r="G220" i="95"/>
  <c r="H155" i="95"/>
  <c r="H245" i="95"/>
  <c r="I151" i="95"/>
  <c r="G231" i="95"/>
  <c r="G70" i="95"/>
  <c r="J105" i="95"/>
  <c r="H176" i="95"/>
  <c r="G194" i="95"/>
  <c r="H109" i="95"/>
  <c r="J230" i="95"/>
  <c r="I228" i="95"/>
  <c r="E169" i="95"/>
  <c r="I108" i="95"/>
  <c r="J173" i="95"/>
  <c r="I209" i="95"/>
  <c r="E142" i="95"/>
  <c r="E216" i="95"/>
  <c r="H168" i="95"/>
  <c r="E180" i="95"/>
  <c r="H95" i="95"/>
  <c r="G152" i="95"/>
  <c r="H177" i="95"/>
  <c r="E124" i="95"/>
  <c r="D126" i="95"/>
  <c r="J67" i="95"/>
  <c r="E81" i="95"/>
  <c r="E118" i="95"/>
  <c r="I145" i="95"/>
  <c r="I169" i="95"/>
  <c r="I193" i="95"/>
  <c r="E214" i="95"/>
  <c r="D235" i="95"/>
  <c r="J124" i="95"/>
  <c r="D68" i="95"/>
  <c r="I89" i="95"/>
  <c r="E110" i="95"/>
  <c r="I132" i="95"/>
  <c r="E153" i="95"/>
  <c r="D174" i="95"/>
  <c r="I196" i="95"/>
  <c r="E217" i="95"/>
  <c r="D238" i="95"/>
  <c r="J196" i="95"/>
  <c r="J87" i="95"/>
  <c r="I167" i="95"/>
  <c r="J184" i="95"/>
  <c r="H173" i="95"/>
  <c r="G221" i="95"/>
  <c r="G65" i="95"/>
  <c r="H115" i="95"/>
  <c r="G163" i="95"/>
  <c r="H208" i="95"/>
  <c r="I84" i="95"/>
  <c r="J76" i="95"/>
  <c r="J233" i="95"/>
  <c r="G97" i="95"/>
  <c r="H146" i="95"/>
  <c r="G198" i="95"/>
  <c r="H84" i="95"/>
  <c r="J176" i="95"/>
  <c r="I65" i="95"/>
  <c r="D236" i="95"/>
  <c r="J177" i="95"/>
  <c r="G69" i="95"/>
  <c r="H118" i="95"/>
  <c r="G170" i="95"/>
  <c r="H219" i="95"/>
  <c r="G176" i="95"/>
  <c r="J112" i="95"/>
  <c r="E68" i="95"/>
  <c r="I239" i="95"/>
  <c r="J185" i="95"/>
  <c r="G73" i="95"/>
  <c r="H122" i="95"/>
  <c r="G174" i="95"/>
  <c r="H223" i="95"/>
  <c r="G204" i="95"/>
  <c r="J143" i="95"/>
  <c r="G188" i="95"/>
  <c r="E220" i="95"/>
  <c r="J129" i="95"/>
  <c r="G76" i="95"/>
  <c r="H94" i="95"/>
  <c r="G146" i="95"/>
  <c r="H195" i="95"/>
  <c r="G243" i="95"/>
  <c r="E164" i="95"/>
  <c r="H204" i="95"/>
  <c r="I223" i="95"/>
  <c r="J137" i="95"/>
  <c r="G116" i="95"/>
  <c r="H98" i="95"/>
  <c r="G150" i="95"/>
  <c r="H199" i="95"/>
  <c r="E228" i="95"/>
  <c r="H236" i="95"/>
  <c r="E225" i="95"/>
  <c r="J145" i="95"/>
  <c r="G144" i="95"/>
  <c r="H102" i="95"/>
  <c r="G154" i="95"/>
  <c r="H203" i="95"/>
  <c r="G68" i="95"/>
  <c r="I79" i="95"/>
  <c r="H202" i="95"/>
  <c r="D207" i="95"/>
  <c r="J244" i="95"/>
  <c r="E83" i="95"/>
  <c r="I121" i="95"/>
  <c r="D147" i="95"/>
  <c r="D171" i="95"/>
  <c r="D195" i="95"/>
  <c r="I217" i="95"/>
  <c r="E238" i="95"/>
  <c r="J188" i="95"/>
  <c r="E70" i="95"/>
  <c r="I92" i="95"/>
  <c r="E113" i="95"/>
  <c r="D134" i="95"/>
  <c r="I156" i="95"/>
  <c r="E177" i="95"/>
  <c r="D198" i="95"/>
  <c r="I220" i="95"/>
  <c r="E241" i="95"/>
  <c r="J162" i="95"/>
  <c r="J151" i="95"/>
  <c r="D188" i="95"/>
  <c r="J66" i="95"/>
  <c r="H205" i="95"/>
  <c r="G92" i="95"/>
  <c r="G98" i="95"/>
  <c r="H147" i="95"/>
  <c r="G195" i="95"/>
  <c r="H240" i="95"/>
  <c r="E105" i="95"/>
  <c r="J158" i="95"/>
  <c r="H81" i="95"/>
  <c r="G129" i="95"/>
  <c r="H178" i="95"/>
  <c r="G230" i="95"/>
  <c r="G71" i="95"/>
  <c r="H116" i="95"/>
  <c r="H105" i="95"/>
  <c r="I87" i="95"/>
  <c r="J140" i="95"/>
  <c r="J241" i="95"/>
  <c r="G101" i="95"/>
  <c r="H150" i="95"/>
  <c r="G202" i="95"/>
  <c r="G84" i="95"/>
  <c r="H88" i="95"/>
  <c r="H73" i="95"/>
  <c r="E89" i="95"/>
  <c r="J204" i="95"/>
  <c r="J82" i="95"/>
  <c r="G105" i="95"/>
  <c r="H154" i="95"/>
  <c r="G206" i="95"/>
  <c r="G112" i="95"/>
  <c r="H92" i="95"/>
  <c r="J217" i="95"/>
  <c r="D71" i="95"/>
  <c r="D241" i="95"/>
  <c r="J193" i="95"/>
  <c r="G77" i="95"/>
  <c r="H126" i="95"/>
  <c r="G178" i="95"/>
  <c r="H227" i="95"/>
  <c r="G232" i="95"/>
  <c r="J240" i="95"/>
  <c r="E73" i="95"/>
  <c r="E244" i="95"/>
  <c r="J201" i="95"/>
  <c r="G81" i="95"/>
  <c r="H130" i="95"/>
  <c r="G182" i="95"/>
  <c r="H231" i="95"/>
  <c r="H68" i="95"/>
  <c r="J89" i="95"/>
  <c r="I76" i="95"/>
  <c r="J91" i="95"/>
  <c r="J209" i="95"/>
  <c r="G85" i="95"/>
  <c r="H134" i="95"/>
  <c r="G186" i="95"/>
  <c r="H235" i="95"/>
  <c r="H72" i="95"/>
  <c r="I100" i="95"/>
  <c r="G222" i="95"/>
  <c r="E157" i="95"/>
  <c r="J229" i="95"/>
  <c r="I86" i="95"/>
  <c r="D123" i="95"/>
  <c r="E150" i="95"/>
  <c r="E174" i="95"/>
  <c r="E198" i="95"/>
  <c r="D219" i="95"/>
  <c r="I241" i="95"/>
  <c r="J90" i="95"/>
  <c r="I73" i="95"/>
  <c r="D94" i="95"/>
  <c r="I116" i="95"/>
  <c r="E137" i="95"/>
  <c r="D158" i="95"/>
  <c r="I180" i="95"/>
  <c r="E201" i="95"/>
  <c r="D222" i="95"/>
  <c r="I244" i="95"/>
  <c r="J117" i="95"/>
  <c r="J215" i="95"/>
  <c r="D209" i="95"/>
  <c r="J97" i="95"/>
  <c r="H237" i="95"/>
  <c r="H78" i="95"/>
  <c r="G130" i="95"/>
  <c r="H179" i="95"/>
  <c r="G227" i="95"/>
  <c r="G216" i="95"/>
  <c r="I127" i="95"/>
  <c r="J207" i="95"/>
  <c r="H113" i="95"/>
  <c r="G161" i="95"/>
  <c r="H210" i="95"/>
  <c r="G184" i="95"/>
  <c r="G103" i="95"/>
  <c r="H148" i="95"/>
  <c r="G89" i="95"/>
  <c r="E108" i="95"/>
  <c r="J174" i="95"/>
  <c r="H85" i="95"/>
  <c r="G133" i="95"/>
  <c r="H182" i="95"/>
  <c r="G234" i="95"/>
  <c r="G75" i="95"/>
  <c r="H120" i="95"/>
  <c r="G172" i="95"/>
  <c r="I111" i="95"/>
  <c r="J222" i="95"/>
  <c r="H89" i="95"/>
  <c r="G137" i="95"/>
  <c r="H186" i="95"/>
  <c r="G238" i="95"/>
  <c r="G79" i="95"/>
  <c r="H124" i="95"/>
  <c r="H233" i="95"/>
  <c r="E92" i="95"/>
  <c r="J218" i="95"/>
  <c r="J130" i="95"/>
  <c r="G109" i="95"/>
  <c r="H158" i="95"/>
  <c r="G210" i="95"/>
  <c r="G140" i="95"/>
  <c r="H96" i="95"/>
  <c r="H137" i="95"/>
  <c r="D95" i="95"/>
  <c r="J125" i="95"/>
  <c r="J194" i="95"/>
  <c r="G113" i="95"/>
  <c r="H162" i="95"/>
  <c r="G214" i="95"/>
  <c r="G168" i="95"/>
  <c r="H100" i="95"/>
  <c r="H169" i="95"/>
  <c r="E97" i="95"/>
  <c r="J189" i="95"/>
  <c r="H69" i="95"/>
  <c r="G117" i="95"/>
  <c r="H166" i="95"/>
  <c r="G218" i="95"/>
  <c r="G196" i="95"/>
  <c r="H104" i="95"/>
  <c r="D121" i="95"/>
  <c r="E203" i="95"/>
  <c r="J71" i="95"/>
  <c r="D97" i="95"/>
  <c r="E126" i="95"/>
  <c r="I153" i="95"/>
  <c r="I177" i="95"/>
  <c r="I201" i="95"/>
  <c r="E222" i="95"/>
  <c r="E243" i="95"/>
  <c r="J109" i="95"/>
  <c r="E76" i="95"/>
  <c r="I97" i="95"/>
  <c r="D118" i="95"/>
  <c r="I140" i="95"/>
  <c r="E161" i="95"/>
  <c r="D182" i="95"/>
  <c r="I204" i="95"/>
  <c r="D225" i="95"/>
  <c r="J83" i="95"/>
  <c r="J181" i="95"/>
  <c r="J72" i="95"/>
  <c r="I231" i="95"/>
  <c r="J161" i="95"/>
  <c r="G200" i="95"/>
  <c r="H110" i="95"/>
  <c r="G162" i="95"/>
  <c r="H211" i="95"/>
  <c r="G120" i="95"/>
  <c r="G153" i="95"/>
  <c r="E148" i="95"/>
  <c r="J128" i="95"/>
  <c r="H145" i="95"/>
  <c r="G193" i="95"/>
  <c r="H242" i="95"/>
  <c r="H87" i="95"/>
  <c r="G135" i="95"/>
  <c r="H180" i="95"/>
  <c r="H106" i="95"/>
  <c r="D129" i="95"/>
  <c r="J223" i="95"/>
  <c r="H117" i="95"/>
  <c r="G165" i="95"/>
  <c r="H214" i="95"/>
  <c r="G212" i="95"/>
  <c r="G107" i="95"/>
  <c r="H152" i="95"/>
  <c r="H74" i="95"/>
  <c r="E132" i="95"/>
  <c r="J234" i="95"/>
  <c r="H121" i="95"/>
  <c r="G169" i="95"/>
  <c r="H218" i="95"/>
  <c r="G240" i="95"/>
  <c r="G111" i="95"/>
  <c r="H156" i="95"/>
  <c r="G66" i="95"/>
  <c r="D113" i="95"/>
  <c r="J238" i="95"/>
  <c r="H93" i="95"/>
  <c r="G141" i="95"/>
  <c r="H190" i="95"/>
  <c r="G242" i="95"/>
  <c r="G83" i="95"/>
  <c r="H128" i="95"/>
  <c r="G121" i="95"/>
  <c r="D116" i="95"/>
  <c r="J79" i="95"/>
  <c r="H97" i="95"/>
  <c r="G145" i="95"/>
  <c r="H194" i="95"/>
  <c r="G72" i="95"/>
  <c r="G87" i="95"/>
  <c r="H132" i="95"/>
  <c r="G185" i="95"/>
  <c r="I119" i="95"/>
  <c r="J95" i="95"/>
  <c r="H101" i="95"/>
  <c r="G149" i="95"/>
  <c r="H198" i="95"/>
  <c r="G100" i="95"/>
  <c r="G91" i="95"/>
  <c r="H136" i="95"/>
  <c r="J155" i="95"/>
  <c r="H76" i="95"/>
  <c r="D216" i="95"/>
  <c r="J199" i="95"/>
  <c r="E102" i="95"/>
  <c r="D131" i="95"/>
  <c r="I161" i="95"/>
  <c r="I185" i="95"/>
  <c r="E206" i="95"/>
  <c r="D227" i="95"/>
  <c r="J139" i="95"/>
  <c r="J237" i="95"/>
  <c r="D81" i="95"/>
  <c r="I102" i="95"/>
  <c r="I124" i="95"/>
  <c r="E145" i="95"/>
  <c r="D166" i="95"/>
  <c r="E188" i="95"/>
  <c r="E209" i="95"/>
  <c r="D230" i="95"/>
  <c r="J211" i="95"/>
  <c r="J102" i="95"/>
  <c r="D103" i="95"/>
  <c r="J110" i="95"/>
  <c r="H77" i="95"/>
  <c r="G125" i="95"/>
  <c r="H174" i="95"/>
  <c r="G226" i="95"/>
  <c r="G67" i="95"/>
  <c r="H112" i="95"/>
  <c r="H143" i="95"/>
  <c r="I191" i="95"/>
  <c r="J74" i="95"/>
  <c r="H209" i="95"/>
  <c r="G124" i="95"/>
  <c r="G102" i="95"/>
  <c r="H151" i="95"/>
  <c r="G199" i="95"/>
  <c r="H244" i="95"/>
  <c r="H111" i="95"/>
  <c r="E172" i="95"/>
  <c r="J200" i="95"/>
  <c r="H181" i="95"/>
  <c r="G229" i="95"/>
  <c r="G74" i="95"/>
  <c r="H123" i="95"/>
  <c r="G171" i="95"/>
  <c r="H216" i="95"/>
  <c r="H79" i="95"/>
  <c r="I175" i="95"/>
  <c r="J208" i="95"/>
  <c r="H185" i="95"/>
  <c r="G233" i="95"/>
  <c r="G78" i="95"/>
  <c r="H127" i="95"/>
  <c r="G175" i="95"/>
  <c r="H220" i="95"/>
  <c r="G128" i="95"/>
  <c r="E156" i="95"/>
  <c r="J152" i="95"/>
  <c r="H157" i="95"/>
  <c r="G205" i="95"/>
  <c r="G132" i="95"/>
  <c r="H99" i="95"/>
  <c r="G147" i="95"/>
  <c r="H192" i="95"/>
  <c r="G190" i="95"/>
  <c r="I159" i="95"/>
  <c r="J160" i="95"/>
  <c r="H161" i="95"/>
  <c r="G209" i="95"/>
  <c r="G160" i="95"/>
  <c r="H103" i="95"/>
  <c r="G151" i="95"/>
  <c r="H196" i="95"/>
  <c r="G158" i="95"/>
  <c r="D161" i="95"/>
  <c r="J168" i="95"/>
  <c r="H165" i="95"/>
  <c r="G213" i="95"/>
  <c r="G192" i="95"/>
  <c r="H107" i="95"/>
  <c r="G155" i="95"/>
  <c r="H200" i="95"/>
  <c r="J153" i="95"/>
  <c r="G217" i="95"/>
  <c r="G123" i="95"/>
  <c r="G245" i="95"/>
  <c r="E204" i="95"/>
  <c r="H164" i="95"/>
  <c r="G118" i="95"/>
  <c r="H129" i="95"/>
  <c r="H207" i="95"/>
  <c r="H163" i="95"/>
  <c r="G173" i="95"/>
  <c r="D177" i="95"/>
  <c r="G239" i="95"/>
  <c r="G108" i="95"/>
  <c r="J178" i="95"/>
  <c r="I207" i="95"/>
  <c r="H91" i="95"/>
  <c r="H213" i="95"/>
  <c r="H140" i="95"/>
  <c r="G167" i="95"/>
  <c r="H114" i="95"/>
  <c r="J192" i="95"/>
  <c r="H144" i="95"/>
  <c r="H238" i="95"/>
  <c r="J225" i="95"/>
  <c r="J166" i="95"/>
  <c r="D214" i="95"/>
  <c r="I164" i="95"/>
  <c r="I105" i="95"/>
  <c r="J202" i="95"/>
  <c r="D203" i="95"/>
  <c r="D139" i="95"/>
  <c r="I243" i="95"/>
  <c r="G177" i="95"/>
  <c r="D185" i="95"/>
  <c r="G139" i="95"/>
  <c r="G166" i="95"/>
  <c r="G93" i="95"/>
  <c r="I236" i="95"/>
  <c r="I225" i="95"/>
  <c r="E75" i="95"/>
  <c r="D68" i="80"/>
  <c r="H201" i="95"/>
  <c r="H171" i="95"/>
  <c r="G181" i="95"/>
  <c r="I183" i="95"/>
  <c r="G86" i="95"/>
  <c r="J73" i="95"/>
  <c r="H170" i="95"/>
  <c r="H131" i="95"/>
  <c r="H221" i="95"/>
  <c r="I135" i="95"/>
  <c r="G207" i="95"/>
  <c r="H90" i="95"/>
  <c r="J144" i="95"/>
  <c r="H65" i="95"/>
  <c r="G138" i="95"/>
  <c r="H149" i="95"/>
  <c r="G127" i="95"/>
  <c r="H82" i="95"/>
  <c r="D233" i="95"/>
  <c r="H80" i="95"/>
  <c r="H206" i="95"/>
  <c r="J120" i="95"/>
  <c r="J245" i="95"/>
  <c r="I212" i="95"/>
  <c r="D150" i="95"/>
  <c r="D100" i="95"/>
  <c r="J203" i="95"/>
  <c r="E190" i="95"/>
  <c r="I129" i="95"/>
  <c r="D240" i="95"/>
  <c r="G90" i="95"/>
  <c r="J98" i="95"/>
  <c r="H139" i="95"/>
  <c r="H229" i="95"/>
  <c r="E140" i="95"/>
  <c r="G215" i="95"/>
  <c r="H226" i="95"/>
  <c r="J224" i="95"/>
  <c r="G104" i="95"/>
  <c r="H67" i="95"/>
  <c r="H189" i="95"/>
  <c r="G96" i="95"/>
  <c r="G143" i="95"/>
  <c r="G180" i="95"/>
  <c r="D217" i="95"/>
  <c r="H184" i="95"/>
  <c r="G106" i="95"/>
  <c r="J113" i="95"/>
  <c r="G94" i="95"/>
  <c r="H215" i="95"/>
  <c r="G225" i="95"/>
  <c r="E212" i="95"/>
  <c r="G131" i="95"/>
  <c r="H142" i="95"/>
  <c r="J159" i="95"/>
  <c r="J132" i="95"/>
  <c r="D206" i="95"/>
  <c r="I148" i="95"/>
  <c r="E86" i="95"/>
  <c r="J75" i="95"/>
  <c r="D187" i="95"/>
  <c r="E107" i="95"/>
  <c r="I206" i="95"/>
  <c r="H138" i="95"/>
  <c r="H222" i="95"/>
  <c r="H108" i="95"/>
  <c r="H212" i="95"/>
  <c r="H83" i="95"/>
  <c r="G164" i="95"/>
  <c r="H75" i="95"/>
  <c r="H197" i="95"/>
  <c r="G223" i="95"/>
  <c r="G183" i="95"/>
  <c r="G236" i="95"/>
  <c r="J96" i="95"/>
  <c r="H224" i="95"/>
  <c r="G114" i="95"/>
  <c r="H125" i="95"/>
  <c r="G224" i="95"/>
  <c r="H191" i="95"/>
  <c r="G201" i="95"/>
  <c r="E196" i="95"/>
  <c r="G235" i="95"/>
  <c r="G80" i="95"/>
  <c r="J138" i="95"/>
  <c r="I143" i="95"/>
  <c r="H183" i="95"/>
  <c r="G228" i="95"/>
  <c r="D169" i="95"/>
  <c r="G99" i="95"/>
  <c r="G189" i="95"/>
  <c r="J219" i="95"/>
  <c r="J68" i="95"/>
  <c r="E193" i="95"/>
  <c r="D142" i="95"/>
  <c r="D84" i="95"/>
  <c r="I233" i="95"/>
  <c r="E182" i="95"/>
  <c r="D105" i="95"/>
  <c r="I78" i="95"/>
  <c r="D101" i="95"/>
  <c r="E219" i="95"/>
  <c r="J165" i="95"/>
  <c r="I238" i="95"/>
  <c r="E195" i="95"/>
  <c r="E74" i="95"/>
  <c r="J101" i="95"/>
  <c r="E227" i="95"/>
  <c r="I174" i="95"/>
  <c r="D224" i="95"/>
  <c r="I158" i="95"/>
  <c r="J186" i="95"/>
  <c r="J180" i="95"/>
  <c r="I222" i="95"/>
  <c r="I75" i="95"/>
  <c r="J131" i="95"/>
  <c r="H1273" i="70"/>
  <c r="B1234" i="70"/>
  <c r="J549" i="95"/>
  <c r="I549" i="95"/>
  <c r="E549" i="95"/>
  <c r="D549" i="95"/>
  <c r="E540" i="95"/>
  <c r="E543" i="95"/>
  <c r="E536" i="95"/>
  <c r="D521" i="95"/>
  <c r="E511" i="95"/>
  <c r="I524" i="95"/>
  <c r="I540" i="95"/>
  <c r="J516" i="95"/>
  <c r="J532" i="95"/>
  <c r="J548" i="95"/>
  <c r="D523" i="95"/>
  <c r="D539" i="95"/>
  <c r="E513" i="95"/>
  <c r="E529" i="95"/>
  <c r="E545" i="95"/>
  <c r="I519" i="95"/>
  <c r="I535" i="95"/>
  <c r="J509" i="95"/>
  <c r="J525" i="95"/>
  <c r="J541" i="95"/>
  <c r="D516" i="95"/>
  <c r="D532" i="95"/>
  <c r="D548" i="95"/>
  <c r="E524" i="95"/>
  <c r="I510" i="95"/>
  <c r="I526" i="95"/>
  <c r="I542" i="95"/>
  <c r="J518" i="95"/>
  <c r="J534" i="95"/>
  <c r="D509" i="95"/>
  <c r="D525" i="95"/>
  <c r="D541" i="95"/>
  <c r="E515" i="95"/>
  <c r="E531" i="95"/>
  <c r="E547" i="95"/>
  <c r="I521" i="95"/>
  <c r="I537" i="95"/>
  <c r="J511" i="95"/>
  <c r="J527" i="95"/>
  <c r="J543" i="95"/>
  <c r="D518" i="95"/>
  <c r="D534" i="95"/>
  <c r="E510" i="95"/>
  <c r="E526" i="95"/>
  <c r="E542" i="95"/>
  <c r="I538" i="95"/>
  <c r="J546" i="95"/>
  <c r="D537" i="95"/>
  <c r="I517" i="95"/>
  <c r="J523" i="95"/>
  <c r="D530" i="95"/>
  <c r="E522" i="95"/>
  <c r="I512" i="95"/>
  <c r="I528" i="95"/>
  <c r="I544" i="95"/>
  <c r="J520" i="95"/>
  <c r="J536" i="95"/>
  <c r="D511" i="95"/>
  <c r="D527" i="95"/>
  <c r="D543" i="95"/>
  <c r="E517" i="95"/>
  <c r="E533" i="95"/>
  <c r="I523" i="95"/>
  <c r="I539" i="95"/>
  <c r="J513" i="95"/>
  <c r="J529" i="95"/>
  <c r="J545" i="95"/>
  <c r="D520" i="95"/>
  <c r="D536" i="95"/>
  <c r="E512" i="95"/>
  <c r="E528" i="95"/>
  <c r="E544" i="95"/>
  <c r="I514" i="95"/>
  <c r="I530" i="95"/>
  <c r="I546" i="95"/>
  <c r="J522" i="95"/>
  <c r="J538" i="95"/>
  <c r="D513" i="95"/>
  <c r="D529" i="95"/>
  <c r="D545" i="95"/>
  <c r="E519" i="95"/>
  <c r="E535" i="95"/>
  <c r="I509" i="95"/>
  <c r="I525" i="95"/>
  <c r="I541" i="95"/>
  <c r="J515" i="95"/>
  <c r="J531" i="95"/>
  <c r="J547" i="95"/>
  <c r="D522" i="95"/>
  <c r="D538" i="95"/>
  <c r="E514" i="95"/>
  <c r="E530" i="95"/>
  <c r="E546" i="95"/>
  <c r="I522" i="95"/>
  <c r="J530" i="95"/>
  <c r="E527" i="95"/>
  <c r="I533" i="95"/>
  <c r="J539" i="95"/>
  <c r="D514" i="95"/>
  <c r="D546" i="95"/>
  <c r="E538" i="95"/>
  <c r="I516" i="95"/>
  <c r="I532" i="95"/>
  <c r="I548" i="95"/>
  <c r="J524" i="95"/>
  <c r="J540" i="95"/>
  <c r="D515" i="95"/>
  <c r="D531" i="95"/>
  <c r="D547" i="95"/>
  <c r="E521" i="95"/>
  <c r="E537" i="95"/>
  <c r="I511" i="95"/>
  <c r="I527" i="95"/>
  <c r="I543" i="95"/>
  <c r="J517" i="95"/>
  <c r="J533" i="95"/>
  <c r="D524" i="95"/>
  <c r="D540" i="95"/>
  <c r="E516" i="95"/>
  <c r="E532" i="95"/>
  <c r="E548" i="95"/>
  <c r="J514" i="95"/>
  <c r="I518" i="95"/>
  <c r="I534" i="95"/>
  <c r="J510" i="95"/>
  <c r="J526" i="95"/>
  <c r="J542" i="95"/>
  <c r="D517" i="95"/>
  <c r="D533" i="95"/>
  <c r="E523" i="95"/>
  <c r="E539" i="95"/>
  <c r="I513" i="95"/>
  <c r="I529" i="95"/>
  <c r="I545" i="95"/>
  <c r="J519" i="95"/>
  <c r="J535" i="95"/>
  <c r="D510" i="95"/>
  <c r="D526" i="95"/>
  <c r="D542" i="95"/>
  <c r="E518" i="95"/>
  <c r="E534" i="95"/>
  <c r="I520" i="95"/>
  <c r="I536" i="95"/>
  <c r="J512" i="95"/>
  <c r="J528" i="95"/>
  <c r="J544" i="95"/>
  <c r="D519" i="95"/>
  <c r="D535" i="95"/>
  <c r="E509" i="95"/>
  <c r="E525" i="95"/>
  <c r="E541" i="95"/>
  <c r="I515" i="95"/>
  <c r="I531" i="95"/>
  <c r="I547" i="95"/>
  <c r="J521" i="95"/>
  <c r="J537" i="95"/>
  <c r="D512" i="95"/>
  <c r="D528" i="95"/>
  <c r="D544" i="95"/>
  <c r="E520" i="95"/>
  <c r="G13" i="83"/>
  <c r="D176" i="95"/>
  <c r="E155" i="95"/>
  <c r="I134" i="95"/>
  <c r="D112" i="95"/>
  <c r="E91" i="95"/>
  <c r="I70" i="95"/>
  <c r="J142" i="95"/>
  <c r="J106" i="95"/>
  <c r="D202" i="95"/>
  <c r="I95" i="95"/>
  <c r="D200" i="95"/>
  <c r="D152" i="95"/>
  <c r="I67" i="95"/>
  <c r="E208" i="95"/>
  <c r="E80" i="95"/>
  <c r="I136" i="95"/>
  <c r="D175" i="95"/>
  <c r="I198" i="95"/>
  <c r="E139" i="95"/>
  <c r="J226" i="95"/>
  <c r="I195" i="95"/>
  <c r="J183" i="95"/>
  <c r="D114" i="95"/>
  <c r="E138" i="95"/>
  <c r="E131" i="95"/>
  <c r="J78" i="95"/>
  <c r="I187" i="95"/>
  <c r="J85" i="95"/>
  <c r="I93" i="95"/>
  <c r="E103" i="95"/>
  <c r="I182" i="95"/>
  <c r="I118" i="95"/>
  <c r="J172" i="95"/>
  <c r="D173" i="95"/>
  <c r="D242" i="95"/>
  <c r="I72" i="95"/>
  <c r="I71" i="95"/>
  <c r="E179" i="95"/>
  <c r="I110" i="95"/>
  <c r="J187" i="95"/>
  <c r="D165" i="95"/>
  <c r="E221" i="95"/>
  <c r="J190" i="95"/>
  <c r="J69" i="95"/>
  <c r="E96" i="95"/>
  <c r="D237" i="95"/>
  <c r="E144" i="95"/>
  <c r="I200" i="95"/>
  <c r="J92" i="95"/>
  <c r="E231" i="95"/>
  <c r="D160" i="95"/>
  <c r="E88" i="95"/>
  <c r="D229" i="95"/>
  <c r="I123" i="95"/>
  <c r="D178" i="95"/>
  <c r="E234" i="95"/>
  <c r="D180" i="95"/>
  <c r="D179" i="95"/>
  <c r="E158" i="95"/>
  <c r="I137" i="95"/>
  <c r="D115" i="95"/>
  <c r="E94" i="95"/>
  <c r="D73" i="95"/>
  <c r="J214" i="95"/>
  <c r="J116" i="95"/>
  <c r="E235" i="95"/>
  <c r="I214" i="95"/>
  <c r="D192" i="95"/>
  <c r="E171" i="95"/>
  <c r="I150" i="95"/>
  <c r="D128" i="95"/>
  <c r="I107" i="95"/>
  <c r="D86" i="95"/>
  <c r="I64" i="95"/>
  <c r="J221" i="95"/>
  <c r="J123" i="95"/>
  <c r="I227" i="95"/>
  <c r="D205" i="95"/>
  <c r="E184" i="95"/>
  <c r="I163" i="95"/>
  <c r="D141" i="95"/>
  <c r="E120" i="95"/>
  <c r="D99" i="95"/>
  <c r="E77" i="95"/>
  <c r="J119" i="95"/>
  <c r="J228" i="95"/>
  <c r="E240" i="95"/>
  <c r="D218" i="95"/>
  <c r="E197" i="95"/>
  <c r="I176" i="95"/>
  <c r="D154" i="95"/>
  <c r="E133" i="95"/>
  <c r="I112" i="95"/>
  <c r="D90" i="95"/>
  <c r="E69" i="95"/>
  <c r="J126" i="95"/>
  <c r="J235" i="95"/>
  <c r="D231" i="95"/>
  <c r="E202" i="95"/>
  <c r="D167" i="95"/>
  <c r="D135" i="95"/>
  <c r="I101" i="95"/>
  <c r="I69" i="95"/>
  <c r="J148" i="95"/>
  <c r="E223" i="95"/>
  <c r="I170" i="95"/>
  <c r="E134" i="95"/>
  <c r="I113" i="95"/>
  <c r="D91" i="95"/>
  <c r="D70" i="95"/>
  <c r="J150" i="95"/>
  <c r="J146" i="95"/>
  <c r="D232" i="95"/>
  <c r="E211" i="95"/>
  <c r="I190" i="95"/>
  <c r="D168" i="95"/>
  <c r="E147" i="95"/>
  <c r="I126" i="95"/>
  <c r="E104" i="95"/>
  <c r="I83" i="95"/>
  <c r="J122" i="95"/>
  <c r="J157" i="95"/>
  <c r="D245" i="95"/>
  <c r="E224" i="95"/>
  <c r="I203" i="95"/>
  <c r="D181" i="95"/>
  <c r="E160" i="95"/>
  <c r="I139" i="95"/>
  <c r="D117" i="95"/>
  <c r="I96" i="95"/>
  <c r="D75" i="95"/>
  <c r="J170" i="95"/>
  <c r="J164" i="95"/>
  <c r="E237" i="95"/>
  <c r="I216" i="95"/>
  <c r="D194" i="95"/>
  <c r="E173" i="95"/>
  <c r="I152" i="95"/>
  <c r="D130" i="95"/>
  <c r="I109" i="95"/>
  <c r="D88" i="95"/>
  <c r="E66" i="95"/>
  <c r="J210" i="95"/>
  <c r="J171" i="95"/>
  <c r="I229" i="95"/>
  <c r="D199" i="95"/>
  <c r="I165" i="95"/>
  <c r="I133" i="95"/>
  <c r="E95" i="95"/>
  <c r="J231" i="95"/>
  <c r="J84" i="95"/>
  <c r="D220" i="95"/>
  <c r="E159" i="95"/>
  <c r="D110" i="95"/>
  <c r="D89" i="95"/>
  <c r="E67" i="95"/>
  <c r="J86" i="95"/>
  <c r="J195" i="95"/>
  <c r="I230" i="95"/>
  <c r="D208" i="95"/>
  <c r="E187" i="95"/>
  <c r="I166" i="95"/>
  <c r="D144" i="95"/>
  <c r="E123" i="95"/>
  <c r="D102" i="95"/>
  <c r="D80" i="95"/>
  <c r="J191" i="95"/>
  <c r="J93" i="95"/>
  <c r="D243" i="95"/>
  <c r="D221" i="95"/>
  <c r="E200" i="95"/>
  <c r="I179" i="95"/>
  <c r="D157" i="95"/>
  <c r="E136" i="95"/>
  <c r="I115" i="95"/>
  <c r="E93" i="95"/>
  <c r="E72" i="95"/>
  <c r="J198" i="95"/>
  <c r="J100" i="95"/>
  <c r="D234" i="95"/>
  <c r="E213" i="95"/>
  <c r="I192" i="95"/>
  <c r="D170" i="95"/>
  <c r="E149" i="95"/>
  <c r="I128" i="95"/>
  <c r="E106" i="95"/>
  <c r="I85" i="95"/>
  <c r="E64" i="95"/>
  <c r="J205" i="95"/>
  <c r="J107" i="95"/>
  <c r="E226" i="95"/>
  <c r="I197" i="95"/>
  <c r="D159" i="95"/>
  <c r="I125" i="95"/>
  <c r="D93" i="95"/>
  <c r="J167" i="95"/>
  <c r="J227" i="95"/>
  <c r="D212" i="95"/>
  <c r="D148" i="95"/>
  <c r="D184" i="95"/>
  <c r="E163" i="95"/>
  <c r="I142" i="95"/>
  <c r="D120" i="95"/>
  <c r="I99" i="95"/>
  <c r="D78" i="95"/>
  <c r="J127" i="95"/>
  <c r="J236" i="95"/>
  <c r="I240" i="95"/>
  <c r="I219" i="95"/>
  <c r="D197" i="95"/>
  <c r="E176" i="95"/>
  <c r="I155" i="95"/>
  <c r="D133" i="95"/>
  <c r="E112" i="95"/>
  <c r="I91" i="95"/>
  <c r="D69" i="95"/>
  <c r="J134" i="95"/>
  <c r="J243" i="95"/>
  <c r="I232" i="95"/>
  <c r="D210" i="95"/>
  <c r="E189" i="95"/>
  <c r="I168" i="95"/>
  <c r="D146" i="95"/>
  <c r="E125" i="95"/>
  <c r="D104" i="95"/>
  <c r="E82" i="95"/>
  <c r="J239" i="95"/>
  <c r="J141" i="95"/>
  <c r="I245" i="95"/>
  <c r="D223" i="95"/>
  <c r="I189" i="95"/>
  <c r="I157" i="95"/>
  <c r="E122" i="95"/>
  <c r="E90" i="95"/>
  <c r="J64" i="95"/>
  <c r="D244" i="95"/>
  <c r="I210" i="95"/>
  <c r="I138" i="95"/>
  <c r="E152" i="95"/>
  <c r="I131" i="95"/>
  <c r="E109" i="95"/>
  <c r="I88" i="95"/>
  <c r="D67" i="95"/>
  <c r="J70" i="95"/>
  <c r="J179" i="95"/>
  <c r="E229" i="95"/>
  <c r="I208" i="95"/>
  <c r="D186" i="95"/>
  <c r="E165" i="95"/>
  <c r="I144" i="95"/>
  <c r="D122" i="95"/>
  <c r="E101" i="95"/>
  <c r="I80" i="95"/>
  <c r="J175" i="95"/>
  <c r="J77" i="95"/>
  <c r="E242" i="95"/>
  <c r="I221" i="95"/>
  <c r="E186" i="95"/>
  <c r="E154" i="95"/>
  <c r="I117" i="95"/>
  <c r="I82" i="95"/>
  <c r="J182" i="95"/>
  <c r="I242" i="95"/>
  <c r="I202" i="95"/>
  <c r="E127" i="95"/>
  <c r="E71" i="95"/>
  <c r="J99" i="95"/>
  <c r="I226" i="95"/>
  <c r="D204" i="95"/>
  <c r="D140" i="95"/>
  <c r="D76" i="95"/>
  <c r="D136" i="95"/>
  <c r="E115" i="95"/>
  <c r="I94" i="95"/>
  <c r="D72" i="95"/>
  <c r="J206" i="95"/>
  <c r="J108" i="95"/>
  <c r="I235" i="95"/>
  <c r="D213" i="95"/>
  <c r="E192" i="95"/>
  <c r="I171" i="95"/>
  <c r="D149" i="95"/>
  <c r="E128" i="95"/>
  <c r="D107" i="95"/>
  <c r="E85" i="95"/>
  <c r="D64" i="95"/>
  <c r="J213" i="95"/>
  <c r="J115" i="95"/>
  <c r="D226" i="95"/>
  <c r="E205" i="95"/>
  <c r="I184" i="95"/>
  <c r="D162" i="95"/>
  <c r="E141" i="95"/>
  <c r="I120" i="95"/>
  <c r="D98" i="95"/>
  <c r="I77" i="95"/>
  <c r="J111" i="95"/>
  <c r="J220" i="95"/>
  <c r="D239" i="95"/>
  <c r="E218" i="95"/>
  <c r="I181" i="95"/>
  <c r="E146" i="95"/>
  <c r="E114" i="95"/>
  <c r="D79" i="95"/>
  <c r="J118" i="95"/>
  <c r="E236" i="95"/>
  <c r="E199" i="95"/>
  <c r="E116" i="95"/>
  <c r="E232" i="95"/>
  <c r="I211" i="95"/>
  <c r="D189" i="95"/>
  <c r="E168" i="95"/>
  <c r="I147" i="95"/>
  <c r="D125" i="95"/>
  <c r="I104" i="95"/>
  <c r="D83" i="95"/>
  <c r="J65" i="95"/>
  <c r="J149" i="95"/>
  <c r="E245" i="95"/>
  <c r="I224" i="95"/>
  <c r="E181" i="95"/>
  <c r="I160" i="95"/>
  <c r="D138" i="95"/>
  <c r="E117" i="95"/>
  <c r="D96" i="95"/>
  <c r="D74" i="95"/>
  <c r="J114" i="95"/>
  <c r="J156" i="95"/>
  <c r="I237" i="95"/>
  <c r="E210" i="95"/>
  <c r="E178" i="95"/>
  <c r="D143" i="95"/>
  <c r="D111" i="95"/>
  <c r="I74" i="95"/>
  <c r="J133" i="95"/>
  <c r="I234" i="95"/>
  <c r="E191" i="95"/>
  <c r="I205" i="95"/>
  <c r="D183" i="95"/>
  <c r="E162" i="95"/>
  <c r="I141" i="95"/>
  <c r="D119" i="95"/>
  <c r="E98" i="95"/>
  <c r="D77" i="95"/>
  <c r="J103" i="95"/>
  <c r="J212" i="95"/>
  <c r="E239" i="95"/>
  <c r="I218" i="95"/>
  <c r="D196" i="95"/>
  <c r="E175" i="95"/>
  <c r="I154" i="95"/>
  <c r="D132" i="95"/>
  <c r="E111" i="95"/>
  <c r="I90" i="95"/>
  <c r="I68" i="95"/>
  <c r="E215" i="95"/>
  <c r="I194" i="95"/>
  <c r="D172" i="95"/>
  <c r="E151" i="95"/>
  <c r="I130" i="95"/>
  <c r="D108" i="95"/>
  <c r="E87" i="95"/>
  <c r="I66" i="95"/>
  <c r="D106" i="95"/>
  <c r="E84" i="95"/>
  <c r="I188" i="95"/>
  <c r="E167" i="95"/>
  <c r="I146" i="95"/>
  <c r="D124" i="95"/>
  <c r="I103" i="95"/>
  <c r="D82" i="95"/>
  <c r="D215" i="95"/>
  <c r="E194" i="95"/>
  <c r="I173" i="95"/>
  <c r="D151" i="95"/>
  <c r="E130" i="95"/>
  <c r="D109" i="95"/>
  <c r="D87" i="95"/>
  <c r="D66" i="95"/>
  <c r="J154" i="95"/>
  <c r="J163" i="95"/>
  <c r="D228" i="95"/>
  <c r="E207" i="95"/>
  <c r="I186" i="95"/>
  <c r="D164" i="95"/>
  <c r="E143" i="95"/>
  <c r="I122" i="95"/>
  <c r="E100" i="95"/>
  <c r="E79" i="95"/>
  <c r="I213" i="95"/>
  <c r="D191" i="95"/>
  <c r="E170" i="95"/>
  <c r="I149" i="95"/>
  <c r="D127" i="95"/>
  <c r="I106" i="95"/>
  <c r="D85" i="95"/>
  <c r="J88" i="95"/>
  <c r="J197" i="95"/>
  <c r="E183" i="95"/>
  <c r="I162" i="95"/>
  <c r="E119" i="95"/>
  <c r="I98" i="95"/>
  <c r="I178" i="95"/>
  <c r="D156" i="95"/>
  <c r="E135" i="95"/>
  <c r="I114" i="95"/>
  <c r="D92" i="95"/>
  <c r="C898" i="95"/>
  <c r="C1663" i="95"/>
  <c r="D63" i="80"/>
  <c r="D67" i="80"/>
  <c r="D71" i="80"/>
  <c r="D64" i="80"/>
  <c r="D62" i="80"/>
  <c r="D69" i="80"/>
  <c r="D65" i="80"/>
  <c r="D66" i="80"/>
  <c r="D60" i="80"/>
  <c r="Q24" i="91"/>
  <c r="E165" i="64"/>
  <c r="E170" i="64"/>
  <c r="C164" i="64"/>
  <c r="E164" i="64" s="1"/>
  <c r="E175" i="64"/>
  <c r="E169" i="64"/>
  <c r="E171" i="64"/>
  <c r="E172" i="64"/>
  <c r="E168" i="64"/>
  <c r="E167" i="64"/>
  <c r="AC41" i="7"/>
  <c r="N121" i="66"/>
  <c r="R121" i="66" s="1"/>
  <c r="T121" i="66" s="1"/>
  <c r="AT121" i="66" s="1"/>
  <c r="I123" i="66"/>
  <c r="Y122" i="66"/>
  <c r="M122" i="66"/>
  <c r="L122" i="66"/>
  <c r="N143" i="66"/>
  <c r="R143" i="66" s="1"/>
  <c r="T143" i="66" s="1"/>
  <c r="AT143" i="66" s="1"/>
  <c r="I145" i="66"/>
  <c r="N145" i="66" s="1"/>
  <c r="Y144" i="66"/>
  <c r="M144" i="66"/>
  <c r="L144" i="66"/>
  <c r="N42" i="66"/>
  <c r="N47" i="66"/>
  <c r="B41" i="2"/>
  <c r="AR41" i="2" s="1"/>
  <c r="B39" i="2"/>
  <c r="AR39" i="2" s="1"/>
  <c r="B37" i="2"/>
  <c r="AR37" i="2" s="1"/>
  <c r="N43" i="66"/>
  <c r="N50" i="66"/>
  <c r="B38" i="2"/>
  <c r="AR38" i="2" s="1"/>
  <c r="R35" i="2"/>
  <c r="H18" i="73" s="1"/>
  <c r="N44" i="66"/>
  <c r="B34" i="2"/>
  <c r="AR34" i="2" s="1"/>
  <c r="N41" i="66"/>
  <c r="N48" i="66"/>
  <c r="K47" i="66"/>
  <c r="J47" i="66" s="1"/>
  <c r="R40" i="2"/>
  <c r="AD40" i="2"/>
  <c r="D114" i="72"/>
  <c r="B31" i="19"/>
  <c r="G31" i="19" s="1"/>
  <c r="H31" i="19" s="1"/>
  <c r="R36" i="2"/>
  <c r="H19" i="73" s="1"/>
  <c r="K43" i="66"/>
  <c r="J43" i="66" s="1"/>
  <c r="H24" i="82" s="1"/>
  <c r="D110" i="72"/>
  <c r="AD36" i="2"/>
  <c r="B27" i="19"/>
  <c r="G27" i="19" s="1"/>
  <c r="H27" i="19" s="1"/>
  <c r="E178" i="64" l="1"/>
  <c r="E179" i="64" s="1"/>
  <c r="E180" i="64" s="1"/>
  <c r="E181" i="64" s="1"/>
  <c r="L105" i="64" s="1"/>
  <c r="B1235" i="70"/>
  <c r="B1236" i="70"/>
  <c r="B1237" i="70"/>
  <c r="D156" i="72"/>
  <c r="C48" i="7"/>
  <c r="C1664" i="95"/>
  <c r="C899" i="95"/>
  <c r="D72" i="80"/>
  <c r="D74" i="80" s="1"/>
  <c r="D75" i="80" s="1"/>
  <c r="Q25" i="91"/>
  <c r="M24" i="82"/>
  <c r="S24" i="82" s="1"/>
  <c r="K19" i="73"/>
  <c r="L19" i="73" s="1"/>
  <c r="M19" i="73" s="1"/>
  <c r="I19" i="73"/>
  <c r="J19" i="73" s="1"/>
  <c r="I18" i="73"/>
  <c r="J18" i="73" s="1"/>
  <c r="K18" i="73"/>
  <c r="L18" i="73" s="1"/>
  <c r="M18" i="73" s="1"/>
  <c r="J117" i="72"/>
  <c r="AD39" i="2"/>
  <c r="D115" i="72"/>
  <c r="K45" i="66"/>
  <c r="J45" i="66" s="1"/>
  <c r="T45" i="66" s="1"/>
  <c r="AT45" i="66" s="1"/>
  <c r="R34" i="2"/>
  <c r="H17" i="73" s="1"/>
  <c r="B28" i="19"/>
  <c r="G28" i="19" s="1"/>
  <c r="H28" i="19" s="1"/>
  <c r="I124" i="66"/>
  <c r="N123" i="66"/>
  <c r="R123" i="66" s="1"/>
  <c r="T123" i="66" s="1"/>
  <c r="AT123" i="66" s="1"/>
  <c r="Y123" i="66"/>
  <c r="L123" i="66"/>
  <c r="M123" i="66"/>
  <c r="N122" i="66"/>
  <c r="R122" i="66" s="1"/>
  <c r="T122" i="66" s="1"/>
  <c r="AT122" i="66" s="1"/>
  <c r="R144" i="66"/>
  <c r="T144" i="66" s="1"/>
  <c r="AT144" i="66" s="1"/>
  <c r="I154" i="66"/>
  <c r="L145" i="66"/>
  <c r="Y145" i="66"/>
  <c r="M145" i="66"/>
  <c r="D111" i="72"/>
  <c r="K49" i="66"/>
  <c r="J49" i="66" s="1"/>
  <c r="B26" i="19"/>
  <c r="G26" i="19" s="1"/>
  <c r="H26" i="19" s="1"/>
  <c r="K48" i="66"/>
  <c r="J48" i="66" s="1"/>
  <c r="D117" i="72"/>
  <c r="D113" i="72"/>
  <c r="B29" i="19"/>
  <c r="G29" i="19" s="1"/>
  <c r="H29" i="19" s="1"/>
  <c r="K50" i="66"/>
  <c r="J50" i="66" s="1"/>
  <c r="AD37" i="2"/>
  <c r="K42" i="66"/>
  <c r="J42" i="66" s="1"/>
  <c r="B33" i="19"/>
  <c r="G33" i="19" s="1"/>
  <c r="H33" i="19" s="1"/>
  <c r="AD35" i="2"/>
  <c r="R38" i="2"/>
  <c r="R37" i="2"/>
  <c r="D112" i="72"/>
  <c r="K44" i="66"/>
  <c r="J44" i="66" s="1"/>
  <c r="AD38" i="2"/>
  <c r="AD41" i="2"/>
  <c r="D109" i="72"/>
  <c r="D116" i="72"/>
  <c r="B32" i="19"/>
  <c r="G32" i="19" s="1"/>
  <c r="H32" i="19" s="1"/>
  <c r="R41" i="2"/>
  <c r="Y41" i="2" s="1"/>
  <c r="T47" i="66"/>
  <c r="AT47" i="66" s="1"/>
  <c r="R39" i="2"/>
  <c r="Y39" i="2" s="1"/>
  <c r="S39" i="2" s="1"/>
  <c r="B30" i="19"/>
  <c r="G30" i="19" s="1"/>
  <c r="H30" i="19" s="1"/>
  <c r="B34" i="19"/>
  <c r="G34" i="19" s="1"/>
  <c r="H34" i="19" s="1"/>
  <c r="K46" i="66"/>
  <c r="J46" i="66" s="1"/>
  <c r="H299" i="82" s="1"/>
  <c r="N299" i="82" s="1"/>
  <c r="Q299" i="82" s="1"/>
  <c r="R299" i="82" s="1"/>
  <c r="T43" i="66"/>
  <c r="AT43" i="66" s="1"/>
  <c r="B25" i="19"/>
  <c r="G25" i="19" s="1"/>
  <c r="K41" i="66"/>
  <c r="J41" i="66" s="1"/>
  <c r="H22" i="82" s="1"/>
  <c r="AD34" i="2"/>
  <c r="D108" i="72"/>
  <c r="J114" i="72"/>
  <c r="Y40" i="2"/>
  <c r="Y36" i="2"/>
  <c r="S36" i="2" s="1"/>
  <c r="T36" i="2" s="1"/>
  <c r="J110" i="72"/>
  <c r="Y35" i="2"/>
  <c r="S35" i="2" s="1"/>
  <c r="J109" i="72"/>
  <c r="X40" i="7" l="1"/>
  <c r="X56" i="7" s="1"/>
  <c r="C52" i="7"/>
  <c r="D158" i="72"/>
  <c r="C50" i="7"/>
  <c r="C49" i="7"/>
  <c r="D157" i="72"/>
  <c r="AL36" i="2"/>
  <c r="AT36" i="2"/>
  <c r="C1665" i="95"/>
  <c r="C900" i="95"/>
  <c r="T39" i="2"/>
  <c r="H25" i="82"/>
  <c r="M25" i="82" s="1"/>
  <c r="S25" i="82" s="1"/>
  <c r="H26" i="82"/>
  <c r="H150" i="82"/>
  <c r="N150" i="82" s="1"/>
  <c r="Q150" i="82" s="1"/>
  <c r="R150" i="82" s="1"/>
  <c r="H151" i="82"/>
  <c r="N151" i="82" s="1"/>
  <c r="Q151" i="82" s="1"/>
  <c r="R151" i="82" s="1"/>
  <c r="H27" i="82"/>
  <c r="H23" i="82"/>
  <c r="M23" i="82" s="1"/>
  <c r="S23" i="82" s="1"/>
  <c r="Q26" i="91"/>
  <c r="Q27" i="91" s="1"/>
  <c r="N24" i="82"/>
  <c r="Q24" i="82" s="1"/>
  <c r="R24" i="82" s="1"/>
  <c r="M22" i="82"/>
  <c r="S22" i="82" s="1"/>
  <c r="H291" i="82"/>
  <c r="N291" i="82" s="1"/>
  <c r="Q291" i="82" s="1"/>
  <c r="R291" i="82" s="1"/>
  <c r="H148" i="82"/>
  <c r="N148" i="82" s="1"/>
  <c r="Q148" i="82" s="1"/>
  <c r="R148" i="82" s="1"/>
  <c r="H292" i="82"/>
  <c r="N292" i="82" s="1"/>
  <c r="Q292" i="82" s="1"/>
  <c r="R292" i="82" s="1"/>
  <c r="H149" i="82"/>
  <c r="N149" i="82" s="1"/>
  <c r="Q149" i="82" s="1"/>
  <c r="R149" i="82" s="1"/>
  <c r="T35" i="2"/>
  <c r="H147" i="82"/>
  <c r="N147" i="82" s="1"/>
  <c r="Q147" i="82" s="1"/>
  <c r="R147" i="82" s="1"/>
  <c r="H290" i="82"/>
  <c r="N290" i="82" s="1"/>
  <c r="Q290" i="82" s="1"/>
  <c r="R290" i="82" s="1"/>
  <c r="H289" i="82"/>
  <c r="N289" i="82" s="1"/>
  <c r="Q289" i="82" s="1"/>
  <c r="R289" i="82" s="1"/>
  <c r="H146" i="82"/>
  <c r="N146" i="82" s="1"/>
  <c r="Q146" i="82" s="1"/>
  <c r="R146" i="82" s="1"/>
  <c r="Y37" i="2"/>
  <c r="S37" i="2" s="1"/>
  <c r="T37" i="2" s="1"/>
  <c r="H20" i="73"/>
  <c r="J112" i="72"/>
  <c r="H21" i="73"/>
  <c r="I17" i="73"/>
  <c r="K17" i="73"/>
  <c r="I1185" i="70"/>
  <c r="I1187" i="70" s="1"/>
  <c r="T46" i="66"/>
  <c r="AT46" i="66" s="1"/>
  <c r="T44" i="66"/>
  <c r="AT44" i="66" s="1"/>
  <c r="T42" i="66"/>
  <c r="AT42" i="66" s="1"/>
  <c r="T50" i="66"/>
  <c r="AT50" i="66" s="1"/>
  <c r="T48" i="66"/>
  <c r="AT48" i="66" s="1"/>
  <c r="T49" i="66"/>
  <c r="AT49" i="66" s="1"/>
  <c r="I126" i="66"/>
  <c r="M124" i="66"/>
  <c r="N124" i="66"/>
  <c r="R124" i="66" s="1"/>
  <c r="T124" i="66" s="1"/>
  <c r="AT124" i="66" s="1"/>
  <c r="L124" i="66"/>
  <c r="Y124" i="66"/>
  <c r="I155" i="66"/>
  <c r="M154" i="66"/>
  <c r="Y154" i="66"/>
  <c r="L154" i="66"/>
  <c r="R145" i="66"/>
  <c r="T145" i="66" s="1"/>
  <c r="AT145" i="66" s="1"/>
  <c r="J116" i="72"/>
  <c r="J113" i="72"/>
  <c r="Y38" i="2"/>
  <c r="S38" i="2" s="1"/>
  <c r="T38" i="2" s="1"/>
  <c r="J111" i="72"/>
  <c r="J115" i="72"/>
  <c r="G45" i="19"/>
  <c r="G46" i="19" s="1"/>
  <c r="H25" i="19"/>
  <c r="J108" i="72"/>
  <c r="Y34" i="2"/>
  <c r="S34" i="2" s="1"/>
  <c r="T34" i="2" s="1"/>
  <c r="AT34" i="2" s="1"/>
  <c r="I146" i="72" l="1"/>
  <c r="F1221" i="70"/>
  <c r="C14" i="7" s="1"/>
  <c r="Z40" i="7"/>
  <c r="AA40" i="7" s="1"/>
  <c r="AB40" i="7"/>
  <c r="AC40" i="7" s="1"/>
  <c r="Y40" i="7"/>
  <c r="E71" i="7"/>
  <c r="E73" i="7"/>
  <c r="E74" i="7"/>
  <c r="E75" i="7"/>
  <c r="E72" i="7"/>
  <c r="C1281" i="70"/>
  <c r="C1253" i="70"/>
  <c r="AL35" i="2"/>
  <c r="AT35" i="2"/>
  <c r="AL39" i="2"/>
  <c r="AT39" i="2"/>
  <c r="AL38" i="2"/>
  <c r="AT38" i="2"/>
  <c r="AL37" i="2"/>
  <c r="AT37" i="2"/>
  <c r="C1666" i="95"/>
  <c r="C901" i="95"/>
  <c r="M27" i="82"/>
  <c r="S27" i="82" s="1"/>
  <c r="M26" i="82"/>
  <c r="S26" i="82" s="1"/>
  <c r="Q28" i="91"/>
  <c r="Q29" i="91" s="1"/>
  <c r="Q30" i="91" s="1"/>
  <c r="Q31" i="91" s="1"/>
  <c r="Q32" i="91" s="1"/>
  <c r="Q33" i="91" s="1"/>
  <c r="N23" i="82"/>
  <c r="Q23" i="82" s="1"/>
  <c r="R23" i="82" s="1"/>
  <c r="N22" i="82"/>
  <c r="Q22" i="82" s="1"/>
  <c r="R22" i="82" s="1"/>
  <c r="N25" i="82"/>
  <c r="Q25" i="82" s="1"/>
  <c r="R25" i="82" s="1"/>
  <c r="AL34" i="2"/>
  <c r="S9" i="83"/>
  <c r="AA9" i="83"/>
  <c r="AI9" i="83"/>
  <c r="U9" i="83"/>
  <c r="AC9" i="83"/>
  <c r="W9" i="83"/>
  <c r="AE9" i="83"/>
  <c r="T49" i="2"/>
  <c r="Y9" i="83"/>
  <c r="AG9" i="83"/>
  <c r="L17" i="73"/>
  <c r="J17" i="73"/>
  <c r="K21" i="73"/>
  <c r="L21" i="73" s="1"/>
  <c r="M21" i="73" s="1"/>
  <c r="I21" i="73"/>
  <c r="J21" i="73" s="1"/>
  <c r="K20" i="73"/>
  <c r="L20" i="73" s="1"/>
  <c r="M20" i="73" s="1"/>
  <c r="I20" i="73"/>
  <c r="C1264" i="70"/>
  <c r="C1262" i="70"/>
  <c r="F1220" i="70"/>
  <c r="C1254" i="70"/>
  <c r="C1261" i="70"/>
  <c r="C1276" i="70"/>
  <c r="I145" i="72"/>
  <c r="C1256" i="70"/>
  <c r="C1275" i="70"/>
  <c r="C1274" i="70"/>
  <c r="C1260" i="70"/>
  <c r="C1282" i="70"/>
  <c r="C1279" i="70"/>
  <c r="C1272" i="70"/>
  <c r="C1258" i="70"/>
  <c r="C1280" i="70"/>
  <c r="C1257" i="70"/>
  <c r="C1273" i="70"/>
  <c r="C1278" i="70"/>
  <c r="B1222" i="70"/>
  <c r="C17" i="7" s="1"/>
  <c r="C1255" i="70"/>
  <c r="C1271" i="70"/>
  <c r="C1263" i="70"/>
  <c r="C1259" i="70"/>
  <c r="C1277" i="70"/>
  <c r="I212" i="66"/>
  <c r="T41" i="66"/>
  <c r="AT41" i="66" s="1"/>
  <c r="N154" i="66"/>
  <c r="R154" i="66" s="1"/>
  <c r="T154" i="66" s="1"/>
  <c r="AT154" i="66" s="1"/>
  <c r="Y126" i="66"/>
  <c r="L126" i="66"/>
  <c r="I127" i="66"/>
  <c r="M126" i="66"/>
  <c r="I156" i="66"/>
  <c r="L155" i="66"/>
  <c r="M155" i="66"/>
  <c r="Y155" i="66"/>
  <c r="M185" i="66"/>
  <c r="R189" i="66" s="1"/>
  <c r="E27" i="41"/>
  <c r="D43" i="41"/>
  <c r="E35" i="41"/>
  <c r="D27" i="41"/>
  <c r="C43" i="41"/>
  <c r="E43" i="41"/>
  <c r="E19" i="41"/>
  <c r="E11" i="41"/>
  <c r="D51" i="41"/>
  <c r="C27" i="41"/>
  <c r="C11" i="41"/>
  <c r="C51" i="41"/>
  <c r="C35" i="41"/>
  <c r="D35" i="41"/>
  <c r="E12" i="41"/>
  <c r="C19" i="41"/>
  <c r="E51" i="41"/>
  <c r="D19" i="41"/>
  <c r="D11" i="41"/>
  <c r="A63" i="98" l="1"/>
  <c r="B63" i="98" s="1"/>
  <c r="E43" i="98"/>
  <c r="E35" i="98"/>
  <c r="E34" i="98"/>
  <c r="E40" i="98"/>
  <c r="E38" i="98"/>
  <c r="E42" i="98"/>
  <c r="E37" i="98"/>
  <c r="E44" i="98"/>
  <c r="E39" i="98"/>
  <c r="E36" i="98"/>
  <c r="E41" i="98"/>
  <c r="E33" i="98"/>
  <c r="G58" i="7"/>
  <c r="G82" i="7" s="1"/>
  <c r="G83" i="7" s="1"/>
  <c r="I58" i="7"/>
  <c r="I82" i="7" s="1"/>
  <c r="I83" i="7" s="1"/>
  <c r="AD40" i="7"/>
  <c r="AE40" i="7" s="1"/>
  <c r="AF40" i="7" s="1"/>
  <c r="J18" i="72"/>
  <c r="N18" i="72" s="1"/>
  <c r="AT49" i="2"/>
  <c r="Z18" i="72"/>
  <c r="C1667" i="95"/>
  <c r="C902" i="95"/>
  <c r="N27" i="82"/>
  <c r="Q27" i="82" s="1"/>
  <c r="R27" i="82" s="1"/>
  <c r="N26" i="82"/>
  <c r="Q26" i="82" s="1"/>
  <c r="R26" i="82" s="1"/>
  <c r="R6" i="91"/>
  <c r="R17" i="91"/>
  <c r="R12" i="91"/>
  <c r="R16" i="91"/>
  <c r="R9" i="91"/>
  <c r="R15" i="91"/>
  <c r="R13" i="91"/>
  <c r="R4" i="91"/>
  <c r="R10" i="91"/>
  <c r="R5" i="91"/>
  <c r="R18" i="91"/>
  <c r="R11" i="91"/>
  <c r="R8" i="91"/>
  <c r="R14" i="91"/>
  <c r="R7" i="91"/>
  <c r="R3" i="91"/>
  <c r="R22" i="91"/>
  <c r="R19" i="91"/>
  <c r="R21" i="91"/>
  <c r="R23" i="91"/>
  <c r="R25" i="91"/>
  <c r="R20" i="91"/>
  <c r="R24" i="91"/>
  <c r="R33" i="91"/>
  <c r="R31" i="91"/>
  <c r="R32" i="91"/>
  <c r="R26" i="91"/>
  <c r="R30" i="91"/>
  <c r="R29" i="91"/>
  <c r="R28" i="91"/>
  <c r="R27" i="91"/>
  <c r="C13" i="7"/>
  <c r="D51" i="7" s="1"/>
  <c r="D56" i="7" s="1"/>
  <c r="G9" i="83"/>
  <c r="N1223" i="70"/>
  <c r="N1221" i="70"/>
  <c r="J20" i="73"/>
  <c r="M17" i="73"/>
  <c r="N126" i="66"/>
  <c r="R126" i="66" s="1"/>
  <c r="T126" i="66" s="1"/>
  <c r="AT126" i="66" s="1"/>
  <c r="M127" i="66"/>
  <c r="I128" i="66"/>
  <c r="L127" i="66"/>
  <c r="Y127" i="66"/>
  <c r="N155" i="66"/>
  <c r="R155" i="66" s="1"/>
  <c r="T155" i="66" s="1"/>
  <c r="AT155" i="66" s="1"/>
  <c r="I157" i="66"/>
  <c r="M156" i="66"/>
  <c r="Y156" i="66"/>
  <c r="L156" i="66"/>
  <c r="P187" i="66"/>
  <c r="R187" i="66" s="1"/>
  <c r="P188" i="66"/>
  <c r="R188" i="66" s="1"/>
  <c r="P186" i="66"/>
  <c r="R186" i="66" s="1"/>
  <c r="P185" i="66"/>
  <c r="R185" i="66" s="1"/>
  <c r="B64" i="98" l="1"/>
  <c r="K58" i="7"/>
  <c r="K68" i="7"/>
  <c r="AG40" i="7"/>
  <c r="AH40" i="7" s="1"/>
  <c r="J38" i="72" s="1"/>
  <c r="L2" i="74"/>
  <c r="D9" i="83"/>
  <c r="C903" i="95"/>
  <c r="C1668" i="95"/>
  <c r="E51" i="7"/>
  <c r="E56" i="7" s="1"/>
  <c r="L51" i="7"/>
  <c r="L56" i="7" s="1"/>
  <c r="M51" i="7"/>
  <c r="M56" i="7" s="1"/>
  <c r="J51" i="7"/>
  <c r="J56" i="7" s="1"/>
  <c r="K51" i="7"/>
  <c r="K56" i="7" s="1"/>
  <c r="O51" i="7"/>
  <c r="O56" i="7" s="1"/>
  <c r="R51" i="7"/>
  <c r="R56" i="7" s="1"/>
  <c r="N51" i="7"/>
  <c r="N56" i="7" s="1"/>
  <c r="Q51" i="7"/>
  <c r="Q56" i="7" s="1"/>
  <c r="C51" i="7"/>
  <c r="C56" i="7" s="1"/>
  <c r="G51" i="7"/>
  <c r="G56" i="7" s="1"/>
  <c r="H51" i="7"/>
  <c r="H56" i="7" s="1"/>
  <c r="F51" i="7"/>
  <c r="F56" i="7" s="1"/>
  <c r="P51" i="7"/>
  <c r="P56" i="7" s="1"/>
  <c r="I51" i="7"/>
  <c r="I56" i="7" s="1"/>
  <c r="R190" i="66"/>
  <c r="R191" i="66" s="1"/>
  <c r="N127" i="66"/>
  <c r="R127" i="66" s="1"/>
  <c r="T127" i="66" s="1"/>
  <c r="AT127" i="66" s="1"/>
  <c r="M128" i="66"/>
  <c r="L128" i="66"/>
  <c r="I129" i="66"/>
  <c r="Y128" i="66"/>
  <c r="N156" i="66"/>
  <c r="R156" i="66" s="1"/>
  <c r="T156" i="66" s="1"/>
  <c r="AT156" i="66" s="1"/>
  <c r="I158" i="66"/>
  <c r="N158" i="66" s="1"/>
  <c r="L157" i="66"/>
  <c r="Y157" i="66"/>
  <c r="M157" i="66"/>
  <c r="I185" i="66"/>
  <c r="F9" i="98" l="1"/>
  <c r="F10" i="98" s="1"/>
  <c r="G9" i="98"/>
  <c r="G10" i="98" s="1"/>
  <c r="H9" i="98"/>
  <c r="H10" i="98" s="1"/>
  <c r="I9" i="98"/>
  <c r="I10" i="98" s="1"/>
  <c r="J9" i="98"/>
  <c r="J10" i="98" s="1"/>
  <c r="K9" i="98"/>
  <c r="K10" i="98" s="1"/>
  <c r="L9" i="98"/>
  <c r="L10" i="98" s="1"/>
  <c r="M9" i="98"/>
  <c r="M10" i="98" s="1"/>
  <c r="N9" i="98"/>
  <c r="N10" i="98" s="1"/>
  <c r="O9" i="98"/>
  <c r="O10" i="98" s="1"/>
  <c r="Y29" i="83"/>
  <c r="Q29" i="83"/>
  <c r="S29" i="83"/>
  <c r="B8" i="39"/>
  <c r="AG29" i="83"/>
  <c r="AA29" i="83"/>
  <c r="AE29" i="83"/>
  <c r="I29" i="83"/>
  <c r="AA2" i="74"/>
  <c r="K29" i="83"/>
  <c r="M29" i="83"/>
  <c r="O29" i="83"/>
  <c r="AI29" i="83"/>
  <c r="D29" i="83"/>
  <c r="U29" i="83"/>
  <c r="G29" i="83"/>
  <c r="AC29" i="83"/>
  <c r="W29" i="83"/>
  <c r="N38" i="72"/>
  <c r="C904" i="95"/>
  <c r="C1669" i="95"/>
  <c r="N128" i="66"/>
  <c r="R128" i="66" s="1"/>
  <c r="T128" i="66" s="1"/>
  <c r="AT128" i="66" s="1"/>
  <c r="M129" i="66"/>
  <c r="I130" i="66"/>
  <c r="Y129" i="66"/>
  <c r="L129" i="66"/>
  <c r="N157" i="66"/>
  <c r="R157" i="66" s="1"/>
  <c r="T157" i="66" s="1"/>
  <c r="AT157" i="66" s="1"/>
  <c r="I159" i="66"/>
  <c r="N159" i="66" s="1"/>
  <c r="M158" i="66"/>
  <c r="L158" i="66"/>
  <c r="R158" i="66" s="1"/>
  <c r="T158" i="66" s="1"/>
  <c r="AT158" i="66" s="1"/>
  <c r="Y158" i="66"/>
  <c r="T185" i="66"/>
  <c r="AT185" i="66" s="1"/>
  <c r="C1227" i="70" l="1"/>
  <c r="C1228" i="70"/>
  <c r="G11" i="98"/>
  <c r="H11" i="98"/>
  <c r="I11" i="98"/>
  <c r="K11" i="98"/>
  <c r="J11" i="98"/>
  <c r="M11" i="98"/>
  <c r="F11" i="98"/>
  <c r="O11" i="98"/>
  <c r="N11" i="98"/>
  <c r="L11" i="98"/>
  <c r="C1670" i="95"/>
  <c r="C905" i="95"/>
  <c r="N129" i="66"/>
  <c r="R129" i="66" s="1"/>
  <c r="T129" i="66" s="1"/>
  <c r="AT129" i="66" s="1"/>
  <c r="N130" i="66"/>
  <c r="M130" i="66"/>
  <c r="L130" i="66"/>
  <c r="I131" i="66"/>
  <c r="Y130" i="66"/>
  <c r="Y159" i="66"/>
  <c r="L159" i="66"/>
  <c r="M159" i="66"/>
  <c r="I30" i="98" l="1"/>
  <c r="I26" i="98"/>
  <c r="I22" i="98"/>
  <c r="I29" i="98"/>
  <c r="I25" i="98"/>
  <c r="I21" i="98"/>
  <c r="I28" i="98"/>
  <c r="I24" i="98"/>
  <c r="I20" i="98"/>
  <c r="I31" i="98"/>
  <c r="I27" i="98"/>
  <c r="I23" i="98"/>
  <c r="L28" i="98"/>
  <c r="L24" i="98"/>
  <c r="L20" i="98"/>
  <c r="L22" i="98"/>
  <c r="L25" i="98"/>
  <c r="L21" i="98"/>
  <c r="L31" i="98"/>
  <c r="L27" i="98"/>
  <c r="L23" i="98"/>
  <c r="L30" i="98"/>
  <c r="L26" i="98"/>
  <c r="L29" i="98"/>
  <c r="H28" i="98"/>
  <c r="H24" i="98"/>
  <c r="H31" i="98"/>
  <c r="H30" i="98"/>
  <c r="H26" i="98"/>
  <c r="H22" i="98"/>
  <c r="H29" i="98"/>
  <c r="H25" i="98"/>
  <c r="H21" i="98"/>
  <c r="H27" i="98"/>
  <c r="H20" i="98"/>
  <c r="H23" i="98"/>
  <c r="N31" i="98"/>
  <c r="N27" i="98"/>
  <c r="N23" i="98"/>
  <c r="N25" i="98"/>
  <c r="N21" i="98"/>
  <c r="N24" i="98"/>
  <c r="N29" i="98"/>
  <c r="N28" i="98"/>
  <c r="N30" i="98"/>
  <c r="N26" i="98"/>
  <c r="N22" i="98"/>
  <c r="N20" i="98"/>
  <c r="G31" i="98"/>
  <c r="G27" i="98"/>
  <c r="G23" i="98"/>
  <c r="G30" i="98"/>
  <c r="G26" i="98"/>
  <c r="G39" i="98" s="1"/>
  <c r="G22" i="98"/>
  <c r="G20" i="98"/>
  <c r="G29" i="98"/>
  <c r="G25" i="98"/>
  <c r="G21" i="98"/>
  <c r="G28" i="98"/>
  <c r="G24" i="98"/>
  <c r="O31" i="98"/>
  <c r="O27" i="98"/>
  <c r="O23" i="98"/>
  <c r="O30" i="98"/>
  <c r="O26" i="98"/>
  <c r="O22" i="98"/>
  <c r="O20" i="98"/>
  <c r="O29" i="98"/>
  <c r="O25" i="98"/>
  <c r="O21" i="98"/>
  <c r="O28" i="98"/>
  <c r="O24" i="98"/>
  <c r="F20" i="98"/>
  <c r="F21" i="98"/>
  <c r="F31" i="98"/>
  <c r="F27" i="98"/>
  <c r="F23" i="98"/>
  <c r="F29" i="98"/>
  <c r="F25" i="98"/>
  <c r="F30" i="98"/>
  <c r="F26" i="98"/>
  <c r="F22" i="98"/>
  <c r="F24" i="98"/>
  <c r="F28" i="98"/>
  <c r="J26" i="98"/>
  <c r="J29" i="98"/>
  <c r="J25" i="98"/>
  <c r="J21" i="98"/>
  <c r="J30" i="98"/>
  <c r="J28" i="98"/>
  <c r="J24" i="98"/>
  <c r="J20" i="98"/>
  <c r="J27" i="98"/>
  <c r="J23" i="98"/>
  <c r="J31" i="98"/>
  <c r="J22" i="98"/>
  <c r="M28" i="98"/>
  <c r="M24" i="98"/>
  <c r="M20" i="98"/>
  <c r="M31" i="98"/>
  <c r="M27" i="98"/>
  <c r="M23" i="98"/>
  <c r="M30" i="98"/>
  <c r="M26" i="98"/>
  <c r="M22" i="98"/>
  <c r="M29" i="98"/>
  <c r="M25" i="98"/>
  <c r="M21" i="98"/>
  <c r="K29" i="98"/>
  <c r="K25" i="98"/>
  <c r="K21" i="98"/>
  <c r="K28" i="98"/>
  <c r="K24" i="98"/>
  <c r="K20" i="98"/>
  <c r="K31" i="98"/>
  <c r="K27" i="98"/>
  <c r="K23" i="98"/>
  <c r="K30" i="98"/>
  <c r="K26" i="98"/>
  <c r="K22" i="98"/>
  <c r="C906" i="95"/>
  <c r="C1671" i="95"/>
  <c r="R130" i="66"/>
  <c r="T130" i="66" s="1"/>
  <c r="AT130" i="66" s="1"/>
  <c r="N131" i="66"/>
  <c r="R131" i="66" s="1"/>
  <c r="T131" i="66" s="1"/>
  <c r="AT131" i="66" s="1"/>
  <c r="Y131" i="66"/>
  <c r="M131" i="66"/>
  <c r="L131" i="66"/>
  <c r="R159" i="66"/>
  <c r="T159" i="66" s="1"/>
  <c r="AT159" i="66" s="1"/>
  <c r="E58" i="7"/>
  <c r="E67" i="7" s="1"/>
  <c r="E62" i="7"/>
  <c r="K40" i="98" l="1"/>
  <c r="J33" i="98"/>
  <c r="G43" i="98"/>
  <c r="H43" i="98"/>
  <c r="I36" i="98"/>
  <c r="M38" i="98"/>
  <c r="J37" i="98"/>
  <c r="O33" i="98"/>
  <c r="G36" i="98"/>
  <c r="H33" i="98"/>
  <c r="H44" i="98"/>
  <c r="I40" i="98"/>
  <c r="M42" i="98"/>
  <c r="O35" i="98"/>
  <c r="G40" i="98"/>
  <c r="N37" i="98"/>
  <c r="H40" i="98"/>
  <c r="H37" i="98"/>
  <c r="L34" i="98"/>
  <c r="I44" i="98"/>
  <c r="I39" i="98"/>
  <c r="F33" i="98"/>
  <c r="K37" i="98"/>
  <c r="M35" i="98"/>
  <c r="M41" i="98"/>
  <c r="J43" i="98"/>
  <c r="F39" i="98"/>
  <c r="O39" i="98"/>
  <c r="G38" i="98"/>
  <c r="G44" i="98"/>
  <c r="N34" i="98"/>
  <c r="H34" i="98"/>
  <c r="H41" i="98"/>
  <c r="L38" i="98"/>
  <c r="I33" i="98"/>
  <c r="I43" i="98"/>
  <c r="K35" i="98"/>
  <c r="K41" i="98"/>
  <c r="M39" i="98"/>
  <c r="J35" i="98"/>
  <c r="J34" i="98"/>
  <c r="F43" i="98"/>
  <c r="O37" i="98"/>
  <c r="O43" i="98"/>
  <c r="G42" i="98"/>
  <c r="N33" i="98"/>
  <c r="N38" i="98"/>
  <c r="H38" i="98"/>
  <c r="L42" i="98"/>
  <c r="L35" i="98"/>
  <c r="I37" i="98"/>
  <c r="F40" i="98"/>
  <c r="L40" i="98"/>
  <c r="K39" i="98"/>
  <c r="M43" i="98"/>
  <c r="J38" i="98"/>
  <c r="O36" i="98"/>
  <c r="N35" i="98"/>
  <c r="H42" i="98"/>
  <c r="L33" i="98"/>
  <c r="J42" i="98"/>
  <c r="I34" i="98"/>
  <c r="M34" i="98"/>
  <c r="M44" i="98"/>
  <c r="G37" i="98"/>
  <c r="H36" i="98"/>
  <c r="I42" i="98"/>
  <c r="K44" i="98"/>
  <c r="F37" i="98"/>
  <c r="K34" i="98"/>
  <c r="J44" i="98"/>
  <c r="F38" i="98"/>
  <c r="O41" i="98"/>
  <c r="G33" i="98"/>
  <c r="N36" i="98"/>
  <c r="L39" i="98"/>
  <c r="I41" i="98"/>
  <c r="K43" i="98"/>
  <c r="K38" i="98"/>
  <c r="M36" i="98"/>
  <c r="J36" i="98"/>
  <c r="F42" i="98"/>
  <c r="O34" i="98"/>
  <c r="O40" i="98"/>
  <c r="G35" i="98"/>
  <c r="N39" i="98"/>
  <c r="N40" i="98"/>
  <c r="H35" i="98"/>
  <c r="L43" i="98"/>
  <c r="L37" i="98"/>
  <c r="K36" i="98"/>
  <c r="K42" i="98"/>
  <c r="M40" i="98"/>
  <c r="J40" i="98"/>
  <c r="J39" i="98"/>
  <c r="F36" i="98"/>
  <c r="O38" i="98"/>
  <c r="O44" i="98"/>
  <c r="N43" i="98"/>
  <c r="N44" i="98"/>
  <c r="H39" i="98"/>
  <c r="L36" i="98"/>
  <c r="L41" i="98"/>
  <c r="I38" i="98"/>
  <c r="O42" i="98"/>
  <c r="F41" i="98"/>
  <c r="N41" i="98"/>
  <c r="M33" i="98"/>
  <c r="F44" i="98"/>
  <c r="G41" i="98"/>
  <c r="N42" i="98"/>
  <c r="L44" i="98"/>
  <c r="I35" i="98"/>
  <c r="K33" i="98"/>
  <c r="M37" i="98"/>
  <c r="J41" i="98"/>
  <c r="F35" i="98"/>
  <c r="F34" i="98"/>
  <c r="G34" i="98"/>
  <c r="C1672" i="95"/>
  <c r="C907" i="95"/>
  <c r="I89" i="66"/>
  <c r="K66" i="7"/>
  <c r="K70" i="7"/>
  <c r="E82" i="7"/>
  <c r="E83" i="7" s="1"/>
  <c r="P35" i="98" l="1"/>
  <c r="T35" i="98" s="1"/>
  <c r="P34" i="98"/>
  <c r="T34" i="98" s="1"/>
  <c r="P36" i="98"/>
  <c r="T36" i="98" s="1"/>
  <c r="P33" i="98"/>
  <c r="Q33" i="98" s="1"/>
  <c r="S31" i="98" s="1"/>
  <c r="P37" i="98"/>
  <c r="T37" i="98" s="1"/>
  <c r="P38" i="98"/>
  <c r="P39" i="98"/>
  <c r="P40" i="98"/>
  <c r="P42" i="98"/>
  <c r="T42" i="98" s="1"/>
  <c r="P41" i="98"/>
  <c r="T41" i="98" s="1"/>
  <c r="P44" i="98"/>
  <c r="T44" i="98" s="1"/>
  <c r="P43" i="98"/>
  <c r="T43" i="98" s="1"/>
  <c r="C1673" i="95"/>
  <c r="C908" i="95"/>
  <c r="K82" i="7"/>
  <c r="K83" i="7" s="1"/>
  <c r="Q35" i="98" l="1"/>
  <c r="Q36" i="98"/>
  <c r="S33" i="98"/>
  <c r="D1253" i="70" s="1"/>
  <c r="Q34" i="98"/>
  <c r="T33" i="98"/>
  <c r="Q38" i="98"/>
  <c r="T38" i="98"/>
  <c r="E1258" i="70" s="1"/>
  <c r="Q40" i="98"/>
  <c r="T40" i="98"/>
  <c r="Q39" i="98"/>
  <c r="T39" i="98"/>
  <c r="Q41" i="98"/>
  <c r="Q42" i="98"/>
  <c r="Q43" i="98"/>
  <c r="Q44" i="98"/>
  <c r="Q37" i="98"/>
  <c r="S39" i="98"/>
  <c r="S38" i="98"/>
  <c r="S40" i="98"/>
  <c r="S37" i="98"/>
  <c r="S35" i="98"/>
  <c r="S44" i="98"/>
  <c r="S42" i="98"/>
  <c r="S36" i="98"/>
  <c r="S41" i="98"/>
  <c r="S43" i="98"/>
  <c r="S34" i="98"/>
  <c r="C909" i="95"/>
  <c r="C1674" i="95"/>
  <c r="L83" i="7"/>
  <c r="D1258" i="70" l="1"/>
  <c r="D1259" i="70"/>
  <c r="D1254" i="70"/>
  <c r="D1255" i="70"/>
  <c r="D1263" i="70"/>
  <c r="D1261" i="70"/>
  <c r="D1256" i="70"/>
  <c r="D1262" i="70"/>
  <c r="D1260" i="70"/>
  <c r="D1264" i="70"/>
  <c r="W37" i="98"/>
  <c r="Y37" i="98" s="1"/>
  <c r="E1257" i="70"/>
  <c r="X38" i="98"/>
  <c r="Z38" i="98" s="1"/>
  <c r="W38" i="98"/>
  <c r="Y38" i="98" s="1"/>
  <c r="W40" i="98"/>
  <c r="Y40" i="98" s="1"/>
  <c r="E1260" i="70"/>
  <c r="W35" i="98"/>
  <c r="Y35" i="98" s="1"/>
  <c r="E1255" i="70"/>
  <c r="W33" i="98"/>
  <c r="Y33" i="98" s="1"/>
  <c r="E1253" i="70"/>
  <c r="W42" i="98"/>
  <c r="Y42" i="98" s="1"/>
  <c r="E1262" i="70"/>
  <c r="W44" i="98"/>
  <c r="Y44" i="98" s="1"/>
  <c r="E1264" i="70"/>
  <c r="W36" i="98"/>
  <c r="Y36" i="98" s="1"/>
  <c r="E1256" i="70"/>
  <c r="W43" i="98"/>
  <c r="Y43" i="98" s="1"/>
  <c r="E1263" i="70"/>
  <c r="W34" i="98"/>
  <c r="Y34" i="98" s="1"/>
  <c r="E1254" i="70"/>
  <c r="W41" i="98"/>
  <c r="Y41" i="98" s="1"/>
  <c r="E1261" i="70"/>
  <c r="X37" i="98"/>
  <c r="Z37" i="98" s="1"/>
  <c r="D1257" i="70"/>
  <c r="W39" i="98"/>
  <c r="Y39" i="98" s="1"/>
  <c r="E1259" i="70"/>
  <c r="X39" i="98"/>
  <c r="Z39" i="98" s="1"/>
  <c r="X40" i="98"/>
  <c r="Z40" i="98" s="1"/>
  <c r="X35" i="98"/>
  <c r="Z35" i="98" s="1"/>
  <c r="X34" i="98"/>
  <c r="Z34" i="98" s="1"/>
  <c r="X43" i="98"/>
  <c r="Z43" i="98" s="1"/>
  <c r="X44" i="98"/>
  <c r="Z44" i="98" s="1"/>
  <c r="X33" i="98"/>
  <c r="Z33" i="98" s="1"/>
  <c r="X42" i="98"/>
  <c r="Z42" i="98" s="1"/>
  <c r="X41" i="98"/>
  <c r="Z41" i="98" s="1"/>
  <c r="X36" i="98"/>
  <c r="Z36" i="98" s="1"/>
  <c r="C1675" i="95"/>
  <c r="C910" i="95"/>
  <c r="G215" i="81"/>
  <c r="I215" i="81" s="1"/>
  <c r="I78" i="27"/>
  <c r="I73" i="82" s="1"/>
  <c r="F444" i="70"/>
  <c r="J444" i="70" s="1"/>
  <c r="T78" i="27" s="1"/>
  <c r="T73" i="82" s="1"/>
  <c r="AA37" i="98" l="1"/>
  <c r="AA38" i="98"/>
  <c r="AB38" i="98" s="1"/>
  <c r="AD38" i="98" s="1"/>
  <c r="AA36" i="98"/>
  <c r="AC36" i="98" s="1"/>
  <c r="AA35" i="98"/>
  <c r="AC35" i="98" s="1"/>
  <c r="AA42" i="98"/>
  <c r="AC42" i="98" s="1"/>
  <c r="G1262" i="70" s="1"/>
  <c r="AA43" i="98"/>
  <c r="AB43" i="98" s="1"/>
  <c r="AA40" i="98"/>
  <c r="AC40" i="98" s="1"/>
  <c r="G1260" i="70" s="1"/>
  <c r="AA33" i="98"/>
  <c r="AB33" i="98" s="1"/>
  <c r="AA41" i="98"/>
  <c r="AC41" i="98" s="1"/>
  <c r="G1261" i="70" s="1"/>
  <c r="AA39" i="98"/>
  <c r="AC39" i="98" s="1"/>
  <c r="G1259" i="70" s="1"/>
  <c r="AA44" i="98"/>
  <c r="AB44" i="98" s="1"/>
  <c r="AA34" i="98"/>
  <c r="AB34" i="98" s="1"/>
  <c r="L78" i="27"/>
  <c r="L73" i="82" s="1"/>
  <c r="C1676" i="95"/>
  <c r="C911" i="95"/>
  <c r="F78" i="27"/>
  <c r="J215" i="81"/>
  <c r="K215" i="81" s="1"/>
  <c r="G1255" i="70" l="1"/>
  <c r="AC37" i="98"/>
  <c r="G1257" i="70" s="1"/>
  <c r="AB37" i="98"/>
  <c r="AD37" i="98" s="1"/>
  <c r="AE38" i="98"/>
  <c r="AF38" i="98" s="1"/>
  <c r="AC38" i="98"/>
  <c r="G1258" i="70" s="1"/>
  <c r="AC33" i="98"/>
  <c r="G1253" i="70" s="1"/>
  <c r="G1256" i="70"/>
  <c r="AB36" i="98"/>
  <c r="AD36" i="98" s="1"/>
  <c r="AB42" i="98"/>
  <c r="AD42" i="98" s="1"/>
  <c r="AB35" i="98"/>
  <c r="AC43" i="98"/>
  <c r="G1263" i="70" s="1"/>
  <c r="AD44" i="98"/>
  <c r="AB41" i="98"/>
  <c r="AB40" i="98"/>
  <c r="AE40" i="98" s="1"/>
  <c r="AC34" i="98"/>
  <c r="G1254" i="70" s="1"/>
  <c r="AC44" i="98"/>
  <c r="G1264" i="70" s="1"/>
  <c r="AD33" i="98"/>
  <c r="AB39" i="98"/>
  <c r="AE43" i="98"/>
  <c r="AD43" i="98"/>
  <c r="AE34" i="98"/>
  <c r="AD34" i="98"/>
  <c r="AE33" i="98"/>
  <c r="AE44" i="98"/>
  <c r="C912" i="95"/>
  <c r="C1677" i="95"/>
  <c r="F73" i="82"/>
  <c r="H73" i="82" s="1"/>
  <c r="H78" i="27"/>
  <c r="N215" i="81"/>
  <c r="I87" i="27"/>
  <c r="I86" i="27"/>
  <c r="I85" i="27"/>
  <c r="I84" i="27"/>
  <c r="I83" i="27"/>
  <c r="I82" i="27"/>
  <c r="I77" i="82" s="1"/>
  <c r="I81" i="27"/>
  <c r="I76" i="82" s="1"/>
  <c r="I80" i="27"/>
  <c r="I75" i="82" s="1"/>
  <c r="I79" i="27"/>
  <c r="I74" i="82" s="1"/>
  <c r="B38" i="98" l="1"/>
  <c r="H1258" i="70" s="1"/>
  <c r="AE37" i="98"/>
  <c r="AF37" i="98" s="1"/>
  <c r="AE42" i="98"/>
  <c r="AF42" i="98" s="1"/>
  <c r="B42" i="98" s="1"/>
  <c r="H1262" i="70" s="1"/>
  <c r="AE36" i="98"/>
  <c r="AF36" i="98" s="1"/>
  <c r="AF34" i="98"/>
  <c r="F1258" i="70"/>
  <c r="AF43" i="98"/>
  <c r="B43" i="98" s="1"/>
  <c r="H1263" i="70" s="1"/>
  <c r="AD35" i="98"/>
  <c r="AE35" i="98"/>
  <c r="AF44" i="98"/>
  <c r="B44" i="98" s="1"/>
  <c r="H1264" i="70" s="1"/>
  <c r="AF33" i="98"/>
  <c r="B33" i="98" s="1"/>
  <c r="H1253" i="70" s="1"/>
  <c r="AD39" i="98"/>
  <c r="AD41" i="98"/>
  <c r="AD40" i="98"/>
  <c r="AF40" i="98" s="1"/>
  <c r="B40" i="98" s="1"/>
  <c r="H1260" i="70" s="1"/>
  <c r="AE41" i="98"/>
  <c r="AE39" i="98"/>
  <c r="AT42" i="70"/>
  <c r="C1678" i="95"/>
  <c r="C913" i="95"/>
  <c r="M78" i="27"/>
  <c r="N78" i="27" s="1"/>
  <c r="F79" i="27"/>
  <c r="L79" i="27"/>
  <c r="L74" i="82" s="1"/>
  <c r="F80" i="27"/>
  <c r="L80" i="27"/>
  <c r="L75" i="82" s="1"/>
  <c r="F81" i="27"/>
  <c r="L81" i="27"/>
  <c r="L76" i="82" s="1"/>
  <c r="F82" i="27"/>
  <c r="L82" i="27"/>
  <c r="L77" i="82" s="1"/>
  <c r="F83" i="27"/>
  <c r="H83" i="27" s="1"/>
  <c r="L83" i="27"/>
  <c r="F84" i="27"/>
  <c r="H84" i="27" s="1"/>
  <c r="L84" i="27"/>
  <c r="F85" i="27"/>
  <c r="H85" i="27" s="1"/>
  <c r="L85" i="27"/>
  <c r="F86" i="27"/>
  <c r="H86" i="27" s="1"/>
  <c r="L86" i="27"/>
  <c r="F87" i="27"/>
  <c r="H87" i="27" s="1"/>
  <c r="L87" i="27"/>
  <c r="F1256" i="70" l="1"/>
  <c r="B36" i="98"/>
  <c r="H1256" i="70" s="1"/>
  <c r="F1254" i="70"/>
  <c r="B34" i="98"/>
  <c r="H1254" i="70" s="1"/>
  <c r="F1257" i="70"/>
  <c r="B37" i="98"/>
  <c r="H1257" i="70" s="1"/>
  <c r="F1264" i="70"/>
  <c r="F1260" i="70"/>
  <c r="F1262" i="70"/>
  <c r="F1263" i="70"/>
  <c r="AF41" i="98"/>
  <c r="AF39" i="98"/>
  <c r="B39" i="98" s="1"/>
  <c r="H1259" i="70" s="1"/>
  <c r="F1253" i="70"/>
  <c r="AF35" i="98"/>
  <c r="B35" i="98" s="1"/>
  <c r="H1255" i="70" s="1"/>
  <c r="C914" i="95"/>
  <c r="C1679" i="95"/>
  <c r="W78" i="27"/>
  <c r="Z78" i="27" s="1"/>
  <c r="AA78" i="27"/>
  <c r="Q78" i="27"/>
  <c r="R78" i="27" s="1"/>
  <c r="AT78" i="27" s="1"/>
  <c r="M73" i="82"/>
  <c r="S78" i="27"/>
  <c r="M87" i="27"/>
  <c r="S87" i="27" s="1"/>
  <c r="M86" i="27"/>
  <c r="S86" i="27" s="1"/>
  <c r="M85" i="27"/>
  <c r="S85" i="27" s="1"/>
  <c r="M84" i="27"/>
  <c r="S84" i="27" s="1"/>
  <c r="M83" i="27"/>
  <c r="S83" i="27" s="1"/>
  <c r="H82" i="27"/>
  <c r="F77" i="82"/>
  <c r="H77" i="82" s="1"/>
  <c r="H81" i="27"/>
  <c r="F76" i="82"/>
  <c r="H76" i="82" s="1"/>
  <c r="H80" i="27"/>
  <c r="F75" i="82"/>
  <c r="H75" i="82" s="1"/>
  <c r="F74" i="82"/>
  <c r="H74" i="82" s="1"/>
  <c r="H79" i="27"/>
  <c r="F1261" i="70" l="1"/>
  <c r="B41" i="98"/>
  <c r="H1261" i="70" s="1"/>
  <c r="F1255" i="70"/>
  <c r="F1259" i="70"/>
  <c r="C1680" i="95"/>
  <c r="C915" i="95"/>
  <c r="N86" i="27"/>
  <c r="W86" i="27" s="1"/>
  <c r="Z86" i="27" s="1"/>
  <c r="N84" i="27"/>
  <c r="AA84" i="27" s="1"/>
  <c r="S73" i="82"/>
  <c r="N73" i="82"/>
  <c r="Q73" i="82" s="1"/>
  <c r="R73" i="82" s="1"/>
  <c r="N83" i="27"/>
  <c r="AA83" i="27" s="1"/>
  <c r="N85" i="27"/>
  <c r="W85" i="27" s="1"/>
  <c r="Z85" i="27" s="1"/>
  <c r="N87" i="27"/>
  <c r="W87" i="27" s="1"/>
  <c r="Z87" i="27" s="1"/>
  <c r="AB78" i="27"/>
  <c r="M79" i="27"/>
  <c r="N79" i="27" s="1"/>
  <c r="M80" i="27"/>
  <c r="N80" i="27" s="1"/>
  <c r="M81" i="27"/>
  <c r="N81" i="27" s="1"/>
  <c r="M82" i="27"/>
  <c r="N82" i="27" s="1"/>
  <c r="C1681" i="95" l="1"/>
  <c r="C916" i="95"/>
  <c r="W83" i="27"/>
  <c r="Z83" i="27" s="1"/>
  <c r="AB83" i="27" s="1"/>
  <c r="AA86" i="27"/>
  <c r="AB86" i="27" s="1"/>
  <c r="Q86" i="27"/>
  <c r="R86" i="27" s="1"/>
  <c r="AT86" i="27" s="1"/>
  <c r="W84" i="27"/>
  <c r="Z84" i="27" s="1"/>
  <c r="AB84" i="27" s="1"/>
  <c r="Q83" i="27"/>
  <c r="R83" i="27" s="1"/>
  <c r="AT83" i="27" s="1"/>
  <c r="AA87" i="27"/>
  <c r="AB87" i="27" s="1"/>
  <c r="Q84" i="27"/>
  <c r="R84" i="27" s="1"/>
  <c r="AT84" i="27" s="1"/>
  <c r="Q87" i="27"/>
  <c r="R87" i="27" s="1"/>
  <c r="AT87" i="27" s="1"/>
  <c r="Q85" i="27"/>
  <c r="R85" i="27" s="1"/>
  <c r="AT85" i="27" s="1"/>
  <c r="AA85" i="27"/>
  <c r="AB85" i="27" s="1"/>
  <c r="M77" i="82"/>
  <c r="S82" i="27"/>
  <c r="Q82" i="27"/>
  <c r="R82" i="27" s="1"/>
  <c r="AT82" i="27" s="1"/>
  <c r="W82" i="27"/>
  <c r="Z82" i="27" s="1"/>
  <c r="AA82" i="27"/>
  <c r="M76" i="82"/>
  <c r="S81" i="27"/>
  <c r="W81" i="27"/>
  <c r="Z81" i="27" s="1"/>
  <c r="Q81" i="27"/>
  <c r="R81" i="27" s="1"/>
  <c r="AT81" i="27" s="1"/>
  <c r="AA81" i="27"/>
  <c r="M75" i="82"/>
  <c r="S80" i="27"/>
  <c r="W80" i="27"/>
  <c r="Z80" i="27" s="1"/>
  <c r="Q80" i="27"/>
  <c r="R80" i="27" s="1"/>
  <c r="AT80" i="27" s="1"/>
  <c r="AA80" i="27"/>
  <c r="M74" i="82"/>
  <c r="S79" i="27"/>
  <c r="W79" i="27"/>
  <c r="Z79" i="27" s="1"/>
  <c r="Q79" i="27"/>
  <c r="AA79" i="27"/>
  <c r="C917" i="95" l="1"/>
  <c r="C1682" i="95"/>
  <c r="S74" i="82"/>
  <c r="N74" i="82"/>
  <c r="Q74" i="82" s="1"/>
  <c r="R74" i="82" s="1"/>
  <c r="S75" i="82"/>
  <c r="N75" i="82"/>
  <c r="Q75" i="82" s="1"/>
  <c r="R75" i="82" s="1"/>
  <c r="S76" i="82"/>
  <c r="N76" i="82"/>
  <c r="Q76" i="82" s="1"/>
  <c r="R76" i="82" s="1"/>
  <c r="S77" i="82"/>
  <c r="N77" i="82"/>
  <c r="Q77" i="82" s="1"/>
  <c r="R77" i="82" s="1"/>
  <c r="R79" i="27"/>
  <c r="AT79" i="27" s="1"/>
  <c r="AB79" i="27"/>
  <c r="AB80" i="27"/>
  <c r="AB81" i="27"/>
  <c r="AB82" i="27"/>
  <c r="I78" i="82"/>
  <c r="L78" i="82"/>
  <c r="C918" i="95" l="1"/>
  <c r="C1683" i="95"/>
  <c r="F78" i="82"/>
  <c r="H78" i="82" s="1"/>
  <c r="C919" i="95" l="1"/>
  <c r="C1684" i="95"/>
  <c r="M78" i="82"/>
  <c r="S78" i="82" s="1"/>
  <c r="C920" i="95" l="1"/>
  <c r="C1685" i="95"/>
  <c r="N78" i="82"/>
  <c r="Q78" i="82" s="1"/>
  <c r="R78" i="82" s="1"/>
  <c r="I79" i="82"/>
  <c r="I80" i="82"/>
  <c r="I81" i="82"/>
  <c r="I82" i="82"/>
  <c r="L79" i="82"/>
  <c r="L80" i="82"/>
  <c r="L81" i="82"/>
  <c r="L82" i="82"/>
  <c r="F81" i="82"/>
  <c r="H81" i="82" s="1"/>
  <c r="F80" i="82"/>
  <c r="H80" i="82" s="1"/>
  <c r="F82" i="82"/>
  <c r="H82" i="82" s="1"/>
  <c r="F79" i="82"/>
  <c r="H79" i="82" s="1"/>
  <c r="C921" i="95" l="1"/>
  <c r="C1686" i="95"/>
  <c r="M82" i="82"/>
  <c r="S82" i="82" s="1"/>
  <c r="M80" i="82"/>
  <c r="S80" i="82" s="1"/>
  <c r="C1687" i="95" l="1"/>
  <c r="C922" i="95"/>
  <c r="N82" i="82"/>
  <c r="Q82" i="82" s="1"/>
  <c r="R82" i="82" s="1"/>
  <c r="N80" i="82"/>
  <c r="Q80" i="82" s="1"/>
  <c r="R80" i="82" s="1"/>
  <c r="M81" i="82"/>
  <c r="M79" i="82"/>
  <c r="C1688" i="95" l="1"/>
  <c r="C923" i="95"/>
  <c r="S79" i="82"/>
  <c r="N79" i="82"/>
  <c r="Q79" i="82" s="1"/>
  <c r="R79" i="82" s="1"/>
  <c r="S81" i="82"/>
  <c r="N81" i="82"/>
  <c r="Q81" i="82" s="1"/>
  <c r="R81" i="82" s="1"/>
  <c r="F566" i="70"/>
  <c r="L198" i="27" l="1"/>
  <c r="L104" i="82" s="1"/>
  <c r="J566" i="70"/>
  <c r="T198" i="27" s="1"/>
  <c r="T104" i="82" s="1"/>
  <c r="C1689" i="95"/>
  <c r="C924" i="95"/>
  <c r="F198" i="27"/>
  <c r="H198" i="27" s="1"/>
  <c r="I237" i="27"/>
  <c r="I236" i="27"/>
  <c r="I235" i="27"/>
  <c r="I234" i="27"/>
  <c r="I233" i="27"/>
  <c r="I222" i="27"/>
  <c r="I221" i="27"/>
  <c r="I220" i="27"/>
  <c r="I219" i="27"/>
  <c r="I218" i="27"/>
  <c r="L233" i="27"/>
  <c r="L234" i="27"/>
  <c r="L235" i="27"/>
  <c r="L236" i="27"/>
  <c r="L237" i="27"/>
  <c r="L218" i="27"/>
  <c r="L219" i="27"/>
  <c r="L220" i="27"/>
  <c r="L221" i="27"/>
  <c r="L222" i="27"/>
  <c r="L203" i="27"/>
  <c r="L204" i="27"/>
  <c r="L205" i="27"/>
  <c r="L206" i="27"/>
  <c r="L207" i="27"/>
  <c r="L199" i="27"/>
  <c r="L105" i="82" s="1"/>
  <c r="L200" i="27"/>
  <c r="L106" i="82" s="1"/>
  <c r="L201" i="27"/>
  <c r="L107" i="82" s="1"/>
  <c r="L202" i="27"/>
  <c r="L108" i="82" s="1"/>
  <c r="L213" i="27"/>
  <c r="L109" i="82" s="1"/>
  <c r="L214" i="27"/>
  <c r="L110" i="82" s="1"/>
  <c r="L215" i="27"/>
  <c r="L111" i="82" s="1"/>
  <c r="L216" i="27"/>
  <c r="L112" i="82" s="1"/>
  <c r="L217" i="27"/>
  <c r="L113" i="82" s="1"/>
  <c r="L228" i="27"/>
  <c r="L114" i="82" s="1"/>
  <c r="L229" i="27"/>
  <c r="L115" i="82" s="1"/>
  <c r="L230" i="27"/>
  <c r="L116" i="82" s="1"/>
  <c r="L231" i="27"/>
  <c r="L117" i="82" s="1"/>
  <c r="L232" i="27"/>
  <c r="L118" i="82" s="1"/>
  <c r="I229" i="27"/>
  <c r="I115" i="82" s="1"/>
  <c r="I215" i="27"/>
  <c r="I111" i="82" s="1"/>
  <c r="I213" i="27"/>
  <c r="I109" i="82" s="1"/>
  <c r="I232" i="27"/>
  <c r="I118" i="82" s="1"/>
  <c r="I228" i="27"/>
  <c r="I114" i="82" s="1"/>
  <c r="I214" i="27"/>
  <c r="I110" i="82" s="1"/>
  <c r="I230" i="27"/>
  <c r="I116" i="82" s="1"/>
  <c r="I216" i="27"/>
  <c r="I112" i="82" s="1"/>
  <c r="I217" i="27"/>
  <c r="I113" i="82" s="1"/>
  <c r="I231" i="27"/>
  <c r="I117" i="82" s="1"/>
  <c r="F598" i="70"/>
  <c r="F596" i="70"/>
  <c r="F582" i="70"/>
  <c r="F569" i="70"/>
  <c r="F597" i="70"/>
  <c r="F573" i="70"/>
  <c r="F570" i="70"/>
  <c r="F581" i="70"/>
  <c r="F584" i="70"/>
  <c r="F600" i="70"/>
  <c r="F599" i="70"/>
  <c r="F585" i="70"/>
  <c r="F583" i="70"/>
  <c r="F568" i="70"/>
  <c r="F589" i="70"/>
  <c r="F587" i="70"/>
  <c r="F572" i="70"/>
  <c r="F590" i="70"/>
  <c r="F588" i="70"/>
  <c r="F571" i="70"/>
  <c r="F574" i="70"/>
  <c r="F601" i="70"/>
  <c r="F605" i="70"/>
  <c r="F604" i="70"/>
  <c r="F602" i="70"/>
  <c r="F575" i="70"/>
  <c r="F586" i="70"/>
  <c r="F603" i="70"/>
  <c r="F567" i="70"/>
  <c r="F199" i="27" l="1"/>
  <c r="F105" i="82" s="1"/>
  <c r="H105" i="82" s="1"/>
  <c r="J567" i="70"/>
  <c r="T199" i="27" s="1"/>
  <c r="T105" i="82" s="1"/>
  <c r="F235" i="27"/>
  <c r="H235" i="27" s="1"/>
  <c r="M235" i="27" s="1"/>
  <c r="S235" i="27" s="1"/>
  <c r="J603" i="70"/>
  <c r="T235" i="27" s="1"/>
  <c r="F218" i="27"/>
  <c r="H218" i="27" s="1"/>
  <c r="M218" i="27" s="1"/>
  <c r="S218" i="27" s="1"/>
  <c r="J586" i="70"/>
  <c r="T218" i="27" s="1"/>
  <c r="F207" i="27"/>
  <c r="I207" i="27" s="1"/>
  <c r="J575" i="70"/>
  <c r="T207" i="27" s="1"/>
  <c r="F234" i="27"/>
  <c r="H234" i="27" s="1"/>
  <c r="M234" i="27" s="1"/>
  <c r="S234" i="27" s="1"/>
  <c r="J602" i="70"/>
  <c r="T234" i="27" s="1"/>
  <c r="F236" i="27"/>
  <c r="H236" i="27" s="1"/>
  <c r="M236" i="27" s="1"/>
  <c r="S236" i="27" s="1"/>
  <c r="J604" i="70"/>
  <c r="T236" i="27" s="1"/>
  <c r="F237" i="27"/>
  <c r="H237" i="27" s="1"/>
  <c r="M237" i="27" s="1"/>
  <c r="S237" i="27" s="1"/>
  <c r="J605" i="70"/>
  <c r="T237" i="27" s="1"/>
  <c r="F233" i="27"/>
  <c r="H233" i="27" s="1"/>
  <c r="M233" i="27" s="1"/>
  <c r="S233" i="27" s="1"/>
  <c r="J601" i="70"/>
  <c r="T233" i="27" s="1"/>
  <c r="F206" i="27"/>
  <c r="I206" i="27" s="1"/>
  <c r="J574" i="70"/>
  <c r="T206" i="27" s="1"/>
  <c r="F203" i="27"/>
  <c r="I203" i="27" s="1"/>
  <c r="J571" i="70"/>
  <c r="T203" i="27" s="1"/>
  <c r="F220" i="27"/>
  <c r="H220" i="27" s="1"/>
  <c r="M220" i="27" s="1"/>
  <c r="S220" i="27" s="1"/>
  <c r="J588" i="70"/>
  <c r="T220" i="27" s="1"/>
  <c r="F222" i="27"/>
  <c r="H222" i="27" s="1"/>
  <c r="M222" i="27" s="1"/>
  <c r="S222" i="27" s="1"/>
  <c r="J590" i="70"/>
  <c r="T222" i="27" s="1"/>
  <c r="F204" i="27"/>
  <c r="I204" i="27" s="1"/>
  <c r="J572" i="70"/>
  <c r="T204" i="27" s="1"/>
  <c r="F219" i="27"/>
  <c r="H219" i="27" s="1"/>
  <c r="M219" i="27" s="1"/>
  <c r="S219" i="27" s="1"/>
  <c r="J587" i="70"/>
  <c r="T219" i="27" s="1"/>
  <c r="F221" i="27"/>
  <c r="H221" i="27" s="1"/>
  <c r="M221" i="27" s="1"/>
  <c r="S221" i="27" s="1"/>
  <c r="J589" i="70"/>
  <c r="T221" i="27" s="1"/>
  <c r="F200" i="27"/>
  <c r="H200" i="27" s="1"/>
  <c r="M200" i="27" s="1"/>
  <c r="S200" i="27" s="1"/>
  <c r="J568" i="70"/>
  <c r="T200" i="27" s="1"/>
  <c r="T106" i="82" s="1"/>
  <c r="F215" i="27"/>
  <c r="F111" i="82" s="1"/>
  <c r="H111" i="82" s="1"/>
  <c r="J583" i="70"/>
  <c r="T215" i="27" s="1"/>
  <c r="T111" i="82" s="1"/>
  <c r="F217" i="27"/>
  <c r="H217" i="27" s="1"/>
  <c r="M217" i="27" s="1"/>
  <c r="S217" i="27" s="1"/>
  <c r="J585" i="70"/>
  <c r="T217" i="27" s="1"/>
  <c r="T113" i="82" s="1"/>
  <c r="F231" i="27"/>
  <c r="F117" i="82" s="1"/>
  <c r="H117" i="82" s="1"/>
  <c r="J599" i="70"/>
  <c r="T231" i="27" s="1"/>
  <c r="T117" i="82" s="1"/>
  <c r="F232" i="27"/>
  <c r="F118" i="82" s="1"/>
  <c r="H118" i="82" s="1"/>
  <c r="J600" i="70"/>
  <c r="T232" i="27" s="1"/>
  <c r="T118" i="82" s="1"/>
  <c r="F216" i="27"/>
  <c r="F112" i="82" s="1"/>
  <c r="H112" i="82" s="1"/>
  <c r="J584" i="70"/>
  <c r="T216" i="27" s="1"/>
  <c r="T112" i="82" s="1"/>
  <c r="F213" i="27"/>
  <c r="H213" i="27" s="1"/>
  <c r="J581" i="70"/>
  <c r="T213" i="27" s="1"/>
  <c r="T109" i="82" s="1"/>
  <c r="F202" i="27"/>
  <c r="H202" i="27" s="1"/>
  <c r="M202" i="27" s="1"/>
  <c r="M108" i="82" s="1"/>
  <c r="S108" i="82" s="1"/>
  <c r="J570" i="70"/>
  <c r="T202" i="27" s="1"/>
  <c r="T108" i="82" s="1"/>
  <c r="F205" i="27"/>
  <c r="I205" i="27" s="1"/>
  <c r="J573" i="70"/>
  <c r="T205" i="27" s="1"/>
  <c r="F229" i="27"/>
  <c r="F115" i="82" s="1"/>
  <c r="H115" i="82" s="1"/>
  <c r="J597" i="70"/>
  <c r="T229" i="27" s="1"/>
  <c r="T115" i="82" s="1"/>
  <c r="F201" i="27"/>
  <c r="H201" i="27" s="1"/>
  <c r="M201" i="27" s="1"/>
  <c r="M107" i="82" s="1"/>
  <c r="S107" i="82" s="1"/>
  <c r="J569" i="70"/>
  <c r="T201" i="27" s="1"/>
  <c r="T107" i="82" s="1"/>
  <c r="F214" i="27"/>
  <c r="F110" i="82" s="1"/>
  <c r="H110" i="82" s="1"/>
  <c r="J582" i="70"/>
  <c r="T214" i="27" s="1"/>
  <c r="T110" i="82" s="1"/>
  <c r="F228" i="27"/>
  <c r="F114" i="82" s="1"/>
  <c r="H114" i="82" s="1"/>
  <c r="J596" i="70"/>
  <c r="T228" i="27" s="1"/>
  <c r="T114" i="82" s="1"/>
  <c r="F230" i="27"/>
  <c r="F116" i="82" s="1"/>
  <c r="H116" i="82" s="1"/>
  <c r="J598" i="70"/>
  <c r="T230" i="27" s="1"/>
  <c r="T116" i="82" s="1"/>
  <c r="C1690" i="95"/>
  <c r="C925" i="95"/>
  <c r="F104" i="82"/>
  <c r="H104" i="82" s="1"/>
  <c r="M198" i="27"/>
  <c r="H199" i="27" l="1"/>
  <c r="M199" i="27" s="1"/>
  <c r="N199" i="27" s="1"/>
  <c r="F109" i="82"/>
  <c r="H109" i="82" s="1"/>
  <c r="H216" i="27"/>
  <c r="M216" i="27" s="1"/>
  <c r="S216" i="27" s="1"/>
  <c r="N237" i="27"/>
  <c r="W237" i="27" s="1"/>
  <c r="Z237" i="27" s="1"/>
  <c r="H231" i="27"/>
  <c r="M231" i="27" s="1"/>
  <c r="M117" i="82" s="1"/>
  <c r="S117" i="82" s="1"/>
  <c r="H203" i="27"/>
  <c r="M203" i="27" s="1"/>
  <c r="S203" i="27" s="1"/>
  <c r="N219" i="27"/>
  <c r="W219" i="27" s="1"/>
  <c r="Z219" i="27" s="1"/>
  <c r="N222" i="27"/>
  <c r="W222" i="27" s="1"/>
  <c r="Z222" i="27" s="1"/>
  <c r="N235" i="27"/>
  <c r="W235" i="27" s="1"/>
  <c r="Z235" i="27" s="1"/>
  <c r="F108" i="82"/>
  <c r="H108" i="82" s="1"/>
  <c r="N108" i="82" s="1"/>
  <c r="Q108" i="82" s="1"/>
  <c r="R108" i="82" s="1"/>
  <c r="N218" i="27"/>
  <c r="W218" i="27" s="1"/>
  <c r="Z218" i="27" s="1"/>
  <c r="H207" i="27"/>
  <c r="M207" i="27" s="1"/>
  <c r="S207" i="27" s="1"/>
  <c r="I199" i="27"/>
  <c r="I105" i="82" s="1"/>
  <c r="N233" i="27"/>
  <c r="W233" i="27" s="1"/>
  <c r="Z233" i="27" s="1"/>
  <c r="N234" i="27"/>
  <c r="W234" i="27" s="1"/>
  <c r="Z234" i="27" s="1"/>
  <c r="H206" i="27"/>
  <c r="M206" i="27" s="1"/>
  <c r="S206" i="27" s="1"/>
  <c r="F107" i="82"/>
  <c r="H107" i="82" s="1"/>
  <c r="N107" i="82" s="1"/>
  <c r="Q107" i="82" s="1"/>
  <c r="R107" i="82" s="1"/>
  <c r="S201" i="27"/>
  <c r="I202" i="27"/>
  <c r="I108" i="82" s="1"/>
  <c r="N236" i="27"/>
  <c r="W236" i="27" s="1"/>
  <c r="Z236" i="27" s="1"/>
  <c r="H230" i="27"/>
  <c r="M230" i="27" s="1"/>
  <c r="S230" i="27" s="1"/>
  <c r="F113" i="82"/>
  <c r="H113" i="82" s="1"/>
  <c r="S202" i="27"/>
  <c r="N220" i="27"/>
  <c r="W220" i="27" s="1"/>
  <c r="Z220" i="27" s="1"/>
  <c r="H229" i="27"/>
  <c r="M229" i="27" s="1"/>
  <c r="S229" i="27" s="1"/>
  <c r="I200" i="27"/>
  <c r="I106" i="82" s="1"/>
  <c r="I201" i="27"/>
  <c r="I107" i="82" s="1"/>
  <c r="F106" i="82"/>
  <c r="H106" i="82" s="1"/>
  <c r="N106" i="82" s="1"/>
  <c r="Q106" i="82" s="1"/>
  <c r="R106" i="82" s="1"/>
  <c r="H214" i="27"/>
  <c r="M214" i="27" s="1"/>
  <c r="M110" i="82" s="1"/>
  <c r="S110" i="82" s="1"/>
  <c r="M106" i="82"/>
  <c r="S106" i="82" s="1"/>
  <c r="H232" i="27"/>
  <c r="M232" i="27" s="1"/>
  <c r="M118" i="82" s="1"/>
  <c r="S118" i="82" s="1"/>
  <c r="N221" i="27"/>
  <c r="W221" i="27" s="1"/>
  <c r="Z221" i="27" s="1"/>
  <c r="H228" i="27"/>
  <c r="M228" i="27" s="1"/>
  <c r="N228" i="27" s="1"/>
  <c r="H204" i="27"/>
  <c r="M204" i="27" s="1"/>
  <c r="S204" i="27" s="1"/>
  <c r="H205" i="27"/>
  <c r="M205" i="27" s="1"/>
  <c r="S205" i="27" s="1"/>
  <c r="H215" i="27"/>
  <c r="M215" i="27" s="1"/>
  <c r="S215" i="27" s="1"/>
  <c r="C926" i="95"/>
  <c r="C1691" i="95"/>
  <c r="N216" i="27"/>
  <c r="W216" i="27" s="1"/>
  <c r="Z216" i="27" s="1"/>
  <c r="N118" i="82"/>
  <c r="Q118" i="82" s="1"/>
  <c r="R118" i="82" s="1"/>
  <c r="N201" i="27"/>
  <c r="W201" i="27" s="1"/>
  <c r="Z201" i="27" s="1"/>
  <c r="N202" i="27"/>
  <c r="W202" i="27" s="1"/>
  <c r="Z202" i="27" s="1"/>
  <c r="N198" i="27"/>
  <c r="Q198" i="27" s="1"/>
  <c r="R198" i="27" s="1"/>
  <c r="AT198" i="27" s="1"/>
  <c r="N200" i="27"/>
  <c r="W200" i="27" s="1"/>
  <c r="Z200" i="27" s="1"/>
  <c r="N110" i="82"/>
  <c r="Q110" i="82" s="1"/>
  <c r="R110" i="82" s="1"/>
  <c r="N117" i="82"/>
  <c r="Q117" i="82" s="1"/>
  <c r="R117" i="82" s="1"/>
  <c r="M113" i="82"/>
  <c r="S113" i="82" s="1"/>
  <c r="N217" i="27"/>
  <c r="W217" i="27" s="1"/>
  <c r="Z217" i="27" s="1"/>
  <c r="Q218" i="27"/>
  <c r="R218" i="27" s="1"/>
  <c r="AT218" i="27" s="1"/>
  <c r="Q237" i="27"/>
  <c r="R237" i="27" s="1"/>
  <c r="AT237" i="27" s="1"/>
  <c r="AA236" i="27"/>
  <c r="AB236" i="27" s="1"/>
  <c r="M213" i="27"/>
  <c r="N213" i="27" s="1"/>
  <c r="M104" i="82"/>
  <c r="S104" i="82" s="1"/>
  <c r="S198" i="27"/>
  <c r="J13" i="53" s="1"/>
  <c r="H13" i="53" s="1"/>
  <c r="AA222" i="27" l="1"/>
  <c r="AB222" i="27" s="1"/>
  <c r="AA237" i="27"/>
  <c r="AB237" i="27" s="1"/>
  <c r="S231" i="27"/>
  <c r="AA219" i="27"/>
  <c r="AB219" i="27" s="1"/>
  <c r="AA233" i="27"/>
  <c r="AB233" i="27" s="1"/>
  <c r="Q234" i="27"/>
  <c r="R234" i="27" s="1"/>
  <c r="AT234" i="27" s="1"/>
  <c r="Q219" i="27"/>
  <c r="R219" i="27" s="1"/>
  <c r="AT219" i="27" s="1"/>
  <c r="AA234" i="27"/>
  <c r="AB234" i="27" s="1"/>
  <c r="N203" i="27"/>
  <c r="W203" i="27" s="1"/>
  <c r="Z203" i="27" s="1"/>
  <c r="Q221" i="27"/>
  <c r="R221" i="27" s="1"/>
  <c r="AT221" i="27" s="1"/>
  <c r="Q236" i="27"/>
  <c r="R236" i="27" s="1"/>
  <c r="AT236" i="27" s="1"/>
  <c r="Q235" i="27"/>
  <c r="R235" i="27" s="1"/>
  <c r="AT235" i="27" s="1"/>
  <c r="Q222" i="27"/>
  <c r="R222" i="27" s="1"/>
  <c r="AT222" i="27" s="1"/>
  <c r="N229" i="27"/>
  <c r="AA229" i="27" s="1"/>
  <c r="N206" i="27"/>
  <c r="AA206" i="27" s="1"/>
  <c r="N207" i="27"/>
  <c r="W207" i="27" s="1"/>
  <c r="Z207" i="27" s="1"/>
  <c r="Q233" i="27"/>
  <c r="R233" i="27" s="1"/>
  <c r="AT233" i="27" s="1"/>
  <c r="M112" i="82"/>
  <c r="S112" i="82" s="1"/>
  <c r="AA221" i="27"/>
  <c r="AB221" i="27" s="1"/>
  <c r="Q220" i="27"/>
  <c r="R220" i="27" s="1"/>
  <c r="AT220" i="27" s="1"/>
  <c r="AA220" i="27"/>
  <c r="AB220" i="27" s="1"/>
  <c r="N215" i="27"/>
  <c r="W215" i="27" s="1"/>
  <c r="Z215" i="27" s="1"/>
  <c r="N231" i="27"/>
  <c r="W231" i="27" s="1"/>
  <c r="Z231" i="27" s="1"/>
  <c r="AA235" i="27"/>
  <c r="AB235" i="27" s="1"/>
  <c r="S214" i="27"/>
  <c r="N230" i="27"/>
  <c r="W230" i="27" s="1"/>
  <c r="Z230" i="27" s="1"/>
  <c r="M115" i="82"/>
  <c r="S115" i="82" s="1"/>
  <c r="AA218" i="27"/>
  <c r="AB218" i="27" s="1"/>
  <c r="M116" i="82"/>
  <c r="S116" i="82" s="1"/>
  <c r="M111" i="82"/>
  <c r="S111" i="82" s="1"/>
  <c r="N204" i="27"/>
  <c r="W204" i="27" s="1"/>
  <c r="Z204" i="27" s="1"/>
  <c r="N214" i="27"/>
  <c r="AA214" i="27" s="1"/>
  <c r="N232" i="27"/>
  <c r="W232" i="27" s="1"/>
  <c r="Z232" i="27" s="1"/>
  <c r="N205" i="27"/>
  <c r="Q205" i="27" s="1"/>
  <c r="R205" i="27" s="1"/>
  <c r="AT205" i="27" s="1"/>
  <c r="S232" i="27"/>
  <c r="C927" i="95"/>
  <c r="C1692" i="95"/>
  <c r="AA216" i="27"/>
  <c r="AB216" i="27" s="1"/>
  <c r="Q216" i="27"/>
  <c r="R216" i="27" s="1"/>
  <c r="AT216" i="27" s="1"/>
  <c r="AA202" i="27"/>
  <c r="AB202" i="27" s="1"/>
  <c r="AA201" i="27"/>
  <c r="AB201" i="27" s="1"/>
  <c r="Q202" i="27"/>
  <c r="R202" i="27" s="1"/>
  <c r="AT202" i="27" s="1"/>
  <c r="Q201" i="27"/>
  <c r="R201" i="27" s="1"/>
  <c r="AT201" i="27" s="1"/>
  <c r="Q200" i="27"/>
  <c r="R200" i="27" s="1"/>
  <c r="AT200" i="27" s="1"/>
  <c r="W198" i="27"/>
  <c r="Z198" i="27" s="1"/>
  <c r="AA200" i="27"/>
  <c r="AB200" i="27" s="1"/>
  <c r="N104" i="82"/>
  <c r="Q104" i="82" s="1"/>
  <c r="R104" i="82" s="1"/>
  <c r="AA198" i="27"/>
  <c r="N111" i="82"/>
  <c r="Q111" i="82" s="1"/>
  <c r="R111" i="82" s="1"/>
  <c r="N115" i="82"/>
  <c r="Q115" i="82" s="1"/>
  <c r="R115" i="82" s="1"/>
  <c r="N116" i="82"/>
  <c r="Q116" i="82" s="1"/>
  <c r="R116" i="82" s="1"/>
  <c r="N112" i="82"/>
  <c r="Q112" i="82" s="1"/>
  <c r="R112" i="82" s="1"/>
  <c r="N113" i="82"/>
  <c r="Q113" i="82" s="1"/>
  <c r="R113" i="82" s="1"/>
  <c r="AA217" i="27"/>
  <c r="AB217" i="27" s="1"/>
  <c r="Q217" i="27"/>
  <c r="R217" i="27" s="1"/>
  <c r="AT217" i="27" s="1"/>
  <c r="W213" i="27"/>
  <c r="Z213" i="27" s="1"/>
  <c r="Q213" i="27"/>
  <c r="R213" i="27" s="1"/>
  <c r="AT213" i="27" s="1"/>
  <c r="AA213" i="27"/>
  <c r="S213" i="27"/>
  <c r="M109" i="82"/>
  <c r="S228" i="27"/>
  <c r="M114" i="82"/>
  <c r="Q228" i="27"/>
  <c r="R228" i="27" s="1"/>
  <c r="AT228" i="27" s="1"/>
  <c r="AA228" i="27"/>
  <c r="W228" i="27"/>
  <c r="Z228" i="27" s="1"/>
  <c r="W199" i="27"/>
  <c r="Z199" i="27" s="1"/>
  <c r="AA199" i="27"/>
  <c r="Q199" i="27"/>
  <c r="S199" i="27"/>
  <c r="M105" i="82"/>
  <c r="Q229" i="27" l="1"/>
  <c r="R229" i="27" s="1"/>
  <c r="AT229" i="27" s="1"/>
  <c r="W229" i="27"/>
  <c r="Z229" i="27" s="1"/>
  <c r="AB229" i="27" s="1"/>
  <c r="W206" i="27"/>
  <c r="Z206" i="27" s="1"/>
  <c r="AB206" i="27" s="1"/>
  <c r="Q231" i="27"/>
  <c r="R231" i="27" s="1"/>
  <c r="AT231" i="27" s="1"/>
  <c r="AA215" i="27"/>
  <c r="AB215" i="27" s="1"/>
  <c r="Q215" i="27"/>
  <c r="R215" i="27" s="1"/>
  <c r="AT215" i="27" s="1"/>
  <c r="Q203" i="27"/>
  <c r="R203" i="27" s="1"/>
  <c r="AT203" i="27" s="1"/>
  <c r="AA203" i="27"/>
  <c r="AB203" i="27" s="1"/>
  <c r="AA231" i="27"/>
  <c r="AB231" i="27" s="1"/>
  <c r="Q206" i="27"/>
  <c r="R206" i="27" s="1"/>
  <c r="AT206" i="27" s="1"/>
  <c r="AA232" i="27"/>
  <c r="AB232" i="27" s="1"/>
  <c r="Q232" i="27"/>
  <c r="R232" i="27" s="1"/>
  <c r="AT232" i="27" s="1"/>
  <c r="W205" i="27"/>
  <c r="Z205" i="27" s="1"/>
  <c r="Q207" i="27"/>
  <c r="R207" i="27" s="1"/>
  <c r="AT207" i="27" s="1"/>
  <c r="W214" i="27"/>
  <c r="Z214" i="27" s="1"/>
  <c r="AB214" i="27" s="1"/>
  <c r="AA207" i="27"/>
  <c r="AB207" i="27" s="1"/>
  <c r="AA230" i="27"/>
  <c r="AB230" i="27" s="1"/>
  <c r="Q204" i="27"/>
  <c r="R204" i="27" s="1"/>
  <c r="AT204" i="27" s="1"/>
  <c r="AA204" i="27"/>
  <c r="AB204" i="27" s="1"/>
  <c r="Q214" i="27"/>
  <c r="R214" i="27" s="1"/>
  <c r="AT214" i="27" s="1"/>
  <c r="Q230" i="27"/>
  <c r="R230" i="27" s="1"/>
  <c r="AT230" i="27" s="1"/>
  <c r="AA205" i="27"/>
  <c r="C1693" i="95"/>
  <c r="C928" i="95"/>
  <c r="AB198" i="27"/>
  <c r="S105" i="82"/>
  <c r="N105" i="82"/>
  <c r="Q105" i="82" s="1"/>
  <c r="R105" i="82" s="1"/>
  <c r="S109" i="82"/>
  <c r="N109" i="82"/>
  <c r="Q109" i="82" s="1"/>
  <c r="R109" i="82" s="1"/>
  <c r="S114" i="82"/>
  <c r="N114" i="82"/>
  <c r="Q114" i="82" s="1"/>
  <c r="R114" i="82" s="1"/>
  <c r="AB213" i="27"/>
  <c r="AB228" i="27"/>
  <c r="R199" i="27"/>
  <c r="AT199" i="27" s="1"/>
  <c r="AB199" i="27"/>
  <c r="AB205" i="27" l="1"/>
  <c r="C1694" i="95"/>
  <c r="C929" i="95"/>
  <c r="C1695" i="95" l="1"/>
  <c r="C930" i="95"/>
  <c r="C1696" i="95" l="1"/>
  <c r="C931" i="95"/>
  <c r="C932" i="95" l="1"/>
  <c r="C1697" i="95"/>
  <c r="AV229" i="70" l="1"/>
  <c r="AV233" i="70" s="1"/>
  <c r="AV246" i="70"/>
  <c r="AV195" i="70"/>
  <c r="AV199" i="70" s="1"/>
  <c r="AV212" i="70"/>
  <c r="AV263" i="70"/>
  <c r="AV267" i="70" s="1"/>
  <c r="C1698" i="95"/>
  <c r="C933" i="95"/>
  <c r="AV161" i="70"/>
  <c r="AV178" i="70"/>
  <c r="AV179" i="70" s="1"/>
  <c r="AV127" i="70"/>
  <c r="AV144" i="70"/>
  <c r="AV145" i="70" s="1"/>
  <c r="AV93" i="70"/>
  <c r="AV111" i="70"/>
  <c r="AV59" i="70"/>
  <c r="AV60" i="70" s="1"/>
  <c r="AV76" i="70"/>
  <c r="AV77" i="70" s="1"/>
  <c r="E1225" i="70"/>
  <c r="F22" i="7" s="1"/>
  <c r="D1225" i="70"/>
  <c r="F1225" i="70" l="1"/>
  <c r="G22" i="7" s="1"/>
  <c r="C1225" i="70"/>
  <c r="D22" i="7" s="1"/>
  <c r="AV113" i="70"/>
  <c r="AX112" i="70"/>
  <c r="AV147" i="70"/>
  <c r="AX146" i="70"/>
  <c r="AV181" i="70"/>
  <c r="AX180" i="70"/>
  <c r="AV79" i="70"/>
  <c r="AX78" i="70"/>
  <c r="AV62" i="70"/>
  <c r="AX61" i="70"/>
  <c r="AV235" i="70"/>
  <c r="L229" i="70"/>
  <c r="P19" i="2" s="1"/>
  <c r="AV269" i="70"/>
  <c r="AV201" i="70"/>
  <c r="L195" i="70"/>
  <c r="P17" i="2" s="1"/>
  <c r="AV230" i="70"/>
  <c r="AV234" i="70"/>
  <c r="AV250" i="70"/>
  <c r="AV251" i="70"/>
  <c r="AV247" i="70"/>
  <c r="AX248" i="70" s="1"/>
  <c r="AV196" i="70"/>
  <c r="AV200" i="70"/>
  <c r="AV216" i="70"/>
  <c r="AV217" i="70"/>
  <c r="AV213" i="70"/>
  <c r="AV264" i="70"/>
  <c r="AV268" i="70"/>
  <c r="C934" i="95"/>
  <c r="C1699" i="95"/>
  <c r="AV165" i="70"/>
  <c r="AV162" i="70"/>
  <c r="AV131" i="70"/>
  <c r="AV128" i="70"/>
  <c r="AV97" i="70"/>
  <c r="AV94" i="70"/>
  <c r="AV166" i="70"/>
  <c r="AV182" i="70"/>
  <c r="L178" i="70" s="1"/>
  <c r="P16" i="2" s="1"/>
  <c r="AV183" i="70"/>
  <c r="AV132" i="70"/>
  <c r="AV148" i="70"/>
  <c r="AV149" i="70"/>
  <c r="AV98" i="70"/>
  <c r="AV114" i="70"/>
  <c r="L110" i="70" s="1"/>
  <c r="AV115" i="70"/>
  <c r="AV63" i="70"/>
  <c r="AV65" i="70" s="1"/>
  <c r="AV64" i="70"/>
  <c r="AV81" i="70"/>
  <c r="AV80" i="70"/>
  <c r="E22" i="7"/>
  <c r="E1226" i="70"/>
  <c r="F23" i="7" s="1"/>
  <c r="I17" i="19" l="1"/>
  <c r="R33" i="66"/>
  <c r="T33" i="66" s="1"/>
  <c r="AT33" i="66" s="1"/>
  <c r="I16" i="19"/>
  <c r="R32" i="66"/>
  <c r="T32" i="66" s="1"/>
  <c r="AT32" i="66" s="1"/>
  <c r="I19" i="19"/>
  <c r="R35" i="66"/>
  <c r="T35" i="66" s="1"/>
  <c r="AT35" i="66" s="1"/>
  <c r="R17" i="2"/>
  <c r="Y17" i="2" s="1"/>
  <c r="R16" i="2"/>
  <c r="Y16" i="2" s="1"/>
  <c r="R19" i="2"/>
  <c r="Y19" i="2" s="1"/>
  <c r="AV164" i="70"/>
  <c r="AX163" i="70"/>
  <c r="AV198" i="70"/>
  <c r="AX197" i="70"/>
  <c r="AY180" i="70"/>
  <c r="AV180" i="70"/>
  <c r="AV249" i="70"/>
  <c r="AY146" i="70"/>
  <c r="AV146" i="70"/>
  <c r="AV266" i="70"/>
  <c r="AX265" i="70"/>
  <c r="AV130" i="70"/>
  <c r="AX129" i="70"/>
  <c r="AV215" i="70"/>
  <c r="AX214" i="70"/>
  <c r="AY112" i="70"/>
  <c r="AV112" i="70"/>
  <c r="AV232" i="70"/>
  <c r="AX231" i="70"/>
  <c r="AV96" i="70"/>
  <c r="AX95" i="70"/>
  <c r="AY78" i="70"/>
  <c r="AV78" i="70"/>
  <c r="AY61" i="70"/>
  <c r="AV61" i="70"/>
  <c r="AV252" i="70"/>
  <c r="L246" i="70"/>
  <c r="P20" i="2" s="1"/>
  <c r="AV218" i="70"/>
  <c r="L212" i="70"/>
  <c r="P18" i="2" s="1"/>
  <c r="C935" i="95"/>
  <c r="C1700" i="95"/>
  <c r="L59" i="70"/>
  <c r="AV184" i="70"/>
  <c r="AV167" i="70"/>
  <c r="L161" i="70"/>
  <c r="P15" i="2" s="1"/>
  <c r="AV150" i="70"/>
  <c r="L144" i="70"/>
  <c r="P14" i="2" s="1"/>
  <c r="AV133" i="70"/>
  <c r="L127" i="70"/>
  <c r="P13" i="2" s="1"/>
  <c r="AV116" i="70"/>
  <c r="P12" i="2"/>
  <c r="AV99" i="70"/>
  <c r="L93" i="70"/>
  <c r="P11" i="2" s="1"/>
  <c r="AV82" i="70"/>
  <c r="L76" i="70"/>
  <c r="P10" i="2" s="1"/>
  <c r="D1226" i="70"/>
  <c r="F1226" i="70" l="1"/>
  <c r="G23" i="7" s="1"/>
  <c r="G26" i="7" s="1"/>
  <c r="H8" i="7" s="1"/>
  <c r="C1226" i="70"/>
  <c r="D23" i="7" s="1"/>
  <c r="AU42" i="70"/>
  <c r="AV42" i="70" s="1"/>
  <c r="AV46" i="70" s="1"/>
  <c r="AV48" i="70" s="1"/>
  <c r="P9" i="2"/>
  <c r="H97" i="72" s="1"/>
  <c r="I18" i="19"/>
  <c r="R34" i="66"/>
  <c r="T34" i="66" s="1"/>
  <c r="AT34" i="66" s="1"/>
  <c r="I20" i="19"/>
  <c r="R36" i="66"/>
  <c r="T36" i="66" s="1"/>
  <c r="AT36" i="66" s="1"/>
  <c r="R18" i="2"/>
  <c r="Y18" i="2" s="1"/>
  <c r="R20" i="2"/>
  <c r="Y20" i="2" s="1"/>
  <c r="AY214" i="70"/>
  <c r="AV214" i="70"/>
  <c r="AY248" i="70"/>
  <c r="AV248" i="70"/>
  <c r="AY129" i="70"/>
  <c r="AV129" i="70"/>
  <c r="AW183" i="70"/>
  <c r="AW180" i="70"/>
  <c r="AY231" i="70"/>
  <c r="AV231" i="70"/>
  <c r="AY265" i="70"/>
  <c r="AV265" i="70"/>
  <c r="L263" i="70" s="1"/>
  <c r="AY197" i="70"/>
  <c r="AV197" i="70"/>
  <c r="AY163" i="70"/>
  <c r="AV163" i="70"/>
  <c r="AW115" i="70"/>
  <c r="AW112" i="70"/>
  <c r="AW146" i="70"/>
  <c r="AW149" i="70"/>
  <c r="AY95" i="70"/>
  <c r="AV95" i="70"/>
  <c r="AW81" i="70"/>
  <c r="AW78" i="70"/>
  <c r="AW61" i="70"/>
  <c r="AW64" i="70"/>
  <c r="M59" i="70" s="1"/>
  <c r="Q9" i="2" s="1"/>
  <c r="C1701" i="95"/>
  <c r="C936" i="95"/>
  <c r="AI9" i="2"/>
  <c r="AH9" i="2"/>
  <c r="AK9" i="2" s="1"/>
  <c r="I15" i="19"/>
  <c r="R31" i="66"/>
  <c r="T31" i="66" s="1"/>
  <c r="AT31" i="66" s="1"/>
  <c r="H103" i="72"/>
  <c r="G13" i="36"/>
  <c r="J13" i="36" s="1"/>
  <c r="L13" i="36" s="1"/>
  <c r="B55" i="36" s="1"/>
  <c r="D55" i="36" s="1"/>
  <c r="R15" i="2"/>
  <c r="H102" i="72"/>
  <c r="I14" i="19"/>
  <c r="R30" i="66"/>
  <c r="T30" i="66" s="1"/>
  <c r="AT30" i="66" s="1"/>
  <c r="G12" i="36"/>
  <c r="J12" i="36" s="1"/>
  <c r="L12" i="36" s="1"/>
  <c r="B54" i="36" s="1"/>
  <c r="D54" i="36" s="1"/>
  <c r="R14" i="2"/>
  <c r="H101" i="72"/>
  <c r="R29" i="66"/>
  <c r="T29" i="66" s="1"/>
  <c r="AT29" i="66" s="1"/>
  <c r="I13" i="19"/>
  <c r="G11" i="36"/>
  <c r="J11" i="36" s="1"/>
  <c r="L11" i="36" s="1"/>
  <c r="B53" i="36" s="1"/>
  <c r="D53" i="36" s="1"/>
  <c r="R13" i="2"/>
  <c r="H100" i="72"/>
  <c r="G10" i="36"/>
  <c r="J10" i="36" s="1"/>
  <c r="L10" i="36" s="1"/>
  <c r="B52" i="36" s="1"/>
  <c r="D52" i="36" s="1"/>
  <c r="I12" i="19"/>
  <c r="R28" i="66"/>
  <c r="T28" i="66" s="1"/>
  <c r="AT28" i="66" s="1"/>
  <c r="R12" i="2"/>
  <c r="I11" i="19"/>
  <c r="G9" i="36"/>
  <c r="J9" i="36" s="1"/>
  <c r="L9" i="36" s="1"/>
  <c r="B51" i="36" s="1"/>
  <c r="D51" i="36" s="1"/>
  <c r="H99" i="72"/>
  <c r="R27" i="66"/>
  <c r="T27" i="66" s="1"/>
  <c r="AT27" i="66" s="1"/>
  <c r="R11" i="2"/>
  <c r="H98" i="72"/>
  <c r="R26" i="66"/>
  <c r="T26" i="66" s="1"/>
  <c r="AT26" i="66" s="1"/>
  <c r="G8" i="36"/>
  <c r="J8" i="36" s="1"/>
  <c r="L8" i="36" s="1"/>
  <c r="B50" i="36" s="1"/>
  <c r="D50" i="36" s="1"/>
  <c r="I10" i="19"/>
  <c r="R10" i="2"/>
  <c r="AJ9" i="2"/>
  <c r="AI8" i="2"/>
  <c r="AH8" i="2"/>
  <c r="E23" i="7"/>
  <c r="AJ8" i="2"/>
  <c r="AV43" i="70" l="1"/>
  <c r="AX44" i="70" s="1"/>
  <c r="AV47" i="70"/>
  <c r="L42" i="70"/>
  <c r="P8" i="2" s="1"/>
  <c r="G6" i="36" s="1"/>
  <c r="G7" i="36"/>
  <c r="I9" i="19"/>
  <c r="R25" i="66"/>
  <c r="R9" i="2"/>
  <c r="Y9" i="2" s="1"/>
  <c r="S9" i="2" s="1"/>
  <c r="T9" i="2" s="1"/>
  <c r="P21" i="2"/>
  <c r="I21" i="19" s="1"/>
  <c r="AW166" i="70"/>
  <c r="AW163" i="70"/>
  <c r="AW197" i="70"/>
  <c r="AW200" i="70"/>
  <c r="AW129" i="70"/>
  <c r="AW132" i="70"/>
  <c r="AW265" i="70"/>
  <c r="M263" i="70" s="1"/>
  <c r="Q21" i="2" s="1"/>
  <c r="J21" i="19" s="1"/>
  <c r="AW268" i="70"/>
  <c r="AW248" i="70"/>
  <c r="AW251" i="70"/>
  <c r="AW234" i="70"/>
  <c r="AW231" i="70"/>
  <c r="AW217" i="70"/>
  <c r="AW214" i="70"/>
  <c r="AW95" i="70"/>
  <c r="AW98" i="70"/>
  <c r="I97" i="72"/>
  <c r="H7" i="36"/>
  <c r="J9" i="19"/>
  <c r="S25" i="66"/>
  <c r="M25" i="70"/>
  <c r="Q7" i="2" s="1"/>
  <c r="C937" i="95"/>
  <c r="C1702" i="95"/>
  <c r="Z9" i="2"/>
  <c r="AI11" i="2"/>
  <c r="AJ11" i="2"/>
  <c r="AH11" i="2"/>
  <c r="AK11" i="2" s="1"/>
  <c r="AH10" i="2"/>
  <c r="AK10" i="2" s="1"/>
  <c r="AI10" i="2"/>
  <c r="H12" i="73"/>
  <c r="Y15" i="2"/>
  <c r="J103" i="72"/>
  <c r="F55" i="36"/>
  <c r="E55" i="36"/>
  <c r="G55" i="36"/>
  <c r="J102" i="72"/>
  <c r="H11" i="73"/>
  <c r="Y14" i="2"/>
  <c r="E54" i="36"/>
  <c r="F54" i="36"/>
  <c r="G54" i="36"/>
  <c r="J101" i="72"/>
  <c r="H10" i="73"/>
  <c r="Y13" i="2"/>
  <c r="E53" i="36"/>
  <c r="G53" i="36"/>
  <c r="F53" i="36"/>
  <c r="J100" i="72"/>
  <c r="H9" i="73"/>
  <c r="Y12" i="2"/>
  <c r="E52" i="36"/>
  <c r="F52" i="36"/>
  <c r="G52" i="36"/>
  <c r="Y11" i="2"/>
  <c r="S11" i="2" s="1"/>
  <c r="J99" i="72"/>
  <c r="H8" i="73"/>
  <c r="G51" i="36"/>
  <c r="E51" i="36"/>
  <c r="F51" i="36"/>
  <c r="AJ10" i="2"/>
  <c r="J98" i="72"/>
  <c r="Y10" i="2"/>
  <c r="S10" i="2" s="1"/>
  <c r="H7" i="73"/>
  <c r="G50" i="36"/>
  <c r="E50" i="36"/>
  <c r="F50" i="36"/>
  <c r="AK8" i="2"/>
  <c r="I26" i="7"/>
  <c r="I8" i="7" s="1"/>
  <c r="J28" i="72" s="1"/>
  <c r="D19" i="83" s="1"/>
  <c r="S8" i="2"/>
  <c r="Z8" i="2" s="1"/>
  <c r="AA9" i="2" l="1"/>
  <c r="AV45" i="70"/>
  <c r="R24" i="66"/>
  <c r="H96" i="72"/>
  <c r="I8" i="19"/>
  <c r="AY44" i="70"/>
  <c r="AV44" i="70"/>
  <c r="T25" i="66"/>
  <c r="AT25" i="66" s="1"/>
  <c r="J7" i="36"/>
  <c r="L7" i="36" s="1"/>
  <c r="B49" i="36" s="1"/>
  <c r="D49" i="36" s="1"/>
  <c r="F49" i="36" s="1"/>
  <c r="H104" i="72"/>
  <c r="R37" i="66"/>
  <c r="G14" i="36"/>
  <c r="H6" i="73"/>
  <c r="I6" i="73" s="1"/>
  <c r="J6" i="73" s="1"/>
  <c r="J97" i="72"/>
  <c r="S37" i="66"/>
  <c r="H14" i="36"/>
  <c r="I104" i="72"/>
  <c r="R21" i="2"/>
  <c r="F29" i="85"/>
  <c r="L29" i="85"/>
  <c r="AL9" i="2"/>
  <c r="AT9" i="2"/>
  <c r="C1703" i="95"/>
  <c r="C938" i="95"/>
  <c r="Z10" i="2"/>
  <c r="AA10" i="2" s="1"/>
  <c r="Z11" i="2"/>
  <c r="AA11" i="2" s="1"/>
  <c r="K12" i="73"/>
  <c r="L12" i="73" s="1"/>
  <c r="M12" i="73" s="1"/>
  <c r="I12" i="73"/>
  <c r="J12" i="73" s="1"/>
  <c r="I11" i="73"/>
  <c r="J11" i="73" s="1"/>
  <c r="K11" i="73"/>
  <c r="L11" i="73" s="1"/>
  <c r="M11" i="73" s="1"/>
  <c r="I10" i="73"/>
  <c r="J10" i="73" s="1"/>
  <c r="K10" i="73"/>
  <c r="L10" i="73" s="1"/>
  <c r="M10" i="73" s="1"/>
  <c r="K9" i="73"/>
  <c r="L9" i="73" s="1"/>
  <c r="M9" i="73" s="1"/>
  <c r="I9" i="73"/>
  <c r="J9" i="73" s="1"/>
  <c r="K8" i="73"/>
  <c r="L8" i="73" s="1"/>
  <c r="M8" i="73" s="1"/>
  <c r="I8" i="73"/>
  <c r="J8" i="73" s="1"/>
  <c r="T11" i="2"/>
  <c r="K7" i="73"/>
  <c r="L7" i="73" s="1"/>
  <c r="M7" i="73" s="1"/>
  <c r="I7" i="73"/>
  <c r="J7" i="73" s="1"/>
  <c r="T10" i="2"/>
  <c r="I95" i="72"/>
  <c r="H5" i="36"/>
  <c r="J7" i="19"/>
  <c r="S23" i="66"/>
  <c r="X2" i="74"/>
  <c r="N7" i="84" s="1"/>
  <c r="N28" i="72"/>
  <c r="F52" i="85"/>
  <c r="O19" i="83"/>
  <c r="G19" i="83" s="1"/>
  <c r="T8" i="2"/>
  <c r="AT8" i="2" s="1"/>
  <c r="AA8" i="2"/>
  <c r="L19" i="27"/>
  <c r="L19" i="82" s="1"/>
  <c r="L21" i="27"/>
  <c r="L21" i="82" s="1"/>
  <c r="I13" i="27"/>
  <c r="I13" i="82" s="1"/>
  <c r="I21" i="27"/>
  <c r="I21" i="82" s="1"/>
  <c r="I14" i="27"/>
  <c r="I14" i="82" s="1"/>
  <c r="I11" i="27"/>
  <c r="I11" i="82" s="1"/>
  <c r="I12" i="27"/>
  <c r="I12" i="82" s="1"/>
  <c r="I20" i="27"/>
  <c r="I20" i="82" s="1"/>
  <c r="L15" i="27"/>
  <c r="L15" i="82" s="1"/>
  <c r="L17" i="27"/>
  <c r="L17" i="82" s="1"/>
  <c r="L10" i="27"/>
  <c r="L10" i="82" s="1"/>
  <c r="I17" i="27"/>
  <c r="I17" i="82" s="1"/>
  <c r="I10" i="27"/>
  <c r="I10" i="82" s="1"/>
  <c r="I18" i="27"/>
  <c r="I18" i="82" s="1"/>
  <c r="I15" i="27"/>
  <c r="I15" i="82" s="1"/>
  <c r="I19" i="27"/>
  <c r="I19" i="82" s="1"/>
  <c r="I16" i="27"/>
  <c r="I16" i="82" s="1"/>
  <c r="F387" i="70"/>
  <c r="L16" i="27"/>
  <c r="L16" i="82" s="1"/>
  <c r="L14" i="27"/>
  <c r="L14" i="82" s="1"/>
  <c r="F381" i="70"/>
  <c r="F382" i="70"/>
  <c r="F385" i="70"/>
  <c r="L20" i="27"/>
  <c r="L20" i="82" s="1"/>
  <c r="F383" i="70"/>
  <c r="L13" i="27"/>
  <c r="L13" i="82" s="1"/>
  <c r="F380" i="70"/>
  <c r="F379" i="70"/>
  <c r="F377" i="70"/>
  <c r="L11" i="27"/>
  <c r="L11" i="82" s="1"/>
  <c r="F386" i="70"/>
  <c r="F378" i="70"/>
  <c r="L12" i="27"/>
  <c r="L12" i="82" s="1"/>
  <c r="F376" i="70"/>
  <c r="F384" i="70"/>
  <c r="L18" i="27"/>
  <c r="L18" i="82" s="1"/>
  <c r="F18" i="27" l="1"/>
  <c r="F18" i="82" s="1"/>
  <c r="H18" i="82" s="1"/>
  <c r="M18" i="82" s="1"/>
  <c r="S18" i="82" s="1"/>
  <c r="J384" i="70"/>
  <c r="T18" i="27" s="1"/>
  <c r="T18" i="82" s="1"/>
  <c r="F10" i="27"/>
  <c r="F10" i="82" s="1"/>
  <c r="H10" i="82" s="1"/>
  <c r="M10" i="82" s="1"/>
  <c r="S10" i="82" s="1"/>
  <c r="J376" i="70"/>
  <c r="T10" i="27" s="1"/>
  <c r="F12" i="27"/>
  <c r="F12" i="82" s="1"/>
  <c r="H12" i="82" s="1"/>
  <c r="M12" i="82" s="1"/>
  <c r="S12" i="82" s="1"/>
  <c r="J378" i="70"/>
  <c r="T12" i="27" s="1"/>
  <c r="T12" i="82" s="1"/>
  <c r="F20" i="27"/>
  <c r="H20" i="27" s="1"/>
  <c r="M20" i="27" s="1"/>
  <c r="S20" i="27" s="1"/>
  <c r="J386" i="70"/>
  <c r="T20" i="27" s="1"/>
  <c r="T20" i="82" s="1"/>
  <c r="F11" i="27"/>
  <c r="F11" i="82" s="1"/>
  <c r="H11" i="82" s="1"/>
  <c r="J377" i="70"/>
  <c r="T11" i="27" s="1"/>
  <c r="T11" i="82" s="1"/>
  <c r="F13" i="27"/>
  <c r="H13" i="27" s="1"/>
  <c r="M13" i="27" s="1"/>
  <c r="S13" i="27" s="1"/>
  <c r="J379" i="70"/>
  <c r="T13" i="27" s="1"/>
  <c r="T13" i="82" s="1"/>
  <c r="F14" i="27"/>
  <c r="F14" i="82" s="1"/>
  <c r="H14" i="82" s="1"/>
  <c r="J380" i="70"/>
  <c r="T14" i="27" s="1"/>
  <c r="T14" i="82" s="1"/>
  <c r="F17" i="27"/>
  <c r="H17" i="27" s="1"/>
  <c r="J383" i="70"/>
  <c r="T17" i="27" s="1"/>
  <c r="T17" i="82" s="1"/>
  <c r="F19" i="27"/>
  <c r="H19" i="27" s="1"/>
  <c r="J385" i="70"/>
  <c r="T19" i="27" s="1"/>
  <c r="T19" i="82" s="1"/>
  <c r="F16" i="27"/>
  <c r="F16" i="82" s="1"/>
  <c r="H16" i="82" s="1"/>
  <c r="M16" i="82" s="1"/>
  <c r="S16" i="82" s="1"/>
  <c r="J382" i="70"/>
  <c r="T16" i="27" s="1"/>
  <c r="T16" i="82" s="1"/>
  <c r="F15" i="27"/>
  <c r="F15" i="82" s="1"/>
  <c r="H15" i="82" s="1"/>
  <c r="M15" i="82" s="1"/>
  <c r="S15" i="82" s="1"/>
  <c r="J381" i="70"/>
  <c r="T15" i="27" s="1"/>
  <c r="T15" i="82" s="1"/>
  <c r="F21" i="27"/>
  <c r="H21" i="27" s="1"/>
  <c r="M21" i="27" s="1"/>
  <c r="S21" i="27" s="1"/>
  <c r="J387" i="70"/>
  <c r="T21" i="27" s="1"/>
  <c r="T21" i="82" s="1"/>
  <c r="AW47" i="70"/>
  <c r="M42" i="70" s="1"/>
  <c r="Q8" i="2" s="1"/>
  <c r="AW44" i="70"/>
  <c r="G49" i="36"/>
  <c r="E49" i="36"/>
  <c r="J14" i="36"/>
  <c r="L14" i="36" s="1"/>
  <c r="B56" i="36" s="1"/>
  <c r="D56" i="36" s="1"/>
  <c r="F56" i="36" s="1"/>
  <c r="T37" i="66"/>
  <c r="AT37" i="66" s="1"/>
  <c r="K6" i="73"/>
  <c r="L6" i="73" s="1"/>
  <c r="M6" i="73" s="1"/>
  <c r="Y21" i="2"/>
  <c r="J104" i="72"/>
  <c r="H13" i="73"/>
  <c r="AL10" i="2"/>
  <c r="AT10" i="2"/>
  <c r="AL11" i="2"/>
  <c r="AT11" i="2"/>
  <c r="C1704" i="95"/>
  <c r="C939" i="95"/>
  <c r="AL8" i="2"/>
  <c r="H10" i="27"/>
  <c r="M10" i="27" s="1"/>
  <c r="S10" i="27" s="1"/>
  <c r="H18" i="27" l="1"/>
  <c r="M18" i="27" s="1"/>
  <c r="S18" i="27" s="1"/>
  <c r="F13" i="82"/>
  <c r="H13" i="82" s="1"/>
  <c r="M13" i="82" s="1"/>
  <c r="S13" i="82" s="1"/>
  <c r="H16" i="27"/>
  <c r="M16" i="27" s="1"/>
  <c r="S16" i="27" s="1"/>
  <c r="H14" i="27"/>
  <c r="M14" i="27" s="1"/>
  <c r="S14" i="27" s="1"/>
  <c r="N16" i="82"/>
  <c r="Q16" i="82" s="1"/>
  <c r="R16" i="82" s="1"/>
  <c r="F19" i="82"/>
  <c r="H19" i="82" s="1"/>
  <c r="M19" i="82" s="1"/>
  <c r="S19" i="82" s="1"/>
  <c r="H11" i="27"/>
  <c r="M11" i="27" s="1"/>
  <c r="S11" i="27" s="1"/>
  <c r="H15" i="27"/>
  <c r="M15" i="27" s="1"/>
  <c r="S15" i="27" s="1"/>
  <c r="H12" i="27"/>
  <c r="M12" i="27" s="1"/>
  <c r="S12" i="27" s="1"/>
  <c r="F17" i="82"/>
  <c r="H17" i="82" s="1"/>
  <c r="M17" i="82" s="1"/>
  <c r="S17" i="82" s="1"/>
  <c r="F20" i="82"/>
  <c r="H20" i="82" s="1"/>
  <c r="M20" i="82" s="1"/>
  <c r="S20" i="82" s="1"/>
  <c r="F21" i="82"/>
  <c r="H21" i="82" s="1"/>
  <c r="M21" i="82" s="1"/>
  <c r="S21" i="82" s="1"/>
  <c r="T10" i="82"/>
  <c r="Q17" i="83"/>
  <c r="I17" i="83"/>
  <c r="S24" i="66"/>
  <c r="T24" i="66" s="1"/>
  <c r="AT24" i="66" s="1"/>
  <c r="J8" i="19"/>
  <c r="H6" i="36"/>
  <c r="J6" i="36" s="1"/>
  <c r="L6" i="36" s="1"/>
  <c r="B48" i="36" s="1"/>
  <c r="D48" i="36" s="1"/>
  <c r="I96" i="72"/>
  <c r="R8" i="2"/>
  <c r="I198" i="27"/>
  <c r="I104" i="82" s="1"/>
  <c r="E56" i="36"/>
  <c r="G56" i="36"/>
  <c r="K13" i="73"/>
  <c r="L13" i="73" s="1"/>
  <c r="M13" i="73" s="1"/>
  <c r="I13" i="73"/>
  <c r="J13" i="73" s="1"/>
  <c r="C1705" i="95"/>
  <c r="C940" i="95"/>
  <c r="N18" i="82"/>
  <c r="Q18" i="82" s="1"/>
  <c r="R18" i="82" s="1"/>
  <c r="N21" i="27"/>
  <c r="AA21" i="27" s="1"/>
  <c r="N15" i="82"/>
  <c r="Q15" i="82" s="1"/>
  <c r="R15" i="82" s="1"/>
  <c r="N10" i="82"/>
  <c r="Q10" i="82" s="1"/>
  <c r="R10" i="82" s="1"/>
  <c r="N12" i="82"/>
  <c r="Q12" i="82" s="1"/>
  <c r="R12" i="82" s="1"/>
  <c r="N13" i="27"/>
  <c r="Q13" i="27" s="1"/>
  <c r="R13" i="27" s="1"/>
  <c r="AT13" i="27" s="1"/>
  <c r="N20" i="27"/>
  <c r="Q20" i="27" s="1"/>
  <c r="R20" i="27" s="1"/>
  <c r="AT20" i="27" s="1"/>
  <c r="M17" i="27"/>
  <c r="S17" i="27" s="1"/>
  <c r="N10" i="27"/>
  <c r="AA10" i="27" s="1"/>
  <c r="M19" i="27"/>
  <c r="S19" i="27" s="1"/>
  <c r="M14" i="82"/>
  <c r="S14" i="82" s="1"/>
  <c r="M11" i="82"/>
  <c r="S11" i="82" s="1"/>
  <c r="N13" i="82" l="1"/>
  <c r="Q13" i="82" s="1"/>
  <c r="R13" i="82" s="1"/>
  <c r="N17" i="82"/>
  <c r="Q17" i="82" s="1"/>
  <c r="R17" i="82" s="1"/>
  <c r="N16" i="27"/>
  <c r="AA16" i="27" s="1"/>
  <c r="G17" i="83"/>
  <c r="N12" i="27"/>
  <c r="AA12" i="27" s="1"/>
  <c r="H5" i="73"/>
  <c r="Y8" i="2"/>
  <c r="J96" i="72"/>
  <c r="M11" i="39"/>
  <c r="O11" i="39" s="1"/>
  <c r="M7" i="39"/>
  <c r="O7" i="39" s="1"/>
  <c r="M10" i="39"/>
  <c r="O10" i="39" s="1"/>
  <c r="M16" i="39"/>
  <c r="O16" i="39" s="1"/>
  <c r="M14" i="39"/>
  <c r="O14" i="39" s="1"/>
  <c r="M9" i="39"/>
  <c r="O9" i="39" s="1"/>
  <c r="M15" i="39"/>
  <c r="O15" i="39" s="1"/>
  <c r="M12" i="39"/>
  <c r="O12" i="39" s="1"/>
  <c r="M8" i="39"/>
  <c r="O8" i="39" s="1"/>
  <c r="M13" i="39"/>
  <c r="O13" i="39" s="1"/>
  <c r="M20" i="39"/>
  <c r="O20" i="39" s="1"/>
  <c r="M19" i="39"/>
  <c r="O19" i="39" s="1"/>
  <c r="M17" i="39"/>
  <c r="O17" i="39" s="1"/>
  <c r="M18" i="39"/>
  <c r="O18" i="39" s="1"/>
  <c r="F48" i="36"/>
  <c r="G48" i="36"/>
  <c r="E48" i="36"/>
  <c r="C941" i="95"/>
  <c r="C1706" i="95"/>
  <c r="W21" i="27"/>
  <c r="Z21" i="27" s="1"/>
  <c r="AB21" i="27" s="1"/>
  <c r="Q21" i="27"/>
  <c r="R21" i="27" s="1"/>
  <c r="AT21" i="27" s="1"/>
  <c r="AA13" i="27"/>
  <c r="N21" i="82"/>
  <c r="Q21" i="82" s="1"/>
  <c r="R21" i="82" s="1"/>
  <c r="N11" i="82"/>
  <c r="Q11" i="82" s="1"/>
  <c r="R11" i="82" s="1"/>
  <c r="N18" i="27"/>
  <c r="W18" i="27" s="1"/>
  <c r="Z18" i="27" s="1"/>
  <c r="N14" i="82"/>
  <c r="Q14" i="82" s="1"/>
  <c r="R14" i="82" s="1"/>
  <c r="N20" i="82"/>
  <c r="Q20" i="82" s="1"/>
  <c r="R20" i="82" s="1"/>
  <c r="N15" i="27"/>
  <c r="N19" i="82"/>
  <c r="Q19" i="82" s="1"/>
  <c r="R19" i="82" s="1"/>
  <c r="N14" i="27"/>
  <c r="W14" i="27" s="1"/>
  <c r="Z14" i="27" s="1"/>
  <c r="N19" i="27"/>
  <c r="Q19" i="27" s="1"/>
  <c r="R19" i="27" s="1"/>
  <c r="AT19" i="27" s="1"/>
  <c r="N17" i="27"/>
  <c r="W13" i="27"/>
  <c r="Z13" i="27" s="1"/>
  <c r="W20" i="27"/>
  <c r="Z20" i="27" s="1"/>
  <c r="N11" i="27"/>
  <c r="AA11" i="27" s="1"/>
  <c r="AA20" i="27"/>
  <c r="Q10" i="27"/>
  <c r="R10" i="27" s="1"/>
  <c r="AT10" i="27" s="1"/>
  <c r="W10" i="27"/>
  <c r="Z10" i="27" s="1"/>
  <c r="AB10" i="27" s="1"/>
  <c r="Q16" i="27" l="1"/>
  <c r="R16" i="27" s="1"/>
  <c r="AT16" i="27" s="1"/>
  <c r="W16" i="27"/>
  <c r="Z16" i="27" s="1"/>
  <c r="AB16" i="27" s="1"/>
  <c r="W12" i="27"/>
  <c r="Z12" i="27" s="1"/>
  <c r="AB12" i="27" s="1"/>
  <c r="Q12" i="27"/>
  <c r="R12" i="27" s="1"/>
  <c r="AT12" i="27" s="1"/>
  <c r="R311" i="82"/>
  <c r="I5" i="73"/>
  <c r="K5" i="73"/>
  <c r="AU10" i="27"/>
  <c r="C1707" i="95"/>
  <c r="C942" i="95"/>
  <c r="W19" i="27"/>
  <c r="Z19" i="27" s="1"/>
  <c r="AB13" i="27"/>
  <c r="Q311" i="82"/>
  <c r="AA18" i="27"/>
  <c r="AB18" i="27" s="1"/>
  <c r="AA14" i="27"/>
  <c r="AB14" i="27" s="1"/>
  <c r="Q18" i="27"/>
  <c r="R18" i="27" s="1"/>
  <c r="AT18" i="27" s="1"/>
  <c r="Q14" i="27"/>
  <c r="R14" i="27" s="1"/>
  <c r="AT14" i="27" s="1"/>
  <c r="AA17" i="27"/>
  <c r="W17" i="27"/>
  <c r="Z17" i="27" s="1"/>
  <c r="Q17" i="27"/>
  <c r="R17" i="27" s="1"/>
  <c r="AT17" i="27" s="1"/>
  <c r="Q15" i="27"/>
  <c r="R15" i="27" s="1"/>
  <c r="AT15" i="27" s="1"/>
  <c r="W15" i="27"/>
  <c r="Z15" i="27" s="1"/>
  <c r="AA15" i="27"/>
  <c r="AA19" i="27"/>
  <c r="Q11" i="27"/>
  <c r="R11" i="27" s="1"/>
  <c r="AT11" i="27" s="1"/>
  <c r="W11" i="27"/>
  <c r="Z11" i="27" s="1"/>
  <c r="AB11" i="27" s="1"/>
  <c r="AB20" i="27"/>
  <c r="L5" i="73" l="1"/>
  <c r="J42" i="89"/>
  <c r="J62" i="89"/>
  <c r="J72" i="89"/>
  <c r="J52" i="89"/>
  <c r="J12" i="89"/>
  <c r="J22" i="89"/>
  <c r="J32" i="89"/>
  <c r="J5" i="73"/>
  <c r="AU12" i="27"/>
  <c r="AU53" i="27"/>
  <c r="AU25" i="27"/>
  <c r="AU52" i="27"/>
  <c r="AU15" i="27"/>
  <c r="AU39" i="27"/>
  <c r="AU16" i="27"/>
  <c r="AU28" i="27"/>
  <c r="AU54" i="27"/>
  <c r="AU17" i="27"/>
  <c r="AU44" i="27"/>
  <c r="AU26" i="27"/>
  <c r="AU46" i="27"/>
  <c r="AU48" i="27"/>
  <c r="AU55" i="27"/>
  <c r="AU42" i="27"/>
  <c r="AU40" i="27"/>
  <c r="AU51" i="27"/>
  <c r="AU41" i="27"/>
  <c r="AU33" i="27"/>
  <c r="AU31" i="27"/>
  <c r="AU47" i="27"/>
  <c r="AU29" i="27"/>
  <c r="AU27" i="27"/>
  <c r="AU43" i="27"/>
  <c r="AU45" i="27"/>
  <c r="AU22" i="27"/>
  <c r="AU49" i="27"/>
  <c r="AU21" i="27"/>
  <c r="AU23" i="27"/>
  <c r="AU30" i="27"/>
  <c r="AU13" i="27"/>
  <c r="AU19" i="27"/>
  <c r="AU20" i="27"/>
  <c r="AU11" i="27"/>
  <c r="AU57" i="27"/>
  <c r="AU59" i="27"/>
  <c r="AU58" i="27"/>
  <c r="AU18" i="27"/>
  <c r="AU24" i="27"/>
  <c r="AU32" i="27"/>
  <c r="AU50" i="27"/>
  <c r="AU14" i="27"/>
  <c r="AU56" i="27"/>
  <c r="AU60" i="27"/>
  <c r="AU322" i="27"/>
  <c r="AU475" i="27"/>
  <c r="AU343" i="27"/>
  <c r="AU387" i="27"/>
  <c r="AU562" i="27"/>
  <c r="AU421" i="27"/>
  <c r="AU671" i="27"/>
  <c r="AU559" i="27"/>
  <c r="AU61" i="27"/>
  <c r="AU428" i="27"/>
  <c r="AU391" i="27"/>
  <c r="AU392" i="27"/>
  <c r="AU514" i="27"/>
  <c r="AU509" i="27"/>
  <c r="AU573" i="27"/>
  <c r="AU632" i="27"/>
  <c r="AU695" i="27"/>
  <c r="AU222" i="27"/>
  <c r="AU313" i="27"/>
  <c r="AU103" i="27"/>
  <c r="AU484" i="27"/>
  <c r="AU487" i="27"/>
  <c r="AU639" i="27"/>
  <c r="AU340" i="27"/>
  <c r="AU588" i="27"/>
  <c r="AU197" i="27"/>
  <c r="AU347" i="27"/>
  <c r="AU386" i="27"/>
  <c r="AU477" i="27"/>
  <c r="AU613" i="27"/>
  <c r="AU682" i="27"/>
  <c r="AU65" i="27"/>
  <c r="AU182" i="27"/>
  <c r="AU268" i="27"/>
  <c r="AU302" i="27"/>
  <c r="AU63" i="27"/>
  <c r="AU554" i="27"/>
  <c r="AU680" i="27"/>
  <c r="AU93" i="27"/>
  <c r="AU281" i="27"/>
  <c r="AU294" i="27"/>
  <c r="AU153" i="27"/>
  <c r="AU454" i="27"/>
  <c r="AU607" i="27"/>
  <c r="AU258" i="27"/>
  <c r="AU256" i="27"/>
  <c r="AU219" i="27"/>
  <c r="AU440" i="27"/>
  <c r="AU397" i="27"/>
  <c r="AU532" i="27"/>
  <c r="AU166" i="27"/>
  <c r="AU164" i="27"/>
  <c r="AU131" i="27"/>
  <c r="AU643" i="27"/>
  <c r="AU630" i="27"/>
  <c r="AU161" i="27"/>
  <c r="AU261" i="27"/>
  <c r="AU644" i="27"/>
  <c r="AU232" i="27"/>
  <c r="AU462" i="27"/>
  <c r="AU105" i="27"/>
  <c r="AU449" i="27"/>
  <c r="AU198" i="27"/>
  <c r="AU196" i="27"/>
  <c r="AU163" i="27"/>
  <c r="AU558" i="27"/>
  <c r="AU274" i="27"/>
  <c r="AU243" i="27"/>
  <c r="AU429" i="27"/>
  <c r="AU138" i="27"/>
  <c r="AU570" i="27"/>
  <c r="AU245" i="27"/>
  <c r="AU239" i="27"/>
  <c r="AU142" i="27"/>
  <c r="AU228" i="27"/>
  <c r="AU634" i="27"/>
  <c r="AU460" i="27"/>
  <c r="AU653" i="27"/>
  <c r="AU418" i="27"/>
  <c r="AU489" i="27"/>
  <c r="AU426" i="27"/>
  <c r="AU85" i="27"/>
  <c r="AU395" i="27"/>
  <c r="AU149" i="27"/>
  <c r="AU498" i="27"/>
  <c r="AU474" i="27"/>
  <c r="AU389" i="27"/>
  <c r="AU525" i="27"/>
  <c r="AU540" i="27"/>
  <c r="AU396" i="27"/>
  <c r="AU325" i="27"/>
  <c r="AU355" i="27"/>
  <c r="AU410" i="27"/>
  <c r="AU493" i="27"/>
  <c r="AU605" i="27"/>
  <c r="AU669" i="27"/>
  <c r="AU205" i="27"/>
  <c r="AU190" i="27"/>
  <c r="AU276" i="27"/>
  <c r="AU71" i="27"/>
  <c r="AU452" i="27"/>
  <c r="AU431" i="27"/>
  <c r="AU574" i="27"/>
  <c r="AU320" i="27"/>
  <c r="AU551" i="27"/>
  <c r="AU620" i="27"/>
  <c r="AU282" i="27"/>
  <c r="AU423" i="27"/>
  <c r="AU594" i="27"/>
  <c r="AU437" i="27"/>
  <c r="AU650" i="27"/>
  <c r="AU523" i="27"/>
  <c r="AU137" i="27"/>
  <c r="AU150" i="27"/>
  <c r="AU236" i="27"/>
  <c r="AU287" i="27"/>
  <c r="AU651" i="27"/>
  <c r="AU693" i="27"/>
  <c r="AU101" i="27"/>
  <c r="AU309" i="27"/>
  <c r="AU271" i="27"/>
  <c r="AU229" i="27"/>
  <c r="AU473" i="27"/>
  <c r="AU686" i="27"/>
  <c r="AU210" i="27"/>
  <c r="AU216" i="27"/>
  <c r="AU179" i="27"/>
  <c r="AU407" i="27"/>
  <c r="AU323" i="27"/>
  <c r="AU600" i="27"/>
  <c r="AU122" i="27"/>
  <c r="AU124" i="27"/>
  <c r="AU87" i="27"/>
  <c r="AU494" i="27"/>
  <c r="AU517" i="27"/>
  <c r="AU73" i="27"/>
  <c r="AU249" i="27"/>
  <c r="AU304" i="27"/>
  <c r="AU508" i="27"/>
  <c r="AU560" i="27"/>
  <c r="AU152" i="27"/>
  <c r="AU578" i="27"/>
  <c r="AU408" i="27"/>
  <c r="AU385" i="27"/>
  <c r="AU544" i="27"/>
  <c r="AU154" i="27"/>
  <c r="AU156" i="27"/>
  <c r="AU119" i="27"/>
  <c r="AU433" i="27"/>
  <c r="AU194" i="27"/>
  <c r="AU155" i="27"/>
  <c r="AU589" i="27"/>
  <c r="AU188" i="27"/>
  <c r="AU310" i="27"/>
  <c r="AU641" i="27"/>
  <c r="AU476" i="27"/>
  <c r="AU147" i="27"/>
  <c r="AU98" i="27"/>
  <c r="AU224" i="27"/>
  <c r="AU233" i="27"/>
  <c r="AU77" i="27"/>
  <c r="AU698" i="27"/>
  <c r="AU521" i="27"/>
  <c r="AU135" i="27"/>
  <c r="AU113" i="27"/>
  <c r="AU214" i="27"/>
  <c r="AU339" i="27"/>
  <c r="AU526" i="27"/>
  <c r="AU496" i="27"/>
  <c r="AU374" i="27"/>
  <c r="AU655" i="27"/>
  <c r="AU352" i="27"/>
  <c r="AU689" i="27"/>
  <c r="AU572" i="27"/>
  <c r="AU69" i="27"/>
  <c r="AU359" i="27"/>
  <c r="AU443" i="27"/>
  <c r="AU610" i="27"/>
  <c r="AU445" i="27"/>
  <c r="AU642" i="27"/>
  <c r="AU503" i="27"/>
  <c r="AU181" i="27"/>
  <c r="AU158" i="27"/>
  <c r="AU244" i="27"/>
  <c r="AU300" i="27"/>
  <c r="AU420" i="27"/>
  <c r="AU379" i="27"/>
  <c r="AU490" i="27"/>
  <c r="AU529" i="27"/>
  <c r="AU595" i="27"/>
  <c r="AU657" i="27"/>
  <c r="AU133" i="27"/>
  <c r="AU342" i="27"/>
  <c r="AU530" i="27"/>
  <c r="AU405" i="27"/>
  <c r="AU692" i="27"/>
  <c r="AU524" i="27"/>
  <c r="AU189" i="27"/>
  <c r="AU118" i="27"/>
  <c r="AU204" i="27"/>
  <c r="AU255" i="27"/>
  <c r="AU269" i="27"/>
  <c r="AU518" i="27"/>
  <c r="AU587" i="27"/>
  <c r="AU262" i="27"/>
  <c r="AU260" i="27"/>
  <c r="AU227" i="27"/>
  <c r="AU444" i="27"/>
  <c r="AU401" i="27"/>
  <c r="AU528" i="27"/>
  <c r="AU170" i="27"/>
  <c r="AU168" i="27"/>
  <c r="AU139" i="27"/>
  <c r="AU411" i="27"/>
  <c r="AU553" i="27"/>
  <c r="AU674" i="27"/>
  <c r="AU78" i="27"/>
  <c r="AU80" i="27"/>
  <c r="AU606" i="27"/>
  <c r="AU519" i="27"/>
  <c r="AU303" i="27"/>
  <c r="AU293" i="27"/>
  <c r="AU251" i="27"/>
  <c r="AU478" i="27"/>
  <c r="AU64" i="27"/>
  <c r="AU546" i="27"/>
  <c r="AU321" i="27"/>
  <c r="AU345" i="27"/>
  <c r="AU612" i="27"/>
  <c r="AU110" i="27"/>
  <c r="AU112" i="27"/>
  <c r="AU79" i="27"/>
  <c r="AU353" i="27"/>
  <c r="AU106" i="27"/>
  <c r="AU75" i="27"/>
  <c r="AU681" i="27"/>
  <c r="AU107" i="27"/>
  <c r="AU266" i="27"/>
  <c r="AU425" i="27"/>
  <c r="AU89" i="27"/>
  <c r="AU235" i="27"/>
  <c r="AU187" i="27"/>
  <c r="AU144" i="27"/>
  <c r="AU109" i="27"/>
  <c r="AU372" i="27"/>
  <c r="AU447" i="27"/>
  <c r="AU254" i="27"/>
  <c r="AU377" i="27"/>
  <c r="AU581" i="27"/>
  <c r="AU95" i="27"/>
  <c r="AU500" i="27"/>
  <c r="AU390" i="27"/>
  <c r="AU464" i="27"/>
  <c r="AU455" i="27"/>
  <c r="AU598" i="27"/>
  <c r="AU324" i="27"/>
  <c r="AU527" i="27"/>
  <c r="AU608" i="27"/>
  <c r="AU299" i="27"/>
  <c r="AU451" i="27"/>
  <c r="AU349" i="27"/>
  <c r="AU362" i="27"/>
  <c r="AU550" i="27"/>
  <c r="AU413" i="27"/>
  <c r="AU684" i="27"/>
  <c r="AU579" i="27"/>
  <c r="AU125" i="27"/>
  <c r="AU126" i="27"/>
  <c r="AU212" i="27"/>
  <c r="AU263" i="27"/>
  <c r="AU285" i="27"/>
  <c r="AU388" i="27"/>
  <c r="AU502" i="27"/>
  <c r="AU497" i="27"/>
  <c r="AU577" i="27"/>
  <c r="AU636" i="27"/>
  <c r="AU699" i="27"/>
  <c r="AU512" i="27"/>
  <c r="AU438" i="27"/>
  <c r="AU394" i="27"/>
  <c r="AU373" i="27"/>
  <c r="AU565" i="27"/>
  <c r="AU556" i="27"/>
  <c r="AU145" i="27"/>
  <c r="AU86" i="27"/>
  <c r="AU172" i="27"/>
  <c r="AU223" i="27"/>
  <c r="AU185" i="27"/>
  <c r="AU501" i="27"/>
  <c r="AU665" i="27"/>
  <c r="AU218" i="27"/>
  <c r="AU220" i="27"/>
  <c r="AU183" i="27"/>
  <c r="AU415" i="27"/>
  <c r="AU332" i="27"/>
  <c r="AU596" i="27"/>
  <c r="AU130" i="27"/>
  <c r="AU128" i="27"/>
  <c r="AU91" i="27"/>
  <c r="AU357" i="27"/>
  <c r="AU621" i="27"/>
  <c r="AU129" i="27"/>
  <c r="AU277" i="27"/>
  <c r="AU414" i="27"/>
  <c r="AU615" i="27"/>
  <c r="AU242" i="27"/>
  <c r="AU248" i="27"/>
  <c r="AU211" i="27"/>
  <c r="AU382" i="27"/>
  <c r="AU177" i="27"/>
  <c r="AU283" i="27"/>
  <c r="AU360" i="27"/>
  <c r="AU350" i="27"/>
  <c r="AU569" i="27"/>
  <c r="AU691" i="27"/>
  <c r="AU70" i="27"/>
  <c r="AU68" i="27"/>
  <c r="AU654" i="27"/>
  <c r="AU648" i="27"/>
  <c r="AU151" i="27"/>
  <c r="AU593" i="27"/>
  <c r="AU264" i="27"/>
  <c r="AU547" i="27"/>
  <c r="AU659" i="27"/>
  <c r="AU279" i="27"/>
  <c r="AU631" i="27"/>
  <c r="AU193" i="27"/>
  <c r="AU591" i="27"/>
  <c r="AU516" i="27"/>
  <c r="AU384" i="27"/>
  <c r="AU305" i="27"/>
  <c r="AU468" i="27"/>
  <c r="AU459" i="27"/>
  <c r="AU432" i="27"/>
  <c r="AU399" i="27"/>
  <c r="AU534" i="27"/>
  <c r="AU337" i="27"/>
  <c r="AU583" i="27"/>
  <c r="AU645" i="27"/>
  <c r="AU117" i="27"/>
  <c r="AU375" i="27"/>
  <c r="AU520" i="27"/>
  <c r="AU466" i="27"/>
  <c r="AU434" i="27"/>
  <c r="AU381" i="27"/>
  <c r="AU541" i="27"/>
  <c r="AU548" i="27"/>
  <c r="AU81" i="27"/>
  <c r="AU94" i="27"/>
  <c r="AU180" i="27"/>
  <c r="AU231" i="27"/>
  <c r="AU121" i="27"/>
  <c r="AU351" i="27"/>
  <c r="AU402" i="27"/>
  <c r="AU485" i="27"/>
  <c r="AU609" i="27"/>
  <c r="AU673" i="27"/>
  <c r="AU480" i="27"/>
  <c r="AU479" i="27"/>
  <c r="AU635" i="27"/>
  <c r="AU336" i="27"/>
  <c r="AU499" i="27"/>
  <c r="AU592" i="27"/>
  <c r="AU315" i="27"/>
  <c r="AU140" i="27"/>
  <c r="AU191" i="27"/>
  <c r="AU472" i="27"/>
  <c r="AU417" i="27"/>
  <c r="AU571" i="27"/>
  <c r="AU174" i="27"/>
  <c r="AU176" i="27"/>
  <c r="AU143" i="27"/>
  <c r="AU419" i="27"/>
  <c r="AU545" i="27"/>
  <c r="AU670" i="27"/>
  <c r="AU82" i="27"/>
  <c r="AU88" i="27"/>
  <c r="AU506" i="27"/>
  <c r="AU700" i="27"/>
  <c r="AU257" i="27"/>
  <c r="AU308" i="27"/>
  <c r="AU318" i="27"/>
  <c r="AU457" i="27"/>
  <c r="AU694" i="27"/>
  <c r="AU202" i="27"/>
  <c r="AU200" i="27"/>
  <c r="AU171" i="27"/>
  <c r="AU481" i="27"/>
  <c r="AU234" i="27"/>
  <c r="AU203" i="27"/>
  <c r="AU331" i="27"/>
  <c r="AU618" i="27"/>
  <c r="AU638" i="27"/>
  <c r="AU225" i="27"/>
  <c r="AU298" i="27"/>
  <c r="AU563" i="27"/>
  <c r="AU280" i="27"/>
  <c r="AU504" i="27"/>
  <c r="AU461" i="27"/>
  <c r="AU637" i="27"/>
  <c r="AU96" i="27"/>
  <c r="AU136" i="27"/>
  <c r="AU230" i="27"/>
  <c r="AU495" i="27"/>
  <c r="AU111" i="27"/>
  <c r="AU463" i="27"/>
  <c r="AU424" i="27"/>
  <c r="AU84" i="27"/>
  <c r="AU552" i="27"/>
  <c r="AU601" i="27"/>
  <c r="AU436" i="27"/>
  <c r="AU403" i="27"/>
  <c r="AU400" i="27"/>
  <c r="AU338" i="27"/>
  <c r="AU398" i="27"/>
  <c r="AU561" i="27"/>
  <c r="AU619" i="27"/>
  <c r="AU687" i="27"/>
  <c r="AU333" i="27"/>
  <c r="AU482" i="27"/>
  <c r="AU488" i="27"/>
  <c r="AU491" i="27"/>
  <c r="AU647" i="27"/>
  <c r="AU344" i="27"/>
  <c r="AU697" i="27"/>
  <c r="AU584" i="27"/>
  <c r="AU165" i="27"/>
  <c r="AU62" i="27"/>
  <c r="AU148" i="27"/>
  <c r="AU199" i="27"/>
  <c r="AU316" i="27"/>
  <c r="AU435" i="27"/>
  <c r="AU602" i="27"/>
  <c r="AU441" i="27"/>
  <c r="AU646" i="27"/>
  <c r="AU511" i="27"/>
  <c r="AU213" i="27"/>
  <c r="AU448" i="27"/>
  <c r="AU427" i="27"/>
  <c r="AU566" i="27"/>
  <c r="AU341" i="27"/>
  <c r="AU555" i="27"/>
  <c r="AU629" i="27"/>
  <c r="AU278" i="27"/>
  <c r="AU108" i="27"/>
  <c r="AU159" i="27"/>
  <c r="AU483" i="27"/>
  <c r="AU348" i="27"/>
  <c r="AU580" i="27"/>
  <c r="AU134" i="27"/>
  <c r="AU132" i="27"/>
  <c r="AU99" i="27"/>
  <c r="AU370" i="27"/>
  <c r="AU617" i="27"/>
  <c r="AU97" i="27"/>
  <c r="AU306" i="27"/>
  <c r="AU614" i="27"/>
  <c r="AU515" i="27"/>
  <c r="AU307" i="27"/>
  <c r="AU297" i="27"/>
  <c r="AU259" i="27"/>
  <c r="AU412" i="27"/>
  <c r="AU393" i="27"/>
  <c r="AU536" i="27"/>
  <c r="AU162" i="27"/>
  <c r="AU160" i="27"/>
  <c r="AU123" i="27"/>
  <c r="AU369" i="27"/>
  <c r="AU146" i="27"/>
  <c r="AU115" i="27"/>
  <c r="AU658" i="27"/>
  <c r="AU458" i="27"/>
  <c r="AU533" i="27"/>
  <c r="AU241" i="27"/>
  <c r="AU296" i="27"/>
  <c r="AU380" i="27"/>
  <c r="AU531" i="27"/>
  <c r="AU192" i="27"/>
  <c r="AU406" i="27"/>
  <c r="AU652" i="27"/>
  <c r="AU471" i="27"/>
  <c r="AU102" i="27"/>
  <c r="AU178" i="27"/>
  <c r="AU446" i="27"/>
  <c r="AU195" i="27"/>
  <c r="AU356" i="27"/>
  <c r="AU275" i="27"/>
  <c r="AU453" i="27"/>
  <c r="AU510" i="27"/>
  <c r="AU450" i="27"/>
  <c r="AU486" i="27"/>
  <c r="AU404" i="27"/>
  <c r="AU346" i="27"/>
  <c r="AU363" i="27"/>
  <c r="AU442" i="27"/>
  <c r="AU505" i="27"/>
  <c r="AU597" i="27"/>
  <c r="AU656" i="27"/>
  <c r="AU141" i="27"/>
  <c r="AU492" i="27"/>
  <c r="AU361" i="27"/>
  <c r="AU456" i="27"/>
  <c r="AU439" i="27"/>
  <c r="AU582" i="27"/>
  <c r="AU543" i="27"/>
  <c r="AU616" i="27"/>
  <c r="AU286" i="27"/>
  <c r="AU116" i="27"/>
  <c r="AU167" i="27"/>
  <c r="AU354" i="27"/>
  <c r="AU542" i="27"/>
  <c r="AU409" i="27"/>
  <c r="AU688" i="27"/>
  <c r="AU603" i="27"/>
  <c r="AU157" i="27"/>
  <c r="AU416" i="27"/>
  <c r="AU371" i="27"/>
  <c r="AU470" i="27"/>
  <c r="AU537" i="27"/>
  <c r="AU599" i="27"/>
  <c r="AU666" i="27"/>
  <c r="AU246" i="27"/>
  <c r="AU253" i="27"/>
  <c r="AU76" i="27"/>
  <c r="AU127" i="27"/>
  <c r="AU467" i="27"/>
  <c r="AU513" i="27"/>
  <c r="AU649" i="27"/>
  <c r="AU90" i="27"/>
  <c r="AU92" i="27"/>
  <c r="AU522" i="27"/>
  <c r="AU696" i="27"/>
  <c r="AU221" i="27"/>
  <c r="AU273" i="27"/>
  <c r="AU312" i="27"/>
  <c r="AU217" i="27"/>
  <c r="AU430" i="27"/>
  <c r="AU611" i="27"/>
  <c r="AU250" i="27"/>
  <c r="AU252" i="27"/>
  <c r="AU215" i="27"/>
  <c r="AU334" i="27"/>
  <c r="AU319" i="27"/>
  <c r="AU604" i="27"/>
  <c r="AU114" i="27"/>
  <c r="AU120" i="27"/>
  <c r="AU83" i="27"/>
  <c r="AU585" i="27"/>
  <c r="AU66" i="27"/>
  <c r="AU567" i="27"/>
  <c r="AU590" i="27"/>
  <c r="AU535" i="27"/>
  <c r="AU295" i="27"/>
  <c r="AU284" i="27"/>
  <c r="AU247" i="27"/>
  <c r="AU422" i="27"/>
  <c r="AU633" i="27"/>
  <c r="AU104" i="27"/>
  <c r="AU668" i="27"/>
  <c r="AU201" i="27"/>
  <c r="AU576" i="27"/>
  <c r="AU100" i="27"/>
  <c r="AU685" i="27"/>
  <c r="AU314" i="27"/>
  <c r="AU270" i="27"/>
  <c r="AU575" i="27"/>
  <c r="AU564" i="27"/>
  <c r="AU538" i="27"/>
  <c r="AU317" i="27"/>
  <c r="AU383" i="27"/>
  <c r="AU265" i="27"/>
  <c r="AU549" i="27"/>
  <c r="AU640" i="27"/>
  <c r="AU173" i="27"/>
  <c r="AU72" i="27"/>
  <c r="AU539" i="27"/>
  <c r="AU207" i="27"/>
  <c r="AU186" i="27"/>
  <c r="AU209" i="27"/>
  <c r="AU267" i="27"/>
  <c r="AU627" i="27"/>
  <c r="AU335" i="27"/>
  <c r="AU175" i="27"/>
  <c r="AU378" i="27"/>
  <c r="AU667" i="27"/>
  <c r="AU507" i="27"/>
  <c r="AU465" i="27"/>
  <c r="AU628" i="27"/>
  <c r="AU586" i="27"/>
  <c r="AU184" i="27"/>
  <c r="AU208" i="27"/>
  <c r="AU311" i="27"/>
  <c r="AU690" i="27"/>
  <c r="AU358" i="27"/>
  <c r="AU672" i="27"/>
  <c r="AU169" i="27"/>
  <c r="AU557" i="27"/>
  <c r="AU238" i="27"/>
  <c r="AU568" i="27"/>
  <c r="AU272" i="27"/>
  <c r="AU469" i="27"/>
  <c r="AU301" i="27"/>
  <c r="AU206" i="27"/>
  <c r="AU683" i="27"/>
  <c r="AU237" i="27"/>
  <c r="AU67" i="27"/>
  <c r="AU226" i="27"/>
  <c r="AU376" i="27"/>
  <c r="AU74" i="27"/>
  <c r="AU240" i="27"/>
  <c r="C943" i="95"/>
  <c r="C1708" i="95"/>
  <c r="AB19" i="27"/>
  <c r="AB15" i="27"/>
  <c r="R701" i="27"/>
  <c r="AB17" i="27"/>
  <c r="Q701" i="27"/>
  <c r="M5" i="73" l="1"/>
  <c r="J63" i="89"/>
  <c r="J64" i="89" s="1"/>
  <c r="J13" i="89"/>
  <c r="J14" i="89" s="1"/>
  <c r="J53" i="89"/>
  <c r="J54" i="89" s="1"/>
  <c r="J73" i="89"/>
  <c r="J74" i="89" s="1"/>
  <c r="J23" i="89"/>
  <c r="J24" i="89" s="1"/>
  <c r="J43" i="89"/>
  <c r="J44" i="89" s="1"/>
  <c r="J33" i="89"/>
  <c r="J34" i="89" s="1"/>
  <c r="J26" i="72"/>
  <c r="D17" i="83" s="1"/>
  <c r="AT701" i="27"/>
  <c r="C1709" i="95"/>
  <c r="C944" i="95"/>
  <c r="AB5" i="27"/>
  <c r="L173" i="4" s="1"/>
  <c r="N173" i="4" l="1"/>
  <c r="J33" i="72" s="1"/>
  <c r="F50" i="85" s="1"/>
  <c r="L212" i="66"/>
  <c r="N26" i="72"/>
  <c r="F49" i="85"/>
  <c r="W2" i="74"/>
  <c r="K7" i="84" s="1"/>
  <c r="AU701" i="27"/>
  <c r="AU703" i="27"/>
  <c r="AU702" i="27"/>
  <c r="C1710" i="95"/>
  <c r="C945" i="95"/>
  <c r="Z2" i="74" l="1"/>
  <c r="H7" i="84" s="1"/>
  <c r="B7" i="39"/>
  <c r="D24" i="83"/>
  <c r="N33" i="72"/>
  <c r="T222" i="66"/>
  <c r="AT222" i="66" s="1"/>
  <c r="O212" i="66"/>
  <c r="H944" i="95"/>
  <c r="I944" i="95"/>
  <c r="J944" i="95"/>
  <c r="E1709" i="95"/>
  <c r="D1709" i="95"/>
  <c r="E944" i="95"/>
  <c r="G1709" i="95"/>
  <c r="D944" i="95"/>
  <c r="I1709" i="95"/>
  <c r="J1709" i="95"/>
  <c r="G649" i="95"/>
  <c r="D737" i="95"/>
  <c r="H601" i="95"/>
  <c r="G770" i="95"/>
  <c r="J634" i="95"/>
  <c r="I803" i="95"/>
  <c r="D587" i="95"/>
  <c r="D837" i="95"/>
  <c r="G620" i="95"/>
  <c r="I871" i="95"/>
  <c r="J653" i="95"/>
  <c r="J731" i="95"/>
  <c r="G695" i="95"/>
  <c r="J592" i="95"/>
  <c r="E1695" i="95"/>
  <c r="E1664" i="95"/>
  <c r="I1695" i="95"/>
  <c r="I1702" i="95"/>
  <c r="I1691" i="95"/>
  <c r="H1592" i="95"/>
  <c r="G1661" i="95"/>
  <c r="D1624" i="95"/>
  <c r="D1654" i="95"/>
  <c r="E1518" i="95"/>
  <c r="H1527" i="95"/>
  <c r="E1494" i="95"/>
  <c r="I1617" i="95"/>
  <c r="J1502" i="95"/>
  <c r="H1552" i="95"/>
  <c r="I1448" i="95"/>
  <c r="E1708" i="95"/>
  <c r="G1679" i="95"/>
  <c r="E1672" i="95"/>
  <c r="E1665" i="95"/>
  <c r="J1602" i="95"/>
  <c r="I1593" i="95"/>
  <c r="E1591" i="95"/>
  <c r="I1658" i="95"/>
  <c r="J1624" i="95"/>
  <c r="I1611" i="95"/>
  <c r="G1578" i="95"/>
  <c r="E1617" i="95"/>
  <c r="D1597" i="95"/>
  <c r="I1486" i="95"/>
  <c r="E1512" i="95"/>
  <c r="G1676" i="95"/>
  <c r="E1670" i="95"/>
  <c r="H1565" i="95"/>
  <c r="D1666" i="95"/>
  <c r="H1669" i="95"/>
  <c r="G1606" i="95"/>
  <c r="I1582" i="95"/>
  <c r="D1550" i="95"/>
  <c r="E1530" i="95"/>
  <c r="I1678" i="95"/>
  <c r="I1577" i="95"/>
  <c r="E1558" i="95"/>
  <c r="H1584" i="95"/>
  <c r="H1568" i="95"/>
  <c r="E1531" i="95"/>
  <c r="G1427" i="95"/>
  <c r="I1654" i="95"/>
  <c r="D1600" i="95"/>
  <c r="I1688" i="95"/>
  <c r="H1695" i="95"/>
  <c r="G1681" i="95"/>
  <c r="D1658" i="95"/>
  <c r="H653" i="95"/>
  <c r="G822" i="95"/>
  <c r="I605" i="95"/>
  <c r="I855" i="95"/>
  <c r="D639" i="95"/>
  <c r="E681" i="95"/>
  <c r="I680" i="95"/>
  <c r="H588" i="95"/>
  <c r="D714" i="95"/>
  <c r="J621" i="95"/>
  <c r="G747" i="95"/>
  <c r="J655" i="95"/>
  <c r="I780" i="95"/>
  <c r="E665" i="95"/>
  <c r="I1697" i="95"/>
  <c r="J1598" i="95"/>
  <c r="I1661" i="95"/>
  <c r="E1584" i="95"/>
  <c r="J1678" i="95"/>
  <c r="G1604" i="95"/>
  <c r="E1574" i="95"/>
  <c r="E1633" i="95"/>
  <c r="G1495" i="95"/>
  <c r="G1547" i="95"/>
  <c r="H1581" i="95"/>
  <c r="D1662" i="95"/>
  <c r="E1546" i="95"/>
  <c r="E1529" i="95"/>
  <c r="G1651" i="95"/>
  <c r="I1567" i="95"/>
  <c r="J1642" i="95"/>
  <c r="E1703" i="95"/>
  <c r="J1606" i="95"/>
  <c r="D1693" i="95"/>
  <c r="D1667" i="95"/>
  <c r="E1522" i="95"/>
  <c r="D1603" i="95"/>
  <c r="J1572" i="95"/>
  <c r="H1652" i="95"/>
  <c r="E1634" i="95"/>
  <c r="J1600" i="95"/>
  <c r="G1630" i="95"/>
  <c r="I1512" i="95"/>
  <c r="H1387" i="95"/>
  <c r="H1538" i="95"/>
  <c r="H1697" i="95"/>
  <c r="H1577" i="95"/>
  <c r="G1674" i="95"/>
  <c r="J1689" i="95"/>
  <c r="E1604" i="95"/>
  <c r="J1628" i="95"/>
  <c r="H1602" i="95"/>
  <c r="G1631" i="95"/>
  <c r="G1559" i="95"/>
  <c r="J1496" i="95"/>
  <c r="E1506" i="95"/>
  <c r="J1472" i="95"/>
  <c r="G1596" i="95"/>
  <c r="H1481" i="95"/>
  <c r="D1559" i="95"/>
  <c r="J1647" i="95"/>
  <c r="G1569" i="95"/>
  <c r="H1690" i="95"/>
  <c r="H1585" i="95"/>
  <c r="I1696" i="95"/>
  <c r="E1673" i="95"/>
  <c r="G1572" i="95"/>
  <c r="E1655" i="95"/>
  <c r="G1614" i="95"/>
  <c r="E1653" i="95"/>
  <c r="J1590" i="95"/>
  <c r="I1672" i="95"/>
  <c r="H1547" i="95"/>
  <c r="E1514" i="95"/>
  <c r="D1689" i="95"/>
  <c r="I1685" i="95"/>
  <c r="J1669" i="95"/>
  <c r="D1671" i="95"/>
  <c r="J1582" i="95"/>
  <c r="H1657" i="95"/>
  <c r="H1662" i="95"/>
  <c r="D1571" i="95"/>
  <c r="J1677" i="95"/>
  <c r="G1570" i="95"/>
  <c r="D1676" i="95"/>
  <c r="I1602" i="95"/>
  <c r="H1694" i="95"/>
  <c r="H1503" i="95"/>
  <c r="H1486" i="95"/>
  <c r="G842" i="95"/>
  <c r="J659" i="95"/>
  <c r="J763" i="95"/>
  <c r="G699" i="95"/>
  <c r="E607" i="95"/>
  <c r="I732" i="95"/>
  <c r="H640" i="95"/>
  <c r="D766" i="95"/>
  <c r="D594" i="95"/>
  <c r="G799" i="95"/>
  <c r="G627" i="95"/>
  <c r="I832" i="95"/>
  <c r="I664" i="95"/>
  <c r="G879" i="95"/>
  <c r="G637" i="95"/>
  <c r="H1653" i="95"/>
  <c r="D1632" i="95"/>
  <c r="J1682" i="95"/>
  <c r="J1675" i="95"/>
  <c r="H1613" i="95"/>
  <c r="J1532" i="95"/>
  <c r="J1601" i="95"/>
  <c r="G1646" i="95"/>
  <c r="I1578" i="95"/>
  <c r="G1589" i="95"/>
  <c r="J1665" i="95"/>
  <c r="I1614" i="95"/>
  <c r="G1611" i="95"/>
  <c r="I1555" i="95"/>
  <c r="D1495" i="95"/>
  <c r="E1562" i="95"/>
  <c r="I1590" i="95"/>
  <c r="I1705" i="95"/>
  <c r="D1640" i="95"/>
  <c r="E1680" i="95"/>
  <c r="D1584" i="95"/>
  <c r="G1551" i="95"/>
  <c r="H1531" i="95"/>
  <c r="H1600" i="95"/>
  <c r="E1674" i="95"/>
  <c r="H1667" i="95"/>
  <c r="H1628" i="95"/>
  <c r="J1652" i="95"/>
  <c r="J1521" i="95"/>
  <c r="D1418" i="95"/>
  <c r="D1566" i="95"/>
  <c r="E1632" i="95"/>
  <c r="I1610" i="95"/>
  <c r="E1698" i="95"/>
  <c r="G1692" i="95"/>
  <c r="G1670" i="95"/>
  <c r="I1656" i="95"/>
  <c r="I1615" i="95"/>
  <c r="G1593" i="95"/>
  <c r="E1592" i="95"/>
  <c r="G1677" i="95"/>
  <c r="D1636" i="95"/>
  <c r="G1688" i="95"/>
  <c r="J1524" i="95"/>
  <c r="J1507" i="95"/>
  <c r="I1473" i="95"/>
  <c r="I1552" i="95"/>
  <c r="H1702" i="95"/>
  <c r="J1681" i="95"/>
  <c r="I1618" i="95"/>
  <c r="J1658" i="95"/>
  <c r="J1622" i="95"/>
  <c r="J1500" i="95"/>
  <c r="I1682" i="95"/>
  <c r="J1636" i="95"/>
  <c r="H1679" i="95"/>
  <c r="G1669" i="95"/>
  <c r="D1616" i="95"/>
  <c r="D1622" i="95"/>
  <c r="G1543" i="95"/>
  <c r="E1676" i="95"/>
  <c r="J1706" i="95"/>
  <c r="D1678" i="95"/>
  <c r="E1692" i="95"/>
  <c r="H1706" i="95"/>
  <c r="D1585" i="95"/>
  <c r="J625" i="95"/>
  <c r="G751" i="95"/>
  <c r="E662" i="95"/>
  <c r="I784" i="95"/>
  <c r="I612" i="95"/>
  <c r="D818" i="95"/>
  <c r="D646" i="95"/>
  <c r="G851" i="95"/>
  <c r="H599" i="95"/>
  <c r="E670" i="95"/>
  <c r="J632" i="95"/>
  <c r="H703" i="95"/>
  <c r="D585" i="95"/>
  <c r="E758" i="95"/>
  <c r="D603" i="95"/>
  <c r="E1568" i="95"/>
  <c r="D1665" i="95"/>
  <c r="H1617" i="95"/>
  <c r="I1703" i="95"/>
  <c r="D1596" i="95"/>
  <c r="G1562" i="95"/>
  <c r="I1613" i="95"/>
  <c r="G1697" i="95"/>
  <c r="J1599" i="95"/>
  <c r="E1609" i="95"/>
  <c r="D1589" i="95"/>
  <c r="J1627" i="95"/>
  <c r="J1583" i="95"/>
  <c r="I1584" i="95"/>
  <c r="J1522" i="95"/>
  <c r="H1476" i="95"/>
  <c r="G1666" i="95"/>
  <c r="I1666" i="95"/>
  <c r="I1676" i="95"/>
  <c r="J1614" i="95"/>
  <c r="J1603" i="95"/>
  <c r="D1642" i="95"/>
  <c r="J1560" i="95"/>
  <c r="G1612" i="95"/>
  <c r="D1579" i="95"/>
  <c r="G1588" i="95"/>
  <c r="G1640" i="95"/>
  <c r="H1567" i="95"/>
  <c r="I1549" i="95"/>
  <c r="E1659" i="95"/>
  <c r="I1479" i="95"/>
  <c r="J1676" i="95"/>
  <c r="E1701" i="95"/>
  <c r="G1699" i="95"/>
  <c r="E1648" i="95"/>
  <c r="E1694" i="95"/>
  <c r="G1693" i="95"/>
  <c r="E1638" i="95"/>
  <c r="J1611" i="95"/>
  <c r="J1672" i="95"/>
  <c r="J1587" i="95"/>
  <c r="J1639" i="95"/>
  <c r="I1586" i="95"/>
  <c r="D1554" i="95"/>
  <c r="G1534" i="95"/>
  <c r="H1501" i="95"/>
  <c r="J1671" i="95"/>
  <c r="D1670" i="95"/>
  <c r="G1684" i="95"/>
  <c r="J1687" i="95"/>
  <c r="H1593" i="95"/>
  <c r="D1700" i="95"/>
  <c r="D1530" i="95"/>
  <c r="I1581" i="95"/>
  <c r="I1674" i="95"/>
  <c r="D1581" i="95"/>
  <c r="G1590" i="95"/>
  <c r="E1629" i="95"/>
  <c r="I1574" i="95"/>
  <c r="E1647" i="95"/>
  <c r="J1610" i="95"/>
  <c r="H1641" i="95"/>
  <c r="J1701" i="95"/>
  <c r="J1626" i="95"/>
  <c r="D1674" i="95"/>
  <c r="H1607" i="95"/>
  <c r="D1680" i="95"/>
  <c r="I1528" i="95"/>
  <c r="J1508" i="95"/>
  <c r="H1620" i="95"/>
  <c r="E1602" i="95"/>
  <c r="I1631" i="95"/>
  <c r="E1585" i="95"/>
  <c r="G1660" i="95"/>
  <c r="G631" i="95"/>
  <c r="I836" i="95"/>
  <c r="J584" i="95"/>
  <c r="D870" i="95"/>
  <c r="E618" i="95"/>
  <c r="J688" i="95"/>
  <c r="H651" i="95"/>
  <c r="E722" i="95"/>
  <c r="I603" i="95"/>
  <c r="H755" i="95"/>
  <c r="D637" i="95"/>
  <c r="J788" i="95"/>
  <c r="E589" i="95"/>
  <c r="E854" i="95"/>
  <c r="G771" i="95"/>
  <c r="G1601" i="95"/>
  <c r="J1688" i="95"/>
  <c r="I1650" i="95"/>
  <c r="I1669" i="95"/>
  <c r="H1614" i="95"/>
  <c r="I1476" i="95"/>
  <c r="E1542" i="95"/>
  <c r="H1583" i="95"/>
  <c r="D1613" i="95"/>
  <c r="G1622" i="95"/>
  <c r="H1611" i="95"/>
  <c r="D1641" i="95"/>
  <c r="G1531" i="95"/>
  <c r="E1398" i="95"/>
  <c r="E1549" i="95"/>
  <c r="E1693" i="95"/>
  <c r="E1690" i="95"/>
  <c r="E1576" i="95"/>
  <c r="H1700" i="95"/>
  <c r="D1681" i="95"/>
  <c r="D1617" i="95"/>
  <c r="I1594" i="95"/>
  <c r="G1475" i="95"/>
  <c r="J1540" i="95"/>
  <c r="H1507" i="95"/>
  <c r="J1516" i="95"/>
  <c r="I1572" i="95"/>
  <c r="E1595" i="95"/>
  <c r="I1628" i="95"/>
  <c r="G1555" i="95"/>
  <c r="H1407" i="95"/>
  <c r="D1580" i="95"/>
  <c r="I1668" i="95"/>
  <c r="H1661" i="95"/>
  <c r="J1562" i="95"/>
  <c r="G1695" i="95"/>
  <c r="D1583" i="95"/>
  <c r="E1678" i="95"/>
  <c r="D1625" i="95"/>
  <c r="I1591" i="95"/>
  <c r="D1601" i="95"/>
  <c r="D1653" i="95"/>
  <c r="H1606" i="95"/>
  <c r="H1619" i="95"/>
  <c r="E1462" i="95"/>
  <c r="J1527" i="95"/>
  <c r="I1699" i="95"/>
  <c r="J1693" i="95"/>
  <c r="H1705" i="95"/>
  <c r="I1681" i="95"/>
  <c r="I1659" i="95"/>
  <c r="H1582" i="95"/>
  <c r="H1677" i="95"/>
  <c r="E1510" i="95"/>
  <c r="D1591" i="95"/>
  <c r="H1603" i="95"/>
  <c r="J1612" i="95"/>
  <c r="G1642" i="95"/>
  <c r="J1595" i="95"/>
  <c r="I1480" i="95"/>
  <c r="D1644" i="95"/>
  <c r="J1679" i="95"/>
  <c r="G1704" i="95"/>
  <c r="I1662" i="95"/>
  <c r="J1697" i="95"/>
  <c r="E1635" i="95"/>
  <c r="E1581" i="95"/>
  <c r="J1666" i="95"/>
  <c r="D1538" i="95"/>
  <c r="G1632" i="95"/>
  <c r="J1629" i="95"/>
  <c r="J636" i="95"/>
  <c r="H707" i="95"/>
  <c r="D589" i="95"/>
  <c r="J740" i="95"/>
  <c r="G622" i="95"/>
  <c r="E774" i="95"/>
  <c r="I656" i="95"/>
  <c r="H807" i="95"/>
  <c r="J607" i="95"/>
  <c r="J840" i="95"/>
  <c r="E641" i="95"/>
  <c r="E874" i="95"/>
  <c r="G593" i="95"/>
  <c r="I723" i="95"/>
  <c r="E738" i="95"/>
  <c r="D1677" i="95"/>
  <c r="D1690" i="95"/>
  <c r="G1662" i="95"/>
  <c r="J1690" i="95"/>
  <c r="I1627" i="95"/>
  <c r="D1608" i="95"/>
  <c r="G1579" i="95"/>
  <c r="E1611" i="95"/>
  <c r="H1635" i="95"/>
  <c r="J1644" i="95"/>
  <c r="E1639" i="95"/>
  <c r="D1672" i="95"/>
  <c r="H1532" i="95"/>
  <c r="I1428" i="95"/>
  <c r="D1614" i="95"/>
  <c r="I1660" i="95"/>
  <c r="G1691" i="95"/>
  <c r="E1657" i="95"/>
  <c r="D1703" i="95"/>
  <c r="J1704" i="95"/>
  <c r="H1639" i="95"/>
  <c r="E1613" i="95"/>
  <c r="I1606" i="95"/>
  <c r="J1575" i="95"/>
  <c r="I1536" i="95"/>
  <c r="J1680" i="95"/>
  <c r="H1483" i="95"/>
  <c r="D1607" i="95"/>
  <c r="E1492" i="95"/>
  <c r="J1541" i="95"/>
  <c r="D1438" i="95"/>
  <c r="I1680" i="95"/>
  <c r="H1692" i="95"/>
  <c r="E1596" i="95"/>
  <c r="G1682" i="95"/>
  <c r="E1688" i="95"/>
  <c r="H1511" i="95"/>
  <c r="H1580" i="95"/>
  <c r="H1647" i="95"/>
  <c r="E1614" i="95"/>
  <c r="H1623" i="95"/>
  <c r="E1590" i="95"/>
  <c r="I1619" i="95"/>
  <c r="D1494" i="95"/>
  <c r="J1376" i="95"/>
  <c r="G1554" i="95"/>
  <c r="I1665" i="95"/>
  <c r="G1696" i="95"/>
  <c r="E1640" i="95"/>
  <c r="J1702" i="95"/>
  <c r="H1683" i="95"/>
  <c r="I1595" i="95"/>
  <c r="D641" i="95"/>
  <c r="J792" i="95"/>
  <c r="E593" i="95"/>
  <c r="E826" i="95"/>
  <c r="H626" i="95"/>
  <c r="H859" i="95"/>
  <c r="G663" i="95"/>
  <c r="G666" i="95"/>
  <c r="D612" i="95"/>
  <c r="I699" i="95"/>
  <c r="G645" i="95"/>
  <c r="D733" i="95"/>
  <c r="H597" i="95"/>
  <c r="G830" i="95"/>
  <c r="J1703" i="95"/>
  <c r="J1700" i="95"/>
  <c r="J1586" i="95"/>
  <c r="E1686" i="95"/>
  <c r="H1625" i="95"/>
  <c r="E1650" i="95"/>
  <c r="J1623" i="95"/>
  <c r="D1486" i="95"/>
  <c r="D1623" i="95"/>
  <c r="E1671" i="95"/>
  <c r="E1587" i="95"/>
  <c r="D1651" i="95"/>
  <c r="E1578" i="95"/>
  <c r="H1560" i="95"/>
  <c r="J1570" i="95"/>
  <c r="G1490" i="95"/>
  <c r="H1684" i="95"/>
  <c r="E1588" i="95"/>
  <c r="D1685" i="95"/>
  <c r="D1660" i="95"/>
  <c r="D1706" i="95"/>
  <c r="D1684" i="95"/>
  <c r="G1626" i="95"/>
  <c r="H1622" i="95"/>
  <c r="E1589" i="95"/>
  <c r="G1577" i="95"/>
  <c r="H1650" i="95"/>
  <c r="J1685" i="95"/>
  <c r="H1535" i="95"/>
  <c r="H1518" i="95"/>
  <c r="E1575" i="95"/>
  <c r="I1657" i="95"/>
  <c r="H1704" i="95"/>
  <c r="D1695" i="95"/>
  <c r="G1629" i="95"/>
  <c r="E1706" i="95"/>
  <c r="D1572" i="95"/>
  <c r="I1540" i="95"/>
  <c r="G1592" i="95"/>
  <c r="J1589" i="95"/>
  <c r="J1641" i="95"/>
  <c r="E1651" i="95"/>
  <c r="J1617" i="95"/>
  <c r="E1642" i="95"/>
  <c r="E1511" i="95"/>
  <c r="G1407" i="95"/>
  <c r="I1561" i="95"/>
  <c r="J1686" i="95"/>
  <c r="E1652" i="95"/>
  <c r="I1663" i="95"/>
  <c r="H1637" i="95"/>
  <c r="I1684" i="95"/>
  <c r="E1618" i="95"/>
  <c r="J1591" i="95"/>
  <c r="D1569" i="95"/>
  <c r="I1548" i="95"/>
  <c r="D1643" i="95"/>
  <c r="G1652" i="95"/>
  <c r="H1579" i="95"/>
  <c r="H1631" i="95"/>
  <c r="G1528" i="95"/>
  <c r="J1691" i="95"/>
  <c r="I1673" i="95"/>
  <c r="J1574" i="95"/>
  <c r="J1684" i="95"/>
  <c r="G1656" i="95"/>
  <c r="I1612" i="95"/>
  <c r="E645" i="95"/>
  <c r="J882" i="95"/>
  <c r="G597" i="95"/>
  <c r="D685" i="95"/>
  <c r="I630" i="95"/>
  <c r="G718" i="95"/>
  <c r="J582" i="95"/>
  <c r="I751" i="95"/>
  <c r="E616" i="95"/>
  <c r="D785" i="95"/>
  <c r="H649" i="95"/>
  <c r="G818" i="95"/>
  <c r="I601" i="95"/>
  <c r="H624" i="95"/>
  <c r="G1671" i="95"/>
  <c r="D1702" i="95"/>
  <c r="J1667" i="95"/>
  <c r="G1687" i="95"/>
  <c r="J1663" i="95"/>
  <c r="J1564" i="95"/>
  <c r="D1637" i="95"/>
  <c r="I1704" i="95"/>
  <c r="H1551" i="95"/>
  <c r="I1589" i="95"/>
  <c r="D1599" i="95"/>
  <c r="I1644" i="95"/>
  <c r="J1605" i="95"/>
  <c r="D1475" i="95"/>
  <c r="H1491" i="95"/>
  <c r="E1418" i="95"/>
  <c r="D1687" i="95"/>
  <c r="G1621" i="95"/>
  <c r="J1708" i="95"/>
  <c r="H1573" i="95"/>
  <c r="E1668" i="95"/>
  <c r="J1581" i="95"/>
  <c r="J1648" i="95"/>
  <c r="I1635" i="95"/>
  <c r="G1602" i="95"/>
  <c r="H1598" i="95"/>
  <c r="H1672" i="95"/>
  <c r="I1598" i="95"/>
  <c r="I1565" i="95"/>
  <c r="D1545" i="95"/>
  <c r="G1484" i="95"/>
  <c r="H1682" i="95"/>
  <c r="D1707" i="95"/>
  <c r="J1650" i="95"/>
  <c r="H1698" i="95"/>
  <c r="G1707" i="95"/>
  <c r="E1593" i="95"/>
  <c r="J1571" i="95"/>
  <c r="J1520" i="95"/>
  <c r="I1601" i="95"/>
  <c r="I1653" i="95"/>
  <c r="I1670" i="95"/>
  <c r="I1629" i="95"/>
  <c r="G1705" i="95"/>
  <c r="D1539" i="95"/>
  <c r="D1526" i="95"/>
  <c r="J1396" i="95"/>
  <c r="H1621" i="95"/>
  <c r="J1566" i="95"/>
  <c r="H1687" i="95"/>
  <c r="I1671" i="95"/>
  <c r="H1708" i="95"/>
  <c r="J1645" i="95"/>
  <c r="D1605" i="95"/>
  <c r="G1581" i="95"/>
  <c r="D1669" i="95"/>
  <c r="I1580" i="95"/>
  <c r="G1655" i="95"/>
  <c r="E1607" i="95"/>
  <c r="H1660" i="95"/>
  <c r="E1556" i="95"/>
  <c r="G1659" i="95"/>
  <c r="J1694" i="95"/>
  <c r="E1677" i="95"/>
  <c r="D1686" i="95"/>
  <c r="D1701" i="95"/>
  <c r="E1490" i="95"/>
  <c r="H1644" i="95"/>
  <c r="E1626" i="95"/>
  <c r="H1642" i="95"/>
  <c r="I1690" i="95"/>
  <c r="E1631" i="95"/>
  <c r="H1500" i="95"/>
  <c r="D1661" i="95"/>
  <c r="J1616" i="95"/>
  <c r="G1645" i="95"/>
  <c r="H1576" i="95"/>
  <c r="J1536" i="95"/>
  <c r="I1652" i="95"/>
  <c r="D1386" i="95"/>
  <c r="E1681" i="95"/>
  <c r="E1684" i="95"/>
  <c r="E1564" i="95"/>
  <c r="E1699" i="95"/>
  <c r="H1645" i="95"/>
  <c r="J1565" i="95"/>
  <c r="E1606" i="95"/>
  <c r="J1579" i="95"/>
  <c r="D1620" i="95"/>
  <c r="G1643" i="95"/>
  <c r="H1559" i="95"/>
  <c r="I1597" i="95"/>
  <c r="D1634" i="95"/>
  <c r="H1670" i="95"/>
  <c r="H1673" i="95"/>
  <c r="J1655" i="95"/>
  <c r="I1664" i="95"/>
  <c r="J1634" i="95"/>
  <c r="D1498" i="95"/>
  <c r="D1564" i="95"/>
  <c r="H1632" i="95"/>
  <c r="D1657" i="95"/>
  <c r="H1630" i="95"/>
  <c r="D1576" i="95"/>
  <c r="E1649" i="95"/>
  <c r="H1633" i="95"/>
  <c r="I1491" i="95"/>
  <c r="E1544" i="95"/>
  <c r="D1478" i="95"/>
  <c r="J1659" i="95"/>
  <c r="J1662" i="95"/>
  <c r="D1673" i="95"/>
  <c r="H1701" i="95"/>
  <c r="E1625" i="95"/>
  <c r="G1487" i="95"/>
  <c r="J1552" i="95"/>
  <c r="E1594" i="95"/>
  <c r="I1623" i="95"/>
  <c r="J1619" i="95"/>
  <c r="J1654" i="95"/>
  <c r="I1634" i="95"/>
  <c r="I1556" i="95"/>
  <c r="J1408" i="95"/>
  <c r="G1665" i="95"/>
  <c r="E1406" i="95"/>
  <c r="J1535" i="95"/>
  <c r="D1586" i="95"/>
  <c r="E1579" i="95"/>
  <c r="I1464" i="95"/>
  <c r="D1537" i="95"/>
  <c r="J1551" i="95"/>
  <c r="J1454" i="95"/>
  <c r="D1390" i="95"/>
  <c r="H1356" i="95"/>
  <c r="G1381" i="95"/>
  <c r="G1380" i="95"/>
  <c r="D1382" i="95"/>
  <c r="H1352" i="95"/>
  <c r="J1415" i="95"/>
  <c r="J1414" i="95"/>
  <c r="J1413" i="95"/>
  <c r="H1353" i="95"/>
  <c r="D943" i="95"/>
  <c r="E700" i="95"/>
  <c r="D893" i="95"/>
  <c r="E1480" i="95"/>
  <c r="H1526" i="95"/>
  <c r="G1556" i="95"/>
  <c r="I1488" i="95"/>
  <c r="H1371" i="95"/>
  <c r="I1495" i="95"/>
  <c r="E1486" i="95"/>
  <c r="E1661" i="95"/>
  <c r="D1692" i="95"/>
  <c r="H1656" i="95"/>
  <c r="I1655" i="95"/>
  <c r="J1484" i="95"/>
  <c r="E1644" i="95"/>
  <c r="J1489" i="95"/>
  <c r="J1608" i="95"/>
  <c r="D1675" i="95"/>
  <c r="J1618" i="95"/>
  <c r="H1666" i="95"/>
  <c r="I1701" i="95"/>
  <c r="E1656" i="95"/>
  <c r="H1479" i="95"/>
  <c r="J1633" i="95"/>
  <c r="D1593" i="95"/>
  <c r="J1631" i="95"/>
  <c r="E1682" i="95"/>
  <c r="E1474" i="95"/>
  <c r="E1526" i="95"/>
  <c r="J1492" i="95"/>
  <c r="G1698" i="95"/>
  <c r="E1608" i="95"/>
  <c r="I1683" i="95"/>
  <c r="H1688" i="95"/>
  <c r="I1626" i="95"/>
  <c r="D1648" i="95"/>
  <c r="E1478" i="95"/>
  <c r="G1644" i="95"/>
  <c r="H1571" i="95"/>
  <c r="I1643" i="95"/>
  <c r="E1597" i="95"/>
  <c r="J1668" i="95"/>
  <c r="E1502" i="95"/>
  <c r="H1419" i="95"/>
  <c r="E1577" i="95"/>
  <c r="J1497" i="95"/>
  <c r="I1687" i="95"/>
  <c r="H1597" i="95"/>
  <c r="J1696" i="95"/>
  <c r="E1636" i="95"/>
  <c r="G1638" i="95"/>
  <c r="G1625" i="95"/>
  <c r="E1675" i="95"/>
  <c r="J1621" i="95"/>
  <c r="E1646" i="95"/>
  <c r="D1633" i="95"/>
  <c r="H1586" i="95"/>
  <c r="H1638" i="95"/>
  <c r="E1543" i="95"/>
  <c r="G1561" i="95"/>
  <c r="D1610" i="95"/>
  <c r="I1436" i="95"/>
  <c r="I1562" i="95"/>
  <c r="J1486" i="95"/>
  <c r="E1483" i="95"/>
  <c r="J1640" i="95"/>
  <c r="J1464" i="95"/>
  <c r="G1635" i="95"/>
  <c r="D1544" i="95"/>
  <c r="E1411" i="95"/>
  <c r="J1350" i="95"/>
  <c r="E1409" i="95"/>
  <c r="E1408" i="95"/>
  <c r="E1407" i="95"/>
  <c r="J1346" i="95"/>
  <c r="G1477" i="95"/>
  <c r="D1440" i="95"/>
  <c r="D1439" i="95"/>
  <c r="J1347" i="95"/>
  <c r="H844" i="95"/>
  <c r="I830" i="95"/>
  <c r="H903" i="95"/>
  <c r="D1533" i="95"/>
  <c r="D1553" i="95"/>
  <c r="D1471" i="95"/>
  <c r="J1505" i="95"/>
  <c r="E1534" i="95"/>
  <c r="H1423" i="95"/>
  <c r="J1499" i="95"/>
  <c r="D1487" i="95"/>
  <c r="E1391" i="95"/>
  <c r="J1370" i="95"/>
  <c r="E1421" i="95"/>
  <c r="I1570" i="95"/>
  <c r="H1640" i="95"/>
  <c r="G1689" i="95"/>
  <c r="G1700" i="95"/>
  <c r="H1499" i="95"/>
  <c r="J1592" i="95"/>
  <c r="H1696" i="95"/>
  <c r="G1598" i="95"/>
  <c r="I1517" i="95"/>
  <c r="G1678" i="95"/>
  <c r="E1696" i="95"/>
  <c r="D1652" i="95"/>
  <c r="G1694" i="95"/>
  <c r="J1657" i="95"/>
  <c r="H1646" i="95"/>
  <c r="I1508" i="95"/>
  <c r="I1645" i="95"/>
  <c r="H1615" i="95"/>
  <c r="D1645" i="95"/>
  <c r="G1637" i="95"/>
  <c r="D1699" i="95"/>
  <c r="E1580" i="95"/>
  <c r="J1683" i="95"/>
  <c r="G1664" i="95"/>
  <c r="G1641" i="95"/>
  <c r="H1707" i="95"/>
  <c r="D1691" i="95"/>
  <c r="J1635" i="95"/>
  <c r="E1645" i="95"/>
  <c r="G1507" i="95"/>
  <c r="G1591" i="95"/>
  <c r="E1599" i="95"/>
  <c r="E1679" i="95"/>
  <c r="G1610" i="95"/>
  <c r="D1577" i="95"/>
  <c r="J1553" i="95"/>
  <c r="D1450" i="95"/>
  <c r="E1485" i="95"/>
  <c r="D1682" i="95"/>
  <c r="J1674" i="95"/>
  <c r="H1678" i="95"/>
  <c r="D1698" i="95"/>
  <c r="H1674" i="95"/>
  <c r="J1664" i="95"/>
  <c r="H1634" i="95"/>
  <c r="I1496" i="95"/>
  <c r="I1633" i="95"/>
  <c r="H1588" i="95"/>
  <c r="H1655" i="95"/>
  <c r="I1599" i="95"/>
  <c r="I1651" i="95"/>
  <c r="H1578" i="95"/>
  <c r="I1460" i="95"/>
  <c r="G1571" i="95"/>
  <c r="E1637" i="95"/>
  <c r="D1477" i="95"/>
  <c r="E1513" i="95"/>
  <c r="D1511" i="95"/>
  <c r="I1500" i="95"/>
  <c r="H1379" i="95"/>
  <c r="D1493" i="95"/>
  <c r="I1394" i="95"/>
  <c r="G1436" i="95"/>
  <c r="I1498" i="95"/>
  <c r="G1418" i="95"/>
  <c r="G1433" i="95"/>
  <c r="G1432" i="95"/>
  <c r="I1558" i="95"/>
  <c r="D1437" i="95"/>
  <c r="J1467" i="95"/>
  <c r="J1466" i="95"/>
  <c r="D908" i="95"/>
  <c r="E759" i="95"/>
  <c r="G745" i="95"/>
  <c r="G903" i="95"/>
  <c r="H1375" i="95"/>
  <c r="I1550" i="95"/>
  <c r="J1498" i="95"/>
  <c r="I1533" i="95"/>
  <c r="J1557" i="95"/>
  <c r="D1454" i="95"/>
  <c r="G1526" i="95"/>
  <c r="J1514" i="95"/>
  <c r="G1416" i="95"/>
  <c r="D1349" i="95"/>
  <c r="H1627" i="95"/>
  <c r="H1495" i="95"/>
  <c r="E1683" i="95"/>
  <c r="H1569" i="95"/>
  <c r="H1590" i="95"/>
  <c r="D1561" i="95"/>
  <c r="H1618" i="95"/>
  <c r="J1620" i="95"/>
  <c r="H1545" i="95"/>
  <c r="E1702" i="95"/>
  <c r="J1630" i="95"/>
  <c r="J1699" i="95"/>
  <c r="H1681" i="95"/>
  <c r="E1572" i="95"/>
  <c r="J1661" i="95"/>
  <c r="G1690" i="95"/>
  <c r="D1602" i="95"/>
  <c r="E1643" i="95"/>
  <c r="I1686" i="95"/>
  <c r="E1641" i="95"/>
  <c r="D1588" i="95"/>
  <c r="E1662" i="95"/>
  <c r="I1667" i="95"/>
  <c r="H1685" i="95"/>
  <c r="E1689" i="95"/>
  <c r="I1708" i="95"/>
  <c r="J1646" i="95"/>
  <c r="D1649" i="95"/>
  <c r="D1659" i="95"/>
  <c r="I1679" i="95"/>
  <c r="H1487" i="95"/>
  <c r="D1611" i="95"/>
  <c r="J1580" i="95"/>
  <c r="J1632" i="95"/>
  <c r="H1599" i="95"/>
  <c r="D1668" i="95"/>
  <c r="G1537" i="95"/>
  <c r="I1511" i="95"/>
  <c r="J1705" i="95"/>
  <c r="H1609" i="95"/>
  <c r="G1706" i="95"/>
  <c r="E1660" i="95"/>
  <c r="G1702" i="95"/>
  <c r="H1575" i="95"/>
  <c r="I1647" i="95"/>
  <c r="H1703" i="95"/>
  <c r="H1562" i="95"/>
  <c r="G1600" i="95"/>
  <c r="E1570" i="95"/>
  <c r="E1622" i="95"/>
  <c r="J1588" i="95"/>
  <c r="I1485" i="95"/>
  <c r="G1511" i="95"/>
  <c r="D1483" i="95"/>
  <c r="D1546" i="95"/>
  <c r="J1404" i="95"/>
  <c r="I1539" i="95"/>
  <c r="J1538" i="95"/>
  <c r="J1513" i="95"/>
  <c r="J1698" i="95"/>
  <c r="J1420" i="95"/>
  <c r="H1422" i="95"/>
  <c r="E1464" i="95"/>
  <c r="I1494" i="95"/>
  <c r="I1383" i="95"/>
  <c r="E1461" i="95"/>
  <c r="E1460" i="95"/>
  <c r="E1395" i="95"/>
  <c r="I1391" i="95"/>
  <c r="H1382" i="95"/>
  <c r="H1381" i="95"/>
  <c r="E917" i="95"/>
  <c r="J673" i="95"/>
  <c r="I877" i="95"/>
  <c r="H900" i="95"/>
  <c r="I1575" i="95"/>
  <c r="H1395" i="95"/>
  <c r="E1525" i="95"/>
  <c r="J1561" i="95"/>
  <c r="H1472" i="95"/>
  <c r="I1694" i="95"/>
  <c r="E1454" i="95"/>
  <c r="E1541" i="95"/>
  <c r="E1444" i="95"/>
  <c r="G1539" i="95"/>
  <c r="H1675" i="95"/>
  <c r="I1707" i="95"/>
  <c r="D1647" i="95"/>
  <c r="I1603" i="95"/>
  <c r="H1475" i="95"/>
  <c r="E1654" i="95"/>
  <c r="H1648" i="95"/>
  <c r="G1583" i="95"/>
  <c r="G1703" i="95"/>
  <c r="G1673" i="95"/>
  <c r="G1667" i="95"/>
  <c r="E1616" i="95"/>
  <c r="J1695" i="95"/>
  <c r="G1574" i="95"/>
  <c r="E1560" i="95"/>
  <c r="J1488" i="95"/>
  <c r="D1655" i="95"/>
  <c r="E1582" i="95"/>
  <c r="G1654" i="95"/>
  <c r="J1607" i="95"/>
  <c r="I1587" i="95"/>
  <c r="H1691" i="95"/>
  <c r="E1620" i="95"/>
  <c r="H1680" i="95"/>
  <c r="J1670" i="95"/>
  <c r="H1561" i="95"/>
  <c r="E1586" i="95"/>
  <c r="D1573" i="95"/>
  <c r="H1654" i="95"/>
  <c r="I1516" i="95"/>
  <c r="H1539" i="95"/>
  <c r="H1608" i="95"/>
  <c r="D1664" i="95"/>
  <c r="E1627" i="95"/>
  <c r="G1496" i="95"/>
  <c r="G1648" i="95"/>
  <c r="H1439" i="95"/>
  <c r="G1708" i="95"/>
  <c r="I1642" i="95"/>
  <c r="G1672" i="95"/>
  <c r="J1594" i="95"/>
  <c r="G1668" i="95"/>
  <c r="E1603" i="95"/>
  <c r="D1708" i="95"/>
  <c r="I1646" i="95"/>
  <c r="J1476" i="95"/>
  <c r="J1528" i="95"/>
  <c r="J1597" i="95"/>
  <c r="J1649" i="95"/>
  <c r="H1616" i="95"/>
  <c r="H1513" i="95"/>
  <c r="G1548" i="95"/>
  <c r="J1510" i="95"/>
  <c r="E1539" i="95"/>
  <c r="H1668" i="95"/>
  <c r="H1467" i="95"/>
  <c r="G1566" i="95"/>
  <c r="I1541" i="95"/>
  <c r="J1512" i="95"/>
  <c r="G1451" i="95"/>
  <c r="E1350" i="95"/>
  <c r="J1378" i="95"/>
  <c r="H1388" i="95"/>
  <c r="D1368" i="95"/>
  <c r="J1375" i="95"/>
  <c r="J1374" i="95"/>
  <c r="G1420" i="95"/>
  <c r="G1442" i="95"/>
  <c r="G1351" i="95"/>
  <c r="I1406" i="95"/>
  <c r="G926" i="95"/>
  <c r="I813" i="95"/>
  <c r="H790" i="95"/>
  <c r="E1497" i="95"/>
  <c r="E1551" i="95"/>
  <c r="D1426" i="95"/>
  <c r="I1551" i="95"/>
  <c r="E1476" i="95"/>
  <c r="G1500" i="95"/>
  <c r="G1483" i="95"/>
  <c r="J1660" i="95"/>
  <c r="J1569" i="95"/>
  <c r="E1601" i="95"/>
  <c r="D1619" i="95"/>
  <c r="H1629" i="95"/>
  <c r="G1519" i="95"/>
  <c r="J1653" i="95"/>
  <c r="J1651" i="95"/>
  <c r="J1568" i="95"/>
  <c r="H1663" i="95"/>
  <c r="D1513" i="95"/>
  <c r="H1665" i="95"/>
  <c r="E1669" i="95"/>
  <c r="E1691" i="95"/>
  <c r="G1649" i="95"/>
  <c r="G1663" i="95"/>
  <c r="J1596" i="95"/>
  <c r="D1656" i="95"/>
  <c r="D1518" i="95"/>
  <c r="E1498" i="95"/>
  <c r="J1609" i="95"/>
  <c r="H1591" i="95"/>
  <c r="D1621" i="95"/>
  <c r="E1610" i="95"/>
  <c r="I1692" i="95"/>
  <c r="G1653" i="95"/>
  <c r="D1683" i="95"/>
  <c r="H1605" i="95"/>
  <c r="E1685" i="95"/>
  <c r="J1613" i="95"/>
  <c r="H1595" i="95"/>
  <c r="D1688" i="95"/>
  <c r="G1605" i="95"/>
  <c r="H1572" i="95"/>
  <c r="G1620" i="95"/>
  <c r="D1587" i="95"/>
  <c r="D1639" i="95"/>
  <c r="E1524" i="95"/>
  <c r="I1620" i="95"/>
  <c r="D1470" i="95"/>
  <c r="J1673" i="95"/>
  <c r="I1675" i="95"/>
  <c r="H1693" i="95"/>
  <c r="D1628" i="95"/>
  <c r="H1689" i="95"/>
  <c r="D1615" i="95"/>
  <c r="J1584" i="95"/>
  <c r="J1643" i="95"/>
  <c r="D1506" i="95"/>
  <c r="D1558" i="95"/>
  <c r="I1609" i="95"/>
  <c r="E1667" i="95"/>
  <c r="G1628" i="95"/>
  <c r="J1539" i="95"/>
  <c r="J1490" i="95"/>
  <c r="E1537" i="95"/>
  <c r="I1568" i="95"/>
  <c r="G1503" i="95"/>
  <c r="E1382" i="95"/>
  <c r="J1479" i="95"/>
  <c r="H1574" i="95"/>
  <c r="E1555" i="95"/>
  <c r="I1376" i="95"/>
  <c r="E1347" i="95"/>
  <c r="D1404" i="95"/>
  <c r="I1413" i="95"/>
  <c r="D1369" i="95"/>
  <c r="D1552" i="95"/>
  <c r="D1400" i="95"/>
  <c r="E1448" i="95"/>
  <c r="E1447" i="95"/>
  <c r="D1347" i="95"/>
  <c r="H1434" i="95"/>
  <c r="J936" i="95"/>
  <c r="G728" i="95"/>
  <c r="E705" i="95"/>
  <c r="G1439" i="95"/>
  <c r="I1557" i="95"/>
  <c r="G1650" i="95"/>
  <c r="D1540" i="95"/>
  <c r="H1502" i="95"/>
  <c r="E1528" i="95"/>
  <c r="H1519" i="95"/>
  <c r="D1609" i="95"/>
  <c r="E1663" i="95"/>
  <c r="E1612" i="95"/>
  <c r="G1580" i="95"/>
  <c r="I1579" i="95"/>
  <c r="H1596" i="95"/>
  <c r="D1575" i="95"/>
  <c r="J1440" i="95"/>
  <c r="E1600" i="95"/>
  <c r="D1697" i="95"/>
  <c r="I1693" i="95"/>
  <c r="J1707" i="95"/>
  <c r="E1687" i="95"/>
  <c r="H1624" i="95"/>
  <c r="I1698" i="95"/>
  <c r="H1601" i="95"/>
  <c r="G1527" i="95"/>
  <c r="I1621" i="95"/>
  <c r="E1619" i="95"/>
  <c r="H1643" i="95"/>
  <c r="J1637" i="95"/>
  <c r="H1589" i="95"/>
  <c r="H1658" i="95"/>
  <c r="E1704" i="95"/>
  <c r="I1638" i="95"/>
  <c r="D1679" i="95"/>
  <c r="I1625" i="95"/>
  <c r="E1623" i="95"/>
  <c r="G1582" i="95"/>
  <c r="E1621" i="95"/>
  <c r="G1683" i="95"/>
  <c r="J1548" i="95"/>
  <c r="H1515" i="95"/>
  <c r="I1569" i="95"/>
  <c r="H1550" i="95"/>
  <c r="H1488" i="95"/>
  <c r="I1384" i="95"/>
  <c r="J1578" i="95"/>
  <c r="H1699" i="95"/>
  <c r="E1628" i="95"/>
  <c r="H1686" i="95"/>
  <c r="E1624" i="95"/>
  <c r="H1543" i="95"/>
  <c r="H1612" i="95"/>
  <c r="G1657" i="95"/>
  <c r="D1592" i="95"/>
  <c r="E1707" i="95"/>
  <c r="E1538" i="95"/>
  <c r="G1576" i="95"/>
  <c r="J1556" i="95"/>
  <c r="J1567" i="95"/>
  <c r="I1543" i="95"/>
  <c r="G1564" i="95"/>
  <c r="I1481" i="95"/>
  <c r="H1516" i="95"/>
  <c r="I1412" i="95"/>
  <c r="G1506" i="95"/>
  <c r="E1484" i="95"/>
  <c r="I1497" i="95"/>
  <c r="J1401" i="95"/>
  <c r="D1445" i="95"/>
  <c r="J1431" i="95"/>
  <c r="H1441" i="95"/>
  <c r="H1440" i="95"/>
  <c r="I1435" i="95"/>
  <c r="J1427" i="95"/>
  <c r="I1490" i="95"/>
  <c r="I1482" i="95"/>
  <c r="I1443" i="95"/>
  <c r="E1362" i="95"/>
  <c r="I936" i="95"/>
  <c r="J870" i="95"/>
  <c r="I874" i="95"/>
  <c r="I1492" i="95"/>
  <c r="G1472" i="95"/>
  <c r="G1523" i="95"/>
  <c r="E1394" i="95"/>
  <c r="D1529" i="95"/>
  <c r="H1554" i="95"/>
  <c r="D1531" i="95"/>
  <c r="J1563" i="95"/>
  <c r="E1410" i="95"/>
  <c r="J1411" i="95"/>
  <c r="G1701" i="95"/>
  <c r="I1585" i="95"/>
  <c r="D1705" i="95"/>
  <c r="G1594" i="95"/>
  <c r="J1692" i="95"/>
  <c r="I1641" i="95"/>
  <c r="G1608" i="95"/>
  <c r="I1532" i="95"/>
  <c r="I1474" i="95"/>
  <c r="G1633" i="95"/>
  <c r="D1663" i="95"/>
  <c r="H1649" i="95"/>
  <c r="G1675" i="95"/>
  <c r="I1689" i="95"/>
  <c r="G1636" i="95"/>
  <c r="I1583" i="95"/>
  <c r="H1676" i="95"/>
  <c r="D1694" i="95"/>
  <c r="E1550" i="95"/>
  <c r="D1631" i="95"/>
  <c r="J1585" i="95"/>
  <c r="I1649" i="95"/>
  <c r="I1622" i="95"/>
  <c r="G1686" i="95"/>
  <c r="J1638" i="95"/>
  <c r="E1697" i="95"/>
  <c r="E1700" i="95"/>
  <c r="E1554" i="95"/>
  <c r="D1635" i="95"/>
  <c r="J1604" i="95"/>
  <c r="G1634" i="95"/>
  <c r="G1617" i="95"/>
  <c r="I1632" i="95"/>
  <c r="H1659" i="95"/>
  <c r="E1482" i="95"/>
  <c r="I1624" i="95"/>
  <c r="G1516" i="95"/>
  <c r="J1625" i="95"/>
  <c r="D1612" i="95"/>
  <c r="I1700" i="95"/>
  <c r="E1666" i="95"/>
  <c r="G1680" i="95"/>
  <c r="G1609" i="95"/>
  <c r="D1590" i="95"/>
  <c r="G1624" i="95"/>
  <c r="I1571" i="95"/>
  <c r="H1610" i="95"/>
  <c r="D1604" i="95"/>
  <c r="E1705" i="95"/>
  <c r="J1504" i="95"/>
  <c r="H1471" i="95"/>
  <c r="D1481" i="95"/>
  <c r="E1386" i="95"/>
  <c r="G1478" i="95"/>
  <c r="H1509" i="95"/>
  <c r="G1544" i="95"/>
  <c r="I1605" i="95"/>
  <c r="E1434" i="95"/>
  <c r="H1510" i="95"/>
  <c r="H1525" i="95"/>
  <c r="D1427" i="95"/>
  <c r="I1351" i="95"/>
  <c r="H1359" i="95"/>
  <c r="I1466" i="95"/>
  <c r="I1465" i="95"/>
  <c r="G1390" i="95"/>
  <c r="H1355" i="95"/>
  <c r="D1388" i="95"/>
  <c r="D1387" i="95"/>
  <c r="I1392" i="95"/>
  <c r="E1359" i="95"/>
  <c r="J933" i="95"/>
  <c r="H785" i="95"/>
  <c r="J883" i="95"/>
  <c r="I1537" i="95"/>
  <c r="E1500" i="95"/>
  <c r="H1528" i="95"/>
  <c r="J1576" i="95"/>
  <c r="J1456" i="95"/>
  <c r="J1656" i="95"/>
  <c r="J1558" i="95"/>
  <c r="H1544" i="95"/>
  <c r="I1440" i="95"/>
  <c r="G1469" i="95"/>
  <c r="G1533" i="95"/>
  <c r="D1403" i="95"/>
  <c r="D1446" i="95"/>
  <c r="I1395" i="95"/>
  <c r="G1389" i="95"/>
  <c r="H1437" i="95"/>
  <c r="H1436" i="95"/>
  <c r="I1403" i="95"/>
  <c r="J1423" i="95"/>
  <c r="E926" i="95"/>
  <c r="D803" i="95"/>
  <c r="I1396" i="95"/>
  <c r="D1547" i="95"/>
  <c r="I1504" i="95"/>
  <c r="H1383" i="95"/>
  <c r="G1518" i="95"/>
  <c r="H1517" i="95"/>
  <c r="G1520" i="95"/>
  <c r="D1534" i="95"/>
  <c r="H1399" i="95"/>
  <c r="E1401" i="95"/>
  <c r="J1442" i="95"/>
  <c r="H1452" i="95"/>
  <c r="G1352" i="95"/>
  <c r="J1439" i="95"/>
  <c r="J1438" i="95"/>
  <c r="D1638" i="95"/>
  <c r="G1353" i="95"/>
  <c r="I1387" i="95"/>
  <c r="J1470" i="95"/>
  <c r="J895" i="95"/>
  <c r="J737" i="95"/>
  <c r="D724" i="95"/>
  <c r="I1563" i="95"/>
  <c r="D1565" i="95"/>
  <c r="D1490" i="95"/>
  <c r="J1372" i="95"/>
  <c r="I1507" i="95"/>
  <c r="J1506" i="95"/>
  <c r="J1481" i="95"/>
  <c r="I1607" i="95"/>
  <c r="G1497" i="95"/>
  <c r="I1510" i="95"/>
  <c r="E1432" i="95"/>
  <c r="J1441" i="95"/>
  <c r="G1446" i="95"/>
  <c r="E1429" i="95"/>
  <c r="E1428" i="95"/>
  <c r="G1493" i="95"/>
  <c r="G1454" i="95"/>
  <c r="H1363" i="95"/>
  <c r="D1460" i="95"/>
  <c r="G894" i="95"/>
  <c r="D867" i="95"/>
  <c r="I1416" i="95"/>
  <c r="J1448" i="95"/>
  <c r="I1636" i="95"/>
  <c r="H1529" i="95"/>
  <c r="J1525" i="95"/>
  <c r="I1677" i="95"/>
  <c r="G1494" i="95"/>
  <c r="J1482" i="95"/>
  <c r="G1384" i="95"/>
  <c r="J1453" i="95"/>
  <c r="I1353" i="95"/>
  <c r="J1451" i="95"/>
  <c r="J1450" i="95"/>
  <c r="J1449" i="95"/>
  <c r="I1349" i="95"/>
  <c r="G1595" i="95"/>
  <c r="H1566" i="95"/>
  <c r="G1557" i="95"/>
  <c r="I1350" i="95"/>
  <c r="J801" i="95"/>
  <c r="H1451" i="95"/>
  <c r="H1508" i="95"/>
  <c r="G1383" i="95"/>
  <c r="D1509" i="95"/>
  <c r="E1545" i="95"/>
  <c r="D1543" i="95"/>
  <c r="G1567" i="95"/>
  <c r="H1411" i="95"/>
  <c r="H1498" i="95"/>
  <c r="H1401" i="95"/>
  <c r="D1384" i="95"/>
  <c r="G1393" i="95"/>
  <c r="J1430" i="95"/>
  <c r="J1429" i="95"/>
  <c r="H1369" i="95"/>
  <c r="E1417" i="95"/>
  <c r="I1462" i="95"/>
  <c r="I1461" i="95"/>
  <c r="I1370" i="95"/>
  <c r="H1351" i="95"/>
  <c r="D926" i="95"/>
  <c r="I717" i="95"/>
  <c r="G1479" i="95"/>
  <c r="G1607" i="95"/>
  <c r="J1517" i="95"/>
  <c r="H1604" i="95"/>
  <c r="E1446" i="95"/>
  <c r="J1543" i="95"/>
  <c r="E1548" i="95"/>
  <c r="J1533" i="95"/>
  <c r="D1430" i="95"/>
  <c r="D1370" i="95"/>
  <c r="D1468" i="95"/>
  <c r="G1525" i="95"/>
  <c r="I1346" i="95"/>
  <c r="H1367" i="95"/>
  <c r="D1464" i="95"/>
  <c r="D1399" i="95"/>
  <c r="D1422" i="95"/>
  <c r="I1371" i="95"/>
  <c r="G1385" i="95"/>
  <c r="D905" i="95"/>
  <c r="H881" i="95"/>
  <c r="H854" i="95"/>
  <c r="I1505" i="95"/>
  <c r="J1478" i="95"/>
  <c r="E1507" i="95"/>
  <c r="G1616" i="95"/>
  <c r="H1435" i="95"/>
  <c r="E1533" i="95"/>
  <c r="I1509" i="95"/>
  <c r="D1514" i="95"/>
  <c r="J1388" i="95"/>
  <c r="H1390" i="95"/>
  <c r="G1457" i="95"/>
  <c r="D1467" i="95"/>
  <c r="D1401" i="95"/>
  <c r="J1356" i="95"/>
  <c r="G1453" i="95"/>
  <c r="G1388" i="95"/>
  <c r="D1398" i="95"/>
  <c r="H1360" i="95"/>
  <c r="I1374" i="95"/>
  <c r="J904" i="95"/>
  <c r="I781" i="95"/>
  <c r="J1480" i="95"/>
  <c r="I1538" i="95"/>
  <c r="E1493" i="95"/>
  <c r="J1555" i="95"/>
  <c r="I1553" i="95"/>
  <c r="H1523" i="95"/>
  <c r="E1422" i="95"/>
  <c r="E1509" i="95"/>
  <c r="E1412" i="95"/>
  <c r="D1536" i="95"/>
  <c r="D1348" i="95"/>
  <c r="G1430" i="95"/>
  <c r="D1512" i="95"/>
  <c r="D1504" i="95"/>
  <c r="D1465" i="95"/>
  <c r="I1459" i="95"/>
  <c r="G1397" i="95"/>
  <c r="G1396" i="95"/>
  <c r="H874" i="95"/>
  <c r="H716" i="95"/>
  <c r="G1586" i="95"/>
  <c r="D1515" i="95"/>
  <c r="D1627" i="95"/>
  <c r="J1436" i="95"/>
  <c r="D1582" i="95"/>
  <c r="D1578" i="95"/>
  <c r="E1503" i="95"/>
  <c r="I1439" i="95"/>
  <c r="J1348" i="95"/>
  <c r="D1456" i="95"/>
  <c r="D1455" i="95"/>
  <c r="J1363" i="95"/>
  <c r="E1563" i="95"/>
  <c r="G1377" i="95"/>
  <c r="G1376" i="95"/>
  <c r="D1378" i="95"/>
  <c r="H1348" i="95"/>
  <c r="E923" i="95"/>
  <c r="E860" i="95"/>
  <c r="D1527" i="95"/>
  <c r="H1489" i="95"/>
  <c r="I1545" i="95"/>
  <c r="I1472" i="95"/>
  <c r="G1517" i="95"/>
  <c r="I1576" i="95"/>
  <c r="I1604" i="95"/>
  <c r="D1562" i="95"/>
  <c r="J1465" i="95"/>
  <c r="I1365" i="95"/>
  <c r="I1382" i="95"/>
  <c r="G1392" i="95"/>
  <c r="D1402" i="95"/>
  <c r="H1364" i="95"/>
  <c r="I1378" i="95"/>
  <c r="J1426" i="95"/>
  <c r="J1425" i="95"/>
  <c r="H1365" i="95"/>
  <c r="E1413" i="95"/>
  <c r="H915" i="95"/>
  <c r="G792" i="95"/>
  <c r="E769" i="95"/>
  <c r="J1559" i="95"/>
  <c r="E1505" i="95"/>
  <c r="D1535" i="95"/>
  <c r="I1588" i="95"/>
  <c r="D1466" i="95"/>
  <c r="I1559" i="95"/>
  <c r="H1537" i="95"/>
  <c r="E1523" i="95"/>
  <c r="G1419" i="95"/>
  <c r="G1359" i="95"/>
  <c r="D1372" i="95"/>
  <c r="I1381" i="95"/>
  <c r="G1387" i="95"/>
  <c r="J1353" i="95"/>
  <c r="G1553" i="95"/>
  <c r="E1416" i="95"/>
  <c r="E1415" i="95"/>
  <c r="J1354" i="95"/>
  <c r="H1402" i="95"/>
  <c r="I904" i="95"/>
  <c r="E1479" i="95"/>
  <c r="E1519" i="95"/>
  <c r="D1394" i="95"/>
  <c r="I1519" i="95"/>
  <c r="G1685" i="95"/>
  <c r="H1664" i="95"/>
  <c r="H1556" i="95"/>
  <c r="I1452" i="95"/>
  <c r="I1535" i="95"/>
  <c r="G1437" i="95"/>
  <c r="I1393" i="95"/>
  <c r="I1456" i="95"/>
  <c r="G1406" i="95"/>
  <c r="I1390" i="95"/>
  <c r="I1389" i="95"/>
  <c r="J1437" i="95"/>
  <c r="G1414" i="95"/>
  <c r="E1425" i="95"/>
  <c r="E1424" i="95"/>
  <c r="I883" i="95"/>
  <c r="G856" i="95"/>
  <c r="J1509" i="95"/>
  <c r="J1542" i="95"/>
  <c r="G1599" i="95"/>
  <c r="G1613" i="95"/>
  <c r="G1486" i="95"/>
  <c r="H1485" i="95"/>
  <c r="D1598" i="95"/>
  <c r="E1658" i="95"/>
  <c r="J1452" i="95"/>
  <c r="H1454" i="95"/>
  <c r="H1473" i="95"/>
  <c r="D1405" i="95"/>
  <c r="G1541" i="95"/>
  <c r="D1606" i="95"/>
  <c r="G1568" i="95"/>
  <c r="D1574" i="95"/>
  <c r="I1447" i="95"/>
  <c r="E1405" i="95"/>
  <c r="E1404" i="95"/>
  <c r="E1403" i="95"/>
  <c r="I1455" i="95"/>
  <c r="G932" i="95"/>
  <c r="J774" i="95"/>
  <c r="G1658" i="95"/>
  <c r="J1515" i="95"/>
  <c r="I1596" i="95"/>
  <c r="E1495" i="95"/>
  <c r="G1597" i="95"/>
  <c r="D1485" i="95"/>
  <c r="E1489" i="95"/>
  <c r="G1476" i="95"/>
  <c r="H1380" i="95"/>
  <c r="D1360" i="95"/>
  <c r="H1410" i="95"/>
  <c r="E1420" i="95"/>
  <c r="E1419" i="95"/>
  <c r="J1358" i="95"/>
  <c r="H1406" i="95"/>
  <c r="D1452" i="95"/>
  <c r="D1451" i="95"/>
  <c r="J1359" i="95"/>
  <c r="G1450" i="95"/>
  <c r="G915" i="95"/>
  <c r="D707" i="95"/>
  <c r="J683" i="95"/>
  <c r="D1501" i="95"/>
  <c r="I1531" i="95"/>
  <c r="G1563" i="95"/>
  <c r="H1484" i="95"/>
  <c r="J1615" i="95"/>
  <c r="G1474" i="95"/>
  <c r="H1564" i="95"/>
  <c r="D1551" i="95"/>
  <c r="E1455" i="95"/>
  <c r="D1355" i="95"/>
  <c r="J1399" i="95"/>
  <c r="H1409" i="95"/>
  <c r="H1408" i="95"/>
  <c r="E1348" i="95"/>
  <c r="J1395" i="95"/>
  <c r="G1441" i="95"/>
  <c r="G1440" i="95"/>
  <c r="E1349" i="95"/>
  <c r="J1371" i="95"/>
  <c r="J901" i="95"/>
  <c r="G1502" i="95"/>
  <c r="I1525" i="95"/>
  <c r="E1615" i="95"/>
  <c r="H1447" i="95"/>
  <c r="D1497" i="95"/>
  <c r="E1496" i="95"/>
  <c r="E1471" i="95"/>
  <c r="E1630" i="95"/>
  <c r="H1463" i="95"/>
  <c r="E1465" i="95"/>
  <c r="H1421" i="95"/>
  <c r="E1431" i="95"/>
  <c r="D1371" i="95"/>
  <c r="H1418" i="95"/>
  <c r="H1417" i="95"/>
  <c r="D1463" i="95"/>
  <c r="D1373" i="95"/>
  <c r="J1352" i="95"/>
  <c r="G1449" i="95"/>
  <c r="E894" i="95"/>
  <c r="D771" i="95"/>
  <c r="I1566" i="95"/>
  <c r="J1573" i="95"/>
  <c r="J1485" i="95"/>
  <c r="I1600" i="95"/>
  <c r="E1414" i="95"/>
  <c r="J1511" i="95"/>
  <c r="G1488" i="95"/>
  <c r="D1482" i="95"/>
  <c r="J1577" i="95"/>
  <c r="I1451" i="95"/>
  <c r="G1573" i="95"/>
  <c r="I1372" i="95"/>
  <c r="G1434" i="95"/>
  <c r="H1398" i="95"/>
  <c r="H1397" i="95"/>
  <c r="H1396" i="95"/>
  <c r="G1402" i="95"/>
  <c r="G1386" i="95"/>
  <c r="G1429" i="95"/>
  <c r="G1428" i="95"/>
  <c r="I1379" i="95"/>
  <c r="J934" i="95"/>
  <c r="H689" i="95"/>
  <c r="G1522" i="95"/>
  <c r="G1542" i="95"/>
  <c r="E1488" i="95"/>
  <c r="D1523" i="95"/>
  <c r="E1569" i="95"/>
  <c r="J1412" i="95"/>
  <c r="I1515" i="95"/>
  <c r="E1504" i="95"/>
  <c r="I1405" i="95"/>
  <c r="G1346" i="95"/>
  <c r="D1429" i="95"/>
  <c r="G1445" i="95"/>
  <c r="G1444" i="95"/>
  <c r="E1353" i="95"/>
  <c r="D1397" i="95"/>
  <c r="I1542" i="95"/>
  <c r="I1534" i="95"/>
  <c r="I1526" i="95"/>
  <c r="I1415" i="95"/>
  <c r="H912" i="95"/>
  <c r="H849" i="95"/>
  <c r="I938" i="95"/>
  <c r="G1459" i="95"/>
  <c r="H1459" i="95"/>
  <c r="H1477" i="95"/>
  <c r="G1512" i="95"/>
  <c r="D1542" i="95"/>
  <c r="E1402" i="95"/>
  <c r="H1478" i="95"/>
  <c r="G1639" i="95"/>
  <c r="I1546" i="95"/>
  <c r="G1349" i="95"/>
  <c r="I1368" i="95"/>
  <c r="I1434" i="95"/>
  <c r="I1433" i="95"/>
  <c r="I1363" i="95"/>
  <c r="I1364" i="95"/>
  <c r="E1469" i="95"/>
  <c r="E1468" i="95"/>
  <c r="E1467" i="95"/>
  <c r="D1367" i="95"/>
  <c r="D911" i="95"/>
  <c r="H1520" i="95"/>
  <c r="H1553" i="95"/>
  <c r="D1474" i="95"/>
  <c r="J1544" i="95"/>
  <c r="J1424" i="95"/>
  <c r="H1522" i="95"/>
  <c r="D1499" i="95"/>
  <c r="G1499" i="95"/>
  <c r="E1378" i="95"/>
  <c r="J1379" i="95"/>
  <c r="I1446" i="95"/>
  <c r="G1456" i="95"/>
  <c r="E1365" i="95"/>
  <c r="E1346" i="95"/>
  <c r="I1442" i="95"/>
  <c r="I1377" i="95"/>
  <c r="G1379" i="95"/>
  <c r="J1349" i="95"/>
  <c r="G1521" i="95"/>
  <c r="D894" i="95"/>
  <c r="I685" i="95"/>
  <c r="H1506" i="95"/>
  <c r="J1483" i="95"/>
  <c r="I1513" i="95"/>
  <c r="H1548" i="95"/>
  <c r="I1444" i="95"/>
  <c r="G1538" i="95"/>
  <c r="E1516" i="95"/>
  <c r="J1501" i="95"/>
  <c r="D1528" i="95"/>
  <c r="G1587" i="95"/>
  <c r="H1400" i="95"/>
  <c r="D1453" i="95"/>
  <c r="G1367" i="95"/>
  <c r="I1422" i="95"/>
  <c r="I1421" i="95"/>
  <c r="J1469" i="95"/>
  <c r="I1369" i="95"/>
  <c r="E1457" i="95"/>
  <c r="E1456" i="95"/>
  <c r="G897" i="95"/>
  <c r="J833" i="95"/>
  <c r="D820" i="95"/>
  <c r="G1549" i="95"/>
  <c r="G1470" i="95"/>
  <c r="H1514" i="95"/>
  <c r="J1550" i="95"/>
  <c r="E1547" i="95"/>
  <c r="G1443" i="95"/>
  <c r="H1443" i="95"/>
  <c r="H1530" i="95"/>
  <c r="H1433" i="95"/>
  <c r="G1505" i="95"/>
  <c r="G1394" i="95"/>
  <c r="G1489" i="95"/>
  <c r="G1481" i="95"/>
  <c r="G1473" i="95"/>
  <c r="E1371" i="95"/>
  <c r="H1394" i="95"/>
  <c r="H1393" i="95"/>
  <c r="H1392" i="95"/>
  <c r="E1373" i="95"/>
  <c r="I921" i="95"/>
  <c r="E764" i="95"/>
  <c r="G1565" i="95"/>
  <c r="I1637" i="95"/>
  <c r="E1374" i="95"/>
  <c r="J1503" i="95"/>
  <c r="E1540" i="95"/>
  <c r="H1536" i="95"/>
  <c r="I1432" i="95"/>
  <c r="D1505" i="95"/>
  <c r="H1493" i="95"/>
  <c r="D1395" i="95"/>
  <c r="H1464" i="95"/>
  <c r="G1364" i="95"/>
  <c r="H1462" i="95"/>
  <c r="H1461" i="95"/>
  <c r="H1460" i="95"/>
  <c r="G1360" i="95"/>
  <c r="J1383" i="95"/>
  <c r="J1382" i="95"/>
  <c r="J1381" i="95"/>
  <c r="G1361" i="95"/>
  <c r="H913" i="95"/>
  <c r="D1618" i="95"/>
  <c r="G1647" i="95"/>
  <c r="H1496" i="95"/>
  <c r="E1559" i="95"/>
  <c r="G1455" i="95"/>
  <c r="D1549" i="95"/>
  <c r="J1526" i="95"/>
  <c r="H1512" i="95"/>
  <c r="I1408" i="95"/>
  <c r="I1348" i="95"/>
  <c r="D1500" i="95"/>
  <c r="G1627" i="95"/>
  <c r="I1648" i="95"/>
  <c r="G1458" i="95"/>
  <c r="I1470" i="95"/>
  <c r="H1405" i="95"/>
  <c r="H1404" i="95"/>
  <c r="G1466" i="95"/>
  <c r="J1391" i="95"/>
  <c r="E891" i="95"/>
  <c r="E828" i="95"/>
  <c r="J1460" i="95"/>
  <c r="G1510" i="95"/>
  <c r="H1541" i="95"/>
  <c r="G1619" i="95"/>
  <c r="G1482" i="95"/>
  <c r="I1425" i="95"/>
  <c r="E1463" i="95"/>
  <c r="D1363" i="95"/>
  <c r="H1450" i="95"/>
  <c r="H1449" i="95"/>
  <c r="H1384" i="95"/>
  <c r="D1364" i="95"/>
  <c r="D1488" i="95"/>
  <c r="I1554" i="95"/>
  <c r="H906" i="95"/>
  <c r="H748" i="95"/>
  <c r="I1573" i="95"/>
  <c r="E1598" i="95"/>
  <c r="J1384" i="95"/>
  <c r="D1541" i="95"/>
  <c r="D1626" i="95"/>
  <c r="I1608" i="95"/>
  <c r="E1583" i="95"/>
  <c r="D1496" i="95"/>
  <c r="D1557" i="95"/>
  <c r="I1458" i="95"/>
  <c r="J1389" i="95"/>
  <c r="G1369" i="95"/>
  <c r="J1387" i="95"/>
  <c r="J1386" i="95"/>
  <c r="J1385" i="95"/>
  <c r="G1365" i="95"/>
  <c r="G1363" i="95"/>
  <c r="I1418" i="95"/>
  <c r="I1417" i="95"/>
  <c r="D1357" i="95"/>
  <c r="E924" i="95"/>
  <c r="J678" i="95"/>
  <c r="I1523" i="95"/>
  <c r="J1529" i="95"/>
  <c r="I1404" i="95"/>
  <c r="G1530" i="95"/>
  <c r="D1568" i="95"/>
  <c r="E1565" i="95"/>
  <c r="D1595" i="95"/>
  <c r="J1432" i="95"/>
  <c r="J1519" i="95"/>
  <c r="J1422" i="95"/>
  <c r="E1379" i="95"/>
  <c r="I1358" i="95"/>
  <c r="E1377" i="95"/>
  <c r="E1376" i="95"/>
  <c r="E1375" i="95"/>
  <c r="I1354" i="95"/>
  <c r="I1352" i="95"/>
  <c r="D1408" i="95"/>
  <c r="D1407" i="95"/>
  <c r="D876" i="95"/>
  <c r="H812" i="95"/>
  <c r="E1517" i="95"/>
  <c r="H1494" i="95"/>
  <c r="G1524" i="95"/>
  <c r="J1473" i="95"/>
  <c r="D1629" i="95"/>
  <c r="I1518" i="95"/>
  <c r="E1553" i="95"/>
  <c r="G1540" i="95"/>
  <c r="H1444" i="95"/>
  <c r="I1467" i="95"/>
  <c r="E1389" i="95"/>
  <c r="J1398" i="95"/>
  <c r="J1397" i="95"/>
  <c r="D1413" i="95"/>
  <c r="E1385" i="95"/>
  <c r="I1430" i="95"/>
  <c r="I1429" i="95"/>
  <c r="G1378" i="95"/>
  <c r="I1360" i="95"/>
  <c r="G900" i="95"/>
  <c r="J742" i="95"/>
  <c r="D1406" i="95"/>
  <c r="E1438" i="95"/>
  <c r="D1570" i="95"/>
  <c r="D1491" i="95"/>
  <c r="D1502" i="95"/>
  <c r="J1380" i="95"/>
  <c r="E1573" i="95"/>
  <c r="H1557" i="95"/>
  <c r="D1459" i="95"/>
  <c r="D1516" i="95"/>
  <c r="H1453" i="95"/>
  <c r="J1377" i="95"/>
  <c r="G1357" i="95"/>
  <c r="I1419" i="95"/>
  <c r="G1501" i="95"/>
  <c r="I1409" i="95"/>
  <c r="D1421" i="95"/>
  <c r="D1449" i="95"/>
  <c r="D1396" i="95"/>
  <c r="I915" i="95"/>
  <c r="E663" i="95"/>
  <c r="J1475" i="95"/>
  <c r="H1540" i="95"/>
  <c r="G1415" i="95"/>
  <c r="J1468" i="95"/>
  <c r="J1491" i="95"/>
  <c r="I1489" i="95"/>
  <c r="H1492" i="95"/>
  <c r="H1594" i="95"/>
  <c r="I1706" i="95"/>
  <c r="G1373" i="95"/>
  <c r="D1415" i="95"/>
  <c r="I1431" i="95"/>
  <c r="I1356" i="95"/>
  <c r="D1412" i="95"/>
  <c r="D1411" i="95"/>
  <c r="E1459" i="95"/>
  <c r="D1359" i="95"/>
  <c r="H1446" i="95"/>
  <c r="H1445" i="95"/>
  <c r="I886" i="95"/>
  <c r="E823" i="95"/>
  <c r="G809" i="95"/>
  <c r="G1375" i="95"/>
  <c r="G1536" i="95"/>
  <c r="H1587" i="95"/>
  <c r="E1458" i="95"/>
  <c r="E1481" i="95"/>
  <c r="D1479" i="95"/>
  <c r="G1575" i="95"/>
  <c r="G1463" i="95"/>
  <c r="G1546" i="95"/>
  <c r="D1448" i="95"/>
  <c r="G1404" i="95"/>
  <c r="G1410" i="95"/>
  <c r="D1346" i="95"/>
  <c r="G1401" i="95"/>
  <c r="G1400" i="95"/>
  <c r="H1448" i="95"/>
  <c r="G1348" i="95"/>
  <c r="J1435" i="95"/>
  <c r="J1434" i="95"/>
  <c r="E885" i="95"/>
  <c r="E727" i="95"/>
  <c r="D1476" i="95"/>
  <c r="D1521" i="95"/>
  <c r="E1552" i="95"/>
  <c r="I1501" i="95"/>
  <c r="I1520" i="95"/>
  <c r="H1391" i="95"/>
  <c r="D1646" i="95"/>
  <c r="E1571" i="95"/>
  <c r="I1469" i="95"/>
  <c r="G1422" i="95"/>
  <c r="D1358" i="95"/>
  <c r="D1424" i="95"/>
  <c r="D1423" i="95"/>
  <c r="D1361" i="95"/>
  <c r="D1354" i="95"/>
  <c r="H1458" i="95"/>
  <c r="H1457" i="95"/>
  <c r="H1456" i="95"/>
  <c r="G1356" i="95"/>
  <c r="J902" i="95"/>
  <c r="D1507" i="95"/>
  <c r="I1524" i="95"/>
  <c r="I1468" i="95"/>
  <c r="H1482" i="95"/>
  <c r="J1518" i="95"/>
  <c r="E1515" i="95"/>
  <c r="G1585" i="95"/>
  <c r="I1483" i="95"/>
  <c r="E1472" i="95"/>
  <c r="I1373" i="95"/>
  <c r="E1443" i="95"/>
  <c r="D1525" i="95"/>
  <c r="J1410" i="95"/>
  <c r="H1420" i="95"/>
  <c r="E1360" i="95"/>
  <c r="J1407" i="95"/>
  <c r="J1406" i="95"/>
  <c r="G1452" i="95"/>
  <c r="E1361" i="95"/>
  <c r="D1461" i="95"/>
  <c r="I1438" i="95"/>
  <c r="I889" i="95"/>
  <c r="E732" i="95"/>
  <c r="J1495" i="95"/>
  <c r="E1473" i="95"/>
  <c r="J1530" i="95"/>
  <c r="D1567" i="95"/>
  <c r="E1566" i="95"/>
  <c r="H1455" i="95"/>
  <c r="J1531" i="95"/>
  <c r="D1519" i="95"/>
  <c r="E1423" i="95"/>
  <c r="J1362" i="95"/>
  <c r="E1453" i="95"/>
  <c r="J1462" i="95"/>
  <c r="J1461" i="95"/>
  <c r="I1361" i="95"/>
  <c r="E1449" i="95"/>
  <c r="E1384" i="95"/>
  <c r="E1383" i="95"/>
  <c r="I1362" i="95"/>
  <c r="G1462" i="95"/>
  <c r="E695" i="95"/>
  <c r="H1474" i="95"/>
  <c r="G1603" i="95"/>
  <c r="G1492" i="95"/>
  <c r="E1527" i="95"/>
  <c r="J1593" i="95"/>
  <c r="J1444" i="95"/>
  <c r="E1521" i="95"/>
  <c r="G1508" i="95"/>
  <c r="H1412" i="95"/>
  <c r="E1352" i="95"/>
  <c r="H1442" i="95"/>
  <c r="E1452" i="95"/>
  <c r="E1451" i="95"/>
  <c r="D1351" i="95"/>
  <c r="H1438" i="95"/>
  <c r="I1616" i="95"/>
  <c r="I918" i="95"/>
  <c r="E905" i="95"/>
  <c r="D791" i="95"/>
  <c r="J767" i="95"/>
  <c r="G940" i="95"/>
  <c r="J782" i="95"/>
  <c r="E913" i="95"/>
  <c r="E755" i="95"/>
  <c r="G741" i="95"/>
  <c r="I920" i="95"/>
  <c r="G712" i="95"/>
  <c r="E921" i="95"/>
  <c r="I817" i="95"/>
  <c r="H794" i="95"/>
  <c r="I837" i="95"/>
  <c r="H814" i="95"/>
  <c r="E904" i="95"/>
  <c r="G875" i="95"/>
  <c r="J844" i="95"/>
  <c r="J611" i="95"/>
  <c r="E822" i="95"/>
  <c r="G841" i="95"/>
  <c r="I909" i="95"/>
  <c r="E752" i="95"/>
  <c r="J903" i="95"/>
  <c r="J745" i="95"/>
  <c r="D732" i="95"/>
  <c r="D922" i="95"/>
  <c r="I713" i="95"/>
  <c r="D1365" i="95"/>
  <c r="J918" i="95"/>
  <c r="H673" i="95"/>
  <c r="D930" i="95"/>
  <c r="I721" i="95"/>
  <c r="H698" i="95"/>
  <c r="I741" i="95"/>
  <c r="H718" i="95"/>
  <c r="E707" i="95"/>
  <c r="G693" i="95"/>
  <c r="E882" i="95"/>
  <c r="E796" i="95"/>
  <c r="D899" i="95"/>
  <c r="H741" i="95"/>
  <c r="E893" i="95"/>
  <c r="E735" i="95"/>
  <c r="G721" i="95"/>
  <c r="G911" i="95"/>
  <c r="D703" i="95"/>
  <c r="J879" i="95"/>
  <c r="J721" i="95"/>
  <c r="D708" i="95"/>
  <c r="I925" i="95"/>
  <c r="E768" i="95"/>
  <c r="J919" i="95"/>
  <c r="G816" i="95"/>
  <c r="E793" i="95"/>
  <c r="D751" i="95"/>
  <c r="J727" i="95"/>
  <c r="G824" i="95"/>
  <c r="D914" i="95"/>
  <c r="I673" i="95"/>
  <c r="H882" i="95"/>
  <c r="H724" i="95"/>
  <c r="I710" i="95"/>
  <c r="D907" i="95"/>
  <c r="H749" i="95"/>
  <c r="I888" i="95"/>
  <c r="G680" i="95"/>
  <c r="E889" i="95"/>
  <c r="E731" i="95"/>
  <c r="G717" i="95"/>
  <c r="I928" i="95"/>
  <c r="G720" i="95"/>
  <c r="E697" i="95"/>
  <c r="G740" i="95"/>
  <c r="D1377" i="95"/>
  <c r="J924" i="95"/>
  <c r="H805" i="95"/>
  <c r="H891" i="95"/>
  <c r="G768" i="95"/>
  <c r="E745" i="95"/>
  <c r="H712" i="95"/>
  <c r="I698" i="95"/>
  <c r="J785" i="95"/>
  <c r="D772" i="95"/>
  <c r="J906" i="95"/>
  <c r="I880" i="95"/>
  <c r="I907" i="95"/>
  <c r="J894" i="95"/>
  <c r="E857" i="95"/>
  <c r="E935" i="95"/>
  <c r="H701" i="95"/>
  <c r="D661" i="95"/>
  <c r="J654" i="95"/>
  <c r="D1414" i="95"/>
  <c r="E937" i="95"/>
  <c r="H893" i="95"/>
  <c r="G937" i="95"/>
  <c r="G672" i="95"/>
  <c r="D936" i="95"/>
  <c r="D671" i="95"/>
  <c r="D924" i="95"/>
  <c r="D659" i="95"/>
  <c r="G887" i="95"/>
  <c r="D679" i="95"/>
  <c r="I878" i="95"/>
  <c r="E815" i="95"/>
  <c r="G801" i="95"/>
  <c r="H927" i="95"/>
  <c r="G804" i="95"/>
  <c r="H1425" i="95"/>
  <c r="H926" i="95"/>
  <c r="G812" i="95"/>
  <c r="E789" i="95"/>
  <c r="D747" i="95"/>
  <c r="J723" i="95"/>
  <c r="I745" i="95"/>
  <c r="H722" i="95"/>
  <c r="H764" i="95"/>
  <c r="I750" i="95"/>
  <c r="D839" i="95"/>
  <c r="J815" i="95"/>
  <c r="J1433" i="95"/>
  <c r="D1436" i="95"/>
  <c r="I1445" i="95"/>
  <c r="H1354" i="95"/>
  <c r="I1407" i="95"/>
  <c r="D1432" i="95"/>
  <c r="G1545" i="95"/>
  <c r="D1548" i="95"/>
  <c r="G1426" i="95"/>
  <c r="H1466" i="95"/>
  <c r="D879" i="95"/>
  <c r="I862" i="95"/>
  <c r="E1450" i="95"/>
  <c r="I1499" i="95"/>
  <c r="E1557" i="95"/>
  <c r="G1480" i="95"/>
  <c r="I1484" i="95"/>
  <c r="E1370" i="95"/>
  <c r="G1558" i="95"/>
  <c r="J1546" i="95"/>
  <c r="G1448" i="95"/>
  <c r="E1357" i="95"/>
  <c r="D1441" i="95"/>
  <c r="H1377" i="95"/>
  <c r="H1376" i="95"/>
  <c r="D1356" i="95"/>
  <c r="D1409" i="95"/>
  <c r="G1409" i="95"/>
  <c r="G1408" i="95"/>
  <c r="I1367" i="95"/>
  <c r="G1438" i="95"/>
  <c r="D835" i="95"/>
  <c r="J1428" i="95"/>
  <c r="D1489" i="95"/>
  <c r="E1520" i="95"/>
  <c r="D1555" i="95"/>
  <c r="G1471" i="95"/>
  <c r="I1506" i="95"/>
  <c r="I1547" i="95"/>
  <c r="E1536" i="95"/>
  <c r="I1437" i="95"/>
  <c r="H1346" i="95"/>
  <c r="G1370" i="95"/>
  <c r="I1522" i="95"/>
  <c r="I1514" i="95"/>
  <c r="G1509" i="95"/>
  <c r="E1366" i="95"/>
  <c r="I1398" i="95"/>
  <c r="E855" i="95"/>
  <c r="G882" i="95"/>
  <c r="I705" i="95"/>
  <c r="H682" i="95"/>
  <c r="J942" i="95"/>
  <c r="H697" i="95"/>
  <c r="G922" i="95"/>
  <c r="J669" i="95"/>
  <c r="J871" i="95"/>
  <c r="J917" i="95"/>
  <c r="J854" i="95"/>
  <c r="G930" i="95"/>
  <c r="G732" i="95"/>
  <c r="E709" i="95"/>
  <c r="G752" i="95"/>
  <c r="E729" i="95"/>
  <c r="E803" i="95"/>
  <c r="G789" i="95"/>
  <c r="H759" i="95"/>
  <c r="I607" i="95"/>
  <c r="J736" i="95"/>
  <c r="D692" i="95"/>
  <c r="E912" i="95"/>
  <c r="J666" i="95"/>
  <c r="D913" i="95"/>
  <c r="H660" i="95"/>
  <c r="H862" i="95"/>
  <c r="E919" i="95"/>
  <c r="E856" i="95"/>
  <c r="G881" i="95"/>
  <c r="J817" i="95"/>
  <c r="D804" i="95"/>
  <c r="E927" i="95"/>
  <c r="E864" i="95"/>
  <c r="G921" i="95"/>
  <c r="G656" i="95"/>
  <c r="G941" i="95"/>
  <c r="D847" i="95"/>
  <c r="J823" i="95"/>
  <c r="I792" i="95"/>
  <c r="I798" i="95"/>
  <c r="H901" i="95"/>
  <c r="D872" i="95"/>
  <c r="G902" i="95"/>
  <c r="E876" i="95"/>
  <c r="J851" i="95"/>
  <c r="H908" i="95"/>
  <c r="H845" i="95"/>
  <c r="D889" i="95"/>
  <c r="I861" i="95"/>
  <c r="G1350" i="95"/>
  <c r="E928" i="95"/>
  <c r="J682" i="95"/>
  <c r="D929" i="95"/>
  <c r="D731" i="95"/>
  <c r="J707" i="95"/>
  <c r="I665" i="95"/>
  <c r="D853" i="95"/>
  <c r="H753" i="95"/>
  <c r="E879" i="95"/>
  <c r="E816" i="95"/>
  <c r="I891" i="95"/>
  <c r="G864" i="95"/>
  <c r="E841" i="95"/>
  <c r="H909" i="95"/>
  <c r="E892" i="95"/>
  <c r="J885" i="95"/>
  <c r="J822" i="95"/>
  <c r="G898" i="95"/>
  <c r="D871" i="95"/>
  <c r="J847" i="95"/>
  <c r="J925" i="95"/>
  <c r="J862" i="95"/>
  <c r="D920" i="95"/>
  <c r="D655" i="95"/>
  <c r="D739" i="95"/>
  <c r="I892" i="95"/>
  <c r="E720" i="95"/>
  <c r="G891" i="95"/>
  <c r="D683" i="95"/>
  <c r="I879" i="95"/>
  <c r="G852" i="95"/>
  <c r="E829" i="95"/>
  <c r="H700" i="95"/>
  <c r="I686" i="95"/>
  <c r="J805" i="95"/>
  <c r="D792" i="95"/>
  <c r="E918" i="95"/>
  <c r="D795" i="95"/>
  <c r="J771" i="95"/>
  <c r="J845" i="95"/>
  <c r="D832" i="95"/>
  <c r="E802" i="95"/>
  <c r="G650" i="95"/>
  <c r="J1369" i="95"/>
  <c r="D925" i="95"/>
  <c r="J794" i="95"/>
  <c r="J877" i="95"/>
  <c r="J814" i="95"/>
  <c r="H876" i="95"/>
  <c r="H813" i="95"/>
  <c r="E933" i="95"/>
  <c r="H801" i="95"/>
  <c r="H884" i="95"/>
  <c r="H821" i="95"/>
  <c r="J887" i="95"/>
  <c r="J729" i="95"/>
  <c r="D716" i="95"/>
  <c r="G927" i="95"/>
  <c r="D719" i="95"/>
  <c r="H1424" i="95"/>
  <c r="G914" i="95"/>
  <c r="D727" i="95"/>
  <c r="J703" i="95"/>
  <c r="I661" i="95"/>
  <c r="G925" i="95"/>
  <c r="H1651" i="95"/>
  <c r="I1426" i="95"/>
  <c r="J1463" i="95"/>
  <c r="D1492" i="95"/>
  <c r="D1484" i="95"/>
  <c r="J1373" i="95"/>
  <c r="J1459" i="95"/>
  <c r="J1394" i="95"/>
  <c r="J1393" i="95"/>
  <c r="D1381" i="95"/>
  <c r="E1381" i="95"/>
  <c r="E791" i="95"/>
  <c r="G777" i="95"/>
  <c r="G1395" i="95"/>
  <c r="H1427" i="95"/>
  <c r="J1471" i="95"/>
  <c r="E1508" i="95"/>
  <c r="H1504" i="95"/>
  <c r="E1605" i="95"/>
  <c r="D1473" i="95"/>
  <c r="D1594" i="95"/>
  <c r="G1513" i="95"/>
  <c r="G1467" i="95"/>
  <c r="D1417" i="95"/>
  <c r="I1402" i="95"/>
  <c r="I1401" i="95"/>
  <c r="G1435" i="95"/>
  <c r="D1385" i="95"/>
  <c r="E1437" i="95"/>
  <c r="E1436" i="95"/>
  <c r="E1435" i="95"/>
  <c r="D1393" i="95"/>
  <c r="I749" i="95"/>
  <c r="D1374" i="95"/>
  <c r="J1416" i="95"/>
  <c r="H1546" i="95"/>
  <c r="H1497" i="95"/>
  <c r="J1493" i="95"/>
  <c r="G1618" i="95"/>
  <c r="D1508" i="95"/>
  <c r="D1563" i="95"/>
  <c r="H1465" i="95"/>
  <c r="D1410" i="95"/>
  <c r="E1367" i="95"/>
  <c r="D1392" i="95"/>
  <c r="D1391" i="95"/>
  <c r="I1400" i="95"/>
  <c r="E1363" i="95"/>
  <c r="H1426" i="95"/>
  <c r="J838" i="95"/>
  <c r="J921" i="95"/>
  <c r="E848" i="95"/>
  <c r="G905" i="95"/>
  <c r="J841" i="95"/>
  <c r="D828" i="95"/>
  <c r="J932" i="95"/>
  <c r="I809" i="95"/>
  <c r="H786" i="95"/>
  <c r="D927" i="95"/>
  <c r="H769" i="95"/>
  <c r="J940" i="95"/>
  <c r="E1466" i="95"/>
  <c r="I1427" i="95"/>
  <c r="H1378" i="95"/>
  <c r="E1388" i="95"/>
  <c r="E1387" i="95"/>
  <c r="I1366" i="95"/>
  <c r="H1374" i="95"/>
  <c r="D1420" i="95"/>
  <c r="D1419" i="95"/>
  <c r="H1370" i="95"/>
  <c r="D1350" i="95"/>
  <c r="J705" i="95"/>
  <c r="J1534" i="95"/>
  <c r="D1510" i="95"/>
  <c r="D1458" i="95"/>
  <c r="G1498" i="95"/>
  <c r="H1534" i="95"/>
  <c r="G1532" i="95"/>
  <c r="G1535" i="95"/>
  <c r="J1400" i="95"/>
  <c r="J1487" i="95"/>
  <c r="J1390" i="95"/>
  <c r="H1432" i="95"/>
  <c r="H1373" i="95"/>
  <c r="H1430" i="95"/>
  <c r="H1429" i="95"/>
  <c r="H1428" i="95"/>
  <c r="E1368" i="95"/>
  <c r="J1364" i="95"/>
  <c r="G1461" i="95"/>
  <c r="G1460" i="95"/>
  <c r="E1369" i="95"/>
  <c r="D1696" i="95"/>
  <c r="G1491" i="95"/>
  <c r="G1447" i="95"/>
  <c r="I1592" i="95"/>
  <c r="J1523" i="95"/>
  <c r="I1521" i="95"/>
  <c r="G1515" i="95"/>
  <c r="E1390" i="95"/>
  <c r="E1477" i="95"/>
  <c r="E1380" i="95"/>
  <c r="J1421" i="95"/>
  <c r="H1361" i="95"/>
  <c r="J1419" i="95"/>
  <c r="J1418" i="95"/>
  <c r="J1417" i="95"/>
  <c r="H1357" i="95"/>
  <c r="E1354" i="95"/>
  <c r="D852" i="95"/>
  <c r="G920" i="95"/>
  <c r="J762" i="95"/>
  <c r="H914" i="95"/>
  <c r="H756" i="95"/>
  <c r="I742" i="95"/>
  <c r="I932" i="95"/>
  <c r="G724" i="95"/>
  <c r="G1362" i="95"/>
  <c r="H929" i="95"/>
  <c r="E684" i="95"/>
  <c r="I940" i="95"/>
  <c r="H789" i="95"/>
  <c r="E941" i="95"/>
  <c r="H809" i="95"/>
  <c r="D885" i="95"/>
  <c r="I857" i="95"/>
  <c r="H834" i="95"/>
  <c r="G803" i="95"/>
  <c r="D598" i="95"/>
  <c r="E1393" i="95"/>
  <c r="E673" i="95"/>
  <c r="J725" i="95"/>
  <c r="D712" i="95"/>
  <c r="G923" i="95"/>
  <c r="D715" i="95"/>
  <c r="D1353" i="95"/>
  <c r="J930" i="95"/>
  <c r="H685" i="95"/>
  <c r="I899" i="95"/>
  <c r="G872" i="95"/>
  <c r="E849" i="95"/>
  <c r="J938" i="95"/>
  <c r="H693" i="95"/>
  <c r="I939" i="95"/>
  <c r="H713" i="95"/>
  <c r="J884" i="95"/>
  <c r="G676" i="95"/>
  <c r="I863" i="95"/>
  <c r="I1463" i="95"/>
  <c r="J779" i="95"/>
  <c r="E715" i="95"/>
  <c r="G701" i="95"/>
  <c r="I912" i="95"/>
  <c r="G704" i="95"/>
  <c r="I1399" i="95"/>
  <c r="E920" i="95"/>
  <c r="J674" i="95"/>
  <c r="G899" i="95"/>
  <c r="D691" i="95"/>
  <c r="J899" i="95"/>
  <c r="J741" i="95"/>
  <c r="D728" i="95"/>
  <c r="G939" i="95"/>
  <c r="E788" i="95"/>
  <c r="J939" i="95"/>
  <c r="J722" i="95"/>
  <c r="G682" i="95"/>
  <c r="I670" i="95"/>
  <c r="G876" i="95"/>
  <c r="G861" i="95"/>
  <c r="D902" i="95"/>
  <c r="I693" i="95"/>
  <c r="E881" i="95"/>
  <c r="E723" i="95"/>
  <c r="G709" i="95"/>
  <c r="H897" i="95"/>
  <c r="D868" i="95"/>
  <c r="I908" i="95"/>
  <c r="G700" i="95"/>
  <c r="E677" i="95"/>
  <c r="H937" i="95"/>
  <c r="E692" i="95"/>
  <c r="G938" i="95"/>
  <c r="E712" i="95"/>
  <c r="I766" i="95"/>
  <c r="E779" i="95"/>
  <c r="G765" i="95"/>
  <c r="I897" i="95"/>
  <c r="E740" i="95"/>
  <c r="D890" i="95"/>
  <c r="I681" i="95"/>
  <c r="I934" i="95"/>
  <c r="D755" i="95"/>
  <c r="I887" i="95"/>
  <c r="G860" i="95"/>
  <c r="E837" i="95"/>
  <c r="E915" i="95"/>
  <c r="E852" i="95"/>
  <c r="G909" i="95"/>
  <c r="E675" i="95"/>
  <c r="G880" i="95"/>
  <c r="D846" i="95"/>
  <c r="I640" i="95"/>
  <c r="J710" i="95"/>
  <c r="J853" i="95"/>
  <c r="D840" i="95"/>
  <c r="J873" i="95"/>
  <c r="D860" i="95"/>
  <c r="H872" i="95"/>
  <c r="I858" i="95"/>
  <c r="H860" i="95"/>
  <c r="I846" i="95"/>
  <c r="E896" i="95"/>
  <c r="I866" i="95"/>
  <c r="H907" i="95"/>
  <c r="G784" i="95"/>
  <c r="E761" i="95"/>
  <c r="I933" i="95"/>
  <c r="E776" i="95"/>
  <c r="G664" i="95"/>
  <c r="E943" i="95"/>
  <c r="E784" i="95"/>
  <c r="J935" i="95"/>
  <c r="J718" i="95"/>
  <c r="I943" i="95"/>
  <c r="H717" i="95"/>
  <c r="I931" i="95"/>
  <c r="I733" i="95"/>
  <c r="J1545" i="95"/>
  <c r="G1382" i="95"/>
  <c r="G1347" i="95"/>
  <c r="G1413" i="95"/>
  <c r="G1412" i="95"/>
  <c r="G1358" i="95"/>
  <c r="H1470" i="95"/>
  <c r="J1447" i="95"/>
  <c r="J1446" i="95"/>
  <c r="J1445" i="95"/>
  <c r="I1530" i="95"/>
  <c r="I845" i="95"/>
  <c r="E1430" i="95"/>
  <c r="E1487" i="95"/>
  <c r="H1555" i="95"/>
  <c r="E1426" i="95"/>
  <c r="E1561" i="95"/>
  <c r="G1560" i="95"/>
  <c r="E1535" i="95"/>
  <c r="G1431" i="95"/>
  <c r="G1514" i="95"/>
  <c r="D1416" i="95"/>
  <c r="I1457" i="95"/>
  <c r="H1366" i="95"/>
  <c r="E1358" i="95"/>
  <c r="I1454" i="95"/>
  <c r="I1453" i="95"/>
  <c r="G1399" i="95"/>
  <c r="J1361" i="95"/>
  <c r="D1376" i="95"/>
  <c r="D1375" i="95"/>
  <c r="G929" i="95"/>
  <c r="D1560" i="95"/>
  <c r="I1640" i="95"/>
  <c r="I1630" i="95"/>
  <c r="I1487" i="95"/>
  <c r="G1550" i="95"/>
  <c r="H1549" i="95"/>
  <c r="H1524" i="95"/>
  <c r="I1420" i="95"/>
  <c r="I1503" i="95"/>
  <c r="G1405" i="95"/>
  <c r="D1447" i="95"/>
  <c r="J1355" i="95"/>
  <c r="H1347" i="95"/>
  <c r="D1444" i="95"/>
  <c r="D1443" i="95"/>
  <c r="I1380" i="95"/>
  <c r="E1351" i="95"/>
  <c r="I702" i="95"/>
  <c r="J922" i="95"/>
  <c r="H677" i="95"/>
  <c r="I923" i="95"/>
  <c r="E671" i="95"/>
  <c r="E873" i="95"/>
  <c r="J929" i="95"/>
  <c r="J866" i="95"/>
  <c r="D892" i="95"/>
  <c r="H828" i="95"/>
  <c r="I814" i="95"/>
  <c r="J937" i="95"/>
  <c r="E704" i="95"/>
  <c r="I881" i="95"/>
  <c r="E724" i="95"/>
  <c r="H895" i="95"/>
  <c r="G772" i="95"/>
  <c r="E749" i="95"/>
  <c r="D718" i="95"/>
  <c r="H592" i="95"/>
  <c r="E1392" i="95"/>
  <c r="I906" i="95"/>
  <c r="I865" i="95"/>
  <c r="H842" i="95"/>
  <c r="H920" i="95"/>
  <c r="H857" i="95"/>
  <c r="G893" i="95"/>
  <c r="J829" i="95"/>
  <c r="D816" i="95"/>
  <c r="E910" i="95"/>
  <c r="D787" i="95"/>
  <c r="G901" i="95"/>
  <c r="J837" i="95"/>
  <c r="D824" i="95"/>
  <c r="J857" i="95"/>
  <c r="D844" i="95"/>
  <c r="J881" i="95"/>
  <c r="J818" i="95"/>
  <c r="G778" i="95"/>
  <c r="D1362" i="95"/>
  <c r="E880" i="95"/>
  <c r="D855" i="95"/>
  <c r="J831" i="95"/>
  <c r="J909" i="95"/>
  <c r="J846" i="95"/>
  <c r="I882" i="95"/>
  <c r="E819" i="95"/>
  <c r="G805" i="95"/>
  <c r="H896" i="95"/>
  <c r="H833" i="95"/>
  <c r="D909" i="95"/>
  <c r="H656" i="95"/>
  <c r="H858" i="95"/>
  <c r="H936" i="95"/>
  <c r="J702" i="95"/>
  <c r="E867" i="95"/>
  <c r="G853" i="95"/>
  <c r="H823" i="95"/>
  <c r="H758" i="95"/>
  <c r="J789" i="95"/>
  <c r="D776" i="95"/>
  <c r="E899" i="95"/>
  <c r="E836" i="95"/>
  <c r="G890" i="95"/>
  <c r="D863" i="95"/>
  <c r="J839" i="95"/>
  <c r="H796" i="95"/>
  <c r="I782" i="95"/>
  <c r="J905" i="95"/>
  <c r="J842" i="95"/>
  <c r="D900" i="95"/>
  <c r="H836" i="95"/>
  <c r="I822" i="95"/>
  <c r="H856" i="95"/>
  <c r="I842" i="95"/>
  <c r="E865" i="95"/>
  <c r="J693" i="95"/>
  <c r="D680" i="95"/>
  <c r="E900" i="95"/>
  <c r="I870" i="95"/>
  <c r="E887" i="95"/>
  <c r="E824" i="95"/>
  <c r="J943" i="95"/>
  <c r="I669" i="95"/>
  <c r="E898" i="95"/>
  <c r="D775" i="95"/>
  <c r="J751" i="95"/>
  <c r="G924" i="95"/>
  <c r="J766" i="95"/>
  <c r="H918" i="95"/>
  <c r="D815" i="95"/>
  <c r="J791" i="95"/>
  <c r="I760" i="95"/>
  <c r="E635" i="95"/>
  <c r="D756" i="95"/>
  <c r="H768" i="95"/>
  <c r="I754" i="95"/>
  <c r="H788" i="95"/>
  <c r="I774" i="95"/>
  <c r="E787" i="95"/>
  <c r="G773" i="95"/>
  <c r="E775" i="95"/>
  <c r="G761" i="95"/>
  <c r="E795" i="95"/>
  <c r="G781" i="95"/>
  <c r="G907" i="95"/>
  <c r="D699" i="95"/>
  <c r="J675" i="95"/>
  <c r="E936" i="95"/>
  <c r="J690" i="95"/>
  <c r="E668" i="95"/>
  <c r="I941" i="95"/>
  <c r="J698" i="95"/>
  <c r="E863" i="95"/>
  <c r="G849" i="95"/>
  <c r="J861" i="95"/>
  <c r="D848" i="95"/>
  <c r="E942" i="95"/>
  <c r="E878" i="95"/>
  <c r="D883" i="95"/>
  <c r="H725" i="95"/>
  <c r="H1542" i="95"/>
  <c r="J1367" i="95"/>
  <c r="D1457" i="95"/>
  <c r="E1441" i="95"/>
  <c r="E1440" i="95"/>
  <c r="E1439" i="95"/>
  <c r="D1425" i="95"/>
  <c r="G1398" i="95"/>
  <c r="D1480" i="95"/>
  <c r="D1472" i="95"/>
  <c r="D1433" i="95"/>
  <c r="G760" i="95"/>
  <c r="H1636" i="95"/>
  <c r="G1504" i="95"/>
  <c r="I1560" i="95"/>
  <c r="H1626" i="95"/>
  <c r="I1475" i="95"/>
  <c r="J1474" i="95"/>
  <c r="H1563" i="95"/>
  <c r="D1704" i="95"/>
  <c r="E1442" i="95"/>
  <c r="J1443" i="95"/>
  <c r="G1372" i="95"/>
  <c r="I1388" i="95"/>
  <c r="E1355" i="95"/>
  <c r="I1564" i="95"/>
  <c r="D1556" i="95"/>
  <c r="H1416" i="95"/>
  <c r="E1356" i="95"/>
  <c r="J1403" i="95"/>
  <c r="J1402" i="95"/>
  <c r="H938" i="95"/>
  <c r="G1623" i="95"/>
  <c r="I1493" i="95"/>
  <c r="E1470" i="95"/>
  <c r="H1415" i="95"/>
  <c r="G1529" i="95"/>
  <c r="G1615" i="95"/>
  <c r="G1552" i="95"/>
  <c r="G1584" i="95"/>
  <c r="H1431" i="95"/>
  <c r="E1433" i="95"/>
  <c r="I1502" i="95"/>
  <c r="G1371" i="95"/>
  <c r="D1469" i="95"/>
  <c r="I1478" i="95"/>
  <c r="I1471" i="95"/>
  <c r="J1405" i="95"/>
  <c r="D1520" i="95"/>
  <c r="J811" i="95"/>
  <c r="J821" i="95"/>
  <c r="D808" i="95"/>
  <c r="E934" i="95"/>
  <c r="D811" i="95"/>
  <c r="J787" i="95"/>
  <c r="D939" i="95"/>
  <c r="H781" i="95"/>
  <c r="E901" i="95"/>
  <c r="E743" i="95"/>
  <c r="G729" i="95"/>
  <c r="H848" i="95"/>
  <c r="I834" i="95"/>
  <c r="H868" i="95"/>
  <c r="I854" i="95"/>
  <c r="G895" i="95"/>
  <c r="D687" i="95"/>
  <c r="H877" i="95"/>
  <c r="G624" i="95"/>
  <c r="I851" i="95"/>
  <c r="J927" i="95"/>
  <c r="H894" i="95"/>
  <c r="G780" i="95"/>
  <c r="E757" i="95"/>
  <c r="I929" i="95"/>
  <c r="E772" i="95"/>
  <c r="H902" i="95"/>
  <c r="H744" i="95"/>
  <c r="I730" i="95"/>
  <c r="D910" i="95"/>
  <c r="I701" i="95"/>
  <c r="H910" i="95"/>
  <c r="H752" i="95"/>
  <c r="I738" i="95"/>
  <c r="H772" i="95"/>
  <c r="I758" i="95"/>
  <c r="D891" i="95"/>
  <c r="H733" i="95"/>
  <c r="D693" i="95"/>
  <c r="G1417" i="95"/>
  <c r="D896" i="95"/>
  <c r="I769" i="95"/>
  <c r="H746" i="95"/>
  <c r="D919" i="95"/>
  <c r="H761" i="95"/>
  <c r="J891" i="95"/>
  <c r="J733" i="95"/>
  <c r="D720" i="95"/>
  <c r="I905" i="95"/>
  <c r="E748" i="95"/>
  <c r="H919" i="95"/>
  <c r="G796" i="95"/>
  <c r="E773" i="95"/>
  <c r="E847" i="95"/>
  <c r="G833" i="95"/>
  <c r="J781" i="95"/>
  <c r="D768" i="95"/>
  <c r="J1457" i="95"/>
  <c r="G866" i="95"/>
  <c r="H704" i="95"/>
  <c r="I690" i="95"/>
  <c r="G908" i="95"/>
  <c r="J750" i="95"/>
  <c r="J900" i="95"/>
  <c r="I777" i="95"/>
  <c r="H754" i="95"/>
  <c r="E711" i="95"/>
  <c r="G697" i="95"/>
  <c r="D915" i="95"/>
  <c r="H757" i="95"/>
  <c r="E909" i="95"/>
  <c r="E751" i="95"/>
  <c r="G737" i="95"/>
  <c r="E771" i="95"/>
  <c r="G757" i="95"/>
  <c r="J747" i="95"/>
  <c r="I833" i="95"/>
  <c r="H810" i="95"/>
  <c r="E799" i="95"/>
  <c r="G785" i="95"/>
  <c r="G896" i="95"/>
  <c r="J738" i="95"/>
  <c r="E875" i="95"/>
  <c r="E812" i="95"/>
  <c r="D898" i="95"/>
  <c r="I689" i="95"/>
  <c r="I1359" i="95"/>
  <c r="J926" i="95"/>
  <c r="H681" i="95"/>
  <c r="I927" i="95"/>
  <c r="I729" i="95"/>
  <c r="H838" i="95"/>
  <c r="G675" i="95"/>
  <c r="J691" i="95"/>
  <c r="J843" i="95"/>
  <c r="E683" i="95"/>
  <c r="G669" i="95"/>
  <c r="E703" i="95"/>
  <c r="G689" i="95"/>
  <c r="J701" i="95"/>
  <c r="D688" i="95"/>
  <c r="J689" i="95"/>
  <c r="D676" i="95"/>
  <c r="J709" i="95"/>
  <c r="D696" i="95"/>
  <c r="H904" i="95"/>
  <c r="H841" i="95"/>
  <c r="I898" i="95"/>
  <c r="E835" i="95"/>
  <c r="G821" i="95"/>
  <c r="I734" i="95"/>
  <c r="E843" i="95"/>
  <c r="G829" i="95"/>
  <c r="J777" i="95"/>
  <c r="D764" i="95"/>
  <c r="H776" i="95"/>
  <c r="D1442" i="95"/>
  <c r="G1468" i="95"/>
  <c r="I1411" i="95"/>
  <c r="J1368" i="95"/>
  <c r="G1465" i="95"/>
  <c r="G1464" i="95"/>
  <c r="I1424" i="95"/>
  <c r="G1374" i="95"/>
  <c r="I1386" i="95"/>
  <c r="I1385" i="95"/>
  <c r="D940" i="95"/>
  <c r="D675" i="95"/>
  <c r="E1499" i="95"/>
  <c r="E1532" i="95"/>
  <c r="E1475" i="95"/>
  <c r="I1544" i="95"/>
  <c r="H1403" i="95"/>
  <c r="E1501" i="95"/>
  <c r="I1477" i="95"/>
  <c r="H1671" i="95"/>
  <c r="G1485" i="95"/>
  <c r="E1372" i="95"/>
  <c r="E1400" i="95"/>
  <c r="J1409" i="95"/>
  <c r="H1349" i="95"/>
  <c r="E1397" i="95"/>
  <c r="E1396" i="95"/>
  <c r="I1441" i="95"/>
  <c r="H1350" i="95"/>
  <c r="I1375" i="95"/>
  <c r="D1428" i="95"/>
  <c r="J865" i="95"/>
  <c r="J1477" i="95"/>
  <c r="H1521" i="95"/>
  <c r="J1549" i="95"/>
  <c r="I1639" i="95"/>
  <c r="J1392" i="95"/>
  <c r="H1490" i="95"/>
  <c r="D1650" i="95"/>
  <c r="E1567" i="95"/>
  <c r="D1462" i="95"/>
  <c r="J1360" i="95"/>
  <c r="H1389" i="95"/>
  <c r="E1399" i="95"/>
  <c r="I1423" i="95"/>
  <c r="H1386" i="95"/>
  <c r="H1385" i="95"/>
  <c r="D1431" i="95"/>
  <c r="D1532" i="95"/>
  <c r="H694" i="95"/>
  <c r="H736" i="95"/>
  <c r="I722" i="95"/>
  <c r="D934" i="95"/>
  <c r="I725" i="95"/>
  <c r="H702" i="95"/>
  <c r="H941" i="95"/>
  <c r="E696" i="95"/>
  <c r="G910" i="95"/>
  <c r="J657" i="95"/>
  <c r="J859" i="95"/>
  <c r="E763" i="95"/>
  <c r="G749" i="95"/>
  <c r="E783" i="95"/>
  <c r="G769" i="95"/>
  <c r="H892" i="95"/>
  <c r="H829" i="95"/>
  <c r="D789" i="95"/>
  <c r="E620" i="95"/>
  <c r="G766" i="95"/>
  <c r="J769" i="95"/>
  <c r="G935" i="95"/>
  <c r="D695" i="95"/>
  <c r="J1351" i="95"/>
  <c r="E932" i="95"/>
  <c r="J686" i="95"/>
  <c r="I911" i="95"/>
  <c r="E659" i="95"/>
  <c r="E861" i="95"/>
  <c r="E907" i="95"/>
  <c r="E844" i="95"/>
  <c r="I919" i="95"/>
  <c r="E667" i="95"/>
  <c r="E869" i="95"/>
  <c r="E687" i="95"/>
  <c r="G673" i="95"/>
  <c r="D882" i="95"/>
  <c r="D864" i="95"/>
  <c r="E834" i="95"/>
  <c r="D937" i="95"/>
  <c r="I924" i="95"/>
  <c r="G684" i="95"/>
  <c r="I1355" i="95"/>
  <c r="H921" i="95"/>
  <c r="E676" i="95"/>
  <c r="D901" i="95"/>
  <c r="I873" i="95"/>
  <c r="H850" i="95"/>
  <c r="E908" i="95"/>
  <c r="E884" i="95"/>
  <c r="G919" i="95"/>
  <c r="D711" i="95"/>
  <c r="J687" i="95"/>
  <c r="J761" i="95"/>
  <c r="D748" i="95"/>
  <c r="H696" i="95"/>
  <c r="I682" i="95"/>
  <c r="I1357" i="95"/>
  <c r="G885" i="95"/>
  <c r="G844" i="95"/>
  <c r="E821" i="95"/>
  <c r="J910" i="95"/>
  <c r="H665" i="95"/>
  <c r="I900" i="95"/>
  <c r="G692" i="95"/>
  <c r="G878" i="95"/>
  <c r="D851" i="95"/>
  <c r="G1354" i="95"/>
  <c r="H917" i="95"/>
  <c r="E672" i="95"/>
  <c r="G918" i="95"/>
  <c r="J665" i="95"/>
  <c r="J867" i="95"/>
  <c r="J685" i="95"/>
  <c r="H1570" i="95"/>
  <c r="H1362" i="95"/>
  <c r="G748" i="95"/>
  <c r="E725" i="95"/>
  <c r="J713" i="95"/>
  <c r="D700" i="95"/>
  <c r="J898" i="95"/>
  <c r="G869" i="95"/>
  <c r="G884" i="95"/>
  <c r="J726" i="95"/>
  <c r="E895" i="95"/>
  <c r="E832" i="95"/>
  <c r="G889" i="95"/>
  <c r="J825" i="95"/>
  <c r="D812" i="95"/>
  <c r="E938" i="95"/>
  <c r="E872" i="95"/>
  <c r="I831" i="95"/>
  <c r="I581" i="95"/>
  <c r="D809" i="95"/>
  <c r="E737" i="95"/>
  <c r="D823" i="95"/>
  <c r="J799" i="95"/>
  <c r="D843" i="95"/>
  <c r="J819" i="95"/>
  <c r="I841" i="95"/>
  <c r="H818" i="95"/>
  <c r="I829" i="95"/>
  <c r="D877" i="95"/>
  <c r="I849" i="95"/>
  <c r="H826" i="95"/>
  <c r="I913" i="95"/>
  <c r="E756" i="95"/>
  <c r="J907" i="95"/>
  <c r="J749" i="95"/>
  <c r="D736" i="95"/>
  <c r="E833" i="95"/>
  <c r="J757" i="95"/>
  <c r="D744" i="95"/>
  <c r="H692" i="95"/>
  <c r="I678" i="95"/>
  <c r="I1529" i="95"/>
  <c r="D1383" i="95"/>
  <c r="G1403" i="95"/>
  <c r="J1365" i="95"/>
  <c r="D1380" i="95"/>
  <c r="D1379" i="95"/>
  <c r="E1427" i="95"/>
  <c r="J1366" i="95"/>
  <c r="H1414" i="95"/>
  <c r="H1413" i="95"/>
  <c r="H880" i="95"/>
  <c r="H817" i="95"/>
  <c r="J1554" i="95"/>
  <c r="H1558" i="95"/>
  <c r="D1503" i="95"/>
  <c r="J1537" i="95"/>
  <c r="D1434" i="95"/>
  <c r="I1527" i="95"/>
  <c r="H1505" i="95"/>
  <c r="E1491" i="95"/>
  <c r="G1411" i="95"/>
  <c r="H1368" i="95"/>
  <c r="G1425" i="95"/>
  <c r="D1435" i="95"/>
  <c r="D1389" i="95"/>
  <c r="D1366" i="95"/>
  <c r="G1421" i="95"/>
  <c r="H1469" i="95"/>
  <c r="H1468" i="95"/>
  <c r="G1368" i="95"/>
  <c r="J1455" i="95"/>
  <c r="H780" i="95"/>
  <c r="H1533" i="95"/>
  <c r="J1547" i="95"/>
  <c r="D1630" i="95"/>
  <c r="D1522" i="95"/>
  <c r="G1423" i="95"/>
  <c r="D1517" i="95"/>
  <c r="J1494" i="95"/>
  <c r="H1480" i="95"/>
  <c r="G1391" i="95"/>
  <c r="J1357" i="95"/>
  <c r="I1414" i="95"/>
  <c r="G1424" i="95"/>
  <c r="H1372" i="95"/>
  <c r="G1355" i="95"/>
  <c r="I1410" i="95"/>
  <c r="J1458" i="95"/>
  <c r="D1524" i="95"/>
  <c r="G917" i="95"/>
  <c r="J878" i="95"/>
  <c r="E853" i="95"/>
  <c r="E931" i="95"/>
  <c r="E868" i="95"/>
  <c r="D904" i="95"/>
  <c r="H840" i="95"/>
  <c r="I826" i="95"/>
  <c r="J920" i="95"/>
  <c r="I797" i="95"/>
  <c r="D912" i="95"/>
  <c r="J677" i="95"/>
  <c r="J890" i="95"/>
  <c r="J697" i="95"/>
  <c r="D684" i="95"/>
  <c r="I901" i="95"/>
  <c r="E744" i="95"/>
  <c r="I703" i="95"/>
  <c r="D616" i="95"/>
  <c r="D681" i="95"/>
  <c r="J806" i="95"/>
  <c r="E911" i="95"/>
  <c r="H837" i="95"/>
  <c r="I894" i="95"/>
  <c r="E831" i="95"/>
  <c r="G817" i="95"/>
  <c r="E922" i="95"/>
  <c r="D799" i="95"/>
  <c r="J775" i="95"/>
  <c r="G916" i="95"/>
  <c r="J758" i="95"/>
  <c r="E930" i="95"/>
  <c r="D807" i="95"/>
  <c r="J783" i="95"/>
  <c r="D827" i="95"/>
  <c r="J803" i="95"/>
  <c r="H792" i="95"/>
  <c r="I778" i="95"/>
  <c r="J748" i="95"/>
  <c r="H684" i="95"/>
  <c r="J889" i="95"/>
  <c r="J826" i="95"/>
  <c r="D884" i="95"/>
  <c r="H820" i="95"/>
  <c r="I806" i="95"/>
  <c r="H911" i="95"/>
  <c r="G788" i="95"/>
  <c r="E765" i="95"/>
  <c r="E807" i="95"/>
  <c r="G793" i="95"/>
  <c r="H916" i="95"/>
  <c r="H853" i="95"/>
  <c r="I910" i="95"/>
  <c r="H676" i="95"/>
  <c r="H883" i="95"/>
  <c r="G836" i="95"/>
  <c r="E813" i="95"/>
  <c r="E1445" i="95"/>
  <c r="H935" i="95"/>
  <c r="D759" i="95"/>
  <c r="J735" i="95"/>
  <c r="J809" i="95"/>
  <c r="D796" i="95"/>
  <c r="J897" i="95"/>
  <c r="J834" i="95"/>
  <c r="J888" i="95"/>
  <c r="I765" i="95"/>
  <c r="D880" i="95"/>
  <c r="H816" i="95"/>
  <c r="I802" i="95"/>
  <c r="J928" i="95"/>
  <c r="I805" i="95"/>
  <c r="H782" i="95"/>
  <c r="I825" i="95"/>
  <c r="D1352" i="95"/>
  <c r="I935" i="95"/>
  <c r="D663" i="95"/>
  <c r="D881" i="95"/>
  <c r="I853" i="95"/>
  <c r="H830" i="95"/>
  <c r="J797" i="95"/>
  <c r="D784" i="95"/>
  <c r="E871" i="95"/>
  <c r="G857" i="95"/>
  <c r="G904" i="95"/>
  <c r="J746" i="95"/>
  <c r="H898" i="95"/>
  <c r="H740" i="95"/>
  <c r="I726" i="95"/>
  <c r="D938" i="95"/>
  <c r="J786" i="95"/>
  <c r="G746" i="95"/>
  <c r="G661" i="95"/>
  <c r="I1397" i="95"/>
  <c r="G1366" i="95"/>
  <c r="I737" i="95"/>
  <c r="H714" i="95"/>
  <c r="I757" i="95"/>
  <c r="H734" i="95"/>
  <c r="G756" i="95"/>
  <c r="E733" i="95"/>
  <c r="G744" i="95"/>
  <c r="H887" i="95"/>
  <c r="G764" i="95"/>
  <c r="E741" i="95"/>
  <c r="E916" i="95"/>
  <c r="J670" i="95"/>
  <c r="D917" i="95"/>
  <c r="H664" i="95"/>
  <c r="H866" i="95"/>
  <c r="H726" i="95"/>
  <c r="H672" i="95"/>
  <c r="D875" i="95"/>
  <c r="G832" i="95"/>
  <c r="E809" i="95"/>
  <c r="D831" i="95"/>
  <c r="J807" i="95"/>
  <c r="J849" i="95"/>
  <c r="D836" i="95"/>
  <c r="E699" i="95"/>
  <c r="G685" i="95"/>
  <c r="E674" i="95"/>
  <c r="E777" i="95"/>
  <c r="H930" i="95"/>
  <c r="I786" i="95"/>
  <c r="I890" i="95"/>
  <c r="D788" i="95"/>
  <c r="D895" i="95"/>
  <c r="H797" i="95"/>
  <c r="J743" i="95"/>
  <c r="H760" i="95"/>
  <c r="H729" i="95"/>
  <c r="I869" i="95"/>
  <c r="E804" i="95"/>
  <c r="H922" i="95"/>
  <c r="G933" i="95"/>
  <c r="I770" i="95"/>
  <c r="H905" i="95"/>
  <c r="D878" i="95"/>
  <c r="G906" i="95"/>
  <c r="H885" i="95"/>
  <c r="J855" i="95"/>
  <c r="I1450" i="95"/>
  <c r="D928" i="95"/>
  <c r="J661" i="95"/>
  <c r="J863" i="95"/>
  <c r="E767" i="95"/>
  <c r="G753" i="95"/>
  <c r="G943" i="95"/>
  <c r="E792" i="95"/>
  <c r="J911" i="95"/>
  <c r="J753" i="95"/>
  <c r="D740" i="95"/>
  <c r="G828" i="95"/>
  <c r="E805" i="95"/>
  <c r="J793" i="95"/>
  <c r="D780" i="95"/>
  <c r="D906" i="95"/>
  <c r="I697" i="95"/>
  <c r="H674" i="95"/>
  <c r="D635" i="95"/>
  <c r="G862" i="95"/>
  <c r="I676" i="95"/>
  <c r="H584" i="95"/>
  <c r="D710" i="95"/>
  <c r="J617" i="95"/>
  <c r="G743" i="95"/>
  <c r="E651" i="95"/>
  <c r="I776" i="95"/>
  <c r="I604" i="95"/>
  <c r="D810" i="95"/>
  <c r="D638" i="95"/>
  <c r="G843" i="95"/>
  <c r="H591" i="95"/>
  <c r="J672" i="95"/>
  <c r="D648" i="95"/>
  <c r="E581" i="95"/>
  <c r="E814" i="95"/>
  <c r="H614" i="95"/>
  <c r="H847" i="95"/>
  <c r="J647" i="95"/>
  <c r="G654" i="95"/>
  <c r="D600" i="95"/>
  <c r="I687" i="95"/>
  <c r="G633" i="95"/>
  <c r="D721" i="95"/>
  <c r="H585" i="95"/>
  <c r="G754" i="95"/>
  <c r="J618" i="95"/>
  <c r="J874" i="95"/>
  <c r="E717" i="95"/>
  <c r="D698" i="95"/>
  <c r="J605" i="95"/>
  <c r="G731" i="95"/>
  <c r="E639" i="95"/>
  <c r="I764" i="95"/>
  <c r="I592" i="95"/>
  <c r="D798" i="95"/>
  <c r="D626" i="95"/>
  <c r="G831" i="95"/>
  <c r="H662" i="95"/>
  <c r="I864" i="95"/>
  <c r="J612" i="95"/>
  <c r="E694" i="95"/>
  <c r="J598" i="95"/>
  <c r="G598" i="95"/>
  <c r="E750" i="95"/>
  <c r="I631" i="95"/>
  <c r="H783" i="95"/>
  <c r="J583" i="95"/>
  <c r="J816" i="95"/>
  <c r="E617" i="95"/>
  <c r="E850" i="95"/>
  <c r="H650" i="95"/>
  <c r="D657" i="95"/>
  <c r="I602" i="95"/>
  <c r="G690" i="95"/>
  <c r="D636" i="95"/>
  <c r="D777" i="95"/>
  <c r="I671" i="95"/>
  <c r="H621" i="95"/>
  <c r="G790" i="95"/>
  <c r="G655" i="95"/>
  <c r="I823" i="95"/>
  <c r="D607" i="95"/>
  <c r="D857" i="95"/>
  <c r="G640" i="95"/>
  <c r="E685" i="95"/>
  <c r="D682" i="95"/>
  <c r="J589" i="95"/>
  <c r="G715" i="95"/>
  <c r="E623" i="95"/>
  <c r="I748" i="95"/>
  <c r="D597" i="95"/>
  <c r="D610" i="95"/>
  <c r="G815" i="95"/>
  <c r="G643" i="95"/>
  <c r="I848" i="95"/>
  <c r="J596" i="95"/>
  <c r="H667" i="95"/>
  <c r="E630" i="95"/>
  <c r="J700" i="95"/>
  <c r="G582" i="95"/>
  <c r="E734" i="95"/>
  <c r="I615" i="95"/>
  <c r="H767" i="95"/>
  <c r="D649" i="95"/>
  <c r="J832" i="95"/>
  <c r="G739" i="95"/>
  <c r="I638" i="95"/>
  <c r="G726" i="95"/>
  <c r="J590" i="95"/>
  <c r="I759" i="95"/>
  <c r="E624" i="95"/>
  <c r="D793" i="95"/>
  <c r="H659" i="95"/>
  <c r="G826" i="95"/>
  <c r="I609" i="95"/>
  <c r="I859" i="95"/>
  <c r="D643" i="95"/>
  <c r="H690" i="95"/>
  <c r="I684" i="95"/>
  <c r="E582" i="95"/>
  <c r="I639" i="95"/>
  <c r="H603" i="95"/>
  <c r="G928" i="95"/>
  <c r="J798" i="95"/>
  <c r="J912" i="95"/>
  <c r="E827" i="95"/>
  <c r="G888" i="95"/>
  <c r="H737" i="95"/>
  <c r="H721" i="95"/>
  <c r="G840" i="95"/>
  <c r="I746" i="95"/>
  <c r="I885" i="95"/>
  <c r="H846" i="95"/>
  <c r="H934" i="95"/>
  <c r="D942" i="95"/>
  <c r="H942" i="95"/>
  <c r="H730" i="95"/>
  <c r="H804" i="95"/>
  <c r="I790" i="95"/>
  <c r="J916" i="95"/>
  <c r="I793" i="95"/>
  <c r="H770" i="95"/>
  <c r="I1449" i="95"/>
  <c r="J915" i="95"/>
  <c r="I801" i="95"/>
  <c r="H778" i="95"/>
  <c r="J681" i="95"/>
  <c r="D668" i="95"/>
  <c r="H940" i="95"/>
  <c r="J706" i="95"/>
  <c r="D921" i="95"/>
  <c r="H668" i="95"/>
  <c r="H870" i="95"/>
  <c r="D743" i="95"/>
  <c r="J719" i="95"/>
  <c r="H708" i="95"/>
  <c r="I694" i="95"/>
  <c r="E903" i="95"/>
  <c r="E840" i="95"/>
  <c r="I799" i="95"/>
  <c r="J630" i="95"/>
  <c r="H636" i="95"/>
  <c r="D762" i="95"/>
  <c r="D590" i="95"/>
  <c r="G795" i="95"/>
  <c r="G623" i="95"/>
  <c r="I828" i="95"/>
  <c r="E658" i="95"/>
  <c r="D862" i="95"/>
  <c r="E610" i="95"/>
  <c r="J680" i="95"/>
  <c r="H643" i="95"/>
  <c r="E714" i="95"/>
  <c r="I595" i="95"/>
  <c r="J768" i="95"/>
  <c r="I613" i="95"/>
  <c r="G585" i="95"/>
  <c r="D673" i="95"/>
  <c r="I618" i="95"/>
  <c r="G706" i="95"/>
  <c r="D652" i="95"/>
  <c r="I739" i="95"/>
  <c r="E604" i="95"/>
  <c r="D773" i="95"/>
  <c r="H637" i="95"/>
  <c r="G806" i="95"/>
  <c r="I589" i="95"/>
  <c r="I839" i="95"/>
  <c r="D623" i="95"/>
  <c r="D658" i="95"/>
  <c r="D660" i="95"/>
  <c r="G783" i="95"/>
  <c r="G611" i="95"/>
  <c r="I816" i="95"/>
  <c r="I644" i="95"/>
  <c r="D850" i="95"/>
  <c r="E598" i="95"/>
  <c r="J668" i="95"/>
  <c r="H631" i="95"/>
  <c r="E702" i="95"/>
  <c r="I583" i="95"/>
  <c r="H735" i="95"/>
  <c r="D617" i="95"/>
  <c r="E790" i="95"/>
  <c r="H657" i="95"/>
  <c r="H602" i="95"/>
  <c r="H835" i="95"/>
  <c r="J635" i="95"/>
  <c r="J868" i="95"/>
  <c r="D588" i="95"/>
  <c r="I675" i="95"/>
  <c r="G621" i="95"/>
  <c r="D709" i="95"/>
  <c r="E655" i="95"/>
  <c r="G742" i="95"/>
  <c r="J606" i="95"/>
  <c r="I775" i="95"/>
  <c r="E640" i="95"/>
  <c r="H742" i="95"/>
  <c r="H802" i="95"/>
  <c r="I625" i="95"/>
  <c r="G883" i="95"/>
  <c r="D662" i="95"/>
  <c r="H774" i="95"/>
  <c r="I700" i="95"/>
  <c r="H608" i="95"/>
  <c r="D734" i="95"/>
  <c r="J641" i="95"/>
  <c r="G767" i="95"/>
  <c r="G595" i="95"/>
  <c r="I800" i="95"/>
  <c r="I628" i="95"/>
  <c r="D834" i="95"/>
  <c r="D584" i="95"/>
  <c r="H615" i="95"/>
  <c r="E686" i="95"/>
  <c r="J648" i="95"/>
  <c r="H719" i="95"/>
  <c r="D601" i="95"/>
  <c r="J752" i="95"/>
  <c r="G634" i="95"/>
  <c r="E786" i="95"/>
  <c r="H586" i="95"/>
  <c r="H819" i="95"/>
  <c r="J619" i="95"/>
  <c r="J852" i="95"/>
  <c r="E653" i="95"/>
  <c r="G702" i="95"/>
  <c r="E706" i="95"/>
  <c r="J642" i="95"/>
  <c r="I811" i="95"/>
  <c r="D595" i="95"/>
  <c r="D845" i="95"/>
  <c r="G628" i="95"/>
  <c r="H666" i="95"/>
  <c r="D670" i="95"/>
  <c r="J795" i="95"/>
  <c r="G703" i="95"/>
  <c r="E611" i="95"/>
  <c r="D770" i="95"/>
  <c r="H875" i="95"/>
  <c r="D866" i="95"/>
  <c r="J770" i="95"/>
  <c r="G874" i="95"/>
  <c r="I789" i="95"/>
  <c r="G813" i="95"/>
  <c r="J730" i="95"/>
  <c r="J908" i="95"/>
  <c r="H864" i="95"/>
  <c r="H878" i="95"/>
  <c r="J716" i="95"/>
  <c r="E728" i="95"/>
  <c r="H924" i="95"/>
  <c r="E691" i="95"/>
  <c r="E939" i="95"/>
  <c r="J869" i="95"/>
  <c r="E877" i="95"/>
  <c r="E719" i="95"/>
  <c r="G705" i="95"/>
  <c r="I916" i="95"/>
  <c r="G708" i="95"/>
  <c r="J695" i="95"/>
  <c r="H1358" i="95"/>
  <c r="I903" i="95"/>
  <c r="G716" i="95"/>
  <c r="E693" i="95"/>
  <c r="I821" i="95"/>
  <c r="H798" i="95"/>
  <c r="E851" i="95"/>
  <c r="G837" i="95"/>
  <c r="H931" i="95"/>
  <c r="G808" i="95"/>
  <c r="I922" i="95"/>
  <c r="I657" i="95"/>
  <c r="I942" i="95"/>
  <c r="G848" i="95"/>
  <c r="E825" i="95"/>
  <c r="G912" i="95"/>
  <c r="J754" i="95"/>
  <c r="G714" i="95"/>
  <c r="I626" i="95"/>
  <c r="D642" i="95"/>
  <c r="G847" i="95"/>
  <c r="H595" i="95"/>
  <c r="E666" i="95"/>
  <c r="J628" i="95"/>
  <c r="H699" i="95"/>
  <c r="D581" i="95"/>
  <c r="J732" i="95"/>
  <c r="G614" i="95"/>
  <c r="E766" i="95"/>
  <c r="I647" i="95"/>
  <c r="H799" i="95"/>
  <c r="J599" i="95"/>
  <c r="J864" i="95"/>
  <c r="D782" i="95"/>
  <c r="H589" i="95"/>
  <c r="G758" i="95"/>
  <c r="J622" i="95"/>
  <c r="I791" i="95"/>
  <c r="G657" i="95"/>
  <c r="D825" i="95"/>
  <c r="G608" i="95"/>
  <c r="G858" i="95"/>
  <c r="I641" i="95"/>
  <c r="E689" i="95"/>
  <c r="G683" i="95"/>
  <c r="E591" i="95"/>
  <c r="I716" i="95"/>
  <c r="H635" i="95"/>
  <c r="H583" i="95"/>
  <c r="I868" i="95"/>
  <c r="J616" i="95"/>
  <c r="H687" i="95"/>
  <c r="E650" i="95"/>
  <c r="J720" i="95"/>
  <c r="G602" i="95"/>
  <c r="E754" i="95"/>
  <c r="I635" i="95"/>
  <c r="H787" i="95"/>
  <c r="J587" i="95"/>
  <c r="J820" i="95"/>
  <c r="E621" i="95"/>
  <c r="I659" i="95"/>
  <c r="G835" i="95"/>
  <c r="I606" i="95"/>
  <c r="G694" i="95"/>
  <c r="D640" i="95"/>
  <c r="I727" i="95"/>
  <c r="E592" i="95"/>
  <c r="D761" i="95"/>
  <c r="H625" i="95"/>
  <c r="G794" i="95"/>
  <c r="H661" i="95"/>
  <c r="I827" i="95"/>
  <c r="D611" i="95"/>
  <c r="D861" i="95"/>
  <c r="G644" i="95"/>
  <c r="G619" i="95"/>
  <c r="J593" i="95"/>
  <c r="G719" i="95"/>
  <c r="E627" i="95"/>
  <c r="I752" i="95"/>
  <c r="E664" i="95"/>
  <c r="D786" i="95"/>
  <c r="D614" i="95"/>
  <c r="G819" i="95"/>
  <c r="G647" i="95"/>
  <c r="I852" i="95"/>
  <c r="J600" i="95"/>
  <c r="H671" i="95"/>
  <c r="E634" i="95"/>
  <c r="H715" i="95"/>
  <c r="H641" i="95"/>
  <c r="I619" i="95"/>
  <c r="H771" i="95"/>
  <c r="D653" i="95"/>
  <c r="J804" i="95"/>
  <c r="E605" i="95"/>
  <c r="E838" i="95"/>
  <c r="H638" i="95"/>
  <c r="H871" i="95"/>
  <c r="I590" i="95"/>
  <c r="G678" i="95"/>
  <c r="D624" i="95"/>
  <c r="I711" i="95"/>
  <c r="G659" i="95"/>
  <c r="G798" i="95"/>
  <c r="D757" i="95"/>
  <c r="D647" i="95"/>
  <c r="J699" i="95"/>
  <c r="I688" i="95"/>
  <c r="H596" i="95"/>
  <c r="D722" i="95"/>
  <c r="J629" i="95"/>
  <c r="G755" i="95"/>
  <c r="G583" i="95"/>
  <c r="I788" i="95"/>
  <c r="I616" i="95"/>
  <c r="D822" i="95"/>
  <c r="D650" i="95"/>
  <c r="G855" i="95"/>
  <c r="G605" i="95"/>
  <c r="H747" i="95"/>
  <c r="D750" i="95"/>
  <c r="D713" i="95"/>
  <c r="D932" i="95"/>
  <c r="E801" i="95"/>
  <c r="H890" i="95"/>
  <c r="I761" i="95"/>
  <c r="H766" i="95"/>
  <c r="H939" i="95"/>
  <c r="E902" i="95"/>
  <c r="I785" i="95"/>
  <c r="I850" i="95"/>
  <c r="H720" i="95"/>
  <c r="E646" i="95"/>
  <c r="G942" i="95"/>
  <c r="H861" i="95"/>
  <c r="G660" i="95"/>
  <c r="E679" i="95"/>
  <c r="H784" i="95"/>
  <c r="G886" i="95"/>
  <c r="D859" i="95"/>
  <c r="J835" i="95"/>
  <c r="J913" i="95"/>
  <c r="J850" i="95"/>
  <c r="G810" i="95"/>
  <c r="I653" i="95"/>
  <c r="H932" i="95"/>
  <c r="J858" i="95"/>
  <c r="D916" i="95"/>
  <c r="G736" i="95"/>
  <c r="E713" i="95"/>
  <c r="J765" i="95"/>
  <c r="D752" i="95"/>
  <c r="G931" i="95"/>
  <c r="D723" i="95"/>
  <c r="J931" i="95"/>
  <c r="E800" i="95"/>
  <c r="I875" i="95"/>
  <c r="D763" i="95"/>
  <c r="J739" i="95"/>
  <c r="J914" i="95"/>
  <c r="H669" i="95"/>
  <c r="H855" i="95"/>
  <c r="H622" i="95"/>
  <c r="H647" i="95"/>
  <c r="E718" i="95"/>
  <c r="I599" i="95"/>
  <c r="H751" i="95"/>
  <c r="D633" i="95"/>
  <c r="J784" i="95"/>
  <c r="E585" i="95"/>
  <c r="E818" i="95"/>
  <c r="H618" i="95"/>
  <c r="H851" i="95"/>
  <c r="J651" i="95"/>
  <c r="G658" i="95"/>
  <c r="D604" i="95"/>
  <c r="G734" i="95"/>
  <c r="H791" i="95"/>
  <c r="I593" i="95"/>
  <c r="I843" i="95"/>
  <c r="D627" i="95"/>
  <c r="H889" i="95"/>
  <c r="D664" i="95"/>
  <c r="E785" i="95"/>
  <c r="D702" i="95"/>
  <c r="J609" i="95"/>
  <c r="G735" i="95"/>
  <c r="E643" i="95"/>
  <c r="I768" i="95"/>
  <c r="I596" i="95"/>
  <c r="D802" i="95"/>
  <c r="E601" i="95"/>
  <c r="I587" i="95"/>
  <c r="H739" i="95"/>
  <c r="D621" i="95"/>
  <c r="J772" i="95"/>
  <c r="I654" i="95"/>
  <c r="E806" i="95"/>
  <c r="H606" i="95"/>
  <c r="H839" i="95"/>
  <c r="J639" i="95"/>
  <c r="J872" i="95"/>
  <c r="D592" i="95"/>
  <c r="I679" i="95"/>
  <c r="G625" i="95"/>
  <c r="I755" i="95"/>
  <c r="H879" i="95"/>
  <c r="J610" i="95"/>
  <c r="I779" i="95"/>
  <c r="E644" i="95"/>
  <c r="D813" i="95"/>
  <c r="G596" i="95"/>
  <c r="G846" i="95"/>
  <c r="I629" i="95"/>
  <c r="J667" i="95"/>
  <c r="G671" i="95"/>
  <c r="H806" i="95"/>
  <c r="I704" i="95"/>
  <c r="H612" i="95"/>
  <c r="D738" i="95"/>
  <c r="G586" i="95"/>
  <c r="G599" i="95"/>
  <c r="I804" i="95"/>
  <c r="I632" i="95"/>
  <c r="D838" i="95"/>
  <c r="E586" i="95"/>
  <c r="G871" i="95"/>
  <c r="H619" i="95"/>
  <c r="E690" i="95"/>
  <c r="J652" i="95"/>
  <c r="H723" i="95"/>
  <c r="D605" i="95"/>
  <c r="J756" i="95"/>
  <c r="G638" i="95"/>
  <c r="H811" i="95"/>
  <c r="I696" i="95"/>
  <c r="J623" i="95"/>
  <c r="J856" i="95"/>
  <c r="J658" i="95"/>
  <c r="I663" i="95"/>
  <c r="G609" i="95"/>
  <c r="D697" i="95"/>
  <c r="I642" i="95"/>
  <c r="G730" i="95"/>
  <c r="J594" i="95"/>
  <c r="I763" i="95"/>
  <c r="E628" i="95"/>
  <c r="D797" i="95"/>
  <c r="I668" i="95"/>
  <c r="J581" i="95"/>
  <c r="E615" i="95"/>
  <c r="I740" i="95"/>
  <c r="H648" i="95"/>
  <c r="D774" i="95"/>
  <c r="D602" i="95"/>
  <c r="G807" i="95"/>
  <c r="G635" i="95"/>
  <c r="I840" i="95"/>
  <c r="J588" i="95"/>
  <c r="D874" i="95"/>
  <c r="E622" i="95"/>
  <c r="J692" i="95"/>
  <c r="E656" i="95"/>
  <c r="G592" i="95"/>
  <c r="H863" i="95"/>
  <c r="D667" i="95"/>
  <c r="E811" i="95"/>
  <c r="H732" i="95"/>
  <c r="H738" i="95"/>
  <c r="I917" i="95"/>
  <c r="H873" i="95"/>
  <c r="D779" i="95"/>
  <c r="H762" i="95"/>
  <c r="H888" i="95"/>
  <c r="I706" i="95"/>
  <c r="G696" i="95"/>
  <c r="E716" i="95"/>
  <c r="E1364" i="95"/>
  <c r="J802" i="95"/>
  <c r="D819" i="95"/>
  <c r="I753" i="95"/>
  <c r="J896" i="95"/>
  <c r="I773" i="95"/>
  <c r="H750" i="95"/>
  <c r="D923" i="95"/>
  <c r="H765" i="95"/>
  <c r="D725" i="95"/>
  <c r="G873" i="95"/>
  <c r="D931" i="95"/>
  <c r="H773" i="95"/>
  <c r="E925" i="95"/>
  <c r="I884" i="95"/>
  <c r="I914" i="95"/>
  <c r="H680" i="95"/>
  <c r="I666" i="95"/>
  <c r="H928" i="95"/>
  <c r="H865" i="95"/>
  <c r="D941" i="95"/>
  <c r="J714" i="95"/>
  <c r="E886" i="95"/>
  <c r="I677" i="95"/>
  <c r="G877" i="95"/>
  <c r="J813" i="95"/>
  <c r="D800" i="95"/>
  <c r="E770" i="95"/>
  <c r="G618" i="95"/>
  <c r="I651" i="95"/>
  <c r="H803" i="95"/>
  <c r="J603" i="95"/>
  <c r="J836" i="95"/>
  <c r="E637" i="95"/>
  <c r="E870" i="95"/>
  <c r="G589" i="95"/>
  <c r="D677" i="95"/>
  <c r="I622" i="95"/>
  <c r="G710" i="95"/>
  <c r="E657" i="95"/>
  <c r="I743" i="95"/>
  <c r="E608" i="95"/>
  <c r="D841" i="95"/>
  <c r="E753" i="95"/>
  <c r="G687" i="95"/>
  <c r="E595" i="95"/>
  <c r="I720" i="95"/>
  <c r="H628" i="95"/>
  <c r="D754" i="95"/>
  <c r="D582" i="95"/>
  <c r="G787" i="95"/>
  <c r="G615" i="95"/>
  <c r="I820" i="95"/>
  <c r="I648" i="95"/>
  <c r="D854" i="95"/>
  <c r="E602" i="95"/>
  <c r="H683" i="95"/>
  <c r="E588" i="95"/>
  <c r="J591" i="95"/>
  <c r="J824" i="95"/>
  <c r="E625" i="95"/>
  <c r="E858" i="95"/>
  <c r="E661" i="95"/>
  <c r="D665" i="95"/>
  <c r="I610" i="95"/>
  <c r="G698" i="95"/>
  <c r="D644" i="95"/>
  <c r="I731" i="95"/>
  <c r="E596" i="95"/>
  <c r="D765" i="95"/>
  <c r="H629" i="95"/>
  <c r="J671" i="95"/>
  <c r="E781" i="95"/>
  <c r="D615" i="95"/>
  <c r="D865" i="95"/>
  <c r="G648" i="95"/>
  <c r="E701" i="95"/>
  <c r="D690" i="95"/>
  <c r="J597" i="95"/>
  <c r="G723" i="95"/>
  <c r="E631" i="95"/>
  <c r="I756" i="95"/>
  <c r="I584" i="95"/>
  <c r="D790" i="95"/>
  <c r="D618" i="95"/>
  <c r="G823" i="95"/>
  <c r="J643" i="95"/>
  <c r="J604" i="95"/>
  <c r="H675" i="95"/>
  <c r="E638" i="95"/>
  <c r="J708" i="95"/>
  <c r="G590" i="95"/>
  <c r="E742" i="95"/>
  <c r="I623" i="95"/>
  <c r="H775" i="95"/>
  <c r="I658" i="95"/>
  <c r="J808" i="95"/>
  <c r="E609" i="95"/>
  <c r="E842" i="95"/>
  <c r="H642" i="95"/>
  <c r="I691" i="95"/>
  <c r="G867" i="95"/>
  <c r="D628" i="95"/>
  <c r="I715" i="95"/>
  <c r="G667" i="95"/>
  <c r="D749" i="95"/>
  <c r="H613" i="95"/>
  <c r="G782" i="95"/>
  <c r="J646" i="95"/>
  <c r="I815" i="95"/>
  <c r="D599" i="95"/>
  <c r="D849" i="95"/>
  <c r="G632" i="95"/>
  <c r="H670" i="95"/>
  <c r="D674" i="95"/>
  <c r="G651" i="95"/>
  <c r="I620" i="95"/>
  <c r="D826" i="95"/>
  <c r="E654" i="95"/>
  <c r="G859" i="95"/>
  <c r="H607" i="95"/>
  <c r="E678" i="95"/>
  <c r="J640" i="95"/>
  <c r="H711" i="95"/>
  <c r="D593" i="95"/>
  <c r="J744" i="95"/>
  <c r="G626" i="95"/>
  <c r="E778" i="95"/>
  <c r="J662" i="95"/>
  <c r="H843" i="95"/>
  <c r="I582" i="95"/>
  <c r="J875" i="95"/>
  <c r="G797" i="95"/>
  <c r="I718" i="95"/>
  <c r="G707" i="95"/>
  <c r="E760" i="95"/>
  <c r="I930" i="95"/>
  <c r="J755" i="95"/>
  <c r="D935" i="95"/>
  <c r="H825" i="95"/>
  <c r="D918" i="95"/>
  <c r="E914" i="95"/>
  <c r="I893" i="95"/>
  <c r="J892" i="95"/>
  <c r="I762" i="95"/>
  <c r="J790" i="95"/>
  <c r="G668" i="95"/>
  <c r="I896" i="95"/>
  <c r="G688" i="95"/>
  <c r="I1347" i="95"/>
  <c r="H925" i="95"/>
  <c r="E680" i="95"/>
  <c r="E866" i="95"/>
  <c r="G713" i="95"/>
  <c r="H933" i="95"/>
  <c r="E688" i="95"/>
  <c r="G934" i="95"/>
  <c r="H793" i="95"/>
  <c r="J923" i="95"/>
  <c r="G820" i="95"/>
  <c r="E797" i="95"/>
  <c r="I937" i="95"/>
  <c r="E780" i="95"/>
  <c r="E859" i="95"/>
  <c r="G845" i="95"/>
  <c r="E883" i="95"/>
  <c r="E820" i="95"/>
  <c r="H886" i="95"/>
  <c r="H728" i="95"/>
  <c r="I714" i="95"/>
  <c r="J684" i="95"/>
  <c r="E614" i="95"/>
  <c r="J656" i="95"/>
  <c r="G662" i="95"/>
  <c r="D608" i="95"/>
  <c r="I695" i="95"/>
  <c r="G641" i="95"/>
  <c r="D729" i="95"/>
  <c r="H593" i="95"/>
  <c r="G762" i="95"/>
  <c r="J626" i="95"/>
  <c r="I795" i="95"/>
  <c r="J663" i="95"/>
  <c r="D829" i="95"/>
  <c r="G612" i="95"/>
  <c r="J645" i="95"/>
  <c r="E647" i="95"/>
  <c r="I772" i="95"/>
  <c r="I600" i="95"/>
  <c r="D806" i="95"/>
  <c r="D634" i="95"/>
  <c r="G839" i="95"/>
  <c r="H587" i="95"/>
  <c r="I872" i="95"/>
  <c r="J620" i="95"/>
  <c r="H691" i="95"/>
  <c r="H654" i="95"/>
  <c r="J724" i="95"/>
  <c r="G606" i="95"/>
  <c r="H779" i="95"/>
  <c r="I645" i="95"/>
  <c r="D596" i="95"/>
  <c r="I683" i="95"/>
  <c r="G629" i="95"/>
  <c r="D717" i="95"/>
  <c r="H581" i="95"/>
  <c r="G750" i="95"/>
  <c r="J614" i="95"/>
  <c r="I783" i="95"/>
  <c r="E648" i="95"/>
  <c r="D817" i="95"/>
  <c r="G600" i="95"/>
  <c r="G850" i="95"/>
  <c r="I633" i="95"/>
  <c r="G587" i="95"/>
  <c r="E583" i="95"/>
  <c r="I708" i="95"/>
  <c r="H616" i="95"/>
  <c r="D742" i="95"/>
  <c r="J649" i="95"/>
  <c r="G775" i="95"/>
  <c r="G603" i="95"/>
  <c r="I808" i="95"/>
  <c r="I636" i="95"/>
  <c r="D842" i="95"/>
  <c r="E590" i="95"/>
  <c r="I876" i="95"/>
  <c r="H623" i="95"/>
  <c r="J704" i="95"/>
  <c r="H609" i="95"/>
  <c r="D609" i="95"/>
  <c r="J760" i="95"/>
  <c r="G642" i="95"/>
  <c r="E794" i="95"/>
  <c r="H594" i="95"/>
  <c r="H827" i="95"/>
  <c r="J627" i="95"/>
  <c r="J860" i="95"/>
  <c r="D666" i="95"/>
  <c r="I667" i="95"/>
  <c r="G613" i="95"/>
  <c r="D701" i="95"/>
  <c r="I646" i="95"/>
  <c r="I787" i="95"/>
  <c r="I735" i="95"/>
  <c r="E632" i="95"/>
  <c r="D801" i="95"/>
  <c r="G584" i="95"/>
  <c r="G834" i="95"/>
  <c r="I617" i="95"/>
  <c r="D869" i="95"/>
  <c r="D651" i="95"/>
  <c r="H710" i="95"/>
  <c r="I692" i="95"/>
  <c r="H600" i="95"/>
  <c r="D726" i="95"/>
  <c r="J633" i="95"/>
  <c r="G759" i="95"/>
  <c r="D629" i="95"/>
  <c r="E626" i="95"/>
  <c r="J696" i="95"/>
  <c r="I662" i="95"/>
  <c r="E730" i="95"/>
  <c r="I611" i="95"/>
  <c r="H763" i="95"/>
  <c r="D645" i="95"/>
  <c r="J796" i="95"/>
  <c r="E597" i="95"/>
  <c r="E830" i="95"/>
  <c r="H630" i="95"/>
  <c r="J717" i="95"/>
  <c r="H923" i="95"/>
  <c r="G936" i="95"/>
  <c r="G681" i="95"/>
  <c r="H899" i="95"/>
  <c r="E808" i="95"/>
  <c r="H808" i="95"/>
  <c r="H777" i="95"/>
  <c r="E890" i="95"/>
  <c r="I709" i="95"/>
  <c r="H709" i="95"/>
  <c r="E736" i="95"/>
  <c r="H869" i="95"/>
  <c r="G677" i="95"/>
  <c r="H705" i="95"/>
  <c r="J810" i="95"/>
  <c r="J893" i="95"/>
  <c r="J830" i="95"/>
  <c r="D888" i="95"/>
  <c r="H824" i="95"/>
  <c r="I810" i="95"/>
  <c r="J780" i="95"/>
  <c r="H822" i="95"/>
  <c r="H832" i="95"/>
  <c r="I818" i="95"/>
  <c r="J941" i="95"/>
  <c r="E708" i="95"/>
  <c r="D933" i="95"/>
  <c r="D735" i="95"/>
  <c r="J711" i="95"/>
  <c r="E940" i="95"/>
  <c r="J694" i="95"/>
  <c r="J773" i="95"/>
  <c r="D760" i="95"/>
  <c r="G892" i="95"/>
  <c r="J734" i="95"/>
  <c r="I895" i="95"/>
  <c r="G868" i="95"/>
  <c r="E845" i="95"/>
  <c r="D814" i="95"/>
  <c r="I608" i="95"/>
  <c r="H663" i="95"/>
  <c r="I747" i="95"/>
  <c r="E612" i="95"/>
  <c r="D781" i="95"/>
  <c r="H645" i="95"/>
  <c r="G814" i="95"/>
  <c r="I597" i="95"/>
  <c r="I847" i="95"/>
  <c r="D631" i="95"/>
  <c r="E669" i="95"/>
  <c r="I672" i="95"/>
  <c r="E817" i="95"/>
  <c r="D706" i="95"/>
  <c r="J624" i="95"/>
  <c r="I652" i="95"/>
  <c r="D858" i="95"/>
  <c r="E606" i="95"/>
  <c r="J676" i="95"/>
  <c r="H639" i="95"/>
  <c r="E710" i="95"/>
  <c r="I591" i="95"/>
  <c r="H743" i="95"/>
  <c r="D625" i="95"/>
  <c r="J776" i="95"/>
  <c r="J660" i="95"/>
  <c r="E810" i="95"/>
  <c r="H610" i="95"/>
  <c r="J876" i="95"/>
  <c r="I824" i="95"/>
  <c r="E600" i="95"/>
  <c r="D769" i="95"/>
  <c r="H633" i="95"/>
  <c r="G802" i="95"/>
  <c r="I585" i="95"/>
  <c r="I835" i="95"/>
  <c r="D619" i="95"/>
  <c r="G870" i="95"/>
  <c r="G652" i="95"/>
  <c r="E721" i="95"/>
  <c r="D694" i="95"/>
  <c r="J601" i="95"/>
  <c r="G727" i="95"/>
  <c r="H658" i="95"/>
  <c r="I588" i="95"/>
  <c r="D794" i="95"/>
  <c r="D622" i="95"/>
  <c r="G827" i="95"/>
  <c r="D656" i="95"/>
  <c r="I860" i="95"/>
  <c r="J608" i="95"/>
  <c r="H679" i="95"/>
  <c r="E642" i="95"/>
  <c r="J712" i="95"/>
  <c r="G594" i="95"/>
  <c r="E746" i="95"/>
  <c r="I627" i="95"/>
  <c r="J800" i="95"/>
  <c r="D686" i="95"/>
  <c r="E613" i="95"/>
  <c r="E846" i="95"/>
  <c r="H646" i="95"/>
  <c r="E888" i="95"/>
  <c r="I598" i="95"/>
  <c r="G686" i="95"/>
  <c r="D632" i="95"/>
  <c r="I719" i="95"/>
  <c r="E584" i="95"/>
  <c r="D753" i="95"/>
  <c r="H617" i="95"/>
  <c r="G786" i="95"/>
  <c r="J650" i="95"/>
  <c r="J827" i="95"/>
  <c r="D672" i="95"/>
  <c r="G636" i="95"/>
  <c r="H678" i="95"/>
  <c r="D678" i="95"/>
  <c r="J585" i="95"/>
  <c r="G711" i="95"/>
  <c r="E619" i="95"/>
  <c r="I744" i="95"/>
  <c r="H652" i="95"/>
  <c r="D778" i="95"/>
  <c r="D606" i="95"/>
  <c r="G811" i="95"/>
  <c r="G639" i="95"/>
  <c r="I844" i="95"/>
  <c r="I594" i="95"/>
  <c r="G630" i="95"/>
  <c r="E782" i="95"/>
  <c r="H582" i="95"/>
  <c r="H815" i="95"/>
  <c r="J615" i="95"/>
  <c r="J848" i="95"/>
  <c r="E649" i="95"/>
  <c r="I655" i="95"/>
  <c r="G601" i="95"/>
  <c r="D689" i="95"/>
  <c r="I634" i="95"/>
  <c r="G722" i="95"/>
  <c r="J586" i="95"/>
  <c r="I819" i="95"/>
  <c r="D821" i="95"/>
  <c r="J613" i="95"/>
  <c r="H644" i="95"/>
  <c r="H727" i="95"/>
  <c r="D704" i="95"/>
  <c r="G800" i="95"/>
  <c r="J778" i="95"/>
  <c r="H800" i="95"/>
  <c r="G776" i="95"/>
  <c r="I767" i="95"/>
  <c r="I794" i="95"/>
  <c r="E929" i="95"/>
  <c r="D767" i="95"/>
  <c r="H686" i="95"/>
  <c r="D887" i="95"/>
  <c r="D897" i="95"/>
  <c r="I926" i="95"/>
  <c r="G913" i="95"/>
  <c r="G665" i="95"/>
  <c r="D856" i="95"/>
  <c r="D903" i="95"/>
  <c r="H745" i="95"/>
  <c r="E897" i="95"/>
  <c r="E739" i="95"/>
  <c r="G725" i="95"/>
  <c r="H695" i="95"/>
  <c r="J715" i="95"/>
  <c r="E747" i="95"/>
  <c r="G733" i="95"/>
  <c r="H852" i="95"/>
  <c r="I838" i="95"/>
  <c r="H943" i="95"/>
  <c r="J880" i="95"/>
  <c r="I902" i="95"/>
  <c r="E839" i="95"/>
  <c r="G825" i="95"/>
  <c r="H688" i="95"/>
  <c r="I674" i="95"/>
  <c r="D886" i="95"/>
  <c r="G865" i="95"/>
  <c r="E906" i="95"/>
  <c r="D783" i="95"/>
  <c r="J759" i="95"/>
  <c r="I728" i="95"/>
  <c r="E603" i="95"/>
  <c r="D583" i="95"/>
  <c r="D833" i="95"/>
  <c r="G616" i="95"/>
  <c r="I867" i="95"/>
  <c r="I649" i="95"/>
  <c r="H706" i="95"/>
  <c r="G691" i="95"/>
  <c r="E599" i="95"/>
  <c r="I724" i="95"/>
  <c r="H632" i="95"/>
  <c r="D758" i="95"/>
  <c r="D586" i="95"/>
  <c r="G791" i="95"/>
  <c r="H590" i="95"/>
  <c r="I660" i="95"/>
  <c r="J728" i="95"/>
  <c r="G610" i="95"/>
  <c r="E762" i="95"/>
  <c r="I643" i="95"/>
  <c r="H795" i="95"/>
  <c r="J595" i="95"/>
  <c r="J828" i="95"/>
  <c r="E629" i="95"/>
  <c r="E862" i="95"/>
  <c r="G581" i="95"/>
  <c r="D669" i="95"/>
  <c r="I614" i="95"/>
  <c r="D745" i="95"/>
  <c r="J812" i="95"/>
  <c r="G604" i="95"/>
  <c r="G854" i="95"/>
  <c r="I637" i="95"/>
  <c r="J679" i="95"/>
  <c r="G679" i="95"/>
  <c r="E587" i="95"/>
  <c r="I712" i="95"/>
  <c r="H620" i="95"/>
  <c r="D746" i="95"/>
  <c r="D654" i="95"/>
  <c r="G779" i="95"/>
  <c r="G607" i="95"/>
  <c r="I812" i="95"/>
  <c r="E633" i="95"/>
  <c r="E594" i="95"/>
  <c r="J886" i="95"/>
  <c r="H627" i="95"/>
  <c r="E698" i="95"/>
  <c r="J664" i="95"/>
  <c r="H731" i="95"/>
  <c r="D613" i="95"/>
  <c r="J764" i="95"/>
  <c r="G646" i="95"/>
  <c r="E798" i="95"/>
  <c r="H598" i="95"/>
  <c r="H831" i="95"/>
  <c r="J631" i="95"/>
  <c r="G670" i="95"/>
  <c r="I856" i="95"/>
  <c r="G617" i="95"/>
  <c r="D705" i="95"/>
  <c r="I650" i="95"/>
  <c r="G738" i="95"/>
  <c r="J602" i="95"/>
  <c r="I771" i="95"/>
  <c r="E636" i="95"/>
  <c r="D805" i="95"/>
  <c r="G588" i="95"/>
  <c r="G838" i="95"/>
  <c r="I621" i="95"/>
  <c r="D873" i="95"/>
  <c r="H655" i="95"/>
  <c r="D630" i="95"/>
  <c r="H604" i="95"/>
  <c r="D730" i="95"/>
  <c r="J637" i="95"/>
  <c r="G763" i="95"/>
  <c r="G591" i="95"/>
  <c r="I796" i="95"/>
  <c r="I624" i="95"/>
  <c r="D830" i="95"/>
  <c r="E660" i="95"/>
  <c r="G863" i="95"/>
  <c r="H611" i="95"/>
  <c r="E682" i="95"/>
  <c r="J644" i="95"/>
  <c r="E726" i="95"/>
  <c r="E652" i="95"/>
  <c r="H634" i="95"/>
  <c r="H867" i="95"/>
  <c r="I586" i="95"/>
  <c r="G674" i="95"/>
  <c r="D620" i="95"/>
  <c r="I707" i="95"/>
  <c r="G653" i="95"/>
  <c r="D741" i="95"/>
  <c r="H605" i="95"/>
  <c r="G774" i="95"/>
  <c r="J638" i="95"/>
  <c r="I807" i="95"/>
  <c r="D591" i="95"/>
  <c r="I736" i="95"/>
  <c r="H1709" i="95"/>
  <c r="G944" i="95"/>
  <c r="H945" i="95"/>
  <c r="G945" i="95"/>
  <c r="I945" i="95"/>
  <c r="J945" i="95"/>
  <c r="E945" i="95"/>
  <c r="D945" i="95"/>
  <c r="D1710" i="95"/>
  <c r="G1710" i="95"/>
  <c r="H1710" i="95"/>
  <c r="J1710" i="95"/>
  <c r="E1710" i="95"/>
  <c r="I1710" i="95"/>
  <c r="C1711" i="95"/>
  <c r="C946" i="95"/>
  <c r="T217" i="66"/>
  <c r="AT217" i="66" s="1"/>
  <c r="T218" i="66"/>
  <c r="AT218" i="66" s="1"/>
  <c r="T219" i="66"/>
  <c r="AT219" i="66" s="1"/>
  <c r="T220" i="66"/>
  <c r="AT220" i="66" s="1"/>
  <c r="T221" i="66"/>
  <c r="AT221" i="66" s="1"/>
  <c r="T213" i="66"/>
  <c r="AT213" i="66" s="1"/>
  <c r="T215" i="66"/>
  <c r="AT215" i="66" s="1"/>
  <c r="T216" i="66"/>
  <c r="AT216" i="66" s="1"/>
  <c r="T214" i="66"/>
  <c r="AT214" i="66" s="1"/>
  <c r="D946" i="95" l="1"/>
  <c r="E946" i="95"/>
  <c r="G946" i="95"/>
  <c r="I946" i="95"/>
  <c r="J946" i="95"/>
  <c r="H946" i="95"/>
  <c r="E1711" i="95"/>
  <c r="J1711" i="95"/>
  <c r="D1711" i="95"/>
  <c r="G1711" i="95"/>
  <c r="H1711" i="95"/>
  <c r="I1711" i="95"/>
  <c r="C1712" i="95"/>
  <c r="C947" i="95"/>
  <c r="J947" i="95" l="1"/>
  <c r="I947" i="95"/>
  <c r="D947" i="95"/>
  <c r="E947" i="95"/>
  <c r="H947" i="95"/>
  <c r="G947" i="95"/>
  <c r="H1712" i="95"/>
  <c r="D1712" i="95"/>
  <c r="J1712" i="95"/>
  <c r="G1712" i="95"/>
  <c r="E1712" i="95"/>
  <c r="I1712" i="95"/>
  <c r="C1713" i="95"/>
  <c r="C948" i="95"/>
  <c r="E948" i="95" l="1"/>
  <c r="J948" i="95"/>
  <c r="I948" i="95"/>
  <c r="D948" i="95"/>
  <c r="G948" i="95"/>
  <c r="H948" i="95"/>
  <c r="J1713" i="95"/>
  <c r="I1713" i="95"/>
  <c r="E1713" i="95"/>
  <c r="H1713" i="95"/>
  <c r="G1713" i="95"/>
  <c r="D1713" i="95"/>
  <c r="C949" i="95"/>
  <c r="C1714" i="95"/>
  <c r="I1714" i="95" l="1"/>
  <c r="D1714" i="95"/>
  <c r="J1714" i="95"/>
  <c r="E1714" i="95"/>
  <c r="H1714" i="95"/>
  <c r="G1714" i="95"/>
  <c r="E949" i="95"/>
  <c r="H949" i="95"/>
  <c r="D949" i="95"/>
  <c r="G949" i="95"/>
  <c r="J949" i="95"/>
  <c r="I949" i="95"/>
  <c r="C950" i="95"/>
  <c r="C1715" i="95"/>
  <c r="H1715" i="95" l="1"/>
  <c r="E1715" i="95"/>
  <c r="J1715" i="95"/>
  <c r="D1715" i="95"/>
  <c r="I1715" i="95"/>
  <c r="G1715" i="95"/>
  <c r="G950" i="95"/>
  <c r="E950" i="95"/>
  <c r="D950" i="95"/>
  <c r="H950" i="95"/>
  <c r="I950" i="95"/>
  <c r="J950" i="95"/>
  <c r="C951" i="95"/>
  <c r="C1716" i="95"/>
  <c r="G1716" i="95" l="1"/>
  <c r="I1716" i="95"/>
  <c r="J1716" i="95"/>
  <c r="E1716" i="95"/>
  <c r="D1716" i="95"/>
  <c r="H1716" i="95"/>
  <c r="E951" i="95"/>
  <c r="I951" i="95"/>
  <c r="D951" i="95"/>
  <c r="H951" i="95"/>
  <c r="G951" i="95"/>
  <c r="J951" i="95"/>
  <c r="C1717" i="95"/>
  <c r="C952" i="95"/>
  <c r="D952" i="95" l="1"/>
  <c r="G952" i="95"/>
  <c r="J952" i="95"/>
  <c r="I952" i="95"/>
  <c r="H952" i="95"/>
  <c r="E952" i="95"/>
  <c r="I1717" i="95"/>
  <c r="H1717" i="95"/>
  <c r="E1717" i="95"/>
  <c r="D1717" i="95"/>
  <c r="J1717" i="95"/>
  <c r="G1717" i="95"/>
  <c r="C953" i="95"/>
  <c r="C1718" i="95"/>
  <c r="J1718" i="95" l="1"/>
  <c r="D1718" i="95"/>
  <c r="G1718" i="95"/>
  <c r="H1718" i="95"/>
  <c r="E1718" i="95"/>
  <c r="I1718" i="95"/>
  <c r="G953" i="95"/>
  <c r="D953" i="95"/>
  <c r="J953" i="95"/>
  <c r="E953" i="95"/>
  <c r="I953" i="95"/>
  <c r="H953" i="95"/>
  <c r="C1719" i="95"/>
  <c r="C954" i="95"/>
  <c r="H954" i="95" l="1"/>
  <c r="J954" i="95"/>
  <c r="G954" i="95"/>
  <c r="E954" i="95"/>
  <c r="D954" i="95"/>
  <c r="I954" i="95"/>
  <c r="H1719" i="95"/>
  <c r="J1719" i="95"/>
  <c r="E1719" i="95"/>
  <c r="I1719" i="95"/>
  <c r="G1719" i="95"/>
  <c r="D1719" i="95"/>
  <c r="C1720" i="95"/>
  <c r="C955" i="95"/>
  <c r="E955" i="95" l="1"/>
  <c r="D955" i="95"/>
  <c r="J955" i="95"/>
  <c r="I955" i="95"/>
  <c r="H955" i="95"/>
  <c r="G955" i="95"/>
  <c r="I1720" i="95"/>
  <c r="D1720" i="95"/>
  <c r="H1720" i="95"/>
  <c r="J1720" i="95"/>
  <c r="E1720" i="95"/>
  <c r="G1720" i="95"/>
  <c r="C1721" i="95"/>
  <c r="C956" i="95"/>
  <c r="D956" i="95" l="1"/>
  <c r="J956" i="95"/>
  <c r="G956" i="95"/>
  <c r="H956" i="95"/>
  <c r="E956" i="95"/>
  <c r="I956" i="95"/>
  <c r="D1721" i="95"/>
  <c r="I1721" i="95"/>
  <c r="E1721" i="95"/>
  <c r="H1721" i="95"/>
  <c r="G1721" i="95"/>
  <c r="J1721" i="95"/>
  <c r="C957" i="95"/>
  <c r="C1722" i="95"/>
  <c r="H1722" i="95" l="1"/>
  <c r="D1722" i="95"/>
  <c r="J1722" i="95"/>
  <c r="G1722" i="95"/>
  <c r="E1722" i="95"/>
  <c r="I1722" i="95"/>
  <c r="D957" i="95"/>
  <c r="J957" i="95"/>
  <c r="H957" i="95"/>
  <c r="E957" i="95"/>
  <c r="G957" i="95"/>
  <c r="I957" i="95"/>
  <c r="C1723" i="95"/>
  <c r="C958" i="95"/>
  <c r="G958" i="95" l="1"/>
  <c r="E958" i="95"/>
  <c r="D958" i="95"/>
  <c r="J958" i="95"/>
  <c r="I958" i="95"/>
  <c r="H958" i="95"/>
  <c r="J1723" i="95"/>
  <c r="E1723" i="95"/>
  <c r="H1723" i="95"/>
  <c r="D1723" i="95"/>
  <c r="I1723" i="95"/>
  <c r="G1723" i="95"/>
  <c r="C959" i="95"/>
  <c r="C1724" i="95"/>
  <c r="D1724" i="95" l="1"/>
  <c r="E1724" i="95"/>
  <c r="I1724" i="95"/>
  <c r="J1724" i="95"/>
  <c r="H1724" i="95"/>
  <c r="G1724" i="95"/>
  <c r="J959" i="95"/>
  <c r="I959" i="95"/>
  <c r="H959" i="95"/>
  <c r="G959" i="95"/>
  <c r="D959" i="95"/>
  <c r="E959" i="95"/>
  <c r="C1725" i="95"/>
  <c r="C960" i="95"/>
  <c r="J960" i="95" l="1"/>
  <c r="I960" i="95"/>
  <c r="D960" i="95"/>
  <c r="H960" i="95"/>
  <c r="G960" i="95"/>
  <c r="E960" i="95"/>
  <c r="J1725" i="95"/>
  <c r="I1725" i="95"/>
  <c r="H1725" i="95"/>
  <c r="E1725" i="95"/>
  <c r="D1725" i="95"/>
  <c r="G1725" i="95"/>
  <c r="C1726" i="95"/>
  <c r="C961" i="95"/>
  <c r="E961" i="95" l="1"/>
  <c r="G961" i="95"/>
  <c r="J961" i="95"/>
  <c r="H961" i="95"/>
  <c r="I961" i="95"/>
  <c r="D961" i="95"/>
  <c r="I1726" i="95"/>
  <c r="J1726" i="95"/>
  <c r="H1726" i="95"/>
  <c r="G1726" i="95"/>
  <c r="D1726" i="95"/>
  <c r="E1726" i="95"/>
  <c r="C1727" i="95"/>
  <c r="C962" i="95"/>
  <c r="I962" i="95" l="1"/>
  <c r="G962" i="95"/>
  <c r="J962" i="95"/>
  <c r="E962" i="95"/>
  <c r="D962" i="95"/>
  <c r="H962" i="95"/>
  <c r="H1727" i="95"/>
  <c r="J1727" i="95"/>
  <c r="E1727" i="95"/>
  <c r="I1727" i="95"/>
  <c r="D1727" i="95"/>
  <c r="G1727" i="95"/>
  <c r="C1728" i="95"/>
  <c r="C963" i="95"/>
  <c r="I963" i="95" l="1"/>
  <c r="D963" i="95"/>
  <c r="H963" i="95"/>
  <c r="G963" i="95"/>
  <c r="J963" i="95"/>
  <c r="E963" i="95"/>
  <c r="G1728" i="95"/>
  <c r="I1728" i="95"/>
  <c r="H1728" i="95"/>
  <c r="E1728" i="95"/>
  <c r="J1728" i="95"/>
  <c r="D1728" i="95"/>
  <c r="C1729" i="95"/>
  <c r="C964" i="95"/>
  <c r="H964" i="95" l="1"/>
  <c r="D964" i="95"/>
  <c r="G964" i="95"/>
  <c r="J964" i="95"/>
  <c r="I964" i="95"/>
  <c r="E964" i="95"/>
  <c r="J1729" i="95"/>
  <c r="D1729" i="95"/>
  <c r="E1729" i="95"/>
  <c r="I1729" i="95"/>
  <c r="H1729" i="95"/>
  <c r="G1729" i="95"/>
  <c r="C965" i="95"/>
  <c r="C1730" i="95"/>
  <c r="J1730" i="95" l="1"/>
  <c r="G1730" i="95"/>
  <c r="D1730" i="95"/>
  <c r="I1730" i="95"/>
  <c r="E1730" i="95"/>
  <c r="H1730" i="95"/>
  <c r="J965" i="95"/>
  <c r="E965" i="95"/>
  <c r="I965" i="95"/>
  <c r="H965" i="95"/>
  <c r="D965" i="95"/>
  <c r="G965" i="95"/>
  <c r="C1731" i="95"/>
  <c r="C966" i="95"/>
  <c r="I966" i="95" l="1"/>
  <c r="J966" i="95"/>
  <c r="H966" i="95"/>
  <c r="G966" i="95"/>
  <c r="E966" i="95"/>
  <c r="D966" i="95"/>
  <c r="I1731" i="95"/>
  <c r="J1731" i="95"/>
  <c r="E1731" i="95"/>
  <c r="D1731" i="95"/>
  <c r="H1731" i="95"/>
  <c r="G1731" i="95"/>
  <c r="C1732" i="95"/>
  <c r="C967" i="95"/>
  <c r="H967" i="95" l="1"/>
  <c r="G967" i="95"/>
  <c r="D967" i="95"/>
  <c r="E967" i="95"/>
  <c r="I967" i="95"/>
  <c r="J967" i="95"/>
  <c r="G1732" i="95"/>
  <c r="E1732" i="95"/>
  <c r="I1732" i="95"/>
  <c r="J1732" i="95"/>
  <c r="H1732" i="95"/>
  <c r="D1732" i="95"/>
  <c r="C968" i="95"/>
  <c r="C1733" i="95"/>
  <c r="D1733" i="95" l="1"/>
  <c r="J1733" i="95"/>
  <c r="I1733" i="95"/>
  <c r="G1733" i="95"/>
  <c r="H1733" i="95"/>
  <c r="E1733" i="95"/>
  <c r="J968" i="95"/>
  <c r="I968" i="95"/>
  <c r="E968" i="95"/>
  <c r="D968" i="95"/>
  <c r="G968" i="95"/>
  <c r="H968" i="95"/>
  <c r="C1734" i="95"/>
  <c r="H1734" i="95" l="1"/>
  <c r="J1734" i="95"/>
  <c r="I1734" i="95"/>
  <c r="E1734" i="95"/>
  <c r="G1734" i="95"/>
  <c r="D1734" i="95"/>
  <c r="C1735" i="95"/>
  <c r="H1735" i="95" l="1"/>
  <c r="G1735" i="95"/>
  <c r="J1735" i="95"/>
  <c r="I1735" i="95"/>
  <c r="E1735" i="95"/>
  <c r="D1735" i="95"/>
  <c r="C1736" i="95"/>
  <c r="G1736" i="95" l="1"/>
  <c r="D1736" i="95"/>
  <c r="E1736" i="95"/>
  <c r="J1736" i="95"/>
  <c r="H1736" i="95"/>
  <c r="I1736" i="95"/>
  <c r="C1737" i="95"/>
  <c r="H1737" i="95" l="1"/>
  <c r="D1737" i="95"/>
  <c r="J1737" i="95"/>
  <c r="E1737" i="95"/>
  <c r="I1737" i="95"/>
  <c r="G1737" i="95"/>
  <c r="C1738" i="95"/>
  <c r="J1738" i="95" l="1"/>
  <c r="H1738" i="95"/>
  <c r="G1738" i="95"/>
  <c r="D1738" i="95"/>
  <c r="E1738" i="95"/>
  <c r="I1738" i="95"/>
  <c r="C1739" i="95"/>
  <c r="E1739" i="95" l="1"/>
  <c r="I1739" i="95"/>
  <c r="J1739" i="95"/>
  <c r="H1739" i="95"/>
  <c r="D1739" i="95"/>
  <c r="G1739" i="95"/>
  <c r="C1740" i="95"/>
  <c r="H1740" i="95" l="1"/>
  <c r="I1740" i="95"/>
  <c r="G1740" i="95"/>
  <c r="E1740" i="95"/>
  <c r="J1740" i="95"/>
  <c r="D1740" i="95"/>
  <c r="C1741" i="95"/>
  <c r="H1741" i="95" l="1"/>
  <c r="G1741" i="95"/>
  <c r="J1741" i="95"/>
  <c r="I1741" i="95"/>
  <c r="D1741" i="95"/>
  <c r="E1741" i="95"/>
  <c r="C1742" i="95"/>
  <c r="H1742" i="95" l="1"/>
  <c r="J1742" i="95"/>
  <c r="I1742" i="95"/>
  <c r="E1742" i="95"/>
  <c r="D1742" i="95"/>
  <c r="G1742" i="95"/>
  <c r="C1743" i="95"/>
  <c r="D1743" i="95" l="1"/>
  <c r="G1743" i="95"/>
  <c r="I1743" i="95"/>
  <c r="H1743" i="95"/>
  <c r="E1743" i="95"/>
  <c r="J1743" i="95"/>
  <c r="C1744" i="95"/>
  <c r="H1744" i="95" l="1"/>
  <c r="J1744" i="95"/>
  <c r="G1744" i="95"/>
  <c r="E1744" i="95"/>
  <c r="I1744" i="95"/>
  <c r="D1744" i="95"/>
  <c r="C1745" i="95"/>
  <c r="D1745" i="95" l="1"/>
  <c r="J1745" i="95"/>
  <c r="I1745" i="95"/>
  <c r="G1745" i="95"/>
  <c r="E1745" i="95"/>
  <c r="H1745" i="95"/>
  <c r="C1746" i="95"/>
  <c r="I1746" i="95" l="1"/>
  <c r="D1746" i="95"/>
  <c r="J1746" i="95"/>
  <c r="H1746" i="95"/>
  <c r="G1746" i="95"/>
  <c r="E1746" i="95"/>
  <c r="C1747" i="95"/>
  <c r="D1747" i="95" l="1"/>
  <c r="I1747" i="95"/>
  <c r="J1747" i="95"/>
  <c r="H1747" i="95"/>
  <c r="E1747" i="95"/>
  <c r="G1747" i="95"/>
  <c r="C1748" i="95"/>
  <c r="D1748" i="95" l="1"/>
  <c r="H1748" i="95"/>
  <c r="G1748" i="95"/>
  <c r="I1748" i="95"/>
  <c r="J1748" i="95"/>
  <c r="E1748" i="95"/>
  <c r="C1749" i="95"/>
  <c r="H1749" i="95" l="1"/>
  <c r="E1749" i="95"/>
  <c r="D1749" i="95"/>
  <c r="I1749" i="95"/>
  <c r="G1749" i="95"/>
  <c r="J1749" i="95"/>
  <c r="C1750" i="95"/>
  <c r="G1750" i="95" l="1"/>
  <c r="H1750" i="95"/>
  <c r="E1750" i="95"/>
  <c r="I1750" i="95"/>
  <c r="J1750" i="95"/>
  <c r="D1750" i="95"/>
  <c r="C1751" i="95"/>
  <c r="I1751" i="95" l="1"/>
  <c r="G1751" i="95"/>
  <c r="D1751" i="95"/>
  <c r="H1751" i="95"/>
  <c r="J1751" i="95"/>
  <c r="E1751" i="95"/>
  <c r="C1752" i="95"/>
  <c r="H1752" i="95" l="1"/>
  <c r="G1752" i="95"/>
  <c r="J1752" i="95"/>
  <c r="E1752" i="95"/>
  <c r="D1752" i="95"/>
  <c r="I1752" i="95"/>
  <c r="C1753" i="95"/>
  <c r="E1753" i="95" l="1"/>
  <c r="H1753" i="95"/>
  <c r="G1753" i="95"/>
  <c r="J1753" i="95"/>
  <c r="D1753" i="95"/>
  <c r="I1753" i="95"/>
  <c r="C1754" i="95"/>
  <c r="I1754" i="95" l="1"/>
  <c r="D1754" i="95"/>
  <c r="J1754" i="95"/>
  <c r="G1754" i="95"/>
  <c r="E1754" i="95"/>
  <c r="H1754" i="95"/>
  <c r="C1755" i="95"/>
  <c r="H1755" i="95" l="1"/>
  <c r="D1755" i="95"/>
  <c r="I1755" i="95"/>
  <c r="G1755" i="95"/>
  <c r="J1755" i="95"/>
  <c r="E1755" i="95"/>
  <c r="C1756" i="95"/>
  <c r="I1756" i="95" l="1"/>
  <c r="D1756" i="95"/>
  <c r="J1756" i="95"/>
  <c r="H1756" i="95"/>
  <c r="G1756" i="95"/>
  <c r="E1756" i="95"/>
  <c r="C1757" i="95"/>
  <c r="H1757" i="95" l="1"/>
  <c r="E1757" i="95"/>
  <c r="D1757" i="95"/>
  <c r="G1757" i="95"/>
  <c r="J1757" i="95"/>
  <c r="I1757" i="95"/>
  <c r="C1758" i="95"/>
  <c r="I1758" i="95" l="1"/>
  <c r="H1758" i="95"/>
  <c r="D1758" i="95"/>
  <c r="E1758" i="95"/>
  <c r="J1758" i="95"/>
  <c r="G1758" i="95"/>
  <c r="C1759" i="95"/>
  <c r="E1759" i="95" l="1"/>
  <c r="I1759" i="95"/>
  <c r="D1759" i="95"/>
  <c r="G1759" i="95"/>
  <c r="H1759" i="95"/>
  <c r="J1759" i="95"/>
  <c r="C1760" i="95"/>
  <c r="J1760" i="95" l="1"/>
  <c r="G1760" i="95"/>
  <c r="I1760" i="95"/>
  <c r="D1760" i="95"/>
  <c r="E1760" i="95"/>
  <c r="H1760" i="95"/>
  <c r="C1761" i="95"/>
  <c r="E1761" i="95" l="1"/>
  <c r="I1761" i="95"/>
  <c r="H1761" i="95"/>
  <c r="G1761" i="95"/>
  <c r="J1761" i="95"/>
  <c r="D1761" i="95"/>
  <c r="C1762" i="95"/>
  <c r="G1762" i="95" l="1"/>
  <c r="D1762" i="95"/>
  <c r="J1762" i="95"/>
  <c r="I1762" i="95"/>
  <c r="E1762" i="95"/>
  <c r="H1762" i="95"/>
  <c r="C1763" i="95"/>
  <c r="H1763" i="95" l="1"/>
  <c r="G1763" i="95"/>
  <c r="I1763" i="95"/>
  <c r="J1763" i="95"/>
  <c r="E1763" i="95"/>
  <c r="D1763" i="95"/>
  <c r="C1764" i="95"/>
  <c r="E1764" i="95" l="1"/>
  <c r="I1764" i="95"/>
  <c r="J1764" i="95"/>
  <c r="H1764" i="95"/>
  <c r="D1764" i="95"/>
  <c r="G1764" i="95"/>
  <c r="C1765" i="95"/>
  <c r="H1765" i="95" l="1"/>
  <c r="E1765" i="95"/>
  <c r="D1765" i="95"/>
  <c r="J1765" i="95"/>
  <c r="G1765" i="95"/>
  <c r="I1765" i="95"/>
  <c r="C1766" i="95"/>
  <c r="G1766" i="95" l="1"/>
  <c r="D1766" i="95"/>
  <c r="I1766" i="95"/>
  <c r="H1766" i="95"/>
  <c r="J1766" i="95"/>
  <c r="E1766" i="95"/>
  <c r="C1767" i="95"/>
  <c r="J1767" i="95" l="1"/>
  <c r="I1767" i="95"/>
  <c r="E1767" i="95"/>
  <c r="D1767" i="95"/>
  <c r="H1767" i="95"/>
  <c r="G1767" i="95"/>
  <c r="C36" i="96" l="1"/>
  <c r="C36" i="51"/>
  <c r="C35" i="96"/>
  <c r="C35" i="51"/>
  <c r="C34" i="96"/>
  <c r="C33" i="96"/>
  <c r="C37" i="96" s="1"/>
  <c r="C34" i="51"/>
  <c r="C33" i="51"/>
  <c r="C37" i="51" s="1"/>
  <c r="D24" i="7"/>
  <c r="D25" i="7"/>
  <c r="Q70" i="3"/>
  <c r="E75" i="3" s="1"/>
  <c r="Q22" i="3"/>
  <c r="E27" i="3" s="1"/>
  <c r="F27" i="3" s="1"/>
  <c r="Q46" i="3"/>
  <c r="E51" i="3" s="1"/>
  <c r="AT27" i="3" l="1"/>
  <c r="G27" i="3"/>
  <c r="F29" i="3"/>
  <c r="K6" i="3" s="1"/>
  <c r="M6" i="3" s="1"/>
  <c r="AU27" i="3" l="1"/>
  <c r="AU38" i="3"/>
  <c r="AU105" i="3"/>
  <c r="AU153" i="3"/>
  <c r="AU119" i="3"/>
  <c r="AU92" i="3"/>
  <c r="AU95" i="3"/>
  <c r="AU157" i="3"/>
  <c r="AU98" i="3"/>
  <c r="AU104" i="3"/>
  <c r="AU84" i="3"/>
  <c r="AU32" i="3"/>
  <c r="AU141" i="3"/>
  <c r="AU65" i="3"/>
  <c r="AU109" i="3"/>
  <c r="AU176" i="3"/>
  <c r="AU126" i="3"/>
  <c r="AU115" i="3"/>
  <c r="AU146" i="3"/>
  <c r="AU83" i="3"/>
  <c r="AU162" i="3"/>
  <c r="AU182" i="3"/>
  <c r="AU90" i="3"/>
  <c r="AU72" i="3"/>
  <c r="AU129" i="3"/>
  <c r="AU138" i="3"/>
  <c r="AU139" i="3"/>
  <c r="AU30" i="3"/>
  <c r="AU77" i="3"/>
  <c r="AU60" i="3"/>
  <c r="AU148" i="3"/>
  <c r="AU44" i="3"/>
  <c r="AU102" i="3"/>
  <c r="AU71" i="3"/>
  <c r="AU52" i="3"/>
  <c r="AU76" i="3"/>
  <c r="AU42" i="3"/>
  <c r="AU56" i="3"/>
  <c r="AU111" i="3"/>
  <c r="AU81" i="3"/>
  <c r="AU169" i="3"/>
  <c r="AU47" i="3"/>
  <c r="AU173" i="3"/>
  <c r="AU150" i="3"/>
  <c r="AU107" i="3"/>
  <c r="AU180" i="3"/>
  <c r="AU51" i="3"/>
  <c r="AU35" i="3"/>
  <c r="AU113" i="3"/>
  <c r="AU142" i="3"/>
  <c r="AU94" i="3"/>
  <c r="AU167" i="3"/>
  <c r="AU161" i="3"/>
  <c r="AU57" i="3"/>
  <c r="AU49" i="3"/>
  <c r="AU39" i="3"/>
  <c r="AU45" i="3"/>
  <c r="AU117" i="3"/>
  <c r="AU91" i="3"/>
  <c r="AU170" i="3"/>
  <c r="AU63" i="3"/>
  <c r="AU89" i="3"/>
  <c r="AU46" i="3"/>
  <c r="AU69" i="3"/>
  <c r="AU101" i="3"/>
  <c r="AU152" i="3"/>
  <c r="AU118" i="3"/>
  <c r="AU75" i="3"/>
  <c r="AU31" i="3"/>
  <c r="AU58" i="3"/>
  <c r="AU145" i="3"/>
  <c r="AU62" i="3"/>
  <c r="AU131" i="3"/>
  <c r="AU79" i="3"/>
  <c r="AU144" i="3"/>
  <c r="AU166" i="3"/>
  <c r="AU183" i="3"/>
  <c r="AU110" i="3"/>
  <c r="AU66" i="3"/>
  <c r="AU50" i="3"/>
  <c r="AU106" i="3"/>
  <c r="AU149" i="3"/>
  <c r="AU137" i="3"/>
  <c r="AU130" i="3"/>
  <c r="AU122" i="3"/>
  <c r="AU133" i="3"/>
  <c r="AU112" i="3"/>
  <c r="AU100" i="3"/>
  <c r="AU121" i="3"/>
  <c r="AU33" i="3"/>
  <c r="AU171" i="3"/>
  <c r="AU59" i="3"/>
  <c r="AU64" i="3"/>
  <c r="AU179" i="3"/>
  <c r="AU156" i="3"/>
  <c r="AU67" i="3"/>
  <c r="AU48" i="3"/>
  <c r="AU55" i="3"/>
  <c r="AU163" i="3"/>
  <c r="AU53" i="3"/>
  <c r="AU70" i="3"/>
  <c r="AU127" i="3"/>
  <c r="AU29" i="3"/>
  <c r="AU103" i="3"/>
  <c r="AU151" i="3"/>
  <c r="AU80" i="3"/>
  <c r="AU99" i="3"/>
  <c r="AU54" i="3"/>
  <c r="AU74" i="3"/>
  <c r="AU132" i="3"/>
  <c r="AU172" i="3"/>
  <c r="AU147" i="3"/>
  <c r="AU168" i="3"/>
  <c r="AU82" i="3"/>
  <c r="AU154" i="3"/>
  <c r="AU165" i="3"/>
  <c r="AU116" i="3"/>
  <c r="AU96" i="3"/>
  <c r="AU160" i="3"/>
  <c r="AU134" i="3"/>
  <c r="AU68" i="3"/>
  <c r="AU135" i="3"/>
  <c r="AU93" i="3"/>
  <c r="AU140" i="3"/>
  <c r="AU40" i="3"/>
  <c r="AU41" i="3"/>
  <c r="AU78" i="3"/>
  <c r="AU108" i="3"/>
  <c r="AU155" i="3"/>
  <c r="AU36" i="3"/>
  <c r="AU164" i="3"/>
  <c r="AU114" i="3"/>
  <c r="AU125" i="3"/>
  <c r="AU37" i="3"/>
  <c r="AU97" i="3"/>
  <c r="AU73" i="3"/>
  <c r="AU120" i="3"/>
  <c r="AU159" i="3"/>
  <c r="AU123" i="3"/>
  <c r="AU178" i="3"/>
  <c r="AU85" i="3"/>
  <c r="AU174" i="3"/>
  <c r="AU61" i="3"/>
  <c r="AU175" i="3"/>
  <c r="AU136" i="3"/>
  <c r="AU143" i="3"/>
  <c r="AU87" i="3"/>
  <c r="AU88" i="3"/>
  <c r="AU177" i="3"/>
  <c r="AU86" i="3"/>
  <c r="AU128" i="3"/>
  <c r="AU34" i="3"/>
  <c r="AU43" i="3"/>
  <c r="AU124" i="3"/>
  <c r="AU28" i="3"/>
  <c r="AU158" i="3"/>
  <c r="AU181" i="3"/>
  <c r="J24" i="72"/>
  <c r="I182" i="66"/>
  <c r="M15" i="83"/>
  <c r="G29" i="3"/>
  <c r="I551" i="95" l="1"/>
  <c r="I550" i="95"/>
  <c r="J550" i="95"/>
  <c r="J551" i="95"/>
  <c r="E550" i="95"/>
  <c r="E551" i="95"/>
  <c r="I552" i="95"/>
  <c r="E552" i="95"/>
  <c r="J552" i="95"/>
  <c r="M7" i="83"/>
  <c r="G15" i="83"/>
  <c r="T182" i="66"/>
  <c r="D15" i="83"/>
  <c r="T2" i="74"/>
  <c r="N24" i="72"/>
  <c r="F53" i="85"/>
  <c r="I568" i="95"/>
  <c r="I576" i="95"/>
  <c r="J579" i="95"/>
  <c r="J564" i="95"/>
  <c r="J561" i="95"/>
  <c r="I565" i="95"/>
  <c r="J567" i="95"/>
  <c r="I554" i="95"/>
  <c r="E564" i="95"/>
  <c r="E558" i="95"/>
  <c r="J572" i="95"/>
  <c r="J559" i="95"/>
  <c r="J573" i="95"/>
  <c r="E572" i="95"/>
  <c r="E566" i="95"/>
  <c r="E575" i="95"/>
  <c r="I560" i="95"/>
  <c r="E557" i="95"/>
  <c r="I556" i="95"/>
  <c r="E565" i="95"/>
  <c r="I569" i="95"/>
  <c r="I563" i="95"/>
  <c r="J555" i="95"/>
  <c r="E556" i="95"/>
  <c r="I578" i="95"/>
  <c r="I557" i="95"/>
  <c r="E577" i="95"/>
  <c r="J570" i="95"/>
  <c r="J560" i="95"/>
  <c r="J568" i="95"/>
  <c r="I579" i="95"/>
  <c r="I564" i="95"/>
  <c r="E573" i="95"/>
  <c r="J577" i="95"/>
  <c r="E553" i="95"/>
  <c r="I577" i="95"/>
  <c r="J563" i="95"/>
  <c r="J565" i="95"/>
  <c r="E570" i="95"/>
  <c r="I567" i="95"/>
  <c r="J578" i="95"/>
  <c r="E554" i="95"/>
  <c r="I574" i="95"/>
  <c r="E578" i="95"/>
  <c r="J557" i="95"/>
  <c r="J569" i="95"/>
  <c r="E561" i="95"/>
  <c r="E563" i="95"/>
  <c r="J553" i="95"/>
  <c r="I562" i="95"/>
  <c r="I555" i="95"/>
  <c r="E571" i="95"/>
  <c r="I575" i="95"/>
  <c r="I561" i="95"/>
  <c r="I570" i="95"/>
  <c r="I553" i="95"/>
  <c r="E579" i="95"/>
  <c r="E562" i="95"/>
  <c r="J558" i="95"/>
  <c r="J566" i="95"/>
  <c r="J574" i="95"/>
  <c r="I573" i="95"/>
  <c r="E576" i="95"/>
  <c r="E559" i="95"/>
  <c r="E560" i="95"/>
  <c r="J576" i="95"/>
  <c r="E555" i="95"/>
  <c r="E567" i="95"/>
  <c r="I558" i="95"/>
  <c r="J575" i="95"/>
  <c r="I572" i="95"/>
  <c r="I566" i="95"/>
  <c r="J571" i="95"/>
  <c r="I559" i="95"/>
  <c r="E568" i="95"/>
  <c r="E569" i="95"/>
  <c r="J556" i="95"/>
  <c r="I571" i="95"/>
  <c r="J554" i="95"/>
  <c r="J562" i="95"/>
  <c r="E574" i="95"/>
  <c r="L7" i="84" l="1"/>
  <c r="AT182" i="66"/>
  <c r="L95" i="72"/>
  <c r="AR7" i="2" s="1"/>
  <c r="B55" i="80" l="1"/>
  <c r="D76" i="80" s="1"/>
  <c r="AI8" i="83"/>
  <c r="AI7" i="83" s="1"/>
  <c r="S8" i="83"/>
  <c r="AG8" i="83"/>
  <c r="AG7" i="83" s="1"/>
  <c r="U8" i="83"/>
  <c r="U7" i="83" s="1"/>
  <c r="AA8" i="83"/>
  <c r="AA7" i="83" s="1"/>
  <c r="W8" i="83"/>
  <c r="W7" i="83" s="1"/>
  <c r="AE8" i="83"/>
  <c r="AE7" i="83" s="1"/>
  <c r="AC8" i="83"/>
  <c r="AC7" i="83" s="1"/>
  <c r="Y8" i="83"/>
  <c r="Y7" i="83" s="1"/>
  <c r="S7" i="83" l="1"/>
  <c r="J40" i="72" l="1"/>
  <c r="AC31" i="83" l="1"/>
  <c r="D31" i="83"/>
  <c r="K31" i="83"/>
  <c r="Y31" i="83"/>
  <c r="S31" i="83"/>
  <c r="I31" i="83"/>
  <c r="AI31" i="83"/>
  <c r="M31" i="83"/>
  <c r="AG31" i="83"/>
  <c r="G31" i="83"/>
  <c r="U31" i="83"/>
  <c r="AA31" i="83"/>
  <c r="O31" i="83"/>
  <c r="W31" i="83"/>
  <c r="AE31" i="83"/>
  <c r="Q31" i="83"/>
  <c r="AT25" i="70" l="1"/>
  <c r="AU25" i="70"/>
  <c r="G9" i="72"/>
  <c r="A26" i="85"/>
  <c r="L26" i="85" s="1"/>
  <c r="D7" i="2"/>
  <c r="C7" i="2" s="1"/>
  <c r="AV25" i="70" l="1"/>
  <c r="AV26" i="70" s="1"/>
  <c r="L25" i="70" s="1"/>
  <c r="F26" i="85"/>
  <c r="Q95" i="72"/>
  <c r="F7" i="2"/>
  <c r="L23" i="66"/>
  <c r="B4" i="73"/>
  <c r="A1" i="89" s="1"/>
  <c r="R95" i="72"/>
  <c r="AP7" i="2"/>
  <c r="C7" i="19"/>
  <c r="I25" i="39" s="1"/>
  <c r="F5" i="36"/>
  <c r="H7" i="2"/>
  <c r="C18" i="70"/>
  <c r="E18" i="70" s="1"/>
  <c r="H14" i="88"/>
  <c r="E95" i="72"/>
  <c r="AV29" i="70"/>
  <c r="AV30" i="70" l="1"/>
  <c r="AV31" i="70"/>
  <c r="AX27" i="70"/>
  <c r="AV28" i="70"/>
  <c r="I13" i="42"/>
  <c r="I15" i="42" s="1"/>
  <c r="E21" i="70"/>
  <c r="AG7" i="2"/>
  <c r="K5" i="36"/>
  <c r="N23" i="66"/>
  <c r="D4" i="73"/>
  <c r="AV27" i="70" l="1"/>
  <c r="AY27" i="70"/>
  <c r="P7" i="2"/>
  <c r="L28" i="85"/>
  <c r="L35" i="85" s="1"/>
  <c r="F28" i="85"/>
  <c r="F4" i="73"/>
  <c r="D949" i="70"/>
  <c r="E582" i="27" s="1"/>
  <c r="D951" i="70"/>
  <c r="E584" i="27" s="1"/>
  <c r="D952" i="70"/>
  <c r="E585" i="27" s="1"/>
  <c r="D953" i="70"/>
  <c r="E586" i="27" s="1"/>
  <c r="D945" i="70"/>
  <c r="E578" i="27" s="1"/>
  <c r="D943" i="70"/>
  <c r="E576" i="27" s="1"/>
  <c r="D947" i="70"/>
  <c r="E580" i="27" s="1"/>
  <c r="D944" i="70"/>
  <c r="E577" i="27" s="1"/>
  <c r="D942" i="70"/>
  <c r="E575" i="27" s="1"/>
  <c r="D946" i="70"/>
  <c r="E579" i="27" s="1"/>
  <c r="D950" i="70"/>
  <c r="E583" i="27" s="1"/>
  <c r="D948" i="70"/>
  <c r="E581" i="27" s="1"/>
  <c r="E861" i="70"/>
  <c r="G16" i="42"/>
  <c r="H16" i="42"/>
  <c r="H17" i="42" s="1"/>
  <c r="H19" i="42" s="1"/>
  <c r="J19" i="42" s="1"/>
  <c r="J20" i="42" s="1"/>
  <c r="O21" i="42" s="1"/>
  <c r="F40" i="85" l="1"/>
  <c r="F41" i="85" s="1"/>
  <c r="F42" i="85" s="1"/>
  <c r="F38" i="85" s="1"/>
  <c r="L45" i="85"/>
  <c r="L46" i="85" s="1"/>
  <c r="L47" i="85" s="1"/>
  <c r="L43" i="85" s="1"/>
  <c r="F35" i="85"/>
  <c r="F36" i="85" s="1"/>
  <c r="F37" i="85" s="1"/>
  <c r="F33" i="85" s="1"/>
  <c r="F45" i="85"/>
  <c r="F46" i="85" s="1"/>
  <c r="F47" i="85" s="1"/>
  <c r="F43" i="85" s="1"/>
  <c r="L40" i="85"/>
  <c r="G5" i="36"/>
  <c r="J5" i="36" s="1"/>
  <c r="L5" i="36" s="1"/>
  <c r="B47" i="36" s="1"/>
  <c r="D47" i="36" s="1"/>
  <c r="R23" i="66"/>
  <c r="T23" i="66" s="1"/>
  <c r="R7" i="2"/>
  <c r="H95" i="72"/>
  <c r="I7" i="19"/>
  <c r="AW30" i="70"/>
  <c r="AW27" i="70"/>
  <c r="Q8" i="83"/>
  <c r="E266" i="82"/>
  <c r="I584" i="27"/>
  <c r="I266" i="82" s="1"/>
  <c r="I577" i="27"/>
  <c r="I259" i="82" s="1"/>
  <c r="E259" i="82"/>
  <c r="I581" i="27"/>
  <c r="I263" i="82" s="1"/>
  <c r="E263" i="82"/>
  <c r="D14" i="58"/>
  <c r="D15" i="58" s="1"/>
  <c r="E258" i="82"/>
  <c r="I576" i="27"/>
  <c r="I258" i="82" s="1"/>
  <c r="E268" i="82"/>
  <c r="I586" i="27"/>
  <c r="I268" i="82" s="1"/>
  <c r="I583" i="27"/>
  <c r="I265" i="82" s="1"/>
  <c r="E265" i="82"/>
  <c r="E267" i="82"/>
  <c r="I585" i="27"/>
  <c r="I267" i="82" s="1"/>
  <c r="I575" i="27"/>
  <c r="I257" i="82" s="1"/>
  <c r="E257" i="82"/>
  <c r="I582" i="27"/>
  <c r="I264" i="82" s="1"/>
  <c r="E264" i="82"/>
  <c r="I580" i="27"/>
  <c r="I262" i="82" s="1"/>
  <c r="E262" i="82"/>
  <c r="I579" i="27"/>
  <c r="I261" i="82" s="1"/>
  <c r="E261" i="82"/>
  <c r="E260" i="82"/>
  <c r="I578" i="27"/>
  <c r="I260" i="82" s="1"/>
  <c r="D3" i="89"/>
  <c r="D4" i="89" s="1"/>
  <c r="F24" i="73"/>
  <c r="F27" i="73" s="1"/>
  <c r="G4" i="73"/>
  <c r="G24" i="73" s="1"/>
  <c r="G27" i="73" s="1"/>
  <c r="AH7" i="2" l="1"/>
  <c r="AI7" i="2"/>
  <c r="H4" i="73"/>
  <c r="J95" i="72"/>
  <c r="AJ7" i="2"/>
  <c r="AJ22" i="2" s="1"/>
  <c r="G10" i="72"/>
  <c r="Y7" i="2"/>
  <c r="S7" i="2" s="1"/>
  <c r="AT23" i="66"/>
  <c r="I21" i="66"/>
  <c r="I228" i="66" s="1"/>
  <c r="I229" i="66" s="1"/>
  <c r="E47" i="36"/>
  <c r="E61" i="36" s="1"/>
  <c r="G47" i="36"/>
  <c r="G61" i="36" s="1"/>
  <c r="F47" i="36"/>
  <c r="F61" i="36" s="1"/>
  <c r="Q7" i="83"/>
  <c r="G8" i="83"/>
  <c r="G7" i="83" s="1"/>
  <c r="AK7" i="2" l="1"/>
  <c r="AU86" i="66"/>
  <c r="AU201" i="66"/>
  <c r="AU202" i="66"/>
  <c r="AU222" i="66"/>
  <c r="AU141" i="66"/>
  <c r="AU61" i="66"/>
  <c r="AU123" i="66"/>
  <c r="AU101" i="66"/>
  <c r="AU104" i="66"/>
  <c r="AU54" i="66"/>
  <c r="AU210" i="66"/>
  <c r="AU142" i="66"/>
  <c r="AU168" i="66"/>
  <c r="AU182" i="66"/>
  <c r="AU95" i="66"/>
  <c r="AU82" i="66"/>
  <c r="AU89" i="66"/>
  <c r="AU36" i="66"/>
  <c r="AU129" i="66"/>
  <c r="AU134" i="66"/>
  <c r="AU29" i="66"/>
  <c r="AU173" i="66"/>
  <c r="AU195" i="66"/>
  <c r="AU183" i="66"/>
  <c r="AU35" i="66"/>
  <c r="AU131" i="66"/>
  <c r="AU32" i="66"/>
  <c r="AU92" i="66"/>
  <c r="AU43" i="66"/>
  <c r="AU171" i="66"/>
  <c r="AU34" i="66"/>
  <c r="AU207" i="66"/>
  <c r="AU67" i="66"/>
  <c r="AU58" i="66"/>
  <c r="AU49" i="66"/>
  <c r="AU71" i="66"/>
  <c r="AU126" i="66"/>
  <c r="AU85" i="66"/>
  <c r="AU144" i="66"/>
  <c r="AU65" i="66"/>
  <c r="AU117" i="66"/>
  <c r="AU105" i="66"/>
  <c r="AU128" i="66"/>
  <c r="AU56" i="66"/>
  <c r="AU212" i="66"/>
  <c r="AU47" i="66"/>
  <c r="AU132" i="66"/>
  <c r="AU122" i="66"/>
  <c r="AU211" i="66"/>
  <c r="AU41" i="66"/>
  <c r="AU94" i="66"/>
  <c r="AU146" i="66"/>
  <c r="AU186" i="66"/>
  <c r="AU110" i="66"/>
  <c r="AU159" i="66"/>
  <c r="AU156" i="66"/>
  <c r="AU23" i="66"/>
  <c r="AU63" i="66"/>
  <c r="AU28" i="66"/>
  <c r="AU79" i="66"/>
  <c r="AU114" i="66"/>
  <c r="AU188" i="66"/>
  <c r="AU166" i="66"/>
  <c r="AU138" i="66"/>
  <c r="AU90" i="66"/>
  <c r="AU25" i="66"/>
  <c r="AU72" i="66"/>
  <c r="AU196" i="66"/>
  <c r="AU103" i="66"/>
  <c r="AU214" i="66"/>
  <c r="AU137" i="66"/>
  <c r="AU184" i="66"/>
  <c r="AU149" i="66"/>
  <c r="AU50" i="66"/>
  <c r="AU76" i="66"/>
  <c r="AU130" i="66"/>
  <c r="AU45" i="66"/>
  <c r="AU93" i="66"/>
  <c r="AU155" i="66"/>
  <c r="AU145" i="66"/>
  <c r="AU178" i="66"/>
  <c r="AU87" i="66"/>
  <c r="AU169" i="66"/>
  <c r="AU192" i="66"/>
  <c r="AU153" i="66"/>
  <c r="AU198" i="66"/>
  <c r="AU158" i="66"/>
  <c r="AU39" i="66"/>
  <c r="AU27" i="66"/>
  <c r="AU161" i="66"/>
  <c r="AU172" i="66"/>
  <c r="AU99" i="66"/>
  <c r="AU162" i="66"/>
  <c r="AU80" i="66"/>
  <c r="AU30" i="66"/>
  <c r="AU189" i="66"/>
  <c r="AU133" i="66"/>
  <c r="AU180" i="66"/>
  <c r="AU57" i="66"/>
  <c r="AU118" i="66"/>
  <c r="AU187" i="66"/>
  <c r="AU181" i="66"/>
  <c r="AU151" i="66"/>
  <c r="AU127" i="66"/>
  <c r="AU121" i="66"/>
  <c r="AU97" i="66"/>
  <c r="AU60" i="66"/>
  <c r="AU26" i="66"/>
  <c r="AU59" i="66"/>
  <c r="AU24" i="66"/>
  <c r="AU37" i="66"/>
  <c r="AU120" i="66"/>
  <c r="AU102" i="66"/>
  <c r="AU44" i="66"/>
  <c r="AU98" i="66"/>
  <c r="AU194" i="66"/>
  <c r="AU163" i="66"/>
  <c r="AU200" i="66"/>
  <c r="AU64" i="66"/>
  <c r="AU115" i="66"/>
  <c r="AU217" i="66"/>
  <c r="AU74" i="66"/>
  <c r="AU77" i="66"/>
  <c r="AU125" i="66"/>
  <c r="AU199" i="66"/>
  <c r="AU113" i="66"/>
  <c r="AU193" i="66"/>
  <c r="AU143" i="66"/>
  <c r="AU108" i="66"/>
  <c r="AU154" i="66"/>
  <c r="AU165" i="66"/>
  <c r="AU46" i="66"/>
  <c r="AU42" i="66"/>
  <c r="AU164" i="66"/>
  <c r="AU209" i="66"/>
  <c r="AU220" i="66"/>
  <c r="AU70" i="66"/>
  <c r="AU147" i="66"/>
  <c r="AU100" i="66"/>
  <c r="AU40" i="66"/>
  <c r="AU206" i="66"/>
  <c r="AU112" i="66"/>
  <c r="AU215" i="66"/>
  <c r="AU33" i="66"/>
  <c r="AU221" i="66"/>
  <c r="AU139" i="66"/>
  <c r="AU107" i="66"/>
  <c r="AU148" i="66"/>
  <c r="AU176" i="66"/>
  <c r="AU135" i="66"/>
  <c r="AU174" i="66"/>
  <c r="AU109" i="66"/>
  <c r="AU205" i="66"/>
  <c r="AU218" i="66"/>
  <c r="AU219" i="66"/>
  <c r="AU111" i="66"/>
  <c r="AU191" i="66"/>
  <c r="AU68" i="66"/>
  <c r="AU160" i="66"/>
  <c r="AU73" i="66"/>
  <c r="AU170" i="66"/>
  <c r="AU31" i="66"/>
  <c r="AU69" i="66"/>
  <c r="AU203" i="66"/>
  <c r="AU204" i="66"/>
  <c r="AU119" i="66"/>
  <c r="AU150" i="66"/>
  <c r="AU116" i="66"/>
  <c r="AU75" i="66"/>
  <c r="AU213" i="66"/>
  <c r="AU177" i="66"/>
  <c r="AU216" i="66"/>
  <c r="AU84" i="66"/>
  <c r="AU124" i="66"/>
  <c r="AU53" i="66"/>
  <c r="AU38" i="66"/>
  <c r="AU51" i="66"/>
  <c r="AU96" i="66"/>
  <c r="AU81" i="66"/>
  <c r="AU91" i="66"/>
  <c r="AU55" i="66"/>
  <c r="AU190" i="66"/>
  <c r="AU48" i="66"/>
  <c r="AU223" i="66"/>
  <c r="AU66" i="66"/>
  <c r="AU197" i="66"/>
  <c r="AU224" i="66"/>
  <c r="AU88" i="66"/>
  <c r="AU140" i="66"/>
  <c r="AU185" i="66"/>
  <c r="AU62" i="66"/>
  <c r="AU157" i="66"/>
  <c r="AU179" i="66"/>
  <c r="AU106" i="66"/>
  <c r="AU83" i="66"/>
  <c r="AU136" i="66"/>
  <c r="AU167" i="66"/>
  <c r="AU52" i="66"/>
  <c r="AU175" i="66"/>
  <c r="AU152" i="66"/>
  <c r="AU208" i="66"/>
  <c r="AU78" i="66"/>
  <c r="Z7" i="2"/>
  <c r="AA7" i="2"/>
  <c r="T7" i="2"/>
  <c r="K4" i="73"/>
  <c r="I4" i="73"/>
  <c r="AI22" i="2"/>
  <c r="J48" i="72"/>
  <c r="J53" i="72" s="1"/>
  <c r="J32" i="72"/>
  <c r="AK22" i="2"/>
  <c r="I24" i="73" l="1"/>
  <c r="I27" i="73" s="1"/>
  <c r="J4" i="73"/>
  <c r="J24" i="73" s="1"/>
  <c r="J27" i="73" s="1"/>
  <c r="J2" i="89"/>
  <c r="L4" i="73"/>
  <c r="AT7" i="2"/>
  <c r="AL7" i="2"/>
  <c r="Z17" i="72" s="1"/>
  <c r="T22" i="2"/>
  <c r="V2" i="74"/>
  <c r="G7" i="84" s="1"/>
  <c r="N32" i="72"/>
  <c r="J30" i="72"/>
  <c r="D23" i="83"/>
  <c r="D1268" i="95"/>
  <c r="G1273" i="95"/>
  <c r="G1225" i="95"/>
  <c r="J1219" i="95"/>
  <c r="D1313" i="95"/>
  <c r="G1206" i="95"/>
  <c r="I1244" i="95"/>
  <c r="G1216" i="95"/>
  <c r="E1189" i="95"/>
  <c r="J1241" i="95"/>
  <c r="G1253" i="95"/>
  <c r="D1197" i="95"/>
  <c r="D1279" i="95"/>
  <c r="I1325" i="95"/>
  <c r="D1217" i="95"/>
  <c r="D1278" i="95"/>
  <c r="J1192" i="95"/>
  <c r="D1338" i="95"/>
  <c r="E1239" i="95"/>
  <c r="G1183" i="95"/>
  <c r="D1162" i="95"/>
  <c r="J1243" i="95"/>
  <c r="G1181" i="95"/>
  <c r="G1266" i="95"/>
  <c r="I1301" i="95"/>
  <c r="J1310" i="95"/>
  <c r="D1239" i="95"/>
  <c r="J1250" i="95"/>
  <c r="E1212" i="95"/>
  <c r="G1267" i="95"/>
  <c r="E1209" i="95"/>
  <c r="J1270" i="95"/>
  <c r="I1150" i="95"/>
  <c r="E1255" i="95"/>
  <c r="J1273" i="95"/>
  <c r="J1149" i="95"/>
  <c r="G1219" i="95"/>
  <c r="G1308" i="95"/>
  <c r="J1325" i="95"/>
  <c r="J1244" i="95"/>
  <c r="J1165" i="95"/>
  <c r="J1204" i="95"/>
  <c r="D1250" i="95"/>
  <c r="J1184" i="95"/>
  <c r="J1277" i="95"/>
  <c r="D1238" i="95"/>
  <c r="I1239" i="95"/>
  <c r="I1284" i="95"/>
  <c r="J1207" i="95"/>
  <c r="G1232" i="95"/>
  <c r="G1163" i="95"/>
  <c r="E1288" i="95"/>
  <c r="G1142" i="95"/>
  <c r="D1343" i="95"/>
  <c r="G1207" i="95"/>
  <c r="D1314" i="95"/>
  <c r="D1311" i="95"/>
  <c r="G1200" i="95"/>
  <c r="E1306" i="95"/>
  <c r="J1197" i="95"/>
  <c r="D1200" i="95"/>
  <c r="I1296" i="95"/>
  <c r="J1293" i="95"/>
  <c r="J1155" i="95"/>
  <c r="G1263" i="95"/>
  <c r="G1227" i="95"/>
  <c r="E1249" i="95"/>
  <c r="G1221" i="95"/>
  <c r="D1312" i="95"/>
  <c r="G1334" i="95"/>
  <c r="I1334" i="95"/>
  <c r="J1311" i="95"/>
  <c r="E1215" i="95"/>
  <c r="J1321" i="95"/>
  <c r="G1337" i="95"/>
  <c r="J1190" i="95"/>
  <c r="I1257" i="95"/>
  <c r="J1201" i="95"/>
  <c r="D1342" i="95"/>
  <c r="I1276" i="95"/>
  <c r="E1146" i="95"/>
  <c r="E1298" i="95"/>
  <c r="D1201" i="95"/>
  <c r="E1182" i="95"/>
  <c r="E1155" i="95"/>
  <c r="D1289" i="95"/>
  <c r="E1219" i="95"/>
  <c r="D1329" i="95"/>
  <c r="G1218" i="95"/>
  <c r="J1231" i="95"/>
  <c r="D1215" i="95"/>
  <c r="G1235" i="95"/>
  <c r="G1323" i="95"/>
  <c r="G1332" i="95"/>
  <c r="E1244" i="95"/>
  <c r="I1163" i="95"/>
  <c r="D1266" i="95"/>
  <c r="G1319" i="95"/>
  <c r="I1147" i="95"/>
  <c r="G1268" i="95"/>
  <c r="J1249" i="95"/>
  <c r="D1254" i="95"/>
  <c r="I1165" i="95"/>
  <c r="J1301" i="95"/>
  <c r="G1299" i="95"/>
  <c r="D1180" i="95"/>
  <c r="D1328" i="95"/>
  <c r="I1315" i="95"/>
  <c r="E1297" i="95"/>
  <c r="E1319" i="95"/>
  <c r="E1250" i="95"/>
  <c r="G1298" i="95"/>
  <c r="I1270" i="95"/>
  <c r="D1145" i="95"/>
  <c r="I1280" i="95"/>
  <c r="D1174" i="95"/>
  <c r="I1176" i="95"/>
  <c r="D1235" i="95"/>
  <c r="D1237" i="95"/>
  <c r="E1311" i="95"/>
  <c r="G1164" i="95"/>
  <c r="E1273" i="95"/>
  <c r="D1309" i="95"/>
  <c r="I1231" i="95"/>
  <c r="I1202" i="95"/>
  <c r="G1190" i="95"/>
  <c r="E1322" i="95"/>
  <c r="E1207" i="95"/>
  <c r="G1153" i="95"/>
  <c r="G1279" i="95"/>
  <c r="G1256" i="95"/>
  <c r="D1257" i="95"/>
  <c r="I1321" i="95"/>
  <c r="I1340" i="95"/>
  <c r="J1279" i="95"/>
  <c r="J1253" i="95"/>
  <c r="E1341" i="95"/>
  <c r="J1294" i="95"/>
  <c r="E1190" i="95"/>
  <c r="D1209" i="95"/>
  <c r="J1196" i="95"/>
  <c r="I1338" i="95"/>
  <c r="D1236" i="95"/>
  <c r="J1175" i="95"/>
  <c r="D1150" i="95"/>
  <c r="I1184" i="95"/>
  <c r="G1331" i="95"/>
  <c r="J1339" i="95"/>
  <c r="D1331" i="95"/>
  <c r="J1208" i="95"/>
  <c r="I1246" i="95"/>
  <c r="I1179" i="95"/>
  <c r="G1264" i="95"/>
  <c r="E1171" i="95"/>
  <c r="D1282" i="95"/>
  <c r="I1317" i="95"/>
  <c r="E1202" i="95"/>
  <c r="I1149" i="95"/>
  <c r="E1231" i="95"/>
  <c r="D1232" i="95"/>
  <c r="G1307" i="95"/>
  <c r="J1291" i="95"/>
  <c r="I1151" i="95"/>
  <c r="I1319" i="95"/>
  <c r="G1210" i="95"/>
  <c r="D1299" i="95"/>
  <c r="I1236" i="95"/>
  <c r="E1247" i="95"/>
  <c r="D1242" i="95"/>
  <c r="E1328" i="95"/>
  <c r="D1321" i="95"/>
  <c r="G1321" i="95"/>
  <c r="D1322" i="95"/>
  <c r="I1175" i="95"/>
  <c r="I1291" i="95"/>
  <c r="I1282" i="95"/>
  <c r="D1173" i="95"/>
  <c r="E1225" i="95"/>
  <c r="D1172" i="95"/>
  <c r="I1218" i="95"/>
  <c r="E1188" i="95"/>
  <c r="J1141" i="95"/>
  <c r="J1305" i="95"/>
  <c r="E1174" i="95"/>
  <c r="E1286" i="95"/>
  <c r="G1234" i="95"/>
  <c r="J1152" i="95"/>
  <c r="D1277" i="95"/>
  <c r="I1212" i="95"/>
  <c r="G1287" i="95"/>
  <c r="E1144" i="95"/>
  <c r="I1256" i="95"/>
  <c r="J1264" i="95"/>
  <c r="D1225" i="95"/>
  <c r="I1265" i="95"/>
  <c r="G1254" i="95"/>
  <c r="G1305" i="95"/>
  <c r="E1256" i="95"/>
  <c r="G1170" i="95"/>
  <c r="J1306" i="95"/>
  <c r="J1213" i="95"/>
  <c r="G1278" i="95"/>
  <c r="E1305" i="95"/>
  <c r="D1316" i="95"/>
  <c r="G1192" i="95"/>
  <c r="J1318" i="95"/>
  <c r="D1315" i="95"/>
  <c r="J1334" i="95"/>
  <c r="I1156" i="95"/>
  <c r="E1278" i="95"/>
  <c r="I1225" i="95"/>
  <c r="I1182" i="95"/>
  <c r="E1289" i="95"/>
  <c r="D1219" i="95"/>
  <c r="J1329" i="95"/>
  <c r="G1199" i="95"/>
  <c r="G1297" i="95"/>
  <c r="J1290" i="95"/>
  <c r="E1342" i="95"/>
  <c r="E1213" i="95"/>
  <c r="G1201" i="95"/>
  <c r="J1171" i="95"/>
  <c r="E1261" i="95"/>
  <c r="D1164" i="95"/>
  <c r="E1243" i="95"/>
  <c r="E1333" i="95"/>
  <c r="E1300" i="95"/>
  <c r="E1165" i="95"/>
  <c r="E1269" i="95"/>
  <c r="J1295" i="95"/>
  <c r="G1316" i="95"/>
  <c r="G1292" i="95"/>
  <c r="E1262" i="95"/>
  <c r="I1187" i="95"/>
  <c r="D1216" i="95"/>
  <c r="J1180" i="95"/>
  <c r="J1172" i="95"/>
  <c r="I1292" i="95"/>
  <c r="I1168" i="95"/>
  <c r="J1230" i="95"/>
  <c r="E1248" i="95"/>
  <c r="G1194" i="95"/>
  <c r="I1214" i="95"/>
  <c r="E1192" i="95"/>
  <c r="D1223" i="95"/>
  <c r="D1265" i="95"/>
  <c r="E1331" i="95"/>
  <c r="I1303" i="95"/>
  <c r="J1164" i="95"/>
  <c r="E1280" i="95"/>
  <c r="E1214" i="95"/>
  <c r="G1169" i="95"/>
  <c r="E1175" i="95"/>
  <c r="G1262" i="95"/>
  <c r="I1250" i="95"/>
  <c r="J1161" i="95"/>
  <c r="D1157" i="95"/>
  <c r="D1212" i="95"/>
  <c r="D1323" i="95"/>
  <c r="G1143" i="95"/>
  <c r="D1305" i="95"/>
  <c r="E1183" i="95"/>
  <c r="J1246" i="95"/>
  <c r="G1213" i="95"/>
  <c r="G1275" i="95"/>
  <c r="I1242" i="95"/>
  <c r="E1203" i="95"/>
  <c r="J1211" i="95"/>
  <c r="D1205" i="95"/>
  <c r="J1186" i="95"/>
  <c r="G1244" i="95"/>
  <c r="G1141" i="95"/>
  <c r="I1248" i="95"/>
  <c r="J1188" i="95"/>
  <c r="G1340" i="95"/>
  <c r="E1279" i="95"/>
  <c r="G1179" i="95"/>
  <c r="E1200" i="95"/>
  <c r="G1261" i="95"/>
  <c r="D1275" i="95"/>
  <c r="E1271" i="95"/>
  <c r="E1265" i="95"/>
  <c r="D1184" i="95"/>
  <c r="G1193" i="95"/>
  <c r="E1211" i="95"/>
  <c r="J1232" i="95"/>
  <c r="D1227" i="95"/>
  <c r="E1313" i="95"/>
  <c r="G1251" i="95"/>
  <c r="G1280" i="95"/>
  <c r="D1177" i="95"/>
  <c r="D1192" i="95"/>
  <c r="D1176" i="95"/>
  <c r="J1240" i="95"/>
  <c r="E1221" i="95"/>
  <c r="D1256" i="95"/>
  <c r="G1147" i="95"/>
  <c r="J1314" i="95"/>
  <c r="I1152" i="95"/>
  <c r="J1178" i="95"/>
  <c r="E1264" i="95"/>
  <c r="D1229" i="95"/>
  <c r="J1308" i="95"/>
  <c r="E1152" i="95"/>
  <c r="G1222" i="95"/>
  <c r="J1229" i="95"/>
  <c r="J1307" i="95"/>
  <c r="G1252" i="95"/>
  <c r="D1181" i="95"/>
  <c r="E1325" i="95"/>
  <c r="I1336" i="95"/>
  <c r="G1255" i="95"/>
  <c r="E1323" i="95"/>
  <c r="D1206" i="95"/>
  <c r="D1307" i="95"/>
  <c r="I1262" i="95"/>
  <c r="G1326" i="95"/>
  <c r="I1209" i="95"/>
  <c r="I1251" i="95"/>
  <c r="G1304" i="95"/>
  <c r="J1313" i="95"/>
  <c r="D1156" i="95"/>
  <c r="D1168" i="95"/>
  <c r="I1286" i="95"/>
  <c r="D1194" i="95"/>
  <c r="E1204" i="95"/>
  <c r="G1245" i="95"/>
  <c r="D1335" i="95"/>
  <c r="I1290" i="95"/>
  <c r="I1255" i="95"/>
  <c r="I1339" i="95"/>
  <c r="I1307" i="95"/>
  <c r="E1166" i="95"/>
  <c r="G1293" i="95"/>
  <c r="D1255" i="95"/>
  <c r="I1252" i="95"/>
  <c r="J1285" i="95"/>
  <c r="G1161" i="95"/>
  <c r="I1221" i="95"/>
  <c r="I1297" i="95"/>
  <c r="G1173" i="95"/>
  <c r="E1245" i="95"/>
  <c r="J1242" i="95"/>
  <c r="I1293" i="95"/>
  <c r="G1243" i="95"/>
  <c r="E1197" i="95"/>
  <c r="G1187" i="95"/>
  <c r="I1200" i="95"/>
  <c r="D1290" i="95"/>
  <c r="D1182" i="95"/>
  <c r="I1208" i="95"/>
  <c r="J1331" i="95"/>
  <c r="I1199" i="95"/>
  <c r="D1186" i="95"/>
  <c r="I1211" i="95"/>
  <c r="J1236" i="95"/>
  <c r="J1150" i="95"/>
  <c r="D1220" i="95"/>
  <c r="D1187" i="95"/>
  <c r="G1214" i="95"/>
  <c r="D1287" i="95"/>
  <c r="E1299" i="95"/>
  <c r="G1152" i="95"/>
  <c r="D1319" i="95"/>
  <c r="I1198" i="95"/>
  <c r="I1230" i="95"/>
  <c r="E1163" i="95"/>
  <c r="J1154" i="95"/>
  <c r="D1198" i="95"/>
  <c r="I1188" i="95"/>
  <c r="I1327" i="95"/>
  <c r="G1239" i="95"/>
  <c r="D1202" i="95"/>
  <c r="J1344" i="95"/>
  <c r="J1324" i="95"/>
  <c r="J1335" i="95"/>
  <c r="E1285" i="95"/>
  <c r="D1185" i="95"/>
  <c r="D1190" i="95"/>
  <c r="G1178" i="95"/>
  <c r="E1147" i="95"/>
  <c r="J1269" i="95"/>
  <c r="I1318" i="95"/>
  <c r="D1142" i="95"/>
  <c r="D1143" i="95"/>
  <c r="G1233" i="95"/>
  <c r="I1173" i="95"/>
  <c r="J1342" i="95"/>
  <c r="G1303" i="95"/>
  <c r="J1341" i="95"/>
  <c r="G1149" i="95"/>
  <c r="J1195" i="95"/>
  <c r="E1315" i="95"/>
  <c r="E1172" i="95"/>
  <c r="J1176" i="95"/>
  <c r="I1323" i="95"/>
  <c r="G1228" i="95"/>
  <c r="J1222" i="95"/>
  <c r="G1174" i="95"/>
  <c r="E1310" i="95"/>
  <c r="I1259" i="95"/>
  <c r="E1193" i="95"/>
  <c r="E1186" i="95"/>
  <c r="D1258" i="95"/>
  <c r="J1159" i="95"/>
  <c r="D1320" i="95"/>
  <c r="I1193" i="95"/>
  <c r="I1161" i="95"/>
  <c r="G1160" i="95"/>
  <c r="E1218" i="95"/>
  <c r="G1230" i="95"/>
  <c r="D1253" i="95"/>
  <c r="I1337" i="95"/>
  <c r="I1305" i="95"/>
  <c r="J1194" i="95"/>
  <c r="D1301" i="95"/>
  <c r="E1253" i="95"/>
  <c r="D1310" i="95"/>
  <c r="E1275" i="95"/>
  <c r="I1181" i="95"/>
  <c r="J1153" i="95"/>
  <c r="E1258" i="95"/>
  <c r="D1284" i="95"/>
  <c r="I1146" i="95"/>
  <c r="I1324" i="95"/>
  <c r="D1285" i="95"/>
  <c r="D1218" i="95"/>
  <c r="G1342" i="95"/>
  <c r="I1313" i="95"/>
  <c r="D1221" i="95"/>
  <c r="E1252" i="95"/>
  <c r="G1260" i="95"/>
  <c r="I1343" i="95"/>
  <c r="G1175" i="95"/>
  <c r="E1334" i="95"/>
  <c r="I1341" i="95"/>
  <c r="I1306" i="95"/>
  <c r="J1302" i="95"/>
  <c r="I1164" i="95"/>
  <c r="I1226" i="95"/>
  <c r="I1294" i="95"/>
  <c r="E1194" i="95"/>
  <c r="I1316" i="95"/>
  <c r="E1160" i="95"/>
  <c r="D1293" i="95"/>
  <c r="I1153" i="95"/>
  <c r="J1200" i="95"/>
  <c r="J1338" i="95"/>
  <c r="I1253" i="95"/>
  <c r="E1246" i="95"/>
  <c r="G1168" i="95"/>
  <c r="G1270" i="95"/>
  <c r="E1157" i="95"/>
  <c r="J1274" i="95"/>
  <c r="E1293" i="95"/>
  <c r="G1145" i="95"/>
  <c r="D1222" i="95"/>
  <c r="D1259" i="95"/>
  <c r="D1146" i="95"/>
  <c r="I1228" i="95"/>
  <c r="J1170" i="95"/>
  <c r="D1155" i="95"/>
  <c r="G1195" i="95"/>
  <c r="G1300" i="95"/>
  <c r="G1157" i="95"/>
  <c r="E1220" i="95"/>
  <c r="D1303" i="95"/>
  <c r="D1317" i="95"/>
  <c r="G1290" i="95"/>
  <c r="D1195" i="95"/>
  <c r="I1194" i="95"/>
  <c r="I1177" i="95"/>
  <c r="E1276" i="95"/>
  <c r="D1294" i="95"/>
  <c r="I1155" i="95"/>
  <c r="I1190" i="95"/>
  <c r="E1159" i="95"/>
  <c r="J1205" i="95"/>
  <c r="D1213" i="95"/>
  <c r="G1176" i="95"/>
  <c r="J1283" i="95"/>
  <c r="G1223" i="95"/>
  <c r="J1158" i="95"/>
  <c r="D1283" i="95"/>
  <c r="I1235" i="95"/>
  <c r="G1172" i="95"/>
  <c r="E1230" i="95"/>
  <c r="I1289" i="95"/>
  <c r="J1320" i="95"/>
  <c r="J1162" i="95"/>
  <c r="I1189" i="95"/>
  <c r="D1291" i="95"/>
  <c r="I1333" i="95"/>
  <c r="D1249" i="95"/>
  <c r="J1271" i="95"/>
  <c r="E1291" i="95"/>
  <c r="E1320" i="95"/>
  <c r="G1148" i="95"/>
  <c r="J1275" i="95"/>
  <c r="I1342" i="95"/>
  <c r="I1267" i="95"/>
  <c r="I1223" i="95"/>
  <c r="I1204" i="95"/>
  <c r="D1183" i="95"/>
  <c r="I1169" i="95"/>
  <c r="G1209" i="95"/>
  <c r="J1148" i="95"/>
  <c r="E1290" i="95"/>
  <c r="J1284" i="95"/>
  <c r="E1143" i="95"/>
  <c r="G1312" i="95"/>
  <c r="I1201" i="95"/>
  <c r="D1263" i="95"/>
  <c r="E1283" i="95"/>
  <c r="J1300" i="95"/>
  <c r="G1249" i="95"/>
  <c r="J1168" i="95"/>
  <c r="I1241" i="95"/>
  <c r="I1192" i="95"/>
  <c r="I1275" i="95"/>
  <c r="I1237" i="95"/>
  <c r="G1314" i="95"/>
  <c r="J1147" i="95"/>
  <c r="G1285" i="95"/>
  <c r="D1340" i="95"/>
  <c r="E1303" i="95"/>
  <c r="D1165" i="95"/>
  <c r="D1325" i="95"/>
  <c r="J1256" i="95"/>
  <c r="I1219" i="95"/>
  <c r="E1233" i="95"/>
  <c r="D1166" i="95"/>
  <c r="G1329" i="95"/>
  <c r="E1284" i="95"/>
  <c r="J1299" i="95"/>
  <c r="J1296" i="95"/>
  <c r="D1280" i="95"/>
  <c r="I1217" i="95"/>
  <c r="J1286" i="95"/>
  <c r="J1332" i="95"/>
  <c r="E1181" i="95"/>
  <c r="I1308" i="95"/>
  <c r="D1269" i="95"/>
  <c r="G1226" i="95"/>
  <c r="I1335" i="95"/>
  <c r="I1222" i="95"/>
  <c r="I1160" i="95"/>
  <c r="E1307" i="95"/>
  <c r="J1337" i="95"/>
  <c r="I1227" i="95"/>
  <c r="D1274" i="95"/>
  <c r="I1271" i="95"/>
  <c r="I1245" i="95"/>
  <c r="I1247" i="95"/>
  <c r="G1167" i="95"/>
  <c r="J1255" i="95"/>
  <c r="J1221" i="95"/>
  <c r="J1278" i="95"/>
  <c r="G1242" i="95"/>
  <c r="D1261" i="95"/>
  <c r="E1184" i="95"/>
  <c r="G1320" i="95"/>
  <c r="J1248" i="95"/>
  <c r="J1193" i="95"/>
  <c r="G1330" i="95"/>
  <c r="D1153" i="95"/>
  <c r="E1294" i="95"/>
  <c r="G1197" i="95"/>
  <c r="J1191" i="95"/>
  <c r="E1330" i="95"/>
  <c r="G1159" i="95"/>
  <c r="E1153" i="95"/>
  <c r="G1196" i="95"/>
  <c r="D1148" i="95"/>
  <c r="J1146" i="95"/>
  <c r="I1232" i="95"/>
  <c r="E1304" i="95"/>
  <c r="J1276" i="95"/>
  <c r="I1326" i="95"/>
  <c r="D1260" i="95"/>
  <c r="D1273" i="95"/>
  <c r="G1208" i="95"/>
  <c r="E1168" i="95"/>
  <c r="D1296" i="95"/>
  <c r="E1169" i="95"/>
  <c r="D1178" i="95"/>
  <c r="I1143" i="95"/>
  <c r="G1296" i="95"/>
  <c r="J1282" i="95"/>
  <c r="J1157" i="95"/>
  <c r="J1315" i="95"/>
  <c r="G1281" i="95"/>
  <c r="G1236" i="95"/>
  <c r="I1196" i="95"/>
  <c r="E1287" i="95"/>
  <c r="I1330" i="95"/>
  <c r="I1191" i="95"/>
  <c r="E1201" i="95"/>
  <c r="G1276" i="95"/>
  <c r="E1340" i="95"/>
  <c r="E1223" i="95"/>
  <c r="E1274" i="95"/>
  <c r="J1297" i="95"/>
  <c r="G1317" i="95"/>
  <c r="J1173" i="95"/>
  <c r="G1154" i="95"/>
  <c r="D1149" i="95"/>
  <c r="G1295" i="95"/>
  <c r="G1327" i="95"/>
  <c r="I1145" i="95"/>
  <c r="I1210" i="95"/>
  <c r="J1287" i="95"/>
  <c r="I1283" i="95"/>
  <c r="D1160" i="95"/>
  <c r="E1196" i="95"/>
  <c r="G1336" i="95"/>
  <c r="D1159" i="95"/>
  <c r="D1324" i="95"/>
  <c r="G1150" i="95"/>
  <c r="G1144" i="95"/>
  <c r="E1164" i="95"/>
  <c r="J1317" i="95"/>
  <c r="I1154" i="95"/>
  <c r="G1217" i="95"/>
  <c r="E1266" i="95"/>
  <c r="J1209" i="95"/>
  <c r="D1161" i="95"/>
  <c r="G1224" i="95"/>
  <c r="J1160" i="95"/>
  <c r="D1251" i="95"/>
  <c r="D1318" i="95"/>
  <c r="G1186" i="95"/>
  <c r="D1264" i="95"/>
  <c r="E1301" i="95"/>
  <c r="J1177" i="95"/>
  <c r="E1227" i="95"/>
  <c r="D1246" i="95"/>
  <c r="J1185" i="95"/>
  <c r="I1195" i="95"/>
  <c r="I1260" i="95"/>
  <c r="I1171" i="95"/>
  <c r="D1334" i="95"/>
  <c r="I1314" i="95"/>
  <c r="G1185" i="95"/>
  <c r="G1205" i="95"/>
  <c r="E1170" i="95"/>
  <c r="J1252" i="95"/>
  <c r="E1229" i="95"/>
  <c r="J1223" i="95"/>
  <c r="I1273" i="95"/>
  <c r="D1154" i="95"/>
  <c r="I1311" i="95"/>
  <c r="E1141" i="95"/>
  <c r="G1250" i="95"/>
  <c r="G1306" i="95"/>
  <c r="D1193" i="95"/>
  <c r="J1206" i="95"/>
  <c r="J1323" i="95"/>
  <c r="E1154" i="95"/>
  <c r="I1288" i="95"/>
  <c r="J1268" i="95"/>
  <c r="D1247" i="95"/>
  <c r="J1251" i="95"/>
  <c r="D1144" i="95"/>
  <c r="G1313" i="95"/>
  <c r="E1270" i="95"/>
  <c r="I1213" i="95"/>
  <c r="D1339" i="95"/>
  <c r="G1311" i="95"/>
  <c r="D1170" i="95"/>
  <c r="I1277" i="95"/>
  <c r="J1309" i="95"/>
  <c r="G1328" i="95"/>
  <c r="G1184" i="95"/>
  <c r="I1304" i="95"/>
  <c r="G1158" i="95"/>
  <c r="G1288" i="95"/>
  <c r="E1335" i="95"/>
  <c r="E1179" i="95"/>
  <c r="J1202" i="95"/>
  <c r="D1281" i="95"/>
  <c r="J1343" i="95"/>
  <c r="G1182" i="95"/>
  <c r="E1260" i="95"/>
  <c r="E1176" i="95"/>
  <c r="E1222" i="95"/>
  <c r="G1204" i="95"/>
  <c r="D1276" i="95"/>
  <c r="G1177" i="95"/>
  <c r="E1343" i="95"/>
  <c r="J1330" i="95"/>
  <c r="D1167" i="95"/>
  <c r="I1159" i="95"/>
  <c r="D1308" i="95"/>
  <c r="I1295" i="95"/>
  <c r="J1257" i="95"/>
  <c r="G1246" i="95"/>
  <c r="G1166" i="95"/>
  <c r="I1287" i="95"/>
  <c r="J1145" i="95"/>
  <c r="D1152" i="95"/>
  <c r="E1148" i="95"/>
  <c r="I1263" i="95"/>
  <c r="J1220" i="95"/>
  <c r="D1333" i="95"/>
  <c r="J1267" i="95"/>
  <c r="I1261" i="95"/>
  <c r="J1239" i="95"/>
  <c r="J1224" i="95"/>
  <c r="D1231" i="95"/>
  <c r="J1166" i="95"/>
  <c r="I1312" i="95"/>
  <c r="I1207" i="95"/>
  <c r="I1298" i="95"/>
  <c r="I1180" i="95"/>
  <c r="G1301" i="95"/>
  <c r="I1274" i="95"/>
  <c r="G1202" i="95"/>
  <c r="G1272" i="95"/>
  <c r="G1343" i="95"/>
  <c r="G1165" i="95"/>
  <c r="D1326" i="95"/>
  <c r="D1151" i="95"/>
  <c r="E1210" i="95"/>
  <c r="J1288" i="95"/>
  <c r="D1248" i="95"/>
  <c r="G1191" i="95"/>
  <c r="J1247" i="95"/>
  <c r="E1324" i="95"/>
  <c r="I1186" i="95"/>
  <c r="E1191" i="95"/>
  <c r="J1198" i="95"/>
  <c r="D1243" i="95"/>
  <c r="E1226" i="95"/>
  <c r="G1269" i="95"/>
  <c r="I1272" i="95"/>
  <c r="G1339" i="95"/>
  <c r="E1198" i="95"/>
  <c r="D1141" i="95"/>
  <c r="J1328" i="95"/>
  <c r="J1189" i="95"/>
  <c r="D1224" i="95"/>
  <c r="E1302" i="95"/>
  <c r="I1148" i="95"/>
  <c r="J1265" i="95"/>
  <c r="E1240" i="95"/>
  <c r="G1155" i="95"/>
  <c r="D1330" i="95"/>
  <c r="I1279" i="95"/>
  <c r="I1322" i="95"/>
  <c r="G1189" i="95"/>
  <c r="J1245" i="95"/>
  <c r="E1327" i="95"/>
  <c r="D1270" i="95"/>
  <c r="G1259" i="95"/>
  <c r="J1182" i="95"/>
  <c r="E1332" i="95"/>
  <c r="E1187" i="95"/>
  <c r="E1316" i="95"/>
  <c r="D1252" i="95"/>
  <c r="J1215" i="95"/>
  <c r="E1318" i="95"/>
  <c r="J1217" i="95"/>
  <c r="I1320" i="95"/>
  <c r="D1158" i="95"/>
  <c r="J1281" i="95"/>
  <c r="J1319" i="95"/>
  <c r="I1215" i="95"/>
  <c r="E1149" i="95"/>
  <c r="D1147" i="95"/>
  <c r="J1163" i="95"/>
  <c r="I1302" i="95"/>
  <c r="G1325" i="95"/>
  <c r="I1332" i="95"/>
  <c r="I1249" i="95"/>
  <c r="G1289" i="95"/>
  <c r="E1339" i="95"/>
  <c r="G1162" i="95"/>
  <c r="E1161" i="95"/>
  <c r="D1327" i="95"/>
  <c r="E1344" i="95"/>
  <c r="D1211" i="95"/>
  <c r="E1251" i="95"/>
  <c r="G1211" i="95"/>
  <c r="I1328" i="95"/>
  <c r="J1218" i="95"/>
  <c r="E1232" i="95"/>
  <c r="D1272" i="95"/>
  <c r="E1177" i="95"/>
  <c r="E1259" i="95"/>
  <c r="J1216" i="95"/>
  <c r="I1310" i="95"/>
  <c r="J1238" i="95"/>
  <c r="J1261" i="95"/>
  <c r="I1167" i="95"/>
  <c r="E1167" i="95"/>
  <c r="E1241" i="95"/>
  <c r="E1337" i="95"/>
  <c r="G1257" i="95"/>
  <c r="E1292" i="95"/>
  <c r="E1326" i="95"/>
  <c r="E1228" i="95"/>
  <c r="D1295" i="95"/>
  <c r="I1240" i="95"/>
  <c r="G1258" i="95"/>
  <c r="I1183" i="95"/>
  <c r="D1230" i="95"/>
  <c r="G1156" i="95"/>
  <c r="D1196" i="95"/>
  <c r="D1336" i="95"/>
  <c r="J1143" i="95"/>
  <c r="E1242" i="95"/>
  <c r="E1282" i="95"/>
  <c r="G1283" i="95"/>
  <c r="I1224" i="95"/>
  <c r="J1237" i="95"/>
  <c r="D1297" i="95"/>
  <c r="G1309" i="95"/>
  <c r="J1327" i="95"/>
  <c r="E1257" i="95"/>
  <c r="G1151" i="95"/>
  <c r="J1156" i="95"/>
  <c r="G1171" i="95"/>
  <c r="D1233" i="95"/>
  <c r="D1302" i="95"/>
  <c r="D1188" i="95"/>
  <c r="J1333" i="95"/>
  <c r="E1329" i="95"/>
  <c r="E1208" i="95"/>
  <c r="G1302" i="95"/>
  <c r="I1229" i="95"/>
  <c r="G1315" i="95"/>
  <c r="I1157" i="95"/>
  <c r="D1271" i="95"/>
  <c r="G1237" i="95"/>
  <c r="I1172" i="95"/>
  <c r="G1241" i="95"/>
  <c r="J1142" i="95"/>
  <c r="I1174" i="95"/>
  <c r="E1156" i="95"/>
  <c r="J1181" i="95"/>
  <c r="I1206" i="95"/>
  <c r="E1296" i="95"/>
  <c r="G1271" i="95"/>
  <c r="J1254" i="95"/>
  <c r="G1282" i="95"/>
  <c r="E1217" i="95"/>
  <c r="I1142" i="95"/>
  <c r="G1310" i="95"/>
  <c r="J1258" i="95"/>
  <c r="E1173" i="95"/>
  <c r="D1203" i="95"/>
  <c r="G1265" i="95"/>
  <c r="J1187" i="95"/>
  <c r="J1289" i="95"/>
  <c r="E1195" i="95"/>
  <c r="G1335" i="95"/>
  <c r="I1197" i="95"/>
  <c r="J1262" i="95"/>
  <c r="D1171" i="95"/>
  <c r="D1306" i="95"/>
  <c r="E1151" i="95"/>
  <c r="J1233" i="95"/>
  <c r="E1272" i="95"/>
  <c r="I1203" i="95"/>
  <c r="D1241" i="95"/>
  <c r="G1248" i="95"/>
  <c r="D1189" i="95"/>
  <c r="G1274" i="95"/>
  <c r="I1331" i="95"/>
  <c r="E1142" i="95"/>
  <c r="D1163" i="95"/>
  <c r="J1174" i="95"/>
  <c r="E1180" i="95"/>
  <c r="E1308" i="95"/>
  <c r="J1234" i="95"/>
  <c r="G1146" i="95"/>
  <c r="D1210" i="95"/>
  <c r="J1203" i="95"/>
  <c r="D1288" i="95"/>
  <c r="G1238" i="95"/>
  <c r="E1309" i="95"/>
  <c r="J1212" i="95"/>
  <c r="J1167" i="95"/>
  <c r="J1303" i="95"/>
  <c r="D1207" i="95"/>
  <c r="J1316" i="95"/>
  <c r="G1247" i="95"/>
  <c r="I1278" i="95"/>
  <c r="I1258" i="95"/>
  <c r="E1236" i="95"/>
  <c r="G1324" i="95"/>
  <c r="E1158" i="95"/>
  <c r="E1312" i="95"/>
  <c r="J1322" i="95"/>
  <c r="J1144" i="95"/>
  <c r="G1215" i="95"/>
  <c r="I1281" i="95"/>
  <c r="I1243" i="95"/>
  <c r="D1228" i="95"/>
  <c r="E1216" i="95"/>
  <c r="I1269" i="95"/>
  <c r="D1234" i="95"/>
  <c r="I1144" i="95"/>
  <c r="G1240" i="95"/>
  <c r="E1205" i="95"/>
  <c r="E1268" i="95"/>
  <c r="E1281" i="95"/>
  <c r="D1199" i="95"/>
  <c r="I1178" i="95"/>
  <c r="J1292" i="95"/>
  <c r="D1179" i="95"/>
  <c r="E1237" i="95"/>
  <c r="E1145" i="95"/>
  <c r="D1245" i="95"/>
  <c r="G1188" i="95"/>
  <c r="J1304" i="95"/>
  <c r="I1234" i="95"/>
  <c r="I1254" i="95"/>
  <c r="D1244" i="95"/>
  <c r="G1286" i="95"/>
  <c r="J1179" i="95"/>
  <c r="J1214" i="95"/>
  <c r="I1166" i="95"/>
  <c r="J1266" i="95"/>
  <c r="D1208" i="95"/>
  <c r="J1280" i="95"/>
  <c r="G1344" i="95"/>
  <c r="J1340" i="95"/>
  <c r="J1228" i="95"/>
  <c r="E1199" i="95"/>
  <c r="G1322" i="95"/>
  <c r="G1284" i="95"/>
  <c r="J1169" i="95"/>
  <c r="D1341" i="95"/>
  <c r="G1212" i="95"/>
  <c r="E1317" i="95"/>
  <c r="I1268" i="95"/>
  <c r="G1229" i="95"/>
  <c r="D1214" i="95"/>
  <c r="D1262" i="95"/>
  <c r="E1162" i="95"/>
  <c r="I1233" i="95"/>
  <c r="J1259" i="95"/>
  <c r="I1344" i="95"/>
  <c r="D1344" i="95"/>
  <c r="G1231" i="95"/>
  <c r="I1185" i="95"/>
  <c r="D1204" i="95"/>
  <c r="E1267" i="95"/>
  <c r="I1170" i="95"/>
  <c r="D1169" i="95"/>
  <c r="G1198" i="95"/>
  <c r="I1205" i="95"/>
  <c r="D1286" i="95"/>
  <c r="I1220" i="95"/>
  <c r="J1151" i="95"/>
  <c r="D1304" i="95"/>
  <c r="E1277" i="95"/>
  <c r="E1224" i="95"/>
  <c r="I1285" i="95"/>
  <c r="G1333" i="95"/>
  <c r="J1199" i="95"/>
  <c r="G1277" i="95"/>
  <c r="I1300" i="95"/>
  <c r="I1309" i="95"/>
  <c r="I1329" i="95"/>
  <c r="D1337" i="95"/>
  <c r="I1141" i="95"/>
  <c r="I1266" i="95"/>
  <c r="E1314" i="95"/>
  <c r="G1338" i="95"/>
  <c r="I1162" i="95"/>
  <c r="D1240" i="95"/>
  <c r="E1263" i="95"/>
  <c r="G1341" i="95"/>
  <c r="G1318" i="95"/>
  <c r="J1312" i="95"/>
  <c r="G1180" i="95"/>
  <c r="E1150" i="95"/>
  <c r="D1267" i="95"/>
  <c r="J1226" i="95"/>
  <c r="E1321" i="95"/>
  <c r="G1203" i="95"/>
  <c r="E1234" i="95"/>
  <c r="J1336" i="95"/>
  <c r="D1226" i="95"/>
  <c r="J1227" i="95"/>
  <c r="I1264" i="95"/>
  <c r="I1238" i="95"/>
  <c r="J1298" i="95"/>
  <c r="I1299" i="95"/>
  <c r="E1238" i="95"/>
  <c r="J1260" i="95"/>
  <c r="E1254" i="95"/>
  <c r="D1300" i="95"/>
  <c r="E1338" i="95"/>
  <c r="G1294" i="95"/>
  <c r="E1206" i="95"/>
  <c r="E1235" i="95"/>
  <c r="J1326" i="95"/>
  <c r="J1235" i="95"/>
  <c r="J1183" i="95"/>
  <c r="J1272" i="95"/>
  <c r="E1185" i="95"/>
  <c r="J1225" i="95"/>
  <c r="E1295" i="95"/>
  <c r="D1175" i="95"/>
  <c r="G1291" i="95"/>
  <c r="J1263" i="95"/>
  <c r="D1292" i="95"/>
  <c r="J1210" i="95"/>
  <c r="I1216" i="95"/>
  <c r="E1178" i="95"/>
  <c r="I1158" i="95"/>
  <c r="G1220" i="95"/>
  <c r="D1298" i="95"/>
  <c r="D1332" i="95"/>
  <c r="D1191" i="95"/>
  <c r="E1336" i="95"/>
  <c r="AU28" i="2" l="1"/>
  <c r="AU27" i="2"/>
  <c r="AU16" i="2"/>
  <c r="AU18" i="2"/>
  <c r="AU20" i="2"/>
  <c r="AU17" i="2"/>
  <c r="AU19" i="2"/>
  <c r="AU21" i="2"/>
  <c r="AU51" i="2"/>
  <c r="J17" i="72"/>
  <c r="AU14" i="2"/>
  <c r="AU7" i="2"/>
  <c r="AU11" i="2"/>
  <c r="AU12" i="2"/>
  <c r="AU15" i="2"/>
  <c r="AU13" i="2"/>
  <c r="AU9" i="2"/>
  <c r="AU8" i="2"/>
  <c r="AU10" i="2"/>
  <c r="AU37" i="2"/>
  <c r="AU47" i="2"/>
  <c r="AU50" i="2"/>
  <c r="AU48" i="2"/>
  <c r="AU57" i="2"/>
  <c r="AU53" i="2"/>
  <c r="AU68" i="2"/>
  <c r="AU45" i="2"/>
  <c r="AU60" i="2"/>
  <c r="AU56" i="2"/>
  <c r="AU69" i="2"/>
  <c r="AU39" i="2"/>
  <c r="AU66" i="2"/>
  <c r="AU46" i="2"/>
  <c r="AU62" i="2"/>
  <c r="AU70" i="2"/>
  <c r="AU40" i="2"/>
  <c r="AU63" i="2"/>
  <c r="AU71" i="2"/>
  <c r="AU29" i="2"/>
  <c r="AU49" i="2"/>
  <c r="AU67" i="2"/>
  <c r="AU26" i="2"/>
  <c r="AU64" i="2"/>
  <c r="AU58" i="2"/>
  <c r="AU52" i="2"/>
  <c r="AU35" i="2"/>
  <c r="M4" i="73"/>
  <c r="M24" i="73" s="1"/>
  <c r="M27" i="73" s="1"/>
  <c r="L24" i="73"/>
  <c r="J3" i="89"/>
  <c r="J4" i="89" s="1"/>
  <c r="S23" i="83"/>
  <c r="S21" i="83" s="1"/>
  <c r="D21" i="83"/>
  <c r="AE23" i="83"/>
  <c r="AE21" i="83" s="1"/>
  <c r="Y23" i="83"/>
  <c r="Y21" i="83" s="1"/>
  <c r="AA23" i="83"/>
  <c r="AA21" i="83" s="1"/>
  <c r="AI23" i="83"/>
  <c r="AI21" i="83" s="1"/>
  <c r="W23" i="83"/>
  <c r="W21" i="83" s="1"/>
  <c r="AG23" i="83"/>
  <c r="AG21" i="83" s="1"/>
  <c r="AC23" i="83"/>
  <c r="AC21" i="83" s="1"/>
  <c r="Q23" i="83"/>
  <c r="U23" i="83"/>
  <c r="U21" i="83" s="1"/>
  <c r="N30" i="72"/>
  <c r="F51" i="85"/>
  <c r="F48" i="85" s="1"/>
  <c r="AB15" i="91"/>
  <c r="AU55" i="2" l="1"/>
  <c r="AU41" i="2"/>
  <c r="AU34" i="2"/>
  <c r="AU44" i="2"/>
  <c r="AU65" i="2"/>
  <c r="AU33" i="2"/>
  <c r="AU54" i="2"/>
  <c r="AU43" i="2"/>
  <c r="AU61" i="2"/>
  <c r="AU38" i="2"/>
  <c r="AU59" i="2"/>
  <c r="AU36" i="2"/>
  <c r="AU42" i="2"/>
  <c r="M17" i="72"/>
  <c r="L27" i="73"/>
  <c r="J3" i="95"/>
  <c r="I3" i="95"/>
  <c r="E3" i="95"/>
  <c r="G3" i="95"/>
  <c r="D3" i="95"/>
  <c r="F32" i="85"/>
  <c r="F25" i="85" s="1"/>
  <c r="D8" i="83"/>
  <c r="D7" i="83" s="1"/>
  <c r="N17" i="72"/>
  <c r="K2" i="74"/>
  <c r="M2" i="74" s="1"/>
  <c r="J16" i="72"/>
  <c r="L32" i="85"/>
  <c r="L25" i="85" s="1"/>
  <c r="G23" i="83"/>
  <c r="Q21" i="83"/>
  <c r="AB9" i="91"/>
  <c r="AB13" i="91"/>
  <c r="AB16" i="91"/>
  <c r="AB11" i="91"/>
  <c r="AB14" i="91"/>
  <c r="AB8" i="91"/>
  <c r="AB10" i="91"/>
  <c r="AB12" i="91"/>
  <c r="AB5" i="91"/>
  <c r="AB6" i="91"/>
  <c r="AB4" i="91"/>
  <c r="AB7" i="91"/>
  <c r="G52" i="95" l="1"/>
  <c r="D8" i="95"/>
  <c r="I45" i="95"/>
  <c r="I57" i="95"/>
  <c r="G47" i="95"/>
  <c r="I47" i="95"/>
  <c r="J44" i="95"/>
  <c r="I50" i="95"/>
  <c r="E56" i="95"/>
  <c r="I22" i="95"/>
  <c r="J14" i="95"/>
  <c r="I38" i="95"/>
  <c r="E5" i="95"/>
  <c r="J49" i="95"/>
  <c r="I18" i="95"/>
  <c r="I13" i="95"/>
  <c r="E44" i="95"/>
  <c r="G9" i="95"/>
  <c r="D7" i="95"/>
  <c r="D26" i="95"/>
  <c r="D41" i="95"/>
  <c r="D15" i="95"/>
  <c r="J30" i="95"/>
  <c r="I31" i="95"/>
  <c r="J54" i="95"/>
  <c r="E25" i="95"/>
  <c r="J61" i="95"/>
  <c r="I26" i="95"/>
  <c r="G45" i="95"/>
  <c r="J34" i="95"/>
  <c r="J28" i="95"/>
  <c r="J56" i="95"/>
  <c r="G6" i="95"/>
  <c r="I59" i="95"/>
  <c r="E61" i="95"/>
  <c r="I54" i="95"/>
  <c r="I55" i="95"/>
  <c r="E49" i="95"/>
  <c r="I16" i="95"/>
  <c r="D11" i="95"/>
  <c r="I27" i="95"/>
  <c r="E59" i="95"/>
  <c r="D17" i="95"/>
  <c r="G36" i="95"/>
  <c r="G20" i="95"/>
  <c r="G37" i="95"/>
  <c r="I34" i="95"/>
  <c r="I62" i="95"/>
  <c r="D61" i="95"/>
  <c r="G39" i="95"/>
  <c r="I46" i="95"/>
  <c r="J45" i="95"/>
  <c r="G7" i="95"/>
  <c r="E11" i="95"/>
  <c r="G58" i="95"/>
  <c r="G49" i="95"/>
  <c r="D25" i="95"/>
  <c r="J21" i="95"/>
  <c r="J7" i="95"/>
  <c r="E13" i="95"/>
  <c r="D16" i="95"/>
  <c r="G33" i="95"/>
  <c r="I48" i="95"/>
  <c r="D6" i="95"/>
  <c r="D43" i="95"/>
  <c r="E41" i="95"/>
  <c r="J47" i="95"/>
  <c r="J11" i="95"/>
  <c r="G14" i="95"/>
  <c r="G55" i="95"/>
  <c r="G19" i="95"/>
  <c r="G43" i="95"/>
  <c r="D21" i="95"/>
  <c r="E7" i="95"/>
  <c r="G44" i="95"/>
  <c r="D46" i="95"/>
  <c r="J57" i="95"/>
  <c r="E12" i="95"/>
  <c r="D35" i="95"/>
  <c r="J59" i="95"/>
  <c r="J39" i="95"/>
  <c r="E39" i="95"/>
  <c r="I42" i="95"/>
  <c r="G23" i="95"/>
  <c r="I12" i="95"/>
  <c r="G11" i="95"/>
  <c r="E38" i="95"/>
  <c r="G13" i="95"/>
  <c r="D57" i="95"/>
  <c r="D34" i="95"/>
  <c r="E15" i="95"/>
  <c r="D31" i="95"/>
  <c r="I9" i="95"/>
  <c r="I20" i="95"/>
  <c r="D4" i="95"/>
  <c r="D20" i="95"/>
  <c r="E54" i="95"/>
  <c r="D22" i="95"/>
  <c r="J5" i="95"/>
  <c r="I10" i="95"/>
  <c r="G4" i="95"/>
  <c r="D30" i="95"/>
  <c r="D56" i="95"/>
  <c r="G27" i="95"/>
  <c r="I11" i="95"/>
  <c r="G59" i="95"/>
  <c r="J55" i="95"/>
  <c r="E40" i="95"/>
  <c r="E10" i="95"/>
  <c r="I29" i="95"/>
  <c r="J25" i="95"/>
  <c r="J33" i="95"/>
  <c r="J9" i="95"/>
  <c r="E14" i="95"/>
  <c r="G15" i="95"/>
  <c r="G25" i="95"/>
  <c r="D23" i="95"/>
  <c r="E17" i="95"/>
  <c r="E60" i="95"/>
  <c r="D12" i="95"/>
  <c r="I32" i="95"/>
  <c r="E26" i="95"/>
  <c r="J46" i="95"/>
  <c r="I23" i="95"/>
  <c r="E37" i="95"/>
  <c r="G28" i="95"/>
  <c r="E20" i="95"/>
  <c r="G31" i="95"/>
  <c r="E6" i="95"/>
  <c r="D53" i="95"/>
  <c r="J19" i="95"/>
  <c r="E28" i="95"/>
  <c r="G18" i="95"/>
  <c r="J20" i="95"/>
  <c r="I41" i="95"/>
  <c r="G57" i="95"/>
  <c r="E62" i="95"/>
  <c r="I4" i="95"/>
  <c r="G34" i="95"/>
  <c r="E9" i="95"/>
  <c r="G5" i="95"/>
  <c r="D28" i="95"/>
  <c r="J41" i="95"/>
  <c r="G26" i="95"/>
  <c r="E16" i="95"/>
  <c r="D62" i="95"/>
  <c r="D18" i="95"/>
  <c r="I56" i="95"/>
  <c r="I15" i="95"/>
  <c r="J35" i="95"/>
  <c r="E27" i="95"/>
  <c r="I36" i="95"/>
  <c r="E48" i="95"/>
  <c r="I61" i="95"/>
  <c r="G51" i="95"/>
  <c r="D37" i="95"/>
  <c r="J32" i="95"/>
  <c r="J42" i="95"/>
  <c r="G60" i="95"/>
  <c r="I37" i="95"/>
  <c r="E24" i="95"/>
  <c r="J16" i="95"/>
  <c r="J52" i="95"/>
  <c r="E34" i="95"/>
  <c r="E42" i="95"/>
  <c r="D50" i="95"/>
  <c r="D27" i="95"/>
  <c r="D19" i="95"/>
  <c r="G41" i="95"/>
  <c r="D32" i="95"/>
  <c r="J48" i="95"/>
  <c r="G54" i="95"/>
  <c r="E8" i="95"/>
  <c r="I53" i="95"/>
  <c r="J51" i="95"/>
  <c r="D45" i="95"/>
  <c r="D44" i="95"/>
  <c r="D5" i="95"/>
  <c r="D49" i="95"/>
  <c r="D14" i="95"/>
  <c r="D38" i="95"/>
  <c r="D36" i="95"/>
  <c r="I6" i="95"/>
  <c r="D47" i="95"/>
  <c r="G32" i="95"/>
  <c r="D60" i="95"/>
  <c r="E23" i="95"/>
  <c r="J38" i="95"/>
  <c r="I7" i="95"/>
  <c r="G12" i="95"/>
  <c r="E31" i="95"/>
  <c r="G17" i="95"/>
  <c r="E53" i="95"/>
  <c r="D54" i="95"/>
  <c r="G29" i="95"/>
  <c r="I24" i="95"/>
  <c r="D58" i="95"/>
  <c r="E50" i="95"/>
  <c r="E33" i="95"/>
  <c r="E43" i="95"/>
  <c r="G21" i="95"/>
  <c r="E32" i="95"/>
  <c r="E58" i="95"/>
  <c r="D9" i="95"/>
  <c r="G48" i="95"/>
  <c r="J50" i="95"/>
  <c r="J17" i="95"/>
  <c r="D24" i="95"/>
  <c r="E19" i="95"/>
  <c r="G35" i="95"/>
  <c r="G56" i="95"/>
  <c r="J15" i="95"/>
  <c r="I33" i="95"/>
  <c r="E47" i="95"/>
  <c r="J62" i="95"/>
  <c r="D52" i="95"/>
  <c r="G62" i="95"/>
  <c r="I39" i="95"/>
  <c r="I52" i="95"/>
  <c r="E52" i="95"/>
  <c r="I17" i="95"/>
  <c r="E45" i="95"/>
  <c r="D42" i="95"/>
  <c r="D33" i="95"/>
  <c r="E29" i="95"/>
  <c r="D59" i="95"/>
  <c r="E4" i="95"/>
  <c r="D40" i="95"/>
  <c r="J10" i="95"/>
  <c r="I30" i="95"/>
  <c r="I25" i="95"/>
  <c r="J27" i="95"/>
  <c r="J13" i="95"/>
  <c r="I28" i="95"/>
  <c r="E21" i="95"/>
  <c r="J18" i="95"/>
  <c r="D55" i="95"/>
  <c r="I21" i="95"/>
  <c r="G24" i="95"/>
  <c r="G38" i="95"/>
  <c r="I60" i="95"/>
  <c r="G61" i="95"/>
  <c r="G53" i="95"/>
  <c r="D51" i="95"/>
  <c r="E57" i="95"/>
  <c r="D10" i="95"/>
  <c r="I51" i="95"/>
  <c r="J36" i="95"/>
  <c r="I8" i="95"/>
  <c r="I35" i="95"/>
  <c r="J23" i="95"/>
  <c r="G8" i="95"/>
  <c r="J31" i="95"/>
  <c r="E30" i="95"/>
  <c r="E55" i="95"/>
  <c r="I43" i="95"/>
  <c r="G16" i="95"/>
  <c r="E35" i="95"/>
  <c r="J40" i="95"/>
  <c r="I44" i="95"/>
  <c r="J4" i="95"/>
  <c r="J29" i="95"/>
  <c r="D13" i="95"/>
  <c r="J24" i="95"/>
  <c r="G40" i="95"/>
  <c r="G50" i="95"/>
  <c r="J26" i="95"/>
  <c r="J60" i="95"/>
  <c r="E22" i="95"/>
  <c r="D48" i="95"/>
  <c r="G10" i="95"/>
  <c r="E36" i="95"/>
  <c r="E46" i="95"/>
  <c r="G30" i="95"/>
  <c r="E18" i="95"/>
  <c r="J12" i="95"/>
  <c r="I5" i="95"/>
  <c r="D39" i="95"/>
  <c r="J8" i="95"/>
  <c r="I19" i="95"/>
  <c r="J58" i="95"/>
  <c r="D29" i="95"/>
  <c r="J43" i="95"/>
  <c r="J37" i="95"/>
  <c r="I49" i="95"/>
  <c r="J22" i="95"/>
  <c r="E51" i="95"/>
  <c r="G46" i="95"/>
  <c r="J53" i="95"/>
  <c r="G22" i="95"/>
  <c r="J6" i="95"/>
  <c r="I14" i="95"/>
  <c r="I40" i="95"/>
  <c r="G42" i="95"/>
  <c r="I58" i="95"/>
  <c r="B6" i="39"/>
  <c r="N16" i="72"/>
  <c r="J34" i="72"/>
  <c r="I34" i="72" s="1"/>
  <c r="J41" i="72"/>
  <c r="J161" i="72" s="1"/>
  <c r="Y2" i="74"/>
  <c r="J2" i="74"/>
  <c r="A7" i="84"/>
  <c r="D32" i="83"/>
  <c r="E24" i="83"/>
  <c r="Q24" i="83" s="1"/>
  <c r="Q30" i="83" s="1"/>
  <c r="Q32" i="83" s="1"/>
  <c r="G132" i="81" s="1"/>
  <c r="I132" i="81" s="1"/>
  <c r="G21" i="83"/>
  <c r="D22" i="70"/>
  <c r="J132" i="81" l="1"/>
  <c r="J143" i="81" s="1"/>
  <c r="I143" i="81"/>
  <c r="J73" i="72"/>
  <c r="L31" i="72"/>
  <c r="L24" i="72"/>
  <c r="L17" i="72"/>
  <c r="L26" i="72"/>
  <c r="L28" i="72"/>
  <c r="F2" i="74"/>
  <c r="J43" i="72"/>
  <c r="J44" i="72" s="1"/>
  <c r="J45" i="72" s="1"/>
  <c r="J46" i="72" s="1"/>
  <c r="L22" i="72"/>
  <c r="F54" i="85"/>
  <c r="L32" i="72"/>
  <c r="L19" i="72"/>
  <c r="L21" i="72"/>
  <c r="L18" i="72"/>
  <c r="J14" i="88"/>
  <c r="L20" i="72"/>
  <c r="B9" i="39"/>
  <c r="M7" i="84"/>
  <c r="O7" i="84" s="1"/>
  <c r="Q7" i="84" s="1"/>
  <c r="R7" i="84" s="1"/>
  <c r="L23" i="72"/>
  <c r="L33" i="72"/>
  <c r="AG24" i="83"/>
  <c r="AG30" i="83" s="1"/>
  <c r="AG32" i="83" s="1"/>
  <c r="Y24" i="83"/>
  <c r="Y30" i="83" s="1"/>
  <c r="Y32" i="83" s="1"/>
  <c r="W24" i="83"/>
  <c r="W30" i="83" s="1"/>
  <c r="W32" i="83" s="1"/>
  <c r="O24" i="83"/>
  <c r="O30" i="83" s="1"/>
  <c r="O32" i="83" s="1"/>
  <c r="I24" i="83"/>
  <c r="AA24" i="83"/>
  <c r="AA30" i="83" s="1"/>
  <c r="AA32" i="83" s="1"/>
  <c r="M24" i="83"/>
  <c r="K24" i="83"/>
  <c r="AI24" i="83"/>
  <c r="AI30" i="83" s="1"/>
  <c r="AI32" i="83" s="1"/>
  <c r="AC24" i="83"/>
  <c r="AC30" i="83" s="1"/>
  <c r="AC32" i="83" s="1"/>
  <c r="S24" i="83"/>
  <c r="S30" i="83" s="1"/>
  <c r="S32" i="83" s="1"/>
  <c r="AE24" i="83"/>
  <c r="AE30" i="83" s="1"/>
  <c r="AE32" i="83" s="1"/>
  <c r="U24" i="83"/>
  <c r="U30" i="83" s="1"/>
  <c r="U32" i="83" s="1"/>
  <c r="K132" i="81" l="1"/>
  <c r="K143" i="81" s="1"/>
  <c r="L30" i="72"/>
  <c r="L16" i="72"/>
  <c r="F57" i="85"/>
  <c r="F24" i="85"/>
  <c r="K30" i="83"/>
  <c r="K32" i="83" s="1"/>
  <c r="G214" i="81" s="1"/>
  <c r="I214" i="81" s="1"/>
  <c r="L132" i="81"/>
  <c r="M30" i="83"/>
  <c r="M32" i="83" s="1"/>
  <c r="G24" i="83"/>
  <c r="G30" i="83" s="1"/>
  <c r="G32" i="83" s="1"/>
  <c r="I30" i="83"/>
  <c r="I32" i="83" s="1"/>
  <c r="G226" i="81" s="1"/>
  <c r="I226" i="81" s="1"/>
  <c r="K226" i="81" s="1"/>
  <c r="N226" i="81" s="1"/>
  <c r="N230" i="81" s="1"/>
  <c r="N38" i="81" s="1"/>
  <c r="G22" i="81"/>
  <c r="G21" i="81"/>
  <c r="G23" i="81"/>
  <c r="D7" i="58"/>
  <c r="D11" i="58" s="1"/>
  <c r="D45" i="89"/>
  <c r="D49" i="89" s="1"/>
  <c r="D48" i="89" s="1"/>
  <c r="C29" i="41"/>
  <c r="C33" i="41" s="1"/>
  <c r="C32" i="41" s="1"/>
  <c r="J85" i="89"/>
  <c r="J89" i="89" s="1"/>
  <c r="J88" i="89" s="1"/>
  <c r="I136" i="72"/>
  <c r="K136" i="72" s="1"/>
  <c r="C13" i="41"/>
  <c r="C17" i="41" s="1"/>
  <c r="C16" i="41" s="1"/>
  <c r="J55" i="89"/>
  <c r="J59" i="89" s="1"/>
  <c r="J58" i="89" s="1"/>
  <c r="G51" i="87"/>
  <c r="G55" i="87" s="1"/>
  <c r="G54" i="87" s="1"/>
  <c r="D55" i="89"/>
  <c r="D59" i="89" s="1"/>
  <c r="D58" i="89" s="1"/>
  <c r="D85" i="89"/>
  <c r="D89" i="89" s="1"/>
  <c r="D88" i="89" s="1"/>
  <c r="I133" i="72"/>
  <c r="K133" i="72" s="1"/>
  <c r="C53" i="41"/>
  <c r="C57" i="41" s="1"/>
  <c r="C56" i="41" s="1"/>
  <c r="D15" i="89"/>
  <c r="D19" i="89" s="1"/>
  <c r="D18" i="89" s="1"/>
  <c r="I128" i="72"/>
  <c r="K128" i="72" s="1"/>
  <c r="J35" i="89"/>
  <c r="J39" i="89" s="1"/>
  <c r="J38" i="89" s="1"/>
  <c r="J25" i="89"/>
  <c r="J29" i="89" s="1"/>
  <c r="J28" i="89" s="1"/>
  <c r="D29" i="41"/>
  <c r="D33" i="41" s="1"/>
  <c r="D32" i="41" s="1"/>
  <c r="C37" i="41"/>
  <c r="C41" i="41" s="1"/>
  <c r="C40" i="41" s="1"/>
  <c r="D16" i="58"/>
  <c r="D20" i="58" s="1"/>
  <c r="E45" i="41"/>
  <c r="E49" i="41" s="1"/>
  <c r="E48" i="41" s="1"/>
  <c r="E62" i="36"/>
  <c r="E66" i="36" s="1"/>
  <c r="E65" i="36" s="1"/>
  <c r="D43" i="58"/>
  <c r="D47" i="58" s="1"/>
  <c r="D46" i="58" s="1"/>
  <c r="E51" i="87"/>
  <c r="E55" i="87" s="1"/>
  <c r="E54" i="87" s="1"/>
  <c r="E37" i="41"/>
  <c r="E41" i="41" s="1"/>
  <c r="E40" i="41" s="1"/>
  <c r="I134" i="72"/>
  <c r="K134" i="72" s="1"/>
  <c r="E53" i="41"/>
  <c r="E57" i="41" s="1"/>
  <c r="E56" i="41" s="1"/>
  <c r="D129" i="58"/>
  <c r="D133" i="58" s="1"/>
  <c r="D132" i="58" s="1"/>
  <c r="D70" i="58"/>
  <c r="D74" i="58" s="1"/>
  <c r="D73" i="58" s="1"/>
  <c r="D65" i="89"/>
  <c r="D69" i="89" s="1"/>
  <c r="D68" i="89" s="1"/>
  <c r="D21" i="41"/>
  <c r="D25" i="41" s="1"/>
  <c r="D24" i="41" s="1"/>
  <c r="D109" i="58"/>
  <c r="D113" i="58" s="1"/>
  <c r="D112" i="58" s="1"/>
  <c r="AG6" i="39"/>
  <c r="I131" i="72"/>
  <c r="K131" i="72" s="1"/>
  <c r="D5" i="89"/>
  <c r="D9" i="89" s="1"/>
  <c r="D8" i="89" s="1"/>
  <c r="I135" i="72"/>
  <c r="K135" i="72" s="1"/>
  <c r="F62" i="36"/>
  <c r="F66" i="36" s="1"/>
  <c r="F65" i="36" s="1"/>
  <c r="I130" i="72"/>
  <c r="K130" i="72" s="1"/>
  <c r="I132" i="72"/>
  <c r="K132" i="72" s="1"/>
  <c r="D52" i="58"/>
  <c r="D56" i="58" s="1"/>
  <c r="D55" i="58" s="1"/>
  <c r="G62" i="36"/>
  <c r="G66" i="36" s="1"/>
  <c r="G65" i="36" s="1"/>
  <c r="D25" i="89"/>
  <c r="D29" i="89" s="1"/>
  <c r="D28" i="89" s="1"/>
  <c r="D51" i="87"/>
  <c r="D55" i="87" s="1"/>
  <c r="D54" i="87" s="1"/>
  <c r="D45" i="41"/>
  <c r="D49" i="41" s="1"/>
  <c r="D48" i="41" s="1"/>
  <c r="D119" i="58"/>
  <c r="D123" i="58" s="1"/>
  <c r="D122" i="58" s="1"/>
  <c r="C21" i="41"/>
  <c r="C25" i="41" s="1"/>
  <c r="C24" i="41" s="1"/>
  <c r="L55" i="85"/>
  <c r="E13" i="41"/>
  <c r="E17" i="41" s="1"/>
  <c r="E16" i="41" s="1"/>
  <c r="J65" i="89"/>
  <c r="J69" i="89" s="1"/>
  <c r="J68" i="89" s="1"/>
  <c r="J45" i="89"/>
  <c r="J49" i="89" s="1"/>
  <c r="J48" i="89" s="1"/>
  <c r="D99" i="58"/>
  <c r="D103" i="58" s="1"/>
  <c r="D102" i="58" s="1"/>
  <c r="D53" i="41"/>
  <c r="D57" i="41" s="1"/>
  <c r="D56" i="41" s="1"/>
  <c r="J75" i="89"/>
  <c r="J79" i="89" s="1"/>
  <c r="J78" i="89" s="1"/>
  <c r="I127" i="72"/>
  <c r="K127" i="72" s="1"/>
  <c r="D34" i="58"/>
  <c r="D38" i="58" s="1"/>
  <c r="D37" i="58" s="1"/>
  <c r="I140" i="72"/>
  <c r="K140" i="72" s="1"/>
  <c r="I139" i="72"/>
  <c r="K139" i="72" s="1"/>
  <c r="I138" i="72"/>
  <c r="K138" i="72" s="1"/>
  <c r="D79" i="58"/>
  <c r="D83" i="58" s="1"/>
  <c r="D82" i="58" s="1"/>
  <c r="D35" i="89"/>
  <c r="D39" i="89" s="1"/>
  <c r="D38" i="89" s="1"/>
  <c r="D61" i="58"/>
  <c r="D65" i="58" s="1"/>
  <c r="D64" i="58" s="1"/>
  <c r="D75" i="89"/>
  <c r="D79" i="89" s="1"/>
  <c r="D78" i="89" s="1"/>
  <c r="J5" i="89"/>
  <c r="J9" i="89" s="1"/>
  <c r="J8" i="89" s="1"/>
  <c r="I126" i="72"/>
  <c r="K126" i="72" s="1"/>
  <c r="AB2" i="74"/>
  <c r="C45" i="41"/>
  <c r="C49" i="41" s="1"/>
  <c r="C48" i="41" s="1"/>
  <c r="J15" i="89"/>
  <c r="J19" i="89" s="1"/>
  <c r="J18" i="89" s="1"/>
  <c r="D13" i="41"/>
  <c r="D17" i="41" s="1"/>
  <c r="D16" i="41" s="1"/>
  <c r="O3" i="42"/>
  <c r="O23" i="42" s="1"/>
  <c r="I129" i="72"/>
  <c r="K129" i="72" s="1"/>
  <c r="D25" i="58"/>
  <c r="D29" i="58" s="1"/>
  <c r="D28" i="58" s="1"/>
  <c r="E29" i="41"/>
  <c r="E33" i="41" s="1"/>
  <c r="E32" i="41" s="1"/>
  <c r="E21" i="41"/>
  <c r="E25" i="41" s="1"/>
  <c r="E24" i="41" s="1"/>
  <c r="I137" i="72"/>
  <c r="K137" i="72" s="1"/>
  <c r="D37" i="41"/>
  <c r="D41" i="41" s="1"/>
  <c r="D40" i="41" s="1"/>
  <c r="D89" i="58"/>
  <c r="D93" i="58" s="1"/>
  <c r="D92" i="58" s="1"/>
  <c r="F51" i="87"/>
  <c r="F55" i="87" s="1"/>
  <c r="F54" i="87" s="1"/>
  <c r="V7" i="84"/>
  <c r="N132" i="81" l="1"/>
  <c r="N143" i="81" s="1"/>
  <c r="N34" i="81" s="1"/>
  <c r="J214" i="81"/>
  <c r="K214" i="81" s="1"/>
  <c r="L214" i="81" s="1"/>
  <c r="G24" i="81"/>
  <c r="L53" i="85"/>
  <c r="L49" i="85"/>
  <c r="L39" i="85"/>
  <c r="L41" i="85" s="1"/>
  <c r="L42" i="85" s="1"/>
  <c r="L38" i="85" s="1"/>
  <c r="L51" i="85"/>
  <c r="L34" i="85"/>
  <c r="L36" i="85" s="1"/>
  <c r="L37" i="85" s="1"/>
  <c r="L33" i="85" s="1"/>
  <c r="L52" i="85"/>
  <c r="G217" i="81"/>
  <c r="I217" i="81" s="1"/>
  <c r="J217" i="81" s="1"/>
  <c r="K217" i="81" s="1"/>
  <c r="N217" i="81" s="1"/>
  <c r="D19" i="58"/>
  <c r="O24" i="42"/>
  <c r="O6" i="42"/>
  <c r="G216" i="81"/>
  <c r="I216" i="81" s="1"/>
  <c r="J216" i="81" s="1"/>
  <c r="K216" i="81" s="1"/>
  <c r="N216" i="81" s="1"/>
  <c r="D10" i="58"/>
  <c r="N214" i="81" l="1"/>
  <c r="N220" i="81" s="1"/>
  <c r="N37" i="81" s="1"/>
  <c r="N39" i="81" s="1"/>
  <c r="N27" i="81" s="1"/>
  <c r="L48" i="85"/>
  <c r="L54" i="85" s="1"/>
  <c r="L57" i="85" s="1"/>
  <c r="N23" i="81" l="1"/>
  <c r="N22" i="81"/>
  <c r="N24" i="81"/>
  <c r="N21" i="81"/>
  <c r="P131" i="81"/>
  <c r="P137" i="81" s="1"/>
  <c r="Q137" i="81" s="1"/>
  <c r="R137" i="81" s="1"/>
  <c r="L24" i="85"/>
  <c r="P141" i="81" l="1"/>
  <c r="Q141" i="81" s="1"/>
  <c r="R141" i="81" s="1"/>
  <c r="P136" i="81"/>
  <c r="Q136" i="81" s="1"/>
  <c r="R136" i="81" s="1"/>
  <c r="P133" i="81"/>
  <c r="Q133" i="81" s="1"/>
  <c r="R133" i="81" s="1"/>
  <c r="P139" i="81"/>
  <c r="Q139" i="81" s="1"/>
  <c r="R139" i="81" s="1"/>
  <c r="P140" i="81"/>
  <c r="Q140" i="81" s="1"/>
  <c r="R140" i="81" s="1"/>
  <c r="P138" i="81"/>
  <c r="Q138" i="81" s="1"/>
  <c r="R138" i="81" s="1"/>
  <c r="P134" i="81"/>
  <c r="Q134" i="81" s="1"/>
  <c r="R134" i="81" s="1"/>
  <c r="P132" i="81"/>
  <c r="Q132" i="81" s="1"/>
  <c r="R132" i="81" s="1"/>
  <c r="P226" i="81"/>
  <c r="Q226" i="81" s="1"/>
  <c r="R226" i="81" s="1"/>
  <c r="P135" i="81"/>
  <c r="Q135" i="81" s="1"/>
  <c r="R135" i="81" s="1"/>
  <c r="P214" i="81"/>
  <c r="Q214" i="81" s="1"/>
  <c r="R214"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linh.tth</author>
  </authors>
  <commentList>
    <comment ref="H13" authorId="0" shapeId="0" xr:uid="{00000000-0006-0000-0000-000001000000}">
      <text>
        <r>
          <rPr>
            <b/>
            <sz val="8"/>
            <color indexed="81"/>
            <rFont val="Tahoma"/>
            <family val="2"/>
          </rPr>
          <t>linh.tth:</t>
        </r>
        <r>
          <rPr>
            <sz val="8"/>
            <color indexed="81"/>
            <rFont val="Tahoma"/>
            <family val="2"/>
          </rPr>
          <t xml:space="preserve">
Khi lam mass production lay ra (tren sheet)</t>
        </r>
      </text>
    </comment>
    <comment ref="H14" authorId="0" shapeId="0" xr:uid="{00000000-0006-0000-0000-000002000000}">
      <text>
        <r>
          <rPr>
            <b/>
            <sz val="8"/>
            <color indexed="81"/>
            <rFont val="Tahoma"/>
            <family val="2"/>
          </rPr>
          <t>linh.tth:</t>
        </r>
        <r>
          <rPr>
            <sz val="8"/>
            <color indexed="81"/>
            <rFont val="Tahoma"/>
            <family val="2"/>
          </rPr>
          <t xml:space="preserve">
Khi lam mass production lay ra nhung cat ra thanh to</t>
        </r>
      </text>
    </comment>
    <comment ref="H15" authorId="0" shapeId="0" xr:uid="{00000000-0006-0000-0000-000003000000}">
      <text>
        <r>
          <rPr>
            <b/>
            <sz val="8"/>
            <color indexed="81"/>
            <rFont val="Tahoma"/>
            <family val="2"/>
          </rPr>
          <t>linh.tth:</t>
        </r>
        <r>
          <rPr>
            <sz val="8"/>
            <color indexed="81"/>
            <rFont val="Tahoma"/>
            <family val="2"/>
          </rPr>
          <t xml:space="preserve">
Khi lam mass production lay ra lam thanh copy (giong wet proof nhung lay tu mass production)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IA_USER04 Phuong Linh</author>
    <author>Pham Thuy Nhu Huynh</author>
    <author>IA-USER 02 Nhu Huynh</author>
    <author>Nguyen Thi Huyen</author>
    <author>MA Team</author>
  </authors>
  <commentList>
    <comment ref="M4" authorId="0" shapeId="0" xr:uid="{00000000-0006-0000-0200-000001000000}">
      <text>
        <r>
          <rPr>
            <b/>
            <sz val="9"/>
            <color indexed="81"/>
            <rFont val="Tahoma"/>
            <family val="2"/>
          </rPr>
          <t>Chọn tỉ giá</t>
        </r>
      </text>
    </comment>
    <comment ref="J37" authorId="1" shapeId="0" xr:uid="{00000000-0006-0000-0200-000002000000}">
      <text>
        <r>
          <rPr>
            <b/>
            <sz val="9"/>
            <color indexed="81"/>
            <rFont val="Tahoma"/>
            <family val="2"/>
          </rPr>
          <t>Pham Thuy Nhu Huynh:</t>
        </r>
        <r>
          <rPr>
            <sz val="9"/>
            <color indexed="81"/>
            <rFont val="Tahoma"/>
            <family val="2"/>
          </rPr>
          <t xml:space="preserve">
Ms.Huyền advised by telegram (10.Nov.22) interest ~ 9%/year</t>
        </r>
      </text>
    </comment>
    <comment ref="J40" authorId="2" shapeId="0" xr:uid="{00000000-0006-0000-0200-000003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H41" authorId="3" shapeId="0" xr:uid="{00000000-0006-0000-0200-000004000000}">
      <text>
        <r>
          <rPr>
            <sz val="9"/>
            <color indexed="81"/>
            <rFont val="Tahoma"/>
            <family val="2"/>
          </rPr>
          <t>Sales/MKT to key in previuos selling price</t>
        </r>
      </text>
    </comment>
    <comment ref="F45" authorId="2" shapeId="0" xr:uid="{00000000-0006-0000-0200-000005000000}">
      <text>
        <r>
          <rPr>
            <b/>
            <sz val="9"/>
            <color indexed="81"/>
            <rFont val="Tahoma"/>
            <family val="2"/>
          </rPr>
          <t>IA-USER 02 Nhu Huynh:</t>
        </r>
        <r>
          <rPr>
            <sz val="9"/>
            <color indexed="81"/>
            <rFont val="Tahoma"/>
            <family val="2"/>
          </rPr>
          <t xml:space="preserve">
From: quynh.tranthitruc@starprintvn.com [mailto:quynh.tranthitruc@starprintvn.com] 
Sent: Tuesday, January 19, 2021 2:25 PM
To: EST@starprintvn.com
Cc: 'Tran Thi Tuyet Nhu' &lt;tuyetnhu@starprintvn.com&gt;
Subject: technical fee 13% - UK office
Dear Est team
Thông tin chính thức là technical fee từ nay trở đi cho UK office đổi từ 7.5% sang 13%.
Mọi người update form luôn giúp em nhé
Em cam on ạ
KAYLA – QUYNH TRAN  
</t>
        </r>
      </text>
    </comment>
    <comment ref="J161" authorId="4" shapeId="0" xr:uid="{00000000-0006-0000-0200-000006000000}">
      <text>
        <r>
          <rPr>
            <b/>
            <sz val="9"/>
            <color indexed="81"/>
            <rFont val="Tahoma"/>
            <family val="2"/>
          </rPr>
          <t>MA Team:</t>
        </r>
        <r>
          <rPr>
            <sz val="9"/>
            <color indexed="81"/>
            <rFont val="Tahoma"/>
            <family val="2"/>
          </rPr>
          <t xml:space="preserve">
incl material, direct cost &amp; plates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van-rd</author>
    <author>Pham Thi Hong Tham</author>
    <author>ismail - [2010]</author>
    <author>Nguyen Thi Thanh Van</author>
  </authors>
  <commentList>
    <comment ref="M8" authorId="0" shapeId="0" xr:uid="{00000000-0006-0000-0300-000001000000}">
      <text>
        <r>
          <rPr>
            <sz val="8"/>
            <color indexed="14"/>
            <rFont val="Tahoma"/>
            <family val="2"/>
          </rPr>
          <t>Total quantity/year</t>
        </r>
      </text>
    </comment>
    <comment ref="H89" authorId="1" shapeId="0" xr:uid="{00000000-0006-0000-0300-000002000000}">
      <text>
        <r>
          <rPr>
            <b/>
            <sz val="9"/>
            <color indexed="81"/>
            <rFont val="Tahoma"/>
            <family val="2"/>
          </rPr>
          <t>Pham Thi Hong Tham:</t>
        </r>
        <r>
          <rPr>
            <sz val="9"/>
            <color indexed="81"/>
            <rFont val="Tahoma"/>
            <family val="2"/>
          </rPr>
          <t xml:space="preserve">
From: Tan,Ha Minh &lt;minhtan@starprintvn.com&gt; 
Sent: Friday, October 28, 2022 7:45 AM
To: 'Huy, Nguyen Vu Xuan' &lt;xuanhuy@starprintvn.com&gt;; 'Huynh, Pham Thuy Nhu' &lt;nhuhuynh@starprintvn.com&gt;
Cc: 'Book R&amp;D' &lt;book.rd@starprintvn.com&gt;; linh.tranthithuy@starprintvn.com; 'Tran Dang Khoi' &lt;khoi.trandang@starprintvn.com&gt;; 'PUR Department' &lt;PUR@starprintvn.com&gt;; 'Tran Thi Tuyet'' &lt;tuyetnhu@starprintvn.com&gt;; EST@starprintvn.com; tin.tt@starprintvn.com; dai.nguyenduc@starprintvn.com
Subject: RE: World Family - 95.5 x 121 FUN WITH WORDS CARD DECK x 4T
Dear Xuân Huy
Mình gửi báo giá khuôn máy F6 nhé.
</t>
        </r>
      </text>
    </comment>
    <comment ref="C97" authorId="1" shapeId="0" xr:uid="{00000000-0006-0000-0300-000003000000}">
      <text>
        <r>
          <rPr>
            <b/>
            <sz val="9"/>
            <color indexed="81"/>
            <rFont val="Tahoma"/>
            <family val="2"/>
          </rPr>
          <t>Pham Thi Hong Tham:</t>
        </r>
        <r>
          <rPr>
            <sz val="9"/>
            <color indexed="81"/>
            <rFont val="Tahoma"/>
            <family val="2"/>
          </rPr>
          <t xml:space="preserve">
From: Tan,Ha Minh &lt;minhtan@starprintvn.com&gt; 
Sent: Monday, September 12, 2022 10:54 AM
To: hongtham@starprintvn.com
Cc: 'Estimator' &lt;EST@starprintvn.com&gt;; 'PUR Department' &lt;PUR@starprintvn.com&gt;; lan.vothihoang@starprintvn.com
Subject: RE: Saldana - 200x200 board book with blister marker
Hi Hong Tham 
Minh cập nhật báo giá nhé 
18.000vnd/mm 
VAT 10%</t>
        </r>
      </text>
    </comment>
    <comment ref="I97" authorId="2" shapeId="0" xr:uid="{00000000-0006-0000-0300-000004000000}">
      <text>
        <r>
          <rPr>
            <sz val="9"/>
            <color indexed="81"/>
            <rFont val="Tahoma"/>
            <family val="2"/>
          </rPr>
          <t xml:space="preserve">From: Xuan Huy [mailto:xuanhuy@starprintvn.com] 
Sent: Tuesday, June 12, 2018 2:26 PM
To: quynhchau@starprintvn.com; estimator@starprintvn.com; hongvan@starprintvn.com; Phuong Linh
Cc: thanhvan@starprintvn.com; 'Pham Cong Danh'; book.inn@starprintvn.com; 'Ha Minh Tan'; 'Le Van Bay'; 'Thi Cuc'; thuhuong.dao@starprintvn.com; Thu Hien; Vu Thi Le Ngan; quocthinh@starprintvn.com
Subject: Công thức tính giá khuôn punch shape (cập nhật 06/2018)
Dear EST team
Em gửi team công thức tính chi phí khuôn punch shape sau khi anh Tân trao đổi với NCC.
Giá khuôn = chu vi sách ((L+W) x 2) x 18.000vnd.
• Chu vi sách tính đơn vị milimet (mm)
• Tiền gia công 18.000vnd/mm
• Phí chưa bao gồm VAT 10%.
</t>
        </r>
      </text>
    </comment>
    <comment ref="H100" authorId="0" shapeId="0" xr:uid="{00000000-0006-0000-0300-000005000000}">
      <text>
        <r>
          <rPr>
            <sz val="8"/>
            <color indexed="81"/>
            <rFont val="Tahoma"/>
            <family val="2"/>
          </rPr>
          <t>qty. of moulds/sheet
add 1 set for back up</t>
        </r>
      </text>
    </comment>
    <comment ref="J100" authorId="0" shapeId="0" xr:uid="{00000000-0006-0000-0300-000006000000}">
      <text>
        <r>
          <rPr>
            <sz val="8"/>
            <color indexed="81"/>
            <rFont val="Tahoma"/>
            <family val="2"/>
          </rPr>
          <t>Change block each 450,000 sheets</t>
        </r>
      </text>
    </comment>
    <comment ref="H106" authorId="0" shapeId="0" xr:uid="{00000000-0006-0000-0300-000007000000}">
      <text>
        <r>
          <rPr>
            <sz val="8"/>
            <color indexed="81"/>
            <rFont val="Tahoma"/>
            <family val="2"/>
          </rPr>
          <t>qty. of moulds/sheet
add 1 set for back up</t>
        </r>
      </text>
    </comment>
    <comment ref="J106" authorId="0" shapeId="0" xr:uid="{00000000-0006-0000-0300-000008000000}">
      <text>
        <r>
          <rPr>
            <sz val="8"/>
            <color indexed="81"/>
            <rFont val="Tahoma"/>
            <family val="2"/>
          </rPr>
          <t>Change block each 450,000 sheets</t>
        </r>
      </text>
    </comment>
    <comment ref="J117" authorId="0" shapeId="0" xr:uid="{00000000-0006-0000-0300-000009000000}">
      <text>
        <r>
          <rPr>
            <sz val="8"/>
            <color indexed="81"/>
            <rFont val="Tahoma"/>
            <family val="2"/>
          </rPr>
          <t>Change block each 200,000 sheets</t>
        </r>
      </text>
    </comment>
    <comment ref="C122" authorId="3" shapeId="0" xr:uid="{00000000-0006-0000-0300-00000A000000}">
      <text>
        <r>
          <rPr>
            <sz val="9"/>
            <color indexed="81"/>
            <rFont val="Tahoma"/>
            <family val="2"/>
          </rPr>
          <t>Embossing, Hotstamping &amp; Sand UV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Pham Thuy Nhu Huynh</author>
    <author>Nguyen Hoang Phuong Linh</author>
    <author>IA_USER04 Phuong Linh</author>
    <author>IA-USER 02 Nhu Huynh</author>
    <author>Pham Thi Hong Tham</author>
    <author>Dieu Thi Thanh Thuan</author>
    <author>Nguyen Thi Hong Van</author>
    <author>chau-estimator</author>
    <author>linh.tth</author>
    <author>Truong Thi Quynh Chau</author>
    <author>van-rd</author>
    <author>Nguyen Thi Thanh Van</author>
    <author>Phạm Thị Hồng Thắm</author>
  </authors>
  <commentList>
    <comment ref="B5" authorId="0" shapeId="0" xr:uid="{748EE887-EAFF-4B1B-AC6A-B567FC3346CF}">
      <text>
        <r>
          <rPr>
            <b/>
            <sz val="9"/>
            <color indexed="81"/>
            <rFont val="Tahoma"/>
            <family val="2"/>
          </rPr>
          <t>Pham Thuy Nhu Huynh:</t>
        </r>
        <r>
          <rPr>
            <sz val="9"/>
            <color indexed="81"/>
            <rFont val="Tahoma"/>
            <family val="2"/>
          </rPr>
          <t xml:space="preserve">
Tỷ giá Mua CK của VCB</t>
        </r>
      </text>
    </comment>
    <comment ref="M7" authorId="1" shapeId="0" xr:uid="{00000000-0006-0000-0400-000002000000}">
      <text>
        <r>
          <rPr>
            <b/>
            <sz val="9"/>
            <color indexed="81"/>
            <rFont val="Tahoma"/>
            <family val="2"/>
          </rPr>
          <t xml:space="preserve">Update May26
</t>
        </r>
        <r>
          <rPr>
            <sz val="9"/>
            <color indexed="81"/>
            <rFont val="Tahoma"/>
            <family val="2"/>
          </rPr>
          <t xml:space="preserve">
</t>
        </r>
      </text>
    </comment>
    <comment ref="B8" authorId="0" shapeId="0" xr:uid="{225FF48C-B2A6-4902-A8AE-C91D87A69F6C}">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Phí bảo hiểm : 0.065% / 110% tri giá lô hàng  : Hàng nhập
Phí min: 300k/ lô hàng.
Thanks and best regards,
NGUYEN THI KIM HUONG
IMEX &amp; DELIVERY DEPT  
</t>
        </r>
      </text>
    </comment>
    <comment ref="P9" authorId="0" shapeId="0" xr:uid="{00000000-0006-0000-0400-000004000000}">
      <text>
        <r>
          <rPr>
            <b/>
            <sz val="9"/>
            <color indexed="81"/>
            <rFont val="Tahoma"/>
            <family val="2"/>
          </rPr>
          <t>Pham Thuy Nhu Huynh:</t>
        </r>
        <r>
          <rPr>
            <sz val="9"/>
            <color indexed="81"/>
            <rFont val="Tahoma"/>
            <family val="2"/>
          </rPr>
          <t xml:space="preserve">
% chênh lệch tỉ giá bán vs mua</t>
        </r>
      </text>
    </comment>
    <comment ref="Z12" authorId="2" shapeId="0" xr:uid="{00000000-0006-0000-0400-000005000000}">
      <text>
        <r>
          <rPr>
            <b/>
            <sz val="9"/>
            <color indexed="81"/>
            <rFont val="Tahoma"/>
            <family val="2"/>
          </rPr>
          <t>DEL LONG AN - TRUCK 1.1T</t>
        </r>
      </text>
    </comment>
    <comment ref="X14" authorId="0" shapeId="0" xr:uid="{00000000-0006-0000-0400-000006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t>
        </r>
        <r>
          <rPr>
            <b/>
            <sz val="9"/>
            <color indexed="81"/>
            <rFont val="Tahoma"/>
            <family val="2"/>
          </rPr>
          <t xml:space="preserve">Phí bảo hiểm : 0.065% / 110% tri giá lô hàng  : Hàng nhập
</t>
        </r>
        <r>
          <rPr>
            <sz val="9"/>
            <color indexed="81"/>
            <rFont val="Tahoma"/>
            <family val="2"/>
          </rPr>
          <t xml:space="preserve">
Phí min: 300k/ lô hàng.
Thanks and best regards,
NGUYEN THI KIM HUONG
IMEX &amp; DELIVERY DEPT  
</t>
        </r>
      </text>
    </comment>
    <comment ref="E433" authorId="0" shapeId="0" xr:uid="{ACD10453-4BB0-4B30-BBC4-68743D574FEF}">
      <text>
        <r>
          <rPr>
            <b/>
            <sz val="9"/>
            <color indexed="81"/>
            <rFont val="Tahoma"/>
            <family val="2"/>
          </rPr>
          <t>Pham Thuy Nhu Huynh:</t>
        </r>
        <r>
          <rPr>
            <sz val="9"/>
            <color indexed="81"/>
            <rFont val="Tahoma"/>
            <family val="2"/>
          </rPr>
          <t xml:space="preserve">
From: Kim Huong &lt;kimhuong@starprintvn.com&gt; 
Sent: Thursday, October 28, 2021 11:40 AM
To: 'Thuan,Dieu Thi Thanh' &lt;thanhthuan@starprintvn.com&gt;; 'Thuy Nguyen' &lt;thuthuy@starprintvn.com&gt;
Cc: EST@starprintvn.com; 'Tam,Tran Thi Ly' &lt;lytam@starprintvn.com&gt;
Subject: RE: UPDATE GIÁ_CHUNG GIA_AHJUBY AHJRFF_28.10.2021
Hi Thuận,
Chị gửi nhé
- ITC CYBER XL PREMIUM (GC2) 400gsm (48109900) 10% thuế Nk
- Emami MaxoFold HB GC2 420gsm (481092) 0% thuế Nk
Thanks and best regards,
NGUYEN THI KIM HUONG
IMEX &amp; DELIVERY DEPT  
</t>
        </r>
      </text>
    </comment>
    <comment ref="F433" authorId="0" shapeId="0" xr:uid="{91EB1DA0-2A17-4C74-A05C-A9A959B01611}">
      <text>
        <r>
          <rPr>
            <b/>
            <sz val="9"/>
            <color indexed="81"/>
            <rFont val="Tahoma"/>
            <family val="2"/>
          </rPr>
          <t>Pham Thuy Nhu Huynh:</t>
        </r>
        <r>
          <rPr>
            <sz val="9"/>
            <color indexed="81"/>
            <rFont val="Tahoma"/>
            <family val="2"/>
          </rPr>
          <t xml:space="preserve">
From: Tam,Tran Thi Ly &lt;lytam@starprintvn.com&gt; 
Sent: Friday, June 4, 2021 9:17 AM
To: 'Huynh,Pham Thuy Nhu' &lt;nhuhuynh@starprintvn.com&gt;
Cc: EST@starprintvn.com
Subject: RE: Jansy - Opulus - Sleeve
Hi Huỳnh,
Tâm báo giá như bên dưới nhé:
Product : Cyber Premium - GC 2
Gsm : 230- 400 Rolls
MOQ: 1 cont 40’
Price : USD 1130 per MT CIF Cat Lai Port
</t>
        </r>
        <r>
          <rPr>
            <b/>
            <sz val="9"/>
            <color indexed="81"/>
            <rFont val="Tahoma"/>
            <family val="2"/>
          </rPr>
          <t xml:space="preserve">Upcharge of USD 10 per MT for sheets / Bulk Pack 
Upcharge of USD 25 per MT for FSC Mixed Credit certified </t>
        </r>
        <r>
          <rPr>
            <sz val="9"/>
            <color indexed="81"/>
            <rFont val="Tahoma"/>
            <family val="2"/>
          </rPr>
          <t xml:space="preserve">
product Shipment : In 8-9 weeks from date of receipt of LC 
giá trên chưa bao gồm test report.
</t>
        </r>
      </text>
    </comment>
    <comment ref="Y459" authorId="3" shapeId="0" xr:uid="{00000000-0006-0000-0400-000009000000}">
      <text>
        <r>
          <rPr>
            <b/>
            <sz val="9"/>
            <color indexed="81"/>
            <rFont val="Tahoma"/>
            <family val="2"/>
          </rPr>
          <t xml:space="preserve">Update Apr'12
</t>
        </r>
        <r>
          <rPr>
            <sz val="9"/>
            <color indexed="81"/>
            <rFont val="Tahoma"/>
            <family val="2"/>
          </rPr>
          <t xml:space="preserve">
</t>
        </r>
      </text>
    </comment>
    <comment ref="E475" authorId="1" shapeId="0" xr:uid="{FEAA7315-9B16-468E-B5DE-45EEE5A3B0C9}">
      <text>
        <r>
          <rPr>
            <b/>
            <sz val="9"/>
            <color indexed="81"/>
            <rFont val="Tahoma"/>
            <family val="2"/>
          </rPr>
          <t>C. Vân Pur confirm via tele</t>
        </r>
        <r>
          <rPr>
            <sz val="9"/>
            <color indexed="81"/>
            <rFont val="Tahoma"/>
            <family val="2"/>
          </rPr>
          <t xml:space="preserve">
</t>
        </r>
      </text>
    </comment>
    <comment ref="T611" authorId="0" shapeId="0" xr:uid="{00000000-0006-0000-0400-00000B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2" authorId="0" shapeId="0" xr:uid="{00000000-0006-0000-0400-00000C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3" authorId="0" shapeId="0" xr:uid="{00000000-0006-0000-0400-00000D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4" authorId="0" shapeId="0" xr:uid="{00000000-0006-0000-0400-00000E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5" authorId="0" shapeId="0" xr:uid="{00000000-0006-0000-0400-00000F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6" authorId="0" shapeId="0" xr:uid="{00000000-0006-0000-0400-000010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7" authorId="0" shapeId="0" xr:uid="{00000000-0006-0000-0400-000011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8" authorId="0" shapeId="0" xr:uid="{00000000-0006-0000-0400-000012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19" authorId="0" shapeId="0" xr:uid="{00000000-0006-0000-0400-000013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0" authorId="0" shapeId="0" xr:uid="{00000000-0006-0000-0400-000014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1" authorId="0" shapeId="0" xr:uid="{00000000-0006-0000-0400-000015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2" authorId="0" shapeId="0" xr:uid="{00000000-0006-0000-0400-000016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3" authorId="0" shapeId="0" xr:uid="{00000000-0006-0000-0400-000017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4" authorId="0" shapeId="0" xr:uid="{00000000-0006-0000-0400-000018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5" authorId="0" shapeId="0" xr:uid="{00000000-0006-0000-0400-000019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6" authorId="0" shapeId="0" xr:uid="{00000000-0006-0000-0400-00001A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7" authorId="0" shapeId="0" xr:uid="{00000000-0006-0000-0400-00001B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8" authorId="0" shapeId="0" xr:uid="{00000000-0006-0000-0400-00001C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29" authorId="0" shapeId="0" xr:uid="{00000000-0006-0000-0400-00001D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0" authorId="0" shapeId="0" xr:uid="{00000000-0006-0000-0400-00001E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1" authorId="0" shapeId="0" xr:uid="{00000000-0006-0000-0400-00001F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2" authorId="0" shapeId="0" xr:uid="{00000000-0006-0000-0400-000020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3" authorId="0" shapeId="0" xr:uid="{00000000-0006-0000-0400-000021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4" authorId="0" shapeId="0" xr:uid="{00000000-0006-0000-0400-000022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5" authorId="0" shapeId="0" xr:uid="{00000000-0006-0000-0400-000023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6" authorId="0" shapeId="0" xr:uid="{00000000-0006-0000-0400-000024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7" authorId="0" shapeId="0" xr:uid="{00000000-0006-0000-0400-000025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8" authorId="0" shapeId="0" xr:uid="{00000000-0006-0000-0400-000026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39" authorId="0" shapeId="0" xr:uid="{00000000-0006-0000-0400-000027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0" authorId="0" shapeId="0" xr:uid="{00000000-0006-0000-0400-000028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1" authorId="0" shapeId="0" xr:uid="{00000000-0006-0000-0400-000029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2" authorId="0" shapeId="0" xr:uid="{00000000-0006-0000-0400-00002A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3" authorId="0" shapeId="0" xr:uid="{00000000-0006-0000-0400-00002B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4" authorId="0" shapeId="0" xr:uid="{00000000-0006-0000-0400-00002C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5" authorId="0" shapeId="0" xr:uid="{00000000-0006-0000-0400-00002D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6" authorId="0" shapeId="0" xr:uid="{00000000-0006-0000-0400-00002E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7" authorId="0" shapeId="0" xr:uid="{00000000-0006-0000-0400-00002F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8" authorId="0" shapeId="0" xr:uid="{00000000-0006-0000-0400-000030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49" authorId="0" shapeId="0" xr:uid="{00000000-0006-0000-0400-000031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50" authorId="0" shapeId="0" xr:uid="{00000000-0006-0000-0400-000032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51" authorId="0" shapeId="0" xr:uid="{00000000-0006-0000-0400-000033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52" authorId="0" shapeId="0" xr:uid="{00000000-0006-0000-0400-000034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T653" authorId="0" shapeId="0" xr:uid="{00000000-0006-0000-0400-000035000000}">
      <text>
        <r>
          <rPr>
            <b/>
            <sz val="9"/>
            <color indexed="81"/>
            <rFont val="Tahoma"/>
            <family val="2"/>
          </rPr>
          <t>Pham Thuy Nhu Huynh:</t>
        </r>
        <r>
          <rPr>
            <sz val="9"/>
            <color indexed="81"/>
            <rFont val="Tahoma"/>
            <family val="2"/>
          </rPr>
          <t xml:space="preserve">
From: Thuy, Nguyen Thi Thu &lt;thuthuy@starprintvn.com&gt; 
Sent: Wednesday, January 4, 2023 3:27 PM
To: 'Tham, Pham Thi Hong' &lt;hongtham@starprintvn.com&gt;
Cc: 'Tam,Tran Thi Ly' &lt;lytam@starprintvn.com&gt;; 'Huong,Nguyen Thi Kim' &lt;kimhuong@starprintvn.com&gt;; khoa.tranletuan@starprintvn.com; tanloc@starprintvn.com
Subject: FW: Cont lạnh từ P&amp;M
Thắm ơi
Pur mua paper của P&amp;M term CIF với cont lạnh nên phát sinh thêm chi phí giao nhận cho cont hàng lạnh 300k vnd/cont . Vậy khi tính giá cho Art paper của P&amp; M thì em add thêm cost cont lạnh vào nhé
Thanks &amp; Best regards
Thuy Nguyen
IMPORT-EXPORT &amp; DELIVERY MANAGER
</t>
        </r>
      </text>
    </comment>
    <comment ref="D817" authorId="0" shapeId="0" xr:uid="{F171F96E-9238-4C09-A7C6-F47681FD8D09}">
      <text>
        <r>
          <rPr>
            <b/>
            <sz val="9"/>
            <color indexed="81"/>
            <rFont val="Tahoma"/>
            <family val="2"/>
          </rPr>
          <t>Pham Thuy Nhu Huynh:</t>
        </r>
        <r>
          <rPr>
            <sz val="9"/>
            <color indexed="81"/>
            <rFont val="Tahoma"/>
            <family val="2"/>
          </rPr>
          <t xml:space="preserve">
mail Lan Anh update ink price T04.2023</t>
        </r>
      </text>
    </comment>
    <comment ref="H832" authorId="0" shapeId="0" xr:uid="{5D88B86F-9535-4FCD-8B37-2C2E0B97B2FD}">
      <text>
        <r>
          <rPr>
            <b/>
            <sz val="9"/>
            <color indexed="81"/>
            <rFont val="Tahoma"/>
            <family val="2"/>
          </rPr>
          <t>Pham Thuy Nhu Huynh:</t>
        </r>
        <r>
          <rPr>
            <sz val="9"/>
            <color indexed="81"/>
            <rFont val="Tahoma"/>
            <family val="2"/>
          </rPr>
          <t xml:space="preserve">
FOB Bangkok</t>
        </r>
      </text>
    </comment>
    <comment ref="I916" authorId="4" shapeId="0" xr:uid="{632F0B3D-6D0F-4EF9-89AF-4583BB24C6BA}">
      <text>
        <r>
          <rPr>
            <b/>
            <sz val="9"/>
            <color indexed="81"/>
            <rFont val="Tahoma"/>
            <family val="2"/>
          </rPr>
          <t>Pham Thi Hong Tham:</t>
        </r>
        <r>
          <rPr>
            <sz val="9"/>
            <color indexed="81"/>
            <rFont val="Tahoma"/>
            <family val="2"/>
          </rPr>
          <t xml:space="preserve">
local charge + trucking fee</t>
        </r>
      </text>
    </comment>
    <comment ref="O916" authorId="4" shapeId="0" xr:uid="{00000000-0006-0000-0400-000039000000}">
      <text>
        <r>
          <rPr>
            <b/>
            <sz val="9"/>
            <color indexed="81"/>
            <rFont val="Tahoma"/>
            <family val="2"/>
          </rPr>
          <t>Pham Thi Hong Tham:</t>
        </r>
        <r>
          <rPr>
            <sz val="9"/>
            <color indexed="81"/>
            <rFont val="Tahoma"/>
            <family val="2"/>
          </rPr>
          <t xml:space="preserve">
From: Huong,Nguyen Thi Kim &lt;kimhuong@starprintvn.com&gt; 
Sent: Thursday, February 2, 2023 4:24 PM
To: EST@starprintvn.com; 'Tham, Pham Thi Hong' &lt;hongtham@starprintvn.com&gt;
Cc: 'Lan Anh Bui Nguyen' &lt;anh.buinguyenlan@starprintvn.com&gt;; thuthuy@starprintvn.com; khoa.tranletuan@starprintvn.com
Subject: luu kho hang TK 100 Lanxess khi Air về.
Hi Thắm,
Khi tính giá cho hàng nhập Tk100 của nhà cung cấp Lanxess ship by air or sea. Mình đều tính phí lưu kho vào giúp nhé.
</t>
        </r>
      </text>
    </comment>
    <comment ref="J918" authorId="1" shapeId="0" xr:uid="{AD88868F-818D-4ADD-A2DE-7D18F36D3CD4}">
      <text>
        <r>
          <rPr>
            <b/>
            <sz val="9"/>
            <color indexed="81"/>
            <rFont val="Tahoma"/>
            <family val="2"/>
          </rPr>
          <t xml:space="preserve">combine with UV 6671 - LCL 5cbm
</t>
        </r>
      </text>
    </comment>
    <comment ref="E933" authorId="0" shapeId="0" xr:uid="{C3C68BCA-6229-4B45-9687-E1F6B5BE5844}">
      <text>
        <r>
          <rPr>
            <b/>
            <sz val="9"/>
            <color indexed="81"/>
            <rFont val="Tahoma"/>
            <family val="2"/>
          </rPr>
          <t>Pham Thuy Nhu Huynh:</t>
        </r>
        <r>
          <rPr>
            <sz val="9"/>
            <color indexed="81"/>
            <rFont val="Tahoma"/>
            <family val="2"/>
          </rPr>
          <t xml:space="preserve">
From: Nguyen An Thuong &lt;thuong.nguyenan@starprintvn.com&gt; 
Sent: Tuesday, February 22, 2022 8:23 AM
To: Pham Thuy Nhu Huynh &lt;nhuhuynh@starprintvn.com&gt;
Subject: Re: UPDATE CONSUMPTION YEARLY
Hi chị Huỳnh, như đã trao đổi vs chị thì em update lại như sau:
• UV 6671GNB em đã Update lại chị vui lòng xem file đính kèm.
</t>
        </r>
        <r>
          <rPr>
            <b/>
            <sz val="9"/>
            <color indexed="81"/>
            <rFont val="Tahoma"/>
            <family val="2"/>
          </rPr>
          <t>• UV 900 - Nonmetalize, UV 662-5A, UV 662-5A + UV 6165 (6: 4), TK Matt Varnish 22493. Những hóa chất này Consumption lấy theo như cũ của năm 2020 nhé chị.</t>
        </r>
        <r>
          <rPr>
            <sz val="9"/>
            <color indexed="81"/>
            <rFont val="Tahoma"/>
            <family val="2"/>
          </rPr>
          <t xml:space="preserve">
• Còn lại những hóa chất khác thì lấy theo Consumption em đã update của năm 2021 nhé!
</t>
        </r>
      </text>
    </comment>
    <comment ref="H937" authorId="1" shapeId="0" xr:uid="{80565EB4-34A6-40CD-808E-2316D3948B15}">
      <text>
        <r>
          <rPr>
            <b/>
            <sz val="9"/>
            <color indexed="81"/>
            <rFont val="Tahoma"/>
            <family val="2"/>
          </rPr>
          <t>Est same 662-5A</t>
        </r>
        <r>
          <rPr>
            <sz val="9"/>
            <color indexed="81"/>
            <rFont val="Tahoma"/>
            <family val="2"/>
          </rPr>
          <t xml:space="preserve">
</t>
        </r>
      </text>
    </comment>
    <comment ref="D938" authorId="5" shapeId="0" xr:uid="{ADFC97DC-0A1A-4231-8F27-FB72752F6405}">
      <text>
        <r>
          <rPr>
            <b/>
            <sz val="9"/>
            <color indexed="81"/>
            <rFont val="Tahoma"/>
            <family val="2"/>
          </rPr>
          <t>Dieu Thi Thanh Thuan:</t>
        </r>
        <r>
          <rPr>
            <sz val="9"/>
            <color indexed="81"/>
            <rFont val="Tahoma"/>
            <family val="2"/>
          </rPr>
          <t xml:space="preserve">
tính tạm, giá cũ 288000đ</t>
        </r>
      </text>
    </comment>
    <comment ref="E939" authorId="0" shapeId="0" xr:uid="{75B9AB3F-D7DF-44C3-B113-67EACCC22B3E}">
      <text>
        <r>
          <rPr>
            <b/>
            <sz val="9"/>
            <color indexed="81"/>
            <rFont val="Tahoma"/>
            <family val="2"/>
          </rPr>
          <t>Pham Thuy Nhu Huynh:</t>
        </r>
        <r>
          <rPr>
            <sz val="9"/>
            <color indexed="81"/>
            <rFont val="Tahoma"/>
            <family val="2"/>
          </rPr>
          <t xml:space="preserve">
From: Nguyen An Thuong &lt;thuong.nguyenan@starprintvn.com&gt; 
Sent: Tuesday, February 22, 2022 8:23 AM
To: Pham Thuy Nhu Huynh &lt;nhuhuynh@starprintvn.com&gt;
Subject: Re: UPDATE CONSUMPTION YEARLY
Hi chị Huỳnh, như đã trao đổi vs chị thì em update lại như sau:
• UV 6671GNB em đã Update lại chị vui lòng xem file đính kèm.
</t>
        </r>
        <r>
          <rPr>
            <b/>
            <sz val="9"/>
            <color indexed="81"/>
            <rFont val="Tahoma"/>
            <family val="2"/>
          </rPr>
          <t>• UV 900 - Nonmetalize, UV 662-5A, UV 662-5A + UV 6165 (6: 4), TK Matt Varnish 22493. Những hóa chất này Consumption lấy theo như cũ của năm 2020 nhé chị.</t>
        </r>
        <r>
          <rPr>
            <sz val="9"/>
            <color indexed="81"/>
            <rFont val="Tahoma"/>
            <family val="2"/>
          </rPr>
          <t xml:space="preserve">
• Còn lại những hóa chất khác thì lấy theo Consumption em đã update của năm 2021 nhé!
</t>
        </r>
      </text>
    </comment>
    <comment ref="E942" authorId="0" shapeId="0" xr:uid="{BC1E5659-9ADB-4FB3-B2CC-D60832DC4190}">
      <text>
        <r>
          <rPr>
            <b/>
            <sz val="9"/>
            <color indexed="81"/>
            <rFont val="Tahoma"/>
            <family val="2"/>
          </rPr>
          <t>Pham Thuy Nhu Huynh:</t>
        </r>
        <r>
          <rPr>
            <sz val="9"/>
            <color indexed="81"/>
            <rFont val="Tahoma"/>
            <family val="2"/>
          </rPr>
          <t xml:space="preserve">
From: Nguyen An Thuong &lt;thuong.nguyenan@starprintvn.com&gt; 
Sent: Tuesday, February 22, 2022 8:23 AM
To: Pham Thuy Nhu Huynh &lt;nhuhuynh@starprintvn.com&gt;
Subject: Re: UPDATE CONSUMPTION YEARLY
Hi chị Huỳnh, như đã trao đổi vs chị thì em update lại như sau:
• UV 6671GNB em đã Update lại chị vui lòng xem file đính kèm.
</t>
        </r>
        <r>
          <rPr>
            <b/>
            <sz val="9"/>
            <color indexed="81"/>
            <rFont val="Tahoma"/>
            <family val="2"/>
          </rPr>
          <t>• UV 900 - Nonmetalize, UV 662-5A, UV 662-5A + UV 6165 (6: 4), TK Matt Varnish 22493. Những hóa chất này Consumption lấy theo như cũ của năm 2020 nhé chị.</t>
        </r>
        <r>
          <rPr>
            <sz val="9"/>
            <color indexed="81"/>
            <rFont val="Tahoma"/>
            <family val="2"/>
          </rPr>
          <t xml:space="preserve">
• Còn lại những hóa chất khác thì lấy theo Consumption em đã update của năm 2021 nhé!
</t>
        </r>
      </text>
    </comment>
    <comment ref="D945" authorId="0" shapeId="0" xr:uid="{768C61D2-A002-4B9B-BC46-4BED2971B704}">
      <text>
        <r>
          <rPr>
            <b/>
            <sz val="9"/>
            <color indexed="81"/>
            <rFont val="Tahoma"/>
            <family val="2"/>
          </rPr>
          <t>Pham Thuy Nhu Huynh:</t>
        </r>
        <r>
          <rPr>
            <sz val="9"/>
            <color indexed="81"/>
            <rFont val="Tahoma"/>
            <family val="2"/>
          </rPr>
          <t xml:space="preserve">
SG Kim Khánh - STOP
Ms.Trinh confirm chuyển qua Hòa Trung / An Ca nhưng tại thời điểm update template thì giá Hòa Trung cao hơn An Ca 3% =&gt; dùng giá Hòa Trung</t>
        </r>
      </text>
    </comment>
    <comment ref="F945" authorId="1" shapeId="0" xr:uid="{36277AE1-276D-4F7C-9034-76A9A7CD2BCE}">
      <text>
        <r>
          <rPr>
            <b/>
            <sz val="9"/>
            <color indexed="81"/>
            <rFont val="Tahoma"/>
            <family val="2"/>
          </rPr>
          <t>Hệ số đổi micron sang kgs</t>
        </r>
      </text>
    </comment>
    <comment ref="H950" authorId="4" shapeId="0" xr:uid="{1F9ED999-3048-4F63-BD37-206AABBD446A}">
      <text>
        <r>
          <rPr>
            <b/>
            <sz val="9"/>
            <color indexed="81"/>
            <rFont val="Tahoma"/>
            <family val="2"/>
          </rPr>
          <t>Pham Thi Hong Tham:</t>
        </r>
        <r>
          <rPr>
            <sz val="9"/>
            <color indexed="81"/>
            <rFont val="Tahoma"/>
            <family val="2"/>
          </rPr>
          <t xml:space="preserve">
freight</t>
        </r>
      </text>
    </comment>
    <comment ref="I950" authorId="4" shapeId="0" xr:uid="{0B7BCD58-0A39-44B8-BC60-463595A0A579}">
      <text>
        <r>
          <rPr>
            <b/>
            <sz val="9"/>
            <color indexed="81"/>
            <rFont val="Tahoma"/>
            <family val="2"/>
          </rPr>
          <t>Pham Thi Hong Tham:</t>
        </r>
        <r>
          <rPr>
            <sz val="9"/>
            <color indexed="81"/>
            <rFont val="Tahoma"/>
            <family val="2"/>
          </rPr>
          <t xml:space="preserve">
local charge + trucking fee</t>
        </r>
      </text>
    </comment>
    <comment ref="D957" authorId="0" shapeId="0" xr:uid="{91AFF404-1CC4-4EF9-AE96-92FEC7112C51}">
      <text>
        <r>
          <rPr>
            <b/>
            <sz val="9"/>
            <color indexed="81"/>
            <rFont val="Tahoma"/>
            <family val="2"/>
          </rPr>
          <t>Pham Thuy Nhu Huynh:</t>
        </r>
        <r>
          <rPr>
            <sz val="9"/>
            <color indexed="81"/>
            <rFont val="Tahoma"/>
            <family val="2"/>
          </rPr>
          <t xml:space="preserve">
VAT 10% (2023)</t>
        </r>
      </text>
    </comment>
    <comment ref="G958" authorId="6" shapeId="0" xr:uid="{97B6AB21-4568-46CC-AF74-95DD787FA21E}">
      <text>
        <r>
          <rPr>
            <b/>
            <sz val="9"/>
            <color indexed="81"/>
            <rFont val="Tahoma"/>
            <family val="2"/>
          </rPr>
          <t>Nguyen Thi Hong Van:</t>
        </r>
        <r>
          <rPr>
            <sz val="9"/>
            <color indexed="81"/>
            <rFont val="Tahoma"/>
            <family val="2"/>
          </rPr>
          <t xml:space="preserve">
From: Kim Huong &lt;kimhuong@starprintvn.com&gt; 
Sent: Wednesday, July 20, 2022 4:03 PM
To: hongvan@starprintvn.com
Cc: thuy.ltt@starprintvn.com; 'Estimator' &lt;EST@starprintvn.com&gt;; 'Tam,Tran Thi Ly' &lt;lytam@starprintvn.com&gt;; totrinh@starprintvn.com; 'Trang, Le Thi Thu' &lt;trang.lethithu@starprintvn.com&gt;; 'Thuy Nguyen' &lt;thuthuy@starprintvn.com&gt;
Subject: RE: Costing request | Closeup replace Silver by holographic metalize paper - 19Jul22
Hi vân,
Thuế nk: 6% em nhé
</t>
        </r>
      </text>
    </comment>
    <comment ref="O958" authorId="2" shapeId="0" xr:uid="{00000000-0006-0000-0400-000045000000}">
      <text>
        <r>
          <rPr>
            <b/>
            <sz val="9"/>
            <color indexed="81"/>
            <rFont val="Tahoma"/>
            <family val="2"/>
          </rPr>
          <t xml:space="preserve">Local charge 183 VND/m2
</t>
        </r>
      </text>
    </comment>
    <comment ref="E976" authorId="7" shapeId="0" xr:uid="{5398C475-A41C-4426-B63D-1C71522778A2}">
      <text>
        <r>
          <rPr>
            <sz val="10"/>
            <color indexed="81"/>
            <rFont val="Tahoma"/>
            <family val="2"/>
          </rPr>
          <t>12.918g/m2 (from INN on 28.Mar.2016)</t>
        </r>
      </text>
    </comment>
    <comment ref="E977" authorId="7" shapeId="0" xr:uid="{F87417A2-884D-4132-95FE-D51215FB55CC}">
      <text>
        <r>
          <rPr>
            <sz val="10"/>
            <color indexed="81"/>
            <rFont val="Tahoma"/>
            <family val="2"/>
          </rPr>
          <t>12.486g/m2 (from INN on 28.Mar.2016)</t>
        </r>
      </text>
    </comment>
    <comment ref="U980" authorId="8" shapeId="0" xr:uid="{00000000-0006-0000-0400-000048000000}">
      <text>
        <r>
          <rPr>
            <b/>
            <sz val="8"/>
            <color indexed="81"/>
            <rFont val="Tahoma"/>
            <family val="2"/>
          </rPr>
          <t>Xuan Huy-INB email on 21.06.2017</t>
        </r>
      </text>
    </comment>
    <comment ref="U981" authorId="9" shapeId="0" xr:uid="{00000000-0006-0000-0400-000049000000}">
      <text>
        <r>
          <rPr>
            <sz val="9"/>
            <color indexed="81"/>
            <rFont val="Tahoma"/>
            <family val="2"/>
          </rPr>
          <t>tam tinh 40g/m2 theo thong so INN cung cap (supplier ban may advise)</t>
        </r>
      </text>
    </comment>
    <comment ref="U982" authorId="8" shapeId="0" xr:uid="{00000000-0006-0000-0400-00004A000000}">
      <text>
        <r>
          <rPr>
            <b/>
            <sz val="8"/>
            <color indexed="81"/>
            <rFont val="Tahoma"/>
            <family val="2"/>
          </rPr>
          <t>linh.tth:</t>
        </r>
        <r>
          <rPr>
            <sz val="8"/>
            <color indexed="81"/>
            <rFont val="Tahoma"/>
            <family val="2"/>
          </rPr>
          <t xml:space="preserve">
Huy INN confirm</t>
        </r>
      </text>
    </comment>
    <comment ref="U985" authorId="8" shapeId="0" xr:uid="{00000000-0006-0000-0400-00004B000000}">
      <text>
        <r>
          <rPr>
            <b/>
            <sz val="8"/>
            <color indexed="81"/>
            <rFont val="Tahoma"/>
            <family val="2"/>
          </rPr>
          <t>linh.tth:</t>
        </r>
        <r>
          <rPr>
            <sz val="8"/>
            <color indexed="81"/>
            <rFont val="Tahoma"/>
            <family val="2"/>
          </rPr>
          <t xml:space="preserve">
From: Quyen AE [mailto:kimquyen.le@starprintvn.com] 
Sent: Friday, November 29, 2013 10:22 AM
To: bichphuong@starprintvn.com; Huyen Linh; quynhchau@starprintvn.com; vy.htu@starprintvn.com
Cc: 'Phuc Nguyen'; 'Xuan Huy'; 'Pham Cong Danh'; 'Phuwanet Kowit'
Subject: RE: PARRAGON-200 X 200 SHAPE IN A SHAPE BOOK X 1T 2T - 29.11.2013
Dear Team,
Please kindly help to update cost as per changing Glue consumption C7000: 11.0 m2/kg. This is standard that INN confirmed will be applied from now on for your estimating.
</t>
        </r>
      </text>
    </comment>
    <comment ref="M995" authorId="10" shapeId="0" xr:uid="{00000000-0006-0000-0400-00004C000000}">
      <text>
        <r>
          <rPr>
            <sz val="8"/>
            <color indexed="81"/>
            <rFont val="Tahoma"/>
            <family val="2"/>
          </rPr>
          <t>Kolbus</t>
        </r>
      </text>
    </comment>
    <comment ref="M996" authorId="10" shapeId="0" xr:uid="{00000000-0006-0000-0400-00004D000000}">
      <text>
        <r>
          <rPr>
            <b/>
            <sz val="8"/>
            <color indexed="81"/>
            <rFont val="Tahoma"/>
            <family val="2"/>
          </rPr>
          <t xml:space="preserve"> </t>
        </r>
        <r>
          <rPr>
            <sz val="8"/>
            <color indexed="81"/>
            <rFont val="Tahoma"/>
            <family val="2"/>
          </rPr>
          <t>Silkscreen text &amp; cover</t>
        </r>
      </text>
    </comment>
    <comment ref="T996" authorId="8" shapeId="0" xr:uid="{00000000-0006-0000-0400-00004E000000}">
      <text>
        <r>
          <rPr>
            <b/>
            <sz val="8"/>
            <color indexed="81"/>
            <rFont val="Tahoma"/>
            <family val="2"/>
          </rPr>
          <t>linh.tth:</t>
        </r>
        <r>
          <rPr>
            <sz val="8"/>
            <color indexed="81"/>
            <rFont val="Tahoma"/>
            <family val="2"/>
          </rPr>
          <t xml:space="preserve">
From: Quyen AE [mailto:kimquyen.le@starprintvn.com] 
Sent: Friday, November 29, 2013 10:22 AM
To: bichphuong@starprintvn.com; Huyen Linh; quynhchau@starprintvn.com; vy.htu@starprintvn.com
Cc: 'Phuc Nguyen'; 'Xuan Huy'; 'Pham Cong Danh'; 'Phuwanet Kowit'
Subject: RE: PARRAGON-200 X 200 SHAPE IN A SHAPE BOOK X 1T 2T - 29.11.2013
Dear Team,
Please kindly help to update cost as per changing Glue consumption C7000: 11.0 m2/kg. This is standard that INN confirmed will be applied from now on for your estimating.
</t>
        </r>
      </text>
    </comment>
    <comment ref="D1004" authorId="7" shapeId="0" xr:uid="{D6250708-4F09-47A9-9C0E-14FE1C6CC936}">
      <text>
        <r>
          <rPr>
            <sz val="8"/>
            <color indexed="81"/>
            <rFont val="Tahoma"/>
            <family val="2"/>
          </rPr>
          <t>Truoc khi thay khuon phai thay 3 lan dao</t>
        </r>
      </text>
    </comment>
    <comment ref="O1004" authorId="7" shapeId="0" xr:uid="{00000000-0006-0000-0400-000050000000}">
      <text>
        <r>
          <rPr>
            <sz val="8"/>
            <color indexed="81"/>
            <rFont val="Tahoma"/>
            <family val="2"/>
          </rPr>
          <t>Truoc khi thay khuon phai thay 3 lan dao</t>
        </r>
      </text>
    </comment>
    <comment ref="A1022" authorId="7" shapeId="0" xr:uid="{9A6DA799-4015-4083-B449-DE0506FCAD04}">
      <text>
        <r>
          <rPr>
            <sz val="8"/>
            <color indexed="81"/>
            <rFont val="Tahoma"/>
            <family val="2"/>
          </rPr>
          <t xml:space="preserve"> spot UV (finishing MC)</t>
        </r>
      </text>
    </comment>
    <comment ref="B1022" authorId="11" shapeId="0" xr:uid="{BD723A94-2EC8-4856-AF58-7EC8214B18C4}">
      <text>
        <r>
          <rPr>
            <b/>
            <sz val="9"/>
            <color indexed="81"/>
            <rFont val="Tahoma"/>
            <family val="2"/>
          </rPr>
          <t>Nguyen Thi Thanh Van:</t>
        </r>
        <r>
          <rPr>
            <sz val="9"/>
            <color indexed="81"/>
            <rFont val="Tahoma"/>
            <family val="2"/>
          </rPr>
          <t xml:space="preserve">
Anh Linh confirmed 23/4/2018</t>
        </r>
      </text>
    </comment>
    <comment ref="L1022" authorId="7" shapeId="0" xr:uid="{00000000-0006-0000-0400-000053000000}">
      <text>
        <r>
          <rPr>
            <sz val="8"/>
            <color indexed="81"/>
            <rFont val="Tahoma"/>
            <family val="2"/>
          </rPr>
          <t xml:space="preserve"> spot UV (finishing MC)</t>
        </r>
      </text>
    </comment>
    <comment ref="M1022" authorId="11" shapeId="0" xr:uid="{00000000-0006-0000-0400-000054000000}">
      <text>
        <r>
          <rPr>
            <b/>
            <sz val="9"/>
            <color indexed="81"/>
            <rFont val="Tahoma"/>
            <family val="2"/>
          </rPr>
          <t>Nguyen Thi Thanh Van:</t>
        </r>
        <r>
          <rPr>
            <sz val="9"/>
            <color indexed="81"/>
            <rFont val="Tahoma"/>
            <family val="2"/>
          </rPr>
          <t xml:space="preserve">
Anh Linh confirmed 23/4/2018</t>
        </r>
      </text>
    </comment>
    <comment ref="A1023" authorId="7" shapeId="0" xr:uid="{C6045AA5-221B-4FAD-834D-AA01BD1DF92C}">
      <text>
        <r>
          <rPr>
            <sz val="8"/>
            <color indexed="81"/>
            <rFont val="Tahoma"/>
            <family val="2"/>
          </rPr>
          <t>Finishing on printing MC</t>
        </r>
      </text>
    </comment>
    <comment ref="L1023" authorId="7" shapeId="0" xr:uid="{00000000-0006-0000-0400-000056000000}">
      <text>
        <r>
          <rPr>
            <sz val="8"/>
            <color indexed="81"/>
            <rFont val="Tahoma"/>
            <family val="2"/>
          </rPr>
          <t>Finishing on printing MC</t>
        </r>
      </text>
    </comment>
    <comment ref="A1032" authorId="7" shapeId="0" xr:uid="{849EC38D-AEE2-40B6-AE12-31A7152FAA74}">
      <text>
        <r>
          <rPr>
            <sz val="8"/>
            <color indexed="81"/>
            <rFont val="Tahoma"/>
            <family val="2"/>
          </rPr>
          <t>KBA</t>
        </r>
      </text>
    </comment>
    <comment ref="B1032" authorId="9" shapeId="0" xr:uid="{9324FBB3-E8B1-4840-965B-F8936AE95A1A}">
      <text>
        <r>
          <rPr>
            <sz val="9"/>
            <color indexed="81"/>
            <rFont val="Tahoma"/>
            <family val="2"/>
          </rPr>
          <t xml:space="preserve">From: Le Van Bay [mailto:lebay@starprintvn.com] 
Sent: Tuesday, June 6, 2017 8:08 AM
To: 'Quynh Chau'
Cc: estimator@starprintvn.com; 'Thanh Van'; totrinh@starprintvn.com
Subject: RE: Blanket for finishing (UV or waterbase...)
Dear Châu
Ngoài ra còn 1 loại sticky blanket
Code 8450           3.289.000vnd/m tới (Khổ 1.626mm ) – Chưa Vat
Để dùng loại này, cần phải đặt thêm tấm Polyester 0.35mm (có thể utilize được cho hàng khác) dùng làm đế dán . Giá 1 tấm khổ 1050 x 795 x 0.35mm = 760.000 vnd/tấm (chưa Vat ) nhé.
Thanks &amp; Regards,
Lebay (Mr.)
</t>
        </r>
        <r>
          <rPr>
            <sz val="9"/>
            <color indexed="12"/>
            <rFont val="Tahoma"/>
            <family val="2"/>
          </rPr>
          <t>PS : est add 15% for waste size when cutting to actual size from STD roll</t>
        </r>
        <r>
          <rPr>
            <sz val="9"/>
            <color indexed="81"/>
            <rFont val="Tahoma"/>
            <family val="2"/>
          </rPr>
          <t xml:space="preserve">
</t>
        </r>
      </text>
    </comment>
    <comment ref="L1032" authorId="7" shapeId="0" xr:uid="{00000000-0006-0000-0400-000059000000}">
      <text>
        <r>
          <rPr>
            <sz val="8"/>
            <color indexed="81"/>
            <rFont val="Tahoma"/>
            <family val="2"/>
          </rPr>
          <t>KBA</t>
        </r>
      </text>
    </comment>
    <comment ref="M1032" authorId="9" shapeId="0" xr:uid="{00000000-0006-0000-0400-00005A000000}">
      <text>
        <r>
          <rPr>
            <sz val="9"/>
            <color indexed="81"/>
            <rFont val="Tahoma"/>
            <family val="2"/>
          </rPr>
          <t xml:space="preserve">From: Le Van Bay [mailto:lebay@starprintvn.com] 
Sent: Tuesday, June 6, 2017 8:08 AM
To: 'Quynh Chau'
Cc: estimator@starprintvn.com; 'Thanh Van'; totrinh@starprintvn.com
Subject: RE: Blanket for finishing (UV or waterbase...)
Dear Châu
Ngoài ra còn 1 loại sticky blanket
Code 8450           3.289.000vnd/m tới (Khổ 1.626mm ) – Chưa Vat
Để dùng loại này, cần phải đặt thêm tấm Polyester 0.35mm (có thể utilize được cho hàng khác) dùng làm đế dán . Giá 1 tấm khổ 1050 x 795 x 0.35mm = 760.000 vnd/tấm (chưa Vat ) nhé.
Thanks &amp; Regards,
Lebay (Mr.)
</t>
        </r>
        <r>
          <rPr>
            <sz val="9"/>
            <color indexed="12"/>
            <rFont val="Tahoma"/>
            <family val="2"/>
          </rPr>
          <t>PS : est add 15% for waste size when cutting to actual size from STD roll</t>
        </r>
        <r>
          <rPr>
            <sz val="9"/>
            <color indexed="81"/>
            <rFont val="Tahoma"/>
            <family val="2"/>
          </rPr>
          <t xml:space="preserve">
</t>
        </r>
      </text>
    </comment>
    <comment ref="F1069" authorId="0" shapeId="0" xr:uid="{21B7F18B-DDF0-4C7B-B87C-A1902A3BFBEC}">
      <text>
        <r>
          <rPr>
            <b/>
            <sz val="9"/>
            <color indexed="81"/>
            <rFont val="Tahoma"/>
            <family val="2"/>
          </rPr>
          <t>Pham Thuy Nhu Huynh:</t>
        </r>
        <r>
          <rPr>
            <sz val="9"/>
            <color indexed="81"/>
            <rFont val="Tahoma"/>
            <family val="2"/>
          </rPr>
          <t xml:space="preserve">
Giá m2 trên không áp dụng cho các loại hàng như: Trung Thu, hộp rượu, thùng đặt theo tiêu chuẩn riêng của khách hàng…</t>
        </r>
      </text>
    </comment>
    <comment ref="O1114" authorId="11" shapeId="0" xr:uid="{00000000-0006-0000-0400-00005C000000}">
      <text>
        <r>
          <rPr>
            <b/>
            <sz val="9"/>
            <color indexed="81"/>
            <rFont val="Tahoma"/>
            <family val="2"/>
          </rPr>
          <t>STD phủ primer</t>
        </r>
      </text>
    </comment>
    <comment ref="O1122" authorId="11" shapeId="0" xr:uid="{00000000-0006-0000-0400-00005D000000}">
      <text>
        <r>
          <rPr>
            <b/>
            <sz val="9"/>
            <color indexed="81"/>
            <rFont val="Tahoma"/>
            <family val="2"/>
          </rPr>
          <t>STD phủ primer</t>
        </r>
      </text>
    </comment>
    <comment ref="O1130" authorId="11" shapeId="0" xr:uid="{00000000-0006-0000-0400-00005E000000}">
      <text>
        <r>
          <rPr>
            <b/>
            <sz val="9"/>
            <color indexed="81"/>
            <rFont val="Tahoma"/>
            <family val="2"/>
          </rPr>
          <t>STD phủ primer</t>
        </r>
      </text>
    </comment>
    <comment ref="C1140" authorId="12" shapeId="0" xr:uid="{D3D76CC2-4EA3-4323-9167-DE24AF70FBD0}">
      <text>
        <r>
          <rPr>
            <sz val="9"/>
            <color indexed="81"/>
            <rFont val="Tahoma"/>
            <family val="2"/>
          </rPr>
          <t xml:space="preserve">From: Van Son [mailto:son.lv@starprintvn.com] 
Sent: Wednesday, February 20, 2019 1:03 PM
To: 'Quynh Chau' &lt;quynhchau@starprintvn.com&gt;
Cc: 'Thanh Van' &lt;thanhvan@starprintvn.com&gt;
Subject: RE: Cập nhật số người ỏ mỗi máy in
Hi Châu.
-          Komori II240 :    3 người
-          Komori L240       : 3 người
-          Komori LX640    :4 người.
-          Komori LS640     : 5 nguoi
-          Komori LS740:4 nguoi
-          Mitsubishi: 5 nguoi
-          KBA: 5 nguoi
Thanks.
Son.
</t>
        </r>
      </text>
    </comment>
    <comment ref="N1140" authorId="12" shapeId="0" xr:uid="{00000000-0006-0000-0400-000060000000}">
      <text>
        <r>
          <rPr>
            <sz val="9"/>
            <color indexed="81"/>
            <rFont val="Tahoma"/>
            <family val="2"/>
          </rPr>
          <t xml:space="preserve">From: Van Son [mailto:son.lv@starprintvn.com] 
Sent: Wednesday, February 20, 2019 1:03 PM
To: 'Quynh Chau' &lt;quynhchau@starprintvn.com&gt;
Cc: 'Thanh Van' &lt;thanhvan@starprintvn.com&gt;
Subject: RE: Cập nhật số người ỏ mỗi máy in
Hi Châu.
-          Komori II240 :    3 người
-          Komori L240       : 3 người
-          Komori LX640    :4 người.
-          Komori LS640     : 5 nguoi
-          Komori LS740:4 nguoi
-          Mitsubishi: 5 nguoi
-          KBA: 5 nguoi
Thanks.
Son.
</t>
        </r>
      </text>
    </comment>
    <comment ref="C1149" authorId="0" shapeId="0" xr:uid="{B33FDAD2-EC49-44C9-9C71-CF3DB3DA8093}">
      <text>
        <r>
          <rPr>
            <b/>
            <sz val="9"/>
            <color indexed="81"/>
            <rFont val="Tahoma"/>
            <family val="2"/>
          </rPr>
          <t>Pham Thuy Nhu Huynh:</t>
        </r>
        <r>
          <rPr>
            <sz val="9"/>
            <color indexed="81"/>
            <rFont val="Tahoma"/>
            <family val="2"/>
          </rPr>
          <t xml:space="preserve">
based on labour cost FY 2022</t>
        </r>
      </text>
    </comment>
    <comment ref="N1165" authorId="2" shapeId="0" xr:uid="{00000000-0006-0000-0400-000062000000}">
      <text>
        <r>
          <rPr>
            <b/>
            <sz val="9"/>
            <color indexed="81"/>
            <rFont val="Tahoma"/>
            <family val="2"/>
          </rPr>
          <t>Est same Semi auto</t>
        </r>
      </text>
    </comment>
    <comment ref="N1166" authorId="2" shapeId="0" xr:uid="{00000000-0006-0000-0400-000063000000}">
      <text>
        <r>
          <rPr>
            <b/>
            <sz val="9"/>
            <color indexed="81"/>
            <rFont val="Tahoma"/>
            <family val="2"/>
          </rPr>
          <t>Est same Semi auto</t>
        </r>
      </text>
    </comment>
    <comment ref="N1176" authorId="2" shapeId="0" xr:uid="{00000000-0006-0000-0400-000064000000}">
      <text>
        <r>
          <rPr>
            <b/>
            <sz val="9"/>
            <color indexed="81"/>
            <rFont val="Tahoma"/>
            <family val="2"/>
          </rPr>
          <t xml:space="preserve">Est same TK Coating
</t>
        </r>
      </text>
    </comment>
    <comment ref="N1177" authorId="2" shapeId="0" xr:uid="{00000000-0006-0000-0400-000065000000}">
      <text>
        <r>
          <rPr>
            <b/>
            <sz val="9"/>
            <color indexed="81"/>
            <rFont val="Tahoma"/>
            <family val="2"/>
          </rPr>
          <t xml:space="preserve">Est same TK Coating
</t>
        </r>
      </text>
    </comment>
    <comment ref="D1210" authorId="0" shapeId="0" xr:uid="{ADFA5A59-D010-4E2C-8788-922F88A3F6B7}">
      <text>
        <r>
          <rPr>
            <b/>
            <sz val="9"/>
            <color indexed="81"/>
            <rFont val="Tahoma"/>
            <family val="2"/>
          </rPr>
          <t>Pham Thuy Nhu Huynh:</t>
        </r>
        <r>
          <rPr>
            <sz val="9"/>
            <color indexed="81"/>
            <rFont val="Tahoma"/>
            <family val="2"/>
          </rPr>
          <t xml:space="preserve">
From: totrinh@starprintvn.com &lt;totrinh@starprintvn.com&gt; 
Sent: Thursday, June 16, 2022 11:19 AM
To: nhuhuynh@starprintvn.com
Cc: 'Tran Thi Tuyet Nhu' &lt;tuyetnhu@starprintvn.com&gt;; 'Estimator' &lt;EST@starprintvn.com&gt;; 'Nguyen Thi Ngoc Anh' &lt;anh.nguyenthingoc@starprintvn.com&gt;; linh.tranthithuy@starprintvn.com; 'Estimator' &lt;est@starprintvn.com&gt;; 'PUR Department' &lt;PUR@starprintvn.com&gt;
Subject: RE: BIDDING DỰ ÁN INDITEX - HỘP GIÀY ZARA
Hi Em
Trong bảng giá chị gửi của tháng 6 đều đã có giấy của giấy em cần, mua FSC cộng nhiu cũng đã báo đợt trước rùi nhen
</t>
        </r>
        <r>
          <rPr>
            <b/>
            <sz val="9"/>
            <color indexed="81"/>
            <rFont val="Tahoma"/>
            <family val="2"/>
          </rPr>
          <t>Test của Địa Long giấy này SX bởi Chánh Dương nhưng Vĩnh Sánh họ cũng làm thương mại cho CD để bán giấy này nên em có thể lấy Vĩnh Sáng để tính nha</t>
        </r>
        <r>
          <rPr>
            <sz val="9"/>
            <color indexed="81"/>
            <rFont val="Tahoma"/>
            <family val="2"/>
          </rPr>
          <t xml:space="preserve">
</t>
        </r>
      </text>
    </comment>
    <comment ref="C1230" authorId="0" shapeId="0" xr:uid="{822E7CA0-51CA-4152-AC60-96342AD1CC09}">
      <text>
        <r>
          <rPr>
            <b/>
            <sz val="9"/>
            <color indexed="81"/>
            <rFont val="Tahoma"/>
            <family val="2"/>
          </rPr>
          <t>Pham Thuy Nhu Huynh:</t>
        </r>
        <r>
          <rPr>
            <sz val="9"/>
            <color indexed="81"/>
            <rFont val="Tahoma"/>
            <family val="2"/>
          </rPr>
          <t xml:space="preserve">
tạm tính theo KIEN GIANG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IA_USER04 Phuong Linh</author>
    <author>linh.tth</author>
  </authors>
  <commentList>
    <comment ref="O1" authorId="0" shapeId="0" xr:uid="{00000000-0006-0000-0700-000001000000}">
      <text>
        <r>
          <rPr>
            <b/>
            <sz val="9"/>
            <color indexed="81"/>
            <rFont val="Tahoma"/>
            <family val="2"/>
          </rPr>
          <t xml:space="preserve">From: Thanh Truc [mailto:truc.ntt@starprintvn.com] 
Sent: Tuesday, July 2, 2019 10:47 AM
To: 'Phuong Linh' &lt;phuonglinh@starprintvn.com&gt;
Cc: EST@starprintvn.com; thanhvan@starprintvn.com; huyen.nguyenthi@starprintvn.com
Subject: RE: UPDATE SỐ KGs POF THÊM CỦA NCC BENISON - 02.07.19
Hi Linh, 
C báo giá của Benison nha
- 92,900vnd/kg*10%vat, bao v/c
- Leadtime: 30-45 ngày
</t>
        </r>
      </text>
    </comment>
    <comment ref="D3" authorId="1" shapeId="0" xr:uid="{00000000-0006-0000-0700-000002000000}">
      <text>
        <r>
          <rPr>
            <sz val="10"/>
            <color indexed="81"/>
            <rFont val="Tahoma"/>
            <family val="2"/>
          </rPr>
          <t xml:space="preserve">From: Thanh Truc [mailto:truc.ntt@starprintvn.com] 
Sent: Tuesday, July 2, 2019 8:07 AM
To: EST@starprintvn.com
Subject: UPDATE SỐ KGs POF THÊM CỦA NCC BENISON - 02.07.19
Hi EST team
E update thêm số kgs của NCC Benison như bên dưới dùm e team nhé. Thanks
NCC Benison: 1067m/cuộn
STT LOẠI MÀNG TRỌNG LƯỢNG(KG/CUỘN)
1 19*220 8.2
2 19*280 10.4
3 19*300 11.2
4 19*350 13
5 19*410 15.3
6 19*460 17.1
7 19*508 18.8
8 19*600 22.3
9 19*650 24.2
10 25*250 9.4
11 25*300 11.2
</t>
        </r>
      </text>
    </comment>
    <comment ref="G16" authorId="1" shapeId="0" xr:uid="{00000000-0006-0000-0700-000003000000}">
      <text>
        <r>
          <rPr>
            <sz val="8"/>
            <color indexed="81"/>
            <rFont val="Tahoma"/>
            <family val="2"/>
          </rPr>
          <t xml:space="preserve">From: Mai Loan [mailto:mailoan@starprintvn.com] 
Sent: Thursday, July 18, 2019 9:43 AM
To: LOG@starprintvn.com; duclinh@starprintvn.com; 'Thi Cuc' &lt;thicuc@starprintvn.com&gt;; EST@starprintvn.com
Cc: phamcongdanh@starprintvn.com; book.inn@starprintvn.com; son.hoangthai@starprintvn.com; 'Sriyong Pituk' &lt;Pituk@starprintvn.com&gt;
Subject: RE: PVN206- BOARDBOOK WITH FINGER - PO 19SEGA102 thay đổi size shrinkwrap
Dear Chị Dung
E rev tiêu chuẩn thay đổi chiều cắt tới bịch shrinkwrap từ 150 thành 180 mm chị cập nhật giúp e nhé
Dear EST Team
ASB confirm cách tính bịch shinkwrap như sau, team tính giá theo công thức này nhé
Chiều khổ W= size sách + chiều cao + 30(rìa trái) + 30 rìa phải + 60 phần dư cuốn vào rulo
Chiều cắt tới L = size sách + chiều cao + 30(rìa trái) + 30 rìa phải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IA_USER04 Phuong Linh</author>
    <author>IA-USER 02 Nhu Huynh</author>
  </authors>
  <commentList>
    <comment ref="R2" authorId="0" shapeId="0" xr:uid="{00000000-0006-0000-0800-000001000000}">
      <text>
        <r>
          <rPr>
            <b/>
            <sz val="9"/>
            <color indexed="81"/>
            <rFont val="Tahoma"/>
            <family val="2"/>
          </rPr>
          <t>Chọn 1 hoặc 2</t>
        </r>
        <r>
          <rPr>
            <sz val="9"/>
            <color indexed="81"/>
            <rFont val="Tahoma"/>
            <family val="2"/>
          </rPr>
          <t xml:space="preserve">
</t>
        </r>
      </text>
    </comment>
    <comment ref="N3" authorId="1" shapeId="0" xr:uid="{00000000-0006-0000-0800-000002000000}">
      <text>
        <r>
          <rPr>
            <b/>
            <sz val="9"/>
            <color indexed="81"/>
            <rFont val="Tahoma"/>
            <family val="2"/>
          </rPr>
          <t xml:space="preserve">From: Pham Cong Danh [mailto:phamcongdanh@starprintvn.com] 
Sent: Friday, May 3, 2019 8:37 AM
To: 'Quynh Chau' &lt;quynhchau@starprintvn.com&gt;; innovation@starprintvn.com
Cc: estimator@starprintvn.com; 'Tang Thien Tin' &lt;tin.tt@starprintvn.com&gt;; structure.inn@starprintvn.com
Subject: RE: Revise he so B-Flute (from 1.45 into 1.4)
Dear Châu
Bên anh đang check &amp; so sánh thêm,  đo thực tế  là 1.43 chứ không phải là 1.40 nữa. Nên hiện giờ sẽ “tạm chốt” các hệ số như sau:
Sóng B : K=1.43
Sóng E : K = 1.28
</t>
        </r>
      </text>
    </comment>
    <comment ref="S9" authorId="1" shapeId="0" xr:uid="{00000000-0006-0000-0800-000003000000}">
      <text>
        <r>
          <rPr>
            <b/>
            <sz val="9"/>
            <color indexed="81"/>
            <rFont val="Tahoma"/>
            <family val="2"/>
          </rPr>
          <t xml:space="preserve">From: Kim Dung [mailto:kimdung@starprintvn.com] 
Sent: Thursday, August 15, 2019 2:38 PM
To: EST@starprintvn.com; 'Ngoc Trang' &lt;ngoctrang@starprintvn.com&gt;
Cc: hue.lt@starprintvn.com; Thi Hoan &lt;thihoan@starprintvn.com&gt;; xuanlinh@starprintvn.com; thuthuy@starprintvn.com; nguyenle13 nguyenle13 &lt;nguyenle@starprintvn.com&gt;
Subject: Cap nhat % waste Giay lam song inhouse
Hi EST team,
Cc Hoàn.
Hien tai MRP mua giay lam song inhouse, MRP tính 3% waste cho công doan lam sóng. Nhung thuc te % waste moil an len máy bao gồm waste +setup mất 500m/roll. Trung binh 1roll 6500m  nhu vay 500m/6500m = 7% waste.
</t>
        </r>
      </text>
    </comment>
    <comment ref="U12" authorId="2" shapeId="0" xr:uid="{00000000-0006-0000-0800-000004000000}">
      <text>
        <r>
          <rPr>
            <b/>
            <sz val="9"/>
            <color indexed="81"/>
            <rFont val="Tahoma"/>
            <family val="2"/>
          </rPr>
          <t>IA-USER 02 Nhu Huynh:</t>
        </r>
        <r>
          <rPr>
            <sz val="9"/>
            <color indexed="81"/>
            <rFont val="Tahoma"/>
            <family val="2"/>
          </rPr>
          <t xml:space="preserve">
From: khai.nguyendinh [mailto:dinhkhai@starprintvn.com] 
Sent: Tuesday, May 26, 2020 7:17 AM
To: 'Linh, Nguyen Hoang Phuong' &lt;phuonglinh@starprintvn.com&gt;
Subject: RE: Tinh kho cuon giay va CAP cua may lam song moi SF - 1800 tai nha may nam 2019
4 người nhé .
Thanks &amp; best regards
Nguyen Dinh Khai
Packaging Structure Designer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IA_USER04 Phuong Linh</author>
    <author>IA-USER 02 Nhu Huynh</author>
  </authors>
  <commentList>
    <comment ref="R2" authorId="0" shapeId="0" xr:uid="{099FFA5C-2AF1-409C-8FD6-B63FFF99EDA5}">
      <text>
        <r>
          <rPr>
            <b/>
            <sz val="9"/>
            <color indexed="81"/>
            <rFont val="Tahoma"/>
            <family val="2"/>
          </rPr>
          <t>Chọn 1 hoặc 2</t>
        </r>
        <r>
          <rPr>
            <sz val="9"/>
            <color indexed="81"/>
            <rFont val="Tahoma"/>
            <family val="2"/>
          </rPr>
          <t xml:space="preserve">
</t>
        </r>
      </text>
    </comment>
    <comment ref="N3" authorId="1" shapeId="0" xr:uid="{8D2B315A-0C57-40FC-896D-893150AC491F}">
      <text>
        <r>
          <rPr>
            <b/>
            <sz val="9"/>
            <color indexed="81"/>
            <rFont val="Tahoma"/>
            <family val="2"/>
          </rPr>
          <t xml:space="preserve">From: Pham Cong Danh [mailto:phamcongdanh@starprintvn.com] 
Sent: Friday, May 3, 2019 8:37 AM
To: 'Quynh Chau' &lt;quynhchau@starprintvn.com&gt;; innovation@starprintvn.com
Cc: estimator@starprintvn.com; 'Tang Thien Tin' &lt;tin.tt@starprintvn.com&gt;; structure.inn@starprintvn.com
Subject: RE: Revise he so B-Flute (from 1.45 into 1.4)
Dear Châu
Bên anh đang check &amp; so sánh thêm,  đo thực tế  là 1.43 chứ không phải là 1.40 nữa. Nên hiện giờ sẽ “tạm chốt” các hệ số như sau:
Sóng B : K=1.43
Sóng E : K = 1.28
</t>
        </r>
      </text>
    </comment>
    <comment ref="S9" authorId="1" shapeId="0" xr:uid="{AAFD73D4-E596-46F4-8C84-26905D5EF8AB}">
      <text>
        <r>
          <rPr>
            <b/>
            <sz val="9"/>
            <color indexed="81"/>
            <rFont val="Tahoma"/>
            <family val="2"/>
          </rPr>
          <t xml:space="preserve">From: Kim Dung [mailto:kimdung@starprintvn.com] 
Sent: Thursday, August 15, 2019 2:38 PM
To: EST@starprintvn.com; 'Ngoc Trang' &lt;ngoctrang@starprintvn.com&gt;
Cc: hue.lt@starprintvn.com; Thi Hoan &lt;thihoan@starprintvn.com&gt;; xuanlinh@starprintvn.com; thuthuy@starprintvn.com; nguyenle13 nguyenle13 &lt;nguyenle@starprintvn.com&gt;
Subject: Cap nhat % waste Giay lam song inhouse
Hi EST team,
Cc Hoàn.
Hien tai MRP mua giay lam song inhouse, MRP tính 3% waste cho công doan lam sóng. Nhung thuc te % waste moil an len máy bao gồm waste +setup mất 500m/roll. Trung binh 1roll 6500m  nhu vay 500m/6500m = 7% waste.
</t>
        </r>
      </text>
    </comment>
    <comment ref="U12" authorId="2" shapeId="0" xr:uid="{5A473D54-85B6-4650-A43A-DB61003216E3}">
      <text>
        <r>
          <rPr>
            <b/>
            <sz val="9"/>
            <color indexed="81"/>
            <rFont val="Tahoma"/>
            <family val="2"/>
          </rPr>
          <t>IA-USER 02 Nhu Huynh:</t>
        </r>
        <r>
          <rPr>
            <sz val="9"/>
            <color indexed="81"/>
            <rFont val="Tahoma"/>
            <family val="2"/>
          </rPr>
          <t xml:space="preserve">
From: khai.nguyendinh [mailto:dinhkhai@starprintvn.com] 
Sent: Tuesday, May 26, 2020 7:17 AM
To: 'Linh, Nguyen Hoang Phuong' &lt;phuonglinh@starprintvn.com&gt;
Subject: RE: Tinh kho cuon giay va CAP cua may lam song moi SF - 1800 tai nha may nam 2019
4 người nhé .
Thanks &amp; best regards
Nguyen Dinh Khai
Packaging Structure Designer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Pham Thuy Nhu Huynh</author>
    <author>Pham Thi Hong Tham</author>
    <author>Nguyen Thi Thanh Van</author>
    <author>Admin</author>
    <author>van-rd</author>
    <author>IA_USER04 Phuong Linh</author>
    <author>wilarsineek</author>
    <author>chau-estimator</author>
  </authors>
  <commentList>
    <comment ref="I3" authorId="0" shapeId="0" xr:uid="{00000000-0006-0000-0900-000001000000}">
      <text>
        <r>
          <rPr>
            <b/>
            <sz val="9"/>
            <color indexed="81"/>
            <rFont val="Tahoma"/>
            <family val="2"/>
          </rPr>
          <t>Pham Thuy Nhu Huynh:</t>
        </r>
        <r>
          <rPr>
            <sz val="9"/>
            <color indexed="81"/>
            <rFont val="Tahoma"/>
            <family val="2"/>
          </rPr>
          <t xml:space="preserve">
% chênh lệch tỉ giá mua vs bán</t>
        </r>
      </text>
    </comment>
    <comment ref="J26" authorId="0" shapeId="0" xr:uid="{00000000-0006-0000-0900-000002000000}">
      <text>
        <r>
          <rPr>
            <b/>
            <sz val="9"/>
            <color indexed="81"/>
            <rFont val="Tahoma"/>
            <family val="2"/>
          </rPr>
          <t>Pham Thuy Nhu Huynh:</t>
        </r>
        <r>
          <rPr>
            <sz val="9"/>
            <color indexed="81"/>
            <rFont val="Tahoma"/>
            <family val="2"/>
          </rPr>
          <t xml:space="preserve">
From: tai.nguyenminh@starprintvn.com &lt;tai.nguyenminh@starprintvn.com&gt; 
Sent: Wednesday, August 10, 2022 10:51 AM
To: 'Thanh Vân - PUR' &lt;thanhvan@starprintvn.com&gt;; 'Nguyen Xuan Linh' &lt;xuanlinh@starprintvn.com&gt;; 'Tang Thien Tin' &lt;tin.tt@starprintvn.com&gt;; 'Pham Thi Kim Dung' &lt;kimdung@starprintvn.com&gt;; phan.vttt@starprintvn.com
Cc: 'Thi Hoan' &lt;thihoan@starprintvn.com&gt;; phong.dangquoc@starprintvn.com; 'Huyen, Nguyen Thi' &lt;huyen.nguyenthi@starprintvn.com&gt;; duc.nguyenbao@starprintvn.com
Subject: RE: Thống nhất tiêu chuẩn Foil cho hàng Metalize
Halo team, 
Tài gửi MOM sau khi team thống nhất nha.
1. Foil Thermo thì ko phủ Primer 
2.</t>
        </r>
        <r>
          <rPr>
            <b/>
            <sz val="9"/>
            <color indexed="81"/>
            <rFont val="Tahoma"/>
            <family val="2"/>
          </rPr>
          <t xml:space="preserve"> Foil Non-Thermo thì phủ Primer</t>
        </r>
        <r>
          <rPr>
            <sz val="9"/>
            <color indexed="81"/>
            <rFont val="Tahoma"/>
            <family val="2"/>
          </rPr>
          <t xml:space="preserve">
- SKU nào 6 units mực sẽ phủ inline
- SKU nào 7 Units mực sẽ phủ ofline
 Sẽ được cập nhật detail trong tiêu chuẩn SX và BOM
3. </t>
        </r>
        <r>
          <rPr>
            <b/>
            <sz val="9"/>
            <color indexed="81"/>
            <rFont val="Tahoma"/>
            <family val="2"/>
          </rPr>
          <t>Tiêu chuẩn hiện tại sẽ chuyển hết về Foil – non Thermo để đặt hàng (Cho cả hàng Regular và PJ base) =&gt; trong trường hợp thiếu Foil cho hàng PJ base thì sẽ mua Thermo local và Update lại BOM.</t>
        </r>
        <r>
          <rPr>
            <sz val="9"/>
            <color indexed="81"/>
            <rFont val="Tahoma"/>
            <family val="2"/>
          </rPr>
          <t xml:space="preserve">
Action cần check
- Kiểm tra lại lần nữa việc phủ Primer cho cả foil Thermo và Non =&gt; a Tín + c Vân
- Test lại tape test hàng metalize hiện tại =&gt; a Linh
- So sánh giá giữa việc mua foil Thermo ko phủ Primer tại SPV và Non-Thermo + phủ Primer tại SPV =&gt; Tài
Thank you,
Tai Nguyen
</t>
        </r>
      </text>
    </comment>
    <comment ref="Q315" authorId="1" shapeId="0" xr:uid="{00000000-0006-0000-0900-000003000000}">
      <text>
        <r>
          <rPr>
            <b/>
            <sz val="9"/>
            <color indexed="81"/>
            <rFont val="Tahoma"/>
            <family val="2"/>
          </rPr>
          <t>Pham Thi Hong Tham:</t>
        </r>
        <r>
          <rPr>
            <sz val="9"/>
            <color indexed="81"/>
            <rFont val="Tahoma"/>
            <family val="2"/>
          </rPr>
          <t xml:space="preserve">
From: totrinh@starprintvn.com &lt;totrinh@starprintvn.com&gt; 
Sent: Wednesday, April 27, 2022 4:07 PM
To: hongvan@starprintvn.com; lytam@starprintvn.com
Cc: 'Estimator' &lt;est@starprintvn.com&gt;; 'Thuy, Le Thi Thu' &lt;thuy.ltt@starprintvn.com&gt;; 'Nguyen, Le Trong' &lt;nguyen.letrong@starprintvn.com&gt;; 'PUR Department' &lt;PUR@starprintvn.com&gt;
Subject: RE: Highlands 4 banh new
Min sz 550*670mm nhe
</t>
        </r>
      </text>
    </comment>
    <comment ref="A412" authorId="2" shapeId="0" xr:uid="{00000000-0006-0000-0900-000004000000}">
      <text>
        <r>
          <rPr>
            <sz val="9"/>
            <color indexed="81"/>
            <rFont val="Tahoma"/>
            <family val="2"/>
          </rPr>
          <t>số đơn vị ink/máy</t>
        </r>
      </text>
    </comment>
    <comment ref="C628" authorId="3" shapeId="0" xr:uid="{00000000-0006-0000-0900-000005000000}">
      <text>
        <r>
          <rPr>
            <b/>
            <sz val="9"/>
            <color indexed="81"/>
            <rFont val="Tahoma"/>
            <family val="2"/>
          </rPr>
          <t>Admin:</t>
        </r>
        <r>
          <rPr>
            <sz val="9"/>
            <color indexed="81"/>
            <rFont val="Tahoma"/>
            <family val="2"/>
          </rPr>
          <t xml:space="preserve">
Nikko 1050</t>
        </r>
      </text>
    </comment>
    <comment ref="C646" authorId="3" shapeId="0" xr:uid="{00000000-0006-0000-0900-000006000000}">
      <text>
        <r>
          <rPr>
            <b/>
            <sz val="9"/>
            <color indexed="81"/>
            <rFont val="Tahoma"/>
            <family val="2"/>
          </rPr>
          <t>Admin:</t>
        </r>
        <r>
          <rPr>
            <sz val="9"/>
            <color indexed="81"/>
            <rFont val="Tahoma"/>
            <family val="2"/>
          </rPr>
          <t xml:space="preserve">
Semi-auto</t>
        </r>
      </text>
    </comment>
    <comment ref="C661" authorId="3" shapeId="0" xr:uid="{00000000-0006-0000-0900-000007000000}">
      <text>
        <r>
          <rPr>
            <b/>
            <sz val="9"/>
            <color indexed="81"/>
            <rFont val="Tahoma"/>
            <family val="2"/>
          </rPr>
          <t>Admin:</t>
        </r>
        <r>
          <rPr>
            <sz val="9"/>
            <color indexed="81"/>
            <rFont val="Tahoma"/>
            <family val="2"/>
          </rPr>
          <t xml:space="preserve">
Shungfa</t>
        </r>
      </text>
    </comment>
    <comment ref="F1112" authorId="4" shapeId="0" xr:uid="{00000000-0006-0000-0900-000008000000}">
      <text>
        <r>
          <rPr>
            <sz val="8"/>
            <color indexed="81"/>
            <rFont val="Tahoma"/>
            <family val="2"/>
          </rPr>
          <t>qty. of moulds/sheet
add 1 set for back up</t>
        </r>
      </text>
    </comment>
    <comment ref="F1118" authorId="4" shapeId="0" xr:uid="{00000000-0006-0000-0900-000009000000}">
      <text>
        <r>
          <rPr>
            <sz val="8"/>
            <color indexed="81"/>
            <rFont val="Tahoma"/>
            <family val="2"/>
          </rPr>
          <t>qty. of moulds/sheet
add 1 set for back up</t>
        </r>
      </text>
    </comment>
    <comment ref="B1134" authorId="2" shapeId="0" xr:uid="{00000000-0006-0000-0900-00000A000000}">
      <text>
        <r>
          <rPr>
            <sz val="9"/>
            <color indexed="81"/>
            <rFont val="Tahoma"/>
            <family val="2"/>
          </rPr>
          <t>Embossing, Hotstamping &amp; Sand UV</t>
        </r>
      </text>
    </comment>
    <comment ref="N1181" authorId="0" shapeId="0" xr:uid="{00000000-0006-0000-0900-00000B000000}">
      <text>
        <r>
          <rPr>
            <b/>
            <sz val="9"/>
            <color indexed="81"/>
            <rFont val="Tahoma"/>
            <family val="2"/>
          </rPr>
          <t>Pham Thuy Nhu Huynh:</t>
        </r>
        <r>
          <rPr>
            <sz val="9"/>
            <color indexed="81"/>
            <rFont val="Tahoma"/>
            <family val="2"/>
          </rPr>
          <t xml:space="preserve">
From: Trang, Nguyen Thi Ngoc &lt;ngoctrang@starprintvn.com&gt; 
Sent: Wednesday, November 2, 2022 11:18 AM
To: 'Huynh, Pham Thuy Nhu' &lt;nhuhuynh@starprintvn.com&gt;
Cc: tuyetnhu@starprintvn.com; 'Nguyen Thi Ngoc Anh' &lt;anh.nguyenthingoc@starprintvn.com&gt;; 'Huy, Nguyen Vu Xuan' &lt;xuanhuy@starprintvn.com&gt;; 'Tran Thi Dai Loan' &lt;loan.ttd@starprintvn.com&gt;; truc.ntt@starprintvn.com; phuwanet@starprintvn.com; phong.dangquoc@starprintvn.com; EST@starprintvn.com; 'PUR Department' &lt;PUR@starprintvn.com&gt;; linh.tranthithuy@starprintvn.com
Subject: RE: RE-CAP VỀ DỰ ÁN WORD FAMILY ENGLISH 
Hi Huỳnh
Giá chị đã gửi cho EST team rồi nha
Theo đúng công thức tính giá qui đổi từ m2 qua giá thùng thì mình phải tính theo công thức outer là toàn bộ tổng diện tích giấy dùng để chạy thùng nhưng hiện tại chị đã yêu cầu các nhà cung cấp thùng phải lấy kích thước inner của thùng để tính giá, còn phần outer của họ thế nào là phần họ tự cộng vào khi họ sản xuất. 
Miễn vẫn đảm bảo kích thước mình cần đóng hàng và làm vậy thì sẽ có lợi cho bên mình vì giá sẽ giảm được khoảng 4-5%
Sau này team mình</t>
        </r>
        <r>
          <rPr>
            <b/>
            <sz val="9"/>
            <color indexed="81"/>
            <rFont val="Tahoma"/>
            <family val="2"/>
          </rPr>
          <t xml:space="preserve"> tính giá thùng cũng lấy inner để tính luôn nha</t>
        </r>
        <r>
          <rPr>
            <sz val="9"/>
            <color indexed="81"/>
            <rFont val="Tahoma"/>
            <family val="2"/>
          </rPr>
          <t xml:space="preserve">. Chị sẽ ghi chú lại trong báo giá carton hàng tháng gửi cho team
</t>
        </r>
      </text>
    </comment>
    <comment ref="N1182" authorId="5" shapeId="0" xr:uid="{00000000-0006-0000-0900-00000C000000}">
      <text>
        <r>
          <rPr>
            <b/>
            <sz val="9"/>
            <color indexed="81"/>
            <rFont val="Tahoma"/>
            <family val="2"/>
          </rPr>
          <t>B Flute</t>
        </r>
        <r>
          <rPr>
            <sz val="9"/>
            <color indexed="81"/>
            <rFont val="Tahoma"/>
            <family val="2"/>
          </rPr>
          <t xml:space="preserve">
</t>
        </r>
      </text>
    </comment>
    <comment ref="N1183" authorId="5" shapeId="0" xr:uid="{00000000-0006-0000-0900-00000D000000}">
      <text>
        <r>
          <rPr>
            <b/>
            <sz val="9"/>
            <color indexed="81"/>
            <rFont val="Tahoma"/>
            <family val="2"/>
          </rPr>
          <t>BC Flute</t>
        </r>
      </text>
    </comment>
    <comment ref="D1186" authorId="0" shapeId="0" xr:uid="{00000000-0006-0000-0900-00000E000000}">
      <text>
        <r>
          <rPr>
            <b/>
            <sz val="9"/>
            <color indexed="81"/>
            <rFont val="Tahoma"/>
            <family val="2"/>
          </rPr>
          <t>Pham Thuy Nhu Huynh:</t>
        </r>
        <r>
          <rPr>
            <sz val="9"/>
            <color indexed="81"/>
            <rFont val="Tahoma"/>
            <family val="2"/>
          </rPr>
          <t xml:space="preserve">
From: Huy, Tran Quoc &lt;quochuy@starprintvn.com&gt; 
Sent: Tuesday, May 30, 2023 11:26 AM
To: 'Huynh, Pham Thuy Nhu' &lt;nhuhuynh@starprintvn.com&gt;
Cc: EST@starprintvn.com; 'Trang, Nguyen Thi Ngoc' &lt;ngoctrang@starprintvn.com&gt;; 'Ngan, Huynh Thi Kim' &lt;ngan.huynhthikim@starprintvn.com&gt;; tungan@starprintvn.com; 'Thuy Nguyen' &lt;thuy.nguyenthithu@starprintvn.com&gt;; tai.nguyenminh@starprintvn.com; phamcongdanh@starprintvn.com; thanhvan@starprintvn.com
Subject: RE: TIHI - H150 - Heineken Pack4 can (issue sz ctn tăng so với lúc báo giá =&gt; impact chi phí giao hàng)
      Dear Huỳnh !
         Đúng rồi em. Anh điều chỉnh lại cho thùng 3 lớp như bên dưới nhé. Hiện tại anh đang áp dụng cho tất cả. Ngoài ra anh cũng vừa có email yc Trang PUR cung cấp lại tiêu chuẩn của từng ncc thùng. Khi anh tổng hợp có gì thay đổi anh sẽ update đến team nhé. 
       + Thùng 3 lớp tính kích thước phủ bì bên mình là L +8 x W +8 x H +12 mm
       + Thùng 5 lớp tính kích thước phủ bì bên mình là L +14 x W+14 x H +16 mm. 
        Thanks,
TRAN QUOC HUY  
STRUCTURE SUPERVISOR  
</t>
        </r>
      </text>
    </comment>
    <comment ref="D1188" authorId="6" shapeId="0" xr:uid="{6728E7E4-0AA9-45D3-89B1-144FF8EEA294}">
      <text>
        <r>
          <rPr>
            <sz val="8"/>
            <color indexed="81"/>
            <rFont val="Tahoma"/>
            <family val="2"/>
          </rPr>
          <t>Max.: 110.00 cms</t>
        </r>
      </text>
    </comment>
    <comment ref="N1193" authorId="0" shapeId="0" xr:uid="{00000000-0006-0000-0900-000010000000}">
      <text>
        <r>
          <rPr>
            <b/>
            <sz val="9"/>
            <color indexed="81"/>
            <rFont val="Tahoma"/>
            <family val="2"/>
          </rPr>
          <t>Pham Thuy Nhu Huynh:</t>
        </r>
        <r>
          <rPr>
            <sz val="9"/>
            <color indexed="81"/>
            <rFont val="Tahoma"/>
            <family val="2"/>
          </rPr>
          <t xml:space="preserve">
From: Trang, Nguyen Thi Ngoc &lt;ngoctrang@starprintvn.com&gt; 
Sent: Wednesday, November 2, 2022 11:18 AM
To: 'Huynh, Pham Thuy Nhu' &lt;nhuhuynh@starprintvn.com&gt;
Cc: tuyetnhu@starprintvn.com; 'Nguyen Thi Ngoc Anh' &lt;anh.nguyenthingoc@starprintvn.com&gt;; 'Huy, Nguyen Vu Xuan' &lt;xuanhuy@starprintvn.com&gt;; 'Tran Thi Dai Loan' &lt;loan.ttd@starprintvn.com&gt;; truc.ntt@starprintvn.com; phuwanet@starprintvn.com; phong.dangquoc@starprintvn.com; EST@starprintvn.com; 'PUR Department' &lt;PUR@starprintvn.com&gt;; linh.tranthithuy@starprintvn.com
Subject: RE: RE-CAP VỀ DỰ ÁN WORD FAMILY ENGLISH 
Hi Huỳnh
Giá chị đã gửi cho EST team rồi nha
Theo đúng công thức tính giá qui đổi từ m2 qua giá thùng thì mình phải tính theo công thức outer là toàn bộ tổng diện tích giấy dùng để chạy thùng nhưng hiện tại chị đã yêu cầu các nhà cung cấp thùng phải lấy kích thước inner của thùng để tính giá, còn phần outer của họ thế nào là phần họ tự cộng vào khi họ sản xuất. 
Miễn vẫn đảm bảo kích thước mình cần đóng hàng và làm vậy thì sẽ có lợi cho bên mình vì giá sẽ giảm được khoảng 4-5%
Sau này team mình</t>
        </r>
        <r>
          <rPr>
            <b/>
            <sz val="9"/>
            <color indexed="81"/>
            <rFont val="Tahoma"/>
            <family val="2"/>
          </rPr>
          <t xml:space="preserve"> tính giá thùng cũng lấy inner để tính luôn nha</t>
        </r>
        <r>
          <rPr>
            <sz val="9"/>
            <color indexed="81"/>
            <rFont val="Tahoma"/>
            <family val="2"/>
          </rPr>
          <t xml:space="preserve">. Chị sẽ ghi chú lại trong báo giá carton hàng tháng gửi cho team
</t>
        </r>
      </text>
    </comment>
    <comment ref="N1194" authorId="5" shapeId="0" xr:uid="{00000000-0006-0000-0900-000011000000}">
      <text>
        <r>
          <rPr>
            <b/>
            <sz val="9"/>
            <color indexed="81"/>
            <rFont val="Tahoma"/>
            <family val="2"/>
          </rPr>
          <t>B Flute</t>
        </r>
        <r>
          <rPr>
            <sz val="9"/>
            <color indexed="81"/>
            <rFont val="Tahoma"/>
            <family val="2"/>
          </rPr>
          <t xml:space="preserve">
</t>
        </r>
      </text>
    </comment>
    <comment ref="N1195" authorId="5" shapeId="0" xr:uid="{00000000-0006-0000-0900-000012000000}">
      <text>
        <r>
          <rPr>
            <b/>
            <sz val="9"/>
            <color indexed="81"/>
            <rFont val="Tahoma"/>
            <family val="2"/>
          </rPr>
          <t>BC Flute</t>
        </r>
      </text>
    </comment>
    <comment ref="D1198" authorId="0" shapeId="0" xr:uid="{00000000-0006-0000-0900-000013000000}">
      <text>
        <r>
          <rPr>
            <b/>
            <sz val="9"/>
            <color indexed="81"/>
            <rFont val="Tahoma"/>
            <family val="2"/>
          </rPr>
          <t>Pham Thuy Nhu Huynh:</t>
        </r>
        <r>
          <rPr>
            <sz val="9"/>
            <color indexed="81"/>
            <rFont val="Tahoma"/>
            <family val="2"/>
          </rPr>
          <t xml:space="preserve">
From: Huy, Tran Quoc &lt;quochuy@starprintvn.com&gt; 
Sent: Tuesday, May 30, 2023 11:26 AM
To: 'Huynh, Pham Thuy Nhu' &lt;nhuhuynh@starprintvn.com&gt;
Cc: EST@starprintvn.com; 'Trang, Nguyen Thi Ngoc' &lt;ngoctrang@starprintvn.com&gt;; 'Ngan, Huynh Thi Kim' &lt;ngan.huynhthikim@starprintvn.com&gt;; tungan@starprintvn.com; 'Thuy Nguyen' &lt;thuy.nguyenthithu@starprintvn.com&gt;; tai.nguyenminh@starprintvn.com; phamcongdanh@starprintvn.com; thanhvan@starprintvn.com
Subject: RE: TIHI - H150 - Heineken Pack4 can (issue sz ctn tăng so với lúc báo giá =&gt; impact chi phí giao hàng)
      Dear Huỳnh !
         Đúng rồi em. Anh điều chỉnh lại cho thùng 3 lớp như bên dưới nhé. Hiện tại anh đang áp dụng cho tất cả. Ngoài ra anh cũng vừa có email yc Trang PUR cung cấp lại tiêu chuẩn của từng ncc thùng. Khi anh tổng hợp có gì thay đổi anh sẽ update đến team nhé. 
       + Thùng 3 lớp tính kích thước phủ bì bên mình là L +8 x W +8 x H +12 mm
       + Thùng 5 lớp tính kích thước phủ bì bên mình là L +14 x W+14 x H +16 mm. 
        Thanks,
TRAN QUOC HUY  
STRUCTURE SUPERVISOR  
</t>
        </r>
      </text>
    </comment>
    <comment ref="D1200" authorId="6" shapeId="0" xr:uid="{00000000-0006-0000-0900-000014000000}">
      <text>
        <r>
          <rPr>
            <sz val="8"/>
            <color indexed="81"/>
            <rFont val="Tahoma"/>
            <family val="2"/>
          </rPr>
          <t>Max.: 110.00 cms</t>
        </r>
      </text>
    </comment>
    <comment ref="N1205" authorId="0" shapeId="0" xr:uid="{00000000-0006-0000-0900-000015000000}">
      <text>
        <r>
          <rPr>
            <b/>
            <sz val="9"/>
            <color indexed="81"/>
            <rFont val="Tahoma"/>
            <family val="2"/>
          </rPr>
          <t>Pham Thuy Nhu Huynh:</t>
        </r>
        <r>
          <rPr>
            <sz val="9"/>
            <color indexed="81"/>
            <rFont val="Tahoma"/>
            <family val="2"/>
          </rPr>
          <t xml:space="preserve">
From: Trang, Nguyen Thi Ngoc &lt;ngoctrang@starprintvn.com&gt; 
Sent: Wednesday, November 2, 2022 11:18 AM
To: 'Huynh, Pham Thuy Nhu' &lt;nhuhuynh@starprintvn.com&gt;
Cc: tuyetnhu@starprintvn.com; 'Nguyen Thi Ngoc Anh' &lt;anh.nguyenthingoc@starprintvn.com&gt;; 'Huy, Nguyen Vu Xuan' &lt;xuanhuy@starprintvn.com&gt;; 'Tran Thi Dai Loan' &lt;loan.ttd@starprintvn.com&gt;; truc.ntt@starprintvn.com; phuwanet@starprintvn.com; phong.dangquoc@starprintvn.com; EST@starprintvn.com; 'PUR Department' &lt;PUR@starprintvn.com&gt;; linh.tranthithuy@starprintvn.com
Subject: RE: RE-CAP VỀ DỰ ÁN WORD FAMILY ENGLISH 
Hi Huỳnh
Giá chị đã gửi cho EST team rồi nha
Theo đúng công thức tính giá qui đổi từ m2 qua giá thùng thì mình phải tính theo công thức outer là toàn bộ tổng diện tích giấy dùng để chạy thùng nhưng hiện tại chị đã yêu cầu các nhà cung cấp thùng phải lấy kích thước inner của thùng để tính giá, còn phần outer của họ thế nào là phần họ tự cộng vào khi họ sản xuất. 
Miễn vẫn đảm bảo kích thước mình cần đóng hàng và làm vậy thì sẽ có lợi cho bên mình vì giá sẽ giảm được khoảng 4-5%
Sau này team mình</t>
        </r>
        <r>
          <rPr>
            <b/>
            <sz val="9"/>
            <color indexed="81"/>
            <rFont val="Tahoma"/>
            <family val="2"/>
          </rPr>
          <t xml:space="preserve"> tính giá thùng cũng lấy inner để tính luôn nha</t>
        </r>
        <r>
          <rPr>
            <sz val="9"/>
            <color indexed="81"/>
            <rFont val="Tahoma"/>
            <family val="2"/>
          </rPr>
          <t xml:space="preserve">. Chị sẽ ghi chú lại trong báo giá carton hàng tháng gửi cho team
</t>
        </r>
      </text>
    </comment>
    <comment ref="N1206" authorId="5" shapeId="0" xr:uid="{00000000-0006-0000-0900-000016000000}">
      <text>
        <r>
          <rPr>
            <b/>
            <sz val="9"/>
            <color indexed="81"/>
            <rFont val="Tahoma"/>
            <family val="2"/>
          </rPr>
          <t>B Flute</t>
        </r>
        <r>
          <rPr>
            <sz val="9"/>
            <color indexed="81"/>
            <rFont val="Tahoma"/>
            <family val="2"/>
          </rPr>
          <t xml:space="preserve">
</t>
        </r>
      </text>
    </comment>
    <comment ref="N1207" authorId="5" shapeId="0" xr:uid="{00000000-0006-0000-0900-000017000000}">
      <text>
        <r>
          <rPr>
            <b/>
            <sz val="9"/>
            <color indexed="81"/>
            <rFont val="Tahoma"/>
            <family val="2"/>
          </rPr>
          <t>BC Flute</t>
        </r>
      </text>
    </comment>
    <comment ref="D1210" authorId="0" shapeId="0" xr:uid="{00000000-0006-0000-0900-000018000000}">
      <text>
        <r>
          <rPr>
            <b/>
            <sz val="9"/>
            <color indexed="81"/>
            <rFont val="Tahoma"/>
            <family val="2"/>
          </rPr>
          <t>Pham Thuy Nhu Huynh:</t>
        </r>
        <r>
          <rPr>
            <sz val="9"/>
            <color indexed="81"/>
            <rFont val="Tahoma"/>
            <family val="2"/>
          </rPr>
          <t xml:space="preserve">
From: Huy, Tran Quoc &lt;quochuy@starprintvn.com&gt; 
Sent: Tuesday, May 30, 2023 11:26 AM
To: 'Huynh, Pham Thuy Nhu' &lt;nhuhuynh@starprintvn.com&gt;
Cc: EST@starprintvn.com; 'Trang, Nguyen Thi Ngoc' &lt;ngoctrang@starprintvn.com&gt;; 'Ngan, Huynh Thi Kim' &lt;ngan.huynhthikim@starprintvn.com&gt;; tungan@starprintvn.com; 'Thuy Nguyen' &lt;thuy.nguyenthithu@starprintvn.com&gt;; tai.nguyenminh@starprintvn.com; phamcongdanh@starprintvn.com; thanhvan@starprintvn.com
Subject: RE: TIHI - H150 - Heineken Pack4 can (issue sz ctn tăng so với lúc báo giá =&gt; impact chi phí giao hàng)
      Dear Huỳnh !
         Đúng rồi em. Anh điều chỉnh lại cho thùng 3 lớp như bên dưới nhé. Hiện tại anh đang áp dụng cho tất cả. Ngoài ra anh cũng vừa có email yc Trang PUR cung cấp lại tiêu chuẩn của từng ncc thùng. Khi anh tổng hợp có gì thay đổi anh sẽ update đến team nhé. 
       + Thùng 3 lớp tính kích thước phủ bì bên mình là L +8 x W +8 x H +12 mm
       + Thùng 5 lớp tính kích thước phủ bì bên mình là L +14 x W+14 x H +16 mm. 
        Thanks,
TRAN QUOC HUY  
STRUCTURE SUPERVISOR  
</t>
        </r>
      </text>
    </comment>
    <comment ref="D1212" authorId="6" shapeId="0" xr:uid="{00000000-0006-0000-0900-000019000000}">
      <text>
        <r>
          <rPr>
            <sz val="8"/>
            <color indexed="81"/>
            <rFont val="Tahoma"/>
            <family val="2"/>
          </rPr>
          <t>Max.: 110.00 cms</t>
        </r>
      </text>
    </comment>
    <comment ref="K1220" authorId="0" shapeId="0" xr:uid="{C4049C70-6388-4C96-99EB-86C951F6382B}">
      <text>
        <r>
          <rPr>
            <b/>
            <sz val="9"/>
            <color indexed="81"/>
            <rFont val="Tahoma"/>
            <family val="2"/>
          </rPr>
          <t>Pham Thuy Nhu Huynh:</t>
        </r>
        <r>
          <rPr>
            <sz val="9"/>
            <color indexed="81"/>
            <rFont val="Tahoma"/>
            <family val="2"/>
          </rPr>
          <t xml:space="preserve">
From: Thuy, Nguyen Thi Thu &lt;thuthuy@starprintvn.com&gt; 
Sent: Wednesday, August 2, 2023 9:30 AM
To: EST@starprintvn.com; tri.hoduc@starprintvn.com; 'Huyen, Nguyen Thi' &lt;huyen.nguyenthi@starprintvn.com&gt;; LOG@starprintvn.com
Subject: Size cont hàng xuất
Hi team Est
Thông tin này chị đã báo lâu rồi nhưng nếu team Est lưu thông tin khác thì chỉnh lại nhé:
Khi tính cont thì dựa vào size lot lòng trong cont như dưới đây:
Lọt lòng for loading 20': 2.3 x 5.8 x 2.2m (W x L x H)
40DC': 2.3 x11.8 x 2.2m (W x L x H)
40HQ': 2.3 x11.8 x 2.5m (W x L x H)
Ngoài ra, còn GW tùy theo carriers như sau:
For US: 18-19 tấn
For EU: 20-22 tấn 
For Australia: 15 tấn
</t>
        </r>
      </text>
    </comment>
    <comment ref="L1220" authorId="4" shapeId="0" xr:uid="{00000000-0006-0000-0900-00001A000000}">
      <text>
        <r>
          <rPr>
            <b/>
            <sz val="8"/>
            <color indexed="12"/>
            <rFont val="Tahoma"/>
            <family val="2"/>
          </rPr>
          <t>80 x 120cm Pallet</t>
        </r>
        <r>
          <rPr>
            <b/>
            <sz val="8"/>
            <color indexed="81"/>
            <rFont val="Tahoma"/>
            <family val="2"/>
          </rPr>
          <t xml:space="preserve">
</t>
        </r>
        <r>
          <rPr>
            <sz val="8"/>
            <color indexed="81"/>
            <rFont val="Tahoma"/>
            <family val="2"/>
          </rPr>
          <t>Max: 22 pallets/con</t>
        </r>
        <r>
          <rPr>
            <b/>
            <sz val="8"/>
            <color indexed="81"/>
            <rFont val="Tahoma"/>
            <family val="2"/>
          </rPr>
          <t xml:space="preserve">
</t>
        </r>
        <r>
          <rPr>
            <b/>
            <sz val="8"/>
            <color indexed="12"/>
            <rFont val="Tahoma"/>
            <family val="2"/>
          </rPr>
          <t>100 x 120cm Pallet</t>
        </r>
        <r>
          <rPr>
            <b/>
            <sz val="8"/>
            <color indexed="81"/>
            <rFont val="Tahoma"/>
            <family val="2"/>
          </rPr>
          <t xml:space="preserve">
</t>
        </r>
        <r>
          <rPr>
            <sz val="8"/>
            <color indexed="81"/>
            <rFont val="Tahoma"/>
            <family val="2"/>
          </rPr>
          <t>Max: 20 pallets/con</t>
        </r>
      </text>
    </comment>
    <comment ref="N1221" authorId="0" shapeId="0" xr:uid="{C74BE6DC-7AC6-4095-A292-BE372D6D29E6}">
      <text>
        <r>
          <rPr>
            <b/>
            <sz val="9"/>
            <color indexed="81"/>
            <rFont val="Tahoma"/>
            <family val="2"/>
          </rPr>
          <t>Pham Thuy Nhu Huynh:</t>
        </r>
        <r>
          <rPr>
            <sz val="9"/>
            <color indexed="81"/>
            <rFont val="Tahoma"/>
            <family val="2"/>
          </rPr>
          <t xml:space="preserve">
From: Thuy, Nguyen Thi Thu &lt;thuthuy@starprintvn.com&gt; 
Sent: Wednesday, August 2, 2023 9:30 AM
To: EST@starprintvn.com; tri.hoduc@starprintvn.com; 'Huyen, Nguyen Thi' &lt;huyen.nguyenthi@starprintvn.com&gt;; LOG@starprintvn.com
Subject: Size cont hàng xuất
Hi team Est
Thông tin này chị đã báo lâu rồi nhưng nếu team Est lưu thông tin khác thì chỉnh lại nhé:
Khi tính cont thì dựa vào size lot lòng trong cont như dưới đây:
Lọt lòng for loading 20': 2.3 x 5.8 x 2.2m (W x L x H)
40DC': 2.3 x11.8 x 2.2m (W x L x H)
40HQ': 2.3 x11.8 x 2.5m (W x L x H)
Ngoài ra, còn GW tùy theo carriers như sau:
For US: 18-19 tấn
For EU: 20-22 tấn 
For Australia: 15 tấn
</t>
        </r>
      </text>
    </comment>
    <comment ref="L1222" authorId="4" shapeId="0" xr:uid="{00000000-0006-0000-0900-00001C000000}">
      <text>
        <r>
          <rPr>
            <b/>
            <sz val="8"/>
            <color indexed="12"/>
            <rFont val="Tahoma"/>
            <family val="2"/>
          </rPr>
          <t>80 x 120cm Pallet</t>
        </r>
        <r>
          <rPr>
            <b/>
            <sz val="8"/>
            <color indexed="81"/>
            <rFont val="Tahoma"/>
            <family val="2"/>
          </rPr>
          <t xml:space="preserve">
</t>
        </r>
        <r>
          <rPr>
            <sz val="8"/>
            <color indexed="81"/>
            <rFont val="Tahoma"/>
            <family val="2"/>
          </rPr>
          <t>Max: 46 pallets/con</t>
        </r>
        <r>
          <rPr>
            <b/>
            <sz val="8"/>
            <color indexed="81"/>
            <rFont val="Tahoma"/>
            <family val="2"/>
          </rPr>
          <t xml:space="preserve">
</t>
        </r>
        <r>
          <rPr>
            <b/>
            <sz val="8"/>
            <color indexed="12"/>
            <rFont val="Tahoma"/>
            <family val="2"/>
          </rPr>
          <t>100 x 120cm Pallet</t>
        </r>
        <r>
          <rPr>
            <b/>
            <sz val="8"/>
            <color indexed="81"/>
            <rFont val="Tahoma"/>
            <family val="2"/>
          </rPr>
          <t xml:space="preserve">
</t>
        </r>
        <r>
          <rPr>
            <sz val="8"/>
            <color indexed="81"/>
            <rFont val="Tahoma"/>
            <family val="2"/>
          </rPr>
          <t>Max: 42 pallets/con</t>
        </r>
      </text>
    </comment>
    <comment ref="N1223" authorId="0" shapeId="0" xr:uid="{F608AEFD-A3FF-4595-B462-A649AA4B7F44}">
      <text>
        <r>
          <rPr>
            <b/>
            <sz val="9"/>
            <color indexed="81"/>
            <rFont val="Tahoma"/>
            <family val="2"/>
          </rPr>
          <t>Pham Thuy Nhu Huynh:</t>
        </r>
        <r>
          <rPr>
            <sz val="9"/>
            <color indexed="81"/>
            <rFont val="Tahoma"/>
            <family val="2"/>
          </rPr>
          <t xml:space="preserve">
From: Thuy, Nguyen Thi Thu &lt;thuthuy@starprintvn.com&gt; 
Sent: Wednesday, August 2, 2023 9:30 AM
To: EST@starprintvn.com; tri.hoduc@starprintvn.com; 'Huyen, Nguyen Thi' &lt;huyen.nguyenthi@starprintvn.com&gt;; LOG@starprintvn.com
Subject: Size cont hàng xuất
Hi team Est
Thông tin này chị đã báo lâu rồi nhưng nếu team Est lưu thông tin khác thì chỉnh lại nhé:
Khi tính cont thì dựa vào size lot lòng trong cont như dưới đây:
Lọt lòng for loading 20': 2.3 x 5.8 x 2.2m (W x L x H)
40DC': 2.3 x11.8 x 2.2m (W x L x H)
40HQ': 2.3 x11.8 x 2.5m (W x L x H)
Ngoài ra, còn GW tùy theo carriers như sau:
For US: 18-19 tấn
For EU: 20-22 tấn 
For Australia: 15 tấn
</t>
        </r>
      </text>
    </comment>
    <comment ref="I1224" authorId="1" shapeId="0" xr:uid="{00000000-0006-0000-0900-00001E000000}">
      <text>
        <r>
          <rPr>
            <b/>
            <sz val="9"/>
            <color indexed="81"/>
            <rFont val="Tahoma"/>
            <family val="2"/>
          </rPr>
          <t>Pham Thi Hong Tham:</t>
        </r>
        <r>
          <rPr>
            <sz val="9"/>
            <color indexed="81"/>
            <rFont val="Tahoma"/>
            <family val="2"/>
          </rPr>
          <t xml:space="preserve">
From: Tham, Pham Thi Hong &lt;hongtham@starprintvn.com&gt; 
Sent: Monday, March 20, 2023 9:44 AM
To: 'Estimator' &lt;EST@starprintvn.com&gt;
Cc: 'Nguyen Thi Huyen - MA' &lt;huyen.nguyenthi@starprintvn.com&gt;; 'tri.hoduc@starprintvn.com' &lt;tri.hoduc@starprintvn.com&gt;
Subject: List KH cần khai HQ
Hi team,
Dưới đây là list KH cần khai hải quan nhé
- Nisshin
- P&amp;G
- Unicity
- Sakan
- Westrock (S&amp;J)
- Shiseido
</t>
        </r>
      </text>
    </comment>
    <comment ref="B1232" authorId="6" shapeId="0" xr:uid="{00000000-0006-0000-0900-00001F000000}">
      <text>
        <r>
          <rPr>
            <b/>
            <sz val="8"/>
            <color indexed="81"/>
            <rFont val="Tahoma"/>
            <family val="2"/>
          </rPr>
          <t>Qty: Copies of Books or CDP per Port</t>
        </r>
        <r>
          <rPr>
            <sz val="8"/>
            <color indexed="81"/>
            <rFont val="Tahoma"/>
            <family val="2"/>
          </rPr>
          <t xml:space="preserve">
</t>
        </r>
      </text>
    </comment>
    <comment ref="B1234" authorId="6" shapeId="0" xr:uid="{00000000-0006-0000-0900-000020000000}">
      <text>
        <r>
          <rPr>
            <b/>
            <sz val="8"/>
            <color indexed="81"/>
            <rFont val="Tahoma"/>
            <family val="2"/>
          </rPr>
          <t>Total Pallets each Des</t>
        </r>
      </text>
    </comment>
    <comment ref="B1235" authorId="6" shapeId="0" xr:uid="{00000000-0006-0000-0900-000021000000}">
      <text>
        <r>
          <rPr>
            <b/>
            <sz val="8"/>
            <color indexed="81"/>
            <rFont val="Tahoma"/>
            <family val="2"/>
          </rPr>
          <t>Total 20'C Each Des</t>
        </r>
        <r>
          <rPr>
            <sz val="8"/>
            <color indexed="81"/>
            <rFont val="Tahoma"/>
            <family val="2"/>
          </rPr>
          <t xml:space="preserve">
</t>
        </r>
      </text>
    </comment>
    <comment ref="B1236" authorId="6" shapeId="0" xr:uid="{00000000-0006-0000-0900-000022000000}">
      <text>
        <r>
          <rPr>
            <b/>
            <sz val="8"/>
            <color indexed="81"/>
            <rFont val="Tahoma"/>
            <family val="2"/>
          </rPr>
          <t>Total 40'C Each Des.</t>
        </r>
        <r>
          <rPr>
            <sz val="8"/>
            <color indexed="81"/>
            <rFont val="Tahoma"/>
            <family val="2"/>
          </rPr>
          <t xml:space="preserve">
</t>
        </r>
      </text>
    </comment>
    <comment ref="H1247" authorId="7" shapeId="0" xr:uid="{00000000-0006-0000-0900-000023000000}">
      <text>
        <r>
          <rPr>
            <sz val="8"/>
            <color indexed="14"/>
            <rFont val="Tahoma"/>
            <family val="2"/>
          </rPr>
          <t xml:space="preserve">Apply for all oversea clients
except local customers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Pham Thi Hong Tham</author>
    <author>Pham Thuy Nhu Huynh</author>
    <author>Nguyen Thi Hong Van</author>
  </authors>
  <commentList>
    <comment ref="C9" authorId="0" shapeId="0" xr:uid="{822678AD-FB54-430D-BAC2-0FCB9075E4BE}">
      <text>
        <r>
          <rPr>
            <b/>
            <sz val="9"/>
            <color indexed="81"/>
            <rFont val="Tahoma"/>
            <family val="2"/>
          </rPr>
          <t>Pham Thi Hong Tham:</t>
        </r>
        <r>
          <rPr>
            <sz val="9"/>
            <color indexed="81"/>
            <rFont val="Tahoma"/>
            <family val="2"/>
          </rPr>
          <t xml:space="preserve">
1.5$ phí cơ sở hạ tầng</t>
        </r>
      </text>
    </comment>
    <comment ref="D9" authorId="0" shapeId="0" xr:uid="{B3796CD1-D350-4084-A745-0A04D911AFA0}">
      <text>
        <r>
          <rPr>
            <b/>
            <sz val="9"/>
            <color indexed="81"/>
            <rFont val="Tahoma"/>
            <family val="2"/>
          </rPr>
          <t>Pham Thi Hong Tham:</t>
        </r>
        <r>
          <rPr>
            <sz val="9"/>
            <color indexed="81"/>
            <rFont val="Tahoma"/>
            <family val="2"/>
          </rPr>
          <t xml:space="preserve">
1.5$ phí cơ sở hạ tầng</t>
        </r>
      </text>
    </comment>
    <comment ref="G9" authorId="0" shapeId="0" xr:uid="{312243C3-2AB4-420C-BDBB-FA694FC21F5C}">
      <text>
        <r>
          <rPr>
            <b/>
            <sz val="9"/>
            <color indexed="81"/>
            <rFont val="Tahoma"/>
            <family val="2"/>
          </rPr>
          <t>Pham Thi Hong Tham:</t>
        </r>
        <r>
          <rPr>
            <sz val="9"/>
            <color indexed="81"/>
            <rFont val="Tahoma"/>
            <family val="2"/>
          </rPr>
          <t xml:space="preserve">
1.5$ phí cơ sở hạ tầng</t>
        </r>
      </text>
    </comment>
    <comment ref="H9" authorId="0" shapeId="0" xr:uid="{5649D196-D7CA-4A14-A130-CD0D26C51E66}">
      <text>
        <r>
          <rPr>
            <b/>
            <sz val="9"/>
            <color indexed="81"/>
            <rFont val="Tahoma"/>
            <family val="2"/>
          </rPr>
          <t>Pham Thi Hong Tham:</t>
        </r>
        <r>
          <rPr>
            <sz val="9"/>
            <color indexed="81"/>
            <rFont val="Tahoma"/>
            <family val="2"/>
          </rPr>
          <t xml:space="preserve">
1.5$ phí cơ sở hạ tầng</t>
        </r>
      </text>
    </comment>
    <comment ref="I9" authorId="0" shapeId="0" xr:uid="{7EB24D07-E562-4EBD-BC41-D949E205D01E}">
      <text>
        <r>
          <rPr>
            <b/>
            <sz val="9"/>
            <color indexed="81"/>
            <rFont val="Tahoma"/>
            <family val="2"/>
          </rPr>
          <t>Pham Thi Hong Tham:</t>
        </r>
        <r>
          <rPr>
            <sz val="9"/>
            <color indexed="81"/>
            <rFont val="Tahoma"/>
            <family val="2"/>
          </rPr>
          <t xml:space="preserve">
1.5$ phí cơ sở hạ tầng</t>
        </r>
      </text>
    </comment>
    <comment ref="J9" authorId="0" shapeId="0" xr:uid="{6A50203A-05DF-4CD2-A589-959282B59E91}">
      <text>
        <r>
          <rPr>
            <b/>
            <sz val="9"/>
            <color indexed="81"/>
            <rFont val="Tahoma"/>
            <family val="2"/>
          </rPr>
          <t>Pham Thi Hong Tham:</t>
        </r>
        <r>
          <rPr>
            <sz val="9"/>
            <color indexed="81"/>
            <rFont val="Tahoma"/>
            <family val="2"/>
          </rPr>
          <t xml:space="preserve">
1.5$ phí cơ sở hạ tầng</t>
        </r>
      </text>
    </comment>
    <comment ref="K9" authorId="0" shapeId="0" xr:uid="{39266B6F-322B-4465-86FE-C5E75BF2920D}">
      <text>
        <r>
          <rPr>
            <b/>
            <sz val="9"/>
            <color indexed="81"/>
            <rFont val="Tahoma"/>
            <family val="2"/>
          </rPr>
          <t>Pham Thi Hong Tham:</t>
        </r>
        <r>
          <rPr>
            <sz val="9"/>
            <color indexed="81"/>
            <rFont val="Tahoma"/>
            <family val="2"/>
          </rPr>
          <t xml:space="preserve">
1.5$ phí cơ sở hạ tầng</t>
        </r>
      </text>
    </comment>
    <comment ref="M9" authorId="0" shapeId="0" xr:uid="{30CB3A31-3E74-4185-823E-251F2083DBFC}">
      <text>
        <r>
          <rPr>
            <b/>
            <sz val="9"/>
            <color indexed="81"/>
            <rFont val="Tahoma"/>
            <family val="2"/>
          </rPr>
          <t>Pham Thi Hong Tham:</t>
        </r>
        <r>
          <rPr>
            <sz val="9"/>
            <color indexed="81"/>
            <rFont val="Tahoma"/>
            <family val="2"/>
          </rPr>
          <t xml:space="preserve">
1.5$ phí cơ sở hạ tầng</t>
        </r>
      </text>
    </comment>
    <comment ref="N9" authorId="0" shapeId="0" xr:uid="{3350AB0A-3601-43F2-8FD9-1470916832D1}">
      <text>
        <r>
          <rPr>
            <b/>
            <sz val="9"/>
            <color indexed="81"/>
            <rFont val="Tahoma"/>
            <family val="2"/>
          </rPr>
          <t>Pham Thi Hong Tham:</t>
        </r>
        <r>
          <rPr>
            <sz val="9"/>
            <color indexed="81"/>
            <rFont val="Tahoma"/>
            <family val="2"/>
          </rPr>
          <t xml:space="preserve">
From: Thuy, Nguyen Thi Thu &lt;thuthuy@starprintvn.com&gt; 
Sent: Thursday, March 2, 2023 2:53 PM
To: 'Thuan, Dieu Thi Thanh' &lt;thanhthuan@starprintvn.com&gt;; anh.nguyenthingoc@starprintvn.com
Cc: 'Dao Thu Huong' &lt;thuhuong.dao@starprintvn.com&gt;; 'Cuc ( Anne)' &lt;thicuc@starprintvn.com&gt;; 'Dori Ho (Tuyền Hồ)' &lt;lamtuyen@starprintvn.com&gt;; 'Estimator' &lt;est@starprintvn.com&gt;; 'LOG Department' &lt;log@starprintvn.com&gt;
Subject: RE: Request_Jansy_BW Mailer Box option 1_27.02.2023
Hi Thuận
FOB HCM thì chỉ có local charge in HCM như dưới đây nhé:
</t>
        </r>
      </text>
    </comment>
    <comment ref="B21" authorId="0" shapeId="0" xr:uid="{DB6C7C01-9275-4D48-B81C-B6F03A3E119E}">
      <text>
        <r>
          <rPr>
            <b/>
            <sz val="9"/>
            <color indexed="81"/>
            <rFont val="Tahoma"/>
            <family val="2"/>
          </rPr>
          <t>Pham Thi Hong Tham:</t>
        </r>
        <r>
          <rPr>
            <sz val="9"/>
            <color indexed="81"/>
            <rFont val="Tahoma"/>
            <family val="2"/>
          </rPr>
          <t xml:space="preserve">
LƯỚI VÀ CÂY, VÁN GỖ ĐÓNG CONT HÀNG XUẤT
chỉ áp dụng cho hàng Floorload</t>
        </r>
      </text>
    </comment>
    <comment ref="C31" authorId="1" shapeId="0" xr:uid="{EE3C26ED-F2EA-455D-AB84-3E740495FFF2}">
      <text>
        <r>
          <rPr>
            <b/>
            <sz val="9"/>
            <color indexed="81"/>
            <rFont val="Tahoma"/>
            <family val="2"/>
          </rPr>
          <t>Pham Thuy Nhu Huynh:</t>
        </r>
        <r>
          <rPr>
            <sz val="9"/>
            <color indexed="81"/>
            <rFont val="Tahoma"/>
            <family val="2"/>
          </rPr>
          <t xml:space="preserve">
+ 500k phí cơ sở hạ tầng (mail c Thủy 25.03.22)</t>
        </r>
      </text>
    </comment>
    <comment ref="B43" authorId="0" shapeId="0" xr:uid="{9B297960-D129-4801-932B-00C07FCEEB1A}">
      <text>
        <r>
          <rPr>
            <b/>
            <sz val="9"/>
            <color indexed="81"/>
            <rFont val="Tahoma"/>
            <family val="2"/>
          </rPr>
          <t>Pham Thi Hong Tham:</t>
        </r>
        <r>
          <rPr>
            <sz val="9"/>
            <color indexed="81"/>
            <rFont val="Tahoma"/>
            <family val="2"/>
          </rPr>
          <t xml:space="preserve">
LƯỚI VÀ CÂY, VÁN GỖ ĐÓNG CONT HÀNG XUẤT
chỉ áp dụng cho hàng Floorload</t>
        </r>
      </text>
    </comment>
    <comment ref="C43" authorId="0" shapeId="0" xr:uid="{82580CFA-46F1-496A-9BB8-13F104A18762}">
      <text>
        <r>
          <rPr>
            <b/>
            <sz val="9"/>
            <color indexed="81"/>
            <rFont val="Tahoma"/>
            <family val="2"/>
          </rPr>
          <t>Pham Thi Hong Tham:</t>
        </r>
        <r>
          <rPr>
            <sz val="9"/>
            <color indexed="81"/>
            <rFont val="Tahoma"/>
            <family val="2"/>
          </rPr>
          <t xml:space="preserve">
From: Thuy, Nguyen Thi Thu &lt;thuthuy@starprintvn.com&gt; 
Sent: Wednesday, November 9, 2022 10:52 AM
To: 'Duy,Nguyen Tri' &lt;duy.nguyentri@starprintvn.com&gt;; 'Dung, Pham Thi Kim ' &lt;kimdung@starprintvn.com&gt;; 'Nuong,Nguyen Thi Tuyet' &lt;nuong.nguyenthituyet@starprintvn.com&gt;; tanloc@starprintvn.com
Cc: 'Pham Thien An' &lt;an.phamthien@starprintvn.com&gt;; 'Nguyen Minh Tai' &lt;tai.nguyenminh@starprintvn.com&gt;; 'Book R&amp;D' &lt;book.rd@starprintvn.com&gt;; 'Minh Tan' &lt;minhtan@starprintvn.com&gt;; ngoc.nguyenhong@starprintvn.com; 'Lan Anh Bui Nguyen' &lt;anh.buinguyenlan@starprintvn.com&gt;; 'Cuc ( Anne)' &lt;thicuc@starprintvn.com&gt;; 'Khoa, Tran Le Tuan' &lt;khoa.tranletuan@starprintvn.com&gt;; crayolaorders@starprintvn.com; 'Tran Van Thuan' &lt;thuan.tranvan@starprintvn.com&gt;; 'Tracy Pham' &lt;tram.phamthibich@starprintvn.com&gt;; 'Tham, Pham Thi Hong' &lt;hongtham@starprintvn.com&gt;
Subject: RE: LƯỚI VÀ CÂY, VÁN GỖ ĐÓNG CONT HÀNG XUẤT
Hi Cúc
Nếu thêm phí hun trùng có ván và gỗ 300k vnd nữa thì total 1 cont cost 1,090k vnd trong khi 2 tấm lưới chỉ có 180k vnd = 16.5% giá gỗ. Nếu chuyển qua lưới hết cho các cont hàng xuất thì saving rất nhiều
Vì vậy, Cúc báo Crayola mình sẽ dùng lưới cho các cont từ tháng 1 trở đi nhé
</t>
        </r>
      </text>
    </comment>
    <comment ref="L45" authorId="0" shapeId="0" xr:uid="{FC06E2BA-874A-4141-85FC-9165ADA73D12}">
      <text>
        <r>
          <rPr>
            <b/>
            <sz val="9"/>
            <color indexed="81"/>
            <rFont val="Tahoma"/>
            <family val="2"/>
          </rPr>
          <t>Pham Thi Hong Tham:</t>
        </r>
        <r>
          <rPr>
            <sz val="9"/>
            <color indexed="81"/>
            <rFont val="Tahoma"/>
            <family val="2"/>
          </rPr>
          <t xml:space="preserve">
From: Loc, Le Tan &lt;tanloc@starprintvn.com&gt; 
Sent: Monday, December 26, 2022 1:57 PM
To: ngoc.nguyenhong@starprintvn.com; totrinh@starprintvn.com
Cc: thuthuy@starprintvn.com; kimhuong@starprintvn.com; 'Estimator' &lt;EST@starprintvn.com&gt;
Subject: FW: báo giá 2023 - Khu Trung
Hi chi Ngoc, c Trinh.
Bên khử trùng đang làm việc cho SPV gửi báo giá 2023 tăng gia khử container so với 2022, 
hai chị xem có nhà cung cấp nào giá tốt hơn để khử trung cho 2023 nhé
</t>
        </r>
      </text>
    </comment>
    <comment ref="B66" authorId="0" shapeId="0" xr:uid="{9257A16C-0EDE-4CF0-AA8A-F20286C2BD30}">
      <text>
        <r>
          <rPr>
            <b/>
            <sz val="9"/>
            <color indexed="81"/>
            <rFont val="Tahoma"/>
            <family val="2"/>
          </rPr>
          <t>Pham Thi Hong Tham:</t>
        </r>
        <r>
          <rPr>
            <sz val="9"/>
            <color indexed="81"/>
            <rFont val="Tahoma"/>
            <family val="2"/>
          </rPr>
          <t xml:space="preserve">
LƯỚI VÀ CÂY, VÁN GỖ ĐÓNG CONT HÀNG XUẤT
chỉ áp dụng cho hàng Floorload</t>
        </r>
      </text>
    </comment>
    <comment ref="C66" authorId="0" shapeId="0" xr:uid="{E43934A3-AF4C-411A-BCB5-D6F4490AB594}">
      <text>
        <r>
          <rPr>
            <b/>
            <sz val="9"/>
            <color indexed="81"/>
            <rFont val="Tahoma"/>
            <family val="2"/>
          </rPr>
          <t>Pham Thi Hong Tham:</t>
        </r>
        <r>
          <rPr>
            <sz val="9"/>
            <color indexed="81"/>
            <rFont val="Tahoma"/>
            <family val="2"/>
          </rPr>
          <t xml:space="preserve">
From: Thuy, Nguyen Thi Thu &lt;thuthuy@starprintvn.com&gt; 
Sent: Wednesday, November 9, 2022 10:52 AM
To: 'Duy,Nguyen Tri' &lt;duy.nguyentri@starprintvn.com&gt;; 'Dung, Pham Thi Kim ' &lt;kimdung@starprintvn.com&gt;; 'Nuong,Nguyen Thi Tuyet' &lt;nuong.nguyenthituyet@starprintvn.com&gt;; tanloc@starprintvn.com
Cc: 'Pham Thien An' &lt;an.phamthien@starprintvn.com&gt;; 'Nguyen Minh Tai' &lt;tai.nguyenminh@starprintvn.com&gt;; 'Book R&amp;D' &lt;book.rd@starprintvn.com&gt;; 'Minh Tan' &lt;minhtan@starprintvn.com&gt;; ngoc.nguyenhong@starprintvn.com; 'Lan Anh Bui Nguyen' &lt;anh.buinguyenlan@starprintvn.com&gt;; 'Cuc ( Anne)' &lt;thicuc@starprintvn.com&gt;; 'Khoa, Tran Le Tuan' &lt;khoa.tranletuan@starprintvn.com&gt;; crayolaorders@starprintvn.com; 'Tran Van Thuan' &lt;thuan.tranvan@starprintvn.com&gt;; 'Tracy Pham' &lt;tram.phamthibich@starprintvn.com&gt;; 'Tham, Pham Thi Hong' &lt;hongtham@starprintvn.com&gt;
Subject: RE: LƯỚI VÀ CÂY, VÁN GỖ ĐÓNG CONT HÀNG XUẤT
Hi Cúc
Nếu thêm phí hun trùng có ván và gỗ 300k vnd nữa thì total 1 cont cost 1,090k vnd trong khi 2 tấm lưới chỉ có 180k vnd = 16.5% giá gỗ. Nếu chuyển qua lưới hết cho các cont hàng xuất thì saving rất nhiều
Vì vậy, Cúc báo Crayola mình sẽ dùng lưới cho các cont từ tháng 1 trở đi nhé
</t>
        </r>
      </text>
    </comment>
    <comment ref="L68" authorId="0" shapeId="0" xr:uid="{72F35B5D-E9E6-4361-8C22-6819188EA5E1}">
      <text>
        <r>
          <rPr>
            <b/>
            <sz val="9"/>
            <color indexed="81"/>
            <rFont val="Tahoma"/>
            <family val="2"/>
          </rPr>
          <t>Pham Thi Hong Tham:</t>
        </r>
        <r>
          <rPr>
            <sz val="9"/>
            <color indexed="81"/>
            <rFont val="Tahoma"/>
            <family val="2"/>
          </rPr>
          <t xml:space="preserve">
From: Loc, Le Tan &lt;tanloc@starprintvn.com&gt; 
Sent: Monday, December 26, 2022 1:57 PM
To: ngoc.nguyenhong@starprintvn.com; totrinh@starprintvn.com
Cc: thuthuy@starprintvn.com; kimhuong@starprintvn.com; 'Estimator' &lt;EST@starprintvn.com&gt;
Subject: FW: báo giá 2023 - Khu Trung
Hi chi Ngoc, c Trinh.
Bên khử trùng đang làm việc cho SPV gửi báo giá 2023 tăng gia khử container so với 2022, 
hai chị xem có nhà cung cấp nào giá tốt hơn để khử trung cho 2023 nhé
</t>
        </r>
      </text>
    </comment>
    <comment ref="Z94" authorId="0" shapeId="0" xr:uid="{88A8BFAA-49A2-49A8-A287-713115F8CF58}">
      <text>
        <r>
          <rPr>
            <b/>
            <sz val="9"/>
            <color indexed="81"/>
            <rFont val="Tahoma"/>
            <family val="2"/>
          </rPr>
          <t>Pham Thi Hong Tham:</t>
        </r>
        <r>
          <rPr>
            <sz val="9"/>
            <color indexed="81"/>
            <rFont val="Tahoma"/>
            <family val="2"/>
          </rPr>
          <t xml:space="preserve">
From: totrinh@starprintvn.com &lt;totrinh@starprintvn.com&gt; 
Sent: Monday, February 27, 2023 4:34 PM
To: 'Tham, Pham Thi Hong' &lt;hongtham@starprintvn.com&gt;
Cc: EST@starprintvn.com; PUR@starprintvn.com
Subject: RE: Gia van chuyen PCA 
Hi Thắm 
Có sự nhầm lẫn chút xíu nha, em điều chỉnh lại dùm Chi giá đúng của 2 dòng này là 1522000d nhé
</t>
        </r>
      </text>
    </comment>
    <comment ref="B120" authorId="2" shapeId="0" xr:uid="{44B51A39-6C24-461F-87AD-106EE721B8F5}">
      <text>
        <r>
          <rPr>
            <b/>
            <sz val="9"/>
            <color indexed="81"/>
            <rFont val="Tahoma"/>
            <family val="2"/>
          </rPr>
          <t>Nguyen Thi Hong Van:</t>
        </r>
        <r>
          <rPr>
            <sz val="9"/>
            <color indexed="81"/>
            <rFont val="Tahoma"/>
            <family val="2"/>
          </rPr>
          <t xml:space="preserve">
From: totrinh@starprintvn.com &lt;totrinh@starprintvn.com&gt; 
Sent: Tuesday, July 25, 2023 11:32 AM
To: 'Trang, Nguyen Dong Xuan' &lt;trang.ndx@starprintvn.com&gt;; 'Thuy, Nguyen Thi Thu' &lt;thuthuy@starprintvn.com&gt;
Cc: 'ngoc.nguyenhong@starprintvn.com' &lt;ngoc.nguyenhong@starprintvn.com&gt;; 'Thanh Vân - PUR' &lt;Thanhvan@starprintvn.com&gt;; 'LOG@starprintvn.com' &lt;LOG@starprintvn.com&gt;
Subject: RE: vận chuyển tuyến TBS Tân Vạn
Dear Chị Thủy &amp; X. Trang
Về chi phí phát sinh cho tuyến đi TBS và Kinh Đô sau khi trao đổi với nhà vận chuyển và bên LOG đi đến  thống nhất như sau:
</t>
        </r>
        <r>
          <rPr>
            <b/>
            <sz val="9"/>
            <color indexed="81"/>
            <rFont val="Tahoma"/>
            <family val="2"/>
          </rPr>
          <t xml:space="preserve">
- Tuyến đi Kinh Đô =&gt; Tăng thêm 1 người bốc xếp đi theo xe chi phí thu thêm vào giá xe 200k/xe</t>
        </r>
        <r>
          <rPr>
            <sz val="9"/>
            <color indexed="81"/>
            <rFont val="Tahoma"/>
            <family val="2"/>
          </rPr>
          <t xml:space="preserve">
- Tuyến đi TBS sẽ có 2 mức giá cho chiều hàng về SPV
• Giá đi pallet áp dụng giá theo mức giá hiện tại mục giá số 1
• Giá hàng bốc xá =&gt; hàng về kho SPV tài xế bốc hàng xếp trên pallet và phân loại hàng theo bảng giá bên dưới mục số 3, phí trả pallet (nếu có) áp dụng theo mục số 4. 
Giá mới này sẽ được cập nhật trong PL Hợp Đồng số 12 và sẽ bổ sung cho bên Chị sau khi hai bên ký xong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IA_USER04 Phuong Linh</author>
  </authors>
  <commentList>
    <comment ref="G14" authorId="0" shapeId="0" xr:uid="{00000000-0006-0000-2000-000001000000}">
      <text>
        <r>
          <rPr>
            <b/>
            <sz val="9"/>
            <color indexed="81"/>
            <rFont val="Tahoma"/>
            <family val="2"/>
          </rPr>
          <t xml:space="preserve">Based on MS2018/363/02
Size 463 x 686mm
</t>
        </r>
      </text>
    </comment>
    <comment ref="G16" authorId="0" shapeId="0" xr:uid="{00000000-0006-0000-2000-000002000000}">
      <text>
        <r>
          <rPr>
            <b/>
            <sz val="9"/>
            <color indexed="81"/>
            <rFont val="Tahoma"/>
            <family val="2"/>
          </rPr>
          <t xml:space="preserve">Based on MS2018/363/02
Size 463 x 686mm
</t>
        </r>
      </text>
    </comment>
    <comment ref="G24" authorId="0" shapeId="0" xr:uid="{377359AD-BCD9-4BAE-B422-7D8C11F6AD06}">
      <text>
        <r>
          <rPr>
            <b/>
            <sz val="9"/>
            <color indexed="81"/>
            <rFont val="Tahoma"/>
            <family val="2"/>
          </rPr>
          <t xml:space="preserve">Based on MS2018/363/02
Size 463 x 686mm
</t>
        </r>
      </text>
    </comment>
    <comment ref="G26" authorId="0" shapeId="0" xr:uid="{63082235-2C85-48F5-9DD9-FA864647A38D}">
      <text>
        <r>
          <rPr>
            <b/>
            <sz val="9"/>
            <color indexed="81"/>
            <rFont val="Tahoma"/>
            <family val="2"/>
          </rPr>
          <t xml:space="preserve">Based on MS2018/363/02
Size 463 x 686mm
</t>
        </r>
      </text>
    </comment>
    <comment ref="G34" authorId="0" shapeId="0" xr:uid="{D0FE4A07-29F8-4D6F-B286-901A52237386}">
      <text>
        <r>
          <rPr>
            <b/>
            <sz val="9"/>
            <color indexed="81"/>
            <rFont val="Tahoma"/>
            <family val="2"/>
          </rPr>
          <t xml:space="preserve">Based on MS2018/363/02
Size 463 x 686mm
</t>
        </r>
      </text>
    </comment>
    <comment ref="G36" authorId="0" shapeId="0" xr:uid="{43BDD934-DAC2-4184-B553-65981CCA937F}">
      <text>
        <r>
          <rPr>
            <b/>
            <sz val="9"/>
            <color indexed="81"/>
            <rFont val="Tahoma"/>
            <family val="2"/>
          </rPr>
          <t xml:space="preserve">Based on MS2018/363/02
Size 463 x 686mm
</t>
        </r>
      </text>
    </comment>
    <comment ref="G44" authorId="0" shapeId="0" xr:uid="{AE339685-11FA-41FF-989C-BC1271F772B1}">
      <text>
        <r>
          <rPr>
            <b/>
            <sz val="9"/>
            <color indexed="81"/>
            <rFont val="Tahoma"/>
            <family val="2"/>
          </rPr>
          <t xml:space="preserve">Based on MS2018/363/02
Size 463 x 686mm
</t>
        </r>
      </text>
    </comment>
    <comment ref="G46" authorId="0" shapeId="0" xr:uid="{E9B99C40-B5CC-4AE5-B80E-93C2560F4C74}">
      <text>
        <r>
          <rPr>
            <b/>
            <sz val="9"/>
            <color indexed="81"/>
            <rFont val="Tahoma"/>
            <family val="2"/>
          </rPr>
          <t xml:space="preserve">Based on MS2018/363/02
Size 463 x 686mm
</t>
        </r>
      </text>
    </comment>
    <comment ref="G54" authorId="0" shapeId="0" xr:uid="{7506C0A3-0FB6-4DE1-9360-252DDA055E14}">
      <text>
        <r>
          <rPr>
            <b/>
            <sz val="9"/>
            <color indexed="81"/>
            <rFont val="Tahoma"/>
            <family val="2"/>
          </rPr>
          <t xml:space="preserve">Based on MS2018/363/02
Size 463 x 686mm
</t>
        </r>
      </text>
    </comment>
    <comment ref="G56" authorId="0" shapeId="0" xr:uid="{6E9807C9-AECB-4501-B62A-2F306B905F58}">
      <text>
        <r>
          <rPr>
            <b/>
            <sz val="9"/>
            <color indexed="81"/>
            <rFont val="Tahoma"/>
            <family val="2"/>
          </rPr>
          <t xml:space="preserve">Based on MS2018/363/02
Size 463 x 686mm
</t>
        </r>
      </text>
    </comment>
    <comment ref="G64" authorId="0" shapeId="0" xr:uid="{EC83BFBB-90A8-4E4B-8272-EA428A9D6DF5}">
      <text>
        <r>
          <rPr>
            <b/>
            <sz val="9"/>
            <color indexed="81"/>
            <rFont val="Tahoma"/>
            <family val="2"/>
          </rPr>
          <t xml:space="preserve">Based on MS2018/363/02
Size 463 x 686mm
</t>
        </r>
      </text>
    </comment>
    <comment ref="G66" authorId="0" shapeId="0" xr:uid="{1FBEE34C-50C3-4344-955E-F1FAC778C5CF}">
      <text>
        <r>
          <rPr>
            <b/>
            <sz val="9"/>
            <color indexed="81"/>
            <rFont val="Tahoma"/>
            <family val="2"/>
          </rPr>
          <t xml:space="preserve">Based on MS2018/363/02
Size 463 x 686mm
</t>
        </r>
      </text>
    </comment>
    <comment ref="G74" authorId="0" shapeId="0" xr:uid="{97832341-E28D-4C92-989B-BBA563FF142F}">
      <text>
        <r>
          <rPr>
            <b/>
            <sz val="9"/>
            <color indexed="81"/>
            <rFont val="Tahoma"/>
            <family val="2"/>
          </rPr>
          <t xml:space="preserve">Based on MS2018/363/02
Size 463 x 686mm
</t>
        </r>
      </text>
    </comment>
    <comment ref="G76" authorId="0" shapeId="0" xr:uid="{9080F59D-2343-4AF5-B5A2-F5ACBB7770F9}">
      <text>
        <r>
          <rPr>
            <b/>
            <sz val="9"/>
            <color indexed="81"/>
            <rFont val="Tahoma"/>
            <family val="2"/>
          </rPr>
          <t xml:space="preserve">Based on MS2018/363/02
Size 463 x 686mm
</t>
        </r>
      </text>
    </comment>
    <comment ref="G84" authorId="0" shapeId="0" xr:uid="{A84F7BD0-6C68-463D-9453-5A7D641A355E}">
      <text>
        <r>
          <rPr>
            <b/>
            <sz val="9"/>
            <color indexed="81"/>
            <rFont val="Tahoma"/>
            <family val="2"/>
          </rPr>
          <t xml:space="preserve">Based on MS2018/363/02
Size 463 x 686mm
</t>
        </r>
      </text>
    </comment>
    <comment ref="G86" authorId="0" shapeId="0" xr:uid="{3AD42053-E161-4351-B8A4-C22DA01BE5A1}">
      <text>
        <r>
          <rPr>
            <b/>
            <sz val="9"/>
            <color indexed="81"/>
            <rFont val="Tahoma"/>
            <family val="2"/>
          </rPr>
          <t xml:space="preserve">Based on MS2018/363/02
Size 463 x 686mm
</t>
        </r>
      </text>
    </comment>
    <comment ref="G94" authorId="0" shapeId="0" xr:uid="{49A31138-ACB2-418D-87F7-35882C0F4ED5}">
      <text>
        <r>
          <rPr>
            <b/>
            <sz val="9"/>
            <color indexed="81"/>
            <rFont val="Tahoma"/>
            <family val="2"/>
          </rPr>
          <t xml:space="preserve">Based on MS2018/363/02
Size 463 x 686mm
</t>
        </r>
      </text>
    </comment>
    <comment ref="G96" authorId="0" shapeId="0" xr:uid="{13AA77C0-53DD-412B-A573-22E602C57C1F}">
      <text>
        <r>
          <rPr>
            <b/>
            <sz val="9"/>
            <color indexed="81"/>
            <rFont val="Tahoma"/>
            <family val="2"/>
          </rPr>
          <t xml:space="preserve">Based on MS2018/363/02
Size 463 x 686mm
</t>
        </r>
      </text>
    </comment>
    <comment ref="G104" authorId="0" shapeId="0" xr:uid="{4ECB0228-74F3-43BB-9384-780AD36BD340}">
      <text>
        <r>
          <rPr>
            <b/>
            <sz val="9"/>
            <color indexed="81"/>
            <rFont val="Tahoma"/>
            <family val="2"/>
          </rPr>
          <t xml:space="preserve">Based on MS2018/363/02
Size 463 x 686mm
</t>
        </r>
      </text>
    </comment>
    <comment ref="G106" authorId="0" shapeId="0" xr:uid="{8E934B3C-15C5-4555-A191-7E3E37EECB6E}">
      <text>
        <r>
          <rPr>
            <b/>
            <sz val="9"/>
            <color indexed="81"/>
            <rFont val="Tahoma"/>
            <family val="2"/>
          </rPr>
          <t xml:space="preserve">Based on MS2018/363/02
Size 463 x 686mm
</t>
        </r>
      </text>
    </comment>
    <comment ref="G114" authorId="0" shapeId="0" xr:uid="{4BBBD6B7-1327-4EFE-B8EE-82A34EDD91B6}">
      <text>
        <r>
          <rPr>
            <b/>
            <sz val="9"/>
            <color indexed="81"/>
            <rFont val="Tahoma"/>
            <family val="2"/>
          </rPr>
          <t xml:space="preserve">Based on MS2018/363/02
Size 463 x 686mm
</t>
        </r>
      </text>
    </comment>
    <comment ref="G116" authorId="0" shapeId="0" xr:uid="{05EB6773-F482-4DCF-BB4E-D9BAF21AB342}">
      <text>
        <r>
          <rPr>
            <b/>
            <sz val="9"/>
            <color indexed="81"/>
            <rFont val="Tahoma"/>
            <family val="2"/>
          </rPr>
          <t xml:space="preserve">Based on MS2018/363/02
Size 463 x 686mm
</t>
        </r>
      </text>
    </comment>
    <comment ref="G124" authorId="0" shapeId="0" xr:uid="{9470CE54-8F72-4FD5-BCEC-508FC6AB97BF}">
      <text>
        <r>
          <rPr>
            <b/>
            <sz val="9"/>
            <color indexed="81"/>
            <rFont val="Tahoma"/>
            <family val="2"/>
          </rPr>
          <t xml:space="preserve">Based on MS2018/363/02
Size 463 x 686mm
</t>
        </r>
      </text>
    </comment>
    <comment ref="G126" authorId="0" shapeId="0" xr:uid="{782AFF08-94D1-44A9-B97C-84E1A5401B53}">
      <text>
        <r>
          <rPr>
            <b/>
            <sz val="9"/>
            <color indexed="81"/>
            <rFont val="Tahoma"/>
            <family val="2"/>
          </rPr>
          <t xml:space="preserve">Based on MS2018/363/02
Size 463 x 686mm
</t>
        </r>
      </text>
    </comment>
    <comment ref="G134" authorId="0" shapeId="0" xr:uid="{3665CD9F-11AF-4F05-AB44-44AC2954FB80}">
      <text>
        <r>
          <rPr>
            <b/>
            <sz val="9"/>
            <color indexed="81"/>
            <rFont val="Tahoma"/>
            <family val="2"/>
          </rPr>
          <t xml:space="preserve">Based on MS2018/363/02
Size 463 x 686mm
</t>
        </r>
      </text>
    </comment>
    <comment ref="G136" authorId="0" shapeId="0" xr:uid="{EFE3FF52-B922-401B-A811-BB6ECA69B230}">
      <text>
        <r>
          <rPr>
            <b/>
            <sz val="9"/>
            <color indexed="81"/>
            <rFont val="Tahoma"/>
            <family val="2"/>
          </rPr>
          <t xml:space="preserve">Based on MS2018/363/02
Size 463 x 686mm
</t>
        </r>
      </text>
    </comment>
    <comment ref="G144" authorId="0" shapeId="0" xr:uid="{E6C67AA5-6C10-42D0-B3A6-D8EDF2718E06}">
      <text>
        <r>
          <rPr>
            <b/>
            <sz val="9"/>
            <color indexed="81"/>
            <rFont val="Tahoma"/>
            <family val="2"/>
          </rPr>
          <t xml:space="preserve">Based on MS2018/363/02
Size 463 x 686mm
</t>
        </r>
      </text>
    </comment>
    <comment ref="G146" authorId="0" shapeId="0" xr:uid="{4E222684-76DF-4B3F-BE7D-6DF1F96F20C0}">
      <text>
        <r>
          <rPr>
            <b/>
            <sz val="9"/>
            <color indexed="81"/>
            <rFont val="Tahoma"/>
            <family val="2"/>
          </rPr>
          <t xml:space="preserve">Based on MS2018/363/02
Size 463 x 686mm
</t>
        </r>
      </text>
    </comment>
    <comment ref="G154" authorId="0" shapeId="0" xr:uid="{4AF07474-272D-4FCF-B36F-77097F570330}">
      <text>
        <r>
          <rPr>
            <b/>
            <sz val="9"/>
            <color indexed="81"/>
            <rFont val="Tahoma"/>
            <family val="2"/>
          </rPr>
          <t xml:space="preserve">Based on MS2018/363/02
Size 463 x 686mm
</t>
        </r>
      </text>
    </comment>
    <comment ref="G156" authorId="0" shapeId="0" xr:uid="{4B4C646D-3208-4AAB-BC82-97C7C6AA253A}">
      <text>
        <r>
          <rPr>
            <b/>
            <sz val="9"/>
            <color indexed="81"/>
            <rFont val="Tahoma"/>
            <family val="2"/>
          </rPr>
          <t xml:space="preserve">Based on MS2018/363/02
Size 463 x 686mm
</t>
        </r>
      </text>
    </comment>
    <comment ref="G164" authorId="0" shapeId="0" xr:uid="{00000000-0006-0000-2000-000015000000}">
      <text>
        <r>
          <rPr>
            <b/>
            <sz val="9"/>
            <color indexed="81"/>
            <rFont val="Tahoma"/>
            <family val="2"/>
          </rPr>
          <t xml:space="preserve">Based on MS2018/363/02
Size 463 x 686mm
</t>
        </r>
      </text>
    </comment>
    <comment ref="G166" authorId="0" shapeId="0" xr:uid="{00000000-0006-0000-2000-000016000000}">
      <text>
        <r>
          <rPr>
            <b/>
            <sz val="9"/>
            <color indexed="81"/>
            <rFont val="Tahoma"/>
            <family val="2"/>
          </rPr>
          <t xml:space="preserve">Based on MS2018/363/02
Size 463 x 686mm
</t>
        </r>
      </text>
    </comment>
    <comment ref="G174" authorId="0" shapeId="0" xr:uid="{00000000-0006-0000-2000-000017000000}">
      <text>
        <r>
          <rPr>
            <b/>
            <sz val="9"/>
            <color indexed="81"/>
            <rFont val="Tahoma"/>
            <family val="2"/>
          </rPr>
          <t xml:space="preserve">Based on MS2018/363/02
Size 463 x 686mm
</t>
        </r>
      </text>
    </comment>
    <comment ref="G176" authorId="0" shapeId="0" xr:uid="{00000000-0006-0000-2000-000018000000}">
      <text>
        <r>
          <rPr>
            <b/>
            <sz val="9"/>
            <color indexed="81"/>
            <rFont val="Tahoma"/>
            <family val="2"/>
          </rPr>
          <t xml:space="preserve">Based on MS2018/363/02
Size 463 x 686mm
</t>
        </r>
      </text>
    </comment>
    <comment ref="G184" authorId="0" shapeId="0" xr:uid="{00000000-0006-0000-2000-000019000000}">
      <text>
        <r>
          <rPr>
            <b/>
            <sz val="9"/>
            <color indexed="81"/>
            <rFont val="Tahoma"/>
            <family val="2"/>
          </rPr>
          <t xml:space="preserve">Based on MS2018/363/02
Size 463 x 686mm
</t>
        </r>
      </text>
    </comment>
    <comment ref="G186" authorId="0" shapeId="0" xr:uid="{00000000-0006-0000-2000-00001A000000}">
      <text>
        <r>
          <rPr>
            <b/>
            <sz val="9"/>
            <color indexed="81"/>
            <rFont val="Tahoma"/>
            <family val="2"/>
          </rPr>
          <t xml:space="preserve">Based on MS2018/363/02
Size 463 x 686mm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Pham Thuy Nhu Huynh</author>
    <author>van-rd</author>
  </authors>
  <commentList>
    <comment ref="X7" authorId="0" shapeId="0" xr:uid="{00000000-0006-0000-0F00-000001000000}">
      <text>
        <r>
          <rPr>
            <b/>
            <sz val="9"/>
            <color indexed="81"/>
            <rFont val="Tahoma"/>
            <family val="2"/>
          </rPr>
          <t>Pham Thuy Nhu Huynh:</t>
        </r>
        <r>
          <rPr>
            <sz val="9"/>
            <color indexed="81"/>
            <rFont val="Tahoma"/>
            <family val="2"/>
          </rPr>
          <t xml:space="preserve">
Mr.Xuân Linh advised by telegram "set up 50shts/đơn vị (ink + finishing (plate))
From: Pham Thi Kim Dung &lt;kimdung@starprintvn.com&gt; 
Sent: Wednesday, August 3, 2022 4:27 PM
To: Dieu Thi Thanh Thuan &lt;thanhthuan@starprintvn.com&gt;
Cc: Dinh Kim Thien &lt;thien.dinhkim@starprintvn.com&gt;; Estimator &lt;est@starprintvn.com&gt;; PUR Department &lt;PUR@starprintvn.com&gt;; PEC Department &lt;pec@starprintvn.com&gt;; Structure R&amp;D &lt;structure.rd@starprintvn.com&gt;; Thuy Le &lt;thuy.ltt@starprintvn.com&gt;; Nguyen Minh Tai &lt;tai.nguyenminh@starprintvn.com&gt;
Subject: Re: UPDATE GIÁ DIAGEO XR21
</t>
        </r>
        <r>
          <rPr>
            <b/>
            <sz val="9"/>
            <color indexed="81"/>
            <rFont val="Tahoma"/>
            <family val="2"/>
          </rPr>
          <t xml:space="preserve">
Hi  Thuan, phủ  matt UV 3kem, em phai tính vao luon nhé, 5mau +3 kem UV  =8 x50sh =400sh</t>
        </r>
        <r>
          <rPr>
            <sz val="9"/>
            <color indexed="81"/>
            <rFont val="Tahoma"/>
            <family val="2"/>
          </rPr>
          <t xml:space="preserve">
</t>
        </r>
      </text>
    </comment>
    <comment ref="AD26" authorId="1" shapeId="0" xr:uid="{00000000-0006-0000-0F00-000002000000}">
      <text>
        <r>
          <rPr>
            <b/>
            <sz val="8"/>
            <color indexed="81"/>
            <rFont val="Tahoma"/>
            <family val="2"/>
          </rPr>
          <t>Excluded waste
ans set up shts</t>
        </r>
      </text>
    </comment>
    <comment ref="AD33" authorId="1" shapeId="0" xr:uid="{00000000-0006-0000-0F00-000003000000}">
      <text>
        <r>
          <rPr>
            <b/>
            <sz val="8"/>
            <color indexed="81"/>
            <rFont val="Tahoma"/>
            <family val="2"/>
          </rPr>
          <t>Excluded waste
ans set up shts</t>
        </r>
      </text>
    </comment>
    <comment ref="AD52" authorId="1" shapeId="0" xr:uid="{00000000-0006-0000-0F00-000004000000}">
      <text>
        <r>
          <rPr>
            <b/>
            <sz val="8"/>
            <color indexed="81"/>
            <rFont val="Tahoma"/>
            <family val="2"/>
          </rPr>
          <t>Excluded waste
ans set up shts</t>
        </r>
      </text>
    </comment>
    <comment ref="AD60" authorId="1" shapeId="0" xr:uid="{00000000-0006-0000-0F00-000005000000}">
      <text>
        <r>
          <rPr>
            <b/>
            <sz val="8"/>
            <color indexed="81"/>
            <rFont val="Tahoma"/>
            <family val="2"/>
          </rPr>
          <t>Excluded waste
ans set up shts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MKT_USER 03 Dai Loan</author>
  </authors>
  <commentList>
    <comment ref="K30" authorId="0" shapeId="0" xr:uid="{3E56B74B-E4DF-4119-9C59-377D9377CDE0}">
      <text>
        <r>
          <rPr>
            <b/>
            <sz val="9"/>
            <color indexed="81"/>
            <rFont val="Tahoma"/>
            <family val="2"/>
          </rPr>
          <t>MKT_USER 03 Dai Loan:</t>
        </r>
        <r>
          <rPr>
            <sz val="9"/>
            <color indexed="81"/>
            <rFont val="Tahoma"/>
            <family val="2"/>
          </rPr>
          <t xml:space="preserve">
chất hạn chế sử dụng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Nguyen Thi Thanh Van</author>
  </authors>
  <commentList>
    <comment ref="A46" authorId="0" shapeId="0" xr:uid="{00000000-0006-0000-0E00-000001000000}">
      <text>
        <r>
          <rPr>
            <sz val="9"/>
            <color indexed="81"/>
            <rFont val="Tahoma"/>
            <family val="2"/>
          </rPr>
          <t>số đơn vị ink/máy</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IA_USER04 Phuong Linh</author>
  </authors>
  <commentList>
    <comment ref="L50" authorId="0" shapeId="0" xr:uid="{00000000-0006-0000-1000-000001000000}">
      <text>
        <r>
          <rPr>
            <b/>
            <sz val="9"/>
            <color indexed="81"/>
            <rFont val="Tahoma"/>
            <family val="2"/>
          </rPr>
          <t xml:space="preserve">From: Thao, Nguyen Thi Phuong [mailto:thao.nguyenthiphuong@starprintvn.com] 
Sent: Tuesday, September 29, 2020 4:23 PM
To: 'Phuong Linh' &lt;phuonglinh@starprintvn.com&gt;; EST@starprintvn.com; 'Debbie Le Ngan' &lt;lengan@starprintvn.com&gt;
Cc: hoang.nguyensy@starprintvn.com
Subject: RE: Cost Model of Backer Card Colgate
Dear Linh,
Như chị em mình trao đổi, em làm CBD của Colgate theo CM giúp chị.
Như bản draft em gửi qua Telegram, em giữ nguyên phần paper, ink, và vanish, để giúp chị giá giấy, ink, vanish có thể điều chỉnh được.
Phần overhead em fix giúp chị 63 VND, từ phần labor cost tách ra.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IA_USER04 Phuong Linh</author>
    <author>IA-USER 02 Nhu Huynh</author>
  </authors>
  <commentList>
    <comment ref="D1" authorId="0" shapeId="0" xr:uid="{00000000-0006-0000-1100-000001000000}">
      <text>
        <r>
          <rPr>
            <b/>
            <sz val="9"/>
            <color indexed="81"/>
            <rFont val="Tahoma"/>
            <family val="2"/>
          </rPr>
          <t>Chọn tỉ giá</t>
        </r>
      </text>
    </comment>
    <comment ref="D31" authorId="1" shapeId="0" xr:uid="{00000000-0006-0000-1100-000002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G31" authorId="1" shapeId="0" xr:uid="{00000000-0006-0000-1100-000003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I31" authorId="1" shapeId="0" xr:uid="{00000000-0006-0000-1100-000004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K31" authorId="1" shapeId="0" xr:uid="{00000000-0006-0000-1100-000005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M31" authorId="1" shapeId="0" xr:uid="{00000000-0006-0000-1100-000006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O31" authorId="1" shapeId="0" xr:uid="{00000000-0006-0000-1100-000007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Q31" authorId="1" shapeId="0" xr:uid="{00000000-0006-0000-1100-000008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S31" authorId="1" shapeId="0" xr:uid="{00000000-0006-0000-1100-000009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U31" authorId="1" shapeId="0" xr:uid="{00000000-0006-0000-1100-00000A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W31" authorId="1" shapeId="0" xr:uid="{00000000-0006-0000-1100-00000B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Y31" authorId="1" shapeId="0" xr:uid="{00000000-0006-0000-1100-00000C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AA31" authorId="1" shapeId="0" xr:uid="{00000000-0006-0000-1100-00000D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AC31" authorId="1" shapeId="0" xr:uid="{00000000-0006-0000-1100-00000E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AE31" authorId="1" shapeId="0" xr:uid="{00000000-0006-0000-1100-00000F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AG31" authorId="1" shapeId="0" xr:uid="{00000000-0006-0000-1100-000010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 ref="AI31" authorId="1" shapeId="0" xr:uid="{00000000-0006-0000-1100-000011000000}">
      <text>
        <r>
          <rPr>
            <b/>
            <sz val="9"/>
            <color indexed="81"/>
            <rFont val="Tahoma"/>
            <family val="2"/>
          </rPr>
          <t>IA-USER 02 Nhu Huynh:</t>
        </r>
        <r>
          <rPr>
            <sz val="9"/>
            <color indexed="81"/>
            <rFont val="Tahoma"/>
            <family val="2"/>
          </rPr>
          <t xml:space="preserve">
From: Huyen, Nguyen Thi [mailto:huyen.nguyenthi@starprintvn.com] 
Sent: Monday, July 15, 2019 8:43 AM
To: 'EST@starprintvn.com' &lt;EST@starprintvn.com&gt;; 'Phuonglinh@starprintvn.com' &lt;Phuonglinh@starprintvn.com&gt;
Subject: RE: v/v mua BH cho Kinh Do
Các em ơi,
Thông tin phí BH nhé: 0.04% trên giá trị đơn hàng trước VAT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Pham Thi Hong Tham</author>
    <author>Nguyen Thi Huyen</author>
  </authors>
  <commentList>
    <comment ref="Q131" authorId="0" shapeId="0" xr:uid="{00000000-0006-0000-1200-000001000000}">
      <text>
        <r>
          <rPr>
            <b/>
            <sz val="9"/>
            <color indexed="81"/>
            <rFont val="Tahoma"/>
            <family val="2"/>
          </rPr>
          <t>Pham Thi Hong Tham:</t>
        </r>
        <r>
          <rPr>
            <sz val="9"/>
            <color indexed="81"/>
            <rFont val="Tahoma"/>
            <family val="2"/>
          </rPr>
          <t xml:space="preserve">
Sale key in</t>
        </r>
      </text>
    </comment>
    <comment ref="N132" authorId="1" shapeId="0" xr:uid="{00000000-0006-0000-1200-000002000000}">
      <text>
        <r>
          <rPr>
            <b/>
            <sz val="9"/>
            <color indexed="81"/>
            <rFont val="Tahoma"/>
            <family val="2"/>
          </rPr>
          <t>Nguyen Thi Huyen:</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chau-estimator</author>
  </authors>
  <commentList>
    <comment ref="J1" authorId="0" shapeId="0" xr:uid="{00000000-0006-0000-1400-000001000000}">
      <text>
        <r>
          <rPr>
            <sz val="10"/>
            <color indexed="81"/>
            <rFont val="Tahoma"/>
            <family val="2"/>
          </rPr>
          <t>Local charge
Interest
Cutting fee (if any)
Warehouse management (if any)
Mark up (if any)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Nguyen Thi Thanh Van</author>
  </authors>
  <commentList>
    <comment ref="A41" authorId="0" shapeId="0" xr:uid="{00000000-0006-0000-1500-000001000000}">
      <text>
        <r>
          <rPr>
            <sz val="9"/>
            <color indexed="81"/>
            <rFont val="Tahoma"/>
            <family val="2"/>
          </rPr>
          <t>số đơn vị ink/máy</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Nguyen Hoang Phuong Linh</author>
    <author>Admin</author>
    <author>Nguyen Thi Hong Van</author>
    <author>IA_USER04 Phuong Linh</author>
  </authors>
  <commentList>
    <comment ref="M2" authorId="0" shapeId="0" xr:uid="{00000000-0006-0000-1600-000001000000}">
      <text>
        <r>
          <rPr>
            <sz val="9"/>
            <color indexed="81"/>
            <rFont val="Tahoma"/>
            <family val="2"/>
          </rPr>
          <t xml:space="preserve">Fill FSC, PEFC, None
</t>
        </r>
      </text>
    </comment>
    <comment ref="N2" authorId="0" shapeId="0" xr:uid="{00000000-0006-0000-1600-000002000000}">
      <text>
        <r>
          <rPr>
            <b/>
            <sz val="9"/>
            <color indexed="81"/>
            <rFont val="Tahoma"/>
            <family val="2"/>
          </rPr>
          <t xml:space="preserve">Fill days
</t>
        </r>
      </text>
    </comment>
    <comment ref="M12" authorId="0" shapeId="0" xr:uid="{00000000-0006-0000-1600-000003000000}">
      <text>
        <r>
          <rPr>
            <sz val="9"/>
            <color indexed="81"/>
            <rFont val="Tahoma"/>
            <family val="2"/>
          </rPr>
          <t xml:space="preserve">Fill FSC, PEFC, None
</t>
        </r>
      </text>
    </comment>
    <comment ref="N12" authorId="0" shapeId="0" xr:uid="{00000000-0006-0000-1600-000004000000}">
      <text>
        <r>
          <rPr>
            <b/>
            <sz val="9"/>
            <color indexed="81"/>
            <rFont val="Tahoma"/>
            <family val="2"/>
          </rPr>
          <t xml:space="preserve">Fill days
</t>
        </r>
      </text>
    </comment>
    <comment ref="B54" authorId="1" shapeId="0" xr:uid="{00000000-0006-0000-1600-000005000000}">
      <text>
        <r>
          <rPr>
            <b/>
            <sz val="9"/>
            <color indexed="81"/>
            <rFont val="Tahoma"/>
            <family val="2"/>
          </rPr>
          <t>Admin:</t>
        </r>
        <r>
          <rPr>
            <sz val="9"/>
            <color indexed="81"/>
            <rFont val="Tahoma"/>
            <family val="2"/>
          </rPr>
          <t xml:space="preserve">
Nguyen Thi Kim Huong &lt;kimhuong@starprintvn.com&gt;
Wed, Jul 21, 2:20 PM
to Pham, my.nguyenthuytra, Thuy, Nguyen, EST
Translate message
Turn off for: Vietnamese
Hi Thắm,
Chị gửi nhé
thuế nk: 20% (HS code 480300)
</t>
        </r>
      </text>
    </comment>
    <comment ref="B59" authorId="2" shapeId="0" xr:uid="{00000000-0006-0000-1600-000006000000}">
      <text>
        <r>
          <rPr>
            <sz val="9"/>
            <color indexed="81"/>
            <rFont val="Tahoma"/>
            <family val="2"/>
          </rPr>
          <t>From: Anh Linh &lt;linh.buithianh@starprintvn.com&gt; 
Sent: Thursday, June 9, 2022 8:29 AM
To: hongtham@starprintvn.com; 'Huy, Nguyen Vu Xuan' &lt;xuanhuy@starprintvn.com&gt;; thicuc@starprintvn.com
Cc: 'Tracy Pham' &lt;tram.phamthibich@starprintvn.com&gt;; 'Dori Ho' &lt;lamtuyen@starprintvn.com&gt;; 'Estimator' &lt;EST@starprintvn.com&gt;; book.rd@starprintvn.com; 'LOG Department' &lt;log@starprintvn.com&gt;
Subject: RE: Crayola- PLT3281 Learn to Draw Anime
Hi c Thắm
E gởi giá nha! Nếu cùng Guangdong chị lấy cùng giá giúp e nha!
From 1-3 cbm:          $280 + $20 /cbm     + LCC HCM
From 3.1-5 cbm:       $330 + $20 /cbm     +  LCC HCM
From 5.1-8 cbm:       $400 + $20 /cbm     + LCC HCM
From 8.1-10 cbm:     $450 + $20 /cbm     +  LCC HCM
Thanks &amp; Best regards.
Ánh Linh
IMEX &amp; DELIVERY</t>
        </r>
        <r>
          <rPr>
            <b/>
            <sz val="9"/>
            <color indexed="81"/>
            <rFont val="Tahoma"/>
            <family val="2"/>
          </rPr>
          <t xml:space="preserve">
</t>
        </r>
        <r>
          <rPr>
            <sz val="9"/>
            <color indexed="81"/>
            <rFont val="Tahoma"/>
            <family val="2"/>
          </rPr>
          <t xml:space="preserve">
</t>
        </r>
      </text>
    </comment>
    <comment ref="B71" authorId="2" shapeId="0" xr:uid="{00000000-0006-0000-1600-000007000000}">
      <text>
        <r>
          <rPr>
            <b/>
            <sz val="9"/>
            <color indexed="81"/>
            <rFont val="Tahoma"/>
            <family val="2"/>
          </rPr>
          <t>Nguyen Thi Hong Van:</t>
        </r>
        <r>
          <rPr>
            <sz val="9"/>
            <color indexed="81"/>
            <rFont val="Tahoma"/>
            <family val="2"/>
          </rPr>
          <t xml:space="preserve">
From: Truc, Nguyen Thi Thanh &lt;truc.ntt@starprintvn.com&gt; 
Sent: Tuesday, April 25, 2023 10:56 AM
To: 'Estimator' &lt;EST@starprintvn.com&gt;
Cc: 'Thuy, Nguyen Thi Thu' &lt;thuthuy@starprintvn.com&gt;
Subject: UPDATE IMPORT LICENSE OF SUPPLIERS 2023 - 25.04.2023
Alo EST team
C gửi phí Import license charge của 1 số suppliers như bên dưới, EST take note để add  chị phí này vào khi tính giá &amp; check POs, nếu có phát sinh thêm ncc nào c sẽ update team sau nha. Thanks
Suppliers Import license charge
JIU ZHOU FANG YUAN PAPER CO., LTD. 80 USD/shipment
Dongguan Licai paper Co.,Ltd 80 USD/shipment
</t>
        </r>
      </text>
    </comment>
    <comment ref="D72" authorId="3" shapeId="0" xr:uid="{00000000-0006-0000-1600-000008000000}">
      <text>
        <r>
          <rPr>
            <b/>
            <sz val="9"/>
            <color indexed="81"/>
            <rFont val="Tahoma"/>
            <family val="2"/>
          </rPr>
          <t xml:space="preserve">From: Thuy Nguyen [mailto:thuthuy@starprintvn.com] 
Sent: Monday, October 12, 2020 5:09 PM
To: Linh, Nguyen Hoang Phuong &lt;phuonglinh@starprintvn.com&gt;
Cc: Kim Huong &lt;kimhuong@starprintvn.com&gt;; Nguyen Thi Huyen &lt;huyen.nguyenthi@starprintvn.com&gt;; est@starprintvn.com
Subject: Re: VAT for Local Charge
Yes Linh
Local charge inbound and outbound đều có VAT nhé
Theo như lúc này nói chuyện thì Local charge cho việc xuất và nhập hàng mình đều add VAT 10%.
</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wilarsinee</author>
    <author>linh.tth</author>
  </authors>
  <commentList>
    <comment ref="J8" authorId="0" shapeId="0" xr:uid="{00000000-0006-0000-1700-000001000000}">
      <text>
        <r>
          <rPr>
            <sz val="8"/>
            <color indexed="81"/>
            <rFont val="Tahoma"/>
            <family val="2"/>
          </rPr>
          <t xml:space="preserve">Set Up    0.2 Kg./Col.
Set up for ink use Polymer : 8kgs/Col
</t>
        </r>
      </text>
    </comment>
    <comment ref="E265" authorId="1" shapeId="0" xr:uid="{00000000-0006-0000-1700-000002000000}">
      <text>
        <r>
          <rPr>
            <b/>
            <sz val="8"/>
            <color indexed="81"/>
            <rFont val="Tahoma"/>
            <family val="2"/>
          </rPr>
          <t>linh.tth:</t>
        </r>
        <r>
          <rPr>
            <sz val="8"/>
            <color indexed="81"/>
            <rFont val="Tahoma"/>
            <family val="2"/>
          </rPr>
          <t xml:space="preserve">
Ms Phuc confirm</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wilarsinee</author>
  </authors>
  <commentList>
    <comment ref="I7" authorId="0" shapeId="0" xr:uid="{00000000-0006-0000-1800-000001000000}">
      <text>
        <r>
          <rPr>
            <sz val="8"/>
            <color indexed="81"/>
            <rFont val="Tahoma"/>
            <family val="2"/>
          </rPr>
          <t xml:space="preserve">Set Up   1 Kg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van.ntt</author>
  </authors>
  <commentList>
    <comment ref="N4" authorId="0" shapeId="0" xr:uid="{00000000-0006-0000-1900-000001000000}">
      <text>
        <r>
          <rPr>
            <sz val="8"/>
            <color indexed="81"/>
            <rFont val="Tahoma"/>
            <family val="2"/>
          </rPr>
          <t>Include Mark-up (if any)</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Pham Thi Hong Tham</author>
  </authors>
  <commentList>
    <comment ref="C91" authorId="0" shapeId="0" xr:uid="{00000000-0006-0000-1B00-000001000000}">
      <text>
        <r>
          <rPr>
            <b/>
            <sz val="9"/>
            <color indexed="81"/>
            <rFont val="Tahoma"/>
            <family val="2"/>
          </rPr>
          <t>Pham Thi Hong Tham:</t>
        </r>
        <r>
          <rPr>
            <sz val="9"/>
            <color indexed="81"/>
            <rFont val="Tahoma"/>
            <family val="2"/>
          </rPr>
          <t xml:space="preserve">
Jan 23</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Nguyen Thi Hong Van</author>
    <author>IA-USER 02 Nhu Huynh</author>
    <author>Pham Thi Hong Tham</author>
  </authors>
  <commentList>
    <comment ref="D13" authorId="0" shapeId="0" xr:uid="{00000000-0006-0000-1C00-000001000000}">
      <text>
        <r>
          <rPr>
            <b/>
            <sz val="9"/>
            <color indexed="81"/>
            <rFont val="Tahoma"/>
            <family val="2"/>
          </rPr>
          <t>Chị Dung Plan confirm
sl&lt;20k: 2%
&gt;20k: 1%</t>
        </r>
      </text>
    </comment>
    <comment ref="E13" authorId="0" shapeId="0" xr:uid="{00000000-0006-0000-1C00-000002000000}">
      <text>
        <r>
          <rPr>
            <b/>
            <sz val="9"/>
            <color indexed="81"/>
            <rFont val="Tahoma"/>
            <family val="2"/>
          </rPr>
          <t>Chị Dung Plan confirm
sl&lt;20k: 2%
&gt;20k: 1%</t>
        </r>
      </text>
    </comment>
    <comment ref="F13" authorId="0" shapeId="0" xr:uid="{00000000-0006-0000-1C00-000003000000}">
      <text>
        <r>
          <rPr>
            <b/>
            <sz val="9"/>
            <color indexed="81"/>
            <rFont val="Tahoma"/>
            <family val="2"/>
          </rPr>
          <t>Chị Dung Plan confirm
sl&lt;20k: 2%
&gt;20k: 1%</t>
        </r>
      </text>
    </comment>
    <comment ref="G13" authorId="0" shapeId="0" xr:uid="{00000000-0006-0000-1C00-000004000000}">
      <text>
        <r>
          <rPr>
            <b/>
            <sz val="9"/>
            <color indexed="81"/>
            <rFont val="Tahoma"/>
            <family val="2"/>
          </rPr>
          <t>Chị Dung Plan confirm
sl&lt;20k: 2%
&gt;20k: 1%</t>
        </r>
      </text>
    </comment>
    <comment ref="C27" authorId="1" shapeId="0" xr:uid="{00000000-0006-0000-1C00-000005000000}">
      <text>
        <r>
          <rPr>
            <b/>
            <sz val="9"/>
            <color indexed="81"/>
            <rFont val="Tahoma"/>
            <family val="2"/>
          </rPr>
          <t>IA-USER 02 Nhu Huynh:</t>
        </r>
        <r>
          <rPr>
            <sz val="9"/>
            <color indexed="81"/>
            <rFont val="Tahoma"/>
            <family val="2"/>
          </rPr>
          <t xml:space="preserve">
From: Kim Huong [mailto:kimhuong@starprintvn.com] 
Sent: Wednesday, October 7, 2020 2:02 PM
To: 'Huynh, Pham Thuy Nhu' &lt;nhuhuynh@starprintvn.com&gt;
Cc: ha.tranthi@starprintvn.com; EST@starprintvn.com; tungan@starprintvn.com; 'Ngoc, Nguyen Hong' &lt;ngoc.nguyenhong@starprintvn.com&gt;; thuthuy@starprintvn.com
Subject: RE: Hộp rươu va tui xach Sacombank cua Sam Ngoc Linh
Hi Huỳnh,
Hs code: 392310 thuế nk: 15%
Thanks and best Regards,
Nguyen Thi Kim Huong (Ms)
</t>
        </r>
      </text>
    </comment>
    <comment ref="A44" authorId="2" shapeId="0" xr:uid="{00000000-0006-0000-1C00-000006000000}">
      <text>
        <r>
          <rPr>
            <b/>
            <sz val="9"/>
            <color indexed="81"/>
            <rFont val="Tahoma"/>
            <family val="2"/>
          </rPr>
          <t>Pham Thi Hong Tham:</t>
        </r>
        <r>
          <rPr>
            <sz val="9"/>
            <color indexed="81"/>
            <rFont val="Tahoma"/>
            <family val="2"/>
          </rPr>
          <t xml:space="preserve">
From: Nguyen Thuy &lt;thuthuy@starprintvn.com&gt; 
Sent: Friday, March 25, 2022 7:37 AM
To: EST@starprintvn.com; huyen.nguyenthi@starprintvn.com; huong.nguyenthanh@starprintvn.com; log@starprintvn.com; PUR@starprintvn.com; tai.nguyenminh@starprintvn.com; thuhuong.dao@starprintvn.com; tuyetnhu@starprintvn.com; Thuy.ltt@starprintvn.com; thicuc@starprintvn.com
Subject: Thu them phi o cang Cat Lái
Hi team
Từ 1/4 Cảng Cát Lái thu thêm phí 500.000/1.000.000 vnd cho cont 20’/40’ nhập xuất qua cảng Cát Lái nhé
Estimestor update cost này vào local charge Hàng nhập và xuất nha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Pham Thi Hong Tham</author>
  </authors>
  <commentList>
    <comment ref="D63" authorId="0" shapeId="0" xr:uid="{00000000-0006-0000-1E00-000001000000}">
      <text>
        <r>
          <rPr>
            <b/>
            <sz val="9"/>
            <color indexed="81"/>
            <rFont val="Tahoma"/>
            <family val="2"/>
          </rPr>
          <t>Pham Thi Hong Tham:</t>
        </r>
        <r>
          <rPr>
            <sz val="9"/>
            <color indexed="81"/>
            <rFont val="Tahoma"/>
            <family val="2"/>
          </rPr>
          <t xml:space="preserve">
Jan.2023</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Pham Thuy Nhu Huynh</author>
    <author>ismail - [2010]</author>
    <author>chau-estimator</author>
    <author>Nguyen Thi Thanh Van</author>
  </authors>
  <commentList>
    <comment ref="K5" authorId="0" shapeId="0" xr:uid="{00000000-0006-0000-1F00-000001000000}">
      <text>
        <r>
          <rPr>
            <b/>
            <sz val="9"/>
            <color indexed="81"/>
            <rFont val="Tahoma"/>
            <family val="2"/>
          </rPr>
          <t>Pham Thuy Nhu Huynh:</t>
        </r>
        <r>
          <rPr>
            <sz val="9"/>
            <color indexed="81"/>
            <rFont val="Tahoma"/>
            <family val="2"/>
          </rPr>
          <t xml:space="preserve">
From: Huy, Nguyen Vu Xuan &lt;xuanhuy@starprintvn.com&gt; 
Sent: Monday, August 29, 2022 12:57 PM
To: EST@starprintvn.com
Subject: FW: Số lượng giấy proof, làm L-S-D cho hàng Crayola
Hi EST
Anh gửi thông tin giấy liên quan đến proof hàng nhé.
1. Hàng proof: số lượng 500 tờ (chưa bao gồm số lượng mẫu và đã bao gồm L-S-D). Ví dụ cần 50 mẫu và làm L-S-D thì số lượng giấy là 550 tờ.
2. Hàng làm L-S-D kết hợp với sản xuất: 400 tờ (thông thường ko đụng đến báo giá)
**Item 1 thay thế cho thông tin hàng proof cần 100 sheets/1 màu. </t>
        </r>
        <r>
          <rPr>
            <b/>
            <sz val="9"/>
            <color indexed="81"/>
            <rFont val="Tahoma"/>
            <family val="2"/>
          </rPr>
          <t xml:space="preserve">Waste tính 100% </t>
        </r>
        <r>
          <rPr>
            <sz val="9"/>
            <color indexed="81"/>
            <rFont val="Tahoma"/>
            <family val="2"/>
          </rPr>
          <t xml:space="preserve">vì số lượng ít (ví dụ yêu cầu 100 pcs thì proof là 200 pcs).
Thanks
NGUYEN VU XUAN HUY  
</t>
        </r>
      </text>
    </comment>
    <comment ref="J23" authorId="0" shapeId="0" xr:uid="{00000000-0006-0000-1F00-000002000000}">
      <text>
        <r>
          <rPr>
            <b/>
            <sz val="9"/>
            <color indexed="81"/>
            <rFont val="Tahoma"/>
            <family val="2"/>
          </rPr>
          <t>Pham Thuy Nhu Huynh:</t>
        </r>
        <r>
          <rPr>
            <sz val="9"/>
            <color indexed="81"/>
            <rFont val="Tahoma"/>
            <family val="2"/>
          </rPr>
          <t xml:space="preserve">
Proof for Pack
- Proof online Ms Phân PEC advised by telegram = 400shts
- Proof offline Mr.Minh PRT advised by verbal = 100shts/color, min 800shts</t>
        </r>
      </text>
    </comment>
    <comment ref="X23" authorId="0" shapeId="0" xr:uid="{00000000-0006-0000-1F00-000003000000}">
      <text>
        <r>
          <rPr>
            <b/>
            <sz val="9"/>
            <color indexed="81"/>
            <rFont val="Tahoma"/>
            <family val="2"/>
          </rPr>
          <t>Pham Thuy Nhu Huynh:</t>
        </r>
        <r>
          <rPr>
            <sz val="9"/>
            <color indexed="81"/>
            <rFont val="Tahoma"/>
            <family val="2"/>
          </rPr>
          <t xml:space="preserve">
From: Huy, Nguyen Vu Xuan &lt;xuanhuy@starprintvn.com&gt; 
Sent: Monday, August 29, 2022 12:57 PM
To: EST@starprintvn.com
Subject: FW: Số lượng giấy proof, làm L-S-D cho hàng Crayola
Hi EST
Anh gửi thông tin giấy liên quan đến proof hàng nhé.
1. </t>
        </r>
        <r>
          <rPr>
            <b/>
            <sz val="9"/>
            <color indexed="81"/>
            <rFont val="Tahoma"/>
            <family val="2"/>
          </rPr>
          <t>Hàng proof: số lượng 500 tờ (chưa bao gồm số lượng mẫu và đã bao gồm L-S-D). Ví dụ cần 50 mẫu và làm L-S-D thì số lượng giấy là 550 tờ.</t>
        </r>
        <r>
          <rPr>
            <sz val="9"/>
            <color indexed="81"/>
            <rFont val="Tahoma"/>
            <family val="2"/>
          </rPr>
          <t xml:space="preserve">
2. Hàng làm L-S-D kết hợp với sản xuất: 400 tờ (thông thường ko đụng đến báo giá)
**Item 1 thay thế cho thông tin hàng proof cần 100 sheets/1 màu. </t>
        </r>
        <r>
          <rPr>
            <b/>
            <sz val="9"/>
            <color indexed="81"/>
            <rFont val="Tahoma"/>
            <family val="2"/>
          </rPr>
          <t>Waste tính 100%</t>
        </r>
        <r>
          <rPr>
            <sz val="9"/>
            <color indexed="81"/>
            <rFont val="Tahoma"/>
            <family val="2"/>
          </rPr>
          <t xml:space="preserve"> vì số lượng ít (ví dụ yêu cầu 100 pcs thì proof là 200 pcs).
Thanks
NGUYEN VU XUAN HUY  
</t>
        </r>
      </text>
    </comment>
    <comment ref="H196" authorId="1" shapeId="0" xr:uid="{00000000-0006-0000-1F00-000004000000}">
      <text>
        <r>
          <rPr>
            <b/>
            <sz val="9"/>
            <color indexed="81"/>
            <rFont val="Tahoma"/>
            <family val="2"/>
          </rPr>
          <t xml:space="preserve">code Foil
</t>
        </r>
        <r>
          <rPr>
            <sz val="9"/>
            <color indexed="81"/>
            <rFont val="Tahoma"/>
            <family val="2"/>
          </rPr>
          <t xml:space="preserve">
</t>
        </r>
      </text>
    </comment>
    <comment ref="L198" authorId="2" shapeId="0" xr:uid="{00000000-0006-0000-1F00-000005000000}">
      <text>
        <r>
          <rPr>
            <b/>
            <sz val="10"/>
            <color indexed="81"/>
            <rFont val="Tahoma"/>
            <family val="2"/>
          </rPr>
          <t xml:space="preserve">Add 1 small roll for set up per line </t>
        </r>
        <r>
          <rPr>
            <b/>
            <sz val="8"/>
            <color indexed="81"/>
            <rFont val="Tahoma"/>
            <family val="2"/>
          </rPr>
          <t xml:space="preserve">
</t>
        </r>
      </text>
    </comment>
    <comment ref="G208" authorId="3" shapeId="0" xr:uid="{00000000-0006-0000-1F00-000006000000}">
      <text>
        <r>
          <rPr>
            <sz val="9"/>
            <color indexed="81"/>
            <rFont val="Tahoma"/>
            <family val="2"/>
          </rPr>
          <t>Embossing, Hotstamping &amp; Sand UV</t>
        </r>
      </text>
    </comment>
    <comment ref="O212" authorId="0" shapeId="0" xr:uid="{CAC17DA1-CCFD-42B5-8089-8CFBE35407C4}">
      <text>
        <r>
          <rPr>
            <b/>
            <sz val="9"/>
            <color indexed="81"/>
            <rFont val="Tahoma"/>
            <family val="2"/>
          </rPr>
          <t>Pham Thuy Nhu Huynh:</t>
        </r>
        <r>
          <rPr>
            <sz val="9"/>
            <color indexed="81"/>
            <rFont val="Tahoma"/>
            <family val="2"/>
          </rPr>
          <t xml:space="preserve">
Mr.Trí advised remove FMC ra khỏi proof cost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IA_USER04 Phuong Linh</author>
    <author>wilarsineek</author>
    <author>Nguyen Hoang Phuong Linh</author>
    <author>ia-user02</author>
    <author>van-rd</author>
    <author>Pham Thuy Nhu Huynh</author>
    <author>Nguyen Thi Hong Van</author>
  </authors>
  <commentList>
    <comment ref="L12" authorId="0" shapeId="0" xr:uid="{00000000-0006-0000-2100-000001000000}">
      <text>
        <r>
          <rPr>
            <b/>
            <sz val="9"/>
            <color indexed="81"/>
            <rFont val="Tahoma"/>
            <family val="2"/>
          </rPr>
          <t>B Flute</t>
        </r>
        <r>
          <rPr>
            <sz val="9"/>
            <color indexed="81"/>
            <rFont val="Tahoma"/>
            <family val="2"/>
          </rPr>
          <t xml:space="preserve">
</t>
        </r>
      </text>
    </comment>
    <comment ref="L13" authorId="0" shapeId="0" xr:uid="{00000000-0006-0000-2100-000002000000}">
      <text>
        <r>
          <rPr>
            <b/>
            <sz val="9"/>
            <color indexed="81"/>
            <rFont val="Tahoma"/>
            <family val="2"/>
          </rPr>
          <t>BC Flute</t>
        </r>
      </text>
    </comment>
    <comment ref="F17" authorId="1" shapeId="0" xr:uid="{00000000-0006-0000-2100-000003000000}">
      <text>
        <r>
          <rPr>
            <sz val="8"/>
            <color indexed="81"/>
            <rFont val="Tahoma"/>
            <family val="2"/>
          </rPr>
          <t>Max.: 110.00 cms</t>
        </r>
      </text>
    </comment>
    <comment ref="F18" authorId="2" shapeId="0" xr:uid="{00000000-0006-0000-2100-000004000000}">
      <text>
        <r>
          <rPr>
            <b/>
            <sz val="9"/>
            <color indexed="81"/>
            <rFont val="Tahoma"/>
            <family val="2"/>
          </rPr>
          <t>Băng keo trong 48mm
45m/roll</t>
        </r>
      </text>
    </comment>
    <comment ref="F19" authorId="2" shapeId="0" xr:uid="{00000000-0006-0000-2100-000005000000}">
      <text>
        <r>
          <rPr>
            <b/>
            <sz val="9"/>
            <color indexed="81"/>
            <rFont val="Tahoma"/>
            <family val="2"/>
          </rPr>
          <t xml:space="preserve">Màng PE 300m/roll
</t>
        </r>
        <r>
          <rPr>
            <sz val="9"/>
            <color indexed="81"/>
            <rFont val="Tahoma"/>
            <family val="2"/>
          </rPr>
          <t xml:space="preserve">
</t>
        </r>
      </text>
    </comment>
    <comment ref="F20" authorId="1" shapeId="0" xr:uid="{00000000-0006-0000-2100-000006000000}">
      <text>
        <r>
          <rPr>
            <sz val="8"/>
            <color indexed="81"/>
            <rFont val="Tahoma"/>
            <family val="2"/>
          </rPr>
          <t xml:space="preserve">40m/kgs
</t>
        </r>
      </text>
    </comment>
    <comment ref="F21" authorId="1" shapeId="0" xr:uid="{00000000-0006-0000-2100-000007000000}">
      <text>
        <r>
          <rPr>
            <sz val="8"/>
            <color indexed="81"/>
            <rFont val="Tahoma"/>
            <family val="2"/>
          </rPr>
          <t xml:space="preserve">40m/kgs
</t>
        </r>
      </text>
    </comment>
    <comment ref="Q21" authorId="0" shapeId="0" xr:uid="{00000000-0006-0000-2100-000008000000}">
      <text>
        <r>
          <rPr>
            <b/>
            <sz val="9"/>
            <color indexed="81"/>
            <rFont val="Tahoma"/>
            <family val="2"/>
          </rPr>
          <t xml:space="preserve">Del Nam Tân Uyên 2 chiều
</t>
        </r>
      </text>
    </comment>
    <comment ref="D22" authorId="3" shapeId="0" xr:uid="{00000000-0006-0000-2100-000009000000}">
      <text>
        <r>
          <rPr>
            <sz val="8"/>
            <color indexed="81"/>
            <rFont val="Tahoma"/>
            <family val="2"/>
          </rPr>
          <t xml:space="preserve">INN Confirm Via phone use Kraft SG 150gsm, W=1,200mm
</t>
        </r>
      </text>
    </comment>
    <comment ref="F22" authorId="4" shapeId="0" xr:uid="{00000000-0006-0000-2100-00000A000000}">
      <text>
        <r>
          <rPr>
            <sz val="8"/>
            <color indexed="81"/>
            <rFont val="Tahoma"/>
            <family val="2"/>
          </rPr>
          <t>3,200 VND/Kg (18.7 Shts)
Size: 68 x 70 cm</t>
        </r>
      </text>
    </comment>
    <comment ref="L22" authorId="5" shapeId="0" xr:uid="{00000000-0006-0000-2100-00000B000000}">
      <text>
        <r>
          <rPr>
            <b/>
            <sz val="9"/>
            <color indexed="81"/>
            <rFont val="Tahoma"/>
            <family val="2"/>
          </rPr>
          <t>Pham Thuy Nhu Huynh:</t>
        </r>
        <r>
          <rPr>
            <sz val="9"/>
            <color indexed="81"/>
            <rFont val="Tahoma"/>
            <family val="2"/>
          </rPr>
          <t xml:space="preserve">
Mail a Lộc FW: báo giá khử trùng Starprint ap dung tu 2022 - sent 20/12/2021</t>
        </r>
      </text>
    </comment>
    <comment ref="Q22" authorId="0" shapeId="0" xr:uid="{00000000-0006-0000-2100-00000C000000}">
      <text>
        <r>
          <rPr>
            <b/>
            <sz val="9"/>
            <color indexed="81"/>
            <rFont val="Tahoma"/>
            <family val="2"/>
          </rPr>
          <t xml:space="preserve">Est truck 8 Tons ~ 80 pallet ~ 20cbm
</t>
        </r>
      </text>
    </comment>
    <comment ref="E25" authorId="6" shapeId="0" xr:uid="{F08C06E2-932B-4309-8806-13FF1C551152}">
      <text>
        <r>
          <rPr>
            <b/>
            <sz val="9"/>
            <color indexed="81"/>
            <rFont val="Tahoma"/>
            <family val="2"/>
          </rPr>
          <t>Nguyen Thi Hong Van:</t>
        </r>
        <r>
          <rPr>
            <sz val="9"/>
            <color indexed="81"/>
            <rFont val="Tahoma"/>
            <family val="2"/>
          </rPr>
          <t xml:space="preserve">
From: Hoang Thuy To Trinh &lt;totrinh@starprintvn.com&gt; 
Sent: Wednesday, December 8, 2021 3:24 PM
To: Pham Thi Hong Tham &lt;hongtham@starprintvn.com&gt;
Cc: Huong, Dao Thu &lt;thuhuong.dao@starprintvn.com&gt;; Thuy Nguyen &lt;thuthuy@starprintvn.com&gt;; Estimator &lt;EST@starprintvn.com&gt;; PUR Department &lt;PUR@starprintvn.com&gt;; LOG Department &lt;log@starprintvn.com&gt;
Subject: Re: Nestle Japan - 60CAP
Hi Em
Pallet gỗ sz này giá 375k/set chua bao gồm VAT 10% nhen
</t>
        </r>
      </text>
    </comment>
    <comment ref="F42" authorId="2" shapeId="0" xr:uid="{00000000-0006-0000-2100-00000D000000}">
      <text>
        <r>
          <rPr>
            <b/>
            <sz val="9"/>
            <color indexed="81"/>
            <rFont val="Tahoma"/>
            <family val="2"/>
          </rPr>
          <t>Băng keo trong 48mm
45m/roll</t>
        </r>
      </text>
    </comment>
    <comment ref="F43" authorId="2" shapeId="0" xr:uid="{00000000-0006-0000-2100-00000E000000}">
      <text>
        <r>
          <rPr>
            <b/>
            <sz val="9"/>
            <color indexed="81"/>
            <rFont val="Tahoma"/>
            <family val="2"/>
          </rPr>
          <t xml:space="preserve">Màng PE 300m/roll
</t>
        </r>
        <r>
          <rPr>
            <sz val="9"/>
            <color indexed="81"/>
            <rFont val="Tahoma"/>
            <family val="2"/>
          </rPr>
          <t xml:space="preserve">
</t>
        </r>
      </text>
    </comment>
    <comment ref="F44" authorId="1" shapeId="0" xr:uid="{00000000-0006-0000-2100-00000F000000}">
      <text>
        <r>
          <rPr>
            <sz val="8"/>
            <color indexed="81"/>
            <rFont val="Tahoma"/>
            <family val="2"/>
          </rPr>
          <t xml:space="preserve">40m/kgs
</t>
        </r>
      </text>
    </comment>
    <comment ref="F45" authorId="1" shapeId="0" xr:uid="{00000000-0006-0000-2100-000010000000}">
      <text>
        <r>
          <rPr>
            <sz val="8"/>
            <color indexed="81"/>
            <rFont val="Tahoma"/>
            <family val="2"/>
          </rPr>
          <t xml:space="preserve">40m/kgs
</t>
        </r>
      </text>
    </comment>
    <comment ref="Q45" authorId="0" shapeId="0" xr:uid="{00000000-0006-0000-2100-000011000000}">
      <text>
        <r>
          <rPr>
            <b/>
            <sz val="9"/>
            <color indexed="81"/>
            <rFont val="Tahoma"/>
            <family val="2"/>
          </rPr>
          <t xml:space="preserve">Del Nam Tân Uyên 2 chiều
</t>
        </r>
      </text>
    </comment>
    <comment ref="D46" authorId="3" shapeId="0" xr:uid="{00000000-0006-0000-2100-000012000000}">
      <text>
        <r>
          <rPr>
            <sz val="8"/>
            <color indexed="81"/>
            <rFont val="Tahoma"/>
            <family val="2"/>
          </rPr>
          <t xml:space="preserve">INN Confirm Via phone use Kraft SG 150gsm, W=1,200mm
</t>
        </r>
      </text>
    </comment>
    <comment ref="F46" authorId="4" shapeId="0" xr:uid="{00000000-0006-0000-2100-000013000000}">
      <text>
        <r>
          <rPr>
            <sz val="8"/>
            <color indexed="81"/>
            <rFont val="Tahoma"/>
            <family val="2"/>
          </rPr>
          <t>3,200 VND/Kg (18.7 Shts)
Size: 68 x 70 cm</t>
        </r>
      </text>
    </comment>
    <comment ref="L46" authorId="5" shapeId="0" xr:uid="{00000000-0006-0000-2100-000014000000}">
      <text>
        <r>
          <rPr>
            <b/>
            <sz val="9"/>
            <color indexed="81"/>
            <rFont val="Tahoma"/>
            <family val="2"/>
          </rPr>
          <t>Pham Thuy Nhu Huynh:</t>
        </r>
        <r>
          <rPr>
            <sz val="9"/>
            <color indexed="81"/>
            <rFont val="Tahoma"/>
            <family val="2"/>
          </rPr>
          <t xml:space="preserve">
Mail a Lộc FW: báo giá khử trùng Starprint ap dung tu 2022 - sent 20/12/2021</t>
        </r>
      </text>
    </comment>
    <comment ref="Q46" authorId="0" shapeId="0" xr:uid="{00000000-0006-0000-2100-000015000000}">
      <text>
        <r>
          <rPr>
            <b/>
            <sz val="9"/>
            <color indexed="81"/>
            <rFont val="Tahoma"/>
            <family val="2"/>
          </rPr>
          <t xml:space="preserve">Est truck 8 Tons ~ 80 pallet ~ 20cbm
</t>
        </r>
      </text>
    </comment>
    <comment ref="F66" authorId="2" shapeId="0" xr:uid="{00000000-0006-0000-2100-000016000000}">
      <text>
        <r>
          <rPr>
            <b/>
            <sz val="9"/>
            <color indexed="81"/>
            <rFont val="Tahoma"/>
            <family val="2"/>
          </rPr>
          <t>Băng keo trong 48mm
45m/roll</t>
        </r>
      </text>
    </comment>
    <comment ref="F67" authorId="2" shapeId="0" xr:uid="{00000000-0006-0000-2100-000017000000}">
      <text>
        <r>
          <rPr>
            <b/>
            <sz val="9"/>
            <color indexed="81"/>
            <rFont val="Tahoma"/>
            <family val="2"/>
          </rPr>
          <t xml:space="preserve">Màng PE 300m/roll
</t>
        </r>
        <r>
          <rPr>
            <sz val="9"/>
            <color indexed="81"/>
            <rFont val="Tahoma"/>
            <family val="2"/>
          </rPr>
          <t xml:space="preserve">
</t>
        </r>
      </text>
    </comment>
    <comment ref="F68" authorId="1" shapeId="0" xr:uid="{00000000-0006-0000-2100-000018000000}">
      <text>
        <r>
          <rPr>
            <sz val="8"/>
            <color indexed="81"/>
            <rFont val="Tahoma"/>
            <family val="2"/>
          </rPr>
          <t xml:space="preserve">40m/kgs
</t>
        </r>
      </text>
    </comment>
    <comment ref="F69" authorId="1" shapeId="0" xr:uid="{00000000-0006-0000-2100-000019000000}">
      <text>
        <r>
          <rPr>
            <sz val="8"/>
            <color indexed="81"/>
            <rFont val="Tahoma"/>
            <family val="2"/>
          </rPr>
          <t xml:space="preserve">40m/kgs
</t>
        </r>
      </text>
    </comment>
    <comment ref="Q69" authorId="0" shapeId="0" xr:uid="{00000000-0006-0000-2100-00001A000000}">
      <text>
        <r>
          <rPr>
            <b/>
            <sz val="9"/>
            <color indexed="81"/>
            <rFont val="Tahoma"/>
            <family val="2"/>
          </rPr>
          <t xml:space="preserve">Del Nam Tân Uyên 2 chiều
</t>
        </r>
      </text>
    </comment>
    <comment ref="D70" authorId="3" shapeId="0" xr:uid="{00000000-0006-0000-2100-00001B000000}">
      <text>
        <r>
          <rPr>
            <sz val="8"/>
            <color indexed="81"/>
            <rFont val="Tahoma"/>
            <family val="2"/>
          </rPr>
          <t xml:space="preserve">INN Confirm Via phone use Kraft SG 150gsm, W=1,200mm
</t>
        </r>
      </text>
    </comment>
    <comment ref="F70" authorId="4" shapeId="0" xr:uid="{00000000-0006-0000-2100-00001C000000}">
      <text>
        <r>
          <rPr>
            <sz val="8"/>
            <color indexed="81"/>
            <rFont val="Tahoma"/>
            <family val="2"/>
          </rPr>
          <t>3,200 VND/Kg (18.7 Shts)
Size: 68 x 70 cm</t>
        </r>
      </text>
    </comment>
    <comment ref="L70" authorId="5" shapeId="0" xr:uid="{00000000-0006-0000-2100-00001D000000}">
      <text>
        <r>
          <rPr>
            <b/>
            <sz val="9"/>
            <color indexed="81"/>
            <rFont val="Tahoma"/>
            <family val="2"/>
          </rPr>
          <t>Pham Thuy Nhu Huynh:</t>
        </r>
        <r>
          <rPr>
            <sz val="9"/>
            <color indexed="81"/>
            <rFont val="Tahoma"/>
            <family val="2"/>
          </rPr>
          <t xml:space="preserve">
Mail a Lộc FW: báo giá khử trùng Starprint ap dung tu 2022 - sent 20/12/2021</t>
        </r>
      </text>
    </comment>
    <comment ref="Q70" authorId="0" shapeId="0" xr:uid="{00000000-0006-0000-2100-00001E000000}">
      <text>
        <r>
          <rPr>
            <b/>
            <sz val="9"/>
            <color indexed="81"/>
            <rFont val="Tahoma"/>
            <family val="2"/>
          </rPr>
          <t xml:space="preserve">Est truck 8 Tons ~ 80 pallet ~ 20cbm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wilarsineek</author>
    <author>Pham Thuy Nhu Huynh</author>
    <author>Nguyen Thi Huyen</author>
    <author>Nguyen Hoang Phuong Linh</author>
    <author>Pham Thi Hong Tham</author>
    <author>Phạm Thị Hồng Thắm</author>
  </authors>
  <commentList>
    <comment ref="X40" authorId="0" shapeId="0" xr:uid="{00000000-0006-0000-2200-000001000000}">
      <text>
        <r>
          <rPr>
            <b/>
            <sz val="8"/>
            <color indexed="81"/>
            <rFont val="Tahoma"/>
            <family val="2"/>
          </rPr>
          <t>Fill 1 or 0</t>
        </r>
        <r>
          <rPr>
            <sz val="8"/>
            <color indexed="81"/>
            <rFont val="Tahoma"/>
            <family val="2"/>
          </rPr>
          <t xml:space="preserve">
</t>
        </r>
      </text>
    </comment>
    <comment ref="Z40" authorId="0" shapeId="0" xr:uid="{00000000-0006-0000-2200-000002000000}">
      <text>
        <r>
          <rPr>
            <b/>
            <sz val="8"/>
            <color indexed="81"/>
            <rFont val="Tahoma"/>
            <family val="2"/>
          </rPr>
          <t>Fill 1 or 0</t>
        </r>
        <r>
          <rPr>
            <sz val="8"/>
            <color indexed="81"/>
            <rFont val="Tahoma"/>
            <family val="2"/>
          </rPr>
          <t xml:space="preserve">
</t>
        </r>
      </text>
    </comment>
    <comment ref="AB40" authorId="0" shapeId="0" xr:uid="{00000000-0006-0000-2200-000003000000}">
      <text>
        <r>
          <rPr>
            <b/>
            <sz val="8"/>
            <color indexed="81"/>
            <rFont val="Tahoma"/>
            <family val="2"/>
          </rPr>
          <t>Fill 1 or 0</t>
        </r>
        <r>
          <rPr>
            <sz val="8"/>
            <color indexed="81"/>
            <rFont val="Tahoma"/>
            <family val="2"/>
          </rPr>
          <t xml:space="preserve">
</t>
        </r>
      </text>
    </comment>
    <comment ref="AE40" authorId="1" shapeId="0" xr:uid="{00000000-0006-0000-2200-000004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t>
        </r>
        <r>
          <rPr>
            <b/>
            <sz val="9"/>
            <color indexed="81"/>
            <rFont val="Tahoma"/>
            <family val="2"/>
          </rPr>
          <t xml:space="preserve">
Phí bảo hiểm : 0.065% / 110% tri giá lô hàng +10% VAT : hàng xuất</t>
        </r>
        <r>
          <rPr>
            <sz val="9"/>
            <color indexed="81"/>
            <rFont val="Tahoma"/>
            <family val="2"/>
          </rPr>
          <t xml:space="preserve">
Phí bảo hiểm : 0.065% / 110% tri giá lô hàng  : Hàng nhập
</t>
        </r>
        <r>
          <rPr>
            <b/>
            <sz val="9"/>
            <color indexed="81"/>
            <rFont val="Tahoma"/>
            <family val="2"/>
          </rPr>
          <t xml:space="preserve">
Phí min: 300k/ lô hàng.</t>
        </r>
        <r>
          <rPr>
            <sz val="9"/>
            <color indexed="81"/>
            <rFont val="Tahoma"/>
            <family val="2"/>
          </rPr>
          <t xml:space="preserve">
Thanks and best regards,
NGUYEN THI KIM HUONG
IMEX &amp; DELIVERY DEPT  
</t>
        </r>
      </text>
    </comment>
    <comment ref="C46" authorId="0" shapeId="0" xr:uid="{00000000-0006-0000-2200-000005000000}">
      <text>
        <r>
          <rPr>
            <b/>
            <sz val="8"/>
            <color indexed="81"/>
            <rFont val="Tahoma"/>
            <family val="2"/>
          </rPr>
          <t>Qty: Copies of Books or CDP per Port</t>
        </r>
        <r>
          <rPr>
            <sz val="8"/>
            <color indexed="81"/>
            <rFont val="Tahoma"/>
            <family val="2"/>
          </rPr>
          <t xml:space="preserve">
</t>
        </r>
      </text>
    </comment>
    <comment ref="C48" authorId="0" shapeId="0" xr:uid="{00000000-0006-0000-2200-000006000000}">
      <text>
        <r>
          <rPr>
            <b/>
            <sz val="8"/>
            <color indexed="81"/>
            <rFont val="Tahoma"/>
            <family val="2"/>
          </rPr>
          <t>Total Pallets each Des</t>
        </r>
      </text>
    </comment>
    <comment ref="A49" authorId="2" shapeId="0" xr:uid="{00000000-0006-0000-2200-000007000000}">
      <text>
        <r>
          <rPr>
            <b/>
            <sz val="9"/>
            <color indexed="81"/>
            <rFont val="Tahoma"/>
            <family val="2"/>
          </rPr>
          <t>Nguyen Thi Huyen:</t>
        </r>
        <r>
          <rPr>
            <sz val="9"/>
            <color indexed="81"/>
            <rFont val="Tahoma"/>
            <family val="2"/>
          </rPr>
          <t xml:space="preserve">
carton (pallet) /cont</t>
        </r>
      </text>
    </comment>
    <comment ref="C49" authorId="0" shapeId="0" xr:uid="{00000000-0006-0000-2200-000008000000}">
      <text>
        <r>
          <rPr>
            <b/>
            <sz val="8"/>
            <color indexed="81"/>
            <rFont val="Tahoma"/>
            <family val="2"/>
          </rPr>
          <t>Total 20'C Each Des</t>
        </r>
        <r>
          <rPr>
            <sz val="8"/>
            <color indexed="81"/>
            <rFont val="Tahoma"/>
            <family val="2"/>
          </rPr>
          <t xml:space="preserve">
</t>
        </r>
      </text>
    </comment>
    <comment ref="A50" authorId="2" shapeId="0" xr:uid="{00000000-0006-0000-2200-000009000000}">
      <text>
        <r>
          <rPr>
            <b/>
            <sz val="9"/>
            <color indexed="81"/>
            <rFont val="Tahoma"/>
            <family val="2"/>
          </rPr>
          <t>Nguyen Thi Huyen:</t>
        </r>
        <r>
          <rPr>
            <sz val="9"/>
            <color indexed="81"/>
            <rFont val="Tahoma"/>
            <family val="2"/>
          </rPr>
          <t xml:space="preserve">
carton (pallet)/cont</t>
        </r>
      </text>
    </comment>
    <comment ref="C50" authorId="0" shapeId="0" xr:uid="{00000000-0006-0000-2200-00000A000000}">
      <text>
        <r>
          <rPr>
            <b/>
            <sz val="8"/>
            <color indexed="81"/>
            <rFont val="Tahoma"/>
            <family val="2"/>
          </rPr>
          <t>Total 40'C Each Des.</t>
        </r>
        <r>
          <rPr>
            <sz val="8"/>
            <color indexed="81"/>
            <rFont val="Tahoma"/>
            <family val="2"/>
          </rPr>
          <t xml:space="preserve">
</t>
        </r>
      </text>
    </comment>
    <comment ref="E58" authorId="0" shapeId="0" xr:uid="{00000000-0006-0000-2200-00000B000000}">
      <text>
        <r>
          <rPr>
            <b/>
            <sz val="8"/>
            <color indexed="81"/>
            <rFont val="Tahoma"/>
            <family val="2"/>
          </rPr>
          <t>Total Destinations for LCL</t>
        </r>
      </text>
    </comment>
    <comment ref="G58" authorId="0" shapeId="0" xr:uid="{00000000-0006-0000-2200-00000C000000}">
      <text>
        <r>
          <rPr>
            <b/>
            <sz val="8"/>
            <color indexed="81"/>
            <rFont val="Tahoma"/>
            <family val="2"/>
          </rPr>
          <t>Total 20' Containers</t>
        </r>
      </text>
    </comment>
    <comment ref="I58" authorId="0" shapeId="0" xr:uid="{00000000-0006-0000-2200-00000D000000}">
      <text>
        <r>
          <rPr>
            <b/>
            <sz val="8"/>
            <color indexed="81"/>
            <rFont val="Tahoma"/>
            <family val="2"/>
          </rPr>
          <t xml:space="preserve">Total 40' Containers </t>
        </r>
      </text>
    </comment>
    <comment ref="K58" authorId="0" shapeId="0" xr:uid="{00000000-0006-0000-2200-00000E000000}">
      <text>
        <r>
          <rPr>
            <b/>
            <sz val="8"/>
            <color indexed="81"/>
            <rFont val="Tahoma"/>
            <family val="2"/>
          </rPr>
          <t>Total shipments</t>
        </r>
      </text>
    </comment>
    <comment ref="E62" authorId="3" shapeId="0" xr:uid="{00000000-0006-0000-2200-00000F000000}">
      <text>
        <r>
          <rPr>
            <b/>
            <sz val="9"/>
            <color indexed="81"/>
            <rFont val="Tahoma"/>
            <family val="2"/>
          </rPr>
          <t xml:space="preserve">FEB-03 : </t>
        </r>
        <r>
          <rPr>
            <sz val="9"/>
            <color indexed="81"/>
            <rFont val="Tahoma"/>
            <family val="2"/>
          </rPr>
          <t>Thu tuc hai quan +  phi van chuyen</t>
        </r>
        <r>
          <rPr>
            <sz val="9"/>
            <color indexed="81"/>
            <rFont val="Tahoma"/>
            <family val="2"/>
          </rPr>
          <t xml:space="preserve">
</t>
        </r>
      </text>
    </comment>
    <comment ref="I62" authorId="4" shapeId="0" xr:uid="{00000000-0006-0000-2200-000010000000}">
      <text>
        <r>
          <rPr>
            <b/>
            <sz val="9"/>
            <color indexed="81"/>
            <rFont val="Tahoma"/>
            <family val="2"/>
          </rPr>
          <t>Pham Thi Hong Tham:</t>
        </r>
        <r>
          <rPr>
            <sz val="9"/>
            <color indexed="81"/>
            <rFont val="Tahoma"/>
            <family val="2"/>
          </rPr>
          <t xml:space="preserve">
From: Kim Huong &lt;kimhuong@starprintvn.com&gt; 
Sent: Thursday, May 5, 2022 4:41 PM
To: 'Thuy Nguyen' &lt;thuthuy@starprintvn.com&gt;; EST@starprintvn.com
Cc: 'Le Tan Loc' &lt;tanloc@starprintvn.com&gt;; huyen.nguyenthi@starprintvn.com
Subject: RE: update phí local charge 
Hi Thắm,
Chị gửi lại giá cont 20&amp; 40’ cho hàng nhập khẩu như thỏa thuận hôm qua nhé
</t>
        </r>
      </text>
    </comment>
    <comment ref="E67" authorId="4" shapeId="0" xr:uid="{00000000-0006-0000-2200-000011000000}">
      <text>
        <r>
          <rPr>
            <b/>
            <sz val="9"/>
            <color indexed="81"/>
            <rFont val="Tahoma"/>
            <family val="2"/>
          </rPr>
          <t>Pham Thi Hong Tham:</t>
        </r>
        <r>
          <rPr>
            <sz val="9"/>
            <color indexed="81"/>
            <rFont val="Tahoma"/>
            <family val="2"/>
          </rPr>
          <t xml:space="preserve">
From: Thuy Nguyen &lt;thuthuy@starprintvn.com&gt; 
Sent: Friday, April 1, 2022 4:25 PM
To: 'Kim Huong' &lt;kimhuong@starprintvn.com&gt;; EST@starprintvn.com
Cc: 'Le Tan Loc' &lt;tanloc@starprintvn.com&gt;; huyen.nguyenthi@starprintvn.com
Subject: RE: update phí local charge 
Hi team Estimator
Note: PLHĐ của Thông quan chưa cộng phí LCL ở Cát Lái 50,000/tấn nên khi tính giá hàng LCL thì team cần add thêm phí này vào nhé
</t>
        </r>
      </text>
    </comment>
    <comment ref="D76" authorId="5" shapeId="0" xr:uid="{00000000-0006-0000-2200-000012000000}">
      <text>
        <r>
          <rPr>
            <b/>
            <sz val="9"/>
            <color indexed="81"/>
            <rFont val="Tahoma"/>
            <family val="2"/>
          </rPr>
          <t>OTHERS - US  :  click 1</t>
        </r>
      </text>
    </comment>
    <comment ref="D77" authorId="5" shapeId="0" xr:uid="{00000000-0006-0000-2200-000013000000}">
      <text>
        <r>
          <rPr>
            <b/>
            <sz val="9"/>
            <color indexed="81"/>
            <rFont val="Tahoma"/>
            <family val="2"/>
          </rPr>
          <t>OTHERS - EU  :  click 1</t>
        </r>
      </text>
    </comment>
    <comment ref="D78" authorId="5" shapeId="0" xr:uid="{00000000-0006-0000-2200-000014000000}">
      <text>
        <r>
          <rPr>
            <b/>
            <sz val="9"/>
            <color indexed="81"/>
            <rFont val="Tahoma"/>
            <family val="2"/>
          </rPr>
          <t>OTHERS - JAPAN  :  click 1</t>
        </r>
      </text>
    </comment>
    <comment ref="B79" authorId="4" shapeId="0" xr:uid="{00000000-0006-0000-2200-000015000000}">
      <text>
        <r>
          <rPr>
            <b/>
            <sz val="9"/>
            <color indexed="81"/>
            <rFont val="Tahoma"/>
            <family val="2"/>
          </rPr>
          <t>Pham Thi Hong Tham:</t>
        </r>
        <r>
          <rPr>
            <sz val="9"/>
            <color indexed="81"/>
            <rFont val="Tahoma"/>
            <family val="2"/>
          </rPr>
          <t xml:space="preserve">
LƯỚI VÀ CÂY, VÁN GỖ ĐÓNG CONT HÀNG XUẤT
chỉ áp dụng cho hàng Floorload</t>
        </r>
      </text>
    </comment>
    <comment ref="D80" authorId="5" shapeId="0" xr:uid="{00000000-0006-0000-2200-000016000000}">
      <text>
        <r>
          <rPr>
            <b/>
            <sz val="9"/>
            <color indexed="81"/>
            <rFont val="Tahoma"/>
            <family val="2"/>
          </rPr>
          <t>OTHERS - CHINA  :  click 1</t>
        </r>
      </text>
    </comment>
    <comment ref="B81" authorId="4" shapeId="0" xr:uid="{00000000-0006-0000-2200-000017000000}">
      <text>
        <r>
          <rPr>
            <b/>
            <sz val="9"/>
            <color indexed="81"/>
            <rFont val="Tahoma"/>
            <family val="2"/>
          </rPr>
          <t>Pham Thi Hong Tham:</t>
        </r>
        <r>
          <rPr>
            <sz val="9"/>
            <color indexed="81"/>
            <rFont val="Tahoma"/>
            <family val="2"/>
          </rPr>
          <t xml:space="preserve">
hàng đi cont có pallet mới tính phí khử trùng cont
Tele anh Lộc Jan 10.23</t>
        </r>
      </text>
    </comment>
    <comment ref="K83" authorId="1" shapeId="0" xr:uid="{00000000-0006-0000-2200-000018000000}">
      <text>
        <r>
          <rPr>
            <b/>
            <sz val="9"/>
            <color indexed="81"/>
            <rFont val="Tahoma"/>
            <family val="2"/>
          </rPr>
          <t>Pham Thuy Nhu Huynh:</t>
        </r>
        <r>
          <rPr>
            <sz val="9"/>
            <color indexed="81"/>
            <rFont val="Tahoma"/>
            <family val="2"/>
          </rPr>
          <t xml:space="preserve">
From: Nga.Tran Thi &lt;thinga@starprintvn.com&gt; 
Sent: Monday, December 26, 2022 4:29 PM
To: salesteam@starprintvn.com; pur@starprintvn.com; HR@starprintvn.com; qa@starprintvn.com; log@starprintvn.com; pec@starprintvn.com; prt@starprintvn.com; prp@starprintvn.com; asb@starprintvn.com; HSE@starprintvn.com; ppl@starprintvn.com; rd@starprintvn.com; it@starprintvn.com; 'WH Department' &lt;wh@starprintvn.com&gt;; ma@starprintvn.com; Sales@starprintvn.com
Cc: acc@starprintvn.com; 'Chien, Nguyen Van' &lt;chien.nguyenvan@starprintvn.com&gt;; manager@starprintvn.com
Subject: THUẾ SUẤT THUẾ GIÁ TRỊ GIA TĂNG ("VAT") TỪ 01/01/2023
Importance: High
Dear all,
</t>
        </r>
        <r>
          <rPr>
            <b/>
            <sz val="9"/>
            <color indexed="81"/>
            <rFont val="Tahoma"/>
            <family val="2"/>
          </rPr>
          <t>Kể từ 01/01/2023, nếu không có văn bản mới được ban hành thì mức thuế suất thuế GTGT sẽ trở về mức 10% theo đúng thời hạn áp dụng được quy định tại Khoản 1 Điều 3 Nghị định 15/2022/NĐ-CP</t>
        </r>
        <r>
          <rPr>
            <sz val="9"/>
            <color indexed="81"/>
            <rFont val="Tahoma"/>
            <family val="2"/>
          </rPr>
          <t xml:space="preserve">
Theo đó, các hóa đơn xuất bán của SPV từ ngày 01/01/2023 sẽ như sau:
1. Mức thuế suất 0% áp dụng đối với hàng hóa xuất khẩu.
2. Mức thuế suất 10% áp dụng đối với hàng hóa không thuộc đối tượng áp dụng thuế suất 0% &amp; 5%.
Lưu ý về mặt vận hành đối với hóa đơn đầu ra: xuất hóa đơn 10% từ 01/01/2023. 
+ PO trong năm 2022 khách hàng ghi 8% nhưng chưa xuất hàng cho đến 31/12/2022, không cần request KH revise PO, ACC xử lý.
+PO từ 01/01/2023 trở đi, SO nhập ERP 10% VAT.
Nhờ các ACE chuyển thông tin tới Khách hàng/ Nhà cung cấp về sự thay đổi này. 
Các anh chị nào có thắc mắc thì liên hệ team em!
Best regards, 
NGA TRAN  
CHIEF ACCOUNTANT  
</t>
        </r>
      </text>
    </comment>
    <comment ref="L83" authorId="0" shapeId="0" xr:uid="{00000000-0006-0000-2200-000019000000}">
      <text>
        <r>
          <rPr>
            <sz val="8"/>
            <color indexed="81"/>
            <rFont val="Tahoma"/>
            <family val="2"/>
          </rPr>
          <t>PRICE/COPY</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chau-estimator</author>
    <author>Truong Thi Quynh Chau</author>
    <author>Pham Thuy Nhu Huynh</author>
    <author>Pham Thi Hong Tham</author>
    <author>Nguyen Thi Hong Van</author>
  </authors>
  <commentList>
    <comment ref="G17" authorId="0" shapeId="0" xr:uid="{00000000-0006-0000-2400-000001000000}">
      <text>
        <r>
          <rPr>
            <b/>
            <sz val="10"/>
            <color indexed="81"/>
            <rFont val="Tahoma"/>
            <family val="2"/>
          </rPr>
          <t xml:space="preserve">Add 1 small roll for set up per line </t>
        </r>
        <r>
          <rPr>
            <b/>
            <sz val="8"/>
            <color indexed="81"/>
            <rFont val="Tahoma"/>
            <family val="2"/>
          </rPr>
          <t xml:space="preserve">
</t>
        </r>
      </text>
    </comment>
    <comment ref="C22" authorId="0" shapeId="0" xr:uid="{00000000-0006-0000-2400-000002000000}">
      <text>
        <r>
          <rPr>
            <b/>
            <sz val="8"/>
            <color indexed="81"/>
            <rFont val="Tahoma"/>
            <family val="2"/>
          </rPr>
          <t>SG3</t>
        </r>
      </text>
    </comment>
    <comment ref="G22" authorId="0" shapeId="0" xr:uid="{00000000-0006-0000-2400-000003000000}">
      <text>
        <r>
          <rPr>
            <sz val="8"/>
            <color indexed="81"/>
            <rFont val="Tahoma"/>
            <family val="2"/>
          </rPr>
          <t>Add transportation cost</t>
        </r>
      </text>
    </comment>
    <comment ref="C49" authorId="0" shapeId="0" xr:uid="{00000000-0006-0000-2400-000004000000}">
      <text>
        <r>
          <rPr>
            <b/>
            <sz val="8"/>
            <color indexed="81"/>
            <rFont val="Tahoma"/>
            <family val="2"/>
          </rPr>
          <t>SG3</t>
        </r>
      </text>
    </comment>
    <comment ref="G49" authorId="0" shapeId="0" xr:uid="{00000000-0006-0000-2400-000005000000}">
      <text>
        <r>
          <rPr>
            <sz val="8"/>
            <color indexed="81"/>
            <rFont val="Tahoma"/>
            <family val="2"/>
          </rPr>
          <t>Add transportation cost</t>
        </r>
      </text>
    </comment>
    <comment ref="L69" authorId="0" shapeId="0" xr:uid="{00000000-0006-0000-2400-000006000000}">
      <text>
        <r>
          <rPr>
            <sz val="10"/>
            <color indexed="81"/>
            <rFont val="Tahoma"/>
            <family val="2"/>
          </rPr>
          <t xml:space="preserve">From: Thu Thuy [mailto:thuthuy@starprintvn.com] 
Sent: Thursday, March 27, 2014 1:17 PM
To: 'Quynh Chau'; 'Kim Huong'; 'Nguyen Thi Hanh'
Cc: 'Huyen Linh'; 'Bich Phuong'; hongvan@starprintvn.com; 'Nguyen Thi Cuc'; 'Thai Phuc'; ''Van Anh''; silai@starprintvn.com; 'My Uyen'
Subject: RE: Crayola - XP15-209 Secret Reveal Diary - IMPORT TAX FOR GLITTERING
Hi Chau
</t>
        </r>
        <r>
          <rPr>
            <sz val="10"/>
            <color indexed="12"/>
            <rFont val="Tahoma"/>
            <family val="2"/>
          </rPr>
          <t>HS code 32139000, import duty: 5%, VAT 10%</t>
        </r>
        <r>
          <rPr>
            <sz val="10"/>
            <color indexed="81"/>
            <rFont val="Tahoma"/>
            <family val="2"/>
          </rPr>
          <t xml:space="preserve">
Regards
</t>
        </r>
      </text>
    </comment>
    <comment ref="L72" authorId="1" shapeId="0" xr:uid="{00000000-0006-0000-2400-000007000000}">
      <text>
        <r>
          <rPr>
            <sz val="9"/>
            <color indexed="81"/>
            <rFont val="Tahoma"/>
            <family val="2"/>
          </rPr>
          <t xml:space="preserve">From: Kim Huong [mailto:kimhuong@starprintvn.com] 
Sent: Wednesday, May 11, 2016 2:06 PM
To: 'Thanh Truc'; 'Kim dung'; 'Thu Thuy'; 'Le Bay'; 'The Vinh'; vancuong@starprintvn.com; 'Minh Tuan'
Cc: thuhuong.dao@starprintvn.com; 'Truong Thi Quynh Chau'; estimator@starprintvn.com
Subject: RE: FW: Bộ kim tuyến
Dear Truc,
Ben TNT ho cung khong chiu pick up lo hang nay vi hang nguy hiem ko di duoc duong bo nua.
</t>
        </r>
        <r>
          <rPr>
            <sz val="9"/>
            <color indexed="12"/>
            <rFont val="Tahoma"/>
            <family val="2"/>
          </rPr>
          <t>Vay chi co mot cach xach tay nhu hom bua pick up 15 kgs vay thoi.
Gia 8 usd/ kg khong co to khai nha e.</t>
        </r>
        <r>
          <rPr>
            <sz val="9"/>
            <color indexed="81"/>
            <rFont val="Tahoma"/>
            <family val="2"/>
          </rPr>
          <t xml:space="preserve">
Dear Anh Vinh &amp; Anh Cuong,
Bot kim tuyen ve tiep lai khong co to khai xach tay ve. Ben em se add phi nay vao lo hang cua shipper Hermes khi nao co hang den VN anh nhe.
Dear Chi Chau,
CHi xem tinh gia cua lo hang lien quan den kim tuyen nay nhe.
</t>
        </r>
        <r>
          <rPr>
            <b/>
            <sz val="9"/>
            <color indexed="81"/>
            <rFont val="Tahoma"/>
            <family val="2"/>
          </rPr>
          <t xml:space="preserve">
</t>
        </r>
      </text>
    </comment>
    <comment ref="C77" authorId="0" shapeId="0" xr:uid="{00000000-0006-0000-2400-000008000000}">
      <text>
        <r>
          <rPr>
            <b/>
            <sz val="8"/>
            <color indexed="81"/>
            <rFont val="Tahoma"/>
            <family val="2"/>
          </rPr>
          <t>SG3</t>
        </r>
      </text>
    </comment>
    <comment ref="G77" authorId="0" shapeId="0" xr:uid="{00000000-0006-0000-2400-000009000000}">
      <text>
        <r>
          <rPr>
            <sz val="8"/>
            <color indexed="81"/>
            <rFont val="Tahoma"/>
            <family val="2"/>
          </rPr>
          <t>Add transportation cost</t>
        </r>
      </text>
    </comment>
    <comment ref="C107" authorId="0" shapeId="0" xr:uid="{00000000-0006-0000-2400-00000A000000}">
      <text>
        <r>
          <rPr>
            <b/>
            <sz val="8"/>
            <color indexed="81"/>
            <rFont val="Tahoma"/>
            <family val="2"/>
          </rPr>
          <t>SG3</t>
        </r>
      </text>
    </comment>
    <comment ref="G107" authorId="0" shapeId="0" xr:uid="{00000000-0006-0000-2400-00000B000000}">
      <text>
        <r>
          <rPr>
            <sz val="8"/>
            <color indexed="81"/>
            <rFont val="Tahoma"/>
            <family val="2"/>
          </rPr>
          <t>Add transportation cost</t>
        </r>
      </text>
    </comment>
    <comment ref="D128" authorId="2" shapeId="0" xr:uid="{00000000-0006-0000-2400-00000C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t>
        </r>
        <r>
          <rPr>
            <b/>
            <sz val="9"/>
            <color indexed="81"/>
            <rFont val="Tahoma"/>
            <family val="2"/>
          </rPr>
          <t>Phí bảo hiểm : 0.065% / 110% tri giá lô hàng  : Hàng nhập</t>
        </r>
        <r>
          <rPr>
            <sz val="9"/>
            <color indexed="81"/>
            <rFont val="Tahoma"/>
            <family val="2"/>
          </rPr>
          <t xml:space="preserve">
</t>
        </r>
        <r>
          <rPr>
            <b/>
            <sz val="9"/>
            <color indexed="81"/>
            <rFont val="Tahoma"/>
            <family val="2"/>
          </rPr>
          <t xml:space="preserve">
Phí min: 300k/ lô hàng.</t>
        </r>
        <r>
          <rPr>
            <sz val="9"/>
            <color indexed="81"/>
            <rFont val="Tahoma"/>
            <family val="2"/>
          </rPr>
          <t xml:space="preserve">
Thanks and best regards,
NGUYEN THI KIM HUONG
IMEX &amp; DELIVERY DEPT  
</t>
        </r>
      </text>
    </comment>
    <comment ref="H138" authorId="3" shapeId="0" xr:uid="{00000000-0006-0000-2400-00000D000000}">
      <text>
        <r>
          <rPr>
            <b/>
            <sz val="9"/>
            <color indexed="81"/>
            <rFont val="Tahoma"/>
            <family val="2"/>
          </rPr>
          <t>Pham Thi Hong Tham:</t>
        </r>
        <r>
          <rPr>
            <sz val="9"/>
            <color indexed="81"/>
            <rFont val="Tahoma"/>
            <family val="2"/>
          </rPr>
          <t xml:space="preserve">
From: Nguyen Thuy &lt;thuthuy@starprintvn.com&gt; 
Sent: Friday, March 25, 2022 7:37 AM
To: EST@starprintvn.com; huyen.nguyenthi@starprintvn.com; huong.nguyenthanh@starprintvn.com; log@starprintvn.com; PUR@starprintvn.com; tai.nguyenminh@starprintvn.com; thuhuong.dao@starprintvn.com; tuyetnhu@starprintvn.com; Thuy.ltt@starprintvn.com; thicuc@starprintvn.com
Subject: Thu them phi o cang Cat Lái
Hi team
Từ 1/4 Cảng Cát Lái thu thêm phí 500.000/1.000.000 vnd cho cont 20’/40’ nhập xuất qua cảng Cát Lái nhé
Estimestor update cost này vào local charge Hàng nhập và xuất nha
</t>
        </r>
      </text>
    </comment>
    <comment ref="I138" authorId="3" shapeId="0" xr:uid="{00000000-0006-0000-2400-00000E000000}">
      <text>
        <r>
          <rPr>
            <b/>
            <sz val="9"/>
            <color indexed="81"/>
            <rFont val="Tahoma"/>
            <family val="2"/>
          </rPr>
          <t>Pham Thi Hong Tham:</t>
        </r>
        <r>
          <rPr>
            <sz val="9"/>
            <color indexed="81"/>
            <rFont val="Tahoma"/>
            <family val="2"/>
          </rPr>
          <t xml:space="preserve">
From: Nguyen Thuy &lt;thuthuy@starprintvn.com&gt; 
Sent: Friday, March 25, 2022 7:37 AM
To: EST@starprintvn.com; huyen.nguyenthi@starprintvn.com; huong.nguyenthanh@starprintvn.com; log@starprintvn.com; PUR@starprintvn.com; tai.nguyenminh@starprintvn.com; thuhuong.dao@starprintvn.com; tuyetnhu@starprintvn.com; Thuy.ltt@starprintvn.com; thicuc@starprintvn.com
Subject: Thu them phi o cang Cat Lái
Hi team
Từ 1/4 Cảng Cát Lái thu thêm phí 500.000/1.000.000 vnd cho cont 20’/40’ nhập xuất qua cảng Cát Lái nhé
Estimestor update cost này vào local charge Hàng nhập và xuất nha
</t>
        </r>
      </text>
    </comment>
    <comment ref="D156" authorId="2" shapeId="0" xr:uid="{00000000-0006-0000-2400-00000F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t>
        </r>
        <r>
          <rPr>
            <b/>
            <sz val="9"/>
            <color indexed="81"/>
            <rFont val="Tahoma"/>
            <family val="2"/>
          </rPr>
          <t>Phí bảo hiểm : 0.065% / 110% tri giá lô hàng  : Hàng nhập</t>
        </r>
        <r>
          <rPr>
            <sz val="9"/>
            <color indexed="81"/>
            <rFont val="Tahoma"/>
            <family val="2"/>
          </rPr>
          <t xml:space="preserve">
</t>
        </r>
        <r>
          <rPr>
            <b/>
            <sz val="9"/>
            <color indexed="81"/>
            <rFont val="Tahoma"/>
            <family val="2"/>
          </rPr>
          <t xml:space="preserve">
Phí min: 300k/ lô hàng.</t>
        </r>
        <r>
          <rPr>
            <sz val="9"/>
            <color indexed="81"/>
            <rFont val="Tahoma"/>
            <family val="2"/>
          </rPr>
          <t xml:space="preserve">
Thanks and best regards,
NGUYEN THI KIM HUONG
IMEX &amp; DELIVERY DEPT  
</t>
        </r>
      </text>
    </comment>
    <comment ref="H166" authorId="3" shapeId="0" xr:uid="{00000000-0006-0000-2400-000010000000}">
      <text>
        <r>
          <rPr>
            <b/>
            <sz val="9"/>
            <color indexed="81"/>
            <rFont val="Tahoma"/>
            <family val="2"/>
          </rPr>
          <t>Pham Thi Hong Tham:</t>
        </r>
        <r>
          <rPr>
            <sz val="9"/>
            <color indexed="81"/>
            <rFont val="Tahoma"/>
            <family val="2"/>
          </rPr>
          <t xml:space="preserve">
From: Nguyen Thuy &lt;thuthuy@starprintvn.com&gt; 
Sent: Friday, March 25, 2022 7:37 AM
To: EST@starprintvn.com; huyen.nguyenthi@starprintvn.com; huong.nguyenthanh@starprintvn.com; log@starprintvn.com; PUR@starprintvn.com; tai.nguyenminh@starprintvn.com; thuhuong.dao@starprintvn.com; tuyetnhu@starprintvn.com; Thuy.ltt@starprintvn.com; thicuc@starprintvn.com
Subject: Thu them phi o cang Cat Lái
Hi team
Từ 1/4 Cảng Cát Lái thu thêm phí 500.000/1.000.000 vnd cho cont 20’/40’ nhập xuất qua cảng Cát Lái nhé
Estimestor update cost này vào local charge Hàng nhập và xuất nha
</t>
        </r>
      </text>
    </comment>
    <comment ref="I166" authorId="3" shapeId="0" xr:uid="{00000000-0006-0000-2400-000011000000}">
      <text>
        <r>
          <rPr>
            <b/>
            <sz val="9"/>
            <color indexed="81"/>
            <rFont val="Tahoma"/>
            <family val="2"/>
          </rPr>
          <t>Pham Thi Hong Tham:</t>
        </r>
        <r>
          <rPr>
            <sz val="9"/>
            <color indexed="81"/>
            <rFont val="Tahoma"/>
            <family val="2"/>
          </rPr>
          <t xml:space="preserve">
From: Nguyen Thuy &lt;thuthuy@starprintvn.com&gt; 
Sent: Friday, March 25, 2022 7:37 AM
To: EST@starprintvn.com; huyen.nguyenthi@starprintvn.com; huong.nguyenthanh@starprintvn.com; log@starprintvn.com; PUR@starprintvn.com; tai.nguyenminh@starprintvn.com; thuhuong.dao@starprintvn.com; tuyetnhu@starprintvn.com; Thuy.ltt@starprintvn.com; thicuc@starprintvn.com
Subject: Thu them phi o cang Cat Lái
Hi team
Từ 1/4 Cảng Cát Lái thu thêm phí 500.000/1.000.000 vnd cho cont 20’/40’ nhập xuất qua cảng Cát Lái nhé
Estimestor update cost này vào local charge Hàng nhập và xuất nha
</t>
        </r>
      </text>
    </comment>
    <comment ref="B290" authorId="3" shapeId="0" xr:uid="{00000000-0006-0000-2400-000012000000}">
      <text>
        <r>
          <rPr>
            <b/>
            <sz val="9"/>
            <color indexed="81"/>
            <rFont val="Tahoma"/>
            <family val="2"/>
          </rPr>
          <t>Pham Thi Hong Tham:</t>
        </r>
        <r>
          <rPr>
            <sz val="9"/>
            <color indexed="81"/>
            <rFont val="Tahoma"/>
            <family val="2"/>
          </rPr>
          <t xml:space="preserve">
From: Truc, Nguyen Thi Thanh &lt;truc.ntt@starprintvn.com&gt; 
Sent: Tuesday, March 28, 2023 2:42 PM
To: EST@starprintvn.com; ''Estimator'' &lt;estimator@starprintvn.com&gt;; 'Tuyền' &lt;lamtuyen@starprintvn.com&gt;; 'Tracy Pham' &lt;tram.phamthibich@starprintvn.com&gt;; 'Cúc' &lt;thicuc@starprintvn.com&gt;
Subject: UPDATE PRICE OF 50MIC CLEAR PET+160GSM WHITE RELEASE LINER+WATER BASED GLUE (CODE KY007) SIZE 484*460MM (2023) - 28.03.2023
Alo EST &amp; Sale team, 
</t>
        </r>
      </text>
    </comment>
    <comment ref="D295" authorId="2" shapeId="0" xr:uid="{00000000-0006-0000-2400-000013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t>
        </r>
        <r>
          <rPr>
            <b/>
            <sz val="9"/>
            <color indexed="81"/>
            <rFont val="Tahoma"/>
            <family val="2"/>
          </rPr>
          <t>Phí bảo hiểm : 0.065% / 110% tri giá lô hàng  : Hàng nhập</t>
        </r>
        <r>
          <rPr>
            <sz val="9"/>
            <color indexed="81"/>
            <rFont val="Tahoma"/>
            <family val="2"/>
          </rPr>
          <t xml:space="preserve">
</t>
        </r>
        <r>
          <rPr>
            <b/>
            <sz val="9"/>
            <color indexed="81"/>
            <rFont val="Tahoma"/>
            <family val="2"/>
          </rPr>
          <t xml:space="preserve">
Phí min: 300k/ lô hàng.</t>
        </r>
        <r>
          <rPr>
            <sz val="9"/>
            <color indexed="81"/>
            <rFont val="Tahoma"/>
            <family val="2"/>
          </rPr>
          <t xml:space="preserve">
Thanks and best regards,
NGUYEN THI KIM HUONG
IMEX &amp; DELIVERY DEPT  
</t>
        </r>
      </text>
    </comment>
    <comment ref="B321" authorId="4" shapeId="0" xr:uid="{0B8BD775-B0EC-46DF-A2BF-91E88AFDFCDE}">
      <text>
        <r>
          <rPr>
            <b/>
            <sz val="9"/>
            <color indexed="81"/>
            <rFont val="Tahoma"/>
            <family val="2"/>
          </rPr>
          <t>Nguyen Thi Hong Van:</t>
        </r>
        <r>
          <rPr>
            <sz val="9"/>
            <color indexed="81"/>
            <rFont val="Tahoma"/>
            <family val="2"/>
          </rPr>
          <t xml:space="preserve">
</t>
        </r>
        <r>
          <rPr>
            <sz val="14"/>
            <color indexed="81"/>
            <rFont val="Tahoma"/>
            <family val="2"/>
          </rPr>
          <t>From: Truc, Nguyen Thi Thanh &lt;truc.ntt@starprintvn.com&gt; 
Sent: Thursday, July 6, 2023 9:06 AM
To: 'Van, Nguyen Thi Hong' &lt;hongvan@starprintvn.com&gt;
Cc: EST@starprintvn.com; 'Cuc' &lt;thicuc@starprintvn.com&gt;; 'Huy, Nguyen Vu Xuan' &lt;xuanhuy@starprintvn.com&gt;; 'Dori Ho ' &lt;lamtuyen@starprintvn.com&gt;; 'Susan Phan' &lt;xuan.phanthien@starprintvn.com&gt;; 'Tracy Pham' &lt;tram.phamthibich@starprintvn.com&gt;; book.rd@starprintvn.com
Subject: RE: Crayola- INT3570 EU Color of Kindness Kits Cost Input
ALo Vân EST, 
The price for kraft paper tape 80gsm, 30mm with 150 length, 40 core, is 70USD/ carton, 40 rolls in one carton. Every order is with 50 USD bank charge.
The MOQ is 5 cartons. The packing size is 37x37x21 cm, with 12 kg/carton.
The Leadtime is about 7 days after getting payment. The HS code is 48114990.
Address                              : FL3, TRAFFIC BUILDING, ANYANG TOWN, RUIAN, ZHEJIANG PRO, CHINA, 325207</t>
        </r>
        <r>
          <rPr>
            <sz val="9"/>
            <color indexed="81"/>
            <rFont val="Tahoma"/>
            <family val="2"/>
          </rPr>
          <t xml:space="preserve">
</t>
        </r>
      </text>
    </comment>
    <comment ref="H322" authorId="3" shapeId="0" xr:uid="{00000000-0006-0000-2400-000014000000}">
      <text>
        <r>
          <rPr>
            <b/>
            <sz val="9"/>
            <color indexed="81"/>
            <rFont val="Tahoma"/>
            <family val="2"/>
          </rPr>
          <t>Pham Thi Hong Tham:</t>
        </r>
        <r>
          <rPr>
            <sz val="9"/>
            <color indexed="81"/>
            <rFont val="Tahoma"/>
            <family val="2"/>
          </rPr>
          <t xml:space="preserve">
khi nhập sẽ combine với băng keo nhiệt 19mm Kraft paper tape nên tạm tính roundup1</t>
        </r>
      </text>
    </comment>
    <comment ref="D327" authorId="2" shapeId="0" xr:uid="{00000000-0006-0000-2400-000015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t>
        </r>
        <r>
          <rPr>
            <b/>
            <sz val="9"/>
            <color indexed="81"/>
            <rFont val="Tahoma"/>
            <family val="2"/>
          </rPr>
          <t>Phí bảo hiểm : 0.065% / 110% tri giá lô hàng  : Hàng nhập</t>
        </r>
        <r>
          <rPr>
            <sz val="9"/>
            <color indexed="81"/>
            <rFont val="Tahoma"/>
            <family val="2"/>
          </rPr>
          <t xml:space="preserve">
</t>
        </r>
        <r>
          <rPr>
            <b/>
            <sz val="9"/>
            <color indexed="81"/>
            <rFont val="Tahoma"/>
            <family val="2"/>
          </rPr>
          <t xml:space="preserve">
Phí min: 300k/ lô hàng.</t>
        </r>
        <r>
          <rPr>
            <sz val="9"/>
            <color indexed="81"/>
            <rFont val="Tahoma"/>
            <family val="2"/>
          </rPr>
          <t xml:space="preserve">
Thanks and best regards,
NGUYEN THI KIM HUONG
IMEX &amp; DELIVERY DEPT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chau-estimator</author>
    <author>ismail - [2010]</author>
    <author>Nhu Huynh (IA)</author>
    <author>Nguyen Hoang Phuong Linh</author>
    <author>Pham Thuy Nhu Huynh</author>
    <author>anh.nth</author>
    <author>Pham Thi Hong Tham</author>
    <author>Nguyen Thi Hong Van</author>
    <author>tc={4F0AEB35-61A5-4C94-AB08-554D5EDB4859}</author>
    <author>IA_USER04 Phuong Linh</author>
  </authors>
  <commentList>
    <comment ref="C52" authorId="0" shapeId="0" xr:uid="{00000000-0006-0000-2700-000001000000}">
      <text>
        <r>
          <rPr>
            <sz val="8"/>
            <color indexed="14"/>
            <rFont val="Tahoma"/>
            <family val="2"/>
          </rPr>
          <t xml:space="preserve">Apply for all oversea clients
except local customers
</t>
        </r>
      </text>
    </comment>
    <comment ref="C60" authorId="0" shapeId="0" xr:uid="{00000000-0006-0000-2700-000002000000}">
      <text>
        <r>
          <rPr>
            <sz val="8"/>
            <color indexed="14"/>
            <rFont val="Tahoma"/>
            <family val="2"/>
          </rPr>
          <t xml:space="preserve">Apply for all oversea clients
except local customers
</t>
        </r>
      </text>
    </comment>
    <comment ref="C70" authorId="1" shapeId="0" xr:uid="{00000000-0006-0000-2700-000003000000}">
      <text>
        <r>
          <rPr>
            <b/>
            <sz val="9"/>
            <color indexed="81"/>
            <rFont val="Tahoma"/>
            <family val="2"/>
          </rPr>
          <t xml:space="preserve">code Foil
</t>
        </r>
        <r>
          <rPr>
            <sz val="9"/>
            <color indexed="81"/>
            <rFont val="Tahoma"/>
            <family val="2"/>
          </rPr>
          <t xml:space="preserve">
</t>
        </r>
      </text>
    </comment>
    <comment ref="F72" authorId="2" shapeId="0" xr:uid="{00000000-0006-0000-2700-000004000000}">
      <text>
        <r>
          <rPr>
            <b/>
            <sz val="9"/>
            <color indexed="81"/>
            <rFont val="Tahoma"/>
            <family val="2"/>
          </rPr>
          <t>Based on Manu</t>
        </r>
      </text>
    </comment>
    <comment ref="C77" authorId="1" shapeId="0" xr:uid="{00000000-0006-0000-2700-000005000000}">
      <text>
        <r>
          <rPr>
            <b/>
            <sz val="9"/>
            <color indexed="81"/>
            <rFont val="Tahoma"/>
            <family val="2"/>
          </rPr>
          <t xml:space="preserve">code Foil
</t>
        </r>
        <r>
          <rPr>
            <sz val="9"/>
            <color indexed="81"/>
            <rFont val="Tahoma"/>
            <family val="2"/>
          </rPr>
          <t xml:space="preserve">
</t>
        </r>
      </text>
    </comment>
    <comment ref="F79" authorId="2" shapeId="0" xr:uid="{00000000-0006-0000-2700-000006000000}">
      <text>
        <r>
          <rPr>
            <b/>
            <sz val="9"/>
            <color indexed="81"/>
            <rFont val="Tahoma"/>
            <family val="2"/>
          </rPr>
          <t>Based on Manu</t>
        </r>
      </text>
    </comment>
    <comment ref="C85" authorId="1" shapeId="0" xr:uid="{00000000-0006-0000-2700-000007000000}">
      <text>
        <r>
          <rPr>
            <b/>
            <sz val="9"/>
            <color indexed="81"/>
            <rFont val="Tahoma"/>
            <family val="2"/>
          </rPr>
          <t xml:space="preserve">Code Foil
</t>
        </r>
        <r>
          <rPr>
            <sz val="9"/>
            <color indexed="81"/>
            <rFont val="Tahoma"/>
            <family val="2"/>
          </rPr>
          <t xml:space="preserve">
</t>
        </r>
      </text>
    </comment>
    <comment ref="G87" authorId="0" shapeId="0" xr:uid="{00000000-0006-0000-2700-000008000000}">
      <text>
        <r>
          <rPr>
            <b/>
            <sz val="10"/>
            <color indexed="81"/>
            <rFont val="Tahoma"/>
            <family val="2"/>
          </rPr>
          <t xml:space="preserve">Add 1 small roll for set up per line </t>
        </r>
        <r>
          <rPr>
            <b/>
            <sz val="8"/>
            <color indexed="81"/>
            <rFont val="Tahoma"/>
            <family val="2"/>
          </rPr>
          <t xml:space="preserve">
</t>
        </r>
      </text>
    </comment>
    <comment ref="C92" authorId="1" shapeId="0" xr:uid="{00000000-0006-0000-2700-000009000000}">
      <text>
        <r>
          <rPr>
            <b/>
            <sz val="9"/>
            <color indexed="81"/>
            <rFont val="Tahoma"/>
            <family val="2"/>
          </rPr>
          <t xml:space="preserve">Code Foil
</t>
        </r>
        <r>
          <rPr>
            <sz val="9"/>
            <color indexed="81"/>
            <rFont val="Tahoma"/>
            <family val="2"/>
          </rPr>
          <t xml:space="preserve">
</t>
        </r>
      </text>
    </comment>
    <comment ref="G94" authorId="0" shapeId="0" xr:uid="{00000000-0006-0000-2700-00000A000000}">
      <text>
        <r>
          <rPr>
            <b/>
            <sz val="10"/>
            <color indexed="81"/>
            <rFont val="Tahoma"/>
            <family val="2"/>
          </rPr>
          <t xml:space="preserve">Add 1 small roll for set up per line </t>
        </r>
        <r>
          <rPr>
            <b/>
            <sz val="8"/>
            <color indexed="81"/>
            <rFont val="Tahoma"/>
            <family val="2"/>
          </rPr>
          <t xml:space="preserve">
</t>
        </r>
      </text>
    </comment>
    <comment ref="C96" authorId="3" shapeId="0" xr:uid="{00000000-0006-0000-2700-00000B000000}">
      <text>
        <r>
          <rPr>
            <b/>
            <sz val="9"/>
            <color indexed="81"/>
            <rFont val="Tahoma"/>
            <family val="2"/>
          </rPr>
          <t xml:space="preserve">From: Pham Thi Kim Dung [mailto:kimdung@starprintvn.com] 
Sent: Tuesday, February 23, 2021 9:07 AM
To: EST@starprintvn.com
Subject: rule waste approved by BOD
Hi Thuan, Est team.
Form nay approve khoang t10/2020 thi phai, Est ktra lai xem có chua ? neu chua note giup chi nhe
</t>
        </r>
      </text>
    </comment>
    <comment ref="M96" authorId="3" shapeId="0" xr:uid="{00000000-0006-0000-2700-00000C000000}">
      <text>
        <r>
          <rPr>
            <b/>
            <sz val="9"/>
            <color indexed="81"/>
            <rFont val="Tahoma"/>
            <family val="2"/>
          </rPr>
          <t xml:space="preserve">From: phuonglinh@starprintvn.com &lt;phuonglinh@starprintvn.com&gt; 
Sent: Thursday, May 6, 2021 9:57 AM
To: 'ngoc.nguyenhong@starprintvn.com' &lt;ngoc.nguyenhong@starprintvn.com&gt;
Cc: 'EST@starprintvn.com' &lt;EST@starprintvn.com&gt;; 'thanhvan@starprintvn.com' &lt;thanhvan@starprintvn.com&gt;; 'Nguyen Thi Huyen' &lt;huyen.nguyenthi@starprintvn.com&gt;
Subject: RE: UPDATE GIA MANG PET THANG 5.2021
Hi chị Ngọc,
Em mail lại recofirm về MOQ của PET như đã nói chuyện với chị nha.
PET màu trong MOQ 2,000 kgs
PET màu đen MOQ 5,000 kgs
</t>
        </r>
      </text>
    </comment>
    <comment ref="C101" authorId="3" shapeId="0" xr:uid="{00000000-0006-0000-2700-00000D000000}">
      <text>
        <r>
          <rPr>
            <b/>
            <sz val="9"/>
            <color indexed="81"/>
            <rFont val="Tahoma"/>
            <family val="2"/>
          </rPr>
          <t xml:space="preserve">From: Huyen, Nguyen Thi [mailto:huyen.nguyenthi@starprintvn.com] 
Sent: Wednesday, August 7, 2019 9:32 AM
To: EST@starprintvn.com; 'Phuong Linh' &lt;phuonglinh@starprintvn.com&gt;
Subject: RE: Waste rate PET
Các em ơi,
Sorry ch wrong typing, PET tray là 3% thay vì 5% nhe, c bổ sung PET cover và remove PET window premium như sau:
1. PET tray là 3% cho cả mua ngoài và làm inhouse
2. PET window 5% cho hàng thường
3. PET cover 10%  cho cả inhouse và mua ngoài
</t>
        </r>
      </text>
    </comment>
    <comment ref="D124" authorId="4" shapeId="0" xr:uid="{00000000-0006-0000-2700-00000F000000}">
      <text>
        <r>
          <rPr>
            <b/>
            <sz val="9"/>
            <color indexed="81"/>
            <rFont val="Tahoma"/>
            <family val="2"/>
          </rPr>
          <t>Pham Thuy Nhu Huynh:</t>
        </r>
        <r>
          <rPr>
            <sz val="9"/>
            <color indexed="81"/>
            <rFont val="Tahoma"/>
            <family val="2"/>
          </rPr>
          <t xml:space="preserve">
From: Ngoc, Nguyen Hong &lt;ngoc.nguyenhong@starprintvn.com&gt; 
Sent: Tuesday, March 14, 2023 1:30 PM
To: 'Estimator' &lt;est@starprintvn.com&gt;
Cc: thuy.ltt@starprintvn.com; 'Estimator' &lt;EST@starprintvn.com&gt;; 'Ngan, Phan Thi Tu' &lt;tungan@starprintvn.com&gt;; 'Structure R&amp;D' &lt;structure.rd@starprintvn.com&gt;; 'Huynh, Pham Thuy Nhu' &lt;nhuhuynh@starprintvn.com&gt;; PUR@starprintvn.com
Subject: RE: CR cho hộp Pack 4 lon 25cl - Heineken _ Thêm opt khổ 710 và chỉnh layout
Dear Est
Giá PET dày 0.25mm: 41.000đ/kg ( </t>
        </r>
        <r>
          <rPr>
            <b/>
            <sz val="9"/>
            <color indexed="81"/>
            <rFont val="Tahoma"/>
            <family val="2"/>
          </rPr>
          <t>khổ từ 400mm trở lên</t>
        </r>
        <r>
          <rPr>
            <sz val="9"/>
            <color indexed="81"/>
            <rFont val="Tahoma"/>
            <family val="2"/>
          </rPr>
          <t xml:space="preserve">, nhà mình có máy xẻ cuộn PET nên Est tự tính phần xẻ cuộn nhé) Giá chưa bao gồm VAT và các test report, lấy hàng tại Tân Bình
Regards !
</t>
        </r>
      </text>
    </comment>
    <comment ref="J124" authorId="4" shapeId="0" xr:uid="{00000000-0006-0000-2700-000010000000}">
      <text>
        <r>
          <rPr>
            <b/>
            <sz val="9"/>
            <color indexed="81"/>
            <rFont val="Tahoma"/>
            <family val="2"/>
          </rPr>
          <t>Pham Thuy Nhu Huynh:</t>
        </r>
        <r>
          <rPr>
            <sz val="9"/>
            <color indexed="81"/>
            <rFont val="Tahoma"/>
            <family val="2"/>
          </rPr>
          <t xml:space="preserve">
Ms. Thanh Hà Pack confirm by zalo "cap xẻ cuộn PET là 900m/hr/2men - mét tới"
set up 20 phút</t>
        </r>
      </text>
    </comment>
    <comment ref="K124" authorId="3" shapeId="0" xr:uid="{00000000-0006-0000-2700-000011000000}">
      <text>
        <r>
          <rPr>
            <b/>
            <sz val="9"/>
            <color indexed="81"/>
            <rFont val="Tahoma"/>
            <family val="2"/>
          </rPr>
          <t xml:space="preserve">2 men/machine
</t>
        </r>
      </text>
    </comment>
    <comment ref="B136" authorId="5" shapeId="0" xr:uid="{00000000-0006-0000-2700-000012000000}">
      <text>
        <r>
          <rPr>
            <b/>
            <sz val="8"/>
            <color indexed="81"/>
            <rFont val="Tahoma"/>
            <family val="2"/>
          </rPr>
          <t>Day &amp; tren nap</t>
        </r>
      </text>
    </comment>
    <comment ref="C159" authorId="6" shapeId="0" xr:uid="{00000000-0006-0000-2700-000013000000}">
      <text>
        <r>
          <rPr>
            <b/>
            <sz val="9"/>
            <color indexed="81"/>
            <rFont val="Tahoma"/>
            <family val="2"/>
          </rPr>
          <t>Pham Thi Hong Tham:</t>
        </r>
        <r>
          <rPr>
            <sz val="9"/>
            <color indexed="81"/>
            <rFont val="Tahoma"/>
            <family val="2"/>
          </rPr>
          <t xml:space="preserve">
From: Truc, Nguyen Thi Thanh &lt;truc.ntt@starprintvn.com&gt; 
Sent: Thursday, April 6, 2023 8:28 AM
To: 'Estimator' &lt;EST@starprintvn.com&gt;
Subject: RE: RE: UPDATE PRICE OF COMPONENTS 2023 - 03.03.2023
Hi EST team, 
Update giá Double Sides tape cho năm 2023 như dưới team nhé
-------------------------------------------------------------------------------
Below is the price for 2023 of the component that you purchased in 2022, together with the SGS test. Thanks.
Double Sided Tissue Tape
250mm x 200m, US$66.50/roll
EN71-3 + 10 Phthalate + CPSIA total Lead : USD480.00
ASTM F963-17 (test including Total Lead + 8 soluble heavy metal including Cd) : USD120.00
</t>
        </r>
      </text>
    </comment>
    <comment ref="C160" authorId="4" shapeId="0" xr:uid="{00000000-0006-0000-2700-000014000000}">
      <text>
        <r>
          <rPr>
            <b/>
            <sz val="9"/>
            <color indexed="81"/>
            <rFont val="Tahoma"/>
            <family val="2"/>
          </rPr>
          <t>Pham Thuy Nhu Huynh:</t>
        </r>
        <r>
          <rPr>
            <sz val="9"/>
            <color indexed="81"/>
            <rFont val="Tahoma"/>
            <family val="2"/>
          </rPr>
          <t xml:space="preserve">
From: Thuy Nguyen &lt;thuthuy@starprintvn.com&gt; 
Sent: Wednesday, April 6, 2022 4:11 PM
To: Cuc, Nguyen Thi &lt;thicuc@starprintvn.com&gt;
Cc: Huong, Dao Thu &lt;thuhuong.dao@starprintvn.com&gt;; Estimator &lt;EST@starprintvn.com&gt;; Kim Huong &lt;kimhuong@starprintvn.com&gt;; Nguyen Minh Tai &lt;tai.nguyenminh@starprintvn.com&gt;
Subject: Re: Gia công cắt sticker Double Sided Tissue Tape(Solvent) for PO MOSAIC Fun= 10kpcs
Hi team
Do hàng này nhập về không nhiều, trị giá thấp mà phải đưa ra subcon cát thành nhiều size và nhập về không cùng qui cách lúc nhập về nên sẽ đưa vào nhập KD nhé
Best regards
Thuy Nguyen
</t>
        </r>
      </text>
    </comment>
    <comment ref="C161" authorId="4" shapeId="0" xr:uid="{00000000-0006-0000-2700-000015000000}">
      <text>
        <r>
          <rPr>
            <b/>
            <sz val="9"/>
            <color indexed="81"/>
            <rFont val="Tahoma"/>
            <family val="2"/>
          </rPr>
          <t>Pham Thuy Nhu Huynh:</t>
        </r>
        <r>
          <rPr>
            <sz val="9"/>
            <color indexed="81"/>
            <rFont val="Tahoma"/>
            <family val="2"/>
          </rPr>
          <t xml:space="preserve">
From: truc.ntt@starprintvn.com &lt;truc.ntt@starprintvn.com&gt; 
Sent: Tuesday, May 10, 2022 2:06 PM
To: thanhthuan@starprintvn.com; nhuhuynh@starprintvn.com; linh.tranthithuy@starprintvn.com
Cc: tuyetnhu@starprintvn.com; 'PUR Department' &lt;PUR@starprintvn.com&gt;; 'Estimator' &lt;est@starprintvn.com&gt;
Subject: RE: CR- Porter - Helen Kaminski - Collapsible hat box - 1-5-2022
Alo Thuận, 
Double Sided Tissue Tape(Solvent) for CR- Porter - Helen Kaminski - Collapsible hat box này là mình share &amp; combine order chung với dự án Crayola, chi phí test mình đã báo bên dự án Crayola và ncc đã làm test report 1 lần/1 năm (14/04/2022, hiệu lực đến 14/4/2023). Nên e k cần tính phí test 480usd cho dự án này nửa đâu e
Thanks and Best Regards,
NGUYEN THI THANH TRUC (Ms.)
Purchasing Department.  
</t>
        </r>
      </text>
    </comment>
    <comment ref="C164" authorId="4" shapeId="0" xr:uid="{00000000-0006-0000-2700-000016000000}">
      <text>
        <r>
          <rPr>
            <b/>
            <sz val="9"/>
            <color indexed="81"/>
            <rFont val="Tahoma"/>
            <family val="2"/>
          </rPr>
          <t>Pham Thuy Nhu Huynh:</t>
        </r>
        <r>
          <rPr>
            <sz val="9"/>
            <color indexed="81"/>
            <rFont val="Tahoma"/>
            <family val="2"/>
          </rPr>
          <t xml:space="preserve">
From: Anh Linh &lt;linh.buithianh@starprintvn.com&gt; 
Sent: Tuesday, May 10, 2022 4:04 PM
To: hongtham@starprintvn.com; truc.ntt@starprintvn.com; nhuhuynh@starprintvn.com; linh.tranthithuy@starprintvn.com; 'Thuy Nguyen' &lt;thuthuy@starprintvn.com&gt;; 'Kim Huong' &lt;kimhuong@starprintvn.com&gt;
Cc: tuyetnhu@starprintvn.com; 'PUR Department' &lt;PUR@starprintvn.com&gt;; 'Estimator' &lt;est@starprintvn.com&gt;; 'LOG Department' &lt;log@starprintvn.com&gt;
Subject: RE: CR- Porter - Helen Kaminski - Collapsible hat box - 1-5-2022
Hi c Thắm
E gởi giá nhé!
From 1-3 cbm:          $280 + $20 /cbm     + LCC HCM
From 3.1-5 cbm:       $330 + $20 /cbm     +  LCC HCM
From 5.1-8 cbm:       $400 + $20 /cbm     + LCC HCM
From 8.1-10 cbm:     $450 + $20 /cbm     +  LCC HCM
Thanks &amp; Best regards.
Ánh Linh
</t>
        </r>
      </text>
    </comment>
    <comment ref="E165" authorId="4" shapeId="0" xr:uid="{00000000-0006-0000-2700-000017000000}">
      <text>
        <r>
          <rPr>
            <b/>
            <sz val="9"/>
            <color indexed="81"/>
            <rFont val="Tahoma"/>
            <family val="2"/>
          </rPr>
          <t>Pham Thuy Nhu Huynh:</t>
        </r>
        <r>
          <rPr>
            <sz val="9"/>
            <color indexed="81"/>
            <rFont val="Tahoma"/>
            <family val="2"/>
          </rPr>
          <t xml:space="preserve">
From: Huong.Nguyen Thi Kim &lt;kimhuong@starprintvn.com&gt; 
Sent: Wednesday, August 17, 2022 10:55 AM
To: nhuhuynh@starprintvn.com
Subject: RE: Update tỉ lệ phí bảo hiểm - 2022
Hi Huỳnh,
Phí bảo hiểm : 0.065% / 110% tri giá lô hàng +10% VAT : hàng xuất
</t>
        </r>
        <r>
          <rPr>
            <b/>
            <sz val="9"/>
            <color indexed="81"/>
            <rFont val="Tahoma"/>
            <family val="2"/>
          </rPr>
          <t>Phí bảo hiểm : 0.065% / 110% tri giá lô hàng  : Hàng nhập</t>
        </r>
        <r>
          <rPr>
            <sz val="9"/>
            <color indexed="81"/>
            <rFont val="Tahoma"/>
            <family val="2"/>
          </rPr>
          <t xml:space="preserve">
</t>
        </r>
        <r>
          <rPr>
            <b/>
            <sz val="9"/>
            <color indexed="81"/>
            <rFont val="Tahoma"/>
            <family val="2"/>
          </rPr>
          <t xml:space="preserve">
Phí min: 300k/ lô hàng.</t>
        </r>
        <r>
          <rPr>
            <sz val="9"/>
            <color indexed="81"/>
            <rFont val="Tahoma"/>
            <family val="2"/>
          </rPr>
          <t xml:space="preserve">
Thanks and best regards,
NGUYEN THI KIM HUONG
IMEX &amp; DELIVERY DEPT  
</t>
        </r>
      </text>
    </comment>
    <comment ref="I165" authorId="6" shapeId="0" xr:uid="{00000000-0006-0000-2700-000018000000}">
      <text>
        <r>
          <rPr>
            <b/>
            <sz val="9"/>
            <color indexed="81"/>
            <rFont val="Tahoma"/>
            <family val="2"/>
          </rPr>
          <t>Pham Thi Hong Tham:</t>
        </r>
        <r>
          <rPr>
            <sz val="9"/>
            <color indexed="81"/>
            <rFont val="Tahoma"/>
            <family val="2"/>
          </rPr>
          <t xml:space="preserve">
From: Thanh Truc [mailto:truc.ntt@starprintvn.com] 
Sent: Friday, October 30, 2020 4:43 PM
To: 'Ngoc, Le Thanh' &lt;ngoc.lethanh@starprintvn.com&gt;; 'Hang, Nguyen Thi Thu' &lt;hang.nguyenthithu@starprintvn.com&gt;; 'Huynh, Pham Thuy Nhu' &lt;nhuhuynh@starprintvn.com&gt;; 'Ly Tam' &lt;lytam@starprintvn.com&gt;; 'Ngoc Trang' &lt;ngoctrang@starprintvn.com&gt;
Cc: tuyetnhu@starprintvn.com; EST@starprintvn.com; structure.inn@starprintvn.com; pur@starprintvn.com
Subject: RE: REQUEST_LI&amp;FUNG_LACOSTE RIGID BOX_30.20.2020
Hi Ngọc &amp; EST team, 
C báo mục 2 &amp; 3 trước, mục 1 &amp; 4 Tâm/C Trinh báo e sau nha
1. Double sided tissue tape (dán 4 góc của hộp): 4pcs/box kích thước 45 x 45mm, MOQ: 20K -40K-60K
 Xem giá &amp; packing list đính kèm lô hàng mới về nhé
</t>
        </r>
        <r>
          <rPr>
            <sz val="9"/>
            <color indexed="10"/>
            <rFont val="Tahoma"/>
            <family val="2"/>
          </rPr>
          <t> Gia công cắt như size Crayola là 150Kvnd/roll*10%vat</t>
        </r>
        <r>
          <rPr>
            <sz val="9"/>
            <color indexed="81"/>
            <rFont val="Tahoma"/>
            <family val="2"/>
          </rPr>
          <t xml:space="preserve">
</t>
        </r>
      </text>
    </comment>
    <comment ref="I167" authorId="6" shapeId="0" xr:uid="{00000000-0006-0000-2700-000019000000}">
      <text>
        <r>
          <rPr>
            <b/>
            <sz val="9"/>
            <color indexed="81"/>
            <rFont val="Tahoma"/>
            <family val="2"/>
          </rPr>
          <t>Pham Thi Hong Tham:</t>
        </r>
        <r>
          <rPr>
            <sz val="9"/>
            <color indexed="81"/>
            <rFont val="Tahoma"/>
            <family val="2"/>
          </rPr>
          <t xml:space="preserve">
Q6</t>
        </r>
      </text>
    </comment>
    <comment ref="H171" authorId="6" shapeId="0" xr:uid="{00000000-0006-0000-2700-00001A000000}">
      <text>
        <r>
          <rPr>
            <b/>
            <sz val="9"/>
            <color indexed="81"/>
            <rFont val="Tahoma"/>
            <family val="2"/>
          </rPr>
          <t>Pham Thi Hong Tham:</t>
        </r>
        <r>
          <rPr>
            <sz val="9"/>
            <color indexed="81"/>
            <rFont val="Tahoma"/>
            <family val="2"/>
          </rPr>
          <t xml:space="preserve">
Telegram c Trang Pur
10.14.22</t>
        </r>
      </text>
    </comment>
    <comment ref="C188" authorId="4" shapeId="0" xr:uid="{00000000-0006-0000-2700-00001B000000}">
      <text>
        <r>
          <rPr>
            <b/>
            <sz val="9"/>
            <color indexed="81"/>
            <rFont val="Tahoma"/>
            <family val="2"/>
          </rPr>
          <t>Pham Thuy Nhu Huynh:</t>
        </r>
        <r>
          <rPr>
            <sz val="9"/>
            <color indexed="81"/>
            <rFont val="Tahoma"/>
            <family val="2"/>
          </rPr>
          <t xml:space="preserve">
From: Kim Huong &lt;kimhuong@starprintvn.com&gt; 
Sent: Friday, April 22, 2022 3:00 PM
To: thanhthuan@starprintvn.com
Cc: 'Estimator' &lt;EST@starprintvn.com&gt;; truc.ntt@starprintvn.com
Subject: RE: CR- Rudis - Turbine
Hi Thuận,
Chị gửi em  nhé
Thuế nk: 0% Nam châm
Nếu  miếng thep ship riêng là thuế 12% em nhé</t>
        </r>
      </text>
    </comment>
    <comment ref="C195" authorId="4" shapeId="0" xr:uid="{00000000-0006-0000-2700-00001C000000}">
      <text>
        <r>
          <rPr>
            <b/>
            <sz val="9"/>
            <color indexed="81"/>
            <rFont val="Tahoma"/>
            <family val="2"/>
          </rPr>
          <t>Pham Thuy Nhu Huynh:</t>
        </r>
        <r>
          <rPr>
            <sz val="9"/>
            <color indexed="81"/>
            <rFont val="Tahoma"/>
            <family val="2"/>
          </rPr>
          <t xml:space="preserve">
From: Kim Huong &lt;kimhuong@starprintvn.com&gt; 
Sent: Friday, April 22, 2022 3:00 PM
To: thanhthuan@starprintvn.com
Cc: 'Estimator' &lt;EST@starprintvn.com&gt;; truc.ntt@starprintvn.com
Subject: RE: CR- Rudis - Turbine
Hi Thuận,
Chị gửi em  nhé
Thuế nk: 0% Nam châm
Nếu  miếng thep ship riêng là thuế 12% em nhé</t>
        </r>
      </text>
    </comment>
    <comment ref="C199" authorId="7" shapeId="0" xr:uid="{00000000-0006-0000-2700-00001D000000}">
      <text>
        <r>
          <rPr>
            <b/>
            <sz val="9"/>
            <color indexed="81"/>
            <rFont val="Tahoma"/>
            <family val="2"/>
          </rPr>
          <t>Nguyen Thi Hong Van:</t>
        </r>
        <r>
          <rPr>
            <sz val="9"/>
            <color indexed="81"/>
            <rFont val="Tahoma"/>
            <family val="2"/>
          </rPr>
          <t xml:space="preserve">
From: Anh Linh &lt;linh.buithianh@starprintvn.com&gt; 
Sent: Friday, April 22, 2022 11:50 AM
To: hongvan@starprintvn.com; 'Nguyen Thi Kim Huong' &lt;kimhuong@starprintvn.com&gt;
Cc: thanhvan@starprintvn.com; tuyetnhu@starprintvn.com; truc.ntt@starprintvn.com; linh.tranthithuy@starprintvn.com; 'Estimator' &lt;est@starprintvn.com&gt;; 'LOG Department' &lt;LOG@starprintvn.com&gt;
Subject: RE: Freight + EXW charge (LCL 1 – 5cbm) 
Hi c Vân
E gởi giá nhé!
usd 280+ usd 17/cbm + LCC HCM
From: Anh Linh &lt;linh.buithianh@starprintvn.com&gt; 
Sent: Monday, May 9, 2022 2:27 PM
To: hongvan@starprintvn.com; huong.nguyenthanh@starprintvn.com
Cc: tuyetnhu@starprintvn.com; 'Estimator' &lt;est@starprintvn.com&gt;; truc.ntt@starprintvn.com; linh.tranthithuy@starprintvn.com; 'PUR Department' &lt;PUR@starprintvn.com&gt;; 'LOG Department' &lt;LOG@starprintvn.com&gt;
Subject: RE: CR- Porter - Helen Kaminski - Collapsible hat box - 1-5-2022
Hi c Vân
E gởi giá nhé!
From 1-3 cbm:          $250 + $20 /cbm     + LCC HCM
From 3.1-5 cbm:       $310 + $20 /cbm     +  LCC HCM
From 5.1-8 cbm:       $360 + $20 /cbm     + LCC HCM
From 8.1-10 cbm:     $400 + $20 /cbm     +  LCC HCM
Thanks &amp; Best regards.
</t>
        </r>
      </text>
    </comment>
    <comment ref="C232" authorId="8" shapeId="0" xr:uid="{00000000-0006-0000-2700-00001E000000}">
      <text>
        <r>
          <rPr>
            <sz val="14"/>
            <rFont val="Cordia New"/>
            <family val="2"/>
          </rPr>
          <t>[Threaded comment]
Your version of Excel allows you to read this threaded comment; however, any edits to it will get removed if the file is opened in a newer version of Excel. Learn more: https://go.microsoft.com/fwlink/?linkid=870924
Comment:
    From: Huong, Nguyen Thi Kim &lt;kimhuong@starprintvn.com&gt; 
Sent: Tuesday, September 28, 2021 11:11 AM
To: 'Thuan, Dieu Thi Thanh' &lt;thanhthuan@starprintvn.com&gt;; thuthuy@starprintvn.com
Cc: 'Tran Thi Tuyet Nhu' &lt;tuyetnhu@starprintvn.com&gt;; 'Yen, Nguyen Thi Hoang' &lt;yen.nguyenthihoang@starprintvn.com&gt;; EST@starprintvn.com; truc.ntt@starprintvn.com
Subject: RE: Update giá_Konica Minolta_DOVEGEL AVOCADO 530G_24.09.2021
Hi Thuận,
Chị gửi nhé
Thuế nk: 12% em nhé</t>
        </r>
      </text>
    </comment>
    <comment ref="C235" authorId="7" shapeId="0" xr:uid="{00000000-0006-0000-2700-00001F000000}">
      <text>
        <r>
          <rPr>
            <sz val="9"/>
            <color indexed="81"/>
            <rFont val="Tahoma"/>
            <family val="2"/>
          </rPr>
          <t>From: Anh Linh &lt;linh.buithianh@starprintvn.com&gt; 
Sent: Thursday, April 21, 2022 4:15 PM
To: thanhthuan@starprintvn.com
Cc: 'Estimator' &lt;EST@starprintvn.com&gt;
Subject: RE: CR UK office - IQOS Bag
Hi Thuận!
Sorry L gõ thiếu! Hihi. Gởi lại ngheng!
From 1-5cbm: $250 + $20/cbm + LCC HCM
From 5.1-10 cbm: $310 + $20/cbm + LCC HCM
Thanks &amp; Best regards.</t>
        </r>
        <r>
          <rPr>
            <b/>
            <sz val="9"/>
            <color indexed="81"/>
            <rFont val="Tahoma"/>
            <family val="2"/>
          </rPr>
          <t xml:space="preserve">
Ánh Linh
IMEX &amp; DELIVERY
</t>
        </r>
        <r>
          <rPr>
            <sz val="9"/>
            <color indexed="81"/>
            <rFont val="Tahoma"/>
            <family val="2"/>
          </rPr>
          <t xml:space="preserve">
</t>
        </r>
      </text>
    </comment>
    <comment ref="E248" authorId="9" shapeId="0" xr:uid="{00000000-0006-0000-2700-000020000000}">
      <text>
        <r>
          <rPr>
            <b/>
            <sz val="9"/>
            <color indexed="81"/>
            <rFont val="Tahoma"/>
            <family val="2"/>
          </rPr>
          <t xml:space="preserve">From: Thuy Nguyen [mailto:thuthuy@starprintvn.com] 
Sent: Monday, October 12, 2020 5:09 PM
To: Linh, Nguyen Hoang Phuong &lt;phuonglinh@starprintvn.com&gt;
Cc: Kim Huong &lt;kimhuong@starprintvn.com&gt;; Nguyen Thi Huyen &lt;huyen.nguyenthi@starprintvn.com&gt;; est@starprintvn.com
Subject: Re: VAT for Local Charge
Yes Linh
Local charge inbound and outbound đều có VAT nhé
Theo như lúc này nói chuyện thì Local charge cho việc xuất và nhập hàng mình đều add VAT 10%.
</t>
        </r>
        <r>
          <rPr>
            <sz val="9"/>
            <color indexed="81"/>
            <rFont val="Tahoma"/>
            <family val="2"/>
          </rPr>
          <t xml:space="preserve">
</t>
        </r>
      </text>
    </comment>
    <comment ref="E252" authorId="6" shapeId="0" xr:uid="{00000000-0006-0000-2700-000021000000}">
      <text>
        <r>
          <rPr>
            <b/>
            <sz val="9"/>
            <color indexed="81"/>
            <rFont val="Tahoma"/>
            <family val="2"/>
          </rPr>
          <t>Pham Thi Hong Tham:</t>
        </r>
        <r>
          <rPr>
            <sz val="9"/>
            <color indexed="81"/>
            <rFont val="Tahoma"/>
            <family val="2"/>
          </rPr>
          <t xml:space="preserve">
giá cũ tạm up lên</t>
        </r>
      </text>
    </comment>
    <comment ref="C271" authorId="6" shapeId="0" xr:uid="{00000000-0006-0000-2700-000022000000}">
      <text>
        <r>
          <rPr>
            <b/>
            <sz val="9"/>
            <color indexed="81"/>
            <rFont val="Tahoma"/>
            <family val="2"/>
          </rPr>
          <t>Pham Thi Hong Tham:</t>
        </r>
        <r>
          <rPr>
            <sz val="9"/>
            <color indexed="81"/>
            <rFont val="Tahoma"/>
            <family val="2"/>
          </rPr>
          <t xml:space="preserve">
company car</t>
        </r>
      </text>
    </comment>
    <comment ref="C278" authorId="0" shapeId="0" xr:uid="{00000000-0006-0000-2700-000023000000}">
      <text>
        <r>
          <rPr>
            <sz val="10"/>
            <color indexed="81"/>
            <rFont val="Tahoma"/>
            <family val="2"/>
          </rPr>
          <t>add 20% for waste</t>
        </r>
      </text>
    </comment>
  </commentList>
</comments>
</file>

<file path=xl/sharedStrings.xml><?xml version="1.0" encoding="utf-8"?>
<sst xmlns="http://schemas.openxmlformats.org/spreadsheetml/2006/main" count="21240" uniqueCount="3977">
  <si>
    <t>Exchange Rate</t>
  </si>
  <si>
    <t>US$</t>
  </si>
  <si>
    <t>GBP</t>
  </si>
  <si>
    <t>EUR</t>
  </si>
  <si>
    <t>Buying</t>
  </si>
  <si>
    <t>Sheets</t>
  </si>
  <si>
    <t>MT</t>
  </si>
  <si>
    <t>W</t>
  </si>
  <si>
    <t>X</t>
  </si>
  <si>
    <t>L</t>
  </si>
  <si>
    <t>mm</t>
  </si>
  <si>
    <t>Copies</t>
  </si>
  <si>
    <t>Frames</t>
  </si>
  <si>
    <t>gsm</t>
  </si>
  <si>
    <t>Thickness</t>
  </si>
  <si>
    <t>x</t>
  </si>
  <si>
    <t>Spine</t>
  </si>
  <si>
    <t>Lay</t>
  </si>
  <si>
    <t>Width</t>
  </si>
  <si>
    <t>Length</t>
  </si>
  <si>
    <t>Set Up</t>
  </si>
  <si>
    <t>Total</t>
  </si>
  <si>
    <t>Pages Extent :</t>
  </si>
  <si>
    <t>Bulk thickness :</t>
  </si>
  <si>
    <t>Size of Book :</t>
  </si>
  <si>
    <t>Blocks</t>
  </si>
  <si>
    <t>Processing</t>
  </si>
  <si>
    <t>Unit/hr</t>
  </si>
  <si>
    <t>Trimming</t>
  </si>
  <si>
    <t>Diecutting</t>
  </si>
  <si>
    <t>columns</t>
  </si>
  <si>
    <t>copies</t>
  </si>
  <si>
    <t>HRs.</t>
  </si>
  <si>
    <t>PACK</t>
  </si>
  <si>
    <t>cps./ slip-case or display</t>
  </si>
  <si>
    <t>SIZE CARTON</t>
  </si>
  <si>
    <t>Lay out carton</t>
  </si>
  <si>
    <t>20'Container</t>
  </si>
  <si>
    <t>D</t>
  </si>
  <si>
    <t>40'Container</t>
  </si>
  <si>
    <t>Destinations</t>
  </si>
  <si>
    <t>LCL</t>
  </si>
  <si>
    <t>Qty :</t>
  </si>
  <si>
    <t>Total HRs.</t>
  </si>
  <si>
    <t>(Inc.Waste)</t>
  </si>
  <si>
    <t>Carton Costs</t>
  </si>
  <si>
    <t>Pallet Costs</t>
  </si>
  <si>
    <t>Kraft Paper</t>
  </si>
  <si>
    <t>Quantity</t>
  </si>
  <si>
    <t>20'Ctn</t>
  </si>
  <si>
    <t>40'Ctn</t>
  </si>
  <si>
    <t>Boxes</t>
  </si>
  <si>
    <t>Weight/Cartons (Kgs.):</t>
  </si>
  <si>
    <t>Weight/Pallet (Kgs.):</t>
  </si>
  <si>
    <t>CartonCbm. :</t>
  </si>
  <si>
    <t>Tot.W</t>
  </si>
  <si>
    <t>Tot.Cbm</t>
  </si>
  <si>
    <t>Pal.Cbm. :</t>
  </si>
  <si>
    <t>Export expenses</t>
  </si>
  <si>
    <t>(Tons)</t>
  </si>
  <si>
    <t>Total Expenses</t>
  </si>
  <si>
    <t>Transportation</t>
  </si>
  <si>
    <t>Selling</t>
  </si>
  <si>
    <t>(Import Mat)</t>
  </si>
  <si>
    <t>(Offer Price)</t>
  </si>
  <si>
    <t>Client :</t>
  </si>
  <si>
    <t>20' Con.</t>
  </si>
  <si>
    <t>40' Con.</t>
  </si>
  <si>
    <t>DW</t>
  </si>
  <si>
    <t>SW</t>
  </si>
  <si>
    <t>Cps.</t>
  </si>
  <si>
    <t>Printing sides</t>
  </si>
  <si>
    <t>Other</t>
  </si>
  <si>
    <t>Text</t>
  </si>
  <si>
    <t>Plies/Copy</t>
  </si>
  <si>
    <t>Interest</t>
  </si>
  <si>
    <t>T.T .</t>
  </si>
  <si>
    <t>Quantity to quote</t>
  </si>
  <si>
    <t>Waste</t>
  </si>
  <si>
    <t>STD.</t>
  </si>
  <si>
    <t>Qty:</t>
  </si>
  <si>
    <t>Pcs.</t>
  </si>
  <si>
    <t>Board</t>
  </si>
  <si>
    <t>Project :</t>
  </si>
  <si>
    <t>Materials</t>
  </si>
  <si>
    <t>Total cost</t>
  </si>
  <si>
    <t>K</t>
  </si>
  <si>
    <t>USD</t>
  </si>
  <si>
    <t>Sht</t>
  </si>
  <si>
    <t>KG</t>
  </si>
  <si>
    <t xml:space="preserve"> Materials</t>
  </si>
  <si>
    <t>kg/copy</t>
  </si>
  <si>
    <t>VND</t>
  </si>
  <si>
    <t>VND/Kg</t>
  </si>
  <si>
    <t>VND/Hr.</t>
  </si>
  <si>
    <t>Total (VND)</t>
  </si>
  <si>
    <t>VND/Plate</t>
  </si>
  <si>
    <t>VND/copy</t>
  </si>
  <si>
    <t>VND/Die</t>
  </si>
  <si>
    <t>VND/Cms Sqr</t>
  </si>
  <si>
    <t>BAHT</t>
  </si>
  <si>
    <t>Tape</t>
  </si>
  <si>
    <t>Clip</t>
  </si>
  <si>
    <t>Y</t>
  </si>
  <si>
    <t>rolls</t>
  </si>
  <si>
    <t>Kgs</t>
  </si>
  <si>
    <t>N</t>
  </si>
  <si>
    <t>Kraf Paper</t>
  </si>
  <si>
    <t>Copies(CDP-S/C)/Carton  :</t>
  </si>
  <si>
    <t>Cartons/Pallet     :</t>
  </si>
  <si>
    <t>Total Pallets    :</t>
  </si>
  <si>
    <t>Copies (Inc. Waste)</t>
  </si>
  <si>
    <t>VND/Pack</t>
  </si>
  <si>
    <t>% of standard</t>
  </si>
  <si>
    <t>Quantity:</t>
  </si>
  <si>
    <t>packs</t>
  </si>
  <si>
    <t>1.Labour Cost:</t>
  </si>
  <si>
    <t>2. Plastic Shrinkfilm:</t>
  </si>
  <si>
    <t>Lay :</t>
  </si>
  <si>
    <t>Total Labour Cost:</t>
  </si>
  <si>
    <t>Total Cost for Plastic Shrinkfilm:</t>
  </si>
  <si>
    <t>Extra Cost for Shrinkwrapping</t>
  </si>
  <si>
    <t>VND/PACK</t>
  </si>
  <si>
    <t>Tot.Packs.</t>
  </si>
  <si>
    <t>Total Cost</t>
  </si>
  <si>
    <t>Total:</t>
  </si>
  <si>
    <t>GSM</t>
  </si>
  <si>
    <t>None</t>
  </si>
  <si>
    <t>Attached Stickers</t>
  </si>
  <si>
    <t>Size of pack:</t>
  </si>
  <si>
    <t>Require/Copy</t>
  </si>
  <si>
    <t>VND/M Sqr.</t>
  </si>
  <si>
    <t>Flat size of carton:</t>
  </si>
  <si>
    <t>Single wall:</t>
  </si>
  <si>
    <t>Double wall:</t>
  </si>
  <si>
    <t xml:space="preserve"> </t>
  </si>
  <si>
    <t>Binding</t>
  </si>
  <si>
    <t>Silkscreen</t>
  </si>
  <si>
    <t>Back Cover</t>
  </si>
  <si>
    <t>Printing</t>
  </si>
  <si>
    <t>Finishing</t>
  </si>
  <si>
    <t>1.</t>
  </si>
  <si>
    <t>2.</t>
  </si>
  <si>
    <t>3.</t>
  </si>
  <si>
    <t>4.</t>
  </si>
  <si>
    <t>5.</t>
  </si>
  <si>
    <t>VND/Pc.</t>
  </si>
  <si>
    <t>Remark:</t>
  </si>
  <si>
    <t>Case cover</t>
  </si>
  <si>
    <t>Accessory</t>
  </si>
  <si>
    <t>reams</t>
  </si>
  <si>
    <t>Plate</t>
  </si>
  <si>
    <t>Cover</t>
  </si>
  <si>
    <t>VND/Sq. mm</t>
  </si>
  <si>
    <t>Kgs/Sq. mm/color</t>
  </si>
  <si>
    <t>Pallets</t>
  </si>
  <si>
    <t>VAT</t>
  </si>
  <si>
    <t>CM</t>
  </si>
  <si>
    <t>Hotstamping</t>
  </si>
  <si>
    <t>Folding &amp; Glueing</t>
  </si>
  <si>
    <t>Workers</t>
  </si>
  <si>
    <t>Copies/Pack</t>
  </si>
  <si>
    <t>Cartons</t>
  </si>
  <si>
    <t>Embossing</t>
  </si>
  <si>
    <t>Packing</t>
  </si>
  <si>
    <t>STD</t>
  </si>
  <si>
    <t>Tol. Sheets</t>
  </si>
  <si>
    <t>Men</t>
  </si>
  <si>
    <t>Thai</t>
  </si>
  <si>
    <t>VN</t>
  </si>
  <si>
    <t>Tol. Hours</t>
  </si>
  <si>
    <t>TK Coating</t>
  </si>
  <si>
    <t>OPP lamination</t>
  </si>
  <si>
    <t>Decoration</t>
  </si>
  <si>
    <t>E-Flute</t>
  </si>
  <si>
    <t>Pieces</t>
  </si>
  <si>
    <t>Pallet Size (cm)</t>
  </si>
  <si>
    <t>TOTAL</t>
  </si>
  <si>
    <t>Selling price</t>
  </si>
  <si>
    <t>Job</t>
  </si>
  <si>
    <t>Qty.</t>
  </si>
  <si>
    <t>Unit</t>
  </si>
  <si>
    <t>VND /Copy</t>
  </si>
  <si>
    <t>Size</t>
  </si>
  <si>
    <t>Total labour cost</t>
  </si>
  <si>
    <t>Cutting</t>
  </si>
  <si>
    <t>CBM</t>
  </si>
  <si>
    <t>Plastic rope</t>
  </si>
  <si>
    <t>PE Film</t>
  </si>
  <si>
    <t>*</t>
  </si>
  <si>
    <t>sheets</t>
  </si>
  <si>
    <t>Spreads</t>
  </si>
  <si>
    <t>Die-cutting (Semi-auto)</t>
  </si>
  <si>
    <t>Die-cutting (Nikko)</t>
  </si>
  <si>
    <t>Mould</t>
  </si>
  <si>
    <t>Pulling</t>
  </si>
  <si>
    <t>VND/Hr</t>
  </si>
  <si>
    <t>Cutting paper</t>
  </si>
  <si>
    <t>Silkscreen binding</t>
  </si>
  <si>
    <t>Folding &amp; Glueing (side-joint)</t>
  </si>
  <si>
    <t>Accessories clearance</t>
  </si>
  <si>
    <t>VND/CBM</t>
  </si>
  <si>
    <t>Import</t>
  </si>
  <si>
    <t>Indonesia</t>
  </si>
  <si>
    <t>Import tax</t>
  </si>
  <si>
    <t>Insurance</t>
  </si>
  <si>
    <t>m2</t>
  </si>
  <si>
    <t>Glueing Pops</t>
  </si>
  <si>
    <t>Kg/</t>
  </si>
  <si>
    <t>Oversea Client</t>
  </si>
  <si>
    <t>Domestic Client</t>
  </si>
  <si>
    <t>Total cost (VND)</t>
  </si>
  <si>
    <t>W (mm)</t>
  </si>
  <si>
    <t>Ink</t>
  </si>
  <si>
    <t>Total sheets</t>
  </si>
  <si>
    <t>Glue</t>
  </si>
  <si>
    <t>100 x 120cm</t>
  </si>
  <si>
    <t>Book Area</t>
  </si>
  <si>
    <t>Sewing YOKS</t>
  </si>
  <si>
    <t>Laminating paper</t>
  </si>
  <si>
    <t>Cutting Include 2 round corners &amp; punch shapes</t>
  </si>
  <si>
    <t>Taiwan</t>
  </si>
  <si>
    <t>UV Coating-KYU 6B</t>
  </si>
  <si>
    <t>Spot UV - Rollan</t>
  </si>
  <si>
    <t>Attached liner</t>
  </si>
  <si>
    <t>Slit OPP</t>
  </si>
  <si>
    <t>Others</t>
  </si>
  <si>
    <t>Casing in - Pop Up</t>
  </si>
  <si>
    <t>Casing in - Board Book</t>
  </si>
  <si>
    <t>Casing in - Concertina Pop Up</t>
  </si>
  <si>
    <t>Metalize</t>
  </si>
  <si>
    <t>L   (mm)</t>
  </si>
  <si>
    <t>Total VND</t>
  </si>
  <si>
    <t>VND/Pcs.</t>
  </si>
  <si>
    <t>Chemicals</t>
  </si>
  <si>
    <t>Supplier</t>
  </si>
  <si>
    <t>VND/Kg (Exc. VAT)</t>
  </si>
  <si>
    <t>Consumption</t>
  </si>
  <si>
    <t>T.T</t>
  </si>
  <si>
    <t>Total men</t>
  </si>
  <si>
    <t>Labour cost (VND/Hr.)</t>
  </si>
  <si>
    <t xml:space="preserve">Thai </t>
  </si>
  <si>
    <t>No. of color change</t>
  </si>
  <si>
    <t>Total frame(s)</t>
  </si>
  <si>
    <t>Actual size of paper (mm)</t>
  </si>
  <si>
    <t>Price (VND/pc)</t>
  </si>
  <si>
    <t>Total cost/color (VND)</t>
  </si>
  <si>
    <t>Actual color change</t>
  </si>
  <si>
    <t>Actual cost</t>
  </si>
  <si>
    <t>Transportation cost</t>
  </si>
  <si>
    <t xml:space="preserve">Offered cost </t>
  </si>
  <si>
    <t>LANGUAGE PLATE CHANGE COST :</t>
  </si>
  <si>
    <t>Die-cutting (Shungfa)</t>
  </si>
  <si>
    <t>Quoted on :</t>
  </si>
  <si>
    <t>Silkcreen printing (glittering, spot UV on OPP, sand UV…)</t>
  </si>
  <si>
    <t>TIB</t>
  </si>
  <si>
    <t>Sample cutting MC</t>
  </si>
  <si>
    <t>Out-source</t>
  </si>
  <si>
    <t>Hrs./plate</t>
  </si>
  <si>
    <t>Packing details</t>
  </si>
  <si>
    <t>Weight</t>
  </si>
  <si>
    <t>Wrapping square corners by hand</t>
  </si>
  <si>
    <t>Wrapping rounded corners by hand</t>
  </si>
  <si>
    <t>80 x 80</t>
  </si>
  <si>
    <t>Type/Size of book (mm)</t>
  </si>
  <si>
    <t>Bank interest</t>
  </si>
  <si>
    <t>Sorting</t>
  </si>
  <si>
    <t>Mark up</t>
  </si>
  <si>
    <t>Advance copy</t>
  </si>
  <si>
    <t>Courier charge for advance copies</t>
  </si>
  <si>
    <t>Courier charge for ozalid</t>
  </si>
  <si>
    <t>USD/Order</t>
  </si>
  <si>
    <t>USA</t>
  </si>
  <si>
    <t>Germany</t>
  </si>
  <si>
    <t>Working Processes</t>
  </si>
  <si>
    <t>VND/MT</t>
  </si>
  <si>
    <t>Glue foam+case</t>
  </si>
  <si>
    <t>3. Labor cost :</t>
  </si>
  <si>
    <t>Forwarding (inc. THC)</t>
  </si>
  <si>
    <t>Trong luong chuan/1 cuon</t>
  </si>
  <si>
    <t>Quy cach mang (mm)</t>
  </si>
  <si>
    <t>Sz of POF film (actual) :</t>
  </si>
  <si>
    <t>Sz of POF film (required) :</t>
  </si>
  <si>
    <t>Sz of POF film (STD roll) :</t>
  </si>
  <si>
    <t>kgs/roll</t>
  </si>
  <si>
    <t>pcs/kg</t>
  </si>
  <si>
    <t>Required :</t>
  </si>
  <si>
    <t>pcs</t>
  </si>
  <si>
    <t>kgs</t>
  </si>
  <si>
    <t>POF Shrinkfilm</t>
  </si>
  <si>
    <t>VND/kg</t>
  </si>
  <si>
    <t>H</t>
  </si>
  <si>
    <t>Thailand</t>
  </si>
  <si>
    <t>New Zealand</t>
  </si>
  <si>
    <t>Singapore</t>
  </si>
  <si>
    <t>India</t>
  </si>
  <si>
    <t>Australia</t>
  </si>
  <si>
    <t>Canada</t>
  </si>
  <si>
    <t>Switzerland</t>
  </si>
  <si>
    <t>Malaysia</t>
  </si>
  <si>
    <t>Sri Lanka</t>
  </si>
  <si>
    <t>Sweden</t>
  </si>
  <si>
    <t>China</t>
  </si>
  <si>
    <t>UAE</t>
  </si>
  <si>
    <t>Netherlands</t>
  </si>
  <si>
    <t>Belgium</t>
  </si>
  <si>
    <t>Poland</t>
  </si>
  <si>
    <t>Norway</t>
  </si>
  <si>
    <t>Saudi Arabia</t>
  </si>
  <si>
    <t>Document Express</t>
  </si>
  <si>
    <t>Output film (for hotstamp, embossing, silkcreen glitter, UV…)</t>
  </si>
  <si>
    <t>Custom fee</t>
  </si>
  <si>
    <t>C/O</t>
  </si>
  <si>
    <t>Laminating foam + CB</t>
  </si>
  <si>
    <t>Arranging + Wire stitching</t>
  </si>
  <si>
    <t>Picking</t>
  </si>
  <si>
    <t>Machine</t>
  </si>
  <si>
    <t>/PACK</t>
  </si>
  <si>
    <t>VND/hr (Viet labor)</t>
  </si>
  <si>
    <t>VND/hr 
(Thai labor)</t>
  </si>
  <si>
    <t>Man
(VN labor)</t>
  </si>
  <si>
    <t>Man
(Thai labor)</t>
  </si>
  <si>
    <t>Check by :</t>
  </si>
  <si>
    <t>WASTE &amp; SET UP</t>
  </si>
  <si>
    <t>OVER ORDER QUANTITY</t>
  </si>
  <si>
    <t>PROJECT</t>
  </si>
  <si>
    <t>ESTIMATE</t>
  </si>
  <si>
    <t>PURCHASE ORDER</t>
  </si>
  <si>
    <t>Estimate</t>
  </si>
  <si>
    <t>Planning</t>
  </si>
  <si>
    <t>MATERIAL</t>
  </si>
  <si>
    <t>PAPER SIZE</t>
  </si>
  <si>
    <t xml:space="preserve">TOTAL </t>
  </si>
  <si>
    <t>VND/TON</t>
  </si>
  <si>
    <t>VND /</t>
  </si>
  <si>
    <t xml:space="preserve"> REQUEST SIZE</t>
  </si>
  <si>
    <t>ORDER SIZE</t>
  </si>
  <si>
    <t>Waste
(%)</t>
  </si>
  <si>
    <t>Set up 
(shts)</t>
  </si>
  <si>
    <t xml:space="preserve">Waste+Set up
(%) </t>
  </si>
  <si>
    <t>Paper size</t>
  </si>
  <si>
    <t>Unit
Price</t>
  </si>
  <si>
    <t>COPIES</t>
  </si>
  <si>
    <t>REAMS</t>
  </si>
  <si>
    <t>Inc. VAT</t>
  </si>
  <si>
    <t>COPY</t>
  </si>
  <si>
    <t>REAM</t>
  </si>
  <si>
    <t>PREPARED</t>
  </si>
  <si>
    <t>APPROVED</t>
  </si>
  <si>
    <t>Board of Directors</t>
  </si>
  <si>
    <t>Estimator</t>
  </si>
  <si>
    <t>PR No.</t>
  </si>
  <si>
    <t>PO No.</t>
  </si>
  <si>
    <t>Production Cost</t>
  </si>
  <si>
    <t>PAPER</t>
  </si>
  <si>
    <t>Selling 
CM</t>
  </si>
  <si>
    <t>Actual 
CM</t>
  </si>
  <si>
    <t xml:space="preserve">Transportation 
&amp; Cutting Fee </t>
  </si>
  <si>
    <t>TOTAL DIFFERENCE (VND)</t>
  </si>
  <si>
    <t>DIFFERENCE (Est-Pur)
VND/COPY</t>
  </si>
  <si>
    <t>TONS</t>
  </si>
  <si>
    <t>Remark</t>
  </si>
  <si>
    <t>Die-cutting (Bobst)</t>
  </si>
  <si>
    <t>kg/pallet</t>
  </si>
  <si>
    <t>Size pallet</t>
  </si>
  <si>
    <t>80 x 120cm</t>
  </si>
  <si>
    <t>USD/kg</t>
  </si>
  <si>
    <t>Unit price :</t>
  </si>
  <si>
    <t>STD for machine</t>
  </si>
  <si>
    <t>Title</t>
  </si>
  <si>
    <t>Quotation No. :</t>
  </si>
  <si>
    <t>Date :</t>
  </si>
  <si>
    <t>P.O No. :</t>
  </si>
  <si>
    <t>Items</t>
  </si>
  <si>
    <t>US</t>
  </si>
  <si>
    <t>UK</t>
  </si>
  <si>
    <t>France</t>
  </si>
  <si>
    <t>Remarks</t>
  </si>
  <si>
    <t>Zone</t>
  </si>
  <si>
    <t>Courier charge for Dummies</t>
  </si>
  <si>
    <t>Q'ty (copies)</t>
  </si>
  <si>
    <t>Dummies</t>
  </si>
  <si>
    <t>Total cost (USD)</t>
  </si>
  <si>
    <t>Ozalids</t>
  </si>
  <si>
    <t>Running sheets</t>
  </si>
  <si>
    <t>F &amp; G's</t>
  </si>
  <si>
    <t>Offer price(USD)</t>
  </si>
  <si>
    <t>Verification samples</t>
  </si>
  <si>
    <t>Advances - main edition</t>
  </si>
  <si>
    <t>Courier charge for Running sheets</t>
  </si>
  <si>
    <t>Courier charge for  F &amp; G's</t>
  </si>
  <si>
    <t>Courier charge for Verification samples</t>
  </si>
  <si>
    <t>Courier charge for Advances - main edition</t>
  </si>
  <si>
    <t>There will be extra charges for any samples exceeding the above</t>
  </si>
  <si>
    <t>Afghanistan</t>
  </si>
  <si>
    <t>Albania</t>
  </si>
  <si>
    <t>Angola</t>
  </si>
  <si>
    <t>Argentina</t>
  </si>
  <si>
    <t>Austria</t>
  </si>
  <si>
    <t>Brazil</t>
  </si>
  <si>
    <t>Brunei</t>
  </si>
  <si>
    <t>Bulgaria</t>
  </si>
  <si>
    <t>Chile</t>
  </si>
  <si>
    <t>Colombia</t>
  </si>
  <si>
    <t>Czech</t>
  </si>
  <si>
    <t>Denmark</t>
  </si>
  <si>
    <t>Egypt</t>
  </si>
  <si>
    <t>Finland</t>
  </si>
  <si>
    <t>Ghana</t>
  </si>
  <si>
    <t>Greece</t>
  </si>
  <si>
    <t>Hong Kong</t>
  </si>
  <si>
    <t>Hungary</t>
  </si>
  <si>
    <t>Iceland</t>
  </si>
  <si>
    <t>Iran</t>
  </si>
  <si>
    <t>Ireland</t>
  </si>
  <si>
    <t>Israel</t>
  </si>
  <si>
    <t>Italy</t>
  </si>
  <si>
    <t>Japan</t>
  </si>
  <si>
    <t>Jordan</t>
  </si>
  <si>
    <t>Korea, South</t>
  </si>
  <si>
    <t>Kuwait</t>
  </si>
  <si>
    <t>Lebanon</t>
  </si>
  <si>
    <t>Libya</t>
  </si>
  <si>
    <t>Mexico</t>
  </si>
  <si>
    <t>Myanmar</t>
  </si>
  <si>
    <t>Philippines</t>
  </si>
  <si>
    <t>Portugal</t>
  </si>
  <si>
    <t>Romania</t>
  </si>
  <si>
    <t>South Africa</t>
  </si>
  <si>
    <t>Spain</t>
  </si>
  <si>
    <t>Turkey</t>
  </si>
  <si>
    <t>Ukraine</t>
  </si>
  <si>
    <t>Venezuela</t>
  </si>
  <si>
    <t>T</t>
  </si>
  <si>
    <t>Waste :</t>
  </si>
  <si>
    <t>S1</t>
  </si>
  <si>
    <t>S2</t>
  </si>
  <si>
    <t>T1</t>
  </si>
  <si>
    <t>T2</t>
  </si>
  <si>
    <t>shts</t>
  </si>
  <si>
    <t>lines/sht</t>
  </si>
  <si>
    <t>times/shts</t>
  </si>
  <si>
    <t>frame</t>
  </si>
  <si>
    <t>SIZE OF FOIL/LINE</t>
  </si>
  <si>
    <t>SIZE OF ROLL</t>
  </si>
  <si>
    <t>Price</t>
  </si>
  <si>
    <t>vnd/roll</t>
  </si>
  <si>
    <t>SIZE FOR HOTSTAMPING</t>
  </si>
  <si>
    <t>Small rolls
/ STD Roll</t>
  </si>
  <si>
    <t>Pieces/
small roll</t>
  </si>
  <si>
    <t>Tol. small rolls/color</t>
  </si>
  <si>
    <t>Total big rolls/color</t>
  </si>
  <si>
    <t>Total price (VND)</t>
  </si>
  <si>
    <t>VND/COPY</t>
  </si>
  <si>
    <t>Cost for foil block</t>
  </si>
  <si>
    <t>Sz foil</t>
  </si>
  <si>
    <t>Labor cost for hot foil:</t>
  </si>
  <si>
    <t>Process</t>
  </si>
  <si>
    <t>Material cost :</t>
  </si>
  <si>
    <t>Mark up:</t>
  </si>
  <si>
    <t>Labour cost:</t>
  </si>
  <si>
    <t>Block:</t>
  </si>
  <si>
    <t>Offer price:</t>
  </si>
  <si>
    <t>FRAMES IN TOTAL</t>
  </si>
  <si>
    <t>Size Glittering on front cover</t>
  </si>
  <si>
    <t>kgs/m2</t>
  </si>
  <si>
    <t xml:space="preserve">Glittering </t>
  </si>
  <si>
    <t>Total (copies)</t>
  </si>
  <si>
    <t>Area (m2)
/(copy)</t>
  </si>
  <si>
    <t>Total area (m2)</t>
  </si>
  <si>
    <t>Total cost of UV Crystal (VND)</t>
  </si>
  <si>
    <t>Total cost of Glitter (VND)</t>
  </si>
  <si>
    <t>(check with chi Thuy)</t>
  </si>
  <si>
    <t>Mould - Spot UV on Matt OPP - Cover</t>
  </si>
  <si>
    <t>Change Silk sheet</t>
  </si>
  <si>
    <t>Output film (glittering)</t>
  </si>
  <si>
    <t>Labor cost for spot UV:</t>
  </si>
  <si>
    <t>Silkcreen printing (Glittering)</t>
  </si>
  <si>
    <t>Material cost:</t>
  </si>
  <si>
    <t>HOTSTAMPING</t>
  </si>
  <si>
    <t xml:space="preserve">GLITTERING </t>
  </si>
  <si>
    <t>Labor cost for Glittering:</t>
  </si>
  <si>
    <t>Size:</t>
  </si>
  <si>
    <t>coverage</t>
  </si>
  <si>
    <t>Total area :</t>
  </si>
  <si>
    <t>STD:</t>
  </si>
  <si>
    <t>kg</t>
  </si>
  <si>
    <t>UV662 - 5A</t>
  </si>
  <si>
    <t>kg/m2</t>
  </si>
  <si>
    <t>Unit cost per copy :</t>
  </si>
  <si>
    <t>Output film (spot uv)</t>
  </si>
  <si>
    <t>Silkcreen printing (spot UV on OPP)</t>
  </si>
  <si>
    <t xml:space="preserve">SPOT UV </t>
  </si>
  <si>
    <t>Shrinkwraped per copies</t>
  </si>
  <si>
    <t>WASTE APPROVAL FOR PAPER</t>
  </si>
  <si>
    <t>Laminated</t>
  </si>
  <si>
    <t>Glitterring 50% on Cover - TR006-Rainbow light white 0.2mm</t>
  </si>
  <si>
    <t xml:space="preserve">Price </t>
  </si>
  <si>
    <t>Exwork China</t>
  </si>
  <si>
    <t>Pack</t>
  </si>
  <si>
    <t>kgs/carton</t>
  </si>
  <si>
    <t>GW of carton</t>
  </si>
  <si>
    <t>Exwork cost :</t>
  </si>
  <si>
    <t>Testing fee</t>
  </si>
  <si>
    <t xml:space="preserve">Total cost </t>
  </si>
  <si>
    <t>STT</t>
  </si>
  <si>
    <t>SỐ LỚP</t>
  </si>
  <si>
    <t>Spec</t>
  </si>
  <si>
    <t>Công thức</t>
  </si>
  <si>
    <t>Giá m2</t>
  </si>
  <si>
    <t>Note</t>
  </si>
  <si>
    <t>Thùng 3 lớp</t>
  </si>
  <si>
    <t>150/125/100/150/150</t>
  </si>
  <si>
    <t>Thùng 5 lớp</t>
  </si>
  <si>
    <t>Printing - Mitsu</t>
  </si>
  <si>
    <t>Printing - KBA</t>
  </si>
  <si>
    <t>Price:</t>
  </si>
  <si>
    <t>words/vase</t>
  </si>
  <si>
    <t>words/copy</t>
  </si>
  <si>
    <t>words</t>
  </si>
  <si>
    <t>Carton</t>
  </si>
  <si>
    <t>vases</t>
  </si>
  <si>
    <t>CRAYOLA ONLY (SUPPLIER : Yuen Foong Yu)</t>
  </si>
  <si>
    <t>Section sewn</t>
  </si>
  <si>
    <t>pcs/copy</t>
  </si>
  <si>
    <t>Print date code on carton</t>
  </si>
  <si>
    <t>Print date code on book</t>
  </si>
  <si>
    <t>Wire stitching + cut actual sz (max 1 cover + 4 section text)</t>
  </si>
  <si>
    <t>Ctn sz.:</t>
  </si>
  <si>
    <t>Request</t>
  </si>
  <si>
    <t>Packing:</t>
  </si>
  <si>
    <t>pcs/ctn</t>
  </si>
  <si>
    <t>cbm/ctn</t>
  </si>
  <si>
    <t>Request:</t>
  </si>
  <si>
    <t>cartons</t>
  </si>
  <si>
    <t>Cbm</t>
  </si>
  <si>
    <t>Freight :</t>
  </si>
  <si>
    <t>Insurance:</t>
  </si>
  <si>
    <t>Local charge:</t>
  </si>
  <si>
    <t>THC:</t>
  </si>
  <si>
    <t>USD/cbm</t>
  </si>
  <si>
    <t>D/O + handling fee:</t>
  </si>
  <si>
    <t>USD/shp</t>
  </si>
  <si>
    <t xml:space="preserve">CIC </t>
  </si>
  <si>
    <t>CFS fee:</t>
  </si>
  <si>
    <t>EBS</t>
  </si>
  <si>
    <t>Unit cost:</t>
  </si>
  <si>
    <t>USD/pcs</t>
  </si>
  <si>
    <t>FOB……</t>
  </si>
  <si>
    <t>FCL</t>
  </si>
  <si>
    <t>USD/Cbm</t>
  </si>
  <si>
    <t>USD/Cont</t>
  </si>
  <si>
    <t>20'</t>
  </si>
  <si>
    <t>40'</t>
  </si>
  <si>
    <t>USD/cont</t>
  </si>
  <si>
    <t>THC + CIC</t>
  </si>
  <si>
    <t>Customs fee</t>
  </si>
  <si>
    <t>Cleaning fee</t>
  </si>
  <si>
    <t>Phi thanh ly thue</t>
  </si>
  <si>
    <t>Die-cutting (NIKKO 1050FH)</t>
  </si>
  <si>
    <t>Printing - Komori L640</t>
  </si>
  <si>
    <t>USD/pcs (EWX HUT VN)</t>
  </si>
  <si>
    <t>kg/ctn</t>
  </si>
  <si>
    <t>Tons</t>
  </si>
  <si>
    <t>Delivery :</t>
  </si>
  <si>
    <t>1.8T</t>
  </si>
  <si>
    <t>Total :</t>
  </si>
  <si>
    <t>Unit price:</t>
  </si>
  <si>
    <t>Phi thanh ly thue hang xuat</t>
  </si>
  <si>
    <t>Customs &amp; trucking</t>
  </si>
  <si>
    <t>Xuat xu</t>
  </si>
  <si>
    <t>Packing (pcs/ctn)</t>
  </si>
  <si>
    <t>Gross Weight (Kg)</t>
  </si>
  <si>
    <t>Crayon</t>
  </si>
  <si>
    <t>Skinnies Marker</t>
  </si>
  <si>
    <t>58PSFL5….</t>
  </si>
  <si>
    <t>THIEN LONG</t>
  </si>
  <si>
    <t>58PSFL2….</t>
  </si>
  <si>
    <t>CHINA</t>
  </si>
  <si>
    <t>58PSFLB…. (Black BBL)</t>
  </si>
  <si>
    <t>Super Tips</t>
  </si>
  <si>
    <t>5890503….</t>
  </si>
  <si>
    <t>589050B….(Black BBL)</t>
  </si>
  <si>
    <t>Short pencil</t>
  </si>
  <si>
    <t>Faber Brazil</t>
  </si>
  <si>
    <t>Long pencil</t>
  </si>
  <si>
    <t>Twistable pencil</t>
  </si>
  <si>
    <t>Twistable Crayon</t>
  </si>
  <si>
    <t>Sharpenner</t>
  </si>
  <si>
    <t xml:space="preserve">Fineline Marker </t>
  </si>
  <si>
    <t>new, vua dat hang, tam tinh</t>
  </si>
  <si>
    <t>Pick up cost :</t>
  </si>
  <si>
    <t>GLUE</t>
  </si>
  <si>
    <t>OTHERS</t>
  </si>
  <si>
    <t>No.</t>
  </si>
  <si>
    <t>Paper
(CIF + Im Tax)</t>
  </si>
  <si>
    <t>Paper
Extra fees</t>
  </si>
  <si>
    <t>Primer</t>
  </si>
  <si>
    <t>Labour</t>
  </si>
  <si>
    <t>Folding BOS-04 - 1 time</t>
  </si>
  <si>
    <t>Folding BOS-04 - 2 times</t>
  </si>
  <si>
    <t>Folding BOS-04 - 3 times</t>
  </si>
  <si>
    <t>Wire stitching (no arrange)  + cut 3 sides</t>
  </si>
  <si>
    <t>Perfect binding - big machine</t>
  </si>
  <si>
    <t>Perfect binding - small machine</t>
  </si>
  <si>
    <t>Printing sz</t>
  </si>
  <si>
    <t>Toyo Ink</t>
  </si>
  <si>
    <t>leaves</t>
  </si>
  <si>
    <t>1st</t>
  </si>
  <si>
    <t>2nd</t>
  </si>
  <si>
    <t>Butterfly MC</t>
  </si>
  <si>
    <t>Binding front cover &amp; text - Old Process</t>
  </si>
  <si>
    <t>Binding back cover &amp; text - Old Process</t>
  </si>
  <si>
    <t>Folding text - New Process</t>
  </si>
  <si>
    <t>Arrang text - New Process</t>
  </si>
  <si>
    <t>Gluing text - New Process</t>
  </si>
  <si>
    <t>Glue Text + Cover - New Process</t>
  </si>
  <si>
    <t>Wrapping square corners with foam</t>
  </si>
  <si>
    <t>Wrapping round corners with foam</t>
  </si>
  <si>
    <t>Wrapping square corners and window with foam</t>
  </si>
  <si>
    <t>Wrapping round corners and window with foam</t>
  </si>
  <si>
    <t>&lt; 200 x 300</t>
  </si>
  <si>
    <t>&gt; 200 x 300</t>
  </si>
  <si>
    <t>120 x 120</t>
  </si>
  <si>
    <t>160 x 160</t>
  </si>
  <si>
    <t>200 x 200</t>
  </si>
  <si>
    <t>250 x 250</t>
  </si>
  <si>
    <t>300 x 300</t>
  </si>
  <si>
    <t>Cut to size</t>
  </si>
  <si>
    <t>Cut 3 size</t>
  </si>
  <si>
    <t>2 Round Conner</t>
  </si>
  <si>
    <t>Punch Shape</t>
  </si>
  <si>
    <t>Size of copies:</t>
  </si>
  <si>
    <t>4.8T</t>
  </si>
  <si>
    <t>Custom fee + Phi Thanh ly Thue :</t>
  </si>
  <si>
    <t>EMBOSSING</t>
  </si>
  <si>
    <t>SIZE OF EMBOSS</t>
  </si>
  <si>
    <t>MITSUBISHI</t>
  </si>
  <si>
    <t xml:space="preserve">KBA </t>
  </si>
  <si>
    <t>Spacers</t>
  </si>
  <si>
    <t>Wrapping round corners and window w/o foam</t>
  </si>
  <si>
    <t>Wrapping square corners and window w/o foam</t>
  </si>
  <si>
    <t>Wrapping round corners w/o foam</t>
  </si>
  <si>
    <t>Wrapping square corners w/o foam</t>
  </si>
  <si>
    <t xml:space="preserve">Paper 120 - 220gsm </t>
  </si>
  <si>
    <t>KBA</t>
  </si>
  <si>
    <t>Paper 220 - 350gsm</t>
  </si>
  <si>
    <t>Paper 400 - 500 gsm</t>
  </si>
  <si>
    <t>&lt; 200 x 200</t>
  </si>
  <si>
    <t>Local</t>
  </si>
  <si>
    <t>LOCAL SUPPLIER 
VND/MT in SHEETS</t>
  </si>
  <si>
    <t>UV 5131 - Metalize</t>
  </si>
  <si>
    <t>Glue Hotmelt (Cay) 1152</t>
  </si>
  <si>
    <t>Kolbus laminated</t>
  </si>
  <si>
    <t>Case in BB Cover</t>
  </si>
  <si>
    <t>Binding BB</t>
  </si>
  <si>
    <t>Over 30kgs</t>
  </si>
  <si>
    <t>Zone 1</t>
  </si>
  <si>
    <t>Zone 2</t>
  </si>
  <si>
    <t>Zone 3</t>
  </si>
  <si>
    <t>Zone 4</t>
  </si>
  <si>
    <t>Zone 5</t>
  </si>
  <si>
    <t>Zone 6</t>
  </si>
  <si>
    <t>Zone 7</t>
  </si>
  <si>
    <t>Zone 8</t>
  </si>
  <si>
    <t>Zone 9</t>
  </si>
  <si>
    <t>Zone 10</t>
  </si>
  <si>
    <t>Weight per copy</t>
  </si>
  <si>
    <t>Multiplier rate per 1KG from 30.1Kgs</t>
  </si>
  <si>
    <t>Cost for block</t>
  </si>
  <si>
    <t>Sz Embossed</t>
  </si>
  <si>
    <t>Labor cost:</t>
  </si>
  <si>
    <t>Inside ctn</t>
  </si>
  <si>
    <t>1. Set up paper:</t>
  </si>
  <si>
    <t>2. Plate:</t>
  </si>
  <si>
    <t>FUEL SURCHARGE :</t>
  </si>
  <si>
    <t>SALDANA</t>
  </si>
  <si>
    <t xml:space="preserve">Fumigation fee </t>
  </si>
  <si>
    <t>Telex release</t>
  </si>
  <si>
    <t>20'CON</t>
  </si>
  <si>
    <t>40'CON</t>
  </si>
  <si>
    <t>6T</t>
  </si>
  <si>
    <t>8T</t>
  </si>
  <si>
    <t>15T</t>
  </si>
  <si>
    <t>NO</t>
  </si>
  <si>
    <t>KIND</t>
  </si>
  <si>
    <t>GRADE/ SUBSTANCES (GSM)</t>
  </si>
  <si>
    <t>MILL</t>
  </si>
  <si>
    <t>LOCATION</t>
  </si>
  <si>
    <t>DTD price in VND
(Not Inculde VAT)</t>
  </si>
  <si>
    <t>Delivery</t>
  </si>
  <si>
    <t>Total
(VND/KG)</t>
  </si>
  <si>
    <t>F-Flute</t>
  </si>
  <si>
    <t>LAY OUT</t>
  </si>
  <si>
    <t>WHITE TOP</t>
  </si>
  <si>
    <t>Di An - Binh Duong</t>
  </si>
  <si>
    <t>Under 15MT, exclude transportation</t>
  </si>
  <si>
    <t>B-Flute</t>
  </si>
  <si>
    <t>Actual sz Flute</t>
  </si>
  <si>
    <t>TEST LINER</t>
  </si>
  <si>
    <t>Sz SPV using</t>
  </si>
  <si>
    <t>Item</t>
  </si>
  <si>
    <t>Actual required</t>
  </si>
  <si>
    <t>Actual using</t>
  </si>
  <si>
    <t>Total cost (VND/hour)</t>
  </si>
  <si>
    <t>Unit cost (VND/m2)</t>
  </si>
  <si>
    <t>Ratio</t>
  </si>
  <si>
    <t>Layer 1</t>
  </si>
  <si>
    <t>Test liner</t>
  </si>
  <si>
    <t>m2/hr</t>
  </si>
  <si>
    <t>Ben Cat-Binh Duong</t>
  </si>
  <si>
    <t>Layer 2</t>
  </si>
  <si>
    <t>Medium</t>
  </si>
  <si>
    <t>VNDkg</t>
  </si>
  <si>
    <t>Duc Hoa Ha- Duc Hoa- Long An</t>
  </si>
  <si>
    <t>Tinh bộ mì + NOAH + Borax</t>
  </si>
  <si>
    <t>g/m2</t>
  </si>
  <si>
    <t xml:space="preserve">SAIGON </t>
  </si>
  <si>
    <t>KCN My Xuan-Vung Tau</t>
  </si>
  <si>
    <t>Labor cost</t>
  </si>
  <si>
    <t>VND/hr/man</t>
  </si>
  <si>
    <t>VINAKRAFT</t>
  </si>
  <si>
    <t>VSIP II- Binh Duong</t>
  </si>
  <si>
    <t>TOTAL COST</t>
  </si>
  <si>
    <t>MEDIUM</t>
  </si>
  <si>
    <t>Address of supplier</t>
  </si>
  <si>
    <t>Delivery cost to pick up paper
(VND/MT)</t>
  </si>
  <si>
    <t>Phi sua chua cont</t>
  </si>
  <si>
    <t>Customs &amp; trucking + lift on lift off</t>
  </si>
  <si>
    <t xml:space="preserve">Customs &amp; trucking </t>
  </si>
  <si>
    <t>CIF……</t>
  </si>
  <si>
    <t>STD for manual jobs</t>
  </si>
  <si>
    <t>Case 1</t>
  </si>
  <si>
    <t>Orders with urgent request which must use available local materials with or without certain percentages of waste</t>
  </si>
  <si>
    <t>Case 2</t>
  </si>
  <si>
    <t>Orders which are not urgent and under forecast which can use import cut-to-size materials.
*** In case the quantity requested does not meet MOQ of import materials, the sale-price will be estimated with local materials ***</t>
  </si>
  <si>
    <t>Case 3</t>
  </si>
  <si>
    <t>Orders which are urgent but potentially long term in the future. These cases need to be written approved and explained by Head of Sales &amp; Marketing Dept. after considering acceptable CM for the 1st run</t>
  </si>
  <si>
    <t>180gsm Sticker HC811N</t>
  </si>
  <si>
    <t>Slitting paper in roll</t>
  </si>
  <si>
    <t>CIC</t>
  </si>
  <si>
    <t xml:space="preserve">THC </t>
  </si>
  <si>
    <t>Sticks</t>
  </si>
  <si>
    <t>NEW INFORMATION - UPDATE IN JAN.2019</t>
  </si>
  <si>
    <t>cbm/carton</t>
  </si>
  <si>
    <t>Set up cost 
VND/hr</t>
  </si>
  <si>
    <t>Frame</t>
  </si>
  <si>
    <t>Total sheet</t>
  </si>
  <si>
    <t>printing sz</t>
  </si>
  <si>
    <t>SET UP (VND)</t>
  </si>
  <si>
    <t>Paper</t>
  </si>
  <si>
    <t>paper sz</t>
  </si>
  <si>
    <t>set up time</t>
  </si>
  <si>
    <t>VND/hr/process</t>
  </si>
  <si>
    <t>trimming</t>
  </si>
  <si>
    <t xml:space="preserve">printing </t>
  </si>
  <si>
    <t>finishing</t>
  </si>
  <si>
    <t>decoration</t>
  </si>
  <si>
    <t>die cut</t>
  </si>
  <si>
    <t>pulling</t>
  </si>
  <si>
    <t>gluing</t>
  </si>
  <si>
    <t>SUM</t>
  </si>
  <si>
    <t>Unit cost</t>
  </si>
  <si>
    <t>VND/sht</t>
  </si>
  <si>
    <t>Carton packing</t>
  </si>
  <si>
    <t>Carton / Pallet</t>
  </si>
  <si>
    <t>Size Pallet</t>
  </si>
  <si>
    <t>Size Carton</t>
  </si>
  <si>
    <t>(Kg)</t>
  </si>
  <si>
    <t>( size thùng hàng )</t>
  </si>
  <si>
    <t> Crayon </t>
  </si>
  <si>
    <t>1m2*1m1</t>
  </si>
  <si>
    <t> 40.5*35.5*21</t>
  </si>
  <si>
    <t> Short Pencil </t>
  </si>
  <si>
    <t>35.5*22.5*13.5 </t>
  </si>
  <si>
    <t> Skinny Marker (58PSFLxxx)</t>
  </si>
  <si>
    <t>29.5*25.5*23.5 </t>
  </si>
  <si>
    <t> Skinny Marker (589115xxx)</t>
  </si>
  <si>
    <t>49*38*23.5</t>
  </si>
  <si>
    <t> Skinny Marker (529624xxx)</t>
  </si>
  <si>
    <t>40*28.5*16.5</t>
  </si>
  <si>
    <t> Super Tips (585070xxx)</t>
  </si>
  <si>
    <t> 39*35.5*27</t>
  </si>
  <si>
    <t> Super Tips (585071Uxxx)</t>
  </si>
  <si>
    <t> 41.5*37.5*23</t>
  </si>
  <si>
    <t>Fineline Marker (5899Sxxx)</t>
  </si>
  <si>
    <t>37*34.5*24</t>
  </si>
  <si>
    <t>Watercolor Short Colored Pencils</t>
  </si>
  <si>
    <t>HB Sketch Pencil -  short pencil</t>
  </si>
  <si>
    <t>2H Sketch Pencil - short pencil</t>
  </si>
  <si>
    <t>6B Sketch Pencil - short pencil</t>
  </si>
  <si>
    <t>INFO BEFORE 2019</t>
  </si>
  <si>
    <t>/copy</t>
  </si>
  <si>
    <t>Categories</t>
  </si>
  <si>
    <t>Quantity of Printing Sheets</t>
  </si>
  <si>
    <t xml:space="preserve">Rates of Waste </t>
  </si>
  <si>
    <t>Min of Waste</t>
  </si>
  <si>
    <t>Under</t>
  </si>
  <si>
    <t>Over</t>
  </si>
  <si>
    <t>Non Printing paper</t>
  </si>
  <si>
    <t>Non Metalize</t>
  </si>
  <si>
    <t>Estimating Verify</t>
  </si>
  <si>
    <t>CM Review</t>
  </si>
  <si>
    <t>Quotation Review</t>
  </si>
  <si>
    <t>Approval</t>
  </si>
  <si>
    <t>----------------------------------------------</t>
  </si>
  <si>
    <t>Nguyen Van Chien</t>
  </si>
  <si>
    <t>Thane Taithongchai</t>
  </si>
  <si>
    <t>Estimating Manager</t>
  </si>
  <si>
    <t>Chief Financial Officer</t>
  </si>
  <si>
    <t>Deputy General Director</t>
  </si>
  <si>
    <t>Suthep Taithongchai</t>
  </si>
  <si>
    <t>General Director</t>
  </si>
  <si>
    <t>The Current U/P for Approval</t>
  </si>
  <si>
    <t>The Last U/P Approved</t>
  </si>
  <si>
    <t>180gsm GB HANSOL</t>
  </si>
  <si>
    <t>200gsm GB HANSOL</t>
  </si>
  <si>
    <t>210gsm GB HANSOL</t>
  </si>
  <si>
    <t>220gsm GB HANSOL</t>
  </si>
  <si>
    <t>230gsm GB HANSOL</t>
  </si>
  <si>
    <t>240gsm GB HANSOL</t>
  </si>
  <si>
    <t>250gsm GB HANSOL</t>
  </si>
  <si>
    <t>260gsm GB HANSOL</t>
  </si>
  <si>
    <t>280gsm GB HANSOL</t>
  </si>
  <si>
    <t>300gsm GB HANSOL</t>
  </si>
  <si>
    <t>310gsm GB HANSOL</t>
  </si>
  <si>
    <t>330gsm GB HANSOL</t>
  </si>
  <si>
    <t>350gsm GB HANSOL</t>
  </si>
  <si>
    <t>370gsm GB HANSOL</t>
  </si>
  <si>
    <t>400gsm GB HANSOL</t>
  </si>
  <si>
    <t>450gsm GB HANSOL</t>
  </si>
  <si>
    <t>480gsm GB HANSOL</t>
  </si>
  <si>
    <t>500gsm GB HANSOL</t>
  </si>
  <si>
    <t>550gsm GB HANSOL</t>
  </si>
  <si>
    <t>270gsm GB KUAN YUAN</t>
  </si>
  <si>
    <t>300gsm GB KUAN YUAN</t>
  </si>
  <si>
    <t>350gsm GB KUAN YUAN</t>
  </si>
  <si>
    <t>400gsm GB KUAN YUAN</t>
  </si>
  <si>
    <t>450gsm GB KUAN YUAN</t>
  </si>
  <si>
    <t>500gsm GB KUAN YUAN</t>
  </si>
  <si>
    <t>550gsm GB KUAN YUAN</t>
  </si>
  <si>
    <t>180gsm WBB HANSOL</t>
  </si>
  <si>
    <t>210gsm WBB HANSOL</t>
  </si>
  <si>
    <t>220gsm WBB HANSOL</t>
  </si>
  <si>
    <t>230gsm WBB HANSOL</t>
  </si>
  <si>
    <t>240gsm WBB HANSOL</t>
  </si>
  <si>
    <t>250gsm WBB HANSOL</t>
  </si>
  <si>
    <t>260gsm WBB HANSOL</t>
  </si>
  <si>
    <t>280gsm WBB HANSOL</t>
  </si>
  <si>
    <t>300gsm WBB HANSOL</t>
  </si>
  <si>
    <t>310gsm WBB HANSOL</t>
  </si>
  <si>
    <t>350gsm WBB HANSOL</t>
  </si>
  <si>
    <t>400gsm WBB HANSOL</t>
  </si>
  <si>
    <t>450gsm WBB HANSOL</t>
  </si>
  <si>
    <t>500gsm WBB HANSOL</t>
  </si>
  <si>
    <t>230gsm GB SHINPOONG - KOREA</t>
  </si>
  <si>
    <t>250gsm GB SHINPOONG - KOREA</t>
  </si>
  <si>
    <t>280gsm GB SHINPOONG - KOREA</t>
  </si>
  <si>
    <t>300gsm GB SHINPOONG - KOREA</t>
  </si>
  <si>
    <t>350gsm GB SHINPOONG - KOREA</t>
  </si>
  <si>
    <t>400gsm GB SHINPOONG - KOREA</t>
  </si>
  <si>
    <t>450gsm GB SHINPOONG - KOREA</t>
  </si>
  <si>
    <t>180gsm GB DEA HAN</t>
  </si>
  <si>
    <t>200gsm GB DEA HAN</t>
  </si>
  <si>
    <t>220gsm GB DEA HAN</t>
  </si>
  <si>
    <t>230gsm GB DEA HAN</t>
  </si>
  <si>
    <t>240gsm GB DEA HAN</t>
  </si>
  <si>
    <t>250gsm GB DEA HAN</t>
  </si>
  <si>
    <t>260gsm GB DEA HAN</t>
  </si>
  <si>
    <t>270gsm GB DEA HAN</t>
  </si>
  <si>
    <t>280gsm GB DEA HAN</t>
  </si>
  <si>
    <t>290gsm GB DEA HAN</t>
  </si>
  <si>
    <t>300gsm GB DEA HAN</t>
  </si>
  <si>
    <t>310gsm GB DEA HAN</t>
  </si>
  <si>
    <t>320gsm GB DEA HAN</t>
  </si>
  <si>
    <t>330gsm GB DEA HAN</t>
  </si>
  <si>
    <t>340gsm GB DEA HAN</t>
  </si>
  <si>
    <t>350gsm GB DEA HAN</t>
  </si>
  <si>
    <t>360gsm GB DEA HAN</t>
  </si>
  <si>
    <t>370gsm GB DEA HAN</t>
  </si>
  <si>
    <t>380gsm GB DEA HAN</t>
  </si>
  <si>
    <t>390gsm GB DEA HAN</t>
  </si>
  <si>
    <t>400gsm GB DEA HAN</t>
  </si>
  <si>
    <t>410gsm GB DEA HAN</t>
  </si>
  <si>
    <t>420gsm GB DEA HAN</t>
  </si>
  <si>
    <t>430gsm GB DEA HAN</t>
  </si>
  <si>
    <t>440gsm GB DEA HAN</t>
  </si>
  <si>
    <t>450gsm GB DEA HAN</t>
  </si>
  <si>
    <t>460gsm GB DEA HAN</t>
  </si>
  <si>
    <t>470gsm GB DEA HAN</t>
  </si>
  <si>
    <t>480gsm GB DEA HAN</t>
  </si>
  <si>
    <t>490gsm GB DEA HAN</t>
  </si>
  <si>
    <t>500gsm GB DEA HAN</t>
  </si>
  <si>
    <t>550gsm GB DEA HAN</t>
  </si>
  <si>
    <t>170gsm IVORY SURYA PAMENANG - ESPRIME</t>
  </si>
  <si>
    <t>190gsm IVORY SURYA PAMENANG - ESPRIME</t>
  </si>
  <si>
    <t>210gsm IVORY SURYA PAMENANG - ESPRIME</t>
  </si>
  <si>
    <t>220gsm IVORY SURYA PAMENANG - ESPRIME</t>
  </si>
  <si>
    <t>230gsm IVORY SURYA PAMENANG - ESPRIME</t>
  </si>
  <si>
    <t>250gsm IVORY SURYA PAMENANG - ESPRIME</t>
  </si>
  <si>
    <t>270gsm IVORY SURYA PAMENANG - ESPRIME</t>
  </si>
  <si>
    <t>300gsm IVORY SURYA PAMENANG - ESPRIME</t>
  </si>
  <si>
    <t>350gsm IVORY SURYA PAMENANG - ESPRIME</t>
  </si>
  <si>
    <t>390gsm IVORY SURYA PAMENANG - ESPRIME</t>
  </si>
  <si>
    <t>400gsm IVORY SURYA PAMENANG - ESPRIME</t>
  </si>
  <si>
    <t>210gsm IVORY SURYA PAMENANG - ESPACK</t>
  </si>
  <si>
    <t>230gsm IVORY SURYA PAMENANG - ESPACK</t>
  </si>
  <si>
    <t>250gsm IVORY SURYA PAMENANG - ESPACK</t>
  </si>
  <si>
    <t>270gsm IVORY SURYA PAMENANG - ESPACK</t>
  </si>
  <si>
    <t>300gsm IVORY SURYA PAMENANG - ESPACK</t>
  </si>
  <si>
    <t>350gsm IVORY SURYA PAMENANG - ESPACK</t>
  </si>
  <si>
    <t>400gsm IVORY SURYA PAMENANG - ESPACK</t>
  </si>
  <si>
    <t>200gsm IVORY ITC - INDIA GC1 - BXHS</t>
  </si>
  <si>
    <t>210gsm IVORY ITC - INDIA GC1 - BXHS</t>
  </si>
  <si>
    <t>220gsm IVORY ITC - INDIA GC1 - BXHS</t>
  </si>
  <si>
    <t>230gsm IVORY ITC - INDIA GC1 - BXHS</t>
  </si>
  <si>
    <t>240gsm IVORY ITC - INDIA GC1 - BXHS</t>
  </si>
  <si>
    <t>250gsm IVORY ITC - INDIA GC1 - BXHS</t>
  </si>
  <si>
    <t>260gsm IVORY ITC - INDIA GC1 - BXHS</t>
  </si>
  <si>
    <t>270gsm IVORY ITC - INDIA GC1 - BXHS</t>
  </si>
  <si>
    <t>280gsm IVORY ITC - INDIA GC1 - BXHS</t>
  </si>
  <si>
    <t>285gsm IVORY ITC - INDIA GC1 - BXHS</t>
  </si>
  <si>
    <t>290gsm IVORY ITC - INDIA GC1 - BXHS</t>
  </si>
  <si>
    <t>300gsm IVORY ITC - INDIA GC1 - BXHS</t>
  </si>
  <si>
    <t>320gsm IVORY ITC - INDIA GC1 - BXHS</t>
  </si>
  <si>
    <t>330gsm IVORY ITC - INDIA GC1 - BXHS</t>
  </si>
  <si>
    <t>340gsm IVORY ITC - INDIA GC1 - BXHS</t>
  </si>
  <si>
    <t>350gsm IVORY ITC - INDIA GC1 - BXHS</t>
  </si>
  <si>
    <t>360gsm IVORY ITC - INDIA GC1 - BXHS</t>
  </si>
  <si>
    <t>370gsm IVORY ITC - INDIA GC1 - BXHS</t>
  </si>
  <si>
    <t>380gsm IVORY ITC - INDIA GC1 - BXHS</t>
  </si>
  <si>
    <t>390gsm IVORY ITC - INDIA GC1 - BXHS</t>
  </si>
  <si>
    <t>400gsm IVORY ITC - INDIA GC1 - BXHS</t>
  </si>
  <si>
    <t>410gsm IVORY ITC - INDIA GC1 - BXHS</t>
  </si>
  <si>
    <t>420gsm IVORY ITC - INDIA GC1 - BXHS</t>
  </si>
  <si>
    <t>430gsm IVORY ITC - INDIA GC1 - BXHS</t>
  </si>
  <si>
    <t>440gsm IVORY ITC - INDIA GC1 - BXHS</t>
  </si>
  <si>
    <t>450gsm IVORY ITC - INDIA GC1 - BXHS</t>
  </si>
  <si>
    <t>100gsm WOODFREE APP-IK BRAND</t>
  </si>
  <si>
    <t>104gsm WOODFREE APP-IK BRAND</t>
  </si>
  <si>
    <t>105gsm WOODFREE APP-IK BRAND</t>
  </si>
  <si>
    <t>110gsm WOODFREE APP-IK BRAND</t>
  </si>
  <si>
    <t>118gsm WOODFREE APP-IK BRAND</t>
  </si>
  <si>
    <t>120gsm WOODFREE APP-IK BRAND</t>
  </si>
  <si>
    <t>130gsm WOODFREE APP-IK BRAND</t>
  </si>
  <si>
    <t>140gsm WOODFREE APP-IK BRAND</t>
  </si>
  <si>
    <t>165gsm WOODFREE APP-IK BRAND</t>
  </si>
  <si>
    <t>180gsm WOODFREE APP-IK BRAND</t>
  </si>
  <si>
    <t>230gsm WOODFREE APP-IK BRAND</t>
  </si>
  <si>
    <t>250gsm WOODFREE APP-IK BRAND</t>
  </si>
  <si>
    <t>Gsm</t>
  </si>
  <si>
    <t>090gsm WOODFREE APP-IK BRAND</t>
  </si>
  <si>
    <t>089gsm WOODFREE APP-IK BRAND</t>
  </si>
  <si>
    <t>080gsm WOODFREE APP-IK BRAND</t>
  </si>
  <si>
    <t>058gsm WOODFREE APP-IK BRAND</t>
  </si>
  <si>
    <t>060gsm WOODFREE APP-IK BRAND</t>
  </si>
  <si>
    <t>070gsm WOODFREE APP-IK BRAND</t>
  </si>
  <si>
    <t>074gsm WOODFREE APP-IK BRAND</t>
  </si>
  <si>
    <t>075gsm WOODFREE APP-IK BRAND</t>
  </si>
  <si>
    <t>Blister Johncry HSL-9013</t>
  </si>
  <si>
    <t>LEE &amp; MAN</t>
  </si>
  <si>
    <t>CHANH DUONG</t>
  </si>
  <si>
    <t>150/150/150</t>
  </si>
  <si>
    <t>Surcharge
Roll to Ream</t>
  </si>
  <si>
    <t>Spreads incluced cover</t>
  </si>
  <si>
    <t>UV 662-5A + UV 6165 (6:4)</t>
  </si>
  <si>
    <t>OPV-CX0166 Gloss water base</t>
  </si>
  <si>
    <t>TK 100 Lanxess</t>
  </si>
  <si>
    <t>Truck</t>
  </si>
  <si>
    <t>Price (VND)</t>
  </si>
  <si>
    <t>Pallet/Truck (pallet)</t>
  </si>
  <si>
    <t>250gsm GB PAKERIN - INDO</t>
  </si>
  <si>
    <t>270gsm GB PAKERIN - INDO</t>
  </si>
  <si>
    <t>300gsm GB PAKERIN - INDO</t>
  </si>
  <si>
    <t>310gsm GB PAKERIN - INDO</t>
  </si>
  <si>
    <t>350gsm GB PAKERIN - INDO</t>
  </si>
  <si>
    <t>400gsm GB PAKERIN - INDO</t>
  </si>
  <si>
    <t>450gsm GB PAKERIN - INDO</t>
  </si>
  <si>
    <t>500gsm GB PAKERIN - INDO</t>
  </si>
  <si>
    <t>230gsm GB APP - INDO DA HOA LAN</t>
  </si>
  <si>
    <t>250gsm GB APP - INDO DA HOA LAN</t>
  </si>
  <si>
    <t>270gsm GB APP - INDO DA HOA LAN</t>
  </si>
  <si>
    <t>310gsm GB APP - INDO DA HOA LAN</t>
  </si>
  <si>
    <t>350gsm GB APP - INDO DA HOA LAN</t>
  </si>
  <si>
    <t>400gsm GB APP - INDO DA HOA LAN</t>
  </si>
  <si>
    <t>450gsm GB APP - INDO DA HOA LAN</t>
  </si>
  <si>
    <t>250gsm GB APP - INDO DP HOA LAN</t>
  </si>
  <si>
    <t>270gsm GB APP - INDO DP HOA LAN</t>
  </si>
  <si>
    <t>300gsm GB APP - INDO DP HOA LAN</t>
  </si>
  <si>
    <t>310gsm GB APP - INDO DP HOA LAN</t>
  </si>
  <si>
    <t>350gsm GB APP - INDO DP HOA LAN</t>
  </si>
  <si>
    <t>250gsm GB Siamkraft - SCG Thailand</t>
  </si>
  <si>
    <t>270gsm GB Siamkraft - SCG Thailand</t>
  </si>
  <si>
    <t>300gsm GB Siamkraft - SCG Thailand</t>
  </si>
  <si>
    <t>350gsm GB Siamkraft - SCG Thailand</t>
  </si>
  <si>
    <t>400gsm GB Siamkraft - SCG Thailand</t>
  </si>
  <si>
    <t>450gsm GB Siamkraft - SCG Thailand</t>
  </si>
  <si>
    <t>500gsm GB Siamkraft - SCG Thailand</t>
  </si>
  <si>
    <t>200gsm WBB DEA HAN</t>
  </si>
  <si>
    <t>220gsm WBB DEA HAN</t>
  </si>
  <si>
    <t>230gsm WBB DEA HAN</t>
  </si>
  <si>
    <t>240gsm WBB DEA HAN</t>
  </si>
  <si>
    <t>250gsm WBB DEA HAN</t>
  </si>
  <si>
    <t>260gsm WBB DEA HAN</t>
  </si>
  <si>
    <t>280gsm WBB DEA HAN</t>
  </si>
  <si>
    <t>300gsm WBB DEA HAN</t>
  </si>
  <si>
    <t>350gsm WBB DEA HAN</t>
  </si>
  <si>
    <t>360gsm WBB DEA HAN</t>
  </si>
  <si>
    <t>380gsm WBB DEA HAN</t>
  </si>
  <si>
    <t>390gsm WBB DEA HAN</t>
  </si>
  <si>
    <t>400gsm WBB DEA HAN</t>
  </si>
  <si>
    <t>450gsm WBB DEA HAN</t>
  </si>
  <si>
    <t>500gsm WBB DEA HAN</t>
  </si>
  <si>
    <t>550gsm WBB DEA HAN</t>
  </si>
  <si>
    <t>150gsm WOODFREE APP-IK BRAND</t>
  </si>
  <si>
    <t>160gsm WOODFREE APP-IK BRAND</t>
  </si>
  <si>
    <t>170gsm WOODFREE APP-IK BRAND</t>
  </si>
  <si>
    <t>190gsm WOODFREE APP-IK BRAND</t>
  </si>
  <si>
    <t>200gsm WOODFREE APP-IK BRAND</t>
  </si>
  <si>
    <t>210gsm WOODFREE APP-IK BRAND</t>
  </si>
  <si>
    <t>220gsm WOODFREE APP-IK BRAND</t>
  </si>
  <si>
    <t>240gsm WOODFREE APP-IK BRAND</t>
  </si>
  <si>
    <t>100gsm WOODFREE Magno Natural Sappi - German</t>
  </si>
  <si>
    <t>110gsm WOODFREE Magno Natural Sappi - German</t>
  </si>
  <si>
    <t>120gsm WOODFREE Magno Natural Sappi - German</t>
  </si>
  <si>
    <t>140gsm WOODFREE Magno Natural Sappi - German</t>
  </si>
  <si>
    <t>150gsm WOODFREE Magno Natural Sappi - German</t>
  </si>
  <si>
    <t>170gsm WOODFREE Magno Natural Sappi - German</t>
  </si>
  <si>
    <t>190gsm WOODFREE Magno Natural Sappi - German</t>
  </si>
  <si>
    <t>250gsm WOODFREE Magno Natural Sappi - German</t>
  </si>
  <si>
    <t>300gsm WOODFREE Magno Natural Sappi - German</t>
  </si>
  <si>
    <t>100gsm WOODFREE GHS - CHINA</t>
  </si>
  <si>
    <t>105gsm WOODFREE GHS - CHINA</t>
  </si>
  <si>
    <t>110gsm WOODFREE GHS - CHINA</t>
  </si>
  <si>
    <t>120gsm WOODFREE GHS - CHINA</t>
  </si>
  <si>
    <t>140gsm WOODFREE GHS - CHINA</t>
  </si>
  <si>
    <t>150gsm WOODFREE GHS - CHINA</t>
  </si>
  <si>
    <t>160gsm WOODFREE GHS - CHINA</t>
  </si>
  <si>
    <t>165gsm WOODFREE GHS - CHINA</t>
  </si>
  <si>
    <t>170gsm WOODFREE GHS - CHINA</t>
  </si>
  <si>
    <t>180gsm WOODFREE GHS - CHINA</t>
  </si>
  <si>
    <t>185gsm WOODFREE GHS - CHINA</t>
  </si>
  <si>
    <t>190gsm WOODFREE GHS - CHINA</t>
  </si>
  <si>
    <t>056gsm WOODFREE GHS - CHINA</t>
  </si>
  <si>
    <t>060gsm WOODFREE GHS - CHINA</t>
  </si>
  <si>
    <t>070gsm WOODFREE GHS - CHINA</t>
  </si>
  <si>
    <t>075gsm WOODFREE GHS - CHINA</t>
  </si>
  <si>
    <t>080gsm WOODFREE GHS - CHINA</t>
  </si>
  <si>
    <t>090gsm WOODFREE GHS - CHINA</t>
  </si>
  <si>
    <t>095gsm WOODFREE GHS - CHINA</t>
  </si>
  <si>
    <t>THUAN AN</t>
  </si>
  <si>
    <t>Fumigation pallet</t>
  </si>
  <si>
    <t>11-20 m3</t>
  </si>
  <si>
    <t>Fumigation Cost</t>
  </si>
  <si>
    <t>PACKING DETAIL</t>
  </si>
  <si>
    <t>Cartons/Pallet</t>
  </si>
  <si>
    <t>IMPORT PRICE</t>
  </si>
  <si>
    <t>CIF</t>
  </si>
  <si>
    <t>IMPORT TERM</t>
  </si>
  <si>
    <t>CFR</t>
  </si>
  <si>
    <t>FOB</t>
  </si>
  <si>
    <t>INSURANCE</t>
  </si>
  <si>
    <t>Dimension</t>
  </si>
  <si>
    <t xml:space="preserve">L </t>
  </si>
  <si>
    <t>SZ(W)</t>
  </si>
  <si>
    <t>(mm)</t>
  </si>
  <si>
    <t>Bottom</t>
  </si>
  <si>
    <t>SZ(L)</t>
  </si>
  <si>
    <t>BOOK</t>
  </si>
  <si>
    <t>CAD No.</t>
  </si>
  <si>
    <t>DVN No.</t>
  </si>
  <si>
    <t>Printing Size</t>
  </si>
  <si>
    <t>Order Size</t>
  </si>
  <si>
    <t>Tot. (MT)</t>
  </si>
  <si>
    <t>PD. Times</t>
  </si>
  <si>
    <t>Req. (Shts)</t>
  </si>
  <si>
    <t>Waste (Shts)</t>
  </si>
  <si>
    <t>Tot. Cost</t>
  </si>
  <si>
    <t>Plate 
Change</t>
  </si>
  <si>
    <t>Req (inl. Watse)</t>
  </si>
  <si>
    <t>Req. (Tons)</t>
  </si>
  <si>
    <t>Waste (Tons)</t>
  </si>
  <si>
    <t>Set UP</t>
  </si>
  <si>
    <t>Req. (%)</t>
  </si>
  <si>
    <t>Waste (%)</t>
  </si>
  <si>
    <t>Waste in Process</t>
  </si>
  <si>
    <t>Kind Of Paper</t>
  </si>
  <si>
    <t>VND/Kg.</t>
  </si>
  <si>
    <t>Col.</t>
  </si>
  <si>
    <t>L (mm)</t>
  </si>
  <si>
    <t>L(mm)</t>
  </si>
  <si>
    <t>Std.Cost</t>
  </si>
  <si>
    <t>Average %</t>
  </si>
  <si>
    <t>Durability of plate</t>
  </si>
  <si>
    <t>Extra Q'ty</t>
  </si>
  <si>
    <t>Set Up  (%)</t>
  </si>
  <si>
    <t>Inhouse</t>
  </si>
  <si>
    <t>Total
MT</t>
  </si>
  <si>
    <t>VND/Pc. Inc. Mark up</t>
  </si>
  <si>
    <t>Term</t>
  </si>
  <si>
    <t>Laminated with Frame</t>
  </si>
  <si>
    <t>CORRUGATED PAPER</t>
  </si>
  <si>
    <t>Tot.Col.</t>
  </si>
  <si>
    <t>Tot. Kgs</t>
  </si>
  <si>
    <t>CMYK</t>
  </si>
  <si>
    <t>Special Ink</t>
  </si>
  <si>
    <t>UV Ink</t>
  </si>
  <si>
    <t>Price Of Ink - CMYK</t>
  </si>
  <si>
    <t>Price Of Ink - CMYK - B</t>
  </si>
  <si>
    <t>Average CMYK - B</t>
  </si>
  <si>
    <t>Kgs/ 10,000Shts</t>
  </si>
  <si>
    <t>Total 
Kgs</t>
  </si>
  <si>
    <t>Front Side</t>
  </si>
  <si>
    <t>OPV Wet Hi-Rub</t>
  </si>
  <si>
    <t>Kgs./ 10,000Shts</t>
  </si>
  <si>
    <t>UV 663 - Non Metalize</t>
  </si>
  <si>
    <t>Resin AR 8207B-(for OPP)</t>
  </si>
  <si>
    <t>Resin AR 8207B-(for MPET)</t>
  </si>
  <si>
    <t>Resin AR 8207B-(for Hologram)</t>
  </si>
  <si>
    <t>VND/kgs</t>
  </si>
  <si>
    <t>Consumption 2019</t>
  </si>
  <si>
    <t>CTY TNHH F VA F</t>
  </si>
  <si>
    <t>Lanxess</t>
  </si>
  <si>
    <t>Gloss Waterbase Megacoat L100</t>
  </si>
  <si>
    <t>Matt Waterbase Megacoat M100</t>
  </si>
  <si>
    <t>Minh Long</t>
  </si>
  <si>
    <t>ETERNAL MATERIAL TAIWAN</t>
  </si>
  <si>
    <t>TTK</t>
  </si>
  <si>
    <t>UAC Advance Polymer</t>
  </si>
  <si>
    <t>Base Vina</t>
  </si>
  <si>
    <t>UV 6165A</t>
  </si>
  <si>
    <t xml:space="preserve">UV 662-5A </t>
  </si>
  <si>
    <t>Eternal Material Taiwam</t>
  </si>
  <si>
    <t>Gloss Machine Varnish</t>
  </si>
  <si>
    <t>TK Matt Varnished 22493</t>
  </si>
  <si>
    <t>Matt Machine Varnish</t>
  </si>
  <si>
    <t>Sai Gon Kim Khanh</t>
  </si>
  <si>
    <t>(PT Trias)</t>
  </si>
  <si>
    <t>Polyplex</t>
  </si>
  <si>
    <t xml:space="preserve">120 - 220gsm </t>
  </si>
  <si>
    <t>220 - 350gsm</t>
  </si>
  <si>
    <t>400 - 500 gsm</t>
  </si>
  <si>
    <t>Blister Coating</t>
  </si>
  <si>
    <t>Roller Emboss</t>
  </si>
  <si>
    <t>Conditions</t>
  </si>
  <si>
    <t>Life Time of Die-Cut (local and Thailand)</t>
  </si>
  <si>
    <t>Shts/1 time change blade</t>
  </si>
  <si>
    <t>CB 1.0mm</t>
  </si>
  <si>
    <t>CB 2.0mm</t>
  </si>
  <si>
    <t>CB 2.4mm</t>
  </si>
  <si>
    <t>CB 2.8mm</t>
  </si>
  <si>
    <t>PVC</t>
  </si>
  <si>
    <t>EVA</t>
  </si>
  <si>
    <t>PP Plastic</t>
  </si>
  <si>
    <t>Life time for embossing</t>
  </si>
  <si>
    <t>Shts/Die</t>
  </si>
  <si>
    <t>Life time for hotstamping mould</t>
  </si>
  <si>
    <t>Life time for roller embossing</t>
  </si>
  <si>
    <t>Silkcreen glittering, sand UV</t>
  </si>
  <si>
    <t>Silkcreen UV on OPP, ink…</t>
  </si>
  <si>
    <t>Life Time of Plates</t>
  </si>
  <si>
    <t>Plate My Lan</t>
  </si>
  <si>
    <t>Life time of  blanket ECO (Vulcan)</t>
  </si>
  <si>
    <t>Life time of  blanket UV (Vulcan)</t>
  </si>
  <si>
    <t>Life time of Under Blanket</t>
  </si>
  <si>
    <t>Life time of Polymer</t>
  </si>
  <si>
    <t>Change new blades</t>
  </si>
  <si>
    <t>Change new dies</t>
  </si>
  <si>
    <t>Tools Prices List</t>
  </si>
  <si>
    <t>SPV</t>
  </si>
  <si>
    <t>Outsource</t>
  </si>
  <si>
    <t>Change new blades - SPV</t>
  </si>
  <si>
    <t>Change new blades - Outsource</t>
  </si>
  <si>
    <t>Blanket UV - UV online</t>
  </si>
  <si>
    <t>VND/m2</t>
  </si>
  <si>
    <t>Blanket ECO - UV coating MC</t>
  </si>
  <si>
    <t>VND/Sht</t>
  </si>
  <si>
    <t>Under Blanket</t>
  </si>
  <si>
    <t>VND/Frame</t>
  </si>
  <si>
    <t>Polymer</t>
  </si>
  <si>
    <t>Embossing Blocks</t>
  </si>
  <si>
    <t>VND/cm2</t>
  </si>
  <si>
    <t>Hot Stamping Blocks</t>
  </si>
  <si>
    <t>SUS Plate</t>
  </si>
  <si>
    <t>VND/plate</t>
  </si>
  <si>
    <t>Output film cost (SG3)</t>
  </si>
  <si>
    <t>Block (silkcreen glittering, spot UV on OPP…)</t>
  </si>
  <si>
    <t>Sz: 850 x 600mm</t>
  </si>
  <si>
    <t>Sz: 650 x 500mm</t>
  </si>
  <si>
    <t>Change silk sheet</t>
  </si>
  <si>
    <t>-Tools</t>
  </si>
  <si>
    <t>Promotion</t>
  </si>
  <si>
    <t>Regular</t>
  </si>
  <si>
    <t>Req. (Sets)</t>
  </si>
  <si>
    <t>Mould Allotated for</t>
  </si>
  <si>
    <t>Die-cut mould</t>
  </si>
  <si>
    <t>Shts</t>
  </si>
  <si>
    <t>Mould F6</t>
  </si>
  <si>
    <t>Area to embossing</t>
  </si>
  <si>
    <t>Area for hotstamping</t>
  </si>
  <si>
    <t>Change block</t>
  </si>
  <si>
    <t>Roller emboss</t>
  </si>
  <si>
    <t>Blanket</t>
  </si>
  <si>
    <t>Output film</t>
  </si>
  <si>
    <t>Plate Off set</t>
  </si>
  <si>
    <t>Coating Online</t>
  </si>
  <si>
    <t>Blanket online (UV, waterbase)</t>
  </si>
  <si>
    <t>Plate Spot UV</t>
  </si>
  <si>
    <t>Mould RB185</t>
  </si>
  <si>
    <t>Mould LS-F6</t>
  </si>
  <si>
    <t>Mould T500</t>
  </si>
  <si>
    <t>Block</t>
  </si>
  <si>
    <t>Kem</t>
  </si>
  <si>
    <t>1.5mm</t>
  </si>
  <si>
    <t>Dong</t>
  </si>
  <si>
    <t>2D</t>
  </si>
  <si>
    <t>3D</t>
  </si>
  <si>
    <t>Mould Punch Shapes</t>
  </si>
  <si>
    <t>TTK Co., Ltd</t>
  </si>
  <si>
    <t>Gluing</t>
  </si>
  <si>
    <t>Input 
(Pcs or Shts)</t>
  </si>
  <si>
    <t>Type of Glue</t>
  </si>
  <si>
    <t>Kgs./
10,000</t>
  </si>
  <si>
    <t>Side Joint</t>
  </si>
  <si>
    <t>DA-T</t>
  </si>
  <si>
    <t>Laminate Test Liner + M</t>
  </si>
  <si>
    <t>D450</t>
  </si>
  <si>
    <t>Kinds of Glue</t>
  </si>
  <si>
    <t>Glue Varieties</t>
  </si>
  <si>
    <t>Dinh Vang</t>
  </si>
  <si>
    <t>Side joint + Bottom</t>
  </si>
  <si>
    <t>A-10211</t>
  </si>
  <si>
    <t>Side joint + Partition inside</t>
  </si>
  <si>
    <t>9944H</t>
  </si>
  <si>
    <t>SG Tân Thịnh Phú</t>
  </si>
  <si>
    <t>Glued PVC</t>
  </si>
  <si>
    <t>Valona</t>
  </si>
  <si>
    <t>Sidejoint box OPP or mentalize</t>
  </si>
  <si>
    <t>Hotmelt 80-102</t>
  </si>
  <si>
    <t>Glue carrybag OPP or mentalize</t>
  </si>
  <si>
    <t>Glue Box</t>
  </si>
  <si>
    <t>C7000</t>
  </si>
  <si>
    <t>PNP CHEMITECH</t>
  </si>
  <si>
    <t>BH - 502</t>
  </si>
  <si>
    <t>SHANGHAI HUAXUAN</t>
  </si>
  <si>
    <t>AD-50R/1</t>
  </si>
  <si>
    <t>Glue D450 - BB</t>
  </si>
  <si>
    <t>Glue C7000 - Butterfly</t>
  </si>
  <si>
    <t>Glue C7000 - Case in BB</t>
  </si>
  <si>
    <t>Glue D450 - Laminated</t>
  </si>
  <si>
    <t>Glue D450 - Back Cover</t>
  </si>
  <si>
    <t>Glue D450 - Foam+Case</t>
  </si>
  <si>
    <t>Glue C7000 - Silkscreen</t>
  </si>
  <si>
    <t>AD 103L - Pops</t>
  </si>
  <si>
    <t>BH-502 - Kollbus</t>
  </si>
  <si>
    <t>VND/vase</t>
  </si>
  <si>
    <t>T-Flute</t>
  </si>
  <si>
    <t>Size =</t>
  </si>
  <si>
    <t>VND/m2.</t>
  </si>
  <si>
    <t>Pcs</t>
  </si>
  <si>
    <t>Hot stamping foils</t>
  </si>
  <si>
    <t>OPT based on Manu</t>
  </si>
  <si>
    <t xml:space="preserve">SIZE OF FOIL/LINE </t>
  </si>
  <si>
    <t>VND/roll</t>
  </si>
  <si>
    <t>Rolls/10,000 sheets</t>
  </si>
  <si>
    <t>OPT new Request</t>
  </si>
  <si>
    <t>Total Unit</t>
  </si>
  <si>
    <t>VND/Unit</t>
  </si>
  <si>
    <t>Bang keo giấy</t>
  </si>
  <si>
    <t>PET 0.2 x 45 x 70 mm</t>
  </si>
  <si>
    <t>CHIPBOARD PAPER</t>
  </si>
  <si>
    <t>STICKER</t>
  </si>
  <si>
    <t>UV 900 - Metalize</t>
  </si>
  <si>
    <t>Plate Change</t>
  </si>
  <si>
    <t>PET Die Cutting</t>
  </si>
  <si>
    <t>EVA Die Cutting</t>
  </si>
  <si>
    <t>PET 2</t>
  </si>
  <si>
    <t>EVA 1</t>
  </si>
  <si>
    <t>EVA 2</t>
  </si>
  <si>
    <t>FIX COST</t>
  </si>
  <si>
    <t>COATING</t>
  </si>
  <si>
    <t>Case Cover</t>
  </si>
  <si>
    <t>Form Case Cover</t>
  </si>
  <si>
    <t>Proof cost</t>
  </si>
  <si>
    <t>Plates</t>
  </si>
  <si>
    <t>Paper cost</t>
  </si>
  <si>
    <t>Chemical</t>
  </si>
  <si>
    <t>Kg/mm2
/10,000</t>
  </si>
  <si>
    <t>Ink cost</t>
  </si>
  <si>
    <t>Background Color</t>
  </si>
  <si>
    <t>Kg/color</t>
  </si>
  <si>
    <t>colors</t>
  </si>
  <si>
    <t>Labour Cost</t>
  </si>
  <si>
    <t xml:space="preserve">Printing </t>
  </si>
  <si>
    <t>Product</t>
  </si>
  <si>
    <t>Total Hrs.</t>
  </si>
  <si>
    <t>machine</t>
  </si>
  <si>
    <t>Transportation-Local</t>
  </si>
  <si>
    <t>Courier-Export</t>
  </si>
  <si>
    <t>Mould cost</t>
  </si>
  <si>
    <t>Hot stamping</t>
  </si>
  <si>
    <t>Glue, Acc, Labour cost</t>
  </si>
  <si>
    <t>Color</t>
  </si>
  <si>
    <t>Extra Q'ty :</t>
  </si>
  <si>
    <t>080gsm WOODFREE Magno Natural Sappi - German</t>
  </si>
  <si>
    <t>090gsm WOODFREE Magno Natural Sappi - German</t>
  </si>
  <si>
    <t>Paper Print</t>
  </si>
  <si>
    <t xml:space="preserve">PAPER: </t>
  </si>
  <si>
    <t>QUOTATION APPROVAL</t>
  </si>
  <si>
    <t>Quantities</t>
  </si>
  <si>
    <t>SKUs.</t>
  </si>
  <si>
    <t>Total Quantities</t>
  </si>
  <si>
    <t>% based on the sale-price</t>
  </si>
  <si>
    <t>1. Materials Costs</t>
  </si>
  <si>
    <t>3. Transport charge</t>
  </si>
  <si>
    <t>Interest :</t>
  </si>
  <si>
    <t>Selling Price :</t>
  </si>
  <si>
    <t>Total cost :</t>
  </si>
  <si>
    <t>Offered Price :</t>
  </si>
  <si>
    <t>Nguyen Thi Huyen</t>
  </si>
  <si>
    <t>Information for reference</t>
  </si>
  <si>
    <t>Estimator :</t>
  </si>
  <si>
    <t xml:space="preserve">Glue         </t>
  </si>
  <si>
    <t>Accessories</t>
  </si>
  <si>
    <t xml:space="preserve">Packing materials </t>
  </si>
  <si>
    <t>Transportation/Local charge</t>
  </si>
  <si>
    <t>Total Carton</t>
  </si>
  <si>
    <t>Total Pallet</t>
  </si>
  <si>
    <t>Total weight</t>
  </si>
  <si>
    <t>-Transport charge</t>
  </si>
  <si>
    <t>Lories</t>
  </si>
  <si>
    <t>L (cm)</t>
  </si>
  <si>
    <t>W (cm)</t>
  </si>
  <si>
    <t>H (cm)</t>
  </si>
  <si>
    <t>Pallet 80 x 120 cm</t>
  </si>
  <si>
    <t>Pallet 100 x 120 cm</t>
  </si>
  <si>
    <t>Cartons Size</t>
  </si>
  <si>
    <t>Pallet Size</t>
  </si>
  <si>
    <t xml:space="preserve">TRANSPORTATION COST </t>
  </si>
  <si>
    <t xml:space="preserve"> Muc in IC-921 ( Binh 825ml ) Su dung nguyen chat, khong pha che. 1binh in duoc 90.000 ky tu ( loai chu thong thuong 7x5 ) </t>
  </si>
  <si>
    <t>Payment term :</t>
  </si>
  <si>
    <t>Quantity to quote (inc. waste)</t>
  </si>
  <si>
    <t>Quantity to quote (inc. extra q'ty)</t>
  </si>
  <si>
    <t>Pcs/copy</t>
  </si>
  <si>
    <t>MOQ</t>
  </si>
  <si>
    <t>Paper2</t>
  </si>
  <si>
    <t>Paper3</t>
  </si>
  <si>
    <t>Paper1</t>
  </si>
  <si>
    <t>Quantity to quote (inc. extra &amp;waste)</t>
  </si>
  <si>
    <t>Paper type</t>
  </si>
  <si>
    <t>HANSOL</t>
  </si>
  <si>
    <t>DEA HAN</t>
  </si>
  <si>
    <t>CHENMING (ECO) (CHINA)</t>
  </si>
  <si>
    <t>CHENMING EUCA</t>
  </si>
  <si>
    <t>KUAN YUAN</t>
  </si>
  <si>
    <t>PAKERIN - INDO</t>
  </si>
  <si>
    <t>APP - INDO DA HOA LAN</t>
  </si>
  <si>
    <t>APP - INDO DP HOA LAN</t>
  </si>
  <si>
    <t>SHINPOONG - KOREA</t>
  </si>
  <si>
    <t>HANCHANG-KOREA</t>
  </si>
  <si>
    <t>MEHALI-INDIA</t>
  </si>
  <si>
    <t>GHS - CHINA</t>
  </si>
  <si>
    <t>Chenming - China Chenming (Poplar C2S)</t>
  </si>
  <si>
    <t>Chenming</t>
  </si>
  <si>
    <t>SURYA PAMENANG - ESPRIME</t>
  </si>
  <si>
    <t>SURYA PAMENANG - ESPACK</t>
  </si>
  <si>
    <t>APP-NINGBO BRAND (CHINA)</t>
  </si>
  <si>
    <t>NINGBO - CHINA</t>
  </si>
  <si>
    <t>IP SUN StarSpark</t>
  </si>
  <si>
    <t>IP SUN StarBlanc</t>
  </si>
  <si>
    <t>Magno Natural Sappi - German</t>
  </si>
  <si>
    <t>SINGA-MALAYSIA</t>
  </si>
  <si>
    <t>APP-IK BRAND</t>
  </si>
  <si>
    <t>Siamkraft - SCG Thailand</t>
  </si>
  <si>
    <t>SCG THAI PAPER MILL</t>
  </si>
  <si>
    <t>IK Serang (Sinarfold-VA)</t>
  </si>
  <si>
    <t>IK Serang (Sinarboard-IA)</t>
  </si>
  <si>
    <t>IK Serang (Sinarvanda)</t>
  </si>
  <si>
    <t>NR, AGARWAY-INDIA</t>
  </si>
  <si>
    <t>Shangdong Bohui Bohui GC1</t>
  </si>
  <si>
    <t>StoraEnso- Finland Ensocoat (C1S)</t>
  </si>
  <si>
    <t>WestRock Printkote (C1S)</t>
  </si>
  <si>
    <t>WestRock Crescendo (C1S)</t>
  </si>
  <si>
    <t>ITC - INDIA GC1 - BXHS</t>
  </si>
  <si>
    <t>PRO FBB BRIGHT - MESTA BOARD</t>
  </si>
  <si>
    <t>APP-3 COIN BRAND PINDO MILL</t>
  </si>
  <si>
    <t>Bohui- China Bohui (C2S)</t>
  </si>
  <si>
    <t>StoraEnso- Finland Ensocoat (C2S)</t>
  </si>
  <si>
    <t>MOORIM - KOREA</t>
  </si>
  <si>
    <t>HAI NAM - CHINA</t>
  </si>
  <si>
    <t>NEVIA - CHINA</t>
  </si>
  <si>
    <t>UPM FINE-China</t>
  </si>
  <si>
    <t>Brand</t>
  </si>
  <si>
    <t>GB</t>
  </si>
  <si>
    <t>WBB</t>
  </si>
  <si>
    <t>IVORY</t>
  </si>
  <si>
    <t>ARTBOARD</t>
  </si>
  <si>
    <t>ART PAPER</t>
  </si>
  <si>
    <t>WOODFREE</t>
  </si>
  <si>
    <t>BRAND</t>
  </si>
  <si>
    <t>PAPER TYPE</t>
  </si>
  <si>
    <t>Old mapping - back up</t>
  </si>
  <si>
    <t>Price VND/m2.</t>
  </si>
  <si>
    <t>Spec Layer1</t>
  </si>
  <si>
    <t>Spec Layer2</t>
  </si>
  <si>
    <t>Spec Layer3</t>
  </si>
  <si>
    <t>TTL</t>
  </si>
  <si>
    <t>Input (Shts)</t>
  </si>
  <si>
    <t>Total Kgs</t>
  </si>
  <si>
    <t>UOM</t>
  </si>
  <si>
    <t>Ink consumption:</t>
  </si>
  <si>
    <t>Price VND/Kg</t>
  </si>
  <si>
    <t>Cost/unit</t>
  </si>
  <si>
    <t>Cap.</t>
  </si>
  <si>
    <t>Labor cap.</t>
  </si>
  <si>
    <t>6.</t>
  </si>
  <si>
    <t>DESCRIPTION</t>
  </si>
  <si>
    <t>Y/N</t>
  </si>
  <si>
    <t>CB</t>
  </si>
  <si>
    <t>Roll &amp; Ream</t>
  </si>
  <si>
    <t>Wongbang</t>
  </si>
  <si>
    <t>0.65mm</t>
  </si>
  <si>
    <t>0.8mm</t>
  </si>
  <si>
    <t>1mm</t>
  </si>
  <si>
    <t>1.2mm</t>
  </si>
  <si>
    <t>1.3mm</t>
  </si>
  <si>
    <t>1.6mm</t>
  </si>
  <si>
    <t>1.7mm</t>
  </si>
  <si>
    <t>1.8mm</t>
  </si>
  <si>
    <t>2mm</t>
  </si>
  <si>
    <t>2.2mm</t>
  </si>
  <si>
    <t>2.4mm</t>
  </si>
  <si>
    <t>2.6mm</t>
  </si>
  <si>
    <t>2.8mm</t>
  </si>
  <si>
    <t>3mm</t>
  </si>
  <si>
    <t>3.2mm</t>
  </si>
  <si>
    <t>3.6mm</t>
  </si>
  <si>
    <t>0.4mm</t>
  </si>
  <si>
    <t>0.55mm</t>
  </si>
  <si>
    <t>1.15mm</t>
  </si>
  <si>
    <t>1.26mm</t>
  </si>
  <si>
    <t>1.41mm</t>
  </si>
  <si>
    <t>1.61mm</t>
  </si>
  <si>
    <t>1.72mm</t>
  </si>
  <si>
    <t>1.83mm</t>
  </si>
  <si>
    <t>2.02mm</t>
  </si>
  <si>
    <t>2.14mm</t>
  </si>
  <si>
    <t>2.28mm</t>
  </si>
  <si>
    <t>2.44mm</t>
  </si>
  <si>
    <t>2.59mm</t>
  </si>
  <si>
    <t>2.73mm</t>
  </si>
  <si>
    <t>2.87mm</t>
  </si>
  <si>
    <t>3.03mm</t>
  </si>
  <si>
    <t>3.27mm</t>
  </si>
  <si>
    <t>3.31mm</t>
  </si>
  <si>
    <t>3.36mm</t>
  </si>
  <si>
    <t>THICK</t>
  </si>
  <si>
    <t>Thick</t>
  </si>
  <si>
    <t>cm</t>
  </si>
  <si>
    <t>FOB HCM</t>
  </si>
  <si>
    <t>FMC</t>
  </si>
  <si>
    <t>VND/Sheet</t>
  </si>
  <si>
    <t>DEL COST</t>
  </si>
  <si>
    <t xml:space="preserve">Finishing </t>
  </si>
  <si>
    <t>Thermal_Matt_OPP_Import</t>
  </si>
  <si>
    <t>Thermal_Matt_OPP_Local</t>
  </si>
  <si>
    <t>Thermal_Gloss_OPP_Local</t>
  </si>
  <si>
    <t>Metalize_Non_Thermal_Polyplex</t>
  </si>
  <si>
    <t>Metalize_Thermal_Local</t>
  </si>
  <si>
    <t>Cons</t>
  </si>
  <si>
    <t>Front/Back</t>
  </si>
  <si>
    <t>Max/Min</t>
  </si>
  <si>
    <t>Min</t>
  </si>
  <si>
    <t>Pcs/shts</t>
  </si>
  <si>
    <t>Metalize lamination</t>
  </si>
  <si>
    <t>Calendering</t>
  </si>
  <si>
    <t>Hotstamp (NIKKO 1050FH)</t>
  </si>
  <si>
    <t>Emboss (NIKKO 1050FH)</t>
  </si>
  <si>
    <t>Trimming paper</t>
  </si>
  <si>
    <t>Lay out</t>
  </si>
  <si>
    <t>An Truong Phat</t>
  </si>
  <si>
    <t>Single Wall</t>
  </si>
  <si>
    <t>SIZE PALLET</t>
  </si>
  <si>
    <t>Total Cartons   :</t>
  </si>
  <si>
    <t>Size CTN</t>
  </si>
  <si>
    <t>Oversea</t>
  </si>
  <si>
    <t>cbm/pallet</t>
  </si>
  <si>
    <t>Shipment</t>
  </si>
  <si>
    <t>kgs/ctn</t>
  </si>
  <si>
    <t>kgs/pallet</t>
  </si>
  <si>
    <t>Freight cost</t>
  </si>
  <si>
    <t>PRODUCTION COST</t>
  </si>
  <si>
    <t xml:space="preserve"> -PACKING</t>
  </si>
  <si>
    <t xml:space="preserve"> -DELIVERY</t>
  </si>
  <si>
    <t xml:space="preserve"> -TOOLS</t>
  </si>
  <si>
    <t>Spec Flute</t>
  </si>
  <si>
    <t>Kind Of Sticker</t>
  </si>
  <si>
    <t>Color/Times</t>
  </si>
  <si>
    <t>Total Color</t>
  </si>
  <si>
    <t>Packing material cost</t>
  </si>
  <si>
    <t>CARTONS - PALLET COST 1</t>
  </si>
  <si>
    <t>Pack :</t>
  </si>
  <si>
    <t>Yuen Foong Yu</t>
  </si>
  <si>
    <t>Pack copies/set :</t>
  </si>
  <si>
    <t>Copies(CDP-S/C)/Carton :</t>
  </si>
  <si>
    <t>Total Cartons :</t>
  </si>
  <si>
    <t>Cartons/Pallet :</t>
  </si>
  <si>
    <t>Total Pallets :</t>
  </si>
  <si>
    <t>Glue Kraft</t>
  </si>
  <si>
    <t>CARTONS - PALLET COST 2</t>
  </si>
  <si>
    <t>CARTONS - PALLET COST 3</t>
  </si>
  <si>
    <t xml:space="preserve"> -PACKING 1</t>
  </si>
  <si>
    <t xml:space="preserve"> -PACKING 2</t>
  </si>
  <si>
    <t xml:space="preserve"> -PACKING 3</t>
  </si>
  <si>
    <t xml:space="preserve"> - PACKING MATERIALS COST</t>
  </si>
  <si>
    <t>Unit Price</t>
  </si>
  <si>
    <t>LOCAL</t>
  </si>
  <si>
    <t>OVERSEA</t>
  </si>
  <si>
    <t>Cap</t>
  </si>
  <si>
    <t>None_Metalize</t>
  </si>
  <si>
    <t>Primer_Coating</t>
  </si>
  <si>
    <t>Komori_240</t>
  </si>
  <si>
    <t>Komori_L240</t>
  </si>
  <si>
    <t>Komori_LX640</t>
  </si>
  <si>
    <t>Komori_LS640</t>
  </si>
  <si>
    <t>Komori_LS740</t>
  </si>
  <si>
    <t>KOMORI_L240</t>
  </si>
  <si>
    <t>KOMORI_LS640</t>
  </si>
  <si>
    <t>KOMORI_LS740</t>
  </si>
  <si>
    <t>KOMORI_LX640</t>
  </si>
  <si>
    <t>Set up Time</t>
  </si>
  <si>
    <t>Water base - Rollan</t>
  </si>
  <si>
    <t>PET 3</t>
  </si>
  <si>
    <t>PET 4</t>
  </si>
  <si>
    <t>EVA 3</t>
  </si>
  <si>
    <t>EVA 4</t>
  </si>
  <si>
    <t xml:space="preserve"> -OTHER COST</t>
  </si>
  <si>
    <t>Print Datecode</t>
  </si>
  <si>
    <t>TIHI</t>
  </si>
  <si>
    <t xml:space="preserve">Note : </t>
  </si>
  <si>
    <t>(1) Chiều rộng của tờ sóng là hướng nằm ngang của sóng, song song với chiều vào máy và chiều rộng cuộn giấy.</t>
  </si>
  <si>
    <t>(2) Chiều rộng cần thiết của cuộn giấy bao gồm phần cộng thêm trước khi chia nhỏ (tối đa 20 mm mỗi bên)</t>
  </si>
  <si>
    <t>(3) Khổ cuộn sẽ tính tròn theo bước nhảy 50 mm của NCC giấy.</t>
  </si>
  <si>
    <t xml:space="preserve">(4) Tốc độ trung bình của máy là 45m/phút </t>
  </si>
  <si>
    <t xml:space="preserve">(5) Hệ số sóng (K): </t>
  </si>
  <si>
    <t xml:space="preserve">Sóng F: K = 1.23 (Est)
</t>
  </si>
  <si>
    <t>Sóng E: K = 1.28  (Actual Prod)</t>
  </si>
  <si>
    <t>Sóng T: K = 1.33 (Est)</t>
  </si>
  <si>
    <t>Sóng B: K = 1.43 (Actual Prod)</t>
  </si>
  <si>
    <t>(6) Số người vận hành máy: 4 người.</t>
  </si>
  <si>
    <t>Dear EST team, chị Dung, chị Hoàn</t>
  </si>
  <si>
    <t>Để an toàn cho chạy máy làm sóng việc tính khổ giấy kraft làm sóng cho máy mới bên e update thông tin như sau</t>
  </si>
  <si>
    <t>Khổ an toàn để tính nằm trong khoảng 1200-1700mm nên team lưu ý khi tính nhé, thông tin e có note trong file tính sóng</t>
  </si>
  <si>
    <t xml:space="preserve">Trường hợp không thể tính trong khoảng an toàn như trên mà nhỏ hơn , tầm từ 1000 mm đến &lt;1200mm chỉ áp dụng cho những đơn hàng nhỏ &lt;10,000pcs </t>
  </si>
  <si>
    <t xml:space="preserve">Thanks, </t>
  </si>
  <si>
    <t xml:space="preserve">CUSTOMER : </t>
  </si>
  <si>
    <t xml:space="preserve">JOB NAME : </t>
  </si>
  <si>
    <t xml:space="preserve">BOX SIZE : </t>
  </si>
  <si>
    <t xml:space="preserve">ORDER : </t>
  </si>
  <si>
    <t xml:space="preserve">PRINTING SIZE : </t>
  </si>
  <si>
    <t xml:space="preserve">CATEGORY: </t>
  </si>
  <si>
    <t xml:space="preserve">Estimate waste size: </t>
  </si>
  <si>
    <t>Price @MOQ</t>
  </si>
  <si>
    <t>% Diff. 
NEW vs OLD</t>
  </si>
  <si>
    <t>CB/Corrugated Paper</t>
  </si>
  <si>
    <t>Others materials</t>
  </si>
  <si>
    <t>2. Direct Costs</t>
  </si>
  <si>
    <t>4. Tools &amp; Proof Costs</t>
  </si>
  <si>
    <t>Plates / Blanket / Moulds</t>
  </si>
  <si>
    <t>Proof / Sample</t>
  </si>
  <si>
    <t>5. Indirect Manufacturing Cost</t>
  </si>
  <si>
    <t>Margin :</t>
  </si>
  <si>
    <t>Sales/MKT to key in Margin target</t>
  </si>
  <si>
    <t>6. Interest</t>
  </si>
  <si>
    <t>7. Freight &amp; Insurance :</t>
  </si>
  <si>
    <t>Extra cost for proof</t>
  </si>
  <si>
    <t>CM %</t>
  </si>
  <si>
    <t>Sales/MKT - team lead</t>
  </si>
  <si>
    <t>Printing Paper</t>
  </si>
  <si>
    <t>Double Wall</t>
  </si>
  <si>
    <t>ĐƠN GIÁ
(PCS)</t>
  </si>
  <si>
    <t>Single wall</t>
  </si>
  <si>
    <t>Double wall</t>
  </si>
  <si>
    <t>Indirect Manufacturing Cost</t>
  </si>
  <si>
    <t>Check number of Mould per sheet</t>
  </si>
  <si>
    <t>Man/Non-Man</t>
  </si>
  <si>
    <t>Machine color</t>
  </si>
  <si>
    <t>Man</t>
  </si>
  <si>
    <t>BOOK AREA</t>
  </si>
  <si>
    <t>Mould type</t>
  </si>
  <si>
    <t>Inhouse/OS</t>
  </si>
  <si>
    <t>ADD more PLATE if any</t>
  </si>
  <si>
    <t>PRINTING SIZE</t>
  </si>
  <si>
    <t>Unit Price (VND/MT)</t>
  </si>
  <si>
    <t>Actual Request</t>
  </si>
  <si>
    <t>Balance</t>
  </si>
  <si>
    <t>Qty</t>
  </si>
  <si>
    <t>Total Amount</t>
  </si>
  <si>
    <t>VND/Pc</t>
  </si>
  <si>
    <t>GM :</t>
  </si>
  <si>
    <t>Selling Price:</t>
  </si>
  <si>
    <t>ACC</t>
  </si>
  <si>
    <t>Kind Of Acc</t>
  </si>
  <si>
    <t>CM :</t>
  </si>
  <si>
    <t xml:space="preserve"> -Accessories</t>
  </si>
  <si>
    <t>Form</t>
  </si>
  <si>
    <t xml:space="preserve"> -Other Material</t>
  </si>
  <si>
    <t>MOULD FOR PET,EVA</t>
  </si>
  <si>
    <t>Other Cost</t>
  </si>
  <si>
    <t xml:space="preserve">Margin </t>
  </si>
  <si>
    <t>Coating</t>
  </si>
  <si>
    <t>Type of Product</t>
  </si>
  <si>
    <t>Firstprint</t>
  </si>
  <si>
    <t>Reprint</t>
  </si>
  <si>
    <t>Mould Bao Thuoc La</t>
  </si>
  <si>
    <t>Mould Bao Thuốc lá 6000$ + 6000$ (blade change), allocated 43k pcs ~ 3k shts print</t>
  </si>
  <si>
    <t>Trimming paper - Acc</t>
  </si>
  <si>
    <t>Cutting paper - Acc</t>
  </si>
  <si>
    <t>Diecutting - ACC</t>
  </si>
  <si>
    <t>Mark Up 0%</t>
  </si>
  <si>
    <t>Insurance Freight</t>
  </si>
  <si>
    <t>Insurance PO</t>
  </si>
  <si>
    <t>CLIENTS</t>
  </si>
  <si>
    <t>CODE</t>
  </si>
  <si>
    <t>PRODUCT'S NAME</t>
  </si>
  <si>
    <t>QUANTITY</t>
  </si>
  <si>
    <t>UNIT PRICE</t>
  </si>
  <si>
    <t>Interest %</t>
  </si>
  <si>
    <t>Paper (Printing)</t>
  </si>
  <si>
    <t>Paper
(Non Printing)</t>
  </si>
  <si>
    <t>Paper
(Total)</t>
  </si>
  <si>
    <t>GM</t>
  </si>
  <si>
    <t>Plate/Mould</t>
  </si>
  <si>
    <t xml:space="preserve"> Freight &amp; Insurance</t>
  </si>
  <si>
    <t>EXW-FCA(có bốc xếp)</t>
  </si>
  <si>
    <t>http://www.dhl.com.vn/exp-vi/express/shipping/shipping_advice/express_fuel_surcharge.html</t>
  </si>
  <si>
    <t>% Waste</t>
  </si>
  <si>
    <t>Selling 
GM</t>
  </si>
  <si>
    <t>Actual 
GM</t>
  </si>
  <si>
    <t>Freight &amp; Insurance</t>
  </si>
  <si>
    <t>:</t>
  </si>
  <si>
    <t>QUOTATION / BẢNG BÁO GIÁ</t>
  </si>
  <si>
    <t>Client's name/ Tên khách hàng</t>
  </si>
  <si>
    <t>Quotation No./ Bảng báo giá số</t>
  </si>
  <si>
    <t>Attn./ Người nhận</t>
  </si>
  <si>
    <t xml:space="preserve">: </t>
  </si>
  <si>
    <t>Date/ Ngày</t>
  </si>
  <si>
    <t>Tel.</t>
  </si>
  <si>
    <t>Fax.</t>
  </si>
  <si>
    <t>Email</t>
  </si>
  <si>
    <t>Product/ Tên sản phẩm</t>
  </si>
  <si>
    <t>Dimension/ Kích thước (mm.)</t>
  </si>
  <si>
    <t>Colour / Số màu in</t>
  </si>
  <si>
    <t>Paper board / Loại giấy</t>
  </si>
  <si>
    <t>Price/ SKU Đơn giá (VND)</t>
  </si>
  <si>
    <t xml:space="preserve">Minimum order/ 
SL đặt hàng tốI thiểu    </t>
  </si>
  <si>
    <t>Dài (L)</t>
  </si>
  <si>
    <t>Rộng (W)</t>
  </si>
  <si>
    <t>Cao (H)</t>
  </si>
  <si>
    <t>Board/      Tên giấy</t>
  </si>
  <si>
    <t>GSM /     Định lượng</t>
  </si>
  <si>
    <t>: May be changed according to Economics factors./ Có thể thay đổI theo biến động của thị trường</t>
  </si>
  <si>
    <t>Validity / Thời gian hiệu lực</t>
  </si>
  <si>
    <t>Payment  term/ Hình thức thanh toán</t>
  </si>
  <si>
    <t xml:space="preserve"> days after delivery./ 30 ngày sau ngày giao hàng.</t>
  </si>
  <si>
    <t>Delivery time/ Thời gian giao hàng</t>
  </si>
  <si>
    <t>Delivery Place/ Địa điểm giao hàng</t>
  </si>
  <si>
    <t>Other Conditions/ Các điều kiện khác</t>
  </si>
  <si>
    <t>Note :</t>
  </si>
  <si>
    <t xml:space="preserve">Prepared by / </t>
  </si>
  <si>
    <t>Approved by /</t>
  </si>
  <si>
    <t xml:space="preserve">Approved by (The Buyer) / </t>
  </si>
  <si>
    <t>Người lập:</t>
  </si>
  <si>
    <t>Người duyệt:</t>
  </si>
  <si>
    <t>Người duyệt (người mua):</t>
  </si>
  <si>
    <t>--------------------------</t>
  </si>
  <si>
    <t>---------------------------------</t>
  </si>
  <si>
    <t>------------------------------------</t>
  </si>
  <si>
    <t>Le Thi Thu Thuy</t>
  </si>
  <si>
    <t>MKT-FM-04 (03 - 20/02/08)</t>
  </si>
  <si>
    <t>Tran Thi Dai Loan</t>
  </si>
  <si>
    <t>: Le Thi Thu Thuy</t>
  </si>
  <si>
    <t>thuy.ltt@starprintvn.com</t>
  </si>
  <si>
    <t>Phan Thi Tu Ngan</t>
  </si>
  <si>
    <t>: Tran Thi Dai Loan</t>
  </si>
  <si>
    <t>loan.ttd@starprintvn.com</t>
  </si>
  <si>
    <t>: Phan Thi Tu Ngan</t>
  </si>
  <si>
    <t>tungan@starprintvn.com</t>
  </si>
  <si>
    <t>Nguyen Thi Cuc</t>
  </si>
  <si>
    <t>: Dao Thu Huong</t>
  </si>
  <si>
    <t>thuhuong.dao@starprintvn.com</t>
  </si>
  <si>
    <t>Ho Biec Lam Tuyen</t>
  </si>
  <si>
    <t>: Nguyen Thi Cuc</t>
  </si>
  <si>
    <t>thicuc@starprintvn.com</t>
  </si>
  <si>
    <t>: Ho Biec Lam Tuyen</t>
  </si>
  <si>
    <t>lamtuyen@starprintvn.com</t>
  </si>
  <si>
    <t>Dao Thu Huong</t>
  </si>
  <si>
    <t>*** The regular local charge (if any) is standard rate provided by VN carriers. If client' s forwarder charge over this rate for FOB shipment, the extra cost will be under client's account ***</t>
  </si>
  <si>
    <t>Acc2</t>
  </si>
  <si>
    <t>Acc3</t>
  </si>
  <si>
    <t>Acc4</t>
  </si>
  <si>
    <t>Acc5</t>
  </si>
  <si>
    <t>Acc6</t>
  </si>
  <si>
    <t>Acc7</t>
  </si>
  <si>
    <t>Acc8</t>
  </si>
  <si>
    <t>Acc9</t>
  </si>
  <si>
    <t>Acc10</t>
  </si>
  <si>
    <t>Acc11</t>
  </si>
  <si>
    <t>Acc12</t>
  </si>
  <si>
    <t>Acc13</t>
  </si>
  <si>
    <t>Acc14</t>
  </si>
  <si>
    <t>Acc15</t>
  </si>
  <si>
    <t>Key Account Manager</t>
  </si>
  <si>
    <t>Printting sz</t>
  </si>
  <si>
    <t>Oder Size</t>
  </si>
  <si>
    <t>Weight (tons)</t>
  </si>
  <si>
    <t>days</t>
  </si>
  <si>
    <t>Hàng xuất, TT Kinh Do sử dụng thùng YFY</t>
  </si>
  <si>
    <t xml:space="preserve"> Insurance for TT Kinh Do</t>
  </si>
  <si>
    <t>JANSY</t>
  </si>
  <si>
    <t>Heat treatment</t>
  </si>
  <si>
    <t>LOCAL CHARGE FOR ACCESSORY OF CRAYOLA - SPV HANDLE FREIGHT</t>
  </si>
  <si>
    <t>LOCAL CHARGE FOR ACCESSORY OF CRAYOLA - CRAYOLA HANDLE FREIGHT</t>
  </si>
  <si>
    <t>LOCAL CHARGE FOR ACCESSORY OF CRAYOLA - PICK UP FROM EXPEDITOR</t>
  </si>
  <si>
    <t>• All Rates stated here are in VND, excluding taxes, fuel surcharge and other fees and surcharges (where applicable).</t>
  </si>
  <si>
    <t>• The Rates as set out in this rate card are valid only until December 31 of the year the Rates are quoted. The Rates are subject to a General Price Increase (GPI) effective January 1st of each year. DHL reserves the right to revise the Rates at any time upon prior written notice to the Customer.</t>
  </si>
  <si>
    <t>• Prices are charged pro rata by 0.5 kg. up to 30kg, and charged on a per kg basis thereafter. A 1kg increment applied for shipments over 30kg.</t>
  </si>
  <si>
    <t>• Shipment insurance is also available. For more information, please contact our Customer Service.</t>
  </si>
  <si>
    <t>• DHL Express does not accept shipments containing pieces exceeding 1,000kg (2200 lbs) or 300cm (118.1 inches) length.  A shipment with total weight exceeding 1000kg (2200 lbs) requires pre-approval of DHL and may be charged at alternate rates. Our standard transit time commitment may not apply. Please contact your DHL account manager.</t>
  </si>
  <si>
    <r>
      <t>1</t>
    </r>
    <r>
      <rPr>
        <vertAlign val="superscript"/>
        <sz val="10"/>
        <rFont val="Arial"/>
        <family val="2"/>
      </rPr>
      <t>st</t>
    </r>
  </si>
  <si>
    <r>
      <t>2</t>
    </r>
    <r>
      <rPr>
        <vertAlign val="superscript"/>
        <sz val="10"/>
        <rFont val="Arial"/>
        <family val="2"/>
      </rPr>
      <t>nd</t>
    </r>
  </si>
  <si>
    <r>
      <t>3</t>
    </r>
    <r>
      <rPr>
        <vertAlign val="superscript"/>
        <sz val="10"/>
        <rFont val="Arial"/>
        <family val="2"/>
      </rPr>
      <t>rd</t>
    </r>
  </si>
  <si>
    <r>
      <t>4</t>
    </r>
    <r>
      <rPr>
        <vertAlign val="superscript"/>
        <sz val="10"/>
        <rFont val="Arial"/>
        <family val="2"/>
      </rPr>
      <t>th</t>
    </r>
  </si>
  <si>
    <r>
      <t>5</t>
    </r>
    <r>
      <rPr>
        <vertAlign val="superscript"/>
        <sz val="10"/>
        <rFont val="Arial"/>
        <family val="2"/>
      </rPr>
      <t>th</t>
    </r>
  </si>
  <si>
    <r>
      <t>6</t>
    </r>
    <r>
      <rPr>
        <vertAlign val="superscript"/>
        <sz val="10"/>
        <rFont val="Arial"/>
        <family val="2"/>
      </rPr>
      <t>th</t>
    </r>
  </si>
  <si>
    <r>
      <t>7</t>
    </r>
    <r>
      <rPr>
        <vertAlign val="superscript"/>
        <sz val="10"/>
        <rFont val="Arial"/>
        <family val="2"/>
      </rPr>
      <t>th</t>
    </r>
  </si>
  <si>
    <r>
      <t>8</t>
    </r>
    <r>
      <rPr>
        <vertAlign val="superscript"/>
        <sz val="10"/>
        <rFont val="Arial"/>
        <family val="2"/>
      </rPr>
      <t>th</t>
    </r>
  </si>
  <si>
    <r>
      <t>9</t>
    </r>
    <r>
      <rPr>
        <vertAlign val="superscript"/>
        <sz val="10"/>
        <rFont val="Arial"/>
        <family val="2"/>
      </rPr>
      <t>th</t>
    </r>
  </si>
  <si>
    <r>
      <t>10</t>
    </r>
    <r>
      <rPr>
        <vertAlign val="superscript"/>
        <sz val="10"/>
        <rFont val="Arial"/>
        <family val="2"/>
      </rPr>
      <t>th</t>
    </r>
  </si>
  <si>
    <r>
      <t>11</t>
    </r>
    <r>
      <rPr>
        <vertAlign val="superscript"/>
        <sz val="10"/>
        <rFont val="Arial"/>
        <family val="2"/>
      </rPr>
      <t>th</t>
    </r>
  </si>
  <si>
    <r>
      <t>12</t>
    </r>
    <r>
      <rPr>
        <vertAlign val="superscript"/>
        <sz val="10"/>
        <rFont val="Arial"/>
        <family val="2"/>
      </rPr>
      <t>th</t>
    </r>
  </si>
  <si>
    <t>Name</t>
  </si>
  <si>
    <t>Crayola</t>
  </si>
  <si>
    <t>TT Kinh Do</t>
  </si>
  <si>
    <t>Import Price</t>
  </si>
  <si>
    <t>Surcharge</t>
  </si>
  <si>
    <t>Import Term</t>
  </si>
  <si>
    <t>Freight</t>
  </si>
  <si>
    <t>Local Price</t>
  </si>
  <si>
    <t>brand 1</t>
  </si>
  <si>
    <t>Sticker</t>
  </si>
  <si>
    <t>Type</t>
  </si>
  <si>
    <t>Price Local</t>
  </si>
  <si>
    <t xml:space="preserve">Coating </t>
  </si>
  <si>
    <t>Matt UV 3</t>
  </si>
  <si>
    <t>Matt UV 4</t>
  </si>
  <si>
    <t>Matt UV 5</t>
  </si>
  <si>
    <t>Roll size</t>
  </si>
  <si>
    <t xml:space="preserve">Glue </t>
  </si>
  <si>
    <t>Q'ty</t>
  </si>
  <si>
    <t>CNF</t>
  </si>
  <si>
    <t>KRAFT</t>
  </si>
  <si>
    <t>300</t>
  </si>
  <si>
    <t>Vinh Sang</t>
  </si>
  <si>
    <t>0.42mm</t>
  </si>
  <si>
    <t>400</t>
  </si>
  <si>
    <t>0.56mm</t>
  </si>
  <si>
    <t>500</t>
  </si>
  <si>
    <t>0.7mm</t>
  </si>
  <si>
    <t>1.12mm</t>
  </si>
  <si>
    <t>1.4mm</t>
  </si>
  <si>
    <t>1.54mm</t>
  </si>
  <si>
    <t>1.68mm</t>
  </si>
  <si>
    <t>1.82mm</t>
  </si>
  <si>
    <t>2.1mm</t>
  </si>
  <si>
    <t>2.24mm</t>
  </si>
  <si>
    <t>2.38mm</t>
  </si>
  <si>
    <t>2.52mm</t>
  </si>
  <si>
    <t>2.94mm</t>
  </si>
  <si>
    <t>056</t>
  </si>
  <si>
    <t>058</t>
  </si>
  <si>
    <t>060</t>
  </si>
  <si>
    <t>070</t>
  </si>
  <si>
    <t>074</t>
  </si>
  <si>
    <t>075</t>
  </si>
  <si>
    <t>080</t>
  </si>
  <si>
    <t>089</t>
  </si>
  <si>
    <t>090</t>
  </si>
  <si>
    <t>095</t>
  </si>
  <si>
    <t>100</t>
  </si>
  <si>
    <t>104</t>
  </si>
  <si>
    <t>105</t>
  </si>
  <si>
    <t>110</t>
  </si>
  <si>
    <t>113</t>
  </si>
  <si>
    <t>115</t>
  </si>
  <si>
    <t>118</t>
  </si>
  <si>
    <t>120</t>
  </si>
  <si>
    <t>128</t>
  </si>
  <si>
    <t>130</t>
  </si>
  <si>
    <t>135</t>
  </si>
  <si>
    <t>140</t>
  </si>
  <si>
    <t>148</t>
  </si>
  <si>
    <t>150</t>
  </si>
  <si>
    <t>157</t>
  </si>
  <si>
    <t>160</t>
  </si>
  <si>
    <t>165</t>
  </si>
  <si>
    <t>170</t>
  </si>
  <si>
    <t>180</t>
  </si>
  <si>
    <t>182</t>
  </si>
  <si>
    <t>185</t>
  </si>
  <si>
    <t>190</t>
  </si>
  <si>
    <t>195</t>
  </si>
  <si>
    <t>200</t>
  </si>
  <si>
    <t>202</t>
  </si>
  <si>
    <t>205</t>
  </si>
  <si>
    <t>210</t>
  </si>
  <si>
    <t>215</t>
  </si>
  <si>
    <t>218</t>
  </si>
  <si>
    <t>220</t>
  </si>
  <si>
    <t>225</t>
  </si>
  <si>
    <t>230</t>
  </si>
  <si>
    <t>235</t>
  </si>
  <si>
    <t>236</t>
  </si>
  <si>
    <t>240</t>
  </si>
  <si>
    <t>245</t>
  </si>
  <si>
    <t>250</t>
  </si>
  <si>
    <t>255</t>
  </si>
  <si>
    <t>260</t>
  </si>
  <si>
    <t>265</t>
  </si>
  <si>
    <t>270</t>
  </si>
  <si>
    <t>275</t>
  </si>
  <si>
    <t>280</t>
  </si>
  <si>
    <t>285</t>
  </si>
  <si>
    <t>290</t>
  </si>
  <si>
    <t>293</t>
  </si>
  <si>
    <t>295</t>
  </si>
  <si>
    <t>296</t>
  </si>
  <si>
    <t>305</t>
  </si>
  <si>
    <t>310</t>
  </si>
  <si>
    <t>317</t>
  </si>
  <si>
    <t>320</t>
  </si>
  <si>
    <t>324</t>
  </si>
  <si>
    <t>325</t>
  </si>
  <si>
    <t>330</t>
  </si>
  <si>
    <t>332</t>
  </si>
  <si>
    <t>340</t>
  </si>
  <si>
    <t>345</t>
  </si>
  <si>
    <t>347</t>
  </si>
  <si>
    <t>350</t>
  </si>
  <si>
    <t>360</t>
  </si>
  <si>
    <t>361</t>
  </si>
  <si>
    <t>370</t>
  </si>
  <si>
    <t>375</t>
  </si>
  <si>
    <t>380</t>
  </si>
  <si>
    <t>385</t>
  </si>
  <si>
    <t>390</t>
  </si>
  <si>
    <t>391</t>
  </si>
  <si>
    <t>405</t>
  </si>
  <si>
    <t>407</t>
  </si>
  <si>
    <t>410</t>
  </si>
  <si>
    <t>420</t>
  </si>
  <si>
    <t>425</t>
  </si>
  <si>
    <t>430</t>
  </si>
  <si>
    <t>435</t>
  </si>
  <si>
    <t>440</t>
  </si>
  <si>
    <t>450</t>
  </si>
  <si>
    <t>454</t>
  </si>
  <si>
    <t>460</t>
  </si>
  <si>
    <t>470</t>
  </si>
  <si>
    <t>480</t>
  </si>
  <si>
    <t>488</t>
  </si>
  <si>
    <t>490</t>
  </si>
  <si>
    <t>522</t>
  </si>
  <si>
    <t>550</t>
  </si>
  <si>
    <t>557</t>
  </si>
  <si>
    <t>Print Shts</t>
  </si>
  <si>
    <t>PCS</t>
  </si>
  <si>
    <t>Print sheet</t>
  </si>
  <si>
    <t>Quantity combine</t>
  </si>
  <si>
    <t>Quantity combines</t>
  </si>
  <si>
    <t>Giay lot thung  GBB</t>
  </si>
  <si>
    <t>Giay lot thung  WF : Ngan giua</t>
  </si>
  <si>
    <t>Sz per pc :</t>
  </si>
  <si>
    <t>Sz sht :</t>
  </si>
  <si>
    <t>Roll sz :</t>
  </si>
  <si>
    <t>Giay lot thung  WF : Ngan mat chinh</t>
  </si>
  <si>
    <t>Giay lot thung  WF: boc quanh hop</t>
  </si>
  <si>
    <r>
      <t>13</t>
    </r>
    <r>
      <rPr>
        <vertAlign val="superscript"/>
        <sz val="10"/>
        <rFont val="Arial"/>
        <family val="2"/>
      </rPr>
      <t>th</t>
    </r>
  </si>
  <si>
    <t>New Product Development Team</t>
  </si>
  <si>
    <t>AV-701P</t>
  </si>
  <si>
    <t>LW-8</t>
  </si>
  <si>
    <t>OPV-CX0189 Water Base</t>
  </si>
  <si>
    <t>OPV-CX0186 Water base</t>
  </si>
  <si>
    <t>OPV-CX0173 Water Base</t>
  </si>
  <si>
    <t>OPV-CX0180 Water Base</t>
  </si>
  <si>
    <t>UV Lụa UVM-207</t>
  </si>
  <si>
    <t>HERMESCREEN</t>
  </si>
  <si>
    <t>ETERCURE 6671GNB</t>
  </si>
  <si>
    <t>Consumption 2020</t>
  </si>
  <si>
    <t>Test</t>
  </si>
  <si>
    <t>Test paper</t>
  </si>
  <si>
    <t>LSS :</t>
  </si>
  <si>
    <t>OPT Micron</t>
  </si>
  <si>
    <t>OPT M2</t>
  </si>
  <si>
    <t>(VND/Pc)</t>
  </si>
  <si>
    <t>same 2019</t>
  </si>
  <si>
    <t>Colors</t>
  </si>
  <si>
    <t>No Print</t>
  </si>
  <si>
    <t>Crayola, LLC</t>
  </si>
  <si>
    <t>Crayola Costing Form</t>
  </si>
  <si>
    <t>1 cont 20ft</t>
  </si>
  <si>
    <t>1100 Church Lane, PO Box 431</t>
  </si>
  <si>
    <t>1 cont 40ft</t>
  </si>
  <si>
    <t>Easton, PA 18044-0431</t>
  </si>
  <si>
    <t>Input Cells</t>
  </si>
  <si>
    <t>50k ea</t>
  </si>
  <si>
    <t>(610) 253-6272</t>
  </si>
  <si>
    <t>Made by:</t>
  </si>
  <si>
    <t>STARPRINT VIETNAM JSC</t>
  </si>
  <si>
    <t xml:space="preserve">Date:  </t>
  </si>
  <si>
    <t xml:space="preserve">Rev:  </t>
  </si>
  <si>
    <t>Product: Item # - Name :</t>
  </si>
  <si>
    <t xml:space="preserve">Pricing validity:  </t>
  </si>
  <si>
    <t xml:space="preserve">Payment terms:  </t>
  </si>
  <si>
    <t>MOQ:</t>
  </si>
  <si>
    <t>Product Packing :</t>
  </si>
  <si>
    <t>Size :</t>
  </si>
  <si>
    <t xml:space="preserve">Forecasted annual volume:  </t>
  </si>
  <si>
    <t xml:space="preserve">Cubic Feet </t>
  </si>
  <si>
    <t>Est. Shipping Case Size (inch)</t>
  </si>
  <si>
    <t>Cubic Feet / Pc</t>
  </si>
  <si>
    <t>pcs per</t>
  </si>
  <si>
    <t>Height</t>
  </si>
  <si>
    <t xml:space="preserve">Pcs. / 20ft. CNT </t>
  </si>
  <si>
    <t xml:space="preserve">Pcs. / 40ft. CNT </t>
  </si>
  <si>
    <t>FCL Transportation Cost to FOB</t>
  </si>
  <si>
    <t>(US$/CNT)</t>
  </si>
  <si>
    <t>(US$/cu.ft)</t>
  </si>
  <si>
    <t>R13</t>
  </si>
  <si>
    <t>20' - FCL (US$/20' CNT)</t>
  </si>
  <si>
    <t xml:space="preserve">Transportation Fee:  20' Con't - FCL </t>
  </si>
  <si>
    <t>Price/pcs</t>
  </si>
  <si>
    <t>FOB 20' Cont. (FCL)</t>
  </si>
  <si>
    <t>40' - FCL (US$/40' CNT)</t>
  </si>
  <si>
    <t xml:space="preserve">Transportation Fee:  40' Con't - FCL </t>
  </si>
  <si>
    <t>FOB 40' Cont. (FCL)</t>
  </si>
  <si>
    <t xml:space="preserve">Transportation Fee:  LCL </t>
  </si>
  <si>
    <t>FOB (LCL)</t>
  </si>
  <si>
    <t>Transportation Fee:  applied to</t>
  </si>
  <si>
    <t xml:space="preserve">FOB: </t>
  </si>
  <si>
    <t>LCL Transportation Cost to FOB</t>
  </si>
  <si>
    <t xml:space="preserve">Total Ex-Factory Product Cost: </t>
  </si>
  <si>
    <t>LCL (US$/cu.ft)</t>
  </si>
  <si>
    <t>Tooling amortization</t>
  </si>
  <si>
    <t>(US$)</t>
  </si>
  <si>
    <t>Purchased Parts  (Special Items)</t>
  </si>
  <si>
    <t>Printed PCB, components &amp; PCB assembly labor</t>
  </si>
  <si>
    <t>Fabricated parts (non-purchased parts)</t>
  </si>
  <si>
    <t>Injection Mold / Blow Mold / Roto Mold / Die Cast Parts</t>
  </si>
  <si>
    <t>GROSS</t>
  </si>
  <si>
    <t>RESIN COST</t>
  </si>
  <si>
    <t>SCRAP</t>
  </si>
  <si>
    <t>P &amp; OH</t>
  </si>
  <si>
    <t>RESIN COST:</t>
  </si>
  <si>
    <t>WEIGHT</t>
  </si>
  <si>
    <t>(with PIGMENT)</t>
  </si>
  <si>
    <t>Material Cost</t>
  </si>
  <si>
    <t>PART NAME</t>
  </si>
  <si>
    <t>(GM)</t>
  </si>
  <si>
    <t>$/KG</t>
  </si>
  <si>
    <t xml:space="preserve">Total: </t>
  </si>
  <si>
    <t xml:space="preserve">Material Cost: </t>
  </si>
  <si>
    <t>MOLDING LABOR COST:</t>
  </si>
  <si>
    <t>SEC.</t>
  </si>
  <si>
    <t>HOUR</t>
  </si>
  <si>
    <t>LABOR</t>
  </si>
  <si>
    <t>LABOR COST</t>
  </si>
  <si>
    <t>MOLD</t>
  </si>
  <si>
    <t>(Enter Part Name Above)</t>
  </si>
  <si>
    <t>M/C</t>
  </si>
  <si>
    <t>PER</t>
  </si>
  <si>
    <t>RATE</t>
  </si>
  <si>
    <t>PER SHOT</t>
  </si>
  <si>
    <t>NO.</t>
  </si>
  <si>
    <t>UP</t>
  </si>
  <si>
    <t>SHOT</t>
  </si>
  <si>
    <t>K SHOT</t>
  </si>
  <si>
    <t>PER HR</t>
  </si>
  <si>
    <t>US$)</t>
  </si>
  <si>
    <t xml:space="preserve">Machine/Labor Cost: </t>
  </si>
  <si>
    <t>Total Cost Includes: (Material / Machine/Labor / Scrap / Mark Up / Overhead)</t>
  </si>
  <si>
    <t>Total Cost :</t>
  </si>
  <si>
    <t>Purchased Parts (all parts except Special Items &amp; PCB electronics)</t>
  </si>
  <si>
    <t>Item Number</t>
  </si>
  <si>
    <t>Description</t>
  </si>
  <si>
    <t>(US$ per)</t>
  </si>
  <si>
    <t>(US$/unit)</t>
  </si>
  <si>
    <t xml:space="preserve">Purchased Parts </t>
  </si>
  <si>
    <t>(Special Items)</t>
  </si>
  <si>
    <t>Fix inf</t>
  </si>
  <si>
    <t>Manufacturer Name &amp; Address</t>
  </si>
  <si>
    <t>NET</t>
  </si>
  <si>
    <t xml:space="preserve">Starprint Vietnam JSC
</t>
  </si>
  <si>
    <t xml:space="preserve">High Cost Purchased Parts </t>
  </si>
  <si>
    <t>Printed Circuit Board</t>
  </si>
  <si>
    <t>(all PCB components plus PCB assembly labor)</t>
  </si>
  <si>
    <t>(US$/pc.)</t>
  </si>
  <si>
    <t xml:space="preserve">PCB Component Cost Total: </t>
  </si>
  <si>
    <t>PCB Assembly Labor</t>
  </si>
  <si>
    <t xml:space="preserve">Total PCB Labor Cost:  </t>
  </si>
  <si>
    <t xml:space="preserve">Includes: (PCB Components / Assembly Labor / Scrap / Mark Up / Overhead)  Total Electronics PCB Cost: </t>
  </si>
  <si>
    <t xml:space="preserve">Fabricated Parts </t>
  </si>
  <si>
    <t>(fabricated parts not purchased)</t>
  </si>
  <si>
    <t xml:space="preserve">Fabricated Parts Cost Total: </t>
  </si>
  <si>
    <t xml:space="preserve">                Includes: Components / Scrap / Mark Up / Overhead</t>
  </si>
  <si>
    <t>Packaging Material:</t>
  </si>
  <si>
    <t>US$ per unit</t>
  </si>
  <si>
    <t xml:space="preserve">Includes: (Purchased Parts / Scrap / Labor/ Mark Up / Overhead)  Total Packaging Cost: </t>
  </si>
  <si>
    <t>Assembly, Decoration and Packing Labor</t>
  </si>
  <si>
    <t>Assembly cost- placing components into vactray, inkjet date code, packing, loading</t>
  </si>
  <si>
    <t xml:space="preserve">Includes: ALL Labor (minus - PCB Labor) / Mark Up / Overhead)  Total Labor Cost:  </t>
  </si>
  <si>
    <t xml:space="preserve">                      DOES NOT INCLUDE ASSEMBLY LABOR FOR PRINTED CIRCUIT BOARDS (See Electrical -PCB Section)</t>
  </si>
  <si>
    <t>THIS PRICE EXLCUDED</t>
  </si>
  <si>
    <t>Acc 1</t>
  </si>
  <si>
    <t>Acc 2</t>
  </si>
  <si>
    <t>Acc 3</t>
  </si>
  <si>
    <t>Acc 4</t>
  </si>
  <si>
    <t>Acc 5</t>
  </si>
  <si>
    <t>Acc 6</t>
  </si>
  <si>
    <r>
      <t>LOCAL CHARGE FOR ACCESSORY OF CRAYOLA -</t>
    </r>
    <r>
      <rPr>
        <b/>
        <sz val="10"/>
        <color indexed="53"/>
        <rFont val="Arial"/>
        <family val="2"/>
      </rPr>
      <t xml:space="preserve"> </t>
    </r>
    <r>
      <rPr>
        <b/>
        <sz val="10"/>
        <color indexed="60"/>
        <rFont val="Arial"/>
        <family val="2"/>
      </rPr>
      <t>PICK UP FROM EXPEDITOR</t>
    </r>
  </si>
  <si>
    <t>Clear Tap</t>
  </si>
  <si>
    <t>Packing 3</t>
  </si>
  <si>
    <t>Packing 4</t>
  </si>
  <si>
    <t>Packing 5</t>
  </si>
  <si>
    <t>Packing 6</t>
  </si>
  <si>
    <t>Acc</t>
  </si>
  <si>
    <t>Waste Proof</t>
  </si>
  <si>
    <t>Rq for B</t>
  </si>
  <si>
    <t>FSC</t>
  </si>
  <si>
    <t>Roll/Ream</t>
  </si>
  <si>
    <t>Roll</t>
  </si>
  <si>
    <t>Other 1</t>
  </si>
  <si>
    <t>Other 2</t>
  </si>
  <si>
    <t>Other 3</t>
  </si>
  <si>
    <t>Other 4</t>
  </si>
  <si>
    <t>Other 5</t>
  </si>
  <si>
    <t>Other 6</t>
  </si>
  <si>
    <t>Non - Metalize Set up time
(minutes/frame)</t>
  </si>
  <si>
    <t>Metalize Set up time
(minutes/frame)</t>
  </si>
  <si>
    <t xml:space="preserve">VND/Hr. </t>
  </si>
  <si>
    <t>Width Order</t>
  </si>
  <si>
    <t>Length Order</t>
  </si>
  <si>
    <t>Picking - Acc</t>
  </si>
  <si>
    <t>1.1T</t>
  </si>
  <si>
    <t>CPT</t>
  </si>
  <si>
    <t>Mapping</t>
  </si>
  <si>
    <t>Margin</t>
  </si>
  <si>
    <t>Annual Q'ty</t>
  </si>
  <si>
    <t xml:space="preserve">Asb </t>
  </si>
  <si>
    <t>Transport</t>
  </si>
  <si>
    <t>Actual Price</t>
  </si>
  <si>
    <t>Sum</t>
  </si>
  <si>
    <t xml:space="preserve">   </t>
  </si>
  <si>
    <t>Tolerance</t>
  </si>
  <si>
    <t>Packing material</t>
  </si>
  <si>
    <t>Other Material</t>
  </si>
  <si>
    <t>Proof</t>
  </si>
  <si>
    <t>Cr No. :</t>
  </si>
  <si>
    <t xml:space="preserve">Bondmaster 314 </t>
  </si>
  <si>
    <t>National VN</t>
  </si>
  <si>
    <t>200gsm GB EMAMI (ECO STRONG BOARD-CGT)</t>
  </si>
  <si>
    <t>210gsm GB EMAMI (ECO STRONG BOARD-CGT)</t>
  </si>
  <si>
    <t>220gsm GB EMAMI (ECO STRONG BOARD-CGT)</t>
  </si>
  <si>
    <t>230gsm GB EMAMI (ECO STRONG BOARD-CGT)</t>
  </si>
  <si>
    <t>250gsm GB EMAMI (ECO STRONG BOARD-CGT)</t>
  </si>
  <si>
    <t>270gsm GB EMAMI (ECO STRONG BOARD-CGT)</t>
  </si>
  <si>
    <t>280gsm GB EMAMI (ECO STRONG BOARD-CGT)</t>
  </si>
  <si>
    <t>285gsm GB EMAMI (ECO STRONG BOARD-CGT)</t>
  </si>
  <si>
    <t>290gsm GB EMAMI (ECO STRONG BOARD-CGT)</t>
  </si>
  <si>
    <t>300gsm GB EMAMI (ECO STRONG BOARD-CGT)</t>
  </si>
  <si>
    <t>310gsm GB EMAMI (ECO STRONG BOARD-CGT)</t>
  </si>
  <si>
    <t>320gsm GB EMAMI (ECO STRONG BOARD-CGT)</t>
  </si>
  <si>
    <t>330gsm GB EMAMI (ECO STRONG BOARD-CGT)</t>
  </si>
  <si>
    <t>340gsm GB EMAMI (ECO STRONG BOARD-CGT)</t>
  </si>
  <si>
    <t>350gsm GB EMAMI (ECO STRONG BOARD-CGT)</t>
  </si>
  <si>
    <t>360gsm GB EMAMI (ECO STRONG BOARD-CGT)</t>
  </si>
  <si>
    <t>370gsm GB EMAMI (ECO STRONG BOARD-CGT)</t>
  </si>
  <si>
    <t>380gsm GB EMAMI (ECO STRONG BOARD-CGT)</t>
  </si>
  <si>
    <t>390gsm GB EMAMI (ECO STRONG BOARD-CGT)</t>
  </si>
  <si>
    <t>400gsm GB EMAMI (ECO STRONG BOARD-CGT)</t>
  </si>
  <si>
    <t>420gsm GB EMAMI (ECO STRONG BOARD-CGT)</t>
  </si>
  <si>
    <t>430gsm GB EMAMI (ECO STRONG BOARD-CGT)</t>
  </si>
  <si>
    <t>440gsm GB EMAMI (ECO STRONG BOARD-CGT)</t>
  </si>
  <si>
    <t>450gsm GB EMAMI (ECO STRONG BOARD-CGT)</t>
  </si>
  <si>
    <t>170gsm IVORY NINGBO FOLD</t>
  </si>
  <si>
    <t>190gsm IVORY NINGBO FOLD</t>
  </si>
  <si>
    <t>200gsm IVORY NINGBO FOLD</t>
  </si>
  <si>
    <t>210gsm IVORY NINGBO FOLD</t>
  </si>
  <si>
    <t>230gsm IVORY NINGBO FOLD</t>
  </si>
  <si>
    <t>250gsm IVORY NINGBO FOLD</t>
  </si>
  <si>
    <t>270gsm IVORY NINGBO FOLD</t>
  </si>
  <si>
    <t>300gsm IVORY NINGBO FOLD</t>
  </si>
  <si>
    <t>350gsm IVORY NINGBO FOLD</t>
  </si>
  <si>
    <t>400gsm IVORY NINGBO FOLD</t>
  </si>
  <si>
    <t>182gsm IVORY Crescendo (C1S) - WestRock</t>
  </si>
  <si>
    <t>202gsm IVORY Crescendo (C1S) - WestRock</t>
  </si>
  <si>
    <t>236gsm IVORY Crescendo (C1S) - WestRock</t>
  </si>
  <si>
    <t>265gsm IVORY Crescendo (C1S) - WestRock</t>
  </si>
  <si>
    <t>280gsm IVORY Crescendo (C1S) - WestRock</t>
  </si>
  <si>
    <t>296gsm IVORY Crescendo (C1S) - WestRock</t>
  </si>
  <si>
    <t>324gsm IVORY Crescendo (C1S) - WestRock</t>
  </si>
  <si>
    <t>345gsm IVORY Crescendo (C1S) - WestRock</t>
  </si>
  <si>
    <t>407gsm IVORY Crescendo (C1S) - WestRock</t>
  </si>
  <si>
    <t>225gsm CKB KANEOLI PE (StoraEnso Beihai)</t>
  </si>
  <si>
    <t>255gsm CKB KANEOLI PE (StoraEnso Beihai)</t>
  </si>
  <si>
    <t>275gsm CKB KANEOLI PE (StoraEnso Beihai)</t>
  </si>
  <si>
    <t>295gsm CKB KANEOLI PE (StoraEnso Beihai)</t>
  </si>
  <si>
    <t>325gsm CKB KANEOLI PE (StoraEnso Beihai)</t>
  </si>
  <si>
    <t>350gsm CKB KANEOLI PE (StoraEnso Beihai)</t>
  </si>
  <si>
    <t>385gsm CKB KANEOLI PE (StoraEnso Beihai)</t>
  </si>
  <si>
    <t>060gsm WOODFREE UPM FINE (China)</t>
  </si>
  <si>
    <t>070gsm WOODFREE UPM FINE (China)</t>
  </si>
  <si>
    <t>080gsm WOODFREE UPM FINE (China)</t>
  </si>
  <si>
    <t>090gsm WOODFREE UPM FINE (China)</t>
  </si>
  <si>
    <t>100gsm WOODFREE UPM FINE (China)</t>
  </si>
  <si>
    <t>120gsm WOODFREE UPM FINE (China)</t>
  </si>
  <si>
    <t>EMAMI (ECO STRONG BOARD-CGT)</t>
  </si>
  <si>
    <t>NINGBO FOLD</t>
  </si>
  <si>
    <t>Crescendo (C1S) - WestRock</t>
  </si>
  <si>
    <t>CMPC RC (CHILE)</t>
  </si>
  <si>
    <t>CKB</t>
  </si>
  <si>
    <t>KANEOLI PE (StoraEnso Beihai)</t>
  </si>
  <si>
    <t>UPM FINE (China)</t>
  </si>
  <si>
    <t>JAPAN</t>
  </si>
  <si>
    <t>UV 616-5A</t>
  </si>
  <si>
    <t xml:space="preserve">TL 125 GSM </t>
  </si>
  <si>
    <t>TL H160 GSM</t>
  </si>
  <si>
    <t>CALCULATED UNIT PRICE PER PIECE</t>
  </si>
  <si>
    <t>Material Cost (per pc)</t>
  </si>
  <si>
    <t>Conversion Cost (per pc)</t>
  </si>
  <si>
    <t>Calendaring/ Water base</t>
  </si>
  <si>
    <t>OPP</t>
  </si>
  <si>
    <t>zinc plate + mould</t>
  </si>
  <si>
    <t>Labor</t>
  </si>
  <si>
    <t>Packing Handling</t>
  </si>
  <si>
    <t>Profit (per pc)</t>
  </si>
  <si>
    <t>Transportation Cost (per pc)</t>
  </si>
  <si>
    <t xml:space="preserve">Total Delivered Cost Tax Exclusive (per pc) </t>
  </si>
  <si>
    <t>% Tax</t>
  </si>
  <si>
    <t xml:space="preserve">Total Tax (per pc) </t>
  </si>
  <si>
    <t xml:space="preserve">Total Delivered Cost Inclusive Tax (per pc) </t>
  </si>
  <si>
    <t>Margin%</t>
  </si>
  <si>
    <t>CM%</t>
  </si>
  <si>
    <t>quynh.tranthitruc@starprintvn.com</t>
  </si>
  <si>
    <t>anh.nguyenthingoc@starprintvn.com</t>
  </si>
  <si>
    <t>Tran Thi Truc Quynh</t>
  </si>
  <si>
    <t>Assistant Account Manager</t>
  </si>
  <si>
    <t>Account Manager</t>
  </si>
  <si>
    <t>Technology fee</t>
  </si>
  <si>
    <t>COST MODEL OF BACKER CARD</t>
  </si>
  <si>
    <t>1. Paper board price in detail</t>
  </si>
  <si>
    <t>* Please change from Hansol to other paperboard supplier in case you use any other paper</t>
  </si>
  <si>
    <t>Paper board specification</t>
  </si>
  <si>
    <t>CIF Price ($/MT)</t>
  </si>
  <si>
    <t>Import %</t>
  </si>
  <si>
    <t>Broker charge %</t>
  </si>
  <si>
    <t>Interesting bank/ year %</t>
  </si>
  <si>
    <t>Cutting (VND) (If applied)</t>
  </si>
  <si>
    <t>Exchange rate (VND/USD)</t>
  </si>
  <si>
    <t>Total price (VND/MT)</t>
  </si>
  <si>
    <t>450GB</t>
  </si>
  <si>
    <t>Duplex 1S 450gsm Hansol (Grey back)</t>
  </si>
  <si>
    <t>Duplex 2S 350gsm Hansol (White back)</t>
  </si>
  <si>
    <t>Duplex 2S 280gsm Hansol (White back)</t>
  </si>
  <si>
    <t>280GB</t>
  </si>
  <si>
    <t>Duplex 1S 280gsm Hansol (Grey back)</t>
  </si>
  <si>
    <t>Duplex 2S 250gsm Hansol (White back)</t>
  </si>
  <si>
    <t>250GB</t>
  </si>
  <si>
    <t>Duplex 1S 250gsm Hansol (Grey back)</t>
  </si>
  <si>
    <t>2. Cost Breakdown in detail</t>
  </si>
  <si>
    <t>With GM</t>
  </si>
  <si>
    <t>Name Project</t>
  </si>
  <si>
    <t>With CM</t>
  </si>
  <si>
    <t>Backer card size (m2)</t>
  </si>
  <si>
    <t>Width (mm)</t>
  </si>
  <si>
    <t>Length (mm)</t>
  </si>
  <si>
    <t>Number of Color</t>
  </si>
  <si>
    <t>6F/2B</t>
  </si>
  <si>
    <t>SELLING PRICE</t>
  </si>
  <si>
    <t>BOARD COST (VND/Sheet)</t>
  </si>
  <si>
    <t>Board cost price (VND/KG)</t>
  </si>
  <si>
    <t>Board size (mm)</t>
  </si>
  <si>
    <t>Board Grammage (gsm)</t>
  </si>
  <si>
    <t>No. per sheet (lay-out)</t>
  </si>
  <si>
    <t>Waste +Loss (%)</t>
  </si>
  <si>
    <t>INK COST (VND/Sheet)</t>
  </si>
  <si>
    <t>Ink (VND/KG)</t>
  </si>
  <si>
    <t>Application Weight ( g/m2)</t>
  </si>
  <si>
    <t>Waste + Set up (g/m2)</t>
  </si>
  <si>
    <t>Total kg (incl. waste + set up)</t>
  </si>
  <si>
    <t>VANISH COST (VND/Sheet)</t>
  </si>
  <si>
    <t>Varnish (VND/KG)</t>
  </si>
  <si>
    <t>GLUE COST (VND/Sheet) (if required)</t>
  </si>
  <si>
    <t>Glue(VND/KG)</t>
  </si>
  <si>
    <t>CONVERSION COST (VND/Sheet)</t>
  </si>
  <si>
    <t>Labor cost (VND/Sheet)</t>
  </si>
  <si>
    <t>Overhead (VND/Sheet)</t>
  </si>
  <si>
    <t>Other (VND/Sheet)</t>
  </si>
  <si>
    <t>FREIGHT COST (VND/Sheet)</t>
  </si>
  <si>
    <t>PACKING COST (VND/Sheet)</t>
  </si>
  <si>
    <t>MARGIN (VND/Sheet)</t>
  </si>
  <si>
    <t>MARGIN %</t>
  </si>
  <si>
    <t>Total Local Charge :</t>
  </si>
  <si>
    <t>CB Vinh Sang khổ 650, 790, 840, 890, 1090</t>
  </si>
  <si>
    <t>Commission for UK Office</t>
  </si>
  <si>
    <t>:Tran Thi Truc Quynh</t>
  </si>
  <si>
    <t>: Ngo Thi Diem Chi</t>
  </si>
  <si>
    <t>chi.ngothidiem@starprintvn.com</t>
  </si>
  <si>
    <t>Ngo Thi Diem Chi</t>
  </si>
  <si>
    <t>TL 125 GSM</t>
  </si>
  <si>
    <t>CRAYOLA AUSTRALIA</t>
  </si>
  <si>
    <t>CRAYOLA NZL</t>
  </si>
  <si>
    <t>CRAYOLA US</t>
  </si>
  <si>
    <t>CRAYOLA WALLMART</t>
  </si>
  <si>
    <t>CRAYOLA TARGET</t>
  </si>
  <si>
    <t>CRAYOLA CANADA</t>
  </si>
  <si>
    <t>CRAYOLA ITALY</t>
  </si>
  <si>
    <t>CRAYOLA UK</t>
  </si>
  <si>
    <t>CARSON</t>
  </si>
  <si>
    <t>shipment</t>
  </si>
  <si>
    <t>cbm</t>
  </si>
  <si>
    <t>AMS</t>
  </si>
  <si>
    <t>shipment (US market)</t>
  </si>
  <si>
    <t>ENS</t>
  </si>
  <si>
    <t>shipment (EU market)</t>
  </si>
  <si>
    <t>AFR</t>
  </si>
  <si>
    <t>shipment (Janpan market)</t>
  </si>
  <si>
    <t>CCAM</t>
  </si>
  <si>
    <t>cont</t>
  </si>
  <si>
    <t>shipment ( China market)</t>
  </si>
  <si>
    <t>(shipment)</t>
  </si>
  <si>
    <t>Phi tra pallet :</t>
  </si>
  <si>
    <t>CTN/pallet</t>
  </si>
  <si>
    <t>Pallet</t>
  </si>
  <si>
    <r>
      <t>From:</t>
    </r>
    <r>
      <rPr>
        <sz val="11"/>
        <rFont val="Calibri"/>
        <family val="2"/>
      </rPr>
      <t xml:space="preserve"> Kim Huong [mailto:kimhuong@starprintvn.com]</t>
    </r>
  </si>
  <si>
    <r>
      <t>Sent:</t>
    </r>
    <r>
      <rPr>
        <sz val="11"/>
        <rFont val="Calibri"/>
        <family val="2"/>
      </rPr>
      <t xml:space="preserve"> Wednesday, December 30, 2020 9:56 AM</t>
    </r>
  </si>
  <si>
    <r>
      <t>To:</t>
    </r>
    <r>
      <rPr>
        <sz val="11"/>
        <rFont val="Calibri"/>
        <family val="2"/>
      </rPr>
      <t xml:space="preserve"> 'Van, Nguyen Thi Hong' &lt;hongvan@starprintvn.com&gt;; 'Anne Cuc' &lt;thicuc@starprintvn.com&gt;; EST@starprintvn.com; 'Loc, Le Tan' &lt;tanloc@starprintvn.com&gt;</t>
    </r>
  </si>
  <si>
    <r>
      <t>Cc:</t>
    </r>
    <r>
      <rPr>
        <sz val="11"/>
        <rFont val="Calibri"/>
        <family val="2"/>
      </rPr>
      <t xml:space="preserve"> 'Huyen-MA, Nguyen' &lt;huyen.nguyenthi@starprintvn.com&gt;; 'Linh, Nguyen Hoang Phuong' &lt;phuonglinh@starprintvn.com&gt;; 'Dori Ho' &lt;lamtuyen@starprintvn.com&gt;</t>
    </r>
  </si>
  <si>
    <r>
      <t>Subject:</t>
    </r>
    <r>
      <rPr>
        <sz val="11"/>
        <rFont val="Calibri"/>
        <family val="2"/>
      </rPr>
      <t xml:space="preserve"> RE: Crayola - Inspiration Art Set - Label &amp; Transportation fee for shipment to Walmart &amp; Target- Quote 2021</t>
    </r>
  </si>
  <si>
    <t>Hi Vân,</t>
  </si>
  <si>
    <t>Hàng xuất đi Target &amp; Wallmart ko đi cont 20 em nhé. Trừ khi được Crayola approve thì mới được.</t>
  </si>
  <si>
    <t>Và nếu đi LCL thì tối đa là bao nhiêu CBM?-&gt; LCL tối đa là 57 cbm ( từ 58 cbm thì mới đi 40’dc &amp; 66 cbm thì đi 40’hc)</t>
  </si>
  <si>
    <t xml:space="preserve">TL 150 GSM </t>
  </si>
  <si>
    <t>Import Fee</t>
  </si>
  <si>
    <t>Import Tax</t>
  </si>
  <si>
    <t>UV Anchor Varnish A</t>
  </si>
  <si>
    <t>Won bang</t>
  </si>
  <si>
    <t>410gsm CB Roll &amp; Ream</t>
  </si>
  <si>
    <t>500gsm CB Roll &amp; Ream</t>
  </si>
  <si>
    <t>625gsm CB Roll &amp; Ream</t>
  </si>
  <si>
    <t>800gsm CB Roll &amp; Ream</t>
  </si>
  <si>
    <t>860gsm CB Roll &amp; Ream</t>
  </si>
  <si>
    <t>980gsm CB Roll &amp; Ream</t>
  </si>
  <si>
    <t>1060gsm CB Roll &amp; Ream</t>
  </si>
  <si>
    <t>1120gsm CB Roll &amp; Ream</t>
  </si>
  <si>
    <t>1180gsm CB Roll &amp; Ream</t>
  </si>
  <si>
    <t>1300gsm CB Roll &amp; Ream</t>
  </si>
  <si>
    <t>1420gsm CB Roll &amp; Ream</t>
  </si>
  <si>
    <t>1540gsm CB Roll &amp; Ream</t>
  </si>
  <si>
    <t>1740gsm CB Roll &amp; Ream</t>
  </si>
  <si>
    <t>1860gsm CB Roll &amp; Ream</t>
  </si>
  <si>
    <t>1980gsm CB Roll &amp; Ream</t>
  </si>
  <si>
    <t>2100gsm CB Roll &amp; Ream</t>
  </si>
  <si>
    <t>2340gsm CB Roll &amp; Ream</t>
  </si>
  <si>
    <t>350gsm CB Won bang</t>
  </si>
  <si>
    <t>400gsm CB Won bang</t>
  </si>
  <si>
    <t>500gsm CB Won bang</t>
  </si>
  <si>
    <t>600gsm CB Won bang</t>
  </si>
  <si>
    <t>800gsm CB Won bang</t>
  </si>
  <si>
    <t>900gsm CB Won bang</t>
  </si>
  <si>
    <t>1000gsm CB Won bang</t>
  </si>
  <si>
    <t>1100gsm CB Won bang</t>
  </si>
  <si>
    <t>1200gsm CB Won bang</t>
  </si>
  <si>
    <t>1300gsm CB Won bang</t>
  </si>
  <si>
    <t>1400gsm CB Won bang</t>
  </si>
  <si>
    <t>1500gsm CB Won bang</t>
  </si>
  <si>
    <t>1600gsm CB Won bang</t>
  </si>
  <si>
    <t>1700gsm CB Won bang</t>
  </si>
  <si>
    <t>1800gsm CB Won bang</t>
  </si>
  <si>
    <t>1900gsm CB Won bang</t>
  </si>
  <si>
    <t>2000gsm CB Won bang</t>
  </si>
  <si>
    <t>2100gsm CB Won bang</t>
  </si>
  <si>
    <t>2200gsm CB Won bang</t>
  </si>
  <si>
    <t>2300gsm CB Won bang</t>
  </si>
  <si>
    <t>2400gsm CB Won bang</t>
  </si>
  <si>
    <t>CBM/Truck</t>
  </si>
  <si>
    <t>Tons/Truck</t>
  </si>
  <si>
    <t>Export charge/ Truck</t>
  </si>
  <si>
    <t>Export charge (LCL):</t>
  </si>
  <si>
    <t>Docs fee</t>
  </si>
  <si>
    <t>Local charge</t>
  </si>
  <si>
    <t>Document Fee</t>
  </si>
  <si>
    <t>Telex</t>
  </si>
  <si>
    <t>VGM</t>
  </si>
  <si>
    <t>CFS (LCL)</t>
  </si>
  <si>
    <t>EBS (LCL)</t>
  </si>
  <si>
    <t>RR</t>
  </si>
  <si>
    <t>THC</t>
  </si>
  <si>
    <t>Seal Fee</t>
  </si>
  <si>
    <t>Document Fee/Bill Fee</t>
  </si>
  <si>
    <t xml:space="preserve">RR </t>
  </si>
  <si>
    <t>shipment (Warehouse charge)</t>
  </si>
  <si>
    <t>cbm (Warehouse charge)</t>
  </si>
  <si>
    <t>check</t>
  </si>
  <si>
    <t>check - link device</t>
  </si>
  <si>
    <t>check - Espresso</t>
  </si>
  <si>
    <t>check - single/double ring</t>
  </si>
  <si>
    <t>check - Feature</t>
  </si>
  <si>
    <t>check - heart shapes CB/round base,top/top,base</t>
  </si>
  <si>
    <t>10%/15%/4%</t>
  </si>
  <si>
    <t>Check waste</t>
  </si>
  <si>
    <t>Check tolerance</t>
  </si>
  <si>
    <t>Info waste ACC</t>
  </si>
  <si>
    <t>Velcro</t>
  </si>
  <si>
    <t>Gem cloths</t>
  </si>
  <si>
    <t>PVC window</t>
  </si>
  <si>
    <t>PET window</t>
  </si>
  <si>
    <t>PET cover</t>
  </si>
  <si>
    <t>PET tray</t>
  </si>
  <si>
    <t>Soft touch matt film LMS-30</t>
  </si>
  <si>
    <t>Hoa Trung</t>
  </si>
  <si>
    <t>Thermal Anti Scratch LMHS-30u</t>
  </si>
  <si>
    <t>Thermal Gloss OPP Oxo Biodegradble 25u</t>
  </si>
  <si>
    <t>Thermal Matt OPP Oxo Biodegradble 26u</t>
  </si>
  <si>
    <t>Holographic film 14u</t>
  </si>
  <si>
    <t>K LASER TECHNOLOGY (THAILAND)</t>
  </si>
  <si>
    <t>Buffer CB 3mm &amp; 3.03mm: 542x638, 460x668, 552x396</t>
  </si>
  <si>
    <t>Selling price after UK commission/b4 technical fee</t>
  </si>
  <si>
    <t>Selling price after tech</t>
  </si>
  <si>
    <t>PET 0.2mm, pcs</t>
  </si>
  <si>
    <t>PET 0.2mm, roll</t>
  </si>
  <si>
    <t>Laminated PE</t>
  </si>
  <si>
    <t>gsm/shts</t>
  </si>
  <si>
    <t>Size min PE machine 700mm, add 30mm for laminated</t>
  </si>
  <si>
    <t>PE LAMINATED</t>
  </si>
  <si>
    <t>Kind Of PE</t>
  </si>
  <si>
    <t>LDPE Hanwha 955</t>
  </si>
  <si>
    <t>HANWHA 955</t>
  </si>
  <si>
    <t>LDPE</t>
  </si>
  <si>
    <t>MD 105 GSM</t>
  </si>
  <si>
    <t>MD 105,115 GSM</t>
  </si>
  <si>
    <t>MD 125, 150, 185 GSM</t>
  </si>
  <si>
    <t>MD GK 100 GSM</t>
  </si>
  <si>
    <t>Giang Chau</t>
  </si>
  <si>
    <t>Glue 7068</t>
  </si>
  <si>
    <t>Glue Hotmelt 50-432</t>
  </si>
  <si>
    <t>A</t>
  </si>
  <si>
    <t>B</t>
  </si>
  <si>
    <t>C</t>
  </si>
  <si>
    <t>E</t>
  </si>
  <si>
    <t>F</t>
  </si>
  <si>
    <t>G</t>
  </si>
  <si>
    <t>M</t>
  </si>
  <si>
    <t>O</t>
  </si>
  <si>
    <t>P</t>
  </si>
  <si>
    <t>Q</t>
  </si>
  <si>
    <t>R</t>
  </si>
  <si>
    <t>S</t>
  </si>
  <si>
    <t>U</t>
  </si>
  <si>
    <t>V</t>
  </si>
  <si>
    <t>Z</t>
  </si>
  <si>
    <t>Package</t>
  </si>
  <si>
    <t>21.0 - 44.0</t>
  </si>
  <si>
    <t>45.0 - 70.0</t>
  </si>
  <si>
    <t>71.0 - 99.0</t>
  </si>
  <si>
    <t>100.0 - 299.0</t>
  </si>
  <si>
    <t>300.0 - 499.0</t>
  </si>
  <si>
    <t>500.0 - 999.0</t>
  </si>
  <si>
    <t>1,000.0 - 9,999.0</t>
  </si>
  <si>
    <t>10,000.0 - 99,999.0</t>
  </si>
  <si>
    <t>https://www.fedex.com/vi-vn/shipping/surcharges.html</t>
  </si>
  <si>
    <t>COVID SURCHARGE :</t>
  </si>
  <si>
    <t>VND/Kgs</t>
  </si>
  <si>
    <t>0.5 - 20.5 Kgs</t>
  </si>
  <si>
    <t>21 - 44 Kgs</t>
  </si>
  <si>
    <t>45 - 70 Kgs</t>
  </si>
  <si>
    <t>71 - 99 Kgs</t>
  </si>
  <si>
    <t>Covid surcharge</t>
  </si>
  <si>
    <t>Fuel Surcharge</t>
  </si>
  <si>
    <t>Req. (M2)</t>
  </si>
  <si>
    <t>1. This quotation was based on the ANNUAL QUANTITY/TOTAL QUANTITY PROJECT  at</t>
  </si>
  <si>
    <t>ANNUAL Q'Y / TOTAL Q'Y PROJECT</t>
  </si>
  <si>
    <t>Info from Ms.Tien (Prepress) via Tele</t>
  </si>
  <si>
    <t>Size max PE machine 1,100mm</t>
  </si>
  <si>
    <t>Hau Giang</t>
  </si>
  <si>
    <t>PEFC</t>
  </si>
  <si>
    <t>230gsm GB MEHALI ECO GREEN - INDIA</t>
  </si>
  <si>
    <t>250gsm GB MEHALI ECO GREEN - INDIA</t>
  </si>
  <si>
    <t>260gsm GB MEHALI ECO GREEN - INDIA</t>
  </si>
  <si>
    <t>270gsm GB MEHALI ECO GREEN - INDIA</t>
  </si>
  <si>
    <t>280gsm GB MEHALI ECO GREEN - INDIA</t>
  </si>
  <si>
    <t>290gsm GB MEHALI ECO GREEN - INDIA</t>
  </si>
  <si>
    <t>300gsm GB MEHALI ECO GREEN - INDIA</t>
  </si>
  <si>
    <t>320gsm GB MEHALI ECO GREEN - INDIA</t>
  </si>
  <si>
    <t>330gsm GB MEHALI ECO GREEN - INDIA</t>
  </si>
  <si>
    <t>340gsm GB MEHALI ECO GREEN - INDIA</t>
  </si>
  <si>
    <t>350gsm GB MEHALI ECO GREEN - INDIA</t>
  </si>
  <si>
    <t>360gsm GB MEHALI ECO GREEN - INDIA</t>
  </si>
  <si>
    <t>370gsm GB MEHALI ECO GREEN - INDIA</t>
  </si>
  <si>
    <t>380gsm GB MEHALI ECO GREEN - INDIA</t>
  </si>
  <si>
    <t>390gsm GB MEHALI ECO GREEN - INDIA</t>
  </si>
  <si>
    <t>400gsm GB MEHALI ECO GREEN - INDIA</t>
  </si>
  <si>
    <t>420gsm GB MEHALI ECO GREEN - INDIA</t>
  </si>
  <si>
    <t>430gsm GB MEHALI ECO GREEN - INDIA</t>
  </si>
  <si>
    <t>450gsm GB MEHALI ECO GREEN - INDIA</t>
  </si>
  <si>
    <t>230gsm GB GAYATRISHAKTI - INDIA</t>
  </si>
  <si>
    <t>250gsm GB GAYATRISHAKTI - INDIA</t>
  </si>
  <si>
    <t>260gsm GB GAYATRISHAKTI - INDIA</t>
  </si>
  <si>
    <t>285gsm GB GAYATRISHAKTI - INDIA</t>
  </si>
  <si>
    <t>300gsm GB GAYATRISHAKTI - INDIA</t>
  </si>
  <si>
    <t>310gsm GB GAYATRISHAKTI - INDIA</t>
  </si>
  <si>
    <t>320gsm GB GAYATRISHAKTI - INDIA</t>
  </si>
  <si>
    <t>330gsm GB GAYATRISHAKTI - INDIA</t>
  </si>
  <si>
    <t>350gsm GB GAYATRISHAKTI - INDIA</t>
  </si>
  <si>
    <t>360gsm GB GAYATRISHAKTI - INDIA</t>
  </si>
  <si>
    <t>380gsm GB GAYATRISHAKTI - INDIA</t>
  </si>
  <si>
    <t>400gsm GB GAYATRISHAKTI - INDIA</t>
  </si>
  <si>
    <t>420gsm GB GAYATRISHAKTI - INDIA</t>
  </si>
  <si>
    <t>450gsm GB GAYATRISHAKTI - INDIA</t>
  </si>
  <si>
    <t>270gsm GB OJI - JAPAN</t>
  </si>
  <si>
    <t>310gsm GB OJI - JAPAN</t>
  </si>
  <si>
    <t>350gsm GB OJI - JAPAN</t>
  </si>
  <si>
    <t>400gsm GB OJI - JAPAN</t>
  </si>
  <si>
    <t>450gsm GB OJI - JAPAN</t>
  </si>
  <si>
    <t>170gsm IVORY CHENMING EUCA C1S</t>
  </si>
  <si>
    <t>180gsm IVORY CHENMING EUCA C1S</t>
  </si>
  <si>
    <t>190gsm IVORY CHENMING EUCA C1S</t>
  </si>
  <si>
    <t>210gsm IVORY CHENMING EUCA C1S</t>
  </si>
  <si>
    <t>230gsm IVORY CHENMING EUCA C1S</t>
  </si>
  <si>
    <t>250gsm IVORY CHENMING EUCA C1S</t>
  </si>
  <si>
    <t>270gsm IVORY CHENMING EUCA C1S</t>
  </si>
  <si>
    <t>300gsm IVORY CHENMING EUCA C1S</t>
  </si>
  <si>
    <t>350gsm IVORY CHENMING EUCA C1S</t>
  </si>
  <si>
    <t>400gsm IVORY CHENMING EUCA C1S</t>
  </si>
  <si>
    <t>170gsm IVORY BOHUI Standard GC1</t>
  </si>
  <si>
    <t>190gsm IVORY BOHUI Standard GC1</t>
  </si>
  <si>
    <t>210gsm IVORY BOHUI Standard GC1</t>
  </si>
  <si>
    <t>230gsm IVORY BOHUI Standard GC1</t>
  </si>
  <si>
    <t>250gsm IVORY BOHUI Standard GC1</t>
  </si>
  <si>
    <t>300gsm IVORY BOHUI Standard GC1</t>
  </si>
  <si>
    <t>350gsm IVORY BOHUI Standard GC1</t>
  </si>
  <si>
    <t>170gsm IVORY STARSPARK (IP SUN)</t>
  </si>
  <si>
    <t>180gsm IVORY STARSPARK (IP SUN)</t>
  </si>
  <si>
    <t>190gsm IVORY STARSPARK (IP SUN)</t>
  </si>
  <si>
    <t>205gsm IVORY STARSPARK (IP SUN)</t>
  </si>
  <si>
    <t>210gsm IVORY STARSPARK (IP SUN)</t>
  </si>
  <si>
    <t>215gsm IVORY STARSPARK (IP SUN)</t>
  </si>
  <si>
    <t>220gsm IVORY STARSPARK (IP SUN)</t>
  </si>
  <si>
    <t>225gsm IVORY STARSPARK (IP SUN)</t>
  </si>
  <si>
    <t>230gsm IVORY STARSPARK (IP SUN)</t>
  </si>
  <si>
    <t>245gsm IVORY STARSPARK (IP SUN)</t>
  </si>
  <si>
    <t>250gsm IVORY STARSPARK (IP SUN)</t>
  </si>
  <si>
    <t>285gsm IVORY STARSPARK (IP SUN)</t>
  </si>
  <si>
    <t>300gsm IVORY STARSPARK (IP SUN)</t>
  </si>
  <si>
    <t>350gsm IVORY STARSPARK (IP SUN)</t>
  </si>
  <si>
    <t>400gsm IVORY STARSPARK (IP SUN)</t>
  </si>
  <si>
    <t>170gsm IVORY STARBLANC (IP SUN)</t>
  </si>
  <si>
    <t>180gsm IVORY STARBLANC (IP SUN)</t>
  </si>
  <si>
    <t>190gsm IVORY STARBLANC (IP SUN)</t>
  </si>
  <si>
    <t>205gsm IVORY STARBLANC (IP SUN)</t>
  </si>
  <si>
    <t>210gsm IVORY STARBLANC (IP SUN)</t>
  </si>
  <si>
    <t>215gsm IVORY STARBLANC (IP SUN)</t>
  </si>
  <si>
    <t>220gsm IVORY STARBLANC (IP SUN)</t>
  </si>
  <si>
    <t>225gsm IVORY STARBLANC (IP SUN)</t>
  </si>
  <si>
    <t>230gsm IVORY STARBLANC (IP SUN)</t>
  </si>
  <si>
    <t>245gsm IVORY STARBLANC (IP SUN)</t>
  </si>
  <si>
    <t>250gsm IVORY STARBLANC (IP SUN)</t>
  </si>
  <si>
    <t>285gsm IVORY STARBLANC (IP SUN)</t>
  </si>
  <si>
    <t>300gsm IVORY STARBLANC (IP SUN)</t>
  </si>
  <si>
    <t>350gsm IVORY STARBLANC (IP SUN)</t>
  </si>
  <si>
    <t>400gsm IVORY STARBLANC (IP SUN)</t>
  </si>
  <si>
    <t>210gsm IVORY Sinarfold (C1S)</t>
  </si>
  <si>
    <t>230gsm IVORY Sinarfold (C1S)</t>
  </si>
  <si>
    <t>250gsm IVORY Sinarfold (C1S)</t>
  </si>
  <si>
    <t>270gsm IVORY Sinarfold (C1S)</t>
  </si>
  <si>
    <t>300gsm IVORY Sinarfold (C1S)</t>
  </si>
  <si>
    <t>310gsm IVORY Sinarfold (C1S)</t>
  </si>
  <si>
    <t>350gsm IVORY Sinarfold (C1S)</t>
  </si>
  <si>
    <t>170gsm IVORY Sinarboard (C1S) - IA</t>
  </si>
  <si>
    <t>190gsm IVORY Sinarboard (C1S) - IA</t>
  </si>
  <si>
    <t>210gsm IVORY Sinarboard (C1S) - IA</t>
  </si>
  <si>
    <t>230gsm IVORY Sinarboard (C1S) - IA</t>
  </si>
  <si>
    <t>250gsm IVORY Sinarboard (C1S) - IA</t>
  </si>
  <si>
    <t>270gsm IVORY Sinarboard (C1S) - IA</t>
  </si>
  <si>
    <t>300gsm IVORY Sinarboard (C1S) - IA</t>
  </si>
  <si>
    <t>310gsm IVORY Sinarboard (C1S) - IA</t>
  </si>
  <si>
    <t>350gsm IVORY Sinarboard (C1S) - IA</t>
  </si>
  <si>
    <t>400gsm IVORY Sinarboard (C1S) - IA</t>
  </si>
  <si>
    <t>210gsm IVORY Sinarvanda (C1S) - CG1</t>
  </si>
  <si>
    <t>230gsm IVORY Sinarvanda (C1S) - CG1</t>
  </si>
  <si>
    <t>245gsm IVORY Sinarvanda (C1S) - CG1</t>
  </si>
  <si>
    <t>260gsm IVORY Sinarvanda (C1S) - CG1</t>
  </si>
  <si>
    <t>280gsm IVORY Sinarvanda (C1S) - CG1</t>
  </si>
  <si>
    <t>305gsm IVORY Sinarvanda (C1S) - CG1</t>
  </si>
  <si>
    <t>330gsm IVORY Sinarvanda (C1S) - CG1</t>
  </si>
  <si>
    <t>360gsm IVORY Sinarvanda (C1S) - CG1</t>
  </si>
  <si>
    <t>170gsm IVORY Ensocoat (C1S) StoraEnso</t>
  </si>
  <si>
    <t>190gsm IVORY Ensocoat (C1S) StoraEnso</t>
  </si>
  <si>
    <t>210gsm IVORY Ensocoat (C1S) StoraEnso</t>
  </si>
  <si>
    <t>230gsm IVORY Ensocoat (C1S) StoraEnso</t>
  </si>
  <si>
    <t>250gsm IVORY Ensocoat (C1S) StoraEnso</t>
  </si>
  <si>
    <t>275gsm IVORY Ensocoat (C1S) StoraEnso</t>
  </si>
  <si>
    <t>300gsm IVORY Ensocoat (C1S) StoraEnso</t>
  </si>
  <si>
    <t>330gsm IVORY Ensocoat (C1S) StoraEnso</t>
  </si>
  <si>
    <t>350gsm IVORY Ensocoat (C1S) StoraEnso</t>
  </si>
  <si>
    <t>380gsm IVORY Ensocoat (C1S) StoraEnso</t>
  </si>
  <si>
    <t xml:space="preserve">236gsm IVORY Printkote (C1S) - WestRock </t>
  </si>
  <si>
    <t xml:space="preserve">265gsm IVORY Printkote (C1S) - WestRock </t>
  </si>
  <si>
    <t xml:space="preserve">280gsm IVORY Printkote (C1S) - WestRock </t>
  </si>
  <si>
    <t xml:space="preserve">295gsm IVORY Printkote (C1S) - WestRock </t>
  </si>
  <si>
    <t xml:space="preserve">305gsm IVORY Printkote (C1S) - WestRock </t>
  </si>
  <si>
    <t xml:space="preserve">325gsm IVORY Printkote (C1S) - WestRock </t>
  </si>
  <si>
    <t xml:space="preserve">345gsm IVORY Printkote (C1S) - WestRock </t>
  </si>
  <si>
    <t xml:space="preserve">375gsm IVORY Printkote (C1S) - WestRock </t>
  </si>
  <si>
    <t xml:space="preserve">405gsm IVORY Printkote (C1S) - WestRock </t>
  </si>
  <si>
    <t xml:space="preserve">435gsm IVORY Printkote (C1S) - WestRock </t>
  </si>
  <si>
    <t xml:space="preserve">460gsm IVORY Printkote (C1S) - WestRock </t>
  </si>
  <si>
    <t>185gsm IVORY PRO FBB BRIGHT - Mesta Board</t>
  </si>
  <si>
    <t>200gsm IVORY PRO FBB BRIGHT - Mesta Board</t>
  </si>
  <si>
    <t>225gsm IVORY PRO FBB BRIGHT - Mesta Board</t>
  </si>
  <si>
    <t>235gsm IVORY PRO FBB BRIGHT - Mesta Board</t>
  </si>
  <si>
    <t>250gsm IVORY PRO FBB BRIGHT - Mesta Board</t>
  </si>
  <si>
    <t>260gsm IVORY PRO FBB BRIGHT - Mesta Board</t>
  </si>
  <si>
    <t>270gsm IVORY PRO FBB BRIGHT - Mesta Board</t>
  </si>
  <si>
    <t>285gsm IVORY PRO FBB BRIGHT - Mesta Board</t>
  </si>
  <si>
    <t>295gsm IVORY PRO FBB BRIGHT - Mesta Board</t>
  </si>
  <si>
    <t>320gsm IVORY PRO FBB BRIGHT - Mesta Board</t>
  </si>
  <si>
    <t>350gsm IVORY PRO FBB BRIGHT - Mesta Board</t>
  </si>
  <si>
    <t>180gsm CKB CMPC RC (CHILE)</t>
  </si>
  <si>
    <t>200gsm CKB CMPC RC (CHILE)</t>
  </si>
  <si>
    <t>225gsm CKB CMPC RC (CHILE)</t>
  </si>
  <si>
    <t>245gsm CKB CMPC RC (CHILE)</t>
  </si>
  <si>
    <t>255gsm CKB CMPC RC (CHILE)</t>
  </si>
  <si>
    <t>265gsm CKB CMPC RC (CHILE)</t>
  </si>
  <si>
    <t>285gsm CKB CMPC RC (CHILE)</t>
  </si>
  <si>
    <t>295gsm CKB CMPC RC (CHILE)</t>
  </si>
  <si>
    <t>310gsm CKB CMPC RC (CHILE)</t>
  </si>
  <si>
    <t>330gsm CKB CMPC RC (CHILE)</t>
  </si>
  <si>
    <t>345gsm CKB CMPC RC (CHILE)</t>
  </si>
  <si>
    <t>370gsm CKB CMPC RC (CHILE)</t>
  </si>
  <si>
    <t>205gsm CKB KLAFOLD (Klabin Brazil)</t>
  </si>
  <si>
    <t>227gsm CKB KLAFOLD (Klabin Brazil)</t>
  </si>
  <si>
    <t>233gsm CKB KLAFOLD (Klabin Brazil)</t>
  </si>
  <si>
    <t>250gsm CKB KLAFOLD (Klabin Brazil)</t>
  </si>
  <si>
    <t>276gsm CKB KLAFOLD (Klabin Brazil)</t>
  </si>
  <si>
    <t>285gsm CKB KLAFOLD (Klabin Brazil)</t>
  </si>
  <si>
    <t>312gsm CKB KLAFOLD (Klabin Brazil)</t>
  </si>
  <si>
    <t>332gsm CKB KLAFOLD (Klabin Brazil)</t>
  </si>
  <si>
    <t>360gsm CKB KLAFOLD (Klabin Brazil)</t>
  </si>
  <si>
    <t>350gsm CKB BillerudKornas Carry</t>
  </si>
  <si>
    <t>370gsm CKB BillerudKornas Carry</t>
  </si>
  <si>
    <t>400gsm CKB BillerudKornas Carry</t>
  </si>
  <si>
    <t>425gsm CKB BillerudKornas Carry</t>
  </si>
  <si>
    <t>480gsm CKB BillerudKornas Carry</t>
  </si>
  <si>
    <t>190gsm ARTBOARD APP-3 COIN BRAND</t>
  </si>
  <si>
    <t>200gsm ARTBOARD APP-3 COIN BRAND</t>
  </si>
  <si>
    <t>210gsm ARTBOARD APP-3 COIN BRAND</t>
  </si>
  <si>
    <t>230gsm ARTBOARD APP-3 COIN BRAND</t>
  </si>
  <si>
    <t>250gsm ARTBOARD APP-3 COIN BRAND</t>
  </si>
  <si>
    <t>260gsm ARTBOARD APP-3 COIN BRAND</t>
  </si>
  <si>
    <t>300gsm ARTBOARD APP-3 COIN BRAND</t>
  </si>
  <si>
    <t>310gsm ARTBOARD APP-3 COIN BRAND</t>
  </si>
  <si>
    <t>350gsm ARTBOARD APP-3 COIN BRAND</t>
  </si>
  <si>
    <t>360gsm ARTBOARD APP-3 COIN BRAND</t>
  </si>
  <si>
    <t>400gsm ARTBOARD APP-3 COIN BRAND</t>
  </si>
  <si>
    <t>180gsm ARTBOARD NINGBO STAR</t>
  </si>
  <si>
    <t>200gsm ARTBOARD NINGBO STAR</t>
  </si>
  <si>
    <t>210gsm ARTBOARD NINGBO STAR</t>
  </si>
  <si>
    <t>230gsm ARTBOARD NINGBO STAR</t>
  </si>
  <si>
    <t>250gsm ARTBOARD NINGBO STAR</t>
  </si>
  <si>
    <t>270gsm ARTBOARD NINGBO STAR</t>
  </si>
  <si>
    <t>300gsm ARTBOARD NINGBO STAR</t>
  </si>
  <si>
    <t>350gsm ARTBOARD NINGBO STAR</t>
  </si>
  <si>
    <t>400gsm ARTBOARD NINGBO STAR</t>
  </si>
  <si>
    <t>230gsm ARTBOARD Bohui - (C2S)</t>
  </si>
  <si>
    <t>250gsm ARTBOARD Bohui - (C2S)</t>
  </si>
  <si>
    <t>300gsm ARTBOARD Bohui - (C2S)</t>
  </si>
  <si>
    <t>350gsm ARTBOARD Bohui - (C2S)</t>
  </si>
  <si>
    <t>180gsm ARTBOARD Chenming EUCA C2S</t>
  </si>
  <si>
    <t>200gsm ARTBOARD Chenming EUCA C2S</t>
  </si>
  <si>
    <t>210gsm ARTBOARD Chenming EUCA C2S</t>
  </si>
  <si>
    <t>230gsm ARTBOARD Chenming EUCA C2S</t>
  </si>
  <si>
    <t>250gsm ARTBOARD Chenming EUCA C2S</t>
  </si>
  <si>
    <t>270gsm ARTBOARD Chenming EUCA C2S</t>
  </si>
  <si>
    <t>300gsm ARTBOARD Chenming EUCA C2S</t>
  </si>
  <si>
    <t>350gsm ARTBOARD Chenming EUCA C2S</t>
  </si>
  <si>
    <t>360gsm ARTBOARD Chenming EUCA C2S</t>
  </si>
  <si>
    <t>170gsm ARTBOARD STARSPARK (IP SUN)</t>
  </si>
  <si>
    <t>180gsm ARTBOARD STARSPARK (IP SUN)</t>
  </si>
  <si>
    <t>190gsm ARTBOARD STARSPARK (IP SUN)</t>
  </si>
  <si>
    <t>200gsm ARTBOARD STARSPARK (IP SUN)</t>
  </si>
  <si>
    <t>210gsm ARTBOARD STARSPARK (IP SUN)</t>
  </si>
  <si>
    <t>220gsm ARTBOARD STARSPARK (IP SUN)</t>
  </si>
  <si>
    <t>230gsm ARTBOARD STARSPARK (IP SUN)</t>
  </si>
  <si>
    <t>240gsm ARTBOARD STARSPARK (IP SUN)</t>
  </si>
  <si>
    <t>250gsm ARTBOARD STARSPARK (IP SUN)</t>
  </si>
  <si>
    <t>260gsm ARTBOARD STARSPARK (IP SUN)</t>
  </si>
  <si>
    <t>270gsm ARTBOARD STARSPARK (IP SUN)</t>
  </si>
  <si>
    <t>280gsm ARTBOARD STARSPARK (IP SUN)</t>
  </si>
  <si>
    <t>290gsm ARTBOARD STARSPARK (IP SUN)</t>
  </si>
  <si>
    <t>300gsm ARTBOARD STARSPARK (IP SUN)</t>
  </si>
  <si>
    <t>320gsm ARTBOARD STARSPARK (IP SUN)</t>
  </si>
  <si>
    <t>350gsm ARTBOARD STARSPARK (IP SUN)</t>
  </si>
  <si>
    <t>400gsm ARTBOARD STARSPARK (IP SUN)</t>
  </si>
  <si>
    <t>170gsm ARTBOARD STARBLANC (IP SUN)</t>
  </si>
  <si>
    <t>180gsm ARTBOARD STARBLANC (IP SUN)</t>
  </si>
  <si>
    <t>190gsm ARTBOARD STARBLANC (IP SUN)</t>
  </si>
  <si>
    <t>200gsm ARTBOARD STARBLANC (IP SUN)</t>
  </si>
  <si>
    <t>210gsm ARTBOARD STARBLANC (IP SUN)</t>
  </si>
  <si>
    <t>220gsm ARTBOARD STARBLANC (IP SUN)</t>
  </si>
  <si>
    <t>230gsm ARTBOARD STARBLANC (IP SUN)</t>
  </si>
  <si>
    <t>240gsm ARTBOARD STARBLANC (IP SUN)</t>
  </si>
  <si>
    <t>250gsm ARTBOARD STARBLANC (IP SUN)</t>
  </si>
  <si>
    <t>260gsm ARTBOARD STARBLANC (IP SUN)</t>
  </si>
  <si>
    <t>270gsm ARTBOARD STARBLANC (IP SUN)</t>
  </si>
  <si>
    <t>280gsm ARTBOARD STARBLANC (IP SUN)</t>
  </si>
  <si>
    <t>290gsm ARTBOARD STARBLANC (IP SUN)</t>
  </si>
  <si>
    <t>300gsm ARTBOARD STARBLANC (IP SUN)</t>
  </si>
  <si>
    <t>320gsm ARTBOARD STARBLANC (IP SUN)</t>
  </si>
  <si>
    <t>350gsm ARTBOARD STARBLANC (IP SUN)</t>
  </si>
  <si>
    <t>400gsm ARTBOARD STARBLANC (IP SUN)</t>
  </si>
  <si>
    <t>190gsm ARTBOARD Ensocoat (C2S) StoraEnso</t>
  </si>
  <si>
    <t>220gsm ARTBOARD Ensocoat (C2S) StoraEnso</t>
  </si>
  <si>
    <t>240gsm ARTBOARD Ensocoat (C2S) StoraEnso</t>
  </si>
  <si>
    <t>270gsm ARTBOARD Ensocoat (C2S) StoraEnso</t>
  </si>
  <si>
    <t>300gsm ARTBOARD Ensocoat (C2S) StoraEnso</t>
  </si>
  <si>
    <t>350gsm ARTBOARD Ensocoat (C2S) StoraEnso</t>
  </si>
  <si>
    <t>400gsm ARTBOARD Ensocoat (C2S) StoraEnso</t>
  </si>
  <si>
    <t>450gsm ARTBOARD Ensocoat (C2S) StoraEnso</t>
  </si>
  <si>
    <t>500gsm ARTBOARD Ensocoat (C2S) StoraEnso</t>
  </si>
  <si>
    <t>080gsm ART PAPER MOORIM - MATT</t>
  </si>
  <si>
    <t>090gsm ART PAPER MOORIM - MATT</t>
  </si>
  <si>
    <t>100gsm ART PAPER MOORIM - MATT</t>
  </si>
  <si>
    <t>105gsm ART PAPER MOORIM - MATT</t>
  </si>
  <si>
    <t>110gsm ART PAPER MOORIM - MATT</t>
  </si>
  <si>
    <t>115gsm ART PAPER MOORIM - MATT</t>
  </si>
  <si>
    <t>120gsm ART PAPER MOORIM - MATT</t>
  </si>
  <si>
    <t>130gsm ART PAPER MOORIM - MATT</t>
  </si>
  <si>
    <t>140gsm ART PAPER MOORIM - MATT</t>
  </si>
  <si>
    <t>150gsm ART PAPER MOORIM - MATT</t>
  </si>
  <si>
    <t>157gsm ART PAPER MOORIM - MATT</t>
  </si>
  <si>
    <t>170gsm ART PAPER MOORIM - MATT</t>
  </si>
  <si>
    <t>180gsm ART PAPER MOORIM - MATT</t>
  </si>
  <si>
    <t>200gsm ART PAPER MOORIM - MATT</t>
  </si>
  <si>
    <t>250gsm ART PAPER MOORIM - MATT</t>
  </si>
  <si>
    <t>300gsm ART PAPER MOORIM - MATT</t>
  </si>
  <si>
    <t>350gsm ART PAPER MOORIM - MATT</t>
  </si>
  <si>
    <t>080gsm ART PAPER MOORIM - GLOSS</t>
  </si>
  <si>
    <t>090gsm ART PAPER MOORIM - GLOSS</t>
  </si>
  <si>
    <t>100gsm ART PAPER MOORIM - GLOSS</t>
  </si>
  <si>
    <t>105gsm ART PAPER MOORIM - GLOSS</t>
  </si>
  <si>
    <t>110gsm ART PAPER MOORIM - GLOSS</t>
  </si>
  <si>
    <t>115gsm ART PAPER MOORIM - GLOSS</t>
  </si>
  <si>
    <t>120gsm ART PAPER MOORIM - GLOSS</t>
  </si>
  <si>
    <t>130gsm ART PAPER MOORIM - GLOSS</t>
  </si>
  <si>
    <t>140gsm ART PAPER MOORIM - GLOSS</t>
  </si>
  <si>
    <t>150gsm ART PAPER MOORIM - GLOSS</t>
  </si>
  <si>
    <t>160gsm ART PAPER MOORIM - GLOSS</t>
  </si>
  <si>
    <t>170gsm ART PAPER MOORIM - GLOSS</t>
  </si>
  <si>
    <t>180gsm ART PAPER MOORIM - GLOSS</t>
  </si>
  <si>
    <t>200gsm ART PAPER MOORIM - GLOSS</t>
  </si>
  <si>
    <t>250gsm ART PAPER MOORIM - GLOSS</t>
  </si>
  <si>
    <t>300gsm ART PAPER MOORIM - GLOSS</t>
  </si>
  <si>
    <t>350gsm ART PAPER MOORIM - GLOSS</t>
  </si>
  <si>
    <t>080gsm ART PAPER HANSOL - MATT</t>
  </si>
  <si>
    <t>090gsm ART PAPER HANSOL - MATT</t>
  </si>
  <si>
    <t>095gsm ART PAPER HANSOL - MATT</t>
  </si>
  <si>
    <t>100gsm ART PAPER HANSOL - MATT</t>
  </si>
  <si>
    <t>105gsm ART PAPER HANSOL - MATT</t>
  </si>
  <si>
    <t>113gsm ART PAPER HANSOL - MATT</t>
  </si>
  <si>
    <t>118gsm ART PAPER HANSOL - MATT</t>
  </si>
  <si>
    <t>128gsm ART PAPER HANSOL - MATT</t>
  </si>
  <si>
    <t>135gsm ART PAPER HANSOL - MATT</t>
  </si>
  <si>
    <t>140gsm ART PAPER HANSOL - MATT</t>
  </si>
  <si>
    <t>148gsm ART PAPER HANSOL - MATT</t>
  </si>
  <si>
    <t>157gsm ART PAPER HANSOL - MATT</t>
  </si>
  <si>
    <t>170gsm ART PAPER HANSOL - MATT</t>
  </si>
  <si>
    <t>180gsm ART PAPER HANSOL - MATT</t>
  </si>
  <si>
    <t>200gsm ART PAPER HANSOL - MATT</t>
  </si>
  <si>
    <t>218gsm ART PAPER HANSOL - MATT</t>
  </si>
  <si>
    <t>230gsm ART PAPER HANSOL - MATT</t>
  </si>
  <si>
    <t>235gsm ART PAPER HANSOL - MATT</t>
  </si>
  <si>
    <t>250gsm ART PAPER HANSOL - MATT</t>
  </si>
  <si>
    <t>270gsm ART PAPER HANSOL - MATT</t>
  </si>
  <si>
    <t>300gsm ART PAPER HANSOL - MATT</t>
  </si>
  <si>
    <t>350gsm ART PAPER HANSOL - MATT</t>
  </si>
  <si>
    <t>080gsm ART PAPER HANSOL - GLOSS</t>
  </si>
  <si>
    <t>090gsm ART PAPER HANSOL - GLOSS</t>
  </si>
  <si>
    <t>095gsm ART PAPER HANSOL - GLOSS</t>
  </si>
  <si>
    <t>100gsm ART PAPER HANSOL - GLOSS</t>
  </si>
  <si>
    <t>105gsm ART PAPER HANSOL - GLOSS</t>
  </si>
  <si>
    <t>113gsm ART PAPER HANSOL - GLOSS</t>
  </si>
  <si>
    <t>118gsm ART PAPER HANSOL - GLOSS</t>
  </si>
  <si>
    <t>128gsm ART PAPER HANSOL - GLOSS</t>
  </si>
  <si>
    <t>135gsm ART PAPER HANSOL - GLOSS</t>
  </si>
  <si>
    <t>140gsm ART PAPER HANSOL - GLOSS</t>
  </si>
  <si>
    <t>148gsm ART PAPER HANSOL - GLOSS</t>
  </si>
  <si>
    <t>157gsm ART PAPER HANSOL - GLOSS</t>
  </si>
  <si>
    <t>170gsm ART PAPER HANSOL - GLOSS</t>
  </si>
  <si>
    <t>180gsm ART PAPER HANSOL - GLOSS</t>
  </si>
  <si>
    <t>200gsm ART PAPER HANSOL - GLOSS</t>
  </si>
  <si>
    <t>218gsm ART PAPER HANSOL - GLOSS</t>
  </si>
  <si>
    <t>230gsm ART PAPER HANSOL - GLOSS</t>
  </si>
  <si>
    <t>250gsm ART PAPER HANSOL - GLOSS</t>
  </si>
  <si>
    <t>270gsm ART PAPER HANSOL - GLOSS</t>
  </si>
  <si>
    <t>300gsm ART PAPER HANSOL - GLOSS</t>
  </si>
  <si>
    <t>350gsm ART PAPER HANSOL - GLOSS</t>
  </si>
  <si>
    <t>080gsm ART PAPER CHENMING EAGLE - GLOSS</t>
  </si>
  <si>
    <t>090gsm ART PAPER CHENMING EAGLE - GLOSS</t>
  </si>
  <si>
    <t>100gsm ART PAPER CHENMING EAGLE - GLOSS</t>
  </si>
  <si>
    <t>105gsm ART PAPER CHENMING EAGLE - GLOSS</t>
  </si>
  <si>
    <t>115gsm ART PAPER CHENMING EAGLE - GLOSS</t>
  </si>
  <si>
    <t>120gsm ART PAPER CHENMING EAGLE - GLOSS</t>
  </si>
  <si>
    <t>128gsm ART PAPER CHENMING EAGLE - GLOSS</t>
  </si>
  <si>
    <t>140gsm ART PAPER CHENMING EAGLE - GLOSS</t>
  </si>
  <si>
    <t>148gsm ART PAPER CHENMING EAGLE - GLOSS</t>
  </si>
  <si>
    <t>157gsm ART PAPER CHENMING EAGLE - GLOSS</t>
  </si>
  <si>
    <t>170gsm ART PAPER CHENMING EAGLE - GLOSS</t>
  </si>
  <si>
    <t>200gsm ART PAPER CHENMING EAGLE - GLOSS</t>
  </si>
  <si>
    <t>250gsm ART PAPER CHENMING EAGLE - GLOSS</t>
  </si>
  <si>
    <t>080gsm ART PAPER CHENMING RABBIT - GLOSS</t>
  </si>
  <si>
    <t>090gsm ART PAPER CHENMING RABBIT - GLOSS</t>
  </si>
  <si>
    <t>100gsm ART PAPER CHENMING RABBIT - GLOSS</t>
  </si>
  <si>
    <t>105gsm ART PAPER CHENMING RABBIT - GLOSS</t>
  </si>
  <si>
    <t>115gsm ART PAPER CHENMING RABBIT - GLOSS</t>
  </si>
  <si>
    <t>120gsm ART PAPER CHENMING RABBIT - GLOSS</t>
  </si>
  <si>
    <t>128gsm ART PAPER CHENMING RABBIT - GLOSS</t>
  </si>
  <si>
    <t>145gsm ART PAPER CHENMING RABBIT - GLOSS</t>
  </si>
  <si>
    <t>150gsm ART PAPER CHENMING RABBIT - GLOSS</t>
  </si>
  <si>
    <t>152gsm ART PAPER CHENMING RABBIT - GLOSS</t>
  </si>
  <si>
    <t>157gsm ART PAPER CHENMING RABBIT - GLOSS</t>
  </si>
  <si>
    <t>170gsm ART PAPER CHENMING RABBIT - GLOSS</t>
  </si>
  <si>
    <t>180gsm ART PAPER CHENMING RABBIT - GLOSS</t>
  </si>
  <si>
    <t>195gsm ART PAPER CHENMING RABBIT - GLOSS</t>
  </si>
  <si>
    <t>200gsm ART PAPER CHENMING RABBIT - GLOSS</t>
  </si>
  <si>
    <t>140gsm ART PAPER HI-KOTE HAI NAN - MATT</t>
  </si>
  <si>
    <t>148gsm ART PAPER HI-KOTE HAI NAN - MATT</t>
  </si>
  <si>
    <t>150gsm ART PAPER HI-KOTE HAI NAN - MATT</t>
  </si>
  <si>
    <t>157gsm ART PAPER HI-KOTE HAI NAN - MATT</t>
  </si>
  <si>
    <t>170gsm ART PAPER HI-KOTE HAI NAN - MATT</t>
  </si>
  <si>
    <t>180gsm ART PAPER HI-KOTE HAI NAN - MATT</t>
  </si>
  <si>
    <t>190gsm ART PAPER HI-KOTE HAI NAN - MATT</t>
  </si>
  <si>
    <t>200gsm ART PAPER HI-KOTE HAI NAN - MATT</t>
  </si>
  <si>
    <t>210gsm ART PAPER HI-KOTE HAI NAN - MATT</t>
  </si>
  <si>
    <t>230gsm ART PAPER HI-KOTE HAI NAN - MATT</t>
  </si>
  <si>
    <t>250gsm ART PAPER HI-KOTE HAI NAN - MATT</t>
  </si>
  <si>
    <t>260gsm ART PAPER HI-KOTE HAI NAN - MATT</t>
  </si>
  <si>
    <t>300gsm ART PAPER HI-KOTE HAI NAN - MATT</t>
  </si>
  <si>
    <t>140gsm ART PAPER HI-KOTE HAI NAN - GLOSS</t>
  </si>
  <si>
    <t>150gsm ART PAPER HI-KOTE HAI NAN - GLOSS</t>
  </si>
  <si>
    <t>157gsm ART PAPER HI-KOTE HAI NAN - GLOSS</t>
  </si>
  <si>
    <t>170gsm ART PAPER HI-KOTE HAI NAN - GLOSS</t>
  </si>
  <si>
    <t>180gsm ART PAPER HI-KOTE HAI NAN - GLOSS</t>
  </si>
  <si>
    <t>190gsm ART PAPER HI-KOTE HAI NAN - GLOSS</t>
  </si>
  <si>
    <t>200gsm ART PAPER HI-KOTE HAI NAN - GLOSS</t>
  </si>
  <si>
    <t>210gsm ART PAPER HI-KOTE HAI NAN - GLOSS</t>
  </si>
  <si>
    <t>230gsm ART PAPER HI-KOTE HAI NAN - GLOSS</t>
  </si>
  <si>
    <t>250gsm ART PAPER HI-KOTE HAI NAN - GLOSS</t>
  </si>
  <si>
    <t>260gsm ART PAPER HI-KOTE HAI NAN - GLOSS</t>
  </si>
  <si>
    <t>300gsm ART PAPER HI-KOTE HAI NAN - GLOSS</t>
  </si>
  <si>
    <t>100gsm ART PAPER HI-KOTE GOLD EAST - MATT</t>
  </si>
  <si>
    <t>115gsm ART PAPER HI-KOTE GOLD EAST - MATT</t>
  </si>
  <si>
    <t>120gsm ART PAPER HI-KOTE GOLD EAST - MATT</t>
  </si>
  <si>
    <t>130gsm ART PAPER HI-KOTE GOLD EAST - MATT</t>
  </si>
  <si>
    <t>140gsm ART PAPER HI-KOTE GOLD EAST - MATT</t>
  </si>
  <si>
    <t>148gsm ART PAPER HI-KOTE GOLD EAST - MATT</t>
  </si>
  <si>
    <t>080gsm ART PAPER NEVIA GOLD EAST - MATT</t>
  </si>
  <si>
    <t>100gsm ART PAPER NEVIA GOLD EAST - MATT</t>
  </si>
  <si>
    <t>115gsm ART PAPER NEVIA GOLD EAST - MATT</t>
  </si>
  <si>
    <t>120gsm ART PAPER NEVIA GOLD EAST - MATT</t>
  </si>
  <si>
    <t>130gsm ART PAPER NEVIA GOLD EAST - MATT</t>
  </si>
  <si>
    <t>140gsm ART PAPER NEVIA GOLD EAST - MATT</t>
  </si>
  <si>
    <t>148gsm ART PAPER NEVIA GOLD EAST - MATT</t>
  </si>
  <si>
    <t>100gsm ART PAPER HI-KOTE GOLD EAST - GLOSS</t>
  </si>
  <si>
    <t>115gsm ART PAPER HI-KOTE GOLD EAST - GLOSS</t>
  </si>
  <si>
    <t>120gsm ART PAPER HI-KOTE GOLD EAST - GLOSS</t>
  </si>
  <si>
    <t>130gsm ART PAPER HI-KOTE GOLD EAST - GLOSS</t>
  </si>
  <si>
    <t>140gsm ART PAPER HI-KOTE GOLD EAST - GLOSS</t>
  </si>
  <si>
    <t>148gsm ART PAPER HI-KOTE GOLD EAST - GLOSS</t>
  </si>
  <si>
    <t>080gsm ART PAPER NEVIA GOLD EAST - GLOSS</t>
  </si>
  <si>
    <t>100gsm ART PAPER NEVIA GOLD EAST - GLOSS</t>
  </si>
  <si>
    <t>115gsm ART PAPER NEVIA GOLD EAST - GLOSS</t>
  </si>
  <si>
    <t>120gsm ART PAPER NEVIA GOLD EAST - GLOSS</t>
  </si>
  <si>
    <t>130gsm ART PAPER NEVIA GOLD EAST - GLOSS</t>
  </si>
  <si>
    <t>140gsm ART PAPER NEVIA GOLD EAST - GLOSS</t>
  </si>
  <si>
    <t>148gsm ART PAPER NEVIA GOLD EAST - GLOSS</t>
  </si>
  <si>
    <t>060gsm WOODFREE SCG (THAI PAPER MILL)</t>
  </si>
  <si>
    <t>070gsm WOODFREE SCG (THAI PAPER MILL)</t>
  </si>
  <si>
    <t>080gsm WOODFREE SCG (THAI PAPER MILL)</t>
  </si>
  <si>
    <t>090gsm WOODFREE SCG (THAI PAPER MILL)</t>
  </si>
  <si>
    <t>100gsm WOODFREE SCG (THAI PAPER MILL)</t>
  </si>
  <si>
    <t>120gsm WOODFREE SCG (THAI PAPER MILL)</t>
  </si>
  <si>
    <t>140gsm WOODFREE SCG (THAI PAPER MILL)</t>
  </si>
  <si>
    <t>060gsm WOODFREE CHENMING (China)</t>
  </si>
  <si>
    <t>070gsm WOODFREE CHENMING (China)</t>
  </si>
  <si>
    <t>075gsm WOODFREE CHENMING (China)</t>
  </si>
  <si>
    <t>080gsm WOODFREE CHENMING (China)</t>
  </si>
  <si>
    <t>090gsm WOODFREE CHENMING (China)</t>
  </si>
  <si>
    <t>100gsm WOODFREE CHENMING (China)</t>
  </si>
  <si>
    <t>120gsm WOODFREE CHENMING (China)</t>
  </si>
  <si>
    <t>140gsm WOODFREE CHENMING (China)</t>
  </si>
  <si>
    <t>FSC Charge</t>
  </si>
  <si>
    <t>Lead time</t>
  </si>
  <si>
    <t>FSC Info</t>
  </si>
  <si>
    <t>FSC info</t>
  </si>
  <si>
    <t>MEHALI ECO GREEN - INDIA</t>
  </si>
  <si>
    <t>GAYATRISHAKTI - INDIA</t>
  </si>
  <si>
    <t>OJI - JAPAN</t>
  </si>
  <si>
    <t>CHENMING EUCA C1S</t>
  </si>
  <si>
    <t>BOHUI Standard GC1</t>
  </si>
  <si>
    <t>STARSPARK (IP SUN)</t>
  </si>
  <si>
    <t>STARBLANC (IP SUN)</t>
  </si>
  <si>
    <t>Sinarfold (C1S)</t>
  </si>
  <si>
    <t>Sinarboard (C1S) - IA</t>
  </si>
  <si>
    <t>Sinarvanda (C1S) - CG1</t>
  </si>
  <si>
    <t>Ensocoat (C1S) StoraEnso</t>
  </si>
  <si>
    <t>PRO FBB BRIGHT - Mesta Board</t>
  </si>
  <si>
    <t>KLAFOLD (Klabin Brazil)</t>
  </si>
  <si>
    <t>Customkote (WestRock)</t>
  </si>
  <si>
    <t>BillerudKornas Carry</t>
  </si>
  <si>
    <t>APP-3 COIN BRAND</t>
  </si>
  <si>
    <t>NINGBO STAR</t>
  </si>
  <si>
    <t>Bohui - (C2S)</t>
  </si>
  <si>
    <t>Chenming EUCA C2S</t>
  </si>
  <si>
    <t>Ensocoat (C2S) StoraEnso</t>
  </si>
  <si>
    <t>MOORIM - MATT</t>
  </si>
  <si>
    <t>MOORIM - GLOSS</t>
  </si>
  <si>
    <t>HANSOL - MATT</t>
  </si>
  <si>
    <t>HANSOL - GLOSS</t>
  </si>
  <si>
    <t>CHENMING EAGLE - GLOSS</t>
  </si>
  <si>
    <t>CHENMING RABBIT - GLOSS</t>
  </si>
  <si>
    <t>HI-KOTE HAI NAN - MATT</t>
  </si>
  <si>
    <t>HI-KOTE HAI NAN - GLOSS</t>
  </si>
  <si>
    <t>HI-KOTE GOLD EAST - MATT</t>
  </si>
  <si>
    <t>HI-KOTE GOLD EAST - GLOSS</t>
  </si>
  <si>
    <t>SCG (THAI PAPER MILL)</t>
  </si>
  <si>
    <t>CHENMING (China)</t>
  </si>
  <si>
    <t>NEVIA GOLD EAST - GLOSS</t>
  </si>
  <si>
    <t>NEVIA GOLD EAST - MATT</t>
  </si>
  <si>
    <t>293gsm CKB Customkote (WestRock)</t>
  </si>
  <si>
    <t>317gsm CKB Customkote (WestRock)</t>
  </si>
  <si>
    <t>332gsm CKB Customkote (WestRock)</t>
  </si>
  <si>
    <t>347gsm CKB Customkote (WestRock)</t>
  </si>
  <si>
    <t>361gsm CKB Customkote (WestRock)</t>
  </si>
  <si>
    <t>391gsm CKB Customkote (WestRock)</t>
  </si>
  <si>
    <t>420gsm CKB Customkote (WestRock)</t>
  </si>
  <si>
    <t>454gsm CKB Customkote (WestRock)</t>
  </si>
  <si>
    <t>488gsm CKB Customkote (WestRock)</t>
  </si>
  <si>
    <t>522gsm CKB Customkote (WestRock)</t>
  </si>
  <si>
    <t>557gsm CKB Customkote (WestRock)</t>
  </si>
  <si>
    <t xml:space="preserve">Printkote (C1S) - WestRock </t>
  </si>
  <si>
    <t>IMPORT FEE</t>
  </si>
  <si>
    <t>Leadtime</t>
  </si>
  <si>
    <t>170gsm KRAFT JAPAN</t>
  </si>
  <si>
    <t>180gsm KRAFT JAPAN</t>
  </si>
  <si>
    <t>210gsm KRAFT JAPAN</t>
  </si>
  <si>
    <t>220gsm KRAFT JAPAN</t>
  </si>
  <si>
    <t>280gsm KRAFT JAPAN</t>
  </si>
  <si>
    <t>145</t>
  </si>
  <si>
    <t>152</t>
  </si>
  <si>
    <t>227</t>
  </si>
  <si>
    <t>233</t>
  </si>
  <si>
    <t>276</t>
  </si>
  <si>
    <t>312</t>
  </si>
  <si>
    <t>MOQ Import</t>
  </si>
  <si>
    <t>FOB LCL 5cbm</t>
  </si>
  <si>
    <t>FOB cont 20</t>
  </si>
  <si>
    <t>EXW LCL 1 cbm</t>
  </si>
  <si>
    <t>FOB LCL 1cbm</t>
  </si>
  <si>
    <t>Local charge + trucking fee</t>
  </si>
  <si>
    <t>Carton Cost</t>
  </si>
  <si>
    <t>Crayola YFY</t>
  </si>
  <si>
    <t>1.0mm</t>
  </si>
  <si>
    <t>2.0mm</t>
  </si>
  <si>
    <t>3.0mm</t>
  </si>
  <si>
    <t>Bang keo trong</t>
  </si>
  <si>
    <t>(7) Lượng keo sử dụng : 25g/m2 (25kg bột mì + 80kg H20 + 0.7kg NaOH + 0.1kg Hàn the)</t>
  </si>
  <si>
    <r>
      <t>From:</t>
    </r>
    <r>
      <rPr>
        <sz val="10"/>
        <rFont val="Arial"/>
        <family val="2"/>
      </rPr>
      <t xml:space="preserve"> Nguyen Thi Huyen [mailto:nguyenhuyen@starprintvn.com]</t>
    </r>
  </si>
  <si>
    <r>
      <t>Sent:</t>
    </r>
    <r>
      <rPr>
        <sz val="10"/>
        <rFont val="Arial"/>
        <family val="2"/>
      </rPr>
      <t xml:space="preserve"> Friday, November 15, 2019 3:08 PM</t>
    </r>
  </si>
  <si>
    <r>
      <t>To:</t>
    </r>
    <r>
      <rPr>
        <sz val="10"/>
        <rFont val="Arial"/>
        <family val="2"/>
      </rPr>
      <t xml:space="preserve"> EST@starprintvn.com; 'Kim Dung' &lt;kimdung@starprintvn.com&gt;; 'Pham Thi Hoan' &lt;thihoan@starprintvn.com&gt;</t>
    </r>
  </si>
  <si>
    <r>
      <t>Cc:</t>
    </r>
    <r>
      <rPr>
        <sz val="10"/>
        <rFont val="Arial"/>
        <family val="2"/>
      </rPr>
      <t xml:space="preserve"> structure.inn@starprintvn.com; 'Pham Cong Danh' &lt;phamcongdanh@starprintvn.com&gt;; pec@starprintvn.com</t>
    </r>
  </si>
  <si>
    <r>
      <t>Subject:</t>
    </r>
    <r>
      <rPr>
        <sz val="10"/>
        <rFont val="Arial"/>
        <family val="2"/>
      </rPr>
      <t xml:space="preserve"> RE: Tinh kho cuon giay va CAP cua may lam song moi SF - 1800 tai nha may nam 2019</t>
    </r>
  </si>
  <si>
    <t>Bang keo 3M -9448A</t>
  </si>
  <si>
    <t>180gsm Sticker HM68P</t>
  </si>
  <si>
    <t>PET trong 100%</t>
  </si>
  <si>
    <t>not incl VAT, incl Del</t>
  </si>
  <si>
    <t>PET trong 70%</t>
  </si>
  <si>
    <t>PET đen 70%</t>
  </si>
  <si>
    <t>PET đen 50%</t>
  </si>
  <si>
    <t>MD 125, 150 GSM</t>
  </si>
  <si>
    <t>ECONOPACK</t>
  </si>
  <si>
    <t>TRAY</t>
  </si>
  <si>
    <t>Sz ctn (mm)</t>
  </si>
  <si>
    <t>Cbm/ctn</t>
  </si>
  <si>
    <t>Cont' 20</t>
  </si>
  <si>
    <t>Cont' 40HQ</t>
  </si>
  <si>
    <t>Kind</t>
  </si>
  <si>
    <t>0.8mm outer tray color black &amp; inner tray color original brown</t>
  </si>
  <si>
    <t xml:space="preserve">waste </t>
  </si>
  <si>
    <t>Qty include waste</t>
  </si>
  <si>
    <t>Price FOB Shenzhen, China:</t>
  </si>
  <si>
    <t>USD/pc</t>
  </si>
  <si>
    <t>Mark - up</t>
  </si>
  <si>
    <t>Cont 20</t>
  </si>
  <si>
    <t>Cont 40</t>
  </si>
  <si>
    <t>Copper tooling</t>
  </si>
  <si>
    <t>Freight
EBS + CIC (China)</t>
  </si>
  <si>
    <t>Cont 40 HQ</t>
  </si>
  <si>
    <t>Import tax:</t>
  </si>
  <si>
    <t>Customs fee + Trucking fee (LCL)</t>
  </si>
  <si>
    <t>USD/shpt</t>
  </si>
  <si>
    <t>USD/ 20'cont</t>
  </si>
  <si>
    <t>USD/ 40'cont</t>
  </si>
  <si>
    <t>USD/ shpt</t>
  </si>
  <si>
    <t>D/O + H/L fee</t>
  </si>
  <si>
    <t>CFS</t>
  </si>
  <si>
    <t>LSS</t>
  </si>
  <si>
    <t>Phi Thanh ly</t>
  </si>
  <si>
    <t>Weight (note inl. Acc)</t>
  </si>
  <si>
    <t>Carton Size (cm)</t>
  </si>
  <si>
    <t>Total Ton</t>
  </si>
  <si>
    <t>UV 661G-1S</t>
  </si>
  <si>
    <t>Giấy lót thùng WF</t>
  </si>
  <si>
    <t>Giấy lót thùng GB</t>
  </si>
  <si>
    <t>Weight (kgs)</t>
  </si>
  <si>
    <t>Carton 1</t>
  </si>
  <si>
    <t>Carton 2</t>
  </si>
  <si>
    <t>Carton 3</t>
  </si>
  <si>
    <t>Unit price</t>
  </si>
  <si>
    <t>Safety test for Crayola :</t>
  </si>
  <si>
    <t>safety test :</t>
  </si>
  <si>
    <t>CONT 20</t>
  </si>
  <si>
    <t>CONT 40</t>
  </si>
  <si>
    <t>Regular/Project Q'ty</t>
  </si>
  <si>
    <t>Cost</t>
  </si>
  <si>
    <t>INFO SHIPMENT FOR OVERSEA ONLY</t>
  </si>
  <si>
    <t>Duplex 1S 350gsm Hansol (Grey back)</t>
  </si>
  <si>
    <t>Duplex 1S 300gsm Hansol (Grey back)</t>
  </si>
  <si>
    <t>Duplex 2S 450gsm Hansol (White back)</t>
  </si>
  <si>
    <t>Duplex 2S 300gsm Hansol (White back)</t>
  </si>
  <si>
    <t>350GB</t>
  </si>
  <si>
    <t>300GB</t>
  </si>
  <si>
    <t>450WBB</t>
  </si>
  <si>
    <t>350WBB</t>
  </si>
  <si>
    <t>300WBB</t>
  </si>
  <si>
    <t>250WBB</t>
  </si>
  <si>
    <t>280WBB</t>
  </si>
  <si>
    <t>FOB LCL 3cbm</t>
  </si>
  <si>
    <t>FOB LCL 6cbm</t>
  </si>
  <si>
    <t>250gsm GB KHANNA - DIAMOND GRAPHIC</t>
  </si>
  <si>
    <t>260gsm GB KHANNA - DIAMOND GRAPHIC</t>
  </si>
  <si>
    <t>270gsm GB KHANNA - DIAMOND GRAPHIC</t>
  </si>
  <si>
    <t>285gsm GB KHANNA - DIAMOND GRAPHIC</t>
  </si>
  <si>
    <t>300gsm GB KHANNA - DIAMOND GRAPHIC</t>
  </si>
  <si>
    <t>320gsm GB KHANNA - DIAMOND GRAPHIC</t>
  </si>
  <si>
    <t>330gsm GB KHANNA - DIAMOND GRAPHIC</t>
  </si>
  <si>
    <t>340gsm GB KHANNA - DIAMOND GRAPHIC</t>
  </si>
  <si>
    <t>350gsm GB KHANNA - DIAMOND GRAPHIC</t>
  </si>
  <si>
    <t>360gsm GB KHANNA - DIAMOND GRAPHIC</t>
  </si>
  <si>
    <t>370gsm GB KHANNA - DIAMOND GRAPHIC</t>
  </si>
  <si>
    <t>400gsm GB KHANNA - DIAMOND GRAPHIC</t>
  </si>
  <si>
    <t>420gsm GB KHANNA - DIAMOND GRAPHIC</t>
  </si>
  <si>
    <t>450gsm GB KHANNA - DIAMOND GRAPHIC</t>
  </si>
  <si>
    <t>250gsm GB KHANNA - OPTIC GRAPHIC</t>
  </si>
  <si>
    <t>260gsm GB KHANNA - OPTIC GRAPHIC</t>
  </si>
  <si>
    <t>270gsm GB KHANNA - OPTIC GRAPHIC</t>
  </si>
  <si>
    <t>285gsm GB KHANNA - OPTIC GRAPHIC</t>
  </si>
  <si>
    <t>300gsm GB KHANNA - OPTIC GRAPHIC</t>
  </si>
  <si>
    <t>320gsm GB KHANNA - OPTIC GRAPHIC</t>
  </si>
  <si>
    <t>330gsm GB KHANNA - OPTIC GRAPHIC</t>
  </si>
  <si>
    <t>340gsm GB KHANNA - OPTIC GRAPHIC</t>
  </si>
  <si>
    <t>350gsm GB KHANNA - OPTIC GRAPHIC</t>
  </si>
  <si>
    <t>360gsm GB KHANNA - OPTIC GRAPHIC</t>
  </si>
  <si>
    <t>370gsm GB KHANNA - OPTIC GRAPHIC</t>
  </si>
  <si>
    <t>400gsm GB KHANNA - OPTIC GRAPHIC</t>
  </si>
  <si>
    <t>420gsm GB KHANNA - OPTIC GRAPHIC</t>
  </si>
  <si>
    <t>450gsm GB KHANNA - OPTIC GRAPHIC</t>
  </si>
  <si>
    <t>KHANNA - OPTIC GRAPHIC</t>
  </si>
  <si>
    <t>KHANNA - DIAMOND GRAPHIC</t>
  </si>
  <si>
    <t>BINH CHIEU</t>
  </si>
  <si>
    <t>WT 150,160,170 GSM</t>
  </si>
  <si>
    <t>WT GK 150,160,170 GSM</t>
  </si>
  <si>
    <t>Buffer CB 1mm : 787x686, 2mm: 787x686, 2.02mm : 531x646</t>
  </si>
  <si>
    <t>: Le Thi Thu Trang</t>
  </si>
  <si>
    <t>: Tran Thi Thuy Linh</t>
  </si>
  <si>
    <t>: Dinh Kim Thien</t>
  </si>
  <si>
    <t>trang.lethithu@starprintvn.com</t>
  </si>
  <si>
    <t>linh.tranthithuy@starprintvn.com</t>
  </si>
  <si>
    <t>thien.dinhkim@starprintvn.com</t>
  </si>
  <si>
    <t>tram.phanthibich@starprintvn.com</t>
  </si>
  <si>
    <t>lan.vothihoang@starprintvn.com</t>
  </si>
  <si>
    <t>Le Thi Thu Trang</t>
  </si>
  <si>
    <t>Tran Thi Thuy Linh</t>
  </si>
  <si>
    <t>Dinh Kim Thien</t>
  </si>
  <si>
    <t>Pham Thi Bich Tram</t>
  </si>
  <si>
    <t>Vo Thi Hoang Lan</t>
  </si>
  <si>
    <t>CIF LCL 2.0cbm</t>
  </si>
  <si>
    <t>Stop</t>
  </si>
  <si>
    <t>STD CAP of Printing Machines 2021</t>
  </si>
  <si>
    <t>Updated 07.MAR.2022</t>
  </si>
  <si>
    <t>UV SRU 102 - Non Metalize</t>
  </si>
  <si>
    <t>UV 663 + UV SRU 102 - Metalize</t>
  </si>
  <si>
    <t>Others:</t>
  </si>
  <si>
    <t>USD/ton</t>
  </si>
  <si>
    <t>MD GK 125 GSM</t>
  </si>
  <si>
    <t>MD GK 150 GSM</t>
  </si>
  <si>
    <t>VINAKRAFT - TL 150, H175, 200 GSM</t>
  </si>
  <si>
    <t>VINAKRAFT - MD GK 125 GSM</t>
  </si>
  <si>
    <t>Sticker sz</t>
  </si>
  <si>
    <t>Double Sided Tissue Tape (Solvent), dimension 250mm x 200m = 20rolls</t>
  </si>
  <si>
    <t>Small sz</t>
  </si>
  <si>
    <t>pcs/small sheet</t>
  </si>
  <si>
    <t>STD roll sz</t>
  </si>
  <si>
    <t>Small sheet/roll</t>
  </si>
  <si>
    <t>small shts</t>
  </si>
  <si>
    <t xml:space="preserve">Total </t>
  </si>
  <si>
    <t>STD rolls</t>
  </si>
  <si>
    <t>rolls/pallet</t>
  </si>
  <si>
    <t>pallets</t>
  </si>
  <si>
    <t>USD/roll</t>
  </si>
  <si>
    <t>Exw Xingsha, Hunan, China</t>
  </si>
  <si>
    <t>Test report:</t>
  </si>
  <si>
    <t>Phí gia công xả cuộn Double side tape</t>
  </si>
  <si>
    <t>Exw charge + Freight :</t>
  </si>
  <si>
    <t>Total roll</t>
  </si>
  <si>
    <t>roll ~</t>
  </si>
  <si>
    <t>VND/rolls</t>
  </si>
  <si>
    <t>Total tons</t>
  </si>
  <si>
    <t>tons</t>
  </si>
  <si>
    <t>Del cost</t>
  </si>
  <si>
    <t>Truck 1</t>
  </si>
  <si>
    <t>Lorries</t>
  </si>
  <si>
    <t>Metal plate dia 20mm x 0.5mm thickness</t>
  </si>
  <si>
    <t>EXW Ningbo, P.R. CHINA 315412</t>
  </si>
  <si>
    <t>Export produce</t>
  </si>
  <si>
    <t>Magnet (N38) dia 18mm x 1mm thickness</t>
  </si>
  <si>
    <t>Total cbm</t>
  </si>
  <si>
    <t>Freight + EXW charge:</t>
  </si>
  <si>
    <t>USD/ship</t>
  </si>
  <si>
    <t>VND/pc (exc.waste)</t>
  </si>
  <si>
    <t>Gross grain ribbon</t>
  </si>
  <si>
    <t>rolls/ctn</t>
  </si>
  <si>
    <t>Total yard</t>
  </si>
  <si>
    <t>yards</t>
  </si>
  <si>
    <t>USD/yard</t>
  </si>
  <si>
    <t>EXW…</t>
  </si>
  <si>
    <t>Freight + exw charge :</t>
  </si>
  <si>
    <t>VND/pc</t>
  </si>
  <si>
    <t>Metal plate - spec</t>
  </si>
  <si>
    <t>Magnet (N38) - spec</t>
  </si>
  <si>
    <t>: Nguyen Thi Ngoc Anh</t>
  </si>
  <si>
    <t>Nguyen Thi Ngoc Anh</t>
  </si>
  <si>
    <t>CIF LCL5cbm</t>
  </si>
  <si>
    <t>Fancy paper code , size on ...mm</t>
  </si>
  <si>
    <t>Printing size</t>
  </si>
  <si>
    <t>small sheet</t>
  </si>
  <si>
    <t>STD sheet</t>
  </si>
  <si>
    <t>sheets/pallet</t>
  </si>
  <si>
    <t>USD/sheet</t>
  </si>
  <si>
    <t xml:space="preserve">EXW - Dongguan, Guangdong, China </t>
  </si>
  <si>
    <t>Export product</t>
  </si>
  <si>
    <t>Total weight:</t>
  </si>
  <si>
    <t>License fee</t>
  </si>
  <si>
    <t>Interest paper:</t>
  </si>
  <si>
    <t>Total cost:</t>
  </si>
  <si>
    <t>VND/ton</t>
  </si>
  <si>
    <t>185gsm IVORY EMAMI MAXO FOLD GC2</t>
  </si>
  <si>
    <t>190gsm IVORY EMAMI MAXO FOLD GC2</t>
  </si>
  <si>
    <t>200gsm IVORY EMAMI MAXO FOLD GC2</t>
  </si>
  <si>
    <t>210gsm IVORY EMAMI MAXO FOLD GC2</t>
  </si>
  <si>
    <t>220gsm IVORY EMAMI MAXO FOLD GC2</t>
  </si>
  <si>
    <t>230gsm IVORY EMAMI MAXO FOLD GC2</t>
  </si>
  <si>
    <t>240gsm IVORY EMAMI MAXO FOLD GC2</t>
  </si>
  <si>
    <t>250gsm IVORY EMAMI MAXO FOLD GC2</t>
  </si>
  <si>
    <t>270gsm IVORY EMAMI MAXO FOLD GC2</t>
  </si>
  <si>
    <t>280gsm IVORY EMAMI MAXO FOLD GC2</t>
  </si>
  <si>
    <t>290gsm IVORY EMAMI MAXO FOLD GC2</t>
  </si>
  <si>
    <t>300gsm IVORY EMAMI MAXO FOLD GC2</t>
  </si>
  <si>
    <t>320gsm IVORY EMAMI MAXO FOLD GC2</t>
  </si>
  <si>
    <t>330gsm IVORY EMAMI MAXO FOLD GC2</t>
  </si>
  <si>
    <t>340gsm IVORY EMAMI MAXO FOLD GC2</t>
  </si>
  <si>
    <t>350gsm IVORY EMAMI MAXO FOLD GC2</t>
  </si>
  <si>
    <t>370gsm IVORY EMAMI MAXO FOLD GC2</t>
  </si>
  <si>
    <t>400gsm IVORY EMAMI MAXO FOLD GC2</t>
  </si>
  <si>
    <t>420gsm IVORY EMAMI MAXO FOLD GC2</t>
  </si>
  <si>
    <t>450gsm IVORY EMAMI MAXO FOLD GC2</t>
  </si>
  <si>
    <t>200gsm IVORY ITC CYBER PREMIUM GC2</t>
  </si>
  <si>
    <t>210gsm IVORY ITC CYBER PREMIUM GC2</t>
  </si>
  <si>
    <t>220gsm IVORY ITC CYBER PREMIUM GC2</t>
  </si>
  <si>
    <t>230gsm IVORY ITC CYBER PREMIUM GC2</t>
  </si>
  <si>
    <t>240gsm IVORY ITC CYBER PREMIUM GC2</t>
  </si>
  <si>
    <t>250gsm IVORY ITC CYBER PREMIUM GC2</t>
  </si>
  <si>
    <t>260gsm IVORY ITC CYBER PREMIUM GC2</t>
  </si>
  <si>
    <t>270gsm IVORY ITC CYBER PREMIUM GC2</t>
  </si>
  <si>
    <t>280gsm IVORY ITC CYBER PREMIUM GC2</t>
  </si>
  <si>
    <t>290gsm IVORY ITC CYBER PREMIUM GC2</t>
  </si>
  <si>
    <t>300gsm IVORY ITC CYBER PREMIUM GC2</t>
  </si>
  <si>
    <t>310gsm IVORY ITC CYBER PREMIUM GC2</t>
  </si>
  <si>
    <t>320gsm IVORY ITC CYBER PREMIUM GC2</t>
  </si>
  <si>
    <t>330gsm IVORY ITC CYBER PREMIUM GC2</t>
  </si>
  <si>
    <t>340gsm IVORY ITC CYBER PREMIUM GC2</t>
  </si>
  <si>
    <t>350gsm IVORY ITC CYBER PREMIUM GC2</t>
  </si>
  <si>
    <t>360gsm IVORY ITC CYBER PREMIUM GC2</t>
  </si>
  <si>
    <t>370gsm IVORY ITC CYBER PREMIUM GC2</t>
  </si>
  <si>
    <t>380gsm IVORY ITC CYBER PREMIUM GC2</t>
  </si>
  <si>
    <t>390gsm IVORY ITC CYBER PREMIUM GC2</t>
  </si>
  <si>
    <t>400gsm IVORY ITC CYBER PREMIUM GC2</t>
  </si>
  <si>
    <t>410gsm IVORY ITC CYBER PREMIUM GC2</t>
  </si>
  <si>
    <t>420gsm IVORY ITC CYBER PREMIUM GC2</t>
  </si>
  <si>
    <t>EMAMI MAXO FOLD GC2</t>
  </si>
  <si>
    <t>ITC CYBER PREMIUM GC2</t>
  </si>
  <si>
    <t>CB Wonbang local khổ 790x1090 &amp; 820x1200</t>
  </si>
  <si>
    <t>C-Flute</t>
  </si>
  <si>
    <t>300gsm CB VINH SANG</t>
  </si>
  <si>
    <t>400gsm CB VINH SANG</t>
  </si>
  <si>
    <t>500gsm CB VINH SANG</t>
  </si>
  <si>
    <t>650gsm CB VINH SANG</t>
  </si>
  <si>
    <t>700gsm CB VINH SANG</t>
  </si>
  <si>
    <t>800gsm CB VINH SANG</t>
  </si>
  <si>
    <t>900gsm CB VINH SANG</t>
  </si>
  <si>
    <t>1000gsm CB VINH SANG</t>
  </si>
  <si>
    <t>1100gsm CB VINH SANG</t>
  </si>
  <si>
    <t>1200gsm CB VINH SANG</t>
  </si>
  <si>
    <t>1250gsm CB VINH SANG</t>
  </si>
  <si>
    <t>1300gsm CB VINH SANG</t>
  </si>
  <si>
    <t>1400gsm CB VINH SANG</t>
  </si>
  <si>
    <t>1500gsm CB VINH SANG</t>
  </si>
  <si>
    <t>1600gsm CB VINH SANG</t>
  </si>
  <si>
    <t>1700gsm CB VINH SANG</t>
  </si>
  <si>
    <t>1800gsm CB VINH SANG</t>
  </si>
  <si>
    <t>1850gsm CB VINH SANG</t>
  </si>
  <si>
    <t>2000gsm CB VINH SANG</t>
  </si>
  <si>
    <t>2100gsm CB VINH SANG</t>
  </si>
  <si>
    <t>0.91mm</t>
  </si>
  <si>
    <t>0.98mm</t>
  </si>
  <si>
    <t>1.75mm</t>
  </si>
  <si>
    <t>1.96mm</t>
  </si>
  <si>
    <t>650</t>
  </si>
  <si>
    <t>700</t>
  </si>
  <si>
    <t>800</t>
  </si>
  <si>
    <t>900</t>
  </si>
  <si>
    <t>1000</t>
  </si>
  <si>
    <t>1100</t>
  </si>
  <si>
    <t>1200</t>
  </si>
  <si>
    <t>1250</t>
  </si>
  <si>
    <t>1300</t>
  </si>
  <si>
    <t>1400</t>
  </si>
  <si>
    <t>1500</t>
  </si>
  <si>
    <t>1600</t>
  </si>
  <si>
    <t>1700</t>
  </si>
  <si>
    <t>1800</t>
  </si>
  <si>
    <t>1850</t>
  </si>
  <si>
    <t>2000</t>
  </si>
  <si>
    <t>2100</t>
  </si>
  <si>
    <t>%Tolerance</t>
  </si>
  <si>
    <t>Offline</t>
  </si>
  <si>
    <t>Cus name</t>
  </si>
  <si>
    <t>Rigid</t>
  </si>
  <si>
    <t>Simple</t>
  </si>
  <si>
    <t>2022 YTD JUNE
(updated 4Aug22)</t>
  </si>
  <si>
    <t>Cost/hr- LABOR</t>
  </si>
  <si>
    <t>Cost/hr- OTHERS</t>
  </si>
  <si>
    <t>AN GIANG FOODS</t>
  </si>
  <si>
    <t>BINH DAI PHAT</t>
  </si>
  <si>
    <t>Packaging</t>
  </si>
  <si>
    <t>BK-BillerudKorsnas</t>
  </si>
  <si>
    <t>Assembly</t>
  </si>
  <si>
    <t>CA MAU SEA FOODS</t>
  </si>
  <si>
    <t>CAT HAI FOODS</t>
  </si>
  <si>
    <t>CHUNG GIA</t>
  </si>
  <si>
    <t>CJ</t>
  </si>
  <si>
    <t>COLGATE</t>
  </si>
  <si>
    <t>CRAYOLA</t>
  </si>
  <si>
    <t>check (included CB, Flute)</t>
  </si>
  <si>
    <t>DAI PHAT FOODS</t>
  </si>
  <si>
    <t>DAI VIET HUONG</t>
  </si>
  <si>
    <t>DIAGEO</t>
  </si>
  <si>
    <t>check - rigid box metalize</t>
  </si>
  <si>
    <t>EAST WEST</t>
  </si>
  <si>
    <t>Econopack AB</t>
  </si>
  <si>
    <t>ERGO/KONICA</t>
  </si>
  <si>
    <t>FEDDY</t>
  </si>
  <si>
    <t>FES</t>
  </si>
  <si>
    <t>FUMAKILLA</t>
  </si>
  <si>
    <t>GIA VI VN</t>
  </si>
  <si>
    <t>GN FOODS</t>
  </si>
  <si>
    <t>HEINEKEN</t>
  </si>
  <si>
    <t>HENNESSY</t>
  </si>
  <si>
    <t>HOANG CHAU PLASTIC</t>
  </si>
  <si>
    <t>INNER WORKINGS</t>
  </si>
  <si>
    <t>KHANG AN FOODS</t>
  </si>
  <si>
    <t>KIDO</t>
  </si>
  <si>
    <t>LEADERART</t>
  </si>
  <si>
    <t>LIEN THANH PHAT</t>
  </si>
  <si>
    <t>LIX</t>
  </si>
  <si>
    <t>MARICO SEA</t>
  </si>
  <si>
    <t>MASAN</t>
  </si>
  <si>
    <t>NESTLE</t>
  </si>
  <si>
    <t>NESTLE JAPAN</t>
  </si>
  <si>
    <t>NISSHIN</t>
  </si>
  <si>
    <t>P&amp;G</t>
  </si>
  <si>
    <t>PACIFIC MEDICAL</t>
  </si>
  <si>
    <t>PERFETTI</t>
  </si>
  <si>
    <t>PHUC SINH</t>
  </si>
  <si>
    <t>Rigid box</t>
  </si>
  <si>
    <t>RUOU &amp; CON VN</t>
  </si>
  <si>
    <t>SAI GON PAPER</t>
  </si>
  <si>
    <t>SAKAN</t>
  </si>
  <si>
    <t>SAO TA</t>
  </si>
  <si>
    <t>SHISEIDO</t>
  </si>
  <si>
    <t>Simple pack</t>
  </si>
  <si>
    <t>If customer is Dofico, need to check</t>
  </si>
  <si>
    <t>If customer is HouseFood, need to check</t>
  </si>
  <si>
    <t>TAI KA</t>
  </si>
  <si>
    <t>TNI Trung Nguyen</t>
  </si>
  <si>
    <t>TOYOTA TSUSHO</t>
  </si>
  <si>
    <t>TRANG</t>
  </si>
  <si>
    <t>TRUNG SON</t>
  </si>
  <si>
    <t>UNICITY</t>
  </si>
  <si>
    <t>VAN DUC TIEN GIANG</t>
  </si>
  <si>
    <t>VIET DANH</t>
  </si>
  <si>
    <t>VINACAFE</t>
  </si>
  <si>
    <t>WESTROCK</t>
  </si>
  <si>
    <t>YEKO</t>
  </si>
  <si>
    <t>YUJIN</t>
  </si>
  <si>
    <t>Mapping process for Fix Cost</t>
  </si>
  <si>
    <t>Mapping Process</t>
  </si>
  <si>
    <t>Total labor hr</t>
  </si>
  <si>
    <t>Unit price (Labor)</t>
  </si>
  <si>
    <t>Unit price (Others)</t>
  </si>
  <si>
    <t>FMC- Labor</t>
  </si>
  <si>
    <t>FMC- Others</t>
  </si>
  <si>
    <t>Total FMC</t>
  </si>
  <si>
    <t>ULV</t>
  </si>
  <si>
    <t>VINGIN</t>
  </si>
  <si>
    <t>Jansy/WR/Econopak LCL + cont 20' -&gt; check LOG</t>
  </si>
  <si>
    <t>Book</t>
  </si>
  <si>
    <t>KINH DO</t>
  </si>
  <si>
    <t>For uploading</t>
  </si>
  <si>
    <t>Buffer CB 2.4mm : 739x638, 818x668</t>
  </si>
  <si>
    <t>DIA LONG</t>
  </si>
  <si>
    <t>CHENG LOONG</t>
  </si>
  <si>
    <t>Item name</t>
  </si>
  <si>
    <t>mm/pcs</t>
  </si>
  <si>
    <t>mm/roll</t>
  </si>
  <si>
    <t>pcs/roll</t>
  </si>
  <si>
    <t>Markup</t>
  </si>
  <si>
    <t>CLEAR TAPE W20 X 50 MM</t>
  </si>
  <si>
    <t>Bank charge:</t>
  </si>
  <si>
    <t>OCEAN FREIGHT</t>
  </si>
  <si>
    <t>HANDLING CHARGE IMP</t>
  </si>
  <si>
    <t>D/O</t>
  </si>
  <si>
    <t xml:space="preserve">VAT </t>
  </si>
  <si>
    <t>Costum fee</t>
  </si>
  <si>
    <t>Total price:</t>
  </si>
  <si>
    <r>
      <t>From:</t>
    </r>
    <r>
      <rPr>
        <sz val="11"/>
        <rFont val="Calibri"/>
        <family val="2"/>
      </rPr>
      <t xml:space="preserve"> Kim Huong &lt;kimhuong@starprintvn.com&gt;</t>
    </r>
  </si>
  <si>
    <r>
      <t>Sent:</t>
    </r>
    <r>
      <rPr>
        <sz val="11"/>
        <rFont val="Calibri"/>
        <family val="2"/>
      </rPr>
      <t xml:space="preserve"> Wednesday, January 12, 2022 12:46 PM</t>
    </r>
  </si>
  <si>
    <r>
      <t>To:</t>
    </r>
    <r>
      <rPr>
        <sz val="11"/>
        <rFont val="Calibri"/>
        <family val="2"/>
      </rPr>
      <t xml:space="preserve"> ngoc.nguyenhong@starprintvn.com; hongtham@starprintvn.com; 'LOG Department' &lt;log@starprintvn.com&gt;</t>
    </r>
  </si>
  <si>
    <r>
      <t>Cc:</t>
    </r>
    <r>
      <rPr>
        <sz val="11"/>
        <rFont val="Calibri"/>
        <family val="2"/>
      </rPr>
      <t xml:space="preserve"> EST@starprintvn.com; 'Tracy Pham' &lt;tram.phamthibich@starprintvn.com&gt;; thicuc@starprintvn.com; 'Dori Ho' &lt;lamtuyen@starprintvn.com&gt;; 'PUR Department' &lt;PUR@starprintvn.com&gt;; truc.ntt@starprintvn.com</t>
    </r>
  </si>
  <si>
    <r>
      <t>Subject:</t>
    </r>
    <r>
      <rPr>
        <sz val="11"/>
        <rFont val="Calibri"/>
        <family val="2"/>
      </rPr>
      <t xml:space="preserve"> RE: Quotation: Crayola / PLT3202 Coloring &amp; Activity Sticker Pad</t>
    </r>
  </si>
  <si>
    <t>Hi Team,</t>
  </si>
  <si>
    <t>Chị gửi chi phí theo file đính kèm.</t>
  </si>
  <si>
    <t>Ngoài chi phí này cộng thêm phí dịch vu khai HQ &amp; Vận chuyển nữa team nhé</t>
  </si>
  <si>
    <t>Phí dịch vu khai HQ: 1,400,000 vnđ.</t>
  </si>
  <si>
    <t>Del cost:</t>
  </si>
  <si>
    <t>From: Ngoc Purchasing &lt;ngoc.nguyenhong@starprintvn.com&gt;</t>
  </si>
  <si>
    <r>
      <t>Sent:</t>
    </r>
    <r>
      <rPr>
        <sz val="11"/>
        <rFont val="Calibri"/>
        <family val="2"/>
      </rPr>
      <t xml:space="preserve"> Wednesday, June 15, 2022 5:12 PM</t>
    </r>
  </si>
  <si>
    <t>To: est@starprintvn.com</t>
  </si>
  <si>
    <r>
      <t>Cc:</t>
    </r>
    <r>
      <rPr>
        <sz val="11"/>
        <rFont val="Calibri"/>
        <family val="2"/>
      </rPr>
      <t xml:space="preserve"> thanhvan@starprintvn.com; 'Truc,Nguyen Thi Thanh' &lt;truc.ntt@starprintvn.com&gt;; 'Nguyen Thi Ngoc Trang' &lt;ngoctrang@starprintvn.com&gt;</t>
    </r>
  </si>
  <si>
    <r>
      <t>Subject:</t>
    </r>
    <r>
      <rPr>
        <sz val="11"/>
        <rFont val="Calibri"/>
        <family val="2"/>
      </rPr>
      <t xml:space="preserve"> RE: UPDATE PRICE ACCESSORIER M06/2022</t>
    </r>
  </si>
  <si>
    <t>Dear Thắm</t>
  </si>
  <si>
    <t>Chị gửi lại giá acc bổ sung thêm giá khay inhouse sản xuất bên ngoài. Em cập nhật giá giùm chị</t>
  </si>
  <si>
    <r>
      <t xml:space="preserve">Galvanized stitching wire 0.60mm 2 kgs/plastics spool : $3.3/kg. Exw price , add </t>
    </r>
    <r>
      <rPr>
        <sz val="11"/>
        <color rgb="FF0000FF"/>
        <rFont val="CIDFont+F1"/>
      </rPr>
      <t>M&amp;M INDUSTRIES COMPANY LTD. ROOM 1006, #2 BUILDING, NORTH STAR NEW ERA, BEIYUAN ROAD,CHAOYANG DISTRICT, BEIJING CHINA 100107</t>
    </r>
  </si>
  <si>
    <r>
      <t>From:</t>
    </r>
    <r>
      <rPr>
        <sz val="11"/>
        <rFont val="Calibri"/>
        <family val="2"/>
      </rPr>
      <t xml:space="preserve"> Huong,Nguyen Thi Kim &lt;kimhuong@starprintvn.com&gt;</t>
    </r>
  </si>
  <si>
    <r>
      <t>Sent:</t>
    </r>
    <r>
      <rPr>
        <sz val="11"/>
        <rFont val="Calibri"/>
        <family val="2"/>
      </rPr>
      <t xml:space="preserve"> Thursday, October 6, 2022 3:10 PM</t>
    </r>
  </si>
  <si>
    <r>
      <t>To:</t>
    </r>
    <r>
      <rPr>
        <sz val="11"/>
        <rFont val="Calibri"/>
        <family val="2"/>
      </rPr>
      <t xml:space="preserve"> 'Tham, Pham Thi Hong' &lt;hongtham@starprintvn.com&gt;; 'Dori Ho' &lt;lamtuyen@starprintvn.com&gt;</t>
    </r>
  </si>
  <si>
    <r>
      <t>Cc:</t>
    </r>
    <r>
      <rPr>
        <sz val="11"/>
        <rFont val="Calibri"/>
        <family val="2"/>
      </rPr>
      <t xml:space="preserve"> 'Estimator' &lt;EST@starprintvn.com&gt;; thicuc@starprintvn.com; 'Pham Tracy' &lt;tram.phamthibich@starprintvn.com&gt;; 'LOG Department' &lt;log@starprintvn.com&gt;</t>
    </r>
  </si>
  <si>
    <r>
      <t>Subject:</t>
    </r>
    <r>
      <rPr>
        <sz val="11"/>
        <rFont val="Calibri"/>
        <family val="2"/>
      </rPr>
      <t xml:space="preserve"> RE: Quote: Crayola / 04-1053-0-002 Imagination Art Set</t>
    </r>
  </si>
  <si>
    <t>$/carton</t>
  </si>
  <si>
    <t>Total price</t>
  </si>
  <si>
    <t>Hi Thắm,</t>
  </si>
  <si>
    <t>Bank charge</t>
  </si>
  <si>
    <t>C gui nhé.</t>
  </si>
  <si>
    <t>Import fee</t>
  </si>
  <si>
    <t>Trucking fee</t>
  </si>
  <si>
    <r>
      <t xml:space="preserve">Cước: </t>
    </r>
    <r>
      <rPr>
        <sz val="11"/>
        <rFont val="Calibri"/>
        <family val="2"/>
      </rPr>
      <t>235 usd</t>
    </r>
  </si>
  <si>
    <t>DO: 25 usd</t>
  </si>
  <si>
    <t>CFS: 24 usd</t>
  </si>
  <si>
    <t>Insurance: 15usd</t>
  </si>
  <si>
    <t>Custom clearance: 70usd.</t>
  </si>
  <si>
    <t>Tong cong: 369 usd.</t>
  </si>
  <si>
    <t>m/roll</t>
  </si>
  <si>
    <t>Length:</t>
  </si>
  <si>
    <t>mm/copy</t>
  </si>
  <si>
    <t>copies/roll</t>
  </si>
  <si>
    <t>Require:</t>
  </si>
  <si>
    <t>vnd/copy</t>
  </si>
  <si>
    <t>: Le Trong Nguyen</t>
  </si>
  <si>
    <t>nguyen.letrong@starprintvn.com</t>
  </si>
  <si>
    <t>Le Trong Nguyen</t>
  </si>
  <si>
    <t>toan.phamvan@starprintvn.com</t>
  </si>
  <si>
    <t>: Pham Van Toan</t>
  </si>
  <si>
    <t>Pham Van Toan</t>
  </si>
  <si>
    <t>Hotmelt Vegamelt3</t>
  </si>
  <si>
    <t>Carton 2022</t>
  </si>
  <si>
    <t>Băng keo nhiệt Crayola</t>
  </si>
  <si>
    <t>Băng keo nhiệt</t>
  </si>
  <si>
    <t xml:space="preserve">(Ghim bấm) Galvanized stitching wire 0.60mm </t>
  </si>
  <si>
    <t>(Chỉ may sách) Nylon thread 2 ply"</t>
  </si>
  <si>
    <t>(Băng keo nhiệt Crayola) 19mm KRAFT PAPER TAPES (24 rolls in 1 carton)</t>
  </si>
  <si>
    <t xml:space="preserve">3. Price without test reports </t>
  </si>
  <si>
    <t>Other packing material</t>
  </si>
  <si>
    <t>: Huynh Thi Mai Phuong</t>
  </si>
  <si>
    <t>Raven@starprintvn.com</t>
  </si>
  <si>
    <t>Huynh Thi Mai Phuong</t>
  </si>
  <si>
    <t>Mark up 2023</t>
  </si>
  <si>
    <t>230gsm GB HANCHANG</t>
  </si>
  <si>
    <t>240gsm GB HANCHANG</t>
  </si>
  <si>
    <t>250gsm GB HANCHANG</t>
  </si>
  <si>
    <t>260gsm GB HANCHANG</t>
  </si>
  <si>
    <t>280gsm GB HANCHANG</t>
  </si>
  <si>
    <t>300gsm GB HANCHANG</t>
  </si>
  <si>
    <t>330gsm GB HANCHANG</t>
  </si>
  <si>
    <t>350gsm GB HANCHANG</t>
  </si>
  <si>
    <t>400gsm GB HANCHANG</t>
  </si>
  <si>
    <t>450gsm GB HANCHANG</t>
  </si>
  <si>
    <t>500gsm GB HANCHANG</t>
  </si>
  <si>
    <t>215gsm IVORY ZENITH GC1</t>
  </si>
  <si>
    <t>220gsm IVORY ZENITH GC1</t>
  </si>
  <si>
    <t>235gsm IVORY ZENITH GC1</t>
  </si>
  <si>
    <t>250gsm IVORY ZENITH GC1</t>
  </si>
  <si>
    <t>270gsm IVORY ZENITH GC1</t>
  </si>
  <si>
    <t>295gsm IVORY ZENITH GC1</t>
  </si>
  <si>
    <t>325gsm IVORY ZENITH GC1</t>
  </si>
  <si>
    <t>350gsm IVORY ZENITH GC1</t>
  </si>
  <si>
    <t>380gsm IVORY ZENITH GC1</t>
  </si>
  <si>
    <t>Minerva SM-002</t>
  </si>
  <si>
    <t>HANCHANG</t>
  </si>
  <si>
    <t>400gsm ARTBOARD Bohui - (C2S)</t>
  </si>
  <si>
    <t>brand 2</t>
  </si>
  <si>
    <t>brand 3</t>
  </si>
  <si>
    <t>brand 4</t>
  </si>
  <si>
    <t>brand 5</t>
  </si>
  <si>
    <t>ZENITH GC1</t>
  </si>
  <si>
    <t xml:space="preserve">Túi hút ẩm Clay 5gr (không có chất muối, 5g/gói - 25kg/thùng) - code 3071919 </t>
  </si>
  <si>
    <t>Supplier Siegwerk VN</t>
  </si>
  <si>
    <t>Cyan (60-124773-7.1200 Nutri-2 Proc Cyan ISO 2846-1)</t>
  </si>
  <si>
    <t>Magenta (61-804489-5.1290 Tempo Mix Magenta A)</t>
  </si>
  <si>
    <t>Yellow (61-312039-3.1290 Tempo Mix Yellow 4220)</t>
  </si>
  <si>
    <t>Black (60-914386-2.1200 Nutri-2 Proc Black ISO 2846-1)</t>
  </si>
  <si>
    <t>2.3T</t>
  </si>
  <si>
    <t>5.7T</t>
  </si>
  <si>
    <t>14T</t>
  </si>
  <si>
    <t>KCN Biên Hòa</t>
  </si>
  <si>
    <t>Cà Mau</t>
  </si>
  <si>
    <t>KCN MỸ PHƯỚC1+2+ 3</t>
  </si>
  <si>
    <t>KCN Nhơn Trạch</t>
  </si>
  <si>
    <t>Xã An Khánh, H. An Phú, T. An Giang</t>
  </si>
  <si>
    <r>
      <rPr>
        <b/>
        <sz val="10"/>
        <color rgb="FFFFFFFF"/>
        <rFont val="Arial"/>
        <family val="2"/>
      </rPr>
      <t>Zone(s)</t>
    </r>
  </si>
  <si>
    <t>Page 6</t>
  </si>
  <si>
    <t>TL 250 GSM</t>
  </si>
  <si>
    <t>USD/ton LCL</t>
  </si>
  <si>
    <t>Cleaning fee + SSC</t>
  </si>
  <si>
    <t>USD/cbm (LCL)</t>
  </si>
  <si>
    <t>3.5T</t>
  </si>
  <si>
    <t>Paper Term</t>
  </si>
  <si>
    <t>Shrinkwrap</t>
  </si>
  <si>
    <t xml:space="preserve">Thermal_Gloss_OPP_Import </t>
  </si>
  <si>
    <t>From/ Từ</t>
  </si>
  <si>
    <t>Cell phone / ĐTDĐ</t>
  </si>
  <si>
    <t>No. /STT</t>
  </si>
  <si>
    <t>Finishing / Lớp phủ</t>
  </si>
  <si>
    <r>
      <t xml:space="preserve">Price / </t>
    </r>
    <r>
      <rPr>
        <sz val="10"/>
        <color indexed="62"/>
        <rFont val="VNI-Times"/>
      </rPr>
      <t>Giá</t>
    </r>
  </si>
  <si>
    <t>: Excluding VAT 10%. / Chưa bao gồm thuế VAT 10%.</t>
  </si>
  <si>
    <t>Delivery tolerance</t>
  </si>
  <si>
    <t>:  +/-5%</t>
  </si>
  <si>
    <t>Test report</t>
  </si>
  <si>
    <t xml:space="preserve">: Excluding test report </t>
  </si>
  <si>
    <t>: Truong Vu Tuong Vi</t>
  </si>
  <si>
    <t>vi.truongvutuong@starprintvn.com</t>
  </si>
  <si>
    <t>Truong Vu Tuong Vi</t>
  </si>
  <si>
    <t>: Pham Thi Bich Tram</t>
  </si>
  <si>
    <t>: Vo Thi Hoang Lan</t>
  </si>
  <si>
    <t>: Phan Thi Quynh Nhu</t>
  </si>
  <si>
    <t>nhu.phanthiquynh@starprintvn.com</t>
  </si>
  <si>
    <t>Phan Thi Quynh Nhu</t>
  </si>
  <si>
    <t>: Phan Thien Xuan</t>
  </si>
  <si>
    <t>xuan.phanthien@starprintvn.com</t>
  </si>
  <si>
    <t>Phan Thien Xuan</t>
  </si>
  <si>
    <t>m/kg</t>
  </si>
  <si>
    <t>mm/pc</t>
  </si>
  <si>
    <t>TL 120 GSM</t>
  </si>
  <si>
    <t>TL 150 GSM</t>
  </si>
  <si>
    <t>Số định mức không thay đổi</t>
  </si>
  <si>
    <t>Độ dày (mm)</t>
  </si>
  <si>
    <t>Khổ màng (m)</t>
  </si>
  <si>
    <t>60kg/roll</t>
  </si>
  <si>
    <t>lấy số met này</t>
  </si>
  <si>
    <t>Khai hải quan</t>
  </si>
  <si>
    <t>Phí hải quan (Vnd/đầu)</t>
  </si>
  <si>
    <t>Phí chuyển xe ra HQ kiểm hàng</t>
  </si>
  <si>
    <t>Nisshin/P&amp;G/Unicity/Sakan/Westrock (S&amp;J)/Shiseido</t>
  </si>
  <si>
    <t>: To Hung Huu</t>
  </si>
  <si>
    <t>huu.tohung@starprintvn.com</t>
  </si>
  <si>
    <t>To Hung Huu</t>
  </si>
  <si>
    <t>+84 916.689.787</t>
  </si>
  <si>
    <t>+84 966.724.892</t>
  </si>
  <si>
    <t>+84 905.840.626</t>
  </si>
  <si>
    <t>+84 815.897.436</t>
  </si>
  <si>
    <t>+84 902.718.219</t>
  </si>
  <si>
    <t>+84 779.000.139</t>
  </si>
  <si>
    <t>+84 777.099.781</t>
  </si>
  <si>
    <t>+84 916.906.500</t>
  </si>
  <si>
    <t>+84 916.343.168</t>
  </si>
  <si>
    <t>+84 944.657.742</t>
  </si>
  <si>
    <t>+84 975.005.277</t>
  </si>
  <si>
    <t>+84 372.880.470</t>
  </si>
  <si>
    <t>+84 388.741.855</t>
  </si>
  <si>
    <t>+84 367.850.151</t>
  </si>
  <si>
    <t>+84 988.067.005</t>
  </si>
  <si>
    <t>+84 977.780.250</t>
  </si>
  <si>
    <t>+84 913.615.117</t>
  </si>
  <si>
    <t>+84 909.868.716</t>
  </si>
  <si>
    <t>+84 944.720.311</t>
  </si>
  <si>
    <t>+84 916.102.661</t>
  </si>
  <si>
    <t>+84 969.340.266</t>
  </si>
  <si>
    <t>Est note:</t>
  </si>
  <si>
    <t>còn k đúng chiều khổ cuộn phải cắt cả chiều khổ và chiều tới thì giá là</t>
  </si>
  <si>
    <t>lúc mình xả cuộn đó nếu đúng chiều khổ thì chỉ cắt chiều tới giá vẫn như cũ</t>
  </si>
  <si>
    <t>USD/m2</t>
  </si>
  <si>
    <t>EXW WANCHAI HK, CHINA</t>
  </si>
  <si>
    <t>50MIC CLEAR PET+160GSM WHITE RELEASE LINER+WATER BASED GLUE (CODE KY007)</t>
  </si>
  <si>
    <t>Die cut sz.:</t>
  </si>
  <si>
    <t>Buy sz:</t>
  </si>
  <si>
    <t>FOB WANCHAI HK, CHINA</t>
  </si>
  <si>
    <t>5k-15k</t>
  </si>
  <si>
    <t>15k-20k</t>
  </si>
  <si>
    <t>Extra charge:</t>
  </si>
  <si>
    <t xml:space="preserve">Total cost: </t>
  </si>
  <si>
    <t xml:space="preserve">Unit cost: </t>
  </si>
  <si>
    <t>/m2</t>
  </si>
  <si>
    <r>
      <t>14</t>
    </r>
    <r>
      <rPr>
        <vertAlign val="superscript"/>
        <sz val="10"/>
        <rFont val="Arial"/>
        <family val="2"/>
      </rPr>
      <t>th</t>
    </r>
  </si>
  <si>
    <t>Indirect - mực in Videojet (WLK667482A)</t>
  </si>
  <si>
    <r>
      <t>From:</t>
    </r>
    <r>
      <rPr>
        <sz val="11"/>
        <rFont val="Calibri"/>
        <family val="2"/>
      </rPr>
      <t xml:space="preserve"> Khoa, Tran Le Tuan &lt;khoa.tranletuan@starprintvn.com&gt;</t>
    </r>
  </si>
  <si>
    <r>
      <t>Sent:</t>
    </r>
    <r>
      <rPr>
        <sz val="11"/>
        <rFont val="Calibri"/>
        <family val="2"/>
      </rPr>
      <t xml:space="preserve"> Tuesday, April 11, 2023 2:20 PM</t>
    </r>
  </si>
  <si>
    <r>
      <t>To:</t>
    </r>
    <r>
      <rPr>
        <sz val="11"/>
        <rFont val="Calibri"/>
        <family val="2"/>
      </rPr>
      <t xml:space="preserve"> 'Tham, Pham Thi Hong' &lt;hongtham@starprintvn.com&gt;; 'Truc, Nguyen Thi Thanh ' &lt;truc.ntt@starprintvn.com&gt;; 'Susan Phan' &lt;xuan.phanthien@starprintvn.com&gt;; LOG@starprintvn.com</t>
    </r>
  </si>
  <si>
    <r>
      <t>Cc:</t>
    </r>
    <r>
      <rPr>
        <sz val="11"/>
        <rFont val="Calibri"/>
        <family val="2"/>
      </rPr>
      <t xml:space="preserve"> 'Estimator' &lt;EST@starprintvn.com&gt;; tram.phamthibich@starprintvn.com; 'Dori Ho' &lt;lamtuyen@starprintvn.com&gt;; 'Cúc' &lt;thicuc@starprintvn.com&gt;</t>
    </r>
  </si>
  <si>
    <r>
      <t>Subject:</t>
    </r>
    <r>
      <rPr>
        <sz val="11"/>
        <rFont val="Calibri"/>
        <family val="2"/>
      </rPr>
      <t xml:space="preserve"> RE: Crayola - PLT3385 Paw Patrol 5-in-1 Creativity Kit</t>
    </r>
  </si>
  <si>
    <t>Dear Thắm,</t>
  </si>
  <si>
    <t>Em xem thông tin như bên dưới nhé.</t>
  </si>
  <si>
    <t>Phí nhập Freight + EXW charge từ địa chỉ bên dưới về SPV dùm em nha, giá LCL 1-3Cbm ạ</t>
  </si>
  <si>
    <t>Address: ADD: FL3, TRAFFIC BUILDING, ANYANG TOWN, RUIAN, ZHEJIANG PRO, CHINA (EXW NINGBO)</t>
  </si>
  <si>
    <t>From 1-3cbm: $250 + $20/cbm + LCC HCM</t>
  </si>
  <si>
    <t>Thuế nhập khẩu cho item có HS code 39191099 : 15% , có C/O E : NK :0%</t>
  </si>
  <si>
    <t>Require</t>
  </si>
  <si>
    <t>rolls ~</t>
  </si>
  <si>
    <t>USD/ctn</t>
  </si>
  <si>
    <t>EXW RUIAN, ZHEJIANG PRO, CHINA</t>
  </si>
  <si>
    <t>rolls/carton</t>
  </si>
  <si>
    <t>carton</t>
  </si>
  <si>
    <t>USD/Trip</t>
  </si>
  <si>
    <t>OPP actual size</t>
  </si>
  <si>
    <t>Balance:</t>
  </si>
  <si>
    <t>Tray</t>
  </si>
  <si>
    <t>Offset UV high gloss OPV ( 100 )</t>
  </si>
  <si>
    <t>75-600993-2.3870 Offset UV high gloss OPV</t>
  </si>
  <si>
    <t>Offset UV high gloss OPV ( 72 )
Matt OPV 75-600992-4.3870 Replace 6C+770-
9600MVN.010ZH ( 20 )
Scratch Resistance Additive (WAX CREAM) ( 4 )
SICURA ADDITIVE SL100 ( 4 )</t>
  </si>
  <si>
    <t>75-600992-4.3870 Matt OPV</t>
  </si>
  <si>
    <t xml:space="preserve">70-470449-3.3870 Scratch Resistance Additive (Wax Cream) </t>
  </si>
  <si>
    <t>71-470969-8.2420 Sicura Additive SL100</t>
  </si>
  <si>
    <t>Consumption 2022</t>
  </si>
  <si>
    <t>FOB LCL 4cbm</t>
  </si>
  <si>
    <t>Updated 15.MAY.2023</t>
  </si>
  <si>
    <t>CRAYOLA AMAZON</t>
  </si>
  <si>
    <t>Check</t>
  </si>
  <si>
    <t>vị trí</t>
  </si>
  <si>
    <t>vị trí được chọn</t>
  </si>
  <si>
    <t>lố</t>
  </si>
  <si>
    <t>số tấn còn lại</t>
  </si>
  <si>
    <t>Số xe 15T</t>
  </si>
  <si>
    <t>đi xe nào</t>
  </si>
  <si>
    <t>số pallet còn lại</t>
  </si>
  <si>
    <t>RnD</t>
  </si>
  <si>
    <t>SALE</t>
  </si>
  <si>
    <t>SALE/RnD</t>
  </si>
  <si>
    <t>EST</t>
  </si>
  <si>
    <t>RND</t>
  </si>
  <si>
    <t>RND/SALE</t>
  </si>
  <si>
    <t>Silkcreen UV</t>
  </si>
  <si>
    <t>Hostamping</t>
  </si>
  <si>
    <t>Laminated paper (bên book)</t>
  </si>
  <si>
    <t>Die-cutting</t>
  </si>
  <si>
    <t>Folding &amp; Gluing (sidejoint) + Packing_Corrugated</t>
  </si>
  <si>
    <t>Pulling + Packing_Wrapping</t>
  </si>
  <si>
    <t>Grinding CB 1st</t>
  </si>
  <si>
    <t>Grinding CB 2nd</t>
  </si>
  <si>
    <t>Cut Small size</t>
  </si>
  <si>
    <t xml:space="preserve">Spot Matt UV (3 kem)  </t>
  </si>
  <si>
    <t>High</t>
  </si>
  <si>
    <t>Flat size 1pcs</t>
  </si>
  <si>
    <t>Packing sz</t>
  </si>
  <si>
    <t>Order sz W=</t>
  </si>
  <si>
    <t>Corrugated size</t>
  </si>
  <si>
    <t>Pcs/sheet</t>
  </si>
  <si>
    <t>FC</t>
  </si>
  <si>
    <t>Paper 1</t>
  </si>
  <si>
    <t>Paper 2</t>
  </si>
  <si>
    <t>Source Flute</t>
  </si>
  <si>
    <t>LAY OUT FLUTE (inhouse)</t>
  </si>
  <si>
    <t>Sz SPV using (W)</t>
  </si>
  <si>
    <t>Varnish</t>
  </si>
  <si>
    <t>Finishing type</t>
  </si>
  <si>
    <t>Cons.finishing (kg/10k shts)</t>
  </si>
  <si>
    <t>Cons.ink</t>
  </si>
  <si>
    <t>mould sz debossing</t>
  </si>
  <si>
    <t>Gluing sidejoint (A-10211) (kg/10,000pcs)</t>
  </si>
  <si>
    <t>Gluing laminated Flute / Frontside+Backside (D450) (kg/10,000 Sheet)</t>
  </si>
  <si>
    <t>Annual qty</t>
  </si>
  <si>
    <t>volume 1</t>
  </si>
  <si>
    <t>volume 2</t>
  </si>
  <si>
    <t>volume 3</t>
  </si>
  <si>
    <t>volume 4</t>
  </si>
  <si>
    <t>men</t>
  </si>
  <si>
    <t>Foi3</t>
  </si>
  <si>
    <t>mould1</t>
  </si>
  <si>
    <t>mould2</t>
  </si>
  <si>
    <t>mould3</t>
  </si>
  <si>
    <t>moul4</t>
  </si>
  <si>
    <t>Tên kẽm 1</t>
  </si>
  <si>
    <t>sl kẽm 1</t>
  </si>
  <si>
    <t>Tên kẽm 2</t>
  </si>
  <si>
    <t>sl kẽm 2</t>
  </si>
  <si>
    <t>Tên kẽm 3</t>
  </si>
  <si>
    <t>keo 1</t>
  </si>
  <si>
    <t>Wrapping</t>
  </si>
  <si>
    <t>Frame 1</t>
  </si>
  <si>
    <t>Glue1</t>
  </si>
  <si>
    <t>Glue2</t>
  </si>
  <si>
    <t>Fcost</t>
  </si>
  <si>
    <t>Supply</t>
  </si>
  <si>
    <t>Coating1</t>
  </si>
  <si>
    <t>Coating2</t>
  </si>
  <si>
    <t>lần 1</t>
  </si>
  <si>
    <t>lần 2</t>
  </si>
  <si>
    <t>khổ</t>
  </si>
  <si>
    <t>rộng</t>
  </si>
  <si>
    <t>mau</t>
  </si>
  <si>
    <t>Copy từ cột A đến cột J từ file FC quăng vào đây. Nếu thấy lệch thì cop lại vào cho đúng ô G8 là ok</t>
  </si>
  <si>
    <t>Chỉ chia được 2</t>
  </si>
  <si>
    <t>cưa đôi</t>
  </si>
  <si>
    <t>lấy</t>
  </si>
  <si>
    <t>chốt kèo cho local</t>
  </si>
  <si>
    <t>import</t>
  </si>
  <si>
    <t>local</t>
  </si>
  <si>
    <t>ivory</t>
  </si>
  <si>
    <t>woodfree</t>
  </si>
  <si>
    <t>artboard</t>
  </si>
  <si>
    <t>art paper</t>
  </si>
  <si>
    <t>Formula1</t>
  </si>
  <si>
    <t>Formula2</t>
  </si>
  <si>
    <t>Formula3</t>
  </si>
  <si>
    <t>Formula4</t>
  </si>
  <si>
    <t>Số màu</t>
  </si>
  <si>
    <t>Đếm bao nhiêu dòng của mặt trước chính là số màu mặt trước, tương tự là mặt sau</t>
  </si>
  <si>
    <t>Đại diện cho 4 màu cơ bản và các màu đặc biệt, muốn thay đổi thì chỉnh ở đây. Lưu ý nó impact cho cả mặt trước và sau</t>
  </si>
  <si>
    <t>thùng/xe</t>
  </si>
  <si>
    <t>số thùng/xe</t>
  </si>
  <si>
    <t>Quy cách</t>
  </si>
  <si>
    <t>Xe</t>
  </si>
  <si>
    <t>thùng</t>
  </si>
  <si>
    <t>dài</t>
  </si>
  <si>
    <t>cao</t>
  </si>
  <si>
    <t>cao adj</t>
  </si>
  <si>
    <t>quy chuẩn về thùng</t>
  </si>
  <si>
    <t>Lớp</t>
  </si>
  <si>
    <t>Cân nặng</t>
  </si>
  <si>
    <t>&lt;10kg</t>
  </si>
  <si>
    <t>&gt;15kg</t>
  </si>
  <si>
    <t>Tấn/xe</t>
  </si>
  <si>
    <t>Đi xe nào cho tấn còn lại</t>
  </si>
  <si>
    <t>Thùng còn lại</t>
  </si>
  <si>
    <t>Đi xe nào cho thùng còn lại</t>
  </si>
  <si>
    <t>Cách chất và số lượng các lớp tối đa được chất</t>
  </si>
  <si>
    <t>Số lớp tối đa được chất</t>
  </si>
  <si>
    <t>Vị trí</t>
  </si>
  <si>
    <t>Còn lại</t>
  </si>
  <si>
    <t>FRW-3-057</t>
  </si>
  <si>
    <t>Duplex 250</t>
  </si>
  <si>
    <t>B-Flute 150/125/125</t>
  </si>
  <si>
    <t>150/125/125</t>
  </si>
  <si>
    <t>Gloss WB</t>
  </si>
  <si>
    <t>6/0</t>
  </si>
  <si>
    <t>NGAN</t>
  </si>
  <si>
    <t>No</t>
  </si>
  <si>
    <t>PET</t>
  </si>
  <si>
    <t>co inMetalize&lt;50000</t>
  </si>
  <si>
    <t>Metalize&lt;50000</t>
  </si>
  <si>
    <t>&lt;50000</t>
  </si>
  <si>
    <t>co inMetalize&gt;50000</t>
  </si>
  <si>
    <t>Metalize&gt;50000</t>
  </si>
  <si>
    <t>&gt;50000</t>
  </si>
  <si>
    <t>co inNon Metalize&lt;50000</t>
  </si>
  <si>
    <t>Non Metalize&lt;50000</t>
  </si>
  <si>
    <t>co inNon Metalize&gt;50000</t>
  </si>
  <si>
    <t>Non Metalize&gt;50000</t>
  </si>
  <si>
    <t>co inRigid Box&lt;50000</t>
  </si>
  <si>
    <t>Rigid Box&lt;50000</t>
  </si>
  <si>
    <t>co inRigid Box&gt;50000</t>
  </si>
  <si>
    <t>Rigid Box&gt;50000</t>
  </si>
  <si>
    <t>khong inMetalize&lt;50000</t>
  </si>
  <si>
    <t>khong inMetalize&gt;50000</t>
  </si>
  <si>
    <t>khong inNon Metalize&lt;50000</t>
  </si>
  <si>
    <t>khong inNon Metalize&gt;50000</t>
  </si>
  <si>
    <t>khong inRigid Box&lt;50000</t>
  </si>
  <si>
    <t>khong inRigid Box&gt;50000</t>
  </si>
  <si>
    <t>0/0</t>
  </si>
  <si>
    <t>Phần dưới này sẽ tìm cách khi có matt UV thì phải thêm kẽm cho mỗi frame(mỗi kẽm là mỗi lần in, dựa vào fl được)</t>
  </si>
  <si>
    <t>chỉ cần có 1 trong 4 thì cái này phải có</t>
  </si>
  <si>
    <t>su on</t>
  </si>
  <si>
    <t>su off</t>
  </si>
  <si>
    <t>Mapping kem</t>
  </si>
  <si>
    <t>E-flute</t>
  </si>
  <si>
    <t>Su Online</t>
  </si>
  <si>
    <t>Su offline</t>
  </si>
  <si>
    <t>Kẽm</t>
  </si>
  <si>
    <t>dựa vào coating, dùng loại nào thì xài su hoặc kẽm tương ứng</t>
  </si>
  <si>
    <t>Tùy công thức, INN sẽ note số kẽm, số su trên FC</t>
  </si>
  <si>
    <t>Water Base TOB Soft Touch Lacquer</t>
  </si>
  <si>
    <t>WB LD NF Primer</t>
  </si>
  <si>
    <t>Metalized</t>
  </si>
  <si>
    <t>dựa vào Labour cost, Cap &gt;0 thì xài khuôn&amp; output film</t>
  </si>
  <si>
    <t>Embossing/ Debossing</t>
  </si>
  <si>
    <t>dựa vào Labour cost, Cap &gt;0 thì xài khuôn</t>
  </si>
  <si>
    <t>Exxpense</t>
  </si>
  <si>
    <t>Count</t>
  </si>
  <si>
    <t>Category</t>
  </si>
  <si>
    <t>Volume</t>
  </si>
  <si>
    <t>Setup+waste</t>
  </si>
  <si>
    <t>Value</t>
  </si>
  <si>
    <t>Value Mark</t>
  </si>
  <si>
    <t>PaPer</t>
  </si>
  <si>
    <t>g/pcs</t>
  </si>
  <si>
    <t>Direct cost</t>
  </si>
  <si>
    <t>Tools</t>
  </si>
  <si>
    <t>Indirect cost</t>
  </si>
  <si>
    <t>TK Matt Varnish 22493</t>
  </si>
  <si>
    <t>Metalize/Rigid Box</t>
  </si>
  <si>
    <t>MD GK 112, 120, 125, 150 GSM</t>
  </si>
  <si>
    <t>MD GK 120, 125, 150 GSM</t>
  </si>
  <si>
    <t>Updated 14.06.23</t>
  </si>
  <si>
    <t>Bình Chánh - HCM</t>
  </si>
  <si>
    <t>Châu Thành - Sóc Trăng</t>
  </si>
  <si>
    <t>CÔNG TY GIẤY AN TRƯỜNG PHÁT</t>
  </si>
  <si>
    <t>CTY COLGATE - KCN MỸ PHƯỚC1+2+ 3</t>
  </si>
  <si>
    <t>CTY PERFERTIVAN MELL, KINH DO , KHO UNILEVER (VSIP)</t>
  </si>
  <si>
    <t>Cty Phúc Sinh - TX. Bến Cát - Bình Dương</t>
  </si>
  <si>
    <t>Cty Sakan - TP. Tân An - Long An</t>
  </si>
  <si>
    <t>Củ Chi - HCM</t>
  </si>
  <si>
    <t>CỤM CN HỐ NAI 3</t>
  </si>
  <si>
    <t>GIAO CTY NESLTE</t>
  </si>
  <si>
    <t>Hóc Môn - HCM</t>
  </si>
  <si>
    <t>KCN ĐỨC HÒA - LONG AN</t>
  </si>
  <si>
    <t>KCN Hiệp Phước - Nhà Bè</t>
  </si>
  <si>
    <t>KCN MỸ XUÂN A</t>
  </si>
  <si>
    <t>KCN NAM TÂN UYÊN</t>
  </si>
  <si>
    <t>KCN TÂN TẠO</t>
  </si>
  <si>
    <t>KCN Vĩnh Lộc - HCM</t>
  </si>
  <si>
    <t>KCN VSIP 1- Bình Dương</t>
  </si>
  <si>
    <t>KCN VSIP 2 - BÌNH DƯƠNG</t>
  </si>
  <si>
    <t>KHO TBS ( TÂN VẠN )</t>
  </si>
  <si>
    <t>QUẬN 1,3,4, BÌNH THẠNH, GÒ VẤP, TÂN BÌNH</t>
  </si>
  <si>
    <t>QUẬN 2,9,12 TP.HCM</t>
  </si>
  <si>
    <t>QUẬN 5,6,7,8,10,11, Q. TÂN PHÚ, BÌNH TÂN</t>
  </si>
  <si>
    <t>QUẬN THỦ ĐỨC - TP. HCM</t>
  </si>
  <si>
    <t>TỈNH KIÊN GIANG</t>
  </si>
  <si>
    <t>TP. KONTUM - TỈNH KONTUM</t>
  </si>
  <si>
    <t>TP. LONG XUYÊN, AN GIANG</t>
  </si>
  <si>
    <t>TP. MỸ THO - TIỀN GIANG</t>
  </si>
  <si>
    <t>Rigid Box</t>
  </si>
  <si>
    <t>input</t>
  </si>
  <si>
    <t>paper</t>
  </si>
  <si>
    <t>Sticker sẽ update sau</t>
  </si>
  <si>
    <t>Sticker sẽ chỉnh sau</t>
  </si>
  <si>
    <t>Giấy thường</t>
  </si>
  <si>
    <t>Nhớ đưa phần khổ giấy, lay số màu vào đúng dòng số 6 nhé</t>
  </si>
  <si>
    <t>lay 1</t>
  </si>
  <si>
    <t>khổ partition</t>
  </si>
  <si>
    <t>rộng partition</t>
  </si>
  <si>
    <t>lay partition</t>
  </si>
  <si>
    <t>front/back</t>
  </si>
  <si>
    <t>&lt;9kg</t>
  </si>
  <si>
    <t>9-10kg</t>
  </si>
  <si>
    <t>&gt;10kg</t>
  </si>
  <si>
    <t>10-11kg</t>
  </si>
  <si>
    <t>11-12kg</t>
  </si>
  <si>
    <t>&gt;12kg</t>
  </si>
  <si>
    <t>Số xe</t>
  </si>
  <si>
    <t>Giá/xe</t>
  </si>
  <si>
    <t>Số tấn còn lại</t>
  </si>
  <si>
    <t>Chốt xe nào cho số còn lại</t>
  </si>
  <si>
    <t>10T</t>
  </si>
  <si>
    <t>12T</t>
  </si>
  <si>
    <t>WT 140 I GSM</t>
  </si>
  <si>
    <t>WT 170 I GSM</t>
  </si>
  <si>
    <t>Delivery cost to pick up paper Truck 1.8T
(VND/MT)</t>
  </si>
  <si>
    <t>Gấp máy</t>
  </si>
  <si>
    <t>Dán PET</t>
  </si>
  <si>
    <t>Check xem có giá hok</t>
  </si>
  <si>
    <t>số tiếp theo</t>
  </si>
  <si>
    <t>lấy số thùng cần vc chia cho số thùng cap trên một xe nếu số tấn xe đó thỏa điều kiện còn không thì lấy số kg/thùng để tính số thùng cap trên/xe</t>
  </si>
  <si>
    <t>Tổng giá trì</t>
  </si>
  <si>
    <t>Tổng số thùng/pallet theo cap</t>
  </si>
  <si>
    <t>Thùng/pallet</t>
  </si>
  <si>
    <t>Tấn</t>
  </si>
  <si>
    <t>Chọn xe lần 1</t>
  </si>
  <si>
    <t>Số xe lần 1</t>
  </si>
  <si>
    <t>Số xe lần 2</t>
  </si>
  <si>
    <t>Chọn xe lần 2</t>
  </si>
  <si>
    <t>Nếu hok có giá thì lấy xe tiếp theo</t>
  </si>
  <si>
    <t>Hai cái này là chọn lại xe nếu không có giá</t>
  </si>
  <si>
    <t>Acc1</t>
  </si>
  <si>
    <t>Hostamp</t>
  </si>
  <si>
    <r>
      <t>From:</t>
    </r>
    <r>
      <rPr>
        <sz val="11"/>
        <rFont val="Calibri"/>
        <family val="2"/>
      </rPr>
      <t xml:space="preserve"> totrinh@starprintvn.com &lt;totrinh@starprintvn.com&gt;</t>
    </r>
  </si>
  <si>
    <r>
      <t>Sent:</t>
    </r>
    <r>
      <rPr>
        <sz val="11"/>
        <rFont val="Calibri"/>
        <family val="2"/>
      </rPr>
      <t xml:space="preserve"> Tuesday, July 25, 2023 11:32 AM</t>
    </r>
  </si>
  <si>
    <r>
      <t>To:</t>
    </r>
    <r>
      <rPr>
        <sz val="11"/>
        <rFont val="Calibri"/>
        <family val="2"/>
      </rPr>
      <t xml:space="preserve"> 'Trang, Nguyen Dong Xuan' &lt;trang.ndx@starprintvn.com&gt;; 'Thuy, Nguyen Thi Thu' &lt;thuthuy@starprintvn.com&gt;</t>
    </r>
  </si>
  <si>
    <r>
      <t>Cc:</t>
    </r>
    <r>
      <rPr>
        <sz val="11"/>
        <rFont val="Calibri"/>
        <family val="2"/>
      </rPr>
      <t xml:space="preserve"> 'ngoc.nguyenhong@starprintvn.com' &lt;ngoc.nguyenhong@starprintvn.com&gt;; 'Thanh Vân - PUR' &lt;Thanhvan@starprintvn.com&gt;; 'LOG@starprintvn.com' &lt;LOG@starprintvn.com&gt;</t>
    </r>
  </si>
  <si>
    <r>
      <t>Subject:</t>
    </r>
    <r>
      <rPr>
        <sz val="11"/>
        <rFont val="Calibri"/>
        <family val="2"/>
      </rPr>
      <t xml:space="preserve"> RE: vận chuyển tuyến TBS Tân Vạn</t>
    </r>
  </si>
  <si>
    <t>Dear Chị Thủy &amp; X. Trang</t>
  </si>
  <si>
    <t>Về chi phí phát sinh cho tuyến đi TBS và Kinh Đô sau khi trao đổi với nhà vận chuyển và bên LOG đi đến  thống nhất như sau:</t>
  </si>
  <si>
    <t>Tuyến đi Kinh Đô =&gt; Tăng thêm 1 người bốc xếp đi theo xe chi phí thu thêm vào giá xe 200k/xe</t>
  </si>
  <si>
    <t>Tuyến đi TBS sẽ có 2 mức giá cho chiều hàng về SPV</t>
  </si>
  <si>
    <t>Giá đi pallet áp dụng giá theo mức giá hiện tại mục giá số 1</t>
  </si>
  <si>
    <t xml:space="preserve">Giá hàng bốc xá =&gt; hàng về kho SPV tài xế bốc hàng xếp trên pallet và phân loại hàng theo bảng giá bên dưới mục số 3, phí trả pallet (nếu có) áp dụng theo mục số 4. </t>
  </si>
  <si>
    <t>Giá mới này sẽ được cập nhật trong PL Hợp Đồng số 12 và sẽ bổ sung cho bên Chị sau khi hai bên ký xong</t>
  </si>
  <si>
    <t>Mapping1</t>
  </si>
  <si>
    <t>Mapping2</t>
  </si>
  <si>
    <t>Mapping3</t>
  </si>
  <si>
    <t>V193 là vị trí được chọn khi nó không bị lố tấn or pallet</t>
  </si>
  <si>
    <t xml:space="preserve">X197 là giá trị được chọn khi nó bị lố </t>
  </si>
  <si>
    <t>(Pcs/CTN)</t>
  </si>
  <si>
    <t>CTN/truck</t>
  </si>
  <si>
    <t>Floor load</t>
  </si>
  <si>
    <t>1 - tính thỏa số tấn trước, dựa vào số tính ra check lại có thỏa số pallet/CTN ko, nếu không thỏa sẽ chuyển qua tính để thỏa số pallet./CTN</t>
  </si>
  <si>
    <t>Giá xe theo pallet</t>
  </si>
  <si>
    <t>Giá xe theo Floor load</t>
  </si>
  <si>
    <t>này là size trải</t>
  </si>
  <si>
    <r>
      <t>The kraft paper with width 30mm x</t>
    </r>
    <r>
      <rPr>
        <b/>
        <sz val="10"/>
        <color rgb="FFFF0000"/>
        <rFont val="Arial"/>
        <family val="2"/>
      </rPr>
      <t xml:space="preserve"> 335mm</t>
    </r>
  </si>
  <si>
    <t>SW7329F (Art paper)</t>
  </si>
  <si>
    <t>Replace for HC811N</t>
  </si>
  <si>
    <t>Layout size</t>
  </si>
  <si>
    <t>By size</t>
  </si>
  <si>
    <t>Required</t>
  </si>
  <si>
    <t>sheet</t>
  </si>
  <si>
    <t>sheet/roll</t>
  </si>
  <si>
    <t>~</t>
  </si>
  <si>
    <t>sqm</t>
  </si>
  <si>
    <t>vnd/m2</t>
  </si>
  <si>
    <t>Markup:</t>
  </si>
  <si>
    <t>VND/</t>
  </si>
  <si>
    <r>
      <t>From:</t>
    </r>
    <r>
      <rPr>
        <sz val="11"/>
        <rFont val="Calibri"/>
        <family val="2"/>
      </rPr>
      <t xml:space="preserve"> Truc, Nguyen Thi Thanh &lt;truc.ntt@starprintvn.com&gt;</t>
    </r>
  </si>
  <si>
    <r>
      <t>Sent:</t>
    </r>
    <r>
      <rPr>
        <sz val="11"/>
        <rFont val="Calibri"/>
        <family val="2"/>
      </rPr>
      <t xml:space="preserve"> Tuesday, May 16, 2023 12:31 PM</t>
    </r>
  </si>
  <si>
    <r>
      <t>To:</t>
    </r>
    <r>
      <rPr>
        <sz val="11"/>
        <rFont val="Calibri"/>
        <family val="2"/>
      </rPr>
      <t xml:space="preserve"> 'Tham, Pham Thi Hong' &lt;hongtham@starprintvn.com&gt;; 'Huy, Nguyen Vu Xuan' &lt;xuanhuy@starprintvn.com&gt;; 'Cuc ( Anne)' &lt;thicuc@starprintvn.com&gt;; EST@starprintvn.com; 'PUR Department' &lt;PUR@starprintvn.com&gt;</t>
    </r>
  </si>
  <si>
    <r>
      <t>Cc:</t>
    </r>
    <r>
      <rPr>
        <sz val="11"/>
        <rFont val="Calibri"/>
        <family val="2"/>
      </rPr>
      <t xml:space="preserve"> 'Book R&amp;D' &lt;book.rd@starprintvn.com&gt;; 'dori' &lt;lamtuyen@starprintvn.com&gt;; 'tram' &lt;tram.phamthibich@starprintvn.com&gt;; 'xuan' &lt;xuan.phanthien@starprintvn.com&gt;; 'Phan Thanh Tung' &lt;tung.phanthanh@starprintvn.com&gt;</t>
    </r>
  </si>
  <si>
    <r>
      <t>Subject:</t>
    </r>
    <r>
      <rPr>
        <sz val="11"/>
        <rFont val="Calibri"/>
        <family val="2"/>
      </rPr>
      <t xml:space="preserve"> RE: Crayola- : PLT3461 Paint and Peel Mosaic Kit</t>
    </r>
  </si>
  <si>
    <t>Alo Thắm,</t>
  </si>
  <si>
    <t>Lấy final này nhé. Thanks</t>
  </si>
  <si>
    <t>REF. Vietcom Bank Exchange Rate Dated : 15.08.2023</t>
  </si>
  <si>
    <t>RAW DATA UPDATE Aug15</t>
  </si>
  <si>
    <t>TL 175 GSM</t>
  </si>
  <si>
    <t>Box</t>
  </si>
  <si>
    <t>8000</t>
  </si>
  <si>
    <t>3</t>
  </si>
  <si>
    <t>4000</t>
  </si>
  <si>
    <t>3500</t>
  </si>
  <si>
    <t>2</t>
  </si>
  <si>
    <t>7</t>
  </si>
  <si>
    <t xml:space="preserve">Glue D450 </t>
  </si>
  <si>
    <t>68.5</t>
  </si>
  <si>
    <t>Nhu Huynh</t>
  </si>
  <si>
    <t>Prepared  by</t>
  </si>
  <si>
    <t>Reviewed by</t>
  </si>
  <si>
    <t>Approved by</t>
  </si>
  <si>
    <t xml:space="preserve">
Đài Loan</t>
  </si>
  <si>
    <t xml:space="preserve">
Minh Tài</t>
  </si>
  <si>
    <t xml:space="preserve">
Thane Taithongchai</t>
  </si>
  <si>
    <t xml:space="preserve">CUSTOMER'S REQUIREMENT </t>
  </si>
  <si>
    <t>CR #:</t>
  </si>
  <si>
    <t>Spv Fri 53.00</t>
  </si>
  <si>
    <t>Req By:</t>
  </si>
  <si>
    <t>Raven</t>
  </si>
  <si>
    <t>Date:</t>
  </si>
  <si>
    <t>Customer Name :</t>
  </si>
  <si>
    <t>Friwo</t>
  </si>
  <si>
    <t>Type of Product :</t>
  </si>
  <si>
    <t>Single face (Corrugated box)</t>
  </si>
  <si>
    <t>Storage condition:</t>
  </si>
  <si>
    <t>Project Name :</t>
  </si>
  <si>
    <t>Cus Packing Method:</t>
  </si>
  <si>
    <t>Manual</t>
  </si>
  <si>
    <t>Spec. attached:</t>
  </si>
  <si>
    <t>Yes</t>
  </si>
  <si>
    <t>Product Name :</t>
  </si>
  <si>
    <t>Packaging Application :</t>
  </si>
  <si>
    <t>Electronics</t>
  </si>
  <si>
    <t>Quality Spec Ref:</t>
  </si>
  <si>
    <t>Product Code:</t>
  </si>
  <si>
    <t>Cus Approval Level:</t>
  </si>
  <si>
    <t>Level 1</t>
  </si>
  <si>
    <t>Safety Req:</t>
  </si>
  <si>
    <t>Product Group:</t>
  </si>
  <si>
    <t>Cus indicated spec, must be send sample for cus approval for any changing</t>
  </si>
  <si>
    <t>Special Req:</t>
  </si>
  <si>
    <t>I. SPECIFICATION</t>
  </si>
  <si>
    <t>1. STRUCTURE</t>
  </si>
  <si>
    <t>Component</t>
  </si>
  <si>
    <t>Metalize / Non Metalize</t>
  </si>
  <si>
    <t>Folding &amp; Gluing</t>
  </si>
  <si>
    <t>Quantity/copy</t>
  </si>
  <si>
    <t>TOP</t>
  </si>
  <si>
    <t>BOTTOM</t>
  </si>
  <si>
    <t>Tuck End</t>
  </si>
  <si>
    <t>Outer dimension</t>
  </si>
  <si>
    <t>2. MATERIALS</t>
  </si>
  <si>
    <t>Film</t>
  </si>
  <si>
    <t>(1)</t>
  </si>
  <si>
    <t>(2)</t>
  </si>
  <si>
    <t>(3)</t>
  </si>
  <si>
    <t>Metalize film</t>
  </si>
  <si>
    <t xml:space="preserve">No. of Color </t>
  </si>
  <si>
    <t>Special ink</t>
  </si>
  <si>
    <t>300 gsm GBB</t>
  </si>
  <si>
    <t xml:space="preserve">E FLUTE 115/105 </t>
  </si>
  <si>
    <t>1/0</t>
  </si>
  <si>
    <t>3. SPECIAL PROPERTY</t>
  </si>
  <si>
    <t>Light fastness</t>
  </si>
  <si>
    <t>Rubtest</t>
  </si>
  <si>
    <t>ECT</t>
  </si>
  <si>
    <t>BCT</t>
  </si>
  <si>
    <t>Scratching</t>
  </si>
  <si>
    <t>Glossness</t>
  </si>
  <si>
    <t>Slide Angle</t>
  </si>
  <si>
    <t>PRSL</t>
  </si>
  <si>
    <t>3. FINISHING</t>
  </si>
  <si>
    <t xml:space="preserve">Embossing </t>
  </si>
  <si>
    <t>Window</t>
  </si>
  <si>
    <t>4. ACCESSORY</t>
  </si>
  <si>
    <t xml:space="preserve">5. BINDING </t>
  </si>
  <si>
    <t>6. PACKING REQUIREMENT</t>
  </si>
  <si>
    <t>Outer Carton</t>
  </si>
  <si>
    <t xml:space="preserve">Packing </t>
  </si>
  <si>
    <t>Pcs/carton</t>
  </si>
  <si>
    <t>Bundle/carton</t>
  </si>
  <si>
    <t>Loading</t>
  </si>
  <si>
    <t>Stretch wrap</t>
  </si>
  <si>
    <t>R&amp;D advise</t>
  </si>
  <si>
    <t>Floor Load</t>
  </si>
  <si>
    <t>7. SPECIAL REQUIREMENT</t>
  </si>
  <si>
    <t>Sustainable:</t>
  </si>
  <si>
    <t>Recyle:</t>
  </si>
  <si>
    <t>FSC/ PEFC:</t>
  </si>
  <si>
    <t>BRC:</t>
  </si>
  <si>
    <t>Direct Food:</t>
  </si>
  <si>
    <t>Other:</t>
  </si>
  <si>
    <t>ROHS &amp; REACH</t>
  </si>
  <si>
    <r>
      <t xml:space="preserve">8. SAMPLE REQUEST </t>
    </r>
    <r>
      <rPr>
        <sz val="11"/>
        <color rgb="FFFF0000"/>
        <rFont val="Arial"/>
        <family val="2"/>
      </rPr>
      <t>(apply to Packaging only)</t>
    </r>
  </si>
  <si>
    <t>Sample</t>
  </si>
  <si>
    <t>Oris Proof</t>
  </si>
  <si>
    <t>Proofing</t>
  </si>
  <si>
    <t xml:space="preserve">Mock up </t>
  </si>
  <si>
    <t xml:space="preserve">Proof cost was allocated on pricing </t>
  </si>
  <si>
    <t>Standard book</t>
  </si>
  <si>
    <t>* Case 1: Proof cost was allocated on pricing 
**Case 2: Charged - *** Case 3: Free of charge</t>
  </si>
  <si>
    <t>II. ESTIMATING REQUEST OF BOX PRODUCTS</t>
  </si>
  <si>
    <t>The case of quotation request:</t>
  </si>
  <si>
    <t>Type of Product:</t>
  </si>
  <si>
    <t>Quantity requested:</t>
  </si>
  <si>
    <r>
      <t>Annual quantity/</t>
    </r>
    <r>
      <rPr>
        <b/>
        <sz val="11"/>
        <color rgb="FFFF0000"/>
        <rFont val="Arial"/>
        <family val="2"/>
      </rPr>
      <t>Total quantity project</t>
    </r>
  </si>
  <si>
    <t>For regular products</t>
  </si>
  <si>
    <t>……………………………………………………………………………………………………….</t>
  </si>
  <si>
    <t>* In case there is any special material/accessory request, please pass the sample/picture/description</t>
  </si>
  <si>
    <t xml:space="preserve"> to Purchasing for searching the price.</t>
  </si>
  <si>
    <t>Ink Consumption:</t>
  </si>
  <si>
    <t>*Please note the number of MS which is used to convert ink consumptions or advised by INN</t>
  </si>
  <si>
    <t>Del Term:</t>
  </si>
  <si>
    <t>DAP</t>
  </si>
  <si>
    <t>Del Tol:</t>
  </si>
  <si>
    <t>Trans Owner:</t>
  </si>
  <si>
    <t>không khai HQ</t>
  </si>
  <si>
    <t>Delivery Address:</t>
  </si>
  <si>
    <t>KCN Amata</t>
  </si>
  <si>
    <r>
      <t xml:space="preserve">*Please note:
</t>
    </r>
    <r>
      <rPr>
        <i/>
        <u/>
        <sz val="12"/>
        <color rgb="FFFF0000"/>
        <rFont val="Arial"/>
        <family val="2"/>
      </rPr>
      <t xml:space="preserve"> EXW </t>
    </r>
    <r>
      <rPr>
        <i/>
        <sz val="12"/>
        <color rgb="FFFF0000"/>
        <rFont val="Arial"/>
        <family val="2"/>
      </rPr>
      <t xml:space="preserve">(with/without Custom Clearance paper; 01 or 02 ways of clearance; loading fee at SPV or not)
</t>
    </r>
    <r>
      <rPr>
        <i/>
        <u/>
        <sz val="12"/>
        <color rgb="FFFF0000"/>
        <rFont val="Arial"/>
        <family val="2"/>
      </rPr>
      <t>FOB term</t>
    </r>
    <r>
      <rPr>
        <i/>
        <sz val="12"/>
        <color rgb="FFFF0000"/>
        <rFont val="Arial"/>
        <family val="2"/>
      </rPr>
      <t xml:space="preserve">: Country of Destination 
</t>
    </r>
    <r>
      <rPr>
        <i/>
        <u/>
        <sz val="12"/>
        <color rgb="FFFF0000"/>
        <rFont val="Arial"/>
        <family val="2"/>
      </rPr>
      <t>CIF, DAP, DDP, DDU:</t>
    </r>
    <r>
      <rPr>
        <i/>
        <sz val="12"/>
        <color rgb="FFFF0000"/>
        <rFont val="Arial"/>
        <family val="2"/>
      </rPr>
      <t xml:space="preserve"> clear address </t>
    </r>
  </si>
  <si>
    <t>Payment term:</t>
  </si>
  <si>
    <t>days ( from B/L date)</t>
  </si>
  <si>
    <t>Other requests:</t>
  </si>
  <si>
    <t>Transportation sample fee  :</t>
  </si>
  <si>
    <t xml:space="preserve">Fedex courier zone </t>
  </si>
  <si>
    <t>qty</t>
  </si>
  <si>
    <t>dummy copies/title</t>
  </si>
  <si>
    <t>advance copies/title</t>
  </si>
  <si>
    <t>Quotation expected date</t>
  </si>
  <si>
    <t>Delivery estimated date</t>
  </si>
  <si>
    <t>Requested price validity</t>
  </si>
  <si>
    <t>Please attached this request together with the layout &amp; flowchart of INN</t>
  </si>
  <si>
    <t>Make sure that the names of customer and product are always the same in all documents/emails related</t>
  </si>
  <si>
    <t xml:space="preserve">The estimation will not be proceeded unless the lacking information are clarified and confirmed in written </t>
  </si>
  <si>
    <t>by Head of Sales &amp; Marketing department</t>
  </si>
  <si>
    <t>Requests for quotation revise: please note the latest quotation number and note the issues/items</t>
  </si>
  <si>
    <t>need to be revised</t>
  </si>
  <si>
    <t>Quotation update of the products manufactured: please note the MS number (in ERP software)</t>
  </si>
  <si>
    <t>or attach the MS with the information requested above</t>
  </si>
  <si>
    <t>For the Forecast/stock paper utilization, please note the FC/PO number for checking the material prices.</t>
  </si>
  <si>
    <t>PICTURE ATTACHED</t>
  </si>
  <si>
    <t>Corrugated box - 20001531</t>
  </si>
  <si>
    <t>Soạn/ Prepared by</t>
  </si>
  <si>
    <t>Xem xét/ Reviewed by</t>
  </si>
  <si>
    <t>Duyệt/ Approved by</t>
  </si>
  <si>
    <t>Trần Quốc Huy</t>
  </si>
  <si>
    <t>Phạm Công Danh</t>
  </si>
  <si>
    <t>Pituk Siriyong</t>
  </si>
  <si>
    <t xml:space="preserve">QUY TRÌNH SẢN XUẤT HÀNG HỘP
PACKAGING PROCESS FLOWCHART </t>
  </si>
  <si>
    <t>Lần hiệu chỉnh/Rev. No.: 00
Ngaøy/Started date: 17/08/23</t>
  </si>
  <si>
    <t>Tên khách hàng/Customer name</t>
  </si>
  <si>
    <t>Tên sản phẩm/Product name</t>
  </si>
  <si>
    <t>Cad No.</t>
  </si>
  <si>
    <t>FRW-3-086</t>
  </si>
  <si>
    <t>Loại giấy/Kind of paper</t>
  </si>
  <si>
    <t>Khổ giấy/Paper size</t>
  </si>
  <si>
    <t>Ma-két/Layout</t>
  </si>
  <si>
    <t>Tổng số màu/Total color</t>
  </si>
  <si>
    <t xml:space="preserve">GBB 300gsm
Sóng E 115/105 </t>
  </si>
  <si>
    <t>641 x 410 mm
628 x 397 mm</t>
  </si>
  <si>
    <t>2 pcs
2 pcs</t>
  </si>
  <si>
    <t>1
0</t>
  </si>
  <si>
    <t>Gloss WB
No</t>
  </si>
  <si>
    <t>FLOWCHART:</t>
  </si>
  <si>
    <t>Cut printing size</t>
  </si>
  <si>
    <t>STD = 8,000 Sheets/hr/3 men</t>
  </si>
  <si>
    <t xml:space="preserve">E Flute 115/105 </t>
  </si>
  <si>
    <t>Printing 1/0_special 0 + Gloss WB</t>
  </si>
  <si>
    <t>STD = 9,000Sheets/hr/5men</t>
  </si>
  <si>
    <t>Usage OPV CX-186 : 11.5 kg/10,000Sheets</t>
  </si>
  <si>
    <t>Laminate with E_Flute</t>
  </si>
  <si>
    <t>STD = 4,000 Sheets/hr/3 men</t>
  </si>
  <si>
    <t>Glue D450 : 68.5kg/10,000Sheets</t>
  </si>
  <si>
    <t>STD = 3,500Sheets/hr/2 men</t>
  </si>
  <si>
    <t>STD = 4,000 pcs/hr/2 men</t>
  </si>
  <si>
    <r>
      <t>Folding + gluing (</t>
    </r>
    <r>
      <rPr>
        <sz val="10"/>
        <rFont val="Arial"/>
        <family val="2"/>
      </rPr>
      <t>sidejoint</t>
    </r>
    <r>
      <rPr>
        <b/>
        <sz val="10"/>
        <rFont val="Arial"/>
        <family val="2"/>
      </rPr>
      <t>) + Packing Corugated</t>
    </r>
  </si>
  <si>
    <t>STD = 4,000 pcs/hr/7men</t>
  </si>
  <si>
    <t>Glue A10211 : 1kg/10,000pcs</t>
  </si>
  <si>
    <t>Công đoạn/Process</t>
  </si>
  <si>
    <t>Nguyên vật liệu/Material</t>
  </si>
  <si>
    <t>Sử dụng/Usage</t>
  </si>
  <si>
    <t xml:space="preserve">Ghi chú/Remark: </t>
  </si>
  <si>
    <t>Người lập/Prepared by</t>
  </si>
  <si>
    <t>Kiểm tra/Checked by</t>
  </si>
  <si>
    <t>Duyệt/Approved by</t>
  </si>
  <si>
    <t>Ngày/Finished Date</t>
  </si>
  <si>
    <t>Under SOP: R&amp;&amp;D-PR-03</t>
  </si>
  <si>
    <t>1/1</t>
  </si>
  <si>
    <t>R&amp;D-FM-04 (07-04/05/21)</t>
  </si>
  <si>
    <t>Opt paper</t>
  </si>
  <si>
    <t>E-flute 115/105</t>
  </si>
  <si>
    <t>115/105</t>
  </si>
  <si>
    <t>Opt production printing</t>
  </si>
  <si>
    <t>EXTRA COST</t>
  </si>
  <si>
    <t>4. Opt paper import - import paper common sz based on annual qty</t>
  </si>
  <si>
    <t>SP2023/3950/01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</si>
</sst>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7">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 #,##0_-;\-* #,##0_-;_-* &quot;-&quot;_-;_-@_-"/>
    <numFmt numFmtId="166" formatCode="_-* #,##0.00_-;\-* #,##0.00_-;_-* &quot;-&quot;??_-;_-@_-"/>
    <numFmt numFmtId="167" formatCode="0.000"/>
    <numFmt numFmtId="168" formatCode="_-* #,##0_-;\-* #,##0_-;_-* &quot;-&quot;??_-;_-@_-"/>
    <numFmt numFmtId="169" formatCode="_-* #,##0.0_-;\-* #,##0.0_-;_-* &quot;-&quot;??_-;_-@_-"/>
    <numFmt numFmtId="170" formatCode="0.0"/>
    <numFmt numFmtId="171" formatCode="0.0000"/>
    <numFmt numFmtId="172" formatCode="#,##0.0"/>
    <numFmt numFmtId="173" formatCode="#,##0.000"/>
    <numFmt numFmtId="174" formatCode="0.0%"/>
    <numFmt numFmtId="175" formatCode="_-* #,##0.000_-;\-* #,##0.000_-;_-* &quot;-&quot;??_-;_-@_-"/>
    <numFmt numFmtId="176" formatCode="0.000%"/>
    <numFmt numFmtId="177" formatCode="_(* #,##0_);_(* \(#,##0\);_(* &quot;-&quot;??_);_(@_)"/>
    <numFmt numFmtId="178" formatCode="#,##0;[Red]#,##0"/>
    <numFmt numFmtId="179" formatCode="#,##0.000;[Red]#,##0.000"/>
    <numFmt numFmtId="180" formatCode="0\ &quot;SB&quot;"/>
    <numFmt numFmtId="181" formatCode="0\ &quot;gsm WBB&quot;"/>
    <numFmt numFmtId="182" formatCode="0\ &quot;gsm MA&quot;"/>
    <numFmt numFmtId="183" formatCode="0\ &quot;gsm WF&quot;"/>
    <numFmt numFmtId="184" formatCode="0.00000"/>
    <numFmt numFmtId="185" formatCode="0.00\ &quot;Kgs&quot;"/>
    <numFmt numFmtId="186" formatCode="#,##0\ &quot;VND&quot;"/>
    <numFmt numFmtId="187" formatCode="0\ &quot;cm&quot;"/>
    <numFmt numFmtId="188" formatCode="#,##0.0000"/>
    <numFmt numFmtId="189" formatCode="#,##0.000000;[Red]#,##0.000000"/>
    <numFmt numFmtId="190" formatCode="0.0000000"/>
    <numFmt numFmtId="191" formatCode="0\ &quot;Baht/vnd&quot;"/>
    <numFmt numFmtId="192" formatCode="#,##0.0000;[Red]#,##0.0000"/>
    <numFmt numFmtId="193" formatCode="0.000&quot;'&quot;000&quot;'&quot;00"/>
    <numFmt numFmtId="194" formatCode="0.000&quot;'&quot;00"/>
    <numFmt numFmtId="195" formatCode="#,##0.00;[Red]#,##0.00"/>
    <numFmt numFmtId="196" formatCode="&quot;- &quot;\ 0%"/>
    <numFmt numFmtId="197" formatCode="&quot;to &quot;\ 0%"/>
    <numFmt numFmtId="198" formatCode="General\ &quot;gsm&quot;"/>
    <numFmt numFmtId="199" formatCode="_(* #,##0.0_);_(* \(#,##0.0\);_(* &quot;-&quot;??_);_(@_)"/>
    <numFmt numFmtId="200" formatCode="0.0000000\ &quot;Kg/mm2/10,000 Shts&quot;"/>
    <numFmt numFmtId="201" formatCode="#,##0.00000;[Red]#,##0.00000"/>
    <numFmt numFmtId="202" formatCode="0\ &quot;col.&quot;"/>
    <numFmt numFmtId="203" formatCode="0.000\'000\'0\ &quot;Kg/mm2/10,000 Shts&quot;"/>
    <numFmt numFmtId="204" formatCode="[$-409]d\-mmm\-yy;@"/>
    <numFmt numFmtId="205" formatCode="#,##0.0;[Red]#,##0.0"/>
    <numFmt numFmtId="206" formatCode="#,##0.00000"/>
    <numFmt numFmtId="207" formatCode="0.00_)"/>
    <numFmt numFmtId="208" formatCode="0,000\ &quot;VND/m2&quot;"/>
    <numFmt numFmtId="209" formatCode="#,##0\ &quot;cm&quot;"/>
    <numFmt numFmtId="210" formatCode="#,##0\ &quot;kgs&quot;"/>
    <numFmt numFmtId="211" formatCode="General\ &quot;copy&quot;"/>
    <numFmt numFmtId="212" formatCode="General\ &quot;edition&quot;"/>
    <numFmt numFmtId="213" formatCode="General\ &quot;copies&quot;"/>
    <numFmt numFmtId="214" formatCode="_(* #,##0.0000_);_(* \(#,##0.0000\);_(* &quot;-&quot;??_);_(@_)"/>
    <numFmt numFmtId="215" formatCode="0.0000\ &quot;m2/ctn&quot;"/>
    <numFmt numFmtId="216" formatCode="0.0\ &quot;mm&quot;"/>
    <numFmt numFmtId="217" formatCode="0\ &quot;m/roll&quot;"/>
    <numFmt numFmtId="218" formatCode="0,000\ &quot;VND/roll&quot;"/>
    <numFmt numFmtId="219" formatCode="_-* #,##0.0000_-;\-* #,##0.0000_-;_-* &quot;-&quot;??_-;_-@_-"/>
    <numFmt numFmtId="220" formatCode="0\ &quot;Cont 20'&quot;"/>
    <numFmt numFmtId="221" formatCode="0\ &quot;Cont 40'&quot;"/>
    <numFmt numFmtId="222" formatCode="0\ &quot;mm&quot;"/>
    <numFmt numFmtId="223" formatCode="#,##0\ &quot;Micron&quot;"/>
    <numFmt numFmtId="224" formatCode="&quot;Zone&quot;\ 0"/>
    <numFmt numFmtId="225" formatCode="0.0\ &quot;Kgs&quot;"/>
    <numFmt numFmtId="226" formatCode="0\ &quot;gsm&quot;"/>
    <numFmt numFmtId="227" formatCode="0,000\ &quot;VND/kg&quot;"/>
    <numFmt numFmtId="228" formatCode="0.000000\ &quot;VND/mm2/col&quot;"/>
    <numFmt numFmtId="229" formatCode="&quot;CMYK :&quot;\ 0,000\ &quot;VND/kg&quot;"/>
    <numFmt numFmtId="230" formatCode="&quot;print&quot;\ 0\ &quot;sides&quot;"/>
    <numFmt numFmtId="231" formatCode="0\ &quot;colors&quot;"/>
    <numFmt numFmtId="232" formatCode="&quot;Special :&quot;\ 0,000\ &quot;VND/kg&quot;"/>
    <numFmt numFmtId="233" formatCode="0.000000\ &quot;VND/mm2&quot;"/>
    <numFmt numFmtId="234" formatCode="#,#00\ &quot;VND/kg&quot;"/>
    <numFmt numFmtId="235" formatCode="\ 0\ &quot;sides&quot;"/>
    <numFmt numFmtId="236" formatCode="#,#00\ &quot;VND/plate&quot;"/>
    <numFmt numFmtId="237" formatCode="#,##0\ &quot;shts&quot;"/>
    <numFmt numFmtId="238" formatCode="0\ &quot;minutes&quot;"/>
    <numFmt numFmtId="239" formatCode="&quot;General&quot;&quot;/copy&quot;"/>
    <numFmt numFmtId="240" formatCode="#,##0\ &quot;sheets&quot;"/>
    <numFmt numFmtId="241" formatCode="0.00\ &quot;cbm&quot;"/>
    <numFmt numFmtId="242" formatCode="#,##0\ &quot;VND/lot&quot;"/>
    <numFmt numFmtId="243" formatCode="&quot;+&quot;\ #,##0\ &quot;VND/m3&quot;"/>
    <numFmt numFmtId="244" formatCode="#,##0\ &quot;printing sheets&quot;"/>
    <numFmt numFmtId="245" formatCode="_-* #,##0.0000000000_-;\-* #,##0.0000000000_-;_-* &quot;-&quot;??_-;_-@_-"/>
    <numFmt numFmtId="246" formatCode="#,##0\ &quot;m/roll&quot;"/>
    <numFmt numFmtId="247" formatCode="#,##0\ &quot;m&quot;"/>
    <numFmt numFmtId="248" formatCode="#,##0.0\ &quot;cm&quot;"/>
    <numFmt numFmtId="249" formatCode="0\ &quot;Frames&quot;"/>
    <numFmt numFmtId="250" formatCode="&quot;L =&quot;0&quot; mm&quot;"/>
    <numFmt numFmtId="251" formatCode="&quot;W =&quot;0&quot; mm&quot;"/>
    <numFmt numFmtId="252" formatCode="&quot;H =&quot;0&quot; mm&quot;"/>
    <numFmt numFmtId="253" formatCode="&quot;&lt;&quot;0"/>
    <numFmt numFmtId="254" formatCode="&quot;&gt;&quot;0"/>
    <numFmt numFmtId="255" formatCode="0,000\ &quot;mm&quot;"/>
    <numFmt numFmtId="256" formatCode="0.00000\ &quot;Kg/mm2/10,000 Shts&quot;"/>
    <numFmt numFmtId="257" formatCode="_-* #,##0.0_-;\-* #,##0.0_-;_-* &quot;-&quot;?_-;_-@_-"/>
    <numFmt numFmtId="258" formatCode="0\ &quot;roll&quot;"/>
    <numFmt numFmtId="259" formatCode="0\ &quot;rolls&quot;"/>
    <numFmt numFmtId="260" formatCode="#,##0\ &quot;VND/roll&quot;"/>
    <numFmt numFmtId="261" formatCode="0\ &quot;pcs/copy&quot;"/>
    <numFmt numFmtId="262" formatCode="#,##0\ &quot;boxes/roll&quot;"/>
    <numFmt numFmtId="263" formatCode="#,##0.0\ &quot;rolls&quot;"/>
    <numFmt numFmtId="264" formatCode="0\ &quot;pc/copy&quot;"/>
    <numFmt numFmtId="265" formatCode="#,##0\ &quot;VND/kgs&quot;"/>
    <numFmt numFmtId="266" formatCode="00,000\ &quot;VND/kg&quot;"/>
    <numFmt numFmtId="267" formatCode="000\ &quot;mm&quot;"/>
    <numFmt numFmtId="268" formatCode="0\ &quot;pc/sheet&quot;"/>
    <numFmt numFmtId="269" formatCode="#,##0\ &quot;VND/shts&quot;"/>
    <numFmt numFmtId="270" formatCode="#,##0\ &quot;pcs&quot;"/>
    <numFmt numFmtId="271" formatCode="0\ &quot;small shts&quot;"/>
    <numFmt numFmtId="272" formatCode="#,#00\ &quot;pcs&quot;"/>
    <numFmt numFmtId="273" formatCode="0\ \ &quot;small shts/big sht&quot;"/>
    <numFmt numFmtId="274" formatCode="0.0\ &quot;m/big sheet&quot;"/>
    <numFmt numFmtId="275" formatCode="0\ &quot;m&quot;"/>
    <numFmt numFmtId="276" formatCode="#,#00\ &quot;VND/m&quot;"/>
    <numFmt numFmtId="277" formatCode="0\ \ &quot;pcs/small sht&quot;"/>
    <numFmt numFmtId="278" formatCode="General\ &quot;Shts&quot;"/>
    <numFmt numFmtId="279" formatCode="#,##0.0000000"/>
    <numFmt numFmtId="280" formatCode="General\ &quot;Kgs&quot;"/>
    <numFmt numFmtId="281" formatCode="#,###\ &quot;VND/cm2&quot;"/>
    <numFmt numFmtId="282" formatCode="#,##0\ &quot; Pieces&quot;"/>
    <numFmt numFmtId="283" formatCode="#,#00\ &quot;mm&quot;"/>
    <numFmt numFmtId="284" formatCode="&quot;Mark-up on board cost: &quot;0.0%"/>
    <numFmt numFmtId="285" formatCode="#,##0.000_);\(#,##0.000\)"/>
    <numFmt numFmtId="286" formatCode="General\ &quot;cm&quot;"/>
    <numFmt numFmtId="287" formatCode="General\ &quot;Pallet&quot;"/>
    <numFmt numFmtId="288" formatCode="0\ &quot;frames&quot;"/>
    <numFmt numFmtId="289" formatCode="0.00&quot;mm&quot;"/>
    <numFmt numFmtId="290" formatCode="_(* #,##0.0000000000_);_(* \(#,##0.0000000000\);_(* &quot;-&quot;??_);_(@_)"/>
    <numFmt numFmtId="291" formatCode="_(* #,##0.00000000000_);_(* \(#,##0.00000000000\);_(* &quot;-&quot;??_);_(@_)"/>
    <numFmt numFmtId="292" formatCode="_(* #,##0.00000000000_);_(* \(#,##0.00000000000\);_(* &quot;-&quot;???????????_);_(@_)"/>
    <numFmt numFmtId="293" formatCode="&quot;Spine&quot;\ 00"/>
    <numFmt numFmtId="294" formatCode="&quot;W = &quot;#,##0.0"/>
    <numFmt numFmtId="295" formatCode="&quot;L = &quot;#,##0.0"/>
    <numFmt numFmtId="296" formatCode="0.0000\ &quot;Kgs&quot;"/>
    <numFmt numFmtId="297" formatCode="0\ &quot;copies/set&quot;"/>
    <numFmt numFmtId="298" formatCode="#,##0.0\ &quot;cm2&quot;"/>
    <numFmt numFmtId="299" formatCode="#,##0\ &quot;mm&quot;"/>
    <numFmt numFmtId="300" formatCode="&quot;/&quot;0&quot; month&quot;"/>
    <numFmt numFmtId="301" formatCode="&quot;$&quot;#,##0.00"/>
    <numFmt numFmtId="302" formatCode="#,##0\ &quot;VND/m3&quot;"/>
    <numFmt numFmtId="303" formatCode="0\ &quot;pc/carton&quot;"/>
    <numFmt numFmtId="304" formatCode="#,##0.0\ &quot;MT&quot;"/>
    <numFmt numFmtId="305" formatCode="0,000\ &quot;VND/MT&quot;"/>
    <numFmt numFmtId="306" formatCode="#,##0\ &quot;M/roll&quot;"/>
    <numFmt numFmtId="307" formatCode="0\ &quot;Micron&quot;"/>
    <numFmt numFmtId="308" formatCode="_(&quot;HK$&quot;* #,##0.00_);_(&quot;HK$&quot;* \(#,##0.00\);_(&quot;HK$&quot;* &quot;-&quot;??_);_(@_)"/>
    <numFmt numFmtId="309" formatCode="_-&quot;$&quot;* #,##0.000_-;\-&quot;$&quot;* #,##0.000_-;_-&quot;$&quot;* &quot;-&quot;??_-;_-@_-"/>
    <numFmt numFmtId="310" formatCode="_(* #,##0.000_);_(* \(#,##0.000\);_(* &quot;-&quot;??_);_(@_)"/>
    <numFmt numFmtId="311" formatCode="&quot;$&quot;#,##0.0000"/>
    <numFmt numFmtId="312" formatCode="&quot;$&quot;#,##0"/>
    <numFmt numFmtId="313" formatCode="&quot;$&quot;#,##0.000"/>
    <numFmt numFmtId="314" formatCode="_(&quot;$&quot;* #,##0.000_);_(&quot;$&quot;* \(#,##0.000\);_(&quot;$&quot;* &quot;-&quot;??_);_(@_)"/>
    <numFmt numFmtId="315" formatCode="_(* #,##0.000_);_(* \(#,##0.000\);_(* &quot;-&quot;???_);_(@_)"/>
    <numFmt numFmtId="316" formatCode="_-[$€-2]* #,##0.00_-;\-[$€-2]* #,##0.00_-;_-[$€-2]* &quot;-&quot;??_-"/>
    <numFmt numFmtId="317" formatCode="&quot;T/T &quot;0&quot; days&quot;"/>
    <numFmt numFmtId="318" formatCode="#,##0.00\ &quot;$&quot;"/>
    <numFmt numFmtId="319" formatCode="0.0\ &quot;kgs&quot;"/>
    <numFmt numFmtId="320" formatCode="0.00\ &quot;m2&quot;"/>
    <numFmt numFmtId="321" formatCode="_(* #,##0.0_);_(* \(#,##0.0\);_(* &quot;-&quot;?_);_(@_)"/>
    <numFmt numFmtId="322" formatCode="#,##0\ &quot;Sheets&quot;"/>
    <numFmt numFmtId="323" formatCode="&quot;~&quot;#,##0\ &quot;Sheets&quot;"/>
    <numFmt numFmtId="324" formatCode="#,##0.000\ &quot;$&quot;"/>
    <numFmt numFmtId="325" formatCode="#,##0.0000\ &quot;$&quot;"/>
    <numFmt numFmtId="326" formatCode="0.0\ &quot;g/m2&quot;"/>
    <numFmt numFmtId="327" formatCode="#,##0\ &quot;small shts&quot;"/>
    <numFmt numFmtId="328" formatCode="#,##0\ &quot;Small/STD shts&quot;"/>
    <numFmt numFmtId="329" formatCode="#,##0\ &quot;STD shts&quot;"/>
    <numFmt numFmtId="330" formatCode="#,##0.0\ &quot;big rolls&quot;"/>
    <numFmt numFmtId="331" formatCode="0\ &quot;small roll/big roll&quot;"/>
    <numFmt numFmtId="332" formatCode="#,##0\ &quot;pcs/small roll&quot;"/>
    <numFmt numFmtId="333" formatCode="#,##0\ &quot;kg/big roll&quot;"/>
    <numFmt numFmtId="334" formatCode="0.00\ &quot;hours&quot;"/>
    <numFmt numFmtId="335" formatCode="00,000\ &quot;VND/h&quot;"/>
    <numFmt numFmtId="336" formatCode="0.0\ &quot;rolls&quot;"/>
    <numFmt numFmtId="337" formatCode="0\ &quot;pcs/ctn&quot;"/>
    <numFmt numFmtId="338" formatCode="#,##0\ &quot;ctns&quot;"/>
    <numFmt numFmtId="339" formatCode="_-* #,##0.00000_-;\-* #,##0.00000_-;_-* &quot;-&quot;??_-;_-@_-"/>
    <numFmt numFmtId="340" formatCode="#,##0&quot;mm/pc&quot;"/>
    <numFmt numFmtId="341" formatCode="#,##0\ &quot;yard/roll&quot;"/>
    <numFmt numFmtId="342" formatCode="#,##0\ &quot;pcs/roll&quot;"/>
    <numFmt numFmtId="343" formatCode="#,##0\ &quot;VND/pc&quot;"/>
    <numFmt numFmtId="344" formatCode="#,##0\ &quot;pcs/kg&quot;"/>
    <numFmt numFmtId="345" formatCode="#,##0\ &quot;VND/kg&quot;"/>
    <numFmt numFmtId="346" formatCode="General\ &quot;g/gói&quot;"/>
    <numFmt numFmtId="347" formatCode="\2\5\ &quot;kgs/thùng&quot;"/>
    <numFmt numFmtId="348" formatCode="0\ &quot;pc/box&quot;"/>
    <numFmt numFmtId="349" formatCode="&quot;MOQ &quot;#,##0\ &quot;kgs&quot;"/>
    <numFmt numFmtId="350" formatCode="#,###\ &quot;mm&quot;"/>
    <numFmt numFmtId="351" formatCode="#,##0\ &quot;cbm&quot;"/>
    <numFmt numFmtId="352" formatCode="#,##0\ &quot;ctns/cont 20'&quot;"/>
    <numFmt numFmtId="353" formatCode="#,##0\ &quot;ctns/cont 40'&quot;"/>
    <numFmt numFmtId="354" formatCode="00%\ &quot;set up&quot;"/>
    <numFmt numFmtId="355" formatCode="_(* #,##0.000_);_(* \(#,##0.000\);_(* &quot;-&quot;_);_(@_)"/>
    <numFmt numFmtId="356" formatCode="[$-409]dd\-mmm\-yy;@"/>
    <numFmt numFmtId="357" formatCode="#,###\ &quot;đầu&quot;"/>
    <numFmt numFmtId="358" formatCode="#,###\ &quot;vnd/roll&quot;"/>
    <numFmt numFmtId="359" formatCode="0.00\ &quot;chai/&quot;"/>
    <numFmt numFmtId="360" formatCode="#,###\ &quot;pcs&quot;"/>
    <numFmt numFmtId="361" formatCode="0.0\ &quot;chai&quot;"/>
    <numFmt numFmtId="362" formatCode="#,##0\ &quot;VND/chai&quot;"/>
    <numFmt numFmtId="363" formatCode="#,###\ &quot;vnd/m2&quot;"/>
    <numFmt numFmtId="364" formatCode="#,###\ &quot;m2&quot;"/>
    <numFmt numFmtId="365" formatCode="_-* #,##0\ _€_-;\-* #,##0\ _€_-;_-* &quot;-&quot;??\ _€_-;_-@_-"/>
    <numFmt numFmtId="366" formatCode="[$-409]d\-mmm\-yyyy;@"/>
    <numFmt numFmtId="367" formatCode="#,##0&quot;shts&quot;"/>
  </numFmts>
  <fonts count="350">
    <font>
      <sz val="14"/>
      <name val="Cordia New"/>
      <charset val="22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name val="Cordia New"/>
      <family val="2"/>
    </font>
    <font>
      <sz val="8"/>
      <name val="Century Gothic"/>
      <family val="2"/>
    </font>
    <font>
      <b/>
      <sz val="8"/>
      <name val="Century Gothic"/>
      <family val="2"/>
    </font>
    <font>
      <sz val="8"/>
      <color indexed="81"/>
      <name val="Tahoma"/>
      <family val="2"/>
    </font>
    <font>
      <sz val="10"/>
      <name val="Tahoma"/>
      <family val="2"/>
    </font>
    <font>
      <b/>
      <sz val="10"/>
      <name val="Tahoma"/>
      <family val="2"/>
    </font>
    <font>
      <b/>
      <sz val="8"/>
      <color indexed="81"/>
      <name val="Tahoma"/>
      <family val="2"/>
    </font>
    <font>
      <sz val="10"/>
      <name val="Arial"/>
      <family val="2"/>
    </font>
    <font>
      <b/>
      <sz val="8"/>
      <color indexed="12"/>
      <name val="Tahoma"/>
      <family val="2"/>
    </font>
    <font>
      <sz val="14"/>
      <name val="Cordia New"/>
      <family val="2"/>
    </font>
    <font>
      <sz val="8"/>
      <color indexed="14"/>
      <name val="Tahoma"/>
      <family val="2"/>
    </font>
    <font>
      <sz val="8"/>
      <color indexed="62"/>
      <name val="Trebuchet MS"/>
      <family val="2"/>
    </font>
    <font>
      <sz val="8"/>
      <name val="Trebuchet MS"/>
      <family val="2"/>
    </font>
    <font>
      <b/>
      <sz val="10"/>
      <name val="Book Antiqua"/>
      <family val="1"/>
    </font>
    <font>
      <b/>
      <sz val="8"/>
      <name val="Book Antiqua"/>
      <family val="1"/>
    </font>
    <font>
      <sz val="10"/>
      <name val="Book Antiqua"/>
      <family val="1"/>
    </font>
    <font>
      <sz val="14"/>
      <name val="Book Antiqua"/>
      <family val="1"/>
    </font>
    <font>
      <i/>
      <sz val="10"/>
      <name val="Book Antiqua"/>
      <family val="1"/>
    </font>
    <font>
      <sz val="12"/>
      <name val="Book Antiqua"/>
      <family val="1"/>
    </font>
    <font>
      <sz val="11"/>
      <name val="Book Antiqua"/>
      <family val="1"/>
    </font>
    <font>
      <b/>
      <sz val="12"/>
      <name val="Book Antiqua"/>
      <family val="1"/>
    </font>
    <font>
      <b/>
      <sz val="12"/>
      <color indexed="18"/>
      <name val="Book Antiqua"/>
      <family val="1"/>
    </font>
    <font>
      <i/>
      <sz val="14"/>
      <name val="Book Antiqua"/>
      <family val="1"/>
    </font>
    <font>
      <i/>
      <sz val="12"/>
      <name val="Book Antiqua"/>
      <family val="1"/>
    </font>
    <font>
      <b/>
      <i/>
      <sz val="12"/>
      <name val="Book Antiqua"/>
      <family val="1"/>
    </font>
    <font>
      <sz val="11"/>
      <color indexed="62"/>
      <name val="Book Antiqua"/>
      <family val="1"/>
    </font>
    <font>
      <b/>
      <i/>
      <sz val="11"/>
      <color indexed="62"/>
      <name val="Book Antiqua"/>
      <family val="1"/>
    </font>
    <font>
      <sz val="8"/>
      <name val="Arial"/>
      <family val="2"/>
    </font>
    <font>
      <sz val="9"/>
      <color indexed="81"/>
      <name val="Tahoma"/>
      <family val="2"/>
    </font>
    <font>
      <sz val="8"/>
      <name val="Cordia New"/>
      <family val="2"/>
    </font>
    <font>
      <sz val="11"/>
      <name val="Cordia New"/>
      <family val="2"/>
    </font>
    <font>
      <sz val="10"/>
      <name val="Cordia New"/>
      <family val="2"/>
    </font>
    <font>
      <sz val="8"/>
      <color indexed="16"/>
      <name val="Century Gothic"/>
      <family val="2"/>
    </font>
    <font>
      <b/>
      <sz val="8"/>
      <name val="Tahoma"/>
      <family val="2"/>
    </font>
    <font>
      <b/>
      <sz val="11"/>
      <color indexed="18"/>
      <name val="Book Antiqua"/>
      <family val="1"/>
    </font>
    <font>
      <sz val="7"/>
      <name val="Small Fonts"/>
      <family val="2"/>
    </font>
    <font>
      <b/>
      <i/>
      <sz val="16"/>
      <name val="Helv"/>
      <family val="2"/>
    </font>
    <font>
      <sz val="12"/>
      <name val="Times New Roman"/>
      <family val="1"/>
    </font>
    <font>
      <sz val="9"/>
      <name val="Verdana"/>
      <family val="2"/>
    </font>
    <font>
      <b/>
      <sz val="10"/>
      <name val="Arial"/>
      <family val="2"/>
    </font>
    <font>
      <b/>
      <sz val="14"/>
      <name val="Arial"/>
      <family val="2"/>
    </font>
    <font>
      <b/>
      <sz val="8"/>
      <name val="Arial"/>
      <family val="2"/>
    </font>
    <font>
      <b/>
      <sz val="10"/>
      <color indexed="9"/>
      <name val="Arial"/>
      <family val="2"/>
    </font>
    <font>
      <sz val="7.5"/>
      <name val="Arial"/>
      <family val="2"/>
    </font>
    <font>
      <sz val="7.8"/>
      <name val="Arial"/>
      <family val="2"/>
    </font>
    <font>
      <sz val="7.75"/>
      <name val="Arial"/>
      <family val="2"/>
    </font>
    <font>
      <sz val="6"/>
      <name val="Arial"/>
      <family val="2"/>
    </font>
    <font>
      <sz val="10"/>
      <color indexed="12"/>
      <name val="Arial"/>
      <family val="2"/>
    </font>
    <font>
      <sz val="10"/>
      <color indexed="1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VNI-Times"/>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Calibri"/>
      <family val="2"/>
    </font>
    <font>
      <b/>
      <sz val="18"/>
      <name val="Calibri"/>
      <family val="2"/>
    </font>
    <font>
      <b/>
      <sz val="8"/>
      <name val="Calibri"/>
      <family val="2"/>
    </font>
    <font>
      <b/>
      <sz val="9"/>
      <color indexed="9"/>
      <name val="Calibri"/>
      <family val="2"/>
    </font>
    <font>
      <sz val="9"/>
      <name val="Calibri"/>
      <family val="2"/>
    </font>
    <font>
      <sz val="9"/>
      <color indexed="12"/>
      <name val="Calibri"/>
      <family val="2"/>
    </font>
    <font>
      <b/>
      <sz val="10"/>
      <name val="Calibri"/>
      <family val="2"/>
    </font>
    <font>
      <sz val="8"/>
      <name val="Comic Sans MS"/>
      <family val="4"/>
    </font>
    <font>
      <b/>
      <sz val="9"/>
      <color indexed="14"/>
      <name val="Calibri"/>
      <family val="2"/>
    </font>
    <font>
      <b/>
      <sz val="9"/>
      <name val="Calibri"/>
      <family val="2"/>
    </font>
    <font>
      <b/>
      <sz val="9"/>
      <color indexed="12"/>
      <name val="Calibri"/>
      <family val="2"/>
    </font>
    <font>
      <b/>
      <sz val="9"/>
      <color indexed="62"/>
      <name val="Calibri"/>
      <family val="2"/>
    </font>
    <font>
      <b/>
      <sz val="8"/>
      <color indexed="12"/>
      <name val="Calibri"/>
      <family val="2"/>
    </font>
    <font>
      <b/>
      <sz val="12"/>
      <color indexed="9"/>
      <name val="Calibri"/>
      <family val="2"/>
    </font>
    <font>
      <sz val="11"/>
      <name val="Calibri"/>
      <family val="2"/>
    </font>
    <font>
      <b/>
      <i/>
      <sz val="10"/>
      <name val="Arial"/>
      <family val="2"/>
    </font>
    <font>
      <b/>
      <sz val="14"/>
      <name val="Cordia New"/>
      <family val="2"/>
    </font>
    <font>
      <sz val="14"/>
      <name val="Cordia New"/>
      <family val="2"/>
    </font>
    <font>
      <sz val="10"/>
      <color indexed="10"/>
      <name val="Arial"/>
      <family val="2"/>
    </font>
    <font>
      <b/>
      <sz val="10"/>
      <color indexed="12"/>
      <name val="Arial"/>
      <family val="2"/>
    </font>
    <font>
      <b/>
      <u/>
      <sz val="10"/>
      <color indexed="12"/>
      <name val="Arial"/>
      <family val="2"/>
    </font>
    <font>
      <sz val="10"/>
      <color indexed="81"/>
      <name val="Tahoma"/>
      <family val="2"/>
    </font>
    <font>
      <b/>
      <sz val="10"/>
      <color indexed="81"/>
      <name val="Tahoma"/>
      <family val="2"/>
    </font>
    <font>
      <sz val="10"/>
      <color indexed="12"/>
      <name val="Tahoma"/>
      <family val="2"/>
    </font>
    <font>
      <sz val="11"/>
      <name val="明朝"/>
      <family val="1"/>
      <charset val="136"/>
    </font>
    <font>
      <sz val="9"/>
      <color indexed="12"/>
      <name val="Book Antiqua"/>
      <family val="1"/>
    </font>
    <font>
      <b/>
      <sz val="9"/>
      <color indexed="81"/>
      <name val="Tahoma"/>
      <family val="2"/>
    </font>
    <font>
      <sz val="14"/>
      <name val="Cordia New"/>
      <family val="2"/>
    </font>
    <font>
      <sz val="9"/>
      <color indexed="12"/>
      <name val="Tahoma"/>
      <family val="2"/>
    </font>
    <font>
      <b/>
      <sz val="10"/>
      <color indexed="10"/>
      <name val="Arial"/>
      <family val="2"/>
    </font>
    <font>
      <sz val="11"/>
      <color indexed="8"/>
      <name val="Calibri"/>
      <family val="2"/>
    </font>
    <font>
      <sz val="12"/>
      <name val="Calibri"/>
      <family val="2"/>
    </font>
    <font>
      <b/>
      <sz val="12"/>
      <color indexed="12"/>
      <name val="Calibri"/>
      <family val="2"/>
    </font>
    <font>
      <sz val="11"/>
      <name val="돋움"/>
      <family val="3"/>
      <charset val="129"/>
    </font>
    <font>
      <sz val="11"/>
      <color theme="1"/>
      <name val="Calibri"/>
      <family val="2"/>
      <scheme val="minor"/>
    </font>
    <font>
      <b/>
      <sz val="10"/>
      <color rgb="FF0000FF"/>
      <name val="Arial"/>
      <family val="2"/>
    </font>
    <font>
      <sz val="10"/>
      <color rgb="FFFF0000"/>
      <name val="Arial"/>
      <family val="2"/>
    </font>
    <font>
      <sz val="11"/>
      <name val="Cordia New"/>
      <family val="2"/>
    </font>
    <font>
      <sz val="11"/>
      <color rgb="FFC00000"/>
      <name val="Cordia New"/>
      <family val="2"/>
    </font>
    <font>
      <sz val="10"/>
      <name val="Cordia New"/>
      <family val="2"/>
    </font>
    <font>
      <sz val="12"/>
      <name val="Cordia New"/>
      <family val="2"/>
    </font>
    <font>
      <b/>
      <sz val="11"/>
      <color rgb="FFC00000"/>
      <name val="Cordia New"/>
      <family val="2"/>
    </font>
    <font>
      <b/>
      <sz val="11"/>
      <color rgb="FFC00000"/>
      <name val="Cordia New"/>
      <family val="2"/>
    </font>
    <font>
      <b/>
      <sz val="11"/>
      <name val="Cordia New"/>
      <family val="2"/>
    </font>
    <font>
      <b/>
      <sz val="11"/>
      <color theme="1"/>
      <name val="Times New Roman"/>
      <family val="1"/>
    </font>
    <font>
      <sz val="12"/>
      <color theme="1"/>
      <name val="Arial"/>
      <family val="2"/>
    </font>
    <font>
      <sz val="12"/>
      <color rgb="FF0000CC"/>
      <name val="Arial"/>
      <family val="2"/>
    </font>
    <font>
      <sz val="10"/>
      <name val="Arial"/>
      <family val="2"/>
    </font>
    <font>
      <sz val="10"/>
      <color rgb="FF002060"/>
      <name val="Arial"/>
      <family val="2"/>
    </font>
    <font>
      <sz val="10"/>
      <color indexed="62"/>
      <name val="Arial"/>
      <family val="2"/>
    </font>
    <font>
      <sz val="10"/>
      <color rgb="FF333399"/>
      <name val="Arial"/>
      <family val="2"/>
    </font>
    <font>
      <i/>
      <sz val="10"/>
      <name val="Arial"/>
      <family val="2"/>
    </font>
    <font>
      <b/>
      <sz val="10"/>
      <color indexed="56"/>
      <name val="Arial"/>
      <family val="2"/>
    </font>
    <font>
      <b/>
      <sz val="10"/>
      <color indexed="62"/>
      <name val="Arial"/>
      <family val="2"/>
    </font>
    <font>
      <b/>
      <sz val="10"/>
      <color indexed="18"/>
      <name val="Arial"/>
      <family val="2"/>
    </font>
    <font>
      <b/>
      <sz val="10"/>
      <color indexed="55"/>
      <name val="Arial"/>
      <family val="2"/>
    </font>
    <font>
      <sz val="10"/>
      <color indexed="14"/>
      <name val="Arial"/>
      <family val="2"/>
    </font>
    <font>
      <b/>
      <sz val="10"/>
      <color rgb="FF000066"/>
      <name val="Arial"/>
      <family val="2"/>
    </font>
    <font>
      <sz val="10"/>
      <color indexed="23"/>
      <name val="Arial"/>
      <family val="2"/>
    </font>
    <font>
      <sz val="10"/>
      <color rgb="FF000066"/>
      <name val="Arial"/>
      <family val="2"/>
    </font>
    <font>
      <sz val="10"/>
      <color rgb="FF0000FF"/>
      <name val="Arial"/>
      <family val="2"/>
    </font>
    <font>
      <sz val="10"/>
      <color indexed="55"/>
      <name val="Arial"/>
      <family val="2"/>
    </font>
    <font>
      <sz val="10"/>
      <color indexed="16"/>
      <name val="Arial"/>
      <family val="2"/>
    </font>
    <font>
      <i/>
      <sz val="10"/>
      <color indexed="62"/>
      <name val="Arial"/>
      <family val="2"/>
    </font>
    <font>
      <b/>
      <sz val="10"/>
      <color rgb="FF002060"/>
      <name val="Arial"/>
      <family val="2"/>
    </font>
    <font>
      <b/>
      <sz val="10"/>
      <color rgb="FF000099"/>
      <name val="Arial"/>
      <family val="2"/>
    </font>
    <font>
      <b/>
      <u val="singleAccounting"/>
      <sz val="10"/>
      <name val="Arial"/>
      <family val="2"/>
    </font>
    <font>
      <b/>
      <sz val="10"/>
      <color indexed="21"/>
      <name val="Arial"/>
      <family val="2"/>
    </font>
    <font>
      <b/>
      <sz val="10"/>
      <color theme="4" tint="-0.499984740745262"/>
      <name val="Arial"/>
      <family val="2"/>
    </font>
    <font>
      <sz val="12"/>
      <name val="Arial"/>
      <family val="2"/>
    </font>
    <font>
      <b/>
      <u val="singleAccounting"/>
      <sz val="12"/>
      <name val="Arial"/>
      <family val="2"/>
    </font>
    <font>
      <b/>
      <i/>
      <sz val="10"/>
      <color rgb="FF002060"/>
      <name val="Arial"/>
      <family val="2"/>
    </font>
    <font>
      <i/>
      <sz val="10"/>
      <color rgb="FF002060"/>
      <name val="Arial"/>
      <family val="2"/>
    </font>
    <font>
      <sz val="8"/>
      <name val="Book Antiqua"/>
      <family val="1"/>
    </font>
    <font>
      <sz val="10"/>
      <name val="Arial"/>
      <family val="2"/>
    </font>
    <font>
      <b/>
      <sz val="10"/>
      <color theme="0"/>
      <name val="Arial"/>
      <family val="2"/>
    </font>
    <font>
      <b/>
      <sz val="11"/>
      <name val="Calibri"/>
      <family val="2"/>
    </font>
    <font>
      <sz val="10"/>
      <name val="Arial"/>
      <family val="2"/>
    </font>
    <font>
      <sz val="10"/>
      <color rgb="FF000080"/>
      <name val="Arial"/>
      <family val="2"/>
    </font>
    <font>
      <sz val="9"/>
      <name val="Book Antiqua"/>
      <family val="1"/>
    </font>
    <font>
      <b/>
      <sz val="15"/>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0"/>
      <color rgb="FF000080"/>
      <name val="Arial"/>
      <family val="2"/>
    </font>
    <font>
      <b/>
      <sz val="10"/>
      <color theme="5" tint="-0.249977111117893"/>
      <name val="Arial"/>
      <family val="2"/>
    </font>
    <font>
      <b/>
      <i/>
      <u/>
      <sz val="10"/>
      <color rgb="FF002060"/>
      <name val="Arial"/>
      <family val="2"/>
    </font>
    <font>
      <b/>
      <i/>
      <sz val="10"/>
      <color rgb="FF000080"/>
      <name val="Arial"/>
      <family val="2"/>
    </font>
    <font>
      <i/>
      <sz val="10"/>
      <color theme="3" tint="0.39997558519241921"/>
      <name val="Arial"/>
      <family val="2"/>
    </font>
    <font>
      <i/>
      <sz val="10"/>
      <color rgb="FF000080"/>
      <name val="Arial"/>
      <family val="2"/>
    </font>
    <font>
      <b/>
      <i/>
      <sz val="10"/>
      <color theme="3" tint="0.39997558519241921"/>
      <name val="Arial"/>
      <family val="2"/>
    </font>
    <font>
      <i/>
      <sz val="10"/>
      <color rgb="FF0070C0"/>
      <name val="Arial"/>
      <family val="2"/>
    </font>
    <font>
      <b/>
      <i/>
      <sz val="10"/>
      <color indexed="61"/>
      <name val="Arial"/>
      <family val="2"/>
    </font>
    <font>
      <sz val="10"/>
      <name val="Arial"/>
      <family val="2"/>
    </font>
    <font>
      <b/>
      <sz val="10"/>
      <name val="Calibri"/>
      <family val="2"/>
      <scheme val="minor"/>
    </font>
    <font>
      <sz val="10"/>
      <name val="Calibri"/>
      <family val="2"/>
      <scheme val="minor"/>
    </font>
    <font>
      <sz val="9"/>
      <name val="Arial"/>
      <family val="2"/>
    </font>
    <font>
      <sz val="11"/>
      <name val="Arial"/>
      <family val="2"/>
    </font>
    <font>
      <u/>
      <sz val="14"/>
      <color theme="10"/>
      <name val="Cordia New"/>
      <family val="2"/>
    </font>
    <font>
      <b/>
      <sz val="9"/>
      <name val="Book Antiqua"/>
      <family val="1"/>
    </font>
    <font>
      <sz val="10"/>
      <name val="Arial"/>
      <family val="2"/>
    </font>
    <font>
      <b/>
      <sz val="25"/>
      <color indexed="62"/>
      <name val="Arial"/>
      <family val="2"/>
    </font>
    <font>
      <b/>
      <sz val="12"/>
      <color indexed="62"/>
      <name val="Arial"/>
      <family val="2"/>
    </font>
    <font>
      <sz val="12"/>
      <color indexed="62"/>
      <name val="Arial"/>
      <family val="2"/>
    </font>
    <font>
      <sz val="10"/>
      <color indexed="62"/>
      <name val="VNI-Times"/>
    </font>
    <font>
      <sz val="12"/>
      <color indexed="62"/>
      <name val="VNI-Times"/>
    </font>
    <font>
      <sz val="10"/>
      <color indexed="62"/>
      <name val="Trebuchet MS"/>
      <family val="2"/>
    </font>
    <font>
      <u/>
      <sz val="10"/>
      <color indexed="12"/>
      <name val="Arial"/>
      <family val="2"/>
    </font>
    <font>
      <u/>
      <sz val="12"/>
      <color indexed="12"/>
      <name val="Arial"/>
      <family val="2"/>
    </font>
    <font>
      <u/>
      <sz val="12"/>
      <color rgb="FF0000FF"/>
      <name val="Arial"/>
      <family val="2"/>
    </font>
    <font>
      <sz val="14"/>
      <name val="Bookman Old Style"/>
      <family val="1"/>
    </font>
    <font>
      <b/>
      <sz val="12"/>
      <name val="Arial"/>
      <family val="2"/>
    </font>
    <font>
      <b/>
      <u/>
      <sz val="10"/>
      <name val="Arial"/>
      <family val="2"/>
    </font>
    <font>
      <b/>
      <u/>
      <sz val="12"/>
      <name val="Arial"/>
      <family val="2"/>
    </font>
    <font>
      <u/>
      <sz val="12"/>
      <name val="Arial"/>
      <family val="2"/>
    </font>
    <font>
      <b/>
      <sz val="15"/>
      <name val="Arial"/>
      <family val="2"/>
    </font>
    <font>
      <b/>
      <i/>
      <sz val="10"/>
      <name val="Book Antiqua"/>
      <family val="1"/>
    </font>
    <font>
      <b/>
      <i/>
      <sz val="14"/>
      <name val="Book Antiqua"/>
      <family val="1"/>
    </font>
    <font>
      <b/>
      <u/>
      <sz val="12"/>
      <name val="Cordia New"/>
      <family val="2"/>
    </font>
    <font>
      <sz val="8"/>
      <name val="Tahoma"/>
      <family val="2"/>
    </font>
    <font>
      <i/>
      <sz val="8"/>
      <name val="Tahoma"/>
      <family val="2"/>
    </font>
    <font>
      <b/>
      <i/>
      <sz val="8"/>
      <name val="Tahoma"/>
      <family val="2"/>
    </font>
    <font>
      <b/>
      <sz val="7.5"/>
      <name val="Arial"/>
      <family val="2"/>
    </font>
    <font>
      <b/>
      <sz val="11"/>
      <name val="Arial"/>
      <family val="2"/>
    </font>
    <font>
      <b/>
      <sz val="7.75"/>
      <name val="Arial"/>
      <family val="2"/>
    </font>
    <font>
      <u/>
      <sz val="10"/>
      <name val="Arial"/>
      <family val="2"/>
    </font>
    <font>
      <sz val="11"/>
      <name val="Trebuchet MS"/>
      <family val="2"/>
    </font>
    <font>
      <b/>
      <sz val="8"/>
      <name val="Trebuchet MS"/>
      <family val="2"/>
    </font>
    <font>
      <vertAlign val="superscript"/>
      <sz val="10"/>
      <name val="Arial"/>
      <family val="2"/>
    </font>
    <font>
      <b/>
      <sz val="13"/>
      <name val="Arial"/>
      <family val="2"/>
    </font>
    <font>
      <sz val="13"/>
      <name val="Arial"/>
      <family val="2"/>
    </font>
    <font>
      <sz val="18"/>
      <name val="Arial"/>
      <family val="2"/>
    </font>
    <font>
      <sz val="11"/>
      <color theme="0"/>
      <name val="Arial"/>
      <family val="2"/>
    </font>
    <font>
      <b/>
      <sz val="20"/>
      <color rgb="FF007033"/>
      <name val="Arial"/>
      <family val="2"/>
    </font>
    <font>
      <b/>
      <sz val="11"/>
      <color rgb="FF00B050"/>
      <name val="Arial"/>
      <family val="2"/>
    </font>
    <font>
      <sz val="12"/>
      <name val="新細明體"/>
      <charset val="136"/>
    </font>
    <font>
      <sz val="11"/>
      <color rgb="FF0070C0"/>
      <name val="Arial"/>
      <family val="2"/>
    </font>
    <font>
      <sz val="12"/>
      <color rgb="FF0070C0"/>
      <name val="Arial"/>
      <family val="2"/>
    </font>
    <font>
      <b/>
      <sz val="11"/>
      <color rgb="FF0070C0"/>
      <name val="Arial"/>
      <family val="2"/>
    </font>
    <font>
      <b/>
      <sz val="11"/>
      <color indexed="10"/>
      <name val="Arial"/>
      <family val="2"/>
    </font>
    <font>
      <sz val="12"/>
      <color rgb="FFFF0000"/>
      <name val="Arial"/>
      <family val="2"/>
    </font>
    <font>
      <sz val="11"/>
      <color indexed="10"/>
      <name val="Arial"/>
      <family val="2"/>
    </font>
    <font>
      <u/>
      <sz val="11"/>
      <name val="Arial"/>
      <family val="2"/>
    </font>
    <font>
      <b/>
      <sz val="12"/>
      <color indexed="10"/>
      <name val="Arial"/>
      <family val="2"/>
    </font>
    <font>
      <sz val="11"/>
      <color indexed="53"/>
      <name val="Arial"/>
      <family val="2"/>
    </font>
    <font>
      <sz val="11"/>
      <color theme="1"/>
      <name val="Arial"/>
      <family val="2"/>
    </font>
    <font>
      <sz val="10"/>
      <color theme="1"/>
      <name val="Arial"/>
      <family val="2"/>
    </font>
    <font>
      <sz val="11"/>
      <color rgb="FFFF0000"/>
      <name val="Arial"/>
      <family val="2"/>
    </font>
    <font>
      <b/>
      <sz val="11"/>
      <color theme="6" tint="-0.499984740745262"/>
      <name val="Arial"/>
      <family val="2"/>
    </font>
    <font>
      <sz val="12"/>
      <color indexed="17"/>
      <name val="Arial"/>
      <family val="2"/>
    </font>
    <font>
      <b/>
      <sz val="11"/>
      <color theme="1"/>
      <name val="Arial"/>
      <family val="2"/>
    </font>
    <font>
      <b/>
      <sz val="10"/>
      <color indexed="53"/>
      <name val="Arial"/>
      <family val="2"/>
    </font>
    <font>
      <b/>
      <sz val="10"/>
      <color indexed="60"/>
      <name val="Arial"/>
      <family val="2"/>
    </font>
    <font>
      <b/>
      <sz val="18"/>
      <name val="Arial"/>
      <family val="2"/>
    </font>
    <font>
      <sz val="11"/>
      <color rgb="FF000000"/>
      <name val="Calibri"/>
      <family val="2"/>
    </font>
    <font>
      <b/>
      <sz val="9"/>
      <color theme="0"/>
      <name val="Arial"/>
      <family val="2"/>
    </font>
    <font>
      <b/>
      <sz val="18"/>
      <color theme="1"/>
      <name val="Arial"/>
      <family val="2"/>
    </font>
    <font>
      <b/>
      <sz val="9"/>
      <color theme="1"/>
      <name val="Arial"/>
      <family val="2"/>
    </font>
    <font>
      <u/>
      <sz val="9"/>
      <color theme="0"/>
      <name val="Arial"/>
      <family val="2"/>
    </font>
    <font>
      <u/>
      <sz val="9"/>
      <color rgb="FF0070C0"/>
      <name val="Arial"/>
      <family val="2"/>
    </font>
    <font>
      <sz val="9"/>
      <color theme="1"/>
      <name val="Arial"/>
      <family val="2"/>
    </font>
    <font>
      <b/>
      <u/>
      <sz val="9"/>
      <color theme="0"/>
      <name val="Calibri"/>
      <family val="2"/>
    </font>
    <font>
      <b/>
      <u/>
      <sz val="9"/>
      <color theme="1"/>
      <name val="Arial"/>
      <family val="2"/>
    </font>
    <font>
      <sz val="9"/>
      <color theme="1"/>
      <name val="Calibri"/>
      <family val="2"/>
    </font>
    <font>
      <b/>
      <sz val="9"/>
      <color rgb="FFFF0000"/>
      <name val="Arial"/>
      <family val="2"/>
    </font>
    <font>
      <b/>
      <sz val="9"/>
      <color theme="1"/>
      <name val="Calibri"/>
      <family val="2"/>
    </font>
    <font>
      <b/>
      <sz val="9"/>
      <color rgb="FF000000"/>
      <name val="Arial"/>
      <family val="2"/>
    </font>
    <font>
      <sz val="9"/>
      <color theme="0"/>
      <name val="Calibri"/>
      <family val="2"/>
    </font>
    <font>
      <sz val="11"/>
      <color theme="1"/>
      <name val="Calibri"/>
      <family val="2"/>
    </font>
    <font>
      <b/>
      <sz val="9"/>
      <color theme="0"/>
      <name val="Calibri"/>
      <family val="2"/>
    </font>
    <font>
      <b/>
      <sz val="12"/>
      <color theme="0"/>
      <name val="Calibri"/>
      <family val="2"/>
    </font>
    <font>
      <sz val="9"/>
      <color rgb="FF000000"/>
      <name val="Arial"/>
      <family val="2"/>
    </font>
    <font>
      <sz val="9"/>
      <color rgb="FF0070C0"/>
      <name val="Arial"/>
      <family val="2"/>
    </font>
    <font>
      <i/>
      <sz val="9"/>
      <color rgb="FF000000"/>
      <name val="Arial"/>
      <family val="2"/>
    </font>
    <font>
      <sz val="9"/>
      <color theme="0"/>
      <name val="Arial"/>
      <family val="2"/>
    </font>
    <font>
      <sz val="11"/>
      <color theme="0"/>
      <name val="Calibri"/>
      <family val="2"/>
    </font>
    <font>
      <b/>
      <sz val="12"/>
      <color rgb="FFFF0000"/>
      <name val="Arial"/>
      <family val="2"/>
    </font>
    <font>
      <sz val="14"/>
      <name val="Arial"/>
      <family val="2"/>
    </font>
    <font>
      <sz val="11"/>
      <color rgb="FF1F497D"/>
      <name val="Calibri"/>
      <family val="2"/>
    </font>
    <font>
      <b/>
      <sz val="11"/>
      <color rgb="FF1F497D"/>
      <name val="Calibri"/>
      <family val="2"/>
    </font>
    <font>
      <u/>
      <sz val="14"/>
      <color theme="10"/>
      <name val="Cordia New"/>
      <family val="2"/>
    </font>
    <font>
      <sz val="12"/>
      <name val="宋体"/>
      <charset val="134"/>
    </font>
    <font>
      <b/>
      <sz val="16"/>
      <color rgb="FF0000FF"/>
      <name val="Book Antiqua"/>
      <family val="1"/>
    </font>
    <font>
      <b/>
      <sz val="7"/>
      <name val="Tahoma"/>
      <family val="2"/>
    </font>
    <font>
      <b/>
      <sz val="10"/>
      <color rgb="FF0000CC"/>
      <name val="Book Antiqua"/>
      <family val="1"/>
    </font>
    <font>
      <b/>
      <sz val="8"/>
      <color indexed="9"/>
      <name val="Tahoma"/>
      <family val="2"/>
    </font>
    <font>
      <b/>
      <sz val="10"/>
      <color rgb="FFC00000"/>
      <name val="Book Antiqua"/>
      <family val="1"/>
    </font>
    <font>
      <b/>
      <sz val="10"/>
      <color indexed="9"/>
      <name val="Tahoma"/>
      <family val="2"/>
    </font>
    <font>
      <sz val="10"/>
      <color indexed="62"/>
      <name val="Book Antiqua"/>
      <family val="1"/>
    </font>
    <font>
      <sz val="10"/>
      <color rgb="FFC00000"/>
      <name val="Book Antiqua"/>
      <family val="1"/>
    </font>
    <font>
      <sz val="10"/>
      <color theme="1"/>
      <name val="Book Antiqua"/>
      <family val="1"/>
    </font>
    <font>
      <b/>
      <sz val="10"/>
      <color rgb="FFFF33CC"/>
      <name val="Book Antiqua"/>
      <family val="1"/>
    </font>
    <font>
      <b/>
      <sz val="10"/>
      <color rgb="FF0000FF"/>
      <name val="Book Antiqua"/>
      <family val="1"/>
    </font>
    <font>
      <sz val="10"/>
      <color rgb="FF0000FF"/>
      <name val="Book Antiqua"/>
      <family val="1"/>
    </font>
    <font>
      <b/>
      <sz val="10"/>
      <color indexed="12"/>
      <name val="Book Antiqua"/>
      <family val="1"/>
    </font>
    <font>
      <b/>
      <sz val="12"/>
      <color rgb="FF0000FF"/>
      <name val="Calibri"/>
      <family val="2"/>
    </font>
    <font>
      <sz val="12"/>
      <color rgb="FF0000FF"/>
      <name val="Calibri"/>
      <family val="2"/>
    </font>
    <font>
      <sz val="11"/>
      <color rgb="FF002060"/>
      <name val="Arial"/>
      <family val="2"/>
    </font>
    <font>
      <sz val="14"/>
      <color theme="0"/>
      <name val="Bookman Old Style"/>
      <family val="1"/>
    </font>
    <font>
      <sz val="10"/>
      <color theme="0"/>
      <name val="Arial"/>
      <family val="2"/>
    </font>
    <font>
      <b/>
      <sz val="12"/>
      <name val="Calibri"/>
      <family val="2"/>
    </font>
    <font>
      <b/>
      <sz val="11"/>
      <color theme="1"/>
      <name val="Calibri"/>
      <family val="2"/>
      <scheme val="minor"/>
    </font>
    <font>
      <i/>
      <sz val="10"/>
      <color rgb="FF0000FF"/>
      <name val="Arial"/>
      <family val="2"/>
    </font>
    <font>
      <b/>
      <sz val="11"/>
      <color rgb="FF0000FF"/>
      <name val="Arial"/>
      <family val="2"/>
    </font>
    <font>
      <b/>
      <sz val="10"/>
      <color rgb="FFFF0000"/>
      <name val="Arial"/>
      <family val="2"/>
    </font>
    <font>
      <sz val="10"/>
      <color rgb="FF0070C0"/>
      <name val="Arial"/>
      <family val="2"/>
    </font>
    <font>
      <sz val="9"/>
      <color indexed="10"/>
      <name val="Tahoma"/>
      <family val="2"/>
    </font>
    <font>
      <sz val="10"/>
      <color theme="0" tint="-0.499984740745262"/>
      <name val="Book Antiqua"/>
      <family val="1"/>
    </font>
    <font>
      <b/>
      <sz val="11"/>
      <color rgb="FF0000FF"/>
      <name val="Calibri"/>
      <family val="2"/>
      <scheme val="minor"/>
    </font>
    <font>
      <sz val="10"/>
      <color theme="0" tint="-4.9989318521683403E-2"/>
      <name val="Arial"/>
      <family val="2"/>
    </font>
    <font>
      <sz val="10"/>
      <color theme="0" tint="-0.14999847407452621"/>
      <name val="Arial"/>
      <family val="2"/>
    </font>
    <font>
      <sz val="10.5"/>
      <name val="Microsoft YaHei"/>
      <family val="2"/>
    </font>
    <font>
      <sz val="9"/>
      <name val="Century Gothic"/>
      <family val="2"/>
    </font>
    <font>
      <b/>
      <sz val="14"/>
      <color rgb="FF0000FF"/>
      <name val="Cordia New"/>
      <family val="2"/>
    </font>
    <font>
      <sz val="11"/>
      <color rgb="FF0000FF"/>
      <name val="Arial"/>
      <family val="2"/>
    </font>
    <font>
      <sz val="11"/>
      <color rgb="FF0000FF"/>
      <name val="CIDFont+F1"/>
    </font>
    <font>
      <b/>
      <sz val="9"/>
      <color rgb="FFFF00FF"/>
      <name val="Century Gothic"/>
      <family val="2"/>
    </font>
    <font>
      <b/>
      <sz val="9"/>
      <color rgb="FFFF0000"/>
      <name val="Century Gothic"/>
      <family val="2"/>
    </font>
    <font>
      <sz val="10"/>
      <color rgb="FF000000"/>
      <name val="Arial"/>
      <family val="2"/>
    </font>
    <font>
      <b/>
      <sz val="10"/>
      <color rgb="FFFFFFFF"/>
      <name val="Arial"/>
      <family val="2"/>
    </font>
    <font>
      <sz val="10"/>
      <color theme="10"/>
      <name val="Arial"/>
      <family val="2"/>
    </font>
    <font>
      <b/>
      <sz val="11"/>
      <color indexed="62"/>
      <name val="Arial"/>
      <family val="2"/>
    </font>
    <font>
      <b/>
      <sz val="11"/>
      <color indexed="62"/>
      <name val="VNI-Times"/>
    </font>
    <font>
      <u/>
      <sz val="11"/>
      <color theme="10"/>
      <name val="Calibri"/>
      <family val="2"/>
      <scheme val="minor"/>
    </font>
    <font>
      <b/>
      <sz val="9"/>
      <color rgb="FF0000CC"/>
      <name val="Century Gothic"/>
      <family val="2"/>
    </font>
    <font>
      <b/>
      <sz val="9"/>
      <name val="Century Gothic"/>
      <family val="2"/>
    </font>
    <font>
      <sz val="12"/>
      <color rgb="FF002060"/>
      <name val="Calibri"/>
      <family val="2"/>
    </font>
    <font>
      <sz val="11"/>
      <color rgb="FF002060"/>
      <name val="Calibri"/>
      <family val="2"/>
    </font>
    <font>
      <b/>
      <sz val="10"/>
      <color theme="1" tint="0.499984740745262"/>
      <name val="Arial"/>
      <family val="2"/>
    </font>
    <font>
      <sz val="14"/>
      <name val="Cordia New"/>
      <family val="2"/>
      <charset val="222"/>
    </font>
    <font>
      <b/>
      <sz val="11"/>
      <color rgb="FFFF0000"/>
      <name val="Calibri"/>
      <family val="2"/>
      <scheme val="minor"/>
    </font>
    <font>
      <sz val="11"/>
      <color rgb="FFFF0000"/>
      <name val="Calibri"/>
      <family val="2"/>
      <scheme val="minor"/>
    </font>
    <font>
      <b/>
      <sz val="10"/>
      <color theme="1"/>
      <name val="Arial"/>
      <family val="2"/>
    </font>
    <font>
      <b/>
      <sz val="20"/>
      <name val="Arial"/>
      <family val="2"/>
    </font>
    <font>
      <b/>
      <sz val="20"/>
      <color rgb="FF000099"/>
      <name val="Arial"/>
      <family val="2"/>
    </font>
    <font>
      <i/>
      <sz val="11"/>
      <color rgb="FF000099"/>
      <name val="Arial"/>
      <family val="2"/>
    </font>
    <font>
      <b/>
      <i/>
      <sz val="11"/>
      <name val="Arial"/>
      <family val="2"/>
    </font>
    <font>
      <b/>
      <sz val="11"/>
      <color rgb="FF0000CC"/>
      <name val="Arial"/>
      <family val="2"/>
    </font>
    <font>
      <i/>
      <sz val="11"/>
      <color rgb="FF0000CC"/>
      <name val="Arial"/>
      <family val="2"/>
    </font>
    <font>
      <b/>
      <sz val="8"/>
      <color rgb="FF0000CC"/>
      <name val="Arial"/>
      <family val="2"/>
    </font>
    <font>
      <i/>
      <sz val="10"/>
      <color theme="1"/>
      <name val="Arial"/>
      <family val="2"/>
    </font>
    <font>
      <b/>
      <sz val="13"/>
      <color theme="1"/>
      <name val="Arial"/>
      <family val="2"/>
    </font>
    <font>
      <b/>
      <u/>
      <sz val="11"/>
      <color rgb="FFFF0000"/>
      <name val="Arial"/>
      <family val="2"/>
    </font>
    <font>
      <b/>
      <u/>
      <sz val="11"/>
      <color theme="1"/>
      <name val="Arial"/>
      <family val="2"/>
    </font>
    <font>
      <i/>
      <sz val="11"/>
      <name val="Arial"/>
      <family val="2"/>
    </font>
    <font>
      <i/>
      <sz val="11"/>
      <color theme="1"/>
      <name val="Arial"/>
      <family val="2"/>
    </font>
    <font>
      <sz val="11"/>
      <color rgb="FF0000CC"/>
      <name val="Arial"/>
      <family val="2"/>
    </font>
    <font>
      <b/>
      <sz val="8"/>
      <color rgb="FFFF0000"/>
      <name val="Arial"/>
      <family val="2"/>
    </font>
    <font>
      <b/>
      <i/>
      <sz val="11"/>
      <color rgb="FFFF0000"/>
      <name val="Arial"/>
      <family val="2"/>
    </font>
    <font>
      <sz val="8"/>
      <color rgb="FF0000CC"/>
      <name val="Arial"/>
      <family val="2"/>
    </font>
    <font>
      <b/>
      <sz val="11"/>
      <color rgb="FFFF0000"/>
      <name val="Arial"/>
      <family val="2"/>
    </font>
    <font>
      <i/>
      <sz val="10"/>
      <color rgb="FFFF0000"/>
      <name val="Arial"/>
      <family val="2"/>
    </font>
    <font>
      <b/>
      <u/>
      <sz val="8"/>
      <color rgb="FF0000CC"/>
      <name val="Arial"/>
      <family val="2"/>
    </font>
    <font>
      <b/>
      <i/>
      <sz val="11"/>
      <color theme="1"/>
      <name val="Arial"/>
      <family val="2"/>
    </font>
    <font>
      <i/>
      <u/>
      <sz val="11"/>
      <color theme="1"/>
      <name val="Arial"/>
      <family val="2"/>
    </font>
    <font>
      <i/>
      <u/>
      <sz val="11"/>
      <color rgb="FF0000CC"/>
      <name val="Arial"/>
      <family val="2"/>
    </font>
    <font>
      <sz val="8"/>
      <color indexed="18"/>
      <name val="Arial"/>
      <family val="2"/>
    </font>
    <font>
      <i/>
      <sz val="12"/>
      <color rgb="FFFF0000"/>
      <name val="Arial"/>
      <family val="2"/>
    </font>
    <font>
      <b/>
      <sz val="11"/>
      <color rgb="FF002060"/>
      <name val="Arial"/>
      <family val="2"/>
    </font>
    <font>
      <b/>
      <sz val="16"/>
      <name val="Arial"/>
      <family val="2"/>
    </font>
    <font>
      <sz val="11"/>
      <name val="VNI-Times"/>
    </font>
    <font>
      <b/>
      <sz val="10"/>
      <name val="VNI-Times"/>
    </font>
    <font>
      <b/>
      <i/>
      <sz val="8"/>
      <name val="Arial"/>
      <family val="2"/>
    </font>
    <font>
      <sz val="10"/>
      <color rgb="FF00B050"/>
      <name val="Arial"/>
      <family val="2"/>
    </font>
    <font>
      <b/>
      <i/>
      <sz val="10"/>
      <color rgb="FF0000FF"/>
      <name val="Arial"/>
      <family val="2"/>
    </font>
    <font>
      <sz val="10"/>
      <name val="Times New Roman"/>
      <family val="1"/>
    </font>
    <font>
      <b/>
      <sz val="9"/>
      <name val="Arial"/>
      <family val="2"/>
    </font>
    <font>
      <b/>
      <i/>
      <sz val="12"/>
      <color indexed="10"/>
      <name val="Arial"/>
      <family val="2"/>
    </font>
    <font>
      <sz val="11"/>
      <color rgb="FF003300"/>
      <name val="Calibri"/>
      <family val="2"/>
    </font>
    <font>
      <sz val="14"/>
      <color indexed="81"/>
      <name val="Tahoma"/>
      <family val="2"/>
    </font>
    <font>
      <i/>
      <sz val="12"/>
      <name val="Arial"/>
      <family val="2"/>
    </font>
    <font>
      <i/>
      <u/>
      <sz val="12"/>
      <color rgb="FFFF0000"/>
      <name val="Arial"/>
      <family val="2"/>
    </font>
    <font>
      <b/>
      <sz val="10"/>
      <name val="Arial"/>
      <family val="2"/>
      <charset val="222"/>
    </font>
    <font>
      <sz val="10"/>
      <name val="Arial"/>
      <family val="2"/>
      <charset val="222"/>
    </font>
  </fonts>
  <fills count="9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53"/>
        <bgColor indexed="64"/>
      </patternFill>
    </fill>
    <fill>
      <patternFill patternType="solid">
        <fgColor indexed="45"/>
        <bgColor indexed="64"/>
      </patternFill>
    </fill>
    <fill>
      <patternFill patternType="solid">
        <fgColor indexed="47"/>
        <bgColor indexed="64"/>
      </patternFill>
    </fill>
    <fill>
      <patternFill patternType="solid">
        <fgColor indexed="44"/>
        <bgColor indexed="64"/>
      </patternFill>
    </fill>
    <fill>
      <patternFill patternType="solid">
        <fgColor indexed="42"/>
        <bgColor indexed="64"/>
      </patternFill>
    </fill>
    <fill>
      <patternFill patternType="solid">
        <fgColor indexed="15"/>
        <bgColor indexed="64"/>
      </patternFill>
    </fill>
    <fill>
      <patternFill patternType="solid">
        <fgColor indexed="11"/>
        <bgColor indexed="64"/>
      </patternFill>
    </fill>
    <fill>
      <patternFill patternType="solid">
        <fgColor indexed="18"/>
        <bgColor indexed="64"/>
      </patternFill>
    </fill>
    <fill>
      <patternFill patternType="solid">
        <fgColor indexed="62"/>
        <bgColor indexed="64"/>
      </patternFill>
    </fill>
    <fill>
      <patternFill patternType="solid">
        <fgColor indexed="16"/>
        <bgColor indexed="64"/>
      </patternFill>
    </fill>
    <fill>
      <patternFill patternType="solid">
        <fgColor indexed="63"/>
        <bgColor indexed="64"/>
      </patternFill>
    </fill>
    <fill>
      <patternFill patternType="solid">
        <fgColor indexed="8"/>
        <bgColor indexed="64"/>
      </patternFill>
    </fill>
    <fill>
      <patternFill patternType="solid">
        <fgColor indexed="55"/>
        <bgColor indexed="64"/>
      </patternFill>
    </fill>
    <fill>
      <patternFill patternType="solid">
        <fgColor indexed="27"/>
        <bgColor indexed="64"/>
      </patternFill>
    </fill>
    <fill>
      <patternFill patternType="solid">
        <fgColor indexed="31"/>
        <bgColor indexed="64"/>
      </patternFill>
    </fill>
    <fill>
      <patternFill patternType="solid">
        <fgColor indexed="46"/>
        <bgColor indexed="64"/>
      </patternFill>
    </fill>
    <fill>
      <patternFill patternType="solid">
        <fgColor indexed="51"/>
        <bgColor indexed="64"/>
      </patternFill>
    </fill>
    <fill>
      <patternFill patternType="solid">
        <fgColor indexed="5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rgb="FFFFFF99"/>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499984740745262"/>
        <bgColor indexed="64"/>
      </patternFill>
    </fill>
    <fill>
      <patternFill patternType="solid">
        <fgColor rgb="FF66FF99"/>
        <bgColor indexed="64"/>
      </patternFill>
    </fill>
    <fill>
      <patternFill patternType="solid">
        <fgColor theme="0" tint="-0.249977111117893"/>
        <bgColor indexed="64"/>
      </patternFill>
    </fill>
    <fill>
      <patternFill patternType="solid">
        <fgColor rgb="FF00B050"/>
        <bgColor indexed="64"/>
      </patternFill>
    </fill>
    <fill>
      <patternFill patternType="solid">
        <fgColor rgb="FF66FFFF"/>
        <bgColor indexed="64"/>
      </patternFill>
    </fill>
    <fill>
      <patternFill patternType="solid">
        <fgColor rgb="FFFFCC66"/>
        <bgColor indexed="64"/>
      </patternFill>
    </fill>
    <fill>
      <patternFill patternType="solid">
        <fgColor rgb="FFFFFFCC"/>
        <bgColor indexed="64"/>
      </patternFill>
    </fill>
    <fill>
      <patternFill patternType="solid">
        <fgColor indexed="26"/>
        <bgColor indexed="64"/>
      </patternFill>
    </fill>
    <fill>
      <patternFill patternType="solid">
        <fgColor rgb="FFFF0000"/>
        <bgColor indexed="64"/>
      </patternFill>
    </fill>
    <fill>
      <patternFill patternType="solid">
        <fgColor theme="6" tint="0.59999389629810485"/>
        <bgColor indexed="64"/>
      </patternFill>
    </fill>
    <fill>
      <patternFill patternType="solid">
        <fgColor theme="5" tint="-0.24979400006103702"/>
        <bgColor indexed="64"/>
      </patternFill>
    </fill>
    <fill>
      <patternFill patternType="solid">
        <fgColor theme="9" tint="-0.249977111117893"/>
        <bgColor indexed="64"/>
      </patternFill>
    </fill>
    <fill>
      <patternFill patternType="solid">
        <fgColor rgb="FFC00000"/>
        <bgColor indexed="64"/>
      </patternFill>
    </fill>
    <fill>
      <patternFill patternType="solid">
        <fgColor theme="4" tint="-0.24979400006103702"/>
        <bgColor indexed="64"/>
      </patternFill>
    </fill>
    <fill>
      <patternFill patternType="solid">
        <fgColor rgb="FFE7E6E6"/>
        <bgColor indexed="64"/>
      </patternFill>
    </fill>
    <fill>
      <patternFill patternType="solid">
        <fgColor rgb="FFD9D9D9"/>
        <bgColor rgb="FFD9D9D9"/>
      </patternFill>
    </fill>
    <fill>
      <patternFill patternType="solid">
        <fgColor theme="4" tint="-0.249977111117893"/>
        <bgColor indexed="64"/>
      </patternFill>
    </fill>
    <fill>
      <patternFill patternType="solid">
        <fgColor rgb="FFFFF2CC"/>
        <bgColor rgb="FFFFF2CC"/>
      </patternFill>
    </fill>
    <fill>
      <patternFill patternType="solid">
        <fgColor rgb="FFCFE2F3"/>
        <bgColor rgb="FFCFE2F3"/>
      </patternFill>
    </fill>
    <fill>
      <patternFill patternType="solid">
        <fgColor rgb="FFF9CB9C"/>
        <bgColor rgb="FFF9CB9C"/>
      </patternFill>
    </fill>
    <fill>
      <patternFill patternType="solid">
        <fgColor rgb="FFFDE9D9"/>
        <bgColor rgb="FFFDE9D9"/>
      </patternFill>
    </fill>
    <fill>
      <patternFill patternType="solid">
        <fgColor rgb="FFFFC000"/>
        <bgColor rgb="FFFDE9D9"/>
      </patternFill>
    </fill>
    <fill>
      <patternFill patternType="solid">
        <fgColor theme="4" tint="0.39997558519241921"/>
        <bgColor indexed="64"/>
      </patternFill>
    </fill>
    <fill>
      <patternFill patternType="solid">
        <fgColor theme="5" tint="0.39997558519241921"/>
        <bgColor indexed="64"/>
      </patternFill>
    </fill>
    <fill>
      <patternFill patternType="solid">
        <fgColor rgb="FFD8D8D8"/>
      </patternFill>
    </fill>
    <fill>
      <patternFill patternType="solid">
        <fgColor rgb="FFFF6600"/>
      </patternFill>
    </fill>
    <fill>
      <patternFill patternType="solid">
        <fgColor theme="8" tint="0.79998168889431442"/>
        <bgColor indexed="64"/>
      </patternFill>
    </fill>
    <fill>
      <patternFill patternType="solid">
        <fgColor theme="4" tint="0.59999389629810485"/>
        <bgColor indexed="64"/>
      </patternFill>
    </fill>
    <fill>
      <patternFill patternType="solid">
        <fgColor rgb="FFD9D9D9"/>
        <bgColor indexed="64"/>
      </patternFill>
    </fill>
    <fill>
      <patternFill patternType="solid">
        <fgColor theme="6" tint="-0.249977111117893"/>
        <bgColor indexed="64"/>
      </patternFill>
    </fill>
    <fill>
      <patternFill patternType="solid">
        <fgColor rgb="FF92D050"/>
        <bgColor indexed="64"/>
      </patternFill>
    </fill>
    <fill>
      <patternFill patternType="solid">
        <fgColor rgb="FFFF9900"/>
        <bgColor indexed="64"/>
      </patternFill>
    </fill>
    <fill>
      <patternFill patternType="solid">
        <fgColor theme="0" tint="-4.9989318521683403E-2"/>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2"/>
        <bgColor indexed="64"/>
      </patternFill>
    </fill>
    <fill>
      <patternFill patternType="solid">
        <fgColor theme="7" tint="0.59999389629810485"/>
        <bgColor indexed="64"/>
      </patternFill>
    </fill>
  </fills>
  <borders count="59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right/>
      <top style="double">
        <color indexed="64"/>
      </top>
      <bottom style="double">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style="thin">
        <color indexed="18"/>
      </right>
      <top style="thin">
        <color indexed="18"/>
      </top>
      <bottom style="thin">
        <color indexed="18"/>
      </bottom>
      <diagonal/>
    </border>
    <border>
      <left style="thin">
        <color indexed="18"/>
      </left>
      <right style="thin">
        <color indexed="18"/>
      </right>
      <top style="thin">
        <color indexed="18"/>
      </top>
      <bottom style="thin">
        <color indexed="18"/>
      </bottom>
      <diagonal/>
    </border>
    <border>
      <left style="thin">
        <color indexed="18"/>
      </left>
      <right/>
      <top style="thin">
        <color indexed="18"/>
      </top>
      <bottom style="thin">
        <color indexed="18"/>
      </bottom>
      <diagonal/>
    </border>
    <border>
      <left/>
      <right style="thin">
        <color indexed="64"/>
      </right>
      <top/>
      <bottom/>
      <diagonal/>
    </border>
    <border>
      <left/>
      <right style="thin">
        <color indexed="64"/>
      </right>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22"/>
      </left>
      <right style="thin">
        <color indexed="22"/>
      </right>
      <top style="thin">
        <color indexed="22"/>
      </top>
      <bottom style="thin">
        <color indexed="64"/>
      </bottom>
      <diagonal/>
    </border>
    <border>
      <left/>
      <right style="medium">
        <color indexed="64"/>
      </right>
      <top style="medium">
        <color indexed="64"/>
      </top>
      <bottom style="medium">
        <color indexed="64"/>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right style="double">
        <color indexed="64"/>
      </right>
      <top/>
      <bottom/>
      <diagonal/>
    </border>
    <border>
      <left style="double">
        <color indexed="64"/>
      </left>
      <right style="thin">
        <color indexed="64"/>
      </right>
      <top style="thin">
        <color indexed="64"/>
      </top>
      <bottom style="thin">
        <color indexed="64"/>
      </bottom>
      <diagonal/>
    </border>
    <border>
      <left style="thin">
        <color indexed="22"/>
      </left>
      <right style="thin">
        <color indexed="22"/>
      </right>
      <top/>
      <bottom/>
      <diagonal/>
    </border>
    <border>
      <left style="thin">
        <color indexed="62"/>
      </left>
      <right style="thin">
        <color indexed="62"/>
      </right>
      <top style="thin">
        <color indexed="62"/>
      </top>
      <bottom style="thin">
        <color indexed="62"/>
      </bottom>
      <diagonal/>
    </border>
    <border>
      <left/>
      <right style="thin">
        <color indexed="64"/>
      </right>
      <top style="medium">
        <color indexed="64"/>
      </top>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22"/>
      </left>
      <right style="thin">
        <color indexed="22"/>
      </right>
      <top style="thin">
        <color indexed="22"/>
      </top>
      <bottom style="double">
        <color indexed="64"/>
      </bottom>
      <diagonal/>
    </border>
    <border>
      <left style="thin">
        <color indexed="22"/>
      </left>
      <right/>
      <top style="thin">
        <color indexed="22"/>
      </top>
      <bottom style="thin">
        <color indexed="22"/>
      </bottom>
      <diagonal/>
    </border>
    <border>
      <left style="thin">
        <color indexed="22"/>
      </left>
      <right/>
      <top style="thin">
        <color indexed="22"/>
      </top>
      <bottom/>
      <diagonal/>
    </border>
    <border>
      <left style="thin">
        <color indexed="22"/>
      </left>
      <right/>
      <top/>
      <bottom/>
      <diagonal/>
    </border>
    <border>
      <left/>
      <right style="thin">
        <color indexed="22"/>
      </right>
      <top style="thin">
        <color indexed="22"/>
      </top>
      <bottom style="thin">
        <color indexed="2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style="thin">
        <color indexed="64"/>
      </top>
      <bottom style="thin">
        <color indexed="55"/>
      </bottom>
      <diagonal/>
    </border>
    <border>
      <left style="thin">
        <color indexed="64"/>
      </left>
      <right style="thin">
        <color indexed="64"/>
      </right>
      <top style="thin">
        <color indexed="55"/>
      </top>
      <bottom style="thin">
        <color indexed="55"/>
      </bottom>
      <diagonal/>
    </border>
    <border>
      <left style="thin">
        <color indexed="22"/>
      </left>
      <right style="thin">
        <color indexed="64"/>
      </right>
      <top style="thin">
        <color indexed="64"/>
      </top>
      <bottom style="thin">
        <color indexed="22"/>
      </bottom>
      <diagonal/>
    </border>
    <border>
      <left style="medium">
        <color indexed="64"/>
      </left>
      <right style="thin">
        <color indexed="64"/>
      </right>
      <top/>
      <bottom style="medium">
        <color indexed="64"/>
      </bottom>
      <diagonal/>
    </border>
    <border>
      <left/>
      <right/>
      <top/>
      <bottom style="thin">
        <color indexed="55"/>
      </bottom>
      <diagonal/>
    </border>
    <border>
      <left style="thin">
        <color indexed="9"/>
      </left>
      <right style="thin">
        <color indexed="9"/>
      </right>
      <top style="thin">
        <color indexed="22"/>
      </top>
      <bottom style="thin">
        <color indexed="22"/>
      </bottom>
      <diagonal/>
    </border>
    <border>
      <left style="thin">
        <color indexed="9"/>
      </left>
      <right style="thin">
        <color indexed="9"/>
      </right>
      <top style="thin">
        <color indexed="9"/>
      </top>
      <bottom style="thin">
        <color indexed="9"/>
      </bottom>
      <diagonal/>
    </border>
    <border>
      <left/>
      <right style="thin">
        <color indexed="9"/>
      </right>
      <top/>
      <bottom/>
      <diagonal/>
    </border>
    <border>
      <left style="thin">
        <color indexed="9"/>
      </left>
      <right style="thin">
        <color indexed="9"/>
      </right>
      <top style="thin">
        <color indexed="9"/>
      </top>
      <bottom/>
      <diagonal/>
    </border>
    <border>
      <left style="thin">
        <color indexed="9"/>
      </left>
      <right/>
      <top style="thin">
        <color indexed="9"/>
      </top>
      <bottom/>
      <diagonal/>
    </border>
    <border>
      <left style="thin">
        <color indexed="22"/>
      </left>
      <right style="thin">
        <color indexed="9"/>
      </right>
      <top style="thin">
        <color indexed="9"/>
      </top>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style="thin">
        <color indexed="22"/>
      </bottom>
      <diagonal/>
    </border>
    <border>
      <left style="thin">
        <color indexed="9"/>
      </left>
      <right/>
      <top/>
      <bottom style="thin">
        <color indexed="9"/>
      </bottom>
      <diagonal/>
    </border>
    <border>
      <left style="thin">
        <color indexed="22"/>
      </left>
      <right style="thin">
        <color indexed="9"/>
      </right>
      <top/>
      <bottom style="thin">
        <color indexed="9"/>
      </bottom>
      <diagonal/>
    </border>
    <border>
      <left style="thin">
        <color indexed="9"/>
      </left>
      <right style="thin">
        <color indexed="9"/>
      </right>
      <top/>
      <bottom/>
      <diagonal/>
    </border>
    <border>
      <left style="medium">
        <color indexed="64"/>
      </left>
      <right style="medium">
        <color indexed="64"/>
      </right>
      <top style="medium">
        <color indexed="64"/>
      </top>
      <bottom style="thin">
        <color indexed="64"/>
      </bottom>
      <diagonal/>
    </border>
    <border>
      <left style="medium">
        <color indexed="64"/>
      </left>
      <right style="dashed">
        <color indexed="64"/>
      </right>
      <top style="medium">
        <color indexed="64"/>
      </top>
      <bottom style="thin">
        <color indexed="64"/>
      </bottom>
      <diagonal/>
    </border>
    <border>
      <left style="medium">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bottom style="dashed">
        <color indexed="64"/>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thin">
        <color indexed="64"/>
      </top>
      <bottom style="dashed">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23"/>
      </right>
      <top/>
      <bottom/>
      <diagonal/>
    </border>
    <border>
      <left style="thin">
        <color indexed="22"/>
      </left>
      <right style="thin">
        <color indexed="22"/>
      </right>
      <top/>
      <bottom style="thin">
        <color indexed="64"/>
      </bottom>
      <diagonal/>
    </border>
    <border>
      <left style="thin">
        <color indexed="22"/>
      </left>
      <right style="thin">
        <color indexed="22"/>
      </right>
      <top/>
      <bottom style="double">
        <color indexed="64"/>
      </bottom>
      <diagonal/>
    </border>
    <border>
      <left style="thin">
        <color indexed="22"/>
      </left>
      <right style="thin">
        <color indexed="22"/>
      </right>
      <top style="thin">
        <color indexed="55"/>
      </top>
      <bottom style="thin">
        <color indexed="55"/>
      </bottom>
      <diagonal/>
    </border>
    <border>
      <left style="medium">
        <color indexed="64"/>
      </left>
      <right style="dashed">
        <color indexed="64"/>
      </right>
      <top style="medium">
        <color indexed="64"/>
      </top>
      <bottom style="dashed">
        <color indexed="64"/>
      </bottom>
      <diagonal/>
    </border>
    <border>
      <left style="medium">
        <color indexed="64"/>
      </left>
      <right/>
      <top style="medium">
        <color indexed="64"/>
      </top>
      <bottom style="dashed">
        <color indexed="64"/>
      </bottom>
      <diagonal/>
    </border>
    <border>
      <left style="medium">
        <color indexed="64"/>
      </left>
      <right style="thick">
        <color indexed="64"/>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bottom style="dashed">
        <color indexed="64"/>
      </bottom>
      <diagonal/>
    </border>
    <border>
      <left style="medium">
        <color indexed="64"/>
      </left>
      <right style="dashed">
        <color indexed="64"/>
      </right>
      <top/>
      <bottom style="dashed">
        <color indexed="64"/>
      </bottom>
      <diagonal/>
    </border>
    <border>
      <left style="medium">
        <color indexed="64"/>
      </left>
      <right style="dashed">
        <color indexed="64"/>
      </right>
      <top/>
      <bottom style="medium">
        <color indexed="64"/>
      </bottom>
      <diagonal/>
    </border>
    <border>
      <left style="medium">
        <color indexed="64"/>
      </left>
      <right style="medium">
        <color indexed="64"/>
      </right>
      <top style="dashed">
        <color indexed="64"/>
      </top>
      <bottom style="thick">
        <color indexed="64"/>
      </bottom>
      <diagonal/>
    </border>
    <border>
      <left/>
      <right style="thin">
        <color indexed="22"/>
      </right>
      <top style="thin">
        <color indexed="55"/>
      </top>
      <bottom style="thin">
        <color indexed="55"/>
      </bottom>
      <diagonal/>
    </border>
    <border>
      <left/>
      <right style="thin">
        <color indexed="22"/>
      </right>
      <top style="thin">
        <color indexed="22"/>
      </top>
      <bottom/>
      <diagonal/>
    </border>
    <border>
      <left style="double">
        <color indexed="64"/>
      </left>
      <right/>
      <top style="double">
        <color indexed="64"/>
      </top>
      <bottom style="double">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22"/>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thin">
        <color indexed="55"/>
      </top>
      <bottom style="thin">
        <color indexed="64"/>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style="thin">
        <color indexed="64"/>
      </left>
      <right/>
      <top/>
      <bottom style="thin">
        <color indexed="55"/>
      </bottom>
      <diagonal/>
    </border>
    <border>
      <left/>
      <right style="thin">
        <color indexed="64"/>
      </right>
      <top/>
      <bottom style="thin">
        <color indexed="55"/>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style="thin">
        <color indexed="9"/>
      </left>
      <right style="thin">
        <color indexed="9"/>
      </right>
      <top style="thin">
        <color indexed="22"/>
      </top>
      <bottom style="thin">
        <color indexed="9"/>
      </bottom>
      <diagonal/>
    </border>
    <border>
      <left/>
      <right style="thin">
        <color indexed="9"/>
      </right>
      <top style="thin">
        <color indexed="9"/>
      </top>
      <bottom style="thin">
        <color indexed="9"/>
      </bottom>
      <diagonal/>
    </border>
    <border>
      <left style="thin">
        <color indexed="9"/>
      </left>
      <right style="thin">
        <color indexed="9"/>
      </right>
      <top/>
      <bottom style="thin">
        <color indexed="22"/>
      </bottom>
      <diagonal/>
    </border>
    <border>
      <left style="thin">
        <color indexed="9"/>
      </left>
      <right/>
      <top style="thin">
        <color indexed="22"/>
      </top>
      <bottom/>
      <diagonal/>
    </border>
    <border>
      <left style="thin">
        <color indexed="9"/>
      </left>
      <right/>
      <top/>
      <bottom/>
      <diagonal/>
    </border>
    <border>
      <left style="thin">
        <color indexed="9"/>
      </left>
      <right/>
      <top/>
      <bottom style="thin">
        <color indexed="22"/>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style="thin">
        <color auto="1"/>
      </left>
      <right/>
      <top/>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medium">
        <color indexed="64"/>
      </left>
      <right style="thin">
        <color indexed="64"/>
      </right>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diagonal/>
    </border>
    <border>
      <left style="thin">
        <color auto="1"/>
      </left>
      <right style="thin">
        <color auto="1"/>
      </right>
      <top/>
      <bottom style="thin">
        <color auto="1"/>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thin">
        <color auto="1"/>
      </left>
      <right style="medium">
        <color indexed="64"/>
      </right>
      <top/>
      <bottom style="thin">
        <color auto="1"/>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top style="thin">
        <color indexed="64"/>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style="thin">
        <color theme="0" tint="-0.14996795556505021"/>
      </right>
      <top/>
      <bottom/>
      <diagonal/>
    </border>
    <border>
      <left/>
      <right/>
      <top/>
      <bottom style="thin">
        <color indexed="54"/>
      </bottom>
      <diagonal/>
    </border>
    <border>
      <left style="thin">
        <color theme="0" tint="-0.24994659260841701"/>
      </left>
      <right/>
      <top style="thin">
        <color theme="0" tint="-0.24994659260841701"/>
      </top>
      <bottom/>
      <diagonal/>
    </border>
    <border>
      <left style="thin">
        <color indexed="22"/>
      </left>
      <right/>
      <top/>
      <bottom style="thin">
        <color indexed="22"/>
      </bottom>
      <diagonal/>
    </border>
    <border>
      <left/>
      <right style="thin">
        <color indexed="22"/>
      </right>
      <top/>
      <bottom style="thin">
        <color indexed="22"/>
      </bottom>
      <diagonal/>
    </border>
    <border>
      <left/>
      <right/>
      <top/>
      <bottom style="thin">
        <color indexed="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theme="0" tint="-0.14993743705557422"/>
      </bottom>
      <diagonal/>
    </border>
    <border>
      <left style="thin">
        <color theme="0" tint="-0.24994659260841701"/>
      </left>
      <right/>
      <top/>
      <bottom/>
      <diagonal/>
    </border>
    <border>
      <left style="thin">
        <color indexed="23"/>
      </left>
      <right style="thin">
        <color indexed="23"/>
      </right>
      <top style="thin">
        <color indexed="23"/>
      </top>
      <bottom style="thin">
        <color indexed="23"/>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n">
        <color indexed="23"/>
      </left>
      <right/>
      <top style="thin">
        <color indexed="23"/>
      </top>
      <bottom/>
      <diagonal/>
    </border>
    <border>
      <left style="thin">
        <color indexed="22"/>
      </left>
      <right style="thin">
        <color indexed="23"/>
      </right>
      <top style="thin">
        <color indexed="23"/>
      </top>
      <bottom style="thin">
        <color indexed="22"/>
      </bottom>
      <diagonal/>
    </border>
    <border>
      <left style="thin">
        <color indexed="64"/>
      </left>
      <right style="thin">
        <color auto="1"/>
      </right>
      <top style="thin">
        <color indexed="64"/>
      </top>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22"/>
      </left>
      <right style="thin">
        <color indexed="22"/>
      </right>
      <top style="thin">
        <color indexed="22"/>
      </top>
      <bottom style="thin">
        <color indexed="22"/>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22"/>
      </left>
      <right/>
      <top style="thin">
        <color indexed="22"/>
      </top>
      <bottom style="double">
        <color indexed="64"/>
      </bottom>
      <diagonal/>
    </border>
    <border>
      <left/>
      <right style="thin">
        <color indexed="22"/>
      </right>
      <top style="thin">
        <color indexed="22"/>
      </top>
      <bottom style="double">
        <color indexed="64"/>
      </bottom>
      <diagonal/>
    </border>
    <border>
      <left style="medium">
        <color indexed="64"/>
      </left>
      <right style="thin">
        <color indexed="64"/>
      </right>
      <top style="thin">
        <color indexed="22"/>
      </top>
      <bottom style="medium">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indexed="22"/>
      </left>
      <right/>
      <top/>
      <bottom style="thin">
        <color indexed="22"/>
      </bottom>
      <diagonal/>
    </border>
    <border>
      <left style="thin">
        <color indexed="22"/>
      </left>
      <right style="thin">
        <color indexed="22"/>
      </right>
      <top/>
      <bottom style="thin">
        <color indexed="22"/>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style="thin">
        <color indexed="22"/>
      </top>
      <bottom style="thin">
        <color indexed="22"/>
      </bottom>
      <diagonal/>
    </border>
    <border>
      <left/>
      <right/>
      <top style="thin">
        <color theme="0" tint="-0.24994659260841701"/>
      </top>
      <bottom style="thin">
        <color theme="0" tint="-0.24994659260841701"/>
      </bottom>
      <diagonal/>
    </border>
    <border>
      <left style="thin">
        <color indexed="22"/>
      </left>
      <right/>
      <top style="thin">
        <color indexed="22"/>
      </top>
      <bottom/>
      <diagonal/>
    </border>
    <border>
      <left style="thin">
        <color theme="0" tint="-0.14993743705557422"/>
      </left>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right style="thin">
        <color indexed="22"/>
      </right>
      <top/>
      <bottom/>
      <diagonal/>
    </border>
    <border>
      <left style="thin">
        <color indexed="55"/>
      </left>
      <right style="thin">
        <color indexed="55"/>
      </right>
      <top style="thin">
        <color indexed="55"/>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bottom style="thin">
        <color theme="0" tint="-0.14996795556505021"/>
      </bottom>
      <diagonal/>
    </border>
    <border>
      <left style="thin">
        <color auto="1"/>
      </left>
      <right style="thin">
        <color auto="1"/>
      </right>
      <top style="thin">
        <color auto="1"/>
      </top>
      <bottom style="thin">
        <color auto="1"/>
      </bottom>
      <diagonal/>
    </border>
    <border>
      <left/>
      <right/>
      <top/>
      <bottom style="thin">
        <color rgb="FF80808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top style="thin">
        <color indexed="22"/>
      </top>
      <bottom/>
      <diagonal/>
    </border>
    <border>
      <left style="thin">
        <color indexed="22"/>
      </left>
      <right style="thin">
        <color indexed="22"/>
      </right>
      <top style="thin">
        <color indexed="22"/>
      </top>
      <bottom style="thin">
        <color indexed="22"/>
      </bottom>
      <diagonal/>
    </border>
    <border>
      <left style="medium">
        <color indexed="62"/>
      </left>
      <right/>
      <top style="medium">
        <color indexed="62"/>
      </top>
      <bottom/>
      <diagonal/>
    </border>
    <border>
      <left/>
      <right/>
      <top style="medium">
        <color indexed="62"/>
      </top>
      <bottom/>
      <diagonal/>
    </border>
    <border>
      <left/>
      <right style="medium">
        <color indexed="62"/>
      </right>
      <top style="medium">
        <color indexed="62"/>
      </top>
      <bottom/>
      <diagonal/>
    </border>
    <border>
      <left style="medium">
        <color indexed="62"/>
      </left>
      <right/>
      <top/>
      <bottom/>
      <diagonal/>
    </border>
    <border>
      <left/>
      <right style="medium">
        <color indexed="62"/>
      </right>
      <top/>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style="thin">
        <color indexed="62"/>
      </left>
      <right style="medium">
        <color indexed="62"/>
      </right>
      <top style="medium">
        <color indexed="62"/>
      </top>
      <bottom style="thin">
        <color indexed="62"/>
      </bottom>
      <diagonal/>
    </border>
    <border>
      <left style="medium">
        <color indexed="62"/>
      </left>
      <right style="thin">
        <color indexed="62"/>
      </right>
      <top/>
      <bottom/>
      <diagonal/>
    </border>
    <border>
      <left style="thin">
        <color indexed="62"/>
      </left>
      <right style="thin">
        <color indexed="62"/>
      </right>
      <top/>
      <bottom/>
      <diagonal/>
    </border>
    <border>
      <left style="thin">
        <color indexed="62"/>
      </left>
      <right style="medium">
        <color indexed="62"/>
      </right>
      <top/>
      <bottom/>
      <diagonal/>
    </border>
    <border>
      <left style="medium">
        <color indexed="62"/>
      </left>
      <right style="thin">
        <color indexed="62"/>
      </right>
      <top/>
      <bottom style="medium">
        <color indexed="62"/>
      </bottom>
      <diagonal/>
    </border>
    <border>
      <left style="thin">
        <color indexed="62"/>
      </left>
      <right style="thin">
        <color indexed="62"/>
      </right>
      <top/>
      <bottom style="medium">
        <color indexed="62"/>
      </bottom>
      <diagonal/>
    </border>
    <border>
      <left style="thin">
        <color indexed="62"/>
      </left>
      <right style="medium">
        <color indexed="62"/>
      </right>
      <top/>
      <bottom style="medium">
        <color indexed="62"/>
      </bottom>
      <diagonal/>
    </border>
    <border>
      <left style="medium">
        <color indexed="62"/>
      </left>
      <right/>
      <top/>
      <bottom style="medium">
        <color indexed="62"/>
      </bottom>
      <diagonal/>
    </border>
    <border>
      <left/>
      <right/>
      <top/>
      <bottom style="medium">
        <color indexed="62"/>
      </bottom>
      <diagonal/>
    </border>
    <border>
      <left/>
      <right style="medium">
        <color indexed="62"/>
      </right>
      <top/>
      <bottom style="medium">
        <color indexed="62"/>
      </bottom>
      <diagonal/>
    </border>
    <border>
      <left/>
      <right style="thin">
        <color indexed="22"/>
      </right>
      <top style="thin">
        <color indexed="22"/>
      </top>
      <bottom/>
      <diagonal/>
    </border>
    <border>
      <left style="thin">
        <color auto="1"/>
      </left>
      <right style="thin">
        <color auto="1"/>
      </right>
      <top/>
      <bottom style="thin">
        <color auto="1"/>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22"/>
      </left>
      <right style="thin">
        <color indexed="22"/>
      </right>
      <top style="thin">
        <color indexed="64"/>
      </top>
      <bottom style="thin">
        <color indexed="22"/>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style="thin">
        <color indexed="22"/>
      </bottom>
      <diagonal/>
    </border>
    <border>
      <left/>
      <right style="thin">
        <color indexed="22"/>
      </right>
      <top style="thin">
        <color indexed="22"/>
      </top>
      <bottom/>
      <diagonal/>
    </border>
    <border>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right style="thin">
        <color indexed="22"/>
      </right>
      <top style="thin">
        <color indexed="64"/>
      </top>
      <bottom/>
      <diagonal/>
    </border>
    <border>
      <left style="thin">
        <color indexed="22"/>
      </left>
      <right style="thin">
        <color indexed="22"/>
      </right>
      <top style="thin">
        <color indexed="64"/>
      </top>
      <bottom/>
      <diagonal/>
    </border>
    <border>
      <left style="thin">
        <color indexed="22"/>
      </left>
      <right style="thin">
        <color indexed="64"/>
      </right>
      <top style="thin">
        <color indexed="64"/>
      </top>
      <bottom style="thin">
        <color indexed="22"/>
      </bottom>
      <diagonal/>
    </border>
    <border>
      <left style="thin">
        <color indexed="22"/>
      </left>
      <right style="thin">
        <color indexed="64"/>
      </right>
      <top style="thin">
        <color indexed="22"/>
      </top>
      <bottom style="thin">
        <color indexed="22"/>
      </bottom>
      <diagonal/>
    </border>
    <border>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indexed="22"/>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right style="thin">
        <color indexed="64"/>
      </right>
      <top style="thin">
        <color indexed="64"/>
      </top>
      <bottom/>
      <diagonal/>
    </border>
    <border>
      <left/>
      <right/>
      <top style="thin">
        <color theme="0" tint="-0.14996795556505021"/>
      </top>
      <bottom style="thin">
        <color theme="0" tint="-0.14996795556505021"/>
      </bottom>
      <diagonal/>
    </border>
    <border>
      <left style="thin">
        <color theme="0" tint="-0.24994659260841701"/>
      </left>
      <right style="thin">
        <color theme="0" tint="-0.24994659260841701"/>
      </right>
      <top style="thin">
        <color indexed="22"/>
      </top>
      <bottom style="thin">
        <color theme="0" tint="-0.24994659260841701"/>
      </bottom>
      <diagonal/>
    </border>
    <border>
      <left style="thin">
        <color indexed="9"/>
      </left>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indexed="22"/>
      </left>
      <right style="thin">
        <color theme="0" tint="-0.24994659260841701"/>
      </right>
      <top style="thin">
        <color indexed="22"/>
      </top>
      <bottom/>
      <diagonal/>
    </border>
    <border>
      <left style="thin">
        <color indexed="22"/>
      </left>
      <right style="thin">
        <color theme="0" tint="-0.24994659260841701"/>
      </right>
      <top/>
      <bottom/>
      <diagonal/>
    </border>
    <border>
      <left style="thin">
        <color indexed="22"/>
      </left>
      <right style="thin">
        <color theme="0" tint="-0.24994659260841701"/>
      </right>
      <top/>
      <bottom style="thin">
        <color indexed="22"/>
      </bottom>
      <diagonal/>
    </border>
    <border>
      <left style="thin">
        <color indexed="64"/>
      </left>
      <right/>
      <top style="thin">
        <color indexed="64"/>
      </top>
      <bottom style="thin">
        <color indexed="22"/>
      </bottom>
      <diagonal/>
    </border>
    <border>
      <left style="thin">
        <color indexed="64"/>
      </left>
      <right/>
      <top style="thin">
        <color indexed="22"/>
      </top>
      <bottom style="thin">
        <color indexed="22"/>
      </bottom>
      <diagonal/>
    </border>
    <border>
      <left style="thin">
        <color indexed="64"/>
      </left>
      <right/>
      <top style="thin">
        <color indexed="22"/>
      </top>
      <bottom style="thin">
        <color indexed="64"/>
      </bottom>
      <diagonal/>
    </border>
    <border>
      <left/>
      <right style="thin">
        <color indexed="64"/>
      </right>
      <top style="thin">
        <color indexed="64"/>
      </top>
      <bottom style="thin">
        <color indexed="22"/>
      </bottom>
      <diagonal/>
    </border>
    <border>
      <left/>
      <right style="thin">
        <color indexed="64"/>
      </right>
      <top style="thin">
        <color indexed="22"/>
      </top>
      <bottom style="thin">
        <color indexed="22"/>
      </bottom>
      <diagonal/>
    </border>
    <border>
      <left/>
      <right style="thin">
        <color indexed="64"/>
      </right>
      <top style="thin">
        <color indexed="22"/>
      </top>
      <bottom style="thin">
        <color indexed="64"/>
      </bottom>
      <diagonal/>
    </border>
    <border>
      <left style="thin">
        <color auto="1"/>
      </left>
      <right style="thin">
        <color auto="1"/>
      </right>
      <top/>
      <bottom/>
      <diagonal/>
    </border>
    <border>
      <left/>
      <right style="thin">
        <color theme="0" tint="-0.14996795556505021"/>
      </right>
      <top style="thin">
        <color indexed="22"/>
      </top>
      <bottom style="thin">
        <color indexed="2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right/>
      <top/>
      <bottom style="thin">
        <color theme="0" tint="-0.14996795556505021"/>
      </bottom>
      <diagonal/>
    </border>
    <border>
      <left style="thin">
        <color indexed="23"/>
      </left>
      <right style="thin">
        <color indexed="23"/>
      </right>
      <top style="thin">
        <color indexed="23"/>
      </top>
      <bottom style="thin">
        <color indexed="23"/>
      </bottom>
      <diagonal/>
    </border>
    <border>
      <left/>
      <right/>
      <top/>
      <bottom style="thick">
        <color indexed="64"/>
      </bottom>
      <diagonal/>
    </border>
    <border>
      <left/>
      <right/>
      <top style="thick">
        <color indexed="64"/>
      </top>
      <bottom/>
      <diagonal/>
    </border>
    <border>
      <left style="thin">
        <color auto="1"/>
      </left>
      <right style="thin">
        <color auto="1"/>
      </right>
      <top style="thin">
        <color auto="1"/>
      </top>
      <bottom style="thin">
        <color auto="1"/>
      </bottom>
      <diagonal/>
    </border>
    <border>
      <left style="thin">
        <color indexed="64"/>
      </left>
      <right/>
      <top style="thin">
        <color indexed="55"/>
      </top>
      <bottom style="thin">
        <color indexed="55"/>
      </bottom>
      <diagonal/>
    </border>
    <border>
      <left/>
      <right/>
      <top style="thin">
        <color indexed="55"/>
      </top>
      <bottom style="thin">
        <color indexed="55"/>
      </bottom>
      <diagonal/>
    </border>
    <border>
      <left/>
      <right style="thin">
        <color indexed="64"/>
      </right>
      <top style="thin">
        <color indexed="55"/>
      </top>
      <bottom style="thin">
        <color indexed="55"/>
      </bottom>
      <diagonal/>
    </border>
    <border>
      <left style="thin">
        <color indexed="64"/>
      </left>
      <right style="thin">
        <color indexed="64"/>
      </right>
      <top style="thin">
        <color indexed="55"/>
      </top>
      <bottom/>
      <diagonal/>
    </border>
    <border>
      <left style="thin">
        <color indexed="64"/>
      </left>
      <right style="thin">
        <color indexed="64"/>
      </right>
      <top style="thin">
        <color indexed="55"/>
      </top>
      <bottom style="thin">
        <color indexed="55"/>
      </bottom>
      <diagonal/>
    </border>
    <border>
      <left style="hair">
        <color auto="1"/>
      </left>
      <right style="hair">
        <color auto="1"/>
      </right>
      <top style="hair">
        <color auto="1"/>
      </top>
      <bottom style="hair">
        <color auto="1"/>
      </bottom>
      <diagonal/>
    </border>
    <border>
      <left style="thin">
        <color theme="0" tint="-0.49980162968840602"/>
      </left>
      <right/>
      <top/>
      <bottom style="thin">
        <color theme="0" tint="-0.49980162968840602"/>
      </bottom>
      <diagonal/>
    </border>
    <border>
      <left/>
      <right/>
      <top/>
      <bottom style="thin">
        <color theme="0" tint="-0.49980162968840602"/>
      </bottom>
      <diagonal/>
    </border>
    <border>
      <left style="thin">
        <color theme="0" tint="-0.49980162968840602"/>
      </left>
      <right/>
      <top style="thin">
        <color theme="0" tint="-0.49980162968840602"/>
      </top>
      <bottom/>
      <diagonal/>
    </border>
    <border>
      <left/>
      <right/>
      <top style="thin">
        <color theme="0" tint="-0.49980162968840602"/>
      </top>
      <bottom/>
      <diagonal/>
    </border>
    <border>
      <left/>
      <right style="thin">
        <color theme="0" tint="-0.49980162968840602"/>
      </right>
      <top style="thin">
        <color theme="0" tint="-0.49980162968840602"/>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indexed="64"/>
      </left>
      <right style="medium">
        <color indexed="64"/>
      </right>
      <top style="thin">
        <color rgb="FF000000"/>
      </top>
      <bottom/>
      <diagonal/>
    </border>
    <border>
      <left style="thin">
        <color rgb="FF000000"/>
      </left>
      <right/>
      <top/>
      <bottom/>
      <diagonal/>
    </border>
    <border>
      <left style="medium">
        <color indexed="64"/>
      </left>
      <right style="medium">
        <color indexed="64"/>
      </right>
      <top style="thin">
        <color rgb="FF000000"/>
      </top>
      <bottom style="thin">
        <color rgb="FF000000"/>
      </bottom>
      <diagonal/>
    </border>
    <border>
      <left style="thin">
        <color rgb="FF000000"/>
      </left>
      <right/>
      <top style="thin">
        <color rgb="FF000000"/>
      </top>
      <bottom style="dotted">
        <color rgb="FF000000"/>
      </bottom>
      <diagonal/>
    </border>
    <border>
      <left/>
      <right/>
      <top style="thin">
        <color rgb="FF000000"/>
      </top>
      <bottom style="dotted">
        <color rgb="FF000000"/>
      </bottom>
      <diagonal/>
    </border>
    <border>
      <left style="medium">
        <color indexed="64"/>
      </left>
      <right style="medium">
        <color indexed="64"/>
      </right>
      <top style="thin">
        <color rgb="FF000000"/>
      </top>
      <bottom style="dotted">
        <color rgb="FF000000"/>
      </bottom>
      <diagonal/>
    </border>
    <border>
      <left style="thin">
        <color rgb="FF000000"/>
      </left>
      <right/>
      <top/>
      <bottom style="thin">
        <color rgb="FF000000"/>
      </bottom>
      <diagonal/>
    </border>
    <border>
      <left style="thin">
        <color rgb="FF000000"/>
      </left>
      <right/>
      <top style="dotted">
        <color rgb="FF000000"/>
      </top>
      <bottom style="thin">
        <color rgb="FF000000"/>
      </bottom>
      <diagonal/>
    </border>
    <border>
      <left/>
      <right/>
      <top style="dotted">
        <color rgb="FF000000"/>
      </top>
      <bottom style="thin">
        <color rgb="FF000000"/>
      </bottom>
      <diagonal/>
    </border>
    <border>
      <left style="medium">
        <color indexed="64"/>
      </left>
      <right style="medium">
        <color indexed="64"/>
      </right>
      <top style="dotted">
        <color rgb="FF000000"/>
      </top>
      <bottom style="thin">
        <color rgb="FF000000"/>
      </bottom>
      <diagonal/>
    </border>
    <border>
      <left/>
      <right/>
      <top/>
      <bottom style="thin">
        <color rgb="FF000000"/>
      </bottom>
      <diagonal/>
    </border>
    <border>
      <left style="medium">
        <color indexed="64"/>
      </left>
      <right style="medium">
        <color indexed="64"/>
      </right>
      <top/>
      <bottom style="thin">
        <color rgb="FF000000"/>
      </bottom>
      <diagonal/>
    </border>
    <border>
      <left style="thin">
        <color indexed="22"/>
      </left>
      <right style="thin">
        <color indexed="22"/>
      </right>
      <top style="thin">
        <color indexed="55"/>
      </top>
      <bottom style="thin">
        <color indexed="55"/>
      </bottom>
      <diagonal/>
    </border>
    <border>
      <left style="thin">
        <color indexed="64"/>
      </left>
      <right/>
      <top style="thin">
        <color indexed="23"/>
      </top>
      <bottom style="thin">
        <color indexed="23"/>
      </bottom>
      <diagonal/>
    </border>
    <border>
      <left style="thin">
        <color auto="1"/>
      </left>
      <right style="thin">
        <color auto="1"/>
      </right>
      <top/>
      <bottom style="thin">
        <color auto="1"/>
      </bottom>
      <diagonal/>
    </border>
    <border>
      <left style="thin">
        <color indexed="55"/>
      </left>
      <right style="thin">
        <color indexed="55"/>
      </right>
      <top style="thin">
        <color indexed="55"/>
      </top>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style="thin">
        <color theme="0" tint="-0.34998626667073579"/>
      </top>
      <bottom style="thin">
        <color indexed="64"/>
      </bottom>
      <diagonal/>
    </border>
    <border>
      <left style="thin">
        <color theme="0" tint="-0.34998626667073579"/>
      </left>
      <right style="thin">
        <color theme="0" tint="-0.34998626667073579"/>
      </right>
      <top/>
      <bottom style="thin">
        <color theme="0" tint="-0.34998626667073579"/>
      </bottom>
      <diagonal/>
    </border>
    <border>
      <left style="thin">
        <color indexed="64"/>
      </left>
      <right style="thin">
        <color theme="0" tint="-0.34998626667073579"/>
      </right>
      <top/>
      <bottom style="thin">
        <color theme="0" tint="-0.34998626667073579"/>
      </bottom>
      <diagonal/>
    </border>
    <border>
      <left style="thin">
        <color theme="0" tint="-0.34998626667073579"/>
      </left>
      <right style="thin">
        <color indexed="64"/>
      </right>
      <top/>
      <bottom style="thin">
        <color theme="0" tint="-0.34998626667073579"/>
      </bottom>
      <diagonal/>
    </border>
    <border>
      <left style="thin">
        <color rgb="FFA5A5A5"/>
      </left>
      <right style="thin">
        <color rgb="FFA5A5A5"/>
      </right>
      <top style="thin">
        <color rgb="FFA5A5A5"/>
      </top>
      <bottom style="thin">
        <color rgb="FFA5A5A5"/>
      </bottom>
      <diagonal/>
    </border>
    <border>
      <left style="thin">
        <color rgb="FFA5A5A5"/>
      </left>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rgb="FFA5A5A5"/>
      </left>
      <right style="thin">
        <color rgb="FFA5A5A5"/>
      </right>
      <top style="thin">
        <color rgb="FFA5A5A5"/>
      </top>
      <bottom/>
      <diagonal/>
    </border>
    <border>
      <left style="thin">
        <color rgb="FFA5A5A5"/>
      </left>
      <right style="thin">
        <color rgb="FFA5A5A5"/>
      </right>
      <top/>
      <bottom/>
      <diagonal/>
    </border>
    <border>
      <left style="thin">
        <color rgb="FFA5A5A5"/>
      </left>
      <right style="thin">
        <color rgb="FFA5A5A5"/>
      </right>
      <top/>
      <bottom style="thin">
        <color rgb="FFA5A5A5"/>
      </bottom>
      <diagonal/>
    </border>
    <border>
      <left style="thin">
        <color rgb="FFA5A5A5"/>
      </left>
      <right/>
      <top style="thin">
        <color rgb="FFA5A5A5"/>
      </top>
      <bottom/>
      <diagonal/>
    </border>
    <border>
      <left style="thin">
        <color rgb="FFA5A5A5"/>
      </left>
      <right/>
      <top/>
      <bottom/>
      <diagonal/>
    </border>
    <border>
      <left style="thin">
        <color rgb="FFA5A5A5"/>
      </left>
      <right/>
      <top/>
      <bottom style="thin">
        <color rgb="FFA5A5A5"/>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bottom style="thin">
        <color indexed="22"/>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indexed="64"/>
      </right>
      <top/>
      <bottom style="thin">
        <color indexed="64"/>
      </bottom>
      <diagonal/>
    </border>
    <border>
      <left style="thin">
        <color indexed="64"/>
      </left>
      <right style="thin">
        <color theme="0" tint="-0.34998626667073579"/>
      </right>
      <top/>
      <bottom style="thin">
        <color indexed="64"/>
      </bottom>
      <diagonal/>
    </border>
    <border>
      <left style="thin">
        <color indexed="64"/>
      </left>
      <right style="medium">
        <color indexed="64"/>
      </right>
      <top style="thin">
        <color indexed="64"/>
      </top>
      <bottom/>
      <diagonal/>
    </border>
    <border>
      <left style="thin">
        <color auto="1"/>
      </left>
      <right style="medium">
        <color indexed="64"/>
      </right>
      <top/>
      <bottom style="thin">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thin">
        <color indexed="64"/>
      </left>
      <right/>
      <top style="thin">
        <color auto="1"/>
      </top>
      <bottom style="thin">
        <color auto="1"/>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style="thin">
        <color indexed="64"/>
      </left>
      <right/>
      <top style="hair">
        <color indexed="64"/>
      </top>
      <bottom style="thin">
        <color indexed="64"/>
      </bottom>
      <diagonal/>
    </border>
    <border>
      <left style="thin">
        <color indexed="64"/>
      </left>
      <right/>
      <top style="thin">
        <color indexed="64"/>
      </top>
      <bottom style="hair">
        <color indexed="64"/>
      </bottom>
      <diagonal/>
    </border>
    <border>
      <left/>
      <right style="thin">
        <color auto="1"/>
      </right>
      <top/>
      <bottom style="thin">
        <color auto="1"/>
      </bottom>
      <diagonal/>
    </border>
    <border>
      <left style="thin">
        <color indexed="64"/>
      </left>
      <right/>
      <top/>
      <bottom style="thin">
        <color indexed="64"/>
      </bottom>
      <diagonal/>
    </border>
    <border>
      <left/>
      <right/>
      <top/>
      <bottom style="thin">
        <color auto="1"/>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style="thin">
        <color auto="1"/>
      </bottom>
      <diagonal/>
    </border>
    <border>
      <left style="medium">
        <color indexed="64"/>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style="thin">
        <color auto="1"/>
      </left>
      <right/>
      <top/>
      <bottom style="thin">
        <color auto="1"/>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diagonal/>
    </border>
    <border>
      <left style="thin">
        <color indexed="22"/>
      </left>
      <right style="thin">
        <color indexed="22"/>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style="thin">
        <color indexed="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indexed="64"/>
      </left>
      <right style="thin">
        <color indexed="64"/>
      </right>
      <top style="thin">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14996795556505021"/>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23"/>
      </top>
      <bottom style="thin">
        <color indexed="23"/>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diagonal/>
    </border>
    <border>
      <left style="thin">
        <color indexed="62"/>
      </left>
      <right style="thin">
        <color indexed="62"/>
      </right>
      <top style="thin">
        <color indexed="62"/>
      </top>
      <bottom/>
      <diagonal/>
    </border>
    <border>
      <left style="thin">
        <color indexed="62"/>
      </left>
      <right style="medium">
        <color indexed="62"/>
      </right>
      <top style="thin">
        <color indexed="62"/>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auto="1"/>
      </right>
      <top/>
      <bottom style="thin">
        <color theme="0" tint="-0.14996795556505021"/>
      </bottom>
      <diagonal/>
    </border>
    <border>
      <left/>
      <right style="thin">
        <color auto="1"/>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style="medium">
        <color auto="1"/>
      </right>
      <top style="thin">
        <color theme="0" tint="-0.14996795556505021"/>
      </top>
      <bottom style="thin">
        <color theme="0" tint="-0.14993743705557422"/>
      </bottom>
      <diagonal/>
    </border>
    <border>
      <left/>
      <right/>
      <top style="thin">
        <color theme="0" tint="-0.14996795556505021"/>
      </top>
      <bottom/>
      <diagonal/>
    </border>
    <border>
      <left/>
      <right style="medium">
        <color auto="1"/>
      </right>
      <top style="thin">
        <color theme="0" tint="-0.14996795556505021"/>
      </top>
      <bottom/>
      <diagonal/>
    </border>
    <border>
      <left/>
      <right/>
      <top style="thin">
        <color theme="0" tint="-0.14996795556505021"/>
      </top>
      <bottom style="thin">
        <color auto="1"/>
      </bottom>
      <diagonal/>
    </border>
    <border>
      <left/>
      <right style="medium">
        <color auto="1"/>
      </right>
      <top style="thin">
        <color theme="0" tint="-0.14996795556505021"/>
      </top>
      <bottom style="thin">
        <color auto="1"/>
      </bottom>
      <diagonal/>
    </border>
    <border>
      <left style="medium">
        <color auto="1"/>
      </left>
      <right style="thin">
        <color theme="0" tint="-0.34998626667073579"/>
      </right>
      <top style="thin">
        <color theme="0" tint="-0.34998626667073579"/>
      </top>
      <bottom style="thin">
        <color auto="1"/>
      </bottom>
      <diagonal/>
    </border>
    <border>
      <left style="thin">
        <color theme="0" tint="-0.34998626667073579"/>
      </left>
      <right/>
      <top style="thin">
        <color theme="0" tint="-0.34998626667073579"/>
      </top>
      <bottom style="thin">
        <color auto="1"/>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auto="1"/>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top style="medium">
        <color indexed="64"/>
      </top>
      <bottom style="thin">
        <color theme="0" tint="-0.34998626667073579"/>
      </bottom>
      <diagonal/>
    </border>
    <border>
      <left/>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auto="1"/>
      </right>
      <top style="thin">
        <color theme="0" tint="-0.34998626667073579"/>
      </top>
      <bottom/>
      <diagonal/>
    </border>
    <border>
      <left style="medium">
        <color indexed="64"/>
      </left>
      <right style="thin">
        <color theme="0" tint="-0.34998626667073579"/>
      </right>
      <top style="medium">
        <color indexed="64"/>
      </top>
      <bottom style="thin">
        <color auto="1"/>
      </bottom>
      <diagonal/>
    </border>
    <border>
      <left style="thin">
        <color theme="0" tint="-0.34998626667073579"/>
      </left>
      <right style="thin">
        <color theme="0" tint="-0.34998626667073579"/>
      </right>
      <top style="medium">
        <color indexed="64"/>
      </top>
      <bottom style="thin">
        <color auto="1"/>
      </bottom>
      <diagonal/>
    </border>
    <border>
      <left style="thin">
        <color theme="0" tint="-0.34998626667073579"/>
      </left>
      <right/>
      <top style="medium">
        <color indexed="64"/>
      </top>
      <bottom style="thin">
        <color auto="1"/>
      </bottom>
      <diagonal/>
    </border>
    <border>
      <left/>
      <right style="thin">
        <color indexed="64"/>
      </right>
      <top style="thin">
        <color indexed="64"/>
      </top>
      <bottom style="thin">
        <color indexed="64"/>
      </bottom>
      <diagonal/>
    </border>
    <border>
      <left style="medium">
        <color indexed="64"/>
      </left>
      <right/>
      <top style="thin">
        <color theme="1"/>
      </top>
      <bottom/>
      <diagonal/>
    </border>
    <border>
      <left style="medium">
        <color indexed="64"/>
      </left>
      <right style="thin">
        <color theme="0" tint="-0.34998626667073579"/>
      </right>
      <top style="thin">
        <color indexed="64"/>
      </top>
      <bottom style="medium">
        <color indexed="64"/>
      </bottom>
      <diagonal/>
    </border>
    <border>
      <left/>
      <right/>
      <top style="thin">
        <color indexed="64"/>
      </top>
      <bottom style="medium">
        <color indexed="64"/>
      </bottom>
      <diagonal/>
    </border>
    <border>
      <left style="medium">
        <color auto="1"/>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medium">
        <color auto="1"/>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medium">
        <color auto="1"/>
      </right>
      <top/>
      <bottom style="thin">
        <color theme="0" tint="-0.34998626667073579"/>
      </bottom>
      <diagonal/>
    </border>
    <border>
      <left style="medium">
        <color auto="1"/>
      </left>
      <right/>
      <top style="thin">
        <color theme="0" tint="-0.34998626667073579"/>
      </top>
      <bottom style="thin">
        <color theme="2" tint="-0.24994659260841701"/>
      </bottom>
      <diagonal/>
    </border>
    <border>
      <left/>
      <right style="thin">
        <color theme="2" tint="-0.24994659260841701"/>
      </right>
      <top style="thin">
        <color theme="0" tint="-0.34998626667073579"/>
      </top>
      <bottom style="thin">
        <color theme="2" tint="-0.24994659260841701"/>
      </bottom>
      <diagonal/>
    </border>
    <border>
      <left style="thin">
        <color theme="0" tint="-0.34998626667073579"/>
      </left>
      <right/>
      <top/>
      <bottom/>
      <diagonal/>
    </border>
    <border>
      <left style="medium">
        <color auto="1"/>
      </left>
      <right/>
      <top style="thin">
        <color theme="2" tint="-0.24994659260841701"/>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medium">
        <color auto="1"/>
      </left>
      <right style="thin">
        <color theme="2" tint="-0.24994659260841701"/>
      </right>
      <top style="thin">
        <color theme="2" tint="-0.24994659260841701"/>
      </top>
      <bottom style="thin">
        <color auto="1"/>
      </bottom>
      <diagonal/>
    </border>
    <border>
      <left style="thin">
        <color theme="2" tint="-0.24994659260841701"/>
      </left>
      <right style="thin">
        <color theme="2" tint="-0.24994659260841701"/>
      </right>
      <top style="thin">
        <color theme="2" tint="-0.24994659260841701"/>
      </top>
      <bottom style="thin">
        <color auto="1"/>
      </bottom>
      <diagonal/>
    </border>
    <border>
      <left style="thin">
        <color theme="2" tint="-0.24994659260841701"/>
      </left>
      <right style="thin">
        <color theme="0" tint="-0.34998626667073579"/>
      </right>
      <top style="thin">
        <color theme="2" tint="-0.24994659260841701"/>
      </top>
      <bottom style="thin">
        <color auto="1"/>
      </bottom>
      <diagonal/>
    </border>
    <border>
      <left/>
      <right style="thin">
        <color theme="0" tint="-0.34998626667073579"/>
      </right>
      <top style="thin">
        <color theme="0" tint="-0.34998626667073579"/>
      </top>
      <bottom style="thin">
        <color auto="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top/>
      <bottom style="thin">
        <color theme="1"/>
      </bottom>
      <diagonal/>
    </border>
    <border>
      <left/>
      <right/>
      <top/>
      <bottom style="thin">
        <color theme="1"/>
      </bottom>
      <diagonal/>
    </border>
    <border>
      <left/>
      <right style="medium">
        <color auto="1"/>
      </right>
      <top/>
      <bottom style="thin">
        <color theme="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top style="thin">
        <color theme="2" tint="-0.24994659260841701"/>
      </top>
      <bottom style="thin">
        <color theme="2" tint="-0.24994659260841701"/>
      </bottom>
      <diagonal/>
    </border>
    <border>
      <left style="thin">
        <color indexed="64"/>
      </left>
      <right style="medium">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top style="thin">
        <color indexed="22"/>
      </top>
      <bottom style="thin">
        <color indexed="22"/>
      </bottom>
      <diagonal/>
    </border>
    <border>
      <left style="medium">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medium">
        <color indexed="64"/>
      </bottom>
      <diagonal/>
    </border>
    <border>
      <left/>
      <right style="medium">
        <color auto="1"/>
      </right>
      <top/>
      <bottom style="medium">
        <color auto="1"/>
      </bottom>
      <diagonal/>
    </border>
    <border>
      <left style="thin">
        <color indexed="22"/>
      </left>
      <right/>
      <top/>
      <bottom style="thin">
        <color indexed="22"/>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22"/>
      </top>
      <bottom style="thin">
        <color indexed="64"/>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64"/>
      </top>
      <bottom/>
      <diagonal/>
    </border>
    <border>
      <left style="medium">
        <color auto="1"/>
      </left>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medium">
        <color auto="1"/>
      </right>
      <top style="thin">
        <color auto="1"/>
      </top>
      <bottom style="thin">
        <color auto="1"/>
      </bottom>
      <diagonal/>
    </border>
    <border>
      <left/>
      <right style="thin">
        <color indexed="64"/>
      </right>
      <top style="thin">
        <color indexed="64"/>
      </top>
      <bottom style="thin">
        <color indexed="64"/>
      </bottom>
      <diagonal/>
    </border>
    <border>
      <left/>
      <right style="thin">
        <color theme="0" tint="-0.34998626667073579"/>
      </right>
      <top style="thin">
        <color auto="1"/>
      </top>
      <bottom style="thin">
        <color auto="1"/>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auto="1"/>
      </left>
      <right style="thin">
        <color theme="0" tint="-0.34998626667073579"/>
      </right>
      <top style="thin">
        <color indexed="64"/>
      </top>
      <bottom style="thin">
        <color theme="1"/>
      </bottom>
      <diagonal/>
    </border>
    <border>
      <left style="thin">
        <color theme="0" tint="-0.34998626667073579"/>
      </left>
      <right style="thin">
        <color theme="0" tint="-0.34998626667073579"/>
      </right>
      <top style="thin">
        <color indexed="64"/>
      </top>
      <bottom style="thin">
        <color theme="1"/>
      </bottom>
      <diagonal/>
    </border>
    <border>
      <left style="thin">
        <color theme="0" tint="-0.34998626667073579"/>
      </left>
      <right style="medium">
        <color auto="1"/>
      </right>
      <top style="thin">
        <color indexed="64"/>
      </top>
      <bottom style="thin">
        <color theme="1"/>
      </bottom>
      <diagonal/>
    </border>
    <border>
      <left style="thin">
        <color theme="0" tint="-0.34998626667073579"/>
      </left>
      <right style="thin">
        <color theme="0" tint="-0.34998626667073579"/>
      </right>
      <top style="thin">
        <color indexed="64"/>
      </top>
      <bottom style="thin">
        <color theme="2" tint="-0.24994659260841701"/>
      </bottom>
      <diagonal/>
    </border>
    <border>
      <left style="thin">
        <color indexed="64"/>
      </left>
      <right style="thin">
        <color indexed="64"/>
      </right>
      <top style="thin">
        <color indexed="64"/>
      </top>
      <bottom/>
      <diagonal/>
    </border>
    <border>
      <left style="thin">
        <color theme="0" tint="-0.34998626667073579"/>
      </left>
      <right style="thin">
        <color theme="0" tint="-0.34998626667073579"/>
      </right>
      <top style="thin">
        <color auto="1"/>
      </top>
      <bottom style="medium">
        <color indexed="64"/>
      </bottom>
      <diagonal/>
    </border>
    <border>
      <left style="thin">
        <color theme="0" tint="-0.34998626667073579"/>
      </left>
      <right/>
      <top style="thin">
        <color auto="1"/>
      </top>
      <bottom style="medium">
        <color indexed="64"/>
      </bottom>
      <diagonal/>
    </border>
    <border>
      <left/>
      <right/>
      <top style="thin">
        <color auto="1"/>
      </top>
      <bottom style="medium">
        <color indexed="64"/>
      </bottom>
      <diagonal/>
    </border>
    <border>
      <left/>
      <right style="thin">
        <color theme="0" tint="-0.34998626667073579"/>
      </right>
      <top style="thin">
        <color auto="1"/>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rgb="FFFF0000"/>
      </left>
      <right/>
      <top style="thin">
        <color rgb="FFFF0000"/>
      </top>
      <bottom/>
      <diagonal/>
    </border>
    <border>
      <left/>
      <right/>
      <top style="thin">
        <color rgb="FFFF0000"/>
      </top>
      <bottom/>
      <diagonal/>
    </border>
    <border>
      <left style="thin">
        <color indexed="64"/>
      </left>
      <right style="thin">
        <color indexed="64"/>
      </right>
      <top style="thin">
        <color rgb="FFFF0000"/>
      </top>
      <bottom style="thin">
        <color indexed="64"/>
      </bottom>
      <diagonal/>
    </border>
    <border>
      <left/>
      <right style="thin">
        <color rgb="FFFF0000"/>
      </right>
      <top style="thin">
        <color rgb="FFFF0000"/>
      </top>
      <bottom/>
      <diagonal/>
    </border>
    <border>
      <left style="thin">
        <color rgb="FFFF0000"/>
      </left>
      <right style="thin">
        <color rgb="FF0070C0"/>
      </right>
      <top style="thin">
        <color rgb="FF0070C0"/>
      </top>
      <bottom style="thin">
        <color rgb="FF0070C0"/>
      </bottom>
      <diagonal/>
    </border>
    <border>
      <left/>
      <right style="thin">
        <color rgb="FFFF0000"/>
      </right>
      <top/>
      <bottom/>
      <diagonal/>
    </border>
    <border>
      <left style="thin">
        <color indexed="64"/>
      </left>
      <right style="thin">
        <color rgb="FFFF0000"/>
      </right>
      <top style="thin">
        <color indexed="64"/>
      </top>
      <bottom style="thin">
        <color indexed="64"/>
      </bottom>
      <diagonal/>
    </border>
    <border>
      <left style="thin">
        <color rgb="FFFF0000"/>
      </left>
      <right/>
      <top/>
      <bottom/>
      <diagonal/>
    </border>
    <border>
      <left style="thin">
        <color rgb="FFFF0000"/>
      </left>
      <right/>
      <top/>
      <bottom style="thin">
        <color rgb="FFFF0000"/>
      </bottom>
      <diagonal/>
    </border>
    <border>
      <left/>
      <right/>
      <top/>
      <bottom style="thin">
        <color rgb="FFFF0000"/>
      </bottom>
      <diagonal/>
    </border>
    <border>
      <left style="thin">
        <color indexed="64"/>
      </left>
      <right style="thin">
        <color indexed="64"/>
      </right>
      <top style="thin">
        <color indexed="64"/>
      </top>
      <bottom style="thin">
        <color rgb="FFFF0000"/>
      </bottom>
      <diagonal/>
    </border>
    <border>
      <left/>
      <right style="thin">
        <color rgb="FFFF0000"/>
      </right>
      <top/>
      <bottom style="thin">
        <color rgb="FFFF0000"/>
      </bottom>
      <diagonal/>
    </border>
    <border>
      <left/>
      <right style="thin">
        <color indexed="64"/>
      </right>
      <top style="thin">
        <color rgb="FFFF0000"/>
      </top>
      <bottom style="thin">
        <color indexed="64"/>
      </bottom>
      <diagonal/>
    </border>
    <border>
      <left style="thin">
        <color indexed="23"/>
      </left>
      <right style="thin">
        <color indexed="23"/>
      </right>
      <top style="thin">
        <color indexed="23"/>
      </top>
      <bottom style="thin">
        <color indexed="23"/>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n">
        <color indexed="23"/>
      </left>
      <right/>
      <top style="thin">
        <color indexed="23"/>
      </top>
      <bottom/>
      <diagonal/>
    </border>
    <border>
      <left style="thin">
        <color indexed="22"/>
      </left>
      <right style="thin">
        <color indexed="23"/>
      </right>
      <top style="thin">
        <color indexed="23"/>
      </top>
      <bottom style="thin">
        <color indexed="22"/>
      </bottom>
      <diagonal/>
    </border>
    <border>
      <left/>
      <right/>
      <top style="thin">
        <color auto="1"/>
      </top>
      <bottom style="thin">
        <color theme="0" tint="-0.14996795556505021"/>
      </bottom>
      <diagonal/>
    </border>
    <border>
      <left/>
      <right style="thin">
        <color auto="1"/>
      </right>
      <top style="thin">
        <color auto="1"/>
      </top>
      <bottom style="thin">
        <color theme="0" tint="-0.14996795556505021"/>
      </bottom>
      <diagonal/>
    </border>
    <border>
      <left style="thin">
        <color auto="1"/>
      </left>
      <right/>
      <top style="thin">
        <color auto="1"/>
      </top>
      <bottom/>
      <diagonal/>
    </border>
    <border>
      <left/>
      <right style="medium">
        <color auto="1"/>
      </right>
      <top style="thin">
        <color auto="1"/>
      </top>
      <bottom/>
      <diagonal/>
    </border>
    <border>
      <left style="medium">
        <color auto="1"/>
      </left>
      <right style="thin">
        <color theme="0" tint="-0.34998626667073579"/>
      </right>
      <top style="thin">
        <color auto="1"/>
      </top>
      <bottom style="thin">
        <color theme="0" tint="-0.34998626667073579"/>
      </bottom>
      <diagonal/>
    </border>
    <border>
      <left style="thin">
        <color theme="0" tint="-0.34998626667073579"/>
      </left>
      <right style="thin">
        <color theme="0" tint="-0.34998626667073579"/>
      </right>
      <top style="thin">
        <color auto="1"/>
      </top>
      <bottom style="thin">
        <color theme="0" tint="-0.34998626667073579"/>
      </bottom>
      <diagonal/>
    </border>
    <border>
      <left style="thin">
        <color theme="0" tint="-0.34998626667073579"/>
      </left>
      <right/>
      <top style="thin">
        <color auto="1"/>
      </top>
      <bottom style="thin">
        <color theme="0" tint="-0.34998626667073579"/>
      </bottom>
      <diagonal/>
    </border>
    <border>
      <left/>
      <right style="thin">
        <color theme="0" tint="-0.34998626667073579"/>
      </right>
      <top style="thin">
        <color auto="1"/>
      </top>
      <bottom style="thin">
        <color theme="0" tint="-0.34998626667073579"/>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thin">
        <color auto="1"/>
      </top>
      <bottom style="thin">
        <color auto="1"/>
      </bottom>
      <diagonal/>
    </border>
    <border>
      <left style="thin">
        <color theme="0" tint="-0.34998626667073579"/>
      </left>
      <right style="thin">
        <color theme="0" tint="-0.34998626667073579"/>
      </right>
      <top style="thin">
        <color auto="1"/>
      </top>
      <bottom style="thin">
        <color auto="1"/>
      </bottom>
      <diagonal/>
    </border>
    <border>
      <left style="thin">
        <color theme="0" tint="-0.34998626667073579"/>
      </left>
      <right style="medium">
        <color indexed="64"/>
      </right>
      <top style="thin">
        <color auto="1"/>
      </top>
      <bottom style="thin">
        <color auto="1"/>
      </bottom>
      <diagonal/>
    </border>
    <border>
      <left/>
      <right/>
      <top style="thin">
        <color auto="1"/>
      </top>
      <bottom style="thin">
        <color theme="0" tint="-0.34998626667073579"/>
      </bottom>
      <diagonal/>
    </border>
    <border>
      <left/>
      <right style="medium">
        <color auto="1"/>
      </right>
      <top style="thin">
        <color auto="1"/>
      </top>
      <bottom style="thin">
        <color theme="0" tint="-0.34998626667073579"/>
      </bottom>
      <diagonal/>
    </border>
    <border>
      <left style="medium">
        <color auto="1"/>
      </left>
      <right style="thin">
        <color theme="0" tint="-0.34998626667073579"/>
      </right>
      <top style="thin">
        <color auto="1"/>
      </top>
      <bottom style="thin">
        <color auto="1"/>
      </bottom>
      <diagonal/>
    </border>
    <border>
      <left style="medium">
        <color auto="1"/>
      </left>
      <right/>
      <top style="thin">
        <color auto="1"/>
      </top>
      <bottom style="thin">
        <color theme="0" tint="-0.34998626667073579"/>
      </bottom>
      <diagonal/>
    </border>
    <border>
      <left style="thin">
        <color theme="0" tint="-0.34998626667073579"/>
      </left>
      <right/>
      <top style="thin">
        <color auto="1"/>
      </top>
      <bottom style="thin">
        <color auto="1"/>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s>
  <cellStyleXfs count="122">
    <xf numFmtId="0" fontId="0" fillId="0" borderId="0"/>
    <xf numFmtId="0" fontId="59" fillId="2" borderId="0" applyNumberFormat="0" applyBorder="0" applyAlignment="0" applyProtection="0"/>
    <xf numFmtId="0" fontId="59" fillId="3" borderId="0" applyNumberFormat="0" applyBorder="0" applyAlignment="0" applyProtection="0"/>
    <xf numFmtId="0" fontId="59" fillId="4" borderId="0" applyNumberFormat="0" applyBorder="0" applyAlignment="0" applyProtection="0"/>
    <xf numFmtId="0" fontId="59" fillId="5" borderId="0" applyNumberFormat="0" applyBorder="0" applyAlignment="0" applyProtection="0"/>
    <xf numFmtId="0" fontId="59" fillId="6" borderId="0" applyNumberFormat="0" applyBorder="0" applyAlignment="0" applyProtection="0"/>
    <xf numFmtId="0" fontId="59" fillId="7" borderId="0" applyNumberFormat="0" applyBorder="0" applyAlignment="0" applyProtection="0"/>
    <xf numFmtId="0" fontId="59" fillId="8" borderId="0" applyNumberFormat="0" applyBorder="0" applyAlignment="0" applyProtection="0"/>
    <xf numFmtId="0" fontId="59" fillId="9" borderId="0" applyNumberFormat="0" applyBorder="0" applyAlignment="0" applyProtection="0"/>
    <xf numFmtId="0" fontId="59" fillId="10" borderId="0" applyNumberFormat="0" applyBorder="0" applyAlignment="0" applyProtection="0"/>
    <xf numFmtId="0" fontId="59" fillId="5" borderId="0" applyNumberFormat="0" applyBorder="0" applyAlignment="0" applyProtection="0"/>
    <xf numFmtId="0" fontId="59" fillId="8" borderId="0" applyNumberFormat="0" applyBorder="0" applyAlignment="0" applyProtection="0"/>
    <xf numFmtId="0" fontId="59" fillId="11" borderId="0" applyNumberFormat="0" applyBorder="0" applyAlignment="0" applyProtection="0"/>
    <xf numFmtId="0" fontId="60" fillId="12" borderId="0" applyNumberFormat="0" applyBorder="0" applyAlignment="0" applyProtection="0"/>
    <xf numFmtId="0" fontId="60" fillId="9" borderId="0" applyNumberFormat="0" applyBorder="0" applyAlignment="0" applyProtection="0"/>
    <xf numFmtId="0" fontId="60" fillId="10" borderId="0" applyNumberFormat="0" applyBorder="0" applyAlignment="0" applyProtection="0"/>
    <xf numFmtId="0" fontId="60" fillId="13" borderId="0" applyNumberFormat="0" applyBorder="0" applyAlignment="0" applyProtection="0"/>
    <xf numFmtId="0" fontId="60" fillId="14" borderId="0" applyNumberFormat="0" applyBorder="0" applyAlignment="0" applyProtection="0"/>
    <xf numFmtId="0" fontId="60" fillId="15" borderId="0" applyNumberFormat="0" applyBorder="0" applyAlignment="0" applyProtection="0"/>
    <xf numFmtId="0" fontId="60" fillId="16" borderId="0" applyNumberFormat="0" applyBorder="0" applyAlignment="0" applyProtection="0"/>
    <xf numFmtId="0" fontId="60" fillId="17" borderId="0" applyNumberFormat="0" applyBorder="0" applyAlignment="0" applyProtection="0"/>
    <xf numFmtId="0" fontId="60" fillId="18" borderId="0" applyNumberFormat="0" applyBorder="0" applyAlignment="0" applyProtection="0"/>
    <xf numFmtId="0" fontId="60" fillId="13" borderId="0" applyNumberFormat="0" applyBorder="0" applyAlignment="0" applyProtection="0"/>
    <xf numFmtId="0" fontId="60" fillId="14" borderId="0" applyNumberFormat="0" applyBorder="0" applyAlignment="0" applyProtection="0"/>
    <xf numFmtId="0" fontId="60" fillId="19" borderId="0" applyNumberFormat="0" applyBorder="0" applyAlignment="0" applyProtection="0"/>
    <xf numFmtId="0" fontId="61" fillId="3" borderId="0" applyNumberFormat="0" applyBorder="0" applyAlignment="0" applyProtection="0"/>
    <xf numFmtId="0" fontId="62" fillId="20" borderId="1" applyNumberFormat="0" applyAlignment="0" applyProtection="0"/>
    <xf numFmtId="0" fontId="63" fillId="21" borderId="2" applyNumberFormat="0" applyAlignment="0" applyProtection="0"/>
    <xf numFmtId="166" fontId="10" fillId="0" borderId="0" applyFont="0" applyFill="0" applyBorder="0" applyAlignment="0" applyProtection="0"/>
    <xf numFmtId="43" fontId="64" fillId="0" borderId="0" applyFont="0" applyFill="0" applyBorder="0" applyAlignment="0" applyProtection="0"/>
    <xf numFmtId="43" fontId="110" fillId="0" borderId="0" applyFont="0" applyFill="0" applyBorder="0" applyAlignment="0" applyProtection="0"/>
    <xf numFmtId="166" fontId="94" fillId="0" borderId="0" applyFont="0" applyFill="0" applyBorder="0" applyAlignment="0" applyProtection="0"/>
    <xf numFmtId="166" fontId="104"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0" fontId="65" fillId="0" borderId="0" applyNumberFormat="0" applyFill="0" applyBorder="0" applyAlignment="0" applyProtection="0"/>
    <xf numFmtId="0" fontId="66" fillId="4" borderId="0" applyNumberFormat="0" applyBorder="0" applyAlignment="0" applyProtection="0"/>
    <xf numFmtId="0" fontId="67" fillId="0" borderId="3" applyNumberFormat="0" applyFill="0" applyAlignment="0" applyProtection="0"/>
    <xf numFmtId="0" fontId="68" fillId="0" borderId="4" applyNumberFormat="0" applyFill="0" applyAlignment="0" applyProtection="0"/>
    <xf numFmtId="0" fontId="69" fillId="0" borderId="5" applyNumberFormat="0" applyFill="0" applyAlignment="0" applyProtection="0"/>
    <xf numFmtId="0" fontId="69" fillId="0" borderId="0" applyNumberFormat="0" applyFill="0" applyBorder="0" applyAlignment="0" applyProtection="0"/>
    <xf numFmtId="0" fontId="70" fillId="7" borderId="1" applyNumberFormat="0" applyAlignment="0" applyProtection="0"/>
    <xf numFmtId="0" fontId="71" fillId="0" borderId="6" applyNumberFormat="0" applyFill="0" applyAlignment="0" applyProtection="0"/>
    <xf numFmtId="0" fontId="72" fillId="22" borderId="0" applyNumberFormat="0" applyBorder="0" applyAlignment="0" applyProtection="0"/>
    <xf numFmtId="37" fontId="45" fillId="0" borderId="0"/>
    <xf numFmtId="207" fontId="46" fillId="0" borderId="0"/>
    <xf numFmtId="0" fontId="64" fillId="0" borderId="0"/>
    <xf numFmtId="0" fontId="17" fillId="0" borderId="0"/>
    <xf numFmtId="0" fontId="110" fillId="0" borderId="0"/>
    <xf numFmtId="0" fontId="17" fillId="0" borderId="0"/>
    <xf numFmtId="0" fontId="111" fillId="0" borderId="0"/>
    <xf numFmtId="0" fontId="17" fillId="0" borderId="0"/>
    <xf numFmtId="0" fontId="10" fillId="0" borderId="0"/>
    <xf numFmtId="0" fontId="101" fillId="0" borderId="0"/>
    <xf numFmtId="0" fontId="17" fillId="0" borderId="0"/>
    <xf numFmtId="0" fontId="17" fillId="0" borderId="0"/>
    <xf numFmtId="0" fontId="19" fillId="0" borderId="0"/>
    <xf numFmtId="0" fontId="17" fillId="0" borderId="0"/>
    <xf numFmtId="0" fontId="17" fillId="0" borderId="0"/>
    <xf numFmtId="0" fontId="17" fillId="0" borderId="0"/>
    <xf numFmtId="0" fontId="17" fillId="0" borderId="0"/>
    <xf numFmtId="0" fontId="17" fillId="23" borderId="7" applyNumberFormat="0" applyFont="0" applyAlignment="0" applyProtection="0"/>
    <xf numFmtId="0" fontId="73" fillId="20" borderId="8" applyNumberFormat="0" applyAlignment="0" applyProtection="0"/>
    <xf numFmtId="9" fontId="10" fillId="0" borderId="0" applyFont="0" applyFill="0" applyBorder="0" applyAlignment="0" applyProtection="0"/>
    <xf numFmtId="9" fontId="64" fillId="0" borderId="0" applyFont="0" applyFill="0" applyBorder="0" applyAlignment="0" applyProtection="0"/>
    <xf numFmtId="9" fontId="17" fillId="0" borderId="0" applyNumberFormat="0" applyFill="0" applyBorder="0" applyAlignment="0" applyProtection="0"/>
    <xf numFmtId="9" fontId="94" fillId="0" borderId="0" applyFont="0" applyFill="0" applyBorder="0" applyAlignment="0" applyProtection="0"/>
    <xf numFmtId="9" fontId="107" fillId="0" borderId="0" applyFont="0" applyFill="0" applyBorder="0" applyAlignment="0" applyProtection="0"/>
    <xf numFmtId="0" fontId="74" fillId="0" borderId="0" applyNumberFormat="0" applyFill="0" applyBorder="0" applyAlignment="0" applyProtection="0"/>
    <xf numFmtId="0" fontId="75" fillId="0" borderId="9" applyNumberFormat="0" applyFill="0" applyAlignment="0" applyProtection="0"/>
    <xf numFmtId="0" fontId="76" fillId="0" borderId="0" applyNumberFormat="0" applyFill="0" applyBorder="0" applyAlignment="0" applyProtection="0"/>
    <xf numFmtId="0" fontId="48" fillId="0" borderId="0">
      <alignment vertical="center"/>
    </xf>
    <xf numFmtId="0" fontId="47" fillId="0" borderId="0"/>
    <xf numFmtId="165" fontId="47" fillId="0" borderId="0" applyFont="0" applyFill="0" applyBorder="0" applyAlignment="0" applyProtection="0"/>
    <xf numFmtId="164" fontId="47" fillId="0" borderId="0" applyFont="0" applyFill="0" applyBorder="0" applyAlignment="0" applyProtection="0"/>
    <xf numFmtId="9" fontId="10" fillId="0" borderId="0" applyFont="0" applyFill="0" applyBorder="0" applyAlignment="0" applyProtection="0"/>
    <xf numFmtId="0" fontId="17" fillId="0" borderId="0"/>
    <xf numFmtId="0" fontId="124" fillId="0" borderId="0"/>
    <xf numFmtId="9" fontId="17" fillId="0" borderId="0" applyFont="0" applyFill="0" applyBorder="0" applyAlignment="0" applyProtection="0"/>
    <xf numFmtId="9" fontId="10" fillId="0" borderId="0" applyFont="0" applyFill="0" applyBorder="0" applyAlignment="0" applyProtection="0"/>
    <xf numFmtId="0" fontId="17" fillId="0" borderId="0"/>
    <xf numFmtId="0" fontId="17" fillId="0" borderId="0"/>
    <xf numFmtId="43" fontId="17" fillId="0" borderId="0" applyFont="0" applyFill="0" applyBorder="0" applyAlignment="0" applyProtection="0"/>
    <xf numFmtId="0" fontId="151" fillId="0" borderId="0"/>
    <xf numFmtId="0" fontId="154" fillId="0" borderId="0"/>
    <xf numFmtId="0" fontId="17" fillId="0" borderId="0"/>
    <xf numFmtId="0" fontId="10" fillId="0" borderId="0"/>
    <xf numFmtId="0" fontId="169" fillId="0" borderId="0"/>
    <xf numFmtId="0" fontId="174" fillId="0" borderId="0" applyNumberFormat="0" applyFill="0" applyBorder="0" applyAlignment="0" applyProtection="0"/>
    <xf numFmtId="166" fontId="10" fillId="0" borderId="0" applyFont="0" applyFill="0" applyBorder="0" applyAlignment="0" applyProtection="0"/>
    <xf numFmtId="0" fontId="176" fillId="0" borderId="0"/>
    <xf numFmtId="0" fontId="10" fillId="0" borderId="0"/>
    <xf numFmtId="0" fontId="183" fillId="0" borderId="0" applyNumberFormat="0" applyFill="0" applyBorder="0" applyAlignment="0" applyProtection="0">
      <alignment vertical="top"/>
      <protection locked="0"/>
    </xf>
    <xf numFmtId="308" fontId="211" fillId="0" borderId="0" applyFont="0" applyFill="0" applyBorder="0" applyAlignment="0" applyProtection="0"/>
    <xf numFmtId="44" fontId="17" fillId="0" borderId="0" applyFont="0" applyFill="0" applyBorder="0" applyAlignment="0" applyProtection="0"/>
    <xf numFmtId="43" fontId="211" fillId="0" borderId="0" applyFont="0" applyFill="0" applyBorder="0" applyAlignment="0" applyProtection="0"/>
    <xf numFmtId="316" fontId="211" fillId="0" borderId="0"/>
    <xf numFmtId="44" fontId="17" fillId="0" borderId="0" applyFont="0" applyFill="0" applyBorder="0" applyAlignment="0" applyProtection="0"/>
    <xf numFmtId="0" fontId="8" fillId="0" borderId="0"/>
    <xf numFmtId="0" fontId="230" fillId="0" borderId="0"/>
    <xf numFmtId="43" fontId="230" fillId="0" borderId="0" applyFont="0" applyFill="0" applyBorder="0" applyAlignment="0" applyProtection="0"/>
    <xf numFmtId="0" fontId="256" fillId="0" borderId="0" applyNumberFormat="0" applyFill="0" applyBorder="0" applyAlignment="0" applyProtection="0"/>
    <xf numFmtId="0" fontId="257" fillId="0" borderId="0">
      <alignment vertical="center"/>
    </xf>
    <xf numFmtId="0" fontId="10" fillId="0" borderId="0" applyFont="0" applyFill="0" applyBorder="0" applyAlignment="0" applyProtection="0"/>
    <xf numFmtId="9" fontId="17" fillId="0" borderId="0" applyFill="0" applyBorder="0" applyAlignment="0" applyProtection="0"/>
    <xf numFmtId="0" fontId="257" fillId="0" borderId="0" applyFont="0" applyFill="0" applyBorder="0" applyAlignment="0" applyProtection="0">
      <alignment vertical="center"/>
    </xf>
    <xf numFmtId="0" fontId="17" fillId="0" borderId="0"/>
    <xf numFmtId="0" fontId="17" fillId="0" borderId="0"/>
    <xf numFmtId="0" fontId="10" fillId="0" borderId="0"/>
    <xf numFmtId="0" fontId="17" fillId="0" borderId="0"/>
    <xf numFmtId="0" fontId="7" fillId="0" borderId="0"/>
    <xf numFmtId="0" fontId="299" fillId="0" borderId="0" applyNumberFormat="0" applyFill="0" applyBorder="0" applyAlignment="0" applyProtection="0"/>
    <xf numFmtId="0" fontId="6" fillId="0" borderId="0"/>
    <xf numFmtId="0" fontId="6" fillId="0" borderId="0"/>
    <xf numFmtId="0" fontId="305" fillId="0" borderId="0"/>
    <xf numFmtId="43" fontId="6" fillId="0" borderId="0" applyFont="0" applyFill="0" applyBorder="0" applyAlignment="0" applyProtection="0"/>
    <xf numFmtId="44" fontId="6" fillId="0" borderId="0" applyFont="0" applyFill="0" applyBorder="0" applyAlignment="0" applyProtection="0"/>
    <xf numFmtId="0" fontId="305" fillId="0" borderId="0"/>
    <xf numFmtId="0" fontId="5" fillId="0" borderId="0"/>
    <xf numFmtId="9" fontId="3" fillId="0" borderId="0" applyFont="0" applyFill="0" applyBorder="0" applyAlignment="0" applyProtection="0"/>
    <xf numFmtId="0" fontId="2" fillId="0" borderId="0"/>
  </cellStyleXfs>
  <cellXfs count="4482">
    <xf numFmtId="0" fontId="0" fillId="0" borderId="0" xfId="0"/>
    <xf numFmtId="0" fontId="23" fillId="0" borderId="0" xfId="0" applyFont="1" applyAlignment="1">
      <alignment horizontal="right"/>
    </xf>
    <xf numFmtId="0" fontId="25" fillId="0" borderId="0" xfId="0" applyFont="1"/>
    <xf numFmtId="3" fontId="25" fillId="0" borderId="0" xfId="0" applyNumberFormat="1" applyFont="1"/>
    <xf numFmtId="0" fontId="25" fillId="0" borderId="0" xfId="0" applyFont="1" applyAlignment="1">
      <alignment horizontal="center"/>
    </xf>
    <xf numFmtId="0" fontId="26" fillId="0" borderId="0" xfId="0" applyFont="1"/>
    <xf numFmtId="0" fontId="25" fillId="0" borderId="0" xfId="0" applyFont="1" applyProtection="1">
      <protection locked="0"/>
    </xf>
    <xf numFmtId="0" fontId="26" fillId="0" borderId="0" xfId="0" applyFont="1" applyAlignment="1">
      <alignment horizontal="center"/>
    </xf>
    <xf numFmtId="4" fontId="26" fillId="0" borderId="0" xfId="0" applyNumberFormat="1" applyFont="1"/>
    <xf numFmtId="0" fontId="28" fillId="0" borderId="0" xfId="0" applyFont="1"/>
    <xf numFmtId="4" fontId="26" fillId="0" borderId="0" xfId="0" applyNumberFormat="1" applyFont="1" applyAlignment="1">
      <alignment horizontal="right"/>
    </xf>
    <xf numFmtId="1" fontId="26" fillId="0" borderId="0" xfId="0" applyNumberFormat="1" applyFont="1" applyAlignment="1">
      <alignment horizontal="center"/>
    </xf>
    <xf numFmtId="167" fontId="26" fillId="0" borderId="0" xfId="0" applyNumberFormat="1" applyFont="1" applyAlignment="1">
      <alignment horizontal="center"/>
    </xf>
    <xf numFmtId="2" fontId="26" fillId="0" borderId="0" xfId="0" applyNumberFormat="1" applyFont="1" applyAlignment="1">
      <alignment horizontal="center"/>
    </xf>
    <xf numFmtId="0" fontId="33" fillId="0" borderId="0" xfId="0" applyFont="1"/>
    <xf numFmtId="0" fontId="33" fillId="0" borderId="0" xfId="0" applyFont="1" applyAlignment="1">
      <alignment horizontal="right"/>
    </xf>
    <xf numFmtId="0" fontId="25" fillId="0" borderId="7" xfId="0" applyFont="1" applyBorder="1" applyAlignment="1">
      <alignment horizontal="center"/>
    </xf>
    <xf numFmtId="0" fontId="34" fillId="0" borderId="0" xfId="0" applyFont="1" applyAlignment="1">
      <alignment horizontal="left"/>
    </xf>
    <xf numFmtId="170" fontId="23" fillId="0" borderId="0" xfId="0" applyNumberFormat="1" applyFont="1"/>
    <xf numFmtId="0" fontId="27" fillId="0" borderId="0" xfId="0" applyFont="1"/>
    <xf numFmtId="0" fontId="35" fillId="0" borderId="0" xfId="0" applyFont="1"/>
    <xf numFmtId="2" fontId="35" fillId="0" borderId="0" xfId="0" applyNumberFormat="1" applyFont="1" applyAlignment="1">
      <alignment horizontal="center"/>
    </xf>
    <xf numFmtId="0" fontId="25" fillId="0" borderId="57" xfId="0" applyFont="1" applyBorder="1" applyAlignment="1">
      <alignment horizontal="center"/>
    </xf>
    <xf numFmtId="0" fontId="40" fillId="0" borderId="0" xfId="0" applyFont="1"/>
    <xf numFmtId="171" fontId="26" fillId="0" borderId="0" xfId="0" applyNumberFormat="1" applyFont="1" applyAlignment="1">
      <alignment horizontal="center"/>
    </xf>
    <xf numFmtId="168" fontId="28" fillId="0" borderId="0" xfId="28" applyNumberFormat="1" applyFont="1" applyFill="1"/>
    <xf numFmtId="206" fontId="26" fillId="0" borderId="0" xfId="0" applyNumberFormat="1" applyFont="1" applyAlignment="1">
      <alignment horizontal="right"/>
    </xf>
    <xf numFmtId="1" fontId="23" fillId="0" borderId="0" xfId="0" applyNumberFormat="1" applyFont="1"/>
    <xf numFmtId="0" fontId="17" fillId="0" borderId="0" xfId="58"/>
    <xf numFmtId="0" fontId="49" fillId="0" borderId="0" xfId="58" applyFont="1"/>
    <xf numFmtId="0" fontId="50" fillId="0" borderId="0" xfId="58" applyFont="1"/>
    <xf numFmtId="0" fontId="51" fillId="0" borderId="0" xfId="58" applyFont="1"/>
    <xf numFmtId="0" fontId="37" fillId="0" borderId="0" xfId="58" applyFont="1"/>
    <xf numFmtId="0" fontId="37" fillId="0" borderId="0" xfId="58" applyFont="1" applyAlignment="1">
      <alignment horizontal="right"/>
    </xf>
    <xf numFmtId="0" fontId="53" fillId="0" borderId="0" xfId="58" applyFont="1"/>
    <xf numFmtId="0" fontId="54" fillId="0" borderId="0" xfId="58" applyFont="1"/>
    <xf numFmtId="0" fontId="55" fillId="0" borderId="0" xfId="58" applyFont="1"/>
    <xf numFmtId="0" fontId="56" fillId="0" borderId="0" xfId="58" applyFont="1"/>
    <xf numFmtId="0" fontId="77" fillId="0" borderId="0" xfId="47" applyFont="1" applyAlignment="1">
      <alignment vertical="center"/>
    </xf>
    <xf numFmtId="0" fontId="21" fillId="0" borderId="0" xfId="60" applyFont="1"/>
    <xf numFmtId="0" fontId="81" fillId="0" borderId="0" xfId="60" applyFont="1" applyAlignment="1">
      <alignment vertical="center"/>
    </xf>
    <xf numFmtId="0" fontId="81" fillId="0" borderId="7" xfId="60" applyFont="1" applyBorder="1" applyAlignment="1">
      <alignment vertical="center"/>
    </xf>
    <xf numFmtId="4" fontId="81" fillId="0" borderId="57" xfId="60" applyNumberFormat="1" applyFont="1" applyBorder="1" applyAlignment="1">
      <alignment horizontal="center" vertical="center"/>
    </xf>
    <xf numFmtId="178" fontId="81" fillId="0" borderId="57" xfId="60" applyNumberFormat="1" applyFont="1" applyBorder="1" applyAlignment="1">
      <alignment vertical="center"/>
    </xf>
    <xf numFmtId="178" fontId="82" fillId="0" borderId="68" xfId="60" applyNumberFormat="1" applyFont="1" applyBorder="1" applyAlignment="1">
      <alignment vertical="center"/>
    </xf>
    <xf numFmtId="0" fontId="81" fillId="24" borderId="81" xfId="60" applyFont="1" applyFill="1" applyBorder="1" applyAlignment="1">
      <alignment vertical="center"/>
    </xf>
    <xf numFmtId="0" fontId="81" fillId="26" borderId="7" xfId="60" applyFont="1" applyFill="1" applyBorder="1" applyAlignment="1">
      <alignment horizontal="left" vertical="center"/>
    </xf>
    <xf numFmtId="0" fontId="81" fillId="32" borderId="68" xfId="60" applyFont="1" applyFill="1" applyBorder="1" applyAlignment="1">
      <alignment horizontal="center" vertical="center"/>
    </xf>
    <xf numFmtId="178" fontId="82" fillId="0" borderId="7" xfId="60" applyNumberFormat="1" applyFont="1" applyBorder="1" applyAlignment="1">
      <alignment horizontal="center" vertical="center"/>
    </xf>
    <xf numFmtId="9" fontId="81" fillId="0" borderId="57" xfId="64" applyFont="1" applyBorder="1" applyAlignment="1">
      <alignment horizontal="center" vertical="center"/>
    </xf>
    <xf numFmtId="198" fontId="81" fillId="26" borderId="57" xfId="60" applyNumberFormat="1" applyFont="1" applyFill="1" applyBorder="1" applyAlignment="1">
      <alignment vertical="center"/>
    </xf>
    <xf numFmtId="178" fontId="81" fillId="32" borderId="57" xfId="60" applyNumberFormat="1" applyFont="1" applyFill="1" applyBorder="1" applyAlignment="1">
      <alignment horizontal="center" vertical="center"/>
    </xf>
    <xf numFmtId="0" fontId="81" fillId="30" borderId="57" xfId="60" applyFont="1" applyFill="1" applyBorder="1" applyAlignment="1">
      <alignment vertical="center"/>
    </xf>
    <xf numFmtId="4" fontId="81" fillId="30" borderId="57" xfId="60" applyNumberFormat="1" applyFont="1" applyFill="1" applyBorder="1" applyAlignment="1">
      <alignment vertical="center"/>
    </xf>
    <xf numFmtId="3" fontId="81" fillId="31" borderId="57" xfId="60" applyNumberFormat="1" applyFont="1" applyFill="1" applyBorder="1" applyAlignment="1">
      <alignment vertical="center"/>
    </xf>
    <xf numFmtId="3" fontId="81" fillId="29" borderId="57" xfId="60" applyNumberFormat="1" applyFont="1" applyFill="1" applyBorder="1" applyAlignment="1">
      <alignment vertical="center"/>
    </xf>
    <xf numFmtId="0" fontId="81" fillId="30" borderId="7" xfId="60" applyFont="1" applyFill="1" applyBorder="1" applyAlignment="1">
      <alignment vertical="center"/>
    </xf>
    <xf numFmtId="3" fontId="81" fillId="31" borderId="7" xfId="60" applyNumberFormat="1" applyFont="1" applyFill="1" applyBorder="1" applyAlignment="1">
      <alignment vertical="center"/>
    </xf>
    <xf numFmtId="3" fontId="81" fillId="29" borderId="7" xfId="60" applyNumberFormat="1" applyFont="1" applyFill="1" applyBorder="1" applyAlignment="1">
      <alignment vertical="center"/>
    </xf>
    <xf numFmtId="0" fontId="83" fillId="0" borderId="0" xfId="47" applyFont="1" applyAlignment="1">
      <alignment horizontal="center" vertical="center"/>
    </xf>
    <xf numFmtId="2" fontId="77" fillId="0" borderId="0" xfId="47" applyNumberFormat="1" applyFont="1" applyAlignment="1">
      <alignment vertical="center"/>
    </xf>
    <xf numFmtId="0" fontId="83" fillId="0" borderId="0" xfId="47" applyFont="1" applyAlignment="1">
      <alignment horizontal="left" vertical="center" indent="1"/>
    </xf>
    <xf numFmtId="177" fontId="83" fillId="0" borderId="0" xfId="47" applyNumberFormat="1" applyFont="1" applyAlignment="1">
      <alignment horizontal="left" vertical="center" indent="1"/>
    </xf>
    <xf numFmtId="0" fontId="83" fillId="0" borderId="0" xfId="47" applyFont="1" applyAlignment="1">
      <alignment horizontal="left" vertical="center" wrapText="1" indent="1"/>
    </xf>
    <xf numFmtId="177" fontId="77" fillId="0" borderId="0" xfId="29" applyNumberFormat="1" applyFont="1" applyAlignment="1">
      <alignment vertical="center"/>
    </xf>
    <xf numFmtId="167" fontId="77" fillId="0" borderId="0" xfId="47" applyNumberFormat="1" applyFont="1" applyAlignment="1">
      <alignment vertical="center"/>
    </xf>
    <xf numFmtId="3" fontId="81" fillId="0" borderId="57" xfId="60" applyNumberFormat="1" applyFont="1" applyBorder="1" applyAlignment="1">
      <alignment horizontal="center" vertical="center"/>
    </xf>
    <xf numFmtId="3" fontId="84" fillId="0" borderId="7" xfId="0" applyNumberFormat="1" applyFont="1" applyBorder="1" applyAlignment="1">
      <alignment horizontal="center" vertical="center"/>
    </xf>
    <xf numFmtId="0" fontId="78" fillId="0" borderId="0" xfId="47" applyFont="1" applyAlignment="1">
      <alignment horizontal="center" vertical="center"/>
    </xf>
    <xf numFmtId="3" fontId="85" fillId="24" borderId="7" xfId="60" applyNumberFormat="1" applyFont="1" applyFill="1" applyBorder="1" applyAlignment="1">
      <alignment horizontal="center" vertical="center"/>
    </xf>
    <xf numFmtId="0" fontId="21" fillId="0" borderId="0" xfId="60" applyFont="1" applyAlignment="1">
      <alignment horizontal="right"/>
    </xf>
    <xf numFmtId="167" fontId="21" fillId="0" borderId="0" xfId="60" applyNumberFormat="1" applyFont="1"/>
    <xf numFmtId="174" fontId="21" fillId="0" borderId="0" xfId="64" applyNumberFormat="1" applyFont="1" applyBorder="1"/>
    <xf numFmtId="3" fontId="21" fillId="0" borderId="0" xfId="60" applyNumberFormat="1" applyFont="1"/>
    <xf numFmtId="205" fontId="81" fillId="0" borderId="58" xfId="60" applyNumberFormat="1" applyFont="1" applyBorder="1" applyAlignment="1">
      <alignment vertical="top"/>
    </xf>
    <xf numFmtId="205" fontId="81" fillId="0" borderId="61" xfId="60" applyNumberFormat="1" applyFont="1" applyBorder="1" applyAlignment="1">
      <alignment vertical="top"/>
    </xf>
    <xf numFmtId="205" fontId="81" fillId="0" borderId="57" xfId="60" applyNumberFormat="1" applyFont="1" applyBorder="1" applyAlignment="1">
      <alignment vertical="top"/>
    </xf>
    <xf numFmtId="178" fontId="83" fillId="0" borderId="58" xfId="60" applyNumberFormat="1" applyFont="1" applyBorder="1" applyAlignment="1">
      <alignment vertical="top"/>
    </xf>
    <xf numFmtId="9" fontId="83" fillId="0" borderId="58" xfId="64" applyFont="1" applyFill="1" applyBorder="1" applyAlignment="1">
      <alignment horizontal="center" vertical="top"/>
    </xf>
    <xf numFmtId="178" fontId="83" fillId="0" borderId="61" xfId="60" applyNumberFormat="1" applyFont="1" applyBorder="1" applyAlignment="1">
      <alignment vertical="top"/>
    </xf>
    <xf numFmtId="9" fontId="83" fillId="0" borderId="61" xfId="64" applyFont="1" applyFill="1" applyBorder="1" applyAlignment="1">
      <alignment horizontal="center" vertical="top"/>
    </xf>
    <xf numFmtId="178" fontId="83" fillId="0" borderId="57" xfId="60" applyNumberFormat="1" applyFont="1" applyBorder="1" applyAlignment="1">
      <alignment vertical="top"/>
    </xf>
    <xf numFmtId="9" fontId="83" fillId="0" borderId="57" xfId="64" applyFont="1" applyFill="1" applyBorder="1" applyAlignment="1">
      <alignment horizontal="center" vertical="top"/>
    </xf>
    <xf numFmtId="178" fontId="81" fillId="0" borderId="7" xfId="60" applyNumberFormat="1" applyFont="1" applyBorder="1" applyAlignment="1">
      <alignment horizontal="right" vertical="center"/>
    </xf>
    <xf numFmtId="2" fontId="81" fillId="0" borderId="68" xfId="60" applyNumberFormat="1" applyFont="1" applyBorder="1" applyAlignment="1">
      <alignment horizontal="center" vertical="center"/>
    </xf>
    <xf numFmtId="0" fontId="86" fillId="0" borderId="0" xfId="60" applyFont="1" applyAlignment="1">
      <alignment vertical="center"/>
    </xf>
    <xf numFmtId="0" fontId="87" fillId="24" borderId="82" xfId="60" applyFont="1" applyFill="1" applyBorder="1" applyAlignment="1">
      <alignment horizontal="center" vertical="center" wrapText="1"/>
    </xf>
    <xf numFmtId="0" fontId="86" fillId="0" borderId="7" xfId="60" applyFont="1" applyBorder="1" applyAlignment="1">
      <alignment vertical="center"/>
    </xf>
    <xf numFmtId="0" fontId="86" fillId="0" borderId="0" xfId="60" applyFont="1" applyAlignment="1">
      <alignment horizontal="center" vertical="center"/>
    </xf>
    <xf numFmtId="0" fontId="86" fillId="0" borderId="83" xfId="60" applyFont="1" applyBorder="1" applyAlignment="1">
      <alignment vertical="center"/>
    </xf>
    <xf numFmtId="178" fontId="87" fillId="24" borderId="84" xfId="60" applyNumberFormat="1" applyFont="1" applyFill="1" applyBorder="1" applyAlignment="1">
      <alignment horizontal="center" vertical="center"/>
    </xf>
    <xf numFmtId="178" fontId="87" fillId="24" borderId="82" xfId="60" applyNumberFormat="1" applyFont="1" applyFill="1" applyBorder="1" applyAlignment="1">
      <alignment horizontal="center" vertical="center"/>
    </xf>
    <xf numFmtId="0" fontId="87" fillId="24" borderId="84" xfId="60" applyFont="1" applyFill="1" applyBorder="1" applyAlignment="1">
      <alignment horizontal="center" vertical="center"/>
    </xf>
    <xf numFmtId="3" fontId="87" fillId="24" borderId="84" xfId="60" applyNumberFormat="1" applyFont="1" applyFill="1" applyBorder="1" applyAlignment="1">
      <alignment horizontal="center" vertical="center"/>
    </xf>
    <xf numFmtId="178" fontId="87" fillId="24" borderId="85" xfId="60" applyNumberFormat="1" applyFont="1" applyFill="1" applyBorder="1" applyAlignment="1">
      <alignment horizontal="center" vertical="center"/>
    </xf>
    <xf numFmtId="178" fontId="87" fillId="24" borderId="86" xfId="60" applyNumberFormat="1" applyFont="1" applyFill="1" applyBorder="1" applyAlignment="1">
      <alignment horizontal="center" vertical="center"/>
    </xf>
    <xf numFmtId="178" fontId="88" fillId="24" borderId="82" xfId="60" applyNumberFormat="1" applyFont="1" applyFill="1" applyBorder="1" applyAlignment="1">
      <alignment horizontal="center" vertical="center"/>
    </xf>
    <xf numFmtId="178" fontId="87" fillId="24" borderId="87" xfId="60" applyNumberFormat="1" applyFont="1" applyFill="1" applyBorder="1" applyAlignment="1">
      <alignment horizontal="center" vertical="center"/>
    </xf>
    <xf numFmtId="2" fontId="89" fillId="24" borderId="88" xfId="60" applyNumberFormat="1" applyFont="1" applyFill="1" applyBorder="1" applyAlignment="1">
      <alignment horizontal="center" vertical="center"/>
    </xf>
    <xf numFmtId="0" fontId="87" fillId="24" borderId="87" xfId="60" applyFont="1" applyFill="1" applyBorder="1" applyAlignment="1">
      <alignment horizontal="center" vertical="center"/>
    </xf>
    <xf numFmtId="3" fontId="87" fillId="24" borderId="87" xfId="60" applyNumberFormat="1" applyFont="1" applyFill="1" applyBorder="1" applyAlignment="1">
      <alignment horizontal="center" vertical="center"/>
    </xf>
    <xf numFmtId="178" fontId="87" fillId="24" borderId="89" xfId="60" applyNumberFormat="1" applyFont="1" applyFill="1" applyBorder="1" applyAlignment="1">
      <alignment horizontal="center" vertical="center"/>
    </xf>
    <xf numFmtId="178" fontId="87" fillId="24" borderId="90" xfId="60" applyNumberFormat="1" applyFont="1" applyFill="1" applyBorder="1" applyAlignment="1">
      <alignment horizontal="center" vertical="center"/>
    </xf>
    <xf numFmtId="178" fontId="87" fillId="24" borderId="91" xfId="60" applyNumberFormat="1" applyFont="1" applyFill="1" applyBorder="1" applyAlignment="1">
      <alignment horizontal="center" vertical="center"/>
    </xf>
    <xf numFmtId="3" fontId="88" fillId="24" borderId="82" xfId="60" applyNumberFormat="1" applyFont="1" applyFill="1" applyBorder="1" applyAlignment="1">
      <alignment horizontal="center" vertical="center"/>
    </xf>
    <xf numFmtId="178" fontId="81" fillId="0" borderId="7" xfId="60" applyNumberFormat="1" applyFont="1" applyBorder="1" applyAlignment="1">
      <alignment horizontal="center" vertical="center"/>
    </xf>
    <xf numFmtId="3" fontId="81" fillId="0" borderId="7" xfId="60" applyNumberFormat="1" applyFont="1" applyBorder="1" applyAlignment="1">
      <alignment horizontal="center" vertical="center"/>
    </xf>
    <xf numFmtId="178" fontId="81" fillId="30" borderId="7" xfId="60" applyNumberFormat="1" applyFont="1" applyFill="1" applyBorder="1" applyAlignment="1">
      <alignment horizontal="right" vertical="center"/>
    </xf>
    <xf numFmtId="178" fontId="81" fillId="41" borderId="71" xfId="60" applyNumberFormat="1" applyFont="1" applyFill="1" applyBorder="1" applyAlignment="1">
      <alignment horizontal="center" vertical="center"/>
    </xf>
    <xf numFmtId="0" fontId="81" fillId="30" borderId="7" xfId="60" applyFont="1" applyFill="1" applyBorder="1" applyAlignment="1">
      <alignment horizontal="center" vertical="center"/>
    </xf>
    <xf numFmtId="0" fontId="81" fillId="42" borderId="68" xfId="60" applyFont="1" applyFill="1" applyBorder="1" applyAlignment="1">
      <alignment horizontal="center" vertical="center"/>
    </xf>
    <xf numFmtId="198" fontId="81" fillId="43" borderId="7" xfId="60" applyNumberFormat="1" applyFont="1" applyFill="1" applyBorder="1" applyAlignment="1">
      <alignment horizontal="center" vertical="center"/>
    </xf>
    <xf numFmtId="0" fontId="81" fillId="43" borderId="7" xfId="60" applyFont="1" applyFill="1" applyBorder="1" applyAlignment="1">
      <alignment horizontal="left" vertical="center"/>
    </xf>
    <xf numFmtId="178" fontId="81" fillId="30" borderId="57" xfId="60" applyNumberFormat="1" applyFont="1" applyFill="1" applyBorder="1" applyAlignment="1">
      <alignment horizontal="right" vertical="center"/>
    </xf>
    <xf numFmtId="0" fontId="81" fillId="0" borderId="7" xfId="60" applyFont="1" applyBorder="1" applyAlignment="1">
      <alignment horizontal="left" vertical="center"/>
    </xf>
    <xf numFmtId="0" fontId="84" fillId="0" borderId="57" xfId="0" applyFont="1" applyBorder="1" applyAlignment="1">
      <alignment horizontal="center" vertical="center"/>
    </xf>
    <xf numFmtId="0" fontId="84" fillId="0" borderId="7" xfId="0" applyFont="1" applyBorder="1" applyAlignment="1">
      <alignment horizontal="center" vertical="center"/>
    </xf>
    <xf numFmtId="3" fontId="81" fillId="0" borderId="58" xfId="60" applyNumberFormat="1" applyFont="1" applyBorder="1" applyAlignment="1">
      <alignment horizontal="left" vertical="center"/>
    </xf>
    <xf numFmtId="3" fontId="81" fillId="0" borderId="61" xfId="60" applyNumberFormat="1" applyFont="1" applyBorder="1" applyAlignment="1">
      <alignment horizontal="left" vertical="center"/>
    </xf>
    <xf numFmtId="3" fontId="81" fillId="0" borderId="57" xfId="60" applyNumberFormat="1" applyFont="1" applyBorder="1" applyAlignment="1">
      <alignment horizontal="left" vertical="center"/>
    </xf>
    <xf numFmtId="3" fontId="84" fillId="0" borderId="57" xfId="0" applyNumberFormat="1" applyFont="1" applyBorder="1" applyAlignment="1">
      <alignment horizontal="center" vertical="center"/>
    </xf>
    <xf numFmtId="0" fontId="91" fillId="0" borderId="0" xfId="0" applyFont="1"/>
    <xf numFmtId="0" fontId="49" fillId="40" borderId="92" xfId="0" applyFont="1" applyFill="1" applyBorder="1" applyAlignment="1">
      <alignment horizontal="center" vertical="center"/>
    </xf>
    <xf numFmtId="0" fontId="49" fillId="40" borderId="72" xfId="0" applyFont="1" applyFill="1" applyBorder="1" applyAlignment="1">
      <alignment horizontal="center" vertical="center"/>
    </xf>
    <xf numFmtId="0" fontId="49" fillId="40" borderId="93" xfId="0" applyFont="1" applyFill="1" applyBorder="1" applyAlignment="1">
      <alignment horizontal="center" vertical="center"/>
    </xf>
    <xf numFmtId="49" fontId="49" fillId="0" borderId="53" xfId="0" applyNumberFormat="1" applyFont="1" applyBorder="1" applyAlignment="1">
      <alignment horizontal="center" vertical="center"/>
    </xf>
    <xf numFmtId="49" fontId="49" fillId="0" borderId="22" xfId="0" applyNumberFormat="1" applyFont="1" applyBorder="1" applyAlignment="1">
      <alignment horizontal="center" vertical="center"/>
    </xf>
    <xf numFmtId="49" fontId="49" fillId="0" borderId="94" xfId="0" applyNumberFormat="1" applyFont="1" applyBorder="1" applyAlignment="1">
      <alignment horizontal="center" vertical="center"/>
    </xf>
    <xf numFmtId="0" fontId="49" fillId="0" borderId="53" xfId="0" applyFont="1" applyBorder="1" applyAlignment="1">
      <alignment horizontal="center" vertical="center"/>
    </xf>
    <xf numFmtId="0" fontId="49" fillId="0" borderId="95" xfId="0" applyFont="1" applyBorder="1" applyAlignment="1">
      <alignment horizontal="center" vertical="center"/>
    </xf>
    <xf numFmtId="0" fontId="49" fillId="25" borderId="96" xfId="0" applyFont="1" applyFill="1" applyBorder="1" applyAlignment="1">
      <alignment horizontal="center" vertical="center"/>
    </xf>
    <xf numFmtId="0" fontId="49" fillId="26" borderId="96" xfId="0" applyFont="1" applyFill="1" applyBorder="1" applyAlignment="1">
      <alignment horizontal="center" vertical="center"/>
    </xf>
    <xf numFmtId="0" fontId="49" fillId="30" borderId="54" xfId="0" applyFont="1" applyFill="1" applyBorder="1" applyAlignment="1">
      <alignment horizontal="center" vertical="center"/>
    </xf>
    <xf numFmtId="0" fontId="49" fillId="0" borderId="97" xfId="0" applyFont="1" applyBorder="1" applyAlignment="1">
      <alignment horizontal="center" vertical="center"/>
    </xf>
    <xf numFmtId="0" fontId="49" fillId="29" borderId="98" xfId="0" applyFont="1" applyFill="1" applyBorder="1" applyAlignment="1">
      <alignment horizontal="center" vertical="center"/>
    </xf>
    <xf numFmtId="0" fontId="49" fillId="34" borderId="92" xfId="0" applyFont="1" applyFill="1" applyBorder="1" applyAlignment="1">
      <alignment horizontal="center" vertical="center"/>
    </xf>
    <xf numFmtId="0" fontId="17" fillId="0" borderId="0" xfId="0" applyFont="1"/>
    <xf numFmtId="0" fontId="17" fillId="0" borderId="0" xfId="48"/>
    <xf numFmtId="0" fontId="17" fillId="45" borderId="18" xfId="48" applyFill="1" applyBorder="1" applyAlignment="1">
      <alignment horizontal="center"/>
    </xf>
    <xf numFmtId="177" fontId="0" fillId="0" borderId="18" xfId="33" applyNumberFormat="1" applyFont="1" applyBorder="1"/>
    <xf numFmtId="0" fontId="17" fillId="0" borderId="18" xfId="48" applyBorder="1"/>
    <xf numFmtId="0" fontId="17" fillId="44" borderId="18" xfId="48" applyFill="1" applyBorder="1"/>
    <xf numFmtId="172" fontId="81" fillId="0" borderId="7" xfId="60" applyNumberFormat="1" applyFont="1" applyBorder="1" applyAlignment="1">
      <alignment horizontal="center" vertical="center"/>
    </xf>
    <xf numFmtId="0" fontId="109" fillId="29" borderId="0" xfId="0" applyFont="1" applyFill="1"/>
    <xf numFmtId="0" fontId="108" fillId="29" borderId="0" xfId="0" applyFont="1" applyFill="1"/>
    <xf numFmtId="224" fontId="49" fillId="29" borderId="105" xfId="0" applyNumberFormat="1" applyFont="1" applyFill="1" applyBorder="1" applyAlignment="1">
      <alignment horizontal="center" vertical="center" wrapText="1"/>
    </xf>
    <xf numFmtId="0" fontId="49" fillId="0" borderId="0" xfId="0" applyFont="1" applyAlignment="1">
      <alignment horizontal="center" vertical="center"/>
    </xf>
    <xf numFmtId="0" fontId="92" fillId="0" borderId="0" xfId="0" applyFont="1" applyAlignment="1">
      <alignment horizontal="center" vertical="center"/>
    </xf>
    <xf numFmtId="0" fontId="0" fillId="0" borderId="0" xfId="0" applyAlignment="1">
      <alignment horizontal="center" vertical="center"/>
    </xf>
    <xf numFmtId="3" fontId="49" fillId="0" borderId="0" xfId="0" applyNumberFormat="1" applyFont="1" applyAlignment="1">
      <alignment horizontal="center" vertical="center"/>
    </xf>
    <xf numFmtId="204" fontId="49" fillId="0" borderId="0" xfId="0" applyNumberFormat="1" applyFont="1" applyAlignment="1">
      <alignment horizontal="center" vertical="center"/>
    </xf>
    <xf numFmtId="0" fontId="93" fillId="0" borderId="0" xfId="0" applyFont="1" applyAlignment="1">
      <alignment horizontal="center" vertical="center"/>
    </xf>
    <xf numFmtId="179" fontId="24" fillId="0" borderId="0" xfId="0" applyNumberFormat="1" applyFont="1" applyAlignment="1">
      <alignment horizontal="center" vertical="center"/>
    </xf>
    <xf numFmtId="0" fontId="0" fillId="0" borderId="25" xfId="0" applyBorder="1" applyAlignment="1">
      <alignment horizontal="center" vertical="center"/>
    </xf>
    <xf numFmtId="0" fontId="49" fillId="0" borderId="106" xfId="0" applyFont="1" applyBorder="1" applyAlignment="1">
      <alignment horizontal="center" vertical="center"/>
    </xf>
    <xf numFmtId="211" fontId="49" fillId="0" borderId="105" xfId="0" applyNumberFormat="1" applyFont="1" applyBorder="1" applyAlignment="1">
      <alignment horizontal="center" vertical="center" wrapText="1"/>
    </xf>
    <xf numFmtId="0" fontId="49" fillId="0" borderId="107" xfId="0" applyFont="1" applyBorder="1" applyAlignment="1">
      <alignment horizontal="center" vertical="center" wrapText="1"/>
    </xf>
    <xf numFmtId="0" fontId="49" fillId="0" borderId="22" xfId="0" applyFont="1" applyBorder="1" applyAlignment="1">
      <alignment horizontal="center" vertical="center"/>
    </xf>
    <xf numFmtId="0" fontId="17" fillId="29" borderId="98" xfId="0" applyFont="1" applyFill="1" applyBorder="1" applyAlignment="1">
      <alignment horizontal="center" vertical="center"/>
    </xf>
    <xf numFmtId="211" fontId="49" fillId="29" borderId="96" xfId="0" applyNumberFormat="1" applyFont="1" applyFill="1" applyBorder="1" applyAlignment="1">
      <alignment horizontal="center" vertical="center" wrapText="1"/>
    </xf>
    <xf numFmtId="212" fontId="49" fillId="29" borderId="96" xfId="0" applyNumberFormat="1" applyFont="1" applyFill="1" applyBorder="1" applyAlignment="1">
      <alignment horizontal="center" vertical="center" wrapText="1"/>
    </xf>
    <xf numFmtId="0" fontId="49" fillId="0" borderId="108" xfId="0" applyFont="1" applyBorder="1" applyAlignment="1">
      <alignment horizontal="center" vertical="center"/>
    </xf>
    <xf numFmtId="0" fontId="17" fillId="29" borderId="95" xfId="0" applyFont="1" applyFill="1" applyBorder="1" applyAlignment="1">
      <alignment horizontal="center" vertical="center"/>
    </xf>
    <xf numFmtId="213" fontId="49" fillId="29" borderId="96" xfId="0" applyNumberFormat="1" applyFont="1" applyFill="1" applyBorder="1" applyAlignment="1">
      <alignment horizontal="center" vertical="center" wrapText="1"/>
    </xf>
    <xf numFmtId="0" fontId="49" fillId="25" borderId="109" xfId="0" applyFont="1" applyFill="1" applyBorder="1" applyAlignment="1">
      <alignment horizontal="center" vertical="center"/>
    </xf>
    <xf numFmtId="9" fontId="49" fillId="25" borderId="110" xfId="0" applyNumberFormat="1" applyFont="1" applyFill="1" applyBorder="1" applyAlignment="1" applyProtection="1">
      <alignment horizontal="center" vertical="center" wrapText="1"/>
      <protection locked="0"/>
    </xf>
    <xf numFmtId="0" fontId="49" fillId="26" borderId="109" xfId="0" applyFont="1" applyFill="1" applyBorder="1" applyAlignment="1">
      <alignment horizontal="center" vertical="center"/>
    </xf>
    <xf numFmtId="174" fontId="49" fillId="26" borderId="110" xfId="67" applyNumberFormat="1" applyFont="1" applyFill="1" applyBorder="1" applyAlignment="1">
      <alignment horizontal="center" vertical="center" wrapText="1"/>
    </xf>
    <xf numFmtId="0" fontId="95" fillId="29" borderId="95" xfId="0" applyFont="1" applyFill="1" applyBorder="1" applyAlignment="1">
      <alignment horizontal="center" vertical="center"/>
    </xf>
    <xf numFmtId="0" fontId="49" fillId="30" borderId="24" xfId="0" applyFont="1" applyFill="1" applyBorder="1" applyAlignment="1">
      <alignment horizontal="center" vertical="center"/>
    </xf>
    <xf numFmtId="0" fontId="17" fillId="0" borderId="96" xfId="0" applyFont="1" applyBorder="1" applyAlignment="1">
      <alignment horizontal="center" vertical="center"/>
    </xf>
    <xf numFmtId="0" fontId="17" fillId="29" borderId="112" xfId="0" applyFont="1" applyFill="1" applyBorder="1" applyAlignment="1">
      <alignment horizontal="center" vertical="center"/>
    </xf>
    <xf numFmtId="213" fontId="49" fillId="29" borderId="112" xfId="0" applyNumberFormat="1" applyFont="1" applyFill="1" applyBorder="1" applyAlignment="1">
      <alignment horizontal="center" vertical="center" wrapText="1"/>
    </xf>
    <xf numFmtId="212" fontId="49" fillId="29" borderId="112" xfId="0" applyNumberFormat="1" applyFont="1" applyFill="1" applyBorder="1" applyAlignment="1">
      <alignment horizontal="center" vertical="center" wrapText="1"/>
    </xf>
    <xf numFmtId="0" fontId="49" fillId="29" borderId="112" xfId="0" applyFont="1" applyFill="1" applyBorder="1" applyAlignment="1">
      <alignment horizontal="center" vertical="center"/>
    </xf>
    <xf numFmtId="0" fontId="102" fillId="0" borderId="0" xfId="0" applyFont="1" applyAlignment="1" applyProtection="1">
      <alignment horizontal="center" vertical="center"/>
      <protection locked="0"/>
    </xf>
    <xf numFmtId="0" fontId="17" fillId="0" borderId="97" xfId="0" applyFont="1" applyBorder="1" applyAlignment="1">
      <alignment horizontal="center" vertical="center"/>
    </xf>
    <xf numFmtId="170" fontId="0" fillId="0" borderId="0" xfId="0" applyNumberFormat="1" applyAlignment="1">
      <alignment horizontal="center" vertical="center"/>
    </xf>
    <xf numFmtId="0" fontId="96" fillId="0" borderId="0" xfId="0" applyFont="1" applyAlignment="1">
      <alignment horizontal="center" vertical="center"/>
    </xf>
    <xf numFmtId="0" fontId="57" fillId="0" borderId="0" xfId="0" applyFont="1" applyAlignment="1">
      <alignment horizontal="center" vertical="center"/>
    </xf>
    <xf numFmtId="0" fontId="97" fillId="0" borderId="0" xfId="0" applyFont="1" applyAlignment="1">
      <alignment horizontal="center" vertical="center"/>
    </xf>
    <xf numFmtId="0" fontId="42" fillId="0" borderId="0" xfId="0" applyFont="1" applyAlignment="1" applyProtection="1">
      <alignment horizontal="center" vertical="center"/>
      <protection locked="0"/>
    </xf>
    <xf numFmtId="0" fontId="42" fillId="0" borderId="0" xfId="0" applyFont="1" applyAlignment="1">
      <alignment horizontal="center" vertical="center"/>
    </xf>
    <xf numFmtId="204" fontId="42" fillId="0" borderId="0" xfId="0" applyNumberFormat="1" applyFont="1" applyAlignment="1">
      <alignment horizontal="center" vertical="center"/>
    </xf>
    <xf numFmtId="0" fontId="51" fillId="0" borderId="0" xfId="0" applyFont="1" applyAlignment="1">
      <alignment horizontal="center" vertical="center"/>
    </xf>
    <xf numFmtId="225" fontId="24" fillId="0" borderId="98" xfId="0" applyNumberFormat="1" applyFont="1" applyBorder="1" applyAlignment="1">
      <alignment horizontal="center" vertical="center"/>
    </xf>
    <xf numFmtId="3" fontId="49" fillId="0" borderId="98" xfId="0" applyNumberFormat="1" applyFont="1" applyBorder="1" applyAlignment="1">
      <alignment horizontal="center" vertical="center"/>
    </xf>
    <xf numFmtId="3" fontId="55" fillId="0" borderId="0" xfId="58" applyNumberFormat="1" applyFont="1"/>
    <xf numFmtId="178" fontId="15" fillId="0" borderId="0" xfId="0" applyNumberFormat="1" applyFont="1" applyAlignment="1" applyProtection="1">
      <alignment horizontal="center"/>
      <protection locked="0"/>
    </xf>
    <xf numFmtId="3" fontId="17" fillId="0" borderId="0" xfId="0" applyNumberFormat="1" applyFont="1"/>
    <xf numFmtId="0" fontId="22" fillId="0" borderId="0" xfId="0" applyFont="1" applyAlignment="1">
      <alignment horizontal="center"/>
    </xf>
    <xf numFmtId="174" fontId="22" fillId="0" borderId="0" xfId="64" applyNumberFormat="1" applyFont="1" applyFill="1" applyBorder="1" applyAlignment="1">
      <alignment horizontal="center"/>
    </xf>
    <xf numFmtId="174" fontId="43" fillId="0" borderId="0" xfId="64" applyNumberFormat="1" applyFont="1" applyFill="1" applyBorder="1" applyAlignment="1">
      <alignment horizontal="center"/>
    </xf>
    <xf numFmtId="178" fontId="22" fillId="0" borderId="0" xfId="0" applyNumberFormat="1" applyFont="1" applyAlignment="1">
      <alignment horizontal="center"/>
    </xf>
    <xf numFmtId="3" fontId="17" fillId="0" borderId="0" xfId="0" applyNumberFormat="1" applyFont="1" applyAlignment="1">
      <alignment horizontal="center"/>
    </xf>
    <xf numFmtId="0" fontId="112" fillId="0" borderId="0" xfId="48" applyFont="1"/>
    <xf numFmtId="0" fontId="114" fillId="0" borderId="0" xfId="0" applyFont="1"/>
    <xf numFmtId="0" fontId="115" fillId="0" borderId="135" xfId="0" applyFont="1" applyBorder="1" applyAlignment="1">
      <alignment horizontal="center"/>
    </xf>
    <xf numFmtId="0" fontId="116" fillId="0" borderId="0" xfId="0" applyFont="1"/>
    <xf numFmtId="0" fontId="117" fillId="0" borderId="0" xfId="0" applyFont="1"/>
    <xf numFmtId="0" fontId="118" fillId="0" borderId="135" xfId="0" applyFont="1" applyBorder="1" applyAlignment="1">
      <alignment horizontal="center"/>
    </xf>
    <xf numFmtId="0" fontId="119" fillId="0" borderId="135" xfId="0" applyFont="1" applyBorder="1" applyAlignment="1">
      <alignment horizontal="center"/>
    </xf>
    <xf numFmtId="226" fontId="116" fillId="54" borderId="137" xfId="0" applyNumberFormat="1" applyFont="1" applyFill="1" applyBorder="1" applyAlignment="1">
      <alignment horizontal="center"/>
    </xf>
    <xf numFmtId="0" fontId="114" fillId="51" borderId="0" xfId="0" applyFont="1" applyFill="1" applyAlignment="1">
      <alignment horizontal="center"/>
    </xf>
    <xf numFmtId="0" fontId="116" fillId="0" borderId="137" xfId="0" applyFont="1" applyBorder="1" applyAlignment="1">
      <alignment horizontal="right"/>
    </xf>
    <xf numFmtId="222" fontId="116" fillId="54" borderId="137" xfId="0" applyNumberFormat="1" applyFont="1" applyFill="1" applyBorder="1" applyAlignment="1">
      <alignment horizontal="center"/>
    </xf>
    <xf numFmtId="0" fontId="116" fillId="0" borderId="137" xfId="0" applyFont="1" applyBorder="1" applyAlignment="1">
      <alignment horizontal="center"/>
    </xf>
    <xf numFmtId="0" fontId="114" fillId="0" borderId="136" xfId="0" applyFont="1" applyBorder="1"/>
    <xf numFmtId="3" fontId="114" fillId="0" borderId="138" xfId="0" applyNumberFormat="1" applyFont="1" applyBorder="1" applyAlignment="1">
      <alignment horizontal="center"/>
    </xf>
    <xf numFmtId="0" fontId="114" fillId="0" borderId="138" xfId="0" applyFont="1" applyBorder="1"/>
    <xf numFmtId="227" fontId="116" fillId="54" borderId="137" xfId="0" applyNumberFormat="1" applyFont="1" applyFill="1" applyBorder="1" applyAlignment="1">
      <alignment horizontal="center"/>
    </xf>
    <xf numFmtId="3" fontId="116" fillId="0" borderId="137" xfId="0" applyNumberFormat="1" applyFont="1" applyBorder="1" applyAlignment="1">
      <alignment horizontal="center"/>
    </xf>
    <xf numFmtId="0" fontId="114" fillId="0" borderId="139" xfId="0" applyFont="1" applyBorder="1"/>
    <xf numFmtId="3" fontId="114" fillId="0" borderId="134" xfId="0" applyNumberFormat="1" applyFont="1" applyBorder="1" applyAlignment="1">
      <alignment horizontal="center"/>
    </xf>
    <xf numFmtId="0" fontId="114" fillId="0" borderId="134" xfId="0" applyFont="1" applyBorder="1"/>
    <xf numFmtId="228" fontId="116" fillId="0" borderId="137" xfId="0" applyNumberFormat="1" applyFont="1" applyBorder="1" applyAlignment="1">
      <alignment horizontal="center"/>
    </xf>
    <xf numFmtId="229" fontId="116" fillId="0" borderId="137" xfId="0" applyNumberFormat="1" applyFont="1" applyBorder="1" applyAlignment="1">
      <alignment horizontal="center"/>
    </xf>
    <xf numFmtId="230" fontId="116" fillId="54" borderId="137" xfId="0" applyNumberFormat="1" applyFont="1" applyFill="1" applyBorder="1" applyAlignment="1">
      <alignment horizontal="center"/>
    </xf>
    <xf numFmtId="231" fontId="116" fillId="54" borderId="137" xfId="0" applyNumberFormat="1" applyFont="1" applyFill="1" applyBorder="1" applyAlignment="1">
      <alignment horizontal="center"/>
    </xf>
    <xf numFmtId="0" fontId="114" fillId="0" borderId="16" xfId="0" applyFont="1" applyBorder="1"/>
    <xf numFmtId="3" fontId="114" fillId="0" borderId="30" xfId="0" applyNumberFormat="1" applyFont="1" applyBorder="1" applyAlignment="1">
      <alignment horizontal="center"/>
    </xf>
    <xf numFmtId="0" fontId="114" fillId="0" borderId="30" xfId="0" applyFont="1" applyBorder="1"/>
    <xf numFmtId="232" fontId="116" fillId="0" borderId="137" xfId="0" applyNumberFormat="1" applyFont="1" applyBorder="1" applyAlignment="1">
      <alignment horizontal="center"/>
    </xf>
    <xf numFmtId="233" fontId="116" fillId="0" borderId="137" xfId="0" applyNumberFormat="1" applyFont="1" applyBorder="1" applyAlignment="1">
      <alignment horizontal="center"/>
    </xf>
    <xf numFmtId="234" fontId="116" fillId="0" borderId="137" xfId="0" applyNumberFormat="1" applyFont="1" applyBorder="1" applyAlignment="1">
      <alignment horizontal="center"/>
    </xf>
    <xf numFmtId="235" fontId="116" fillId="0" borderId="137" xfId="0" applyNumberFormat="1" applyFont="1" applyBorder="1" applyAlignment="1">
      <alignment horizontal="center"/>
    </xf>
    <xf numFmtId="228" fontId="116" fillId="54" borderId="137" xfId="0" applyNumberFormat="1" applyFont="1" applyFill="1" applyBorder="1" applyAlignment="1">
      <alignment horizontal="center"/>
    </xf>
    <xf numFmtId="0" fontId="116" fillId="54" borderId="137" xfId="0" applyFont="1" applyFill="1" applyBorder="1" applyAlignment="1">
      <alignment horizontal="center"/>
    </xf>
    <xf numFmtId="9" fontId="116" fillId="54" borderId="137" xfId="64" applyFont="1" applyFill="1" applyBorder="1" applyAlignment="1">
      <alignment horizontal="center"/>
    </xf>
    <xf numFmtId="0" fontId="114" fillId="0" borderId="140" xfId="0" applyFont="1" applyBorder="1"/>
    <xf numFmtId="236" fontId="116" fillId="0" borderId="137" xfId="0" applyNumberFormat="1" applyFont="1" applyBorder="1" applyAlignment="1">
      <alignment horizontal="center"/>
    </xf>
    <xf numFmtId="0" fontId="116" fillId="0" borderId="0" xfId="0" applyFont="1" applyAlignment="1">
      <alignment horizontal="center"/>
    </xf>
    <xf numFmtId="0" fontId="116" fillId="0" borderId="137" xfId="0" applyFont="1" applyBorder="1"/>
    <xf numFmtId="186" fontId="116" fillId="54" borderId="137" xfId="0" applyNumberFormat="1" applyFont="1" applyFill="1" applyBorder="1" applyAlignment="1">
      <alignment horizontal="center"/>
    </xf>
    <xf numFmtId="237" fontId="116" fillId="54" borderId="137" xfId="0" applyNumberFormat="1" applyFont="1" applyFill="1" applyBorder="1"/>
    <xf numFmtId="238" fontId="116" fillId="54" borderId="137" xfId="0" applyNumberFormat="1" applyFont="1" applyFill="1" applyBorder="1" applyAlignment="1">
      <alignment horizontal="center"/>
    </xf>
    <xf numFmtId="3" fontId="116" fillId="54" borderId="137" xfId="0" applyNumberFormat="1" applyFont="1" applyFill="1" applyBorder="1" applyAlignment="1">
      <alignment horizontal="center"/>
    </xf>
    <xf numFmtId="0" fontId="114" fillId="0" borderId="15" xfId="0" applyFont="1" applyBorder="1"/>
    <xf numFmtId="3" fontId="114" fillId="0" borderId="0" xfId="0" applyNumberFormat="1" applyFont="1" applyAlignment="1">
      <alignment horizontal="center"/>
    </xf>
    <xf numFmtId="3" fontId="120" fillId="0" borderId="138" xfId="0" applyNumberFormat="1" applyFont="1" applyBorder="1" applyAlignment="1">
      <alignment horizontal="center"/>
    </xf>
    <xf numFmtId="238" fontId="116" fillId="0" borderId="0" xfId="0" applyNumberFormat="1" applyFont="1" applyAlignment="1">
      <alignment horizontal="center"/>
    </xf>
    <xf numFmtId="0" fontId="117" fillId="55" borderId="135" xfId="0" applyFont="1" applyFill="1" applyBorder="1" applyAlignment="1">
      <alignment horizontal="center"/>
    </xf>
    <xf numFmtId="0" fontId="117" fillId="0" borderId="135" xfId="0" applyFont="1" applyBorder="1" applyAlignment="1">
      <alignment horizontal="center"/>
    </xf>
    <xf numFmtId="0" fontId="121" fillId="53" borderId="135" xfId="0" applyFont="1" applyFill="1" applyBorder="1" applyAlignment="1">
      <alignment horizontal="center" vertical="center" wrapText="1"/>
    </xf>
    <xf numFmtId="0" fontId="121" fillId="53" borderId="135" xfId="0" applyFont="1" applyFill="1" applyBorder="1" applyAlignment="1">
      <alignment horizontal="center" vertical="center"/>
    </xf>
    <xf numFmtId="0" fontId="122" fillId="48" borderId="135" xfId="0" applyFont="1" applyFill="1" applyBorder="1" applyAlignment="1">
      <alignment vertical="center"/>
    </xf>
    <xf numFmtId="0" fontId="123" fillId="48" borderId="135" xfId="0" applyFont="1" applyFill="1" applyBorder="1" applyAlignment="1">
      <alignment vertical="center"/>
    </xf>
    <xf numFmtId="37" fontId="117" fillId="0" borderId="135" xfId="28" applyNumberFormat="1" applyFont="1" applyBorder="1" applyAlignment="1">
      <alignment horizontal="center" vertical="center"/>
    </xf>
    <xf numFmtId="0" fontId="49" fillId="0" borderId="0" xfId="48" applyFont="1"/>
    <xf numFmtId="171" fontId="117" fillId="55" borderId="135" xfId="0" applyNumberFormat="1" applyFont="1" applyFill="1" applyBorder="1" applyAlignment="1">
      <alignment horizontal="center"/>
    </xf>
    <xf numFmtId="0" fontId="126" fillId="0" borderId="0" xfId="0" applyFont="1" applyProtection="1">
      <protection hidden="1"/>
    </xf>
    <xf numFmtId="0" fontId="17" fillId="0" borderId="0" xfId="0" applyFont="1" applyProtection="1">
      <protection hidden="1"/>
    </xf>
    <xf numFmtId="0" fontId="17" fillId="0" borderId="0" xfId="0" applyFont="1" applyAlignment="1" applyProtection="1">
      <alignment horizontal="center"/>
      <protection hidden="1"/>
    </xf>
    <xf numFmtId="0" fontId="129" fillId="44" borderId="0" xfId="0" applyFont="1" applyFill="1" applyProtection="1">
      <protection hidden="1"/>
    </xf>
    <xf numFmtId="167" fontId="17" fillId="0" borderId="0" xfId="0" applyNumberFormat="1" applyFont="1" applyAlignment="1" applyProtection="1">
      <alignment horizontal="center"/>
      <protection hidden="1"/>
    </xf>
    <xf numFmtId="176" fontId="17" fillId="0" borderId="0" xfId="64" applyNumberFormat="1" applyFont="1" applyFill="1" applyBorder="1" applyProtection="1">
      <protection hidden="1"/>
    </xf>
    <xf numFmtId="9" fontId="17" fillId="0" borderId="0" xfId="64" applyFont="1" applyFill="1" applyAlignment="1" applyProtection="1">
      <alignment horizontal="center"/>
      <protection hidden="1"/>
    </xf>
    <xf numFmtId="0" fontId="126" fillId="0" borderId="0" xfId="0" applyFont="1" applyAlignment="1" applyProtection="1">
      <alignment horizontal="center"/>
      <protection hidden="1"/>
    </xf>
    <xf numFmtId="0" fontId="125" fillId="0" borderId="0" xfId="0" applyFont="1" applyAlignment="1">
      <alignment horizontal="center"/>
    </xf>
    <xf numFmtId="0" fontId="125" fillId="0" borderId="0" xfId="0" applyFont="1"/>
    <xf numFmtId="178" fontId="126" fillId="0" borderId="0" xfId="53" applyNumberFormat="1" applyFont="1" applyAlignment="1" applyProtection="1">
      <alignment horizontal="center"/>
      <protection hidden="1"/>
    </xf>
    <xf numFmtId="178" fontId="130" fillId="0" borderId="0" xfId="0" applyNumberFormat="1" applyFont="1" applyAlignment="1" applyProtection="1">
      <alignment horizontal="center"/>
      <protection hidden="1"/>
    </xf>
    <xf numFmtId="178" fontId="58" fillId="0" borderId="0" xfId="0" applyNumberFormat="1" applyFont="1" applyProtection="1">
      <protection hidden="1"/>
    </xf>
    <xf numFmtId="2" fontId="130" fillId="0" borderId="0" xfId="0" applyNumberFormat="1" applyFont="1" applyAlignment="1" applyProtection="1">
      <alignment horizontal="left"/>
      <protection hidden="1"/>
    </xf>
    <xf numFmtId="3" fontId="131" fillId="0" borderId="0" xfId="0" applyNumberFormat="1" applyFont="1" applyAlignment="1" applyProtection="1">
      <alignment horizontal="center"/>
      <protection hidden="1"/>
    </xf>
    <xf numFmtId="9" fontId="58" fillId="0" borderId="0" xfId="64" applyFont="1" applyFill="1" applyBorder="1" applyAlignment="1" applyProtection="1">
      <alignment horizontal="center"/>
      <protection hidden="1"/>
    </xf>
    <xf numFmtId="183" fontId="58" fillId="0" borderId="0" xfId="0" applyNumberFormat="1" applyFont="1" applyProtection="1">
      <protection hidden="1"/>
    </xf>
    <xf numFmtId="167" fontId="58" fillId="0" borderId="0" xfId="0" applyNumberFormat="1" applyFont="1" applyAlignment="1" applyProtection="1">
      <alignment horizontal="center"/>
      <protection hidden="1"/>
    </xf>
    <xf numFmtId="197" fontId="126" fillId="0" borderId="0" xfId="64" applyNumberFormat="1" applyFont="1" applyAlignment="1" applyProtection="1">
      <alignment horizontal="left"/>
      <protection hidden="1"/>
    </xf>
    <xf numFmtId="0" fontId="58" fillId="0" borderId="0" xfId="0" applyFont="1" applyProtection="1">
      <protection locked="0"/>
    </xf>
    <xf numFmtId="10" fontId="126" fillId="0" borderId="0" xfId="64" applyNumberFormat="1" applyFont="1" applyProtection="1">
      <protection hidden="1"/>
    </xf>
    <xf numFmtId="196" fontId="126" fillId="0" borderId="0" xfId="0" applyNumberFormat="1" applyFont="1" applyProtection="1">
      <protection hidden="1"/>
    </xf>
    <xf numFmtId="0" fontId="52" fillId="35" borderId="181" xfId="0" applyFont="1" applyFill="1" applyBorder="1" applyAlignment="1" applyProtection="1">
      <alignment horizontal="center"/>
      <protection hidden="1"/>
    </xf>
    <xf numFmtId="1" fontId="126" fillId="0" borderId="0" xfId="0" applyNumberFormat="1" applyFont="1" applyProtection="1">
      <protection hidden="1"/>
    </xf>
    <xf numFmtId="9" fontId="17" fillId="0" borderId="0" xfId="64" applyFont="1" applyAlignment="1" applyProtection="1">
      <alignment horizontal="right"/>
      <protection hidden="1"/>
    </xf>
    <xf numFmtId="174" fontId="52" fillId="37" borderId="182" xfId="64" applyNumberFormat="1" applyFont="1" applyFill="1" applyBorder="1" applyAlignment="1" applyProtection="1">
      <alignment horizontal="center"/>
      <protection hidden="1"/>
    </xf>
    <xf numFmtId="178" fontId="52" fillId="0" borderId="0" xfId="0" applyNumberFormat="1" applyFont="1" applyAlignment="1" applyProtection="1">
      <alignment horizontal="center"/>
      <protection hidden="1"/>
    </xf>
    <xf numFmtId="178" fontId="52" fillId="28" borderId="185" xfId="0" applyNumberFormat="1" applyFont="1" applyFill="1" applyBorder="1" applyAlignment="1" applyProtection="1">
      <alignment horizontal="center"/>
      <protection locked="0"/>
    </xf>
    <xf numFmtId="178" fontId="132" fillId="0" borderId="0" xfId="0" applyNumberFormat="1" applyFont="1" applyAlignment="1" applyProtection="1">
      <alignment horizontal="center"/>
      <protection hidden="1"/>
    </xf>
    <xf numFmtId="191" fontId="57" fillId="0" borderId="0" xfId="0" applyNumberFormat="1" applyFont="1" applyProtection="1">
      <protection hidden="1"/>
    </xf>
    <xf numFmtId="168" fontId="58" fillId="0" borderId="0" xfId="28" applyNumberFormat="1" applyFont="1" applyFill="1" applyProtection="1">
      <protection hidden="1"/>
    </xf>
    <xf numFmtId="0" fontId="52" fillId="0" borderId="0" xfId="0" applyFont="1" applyAlignment="1" applyProtection="1">
      <alignment horizontal="center"/>
      <protection hidden="1"/>
    </xf>
    <xf numFmtId="201" fontId="49" fillId="0" borderId="0" xfId="0" applyNumberFormat="1" applyFont="1" applyAlignment="1" applyProtection="1">
      <alignment horizontal="center"/>
      <protection hidden="1"/>
    </xf>
    <xf numFmtId="205" fontId="49" fillId="0" borderId="0" xfId="0" applyNumberFormat="1" applyFont="1" applyAlignment="1" applyProtection="1">
      <alignment horizontal="center"/>
      <protection hidden="1"/>
    </xf>
    <xf numFmtId="0" fontId="49" fillId="46" borderId="0" xfId="0" applyFont="1" applyFill="1"/>
    <xf numFmtId="190" fontId="17" fillId="0" borderId="0" xfId="0" applyNumberFormat="1" applyFont="1" applyProtection="1">
      <protection hidden="1"/>
    </xf>
    <xf numFmtId="0" fontId="134" fillId="24" borderId="153" xfId="0" applyFont="1" applyFill="1" applyBorder="1" applyAlignment="1">
      <alignment horizontal="center"/>
    </xf>
    <xf numFmtId="178" fontId="135" fillId="0" borderId="0" xfId="0" applyNumberFormat="1" applyFont="1" applyProtection="1">
      <protection hidden="1"/>
    </xf>
    <xf numFmtId="178" fontId="49" fillId="0" borderId="0" xfId="0" applyNumberFormat="1" applyFont="1" applyAlignment="1" applyProtection="1">
      <alignment horizontal="center"/>
      <protection hidden="1"/>
    </xf>
    <xf numFmtId="203" fontId="136" fillId="0" borderId="44" xfId="0" applyNumberFormat="1" applyFont="1" applyBorder="1" applyAlignment="1">
      <alignment horizontal="left"/>
    </xf>
    <xf numFmtId="203" fontId="136" fillId="0" borderId="156" xfId="0" applyNumberFormat="1" applyFont="1" applyBorder="1" applyAlignment="1">
      <alignment horizontal="left"/>
    </xf>
    <xf numFmtId="178" fontId="135" fillId="0" borderId="0" xfId="0" applyNumberFormat="1" applyFont="1" applyAlignment="1" applyProtection="1">
      <alignment horizontal="left"/>
      <protection hidden="1"/>
    </xf>
    <xf numFmtId="178" fontId="17" fillId="0" borderId="0" xfId="0" applyNumberFormat="1" applyFont="1" applyAlignment="1" applyProtection="1">
      <alignment horizontal="center"/>
      <protection hidden="1"/>
    </xf>
    <xf numFmtId="179" fontId="137" fillId="0" borderId="0" xfId="0" applyNumberFormat="1" applyFont="1" applyAlignment="1" applyProtection="1">
      <alignment horizontal="center"/>
      <protection hidden="1"/>
    </xf>
    <xf numFmtId="203" fontId="136" fillId="0" borderId="13" xfId="0" applyNumberFormat="1" applyFont="1" applyBorder="1" applyAlignment="1">
      <alignment horizontal="center" vertical="center"/>
    </xf>
    <xf numFmtId="179" fontId="17" fillId="0" borderId="0" xfId="0" applyNumberFormat="1" applyFont="1" applyAlignment="1" applyProtection="1">
      <alignment horizontal="center"/>
      <protection hidden="1"/>
    </xf>
    <xf numFmtId="0" fontId="126" fillId="0" borderId="0" xfId="0" applyFont="1"/>
    <xf numFmtId="203" fontId="58" fillId="0" borderId="0" xfId="0" applyNumberFormat="1" applyFont="1" applyAlignment="1">
      <alignment horizontal="left"/>
    </xf>
    <xf numFmtId="203" fontId="136" fillId="0" borderId="13" xfId="0" applyNumberFormat="1" applyFont="1" applyBorder="1" applyAlignment="1">
      <alignment horizontal="left"/>
    </xf>
    <xf numFmtId="189" fontId="135" fillId="0" borderId="0" xfId="0" applyNumberFormat="1" applyFont="1" applyProtection="1">
      <protection hidden="1"/>
    </xf>
    <xf numFmtId="179" fontId="135" fillId="0" borderId="0" xfId="0" applyNumberFormat="1" applyFont="1" applyAlignment="1" applyProtection="1">
      <alignment horizontal="left"/>
      <protection hidden="1"/>
    </xf>
    <xf numFmtId="0" fontId="17" fillId="0" borderId="0" xfId="0" applyFont="1" applyProtection="1">
      <protection locked="0"/>
    </xf>
    <xf numFmtId="205" fontId="135" fillId="0" borderId="0" xfId="0" applyNumberFormat="1" applyFont="1" applyProtection="1">
      <protection hidden="1"/>
    </xf>
    <xf numFmtId="0" fontId="135" fillId="0" borderId="0" xfId="0" applyFont="1" applyProtection="1">
      <protection hidden="1"/>
    </xf>
    <xf numFmtId="0" fontId="135" fillId="0" borderId="0" xfId="0" applyFont="1" applyAlignment="1" applyProtection="1">
      <alignment horizontal="left"/>
      <protection hidden="1"/>
    </xf>
    <xf numFmtId="178" fontId="135" fillId="0" borderId="0" xfId="0" applyNumberFormat="1" applyFont="1" applyAlignment="1" applyProtection="1">
      <alignment horizontal="right"/>
      <protection hidden="1"/>
    </xf>
    <xf numFmtId="178" fontId="138" fillId="0" borderId="0" xfId="0" applyNumberFormat="1" applyFont="1" applyAlignment="1" applyProtection="1">
      <alignment horizontal="center"/>
      <protection hidden="1"/>
    </xf>
    <xf numFmtId="167" fontId="138" fillId="0" borderId="0" xfId="0" applyNumberFormat="1" applyFont="1" applyAlignment="1" applyProtection="1">
      <alignment horizontal="left"/>
      <protection hidden="1"/>
    </xf>
    <xf numFmtId="193" fontId="138" fillId="0" borderId="0" xfId="0" applyNumberFormat="1" applyFont="1" applyAlignment="1" applyProtection="1">
      <alignment horizontal="center"/>
      <protection hidden="1"/>
    </xf>
    <xf numFmtId="184" fontId="138" fillId="0" borderId="0" xfId="0" applyNumberFormat="1" applyFont="1" applyAlignment="1" applyProtection="1">
      <alignment horizontal="center"/>
      <protection hidden="1"/>
    </xf>
    <xf numFmtId="0" fontId="130" fillId="0" borderId="0" xfId="0" applyFont="1" applyAlignment="1">
      <alignment horizontal="center"/>
    </xf>
    <xf numFmtId="174" fontId="130" fillId="0" borderId="0" xfId="64" applyNumberFormat="1" applyFont="1" applyFill="1" applyBorder="1" applyAlignment="1">
      <alignment horizontal="center"/>
    </xf>
    <xf numFmtId="0" fontId="49" fillId="0" borderId="0" xfId="0" applyFont="1" applyAlignment="1">
      <alignment horizontal="right"/>
    </xf>
    <xf numFmtId="178" fontId="17" fillId="0" borderId="0" xfId="0" applyNumberFormat="1" applyFont="1"/>
    <xf numFmtId="0" fontId="17" fillId="0" borderId="0" xfId="0" applyFont="1" applyAlignment="1">
      <alignment horizontal="right"/>
    </xf>
    <xf numFmtId="168" fontId="17" fillId="0" borderId="0" xfId="28" applyNumberFormat="1" applyFont="1"/>
    <xf numFmtId="168" fontId="17" fillId="0" borderId="0" xfId="28" applyNumberFormat="1" applyFont="1" applyFill="1" applyBorder="1"/>
    <xf numFmtId="0" fontId="17" fillId="0" borderId="0" xfId="57" applyFont="1" applyAlignment="1">
      <alignment horizontal="center"/>
    </xf>
    <xf numFmtId="0" fontId="17" fillId="0" borderId="0" xfId="57" applyFont="1"/>
    <xf numFmtId="0" fontId="49" fillId="0" borderId="0" xfId="0" applyFont="1"/>
    <xf numFmtId="0" fontId="17" fillId="0" borderId="0" xfId="0" applyFont="1" applyAlignment="1">
      <alignment horizontal="center"/>
    </xf>
    <xf numFmtId="3" fontId="49" fillId="0" borderId="0" xfId="0" applyNumberFormat="1" applyFont="1" applyAlignment="1">
      <alignment horizontal="center"/>
    </xf>
    <xf numFmtId="0" fontId="49" fillId="0" borderId="0" xfId="0" applyFont="1" applyAlignment="1">
      <alignment horizontal="left"/>
    </xf>
    <xf numFmtId="0" fontId="17" fillId="0" borderId="20" xfId="0" applyFont="1" applyBorder="1"/>
    <xf numFmtId="168" fontId="17" fillId="0" borderId="0" xfId="28" applyNumberFormat="1" applyFont="1" applyFill="1" applyBorder="1" applyAlignment="1">
      <alignment horizontal="center"/>
    </xf>
    <xf numFmtId="0" fontId="17" fillId="0" borderId="23" xfId="0" applyFont="1" applyBorder="1"/>
    <xf numFmtId="0" fontId="17" fillId="0" borderId="0" xfId="0" applyFont="1" applyAlignment="1">
      <alignment horizontal="left"/>
    </xf>
    <xf numFmtId="2" fontId="17" fillId="0" borderId="0" xfId="0" applyNumberFormat="1" applyFont="1"/>
    <xf numFmtId="0" fontId="17" fillId="0" borderId="21" xfId="0" applyFont="1" applyBorder="1"/>
    <xf numFmtId="0" fontId="17" fillId="0" borderId="22" xfId="0" applyFont="1" applyBorder="1"/>
    <xf numFmtId="0" fontId="17" fillId="0" borderId="18" xfId="0" applyFont="1" applyBorder="1" applyAlignment="1">
      <alignment horizontal="center"/>
    </xf>
    <xf numFmtId="170" fontId="17" fillId="0" borderId="18" xfId="0" applyNumberFormat="1" applyFont="1" applyBorder="1" applyAlignment="1">
      <alignment horizontal="center"/>
    </xf>
    <xf numFmtId="1" fontId="17" fillId="0" borderId="0" xfId="0" applyNumberFormat="1" applyFont="1" applyAlignment="1">
      <alignment horizontal="center"/>
    </xf>
    <xf numFmtId="0" fontId="49" fillId="0" borderId="0" xfId="0" applyFont="1" applyAlignment="1">
      <alignment horizontal="center"/>
    </xf>
    <xf numFmtId="168" fontId="49" fillId="0" borderId="0" xfId="28" applyNumberFormat="1" applyFont="1" applyFill="1" applyBorder="1" applyAlignment="1"/>
    <xf numFmtId="168" fontId="17" fillId="0" borderId="0" xfId="0" applyNumberFormat="1" applyFont="1" applyAlignment="1">
      <alignment horizontal="center"/>
    </xf>
    <xf numFmtId="3" fontId="17" fillId="0" borderId="0" xfId="52" applyNumberFormat="1" applyAlignment="1" applyProtection="1">
      <alignment horizontal="center"/>
      <protection hidden="1"/>
    </xf>
    <xf numFmtId="3" fontId="17" fillId="0" borderId="0" xfId="52" applyNumberFormat="1" applyProtection="1">
      <protection hidden="1"/>
    </xf>
    <xf numFmtId="3" fontId="17" fillId="0" borderId="0" xfId="0" applyNumberFormat="1" applyFont="1" applyAlignment="1" applyProtection="1">
      <alignment horizontal="center"/>
      <protection hidden="1"/>
    </xf>
    <xf numFmtId="3" fontId="49" fillId="0" borderId="0" xfId="0" applyNumberFormat="1" applyFont="1" applyProtection="1">
      <protection hidden="1"/>
    </xf>
    <xf numFmtId="3" fontId="17" fillId="0" borderId="0" xfId="0" applyNumberFormat="1" applyFont="1" applyProtection="1">
      <protection hidden="1"/>
    </xf>
    <xf numFmtId="172" fontId="17" fillId="0" borderId="0" xfId="0" applyNumberFormat="1" applyFont="1" applyProtection="1">
      <protection hidden="1"/>
    </xf>
    <xf numFmtId="3" fontId="17" fillId="0" borderId="18" xfId="0" applyNumberFormat="1" applyFont="1" applyBorder="1" applyAlignment="1" applyProtection="1">
      <alignment horizontal="center" vertical="center"/>
      <protection hidden="1"/>
    </xf>
    <xf numFmtId="3" fontId="17" fillId="0" borderId="18" xfId="28" applyNumberFormat="1" applyFont="1" applyFill="1" applyBorder="1" applyAlignment="1" applyProtection="1">
      <alignment horizontal="center" vertical="center" wrapText="1"/>
      <protection hidden="1"/>
    </xf>
    <xf numFmtId="0" fontId="17" fillId="0" borderId="18" xfId="0" applyFont="1" applyBorder="1"/>
    <xf numFmtId="178" fontId="17" fillId="0" borderId="18" xfId="0" applyNumberFormat="1" applyFont="1" applyBorder="1" applyAlignment="1" applyProtection="1">
      <alignment horizontal="center"/>
      <protection hidden="1"/>
    </xf>
    <xf numFmtId="0" fontId="17" fillId="0" borderId="0" xfId="0" applyFont="1" applyAlignment="1" applyProtection="1">
      <alignment horizontal="right"/>
      <protection hidden="1"/>
    </xf>
    <xf numFmtId="3" fontId="49" fillId="0" borderId="0" xfId="0" applyNumberFormat="1" applyFont="1"/>
    <xf numFmtId="168" fontId="17" fillId="0" borderId="0" xfId="31" applyNumberFormat="1" applyFont="1" applyFill="1" applyBorder="1" applyAlignment="1">
      <alignment horizontal="center"/>
    </xf>
    <xf numFmtId="16" fontId="17" fillId="0" borderId="0" xfId="0" applyNumberFormat="1" applyFont="1" applyAlignment="1">
      <alignment horizontal="center"/>
    </xf>
    <xf numFmtId="0" fontId="17" fillId="0" borderId="22" xfId="0" applyFont="1" applyBorder="1" applyAlignment="1">
      <alignment horizontal="center"/>
    </xf>
    <xf numFmtId="0" fontId="49" fillId="0" borderId="0" xfId="0" applyFont="1" applyAlignment="1">
      <alignment horizontal="left" vertical="top"/>
    </xf>
    <xf numFmtId="168" fontId="49" fillId="0" borderId="0" xfId="28" applyNumberFormat="1" applyFont="1" applyFill="1" applyBorder="1"/>
    <xf numFmtId="168" fontId="17" fillId="0" borderId="0" xfId="28" applyNumberFormat="1" applyFont="1" applyFill="1"/>
    <xf numFmtId="168" fontId="92" fillId="0" borderId="0" xfId="28" applyNumberFormat="1" applyFont="1" applyFill="1" applyBorder="1"/>
    <xf numFmtId="0" fontId="49" fillId="46" borderId="0" xfId="0" applyFont="1" applyFill="1" applyAlignment="1">
      <alignment horizontal="right"/>
    </xf>
    <xf numFmtId="168" fontId="49" fillId="0" borderId="0" xfId="28" applyNumberFormat="1" applyFont="1" applyBorder="1"/>
    <xf numFmtId="168" fontId="92" fillId="0" borderId="0" xfId="28" applyNumberFormat="1" applyFont="1" applyBorder="1"/>
    <xf numFmtId="0" fontId="17" fillId="27" borderId="41" xfId="0" applyFont="1" applyFill="1" applyBorder="1" applyAlignment="1">
      <alignment horizontal="left"/>
    </xf>
    <xf numFmtId="0" fontId="144" fillId="0" borderId="0" xfId="0" applyFont="1"/>
    <xf numFmtId="195" fontId="17" fillId="0" borderId="0" xfId="0" applyNumberFormat="1" applyFont="1"/>
    <xf numFmtId="10" fontId="17" fillId="0" borderId="0" xfId="0" applyNumberFormat="1" applyFont="1"/>
    <xf numFmtId="10" fontId="17" fillId="0" borderId="0" xfId="0" applyNumberFormat="1" applyFont="1" applyAlignment="1">
      <alignment horizontal="center"/>
    </xf>
    <xf numFmtId="178" fontId="17" fillId="0" borderId="0" xfId="0" applyNumberFormat="1" applyFont="1" applyAlignment="1">
      <alignment horizontal="center"/>
    </xf>
    <xf numFmtId="9" fontId="17" fillId="0" borderId="0" xfId="64" applyFont="1" applyFill="1" applyBorder="1" applyAlignment="1">
      <alignment horizontal="center"/>
    </xf>
    <xf numFmtId="9" fontId="17" fillId="0" borderId="0" xfId="0" applyNumberFormat="1" applyFont="1" applyAlignment="1">
      <alignment vertical="center"/>
    </xf>
    <xf numFmtId="0" fontId="49" fillId="0" borderId="64" xfId="0" applyFont="1" applyBorder="1" applyAlignment="1">
      <alignment horizontal="center" vertical="center"/>
    </xf>
    <xf numFmtId="0" fontId="17" fillId="0" borderId="65" xfId="0" applyFont="1" applyBorder="1" applyAlignment="1">
      <alignment horizontal="right"/>
    </xf>
    <xf numFmtId="0" fontId="128" fillId="0" borderId="31" xfId="0" applyFont="1" applyBorder="1"/>
    <xf numFmtId="2" fontId="17" fillId="0" borderId="31" xfId="0" applyNumberFormat="1" applyFont="1" applyBorder="1"/>
    <xf numFmtId="167" fontId="17" fillId="0" borderId="31" xfId="0" applyNumberFormat="1" applyFont="1" applyBorder="1"/>
    <xf numFmtId="0" fontId="49" fillId="0" borderId="60" xfId="0" applyFont="1" applyBorder="1" applyAlignment="1">
      <alignment horizontal="center"/>
    </xf>
    <xf numFmtId="173" fontId="17" fillId="0" borderId="0" xfId="0" applyNumberFormat="1" applyFont="1"/>
    <xf numFmtId="3" fontId="135" fillId="0" borderId="0" xfId="0" applyNumberFormat="1" applyFont="1"/>
    <xf numFmtId="168" fontId="135" fillId="0" borderId="0" xfId="28" applyNumberFormat="1" applyFont="1"/>
    <xf numFmtId="3" fontId="17" fillId="0" borderId="0" xfId="0" applyNumberFormat="1" applyFont="1" applyAlignment="1">
      <alignment horizontal="center" vertical="center"/>
    </xf>
    <xf numFmtId="0" fontId="17" fillId="0" borderId="0" xfId="0" applyFont="1" applyAlignment="1">
      <alignment horizontal="center" vertical="center"/>
    </xf>
    <xf numFmtId="0" fontId="49" fillId="0" borderId="31" xfId="0" applyFont="1" applyBorder="1" applyAlignment="1">
      <alignment horizontal="left"/>
    </xf>
    <xf numFmtId="3" fontId="17" fillId="0" borderId="104" xfId="0" applyNumberFormat="1" applyFont="1" applyBorder="1"/>
    <xf numFmtId="3" fontId="17" fillId="0" borderId="104" xfId="28" applyNumberFormat="1" applyFont="1" applyFill="1" applyBorder="1"/>
    <xf numFmtId="0" fontId="17" fillId="0" borderId="7" xfId="0" applyFont="1" applyBorder="1"/>
    <xf numFmtId="0" fontId="17" fillId="0" borderId="104" xfId="0" applyFont="1" applyBorder="1"/>
    <xf numFmtId="0" fontId="144" fillId="0" borderId="0" xfId="0" applyFont="1" applyAlignment="1">
      <alignment horizontal="center"/>
    </xf>
    <xf numFmtId="43" fontId="17" fillId="0" borderId="0" xfId="0" applyNumberFormat="1" applyFont="1"/>
    <xf numFmtId="178" fontId="49" fillId="0" borderId="0" xfId="0" applyNumberFormat="1" applyFont="1" applyAlignment="1">
      <alignment horizontal="center"/>
    </xf>
    <xf numFmtId="178" fontId="49" fillId="0" borderId="0" xfId="0" applyNumberFormat="1" applyFont="1"/>
    <xf numFmtId="0" fontId="128" fillId="0" borderId="0" xfId="0" applyFont="1"/>
    <xf numFmtId="0" fontId="17" fillId="0" borderId="18" xfId="54" applyFont="1" applyBorder="1" applyAlignment="1">
      <alignment horizontal="center" vertical="center"/>
    </xf>
    <xf numFmtId="214" fontId="17" fillId="0" borderId="18" xfId="31" applyNumberFormat="1" applyFont="1" applyFill="1" applyBorder="1" applyAlignment="1">
      <alignment horizontal="center" vertical="center"/>
    </xf>
    <xf numFmtId="178" fontId="128" fillId="0" borderId="0" xfId="0" applyNumberFormat="1" applyFont="1"/>
    <xf numFmtId="178" fontId="126" fillId="0" borderId="0" xfId="0" applyNumberFormat="1" applyFont="1"/>
    <xf numFmtId="205" fontId="17" fillId="0" borderId="0" xfId="0" applyNumberFormat="1" applyFont="1"/>
    <xf numFmtId="174" fontId="17" fillId="0" borderId="0" xfId="64" applyNumberFormat="1" applyFont="1" applyFill="1" applyAlignment="1">
      <alignment horizontal="center"/>
    </xf>
    <xf numFmtId="10" fontId="49" fillId="0" borderId="0" xfId="0" applyNumberFormat="1" applyFont="1" applyAlignment="1">
      <alignment horizontal="left"/>
    </xf>
    <xf numFmtId="279" fontId="17" fillId="0" borderId="0" xfId="48" applyNumberFormat="1"/>
    <xf numFmtId="205" fontId="49" fillId="0" borderId="0" xfId="48" applyNumberFormat="1" applyFont="1" applyAlignment="1">
      <alignment horizontal="center"/>
    </xf>
    <xf numFmtId="0" fontId="112" fillId="0" borderId="0" xfId="0" applyFont="1" applyAlignment="1">
      <alignment horizontal="center"/>
    </xf>
    <xf numFmtId="0" fontId="17" fillId="0" borderId="20" xfId="0" applyFont="1" applyBorder="1" applyAlignment="1">
      <alignment horizontal="center"/>
    </xf>
    <xf numFmtId="174" fontId="49" fillId="0" borderId="0" xfId="64" applyNumberFormat="1" applyFont="1" applyFill="1" applyAlignment="1">
      <alignment horizontal="center"/>
    </xf>
    <xf numFmtId="205" fontId="49" fillId="0" borderId="0" xfId="0" applyNumberFormat="1" applyFont="1"/>
    <xf numFmtId="178" fontId="141" fillId="0" borderId="20" xfId="48" applyNumberFormat="1" applyFont="1" applyBorder="1" applyAlignment="1">
      <alignment horizontal="center"/>
    </xf>
    <xf numFmtId="178" fontId="141" fillId="0" borderId="0" xfId="48" applyNumberFormat="1" applyFont="1" applyAlignment="1">
      <alignment horizontal="center"/>
    </xf>
    <xf numFmtId="0" fontId="17" fillId="0" borderId="0" xfId="0" applyFont="1" applyAlignment="1">
      <alignment vertical="center"/>
    </xf>
    <xf numFmtId="0" fontId="49" fillId="0" borderId="0" xfId="0" applyFont="1" applyAlignment="1">
      <alignment vertical="center"/>
    </xf>
    <xf numFmtId="3" fontId="17" fillId="0" borderId="7" xfId="0" applyNumberFormat="1" applyFont="1" applyBorder="1" applyAlignment="1">
      <alignment horizontal="center" vertical="center"/>
    </xf>
    <xf numFmtId="3" fontId="17" fillId="0" borderId="170" xfId="0" applyNumberFormat="1" applyFont="1" applyBorder="1" applyAlignment="1">
      <alignment horizontal="left" vertical="center"/>
    </xf>
    <xf numFmtId="3" fontId="17" fillId="0" borderId="171" xfId="0" applyNumberFormat="1" applyFont="1" applyBorder="1" applyAlignment="1">
      <alignment horizontal="left" vertical="center"/>
    </xf>
    <xf numFmtId="3" fontId="17" fillId="0" borderId="207" xfId="0" applyNumberFormat="1" applyFont="1" applyBorder="1" applyAlignment="1">
      <alignment horizontal="left" vertical="center"/>
    </xf>
    <xf numFmtId="3" fontId="17" fillId="0" borderId="208" xfId="0" applyNumberFormat="1" applyFont="1" applyBorder="1" applyAlignment="1">
      <alignment horizontal="left" vertical="center"/>
    </xf>
    <xf numFmtId="0" fontId="17" fillId="0" borderId="19" xfId="0" applyFont="1" applyBorder="1" applyAlignment="1">
      <alignment horizontal="right" vertical="center"/>
    </xf>
    <xf numFmtId="0" fontId="17" fillId="0" borderId="148" xfId="0" applyFont="1" applyBorder="1" applyAlignment="1">
      <alignment horizontal="right" vertical="center"/>
    </xf>
    <xf numFmtId="0" fontId="17" fillId="0" borderId="79" xfId="0" applyFont="1" applyBorder="1" applyAlignment="1">
      <alignment horizontal="right" vertical="center"/>
    </xf>
    <xf numFmtId="3" fontId="17" fillId="0" borderId="7" xfId="0" applyNumberFormat="1" applyFont="1" applyBorder="1" applyAlignment="1">
      <alignment horizontal="right" vertical="center"/>
    </xf>
    <xf numFmtId="0" fontId="146" fillId="0" borderId="0" xfId="0" applyFont="1"/>
    <xf numFmtId="178" fontId="146" fillId="0" borderId="0" xfId="0" applyNumberFormat="1" applyFont="1"/>
    <xf numFmtId="0" fontId="144" fillId="0" borderId="0" xfId="0" applyFont="1" applyAlignment="1">
      <alignment vertical="center"/>
    </xf>
    <xf numFmtId="0" fontId="145" fillId="0" borderId="0" xfId="0" applyFont="1"/>
    <xf numFmtId="0" fontId="112" fillId="0" borderId="0" xfId="0" applyFont="1" applyAlignment="1">
      <alignment vertical="center"/>
    </xf>
    <xf numFmtId="0" fontId="49" fillId="27" borderId="41" xfId="0" applyFont="1" applyFill="1" applyBorder="1" applyAlignment="1">
      <alignment horizontal="center"/>
    </xf>
    <xf numFmtId="3" fontId="17" fillId="0" borderId="0" xfId="0" applyNumberFormat="1" applyFont="1" applyAlignment="1">
      <alignment vertical="center"/>
    </xf>
    <xf numFmtId="3" fontId="17" fillId="0" borderId="202" xfId="0" applyNumberFormat="1" applyFont="1" applyBorder="1" applyAlignment="1">
      <alignment horizontal="right" vertical="center"/>
    </xf>
    <xf numFmtId="3" fontId="17" fillId="0" borderId="202" xfId="0" applyNumberFormat="1" applyFont="1" applyBorder="1" applyAlignment="1">
      <alignment horizontal="center" vertical="center"/>
    </xf>
    <xf numFmtId="3" fontId="49" fillId="0" borderId="202" xfId="0" applyNumberFormat="1" applyFont="1" applyBorder="1" applyAlignment="1">
      <alignment horizontal="center" vertical="center" wrapText="1"/>
    </xf>
    <xf numFmtId="172" fontId="49" fillId="0" borderId="202" xfId="0" applyNumberFormat="1" applyFont="1" applyBorder="1" applyAlignment="1">
      <alignment horizontal="center" vertical="center"/>
    </xf>
    <xf numFmtId="3" fontId="17" fillId="0" borderId="0" xfId="48" applyNumberFormat="1" applyAlignment="1">
      <alignment horizontal="center"/>
    </xf>
    <xf numFmtId="0" fontId="25" fillId="0" borderId="0" xfId="0" applyFont="1" applyAlignment="1">
      <alignment horizontal="right"/>
    </xf>
    <xf numFmtId="1" fontId="25" fillId="0" borderId="0" xfId="0" applyNumberFormat="1" applyFont="1" applyAlignment="1">
      <alignment horizontal="right"/>
    </xf>
    <xf numFmtId="3" fontId="17" fillId="0" borderId="223" xfId="0" applyNumberFormat="1" applyFont="1" applyBorder="1" applyAlignment="1">
      <alignment horizontal="right" vertical="center"/>
    </xf>
    <xf numFmtId="3" fontId="17" fillId="0" borderId="223" xfId="0" applyNumberFormat="1" applyFont="1" applyBorder="1" applyAlignment="1">
      <alignment horizontal="center" vertical="center"/>
    </xf>
    <xf numFmtId="3" fontId="17" fillId="0" borderId="160" xfId="0" applyNumberFormat="1" applyFont="1" applyBorder="1" applyAlignment="1">
      <alignment horizontal="center" vertical="center"/>
    </xf>
    <xf numFmtId="195" fontId="49" fillId="0" borderId="0" xfId="0" applyNumberFormat="1" applyFont="1"/>
    <xf numFmtId="0" fontId="49" fillId="0" borderId="20" xfId="0" applyFont="1" applyBorder="1"/>
    <xf numFmtId="0" fontId="49" fillId="0" borderId="21" xfId="0" applyFont="1" applyBorder="1"/>
    <xf numFmtId="0" fontId="155" fillId="0" borderId="180" xfId="77" applyFont="1" applyBorder="1" applyProtection="1">
      <protection locked="0"/>
    </xf>
    <xf numFmtId="0" fontId="155" fillId="0" borderId="0" xfId="77" applyFont="1" applyProtection="1">
      <protection locked="0"/>
    </xf>
    <xf numFmtId="0" fontId="155" fillId="0" borderId="180" xfId="77" applyFont="1" applyBorder="1" applyAlignment="1" applyProtection="1">
      <alignment vertical="center"/>
      <protection locked="0"/>
    </xf>
    <xf numFmtId="0" fontId="155" fillId="0" borderId="0" xfId="77" applyFont="1" applyAlignment="1" applyProtection="1">
      <alignment vertical="center"/>
      <protection locked="0"/>
    </xf>
    <xf numFmtId="0" fontId="155" fillId="0" borderId="0" xfId="85" applyFont="1" applyAlignment="1" applyProtection="1">
      <alignment vertical="center"/>
      <protection locked="0"/>
    </xf>
    <xf numFmtId="0" fontId="155" fillId="0" borderId="0" xfId="85" applyFont="1" applyAlignment="1" applyProtection="1">
      <alignment vertical="center" wrapText="1"/>
      <protection locked="0"/>
    </xf>
    <xf numFmtId="0" fontId="155" fillId="0" borderId="0" xfId="77" applyFont="1" applyAlignment="1">
      <alignment vertical="center"/>
    </xf>
    <xf numFmtId="3" fontId="155" fillId="0" borderId="0" xfId="77" applyNumberFormat="1" applyFont="1" applyAlignment="1" applyProtection="1">
      <alignment horizontal="center" vertical="center"/>
      <protection locked="0"/>
    </xf>
    <xf numFmtId="0" fontId="155" fillId="0" borderId="0" xfId="77" applyFont="1" applyAlignment="1">
      <alignment horizontal="center" vertical="center"/>
    </xf>
    <xf numFmtId="172" fontId="155" fillId="0" borderId="0" xfId="77" applyNumberFormat="1" applyFont="1" applyAlignment="1" applyProtection="1">
      <alignment horizontal="center" vertical="center"/>
      <protection locked="0"/>
    </xf>
    <xf numFmtId="0" fontId="125" fillId="0" borderId="180" xfId="77" applyFont="1" applyBorder="1" applyProtection="1">
      <protection locked="0"/>
    </xf>
    <xf numFmtId="0" fontId="125" fillId="0" borderId="0" xfId="77" applyFont="1"/>
    <xf numFmtId="0" fontId="125" fillId="0" borderId="192" xfId="77" applyFont="1" applyBorder="1" applyProtection="1">
      <protection locked="0"/>
    </xf>
    <xf numFmtId="3" fontId="125" fillId="0" borderId="0" xfId="77" applyNumberFormat="1" applyFont="1" applyAlignment="1" applyProtection="1">
      <alignment horizontal="center"/>
      <protection locked="0"/>
    </xf>
    <xf numFmtId="0" fontId="125" fillId="0" borderId="0" xfId="77" applyFont="1" applyProtection="1">
      <protection locked="0"/>
    </xf>
    <xf numFmtId="0" fontId="126" fillId="0" borderId="180" xfId="77" applyFont="1" applyBorder="1" applyProtection="1">
      <protection locked="0"/>
    </xf>
    <xf numFmtId="0" fontId="127" fillId="0" borderId="0" xfId="77" applyFont="1"/>
    <xf numFmtId="0" fontId="128" fillId="0" borderId="0" xfId="77" applyFont="1" applyProtection="1">
      <protection locked="0"/>
    </xf>
    <xf numFmtId="279" fontId="150" fillId="0" borderId="0" xfId="0" applyNumberFormat="1" applyFont="1"/>
    <xf numFmtId="0" fontId="158" fillId="0" borderId="0" xfId="86" applyFont="1"/>
    <xf numFmtId="0" fontId="159" fillId="0" borderId="0" xfId="86" applyFont="1" applyAlignment="1">
      <alignment horizontal="right"/>
    </xf>
    <xf numFmtId="177" fontId="159" fillId="0" borderId="0" xfId="33" applyNumberFormat="1" applyFont="1"/>
    <xf numFmtId="0" fontId="159" fillId="0" borderId="0" xfId="86" applyFont="1"/>
    <xf numFmtId="0" fontId="159" fillId="61" borderId="149" xfId="86" applyFont="1" applyFill="1" applyBorder="1" applyAlignment="1">
      <alignment horizontal="center"/>
    </xf>
    <xf numFmtId="0" fontId="159" fillId="61" borderId="236" xfId="86" applyFont="1" applyFill="1" applyBorder="1" applyAlignment="1">
      <alignment horizontal="center"/>
    </xf>
    <xf numFmtId="0" fontId="159" fillId="61" borderId="149" xfId="86" applyFont="1" applyFill="1" applyBorder="1" applyAlignment="1">
      <alignment horizontal="center" vertical="center"/>
    </xf>
    <xf numFmtId="0" fontId="159" fillId="47" borderId="149" xfId="86" applyFont="1" applyFill="1" applyBorder="1" applyAlignment="1">
      <alignment horizontal="center" vertical="center"/>
    </xf>
    <xf numFmtId="0" fontId="159" fillId="56" borderId="149" xfId="86" applyFont="1" applyFill="1" applyBorder="1" applyAlignment="1">
      <alignment horizontal="center" vertical="center"/>
    </xf>
    <xf numFmtId="198" fontId="158" fillId="57" borderId="149" xfId="86" applyNumberFormat="1" applyFont="1" applyFill="1" applyBorder="1" applyAlignment="1">
      <alignment horizontal="center"/>
    </xf>
    <xf numFmtId="0" fontId="158" fillId="57" borderId="149" xfId="86" applyFont="1" applyFill="1" applyBorder="1" applyAlignment="1">
      <alignment horizontal="left"/>
    </xf>
    <xf numFmtId="0" fontId="158" fillId="57" borderId="149" xfId="86" applyFont="1" applyFill="1" applyBorder="1" applyAlignment="1">
      <alignment horizontal="center"/>
    </xf>
    <xf numFmtId="43" fontId="158" fillId="0" borderId="149" xfId="86" applyNumberFormat="1" applyFont="1" applyBorder="1"/>
    <xf numFmtId="2" fontId="158" fillId="0" borderId="149" xfId="86" applyNumberFormat="1" applyFont="1" applyBorder="1" applyAlignment="1">
      <alignment horizontal="center"/>
    </xf>
    <xf numFmtId="199" fontId="158" fillId="0" borderId="149" xfId="86" applyNumberFormat="1" applyFont="1" applyBorder="1"/>
    <xf numFmtId="2" fontId="158" fillId="0" borderId="149" xfId="86" applyNumberFormat="1" applyFont="1" applyBorder="1"/>
    <xf numFmtId="199" fontId="158" fillId="0" borderId="149" xfId="33" applyNumberFormat="1" applyFont="1" applyBorder="1"/>
    <xf numFmtId="177" fontId="158" fillId="0" borderId="149" xfId="86" applyNumberFormat="1" applyFont="1" applyBorder="1"/>
    <xf numFmtId="0" fontId="158" fillId="0" borderId="149" xfId="86" applyFont="1" applyBorder="1" applyAlignment="1">
      <alignment horizontal="center"/>
    </xf>
    <xf numFmtId="199" fontId="158" fillId="0" borderId="149" xfId="33" applyNumberFormat="1" applyFont="1" applyBorder="1" applyAlignment="1"/>
    <xf numFmtId="177" fontId="159" fillId="0" borderId="0" xfId="86" applyNumberFormat="1" applyFont="1"/>
    <xf numFmtId="199" fontId="159" fillId="0" borderId="0" xfId="86" applyNumberFormat="1" applyFont="1"/>
    <xf numFmtId="43" fontId="159" fillId="0" borderId="0" xfId="86" applyNumberFormat="1" applyFont="1"/>
    <xf numFmtId="199" fontId="159" fillId="0" borderId="0" xfId="33" applyNumberFormat="1" applyFont="1"/>
    <xf numFmtId="9" fontId="159" fillId="49" borderId="137" xfId="86" applyNumberFormat="1" applyFont="1" applyFill="1" applyBorder="1" applyAlignment="1" applyProtection="1">
      <alignment horizontal="center"/>
      <protection locked="0"/>
    </xf>
    <xf numFmtId="10" fontId="159" fillId="0" borderId="0" xfId="86" applyNumberFormat="1" applyFont="1" applyAlignment="1">
      <alignment horizontal="center"/>
    </xf>
    <xf numFmtId="3" fontId="159" fillId="61" borderId="137" xfId="33" applyNumberFormat="1" applyFont="1" applyFill="1" applyBorder="1" applyAlignment="1" applyProtection="1">
      <alignment horizontal="center"/>
    </xf>
    <xf numFmtId="0" fontId="17" fillId="0" borderId="174" xfId="77" applyBorder="1" applyProtection="1">
      <protection locked="0"/>
    </xf>
    <xf numFmtId="0" fontId="17" fillId="0" borderId="190" xfId="77" applyBorder="1" applyProtection="1">
      <protection locked="0"/>
    </xf>
    <xf numFmtId="0" fontId="17" fillId="0" borderId="191" xfId="77" applyBorder="1" applyProtection="1">
      <protection locked="0"/>
    </xf>
    <xf numFmtId="0" fontId="17" fillId="0" borderId="0" xfId="77" applyProtection="1">
      <protection locked="0"/>
    </xf>
    <xf numFmtId="0" fontId="17" fillId="0" borderId="180" xfId="77" applyBorder="1" applyProtection="1">
      <protection locked="0"/>
    </xf>
    <xf numFmtId="0" fontId="17" fillId="0" borderId="192" xfId="77" applyBorder="1" applyProtection="1">
      <protection locked="0"/>
    </xf>
    <xf numFmtId="0" fontId="17" fillId="0" borderId="0" xfId="77"/>
    <xf numFmtId="0" fontId="160" fillId="0" borderId="0" xfId="77" applyFont="1" applyAlignment="1" applyProtection="1">
      <alignment horizontal="center" vertical="center"/>
      <protection locked="0"/>
    </xf>
    <xf numFmtId="0" fontId="161" fillId="0" borderId="0" xfId="77" applyFont="1" applyAlignment="1" applyProtection="1">
      <alignment horizontal="right" vertical="center"/>
      <protection locked="0"/>
    </xf>
    <xf numFmtId="174" fontId="155" fillId="0" borderId="0" xfId="77" applyNumberFormat="1" applyFont="1" applyAlignment="1" applyProtection="1">
      <alignment vertical="center"/>
      <protection locked="0"/>
    </xf>
    <xf numFmtId="172" fontId="155" fillId="0" borderId="0" xfId="77" applyNumberFormat="1" applyFont="1" applyAlignment="1" applyProtection="1">
      <alignment vertical="center"/>
      <protection locked="0"/>
    </xf>
    <xf numFmtId="0" fontId="160" fillId="0" borderId="0" xfId="77" applyFont="1" applyAlignment="1" applyProtection="1">
      <alignment horizontal="right" vertical="center"/>
      <protection locked="0"/>
    </xf>
    <xf numFmtId="0" fontId="160" fillId="0" borderId="0" xfId="77" applyFont="1" applyAlignment="1" applyProtection="1">
      <alignment vertical="center"/>
      <protection locked="0"/>
    </xf>
    <xf numFmtId="3" fontId="155" fillId="0" borderId="0" xfId="77" applyNumberFormat="1" applyFont="1" applyAlignment="1" applyProtection="1">
      <alignment vertical="center"/>
      <protection locked="0"/>
    </xf>
    <xf numFmtId="3" fontId="160" fillId="51" borderId="228" xfId="79" applyNumberFormat="1" applyFont="1" applyFill="1" applyBorder="1" applyAlignment="1" applyProtection="1">
      <alignment horizontal="center" vertical="center"/>
      <protection locked="0"/>
    </xf>
    <xf numFmtId="0" fontId="160" fillId="0" borderId="0" xfId="77" applyFont="1" applyAlignment="1" applyProtection="1">
      <alignment horizontal="left" vertical="center"/>
      <protection locked="0"/>
    </xf>
    <xf numFmtId="3" fontId="17" fillId="0" borderId="0" xfId="77" applyNumberFormat="1" applyAlignment="1" applyProtection="1">
      <alignment horizontal="center"/>
      <protection locked="0"/>
    </xf>
    <xf numFmtId="0" fontId="17" fillId="0" borderId="180" xfId="77" applyBorder="1" applyAlignment="1" applyProtection="1">
      <alignment vertical="center"/>
      <protection locked="0"/>
    </xf>
    <xf numFmtId="0" fontId="17" fillId="0" borderId="0" xfId="77" applyAlignment="1">
      <alignment vertical="center"/>
    </xf>
    <xf numFmtId="0" fontId="160" fillId="0" borderId="0" xfId="77" applyFont="1" applyAlignment="1">
      <alignment horizontal="right" vertical="center"/>
    </xf>
    <xf numFmtId="3" fontId="17" fillId="0" borderId="0" xfId="77" applyNumberFormat="1" applyAlignment="1" applyProtection="1">
      <alignment horizontal="center" vertical="center"/>
      <protection locked="0"/>
    </xf>
    <xf numFmtId="0" fontId="17" fillId="0" borderId="0" xfId="77" applyAlignment="1" applyProtection="1">
      <alignment vertical="center"/>
      <protection locked="0"/>
    </xf>
    <xf numFmtId="0" fontId="160" fillId="0" borderId="0" xfId="77" applyFont="1" applyAlignment="1" applyProtection="1">
      <alignment horizontal="right"/>
      <protection locked="0"/>
    </xf>
    <xf numFmtId="3" fontId="141" fillId="65" borderId="70" xfId="79" applyNumberFormat="1" applyFont="1" applyFill="1" applyBorder="1" applyAlignment="1" applyProtection="1">
      <alignment horizontal="center" vertical="center"/>
    </xf>
    <xf numFmtId="3" fontId="160" fillId="0" borderId="0" xfId="79" applyNumberFormat="1" applyFont="1" applyFill="1" applyBorder="1" applyAlignment="1" applyProtection="1">
      <alignment horizontal="center" vertical="center"/>
    </xf>
    <xf numFmtId="0" fontId="162" fillId="52" borderId="0" xfId="85" applyFont="1" applyFill="1" applyAlignment="1">
      <alignment horizontal="left" vertical="top"/>
    </xf>
    <xf numFmtId="0" fontId="125" fillId="0" borderId="0" xfId="77" applyFont="1" applyAlignment="1">
      <alignment horizontal="right" vertical="top"/>
    </xf>
    <xf numFmtId="0" fontId="149" fillId="52" borderId="0" xfId="85" applyFont="1" applyFill="1" applyAlignment="1">
      <alignment horizontal="left" vertical="top"/>
    </xf>
    <xf numFmtId="0" fontId="125" fillId="52" borderId="0" xfId="77" applyFont="1" applyFill="1" applyAlignment="1">
      <alignment vertical="top"/>
    </xf>
    <xf numFmtId="0" fontId="125" fillId="52" borderId="0" xfId="77" applyFont="1" applyFill="1"/>
    <xf numFmtId="0" fontId="149" fillId="0" borderId="0" xfId="85" applyFont="1" applyAlignment="1">
      <alignment vertical="top" wrapText="1"/>
    </xf>
    <xf numFmtId="0" fontId="149" fillId="52" borderId="0" xfId="85" applyFont="1" applyFill="1" applyAlignment="1">
      <alignment vertical="top" wrapText="1"/>
    </xf>
    <xf numFmtId="0" fontId="139" fillId="0" borderId="0" xfId="85" applyFont="1" applyAlignment="1" applyProtection="1">
      <alignment horizontal="right"/>
      <protection locked="0"/>
    </xf>
    <xf numFmtId="0" fontId="139" fillId="0" borderId="0" xfId="85" applyFont="1" applyAlignment="1" applyProtection="1">
      <alignment horizontal="left"/>
      <protection locked="0"/>
    </xf>
    <xf numFmtId="0" fontId="127" fillId="0" borderId="0" xfId="85" applyFont="1" applyAlignment="1">
      <alignment horizontal="center"/>
    </xf>
    <xf numFmtId="0" fontId="130" fillId="0" borderId="180" xfId="85" applyFont="1" applyBorder="1" applyAlignment="1" applyProtection="1">
      <alignment horizontal="center" vertical="center"/>
      <protection locked="0"/>
    </xf>
    <xf numFmtId="0" fontId="130" fillId="0" borderId="0" xfId="85" applyFont="1" applyAlignment="1" applyProtection="1">
      <alignment horizontal="center" vertical="center"/>
      <protection locked="0"/>
    </xf>
    <xf numFmtId="0" fontId="126" fillId="0" borderId="0" xfId="85" applyFont="1" applyAlignment="1" applyProtection="1">
      <alignment horizontal="center" vertical="center"/>
      <protection locked="0"/>
    </xf>
    <xf numFmtId="0" fontId="126" fillId="0" borderId="0" xfId="77" applyFont="1" applyProtection="1">
      <protection locked="0"/>
    </xf>
    <xf numFmtId="0" fontId="126" fillId="0" borderId="0" xfId="85" applyFont="1" applyAlignment="1" applyProtection="1">
      <alignment vertical="center"/>
      <protection locked="0"/>
    </xf>
    <xf numFmtId="0" fontId="126" fillId="0" borderId="0" xfId="85" applyFont="1" applyAlignment="1" applyProtection="1">
      <alignment horizontal="center"/>
      <protection locked="0"/>
    </xf>
    <xf numFmtId="0" fontId="126" fillId="0" borderId="0" xfId="85" quotePrefix="1" applyFont="1" applyAlignment="1" applyProtection="1">
      <alignment horizontal="center" vertical="center"/>
      <protection locked="0"/>
    </xf>
    <xf numFmtId="0" fontId="128" fillId="0" borderId="180" xfId="77" applyFont="1" applyBorder="1" applyProtection="1">
      <protection locked="0"/>
    </xf>
    <xf numFmtId="0" fontId="140" fillId="0" borderId="0" xfId="85" applyFont="1" applyAlignment="1" applyProtection="1">
      <alignment horizontal="center" vertical="center"/>
      <protection locked="0"/>
    </xf>
    <xf numFmtId="0" fontId="128" fillId="0" borderId="192" xfId="77" applyFont="1" applyBorder="1" applyProtection="1">
      <protection locked="0"/>
    </xf>
    <xf numFmtId="0" fontId="17" fillId="0" borderId="193" xfId="77" applyBorder="1" applyProtection="1">
      <protection locked="0"/>
    </xf>
    <xf numFmtId="0" fontId="17" fillId="0" borderId="194" xfId="77" applyBorder="1" applyProtection="1">
      <protection locked="0"/>
    </xf>
    <xf numFmtId="0" fontId="17" fillId="0" borderId="195" xfId="77" applyBorder="1" applyProtection="1">
      <protection locked="0"/>
    </xf>
    <xf numFmtId="0" fontId="162" fillId="0" borderId="0" xfId="85" applyFont="1" applyAlignment="1">
      <alignment horizontal="left" vertical="top"/>
    </xf>
    <xf numFmtId="204" fontId="139" fillId="0" borderId="0" xfId="85" applyNumberFormat="1" applyFont="1" applyAlignment="1" applyProtection="1">
      <alignment horizontal="left"/>
      <protection locked="0"/>
    </xf>
    <xf numFmtId="0" fontId="17" fillId="0" borderId="190" xfId="77" applyBorder="1" applyAlignment="1" applyProtection="1">
      <alignment horizontal="center"/>
      <protection locked="0"/>
    </xf>
    <xf numFmtId="0" fontId="17" fillId="0" borderId="0" xfId="85" applyFont="1" applyProtection="1">
      <protection locked="0"/>
    </xf>
    <xf numFmtId="0" fontId="17" fillId="0" borderId="0" xfId="77" applyAlignment="1" applyProtection="1">
      <alignment horizontal="center"/>
      <protection locked="0"/>
    </xf>
    <xf numFmtId="0" fontId="49" fillId="0" borderId="0" xfId="77" applyFont="1" applyProtection="1">
      <protection locked="0"/>
    </xf>
    <xf numFmtId="0" fontId="130" fillId="0" borderId="0" xfId="77" applyFont="1" applyAlignment="1">
      <alignment horizontal="right"/>
    </xf>
    <xf numFmtId="0" fontId="130" fillId="0" borderId="0" xfId="77" applyFont="1" applyAlignment="1">
      <alignment horizontal="left"/>
    </xf>
    <xf numFmtId="0" fontId="49" fillId="0" borderId="0" xfId="77" applyFont="1"/>
    <xf numFmtId="0" fontId="49" fillId="0" borderId="0" xfId="77" applyFont="1" applyAlignment="1">
      <alignment horizontal="center"/>
    </xf>
    <xf numFmtId="0" fontId="49" fillId="0" borderId="0" xfId="77" applyFont="1" applyAlignment="1">
      <alignment horizontal="right"/>
    </xf>
    <xf numFmtId="0" fontId="155" fillId="0" borderId="0" xfId="77" applyFont="1" applyAlignment="1">
      <alignment horizontal="right"/>
    </xf>
    <xf numFmtId="282" fontId="130" fillId="0" borderId="0" xfId="77" applyNumberFormat="1" applyFont="1" applyAlignment="1">
      <alignment horizontal="left"/>
    </xf>
    <xf numFmtId="177" fontId="130" fillId="51" borderId="196" xfId="83" applyNumberFormat="1" applyFont="1" applyFill="1" applyBorder="1" applyAlignment="1" applyProtection="1">
      <alignment horizontal="center" vertical="center"/>
      <protection locked="0"/>
    </xf>
    <xf numFmtId="0" fontId="155" fillId="0" borderId="0" xfId="77" applyFont="1" applyAlignment="1">
      <alignment horizontal="center"/>
    </xf>
    <xf numFmtId="0" fontId="130" fillId="51" borderId="196" xfId="85" applyFont="1" applyFill="1" applyBorder="1" applyAlignment="1">
      <alignment horizontal="center" vertical="center"/>
    </xf>
    <xf numFmtId="0" fontId="155" fillId="0" borderId="0" xfId="77" applyFont="1"/>
    <xf numFmtId="283" fontId="130" fillId="0" borderId="0" xfId="77" applyNumberFormat="1" applyFont="1" applyAlignment="1">
      <alignment horizontal="center"/>
    </xf>
    <xf numFmtId="177" fontId="130" fillId="0" borderId="196" xfId="83" applyNumberFormat="1" applyFont="1" applyFill="1" applyBorder="1" applyAlignment="1" applyProtection="1">
      <alignment horizontal="center" vertical="center"/>
      <protection locked="0"/>
    </xf>
    <xf numFmtId="9" fontId="130" fillId="58" borderId="196" xfId="79" applyFont="1" applyFill="1" applyBorder="1" applyAlignment="1" applyProtection="1">
      <alignment horizontal="center" vertical="center"/>
      <protection locked="0"/>
    </xf>
    <xf numFmtId="0" fontId="126" fillId="0" borderId="0" xfId="85" applyFont="1"/>
    <xf numFmtId="299" fontId="130" fillId="0" borderId="0" xfId="77" applyNumberFormat="1" applyFont="1" applyAlignment="1">
      <alignment horizontal="left"/>
    </xf>
    <xf numFmtId="299" fontId="130" fillId="0" borderId="0" xfId="77" applyNumberFormat="1" applyFont="1"/>
    <xf numFmtId="0" fontId="17" fillId="46" borderId="0" xfId="77" applyFill="1" applyAlignment="1" applyProtection="1">
      <alignment horizontal="center"/>
      <protection locked="0"/>
    </xf>
    <xf numFmtId="9" fontId="130" fillId="0" borderId="0" xfId="77" applyNumberFormat="1" applyFont="1" applyAlignment="1">
      <alignment horizontal="left"/>
    </xf>
    <xf numFmtId="0" fontId="126" fillId="0" borderId="0" xfId="85" applyFont="1" applyProtection="1">
      <protection locked="0"/>
    </xf>
    <xf numFmtId="9" fontId="130" fillId="0" borderId="0" xfId="77" applyNumberFormat="1" applyFont="1" applyAlignment="1">
      <alignment horizontal="right"/>
    </xf>
    <xf numFmtId="174" fontId="160" fillId="0" borderId="0" xfId="79" applyNumberFormat="1" applyFont="1" applyFill="1" applyBorder="1" applyAlignment="1" applyProtection="1">
      <alignment horizontal="left"/>
    </xf>
    <xf numFmtId="0" fontId="52" fillId="0" borderId="0" xfId="77" applyFont="1" applyAlignment="1" applyProtection="1">
      <alignment vertical="center"/>
      <protection locked="0"/>
    </xf>
    <xf numFmtId="0" fontId="52" fillId="0" borderId="192" xfId="77" applyFont="1" applyBorder="1" applyAlignment="1" applyProtection="1">
      <alignment vertical="center"/>
      <protection locked="0"/>
    </xf>
    <xf numFmtId="0" fontId="152" fillId="0" borderId="0" xfId="77" applyFont="1" applyAlignment="1" applyProtection="1">
      <alignment horizontal="center"/>
      <protection locked="0"/>
    </xf>
    <xf numFmtId="0" fontId="160" fillId="0" borderId="192" xfId="77" applyFont="1" applyBorder="1" applyProtection="1">
      <protection locked="0"/>
    </xf>
    <xf numFmtId="0" fontId="160" fillId="0" borderId="0" xfId="85" applyFont="1" applyAlignment="1" applyProtection="1">
      <alignment horizontal="center"/>
      <protection locked="0"/>
    </xf>
    <xf numFmtId="0" fontId="160" fillId="0" borderId="0" xfId="77" applyFont="1" applyAlignment="1" applyProtection="1">
      <alignment horizontal="center" vertical="center" wrapText="1"/>
      <protection locked="0"/>
    </xf>
    <xf numFmtId="0" fontId="160" fillId="0" borderId="192" xfId="77" applyFont="1" applyBorder="1" applyAlignment="1" applyProtection="1">
      <alignment vertical="center"/>
      <protection locked="0"/>
    </xf>
    <xf numFmtId="0" fontId="160" fillId="0" borderId="0" xfId="85" applyFont="1" applyAlignment="1" applyProtection="1">
      <alignment horizontal="center" vertical="center"/>
      <protection locked="0"/>
    </xf>
    <xf numFmtId="3" fontId="160" fillId="47" borderId="0" xfId="77" applyNumberFormat="1" applyFont="1" applyFill="1" applyAlignment="1" applyProtection="1">
      <alignment horizontal="center" vertical="center"/>
      <protection locked="0"/>
    </xf>
    <xf numFmtId="0" fontId="160" fillId="0" borderId="0" xfId="77" applyFont="1" applyAlignment="1">
      <alignment horizontal="center" vertical="center"/>
    </xf>
    <xf numFmtId="0" fontId="160" fillId="0" borderId="0" xfId="77" applyFont="1" applyAlignment="1">
      <alignment horizontal="center" vertical="center" wrapText="1"/>
    </xf>
    <xf numFmtId="0" fontId="160" fillId="0" borderId="0" xfId="77" applyFont="1" applyAlignment="1">
      <alignment vertical="center" wrapText="1"/>
    </xf>
    <xf numFmtId="0" fontId="160" fillId="0" borderId="0" xfId="77" applyFont="1" applyAlignment="1">
      <alignment vertical="center"/>
    </xf>
    <xf numFmtId="172" fontId="160" fillId="52" borderId="0" xfId="77" applyNumberFormat="1" applyFont="1" applyFill="1" applyAlignment="1">
      <alignment horizontal="center" vertical="center"/>
    </xf>
    <xf numFmtId="174" fontId="163" fillId="52" borderId="0" xfId="79" applyNumberFormat="1" applyFont="1" applyFill="1" applyBorder="1" applyAlignment="1" applyProtection="1">
      <alignment vertical="center"/>
    </xf>
    <xf numFmtId="174" fontId="163" fillId="0" borderId="0" xfId="79" applyNumberFormat="1" applyFont="1" applyBorder="1" applyAlignment="1" applyProtection="1">
      <alignment vertical="center"/>
    </xf>
    <xf numFmtId="174" fontId="155" fillId="0" borderId="0" xfId="79" applyNumberFormat="1" applyFont="1" applyFill="1" applyBorder="1" applyAlignment="1" applyProtection="1">
      <alignment vertical="center"/>
    </xf>
    <xf numFmtId="170" fontId="160" fillId="0" borderId="192" xfId="77" applyNumberFormat="1" applyFont="1" applyBorder="1" applyAlignment="1" applyProtection="1">
      <alignment horizontal="center" vertical="center"/>
      <protection locked="0"/>
    </xf>
    <xf numFmtId="0" fontId="164" fillId="0" borderId="0" xfId="77" applyFont="1" applyAlignment="1">
      <alignment horizontal="left" vertical="center"/>
    </xf>
    <xf numFmtId="0" fontId="165" fillId="0" borderId="0" xfId="77" applyFont="1" applyAlignment="1">
      <alignment vertical="center"/>
    </xf>
    <xf numFmtId="284" fontId="160" fillId="0" borderId="0" xfId="79" applyNumberFormat="1" applyFont="1" applyFill="1" applyBorder="1" applyAlignment="1" applyProtection="1">
      <alignment vertical="center"/>
    </xf>
    <xf numFmtId="172" fontId="155" fillId="0" borderId="0" xfId="77" applyNumberFormat="1" applyFont="1" applyAlignment="1">
      <alignment horizontal="center" vertical="center"/>
    </xf>
    <xf numFmtId="284" fontId="160" fillId="0" borderId="0" xfId="79" applyNumberFormat="1" applyFont="1" applyFill="1" applyBorder="1" applyAlignment="1" applyProtection="1">
      <alignment horizontal="center" vertical="center"/>
    </xf>
    <xf numFmtId="174" fontId="165" fillId="0" borderId="0" xfId="79" applyNumberFormat="1" applyFont="1" applyFill="1" applyBorder="1" applyAlignment="1" applyProtection="1">
      <alignment horizontal="center" vertical="center"/>
    </xf>
    <xf numFmtId="170" fontId="155" fillId="0" borderId="0" xfId="77" applyNumberFormat="1" applyFont="1" applyAlignment="1" applyProtection="1">
      <alignment horizontal="center" vertical="center"/>
      <protection locked="0"/>
    </xf>
    <xf numFmtId="174" fontId="165" fillId="0" borderId="0" xfId="79" applyNumberFormat="1" applyFont="1" applyBorder="1" applyAlignment="1" applyProtection="1">
      <alignment vertical="center"/>
    </xf>
    <xf numFmtId="170" fontId="155" fillId="0" borderId="192" xfId="77" applyNumberFormat="1" applyFont="1" applyBorder="1" applyAlignment="1" applyProtection="1">
      <alignment horizontal="right" vertical="center"/>
      <protection locked="0"/>
    </xf>
    <xf numFmtId="1" fontId="160" fillId="0" borderId="0" xfId="79" applyNumberFormat="1" applyFont="1" applyBorder="1" applyAlignment="1" applyProtection="1">
      <alignment horizontal="center" vertical="center"/>
    </xf>
    <xf numFmtId="174" fontId="165" fillId="0" borderId="0" xfId="79" applyNumberFormat="1" applyFont="1" applyBorder="1" applyAlignment="1" applyProtection="1">
      <alignment horizontal="center" vertical="center"/>
    </xf>
    <xf numFmtId="0" fontId="165" fillId="0" borderId="0" xfId="77" applyFont="1" applyAlignment="1">
      <alignment horizontal="left" vertical="center"/>
    </xf>
    <xf numFmtId="0" fontId="163" fillId="0" borderId="0" xfId="77" applyFont="1" applyAlignment="1">
      <alignment vertical="center"/>
    </xf>
    <xf numFmtId="285" fontId="155" fillId="0" borderId="0" xfId="79" applyNumberFormat="1" applyFont="1" applyBorder="1" applyAlignment="1" applyProtection="1">
      <alignment vertical="center"/>
    </xf>
    <xf numFmtId="285" fontId="155" fillId="0" borderId="0" xfId="79" applyNumberFormat="1" applyFont="1" applyBorder="1" applyAlignment="1" applyProtection="1">
      <alignment horizontal="center" vertical="center"/>
    </xf>
    <xf numFmtId="39" fontId="155" fillId="0" borderId="0" xfId="77" applyNumberFormat="1" applyFont="1" applyAlignment="1">
      <alignment vertical="center"/>
    </xf>
    <xf numFmtId="39" fontId="155" fillId="0" borderId="0" xfId="77" applyNumberFormat="1" applyFont="1" applyAlignment="1">
      <alignment horizontal="center" vertical="center"/>
    </xf>
    <xf numFmtId="170" fontId="164" fillId="0" borderId="0" xfId="77" applyNumberFormat="1" applyFont="1" applyAlignment="1">
      <alignment horizontal="left" vertical="center"/>
    </xf>
    <xf numFmtId="172" fontId="155" fillId="0" borderId="0" xfId="85" applyNumberFormat="1" applyFont="1" applyAlignment="1" applyProtection="1">
      <alignment horizontal="center" vertical="center"/>
      <protection locked="0"/>
    </xf>
    <xf numFmtId="0" fontId="166" fillId="0" borderId="0" xfId="77" applyFont="1" applyAlignment="1">
      <alignment horizontal="left" vertical="center"/>
    </xf>
    <xf numFmtId="172" fontId="155" fillId="0" borderId="0" xfId="77" applyNumberFormat="1" applyFont="1" applyAlignment="1">
      <alignment horizontal="right" vertical="center"/>
    </xf>
    <xf numFmtId="174" fontId="155" fillId="0" borderId="0" xfId="79" applyNumberFormat="1" applyFont="1" applyBorder="1" applyAlignment="1" applyProtection="1">
      <alignment vertical="center"/>
    </xf>
    <xf numFmtId="170" fontId="165" fillId="0" borderId="0" xfId="77" applyNumberFormat="1" applyFont="1" applyAlignment="1">
      <alignment vertical="center"/>
    </xf>
    <xf numFmtId="3" fontId="155" fillId="0" borderId="0" xfId="85" applyNumberFormat="1" applyFont="1" applyAlignment="1" applyProtection="1">
      <alignment horizontal="center" vertical="center"/>
      <protection locked="0"/>
    </xf>
    <xf numFmtId="1" fontId="155" fillId="0" borderId="0" xfId="77" applyNumberFormat="1" applyFont="1" applyAlignment="1">
      <alignment vertical="center"/>
    </xf>
    <xf numFmtId="3" fontId="160" fillId="0" borderId="0" xfId="77" applyNumberFormat="1" applyFont="1" applyAlignment="1">
      <alignment horizontal="center" vertical="center"/>
    </xf>
    <xf numFmtId="173" fontId="165" fillId="0" borderId="0" xfId="77" applyNumberFormat="1" applyFont="1" applyAlignment="1">
      <alignment vertical="center"/>
    </xf>
    <xf numFmtId="170" fontId="165" fillId="0" borderId="192" xfId="77" applyNumberFormat="1" applyFont="1" applyBorder="1" applyAlignment="1" applyProtection="1">
      <alignment horizontal="right" vertical="center"/>
      <protection locked="0"/>
    </xf>
    <xf numFmtId="0" fontId="161" fillId="0" borderId="0" xfId="77" applyFont="1" applyAlignment="1">
      <alignment horizontal="right" vertical="center"/>
    </xf>
    <xf numFmtId="2" fontId="163" fillId="0" borderId="0" xfId="79" applyNumberFormat="1" applyFont="1" applyFill="1" applyBorder="1" applyAlignment="1" applyProtection="1">
      <alignment vertical="center"/>
      <protection locked="0"/>
    </xf>
    <xf numFmtId="170" fontId="160" fillId="0" borderId="192" xfId="79" applyNumberFormat="1" applyFont="1" applyFill="1" applyBorder="1" applyAlignment="1" applyProtection="1">
      <alignment horizontal="center" vertical="center"/>
      <protection locked="0"/>
    </xf>
    <xf numFmtId="174" fontId="160" fillId="64" borderId="228" xfId="79" applyNumberFormat="1" applyFont="1" applyFill="1" applyBorder="1" applyAlignment="1" applyProtection="1">
      <alignment horizontal="center" vertical="center"/>
      <protection locked="0"/>
    </xf>
    <xf numFmtId="174" fontId="160" fillId="0" borderId="0" xfId="77" applyNumberFormat="1" applyFont="1" applyAlignment="1" applyProtection="1">
      <alignment horizontal="right" vertical="center"/>
      <protection locked="0"/>
    </xf>
    <xf numFmtId="174" fontId="160" fillId="51" borderId="228" xfId="79" applyNumberFormat="1" applyFont="1" applyFill="1" applyBorder="1" applyAlignment="1" applyProtection="1">
      <alignment horizontal="center" vertical="center"/>
      <protection locked="0"/>
    </xf>
    <xf numFmtId="2" fontId="167" fillId="0" borderId="0" xfId="79" applyNumberFormat="1" applyFont="1" applyFill="1" applyBorder="1" applyAlignment="1" applyProtection="1">
      <alignment horizontal="left" vertical="center"/>
      <protection locked="0"/>
    </xf>
    <xf numFmtId="2" fontId="163" fillId="0" borderId="0" xfId="79" applyNumberFormat="1" applyFont="1" applyFill="1" applyBorder="1" applyAlignment="1" applyProtection="1">
      <alignment horizontal="left" vertical="center"/>
      <protection locked="0"/>
    </xf>
    <xf numFmtId="2" fontId="163" fillId="0" borderId="0" xfId="79" applyNumberFormat="1" applyFont="1" applyFill="1" applyBorder="1" applyAlignment="1" applyProtection="1">
      <alignment horizontal="center" vertical="center"/>
      <protection locked="0"/>
    </xf>
    <xf numFmtId="170" fontId="165" fillId="0" borderId="0" xfId="77" applyNumberFormat="1" applyFont="1" applyAlignment="1">
      <alignment horizontal="center" vertical="center"/>
    </xf>
    <xf numFmtId="174" fontId="163" fillId="0" borderId="0" xfId="79" applyNumberFormat="1" applyFont="1" applyBorder="1" applyAlignment="1" applyProtection="1">
      <alignment horizontal="right" vertical="center"/>
    </xf>
    <xf numFmtId="174" fontId="160" fillId="52" borderId="0" xfId="77" applyNumberFormat="1" applyFont="1" applyFill="1" applyAlignment="1">
      <alignment horizontal="center" vertical="center"/>
    </xf>
    <xf numFmtId="174" fontId="155" fillId="0" borderId="0" xfId="77" applyNumberFormat="1" applyFont="1" applyAlignment="1">
      <alignment vertical="center"/>
    </xf>
    <xf numFmtId="174" fontId="163" fillId="52" borderId="0" xfId="79" applyNumberFormat="1" applyFont="1" applyFill="1" applyBorder="1" applyAlignment="1" applyProtection="1">
      <alignment horizontal="center" vertical="center"/>
    </xf>
    <xf numFmtId="3" fontId="141" fillId="65" borderId="228" xfId="79" applyNumberFormat="1" applyFont="1" applyFill="1" applyBorder="1" applyAlignment="1" applyProtection="1">
      <alignment horizontal="center" vertical="center"/>
      <protection locked="0"/>
    </xf>
    <xf numFmtId="9" fontId="163" fillId="0" borderId="0" xfId="79" applyFont="1" applyFill="1" applyBorder="1" applyAlignment="1" applyProtection="1">
      <alignment horizontal="center" vertical="center"/>
      <protection locked="0"/>
    </xf>
    <xf numFmtId="0" fontId="106" fillId="0" borderId="0" xfId="77" applyFont="1"/>
    <xf numFmtId="0" fontId="106" fillId="0" borderId="0" xfId="77" applyFont="1" applyAlignment="1">
      <alignment horizontal="right"/>
    </xf>
    <xf numFmtId="9" fontId="168" fillId="0" borderId="0" xfId="79" applyFont="1" applyFill="1" applyBorder="1" applyAlignment="1" applyProtection="1">
      <alignment horizontal="center"/>
    </xf>
    <xf numFmtId="170" fontId="49" fillId="0" borderId="192" xfId="79" applyNumberFormat="1" applyFont="1" applyFill="1" applyBorder="1" applyAlignment="1" applyProtection="1">
      <alignment horizontal="center"/>
      <protection locked="0"/>
    </xf>
    <xf numFmtId="3" fontId="17" fillId="0" borderId="0" xfId="85" applyNumberFormat="1" applyFont="1" applyAlignment="1" applyProtection="1">
      <alignment horizontal="center"/>
      <protection locked="0"/>
    </xf>
    <xf numFmtId="3" fontId="52" fillId="0" borderId="0" xfId="79" applyNumberFormat="1" applyFont="1" applyFill="1" applyBorder="1" applyAlignment="1" applyProtection="1">
      <alignment horizontal="center"/>
    </xf>
    <xf numFmtId="174" fontId="130" fillId="0" borderId="0" xfId="77" applyNumberFormat="1" applyFont="1" applyAlignment="1">
      <alignment horizontal="right"/>
    </xf>
    <xf numFmtId="0" fontId="106" fillId="0" borderId="0" xfId="77" applyFont="1" applyAlignment="1" applyProtection="1">
      <alignment horizontal="right" vertical="center"/>
      <protection locked="0"/>
    </xf>
    <xf numFmtId="3" fontId="160" fillId="64" borderId="228" xfId="79" applyNumberFormat="1" applyFont="1" applyFill="1" applyBorder="1" applyAlignment="1" applyProtection="1">
      <alignment horizontal="center" vertical="center"/>
      <protection locked="0"/>
    </xf>
    <xf numFmtId="3" fontId="160" fillId="0" borderId="0" xfId="79" applyNumberFormat="1" applyFont="1" applyFill="1" applyBorder="1" applyAlignment="1" applyProtection="1">
      <alignment vertical="center"/>
      <protection locked="0"/>
    </xf>
    <xf numFmtId="0" fontId="130" fillId="0" borderId="0" xfId="77" applyFont="1" applyAlignment="1" applyProtection="1">
      <alignment horizontal="left" vertical="center"/>
      <protection locked="0"/>
    </xf>
    <xf numFmtId="9" fontId="168" fillId="0" borderId="0" xfId="79" applyFont="1" applyFill="1" applyBorder="1" applyAlignment="1" applyProtection="1">
      <alignment horizontal="center" vertical="center"/>
    </xf>
    <xf numFmtId="0" fontId="106" fillId="0" borderId="0" xfId="77" applyFont="1" applyAlignment="1">
      <alignment horizontal="right" vertical="center"/>
    </xf>
    <xf numFmtId="170" fontId="49" fillId="0" borderId="192" xfId="79" applyNumberFormat="1" applyFont="1" applyFill="1" applyBorder="1" applyAlignment="1" applyProtection="1">
      <alignment horizontal="center" vertical="center"/>
      <protection locked="0"/>
    </xf>
    <xf numFmtId="3" fontId="17" fillId="0" borderId="0" xfId="85" applyNumberFormat="1" applyFont="1" applyAlignment="1" applyProtection="1">
      <alignment horizontal="center" vertical="center"/>
      <protection locked="0"/>
    </xf>
    <xf numFmtId="0" fontId="106" fillId="0" borderId="0" xfId="77" applyFont="1" applyAlignment="1" applyProtection="1">
      <alignment vertical="center"/>
      <protection locked="0"/>
    </xf>
    <xf numFmtId="9" fontId="160" fillId="0" borderId="0" xfId="79" applyFont="1" applyBorder="1" applyAlignment="1" applyProtection="1">
      <alignment horizontal="center" vertical="center"/>
      <protection locked="0"/>
    </xf>
    <xf numFmtId="0" fontId="130" fillId="0" borderId="0" xfId="77" applyFont="1" applyAlignment="1" applyProtection="1">
      <alignment horizontal="right" vertical="center"/>
      <protection locked="0"/>
    </xf>
    <xf numFmtId="174" fontId="160" fillId="0" borderId="0" xfId="79" applyNumberFormat="1" applyFont="1" applyFill="1" applyBorder="1" applyAlignment="1" applyProtection="1">
      <alignment vertical="center"/>
      <protection locked="0"/>
    </xf>
    <xf numFmtId="10" fontId="160" fillId="64" borderId="228" xfId="79" applyNumberFormat="1" applyFont="1" applyFill="1" applyBorder="1" applyAlignment="1" applyProtection="1">
      <alignment horizontal="center" vertical="center"/>
      <protection locked="0"/>
    </xf>
    <xf numFmtId="0" fontId="106" fillId="0" borderId="0" xfId="77" applyFont="1" applyProtection="1">
      <protection locked="0"/>
    </xf>
    <xf numFmtId="0" fontId="106" fillId="0" borderId="0" xfId="77" applyFont="1" applyAlignment="1" applyProtection="1">
      <alignment horizontal="right"/>
      <protection locked="0"/>
    </xf>
    <xf numFmtId="9" fontId="160" fillId="0" borderId="229" xfId="77" applyNumberFormat="1" applyFont="1" applyBorder="1" applyAlignment="1" applyProtection="1">
      <alignment horizontal="center"/>
      <protection locked="0"/>
    </xf>
    <xf numFmtId="0" fontId="130" fillId="0" borderId="0" xfId="77" applyFont="1" applyAlignment="1" applyProtection="1">
      <alignment horizontal="right"/>
      <protection locked="0"/>
    </xf>
    <xf numFmtId="0" fontId="130" fillId="0" borderId="0" xfId="77" applyFont="1" applyAlignment="1" applyProtection="1">
      <alignment horizontal="left"/>
      <protection locked="0"/>
    </xf>
    <xf numFmtId="0" fontId="106" fillId="52" borderId="0" xfId="77" applyFont="1" applyFill="1" applyAlignment="1">
      <alignment horizontal="right"/>
    </xf>
    <xf numFmtId="0" fontId="17" fillId="52" borderId="0" xfId="77" applyFill="1"/>
    <xf numFmtId="0" fontId="130" fillId="52" borderId="0" xfId="77" applyFont="1" applyFill="1" applyAlignment="1">
      <alignment horizontal="right"/>
    </xf>
    <xf numFmtId="3" fontId="52" fillId="52" borderId="0" xfId="79" applyNumberFormat="1" applyFont="1" applyFill="1" applyBorder="1" applyAlignment="1" applyProtection="1">
      <alignment horizontal="center"/>
    </xf>
    <xf numFmtId="9" fontId="168" fillId="52" borderId="0" xfId="79" applyFont="1" applyFill="1" applyBorder="1" applyAlignment="1" applyProtection="1">
      <alignment horizontal="center"/>
    </xf>
    <xf numFmtId="0" fontId="148" fillId="52" borderId="0" xfId="85" applyFont="1" applyFill="1" applyAlignment="1">
      <alignment horizontal="left" vertical="top"/>
    </xf>
    <xf numFmtId="3" fontId="125" fillId="0" borderId="0" xfId="85" applyNumberFormat="1" applyFont="1" applyAlignment="1" applyProtection="1">
      <alignment horizontal="center"/>
      <protection locked="0"/>
    </xf>
    <xf numFmtId="0" fontId="127" fillId="0" borderId="0" xfId="85" applyFont="1"/>
    <xf numFmtId="0" fontId="128" fillId="0" borderId="0" xfId="85" applyFont="1" applyProtection="1">
      <protection locked="0"/>
    </xf>
    <xf numFmtId="0" fontId="17" fillId="0" borderId="194" xfId="77" applyBorder="1" applyAlignment="1" applyProtection="1">
      <alignment horizontal="center"/>
      <protection locked="0"/>
    </xf>
    <xf numFmtId="10" fontId="141" fillId="64" borderId="228" xfId="79" applyNumberFormat="1" applyFont="1" applyFill="1" applyBorder="1" applyAlignment="1" applyProtection="1">
      <alignment horizontal="center" vertical="center"/>
      <protection locked="0"/>
    </xf>
    <xf numFmtId="172" fontId="17" fillId="0" borderId="0" xfId="77" applyNumberFormat="1" applyProtection="1">
      <protection locked="0"/>
    </xf>
    <xf numFmtId="0" fontId="49" fillId="59" borderId="40" xfId="0" applyFont="1" applyFill="1" applyBorder="1"/>
    <xf numFmtId="0" fontId="49" fillId="59" borderId="56" xfId="0" applyFont="1" applyFill="1" applyBorder="1"/>
    <xf numFmtId="0" fontId="49" fillId="59" borderId="24" xfId="0" applyFont="1" applyFill="1" applyBorder="1"/>
    <xf numFmtId="0" fontId="49" fillId="59" borderId="26" xfId="0" applyFont="1" applyFill="1" applyBorder="1"/>
    <xf numFmtId="9" fontId="49" fillId="59" borderId="40" xfId="0" applyNumberFormat="1" applyFont="1" applyFill="1" applyBorder="1"/>
    <xf numFmtId="9" fontId="49" fillId="59" borderId="50" xfId="0" applyNumberFormat="1" applyFont="1" applyFill="1" applyBorder="1"/>
    <xf numFmtId="0" fontId="17" fillId="0" borderId="31" xfId="87" applyFont="1" applyBorder="1"/>
    <xf numFmtId="0" fontId="170" fillId="0" borderId="196" xfId="88" applyFont="1" applyBorder="1" applyAlignment="1">
      <alignment horizontal="center" vertical="center"/>
    </xf>
    <xf numFmtId="3" fontId="170" fillId="0" borderId="196" xfId="88" applyNumberFormat="1" applyFont="1" applyBorder="1" applyAlignment="1">
      <alignment horizontal="center" vertical="center"/>
    </xf>
    <xf numFmtId="174" fontId="170" fillId="0" borderId="224" xfId="79" applyNumberFormat="1" applyFont="1" applyFill="1" applyBorder="1" applyAlignment="1">
      <alignment horizontal="center" vertical="center" wrapText="1"/>
    </xf>
    <xf numFmtId="3" fontId="170" fillId="0" borderId="224" xfId="47" applyNumberFormat="1" applyFont="1" applyBorder="1" applyAlignment="1">
      <alignment horizontal="center" vertical="center"/>
    </xf>
    <xf numFmtId="3" fontId="170" fillId="0" borderId="196" xfId="47" applyNumberFormat="1" applyFont="1" applyBorder="1" applyAlignment="1">
      <alignment horizontal="center" vertical="center" wrapText="1"/>
    </xf>
    <xf numFmtId="0" fontId="170" fillId="0" borderId="196" xfId="88" applyFont="1" applyBorder="1" applyAlignment="1">
      <alignment horizontal="center" vertical="center" wrapText="1"/>
    </xf>
    <xf numFmtId="172" fontId="170" fillId="0" borderId="224" xfId="88" applyNumberFormat="1" applyFont="1" applyBorder="1" applyAlignment="1">
      <alignment horizontal="center" vertical="center" wrapText="1"/>
    </xf>
    <xf numFmtId="0" fontId="171" fillId="0" borderId="0" xfId="88" applyFont="1"/>
    <xf numFmtId="0" fontId="169" fillId="0" borderId="196" xfId="88" applyBorder="1" applyAlignment="1">
      <alignment horizontal="center"/>
    </xf>
    <xf numFmtId="0" fontId="172" fillId="0" borderId="99" xfId="88" applyFont="1" applyBorder="1" applyAlignment="1">
      <alignment horizontal="center"/>
    </xf>
    <xf numFmtId="0" fontId="172" fillId="0" borderId="99" xfId="88" applyFont="1" applyBorder="1"/>
    <xf numFmtId="3" fontId="173" fillId="0" borderId="99" xfId="83" applyNumberFormat="1" applyFont="1" applyFill="1" applyBorder="1" applyAlignment="1">
      <alignment horizontal="center"/>
    </xf>
    <xf numFmtId="174" fontId="59" fillId="0" borderId="99" xfId="79" applyNumberFormat="1" applyFont="1" applyFill="1" applyBorder="1" applyAlignment="1">
      <alignment horizontal="center"/>
    </xf>
    <xf numFmtId="174" fontId="9" fillId="0" borderId="99" xfId="79" applyNumberFormat="1" applyFont="1" applyFill="1" applyBorder="1"/>
    <xf numFmtId="170" fontId="169" fillId="0" borderId="99" xfId="88" applyNumberFormat="1" applyBorder="1"/>
    <xf numFmtId="0" fontId="172" fillId="0" borderId="100" xfId="88" applyFont="1" applyBorder="1"/>
    <xf numFmtId="3" fontId="173" fillId="0" borderId="100" xfId="83" applyNumberFormat="1" applyFont="1" applyFill="1" applyBorder="1" applyAlignment="1">
      <alignment horizontal="center"/>
    </xf>
    <xf numFmtId="174" fontId="59" fillId="0" borderId="100" xfId="79" applyNumberFormat="1" applyFont="1" applyFill="1" applyBorder="1" applyAlignment="1">
      <alignment horizontal="center"/>
    </xf>
    <xf numFmtId="174" fontId="9" fillId="0" borderId="100" xfId="79" applyNumberFormat="1" applyFont="1" applyFill="1" applyBorder="1"/>
    <xf numFmtId="170" fontId="169" fillId="0" borderId="100" xfId="88" applyNumberFormat="1" applyBorder="1"/>
    <xf numFmtId="172" fontId="131" fillId="67" borderId="100" xfId="88" applyNumberFormat="1" applyFont="1" applyFill="1" applyBorder="1"/>
    <xf numFmtId="0" fontId="170" fillId="0" borderId="224" xfId="88" applyFont="1" applyBorder="1" applyAlignment="1">
      <alignment horizontal="center" vertical="center" wrapText="1"/>
    </xf>
    <xf numFmtId="2" fontId="37" fillId="0" borderId="240" xfId="78" applyNumberFormat="1" applyFont="1" applyBorder="1" applyAlignment="1">
      <alignment horizontal="center"/>
    </xf>
    <xf numFmtId="177" fontId="37" fillId="0" borderId="241" xfId="83" applyNumberFormat="1" applyFont="1" applyBorder="1" applyAlignment="1">
      <alignment horizontal="right" vertical="center" shrinkToFit="1"/>
    </xf>
    <xf numFmtId="2" fontId="54" fillId="0" borderId="240" xfId="78" applyNumberFormat="1" applyFont="1" applyBorder="1" applyAlignment="1">
      <alignment horizontal="center"/>
    </xf>
    <xf numFmtId="2" fontId="37" fillId="40" borderId="240" xfId="78" applyNumberFormat="1" applyFont="1" applyFill="1" applyBorder="1" applyAlignment="1">
      <alignment horizontal="center"/>
    </xf>
    <xf numFmtId="2" fontId="37" fillId="0" borderId="240" xfId="58" applyNumberFormat="1" applyFont="1" applyBorder="1" applyAlignment="1">
      <alignment horizontal="center"/>
    </xf>
    <xf numFmtId="300" fontId="126" fillId="0" borderId="0" xfId="0" quotePrefix="1" applyNumberFormat="1" applyFont="1" applyAlignment="1" applyProtection="1">
      <alignment horizontal="left"/>
      <protection hidden="1"/>
    </xf>
    <xf numFmtId="0" fontId="49" fillId="0" borderId="116" xfId="0" applyFont="1" applyBorder="1" applyAlignment="1">
      <alignment vertical="center"/>
    </xf>
    <xf numFmtId="0" fontId="49" fillId="0" borderId="53" xfId="0" applyFont="1" applyBorder="1" applyAlignment="1">
      <alignment vertical="center"/>
    </xf>
    <xf numFmtId="0" fontId="49" fillId="0" borderId="54" xfId="0" applyFont="1" applyBorder="1" applyAlignment="1">
      <alignment vertical="center"/>
    </xf>
    <xf numFmtId="0" fontId="49" fillId="0" borderId="116" xfId="0" applyFont="1" applyBorder="1" applyAlignment="1">
      <alignment vertical="center" wrapText="1"/>
    </xf>
    <xf numFmtId="0" fontId="49" fillId="0" borderId="53" xfId="0" applyFont="1" applyBorder="1" applyAlignment="1">
      <alignment vertical="center" wrapText="1"/>
    </xf>
    <xf numFmtId="0" fontId="49" fillId="0" borderId="54" xfId="0" applyFont="1" applyBorder="1" applyAlignment="1">
      <alignment vertical="center" wrapText="1"/>
    </xf>
    <xf numFmtId="0" fontId="49" fillId="0" borderId="96" xfId="0" applyFont="1" applyBorder="1" applyAlignment="1">
      <alignment horizontal="center" vertical="center"/>
    </xf>
    <xf numFmtId="0" fontId="49" fillId="0" borderId="109" xfId="0" applyFont="1" applyBorder="1" applyAlignment="1">
      <alignment horizontal="left" vertical="center"/>
    </xf>
    <xf numFmtId="2" fontId="49" fillId="0" borderId="110" xfId="0" applyNumberFormat="1" applyFont="1" applyBorder="1" applyAlignment="1" applyProtection="1">
      <alignment horizontal="center" vertical="center" wrapText="1"/>
      <protection locked="0"/>
    </xf>
    <xf numFmtId="9" fontId="49" fillId="25" borderId="110" xfId="64" applyFont="1" applyFill="1" applyBorder="1" applyAlignment="1" applyProtection="1">
      <alignment horizontal="center" vertical="center" wrapText="1"/>
      <protection locked="0"/>
    </xf>
    <xf numFmtId="1" fontId="49" fillId="30" borderId="111" xfId="0" applyNumberFormat="1" applyFont="1" applyFill="1" applyBorder="1" applyAlignment="1">
      <alignment horizontal="center" vertical="center" wrapText="1"/>
    </xf>
    <xf numFmtId="301" fontId="77" fillId="0" borderId="0" xfId="47" applyNumberFormat="1" applyFont="1" applyAlignment="1">
      <alignment vertical="center"/>
    </xf>
    <xf numFmtId="9" fontId="81" fillId="0" borderId="7" xfId="64" applyFont="1" applyBorder="1" applyAlignment="1">
      <alignment vertical="center"/>
    </xf>
    <xf numFmtId="0" fontId="126" fillId="0" borderId="0" xfId="91" applyFont="1" applyAlignment="1">
      <alignment vertical="center"/>
    </xf>
    <xf numFmtId="168" fontId="126" fillId="0" borderId="251" xfId="83" applyNumberFormat="1" applyFont="1" applyBorder="1" applyAlignment="1">
      <alignment vertical="center"/>
    </xf>
    <xf numFmtId="168" fontId="178" fillId="0" borderId="251" xfId="83" applyNumberFormat="1" applyFont="1" applyBorder="1" applyAlignment="1">
      <alignment vertical="center"/>
    </xf>
    <xf numFmtId="168" fontId="179" fillId="0" borderId="251" xfId="83" applyNumberFormat="1" applyFont="1" applyBorder="1" applyAlignment="1">
      <alignment vertical="center"/>
    </xf>
    <xf numFmtId="0" fontId="126" fillId="0" borderId="256" xfId="92" applyFont="1" applyBorder="1" applyAlignment="1">
      <alignment horizontal="center" vertical="center"/>
    </xf>
    <xf numFmtId="175" fontId="126" fillId="0" borderId="251" xfId="83" applyNumberFormat="1" applyFont="1" applyBorder="1" applyAlignment="1">
      <alignment vertical="center"/>
    </xf>
    <xf numFmtId="0" fontId="126" fillId="0" borderId="0" xfId="91" applyFont="1" applyAlignment="1">
      <alignment horizontal="left" vertical="center"/>
    </xf>
    <xf numFmtId="168" fontId="126" fillId="0" borderId="251" xfId="83" applyNumberFormat="1" applyFont="1" applyBorder="1" applyAlignment="1">
      <alignment horizontal="center" vertical="center"/>
    </xf>
    <xf numFmtId="168" fontId="126" fillId="0" borderId="263" xfId="83" applyNumberFormat="1" applyFont="1" applyBorder="1" applyAlignment="1">
      <alignment vertical="center"/>
    </xf>
    <xf numFmtId="168" fontId="126" fillId="0" borderId="0" xfId="83" applyNumberFormat="1" applyFont="1" applyAlignment="1">
      <alignment vertical="center"/>
    </xf>
    <xf numFmtId="0" fontId="184" fillId="0" borderId="0" xfId="93" applyFont="1" applyAlignment="1" applyProtection="1">
      <alignment vertical="center"/>
    </xf>
    <xf numFmtId="168" fontId="179" fillId="0" borderId="0" xfId="83" applyNumberFormat="1" applyFont="1" applyAlignment="1">
      <alignment vertical="center"/>
    </xf>
    <xf numFmtId="0" fontId="185" fillId="0" borderId="0" xfId="93" applyFont="1" applyAlignment="1" applyProtection="1">
      <alignment vertical="center"/>
    </xf>
    <xf numFmtId="1" fontId="126" fillId="26" borderId="196" xfId="91" applyNumberFormat="1" applyFont="1" applyFill="1" applyBorder="1" applyAlignment="1">
      <alignment horizontal="center" vertical="center"/>
    </xf>
    <xf numFmtId="0" fontId="186" fillId="48" borderId="0" xfId="77" applyFont="1" applyFill="1" applyProtection="1">
      <protection locked="0"/>
    </xf>
    <xf numFmtId="0" fontId="186" fillId="53" borderId="0" xfId="77" applyFont="1" applyFill="1" applyProtection="1">
      <protection locked="0"/>
    </xf>
    <xf numFmtId="2" fontId="49" fillId="0" borderId="0" xfId="77" applyNumberFormat="1" applyFont="1" applyProtection="1">
      <protection locked="0"/>
    </xf>
    <xf numFmtId="170" fontId="164" fillId="0" borderId="0" xfId="77" applyNumberFormat="1" applyFont="1" applyAlignment="1">
      <alignment horizontal="right" vertical="center"/>
    </xf>
    <xf numFmtId="9" fontId="49" fillId="0" borderId="0" xfId="0" applyNumberFormat="1" applyFont="1"/>
    <xf numFmtId="0" fontId="160" fillId="0" borderId="0" xfId="77" quotePrefix="1" applyFont="1" applyAlignment="1">
      <alignment vertical="center"/>
    </xf>
    <xf numFmtId="3" fontId="17" fillId="0" borderId="0" xfId="77" applyNumberFormat="1" applyProtection="1">
      <protection locked="0"/>
    </xf>
    <xf numFmtId="3" fontId="17" fillId="0" borderId="196" xfId="0" applyNumberFormat="1" applyFont="1" applyBorder="1" applyAlignment="1">
      <alignment horizontal="center"/>
    </xf>
    <xf numFmtId="3" fontId="17" fillId="0" borderId="245" xfId="0" applyNumberFormat="1" applyFont="1" applyBorder="1" applyAlignment="1">
      <alignment horizontal="left" vertical="center"/>
    </xf>
    <xf numFmtId="3" fontId="17" fillId="0" borderId="264" xfId="0" applyNumberFormat="1" applyFont="1" applyBorder="1" applyAlignment="1">
      <alignment horizontal="left" vertical="center"/>
    </xf>
    <xf numFmtId="3" fontId="17" fillId="0" borderId="246" xfId="0" applyNumberFormat="1" applyFont="1" applyBorder="1" applyAlignment="1">
      <alignment horizontal="center" vertical="center"/>
    </xf>
    <xf numFmtId="243" fontId="17" fillId="0" borderId="0" xfId="0" applyNumberFormat="1" applyFont="1" applyAlignment="1">
      <alignment horizontal="center"/>
    </xf>
    <xf numFmtId="1" fontId="49" fillId="48" borderId="10" xfId="0" applyNumberFormat="1" applyFont="1" applyFill="1" applyBorder="1" applyAlignment="1" applyProtection="1">
      <alignment horizontal="center"/>
      <protection locked="0"/>
    </xf>
    <xf numFmtId="168" fontId="155" fillId="0" borderId="0" xfId="28" applyNumberFormat="1" applyFont="1" applyFill="1" applyBorder="1" applyAlignment="1" applyProtection="1">
      <alignment horizontal="right"/>
    </xf>
    <xf numFmtId="167" fontId="49" fillId="0" borderId="10" xfId="0" applyNumberFormat="1" applyFont="1" applyBorder="1" applyAlignment="1">
      <alignment horizontal="left" vertical="center"/>
    </xf>
    <xf numFmtId="0" fontId="49" fillId="0" borderId="10" xfId="0" applyFont="1" applyBorder="1" applyAlignment="1">
      <alignment horizontal="left" vertical="center"/>
    </xf>
    <xf numFmtId="167" fontId="49" fillId="0" borderId="0" xfId="0" applyNumberFormat="1" applyFont="1" applyAlignment="1">
      <alignment horizontal="center" vertical="center"/>
    </xf>
    <xf numFmtId="0" fontId="128" fillId="0" borderId="0" xfId="0" applyFont="1" applyAlignment="1">
      <alignment vertical="center"/>
    </xf>
    <xf numFmtId="3" fontId="49" fillId="0" borderId="7" xfId="0" applyNumberFormat="1" applyFont="1" applyBorder="1" applyAlignment="1">
      <alignment horizontal="center" vertical="center"/>
    </xf>
    <xf numFmtId="3" fontId="49" fillId="0" borderId="160" xfId="0" applyNumberFormat="1" applyFont="1" applyBorder="1" applyAlignment="1">
      <alignment horizontal="center" vertical="center"/>
    </xf>
    <xf numFmtId="215" fontId="17" fillId="0" borderId="118" xfId="0" applyNumberFormat="1" applyFont="1" applyBorder="1" applyAlignment="1">
      <alignment horizontal="center" vertical="center"/>
    </xf>
    <xf numFmtId="215" fontId="17" fillId="0" borderId="73" xfId="0" applyNumberFormat="1" applyFont="1" applyBorder="1" applyAlignment="1">
      <alignment horizontal="center" vertical="center"/>
    </xf>
    <xf numFmtId="187" fontId="17" fillId="0" borderId="46" xfId="0" applyNumberFormat="1" applyFont="1" applyBorder="1" applyAlignment="1">
      <alignment horizontal="left" vertical="center"/>
    </xf>
    <xf numFmtId="0" fontId="17" fillId="0" borderId="0" xfId="0" applyFont="1" applyAlignment="1">
      <alignment horizontal="left" vertical="center"/>
    </xf>
    <xf numFmtId="4" fontId="17" fillId="0" borderId="7" xfId="0" applyNumberFormat="1" applyFont="1" applyBorder="1" applyAlignment="1">
      <alignment horizontal="center" vertical="center"/>
    </xf>
    <xf numFmtId="185" fontId="17" fillId="0" borderId="224" xfId="0" applyNumberFormat="1" applyFont="1" applyBorder="1" applyAlignment="1">
      <alignment horizontal="center" vertical="center"/>
    </xf>
    <xf numFmtId="186" fontId="17" fillId="0" borderId="196" xfId="0" applyNumberFormat="1" applyFont="1" applyBorder="1" applyAlignment="1">
      <alignment horizontal="center" vertical="center"/>
    </xf>
    <xf numFmtId="0" fontId="49" fillId="0" borderId="163" xfId="0" applyFont="1" applyBorder="1" applyAlignment="1">
      <alignment horizontal="center" vertical="center"/>
    </xf>
    <xf numFmtId="0" fontId="150" fillId="0" borderId="202" xfId="0" applyFont="1" applyBorder="1" applyAlignment="1">
      <alignment horizontal="center"/>
    </xf>
    <xf numFmtId="185" fontId="17" fillId="0" borderId="32" xfId="0" applyNumberFormat="1" applyFont="1" applyBorder="1" applyAlignment="1">
      <alignment horizontal="center" vertical="center"/>
    </xf>
    <xf numFmtId="186" fontId="17" fillId="0" borderId="32" xfId="0" applyNumberFormat="1" applyFont="1" applyBorder="1" applyAlignment="1">
      <alignment horizontal="center" vertical="center"/>
    </xf>
    <xf numFmtId="0" fontId="49" fillId="0" borderId="33" xfId="0" applyFont="1" applyBorder="1" applyAlignment="1">
      <alignment horizontal="center" vertical="center"/>
    </xf>
    <xf numFmtId="0" fontId="49" fillId="0" borderId="47" xfId="54" applyFont="1" applyBorder="1" applyAlignment="1">
      <alignment horizontal="center" vertical="center" wrapText="1"/>
    </xf>
    <xf numFmtId="0" fontId="49" fillId="0" borderId="27" xfId="54" applyFont="1" applyBorder="1" applyAlignment="1">
      <alignment horizontal="center" vertical="center"/>
    </xf>
    <xf numFmtId="0" fontId="49" fillId="0" borderId="11" xfId="54" applyFont="1" applyBorder="1" applyAlignment="1">
      <alignment horizontal="center" vertical="center"/>
    </xf>
    <xf numFmtId="0" fontId="49" fillId="0" borderId="28" xfId="54" applyFont="1" applyBorder="1" applyAlignment="1">
      <alignment horizontal="center" vertical="center"/>
    </xf>
    <xf numFmtId="214" fontId="49" fillId="0" borderId="47" xfId="31" applyNumberFormat="1" applyFont="1" applyFill="1" applyBorder="1" applyAlignment="1">
      <alignment horizontal="center" vertical="center"/>
    </xf>
    <xf numFmtId="0" fontId="49" fillId="0" borderId="47" xfId="54" applyFont="1" applyBorder="1" applyAlignment="1">
      <alignment horizontal="center" vertical="center"/>
    </xf>
    <xf numFmtId="0" fontId="49" fillId="0" borderId="18" xfId="54" applyFont="1" applyBorder="1" applyAlignment="1">
      <alignment horizontal="center" vertical="center" wrapText="1"/>
    </xf>
    <xf numFmtId="0" fontId="49" fillId="0" borderId="17" xfId="54" applyFont="1" applyBorder="1" applyAlignment="1">
      <alignment horizontal="center" vertical="center" wrapText="1"/>
    </xf>
    <xf numFmtId="214" fontId="49" fillId="0" borderId="17" xfId="31" applyNumberFormat="1" applyFont="1" applyFill="1" applyBorder="1" applyAlignment="1">
      <alignment horizontal="center" vertical="center"/>
    </xf>
    <xf numFmtId="0" fontId="49" fillId="0" borderId="17" xfId="54" applyFont="1" applyBorder="1" applyAlignment="1">
      <alignment horizontal="center" vertical="center"/>
    </xf>
    <xf numFmtId="0" fontId="49" fillId="0" borderId="18" xfId="54" applyFont="1" applyBorder="1" applyAlignment="1">
      <alignment horizontal="center" vertical="center"/>
    </xf>
    <xf numFmtId="1" fontId="17" fillId="0" borderId="18" xfId="54" applyNumberFormat="1" applyFont="1" applyBorder="1" applyAlignment="1">
      <alignment horizontal="center" vertical="center"/>
    </xf>
    <xf numFmtId="0" fontId="17" fillId="0" borderId="18" xfId="54" applyFont="1" applyBorder="1" applyAlignment="1">
      <alignment vertical="center"/>
    </xf>
    <xf numFmtId="2" fontId="17" fillId="0" borderId="0" xfId="0" applyNumberFormat="1" applyFont="1" applyAlignment="1">
      <alignment horizontal="center"/>
    </xf>
    <xf numFmtId="0" fontId="17" fillId="0" borderId="0" xfId="0" quotePrefix="1" applyFont="1"/>
    <xf numFmtId="0" fontId="187" fillId="0" borderId="0" xfId="0" applyFont="1"/>
    <xf numFmtId="0" fontId="92" fillId="0" borderId="40" xfId="0" applyFont="1" applyBorder="1" applyAlignment="1">
      <alignment horizontal="left" vertical="center"/>
    </xf>
    <xf numFmtId="0" fontId="92" fillId="0" borderId="10" xfId="0" applyFont="1" applyBorder="1" applyAlignment="1">
      <alignment horizontal="center" vertical="center"/>
    </xf>
    <xf numFmtId="0" fontId="92" fillId="0" borderId="22" xfId="0" applyFont="1" applyBorder="1" applyAlignment="1">
      <alignment horizontal="left" vertical="center"/>
    </xf>
    <xf numFmtId="294" fontId="17" fillId="0" borderId="163" xfId="28" applyNumberFormat="1" applyFont="1" applyFill="1" applyBorder="1" applyAlignment="1">
      <alignment horizontal="center" vertical="center"/>
    </xf>
    <xf numFmtId="295" fontId="17" fillId="0" borderId="52" xfId="28" applyNumberFormat="1" applyFont="1" applyFill="1" applyBorder="1" applyAlignment="1">
      <alignment horizontal="center" vertical="center"/>
    </xf>
    <xf numFmtId="0" fontId="92" fillId="0" borderId="10" xfId="0" applyFont="1" applyBorder="1" applyAlignment="1">
      <alignment horizontal="left" vertical="center"/>
    </xf>
    <xf numFmtId="0" fontId="17" fillId="0" borderId="0" xfId="0" applyFont="1" applyAlignment="1">
      <alignment horizontal="right" vertical="center"/>
    </xf>
    <xf numFmtId="0" fontId="92" fillId="0" borderId="19" xfId="0" applyFont="1" applyBorder="1" applyAlignment="1">
      <alignment horizontal="left" vertical="center"/>
    </xf>
    <xf numFmtId="0" fontId="17" fillId="0" borderId="37" xfId="0" applyFont="1" applyBorder="1" applyAlignment="1">
      <alignment horizontal="center" vertical="center"/>
    </xf>
    <xf numFmtId="168" fontId="17" fillId="0" borderId="37" xfId="28" applyNumberFormat="1" applyFont="1" applyFill="1" applyBorder="1" applyAlignment="1">
      <alignment horizontal="center" vertical="center"/>
    </xf>
    <xf numFmtId="168" fontId="17" fillId="0" borderId="38" xfId="28" applyNumberFormat="1" applyFont="1" applyFill="1" applyBorder="1" applyAlignment="1">
      <alignment horizontal="center" vertical="center"/>
    </xf>
    <xf numFmtId="168" fontId="24" fillId="0" borderId="0" xfId="0" applyNumberFormat="1" applyFont="1" applyAlignment="1">
      <alignment horizontal="center"/>
    </xf>
    <xf numFmtId="0" fontId="92" fillId="0" borderId="209" xfId="0" applyFont="1" applyBorder="1" applyAlignment="1">
      <alignment horizontal="center" vertical="center"/>
    </xf>
    <xf numFmtId="0" fontId="17" fillId="0" borderId="32" xfId="0" applyFont="1" applyBorder="1" applyAlignment="1">
      <alignment horizontal="center" vertical="center"/>
    </xf>
    <xf numFmtId="168" fontId="17" fillId="0" borderId="32" xfId="28" applyNumberFormat="1" applyFont="1" applyFill="1" applyBorder="1" applyAlignment="1">
      <alignment horizontal="center" vertical="center"/>
    </xf>
    <xf numFmtId="168" fontId="17" fillId="0" borderId="33" xfId="28" applyNumberFormat="1" applyFont="1" applyFill="1" applyBorder="1" applyAlignment="1">
      <alignment horizontal="center" vertical="center"/>
    </xf>
    <xf numFmtId="0" fontId="24" fillId="0" borderId="0" xfId="0" applyFont="1" applyAlignment="1">
      <alignment horizontal="center"/>
    </xf>
    <xf numFmtId="1" fontId="17" fillId="0" borderId="0" xfId="0" applyNumberFormat="1" applyFont="1" applyAlignment="1">
      <alignment horizontal="left"/>
    </xf>
    <xf numFmtId="177" fontId="49" fillId="0" borderId="18" xfId="31" applyNumberFormat="1" applyFont="1" applyFill="1" applyBorder="1" applyAlignment="1">
      <alignment horizontal="center" vertical="center"/>
    </xf>
    <xf numFmtId="0" fontId="128" fillId="0" borderId="0" xfId="0" applyFont="1" applyAlignment="1">
      <alignment horizontal="left"/>
    </xf>
    <xf numFmtId="166" fontId="187" fillId="0" borderId="204" xfId="0" applyNumberFormat="1" applyFont="1" applyBorder="1" applyAlignment="1">
      <alignment vertical="center"/>
    </xf>
    <xf numFmtId="166" fontId="187" fillId="0" borderId="205" xfId="0" applyNumberFormat="1" applyFont="1" applyBorder="1" applyAlignment="1">
      <alignment vertical="center"/>
    </xf>
    <xf numFmtId="168" fontId="187" fillId="0" borderId="205" xfId="0" applyNumberFormat="1" applyFont="1" applyBorder="1" applyAlignment="1">
      <alignment horizontal="center" vertical="center"/>
    </xf>
    <xf numFmtId="168" fontId="187" fillId="0" borderId="206" xfId="0" applyNumberFormat="1" applyFont="1" applyBorder="1" applyAlignment="1">
      <alignment vertical="center"/>
    </xf>
    <xf numFmtId="0" fontId="49" fillId="0" borderId="19" xfId="0" applyFont="1" applyBorder="1"/>
    <xf numFmtId="0" fontId="49" fillId="0" borderId="22" xfId="0" applyFont="1" applyBorder="1"/>
    <xf numFmtId="0" fontId="49" fillId="0" borderId="23" xfId="0" applyFont="1" applyBorder="1"/>
    <xf numFmtId="0" fontId="92" fillId="0" borderId="0" xfId="0" applyFont="1"/>
    <xf numFmtId="0" fontId="49" fillId="0" borderId="24" xfId="0" applyFont="1" applyBorder="1"/>
    <xf numFmtId="0" fontId="49" fillId="0" borderId="25" xfId="0" applyFont="1" applyBorder="1"/>
    <xf numFmtId="168" fontId="49" fillId="0" borderId="25" xfId="28" applyNumberFormat="1" applyFont="1" applyFill="1" applyBorder="1" applyAlignment="1"/>
    <xf numFmtId="9" fontId="49" fillId="0" borderId="25" xfId="0" applyNumberFormat="1" applyFont="1" applyBorder="1"/>
    <xf numFmtId="0" fontId="49" fillId="0" borderId="26" xfId="0" applyFont="1" applyBorder="1"/>
    <xf numFmtId="9" fontId="92" fillId="0" borderId="0" xfId="0" applyNumberFormat="1" applyFont="1"/>
    <xf numFmtId="0" fontId="49" fillId="0" borderId="0" xfId="0" quotePrefix="1" applyFont="1"/>
    <xf numFmtId="0" fontId="188" fillId="0" borderId="0" xfId="0" applyFont="1"/>
    <xf numFmtId="43" fontId="143" fillId="0" borderId="0" xfId="0" applyNumberFormat="1" applyFont="1"/>
    <xf numFmtId="177" fontId="143" fillId="0" borderId="0" xfId="0" applyNumberFormat="1" applyFont="1"/>
    <xf numFmtId="168" fontId="49" fillId="0" borderId="0" xfId="28" applyNumberFormat="1" applyFont="1" applyFill="1" applyBorder="1" applyAlignment="1">
      <alignment horizontal="center"/>
    </xf>
    <xf numFmtId="9" fontId="49" fillId="0" borderId="0" xfId="0" applyNumberFormat="1" applyFont="1" applyAlignment="1">
      <alignment horizontal="center"/>
    </xf>
    <xf numFmtId="0" fontId="92" fillId="0" borderId="0" xfId="0" applyFont="1" applyAlignment="1">
      <alignment horizontal="center"/>
    </xf>
    <xf numFmtId="168" fontId="143" fillId="0" borderId="0" xfId="28" applyNumberFormat="1" applyFont="1" applyFill="1"/>
    <xf numFmtId="3" fontId="49" fillId="0" borderId="7" xfId="0" applyNumberFormat="1" applyFont="1" applyBorder="1" applyAlignment="1">
      <alignment vertical="center"/>
    </xf>
    <xf numFmtId="3" fontId="92" fillId="0" borderId="0" xfId="0" applyNumberFormat="1" applyFont="1"/>
    <xf numFmtId="172" fontId="49" fillId="0" borderId="7" xfId="0" applyNumberFormat="1" applyFont="1" applyBorder="1" applyAlignment="1">
      <alignment horizontal="center" vertical="center"/>
    </xf>
    <xf numFmtId="3" fontId="49" fillId="0" borderId="170" xfId="0" applyNumberFormat="1" applyFont="1" applyBorder="1" applyAlignment="1">
      <alignment vertical="center"/>
    </xf>
    <xf numFmtId="3" fontId="49" fillId="0" borderId="0" xfId="0" applyNumberFormat="1" applyFont="1" applyAlignment="1">
      <alignment horizontal="right"/>
    </xf>
    <xf numFmtId="3" fontId="49" fillId="0" borderId="171" xfId="0" applyNumberFormat="1" applyFont="1" applyBorder="1" applyAlignment="1">
      <alignment horizontal="center" vertical="center"/>
    </xf>
    <xf numFmtId="178" fontId="92" fillId="0" borderId="0" xfId="0" applyNumberFormat="1" applyFont="1" applyAlignment="1">
      <alignment horizontal="right"/>
    </xf>
    <xf numFmtId="0" fontId="50" fillId="0" borderId="0" xfId="0" applyFont="1"/>
    <xf numFmtId="0" fontId="92" fillId="0" borderId="0" xfId="0" applyFont="1" applyAlignment="1">
      <alignment vertical="center"/>
    </xf>
    <xf numFmtId="264" fontId="92" fillId="0" borderId="0" xfId="0" applyNumberFormat="1" applyFont="1"/>
    <xf numFmtId="3" fontId="49" fillId="0" borderId="0" xfId="0" applyNumberFormat="1" applyFont="1" applyAlignment="1">
      <alignment horizontal="left"/>
    </xf>
    <xf numFmtId="0" fontId="49" fillId="0" borderId="115" xfId="0" applyFont="1" applyBorder="1"/>
    <xf numFmtId="0" fontId="49" fillId="0" borderId="120" xfId="0" applyFont="1" applyBorder="1"/>
    <xf numFmtId="0" fontId="49" fillId="0" borderId="31" xfId="0" applyFont="1" applyBorder="1" applyAlignment="1">
      <alignment horizontal="center"/>
    </xf>
    <xf numFmtId="167" fontId="17" fillId="0" borderId="0" xfId="87" applyNumberFormat="1" applyFont="1"/>
    <xf numFmtId="0" fontId="49" fillId="0" borderId="210" xfId="0" applyFont="1" applyBorder="1" applyAlignment="1">
      <alignment horizontal="right"/>
    </xf>
    <xf numFmtId="0" fontId="49" fillId="0" borderId="212" xfId="0" applyFont="1" applyBorder="1" applyAlignment="1">
      <alignment horizontal="right"/>
    </xf>
    <xf numFmtId="3" fontId="17" fillId="0" borderId="203" xfId="0" quotePrefix="1" applyNumberFormat="1" applyFont="1" applyBorder="1" applyAlignment="1">
      <alignment horizontal="center"/>
    </xf>
    <xf numFmtId="0" fontId="49" fillId="0" borderId="214" xfId="0" applyFont="1" applyBorder="1" applyAlignment="1">
      <alignment horizontal="right"/>
    </xf>
    <xf numFmtId="178" fontId="49" fillId="0" borderId="215" xfId="0" applyNumberFormat="1" applyFont="1" applyBorder="1" applyAlignment="1">
      <alignment horizontal="center"/>
    </xf>
    <xf numFmtId="3" fontId="49" fillId="0" borderId="103" xfId="0" applyNumberFormat="1" applyFont="1" applyBorder="1" applyAlignment="1">
      <alignment horizontal="right"/>
    </xf>
    <xf numFmtId="178" fontId="49" fillId="0" borderId="0" xfId="0" applyNumberFormat="1" applyFont="1" applyAlignment="1">
      <alignment horizontal="left" vertical="center"/>
    </xf>
    <xf numFmtId="0" fontId="49" fillId="0" borderId="23" xfId="0" applyFont="1" applyBorder="1" applyAlignment="1">
      <alignment vertical="center"/>
    </xf>
    <xf numFmtId="167" fontId="49" fillId="0" borderId="7" xfId="0" applyNumberFormat="1" applyFont="1" applyBorder="1" applyAlignment="1">
      <alignment horizontal="right" vertical="center"/>
    </xf>
    <xf numFmtId="167" fontId="49" fillId="0" borderId="7" xfId="0" applyNumberFormat="1" applyFont="1" applyBorder="1"/>
    <xf numFmtId="4" fontId="49" fillId="0" borderId="7" xfId="0" applyNumberFormat="1" applyFont="1" applyBorder="1" applyAlignment="1">
      <alignment horizontal="center" vertical="center"/>
    </xf>
    <xf numFmtId="0" fontId="49" fillId="0" borderId="0" xfId="0" quotePrefix="1" applyFont="1" applyAlignment="1">
      <alignment horizontal="left" vertical="center"/>
    </xf>
    <xf numFmtId="177" fontId="17" fillId="0" borderId="0" xfId="0" applyNumberFormat="1" applyFont="1"/>
    <xf numFmtId="0" fontId="17" fillId="0" borderId="178" xfId="0" applyFont="1" applyBorder="1" applyAlignment="1">
      <alignment horizontal="center"/>
    </xf>
    <xf numFmtId="3" fontId="49" fillId="0" borderId="0" xfId="0" applyNumberFormat="1" applyFont="1" applyAlignment="1">
      <alignment vertical="center"/>
    </xf>
    <xf numFmtId="177" fontId="49" fillId="0" borderId="0" xfId="0" applyNumberFormat="1" applyFont="1" applyAlignment="1">
      <alignment vertical="center"/>
    </xf>
    <xf numFmtId="0" fontId="49" fillId="0" borderId="31" xfId="87" applyFont="1" applyBorder="1" applyAlignment="1">
      <alignment horizontal="center"/>
    </xf>
    <xf numFmtId="0" fontId="23" fillId="0" borderId="31" xfId="87" applyFont="1" applyBorder="1" applyAlignment="1">
      <alignment horizontal="right"/>
    </xf>
    <xf numFmtId="0" fontId="23" fillId="0" borderId="31" xfId="87" applyFont="1" applyBorder="1" applyAlignment="1">
      <alignment horizontal="center"/>
    </xf>
    <xf numFmtId="0" fontId="49" fillId="0" borderId="66" xfId="0" applyFont="1" applyBorder="1" applyAlignment="1">
      <alignment horizontal="right"/>
    </xf>
    <xf numFmtId="0" fontId="49" fillId="0" borderId="216" xfId="0" applyFont="1" applyBorder="1" applyAlignment="1">
      <alignment horizontal="right"/>
    </xf>
    <xf numFmtId="0" fontId="49" fillId="0" borderId="217" xfId="0" applyFont="1" applyBorder="1" applyAlignment="1">
      <alignment horizontal="center"/>
    </xf>
    <xf numFmtId="3" fontId="49" fillId="0" borderId="217" xfId="0" applyNumberFormat="1" applyFont="1" applyBorder="1" applyAlignment="1">
      <alignment horizontal="center"/>
    </xf>
    <xf numFmtId="3" fontId="49" fillId="0" borderId="218" xfId="0" applyNumberFormat="1" applyFont="1" applyBorder="1" applyAlignment="1">
      <alignment horizontal="center"/>
    </xf>
    <xf numFmtId="167" fontId="17" fillId="0" borderId="0" xfId="87" applyNumberFormat="1" applyFont="1" applyAlignment="1">
      <alignment horizontal="center"/>
    </xf>
    <xf numFmtId="167" fontId="17" fillId="0" borderId="59" xfId="87" applyNumberFormat="1" applyFont="1" applyBorder="1"/>
    <xf numFmtId="3" fontId="49" fillId="0" borderId="219" xfId="0" applyNumberFormat="1" applyFont="1" applyBorder="1" applyAlignment="1">
      <alignment horizontal="right" vertical="center"/>
    </xf>
    <xf numFmtId="3" fontId="49" fillId="0" borderId="137" xfId="0" applyNumberFormat="1" applyFont="1" applyBorder="1" applyAlignment="1">
      <alignment horizontal="center" vertical="center"/>
    </xf>
    <xf numFmtId="3" fontId="49" fillId="0" borderId="220" xfId="0" applyNumberFormat="1" applyFont="1" applyBorder="1" applyAlignment="1">
      <alignment horizontal="right" vertical="center"/>
    </xf>
    <xf numFmtId="3" fontId="49" fillId="0" borderId="221" xfId="0" applyNumberFormat="1" applyFont="1" applyBorder="1" applyAlignment="1">
      <alignment horizontal="center" vertical="center"/>
    </xf>
    <xf numFmtId="3" fontId="17" fillId="0" borderId="211" xfId="0" applyNumberFormat="1" applyFont="1" applyBorder="1" applyAlignment="1">
      <alignment horizontal="center" vertical="center"/>
    </xf>
    <xf numFmtId="0" fontId="17" fillId="0" borderId="203" xfId="0" applyFont="1" applyBorder="1" applyAlignment="1">
      <alignment horizontal="center" vertical="center"/>
    </xf>
    <xf numFmtId="1" fontId="49" fillId="0" borderId="203" xfId="0" applyNumberFormat="1" applyFont="1" applyBorder="1" applyAlignment="1">
      <alignment horizontal="center" vertical="center"/>
    </xf>
    <xf numFmtId="1" fontId="17" fillId="0" borderId="0" xfId="0" applyNumberFormat="1" applyFont="1"/>
    <xf numFmtId="166" fontId="49" fillId="0" borderId="203" xfId="28" applyFont="1" applyFill="1" applyBorder="1"/>
    <xf numFmtId="0" fontId="17" fillId="0" borderId="203" xfId="0" applyFont="1" applyBorder="1" applyAlignment="1">
      <alignment horizontal="center"/>
    </xf>
    <xf numFmtId="0" fontId="17" fillId="0" borderId="203" xfId="0" quotePrefix="1" applyFont="1" applyBorder="1" applyAlignment="1">
      <alignment horizontal="center"/>
    </xf>
    <xf numFmtId="167" fontId="49" fillId="0" borderId="203" xfId="0" applyNumberFormat="1" applyFont="1" applyBorder="1" applyAlignment="1">
      <alignment horizontal="center"/>
    </xf>
    <xf numFmtId="167" fontId="49" fillId="0" borderId="213" xfId="0" applyNumberFormat="1" applyFont="1" applyBorder="1" applyAlignment="1">
      <alignment horizontal="center"/>
    </xf>
    <xf numFmtId="178" fontId="17" fillId="0" borderId="203" xfId="0" applyNumberFormat="1" applyFont="1" applyBorder="1" applyAlignment="1">
      <alignment horizontal="center"/>
    </xf>
    <xf numFmtId="3" fontId="17" fillId="0" borderId="203" xfId="0" applyNumberFormat="1" applyFont="1" applyBorder="1" applyAlignment="1">
      <alignment horizontal="left"/>
    </xf>
    <xf numFmtId="167" fontId="17" fillId="0" borderId="203" xfId="0" applyNumberFormat="1" applyFont="1" applyBorder="1" applyAlignment="1">
      <alignment horizontal="left"/>
    </xf>
    <xf numFmtId="3" fontId="17" fillId="0" borderId="31" xfId="0" applyNumberFormat="1" applyFont="1" applyBorder="1"/>
    <xf numFmtId="0" fontId="17" fillId="0" borderId="66" xfId="0" applyFont="1" applyBorder="1"/>
    <xf numFmtId="167" fontId="17" fillId="0" borderId="0" xfId="0" applyNumberFormat="1" applyFont="1"/>
    <xf numFmtId="1" fontId="49" fillId="0" borderId="7" xfId="0" applyNumberFormat="1" applyFont="1" applyBorder="1" applyAlignment="1">
      <alignment horizontal="center" vertical="center"/>
    </xf>
    <xf numFmtId="0" fontId="49" fillId="0" borderId="31" xfId="0" applyFont="1" applyBorder="1"/>
    <xf numFmtId="3" fontId="49" fillId="0" borderId="31" xfId="0" applyNumberFormat="1" applyFont="1" applyBorder="1" applyAlignment="1">
      <alignment horizontal="center"/>
    </xf>
    <xf numFmtId="0" fontId="17" fillId="0" borderId="113" xfId="0" applyFont="1" applyBorder="1" applyAlignment="1">
      <alignment horizontal="center"/>
    </xf>
    <xf numFmtId="0" fontId="150" fillId="0" borderId="0" xfId="0" applyFont="1"/>
    <xf numFmtId="0" fontId="17" fillId="0" borderId="103" xfId="0" applyFont="1" applyBorder="1"/>
    <xf numFmtId="3" fontId="49" fillId="0" borderId="103" xfId="0" applyNumberFormat="1" applyFont="1" applyBorder="1"/>
    <xf numFmtId="0" fontId="17" fillId="0" borderId="67" xfId="0" applyFont="1" applyBorder="1"/>
    <xf numFmtId="0" fontId="17" fillId="0" borderId="31" xfId="0" applyFont="1" applyBorder="1"/>
    <xf numFmtId="168" fontId="17" fillId="0" borderId="31" xfId="28" applyNumberFormat="1" applyFont="1" applyFill="1" applyBorder="1"/>
    <xf numFmtId="43" fontId="49" fillId="0" borderId="31" xfId="0" applyNumberFormat="1" applyFont="1" applyBorder="1"/>
    <xf numFmtId="43" fontId="49" fillId="0" borderId="0" xfId="0" applyNumberFormat="1" applyFont="1"/>
    <xf numFmtId="3" fontId="17" fillId="0" borderId="0" xfId="28" applyNumberFormat="1" applyFont="1" applyFill="1"/>
    <xf numFmtId="168" fontId="17" fillId="0" borderId="0" xfId="28" applyNumberFormat="1" applyFont="1" applyFill="1" applyAlignment="1">
      <alignment horizontal="center"/>
    </xf>
    <xf numFmtId="0" fontId="49" fillId="0" borderId="70" xfId="0" applyFont="1" applyBorder="1"/>
    <xf numFmtId="3" fontId="49" fillId="0" borderId="18" xfId="0" applyNumberFormat="1" applyFont="1" applyBorder="1" applyAlignment="1">
      <alignment horizontal="center" wrapText="1"/>
    </xf>
    <xf numFmtId="0" fontId="92" fillId="0" borderId="22" xfId="0" applyFont="1" applyBorder="1"/>
    <xf numFmtId="168" fontId="92" fillId="0" borderId="0" xfId="28" applyNumberFormat="1" applyFont="1" applyFill="1" applyBorder="1" applyAlignment="1"/>
    <xf numFmtId="0" fontId="92" fillId="0" borderId="23" xfId="0" applyFont="1" applyBorder="1"/>
    <xf numFmtId="0" fontId="92" fillId="0" borderId="24" xfId="0" applyFont="1" applyBorder="1"/>
    <xf numFmtId="0" fontId="92" fillId="0" borderId="25" xfId="0" applyFont="1" applyBorder="1"/>
    <xf numFmtId="168" fontId="92" fillId="0" borderId="25" xfId="28" applyNumberFormat="1" applyFont="1" applyFill="1" applyBorder="1" applyAlignment="1"/>
    <xf numFmtId="9" fontId="92" fillId="0" borderId="25" xfId="0" applyNumberFormat="1" applyFont="1" applyBorder="1"/>
    <xf numFmtId="0" fontId="92" fillId="0" borderId="26" xfId="0" applyFont="1" applyBorder="1"/>
    <xf numFmtId="0" fontId="49" fillId="0" borderId="0" xfId="0" applyFont="1" applyAlignment="1">
      <alignment horizontal="center" vertical="center" wrapText="1"/>
    </xf>
    <xf numFmtId="177" fontId="17" fillId="0" borderId="162" xfId="0" applyNumberFormat="1" applyFont="1" applyBorder="1" applyAlignment="1">
      <alignment horizontal="right"/>
    </xf>
    <xf numFmtId="0" fontId="17" fillId="0" borderId="178" xfId="0" applyFont="1" applyBorder="1" applyAlignment="1">
      <alignment horizontal="left"/>
    </xf>
    <xf numFmtId="166" fontId="17" fillId="0" borderId="178" xfId="28" applyFont="1" applyFill="1" applyBorder="1"/>
    <xf numFmtId="177" fontId="17" fillId="0" borderId="178" xfId="33" applyNumberFormat="1" applyFont="1" applyFill="1" applyBorder="1" applyAlignment="1"/>
    <xf numFmtId="43" fontId="49" fillId="0" borderId="0" xfId="0" applyNumberFormat="1" applyFont="1" applyAlignment="1">
      <alignment horizontal="center"/>
    </xf>
    <xf numFmtId="0" fontId="17" fillId="0" borderId="166" xfId="0" applyFont="1" applyBorder="1"/>
    <xf numFmtId="0" fontId="49" fillId="0" borderId="154" xfId="0" applyFont="1" applyBorder="1" applyAlignment="1">
      <alignment horizontal="center"/>
    </xf>
    <xf numFmtId="0" fontId="49" fillId="0" borderId="166" xfId="0" quotePrefix="1" applyFont="1" applyBorder="1"/>
    <xf numFmtId="0" fontId="49" fillId="0" borderId="154" xfId="0" applyFont="1" applyBorder="1" applyAlignment="1">
      <alignment horizontal="left" vertical="center"/>
    </xf>
    <xf numFmtId="0" fontId="49" fillId="0" borderId="155" xfId="0" applyFont="1" applyBorder="1" applyAlignment="1">
      <alignment horizontal="center" vertical="center"/>
    </xf>
    <xf numFmtId="0" fontId="49" fillId="0" borderId="155" xfId="0" applyFont="1" applyBorder="1" applyAlignment="1">
      <alignment horizontal="center" vertical="center" wrapText="1"/>
    </xf>
    <xf numFmtId="0" fontId="17" fillId="0" borderId="200" xfId="0" applyFont="1" applyBorder="1" applyAlignment="1">
      <alignment horizontal="center" vertical="center" wrapText="1"/>
    </xf>
    <xf numFmtId="0" fontId="17" fillId="0" borderId="200" xfId="0" applyFont="1" applyBorder="1" applyAlignment="1">
      <alignment horizontal="center" vertical="center"/>
    </xf>
    <xf numFmtId="0" fontId="17" fillId="0" borderId="154" xfId="0" applyFont="1" applyBorder="1" applyAlignment="1">
      <alignment horizontal="center"/>
    </xf>
    <xf numFmtId="0" fontId="17" fillId="0" borderId="155" xfId="0" applyFont="1" applyBorder="1" applyAlignment="1">
      <alignment horizontal="center"/>
    </xf>
    <xf numFmtId="0" fontId="17" fillId="0" borderId="154" xfId="0" applyFont="1" applyBorder="1" applyAlignment="1">
      <alignment horizontal="center" vertical="center" wrapText="1"/>
    </xf>
    <xf numFmtId="0" fontId="17" fillId="0" borderId="155" xfId="0" applyFont="1" applyBorder="1" applyAlignment="1">
      <alignment horizontal="center" vertical="center" wrapText="1"/>
    </xf>
    <xf numFmtId="0" fontId="49" fillId="0" borderId="153" xfId="0" applyFont="1" applyBorder="1" applyAlignment="1">
      <alignment horizontal="center" vertical="center"/>
    </xf>
    <xf numFmtId="0" fontId="49" fillId="0" borderId="157" xfId="0" applyFont="1" applyBorder="1" applyAlignment="1">
      <alignment horizontal="center" vertical="center"/>
    </xf>
    <xf numFmtId="0" fontId="49" fillId="0" borderId="158" xfId="0" applyFont="1" applyBorder="1" applyAlignment="1">
      <alignment horizontal="center" vertical="center"/>
    </xf>
    <xf numFmtId="0" fontId="49" fillId="0" borderId="159" xfId="0" applyFont="1" applyBorder="1" applyAlignment="1">
      <alignment horizontal="center" vertical="center"/>
    </xf>
    <xf numFmtId="0" fontId="49" fillId="0" borderId="153" xfId="0" applyFont="1" applyBorder="1" applyAlignment="1">
      <alignment horizontal="center" vertical="center" wrapText="1"/>
    </xf>
    <xf numFmtId="0" fontId="49" fillId="0" borderId="157" xfId="0" applyFont="1" applyBorder="1" applyAlignment="1">
      <alignment vertical="center"/>
    </xf>
    <xf numFmtId="4" fontId="49" fillId="0" borderId="153" xfId="0" applyNumberFormat="1" applyFont="1" applyBorder="1" applyAlignment="1">
      <alignment horizontal="center" vertical="center" wrapText="1"/>
    </xf>
    <xf numFmtId="226" fontId="17" fillId="0" borderId="201" xfId="0" applyNumberFormat="1" applyFont="1" applyBorder="1" applyAlignment="1">
      <alignment horizontal="center"/>
    </xf>
    <xf numFmtId="226" fontId="17" fillId="0" borderId="102" xfId="0" applyNumberFormat="1" applyFont="1" applyBorder="1" applyAlignment="1">
      <alignment horizontal="center"/>
    </xf>
    <xf numFmtId="0" fontId="17" fillId="0" borderId="102" xfId="0" applyFont="1" applyBorder="1"/>
    <xf numFmtId="0" fontId="17" fillId="0" borderId="102" xfId="0" applyFont="1" applyBorder="1" applyAlignment="1">
      <alignment horizontal="center"/>
    </xf>
    <xf numFmtId="226" fontId="17" fillId="0" borderId="0" xfId="0" applyNumberFormat="1" applyFont="1" applyAlignment="1">
      <alignment horizontal="center"/>
    </xf>
    <xf numFmtId="10" fontId="49" fillId="0" borderId="0" xfId="79" applyNumberFormat="1" applyFont="1" applyFill="1" applyBorder="1" applyAlignment="1">
      <alignment horizontal="center" vertical="center"/>
    </xf>
    <xf numFmtId="174" fontId="17" fillId="0" borderId="0" xfId="0" applyNumberFormat="1" applyFont="1" applyAlignment="1">
      <alignment horizontal="center"/>
    </xf>
    <xf numFmtId="172" fontId="17" fillId="0" borderId="0" xfId="0" applyNumberFormat="1" applyFont="1" applyAlignment="1">
      <alignment horizontal="right"/>
    </xf>
    <xf numFmtId="172" fontId="49" fillId="0" borderId="0" xfId="0" applyNumberFormat="1" applyFont="1" applyAlignment="1">
      <alignment horizontal="right"/>
    </xf>
    <xf numFmtId="172" fontId="49" fillId="0" borderId="0" xfId="0" applyNumberFormat="1" applyFont="1"/>
    <xf numFmtId="0" fontId="17" fillId="0" borderId="0" xfId="0" applyFont="1" applyAlignment="1">
      <alignment vertical="center" wrapText="1"/>
    </xf>
    <xf numFmtId="0" fontId="17" fillId="0" borderId="153" xfId="0" applyFont="1" applyBorder="1" applyAlignment="1">
      <alignment horizontal="center" vertical="center"/>
    </xf>
    <xf numFmtId="0" fontId="17" fillId="0" borderId="157" xfId="0" applyFont="1" applyBorder="1" applyAlignment="1">
      <alignment horizontal="center" vertical="center"/>
    </xf>
    <xf numFmtId="0" fontId="17" fillId="0" borderId="158" xfId="0" applyFont="1" applyBorder="1" applyAlignment="1">
      <alignment vertical="center"/>
    </xf>
    <xf numFmtId="0" fontId="17" fillId="0" borderId="158" xfId="0" applyFont="1" applyBorder="1" applyAlignment="1">
      <alignment horizontal="center" vertical="center"/>
    </xf>
    <xf numFmtId="0" fontId="17" fillId="0" borderId="159" xfId="0" applyFont="1" applyBorder="1" applyAlignment="1">
      <alignment horizontal="center" vertical="center"/>
    </xf>
    <xf numFmtId="0" fontId="17" fillId="0" borderId="153" xfId="0" applyFont="1" applyBorder="1" applyAlignment="1">
      <alignment horizontal="center" vertical="center" wrapText="1"/>
    </xf>
    <xf numFmtId="0" fontId="17" fillId="0" borderId="157" xfId="0" applyFont="1" applyBorder="1" applyAlignment="1">
      <alignment vertical="center"/>
    </xf>
    <xf numFmtId="0" fontId="17" fillId="0" borderId="159" xfId="0" applyFont="1" applyBorder="1" applyAlignment="1">
      <alignment horizontal="center" vertical="center" wrapText="1"/>
    </xf>
    <xf numFmtId="0" fontId="49" fillId="0" borderId="196" xfId="0" applyFont="1" applyBorder="1" applyAlignment="1">
      <alignment horizontal="center" vertical="center" wrapText="1"/>
    </xf>
    <xf numFmtId="170" fontId="17" fillId="0" borderId="0" xfId="0" applyNumberFormat="1" applyFont="1"/>
    <xf numFmtId="0" fontId="17" fillId="0" borderId="153" xfId="0" applyFont="1" applyBorder="1"/>
    <xf numFmtId="0" fontId="17" fillId="0" borderId="153" xfId="0" applyFont="1" applyBorder="1" applyAlignment="1">
      <alignment horizontal="center"/>
    </xf>
    <xf numFmtId="170" fontId="17" fillId="0" borderId="153" xfId="0" applyNumberFormat="1" applyFont="1" applyBorder="1" applyAlignment="1">
      <alignment horizontal="center"/>
    </xf>
    <xf numFmtId="170" fontId="17" fillId="0" borderId="0" xfId="0" applyNumberFormat="1" applyFont="1" applyAlignment="1">
      <alignment horizontal="center"/>
    </xf>
    <xf numFmtId="290" fontId="17" fillId="0" borderId="0" xfId="0" applyNumberFormat="1" applyFont="1"/>
    <xf numFmtId="291" fontId="17" fillId="0" borderId="0" xfId="0" applyNumberFormat="1" applyFont="1"/>
    <xf numFmtId="292" fontId="17" fillId="0" borderId="0" xfId="0" applyNumberFormat="1" applyFont="1"/>
    <xf numFmtId="43" fontId="147" fillId="0" borderId="0" xfId="0" applyNumberFormat="1" applyFont="1"/>
    <xf numFmtId="3" fontId="92" fillId="0" borderId="0" xfId="0" applyNumberFormat="1" applyFont="1" applyAlignment="1">
      <alignment vertical="center"/>
    </xf>
    <xf numFmtId="0" fontId="187" fillId="0" borderId="0" xfId="0" quotePrefix="1" applyFont="1"/>
    <xf numFmtId="0" fontId="49" fillId="0" borderId="0" xfId="0" quotePrefix="1" applyFont="1" applyAlignment="1">
      <alignment horizontal="left"/>
    </xf>
    <xf numFmtId="0" fontId="49" fillId="0" borderId="0" xfId="0" quotePrefix="1" applyFont="1" applyAlignment="1">
      <alignment horizontal="right"/>
    </xf>
    <xf numFmtId="245" fontId="49" fillId="0" borderId="0" xfId="28" applyNumberFormat="1" applyFont="1" applyFill="1" applyBorder="1" applyAlignment="1"/>
    <xf numFmtId="0" fontId="49" fillId="0" borderId="0" xfId="0" applyFont="1" applyAlignment="1">
      <alignment horizontal="center" wrapText="1"/>
    </xf>
    <xf numFmtId="177" fontId="49" fillId="0" borderId="0" xfId="0" applyNumberFormat="1" applyFont="1"/>
    <xf numFmtId="199" fontId="49" fillId="0" borderId="0" xfId="0" applyNumberFormat="1" applyFont="1"/>
    <xf numFmtId="177" fontId="49" fillId="0" borderId="162" xfId="0" applyNumberFormat="1" applyFont="1" applyBorder="1" applyAlignment="1">
      <alignment horizontal="center"/>
    </xf>
    <xf numFmtId="177" fontId="17" fillId="0" borderId="162" xfId="0" applyNumberFormat="1" applyFont="1" applyBorder="1"/>
    <xf numFmtId="3" fontId="17" fillId="0" borderId="167" xfId="0" applyNumberFormat="1" applyFont="1" applyBorder="1" applyAlignment="1">
      <alignment horizontal="left"/>
    </xf>
    <xf numFmtId="2" fontId="17" fillId="0" borderId="167" xfId="0" applyNumberFormat="1" applyFont="1" applyBorder="1" applyAlignment="1">
      <alignment horizontal="center"/>
    </xf>
    <xf numFmtId="168" fontId="17" fillId="0" borderId="162" xfId="28" applyNumberFormat="1" applyFont="1" applyFill="1" applyBorder="1" applyAlignment="1">
      <alignment horizontal="center"/>
    </xf>
    <xf numFmtId="177" fontId="49" fillId="0" borderId="202" xfId="0" applyNumberFormat="1" applyFont="1" applyBorder="1" applyAlignment="1">
      <alignment horizontal="center"/>
    </xf>
    <xf numFmtId="177" fontId="17" fillId="0" borderId="202" xfId="0" applyNumberFormat="1" applyFont="1" applyBorder="1" applyAlignment="1">
      <alignment horizontal="right"/>
    </xf>
    <xf numFmtId="177" fontId="17" fillId="0" borderId="202" xfId="0" applyNumberFormat="1" applyFont="1" applyBorder="1"/>
    <xf numFmtId="177" fontId="17" fillId="0" borderId="202" xfId="0" applyNumberFormat="1" applyFont="1" applyBorder="1" applyAlignment="1">
      <alignment horizontal="center"/>
    </xf>
    <xf numFmtId="0" fontId="17" fillId="0" borderId="0" xfId="0" applyFont="1" applyAlignment="1">
      <alignment horizontal="left" indent="1"/>
    </xf>
    <xf numFmtId="0" fontId="189" fillId="0" borderId="0" xfId="0" quotePrefix="1" applyFont="1"/>
    <xf numFmtId="0" fontId="190" fillId="0" borderId="0" xfId="0" applyFont="1"/>
    <xf numFmtId="0" fontId="49" fillId="0" borderId="0" xfId="0" applyFont="1" applyAlignment="1">
      <alignment vertical="center" wrapText="1"/>
    </xf>
    <xf numFmtId="0" fontId="17" fillId="0" borderId="146" xfId="0" applyFont="1" applyBorder="1" applyAlignment="1">
      <alignment horizontal="center"/>
    </xf>
    <xf numFmtId="0" fontId="17" fillId="0" borderId="146" xfId="0" applyFont="1" applyBorder="1"/>
    <xf numFmtId="3" fontId="17" fillId="0" borderId="137" xfId="33" applyNumberFormat="1" applyFont="1" applyFill="1" applyBorder="1" applyAlignment="1">
      <alignment horizontal="center"/>
    </xf>
    <xf numFmtId="4" fontId="17" fillId="0" borderId="137" xfId="33" applyNumberFormat="1" applyFont="1" applyFill="1" applyBorder="1" applyAlignment="1">
      <alignment horizontal="center"/>
    </xf>
    <xf numFmtId="246" fontId="17" fillId="0" borderId="202" xfId="0" applyNumberFormat="1" applyFont="1" applyBorder="1"/>
    <xf numFmtId="0" fontId="17" fillId="0" borderId="189" xfId="0" applyFont="1" applyBorder="1"/>
    <xf numFmtId="0" fontId="17" fillId="0" borderId="0" xfId="0" applyFont="1" applyAlignment="1">
      <alignment horizontal="left" wrapText="1"/>
    </xf>
    <xf numFmtId="172" fontId="17" fillId="0" borderId="137" xfId="33" applyNumberFormat="1" applyFont="1" applyFill="1" applyBorder="1" applyAlignment="1">
      <alignment horizontal="center"/>
    </xf>
    <xf numFmtId="3" fontId="17" fillId="0" borderId="169" xfId="33" applyNumberFormat="1" applyFont="1" applyFill="1" applyBorder="1" applyAlignment="1">
      <alignment horizontal="center"/>
    </xf>
    <xf numFmtId="177" fontId="49" fillId="0" borderId="0" xfId="0" applyNumberFormat="1" applyFont="1" applyAlignment="1">
      <alignment horizontal="center"/>
    </xf>
    <xf numFmtId="177" fontId="17" fillId="0" borderId="0" xfId="0" applyNumberFormat="1" applyFont="1" applyAlignment="1">
      <alignment horizontal="right"/>
    </xf>
    <xf numFmtId="3" fontId="17" fillId="0" borderId="0" xfId="33" applyNumberFormat="1" applyFont="1" applyFill="1" applyBorder="1" applyAlignment="1">
      <alignment horizontal="center"/>
    </xf>
    <xf numFmtId="4" fontId="17" fillId="0" borderId="0" xfId="33" applyNumberFormat="1" applyFont="1" applyFill="1" applyBorder="1" applyAlignment="1">
      <alignment horizontal="center"/>
    </xf>
    <xf numFmtId="257" fontId="49" fillId="0" borderId="0" xfId="0" applyNumberFormat="1" applyFont="1" applyAlignment="1">
      <alignment horizontal="right"/>
    </xf>
    <xf numFmtId="169" fontId="17" fillId="0" borderId="0" xfId="0" applyNumberFormat="1" applyFont="1"/>
    <xf numFmtId="166" fontId="17" fillId="0" borderId="0" xfId="0" applyNumberFormat="1" applyFont="1"/>
    <xf numFmtId="168" fontId="17" fillId="0" borderId="0" xfId="0" applyNumberFormat="1" applyFont="1"/>
    <xf numFmtId="3" fontId="17" fillId="0" borderId="18" xfId="0" applyNumberFormat="1" applyFont="1" applyBorder="1" applyAlignment="1">
      <alignment horizontal="center"/>
    </xf>
    <xf numFmtId="4" fontId="17" fillId="0" borderId="0" xfId="0" applyNumberFormat="1" applyFont="1"/>
    <xf numFmtId="167" fontId="49" fillId="0" borderId="0" xfId="0" applyNumberFormat="1" applyFont="1"/>
    <xf numFmtId="168" fontId="49" fillId="0" borderId="0" xfId="28" applyNumberFormat="1" applyFont="1" applyFill="1"/>
    <xf numFmtId="177" fontId="17" fillId="0" borderId="146" xfId="33" applyNumberFormat="1" applyFont="1" applyFill="1" applyBorder="1" applyAlignment="1"/>
    <xf numFmtId="177" fontId="17" fillId="0" borderId="173" xfId="33" applyNumberFormat="1" applyFont="1" applyFill="1" applyBorder="1" applyAlignment="1"/>
    <xf numFmtId="177" fontId="17" fillId="0" borderId="160" xfId="33" applyNumberFormat="1" applyFont="1" applyFill="1" applyBorder="1"/>
    <xf numFmtId="0" fontId="49" fillId="0" borderId="70" xfId="0" applyFont="1" applyBorder="1" applyAlignment="1">
      <alignment horizontal="center"/>
    </xf>
    <xf numFmtId="0" fontId="17" fillId="0" borderId="137" xfId="0" applyFont="1" applyBorder="1"/>
    <xf numFmtId="177" fontId="17" fillId="0" borderId="0" xfId="33" applyNumberFormat="1" applyFont="1" applyFill="1" applyBorder="1"/>
    <xf numFmtId="9" fontId="17" fillId="0" borderId="0" xfId="64" applyFont="1" applyFill="1" applyBorder="1"/>
    <xf numFmtId="0" fontId="17" fillId="0" borderId="177" xfId="0" applyFont="1" applyBorder="1" applyAlignment="1">
      <alignment vertical="center" wrapText="1"/>
    </xf>
    <xf numFmtId="3" fontId="17" fillId="0" borderId="0" xfId="33" applyNumberFormat="1" applyFont="1" applyFill="1" applyBorder="1" applyAlignment="1"/>
    <xf numFmtId="37" fontId="17" fillId="0" borderId="0" xfId="0" applyNumberFormat="1" applyFont="1" applyAlignment="1">
      <alignment vertical="center" wrapText="1"/>
    </xf>
    <xf numFmtId="2" fontId="17" fillId="0" borderId="0" xfId="57" applyNumberFormat="1" applyFont="1"/>
    <xf numFmtId="1" fontId="17" fillId="0" borderId="0" xfId="57" applyNumberFormat="1" applyFont="1"/>
    <xf numFmtId="0" fontId="49" fillId="0" borderId="0" xfId="57" applyFont="1" applyAlignment="1">
      <alignment horizontal="center"/>
    </xf>
    <xf numFmtId="177" fontId="17" fillId="0" borderId="137" xfId="33" applyNumberFormat="1" applyFont="1" applyFill="1" applyBorder="1" applyAlignment="1"/>
    <xf numFmtId="177" fontId="17" fillId="0" borderId="0" xfId="33" applyNumberFormat="1" applyFont="1" applyFill="1" applyBorder="1" applyAlignment="1"/>
    <xf numFmtId="172" fontId="49" fillId="0" borderId="0" xfId="0" applyNumberFormat="1" applyFont="1" applyAlignment="1">
      <alignment horizontal="center"/>
    </xf>
    <xf numFmtId="288" fontId="17" fillId="0" borderId="0" xfId="0" applyNumberFormat="1" applyFont="1"/>
    <xf numFmtId="0" fontId="92" fillId="0" borderId="0" xfId="57" applyFont="1"/>
    <xf numFmtId="199" fontId="17" fillId="0" borderId="0" xfId="0" applyNumberFormat="1" applyFont="1" applyAlignment="1">
      <alignment horizontal="center" vertical="center"/>
    </xf>
    <xf numFmtId="177" fontId="191" fillId="0" borderId="0" xfId="0" applyNumberFormat="1" applyFont="1"/>
    <xf numFmtId="171" fontId="17" fillId="0" borderId="0" xfId="0" applyNumberFormat="1" applyFont="1"/>
    <xf numFmtId="199" fontId="17" fillId="0" borderId="0" xfId="0" applyNumberFormat="1" applyFont="1"/>
    <xf numFmtId="0" fontId="128" fillId="0" borderId="14" xfId="56" applyFont="1" applyBorder="1" applyAlignment="1">
      <alignment horizontal="right"/>
    </xf>
    <xf numFmtId="0" fontId="49" fillId="0" borderId="14" xfId="56" applyFont="1" applyBorder="1"/>
    <xf numFmtId="0" fontId="49" fillId="0" borderId="48" xfId="56" applyFont="1" applyBorder="1"/>
    <xf numFmtId="0" fontId="49" fillId="0" borderId="11" xfId="56" applyFont="1" applyBorder="1" applyAlignment="1">
      <alignment horizontal="center"/>
    </xf>
    <xf numFmtId="0" fontId="128" fillId="0" borderId="15" xfId="56" applyFont="1" applyBorder="1" applyAlignment="1">
      <alignment horizontal="right"/>
    </xf>
    <xf numFmtId="0" fontId="17" fillId="0" borderId="48" xfId="56" applyBorder="1" applyAlignment="1">
      <alignment horizontal="center"/>
    </xf>
    <xf numFmtId="0" fontId="17" fillId="0" borderId="0" xfId="56" applyAlignment="1">
      <alignment horizontal="center"/>
    </xf>
    <xf numFmtId="43" fontId="128" fillId="0" borderId="15" xfId="56" applyNumberFormat="1" applyFont="1" applyBorder="1" applyAlignment="1">
      <alignment horizontal="right"/>
    </xf>
    <xf numFmtId="0" fontId="128" fillId="0" borderId="16" xfId="56" applyFont="1" applyBorder="1" applyAlignment="1">
      <alignment horizontal="right"/>
    </xf>
    <xf numFmtId="0" fontId="17" fillId="0" borderId="17" xfId="56" applyBorder="1"/>
    <xf numFmtId="0" fontId="17" fillId="0" borderId="29" xfId="56" applyBorder="1"/>
    <xf numFmtId="0" fontId="17" fillId="0" borderId="29" xfId="56" applyBorder="1" applyAlignment="1">
      <alignment horizontal="center"/>
    </xf>
    <xf numFmtId="0" fontId="17" fillId="0" borderId="17" xfId="56" applyBorder="1" applyAlignment="1">
      <alignment horizontal="center"/>
    </xf>
    <xf numFmtId="0" fontId="128" fillId="0" borderId="0" xfId="56" applyFont="1" applyAlignment="1">
      <alignment horizontal="right"/>
    </xf>
    <xf numFmtId="0" fontId="17" fillId="0" borderId="0" xfId="56"/>
    <xf numFmtId="0" fontId="17" fillId="0" borderId="15" xfId="56" applyBorder="1" applyAlignment="1">
      <alignment horizontal="left"/>
    </xf>
    <xf numFmtId="0" fontId="128" fillId="0" borderId="40" xfId="56" applyFont="1" applyBorder="1"/>
    <xf numFmtId="167" fontId="17" fillId="0" borderId="50" xfId="56" applyNumberFormat="1" applyBorder="1"/>
    <xf numFmtId="167" fontId="17" fillId="0" borderId="51" xfId="56" applyNumberFormat="1" applyBorder="1"/>
    <xf numFmtId="0" fontId="49" fillId="0" borderId="27" xfId="56" applyFont="1" applyBorder="1" applyAlignment="1">
      <alignment horizontal="center"/>
    </xf>
    <xf numFmtId="0" fontId="49" fillId="0" borderId="47" xfId="56" applyFont="1" applyBorder="1" applyAlignment="1">
      <alignment horizontal="center"/>
    </xf>
    <xf numFmtId="0" fontId="49" fillId="0" borderId="28" xfId="56" applyFont="1" applyBorder="1" applyAlignment="1">
      <alignment horizontal="center"/>
    </xf>
    <xf numFmtId="0" fontId="49" fillId="0" borderId="48" xfId="56" applyFont="1" applyBorder="1" applyAlignment="1">
      <alignment horizontal="center"/>
    </xf>
    <xf numFmtId="0" fontId="49" fillId="0" borderId="17" xfId="56" applyFont="1" applyBorder="1" applyAlignment="1">
      <alignment horizontal="center"/>
    </xf>
    <xf numFmtId="0" fontId="49" fillId="0" borderId="17" xfId="56" applyFont="1" applyBorder="1"/>
    <xf numFmtId="0" fontId="92" fillId="0" borderId="12" xfId="56" applyFont="1" applyBorder="1" applyAlignment="1">
      <alignment horizontal="center"/>
    </xf>
    <xf numFmtId="167" fontId="17" fillId="0" borderId="14" xfId="56" applyNumberFormat="1" applyBorder="1"/>
    <xf numFmtId="167" fontId="49" fillId="0" borderId="49" xfId="56" applyNumberFormat="1" applyFont="1" applyBorder="1"/>
    <xf numFmtId="178" fontId="49" fillId="0" borderId="0" xfId="48" applyNumberFormat="1" applyFont="1"/>
    <xf numFmtId="178" fontId="17" fillId="0" borderId="0" xfId="48" applyNumberFormat="1"/>
    <xf numFmtId="179" fontId="17" fillId="0" borderId="0" xfId="0" applyNumberFormat="1" applyFont="1"/>
    <xf numFmtId="9" fontId="17" fillId="0" borderId="0" xfId="64" applyFont="1" applyFill="1"/>
    <xf numFmtId="195" fontId="17" fillId="0" borderId="0" xfId="64" applyNumberFormat="1" applyFont="1" applyFill="1"/>
    <xf numFmtId="9" fontId="49" fillId="0" borderId="55" xfId="64" applyFont="1" applyFill="1" applyBorder="1"/>
    <xf numFmtId="178" fontId="49" fillId="0" borderId="0" xfId="64" applyNumberFormat="1" applyFont="1" applyFill="1"/>
    <xf numFmtId="178" fontId="49" fillId="0" borderId="0" xfId="0" applyNumberFormat="1" applyFont="1" applyAlignment="1">
      <alignment horizontal="left"/>
    </xf>
    <xf numFmtId="178" fontId="49" fillId="0" borderId="0" xfId="48" applyNumberFormat="1" applyFont="1" applyAlignment="1">
      <alignment horizontal="center"/>
    </xf>
    <xf numFmtId="10" fontId="49" fillId="0" borderId="0" xfId="0" applyNumberFormat="1" applyFont="1" applyAlignment="1">
      <alignment horizontal="center"/>
    </xf>
    <xf numFmtId="178" fontId="17" fillId="0" borderId="7" xfId="0" applyNumberFormat="1" applyFont="1" applyBorder="1"/>
    <xf numFmtId="10" fontId="49" fillId="0" borderId="0" xfId="65" applyNumberFormat="1" applyFont="1" applyFill="1" applyBorder="1" applyAlignment="1">
      <alignment horizontal="center"/>
    </xf>
    <xf numFmtId="10" fontId="49" fillId="0" borderId="0" xfId="64" applyNumberFormat="1" applyFont="1" applyFill="1" applyBorder="1"/>
    <xf numFmtId="10" fontId="49" fillId="0" borderId="0" xfId="0" applyNumberFormat="1" applyFont="1"/>
    <xf numFmtId="10" fontId="49" fillId="0" borderId="0" xfId="64" applyNumberFormat="1" applyFont="1" applyFill="1" applyBorder="1" applyAlignment="1">
      <alignment horizontal="center"/>
    </xf>
    <xf numFmtId="174" fontId="49" fillId="0" borderId="0" xfId="64" applyNumberFormat="1" applyFont="1" applyFill="1" applyBorder="1" applyAlignment="1">
      <alignment horizontal="center"/>
    </xf>
    <xf numFmtId="192" fontId="17" fillId="0" borderId="0" xfId="0" applyNumberFormat="1" applyFont="1"/>
    <xf numFmtId="0" fontId="49" fillId="0" borderId="137" xfId="0" applyFont="1" applyBorder="1" applyAlignment="1">
      <alignment horizontal="center"/>
    </xf>
    <xf numFmtId="192" fontId="49" fillId="0" borderId="0" xfId="0" applyNumberFormat="1" applyFont="1"/>
    <xf numFmtId="178" fontId="49" fillId="0" borderId="0" xfId="47" applyNumberFormat="1" applyFont="1"/>
    <xf numFmtId="178" fontId="17" fillId="0" borderId="0" xfId="48" applyNumberFormat="1" applyAlignment="1">
      <alignment horizontal="center"/>
    </xf>
    <xf numFmtId="9" fontId="49" fillId="0" borderId="0" xfId="64" applyFont="1" applyFill="1" applyAlignment="1">
      <alignment horizontal="center"/>
    </xf>
    <xf numFmtId="0" fontId="30" fillId="0" borderId="0" xfId="0" applyFont="1" applyAlignment="1">
      <alignment horizontal="center"/>
    </xf>
    <xf numFmtId="0" fontId="30" fillId="0" borderId="0" xfId="0" applyFont="1" applyAlignment="1">
      <alignment horizontal="right"/>
    </xf>
    <xf numFmtId="3" fontId="25" fillId="0" borderId="57" xfId="0" applyNumberFormat="1" applyFont="1" applyBorder="1"/>
    <xf numFmtId="178" fontId="25" fillId="0" borderId="0" xfId="0" applyNumberFormat="1" applyFont="1"/>
    <xf numFmtId="170" fontId="25" fillId="0" borderId="0" xfId="0" applyNumberFormat="1" applyFont="1"/>
    <xf numFmtId="0" fontId="29" fillId="0" borderId="0" xfId="0" applyFont="1"/>
    <xf numFmtId="3" fontId="25" fillId="0" borderId="7" xfId="0" applyNumberFormat="1" applyFont="1" applyBorder="1"/>
    <xf numFmtId="1" fontId="28" fillId="0" borderId="18" xfId="0" applyNumberFormat="1" applyFont="1" applyBorder="1" applyAlignment="1">
      <alignment horizontal="center"/>
    </xf>
    <xf numFmtId="0" fontId="32" fillId="0" borderId="0" xfId="0" applyFont="1"/>
    <xf numFmtId="167" fontId="26" fillId="0" borderId="0" xfId="0" applyNumberFormat="1" applyFont="1"/>
    <xf numFmtId="1" fontId="26" fillId="0" borderId="0" xfId="0" applyNumberFormat="1" applyFont="1"/>
    <xf numFmtId="9" fontId="26" fillId="0" borderId="0" xfId="64" applyFont="1" applyFill="1"/>
    <xf numFmtId="3" fontId="26" fillId="0" borderId="0" xfId="0" applyNumberFormat="1" applyFont="1"/>
    <xf numFmtId="9" fontId="33" fillId="0" borderId="0" xfId="64" applyFont="1" applyFill="1" applyBorder="1"/>
    <xf numFmtId="3" fontId="23" fillId="0" borderId="0" xfId="28" applyNumberFormat="1" applyFont="1" applyFill="1" applyBorder="1" applyAlignment="1">
      <alignment horizontal="center"/>
    </xf>
    <xf numFmtId="0" fontId="24" fillId="0" borderId="0" xfId="0" applyFont="1" applyAlignment="1">
      <alignment horizontal="right"/>
    </xf>
    <xf numFmtId="9" fontId="24" fillId="0" borderId="7" xfId="64" applyFont="1" applyFill="1" applyBorder="1" applyAlignment="1" applyProtection="1">
      <alignment horizontal="center"/>
      <protection locked="0"/>
    </xf>
    <xf numFmtId="0" fontId="30" fillId="0" borderId="0" xfId="0" applyFont="1"/>
    <xf numFmtId="2" fontId="24" fillId="0" borderId="58" xfId="64" applyNumberFormat="1" applyFont="1" applyFill="1" applyBorder="1" applyAlignment="1" applyProtection="1">
      <alignment horizontal="center"/>
    </xf>
    <xf numFmtId="0" fontId="34" fillId="0" borderId="0" xfId="0" applyFont="1" applyAlignment="1">
      <alignment horizontal="center"/>
    </xf>
    <xf numFmtId="9" fontId="23" fillId="0" borderId="7" xfId="0" applyNumberFormat="1" applyFont="1" applyBorder="1"/>
    <xf numFmtId="174" fontId="24" fillId="0" borderId="58" xfId="64" applyNumberFormat="1" applyFont="1" applyFill="1" applyBorder="1" applyAlignment="1" applyProtection="1">
      <alignment horizontal="center"/>
    </xf>
    <xf numFmtId="0" fontId="23" fillId="0" borderId="0" xfId="0" applyFont="1" applyAlignment="1">
      <alignment horizontal="center"/>
    </xf>
    <xf numFmtId="0" fontId="34" fillId="0" borderId="0" xfId="0" applyFont="1"/>
    <xf numFmtId="178" fontId="23" fillId="0" borderId="0" xfId="0" applyNumberFormat="1" applyFont="1"/>
    <xf numFmtId="0" fontId="23" fillId="0" borderId="0" xfId="0" applyFont="1"/>
    <xf numFmtId="0" fontId="28" fillId="0" borderId="0" xfId="0" applyFont="1" applyAlignment="1">
      <alignment horizontal="center"/>
    </xf>
    <xf numFmtId="0" fontId="30" fillId="0" borderId="62" xfId="0" applyFont="1" applyBorder="1" applyAlignment="1">
      <alignment horizontal="center"/>
    </xf>
    <xf numFmtId="1" fontId="28" fillId="0" borderId="0" xfId="0" applyNumberFormat="1" applyFont="1" applyAlignment="1">
      <alignment horizontal="center"/>
    </xf>
    <xf numFmtId="3" fontId="28" fillId="0" borderId="0" xfId="28" applyNumberFormat="1" applyFont="1" applyFill="1" applyBorder="1" applyAlignment="1">
      <alignment horizontal="center"/>
    </xf>
    <xf numFmtId="172" fontId="28" fillId="0" borderId="0" xfId="28" applyNumberFormat="1" applyFont="1" applyFill="1" applyBorder="1" applyAlignment="1">
      <alignment horizontal="center"/>
    </xf>
    <xf numFmtId="3" fontId="30" fillId="0" borderId="0" xfId="28" applyNumberFormat="1" applyFont="1" applyFill="1" applyBorder="1" applyAlignment="1">
      <alignment horizontal="center"/>
    </xf>
    <xf numFmtId="0" fontId="193" fillId="0" borderId="0" xfId="0" applyFont="1"/>
    <xf numFmtId="178" fontId="23" fillId="0" borderId="0" xfId="0" applyNumberFormat="1" applyFont="1" applyAlignment="1">
      <alignment horizontal="center"/>
    </xf>
    <xf numFmtId="179" fontId="23" fillId="0" borderId="0" xfId="0" applyNumberFormat="1" applyFont="1" applyAlignment="1">
      <alignment horizontal="center"/>
    </xf>
    <xf numFmtId="0" fontId="14" fillId="0" borderId="0" xfId="56" applyFont="1"/>
    <xf numFmtId="167" fontId="40" fillId="0" borderId="0" xfId="0" applyNumberFormat="1" applyFont="1"/>
    <xf numFmtId="0" fontId="28" fillId="0" borderId="0" xfId="61" applyFont="1"/>
    <xf numFmtId="0" fontId="25" fillId="0" borderId="0" xfId="61" applyFont="1"/>
    <xf numFmtId="0" fontId="194" fillId="0" borderId="0" xfId="0" applyFont="1"/>
    <xf numFmtId="0" fontId="195" fillId="0" borderId="47" xfId="56" applyFont="1" applyBorder="1" applyAlignment="1">
      <alignment horizontal="center"/>
    </xf>
    <xf numFmtId="0" fontId="195" fillId="0" borderId="47" xfId="56" applyFont="1" applyBorder="1" applyAlignment="1">
      <alignment horizontal="center" vertical="center"/>
    </xf>
    <xf numFmtId="0" fontId="195" fillId="0" borderId="18" xfId="56" applyFont="1" applyBorder="1" applyAlignment="1">
      <alignment horizontal="center"/>
    </xf>
    <xf numFmtId="0" fontId="195" fillId="0" borderId="17" xfId="56" applyFont="1" applyBorder="1" applyAlignment="1">
      <alignment horizontal="center"/>
    </xf>
    <xf numFmtId="0" fontId="0" fillId="0" borderId="17" xfId="0" applyBorder="1" applyAlignment="1">
      <alignment horizontal="center" vertical="center"/>
    </xf>
    <xf numFmtId="1" fontId="196" fillId="0" borderId="13" xfId="56" applyNumberFormat="1" applyFont="1" applyBorder="1" applyAlignment="1">
      <alignment horizontal="center"/>
    </xf>
    <xf numFmtId="0" fontId="197" fillId="0" borderId="13" xfId="56" applyFont="1" applyBorder="1" applyAlignment="1">
      <alignment horizontal="center"/>
    </xf>
    <xf numFmtId="2" fontId="195" fillId="0" borderId="0" xfId="56" applyNumberFormat="1" applyFont="1" applyAlignment="1">
      <alignment horizontal="center"/>
    </xf>
    <xf numFmtId="178" fontId="195" fillId="0" borderId="13" xfId="28" applyNumberFormat="1" applyFont="1" applyFill="1" applyBorder="1" applyAlignment="1">
      <alignment horizontal="center"/>
    </xf>
    <xf numFmtId="43" fontId="196" fillId="0" borderId="15" xfId="56" applyNumberFormat="1" applyFont="1" applyBorder="1" applyAlignment="1">
      <alignment horizontal="right"/>
    </xf>
    <xf numFmtId="0" fontId="195" fillId="0" borderId="186" xfId="56" applyFont="1" applyBorder="1" applyAlignment="1">
      <alignment horizontal="center"/>
    </xf>
    <xf numFmtId="0" fontId="195" fillId="0" borderId="151" xfId="56" applyFont="1" applyBorder="1" applyAlignment="1">
      <alignment horizontal="center"/>
    </xf>
    <xf numFmtId="178" fontId="25" fillId="0" borderId="0" xfId="61" applyNumberFormat="1" applyFont="1" applyAlignment="1">
      <alignment vertical="center" wrapText="1"/>
    </xf>
    <xf numFmtId="0" fontId="0" fillId="0" borderId="0" xfId="0" applyAlignment="1">
      <alignment vertical="center" wrapText="1"/>
    </xf>
    <xf numFmtId="0" fontId="25" fillId="0" borderId="0" xfId="61" applyFont="1" applyAlignment="1">
      <alignment horizontal="center"/>
    </xf>
    <xf numFmtId="0" fontId="25" fillId="0" borderId="0" xfId="61" applyFont="1" applyAlignment="1">
      <alignment horizontal="left"/>
    </xf>
    <xf numFmtId="0" fontId="25" fillId="0" borderId="0" xfId="61" applyFont="1" applyAlignment="1">
      <alignment horizontal="left" wrapText="1"/>
    </xf>
    <xf numFmtId="0" fontId="23" fillId="0" borderId="0" xfId="61" applyFont="1" applyAlignment="1">
      <alignment horizontal="center"/>
    </xf>
    <xf numFmtId="2" fontId="25" fillId="0" borderId="0" xfId="61" applyNumberFormat="1" applyFont="1" applyAlignment="1">
      <alignment horizontal="center"/>
    </xf>
    <xf numFmtId="177" fontId="25" fillId="0" borderId="0" xfId="35" applyNumberFormat="1" applyFont="1" applyFill="1" applyBorder="1"/>
    <xf numFmtId="3" fontId="25" fillId="0" borderId="0" xfId="61" applyNumberFormat="1" applyFont="1" applyAlignment="1">
      <alignment horizontal="center"/>
    </xf>
    <xf numFmtId="186" fontId="24" fillId="0" borderId="0" xfId="34" applyNumberFormat="1" applyFont="1" applyFill="1" applyBorder="1"/>
    <xf numFmtId="3" fontId="14" fillId="0" borderId="34" xfId="56" applyNumberFormat="1" applyFont="1" applyBorder="1" applyAlignment="1">
      <alignment horizontal="center"/>
    </xf>
    <xf numFmtId="3" fontId="14" fillId="0" borderId="47" xfId="56" applyNumberFormat="1" applyFont="1" applyBorder="1" applyAlignment="1">
      <alignment horizontal="center"/>
    </xf>
    <xf numFmtId="3" fontId="14" fillId="0" borderId="35" xfId="56" applyNumberFormat="1" applyFont="1" applyBorder="1" applyAlignment="1">
      <alignment horizontal="center"/>
    </xf>
    <xf numFmtId="3" fontId="14" fillId="0" borderId="76" xfId="56" applyNumberFormat="1" applyFont="1" applyBorder="1" applyAlignment="1">
      <alignment horizontal="center"/>
    </xf>
    <xf numFmtId="3" fontId="14" fillId="0" borderId="77" xfId="56" applyNumberFormat="1" applyFont="1" applyBorder="1" applyAlignment="1">
      <alignment horizontal="center"/>
    </xf>
    <xf numFmtId="0" fontId="196" fillId="0" borderId="277" xfId="56" applyFont="1" applyBorder="1" applyAlignment="1">
      <alignment horizontal="right"/>
    </xf>
    <xf numFmtId="202" fontId="14" fillId="0" borderId="277" xfId="56" applyNumberFormat="1" applyFont="1" applyBorder="1" applyAlignment="1">
      <alignment horizontal="center"/>
    </xf>
    <xf numFmtId="3" fontId="14" fillId="0" borderId="277" xfId="56" applyNumberFormat="1" applyFont="1" applyBorder="1" applyAlignment="1">
      <alignment horizontal="center"/>
    </xf>
    <xf numFmtId="0" fontId="196" fillId="0" borderId="278" xfId="56" applyFont="1" applyBorder="1" applyAlignment="1">
      <alignment horizontal="right"/>
    </xf>
    <xf numFmtId="202" fontId="14" fillId="0" borderId="278" xfId="56" applyNumberFormat="1" applyFont="1" applyBorder="1" applyAlignment="1">
      <alignment horizontal="center"/>
    </xf>
    <xf numFmtId="3" fontId="14" fillId="0" borderId="278" xfId="56" applyNumberFormat="1" applyFont="1" applyBorder="1" applyAlignment="1">
      <alignment horizontal="center"/>
    </xf>
    <xf numFmtId="0" fontId="196" fillId="0" borderId="279" xfId="56" applyFont="1" applyBorder="1" applyAlignment="1">
      <alignment horizontal="right"/>
    </xf>
    <xf numFmtId="202" fontId="14" fillId="0" borderId="279" xfId="56" applyNumberFormat="1" applyFont="1" applyBorder="1" applyAlignment="1">
      <alignment horizontal="center"/>
    </xf>
    <xf numFmtId="3" fontId="14" fillId="0" borderId="279" xfId="56" applyNumberFormat="1" applyFont="1" applyBorder="1" applyAlignment="1">
      <alignment horizontal="center"/>
    </xf>
    <xf numFmtId="1" fontId="196" fillId="0" borderId="276" xfId="56" applyNumberFormat="1" applyFont="1" applyBorder="1" applyAlignment="1">
      <alignment horizontal="center"/>
    </xf>
    <xf numFmtId="0" fontId="197" fillId="0" borderId="276" xfId="56" applyFont="1" applyBorder="1" applyAlignment="1">
      <alignment horizontal="center"/>
    </xf>
    <xf numFmtId="178" fontId="196" fillId="0" borderId="277" xfId="56" applyNumberFormat="1" applyFont="1" applyBorder="1" applyAlignment="1">
      <alignment horizontal="center"/>
    </xf>
    <xf numFmtId="172" fontId="14" fillId="0" borderId="277" xfId="56" applyNumberFormat="1" applyFont="1" applyBorder="1" applyAlignment="1">
      <alignment horizontal="center"/>
    </xf>
    <xf numFmtId="2" fontId="195" fillId="0" borderId="280" xfId="56" applyNumberFormat="1" applyFont="1" applyBorder="1" applyAlignment="1">
      <alignment horizontal="center"/>
    </xf>
    <xf numFmtId="178" fontId="43" fillId="0" borderId="269" xfId="56" applyNumberFormat="1" applyFont="1" applyBorder="1" applyAlignment="1">
      <alignment horizontal="center"/>
    </xf>
    <xf numFmtId="178" fontId="195" fillId="0" borderId="276" xfId="28" applyNumberFormat="1" applyFont="1" applyFill="1" applyBorder="1" applyAlignment="1">
      <alignment horizontal="center"/>
    </xf>
    <xf numFmtId="178" fontId="196" fillId="0" borderId="278" xfId="56" applyNumberFormat="1" applyFont="1" applyBorder="1" applyAlignment="1">
      <alignment horizontal="center"/>
    </xf>
    <xf numFmtId="172" fontId="14" fillId="0" borderId="278" xfId="56" applyNumberFormat="1" applyFont="1" applyBorder="1" applyAlignment="1">
      <alignment horizontal="center"/>
    </xf>
    <xf numFmtId="178" fontId="43" fillId="0" borderId="267" xfId="56" applyNumberFormat="1" applyFont="1" applyBorder="1" applyAlignment="1">
      <alignment horizontal="center"/>
    </xf>
    <xf numFmtId="43" fontId="196" fillId="0" borderId="281" xfId="56" applyNumberFormat="1" applyFont="1" applyBorder="1" applyAlignment="1">
      <alignment horizontal="right"/>
    </xf>
    <xf numFmtId="1" fontId="196" fillId="0" borderId="265" xfId="56" applyNumberFormat="1" applyFont="1" applyBorder="1" applyAlignment="1">
      <alignment horizontal="center"/>
    </xf>
    <xf numFmtId="0" fontId="197" fillId="0" borderId="265" xfId="56" applyFont="1" applyBorder="1" applyAlignment="1">
      <alignment horizontal="center"/>
    </xf>
    <xf numFmtId="178" fontId="196" fillId="0" borderId="279" xfId="56" applyNumberFormat="1" applyFont="1" applyBorder="1" applyAlignment="1">
      <alignment horizontal="center"/>
    </xf>
    <xf numFmtId="172" fontId="14" fillId="0" borderId="279" xfId="56" applyNumberFormat="1" applyFont="1" applyBorder="1" applyAlignment="1">
      <alignment horizontal="center"/>
    </xf>
    <xf numFmtId="2" fontId="195" fillId="0" borderId="282" xfId="56" applyNumberFormat="1" applyFont="1" applyBorder="1" applyAlignment="1">
      <alignment horizontal="center"/>
    </xf>
    <xf numFmtId="178" fontId="43" fillId="0" borderId="268" xfId="56" applyNumberFormat="1" applyFont="1" applyBorder="1" applyAlignment="1">
      <alignment horizontal="center"/>
    </xf>
    <xf numFmtId="178" fontId="195" fillId="0" borderId="265" xfId="28" applyNumberFormat="1" applyFont="1" applyFill="1" applyBorder="1" applyAlignment="1">
      <alignment horizontal="center"/>
    </xf>
    <xf numFmtId="0" fontId="195" fillId="27" borderId="47" xfId="56" applyFont="1" applyFill="1" applyBorder="1" applyAlignment="1">
      <alignment horizontal="center"/>
    </xf>
    <xf numFmtId="0" fontId="195" fillId="27" borderId="13" xfId="56" applyFont="1" applyFill="1" applyBorder="1" applyAlignment="1">
      <alignment horizontal="center"/>
    </xf>
    <xf numFmtId="0" fontId="195" fillId="26" borderId="18" xfId="56" applyFont="1" applyFill="1" applyBorder="1" applyAlignment="1" applyProtection="1">
      <alignment horizontal="center"/>
      <protection locked="0"/>
    </xf>
    <xf numFmtId="0" fontId="195" fillId="27" borderId="17" xfId="56" applyFont="1" applyFill="1" applyBorder="1" applyAlignment="1">
      <alignment horizontal="center"/>
    </xf>
    <xf numFmtId="0" fontId="196" fillId="0" borderId="34" xfId="56" applyFont="1" applyBorder="1" applyAlignment="1">
      <alignment horizontal="right"/>
    </xf>
    <xf numFmtId="202" fontId="25" fillId="26" borderId="34" xfId="55" applyNumberFormat="1" applyFont="1" applyFill="1" applyBorder="1" applyAlignment="1" applyProtection="1">
      <alignment horizontal="center"/>
      <protection locked="0"/>
    </xf>
    <xf numFmtId="0" fontId="196" fillId="0" borderId="35" xfId="56" applyFont="1" applyBorder="1" applyAlignment="1">
      <alignment horizontal="right"/>
    </xf>
    <xf numFmtId="202" fontId="25" fillId="26" borderId="35" xfId="55" applyNumberFormat="1" applyFont="1" applyFill="1" applyBorder="1" applyAlignment="1" applyProtection="1">
      <alignment horizontal="center"/>
      <protection locked="0"/>
    </xf>
    <xf numFmtId="0" fontId="41" fillId="26" borderId="78" xfId="0" applyFont="1" applyFill="1" applyBorder="1" applyAlignment="1" applyProtection="1">
      <alignment horizontal="center"/>
      <protection locked="0"/>
    </xf>
    <xf numFmtId="3" fontId="15" fillId="48" borderId="75" xfId="56" applyNumberFormat="1" applyFont="1" applyFill="1" applyBorder="1" applyAlignment="1">
      <alignment horizontal="center"/>
    </xf>
    <xf numFmtId="168" fontId="92" fillId="0" borderId="270" xfId="28" applyNumberFormat="1" applyFont="1" applyFill="1" applyBorder="1" applyAlignment="1"/>
    <xf numFmtId="167" fontId="17" fillId="0" borderId="270" xfId="56" applyNumberFormat="1" applyBorder="1" applyAlignment="1">
      <alignment horizontal="center"/>
    </xf>
    <xf numFmtId="175" fontId="17" fillId="0" borderId="270" xfId="28" applyNumberFormat="1" applyFont="1" applyFill="1" applyBorder="1" applyAlignment="1">
      <alignment horizontal="center"/>
    </xf>
    <xf numFmtId="0" fontId="49" fillId="0" borderId="270" xfId="56" applyFont="1" applyBorder="1" applyAlignment="1">
      <alignment horizontal="center"/>
    </xf>
    <xf numFmtId="1" fontId="92" fillId="0" borderId="270" xfId="56" applyNumberFormat="1" applyFont="1" applyBorder="1" applyAlignment="1">
      <alignment horizontal="center"/>
    </xf>
    <xf numFmtId="0" fontId="92" fillId="0" borderId="270" xfId="56" applyFont="1" applyBorder="1" applyAlignment="1">
      <alignment horizontal="center"/>
    </xf>
    <xf numFmtId="0" fontId="17" fillId="0" borderId="270" xfId="56" applyBorder="1" applyAlignment="1">
      <alignment horizontal="center"/>
    </xf>
    <xf numFmtId="167" fontId="17" fillId="0" borderId="270" xfId="56" applyNumberFormat="1" applyBorder="1"/>
    <xf numFmtId="167" fontId="49" fillId="0" borderId="285" xfId="56" applyNumberFormat="1" applyFont="1" applyBorder="1"/>
    <xf numFmtId="0" fontId="49" fillId="0" borderId="0" xfId="56" applyFont="1"/>
    <xf numFmtId="0" fontId="49" fillId="0" borderId="284" xfId="56" applyFont="1" applyBorder="1" applyAlignment="1">
      <alignment horizontal="center"/>
    </xf>
    <xf numFmtId="0" fontId="49" fillId="0" borderId="286" xfId="56" applyFont="1" applyBorder="1" applyAlignment="1">
      <alignment horizontal="center"/>
    </xf>
    <xf numFmtId="0" fontId="49" fillId="0" borderId="287" xfId="56" applyFont="1" applyBorder="1" applyAlignment="1">
      <alignment horizontal="center"/>
    </xf>
    <xf numFmtId="0" fontId="49" fillId="0" borderId="276" xfId="56" applyFont="1" applyBorder="1" applyAlignment="1">
      <alignment horizontal="center"/>
    </xf>
    <xf numFmtId="0" fontId="49" fillId="0" borderId="265" xfId="56" applyFont="1" applyBorder="1"/>
    <xf numFmtId="0" fontId="17" fillId="0" borderId="265" xfId="56" applyBorder="1"/>
    <xf numFmtId="178" fontId="192" fillId="0" borderId="270" xfId="0" applyNumberFormat="1" applyFont="1" applyBorder="1"/>
    <xf numFmtId="9" fontId="24" fillId="0" borderId="288" xfId="64" applyFont="1" applyFill="1" applyBorder="1" applyAlignment="1" applyProtection="1">
      <alignment horizontal="center"/>
      <protection locked="0"/>
    </xf>
    <xf numFmtId="0" fontId="23" fillId="0" borderId="270" xfId="0" applyFont="1" applyBorder="1" applyAlignment="1">
      <alignment horizontal="center"/>
    </xf>
    <xf numFmtId="2" fontId="23" fillId="0" borderId="270" xfId="0" applyNumberFormat="1" applyFont="1" applyBorder="1" applyAlignment="1">
      <alignment horizontal="center"/>
    </xf>
    <xf numFmtId="43" fontId="17" fillId="0" borderId="283" xfId="0" applyNumberFormat="1" applyFont="1" applyBorder="1" applyAlignment="1">
      <alignment horizontal="right"/>
    </xf>
    <xf numFmtId="226" fontId="17" fillId="0" borderId="269" xfId="0" applyNumberFormat="1" applyFont="1" applyBorder="1" applyAlignment="1">
      <alignment horizontal="center"/>
    </xf>
    <xf numFmtId="0" fontId="17" fillId="0" borderId="269" xfId="0" applyFont="1" applyBorder="1"/>
    <xf numFmtId="0" fontId="17" fillId="0" borderId="269" xfId="0" applyFont="1" applyBorder="1" applyAlignment="1">
      <alignment horizontal="center"/>
    </xf>
    <xf numFmtId="0" fontId="17" fillId="0" borderId="289" xfId="0" applyFont="1" applyBorder="1" applyAlignment="1">
      <alignment horizontal="center"/>
    </xf>
    <xf numFmtId="3" fontId="17" fillId="0" borderId="269" xfId="0" applyNumberFormat="1" applyFont="1" applyBorder="1" applyAlignment="1">
      <alignment horizontal="center"/>
    </xf>
    <xf numFmtId="0" fontId="17" fillId="0" borderId="290" xfId="0" applyFont="1" applyBorder="1" applyAlignment="1">
      <alignment horizontal="center"/>
    </xf>
    <xf numFmtId="174" fontId="17" fillId="0" borderId="269" xfId="0" quotePrefix="1" applyNumberFormat="1" applyFont="1" applyBorder="1" applyAlignment="1">
      <alignment horizontal="center"/>
    </xf>
    <xf numFmtId="177" fontId="17" fillId="0" borderId="269" xfId="33" applyNumberFormat="1" applyFont="1" applyFill="1" applyBorder="1" applyAlignment="1">
      <alignment horizontal="center"/>
    </xf>
    <xf numFmtId="177" fontId="17" fillId="0" borderId="269" xfId="33" applyNumberFormat="1" applyFont="1" applyFill="1" applyBorder="1"/>
    <xf numFmtId="177" fontId="17" fillId="0" borderId="269" xfId="33" applyNumberFormat="1" applyFont="1" applyFill="1" applyBorder="1" applyAlignment="1"/>
    <xf numFmtId="43" fontId="17" fillId="0" borderId="15" xfId="0" applyNumberFormat="1" applyFont="1" applyBorder="1" applyAlignment="1">
      <alignment horizontal="right"/>
    </xf>
    <xf numFmtId="0" fontId="17" fillId="0" borderId="274" xfId="0" applyFont="1" applyBorder="1" applyAlignment="1">
      <alignment horizontal="center"/>
    </xf>
    <xf numFmtId="3" fontId="17" fillId="0" borderId="267" xfId="0" applyNumberFormat="1" applyFont="1" applyBorder="1" applyAlignment="1">
      <alignment horizontal="center"/>
    </xf>
    <xf numFmtId="0" fontId="17" fillId="0" borderId="267" xfId="0" applyFont="1" applyBorder="1" applyAlignment="1">
      <alignment horizontal="center"/>
    </xf>
    <xf numFmtId="174" fontId="17" fillId="0" borderId="267" xfId="0" quotePrefix="1" applyNumberFormat="1" applyFont="1" applyBorder="1" applyAlignment="1">
      <alignment horizontal="center"/>
    </xf>
    <xf numFmtId="177" fontId="17" fillId="0" borderId="267" xfId="33" applyNumberFormat="1" applyFont="1" applyFill="1" applyBorder="1" applyAlignment="1">
      <alignment horizontal="center"/>
    </xf>
    <xf numFmtId="177" fontId="17" fillId="0" borderId="267" xfId="33" applyNumberFormat="1" applyFont="1" applyFill="1" applyBorder="1"/>
    <xf numFmtId="177" fontId="17" fillId="0" borderId="267" xfId="33" applyNumberFormat="1" applyFont="1" applyFill="1" applyBorder="1" applyAlignment="1"/>
    <xf numFmtId="43" fontId="17" fillId="0" borderId="16" xfId="0" applyNumberFormat="1" applyFont="1" applyBorder="1" applyAlignment="1">
      <alignment horizontal="right"/>
    </xf>
    <xf numFmtId="0" fontId="17" fillId="0" borderId="293" xfId="0" applyFont="1" applyBorder="1" applyAlignment="1">
      <alignment horizontal="center"/>
    </xf>
    <xf numFmtId="3" fontId="17" fillId="0" borderId="268" xfId="0" applyNumberFormat="1" applyFont="1" applyBorder="1" applyAlignment="1">
      <alignment horizontal="center"/>
    </xf>
    <xf numFmtId="0" fontId="17" fillId="0" borderId="268" xfId="0" applyFont="1" applyBorder="1" applyAlignment="1">
      <alignment horizontal="center"/>
    </xf>
    <xf numFmtId="174" fontId="17" fillId="0" borderId="268" xfId="0" quotePrefix="1" applyNumberFormat="1" applyFont="1" applyBorder="1" applyAlignment="1">
      <alignment horizontal="center"/>
    </xf>
    <xf numFmtId="177" fontId="17" fillId="0" borderId="268" xfId="33" applyNumberFormat="1" applyFont="1" applyFill="1" applyBorder="1" applyAlignment="1">
      <alignment horizontal="center"/>
    </xf>
    <xf numFmtId="177" fontId="17" fillId="0" borderId="268" xfId="33" applyNumberFormat="1" applyFont="1" applyFill="1" applyBorder="1"/>
    <xf numFmtId="177" fontId="17" fillId="0" borderId="268" xfId="33" applyNumberFormat="1" applyFont="1" applyFill="1" applyBorder="1" applyAlignment="1"/>
    <xf numFmtId="226" fontId="17" fillId="0" borderId="296" xfId="0" applyNumberFormat="1" applyFont="1" applyBorder="1" applyAlignment="1">
      <alignment horizontal="center"/>
    </xf>
    <xf numFmtId="289" fontId="17" fillId="0" borderId="289" xfId="0" applyNumberFormat="1" applyFont="1" applyBorder="1" applyAlignment="1">
      <alignment horizontal="center"/>
    </xf>
    <xf numFmtId="3" fontId="17" fillId="0" borderId="291" xfId="0" quotePrefix="1" applyNumberFormat="1" applyFont="1" applyBorder="1" applyAlignment="1">
      <alignment horizontal="center"/>
    </xf>
    <xf numFmtId="289" fontId="17" fillId="0" borderId="274" xfId="0" applyNumberFormat="1" applyFont="1" applyBorder="1" applyAlignment="1">
      <alignment horizontal="center"/>
    </xf>
    <xf numFmtId="0" fontId="17" fillId="0" borderId="267" xfId="0" applyFont="1" applyBorder="1"/>
    <xf numFmtId="3" fontId="17" fillId="0" borderId="292" xfId="0" quotePrefix="1" applyNumberFormat="1" applyFont="1" applyBorder="1" applyAlignment="1">
      <alignment horizontal="center"/>
    </xf>
    <xf numFmtId="0" fontId="17" fillId="0" borderId="280" xfId="0" applyFont="1" applyBorder="1" applyAlignment="1">
      <alignment horizontal="center" vertical="center"/>
    </xf>
    <xf numFmtId="0" fontId="17" fillId="0" borderId="30" xfId="0" applyFont="1" applyBorder="1" applyAlignment="1">
      <alignment horizontal="center" vertical="center"/>
    </xf>
    <xf numFmtId="0" fontId="17" fillId="0" borderId="280" xfId="0" applyFont="1" applyBorder="1"/>
    <xf numFmtId="0" fontId="17" fillId="0" borderId="288" xfId="0" applyFont="1" applyBorder="1" applyAlignment="1">
      <alignment horizontal="center"/>
    </xf>
    <xf numFmtId="0" fontId="17" fillId="0" borderId="30" xfId="0" applyFont="1" applyBorder="1"/>
    <xf numFmtId="181" fontId="17" fillId="0" borderId="0" xfId="0" applyNumberFormat="1" applyFont="1"/>
    <xf numFmtId="3" fontId="49" fillId="0" borderId="0" xfId="0" applyNumberFormat="1" applyFont="1" applyAlignment="1" applyProtection="1">
      <alignment horizontal="center" wrapText="1"/>
      <protection hidden="1"/>
    </xf>
    <xf numFmtId="0" fontId="49" fillId="0" borderId="0" xfId="0" applyFont="1" applyAlignment="1" applyProtection="1">
      <alignment horizontal="center"/>
      <protection hidden="1"/>
    </xf>
    <xf numFmtId="167" fontId="49" fillId="0" borderId="0" xfId="0" applyNumberFormat="1" applyFont="1" applyAlignment="1" applyProtection="1">
      <alignment horizontal="center"/>
      <protection hidden="1"/>
    </xf>
    <xf numFmtId="0" fontId="49" fillId="0" borderId="0" xfId="0" applyFont="1" applyAlignment="1" applyProtection="1">
      <alignment horizontal="center" wrapText="1"/>
      <protection hidden="1"/>
    </xf>
    <xf numFmtId="3" fontId="49" fillId="0" borderId="0" xfId="0" applyNumberFormat="1" applyFont="1" applyAlignment="1" applyProtection="1">
      <alignment horizontal="center"/>
      <protection hidden="1"/>
    </xf>
    <xf numFmtId="178" fontId="17" fillId="0" borderId="61" xfId="0" applyNumberFormat="1" applyFont="1" applyBorder="1" applyProtection="1">
      <protection hidden="1"/>
    </xf>
    <xf numFmtId="181" fontId="17" fillId="0" borderId="0" xfId="0" applyNumberFormat="1" applyFont="1" applyProtection="1">
      <protection hidden="1"/>
    </xf>
    <xf numFmtId="168" fontId="17" fillId="0" borderId="0" xfId="28" applyNumberFormat="1" applyFont="1" applyFill="1" applyAlignment="1" applyProtection="1">
      <alignment horizontal="center"/>
      <protection hidden="1"/>
    </xf>
    <xf numFmtId="168" fontId="17" fillId="0" borderId="0" xfId="28" applyNumberFormat="1" applyFont="1" applyFill="1" applyProtection="1">
      <protection hidden="1"/>
    </xf>
    <xf numFmtId="169" fontId="17" fillId="0" borderId="0" xfId="28" applyNumberFormat="1" applyFont="1" applyFill="1" applyProtection="1">
      <protection hidden="1"/>
    </xf>
    <xf numFmtId="178" fontId="17" fillId="0" borderId="0" xfId="0" applyNumberFormat="1" applyFont="1" applyProtection="1">
      <protection hidden="1"/>
    </xf>
    <xf numFmtId="9" fontId="17" fillId="0" borderId="0" xfId="64" applyFont="1" applyFill="1" applyBorder="1" applyAlignment="1" applyProtection="1">
      <alignment horizontal="center"/>
      <protection hidden="1"/>
    </xf>
    <xf numFmtId="182" fontId="17" fillId="0" borderId="0" xfId="0" applyNumberFormat="1" applyFont="1" applyProtection="1">
      <protection hidden="1"/>
    </xf>
    <xf numFmtId="167" fontId="17" fillId="0" borderId="0" xfId="0" quotePrefix="1" applyNumberFormat="1" applyFont="1" applyAlignment="1" applyProtection="1">
      <alignment horizontal="center"/>
      <protection hidden="1"/>
    </xf>
    <xf numFmtId="0" fontId="49" fillId="24" borderId="27" xfId="0" applyFont="1" applyFill="1" applyBorder="1"/>
    <xf numFmtId="0" fontId="49" fillId="24" borderId="28" xfId="0" applyFont="1" applyFill="1" applyBorder="1"/>
    <xf numFmtId="0" fontId="49" fillId="24" borderId="17" xfId="0" applyFont="1" applyFill="1" applyBorder="1" applyAlignment="1">
      <alignment horizontal="center"/>
    </xf>
    <xf numFmtId="0" fontId="49" fillId="24" borderId="153" xfId="0" applyFont="1" applyFill="1" applyBorder="1" applyAlignment="1">
      <alignment horizontal="center"/>
    </xf>
    <xf numFmtId="0" fontId="17" fillId="0" borderId="154" xfId="0" applyFont="1" applyBorder="1"/>
    <xf numFmtId="3" fontId="17" fillId="0" borderId="44" xfId="0" applyNumberFormat="1" applyFont="1" applyBorder="1" applyAlignment="1">
      <alignment horizontal="right"/>
    </xf>
    <xf numFmtId="203" fontId="17" fillId="0" borderId="44" xfId="0" applyNumberFormat="1" applyFont="1" applyBorder="1" applyAlignment="1">
      <alignment horizontal="left"/>
    </xf>
    <xf numFmtId="0" fontId="17" fillId="0" borderId="15" xfId="0" applyFont="1" applyBorder="1"/>
    <xf numFmtId="0" fontId="17" fillId="0" borderId="44" xfId="0" applyFont="1" applyBorder="1" applyAlignment="1">
      <alignment horizontal="center" vertical="center"/>
    </xf>
    <xf numFmtId="247" fontId="17" fillId="0" borderId="44" xfId="0" applyNumberFormat="1" applyFont="1" applyBorder="1" applyAlignment="1">
      <alignment horizontal="center"/>
    </xf>
    <xf numFmtId="0" fontId="17" fillId="0" borderId="155" xfId="0" applyFont="1" applyBorder="1" applyAlignment="1">
      <alignment horizontal="right"/>
    </xf>
    <xf numFmtId="0" fontId="17" fillId="0" borderId="15" xfId="0" applyFont="1" applyBorder="1" applyAlignment="1">
      <alignment horizontal="left"/>
    </xf>
    <xf numFmtId="3" fontId="17" fillId="0" borderId="13" xfId="33" applyNumberFormat="1" applyFont="1" applyFill="1" applyBorder="1" applyAlignment="1">
      <alignment horizontal="left"/>
    </xf>
    <xf numFmtId="3" fontId="17" fillId="0" borderId="13" xfId="33" applyNumberFormat="1" applyFont="1" applyFill="1" applyBorder="1" applyAlignment="1">
      <alignment horizontal="right"/>
    </xf>
    <xf numFmtId="256" fontId="17" fillId="0" borderId="13" xfId="0" applyNumberFormat="1" applyFont="1" applyBorder="1" applyAlignment="1">
      <alignment horizontal="left"/>
    </xf>
    <xf numFmtId="256" fontId="17" fillId="0" borderId="276" xfId="0" applyNumberFormat="1" applyFont="1" applyBorder="1" applyAlignment="1">
      <alignment horizontal="left"/>
    </xf>
    <xf numFmtId="193" fontId="17" fillId="0" borderId="13" xfId="0" applyNumberFormat="1" applyFont="1" applyBorder="1" applyAlignment="1" applyProtection="1">
      <alignment horizontal="center"/>
      <protection hidden="1"/>
    </xf>
    <xf numFmtId="0" fontId="17" fillId="0" borderId="13" xfId="0" applyFont="1" applyBorder="1" applyProtection="1">
      <protection hidden="1"/>
    </xf>
    <xf numFmtId="0" fontId="17" fillId="0" borderId="13" xfId="0" applyFont="1" applyBorder="1" applyAlignment="1">
      <alignment horizontal="left"/>
    </xf>
    <xf numFmtId="178" fontId="17" fillId="0" borderId="18" xfId="0" applyNumberFormat="1" applyFont="1" applyBorder="1"/>
    <xf numFmtId="178" fontId="17" fillId="0" borderId="283" xfId="0" applyNumberFormat="1" applyFont="1" applyBorder="1"/>
    <xf numFmtId="178" fontId="17" fillId="0" borderId="280" xfId="0" applyNumberFormat="1" applyFont="1" applyBorder="1"/>
    <xf numFmtId="178" fontId="17" fillId="0" borderId="297" xfId="0" applyNumberFormat="1" applyFont="1" applyBorder="1"/>
    <xf numFmtId="178" fontId="17" fillId="0" borderId="15" xfId="0" applyNumberFormat="1" applyFont="1" applyBorder="1"/>
    <xf numFmtId="178" fontId="17" fillId="0" borderId="281" xfId="0" applyNumberFormat="1" applyFont="1" applyBorder="1"/>
    <xf numFmtId="178" fontId="17" fillId="0" borderId="282" xfId="0" applyNumberFormat="1" applyFont="1" applyBorder="1"/>
    <xf numFmtId="178" fontId="17" fillId="0" borderId="0" xfId="48" applyNumberFormat="1" applyAlignment="1">
      <alignment horizontal="left"/>
    </xf>
    <xf numFmtId="1" fontId="17" fillId="0" borderId="0" xfId="0" applyNumberFormat="1" applyFont="1" applyProtection="1">
      <protection hidden="1"/>
    </xf>
    <xf numFmtId="0" fontId="191" fillId="0" borderId="0" xfId="0" applyFont="1"/>
    <xf numFmtId="0" fontId="17" fillId="0" borderId="30" xfId="0" applyFont="1" applyBorder="1" applyAlignment="1">
      <alignment horizontal="center"/>
    </xf>
    <xf numFmtId="168" fontId="17" fillId="0" borderId="0" xfId="28" applyNumberFormat="1" applyFont="1" applyFill="1" applyBorder="1" applyAlignment="1"/>
    <xf numFmtId="9" fontId="17" fillId="0" borderId="0" xfId="0" applyNumberFormat="1" applyFont="1"/>
    <xf numFmtId="178" fontId="17" fillId="0" borderId="276" xfId="0" applyNumberFormat="1" applyFont="1" applyBorder="1" applyAlignment="1">
      <alignment horizontal="center"/>
    </xf>
    <xf numFmtId="195" fontId="17" fillId="0" borderId="276" xfId="0" applyNumberFormat="1" applyFont="1" applyBorder="1" applyAlignment="1">
      <alignment horizontal="center"/>
    </xf>
    <xf numFmtId="178" fontId="49" fillId="0" borderId="0" xfId="0" quotePrefix="1" applyNumberFormat="1" applyFont="1"/>
    <xf numFmtId="178" fontId="17" fillId="0" borderId="0" xfId="0" applyNumberFormat="1" applyFont="1" applyAlignment="1">
      <alignment horizontal="right"/>
    </xf>
    <xf numFmtId="178" fontId="49" fillId="0" borderId="0" xfId="0" applyNumberFormat="1" applyFont="1" applyAlignment="1">
      <alignment horizontal="right"/>
    </xf>
    <xf numFmtId="177" fontId="49" fillId="0" borderId="299" xfId="0" applyNumberFormat="1" applyFont="1" applyBorder="1"/>
    <xf numFmtId="250" fontId="17" fillId="0" borderId="137" xfId="0" applyNumberFormat="1" applyFont="1" applyBorder="1"/>
    <xf numFmtId="251" fontId="17" fillId="0" borderId="137" xfId="0" applyNumberFormat="1" applyFont="1" applyBorder="1"/>
    <xf numFmtId="252" fontId="17" fillId="0" borderId="137" xfId="0" applyNumberFormat="1" applyFont="1" applyBorder="1"/>
    <xf numFmtId="186" fontId="17" fillId="0" borderId="137" xfId="33" applyNumberFormat="1" applyFont="1" applyFill="1" applyBorder="1" applyAlignment="1"/>
    <xf numFmtId="178" fontId="17" fillId="0" borderId="137" xfId="0" applyNumberFormat="1" applyFont="1" applyBorder="1"/>
    <xf numFmtId="0" fontId="17" fillId="0" borderId="137" xfId="0" applyFont="1" applyBorder="1" applyAlignment="1">
      <alignment horizontal="center"/>
    </xf>
    <xf numFmtId="0" fontId="17" fillId="0" borderId="137" xfId="0" applyFont="1" applyBorder="1" applyAlignment="1">
      <alignment horizontal="right"/>
    </xf>
    <xf numFmtId="255" fontId="17" fillId="0" borderId="137" xfId="0" applyNumberFormat="1" applyFont="1" applyBorder="1"/>
    <xf numFmtId="3" fontId="17" fillId="0" borderId="137" xfId="33" applyNumberFormat="1" applyFont="1" applyFill="1" applyBorder="1" applyAlignment="1"/>
    <xf numFmtId="4" fontId="17" fillId="0" borderId="0" xfId="0" applyNumberFormat="1" applyFont="1" applyProtection="1">
      <protection hidden="1"/>
    </xf>
    <xf numFmtId="3" fontId="49" fillId="0" borderId="18" xfId="0" applyNumberFormat="1" applyFont="1" applyBorder="1" applyAlignment="1" applyProtection="1">
      <alignment horizontal="center" vertical="center" wrapText="1"/>
      <protection hidden="1"/>
    </xf>
    <xf numFmtId="3" fontId="49" fillId="0" borderId="27" xfId="0" applyNumberFormat="1" applyFont="1" applyBorder="1" applyAlignment="1" applyProtection="1">
      <alignment horizontal="center" vertical="center" wrapText="1"/>
      <protection hidden="1"/>
    </xf>
    <xf numFmtId="3" fontId="17" fillId="0" borderId="18" xfId="0" applyNumberFormat="1" applyFont="1" applyBorder="1" applyAlignment="1" applyProtection="1">
      <alignment horizontal="center" vertical="center" wrapText="1"/>
      <protection hidden="1"/>
    </xf>
    <xf numFmtId="0" fontId="17" fillId="0" borderId="18" xfId="0" applyFont="1" applyBorder="1" applyAlignment="1" applyProtection="1">
      <alignment horizontal="left"/>
      <protection hidden="1"/>
    </xf>
    <xf numFmtId="0" fontId="17" fillId="0" borderId="18" xfId="0" applyFont="1" applyBorder="1" applyProtection="1">
      <protection hidden="1"/>
    </xf>
    <xf numFmtId="3" fontId="17" fillId="0" borderId="18" xfId="0" applyNumberFormat="1" applyFont="1" applyBorder="1" applyAlignment="1" applyProtection="1">
      <alignment horizontal="center"/>
      <protection hidden="1"/>
    </xf>
    <xf numFmtId="168" fontId="17" fillId="0" borderId="18" xfId="28" applyNumberFormat="1" applyFont="1" applyFill="1" applyBorder="1" applyProtection="1">
      <protection hidden="1"/>
    </xf>
    <xf numFmtId="3" fontId="17" fillId="0" borderId="18" xfId="0" applyNumberFormat="1" applyFont="1" applyBorder="1" applyProtection="1">
      <protection hidden="1"/>
    </xf>
    <xf numFmtId="0" fontId="17" fillId="0" borderId="18" xfId="0" applyFont="1" applyBorder="1" applyAlignment="1" applyProtection="1">
      <alignment horizontal="center"/>
      <protection hidden="1"/>
    </xf>
    <xf numFmtId="168" fontId="17" fillId="0" borderId="18" xfId="28" applyNumberFormat="1" applyFont="1" applyFill="1" applyBorder="1"/>
    <xf numFmtId="0" fontId="17" fillId="0" borderId="17" xfId="0" applyFont="1" applyBorder="1"/>
    <xf numFmtId="0" fontId="17" fillId="0" borderId="14" xfId="0" applyFont="1" applyBorder="1"/>
    <xf numFmtId="0" fontId="17" fillId="0" borderId="12" xfId="0" applyFont="1" applyBorder="1" applyAlignment="1">
      <alignment horizontal="center"/>
    </xf>
    <xf numFmtId="0" fontId="17" fillId="0" borderId="12" xfId="0" applyFont="1" applyBorder="1"/>
    <xf numFmtId="168" fontId="17" fillId="0" borderId="12" xfId="28" applyNumberFormat="1" applyFont="1" applyFill="1" applyBorder="1"/>
    <xf numFmtId="178" fontId="17" fillId="0" borderId="12" xfId="0" applyNumberFormat="1" applyFont="1" applyBorder="1"/>
    <xf numFmtId="178" fontId="17" fillId="0" borderId="18" xfId="0" applyNumberFormat="1" applyFont="1" applyBorder="1" applyProtection="1">
      <protection hidden="1"/>
    </xf>
    <xf numFmtId="205" fontId="17" fillId="0" borderId="18" xfId="0" applyNumberFormat="1" applyFont="1" applyBorder="1" applyAlignment="1" applyProtection="1">
      <alignment horizontal="center"/>
      <protection hidden="1"/>
    </xf>
    <xf numFmtId="239" fontId="17" fillId="0" borderId="0" xfId="0" applyNumberFormat="1" applyFont="1" applyProtection="1">
      <protection hidden="1"/>
    </xf>
    <xf numFmtId="9" fontId="17" fillId="0" borderId="0" xfId="0" applyNumberFormat="1" applyFont="1" applyAlignment="1">
      <alignment horizontal="center"/>
    </xf>
    <xf numFmtId="219" fontId="17" fillId="0" borderId="0" xfId="0" applyNumberFormat="1" applyFont="1" applyAlignment="1">
      <alignment horizontal="center"/>
    </xf>
    <xf numFmtId="220" fontId="17" fillId="0" borderId="20" xfId="0" applyNumberFormat="1" applyFont="1" applyBorder="1"/>
    <xf numFmtId="221" fontId="17" fillId="0" borderId="20" xfId="0" applyNumberFormat="1" applyFont="1" applyBorder="1"/>
    <xf numFmtId="0" fontId="17" fillId="0" borderId="138" xfId="0" applyFont="1" applyBorder="1"/>
    <xf numFmtId="3" fontId="49" fillId="0" borderId="0" xfId="28" applyNumberFormat="1" applyFont="1" applyFill="1" applyBorder="1" applyAlignment="1">
      <alignment horizontal="center"/>
    </xf>
    <xf numFmtId="188" fontId="17" fillId="0" borderId="0" xfId="0" applyNumberFormat="1" applyFont="1"/>
    <xf numFmtId="172" fontId="17" fillId="0" borderId="0" xfId="0" applyNumberFormat="1" applyFont="1"/>
    <xf numFmtId="3" fontId="17" fillId="0" borderId="18" xfId="0" applyNumberFormat="1" applyFont="1" applyBorder="1" applyAlignment="1" applyProtection="1">
      <alignment horizontal="center"/>
      <protection locked="0"/>
    </xf>
    <xf numFmtId="3" fontId="17" fillId="0" borderId="0" xfId="0" applyNumberFormat="1" applyFont="1" applyAlignment="1" applyProtection="1">
      <alignment horizontal="left"/>
      <protection hidden="1"/>
    </xf>
    <xf numFmtId="9" fontId="17" fillId="0" borderId="18" xfId="67" applyFont="1" applyFill="1" applyBorder="1" applyAlignment="1" applyProtection="1">
      <alignment horizontal="center"/>
      <protection hidden="1"/>
    </xf>
    <xf numFmtId="0" fontId="49" fillId="0" borderId="0" xfId="0" applyFont="1" applyProtection="1">
      <protection locked="0"/>
    </xf>
    <xf numFmtId="0" fontId="49" fillId="0" borderId="0" xfId="0" applyFont="1" applyAlignment="1" applyProtection="1">
      <alignment horizontal="left"/>
      <protection hidden="1"/>
    </xf>
    <xf numFmtId="3" fontId="49" fillId="0" borderId="18" xfId="0" applyNumberFormat="1" applyFont="1" applyBorder="1" applyAlignment="1" applyProtection="1">
      <alignment horizontal="center" vertical="center"/>
      <protection hidden="1"/>
    </xf>
    <xf numFmtId="3" fontId="49" fillId="0" borderId="18" xfId="0" applyNumberFormat="1" applyFont="1" applyBorder="1" applyAlignment="1" applyProtection="1">
      <alignment horizontal="center"/>
      <protection hidden="1"/>
    </xf>
    <xf numFmtId="3" fontId="49" fillId="0" borderId="18" xfId="0" applyNumberFormat="1" applyFont="1" applyBorder="1" applyProtection="1">
      <protection hidden="1"/>
    </xf>
    <xf numFmtId="9" fontId="49" fillId="0" borderId="102" xfId="67" applyFont="1" applyFill="1" applyBorder="1" applyProtection="1">
      <protection hidden="1"/>
    </xf>
    <xf numFmtId="178" fontId="49" fillId="0" borderId="0" xfId="67" applyNumberFormat="1" applyFont="1" applyFill="1" applyProtection="1">
      <protection hidden="1"/>
    </xf>
    <xf numFmtId="178" fontId="49" fillId="0" borderId="18" xfId="0" applyNumberFormat="1" applyFont="1" applyBorder="1" applyAlignment="1" applyProtection="1">
      <alignment horizontal="center"/>
      <protection hidden="1"/>
    </xf>
    <xf numFmtId="0" fontId="17" fillId="0" borderId="0" xfId="59" applyProtection="1">
      <protection hidden="1"/>
    </xf>
    <xf numFmtId="1" fontId="17" fillId="0" borderId="0" xfId="59" applyNumberFormat="1" applyProtection="1">
      <protection hidden="1"/>
    </xf>
    <xf numFmtId="9" fontId="17" fillId="0" borderId="0" xfId="67" applyFont="1" applyFill="1" applyProtection="1">
      <protection hidden="1"/>
    </xf>
    <xf numFmtId="3" fontId="17" fillId="0" borderId="0" xfId="0" applyNumberFormat="1" applyFont="1" applyAlignment="1" applyProtection="1">
      <alignment horizontal="right"/>
      <protection hidden="1"/>
    </xf>
    <xf numFmtId="3" fontId="17" fillId="0" borderId="0" xfId="59" applyNumberFormat="1" applyProtection="1">
      <protection hidden="1"/>
    </xf>
    <xf numFmtId="0" fontId="49" fillId="0" borderId="0" xfId="0" applyFont="1" applyProtection="1">
      <protection hidden="1"/>
    </xf>
    <xf numFmtId="3" fontId="49" fillId="0" borderId="0" xfId="0" applyNumberFormat="1" applyFont="1" applyAlignment="1" applyProtection="1">
      <alignment horizontal="right"/>
      <protection hidden="1"/>
    </xf>
    <xf numFmtId="0" fontId="49" fillId="0" borderId="18" xfId="0" applyFont="1" applyBorder="1" applyAlignment="1" applyProtection="1">
      <alignment horizontal="center"/>
      <protection hidden="1"/>
    </xf>
    <xf numFmtId="0" fontId="17" fillId="0" borderId="0" xfId="59"/>
    <xf numFmtId="178" fontId="17" fillId="0" borderId="0" xfId="59" applyNumberFormat="1" applyAlignment="1">
      <alignment horizontal="center"/>
    </xf>
    <xf numFmtId="171" fontId="17" fillId="0" borderId="0" xfId="0" applyNumberFormat="1" applyFont="1" applyAlignment="1">
      <alignment horizontal="center"/>
    </xf>
    <xf numFmtId="170" fontId="17" fillId="0" borderId="0" xfId="59" applyNumberFormat="1" applyAlignment="1">
      <alignment horizontal="center"/>
    </xf>
    <xf numFmtId="4" fontId="49" fillId="0" borderId="0" xfId="28" applyNumberFormat="1" applyFont="1" applyFill="1" applyBorder="1" applyAlignment="1">
      <alignment horizontal="center"/>
    </xf>
    <xf numFmtId="9" fontId="17" fillId="0" borderId="0" xfId="67" applyFont="1" applyFill="1" applyBorder="1" applyAlignment="1">
      <alignment horizontal="center"/>
    </xf>
    <xf numFmtId="0" fontId="17" fillId="0" borderId="18" xfId="0" applyFont="1" applyBorder="1" applyAlignment="1" applyProtection="1">
      <alignment horizontal="center" vertical="center" wrapText="1"/>
      <protection hidden="1"/>
    </xf>
    <xf numFmtId="3" fontId="17" fillId="0" borderId="0" xfId="28" applyNumberFormat="1" applyFont="1" applyFill="1" applyBorder="1" applyAlignment="1">
      <alignment horizontal="center"/>
    </xf>
    <xf numFmtId="0" fontId="17" fillId="0" borderId="18" xfId="0" applyFont="1" applyBorder="1" applyAlignment="1">
      <alignment horizontal="center" vertical="center"/>
    </xf>
    <xf numFmtId="3" fontId="17" fillId="0" borderId="18" xfId="28" applyNumberFormat="1" applyFont="1" applyFill="1" applyBorder="1" applyAlignment="1" applyProtection="1">
      <alignment horizontal="center" vertical="center"/>
      <protection hidden="1"/>
    </xf>
    <xf numFmtId="188" fontId="17" fillId="0" borderId="18" xfId="28" applyNumberFormat="1" applyFont="1" applyFill="1" applyBorder="1" applyAlignment="1" applyProtection="1">
      <alignment horizontal="center" vertical="center"/>
      <protection hidden="1"/>
    </xf>
    <xf numFmtId="3" fontId="49" fillId="0" borderId="18" xfId="28" applyNumberFormat="1" applyFont="1" applyFill="1" applyBorder="1" applyAlignment="1" applyProtection="1">
      <alignment horizontal="center" vertical="center"/>
      <protection hidden="1"/>
    </xf>
    <xf numFmtId="9" fontId="17" fillId="0" borderId="0" xfId="67" applyFont="1" applyFill="1" applyBorder="1" applyAlignment="1" applyProtection="1">
      <alignment horizontal="center"/>
      <protection hidden="1"/>
    </xf>
    <xf numFmtId="172" fontId="17" fillId="0" borderId="0" xfId="0" applyNumberFormat="1" applyFont="1" applyAlignment="1">
      <alignment horizontal="center"/>
    </xf>
    <xf numFmtId="3" fontId="49" fillId="0" borderId="22" xfId="0" applyNumberFormat="1" applyFont="1" applyBorder="1"/>
    <xf numFmtId="3" fontId="17" fillId="0" borderId="0" xfId="0" applyNumberFormat="1" applyFont="1" applyAlignment="1">
      <alignment horizontal="left"/>
    </xf>
    <xf numFmtId="3" fontId="17" fillId="0" borderId="138" xfId="0" applyNumberFormat="1" applyFont="1" applyBorder="1" applyAlignment="1">
      <alignment horizontal="center"/>
    </xf>
    <xf numFmtId="3" fontId="17" fillId="0" borderId="22" xfId="0" applyNumberFormat="1" applyFont="1" applyBorder="1"/>
    <xf numFmtId="173" fontId="49" fillId="0" borderId="0" xfId="0" applyNumberFormat="1" applyFont="1" applyAlignment="1">
      <alignment horizontal="center"/>
    </xf>
    <xf numFmtId="3" fontId="17" fillId="0" borderId="23" xfId="0" applyNumberFormat="1" applyFont="1" applyBorder="1" applyAlignment="1">
      <alignment horizontal="left"/>
    </xf>
    <xf numFmtId="173" fontId="49" fillId="0" borderId="0" xfId="0" applyNumberFormat="1" applyFont="1"/>
    <xf numFmtId="173" fontId="17" fillId="0" borderId="0" xfId="59" applyNumberFormat="1" applyAlignment="1" applyProtection="1">
      <alignment horizontal="center"/>
      <protection hidden="1"/>
    </xf>
    <xf numFmtId="173" fontId="49" fillId="0" borderId="0" xfId="0" applyNumberFormat="1" applyFont="1" applyAlignment="1">
      <alignment horizontal="right"/>
    </xf>
    <xf numFmtId="173" fontId="17" fillId="0" borderId="0" xfId="59" applyNumberFormat="1" applyAlignment="1" applyProtection="1">
      <alignment horizontal="right"/>
      <protection hidden="1"/>
    </xf>
    <xf numFmtId="2" fontId="49" fillId="38" borderId="18" xfId="58" applyNumberFormat="1" applyFont="1" applyFill="1" applyBorder="1" applyAlignment="1">
      <alignment horizontal="center"/>
    </xf>
    <xf numFmtId="1" fontId="49" fillId="38" borderId="18" xfId="58" applyNumberFormat="1" applyFont="1" applyFill="1" applyBorder="1" applyAlignment="1">
      <alignment horizontal="center"/>
    </xf>
    <xf numFmtId="2" fontId="198" fillId="38" borderId="13" xfId="58" applyNumberFormat="1" applyFont="1" applyFill="1" applyBorder="1" applyAlignment="1">
      <alignment horizontal="center"/>
    </xf>
    <xf numFmtId="2" fontId="198" fillId="38" borderId="47" xfId="58" applyNumberFormat="1" applyFont="1" applyFill="1" applyBorder="1" applyAlignment="1">
      <alignment horizontal="center"/>
    </xf>
    <xf numFmtId="2" fontId="198" fillId="38" borderId="17" xfId="58" applyNumberFormat="1" applyFont="1" applyFill="1" applyBorder="1" applyAlignment="1">
      <alignment horizontal="center"/>
    </xf>
    <xf numFmtId="2" fontId="51" fillId="38" borderId="27" xfId="58" applyNumberFormat="1" applyFont="1" applyFill="1" applyBorder="1" applyAlignment="1">
      <alignment horizontal="left"/>
    </xf>
    <xf numFmtId="2" fontId="37" fillId="38" borderId="11" xfId="58" applyNumberFormat="1" applyFont="1" applyFill="1" applyBorder="1" applyAlignment="1">
      <alignment horizontal="center"/>
    </xf>
    <xf numFmtId="2" fontId="37" fillId="38" borderId="28" xfId="58" applyNumberFormat="1" applyFont="1" applyFill="1" applyBorder="1" applyAlignment="1">
      <alignment horizontal="center"/>
    </xf>
    <xf numFmtId="2" fontId="199" fillId="39" borderId="242" xfId="58" applyNumberFormat="1" applyFont="1" applyFill="1" applyBorder="1" applyAlignment="1">
      <alignment horizontal="left"/>
    </xf>
    <xf numFmtId="2" fontId="173" fillId="39" borderId="243" xfId="58" applyNumberFormat="1" applyFont="1" applyFill="1" applyBorder="1" applyAlignment="1">
      <alignment horizontal="center"/>
    </xf>
    <xf numFmtId="2" fontId="173" fillId="39" borderId="244" xfId="58" applyNumberFormat="1" applyFont="1" applyFill="1" applyBorder="1" applyAlignment="1">
      <alignment horizontal="center"/>
    </xf>
    <xf numFmtId="2" fontId="51" fillId="0" borderId="240" xfId="58" applyNumberFormat="1" applyFont="1" applyBorder="1" applyAlignment="1">
      <alignment horizontal="center"/>
    </xf>
    <xf numFmtId="3" fontId="51" fillId="0" borderId="241" xfId="0" applyNumberFormat="1" applyFont="1" applyBorder="1" applyAlignment="1">
      <alignment horizontal="right" shrinkToFit="1"/>
    </xf>
    <xf numFmtId="2" fontId="200" fillId="0" borderId="0" xfId="58" applyNumberFormat="1" applyFont="1" applyAlignment="1">
      <alignment horizontal="center"/>
    </xf>
    <xf numFmtId="2" fontId="200" fillId="0" borderId="0" xfId="0" applyNumberFormat="1" applyFont="1" applyAlignment="1">
      <alignment horizontal="center"/>
    </xf>
    <xf numFmtId="0" fontId="77" fillId="0" borderId="0" xfId="0" applyFont="1" applyAlignment="1">
      <alignment horizontal="left" vertical="top"/>
    </xf>
    <xf numFmtId="0" fontId="77" fillId="0" borderId="0" xfId="58" applyFont="1"/>
    <xf numFmtId="0" fontId="14" fillId="0" borderId="0" xfId="0" applyFont="1"/>
    <xf numFmtId="0" fontId="17" fillId="32" borderId="0" xfId="58" applyFill="1"/>
    <xf numFmtId="0" fontId="201" fillId="0" borderId="0" xfId="89" applyFont="1" applyAlignment="1" applyProtection="1"/>
    <xf numFmtId="168" fontId="49" fillId="0" borderId="0" xfId="33" applyNumberFormat="1" applyFont="1" applyFill="1" applyBorder="1" applyAlignment="1">
      <alignment horizontal="center"/>
    </xf>
    <xf numFmtId="3" fontId="49" fillId="0" borderId="0" xfId="81" applyNumberFormat="1" applyFont="1"/>
    <xf numFmtId="0" fontId="17" fillId="0" borderId="0" xfId="81" applyAlignment="1">
      <alignment horizontal="center"/>
    </xf>
    <xf numFmtId="3" fontId="17" fillId="0" borderId="0" xfId="81" applyNumberFormat="1"/>
    <xf numFmtId="0" fontId="128" fillId="0" borderId="0" xfId="81" applyFont="1"/>
    <xf numFmtId="0" fontId="30" fillId="0" borderId="0" xfId="0" applyFont="1" applyAlignment="1">
      <alignment vertical="center"/>
    </xf>
    <xf numFmtId="0" fontId="22" fillId="0" borderId="0" xfId="0" applyFont="1"/>
    <xf numFmtId="168" fontId="175" fillId="0" borderId="0" xfId="83" applyNumberFormat="1" applyFont="1" applyFill="1" applyBorder="1" applyAlignment="1">
      <alignment horizontal="center"/>
    </xf>
    <xf numFmtId="0" fontId="49" fillId="0" borderId="0" xfId="48" applyFont="1" applyAlignment="1">
      <alignment vertical="center"/>
    </xf>
    <xf numFmtId="250" fontId="17" fillId="0" borderId="234" xfId="0" applyNumberFormat="1" applyFont="1" applyBorder="1"/>
    <xf numFmtId="251" fontId="17" fillId="0" borderId="0" xfId="0" applyNumberFormat="1" applyFont="1"/>
    <xf numFmtId="255" fontId="17" fillId="0" borderId="234" xfId="0" applyNumberFormat="1" applyFont="1" applyBorder="1"/>
    <xf numFmtId="3" fontId="17" fillId="0" borderId="234" xfId="33" applyNumberFormat="1" applyFont="1" applyFill="1" applyBorder="1" applyAlignment="1"/>
    <xf numFmtId="0" fontId="49" fillId="0" borderId="146" xfId="0" applyFont="1" applyBorder="1" applyAlignment="1">
      <alignment horizontal="center"/>
    </xf>
    <xf numFmtId="298" fontId="17" fillId="0" borderId="146" xfId="33" applyNumberFormat="1" applyFont="1" applyFill="1" applyBorder="1" applyAlignment="1">
      <alignment horizontal="right"/>
    </xf>
    <xf numFmtId="248" fontId="17" fillId="0" borderId="146" xfId="33" applyNumberFormat="1" applyFont="1" applyFill="1" applyBorder="1" applyAlignment="1">
      <alignment horizontal="right"/>
    </xf>
    <xf numFmtId="288" fontId="17" fillId="0" borderId="146" xfId="0" applyNumberFormat="1" applyFont="1" applyBorder="1" applyAlignment="1">
      <alignment horizontal="center"/>
    </xf>
    <xf numFmtId="186" fontId="17" fillId="0" borderId="146" xfId="33" applyNumberFormat="1" applyFont="1" applyFill="1" applyBorder="1" applyAlignment="1"/>
    <xf numFmtId="209" fontId="17" fillId="0" borderId="146" xfId="33" applyNumberFormat="1" applyFont="1" applyFill="1" applyBorder="1" applyAlignment="1">
      <alignment horizontal="center"/>
    </xf>
    <xf numFmtId="281" fontId="17" fillId="0" borderId="146" xfId="0" applyNumberFormat="1" applyFont="1" applyBorder="1"/>
    <xf numFmtId="3" fontId="17" fillId="0" borderId="146" xfId="0" applyNumberFormat="1" applyFont="1" applyBorder="1" applyAlignment="1">
      <alignment horizontal="center"/>
    </xf>
    <xf numFmtId="177" fontId="17" fillId="0" borderId="146" xfId="33" applyNumberFormat="1" applyFont="1" applyFill="1" applyBorder="1" applyAlignment="1">
      <alignment horizontal="center"/>
    </xf>
    <xf numFmtId="0" fontId="17" fillId="0" borderId="147" xfId="0" applyFont="1" applyBorder="1"/>
    <xf numFmtId="177" fontId="17" fillId="0" borderId="147" xfId="33" applyNumberFormat="1" applyFont="1" applyFill="1" applyBorder="1" applyAlignment="1">
      <alignment horizontal="center"/>
    </xf>
    <xf numFmtId="288" fontId="17" fillId="0" borderId="147" xfId="0" applyNumberFormat="1" applyFont="1" applyBorder="1" applyAlignment="1">
      <alignment horizontal="center"/>
    </xf>
    <xf numFmtId="177" fontId="17" fillId="0" borderId="137" xfId="33" applyNumberFormat="1" applyFont="1" applyFill="1" applyBorder="1" applyAlignment="1">
      <alignment horizontal="center"/>
    </xf>
    <xf numFmtId="288" fontId="17" fillId="0" borderId="137" xfId="0" applyNumberFormat="1" applyFont="1" applyBorder="1" applyAlignment="1">
      <alignment horizontal="center"/>
    </xf>
    <xf numFmtId="199" fontId="17" fillId="0" borderId="137" xfId="0" applyNumberFormat="1" applyFont="1" applyBorder="1" applyAlignment="1">
      <alignment horizontal="center" vertical="center"/>
    </xf>
    <xf numFmtId="0" fontId="17" fillId="0" borderId="169" xfId="0" applyFont="1" applyBorder="1"/>
    <xf numFmtId="0" fontId="49" fillId="0" borderId="147" xfId="0" applyFont="1" applyBorder="1" applyAlignment="1">
      <alignment horizontal="center"/>
    </xf>
    <xf numFmtId="0" fontId="17" fillId="0" borderId="147" xfId="0" applyFont="1" applyBorder="1" applyAlignment="1">
      <alignment horizontal="center"/>
    </xf>
    <xf numFmtId="0" fontId="17" fillId="0" borderId="239" xfId="0" applyFont="1" applyBorder="1" applyAlignment="1">
      <alignment horizontal="center"/>
    </xf>
    <xf numFmtId="0" fontId="49" fillId="0" borderId="239" xfId="0" applyFont="1" applyBorder="1" applyAlignment="1">
      <alignment horizontal="center"/>
    </xf>
    <xf numFmtId="0" fontId="49" fillId="0" borderId="187" xfId="0" applyFont="1" applyBorder="1" applyAlignment="1">
      <alignment horizontal="center"/>
    </xf>
    <xf numFmtId="0" fontId="17" fillId="0" borderId="298" xfId="0" applyFont="1" applyBorder="1" applyAlignment="1">
      <alignment horizontal="center"/>
    </xf>
    <xf numFmtId="0" fontId="17" fillId="0" borderId="300" xfId="0" applyFont="1" applyBorder="1"/>
    <xf numFmtId="0" fontId="17" fillId="0" borderId="298" xfId="0" applyFont="1" applyBorder="1"/>
    <xf numFmtId="177" fontId="17" fillId="0" borderId="301" xfId="33" applyNumberFormat="1" applyFont="1" applyFill="1" applyBorder="1" applyAlignment="1"/>
    <xf numFmtId="288" fontId="17" fillId="0" borderId="298" xfId="0" applyNumberFormat="1" applyFont="1" applyBorder="1"/>
    <xf numFmtId="172" fontId="49" fillId="0" borderId="0" xfId="0" applyNumberFormat="1" applyFont="1" applyAlignment="1">
      <alignment vertical="center"/>
    </xf>
    <xf numFmtId="172" fontId="49" fillId="0" borderId="0" xfId="0" applyNumberFormat="1" applyFont="1" applyAlignment="1">
      <alignment horizontal="center" vertical="center"/>
    </xf>
    <xf numFmtId="172" fontId="49" fillId="0" borderId="167" xfId="0" applyNumberFormat="1" applyFont="1" applyBorder="1" applyAlignment="1">
      <alignment vertical="center"/>
    </xf>
    <xf numFmtId="172" fontId="49" fillId="0" borderId="167" xfId="0" applyNumberFormat="1" applyFont="1" applyBorder="1" applyAlignment="1">
      <alignment horizontal="center" vertical="center"/>
    </xf>
    <xf numFmtId="0" fontId="49" fillId="0" borderId="302" xfId="0" applyFont="1" applyBorder="1" applyAlignment="1">
      <alignment horizontal="center"/>
    </xf>
    <xf numFmtId="0" fontId="49" fillId="0" borderId="303" xfId="0" applyFont="1" applyBorder="1" applyAlignment="1">
      <alignment horizontal="center"/>
    </xf>
    <xf numFmtId="0" fontId="49" fillId="0" borderId="167" xfId="0" applyFont="1" applyBorder="1" applyAlignment="1">
      <alignment horizontal="center"/>
    </xf>
    <xf numFmtId="172" fontId="49" fillId="0" borderId="303" xfId="0" applyNumberFormat="1" applyFont="1" applyBorder="1" applyAlignment="1">
      <alignment vertical="center"/>
    </xf>
    <xf numFmtId="172" fontId="49" fillId="0" borderId="303" xfId="0" applyNumberFormat="1" applyFont="1" applyBorder="1" applyAlignment="1">
      <alignment horizontal="center" vertical="center"/>
    </xf>
    <xf numFmtId="3" fontId="17" fillId="0" borderId="305" xfId="0" applyNumberFormat="1" applyFont="1" applyBorder="1" applyAlignment="1">
      <alignment vertical="center"/>
    </xf>
    <xf numFmtId="3" fontId="17" fillId="0" borderId="306" xfId="0" applyNumberFormat="1" applyFont="1" applyBorder="1" applyAlignment="1">
      <alignment vertical="center"/>
    </xf>
    <xf numFmtId="0" fontId="12" fillId="0" borderId="70" xfId="0" applyFont="1" applyBorder="1"/>
    <xf numFmtId="0" fontId="11" fillId="0" borderId="0" xfId="0" applyFont="1"/>
    <xf numFmtId="0" fontId="12" fillId="0" borderId="0" xfId="0" applyFont="1"/>
    <xf numFmtId="0" fontId="12" fillId="0" borderId="0" xfId="0" applyFont="1" applyAlignment="1">
      <alignment horizontal="center"/>
    </xf>
    <xf numFmtId="3" fontId="12" fillId="0" borderId="0" xfId="0" applyNumberFormat="1" applyFont="1" applyAlignment="1">
      <alignment horizontal="center"/>
    </xf>
    <xf numFmtId="0" fontId="0" fillId="0" borderId="0" xfId="0" applyAlignment="1">
      <alignment horizontal="center"/>
    </xf>
    <xf numFmtId="3" fontId="0" fillId="0" borderId="0" xfId="0" applyNumberFormat="1" applyAlignment="1">
      <alignment horizontal="center"/>
    </xf>
    <xf numFmtId="3" fontId="0" fillId="0" borderId="0" xfId="0" applyNumberFormat="1"/>
    <xf numFmtId="0" fontId="203" fillId="0" borderId="0" xfId="0" applyFont="1"/>
    <xf numFmtId="3" fontId="17" fillId="0" borderId="0" xfId="48" applyNumberFormat="1"/>
    <xf numFmtId="0" fontId="17" fillId="0" borderId="0" xfId="48" quotePrefix="1" applyAlignment="1">
      <alignment horizontal="right"/>
    </xf>
    <xf numFmtId="0" fontId="17" fillId="0" borderId="0" xfId="48" applyAlignment="1">
      <alignment horizontal="center"/>
    </xf>
    <xf numFmtId="0" fontId="17" fillId="0" borderId="0" xfId="48" applyAlignment="1">
      <alignment horizontal="left"/>
    </xf>
    <xf numFmtId="3" fontId="17" fillId="0" borderId="0" xfId="48" applyNumberFormat="1" applyAlignment="1">
      <alignment horizontal="right"/>
    </xf>
    <xf numFmtId="178" fontId="17" fillId="0" borderId="0" xfId="48" applyNumberFormat="1" applyAlignment="1">
      <alignment horizontal="right"/>
    </xf>
    <xf numFmtId="178" fontId="17" fillId="0" borderId="0" xfId="48" quotePrefix="1" applyNumberFormat="1" applyAlignment="1">
      <alignment horizontal="right"/>
    </xf>
    <xf numFmtId="0" fontId="17" fillId="0" borderId="0" xfId="48" applyAlignment="1">
      <alignment horizontal="right"/>
    </xf>
    <xf numFmtId="0" fontId="49" fillId="0" borderId="0" xfId="48" applyFont="1" applyAlignment="1">
      <alignment horizontal="center"/>
    </xf>
    <xf numFmtId="0" fontId="49" fillId="0" borderId="0" xfId="48" applyFont="1" applyAlignment="1">
      <alignment horizontal="right" wrapText="1"/>
    </xf>
    <xf numFmtId="0" fontId="49" fillId="0" borderId="0" xfId="48" applyFont="1" applyAlignment="1">
      <alignment horizontal="center" wrapText="1"/>
    </xf>
    <xf numFmtId="205" fontId="17" fillId="0" borderId="0" xfId="48" applyNumberFormat="1"/>
    <xf numFmtId="0" fontId="17" fillId="0" borderId="146" xfId="48" applyBorder="1"/>
    <xf numFmtId="43" fontId="17" fillId="0" borderId="0" xfId="33" quotePrefix="1" applyFont="1" applyFill="1" applyBorder="1" applyAlignment="1">
      <alignment horizontal="right"/>
    </xf>
    <xf numFmtId="199" fontId="17" fillId="0" borderId="0" xfId="48" applyNumberFormat="1"/>
    <xf numFmtId="280" fontId="17" fillId="0" borderId="0" xfId="48" applyNumberFormat="1"/>
    <xf numFmtId="4" fontId="17" fillId="0" borderId="0" xfId="48" applyNumberFormat="1"/>
    <xf numFmtId="177" fontId="17" fillId="0" borderId="0" xfId="48" applyNumberFormat="1"/>
    <xf numFmtId="0" fontId="17" fillId="0" borderId="146" xfId="48" applyBorder="1" applyAlignment="1">
      <alignment horizontal="center"/>
    </xf>
    <xf numFmtId="0" fontId="17" fillId="0" borderId="0" xfId="48" applyAlignment="1">
      <alignment vertical="center"/>
    </xf>
    <xf numFmtId="168" fontId="17" fillId="0" borderId="0" xfId="33" quotePrefix="1" applyNumberFormat="1" applyFont="1" applyFill="1" applyBorder="1" applyAlignment="1">
      <alignment horizontal="right"/>
    </xf>
    <xf numFmtId="0" fontId="17" fillId="0" borderId="0" xfId="81"/>
    <xf numFmtId="43" fontId="17" fillId="0" borderId="0" xfId="33" quotePrefix="1" applyFont="1" applyFill="1" applyBorder="1" applyAlignment="1">
      <alignment horizontal="left"/>
    </xf>
    <xf numFmtId="177" fontId="17" fillId="0" borderId="0" xfId="48" applyNumberFormat="1" applyAlignment="1">
      <alignment horizontal="center" vertical="center" wrapText="1"/>
    </xf>
    <xf numFmtId="248" fontId="17" fillId="0" borderId="0" xfId="33" applyNumberFormat="1" applyFont="1" applyFill="1" applyBorder="1" applyAlignment="1">
      <alignment horizontal="right"/>
    </xf>
    <xf numFmtId="168" fontId="156" fillId="0" borderId="0" xfId="83" quotePrefix="1" applyNumberFormat="1" applyFont="1" applyFill="1" applyBorder="1" applyAlignment="1">
      <alignment horizontal="right"/>
    </xf>
    <xf numFmtId="3" fontId="49" fillId="0" borderId="0" xfId="48" applyNumberFormat="1" applyFont="1"/>
    <xf numFmtId="177" fontId="17" fillId="0" borderId="0" xfId="48" applyNumberFormat="1" applyAlignment="1">
      <alignment vertical="center" wrapText="1"/>
    </xf>
    <xf numFmtId="178" fontId="17" fillId="0" borderId="137" xfId="48" applyNumberFormat="1" applyBorder="1" applyAlignment="1">
      <alignment horizontal="right"/>
    </xf>
    <xf numFmtId="0" fontId="17" fillId="0" borderId="137" xfId="48" applyBorder="1"/>
    <xf numFmtId="0" fontId="17" fillId="0" borderId="137" xfId="48" applyBorder="1" applyAlignment="1">
      <alignment horizontal="center"/>
    </xf>
    <xf numFmtId="178" fontId="17" fillId="0" borderId="137" xfId="48" quotePrefix="1" applyNumberFormat="1" applyBorder="1" applyAlignment="1">
      <alignment horizontal="right"/>
    </xf>
    <xf numFmtId="178" fontId="17" fillId="0" borderId="137" xfId="48" applyNumberFormat="1" applyBorder="1"/>
    <xf numFmtId="222" fontId="17" fillId="0" borderId="137" xfId="48" applyNumberFormat="1" applyBorder="1"/>
    <xf numFmtId="3" fontId="17" fillId="0" borderId="137" xfId="48" applyNumberFormat="1" applyBorder="1"/>
    <xf numFmtId="178" fontId="17" fillId="0" borderId="146" xfId="48" quotePrefix="1" applyNumberFormat="1" applyBorder="1" applyAlignment="1">
      <alignment horizontal="right"/>
    </xf>
    <xf numFmtId="0" fontId="49" fillId="0" borderId="146" xfId="48" applyFont="1" applyBorder="1" applyAlignment="1">
      <alignment horizontal="center"/>
    </xf>
    <xf numFmtId="205" fontId="17" fillId="0" borderId="146" xfId="48" applyNumberFormat="1" applyBorder="1"/>
    <xf numFmtId="178" fontId="17" fillId="0" borderId="146" xfId="48" applyNumberFormat="1" applyBorder="1"/>
    <xf numFmtId="0" fontId="49" fillId="0" borderId="137" xfId="48" applyFont="1" applyBorder="1" applyAlignment="1">
      <alignment horizontal="center"/>
    </xf>
    <xf numFmtId="43" fontId="17" fillId="0" borderId="137" xfId="33" quotePrefix="1" applyFont="1" applyFill="1" applyBorder="1" applyAlignment="1">
      <alignment horizontal="right"/>
    </xf>
    <xf numFmtId="172" fontId="17" fillId="0" borderId="137" xfId="48" applyNumberFormat="1" applyBorder="1"/>
    <xf numFmtId="177" fontId="17" fillId="0" borderId="137" xfId="33" applyNumberFormat="1" applyFont="1" applyFill="1" applyBorder="1"/>
    <xf numFmtId="0" fontId="49" fillId="0" borderId="137" xfId="48" applyFont="1" applyBorder="1" applyAlignment="1">
      <alignment horizontal="center" vertical="center"/>
    </xf>
    <xf numFmtId="1" fontId="17" fillId="0" borderId="137" xfId="48" applyNumberFormat="1" applyBorder="1" applyAlignment="1">
      <alignment horizontal="center"/>
    </xf>
    <xf numFmtId="170" fontId="17" fillId="0" borderId="137" xfId="48" applyNumberFormat="1" applyBorder="1" applyAlignment="1">
      <alignment horizontal="center"/>
    </xf>
    <xf numFmtId="177" fontId="17" fillId="0" borderId="137" xfId="48" applyNumberFormat="1" applyBorder="1"/>
    <xf numFmtId="0" fontId="17" fillId="0" borderId="137" xfId="48" applyBorder="1" applyAlignment="1">
      <alignment vertical="center"/>
    </xf>
    <xf numFmtId="279" fontId="49" fillId="0" borderId="137" xfId="48" applyNumberFormat="1" applyFont="1" applyBorder="1" applyAlignment="1">
      <alignment horizontal="center" vertical="center"/>
    </xf>
    <xf numFmtId="178" fontId="49" fillId="0" borderId="137" xfId="48" applyNumberFormat="1" applyFont="1" applyBorder="1"/>
    <xf numFmtId="0" fontId="17" fillId="0" borderId="168" xfId="48" applyBorder="1"/>
    <xf numFmtId="178" fontId="49" fillId="0" borderId="137" xfId="48" applyNumberFormat="1" applyFont="1" applyBorder="1" applyAlignment="1">
      <alignment vertical="center"/>
    </xf>
    <xf numFmtId="177" fontId="22" fillId="0" borderId="137" xfId="0" applyNumberFormat="1" applyFont="1" applyBorder="1" applyAlignment="1">
      <alignment horizontal="left"/>
    </xf>
    <xf numFmtId="177" fontId="22" fillId="0" borderId="137" xfId="83" applyNumberFormat="1" applyFont="1" applyFill="1" applyBorder="1"/>
    <xf numFmtId="178" fontId="156" fillId="0" borderId="137" xfId="0" applyNumberFormat="1" applyFont="1" applyBorder="1"/>
    <xf numFmtId="209" fontId="17" fillId="0" borderId="137" xfId="33" applyNumberFormat="1" applyFont="1" applyFill="1" applyBorder="1" applyAlignment="1">
      <alignment horizontal="center"/>
    </xf>
    <xf numFmtId="248" fontId="17" fillId="0" borderId="167" xfId="33" applyNumberFormat="1" applyFont="1" applyFill="1" applyBorder="1" applyAlignment="1">
      <alignment horizontal="right"/>
    </xf>
    <xf numFmtId="0" fontId="17" fillId="0" borderId="167" xfId="48" applyBorder="1" applyAlignment="1">
      <alignment horizontal="center"/>
    </xf>
    <xf numFmtId="178" fontId="49" fillId="0" borderId="302" xfId="48" applyNumberFormat="1" applyFont="1" applyBorder="1"/>
    <xf numFmtId="0" fontId="17" fillId="0" borderId="302" xfId="81" applyBorder="1" applyAlignment="1">
      <alignment horizontal="center"/>
    </xf>
    <xf numFmtId="177" fontId="17" fillId="0" borderId="302" xfId="33" applyNumberFormat="1" applyFont="1" applyFill="1" applyBorder="1" applyAlignment="1">
      <alignment horizontal="center"/>
    </xf>
    <xf numFmtId="3" fontId="17" fillId="0" borderId="302" xfId="81" applyNumberFormat="1" applyBorder="1"/>
    <xf numFmtId="3" fontId="17" fillId="0" borderId="167" xfId="81" applyNumberFormat="1" applyBorder="1"/>
    <xf numFmtId="3" fontId="17" fillId="0" borderId="137" xfId="52" applyNumberFormat="1" applyBorder="1" applyAlignment="1">
      <alignment horizontal="center"/>
    </xf>
    <xf numFmtId="258" fontId="17" fillId="0" borderId="137" xfId="52" applyNumberFormat="1" applyBorder="1"/>
    <xf numFmtId="3" fontId="49" fillId="0" borderId="137" xfId="48" applyNumberFormat="1" applyFont="1" applyBorder="1" applyAlignment="1">
      <alignment horizontal="center" vertical="center" wrapText="1"/>
    </xf>
    <xf numFmtId="3" fontId="17" fillId="0" borderId="137" xfId="48" applyNumberFormat="1" applyBorder="1" applyAlignment="1">
      <alignment horizontal="center" vertical="center"/>
    </xf>
    <xf numFmtId="3" fontId="17" fillId="0" borderId="137" xfId="48" applyNumberFormat="1" applyBorder="1" applyAlignment="1">
      <alignment horizontal="center" vertical="center" wrapText="1"/>
    </xf>
    <xf numFmtId="3" fontId="49" fillId="0" borderId="137" xfId="83" applyNumberFormat="1" applyFont="1" applyFill="1" applyBorder="1" applyAlignment="1" applyProtection="1">
      <alignment horizontal="center" vertical="center" wrapText="1"/>
    </xf>
    <xf numFmtId="177" fontId="143" fillId="0" borderId="0" xfId="0" applyNumberFormat="1" applyFont="1" applyAlignment="1">
      <alignment horizontal="center"/>
    </xf>
    <xf numFmtId="43" fontId="143" fillId="0" borderId="0" xfId="0" applyNumberFormat="1" applyFont="1" applyAlignment="1">
      <alignment horizontal="center"/>
    </xf>
    <xf numFmtId="0" fontId="49" fillId="0" borderId="0" xfId="0" quotePrefix="1" applyFont="1" applyAlignment="1">
      <alignment horizontal="center" vertical="center"/>
    </xf>
    <xf numFmtId="0" fontId="128" fillId="0" borderId="203" xfId="0" applyFont="1" applyBorder="1" applyAlignment="1">
      <alignment horizontal="center"/>
    </xf>
    <xf numFmtId="0" fontId="17" fillId="0" borderId="203" xfId="0" applyFont="1" applyBorder="1" applyAlignment="1">
      <alignment horizontal="left"/>
    </xf>
    <xf numFmtId="9" fontId="17" fillId="0" borderId="203" xfId="0" applyNumberFormat="1" applyFont="1" applyBorder="1" applyAlignment="1">
      <alignment horizontal="center"/>
    </xf>
    <xf numFmtId="178" fontId="49" fillId="0" borderId="203" xfId="0" applyNumberFormat="1" applyFont="1" applyBorder="1" applyAlignment="1">
      <alignment horizontal="center"/>
    </xf>
    <xf numFmtId="0" fontId="49" fillId="0" borderId="203" xfId="0" applyFont="1" applyBorder="1" applyAlignment="1">
      <alignment horizontal="center"/>
    </xf>
    <xf numFmtId="3" fontId="17" fillId="0" borderId="203" xfId="0" applyNumberFormat="1" applyFont="1" applyBorder="1"/>
    <xf numFmtId="4" fontId="49" fillId="0" borderId="0" xfId="0" applyNumberFormat="1" applyFont="1" applyAlignment="1">
      <alignment horizontal="center"/>
    </xf>
    <xf numFmtId="3" fontId="49" fillId="0" borderId="18" xfId="81" applyNumberFormat="1" applyFont="1" applyBorder="1" applyAlignment="1">
      <alignment horizontal="center" vertical="center" wrapText="1"/>
    </xf>
    <xf numFmtId="3" fontId="49" fillId="0" borderId="27" xfId="81" applyNumberFormat="1" applyFont="1" applyBorder="1" applyAlignment="1">
      <alignment horizontal="center" vertical="center" wrapText="1"/>
    </xf>
    <xf numFmtId="178" fontId="17" fillId="0" borderId="196" xfId="0" applyNumberFormat="1" applyFont="1" applyBorder="1"/>
    <xf numFmtId="199" fontId="17" fillId="0" borderId="18" xfId="31" applyNumberFormat="1" applyFont="1" applyFill="1" applyBorder="1" applyAlignment="1" applyProtection="1">
      <alignment horizontal="center" vertical="center"/>
    </xf>
    <xf numFmtId="3" fontId="17" fillId="0" borderId="18" xfId="0" applyNumberFormat="1" applyFont="1" applyBorder="1" applyAlignment="1">
      <alignment horizontal="center" vertical="center"/>
    </xf>
    <xf numFmtId="177" fontId="17" fillId="0" borderId="18" xfId="0" applyNumberFormat="1" applyFont="1" applyBorder="1" applyAlignment="1">
      <alignment horizontal="center"/>
    </xf>
    <xf numFmtId="258" fontId="17" fillId="0" borderId="0" xfId="52" applyNumberFormat="1"/>
    <xf numFmtId="3" fontId="49" fillId="0" borderId="18" xfId="0" applyNumberFormat="1" applyFont="1" applyBorder="1" applyAlignment="1">
      <alignment horizontal="center" vertical="center" wrapText="1"/>
    </xf>
    <xf numFmtId="3" fontId="49" fillId="0" borderId="27" xfId="0" applyNumberFormat="1" applyFont="1" applyBorder="1" applyAlignment="1">
      <alignment horizontal="center" vertical="center" wrapText="1"/>
    </xf>
    <xf numFmtId="3" fontId="17" fillId="0" borderId="18" xfId="0" applyNumberFormat="1" applyFont="1" applyBorder="1" applyAlignment="1">
      <alignment horizontal="center" vertical="center" wrapText="1"/>
    </xf>
    <xf numFmtId="3" fontId="49" fillId="0" borderId="18" xfId="31" applyNumberFormat="1" applyFont="1" applyFill="1" applyBorder="1" applyAlignment="1" applyProtection="1">
      <alignment horizontal="center" vertical="center" wrapText="1"/>
    </xf>
    <xf numFmtId="3" fontId="17" fillId="0" borderId="0" xfId="0" applyNumberFormat="1" applyFont="1" applyAlignment="1">
      <alignment horizontal="center" vertical="center" wrapText="1"/>
    </xf>
    <xf numFmtId="3" fontId="49" fillId="0" borderId="0" xfId="31" applyNumberFormat="1" applyFont="1" applyFill="1" applyBorder="1" applyAlignment="1" applyProtection="1">
      <alignment horizontal="center" vertical="center" wrapText="1"/>
    </xf>
    <xf numFmtId="267" fontId="17" fillId="0" borderId="7" xfId="0" applyNumberFormat="1" applyFont="1" applyBorder="1"/>
    <xf numFmtId="264" fontId="17" fillId="0" borderId="7" xfId="0" applyNumberFormat="1" applyFont="1" applyBorder="1"/>
    <xf numFmtId="268" fontId="17" fillId="0" borderId="7" xfId="0" applyNumberFormat="1" applyFont="1" applyBorder="1"/>
    <xf numFmtId="177" fontId="49" fillId="0" borderId="0" xfId="0" applyNumberFormat="1" applyFont="1" applyAlignment="1">
      <alignment horizontal="right"/>
    </xf>
    <xf numFmtId="0" fontId="17" fillId="0" borderId="7" xfId="0" applyFont="1" applyBorder="1" applyAlignment="1">
      <alignment horizontal="center"/>
    </xf>
    <xf numFmtId="222" fontId="17" fillId="0" borderId="7" xfId="0" applyNumberFormat="1" applyFont="1" applyBorder="1"/>
    <xf numFmtId="259" fontId="17" fillId="0" borderId="7" xfId="0" applyNumberFormat="1" applyFont="1" applyBorder="1" applyAlignment="1">
      <alignment horizontal="center"/>
    </xf>
    <xf numFmtId="260" fontId="17" fillId="0" borderId="68" xfId="0" applyNumberFormat="1" applyFont="1" applyBorder="1" applyProtection="1">
      <protection locked="0"/>
    </xf>
    <xf numFmtId="271" fontId="17" fillId="0" borderId="7" xfId="0" applyNumberFormat="1" applyFont="1" applyBorder="1"/>
    <xf numFmtId="261" fontId="17" fillId="0" borderId="68" xfId="0" applyNumberFormat="1" applyFont="1" applyBorder="1"/>
    <xf numFmtId="272" fontId="17" fillId="0" borderId="7" xfId="0" applyNumberFormat="1" applyFont="1" applyBorder="1"/>
    <xf numFmtId="273" fontId="17" fillId="0" borderId="7" xfId="0" applyNumberFormat="1" applyFont="1" applyBorder="1"/>
    <xf numFmtId="274" fontId="17" fillId="0" borderId="7" xfId="0" applyNumberFormat="1" applyFont="1" applyBorder="1"/>
    <xf numFmtId="275" fontId="17" fillId="0" borderId="7" xfId="0" applyNumberFormat="1" applyFont="1" applyBorder="1" applyAlignment="1">
      <alignment horizontal="center"/>
    </xf>
    <xf numFmtId="276" fontId="17" fillId="0" borderId="68" xfId="0" applyNumberFormat="1" applyFont="1" applyBorder="1" applyProtection="1">
      <protection locked="0"/>
    </xf>
    <xf numFmtId="222" fontId="17" fillId="0" borderId="7" xfId="82" applyNumberFormat="1" applyBorder="1"/>
    <xf numFmtId="277" fontId="17" fillId="0" borderId="7" xfId="0" applyNumberFormat="1" applyFont="1" applyBorder="1"/>
    <xf numFmtId="0" fontId="17" fillId="0" borderId="68" xfId="0" applyFont="1" applyBorder="1"/>
    <xf numFmtId="2" fontId="49" fillId="0" borderId="137" xfId="0" applyNumberFormat="1" applyFont="1" applyBorder="1" applyAlignment="1">
      <alignment horizontal="center"/>
    </xf>
    <xf numFmtId="0" fontId="49" fillId="0" borderId="137" xfId="0" applyFont="1" applyBorder="1" applyAlignment="1" applyProtection="1">
      <alignment horizontal="center"/>
      <protection locked="0"/>
    </xf>
    <xf numFmtId="3" fontId="17" fillId="0" borderId="137" xfId="0" applyNumberFormat="1" applyFont="1" applyBorder="1" applyAlignment="1">
      <alignment horizontal="right" vertical="center"/>
    </xf>
    <xf numFmtId="172" fontId="49" fillId="0" borderId="137" xfId="0" applyNumberFormat="1" applyFont="1" applyBorder="1"/>
    <xf numFmtId="0" fontId="17" fillId="0" borderId="137" xfId="81" applyBorder="1" applyAlignment="1">
      <alignment horizontal="center"/>
    </xf>
    <xf numFmtId="3" fontId="17" fillId="0" borderId="137" xfId="81" applyNumberFormat="1" applyBorder="1"/>
    <xf numFmtId="3" fontId="14" fillId="0" borderId="307" xfId="56" applyNumberFormat="1" applyFont="1" applyBorder="1" applyAlignment="1">
      <alignment horizontal="center"/>
    </xf>
    <xf numFmtId="3" fontId="14" fillId="0" borderId="308" xfId="56" applyNumberFormat="1" applyFont="1" applyBorder="1" applyAlignment="1">
      <alignment horizontal="center"/>
    </xf>
    <xf numFmtId="3" fontId="14" fillId="0" borderId="309" xfId="56" applyNumberFormat="1" applyFont="1" applyBorder="1" applyAlignment="1">
      <alignment horizontal="center"/>
    </xf>
    <xf numFmtId="3" fontId="14" fillId="0" borderId="310" xfId="56" applyNumberFormat="1" applyFont="1" applyBorder="1" applyAlignment="1">
      <alignment horizontal="center"/>
    </xf>
    <xf numFmtId="3" fontId="14" fillId="0" borderId="311" xfId="56" applyNumberFormat="1" applyFont="1" applyBorder="1" applyAlignment="1">
      <alignment horizontal="center"/>
    </xf>
    <xf numFmtId="3" fontId="14" fillId="0" borderId="312" xfId="56" applyNumberFormat="1" applyFont="1" applyBorder="1" applyAlignment="1">
      <alignment horizontal="center"/>
    </xf>
    <xf numFmtId="0" fontId="49" fillId="0" borderId="0" xfId="0" applyFont="1" applyAlignment="1">
      <alignment horizontal="center" vertical="center" textRotation="90"/>
    </xf>
    <xf numFmtId="0" fontId="29" fillId="0" borderId="0" xfId="0" applyFont="1" applyProtection="1">
      <protection locked="0"/>
    </xf>
    <xf numFmtId="0" fontId="23" fillId="0" borderId="0" xfId="0" applyFont="1" applyAlignment="1" applyProtection="1">
      <alignment horizontal="center"/>
      <protection locked="0"/>
    </xf>
    <xf numFmtId="174" fontId="17" fillId="0" borderId="165" xfId="79" applyNumberFormat="1" applyFont="1" applyFill="1" applyBorder="1"/>
    <xf numFmtId="0" fontId="128" fillId="0" borderId="56" xfId="0" applyFont="1" applyBorder="1"/>
    <xf numFmtId="0" fontId="23" fillId="0" borderId="0" xfId="0" applyFont="1" applyAlignment="1" applyProtection="1">
      <alignment horizontal="right"/>
      <protection locked="0"/>
    </xf>
    <xf numFmtId="174" fontId="29" fillId="0" borderId="0" xfId="64" applyNumberFormat="1" applyFont="1" applyBorder="1" applyAlignment="1" applyProtection="1">
      <alignment horizontal="center"/>
      <protection locked="0"/>
    </xf>
    <xf numFmtId="0" fontId="29" fillId="0" borderId="0" xfId="0" applyFont="1" applyAlignment="1" applyProtection="1">
      <alignment horizontal="center"/>
      <protection locked="0"/>
    </xf>
    <xf numFmtId="168" fontId="49" fillId="59" borderId="18" xfId="28" applyNumberFormat="1" applyFont="1" applyFill="1" applyBorder="1" applyAlignment="1">
      <alignment horizontal="center"/>
    </xf>
    <xf numFmtId="9" fontId="49" fillId="0" borderId="0" xfId="64" applyFont="1" applyFill="1" applyBorder="1" applyAlignment="1">
      <alignment horizontal="center"/>
    </xf>
    <xf numFmtId="3" fontId="49" fillId="59" borderId="0" xfId="0" applyNumberFormat="1" applyFont="1" applyFill="1" applyAlignment="1">
      <alignment horizontal="center"/>
    </xf>
    <xf numFmtId="0" fontId="49" fillId="0" borderId="37" xfId="0" applyFont="1" applyBorder="1" applyAlignment="1">
      <alignment horizontal="center" vertical="center" wrapText="1"/>
    </xf>
    <xf numFmtId="0" fontId="49" fillId="59" borderId="42" xfId="0" applyFont="1" applyFill="1" applyBorder="1" applyAlignment="1">
      <alignment horizontal="center"/>
    </xf>
    <xf numFmtId="0" fontId="49" fillId="0" borderId="42" xfId="0" applyFont="1" applyBorder="1" applyAlignment="1">
      <alignment horizontal="center"/>
    </xf>
    <xf numFmtId="0" fontId="49" fillId="27" borderId="43" xfId="0" applyFont="1" applyFill="1" applyBorder="1" applyAlignment="1">
      <alignment horizontal="left"/>
    </xf>
    <xf numFmtId="0" fontId="49" fillId="0" borderId="41" xfId="0" applyFont="1" applyBorder="1" applyAlignment="1">
      <alignment horizontal="center"/>
    </xf>
    <xf numFmtId="2" fontId="49" fillId="0" borderId="0" xfId="0" applyNumberFormat="1" applyFont="1"/>
    <xf numFmtId="2" fontId="49" fillId="0" borderId="0" xfId="0" applyNumberFormat="1" applyFont="1" applyAlignment="1">
      <alignment horizontal="center"/>
    </xf>
    <xf numFmtId="0" fontId="49" fillId="0" borderId="30" xfId="0" applyFont="1" applyBorder="1" applyAlignment="1">
      <alignment horizontal="center" vertical="center"/>
    </xf>
    <xf numFmtId="0" fontId="205" fillId="46" borderId="30" xfId="0" quotePrefix="1" applyFont="1" applyFill="1" applyBorder="1" applyAlignment="1">
      <alignment vertical="center"/>
    </xf>
    <xf numFmtId="0" fontId="17" fillId="46" borderId="30" xfId="0" applyFont="1" applyFill="1" applyBorder="1" applyAlignment="1">
      <alignment vertical="center"/>
    </xf>
    <xf numFmtId="0" fontId="17" fillId="0" borderId="30" xfId="0" applyFont="1" applyBorder="1" applyAlignment="1">
      <alignment vertical="center"/>
    </xf>
    <xf numFmtId="0" fontId="49" fillId="0" borderId="225" xfId="0" applyFont="1" applyBorder="1" applyAlignment="1">
      <alignment horizontal="left" vertical="center"/>
    </xf>
    <xf numFmtId="0" fontId="49" fillId="0" borderId="227" xfId="0" applyFont="1" applyBorder="1" applyAlignment="1">
      <alignment horizontal="left" vertical="center"/>
    </xf>
    <xf numFmtId="0" fontId="49" fillId="0" borderId="227" xfId="0" applyFont="1" applyBorder="1" applyAlignment="1">
      <alignment horizontal="center" vertical="center" wrapText="1"/>
    </xf>
    <xf numFmtId="177" fontId="17" fillId="0" borderId="0" xfId="33" applyNumberFormat="1" applyFont="1" applyFill="1" applyBorder="1" applyAlignment="1">
      <alignment horizontal="center"/>
    </xf>
    <xf numFmtId="0" fontId="17" fillId="59" borderId="146" xfId="0" applyFont="1" applyFill="1" applyBorder="1" applyAlignment="1">
      <alignment horizontal="center"/>
    </xf>
    <xf numFmtId="43" fontId="17" fillId="0" borderId="0" xfId="0" applyNumberFormat="1" applyFont="1" applyAlignment="1">
      <alignment horizontal="right"/>
    </xf>
    <xf numFmtId="0" fontId="17" fillId="46" borderId="0" xfId="0" applyFont="1" applyFill="1"/>
    <xf numFmtId="0" fontId="205" fillId="46" borderId="0" xfId="0" quotePrefix="1" applyFont="1" applyFill="1"/>
    <xf numFmtId="0" fontId="206" fillId="46" borderId="0" xfId="0" applyFont="1" applyFill="1"/>
    <xf numFmtId="178" fontId="49" fillId="0" borderId="0" xfId="0" applyNumberFormat="1" applyFont="1" applyAlignment="1">
      <alignment wrapText="1"/>
    </xf>
    <xf numFmtId="178" fontId="49" fillId="0" borderId="0" xfId="0" applyNumberFormat="1" applyFont="1" applyAlignment="1">
      <alignment vertical="center" wrapText="1"/>
    </xf>
    <xf numFmtId="178" fontId="49" fillId="0" borderId="0" xfId="0" quotePrefix="1" applyNumberFormat="1" applyFont="1" applyAlignment="1">
      <alignment horizontal="center"/>
    </xf>
    <xf numFmtId="205" fontId="49" fillId="0" borderId="0" xfId="0" applyNumberFormat="1" applyFont="1" applyAlignment="1">
      <alignment horizontal="center"/>
    </xf>
    <xf numFmtId="178" fontId="17" fillId="59" borderId="137" xfId="0" applyNumberFormat="1" applyFont="1" applyFill="1" applyBorder="1"/>
    <xf numFmtId="178" fontId="17" fillId="59" borderId="137" xfId="0" applyNumberFormat="1" applyFont="1" applyFill="1" applyBorder="1" applyAlignment="1">
      <alignment horizontal="center"/>
    </xf>
    <xf numFmtId="177" fontId="17" fillId="59" borderId="228" xfId="33" applyNumberFormat="1" applyFont="1" applyFill="1" applyBorder="1" applyAlignment="1">
      <alignment horizontal="center"/>
    </xf>
    <xf numFmtId="178" fontId="17" fillId="0" borderId="228" xfId="0" applyNumberFormat="1" applyFont="1" applyBorder="1" applyAlignment="1">
      <alignment horizontal="center"/>
    </xf>
    <xf numFmtId="178" fontId="23" fillId="46" borderId="0" xfId="0" applyNumberFormat="1" applyFont="1" applyFill="1" applyAlignment="1">
      <alignment horizontal="left"/>
    </xf>
    <xf numFmtId="178" fontId="49" fillId="46" borderId="0" xfId="0" applyNumberFormat="1" applyFont="1" applyFill="1"/>
    <xf numFmtId="178" fontId="17" fillId="0" borderId="68" xfId="0" applyNumberFormat="1" applyFont="1" applyBorder="1"/>
    <xf numFmtId="178" fontId="17" fillId="0" borderId="71" xfId="0" applyNumberFormat="1" applyFont="1" applyBorder="1" applyAlignment="1">
      <alignment horizontal="center"/>
    </xf>
    <xf numFmtId="178" fontId="17" fillId="59" borderId="7" xfId="0" applyNumberFormat="1" applyFont="1" applyFill="1" applyBorder="1" applyAlignment="1">
      <alignment horizontal="center"/>
    </xf>
    <xf numFmtId="178" fontId="17" fillId="59" borderId="7" xfId="0" applyNumberFormat="1" applyFont="1" applyFill="1" applyBorder="1"/>
    <xf numFmtId="178" fontId="17" fillId="0" borderId="229" xfId="0" applyNumberFormat="1" applyFont="1" applyBorder="1"/>
    <xf numFmtId="293" fontId="17" fillId="63" borderId="7" xfId="0" applyNumberFormat="1" applyFont="1" applyFill="1" applyBorder="1" applyAlignment="1">
      <alignment horizontal="center"/>
    </xf>
    <xf numFmtId="178" fontId="17" fillId="0" borderId="228" xfId="0" applyNumberFormat="1" applyFont="1" applyBorder="1" applyAlignment="1">
      <alignment vertical="center"/>
    </xf>
    <xf numFmtId="261" fontId="17" fillId="59" borderId="228" xfId="0" applyNumberFormat="1" applyFont="1" applyFill="1" applyBorder="1" applyAlignment="1">
      <alignment vertical="center"/>
    </xf>
    <xf numFmtId="297" fontId="17" fillId="59" borderId="228" xfId="0" applyNumberFormat="1" applyFont="1" applyFill="1" applyBorder="1" applyAlignment="1">
      <alignment vertical="center"/>
    </xf>
    <xf numFmtId="0" fontId="205" fillId="46" borderId="0" xfId="0" applyFont="1" applyFill="1"/>
    <xf numFmtId="0" fontId="187" fillId="46" borderId="0" xfId="0" applyFont="1" applyFill="1"/>
    <xf numFmtId="177" fontId="187" fillId="59" borderId="160" xfId="33" applyNumberFormat="1" applyFont="1" applyFill="1" applyBorder="1"/>
    <xf numFmtId="178" fontId="187" fillId="63" borderId="0" xfId="0" applyNumberFormat="1" applyFont="1" applyFill="1" applyAlignment="1">
      <alignment horizontal="center"/>
    </xf>
    <xf numFmtId="0" fontId="49" fillId="0" borderId="172" xfId="0" applyFont="1" applyBorder="1" applyAlignment="1">
      <alignment horizontal="left"/>
    </xf>
    <xf numFmtId="0" fontId="17" fillId="59" borderId="137" xfId="0" applyFont="1" applyFill="1" applyBorder="1" applyAlignment="1">
      <alignment horizontal="center" vertical="center" wrapText="1"/>
    </xf>
    <xf numFmtId="177" fontId="17" fillId="63" borderId="137" xfId="33" applyNumberFormat="1" applyFont="1" applyFill="1" applyBorder="1"/>
    <xf numFmtId="250" fontId="17" fillId="59" borderId="137" xfId="0" applyNumberFormat="1" applyFont="1" applyFill="1" applyBorder="1"/>
    <xf numFmtId="251" fontId="17" fillId="59" borderId="137" xfId="0" applyNumberFormat="1" applyFont="1" applyFill="1" applyBorder="1"/>
    <xf numFmtId="252" fontId="17" fillId="59" borderId="137" xfId="0" applyNumberFormat="1" applyFont="1" applyFill="1" applyBorder="1"/>
    <xf numFmtId="0" fontId="17" fillId="59" borderId="137" xfId="0" applyFont="1" applyFill="1" applyBorder="1" applyAlignment="1">
      <alignment horizontal="center"/>
    </xf>
    <xf numFmtId="250" fontId="17" fillId="0" borderId="177" xfId="0" applyNumberFormat="1" applyFont="1" applyBorder="1"/>
    <xf numFmtId="251" fontId="17" fillId="0" borderId="176" xfId="0" applyNumberFormat="1" applyFont="1" applyBorder="1"/>
    <xf numFmtId="186" fontId="17" fillId="59" borderId="176" xfId="33" applyNumberFormat="1" applyFont="1" applyFill="1" applyBorder="1" applyAlignment="1"/>
    <xf numFmtId="0" fontId="17" fillId="0" borderId="194" xfId="0" applyFont="1" applyBorder="1" applyAlignment="1">
      <alignment horizontal="right"/>
    </xf>
    <xf numFmtId="0" fontId="17" fillId="0" borderId="168" xfId="0" applyFont="1" applyBorder="1"/>
    <xf numFmtId="248" fontId="17" fillId="59" borderId="137" xfId="33" applyNumberFormat="1" applyFont="1" applyFill="1" applyBorder="1" applyAlignment="1">
      <alignment horizontal="right"/>
    </xf>
    <xf numFmtId="177" fontId="17" fillId="63" borderId="168" xfId="33" applyNumberFormat="1" applyFont="1" applyFill="1" applyBorder="1"/>
    <xf numFmtId="199" fontId="17" fillId="0" borderId="190" xfId="0" applyNumberFormat="1" applyFont="1" applyBorder="1" applyAlignment="1">
      <alignment horizontal="center" vertical="center"/>
    </xf>
    <xf numFmtId="0" fontId="17" fillId="0" borderId="190" xfId="0" applyFont="1" applyBorder="1"/>
    <xf numFmtId="0" fontId="17" fillId="0" borderId="191" xfId="0" applyFont="1" applyBorder="1"/>
    <xf numFmtId="172" fontId="49" fillId="0" borderId="0" xfId="0" applyNumberFormat="1" applyFont="1" applyAlignment="1">
      <alignment horizontal="center" vertical="center" wrapText="1"/>
    </xf>
    <xf numFmtId="0" fontId="17" fillId="0" borderId="192" xfId="0" applyFont="1" applyBorder="1"/>
    <xf numFmtId="199" fontId="17" fillId="0" borderId="194" xfId="0" applyNumberFormat="1" applyFont="1" applyBorder="1" applyAlignment="1">
      <alignment horizontal="center" vertical="center"/>
    </xf>
    <xf numFmtId="0" fontId="17" fillId="0" borderId="194" xfId="0" applyFont="1" applyBorder="1"/>
    <xf numFmtId="0" fontId="17" fillId="0" borderId="195" xfId="0" applyFont="1" applyBorder="1"/>
    <xf numFmtId="0" fontId="17" fillId="0" borderId="193" xfId="0" applyFont="1" applyBorder="1"/>
    <xf numFmtId="0" fontId="17" fillId="59" borderId="223" xfId="0" applyFont="1" applyFill="1" applyBorder="1"/>
    <xf numFmtId="186" fontId="17" fillId="59" borderId="222" xfId="33" applyNumberFormat="1" applyFont="1" applyFill="1" applyBorder="1" applyAlignment="1"/>
    <xf numFmtId="0" fontId="17" fillId="0" borderId="193" xfId="0" applyFont="1" applyBorder="1" applyAlignment="1">
      <alignment horizontal="center"/>
    </xf>
    <xf numFmtId="177" fontId="17" fillId="63" borderId="167" xfId="33" applyNumberFormat="1" applyFont="1" applyFill="1" applyBorder="1"/>
    <xf numFmtId="0" fontId="17" fillId="59" borderId="162" xfId="0" applyFont="1" applyFill="1" applyBorder="1"/>
    <xf numFmtId="186" fontId="17" fillId="59" borderId="170" xfId="33" applyNumberFormat="1" applyFont="1" applyFill="1" applyBorder="1" applyAlignment="1"/>
    <xf numFmtId="0" fontId="17" fillId="0" borderId="168" xfId="0" applyFont="1" applyBorder="1" applyAlignment="1">
      <alignment horizontal="center"/>
    </xf>
    <xf numFmtId="0" fontId="17" fillId="0" borderId="230" xfId="0" applyFont="1" applyBorder="1"/>
    <xf numFmtId="0" fontId="17" fillId="59" borderId="160" xfId="0" applyFont="1" applyFill="1" applyBorder="1"/>
    <xf numFmtId="186" fontId="17" fillId="59" borderId="231" xfId="33" applyNumberFormat="1" applyFont="1" applyFill="1" applyBorder="1" applyAlignment="1"/>
    <xf numFmtId="0" fontId="17" fillId="0" borderId="174" xfId="0" applyFont="1" applyBorder="1" applyAlignment="1">
      <alignment horizontal="center"/>
    </xf>
    <xf numFmtId="172" fontId="49" fillId="0" borderId="0" xfId="0" applyNumberFormat="1" applyFont="1" applyAlignment="1">
      <alignment vertical="center" wrapText="1"/>
    </xf>
    <xf numFmtId="186" fontId="17" fillId="0" borderId="230" xfId="33" applyNumberFormat="1" applyFont="1" applyFill="1" applyBorder="1" applyAlignment="1"/>
    <xf numFmtId="0" fontId="49" fillId="60" borderId="168" xfId="0" applyFont="1" applyFill="1" applyBorder="1" applyAlignment="1">
      <alignment horizontal="center"/>
    </xf>
    <xf numFmtId="296" fontId="17" fillId="0" borderId="0" xfId="0" applyNumberFormat="1" applyFont="1"/>
    <xf numFmtId="0" fontId="37" fillId="0" borderId="137" xfId="0" applyFont="1" applyBorder="1"/>
    <xf numFmtId="215" fontId="37" fillId="27" borderId="137" xfId="0" applyNumberFormat="1" applyFont="1" applyFill="1" applyBorder="1" applyAlignment="1">
      <alignment horizontal="left" vertical="center"/>
    </xf>
    <xf numFmtId="185" fontId="37" fillId="0" borderId="137" xfId="0" applyNumberFormat="1" applyFont="1" applyBorder="1" applyAlignment="1">
      <alignment horizontal="center" vertical="center"/>
    </xf>
    <xf numFmtId="3" fontId="17" fillId="0" borderId="228" xfId="0" applyNumberFormat="1" applyFont="1" applyBorder="1" applyAlignment="1">
      <alignment horizontal="right" vertical="center"/>
    </xf>
    <xf numFmtId="4" fontId="17" fillId="59" borderId="228" xfId="0" applyNumberFormat="1" applyFont="1" applyFill="1" applyBorder="1" applyAlignment="1">
      <alignment horizontal="center" vertical="center"/>
    </xf>
    <xf numFmtId="3" fontId="17" fillId="0" borderId="228" xfId="0" applyNumberFormat="1" applyFont="1" applyBorder="1" applyAlignment="1">
      <alignment horizontal="center" vertical="center"/>
    </xf>
    <xf numFmtId="0" fontId="150" fillId="0" borderId="168" xfId="0" applyFont="1" applyBorder="1"/>
    <xf numFmtId="0" fontId="150" fillId="0" borderId="230" xfId="0" applyFont="1" applyBorder="1"/>
    <xf numFmtId="0" fontId="25" fillId="0" borderId="230" xfId="0" applyFont="1" applyBorder="1"/>
    <xf numFmtId="0" fontId="25" fillId="0" borderId="230" xfId="0" applyFont="1" applyBorder="1" applyAlignment="1">
      <alignment horizontal="left"/>
    </xf>
    <xf numFmtId="3" fontId="17" fillId="59" borderId="228" xfId="0" applyNumberFormat="1" applyFont="1" applyFill="1" applyBorder="1" applyAlignment="1">
      <alignment horizontal="center" vertical="center"/>
    </xf>
    <xf numFmtId="1" fontId="25" fillId="0" borderId="167" xfId="0" applyNumberFormat="1" applyFont="1" applyBorder="1" applyAlignment="1">
      <alignment horizontal="right"/>
    </xf>
    <xf numFmtId="0" fontId="150" fillId="26" borderId="176" xfId="0" applyFont="1" applyFill="1" applyBorder="1" applyAlignment="1">
      <alignment horizontal="center"/>
    </xf>
    <xf numFmtId="167" fontId="150" fillId="0" borderId="222" xfId="0" applyNumberFormat="1" applyFont="1" applyBorder="1" applyAlignment="1">
      <alignment vertical="center"/>
    </xf>
    <xf numFmtId="167" fontId="150" fillId="0" borderId="177" xfId="0" applyNumberFormat="1" applyFont="1" applyBorder="1"/>
    <xf numFmtId="0" fontId="17" fillId="0" borderId="176" xfId="0" applyFont="1" applyBorder="1"/>
    <xf numFmtId="186" fontId="17" fillId="0" borderId="0" xfId="0" applyNumberFormat="1" applyFont="1" applyAlignment="1">
      <alignment horizontal="center" vertical="center"/>
    </xf>
    <xf numFmtId="0" fontId="37" fillId="0" borderId="137" xfId="0" applyFont="1" applyBorder="1" applyAlignment="1">
      <alignment horizontal="center"/>
    </xf>
    <xf numFmtId="1" fontId="25" fillId="0" borderId="137" xfId="0" applyNumberFormat="1" applyFont="1" applyBorder="1" applyAlignment="1">
      <alignment horizontal="right"/>
    </xf>
    <xf numFmtId="0" fontId="150" fillId="26" borderId="161" xfId="0" applyFont="1" applyFill="1" applyBorder="1" applyAlignment="1">
      <alignment horizontal="center"/>
    </xf>
    <xf numFmtId="167" fontId="150" fillId="60" borderId="160" xfId="0" applyNumberFormat="1" applyFont="1" applyFill="1" applyBorder="1"/>
    <xf numFmtId="167" fontId="150" fillId="0" borderId="231" xfId="0" applyNumberFormat="1" applyFont="1" applyBorder="1"/>
    <xf numFmtId="0" fontId="17" fillId="0" borderId="161" xfId="0" applyFont="1" applyBorder="1"/>
    <xf numFmtId="209" fontId="37" fillId="0" borderId="137" xfId="0" applyNumberFormat="1" applyFont="1" applyBorder="1"/>
    <xf numFmtId="210" fontId="37" fillId="0" borderId="137" xfId="0" applyNumberFormat="1" applyFont="1" applyBorder="1"/>
    <xf numFmtId="3" fontId="17" fillId="60" borderId="228" xfId="0" applyNumberFormat="1" applyFont="1" applyFill="1" applyBorder="1" applyAlignment="1">
      <alignment horizontal="center" vertical="center"/>
    </xf>
    <xf numFmtId="0" fontId="150" fillId="0" borderId="190" xfId="0" applyFont="1" applyBorder="1" applyAlignment="1">
      <alignment vertical="center"/>
    </xf>
    <xf numFmtId="0" fontId="17" fillId="0" borderId="191" xfId="0" applyFont="1" applyBorder="1" applyAlignment="1">
      <alignment vertical="center"/>
    </xf>
    <xf numFmtId="209" fontId="37" fillId="0" borderId="137" xfId="0" applyNumberFormat="1" applyFont="1" applyBorder="1" applyAlignment="1">
      <alignment vertical="center"/>
    </xf>
    <xf numFmtId="210" fontId="37" fillId="0" borderId="137" xfId="0" applyNumberFormat="1" applyFont="1" applyBorder="1" applyAlignment="1">
      <alignment vertical="center"/>
    </xf>
    <xf numFmtId="0" fontId="25" fillId="0" borderId="137" xfId="0" applyFont="1" applyBorder="1" applyAlignment="1">
      <alignment horizontal="right"/>
    </xf>
    <xf numFmtId="0" fontId="150" fillId="26" borderId="234" xfId="0" applyFont="1" applyFill="1" applyBorder="1" applyAlignment="1">
      <alignment horizontal="center"/>
    </xf>
    <xf numFmtId="2" fontId="150" fillId="0" borderId="160" xfId="0" applyNumberFormat="1" applyFont="1" applyBorder="1"/>
    <xf numFmtId="209" fontId="22" fillId="0" borderId="137" xfId="0" applyNumberFormat="1" applyFont="1" applyBorder="1"/>
    <xf numFmtId="210" fontId="22" fillId="0" borderId="137" xfId="0" applyNumberFormat="1" applyFont="1" applyBorder="1"/>
    <xf numFmtId="0" fontId="49" fillId="59" borderId="0" xfId="0" applyFont="1" applyFill="1"/>
    <xf numFmtId="0" fontId="49" fillId="66" borderId="0" xfId="0" applyFont="1" applyFill="1" applyAlignment="1">
      <alignment vertical="center"/>
    </xf>
    <xf numFmtId="0" fontId="17" fillId="0" borderId="168" xfId="0" applyFont="1" applyBorder="1" applyAlignment="1">
      <alignment horizontal="center" vertical="center"/>
    </xf>
    <xf numFmtId="0" fontId="51" fillId="0" borderId="0" xfId="0" applyFont="1" applyAlignment="1">
      <alignment horizontal="center"/>
    </xf>
    <xf numFmtId="2" fontId="37" fillId="26" borderId="228" xfId="0" applyNumberFormat="1" applyFont="1" applyFill="1" applyBorder="1" applyAlignment="1">
      <alignment horizontal="center" vertical="center"/>
    </xf>
    <xf numFmtId="0" fontId="37" fillId="26" borderId="228" xfId="0" applyFont="1" applyFill="1" applyBorder="1" applyAlignment="1">
      <alignment horizontal="center" vertical="center"/>
    </xf>
    <xf numFmtId="3" fontId="37" fillId="0" borderId="228" xfId="0" applyNumberFormat="1" applyFont="1" applyBorder="1" applyAlignment="1">
      <alignment horizontal="center" vertical="center"/>
    </xf>
    <xf numFmtId="1" fontId="51" fillId="0" borderId="68" xfId="0" applyNumberFormat="1" applyFont="1" applyBorder="1" applyAlignment="1">
      <alignment vertical="center"/>
    </xf>
    <xf numFmtId="1" fontId="51" fillId="0" borderId="229" xfId="0" applyNumberFormat="1" applyFont="1" applyBorder="1" applyAlignment="1">
      <alignment vertical="center"/>
    </xf>
    <xf numFmtId="0" fontId="49" fillId="0" borderId="229" xfId="0" applyFont="1" applyBorder="1" applyAlignment="1">
      <alignment vertical="center"/>
    </xf>
    <xf numFmtId="0" fontId="49" fillId="0" borderId="71" xfId="0" applyFont="1" applyBorder="1" applyAlignment="1">
      <alignment vertical="center"/>
    </xf>
    <xf numFmtId="178" fontId="51" fillId="0" borderId="68" xfId="0" applyNumberFormat="1" applyFont="1" applyBorder="1" applyAlignment="1">
      <alignment horizontal="center" vertical="center"/>
    </xf>
    <xf numFmtId="1" fontId="51" fillId="0" borderId="71" xfId="0" applyNumberFormat="1" applyFont="1" applyBorder="1" applyAlignment="1">
      <alignment horizontal="center" vertical="center"/>
    </xf>
    <xf numFmtId="4" fontId="51" fillId="0" borderId="68" xfId="0" applyNumberFormat="1" applyFont="1" applyBorder="1" applyAlignment="1">
      <alignment horizontal="center" vertical="center"/>
    </xf>
    <xf numFmtId="0" fontId="17" fillId="0" borderId="229" xfId="0" applyFont="1" applyBorder="1" applyAlignment="1">
      <alignment vertical="center"/>
    </xf>
    <xf numFmtId="0" fontId="17" fillId="0" borderId="71" xfId="0" applyFont="1" applyBorder="1" applyAlignment="1">
      <alignment vertical="center"/>
    </xf>
    <xf numFmtId="1" fontId="51" fillId="59" borderId="68" xfId="0" applyNumberFormat="1" applyFont="1" applyFill="1" applyBorder="1" applyAlignment="1">
      <alignment vertical="center"/>
    </xf>
    <xf numFmtId="1" fontId="37" fillId="0" borderId="0" xfId="0" applyNumberFormat="1" applyFont="1" applyAlignment="1">
      <alignment horizontal="center"/>
    </xf>
    <xf numFmtId="3" fontId="49" fillId="0" borderId="228" xfId="0" applyNumberFormat="1" applyFont="1" applyBorder="1" applyAlignment="1">
      <alignment vertical="center"/>
    </xf>
    <xf numFmtId="3" fontId="49" fillId="59" borderId="228" xfId="0" applyNumberFormat="1" applyFont="1" applyFill="1" applyBorder="1" applyAlignment="1">
      <alignment horizontal="center" vertical="center"/>
    </xf>
    <xf numFmtId="3" fontId="49" fillId="0" borderId="228" xfId="0" applyNumberFormat="1" applyFont="1" applyBorder="1" applyAlignment="1">
      <alignment horizontal="center" vertical="center"/>
    </xf>
    <xf numFmtId="0" fontId="49" fillId="59" borderId="228" xfId="0" applyFont="1" applyFill="1" applyBorder="1" applyAlignment="1">
      <alignment horizontal="center"/>
    </xf>
    <xf numFmtId="0" fontId="49" fillId="59" borderId="235" xfId="0" applyFont="1" applyFill="1" applyBorder="1" applyAlignment="1">
      <alignment horizontal="center"/>
    </xf>
    <xf numFmtId="0" fontId="49" fillId="0" borderId="137" xfId="0" applyFont="1" applyBorder="1" applyAlignment="1">
      <alignment horizontal="right"/>
    </xf>
    <xf numFmtId="0" fontId="17" fillId="59" borderId="137" xfId="0" applyFont="1" applyFill="1" applyBorder="1"/>
    <xf numFmtId="0" fontId="49" fillId="59" borderId="137" xfId="0" applyFont="1" applyFill="1" applyBorder="1"/>
    <xf numFmtId="168" fontId="17" fillId="0" borderId="137" xfId="0" applyNumberFormat="1" applyFont="1" applyBorder="1" applyAlignment="1">
      <alignment horizontal="center" vertical="center"/>
    </xf>
    <xf numFmtId="1" fontId="49" fillId="59" borderId="137" xfId="0" applyNumberFormat="1" applyFont="1" applyFill="1" applyBorder="1" applyAlignment="1">
      <alignment horizontal="center" vertical="center"/>
    </xf>
    <xf numFmtId="3" fontId="49" fillId="0" borderId="137" xfId="0" applyNumberFormat="1" applyFont="1" applyBorder="1" applyAlignment="1">
      <alignment horizontal="center"/>
    </xf>
    <xf numFmtId="3" fontId="49" fillId="0" borderId="137" xfId="0" applyNumberFormat="1" applyFont="1" applyBorder="1" applyAlignment="1">
      <alignment horizontal="right" vertical="center"/>
    </xf>
    <xf numFmtId="3" fontId="49" fillId="59" borderId="137" xfId="0" applyNumberFormat="1" applyFont="1" applyFill="1" applyBorder="1" applyAlignment="1">
      <alignment horizontal="center" vertical="center"/>
    </xf>
    <xf numFmtId="177" fontId="143" fillId="46" borderId="0" xfId="0" applyNumberFormat="1" applyFont="1" applyFill="1" applyAlignment="1">
      <alignment horizontal="center"/>
    </xf>
    <xf numFmtId="43" fontId="143" fillId="46" borderId="0" xfId="0" applyNumberFormat="1" applyFont="1" applyFill="1" applyAlignment="1">
      <alignment horizontal="center"/>
    </xf>
    <xf numFmtId="3" fontId="17" fillId="0" borderId="146" xfId="0" applyNumberFormat="1" applyFont="1" applyBorder="1" applyAlignment="1">
      <alignment horizontal="right" vertical="center"/>
    </xf>
    <xf numFmtId="3" fontId="17" fillId="0" borderId="146" xfId="0" applyNumberFormat="1" applyFont="1" applyBorder="1" applyAlignment="1">
      <alignment horizontal="left" vertical="center"/>
    </xf>
    <xf numFmtId="0" fontId="17" fillId="0" borderId="146" xfId="0" applyFont="1" applyBorder="1" applyAlignment="1">
      <alignment horizontal="left"/>
    </xf>
    <xf numFmtId="178" fontId="17" fillId="0" borderId="168" xfId="0" applyNumberFormat="1" applyFont="1" applyBorder="1"/>
    <xf numFmtId="178" fontId="17" fillId="59" borderId="271" xfId="0" applyNumberFormat="1" applyFont="1" applyFill="1" applyBorder="1"/>
    <xf numFmtId="178" fontId="17" fillId="59" borderId="275" xfId="0" applyNumberFormat="1" applyFont="1" applyFill="1" applyBorder="1"/>
    <xf numFmtId="178" fontId="17" fillId="0" borderId="271" xfId="0" applyNumberFormat="1" applyFont="1" applyBorder="1"/>
    <xf numFmtId="0" fontId="17" fillId="0" borderId="275" xfId="0" applyFont="1" applyBorder="1"/>
    <xf numFmtId="0" fontId="17" fillId="0" borderId="273" xfId="0" applyFont="1" applyBorder="1"/>
    <xf numFmtId="0" fontId="17" fillId="59" borderId="0" xfId="0" applyFont="1" applyFill="1"/>
    <xf numFmtId="0" fontId="92" fillId="0" borderId="19" xfId="0" applyFont="1" applyBorder="1"/>
    <xf numFmtId="0" fontId="92" fillId="0" borderId="20" xfId="0" applyFont="1" applyBorder="1"/>
    <xf numFmtId="168" fontId="92" fillId="0" borderId="20" xfId="28" applyNumberFormat="1" applyFont="1" applyFill="1" applyBorder="1" applyAlignment="1"/>
    <xf numFmtId="178" fontId="49" fillId="0" borderId="10" xfId="0" applyNumberFormat="1" applyFont="1" applyBorder="1"/>
    <xf numFmtId="178" fontId="49" fillId="0" borderId="10" xfId="0" applyNumberFormat="1" applyFont="1" applyBorder="1" applyAlignment="1">
      <alignment horizontal="center"/>
    </xf>
    <xf numFmtId="9" fontId="49" fillId="0" borderId="10" xfId="64" applyFont="1" applyFill="1" applyBorder="1" applyAlignment="1">
      <alignment horizontal="center"/>
    </xf>
    <xf numFmtId="178" fontId="17" fillId="0" borderId="315" xfId="0" applyNumberFormat="1" applyFont="1" applyBorder="1"/>
    <xf numFmtId="178" fontId="17" fillId="0" borderId="316" xfId="0" applyNumberFormat="1" applyFont="1" applyBorder="1"/>
    <xf numFmtId="261" fontId="17" fillId="0" borderId="316" xfId="0" applyNumberFormat="1" applyFont="1" applyBorder="1" applyAlignment="1">
      <alignment vertical="center"/>
    </xf>
    <xf numFmtId="297" fontId="17" fillId="0" borderId="316" xfId="0" applyNumberFormat="1" applyFont="1" applyBorder="1" applyAlignment="1">
      <alignment vertical="center"/>
    </xf>
    <xf numFmtId="178" fontId="17" fillId="0" borderId="316" xfId="0" applyNumberFormat="1" applyFont="1" applyBorder="1" applyAlignment="1">
      <alignment horizontal="center"/>
    </xf>
    <xf numFmtId="195" fontId="17" fillId="0" borderId="316" xfId="0" applyNumberFormat="1" applyFont="1" applyBorder="1"/>
    <xf numFmtId="205" fontId="17" fillId="0" borderId="316" xfId="0" applyNumberFormat="1" applyFont="1" applyBorder="1"/>
    <xf numFmtId="178" fontId="17" fillId="0" borderId="317" xfId="0" applyNumberFormat="1" applyFont="1" applyBorder="1"/>
    <xf numFmtId="178" fontId="17" fillId="0" borderId="144" xfId="0" applyNumberFormat="1" applyFont="1" applyBorder="1"/>
    <xf numFmtId="261" fontId="17" fillId="0" borderId="0" xfId="0" applyNumberFormat="1" applyFont="1" applyAlignment="1">
      <alignment vertical="center"/>
    </xf>
    <xf numFmtId="297" fontId="17" fillId="0" borderId="0" xfId="0" applyNumberFormat="1" applyFont="1" applyAlignment="1">
      <alignment vertical="center"/>
    </xf>
    <xf numFmtId="178" fontId="17" fillId="0" borderId="318" xfId="0" applyNumberFormat="1" applyFont="1" applyBorder="1"/>
    <xf numFmtId="178" fontId="17" fillId="0" borderId="319" xfId="0" applyNumberFormat="1" applyFont="1" applyBorder="1"/>
    <xf numFmtId="178" fontId="17" fillId="0" borderId="320" xfId="0" applyNumberFormat="1" applyFont="1" applyBorder="1"/>
    <xf numFmtId="261" fontId="17" fillId="0" borderId="320" xfId="0" applyNumberFormat="1" applyFont="1" applyBorder="1" applyAlignment="1">
      <alignment vertical="center"/>
    </xf>
    <xf numFmtId="297" fontId="17" fillId="0" borderId="320" xfId="0" applyNumberFormat="1" applyFont="1" applyBorder="1" applyAlignment="1">
      <alignment vertical="center"/>
    </xf>
    <xf numFmtId="178" fontId="17" fillId="0" borderId="320" xfId="0" applyNumberFormat="1" applyFont="1" applyBorder="1" applyAlignment="1">
      <alignment horizontal="center"/>
    </xf>
    <xf numFmtId="195" fontId="17" fillId="0" borderId="320" xfId="0" applyNumberFormat="1" applyFont="1" applyBorder="1"/>
    <xf numFmtId="205" fontId="17" fillId="0" borderId="320" xfId="0" applyNumberFormat="1" applyFont="1" applyBorder="1"/>
    <xf numFmtId="178" fontId="17" fillId="0" borderId="321" xfId="0" applyNumberFormat="1" applyFont="1" applyBorder="1"/>
    <xf numFmtId="178" fontId="17" fillId="0" borderId="188" xfId="0" applyNumberFormat="1" applyFont="1" applyBorder="1"/>
    <xf numFmtId="178" fontId="17" fillId="0" borderId="0" xfId="0" quotePrefix="1" applyNumberFormat="1" applyFont="1" applyAlignment="1">
      <alignment horizontal="center"/>
    </xf>
    <xf numFmtId="178" fontId="17" fillId="0" borderId="228" xfId="0" applyNumberFormat="1" applyFont="1" applyBorder="1"/>
    <xf numFmtId="178" fontId="17" fillId="0" borderId="0" xfId="0" quotePrefix="1" applyNumberFormat="1" applyFont="1"/>
    <xf numFmtId="0" fontId="17" fillId="46" borderId="0" xfId="0" quotePrefix="1" applyFont="1" applyFill="1"/>
    <xf numFmtId="248" fontId="17" fillId="59" borderId="137" xfId="33" applyNumberFormat="1" applyFont="1" applyFill="1" applyBorder="1" applyAlignment="1">
      <alignment horizontal="center"/>
    </xf>
    <xf numFmtId="177" fontId="207" fillId="0" borderId="190" xfId="0" applyNumberFormat="1" applyFont="1" applyBorder="1" applyAlignment="1">
      <alignment vertical="center"/>
    </xf>
    <xf numFmtId="172" fontId="17" fillId="0" borderId="0" xfId="0" applyNumberFormat="1" applyFont="1" applyAlignment="1">
      <alignment horizontal="center" vertical="center" wrapText="1"/>
    </xf>
    <xf numFmtId="172" fontId="17" fillId="0" borderId="194" xfId="0" applyNumberFormat="1" applyFont="1" applyBorder="1" applyAlignment="1">
      <alignment horizontal="center" vertical="center" wrapText="1"/>
    </xf>
    <xf numFmtId="178" fontId="17" fillId="0" borderId="275" xfId="0" applyNumberFormat="1" applyFont="1" applyBorder="1"/>
    <xf numFmtId="178" fontId="17" fillId="0" borderId="314" xfId="0" applyNumberFormat="1" applyFont="1" applyBorder="1"/>
    <xf numFmtId="226" fontId="17" fillId="0" borderId="137" xfId="0" applyNumberFormat="1" applyFont="1" applyBorder="1" applyAlignment="1">
      <alignment horizontal="center"/>
    </xf>
    <xf numFmtId="226" fontId="17" fillId="59" borderId="137" xfId="0" applyNumberFormat="1" applyFont="1" applyFill="1" applyBorder="1" applyAlignment="1">
      <alignment horizontal="center"/>
    </xf>
    <xf numFmtId="177" fontId="17" fillId="59" borderId="137" xfId="33" applyNumberFormat="1" applyFont="1" applyFill="1" applyBorder="1" applyAlignment="1">
      <alignment horizontal="center"/>
    </xf>
    <xf numFmtId="177" fontId="17" fillId="59" borderId="137" xfId="33" applyNumberFormat="1" applyFont="1" applyFill="1" applyBorder="1"/>
    <xf numFmtId="177" fontId="17" fillId="59" borderId="137" xfId="0" applyNumberFormat="1" applyFont="1" applyFill="1" applyBorder="1"/>
    <xf numFmtId="0" fontId="49" fillId="0" borderId="137" xfId="0" applyFont="1" applyBorder="1" applyAlignment="1">
      <alignment vertical="center"/>
    </xf>
    <xf numFmtId="0" fontId="49" fillId="0" borderId="137" xfId="0" applyFont="1" applyBorder="1" applyAlignment="1">
      <alignment horizontal="center" vertical="center"/>
    </xf>
    <xf numFmtId="0" fontId="17" fillId="63" borderId="137" xfId="0" applyFont="1" applyFill="1" applyBorder="1"/>
    <xf numFmtId="0" fontId="49" fillId="0" borderId="168" xfId="0" applyFont="1" applyBorder="1" applyAlignment="1">
      <alignment horizontal="center" vertical="center"/>
    </xf>
    <xf numFmtId="0" fontId="17" fillId="59" borderId="168" xfId="0" applyFont="1" applyFill="1" applyBorder="1" applyAlignment="1">
      <alignment horizontal="center"/>
    </xf>
    <xf numFmtId="177" fontId="17" fillId="59" borderId="302" xfId="33" applyNumberFormat="1" applyFont="1" applyFill="1" applyBorder="1" applyAlignment="1"/>
    <xf numFmtId="0" fontId="17" fillId="63" borderId="302" xfId="0" applyFont="1" applyFill="1" applyBorder="1"/>
    <xf numFmtId="178" fontId="17" fillId="0" borderId="324" xfId="0" applyNumberFormat="1" applyFont="1" applyBorder="1"/>
    <xf numFmtId="178" fontId="17" fillId="0" borderId="193" xfId="0" applyNumberFormat="1" applyFont="1" applyBorder="1"/>
    <xf numFmtId="0" fontId="49" fillId="62" borderId="137" xfId="0" applyFont="1" applyFill="1" applyBorder="1" applyAlignment="1">
      <alignment horizontal="left" vertical="center"/>
    </xf>
    <xf numFmtId="0" fontId="49" fillId="62" borderId="137" xfId="0" applyFont="1" applyFill="1" applyBorder="1" applyAlignment="1">
      <alignment horizontal="center" vertical="center"/>
    </xf>
    <xf numFmtId="0" fontId="49" fillId="62" borderId="168" xfId="0" applyFont="1" applyFill="1" applyBorder="1" applyAlignment="1">
      <alignment horizontal="center" vertical="center"/>
    </xf>
    <xf numFmtId="0" fontId="49" fillId="62" borderId="230" xfId="0" applyFont="1" applyFill="1" applyBorder="1" applyAlignment="1">
      <alignment horizontal="center" vertical="center"/>
    </xf>
    <xf numFmtId="0" fontId="17" fillId="62" borderId="230" xfId="0" applyFont="1" applyFill="1" applyBorder="1"/>
    <xf numFmtId="0" fontId="17" fillId="62" borderId="169" xfId="0" applyFont="1" applyFill="1" applyBorder="1"/>
    <xf numFmtId="178" fontId="17" fillId="59" borderId="146" xfId="0" applyNumberFormat="1" applyFont="1" applyFill="1" applyBorder="1" applyAlignment="1">
      <alignment horizontal="center"/>
    </xf>
    <xf numFmtId="0" fontId="17" fillId="49" borderId="137" xfId="0" applyFont="1" applyFill="1" applyBorder="1" applyAlignment="1">
      <alignment horizontal="center"/>
    </xf>
    <xf numFmtId="178" fontId="17" fillId="49" borderId="137" xfId="0" applyNumberFormat="1" applyFont="1" applyFill="1" applyBorder="1" applyAlignment="1">
      <alignment horizontal="center"/>
    </xf>
    <xf numFmtId="178" fontId="17" fillId="63" borderId="137" xfId="0" applyNumberFormat="1" applyFont="1" applyFill="1" applyBorder="1" applyAlignment="1">
      <alignment horizontal="center"/>
    </xf>
    <xf numFmtId="37" fontId="207" fillId="0" borderId="0" xfId="0" applyNumberFormat="1" applyFont="1" applyAlignment="1">
      <alignment vertical="center"/>
    </xf>
    <xf numFmtId="0" fontId="17" fillId="0" borderId="178" xfId="0" applyFont="1" applyBorder="1" applyAlignment="1">
      <alignment horizontal="left" vertical="center"/>
    </xf>
    <xf numFmtId="0" fontId="17" fillId="59" borderId="178" xfId="0" applyFont="1" applyFill="1" applyBorder="1" applyAlignment="1">
      <alignment horizontal="center" vertical="center"/>
    </xf>
    <xf numFmtId="167" fontId="17" fillId="59" borderId="233" xfId="0" applyNumberFormat="1" applyFont="1" applyFill="1" applyBorder="1" applyAlignment="1">
      <alignment horizontal="left" vertical="center"/>
    </xf>
    <xf numFmtId="0" fontId="17" fillId="59" borderId="233" xfId="0" applyFont="1" applyFill="1" applyBorder="1" applyAlignment="1">
      <alignment horizontal="left" vertical="center"/>
    </xf>
    <xf numFmtId="0" fontId="17" fillId="59" borderId="178" xfId="0" applyFont="1" applyFill="1" applyBorder="1" applyAlignment="1">
      <alignment horizontal="left" vertical="center"/>
    </xf>
    <xf numFmtId="0" fontId="17" fillId="59" borderId="232" xfId="0" applyFont="1" applyFill="1" applyBorder="1" applyAlignment="1">
      <alignment horizontal="center" vertical="center"/>
    </xf>
    <xf numFmtId="294" fontId="17" fillId="60" borderId="137" xfId="28" applyNumberFormat="1" applyFont="1" applyFill="1" applyBorder="1" applyAlignment="1">
      <alignment horizontal="center" vertical="center"/>
    </xf>
    <xf numFmtId="295" fontId="17" fillId="60" borderId="137" xfId="28" applyNumberFormat="1" applyFont="1" applyFill="1" applyBorder="1" applyAlignment="1">
      <alignment horizontal="center" vertical="center"/>
    </xf>
    <xf numFmtId="0" fontId="25" fillId="0" borderId="137" xfId="0" applyFont="1" applyBorder="1" applyAlignment="1">
      <alignment horizontal="right" vertical="center"/>
    </xf>
    <xf numFmtId="168" fontId="150" fillId="0" borderId="168" xfId="0" applyNumberFormat="1" applyFont="1" applyBorder="1" applyAlignment="1">
      <alignment horizontal="center" vertical="center"/>
    </xf>
    <xf numFmtId="3" fontId="17" fillId="0" borderId="228" xfId="0" applyNumberFormat="1" applyFont="1" applyBorder="1" applyAlignment="1">
      <alignment horizontal="center" vertical="center" wrapText="1"/>
    </xf>
    <xf numFmtId="172" fontId="17" fillId="59" borderId="228" xfId="0" applyNumberFormat="1" applyFont="1" applyFill="1" applyBorder="1" applyAlignment="1">
      <alignment horizontal="center" vertical="center"/>
    </xf>
    <xf numFmtId="0" fontId="150" fillId="0" borderId="168" xfId="0" applyFont="1" applyBorder="1" applyAlignment="1">
      <alignment horizontal="center"/>
    </xf>
    <xf numFmtId="3" fontId="17" fillId="0" borderId="7" xfId="0" applyNumberFormat="1" applyFont="1" applyBorder="1" applyAlignment="1">
      <alignment vertical="center"/>
    </xf>
    <xf numFmtId="3" fontId="17" fillId="0" borderId="170" xfId="0" applyNumberFormat="1" applyFont="1" applyBorder="1" applyAlignment="1">
      <alignment vertical="center"/>
    </xf>
    <xf numFmtId="3" fontId="17" fillId="60" borderId="7" xfId="0" applyNumberFormat="1" applyFont="1" applyFill="1" applyBorder="1" applyAlignment="1">
      <alignment horizontal="center" vertical="center"/>
    </xf>
    <xf numFmtId="172" fontId="17" fillId="60" borderId="7" xfId="0" applyNumberFormat="1" applyFont="1" applyFill="1" applyBorder="1" applyAlignment="1">
      <alignment horizontal="center" vertical="center"/>
    </xf>
    <xf numFmtId="3" fontId="17" fillId="0" borderId="68" xfId="0" applyNumberFormat="1" applyFont="1" applyBorder="1" applyAlignment="1">
      <alignment vertical="center"/>
    </xf>
    <xf numFmtId="3" fontId="17" fillId="0" borderId="229" xfId="0" applyNumberFormat="1" applyFont="1" applyBorder="1" applyAlignment="1">
      <alignment horizontal="center" vertical="center"/>
    </xf>
    <xf numFmtId="168" fontId="17" fillId="63" borderId="137" xfId="0" applyNumberFormat="1" applyFont="1" applyFill="1" applyBorder="1" applyAlignment="1">
      <alignment horizontal="center"/>
    </xf>
    <xf numFmtId="168" fontId="17" fillId="0" borderId="137" xfId="0" applyNumberFormat="1" applyFont="1" applyBorder="1" applyAlignment="1">
      <alignment horizontal="center"/>
    </xf>
    <xf numFmtId="0" fontId="17" fillId="0" borderId="169" xfId="0" applyFont="1" applyBorder="1" applyAlignment="1">
      <alignment horizontal="center"/>
    </xf>
    <xf numFmtId="0" fontId="17" fillId="0" borderId="195" xfId="0" applyFont="1" applyBorder="1" applyAlignment="1">
      <alignment horizontal="center"/>
    </xf>
    <xf numFmtId="0" fontId="49" fillId="62" borderId="137" xfId="0" applyFont="1" applyFill="1" applyBorder="1" applyAlignment="1">
      <alignment horizontal="center" vertical="center" wrapText="1"/>
    </xf>
    <xf numFmtId="0" fontId="49" fillId="0" borderId="0" xfId="0" applyFont="1" applyAlignment="1">
      <alignment wrapText="1"/>
    </xf>
    <xf numFmtId="167" fontId="49" fillId="0" borderId="0" xfId="0" applyNumberFormat="1" applyFont="1" applyAlignment="1" applyProtection="1">
      <alignment horizontal="center" wrapText="1"/>
      <protection hidden="1"/>
    </xf>
    <xf numFmtId="0" fontId="17" fillId="0" borderId="0" xfId="0" applyFont="1" applyAlignment="1">
      <alignment wrapText="1"/>
    </xf>
    <xf numFmtId="269" fontId="17" fillId="0" borderId="271" xfId="0" applyNumberFormat="1" applyFont="1" applyBorder="1"/>
    <xf numFmtId="3" fontId="49" fillId="46" borderId="0" xfId="0" applyNumberFormat="1" applyFont="1" applyFill="1" applyAlignment="1" applyProtection="1">
      <alignment horizontal="center"/>
      <protection hidden="1"/>
    </xf>
    <xf numFmtId="9" fontId="17" fillId="46" borderId="0" xfId="64" applyFont="1" applyFill="1" applyBorder="1" applyAlignment="1" applyProtection="1">
      <alignment horizontal="center"/>
      <protection hidden="1"/>
    </xf>
    <xf numFmtId="3" fontId="17" fillId="0" borderId="318" xfId="0" applyNumberFormat="1" applyFont="1" applyBorder="1" applyAlignment="1">
      <alignment horizontal="right"/>
    </xf>
    <xf numFmtId="247" fontId="17" fillId="0" borderId="318" xfId="0" applyNumberFormat="1" applyFont="1" applyBorder="1" applyAlignment="1">
      <alignment horizontal="center"/>
    </xf>
    <xf numFmtId="208" fontId="17" fillId="0" borderId="318" xfId="0" applyNumberFormat="1" applyFont="1" applyBorder="1" applyAlignment="1">
      <alignment horizontal="right"/>
    </xf>
    <xf numFmtId="2" fontId="17" fillId="0" borderId="0" xfId="0" applyNumberFormat="1" applyFont="1" applyAlignment="1">
      <alignment horizontal="right"/>
    </xf>
    <xf numFmtId="0" fontId="23" fillId="0" borderId="325" xfId="0" applyFont="1" applyBorder="1" applyAlignment="1" applyProtection="1">
      <alignment horizontal="center"/>
      <protection locked="0"/>
    </xf>
    <xf numFmtId="0" fontId="17" fillId="0" borderId="283" xfId="0" applyFont="1" applyBorder="1"/>
    <xf numFmtId="226" fontId="17" fillId="0" borderId="280" xfId="0" applyNumberFormat="1" applyFont="1" applyBorder="1" applyAlignment="1">
      <alignment horizontal="center"/>
    </xf>
    <xf numFmtId="303" fontId="17" fillId="0" borderId="297" xfId="0" applyNumberFormat="1" applyFont="1" applyBorder="1"/>
    <xf numFmtId="0" fontId="17" fillId="0" borderId="297" xfId="0" applyFont="1" applyBorder="1"/>
    <xf numFmtId="0" fontId="17" fillId="0" borderId="144" xfId="0" applyFont="1" applyBorder="1" applyAlignment="1">
      <alignment horizontal="right"/>
    </xf>
    <xf numFmtId="222" fontId="17" fillId="0" borderId="0" xfId="0" applyNumberFormat="1" applyFont="1" applyAlignment="1">
      <alignment horizontal="center"/>
    </xf>
    <xf numFmtId="177" fontId="17" fillId="0" borderId="318" xfId="0" applyNumberFormat="1" applyFont="1" applyBorder="1"/>
    <xf numFmtId="0" fontId="17" fillId="0" borderId="318" xfId="0" applyFont="1" applyBorder="1"/>
    <xf numFmtId="3" fontId="17" fillId="0" borderId="144" xfId="0" applyNumberFormat="1" applyFont="1" applyBorder="1" applyAlignment="1">
      <alignment horizontal="right"/>
    </xf>
    <xf numFmtId="0" fontId="17" fillId="0" borderId="319" xfId="0" applyFont="1" applyBorder="1" applyAlignment="1">
      <alignment horizontal="right"/>
    </xf>
    <xf numFmtId="222" fontId="17" fillId="0" borderId="320" xfId="0" applyNumberFormat="1" applyFont="1" applyBorder="1" applyAlignment="1">
      <alignment horizontal="center"/>
    </xf>
    <xf numFmtId="3" fontId="17" fillId="0" borderId="320" xfId="0" applyNumberFormat="1" applyFont="1" applyBorder="1" applyAlignment="1">
      <alignment horizontal="center"/>
    </xf>
    <xf numFmtId="43" fontId="17" fillId="48" borderId="321" xfId="0" applyNumberFormat="1" applyFont="1" applyFill="1" applyBorder="1"/>
    <xf numFmtId="0" fontId="17" fillId="0" borderId="321" xfId="0" applyFont="1" applyBorder="1"/>
    <xf numFmtId="216" fontId="17" fillId="0" borderId="267" xfId="50" applyNumberFormat="1" applyBorder="1"/>
    <xf numFmtId="222" fontId="17" fillId="0" borderId="267" xfId="50" applyNumberFormat="1" applyBorder="1"/>
    <xf numFmtId="261" fontId="17" fillId="0" borderId="267" xfId="50" applyNumberFormat="1" applyBorder="1"/>
    <xf numFmtId="217" fontId="17" fillId="0" borderId="267" xfId="50" applyNumberFormat="1" applyBorder="1"/>
    <xf numFmtId="262" fontId="17" fillId="0" borderId="267" xfId="50" applyNumberFormat="1" applyBorder="1"/>
    <xf numFmtId="304" fontId="17" fillId="0" borderId="267" xfId="0" applyNumberFormat="1" applyFont="1" applyBorder="1" applyAlignment="1">
      <alignment horizontal="center"/>
    </xf>
    <xf numFmtId="305" fontId="17" fillId="0" borderId="271" xfId="0" applyNumberFormat="1" applyFont="1" applyBorder="1"/>
    <xf numFmtId="203" fontId="17" fillId="0" borderId="318" xfId="0" applyNumberFormat="1" applyFont="1" applyBorder="1" applyAlignment="1">
      <alignment horizontal="left"/>
    </xf>
    <xf numFmtId="203" fontId="17" fillId="0" borderId="318" xfId="0" applyNumberFormat="1" applyFont="1" applyBorder="1" applyAlignment="1">
      <alignment horizontal="center"/>
    </xf>
    <xf numFmtId="306" fontId="17" fillId="0" borderId="0" xfId="0" applyNumberFormat="1" applyFont="1"/>
    <xf numFmtId="307" fontId="17" fillId="0" borderId="0" xfId="0" applyNumberFormat="1" applyFont="1"/>
    <xf numFmtId="0" fontId="160" fillId="46" borderId="0" xfId="77" applyFont="1" applyFill="1" applyAlignment="1" applyProtection="1">
      <alignment horizontal="center"/>
      <protection locked="0"/>
    </xf>
    <xf numFmtId="0" fontId="173" fillId="0" borderId="0" xfId="48" applyFont="1" applyAlignment="1">
      <alignment vertical="center"/>
    </xf>
    <xf numFmtId="0" fontId="173" fillId="0" borderId="0" xfId="48" applyFont="1" applyAlignment="1">
      <alignment horizontal="left" vertical="center"/>
    </xf>
    <xf numFmtId="0" fontId="199" fillId="0" borderId="0" xfId="48" applyFont="1" applyAlignment="1">
      <alignment horizontal="center" vertical="center"/>
    </xf>
    <xf numFmtId="0" fontId="208" fillId="0" borderId="0" xfId="48" applyFont="1" applyAlignment="1">
      <alignment vertical="center"/>
    </xf>
    <xf numFmtId="0" fontId="37" fillId="0" borderId="0" xfId="48" applyFont="1"/>
    <xf numFmtId="0" fontId="209" fillId="0" borderId="0" xfId="48" applyFont="1" applyAlignment="1">
      <alignment vertical="center"/>
    </xf>
    <xf numFmtId="0" fontId="37" fillId="0" borderId="0" xfId="48" applyFont="1" applyAlignment="1">
      <alignment vertical="center"/>
    </xf>
    <xf numFmtId="167" fontId="208" fillId="0" borderId="0" xfId="48" applyNumberFormat="1" applyFont="1" applyAlignment="1">
      <alignment vertical="center"/>
    </xf>
    <xf numFmtId="0" fontId="173" fillId="68" borderId="196" xfId="48" applyFont="1" applyFill="1" applyBorder="1" applyAlignment="1">
      <alignment horizontal="center" vertical="center"/>
    </xf>
    <xf numFmtId="0" fontId="173" fillId="0" borderId="320" xfId="48" applyFont="1" applyBorder="1" applyAlignment="1">
      <alignment vertical="center"/>
    </xf>
    <xf numFmtId="0" fontId="173" fillId="0" borderId="0" xfId="48" applyFont="1" applyAlignment="1">
      <alignment horizontal="center" vertical="center"/>
    </xf>
    <xf numFmtId="0" fontId="199" fillId="0" borderId="0" xfId="48" applyFont="1" applyAlignment="1">
      <alignment horizontal="right" vertical="center"/>
    </xf>
    <xf numFmtId="14" fontId="173" fillId="68" borderId="320" xfId="48" applyNumberFormat="1" applyFont="1" applyFill="1" applyBorder="1" applyAlignment="1" applyProtection="1">
      <alignment horizontal="left" vertical="center"/>
      <protection locked="0"/>
    </xf>
    <xf numFmtId="14" fontId="173" fillId="68" borderId="320" xfId="48" quotePrefix="1" applyNumberFormat="1" applyFont="1" applyFill="1" applyBorder="1" applyAlignment="1" applyProtection="1">
      <alignment horizontal="left" vertical="center"/>
      <protection locked="0"/>
    </xf>
    <xf numFmtId="204" fontId="173" fillId="68" borderId="286" xfId="48" applyNumberFormat="1" applyFont="1" applyFill="1" applyBorder="1" applyAlignment="1" applyProtection="1">
      <alignment vertical="center"/>
      <protection locked="0"/>
    </xf>
    <xf numFmtId="0" fontId="173" fillId="68" borderId="286" xfId="48" applyFont="1" applyFill="1" applyBorder="1" applyAlignment="1" applyProtection="1">
      <alignment vertical="center"/>
      <protection locked="0"/>
    </xf>
    <xf numFmtId="14" fontId="173" fillId="0" borderId="0" xfId="48" quotePrefix="1" applyNumberFormat="1" applyFont="1" applyAlignment="1">
      <alignment horizontal="center" vertical="center"/>
    </xf>
    <xf numFmtId="0" fontId="173" fillId="68" borderId="286" xfId="48" applyFont="1" applyFill="1" applyBorder="1" applyAlignment="1" applyProtection="1">
      <alignment horizontal="left" vertical="center"/>
      <protection locked="0"/>
    </xf>
    <xf numFmtId="14" fontId="199" fillId="68" borderId="320" xfId="48" applyNumberFormat="1" applyFont="1" applyFill="1" applyBorder="1" applyAlignment="1" applyProtection="1">
      <alignment horizontal="left" vertical="center"/>
      <protection locked="0"/>
    </xf>
    <xf numFmtId="14" fontId="199" fillId="68" borderId="320" xfId="48" quotePrefix="1" applyNumberFormat="1" applyFont="1" applyFill="1" applyBorder="1" applyAlignment="1" applyProtection="1">
      <alignment horizontal="left" vertical="center"/>
      <protection locked="0"/>
    </xf>
    <xf numFmtId="0" fontId="173" fillId="68" borderId="320" xfId="48" applyFont="1" applyFill="1" applyBorder="1" applyAlignment="1" applyProtection="1">
      <alignment horizontal="left" vertical="center"/>
      <protection locked="0"/>
    </xf>
    <xf numFmtId="0" fontId="173" fillId="0" borderId="0" xfId="48" applyFont="1" applyAlignment="1">
      <alignment horizontal="right" vertical="center"/>
    </xf>
    <xf numFmtId="15" fontId="210" fillId="68" borderId="320" xfId="48" applyNumberFormat="1" applyFont="1" applyFill="1" applyBorder="1" applyAlignment="1" applyProtection="1">
      <alignment vertical="center"/>
      <protection locked="0"/>
    </xf>
    <xf numFmtId="15" fontId="199" fillId="68" borderId="320" xfId="48" applyNumberFormat="1" applyFont="1" applyFill="1" applyBorder="1" applyAlignment="1" applyProtection="1">
      <alignment vertical="center"/>
      <protection locked="0"/>
    </xf>
    <xf numFmtId="309" fontId="173" fillId="68" borderId="320" xfId="94" applyNumberFormat="1" applyFont="1" applyFill="1" applyBorder="1" applyAlignment="1" applyProtection="1">
      <alignment horizontal="center" vertical="center"/>
      <protection locked="0"/>
    </xf>
    <xf numFmtId="0" fontId="173" fillId="68" borderId="320" xfId="48" applyFont="1" applyFill="1" applyBorder="1" applyAlignment="1" applyProtection="1">
      <alignment vertical="center"/>
      <protection locked="0"/>
    </xf>
    <xf numFmtId="177" fontId="173" fillId="68" borderId="280" xfId="83" applyNumberFormat="1" applyFont="1" applyFill="1" applyBorder="1" applyAlignment="1" applyProtection="1">
      <alignment vertical="center"/>
      <protection locked="0"/>
    </xf>
    <xf numFmtId="0" fontId="173" fillId="68" borderId="280" xfId="48" applyFont="1" applyFill="1" applyBorder="1" applyAlignment="1" applyProtection="1">
      <alignment vertical="center"/>
      <protection locked="0"/>
    </xf>
    <xf numFmtId="0" fontId="173" fillId="68" borderId="280" xfId="48" applyFont="1" applyFill="1" applyBorder="1" applyAlignment="1" applyProtection="1">
      <alignment horizontal="right" vertical="center"/>
      <protection locked="0"/>
    </xf>
    <xf numFmtId="0" fontId="173" fillId="68" borderId="320" xfId="48" applyFont="1" applyFill="1" applyBorder="1" applyAlignment="1" applyProtection="1">
      <alignment horizontal="right" vertical="center"/>
      <protection locked="0"/>
    </xf>
    <xf numFmtId="0" fontId="199" fillId="0" borderId="0" xfId="48" applyFont="1" applyAlignment="1">
      <alignment vertical="center"/>
    </xf>
    <xf numFmtId="309" fontId="173" fillId="0" borderId="0" xfId="94" applyNumberFormat="1" applyFont="1" applyFill="1" applyAlignment="1">
      <alignment horizontal="center" vertical="center"/>
    </xf>
    <xf numFmtId="167" fontId="173" fillId="0" borderId="196" xfId="94" applyNumberFormat="1" applyFont="1" applyFill="1" applyBorder="1" applyAlignment="1">
      <alignment horizontal="center" vertical="center"/>
    </xf>
    <xf numFmtId="309" fontId="173" fillId="0" borderId="0" xfId="94" applyNumberFormat="1" applyFont="1" applyFill="1" applyBorder="1" applyAlignment="1">
      <alignment horizontal="center" vertical="center"/>
    </xf>
    <xf numFmtId="167" fontId="173" fillId="0" borderId="196" xfId="48" applyNumberFormat="1" applyFont="1" applyBorder="1" applyAlignment="1">
      <alignment horizontal="center" vertical="center"/>
    </xf>
    <xf numFmtId="0" fontId="173" fillId="0" borderId="276" xfId="48" applyFont="1" applyBorder="1" applyAlignment="1">
      <alignment vertical="center"/>
    </xf>
    <xf numFmtId="0" fontId="173" fillId="0" borderId="276" xfId="48" applyFont="1" applyBorder="1" applyAlignment="1">
      <alignment horizontal="center" vertical="center"/>
    </xf>
    <xf numFmtId="3" fontId="173" fillId="0" borderId="225" xfId="48" applyNumberFormat="1" applyFont="1" applyBorder="1" applyAlignment="1">
      <alignment horizontal="center" vertical="center"/>
    </xf>
    <xf numFmtId="173" fontId="173" fillId="0" borderId="0" xfId="48" applyNumberFormat="1" applyFont="1" applyAlignment="1">
      <alignment horizontal="center" vertical="center"/>
    </xf>
    <xf numFmtId="2" fontId="173" fillId="0" borderId="0" xfId="81" applyNumberFormat="1" applyFont="1" applyAlignment="1" applyProtection="1">
      <alignment vertical="center"/>
      <protection locked="0"/>
    </xf>
    <xf numFmtId="43" fontId="173" fillId="0" borderId="0" xfId="48" applyNumberFormat="1" applyFont="1" applyAlignment="1">
      <alignment horizontal="right" vertical="center"/>
    </xf>
    <xf numFmtId="310" fontId="199" fillId="0" borderId="0" xfId="48" applyNumberFormat="1" applyFont="1" applyAlignment="1">
      <alignment horizontal="center" vertical="center"/>
    </xf>
    <xf numFmtId="0" fontId="173" fillId="0" borderId="196" xfId="48" applyFont="1" applyBorder="1" applyAlignment="1">
      <alignment vertical="center"/>
    </xf>
    <xf numFmtId="0" fontId="173" fillId="0" borderId="196" xfId="48" applyFont="1" applyBorder="1" applyAlignment="1">
      <alignment horizontal="center" vertical="center"/>
    </xf>
    <xf numFmtId="0" fontId="146" fillId="0" borderId="0" xfId="48" applyFont="1" applyAlignment="1" applyProtection="1">
      <alignment vertical="center"/>
      <protection locked="0"/>
    </xf>
    <xf numFmtId="301" fontId="173" fillId="0" borderId="0" xfId="48" applyNumberFormat="1" applyFont="1" applyAlignment="1" applyProtection="1">
      <alignment vertical="center"/>
      <protection locked="0"/>
    </xf>
    <xf numFmtId="311" fontId="173" fillId="0" borderId="0" xfId="48" applyNumberFormat="1" applyFont="1" applyAlignment="1" applyProtection="1">
      <alignment vertical="center"/>
      <protection locked="0"/>
    </xf>
    <xf numFmtId="0" fontId="214" fillId="51" borderId="196" xfId="48" applyFont="1" applyFill="1" applyBorder="1" applyAlignment="1">
      <alignment horizontal="center" vertical="center" wrapText="1"/>
    </xf>
    <xf numFmtId="312" fontId="173" fillId="64" borderId="196" xfId="48" applyNumberFormat="1" applyFont="1" applyFill="1" applyBorder="1" applyAlignment="1" applyProtection="1">
      <alignment vertical="center"/>
      <protection locked="0"/>
    </xf>
    <xf numFmtId="301" fontId="173" fillId="0" borderId="196" xfId="48" applyNumberFormat="1" applyFont="1" applyBorder="1" applyAlignment="1">
      <alignment vertical="center"/>
    </xf>
    <xf numFmtId="0" fontId="146" fillId="0" borderId="0" xfId="48" applyFont="1" applyAlignment="1" applyProtection="1">
      <alignment horizontal="right" vertical="center"/>
      <protection locked="0"/>
    </xf>
    <xf numFmtId="0" fontId="173" fillId="0" borderId="0" xfId="48" applyFont="1" applyAlignment="1" applyProtection="1">
      <alignment horizontal="right" vertical="center"/>
      <protection locked="0"/>
    </xf>
    <xf numFmtId="313" fontId="173" fillId="68" borderId="196" xfId="48" applyNumberFormat="1" applyFont="1" applyFill="1" applyBorder="1" applyAlignment="1">
      <alignment horizontal="center" vertical="center"/>
    </xf>
    <xf numFmtId="314" fontId="215" fillId="32" borderId="196" xfId="95" applyNumberFormat="1" applyFont="1" applyFill="1" applyBorder="1" applyAlignment="1">
      <alignment horizontal="center" vertical="center"/>
    </xf>
    <xf numFmtId="0" fontId="215" fillId="0" borderId="0" xfId="48" applyFont="1" applyAlignment="1">
      <alignment vertical="center"/>
    </xf>
    <xf numFmtId="0" fontId="216" fillId="0" borderId="0" xfId="48" applyFont="1" applyAlignment="1" applyProtection="1">
      <alignment vertical="center"/>
      <protection locked="0"/>
    </xf>
    <xf numFmtId="309" fontId="217" fillId="0" borderId="0" xfId="94" applyNumberFormat="1" applyFont="1" applyFill="1" applyBorder="1" applyAlignment="1">
      <alignment horizontal="center" vertical="center"/>
    </xf>
    <xf numFmtId="0" fontId="217" fillId="0" borderId="0" xfId="48" applyFont="1" applyAlignment="1">
      <alignment horizontal="center" vertical="center"/>
    </xf>
    <xf numFmtId="0" fontId="173" fillId="48" borderId="0" xfId="48" applyFont="1" applyFill="1" applyAlignment="1" applyProtection="1">
      <alignment horizontal="right" vertical="center"/>
      <protection locked="0"/>
    </xf>
    <xf numFmtId="9" fontId="212" fillId="0" borderId="0" xfId="79" applyFont="1" applyAlignment="1">
      <alignment horizontal="center" vertical="center"/>
    </xf>
    <xf numFmtId="0" fontId="173" fillId="0" borderId="0" xfId="48" applyFont="1" applyAlignment="1" applyProtection="1">
      <alignment horizontal="center" vertical="center"/>
      <protection locked="0"/>
    </xf>
    <xf numFmtId="167" fontId="173" fillId="0" borderId="0" xfId="48" applyNumberFormat="1" applyFont="1" applyAlignment="1">
      <alignment horizontal="center" vertical="center"/>
    </xf>
    <xf numFmtId="0" fontId="217" fillId="0" borderId="0" xfId="48" applyFont="1" applyAlignment="1">
      <alignment vertical="center"/>
    </xf>
    <xf numFmtId="309" fontId="173" fillId="0" borderId="196" xfId="48" applyNumberFormat="1" applyFont="1" applyBorder="1" applyAlignment="1">
      <alignment vertical="center"/>
    </xf>
    <xf numFmtId="0" fontId="217" fillId="0" borderId="0" xfId="48" applyFont="1" applyAlignment="1">
      <alignment horizontal="right" vertical="center"/>
    </xf>
    <xf numFmtId="310" fontId="217" fillId="0" borderId="0" xfId="48" applyNumberFormat="1" applyFont="1" applyAlignment="1">
      <alignment horizontal="center" vertical="center"/>
    </xf>
    <xf numFmtId="309" fontId="199" fillId="32" borderId="196" xfId="48" applyNumberFormat="1" applyFont="1" applyFill="1" applyBorder="1" applyAlignment="1">
      <alignment horizontal="center" vertical="center"/>
    </xf>
    <xf numFmtId="301" fontId="173" fillId="68" borderId="196" xfId="48" applyNumberFormat="1" applyFont="1" applyFill="1" applyBorder="1" applyAlignment="1" applyProtection="1">
      <alignment vertical="center"/>
      <protection locked="0"/>
    </xf>
    <xf numFmtId="301" fontId="173" fillId="0" borderId="0" xfId="48" applyNumberFormat="1" applyFont="1" applyAlignment="1">
      <alignment vertical="center"/>
    </xf>
    <xf numFmtId="310" fontId="173" fillId="0" borderId="0" xfId="48" applyNumberFormat="1" applyFont="1" applyAlignment="1">
      <alignment vertical="center"/>
    </xf>
    <xf numFmtId="309" fontId="173" fillId="68" borderId="196" xfId="48" applyNumberFormat="1" applyFont="1" applyFill="1" applyBorder="1" applyAlignment="1" applyProtection="1">
      <alignment horizontal="center" vertical="center"/>
      <protection locked="0"/>
    </xf>
    <xf numFmtId="214" fontId="173" fillId="0" borderId="0" xfId="48" applyNumberFormat="1" applyFont="1" applyAlignment="1">
      <alignment vertical="center"/>
    </xf>
    <xf numFmtId="43" fontId="173" fillId="0" borderId="0" xfId="48" applyNumberFormat="1" applyFont="1" applyAlignment="1">
      <alignment vertical="center"/>
    </xf>
    <xf numFmtId="170" fontId="173" fillId="0" borderId="0" xfId="48" applyNumberFormat="1" applyFont="1" applyAlignment="1">
      <alignment horizontal="center" vertical="center"/>
    </xf>
    <xf numFmtId="0" fontId="199" fillId="0" borderId="225" xfId="48" applyFont="1" applyBorder="1" applyAlignment="1">
      <alignment horizontal="left" vertical="center"/>
    </xf>
    <xf numFmtId="0" fontId="173" fillId="0" borderId="286" xfId="48" applyFont="1" applyBorder="1" applyAlignment="1">
      <alignment horizontal="left" vertical="center"/>
    </xf>
    <xf numFmtId="0" fontId="173" fillId="0" borderId="286" xfId="48" applyFont="1" applyBorder="1" applyAlignment="1">
      <alignment vertical="center"/>
    </xf>
    <xf numFmtId="0" fontId="173" fillId="0" borderId="286" xfId="48" applyFont="1" applyBorder="1" applyAlignment="1">
      <alignment horizontal="right" vertical="center"/>
    </xf>
    <xf numFmtId="309" fontId="173" fillId="0" borderId="196" xfId="48" applyNumberFormat="1" applyFont="1" applyBorder="1" applyAlignment="1">
      <alignment horizontal="center" vertical="center"/>
    </xf>
    <xf numFmtId="0" fontId="199" fillId="0" borderId="0" xfId="48" applyFont="1" applyAlignment="1">
      <alignment horizontal="left" vertical="center"/>
    </xf>
    <xf numFmtId="0" fontId="218" fillId="0" borderId="326" xfId="48" applyFont="1" applyBorder="1" applyAlignment="1">
      <alignment vertical="center"/>
    </xf>
    <xf numFmtId="0" fontId="173" fillId="0" borderId="326" xfId="48" applyFont="1" applyBorder="1" applyAlignment="1">
      <alignment vertical="center"/>
    </xf>
    <xf numFmtId="0" fontId="173" fillId="0" borderId="326" xfId="48" applyFont="1" applyBorder="1" applyAlignment="1">
      <alignment horizontal="right" vertical="center"/>
    </xf>
    <xf numFmtId="309" fontId="173" fillId="0" borderId="326" xfId="94" applyNumberFormat="1" applyFont="1" applyFill="1" applyBorder="1" applyAlignment="1">
      <alignment horizontal="center" vertical="center"/>
    </xf>
    <xf numFmtId="0" fontId="218" fillId="0" borderId="0" xfId="48" applyFont="1" applyAlignment="1">
      <alignment vertical="center"/>
    </xf>
    <xf numFmtId="174" fontId="173" fillId="0" borderId="0" xfId="48" applyNumberFormat="1" applyFont="1" applyAlignment="1">
      <alignment horizontal="center" vertical="center"/>
    </xf>
    <xf numFmtId="174" fontId="173" fillId="0" borderId="0" xfId="94" applyNumberFormat="1" applyFont="1" applyFill="1" applyBorder="1" applyAlignment="1">
      <alignment horizontal="center" vertical="center"/>
    </xf>
    <xf numFmtId="0" fontId="173" fillId="0" borderId="0" xfId="48" quotePrefix="1" applyFont="1" applyAlignment="1">
      <alignment vertical="center"/>
    </xf>
    <xf numFmtId="301" fontId="173" fillId="0" borderId="0" xfId="48" applyNumberFormat="1" applyFont="1" applyAlignment="1">
      <alignment horizontal="right" vertical="center"/>
    </xf>
    <xf numFmtId="309" fontId="173" fillId="0" borderId="0" xfId="94" applyNumberFormat="1" applyFont="1" applyFill="1" applyBorder="1" applyAlignment="1">
      <alignment vertical="center"/>
    </xf>
    <xf numFmtId="43" fontId="173" fillId="0" borderId="0" xfId="94" applyNumberFormat="1" applyFont="1" applyFill="1" applyBorder="1" applyAlignment="1">
      <alignment vertical="center"/>
    </xf>
    <xf numFmtId="0" fontId="173" fillId="0" borderId="16" xfId="48" applyFont="1" applyBorder="1" applyAlignment="1">
      <alignment horizontal="center" vertical="center"/>
    </xf>
    <xf numFmtId="0" fontId="173" fillId="0" borderId="225" xfId="48" applyFont="1" applyBorder="1" applyAlignment="1">
      <alignment horizontal="center" vertical="center"/>
    </xf>
    <xf numFmtId="170" fontId="173" fillId="0" borderId="196" xfId="48" applyNumberFormat="1" applyFont="1" applyBorder="1" applyAlignment="1">
      <alignment horizontal="center" vertical="center"/>
    </xf>
    <xf numFmtId="309" fontId="173" fillId="0" borderId="196" xfId="94" applyNumberFormat="1" applyFont="1" applyFill="1" applyBorder="1" applyAlignment="1">
      <alignment vertical="center"/>
    </xf>
    <xf numFmtId="315" fontId="173" fillId="0" borderId="196" xfId="94" applyNumberFormat="1" applyFont="1" applyFill="1" applyBorder="1" applyAlignment="1">
      <alignment vertical="center"/>
    </xf>
    <xf numFmtId="309" fontId="173" fillId="0" borderId="196" xfId="94" applyNumberFormat="1" applyFont="1" applyFill="1" applyBorder="1" applyAlignment="1">
      <alignment horizontal="center" vertical="center"/>
    </xf>
    <xf numFmtId="170" fontId="199" fillId="0" borderId="224" xfId="48" applyNumberFormat="1" applyFont="1" applyBorder="1" applyAlignment="1">
      <alignment horizontal="center" vertical="center"/>
    </xf>
    <xf numFmtId="309" fontId="199" fillId="0" borderId="224" xfId="94" applyNumberFormat="1" applyFont="1" applyFill="1" applyBorder="1" applyAlignment="1">
      <alignment vertical="center"/>
    </xf>
    <xf numFmtId="309" fontId="199" fillId="0" borderId="0" xfId="94" applyNumberFormat="1" applyFont="1" applyFill="1" applyBorder="1" applyAlignment="1">
      <alignment vertical="center"/>
    </xf>
    <xf numFmtId="309" fontId="199" fillId="0" borderId="224" xfId="94" applyNumberFormat="1" applyFont="1" applyFill="1" applyBorder="1" applyAlignment="1">
      <alignment horizontal="center" vertical="center"/>
    </xf>
    <xf numFmtId="0" fontId="219" fillId="0" borderId="0" xfId="48" applyFont="1" applyAlignment="1">
      <alignment vertical="center"/>
    </xf>
    <xf numFmtId="167" fontId="173" fillId="0" borderId="0" xfId="48" applyNumberFormat="1" applyFont="1" applyAlignment="1">
      <alignment vertical="center"/>
    </xf>
    <xf numFmtId="43" fontId="173" fillId="0" borderId="0" xfId="96" applyFont="1" applyFill="1" applyBorder="1" applyAlignment="1">
      <alignment vertical="center"/>
    </xf>
    <xf numFmtId="43" fontId="173" fillId="0" borderId="0" xfId="48" applyNumberFormat="1" applyFont="1" applyAlignment="1">
      <alignment horizontal="center" vertical="center"/>
    </xf>
    <xf numFmtId="309" fontId="173" fillId="0" borderId="0" xfId="95" applyNumberFormat="1" applyFont="1" applyFill="1" applyBorder="1" applyAlignment="1">
      <alignment horizontal="center" vertical="center"/>
    </xf>
    <xf numFmtId="0" fontId="173" fillId="0" borderId="32" xfId="48" applyFont="1" applyBorder="1" applyAlignment="1">
      <alignment horizontal="center" vertical="center"/>
    </xf>
    <xf numFmtId="170" fontId="173" fillId="0" borderId="32" xfId="48" applyNumberFormat="1" applyFont="1" applyBorder="1" applyAlignment="1">
      <alignment horizontal="center" vertical="center"/>
    </xf>
    <xf numFmtId="43" fontId="173" fillId="0" borderId="32" xfId="96" applyFont="1" applyFill="1" applyBorder="1" applyAlignment="1">
      <alignment vertical="center"/>
    </xf>
    <xf numFmtId="44" fontId="173" fillId="0" borderId="32" xfId="95" applyFont="1" applyFill="1" applyBorder="1" applyAlignment="1">
      <alignment horizontal="center" vertical="center"/>
    </xf>
    <xf numFmtId="309" fontId="173" fillId="0" borderId="32" xfId="94" applyNumberFormat="1" applyFont="1" applyFill="1" applyBorder="1" applyAlignment="1">
      <alignment horizontal="center" vertical="center"/>
    </xf>
    <xf numFmtId="309" fontId="173" fillId="0" borderId="32" xfId="94" applyNumberFormat="1" applyFont="1" applyFill="1" applyBorder="1" applyAlignment="1">
      <alignment vertical="center"/>
    </xf>
    <xf numFmtId="43" fontId="173" fillId="0" borderId="32" xfId="48" applyNumberFormat="1" applyFont="1" applyBorder="1" applyAlignment="1">
      <alignment horizontal="center" vertical="center"/>
    </xf>
    <xf numFmtId="43" fontId="173" fillId="0" borderId="276" xfId="48" applyNumberFormat="1" applyFont="1" applyBorder="1" applyAlignment="1">
      <alignment horizontal="center" vertical="center"/>
    </xf>
    <xf numFmtId="0" fontId="173" fillId="0" borderId="224" xfId="48" applyFont="1" applyBorder="1" applyAlignment="1">
      <alignment horizontal="center" vertical="center"/>
    </xf>
    <xf numFmtId="170" fontId="173" fillId="0" borderId="224" xfId="48" applyNumberFormat="1" applyFont="1" applyBorder="1" applyAlignment="1">
      <alignment horizontal="center" vertical="center"/>
    </xf>
    <xf numFmtId="44" fontId="173" fillId="0" borderId="224" xfId="95" applyFont="1" applyFill="1" applyBorder="1" applyAlignment="1">
      <alignment horizontal="center" vertical="center"/>
    </xf>
    <xf numFmtId="41" fontId="173" fillId="0" borderId="32" xfId="48" applyNumberFormat="1" applyFont="1" applyBorder="1" applyAlignment="1">
      <alignment horizontal="center" vertical="center"/>
    </xf>
    <xf numFmtId="41" fontId="173" fillId="0" borderId="224" xfId="48" applyNumberFormat="1" applyFont="1" applyBorder="1" applyAlignment="1">
      <alignment horizontal="center" vertical="center"/>
    </xf>
    <xf numFmtId="41" fontId="173" fillId="0" borderId="313" xfId="48" applyNumberFormat="1" applyFont="1" applyBorder="1" applyAlignment="1">
      <alignment horizontal="center" vertical="center"/>
    </xf>
    <xf numFmtId="0" fontId="173" fillId="0" borderId="313" xfId="48" applyFont="1" applyBorder="1" applyAlignment="1">
      <alignment horizontal="center" vertical="center"/>
    </xf>
    <xf numFmtId="170" fontId="173" fillId="0" borderId="313" xfId="48" applyNumberFormat="1" applyFont="1" applyBorder="1" applyAlignment="1">
      <alignment horizontal="center" vertical="center"/>
    </xf>
    <xf numFmtId="44" fontId="173" fillId="0" borderId="313" xfId="95" applyFont="1" applyFill="1" applyBorder="1" applyAlignment="1">
      <alignment horizontal="center" vertical="center"/>
    </xf>
    <xf numFmtId="41" fontId="173" fillId="0" borderId="196" xfId="48" applyNumberFormat="1" applyFont="1" applyBorder="1" applyAlignment="1">
      <alignment horizontal="center" vertical="center"/>
    </xf>
    <xf numFmtId="44" fontId="173" fillId="0" borderId="196" xfId="95" applyFont="1" applyFill="1" applyBorder="1" applyAlignment="1">
      <alignment horizontal="center" vertical="center"/>
    </xf>
    <xf numFmtId="41" fontId="173" fillId="0" borderId="196" xfId="48" applyNumberFormat="1" applyFont="1" applyBorder="1" applyAlignment="1">
      <alignment horizontal="right" vertical="center"/>
    </xf>
    <xf numFmtId="0" fontId="173" fillId="0" borderId="196" xfId="48" quotePrefix="1" applyFont="1" applyBorder="1" applyAlignment="1">
      <alignment horizontal="center" vertical="center"/>
    </xf>
    <xf numFmtId="41" fontId="173" fillId="0" borderId="0" xfId="48" applyNumberFormat="1" applyFont="1" applyAlignment="1">
      <alignment horizontal="right" vertical="center"/>
    </xf>
    <xf numFmtId="0" fontId="173" fillId="0" borderId="0" xfId="48" quotePrefix="1" applyFont="1" applyAlignment="1">
      <alignment horizontal="center" vertical="center"/>
    </xf>
    <xf numFmtId="309" fontId="199" fillId="0" borderId="0" xfId="94" applyNumberFormat="1" applyFont="1" applyFill="1" applyBorder="1" applyAlignment="1">
      <alignment horizontal="right" vertical="center"/>
    </xf>
    <xf numFmtId="301" fontId="199" fillId="0" borderId="0" xfId="48" applyNumberFormat="1" applyFont="1" applyAlignment="1">
      <alignment horizontal="center" vertical="center"/>
    </xf>
    <xf numFmtId="43" fontId="199" fillId="0" borderId="0" xfId="48" applyNumberFormat="1" applyFont="1" applyAlignment="1">
      <alignment horizontal="center" vertical="center"/>
    </xf>
    <xf numFmtId="309" fontId="199" fillId="0" borderId="224" xfId="95" applyNumberFormat="1" applyFont="1" applyFill="1" applyBorder="1" applyAlignment="1">
      <alignment horizontal="center" vertical="center"/>
    </xf>
    <xf numFmtId="309" fontId="199" fillId="0" borderId="196" xfId="94" applyNumberFormat="1" applyFont="1" applyFill="1" applyBorder="1" applyAlignment="1">
      <alignment horizontal="center" vertical="center"/>
    </xf>
    <xf numFmtId="0" fontId="220" fillId="0" borderId="0" xfId="48" applyFont="1" applyAlignment="1">
      <alignment vertical="center"/>
    </xf>
    <xf numFmtId="0" fontId="220" fillId="0" borderId="0" xfId="48" applyFont="1" applyAlignment="1">
      <alignment horizontal="center" vertical="center"/>
    </xf>
    <xf numFmtId="309" fontId="220" fillId="0" borderId="0" xfId="94" applyNumberFormat="1" applyFont="1" applyFill="1" applyBorder="1" applyAlignment="1">
      <alignment horizontal="center" vertical="center"/>
    </xf>
    <xf numFmtId="0" fontId="173" fillId="0" borderId="320" xfId="48" applyFont="1" applyBorder="1" applyAlignment="1">
      <alignment horizontal="center" vertical="center"/>
    </xf>
    <xf numFmtId="0" fontId="17" fillId="0" borderId="320" xfId="48" applyBorder="1" applyAlignment="1">
      <alignment horizontal="center" vertical="center"/>
    </xf>
    <xf numFmtId="309" fontId="173" fillId="0" borderId="320" xfId="94" applyNumberFormat="1" applyFont="1" applyFill="1" applyBorder="1" applyAlignment="1">
      <alignment horizontal="center" vertical="center"/>
    </xf>
    <xf numFmtId="0" fontId="217" fillId="0" borderId="196" xfId="48" applyFont="1" applyBorder="1" applyAlignment="1">
      <alignment vertical="center"/>
    </xf>
    <xf numFmtId="0" fontId="173" fillId="0" borderId="225" xfId="48" applyFont="1" applyBorder="1" applyAlignment="1">
      <alignment horizontal="center" vertical="center" wrapText="1"/>
    </xf>
    <xf numFmtId="0" fontId="173" fillId="0" borderId="286" xfId="48" applyFont="1" applyBorder="1" applyAlignment="1">
      <alignment horizontal="center" vertical="center" wrapText="1"/>
    </xf>
    <xf numFmtId="0" fontId="173" fillId="0" borderId="227" xfId="48" applyFont="1" applyBorder="1" applyAlignment="1">
      <alignment horizontal="center" vertical="center" wrapText="1"/>
    </xf>
    <xf numFmtId="313" fontId="173" fillId="0" borderId="196" xfId="48" applyNumberFormat="1" applyFont="1" applyBorder="1" applyAlignment="1">
      <alignment horizontal="center" vertical="center"/>
    </xf>
    <xf numFmtId="309" fontId="173" fillId="0" borderId="227" xfId="94" applyNumberFormat="1" applyFont="1" applyFill="1" applyBorder="1" applyAlignment="1">
      <alignment vertical="center"/>
    </xf>
    <xf numFmtId="309" fontId="173" fillId="0" borderId="225" xfId="95" applyNumberFormat="1" applyFont="1" applyFill="1" applyBorder="1" applyAlignment="1">
      <alignment vertical="center"/>
    </xf>
    <xf numFmtId="0" fontId="217" fillId="0" borderId="276" xfId="48" applyFont="1" applyBorder="1" applyAlignment="1">
      <alignment vertical="center"/>
    </xf>
    <xf numFmtId="0" fontId="215" fillId="0" borderId="276" xfId="48" applyFont="1" applyBorder="1" applyAlignment="1">
      <alignment vertical="center"/>
    </xf>
    <xf numFmtId="170" fontId="173" fillId="0" borderId="276" xfId="48" applyNumberFormat="1" applyFont="1" applyBorder="1" applyAlignment="1">
      <alignment horizontal="center" vertical="center"/>
    </xf>
    <xf numFmtId="313" fontId="173" fillId="0" borderId="276" xfId="48" applyNumberFormat="1" applyFont="1" applyBorder="1" applyAlignment="1">
      <alignment horizontal="center" vertical="center"/>
    </xf>
    <xf numFmtId="0" fontId="215" fillId="0" borderId="196" xfId="48" applyFont="1" applyBorder="1" applyAlignment="1">
      <alignment vertical="center"/>
    </xf>
    <xf numFmtId="0" fontId="17" fillId="0" borderId="196" xfId="48" applyBorder="1" applyAlignment="1">
      <alignment horizontal="center"/>
    </xf>
    <xf numFmtId="167" fontId="17" fillId="0" borderId="196" xfId="48" applyNumberFormat="1" applyBorder="1" applyAlignment="1">
      <alignment horizontal="center"/>
    </xf>
    <xf numFmtId="309" fontId="173" fillId="0" borderId="0" xfId="95" applyNumberFormat="1" applyFont="1" applyFill="1" applyBorder="1" applyAlignment="1">
      <alignment vertical="center"/>
    </xf>
    <xf numFmtId="0" fontId="173" fillId="0" borderId="327" xfId="48" applyFont="1" applyBorder="1" applyAlignment="1">
      <alignment vertical="center"/>
    </xf>
    <xf numFmtId="309" fontId="173" fillId="0" borderId="327" xfId="94" applyNumberFormat="1" applyFont="1" applyFill="1" applyBorder="1" applyAlignment="1">
      <alignment horizontal="center" vertical="center"/>
    </xf>
    <xf numFmtId="314" fontId="173" fillId="0" borderId="0" xfId="48" applyNumberFormat="1" applyFont="1" applyAlignment="1">
      <alignment vertical="center"/>
    </xf>
    <xf numFmtId="316" fontId="221" fillId="0" borderId="0" xfId="97" applyFont="1" applyAlignment="1">
      <alignment horizontal="center" vertical="center"/>
    </xf>
    <xf numFmtId="9" fontId="173" fillId="68" borderId="196" xfId="94" applyNumberFormat="1" applyFont="1" applyFill="1" applyBorder="1" applyAlignment="1" applyProtection="1">
      <alignment horizontal="center" vertical="center"/>
      <protection locked="0"/>
    </xf>
    <xf numFmtId="9" fontId="173" fillId="68" borderId="227" xfId="94" applyNumberFormat="1" applyFont="1" applyFill="1" applyBorder="1" applyAlignment="1" applyProtection="1">
      <alignment horizontal="center" vertical="center"/>
      <protection locked="0"/>
    </xf>
    <xf numFmtId="0" fontId="173" fillId="0" borderId="0" xfId="48" applyFont="1" applyAlignment="1">
      <alignment vertical="center" wrapText="1"/>
    </xf>
    <xf numFmtId="316" fontId="221" fillId="69" borderId="0" xfId="97" applyFont="1" applyFill="1" applyAlignment="1">
      <alignment horizontal="center" vertical="center"/>
    </xf>
    <xf numFmtId="0" fontId="173" fillId="68" borderId="196" xfId="48" applyFont="1" applyFill="1" applyBorder="1" applyAlignment="1" applyProtection="1">
      <alignment vertical="center" wrapText="1"/>
      <protection locked="0"/>
    </xf>
    <xf numFmtId="170" fontId="173" fillId="68" borderId="196" xfId="48" applyNumberFormat="1" applyFont="1" applyFill="1" applyBorder="1" applyAlignment="1" applyProtection="1">
      <alignment horizontal="center" vertical="center"/>
      <protection locked="0"/>
    </xf>
    <xf numFmtId="313" fontId="173" fillId="68" borderId="196" xfId="48" applyNumberFormat="1" applyFont="1" applyFill="1" applyBorder="1" applyAlignment="1" applyProtection="1">
      <alignment horizontal="right" vertical="center"/>
      <protection locked="0"/>
    </xf>
    <xf numFmtId="167" fontId="173" fillId="64" borderId="196" xfId="48" applyNumberFormat="1" applyFont="1" applyFill="1" applyBorder="1" applyAlignment="1" applyProtection="1">
      <alignment horizontal="center" vertical="center"/>
      <protection locked="0"/>
    </xf>
    <xf numFmtId="309" fontId="173" fillId="0" borderId="225" xfId="94" applyNumberFormat="1" applyFont="1" applyFill="1" applyBorder="1" applyAlignment="1">
      <alignment vertical="center"/>
    </xf>
    <xf numFmtId="309" fontId="173" fillId="0" borderId="276" xfId="94" applyNumberFormat="1" applyFont="1" applyFill="1" applyBorder="1" applyAlignment="1">
      <alignment horizontal="center" vertical="center"/>
    </xf>
    <xf numFmtId="309" fontId="173" fillId="0" borderId="0" xfId="48" applyNumberFormat="1" applyFont="1" applyAlignment="1">
      <alignment vertical="center"/>
    </xf>
    <xf numFmtId="170" fontId="221" fillId="68" borderId="286" xfId="48" applyNumberFormat="1" applyFont="1" applyFill="1" applyBorder="1" applyAlignment="1" applyProtection="1">
      <alignment vertical="center" wrapText="1"/>
      <protection locked="0"/>
    </xf>
    <xf numFmtId="170" fontId="221" fillId="68" borderId="227" xfId="48" applyNumberFormat="1" applyFont="1" applyFill="1" applyBorder="1" applyAlignment="1" applyProtection="1">
      <alignment vertical="center" wrapText="1"/>
      <protection locked="0"/>
    </xf>
    <xf numFmtId="170" fontId="221" fillId="68" borderId="227" xfId="48" applyNumberFormat="1" applyFont="1" applyFill="1" applyBorder="1" applyAlignment="1" applyProtection="1">
      <alignment horizontal="right" vertical="center" wrapText="1"/>
      <protection locked="0"/>
    </xf>
    <xf numFmtId="167" fontId="173" fillId="68" borderId="196" xfId="48" applyNumberFormat="1" applyFont="1" applyFill="1" applyBorder="1" applyAlignment="1" applyProtection="1">
      <alignment horizontal="center" vertical="center"/>
      <protection locked="0"/>
    </xf>
    <xf numFmtId="170" fontId="221" fillId="68" borderId="225" xfId="48" applyNumberFormat="1" applyFont="1" applyFill="1" applyBorder="1" applyAlignment="1" applyProtection="1">
      <alignment horizontal="left" vertical="center" wrapText="1"/>
      <protection locked="0"/>
    </xf>
    <xf numFmtId="2" fontId="199" fillId="0" borderId="0" xfId="48" applyNumberFormat="1" applyFont="1" applyAlignment="1">
      <alignment vertical="center"/>
    </xf>
    <xf numFmtId="0" fontId="199" fillId="0" borderId="318" xfId="48" applyFont="1" applyBorder="1" applyAlignment="1">
      <alignment horizontal="right" vertical="center"/>
    </xf>
    <xf numFmtId="309" fontId="199" fillId="0" borderId="320" xfId="94" applyNumberFormat="1" applyFont="1" applyFill="1" applyBorder="1" applyAlignment="1">
      <alignment vertical="center"/>
    </xf>
    <xf numFmtId="309" fontId="199" fillId="41" borderId="37" xfId="94" applyNumberFormat="1" applyFont="1" applyFill="1" applyBorder="1" applyAlignment="1">
      <alignment horizontal="center" vertical="center"/>
    </xf>
    <xf numFmtId="309" fontId="199" fillId="69" borderId="0" xfId="94" applyNumberFormat="1" applyFont="1" applyFill="1" applyBorder="1" applyAlignment="1">
      <alignment vertical="center"/>
    </xf>
    <xf numFmtId="0" fontId="173" fillId="69" borderId="326" xfId="48" applyFont="1" applyFill="1" applyBorder="1" applyAlignment="1">
      <alignment vertical="center"/>
    </xf>
    <xf numFmtId="309" fontId="173" fillId="69" borderId="326" xfId="94" applyNumberFormat="1" applyFont="1" applyFill="1" applyBorder="1" applyAlignment="1">
      <alignment horizontal="center" vertical="center"/>
    </xf>
    <xf numFmtId="0" fontId="173" fillId="69" borderId="327" xfId="48" applyFont="1" applyFill="1" applyBorder="1" applyAlignment="1">
      <alignment vertical="center"/>
    </xf>
    <xf numFmtId="309" fontId="173" fillId="69" borderId="327" xfId="94" applyNumberFormat="1" applyFont="1" applyFill="1" applyBorder="1" applyAlignment="1">
      <alignment horizontal="center" vertical="center"/>
    </xf>
    <xf numFmtId="170" fontId="173" fillId="69" borderId="0" xfId="48" applyNumberFormat="1" applyFont="1" applyFill="1" applyAlignment="1">
      <alignment horizontal="center" vertical="center"/>
    </xf>
    <xf numFmtId="0" fontId="173" fillId="69" borderId="0" xfId="48" applyFont="1" applyFill="1" applyAlignment="1">
      <alignment vertical="center"/>
    </xf>
    <xf numFmtId="309" fontId="173" fillId="69" borderId="0" xfId="94" applyNumberFormat="1" applyFont="1" applyFill="1" applyBorder="1" applyAlignment="1">
      <alignment horizontal="center" vertical="center"/>
    </xf>
    <xf numFmtId="174" fontId="173" fillId="69" borderId="0" xfId="48" applyNumberFormat="1" applyFont="1" applyFill="1" applyAlignment="1">
      <alignment horizontal="center" vertical="center"/>
    </xf>
    <xf numFmtId="0" fontId="173" fillId="69" borderId="0" xfId="48" quotePrefix="1" applyFont="1" applyFill="1" applyAlignment="1">
      <alignment vertical="center"/>
    </xf>
    <xf numFmtId="0" fontId="173" fillId="0" borderId="225" xfId="48" applyFont="1" applyBorder="1" applyAlignment="1">
      <alignment vertical="center"/>
    </xf>
    <xf numFmtId="0" fontId="173" fillId="0" borderId="227" xfId="48" applyFont="1" applyBorder="1" applyAlignment="1">
      <alignment vertical="center"/>
    </xf>
    <xf numFmtId="301" fontId="173" fillId="0" borderId="196" xfId="48" applyNumberFormat="1" applyFont="1" applyBorder="1" applyAlignment="1">
      <alignment horizontal="right" vertical="center"/>
    </xf>
    <xf numFmtId="0" fontId="173" fillId="0" borderId="318" xfId="48" applyFont="1" applyBorder="1" applyAlignment="1">
      <alignment vertical="center"/>
    </xf>
    <xf numFmtId="309" fontId="173" fillId="69" borderId="196" xfId="94" applyNumberFormat="1" applyFont="1" applyFill="1" applyBorder="1" applyAlignment="1">
      <alignment vertical="center"/>
    </xf>
    <xf numFmtId="309" fontId="173" fillId="69" borderId="0" xfId="94" applyNumberFormat="1" applyFont="1" applyFill="1" applyBorder="1" applyAlignment="1">
      <alignment vertical="center"/>
    </xf>
    <xf numFmtId="309" fontId="173" fillId="69" borderId="276" xfId="94" applyNumberFormat="1" applyFont="1" applyFill="1" applyBorder="1" applyAlignment="1">
      <alignment horizontal="center" vertical="center"/>
    </xf>
    <xf numFmtId="301" fontId="173" fillId="0" borderId="276" xfId="48" applyNumberFormat="1" applyFont="1" applyBorder="1" applyAlignment="1">
      <alignment horizontal="right" vertical="center"/>
    </xf>
    <xf numFmtId="0" fontId="173" fillId="0" borderId="225" xfId="48" applyFont="1" applyBorder="1"/>
    <xf numFmtId="0" fontId="173" fillId="0" borderId="286" xfId="48" applyFont="1" applyBorder="1"/>
    <xf numFmtId="0" fontId="173" fillId="0" borderId="227" xfId="48" applyFont="1" applyBorder="1"/>
    <xf numFmtId="170" fontId="173" fillId="0" borderId="276" xfId="48" applyNumberFormat="1" applyFont="1" applyBorder="1" applyAlignment="1">
      <alignment horizontal="center"/>
    </xf>
    <xf numFmtId="301" fontId="173" fillId="0" borderId="276" xfId="48" applyNumberFormat="1" applyFont="1" applyBorder="1" applyAlignment="1">
      <alignment horizontal="right"/>
    </xf>
    <xf numFmtId="309" fontId="173" fillId="0" borderId="283" xfId="94" applyNumberFormat="1" applyFont="1" applyFill="1" applyBorder="1" applyAlignment="1">
      <alignment vertical="center"/>
    </xf>
    <xf numFmtId="309" fontId="173" fillId="69" borderId="32" xfId="94" applyNumberFormat="1" applyFont="1" applyFill="1" applyBorder="1" applyAlignment="1">
      <alignment vertical="center"/>
    </xf>
    <xf numFmtId="170" fontId="199" fillId="0" borderId="0" xfId="48" applyNumberFormat="1" applyFont="1" applyAlignment="1">
      <alignment horizontal="center" vertical="center"/>
    </xf>
    <xf numFmtId="309" fontId="199" fillId="0" borderId="37" xfId="94" applyNumberFormat="1" applyFont="1" applyFill="1" applyBorder="1" applyAlignment="1">
      <alignment vertical="center"/>
    </xf>
    <xf numFmtId="309" fontId="199" fillId="0" borderId="118" xfId="94" applyNumberFormat="1" applyFont="1" applyFill="1" applyBorder="1" applyAlignment="1">
      <alignment vertical="center"/>
    </xf>
    <xf numFmtId="309" fontId="199" fillId="41" borderId="118" xfId="94" applyNumberFormat="1" applyFont="1" applyFill="1" applyBorder="1" applyAlignment="1">
      <alignment vertical="center"/>
    </xf>
    <xf numFmtId="309" fontId="199" fillId="69" borderId="313" xfId="94" applyNumberFormat="1" applyFont="1" applyFill="1" applyBorder="1" applyAlignment="1">
      <alignment vertical="center"/>
    </xf>
    <xf numFmtId="309" fontId="199" fillId="69" borderId="318" xfId="94" applyNumberFormat="1" applyFont="1" applyFill="1" applyBorder="1" applyAlignment="1">
      <alignment vertical="center"/>
    </xf>
    <xf numFmtId="309" fontId="199" fillId="41" borderId="117" xfId="94" applyNumberFormat="1" applyFont="1" applyFill="1" applyBorder="1" applyAlignment="1">
      <alignment horizontal="center" vertical="center"/>
    </xf>
    <xf numFmtId="170" fontId="199" fillId="0" borderId="196" xfId="48" applyNumberFormat="1" applyFont="1" applyBorder="1" applyAlignment="1">
      <alignment horizontal="center" vertical="center"/>
    </xf>
    <xf numFmtId="309" fontId="199" fillId="0" borderId="0" xfId="94" applyNumberFormat="1" applyFont="1" applyFill="1" applyBorder="1" applyAlignment="1">
      <alignment horizontal="center" vertical="center"/>
    </xf>
    <xf numFmtId="0" fontId="199" fillId="69" borderId="0" xfId="48" applyFont="1" applyFill="1" applyAlignment="1">
      <alignment vertical="center"/>
    </xf>
    <xf numFmtId="309" fontId="199" fillId="69" borderId="0" xfId="94" applyNumberFormat="1" applyFont="1" applyFill="1" applyAlignment="1">
      <alignment horizontal="center" vertical="center"/>
    </xf>
    <xf numFmtId="309" fontId="173" fillId="0" borderId="196" xfId="94" applyNumberFormat="1" applyFont="1" applyFill="1" applyBorder="1" applyAlignment="1">
      <alignment horizontal="right" vertical="center"/>
    </xf>
    <xf numFmtId="309" fontId="173" fillId="69" borderId="313" xfId="94" applyNumberFormat="1" applyFont="1" applyFill="1" applyBorder="1" applyAlignment="1">
      <alignment vertical="center"/>
    </xf>
    <xf numFmtId="309" fontId="173" fillId="0" borderId="32" xfId="94" applyNumberFormat="1" applyFont="1" applyFill="1" applyBorder="1" applyAlignment="1">
      <alignment horizontal="right" vertical="center"/>
    </xf>
    <xf numFmtId="309" fontId="173" fillId="69" borderId="0" xfId="94" applyNumberFormat="1" applyFont="1" applyFill="1" applyAlignment="1">
      <alignment vertical="center"/>
    </xf>
    <xf numFmtId="309" fontId="199" fillId="41" borderId="196" xfId="94" applyNumberFormat="1" applyFont="1" applyFill="1" applyBorder="1" applyAlignment="1">
      <alignment vertical="center"/>
    </xf>
    <xf numFmtId="309" fontId="199" fillId="41" borderId="37" xfId="94" applyNumberFormat="1" applyFont="1" applyFill="1" applyBorder="1" applyAlignment="1">
      <alignment vertical="center"/>
    </xf>
    <xf numFmtId="170" fontId="215" fillId="0" borderId="0" xfId="48" applyNumberFormat="1" applyFont="1" applyAlignment="1">
      <alignment vertical="center"/>
    </xf>
    <xf numFmtId="170" fontId="173" fillId="0" borderId="0" xfId="48" applyNumberFormat="1" applyFont="1" applyAlignment="1">
      <alignment vertical="center"/>
    </xf>
    <xf numFmtId="10" fontId="173" fillId="68" borderId="225" xfId="48" applyNumberFormat="1" applyFont="1" applyFill="1" applyBorder="1" applyAlignment="1" applyProtection="1">
      <alignment vertical="center"/>
      <protection locked="0"/>
    </xf>
    <xf numFmtId="10" fontId="173" fillId="68" borderId="196" xfId="48" applyNumberFormat="1" applyFont="1" applyFill="1" applyBorder="1" applyAlignment="1" applyProtection="1">
      <alignment vertical="center"/>
      <protection locked="0"/>
    </xf>
    <xf numFmtId="170" fontId="173" fillId="0" borderId="320" xfId="48" applyNumberFormat="1" applyFont="1" applyBorder="1" applyAlignment="1">
      <alignment horizontal="center" vertical="center"/>
    </xf>
    <xf numFmtId="170" fontId="17" fillId="0" borderId="320" xfId="48" applyNumberFormat="1" applyBorder="1" applyAlignment="1">
      <alignment horizontal="center" vertical="center"/>
    </xf>
    <xf numFmtId="0" fontId="173" fillId="68" borderId="196" xfId="48" applyFont="1" applyFill="1" applyBorder="1" applyAlignment="1" applyProtection="1">
      <alignment horizontal="center" vertical="center"/>
      <protection locked="0"/>
    </xf>
    <xf numFmtId="1" fontId="173" fillId="68" borderId="196" xfId="48" applyNumberFormat="1" applyFont="1" applyFill="1" applyBorder="1" applyAlignment="1" applyProtection="1">
      <alignment horizontal="center" vertical="center"/>
      <protection locked="0"/>
    </xf>
    <xf numFmtId="314" fontId="173" fillId="68" borderId="196" xfId="98" applyNumberFormat="1" applyFont="1" applyFill="1" applyBorder="1" applyAlignment="1" applyProtection="1">
      <alignment horizontal="center" vertical="center"/>
      <protection locked="0"/>
    </xf>
    <xf numFmtId="214" fontId="173" fillId="0" borderId="225" xfId="94" applyNumberFormat="1" applyFont="1" applyFill="1" applyBorder="1" applyAlignment="1">
      <alignment vertical="center"/>
    </xf>
    <xf numFmtId="309" fontId="173" fillId="0" borderId="313" xfId="94" applyNumberFormat="1" applyFont="1" applyFill="1" applyBorder="1" applyAlignment="1">
      <alignment vertical="center"/>
    </xf>
    <xf numFmtId="314" fontId="221" fillId="68" borderId="196" xfId="98" applyNumberFormat="1" applyFont="1" applyFill="1" applyBorder="1" applyAlignment="1" applyProtection="1">
      <alignment horizontal="center" vertical="center"/>
      <protection locked="0"/>
    </xf>
    <xf numFmtId="170" fontId="17" fillId="68" borderId="196" xfId="48" applyNumberFormat="1" applyFill="1" applyBorder="1" applyAlignment="1" applyProtection="1">
      <alignment horizontal="center" vertical="center"/>
      <protection locked="0"/>
    </xf>
    <xf numFmtId="167" fontId="221" fillId="68" borderId="196" xfId="48" applyNumberFormat="1" applyFont="1" applyFill="1" applyBorder="1" applyAlignment="1" applyProtection="1">
      <alignment horizontal="center" vertical="center"/>
      <protection locked="0"/>
    </xf>
    <xf numFmtId="309" fontId="199" fillId="0" borderId="318" xfId="94" applyNumberFormat="1" applyFont="1" applyFill="1" applyBorder="1" applyAlignment="1">
      <alignment vertical="center"/>
    </xf>
    <xf numFmtId="174" fontId="173" fillId="68" borderId="196" xfId="48" applyNumberFormat="1" applyFont="1" applyFill="1" applyBorder="1" applyAlignment="1" applyProtection="1">
      <alignment horizontal="center" vertical="center"/>
      <protection locked="0"/>
    </xf>
    <xf numFmtId="0" fontId="223" fillId="0" borderId="0" xfId="48" applyFont="1" applyAlignment="1">
      <alignment vertical="center" wrapText="1"/>
    </xf>
    <xf numFmtId="314" fontId="173" fillId="68" borderId="196" xfId="95" applyNumberFormat="1" applyFont="1" applyFill="1" applyBorder="1" applyAlignment="1" applyProtection="1">
      <alignment horizontal="center" vertical="center"/>
      <protection locked="0"/>
    </xf>
    <xf numFmtId="309" fontId="173" fillId="68" borderId="227" xfId="95" applyNumberFormat="1" applyFont="1" applyFill="1" applyBorder="1" applyAlignment="1" applyProtection="1">
      <alignment vertical="center"/>
      <protection locked="0"/>
    </xf>
    <xf numFmtId="0" fontId="173" fillId="0" borderId="227" xfId="48" applyFont="1" applyBorder="1" applyAlignment="1" applyProtection="1">
      <alignment vertical="center"/>
      <protection locked="0"/>
    </xf>
    <xf numFmtId="309" fontId="199" fillId="0" borderId="20" xfId="94" applyNumberFormat="1" applyFont="1" applyFill="1" applyBorder="1" applyAlignment="1">
      <alignment vertical="center"/>
    </xf>
    <xf numFmtId="309" fontId="199" fillId="25" borderId="37" xfId="94" applyNumberFormat="1" applyFont="1" applyFill="1" applyBorder="1" applyAlignment="1">
      <alignment vertical="center"/>
    </xf>
    <xf numFmtId="0" fontId="173" fillId="27" borderId="0" xfId="48" applyFont="1" applyFill="1" applyAlignment="1">
      <alignment horizontal="center" vertical="center"/>
    </xf>
    <xf numFmtId="0" fontId="224" fillId="27" borderId="0" xfId="48" applyFont="1" applyFill="1" applyAlignment="1">
      <alignment horizontal="left" vertical="center"/>
    </xf>
    <xf numFmtId="0" fontId="224" fillId="0" borderId="327" xfId="48" applyFont="1" applyBorder="1" applyAlignment="1">
      <alignment vertical="center"/>
    </xf>
    <xf numFmtId="0" fontId="224" fillId="27" borderId="0" xfId="48" applyFont="1" applyFill="1" applyAlignment="1">
      <alignment vertical="center"/>
    </xf>
    <xf numFmtId="0" fontId="224" fillId="27" borderId="0" xfId="48" applyFont="1" applyFill="1" applyAlignment="1">
      <alignment vertical="center" wrapText="1"/>
    </xf>
    <xf numFmtId="0" fontId="215" fillId="0" borderId="0" xfId="48" applyFont="1" applyAlignment="1">
      <alignment vertical="center" wrapText="1"/>
    </xf>
    <xf numFmtId="0" fontId="210" fillId="0" borderId="0" xfId="48" applyFont="1" applyAlignment="1">
      <alignment vertical="center"/>
    </xf>
    <xf numFmtId="0" fontId="17" fillId="0" borderId="0" xfId="48" applyAlignment="1" applyProtection="1">
      <alignment vertical="center" wrapText="1"/>
      <protection locked="0"/>
    </xf>
    <xf numFmtId="0" fontId="173" fillId="0" borderId="0" xfId="48" applyFont="1" applyAlignment="1" applyProtection="1">
      <alignment vertical="center"/>
      <protection locked="0"/>
    </xf>
    <xf numFmtId="309" fontId="173" fillId="0" borderId="0" xfId="94" applyNumberFormat="1" applyFont="1" applyAlignment="1" applyProtection="1">
      <alignment horizontal="center" vertical="center"/>
      <protection locked="0"/>
    </xf>
    <xf numFmtId="0" fontId="225" fillId="0" borderId="0" xfId="48" applyFont="1" applyAlignment="1">
      <alignment vertical="center" wrapText="1"/>
    </xf>
    <xf numFmtId="0" fontId="226" fillId="0" borderId="0" xfId="48" applyFont="1" applyAlignment="1">
      <alignment horizontal="center" vertical="center"/>
    </xf>
    <xf numFmtId="309" fontId="173" fillId="0" borderId="0" xfId="94" applyNumberFormat="1" applyFont="1" applyAlignment="1">
      <alignment horizontal="center" vertical="center"/>
    </xf>
    <xf numFmtId="0" fontId="214" fillId="0" borderId="0" xfId="48" applyFont="1" applyAlignment="1">
      <alignment horizontal="center" vertical="center"/>
    </xf>
    <xf numFmtId="0" fontId="212" fillId="0" borderId="0" xfId="48" applyFont="1" applyAlignment="1">
      <alignment vertical="center"/>
    </xf>
    <xf numFmtId="0" fontId="212" fillId="0" borderId="0" xfId="48" applyFont="1" applyAlignment="1">
      <alignment horizontal="right" vertical="center"/>
    </xf>
    <xf numFmtId="174" fontId="212" fillId="0" borderId="0" xfId="48" applyNumberFormat="1" applyFont="1" applyAlignment="1">
      <alignment horizontal="left" vertical="center"/>
    </xf>
    <xf numFmtId="317" fontId="173" fillId="68" borderId="320" xfId="48" applyNumberFormat="1" applyFont="1" applyFill="1" applyBorder="1" applyAlignment="1" applyProtection="1">
      <alignment horizontal="left" vertical="center"/>
      <protection locked="0"/>
    </xf>
    <xf numFmtId="170" fontId="221" fillId="68" borderId="286" xfId="48" applyNumberFormat="1" applyFont="1" applyFill="1" applyBorder="1" applyAlignment="1" applyProtection="1">
      <alignment horizontal="left" vertical="center" wrapText="1"/>
      <protection locked="0"/>
    </xf>
    <xf numFmtId="170" fontId="221" fillId="68" borderId="227" xfId="48" applyNumberFormat="1" applyFont="1" applyFill="1" applyBorder="1" applyAlignment="1" applyProtection="1">
      <alignment horizontal="left" vertical="center" wrapText="1"/>
      <protection locked="0"/>
    </xf>
    <xf numFmtId="0" fontId="58" fillId="0" borderId="0" xfId="59" applyFont="1" applyProtection="1">
      <protection hidden="1"/>
    </xf>
    <xf numFmtId="3" fontId="58" fillId="0" borderId="0" xfId="0" applyNumberFormat="1" applyFont="1" applyAlignment="1" applyProtection="1">
      <alignment horizontal="right"/>
      <protection hidden="1"/>
    </xf>
    <xf numFmtId="3" fontId="58" fillId="0" borderId="0" xfId="59" applyNumberFormat="1" applyFont="1" applyProtection="1">
      <protection hidden="1"/>
    </xf>
    <xf numFmtId="3" fontId="58" fillId="0" borderId="0" xfId="0" applyNumberFormat="1" applyFont="1" applyProtection="1">
      <protection hidden="1"/>
    </xf>
    <xf numFmtId="173" fontId="58" fillId="0" borderId="0" xfId="59" applyNumberFormat="1" applyFont="1" applyProtection="1">
      <protection hidden="1"/>
    </xf>
    <xf numFmtId="239" fontId="58" fillId="0" borderId="0" xfId="59" applyNumberFormat="1" applyFont="1" applyProtection="1">
      <protection hidden="1"/>
    </xf>
    <xf numFmtId="0" fontId="58" fillId="0" borderId="0" xfId="0" applyFont="1" applyAlignment="1" applyProtection="1">
      <alignment horizontal="right"/>
      <protection hidden="1"/>
    </xf>
    <xf numFmtId="0" fontId="58" fillId="0" borderId="0" xfId="0" applyFont="1" applyProtection="1">
      <protection hidden="1"/>
    </xf>
    <xf numFmtId="239" fontId="131" fillId="0" borderId="0" xfId="0" applyNumberFormat="1" applyFont="1" applyProtection="1">
      <protection hidden="1"/>
    </xf>
    <xf numFmtId="239" fontId="131" fillId="0" borderId="0" xfId="59" applyNumberFormat="1" applyFont="1" applyProtection="1">
      <protection hidden="1"/>
    </xf>
    <xf numFmtId="167" fontId="131" fillId="0" borderId="0" xfId="0" applyNumberFormat="1" applyFont="1" applyAlignment="1" applyProtection="1">
      <alignment horizontal="center"/>
      <protection hidden="1"/>
    </xf>
    <xf numFmtId="0" fontId="131" fillId="0" borderId="0" xfId="0" applyFont="1" applyProtection="1">
      <protection hidden="1"/>
    </xf>
    <xf numFmtId="0" fontId="96" fillId="0" borderId="0" xfId="0" applyFont="1" applyProtection="1">
      <protection locked="0"/>
    </xf>
    <xf numFmtId="3" fontId="49" fillId="45" borderId="0" xfId="28" applyNumberFormat="1" applyFont="1" applyFill="1" applyBorder="1" applyAlignment="1">
      <alignment horizontal="center"/>
    </xf>
    <xf numFmtId="0" fontId="49" fillId="45" borderId="0" xfId="0" applyFont="1" applyFill="1" applyAlignment="1">
      <alignment horizontal="left"/>
    </xf>
    <xf numFmtId="0" fontId="131" fillId="32" borderId="0" xfId="0" applyFont="1" applyFill="1" applyAlignment="1">
      <alignment horizontal="center"/>
    </xf>
    <xf numFmtId="3" fontId="58" fillId="0" borderId="0" xfId="0" applyNumberFormat="1" applyFont="1" applyAlignment="1">
      <alignment horizontal="left"/>
    </xf>
    <xf numFmtId="3" fontId="58" fillId="26" borderId="18" xfId="0" applyNumberFormat="1" applyFont="1" applyFill="1" applyBorder="1" applyAlignment="1" applyProtection="1">
      <alignment horizontal="center"/>
      <protection locked="0"/>
    </xf>
    <xf numFmtId="3" fontId="58" fillId="0" borderId="0" xfId="0" applyNumberFormat="1" applyFont="1" applyAlignment="1" applyProtection="1">
      <alignment horizontal="center"/>
      <protection hidden="1"/>
    </xf>
    <xf numFmtId="3" fontId="58" fillId="26" borderId="18" xfId="0" applyNumberFormat="1" applyFont="1" applyFill="1" applyBorder="1" applyAlignment="1" applyProtection="1">
      <alignment horizontal="center"/>
      <protection hidden="1"/>
    </xf>
    <xf numFmtId="3" fontId="58" fillId="0" borderId="0" xfId="0" applyNumberFormat="1" applyFont="1" applyAlignment="1" applyProtection="1">
      <alignment horizontal="left"/>
      <protection hidden="1"/>
    </xf>
    <xf numFmtId="9" fontId="58" fillId="26" borderId="18" xfId="67" applyFont="1" applyFill="1" applyBorder="1" applyAlignment="1" applyProtection="1">
      <alignment horizontal="center"/>
      <protection hidden="1"/>
    </xf>
    <xf numFmtId="0" fontId="96" fillId="29" borderId="0" xfId="0" applyFont="1" applyFill="1" applyProtection="1">
      <protection locked="0"/>
    </xf>
    <xf numFmtId="0" fontId="96" fillId="29" borderId="0" xfId="0" applyFont="1" applyFill="1"/>
    <xf numFmtId="0" fontId="17" fillId="29" borderId="0" xfId="0" applyFont="1" applyFill="1"/>
    <xf numFmtId="168" fontId="58" fillId="0" borderId="0" xfId="31" applyNumberFormat="1" applyFont="1" applyBorder="1" applyAlignment="1">
      <alignment horizontal="center"/>
    </xf>
    <xf numFmtId="168" fontId="58" fillId="0" borderId="0" xfId="31" applyNumberFormat="1" applyFont="1" applyBorder="1" applyAlignment="1">
      <alignment horizontal="left"/>
    </xf>
    <xf numFmtId="3" fontId="131" fillId="0" borderId="0" xfId="0" applyNumberFormat="1" applyFont="1" applyProtection="1">
      <protection hidden="1"/>
    </xf>
    <xf numFmtId="0" fontId="173" fillId="0" borderId="225" xfId="94" applyNumberFormat="1" applyFont="1" applyFill="1" applyBorder="1" applyAlignment="1">
      <alignment vertical="center"/>
    </xf>
    <xf numFmtId="0" fontId="173" fillId="0" borderId="276" xfId="94" applyNumberFormat="1" applyFont="1" applyFill="1" applyBorder="1" applyAlignment="1">
      <alignment horizontal="center" vertical="center"/>
    </xf>
    <xf numFmtId="166" fontId="17" fillId="0" borderId="0" xfId="28" applyFont="1" applyFill="1" applyProtection="1">
      <protection hidden="1"/>
    </xf>
    <xf numFmtId="310" fontId="17" fillId="0" borderId="0" xfId="28" applyNumberFormat="1" applyFont="1" applyFill="1" applyProtection="1">
      <protection hidden="1"/>
    </xf>
    <xf numFmtId="261" fontId="17" fillId="0" borderId="280" xfId="0" applyNumberFormat="1" applyFont="1" applyBorder="1" applyAlignment="1">
      <alignment vertical="center"/>
    </xf>
    <xf numFmtId="297" fontId="17" fillId="0" borderId="280" xfId="0" applyNumberFormat="1" applyFont="1" applyBorder="1" applyAlignment="1">
      <alignment vertical="center"/>
    </xf>
    <xf numFmtId="178" fontId="17" fillId="0" borderId="280" xfId="0" applyNumberFormat="1" applyFont="1" applyBorder="1" applyAlignment="1">
      <alignment horizontal="center"/>
    </xf>
    <xf numFmtId="195" fontId="17" fillId="0" borderId="280" xfId="0" applyNumberFormat="1" applyFont="1" applyBorder="1"/>
    <xf numFmtId="205" fontId="17" fillId="0" borderId="280" xfId="0" applyNumberFormat="1" applyFont="1" applyBorder="1"/>
    <xf numFmtId="0" fontId="49" fillId="0" borderId="0" xfId="48" applyFont="1" applyAlignment="1">
      <alignment horizontal="center" vertical="center"/>
    </xf>
    <xf numFmtId="1" fontId="17" fillId="0" borderId="0" xfId="48" applyNumberFormat="1" applyAlignment="1">
      <alignment horizontal="center"/>
    </xf>
    <xf numFmtId="170" fontId="17" fillId="0" borderId="0" xfId="48" applyNumberFormat="1" applyAlignment="1">
      <alignment horizontal="center"/>
    </xf>
    <xf numFmtId="0" fontId="17" fillId="59" borderId="0" xfId="0" applyFont="1" applyFill="1" applyAlignment="1">
      <alignment horizontal="center" vertical="center"/>
    </xf>
    <xf numFmtId="0" fontId="17" fillId="0" borderId="276" xfId="0" applyFont="1" applyBorder="1" applyAlignment="1">
      <alignment horizontal="center" vertical="center" wrapText="1"/>
    </xf>
    <xf numFmtId="4" fontId="17" fillId="0" borderId="280" xfId="0" applyNumberFormat="1" applyFont="1" applyBorder="1"/>
    <xf numFmtId="4" fontId="17" fillId="0" borderId="320" xfId="0" applyNumberFormat="1" applyFont="1" applyBorder="1"/>
    <xf numFmtId="177" fontId="17" fillId="0" borderId="280" xfId="33" applyNumberFormat="1" applyFont="1" applyFill="1" applyBorder="1" applyAlignment="1">
      <alignment horizontal="center"/>
    </xf>
    <xf numFmtId="177" fontId="17" fillId="0" borderId="320" xfId="33" applyNumberFormat="1" applyFont="1" applyFill="1" applyBorder="1" applyAlignment="1">
      <alignment horizontal="center"/>
    </xf>
    <xf numFmtId="261" fontId="17" fillId="0" borderId="282" xfId="0" applyNumberFormat="1" applyFont="1" applyBorder="1" applyAlignment="1">
      <alignment vertical="center"/>
    </xf>
    <xf numFmtId="297" fontId="17" fillId="0" borderId="282" xfId="0" applyNumberFormat="1" applyFont="1" applyBorder="1" applyAlignment="1">
      <alignment vertical="center"/>
    </xf>
    <xf numFmtId="178" fontId="17" fillId="0" borderId="282" xfId="0" applyNumberFormat="1" applyFont="1" applyBorder="1" applyAlignment="1">
      <alignment horizontal="center"/>
    </xf>
    <xf numFmtId="195" fontId="17" fillId="0" borderId="282" xfId="0" applyNumberFormat="1" applyFont="1" applyBorder="1"/>
    <xf numFmtId="205" fontId="17" fillId="0" borderId="282" xfId="0" applyNumberFormat="1" applyFont="1" applyBorder="1"/>
    <xf numFmtId="4" fontId="17" fillId="0" borderId="282" xfId="0" applyNumberFormat="1" applyFont="1" applyBorder="1"/>
    <xf numFmtId="178" fontId="17" fillId="0" borderId="143" xfId="0" applyNumberFormat="1" applyFont="1" applyBorder="1"/>
    <xf numFmtId="9" fontId="14" fillId="0" borderId="332" xfId="64" applyFont="1" applyFill="1" applyBorder="1" applyAlignment="1" applyProtection="1">
      <alignment horizontal="center"/>
      <protection locked="0"/>
    </xf>
    <xf numFmtId="9" fontId="14" fillId="0" borderId="333" xfId="64" applyFont="1" applyFill="1" applyBorder="1" applyAlignment="1" applyProtection="1">
      <alignment horizontal="center"/>
      <protection locked="0"/>
    </xf>
    <xf numFmtId="168" fontId="14" fillId="0" borderId="332" xfId="28" applyNumberFormat="1" applyFont="1" applyFill="1" applyBorder="1" applyAlignment="1" applyProtection="1">
      <alignment horizontal="center"/>
      <protection locked="0"/>
    </xf>
    <xf numFmtId="0" fontId="14" fillId="0" borderId="332" xfId="64" applyNumberFormat="1" applyFont="1" applyFill="1" applyBorder="1" applyAlignment="1" applyProtection="1">
      <alignment horizontal="center"/>
      <protection locked="0"/>
    </xf>
    <xf numFmtId="174" fontId="163" fillId="0" borderId="0" xfId="79" applyNumberFormat="1" applyFont="1" applyFill="1" applyBorder="1" applyAlignment="1" applyProtection="1">
      <alignment vertical="center"/>
    </xf>
    <xf numFmtId="174" fontId="165" fillId="0" borderId="0" xfId="79" applyNumberFormat="1" applyFont="1" applyFill="1" applyBorder="1" applyAlignment="1" applyProtection="1">
      <alignment vertical="center"/>
    </xf>
    <xf numFmtId="172" fontId="160" fillId="0" borderId="0" xfId="77" applyNumberFormat="1" applyFont="1" applyAlignment="1">
      <alignment horizontal="center" vertical="center"/>
    </xf>
    <xf numFmtId="178" fontId="17" fillId="70" borderId="0" xfId="0" applyNumberFormat="1" applyFont="1" applyFill="1"/>
    <xf numFmtId="177" fontId="22" fillId="0" borderId="0" xfId="0" applyNumberFormat="1" applyFont="1" applyAlignment="1">
      <alignment horizontal="left"/>
    </xf>
    <xf numFmtId="177" fontId="22" fillId="0" borderId="0" xfId="83" applyNumberFormat="1" applyFont="1" applyFill="1" applyBorder="1"/>
    <xf numFmtId="178" fontId="156" fillId="0" borderId="0" xfId="0" applyNumberFormat="1" applyFont="1"/>
    <xf numFmtId="0" fontId="49" fillId="70" borderId="0" xfId="0" applyFont="1" applyFill="1"/>
    <xf numFmtId="43" fontId="17" fillId="0" borderId="0" xfId="48" applyNumberFormat="1"/>
    <xf numFmtId="168" fontId="155" fillId="0" borderId="0" xfId="28" applyNumberFormat="1" applyFont="1" applyBorder="1" applyAlignment="1" applyProtection="1">
      <alignment horizontal="right"/>
    </xf>
    <xf numFmtId="0" fontId="17" fillId="58" borderId="0" xfId="0" applyFont="1" applyFill="1" applyAlignment="1">
      <alignment horizontal="center"/>
    </xf>
    <xf numFmtId="0" fontId="17" fillId="58" borderId="0" xfId="0" applyFont="1" applyFill="1"/>
    <xf numFmtId="0" fontId="17" fillId="70" borderId="0" xfId="0" applyFont="1" applyFill="1"/>
    <xf numFmtId="3" fontId="160" fillId="0" borderId="0" xfId="77" applyNumberFormat="1" applyFont="1" applyAlignment="1" applyProtection="1">
      <alignment horizontal="center" vertical="center"/>
      <protection locked="0"/>
    </xf>
    <xf numFmtId="174" fontId="160" fillId="0" borderId="0" xfId="79" applyNumberFormat="1" applyFont="1" applyFill="1" applyBorder="1" applyAlignment="1" applyProtection="1">
      <alignment horizontal="center" vertical="center"/>
      <protection locked="0"/>
    </xf>
    <xf numFmtId="174" fontId="160" fillId="0" borderId="0" xfId="77" applyNumberFormat="1" applyFont="1" applyAlignment="1">
      <alignment horizontal="center" vertical="center"/>
    </xf>
    <xf numFmtId="3" fontId="141" fillId="0" borderId="0" xfId="79" applyNumberFormat="1" applyFont="1" applyFill="1" applyBorder="1" applyAlignment="1" applyProtection="1">
      <alignment horizontal="center" vertical="center"/>
      <protection locked="0"/>
    </xf>
    <xf numFmtId="0" fontId="160" fillId="0" borderId="0" xfId="77" applyFont="1" applyAlignment="1">
      <alignment horizontal="left" vertical="center"/>
    </xf>
    <xf numFmtId="0" fontId="155" fillId="0" borderId="0" xfId="77" applyFont="1" applyAlignment="1">
      <alignment horizontal="left"/>
    </xf>
    <xf numFmtId="0" fontId="160" fillId="0" borderId="0" xfId="77" applyFont="1" applyAlignment="1" applyProtection="1">
      <alignment horizontal="center"/>
      <protection locked="0"/>
    </xf>
    <xf numFmtId="43" fontId="217" fillId="0" borderId="0" xfId="48" applyNumberFormat="1" applyFont="1" applyAlignment="1">
      <alignment horizontal="center" vertical="center"/>
    </xf>
    <xf numFmtId="9" fontId="58" fillId="29" borderId="267" xfId="80" applyFont="1" applyFill="1" applyBorder="1" applyAlignment="1" applyProtection="1">
      <alignment horizontal="center"/>
      <protection locked="0"/>
    </xf>
    <xf numFmtId="9" fontId="58" fillId="0" borderId="267" xfId="80" applyFont="1" applyFill="1" applyBorder="1" applyAlignment="1" applyProtection="1">
      <alignment horizontal="center"/>
      <protection locked="0"/>
    </xf>
    <xf numFmtId="174" fontId="58" fillId="26" borderId="267" xfId="80" applyNumberFormat="1" applyFont="1" applyFill="1" applyBorder="1" applyAlignment="1" applyProtection="1">
      <alignment horizontal="center"/>
      <protection locked="0"/>
    </xf>
    <xf numFmtId="174" fontId="58" fillId="0" borderId="267" xfId="80" applyNumberFormat="1" applyFont="1" applyFill="1" applyBorder="1" applyAlignment="1" applyProtection="1">
      <alignment horizontal="center"/>
      <protection locked="0"/>
    </xf>
    <xf numFmtId="9" fontId="152" fillId="0" borderId="0" xfId="64" applyFont="1" applyFill="1" applyBorder="1" applyAlignment="1" applyProtection="1">
      <alignment horizontal="center" vertical="center"/>
    </xf>
    <xf numFmtId="0" fontId="160" fillId="52" borderId="0" xfId="77" applyFont="1" applyFill="1" applyAlignment="1">
      <alignment horizontal="center" vertical="center"/>
    </xf>
    <xf numFmtId="9" fontId="49" fillId="0" borderId="203" xfId="0" applyNumberFormat="1" applyFont="1" applyBorder="1" applyAlignment="1">
      <alignment horizontal="center"/>
    </xf>
    <xf numFmtId="9" fontId="49" fillId="70" borderId="203" xfId="0" applyNumberFormat="1" applyFont="1" applyFill="1" applyBorder="1" applyAlignment="1">
      <alignment horizontal="center"/>
    </xf>
    <xf numFmtId="168" fontId="128" fillId="0" borderId="0" xfId="28" applyNumberFormat="1" applyFont="1" applyFill="1" applyBorder="1" applyAlignment="1"/>
    <xf numFmtId="0" fontId="17" fillId="71" borderId="0" xfId="0" applyFont="1" applyFill="1"/>
    <xf numFmtId="0" fontId="49" fillId="71" borderId="0" xfId="0" applyFont="1" applyFill="1"/>
    <xf numFmtId="3" fontId="49" fillId="71" borderId="334" xfId="0" applyNumberFormat="1" applyFont="1" applyFill="1" applyBorder="1" applyAlignment="1" applyProtection="1">
      <alignment horizontal="center"/>
      <protection hidden="1"/>
    </xf>
    <xf numFmtId="0" fontId="17" fillId="71" borderId="334" xfId="0" applyFont="1" applyFill="1" applyBorder="1"/>
    <xf numFmtId="168" fontId="17" fillId="71" borderId="334" xfId="28" applyNumberFormat="1" applyFont="1" applyFill="1" applyBorder="1"/>
    <xf numFmtId="168" fontId="17" fillId="71" borderId="334" xfId="28" applyNumberFormat="1" applyFont="1" applyFill="1" applyBorder="1" applyProtection="1">
      <protection hidden="1"/>
    </xf>
    <xf numFmtId="289" fontId="17" fillId="0" borderId="0" xfId="0" applyNumberFormat="1" applyFont="1"/>
    <xf numFmtId="0" fontId="49" fillId="71" borderId="334" xfId="0" applyFont="1" applyFill="1" applyBorder="1" applyAlignment="1">
      <alignment horizontal="center"/>
    </xf>
    <xf numFmtId="0" fontId="17" fillId="71" borderId="334" xfId="0" applyFont="1" applyFill="1" applyBorder="1" applyAlignment="1">
      <alignment horizontal="right"/>
    </xf>
    <xf numFmtId="3" fontId="17" fillId="71" borderId="334" xfId="0" applyNumberFormat="1" applyFont="1" applyFill="1" applyBorder="1" applyAlignment="1">
      <alignment horizontal="left" wrapText="1"/>
    </xf>
    <xf numFmtId="3" fontId="17" fillId="71" borderId="334" xfId="0" applyNumberFormat="1" applyFont="1" applyFill="1" applyBorder="1" applyAlignment="1">
      <alignment horizontal="right"/>
    </xf>
    <xf numFmtId="203" fontId="17" fillId="71" borderId="334" xfId="0" applyNumberFormat="1" applyFont="1" applyFill="1" applyBorder="1" applyAlignment="1">
      <alignment horizontal="left"/>
    </xf>
    <xf numFmtId="0" fontId="17" fillId="71" borderId="334" xfId="0" applyFont="1" applyFill="1" applyBorder="1" applyAlignment="1">
      <alignment horizontal="center" vertical="center"/>
    </xf>
    <xf numFmtId="0" fontId="17" fillId="71" borderId="334" xfId="0" applyFont="1" applyFill="1" applyBorder="1" applyAlignment="1">
      <alignment vertical="center"/>
    </xf>
    <xf numFmtId="0" fontId="17" fillId="71" borderId="334" xfId="0" applyFont="1" applyFill="1" applyBorder="1" applyAlignment="1">
      <alignment horizontal="left"/>
    </xf>
    <xf numFmtId="203" fontId="17" fillId="71" borderId="334" xfId="0" applyNumberFormat="1" applyFont="1" applyFill="1" applyBorder="1" applyAlignment="1">
      <alignment horizontal="center"/>
    </xf>
    <xf numFmtId="0" fontId="49" fillId="71" borderId="334" xfId="0" applyFont="1" applyFill="1" applyBorder="1" applyAlignment="1">
      <alignment horizontal="center" vertical="center"/>
    </xf>
    <xf numFmtId="247" fontId="17" fillId="71" borderId="334" xfId="0" applyNumberFormat="1" applyFont="1" applyFill="1" applyBorder="1" applyAlignment="1">
      <alignment horizontal="center"/>
    </xf>
    <xf numFmtId="223" fontId="17" fillId="71" borderId="334" xfId="0" applyNumberFormat="1" applyFont="1" applyFill="1" applyBorder="1" applyAlignment="1">
      <alignment horizontal="left"/>
    </xf>
    <xf numFmtId="208" fontId="17" fillId="71" borderId="334" xfId="0" applyNumberFormat="1" applyFont="1" applyFill="1" applyBorder="1" applyAlignment="1">
      <alignment horizontal="right"/>
    </xf>
    <xf numFmtId="200" fontId="17" fillId="71" borderId="334" xfId="0" applyNumberFormat="1" applyFont="1" applyFill="1" applyBorder="1" applyAlignment="1">
      <alignment horizontal="left"/>
    </xf>
    <xf numFmtId="173" fontId="17" fillId="71" borderId="334" xfId="0" applyNumberFormat="1" applyFont="1" applyFill="1" applyBorder="1" applyAlignment="1">
      <alignment horizontal="right"/>
    </xf>
    <xf numFmtId="3" fontId="17" fillId="0" borderId="13" xfId="0" applyNumberFormat="1" applyFont="1" applyBorder="1" applyAlignment="1">
      <alignment horizontal="left"/>
    </xf>
    <xf numFmtId="3" fontId="17" fillId="71" borderId="334" xfId="33" applyNumberFormat="1" applyFont="1" applyFill="1" applyBorder="1" applyAlignment="1">
      <alignment horizontal="left"/>
    </xf>
    <xf numFmtId="3" fontId="17" fillId="71" borderId="334" xfId="33" applyNumberFormat="1" applyFont="1" applyFill="1" applyBorder="1" applyAlignment="1">
      <alignment horizontal="right"/>
    </xf>
    <xf numFmtId="256" fontId="17" fillId="71" borderId="334" xfId="0" applyNumberFormat="1" applyFont="1" applyFill="1" applyBorder="1" applyAlignment="1">
      <alignment horizontal="left"/>
    </xf>
    <xf numFmtId="193" fontId="17" fillId="71" borderId="334" xfId="0" applyNumberFormat="1" applyFont="1" applyFill="1" applyBorder="1" applyAlignment="1" applyProtection="1">
      <alignment horizontal="center"/>
      <protection hidden="1"/>
    </xf>
    <xf numFmtId="319" fontId="17" fillId="71" borderId="334" xfId="0" applyNumberFormat="1" applyFont="1" applyFill="1" applyBorder="1"/>
    <xf numFmtId="320" fontId="17" fillId="71" borderId="334" xfId="0" applyNumberFormat="1" applyFont="1" applyFill="1" applyBorder="1"/>
    <xf numFmtId="0" fontId="17" fillId="71" borderId="334" xfId="0" applyFont="1" applyFill="1" applyBorder="1" applyProtection="1">
      <protection hidden="1"/>
    </xf>
    <xf numFmtId="0" fontId="49" fillId="71" borderId="334" xfId="0" applyFont="1" applyFill="1" applyBorder="1"/>
    <xf numFmtId="3" fontId="17" fillId="71" borderId="334" xfId="0" applyNumberFormat="1" applyFont="1" applyFill="1" applyBorder="1" applyAlignment="1">
      <alignment horizontal="center"/>
    </xf>
    <xf numFmtId="3" fontId="17" fillId="71" borderId="334" xfId="33" applyNumberFormat="1" applyFont="1" applyFill="1" applyBorder="1" applyAlignment="1">
      <alignment horizontal="center"/>
    </xf>
    <xf numFmtId="0" fontId="17" fillId="71" borderId="334" xfId="0" applyFont="1" applyFill="1" applyBorder="1" applyAlignment="1">
      <alignment horizontal="center"/>
    </xf>
    <xf numFmtId="0" fontId="17" fillId="71" borderId="334" xfId="0" applyFont="1" applyFill="1" applyBorder="1" applyAlignment="1">
      <alignment horizontal="left" vertical="center"/>
    </xf>
    <xf numFmtId="177" fontId="17" fillId="71" borderId="334" xfId="33" applyNumberFormat="1" applyFont="1" applyFill="1" applyBorder="1"/>
    <xf numFmtId="177" fontId="17" fillId="71" borderId="334" xfId="33" applyNumberFormat="1" applyFont="1" applyFill="1" applyBorder="1" applyAlignment="1">
      <alignment horizontal="right"/>
    </xf>
    <xf numFmtId="0" fontId="17" fillId="71" borderId="0" xfId="0" applyFont="1" applyFill="1" applyAlignment="1">
      <alignment horizontal="left" vertical="center"/>
    </xf>
    <xf numFmtId="177" fontId="17" fillId="71" borderId="0" xfId="33" applyNumberFormat="1" applyFont="1" applyFill="1" applyBorder="1" applyAlignment="1">
      <alignment horizontal="right"/>
    </xf>
    <xf numFmtId="0" fontId="17" fillId="46" borderId="0" xfId="0" applyFont="1" applyFill="1" applyAlignment="1">
      <alignment horizontal="left" vertical="center"/>
    </xf>
    <xf numFmtId="177" fontId="17" fillId="46" borderId="0" xfId="33" applyNumberFormat="1" applyFont="1" applyFill="1" applyBorder="1" applyAlignment="1">
      <alignment horizontal="right"/>
    </xf>
    <xf numFmtId="0" fontId="17" fillId="71" borderId="72" xfId="0" applyFont="1" applyFill="1" applyBorder="1"/>
    <xf numFmtId="0" fontId="17" fillId="71" borderId="37" xfId="0" applyFont="1" applyFill="1" applyBorder="1"/>
    <xf numFmtId="3" fontId="17" fillId="71" borderId="46" xfId="0" applyNumberFormat="1" applyFont="1" applyFill="1" applyBorder="1" applyAlignment="1">
      <alignment horizontal="center"/>
    </xf>
    <xf numFmtId="0" fontId="17" fillId="71" borderId="22" xfId="0" applyFont="1" applyFill="1" applyBorder="1"/>
    <xf numFmtId="244" fontId="17" fillId="71" borderId="144" xfId="79" applyNumberFormat="1" applyFont="1" applyFill="1" applyBorder="1" applyAlignment="1">
      <alignment horizontal="center"/>
    </xf>
    <xf numFmtId="174" fontId="17" fillId="71" borderId="0" xfId="79" applyNumberFormat="1" applyFont="1" applyFill="1" applyBorder="1" applyAlignment="1">
      <alignment horizontal="center"/>
    </xf>
    <xf numFmtId="244" fontId="17" fillId="71" borderId="0" xfId="79" applyNumberFormat="1" applyFont="1" applyFill="1" applyBorder="1" applyAlignment="1">
      <alignment horizontal="center"/>
    </xf>
    <xf numFmtId="0" fontId="17" fillId="71" borderId="144" xfId="0" applyFont="1" applyFill="1" applyBorder="1" applyAlignment="1">
      <alignment horizontal="center"/>
    </xf>
    <xf numFmtId="240" fontId="17" fillId="71" borderId="74" xfId="79" applyNumberFormat="1" applyFont="1" applyFill="1" applyBorder="1" applyAlignment="1">
      <alignment horizontal="center"/>
    </xf>
    <xf numFmtId="0" fontId="17" fillId="71" borderId="144" xfId="0" applyFont="1" applyFill="1" applyBorder="1"/>
    <xf numFmtId="0" fontId="17" fillId="71" borderId="24" xfId="0" applyFont="1" applyFill="1" applyBorder="1"/>
    <xf numFmtId="0" fontId="17" fillId="71" borderId="39" xfId="0" applyFont="1" applyFill="1" applyBorder="1" applyAlignment="1">
      <alignment horizontal="left"/>
    </xf>
    <xf numFmtId="0" fontId="17" fillId="71" borderId="164" xfId="0" applyFont="1" applyFill="1" applyBorder="1"/>
    <xf numFmtId="0" fontId="17" fillId="71" borderId="45" xfId="0" applyFont="1" applyFill="1" applyBorder="1"/>
    <xf numFmtId="174" fontId="17" fillId="71" borderId="45" xfId="79" applyNumberFormat="1" applyFont="1" applyFill="1" applyBorder="1" applyAlignment="1">
      <alignment horizontal="center"/>
    </xf>
    <xf numFmtId="240" fontId="17" fillId="71" borderId="52" xfId="79" applyNumberFormat="1" applyFont="1" applyFill="1" applyBorder="1" applyAlignment="1">
      <alignment horizontal="center"/>
    </xf>
    <xf numFmtId="0" fontId="49" fillId="71" borderId="40" xfId="0" applyFont="1" applyFill="1" applyBorder="1"/>
    <xf numFmtId="0" fontId="49" fillId="71" borderId="56" xfId="0" applyFont="1" applyFill="1" applyBorder="1"/>
    <xf numFmtId="0" fontId="17" fillId="71" borderId="19" xfId="0" applyFont="1" applyFill="1" applyBorder="1"/>
    <xf numFmtId="4" fontId="17" fillId="71" borderId="26" xfId="0" applyNumberFormat="1" applyFont="1" applyFill="1" applyBorder="1"/>
    <xf numFmtId="0" fontId="17" fillId="71" borderId="153" xfId="0" applyFont="1" applyFill="1" applyBorder="1"/>
    <xf numFmtId="0" fontId="17" fillId="71" borderId="153" xfId="0" applyFont="1" applyFill="1" applyBorder="1" applyAlignment="1">
      <alignment horizontal="center"/>
    </xf>
    <xf numFmtId="170" fontId="17" fillId="71" borderId="153" xfId="0" applyNumberFormat="1" applyFont="1" applyFill="1" applyBorder="1" applyAlignment="1">
      <alignment horizontal="center"/>
    </xf>
    <xf numFmtId="178" fontId="17" fillId="71" borderId="0" xfId="0" applyNumberFormat="1" applyFont="1" applyFill="1"/>
    <xf numFmtId="178" fontId="49" fillId="71" borderId="18" xfId="0" applyNumberFormat="1" applyFont="1" applyFill="1" applyBorder="1"/>
    <xf numFmtId="178" fontId="17" fillId="71" borderId="18" xfId="0" applyNumberFormat="1" applyFont="1" applyFill="1" applyBorder="1" applyAlignment="1">
      <alignment horizontal="center"/>
    </xf>
    <xf numFmtId="178" fontId="17" fillId="71" borderId="18" xfId="0" applyNumberFormat="1" applyFont="1" applyFill="1" applyBorder="1"/>
    <xf numFmtId="178" fontId="17" fillId="71" borderId="153" xfId="0" applyNumberFormat="1" applyFont="1" applyFill="1" applyBorder="1"/>
    <xf numFmtId="178" fontId="17" fillId="71" borderId="153" xfId="0" applyNumberFormat="1" applyFont="1" applyFill="1" applyBorder="1" applyAlignment="1">
      <alignment horizontal="center"/>
    </xf>
    <xf numFmtId="178" fontId="17" fillId="71" borderId="0" xfId="0" applyNumberFormat="1" applyFont="1" applyFill="1" applyAlignment="1">
      <alignment horizontal="center"/>
    </xf>
    <xf numFmtId="178" fontId="17" fillId="71" borderId="283" xfId="0" applyNumberFormat="1" applyFont="1" applyFill="1" applyBorder="1"/>
    <xf numFmtId="178" fontId="17" fillId="71" borderId="280" xfId="0" applyNumberFormat="1" applyFont="1" applyFill="1" applyBorder="1"/>
    <xf numFmtId="178" fontId="17" fillId="71" borderId="297" xfId="0" applyNumberFormat="1" applyFont="1" applyFill="1" applyBorder="1"/>
    <xf numFmtId="178" fontId="17" fillId="71" borderId="15" xfId="0" applyNumberFormat="1" applyFont="1" applyFill="1" applyBorder="1"/>
    <xf numFmtId="178" fontId="17" fillId="71" borderId="44" xfId="0" applyNumberFormat="1" applyFont="1" applyFill="1" applyBorder="1"/>
    <xf numFmtId="178" fontId="17" fillId="71" borderId="281" xfId="0" applyNumberFormat="1" applyFont="1" applyFill="1" applyBorder="1"/>
    <xf numFmtId="178" fontId="17" fillId="71" borderId="282" xfId="0" applyNumberFormat="1" applyFont="1" applyFill="1" applyBorder="1"/>
    <xf numFmtId="178" fontId="17" fillId="71" borderId="29" xfId="0" applyNumberFormat="1" applyFont="1" applyFill="1" applyBorder="1"/>
    <xf numFmtId="178" fontId="17" fillId="71" borderId="20" xfId="48" applyNumberFormat="1" applyFill="1" applyBorder="1" applyAlignment="1">
      <alignment horizontal="center" vertical="center"/>
    </xf>
    <xf numFmtId="178" fontId="17" fillId="71" borderId="20" xfId="48" applyNumberFormat="1" applyFill="1" applyBorder="1" applyAlignment="1">
      <alignment horizontal="center" vertical="center" wrapText="1"/>
    </xf>
    <xf numFmtId="178" fontId="17" fillId="71" borderId="0" xfId="48" applyNumberFormat="1" applyFill="1"/>
    <xf numFmtId="178" fontId="17" fillId="71" borderId="0" xfId="48" applyNumberFormat="1" applyFill="1" applyAlignment="1">
      <alignment horizontal="center"/>
    </xf>
    <xf numFmtId="178" fontId="17" fillId="71" borderId="25" xfId="48" applyNumberFormat="1" applyFill="1" applyBorder="1"/>
    <xf numFmtId="178" fontId="17" fillId="71" borderId="25" xfId="48" applyNumberFormat="1" applyFill="1" applyBorder="1" applyAlignment="1">
      <alignment horizontal="center"/>
    </xf>
    <xf numFmtId="205" fontId="17" fillId="71" borderId="26" xfId="48" applyNumberFormat="1" applyFill="1" applyBorder="1" applyAlignment="1">
      <alignment horizontal="center"/>
    </xf>
    <xf numFmtId="178" fontId="125" fillId="71" borderId="20" xfId="48" applyNumberFormat="1" applyFont="1" applyFill="1" applyBorder="1" applyAlignment="1">
      <alignment horizontal="center"/>
    </xf>
    <xf numFmtId="178" fontId="141" fillId="71" borderId="21" xfId="48" applyNumberFormat="1" applyFont="1" applyFill="1" applyBorder="1" applyAlignment="1">
      <alignment horizontal="center"/>
    </xf>
    <xf numFmtId="205" fontId="125" fillId="71" borderId="20" xfId="48" applyNumberFormat="1" applyFont="1" applyFill="1" applyBorder="1" applyAlignment="1">
      <alignment horizontal="center"/>
    </xf>
    <xf numFmtId="178" fontId="125" fillId="71" borderId="0" xfId="48" applyNumberFormat="1" applyFont="1" applyFill="1" applyAlignment="1">
      <alignment horizontal="center"/>
    </xf>
    <xf numFmtId="178" fontId="141" fillId="71" borderId="23" xfId="48" applyNumberFormat="1" applyFont="1" applyFill="1" applyBorder="1" applyAlignment="1">
      <alignment horizontal="center" wrapText="1"/>
    </xf>
    <xf numFmtId="178" fontId="49" fillId="71" borderId="0" xfId="48" applyNumberFormat="1" applyFont="1" applyFill="1"/>
    <xf numFmtId="178" fontId="49" fillId="71" borderId="0" xfId="48" applyNumberFormat="1" applyFont="1" applyFill="1" applyAlignment="1">
      <alignment horizontal="center" wrapText="1"/>
    </xf>
    <xf numFmtId="49" fontId="49" fillId="71" borderId="0" xfId="66" applyNumberFormat="1" applyFont="1" applyFill="1" applyBorder="1" applyAlignment="1">
      <alignment horizontal="center"/>
    </xf>
    <xf numFmtId="178" fontId="49" fillId="71" borderId="0" xfId="0" applyNumberFormat="1" applyFont="1" applyFill="1"/>
    <xf numFmtId="178" fontId="17" fillId="71" borderId="0" xfId="48" applyNumberFormat="1" applyFill="1" applyAlignment="1">
      <alignment horizontal="left"/>
    </xf>
    <xf numFmtId="178" fontId="49" fillId="71" borderId="23" xfId="48" applyNumberFormat="1" applyFont="1" applyFill="1" applyBorder="1"/>
    <xf numFmtId="9" fontId="17" fillId="71" borderId="0" xfId="64" applyFont="1" applyFill="1" applyBorder="1"/>
    <xf numFmtId="205" fontId="17" fillId="71" borderId="0" xfId="0" applyNumberFormat="1" applyFont="1" applyFill="1"/>
    <xf numFmtId="3" fontId="17" fillId="0" borderId="276" xfId="33" applyNumberFormat="1" applyFont="1" applyFill="1" applyBorder="1" applyAlignment="1">
      <alignment horizontal="right"/>
    </xf>
    <xf numFmtId="178" fontId="17" fillId="46" borderId="0" xfId="0" applyNumberFormat="1" applyFont="1" applyFill="1" applyProtection="1">
      <protection hidden="1"/>
    </xf>
    <xf numFmtId="9" fontId="49" fillId="71" borderId="23" xfId="66" applyFont="1" applyFill="1" applyBorder="1"/>
    <xf numFmtId="0" fontId="17" fillId="46" borderId="0" xfId="0" applyFont="1" applyFill="1" applyProtection="1">
      <protection hidden="1"/>
    </xf>
    <xf numFmtId="0" fontId="8" fillId="0" borderId="0" xfId="99"/>
    <xf numFmtId="0" fontId="17" fillId="0" borderId="0" xfId="99" applyFont="1"/>
    <xf numFmtId="0" fontId="199" fillId="74" borderId="328" xfId="99" applyFont="1" applyFill="1" applyBorder="1" applyAlignment="1">
      <alignment horizontal="center" vertical="center" wrapText="1"/>
    </xf>
    <xf numFmtId="0" fontId="199" fillId="75" borderId="328" xfId="99" applyFont="1" applyFill="1" applyBorder="1" applyAlignment="1">
      <alignment horizontal="center" vertical="center" wrapText="1"/>
    </xf>
    <xf numFmtId="0" fontId="8" fillId="0" borderId="0" xfId="99" applyAlignment="1">
      <alignment horizontal="center" vertical="center"/>
    </xf>
    <xf numFmtId="170" fontId="91" fillId="54" borderId="328" xfId="99" applyNumberFormat="1" applyFont="1" applyFill="1" applyBorder="1" applyAlignment="1" applyProtection="1">
      <alignment horizontal="center" vertical="center" wrapText="1"/>
      <protection locked="0"/>
    </xf>
    <xf numFmtId="43" fontId="91" fillId="76" borderId="328" xfId="99" applyNumberFormat="1" applyFont="1" applyFill="1" applyBorder="1" applyAlignment="1">
      <alignment vertical="center" wrapText="1"/>
    </xf>
    <xf numFmtId="174" fontId="91" fillId="54" borderId="328" xfId="99" applyNumberFormat="1" applyFont="1" applyFill="1" applyBorder="1" applyAlignment="1" applyProtection="1">
      <alignment vertical="center" wrapText="1"/>
      <protection locked="0"/>
    </xf>
    <xf numFmtId="9" fontId="8" fillId="0" borderId="0" xfId="64" applyFont="1" applyAlignment="1">
      <alignment horizontal="center"/>
    </xf>
    <xf numFmtId="10" fontId="106" fillId="0" borderId="0" xfId="77" applyNumberFormat="1" applyFont="1" applyAlignment="1">
      <alignment horizontal="center"/>
    </xf>
    <xf numFmtId="0" fontId="231" fillId="0" borderId="0" xfId="100" applyFont="1" applyAlignment="1">
      <alignment horizontal="center"/>
    </xf>
    <xf numFmtId="0" fontId="232" fillId="0" borderId="0" xfId="100" applyFont="1" applyAlignment="1">
      <alignment horizontal="center"/>
    </xf>
    <xf numFmtId="0" fontId="233" fillId="0" borderId="0" xfId="100" applyFont="1" applyAlignment="1">
      <alignment horizontal="center"/>
    </xf>
    <xf numFmtId="0" fontId="230" fillId="0" borderId="0" xfId="100"/>
    <xf numFmtId="0" fontId="232" fillId="0" borderId="0" xfId="100" applyFont="1" applyAlignment="1">
      <alignment horizontal="left"/>
    </xf>
    <xf numFmtId="0" fontId="234" fillId="0" borderId="0" xfId="100" applyFont="1" applyAlignment="1">
      <alignment horizontal="left"/>
    </xf>
    <xf numFmtId="0" fontId="235" fillId="0" borderId="0" xfId="100" applyFont="1" applyAlignment="1">
      <alignment horizontal="left"/>
    </xf>
    <xf numFmtId="0" fontId="233" fillId="0" borderId="0" xfId="100" applyFont="1"/>
    <xf numFmtId="0" fontId="236" fillId="0" borderId="0" xfId="100" applyFont="1" applyAlignment="1">
      <alignment horizontal="left"/>
    </xf>
    <xf numFmtId="0" fontId="236" fillId="0" borderId="0" xfId="100" applyFont="1"/>
    <xf numFmtId="0" fontId="237" fillId="0" borderId="0" xfId="100" applyFont="1"/>
    <xf numFmtId="0" fontId="238" fillId="0" borderId="0" xfId="100" applyFont="1"/>
    <xf numFmtId="0" fontId="239" fillId="0" borderId="0" xfId="100" applyFont="1"/>
    <xf numFmtId="0" fontId="240" fillId="0" borderId="0" xfId="100" applyFont="1"/>
    <xf numFmtId="0" fontId="241" fillId="0" borderId="0" xfId="100" applyFont="1" applyAlignment="1">
      <alignment horizontal="center"/>
    </xf>
    <xf numFmtId="0" fontId="233" fillId="77" borderId="340" xfId="100" applyFont="1" applyFill="1" applyBorder="1" applyAlignment="1">
      <alignment horizontal="left"/>
    </xf>
    <xf numFmtId="0" fontId="239" fillId="77" borderId="341" xfId="100" applyFont="1" applyFill="1" applyBorder="1"/>
    <xf numFmtId="0" fontId="239" fillId="77" borderId="342" xfId="100" applyFont="1" applyFill="1" applyBorder="1"/>
    <xf numFmtId="0" fontId="243" fillId="0" borderId="0" xfId="100" applyFont="1"/>
    <xf numFmtId="0" fontId="236" fillId="0" borderId="340" xfId="100" applyFont="1" applyBorder="1" applyAlignment="1">
      <alignment horizontal="left"/>
    </xf>
    <xf numFmtId="0" fontId="239" fillId="0" borderId="341" xfId="100" applyFont="1" applyBorder="1"/>
    <xf numFmtId="0" fontId="239" fillId="0" borderId="342" xfId="100" applyFont="1" applyBorder="1"/>
    <xf numFmtId="0" fontId="236" fillId="0" borderId="340" xfId="100" applyFont="1" applyBorder="1"/>
    <xf numFmtId="0" fontId="244" fillId="0" borderId="342" xfId="100" applyFont="1" applyBorder="1"/>
    <xf numFmtId="9" fontId="236" fillId="0" borderId="340" xfId="100" applyNumberFormat="1" applyFont="1" applyBorder="1"/>
    <xf numFmtId="174" fontId="236" fillId="0" borderId="340" xfId="100" applyNumberFormat="1" applyFont="1" applyBorder="1"/>
    <xf numFmtId="174" fontId="244" fillId="0" borderId="342" xfId="64" applyNumberFormat="1" applyFont="1" applyBorder="1"/>
    <xf numFmtId="10" fontId="236" fillId="0" borderId="340" xfId="100" applyNumberFormat="1" applyFont="1" applyBorder="1"/>
    <xf numFmtId="3" fontId="236" fillId="0" borderId="340" xfId="100" applyNumberFormat="1" applyFont="1" applyBorder="1"/>
    <xf numFmtId="321" fontId="241" fillId="0" borderId="0" xfId="100" applyNumberFormat="1" applyFont="1" applyAlignment="1">
      <alignment horizontal="center"/>
    </xf>
    <xf numFmtId="0" fontId="237" fillId="0" borderId="0" xfId="100" applyFont="1" applyAlignment="1">
      <alignment horizontal="left"/>
    </xf>
    <xf numFmtId="0" fontId="238" fillId="0" borderId="0" xfId="100" applyFont="1" applyAlignment="1">
      <alignment horizontal="left"/>
    </xf>
    <xf numFmtId="0" fontId="245" fillId="0" borderId="0" xfId="100" applyFont="1" applyAlignment="1">
      <alignment horizontal="center"/>
    </xf>
    <xf numFmtId="0" fontId="246" fillId="78" borderId="0" xfId="100" applyFont="1" applyFill="1" applyAlignment="1">
      <alignment horizontal="left"/>
    </xf>
    <xf numFmtId="0" fontId="245" fillId="78" borderId="0" xfId="100" applyFont="1" applyFill="1" applyAlignment="1">
      <alignment horizontal="center"/>
    </xf>
    <xf numFmtId="0" fontId="242" fillId="79" borderId="116" xfId="100" applyFont="1" applyFill="1" applyBorder="1" applyAlignment="1">
      <alignment vertical="center"/>
    </xf>
    <xf numFmtId="0" fontId="242" fillId="80" borderId="340" xfId="100" applyFont="1" applyFill="1" applyBorder="1" applyAlignment="1">
      <alignment horizontal="left"/>
    </xf>
    <xf numFmtId="0" fontId="242" fillId="80" borderId="341" xfId="100" applyFont="1" applyFill="1" applyBorder="1"/>
    <xf numFmtId="3" fontId="242" fillId="80" borderId="343" xfId="100" applyNumberFormat="1" applyFont="1" applyFill="1" applyBorder="1" applyAlignment="1">
      <alignment horizontal="center"/>
    </xf>
    <xf numFmtId="0" fontId="247" fillId="0" borderId="344" xfId="100" applyFont="1" applyBorder="1" applyAlignment="1">
      <alignment horizontal="left"/>
    </xf>
    <xf numFmtId="0" fontId="247" fillId="0" borderId="0" xfId="100" applyFont="1"/>
    <xf numFmtId="2" fontId="247" fillId="0" borderId="345" xfId="100" applyNumberFormat="1" applyFont="1" applyBorder="1" applyAlignment="1">
      <alignment horizontal="center"/>
    </xf>
    <xf numFmtId="0" fontId="247" fillId="0" borderId="344" xfId="100" applyFont="1" applyBorder="1"/>
    <xf numFmtId="0" fontId="247" fillId="0" borderId="346" xfId="100" applyFont="1" applyBorder="1" applyAlignment="1">
      <alignment horizontal="left"/>
    </xf>
    <xf numFmtId="0" fontId="247" fillId="0" borderId="347" xfId="100" applyFont="1" applyBorder="1"/>
    <xf numFmtId="0" fontId="247" fillId="0" borderId="348" xfId="100" applyFont="1" applyBorder="1" applyAlignment="1">
      <alignment horizontal="right"/>
    </xf>
    <xf numFmtId="0" fontId="247" fillId="0" borderId="349" xfId="100" applyFont="1" applyBorder="1"/>
    <xf numFmtId="0" fontId="247" fillId="0" borderId="350" xfId="100" applyFont="1" applyBorder="1" applyAlignment="1">
      <alignment horizontal="left"/>
    </xf>
    <xf numFmtId="0" fontId="247" fillId="0" borderId="351" xfId="100" applyFont="1" applyBorder="1"/>
    <xf numFmtId="0" fontId="247" fillId="0" borderId="352" xfId="100" applyFont="1" applyBorder="1" applyAlignment="1">
      <alignment horizontal="right"/>
    </xf>
    <xf numFmtId="0" fontId="247" fillId="0" borderId="345" xfId="100" applyFont="1" applyBorder="1" applyAlignment="1">
      <alignment horizontal="center"/>
    </xf>
    <xf numFmtId="4" fontId="247" fillId="81" borderId="354" xfId="100" applyNumberFormat="1" applyFont="1" applyFill="1" applyBorder="1" applyAlignment="1">
      <alignment horizontal="center"/>
    </xf>
    <xf numFmtId="0" fontId="248" fillId="82" borderId="344" xfId="100" applyFont="1" applyFill="1" applyBorder="1" applyAlignment="1">
      <alignment horizontal="left"/>
    </xf>
    <xf numFmtId="0" fontId="248" fillId="82" borderId="353" xfId="100" applyFont="1" applyFill="1" applyBorder="1"/>
    <xf numFmtId="4" fontId="248" fillId="82" borderId="354" xfId="100" applyNumberFormat="1" applyFont="1" applyFill="1" applyBorder="1" applyAlignment="1">
      <alignment horizontal="center"/>
    </xf>
    <xf numFmtId="168" fontId="247" fillId="0" borderId="345" xfId="28" applyNumberFormat="1" applyFont="1" applyBorder="1" applyAlignment="1">
      <alignment horizontal="center"/>
    </xf>
    <xf numFmtId="0" fontId="249" fillId="0" borderId="344" xfId="100" applyFont="1" applyBorder="1" applyAlignment="1">
      <alignment horizontal="left"/>
    </xf>
    <xf numFmtId="0" fontId="247" fillId="0" borderId="353" xfId="100" applyFont="1" applyBorder="1"/>
    <xf numFmtId="4" fontId="247" fillId="0" borderId="354" xfId="100" applyNumberFormat="1" applyFont="1" applyBorder="1" applyAlignment="1">
      <alignment horizontal="center"/>
    </xf>
    <xf numFmtId="4" fontId="247" fillId="0" borderId="348" xfId="100" applyNumberFormat="1" applyFont="1" applyBorder="1" applyAlignment="1">
      <alignment horizontal="center"/>
    </xf>
    <xf numFmtId="9" fontId="230" fillId="0" borderId="0" xfId="64" applyFont="1" applyFill="1" applyAlignment="1"/>
    <xf numFmtId="0" fontId="250" fillId="0" borderId="0" xfId="100" applyFont="1"/>
    <xf numFmtId="4" fontId="247" fillId="0" borderId="352" xfId="100" applyNumberFormat="1" applyFont="1" applyBorder="1" applyAlignment="1">
      <alignment horizontal="center"/>
    </xf>
    <xf numFmtId="4" fontId="247" fillId="0" borderId="345" xfId="100" applyNumberFormat="1" applyFont="1" applyBorder="1" applyAlignment="1">
      <alignment horizontal="center"/>
    </xf>
    <xf numFmtId="0" fontId="248" fillId="82" borderId="354" xfId="100" applyFont="1" applyFill="1" applyBorder="1" applyAlignment="1">
      <alignment horizontal="center"/>
    </xf>
    <xf numFmtId="168" fontId="247" fillId="46" borderId="345" xfId="28" applyNumberFormat="1" applyFont="1" applyFill="1" applyBorder="1" applyAlignment="1">
      <alignment horizontal="center"/>
    </xf>
    <xf numFmtId="4" fontId="248" fillId="82" borderId="345" xfId="100" applyNumberFormat="1" applyFont="1" applyFill="1" applyBorder="1" applyAlignment="1">
      <alignment horizontal="center"/>
    </xf>
    <xf numFmtId="4" fontId="230" fillId="0" borderId="0" xfId="100" applyNumberFormat="1"/>
    <xf numFmtId="166" fontId="230" fillId="0" borderId="0" xfId="28" applyFont="1" applyFill="1" applyAlignment="1"/>
    <xf numFmtId="9" fontId="248" fillId="83" borderId="345" xfId="64" applyFont="1" applyFill="1" applyBorder="1" applyAlignment="1">
      <alignment horizontal="center"/>
    </xf>
    <xf numFmtId="168" fontId="236" fillId="0" borderId="0" xfId="28" applyNumberFormat="1" applyFont="1" applyFill="1" applyAlignment="1"/>
    <xf numFmtId="1" fontId="236" fillId="0" borderId="0" xfId="100" applyNumberFormat="1" applyFont="1"/>
    <xf numFmtId="4" fontId="248" fillId="83" borderId="54" xfId="100" applyNumberFormat="1" applyFont="1" applyFill="1" applyBorder="1" applyAlignment="1">
      <alignment horizontal="center"/>
    </xf>
    <xf numFmtId="3" fontId="236" fillId="0" borderId="0" xfId="100" applyNumberFormat="1" applyFont="1"/>
    <xf numFmtId="0" fontId="251" fillId="0" borderId="0" xfId="100" applyFont="1"/>
    <xf numFmtId="43" fontId="247" fillId="0" borderId="354" xfId="64" applyNumberFormat="1" applyFont="1" applyBorder="1" applyAlignment="1">
      <alignment horizontal="center"/>
    </xf>
    <xf numFmtId="43" fontId="247" fillId="0" borderId="345" xfId="100" applyNumberFormat="1" applyFont="1" applyBorder="1" applyAlignment="1">
      <alignment horizontal="center"/>
    </xf>
    <xf numFmtId="0" fontId="205" fillId="46" borderId="0" xfId="0" applyFont="1" applyFill="1" applyAlignment="1">
      <alignment horizontal="center"/>
    </xf>
    <xf numFmtId="323" fontId="130" fillId="0" borderId="0" xfId="77" applyNumberFormat="1" applyFont="1"/>
    <xf numFmtId="322" fontId="152" fillId="0" borderId="0" xfId="77" applyNumberFormat="1" applyFont="1" applyAlignment="1">
      <alignment horizontal="left"/>
    </xf>
    <xf numFmtId="4" fontId="160" fillId="52" borderId="0" xfId="77" applyNumberFormat="1" applyFont="1" applyFill="1" applyAlignment="1">
      <alignment horizontal="center" vertical="center"/>
    </xf>
    <xf numFmtId="4" fontId="155" fillId="0" borderId="0" xfId="77" applyNumberFormat="1" applyFont="1" applyAlignment="1">
      <alignment horizontal="center" vertical="center"/>
    </xf>
    <xf numFmtId="4" fontId="155" fillId="0" borderId="0" xfId="77" applyNumberFormat="1" applyFont="1" applyAlignment="1">
      <alignment horizontal="right" vertical="center"/>
    </xf>
    <xf numFmtId="4" fontId="141" fillId="65" borderId="228" xfId="79" applyNumberFormat="1" applyFont="1" applyFill="1" applyBorder="1" applyAlignment="1" applyProtection="1">
      <alignment horizontal="center" vertical="center"/>
      <protection locked="0"/>
    </xf>
    <xf numFmtId="3" fontId="17" fillId="0" borderId="136" xfId="0" applyNumberFormat="1" applyFont="1" applyBorder="1"/>
    <xf numFmtId="3" fontId="17" fillId="0" borderId="140" xfId="0" applyNumberFormat="1" applyFont="1" applyBorder="1"/>
    <xf numFmtId="3" fontId="17" fillId="0" borderId="355" xfId="0" applyNumberFormat="1" applyFont="1" applyBorder="1"/>
    <xf numFmtId="0" fontId="252" fillId="0" borderId="0" xfId="0" applyFont="1"/>
    <xf numFmtId="0" fontId="49" fillId="59" borderId="358" xfId="0" applyFont="1" applyFill="1" applyBorder="1" applyAlignment="1">
      <alignment horizontal="center"/>
    </xf>
    <xf numFmtId="4" fontId="49" fillId="0" borderId="356" xfId="0" applyNumberFormat="1" applyFont="1" applyBorder="1" applyAlignment="1">
      <alignment horizontal="left"/>
    </xf>
    <xf numFmtId="3" fontId="49" fillId="0" borderId="355" xfId="0" applyNumberFormat="1" applyFont="1" applyBorder="1" applyAlignment="1">
      <alignment horizontal="center" vertical="center"/>
    </xf>
    <xf numFmtId="3" fontId="17" fillId="0" borderId="355" xfId="28" applyNumberFormat="1" applyFont="1" applyFill="1" applyBorder="1"/>
    <xf numFmtId="0" fontId="17" fillId="0" borderId="355" xfId="0" applyFont="1" applyBorder="1"/>
    <xf numFmtId="1" fontId="49" fillId="0" borderId="267" xfId="0" applyNumberFormat="1" applyFont="1" applyBorder="1" applyAlignment="1">
      <alignment horizontal="center" vertical="center"/>
    </xf>
    <xf numFmtId="168" fontId="17" fillId="46" borderId="0" xfId="31" applyNumberFormat="1" applyFont="1" applyFill="1" applyBorder="1" applyAlignment="1">
      <alignment horizontal="center"/>
    </xf>
    <xf numFmtId="0" fontId="153" fillId="0" borderId="0" xfId="0" applyFont="1" applyAlignment="1">
      <alignment vertical="center"/>
    </xf>
    <xf numFmtId="0" fontId="254" fillId="0" borderId="0" xfId="0" applyFont="1" applyAlignment="1">
      <alignment vertical="center"/>
    </xf>
    <xf numFmtId="0" fontId="255" fillId="0" borderId="0" xfId="0" applyFont="1" applyAlignment="1">
      <alignment vertical="center"/>
    </xf>
    <xf numFmtId="168" fontId="49" fillId="51" borderId="334" xfId="28" applyNumberFormat="1" applyFont="1" applyFill="1" applyBorder="1"/>
    <xf numFmtId="0" fontId="49" fillId="51" borderId="334" xfId="0" applyFont="1" applyFill="1" applyBorder="1"/>
    <xf numFmtId="253" fontId="49" fillId="51" borderId="334" xfId="0" applyNumberFormat="1" applyFont="1" applyFill="1" applyBorder="1"/>
    <xf numFmtId="254" fontId="49" fillId="51" borderId="334" xfId="0" applyNumberFormat="1" applyFont="1" applyFill="1" applyBorder="1" applyAlignment="1">
      <alignment horizontal="right"/>
    </xf>
    <xf numFmtId="3" fontId="17" fillId="0" borderId="359" xfId="0" applyNumberFormat="1" applyFont="1" applyBorder="1" applyAlignment="1">
      <alignment horizontal="center" vertical="center"/>
    </xf>
    <xf numFmtId="0" fontId="17" fillId="0" borderId="213" xfId="0" applyFont="1" applyBorder="1" applyAlignment="1">
      <alignment horizontal="center" vertical="center"/>
    </xf>
    <xf numFmtId="1" fontId="49" fillId="0" borderId="213" xfId="0" applyNumberFormat="1" applyFont="1" applyBorder="1" applyAlignment="1">
      <alignment horizontal="center" vertical="center"/>
    </xf>
    <xf numFmtId="166" fontId="49" fillId="0" borderId="213" xfId="28" applyFont="1" applyFill="1" applyBorder="1"/>
    <xf numFmtId="0" fontId="17" fillId="48" borderId="15" xfId="0" applyFont="1" applyFill="1" applyBorder="1"/>
    <xf numFmtId="0" fontId="17" fillId="48" borderId="0" xfId="0" applyFont="1" applyFill="1"/>
    <xf numFmtId="0" fontId="17" fillId="48" borderId="318" xfId="0" applyFont="1" applyFill="1" applyBorder="1"/>
    <xf numFmtId="0" fontId="17" fillId="48" borderId="319" xfId="0" applyFont="1" applyFill="1" applyBorder="1"/>
    <xf numFmtId="3" fontId="17" fillId="48" borderId="18" xfId="0" applyNumberFormat="1" applyFont="1" applyFill="1" applyBorder="1" applyAlignment="1">
      <alignment horizontal="center"/>
    </xf>
    <xf numFmtId="3" fontId="253" fillId="0" borderId="0" xfId="28" applyNumberFormat="1" applyFont="1" applyBorder="1"/>
    <xf numFmtId="3" fontId="17" fillId="0" borderId="0" xfId="28" applyNumberFormat="1" applyFont="1" applyBorder="1"/>
    <xf numFmtId="0" fontId="17" fillId="85" borderId="0" xfId="0" applyFont="1" applyFill="1"/>
    <xf numFmtId="3" fontId="49" fillId="0" borderId="267" xfId="0" applyNumberFormat="1" applyFont="1" applyBorder="1" applyAlignment="1">
      <alignment horizontal="center" vertical="center"/>
    </xf>
    <xf numFmtId="178" fontId="49" fillId="0" borderId="360" xfId="0" applyNumberFormat="1" applyFont="1" applyBorder="1" applyAlignment="1">
      <alignment horizontal="center"/>
    </xf>
    <xf numFmtId="3" fontId="126" fillId="46" borderId="0" xfId="64" applyNumberFormat="1" applyFont="1" applyFill="1" applyAlignment="1" applyProtection="1">
      <alignment horizontal="right"/>
      <protection hidden="1"/>
    </xf>
    <xf numFmtId="9" fontId="50" fillId="0" borderId="0" xfId="64" applyFont="1"/>
    <xf numFmtId="3" fontId="49" fillId="46" borderId="0" xfId="0" applyNumberFormat="1" applyFont="1" applyFill="1" applyAlignment="1">
      <alignment horizontal="left" vertical="center"/>
    </xf>
    <xf numFmtId="3" fontId="17" fillId="46" borderId="0" xfId="0" applyNumberFormat="1" applyFont="1" applyFill="1" applyAlignment="1">
      <alignment horizontal="center" vertical="center"/>
    </xf>
    <xf numFmtId="3" fontId="17" fillId="46" borderId="0" xfId="0" applyNumberFormat="1" applyFont="1" applyFill="1" applyAlignment="1">
      <alignment horizontal="left" vertical="center"/>
    </xf>
    <xf numFmtId="9" fontId="17" fillId="46" borderId="0" xfId="64" applyFont="1" applyFill="1" applyBorder="1" applyAlignment="1" applyProtection="1">
      <alignment horizontal="center" vertical="center"/>
    </xf>
    <xf numFmtId="3" fontId="17" fillId="0" borderId="267" xfId="0" applyNumberFormat="1" applyFont="1" applyBorder="1" applyAlignment="1">
      <alignment horizontal="center" vertical="center"/>
    </xf>
    <xf numFmtId="3" fontId="17" fillId="0" borderId="288" xfId="0" applyNumberFormat="1" applyFont="1" applyBorder="1" applyAlignment="1">
      <alignment horizontal="center" vertical="center"/>
    </xf>
    <xf numFmtId="177" fontId="17" fillId="46" borderId="196" xfId="31" applyNumberFormat="1" applyFont="1" applyFill="1" applyBorder="1" applyAlignment="1">
      <alignment horizontal="center" vertical="center"/>
    </xf>
    <xf numFmtId="9" fontId="17" fillId="71" borderId="334" xfId="0" applyNumberFormat="1" applyFont="1" applyFill="1" applyBorder="1"/>
    <xf numFmtId="168" fontId="17" fillId="71" borderId="0" xfId="28" applyNumberFormat="1" applyFont="1" applyFill="1"/>
    <xf numFmtId="169" fontId="136" fillId="0" borderId="13" xfId="28" applyNumberFormat="1" applyFont="1" applyFill="1" applyBorder="1" applyAlignment="1">
      <alignment horizontal="left"/>
    </xf>
    <xf numFmtId="223" fontId="17" fillId="0" borderId="0" xfId="0" applyNumberFormat="1" applyFont="1" applyAlignment="1">
      <alignment horizontal="left"/>
    </xf>
    <xf numFmtId="200" fontId="17" fillId="0" borderId="0" xfId="0" applyNumberFormat="1" applyFont="1" applyAlignment="1">
      <alignment horizontal="left"/>
    </xf>
    <xf numFmtId="0" fontId="17" fillId="46" borderId="0" xfId="0" applyFont="1" applyFill="1" applyAlignment="1">
      <alignment horizontal="left" wrapText="1"/>
    </xf>
    <xf numFmtId="4" fontId="17" fillId="46" borderId="162" xfId="0" applyNumberFormat="1" applyFont="1" applyFill="1" applyBorder="1" applyAlignment="1">
      <alignment horizontal="center"/>
    </xf>
    <xf numFmtId="0" fontId="17" fillId="46" borderId="57" xfId="0" applyFont="1" applyFill="1" applyBorder="1"/>
    <xf numFmtId="177" fontId="49" fillId="46" borderId="162" xfId="0" applyNumberFormat="1" applyFont="1" applyFill="1" applyBorder="1" applyAlignment="1">
      <alignment horizontal="center"/>
    </xf>
    <xf numFmtId="3" fontId="160" fillId="51" borderId="0" xfId="79" applyNumberFormat="1" applyFont="1" applyFill="1" applyBorder="1" applyAlignment="1" applyProtection="1">
      <alignment horizontal="left" vertical="center"/>
      <protection locked="0"/>
    </xf>
    <xf numFmtId="0" fontId="17" fillId="51" borderId="0" xfId="77" applyFill="1" applyProtection="1">
      <protection locked="0"/>
    </xf>
    <xf numFmtId="1" fontId="49" fillId="51" borderId="40" xfId="0" applyNumberFormat="1" applyFont="1" applyFill="1" applyBorder="1" applyAlignment="1" applyProtection="1">
      <alignment horizontal="center"/>
      <protection locked="0"/>
    </xf>
    <xf numFmtId="10" fontId="106" fillId="51" borderId="0" xfId="77" applyNumberFormat="1" applyFont="1" applyFill="1" applyAlignment="1">
      <alignment horizontal="center"/>
    </xf>
    <xf numFmtId="0" fontId="130" fillId="51" borderId="0" xfId="77" applyFont="1" applyFill="1" applyAlignment="1">
      <alignment horizontal="right"/>
    </xf>
    <xf numFmtId="172" fontId="160" fillId="51" borderId="0" xfId="77" applyNumberFormat="1" applyFont="1" applyFill="1" applyAlignment="1">
      <alignment horizontal="center" vertical="center"/>
    </xf>
    <xf numFmtId="4" fontId="160" fillId="51" borderId="0" xfId="77" applyNumberFormat="1" applyFont="1" applyFill="1" applyAlignment="1">
      <alignment horizontal="center" vertical="center"/>
    </xf>
    <xf numFmtId="0" fontId="106" fillId="51" borderId="0" xfId="77" applyFont="1" applyFill="1" applyAlignment="1">
      <alignment horizontal="right"/>
    </xf>
    <xf numFmtId="0" fontId="17" fillId="51" borderId="0" xfId="77" applyFill="1"/>
    <xf numFmtId="174" fontId="130" fillId="51" borderId="0" xfId="77" applyNumberFormat="1" applyFont="1" applyFill="1" applyAlignment="1">
      <alignment horizontal="right"/>
    </xf>
    <xf numFmtId="4" fontId="141" fillId="51" borderId="267" xfId="79" applyNumberFormat="1" applyFont="1" applyFill="1" applyBorder="1" applyAlignment="1" applyProtection="1">
      <alignment horizontal="center" vertical="center"/>
      <protection locked="0"/>
    </xf>
    <xf numFmtId="327" fontId="17" fillId="46" borderId="267" xfId="0" applyNumberFormat="1" applyFont="1" applyFill="1" applyBorder="1" applyAlignment="1">
      <alignment horizontal="center"/>
    </xf>
    <xf numFmtId="328" fontId="17" fillId="46" borderId="267" xfId="0" applyNumberFormat="1" applyFont="1" applyFill="1" applyBorder="1" applyAlignment="1">
      <alignment horizontal="center"/>
    </xf>
    <xf numFmtId="329" fontId="17" fillId="46" borderId="267" xfId="0" applyNumberFormat="1" applyFont="1" applyFill="1" applyBorder="1" applyAlignment="1">
      <alignment horizontal="center"/>
    </xf>
    <xf numFmtId="0" fontId="17" fillId="46" borderId="267" xfId="0" applyFont="1" applyFill="1" applyBorder="1"/>
    <xf numFmtId="222" fontId="17" fillId="46" borderId="267" xfId="0" applyNumberFormat="1" applyFont="1" applyFill="1" applyBorder="1" applyAlignment="1">
      <alignment horizontal="center"/>
    </xf>
    <xf numFmtId="264" fontId="17" fillId="46" borderId="267" xfId="0" applyNumberFormat="1" applyFont="1" applyFill="1" applyBorder="1"/>
    <xf numFmtId="270" fontId="17" fillId="46" borderId="267" xfId="0" applyNumberFormat="1" applyFont="1" applyFill="1" applyBorder="1"/>
    <xf numFmtId="330" fontId="17" fillId="46" borderId="267" xfId="0" applyNumberFormat="1" applyFont="1" applyFill="1" applyBorder="1"/>
    <xf numFmtId="210" fontId="17" fillId="46" borderId="267" xfId="0" applyNumberFormat="1" applyFont="1" applyFill="1" applyBorder="1" applyAlignment="1">
      <alignment horizontal="center"/>
    </xf>
    <xf numFmtId="265" fontId="17" fillId="46" borderId="271" xfId="0" applyNumberFormat="1" applyFont="1" applyFill="1" applyBorder="1"/>
    <xf numFmtId="177" fontId="17" fillId="46" borderId="0" xfId="33" applyNumberFormat="1" applyFont="1" applyFill="1" applyBorder="1" applyAlignment="1"/>
    <xf numFmtId="246" fontId="17" fillId="46" borderId="267" xfId="0" applyNumberFormat="1" applyFont="1" applyFill="1" applyBorder="1"/>
    <xf numFmtId="331" fontId="17" fillId="46" borderId="267" xfId="0" applyNumberFormat="1" applyFont="1" applyFill="1" applyBorder="1"/>
    <xf numFmtId="332" fontId="17" fillId="46" borderId="267" xfId="0" applyNumberFormat="1" applyFont="1" applyFill="1" applyBorder="1"/>
    <xf numFmtId="333" fontId="17" fillId="46" borderId="267" xfId="0" applyNumberFormat="1" applyFont="1" applyFill="1" applyBorder="1"/>
    <xf numFmtId="334" fontId="17" fillId="46" borderId="267" xfId="0" applyNumberFormat="1" applyFont="1" applyFill="1" applyBorder="1" applyAlignment="1">
      <alignment horizontal="center"/>
    </xf>
    <xf numFmtId="335" fontId="17" fillId="46" borderId="271" xfId="0" applyNumberFormat="1" applyFont="1" applyFill="1" applyBorder="1"/>
    <xf numFmtId="0" fontId="49" fillId="46" borderId="137" xfId="0" applyFont="1" applyFill="1" applyBorder="1" applyAlignment="1">
      <alignment vertical="center"/>
    </xf>
    <xf numFmtId="0" fontId="49" fillId="46" borderId="0" xfId="0" applyFont="1" applyFill="1" applyAlignment="1">
      <alignment horizontal="center"/>
    </xf>
    <xf numFmtId="177" fontId="49" fillId="59" borderId="0" xfId="33" applyNumberFormat="1" applyFont="1" applyFill="1" applyBorder="1" applyAlignment="1">
      <alignment horizontal="center"/>
    </xf>
    <xf numFmtId="177" fontId="17" fillId="59" borderId="0" xfId="33" applyNumberFormat="1" applyFont="1" applyFill="1" applyBorder="1"/>
    <xf numFmtId="226" fontId="17" fillId="0" borderId="361" xfId="0" applyNumberFormat="1" applyFont="1" applyBorder="1" applyAlignment="1">
      <alignment horizontal="center"/>
    </xf>
    <xf numFmtId="0" fontId="17" fillId="0" borderId="361" xfId="0" applyFont="1" applyBorder="1"/>
    <xf numFmtId="0" fontId="17" fillId="0" borderId="361" xfId="0" applyFont="1" applyBorder="1" applyAlignment="1">
      <alignment horizontal="center"/>
    </xf>
    <xf numFmtId="168" fontId="17" fillId="0" borderId="269" xfId="28" applyNumberFormat="1" applyFont="1" applyFill="1" applyBorder="1" applyAlignment="1">
      <alignment horizontal="center"/>
    </xf>
    <xf numFmtId="226" fontId="17" fillId="0" borderId="203" xfId="0" applyNumberFormat="1" applyFont="1" applyBorder="1" applyAlignment="1">
      <alignment horizontal="center"/>
    </xf>
    <xf numFmtId="41" fontId="17" fillId="0" borderId="362" xfId="28" applyNumberFormat="1" applyFont="1" applyFill="1" applyBorder="1"/>
    <xf numFmtId="41" fontId="17" fillId="0" borderId="361" xfId="28" applyNumberFormat="1" applyFont="1" applyFill="1" applyBorder="1"/>
    <xf numFmtId="41" fontId="17" fillId="0" borderId="363" xfId="28" quotePrefix="1" applyNumberFormat="1" applyFont="1" applyFill="1" applyBorder="1" applyAlignment="1">
      <alignment horizontal="center"/>
    </xf>
    <xf numFmtId="0" fontId="17" fillId="0" borderId="203" xfId="0" applyFont="1" applyBorder="1"/>
    <xf numFmtId="168" fontId="17" fillId="0" borderId="203" xfId="28" applyNumberFormat="1" applyFont="1" applyFill="1" applyBorder="1"/>
    <xf numFmtId="4" fontId="155" fillId="0" borderId="0" xfId="77" applyNumberFormat="1" applyFont="1" applyAlignment="1" applyProtection="1">
      <alignment horizontal="center" vertical="center"/>
      <protection locked="0"/>
    </xf>
    <xf numFmtId="174" fontId="17" fillId="32" borderId="328" xfId="76" applyNumberFormat="1" applyFont="1" applyFill="1" applyBorder="1" applyAlignment="1">
      <alignment horizontal="center"/>
    </xf>
    <xf numFmtId="9" fontId="17" fillId="32" borderId="328" xfId="64" applyFont="1" applyFill="1" applyBorder="1" applyAlignment="1">
      <alignment horizontal="center"/>
    </xf>
    <xf numFmtId="168" fontId="17" fillId="32" borderId="328" xfId="28" applyNumberFormat="1" applyFont="1" applyFill="1" applyBorder="1" applyAlignment="1">
      <alignment horizontal="center"/>
    </xf>
    <xf numFmtId="224" fontId="49" fillId="0" borderId="137" xfId="48" applyNumberFormat="1" applyFont="1" applyBorder="1" applyAlignment="1" applyProtection="1">
      <alignment horizontal="center"/>
      <protection locked="0"/>
    </xf>
    <xf numFmtId="172" fontId="17" fillId="0" borderId="137" xfId="0" applyNumberFormat="1" applyFont="1" applyBorder="1" applyAlignment="1">
      <alignment horizontal="right" vertical="center"/>
    </xf>
    <xf numFmtId="168" fontId="17" fillId="0" borderId="137" xfId="28" applyNumberFormat="1" applyFont="1" applyFill="1" applyBorder="1" applyAlignment="1">
      <alignment horizontal="right" vertical="center"/>
    </xf>
    <xf numFmtId="0" fontId="49" fillId="0" borderId="0" xfId="48" applyFont="1" applyAlignment="1" applyProtection="1">
      <alignment horizontal="center"/>
      <protection locked="0"/>
    </xf>
    <xf numFmtId="4" fontId="17" fillId="0" borderId="137" xfId="0" applyNumberFormat="1" applyFont="1" applyBorder="1" applyAlignment="1">
      <alignment horizontal="right" vertical="center"/>
    </xf>
    <xf numFmtId="9" fontId="17" fillId="0" borderId="137" xfId="64" applyFont="1" applyFill="1" applyBorder="1" applyAlignment="1">
      <alignment horizontal="right" vertical="center"/>
    </xf>
    <xf numFmtId="3" fontId="17" fillId="0" borderId="294" xfId="0" quotePrefix="1" applyNumberFormat="1" applyFont="1" applyBorder="1" applyAlignment="1">
      <alignment horizontal="center"/>
    </xf>
    <xf numFmtId="226" fontId="17" fillId="0" borderId="376" xfId="0" applyNumberFormat="1" applyFont="1" applyBorder="1" applyAlignment="1">
      <alignment horizontal="center"/>
    </xf>
    <xf numFmtId="0" fontId="17" fillId="0" borderId="376" xfId="0" applyFont="1" applyBorder="1"/>
    <xf numFmtId="0" fontId="17" fillId="0" borderId="376" xfId="0" applyFont="1" applyBorder="1" applyAlignment="1">
      <alignment horizontal="center"/>
    </xf>
    <xf numFmtId="41" fontId="49" fillId="0" borderId="269" xfId="0" applyNumberFormat="1" applyFont="1" applyBorder="1"/>
    <xf numFmtId="41" fontId="17" fillId="0" borderId="267" xfId="0" applyNumberFormat="1" applyFont="1" applyBorder="1"/>
    <xf numFmtId="41" fontId="17" fillId="0" borderId="269" xfId="0" applyNumberFormat="1" applyFont="1" applyBorder="1" applyAlignment="1">
      <alignment horizontal="center"/>
    </xf>
    <xf numFmtId="41" fontId="17" fillId="0" borderId="267" xfId="0" applyNumberFormat="1" applyFont="1" applyBorder="1" applyAlignment="1">
      <alignment horizontal="center"/>
    </xf>
    <xf numFmtId="41" fontId="17" fillId="0" borderId="290" xfId="0" applyNumberFormat="1" applyFont="1" applyBorder="1" applyAlignment="1">
      <alignment horizontal="center"/>
    </xf>
    <xf numFmtId="41" fontId="17" fillId="0" borderId="268" xfId="0" applyNumberFormat="1" applyFont="1" applyBorder="1" applyAlignment="1">
      <alignment horizontal="center"/>
    </xf>
    <xf numFmtId="41" fontId="17" fillId="0" borderId="269" xfId="0" applyNumberFormat="1" applyFont="1" applyBorder="1"/>
    <xf numFmtId="41" fontId="17" fillId="0" borderId="268" xfId="0" applyNumberFormat="1" applyFont="1" applyBorder="1"/>
    <xf numFmtId="41" fontId="17" fillId="0" borderId="291" xfId="0" applyNumberFormat="1" applyFont="1" applyBorder="1" applyAlignment="1">
      <alignment horizontal="center"/>
    </xf>
    <xf numFmtId="41" fontId="17" fillId="0" borderId="292" xfId="0" applyNumberFormat="1" applyFont="1" applyBorder="1" applyAlignment="1">
      <alignment horizontal="center"/>
    </xf>
    <xf numFmtId="41" fontId="17" fillId="0" borderId="294" xfId="0" applyNumberFormat="1" applyFont="1" applyBorder="1" applyAlignment="1">
      <alignment horizontal="center"/>
    </xf>
    <xf numFmtId="41" fontId="17" fillId="0" borderId="361" xfId="0" applyNumberFormat="1" applyFont="1" applyBorder="1" applyAlignment="1">
      <alignment horizontal="left"/>
    </xf>
    <xf numFmtId="41" fontId="17" fillId="0" borderId="361" xfId="0" applyNumberFormat="1" applyFont="1" applyBorder="1"/>
    <xf numFmtId="0" fontId="17" fillId="0" borderId="267" xfId="0" applyFont="1" applyBorder="1" applyAlignment="1">
      <alignment horizontal="center" vertical="center"/>
    </xf>
    <xf numFmtId="177" fontId="17" fillId="0" borderId="146" xfId="0" applyNumberFormat="1" applyFont="1" applyBorder="1"/>
    <xf numFmtId="177" fontId="17" fillId="0" borderId="377" xfId="0" applyNumberFormat="1" applyFont="1" applyBorder="1"/>
    <xf numFmtId="177" fontId="17" fillId="0" borderId="378" xfId="0" applyNumberFormat="1" applyFont="1" applyBorder="1"/>
    <xf numFmtId="177" fontId="17" fillId="0" borderId="380" xfId="0" applyNumberFormat="1" applyFont="1" applyBorder="1"/>
    <xf numFmtId="0" fontId="17" fillId="0" borderId="276" xfId="0" applyFont="1" applyBorder="1" applyAlignment="1">
      <alignment horizontal="center" vertical="center"/>
    </xf>
    <xf numFmtId="168" fontId="23" fillId="0" borderId="325" xfId="28" applyNumberFormat="1" applyFont="1" applyFill="1" applyBorder="1" applyAlignment="1" applyProtection="1">
      <alignment horizontal="center"/>
      <protection locked="0"/>
    </xf>
    <xf numFmtId="41" fontId="17" fillId="0" borderId="291" xfId="28" quotePrefix="1" applyNumberFormat="1" applyFont="1" applyFill="1" applyBorder="1" applyAlignment="1">
      <alignment horizontal="center"/>
    </xf>
    <xf numFmtId="41" fontId="17" fillId="0" borderId="292" xfId="0" quotePrefix="1" applyNumberFormat="1" applyFont="1" applyBorder="1" applyAlignment="1">
      <alignment horizontal="center"/>
    </xf>
    <xf numFmtId="3" fontId="17" fillId="0" borderId="277" xfId="0" quotePrefix="1" applyNumberFormat="1" applyFont="1" applyBorder="1" applyAlignment="1">
      <alignment horizontal="center"/>
    </xf>
    <xf numFmtId="3" fontId="17" fillId="0" borderId="278" xfId="0" quotePrefix="1" applyNumberFormat="1" applyFont="1" applyBorder="1" applyAlignment="1">
      <alignment horizontal="center"/>
    </xf>
    <xf numFmtId="3" fontId="17" fillId="0" borderId="279" xfId="0" quotePrefix="1" applyNumberFormat="1" applyFont="1" applyBorder="1" applyAlignment="1">
      <alignment horizontal="center"/>
    </xf>
    <xf numFmtId="0" fontId="17" fillId="0" borderId="196" xfId="0" applyFont="1" applyBorder="1" applyAlignment="1">
      <alignment horizontal="center" vertical="center" wrapText="1"/>
    </xf>
    <xf numFmtId="0" fontId="17" fillId="0" borderId="158" xfId="0" applyFont="1" applyBorder="1"/>
    <xf numFmtId="0" fontId="17" fillId="0" borderId="157" xfId="0" applyFont="1" applyBorder="1"/>
    <xf numFmtId="0" fontId="17" fillId="0" borderId="159" xfId="0" applyFont="1" applyBorder="1"/>
    <xf numFmtId="0" fontId="17" fillId="0" borderId="153" xfId="0" applyFont="1" applyBorder="1" applyAlignment="1">
      <alignment wrapText="1"/>
    </xf>
    <xf numFmtId="0" fontId="17" fillId="0" borderId="159" xfId="0" applyFont="1" applyBorder="1" applyAlignment="1">
      <alignment wrapText="1"/>
    </xf>
    <xf numFmtId="0" fontId="17" fillId="0" borderId="196" xfId="0" applyFont="1" applyBorder="1" applyAlignment="1">
      <alignment horizontal="center" wrapText="1"/>
    </xf>
    <xf numFmtId="177" fontId="17" fillId="0" borderId="216" xfId="33" applyNumberFormat="1" applyFont="1" applyFill="1" applyBorder="1"/>
    <xf numFmtId="43" fontId="17" fillId="0" borderId="218" xfId="0" applyNumberFormat="1" applyFont="1" applyBorder="1"/>
    <xf numFmtId="177" fontId="17" fillId="0" borderId="219" xfId="33" applyNumberFormat="1" applyFont="1" applyFill="1" applyBorder="1"/>
    <xf numFmtId="43" fontId="17" fillId="0" borderId="382" xfId="0" applyNumberFormat="1" applyFont="1" applyBorder="1"/>
    <xf numFmtId="177" fontId="17" fillId="0" borderId="220" xfId="33" applyNumberFormat="1" applyFont="1" applyFill="1" applyBorder="1"/>
    <xf numFmtId="43" fontId="17" fillId="0" borderId="383" xfId="0" applyNumberFormat="1" applyFont="1" applyBorder="1"/>
    <xf numFmtId="177" fontId="17" fillId="0" borderId="217" xfId="33" applyNumberFormat="1" applyFont="1" applyFill="1" applyBorder="1"/>
    <xf numFmtId="177" fontId="17" fillId="0" borderId="221" xfId="33" applyNumberFormat="1" applyFont="1" applyFill="1" applyBorder="1"/>
    <xf numFmtId="0" fontId="17" fillId="0" borderId="196" xfId="0" applyFont="1" applyBorder="1" applyAlignment="1">
      <alignment horizontal="center" vertical="center"/>
    </xf>
    <xf numFmtId="0" fontId="17" fillId="0" borderId="196" xfId="0" applyFont="1" applyBorder="1" applyAlignment="1">
      <alignment vertical="center"/>
    </xf>
    <xf numFmtId="226" fontId="17" fillId="0" borderId="210" xfId="0" applyNumberFormat="1" applyFont="1" applyBorder="1" applyAlignment="1">
      <alignment horizontal="center"/>
    </xf>
    <xf numFmtId="226" fontId="17" fillId="0" borderId="211" xfId="0" applyNumberFormat="1" applyFont="1" applyBorder="1" applyAlignment="1">
      <alignment horizontal="center"/>
    </xf>
    <xf numFmtId="0" fontId="17" fillId="0" borderId="211" xfId="0" applyFont="1" applyBorder="1"/>
    <xf numFmtId="0" fontId="17" fillId="0" borderId="211" xfId="0" applyFont="1" applyBorder="1" applyAlignment="1">
      <alignment horizontal="center"/>
    </xf>
    <xf numFmtId="41" fontId="17" fillId="0" borderId="211" xfId="0" applyNumberFormat="1" applyFont="1" applyBorder="1" applyAlignment="1">
      <alignment horizontal="left"/>
    </xf>
    <xf numFmtId="41" fontId="17" fillId="0" borderId="211" xfId="0" applyNumberFormat="1" applyFont="1" applyBorder="1"/>
    <xf numFmtId="226" fontId="17" fillId="0" borderId="212" xfId="0" applyNumberFormat="1" applyFont="1" applyBorder="1" applyAlignment="1">
      <alignment horizontal="center"/>
    </xf>
    <xf numFmtId="226" fontId="17" fillId="0" borderId="214" xfId="0" applyNumberFormat="1" applyFont="1" applyBorder="1" applyAlignment="1">
      <alignment horizontal="center"/>
    </xf>
    <xf numFmtId="226" fontId="17" fillId="0" borderId="384" xfId="0" applyNumberFormat="1" applyFont="1" applyBorder="1" applyAlignment="1">
      <alignment horizontal="center"/>
    </xf>
    <xf numFmtId="0" fontId="17" fillId="0" borderId="384" xfId="0" applyFont="1" applyBorder="1"/>
    <xf numFmtId="0" fontId="17" fillId="0" borderId="384" xfId="0" applyFont="1" applyBorder="1" applyAlignment="1">
      <alignment horizontal="center"/>
    </xf>
    <xf numFmtId="0" fontId="17" fillId="0" borderId="215" xfId="0" applyFont="1" applyBorder="1"/>
    <xf numFmtId="168" fontId="17" fillId="0" borderId="215" xfId="28" applyNumberFormat="1" applyFont="1" applyFill="1" applyBorder="1"/>
    <xf numFmtId="41" fontId="17" fillId="0" borderId="384" xfId="0" applyNumberFormat="1" applyFont="1" applyBorder="1" applyAlignment="1">
      <alignment horizontal="left"/>
    </xf>
    <xf numFmtId="41" fontId="17" fillId="0" borderId="384" xfId="0" applyNumberFormat="1" applyFont="1" applyBorder="1"/>
    <xf numFmtId="226" fontId="17" fillId="0" borderId="215" xfId="0" applyNumberFormat="1" applyFont="1" applyBorder="1" applyAlignment="1">
      <alignment horizontal="center"/>
    </xf>
    <xf numFmtId="41" fontId="17" fillId="0" borderId="211" xfId="0" applyNumberFormat="1" applyFont="1" applyBorder="1" applyAlignment="1">
      <alignment horizontal="center"/>
    </xf>
    <xf numFmtId="41" fontId="17" fillId="0" borderId="361" xfId="0" applyNumberFormat="1" applyFont="1" applyBorder="1" applyAlignment="1">
      <alignment horizontal="center"/>
    </xf>
    <xf numFmtId="41" fontId="17" fillId="0" borderId="384" xfId="0" applyNumberFormat="1" applyFont="1" applyBorder="1" applyAlignment="1">
      <alignment horizontal="center"/>
    </xf>
    <xf numFmtId="41" fontId="17" fillId="0" borderId="359" xfId="0" applyNumberFormat="1" applyFont="1" applyBorder="1" applyAlignment="1">
      <alignment horizontal="center"/>
    </xf>
    <xf numFmtId="41" fontId="17" fillId="0" borderId="363" xfId="0" applyNumberFormat="1" applyFont="1" applyBorder="1" applyAlignment="1">
      <alignment horizontal="center"/>
    </xf>
    <xf numFmtId="41" fontId="17" fillId="0" borderId="385" xfId="0" applyNumberFormat="1" applyFont="1" applyBorder="1" applyAlignment="1">
      <alignment horizontal="center"/>
    </xf>
    <xf numFmtId="321" fontId="17" fillId="0" borderId="379" xfId="0" applyNumberFormat="1" applyFont="1" applyBorder="1"/>
    <xf numFmtId="321" fontId="17" fillId="0" borderId="381" xfId="0" applyNumberFormat="1" applyFont="1" applyBorder="1"/>
    <xf numFmtId="43" fontId="17" fillId="0" borderId="269" xfId="0" quotePrefix="1" applyNumberFormat="1" applyFont="1" applyBorder="1" applyAlignment="1">
      <alignment horizontal="center"/>
    </xf>
    <xf numFmtId="43" fontId="17" fillId="0" borderId="267" xfId="0" quotePrefix="1" applyNumberFormat="1" applyFont="1" applyBorder="1" applyAlignment="1">
      <alignment horizontal="center"/>
    </xf>
    <xf numFmtId="43" fontId="17" fillId="0" borderId="269" xfId="0" applyNumberFormat="1" applyFont="1" applyBorder="1" applyAlignment="1">
      <alignment horizontal="center"/>
    </xf>
    <xf numFmtId="43" fontId="17" fillId="0" borderId="268" xfId="0" quotePrefix="1" applyNumberFormat="1" applyFont="1" applyBorder="1" applyAlignment="1">
      <alignment horizontal="center"/>
    </xf>
    <xf numFmtId="43" fontId="17" fillId="0" borderId="267" xfId="0" applyNumberFormat="1" applyFont="1" applyBorder="1" applyAlignment="1">
      <alignment horizontal="center"/>
    </xf>
    <xf numFmtId="43" fontId="17" fillId="0" borderId="268" xfId="0" applyNumberFormat="1" applyFont="1" applyBorder="1" applyAlignment="1">
      <alignment horizontal="center"/>
    </xf>
    <xf numFmtId="43" fontId="17" fillId="0" borderId="211" xfId="0" quotePrefix="1" applyNumberFormat="1" applyFont="1" applyBorder="1" applyAlignment="1">
      <alignment horizontal="center"/>
    </xf>
    <xf numFmtId="43" fontId="17" fillId="0" borderId="361" xfId="0" quotePrefix="1" applyNumberFormat="1" applyFont="1" applyBorder="1" applyAlignment="1">
      <alignment horizontal="center"/>
    </xf>
    <xf numFmtId="43" fontId="17" fillId="0" borderId="384" xfId="0" quotePrefix="1" applyNumberFormat="1" applyFont="1" applyBorder="1" applyAlignment="1">
      <alignment horizontal="center"/>
    </xf>
    <xf numFmtId="41" fontId="17" fillId="0" borderId="296" xfId="0" quotePrefix="1" applyNumberFormat="1" applyFont="1" applyBorder="1" applyAlignment="1">
      <alignment horizontal="center"/>
    </xf>
    <xf numFmtId="41" fontId="17" fillId="0" borderId="269" xfId="0" quotePrefix="1" applyNumberFormat="1" applyFont="1" applyBorder="1" applyAlignment="1">
      <alignment horizontal="center"/>
    </xf>
    <xf numFmtId="41" fontId="17" fillId="0" borderId="291" xfId="0" quotePrefix="1" applyNumberFormat="1" applyFont="1" applyBorder="1" applyAlignment="1">
      <alignment horizontal="center"/>
    </xf>
    <xf numFmtId="41" fontId="17" fillId="0" borderId="374" xfId="0" quotePrefix="1" applyNumberFormat="1" applyFont="1" applyBorder="1" applyAlignment="1">
      <alignment horizontal="center"/>
    </xf>
    <xf numFmtId="41" fontId="17" fillId="0" borderId="267" xfId="0" quotePrefix="1" applyNumberFormat="1" applyFont="1" applyBorder="1" applyAlignment="1">
      <alignment horizontal="center"/>
    </xf>
    <xf numFmtId="41" fontId="17" fillId="0" borderId="375" xfId="0" quotePrefix="1" applyNumberFormat="1" applyFont="1" applyBorder="1" applyAlignment="1">
      <alignment horizontal="center"/>
    </xf>
    <xf numFmtId="41" fontId="17" fillId="0" borderId="268" xfId="0" quotePrefix="1" applyNumberFormat="1" applyFont="1" applyBorder="1" applyAlignment="1">
      <alignment horizontal="center"/>
    </xf>
    <xf numFmtId="41" fontId="17" fillId="0" borderId="294" xfId="0" quotePrefix="1" applyNumberFormat="1" applyFont="1" applyBorder="1" applyAlignment="1">
      <alignment horizontal="center"/>
    </xf>
    <xf numFmtId="41" fontId="17" fillId="0" borderId="295" xfId="0" quotePrefix="1" applyNumberFormat="1" applyFont="1" applyBorder="1" applyAlignment="1">
      <alignment horizontal="center"/>
    </xf>
    <xf numFmtId="41" fontId="17" fillId="0" borderId="273" xfId="0" quotePrefix="1" applyNumberFormat="1" applyFont="1" applyBorder="1" applyAlignment="1">
      <alignment horizontal="center"/>
    </xf>
    <xf numFmtId="3" fontId="17" fillId="0" borderId="269" xfId="0" quotePrefix="1" applyNumberFormat="1" applyFont="1" applyBorder="1" applyAlignment="1">
      <alignment horizontal="center"/>
    </xf>
    <xf numFmtId="3" fontId="17" fillId="0" borderId="267" xfId="0" quotePrefix="1" applyNumberFormat="1" applyFont="1" applyBorder="1" applyAlignment="1">
      <alignment horizontal="center"/>
    </xf>
    <xf numFmtId="41" fontId="17" fillId="0" borderId="210" xfId="28" applyNumberFormat="1" applyFont="1" applyFill="1" applyBorder="1"/>
    <xf numFmtId="41" fontId="17" fillId="0" borderId="211" xfId="28" applyNumberFormat="1" applyFont="1" applyFill="1" applyBorder="1"/>
    <xf numFmtId="41" fontId="17" fillId="0" borderId="359" xfId="28" quotePrefix="1" applyNumberFormat="1" applyFont="1" applyFill="1" applyBorder="1" applyAlignment="1">
      <alignment horizontal="center"/>
    </xf>
    <xf numFmtId="41" fontId="17" fillId="0" borderId="386" xfId="28" applyNumberFormat="1" applyFont="1" applyFill="1" applyBorder="1"/>
    <xf numFmtId="41" fontId="17" fillId="0" borderId="384" xfId="28" applyNumberFormat="1" applyFont="1" applyFill="1" applyBorder="1"/>
    <xf numFmtId="41" fontId="17" fillId="0" borderId="385" xfId="28" quotePrefix="1" applyNumberFormat="1" applyFont="1" applyFill="1" applyBorder="1" applyAlignment="1">
      <alignment horizontal="center"/>
    </xf>
    <xf numFmtId="41" fontId="17" fillId="0" borderId="216" xfId="0" applyNumberFormat="1" applyFont="1" applyBorder="1"/>
    <xf numFmtId="41" fontId="17" fillId="0" borderId="217" xfId="0" applyNumberFormat="1" applyFont="1" applyBorder="1"/>
    <xf numFmtId="41" fontId="17" fillId="0" borderId="218" xfId="0" applyNumberFormat="1" applyFont="1" applyBorder="1"/>
    <xf numFmtId="41" fontId="17" fillId="0" borderId="219" xfId="0" applyNumberFormat="1" applyFont="1" applyBorder="1"/>
    <xf numFmtId="41" fontId="17" fillId="0" borderId="137" xfId="0" applyNumberFormat="1" applyFont="1" applyBorder="1"/>
    <xf numFmtId="41" fontId="17" fillId="0" borderId="382" xfId="0" applyNumberFormat="1" applyFont="1" applyBorder="1"/>
    <xf numFmtId="41" fontId="17" fillId="0" borderId="220" xfId="0" applyNumberFormat="1" applyFont="1" applyBorder="1"/>
    <xf numFmtId="41" fontId="17" fillId="0" borderId="221" xfId="0" applyNumberFormat="1" applyFont="1" applyBorder="1"/>
    <xf numFmtId="41" fontId="17" fillId="0" borderId="383" xfId="0" applyNumberFormat="1" applyFont="1" applyBorder="1"/>
    <xf numFmtId="41" fontId="17" fillId="0" borderId="175" xfId="33" applyNumberFormat="1" applyFont="1" applyFill="1" applyBorder="1" applyAlignment="1"/>
    <xf numFmtId="41" fontId="17" fillId="0" borderId="162" xfId="0" applyNumberFormat="1" applyFont="1" applyBorder="1" applyAlignment="1">
      <alignment horizontal="center"/>
    </xf>
    <xf numFmtId="41" fontId="17" fillId="0" borderId="170" xfId="33" applyNumberFormat="1" applyFont="1" applyFill="1" applyBorder="1" applyAlignment="1"/>
    <xf numFmtId="41" fontId="17" fillId="0" borderId="0" xfId="33" applyNumberFormat="1" applyFont="1" applyFill="1" applyBorder="1" applyAlignment="1"/>
    <xf numFmtId="41" fontId="17" fillId="0" borderId="0" xfId="0" applyNumberFormat="1" applyFont="1" applyAlignment="1">
      <alignment horizontal="center"/>
    </xf>
    <xf numFmtId="41" fontId="17" fillId="0" borderId="304" xfId="0" applyNumberFormat="1" applyFont="1" applyBorder="1" applyAlignment="1">
      <alignment vertical="center"/>
    </xf>
    <xf numFmtId="41" fontId="49" fillId="0" borderId="302" xfId="0" applyNumberFormat="1" applyFont="1" applyBorder="1" applyAlignment="1">
      <alignment vertical="center"/>
    </xf>
    <xf numFmtId="41" fontId="49" fillId="0" borderId="302" xfId="0" applyNumberFormat="1" applyFont="1" applyBorder="1" applyAlignment="1">
      <alignment horizontal="center" vertical="center"/>
    </xf>
    <xf numFmtId="41" fontId="17" fillId="0" borderId="137" xfId="0" applyNumberFormat="1" applyFont="1" applyBorder="1" applyAlignment="1">
      <alignment vertical="center"/>
    </xf>
    <xf numFmtId="41" fontId="17" fillId="0" borderId="146" xfId="0" applyNumberFormat="1" applyFont="1" applyBorder="1" applyAlignment="1">
      <alignment vertical="center" wrapText="1"/>
    </xf>
    <xf numFmtId="41" fontId="17" fillId="0" borderId="147" xfId="0" applyNumberFormat="1" applyFont="1" applyBorder="1" applyAlignment="1">
      <alignment vertical="center" wrapText="1"/>
    </xf>
    <xf numFmtId="41" fontId="17" fillId="0" borderId="137" xfId="0" applyNumberFormat="1" applyFont="1" applyBorder="1" applyAlignment="1">
      <alignment vertical="center" wrapText="1"/>
    </xf>
    <xf numFmtId="41" fontId="17" fillId="0" borderId="322" xfId="0" applyNumberFormat="1" applyFont="1" applyBorder="1" applyAlignment="1">
      <alignment vertical="center" wrapText="1"/>
    </xf>
    <xf numFmtId="41" fontId="49" fillId="0" borderId="323" xfId="0" applyNumberFormat="1" applyFont="1" applyBorder="1"/>
    <xf numFmtId="41" fontId="49" fillId="0" borderId="323" xfId="0" applyNumberFormat="1" applyFont="1" applyBorder="1" applyAlignment="1">
      <alignment horizontal="center"/>
    </xf>
    <xf numFmtId="41" fontId="17" fillId="46" borderId="0" xfId="0" applyNumberFormat="1" applyFont="1" applyFill="1"/>
    <xf numFmtId="3" fontId="17" fillId="71" borderId="23" xfId="0" applyNumberFormat="1" applyFont="1" applyFill="1" applyBorder="1"/>
    <xf numFmtId="3" fontId="17" fillId="0" borderId="270" xfId="0" applyNumberFormat="1" applyFont="1" applyBorder="1" applyAlignment="1">
      <alignment horizontal="center"/>
    </xf>
    <xf numFmtId="41" fontId="49" fillId="46" borderId="137" xfId="0" applyNumberFormat="1" applyFont="1" applyFill="1" applyBorder="1" applyAlignment="1">
      <alignment vertical="center"/>
    </xf>
    <xf numFmtId="41" fontId="49" fillId="46" borderId="137" xfId="0" applyNumberFormat="1" applyFont="1" applyFill="1" applyBorder="1" applyAlignment="1">
      <alignment horizontal="center" vertical="center"/>
    </xf>
    <xf numFmtId="168" fontId="17" fillId="46" borderId="328" xfId="31" applyNumberFormat="1" applyFont="1" applyFill="1" applyBorder="1" applyAlignment="1">
      <alignment horizontal="center" vertical="center"/>
    </xf>
    <xf numFmtId="168" fontId="17" fillId="46" borderId="328" xfId="31" applyNumberFormat="1" applyFont="1" applyFill="1" applyBorder="1" applyAlignment="1">
      <alignment horizontal="center"/>
    </xf>
    <xf numFmtId="3" fontId="49" fillId="46" borderId="0" xfId="0" applyNumberFormat="1" applyFont="1" applyFill="1" applyAlignment="1" applyProtection="1">
      <alignment horizontal="center" wrapText="1"/>
      <protection hidden="1"/>
    </xf>
    <xf numFmtId="41" fontId="17" fillId="0" borderId="0" xfId="0" applyNumberFormat="1" applyFont="1" applyProtection="1">
      <protection hidden="1"/>
    </xf>
    <xf numFmtId="0" fontId="133" fillId="0" borderId="0" xfId="0" applyFont="1" applyAlignment="1" applyProtection="1">
      <alignment horizontal="center"/>
      <protection hidden="1"/>
    </xf>
    <xf numFmtId="189" fontId="133" fillId="0" borderId="0" xfId="0" applyNumberFormat="1" applyFont="1" applyAlignment="1" applyProtection="1">
      <alignment horizontal="center"/>
      <protection hidden="1"/>
    </xf>
    <xf numFmtId="9" fontId="17" fillId="0" borderId="0" xfId="64" applyFont="1"/>
    <xf numFmtId="3" fontId="17" fillId="71" borderId="118" xfId="0" applyNumberFormat="1" applyFont="1" applyFill="1" applyBorder="1" applyAlignment="1">
      <alignment horizontal="center"/>
    </xf>
    <xf numFmtId="3" fontId="17" fillId="71" borderId="117" xfId="0" applyNumberFormat="1" applyFont="1" applyFill="1" applyBorder="1" applyAlignment="1">
      <alignment horizontal="center"/>
    </xf>
    <xf numFmtId="168" fontId="17" fillId="51" borderId="334" xfId="28" applyNumberFormat="1" applyFont="1" applyFill="1" applyBorder="1"/>
    <xf numFmtId="0" fontId="17" fillId="71" borderId="73" xfId="0" applyFont="1" applyFill="1" applyBorder="1"/>
    <xf numFmtId="0" fontId="17" fillId="71" borderId="318" xfId="0" applyFont="1" applyFill="1" applyBorder="1"/>
    <xf numFmtId="0" fontId="17" fillId="71" borderId="283" xfId="0" applyFont="1" applyFill="1" applyBorder="1" applyAlignment="1">
      <alignment horizontal="center"/>
    </xf>
    <xf numFmtId="244" fontId="17" fillId="71" borderId="297" xfId="79" applyNumberFormat="1" applyFont="1" applyFill="1" applyBorder="1" applyAlignment="1">
      <alignment horizontal="center"/>
    </xf>
    <xf numFmtId="240" fontId="17" fillId="71" borderId="387" xfId="79" applyNumberFormat="1" applyFont="1" applyFill="1" applyBorder="1" applyAlignment="1">
      <alignment horizontal="center"/>
    </xf>
    <xf numFmtId="244" fontId="17" fillId="71" borderId="318" xfId="79" applyNumberFormat="1" applyFont="1" applyFill="1" applyBorder="1" applyAlignment="1">
      <alignment horizontal="center"/>
    </xf>
    <xf numFmtId="0" fontId="17" fillId="71" borderId="313" xfId="0" applyFont="1" applyFill="1" applyBorder="1"/>
    <xf numFmtId="0" fontId="17" fillId="71" borderId="319" xfId="0" applyFont="1" applyFill="1" applyBorder="1" applyAlignment="1">
      <alignment horizontal="center"/>
    </xf>
    <xf numFmtId="244" fontId="17" fillId="71" borderId="321" xfId="79" applyNumberFormat="1" applyFont="1" applyFill="1" applyBorder="1" applyAlignment="1">
      <alignment horizontal="center"/>
    </xf>
    <xf numFmtId="3" fontId="17" fillId="71" borderId="388" xfId="79" applyNumberFormat="1" applyFont="1" applyFill="1" applyBorder="1" applyAlignment="1">
      <alignment horizontal="center"/>
    </xf>
    <xf numFmtId="0" fontId="17" fillId="71" borderId="276" xfId="0" applyFont="1" applyFill="1" applyBorder="1"/>
    <xf numFmtId="244" fontId="17" fillId="71" borderId="283" xfId="79" applyNumberFormat="1" applyFont="1" applyFill="1" applyBorder="1" applyAlignment="1">
      <alignment horizontal="center"/>
    </xf>
    <xf numFmtId="174" fontId="17" fillId="71" borderId="276" xfId="79" applyNumberFormat="1" applyFont="1" applyFill="1" applyBorder="1" applyAlignment="1">
      <alignment horizontal="center"/>
    </xf>
    <xf numFmtId="0" fontId="17" fillId="71" borderId="357" xfId="0" applyFont="1" applyFill="1" applyBorder="1"/>
    <xf numFmtId="174" fontId="17" fillId="71" borderId="357" xfId="79" applyNumberFormat="1" applyFont="1" applyFill="1" applyBorder="1" applyAlignment="1">
      <alignment horizontal="center"/>
    </xf>
    <xf numFmtId="0" fontId="17" fillId="71" borderId="283" xfId="0" applyFont="1" applyFill="1" applyBorder="1"/>
    <xf numFmtId="0" fontId="17" fillId="71" borderId="297" xfId="0" applyFont="1" applyFill="1" applyBorder="1"/>
    <xf numFmtId="174" fontId="17" fillId="71" borderId="297" xfId="79" applyNumberFormat="1" applyFont="1" applyFill="1" applyBorder="1" applyAlignment="1">
      <alignment horizontal="center"/>
    </xf>
    <xf numFmtId="3" fontId="17" fillId="71" borderId="387" xfId="79" applyNumberFormat="1" applyFont="1" applyFill="1" applyBorder="1" applyAlignment="1">
      <alignment horizontal="center"/>
    </xf>
    <xf numFmtId="174" fontId="17" fillId="71" borderId="318" xfId="79" applyNumberFormat="1" applyFont="1" applyFill="1" applyBorder="1" applyAlignment="1">
      <alignment horizontal="center"/>
    </xf>
    <xf numFmtId="0" fontId="17" fillId="71" borderId="319" xfId="0" applyFont="1" applyFill="1" applyBorder="1"/>
    <xf numFmtId="244" fontId="17" fillId="71" borderId="280" xfId="79" applyNumberFormat="1" applyFont="1" applyFill="1" applyBorder="1" applyAlignment="1">
      <alignment horizontal="center"/>
    </xf>
    <xf numFmtId="0" fontId="17" fillId="71" borderId="25" xfId="0" applyFont="1" applyFill="1" applyBorder="1"/>
    <xf numFmtId="3" fontId="17" fillId="71" borderId="21" xfId="0" applyNumberFormat="1" applyFont="1" applyFill="1" applyBorder="1"/>
    <xf numFmtId="3" fontId="17" fillId="71" borderId="26" xfId="0" applyNumberFormat="1" applyFont="1" applyFill="1" applyBorder="1"/>
    <xf numFmtId="3" fontId="17" fillId="71" borderId="56" xfId="0" applyNumberFormat="1" applyFont="1" applyFill="1" applyBorder="1"/>
    <xf numFmtId="324" fontId="17" fillId="71" borderId="334" xfId="0" applyNumberFormat="1" applyFont="1" applyFill="1" applyBorder="1" applyAlignment="1">
      <alignment horizontal="right"/>
    </xf>
    <xf numFmtId="178" fontId="132" fillId="46" borderId="0" xfId="0" applyNumberFormat="1" applyFont="1" applyFill="1" applyAlignment="1" applyProtection="1">
      <alignment horizontal="center"/>
      <protection hidden="1"/>
    </xf>
    <xf numFmtId="0" fontId="49" fillId="46" borderId="0" xfId="0" applyFont="1" applyFill="1" applyAlignment="1" applyProtection="1">
      <alignment horizontal="center"/>
      <protection hidden="1"/>
    </xf>
    <xf numFmtId="190" fontId="17" fillId="46" borderId="0" xfId="0" applyNumberFormat="1" applyFont="1" applyFill="1" applyProtection="1">
      <protection hidden="1"/>
    </xf>
    <xf numFmtId="0" fontId="17" fillId="0" borderId="270" xfId="0" applyFont="1" applyBorder="1" applyAlignment="1">
      <alignment horizontal="center" vertical="center"/>
    </xf>
    <xf numFmtId="0" fontId="49" fillId="0" borderId="270" xfId="0" applyFont="1" applyBorder="1" applyAlignment="1">
      <alignment vertical="center"/>
    </xf>
    <xf numFmtId="0" fontId="49" fillId="0" borderId="270" xfId="0" applyFont="1" applyBorder="1"/>
    <xf numFmtId="0" fontId="49" fillId="0" borderId="287" xfId="0" applyFont="1" applyBorder="1"/>
    <xf numFmtId="0" fontId="49" fillId="0" borderId="270" xfId="0" applyFont="1" applyBorder="1" applyAlignment="1">
      <alignment horizontal="center"/>
    </xf>
    <xf numFmtId="0" fontId="49" fillId="0" borderId="284" xfId="0" applyFont="1" applyBorder="1" applyAlignment="1">
      <alignment horizontal="center"/>
    </xf>
    <xf numFmtId="0" fontId="17" fillId="0" borderId="318" xfId="0" applyFont="1" applyBorder="1" applyAlignment="1">
      <alignment horizontal="right"/>
    </xf>
    <xf numFmtId="180" fontId="17" fillId="0" borderId="318" xfId="0" applyNumberFormat="1" applyFont="1" applyBorder="1" applyProtection="1">
      <protection hidden="1"/>
    </xf>
    <xf numFmtId="0" fontId="17" fillId="0" borderId="318" xfId="0" applyFont="1" applyBorder="1" applyProtection="1">
      <protection hidden="1"/>
    </xf>
    <xf numFmtId="167" fontId="17" fillId="0" borderId="318" xfId="0" applyNumberFormat="1" applyFont="1" applyBorder="1" applyAlignment="1" applyProtection="1">
      <alignment horizontal="left"/>
      <protection hidden="1"/>
    </xf>
    <xf numFmtId="0" fontId="17" fillId="0" borderId="15" xfId="0" applyFont="1" applyBorder="1" applyProtection="1">
      <protection hidden="1"/>
    </xf>
    <xf numFmtId="0" fontId="17" fillId="0" borderId="16" xfId="0" applyFont="1" applyBorder="1"/>
    <xf numFmtId="3" fontId="17" fillId="0" borderId="224" xfId="33" applyNumberFormat="1" applyFont="1" applyFill="1" applyBorder="1" applyAlignment="1">
      <alignment horizontal="right"/>
    </xf>
    <xf numFmtId="0" fontId="17" fillId="0" borderId="224" xfId="0" applyFont="1" applyBorder="1"/>
    <xf numFmtId="0" fontId="126" fillId="0" borderId="29" xfId="0" applyFont="1" applyBorder="1" applyProtection="1">
      <protection hidden="1"/>
    </xf>
    <xf numFmtId="0" fontId="17" fillId="0" borderId="13" xfId="0" applyFont="1" applyBorder="1"/>
    <xf numFmtId="194" fontId="17" fillId="0" borderId="13" xfId="0" applyNumberFormat="1" applyFont="1" applyBorder="1" applyAlignment="1" applyProtection="1">
      <alignment horizontal="center"/>
      <protection hidden="1"/>
    </xf>
    <xf numFmtId="0" fontId="17" fillId="0" borderId="270" xfId="0" applyFont="1" applyBorder="1" applyAlignment="1" applyProtection="1">
      <alignment horizontal="center"/>
      <protection hidden="1"/>
    </xf>
    <xf numFmtId="0" fontId="17" fillId="0" borderId="149" xfId="49" applyFont="1" applyBorder="1" applyAlignment="1">
      <alignment horizontal="center" vertical="center" wrapText="1"/>
    </xf>
    <xf numFmtId="0" fontId="17" fillId="0" borderId="135" xfId="49" applyFont="1" applyBorder="1" applyAlignment="1">
      <alignment horizontal="center" vertical="center" wrapText="1"/>
    </xf>
    <xf numFmtId="0" fontId="17" fillId="0" borderId="152" xfId="49" applyFont="1" applyBorder="1" applyAlignment="1">
      <alignment horizontal="center" vertical="center" wrapText="1"/>
    </xf>
    <xf numFmtId="0" fontId="17" fillId="0" borderId="0" xfId="49" applyFont="1" applyAlignment="1">
      <alignment horizontal="center" vertical="center" wrapText="1"/>
    </xf>
    <xf numFmtId="3" fontId="17" fillId="0" borderId="0" xfId="51" applyNumberFormat="1" applyFont="1" applyAlignment="1">
      <alignment horizontal="center"/>
    </xf>
    <xf numFmtId="3" fontId="17" fillId="0" borderId="0" xfId="51" applyNumberFormat="1" applyFont="1" applyAlignment="1">
      <alignment horizontal="left"/>
    </xf>
    <xf numFmtId="3" fontId="17" fillId="0" borderId="271" xfId="51" applyNumberFormat="1" applyFont="1" applyBorder="1" applyAlignment="1">
      <alignment horizontal="center"/>
    </xf>
    <xf numFmtId="3" fontId="17" fillId="0" borderId="270" xfId="51" applyNumberFormat="1" applyFont="1" applyBorder="1" applyAlignment="1">
      <alignment horizontal="center"/>
    </xf>
    <xf numFmtId="4" fontId="17" fillId="0" borderId="270" xfId="51" applyNumberFormat="1" applyFont="1" applyBorder="1" applyAlignment="1">
      <alignment horizontal="center"/>
    </xf>
    <xf numFmtId="3" fontId="17" fillId="0" borderId="7" xfId="51" applyNumberFormat="1" applyFont="1" applyBorder="1" applyAlignment="1">
      <alignment horizontal="center"/>
    </xf>
    <xf numFmtId="3" fontId="49" fillId="0" borderId="270" xfId="51" applyNumberFormat="1" applyFont="1" applyBorder="1" applyAlignment="1">
      <alignment horizontal="center"/>
    </xf>
    <xf numFmtId="3" fontId="17" fillId="0" borderId="273" xfId="51" applyNumberFormat="1" applyFont="1" applyBorder="1" applyAlignment="1">
      <alignment horizontal="left"/>
    </xf>
    <xf numFmtId="4" fontId="17" fillId="0" borderId="7" xfId="51" applyNumberFormat="1" applyFont="1" applyBorder="1" applyAlignment="1">
      <alignment horizontal="center"/>
    </xf>
    <xf numFmtId="3" fontId="49" fillId="0" borderId="272" xfId="51" applyNumberFormat="1" applyFont="1" applyBorder="1" applyAlignment="1">
      <alignment horizontal="center"/>
    </xf>
    <xf numFmtId="4" fontId="49" fillId="0" borderId="276" xfId="51" applyNumberFormat="1" applyFont="1" applyBorder="1" applyAlignment="1">
      <alignment horizontal="center"/>
    </xf>
    <xf numFmtId="3" fontId="17" fillId="0" borderId="270" xfId="51" applyNumberFormat="1" applyFont="1" applyBorder="1" applyAlignment="1">
      <alignment horizontal="right"/>
    </xf>
    <xf numFmtId="3" fontId="17" fillId="0" borderId="270" xfId="51" applyNumberFormat="1" applyFont="1" applyBorder="1" applyAlignment="1">
      <alignment horizontal="left"/>
    </xf>
    <xf numFmtId="3" fontId="17" fillId="0" borderId="273" xfId="51" applyNumberFormat="1" applyFont="1" applyBorder="1" applyAlignment="1">
      <alignment horizontal="center"/>
    </xf>
    <xf numFmtId="3" fontId="17" fillId="0" borderId="272" xfId="51" applyNumberFormat="1" applyFont="1" applyBorder="1" applyAlignment="1">
      <alignment horizontal="center"/>
    </xf>
    <xf numFmtId="3" fontId="17" fillId="0" borderId="150" xfId="51" applyNumberFormat="1" applyFont="1" applyBorder="1" applyAlignment="1">
      <alignment horizontal="center"/>
    </xf>
    <xf numFmtId="3" fontId="17" fillId="0" borderId="196" xfId="51" applyNumberFormat="1" applyFont="1" applyBorder="1" applyAlignment="1">
      <alignment horizontal="center"/>
    </xf>
    <xf numFmtId="3" fontId="17" fillId="0" borderId="274" xfId="51" applyNumberFormat="1" applyFont="1" applyBorder="1" applyAlignment="1">
      <alignment horizontal="center"/>
    </xf>
    <xf numFmtId="4" fontId="17" fillId="0" borderId="150" xfId="51" applyNumberFormat="1" applyFont="1" applyBorder="1" applyAlignment="1">
      <alignment horizontal="center"/>
    </xf>
    <xf numFmtId="3" fontId="17" fillId="0" borderId="58" xfId="51" applyNumberFormat="1" applyFont="1" applyBorder="1" applyAlignment="1">
      <alignment horizontal="center"/>
    </xf>
    <xf numFmtId="3" fontId="17" fillId="0" borderId="61" xfId="51" applyNumberFormat="1" applyFont="1" applyBorder="1" applyAlignment="1">
      <alignment horizontal="center"/>
    </xf>
    <xf numFmtId="3" fontId="17" fillId="0" borderId="58" xfId="51" applyNumberFormat="1" applyFont="1" applyBorder="1" applyAlignment="1">
      <alignment horizontal="left"/>
    </xf>
    <xf numFmtId="3" fontId="17" fillId="0" borderId="0" xfId="51" applyNumberFormat="1" applyFont="1" applyAlignment="1">
      <alignment horizontal="center" vertical="center"/>
    </xf>
    <xf numFmtId="3" fontId="17" fillId="0" borderId="149" xfId="51" applyNumberFormat="1" applyFont="1" applyBorder="1" applyAlignment="1">
      <alignment horizontal="center" vertical="center" wrapText="1"/>
    </xf>
    <xf numFmtId="3" fontId="49" fillId="0" borderId="149" xfId="51" applyNumberFormat="1" applyFont="1" applyBorder="1" applyAlignment="1">
      <alignment horizontal="center" vertical="center" wrapText="1"/>
    </xf>
    <xf numFmtId="3" fontId="49" fillId="0" borderId="225" xfId="51" applyNumberFormat="1" applyFont="1" applyBorder="1" applyAlignment="1">
      <alignment horizontal="center" vertical="center" wrapText="1"/>
    </xf>
    <xf numFmtId="3" fontId="49" fillId="0" borderId="149" xfId="51" applyNumberFormat="1" applyFont="1" applyBorder="1" applyAlignment="1">
      <alignment horizontal="center"/>
    </xf>
    <xf numFmtId="226" fontId="17" fillId="0" borderId="149" xfId="51" applyNumberFormat="1" applyFont="1" applyBorder="1" applyAlignment="1">
      <alignment horizontal="center"/>
    </xf>
    <xf numFmtId="9" fontId="17" fillId="0" borderId="149" xfId="68" applyFont="1" applyFill="1" applyBorder="1" applyAlignment="1">
      <alignment horizontal="center"/>
    </xf>
    <xf numFmtId="3" fontId="17" fillId="0" borderId="149" xfId="51" applyNumberFormat="1" applyFont="1" applyBorder="1" applyAlignment="1">
      <alignment horizontal="center"/>
    </xf>
    <xf numFmtId="3" fontId="17" fillId="0" borderId="149" xfId="51" applyNumberFormat="1" applyFont="1" applyBorder="1" applyAlignment="1">
      <alignment horizontal="left"/>
    </xf>
    <xf numFmtId="3" fontId="17" fillId="0" borderId="225" xfId="51" applyNumberFormat="1" applyFont="1" applyBorder="1" applyAlignment="1">
      <alignment horizontal="center"/>
    </xf>
    <xf numFmtId="174" fontId="17" fillId="0" borderId="149" xfId="68" applyNumberFormat="1" applyFont="1" applyFill="1" applyBorder="1" applyAlignment="1">
      <alignment horizontal="center"/>
    </xf>
    <xf numFmtId="3" fontId="17" fillId="0" borderId="225" xfId="51" applyNumberFormat="1" applyFont="1" applyBorder="1" applyAlignment="1">
      <alignment horizontal="left"/>
    </xf>
    <xf numFmtId="3" fontId="17" fillId="0" borderId="226" xfId="51" applyNumberFormat="1" applyFont="1" applyBorder="1" applyAlignment="1">
      <alignment horizontal="center"/>
    </xf>
    <xf numFmtId="3" fontId="17" fillId="0" borderId="227" xfId="51" applyNumberFormat="1" applyFont="1" applyBorder="1" applyAlignment="1">
      <alignment horizontal="center"/>
    </xf>
    <xf numFmtId="9" fontId="17" fillId="0" borderId="225" xfId="68" applyFont="1" applyFill="1" applyBorder="1" applyAlignment="1">
      <alignment horizontal="right"/>
    </xf>
    <xf numFmtId="3" fontId="17" fillId="0" borderId="226" xfId="51" applyNumberFormat="1" applyFont="1" applyBorder="1" applyAlignment="1">
      <alignment horizontal="left"/>
    </xf>
    <xf numFmtId="3" fontId="49" fillId="0" borderId="0" xfId="51" applyNumberFormat="1" applyFont="1" applyAlignment="1">
      <alignment horizontal="left"/>
    </xf>
    <xf numFmtId="0" fontId="17" fillId="0" borderId="0" xfId="51" applyFont="1" applyAlignment="1">
      <alignment wrapText="1"/>
    </xf>
    <xf numFmtId="3" fontId="17" fillId="0" borderId="0" xfId="51" applyNumberFormat="1" applyFont="1" applyAlignment="1">
      <alignment horizontal="center" wrapText="1"/>
    </xf>
    <xf numFmtId="3" fontId="49" fillId="0" borderId="135" xfId="51" applyNumberFormat="1" applyFont="1" applyBorder="1" applyAlignment="1">
      <alignment horizontal="center" vertical="center" wrapText="1"/>
    </xf>
    <xf numFmtId="3" fontId="17" fillId="46" borderId="328" xfId="51" applyNumberFormat="1" applyFont="1" applyFill="1" applyBorder="1" applyAlignment="1">
      <alignment horizontal="center" vertical="center" wrapText="1"/>
    </xf>
    <xf numFmtId="3" fontId="49" fillId="46" borderId="328" xfId="51" applyNumberFormat="1" applyFont="1" applyFill="1" applyBorder="1" applyAlignment="1">
      <alignment horizontal="center" vertical="center" wrapText="1"/>
    </xf>
    <xf numFmtId="3" fontId="17" fillId="46" borderId="328" xfId="51" applyNumberFormat="1" applyFont="1" applyFill="1" applyBorder="1" applyAlignment="1">
      <alignment horizontal="center" wrapText="1"/>
    </xf>
    <xf numFmtId="3" fontId="49" fillId="71" borderId="389" xfId="0" applyNumberFormat="1" applyFont="1" applyFill="1" applyBorder="1" applyAlignment="1" applyProtection="1">
      <alignment horizontal="center"/>
      <protection hidden="1"/>
    </xf>
    <xf numFmtId="0" fontId="17" fillId="71" borderId="389" xfId="0" applyFont="1" applyFill="1" applyBorder="1"/>
    <xf numFmtId="168" fontId="17" fillId="71" borderId="389" xfId="28" applyNumberFormat="1" applyFont="1" applyFill="1" applyBorder="1" applyProtection="1">
      <protection hidden="1"/>
    </xf>
    <xf numFmtId="168" fontId="17" fillId="71" borderId="389" xfId="28" applyNumberFormat="1" applyFont="1" applyFill="1" applyBorder="1"/>
    <xf numFmtId="3" fontId="49" fillId="71" borderId="390" xfId="0" applyNumberFormat="1" applyFont="1" applyFill="1" applyBorder="1" applyAlignment="1" applyProtection="1">
      <alignment horizontal="center"/>
      <protection hidden="1"/>
    </xf>
    <xf numFmtId="0" fontId="17" fillId="71" borderId="390" xfId="0" applyFont="1" applyFill="1" applyBorder="1"/>
    <xf numFmtId="168" fontId="17" fillId="71" borderId="390" xfId="28" applyNumberFormat="1" applyFont="1" applyFill="1" applyBorder="1"/>
    <xf numFmtId="168" fontId="17" fillId="46" borderId="0" xfId="28" applyNumberFormat="1" applyFont="1" applyFill="1" applyBorder="1"/>
    <xf numFmtId="182" fontId="17" fillId="46" borderId="0" xfId="0" applyNumberFormat="1" applyFont="1" applyFill="1" applyProtection="1">
      <protection hidden="1"/>
    </xf>
    <xf numFmtId="167" fontId="17" fillId="46" borderId="0" xfId="0" quotePrefix="1" applyNumberFormat="1" applyFont="1" applyFill="1" applyAlignment="1" applyProtection="1">
      <alignment horizontal="center"/>
      <protection hidden="1"/>
    </xf>
    <xf numFmtId="168" fontId="17" fillId="46" borderId="0" xfId="28" applyNumberFormat="1" applyFont="1" applyFill="1" applyBorder="1" applyAlignment="1" applyProtection="1">
      <alignment horizontal="center"/>
      <protection hidden="1"/>
    </xf>
    <xf numFmtId="168" fontId="17" fillId="46" borderId="0" xfId="28" applyNumberFormat="1" applyFont="1" applyFill="1" applyBorder="1" applyProtection="1">
      <protection hidden="1"/>
    </xf>
    <xf numFmtId="169" fontId="17" fillId="46" borderId="0" xfId="28" applyNumberFormat="1" applyFont="1" applyFill="1" applyBorder="1" applyProtection="1">
      <protection hidden="1"/>
    </xf>
    <xf numFmtId="41" fontId="17" fillId="71" borderId="334" xfId="0" applyNumberFormat="1" applyFont="1" applyFill="1" applyBorder="1"/>
    <xf numFmtId="41" fontId="17" fillId="71" borderId="334" xfId="28" applyNumberFormat="1" applyFont="1" applyFill="1" applyBorder="1"/>
    <xf numFmtId="41" fontId="49" fillId="0" borderId="0" xfId="0" applyNumberFormat="1" applyFont="1" applyAlignment="1" applyProtection="1">
      <alignment horizontal="center"/>
      <protection hidden="1"/>
    </xf>
    <xf numFmtId="41" fontId="17" fillId="0" borderId="0" xfId="0" applyNumberFormat="1" applyFont="1" applyAlignment="1" applyProtection="1">
      <alignment horizontal="center"/>
      <protection hidden="1"/>
    </xf>
    <xf numFmtId="41" fontId="17" fillId="0" borderId="0" xfId="0" applyNumberFormat="1" applyFont="1"/>
    <xf numFmtId="41" fontId="17" fillId="0" borderId="0" xfId="28" applyNumberFormat="1" applyFont="1" applyFill="1" applyProtection="1">
      <protection hidden="1"/>
    </xf>
    <xf numFmtId="222" fontId="17" fillId="0" borderId="267" xfId="0" applyNumberFormat="1" applyFont="1" applyBorder="1"/>
    <xf numFmtId="261" fontId="17" fillId="0" borderId="267" xfId="0" applyNumberFormat="1" applyFont="1" applyBorder="1"/>
    <xf numFmtId="263" fontId="17" fillId="0" borderId="267" xfId="0" applyNumberFormat="1" applyFont="1" applyBorder="1" applyAlignment="1">
      <alignment horizontal="center"/>
    </xf>
    <xf numFmtId="260" fontId="17" fillId="0" borderId="271" xfId="0" applyNumberFormat="1" applyFont="1" applyBorder="1"/>
    <xf numFmtId="41" fontId="17" fillId="46" borderId="334" xfId="0" applyNumberFormat="1" applyFont="1" applyFill="1" applyBorder="1"/>
    <xf numFmtId="0" fontId="17" fillId="46" borderId="334" xfId="0" applyFont="1" applyFill="1" applyBorder="1"/>
    <xf numFmtId="0" fontId="17" fillId="46" borderId="389" xfId="0" applyFont="1" applyFill="1" applyBorder="1"/>
    <xf numFmtId="41" fontId="17" fillId="71" borderId="390" xfId="0" applyNumberFormat="1" applyFont="1" applyFill="1" applyBorder="1"/>
    <xf numFmtId="41" fontId="17" fillId="46" borderId="390" xfId="0" applyNumberFormat="1" applyFont="1" applyFill="1" applyBorder="1"/>
    <xf numFmtId="3" fontId="49" fillId="71" borderId="0" xfId="0" applyNumberFormat="1" applyFont="1" applyFill="1" applyAlignment="1" applyProtection="1">
      <alignment horizontal="center"/>
      <protection hidden="1"/>
    </xf>
    <xf numFmtId="181" fontId="17" fillId="71" borderId="0" xfId="0" applyNumberFormat="1" applyFont="1" applyFill="1" applyProtection="1">
      <protection hidden="1"/>
    </xf>
    <xf numFmtId="167" fontId="17" fillId="71" borderId="0" xfId="0" applyNumberFormat="1" applyFont="1" applyFill="1" applyAlignment="1" applyProtection="1">
      <alignment horizontal="center"/>
      <protection hidden="1"/>
    </xf>
    <xf numFmtId="3" fontId="17" fillId="71" borderId="0" xfId="0" applyNumberFormat="1" applyFont="1" applyFill="1" applyAlignment="1" applyProtection="1">
      <alignment horizontal="center"/>
      <protection hidden="1"/>
    </xf>
    <xf numFmtId="3" fontId="17" fillId="71" borderId="334" xfId="0" applyNumberFormat="1" applyFont="1" applyFill="1" applyBorder="1" applyAlignment="1">
      <alignment horizontal="left"/>
    </xf>
    <xf numFmtId="203" fontId="17" fillId="71" borderId="334" xfId="0" applyNumberFormat="1" applyFont="1" applyFill="1" applyBorder="1" applyAlignment="1">
      <alignment horizontal="center" vertical="center"/>
    </xf>
    <xf numFmtId="210" fontId="17" fillId="0" borderId="0" xfId="0" applyNumberFormat="1" applyFont="1"/>
    <xf numFmtId="3" fontId="17" fillId="71" borderId="334" xfId="0" applyNumberFormat="1" applyFont="1" applyFill="1" applyBorder="1" applyAlignment="1">
      <alignment horizontal="left" vertical="center"/>
    </xf>
    <xf numFmtId="3" fontId="17" fillId="71" borderId="334" xfId="0" applyNumberFormat="1" applyFont="1" applyFill="1" applyBorder="1" applyAlignment="1">
      <alignment horizontal="right" vertical="center"/>
    </xf>
    <xf numFmtId="325" fontId="17" fillId="84" borderId="334" xfId="0" applyNumberFormat="1" applyFont="1" applyFill="1" applyBorder="1" applyAlignment="1">
      <alignment horizontal="right"/>
    </xf>
    <xf numFmtId="256" fontId="17" fillId="84" borderId="334" xfId="0" applyNumberFormat="1" applyFont="1" applyFill="1" applyBorder="1" applyAlignment="1">
      <alignment horizontal="left"/>
    </xf>
    <xf numFmtId="167" fontId="17" fillId="71" borderId="334" xfId="0" applyNumberFormat="1" applyFont="1" applyFill="1" applyBorder="1" applyProtection="1">
      <protection hidden="1"/>
    </xf>
    <xf numFmtId="193" fontId="17" fillId="84" borderId="334" xfId="0" applyNumberFormat="1" applyFont="1" applyFill="1" applyBorder="1" applyAlignment="1" applyProtection="1">
      <alignment horizontal="center"/>
      <protection hidden="1"/>
    </xf>
    <xf numFmtId="178" fontId="17" fillId="71" borderId="144" xfId="0" applyNumberFormat="1" applyFont="1" applyFill="1" applyBorder="1"/>
    <xf numFmtId="178" fontId="17" fillId="46" borderId="0" xfId="0" applyNumberFormat="1" applyFont="1" applyFill="1"/>
    <xf numFmtId="178" fontId="17" fillId="46" borderId="318" xfId="0" applyNumberFormat="1" applyFont="1" applyFill="1" applyBorder="1"/>
    <xf numFmtId="178" fontId="17" fillId="71" borderId="318" xfId="0" applyNumberFormat="1" applyFont="1" applyFill="1" applyBorder="1"/>
    <xf numFmtId="205" fontId="17" fillId="46" borderId="0" xfId="0" applyNumberFormat="1" applyFont="1" applyFill="1"/>
    <xf numFmtId="205" fontId="51" fillId="71" borderId="0" xfId="0" applyNumberFormat="1" applyFont="1" applyFill="1"/>
    <xf numFmtId="0" fontId="221" fillId="0" borderId="0" xfId="0" applyFont="1"/>
    <xf numFmtId="3" fontId="17" fillId="0" borderId="0" xfId="0" applyNumberFormat="1" applyFont="1" applyAlignment="1">
      <alignment horizontal="left" vertical="center"/>
    </xf>
    <xf numFmtId="0" fontId="253" fillId="0" borderId="0" xfId="0" applyFont="1"/>
    <xf numFmtId="0" fontId="258" fillId="0" borderId="0" xfId="103" applyFont="1">
      <alignment vertical="center"/>
    </xf>
    <xf numFmtId="0" fontId="25" fillId="0" borderId="0" xfId="48" applyFont="1" applyAlignment="1">
      <alignment vertical="center"/>
    </xf>
    <xf numFmtId="0" fontId="25" fillId="0" borderId="0" xfId="103" applyFont="1">
      <alignment vertical="center"/>
    </xf>
    <xf numFmtId="0" fontId="259" fillId="0" borderId="0" xfId="48" applyFont="1" applyProtection="1">
      <protection locked="0"/>
    </xf>
    <xf numFmtId="0" fontId="25" fillId="0" borderId="0" xfId="48" applyFont="1" applyProtection="1">
      <protection locked="0"/>
    </xf>
    <xf numFmtId="174" fontId="25" fillId="0" borderId="0" xfId="79" applyNumberFormat="1" applyFont="1" applyProtection="1">
      <protection locked="0"/>
    </xf>
    <xf numFmtId="0" fontId="21" fillId="0" borderId="0" xfId="48" applyFont="1"/>
    <xf numFmtId="0" fontId="260" fillId="0" borderId="0" xfId="103" applyFont="1">
      <alignment vertical="center"/>
    </xf>
    <xf numFmtId="0" fontId="261" fillId="35" borderId="325" xfId="48" applyFont="1" applyFill="1" applyBorder="1" applyAlignment="1">
      <alignment horizontal="center"/>
    </xf>
    <xf numFmtId="0" fontId="262" fillId="56" borderId="0" xfId="50" applyFont="1" applyFill="1" applyAlignment="1">
      <alignment vertical="center" wrapText="1"/>
    </xf>
    <xf numFmtId="337" fontId="25" fillId="46" borderId="0" xfId="103" applyNumberFormat="1" applyFont="1" applyFill="1">
      <alignment vertical="center"/>
    </xf>
    <xf numFmtId="0" fontId="25" fillId="56" borderId="0" xfId="103" applyFont="1" applyFill="1">
      <alignment vertical="center"/>
    </xf>
    <xf numFmtId="0" fontId="25" fillId="46" borderId="0" xfId="103" applyFont="1" applyFill="1">
      <alignment vertical="center"/>
    </xf>
    <xf numFmtId="2" fontId="25" fillId="56" borderId="0" xfId="103" applyNumberFormat="1" applyFont="1" applyFill="1">
      <alignment vertical="center"/>
    </xf>
    <xf numFmtId="0" fontId="25" fillId="56" borderId="0" xfId="48" applyFont="1" applyFill="1" applyAlignment="1">
      <alignment vertical="center"/>
    </xf>
    <xf numFmtId="178" fontId="263" fillId="28" borderId="101" xfId="48" applyNumberFormat="1" applyFont="1" applyFill="1" applyBorder="1" applyAlignment="1" applyProtection="1">
      <alignment horizontal="center"/>
      <protection locked="0"/>
    </xf>
    <xf numFmtId="178" fontId="264" fillId="0" borderId="328" xfId="48" applyNumberFormat="1" applyFont="1" applyBorder="1" applyAlignment="1">
      <alignment horizontal="center"/>
    </xf>
    <xf numFmtId="168" fontId="265" fillId="46" borderId="0" xfId="28" applyNumberFormat="1" applyFont="1" applyFill="1" applyBorder="1" applyAlignment="1">
      <alignment vertical="center"/>
    </xf>
    <xf numFmtId="270" fontId="266" fillId="56" borderId="0" xfId="104" applyNumberFormat="1" applyFont="1" applyFill="1" applyBorder="1" applyAlignment="1">
      <alignment vertical="center"/>
    </xf>
    <xf numFmtId="338" fontId="25" fillId="56" borderId="0" xfId="86" applyNumberFormat="1" applyFont="1" applyFill="1" applyAlignment="1">
      <alignment vertical="center"/>
    </xf>
    <xf numFmtId="241" fontId="25" fillId="56" borderId="0" xfId="86" applyNumberFormat="1" applyFont="1" applyFill="1" applyAlignment="1">
      <alignment vertical="center"/>
    </xf>
    <xf numFmtId="1" fontId="25" fillId="56" borderId="0" xfId="105" applyNumberFormat="1" applyFont="1" applyFill="1" applyBorder="1" applyAlignment="1">
      <alignment vertical="center"/>
    </xf>
    <xf numFmtId="3" fontId="25" fillId="0" borderId="0" xfId="83" applyNumberFormat="1" applyFont="1" applyFill="1" applyBorder="1" applyAlignment="1" applyProtection="1">
      <alignment horizontal="center"/>
    </xf>
    <xf numFmtId="0" fontId="265" fillId="56" borderId="0" xfId="104" applyFont="1" applyFill="1" applyBorder="1" applyAlignment="1">
      <alignment vertical="center"/>
    </xf>
    <xf numFmtId="0" fontId="266" fillId="56" borderId="0" xfId="104" applyFont="1" applyFill="1" applyBorder="1" applyAlignment="1">
      <alignment vertical="center"/>
    </xf>
    <xf numFmtId="0" fontId="25" fillId="56" borderId="0" xfId="86" applyFont="1" applyFill="1" applyAlignment="1">
      <alignment vertical="center"/>
    </xf>
    <xf numFmtId="0" fontId="267" fillId="0" borderId="0" xfId="50" applyFont="1" applyAlignment="1">
      <alignment vertical="center"/>
    </xf>
    <xf numFmtId="0" fontId="25" fillId="0" borderId="0" xfId="50" applyFont="1"/>
    <xf numFmtId="37" fontId="25" fillId="0" borderId="0" xfId="50" applyNumberFormat="1" applyFont="1"/>
    <xf numFmtId="0" fontId="25" fillId="0" borderId="0" xfId="48" applyFont="1"/>
    <xf numFmtId="9" fontId="25" fillId="0" borderId="0" xfId="105" applyFont="1" applyFill="1" applyBorder="1" applyAlignment="1">
      <alignment horizontal="center"/>
    </xf>
    <xf numFmtId="0" fontId="23" fillId="0" borderId="0" xfId="50" applyFont="1" applyAlignment="1">
      <alignment horizontal="right"/>
    </xf>
    <xf numFmtId="216" fontId="23" fillId="0" borderId="328" xfId="50" applyNumberFormat="1" applyFont="1" applyBorder="1" applyAlignment="1">
      <alignment horizontal="center"/>
    </xf>
    <xf numFmtId="0" fontId="25" fillId="0" borderId="0" xfId="50" applyFont="1" applyAlignment="1">
      <alignment horizontal="right"/>
    </xf>
    <xf numFmtId="37" fontId="268" fillId="88" borderId="328" xfId="83" applyNumberFormat="1" applyFont="1" applyFill="1" applyBorder="1" applyAlignment="1" applyProtection="1">
      <alignment horizontal="center"/>
      <protection locked="0"/>
    </xf>
    <xf numFmtId="0" fontId="17" fillId="48" borderId="315" xfId="0" applyFont="1" applyFill="1" applyBorder="1"/>
    <xf numFmtId="0" fontId="17" fillId="48" borderId="316" xfId="0" applyFont="1" applyFill="1" applyBorder="1"/>
    <xf numFmtId="9" fontId="23" fillId="47" borderId="328" xfId="79" applyFont="1" applyFill="1" applyBorder="1" applyAlignment="1" applyProtection="1">
      <alignment horizontal="center" vertical="center"/>
      <protection locked="0"/>
    </xf>
    <xf numFmtId="0" fontId="17" fillId="48" borderId="144" xfId="0" applyFont="1" applyFill="1" applyBorder="1"/>
    <xf numFmtId="37" fontId="23" fillId="0" borderId="328" xfId="83" applyNumberFormat="1" applyFont="1" applyBorder="1" applyAlignment="1">
      <alignment horizontal="center"/>
    </xf>
    <xf numFmtId="43" fontId="23" fillId="0" borderId="391" xfId="83" applyFont="1" applyBorder="1" applyAlignment="1">
      <alignment horizontal="center"/>
    </xf>
    <xf numFmtId="43" fontId="23" fillId="0" borderId="328" xfId="83" applyFont="1" applyBorder="1" applyAlignment="1">
      <alignment horizontal="center"/>
    </xf>
    <xf numFmtId="285" fontId="268" fillId="46" borderId="391" xfId="83" applyNumberFormat="1" applyFont="1" applyFill="1" applyBorder="1" applyAlignment="1" applyProtection="1">
      <alignment horizontal="center" vertical="center"/>
      <protection locked="0"/>
    </xf>
    <xf numFmtId="285" fontId="268" fillId="46" borderId="328" xfId="83" applyNumberFormat="1" applyFont="1" applyFill="1" applyBorder="1" applyAlignment="1" applyProtection="1">
      <alignment horizontal="center" vertical="center"/>
      <protection locked="0"/>
    </xf>
    <xf numFmtId="0" fontId="25" fillId="27" borderId="144" xfId="103" applyFont="1" applyFill="1" applyBorder="1" applyAlignment="1">
      <alignment horizontal="center"/>
    </xf>
    <xf numFmtId="9" fontId="17" fillId="27" borderId="318" xfId="105" applyFill="1" applyBorder="1" applyAlignment="1">
      <alignment horizontal="center"/>
    </xf>
    <xf numFmtId="9" fontId="17" fillId="55" borderId="391" xfId="105" applyFill="1" applyBorder="1" applyAlignment="1" applyProtection="1">
      <alignment horizontal="center" vertical="center"/>
      <protection locked="0"/>
    </xf>
    <xf numFmtId="9" fontId="17" fillId="55" borderId="328" xfId="105" applyFill="1" applyBorder="1" applyAlignment="1" applyProtection="1">
      <alignment horizontal="center" vertical="center"/>
      <protection locked="0"/>
    </xf>
    <xf numFmtId="9" fontId="25" fillId="0" borderId="0" xfId="64" applyFont="1"/>
    <xf numFmtId="37" fontId="23" fillId="0" borderId="391" xfId="83" applyNumberFormat="1" applyFont="1" applyFill="1" applyBorder="1" applyAlignment="1">
      <alignment horizontal="center"/>
    </xf>
    <xf numFmtId="37" fontId="23" fillId="0" borderId="328" xfId="83" applyNumberFormat="1" applyFont="1" applyFill="1" applyBorder="1" applyAlignment="1">
      <alignment horizontal="center"/>
    </xf>
    <xf numFmtId="0" fontId="269" fillId="0" borderId="0" xfId="48" applyFont="1" applyAlignment="1">
      <alignment vertical="center"/>
    </xf>
    <xf numFmtId="166" fontId="23" fillId="0" borderId="328" xfId="28" applyFont="1" applyFill="1" applyBorder="1" applyAlignment="1">
      <alignment horizontal="center" vertical="center"/>
    </xf>
    <xf numFmtId="43" fontId="25" fillId="0" borderId="0" xfId="48" applyNumberFormat="1" applyFont="1" applyAlignment="1">
      <alignment vertical="center"/>
    </xf>
    <xf numFmtId="0" fontId="25" fillId="0" borderId="100" xfId="103" applyFont="1" applyBorder="1" applyAlignment="1"/>
    <xf numFmtId="0" fontId="25" fillId="0" borderId="392" xfId="103" applyFont="1" applyBorder="1" applyAlignment="1"/>
    <xf numFmtId="1" fontId="23" fillId="0" borderId="328" xfId="106" applyNumberFormat="1" applyFont="1" applyFill="1" applyBorder="1" applyAlignment="1">
      <alignment horizontal="center" vertical="center"/>
    </xf>
    <xf numFmtId="0" fontId="25" fillId="46" borderId="392" xfId="103" applyFont="1" applyFill="1" applyBorder="1" applyAlignment="1">
      <alignment horizontal="center"/>
    </xf>
    <xf numFmtId="1" fontId="25" fillId="0" borderId="328" xfId="106" applyNumberFormat="1" applyFont="1" applyFill="1" applyBorder="1" applyAlignment="1">
      <alignment horizontal="center" vertical="center"/>
    </xf>
    <xf numFmtId="3" fontId="25" fillId="0" borderId="328" xfId="103" applyNumberFormat="1" applyFont="1" applyBorder="1" applyAlignment="1">
      <alignment horizontal="center"/>
    </xf>
    <xf numFmtId="9" fontId="17" fillId="0" borderId="392" xfId="105" applyBorder="1" applyAlignment="1">
      <alignment horizontal="center"/>
    </xf>
    <xf numFmtId="3" fontId="23" fillId="0" borderId="328" xfId="106" applyNumberFormat="1" applyFont="1" applyFill="1" applyBorder="1" applyAlignment="1">
      <alignment horizontal="center" vertical="center"/>
    </xf>
    <xf numFmtId="0" fontId="25" fillId="0" borderId="394" xfId="103" applyFont="1" applyBorder="1" applyAlignment="1">
      <alignment horizontal="center"/>
    </xf>
    <xf numFmtId="3" fontId="23" fillId="0" borderId="328" xfId="103" applyNumberFormat="1" applyFont="1" applyBorder="1" applyAlignment="1">
      <alignment horizontal="center"/>
    </xf>
    <xf numFmtId="1" fontId="25" fillId="0" borderId="394" xfId="103" applyNumberFormat="1" applyFont="1" applyBorder="1" applyAlignment="1">
      <alignment horizontal="center"/>
    </xf>
    <xf numFmtId="3" fontId="25" fillId="46" borderId="328" xfId="103" applyNumberFormat="1" applyFont="1" applyFill="1" applyBorder="1" applyAlignment="1">
      <alignment horizontal="center"/>
    </xf>
    <xf numFmtId="1" fontId="25" fillId="46" borderId="394" xfId="103" applyNumberFormat="1" applyFont="1" applyFill="1" applyBorder="1" applyAlignment="1">
      <alignment horizontal="center"/>
    </xf>
    <xf numFmtId="0" fontId="25" fillId="0" borderId="395" xfId="103" applyFont="1" applyBorder="1" applyAlignment="1"/>
    <xf numFmtId="1" fontId="25" fillId="46" borderId="395" xfId="103" applyNumberFormat="1" applyFont="1" applyFill="1" applyBorder="1" applyAlignment="1">
      <alignment horizontal="center"/>
    </xf>
    <xf numFmtId="0" fontId="23" fillId="0" borderId="0" xfId="103" applyFont="1" applyAlignment="1">
      <alignment horizontal="right"/>
    </xf>
    <xf numFmtId="0" fontId="270" fillId="0" borderId="0" xfId="103" applyFont="1" applyAlignment="1">
      <alignment horizontal="right"/>
    </xf>
    <xf numFmtId="3" fontId="23" fillId="0" borderId="396" xfId="103" applyNumberFormat="1" applyFont="1" applyBorder="1" applyAlignment="1">
      <alignment horizontal="center"/>
    </xf>
    <xf numFmtId="3" fontId="23" fillId="0" borderId="99" xfId="103" applyNumberFormat="1" applyFont="1" applyBorder="1" applyAlignment="1">
      <alignment horizontal="center"/>
    </xf>
    <xf numFmtId="3" fontId="25" fillId="0" borderId="0" xfId="48" applyNumberFormat="1" applyFont="1" applyAlignment="1">
      <alignment vertical="center"/>
    </xf>
    <xf numFmtId="0" fontId="25" fillId="0" borderId="0" xfId="103" applyFont="1" applyAlignment="1"/>
    <xf numFmtId="3" fontId="270" fillId="0" borderId="392" xfId="104" applyNumberFormat="1" applyFont="1" applyFill="1" applyBorder="1" applyAlignment="1" applyProtection="1">
      <alignment horizontal="center" vertical="center"/>
    </xf>
    <xf numFmtId="3" fontId="270" fillId="0" borderId="100" xfId="104" applyNumberFormat="1" applyFont="1" applyFill="1" applyBorder="1" applyAlignment="1" applyProtection="1">
      <alignment horizontal="center" vertical="center"/>
    </xf>
    <xf numFmtId="285" fontId="270" fillId="50" borderId="395" xfId="106" applyNumberFormat="1" applyFont="1" applyFill="1" applyBorder="1" applyAlignment="1" applyProtection="1">
      <alignment horizontal="center" vertical="center"/>
    </xf>
    <xf numFmtId="1" fontId="25" fillId="0" borderId="0" xfId="103" applyNumberFormat="1" applyFont="1">
      <alignment vertical="center"/>
    </xf>
    <xf numFmtId="0" fontId="23" fillId="0" borderId="0" xfId="48" applyFont="1" applyAlignment="1">
      <alignment vertical="center"/>
    </xf>
    <xf numFmtId="0" fontId="58" fillId="0" borderId="267" xfId="80" applyNumberFormat="1" applyFont="1" applyFill="1" applyBorder="1" applyAlignment="1" applyProtection="1">
      <alignment horizontal="center"/>
      <protection locked="0"/>
    </xf>
    <xf numFmtId="0" fontId="131" fillId="33" borderId="0" xfId="0" applyFont="1" applyFill="1" applyAlignment="1" applyProtection="1">
      <alignment horizontal="center"/>
      <protection hidden="1"/>
    </xf>
    <xf numFmtId="188" fontId="131" fillId="33" borderId="0" xfId="0" applyNumberFormat="1" applyFont="1" applyFill="1" applyAlignment="1" applyProtection="1">
      <alignment horizontal="center"/>
      <protection hidden="1"/>
    </xf>
    <xf numFmtId="37" fontId="25" fillId="0" borderId="0" xfId="48" applyNumberFormat="1" applyFont="1" applyAlignment="1">
      <alignment vertical="center"/>
    </xf>
    <xf numFmtId="172" fontId="25" fillId="0" borderId="0" xfId="104" applyNumberFormat="1" applyFont="1" applyAlignment="1">
      <alignment vertical="center"/>
    </xf>
    <xf numFmtId="226" fontId="17" fillId="59" borderId="0" xfId="0" applyNumberFormat="1" applyFont="1" applyFill="1" applyAlignment="1">
      <alignment horizontal="center"/>
    </xf>
    <xf numFmtId="43" fontId="17" fillId="46" borderId="137" xfId="33" quotePrefix="1" applyFont="1" applyFill="1" applyBorder="1" applyAlignment="1">
      <alignment horizontal="right"/>
    </xf>
    <xf numFmtId="222" fontId="17" fillId="89" borderId="137" xfId="48" applyNumberFormat="1" applyFill="1" applyBorder="1"/>
    <xf numFmtId="172" fontId="17" fillId="89" borderId="137" xfId="48" applyNumberFormat="1" applyFill="1" applyBorder="1"/>
    <xf numFmtId="177" fontId="17" fillId="89" borderId="137" xfId="33" applyNumberFormat="1" applyFont="1" applyFill="1" applyBorder="1"/>
    <xf numFmtId="178" fontId="17" fillId="46" borderId="0" xfId="48" applyNumberFormat="1" applyFill="1" applyAlignment="1">
      <alignment horizontal="center"/>
    </xf>
    <xf numFmtId="0" fontId="125" fillId="0" borderId="270" xfId="0" applyFont="1" applyBorder="1" applyAlignment="1">
      <alignment horizontal="center"/>
    </xf>
    <xf numFmtId="3" fontId="125" fillId="0" borderId="270" xfId="0" applyNumberFormat="1" applyFont="1" applyBorder="1" applyAlignment="1">
      <alignment horizontal="center"/>
    </xf>
    <xf numFmtId="172" fontId="125" fillId="0" borderId="270" xfId="28" applyNumberFormat="1" applyFont="1" applyBorder="1" applyAlignment="1">
      <alignment horizontal="center"/>
    </xf>
    <xf numFmtId="0" fontId="141" fillId="0" borderId="270" xfId="0" applyFont="1" applyBorder="1" applyAlignment="1">
      <alignment horizontal="center"/>
    </xf>
    <xf numFmtId="0" fontId="31" fillId="0" borderId="283" xfId="0" applyFont="1" applyBorder="1"/>
    <xf numFmtId="0" fontId="29" fillId="0" borderId="280" xfId="0" applyFont="1" applyBorder="1"/>
    <xf numFmtId="0" fontId="44" fillId="0" borderId="280" xfId="0" applyFont="1" applyBorder="1" applyAlignment="1">
      <alignment horizontal="center"/>
    </xf>
    <xf numFmtId="0" fontId="44" fillId="0" borderId="280" xfId="0" applyFont="1" applyBorder="1" applyAlignment="1">
      <alignment horizontal="center" wrapText="1"/>
    </xf>
    <xf numFmtId="0" fontId="44" fillId="0" borderId="297" xfId="0" applyFont="1" applyBorder="1" applyAlignment="1">
      <alignment horizontal="center"/>
    </xf>
    <xf numFmtId="0" fontId="36" fillId="0" borderId="15" xfId="0" applyFont="1" applyBorder="1"/>
    <xf numFmtId="2" fontId="35" fillId="0" borderId="318" xfId="0" applyNumberFormat="1" applyFont="1" applyBorder="1" applyAlignment="1">
      <alignment horizontal="center"/>
    </xf>
    <xf numFmtId="0" fontId="36" fillId="0" borderId="398" xfId="0" applyFont="1" applyBorder="1"/>
    <xf numFmtId="0" fontId="17" fillId="0" borderId="399" xfId="77" applyBorder="1" applyProtection="1">
      <protection locked="0"/>
    </xf>
    <xf numFmtId="2" fontId="35" fillId="0" borderId="399" xfId="0" applyNumberFormat="1" applyFont="1" applyBorder="1" applyAlignment="1">
      <alignment horizontal="center"/>
    </xf>
    <xf numFmtId="2" fontId="35" fillId="0" borderId="397" xfId="0" applyNumberFormat="1" applyFont="1" applyBorder="1" applyAlignment="1">
      <alignment horizontal="center"/>
    </xf>
    <xf numFmtId="0" fontId="271" fillId="29" borderId="0" xfId="0" applyFont="1" applyFill="1" applyProtection="1">
      <protection locked="0"/>
    </xf>
    <xf numFmtId="0" fontId="272" fillId="29" borderId="0" xfId="0" applyFont="1" applyFill="1"/>
    <xf numFmtId="0" fontId="91" fillId="0" borderId="0" xfId="0" applyFont="1" applyAlignment="1">
      <alignment vertical="center"/>
    </xf>
    <xf numFmtId="0" fontId="273" fillId="0" borderId="0" xfId="0" applyFont="1" applyAlignment="1">
      <alignment vertical="center"/>
    </xf>
    <xf numFmtId="3" fontId="141" fillId="0" borderId="270" xfId="0" applyNumberFormat="1" applyFont="1" applyBorder="1" applyAlignment="1">
      <alignment horizontal="center"/>
    </xf>
    <xf numFmtId="41" fontId="17" fillId="0" borderId="301" xfId="0" applyNumberFormat="1" applyFont="1" applyBorder="1" applyAlignment="1">
      <alignment horizontal="center"/>
    </xf>
    <xf numFmtId="41" fontId="17" fillId="0" borderId="146" xfId="0" applyNumberFormat="1" applyFont="1" applyBorder="1" applyAlignment="1">
      <alignment horizontal="center" vertical="center"/>
    </xf>
    <xf numFmtId="41" fontId="17" fillId="0" borderId="146" xfId="0" applyNumberFormat="1" applyFont="1" applyBorder="1" applyAlignment="1">
      <alignment horizontal="center"/>
    </xf>
    <xf numFmtId="4" fontId="17" fillId="0" borderId="0" xfId="77" applyNumberFormat="1"/>
    <xf numFmtId="9" fontId="17" fillId="0" borderId="0" xfId="64" applyFont="1" applyProtection="1"/>
    <xf numFmtId="2" fontId="17" fillId="0" borderId="0" xfId="77" applyNumberFormat="1"/>
    <xf numFmtId="3" fontId="17" fillId="0" borderId="0" xfId="77" applyNumberFormat="1"/>
    <xf numFmtId="9" fontId="17" fillId="0" borderId="0" xfId="64" applyFont="1" applyAlignment="1" applyProtection="1">
      <alignment horizontal="center"/>
    </xf>
    <xf numFmtId="0" fontId="17" fillId="0" borderId="0" xfId="77" applyAlignment="1">
      <alignment horizontal="center"/>
    </xf>
    <xf numFmtId="3" fontId="17" fillId="0" borderId="0" xfId="77" applyNumberFormat="1" applyAlignment="1">
      <alignment horizontal="center"/>
    </xf>
    <xf numFmtId="0" fontId="274" fillId="55" borderId="0" xfId="77" applyFont="1" applyFill="1" applyProtection="1">
      <protection locked="0"/>
    </xf>
    <xf numFmtId="174" fontId="275" fillId="55" borderId="0" xfId="77" applyNumberFormat="1" applyFont="1" applyFill="1"/>
    <xf numFmtId="2" fontId="275" fillId="55" borderId="0" xfId="77" applyNumberFormat="1" applyFont="1" applyFill="1"/>
    <xf numFmtId="0" fontId="275" fillId="55" borderId="0" xfId="77" applyFont="1" applyFill="1" applyAlignment="1" applyProtection="1">
      <alignment horizontal="center"/>
      <protection locked="0"/>
    </xf>
    <xf numFmtId="0" fontId="186" fillId="48" borderId="0" xfId="77" applyFont="1" applyFill="1" applyAlignment="1" applyProtection="1">
      <alignment wrapText="1"/>
      <protection locked="0"/>
    </xf>
    <xf numFmtId="178" fontId="49" fillId="46" borderId="0" xfId="48" applyNumberFormat="1" applyFont="1" applyFill="1" applyAlignment="1">
      <alignment horizontal="center" wrapText="1"/>
    </xf>
    <xf numFmtId="0" fontId="276" fillId="46" borderId="0" xfId="0" applyFont="1" applyFill="1"/>
    <xf numFmtId="0" fontId="49" fillId="55" borderId="0" xfId="0" applyFont="1" applyFill="1" applyAlignment="1">
      <alignment vertical="center" wrapText="1"/>
    </xf>
    <xf numFmtId="0" fontId="17" fillId="55" borderId="0" xfId="0" applyFont="1" applyFill="1" applyAlignment="1">
      <alignment horizontal="center"/>
    </xf>
    <xf numFmtId="0" fontId="49" fillId="0" borderId="270" xfId="0" applyFont="1" applyBorder="1" applyAlignment="1">
      <alignment horizontal="center" vertical="center" wrapText="1"/>
    </xf>
    <xf numFmtId="0" fontId="49" fillId="0" borderId="197" xfId="0" applyFont="1" applyBorder="1" applyAlignment="1">
      <alignment horizontal="center" vertical="center" wrapText="1"/>
    </xf>
    <xf numFmtId="0" fontId="49" fillId="0" borderId="198" xfId="0" applyFont="1" applyBorder="1" applyAlignment="1">
      <alignment horizontal="center" vertical="center"/>
    </xf>
    <xf numFmtId="0" fontId="49" fillId="59" borderId="270" xfId="0" applyFont="1" applyFill="1" applyBorder="1" applyAlignment="1">
      <alignment horizontal="center" vertical="center"/>
    </xf>
    <xf numFmtId="0" fontId="49" fillId="59" borderId="266" xfId="0" applyFont="1" applyFill="1" applyBorder="1" applyAlignment="1">
      <alignment horizontal="center" vertical="center"/>
    </xf>
    <xf numFmtId="0" fontId="49" fillId="0" borderId="401" xfId="0" applyFont="1" applyBorder="1" applyAlignment="1">
      <alignment horizontal="center" vertical="center" wrapText="1"/>
    </xf>
    <xf numFmtId="0" fontId="49" fillId="0" borderId="402" xfId="0" applyFont="1" applyBorder="1" applyAlignment="1">
      <alignment horizontal="center" vertical="center"/>
    </xf>
    <xf numFmtId="0" fontId="17" fillId="59" borderId="32" xfId="0" applyFont="1" applyFill="1" applyBorder="1" applyAlignment="1">
      <alignment horizontal="center" vertical="center"/>
    </xf>
    <xf numFmtId="0" fontId="17" fillId="59" borderId="39" xfId="0" applyFont="1" applyFill="1" applyBorder="1" applyAlignment="1">
      <alignment horizontal="center" vertical="center"/>
    </xf>
    <xf numFmtId="0" fontId="49" fillId="59" borderId="32" xfId="0" applyFont="1" applyFill="1" applyBorder="1" applyAlignment="1">
      <alignment horizontal="center" vertical="center"/>
    </xf>
    <xf numFmtId="0" fontId="49" fillId="59" borderId="33" xfId="0" applyFont="1" applyFill="1" applyBorder="1" applyAlignment="1">
      <alignment horizontal="center" vertical="center"/>
    </xf>
    <xf numFmtId="214" fontId="49" fillId="0" borderId="0" xfId="0" applyNumberFormat="1" applyFont="1" applyAlignment="1">
      <alignment horizontal="right"/>
    </xf>
    <xf numFmtId="177" fontId="236" fillId="0" borderId="340" xfId="101" applyNumberFormat="1" applyFont="1" applyBorder="1" applyAlignment="1">
      <alignment vertical="center"/>
    </xf>
    <xf numFmtId="177" fontId="236" fillId="0" borderId="342" xfId="101" applyNumberFormat="1" applyFont="1" applyBorder="1" applyAlignment="1">
      <alignment vertical="center"/>
    </xf>
    <xf numFmtId="41" fontId="236" fillId="0" borderId="340" xfId="100" applyNumberFormat="1" applyFont="1" applyBorder="1"/>
    <xf numFmtId="0" fontId="242" fillId="77" borderId="340" xfId="100" applyFont="1" applyFill="1" applyBorder="1"/>
    <xf numFmtId="0" fontId="91" fillId="90" borderId="342" xfId="100" applyFont="1" applyFill="1" applyBorder="1"/>
    <xf numFmtId="0" fontId="17" fillId="0" borderId="0" xfId="0" applyFont="1" applyProtection="1">
      <protection locked="0" hidden="1"/>
    </xf>
    <xf numFmtId="3" fontId="17" fillId="0" borderId="0" xfId="0" applyNumberFormat="1" applyFont="1" applyProtection="1">
      <protection locked="0"/>
    </xf>
    <xf numFmtId="339" fontId="131" fillId="33" borderId="0" xfId="28" applyNumberFormat="1" applyFont="1" applyFill="1" applyAlignment="1" applyProtection="1">
      <alignment horizontal="center"/>
      <protection hidden="1"/>
    </xf>
    <xf numFmtId="0" fontId="17" fillId="0" borderId="403" xfId="0" applyFont="1" applyBorder="1"/>
    <xf numFmtId="3" fontId="17" fillId="0" borderId="403" xfId="0" applyNumberFormat="1" applyFont="1" applyBorder="1" applyAlignment="1">
      <alignment horizontal="center"/>
    </xf>
    <xf numFmtId="0" fontId="277" fillId="0" borderId="0" xfId="0" applyFont="1"/>
    <xf numFmtId="0" fontId="139" fillId="0" borderId="0" xfId="85" applyFont="1" applyProtection="1">
      <protection locked="0"/>
    </xf>
    <xf numFmtId="0" fontId="50" fillId="91" borderId="0" xfId="0" applyFont="1" applyFill="1" applyAlignment="1">
      <alignment horizontal="center" vertical="center"/>
    </xf>
    <xf numFmtId="241" fontId="49" fillId="0" borderId="36" xfId="0" applyNumberFormat="1" applyFont="1" applyBorder="1" applyAlignment="1">
      <alignment horizontal="center"/>
    </xf>
    <xf numFmtId="0" fontId="49" fillId="0" borderId="72" xfId="0" applyFont="1" applyBorder="1"/>
    <xf numFmtId="0" fontId="17" fillId="0" borderId="38" xfId="0" applyFont="1" applyBorder="1"/>
    <xf numFmtId="241" fontId="24" fillId="0" borderId="36" xfId="0" applyNumberFormat="1" applyFont="1" applyBorder="1" applyAlignment="1">
      <alignment horizontal="center"/>
    </xf>
    <xf numFmtId="0" fontId="150" fillId="0" borderId="38" xfId="0" applyFont="1" applyBorder="1"/>
    <xf numFmtId="0" fontId="17" fillId="0" borderId="404" xfId="0" quotePrefix="1" applyFont="1" applyBorder="1"/>
    <xf numFmtId="168" fontId="17" fillId="0" borderId="405" xfId="28" applyNumberFormat="1" applyFont="1" applyFill="1" applyBorder="1"/>
    <xf numFmtId="0" fontId="150" fillId="0" borderId="404" xfId="0" quotePrefix="1" applyFont="1" applyBorder="1"/>
    <xf numFmtId="168" fontId="150" fillId="0" borderId="405" xfId="28" applyNumberFormat="1" applyFont="1" applyFill="1" applyBorder="1"/>
    <xf numFmtId="168" fontId="128" fillId="0" borderId="0" xfId="0" applyNumberFormat="1" applyFont="1"/>
    <xf numFmtId="3" fontId="17" fillId="0" borderId="406" xfId="0" applyNumberFormat="1" applyFont="1" applyBorder="1" applyAlignment="1">
      <alignment horizontal="center" vertical="center"/>
    </xf>
    <xf numFmtId="3" fontId="17" fillId="0" borderId="407" xfId="0" applyNumberFormat="1" applyFont="1" applyBorder="1" applyAlignment="1">
      <alignment horizontal="center" vertical="center"/>
    </xf>
    <xf numFmtId="0" fontId="17" fillId="71" borderId="409" xfId="0" applyFont="1" applyFill="1" applyBorder="1"/>
    <xf numFmtId="3" fontId="17" fillId="46" borderId="0" xfId="28" applyNumberFormat="1" applyFont="1" applyFill="1"/>
    <xf numFmtId="9" fontId="17" fillId="0" borderId="0" xfId="80" applyFont="1" applyAlignment="1" applyProtection="1">
      <alignment horizontal="right"/>
      <protection hidden="1"/>
    </xf>
    <xf numFmtId="9" fontId="17" fillId="71" borderId="334" xfId="80" applyFont="1" applyFill="1" applyBorder="1"/>
    <xf numFmtId="9" fontId="17" fillId="71" borderId="389" xfId="80" applyFont="1" applyFill="1" applyBorder="1"/>
    <xf numFmtId="9" fontId="17" fillId="71" borderId="390" xfId="80" applyFont="1" applyFill="1" applyBorder="1"/>
    <xf numFmtId="9" fontId="17" fillId="46" borderId="0" xfId="80" applyFont="1" applyFill="1" applyBorder="1"/>
    <xf numFmtId="0" fontId="17" fillId="0" borderId="409" xfId="49" applyFont="1" applyBorder="1" applyAlignment="1">
      <alignment horizontal="center" vertical="center" wrapText="1"/>
    </xf>
    <xf numFmtId="0" fontId="17" fillId="0" borderId="0" xfId="77" applyAlignment="1">
      <alignment horizontal="left"/>
    </xf>
    <xf numFmtId="178" fontId="17" fillId="71" borderId="316" xfId="0" applyNumberFormat="1" applyFont="1" applyFill="1" applyBorder="1"/>
    <xf numFmtId="178" fontId="17" fillId="46" borderId="316" xfId="0" applyNumberFormat="1" applyFont="1" applyFill="1" applyBorder="1"/>
    <xf numFmtId="0" fontId="30" fillId="0" borderId="409" xfId="0" applyFont="1" applyBorder="1"/>
    <xf numFmtId="0" fontId="30" fillId="0" borderId="409" xfId="0" applyFont="1" applyBorder="1" applyAlignment="1">
      <alignment horizontal="center"/>
    </xf>
    <xf numFmtId="0" fontId="30" fillId="0" borderId="409" xfId="0" applyFont="1" applyBorder="1" applyAlignment="1">
      <alignment horizontal="center" wrapText="1"/>
    </xf>
    <xf numFmtId="3" fontId="30" fillId="0" borderId="409" xfId="28" applyNumberFormat="1" applyFont="1" applyFill="1" applyBorder="1" applyAlignment="1">
      <alignment horizontal="center"/>
    </xf>
    <xf numFmtId="172" fontId="30" fillId="0" borderId="409" xfId="28" applyNumberFormat="1" applyFont="1" applyFill="1" applyBorder="1" applyAlignment="1">
      <alignment horizontal="center"/>
    </xf>
    <xf numFmtId="9" fontId="17" fillId="0" borderId="0" xfId="80" applyFont="1" applyFill="1" applyAlignment="1" applyProtection="1">
      <alignment horizontal="center"/>
      <protection hidden="1"/>
    </xf>
    <xf numFmtId="3" fontId="126" fillId="46" borderId="0" xfId="80" applyNumberFormat="1" applyFont="1" applyFill="1" applyAlignment="1" applyProtection="1">
      <alignment horizontal="right"/>
      <protection hidden="1"/>
    </xf>
    <xf numFmtId="197" fontId="126" fillId="0" borderId="0" xfId="80" applyNumberFormat="1" applyFont="1" applyAlignment="1" applyProtection="1">
      <alignment horizontal="left"/>
      <protection hidden="1"/>
    </xf>
    <xf numFmtId="10" fontId="126" fillId="0" borderId="0" xfId="80" applyNumberFormat="1" applyFont="1" applyProtection="1">
      <protection hidden="1"/>
    </xf>
    <xf numFmtId="9" fontId="17" fillId="71" borderId="0" xfId="80" applyFont="1" applyFill="1" applyBorder="1" applyAlignment="1" applyProtection="1">
      <alignment horizontal="center"/>
      <protection hidden="1"/>
    </xf>
    <xf numFmtId="9" fontId="17" fillId="71" borderId="0" xfId="80" applyFont="1" applyFill="1" applyBorder="1"/>
    <xf numFmtId="9" fontId="17" fillId="71" borderId="0" xfId="80" applyFont="1" applyFill="1" applyAlignment="1">
      <alignment horizontal="center"/>
    </xf>
    <xf numFmtId="0" fontId="49" fillId="59" borderId="410" xfId="0" applyFont="1" applyFill="1" applyBorder="1" applyAlignment="1">
      <alignment horizontal="center"/>
    </xf>
    <xf numFmtId="242" fontId="17" fillId="0" borderId="409" xfId="0" applyNumberFormat="1" applyFont="1" applyBorder="1" applyAlignment="1">
      <alignment horizontal="center"/>
    </xf>
    <xf numFmtId="0" fontId="278" fillId="52" borderId="0" xfId="107" applyFont="1" applyFill="1" applyAlignment="1">
      <alignment horizontal="left" vertical="top"/>
    </xf>
    <xf numFmtId="3" fontId="17" fillId="0" borderId="411" xfId="0" applyNumberFormat="1" applyFont="1" applyBorder="1"/>
    <xf numFmtId="168" fontId="17" fillId="0" borderId="0" xfId="28" applyNumberFormat="1" applyFont="1" applyFill="1" applyBorder="1" applyProtection="1">
      <protection hidden="1"/>
    </xf>
    <xf numFmtId="0" fontId="17" fillId="0" borderId="409" xfId="0" applyFont="1" applyBorder="1"/>
    <xf numFmtId="0" fontId="253" fillId="0" borderId="0" xfId="0" applyFont="1" applyAlignment="1">
      <alignment horizontal="center"/>
    </xf>
    <xf numFmtId="3" fontId="17" fillId="0" borderId="409" xfId="0" applyNumberFormat="1" applyFont="1" applyBorder="1" applyAlignment="1">
      <alignment horizontal="center"/>
    </xf>
    <xf numFmtId="168" fontId="17" fillId="0" borderId="409" xfId="28" applyNumberFormat="1" applyFont="1" applyFill="1" applyBorder="1"/>
    <xf numFmtId="0" fontId="37" fillId="0" borderId="0" xfId="0" applyFont="1" applyAlignment="1">
      <alignment horizontal="center"/>
    </xf>
    <xf numFmtId="178" fontId="17" fillId="46" borderId="203" xfId="0" applyNumberFormat="1" applyFont="1" applyFill="1" applyBorder="1" applyAlignment="1">
      <alignment horizontal="center"/>
    </xf>
    <xf numFmtId="3" fontId="17" fillId="46" borderId="104" xfId="28" applyNumberFormat="1" applyFont="1" applyFill="1" applyBorder="1"/>
    <xf numFmtId="3" fontId="17" fillId="46" borderId="411" xfId="0" applyNumberFormat="1" applyFont="1" applyFill="1" applyBorder="1"/>
    <xf numFmtId="3" fontId="17" fillId="46" borderId="355" xfId="0" applyNumberFormat="1" applyFont="1" applyFill="1" applyBorder="1"/>
    <xf numFmtId="2" fontId="17" fillId="0" borderId="0" xfId="28" applyNumberFormat="1" applyFont="1" applyFill="1"/>
    <xf numFmtId="0" fontId="17" fillId="48" borderId="414" xfId="0" applyFont="1" applyFill="1" applyBorder="1"/>
    <xf numFmtId="0" fontId="17" fillId="48" borderId="415" xfId="0" applyFont="1" applyFill="1" applyBorder="1"/>
    <xf numFmtId="0" fontId="17" fillId="48" borderId="416" xfId="0" applyFont="1" applyFill="1" applyBorder="1"/>
    <xf numFmtId="0" fontId="17" fillId="48" borderId="408" xfId="0" applyFont="1" applyFill="1" applyBorder="1"/>
    <xf numFmtId="168" fontId="17" fillId="48" borderId="399" xfId="28" applyNumberFormat="1" applyFont="1" applyFill="1" applyBorder="1"/>
    <xf numFmtId="168" fontId="17" fillId="48" borderId="397" xfId="28" applyNumberFormat="1" applyFont="1" applyFill="1" applyBorder="1"/>
    <xf numFmtId="174" fontId="17" fillId="0" borderId="0" xfId="80" applyNumberFormat="1" applyFont="1"/>
    <xf numFmtId="9" fontId="17" fillId="0" borderId="0" xfId="80" applyFont="1"/>
    <xf numFmtId="278" fontId="17" fillId="0" borderId="137" xfId="48" applyNumberFormat="1" applyBorder="1"/>
    <xf numFmtId="0" fontId="137" fillId="0" borderId="0" xfId="0" applyFont="1"/>
    <xf numFmtId="0" fontId="137" fillId="0" borderId="407" xfId="0" applyFont="1" applyBorder="1"/>
    <xf numFmtId="267" fontId="137" fillId="0" borderId="407" xfId="0" applyNumberFormat="1" applyFont="1" applyBorder="1"/>
    <xf numFmtId="264" fontId="137" fillId="0" borderId="407" xfId="0" applyNumberFormat="1" applyFont="1" applyBorder="1"/>
    <xf numFmtId="268" fontId="137" fillId="0" borderId="407" xfId="0" applyNumberFormat="1" applyFont="1" applyBorder="1"/>
    <xf numFmtId="327" fontId="137" fillId="46" borderId="407" xfId="0" applyNumberFormat="1" applyFont="1" applyFill="1" applyBorder="1" applyAlignment="1">
      <alignment horizontal="center"/>
    </xf>
    <xf numFmtId="328" fontId="137" fillId="46" borderId="407" xfId="0" applyNumberFormat="1" applyFont="1" applyFill="1" applyBorder="1" applyAlignment="1">
      <alignment horizontal="center"/>
    </xf>
    <xf numFmtId="329" fontId="137" fillId="46" borderId="407" xfId="0" applyNumberFormat="1" applyFont="1" applyFill="1" applyBorder="1" applyAlignment="1">
      <alignment horizontal="center"/>
    </xf>
    <xf numFmtId="260" fontId="137" fillId="0" borderId="417" xfId="0" applyNumberFormat="1" applyFont="1" applyBorder="1"/>
    <xf numFmtId="0" fontId="112" fillId="0" borderId="0" xfId="0" applyFont="1" applyProtection="1">
      <protection locked="0"/>
    </xf>
    <xf numFmtId="0" fontId="49" fillId="48" borderId="0" xfId="48" applyFont="1" applyFill="1" applyAlignment="1">
      <alignment horizontal="right"/>
    </xf>
    <xf numFmtId="0" fontId="49" fillId="48" borderId="0" xfId="48" applyFont="1" applyFill="1" applyAlignment="1">
      <alignment horizontal="center"/>
    </xf>
    <xf numFmtId="177" fontId="17" fillId="0" borderId="0" xfId="48" applyNumberFormat="1" applyAlignment="1">
      <alignment horizontal="center"/>
    </xf>
    <xf numFmtId="177" fontId="49" fillId="48" borderId="0" xfId="83" applyNumberFormat="1" applyFont="1" applyFill="1" applyBorder="1" applyAlignment="1">
      <alignment horizontal="center"/>
    </xf>
    <xf numFmtId="168" fontId="17" fillId="0" borderId="0" xfId="83" applyNumberFormat="1" applyFont="1" applyFill="1" applyBorder="1" applyAlignment="1">
      <alignment horizontal="center"/>
    </xf>
    <xf numFmtId="168" fontId="17" fillId="0" borderId="0" xfId="48" applyNumberFormat="1" applyAlignment="1">
      <alignment horizontal="center"/>
    </xf>
    <xf numFmtId="177" fontId="49" fillId="51" borderId="0" xfId="83" applyNumberFormat="1" applyFont="1" applyFill="1" applyBorder="1" applyAlignment="1">
      <alignment horizontal="center"/>
    </xf>
    <xf numFmtId="0" fontId="49" fillId="0" borderId="0" xfId="48" applyFont="1" applyAlignment="1">
      <alignment horizontal="left"/>
    </xf>
    <xf numFmtId="0" fontId="279" fillId="0" borderId="0" xfId="0" applyFont="1"/>
    <xf numFmtId="9" fontId="17" fillId="0" borderId="0" xfId="80" applyFont="1" applyFill="1" applyBorder="1" applyAlignment="1" applyProtection="1">
      <alignment horizontal="center"/>
      <protection hidden="1"/>
    </xf>
    <xf numFmtId="0" fontId="17" fillId="0" borderId="403" xfId="0" applyFont="1" applyBorder="1" applyAlignment="1">
      <alignment horizontal="center"/>
    </xf>
    <xf numFmtId="166" fontId="17" fillId="49" borderId="0" xfId="0" applyNumberFormat="1" applyFont="1" applyFill="1" applyAlignment="1">
      <alignment horizontal="center"/>
    </xf>
    <xf numFmtId="9" fontId="17" fillId="0" borderId="0" xfId="80" applyFont="1" applyFill="1" applyProtection="1">
      <protection hidden="1"/>
    </xf>
    <xf numFmtId="0" fontId="17" fillId="0" borderId="0" xfId="64" applyNumberFormat="1" applyFont="1" applyFill="1" applyBorder="1" applyAlignment="1">
      <alignment horizontal="center"/>
    </xf>
    <xf numFmtId="3" fontId="17" fillId="88" borderId="0" xfId="0" applyNumberFormat="1" applyFont="1" applyFill="1" applyAlignment="1">
      <alignment horizontal="center"/>
    </xf>
    <xf numFmtId="166" fontId="17" fillId="0" borderId="0" xfId="28" applyFont="1"/>
    <xf numFmtId="3" fontId="17" fillId="46" borderId="0" xfId="0" applyNumberFormat="1" applyFont="1" applyFill="1" applyAlignment="1">
      <alignment horizontal="center"/>
    </xf>
    <xf numFmtId="168" fontId="17" fillId="0" borderId="403" xfId="28" applyNumberFormat="1" applyFont="1" applyFill="1" applyBorder="1"/>
    <xf numFmtId="0" fontId="49" fillId="0" borderId="0" xfId="0" applyFont="1" applyAlignment="1" applyProtection="1">
      <alignment horizontal="right"/>
      <protection hidden="1"/>
    </xf>
    <xf numFmtId="3" fontId="49" fillId="46" borderId="0" xfId="0" applyNumberFormat="1" applyFont="1" applyFill="1" applyAlignment="1">
      <alignment horizontal="center"/>
    </xf>
    <xf numFmtId="3" fontId="17" fillId="48" borderId="403" xfId="0" applyNumberFormat="1" applyFont="1" applyFill="1" applyBorder="1" applyAlignment="1">
      <alignment horizontal="center"/>
    </xf>
    <xf numFmtId="261" fontId="17" fillId="0" borderId="403" xfId="0" applyNumberFormat="1" applyFont="1" applyBorder="1" applyAlignment="1">
      <alignment horizontal="center"/>
    </xf>
    <xf numFmtId="219" fontId="17" fillId="49" borderId="0" xfId="0" applyNumberFormat="1" applyFont="1" applyFill="1" applyAlignment="1">
      <alignment horizontal="center"/>
    </xf>
    <xf numFmtId="4" fontId="17" fillId="0" borderId="0" xfId="0" applyNumberFormat="1" applyFont="1" applyAlignment="1">
      <alignment horizontal="center"/>
    </xf>
    <xf numFmtId="0" fontId="280" fillId="0" borderId="0" xfId="0" applyFont="1"/>
    <xf numFmtId="172" fontId="280" fillId="0" borderId="0" xfId="0" applyNumberFormat="1" applyFont="1"/>
    <xf numFmtId="3" fontId="17" fillId="47" borderId="0" xfId="0" applyNumberFormat="1" applyFont="1" applyFill="1" applyAlignment="1">
      <alignment horizontal="center"/>
    </xf>
    <xf numFmtId="0" fontId="112" fillId="0" borderId="0" xfId="0" applyFont="1"/>
    <xf numFmtId="10" fontId="17" fillId="0" borderId="0" xfId="64" applyNumberFormat="1" applyFont="1"/>
    <xf numFmtId="43" fontId="17" fillId="0" borderId="0" xfId="0" applyNumberFormat="1" applyFont="1" applyAlignment="1">
      <alignment horizontal="center"/>
    </xf>
    <xf numFmtId="3" fontId="49" fillId="46" borderId="0" xfId="59" applyNumberFormat="1" applyFont="1" applyFill="1" applyAlignment="1" applyProtection="1">
      <alignment horizontal="center"/>
      <protection hidden="1"/>
    </xf>
    <xf numFmtId="0" fontId="281" fillId="0" borderId="0" xfId="0" applyFont="1" applyProtection="1">
      <protection locked="0"/>
    </xf>
    <xf numFmtId="340" fontId="281" fillId="0" borderId="0" xfId="0" applyNumberFormat="1" applyFont="1"/>
    <xf numFmtId="341" fontId="281" fillId="0" borderId="0" xfId="0" applyNumberFormat="1" applyFont="1"/>
    <xf numFmtId="342" fontId="281" fillId="0" borderId="0" xfId="0" applyNumberFormat="1" applyFont="1"/>
    <xf numFmtId="0" fontId="281" fillId="0" borderId="0" xfId="0" applyFont="1"/>
    <xf numFmtId="219" fontId="17" fillId="0" borderId="0" xfId="0" applyNumberFormat="1" applyFont="1"/>
    <xf numFmtId="0" fontId="49" fillId="51" borderId="0" xfId="0" applyFont="1" applyFill="1" applyAlignment="1" applyProtection="1">
      <alignment horizontal="right"/>
      <protection hidden="1"/>
    </xf>
    <xf numFmtId="173" fontId="49" fillId="51" borderId="0" xfId="59" applyNumberFormat="1" applyFont="1" applyFill="1" applyAlignment="1" applyProtection="1">
      <alignment horizontal="center"/>
      <protection hidden="1"/>
    </xf>
    <xf numFmtId="3" fontId="49" fillId="51" borderId="0" xfId="0" applyNumberFormat="1" applyFont="1" applyFill="1" applyAlignment="1">
      <alignment horizontal="left"/>
    </xf>
    <xf numFmtId="0" fontId="17" fillId="0" borderId="407" xfId="0" applyFont="1" applyBorder="1"/>
    <xf numFmtId="222" fontId="17" fillId="0" borderId="407" xfId="82" applyNumberFormat="1" applyBorder="1"/>
    <xf numFmtId="222" fontId="17" fillId="0" borderId="407" xfId="0" applyNumberFormat="1" applyFont="1" applyBorder="1"/>
    <xf numFmtId="261" fontId="17" fillId="0" borderId="407" xfId="50" applyNumberFormat="1" applyBorder="1"/>
    <xf numFmtId="277" fontId="17" fillId="0" borderId="407" xfId="0" applyNumberFormat="1" applyFont="1" applyBorder="1"/>
    <xf numFmtId="270" fontId="17" fillId="0" borderId="407" xfId="0" applyNumberFormat="1" applyFont="1" applyBorder="1" applyAlignment="1">
      <alignment horizontal="center"/>
    </xf>
    <xf numFmtId="343" fontId="17" fillId="0" borderId="417" xfId="0" applyNumberFormat="1" applyFont="1" applyBorder="1"/>
    <xf numFmtId="344" fontId="17" fillId="0" borderId="407" xfId="0" applyNumberFormat="1" applyFont="1" applyBorder="1"/>
    <xf numFmtId="210" fontId="17" fillId="0" borderId="407" xfId="0" applyNumberFormat="1" applyFont="1" applyBorder="1" applyAlignment="1">
      <alignment horizontal="center"/>
    </xf>
    <xf numFmtId="345" fontId="17" fillId="0" borderId="417" xfId="0" applyNumberFormat="1" applyFont="1" applyBorder="1"/>
    <xf numFmtId="346" fontId="17" fillId="0" borderId="407" xfId="0" applyNumberFormat="1" applyFont="1" applyBorder="1"/>
    <xf numFmtId="347" fontId="17" fillId="0" borderId="407" xfId="0" applyNumberFormat="1" applyFont="1" applyBorder="1" applyAlignment="1">
      <alignment horizontal="center"/>
    </xf>
    <xf numFmtId="348" fontId="17" fillId="0" borderId="407" xfId="0" applyNumberFormat="1" applyFont="1" applyBorder="1"/>
    <xf numFmtId="349" fontId="17" fillId="0" borderId="407" xfId="0" applyNumberFormat="1" applyFont="1" applyBorder="1"/>
    <xf numFmtId="266" fontId="17" fillId="0" borderId="417" xfId="0" applyNumberFormat="1" applyFont="1" applyBorder="1"/>
    <xf numFmtId="217" fontId="17" fillId="0" borderId="407" xfId="50" applyNumberFormat="1" applyBorder="1"/>
    <xf numFmtId="342" fontId="17" fillId="0" borderId="407" xfId="50" applyNumberFormat="1" applyBorder="1"/>
    <xf numFmtId="218" fontId="17" fillId="0" borderId="417" xfId="0" applyNumberFormat="1" applyFont="1" applyBorder="1"/>
    <xf numFmtId="260" fontId="17" fillId="0" borderId="417" xfId="0" applyNumberFormat="1" applyFont="1" applyBorder="1"/>
    <xf numFmtId="216" fontId="17" fillId="0" borderId="407" xfId="50" applyNumberFormat="1" applyBorder="1"/>
    <xf numFmtId="222" fontId="17" fillId="0" borderId="407" xfId="50" applyNumberFormat="1" applyBorder="1"/>
    <xf numFmtId="336" fontId="17" fillId="0" borderId="407" xfId="0" applyNumberFormat="1" applyFont="1" applyBorder="1" applyAlignment="1">
      <alignment horizontal="center"/>
    </xf>
    <xf numFmtId="261" fontId="17" fillId="0" borderId="407" xfId="0" applyNumberFormat="1" applyFont="1" applyBorder="1"/>
    <xf numFmtId="10" fontId="275" fillId="55" borderId="0" xfId="77" applyNumberFormat="1" applyFont="1" applyFill="1" applyProtection="1">
      <protection locked="0"/>
    </xf>
    <xf numFmtId="350" fontId="17" fillId="0" borderId="0" xfId="0" applyNumberFormat="1" applyFont="1"/>
    <xf numFmtId="41" fontId="137" fillId="60" borderId="0" xfId="0" applyNumberFormat="1" applyFont="1" applyFill="1"/>
    <xf numFmtId="166" fontId="17" fillId="0" borderId="0" xfId="28" applyFont="1" applyFill="1" applyBorder="1" applyAlignment="1" applyProtection="1">
      <alignment horizontal="center"/>
      <protection hidden="1"/>
    </xf>
    <xf numFmtId="43" fontId="17" fillId="0" borderId="0" xfId="31" applyNumberFormat="1" applyFont="1" applyFill="1" applyBorder="1" applyAlignment="1">
      <alignment horizontal="center"/>
    </xf>
    <xf numFmtId="0" fontId="49" fillId="0" borderId="418" xfId="0" applyFont="1" applyBorder="1"/>
    <xf numFmtId="0" fontId="17" fillId="0" borderId="419" xfId="0" applyFont="1" applyBorder="1"/>
    <xf numFmtId="0" fontId="17" fillId="0" borderId="420" xfId="0" applyFont="1" applyBorder="1"/>
    <xf numFmtId="3" fontId="49" fillId="0" borderId="421" xfId="0" applyNumberFormat="1" applyFont="1" applyBorder="1"/>
    <xf numFmtId="0" fontId="17" fillId="0" borderId="422" xfId="0" applyFont="1" applyBorder="1"/>
    <xf numFmtId="3" fontId="17" fillId="0" borderId="421" xfId="0" applyNumberFormat="1" applyFont="1" applyBorder="1"/>
    <xf numFmtId="3" fontId="17" fillId="48" borderId="409" xfId="0" applyNumberFormat="1" applyFont="1" applyFill="1" applyBorder="1" applyAlignment="1">
      <alignment horizontal="center"/>
    </xf>
    <xf numFmtId="0" fontId="17" fillId="0" borderId="421" xfId="0" applyFont="1" applyBorder="1" applyAlignment="1">
      <alignment horizontal="center"/>
    </xf>
    <xf numFmtId="174" fontId="49" fillId="55" borderId="0" xfId="80" applyNumberFormat="1" applyFont="1" applyFill="1" applyBorder="1" applyAlignment="1" applyProtection="1">
      <alignment horizontal="center"/>
      <protection hidden="1"/>
    </xf>
    <xf numFmtId="0" fontId="17" fillId="0" borderId="421" xfId="0" applyFont="1" applyBorder="1"/>
    <xf numFmtId="3" fontId="17" fillId="0" borderId="422" xfId="0" applyNumberFormat="1" applyFont="1" applyBorder="1" applyAlignment="1">
      <alignment horizontal="left"/>
    </xf>
    <xf numFmtId="0" fontId="283" fillId="0" borderId="0" xfId="48" applyFont="1" applyAlignment="1">
      <alignment horizontal="right" vertical="center"/>
    </xf>
    <xf numFmtId="351" fontId="283" fillId="0" borderId="0" xfId="48" applyNumberFormat="1" applyFont="1" applyAlignment="1">
      <alignment vertical="center"/>
    </xf>
    <xf numFmtId="352" fontId="283" fillId="0" borderId="0" xfId="103" applyNumberFormat="1" applyFont="1">
      <alignment vertical="center"/>
    </xf>
    <xf numFmtId="353" fontId="283" fillId="0" borderId="0" xfId="103" applyNumberFormat="1" applyFont="1">
      <alignment vertical="center"/>
    </xf>
    <xf numFmtId="3" fontId="17" fillId="71" borderId="420" xfId="0" applyNumberFormat="1" applyFont="1" applyFill="1" applyBorder="1"/>
    <xf numFmtId="3" fontId="17" fillId="71" borderId="422" xfId="0" applyNumberFormat="1" applyFont="1" applyFill="1" applyBorder="1"/>
    <xf numFmtId="178" fontId="17" fillId="71" borderId="419" xfId="48" applyNumberFormat="1" applyFill="1" applyBorder="1" applyAlignment="1">
      <alignment horizontal="center" vertical="center"/>
    </xf>
    <xf numFmtId="178" fontId="17" fillId="71" borderId="419" xfId="48" applyNumberFormat="1" applyFill="1" applyBorder="1" applyAlignment="1">
      <alignment horizontal="center" vertical="center" wrapText="1"/>
    </xf>
    <xf numFmtId="178" fontId="17" fillId="71" borderId="420" xfId="48" applyNumberFormat="1" applyFill="1" applyBorder="1" applyAlignment="1">
      <alignment horizontal="center" vertical="center" wrapText="1"/>
    </xf>
    <xf numFmtId="205" fontId="17" fillId="71" borderId="422" xfId="48" applyNumberFormat="1" applyFill="1" applyBorder="1" applyAlignment="1">
      <alignment horizontal="center"/>
    </xf>
    <xf numFmtId="178" fontId="17" fillId="71" borderId="422" xfId="48" applyNumberFormat="1" applyFill="1" applyBorder="1" applyAlignment="1">
      <alignment horizontal="center"/>
    </xf>
    <xf numFmtId="174" fontId="49" fillId="46" borderId="422" xfId="66" applyNumberFormat="1" applyFont="1" applyFill="1" applyBorder="1"/>
    <xf numFmtId="178" fontId="49" fillId="71" borderId="422" xfId="48" applyNumberFormat="1" applyFont="1" applyFill="1" applyBorder="1"/>
    <xf numFmtId="178" fontId="17" fillId="71" borderId="422" xfId="0" applyNumberFormat="1" applyFont="1" applyFill="1" applyBorder="1"/>
    <xf numFmtId="0" fontId="17" fillId="71" borderId="409" xfId="0" applyFont="1" applyFill="1" applyBorder="1" applyAlignment="1">
      <alignment horizontal="center" vertical="center" wrapText="1"/>
    </xf>
    <xf numFmtId="41" fontId="222" fillId="71" borderId="334" xfId="28" applyNumberFormat="1" applyFont="1" applyFill="1" applyBorder="1"/>
    <xf numFmtId="0" fontId="17" fillId="71" borderId="423" xfId="49" applyFont="1" applyFill="1" applyBorder="1" applyAlignment="1">
      <alignment horizontal="center" vertical="center" wrapText="1"/>
    </xf>
    <xf numFmtId="0" fontId="17" fillId="71" borderId="32" xfId="49" applyFont="1" applyFill="1" applyBorder="1" applyAlignment="1">
      <alignment horizontal="center" vertical="center" wrapText="1"/>
    </xf>
    <xf numFmtId="3" fontId="173" fillId="0" borderId="0" xfId="51" applyNumberFormat="1" applyFont="1" applyAlignment="1">
      <alignment horizontal="center" wrapText="1"/>
    </xf>
    <xf numFmtId="0" fontId="284" fillId="0" borderId="0" xfId="0" applyFont="1"/>
    <xf numFmtId="172" fontId="285" fillId="0" borderId="0" xfId="77" applyNumberFormat="1" applyFont="1" applyAlignment="1" applyProtection="1">
      <alignment horizontal="center"/>
      <protection locked="0"/>
    </xf>
    <xf numFmtId="9" fontId="285" fillId="0" borderId="0" xfId="64" applyFont="1" applyAlignment="1" applyProtection="1">
      <alignment horizontal="center"/>
      <protection locked="0"/>
    </xf>
    <xf numFmtId="326" fontId="137" fillId="0" borderId="0" xfId="0" applyNumberFormat="1" applyFont="1" applyAlignment="1">
      <alignment horizontal="center"/>
    </xf>
    <xf numFmtId="168" fontId="17" fillId="0" borderId="409" xfId="28" applyNumberFormat="1" applyFont="1" applyBorder="1" applyAlignment="1">
      <alignment horizontal="center" vertical="center" wrapText="1"/>
    </xf>
    <xf numFmtId="178" fontId="137" fillId="60" borderId="0" xfId="48" applyNumberFormat="1" applyFont="1" applyFill="1" applyAlignment="1">
      <alignment horizontal="center"/>
    </xf>
    <xf numFmtId="0" fontId="113" fillId="51" borderId="409" xfId="0" applyFont="1" applyFill="1" applyBorder="1" applyAlignment="1">
      <alignment horizontal="left" vertical="center" wrapText="1"/>
    </xf>
    <xf numFmtId="0" fontId="49" fillId="0" borderId="409" xfId="0" applyFont="1" applyBorder="1" applyAlignment="1">
      <alignment horizontal="center" wrapText="1"/>
    </xf>
    <xf numFmtId="0" fontId="49" fillId="51" borderId="424" xfId="108" applyFont="1" applyFill="1" applyBorder="1"/>
    <xf numFmtId="0" fontId="49" fillId="52" borderId="424" xfId="108" applyFont="1" applyFill="1" applyBorder="1" applyAlignment="1">
      <alignment horizontal="center"/>
    </xf>
    <xf numFmtId="0" fontId="17" fillId="0" borderId="424" xfId="0" applyFont="1" applyBorder="1"/>
    <xf numFmtId="0" fontId="17" fillId="0" borderId="424" xfId="0" applyFont="1" applyBorder="1" applyAlignment="1">
      <alignment horizontal="center"/>
    </xf>
    <xf numFmtId="0" fontId="49" fillId="50" borderId="0" xfId="0" applyFont="1" applyFill="1" applyAlignment="1">
      <alignment vertical="center"/>
    </xf>
    <xf numFmtId="0" fontId="17" fillId="47" borderId="0" xfId="0" applyFont="1" applyFill="1"/>
    <xf numFmtId="178" fontId="17" fillId="56" borderId="0" xfId="0" applyNumberFormat="1" applyFont="1" applyFill="1"/>
    <xf numFmtId="178" fontId="49" fillId="56" borderId="0" xfId="0" applyNumberFormat="1" applyFont="1" applyFill="1"/>
    <xf numFmtId="178" fontId="112" fillId="56" borderId="0" xfId="0" applyNumberFormat="1" applyFont="1" applyFill="1"/>
    <xf numFmtId="178" fontId="137" fillId="56" borderId="0" xfId="0" applyNumberFormat="1" applyFont="1" applyFill="1"/>
    <xf numFmtId="178" fontId="17" fillId="56" borderId="0" xfId="0" applyNumberFormat="1" applyFont="1" applyFill="1" applyAlignment="1">
      <alignment horizontal="center"/>
    </xf>
    <xf numFmtId="177" fontId="49" fillId="51" borderId="299" xfId="0" applyNumberFormat="1" applyFont="1" applyFill="1" applyBorder="1"/>
    <xf numFmtId="3" fontId="286" fillId="0" borderId="0" xfId="77" applyNumberFormat="1" applyFont="1" applyAlignment="1" applyProtection="1">
      <alignment horizontal="center" vertical="center"/>
      <protection locked="0"/>
    </xf>
    <xf numFmtId="9" fontId="286" fillId="0" borderId="0" xfId="64" applyFont="1" applyFill="1" applyAlignment="1" applyProtection="1">
      <alignment horizontal="center" vertical="center"/>
      <protection locked="0"/>
    </xf>
    <xf numFmtId="3" fontId="17" fillId="57" borderId="334" xfId="0" applyNumberFormat="1" applyFont="1" applyFill="1" applyBorder="1" applyAlignment="1">
      <alignment horizontal="right"/>
    </xf>
    <xf numFmtId="203" fontId="17" fillId="52" borderId="334" xfId="0" applyNumberFormat="1" applyFont="1" applyFill="1" applyBorder="1" applyAlignment="1">
      <alignment horizontal="left"/>
    </xf>
    <xf numFmtId="178" fontId="17" fillId="0" borderId="0" xfId="0" applyNumberFormat="1" applyFont="1" applyAlignment="1" applyProtection="1">
      <alignment horizontal="left"/>
      <protection hidden="1"/>
    </xf>
    <xf numFmtId="9" fontId="25" fillId="0" borderId="0" xfId="64" applyFont="1" applyFill="1"/>
    <xf numFmtId="9" fontId="17" fillId="0" borderId="0" xfId="64" applyFont="1" applyAlignment="1">
      <alignment horizontal="center"/>
    </xf>
    <xf numFmtId="9" fontId="17" fillId="0" borderId="0" xfId="64" applyFont="1" applyFill="1" applyAlignment="1">
      <alignment horizontal="center"/>
    </xf>
    <xf numFmtId="3" fontId="17" fillId="71" borderId="425" xfId="51" applyNumberFormat="1" applyFont="1" applyFill="1" applyBorder="1" applyAlignment="1">
      <alignment horizontal="center"/>
    </xf>
    <xf numFmtId="3" fontId="17" fillId="71" borderId="426" xfId="51" applyNumberFormat="1" applyFont="1" applyFill="1" applyBorder="1" applyAlignment="1">
      <alignment horizontal="center"/>
    </xf>
    <xf numFmtId="41" fontId="49" fillId="0" borderId="0" xfId="0" applyNumberFormat="1" applyFont="1"/>
    <xf numFmtId="176" fontId="126" fillId="0" borderId="0" xfId="80" applyNumberFormat="1" applyFont="1" applyProtection="1">
      <protection hidden="1"/>
    </xf>
    <xf numFmtId="176" fontId="126" fillId="0" borderId="0" xfId="64" applyNumberFormat="1" applyFont="1" applyProtection="1">
      <protection hidden="1"/>
    </xf>
    <xf numFmtId="0" fontId="17" fillId="0" borderId="0" xfId="77" applyAlignment="1" applyProtection="1">
      <alignment horizontal="right"/>
      <protection locked="0"/>
    </xf>
    <xf numFmtId="10" fontId="141" fillId="47" borderId="427" xfId="79" applyNumberFormat="1" applyFont="1" applyFill="1" applyBorder="1" applyAlignment="1" applyProtection="1">
      <alignment horizontal="center"/>
      <protection locked="0"/>
    </xf>
    <xf numFmtId="9" fontId="17" fillId="0" borderId="0" xfId="64" applyFont="1" applyFill="1" applyProtection="1">
      <protection locked="0"/>
    </xf>
    <xf numFmtId="176" fontId="155" fillId="0" borderId="0" xfId="64" applyNumberFormat="1" applyFont="1" applyAlignment="1" applyProtection="1">
      <alignment horizontal="center" vertical="center"/>
      <protection locked="0"/>
    </xf>
    <xf numFmtId="9" fontId="112" fillId="0" borderId="0" xfId="0" applyNumberFormat="1" applyFont="1"/>
    <xf numFmtId="0" fontId="275" fillId="0" borderId="0" xfId="77" applyFont="1"/>
    <xf numFmtId="3" fontId="17" fillId="0" borderId="427" xfId="0" applyNumberFormat="1" applyFont="1" applyBorder="1" applyAlignment="1">
      <alignment horizontal="center" vertical="center"/>
    </xf>
    <xf numFmtId="0" fontId="49" fillId="48" borderId="0" xfId="0" applyFont="1" applyFill="1"/>
    <xf numFmtId="0" fontId="93" fillId="0" borderId="0" xfId="109" applyFont="1"/>
    <xf numFmtId="0" fontId="10" fillId="0" borderId="0" xfId="109"/>
    <xf numFmtId="0" fontId="153" fillId="0" borderId="0" xfId="109" applyFont="1" applyAlignment="1">
      <alignment vertical="center"/>
    </xf>
    <xf numFmtId="0" fontId="93" fillId="0" borderId="428" xfId="109" applyFont="1" applyBorder="1"/>
    <xf numFmtId="0" fontId="10" fillId="0" borderId="429" xfId="109" applyBorder="1"/>
    <xf numFmtId="0" fontId="10" fillId="0" borderId="357" xfId="109" applyBorder="1" applyAlignment="1">
      <alignment horizontal="right"/>
    </xf>
    <xf numFmtId="0" fontId="10" fillId="0" borderId="357" xfId="109" applyBorder="1"/>
    <xf numFmtId="0" fontId="91" fillId="0" borderId="0" xfId="109" applyFont="1" applyAlignment="1">
      <alignment vertical="center"/>
    </xf>
    <xf numFmtId="0" fontId="10" fillId="0" borderId="409" xfId="109" applyBorder="1" applyAlignment="1">
      <alignment horizontal="right"/>
    </xf>
    <xf numFmtId="0" fontId="10" fillId="0" borderId="409" xfId="109" applyBorder="1"/>
    <xf numFmtId="0" fontId="287" fillId="0" borderId="0" xfId="109" applyFont="1" applyAlignment="1">
      <alignment vertical="center"/>
    </xf>
    <xf numFmtId="168" fontId="0" fillId="0" borderId="0" xfId="28" applyNumberFormat="1" applyFont="1"/>
    <xf numFmtId="3" fontId="288" fillId="0" borderId="0" xfId="109" applyNumberFormat="1" applyFont="1" applyAlignment="1">
      <alignment horizontal="center"/>
    </xf>
    <xf numFmtId="0" fontId="289" fillId="54" borderId="0" xfId="109" applyFont="1" applyFill="1" applyAlignment="1">
      <alignment horizontal="left"/>
    </xf>
    <xf numFmtId="168" fontId="289" fillId="54" borderId="0" xfId="28" applyNumberFormat="1" applyFont="1" applyFill="1" applyAlignment="1">
      <alignment horizontal="center"/>
    </xf>
    <xf numFmtId="0" fontId="289" fillId="54" borderId="0" xfId="109" applyFont="1" applyFill="1" applyAlignment="1">
      <alignment horizontal="center"/>
    </xf>
    <xf numFmtId="0" fontId="254" fillId="0" borderId="0" xfId="109" applyFont="1" applyAlignment="1">
      <alignment vertical="center"/>
    </xf>
    <xf numFmtId="0" fontId="174" fillId="0" borderId="0" xfId="89" applyAlignment="1">
      <alignment vertical="center"/>
    </xf>
    <xf numFmtId="0" fontId="290" fillId="0" borderId="0" xfId="0" applyFont="1" applyAlignment="1">
      <alignment vertical="center"/>
    </xf>
    <xf numFmtId="0" fontId="17" fillId="0" borderId="0" xfId="109" applyFont="1"/>
    <xf numFmtId="0" fontId="253" fillId="0" borderId="0" xfId="109" applyFont="1"/>
    <xf numFmtId="0" fontId="17" fillId="0" borderId="0" xfId="109" applyFont="1" applyAlignment="1" applyProtection="1">
      <alignment horizontal="right"/>
      <protection hidden="1"/>
    </xf>
    <xf numFmtId="174" fontId="17" fillId="0" borderId="427" xfId="80" applyNumberFormat="1" applyFont="1" applyFill="1" applyBorder="1" applyAlignment="1" applyProtection="1">
      <alignment horizontal="center"/>
      <protection locked="0"/>
    </xf>
    <xf numFmtId="0" fontId="17" fillId="0" borderId="0" xfId="109" applyFont="1" applyProtection="1">
      <protection hidden="1"/>
    </xf>
    <xf numFmtId="3" fontId="49" fillId="0" borderId="0" xfId="109" applyNumberFormat="1" applyFont="1" applyProtection="1">
      <protection hidden="1"/>
    </xf>
    <xf numFmtId="0" fontId="17" fillId="54" borderId="0" xfId="109" applyFont="1" applyFill="1"/>
    <xf numFmtId="0" fontId="17" fillId="92" borderId="0" xfId="109" applyFont="1" applyFill="1"/>
    <xf numFmtId="0" fontId="137" fillId="92" borderId="0" xfId="109" applyFont="1" applyFill="1"/>
    <xf numFmtId="3" fontId="137" fillId="92" borderId="0" xfId="109" applyNumberFormat="1" applyFont="1" applyFill="1"/>
    <xf numFmtId="0" fontId="292" fillId="0" borderId="0" xfId="0" applyFont="1" applyAlignment="1">
      <alignment horizontal="left"/>
    </xf>
    <xf numFmtId="0" fontId="288" fillId="0" borderId="0" xfId="0" applyFont="1" applyAlignment="1">
      <alignment horizontal="center"/>
    </xf>
    <xf numFmtId="177" fontId="288" fillId="0" borderId="0" xfId="0" applyNumberFormat="1" applyFont="1" applyAlignment="1">
      <alignment horizontal="center"/>
    </xf>
    <xf numFmtId="168" fontId="288" fillId="0" borderId="0" xfId="83" applyNumberFormat="1" applyFont="1" applyFill="1" applyBorder="1" applyAlignment="1">
      <alignment horizontal="center"/>
    </xf>
    <xf numFmtId="0" fontId="288" fillId="0" borderId="0" xfId="0" applyFont="1" applyAlignment="1">
      <alignment horizontal="left"/>
    </xf>
    <xf numFmtId="0" fontId="288" fillId="58" borderId="0" xfId="0" applyFont="1" applyFill="1" applyAlignment="1">
      <alignment horizontal="center"/>
    </xf>
    <xf numFmtId="168" fontId="288" fillId="58" borderId="0" xfId="83" applyNumberFormat="1" applyFont="1" applyFill="1" applyBorder="1" applyAlignment="1">
      <alignment horizontal="center"/>
    </xf>
    <xf numFmtId="0" fontId="293" fillId="58" borderId="0" xfId="0" applyFont="1" applyFill="1" applyAlignment="1">
      <alignment horizontal="center"/>
    </xf>
    <xf numFmtId="168" fontId="293" fillId="58" borderId="0" xfId="28" applyNumberFormat="1" applyFont="1" applyFill="1" applyBorder="1" applyAlignment="1">
      <alignment horizontal="center"/>
    </xf>
    <xf numFmtId="168" fontId="288" fillId="70" borderId="0" xfId="83" applyNumberFormat="1" applyFont="1" applyFill="1" applyBorder="1" applyAlignment="1">
      <alignment horizontal="center"/>
    </xf>
    <xf numFmtId="354" fontId="288" fillId="58" borderId="0" xfId="0" applyNumberFormat="1" applyFont="1" applyFill="1" applyAlignment="1">
      <alignment horizontal="center"/>
    </xf>
    <xf numFmtId="186" fontId="137" fillId="0" borderId="137" xfId="33" applyNumberFormat="1" applyFont="1" applyFill="1" applyBorder="1" applyAlignment="1"/>
    <xf numFmtId="174" fontId="49" fillId="0" borderId="10" xfId="64" applyNumberFormat="1" applyFont="1" applyFill="1" applyBorder="1" applyAlignment="1">
      <alignment horizontal="center"/>
    </xf>
    <xf numFmtId="0" fontId="17" fillId="0" borderId="427" xfId="0" applyFont="1" applyBorder="1"/>
    <xf numFmtId="0" fontId="112" fillId="0" borderId="0" xfId="0" applyFont="1" applyAlignment="1">
      <alignment horizontal="right"/>
    </xf>
    <xf numFmtId="3" fontId="112" fillId="0" borderId="0" xfId="0" applyNumberFormat="1" applyFont="1" applyAlignment="1">
      <alignment horizontal="left"/>
    </xf>
    <xf numFmtId="0" fontId="49" fillId="0" borderId="419" xfId="0" applyFont="1" applyBorder="1"/>
    <xf numFmtId="0" fontId="17" fillId="0" borderId="24" xfId="0" applyFont="1" applyBorder="1"/>
    <xf numFmtId="0" fontId="17" fillId="0" borderId="25" xfId="0" applyFont="1" applyBorder="1"/>
    <xf numFmtId="0" fontId="17" fillId="0" borderId="26" xfId="0" applyFont="1" applyBorder="1"/>
    <xf numFmtId="168" fontId="155" fillId="0" borderId="0" xfId="28" applyNumberFormat="1" applyFont="1" applyFill="1" applyBorder="1" applyAlignment="1" applyProtection="1">
      <alignment horizontal="right"/>
      <protection locked="0"/>
    </xf>
    <xf numFmtId="10" fontId="155" fillId="0" borderId="0" xfId="64" applyNumberFormat="1" applyFont="1" applyAlignment="1" applyProtection="1">
      <alignment vertical="center"/>
      <protection locked="0"/>
    </xf>
    <xf numFmtId="4" fontId="112" fillId="0" borderId="356" xfId="0" applyNumberFormat="1" applyFont="1" applyBorder="1" applyAlignment="1">
      <alignment horizontal="left"/>
    </xf>
    <xf numFmtId="0" fontId="137" fillId="0" borderId="113" xfId="0" applyFont="1" applyBorder="1" applyAlignment="1">
      <alignment horizontal="center"/>
    </xf>
    <xf numFmtId="3" fontId="137" fillId="0" borderId="355" xfId="0" applyNumberFormat="1" applyFont="1" applyBorder="1"/>
    <xf numFmtId="3" fontId="137" fillId="0" borderId="355" xfId="28" applyNumberFormat="1" applyFont="1" applyFill="1" applyBorder="1"/>
    <xf numFmtId="168" fontId="137" fillId="0" borderId="7" xfId="28" applyNumberFormat="1" applyFont="1" applyFill="1" applyBorder="1"/>
    <xf numFmtId="0" fontId="113" fillId="0" borderId="0" xfId="0" applyFont="1" applyAlignment="1">
      <alignment horizontal="right"/>
    </xf>
    <xf numFmtId="9" fontId="113" fillId="0" borderId="0" xfId="0" applyNumberFormat="1" applyFont="1"/>
    <xf numFmtId="0" fontId="137" fillId="51" borderId="334" xfId="0" applyFont="1" applyFill="1" applyBorder="1"/>
    <xf numFmtId="178" fontId="17" fillId="71" borderId="419" xfId="48" applyNumberFormat="1" applyFill="1" applyBorder="1" applyAlignment="1">
      <alignment horizontal="center"/>
    </xf>
    <xf numFmtId="178" fontId="49" fillId="71" borderId="420" xfId="48" applyNumberFormat="1" applyFont="1" applyFill="1" applyBorder="1" applyAlignment="1">
      <alignment horizontal="center"/>
    </xf>
    <xf numFmtId="205" fontId="17" fillId="71" borderId="419" xfId="48" applyNumberFormat="1" applyFill="1" applyBorder="1" applyAlignment="1">
      <alignment horizontal="center"/>
    </xf>
    <xf numFmtId="178" fontId="49" fillId="71" borderId="422" xfId="48" applyNumberFormat="1" applyFont="1" applyFill="1" applyBorder="1" applyAlignment="1">
      <alignment horizontal="center" wrapText="1"/>
    </xf>
    <xf numFmtId="0" fontId="173" fillId="46" borderId="0" xfId="0" applyFont="1" applyFill="1"/>
    <xf numFmtId="0" fontId="49" fillId="71" borderId="56" xfId="0" applyFont="1" applyFill="1" applyBorder="1" applyAlignment="1">
      <alignment horizontal="right"/>
    </xf>
    <xf numFmtId="0" fontId="22" fillId="46" borderId="0" xfId="0" applyFont="1" applyFill="1" applyAlignment="1">
      <alignment horizontal="left"/>
    </xf>
    <xf numFmtId="168" fontId="17" fillId="0" borderId="0" xfId="31" applyNumberFormat="1" applyFont="1" applyFill="1" applyBorder="1" applyProtection="1">
      <protection hidden="1"/>
    </xf>
    <xf numFmtId="355" fontId="17" fillId="0" borderId="0" xfId="0" applyNumberFormat="1" applyFont="1"/>
    <xf numFmtId="0" fontId="17" fillId="0" borderId="0" xfId="58" applyAlignment="1">
      <alignment horizontal="right"/>
    </xf>
    <xf numFmtId="0" fontId="294" fillId="0" borderId="0" xfId="0" applyFont="1" applyAlignment="1">
      <alignment horizontal="left" vertical="top"/>
    </xf>
    <xf numFmtId="0" fontId="49" fillId="86" borderId="364" xfId="0" applyFont="1" applyFill="1" applyBorder="1" applyAlignment="1">
      <alignment horizontal="left" vertical="top"/>
    </xf>
    <xf numFmtId="0" fontId="49" fillId="87" borderId="365" xfId="0" applyFont="1" applyFill="1" applyBorder="1" applyAlignment="1">
      <alignment vertical="top" wrapText="1"/>
    </xf>
    <xf numFmtId="0" fontId="49" fillId="87" borderId="366" xfId="0" applyFont="1" applyFill="1" applyBorder="1" applyAlignment="1">
      <alignment vertical="top" wrapText="1"/>
    </xf>
    <xf numFmtId="0" fontId="49" fillId="87" borderId="367" xfId="0" applyFont="1" applyFill="1" applyBorder="1" applyAlignment="1">
      <alignment vertical="top" wrapText="1"/>
    </xf>
    <xf numFmtId="0" fontId="49" fillId="0" borderId="364" xfId="0" applyFont="1" applyBorder="1" applyAlignment="1">
      <alignment horizontal="left" vertical="top" wrapText="1" indent="1"/>
    </xf>
    <xf numFmtId="0" fontId="49" fillId="0" borderId="364" xfId="0" applyFont="1" applyBorder="1" applyAlignment="1">
      <alignment horizontal="center" vertical="top" wrapText="1"/>
    </xf>
    <xf numFmtId="0" fontId="49" fillId="0" borderId="364" xfId="0" applyFont="1" applyBorder="1" applyAlignment="1">
      <alignment horizontal="left" vertical="top" wrapText="1" indent="2"/>
    </xf>
    <xf numFmtId="0" fontId="17" fillId="86" borderId="365" xfId="0" applyFont="1" applyFill="1" applyBorder="1" applyAlignment="1">
      <alignment vertical="top"/>
    </xf>
    <xf numFmtId="0" fontId="17" fillId="86" borderId="366" xfId="0" applyFont="1" applyFill="1" applyBorder="1" applyAlignment="1">
      <alignment vertical="top" wrapText="1"/>
    </xf>
    <xf numFmtId="0" fontId="17" fillId="86" borderId="367" xfId="0" applyFont="1" applyFill="1" applyBorder="1" applyAlignment="1">
      <alignment vertical="top" wrapText="1"/>
    </xf>
    <xf numFmtId="0" fontId="294" fillId="0" borderId="0" xfId="0" applyFont="1" applyAlignment="1">
      <alignment horizontal="center" vertical="center"/>
    </xf>
    <xf numFmtId="170" fontId="294" fillId="0" borderId="368" xfId="0" applyNumberFormat="1" applyFont="1" applyBorder="1" applyAlignment="1">
      <alignment horizontal="center" vertical="center" shrinkToFit="1"/>
    </xf>
    <xf numFmtId="3" fontId="294" fillId="0" borderId="368" xfId="0" applyNumberFormat="1" applyFont="1" applyBorder="1" applyAlignment="1">
      <alignment horizontal="center" vertical="center" shrinkToFit="1"/>
    </xf>
    <xf numFmtId="170" fontId="294" fillId="0" borderId="369" xfId="0" applyNumberFormat="1" applyFont="1" applyBorder="1" applyAlignment="1">
      <alignment horizontal="center" vertical="center" shrinkToFit="1"/>
    </xf>
    <xf numFmtId="3" fontId="294" fillId="0" borderId="369" xfId="0" applyNumberFormat="1" applyFont="1" applyBorder="1" applyAlignment="1">
      <alignment horizontal="center" vertical="center" shrinkToFit="1"/>
    </xf>
    <xf numFmtId="170" fontId="294" fillId="86" borderId="369" xfId="0" applyNumberFormat="1" applyFont="1" applyFill="1" applyBorder="1" applyAlignment="1">
      <alignment horizontal="center" vertical="center" shrinkToFit="1"/>
    </xf>
    <xf numFmtId="3" fontId="294" fillId="86" borderId="369" xfId="0" applyNumberFormat="1" applyFont="1" applyFill="1" applyBorder="1" applyAlignment="1">
      <alignment horizontal="center" vertical="center" shrinkToFit="1"/>
    </xf>
    <xf numFmtId="3" fontId="17" fillId="0" borderId="0" xfId="58" applyNumberFormat="1"/>
    <xf numFmtId="170" fontId="294" fillId="0" borderId="370" xfId="0" applyNumberFormat="1" applyFont="1" applyBorder="1" applyAlignment="1">
      <alignment horizontal="center" vertical="center" shrinkToFit="1"/>
    </xf>
    <xf numFmtId="3" fontId="294" fillId="0" borderId="370" xfId="0" applyNumberFormat="1" applyFont="1" applyBorder="1" applyAlignment="1">
      <alignment horizontal="center" vertical="center" shrinkToFit="1"/>
    </xf>
    <xf numFmtId="0" fontId="49" fillId="0" borderId="365" xfId="0" applyFont="1" applyBorder="1" applyAlignment="1">
      <alignment vertical="top" wrapText="1"/>
    </xf>
    <xf numFmtId="0" fontId="49" fillId="86" borderId="365" xfId="0" applyFont="1" applyFill="1" applyBorder="1" applyAlignment="1">
      <alignment vertical="top" wrapText="1"/>
    </xf>
    <xf numFmtId="0" fontId="49" fillId="0" borderId="368" xfId="0" applyFont="1" applyBorder="1" applyAlignment="1">
      <alignment horizontal="center" vertical="top" wrapText="1"/>
    </xf>
    <xf numFmtId="0" fontId="17" fillId="0" borderId="371" xfId="0" applyFont="1" applyBorder="1" applyAlignment="1">
      <alignment vertical="center" wrapText="1"/>
    </xf>
    <xf numFmtId="0" fontId="17" fillId="0" borderId="371" xfId="0" applyFont="1" applyBorder="1" applyAlignment="1">
      <alignment horizontal="right" vertical="center" wrapText="1"/>
    </xf>
    <xf numFmtId="0" fontId="17" fillId="0" borderId="372" xfId="0" applyFont="1" applyBorder="1" applyAlignment="1">
      <alignment vertical="center" wrapText="1"/>
    </xf>
    <xf numFmtId="0" fontId="17" fillId="0" borderId="372" xfId="0" applyFont="1" applyBorder="1" applyAlignment="1">
      <alignment horizontal="right" vertical="center" wrapText="1"/>
    </xf>
    <xf numFmtId="0" fontId="17" fillId="0" borderId="373" xfId="0" applyFont="1" applyBorder="1" applyAlignment="1">
      <alignment vertical="center" wrapText="1"/>
    </xf>
    <xf numFmtId="0" fontId="17" fillId="0" borderId="373" xfId="0" applyFont="1" applyBorder="1" applyAlignment="1">
      <alignment horizontal="right" vertical="center" wrapText="1"/>
    </xf>
    <xf numFmtId="2" fontId="49" fillId="0" borderId="0" xfId="58" applyNumberFormat="1" applyFont="1" applyAlignment="1">
      <alignment horizontal="center"/>
    </xf>
    <xf numFmtId="0" fontId="296" fillId="0" borderId="0" xfId="102" applyFont="1" applyAlignment="1" applyProtection="1"/>
    <xf numFmtId="4" fontId="49" fillId="0" borderId="430" xfId="0" applyNumberFormat="1" applyFont="1" applyBorder="1" applyAlignment="1">
      <alignment horizontal="left"/>
    </xf>
    <xf numFmtId="3" fontId="17" fillId="70" borderId="0" xfId="0" applyNumberFormat="1" applyFont="1" applyFill="1" applyAlignment="1">
      <alignment horizontal="center"/>
    </xf>
    <xf numFmtId="3" fontId="25" fillId="46" borderId="394" xfId="103" applyNumberFormat="1" applyFont="1" applyFill="1" applyBorder="1" applyAlignment="1">
      <alignment horizontal="center"/>
    </xf>
    <xf numFmtId="3" fontId="25" fillId="46" borderId="392" xfId="103" applyNumberFormat="1" applyFont="1" applyFill="1" applyBorder="1" applyAlignment="1">
      <alignment horizontal="center"/>
    </xf>
    <xf numFmtId="3" fontId="17" fillId="48" borderId="320" xfId="104" applyNumberFormat="1" applyFont="1" applyFill="1" applyBorder="1"/>
    <xf numFmtId="0" fontId="173" fillId="93" borderId="0" xfId="48" applyFont="1" applyFill="1" applyAlignment="1">
      <alignment vertical="center"/>
    </xf>
    <xf numFmtId="9" fontId="173" fillId="0" borderId="0" xfId="64" applyFont="1" applyAlignment="1">
      <alignment vertical="center"/>
    </xf>
    <xf numFmtId="0" fontId="275" fillId="0" borderId="0" xfId="77" applyFont="1" applyProtection="1">
      <protection locked="0"/>
    </xf>
    <xf numFmtId="0" fontId="275" fillId="0" borderId="0" xfId="77" applyFont="1" applyAlignment="1" applyProtection="1">
      <alignment horizontal="center"/>
      <protection locked="0"/>
    </xf>
    <xf numFmtId="0" fontId="17" fillId="51" borderId="0" xfId="0" applyFont="1" applyFill="1"/>
    <xf numFmtId="0" fontId="126" fillId="0" borderId="247" xfId="110" applyFont="1" applyBorder="1" applyAlignment="1">
      <alignment vertical="center"/>
    </xf>
    <xf numFmtId="0" fontId="126" fillId="0" borderId="248" xfId="110" applyFont="1" applyBorder="1" applyAlignment="1">
      <alignment vertical="center"/>
    </xf>
    <xf numFmtId="0" fontId="126" fillId="0" borderId="248" xfId="110" applyFont="1" applyBorder="1" applyAlignment="1">
      <alignment vertical="center" wrapText="1"/>
    </xf>
    <xf numFmtId="0" fontId="126" fillId="0" borderId="249" xfId="110" applyFont="1" applyBorder="1" applyAlignment="1">
      <alignment vertical="center" wrapText="1"/>
    </xf>
    <xf numFmtId="0" fontId="7" fillId="0" borderId="0" xfId="111"/>
    <xf numFmtId="0" fontId="126" fillId="0" borderId="250" xfId="110" applyFont="1" applyBorder="1" applyAlignment="1">
      <alignment vertical="center"/>
    </xf>
    <xf numFmtId="0" fontId="126" fillId="0" borderId="0" xfId="110" applyFont="1" applyAlignment="1">
      <alignment vertical="center"/>
    </xf>
    <xf numFmtId="0" fontId="130" fillId="0" borderId="250" xfId="110" applyFont="1" applyBorder="1" applyAlignment="1">
      <alignment horizontal="left" vertical="center"/>
    </xf>
    <xf numFmtId="0" fontId="178" fillId="0" borderId="0" xfId="110" applyFont="1" applyAlignment="1">
      <alignment horizontal="center" vertical="center"/>
    </xf>
    <xf numFmtId="0" fontId="178" fillId="0" borderId="251" xfId="110" applyFont="1" applyBorder="1" applyAlignment="1">
      <alignment horizontal="center" vertical="center"/>
    </xf>
    <xf numFmtId="0" fontId="179" fillId="0" borderId="0" xfId="110" applyFont="1" applyAlignment="1">
      <alignment vertical="center"/>
    </xf>
    <xf numFmtId="0" fontId="178" fillId="0" borderId="0" xfId="110" applyFont="1" applyAlignment="1">
      <alignment vertical="center"/>
    </xf>
    <xf numFmtId="14" fontId="297" fillId="94" borderId="0" xfId="110" applyNumberFormat="1" applyFont="1" applyFill="1" applyAlignment="1">
      <alignment vertical="center"/>
    </xf>
    <xf numFmtId="0" fontId="181" fillId="0" borderId="0" xfId="110" applyFont="1" applyAlignment="1">
      <alignment vertical="center"/>
    </xf>
    <xf numFmtId="0" fontId="298" fillId="94" borderId="0" xfId="110" applyFont="1" applyFill="1" applyAlignment="1">
      <alignment vertical="center"/>
    </xf>
    <xf numFmtId="0" fontId="178" fillId="0" borderId="250" xfId="110" applyFont="1" applyBorder="1" applyAlignment="1">
      <alignment vertical="center"/>
    </xf>
    <xf numFmtId="0" fontId="126" fillId="0" borderId="251" xfId="110" applyFont="1" applyBorder="1" applyAlignment="1">
      <alignment vertical="center"/>
    </xf>
    <xf numFmtId="0" fontId="130" fillId="0" borderId="0" xfId="110" applyFont="1" applyAlignment="1">
      <alignment vertical="center"/>
    </xf>
    <xf numFmtId="0" fontId="130" fillId="0" borderId="432" xfId="110" applyFont="1" applyBorder="1" applyAlignment="1">
      <alignment horizontal="center" vertical="center" wrapText="1"/>
    </xf>
    <xf numFmtId="0" fontId="126" fillId="0" borderId="434" xfId="110" applyFont="1" applyBorder="1" applyAlignment="1">
      <alignment horizontal="center" vertical="center"/>
    </xf>
    <xf numFmtId="0" fontId="126" fillId="0" borderId="435" xfId="92" applyFont="1" applyBorder="1" applyAlignment="1">
      <alignment horizontal="center" vertical="center"/>
    </xf>
    <xf numFmtId="3" fontId="182" fillId="0" borderId="435" xfId="110" applyNumberFormat="1" applyFont="1" applyBorder="1" applyAlignment="1">
      <alignment horizontal="center" vertical="center" wrapText="1"/>
    </xf>
    <xf numFmtId="3" fontId="182" fillId="0" borderId="435" xfId="110" applyNumberFormat="1" applyFont="1" applyBorder="1" applyAlignment="1">
      <alignment horizontal="center" vertical="center"/>
    </xf>
    <xf numFmtId="0" fontId="182" fillId="0" borderId="435" xfId="110" applyFont="1" applyBorder="1" applyAlignment="1">
      <alignment horizontal="center" vertical="center"/>
    </xf>
    <xf numFmtId="1" fontId="126" fillId="0" borderId="435" xfId="110" applyNumberFormat="1" applyFont="1" applyBorder="1" applyAlignment="1">
      <alignment horizontal="center" vertical="center"/>
    </xf>
    <xf numFmtId="0" fontId="126" fillId="0" borderId="435" xfId="110" applyFont="1" applyBorder="1" applyAlignment="1">
      <alignment vertical="center" wrapText="1"/>
    </xf>
    <xf numFmtId="3" fontId="130" fillId="0" borderId="435" xfId="110" applyNumberFormat="1" applyFont="1" applyBorder="1" applyAlignment="1">
      <alignment horizontal="center" vertical="center"/>
    </xf>
    <xf numFmtId="3" fontId="130" fillId="0" borderId="436" xfId="110" applyNumberFormat="1" applyFont="1" applyBorder="1" applyAlignment="1">
      <alignment horizontal="center" vertical="center"/>
    </xf>
    <xf numFmtId="0" fontId="126" fillId="0" borderId="255" xfId="110" applyFont="1" applyBorder="1" applyAlignment="1">
      <alignment horizontal="center" vertical="center"/>
    </xf>
    <xf numFmtId="3" fontId="182" fillId="0" borderId="256" xfId="110" applyNumberFormat="1" applyFont="1" applyBorder="1" applyAlignment="1">
      <alignment horizontal="center" vertical="center" wrapText="1"/>
    </xf>
    <xf numFmtId="3" fontId="182" fillId="0" borderId="256" xfId="110" applyNumberFormat="1" applyFont="1" applyBorder="1" applyAlignment="1">
      <alignment horizontal="center" vertical="center"/>
    </xf>
    <xf numFmtId="0" fontId="182" fillId="0" borderId="256" xfId="110" applyFont="1" applyBorder="1" applyAlignment="1">
      <alignment horizontal="center" vertical="center"/>
    </xf>
    <xf numFmtId="1" fontId="126" fillId="0" borderId="256" xfId="110" applyNumberFormat="1" applyFont="1" applyBorder="1" applyAlignment="1">
      <alignment horizontal="center" vertical="center"/>
    </xf>
    <xf numFmtId="0" fontId="126" fillId="0" borderId="256" xfId="110" applyFont="1" applyBorder="1" applyAlignment="1">
      <alignment vertical="center" wrapText="1"/>
    </xf>
    <xf numFmtId="3" fontId="130" fillId="0" borderId="256" xfId="110" applyNumberFormat="1" applyFont="1" applyBorder="1" applyAlignment="1">
      <alignment horizontal="center" vertical="center"/>
    </xf>
    <xf numFmtId="3" fontId="130" fillId="0" borderId="257" xfId="110" applyNumberFormat="1" applyFont="1" applyBorder="1" applyAlignment="1">
      <alignment horizontal="center" vertical="center"/>
    </xf>
    <xf numFmtId="0" fontId="126" fillId="0" borderId="258" xfId="110" applyFont="1" applyBorder="1" applyAlignment="1">
      <alignment horizontal="center" vertical="center"/>
    </xf>
    <xf numFmtId="0" fontId="126" fillId="0" borderId="259" xfId="92" applyFont="1" applyBorder="1" applyAlignment="1">
      <alignment horizontal="center" vertical="center"/>
    </xf>
    <xf numFmtId="3" fontId="182" fillId="0" borderId="259" xfId="110" applyNumberFormat="1" applyFont="1" applyBorder="1" applyAlignment="1">
      <alignment horizontal="center" vertical="center" wrapText="1"/>
    </xf>
    <xf numFmtId="3" fontId="182" fillId="0" borderId="259" xfId="110" applyNumberFormat="1" applyFont="1" applyBorder="1" applyAlignment="1">
      <alignment horizontal="center" vertical="center"/>
    </xf>
    <xf numFmtId="0" fontId="182" fillId="0" borderId="259" xfId="110" applyFont="1" applyBorder="1" applyAlignment="1">
      <alignment horizontal="center" vertical="center"/>
    </xf>
    <xf numFmtId="1" fontId="126" fillId="0" borderId="259" xfId="110" applyNumberFormat="1" applyFont="1" applyBorder="1" applyAlignment="1">
      <alignment horizontal="center" vertical="center"/>
    </xf>
    <xf numFmtId="0" fontId="126" fillId="0" borderId="259" xfId="110" applyFont="1" applyBorder="1" applyAlignment="1">
      <alignment vertical="center" wrapText="1"/>
    </xf>
    <xf numFmtId="3" fontId="130" fillId="0" borderId="259" xfId="110" applyNumberFormat="1" applyFont="1" applyBorder="1" applyAlignment="1">
      <alignment horizontal="center" vertical="center"/>
    </xf>
    <xf numFmtId="3" fontId="130" fillId="0" borderId="260" xfId="110" applyNumberFormat="1" applyFont="1" applyBorder="1" applyAlignment="1">
      <alignment horizontal="center" vertical="center"/>
    </xf>
    <xf numFmtId="0" fontId="126" fillId="0" borderId="250" xfId="110" applyFont="1" applyBorder="1" applyAlignment="1">
      <alignment horizontal="left" vertical="center"/>
    </xf>
    <xf numFmtId="0" fontId="126" fillId="0" borderId="0" xfId="110" applyFont="1" applyAlignment="1">
      <alignment horizontal="right" vertical="center"/>
    </xf>
    <xf numFmtId="0" fontId="126" fillId="0" borderId="0" xfId="110" applyFont="1" applyAlignment="1">
      <alignment horizontal="left" vertical="center"/>
    </xf>
    <xf numFmtId="0" fontId="137" fillId="0" borderId="250" xfId="110" applyFont="1" applyBorder="1" applyAlignment="1">
      <alignment horizontal="left" vertical="center"/>
    </xf>
    <xf numFmtId="0" fontId="137" fillId="0" borderId="0" xfId="110" applyFont="1" applyAlignment="1">
      <alignment horizontal="right" vertical="center"/>
    </xf>
    <xf numFmtId="0" fontId="137" fillId="0" borderId="0" xfId="110" applyFont="1" applyAlignment="1">
      <alignment vertical="center"/>
    </xf>
    <xf numFmtId="0" fontId="126" fillId="0" borderId="250" xfId="110" applyFont="1" applyBorder="1" applyAlignment="1">
      <alignment horizontal="center" vertical="center"/>
    </xf>
    <xf numFmtId="0" fontId="126" fillId="0" borderId="0" xfId="110" applyFont="1" applyAlignment="1">
      <alignment horizontal="center" vertical="center"/>
    </xf>
    <xf numFmtId="0" fontId="130" fillId="0" borderId="250" xfId="110" applyFont="1" applyBorder="1" applyAlignment="1">
      <alignment horizontal="center" vertical="center"/>
    </xf>
    <xf numFmtId="0" fontId="130" fillId="0" borderId="0" xfId="110" applyFont="1" applyAlignment="1">
      <alignment horizontal="center" vertical="center"/>
    </xf>
    <xf numFmtId="0" fontId="126" fillId="0" borderId="250" xfId="110" quotePrefix="1" applyFont="1" applyBorder="1" applyAlignment="1">
      <alignment horizontal="center" vertical="center"/>
    </xf>
    <xf numFmtId="0" fontId="126" fillId="0" borderId="0" xfId="110" quotePrefix="1" applyFont="1" applyAlignment="1">
      <alignment horizontal="center" vertical="center"/>
    </xf>
    <xf numFmtId="0" fontId="126" fillId="0" borderId="261" xfId="110" applyFont="1" applyBorder="1" applyAlignment="1">
      <alignment vertical="center"/>
    </xf>
    <xf numFmtId="0" fontId="126" fillId="0" borderId="262" xfId="110" applyFont="1" applyBorder="1" applyAlignment="1">
      <alignment vertical="center"/>
    </xf>
    <xf numFmtId="0" fontId="179" fillId="0" borderId="0" xfId="111" applyFont="1" applyAlignment="1">
      <alignment vertical="center"/>
    </xf>
    <xf numFmtId="0" fontId="126" fillId="0" borderId="0" xfId="111" applyFont="1" applyAlignment="1">
      <alignment vertical="center"/>
    </xf>
    <xf numFmtId="0" fontId="179" fillId="0" borderId="0" xfId="111" quotePrefix="1" applyFont="1" applyAlignment="1">
      <alignment vertical="center"/>
    </xf>
    <xf numFmtId="0" fontId="299" fillId="0" borderId="0" xfId="112"/>
    <xf numFmtId="166" fontId="253" fillId="0" borderId="0" xfId="28" applyFont="1" applyBorder="1"/>
    <xf numFmtId="356" fontId="297" fillId="94" borderId="0" xfId="110" applyNumberFormat="1" applyFont="1" applyFill="1" applyAlignment="1">
      <alignment horizontal="left" vertical="center"/>
    </xf>
    <xf numFmtId="0" fontId="300" fillId="0" borderId="0" xfId="0" applyFont="1"/>
    <xf numFmtId="0" fontId="288" fillId="0" borderId="0" xfId="0" applyFont="1"/>
    <xf numFmtId="3" fontId="288" fillId="0" borderId="0" xfId="0" applyNumberFormat="1" applyFont="1" applyAlignment="1">
      <alignment horizontal="center"/>
    </xf>
    <xf numFmtId="3" fontId="301" fillId="51" borderId="0" xfId="0" applyNumberFormat="1" applyFont="1" applyFill="1" applyAlignment="1">
      <alignment horizontal="center"/>
    </xf>
    <xf numFmtId="3" fontId="288" fillId="0" borderId="0" xfId="0" applyNumberFormat="1" applyFont="1" applyAlignment="1">
      <alignment horizontal="left"/>
    </xf>
    <xf numFmtId="172" fontId="288" fillId="0" borderId="0" xfId="0" applyNumberFormat="1" applyFont="1" applyAlignment="1">
      <alignment horizontal="center"/>
    </xf>
    <xf numFmtId="4" fontId="288" fillId="0" borderId="0" xfId="0" applyNumberFormat="1" applyFont="1" applyAlignment="1">
      <alignment horizontal="center"/>
    </xf>
    <xf numFmtId="3" fontId="17" fillId="84" borderId="334" xfId="33" applyNumberFormat="1" applyFont="1" applyFill="1" applyBorder="1" applyAlignment="1">
      <alignment horizontal="right"/>
    </xf>
    <xf numFmtId="0" fontId="17" fillId="71" borderId="313" xfId="0" applyFont="1" applyFill="1" applyBorder="1" applyAlignment="1">
      <alignment horizontal="left"/>
    </xf>
    <xf numFmtId="0" fontId="146" fillId="0" borderId="409" xfId="0" applyFont="1" applyBorder="1" applyAlignment="1">
      <alignment vertical="center"/>
    </xf>
    <xf numFmtId="0" fontId="216" fillId="0" borderId="409" xfId="0" applyFont="1" applyBorder="1" applyAlignment="1">
      <alignment vertical="center"/>
    </xf>
    <xf numFmtId="177" fontId="216" fillId="0" borderId="409" xfId="83" applyNumberFormat="1" applyFont="1" applyFill="1" applyBorder="1" applyAlignment="1">
      <alignment vertical="center"/>
    </xf>
    <xf numFmtId="177" fontId="187" fillId="51" borderId="409" xfId="83" applyNumberFormat="1" applyFont="1" applyFill="1" applyBorder="1" applyAlignment="1">
      <alignment vertical="center"/>
    </xf>
    <xf numFmtId="0" fontId="187" fillId="61" borderId="409" xfId="0" applyFont="1" applyFill="1" applyBorder="1" applyAlignment="1">
      <alignment horizontal="center" vertical="center"/>
    </xf>
    <xf numFmtId="0" fontId="252" fillId="61" borderId="409" xfId="0" applyFont="1" applyFill="1" applyBorder="1" applyAlignment="1">
      <alignment horizontal="center" vertical="center"/>
    </xf>
    <xf numFmtId="0" fontId="146" fillId="51" borderId="409" xfId="0" applyFont="1" applyFill="1" applyBorder="1" applyAlignment="1">
      <alignment horizontal="center" vertical="center"/>
    </xf>
    <xf numFmtId="246" fontId="17" fillId="0" borderId="0" xfId="0" applyNumberFormat="1" applyFont="1"/>
    <xf numFmtId="0" fontId="49" fillId="0" borderId="0" xfId="0" applyFont="1" applyAlignment="1">
      <alignment horizontal="right" vertical="center" indent="1"/>
    </xf>
    <xf numFmtId="357" fontId="49" fillId="0" borderId="0" xfId="0" applyNumberFormat="1" applyFont="1"/>
    <xf numFmtId="177" fontId="112" fillId="54" borderId="0" xfId="0" applyNumberFormat="1" applyFont="1" applyFill="1" applyAlignment="1">
      <alignment vertical="center"/>
    </xf>
    <xf numFmtId="198" fontId="17" fillId="0" borderId="0" xfId="0" applyNumberFormat="1" applyFont="1"/>
    <xf numFmtId="9" fontId="17" fillId="0" borderId="0" xfId="64" applyFont="1" applyProtection="1">
      <protection locked="0"/>
    </xf>
    <xf numFmtId="174" fontId="52" fillId="37" borderId="183" xfId="64" applyNumberFormat="1" applyFont="1" applyFill="1" applyBorder="1" applyAlignment="1" applyProtection="1">
      <alignment horizontal="center"/>
      <protection hidden="1"/>
    </xf>
    <xf numFmtId="168" fontId="17" fillId="51" borderId="0" xfId="28" applyNumberFormat="1" applyFont="1" applyFill="1"/>
    <xf numFmtId="358" fontId="137" fillId="0" borderId="0" xfId="0" applyNumberFormat="1" applyFont="1"/>
    <xf numFmtId="168" fontId="49" fillId="48" borderId="0" xfId="28" applyNumberFormat="1" applyFont="1" applyFill="1"/>
    <xf numFmtId="0" fontId="301" fillId="30" borderId="0" xfId="0" applyFont="1" applyFill="1" applyAlignment="1">
      <alignment horizontal="center"/>
    </xf>
    <xf numFmtId="168" fontId="301" fillId="30" borderId="0" xfId="0" applyNumberFormat="1" applyFont="1" applyFill="1" applyAlignment="1">
      <alignment horizontal="center"/>
    </xf>
    <xf numFmtId="0" fontId="301" fillId="70" borderId="0" xfId="0" applyFont="1" applyFill="1" applyAlignment="1">
      <alignment horizontal="center"/>
    </xf>
    <xf numFmtId="0" fontId="137" fillId="0" borderId="0" xfId="0" applyFont="1" applyAlignment="1">
      <alignment horizontal="center"/>
    </xf>
    <xf numFmtId="168" fontId="137" fillId="0" borderId="0" xfId="0" applyNumberFormat="1" applyFont="1" applyAlignment="1">
      <alignment horizontal="center"/>
    </xf>
    <xf numFmtId="168" fontId="137" fillId="70" borderId="0" xfId="0" applyNumberFormat="1" applyFont="1" applyFill="1" applyAlignment="1">
      <alignment horizontal="center"/>
    </xf>
    <xf numFmtId="166" fontId="17" fillId="0" borderId="0" xfId="28" applyFont="1" applyAlignment="1">
      <alignment horizontal="center"/>
    </xf>
    <xf numFmtId="301" fontId="17" fillId="0" borderId="0" xfId="0" applyNumberFormat="1" applyFont="1"/>
    <xf numFmtId="3" fontId="17" fillId="70" borderId="409" xfId="0" applyNumberFormat="1" applyFont="1" applyFill="1" applyBorder="1" applyAlignment="1">
      <alignment horizontal="center"/>
    </xf>
    <xf numFmtId="9" fontId="17" fillId="0" borderId="0" xfId="67" applyFont="1" applyFill="1" applyBorder="1" applyProtection="1">
      <protection hidden="1"/>
    </xf>
    <xf numFmtId="0" fontId="17" fillId="0" borderId="25" xfId="0" applyFont="1" applyBorder="1" applyAlignment="1" applyProtection="1">
      <alignment horizontal="right"/>
      <protection hidden="1"/>
    </xf>
    <xf numFmtId="173" fontId="17" fillId="0" borderId="25" xfId="59" applyNumberFormat="1" applyBorder="1" applyAlignment="1" applyProtection="1">
      <alignment horizontal="center"/>
      <protection hidden="1"/>
    </xf>
    <xf numFmtId="3" fontId="17" fillId="0" borderId="25" xfId="0" applyNumberFormat="1" applyFont="1" applyBorder="1" applyAlignment="1">
      <alignment horizontal="left"/>
    </xf>
    <xf numFmtId="3" fontId="17" fillId="0" borderId="26" xfId="0" applyNumberFormat="1" applyFont="1" applyBorder="1" applyAlignment="1">
      <alignment horizontal="left"/>
    </xf>
    <xf numFmtId="222" fontId="17" fillId="0" borderId="427" xfId="0" applyNumberFormat="1" applyFont="1" applyBorder="1"/>
    <xf numFmtId="261" fontId="17" fillId="0" borderId="427" xfId="0" applyNumberFormat="1" applyFont="1" applyBorder="1"/>
    <xf numFmtId="222" fontId="17" fillId="0" borderId="427" xfId="82" applyNumberFormat="1" applyBorder="1"/>
    <xf numFmtId="277" fontId="17" fillId="0" borderId="427" xfId="0" applyNumberFormat="1" applyFont="1" applyBorder="1"/>
    <xf numFmtId="359" fontId="17" fillId="0" borderId="427" xfId="50" applyNumberFormat="1" applyBorder="1"/>
    <xf numFmtId="360" fontId="17" fillId="0" borderId="427" xfId="0" applyNumberFormat="1" applyFont="1" applyBorder="1" applyAlignment="1">
      <alignment horizontal="left"/>
    </xf>
    <xf numFmtId="361" fontId="17" fillId="0" borderId="427" xfId="0" applyNumberFormat="1" applyFont="1" applyBorder="1" applyAlignment="1">
      <alignment horizontal="center"/>
    </xf>
    <xf numFmtId="362" fontId="17" fillId="0" borderId="417" xfId="0" applyNumberFormat="1" applyFont="1" applyBorder="1"/>
    <xf numFmtId="3" fontId="222" fillId="46" borderId="0" xfId="28" applyNumberFormat="1" applyFont="1" applyFill="1"/>
    <xf numFmtId="205" fontId="132" fillId="0" borderId="0" xfId="0" applyNumberFormat="1" applyFont="1" applyAlignment="1" applyProtection="1">
      <alignment horizontal="center"/>
      <protection hidden="1"/>
    </xf>
    <xf numFmtId="178" fontId="15" fillId="0" borderId="409" xfId="0" applyNumberFormat="1" applyFont="1" applyBorder="1" applyAlignment="1" applyProtection="1">
      <alignment horizontal="center"/>
      <protection locked="0"/>
    </xf>
    <xf numFmtId="205" fontId="15" fillId="0" borderId="409" xfId="0" applyNumberFormat="1" applyFont="1" applyBorder="1" applyAlignment="1" applyProtection="1">
      <alignment horizontal="center"/>
      <protection locked="0"/>
    </xf>
    <xf numFmtId="195" fontId="15" fillId="0" borderId="409" xfId="0" applyNumberFormat="1" applyFont="1" applyBorder="1" applyAlignment="1" applyProtection="1">
      <alignment horizontal="center"/>
      <protection locked="0"/>
    </xf>
    <xf numFmtId="9" fontId="17" fillId="0" borderId="409" xfId="64" applyFont="1" applyBorder="1" applyAlignment="1">
      <alignment horizontal="center"/>
    </xf>
    <xf numFmtId="0" fontId="23" fillId="0" borderId="409" xfId="0" applyFont="1" applyBorder="1" applyAlignment="1" applyProtection="1">
      <alignment horizontal="center"/>
      <protection locked="0"/>
    </xf>
    <xf numFmtId="3" fontId="29" fillId="0" borderId="409" xfId="0" applyNumberFormat="1" applyFont="1" applyBorder="1" applyAlignment="1" applyProtection="1">
      <alignment horizontal="center"/>
      <protection locked="0"/>
    </xf>
    <xf numFmtId="0" fontId="302" fillId="0" borderId="0" xfId="0" applyFont="1" applyAlignment="1">
      <alignment vertical="center"/>
    </xf>
    <xf numFmtId="0" fontId="303" fillId="0" borderId="0" xfId="0" applyFont="1" applyAlignment="1">
      <alignment vertical="center"/>
    </xf>
    <xf numFmtId="168" fontId="137" fillId="0" borderId="0" xfId="28" applyNumberFormat="1" applyFont="1" applyFill="1"/>
    <xf numFmtId="0" fontId="137" fillId="54" borderId="0" xfId="0" applyFont="1" applyFill="1" applyAlignment="1">
      <alignment horizontal="center"/>
    </xf>
    <xf numFmtId="168" fontId="137" fillId="54" borderId="0" xfId="28" applyNumberFormat="1" applyFont="1" applyFill="1" applyAlignment="1">
      <alignment horizontal="center"/>
    </xf>
    <xf numFmtId="0" fontId="137" fillId="54" borderId="0" xfId="0" applyFont="1" applyFill="1" applyAlignment="1">
      <alignment horizontal="left"/>
    </xf>
    <xf numFmtId="0" fontId="17" fillId="0" borderId="0" xfId="80" applyNumberFormat="1" applyFont="1" applyFill="1" applyAlignment="1" applyProtection="1">
      <alignment horizontal="center"/>
      <protection hidden="1"/>
    </xf>
    <xf numFmtId="0" fontId="17" fillId="70" borderId="18" xfId="0" applyFont="1" applyFill="1" applyBorder="1" applyAlignment="1">
      <alignment horizontal="center"/>
    </xf>
    <xf numFmtId="166" fontId="49" fillId="0" borderId="0" xfId="28" applyFont="1" applyBorder="1" applyAlignment="1">
      <alignment horizontal="center"/>
    </xf>
    <xf numFmtId="3" fontId="137" fillId="54" borderId="0" xfId="0" applyNumberFormat="1" applyFont="1" applyFill="1" applyAlignment="1">
      <alignment horizontal="center"/>
    </xf>
    <xf numFmtId="168" fontId="17" fillId="70" borderId="0" xfId="28" applyNumberFormat="1" applyFont="1" applyFill="1"/>
    <xf numFmtId="350" fontId="17" fillId="70" borderId="0" xfId="33" applyNumberFormat="1" applyFont="1" applyFill="1" applyBorder="1" applyAlignment="1">
      <alignment horizontal="center"/>
    </xf>
    <xf numFmtId="198" fontId="158" fillId="68" borderId="149" xfId="86" applyNumberFormat="1" applyFont="1" applyFill="1" applyBorder="1" applyAlignment="1">
      <alignment horizontal="center"/>
    </xf>
    <xf numFmtId="0" fontId="158" fillId="68" borderId="149" xfId="86" applyFont="1" applyFill="1" applyBorder="1" applyAlignment="1">
      <alignment horizontal="left"/>
    </xf>
    <xf numFmtId="0" fontId="158" fillId="68" borderId="149" xfId="86" applyFont="1" applyFill="1" applyBorder="1" applyAlignment="1">
      <alignment horizontal="center"/>
    </xf>
    <xf numFmtId="43" fontId="158" fillId="68" borderId="149" xfId="86" applyNumberFormat="1" applyFont="1" applyFill="1" applyBorder="1"/>
    <xf numFmtId="2" fontId="158" fillId="68" borderId="149" xfId="86" applyNumberFormat="1" applyFont="1" applyFill="1" applyBorder="1" applyAlignment="1">
      <alignment horizontal="center"/>
    </xf>
    <xf numFmtId="199" fontId="158" fillId="68" borderId="149" xfId="86" applyNumberFormat="1" applyFont="1" applyFill="1" applyBorder="1"/>
    <xf numFmtId="2" fontId="158" fillId="68" borderId="149" xfId="86" applyNumberFormat="1" applyFont="1" applyFill="1" applyBorder="1"/>
    <xf numFmtId="199" fontId="158" fillId="68" borderId="149" xfId="33" applyNumberFormat="1" applyFont="1" applyFill="1" applyBorder="1"/>
    <xf numFmtId="177" fontId="158" fillId="68" borderId="149" xfId="86" applyNumberFormat="1" applyFont="1" applyFill="1" applyBorder="1"/>
    <xf numFmtId="0" fontId="158" fillId="68" borderId="328" xfId="86" applyFont="1" applyFill="1" applyBorder="1" applyAlignment="1">
      <alignment horizontal="center"/>
    </xf>
    <xf numFmtId="363" fontId="158" fillId="68" borderId="328" xfId="86" applyNumberFormat="1" applyFont="1" applyFill="1" applyBorder="1"/>
    <xf numFmtId="364" fontId="158" fillId="68" borderId="149" xfId="86" applyNumberFormat="1" applyFont="1" applyFill="1" applyBorder="1" applyAlignment="1">
      <alignment horizontal="center"/>
    </xf>
    <xf numFmtId="166" fontId="58" fillId="0" borderId="0" xfId="28" applyFont="1" applyProtection="1">
      <protection hidden="1"/>
    </xf>
    <xf numFmtId="166" fontId="131" fillId="33" borderId="0" xfId="28" applyFont="1" applyFill="1" applyAlignment="1" applyProtection="1">
      <alignment horizontal="center"/>
      <protection hidden="1"/>
    </xf>
    <xf numFmtId="9" fontId="58" fillId="0" borderId="267" xfId="64" applyFont="1" applyFill="1" applyBorder="1" applyAlignment="1" applyProtection="1">
      <alignment horizontal="center"/>
      <protection locked="0"/>
    </xf>
    <xf numFmtId="168" fontId="137" fillId="0" borderId="0" xfId="0" applyNumberFormat="1" applyFont="1"/>
    <xf numFmtId="168" fontId="137" fillId="0" borderId="0" xfId="28" applyNumberFormat="1" applyFont="1"/>
    <xf numFmtId="0" fontId="137" fillId="0" borderId="0" xfId="0" applyFont="1" applyAlignment="1">
      <alignment wrapText="1"/>
    </xf>
    <xf numFmtId="9" fontId="49" fillId="0" borderId="0" xfId="64" applyFont="1" applyAlignment="1">
      <alignment horizontal="center"/>
    </xf>
    <xf numFmtId="0" fontId="49" fillId="0" borderId="0" xfId="64" applyNumberFormat="1" applyFont="1" applyAlignment="1">
      <alignment horizontal="center"/>
    </xf>
    <xf numFmtId="10" fontId="126" fillId="0" borderId="0" xfId="64" applyNumberFormat="1" applyFont="1" applyFill="1" applyProtection="1">
      <protection hidden="1"/>
    </xf>
    <xf numFmtId="199" fontId="17" fillId="0" borderId="0" xfId="28" applyNumberFormat="1" applyFont="1"/>
    <xf numFmtId="199" fontId="126" fillId="0" borderId="0" xfId="28" applyNumberFormat="1" applyFont="1" applyProtection="1">
      <protection hidden="1"/>
    </xf>
    <xf numFmtId="0" fontId="304" fillId="71" borderId="334" xfId="0" applyFont="1" applyFill="1" applyBorder="1" applyAlignment="1">
      <alignment horizontal="center"/>
    </xf>
    <xf numFmtId="318" fontId="17" fillId="84" borderId="334" xfId="0" applyNumberFormat="1" applyFont="1" applyFill="1" applyBorder="1" applyAlignment="1">
      <alignment horizontal="right"/>
    </xf>
    <xf numFmtId="178" fontId="49" fillId="71" borderId="420" xfId="48" applyNumberFormat="1" applyFont="1" applyFill="1" applyBorder="1" applyAlignment="1">
      <alignment horizontal="left"/>
    </xf>
    <xf numFmtId="174" fontId="17" fillId="71" borderId="0" xfId="80" applyNumberFormat="1" applyFont="1" applyFill="1" applyAlignment="1">
      <alignment horizontal="center"/>
    </xf>
    <xf numFmtId="0" fontId="284" fillId="0" borderId="0" xfId="114" applyFont="1" applyAlignment="1">
      <alignment horizontal="center" vertical="center"/>
    </xf>
    <xf numFmtId="0" fontId="6" fillId="0" borderId="0" xfId="114" applyAlignment="1">
      <alignment vertical="center"/>
    </xf>
    <xf numFmtId="0" fontId="6" fillId="0" borderId="0" xfId="114" applyAlignment="1">
      <alignment horizontal="center" vertical="center"/>
    </xf>
    <xf numFmtId="0" fontId="277" fillId="0" borderId="40" xfId="114" applyFont="1" applyBorder="1" applyAlignment="1">
      <alignment vertical="center"/>
    </xf>
    <xf numFmtId="0" fontId="277" fillId="0" borderId="56" xfId="114" applyFont="1" applyBorder="1" applyAlignment="1">
      <alignment vertical="center"/>
    </xf>
    <xf numFmtId="0" fontId="277" fillId="0" borderId="50" xfId="114" applyFont="1" applyBorder="1" applyAlignment="1">
      <alignment vertical="center"/>
    </xf>
    <xf numFmtId="0" fontId="277" fillId="0" borderId="51" xfId="114" applyFont="1" applyBorder="1" applyAlignment="1">
      <alignment vertical="center"/>
    </xf>
    <xf numFmtId="0" fontId="277" fillId="0" borderId="40" xfId="114" applyFont="1" applyBorder="1" applyAlignment="1">
      <alignment vertical="center" wrapText="1"/>
    </xf>
    <xf numFmtId="0" fontId="277" fillId="0" borderId="50" xfId="114" applyFont="1" applyBorder="1" applyAlignment="1">
      <alignment vertical="center" wrapText="1"/>
    </xf>
    <xf numFmtId="177" fontId="277" fillId="0" borderId="51" xfId="116" applyNumberFormat="1" applyFont="1" applyFill="1" applyBorder="1" applyAlignment="1">
      <alignment horizontal="center" vertical="center" wrapText="1"/>
    </xf>
    <xf numFmtId="0" fontId="6" fillId="0" borderId="0" xfId="114" applyAlignment="1">
      <alignment horizontal="center" vertical="center" wrapText="1"/>
    </xf>
    <xf numFmtId="3" fontId="307" fillId="0" borderId="439" xfId="117" applyNumberFormat="1" applyFont="1" applyFill="1" applyBorder="1" applyAlignment="1">
      <alignment horizontal="center" vertical="center"/>
    </xf>
    <xf numFmtId="0" fontId="307" fillId="0" borderId="0" xfId="114" applyFont="1" applyAlignment="1">
      <alignment vertical="center"/>
    </xf>
    <xf numFmtId="3" fontId="307" fillId="0" borderId="439" xfId="117" applyNumberFormat="1" applyFont="1" applyFill="1" applyBorder="1" applyAlignment="1">
      <alignment horizontal="left" vertical="center"/>
    </xf>
    <xf numFmtId="0" fontId="221" fillId="0" borderId="0" xfId="118" applyFont="1"/>
    <xf numFmtId="0" fontId="221" fillId="0" borderId="0" xfId="118" applyFont="1" applyAlignment="1">
      <alignment horizontal="left"/>
    </xf>
    <xf numFmtId="0" fontId="221" fillId="51" borderId="0" xfId="118" applyFont="1" applyFill="1"/>
    <xf numFmtId="0" fontId="51" fillId="0" borderId="0" xfId="118" applyFont="1" applyAlignment="1">
      <alignment vertical="center"/>
    </xf>
    <xf numFmtId="0" fontId="51" fillId="0" borderId="0" xfId="118" applyFont="1" applyAlignment="1">
      <alignment vertical="center" wrapText="1"/>
    </xf>
    <xf numFmtId="0" fontId="226" fillId="0" borderId="0" xfId="118" applyFont="1"/>
    <xf numFmtId="0" fontId="221" fillId="0" borderId="0" xfId="118" applyFont="1" applyAlignment="1">
      <alignment vertical="center"/>
    </xf>
    <xf numFmtId="0" fontId="273" fillId="0" borderId="0" xfId="118" applyFont="1"/>
    <xf numFmtId="0" fontId="273" fillId="88" borderId="0" xfId="118" applyFont="1" applyFill="1"/>
    <xf numFmtId="0" fontId="221" fillId="0" borderId="318" xfId="118" applyFont="1" applyBorder="1"/>
    <xf numFmtId="181" fontId="332" fillId="0" borderId="0" xfId="118" applyNumberFormat="1" applyFont="1" applyProtection="1">
      <protection hidden="1"/>
    </xf>
    <xf numFmtId="0" fontId="17" fillId="0" borderId="0" xfId="108" applyAlignment="1">
      <alignment vertical="center"/>
    </xf>
    <xf numFmtId="0" fontId="336" fillId="0" borderId="0" xfId="108" applyFont="1" applyAlignment="1">
      <alignment vertical="center"/>
    </xf>
    <xf numFmtId="0" fontId="64" fillId="0" borderId="0" xfId="108" applyFont="1" applyAlignment="1">
      <alignment vertical="center"/>
    </xf>
    <xf numFmtId="0" fontId="337" fillId="0" borderId="0" xfId="108" applyFont="1" applyAlignment="1">
      <alignment vertical="center"/>
    </xf>
    <xf numFmtId="0" fontId="337" fillId="0" borderId="0" xfId="108" applyFont="1" applyAlignment="1">
      <alignment horizontal="right"/>
    </xf>
    <xf numFmtId="0" fontId="17" fillId="0" borderId="0" xfId="108"/>
    <xf numFmtId="0" fontId="49" fillId="51" borderId="0" xfId="108" applyFont="1" applyFill="1" applyAlignment="1">
      <alignment vertical="center"/>
    </xf>
    <xf numFmtId="9" fontId="280" fillId="59" borderId="10" xfId="0" applyNumberFormat="1" applyFont="1" applyFill="1" applyBorder="1"/>
    <xf numFmtId="168" fontId="280" fillId="59" borderId="328" xfId="28" applyNumberFormat="1" applyFont="1" applyFill="1" applyBorder="1" applyAlignment="1">
      <alignment horizontal="center"/>
    </xf>
    <xf numFmtId="0" fontId="113" fillId="59" borderId="437" xfId="0" applyFont="1" applyFill="1" applyBorder="1" applyAlignment="1">
      <alignment horizontal="center" vertical="center"/>
    </xf>
    <xf numFmtId="177" fontId="113" fillId="59" borderId="137" xfId="0" applyNumberFormat="1" applyFont="1" applyFill="1" applyBorder="1"/>
    <xf numFmtId="177" fontId="113" fillId="59" borderId="302" xfId="33" applyNumberFormat="1" applyFont="1" applyFill="1" applyBorder="1" applyAlignment="1"/>
    <xf numFmtId="0" fontId="17" fillId="0" borderId="496" xfId="0" applyFont="1" applyBorder="1"/>
    <xf numFmtId="0" fontId="49" fillId="0" borderId="496" xfId="0" applyFont="1" applyBorder="1"/>
    <xf numFmtId="0" fontId="113" fillId="59" borderId="137" xfId="0" applyFont="1" applyFill="1" applyBorder="1"/>
    <xf numFmtId="0" fontId="113" fillId="63" borderId="137" xfId="0" applyFont="1" applyFill="1" applyBorder="1"/>
    <xf numFmtId="0" fontId="113" fillId="63" borderId="302" xfId="0" applyFont="1" applyFill="1" applyBorder="1"/>
    <xf numFmtId="16" fontId="113" fillId="0" borderId="30" xfId="0" quotePrefix="1" applyNumberFormat="1" applyFont="1" applyBorder="1" applyAlignment="1">
      <alignment vertical="center"/>
    </xf>
    <xf numFmtId="0" fontId="280" fillId="59" borderId="0" xfId="0" applyFont="1" applyFill="1" applyAlignment="1">
      <alignment horizontal="left"/>
    </xf>
    <xf numFmtId="0" fontId="49" fillId="0" borderId="496" xfId="0" applyFont="1" applyBorder="1" applyAlignment="1">
      <alignment horizontal="center" vertical="center"/>
    </xf>
    <xf numFmtId="177" fontId="17" fillId="0" borderId="496" xfId="0" applyNumberFormat="1" applyFont="1" applyBorder="1"/>
    <xf numFmtId="0" fontId="17" fillId="0" borderId="497" xfId="0" applyFont="1" applyBorder="1"/>
    <xf numFmtId="166" fontId="17" fillId="0" borderId="496" xfId="28" applyFont="1" applyBorder="1"/>
    <xf numFmtId="166" fontId="49" fillId="0" borderId="496" xfId="28" applyFont="1" applyBorder="1"/>
    <xf numFmtId="0" fontId="280" fillId="0" borderId="270" xfId="0" applyFont="1" applyBorder="1" applyAlignment="1">
      <alignment horizontal="center"/>
    </xf>
    <xf numFmtId="0" fontId="17" fillId="0" borderId="498" xfId="0" applyFont="1" applyBorder="1"/>
    <xf numFmtId="0" fontId="49" fillId="51" borderId="0" xfId="0" applyFont="1" applyFill="1"/>
    <xf numFmtId="0" fontId="280" fillId="51" borderId="0" xfId="0" applyFont="1" applyFill="1"/>
    <xf numFmtId="168" fontId="113" fillId="51" borderId="0" xfId="31" applyNumberFormat="1" applyFont="1" applyFill="1" applyBorder="1" applyAlignment="1">
      <alignment horizontal="center"/>
    </xf>
    <xf numFmtId="168" fontId="17" fillId="46" borderId="465" xfId="31" applyNumberFormat="1" applyFont="1" applyFill="1" applyBorder="1" applyAlignment="1">
      <alignment horizontal="center"/>
    </xf>
    <xf numFmtId="168" fontId="17" fillId="46" borderId="465" xfId="31" applyNumberFormat="1" applyFont="1" applyFill="1" applyBorder="1" applyAlignment="1">
      <alignment horizontal="center" vertical="center"/>
    </xf>
    <xf numFmtId="168" fontId="17" fillId="46" borderId="452" xfId="31" applyNumberFormat="1" applyFont="1" applyFill="1" applyBorder="1" applyAlignment="1">
      <alignment horizontal="left"/>
    </xf>
    <xf numFmtId="169" fontId="17" fillId="0" borderId="496" xfId="28" applyNumberFormat="1" applyFont="1" applyBorder="1"/>
    <xf numFmtId="168" fontId="17" fillId="46" borderId="317" xfId="31" applyNumberFormat="1" applyFont="1" applyFill="1" applyBorder="1" applyAlignment="1">
      <alignment horizontal="center"/>
    </xf>
    <xf numFmtId="168" fontId="17" fillId="46" borderId="315" xfId="31" applyNumberFormat="1" applyFont="1" applyFill="1" applyBorder="1" applyAlignment="1">
      <alignment horizontal="left"/>
    </xf>
    <xf numFmtId="168" fontId="17" fillId="46" borderId="452" xfId="31" applyNumberFormat="1" applyFont="1" applyFill="1" applyBorder="1" applyAlignment="1">
      <alignment horizontal="center" vertical="center"/>
    </xf>
    <xf numFmtId="3" fontId="17" fillId="51" borderId="496" xfId="0" applyNumberFormat="1" applyFont="1" applyFill="1" applyBorder="1"/>
    <xf numFmtId="226" fontId="17" fillId="58" borderId="137" xfId="0" applyNumberFormat="1" applyFont="1" applyFill="1" applyBorder="1" applyAlignment="1">
      <alignment horizontal="center"/>
    </xf>
    <xf numFmtId="168" fontId="49" fillId="0" borderId="0" xfId="28" applyNumberFormat="1" applyFont="1" applyAlignment="1">
      <alignment horizontal="left"/>
    </xf>
    <xf numFmtId="168" fontId="49" fillId="0" borderId="0" xfId="28" applyNumberFormat="1" applyFont="1" applyAlignment="1">
      <alignment horizontal="right"/>
    </xf>
    <xf numFmtId="0" fontId="284" fillId="0" borderId="0" xfId="111" applyFont="1" applyAlignment="1">
      <alignment horizontal="center" vertical="center"/>
    </xf>
    <xf numFmtId="0" fontId="284" fillId="0" borderId="318" xfId="111" applyFont="1" applyBorder="1" applyAlignment="1">
      <alignment horizontal="center" vertical="center"/>
    </xf>
    <xf numFmtId="0" fontId="277" fillId="0" borderId="0" xfId="111" applyFont="1" applyAlignment="1">
      <alignment horizontal="center" vertical="center"/>
    </xf>
    <xf numFmtId="0" fontId="7" fillId="0" borderId="0" xfId="111" applyAlignment="1">
      <alignment vertical="center"/>
    </xf>
    <xf numFmtId="0" fontId="7" fillId="0" borderId="0" xfId="111" applyAlignment="1">
      <alignment horizontal="center" vertical="center"/>
    </xf>
    <xf numFmtId="326" fontId="7" fillId="0" borderId="0" xfId="111" applyNumberFormat="1" applyAlignment="1">
      <alignment vertical="center"/>
    </xf>
    <xf numFmtId="0" fontId="277" fillId="59" borderId="0" xfId="111" applyFont="1" applyFill="1" applyAlignment="1">
      <alignment horizontal="center" vertical="center"/>
    </xf>
    <xf numFmtId="0" fontId="277" fillId="88" borderId="0" xfId="111" applyFont="1" applyFill="1" applyAlignment="1">
      <alignment horizontal="center" vertical="center"/>
    </xf>
    <xf numFmtId="0" fontId="277" fillId="59" borderId="318" xfId="111" applyFont="1" applyFill="1" applyBorder="1" applyAlignment="1">
      <alignment horizontal="center" vertical="center"/>
    </xf>
    <xf numFmtId="0" fontId="277" fillId="0" borderId="10" xfId="111" applyFont="1" applyBorder="1" applyAlignment="1">
      <alignment horizontal="center" vertical="center"/>
    </xf>
    <xf numFmtId="0" fontId="277" fillId="0" borderId="116" xfId="111" applyFont="1" applyBorder="1" applyAlignment="1">
      <alignment horizontal="center" vertical="center" wrapText="1"/>
    </xf>
    <xf numFmtId="0" fontId="277" fillId="0" borderId="51" xfId="111" applyFont="1" applyBorder="1" applyAlignment="1">
      <alignment horizontal="center" vertical="center" wrapText="1"/>
    </xf>
    <xf numFmtId="0" fontId="277" fillId="0" borderId="51" xfId="111" applyFont="1" applyBorder="1" applyAlignment="1">
      <alignment horizontal="left" vertical="center" wrapText="1"/>
    </xf>
    <xf numFmtId="0" fontId="277" fillId="0" borderId="56" xfId="111" applyFont="1" applyBorder="1" applyAlignment="1">
      <alignment horizontal="center" vertical="center" wrapText="1"/>
    </xf>
    <xf numFmtId="0" fontId="277" fillId="0" borderId="428" xfId="111" applyFont="1" applyBorder="1" applyAlignment="1">
      <alignment vertical="center" wrapText="1"/>
    </xf>
    <xf numFmtId="0" fontId="277" fillId="0" borderId="438" xfId="111" applyFont="1" applyBorder="1" applyAlignment="1">
      <alignment vertical="center" wrapText="1"/>
    </xf>
    <xf numFmtId="0" fontId="284" fillId="46" borderId="438" xfId="111" applyFont="1" applyFill="1" applyBorder="1" applyAlignment="1">
      <alignment vertical="center" wrapText="1"/>
    </xf>
    <xf numFmtId="0" fontId="277" fillId="46" borderId="51" xfId="111" applyFont="1" applyFill="1" applyBorder="1" applyAlignment="1">
      <alignment horizontal="center" vertical="center" wrapText="1"/>
    </xf>
    <xf numFmtId="326" fontId="277" fillId="0" borderId="51" xfId="111" applyNumberFormat="1" applyFont="1" applyBorder="1" applyAlignment="1">
      <alignment horizontal="center" vertical="center" wrapText="1"/>
    </xf>
    <xf numFmtId="49" fontId="277" fillId="0" borderId="40" xfId="111" applyNumberFormat="1" applyFont="1" applyBorder="1" applyAlignment="1">
      <alignment horizontal="center" vertical="center" wrapText="1"/>
    </xf>
    <xf numFmtId="49" fontId="277" fillId="0" borderId="51" xfId="111" applyNumberFormat="1" applyFont="1" applyBorder="1" applyAlignment="1">
      <alignment horizontal="center" vertical="center" wrapText="1"/>
    </xf>
    <xf numFmtId="49" fontId="277" fillId="0" borderId="56" xfId="111" applyNumberFormat="1" applyFont="1" applyBorder="1" applyAlignment="1">
      <alignment horizontal="center" vertical="center" wrapText="1"/>
    </xf>
    <xf numFmtId="0" fontId="7" fillId="0" borderId="0" xfId="111" applyAlignment="1">
      <alignment horizontal="center" vertical="center" wrapText="1"/>
    </xf>
    <xf numFmtId="49" fontId="277" fillId="0" borderId="50" xfId="111" applyNumberFormat="1" applyFont="1" applyBorder="1" applyAlignment="1">
      <alignment horizontal="center" vertical="center" wrapText="1"/>
    </xf>
    <xf numFmtId="0" fontId="306" fillId="0" borderId="505" xfId="111" applyFont="1" applyBorder="1" applyAlignment="1">
      <alignment horizontal="center" vertical="center"/>
    </xf>
    <xf numFmtId="3" fontId="307" fillId="0" borderId="506" xfId="117" applyNumberFormat="1" applyFont="1" applyFill="1" applyBorder="1" applyAlignment="1">
      <alignment horizontal="center" vertical="center"/>
    </xf>
    <xf numFmtId="3" fontId="307" fillId="0" borderId="506" xfId="111" applyNumberFormat="1" applyFont="1" applyBorder="1" applyAlignment="1">
      <alignment horizontal="center" vertical="center"/>
    </xf>
    <xf numFmtId="0" fontId="307" fillId="0" borderId="0" xfId="111" applyFont="1" applyAlignment="1">
      <alignment vertical="center"/>
    </xf>
    <xf numFmtId="3" fontId="307" fillId="0" borderId="507" xfId="111" applyNumberFormat="1" applyFont="1" applyBorder="1" applyAlignment="1">
      <alignment horizontal="center" vertical="center"/>
    </xf>
    <xf numFmtId="3" fontId="307" fillId="0" borderId="508" xfId="117" applyNumberFormat="1" applyFont="1" applyFill="1" applyBorder="1" applyAlignment="1">
      <alignment horizontal="center" vertical="center"/>
    </xf>
    <xf numFmtId="3" fontId="307" fillId="0" borderId="507" xfId="111" applyNumberFormat="1" applyFont="1" applyBorder="1" applyAlignment="1">
      <alignment horizontal="left" vertical="center"/>
    </xf>
    <xf numFmtId="0" fontId="307" fillId="0" borderId="508" xfId="111" applyFont="1" applyBorder="1" applyAlignment="1">
      <alignment vertical="center"/>
    </xf>
    <xf numFmtId="0" fontId="307" fillId="0" borderId="507" xfId="111" applyFont="1" applyBorder="1" applyAlignment="1">
      <alignment horizontal="center" vertical="center"/>
    </xf>
    <xf numFmtId="49" fontId="307" fillId="0" borderId="507" xfId="111" applyNumberFormat="1" applyFont="1" applyBorder="1" applyAlignment="1">
      <alignment horizontal="center" vertical="center"/>
    </xf>
    <xf numFmtId="0" fontId="307" fillId="0" borderId="507" xfId="111" applyFont="1" applyBorder="1" applyAlignment="1">
      <alignment vertical="center"/>
    </xf>
    <xf numFmtId="0" fontId="307" fillId="0" borderId="507" xfId="111" quotePrefix="1" applyFont="1" applyBorder="1" applyAlignment="1">
      <alignment horizontal="center" vertical="center"/>
    </xf>
    <xf numFmtId="0" fontId="307" fillId="0" borderId="507" xfId="111" applyFont="1" applyBorder="1" applyAlignment="1">
      <alignment horizontal="left" vertical="center"/>
    </xf>
    <xf numFmtId="172" fontId="307" fillId="0" borderId="507" xfId="111" applyNumberFormat="1" applyFont="1" applyBorder="1" applyAlignment="1">
      <alignment horizontal="center" vertical="center"/>
    </xf>
    <xf numFmtId="0" fontId="307" fillId="0" borderId="507" xfId="111" quotePrefix="1" applyFont="1" applyBorder="1" applyAlignment="1">
      <alignment vertical="center"/>
    </xf>
    <xf numFmtId="326" fontId="307" fillId="0" borderId="507" xfId="111" quotePrefix="1" applyNumberFormat="1" applyFont="1" applyBorder="1" applyAlignment="1">
      <alignment vertical="center"/>
    </xf>
    <xf numFmtId="365" fontId="307" fillId="0" borderId="507" xfId="116" applyNumberFormat="1" applyFont="1" applyFill="1" applyBorder="1" applyAlignment="1">
      <alignment vertical="center"/>
    </xf>
    <xf numFmtId="177" fontId="307" fillId="0" borderId="507" xfId="116" applyNumberFormat="1" applyFont="1" applyFill="1" applyBorder="1" applyAlignment="1">
      <alignment vertical="center"/>
    </xf>
    <xf numFmtId="44" fontId="307" fillId="0" borderId="509" xfId="117" applyFont="1" applyFill="1" applyBorder="1" applyAlignment="1">
      <alignment vertical="center"/>
    </xf>
    <xf numFmtId="3" fontId="307" fillId="0" borderId="510" xfId="111" applyNumberFormat="1" applyFont="1" applyBorder="1" applyAlignment="1">
      <alignment horizontal="center" vertical="center"/>
    </xf>
    <xf numFmtId="0" fontId="277" fillId="0" borderId="505" xfId="111" applyFont="1" applyBorder="1" applyAlignment="1">
      <alignment horizontal="center" vertical="center"/>
    </xf>
    <xf numFmtId="0" fontId="4" fillId="0" borderId="501" xfId="111" applyFont="1" applyBorder="1" applyAlignment="1">
      <alignment vertical="center"/>
    </xf>
    <xf numFmtId="0" fontId="7" fillId="0" borderId="501" xfId="111" applyBorder="1" applyAlignment="1">
      <alignment vertical="center"/>
    </xf>
    <xf numFmtId="0" fontId="7" fillId="0" borderId="504" xfId="111" applyBorder="1" applyAlignment="1">
      <alignment horizontal="center" vertical="center"/>
    </xf>
    <xf numFmtId="49" fontId="7" fillId="0" borderId="504" xfId="111" applyNumberFormat="1" applyBorder="1" applyAlignment="1">
      <alignment horizontal="center" vertical="center"/>
    </xf>
    <xf numFmtId="0" fontId="7" fillId="0" borderId="504" xfId="111" applyBorder="1" applyAlignment="1">
      <alignment vertical="center"/>
    </xf>
    <xf numFmtId="0" fontId="7" fillId="0" borderId="504" xfId="111" quotePrefix="1" applyBorder="1" applyAlignment="1">
      <alignment horizontal="center" vertical="center"/>
    </xf>
    <xf numFmtId="0" fontId="7" fillId="0" borderId="504" xfId="111" applyBorder="1" applyAlignment="1">
      <alignment horizontal="left" vertical="center"/>
    </xf>
    <xf numFmtId="0" fontId="7" fillId="0" borderId="504" xfId="111" quotePrefix="1" applyBorder="1" applyAlignment="1">
      <alignment vertical="center"/>
    </xf>
    <xf numFmtId="326" fontId="7" fillId="0" borderId="504" xfId="111" quotePrefix="1" applyNumberFormat="1" applyBorder="1" applyAlignment="1">
      <alignment vertical="center"/>
    </xf>
    <xf numFmtId="3" fontId="7" fillId="0" borderId="504" xfId="111" applyNumberFormat="1" applyBorder="1" applyAlignment="1">
      <alignment horizontal="center" vertical="center"/>
    </xf>
    <xf numFmtId="365" fontId="4" fillId="0" borderId="504" xfId="116" applyNumberFormat="1" applyFont="1" applyFill="1" applyBorder="1" applyAlignment="1">
      <alignment vertical="center"/>
    </xf>
    <xf numFmtId="177" fontId="4" fillId="0" borderId="504" xfId="116" applyNumberFormat="1" applyFont="1" applyFill="1" applyBorder="1" applyAlignment="1">
      <alignment vertical="center"/>
    </xf>
    <xf numFmtId="44" fontId="4" fillId="0" borderId="502" xfId="117" applyFont="1" applyFill="1" applyBorder="1" applyAlignment="1">
      <alignment vertical="center"/>
    </xf>
    <xf numFmtId="3" fontId="4" fillId="0" borderId="451" xfId="117" applyNumberFormat="1" applyFont="1" applyFill="1" applyBorder="1" applyAlignment="1">
      <alignment horizontal="center" vertical="center"/>
    </xf>
    <xf numFmtId="3" fontId="4" fillId="0" borderId="495" xfId="117" applyNumberFormat="1" applyFont="1" applyFill="1" applyBorder="1" applyAlignment="1">
      <alignment horizontal="center" vertical="center"/>
    </xf>
    <xf numFmtId="3" fontId="7" fillId="0" borderId="495" xfId="111" applyNumberFormat="1" applyBorder="1" applyAlignment="1">
      <alignment horizontal="center" vertical="center"/>
    </xf>
    <xf numFmtId="3" fontId="7" fillId="0" borderId="503" xfId="111" applyNumberFormat="1" applyBorder="1" applyAlignment="1">
      <alignment horizontal="center" vertical="center"/>
    </xf>
    <xf numFmtId="3" fontId="4" fillId="0" borderId="501" xfId="117" applyNumberFormat="1" applyFont="1" applyFill="1" applyBorder="1" applyAlignment="1">
      <alignment horizontal="center" vertical="center"/>
    </xf>
    <xf numFmtId="326" fontId="7" fillId="0" borderId="504" xfId="111" applyNumberFormat="1" applyBorder="1" applyAlignment="1">
      <alignment vertical="center"/>
    </xf>
    <xf numFmtId="172" fontId="7" fillId="0" borderId="504" xfId="111" applyNumberFormat="1" applyBorder="1" applyAlignment="1">
      <alignment horizontal="center" vertical="center"/>
    </xf>
    <xf numFmtId="3" fontId="7" fillId="0" borderId="451" xfId="111" applyNumberFormat="1" applyBorder="1" applyAlignment="1">
      <alignment horizontal="center" vertical="center"/>
    </xf>
    <xf numFmtId="0" fontId="277" fillId="0" borderId="511" xfId="111" applyFont="1" applyBorder="1" applyAlignment="1">
      <alignment horizontal="center" vertical="center"/>
    </xf>
    <xf numFmtId="0" fontId="7" fillId="0" borderId="440" xfId="111" applyBorder="1" applyAlignment="1">
      <alignment vertical="center"/>
    </xf>
    <xf numFmtId="0" fontId="7" fillId="0" borderId="32" xfId="111" applyBorder="1" applyAlignment="1">
      <alignment horizontal="center" vertical="center"/>
    </xf>
    <xf numFmtId="0" fontId="7" fillId="0" borderId="32" xfId="111" applyBorder="1" applyAlignment="1">
      <alignment vertical="center"/>
    </xf>
    <xf numFmtId="0" fontId="7" fillId="0" borderId="32" xfId="111" quotePrefix="1" applyBorder="1" applyAlignment="1">
      <alignment horizontal="center" vertical="center"/>
    </xf>
    <xf numFmtId="0" fontId="7" fillId="0" borderId="32" xfId="111" quotePrefix="1" applyBorder="1" applyAlignment="1">
      <alignment vertical="center"/>
    </xf>
    <xf numFmtId="326" fontId="7" fillId="0" borderId="32" xfId="111" quotePrefix="1" applyNumberFormat="1" applyBorder="1" applyAlignment="1">
      <alignment vertical="center"/>
    </xf>
    <xf numFmtId="365" fontId="4" fillId="0" borderId="32" xfId="116" applyNumberFormat="1" applyFont="1" applyFill="1" applyBorder="1" applyAlignment="1">
      <alignment vertical="center"/>
    </xf>
    <xf numFmtId="177" fontId="4" fillId="0" borderId="32" xfId="116" applyNumberFormat="1" applyFont="1" applyFill="1" applyBorder="1" applyAlignment="1">
      <alignment vertical="center"/>
    </xf>
    <xf numFmtId="44" fontId="4" fillId="0" borderId="49" xfId="117" applyFont="1" applyFill="1" applyBorder="1" applyAlignment="1">
      <alignment vertical="center"/>
    </xf>
    <xf numFmtId="3" fontId="7" fillId="0" borderId="423" xfId="111" applyNumberFormat="1" applyBorder="1" applyAlignment="1">
      <alignment horizontal="center" vertical="center"/>
    </xf>
    <xf numFmtId="3" fontId="7" fillId="0" borderId="33" xfId="111" applyNumberFormat="1" applyBorder="1" applyAlignment="1">
      <alignment horizontal="center" vertical="center"/>
    </xf>
    <xf numFmtId="3" fontId="4" fillId="0" borderId="423" xfId="117" applyNumberFormat="1" applyFont="1" applyFill="1" applyBorder="1" applyAlignment="1">
      <alignment horizontal="center" vertical="center"/>
    </xf>
    <xf numFmtId="3" fontId="7" fillId="0" borderId="468" xfId="111" applyNumberFormat="1" applyBorder="1" applyAlignment="1">
      <alignment horizontal="center" vertical="center"/>
    </xf>
    <xf numFmtId="3" fontId="7" fillId="0" borderId="32" xfId="111" applyNumberFormat="1" applyBorder="1" applyAlignment="1">
      <alignment horizontal="center" vertical="center"/>
    </xf>
    <xf numFmtId="3" fontId="4" fillId="0" borderId="440" xfId="117" applyNumberFormat="1" applyFont="1" applyFill="1" applyBorder="1" applyAlignment="1">
      <alignment horizontal="center" vertical="center"/>
    </xf>
    <xf numFmtId="0" fontId="7" fillId="0" borderId="318" xfId="111" applyBorder="1" applyAlignment="1">
      <alignment vertical="center"/>
    </xf>
    <xf numFmtId="0" fontId="221" fillId="0" borderId="0" xfId="111" applyFont="1"/>
    <xf numFmtId="168" fontId="113" fillId="59" borderId="328" xfId="28" applyNumberFormat="1" applyFont="1" applyFill="1" applyBorder="1" applyAlignment="1">
      <alignment horizontal="center" vertical="center"/>
    </xf>
    <xf numFmtId="2" fontId="277" fillId="92" borderId="24" xfId="111" applyNumberFormat="1" applyFont="1" applyFill="1" applyBorder="1" applyAlignment="1">
      <alignment vertical="center"/>
    </xf>
    <xf numFmtId="0" fontId="277" fillId="0" borderId="51" xfId="115" applyFont="1" applyBorder="1" applyAlignment="1">
      <alignment vertical="center" wrapText="1"/>
    </xf>
    <xf numFmtId="0" fontId="17" fillId="0" borderId="504" xfId="0" applyFont="1" applyBorder="1"/>
    <xf numFmtId="0" fontId="17" fillId="71" borderId="500" xfId="0" applyFont="1" applyFill="1" applyBorder="1"/>
    <xf numFmtId="174" fontId="17" fillId="0" borderId="0" xfId="64" applyNumberFormat="1" applyFont="1"/>
    <xf numFmtId="177" fontId="113" fillId="0" borderId="504" xfId="33" applyNumberFormat="1" applyFont="1" applyFill="1" applyBorder="1" applyAlignment="1">
      <alignment horizontal="center"/>
    </xf>
    <xf numFmtId="0" fontId="113" fillId="0" borderId="0" xfId="0" applyFont="1"/>
    <xf numFmtId="0" fontId="113" fillId="0" borderId="504" xfId="0" applyFont="1" applyBorder="1"/>
    <xf numFmtId="350" fontId="113" fillId="59" borderId="137" xfId="0" applyNumberFormat="1" applyFont="1" applyFill="1" applyBorder="1"/>
    <xf numFmtId="16" fontId="113" fillId="0" borderId="0" xfId="0" quotePrefix="1" applyNumberFormat="1" applyFont="1" applyAlignment="1">
      <alignment horizontal="center"/>
    </xf>
    <xf numFmtId="16" fontId="17" fillId="0" borderId="0" xfId="0" applyNumberFormat="1" applyFont="1"/>
    <xf numFmtId="178" fontId="113" fillId="59" borderId="137" xfId="0" applyNumberFormat="1" applyFont="1" applyFill="1" applyBorder="1"/>
    <xf numFmtId="178" fontId="113" fillId="59" borderId="137" xfId="0" applyNumberFormat="1" applyFont="1" applyFill="1" applyBorder="1" applyAlignment="1">
      <alignment horizontal="center"/>
    </xf>
    <xf numFmtId="178" fontId="113" fillId="59" borderId="146" xfId="0" applyNumberFormat="1" applyFont="1" applyFill="1" applyBorder="1" applyAlignment="1">
      <alignment horizontal="center"/>
    </xf>
    <xf numFmtId="205" fontId="17" fillId="71" borderId="0" xfId="48" applyNumberFormat="1" applyFill="1" applyAlignment="1">
      <alignment horizontal="center"/>
    </xf>
    <xf numFmtId="205" fontId="17" fillId="71" borderId="25" xfId="48" applyNumberFormat="1" applyFill="1" applyBorder="1" applyAlignment="1">
      <alignment horizontal="center"/>
    </xf>
    <xf numFmtId="178" fontId="17" fillId="0" borderId="504" xfId="0" applyNumberFormat="1" applyFont="1" applyBorder="1" applyAlignment="1">
      <alignment vertical="center"/>
    </xf>
    <xf numFmtId="178" fontId="17" fillId="0" borderId="504" xfId="0" applyNumberFormat="1" applyFont="1" applyBorder="1"/>
    <xf numFmtId="3" fontId="307" fillId="0" borderId="0" xfId="111" applyNumberFormat="1" applyFont="1" applyAlignment="1">
      <alignment horizontal="center" vertical="center"/>
    </xf>
    <xf numFmtId="0" fontId="4" fillId="0" borderId="0" xfId="111" applyFont="1" applyAlignment="1">
      <alignment vertical="center"/>
    </xf>
    <xf numFmtId="3" fontId="7" fillId="0" borderId="0" xfId="111" applyNumberFormat="1" applyAlignment="1">
      <alignment horizontal="center" vertical="center"/>
    </xf>
    <xf numFmtId="0" fontId="277" fillId="0" borderId="0" xfId="114" applyFont="1" applyAlignment="1">
      <alignment vertical="center"/>
    </xf>
    <xf numFmtId="49" fontId="277" fillId="0" borderId="0" xfId="111" applyNumberFormat="1" applyFont="1" applyAlignment="1">
      <alignment horizontal="center" vertical="center" wrapText="1"/>
    </xf>
    <xf numFmtId="178" fontId="339" fillId="59" borderId="137" xfId="0" applyNumberFormat="1" applyFont="1" applyFill="1" applyBorder="1" applyAlignment="1">
      <alignment horizontal="center"/>
    </xf>
    <xf numFmtId="178" fontId="339" fillId="59" borderId="146" xfId="0" applyNumberFormat="1" applyFont="1" applyFill="1" applyBorder="1" applyAlignment="1">
      <alignment horizontal="center"/>
    </xf>
    <xf numFmtId="199" fontId="17" fillId="0" borderId="504" xfId="0" applyNumberFormat="1" applyFont="1" applyBorder="1" applyAlignment="1">
      <alignment horizontal="center" vertical="center"/>
    </xf>
    <xf numFmtId="321" fontId="17" fillId="63" borderId="513" xfId="0" applyNumberFormat="1" applyFont="1" applyFill="1" applyBorder="1" applyAlignment="1">
      <alignment horizontal="center"/>
    </xf>
    <xf numFmtId="0" fontId="1" fillId="0" borderId="0" xfId="111" applyFont="1" applyAlignment="1">
      <alignment horizontal="center" vertical="center"/>
    </xf>
    <xf numFmtId="0" fontId="113" fillId="59" borderId="137" xfId="0" applyFont="1" applyFill="1" applyBorder="1" applyAlignment="1">
      <alignment horizontal="center"/>
    </xf>
    <xf numFmtId="0" fontId="0" fillId="0" borderId="504" xfId="0" applyBorder="1"/>
    <xf numFmtId="0" fontId="0" fillId="0" borderId="313" xfId="0" applyBorder="1"/>
    <xf numFmtId="0" fontId="307" fillId="0" borderId="504" xfId="0" applyFont="1" applyBorder="1"/>
    <xf numFmtId="0" fontId="307" fillId="0" borderId="0" xfId="0" applyFont="1"/>
    <xf numFmtId="0" fontId="307" fillId="0" borderId="504" xfId="0" applyFont="1" applyBorder="1" applyAlignment="1">
      <alignment wrapText="1"/>
    </xf>
    <xf numFmtId="0" fontId="93" fillId="0" borderId="0" xfId="0" applyFont="1"/>
    <xf numFmtId="168" fontId="146" fillId="0" borderId="0" xfId="28" applyNumberFormat="1" applyFont="1"/>
    <xf numFmtId="166" fontId="0" fillId="0" borderId="0" xfId="28" applyFont="1"/>
    <xf numFmtId="0" fontId="10" fillId="0" borderId="0" xfId="109" applyAlignment="1">
      <alignment vertical="top" wrapText="1"/>
    </xf>
    <xf numFmtId="0" fontId="277" fillId="92" borderId="453" xfId="111" applyFont="1" applyFill="1" applyBorder="1" applyAlignment="1">
      <alignment horizontal="center" vertical="center"/>
    </xf>
    <xf numFmtId="0" fontId="277" fillId="59" borderId="453" xfId="111" applyFont="1" applyFill="1" applyBorder="1" applyAlignment="1">
      <alignment horizontal="center" vertical="center"/>
    </xf>
    <xf numFmtId="0" fontId="284" fillId="46" borderId="453" xfId="111" applyFont="1" applyFill="1" applyBorder="1" applyAlignment="1">
      <alignment horizontal="center" vertical="center"/>
    </xf>
    <xf numFmtId="0" fontId="277" fillId="46" borderId="453" xfId="111" applyFont="1" applyFill="1" applyBorder="1" applyAlignment="1">
      <alignment horizontal="center" vertical="center"/>
    </xf>
    <xf numFmtId="326" fontId="277" fillId="59" borderId="453" xfId="111" applyNumberFormat="1" applyFont="1" applyFill="1" applyBorder="1" applyAlignment="1">
      <alignment horizontal="center" vertical="center"/>
    </xf>
    <xf numFmtId="2" fontId="277" fillId="92" borderId="512" xfId="111" applyNumberFormat="1" applyFont="1" applyFill="1" applyBorder="1" applyAlignment="1">
      <alignment horizontal="center" vertical="center"/>
    </xf>
    <xf numFmtId="2" fontId="277" fillId="92" borderId="453" xfId="111" applyNumberFormat="1" applyFont="1" applyFill="1" applyBorder="1" applyAlignment="1">
      <alignment vertical="center"/>
    </xf>
    <xf numFmtId="0" fontId="307" fillId="0" borderId="514" xfId="111" applyFont="1" applyBorder="1" applyAlignment="1">
      <alignment vertical="center"/>
    </xf>
    <xf numFmtId="0" fontId="307" fillId="0" borderId="516" xfId="111" applyFont="1" applyBorder="1" applyAlignment="1">
      <alignment horizontal="center" vertical="center"/>
    </xf>
    <xf numFmtId="49" fontId="307" fillId="0" borderId="516" xfId="111" applyNumberFormat="1" applyFont="1" applyBorder="1" applyAlignment="1">
      <alignment horizontal="center" vertical="center"/>
    </xf>
    <xf numFmtId="0" fontId="307" fillId="0" borderId="516" xfId="111" applyFont="1" applyBorder="1" applyAlignment="1">
      <alignment vertical="center"/>
    </xf>
    <xf numFmtId="0" fontId="307" fillId="0" borderId="516" xfId="111" quotePrefix="1" applyFont="1" applyBorder="1" applyAlignment="1">
      <alignment horizontal="center" vertical="center"/>
    </xf>
    <xf numFmtId="0" fontId="307" fillId="0" borderId="516" xfId="111" applyFont="1" applyBorder="1" applyAlignment="1">
      <alignment horizontal="left" vertical="center"/>
    </xf>
    <xf numFmtId="172" fontId="307" fillId="0" borderId="516" xfId="111" applyNumberFormat="1" applyFont="1" applyBorder="1" applyAlignment="1">
      <alignment horizontal="center" vertical="center"/>
    </xf>
    <xf numFmtId="0" fontId="307" fillId="0" borderId="516" xfId="111" quotePrefix="1" applyFont="1" applyBorder="1" applyAlignment="1">
      <alignment vertical="center"/>
    </xf>
    <xf numFmtId="326" fontId="307" fillId="0" borderId="516" xfId="111" quotePrefix="1" applyNumberFormat="1" applyFont="1" applyBorder="1" applyAlignment="1">
      <alignment vertical="center"/>
    </xf>
    <xf numFmtId="3" fontId="307" fillId="0" borderId="516" xfId="111" applyNumberFormat="1" applyFont="1" applyBorder="1" applyAlignment="1">
      <alignment horizontal="center" vertical="center"/>
    </xf>
    <xf numFmtId="365" fontId="307" fillId="0" borderId="516" xfId="116" applyNumberFormat="1" applyFont="1" applyFill="1" applyBorder="1" applyAlignment="1">
      <alignment vertical="center"/>
    </xf>
    <xf numFmtId="177" fontId="307" fillId="0" borderId="516" xfId="116" applyNumberFormat="1" applyFont="1" applyFill="1" applyBorder="1" applyAlignment="1">
      <alignment vertical="center"/>
    </xf>
    <xf numFmtId="44" fontId="307" fillId="0" borderId="517" xfId="117" applyFont="1" applyFill="1" applyBorder="1" applyAlignment="1">
      <alignment vertical="center"/>
    </xf>
    <xf numFmtId="3" fontId="307" fillId="0" borderId="515" xfId="117" applyNumberFormat="1" applyFont="1" applyFill="1" applyBorder="1" applyAlignment="1">
      <alignment horizontal="center" vertical="center"/>
    </xf>
    <xf numFmtId="3" fontId="307" fillId="0" borderId="515" xfId="111" applyNumberFormat="1" applyFont="1" applyBorder="1" applyAlignment="1">
      <alignment horizontal="center" vertical="center"/>
    </xf>
    <xf numFmtId="3" fontId="307" fillId="0" borderId="514" xfId="117" applyNumberFormat="1" applyFont="1" applyFill="1" applyBorder="1" applyAlignment="1">
      <alignment horizontal="center" vertical="center"/>
    </xf>
    <xf numFmtId="3" fontId="307" fillId="0" borderId="516" xfId="111" applyNumberFormat="1" applyFont="1" applyBorder="1" applyAlignment="1">
      <alignment horizontal="left" vertical="center"/>
    </xf>
    <xf numFmtId="166" fontId="17" fillId="71" borderId="0" xfId="28" applyFont="1" applyFill="1" applyAlignment="1">
      <alignment horizontal="center"/>
    </xf>
    <xf numFmtId="166" fontId="17" fillId="71" borderId="0" xfId="28" applyFont="1" applyFill="1"/>
    <xf numFmtId="0" fontId="17" fillId="71" borderId="518" xfId="0" applyFont="1" applyFill="1" applyBorder="1" applyAlignment="1">
      <alignment horizontal="center"/>
    </xf>
    <xf numFmtId="244" fontId="17" fillId="71" borderId="519" xfId="79" applyNumberFormat="1" applyFont="1" applyFill="1" applyBorder="1" applyAlignment="1">
      <alignment horizontal="center"/>
    </xf>
    <xf numFmtId="240" fontId="17" fillId="71" borderId="520" xfId="79" applyNumberFormat="1" applyFont="1" applyFill="1" applyBorder="1" applyAlignment="1">
      <alignment horizontal="center"/>
    </xf>
    <xf numFmtId="0" fontId="17" fillId="71" borderId="517" xfId="0" applyFont="1" applyFill="1" applyBorder="1" applyAlignment="1">
      <alignment horizontal="center"/>
    </xf>
    <xf numFmtId="3" fontId="17" fillId="71" borderId="515" xfId="79" applyNumberFormat="1" applyFont="1" applyFill="1" applyBorder="1" applyAlignment="1">
      <alignment horizontal="center"/>
    </xf>
    <xf numFmtId="0" fontId="17" fillId="71" borderId="521" xfId="0" applyFont="1" applyFill="1" applyBorder="1"/>
    <xf numFmtId="244" fontId="17" fillId="71" borderId="518" xfId="79" applyNumberFormat="1" applyFont="1" applyFill="1" applyBorder="1" applyAlignment="1">
      <alignment horizontal="center"/>
    </xf>
    <xf numFmtId="174" fontId="17" fillId="71" borderId="521" xfId="79" applyNumberFormat="1" applyFont="1" applyFill="1" applyBorder="1" applyAlignment="1">
      <alignment horizontal="center"/>
    </xf>
    <xf numFmtId="0" fontId="17" fillId="71" borderId="516" xfId="0" applyFont="1" applyFill="1" applyBorder="1"/>
    <xf numFmtId="174" fontId="17" fillId="71" borderId="516" xfId="79" applyNumberFormat="1" applyFont="1" applyFill="1" applyBorder="1" applyAlignment="1">
      <alignment horizontal="center"/>
    </xf>
    <xf numFmtId="0" fontId="17" fillId="71" borderId="518" xfId="0" applyFont="1" applyFill="1" applyBorder="1"/>
    <xf numFmtId="0" fontId="17" fillId="71" borderId="519" xfId="0" applyFont="1" applyFill="1" applyBorder="1"/>
    <xf numFmtId="174" fontId="17" fillId="71" borderId="519" xfId="79" applyNumberFormat="1" applyFont="1" applyFill="1" applyBorder="1" applyAlignment="1">
      <alignment horizontal="center"/>
    </xf>
    <xf numFmtId="3" fontId="17" fillId="71" borderId="520" xfId="79" applyNumberFormat="1" applyFont="1" applyFill="1" applyBorder="1" applyAlignment="1">
      <alignment horizontal="center"/>
    </xf>
    <xf numFmtId="0" fontId="17" fillId="71" borderId="504" xfId="0" applyFont="1" applyFill="1" applyBorder="1"/>
    <xf numFmtId="0" fontId="17" fillId="71" borderId="504" xfId="0" applyFont="1" applyFill="1" applyBorder="1" applyAlignment="1">
      <alignment horizontal="center"/>
    </xf>
    <xf numFmtId="170" fontId="17" fillId="71" borderId="504" xfId="0" applyNumberFormat="1" applyFont="1" applyFill="1" applyBorder="1" applyAlignment="1">
      <alignment horizontal="center"/>
    </xf>
    <xf numFmtId="178" fontId="49" fillId="71" borderId="504" xfId="0" applyNumberFormat="1" applyFont="1" applyFill="1" applyBorder="1"/>
    <xf numFmtId="178" fontId="17" fillId="71" borderId="504" xfId="0" applyNumberFormat="1" applyFont="1" applyFill="1" applyBorder="1" applyAlignment="1">
      <alignment horizontal="center"/>
    </xf>
    <xf numFmtId="178" fontId="17" fillId="71" borderId="504" xfId="0" applyNumberFormat="1" applyFont="1" applyFill="1" applyBorder="1"/>
    <xf numFmtId="178" fontId="17" fillId="71" borderId="518" xfId="0" applyNumberFormat="1" applyFont="1" applyFill="1" applyBorder="1"/>
    <xf numFmtId="178" fontId="17" fillId="71" borderId="519" xfId="0" applyNumberFormat="1" applyFont="1" applyFill="1" applyBorder="1"/>
    <xf numFmtId="178" fontId="17" fillId="71" borderId="517" xfId="0" applyNumberFormat="1" applyFont="1" applyFill="1" applyBorder="1"/>
    <xf numFmtId="0" fontId="17" fillId="71" borderId="504" xfId="49" applyFont="1" applyFill="1" applyBorder="1" applyAlignment="1">
      <alignment horizontal="center" vertical="center" wrapText="1"/>
    </xf>
    <xf numFmtId="0" fontId="17" fillId="71" borderId="504" xfId="49" applyFont="1" applyFill="1" applyBorder="1" applyAlignment="1">
      <alignment vertical="center" wrapText="1"/>
    </xf>
    <xf numFmtId="177" fontId="17" fillId="71" borderId="504" xfId="30" applyNumberFormat="1" applyFont="1" applyFill="1" applyBorder="1" applyAlignment="1">
      <alignment horizontal="center" vertical="center" wrapText="1"/>
    </xf>
    <xf numFmtId="3" fontId="49" fillId="0" borderId="504" xfId="51" applyNumberFormat="1" applyFont="1" applyBorder="1" applyAlignment="1">
      <alignment horizontal="center" vertical="center" wrapText="1"/>
    </xf>
    <xf numFmtId="3" fontId="17" fillId="46" borderId="504" xfId="51" applyNumberFormat="1" applyFont="1" applyFill="1" applyBorder="1" applyAlignment="1">
      <alignment horizontal="center" vertical="center" wrapText="1"/>
    </xf>
    <xf numFmtId="3" fontId="137" fillId="46" borderId="504" xfId="51" applyNumberFormat="1" applyFont="1" applyFill="1" applyBorder="1" applyAlignment="1">
      <alignment horizontal="center" vertical="center" wrapText="1"/>
    </xf>
    <xf numFmtId="3" fontId="17" fillId="46" borderId="504" xfId="51" applyNumberFormat="1" applyFont="1" applyFill="1" applyBorder="1" applyAlignment="1">
      <alignment horizontal="center" wrapText="1"/>
    </xf>
    <xf numFmtId="3" fontId="137" fillId="46" borderId="504" xfId="51" applyNumberFormat="1" applyFont="1" applyFill="1" applyBorder="1" applyAlignment="1">
      <alignment horizontal="center" wrapText="1"/>
    </xf>
    <xf numFmtId="0" fontId="17" fillId="0" borderId="504" xfId="0" applyFont="1" applyBorder="1" applyAlignment="1">
      <alignment horizontal="center"/>
    </xf>
    <xf numFmtId="3" fontId="49" fillId="0" borderId="504" xfId="0" applyNumberFormat="1" applyFont="1" applyBorder="1" applyAlignment="1">
      <alignment horizontal="center" wrapText="1"/>
    </xf>
    <xf numFmtId="3" fontId="49" fillId="51" borderId="504" xfId="0" applyNumberFormat="1" applyFont="1" applyFill="1" applyBorder="1" applyAlignment="1">
      <alignment horizontal="center" wrapText="1"/>
    </xf>
    <xf numFmtId="3" fontId="50" fillId="51" borderId="502" xfId="0" applyNumberFormat="1" applyFont="1" applyFill="1" applyBorder="1"/>
    <xf numFmtId="3" fontId="50" fillId="51" borderId="503" xfId="0" applyNumberFormat="1" applyFont="1" applyFill="1" applyBorder="1"/>
    <xf numFmtId="3" fontId="50" fillId="51" borderId="501" xfId="0" applyNumberFormat="1" applyFont="1" applyFill="1" applyBorder="1"/>
    <xf numFmtId="0" fontId="150" fillId="0" borderId="504" xfId="0" applyFont="1" applyBorder="1" applyAlignment="1">
      <alignment horizontal="center"/>
    </xf>
    <xf numFmtId="0" fontId="25" fillId="0" borderId="504" xfId="0" applyFont="1" applyBorder="1"/>
    <xf numFmtId="168" fontId="17" fillId="0" borderId="504" xfId="28" applyNumberFormat="1" applyFont="1" applyFill="1" applyBorder="1" applyAlignment="1">
      <alignment horizontal="center"/>
    </xf>
    <xf numFmtId="3" fontId="17" fillId="0" borderId="504" xfId="0" applyNumberFormat="1" applyFont="1" applyBorder="1" applyAlignment="1">
      <alignment horizontal="center"/>
    </xf>
    <xf numFmtId="168" fontId="17" fillId="0" borderId="502" xfId="28" applyNumberFormat="1" applyFont="1" applyFill="1" applyBorder="1" applyAlignment="1"/>
    <xf numFmtId="168" fontId="17" fillId="0" borderId="504" xfId="28" applyNumberFormat="1" applyFont="1" applyFill="1" applyBorder="1" applyAlignment="1"/>
    <xf numFmtId="3" fontId="17" fillId="0" borderId="504" xfId="0" applyNumberFormat="1" applyFont="1" applyBorder="1"/>
    <xf numFmtId="168" fontId="17" fillId="0" borderId="504" xfId="28" applyNumberFormat="1" applyFont="1" applyFill="1" applyBorder="1" applyAlignment="1">
      <alignment horizontal="center" vertical="center"/>
    </xf>
    <xf numFmtId="168" fontId="137" fillId="0" borderId="504" xfId="28" applyNumberFormat="1" applyFont="1" applyFill="1" applyBorder="1" applyAlignment="1">
      <alignment horizontal="center" vertical="center"/>
    </xf>
    <xf numFmtId="168" fontId="17" fillId="51" borderId="504" xfId="28" applyNumberFormat="1" applyFont="1" applyFill="1" applyBorder="1" applyAlignment="1">
      <alignment horizontal="center" vertical="center"/>
    </xf>
    <xf numFmtId="168" fontId="137" fillId="63" borderId="504" xfId="28" applyNumberFormat="1" applyFont="1" applyFill="1" applyBorder="1" applyAlignment="1">
      <alignment horizontal="center" vertical="center"/>
    </xf>
    <xf numFmtId="168" fontId="17" fillId="0" borderId="502" xfId="28" applyNumberFormat="1" applyFont="1" applyFill="1" applyBorder="1" applyAlignment="1">
      <alignment horizontal="center" vertical="center"/>
    </xf>
    <xf numFmtId="168" fontId="25" fillId="0" borderId="504" xfId="28" applyNumberFormat="1" applyFont="1" applyFill="1" applyBorder="1"/>
    <xf numFmtId="3" fontId="17" fillId="51" borderId="518" xfId="0" applyNumberFormat="1" applyFont="1" applyFill="1" applyBorder="1" applyAlignment="1">
      <alignment horizontal="center"/>
    </xf>
    <xf numFmtId="3" fontId="50" fillId="51" borderId="316" xfId="0" applyNumberFormat="1" applyFont="1" applyFill="1" applyBorder="1"/>
    <xf numFmtId="3" fontId="50" fillId="51" borderId="519" xfId="0" applyNumberFormat="1" applyFont="1" applyFill="1" applyBorder="1"/>
    <xf numFmtId="0" fontId="17" fillId="0" borderId="516" xfId="0" applyFont="1" applyBorder="1" applyAlignment="1">
      <alignment horizontal="center"/>
    </xf>
    <xf numFmtId="168" fontId="17" fillId="0" borderId="504" xfId="28" applyNumberFormat="1" applyFont="1" applyFill="1" applyBorder="1"/>
    <xf numFmtId="3" fontId="50" fillId="51" borderId="518" xfId="0" applyNumberFormat="1" applyFont="1" applyFill="1" applyBorder="1"/>
    <xf numFmtId="168" fontId="17" fillId="0" borderId="502" xfId="28" applyNumberFormat="1" applyFont="1" applyFill="1" applyBorder="1" applyAlignment="1">
      <alignment horizontal="center"/>
    </xf>
    <xf numFmtId="168" fontId="17" fillId="0" borderId="503" xfId="28" applyNumberFormat="1" applyFont="1" applyFill="1" applyBorder="1" applyAlignment="1">
      <alignment horizontal="center"/>
    </xf>
    <xf numFmtId="168" fontId="17" fillId="0" borderId="501" xfId="28" applyNumberFormat="1" applyFont="1" applyFill="1" applyBorder="1" applyAlignment="1">
      <alignment horizontal="center"/>
    </xf>
    <xf numFmtId="3" fontId="202" fillId="0" borderId="504" xfId="0" applyNumberFormat="1" applyFont="1" applyBorder="1" applyAlignment="1">
      <alignment horizontal="center"/>
    </xf>
    <xf numFmtId="0" fontId="203" fillId="0" borderId="504" xfId="0" applyFont="1" applyBorder="1"/>
    <xf numFmtId="0" fontId="22" fillId="0" borderId="504" xfId="0" applyFont="1" applyBorder="1"/>
    <xf numFmtId="0" fontId="22" fillId="0" borderId="504" xfId="0" applyFont="1" applyBorder="1" applyAlignment="1">
      <alignment horizontal="center"/>
    </xf>
    <xf numFmtId="226" fontId="17" fillId="0" borderId="169" xfId="0" applyNumberFormat="1" applyFont="1" applyBorder="1" applyAlignment="1">
      <alignment horizontal="center"/>
    </xf>
    <xf numFmtId="178" fontId="17" fillId="48" borderId="314" xfId="0" applyNumberFormat="1" applyFont="1" applyFill="1" applyBorder="1" applyAlignment="1">
      <alignment horizontal="center"/>
    </xf>
    <xf numFmtId="178" fontId="17" fillId="55" borderId="314" xfId="0" applyNumberFormat="1" applyFont="1" applyFill="1" applyBorder="1" applyAlignment="1">
      <alignment horizontal="center"/>
    </xf>
    <xf numFmtId="226" fontId="17" fillId="98" borderId="169" xfId="0" applyNumberFormat="1" applyFont="1" applyFill="1" applyBorder="1" applyAlignment="1">
      <alignment horizontal="center"/>
    </xf>
    <xf numFmtId="0" fontId="17" fillId="0" borderId="273" xfId="0" applyFont="1" applyBorder="1" applyAlignment="1">
      <alignment horizontal="center"/>
    </xf>
    <xf numFmtId="226" fontId="17" fillId="70" borderId="137" xfId="0" applyNumberFormat="1" applyFont="1" applyFill="1" applyBorder="1" applyAlignment="1">
      <alignment horizontal="center"/>
    </xf>
    <xf numFmtId="226" fontId="17" fillId="0" borderId="523" xfId="0" applyNumberFormat="1" applyFont="1" applyBorder="1" applyAlignment="1">
      <alignment horizontal="center"/>
    </xf>
    <xf numFmtId="226" fontId="17" fillId="0" borderId="524" xfId="0" applyNumberFormat="1" applyFont="1" applyBorder="1" applyAlignment="1">
      <alignment horizontal="center"/>
    </xf>
    <xf numFmtId="0" fontId="17" fillId="0" borderId="524" xfId="0" applyFont="1" applyBorder="1"/>
    <xf numFmtId="0" fontId="17" fillId="0" borderId="524" xfId="0" applyFont="1" applyBorder="1" applyAlignment="1">
      <alignment horizontal="center"/>
    </xf>
    <xf numFmtId="289" fontId="17" fillId="0" borderId="525" xfId="0" applyNumberFormat="1" applyFont="1" applyBorder="1" applyAlignment="1">
      <alignment horizontal="center"/>
    </xf>
    <xf numFmtId="0" fontId="17" fillId="0" borderId="525" xfId="0" applyFont="1" applyBorder="1" applyAlignment="1">
      <alignment horizontal="center"/>
    </xf>
    <xf numFmtId="41" fontId="17" fillId="0" borderId="524" xfId="0" applyNumberFormat="1" applyFont="1" applyBorder="1" applyAlignment="1">
      <alignment horizontal="center"/>
    </xf>
    <xf numFmtId="174" fontId="17" fillId="0" borderId="524" xfId="0" quotePrefix="1" applyNumberFormat="1" applyFont="1" applyBorder="1" applyAlignment="1">
      <alignment horizontal="center"/>
    </xf>
    <xf numFmtId="177" fontId="17" fillId="0" borderId="524" xfId="33" applyNumberFormat="1" applyFont="1" applyFill="1" applyBorder="1" applyAlignment="1">
      <alignment horizontal="center"/>
    </xf>
    <xf numFmtId="177" fontId="17" fillId="0" borderId="524" xfId="33" applyNumberFormat="1" applyFont="1" applyFill="1" applyBorder="1"/>
    <xf numFmtId="41" fontId="17" fillId="0" borderId="524" xfId="0" applyNumberFormat="1" applyFont="1" applyBorder="1"/>
    <xf numFmtId="177" fontId="17" fillId="0" borderId="524" xfId="33" applyNumberFormat="1" applyFont="1" applyFill="1" applyBorder="1" applyAlignment="1"/>
    <xf numFmtId="43" fontId="17" fillId="0" borderId="524" xfId="0" quotePrefix="1" applyNumberFormat="1" applyFont="1" applyBorder="1" applyAlignment="1">
      <alignment horizontal="center"/>
    </xf>
    <xf numFmtId="41" fontId="17" fillId="0" borderId="524" xfId="0" quotePrefix="1" applyNumberFormat="1" applyFont="1" applyBorder="1" applyAlignment="1">
      <alignment horizontal="center"/>
    </xf>
    <xf numFmtId="41" fontId="17" fillId="0" borderId="526" xfId="0" quotePrefix="1" applyNumberFormat="1" applyFont="1" applyBorder="1" applyAlignment="1">
      <alignment horizontal="center"/>
    </xf>
    <xf numFmtId="41" fontId="17" fillId="0" borderId="525" xfId="0" quotePrefix="1" applyNumberFormat="1" applyFont="1" applyBorder="1" applyAlignment="1">
      <alignment horizontal="center"/>
    </xf>
    <xf numFmtId="3" fontId="17" fillId="0" borderId="524" xfId="0" quotePrefix="1" applyNumberFormat="1" applyFont="1" applyBorder="1" applyAlignment="1">
      <alignment horizontal="center"/>
    </xf>
    <xf numFmtId="3" fontId="17" fillId="0" borderId="526" xfId="0" quotePrefix="1" applyNumberFormat="1" applyFont="1" applyBorder="1" applyAlignment="1">
      <alignment horizontal="center"/>
    </xf>
    <xf numFmtId="3" fontId="17" fillId="0" borderId="522" xfId="0" quotePrefix="1" applyNumberFormat="1" applyFont="1" applyBorder="1" applyAlignment="1">
      <alignment horizontal="center"/>
    </xf>
    <xf numFmtId="0" fontId="17" fillId="0" borderId="496" xfId="28" applyNumberFormat="1" applyFont="1" applyBorder="1"/>
    <xf numFmtId="172" fontId="17" fillId="46" borderId="137" xfId="33" applyNumberFormat="1" applyFont="1" applyFill="1" applyBorder="1" applyAlignment="1">
      <alignment horizontal="center"/>
    </xf>
    <xf numFmtId="0" fontId="278" fillId="0" borderId="15" xfId="56" applyFont="1" applyBorder="1" applyAlignment="1">
      <alignment horizontal="right"/>
    </xf>
    <xf numFmtId="1" fontId="340" fillId="0" borderId="270" xfId="56" applyNumberFormat="1" applyFont="1" applyBorder="1" applyAlignment="1">
      <alignment horizontal="center"/>
    </xf>
    <xf numFmtId="0" fontId="340" fillId="0" borderId="12" xfId="56" applyFont="1" applyBorder="1" applyAlignment="1">
      <alignment horizontal="center"/>
    </xf>
    <xf numFmtId="167" fontId="137" fillId="0" borderId="270" xfId="56" applyNumberFormat="1" applyFont="1" applyBorder="1" applyAlignment="1">
      <alignment horizontal="center"/>
    </xf>
    <xf numFmtId="175" fontId="137" fillId="0" borderId="270" xfId="28" applyNumberFormat="1" applyFont="1" applyFill="1" applyBorder="1" applyAlignment="1">
      <alignment horizontal="center"/>
    </xf>
    <xf numFmtId="0" fontId="137" fillId="0" borderId="48" xfId="56" applyFont="1" applyBorder="1" applyAlignment="1">
      <alignment horizontal="center"/>
    </xf>
    <xf numFmtId="167" fontId="137" fillId="0" borderId="14" xfId="56" applyNumberFormat="1" applyFont="1" applyBorder="1"/>
    <xf numFmtId="167" fontId="137" fillId="0" borderId="270" xfId="56" applyNumberFormat="1" applyFont="1" applyBorder="1"/>
    <xf numFmtId="43" fontId="17" fillId="0" borderId="0" xfId="56" applyNumberFormat="1" applyAlignment="1">
      <alignment horizontal="center"/>
    </xf>
    <xf numFmtId="43" fontId="278" fillId="0" borderId="15" xfId="56" applyNumberFormat="1" applyFont="1" applyBorder="1" applyAlignment="1">
      <alignment horizontal="right"/>
    </xf>
    <xf numFmtId="178" fontId="17" fillId="0" borderId="314" xfId="0" applyNumberFormat="1" applyFont="1" applyBorder="1" applyAlignment="1">
      <alignment horizontal="center"/>
    </xf>
    <xf numFmtId="178" fontId="17" fillId="0" borderId="499" xfId="0" applyNumberFormat="1" applyFont="1" applyBorder="1" applyAlignment="1">
      <alignment horizontal="center"/>
    </xf>
    <xf numFmtId="178" fontId="17" fillId="0" borderId="228" xfId="0" applyNumberFormat="1" applyFont="1" applyBorder="1" applyAlignment="1">
      <alignment horizontal="center" vertical="center"/>
    </xf>
    <xf numFmtId="168" fontId="17" fillId="0" borderId="527" xfId="28" applyNumberFormat="1" applyFont="1" applyBorder="1" applyAlignment="1">
      <alignment horizontal="center"/>
    </xf>
    <xf numFmtId="3" fontId="17" fillId="0" borderId="527" xfId="0" applyNumberFormat="1" applyFont="1" applyBorder="1" applyAlignment="1">
      <alignment horizontal="center"/>
    </xf>
    <xf numFmtId="226" fontId="113" fillId="59" borderId="137" xfId="0" applyNumberFormat="1" applyFont="1" applyFill="1" applyBorder="1" applyAlignment="1">
      <alignment horizontal="center"/>
    </xf>
    <xf numFmtId="0" fontId="280" fillId="0" borderId="0" xfId="108" applyFont="1" applyAlignment="1">
      <alignment vertical="center"/>
    </xf>
    <xf numFmtId="0" fontId="341" fillId="0" borderId="0" xfId="108" applyFont="1" applyAlignment="1">
      <alignment vertical="center"/>
    </xf>
    <xf numFmtId="0" fontId="17" fillId="0" borderId="527" xfId="0" applyFont="1" applyBorder="1" applyAlignment="1">
      <alignment horizontal="center"/>
    </xf>
    <xf numFmtId="286" fontId="17" fillId="0" borderId="527" xfId="0" applyNumberFormat="1" applyFont="1" applyBorder="1" applyAlignment="1">
      <alignment horizontal="center"/>
    </xf>
    <xf numFmtId="287" fontId="17" fillId="0" borderId="527" xfId="0" applyNumberFormat="1" applyFont="1" applyBorder="1" applyAlignment="1">
      <alignment horizontal="center"/>
    </xf>
    <xf numFmtId="324" fontId="17" fillId="70" borderId="334" xfId="0" applyNumberFormat="1" applyFont="1" applyFill="1" applyBorder="1" applyAlignment="1">
      <alignment horizontal="right"/>
    </xf>
    <xf numFmtId="0" fontId="17" fillId="71" borderId="418" xfId="0" applyFont="1" applyFill="1" applyBorder="1"/>
    <xf numFmtId="174" fontId="52" fillId="37" borderId="183" xfId="80" applyNumberFormat="1" applyFont="1" applyFill="1" applyBorder="1" applyAlignment="1" applyProtection="1">
      <alignment horizontal="center"/>
      <protection hidden="1"/>
    </xf>
    <xf numFmtId="174" fontId="52" fillId="37" borderId="184" xfId="64" applyNumberFormat="1" applyFont="1" applyFill="1" applyBorder="1" applyAlignment="1" applyProtection="1">
      <alignment horizontal="center"/>
      <protection hidden="1"/>
    </xf>
    <xf numFmtId="0" fontId="125" fillId="0" borderId="504" xfId="0" applyFont="1" applyBorder="1" applyAlignment="1">
      <alignment horizontal="center"/>
    </xf>
    <xf numFmtId="4" fontId="17" fillId="0" borderId="504" xfId="0" applyNumberFormat="1" applyFont="1" applyBorder="1"/>
    <xf numFmtId="0" fontId="49" fillId="51" borderId="504" xfId="0" applyFont="1" applyFill="1" applyBorder="1"/>
    <xf numFmtId="0" fontId="221" fillId="0" borderId="418" xfId="0" applyFont="1" applyBorder="1"/>
    <xf numFmtId="0" fontId="221" fillId="0" borderId="419" xfId="0" applyFont="1" applyBorder="1"/>
    <xf numFmtId="0" fontId="221" fillId="0" borderId="420" xfId="0" applyFont="1" applyBorder="1"/>
    <xf numFmtId="0" fontId="221" fillId="0" borderId="500" xfId="0" applyFont="1" applyBorder="1"/>
    <xf numFmtId="0" fontId="309" fillId="0" borderId="0" xfId="0" applyFont="1"/>
    <xf numFmtId="0" fontId="310" fillId="0" borderId="0" xfId="0" applyFont="1"/>
    <xf numFmtId="0" fontId="311" fillId="51" borderId="0" xfId="0" applyFont="1" applyFill="1" applyAlignment="1">
      <alignment horizontal="center" vertical="center"/>
    </xf>
    <xf numFmtId="0" fontId="312" fillId="0" borderId="422" xfId="0" applyFont="1" applyBorder="1" applyAlignment="1">
      <alignment horizontal="center"/>
    </xf>
    <xf numFmtId="0" fontId="312" fillId="0" borderId="422" xfId="0" applyFont="1" applyBorder="1" applyAlignment="1">
      <alignment horizontal="right"/>
    </xf>
    <xf numFmtId="0" fontId="221" fillId="0" borderId="0" xfId="0" applyFont="1" applyAlignment="1">
      <alignment horizontal="left"/>
    </xf>
    <xf numFmtId="0" fontId="313" fillId="0" borderId="0" xfId="0" applyFont="1" applyAlignment="1">
      <alignment horizontal="left" vertical="center"/>
    </xf>
    <xf numFmtId="0" fontId="314" fillId="51" borderId="324" xfId="0" applyFont="1" applyFill="1" applyBorder="1" applyAlignment="1">
      <alignment horizontal="center" vertical="center"/>
    </xf>
    <xf numFmtId="204" fontId="312" fillId="0" borderId="441" xfId="0" applyNumberFormat="1" applyFont="1" applyBorder="1" applyAlignment="1">
      <alignment horizontal="center" vertical="center"/>
    </xf>
    <xf numFmtId="0" fontId="221" fillId="0" borderId="422" xfId="0" applyFont="1" applyBorder="1"/>
    <xf numFmtId="0" fontId="226" fillId="0" borderId="529" xfId="0" applyFont="1" applyBorder="1"/>
    <xf numFmtId="0" fontId="221" fillId="0" borderId="316" xfId="0" applyFont="1" applyBorder="1"/>
    <xf numFmtId="0" fontId="221" fillId="0" borderId="316" xfId="0" applyFont="1" applyBorder="1" applyAlignment="1">
      <alignment horizontal="left"/>
    </xf>
    <xf numFmtId="0" fontId="226" fillId="51" borderId="500" xfId="0" applyFont="1" applyFill="1" applyBorder="1"/>
    <xf numFmtId="0" fontId="221" fillId="51" borderId="0" xfId="0" applyFont="1" applyFill="1"/>
    <xf numFmtId="0" fontId="313" fillId="0" borderId="298" xfId="0" applyFont="1" applyBorder="1" applyAlignment="1">
      <alignment vertical="center"/>
    </xf>
    <xf numFmtId="0" fontId="313" fillId="0" borderId="442" xfId="0" applyFont="1" applyBorder="1" applyAlignment="1">
      <alignment vertical="center"/>
    </xf>
    <xf numFmtId="0" fontId="226" fillId="0" borderId="144" xfId="0" applyFont="1" applyBorder="1" applyAlignment="1">
      <alignment horizontal="left"/>
    </xf>
    <xf numFmtId="0" fontId="199" fillId="0" borderId="144" xfId="0" applyFont="1" applyBorder="1" applyAlignment="1">
      <alignment horizontal="left" vertical="center"/>
    </xf>
    <xf numFmtId="0" fontId="199" fillId="0" borderId="0" xfId="0" applyFont="1" applyAlignment="1">
      <alignment horizontal="left" vertical="center"/>
    </xf>
    <xf numFmtId="0" fontId="221" fillId="0" borderId="444" xfId="0" applyFont="1" applyBorder="1" applyAlignment="1">
      <alignment horizontal="center"/>
    </xf>
    <xf numFmtId="0" fontId="226" fillId="0" borderId="500" xfId="0" applyFont="1" applyBorder="1"/>
    <xf numFmtId="0" fontId="313" fillId="0" borderId="445" xfId="0" applyFont="1" applyBorder="1" applyAlignment="1">
      <alignment vertical="center"/>
    </xf>
    <xf numFmtId="0" fontId="221" fillId="0" borderId="443" xfId="0" applyFont="1" applyBorder="1"/>
    <xf numFmtId="0" fontId="199" fillId="51" borderId="144" xfId="0" applyFont="1" applyFill="1" applyBorder="1" applyAlignment="1">
      <alignment horizontal="left" vertical="center"/>
    </xf>
    <xf numFmtId="0" fontId="199" fillId="51" borderId="0" xfId="0" applyFont="1" applyFill="1" applyAlignment="1">
      <alignment horizontal="left" vertical="center"/>
    </xf>
    <xf numFmtId="0" fontId="221" fillId="0" borderId="446" xfId="0" applyFont="1" applyBorder="1" applyAlignment="1">
      <alignment horizontal="center"/>
    </xf>
    <xf numFmtId="0" fontId="226" fillId="51" borderId="144" xfId="0" applyFont="1" applyFill="1" applyBorder="1" applyAlignment="1">
      <alignment horizontal="left"/>
    </xf>
    <xf numFmtId="0" fontId="221" fillId="51" borderId="0" xfId="0" applyFont="1" applyFill="1" applyAlignment="1">
      <alignment horizontal="left"/>
    </xf>
    <xf numFmtId="0" fontId="226" fillId="51" borderId="530" xfId="0" applyFont="1" applyFill="1" applyBorder="1"/>
    <xf numFmtId="0" fontId="315" fillId="0" borderId="447" xfId="0" applyFont="1" applyBorder="1" applyAlignment="1">
      <alignment vertical="center"/>
    </xf>
    <xf numFmtId="0" fontId="316" fillId="0" borderId="517" xfId="0" applyFont="1" applyBorder="1" applyAlignment="1">
      <alignment horizontal="left"/>
    </xf>
    <xf numFmtId="0" fontId="221" fillId="0" borderId="448" xfId="0" applyFont="1" applyBorder="1" applyAlignment="1">
      <alignment horizontal="center"/>
    </xf>
    <xf numFmtId="0" fontId="51" fillId="0" borderId="0" xfId="0" applyFont="1" applyAlignment="1">
      <alignment vertical="center" wrapText="1"/>
    </xf>
    <xf numFmtId="0" fontId="51" fillId="0" borderId="422" xfId="0" applyFont="1" applyBorder="1" applyAlignment="1">
      <alignment vertical="center" wrapText="1"/>
    </xf>
    <xf numFmtId="0" fontId="317" fillId="96" borderId="529" xfId="0" applyFont="1" applyFill="1" applyBorder="1"/>
    <xf numFmtId="0" fontId="226" fillId="96" borderId="316" xfId="0" applyFont="1" applyFill="1" applyBorder="1"/>
    <xf numFmtId="0" fontId="318" fillId="0" borderId="418" xfId="0" applyFont="1" applyBorder="1"/>
    <xf numFmtId="0" fontId="319" fillId="0" borderId="419" xfId="0" applyFont="1" applyBorder="1"/>
    <xf numFmtId="0" fontId="226" fillId="0" borderId="419" xfId="0" applyFont="1" applyBorder="1"/>
    <xf numFmtId="0" fontId="320" fillId="96" borderId="215" xfId="0" applyFont="1" applyFill="1" applyBorder="1" applyAlignment="1">
      <alignment horizontal="center"/>
    </xf>
    <xf numFmtId="0" fontId="315" fillId="0" borderId="533" xfId="0" applyFont="1" applyBorder="1" applyAlignment="1">
      <alignment vertical="center"/>
    </xf>
    <xf numFmtId="0" fontId="315" fillId="0" borderId="534" xfId="0" applyFont="1" applyBorder="1" applyAlignment="1">
      <alignment vertical="center"/>
    </xf>
    <xf numFmtId="0" fontId="319" fillId="0" borderId="529" xfId="0" applyFont="1" applyBorder="1"/>
    <xf numFmtId="0" fontId="221" fillId="0" borderId="453" xfId="0" applyFont="1" applyBorder="1"/>
    <xf numFmtId="0" fontId="322" fillId="0" borderId="512" xfId="0" applyFont="1" applyBorder="1"/>
    <xf numFmtId="0" fontId="226" fillId="96" borderId="457" xfId="0" applyFont="1" applyFill="1" applyBorder="1" applyAlignment="1">
      <alignment horizontal="center" vertical="center"/>
    </xf>
    <xf numFmtId="0" fontId="321" fillId="96" borderId="215" xfId="0" quotePrefix="1" applyFont="1" applyFill="1" applyBorder="1" applyAlignment="1">
      <alignment horizontal="center" vertical="center" wrapText="1"/>
    </xf>
    <xf numFmtId="0" fontId="321" fillId="96" borderId="215" xfId="0" quotePrefix="1" applyFont="1" applyFill="1" applyBorder="1" applyAlignment="1">
      <alignment horizontal="center" vertical="center"/>
    </xf>
    <xf numFmtId="0" fontId="321" fillId="96" borderId="215" xfId="0" applyFont="1" applyFill="1" applyBorder="1" applyAlignment="1">
      <alignment horizontal="center" vertical="center" wrapText="1"/>
    </xf>
    <xf numFmtId="0" fontId="321" fillId="96" borderId="215" xfId="0" applyFont="1" applyFill="1" applyBorder="1" applyAlignment="1">
      <alignment horizontal="center" vertical="center"/>
    </xf>
    <xf numFmtId="0" fontId="221" fillId="0" borderId="0" xfId="0" applyFont="1" applyAlignment="1">
      <alignment vertical="center"/>
    </xf>
    <xf numFmtId="0" fontId="315" fillId="0" borderId="533" xfId="0" applyFont="1" applyBorder="1" applyAlignment="1">
      <alignment vertical="center" wrapText="1"/>
    </xf>
    <xf numFmtId="0" fontId="315" fillId="0" borderId="533" xfId="0" applyFont="1" applyBorder="1" applyAlignment="1">
      <alignment horizontal="center"/>
    </xf>
    <xf numFmtId="0" fontId="315" fillId="0" borderId="24" xfId="0" applyFont="1" applyBorder="1" applyAlignment="1">
      <alignment horizontal="center"/>
    </xf>
    <xf numFmtId="0" fontId="315" fillId="0" borderId="453" xfId="0" applyFont="1" applyBorder="1" applyAlignment="1">
      <alignment vertical="center" wrapText="1"/>
    </xf>
    <xf numFmtId="0" fontId="314" fillId="0" borderId="453" xfId="0" applyFont="1" applyBorder="1"/>
    <xf numFmtId="0" fontId="315" fillId="0" borderId="453" xfId="0" applyFont="1" applyBorder="1" applyAlignment="1">
      <alignment horizontal="center"/>
    </xf>
    <xf numFmtId="0" fontId="221" fillId="0" borderId="530" xfId="0" applyFont="1" applyBorder="1"/>
    <xf numFmtId="0" fontId="221" fillId="0" borderId="531" xfId="0" applyFont="1" applyBorder="1"/>
    <xf numFmtId="0" fontId="318" fillId="0" borderId="500" xfId="0" applyFont="1" applyBorder="1"/>
    <xf numFmtId="0" fontId="315" fillId="0" borderId="0" xfId="0" applyFont="1" applyAlignment="1">
      <alignment horizontal="center" vertical="center"/>
    </xf>
    <xf numFmtId="0" fontId="321" fillId="0" borderId="0" xfId="0" applyFont="1"/>
    <xf numFmtId="0" fontId="322" fillId="0" borderId="422" xfId="0" applyFont="1" applyBorder="1"/>
    <xf numFmtId="0" fontId="226" fillId="96" borderId="462" xfId="0" applyFont="1" applyFill="1" applyBorder="1" applyAlignment="1">
      <alignment horizontal="center" vertical="center" wrapText="1"/>
    </xf>
    <xf numFmtId="0" fontId="226" fillId="96" borderId="463" xfId="0" applyFont="1" applyFill="1" applyBorder="1" applyAlignment="1">
      <alignment horizontal="center" vertical="center" wrapText="1"/>
    </xf>
    <xf numFmtId="0" fontId="226" fillId="96" borderId="464" xfId="0" applyFont="1" applyFill="1" applyBorder="1" applyAlignment="1">
      <alignment horizontal="center" vertical="center" wrapText="1"/>
    </xf>
    <xf numFmtId="0" fontId="322" fillId="0" borderId="316" xfId="0" applyFont="1" applyBorder="1"/>
    <xf numFmtId="0" fontId="321" fillId="0" borderId="316" xfId="0" applyFont="1" applyBorder="1"/>
    <xf numFmtId="0" fontId="223" fillId="0" borderId="533" xfId="0" applyFont="1" applyBorder="1" applyAlignment="1">
      <alignment vertical="center"/>
    </xf>
    <xf numFmtId="0" fontId="322" fillId="0" borderId="533" xfId="0" applyFont="1" applyBorder="1" applyAlignment="1">
      <alignment vertical="center"/>
    </xf>
    <xf numFmtId="0" fontId="322" fillId="0" borderId="534" xfId="0" applyFont="1" applyBorder="1" applyAlignment="1">
      <alignment vertical="center"/>
    </xf>
    <xf numFmtId="0" fontId="318" fillId="0" borderId="466" xfId="0" applyFont="1" applyBorder="1"/>
    <xf numFmtId="0" fontId="325" fillId="0" borderId="0" xfId="0" applyFont="1" applyAlignment="1">
      <alignment horizontal="center"/>
    </xf>
    <xf numFmtId="0" fontId="325" fillId="0" borderId="422" xfId="0" applyFont="1" applyBorder="1" applyAlignment="1">
      <alignment horizontal="center"/>
    </xf>
    <xf numFmtId="0" fontId="314" fillId="0" borderId="500" xfId="0" applyFont="1" applyBorder="1"/>
    <xf numFmtId="0" fontId="322" fillId="0" borderId="0" xfId="0" applyFont="1"/>
    <xf numFmtId="0" fontId="322" fillId="0" borderId="467" xfId="0" applyFont="1" applyBorder="1" applyAlignment="1">
      <alignment vertical="center"/>
    </xf>
    <xf numFmtId="0" fontId="221" fillId="0" borderId="72" xfId="0" applyFont="1" applyBorder="1"/>
    <xf numFmtId="0" fontId="221" fillId="0" borderId="73" xfId="0" applyFont="1" applyBorder="1"/>
    <xf numFmtId="0" fontId="221" fillId="0" borderId="46" xfId="0" applyFont="1" applyBorder="1"/>
    <xf numFmtId="0" fontId="226" fillId="51" borderId="533" xfId="0" applyFont="1" applyFill="1" applyBorder="1"/>
    <xf numFmtId="0" fontId="226" fillId="0" borderId="533" xfId="0" applyFont="1" applyBorder="1"/>
    <xf numFmtId="0" fontId="226" fillId="0" borderId="534" xfId="0" applyFont="1" applyBorder="1"/>
    <xf numFmtId="0" fontId="226" fillId="96" borderId="530" xfId="0" applyFont="1" applyFill="1" applyBorder="1"/>
    <xf numFmtId="0" fontId="221" fillId="0" borderId="517" xfId="0" applyFont="1" applyBorder="1"/>
    <xf numFmtId="0" fontId="221" fillId="0" borderId="533" xfId="0" applyFont="1" applyBorder="1"/>
    <xf numFmtId="0" fontId="221" fillId="0" borderId="534" xfId="0" applyFont="1" applyBorder="1"/>
    <xf numFmtId="0" fontId="226" fillId="0" borderId="530" xfId="0" applyFont="1" applyBorder="1" applyAlignment="1">
      <alignment horizontal="right"/>
    </xf>
    <xf numFmtId="0" fontId="221" fillId="0" borderId="535" xfId="0" applyFont="1" applyBorder="1"/>
    <xf numFmtId="0" fontId="226" fillId="0" borderId="316" xfId="0" applyFont="1" applyBorder="1"/>
    <xf numFmtId="0" fontId="322" fillId="0" borderId="203" xfId="0" applyFont="1" applyBorder="1" applyAlignment="1">
      <alignment horizontal="center" vertical="center"/>
    </xf>
    <xf numFmtId="16" fontId="322" fillId="0" borderId="471" xfId="0" applyNumberFormat="1" applyFont="1" applyBorder="1" applyAlignment="1">
      <alignment horizontal="center" vertical="center"/>
    </xf>
    <xf numFmtId="204" fontId="322" fillId="0" borderId="471" xfId="0" applyNumberFormat="1" applyFont="1" applyBorder="1" applyAlignment="1">
      <alignment vertical="center"/>
    </xf>
    <xf numFmtId="204" fontId="322" fillId="0" borderId="470" xfId="0" applyNumberFormat="1" applyFont="1" applyBorder="1" applyAlignment="1">
      <alignment vertical="center"/>
    </xf>
    <xf numFmtId="0" fontId="173" fillId="49" borderId="472" xfId="0" applyFont="1" applyFill="1" applyBorder="1" applyAlignment="1">
      <alignment horizontal="center" vertical="center"/>
    </xf>
    <xf numFmtId="0" fontId="173" fillId="57" borderId="473" xfId="0" applyFont="1" applyFill="1" applyBorder="1" applyAlignment="1">
      <alignment horizontal="center" vertical="center"/>
    </xf>
    <xf numFmtId="0" fontId="173" fillId="51" borderId="472" xfId="0" applyFont="1" applyFill="1" applyBorder="1" applyAlignment="1">
      <alignment horizontal="center" vertical="center"/>
    </xf>
    <xf numFmtId="0" fontId="173" fillId="0" borderId="203" xfId="0" applyFont="1" applyBorder="1" applyAlignment="1">
      <alignment vertical="center"/>
    </xf>
    <xf numFmtId="0" fontId="221" fillId="0" borderId="203" xfId="0" applyFont="1" applyBorder="1" applyAlignment="1">
      <alignment vertical="center"/>
    </xf>
    <xf numFmtId="0" fontId="221" fillId="0" borderId="460" xfId="0" applyFont="1" applyBorder="1" applyAlignment="1">
      <alignment vertical="center"/>
    </xf>
    <xf numFmtId="0" fontId="322" fillId="0" borderId="487" xfId="0" applyFont="1" applyBorder="1" applyAlignment="1">
      <alignment horizontal="center"/>
    </xf>
    <xf numFmtId="16" fontId="322" fillId="0" borderId="450" xfId="0" applyNumberFormat="1" applyFont="1" applyBorder="1" applyAlignment="1">
      <alignment horizontal="center" vertical="center"/>
    </xf>
    <xf numFmtId="204" fontId="322" fillId="0" borderId="450" xfId="0" applyNumberFormat="1" applyFont="1" applyBorder="1" applyAlignment="1">
      <alignment vertical="center"/>
    </xf>
    <xf numFmtId="204" fontId="322" fillId="0" borderId="488" xfId="0" applyNumberFormat="1" applyFont="1" applyBorder="1" applyAlignment="1">
      <alignment vertical="center"/>
    </xf>
    <xf numFmtId="0" fontId="221" fillId="0" borderId="489" xfId="0" applyFont="1" applyBorder="1" applyAlignment="1">
      <alignment vertical="center"/>
    </xf>
    <xf numFmtId="0" fontId="221" fillId="0" borderId="24" xfId="0" applyFont="1" applyBorder="1"/>
    <xf numFmtId="0" fontId="316" fillId="0" borderId="453" xfId="0" applyFont="1" applyBorder="1"/>
    <xf numFmtId="0" fontId="328" fillId="0" borderId="453" xfId="0" applyFont="1" applyBorder="1" applyAlignment="1">
      <alignment horizontal="center" vertical="center"/>
    </xf>
    <xf numFmtId="0" fontId="322" fillId="0" borderId="453" xfId="0" applyFont="1" applyBorder="1"/>
    <xf numFmtId="0" fontId="317" fillId="96" borderId="72" xfId="0" applyFont="1" applyFill="1" applyBorder="1"/>
    <xf numFmtId="0" fontId="226" fillId="96" borderId="73" xfId="0" applyFont="1" applyFill="1" applyBorder="1"/>
    <xf numFmtId="0" fontId="226" fillId="96" borderId="46" xfId="0" applyFont="1" applyFill="1" applyBorder="1"/>
    <xf numFmtId="0" fontId="221" fillId="0" borderId="529" xfId="0" applyFont="1" applyBorder="1"/>
    <xf numFmtId="0" fontId="316" fillId="0" borderId="0" xfId="0" applyFont="1"/>
    <xf numFmtId="0" fontId="329" fillId="0" borderId="500" xfId="0" applyFont="1" applyBorder="1"/>
    <xf numFmtId="0" fontId="273" fillId="0" borderId="0" xfId="0" applyFont="1"/>
    <xf numFmtId="0" fontId="199" fillId="0" borderId="0" xfId="0" applyFont="1"/>
    <xf numFmtId="0" fontId="173" fillId="0" borderId="0" xfId="0" applyFont="1"/>
    <xf numFmtId="0" fontId="173" fillId="57" borderId="168" xfId="0" applyFont="1" applyFill="1" applyBorder="1" applyAlignment="1">
      <alignment vertical="center"/>
    </xf>
    <xf numFmtId="0" fontId="173" fillId="55" borderId="169" xfId="0" applyFont="1" applyFill="1" applyBorder="1" applyAlignment="1">
      <alignment vertical="center"/>
    </xf>
    <xf numFmtId="0" fontId="330" fillId="0" borderId="500" xfId="0" applyFont="1" applyBorder="1"/>
    <xf numFmtId="0" fontId="331" fillId="0" borderId="500" xfId="0" applyFont="1" applyBorder="1"/>
    <xf numFmtId="0" fontId="322" fillId="0" borderId="500" xfId="0" applyFont="1" applyBorder="1"/>
    <xf numFmtId="0" fontId="173" fillId="57" borderId="137" xfId="0" applyFont="1" applyFill="1" applyBorder="1" applyAlignment="1">
      <alignment horizontal="center"/>
    </xf>
    <xf numFmtId="3" fontId="173" fillId="52" borderId="137" xfId="0" applyNumberFormat="1" applyFont="1" applyFill="1" applyBorder="1" applyAlignment="1">
      <alignment horizontal="center"/>
    </xf>
    <xf numFmtId="3" fontId="173" fillId="0" borderId="0" xfId="0" applyNumberFormat="1" applyFont="1" applyAlignment="1">
      <alignment horizontal="center"/>
    </xf>
    <xf numFmtId="0" fontId="321" fillId="0" borderId="500" xfId="0" applyFont="1" applyBorder="1"/>
    <xf numFmtId="0" fontId="173" fillId="0" borderId="0" xfId="0" applyFont="1" applyAlignment="1">
      <alignment horizontal="right"/>
    </xf>
    <xf numFmtId="16" fontId="328" fillId="0" borderId="0" xfId="0" applyNumberFormat="1" applyFont="1" applyAlignment="1">
      <alignment horizontal="center" vertical="center"/>
    </xf>
    <xf numFmtId="0" fontId="173" fillId="0" borderId="0" xfId="0" quotePrefix="1" applyFont="1" applyAlignment="1">
      <alignment horizontal="right"/>
    </xf>
    <xf numFmtId="0" fontId="37" fillId="0" borderId="0" xfId="0" applyFont="1"/>
    <xf numFmtId="0" fontId="321" fillId="0" borderId="500" xfId="0" applyFont="1" applyBorder="1" applyAlignment="1">
      <alignment horizontal="left"/>
    </xf>
    <xf numFmtId="0" fontId="17" fillId="57" borderId="493" xfId="0" applyFont="1" applyFill="1" applyBorder="1" applyAlignment="1">
      <alignment horizontal="center"/>
    </xf>
    <xf numFmtId="0" fontId="173" fillId="57" borderId="493" xfId="0" applyFont="1" applyFill="1" applyBorder="1" applyAlignment="1">
      <alignment horizontal="center"/>
    </xf>
    <xf numFmtId="0" fontId="199" fillId="52" borderId="0" xfId="0" applyFont="1" applyFill="1"/>
    <xf numFmtId="0" fontId="173" fillId="52" borderId="0" xfId="0" applyFont="1" applyFill="1"/>
    <xf numFmtId="0" fontId="273" fillId="52" borderId="0" xfId="0" applyFont="1" applyFill="1"/>
    <xf numFmtId="0" fontId="223" fillId="0" borderId="0" xfId="0" applyFont="1" applyAlignment="1">
      <alignment horizontal="left"/>
    </xf>
    <xf numFmtId="0" fontId="273" fillId="57" borderId="493" xfId="0" applyFont="1" applyFill="1" applyBorder="1" applyAlignment="1">
      <alignment horizontal="center"/>
    </xf>
    <xf numFmtId="0" fontId="223" fillId="0" borderId="0" xfId="0" applyFont="1" applyAlignment="1">
      <alignment horizontal="center" vertical="center"/>
    </xf>
    <xf numFmtId="0" fontId="334" fillId="0" borderId="0" xfId="0" applyFont="1"/>
    <xf numFmtId="0" fontId="173" fillId="0" borderId="422" xfId="0" applyFont="1" applyBorder="1"/>
    <xf numFmtId="0" fontId="320" fillId="0" borderId="0" xfId="0" quotePrefix="1" applyFont="1" applyAlignment="1">
      <alignment horizontal="right"/>
    </xf>
    <xf numFmtId="0" fontId="320" fillId="0" borderId="0" xfId="0" applyFont="1" applyAlignment="1">
      <alignment horizontal="right"/>
    </xf>
    <xf numFmtId="0" fontId="173" fillId="0" borderId="453" xfId="0" applyFont="1" applyBorder="1"/>
    <xf numFmtId="0" fontId="128" fillId="0" borderId="453" xfId="0" applyFont="1" applyBorder="1"/>
    <xf numFmtId="0" fontId="173" fillId="0" borderId="512" xfId="0" applyFont="1" applyBorder="1"/>
    <xf numFmtId="0" fontId="188" fillId="0" borderId="500" xfId="0" applyFont="1" applyBorder="1" applyAlignment="1">
      <alignment vertical="center"/>
    </xf>
    <xf numFmtId="0" fontId="17" fillId="0" borderId="422" xfId="0" applyFont="1" applyBorder="1" applyAlignment="1">
      <alignment vertical="center"/>
    </xf>
    <xf numFmtId="0" fontId="17" fillId="0" borderId="500" xfId="0" applyFont="1" applyBorder="1" applyAlignment="1">
      <alignment vertical="center"/>
    </xf>
    <xf numFmtId="0" fontId="17" fillId="0" borderId="422" xfId="0" applyFont="1" applyBorder="1" applyAlignment="1">
      <alignment horizontal="center" vertical="center"/>
    </xf>
    <xf numFmtId="0" fontId="17" fillId="0" borderId="530" xfId="0" applyFont="1" applyBorder="1" applyAlignment="1">
      <alignment vertical="center"/>
    </xf>
    <xf numFmtId="0" fontId="172" fillId="0" borderId="419" xfId="0" applyFont="1" applyBorder="1"/>
    <xf numFmtId="0" fontId="342" fillId="0" borderId="419" xfId="0" applyFont="1" applyBorder="1"/>
    <xf numFmtId="0" fontId="338" fillId="0" borderId="527" xfId="0" applyFont="1" applyBorder="1" applyAlignment="1">
      <alignment horizontal="center"/>
    </xf>
    <xf numFmtId="0" fontId="315" fillId="0" borderId="527" xfId="0" applyFont="1" applyBorder="1" applyAlignment="1">
      <alignment horizontal="center"/>
    </xf>
    <xf numFmtId="0" fontId="315" fillId="0" borderId="527" xfId="0" applyFont="1" applyBorder="1" applyAlignment="1">
      <alignment horizontal="center" vertical="center"/>
    </xf>
    <xf numFmtId="0" fontId="315" fillId="0" borderId="527" xfId="0" applyFont="1" applyBorder="1" applyAlignment="1">
      <alignment vertical="center"/>
    </xf>
    <xf numFmtId="0" fontId="322" fillId="0" borderId="539" xfId="0" applyFont="1" applyBorder="1" applyAlignment="1">
      <alignment horizontal="center" vertical="center"/>
    </xf>
    <xf numFmtId="0" fontId="322" fillId="0" borderId="540" xfId="0" applyFont="1" applyBorder="1" applyAlignment="1">
      <alignment horizontal="center" vertical="center" wrapText="1"/>
    </xf>
    <xf numFmtId="0" fontId="314" fillId="0" borderId="540" xfId="0" applyFont="1" applyBorder="1" applyAlignment="1">
      <alignment horizontal="center" vertical="center"/>
    </xf>
    <xf numFmtId="0" fontId="322" fillId="0" borderId="540" xfId="0" applyFont="1" applyBorder="1" applyAlignment="1">
      <alignment horizontal="center" vertical="center"/>
    </xf>
    <xf numFmtId="0" fontId="322" fillId="0" borderId="541" xfId="0" applyFont="1" applyBorder="1" applyAlignment="1">
      <alignment horizontal="center" vertical="center"/>
    </xf>
    <xf numFmtId="0" fontId="322" fillId="0" borderId="542" xfId="0" applyFont="1" applyBorder="1" applyAlignment="1">
      <alignment horizontal="center" vertical="center"/>
    </xf>
    <xf numFmtId="0" fontId="322" fillId="0" borderId="542" xfId="0" applyFont="1" applyBorder="1" applyAlignment="1">
      <alignment horizontal="center"/>
    </xf>
    <xf numFmtId="0" fontId="226" fillId="96" borderId="543" xfId="0" applyFont="1" applyFill="1" applyBorder="1" applyAlignment="1">
      <alignment vertical="center" wrapText="1"/>
    </xf>
    <xf numFmtId="0" fontId="322" fillId="0" borderId="527" xfId="0" applyFont="1" applyBorder="1" applyAlignment="1">
      <alignment vertical="center"/>
    </xf>
    <xf numFmtId="0" fontId="322" fillId="0" borderId="544" xfId="0" applyFont="1" applyBorder="1" applyAlignment="1">
      <alignment horizontal="center" vertical="center" wrapText="1"/>
    </xf>
    <xf numFmtId="0" fontId="221" fillId="0" borderId="544" xfId="0" applyFont="1" applyBorder="1" applyAlignment="1">
      <alignment vertical="center"/>
    </xf>
    <xf numFmtId="0" fontId="221" fillId="0" borderId="545" xfId="0" applyFont="1" applyBorder="1" applyAlignment="1">
      <alignment vertical="center"/>
    </xf>
    <xf numFmtId="0" fontId="221" fillId="0" borderId="546" xfId="0" applyFont="1" applyBorder="1" applyAlignment="1">
      <alignment vertical="center"/>
    </xf>
    <xf numFmtId="0" fontId="221" fillId="0" borderId="547" xfId="0" applyFont="1" applyBorder="1" applyAlignment="1">
      <alignment vertical="center"/>
    </xf>
    <xf numFmtId="0" fontId="221" fillId="0" borderId="548" xfId="0" applyFont="1" applyBorder="1" applyAlignment="1">
      <alignment vertical="center"/>
    </xf>
    <xf numFmtId="0" fontId="199" fillId="51" borderId="527" xfId="0" applyFont="1" applyFill="1" applyBorder="1"/>
    <xf numFmtId="0" fontId="128" fillId="51" borderId="527" xfId="0" applyFont="1" applyFill="1" applyBorder="1" applyAlignment="1">
      <alignment horizontal="center"/>
    </xf>
    <xf numFmtId="9" fontId="173" fillId="51" borderId="527" xfId="64" applyFont="1" applyFill="1" applyBorder="1"/>
    <xf numFmtId="0" fontId="173" fillId="51" borderId="527" xfId="0" applyFont="1" applyFill="1" applyBorder="1" applyAlignment="1">
      <alignment horizontal="center"/>
    </xf>
    <xf numFmtId="0" fontId="51" fillId="0" borderId="0" xfId="0" applyFont="1"/>
    <xf numFmtId="0" fontId="39" fillId="0" borderId="0" xfId="0" applyFont="1"/>
    <xf numFmtId="0" fontId="37" fillId="0" borderId="504" xfId="0" applyFont="1" applyBorder="1"/>
    <xf numFmtId="0" fontId="51" fillId="0" borderId="504" xfId="0" applyFont="1" applyBorder="1"/>
    <xf numFmtId="3" fontId="37" fillId="0" borderId="504" xfId="0" applyNumberFormat="1" applyFont="1" applyBorder="1"/>
    <xf numFmtId="0" fontId="79" fillId="0" borderId="504" xfId="0" applyFont="1" applyBorder="1" applyAlignment="1">
      <alignment vertical="center"/>
    </xf>
    <xf numFmtId="169" fontId="37" fillId="0" borderId="504" xfId="28" applyNumberFormat="1" applyFont="1" applyBorder="1"/>
    <xf numFmtId="168" fontId="37" fillId="0" borderId="504" xfId="28" applyNumberFormat="1" applyFont="1" applyBorder="1"/>
    <xf numFmtId="168" fontId="37" fillId="0" borderId="0" xfId="0" applyNumberFormat="1" applyFont="1"/>
    <xf numFmtId="168" fontId="37" fillId="0" borderId="504" xfId="0" applyNumberFormat="1" applyFont="1" applyBorder="1"/>
    <xf numFmtId="166" fontId="37" fillId="0" borderId="0" xfId="28" applyFont="1"/>
    <xf numFmtId="3" fontId="37" fillId="0" borderId="0" xfId="0" applyNumberFormat="1" applyFont="1"/>
    <xf numFmtId="169" fontId="37" fillId="0" borderId="0" xfId="28" applyNumberFormat="1" applyFont="1"/>
    <xf numFmtId="166" fontId="37" fillId="0" borderId="0" xfId="0" applyNumberFormat="1" applyFont="1"/>
    <xf numFmtId="168" fontId="37" fillId="0" borderId="0" xfId="28" applyNumberFormat="1" applyFont="1"/>
    <xf numFmtId="43" fontId="37" fillId="0" borderId="0" xfId="0" applyNumberFormat="1" applyFont="1"/>
    <xf numFmtId="0" fontId="37" fillId="51" borderId="0" xfId="0" applyFont="1" applyFill="1"/>
    <xf numFmtId="0" fontId="37" fillId="92" borderId="0" xfId="0" applyFont="1" applyFill="1"/>
    <xf numFmtId="0" fontId="280" fillId="0" borderId="504" xfId="0" applyFont="1" applyBorder="1" applyAlignment="1">
      <alignment horizontal="center"/>
    </xf>
    <xf numFmtId="4" fontId="49" fillId="0" borderId="496" xfId="0" applyNumberFormat="1" applyFont="1" applyBorder="1"/>
    <xf numFmtId="4" fontId="49" fillId="97" borderId="496" xfId="0" applyNumberFormat="1" applyFont="1" applyFill="1" applyBorder="1"/>
    <xf numFmtId="0" fontId="49" fillId="97" borderId="496" xfId="0" applyFont="1" applyFill="1" applyBorder="1"/>
    <xf numFmtId="0" fontId="280" fillId="97" borderId="496" xfId="0" applyFont="1" applyFill="1" applyBorder="1"/>
    <xf numFmtId="9" fontId="17" fillId="0" borderId="504" xfId="0" applyNumberFormat="1" applyFont="1" applyBorder="1"/>
    <xf numFmtId="0" fontId="344" fillId="0" borderId="0" xfId="0" applyFont="1" applyAlignment="1">
      <alignment vertical="center"/>
    </xf>
    <xf numFmtId="0" fontId="344" fillId="0" borderId="0" xfId="0" applyFont="1" applyAlignment="1">
      <alignment horizontal="left" vertical="center" indent="1"/>
    </xf>
    <xf numFmtId="3" fontId="17" fillId="0" borderId="532" xfId="0" applyNumberFormat="1" applyFont="1" applyBorder="1"/>
    <xf numFmtId="168" fontId="17" fillId="46" borderId="535" xfId="31" applyNumberFormat="1" applyFont="1" applyFill="1" applyBorder="1" applyAlignment="1">
      <alignment horizontal="center"/>
    </xf>
    <xf numFmtId="168" fontId="17" fillId="46" borderId="532" xfId="31" applyNumberFormat="1" applyFont="1" applyFill="1" applyBorder="1" applyAlignment="1">
      <alignment horizontal="left"/>
    </xf>
    <xf numFmtId="0" fontId="17" fillId="61" borderId="0" xfId="0" applyFont="1" applyFill="1"/>
    <xf numFmtId="168" fontId="17" fillId="0" borderId="496" xfId="0" applyNumberFormat="1" applyFont="1" applyBorder="1"/>
    <xf numFmtId="178" fontId="49" fillId="0" borderId="543" xfId="0" applyNumberFormat="1" applyFont="1" applyBorder="1" applyAlignment="1" applyProtection="1">
      <alignment horizontal="center" wrapText="1"/>
      <protection hidden="1"/>
    </xf>
    <xf numFmtId="178" fontId="49" fillId="0" borderId="516" xfId="0" applyNumberFormat="1" applyFont="1" applyBorder="1" applyAlignment="1" applyProtection="1">
      <alignment horizontal="center" wrapText="1"/>
      <protection hidden="1"/>
    </xf>
    <xf numFmtId="178" fontId="17" fillId="0" borderId="504" xfId="0" applyNumberFormat="1" applyFont="1" applyBorder="1" applyAlignment="1" applyProtection="1">
      <alignment horizontal="center"/>
      <protection hidden="1"/>
    </xf>
    <xf numFmtId="221" fontId="17" fillId="0" borderId="419" xfId="0" applyNumberFormat="1" applyFont="1" applyBorder="1"/>
    <xf numFmtId="0" fontId="17" fillId="61" borderId="504" xfId="0" applyFont="1" applyFill="1" applyBorder="1"/>
    <xf numFmtId="168" fontId="113" fillId="95" borderId="0" xfId="28" applyNumberFormat="1" applyFont="1" applyFill="1" applyBorder="1"/>
    <xf numFmtId="166" fontId="17" fillId="71" borderId="504" xfId="28" applyFont="1" applyFill="1" applyBorder="1"/>
    <xf numFmtId="168" fontId="17" fillId="71" borderId="504" xfId="28" applyNumberFormat="1" applyFont="1" applyFill="1" applyBorder="1"/>
    <xf numFmtId="168" fontId="17" fillId="0" borderId="504" xfId="0" applyNumberFormat="1" applyFont="1" applyBorder="1"/>
    <xf numFmtId="169" fontId="17" fillId="71" borderId="504" xfId="28" applyNumberFormat="1" applyFont="1" applyFill="1" applyBorder="1"/>
    <xf numFmtId="168" fontId="17" fillId="0" borderId="504" xfId="28" applyNumberFormat="1" applyFont="1" applyBorder="1"/>
    <xf numFmtId="166" fontId="17" fillId="0" borderId="504" xfId="28" applyFont="1" applyBorder="1"/>
    <xf numFmtId="168" fontId="17" fillId="0" borderId="0" xfId="28" applyNumberFormat="1" applyFont="1" applyBorder="1"/>
    <xf numFmtId="43" fontId="17" fillId="0" borderId="504" xfId="0" applyNumberFormat="1" applyFont="1" applyBorder="1"/>
    <xf numFmtId="0" fontId="17" fillId="0" borderId="550" xfId="0" applyFont="1" applyBorder="1"/>
    <xf numFmtId="0" fontId="17" fillId="0" borderId="551" xfId="0" applyFont="1" applyBorder="1"/>
    <xf numFmtId="0" fontId="17" fillId="61" borderId="552" xfId="0" applyFont="1" applyFill="1" applyBorder="1"/>
    <xf numFmtId="0" fontId="17" fillId="0" borderId="553" xfId="0" applyFont="1" applyBorder="1"/>
    <xf numFmtId="0" fontId="17" fillId="0" borderId="554" xfId="0" applyFont="1" applyBorder="1"/>
    <xf numFmtId="0" fontId="17" fillId="0" borderId="555" xfId="0" applyFont="1" applyBorder="1"/>
    <xf numFmtId="168" fontId="17" fillId="0" borderId="554" xfId="0" applyNumberFormat="1" applyFont="1" applyBorder="1"/>
    <xf numFmtId="3" fontId="17" fillId="0" borderId="554" xfId="0" applyNumberFormat="1" applyFont="1" applyBorder="1" applyAlignment="1">
      <alignment horizontal="left"/>
    </xf>
    <xf numFmtId="168" fontId="17" fillId="0" borderId="556" xfId="0" applyNumberFormat="1" applyFont="1" applyBorder="1"/>
    <xf numFmtId="0" fontId="17" fillId="0" borderId="556" xfId="0" applyFont="1" applyBorder="1"/>
    <xf numFmtId="0" fontId="17" fillId="0" borderId="557" xfId="0" applyFont="1" applyBorder="1"/>
    <xf numFmtId="168" fontId="17" fillId="0" borderId="556" xfId="28" applyNumberFormat="1" applyFont="1" applyBorder="1"/>
    <xf numFmtId="0" fontId="17" fillId="0" borderId="558" xfId="0" applyFont="1" applyBorder="1"/>
    <xf numFmtId="0" fontId="17" fillId="0" borderId="559" xfId="0" applyFont="1" applyBorder="1"/>
    <xf numFmtId="169" fontId="17" fillId="0" borderId="560" xfId="28" applyNumberFormat="1" applyFont="1" applyBorder="1"/>
    <xf numFmtId="0" fontId="17" fillId="0" borderId="560" xfId="0" applyFont="1" applyBorder="1"/>
    <xf numFmtId="0" fontId="17" fillId="0" borderId="561" xfId="0" applyFont="1" applyBorder="1"/>
    <xf numFmtId="169" fontId="17" fillId="0" borderId="0" xfId="28" applyNumberFormat="1" applyFont="1" applyFill="1" applyBorder="1"/>
    <xf numFmtId="166" fontId="17" fillId="0" borderId="0" xfId="28" applyFont="1" applyFill="1" applyBorder="1"/>
    <xf numFmtId="0" fontId="17" fillId="61" borderId="562" xfId="0" applyFont="1" applyFill="1" applyBorder="1"/>
    <xf numFmtId="0" fontId="17" fillId="61" borderId="535" xfId="0" applyFont="1" applyFill="1" applyBorder="1"/>
    <xf numFmtId="0" fontId="96" fillId="51" borderId="0" xfId="0" applyFont="1" applyFill="1" applyProtection="1">
      <protection locked="0"/>
    </xf>
    <xf numFmtId="4" fontId="17" fillId="59" borderId="228" xfId="0" applyNumberFormat="1" applyFont="1" applyFill="1" applyBorder="1" applyAlignment="1">
      <alignment horizontal="center" vertical="center" wrapText="1"/>
    </xf>
    <xf numFmtId="0" fontId="113" fillId="0" borderId="0" xfId="0" applyFont="1" applyAlignment="1">
      <alignment horizontal="center"/>
    </xf>
    <xf numFmtId="0" fontId="52" fillId="35" borderId="563" xfId="0" applyFont="1" applyFill="1" applyBorder="1" applyAlignment="1" applyProtection="1">
      <alignment horizontal="center"/>
      <protection hidden="1"/>
    </xf>
    <xf numFmtId="174" fontId="52" fillId="37" borderId="564" xfId="80" applyNumberFormat="1" applyFont="1" applyFill="1" applyBorder="1" applyAlignment="1" applyProtection="1">
      <alignment horizontal="center"/>
      <protection hidden="1"/>
    </xf>
    <xf numFmtId="9" fontId="52" fillId="37" borderId="565" xfId="80" applyFont="1" applyFill="1" applyBorder="1" applyAlignment="1" applyProtection="1">
      <alignment horizontal="center"/>
      <protection hidden="1"/>
    </xf>
    <xf numFmtId="9" fontId="52" fillId="37" borderId="566" xfId="80" applyFont="1" applyFill="1" applyBorder="1" applyAlignment="1" applyProtection="1">
      <alignment horizontal="center"/>
      <protection hidden="1"/>
    </xf>
    <xf numFmtId="178" fontId="52" fillId="28" borderId="567" xfId="0" applyNumberFormat="1" applyFont="1" applyFill="1" applyBorder="1" applyAlignment="1" applyProtection="1">
      <alignment horizontal="center"/>
      <protection locked="0"/>
    </xf>
    <xf numFmtId="195" fontId="52" fillId="28" borderId="567" xfId="0" applyNumberFormat="1" applyFont="1" applyFill="1" applyBorder="1" applyAlignment="1" applyProtection="1">
      <alignment horizontal="center"/>
      <protection locked="0"/>
    </xf>
    <xf numFmtId="177" fontId="17" fillId="58" borderId="0" xfId="0" applyNumberFormat="1" applyFont="1" applyFill="1" applyAlignment="1">
      <alignment horizontal="center"/>
    </xf>
    <xf numFmtId="178" fontId="17" fillId="58" borderId="0" xfId="0" applyNumberFormat="1" applyFont="1" applyFill="1" applyAlignment="1">
      <alignment horizontal="center"/>
    </xf>
    <xf numFmtId="226" fontId="17" fillId="58" borderId="0" xfId="0" applyNumberFormat="1" applyFont="1" applyFill="1" applyAlignment="1">
      <alignment horizontal="center"/>
    </xf>
    <xf numFmtId="0" fontId="17" fillId="0" borderId="0" xfId="0" applyFont="1" applyAlignment="1" applyProtection="1">
      <alignment horizontal="center"/>
      <protection locked="0"/>
    </xf>
    <xf numFmtId="173" fontId="49" fillId="51" borderId="0" xfId="0" applyNumberFormat="1" applyFont="1" applyFill="1" applyAlignment="1">
      <alignment horizontal="center"/>
    </xf>
    <xf numFmtId="324" fontId="17" fillId="52" borderId="334" xfId="0" applyNumberFormat="1" applyFont="1" applyFill="1" applyBorder="1" applyAlignment="1">
      <alignment horizontal="right"/>
    </xf>
    <xf numFmtId="324" fontId="137" fillId="46" borderId="334" xfId="0" applyNumberFormat="1" applyFont="1" applyFill="1" applyBorder="1" applyAlignment="1">
      <alignment horizontal="right"/>
    </xf>
    <xf numFmtId="318" fontId="137" fillId="46" borderId="334" xfId="0" applyNumberFormat="1" applyFont="1" applyFill="1" applyBorder="1" applyAlignment="1">
      <alignment horizontal="right"/>
    </xf>
    <xf numFmtId="178" fontId="17" fillId="71" borderId="320" xfId="0" applyNumberFormat="1" applyFont="1" applyFill="1" applyBorder="1"/>
    <xf numFmtId="178" fontId="17" fillId="71" borderId="321" xfId="0" applyNumberFormat="1" applyFont="1" applyFill="1" applyBorder="1"/>
    <xf numFmtId="0" fontId="17" fillId="71" borderId="538" xfId="49" applyFont="1" applyFill="1" applyBorder="1" applyAlignment="1">
      <alignment horizontal="center" vertical="center" wrapText="1"/>
    </xf>
    <xf numFmtId="177" fontId="17" fillId="71" borderId="549" xfId="30" applyNumberFormat="1" applyFont="1" applyFill="1" applyBorder="1" applyAlignment="1">
      <alignment horizontal="center" vertical="center" wrapText="1"/>
    </xf>
    <xf numFmtId="0" fontId="49" fillId="0" borderId="119" xfId="0" applyFont="1" applyBorder="1"/>
    <xf numFmtId="0" fontId="308" fillId="0" borderId="504" xfId="0" applyFont="1" applyBorder="1" applyAlignment="1">
      <alignment horizontal="center"/>
    </xf>
    <xf numFmtId="0" fontId="222" fillId="0" borderId="504" xfId="0" applyFont="1" applyBorder="1" applyAlignment="1">
      <alignment horizontal="center" wrapText="1"/>
    </xf>
    <xf numFmtId="0" fontId="313" fillId="0" borderId="568" xfId="0" applyFont="1" applyBorder="1" applyAlignment="1">
      <alignment horizontal="left" vertical="center"/>
    </xf>
    <xf numFmtId="0" fontId="313" fillId="0" borderId="568" xfId="0" applyFont="1" applyBorder="1" applyAlignment="1">
      <alignment vertical="center"/>
    </xf>
    <xf numFmtId="0" fontId="313" fillId="0" borderId="569" xfId="0" applyFont="1" applyBorder="1" applyAlignment="1">
      <alignment vertical="center"/>
    </xf>
    <xf numFmtId="0" fontId="226" fillId="0" borderId="570" xfId="0" applyFont="1" applyBorder="1" applyAlignment="1">
      <alignment horizontal="left"/>
    </xf>
    <xf numFmtId="0" fontId="221" fillId="0" borderId="571" xfId="0" applyFont="1" applyBorder="1" applyAlignment="1">
      <alignment horizontal="center"/>
    </xf>
    <xf numFmtId="0" fontId="313" fillId="0" borderId="298" xfId="0" applyFont="1" applyBorder="1" applyAlignment="1">
      <alignment horizontal="left" vertical="center"/>
    </xf>
    <xf numFmtId="0" fontId="221" fillId="51" borderId="510" xfId="0" applyFont="1" applyFill="1" applyBorder="1"/>
    <xf numFmtId="0" fontId="128" fillId="0" borderId="510" xfId="0" applyFont="1" applyBorder="1" applyAlignment="1">
      <alignment horizontal="left" vertical="center"/>
    </xf>
    <xf numFmtId="0" fontId="315" fillId="0" borderId="510" xfId="0" applyFont="1" applyBorder="1" applyAlignment="1">
      <alignment horizontal="center" vertical="center"/>
    </xf>
    <xf numFmtId="0" fontId="226" fillId="96" borderId="571" xfId="0" applyFont="1" applyFill="1" applyBorder="1"/>
    <xf numFmtId="0" fontId="226" fillId="96" borderId="573" xfId="0" applyFont="1" applyFill="1" applyBorder="1" applyAlignment="1">
      <alignment horizontal="center"/>
    </xf>
    <xf numFmtId="0" fontId="314" fillId="0" borderId="576" xfId="0" applyFont="1" applyBorder="1"/>
    <xf numFmtId="0" fontId="7" fillId="0" borderId="527" xfId="111" applyBorder="1" applyAlignment="1">
      <alignment horizontal="center" vertical="center"/>
    </xf>
    <xf numFmtId="0" fontId="315" fillId="0" borderId="577" xfId="0" applyFont="1" applyBorder="1" applyAlignment="1">
      <alignment vertical="center"/>
    </xf>
    <xf numFmtId="0" fontId="51" fillId="51" borderId="577" xfId="0" applyFont="1" applyFill="1" applyBorder="1" applyAlignment="1">
      <alignment vertical="top"/>
    </xf>
    <xf numFmtId="0" fontId="221" fillId="0" borderId="571" xfId="0" applyFont="1" applyBorder="1"/>
    <xf numFmtId="0" fontId="318" fillId="0" borderId="24" xfId="0" applyFont="1" applyBorder="1" applyAlignment="1">
      <alignment vertical="top"/>
    </xf>
    <xf numFmtId="0" fontId="315" fillId="0" borderId="453" xfId="0" applyFont="1" applyBorder="1" applyAlignment="1">
      <alignment horizontal="center" vertical="top"/>
    </xf>
    <xf numFmtId="0" fontId="221" fillId="0" borderId="453" xfId="0" applyFont="1" applyBorder="1" applyAlignment="1">
      <alignment vertical="top"/>
    </xf>
    <xf numFmtId="0" fontId="321" fillId="0" borderId="453" xfId="0" applyFont="1" applyBorder="1" applyAlignment="1">
      <alignment vertical="top"/>
    </xf>
    <xf numFmtId="0" fontId="322" fillId="0" borderId="512" xfId="0" applyFont="1" applyBorder="1" applyAlignment="1">
      <alignment vertical="top"/>
    </xf>
    <xf numFmtId="0" fontId="0" fillId="0" borderId="527" xfId="0" applyBorder="1" applyAlignment="1">
      <alignment horizontal="center"/>
    </xf>
    <xf numFmtId="0" fontId="0" fillId="0" borderId="527" xfId="0" applyBorder="1" applyAlignment="1">
      <alignment horizontal="left"/>
    </xf>
    <xf numFmtId="0" fontId="315" fillId="0" borderId="527" xfId="0" applyFont="1" applyBorder="1" applyAlignment="1">
      <alignment horizontal="center" vertical="top"/>
    </xf>
    <xf numFmtId="49" fontId="315" fillId="0" borderId="527" xfId="0" quotePrefix="1" applyNumberFormat="1" applyFont="1" applyBorder="1" applyAlignment="1">
      <alignment horizontal="center" vertical="top"/>
    </xf>
    <xf numFmtId="0" fontId="315" fillId="0" borderId="527" xfId="0" quotePrefix="1" applyFont="1" applyBorder="1" applyAlignment="1">
      <alignment horizontal="center" vertical="top"/>
    </xf>
    <xf numFmtId="0" fontId="323" fillId="0" borderId="534" xfId="0" applyFont="1" applyBorder="1" applyAlignment="1">
      <alignment vertical="top"/>
    </xf>
    <xf numFmtId="0" fontId="314" fillId="0" borderId="578" xfId="0" applyFont="1" applyBorder="1"/>
    <xf numFmtId="0" fontId="226" fillId="96" borderId="579" xfId="0" applyFont="1" applyFill="1" applyBorder="1" applyAlignment="1">
      <alignment horizontal="center" vertical="center" wrapText="1"/>
    </xf>
    <xf numFmtId="0" fontId="308" fillId="96" borderId="579" xfId="0" applyFont="1" applyFill="1" applyBorder="1" applyAlignment="1">
      <alignment horizontal="center" vertical="center" wrapText="1"/>
    </xf>
    <xf numFmtId="0" fontId="226" fillId="96" borderId="580" xfId="0" applyFont="1" applyFill="1" applyBorder="1" applyAlignment="1">
      <alignment horizontal="center" vertical="center" wrapText="1"/>
    </xf>
    <xf numFmtId="0" fontId="221" fillId="0" borderId="510" xfId="0" applyFont="1" applyBorder="1"/>
    <xf numFmtId="0" fontId="314" fillId="0" borderId="576" xfId="0" applyFont="1" applyBorder="1" applyAlignment="1">
      <alignment vertical="top"/>
    </xf>
    <xf numFmtId="0" fontId="322" fillId="0" borderId="574" xfId="0" applyFont="1" applyBorder="1" applyAlignment="1">
      <alignment vertical="center"/>
    </xf>
    <xf numFmtId="0" fontId="322" fillId="0" borderId="581" xfId="0" applyFont="1" applyBorder="1" applyAlignment="1">
      <alignment vertical="center"/>
    </xf>
    <xf numFmtId="0" fontId="322" fillId="0" borderId="582" xfId="0" applyFont="1" applyBorder="1" applyAlignment="1">
      <alignment vertical="center"/>
    </xf>
    <xf numFmtId="0" fontId="314" fillId="0" borderId="583" xfId="0" applyFont="1" applyBorder="1"/>
    <xf numFmtId="0" fontId="322" fillId="0" borderId="571" xfId="0" applyFont="1" applyBorder="1"/>
    <xf numFmtId="0" fontId="226" fillId="96" borderId="576" xfId="0" applyFont="1" applyFill="1" applyBorder="1" applyAlignment="1">
      <alignment horizontal="center" vertical="center" wrapText="1"/>
    </xf>
    <xf numFmtId="0" fontId="320" fillId="0" borderId="584" xfId="0" applyFont="1" applyBorder="1" applyAlignment="1">
      <alignment horizontal="center" vertical="center"/>
    </xf>
    <xf numFmtId="0" fontId="221" fillId="0" borderId="577" xfId="0" applyFont="1" applyBorder="1" applyAlignment="1">
      <alignment vertical="center"/>
    </xf>
    <xf numFmtId="0" fontId="226" fillId="96" borderId="583" xfId="0" applyFont="1" applyFill="1" applyBorder="1" applyAlignment="1">
      <alignment horizontal="center" vertical="center" wrapText="1"/>
    </xf>
    <xf numFmtId="0" fontId="326" fillId="51" borderId="578" xfId="0" applyFont="1" applyFill="1" applyBorder="1"/>
    <xf numFmtId="0" fontId="226" fillId="0" borderId="576" xfId="0" applyFont="1" applyBorder="1" applyAlignment="1">
      <alignment horizontal="right"/>
    </xf>
    <xf numFmtId="0" fontId="221" fillId="0" borderId="514" xfId="0" applyFont="1" applyBorder="1"/>
    <xf numFmtId="0" fontId="221" fillId="0" borderId="577" xfId="0" applyFont="1" applyBorder="1"/>
    <xf numFmtId="0" fontId="326" fillId="0" borderId="578" xfId="0" applyFont="1" applyBorder="1"/>
    <xf numFmtId="0" fontId="226" fillId="0" borderId="571" xfId="0" applyFont="1" applyBorder="1"/>
    <xf numFmtId="0" fontId="226" fillId="64" borderId="573" xfId="0" applyFont="1" applyFill="1" applyBorder="1" applyAlignment="1">
      <alignment horizontal="center"/>
    </xf>
    <xf numFmtId="0" fontId="226" fillId="64" borderId="574" xfId="0" applyFont="1" applyFill="1" applyBorder="1" applyAlignment="1">
      <alignment horizontal="center"/>
    </xf>
    <xf numFmtId="16" fontId="322" fillId="0" borderId="471" xfId="0" quotePrefix="1" applyNumberFormat="1" applyFont="1" applyBorder="1" applyAlignment="1">
      <alignment horizontal="center" vertical="center"/>
    </xf>
    <xf numFmtId="0" fontId="112" fillId="0" borderId="0" xfId="77" applyFont="1" applyAlignment="1" applyProtection="1">
      <alignment horizontal="left"/>
      <protection locked="0"/>
    </xf>
    <xf numFmtId="0" fontId="0" fillId="0" borderId="0" xfId="0" applyAlignment="1">
      <alignment vertical="center"/>
    </xf>
    <xf numFmtId="0" fontId="323" fillId="0" borderId="0" xfId="0" applyFont="1" applyAlignment="1">
      <alignment vertical="center"/>
    </xf>
    <xf numFmtId="0" fontId="64" fillId="0" borderId="0" xfId="0" applyFont="1" applyAlignment="1">
      <alignment vertical="center"/>
    </xf>
    <xf numFmtId="0" fontId="348" fillId="0" borderId="0" xfId="0" applyFont="1" applyAlignment="1">
      <alignment horizontal="left" vertical="center"/>
    </xf>
    <xf numFmtId="0" fontId="349" fillId="0" borderId="0" xfId="0" applyFont="1" applyAlignment="1">
      <alignment vertical="center"/>
    </xf>
    <xf numFmtId="0" fontId="17" fillId="0" borderId="500" xfId="0" applyFont="1" applyBorder="1" applyAlignment="1">
      <alignment horizontal="center" vertical="center"/>
    </xf>
    <xf numFmtId="177" fontId="280" fillId="59" borderId="137" xfId="0" applyNumberFormat="1" applyFont="1" applyFill="1" applyBorder="1"/>
    <xf numFmtId="166" fontId="17" fillId="0" borderId="0" xfId="28" applyFont="1" applyProtection="1">
      <protection locked="0"/>
    </xf>
    <xf numFmtId="9" fontId="137" fillId="60" borderId="137" xfId="0" applyNumberFormat="1" applyFont="1" applyFill="1" applyBorder="1" applyAlignment="1">
      <alignment horizontal="center"/>
    </xf>
    <xf numFmtId="9" fontId="112" fillId="60" borderId="0" xfId="79" applyFont="1" applyFill="1" applyBorder="1" applyAlignment="1" applyProtection="1">
      <alignment horizontal="center"/>
      <protection locked="0"/>
    </xf>
    <xf numFmtId="367" fontId="137" fillId="66" borderId="0" xfId="77" applyNumberFormat="1" applyFont="1" applyFill="1" applyAlignment="1" applyProtection="1">
      <alignment horizontal="center"/>
      <protection locked="0"/>
    </xf>
    <xf numFmtId="41" fontId="137" fillId="66" borderId="269" xfId="0" quotePrefix="1" applyNumberFormat="1" applyFont="1" applyFill="1" applyBorder="1" applyAlignment="1">
      <alignment horizontal="center"/>
    </xf>
    <xf numFmtId="0" fontId="49" fillId="34" borderId="72" xfId="0" applyFont="1" applyFill="1" applyBorder="1" applyAlignment="1">
      <alignment horizontal="center" vertical="center"/>
    </xf>
    <xf numFmtId="0" fontId="49" fillId="34" borderId="46" xfId="0" applyFont="1" applyFill="1" applyBorder="1" applyAlignment="1">
      <alignment horizontal="center" vertical="center"/>
    </xf>
    <xf numFmtId="0" fontId="137" fillId="0" borderId="0" xfId="110" applyFont="1" applyAlignment="1">
      <alignment horizontal="left" vertical="center" wrapText="1"/>
    </xf>
    <xf numFmtId="0" fontId="137" fillId="0" borderId="251" xfId="110" applyFont="1" applyBorder="1" applyAlignment="1">
      <alignment horizontal="left" vertical="center" wrapText="1"/>
    </xf>
    <xf numFmtId="0" fontId="178" fillId="0" borderId="0" xfId="110" applyFont="1" applyAlignment="1">
      <alignment horizontal="right" vertical="center"/>
    </xf>
    <xf numFmtId="0" fontId="178" fillId="0" borderId="251" xfId="110" applyFont="1" applyBorder="1" applyAlignment="1">
      <alignment horizontal="right" vertical="center"/>
    </xf>
    <xf numFmtId="0" fontId="177" fillId="0" borderId="250" xfId="110" applyFont="1" applyBorder="1" applyAlignment="1">
      <alignment horizontal="center" vertical="center"/>
    </xf>
    <xf numFmtId="0" fontId="177" fillId="0" borderId="0" xfId="110" applyFont="1" applyAlignment="1">
      <alignment horizontal="center" vertical="center"/>
    </xf>
    <xf numFmtId="0" fontId="177" fillId="0" borderId="251" xfId="110" applyFont="1" applyBorder="1" applyAlignment="1">
      <alignment horizontal="center" vertical="center"/>
    </xf>
    <xf numFmtId="0" fontId="130" fillId="0" borderId="252" xfId="110" applyFont="1" applyBorder="1" applyAlignment="1">
      <alignment horizontal="center" vertical="center" wrapText="1"/>
    </xf>
    <xf numFmtId="0" fontId="130" fillId="0" borderId="431" xfId="110" applyFont="1" applyBorder="1" applyAlignment="1">
      <alignment horizontal="center" vertical="center" wrapText="1"/>
    </xf>
    <xf numFmtId="0" fontId="130" fillId="0" borderId="253" xfId="110" applyFont="1" applyBorder="1" applyAlignment="1">
      <alignment horizontal="center" vertical="center"/>
    </xf>
    <xf numFmtId="0" fontId="130" fillId="0" borderId="432" xfId="110" applyFont="1" applyBorder="1" applyAlignment="1">
      <alignment horizontal="center" vertical="center"/>
    </xf>
    <xf numFmtId="0" fontId="130" fillId="0" borderId="253" xfId="110" applyFont="1" applyBorder="1" applyAlignment="1">
      <alignment horizontal="center" vertical="center" wrapText="1"/>
    </xf>
    <xf numFmtId="0" fontId="130" fillId="0" borderId="432" xfId="110" applyFont="1" applyBorder="1" applyAlignment="1">
      <alignment horizontal="center" vertical="center" wrapText="1"/>
    </xf>
    <xf numFmtId="168" fontId="130" fillId="0" borderId="254" xfId="83" applyNumberFormat="1" applyFont="1" applyFill="1" applyBorder="1" applyAlignment="1">
      <alignment horizontal="center" vertical="center" wrapText="1"/>
    </xf>
    <xf numFmtId="168" fontId="130" fillId="0" borderId="433" xfId="83" applyNumberFormat="1" applyFont="1" applyFill="1" applyBorder="1" applyAlignment="1">
      <alignment horizontal="center" vertical="center" wrapText="1"/>
    </xf>
    <xf numFmtId="0" fontId="142" fillId="61" borderId="0" xfId="77" applyFont="1" applyFill="1" applyAlignment="1" applyProtection="1">
      <alignment horizontal="center" vertical="center"/>
      <protection locked="0"/>
    </xf>
    <xf numFmtId="0" fontId="152" fillId="0" borderId="0" xfId="77" applyFont="1" applyAlignment="1" applyProtection="1">
      <alignment horizontal="center"/>
      <protection locked="0"/>
    </xf>
    <xf numFmtId="0" fontId="160" fillId="0" borderId="0" xfId="77" applyFont="1" applyAlignment="1" applyProtection="1">
      <alignment horizontal="center" vertical="center" wrapText="1"/>
      <protection locked="0"/>
    </xf>
    <xf numFmtId="0" fontId="155" fillId="0" borderId="0" xfId="85" applyFont="1" applyProtection="1">
      <protection locked="0"/>
    </xf>
    <xf numFmtId="3" fontId="148" fillId="52" borderId="0" xfId="85" applyNumberFormat="1" applyFont="1" applyFill="1" applyAlignment="1">
      <alignment horizontal="center" vertical="top"/>
    </xf>
    <xf numFmtId="0" fontId="149" fillId="52" borderId="0" xfId="85" applyFont="1" applyFill="1" applyAlignment="1">
      <alignment horizontal="left" vertical="top" wrapText="1"/>
    </xf>
    <xf numFmtId="3" fontId="17" fillId="71" borderId="118" xfId="0" applyNumberFormat="1" applyFont="1" applyFill="1" applyBorder="1" applyAlignment="1">
      <alignment horizontal="center"/>
    </xf>
    <xf numFmtId="3" fontId="17" fillId="71" borderId="117" xfId="0" applyNumberFormat="1" applyFont="1" applyFill="1" applyBorder="1" applyAlignment="1">
      <alignment horizontal="center"/>
    </xf>
    <xf numFmtId="0" fontId="229" fillId="0" borderId="0" xfId="0" applyFont="1" applyAlignment="1">
      <alignment horizontal="center"/>
    </xf>
    <xf numFmtId="0" fontId="49" fillId="71" borderId="36" xfId="49" applyFont="1" applyFill="1" applyBorder="1" applyAlignment="1">
      <alignment horizontal="center" vertical="center" wrapText="1"/>
    </xf>
    <xf numFmtId="0" fontId="49" fillId="71" borderId="538" xfId="49" applyFont="1" applyFill="1" applyBorder="1" applyAlignment="1">
      <alignment horizontal="center" vertical="center" wrapText="1"/>
    </xf>
    <xf numFmtId="0" fontId="49" fillId="71" borderId="37" xfId="49" applyFont="1" applyFill="1" applyBorder="1" applyAlignment="1">
      <alignment horizontal="center" vertical="center" wrapText="1"/>
    </xf>
    <xf numFmtId="0" fontId="49" fillId="71" borderId="504" xfId="49" applyFont="1" applyFill="1" applyBorder="1" applyAlignment="1">
      <alignment horizontal="center" vertical="center" wrapText="1"/>
    </xf>
    <xf numFmtId="9" fontId="49" fillId="71" borderId="37" xfId="80" applyFont="1" applyFill="1" applyBorder="1" applyAlignment="1">
      <alignment horizontal="center" vertical="center" wrapText="1"/>
    </xf>
    <xf numFmtId="9" fontId="49" fillId="71" borderId="504" xfId="80" applyFont="1" applyFill="1" applyBorder="1" applyAlignment="1">
      <alignment horizontal="center" vertical="center" wrapText="1"/>
    </xf>
    <xf numFmtId="0" fontId="49" fillId="71" borderId="528" xfId="49" applyFont="1" applyFill="1" applyBorder="1" applyAlignment="1">
      <alignment horizontal="center" vertical="center" wrapText="1"/>
    </xf>
    <xf numFmtId="0" fontId="49" fillId="71" borderId="516" xfId="49" applyFont="1" applyFill="1" applyBorder="1" applyAlignment="1">
      <alignment horizontal="center" vertical="center" wrapText="1"/>
    </xf>
    <xf numFmtId="0" fontId="49" fillId="71" borderId="38" xfId="49" applyFont="1" applyFill="1" applyBorder="1" applyAlignment="1">
      <alignment horizontal="center" vertical="center" wrapText="1"/>
    </xf>
    <xf numFmtId="0" fontId="49" fillId="71" borderId="549" xfId="49" applyFont="1" applyFill="1" applyBorder="1" applyAlignment="1">
      <alignment horizontal="center" vertical="center" wrapText="1"/>
    </xf>
    <xf numFmtId="0" fontId="159" fillId="61" borderId="149" xfId="86" applyFont="1" applyFill="1" applyBorder="1" applyAlignment="1">
      <alignment horizontal="center" vertical="center" wrapText="1"/>
    </xf>
    <xf numFmtId="0" fontId="159" fillId="61" borderId="236" xfId="86" applyFont="1" applyFill="1" applyBorder="1" applyAlignment="1">
      <alignment horizontal="center" vertical="center"/>
    </xf>
    <xf numFmtId="0" fontId="159" fillId="61" borderId="237" xfId="86" applyFont="1" applyFill="1" applyBorder="1" applyAlignment="1">
      <alignment horizontal="center" vertical="center"/>
    </xf>
    <xf numFmtId="0" fontId="159" fillId="61" borderId="238" xfId="86" applyFont="1" applyFill="1" applyBorder="1" applyAlignment="1">
      <alignment horizontal="center" vertical="center"/>
    </xf>
    <xf numFmtId="0" fontId="159" fillId="47" borderId="149" xfId="86" applyFont="1" applyFill="1" applyBorder="1" applyAlignment="1">
      <alignment horizontal="center" vertical="center"/>
    </xf>
    <xf numFmtId="0" fontId="159" fillId="56" borderId="149" xfId="86" applyFont="1" applyFill="1" applyBorder="1" applyAlignment="1">
      <alignment horizontal="center" vertical="center"/>
    </xf>
    <xf numFmtId="0" fontId="157" fillId="50" borderId="0" xfId="86" applyFont="1" applyFill="1" applyAlignment="1">
      <alignment horizontal="center"/>
    </xf>
    <xf numFmtId="0" fontId="49" fillId="0" borderId="149" xfId="49" applyFont="1" applyBorder="1" applyAlignment="1">
      <alignment horizontal="center" vertical="center" wrapText="1"/>
    </xf>
    <xf numFmtId="226" fontId="17" fillId="0" borderId="225" xfId="51" applyNumberFormat="1" applyFont="1" applyBorder="1" applyAlignment="1">
      <alignment horizontal="center"/>
    </xf>
    <xf numFmtId="226" fontId="17" fillId="0" borderId="226" xfId="51" applyNumberFormat="1" applyFont="1" applyBorder="1" applyAlignment="1">
      <alignment horizontal="center"/>
    </xf>
    <xf numFmtId="226" fontId="17" fillId="0" borderId="227" xfId="51" applyNumberFormat="1" applyFont="1" applyBorder="1" applyAlignment="1">
      <alignment horizontal="center"/>
    </xf>
    <xf numFmtId="0" fontId="49" fillId="0" borderId="145" xfId="49" applyFont="1" applyBorder="1" applyAlignment="1">
      <alignment horizontal="center" vertical="center" wrapText="1"/>
    </xf>
    <xf numFmtId="0" fontId="49" fillId="0" borderId="151" xfId="49" applyFont="1" applyBorder="1" applyAlignment="1">
      <alignment horizontal="center" vertical="center" wrapText="1"/>
    </xf>
    <xf numFmtId="3" fontId="49" fillId="0" borderId="225" xfId="51" applyNumberFormat="1" applyFont="1" applyBorder="1" applyAlignment="1">
      <alignment horizontal="center" vertical="center" wrapText="1"/>
    </xf>
    <xf numFmtId="3" fontId="49" fillId="0" borderId="226" xfId="51" applyNumberFormat="1" applyFont="1" applyBorder="1" applyAlignment="1">
      <alignment horizontal="center" vertical="center" wrapText="1"/>
    </xf>
    <xf numFmtId="3" fontId="49" fillId="0" borderId="227" xfId="51" applyNumberFormat="1" applyFont="1" applyBorder="1" applyAlignment="1">
      <alignment horizontal="center" vertical="center" wrapText="1"/>
    </xf>
    <xf numFmtId="0" fontId="49" fillId="0" borderId="0" xfId="0" applyFont="1" applyAlignment="1">
      <alignment horizontal="center" vertical="center" textRotation="90"/>
    </xf>
    <xf numFmtId="0" fontId="49" fillId="27" borderId="400" xfId="0" applyFont="1" applyFill="1" applyBorder="1" applyAlignment="1">
      <alignment horizontal="center"/>
    </xf>
    <xf numFmtId="0" fontId="49" fillId="27" borderId="317" xfId="0" applyFont="1" applyFill="1" applyBorder="1" applyAlignment="1">
      <alignment horizontal="center"/>
    </xf>
    <xf numFmtId="0" fontId="128" fillId="27" borderId="24" xfId="0" applyFont="1" applyFill="1" applyBorder="1" applyAlignment="1">
      <alignment horizontal="center"/>
    </xf>
    <xf numFmtId="0" fontId="128" fillId="27" borderId="45" xfId="0" applyFont="1" applyFill="1" applyBorder="1" applyAlignment="1">
      <alignment horizontal="center"/>
    </xf>
    <xf numFmtId="0" fontId="49" fillId="27" borderId="19" xfId="0" applyFont="1" applyFill="1" applyBorder="1" applyAlignment="1">
      <alignment horizontal="center"/>
    </xf>
    <xf numFmtId="0" fontId="49" fillId="27" borderId="63" xfId="0" applyFont="1" applyFill="1" applyBorder="1" applyAlignment="1">
      <alignment horizontal="center"/>
    </xf>
    <xf numFmtId="0" fontId="128" fillId="27" borderId="199" xfId="0" applyFont="1" applyFill="1" applyBorder="1" applyAlignment="1">
      <alignment horizontal="center"/>
    </xf>
    <xf numFmtId="0" fontId="128" fillId="27" borderId="397" xfId="0" applyFont="1" applyFill="1" applyBorder="1" applyAlignment="1">
      <alignment horizontal="center"/>
    </xf>
    <xf numFmtId="0" fontId="49" fillId="0" borderId="0" xfId="0" applyFont="1" applyAlignment="1">
      <alignment horizontal="center" vertical="center" wrapText="1"/>
    </xf>
    <xf numFmtId="0" fontId="17" fillId="0" borderId="576" xfId="0" applyFont="1" applyBorder="1" applyAlignment="1">
      <alignment horizontal="center" vertical="center"/>
    </xf>
    <xf numFmtId="0" fontId="17" fillId="0" borderId="527" xfId="0" applyFont="1" applyBorder="1" applyAlignment="1">
      <alignment horizontal="center" vertical="center"/>
    </xf>
    <xf numFmtId="0" fontId="17" fillId="0" borderId="570" xfId="0" applyFont="1" applyBorder="1" applyAlignment="1">
      <alignment horizontal="center" vertical="center"/>
    </xf>
    <xf numFmtId="0" fontId="17" fillId="0" borderId="316" xfId="0" applyFont="1" applyBorder="1" applyAlignment="1">
      <alignment horizontal="center" vertical="center"/>
    </xf>
    <xf numFmtId="0" fontId="17" fillId="0" borderId="588" xfId="0" applyFont="1" applyBorder="1" applyAlignment="1">
      <alignment horizontal="center" vertical="center"/>
    </xf>
    <xf numFmtId="0" fontId="17" fillId="0" borderId="164" xfId="0" applyFont="1" applyBorder="1" applyAlignment="1">
      <alignment horizontal="center" vertical="center"/>
    </xf>
    <xf numFmtId="0" fontId="17" fillId="0" borderId="453" xfId="0" applyFont="1" applyBorder="1" applyAlignment="1">
      <alignment horizontal="center" vertical="center"/>
    </xf>
    <xf numFmtId="0" fontId="17" fillId="0" borderId="537" xfId="0" applyFont="1" applyBorder="1" applyAlignment="1">
      <alignment horizontal="center" vertical="center"/>
    </xf>
    <xf numFmtId="0" fontId="17" fillId="0" borderId="589" xfId="0" applyFont="1" applyBorder="1" applyAlignment="1">
      <alignment horizontal="center" vertical="center"/>
    </xf>
    <xf numFmtId="0" fontId="172" fillId="0" borderId="419" xfId="0" quotePrefix="1" applyFont="1" applyBorder="1" applyAlignment="1">
      <alignment horizontal="center"/>
    </xf>
    <xf numFmtId="0" fontId="172" fillId="0" borderId="419" xfId="0" applyFont="1" applyBorder="1" applyAlignment="1">
      <alignment horizontal="center"/>
    </xf>
    <xf numFmtId="0" fontId="172" fillId="0" borderId="419" xfId="0" applyFont="1" applyBorder="1" applyAlignment="1">
      <alignment horizontal="right"/>
    </xf>
    <xf numFmtId="0" fontId="343" fillId="0" borderId="316" xfId="0" applyFont="1" applyBorder="1" applyAlignment="1">
      <alignment horizontal="left" vertical="center"/>
    </xf>
    <xf numFmtId="0" fontId="343" fillId="0" borderId="571" xfId="0" applyFont="1" applyBorder="1" applyAlignment="1">
      <alignment horizontal="left" vertical="center"/>
    </xf>
    <xf numFmtId="0" fontId="17" fillId="0" borderId="577" xfId="0" applyFont="1" applyBorder="1" applyAlignment="1">
      <alignment horizontal="center" vertical="center"/>
    </xf>
    <xf numFmtId="0" fontId="17" fillId="0" borderId="533" xfId="0" applyFont="1" applyBorder="1" applyAlignment="1">
      <alignment horizontal="center" vertical="center"/>
    </xf>
    <xf numFmtId="0" fontId="17" fillId="0" borderId="535" xfId="0" applyFont="1" applyBorder="1" applyAlignment="1">
      <alignment horizontal="center" vertical="center"/>
    </xf>
    <xf numFmtId="0" fontId="17" fillId="0" borderId="578" xfId="0" applyFont="1" applyBorder="1" applyAlignment="1">
      <alignment horizontal="center" vertical="center"/>
    </xf>
    <xf numFmtId="0" fontId="17" fillId="0" borderId="535" xfId="0" applyFont="1" applyBorder="1"/>
    <xf numFmtId="0" fontId="17" fillId="0" borderId="533" xfId="0" applyFont="1" applyBorder="1"/>
    <xf numFmtId="0" fontId="17" fillId="0" borderId="534" xfId="0" applyFont="1" applyBorder="1"/>
    <xf numFmtId="0" fontId="49" fillId="0" borderId="578" xfId="0" applyFont="1" applyBorder="1" applyAlignment="1">
      <alignment horizontal="center" vertical="center"/>
    </xf>
    <xf numFmtId="0" fontId="49" fillId="0" borderId="535" xfId="0" applyFont="1" applyBorder="1" applyAlignment="1">
      <alignment horizontal="center" vertical="center"/>
    </xf>
    <xf numFmtId="0" fontId="49" fillId="0" borderId="577" xfId="0" applyFont="1" applyBorder="1" applyAlignment="1">
      <alignment horizontal="center" vertical="center"/>
    </xf>
    <xf numFmtId="0" fontId="49" fillId="0" borderId="533" xfId="0" applyFont="1" applyBorder="1" applyAlignment="1">
      <alignment horizontal="center" vertical="center"/>
    </xf>
    <xf numFmtId="0" fontId="49" fillId="0" borderId="534" xfId="0" applyFont="1" applyBorder="1" applyAlignment="1">
      <alignment horizontal="center" vertical="center"/>
    </xf>
    <xf numFmtId="0" fontId="49" fillId="0" borderId="530" xfId="0" applyFont="1" applyBorder="1" applyAlignment="1">
      <alignment horizontal="center" vertical="center" wrapText="1"/>
    </xf>
    <xf numFmtId="0" fontId="49" fillId="0" borderId="514" xfId="0" applyFont="1" applyBorder="1" applyAlignment="1">
      <alignment horizontal="center" vertical="center"/>
    </xf>
    <xf numFmtId="0" fontId="49" fillId="0" borderId="517" xfId="0" applyFont="1" applyBorder="1" applyAlignment="1">
      <alignment horizontal="center" vertical="center" wrapText="1"/>
    </xf>
    <xf numFmtId="49" fontId="49" fillId="0" borderId="517" xfId="0" applyNumberFormat="1" applyFont="1" applyBorder="1" applyAlignment="1">
      <alignment horizontal="center" vertical="center" wrapText="1"/>
    </xf>
    <xf numFmtId="49" fontId="49" fillId="0" borderId="514" xfId="0" applyNumberFormat="1" applyFont="1" applyBorder="1" applyAlignment="1">
      <alignment horizontal="center" vertical="center"/>
    </xf>
    <xf numFmtId="0" fontId="49" fillId="0" borderId="531" xfId="0" applyFont="1" applyBorder="1" applyAlignment="1">
      <alignment horizontal="center" vertical="center"/>
    </xf>
    <xf numFmtId="0" fontId="49" fillId="0" borderId="500" xfId="0" applyFont="1" applyBorder="1" applyAlignment="1">
      <alignment horizontal="center" vertical="center" wrapText="1"/>
    </xf>
    <xf numFmtId="0" fontId="342" fillId="0" borderId="144" xfId="0" applyFont="1" applyBorder="1" applyAlignment="1">
      <alignment horizontal="center" vertical="center" wrapText="1"/>
    </xf>
    <xf numFmtId="0" fontId="342" fillId="0" borderId="0" xfId="0" applyFont="1" applyAlignment="1">
      <alignment horizontal="center" vertical="center"/>
    </xf>
    <xf numFmtId="0" fontId="342" fillId="0" borderId="318" xfId="0" applyFont="1" applyBorder="1" applyAlignment="1">
      <alignment horizontal="center" vertical="center"/>
    </xf>
    <xf numFmtId="0" fontId="49" fillId="0" borderId="517" xfId="0" applyFont="1" applyBorder="1" applyAlignment="1">
      <alignment horizontal="center" vertical="center"/>
    </xf>
    <xf numFmtId="0" fontId="49" fillId="0" borderId="510" xfId="0" applyFont="1" applyBorder="1" applyAlignment="1">
      <alignment horizontal="center" vertical="center"/>
    </xf>
    <xf numFmtId="0" fontId="17" fillId="0" borderId="529" xfId="0" applyFont="1" applyBorder="1" applyAlignment="1">
      <alignment horizontal="center" vertical="center"/>
    </xf>
    <xf numFmtId="0" fontId="17" fillId="0" borderId="571" xfId="0" applyFont="1" applyBorder="1" applyAlignment="1">
      <alignment horizontal="center" vertical="center"/>
    </xf>
    <xf numFmtId="0" fontId="17" fillId="0" borderId="165" xfId="0" applyFont="1" applyBorder="1" applyAlignment="1">
      <alignment horizontal="left" vertical="center" wrapText="1"/>
    </xf>
    <xf numFmtId="0" fontId="17" fillId="0" borderId="51" xfId="0" applyFont="1" applyBorder="1" applyAlignment="1">
      <alignment horizontal="left" wrapText="1"/>
    </xf>
    <xf numFmtId="0" fontId="17" fillId="0" borderId="56" xfId="0" applyFont="1" applyBorder="1" applyAlignment="1">
      <alignment horizontal="left" wrapText="1"/>
    </xf>
    <xf numFmtId="0" fontId="335" fillId="0" borderId="40" xfId="0" applyFont="1" applyBorder="1" applyAlignment="1">
      <alignment horizontal="center" vertical="center" wrapText="1"/>
    </xf>
    <xf numFmtId="0" fontId="335" fillId="0" borderId="51" xfId="0" applyFont="1" applyBorder="1" applyAlignment="1">
      <alignment horizontal="center" vertical="center" wrapText="1"/>
    </xf>
    <xf numFmtId="0" fontId="335" fillId="0" borderId="50" xfId="0" applyFont="1" applyBorder="1" applyAlignment="1">
      <alignment horizontal="center" vertical="center" wrapText="1"/>
    </xf>
    <xf numFmtId="0" fontId="17" fillId="0" borderId="51" xfId="0" applyFont="1" applyBorder="1" applyAlignment="1">
      <alignment horizontal="center" vertical="center"/>
    </xf>
    <xf numFmtId="0" fontId="17" fillId="0" borderId="418" xfId="0" applyFont="1" applyBorder="1" applyAlignment="1">
      <alignment horizontal="center" vertical="center"/>
    </xf>
    <xf numFmtId="0" fontId="17" fillId="0" borderId="419" xfId="0" applyFont="1" applyBorder="1" applyAlignment="1">
      <alignment horizontal="center" vertical="center"/>
    </xf>
    <xf numFmtId="0" fontId="17" fillId="0" borderId="586" xfId="0" applyFont="1" applyBorder="1" applyAlignment="1">
      <alignment horizontal="center" vertical="center"/>
    </xf>
    <xf numFmtId="0" fontId="17" fillId="0" borderId="587" xfId="0" applyFont="1" applyBorder="1" applyAlignment="1">
      <alignment horizontal="center" vertical="center"/>
    </xf>
    <xf numFmtId="0" fontId="17" fillId="0" borderId="420" xfId="0" applyFont="1" applyBorder="1" applyAlignment="1">
      <alignment horizontal="center" vertical="center"/>
    </xf>
    <xf numFmtId="0" fontId="49" fillId="0" borderId="453" xfId="0" applyFont="1" applyBorder="1" applyAlignment="1">
      <alignment horizontal="right" vertical="top"/>
    </xf>
    <xf numFmtId="0" fontId="17" fillId="0" borderId="527" xfId="0" applyFont="1" applyBorder="1" applyAlignment="1">
      <alignment horizontal="center"/>
    </xf>
    <xf numFmtId="366" fontId="334" fillId="57" borderId="494" xfId="0" applyNumberFormat="1" applyFont="1" applyFill="1" applyBorder="1" applyAlignment="1">
      <alignment horizontal="center"/>
    </xf>
    <xf numFmtId="366" fontId="334" fillId="57" borderId="484" xfId="0" applyNumberFormat="1" applyFont="1" applyFill="1" applyBorder="1" applyAlignment="1">
      <alignment horizontal="center"/>
    </xf>
    <xf numFmtId="0" fontId="319" fillId="64" borderId="584" xfId="0" applyFont="1" applyFill="1" applyBorder="1" applyAlignment="1">
      <alignment horizontal="center"/>
    </xf>
    <xf numFmtId="0" fontId="319" fillId="64" borderId="575" xfId="0" applyFont="1" applyFill="1" applyBorder="1" applyAlignment="1">
      <alignment horizontal="center"/>
    </xf>
    <xf numFmtId="0" fontId="226" fillId="64" borderId="574" xfId="0" applyFont="1" applyFill="1" applyBorder="1" applyAlignment="1">
      <alignment horizontal="center"/>
    </xf>
    <xf numFmtId="0" fontId="226" fillId="64" borderId="575" xfId="0" applyFont="1" applyFill="1" applyBorder="1" applyAlignment="1">
      <alignment horizontal="center"/>
    </xf>
    <xf numFmtId="0" fontId="226" fillId="64" borderId="581" xfId="0" applyFont="1" applyFill="1" applyBorder="1" applyAlignment="1">
      <alignment horizontal="center"/>
    </xf>
    <xf numFmtId="0" fontId="226" fillId="64" borderId="582" xfId="0" applyFont="1" applyFill="1" applyBorder="1" applyAlignment="1">
      <alignment horizontal="center"/>
    </xf>
    <xf numFmtId="0" fontId="173" fillId="0" borderId="471" xfId="0" applyFont="1" applyBorder="1" applyAlignment="1">
      <alignment horizontal="center" vertical="center"/>
    </xf>
    <xf numFmtId="0" fontId="173" fillId="0" borderId="470" xfId="0" applyFont="1" applyBorder="1" applyAlignment="1">
      <alignment horizontal="center" vertical="center"/>
    </xf>
    <xf numFmtId="0" fontId="320" fillId="0" borderId="578" xfId="0" applyFont="1" applyBorder="1" applyAlignment="1">
      <alignment horizontal="left" vertical="top" wrapText="1"/>
    </xf>
    <xf numFmtId="0" fontId="320" fillId="0" borderId="533" xfId="0" applyFont="1" applyBorder="1" applyAlignment="1">
      <alignment horizontal="left" vertical="top"/>
    </xf>
    <xf numFmtId="0" fontId="320" fillId="0" borderId="534" xfId="0" applyFont="1" applyBorder="1" applyAlignment="1">
      <alignment horizontal="left" vertical="top"/>
    </xf>
    <xf numFmtId="0" fontId="226" fillId="96" borderId="585" xfId="0" applyFont="1" applyFill="1" applyBorder="1" applyAlignment="1">
      <alignment horizontal="center" vertical="center" wrapText="1"/>
    </xf>
    <xf numFmtId="0" fontId="226" fillId="96" borderId="533" xfId="0" applyFont="1" applyFill="1" applyBorder="1" applyAlignment="1">
      <alignment horizontal="center" vertical="center" wrapText="1"/>
    </xf>
    <xf numFmtId="0" fontId="226" fillId="96" borderId="536" xfId="0" applyFont="1" applyFill="1" applyBorder="1" applyAlignment="1">
      <alignment horizontal="center" vertical="center" wrapText="1"/>
    </xf>
    <xf numFmtId="0" fontId="226" fillId="96" borderId="534" xfId="0" applyFont="1" applyFill="1" applyBorder="1" applyAlignment="1">
      <alignment horizontal="center" vertical="center" wrapText="1"/>
    </xf>
    <xf numFmtId="0" fontId="226" fillId="96" borderId="577" xfId="0" applyFont="1" applyFill="1" applyBorder="1" applyAlignment="1">
      <alignment horizontal="center"/>
    </xf>
    <xf numFmtId="0" fontId="226" fillId="96" borderId="533" xfId="0" applyFont="1" applyFill="1" applyBorder="1" applyAlignment="1">
      <alignment horizontal="center"/>
    </xf>
    <xf numFmtId="0" fontId="226" fillId="96" borderId="535" xfId="0" applyFont="1" applyFill="1" applyBorder="1" applyAlignment="1">
      <alignment horizontal="center"/>
    </xf>
    <xf numFmtId="0" fontId="226" fillId="96" borderId="534" xfId="0" applyFont="1" applyFill="1" applyBorder="1" applyAlignment="1">
      <alignment horizontal="center"/>
    </xf>
    <xf numFmtId="0" fontId="321" fillId="0" borderId="483" xfId="0" applyFont="1" applyBorder="1" applyAlignment="1">
      <alignment horizontal="left"/>
    </xf>
    <xf numFmtId="0" fontId="321" fillId="0" borderId="484" xfId="0" applyFont="1" applyBorder="1" applyAlignment="1">
      <alignment horizontal="left"/>
    </xf>
    <xf numFmtId="0" fontId="320" fillId="0" borderId="485" xfId="0" applyFont="1" applyBorder="1" applyAlignment="1">
      <alignment horizontal="left"/>
    </xf>
    <xf numFmtId="0" fontId="320" fillId="0" borderId="486" xfId="0" applyFont="1" applyBorder="1" applyAlignment="1">
      <alignment horizontal="left"/>
    </xf>
    <xf numFmtId="0" fontId="327" fillId="0" borderId="482" xfId="0" applyFont="1" applyBorder="1" applyAlignment="1">
      <alignment horizontal="center" vertical="center" wrapText="1"/>
    </xf>
    <xf numFmtId="0" fontId="327" fillId="0" borderId="0" xfId="0" applyFont="1" applyAlignment="1">
      <alignment horizontal="center" vertical="center"/>
    </xf>
    <xf numFmtId="0" fontId="327" fillId="0" borderId="422" xfId="0" applyFont="1" applyBorder="1" applyAlignment="1">
      <alignment horizontal="center" vertical="center"/>
    </xf>
    <xf numFmtId="0" fontId="327" fillId="0" borderId="490" xfId="0" applyFont="1" applyBorder="1" applyAlignment="1">
      <alignment horizontal="center" vertical="center"/>
    </xf>
    <xf numFmtId="0" fontId="327" fillId="0" borderId="491" xfId="0" applyFont="1" applyBorder="1" applyAlignment="1">
      <alignment horizontal="center" vertical="center"/>
    </xf>
    <xf numFmtId="0" fontId="327" fillId="0" borderId="492" xfId="0" applyFont="1" applyBorder="1" applyAlignment="1">
      <alignment horizontal="center" vertical="center"/>
    </xf>
    <xf numFmtId="0" fontId="346" fillId="56" borderId="0" xfId="0" quotePrefix="1" applyFont="1" applyFill="1" applyAlignment="1">
      <alignment horizontal="left" vertical="center" wrapText="1"/>
    </xf>
    <xf numFmtId="0" fontId="199" fillId="51" borderId="527" xfId="0" applyFont="1" applyFill="1" applyBorder="1" applyAlignment="1">
      <alignment horizontal="left" vertical="center"/>
    </xf>
    <xf numFmtId="0" fontId="199" fillId="51" borderId="577" xfId="0" applyFont="1" applyFill="1" applyBorder="1" applyAlignment="1">
      <alignment horizontal="left" vertical="center"/>
    </xf>
    <xf numFmtId="0" fontId="173" fillId="0" borderId="577" xfId="0" applyFont="1" applyBorder="1" applyAlignment="1">
      <alignment horizontal="left" vertical="top" wrapText="1"/>
    </xf>
    <xf numFmtId="0" fontId="173" fillId="0" borderId="533" xfId="0" applyFont="1" applyBorder="1" applyAlignment="1">
      <alignment horizontal="left" vertical="top" wrapText="1"/>
    </xf>
    <xf numFmtId="0" fontId="173" fillId="0" borderId="535" xfId="0" applyFont="1" applyBorder="1" applyAlignment="1">
      <alignment horizontal="left" vertical="top" wrapText="1"/>
    </xf>
    <xf numFmtId="0" fontId="333" fillId="0" borderId="0" xfId="0" applyFont="1" applyAlignment="1">
      <alignment horizontal="left" wrapText="1"/>
    </xf>
    <xf numFmtId="0" fontId="321" fillId="0" borderId="469" xfId="0" applyFont="1" applyBorder="1" applyAlignment="1">
      <alignment horizontal="left"/>
    </xf>
    <xf numFmtId="0" fontId="321" fillId="0" borderId="470" xfId="0" applyFont="1" applyBorder="1" applyAlignment="1">
      <alignment horizontal="left"/>
    </xf>
    <xf numFmtId="0" fontId="321" fillId="0" borderId="480" xfId="0" applyFont="1" applyBorder="1" applyAlignment="1">
      <alignment horizontal="left"/>
    </xf>
    <xf numFmtId="0" fontId="321" fillId="0" borderId="481" xfId="0" applyFont="1" applyBorder="1" applyAlignment="1">
      <alignment horizontal="left"/>
    </xf>
    <xf numFmtId="0" fontId="321" fillId="0" borderId="469" xfId="0" applyFont="1" applyBorder="1" applyAlignment="1">
      <alignment horizontal="left" vertical="center"/>
    </xf>
    <xf numFmtId="0" fontId="321" fillId="0" borderId="470" xfId="0" applyFont="1" applyBorder="1" applyAlignment="1">
      <alignment horizontal="left" vertical="center"/>
    </xf>
    <xf numFmtId="0" fontId="320" fillId="51" borderId="474" xfId="0" applyFont="1" applyFill="1" applyBorder="1" applyAlignment="1">
      <alignment horizontal="center" vertical="center"/>
    </xf>
    <xf numFmtId="0" fontId="320" fillId="51" borderId="475" xfId="0" applyFont="1" applyFill="1" applyBorder="1" applyAlignment="1">
      <alignment horizontal="center" vertical="center"/>
    </xf>
    <xf numFmtId="0" fontId="320" fillId="51" borderId="476" xfId="0" applyFont="1" applyFill="1" applyBorder="1" applyAlignment="1">
      <alignment horizontal="center" vertical="center"/>
    </xf>
    <xf numFmtId="0" fontId="320" fillId="51" borderId="477" xfId="0" applyFont="1" applyFill="1" applyBorder="1" applyAlignment="1">
      <alignment horizontal="center" vertical="center"/>
    </xf>
    <xf numFmtId="0" fontId="320" fillId="51" borderId="478" xfId="0" applyFont="1" applyFill="1" applyBorder="1" applyAlignment="1">
      <alignment horizontal="center" vertical="center"/>
    </xf>
    <xf numFmtId="0" fontId="320" fillId="51" borderId="479" xfId="0" applyFont="1" applyFill="1" applyBorder="1" applyAlignment="1">
      <alignment horizontal="center" vertical="center"/>
    </xf>
    <xf numFmtId="0" fontId="226" fillId="96" borderId="454" xfId="0" applyFont="1" applyFill="1" applyBorder="1" applyAlignment="1">
      <alignment horizontal="center" vertical="center"/>
    </xf>
    <xf numFmtId="0" fontId="226" fillId="96" borderId="449" xfId="0" applyFont="1" applyFill="1" applyBorder="1" applyAlignment="1">
      <alignment horizontal="center" vertical="center"/>
    </xf>
    <xf numFmtId="0" fontId="226" fillId="96" borderId="455" xfId="0" applyFont="1" applyFill="1" applyBorder="1" applyAlignment="1">
      <alignment horizontal="center" vertical="center"/>
    </xf>
    <xf numFmtId="0" fontId="226" fillId="96" borderId="456" xfId="0" applyFont="1" applyFill="1" applyBorder="1" applyAlignment="1">
      <alignment horizontal="center" vertical="center"/>
    </xf>
    <xf numFmtId="0" fontId="226" fillId="96" borderId="457" xfId="0" applyFont="1" applyFill="1" applyBorder="1" applyAlignment="1">
      <alignment horizontal="center" vertical="center"/>
    </xf>
    <xf numFmtId="0" fontId="226" fillId="96" borderId="455" xfId="0" applyFont="1" applyFill="1" applyBorder="1" applyAlignment="1">
      <alignment horizontal="center" vertical="center" wrapText="1"/>
    </xf>
    <xf numFmtId="0" fontId="226" fillId="96" borderId="457" xfId="0" applyFont="1" applyFill="1" applyBorder="1" applyAlignment="1">
      <alignment horizontal="center" vertical="center" wrapText="1"/>
    </xf>
    <xf numFmtId="0" fontId="226" fillId="96" borderId="458" xfId="0" applyFont="1" applyFill="1" applyBorder="1" applyAlignment="1">
      <alignment horizontal="center" vertical="center"/>
    </xf>
    <xf numFmtId="0" fontId="226" fillId="96" borderId="459" xfId="0" applyFont="1" applyFill="1" applyBorder="1" applyAlignment="1">
      <alignment horizontal="center" vertical="center"/>
    </xf>
    <xf numFmtId="0" fontId="226" fillId="96" borderId="460" xfId="0" applyFont="1" applyFill="1" applyBorder="1" applyAlignment="1">
      <alignment horizontal="center" vertical="center"/>
    </xf>
    <xf numFmtId="0" fontId="226" fillId="96" borderId="461" xfId="0" applyFont="1" applyFill="1" applyBorder="1" applyAlignment="1">
      <alignment horizontal="center" vertical="center"/>
    </xf>
    <xf numFmtId="0" fontId="226" fillId="96" borderId="570" xfId="0" applyFont="1" applyFill="1" applyBorder="1" applyAlignment="1">
      <alignment horizontal="center" vertical="center" wrapText="1"/>
    </xf>
    <xf numFmtId="0" fontId="226" fillId="96" borderId="316" xfId="0" applyFont="1" applyFill="1" applyBorder="1" applyAlignment="1">
      <alignment horizontal="center" vertical="center" wrapText="1"/>
    </xf>
    <xf numFmtId="0" fontId="226" fillId="96" borderId="571" xfId="0" applyFont="1" applyFill="1" applyBorder="1" applyAlignment="1">
      <alignment horizontal="center" vertical="center" wrapText="1"/>
    </xf>
    <xf numFmtId="0" fontId="226" fillId="96" borderId="517" xfId="0" applyFont="1" applyFill="1" applyBorder="1" applyAlignment="1">
      <alignment horizontal="center" vertical="center" wrapText="1"/>
    </xf>
    <xf numFmtId="0" fontId="226" fillId="96" borderId="510" xfId="0" applyFont="1" applyFill="1" applyBorder="1" applyAlignment="1">
      <alignment horizontal="center" vertical="center" wrapText="1"/>
    </xf>
    <xf numFmtId="0" fontId="226" fillId="96" borderId="531" xfId="0" applyFont="1" applyFill="1" applyBorder="1" applyAlignment="1">
      <alignment horizontal="center" vertical="center" wrapText="1"/>
    </xf>
    <xf numFmtId="0" fontId="226" fillId="96" borderId="572" xfId="0" applyFont="1" applyFill="1" applyBorder="1" applyAlignment="1">
      <alignment horizontal="center" vertical="center"/>
    </xf>
    <xf numFmtId="0" fontId="226" fillId="96" borderId="574" xfId="0" applyFont="1" applyFill="1" applyBorder="1" applyAlignment="1">
      <alignment horizontal="center"/>
    </xf>
    <xf numFmtId="0" fontId="226" fillId="96" borderId="575" xfId="0" applyFont="1" applyFill="1" applyBorder="1" applyAlignment="1">
      <alignment horizontal="center"/>
    </xf>
    <xf numFmtId="0" fontId="226" fillId="96" borderId="573" xfId="0" applyFont="1" applyFill="1" applyBorder="1" applyAlignment="1">
      <alignment horizontal="center" wrapText="1"/>
    </xf>
    <xf numFmtId="0" fontId="226" fillId="96" borderId="215" xfId="0" applyFont="1" applyFill="1" applyBorder="1" applyAlignment="1">
      <alignment horizontal="center" wrapText="1"/>
    </xf>
    <xf numFmtId="0" fontId="226" fillId="96" borderId="574" xfId="0" applyFont="1" applyFill="1" applyBorder="1" applyAlignment="1">
      <alignment horizontal="center" wrapText="1"/>
    </xf>
    <xf numFmtId="0" fontId="226" fillId="96" borderId="450" xfId="0" applyFont="1" applyFill="1" applyBorder="1" applyAlignment="1">
      <alignment horizontal="center" wrapText="1"/>
    </xf>
    <xf numFmtId="0" fontId="226" fillId="96" borderId="527" xfId="0" applyFont="1" applyFill="1" applyBorder="1" applyAlignment="1">
      <alignment horizontal="center" vertical="center" wrapText="1"/>
    </xf>
    <xf numFmtId="0" fontId="308" fillId="0" borderId="504" xfId="0" applyFont="1" applyBorder="1" applyAlignment="1">
      <alignment horizontal="center"/>
    </xf>
    <xf numFmtId="0" fontId="222" fillId="0" borderId="504" xfId="0" applyFont="1" applyBorder="1" applyAlignment="1">
      <alignment horizontal="center" wrapText="1"/>
    </xf>
    <xf numFmtId="0" fontId="199" fillId="0" borderId="570" xfId="0" applyFont="1" applyBorder="1" applyAlignment="1">
      <alignment horizontal="left" vertical="center"/>
    </xf>
    <xf numFmtId="0" fontId="199" fillId="0" borderId="316" xfId="0" applyFont="1" applyBorder="1" applyAlignment="1">
      <alignment horizontal="left" vertical="center"/>
    </xf>
    <xf numFmtId="0" fontId="199" fillId="0" borderId="144" xfId="0" applyFont="1" applyBorder="1" applyAlignment="1">
      <alignment horizontal="left" vertical="center"/>
    </xf>
    <xf numFmtId="0" fontId="199" fillId="0" borderId="0" xfId="0" applyFont="1" applyAlignment="1">
      <alignment horizontal="left" vertical="center"/>
    </xf>
    <xf numFmtId="0" fontId="199" fillId="51" borderId="517" xfId="0" applyFont="1" applyFill="1" applyBorder="1" applyAlignment="1">
      <alignment horizontal="left" vertical="center"/>
    </xf>
    <xf numFmtId="0" fontId="199" fillId="51" borderId="510" xfId="0" applyFont="1" applyFill="1" applyBorder="1" applyAlignment="1">
      <alignment horizontal="left" vertical="center"/>
    </xf>
    <xf numFmtId="0" fontId="315" fillId="0" borderId="510" xfId="0" applyFont="1" applyBorder="1" applyAlignment="1">
      <alignment horizontal="center"/>
    </xf>
    <xf numFmtId="0" fontId="315" fillId="0" borderId="531" xfId="0" applyFont="1" applyBorder="1" applyAlignment="1">
      <alignment horizontal="center"/>
    </xf>
    <xf numFmtId="0" fontId="324" fillId="96" borderId="578" xfId="0" quotePrefix="1" applyFont="1" applyFill="1" applyBorder="1" applyAlignment="1">
      <alignment horizontal="left" vertical="center" wrapText="1"/>
    </xf>
    <xf numFmtId="0" fontId="324" fillId="96" borderId="535" xfId="0" quotePrefix="1" applyFont="1" applyFill="1" applyBorder="1" applyAlignment="1">
      <alignment horizontal="left" vertical="center" wrapText="1"/>
    </xf>
    <xf numFmtId="0" fontId="315" fillId="0" borderId="453" xfId="0" applyFont="1" applyBorder="1" applyAlignment="1">
      <alignment horizontal="center"/>
    </xf>
    <xf numFmtId="0" fontId="315" fillId="0" borderId="512" xfId="0" applyFont="1" applyBorder="1" applyAlignment="1">
      <alignment horizontal="center"/>
    </xf>
    <xf numFmtId="0" fontId="226" fillId="96" borderId="118" xfId="0" applyFont="1" applyFill="1" applyBorder="1" applyAlignment="1">
      <alignment horizontal="center" vertical="center" wrapText="1"/>
    </xf>
    <xf numFmtId="0" fontId="226" fillId="96" borderId="73" xfId="0" applyFont="1" applyFill="1" applyBorder="1" applyAlignment="1">
      <alignment horizontal="center" vertical="center" wrapText="1"/>
    </xf>
    <xf numFmtId="0" fontId="226" fillId="96" borderId="46" xfId="0" applyFont="1" applyFill="1" applyBorder="1" applyAlignment="1">
      <alignment horizontal="center" vertical="center" wrapText="1"/>
    </xf>
    <xf numFmtId="0" fontId="226" fillId="96" borderId="543" xfId="0" applyFont="1" applyFill="1" applyBorder="1" applyAlignment="1">
      <alignment horizontal="center" vertical="center" wrapText="1"/>
    </xf>
    <xf numFmtId="0" fontId="226" fillId="96" borderId="577" xfId="0" applyFont="1" applyFill="1" applyBorder="1" applyAlignment="1">
      <alignment horizontal="center" vertical="center" wrapText="1"/>
    </xf>
    <xf numFmtId="178" fontId="49" fillId="0" borderId="283" xfId="0" applyNumberFormat="1" applyFont="1" applyBorder="1" applyAlignment="1">
      <alignment horizontal="center" vertical="center"/>
    </xf>
    <xf numFmtId="178" fontId="49" fillId="0" borderId="280" xfId="0" applyNumberFormat="1" applyFont="1" applyBorder="1" applyAlignment="1">
      <alignment horizontal="center" vertical="center"/>
    </xf>
    <xf numFmtId="178" fontId="49" fillId="0" borderId="297" xfId="0" applyNumberFormat="1" applyFont="1" applyBorder="1" applyAlignment="1">
      <alignment horizontal="center" vertical="center"/>
    </xf>
    <xf numFmtId="178" fontId="49" fillId="0" borderId="281" xfId="0" applyNumberFormat="1" applyFont="1" applyBorder="1" applyAlignment="1">
      <alignment horizontal="center" vertical="center"/>
    </xf>
    <xf numFmtId="178" fontId="49" fillId="0" borderId="0" xfId="0" applyNumberFormat="1" applyFont="1" applyAlignment="1">
      <alignment horizontal="center" vertical="center"/>
    </xf>
    <xf numFmtId="178" fontId="49" fillId="0" borderId="44" xfId="0" applyNumberFormat="1" applyFont="1" applyBorder="1" applyAlignment="1">
      <alignment horizontal="center" vertical="center"/>
    </xf>
    <xf numFmtId="178" fontId="49" fillId="0" borderId="270" xfId="0" applyNumberFormat="1" applyFont="1" applyBorder="1" applyAlignment="1">
      <alignment horizontal="center" wrapText="1"/>
    </xf>
    <xf numFmtId="178" fontId="49" fillId="0" borderId="276" xfId="0" applyNumberFormat="1" applyFont="1" applyBorder="1" applyAlignment="1">
      <alignment horizontal="center" wrapText="1"/>
    </xf>
    <xf numFmtId="178" fontId="49" fillId="0" borderId="270" xfId="0" applyNumberFormat="1" applyFont="1" applyBorder="1" applyAlignment="1">
      <alignment horizontal="center"/>
    </xf>
    <xf numFmtId="178" fontId="49" fillId="0" borderId="276" xfId="0" applyNumberFormat="1" applyFont="1" applyBorder="1" applyAlignment="1">
      <alignment horizontal="center"/>
    </xf>
    <xf numFmtId="178" fontId="49" fillId="0" borderId="276" xfId="0" applyNumberFormat="1" applyFont="1" applyBorder="1" applyAlignment="1">
      <alignment horizontal="center" vertical="center" wrapText="1"/>
    </xf>
    <xf numFmtId="178" fontId="49" fillId="0" borderId="13" xfId="0" applyNumberFormat="1" applyFont="1" applyBorder="1" applyAlignment="1">
      <alignment horizontal="center" vertical="center" wrapText="1"/>
    </xf>
    <xf numFmtId="168" fontId="49" fillId="56" borderId="0" xfId="28" applyNumberFormat="1" applyFont="1" applyFill="1" applyAlignment="1">
      <alignment horizontal="center" vertical="center" wrapText="1"/>
    </xf>
    <xf numFmtId="168" fontId="112" fillId="56" borderId="0" xfId="28" applyNumberFormat="1" applyFont="1" applyFill="1" applyAlignment="1">
      <alignment horizontal="center" vertical="center" wrapText="1"/>
    </xf>
    <xf numFmtId="178" fontId="49" fillId="56" borderId="0" xfId="0" applyNumberFormat="1" applyFont="1" applyFill="1" applyAlignment="1">
      <alignment horizontal="center" vertical="center" wrapText="1"/>
    </xf>
    <xf numFmtId="219" fontId="49" fillId="56" borderId="0" xfId="28" applyNumberFormat="1" applyFont="1" applyFill="1" applyAlignment="1">
      <alignment horizontal="center" vertical="center" wrapText="1"/>
    </xf>
    <xf numFmtId="0" fontId="247" fillId="0" borderId="340" xfId="100" applyFont="1" applyBorder="1" applyAlignment="1">
      <alignment horizontal="left"/>
    </xf>
    <xf numFmtId="0" fontId="91" fillId="0" borderId="341" xfId="100" applyFont="1" applyBorder="1"/>
    <xf numFmtId="0" fontId="247" fillId="81" borderId="353" xfId="100" applyFont="1" applyFill="1" applyBorder="1" applyAlignment="1">
      <alignment horizontal="left"/>
    </xf>
    <xf numFmtId="0" fontId="91" fillId="0" borderId="353" xfId="100" applyFont="1" applyBorder="1"/>
    <xf numFmtId="0" fontId="249" fillId="0" borderId="340" xfId="100" applyFont="1" applyBorder="1" applyAlignment="1">
      <alignment horizontal="left"/>
    </xf>
    <xf numFmtId="0" fontId="248" fillId="83" borderId="340" xfId="100" applyFont="1" applyFill="1" applyBorder="1" applyAlignment="1">
      <alignment horizontal="left"/>
    </xf>
    <xf numFmtId="0" fontId="91" fillId="46" borderId="341" xfId="100" applyFont="1" applyFill="1" applyBorder="1"/>
    <xf numFmtId="0" fontId="248" fillId="82" borderId="340" xfId="100" applyFont="1" applyFill="1" applyBorder="1" applyAlignment="1">
      <alignment horizontal="left"/>
    </xf>
    <xf numFmtId="0" fontId="212" fillId="0" borderId="144" xfId="48" applyFont="1" applyBorder="1" applyAlignment="1">
      <alignment horizontal="right" vertical="center" wrapText="1"/>
    </xf>
    <xf numFmtId="0" fontId="213" fillId="0" borderId="0" xfId="48" applyFont="1" applyAlignment="1">
      <alignment horizontal="right" vertical="center" wrapText="1"/>
    </xf>
    <xf numFmtId="0" fontId="173" fillId="0" borderId="0" xfId="48" applyFont="1" applyAlignment="1">
      <alignment horizontal="right" vertical="center" wrapText="1"/>
    </xf>
    <xf numFmtId="0" fontId="146" fillId="0" borderId="0" xfId="48" applyFont="1" applyAlignment="1">
      <alignment vertical="center" wrapText="1"/>
    </xf>
    <xf numFmtId="0" fontId="173" fillId="0" borderId="0" xfId="48" applyFont="1" applyAlignment="1">
      <alignment horizontal="center" vertical="center"/>
    </xf>
    <xf numFmtId="170" fontId="221" fillId="68" borderId="225" xfId="48" applyNumberFormat="1" applyFont="1" applyFill="1" applyBorder="1" applyAlignment="1" applyProtection="1">
      <alignment horizontal="left" vertical="center" wrapText="1"/>
      <protection locked="0"/>
    </xf>
    <xf numFmtId="170" fontId="221" fillId="68" borderId="286" xfId="48" applyNumberFormat="1" applyFont="1" applyFill="1" applyBorder="1" applyAlignment="1" applyProtection="1">
      <alignment horizontal="left" vertical="center" wrapText="1"/>
      <protection locked="0"/>
    </xf>
    <xf numFmtId="170" fontId="221" fillId="68" borderId="227" xfId="48" applyNumberFormat="1" applyFont="1" applyFill="1" applyBorder="1" applyAlignment="1" applyProtection="1">
      <alignment horizontal="left" vertical="center" wrapText="1"/>
      <protection locked="0"/>
    </xf>
    <xf numFmtId="0" fontId="173" fillId="0" borderId="225" xfId="48" applyFont="1" applyBorder="1" applyAlignment="1">
      <alignment horizontal="center" vertical="center"/>
    </xf>
    <xf numFmtId="0" fontId="173" fillId="0" borderId="286" xfId="48" applyFont="1" applyBorder="1" applyAlignment="1">
      <alignment horizontal="center" vertical="center"/>
    </xf>
    <xf numFmtId="0" fontId="173" fillId="0" borderId="227" xfId="48" applyFont="1" applyBorder="1" applyAlignment="1">
      <alignment horizontal="center" vertical="center"/>
    </xf>
    <xf numFmtId="0" fontId="173" fillId="68" borderId="276" xfId="48" applyFont="1" applyFill="1" applyBorder="1" applyAlignment="1" applyProtection="1">
      <alignment horizontal="center" vertical="center"/>
      <protection locked="0"/>
    </xf>
    <xf numFmtId="0" fontId="173" fillId="68" borderId="224" xfId="48" applyFont="1" applyFill="1" applyBorder="1" applyAlignment="1" applyProtection="1">
      <alignment horizontal="center" vertical="center"/>
      <protection locked="0"/>
    </xf>
    <xf numFmtId="170" fontId="173" fillId="68" borderId="276" xfId="81" applyNumberFormat="1" applyFont="1" applyFill="1" applyBorder="1" applyAlignment="1" applyProtection="1">
      <alignment horizontal="center" vertical="center"/>
      <protection locked="0"/>
    </xf>
    <xf numFmtId="170" fontId="173" fillId="68" borderId="224" xfId="81" applyNumberFormat="1" applyFont="1" applyFill="1" applyBorder="1" applyAlignment="1" applyProtection="1">
      <alignment horizontal="center" vertical="center"/>
      <protection locked="0"/>
    </xf>
    <xf numFmtId="170" fontId="222" fillId="68" borderId="225" xfId="48" applyNumberFormat="1" applyFont="1" applyFill="1" applyBorder="1" applyAlignment="1" applyProtection="1">
      <alignment horizontal="left" vertical="center" wrapText="1"/>
      <protection locked="0"/>
    </xf>
    <xf numFmtId="170" fontId="222" fillId="68" borderId="286" xfId="48" applyNumberFormat="1" applyFont="1" applyFill="1" applyBorder="1" applyAlignment="1" applyProtection="1">
      <alignment horizontal="left" vertical="center" wrapText="1"/>
      <protection locked="0"/>
    </xf>
    <xf numFmtId="170" fontId="222" fillId="68" borderId="227" xfId="48" applyNumberFormat="1" applyFont="1" applyFill="1" applyBorder="1" applyAlignment="1" applyProtection="1">
      <alignment horizontal="left" vertical="center" wrapText="1"/>
      <protection locked="0"/>
    </xf>
    <xf numFmtId="0" fontId="199" fillId="0" borderId="225" xfId="48" applyFont="1" applyBorder="1" applyAlignment="1">
      <alignment horizontal="center" vertical="center"/>
    </xf>
    <xf numFmtId="0" fontId="199" fillId="0" borderId="286" xfId="48" applyFont="1" applyBorder="1" applyAlignment="1">
      <alignment horizontal="center" vertical="center"/>
    </xf>
    <xf numFmtId="0" fontId="199" fillId="0" borderId="227" xfId="48" applyFont="1" applyBorder="1" applyAlignment="1">
      <alignment horizontal="center" vertical="center"/>
    </xf>
    <xf numFmtId="0" fontId="173" fillId="0" borderId="225" xfId="48" applyFont="1" applyBorder="1" applyAlignment="1">
      <alignment horizontal="left" vertical="center"/>
    </xf>
    <xf numFmtId="0" fontId="173" fillId="0" borderId="286" xfId="48" applyFont="1" applyBorder="1" applyAlignment="1">
      <alignment horizontal="left" vertical="center"/>
    </xf>
    <xf numFmtId="0" fontId="173" fillId="0" borderId="227" xfId="48" applyFont="1" applyBorder="1" applyAlignment="1">
      <alignment horizontal="left" vertical="center"/>
    </xf>
    <xf numFmtId="0" fontId="173" fillId="0" borderId="225" xfId="48" applyFont="1" applyBorder="1" applyAlignment="1">
      <alignment horizontal="left" vertical="center" wrapText="1"/>
    </xf>
    <xf numFmtId="0" fontId="173" fillId="0" borderId="286" xfId="48" applyFont="1" applyBorder="1" applyAlignment="1">
      <alignment horizontal="left" vertical="center" wrapText="1"/>
    </xf>
    <xf numFmtId="0" fontId="173" fillId="0" borderId="227" xfId="48" applyFont="1" applyBorder="1" applyAlignment="1">
      <alignment horizontal="left" vertical="center" wrapText="1"/>
    </xf>
    <xf numFmtId="0" fontId="187" fillId="72" borderId="335" xfId="99" applyFont="1" applyFill="1" applyBorder="1" applyAlignment="1">
      <alignment horizontal="center" vertical="center" wrapText="1"/>
    </xf>
    <xf numFmtId="0" fontId="187" fillId="72" borderId="336" xfId="99" applyFont="1" applyFill="1" applyBorder="1" applyAlignment="1">
      <alignment horizontal="center" vertical="center" wrapText="1"/>
    </xf>
    <xf numFmtId="0" fontId="199" fillId="0" borderId="337" xfId="99" applyFont="1" applyBorder="1" applyAlignment="1">
      <alignment horizontal="center" vertical="center" wrapText="1"/>
    </xf>
    <xf numFmtId="0" fontId="199" fillId="0" borderId="338" xfId="99" applyFont="1" applyBorder="1" applyAlignment="1">
      <alignment horizontal="center" vertical="center" wrapText="1"/>
    </xf>
    <xf numFmtId="0" fontId="199" fillId="0" borderId="339" xfId="99" applyFont="1" applyBorder="1" applyAlignment="1">
      <alignment horizontal="center" vertical="center" wrapText="1"/>
    </xf>
    <xf numFmtId="0" fontId="199" fillId="73" borderId="337" xfId="99" applyFont="1" applyFill="1" applyBorder="1" applyAlignment="1">
      <alignment horizontal="center" vertical="center" wrapText="1"/>
    </xf>
    <xf numFmtId="0" fontId="199" fillId="73" borderId="338" xfId="99" applyFont="1" applyFill="1" applyBorder="1" applyAlignment="1">
      <alignment horizontal="center" vertical="center" wrapText="1"/>
    </xf>
    <xf numFmtId="0" fontId="49" fillId="0" borderId="0" xfId="0" applyFont="1" applyAlignment="1">
      <alignment horizontal="center" wrapText="1"/>
    </xf>
    <xf numFmtId="178" fontId="17" fillId="0" borderId="0" xfId="0" applyNumberFormat="1" applyFont="1" applyAlignment="1">
      <alignment horizontal="center"/>
    </xf>
    <xf numFmtId="0" fontId="49" fillId="0" borderId="0" xfId="0" applyFont="1" applyAlignment="1">
      <alignment horizontal="center"/>
    </xf>
    <xf numFmtId="0" fontId="49" fillId="0" borderId="179" xfId="0" applyFont="1" applyBorder="1" applyAlignment="1">
      <alignment horizontal="center" vertical="center" wrapText="1"/>
    </xf>
    <xf numFmtId="0" fontId="83" fillId="0" borderId="0" xfId="47" applyFont="1" applyAlignment="1">
      <alignment horizontal="center" vertical="center" wrapText="1"/>
    </xf>
    <xf numFmtId="2" fontId="87" fillId="24" borderId="88" xfId="60" applyNumberFormat="1" applyFont="1" applyFill="1" applyBorder="1" applyAlignment="1">
      <alignment horizontal="center" vertical="center"/>
    </xf>
    <xf numFmtId="2" fontId="87" fillId="24" borderId="81" xfId="60" applyNumberFormat="1" applyFont="1" applyFill="1" applyBorder="1" applyAlignment="1">
      <alignment horizontal="center" vertical="center"/>
    </xf>
    <xf numFmtId="2" fontId="87" fillId="24" borderId="128" xfId="60" applyNumberFormat="1" applyFont="1" applyFill="1" applyBorder="1" applyAlignment="1">
      <alignment horizontal="center" vertical="center"/>
    </xf>
    <xf numFmtId="0" fontId="90" fillId="40" borderId="114" xfId="60" applyFont="1" applyFill="1" applyBorder="1" applyAlignment="1">
      <alignment horizontal="center" vertical="center"/>
    </xf>
    <xf numFmtId="0" fontId="90" fillId="40" borderId="58" xfId="60" applyFont="1" applyFill="1" applyBorder="1" applyAlignment="1">
      <alignment horizontal="center" vertical="center"/>
    </xf>
    <xf numFmtId="0" fontId="90" fillId="40" borderId="69" xfId="60" applyFont="1" applyFill="1" applyBorder="1" applyAlignment="1">
      <alignment horizontal="center" vertical="center"/>
    </xf>
    <xf numFmtId="0" fontId="90" fillId="40" borderId="129" xfId="60" applyFont="1" applyFill="1" applyBorder="1" applyAlignment="1">
      <alignment horizontal="center" vertical="center"/>
    </xf>
    <xf numFmtId="0" fontId="90" fillId="40" borderId="82" xfId="60" applyFont="1" applyFill="1" applyBorder="1" applyAlignment="1">
      <alignment horizontal="center" vertical="center"/>
    </xf>
    <xf numFmtId="178" fontId="87" fillId="24" borderId="82" xfId="60" applyNumberFormat="1" applyFont="1" applyFill="1" applyBorder="1" applyAlignment="1">
      <alignment horizontal="center" vertical="center"/>
    </xf>
    <xf numFmtId="2" fontId="87" fillId="24" borderId="82" xfId="60" applyNumberFormat="1" applyFont="1" applyFill="1" applyBorder="1" applyAlignment="1">
      <alignment horizontal="center" vertical="center"/>
    </xf>
    <xf numFmtId="178" fontId="87" fillId="24" borderId="84" xfId="60" applyNumberFormat="1" applyFont="1" applyFill="1" applyBorder="1" applyAlignment="1">
      <alignment horizontal="center" vertical="center"/>
    </xf>
    <xf numFmtId="178" fontId="87" fillId="24" borderId="130" xfId="60" applyNumberFormat="1" applyFont="1" applyFill="1" applyBorder="1" applyAlignment="1">
      <alignment horizontal="center" vertical="center"/>
    </xf>
    <xf numFmtId="0" fontId="83" fillId="0" borderId="0" xfId="47" applyFont="1" applyAlignment="1">
      <alignment horizontal="center" vertical="center"/>
    </xf>
    <xf numFmtId="0" fontId="78" fillId="0" borderId="0" xfId="47" applyFont="1" applyAlignment="1">
      <alignment horizontal="center" vertical="center"/>
    </xf>
    <xf numFmtId="0" fontId="87" fillId="24" borderId="131" xfId="60" applyFont="1" applyFill="1" applyBorder="1" applyAlignment="1">
      <alignment horizontal="center" vertical="center" wrapText="1"/>
    </xf>
    <xf numFmtId="0" fontId="87" fillId="24" borderId="132" xfId="60" applyFont="1" applyFill="1" applyBorder="1" applyAlignment="1">
      <alignment horizontal="center" vertical="center" wrapText="1"/>
    </xf>
    <xf numFmtId="0" fontId="87" fillId="24" borderId="133" xfId="60" applyFont="1" applyFill="1" applyBorder="1" applyAlignment="1">
      <alignment horizontal="center" vertical="center" wrapText="1"/>
    </xf>
    <xf numFmtId="0" fontId="87" fillId="24" borderId="84" xfId="0" applyFont="1" applyFill="1" applyBorder="1" applyAlignment="1">
      <alignment horizontal="center" vertical="center" wrapText="1"/>
    </xf>
    <xf numFmtId="0" fontId="87" fillId="24" borderId="91" xfId="0" applyFont="1" applyFill="1" applyBorder="1" applyAlignment="1">
      <alignment horizontal="center" vertical="center" wrapText="1"/>
    </xf>
    <xf numFmtId="0" fontId="87" fillId="24" borderId="87" xfId="0" applyFont="1" applyFill="1" applyBorder="1" applyAlignment="1">
      <alignment horizontal="center" vertical="center" wrapText="1"/>
    </xf>
    <xf numFmtId="0" fontId="87" fillId="24" borderId="82" xfId="60" applyFont="1" applyFill="1" applyBorder="1" applyAlignment="1">
      <alignment horizontal="center" vertical="center" wrapText="1"/>
    </xf>
    <xf numFmtId="178" fontId="87" fillId="24" borderId="84" xfId="60" applyNumberFormat="1" applyFont="1" applyFill="1" applyBorder="1" applyAlignment="1">
      <alignment horizontal="center" vertical="center" wrapText="1"/>
    </xf>
    <xf numFmtId="178" fontId="87" fillId="24" borderId="91" xfId="60" applyNumberFormat="1" applyFont="1" applyFill="1" applyBorder="1" applyAlignment="1">
      <alignment horizontal="center" vertical="center"/>
    </xf>
    <xf numFmtId="0" fontId="86" fillId="0" borderId="58" xfId="60" applyFont="1" applyBorder="1" applyAlignment="1">
      <alignment horizontal="center" vertical="center"/>
    </xf>
    <xf numFmtId="0" fontId="86" fillId="0" borderId="61" xfId="60" applyFont="1" applyBorder="1" applyAlignment="1">
      <alignment horizontal="center" vertical="center"/>
    </xf>
    <xf numFmtId="0" fontId="86" fillId="0" borderId="57" xfId="60" applyFont="1" applyBorder="1" applyAlignment="1">
      <alignment horizontal="center" vertical="center"/>
    </xf>
    <xf numFmtId="178" fontId="87" fillId="24" borderId="87" xfId="60" applyNumberFormat="1" applyFont="1" applyFill="1" applyBorder="1" applyAlignment="1">
      <alignment horizontal="center" vertical="center"/>
    </xf>
    <xf numFmtId="0" fontId="87" fillId="24" borderId="91" xfId="60" applyFont="1" applyFill="1" applyBorder="1" applyAlignment="1">
      <alignment horizontal="center" vertical="center" wrapText="1"/>
    </xf>
    <xf numFmtId="3" fontId="80" fillId="36" borderId="82" xfId="60" applyNumberFormat="1" applyFont="1" applyFill="1" applyBorder="1" applyAlignment="1">
      <alignment horizontal="center" vertical="center"/>
    </xf>
    <xf numFmtId="3" fontId="88" fillId="24" borderId="82" xfId="60" applyNumberFormat="1" applyFont="1" applyFill="1" applyBorder="1" applyAlignment="1">
      <alignment horizontal="center" vertical="center" wrapText="1"/>
    </xf>
    <xf numFmtId="0" fontId="79" fillId="30" borderId="82" xfId="47" applyFont="1" applyFill="1" applyBorder="1" applyAlignment="1">
      <alignment horizontal="center" vertical="center"/>
    </xf>
    <xf numFmtId="2" fontId="88" fillId="24" borderId="82" xfId="60" applyNumberFormat="1" applyFont="1" applyFill="1" applyBorder="1" applyAlignment="1">
      <alignment horizontal="center" vertical="center"/>
    </xf>
    <xf numFmtId="3" fontId="88" fillId="24" borderId="82" xfId="60" applyNumberFormat="1" applyFont="1" applyFill="1" applyBorder="1" applyAlignment="1">
      <alignment horizontal="center" vertical="center"/>
    </xf>
    <xf numFmtId="178" fontId="88" fillId="24" borderId="82" xfId="60" applyNumberFormat="1" applyFont="1" applyFill="1" applyBorder="1" applyAlignment="1">
      <alignment horizontal="center" vertical="center"/>
    </xf>
    <xf numFmtId="0" fontId="195" fillId="27" borderId="27" xfId="56" applyFont="1" applyFill="1"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14" fillId="0" borderId="126" xfId="56" applyFont="1" applyBorder="1" applyAlignment="1">
      <alignment horizontal="center" wrapText="1"/>
    </xf>
    <xf numFmtId="0" fontId="10" fillId="0" borderId="127" xfId="0" applyFont="1" applyBorder="1" applyAlignment="1">
      <alignment horizontal="center" wrapText="1"/>
    </xf>
    <xf numFmtId="0" fontId="14" fillId="0" borderId="329" xfId="56" applyFont="1" applyBorder="1" applyAlignment="1">
      <alignment horizontal="center" wrapText="1"/>
    </xf>
    <xf numFmtId="0" fontId="10" fillId="0" borderId="330" xfId="0" applyFont="1" applyBorder="1" applyAlignment="1">
      <alignment horizontal="center" wrapText="1"/>
    </xf>
    <xf numFmtId="0" fontId="10" fillId="0" borderId="331" xfId="0" applyFont="1" applyBorder="1" applyAlignment="1">
      <alignment horizontal="center" wrapText="1"/>
    </xf>
    <xf numFmtId="0" fontId="14" fillId="0" borderId="121" xfId="56" applyFont="1" applyBorder="1" applyAlignment="1">
      <alignment horizontal="center" wrapText="1"/>
    </xf>
    <xf numFmtId="0" fontId="10" fillId="0" borderId="122" xfId="0" applyFont="1" applyBorder="1" applyAlignment="1">
      <alignment horizontal="center" wrapText="1"/>
    </xf>
    <xf numFmtId="0" fontId="10" fillId="0" borderId="123" xfId="0" applyFont="1" applyBorder="1" applyAlignment="1">
      <alignment horizontal="center" wrapText="1"/>
    </xf>
    <xf numFmtId="0" fontId="14" fillId="0" borderId="124" xfId="56" applyFont="1" applyBorder="1" applyAlignment="1">
      <alignment horizontal="center" wrapText="1"/>
    </xf>
    <xf numFmtId="0" fontId="10" fillId="0" borderId="80" xfId="0" applyFont="1" applyBorder="1" applyAlignment="1">
      <alignment horizontal="center" wrapText="1"/>
    </xf>
    <xf numFmtId="0" fontId="10" fillId="0" borderId="125" xfId="0" applyFont="1" applyBorder="1" applyAlignment="1">
      <alignment horizontal="center" wrapText="1"/>
    </xf>
    <xf numFmtId="0" fontId="195" fillId="27" borderId="47" xfId="56" applyFont="1" applyFill="1" applyBorder="1" applyAlignment="1">
      <alignment horizontal="center" wrapText="1"/>
    </xf>
    <xf numFmtId="0" fontId="195" fillId="27" borderId="13" xfId="56" applyFont="1" applyFill="1" applyBorder="1" applyAlignment="1">
      <alignment horizontal="center" wrapText="1"/>
    </xf>
    <xf numFmtId="0" fontId="195" fillId="27" borderId="17" xfId="56" applyFont="1" applyFill="1" applyBorder="1" applyAlignment="1">
      <alignment horizontal="center" wrapText="1"/>
    </xf>
    <xf numFmtId="0" fontId="14" fillId="0" borderId="330" xfId="56" applyFont="1" applyBorder="1" applyAlignment="1">
      <alignment horizontal="center" wrapText="1"/>
    </xf>
    <xf numFmtId="0" fontId="14" fillId="0" borderId="331" xfId="56" applyFont="1" applyBorder="1" applyAlignment="1">
      <alignment horizontal="center" wrapText="1"/>
    </xf>
    <xf numFmtId="0" fontId="195" fillId="0" borderId="186" xfId="56" applyFont="1" applyBorder="1" applyAlignment="1">
      <alignment horizontal="center" wrapText="1"/>
    </xf>
    <xf numFmtId="0" fontId="0" fillId="0" borderId="151" xfId="0" applyBorder="1" applyAlignment="1">
      <alignment horizontal="center" wrapText="1"/>
    </xf>
    <xf numFmtId="0" fontId="195" fillId="0" borderId="47" xfId="56" applyFont="1" applyBorder="1" applyAlignment="1">
      <alignment horizontal="center" wrapText="1"/>
    </xf>
    <xf numFmtId="0" fontId="195" fillId="0" borderId="17" xfId="56" applyFont="1" applyBorder="1" applyAlignment="1">
      <alignment horizontal="center" wrapText="1"/>
    </xf>
    <xf numFmtId="178" fontId="25" fillId="0" borderId="0" xfId="61" applyNumberFormat="1" applyFont="1" applyAlignment="1">
      <alignment horizontal="center" vertical="center" wrapText="1"/>
    </xf>
    <xf numFmtId="0" fontId="25" fillId="0" borderId="0" xfId="61" applyFont="1" applyAlignment="1">
      <alignment horizontal="center" wrapText="1"/>
    </xf>
    <xf numFmtId="0" fontId="195" fillId="0" borderId="18" xfId="56" applyFont="1" applyBorder="1" applyAlignment="1">
      <alignment horizontal="center"/>
    </xf>
    <xf numFmtId="0" fontId="0" fillId="0" borderId="18" xfId="0" applyBorder="1" applyAlignment="1">
      <alignment horizontal="center"/>
    </xf>
    <xf numFmtId="0" fontId="0" fillId="0" borderId="313" xfId="0" applyBorder="1" applyAlignment="1">
      <alignment horizontal="center" wrapText="1"/>
    </xf>
    <xf numFmtId="0" fontId="195" fillId="0" borderId="157" xfId="56" applyFont="1" applyBorder="1" applyAlignment="1">
      <alignment horizontal="center" wrapText="1"/>
    </xf>
    <xf numFmtId="0" fontId="195" fillId="0" borderId="159" xfId="56" applyFont="1" applyBorder="1" applyAlignment="1">
      <alignment horizontal="center" wrapText="1"/>
    </xf>
    <xf numFmtId="0" fontId="195" fillId="0" borderId="151" xfId="56" applyFont="1" applyBorder="1" applyAlignment="1">
      <alignment horizontal="center" wrapText="1"/>
    </xf>
    <xf numFmtId="0" fontId="77" fillId="0" borderId="0" xfId="0" applyFont="1" applyAlignment="1">
      <alignment horizontal="left" vertical="top" wrapText="1"/>
    </xf>
    <xf numFmtId="0" fontId="25" fillId="0" borderId="392" xfId="103" applyFont="1" applyBorder="1" applyAlignment="1">
      <alignment horizontal="center"/>
    </xf>
    <xf numFmtId="0" fontId="25" fillId="0" borderId="393" xfId="103" applyFont="1" applyBorder="1" applyAlignment="1">
      <alignment horizontal="center"/>
    </xf>
    <xf numFmtId="0" fontId="25" fillId="0" borderId="318" xfId="50" applyFont="1" applyBorder="1" applyAlignment="1">
      <alignment horizontal="right" vertical="center" wrapText="1"/>
    </xf>
    <xf numFmtId="3" fontId="25" fillId="0" borderId="318" xfId="50" applyNumberFormat="1" applyFont="1" applyBorder="1" applyAlignment="1">
      <alignment horizontal="right" vertical="center" wrapText="1"/>
    </xf>
    <xf numFmtId="0" fontId="25" fillId="27" borderId="144" xfId="103" applyFont="1" applyFill="1" applyBorder="1" applyAlignment="1">
      <alignment horizontal="center"/>
    </xf>
    <xf numFmtId="0" fontId="25" fillId="27" borderId="318" xfId="103" applyFont="1" applyFill="1" applyBorder="1" applyAlignment="1">
      <alignment horizontal="center"/>
    </xf>
    <xf numFmtId="0" fontId="25" fillId="0" borderId="144" xfId="103" applyFont="1" applyBorder="1" applyAlignment="1">
      <alignment horizontal="center"/>
    </xf>
    <xf numFmtId="0" fontId="25" fillId="0" borderId="318" xfId="103" applyFont="1" applyBorder="1" applyAlignment="1">
      <alignment horizontal="center"/>
    </xf>
    <xf numFmtId="0" fontId="49" fillId="0" borderId="16" xfId="56" applyFont="1" applyBorder="1" applyAlignment="1">
      <alignment horizontal="center"/>
    </xf>
    <xf numFmtId="0" fontId="49" fillId="0" borderId="29" xfId="56" applyFont="1" applyBorder="1" applyAlignment="1">
      <alignment horizontal="center"/>
    </xf>
    <xf numFmtId="0" fontId="17" fillId="0" borderId="137" xfId="48" applyBorder="1" applyAlignment="1">
      <alignment horizontal="center"/>
    </xf>
    <xf numFmtId="0" fontId="17" fillId="89" borderId="137" xfId="48" applyFill="1" applyBorder="1" applyAlignment="1">
      <alignment horizontal="center"/>
    </xf>
    <xf numFmtId="249" fontId="17" fillId="0" borderId="137" xfId="33" applyNumberFormat="1" applyFont="1" applyFill="1" applyBorder="1" applyAlignment="1">
      <alignment horizontal="center"/>
    </xf>
    <xf numFmtId="0" fontId="49" fillId="0" borderId="146" xfId="48" applyFont="1" applyBorder="1" applyAlignment="1">
      <alignment horizontal="center"/>
    </xf>
    <xf numFmtId="177" fontId="17" fillId="0" borderId="168" xfId="33" applyNumberFormat="1" applyFont="1" applyFill="1" applyBorder="1" applyAlignment="1">
      <alignment horizontal="center"/>
    </xf>
    <xf numFmtId="177" fontId="17" fillId="0" borderId="169" xfId="33" applyNumberFormat="1" applyFont="1" applyFill="1" applyBorder="1" applyAlignment="1">
      <alignment horizontal="center"/>
    </xf>
    <xf numFmtId="177" fontId="17" fillId="0" borderId="191" xfId="48" applyNumberFormat="1" applyBorder="1" applyAlignment="1">
      <alignment horizontal="center" vertical="center" wrapText="1"/>
    </xf>
    <xf numFmtId="177" fontId="17" fillId="0" borderId="167" xfId="48" applyNumberFormat="1" applyBorder="1" applyAlignment="1">
      <alignment horizontal="center" vertical="center" wrapText="1"/>
    </xf>
    <xf numFmtId="0" fontId="17" fillId="0" borderId="0" xfId="48" applyAlignment="1">
      <alignment horizontal="center" vertical="center"/>
    </xf>
    <xf numFmtId="0" fontId="17" fillId="0" borderId="0" xfId="48" applyAlignment="1">
      <alignment horizontal="center"/>
    </xf>
    <xf numFmtId="3" fontId="49" fillId="0" borderId="137" xfId="48" applyNumberFormat="1" applyFont="1" applyBorder="1" applyAlignment="1">
      <alignment horizontal="center" vertical="center" wrapText="1"/>
    </xf>
    <xf numFmtId="178" fontId="17" fillId="0" borderId="0" xfId="48" applyNumberFormat="1" applyAlignment="1">
      <alignment horizontal="center" vertical="center"/>
    </xf>
    <xf numFmtId="0" fontId="17" fillId="0" borderId="0" xfId="48" applyAlignment="1">
      <alignment horizontal="left"/>
    </xf>
    <xf numFmtId="0" fontId="24" fillId="0" borderId="72" xfId="0" applyFont="1" applyBorder="1" applyAlignment="1">
      <alignment horizontal="center"/>
    </xf>
    <xf numFmtId="0" fontId="24" fillId="0" borderId="117" xfId="0" applyFont="1" applyBorder="1" applyAlignment="1">
      <alignment horizontal="center"/>
    </xf>
    <xf numFmtId="302" fontId="150" fillId="0" borderId="32" xfId="0" applyNumberFormat="1" applyFont="1" applyBorder="1" applyAlignment="1">
      <alignment horizontal="center"/>
    </xf>
    <xf numFmtId="0" fontId="49" fillId="0" borderId="47" xfId="54" applyFont="1" applyBorder="1" applyAlignment="1">
      <alignment horizontal="center" vertical="center"/>
    </xf>
    <xf numFmtId="0" fontId="49" fillId="0" borderId="17" xfId="54" applyFont="1" applyBorder="1" applyAlignment="1">
      <alignment horizontal="center" vertical="center"/>
    </xf>
    <xf numFmtId="0" fontId="121" fillId="53" borderId="135" xfId="0" applyFont="1" applyFill="1" applyBorder="1" applyAlignment="1">
      <alignment horizontal="center" vertical="center"/>
    </xf>
    <xf numFmtId="0" fontId="121" fillId="53" borderId="141" xfId="0" applyFont="1" applyFill="1" applyBorder="1" applyAlignment="1">
      <alignment horizontal="center" vertical="center"/>
    </xf>
    <xf numFmtId="0" fontId="121" fillId="53" borderId="17" xfId="0" applyFont="1" applyFill="1" applyBorder="1" applyAlignment="1">
      <alignment horizontal="center" vertical="center"/>
    </xf>
    <xf numFmtId="0" fontId="121" fillId="53" borderId="142" xfId="0" applyFont="1" applyFill="1" applyBorder="1" applyAlignment="1">
      <alignment horizontal="center" vertical="center"/>
    </xf>
    <xf numFmtId="0" fontId="113" fillId="0" borderId="27" xfId="48" applyFont="1" applyBorder="1" applyAlignment="1">
      <alignment horizontal="left" wrapText="1"/>
    </xf>
    <xf numFmtId="0" fontId="113" fillId="0" borderId="28" xfId="48" applyFont="1" applyBorder="1" applyAlignment="1">
      <alignment horizontal="left" wrapText="1"/>
    </xf>
    <xf numFmtId="0" fontId="17" fillId="0" borderId="27" xfId="48" applyBorder="1" applyAlignment="1">
      <alignment horizontal="left" wrapText="1"/>
    </xf>
    <xf numFmtId="0" fontId="17" fillId="0" borderId="28" xfId="48" applyBorder="1" applyAlignment="1">
      <alignment horizontal="left" wrapText="1"/>
    </xf>
    <xf numFmtId="0" fontId="17" fillId="0" borderId="47" xfId="48" applyBorder="1" applyAlignment="1">
      <alignment horizontal="left" vertical="center" wrapText="1"/>
    </xf>
    <xf numFmtId="0" fontId="17" fillId="0" borderId="13" xfId="48" applyBorder="1" applyAlignment="1">
      <alignment horizontal="left" vertical="center" wrapText="1"/>
    </xf>
    <xf numFmtId="0" fontId="17" fillId="0" borderId="17" xfId="48" applyBorder="1" applyAlignment="1">
      <alignment horizontal="left" vertical="center" wrapText="1"/>
    </xf>
    <xf numFmtId="178" fontId="49" fillId="0" borderId="47" xfId="0" applyNumberFormat="1" applyFont="1" applyBorder="1" applyAlignment="1" applyProtection="1">
      <alignment horizontal="center"/>
      <protection hidden="1"/>
    </xf>
    <xf numFmtId="178" fontId="49" fillId="0" borderId="17" xfId="0" applyNumberFormat="1" applyFont="1" applyBorder="1" applyAlignment="1" applyProtection="1">
      <alignment horizontal="center"/>
      <protection hidden="1"/>
    </xf>
    <xf numFmtId="178" fontId="49" fillId="0" borderId="47" xfId="0" applyNumberFormat="1" applyFont="1" applyBorder="1" applyAlignment="1" applyProtection="1">
      <alignment horizontal="center" wrapText="1"/>
      <protection hidden="1"/>
    </xf>
    <xf numFmtId="178" fontId="49" fillId="0" borderId="17" xfId="0" applyNumberFormat="1" applyFont="1" applyBorder="1" applyAlignment="1" applyProtection="1">
      <alignment horizontal="center" wrapText="1"/>
      <protection hidden="1"/>
    </xf>
    <xf numFmtId="178" fontId="49" fillId="0" borderId="27" xfId="0" applyNumberFormat="1" applyFont="1" applyBorder="1" applyAlignment="1" applyProtection="1">
      <alignment horizontal="center"/>
      <protection hidden="1"/>
    </xf>
    <xf numFmtId="178" fontId="49" fillId="0" borderId="28" xfId="0" applyNumberFormat="1" applyFont="1" applyBorder="1" applyAlignment="1" applyProtection="1">
      <alignment horizontal="center"/>
      <protection hidden="1"/>
    </xf>
    <xf numFmtId="3" fontId="17" fillId="46" borderId="0" xfId="0" applyNumberFormat="1" applyFont="1" applyFill="1" applyAlignment="1">
      <alignment horizontal="center"/>
    </xf>
    <xf numFmtId="3" fontId="17" fillId="0" borderId="136" xfId="0" applyNumberFormat="1" applyFont="1" applyBorder="1" applyAlignment="1">
      <alignment horizontal="center"/>
    </xf>
    <xf numFmtId="3" fontId="17" fillId="0" borderId="140" xfId="0" applyNumberFormat="1" applyFont="1" applyBorder="1" applyAlignment="1">
      <alignment horizontal="center"/>
    </xf>
    <xf numFmtId="3" fontId="17" fillId="0" borderId="0" xfId="0" applyNumberFormat="1" applyFont="1" applyAlignment="1">
      <alignment horizontal="center"/>
    </xf>
    <xf numFmtId="3" fontId="49" fillId="0" borderId="18" xfId="0" applyNumberFormat="1" applyFont="1" applyBorder="1" applyAlignment="1" applyProtection="1">
      <alignment horizontal="center" vertical="center" wrapText="1"/>
      <protection hidden="1"/>
    </xf>
    <xf numFmtId="3" fontId="49" fillId="0" borderId="18" xfId="0" applyNumberFormat="1" applyFont="1" applyBorder="1" applyAlignment="1" applyProtection="1">
      <alignment vertical="center" wrapText="1"/>
      <protection hidden="1"/>
    </xf>
    <xf numFmtId="3" fontId="49" fillId="0" borderId="47" xfId="0" applyNumberFormat="1" applyFont="1" applyBorder="1" applyAlignment="1" applyProtection="1">
      <alignment horizontal="center"/>
      <protection hidden="1"/>
    </xf>
    <xf numFmtId="3" fontId="49" fillId="0" borderId="17" xfId="0" applyNumberFormat="1" applyFont="1" applyBorder="1" applyAlignment="1" applyProtection="1">
      <alignment horizontal="center"/>
      <protection hidden="1"/>
    </xf>
    <xf numFmtId="178" fontId="49" fillId="0" borderId="18" xfId="0" applyNumberFormat="1" applyFont="1" applyBorder="1" applyAlignment="1" applyProtection="1">
      <alignment horizontal="center" wrapText="1"/>
      <protection hidden="1"/>
    </xf>
    <xf numFmtId="178" fontId="49" fillId="0" borderId="18" xfId="0" applyNumberFormat="1" applyFont="1" applyBorder="1" applyAlignment="1" applyProtection="1">
      <alignment horizontal="center"/>
      <protection hidden="1"/>
    </xf>
    <xf numFmtId="3" fontId="49" fillId="0" borderId="27" xfId="81" applyNumberFormat="1" applyFont="1" applyBorder="1" applyAlignment="1">
      <alignment horizontal="center" vertical="center" wrapText="1"/>
    </xf>
    <xf numFmtId="3" fontId="49" fillId="0" borderId="28" xfId="81" applyNumberFormat="1" applyFont="1" applyBorder="1" applyAlignment="1">
      <alignment horizontal="center" vertical="center" wrapText="1"/>
    </xf>
    <xf numFmtId="3" fontId="49" fillId="0" borderId="27" xfId="0" applyNumberFormat="1" applyFont="1" applyBorder="1" applyAlignment="1">
      <alignment horizontal="center" vertical="center" wrapText="1"/>
    </xf>
    <xf numFmtId="3" fontId="49" fillId="0" borderId="28" xfId="0" applyNumberFormat="1" applyFont="1" applyBorder="1" applyAlignment="1">
      <alignment horizontal="center" vertical="center" wrapText="1"/>
    </xf>
    <xf numFmtId="0" fontId="187" fillId="61" borderId="412" xfId="0" applyFont="1" applyFill="1" applyBorder="1" applyAlignment="1">
      <alignment horizontal="center" vertical="center"/>
    </xf>
    <xf numFmtId="0" fontId="187" fillId="61" borderId="413" xfId="0" applyFont="1" applyFill="1" applyBorder="1" applyAlignment="1">
      <alignment horizontal="center" vertical="center"/>
    </xf>
    <xf numFmtId="168" fontId="112" fillId="59" borderId="328" xfId="28" applyNumberFormat="1" applyFont="1" applyFill="1" applyBorder="1" applyAlignment="1">
      <alignment horizontal="center"/>
    </xf>
  </cellXfs>
  <cellStyles count="12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xr:uid="{00000000-0005-0000-0000-00001C000000}"/>
    <cellStyle name="Comma 2 2" xfId="30" xr:uid="{00000000-0005-0000-0000-00001D000000}"/>
    <cellStyle name="Comma 2 3" xfId="101" xr:uid="{00000000-0005-0000-0000-00001E000000}"/>
    <cellStyle name="Comma 3" xfId="31" xr:uid="{00000000-0005-0000-0000-00001F000000}"/>
    <cellStyle name="Comma 3 2" xfId="83" xr:uid="{00000000-0005-0000-0000-000020000000}"/>
    <cellStyle name="Comma 4" xfId="32" xr:uid="{00000000-0005-0000-0000-000021000000}"/>
    <cellStyle name="Comma 4 2" xfId="90" xr:uid="{00000000-0005-0000-0000-000022000000}"/>
    <cellStyle name="Comma 4 2 2" xfId="104" xr:uid="{00000000-0005-0000-0000-000023000000}"/>
    <cellStyle name="Comma 4 3" xfId="106" xr:uid="{00000000-0005-0000-0000-000024000000}"/>
    <cellStyle name="Comma 5" xfId="33" xr:uid="{00000000-0005-0000-0000-000025000000}"/>
    <cellStyle name="Comma 6" xfId="116" xr:uid="{00000000-0005-0000-0000-000026000000}"/>
    <cellStyle name="Comma_Extra cost for Output Film-Sub-Con VN 12.03.04" xfId="34" xr:uid="{00000000-0005-0000-0000-000027000000}"/>
    <cellStyle name="Comma_Template-Packaging - 09.07.06" xfId="35" xr:uid="{00000000-0005-0000-0000-000028000000}"/>
    <cellStyle name="Currency 2" xfId="95" xr:uid="{00000000-0005-0000-0000-000029000000}"/>
    <cellStyle name="Currency 3" xfId="117" xr:uid="{00000000-0005-0000-0000-00002A000000}"/>
    <cellStyle name="Currency 4" xfId="98" xr:uid="{00000000-0005-0000-0000-00002B000000}"/>
    <cellStyle name="Explanatory Text" xfId="36" builtinId="53" customBuiltin="1"/>
    <cellStyle name="Good" xfId="37" builtinId="26" customBuiltin="1"/>
    <cellStyle name="Heading 1" xfId="38" builtinId="16" customBuiltin="1"/>
    <cellStyle name="Heading 2" xfId="39" builtinId="17" customBuiltin="1"/>
    <cellStyle name="Heading 3" xfId="40" builtinId="18" customBuiltin="1"/>
    <cellStyle name="Heading 4" xfId="41" builtinId="19" customBuiltin="1"/>
    <cellStyle name="Hyperlink" xfId="89" builtinId="8"/>
    <cellStyle name="Hyperlink 2" xfId="93" xr:uid="{00000000-0005-0000-0000-000033000000}"/>
    <cellStyle name="Hyperlink 3" xfId="102" xr:uid="{00000000-0005-0000-0000-000034000000}"/>
    <cellStyle name="Hyperlink 4" xfId="112" xr:uid="{00000000-0005-0000-0000-000035000000}"/>
    <cellStyle name="Input" xfId="42" builtinId="20" customBuiltin="1"/>
    <cellStyle name="Linked Cell" xfId="43" builtinId="24" customBuiltin="1"/>
    <cellStyle name="Neutral" xfId="44" builtinId="28" customBuiltin="1"/>
    <cellStyle name="no dec" xfId="45" xr:uid="{00000000-0005-0000-0000-000039000000}"/>
    <cellStyle name="Normal" xfId="0" builtinId="0"/>
    <cellStyle name="Normal - Style1" xfId="46" xr:uid="{00000000-0005-0000-0000-00003B000000}"/>
    <cellStyle name="Normal - Style1 2" xfId="108" xr:uid="{00000000-0005-0000-0000-00003C000000}"/>
    <cellStyle name="Normal 10" xfId="91" xr:uid="{00000000-0005-0000-0000-00003D000000}"/>
    <cellStyle name="Normal 10 2" xfId="110" xr:uid="{00000000-0005-0000-0000-00003E000000}"/>
    <cellStyle name="Normal 11" xfId="111" xr:uid="{00000000-0005-0000-0000-00003F000000}"/>
    <cellStyle name="Normal 11 2" xfId="114" xr:uid="{00000000-0005-0000-0000-000040000000}"/>
    <cellStyle name="Normal 12" xfId="99" xr:uid="{00000000-0005-0000-0000-000041000000}"/>
    <cellStyle name="Normal 12 2" xfId="121" xr:uid="{00000000-0005-0000-0000-000042000000}"/>
    <cellStyle name="Normal 13" xfId="118" xr:uid="{00000000-0005-0000-0000-000043000000}"/>
    <cellStyle name="Normal 13 2" xfId="109" xr:uid="{00000000-0005-0000-0000-000044000000}"/>
    <cellStyle name="Normal 13 3" xfId="119" xr:uid="{00000000-0005-0000-0000-000045000000}"/>
    <cellStyle name="Normal 2" xfId="47" xr:uid="{00000000-0005-0000-0000-000046000000}"/>
    <cellStyle name="Normal 2 2" xfId="48" xr:uid="{00000000-0005-0000-0000-000047000000}"/>
    <cellStyle name="Normal 2 3" xfId="49" xr:uid="{00000000-0005-0000-0000-000048000000}"/>
    <cellStyle name="Normal 2 4" xfId="100" xr:uid="{00000000-0005-0000-0000-000049000000}"/>
    <cellStyle name="Normal 3" xfId="78" xr:uid="{00000000-0005-0000-0000-00004A000000}"/>
    <cellStyle name="Normal 4" xfId="50" xr:uid="{00000000-0005-0000-0000-00004B000000}"/>
    <cellStyle name="Normal 4 2" xfId="82" xr:uid="{00000000-0005-0000-0000-00004C000000}"/>
    <cellStyle name="Normal 4 2 37" xfId="113" xr:uid="{00000000-0005-0000-0000-00004D000000}"/>
    <cellStyle name="Normal 4 3" xfId="115" xr:uid="{00000000-0005-0000-0000-00004E000000}"/>
    <cellStyle name="Normal 5" xfId="84" xr:uid="{00000000-0005-0000-0000-00004F000000}"/>
    <cellStyle name="Normal 5 2" xfId="86" xr:uid="{00000000-0005-0000-0000-000050000000}"/>
    <cellStyle name="Normal 5 3" xfId="103" xr:uid="{00000000-0005-0000-0000-000051000000}"/>
    <cellStyle name="Normal 6" xfId="85" xr:uid="{00000000-0005-0000-0000-000052000000}"/>
    <cellStyle name="Normal 6 2" xfId="107" xr:uid="{00000000-0005-0000-0000-000053000000}"/>
    <cellStyle name="Normal 7" xfId="81" xr:uid="{00000000-0005-0000-0000-000054000000}"/>
    <cellStyle name="Normal 8" xfId="51" xr:uid="{00000000-0005-0000-0000-000055000000}"/>
    <cellStyle name="Normal 8 2" xfId="97" xr:uid="{00000000-0005-0000-0000-000056000000}"/>
    <cellStyle name="Normal 9" xfId="88" xr:uid="{00000000-0005-0000-0000-000057000000}"/>
    <cellStyle name="Normal_Book1" xfId="52" xr:uid="{00000000-0005-0000-0000-000058000000}"/>
    <cellStyle name="Normal_CDB-Quotation of BV2L 130g GE 09 06 04" xfId="92" xr:uid="{00000000-0005-0000-0000-000059000000}"/>
    <cellStyle name="Normal_Chipboard price-12.11.03" xfId="53" xr:uid="{00000000-0005-0000-0000-00005A000000}"/>
    <cellStyle name="Normal_Công thức tính thùng carton" xfId="54" xr:uid="{00000000-0005-0000-0000-00005B000000}"/>
    <cellStyle name="Normal_Extra cost for Output Film-Sub-Con VN 12.03.04" xfId="55" xr:uid="{00000000-0005-0000-0000-00005C000000}"/>
    <cellStyle name="Normal_Mat price compare 03 01 031" xfId="56" xr:uid="{00000000-0005-0000-0000-00005D000000}"/>
    <cellStyle name="Normal_Punch Dies Cost 6.12.2002" xfId="57" xr:uid="{00000000-0005-0000-0000-00005E000000}"/>
    <cellStyle name="Normal_Quotation-CDB of BV2L 130g GE 09 06 04" xfId="77" xr:uid="{00000000-0005-0000-0000-00005F000000}"/>
    <cellStyle name="Normal_Starprint ratecard" xfId="58" xr:uid="{00000000-0005-0000-0000-000060000000}"/>
    <cellStyle name="Normal_T-576 MOVILIBROS X 4T (3)" xfId="59" xr:uid="{00000000-0005-0000-0000-000061000000}"/>
    <cellStyle name="Normal_Template Packaging - 04.19.11 - Updated by Van" xfId="60" xr:uid="{00000000-0005-0000-0000-000062000000}"/>
    <cellStyle name="Normal_Template-Book - 11.15.05" xfId="87" xr:uid="{00000000-0005-0000-0000-000063000000}"/>
    <cellStyle name="Normal_Template-Packaging - 09.07.06" xfId="61" xr:uid="{00000000-0005-0000-0000-000064000000}"/>
    <cellStyle name="Note" xfId="62" builtinId="10" customBuiltin="1"/>
    <cellStyle name="Output" xfId="63" builtinId="21" customBuiltin="1"/>
    <cellStyle name="Percent" xfId="64" builtinId="5"/>
    <cellStyle name="Percent 2" xfId="65" xr:uid="{00000000-0005-0000-0000-000068000000}"/>
    <cellStyle name="Percent 2 2" xfId="66" xr:uid="{00000000-0005-0000-0000-000069000000}"/>
    <cellStyle name="Percent 3" xfId="76" xr:uid="{00000000-0005-0000-0000-00006A000000}"/>
    <cellStyle name="Percent 3 2" xfId="67" xr:uid="{00000000-0005-0000-0000-00006B000000}"/>
    <cellStyle name="Percent 3 2 2" xfId="80" xr:uid="{00000000-0005-0000-0000-00006C000000}"/>
    <cellStyle name="Percent 4" xfId="79" xr:uid="{00000000-0005-0000-0000-00006D000000}"/>
    <cellStyle name="Percent 5" xfId="68" xr:uid="{00000000-0005-0000-0000-00006E000000}"/>
    <cellStyle name="Percent 6" xfId="105" xr:uid="{00000000-0005-0000-0000-00006F000000}"/>
    <cellStyle name="Percent 7" xfId="120" xr:uid="{00000000-0005-0000-0000-000070000000}"/>
    <cellStyle name="Title" xfId="69" builtinId="15" customBuiltin="1"/>
    <cellStyle name="Total" xfId="70" builtinId="25" customBuiltin="1"/>
    <cellStyle name="Warning Text" xfId="71" builtinId="11" customBuiltin="1"/>
    <cellStyle name="표준_Sheet1" xfId="72" xr:uid="{00000000-0005-0000-0000-000074000000}"/>
    <cellStyle name="一般_2000 Rate Table" xfId="73" xr:uid="{00000000-0005-0000-0000-000075000000}"/>
    <cellStyle name="千分位[0]_2000 Rate Table" xfId="74" xr:uid="{00000000-0005-0000-0000-000076000000}"/>
    <cellStyle name="千分位_02-102202 Sicam-Insert" xfId="96" xr:uid="{00000000-0005-0000-0000-000077000000}"/>
    <cellStyle name="貨幣 [0]_2000 Rate Table" xfId="75" xr:uid="{00000000-0005-0000-0000-000078000000}"/>
    <cellStyle name="貨幣_02-102202 Sicam-Insert" xfId="94" xr:uid="{00000000-0005-0000-0000-000079000000}"/>
  </cellStyles>
  <dxfs count="19">
    <dxf>
      <fill>
        <patternFill>
          <bgColor rgb="FFFF0000"/>
        </patternFill>
      </fill>
    </dxf>
    <dxf>
      <font>
        <color rgb="FF9C6500"/>
      </font>
      <fill>
        <patternFill>
          <bgColor rgb="FFFFEB9C"/>
        </patternFill>
      </fill>
    </dxf>
    <dxf>
      <font>
        <color auto="1"/>
      </font>
      <fill>
        <patternFill>
          <bgColor theme="8" tint="-0.24994659260841701"/>
        </patternFill>
      </fill>
    </dxf>
    <dxf>
      <font>
        <color rgb="FF9C0006"/>
      </font>
      <fill>
        <patternFill>
          <bgColor rgb="FFFFC7CE"/>
        </patternFill>
      </fill>
    </dxf>
    <dxf>
      <fill>
        <patternFill>
          <bgColor indexed="43"/>
        </patternFill>
      </fill>
      <border>
        <left style="thin">
          <color indexed="22"/>
        </left>
        <right style="thin">
          <color indexed="22"/>
        </right>
        <top style="thin">
          <color indexed="22"/>
        </top>
        <bottom style="thin">
          <color indexed="22"/>
        </bottom>
      </border>
    </dxf>
    <dxf>
      <font>
        <color theme="4" tint="0.39994506668294322"/>
      </font>
      <fill>
        <patternFill>
          <bgColor theme="0"/>
        </patternFill>
      </fill>
    </dxf>
    <dxf>
      <font>
        <color theme="4" tint="0.39994506668294322"/>
      </font>
      <fill>
        <patternFill>
          <bgColor theme="0"/>
        </patternFill>
      </fill>
    </dxf>
    <dxf>
      <font>
        <color theme="4" tint="0.39994506668294322"/>
      </font>
      <fill>
        <patternFill>
          <bgColor theme="0"/>
        </patternFill>
      </fill>
    </dxf>
    <dxf>
      <font>
        <color theme="4" tint="0.39994506668294322"/>
      </font>
      <fill>
        <patternFill>
          <bgColor theme="0"/>
        </patternFill>
      </fill>
    </dxf>
    <dxf>
      <font>
        <color theme="4" tint="0.39994506668294322"/>
      </font>
      <fill>
        <patternFill>
          <bgColor theme="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border>
        <vertical/>
        <horizontal/>
      </border>
    </dxf>
    <dxf>
      <fill>
        <patternFill>
          <bgColor rgb="FFFF0000"/>
        </patternFill>
      </fill>
      <border>
        <vertical/>
        <horizontal/>
      </border>
    </dxf>
    <dxf>
      <fill>
        <patternFill>
          <bgColor rgb="FFFF0000"/>
        </patternFill>
      </fill>
    </dxf>
    <dxf>
      <fill>
        <patternFill>
          <bgColor rgb="FFFF0000"/>
        </patternFill>
      </fill>
    </dxf>
    <dxf>
      <font>
        <color theme="0"/>
      </font>
      <fill>
        <patternFill>
          <bgColor rgb="FFFF0000"/>
        </patternFill>
      </fill>
    </dxf>
  </dxfs>
  <tableStyles count="0" defaultTableStyle="TableStyleMedium9" defaultPivotStyle="PivotStyleLight16"/>
  <colors>
    <mruColors>
      <color rgb="FF0000FF"/>
      <color rgb="FF66FFFF"/>
      <color rgb="FFFFFFCC"/>
      <color rgb="FFFFFFFF"/>
      <color rgb="FFFFFF99"/>
      <color rgb="FF66FF99"/>
      <color rgb="FFFF9900"/>
      <color rgb="FFE4DFEC"/>
      <color rgb="FF000080"/>
      <color rgb="FFFCD5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tmp"/><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tmp"/><Relationship Id="rId2" Type="http://schemas.openxmlformats.org/officeDocument/2006/relationships/image" Target="../media/image9.tmp"/><Relationship Id="rId1" Type="http://schemas.openxmlformats.org/officeDocument/2006/relationships/image" Target="../media/image8.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xdr:col>
      <xdr:colOff>291941</xdr:colOff>
      <xdr:row>0</xdr:row>
      <xdr:rowOff>82391</xdr:rowOff>
    </xdr:from>
    <xdr:to>
      <xdr:col>10</xdr:col>
      <xdr:colOff>994833</xdr:colOff>
      <xdr:row>0</xdr:row>
      <xdr:rowOff>638175</xdr:rowOff>
    </xdr:to>
    <xdr:sp macro="" textlink="">
      <xdr:nvSpPr>
        <xdr:cNvPr id="2" name="Text Box 4">
          <a:extLst>
            <a:ext uri="{FF2B5EF4-FFF2-40B4-BE49-F238E27FC236}">
              <a16:creationId xmlns:a16="http://schemas.microsoft.com/office/drawing/2014/main" id="{DAA64280-BF64-443E-AACC-98CB034A8B51}"/>
            </a:ext>
          </a:extLst>
        </xdr:cNvPr>
        <xdr:cNvSpPr txBox="1">
          <a:spLocks noChangeArrowheads="1"/>
        </xdr:cNvSpPr>
      </xdr:nvSpPr>
      <xdr:spPr bwMode="auto">
        <a:xfrm>
          <a:off x="2482691" y="82391"/>
          <a:ext cx="7037017" cy="555784"/>
        </a:xfrm>
        <a:prstGeom prst="rect">
          <a:avLst/>
        </a:prstGeom>
        <a:solidFill>
          <a:srgbClr val="FFFFFF"/>
        </a:solidFill>
        <a:ln w="9525">
          <a:noFill/>
          <a:miter lim="800000"/>
          <a:headEnd/>
          <a:tailEnd/>
        </a:ln>
      </xdr:spPr>
      <xdr:txBody>
        <a:bodyPr vertOverflow="clip" wrap="square" lIns="91440" tIns="45720" rIns="91440" bIns="45720" anchor="ctr" upright="1"/>
        <a:lstStyle/>
        <a:p>
          <a:pPr algn="ctr" rtl="0">
            <a:defRPr sz="1000"/>
          </a:pPr>
          <a:r>
            <a:rPr lang="en-US" sz="1000" b="0" i="0" strike="noStrike">
              <a:solidFill>
                <a:srgbClr val="333399"/>
              </a:solidFill>
              <a:latin typeface="Arial"/>
              <a:cs typeface="Arial"/>
            </a:rPr>
            <a:t>Plot 104/4-1, 2A Road, Long Binh (Amata) Industrial Park, Long Binh Ward, Bien Hoa City, Dong Nai Province, Vietnam</a:t>
          </a:r>
        </a:p>
        <a:p>
          <a:pPr algn="ctr" rtl="0">
            <a:defRPr sz="1000"/>
          </a:pPr>
          <a:r>
            <a:rPr lang="en-US" sz="1000" b="0" i="0" strike="noStrike">
              <a:solidFill>
                <a:srgbClr val="333399"/>
              </a:solidFill>
              <a:latin typeface="Arial"/>
              <a:cs typeface="Arial"/>
            </a:rPr>
            <a:t>Tel : +84 251 3936 921-8     Fax :  +84 251 3936 920</a:t>
          </a:r>
        </a:p>
      </xdr:txBody>
    </xdr:sp>
    <xdr:clientData/>
  </xdr:twoCellAnchor>
  <xdr:twoCellAnchor editAs="oneCell">
    <xdr:from>
      <xdr:col>0</xdr:col>
      <xdr:colOff>0</xdr:colOff>
      <xdr:row>0</xdr:row>
      <xdr:rowOff>35718</xdr:rowOff>
    </xdr:from>
    <xdr:to>
      <xdr:col>2</xdr:col>
      <xdr:colOff>57148</xdr:colOff>
      <xdr:row>1</xdr:row>
      <xdr:rowOff>333374</xdr:rowOff>
    </xdr:to>
    <xdr:pic>
      <xdr:nvPicPr>
        <xdr:cNvPr id="3" name="Picture 2">
          <a:extLst>
            <a:ext uri="{FF2B5EF4-FFF2-40B4-BE49-F238E27FC236}">
              <a16:creationId xmlns:a16="http://schemas.microsoft.com/office/drawing/2014/main" id="{45C24655-22B9-4AC2-B5DD-FEEC107FD570}"/>
            </a:ext>
          </a:extLst>
        </xdr:cNvPr>
        <xdr:cNvPicPr>
          <a:picLocks noChangeAspect="1"/>
        </xdr:cNvPicPr>
      </xdr:nvPicPr>
      <xdr:blipFill rotWithShape="1">
        <a:blip xmlns:r="http://schemas.openxmlformats.org/officeDocument/2006/relationships" r:embed="rId1"/>
        <a:srcRect l="-1" t="31250" r="7813" b="29688"/>
        <a:stretch/>
      </xdr:blipFill>
      <xdr:spPr>
        <a:xfrm>
          <a:off x="0" y="35718"/>
          <a:ext cx="2247898" cy="9548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38102</xdr:colOff>
      <xdr:row>0</xdr:row>
      <xdr:rowOff>0</xdr:rowOff>
    </xdr:from>
    <xdr:to>
      <xdr:col>4</xdr:col>
      <xdr:colOff>571501</xdr:colOff>
      <xdr:row>5</xdr:row>
      <xdr:rowOff>142874</xdr:rowOff>
    </xdr:to>
    <xdr:grpSp>
      <xdr:nvGrpSpPr>
        <xdr:cNvPr id="2" name="Group 326">
          <a:extLst>
            <a:ext uri="{FF2B5EF4-FFF2-40B4-BE49-F238E27FC236}">
              <a16:creationId xmlns:a16="http://schemas.microsoft.com/office/drawing/2014/main" id="{00000000-0008-0000-0300-000002000000}"/>
            </a:ext>
          </a:extLst>
        </xdr:cNvPr>
        <xdr:cNvGrpSpPr>
          <a:grpSpLocks noChangeAspect="1"/>
        </xdr:cNvGrpSpPr>
      </xdr:nvGrpSpPr>
      <xdr:grpSpPr bwMode="auto">
        <a:xfrm>
          <a:off x="38102" y="0"/>
          <a:ext cx="2236693" cy="1095374"/>
          <a:chOff x="277" y="13"/>
          <a:chExt cx="375" cy="122"/>
        </a:xfrm>
      </xdr:grpSpPr>
      <xdr:sp macro="" textlink="">
        <xdr:nvSpPr>
          <xdr:cNvPr id="3" name="AutoShape 325">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277" y="15"/>
            <a:ext cx="283" cy="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327">
            <a:extLst>
              <a:ext uri="{FF2B5EF4-FFF2-40B4-BE49-F238E27FC236}">
                <a16:creationId xmlns:a16="http://schemas.microsoft.com/office/drawing/2014/main" id="{00000000-0008-0000-0300-000004000000}"/>
              </a:ext>
            </a:extLst>
          </xdr:cNvPr>
          <xdr:cNvSpPr>
            <a:spLocks noChangeArrowheads="1"/>
          </xdr:cNvSpPr>
        </xdr:nvSpPr>
        <xdr:spPr bwMode="auto">
          <a:xfrm>
            <a:off x="418" y="13"/>
            <a:ext cx="1" cy="31"/>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Microsoft Sans Serif"/>
                <a:cs typeface="Microsoft Sans Serif"/>
              </a:rPr>
              <a:t> </a:t>
            </a:r>
          </a:p>
        </xdr:txBody>
      </xdr:sp>
      <xdr:grpSp>
        <xdr:nvGrpSpPr>
          <xdr:cNvPr id="5" name="Group 330">
            <a:extLst>
              <a:ext uri="{FF2B5EF4-FFF2-40B4-BE49-F238E27FC236}">
                <a16:creationId xmlns:a16="http://schemas.microsoft.com/office/drawing/2014/main" id="{00000000-0008-0000-0300-000005000000}"/>
              </a:ext>
            </a:extLst>
          </xdr:cNvPr>
          <xdr:cNvGrpSpPr>
            <a:grpSpLocks/>
          </xdr:cNvGrpSpPr>
        </xdr:nvGrpSpPr>
        <xdr:grpSpPr bwMode="auto">
          <a:xfrm>
            <a:off x="290" y="33"/>
            <a:ext cx="55" cy="35"/>
            <a:chOff x="290" y="33"/>
            <a:chExt cx="55" cy="35"/>
          </a:xfrm>
        </xdr:grpSpPr>
        <xdr:sp macro="" textlink="">
          <xdr:nvSpPr>
            <xdr:cNvPr id="58" name="Freeform 328">
              <a:extLst>
                <a:ext uri="{FF2B5EF4-FFF2-40B4-BE49-F238E27FC236}">
                  <a16:creationId xmlns:a16="http://schemas.microsoft.com/office/drawing/2014/main" id="{00000000-0008-0000-0300-00003A000000}"/>
                </a:ext>
              </a:extLst>
            </xdr:cNvPr>
            <xdr:cNvSpPr>
              <a:spLocks/>
            </xdr:cNvSpPr>
          </xdr:nvSpPr>
          <xdr:spPr bwMode="auto">
            <a:xfrm>
              <a:off x="290" y="33"/>
              <a:ext cx="55" cy="35"/>
            </a:xfrm>
            <a:custGeom>
              <a:avLst/>
              <a:gdLst>
                <a:gd name="T0" fmla="*/ 5 w 55"/>
                <a:gd name="T1" fmla="*/ 0 h 35"/>
                <a:gd name="T2" fmla="*/ 49 w 55"/>
                <a:gd name="T3" fmla="*/ 0 h 35"/>
                <a:gd name="T4" fmla="*/ 50 w 55"/>
                <a:gd name="T5" fmla="*/ 0 h 35"/>
                <a:gd name="T6" fmla="*/ 51 w 55"/>
                <a:gd name="T7" fmla="*/ 0 h 35"/>
                <a:gd name="T8" fmla="*/ 52 w 55"/>
                <a:gd name="T9" fmla="*/ 1 h 35"/>
                <a:gd name="T10" fmla="*/ 53 w 55"/>
                <a:gd name="T11" fmla="*/ 1 h 35"/>
                <a:gd name="T12" fmla="*/ 54 w 55"/>
                <a:gd name="T13" fmla="*/ 1 h 35"/>
                <a:gd name="T14" fmla="*/ 54 w 55"/>
                <a:gd name="T15" fmla="*/ 2 h 35"/>
                <a:gd name="T16" fmla="*/ 55 w 55"/>
                <a:gd name="T17" fmla="*/ 3 h 35"/>
                <a:gd name="T18" fmla="*/ 55 w 55"/>
                <a:gd name="T19" fmla="*/ 3 h 35"/>
                <a:gd name="T20" fmla="*/ 55 w 55"/>
                <a:gd name="T21" fmla="*/ 32 h 35"/>
                <a:gd name="T22" fmla="*/ 55 w 55"/>
                <a:gd name="T23" fmla="*/ 33 h 35"/>
                <a:gd name="T24" fmla="*/ 54 w 55"/>
                <a:gd name="T25" fmla="*/ 33 h 35"/>
                <a:gd name="T26" fmla="*/ 54 w 55"/>
                <a:gd name="T27" fmla="*/ 34 h 35"/>
                <a:gd name="T28" fmla="*/ 53 w 55"/>
                <a:gd name="T29" fmla="*/ 34 h 35"/>
                <a:gd name="T30" fmla="*/ 52 w 55"/>
                <a:gd name="T31" fmla="*/ 35 h 35"/>
                <a:gd name="T32" fmla="*/ 51 w 55"/>
                <a:gd name="T33" fmla="*/ 35 h 35"/>
                <a:gd name="T34" fmla="*/ 50 w 55"/>
                <a:gd name="T35" fmla="*/ 35 h 35"/>
                <a:gd name="T36" fmla="*/ 49 w 55"/>
                <a:gd name="T37" fmla="*/ 35 h 35"/>
                <a:gd name="T38" fmla="*/ 5 w 55"/>
                <a:gd name="T39" fmla="*/ 35 h 35"/>
                <a:gd name="T40" fmla="*/ 4 w 55"/>
                <a:gd name="T41" fmla="*/ 35 h 35"/>
                <a:gd name="T42" fmla="*/ 3 w 55"/>
                <a:gd name="T43" fmla="*/ 35 h 35"/>
                <a:gd name="T44" fmla="*/ 2 w 55"/>
                <a:gd name="T45" fmla="*/ 35 h 35"/>
                <a:gd name="T46" fmla="*/ 1 w 55"/>
                <a:gd name="T47" fmla="*/ 34 h 35"/>
                <a:gd name="T48" fmla="*/ 1 w 55"/>
                <a:gd name="T49" fmla="*/ 34 h 35"/>
                <a:gd name="T50" fmla="*/ 0 w 55"/>
                <a:gd name="T51" fmla="*/ 33 h 35"/>
                <a:gd name="T52" fmla="*/ 0 w 55"/>
                <a:gd name="T53" fmla="*/ 33 h 35"/>
                <a:gd name="T54" fmla="*/ 0 w 55"/>
                <a:gd name="T55" fmla="*/ 32 h 35"/>
                <a:gd name="T56" fmla="*/ 0 w 55"/>
                <a:gd name="T57" fmla="*/ 3 h 35"/>
                <a:gd name="T58" fmla="*/ 0 w 55"/>
                <a:gd name="T59" fmla="*/ 3 h 35"/>
                <a:gd name="T60" fmla="*/ 0 w 55"/>
                <a:gd name="T61" fmla="*/ 2 h 35"/>
                <a:gd name="T62" fmla="*/ 1 w 55"/>
                <a:gd name="T63" fmla="*/ 1 h 35"/>
                <a:gd name="T64" fmla="*/ 1 w 55"/>
                <a:gd name="T65" fmla="*/ 1 h 35"/>
                <a:gd name="T66" fmla="*/ 2 w 55"/>
                <a:gd name="T67" fmla="*/ 1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49" y="0"/>
                  </a:lnTo>
                  <a:lnTo>
                    <a:pt x="50" y="0"/>
                  </a:lnTo>
                  <a:lnTo>
                    <a:pt x="51" y="0"/>
                  </a:lnTo>
                  <a:lnTo>
                    <a:pt x="52" y="1"/>
                  </a:lnTo>
                  <a:lnTo>
                    <a:pt x="53" y="1"/>
                  </a:lnTo>
                  <a:lnTo>
                    <a:pt x="54" y="1"/>
                  </a:lnTo>
                  <a:lnTo>
                    <a:pt x="54" y="2"/>
                  </a:lnTo>
                  <a:lnTo>
                    <a:pt x="55" y="3"/>
                  </a:lnTo>
                  <a:lnTo>
                    <a:pt x="55" y="32"/>
                  </a:lnTo>
                  <a:lnTo>
                    <a:pt x="55" y="33"/>
                  </a:lnTo>
                  <a:lnTo>
                    <a:pt x="54" y="33"/>
                  </a:lnTo>
                  <a:lnTo>
                    <a:pt x="54" y="34"/>
                  </a:lnTo>
                  <a:lnTo>
                    <a:pt x="53" y="34"/>
                  </a:lnTo>
                  <a:lnTo>
                    <a:pt x="52" y="35"/>
                  </a:lnTo>
                  <a:lnTo>
                    <a:pt x="51" y="35"/>
                  </a:lnTo>
                  <a:lnTo>
                    <a:pt x="50" y="35"/>
                  </a:lnTo>
                  <a:lnTo>
                    <a:pt x="49" y="35"/>
                  </a:lnTo>
                  <a:lnTo>
                    <a:pt x="5" y="35"/>
                  </a:lnTo>
                  <a:lnTo>
                    <a:pt x="4" y="35"/>
                  </a:lnTo>
                  <a:lnTo>
                    <a:pt x="3" y="35"/>
                  </a:lnTo>
                  <a:lnTo>
                    <a:pt x="2" y="35"/>
                  </a:lnTo>
                  <a:lnTo>
                    <a:pt x="1" y="34"/>
                  </a:lnTo>
                  <a:lnTo>
                    <a:pt x="0" y="33"/>
                  </a:lnTo>
                  <a:lnTo>
                    <a:pt x="0" y="32"/>
                  </a:lnTo>
                  <a:lnTo>
                    <a:pt x="0" y="3"/>
                  </a:lnTo>
                  <a:lnTo>
                    <a:pt x="0" y="2"/>
                  </a:lnTo>
                  <a:lnTo>
                    <a:pt x="1" y="1"/>
                  </a:lnTo>
                  <a:lnTo>
                    <a:pt x="2" y="1"/>
                  </a:lnTo>
                  <a:lnTo>
                    <a:pt x="3" y="0"/>
                  </a:lnTo>
                  <a:lnTo>
                    <a:pt x="4" y="0"/>
                  </a:lnTo>
                  <a:lnTo>
                    <a:pt x="5"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9" name="Freeform 329">
              <a:extLst>
                <a:ext uri="{FF2B5EF4-FFF2-40B4-BE49-F238E27FC236}">
                  <a16:creationId xmlns:a16="http://schemas.microsoft.com/office/drawing/2014/main" id="{00000000-0008-0000-0300-00003B000000}"/>
                </a:ext>
              </a:extLst>
            </xdr:cNvPr>
            <xdr:cNvSpPr>
              <a:spLocks/>
            </xdr:cNvSpPr>
          </xdr:nvSpPr>
          <xdr:spPr bwMode="auto">
            <a:xfrm>
              <a:off x="290" y="33"/>
              <a:ext cx="55" cy="35"/>
            </a:xfrm>
            <a:custGeom>
              <a:avLst/>
              <a:gdLst>
                <a:gd name="T0" fmla="*/ 5 w 55"/>
                <a:gd name="T1" fmla="*/ 0 h 35"/>
                <a:gd name="T2" fmla="*/ 49 w 55"/>
                <a:gd name="T3" fmla="*/ 0 h 35"/>
                <a:gd name="T4" fmla="*/ 50 w 55"/>
                <a:gd name="T5" fmla="*/ 0 h 35"/>
                <a:gd name="T6" fmla="*/ 51 w 55"/>
                <a:gd name="T7" fmla="*/ 0 h 35"/>
                <a:gd name="T8" fmla="*/ 52 w 55"/>
                <a:gd name="T9" fmla="*/ 1 h 35"/>
                <a:gd name="T10" fmla="*/ 53 w 55"/>
                <a:gd name="T11" fmla="*/ 1 h 35"/>
                <a:gd name="T12" fmla="*/ 54 w 55"/>
                <a:gd name="T13" fmla="*/ 1 h 35"/>
                <a:gd name="T14" fmla="*/ 54 w 55"/>
                <a:gd name="T15" fmla="*/ 2 h 35"/>
                <a:gd name="T16" fmla="*/ 55 w 55"/>
                <a:gd name="T17" fmla="*/ 3 h 35"/>
                <a:gd name="T18" fmla="*/ 55 w 55"/>
                <a:gd name="T19" fmla="*/ 3 h 35"/>
                <a:gd name="T20" fmla="*/ 55 w 55"/>
                <a:gd name="T21" fmla="*/ 32 h 35"/>
                <a:gd name="T22" fmla="*/ 55 w 55"/>
                <a:gd name="T23" fmla="*/ 33 h 35"/>
                <a:gd name="T24" fmla="*/ 54 w 55"/>
                <a:gd name="T25" fmla="*/ 33 h 35"/>
                <a:gd name="T26" fmla="*/ 54 w 55"/>
                <a:gd name="T27" fmla="*/ 34 h 35"/>
                <a:gd name="T28" fmla="*/ 53 w 55"/>
                <a:gd name="T29" fmla="*/ 34 h 35"/>
                <a:gd name="T30" fmla="*/ 52 w 55"/>
                <a:gd name="T31" fmla="*/ 35 h 35"/>
                <a:gd name="T32" fmla="*/ 51 w 55"/>
                <a:gd name="T33" fmla="*/ 35 h 35"/>
                <a:gd name="T34" fmla="*/ 50 w 55"/>
                <a:gd name="T35" fmla="*/ 35 h 35"/>
                <a:gd name="T36" fmla="*/ 49 w 55"/>
                <a:gd name="T37" fmla="*/ 35 h 35"/>
                <a:gd name="T38" fmla="*/ 5 w 55"/>
                <a:gd name="T39" fmla="*/ 35 h 35"/>
                <a:gd name="T40" fmla="*/ 4 w 55"/>
                <a:gd name="T41" fmla="*/ 35 h 35"/>
                <a:gd name="T42" fmla="*/ 3 w 55"/>
                <a:gd name="T43" fmla="*/ 35 h 35"/>
                <a:gd name="T44" fmla="*/ 2 w 55"/>
                <a:gd name="T45" fmla="*/ 35 h 35"/>
                <a:gd name="T46" fmla="*/ 1 w 55"/>
                <a:gd name="T47" fmla="*/ 34 h 35"/>
                <a:gd name="T48" fmla="*/ 1 w 55"/>
                <a:gd name="T49" fmla="*/ 34 h 35"/>
                <a:gd name="T50" fmla="*/ 0 w 55"/>
                <a:gd name="T51" fmla="*/ 33 h 35"/>
                <a:gd name="T52" fmla="*/ 0 w 55"/>
                <a:gd name="T53" fmla="*/ 33 h 35"/>
                <a:gd name="T54" fmla="*/ 0 w 55"/>
                <a:gd name="T55" fmla="*/ 32 h 35"/>
                <a:gd name="T56" fmla="*/ 0 w 55"/>
                <a:gd name="T57" fmla="*/ 3 h 35"/>
                <a:gd name="T58" fmla="*/ 0 w 55"/>
                <a:gd name="T59" fmla="*/ 3 h 35"/>
                <a:gd name="T60" fmla="*/ 0 w 55"/>
                <a:gd name="T61" fmla="*/ 2 h 35"/>
                <a:gd name="T62" fmla="*/ 1 w 55"/>
                <a:gd name="T63" fmla="*/ 1 h 35"/>
                <a:gd name="T64" fmla="*/ 1 w 55"/>
                <a:gd name="T65" fmla="*/ 1 h 35"/>
                <a:gd name="T66" fmla="*/ 2 w 55"/>
                <a:gd name="T67" fmla="*/ 1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49" y="0"/>
                  </a:lnTo>
                  <a:lnTo>
                    <a:pt x="50" y="0"/>
                  </a:lnTo>
                  <a:lnTo>
                    <a:pt x="51" y="0"/>
                  </a:lnTo>
                  <a:lnTo>
                    <a:pt x="52" y="1"/>
                  </a:lnTo>
                  <a:lnTo>
                    <a:pt x="53" y="1"/>
                  </a:lnTo>
                  <a:lnTo>
                    <a:pt x="54" y="1"/>
                  </a:lnTo>
                  <a:lnTo>
                    <a:pt x="54" y="2"/>
                  </a:lnTo>
                  <a:lnTo>
                    <a:pt x="55" y="3"/>
                  </a:lnTo>
                  <a:lnTo>
                    <a:pt x="55" y="32"/>
                  </a:lnTo>
                  <a:lnTo>
                    <a:pt x="55" y="33"/>
                  </a:lnTo>
                  <a:lnTo>
                    <a:pt x="54" y="33"/>
                  </a:lnTo>
                  <a:lnTo>
                    <a:pt x="54" y="34"/>
                  </a:lnTo>
                  <a:lnTo>
                    <a:pt x="53" y="34"/>
                  </a:lnTo>
                  <a:lnTo>
                    <a:pt x="52" y="35"/>
                  </a:lnTo>
                  <a:lnTo>
                    <a:pt x="51" y="35"/>
                  </a:lnTo>
                  <a:lnTo>
                    <a:pt x="50" y="35"/>
                  </a:lnTo>
                  <a:lnTo>
                    <a:pt x="49" y="35"/>
                  </a:lnTo>
                  <a:lnTo>
                    <a:pt x="5" y="35"/>
                  </a:lnTo>
                  <a:lnTo>
                    <a:pt x="4" y="35"/>
                  </a:lnTo>
                  <a:lnTo>
                    <a:pt x="3" y="35"/>
                  </a:lnTo>
                  <a:lnTo>
                    <a:pt x="2" y="35"/>
                  </a:lnTo>
                  <a:lnTo>
                    <a:pt x="1" y="34"/>
                  </a:lnTo>
                  <a:lnTo>
                    <a:pt x="0" y="33"/>
                  </a:lnTo>
                  <a:lnTo>
                    <a:pt x="0" y="32"/>
                  </a:lnTo>
                  <a:lnTo>
                    <a:pt x="0" y="3"/>
                  </a:lnTo>
                  <a:lnTo>
                    <a:pt x="0" y="2"/>
                  </a:lnTo>
                  <a:lnTo>
                    <a:pt x="1" y="1"/>
                  </a:lnTo>
                  <a:lnTo>
                    <a:pt x="2" y="1"/>
                  </a:lnTo>
                  <a:lnTo>
                    <a:pt x="3" y="0"/>
                  </a:lnTo>
                  <a:lnTo>
                    <a:pt x="4" y="0"/>
                  </a:lnTo>
                  <a:lnTo>
                    <a:pt x="5"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6" name="Group 333">
            <a:extLst>
              <a:ext uri="{FF2B5EF4-FFF2-40B4-BE49-F238E27FC236}">
                <a16:creationId xmlns:a16="http://schemas.microsoft.com/office/drawing/2014/main" id="{00000000-0008-0000-0300-000006000000}"/>
              </a:ext>
            </a:extLst>
          </xdr:cNvPr>
          <xdr:cNvGrpSpPr>
            <a:grpSpLocks/>
          </xdr:cNvGrpSpPr>
        </xdr:nvGrpSpPr>
        <xdr:grpSpPr bwMode="auto">
          <a:xfrm>
            <a:off x="290" y="33"/>
            <a:ext cx="122" cy="18"/>
            <a:chOff x="290" y="33"/>
            <a:chExt cx="122" cy="18"/>
          </a:xfrm>
        </xdr:grpSpPr>
        <xdr:sp macro="" textlink="">
          <xdr:nvSpPr>
            <xdr:cNvPr id="56" name="Freeform 331">
              <a:extLst>
                <a:ext uri="{FF2B5EF4-FFF2-40B4-BE49-F238E27FC236}">
                  <a16:creationId xmlns:a16="http://schemas.microsoft.com/office/drawing/2014/main" id="{00000000-0008-0000-0300-000038000000}"/>
                </a:ext>
              </a:extLst>
            </xdr:cNvPr>
            <xdr:cNvSpPr>
              <a:spLocks/>
            </xdr:cNvSpPr>
          </xdr:nvSpPr>
          <xdr:spPr bwMode="auto">
            <a:xfrm>
              <a:off x="290" y="33"/>
              <a:ext cx="122" cy="18"/>
            </a:xfrm>
            <a:custGeom>
              <a:avLst/>
              <a:gdLst>
                <a:gd name="T0" fmla="*/ 7 w 122"/>
                <a:gd name="T1" fmla="*/ 0 h 18"/>
                <a:gd name="T2" fmla="*/ 115 w 122"/>
                <a:gd name="T3" fmla="*/ 0 h 18"/>
                <a:gd name="T4" fmla="*/ 116 w 122"/>
                <a:gd name="T5" fmla="*/ 0 h 18"/>
                <a:gd name="T6" fmla="*/ 118 w 122"/>
                <a:gd name="T7" fmla="*/ 0 h 18"/>
                <a:gd name="T8" fmla="*/ 119 w 122"/>
                <a:gd name="T9" fmla="*/ 1 h 18"/>
                <a:gd name="T10" fmla="*/ 120 w 122"/>
                <a:gd name="T11" fmla="*/ 1 h 18"/>
                <a:gd name="T12" fmla="*/ 121 w 122"/>
                <a:gd name="T13" fmla="*/ 2 h 18"/>
                <a:gd name="T14" fmla="*/ 121 w 122"/>
                <a:gd name="T15" fmla="*/ 2 h 18"/>
                <a:gd name="T16" fmla="*/ 122 w 122"/>
                <a:gd name="T17" fmla="*/ 3 h 18"/>
                <a:gd name="T18" fmla="*/ 122 w 122"/>
                <a:gd name="T19" fmla="*/ 4 h 18"/>
                <a:gd name="T20" fmla="*/ 122 w 122"/>
                <a:gd name="T21" fmla="*/ 14 h 18"/>
                <a:gd name="T22" fmla="*/ 122 w 122"/>
                <a:gd name="T23" fmla="*/ 15 h 18"/>
                <a:gd name="T24" fmla="*/ 121 w 122"/>
                <a:gd name="T25" fmla="*/ 15 h 18"/>
                <a:gd name="T26" fmla="*/ 121 w 122"/>
                <a:gd name="T27" fmla="*/ 16 h 18"/>
                <a:gd name="T28" fmla="*/ 120 w 122"/>
                <a:gd name="T29" fmla="*/ 16 h 18"/>
                <a:gd name="T30" fmla="*/ 119 w 122"/>
                <a:gd name="T31" fmla="*/ 17 h 18"/>
                <a:gd name="T32" fmla="*/ 118 w 122"/>
                <a:gd name="T33" fmla="*/ 17 h 18"/>
                <a:gd name="T34" fmla="*/ 116 w 122"/>
                <a:gd name="T35" fmla="*/ 17 h 18"/>
                <a:gd name="T36" fmla="*/ 115 w 122"/>
                <a:gd name="T37" fmla="*/ 18 h 18"/>
                <a:gd name="T38" fmla="*/ 7 w 122"/>
                <a:gd name="T39" fmla="*/ 18 h 18"/>
                <a:gd name="T40" fmla="*/ 5 w 122"/>
                <a:gd name="T41" fmla="*/ 17 h 18"/>
                <a:gd name="T42" fmla="*/ 4 w 122"/>
                <a:gd name="T43" fmla="*/ 17 h 18"/>
                <a:gd name="T44" fmla="*/ 3 w 122"/>
                <a:gd name="T45" fmla="*/ 17 h 18"/>
                <a:gd name="T46" fmla="*/ 2 w 122"/>
                <a:gd name="T47" fmla="*/ 16 h 18"/>
                <a:gd name="T48" fmla="*/ 1 w 122"/>
                <a:gd name="T49" fmla="*/ 16 h 18"/>
                <a:gd name="T50" fmla="*/ 1 w 122"/>
                <a:gd name="T51" fmla="*/ 15 h 18"/>
                <a:gd name="T52" fmla="*/ 0 w 122"/>
                <a:gd name="T53" fmla="*/ 15 h 18"/>
                <a:gd name="T54" fmla="*/ 0 w 122"/>
                <a:gd name="T55" fmla="*/ 14 h 18"/>
                <a:gd name="T56" fmla="*/ 0 w 122"/>
                <a:gd name="T57" fmla="*/ 4 h 18"/>
                <a:gd name="T58" fmla="*/ 0 w 122"/>
                <a:gd name="T59" fmla="*/ 3 h 18"/>
                <a:gd name="T60" fmla="*/ 1 w 122"/>
                <a:gd name="T61" fmla="*/ 2 h 18"/>
                <a:gd name="T62" fmla="*/ 1 w 122"/>
                <a:gd name="T63" fmla="*/ 2 h 18"/>
                <a:gd name="T64" fmla="*/ 2 w 122"/>
                <a:gd name="T65" fmla="*/ 1 h 18"/>
                <a:gd name="T66" fmla="*/ 3 w 122"/>
                <a:gd name="T67" fmla="*/ 1 h 18"/>
                <a:gd name="T68" fmla="*/ 4 w 122"/>
                <a:gd name="T69" fmla="*/ 0 h 18"/>
                <a:gd name="T70" fmla="*/ 5 w 122"/>
                <a:gd name="T71" fmla="*/ 0 h 18"/>
                <a:gd name="T72" fmla="*/ 7 w 122"/>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7" y="0"/>
                  </a:moveTo>
                  <a:lnTo>
                    <a:pt x="115" y="0"/>
                  </a:lnTo>
                  <a:lnTo>
                    <a:pt x="116" y="0"/>
                  </a:lnTo>
                  <a:lnTo>
                    <a:pt x="118" y="0"/>
                  </a:lnTo>
                  <a:lnTo>
                    <a:pt x="119" y="1"/>
                  </a:lnTo>
                  <a:lnTo>
                    <a:pt x="120" y="1"/>
                  </a:lnTo>
                  <a:lnTo>
                    <a:pt x="121" y="2"/>
                  </a:lnTo>
                  <a:lnTo>
                    <a:pt x="122" y="3"/>
                  </a:lnTo>
                  <a:lnTo>
                    <a:pt x="122" y="4"/>
                  </a:lnTo>
                  <a:lnTo>
                    <a:pt x="122" y="14"/>
                  </a:lnTo>
                  <a:lnTo>
                    <a:pt x="122" y="15"/>
                  </a:lnTo>
                  <a:lnTo>
                    <a:pt x="121" y="15"/>
                  </a:lnTo>
                  <a:lnTo>
                    <a:pt x="121" y="16"/>
                  </a:lnTo>
                  <a:lnTo>
                    <a:pt x="120" y="16"/>
                  </a:lnTo>
                  <a:lnTo>
                    <a:pt x="119" y="17"/>
                  </a:lnTo>
                  <a:lnTo>
                    <a:pt x="118" y="17"/>
                  </a:lnTo>
                  <a:lnTo>
                    <a:pt x="116" y="17"/>
                  </a:lnTo>
                  <a:lnTo>
                    <a:pt x="115" y="18"/>
                  </a:lnTo>
                  <a:lnTo>
                    <a:pt x="7" y="18"/>
                  </a:lnTo>
                  <a:lnTo>
                    <a:pt x="5" y="17"/>
                  </a:lnTo>
                  <a:lnTo>
                    <a:pt x="4" y="17"/>
                  </a:lnTo>
                  <a:lnTo>
                    <a:pt x="3" y="17"/>
                  </a:lnTo>
                  <a:lnTo>
                    <a:pt x="2" y="16"/>
                  </a:lnTo>
                  <a:lnTo>
                    <a:pt x="1" y="16"/>
                  </a:lnTo>
                  <a:lnTo>
                    <a:pt x="1" y="15"/>
                  </a:lnTo>
                  <a:lnTo>
                    <a:pt x="0" y="15"/>
                  </a:lnTo>
                  <a:lnTo>
                    <a:pt x="0" y="14"/>
                  </a:lnTo>
                  <a:lnTo>
                    <a:pt x="0" y="4"/>
                  </a:lnTo>
                  <a:lnTo>
                    <a:pt x="0" y="3"/>
                  </a:lnTo>
                  <a:lnTo>
                    <a:pt x="1" y="2"/>
                  </a:lnTo>
                  <a:lnTo>
                    <a:pt x="2" y="1"/>
                  </a:lnTo>
                  <a:lnTo>
                    <a:pt x="3" y="1"/>
                  </a:lnTo>
                  <a:lnTo>
                    <a:pt x="4" y="0"/>
                  </a:lnTo>
                  <a:lnTo>
                    <a:pt x="5" y="0"/>
                  </a:lnTo>
                  <a:lnTo>
                    <a:pt x="7"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7" name="Freeform 332">
              <a:extLst>
                <a:ext uri="{FF2B5EF4-FFF2-40B4-BE49-F238E27FC236}">
                  <a16:creationId xmlns:a16="http://schemas.microsoft.com/office/drawing/2014/main" id="{00000000-0008-0000-0300-000039000000}"/>
                </a:ext>
              </a:extLst>
            </xdr:cNvPr>
            <xdr:cNvSpPr>
              <a:spLocks/>
            </xdr:cNvSpPr>
          </xdr:nvSpPr>
          <xdr:spPr bwMode="auto">
            <a:xfrm>
              <a:off x="290" y="33"/>
              <a:ext cx="122" cy="18"/>
            </a:xfrm>
            <a:custGeom>
              <a:avLst/>
              <a:gdLst>
                <a:gd name="T0" fmla="*/ 7 w 122"/>
                <a:gd name="T1" fmla="*/ 0 h 18"/>
                <a:gd name="T2" fmla="*/ 115 w 122"/>
                <a:gd name="T3" fmla="*/ 0 h 18"/>
                <a:gd name="T4" fmla="*/ 116 w 122"/>
                <a:gd name="T5" fmla="*/ 0 h 18"/>
                <a:gd name="T6" fmla="*/ 118 w 122"/>
                <a:gd name="T7" fmla="*/ 0 h 18"/>
                <a:gd name="T8" fmla="*/ 119 w 122"/>
                <a:gd name="T9" fmla="*/ 1 h 18"/>
                <a:gd name="T10" fmla="*/ 120 w 122"/>
                <a:gd name="T11" fmla="*/ 1 h 18"/>
                <a:gd name="T12" fmla="*/ 121 w 122"/>
                <a:gd name="T13" fmla="*/ 2 h 18"/>
                <a:gd name="T14" fmla="*/ 121 w 122"/>
                <a:gd name="T15" fmla="*/ 2 h 18"/>
                <a:gd name="T16" fmla="*/ 122 w 122"/>
                <a:gd name="T17" fmla="*/ 3 h 18"/>
                <a:gd name="T18" fmla="*/ 122 w 122"/>
                <a:gd name="T19" fmla="*/ 4 h 18"/>
                <a:gd name="T20" fmla="*/ 122 w 122"/>
                <a:gd name="T21" fmla="*/ 14 h 18"/>
                <a:gd name="T22" fmla="*/ 122 w 122"/>
                <a:gd name="T23" fmla="*/ 15 h 18"/>
                <a:gd name="T24" fmla="*/ 121 w 122"/>
                <a:gd name="T25" fmla="*/ 15 h 18"/>
                <a:gd name="T26" fmla="*/ 121 w 122"/>
                <a:gd name="T27" fmla="*/ 16 h 18"/>
                <a:gd name="T28" fmla="*/ 120 w 122"/>
                <a:gd name="T29" fmla="*/ 16 h 18"/>
                <a:gd name="T30" fmla="*/ 119 w 122"/>
                <a:gd name="T31" fmla="*/ 17 h 18"/>
                <a:gd name="T32" fmla="*/ 118 w 122"/>
                <a:gd name="T33" fmla="*/ 17 h 18"/>
                <a:gd name="T34" fmla="*/ 116 w 122"/>
                <a:gd name="T35" fmla="*/ 17 h 18"/>
                <a:gd name="T36" fmla="*/ 115 w 122"/>
                <a:gd name="T37" fmla="*/ 18 h 18"/>
                <a:gd name="T38" fmla="*/ 7 w 122"/>
                <a:gd name="T39" fmla="*/ 18 h 18"/>
                <a:gd name="T40" fmla="*/ 5 w 122"/>
                <a:gd name="T41" fmla="*/ 17 h 18"/>
                <a:gd name="T42" fmla="*/ 4 w 122"/>
                <a:gd name="T43" fmla="*/ 17 h 18"/>
                <a:gd name="T44" fmla="*/ 3 w 122"/>
                <a:gd name="T45" fmla="*/ 17 h 18"/>
                <a:gd name="T46" fmla="*/ 2 w 122"/>
                <a:gd name="T47" fmla="*/ 16 h 18"/>
                <a:gd name="T48" fmla="*/ 1 w 122"/>
                <a:gd name="T49" fmla="*/ 16 h 18"/>
                <a:gd name="T50" fmla="*/ 1 w 122"/>
                <a:gd name="T51" fmla="*/ 15 h 18"/>
                <a:gd name="T52" fmla="*/ 0 w 122"/>
                <a:gd name="T53" fmla="*/ 15 h 18"/>
                <a:gd name="T54" fmla="*/ 0 w 122"/>
                <a:gd name="T55" fmla="*/ 14 h 18"/>
                <a:gd name="T56" fmla="*/ 0 w 122"/>
                <a:gd name="T57" fmla="*/ 4 h 18"/>
                <a:gd name="T58" fmla="*/ 0 w 122"/>
                <a:gd name="T59" fmla="*/ 3 h 18"/>
                <a:gd name="T60" fmla="*/ 1 w 122"/>
                <a:gd name="T61" fmla="*/ 2 h 18"/>
                <a:gd name="T62" fmla="*/ 1 w 122"/>
                <a:gd name="T63" fmla="*/ 2 h 18"/>
                <a:gd name="T64" fmla="*/ 2 w 122"/>
                <a:gd name="T65" fmla="*/ 1 h 18"/>
                <a:gd name="T66" fmla="*/ 3 w 122"/>
                <a:gd name="T67" fmla="*/ 1 h 18"/>
                <a:gd name="T68" fmla="*/ 4 w 122"/>
                <a:gd name="T69" fmla="*/ 0 h 18"/>
                <a:gd name="T70" fmla="*/ 5 w 122"/>
                <a:gd name="T71" fmla="*/ 0 h 18"/>
                <a:gd name="T72" fmla="*/ 7 w 122"/>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7" y="0"/>
                  </a:moveTo>
                  <a:lnTo>
                    <a:pt x="115" y="0"/>
                  </a:lnTo>
                  <a:lnTo>
                    <a:pt x="116" y="0"/>
                  </a:lnTo>
                  <a:lnTo>
                    <a:pt x="118" y="0"/>
                  </a:lnTo>
                  <a:lnTo>
                    <a:pt x="119" y="1"/>
                  </a:lnTo>
                  <a:lnTo>
                    <a:pt x="120" y="1"/>
                  </a:lnTo>
                  <a:lnTo>
                    <a:pt x="121" y="2"/>
                  </a:lnTo>
                  <a:lnTo>
                    <a:pt x="122" y="3"/>
                  </a:lnTo>
                  <a:lnTo>
                    <a:pt x="122" y="4"/>
                  </a:lnTo>
                  <a:lnTo>
                    <a:pt x="122" y="14"/>
                  </a:lnTo>
                  <a:lnTo>
                    <a:pt x="122" y="15"/>
                  </a:lnTo>
                  <a:lnTo>
                    <a:pt x="121" y="15"/>
                  </a:lnTo>
                  <a:lnTo>
                    <a:pt x="121" y="16"/>
                  </a:lnTo>
                  <a:lnTo>
                    <a:pt x="120" y="16"/>
                  </a:lnTo>
                  <a:lnTo>
                    <a:pt x="119" y="17"/>
                  </a:lnTo>
                  <a:lnTo>
                    <a:pt x="118" y="17"/>
                  </a:lnTo>
                  <a:lnTo>
                    <a:pt x="116" y="17"/>
                  </a:lnTo>
                  <a:lnTo>
                    <a:pt x="115" y="18"/>
                  </a:lnTo>
                  <a:lnTo>
                    <a:pt x="7" y="18"/>
                  </a:lnTo>
                  <a:lnTo>
                    <a:pt x="5" y="17"/>
                  </a:lnTo>
                  <a:lnTo>
                    <a:pt x="4" y="17"/>
                  </a:lnTo>
                  <a:lnTo>
                    <a:pt x="3" y="17"/>
                  </a:lnTo>
                  <a:lnTo>
                    <a:pt x="2" y="16"/>
                  </a:lnTo>
                  <a:lnTo>
                    <a:pt x="1" y="16"/>
                  </a:lnTo>
                  <a:lnTo>
                    <a:pt x="1" y="15"/>
                  </a:lnTo>
                  <a:lnTo>
                    <a:pt x="0" y="15"/>
                  </a:lnTo>
                  <a:lnTo>
                    <a:pt x="0" y="14"/>
                  </a:lnTo>
                  <a:lnTo>
                    <a:pt x="0" y="4"/>
                  </a:lnTo>
                  <a:lnTo>
                    <a:pt x="0" y="3"/>
                  </a:lnTo>
                  <a:lnTo>
                    <a:pt x="1" y="2"/>
                  </a:lnTo>
                  <a:lnTo>
                    <a:pt x="2" y="1"/>
                  </a:lnTo>
                  <a:lnTo>
                    <a:pt x="3" y="1"/>
                  </a:lnTo>
                  <a:lnTo>
                    <a:pt x="4" y="0"/>
                  </a:lnTo>
                  <a:lnTo>
                    <a:pt x="5" y="0"/>
                  </a:lnTo>
                  <a:lnTo>
                    <a:pt x="7"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7" name="Group 336">
            <a:extLst>
              <a:ext uri="{FF2B5EF4-FFF2-40B4-BE49-F238E27FC236}">
                <a16:creationId xmlns:a16="http://schemas.microsoft.com/office/drawing/2014/main" id="{00000000-0008-0000-0300-000007000000}"/>
              </a:ext>
            </a:extLst>
          </xdr:cNvPr>
          <xdr:cNvGrpSpPr>
            <a:grpSpLocks/>
          </xdr:cNvGrpSpPr>
        </xdr:nvGrpSpPr>
        <xdr:grpSpPr bwMode="auto">
          <a:xfrm>
            <a:off x="490" y="34"/>
            <a:ext cx="55" cy="34"/>
            <a:chOff x="490" y="34"/>
            <a:chExt cx="55" cy="34"/>
          </a:xfrm>
        </xdr:grpSpPr>
        <xdr:sp macro="" textlink="">
          <xdr:nvSpPr>
            <xdr:cNvPr id="54" name="Freeform 334">
              <a:extLst>
                <a:ext uri="{FF2B5EF4-FFF2-40B4-BE49-F238E27FC236}">
                  <a16:creationId xmlns:a16="http://schemas.microsoft.com/office/drawing/2014/main" id="{00000000-0008-0000-0300-000036000000}"/>
                </a:ext>
              </a:extLst>
            </xdr:cNvPr>
            <xdr:cNvSpPr>
              <a:spLocks/>
            </xdr:cNvSpPr>
          </xdr:nvSpPr>
          <xdr:spPr bwMode="auto">
            <a:xfrm>
              <a:off x="490" y="34"/>
              <a:ext cx="55" cy="34"/>
            </a:xfrm>
            <a:custGeom>
              <a:avLst/>
              <a:gdLst>
                <a:gd name="T0" fmla="*/ 50 w 55"/>
                <a:gd name="T1" fmla="*/ 0 h 34"/>
                <a:gd name="T2" fmla="*/ 6 w 55"/>
                <a:gd name="T3" fmla="*/ 0 h 34"/>
                <a:gd name="T4" fmla="*/ 5 w 55"/>
                <a:gd name="T5" fmla="*/ 0 h 34"/>
                <a:gd name="T6" fmla="*/ 4 w 55"/>
                <a:gd name="T7" fmla="*/ 0 h 34"/>
                <a:gd name="T8" fmla="*/ 3 w 55"/>
                <a:gd name="T9" fmla="*/ 0 h 34"/>
                <a:gd name="T10" fmla="*/ 2 w 55"/>
                <a:gd name="T11" fmla="*/ 0 h 34"/>
                <a:gd name="T12" fmla="*/ 1 w 55"/>
                <a:gd name="T13" fmla="*/ 1 h 34"/>
                <a:gd name="T14" fmla="*/ 1 w 55"/>
                <a:gd name="T15" fmla="*/ 1 h 34"/>
                <a:gd name="T16" fmla="*/ 1 w 55"/>
                <a:gd name="T17" fmla="*/ 2 h 34"/>
                <a:gd name="T18" fmla="*/ 0 w 55"/>
                <a:gd name="T19" fmla="*/ 3 h 34"/>
                <a:gd name="T20" fmla="*/ 0 w 55"/>
                <a:gd name="T21" fmla="*/ 31 h 34"/>
                <a:gd name="T22" fmla="*/ 1 w 55"/>
                <a:gd name="T23" fmla="*/ 32 h 34"/>
                <a:gd name="T24" fmla="*/ 1 w 55"/>
                <a:gd name="T25" fmla="*/ 33 h 34"/>
                <a:gd name="T26" fmla="*/ 1 w 55"/>
                <a:gd name="T27" fmla="*/ 33 h 34"/>
                <a:gd name="T28" fmla="*/ 2 w 55"/>
                <a:gd name="T29" fmla="*/ 34 h 34"/>
                <a:gd name="T30" fmla="*/ 3 w 55"/>
                <a:gd name="T31" fmla="*/ 34 h 34"/>
                <a:gd name="T32" fmla="*/ 4 w 55"/>
                <a:gd name="T33" fmla="*/ 34 h 34"/>
                <a:gd name="T34" fmla="*/ 5 w 55"/>
                <a:gd name="T35" fmla="*/ 34 h 34"/>
                <a:gd name="T36" fmla="*/ 6 w 55"/>
                <a:gd name="T37" fmla="*/ 34 h 34"/>
                <a:gd name="T38" fmla="*/ 50 w 55"/>
                <a:gd name="T39" fmla="*/ 34 h 34"/>
                <a:gd name="T40" fmla="*/ 51 w 55"/>
                <a:gd name="T41" fmla="*/ 34 h 34"/>
                <a:gd name="T42" fmla="*/ 52 w 55"/>
                <a:gd name="T43" fmla="*/ 34 h 34"/>
                <a:gd name="T44" fmla="*/ 53 w 55"/>
                <a:gd name="T45" fmla="*/ 34 h 34"/>
                <a:gd name="T46" fmla="*/ 54 w 55"/>
                <a:gd name="T47" fmla="*/ 34 h 34"/>
                <a:gd name="T48" fmla="*/ 54 w 55"/>
                <a:gd name="T49" fmla="*/ 33 h 34"/>
                <a:gd name="T50" fmla="*/ 55 w 55"/>
                <a:gd name="T51" fmla="*/ 33 h 34"/>
                <a:gd name="T52" fmla="*/ 55 w 55"/>
                <a:gd name="T53" fmla="*/ 32 h 34"/>
                <a:gd name="T54" fmla="*/ 55 w 55"/>
                <a:gd name="T55" fmla="*/ 31 h 34"/>
                <a:gd name="T56" fmla="*/ 55 w 55"/>
                <a:gd name="T57" fmla="*/ 3 h 34"/>
                <a:gd name="T58" fmla="*/ 55 w 55"/>
                <a:gd name="T59" fmla="*/ 2 h 34"/>
                <a:gd name="T60" fmla="*/ 55 w 55"/>
                <a:gd name="T61" fmla="*/ 1 h 34"/>
                <a:gd name="T62" fmla="*/ 54 w 55"/>
                <a:gd name="T63" fmla="*/ 1 h 34"/>
                <a:gd name="T64" fmla="*/ 54 w 55"/>
                <a:gd name="T65" fmla="*/ 0 h 34"/>
                <a:gd name="T66" fmla="*/ 53 w 55"/>
                <a:gd name="T67" fmla="*/ 0 h 34"/>
                <a:gd name="T68" fmla="*/ 52 w 55"/>
                <a:gd name="T69" fmla="*/ 0 h 34"/>
                <a:gd name="T70" fmla="*/ 51 w 55"/>
                <a:gd name="T71" fmla="*/ 0 h 34"/>
                <a:gd name="T72" fmla="*/ 50 w 55"/>
                <a:gd name="T73" fmla="*/ 0 h 34"/>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4"/>
                <a:gd name="T113" fmla="*/ 55 w 55"/>
                <a:gd name="T114" fmla="*/ 34 h 34"/>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4">
                  <a:moveTo>
                    <a:pt x="50" y="0"/>
                  </a:moveTo>
                  <a:lnTo>
                    <a:pt x="6" y="0"/>
                  </a:lnTo>
                  <a:lnTo>
                    <a:pt x="5" y="0"/>
                  </a:lnTo>
                  <a:lnTo>
                    <a:pt x="4" y="0"/>
                  </a:lnTo>
                  <a:lnTo>
                    <a:pt x="3" y="0"/>
                  </a:lnTo>
                  <a:lnTo>
                    <a:pt x="2" y="0"/>
                  </a:lnTo>
                  <a:lnTo>
                    <a:pt x="1" y="1"/>
                  </a:lnTo>
                  <a:lnTo>
                    <a:pt x="1" y="2"/>
                  </a:lnTo>
                  <a:lnTo>
                    <a:pt x="0" y="3"/>
                  </a:lnTo>
                  <a:lnTo>
                    <a:pt x="0" y="31"/>
                  </a:lnTo>
                  <a:lnTo>
                    <a:pt x="1" y="32"/>
                  </a:lnTo>
                  <a:lnTo>
                    <a:pt x="1" y="33"/>
                  </a:lnTo>
                  <a:lnTo>
                    <a:pt x="2" y="34"/>
                  </a:lnTo>
                  <a:lnTo>
                    <a:pt x="3" y="34"/>
                  </a:lnTo>
                  <a:lnTo>
                    <a:pt x="4" y="34"/>
                  </a:lnTo>
                  <a:lnTo>
                    <a:pt x="5" y="34"/>
                  </a:lnTo>
                  <a:lnTo>
                    <a:pt x="6" y="34"/>
                  </a:lnTo>
                  <a:lnTo>
                    <a:pt x="50" y="34"/>
                  </a:lnTo>
                  <a:lnTo>
                    <a:pt x="51" y="34"/>
                  </a:lnTo>
                  <a:lnTo>
                    <a:pt x="52" y="34"/>
                  </a:lnTo>
                  <a:lnTo>
                    <a:pt x="53" y="34"/>
                  </a:lnTo>
                  <a:lnTo>
                    <a:pt x="54" y="34"/>
                  </a:lnTo>
                  <a:lnTo>
                    <a:pt x="54" y="33"/>
                  </a:lnTo>
                  <a:lnTo>
                    <a:pt x="55" y="33"/>
                  </a:lnTo>
                  <a:lnTo>
                    <a:pt x="55" y="32"/>
                  </a:lnTo>
                  <a:lnTo>
                    <a:pt x="55" y="31"/>
                  </a:lnTo>
                  <a:lnTo>
                    <a:pt x="55" y="3"/>
                  </a:lnTo>
                  <a:lnTo>
                    <a:pt x="55" y="2"/>
                  </a:lnTo>
                  <a:lnTo>
                    <a:pt x="55" y="1"/>
                  </a:lnTo>
                  <a:lnTo>
                    <a:pt x="54" y="1"/>
                  </a:lnTo>
                  <a:lnTo>
                    <a:pt x="54" y="0"/>
                  </a:lnTo>
                  <a:lnTo>
                    <a:pt x="53" y="0"/>
                  </a:lnTo>
                  <a:lnTo>
                    <a:pt x="52" y="0"/>
                  </a:lnTo>
                  <a:lnTo>
                    <a:pt x="51" y="0"/>
                  </a:lnTo>
                  <a:lnTo>
                    <a:pt x="50"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5" name="Freeform 335">
              <a:extLst>
                <a:ext uri="{FF2B5EF4-FFF2-40B4-BE49-F238E27FC236}">
                  <a16:creationId xmlns:a16="http://schemas.microsoft.com/office/drawing/2014/main" id="{00000000-0008-0000-0300-000037000000}"/>
                </a:ext>
              </a:extLst>
            </xdr:cNvPr>
            <xdr:cNvSpPr>
              <a:spLocks/>
            </xdr:cNvSpPr>
          </xdr:nvSpPr>
          <xdr:spPr bwMode="auto">
            <a:xfrm>
              <a:off x="490" y="34"/>
              <a:ext cx="55" cy="34"/>
            </a:xfrm>
            <a:custGeom>
              <a:avLst/>
              <a:gdLst>
                <a:gd name="T0" fmla="*/ 50 w 55"/>
                <a:gd name="T1" fmla="*/ 0 h 34"/>
                <a:gd name="T2" fmla="*/ 6 w 55"/>
                <a:gd name="T3" fmla="*/ 0 h 34"/>
                <a:gd name="T4" fmla="*/ 5 w 55"/>
                <a:gd name="T5" fmla="*/ 0 h 34"/>
                <a:gd name="T6" fmla="*/ 4 w 55"/>
                <a:gd name="T7" fmla="*/ 0 h 34"/>
                <a:gd name="T8" fmla="*/ 3 w 55"/>
                <a:gd name="T9" fmla="*/ 0 h 34"/>
                <a:gd name="T10" fmla="*/ 2 w 55"/>
                <a:gd name="T11" fmla="*/ 0 h 34"/>
                <a:gd name="T12" fmla="*/ 1 w 55"/>
                <a:gd name="T13" fmla="*/ 1 h 34"/>
                <a:gd name="T14" fmla="*/ 1 w 55"/>
                <a:gd name="T15" fmla="*/ 1 h 34"/>
                <a:gd name="T16" fmla="*/ 1 w 55"/>
                <a:gd name="T17" fmla="*/ 2 h 34"/>
                <a:gd name="T18" fmla="*/ 0 w 55"/>
                <a:gd name="T19" fmla="*/ 3 h 34"/>
                <a:gd name="T20" fmla="*/ 0 w 55"/>
                <a:gd name="T21" fmla="*/ 31 h 34"/>
                <a:gd name="T22" fmla="*/ 1 w 55"/>
                <a:gd name="T23" fmla="*/ 32 h 34"/>
                <a:gd name="T24" fmla="*/ 1 w 55"/>
                <a:gd name="T25" fmla="*/ 33 h 34"/>
                <a:gd name="T26" fmla="*/ 1 w 55"/>
                <a:gd name="T27" fmla="*/ 33 h 34"/>
                <a:gd name="T28" fmla="*/ 2 w 55"/>
                <a:gd name="T29" fmla="*/ 34 h 34"/>
                <a:gd name="T30" fmla="*/ 3 w 55"/>
                <a:gd name="T31" fmla="*/ 34 h 34"/>
                <a:gd name="T32" fmla="*/ 4 w 55"/>
                <a:gd name="T33" fmla="*/ 34 h 34"/>
                <a:gd name="T34" fmla="*/ 5 w 55"/>
                <a:gd name="T35" fmla="*/ 34 h 34"/>
                <a:gd name="T36" fmla="*/ 6 w 55"/>
                <a:gd name="T37" fmla="*/ 34 h 34"/>
                <a:gd name="T38" fmla="*/ 50 w 55"/>
                <a:gd name="T39" fmla="*/ 34 h 34"/>
                <a:gd name="T40" fmla="*/ 51 w 55"/>
                <a:gd name="T41" fmla="*/ 34 h 34"/>
                <a:gd name="T42" fmla="*/ 52 w 55"/>
                <a:gd name="T43" fmla="*/ 34 h 34"/>
                <a:gd name="T44" fmla="*/ 53 w 55"/>
                <a:gd name="T45" fmla="*/ 34 h 34"/>
                <a:gd name="T46" fmla="*/ 54 w 55"/>
                <a:gd name="T47" fmla="*/ 34 h 34"/>
                <a:gd name="T48" fmla="*/ 54 w 55"/>
                <a:gd name="T49" fmla="*/ 33 h 34"/>
                <a:gd name="T50" fmla="*/ 55 w 55"/>
                <a:gd name="T51" fmla="*/ 33 h 34"/>
                <a:gd name="T52" fmla="*/ 55 w 55"/>
                <a:gd name="T53" fmla="*/ 32 h 34"/>
                <a:gd name="T54" fmla="*/ 55 w 55"/>
                <a:gd name="T55" fmla="*/ 31 h 34"/>
                <a:gd name="T56" fmla="*/ 55 w 55"/>
                <a:gd name="T57" fmla="*/ 3 h 34"/>
                <a:gd name="T58" fmla="*/ 55 w 55"/>
                <a:gd name="T59" fmla="*/ 2 h 34"/>
                <a:gd name="T60" fmla="*/ 55 w 55"/>
                <a:gd name="T61" fmla="*/ 1 h 34"/>
                <a:gd name="T62" fmla="*/ 54 w 55"/>
                <a:gd name="T63" fmla="*/ 1 h 34"/>
                <a:gd name="T64" fmla="*/ 54 w 55"/>
                <a:gd name="T65" fmla="*/ 0 h 34"/>
                <a:gd name="T66" fmla="*/ 53 w 55"/>
                <a:gd name="T67" fmla="*/ 0 h 34"/>
                <a:gd name="T68" fmla="*/ 52 w 55"/>
                <a:gd name="T69" fmla="*/ 0 h 34"/>
                <a:gd name="T70" fmla="*/ 51 w 55"/>
                <a:gd name="T71" fmla="*/ 0 h 34"/>
                <a:gd name="T72" fmla="*/ 50 w 55"/>
                <a:gd name="T73" fmla="*/ 0 h 34"/>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4"/>
                <a:gd name="T113" fmla="*/ 55 w 55"/>
                <a:gd name="T114" fmla="*/ 34 h 34"/>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4">
                  <a:moveTo>
                    <a:pt x="50" y="0"/>
                  </a:moveTo>
                  <a:lnTo>
                    <a:pt x="6" y="0"/>
                  </a:lnTo>
                  <a:lnTo>
                    <a:pt x="5" y="0"/>
                  </a:lnTo>
                  <a:lnTo>
                    <a:pt x="4" y="0"/>
                  </a:lnTo>
                  <a:lnTo>
                    <a:pt x="3" y="0"/>
                  </a:lnTo>
                  <a:lnTo>
                    <a:pt x="2" y="0"/>
                  </a:lnTo>
                  <a:lnTo>
                    <a:pt x="1" y="1"/>
                  </a:lnTo>
                  <a:lnTo>
                    <a:pt x="1" y="2"/>
                  </a:lnTo>
                  <a:lnTo>
                    <a:pt x="0" y="3"/>
                  </a:lnTo>
                  <a:lnTo>
                    <a:pt x="0" y="31"/>
                  </a:lnTo>
                  <a:lnTo>
                    <a:pt x="1" y="32"/>
                  </a:lnTo>
                  <a:lnTo>
                    <a:pt x="1" y="33"/>
                  </a:lnTo>
                  <a:lnTo>
                    <a:pt x="2" y="34"/>
                  </a:lnTo>
                  <a:lnTo>
                    <a:pt x="3" y="34"/>
                  </a:lnTo>
                  <a:lnTo>
                    <a:pt x="4" y="34"/>
                  </a:lnTo>
                  <a:lnTo>
                    <a:pt x="5" y="34"/>
                  </a:lnTo>
                  <a:lnTo>
                    <a:pt x="6" y="34"/>
                  </a:lnTo>
                  <a:lnTo>
                    <a:pt x="50" y="34"/>
                  </a:lnTo>
                  <a:lnTo>
                    <a:pt x="51" y="34"/>
                  </a:lnTo>
                  <a:lnTo>
                    <a:pt x="52" y="34"/>
                  </a:lnTo>
                  <a:lnTo>
                    <a:pt x="53" y="34"/>
                  </a:lnTo>
                  <a:lnTo>
                    <a:pt x="54" y="34"/>
                  </a:lnTo>
                  <a:lnTo>
                    <a:pt x="54" y="33"/>
                  </a:lnTo>
                  <a:lnTo>
                    <a:pt x="55" y="33"/>
                  </a:lnTo>
                  <a:lnTo>
                    <a:pt x="55" y="32"/>
                  </a:lnTo>
                  <a:lnTo>
                    <a:pt x="55" y="31"/>
                  </a:lnTo>
                  <a:lnTo>
                    <a:pt x="55" y="3"/>
                  </a:lnTo>
                  <a:lnTo>
                    <a:pt x="55" y="2"/>
                  </a:lnTo>
                  <a:lnTo>
                    <a:pt x="55" y="1"/>
                  </a:lnTo>
                  <a:lnTo>
                    <a:pt x="54" y="1"/>
                  </a:lnTo>
                  <a:lnTo>
                    <a:pt x="54" y="0"/>
                  </a:lnTo>
                  <a:lnTo>
                    <a:pt x="53" y="0"/>
                  </a:lnTo>
                  <a:lnTo>
                    <a:pt x="52" y="0"/>
                  </a:lnTo>
                  <a:lnTo>
                    <a:pt x="51" y="0"/>
                  </a:lnTo>
                  <a:lnTo>
                    <a:pt x="50"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8" name="Group 339">
            <a:extLst>
              <a:ext uri="{FF2B5EF4-FFF2-40B4-BE49-F238E27FC236}">
                <a16:creationId xmlns:a16="http://schemas.microsoft.com/office/drawing/2014/main" id="{00000000-0008-0000-0300-000008000000}"/>
              </a:ext>
            </a:extLst>
          </xdr:cNvPr>
          <xdr:cNvGrpSpPr>
            <a:grpSpLocks/>
          </xdr:cNvGrpSpPr>
        </xdr:nvGrpSpPr>
        <xdr:grpSpPr bwMode="auto">
          <a:xfrm>
            <a:off x="423" y="34"/>
            <a:ext cx="122" cy="17"/>
            <a:chOff x="423" y="34"/>
            <a:chExt cx="122" cy="17"/>
          </a:xfrm>
        </xdr:grpSpPr>
        <xdr:sp macro="" textlink="">
          <xdr:nvSpPr>
            <xdr:cNvPr id="52" name="Freeform 337">
              <a:extLst>
                <a:ext uri="{FF2B5EF4-FFF2-40B4-BE49-F238E27FC236}">
                  <a16:creationId xmlns:a16="http://schemas.microsoft.com/office/drawing/2014/main" id="{00000000-0008-0000-0300-000034000000}"/>
                </a:ext>
              </a:extLst>
            </xdr:cNvPr>
            <xdr:cNvSpPr>
              <a:spLocks/>
            </xdr:cNvSpPr>
          </xdr:nvSpPr>
          <xdr:spPr bwMode="auto">
            <a:xfrm>
              <a:off x="423" y="34"/>
              <a:ext cx="122" cy="17"/>
            </a:xfrm>
            <a:custGeom>
              <a:avLst/>
              <a:gdLst>
                <a:gd name="T0" fmla="*/ 116 w 122"/>
                <a:gd name="T1" fmla="*/ 0 h 17"/>
                <a:gd name="T2" fmla="*/ 7 w 122"/>
                <a:gd name="T3" fmla="*/ 0 h 17"/>
                <a:gd name="T4" fmla="*/ 6 w 122"/>
                <a:gd name="T5" fmla="*/ 0 h 17"/>
                <a:gd name="T6" fmla="*/ 4 w 122"/>
                <a:gd name="T7" fmla="*/ 0 h 17"/>
                <a:gd name="T8" fmla="*/ 3 w 122"/>
                <a:gd name="T9" fmla="*/ 0 h 17"/>
                <a:gd name="T10" fmla="*/ 2 w 122"/>
                <a:gd name="T11" fmla="*/ 0 h 17"/>
                <a:gd name="T12" fmla="*/ 1 w 122"/>
                <a:gd name="T13" fmla="*/ 1 h 17"/>
                <a:gd name="T14" fmla="*/ 1 w 122"/>
                <a:gd name="T15" fmla="*/ 2 h 17"/>
                <a:gd name="T16" fmla="*/ 0 w 122"/>
                <a:gd name="T17" fmla="*/ 2 h 17"/>
                <a:gd name="T18" fmla="*/ 0 w 122"/>
                <a:gd name="T19" fmla="*/ 3 h 17"/>
                <a:gd name="T20" fmla="*/ 0 w 122"/>
                <a:gd name="T21" fmla="*/ 13 h 17"/>
                <a:gd name="T22" fmla="*/ 0 w 122"/>
                <a:gd name="T23" fmla="*/ 14 h 17"/>
                <a:gd name="T24" fmla="*/ 1 w 122"/>
                <a:gd name="T25" fmla="*/ 15 h 17"/>
                <a:gd name="T26" fmla="*/ 1 w 122"/>
                <a:gd name="T27" fmla="*/ 15 h 17"/>
                <a:gd name="T28" fmla="*/ 2 w 122"/>
                <a:gd name="T29" fmla="*/ 16 h 17"/>
                <a:gd name="T30" fmla="*/ 3 w 122"/>
                <a:gd name="T31" fmla="*/ 16 h 17"/>
                <a:gd name="T32" fmla="*/ 4 w 122"/>
                <a:gd name="T33" fmla="*/ 17 h 17"/>
                <a:gd name="T34" fmla="*/ 6 w 122"/>
                <a:gd name="T35" fmla="*/ 17 h 17"/>
                <a:gd name="T36" fmla="*/ 7 w 122"/>
                <a:gd name="T37" fmla="*/ 17 h 17"/>
                <a:gd name="T38" fmla="*/ 116 w 122"/>
                <a:gd name="T39" fmla="*/ 17 h 17"/>
                <a:gd name="T40" fmla="*/ 117 w 122"/>
                <a:gd name="T41" fmla="*/ 17 h 17"/>
                <a:gd name="T42" fmla="*/ 118 w 122"/>
                <a:gd name="T43" fmla="*/ 17 h 17"/>
                <a:gd name="T44" fmla="*/ 120 w 122"/>
                <a:gd name="T45" fmla="*/ 16 h 17"/>
                <a:gd name="T46" fmla="*/ 121 w 122"/>
                <a:gd name="T47" fmla="*/ 16 h 17"/>
                <a:gd name="T48" fmla="*/ 121 w 122"/>
                <a:gd name="T49" fmla="*/ 15 h 17"/>
                <a:gd name="T50" fmla="*/ 121 w 122"/>
                <a:gd name="T51" fmla="*/ 15 h 17"/>
                <a:gd name="T52" fmla="*/ 122 w 122"/>
                <a:gd name="T53" fmla="*/ 14 h 17"/>
                <a:gd name="T54" fmla="*/ 122 w 122"/>
                <a:gd name="T55" fmla="*/ 13 h 17"/>
                <a:gd name="T56" fmla="*/ 122 w 122"/>
                <a:gd name="T57" fmla="*/ 3 h 17"/>
                <a:gd name="T58" fmla="*/ 122 w 122"/>
                <a:gd name="T59" fmla="*/ 2 h 17"/>
                <a:gd name="T60" fmla="*/ 121 w 122"/>
                <a:gd name="T61" fmla="*/ 2 h 17"/>
                <a:gd name="T62" fmla="*/ 121 w 122"/>
                <a:gd name="T63" fmla="*/ 1 h 17"/>
                <a:gd name="T64" fmla="*/ 121 w 122"/>
                <a:gd name="T65" fmla="*/ 0 h 17"/>
                <a:gd name="T66" fmla="*/ 120 w 122"/>
                <a:gd name="T67" fmla="*/ 0 h 17"/>
                <a:gd name="T68" fmla="*/ 118 w 122"/>
                <a:gd name="T69" fmla="*/ 0 h 17"/>
                <a:gd name="T70" fmla="*/ 117 w 122"/>
                <a:gd name="T71" fmla="*/ 0 h 17"/>
                <a:gd name="T72" fmla="*/ 116 w 122"/>
                <a:gd name="T73" fmla="*/ 0 h 17"/>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7"/>
                <a:gd name="T113" fmla="*/ 122 w 122"/>
                <a:gd name="T114" fmla="*/ 17 h 17"/>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7">
                  <a:moveTo>
                    <a:pt x="116" y="0"/>
                  </a:moveTo>
                  <a:lnTo>
                    <a:pt x="7" y="0"/>
                  </a:lnTo>
                  <a:lnTo>
                    <a:pt x="6" y="0"/>
                  </a:lnTo>
                  <a:lnTo>
                    <a:pt x="4" y="0"/>
                  </a:lnTo>
                  <a:lnTo>
                    <a:pt x="3" y="0"/>
                  </a:lnTo>
                  <a:lnTo>
                    <a:pt x="2" y="0"/>
                  </a:lnTo>
                  <a:lnTo>
                    <a:pt x="1" y="1"/>
                  </a:lnTo>
                  <a:lnTo>
                    <a:pt x="1" y="2"/>
                  </a:lnTo>
                  <a:lnTo>
                    <a:pt x="0" y="2"/>
                  </a:lnTo>
                  <a:lnTo>
                    <a:pt x="0" y="3"/>
                  </a:lnTo>
                  <a:lnTo>
                    <a:pt x="0" y="13"/>
                  </a:lnTo>
                  <a:lnTo>
                    <a:pt x="0" y="14"/>
                  </a:lnTo>
                  <a:lnTo>
                    <a:pt x="1" y="15"/>
                  </a:lnTo>
                  <a:lnTo>
                    <a:pt x="2" y="16"/>
                  </a:lnTo>
                  <a:lnTo>
                    <a:pt x="3" y="16"/>
                  </a:lnTo>
                  <a:lnTo>
                    <a:pt x="4" y="17"/>
                  </a:lnTo>
                  <a:lnTo>
                    <a:pt x="6" y="17"/>
                  </a:lnTo>
                  <a:lnTo>
                    <a:pt x="7" y="17"/>
                  </a:lnTo>
                  <a:lnTo>
                    <a:pt x="116" y="17"/>
                  </a:lnTo>
                  <a:lnTo>
                    <a:pt x="117" y="17"/>
                  </a:lnTo>
                  <a:lnTo>
                    <a:pt x="118" y="17"/>
                  </a:lnTo>
                  <a:lnTo>
                    <a:pt x="120" y="16"/>
                  </a:lnTo>
                  <a:lnTo>
                    <a:pt x="121" y="16"/>
                  </a:lnTo>
                  <a:lnTo>
                    <a:pt x="121" y="15"/>
                  </a:lnTo>
                  <a:lnTo>
                    <a:pt x="122" y="14"/>
                  </a:lnTo>
                  <a:lnTo>
                    <a:pt x="122" y="13"/>
                  </a:lnTo>
                  <a:lnTo>
                    <a:pt x="122" y="3"/>
                  </a:lnTo>
                  <a:lnTo>
                    <a:pt x="122" y="2"/>
                  </a:lnTo>
                  <a:lnTo>
                    <a:pt x="121" y="2"/>
                  </a:lnTo>
                  <a:lnTo>
                    <a:pt x="121" y="1"/>
                  </a:lnTo>
                  <a:lnTo>
                    <a:pt x="121" y="0"/>
                  </a:lnTo>
                  <a:lnTo>
                    <a:pt x="120" y="0"/>
                  </a:lnTo>
                  <a:lnTo>
                    <a:pt x="118" y="0"/>
                  </a:lnTo>
                  <a:lnTo>
                    <a:pt x="117" y="0"/>
                  </a:lnTo>
                  <a:lnTo>
                    <a:pt x="116"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 name="Freeform 338">
              <a:extLst>
                <a:ext uri="{FF2B5EF4-FFF2-40B4-BE49-F238E27FC236}">
                  <a16:creationId xmlns:a16="http://schemas.microsoft.com/office/drawing/2014/main" id="{00000000-0008-0000-0300-000035000000}"/>
                </a:ext>
              </a:extLst>
            </xdr:cNvPr>
            <xdr:cNvSpPr>
              <a:spLocks/>
            </xdr:cNvSpPr>
          </xdr:nvSpPr>
          <xdr:spPr bwMode="auto">
            <a:xfrm>
              <a:off x="423" y="34"/>
              <a:ext cx="122" cy="17"/>
            </a:xfrm>
            <a:custGeom>
              <a:avLst/>
              <a:gdLst>
                <a:gd name="T0" fmla="*/ 116 w 122"/>
                <a:gd name="T1" fmla="*/ 0 h 17"/>
                <a:gd name="T2" fmla="*/ 7 w 122"/>
                <a:gd name="T3" fmla="*/ 0 h 17"/>
                <a:gd name="T4" fmla="*/ 6 w 122"/>
                <a:gd name="T5" fmla="*/ 0 h 17"/>
                <a:gd name="T6" fmla="*/ 4 w 122"/>
                <a:gd name="T7" fmla="*/ 0 h 17"/>
                <a:gd name="T8" fmla="*/ 3 w 122"/>
                <a:gd name="T9" fmla="*/ 0 h 17"/>
                <a:gd name="T10" fmla="*/ 2 w 122"/>
                <a:gd name="T11" fmla="*/ 0 h 17"/>
                <a:gd name="T12" fmla="*/ 1 w 122"/>
                <a:gd name="T13" fmla="*/ 1 h 17"/>
                <a:gd name="T14" fmla="*/ 1 w 122"/>
                <a:gd name="T15" fmla="*/ 2 h 17"/>
                <a:gd name="T16" fmla="*/ 0 w 122"/>
                <a:gd name="T17" fmla="*/ 2 h 17"/>
                <a:gd name="T18" fmla="*/ 0 w 122"/>
                <a:gd name="T19" fmla="*/ 3 h 17"/>
                <a:gd name="T20" fmla="*/ 0 w 122"/>
                <a:gd name="T21" fmla="*/ 13 h 17"/>
                <a:gd name="T22" fmla="*/ 0 w 122"/>
                <a:gd name="T23" fmla="*/ 14 h 17"/>
                <a:gd name="T24" fmla="*/ 1 w 122"/>
                <a:gd name="T25" fmla="*/ 15 h 17"/>
                <a:gd name="T26" fmla="*/ 1 w 122"/>
                <a:gd name="T27" fmla="*/ 15 h 17"/>
                <a:gd name="T28" fmla="*/ 2 w 122"/>
                <a:gd name="T29" fmla="*/ 16 h 17"/>
                <a:gd name="T30" fmla="*/ 3 w 122"/>
                <a:gd name="T31" fmla="*/ 16 h 17"/>
                <a:gd name="T32" fmla="*/ 4 w 122"/>
                <a:gd name="T33" fmla="*/ 17 h 17"/>
                <a:gd name="T34" fmla="*/ 6 w 122"/>
                <a:gd name="T35" fmla="*/ 17 h 17"/>
                <a:gd name="T36" fmla="*/ 7 w 122"/>
                <a:gd name="T37" fmla="*/ 17 h 17"/>
                <a:gd name="T38" fmla="*/ 116 w 122"/>
                <a:gd name="T39" fmla="*/ 17 h 17"/>
                <a:gd name="T40" fmla="*/ 117 w 122"/>
                <a:gd name="T41" fmla="*/ 17 h 17"/>
                <a:gd name="T42" fmla="*/ 118 w 122"/>
                <a:gd name="T43" fmla="*/ 17 h 17"/>
                <a:gd name="T44" fmla="*/ 120 w 122"/>
                <a:gd name="T45" fmla="*/ 16 h 17"/>
                <a:gd name="T46" fmla="*/ 121 w 122"/>
                <a:gd name="T47" fmla="*/ 16 h 17"/>
                <a:gd name="T48" fmla="*/ 121 w 122"/>
                <a:gd name="T49" fmla="*/ 15 h 17"/>
                <a:gd name="T50" fmla="*/ 121 w 122"/>
                <a:gd name="T51" fmla="*/ 15 h 17"/>
                <a:gd name="T52" fmla="*/ 122 w 122"/>
                <a:gd name="T53" fmla="*/ 14 h 17"/>
                <a:gd name="T54" fmla="*/ 122 w 122"/>
                <a:gd name="T55" fmla="*/ 13 h 17"/>
                <a:gd name="T56" fmla="*/ 122 w 122"/>
                <a:gd name="T57" fmla="*/ 3 h 17"/>
                <a:gd name="T58" fmla="*/ 122 w 122"/>
                <a:gd name="T59" fmla="*/ 2 h 17"/>
                <a:gd name="T60" fmla="*/ 121 w 122"/>
                <a:gd name="T61" fmla="*/ 2 h 17"/>
                <a:gd name="T62" fmla="*/ 121 w 122"/>
                <a:gd name="T63" fmla="*/ 1 h 17"/>
                <a:gd name="T64" fmla="*/ 121 w 122"/>
                <a:gd name="T65" fmla="*/ 0 h 17"/>
                <a:gd name="T66" fmla="*/ 120 w 122"/>
                <a:gd name="T67" fmla="*/ 0 h 17"/>
                <a:gd name="T68" fmla="*/ 118 w 122"/>
                <a:gd name="T69" fmla="*/ 0 h 17"/>
                <a:gd name="T70" fmla="*/ 117 w 122"/>
                <a:gd name="T71" fmla="*/ 0 h 17"/>
                <a:gd name="T72" fmla="*/ 116 w 122"/>
                <a:gd name="T73" fmla="*/ 0 h 17"/>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7"/>
                <a:gd name="T113" fmla="*/ 122 w 122"/>
                <a:gd name="T114" fmla="*/ 17 h 17"/>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7">
                  <a:moveTo>
                    <a:pt x="116" y="0"/>
                  </a:moveTo>
                  <a:lnTo>
                    <a:pt x="7" y="0"/>
                  </a:lnTo>
                  <a:lnTo>
                    <a:pt x="6" y="0"/>
                  </a:lnTo>
                  <a:lnTo>
                    <a:pt x="4" y="0"/>
                  </a:lnTo>
                  <a:lnTo>
                    <a:pt x="3" y="0"/>
                  </a:lnTo>
                  <a:lnTo>
                    <a:pt x="2" y="0"/>
                  </a:lnTo>
                  <a:lnTo>
                    <a:pt x="1" y="1"/>
                  </a:lnTo>
                  <a:lnTo>
                    <a:pt x="1" y="2"/>
                  </a:lnTo>
                  <a:lnTo>
                    <a:pt x="0" y="2"/>
                  </a:lnTo>
                  <a:lnTo>
                    <a:pt x="0" y="3"/>
                  </a:lnTo>
                  <a:lnTo>
                    <a:pt x="0" y="13"/>
                  </a:lnTo>
                  <a:lnTo>
                    <a:pt x="0" y="14"/>
                  </a:lnTo>
                  <a:lnTo>
                    <a:pt x="1" y="15"/>
                  </a:lnTo>
                  <a:lnTo>
                    <a:pt x="2" y="16"/>
                  </a:lnTo>
                  <a:lnTo>
                    <a:pt x="3" y="16"/>
                  </a:lnTo>
                  <a:lnTo>
                    <a:pt x="4" y="17"/>
                  </a:lnTo>
                  <a:lnTo>
                    <a:pt x="6" y="17"/>
                  </a:lnTo>
                  <a:lnTo>
                    <a:pt x="7" y="17"/>
                  </a:lnTo>
                  <a:lnTo>
                    <a:pt x="116" y="17"/>
                  </a:lnTo>
                  <a:lnTo>
                    <a:pt x="117" y="17"/>
                  </a:lnTo>
                  <a:lnTo>
                    <a:pt x="118" y="17"/>
                  </a:lnTo>
                  <a:lnTo>
                    <a:pt x="120" y="16"/>
                  </a:lnTo>
                  <a:lnTo>
                    <a:pt x="121" y="16"/>
                  </a:lnTo>
                  <a:lnTo>
                    <a:pt x="121" y="15"/>
                  </a:lnTo>
                  <a:lnTo>
                    <a:pt x="122" y="14"/>
                  </a:lnTo>
                  <a:lnTo>
                    <a:pt x="122" y="13"/>
                  </a:lnTo>
                  <a:lnTo>
                    <a:pt x="122" y="3"/>
                  </a:lnTo>
                  <a:lnTo>
                    <a:pt x="122" y="2"/>
                  </a:lnTo>
                  <a:lnTo>
                    <a:pt x="121" y="2"/>
                  </a:lnTo>
                  <a:lnTo>
                    <a:pt x="121" y="1"/>
                  </a:lnTo>
                  <a:lnTo>
                    <a:pt x="121" y="0"/>
                  </a:lnTo>
                  <a:lnTo>
                    <a:pt x="120" y="0"/>
                  </a:lnTo>
                  <a:lnTo>
                    <a:pt x="118" y="0"/>
                  </a:lnTo>
                  <a:lnTo>
                    <a:pt x="117" y="0"/>
                  </a:lnTo>
                  <a:lnTo>
                    <a:pt x="116"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9" name="Group 342">
            <a:extLst>
              <a:ext uri="{FF2B5EF4-FFF2-40B4-BE49-F238E27FC236}">
                <a16:creationId xmlns:a16="http://schemas.microsoft.com/office/drawing/2014/main" id="{00000000-0008-0000-0300-000009000000}"/>
              </a:ext>
            </a:extLst>
          </xdr:cNvPr>
          <xdr:cNvGrpSpPr>
            <a:grpSpLocks/>
          </xdr:cNvGrpSpPr>
        </xdr:nvGrpSpPr>
        <xdr:grpSpPr bwMode="auto">
          <a:xfrm>
            <a:off x="491" y="77"/>
            <a:ext cx="11" cy="6"/>
            <a:chOff x="491" y="77"/>
            <a:chExt cx="11" cy="6"/>
          </a:xfrm>
        </xdr:grpSpPr>
        <xdr:sp macro="" textlink="">
          <xdr:nvSpPr>
            <xdr:cNvPr id="50" name="Freeform 340">
              <a:extLst>
                <a:ext uri="{FF2B5EF4-FFF2-40B4-BE49-F238E27FC236}">
                  <a16:creationId xmlns:a16="http://schemas.microsoft.com/office/drawing/2014/main" id="{00000000-0008-0000-0300-000032000000}"/>
                </a:ext>
              </a:extLst>
            </xdr:cNvPr>
            <xdr:cNvSpPr>
              <a:spLocks/>
            </xdr:cNvSpPr>
          </xdr:nvSpPr>
          <xdr:spPr bwMode="auto">
            <a:xfrm>
              <a:off x="491" y="77"/>
              <a:ext cx="11" cy="6"/>
            </a:xfrm>
            <a:custGeom>
              <a:avLst/>
              <a:gdLst>
                <a:gd name="T0" fmla="*/ 7 w 11"/>
                <a:gd name="T1" fmla="*/ 2 h 6"/>
                <a:gd name="T2" fmla="*/ 11 w 11"/>
                <a:gd name="T3" fmla="*/ 2 h 6"/>
                <a:gd name="T4" fmla="*/ 8 w 11"/>
                <a:gd name="T5" fmla="*/ 4 h 6"/>
                <a:gd name="T6" fmla="*/ 9 w 11"/>
                <a:gd name="T7" fmla="*/ 6 h 6"/>
                <a:gd name="T8" fmla="*/ 6 w 11"/>
                <a:gd name="T9" fmla="*/ 5 h 6"/>
                <a:gd name="T10" fmla="*/ 2 w 11"/>
                <a:gd name="T11" fmla="*/ 6 h 6"/>
                <a:gd name="T12" fmla="*/ 3 w 11"/>
                <a:gd name="T13" fmla="*/ 4 h 6"/>
                <a:gd name="T14" fmla="*/ 0 w 11"/>
                <a:gd name="T15" fmla="*/ 3 h 6"/>
                <a:gd name="T16" fmla="*/ 4 w 11"/>
                <a:gd name="T17" fmla="*/ 2 h 6"/>
                <a:gd name="T18" fmla="*/ 6 w 11"/>
                <a:gd name="T19" fmla="*/ 0 h 6"/>
                <a:gd name="T20" fmla="*/ 7 w 11"/>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1"/>
                <a:gd name="T34" fmla="*/ 0 h 6"/>
                <a:gd name="T35" fmla="*/ 11 w 11"/>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1" h="6">
                  <a:moveTo>
                    <a:pt x="7" y="2"/>
                  </a:moveTo>
                  <a:lnTo>
                    <a:pt x="11" y="2"/>
                  </a:lnTo>
                  <a:lnTo>
                    <a:pt x="8" y="4"/>
                  </a:lnTo>
                  <a:lnTo>
                    <a:pt x="9" y="6"/>
                  </a:lnTo>
                  <a:lnTo>
                    <a:pt x="6" y="5"/>
                  </a:lnTo>
                  <a:lnTo>
                    <a:pt x="2" y="6"/>
                  </a:lnTo>
                  <a:lnTo>
                    <a:pt x="3" y="4"/>
                  </a:lnTo>
                  <a:lnTo>
                    <a:pt x="0" y="3"/>
                  </a:lnTo>
                  <a:lnTo>
                    <a:pt x="4" y="2"/>
                  </a:lnTo>
                  <a:lnTo>
                    <a:pt x="6" y="0"/>
                  </a:lnTo>
                  <a:lnTo>
                    <a:pt x="7" y="2"/>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1" name="Freeform 341">
              <a:extLst>
                <a:ext uri="{FF2B5EF4-FFF2-40B4-BE49-F238E27FC236}">
                  <a16:creationId xmlns:a16="http://schemas.microsoft.com/office/drawing/2014/main" id="{00000000-0008-0000-0300-000033000000}"/>
                </a:ext>
              </a:extLst>
            </xdr:cNvPr>
            <xdr:cNvSpPr>
              <a:spLocks/>
            </xdr:cNvSpPr>
          </xdr:nvSpPr>
          <xdr:spPr bwMode="auto">
            <a:xfrm>
              <a:off x="491" y="77"/>
              <a:ext cx="11" cy="6"/>
            </a:xfrm>
            <a:custGeom>
              <a:avLst/>
              <a:gdLst>
                <a:gd name="T0" fmla="*/ 7 w 11"/>
                <a:gd name="T1" fmla="*/ 2 h 6"/>
                <a:gd name="T2" fmla="*/ 11 w 11"/>
                <a:gd name="T3" fmla="*/ 2 h 6"/>
                <a:gd name="T4" fmla="*/ 8 w 11"/>
                <a:gd name="T5" fmla="*/ 4 h 6"/>
                <a:gd name="T6" fmla="*/ 9 w 11"/>
                <a:gd name="T7" fmla="*/ 6 h 6"/>
                <a:gd name="T8" fmla="*/ 6 w 11"/>
                <a:gd name="T9" fmla="*/ 5 h 6"/>
                <a:gd name="T10" fmla="*/ 2 w 11"/>
                <a:gd name="T11" fmla="*/ 6 h 6"/>
                <a:gd name="T12" fmla="*/ 3 w 11"/>
                <a:gd name="T13" fmla="*/ 4 h 6"/>
                <a:gd name="T14" fmla="*/ 0 w 11"/>
                <a:gd name="T15" fmla="*/ 3 h 6"/>
                <a:gd name="T16" fmla="*/ 4 w 11"/>
                <a:gd name="T17" fmla="*/ 2 h 6"/>
                <a:gd name="T18" fmla="*/ 6 w 11"/>
                <a:gd name="T19" fmla="*/ 0 h 6"/>
                <a:gd name="T20" fmla="*/ 7 w 11"/>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1"/>
                <a:gd name="T34" fmla="*/ 0 h 6"/>
                <a:gd name="T35" fmla="*/ 11 w 11"/>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1" h="6">
                  <a:moveTo>
                    <a:pt x="7" y="2"/>
                  </a:moveTo>
                  <a:lnTo>
                    <a:pt x="11" y="2"/>
                  </a:lnTo>
                  <a:lnTo>
                    <a:pt x="8" y="4"/>
                  </a:lnTo>
                  <a:lnTo>
                    <a:pt x="9" y="6"/>
                  </a:lnTo>
                  <a:lnTo>
                    <a:pt x="6" y="5"/>
                  </a:lnTo>
                  <a:lnTo>
                    <a:pt x="2" y="6"/>
                  </a:lnTo>
                  <a:lnTo>
                    <a:pt x="3" y="4"/>
                  </a:lnTo>
                  <a:lnTo>
                    <a:pt x="0" y="3"/>
                  </a:lnTo>
                  <a:lnTo>
                    <a:pt x="4" y="2"/>
                  </a:lnTo>
                  <a:lnTo>
                    <a:pt x="6" y="0"/>
                  </a:lnTo>
                  <a:lnTo>
                    <a:pt x="7" y="2"/>
                  </a:lnTo>
                  <a:close/>
                </a:path>
              </a:pathLst>
            </a:custGeom>
            <a:noFill/>
            <a:ln w="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0" name="Group 345">
            <a:extLst>
              <a:ext uri="{FF2B5EF4-FFF2-40B4-BE49-F238E27FC236}">
                <a16:creationId xmlns:a16="http://schemas.microsoft.com/office/drawing/2014/main" id="{00000000-0008-0000-0300-00000A000000}"/>
              </a:ext>
            </a:extLst>
          </xdr:cNvPr>
          <xdr:cNvGrpSpPr>
            <a:grpSpLocks/>
          </xdr:cNvGrpSpPr>
        </xdr:nvGrpSpPr>
        <xdr:grpSpPr bwMode="auto">
          <a:xfrm>
            <a:off x="504" y="77"/>
            <a:ext cx="11" cy="6"/>
            <a:chOff x="504" y="77"/>
            <a:chExt cx="11" cy="6"/>
          </a:xfrm>
        </xdr:grpSpPr>
        <xdr:sp macro="" textlink="">
          <xdr:nvSpPr>
            <xdr:cNvPr id="48" name="Freeform 343">
              <a:extLst>
                <a:ext uri="{FF2B5EF4-FFF2-40B4-BE49-F238E27FC236}">
                  <a16:creationId xmlns:a16="http://schemas.microsoft.com/office/drawing/2014/main" id="{00000000-0008-0000-0300-000030000000}"/>
                </a:ext>
              </a:extLst>
            </xdr:cNvPr>
            <xdr:cNvSpPr>
              <a:spLocks/>
            </xdr:cNvSpPr>
          </xdr:nvSpPr>
          <xdr:spPr bwMode="auto">
            <a:xfrm>
              <a:off x="504" y="77"/>
              <a:ext cx="11" cy="6"/>
            </a:xfrm>
            <a:custGeom>
              <a:avLst/>
              <a:gdLst>
                <a:gd name="T0" fmla="*/ 7 w 11"/>
                <a:gd name="T1" fmla="*/ 2 h 6"/>
                <a:gd name="T2" fmla="*/ 11 w 11"/>
                <a:gd name="T3" fmla="*/ 2 h 6"/>
                <a:gd name="T4" fmla="*/ 8 w 11"/>
                <a:gd name="T5" fmla="*/ 4 h 6"/>
                <a:gd name="T6" fmla="*/ 9 w 11"/>
                <a:gd name="T7" fmla="*/ 6 h 6"/>
                <a:gd name="T8" fmla="*/ 6 w 11"/>
                <a:gd name="T9" fmla="*/ 5 h 6"/>
                <a:gd name="T10" fmla="*/ 2 w 11"/>
                <a:gd name="T11" fmla="*/ 6 h 6"/>
                <a:gd name="T12" fmla="*/ 3 w 11"/>
                <a:gd name="T13" fmla="*/ 4 h 6"/>
                <a:gd name="T14" fmla="*/ 0 w 11"/>
                <a:gd name="T15" fmla="*/ 3 h 6"/>
                <a:gd name="T16" fmla="*/ 4 w 11"/>
                <a:gd name="T17" fmla="*/ 2 h 6"/>
                <a:gd name="T18" fmla="*/ 6 w 11"/>
                <a:gd name="T19" fmla="*/ 0 h 6"/>
                <a:gd name="T20" fmla="*/ 7 w 11"/>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1"/>
                <a:gd name="T34" fmla="*/ 0 h 6"/>
                <a:gd name="T35" fmla="*/ 11 w 11"/>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1" h="6">
                  <a:moveTo>
                    <a:pt x="7" y="2"/>
                  </a:moveTo>
                  <a:lnTo>
                    <a:pt x="11" y="2"/>
                  </a:lnTo>
                  <a:lnTo>
                    <a:pt x="8" y="4"/>
                  </a:lnTo>
                  <a:lnTo>
                    <a:pt x="9" y="6"/>
                  </a:lnTo>
                  <a:lnTo>
                    <a:pt x="6" y="5"/>
                  </a:lnTo>
                  <a:lnTo>
                    <a:pt x="2" y="6"/>
                  </a:lnTo>
                  <a:lnTo>
                    <a:pt x="3" y="4"/>
                  </a:lnTo>
                  <a:lnTo>
                    <a:pt x="0" y="3"/>
                  </a:lnTo>
                  <a:lnTo>
                    <a:pt x="4" y="2"/>
                  </a:lnTo>
                  <a:lnTo>
                    <a:pt x="6" y="0"/>
                  </a:lnTo>
                  <a:lnTo>
                    <a:pt x="7" y="2"/>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49" name="Freeform 344">
              <a:extLst>
                <a:ext uri="{FF2B5EF4-FFF2-40B4-BE49-F238E27FC236}">
                  <a16:creationId xmlns:a16="http://schemas.microsoft.com/office/drawing/2014/main" id="{00000000-0008-0000-0300-000031000000}"/>
                </a:ext>
              </a:extLst>
            </xdr:cNvPr>
            <xdr:cNvSpPr>
              <a:spLocks/>
            </xdr:cNvSpPr>
          </xdr:nvSpPr>
          <xdr:spPr bwMode="auto">
            <a:xfrm>
              <a:off x="504" y="77"/>
              <a:ext cx="11" cy="6"/>
            </a:xfrm>
            <a:custGeom>
              <a:avLst/>
              <a:gdLst>
                <a:gd name="T0" fmla="*/ 7 w 11"/>
                <a:gd name="T1" fmla="*/ 2 h 6"/>
                <a:gd name="T2" fmla="*/ 11 w 11"/>
                <a:gd name="T3" fmla="*/ 2 h 6"/>
                <a:gd name="T4" fmla="*/ 8 w 11"/>
                <a:gd name="T5" fmla="*/ 4 h 6"/>
                <a:gd name="T6" fmla="*/ 9 w 11"/>
                <a:gd name="T7" fmla="*/ 6 h 6"/>
                <a:gd name="T8" fmla="*/ 6 w 11"/>
                <a:gd name="T9" fmla="*/ 5 h 6"/>
                <a:gd name="T10" fmla="*/ 2 w 11"/>
                <a:gd name="T11" fmla="*/ 6 h 6"/>
                <a:gd name="T12" fmla="*/ 3 w 11"/>
                <a:gd name="T13" fmla="*/ 4 h 6"/>
                <a:gd name="T14" fmla="*/ 0 w 11"/>
                <a:gd name="T15" fmla="*/ 3 h 6"/>
                <a:gd name="T16" fmla="*/ 4 w 11"/>
                <a:gd name="T17" fmla="*/ 2 h 6"/>
                <a:gd name="T18" fmla="*/ 6 w 11"/>
                <a:gd name="T19" fmla="*/ 0 h 6"/>
                <a:gd name="T20" fmla="*/ 7 w 11"/>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1"/>
                <a:gd name="T34" fmla="*/ 0 h 6"/>
                <a:gd name="T35" fmla="*/ 11 w 11"/>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1" h="6">
                  <a:moveTo>
                    <a:pt x="7" y="2"/>
                  </a:moveTo>
                  <a:lnTo>
                    <a:pt x="11" y="2"/>
                  </a:lnTo>
                  <a:lnTo>
                    <a:pt x="8" y="4"/>
                  </a:lnTo>
                  <a:lnTo>
                    <a:pt x="9" y="6"/>
                  </a:lnTo>
                  <a:lnTo>
                    <a:pt x="6" y="5"/>
                  </a:lnTo>
                  <a:lnTo>
                    <a:pt x="2" y="6"/>
                  </a:lnTo>
                  <a:lnTo>
                    <a:pt x="3" y="4"/>
                  </a:lnTo>
                  <a:lnTo>
                    <a:pt x="0" y="3"/>
                  </a:lnTo>
                  <a:lnTo>
                    <a:pt x="4" y="2"/>
                  </a:lnTo>
                  <a:lnTo>
                    <a:pt x="6" y="0"/>
                  </a:lnTo>
                  <a:lnTo>
                    <a:pt x="7" y="2"/>
                  </a:lnTo>
                  <a:close/>
                </a:path>
              </a:pathLst>
            </a:custGeom>
            <a:noFill/>
            <a:ln w="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1" name="Group 348">
            <a:extLst>
              <a:ext uri="{FF2B5EF4-FFF2-40B4-BE49-F238E27FC236}">
                <a16:creationId xmlns:a16="http://schemas.microsoft.com/office/drawing/2014/main" id="{00000000-0008-0000-0300-00000B000000}"/>
              </a:ext>
            </a:extLst>
          </xdr:cNvPr>
          <xdr:cNvGrpSpPr>
            <a:grpSpLocks/>
          </xdr:cNvGrpSpPr>
        </xdr:nvGrpSpPr>
        <xdr:grpSpPr bwMode="auto">
          <a:xfrm>
            <a:off x="519" y="77"/>
            <a:ext cx="10" cy="6"/>
            <a:chOff x="519" y="77"/>
            <a:chExt cx="10" cy="6"/>
          </a:xfrm>
        </xdr:grpSpPr>
        <xdr:sp macro="" textlink="">
          <xdr:nvSpPr>
            <xdr:cNvPr id="46" name="Freeform 346">
              <a:extLst>
                <a:ext uri="{FF2B5EF4-FFF2-40B4-BE49-F238E27FC236}">
                  <a16:creationId xmlns:a16="http://schemas.microsoft.com/office/drawing/2014/main" id="{00000000-0008-0000-0300-00002E000000}"/>
                </a:ext>
              </a:extLst>
            </xdr:cNvPr>
            <xdr:cNvSpPr>
              <a:spLocks/>
            </xdr:cNvSpPr>
          </xdr:nvSpPr>
          <xdr:spPr bwMode="auto">
            <a:xfrm>
              <a:off x="519" y="77"/>
              <a:ext cx="10" cy="6"/>
            </a:xfrm>
            <a:custGeom>
              <a:avLst/>
              <a:gdLst>
                <a:gd name="T0" fmla="*/ 6 w 10"/>
                <a:gd name="T1" fmla="*/ 2 h 6"/>
                <a:gd name="T2" fmla="*/ 10 w 10"/>
                <a:gd name="T3" fmla="*/ 2 h 6"/>
                <a:gd name="T4" fmla="*/ 7 w 10"/>
                <a:gd name="T5" fmla="*/ 4 h 6"/>
                <a:gd name="T6" fmla="*/ 8 w 10"/>
                <a:gd name="T7" fmla="*/ 6 h 6"/>
                <a:gd name="T8" fmla="*/ 5 w 10"/>
                <a:gd name="T9" fmla="*/ 5 h 6"/>
                <a:gd name="T10" fmla="*/ 2 w 10"/>
                <a:gd name="T11" fmla="*/ 6 h 6"/>
                <a:gd name="T12" fmla="*/ 3 w 10"/>
                <a:gd name="T13" fmla="*/ 4 h 6"/>
                <a:gd name="T14" fmla="*/ 0 w 10"/>
                <a:gd name="T15" fmla="*/ 3 h 6"/>
                <a:gd name="T16" fmla="*/ 3 w 10"/>
                <a:gd name="T17" fmla="*/ 2 h 6"/>
                <a:gd name="T18" fmla="*/ 5 w 10"/>
                <a:gd name="T19" fmla="*/ 0 h 6"/>
                <a:gd name="T20" fmla="*/ 6 w 10"/>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0"/>
                <a:gd name="T34" fmla="*/ 0 h 6"/>
                <a:gd name="T35" fmla="*/ 10 w 10"/>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0" h="6">
                  <a:moveTo>
                    <a:pt x="6" y="2"/>
                  </a:moveTo>
                  <a:lnTo>
                    <a:pt x="10" y="2"/>
                  </a:lnTo>
                  <a:lnTo>
                    <a:pt x="7" y="4"/>
                  </a:lnTo>
                  <a:lnTo>
                    <a:pt x="8" y="6"/>
                  </a:lnTo>
                  <a:lnTo>
                    <a:pt x="5" y="5"/>
                  </a:lnTo>
                  <a:lnTo>
                    <a:pt x="2" y="6"/>
                  </a:lnTo>
                  <a:lnTo>
                    <a:pt x="3" y="4"/>
                  </a:lnTo>
                  <a:lnTo>
                    <a:pt x="0" y="3"/>
                  </a:lnTo>
                  <a:lnTo>
                    <a:pt x="3" y="2"/>
                  </a:lnTo>
                  <a:lnTo>
                    <a:pt x="5" y="0"/>
                  </a:lnTo>
                  <a:lnTo>
                    <a:pt x="6" y="2"/>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47" name="Freeform 347">
              <a:extLst>
                <a:ext uri="{FF2B5EF4-FFF2-40B4-BE49-F238E27FC236}">
                  <a16:creationId xmlns:a16="http://schemas.microsoft.com/office/drawing/2014/main" id="{00000000-0008-0000-0300-00002F000000}"/>
                </a:ext>
              </a:extLst>
            </xdr:cNvPr>
            <xdr:cNvSpPr>
              <a:spLocks/>
            </xdr:cNvSpPr>
          </xdr:nvSpPr>
          <xdr:spPr bwMode="auto">
            <a:xfrm>
              <a:off x="519" y="77"/>
              <a:ext cx="10" cy="6"/>
            </a:xfrm>
            <a:custGeom>
              <a:avLst/>
              <a:gdLst>
                <a:gd name="T0" fmla="*/ 6 w 10"/>
                <a:gd name="T1" fmla="*/ 2 h 6"/>
                <a:gd name="T2" fmla="*/ 10 w 10"/>
                <a:gd name="T3" fmla="*/ 2 h 6"/>
                <a:gd name="T4" fmla="*/ 7 w 10"/>
                <a:gd name="T5" fmla="*/ 4 h 6"/>
                <a:gd name="T6" fmla="*/ 8 w 10"/>
                <a:gd name="T7" fmla="*/ 6 h 6"/>
                <a:gd name="T8" fmla="*/ 5 w 10"/>
                <a:gd name="T9" fmla="*/ 5 h 6"/>
                <a:gd name="T10" fmla="*/ 2 w 10"/>
                <a:gd name="T11" fmla="*/ 6 h 6"/>
                <a:gd name="T12" fmla="*/ 3 w 10"/>
                <a:gd name="T13" fmla="*/ 4 h 6"/>
                <a:gd name="T14" fmla="*/ 0 w 10"/>
                <a:gd name="T15" fmla="*/ 3 h 6"/>
                <a:gd name="T16" fmla="*/ 3 w 10"/>
                <a:gd name="T17" fmla="*/ 2 h 6"/>
                <a:gd name="T18" fmla="*/ 5 w 10"/>
                <a:gd name="T19" fmla="*/ 0 h 6"/>
                <a:gd name="T20" fmla="*/ 6 w 10"/>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0"/>
                <a:gd name="T34" fmla="*/ 0 h 6"/>
                <a:gd name="T35" fmla="*/ 10 w 10"/>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0" h="6">
                  <a:moveTo>
                    <a:pt x="6" y="2"/>
                  </a:moveTo>
                  <a:lnTo>
                    <a:pt x="10" y="2"/>
                  </a:lnTo>
                  <a:lnTo>
                    <a:pt x="7" y="4"/>
                  </a:lnTo>
                  <a:lnTo>
                    <a:pt x="8" y="6"/>
                  </a:lnTo>
                  <a:lnTo>
                    <a:pt x="5" y="5"/>
                  </a:lnTo>
                  <a:lnTo>
                    <a:pt x="2" y="6"/>
                  </a:lnTo>
                  <a:lnTo>
                    <a:pt x="3" y="4"/>
                  </a:lnTo>
                  <a:lnTo>
                    <a:pt x="0" y="3"/>
                  </a:lnTo>
                  <a:lnTo>
                    <a:pt x="3" y="2"/>
                  </a:lnTo>
                  <a:lnTo>
                    <a:pt x="5" y="0"/>
                  </a:lnTo>
                  <a:lnTo>
                    <a:pt x="6" y="2"/>
                  </a:lnTo>
                  <a:close/>
                </a:path>
              </a:pathLst>
            </a:custGeom>
            <a:noFill/>
            <a:ln w="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2" name="Group 351">
            <a:extLst>
              <a:ext uri="{FF2B5EF4-FFF2-40B4-BE49-F238E27FC236}">
                <a16:creationId xmlns:a16="http://schemas.microsoft.com/office/drawing/2014/main" id="{00000000-0008-0000-0300-00000C000000}"/>
              </a:ext>
            </a:extLst>
          </xdr:cNvPr>
          <xdr:cNvGrpSpPr>
            <a:grpSpLocks/>
          </xdr:cNvGrpSpPr>
        </xdr:nvGrpSpPr>
        <xdr:grpSpPr bwMode="auto">
          <a:xfrm>
            <a:off x="532" y="77"/>
            <a:ext cx="11" cy="6"/>
            <a:chOff x="532" y="77"/>
            <a:chExt cx="11" cy="6"/>
          </a:xfrm>
        </xdr:grpSpPr>
        <xdr:sp macro="" textlink="">
          <xdr:nvSpPr>
            <xdr:cNvPr id="44" name="Freeform 349">
              <a:extLst>
                <a:ext uri="{FF2B5EF4-FFF2-40B4-BE49-F238E27FC236}">
                  <a16:creationId xmlns:a16="http://schemas.microsoft.com/office/drawing/2014/main" id="{00000000-0008-0000-0300-00002C000000}"/>
                </a:ext>
              </a:extLst>
            </xdr:cNvPr>
            <xdr:cNvSpPr>
              <a:spLocks/>
            </xdr:cNvSpPr>
          </xdr:nvSpPr>
          <xdr:spPr bwMode="auto">
            <a:xfrm>
              <a:off x="532" y="77"/>
              <a:ext cx="11" cy="6"/>
            </a:xfrm>
            <a:custGeom>
              <a:avLst/>
              <a:gdLst>
                <a:gd name="T0" fmla="*/ 7 w 11"/>
                <a:gd name="T1" fmla="*/ 2 h 6"/>
                <a:gd name="T2" fmla="*/ 11 w 11"/>
                <a:gd name="T3" fmla="*/ 2 h 6"/>
                <a:gd name="T4" fmla="*/ 8 w 11"/>
                <a:gd name="T5" fmla="*/ 4 h 6"/>
                <a:gd name="T6" fmla="*/ 9 w 11"/>
                <a:gd name="T7" fmla="*/ 6 h 6"/>
                <a:gd name="T8" fmla="*/ 6 w 11"/>
                <a:gd name="T9" fmla="*/ 5 h 6"/>
                <a:gd name="T10" fmla="*/ 2 w 11"/>
                <a:gd name="T11" fmla="*/ 6 h 6"/>
                <a:gd name="T12" fmla="*/ 3 w 11"/>
                <a:gd name="T13" fmla="*/ 4 h 6"/>
                <a:gd name="T14" fmla="*/ 0 w 11"/>
                <a:gd name="T15" fmla="*/ 3 h 6"/>
                <a:gd name="T16" fmla="*/ 4 w 11"/>
                <a:gd name="T17" fmla="*/ 2 h 6"/>
                <a:gd name="T18" fmla="*/ 6 w 11"/>
                <a:gd name="T19" fmla="*/ 0 h 6"/>
                <a:gd name="T20" fmla="*/ 7 w 11"/>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1"/>
                <a:gd name="T34" fmla="*/ 0 h 6"/>
                <a:gd name="T35" fmla="*/ 11 w 11"/>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1" h="6">
                  <a:moveTo>
                    <a:pt x="7" y="2"/>
                  </a:moveTo>
                  <a:lnTo>
                    <a:pt x="11" y="2"/>
                  </a:lnTo>
                  <a:lnTo>
                    <a:pt x="8" y="4"/>
                  </a:lnTo>
                  <a:lnTo>
                    <a:pt x="9" y="6"/>
                  </a:lnTo>
                  <a:lnTo>
                    <a:pt x="6" y="5"/>
                  </a:lnTo>
                  <a:lnTo>
                    <a:pt x="2" y="6"/>
                  </a:lnTo>
                  <a:lnTo>
                    <a:pt x="3" y="4"/>
                  </a:lnTo>
                  <a:lnTo>
                    <a:pt x="0" y="3"/>
                  </a:lnTo>
                  <a:lnTo>
                    <a:pt x="4" y="2"/>
                  </a:lnTo>
                  <a:lnTo>
                    <a:pt x="6" y="0"/>
                  </a:lnTo>
                  <a:lnTo>
                    <a:pt x="7" y="2"/>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45" name="Freeform 350">
              <a:extLst>
                <a:ext uri="{FF2B5EF4-FFF2-40B4-BE49-F238E27FC236}">
                  <a16:creationId xmlns:a16="http://schemas.microsoft.com/office/drawing/2014/main" id="{00000000-0008-0000-0300-00002D000000}"/>
                </a:ext>
              </a:extLst>
            </xdr:cNvPr>
            <xdr:cNvSpPr>
              <a:spLocks/>
            </xdr:cNvSpPr>
          </xdr:nvSpPr>
          <xdr:spPr bwMode="auto">
            <a:xfrm>
              <a:off x="532" y="77"/>
              <a:ext cx="11" cy="6"/>
            </a:xfrm>
            <a:custGeom>
              <a:avLst/>
              <a:gdLst>
                <a:gd name="T0" fmla="*/ 7 w 11"/>
                <a:gd name="T1" fmla="*/ 2 h 6"/>
                <a:gd name="T2" fmla="*/ 11 w 11"/>
                <a:gd name="T3" fmla="*/ 2 h 6"/>
                <a:gd name="T4" fmla="*/ 8 w 11"/>
                <a:gd name="T5" fmla="*/ 4 h 6"/>
                <a:gd name="T6" fmla="*/ 9 w 11"/>
                <a:gd name="T7" fmla="*/ 6 h 6"/>
                <a:gd name="T8" fmla="*/ 6 w 11"/>
                <a:gd name="T9" fmla="*/ 5 h 6"/>
                <a:gd name="T10" fmla="*/ 2 w 11"/>
                <a:gd name="T11" fmla="*/ 6 h 6"/>
                <a:gd name="T12" fmla="*/ 3 w 11"/>
                <a:gd name="T13" fmla="*/ 4 h 6"/>
                <a:gd name="T14" fmla="*/ 0 w 11"/>
                <a:gd name="T15" fmla="*/ 3 h 6"/>
                <a:gd name="T16" fmla="*/ 4 w 11"/>
                <a:gd name="T17" fmla="*/ 2 h 6"/>
                <a:gd name="T18" fmla="*/ 6 w 11"/>
                <a:gd name="T19" fmla="*/ 0 h 6"/>
                <a:gd name="T20" fmla="*/ 7 w 11"/>
                <a:gd name="T21" fmla="*/ 2 h 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1"/>
                <a:gd name="T34" fmla="*/ 0 h 6"/>
                <a:gd name="T35" fmla="*/ 11 w 11"/>
                <a:gd name="T36" fmla="*/ 6 h 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1" h="6">
                  <a:moveTo>
                    <a:pt x="7" y="2"/>
                  </a:moveTo>
                  <a:lnTo>
                    <a:pt x="11" y="2"/>
                  </a:lnTo>
                  <a:lnTo>
                    <a:pt x="8" y="4"/>
                  </a:lnTo>
                  <a:lnTo>
                    <a:pt x="9" y="6"/>
                  </a:lnTo>
                  <a:lnTo>
                    <a:pt x="6" y="5"/>
                  </a:lnTo>
                  <a:lnTo>
                    <a:pt x="2" y="6"/>
                  </a:lnTo>
                  <a:lnTo>
                    <a:pt x="3" y="4"/>
                  </a:lnTo>
                  <a:lnTo>
                    <a:pt x="0" y="3"/>
                  </a:lnTo>
                  <a:lnTo>
                    <a:pt x="4" y="2"/>
                  </a:lnTo>
                  <a:lnTo>
                    <a:pt x="6" y="0"/>
                  </a:lnTo>
                  <a:lnTo>
                    <a:pt x="7" y="2"/>
                  </a:lnTo>
                  <a:close/>
                </a:path>
              </a:pathLst>
            </a:custGeom>
            <a:noFill/>
            <a:ln w="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3" name="Group 354">
            <a:extLst>
              <a:ext uri="{FF2B5EF4-FFF2-40B4-BE49-F238E27FC236}">
                <a16:creationId xmlns:a16="http://schemas.microsoft.com/office/drawing/2014/main" id="{00000000-0008-0000-0300-00000D000000}"/>
              </a:ext>
            </a:extLst>
          </xdr:cNvPr>
          <xdr:cNvGrpSpPr>
            <a:grpSpLocks/>
          </xdr:cNvGrpSpPr>
        </xdr:nvGrpSpPr>
        <xdr:grpSpPr bwMode="auto">
          <a:xfrm>
            <a:off x="424" y="60"/>
            <a:ext cx="55" cy="35"/>
            <a:chOff x="424" y="60"/>
            <a:chExt cx="55" cy="35"/>
          </a:xfrm>
        </xdr:grpSpPr>
        <xdr:sp macro="" textlink="">
          <xdr:nvSpPr>
            <xdr:cNvPr id="42" name="Freeform 352">
              <a:extLst>
                <a:ext uri="{FF2B5EF4-FFF2-40B4-BE49-F238E27FC236}">
                  <a16:creationId xmlns:a16="http://schemas.microsoft.com/office/drawing/2014/main" id="{00000000-0008-0000-0300-00002A000000}"/>
                </a:ext>
              </a:extLst>
            </xdr:cNvPr>
            <xdr:cNvSpPr>
              <a:spLocks/>
            </xdr:cNvSpPr>
          </xdr:nvSpPr>
          <xdr:spPr bwMode="auto">
            <a:xfrm>
              <a:off x="424" y="60"/>
              <a:ext cx="55" cy="35"/>
            </a:xfrm>
            <a:custGeom>
              <a:avLst/>
              <a:gdLst>
                <a:gd name="T0" fmla="*/ 5 w 55"/>
                <a:gd name="T1" fmla="*/ 0 h 35"/>
                <a:gd name="T2" fmla="*/ 50 w 55"/>
                <a:gd name="T3" fmla="*/ 0 h 35"/>
                <a:gd name="T4" fmla="*/ 51 w 55"/>
                <a:gd name="T5" fmla="*/ 0 h 35"/>
                <a:gd name="T6" fmla="*/ 52 w 55"/>
                <a:gd name="T7" fmla="*/ 0 h 35"/>
                <a:gd name="T8" fmla="*/ 53 w 55"/>
                <a:gd name="T9" fmla="*/ 1 h 35"/>
                <a:gd name="T10" fmla="*/ 54 w 55"/>
                <a:gd name="T11" fmla="*/ 1 h 35"/>
                <a:gd name="T12" fmla="*/ 54 w 55"/>
                <a:gd name="T13" fmla="*/ 1 h 35"/>
                <a:gd name="T14" fmla="*/ 55 w 55"/>
                <a:gd name="T15" fmla="*/ 2 h 35"/>
                <a:gd name="T16" fmla="*/ 55 w 55"/>
                <a:gd name="T17" fmla="*/ 3 h 35"/>
                <a:gd name="T18" fmla="*/ 55 w 55"/>
                <a:gd name="T19" fmla="*/ 3 h 35"/>
                <a:gd name="T20" fmla="*/ 55 w 55"/>
                <a:gd name="T21" fmla="*/ 32 h 35"/>
                <a:gd name="T22" fmla="*/ 55 w 55"/>
                <a:gd name="T23" fmla="*/ 33 h 35"/>
                <a:gd name="T24" fmla="*/ 55 w 55"/>
                <a:gd name="T25" fmla="*/ 33 h 35"/>
                <a:gd name="T26" fmla="*/ 54 w 55"/>
                <a:gd name="T27" fmla="*/ 34 h 35"/>
                <a:gd name="T28" fmla="*/ 54 w 55"/>
                <a:gd name="T29" fmla="*/ 34 h 35"/>
                <a:gd name="T30" fmla="*/ 53 w 55"/>
                <a:gd name="T31" fmla="*/ 35 h 35"/>
                <a:gd name="T32" fmla="*/ 52 w 55"/>
                <a:gd name="T33" fmla="*/ 35 h 35"/>
                <a:gd name="T34" fmla="*/ 51 w 55"/>
                <a:gd name="T35" fmla="*/ 35 h 35"/>
                <a:gd name="T36" fmla="*/ 50 w 55"/>
                <a:gd name="T37" fmla="*/ 35 h 35"/>
                <a:gd name="T38" fmla="*/ 5 w 55"/>
                <a:gd name="T39" fmla="*/ 35 h 35"/>
                <a:gd name="T40" fmla="*/ 4 w 55"/>
                <a:gd name="T41" fmla="*/ 35 h 35"/>
                <a:gd name="T42" fmla="*/ 3 w 55"/>
                <a:gd name="T43" fmla="*/ 35 h 35"/>
                <a:gd name="T44" fmla="*/ 2 w 55"/>
                <a:gd name="T45" fmla="*/ 35 h 35"/>
                <a:gd name="T46" fmla="*/ 1 w 55"/>
                <a:gd name="T47" fmla="*/ 34 h 35"/>
                <a:gd name="T48" fmla="*/ 1 w 55"/>
                <a:gd name="T49" fmla="*/ 34 h 35"/>
                <a:gd name="T50" fmla="*/ 0 w 55"/>
                <a:gd name="T51" fmla="*/ 33 h 35"/>
                <a:gd name="T52" fmla="*/ 0 w 55"/>
                <a:gd name="T53" fmla="*/ 33 h 35"/>
                <a:gd name="T54" fmla="*/ 0 w 55"/>
                <a:gd name="T55" fmla="*/ 32 h 35"/>
                <a:gd name="T56" fmla="*/ 0 w 55"/>
                <a:gd name="T57" fmla="*/ 3 h 35"/>
                <a:gd name="T58" fmla="*/ 0 w 55"/>
                <a:gd name="T59" fmla="*/ 3 h 35"/>
                <a:gd name="T60" fmla="*/ 0 w 55"/>
                <a:gd name="T61" fmla="*/ 2 h 35"/>
                <a:gd name="T62" fmla="*/ 1 w 55"/>
                <a:gd name="T63" fmla="*/ 1 h 35"/>
                <a:gd name="T64" fmla="*/ 1 w 55"/>
                <a:gd name="T65" fmla="*/ 1 h 35"/>
                <a:gd name="T66" fmla="*/ 2 w 55"/>
                <a:gd name="T67" fmla="*/ 1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50" y="0"/>
                  </a:lnTo>
                  <a:lnTo>
                    <a:pt x="51" y="0"/>
                  </a:lnTo>
                  <a:lnTo>
                    <a:pt x="52" y="0"/>
                  </a:lnTo>
                  <a:lnTo>
                    <a:pt x="53" y="1"/>
                  </a:lnTo>
                  <a:lnTo>
                    <a:pt x="54" y="1"/>
                  </a:lnTo>
                  <a:lnTo>
                    <a:pt x="55" y="2"/>
                  </a:lnTo>
                  <a:lnTo>
                    <a:pt x="55" y="3"/>
                  </a:lnTo>
                  <a:lnTo>
                    <a:pt x="55" y="32"/>
                  </a:lnTo>
                  <a:lnTo>
                    <a:pt x="55" y="33"/>
                  </a:lnTo>
                  <a:lnTo>
                    <a:pt x="54" y="34"/>
                  </a:lnTo>
                  <a:lnTo>
                    <a:pt x="53" y="35"/>
                  </a:lnTo>
                  <a:lnTo>
                    <a:pt x="52" y="35"/>
                  </a:lnTo>
                  <a:lnTo>
                    <a:pt x="51" y="35"/>
                  </a:lnTo>
                  <a:lnTo>
                    <a:pt x="50" y="35"/>
                  </a:lnTo>
                  <a:lnTo>
                    <a:pt x="5" y="35"/>
                  </a:lnTo>
                  <a:lnTo>
                    <a:pt x="4" y="35"/>
                  </a:lnTo>
                  <a:lnTo>
                    <a:pt x="3" y="35"/>
                  </a:lnTo>
                  <a:lnTo>
                    <a:pt x="2" y="35"/>
                  </a:lnTo>
                  <a:lnTo>
                    <a:pt x="1" y="34"/>
                  </a:lnTo>
                  <a:lnTo>
                    <a:pt x="0" y="33"/>
                  </a:lnTo>
                  <a:lnTo>
                    <a:pt x="0" y="32"/>
                  </a:lnTo>
                  <a:lnTo>
                    <a:pt x="0" y="3"/>
                  </a:lnTo>
                  <a:lnTo>
                    <a:pt x="0" y="2"/>
                  </a:lnTo>
                  <a:lnTo>
                    <a:pt x="1" y="1"/>
                  </a:lnTo>
                  <a:lnTo>
                    <a:pt x="2" y="1"/>
                  </a:lnTo>
                  <a:lnTo>
                    <a:pt x="3" y="0"/>
                  </a:lnTo>
                  <a:lnTo>
                    <a:pt x="4" y="0"/>
                  </a:lnTo>
                  <a:lnTo>
                    <a:pt x="5"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43" name="Freeform 353">
              <a:extLst>
                <a:ext uri="{FF2B5EF4-FFF2-40B4-BE49-F238E27FC236}">
                  <a16:creationId xmlns:a16="http://schemas.microsoft.com/office/drawing/2014/main" id="{00000000-0008-0000-0300-00002B000000}"/>
                </a:ext>
              </a:extLst>
            </xdr:cNvPr>
            <xdr:cNvSpPr>
              <a:spLocks/>
            </xdr:cNvSpPr>
          </xdr:nvSpPr>
          <xdr:spPr bwMode="auto">
            <a:xfrm>
              <a:off x="424" y="60"/>
              <a:ext cx="55" cy="35"/>
            </a:xfrm>
            <a:custGeom>
              <a:avLst/>
              <a:gdLst>
                <a:gd name="T0" fmla="*/ 5 w 55"/>
                <a:gd name="T1" fmla="*/ 0 h 35"/>
                <a:gd name="T2" fmla="*/ 50 w 55"/>
                <a:gd name="T3" fmla="*/ 0 h 35"/>
                <a:gd name="T4" fmla="*/ 51 w 55"/>
                <a:gd name="T5" fmla="*/ 0 h 35"/>
                <a:gd name="T6" fmla="*/ 52 w 55"/>
                <a:gd name="T7" fmla="*/ 0 h 35"/>
                <a:gd name="T8" fmla="*/ 53 w 55"/>
                <a:gd name="T9" fmla="*/ 1 h 35"/>
                <a:gd name="T10" fmla="*/ 54 w 55"/>
                <a:gd name="T11" fmla="*/ 1 h 35"/>
                <a:gd name="T12" fmla="*/ 54 w 55"/>
                <a:gd name="T13" fmla="*/ 1 h 35"/>
                <a:gd name="T14" fmla="*/ 55 w 55"/>
                <a:gd name="T15" fmla="*/ 2 h 35"/>
                <a:gd name="T16" fmla="*/ 55 w 55"/>
                <a:gd name="T17" fmla="*/ 3 h 35"/>
                <a:gd name="T18" fmla="*/ 55 w 55"/>
                <a:gd name="T19" fmla="*/ 3 h 35"/>
                <a:gd name="T20" fmla="*/ 55 w 55"/>
                <a:gd name="T21" fmla="*/ 32 h 35"/>
                <a:gd name="T22" fmla="*/ 55 w 55"/>
                <a:gd name="T23" fmla="*/ 33 h 35"/>
                <a:gd name="T24" fmla="*/ 55 w 55"/>
                <a:gd name="T25" fmla="*/ 33 h 35"/>
                <a:gd name="T26" fmla="*/ 54 w 55"/>
                <a:gd name="T27" fmla="*/ 34 h 35"/>
                <a:gd name="T28" fmla="*/ 54 w 55"/>
                <a:gd name="T29" fmla="*/ 34 h 35"/>
                <a:gd name="T30" fmla="*/ 53 w 55"/>
                <a:gd name="T31" fmla="*/ 35 h 35"/>
                <a:gd name="T32" fmla="*/ 52 w 55"/>
                <a:gd name="T33" fmla="*/ 35 h 35"/>
                <a:gd name="T34" fmla="*/ 51 w 55"/>
                <a:gd name="T35" fmla="*/ 35 h 35"/>
                <a:gd name="T36" fmla="*/ 50 w 55"/>
                <a:gd name="T37" fmla="*/ 35 h 35"/>
                <a:gd name="T38" fmla="*/ 5 w 55"/>
                <a:gd name="T39" fmla="*/ 35 h 35"/>
                <a:gd name="T40" fmla="*/ 4 w 55"/>
                <a:gd name="T41" fmla="*/ 35 h 35"/>
                <a:gd name="T42" fmla="*/ 3 w 55"/>
                <a:gd name="T43" fmla="*/ 35 h 35"/>
                <a:gd name="T44" fmla="*/ 2 w 55"/>
                <a:gd name="T45" fmla="*/ 35 h 35"/>
                <a:gd name="T46" fmla="*/ 1 w 55"/>
                <a:gd name="T47" fmla="*/ 34 h 35"/>
                <a:gd name="T48" fmla="*/ 1 w 55"/>
                <a:gd name="T49" fmla="*/ 34 h 35"/>
                <a:gd name="T50" fmla="*/ 0 w 55"/>
                <a:gd name="T51" fmla="*/ 33 h 35"/>
                <a:gd name="T52" fmla="*/ 0 w 55"/>
                <a:gd name="T53" fmla="*/ 33 h 35"/>
                <a:gd name="T54" fmla="*/ 0 w 55"/>
                <a:gd name="T55" fmla="*/ 32 h 35"/>
                <a:gd name="T56" fmla="*/ 0 w 55"/>
                <a:gd name="T57" fmla="*/ 3 h 35"/>
                <a:gd name="T58" fmla="*/ 0 w 55"/>
                <a:gd name="T59" fmla="*/ 3 h 35"/>
                <a:gd name="T60" fmla="*/ 0 w 55"/>
                <a:gd name="T61" fmla="*/ 2 h 35"/>
                <a:gd name="T62" fmla="*/ 1 w 55"/>
                <a:gd name="T63" fmla="*/ 1 h 35"/>
                <a:gd name="T64" fmla="*/ 1 w 55"/>
                <a:gd name="T65" fmla="*/ 1 h 35"/>
                <a:gd name="T66" fmla="*/ 2 w 55"/>
                <a:gd name="T67" fmla="*/ 1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50" y="0"/>
                  </a:lnTo>
                  <a:lnTo>
                    <a:pt x="51" y="0"/>
                  </a:lnTo>
                  <a:lnTo>
                    <a:pt x="52" y="0"/>
                  </a:lnTo>
                  <a:lnTo>
                    <a:pt x="53" y="1"/>
                  </a:lnTo>
                  <a:lnTo>
                    <a:pt x="54" y="1"/>
                  </a:lnTo>
                  <a:lnTo>
                    <a:pt x="55" y="2"/>
                  </a:lnTo>
                  <a:lnTo>
                    <a:pt x="55" y="3"/>
                  </a:lnTo>
                  <a:lnTo>
                    <a:pt x="55" y="32"/>
                  </a:lnTo>
                  <a:lnTo>
                    <a:pt x="55" y="33"/>
                  </a:lnTo>
                  <a:lnTo>
                    <a:pt x="54" y="34"/>
                  </a:lnTo>
                  <a:lnTo>
                    <a:pt x="53" y="35"/>
                  </a:lnTo>
                  <a:lnTo>
                    <a:pt x="52" y="35"/>
                  </a:lnTo>
                  <a:lnTo>
                    <a:pt x="51" y="35"/>
                  </a:lnTo>
                  <a:lnTo>
                    <a:pt x="50" y="35"/>
                  </a:lnTo>
                  <a:lnTo>
                    <a:pt x="5" y="35"/>
                  </a:lnTo>
                  <a:lnTo>
                    <a:pt x="4" y="35"/>
                  </a:lnTo>
                  <a:lnTo>
                    <a:pt x="3" y="35"/>
                  </a:lnTo>
                  <a:lnTo>
                    <a:pt x="2" y="35"/>
                  </a:lnTo>
                  <a:lnTo>
                    <a:pt x="1" y="34"/>
                  </a:lnTo>
                  <a:lnTo>
                    <a:pt x="0" y="33"/>
                  </a:lnTo>
                  <a:lnTo>
                    <a:pt x="0" y="32"/>
                  </a:lnTo>
                  <a:lnTo>
                    <a:pt x="0" y="3"/>
                  </a:lnTo>
                  <a:lnTo>
                    <a:pt x="0" y="2"/>
                  </a:lnTo>
                  <a:lnTo>
                    <a:pt x="1" y="1"/>
                  </a:lnTo>
                  <a:lnTo>
                    <a:pt x="2" y="1"/>
                  </a:lnTo>
                  <a:lnTo>
                    <a:pt x="3" y="0"/>
                  </a:lnTo>
                  <a:lnTo>
                    <a:pt x="4" y="0"/>
                  </a:lnTo>
                  <a:lnTo>
                    <a:pt x="5"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4" name="Group 357">
            <a:extLst>
              <a:ext uri="{FF2B5EF4-FFF2-40B4-BE49-F238E27FC236}">
                <a16:creationId xmlns:a16="http://schemas.microsoft.com/office/drawing/2014/main" id="{00000000-0008-0000-0300-00000E000000}"/>
              </a:ext>
            </a:extLst>
          </xdr:cNvPr>
          <xdr:cNvGrpSpPr>
            <a:grpSpLocks/>
          </xdr:cNvGrpSpPr>
        </xdr:nvGrpSpPr>
        <xdr:grpSpPr bwMode="auto">
          <a:xfrm>
            <a:off x="290" y="77"/>
            <a:ext cx="122" cy="18"/>
            <a:chOff x="290" y="77"/>
            <a:chExt cx="122" cy="18"/>
          </a:xfrm>
        </xdr:grpSpPr>
        <xdr:sp macro="" textlink="">
          <xdr:nvSpPr>
            <xdr:cNvPr id="40" name="Freeform 355">
              <a:extLst>
                <a:ext uri="{FF2B5EF4-FFF2-40B4-BE49-F238E27FC236}">
                  <a16:creationId xmlns:a16="http://schemas.microsoft.com/office/drawing/2014/main" id="{00000000-0008-0000-0300-000028000000}"/>
                </a:ext>
              </a:extLst>
            </xdr:cNvPr>
            <xdr:cNvSpPr>
              <a:spLocks/>
            </xdr:cNvSpPr>
          </xdr:nvSpPr>
          <xdr:spPr bwMode="auto">
            <a:xfrm>
              <a:off x="290" y="77"/>
              <a:ext cx="122" cy="18"/>
            </a:xfrm>
            <a:custGeom>
              <a:avLst/>
              <a:gdLst>
                <a:gd name="T0" fmla="*/ 115 w 122"/>
                <a:gd name="T1" fmla="*/ 18 h 18"/>
                <a:gd name="T2" fmla="*/ 7 w 122"/>
                <a:gd name="T3" fmla="*/ 18 h 18"/>
                <a:gd name="T4" fmla="*/ 5 w 122"/>
                <a:gd name="T5" fmla="*/ 18 h 18"/>
                <a:gd name="T6" fmla="*/ 4 w 122"/>
                <a:gd name="T7" fmla="*/ 18 h 18"/>
                <a:gd name="T8" fmla="*/ 3 w 122"/>
                <a:gd name="T9" fmla="*/ 17 h 18"/>
                <a:gd name="T10" fmla="*/ 2 w 122"/>
                <a:gd name="T11" fmla="*/ 17 h 18"/>
                <a:gd name="T12" fmla="*/ 2 w 122"/>
                <a:gd name="T13" fmla="*/ 16 h 18"/>
                <a:gd name="T14" fmla="*/ 1 w 122"/>
                <a:gd name="T15" fmla="*/ 15 h 18"/>
                <a:gd name="T16" fmla="*/ 0 w 122"/>
                <a:gd name="T17" fmla="*/ 15 h 18"/>
                <a:gd name="T18" fmla="*/ 0 w 122"/>
                <a:gd name="T19" fmla="*/ 14 h 18"/>
                <a:gd name="T20" fmla="*/ 0 w 122"/>
                <a:gd name="T21" fmla="*/ 4 h 18"/>
                <a:gd name="T22" fmla="*/ 0 w 122"/>
                <a:gd name="T23" fmla="*/ 3 h 18"/>
                <a:gd name="T24" fmla="*/ 1 w 122"/>
                <a:gd name="T25" fmla="*/ 2 h 18"/>
                <a:gd name="T26" fmla="*/ 2 w 122"/>
                <a:gd name="T27" fmla="*/ 2 h 18"/>
                <a:gd name="T28" fmla="*/ 2 w 122"/>
                <a:gd name="T29" fmla="*/ 1 h 18"/>
                <a:gd name="T30" fmla="*/ 3 w 122"/>
                <a:gd name="T31" fmla="*/ 1 h 18"/>
                <a:gd name="T32" fmla="*/ 4 w 122"/>
                <a:gd name="T33" fmla="*/ 0 h 18"/>
                <a:gd name="T34" fmla="*/ 5 w 122"/>
                <a:gd name="T35" fmla="*/ 0 h 18"/>
                <a:gd name="T36" fmla="*/ 7 w 122"/>
                <a:gd name="T37" fmla="*/ 0 h 18"/>
                <a:gd name="T38" fmla="*/ 115 w 122"/>
                <a:gd name="T39" fmla="*/ 0 h 18"/>
                <a:gd name="T40" fmla="*/ 117 w 122"/>
                <a:gd name="T41" fmla="*/ 0 h 18"/>
                <a:gd name="T42" fmla="*/ 118 w 122"/>
                <a:gd name="T43" fmla="*/ 0 h 18"/>
                <a:gd name="T44" fmla="*/ 119 w 122"/>
                <a:gd name="T45" fmla="*/ 1 h 18"/>
                <a:gd name="T46" fmla="*/ 120 w 122"/>
                <a:gd name="T47" fmla="*/ 1 h 18"/>
                <a:gd name="T48" fmla="*/ 121 w 122"/>
                <a:gd name="T49" fmla="*/ 2 h 18"/>
                <a:gd name="T50" fmla="*/ 122 w 122"/>
                <a:gd name="T51" fmla="*/ 2 h 18"/>
                <a:gd name="T52" fmla="*/ 122 w 122"/>
                <a:gd name="T53" fmla="*/ 3 h 18"/>
                <a:gd name="T54" fmla="*/ 122 w 122"/>
                <a:gd name="T55" fmla="*/ 4 h 18"/>
                <a:gd name="T56" fmla="*/ 122 w 122"/>
                <a:gd name="T57" fmla="*/ 14 h 18"/>
                <a:gd name="T58" fmla="*/ 122 w 122"/>
                <a:gd name="T59" fmla="*/ 15 h 18"/>
                <a:gd name="T60" fmla="*/ 122 w 122"/>
                <a:gd name="T61" fmla="*/ 15 h 18"/>
                <a:gd name="T62" fmla="*/ 121 w 122"/>
                <a:gd name="T63" fmla="*/ 16 h 18"/>
                <a:gd name="T64" fmla="*/ 120 w 122"/>
                <a:gd name="T65" fmla="*/ 17 h 18"/>
                <a:gd name="T66" fmla="*/ 119 w 122"/>
                <a:gd name="T67" fmla="*/ 17 h 18"/>
                <a:gd name="T68" fmla="*/ 118 w 122"/>
                <a:gd name="T69" fmla="*/ 18 h 18"/>
                <a:gd name="T70" fmla="*/ 117 w 122"/>
                <a:gd name="T71" fmla="*/ 18 h 18"/>
                <a:gd name="T72" fmla="*/ 115 w 122"/>
                <a:gd name="T73" fmla="*/ 18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115" y="18"/>
                  </a:moveTo>
                  <a:lnTo>
                    <a:pt x="7" y="18"/>
                  </a:lnTo>
                  <a:lnTo>
                    <a:pt x="5" y="18"/>
                  </a:lnTo>
                  <a:lnTo>
                    <a:pt x="4" y="18"/>
                  </a:lnTo>
                  <a:lnTo>
                    <a:pt x="3" y="17"/>
                  </a:lnTo>
                  <a:lnTo>
                    <a:pt x="2" y="17"/>
                  </a:lnTo>
                  <a:lnTo>
                    <a:pt x="2" y="16"/>
                  </a:lnTo>
                  <a:lnTo>
                    <a:pt x="1" y="15"/>
                  </a:lnTo>
                  <a:lnTo>
                    <a:pt x="0" y="15"/>
                  </a:lnTo>
                  <a:lnTo>
                    <a:pt x="0" y="14"/>
                  </a:lnTo>
                  <a:lnTo>
                    <a:pt x="0" y="4"/>
                  </a:lnTo>
                  <a:lnTo>
                    <a:pt x="0" y="3"/>
                  </a:lnTo>
                  <a:lnTo>
                    <a:pt x="1" y="2"/>
                  </a:lnTo>
                  <a:lnTo>
                    <a:pt x="2" y="2"/>
                  </a:lnTo>
                  <a:lnTo>
                    <a:pt x="2" y="1"/>
                  </a:lnTo>
                  <a:lnTo>
                    <a:pt x="3" y="1"/>
                  </a:lnTo>
                  <a:lnTo>
                    <a:pt x="4" y="0"/>
                  </a:lnTo>
                  <a:lnTo>
                    <a:pt x="5" y="0"/>
                  </a:lnTo>
                  <a:lnTo>
                    <a:pt x="7" y="0"/>
                  </a:lnTo>
                  <a:lnTo>
                    <a:pt x="115" y="0"/>
                  </a:lnTo>
                  <a:lnTo>
                    <a:pt x="117" y="0"/>
                  </a:lnTo>
                  <a:lnTo>
                    <a:pt x="118" y="0"/>
                  </a:lnTo>
                  <a:lnTo>
                    <a:pt x="119" y="1"/>
                  </a:lnTo>
                  <a:lnTo>
                    <a:pt x="120" y="1"/>
                  </a:lnTo>
                  <a:lnTo>
                    <a:pt x="121" y="2"/>
                  </a:lnTo>
                  <a:lnTo>
                    <a:pt x="122" y="2"/>
                  </a:lnTo>
                  <a:lnTo>
                    <a:pt x="122" y="3"/>
                  </a:lnTo>
                  <a:lnTo>
                    <a:pt x="122" y="4"/>
                  </a:lnTo>
                  <a:lnTo>
                    <a:pt x="122" y="14"/>
                  </a:lnTo>
                  <a:lnTo>
                    <a:pt x="122" y="15"/>
                  </a:lnTo>
                  <a:lnTo>
                    <a:pt x="121" y="16"/>
                  </a:lnTo>
                  <a:lnTo>
                    <a:pt x="120" y="17"/>
                  </a:lnTo>
                  <a:lnTo>
                    <a:pt x="119" y="17"/>
                  </a:lnTo>
                  <a:lnTo>
                    <a:pt x="118" y="18"/>
                  </a:lnTo>
                  <a:lnTo>
                    <a:pt x="117" y="18"/>
                  </a:lnTo>
                  <a:lnTo>
                    <a:pt x="115" y="18"/>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41" name="Freeform 356">
              <a:extLst>
                <a:ext uri="{FF2B5EF4-FFF2-40B4-BE49-F238E27FC236}">
                  <a16:creationId xmlns:a16="http://schemas.microsoft.com/office/drawing/2014/main" id="{00000000-0008-0000-0300-000029000000}"/>
                </a:ext>
              </a:extLst>
            </xdr:cNvPr>
            <xdr:cNvSpPr>
              <a:spLocks/>
            </xdr:cNvSpPr>
          </xdr:nvSpPr>
          <xdr:spPr bwMode="auto">
            <a:xfrm>
              <a:off x="290" y="77"/>
              <a:ext cx="122" cy="18"/>
            </a:xfrm>
            <a:custGeom>
              <a:avLst/>
              <a:gdLst>
                <a:gd name="T0" fmla="*/ 115 w 122"/>
                <a:gd name="T1" fmla="*/ 18 h 18"/>
                <a:gd name="T2" fmla="*/ 7 w 122"/>
                <a:gd name="T3" fmla="*/ 18 h 18"/>
                <a:gd name="T4" fmla="*/ 5 w 122"/>
                <a:gd name="T5" fmla="*/ 18 h 18"/>
                <a:gd name="T6" fmla="*/ 4 w 122"/>
                <a:gd name="T7" fmla="*/ 18 h 18"/>
                <a:gd name="T8" fmla="*/ 3 w 122"/>
                <a:gd name="T9" fmla="*/ 17 h 18"/>
                <a:gd name="T10" fmla="*/ 2 w 122"/>
                <a:gd name="T11" fmla="*/ 17 h 18"/>
                <a:gd name="T12" fmla="*/ 2 w 122"/>
                <a:gd name="T13" fmla="*/ 16 h 18"/>
                <a:gd name="T14" fmla="*/ 1 w 122"/>
                <a:gd name="T15" fmla="*/ 15 h 18"/>
                <a:gd name="T16" fmla="*/ 0 w 122"/>
                <a:gd name="T17" fmla="*/ 15 h 18"/>
                <a:gd name="T18" fmla="*/ 0 w 122"/>
                <a:gd name="T19" fmla="*/ 14 h 18"/>
                <a:gd name="T20" fmla="*/ 0 w 122"/>
                <a:gd name="T21" fmla="*/ 4 h 18"/>
                <a:gd name="T22" fmla="*/ 0 w 122"/>
                <a:gd name="T23" fmla="*/ 3 h 18"/>
                <a:gd name="T24" fmla="*/ 1 w 122"/>
                <a:gd name="T25" fmla="*/ 2 h 18"/>
                <a:gd name="T26" fmla="*/ 2 w 122"/>
                <a:gd name="T27" fmla="*/ 2 h 18"/>
                <a:gd name="T28" fmla="*/ 2 w 122"/>
                <a:gd name="T29" fmla="*/ 1 h 18"/>
                <a:gd name="T30" fmla="*/ 3 w 122"/>
                <a:gd name="T31" fmla="*/ 1 h 18"/>
                <a:gd name="T32" fmla="*/ 4 w 122"/>
                <a:gd name="T33" fmla="*/ 0 h 18"/>
                <a:gd name="T34" fmla="*/ 5 w 122"/>
                <a:gd name="T35" fmla="*/ 0 h 18"/>
                <a:gd name="T36" fmla="*/ 7 w 122"/>
                <a:gd name="T37" fmla="*/ 0 h 18"/>
                <a:gd name="T38" fmla="*/ 115 w 122"/>
                <a:gd name="T39" fmla="*/ 0 h 18"/>
                <a:gd name="T40" fmla="*/ 117 w 122"/>
                <a:gd name="T41" fmla="*/ 0 h 18"/>
                <a:gd name="T42" fmla="*/ 118 w 122"/>
                <a:gd name="T43" fmla="*/ 0 h 18"/>
                <a:gd name="T44" fmla="*/ 119 w 122"/>
                <a:gd name="T45" fmla="*/ 1 h 18"/>
                <a:gd name="T46" fmla="*/ 120 w 122"/>
                <a:gd name="T47" fmla="*/ 1 h 18"/>
                <a:gd name="T48" fmla="*/ 121 w 122"/>
                <a:gd name="T49" fmla="*/ 2 h 18"/>
                <a:gd name="T50" fmla="*/ 122 w 122"/>
                <a:gd name="T51" fmla="*/ 2 h 18"/>
                <a:gd name="T52" fmla="*/ 122 w 122"/>
                <a:gd name="T53" fmla="*/ 3 h 18"/>
                <a:gd name="T54" fmla="*/ 122 w 122"/>
                <a:gd name="T55" fmla="*/ 4 h 18"/>
                <a:gd name="T56" fmla="*/ 122 w 122"/>
                <a:gd name="T57" fmla="*/ 14 h 18"/>
                <a:gd name="T58" fmla="*/ 122 w 122"/>
                <a:gd name="T59" fmla="*/ 15 h 18"/>
                <a:gd name="T60" fmla="*/ 122 w 122"/>
                <a:gd name="T61" fmla="*/ 15 h 18"/>
                <a:gd name="T62" fmla="*/ 121 w 122"/>
                <a:gd name="T63" fmla="*/ 16 h 18"/>
                <a:gd name="T64" fmla="*/ 120 w 122"/>
                <a:gd name="T65" fmla="*/ 17 h 18"/>
                <a:gd name="T66" fmla="*/ 119 w 122"/>
                <a:gd name="T67" fmla="*/ 17 h 18"/>
                <a:gd name="T68" fmla="*/ 118 w 122"/>
                <a:gd name="T69" fmla="*/ 18 h 18"/>
                <a:gd name="T70" fmla="*/ 117 w 122"/>
                <a:gd name="T71" fmla="*/ 18 h 18"/>
                <a:gd name="T72" fmla="*/ 115 w 122"/>
                <a:gd name="T73" fmla="*/ 18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115" y="18"/>
                  </a:moveTo>
                  <a:lnTo>
                    <a:pt x="7" y="18"/>
                  </a:lnTo>
                  <a:lnTo>
                    <a:pt x="5" y="18"/>
                  </a:lnTo>
                  <a:lnTo>
                    <a:pt x="4" y="18"/>
                  </a:lnTo>
                  <a:lnTo>
                    <a:pt x="3" y="17"/>
                  </a:lnTo>
                  <a:lnTo>
                    <a:pt x="2" y="17"/>
                  </a:lnTo>
                  <a:lnTo>
                    <a:pt x="2" y="16"/>
                  </a:lnTo>
                  <a:lnTo>
                    <a:pt x="1" y="15"/>
                  </a:lnTo>
                  <a:lnTo>
                    <a:pt x="0" y="15"/>
                  </a:lnTo>
                  <a:lnTo>
                    <a:pt x="0" y="14"/>
                  </a:lnTo>
                  <a:lnTo>
                    <a:pt x="0" y="4"/>
                  </a:lnTo>
                  <a:lnTo>
                    <a:pt x="0" y="3"/>
                  </a:lnTo>
                  <a:lnTo>
                    <a:pt x="1" y="2"/>
                  </a:lnTo>
                  <a:lnTo>
                    <a:pt x="2" y="2"/>
                  </a:lnTo>
                  <a:lnTo>
                    <a:pt x="2" y="1"/>
                  </a:lnTo>
                  <a:lnTo>
                    <a:pt x="3" y="1"/>
                  </a:lnTo>
                  <a:lnTo>
                    <a:pt x="4" y="0"/>
                  </a:lnTo>
                  <a:lnTo>
                    <a:pt x="5" y="0"/>
                  </a:lnTo>
                  <a:lnTo>
                    <a:pt x="7" y="0"/>
                  </a:lnTo>
                  <a:lnTo>
                    <a:pt x="115" y="0"/>
                  </a:lnTo>
                  <a:lnTo>
                    <a:pt x="117" y="0"/>
                  </a:lnTo>
                  <a:lnTo>
                    <a:pt x="118" y="0"/>
                  </a:lnTo>
                  <a:lnTo>
                    <a:pt x="119" y="1"/>
                  </a:lnTo>
                  <a:lnTo>
                    <a:pt x="120" y="1"/>
                  </a:lnTo>
                  <a:lnTo>
                    <a:pt x="121" y="2"/>
                  </a:lnTo>
                  <a:lnTo>
                    <a:pt x="122" y="2"/>
                  </a:lnTo>
                  <a:lnTo>
                    <a:pt x="122" y="3"/>
                  </a:lnTo>
                  <a:lnTo>
                    <a:pt x="122" y="4"/>
                  </a:lnTo>
                  <a:lnTo>
                    <a:pt x="122" y="14"/>
                  </a:lnTo>
                  <a:lnTo>
                    <a:pt x="122" y="15"/>
                  </a:lnTo>
                  <a:lnTo>
                    <a:pt x="121" y="16"/>
                  </a:lnTo>
                  <a:lnTo>
                    <a:pt x="120" y="17"/>
                  </a:lnTo>
                  <a:lnTo>
                    <a:pt x="119" y="17"/>
                  </a:lnTo>
                  <a:lnTo>
                    <a:pt x="118" y="18"/>
                  </a:lnTo>
                  <a:lnTo>
                    <a:pt x="117" y="18"/>
                  </a:lnTo>
                  <a:lnTo>
                    <a:pt x="115" y="18"/>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5" name="Group 360">
            <a:extLst>
              <a:ext uri="{FF2B5EF4-FFF2-40B4-BE49-F238E27FC236}">
                <a16:creationId xmlns:a16="http://schemas.microsoft.com/office/drawing/2014/main" id="{00000000-0008-0000-0300-00000F000000}"/>
              </a:ext>
            </a:extLst>
          </xdr:cNvPr>
          <xdr:cNvGrpSpPr>
            <a:grpSpLocks/>
          </xdr:cNvGrpSpPr>
        </xdr:nvGrpSpPr>
        <xdr:grpSpPr bwMode="auto">
          <a:xfrm>
            <a:off x="424" y="58"/>
            <a:ext cx="55" cy="35"/>
            <a:chOff x="424" y="58"/>
            <a:chExt cx="55" cy="35"/>
          </a:xfrm>
        </xdr:grpSpPr>
        <xdr:sp macro="" textlink="">
          <xdr:nvSpPr>
            <xdr:cNvPr id="38" name="Freeform 358">
              <a:extLst>
                <a:ext uri="{FF2B5EF4-FFF2-40B4-BE49-F238E27FC236}">
                  <a16:creationId xmlns:a16="http://schemas.microsoft.com/office/drawing/2014/main" id="{00000000-0008-0000-0300-000026000000}"/>
                </a:ext>
              </a:extLst>
            </xdr:cNvPr>
            <xdr:cNvSpPr>
              <a:spLocks/>
            </xdr:cNvSpPr>
          </xdr:nvSpPr>
          <xdr:spPr bwMode="auto">
            <a:xfrm>
              <a:off x="424" y="58"/>
              <a:ext cx="55" cy="35"/>
            </a:xfrm>
            <a:custGeom>
              <a:avLst/>
              <a:gdLst>
                <a:gd name="T0" fmla="*/ 5 w 55"/>
                <a:gd name="T1" fmla="*/ 0 h 35"/>
                <a:gd name="T2" fmla="*/ 50 w 55"/>
                <a:gd name="T3" fmla="*/ 0 h 35"/>
                <a:gd name="T4" fmla="*/ 51 w 55"/>
                <a:gd name="T5" fmla="*/ 0 h 35"/>
                <a:gd name="T6" fmla="*/ 52 w 55"/>
                <a:gd name="T7" fmla="*/ 0 h 35"/>
                <a:gd name="T8" fmla="*/ 53 w 55"/>
                <a:gd name="T9" fmla="*/ 0 h 35"/>
                <a:gd name="T10" fmla="*/ 54 w 55"/>
                <a:gd name="T11" fmla="*/ 0 h 35"/>
                <a:gd name="T12" fmla="*/ 54 w 55"/>
                <a:gd name="T13" fmla="*/ 1 h 35"/>
                <a:gd name="T14" fmla="*/ 55 w 55"/>
                <a:gd name="T15" fmla="*/ 2 h 35"/>
                <a:gd name="T16" fmla="*/ 55 w 55"/>
                <a:gd name="T17" fmla="*/ 2 h 35"/>
                <a:gd name="T18" fmla="*/ 55 w 55"/>
                <a:gd name="T19" fmla="*/ 3 h 35"/>
                <a:gd name="T20" fmla="*/ 55 w 55"/>
                <a:gd name="T21" fmla="*/ 32 h 35"/>
                <a:gd name="T22" fmla="*/ 55 w 55"/>
                <a:gd name="T23" fmla="*/ 32 h 35"/>
                <a:gd name="T24" fmla="*/ 55 w 55"/>
                <a:gd name="T25" fmla="*/ 33 h 35"/>
                <a:gd name="T26" fmla="*/ 54 w 55"/>
                <a:gd name="T27" fmla="*/ 33 h 35"/>
                <a:gd name="T28" fmla="*/ 54 w 55"/>
                <a:gd name="T29" fmla="*/ 34 h 35"/>
                <a:gd name="T30" fmla="*/ 53 w 55"/>
                <a:gd name="T31" fmla="*/ 34 h 35"/>
                <a:gd name="T32" fmla="*/ 52 w 55"/>
                <a:gd name="T33" fmla="*/ 34 h 35"/>
                <a:gd name="T34" fmla="*/ 51 w 55"/>
                <a:gd name="T35" fmla="*/ 35 h 35"/>
                <a:gd name="T36" fmla="*/ 50 w 55"/>
                <a:gd name="T37" fmla="*/ 35 h 35"/>
                <a:gd name="T38" fmla="*/ 5 w 55"/>
                <a:gd name="T39" fmla="*/ 35 h 35"/>
                <a:gd name="T40" fmla="*/ 4 w 55"/>
                <a:gd name="T41" fmla="*/ 35 h 35"/>
                <a:gd name="T42" fmla="*/ 3 w 55"/>
                <a:gd name="T43" fmla="*/ 34 h 35"/>
                <a:gd name="T44" fmla="*/ 2 w 55"/>
                <a:gd name="T45" fmla="*/ 34 h 35"/>
                <a:gd name="T46" fmla="*/ 1 w 55"/>
                <a:gd name="T47" fmla="*/ 34 h 35"/>
                <a:gd name="T48" fmla="*/ 1 w 55"/>
                <a:gd name="T49" fmla="*/ 33 h 35"/>
                <a:gd name="T50" fmla="*/ 0 w 55"/>
                <a:gd name="T51" fmla="*/ 33 h 35"/>
                <a:gd name="T52" fmla="*/ 0 w 55"/>
                <a:gd name="T53" fmla="*/ 32 h 35"/>
                <a:gd name="T54" fmla="*/ 0 w 55"/>
                <a:gd name="T55" fmla="*/ 32 h 35"/>
                <a:gd name="T56" fmla="*/ 0 w 55"/>
                <a:gd name="T57" fmla="*/ 3 h 35"/>
                <a:gd name="T58" fmla="*/ 0 w 55"/>
                <a:gd name="T59" fmla="*/ 2 h 35"/>
                <a:gd name="T60" fmla="*/ 0 w 55"/>
                <a:gd name="T61" fmla="*/ 2 h 35"/>
                <a:gd name="T62" fmla="*/ 1 w 55"/>
                <a:gd name="T63" fmla="*/ 1 h 35"/>
                <a:gd name="T64" fmla="*/ 1 w 55"/>
                <a:gd name="T65" fmla="*/ 0 h 35"/>
                <a:gd name="T66" fmla="*/ 2 w 55"/>
                <a:gd name="T67" fmla="*/ 0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50" y="0"/>
                  </a:lnTo>
                  <a:lnTo>
                    <a:pt x="51" y="0"/>
                  </a:lnTo>
                  <a:lnTo>
                    <a:pt x="52" y="0"/>
                  </a:lnTo>
                  <a:lnTo>
                    <a:pt x="53" y="0"/>
                  </a:lnTo>
                  <a:lnTo>
                    <a:pt x="54" y="0"/>
                  </a:lnTo>
                  <a:lnTo>
                    <a:pt x="54" y="1"/>
                  </a:lnTo>
                  <a:lnTo>
                    <a:pt x="55" y="2"/>
                  </a:lnTo>
                  <a:lnTo>
                    <a:pt x="55" y="3"/>
                  </a:lnTo>
                  <a:lnTo>
                    <a:pt x="55" y="32"/>
                  </a:lnTo>
                  <a:lnTo>
                    <a:pt x="55" y="33"/>
                  </a:lnTo>
                  <a:lnTo>
                    <a:pt x="54" y="33"/>
                  </a:lnTo>
                  <a:lnTo>
                    <a:pt x="54" y="34"/>
                  </a:lnTo>
                  <a:lnTo>
                    <a:pt x="53" y="34"/>
                  </a:lnTo>
                  <a:lnTo>
                    <a:pt x="52" y="34"/>
                  </a:lnTo>
                  <a:lnTo>
                    <a:pt x="51" y="35"/>
                  </a:lnTo>
                  <a:lnTo>
                    <a:pt x="50" y="35"/>
                  </a:lnTo>
                  <a:lnTo>
                    <a:pt x="5" y="35"/>
                  </a:lnTo>
                  <a:lnTo>
                    <a:pt x="4" y="35"/>
                  </a:lnTo>
                  <a:lnTo>
                    <a:pt x="3" y="34"/>
                  </a:lnTo>
                  <a:lnTo>
                    <a:pt x="2" y="34"/>
                  </a:lnTo>
                  <a:lnTo>
                    <a:pt x="1" y="34"/>
                  </a:lnTo>
                  <a:lnTo>
                    <a:pt x="1" y="33"/>
                  </a:lnTo>
                  <a:lnTo>
                    <a:pt x="0" y="33"/>
                  </a:lnTo>
                  <a:lnTo>
                    <a:pt x="0" y="32"/>
                  </a:lnTo>
                  <a:lnTo>
                    <a:pt x="0" y="3"/>
                  </a:lnTo>
                  <a:lnTo>
                    <a:pt x="0" y="2"/>
                  </a:lnTo>
                  <a:lnTo>
                    <a:pt x="1" y="1"/>
                  </a:lnTo>
                  <a:lnTo>
                    <a:pt x="1" y="0"/>
                  </a:lnTo>
                  <a:lnTo>
                    <a:pt x="2" y="0"/>
                  </a:lnTo>
                  <a:lnTo>
                    <a:pt x="3" y="0"/>
                  </a:lnTo>
                  <a:lnTo>
                    <a:pt x="4" y="0"/>
                  </a:lnTo>
                  <a:lnTo>
                    <a:pt x="5"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39" name="Freeform 359">
              <a:extLst>
                <a:ext uri="{FF2B5EF4-FFF2-40B4-BE49-F238E27FC236}">
                  <a16:creationId xmlns:a16="http://schemas.microsoft.com/office/drawing/2014/main" id="{00000000-0008-0000-0300-000027000000}"/>
                </a:ext>
              </a:extLst>
            </xdr:cNvPr>
            <xdr:cNvSpPr>
              <a:spLocks/>
            </xdr:cNvSpPr>
          </xdr:nvSpPr>
          <xdr:spPr bwMode="auto">
            <a:xfrm>
              <a:off x="424" y="58"/>
              <a:ext cx="55" cy="35"/>
            </a:xfrm>
            <a:custGeom>
              <a:avLst/>
              <a:gdLst>
                <a:gd name="T0" fmla="*/ 5 w 55"/>
                <a:gd name="T1" fmla="*/ 0 h 35"/>
                <a:gd name="T2" fmla="*/ 50 w 55"/>
                <a:gd name="T3" fmla="*/ 0 h 35"/>
                <a:gd name="T4" fmla="*/ 51 w 55"/>
                <a:gd name="T5" fmla="*/ 0 h 35"/>
                <a:gd name="T6" fmla="*/ 52 w 55"/>
                <a:gd name="T7" fmla="*/ 0 h 35"/>
                <a:gd name="T8" fmla="*/ 53 w 55"/>
                <a:gd name="T9" fmla="*/ 0 h 35"/>
                <a:gd name="T10" fmla="*/ 54 w 55"/>
                <a:gd name="T11" fmla="*/ 0 h 35"/>
                <a:gd name="T12" fmla="*/ 54 w 55"/>
                <a:gd name="T13" fmla="*/ 1 h 35"/>
                <a:gd name="T14" fmla="*/ 55 w 55"/>
                <a:gd name="T15" fmla="*/ 2 h 35"/>
                <a:gd name="T16" fmla="*/ 55 w 55"/>
                <a:gd name="T17" fmla="*/ 2 h 35"/>
                <a:gd name="T18" fmla="*/ 55 w 55"/>
                <a:gd name="T19" fmla="*/ 3 h 35"/>
                <a:gd name="T20" fmla="*/ 55 w 55"/>
                <a:gd name="T21" fmla="*/ 32 h 35"/>
                <a:gd name="T22" fmla="*/ 55 w 55"/>
                <a:gd name="T23" fmla="*/ 32 h 35"/>
                <a:gd name="T24" fmla="*/ 55 w 55"/>
                <a:gd name="T25" fmla="*/ 33 h 35"/>
                <a:gd name="T26" fmla="*/ 54 w 55"/>
                <a:gd name="T27" fmla="*/ 33 h 35"/>
                <a:gd name="T28" fmla="*/ 54 w 55"/>
                <a:gd name="T29" fmla="*/ 34 h 35"/>
                <a:gd name="T30" fmla="*/ 53 w 55"/>
                <a:gd name="T31" fmla="*/ 34 h 35"/>
                <a:gd name="T32" fmla="*/ 52 w 55"/>
                <a:gd name="T33" fmla="*/ 34 h 35"/>
                <a:gd name="T34" fmla="*/ 51 w 55"/>
                <a:gd name="T35" fmla="*/ 35 h 35"/>
                <a:gd name="T36" fmla="*/ 50 w 55"/>
                <a:gd name="T37" fmla="*/ 35 h 35"/>
                <a:gd name="T38" fmla="*/ 5 w 55"/>
                <a:gd name="T39" fmla="*/ 35 h 35"/>
                <a:gd name="T40" fmla="*/ 4 w 55"/>
                <a:gd name="T41" fmla="*/ 35 h 35"/>
                <a:gd name="T42" fmla="*/ 3 w 55"/>
                <a:gd name="T43" fmla="*/ 34 h 35"/>
                <a:gd name="T44" fmla="*/ 2 w 55"/>
                <a:gd name="T45" fmla="*/ 34 h 35"/>
                <a:gd name="T46" fmla="*/ 1 w 55"/>
                <a:gd name="T47" fmla="*/ 34 h 35"/>
                <a:gd name="T48" fmla="*/ 1 w 55"/>
                <a:gd name="T49" fmla="*/ 33 h 35"/>
                <a:gd name="T50" fmla="*/ 0 w 55"/>
                <a:gd name="T51" fmla="*/ 33 h 35"/>
                <a:gd name="T52" fmla="*/ 0 w 55"/>
                <a:gd name="T53" fmla="*/ 32 h 35"/>
                <a:gd name="T54" fmla="*/ 0 w 55"/>
                <a:gd name="T55" fmla="*/ 32 h 35"/>
                <a:gd name="T56" fmla="*/ 0 w 55"/>
                <a:gd name="T57" fmla="*/ 3 h 35"/>
                <a:gd name="T58" fmla="*/ 0 w 55"/>
                <a:gd name="T59" fmla="*/ 2 h 35"/>
                <a:gd name="T60" fmla="*/ 0 w 55"/>
                <a:gd name="T61" fmla="*/ 2 h 35"/>
                <a:gd name="T62" fmla="*/ 1 w 55"/>
                <a:gd name="T63" fmla="*/ 1 h 35"/>
                <a:gd name="T64" fmla="*/ 1 w 55"/>
                <a:gd name="T65" fmla="*/ 0 h 35"/>
                <a:gd name="T66" fmla="*/ 2 w 55"/>
                <a:gd name="T67" fmla="*/ 0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50" y="0"/>
                  </a:lnTo>
                  <a:lnTo>
                    <a:pt x="51" y="0"/>
                  </a:lnTo>
                  <a:lnTo>
                    <a:pt x="52" y="0"/>
                  </a:lnTo>
                  <a:lnTo>
                    <a:pt x="53" y="0"/>
                  </a:lnTo>
                  <a:lnTo>
                    <a:pt x="54" y="0"/>
                  </a:lnTo>
                  <a:lnTo>
                    <a:pt x="54" y="1"/>
                  </a:lnTo>
                  <a:lnTo>
                    <a:pt x="55" y="2"/>
                  </a:lnTo>
                  <a:lnTo>
                    <a:pt x="55" y="3"/>
                  </a:lnTo>
                  <a:lnTo>
                    <a:pt x="55" y="32"/>
                  </a:lnTo>
                  <a:lnTo>
                    <a:pt x="55" y="33"/>
                  </a:lnTo>
                  <a:lnTo>
                    <a:pt x="54" y="33"/>
                  </a:lnTo>
                  <a:lnTo>
                    <a:pt x="54" y="34"/>
                  </a:lnTo>
                  <a:lnTo>
                    <a:pt x="53" y="34"/>
                  </a:lnTo>
                  <a:lnTo>
                    <a:pt x="52" y="34"/>
                  </a:lnTo>
                  <a:lnTo>
                    <a:pt x="51" y="35"/>
                  </a:lnTo>
                  <a:lnTo>
                    <a:pt x="50" y="35"/>
                  </a:lnTo>
                  <a:lnTo>
                    <a:pt x="5" y="35"/>
                  </a:lnTo>
                  <a:lnTo>
                    <a:pt x="4" y="35"/>
                  </a:lnTo>
                  <a:lnTo>
                    <a:pt x="3" y="34"/>
                  </a:lnTo>
                  <a:lnTo>
                    <a:pt x="2" y="34"/>
                  </a:lnTo>
                  <a:lnTo>
                    <a:pt x="1" y="34"/>
                  </a:lnTo>
                  <a:lnTo>
                    <a:pt x="1" y="33"/>
                  </a:lnTo>
                  <a:lnTo>
                    <a:pt x="0" y="33"/>
                  </a:lnTo>
                  <a:lnTo>
                    <a:pt x="0" y="32"/>
                  </a:lnTo>
                  <a:lnTo>
                    <a:pt x="0" y="3"/>
                  </a:lnTo>
                  <a:lnTo>
                    <a:pt x="0" y="2"/>
                  </a:lnTo>
                  <a:lnTo>
                    <a:pt x="1" y="1"/>
                  </a:lnTo>
                  <a:lnTo>
                    <a:pt x="1" y="0"/>
                  </a:lnTo>
                  <a:lnTo>
                    <a:pt x="2" y="0"/>
                  </a:lnTo>
                  <a:lnTo>
                    <a:pt x="3" y="0"/>
                  </a:lnTo>
                  <a:lnTo>
                    <a:pt x="4" y="0"/>
                  </a:lnTo>
                  <a:lnTo>
                    <a:pt x="5"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6" name="Group 363">
            <a:extLst>
              <a:ext uri="{FF2B5EF4-FFF2-40B4-BE49-F238E27FC236}">
                <a16:creationId xmlns:a16="http://schemas.microsoft.com/office/drawing/2014/main" id="{00000000-0008-0000-0300-000010000000}"/>
              </a:ext>
            </a:extLst>
          </xdr:cNvPr>
          <xdr:cNvGrpSpPr>
            <a:grpSpLocks/>
          </xdr:cNvGrpSpPr>
        </xdr:nvGrpSpPr>
        <xdr:grpSpPr bwMode="auto">
          <a:xfrm>
            <a:off x="357" y="57"/>
            <a:ext cx="56" cy="35"/>
            <a:chOff x="357" y="57"/>
            <a:chExt cx="56" cy="35"/>
          </a:xfrm>
        </xdr:grpSpPr>
        <xdr:sp macro="" textlink="">
          <xdr:nvSpPr>
            <xdr:cNvPr id="36" name="Freeform 361">
              <a:extLst>
                <a:ext uri="{FF2B5EF4-FFF2-40B4-BE49-F238E27FC236}">
                  <a16:creationId xmlns:a16="http://schemas.microsoft.com/office/drawing/2014/main" id="{00000000-0008-0000-0300-000024000000}"/>
                </a:ext>
              </a:extLst>
            </xdr:cNvPr>
            <xdr:cNvSpPr>
              <a:spLocks/>
            </xdr:cNvSpPr>
          </xdr:nvSpPr>
          <xdr:spPr bwMode="auto">
            <a:xfrm>
              <a:off x="357" y="57"/>
              <a:ext cx="56" cy="35"/>
            </a:xfrm>
            <a:custGeom>
              <a:avLst/>
              <a:gdLst>
                <a:gd name="T0" fmla="*/ 50 w 56"/>
                <a:gd name="T1" fmla="*/ 35 h 35"/>
                <a:gd name="T2" fmla="*/ 6 w 56"/>
                <a:gd name="T3" fmla="*/ 35 h 35"/>
                <a:gd name="T4" fmla="*/ 5 w 56"/>
                <a:gd name="T5" fmla="*/ 35 h 35"/>
                <a:gd name="T6" fmla="*/ 4 w 56"/>
                <a:gd name="T7" fmla="*/ 35 h 35"/>
                <a:gd name="T8" fmla="*/ 3 w 56"/>
                <a:gd name="T9" fmla="*/ 35 h 35"/>
                <a:gd name="T10" fmla="*/ 2 w 56"/>
                <a:gd name="T11" fmla="*/ 34 h 35"/>
                <a:gd name="T12" fmla="*/ 1 w 56"/>
                <a:gd name="T13" fmla="*/ 34 h 35"/>
                <a:gd name="T14" fmla="*/ 1 w 56"/>
                <a:gd name="T15" fmla="*/ 34 h 35"/>
                <a:gd name="T16" fmla="*/ 0 w 56"/>
                <a:gd name="T17" fmla="*/ 33 h 35"/>
                <a:gd name="T18" fmla="*/ 0 w 56"/>
                <a:gd name="T19" fmla="*/ 32 h 35"/>
                <a:gd name="T20" fmla="*/ 0 w 56"/>
                <a:gd name="T21" fmla="*/ 3 h 35"/>
                <a:gd name="T22" fmla="*/ 0 w 56"/>
                <a:gd name="T23" fmla="*/ 3 h 35"/>
                <a:gd name="T24" fmla="*/ 1 w 56"/>
                <a:gd name="T25" fmla="*/ 2 h 35"/>
                <a:gd name="T26" fmla="*/ 1 w 56"/>
                <a:gd name="T27" fmla="*/ 1 h 35"/>
                <a:gd name="T28" fmla="*/ 2 w 56"/>
                <a:gd name="T29" fmla="*/ 1 h 35"/>
                <a:gd name="T30" fmla="*/ 3 w 56"/>
                <a:gd name="T31" fmla="*/ 1 h 35"/>
                <a:gd name="T32" fmla="*/ 4 w 56"/>
                <a:gd name="T33" fmla="*/ 1 h 35"/>
                <a:gd name="T34" fmla="*/ 5 w 56"/>
                <a:gd name="T35" fmla="*/ 0 h 35"/>
                <a:gd name="T36" fmla="*/ 6 w 56"/>
                <a:gd name="T37" fmla="*/ 0 h 35"/>
                <a:gd name="T38" fmla="*/ 50 w 56"/>
                <a:gd name="T39" fmla="*/ 0 h 35"/>
                <a:gd name="T40" fmla="*/ 51 w 56"/>
                <a:gd name="T41" fmla="*/ 0 h 35"/>
                <a:gd name="T42" fmla="*/ 52 w 56"/>
                <a:gd name="T43" fmla="*/ 1 h 35"/>
                <a:gd name="T44" fmla="*/ 53 w 56"/>
                <a:gd name="T45" fmla="*/ 1 h 35"/>
                <a:gd name="T46" fmla="*/ 54 w 56"/>
                <a:gd name="T47" fmla="*/ 1 h 35"/>
                <a:gd name="T48" fmla="*/ 55 w 56"/>
                <a:gd name="T49" fmla="*/ 1 h 35"/>
                <a:gd name="T50" fmla="*/ 55 w 56"/>
                <a:gd name="T51" fmla="*/ 2 h 35"/>
                <a:gd name="T52" fmla="*/ 56 w 56"/>
                <a:gd name="T53" fmla="*/ 3 h 35"/>
                <a:gd name="T54" fmla="*/ 56 w 56"/>
                <a:gd name="T55" fmla="*/ 3 h 35"/>
                <a:gd name="T56" fmla="*/ 56 w 56"/>
                <a:gd name="T57" fmla="*/ 32 h 35"/>
                <a:gd name="T58" fmla="*/ 56 w 56"/>
                <a:gd name="T59" fmla="*/ 33 h 35"/>
                <a:gd name="T60" fmla="*/ 55 w 56"/>
                <a:gd name="T61" fmla="*/ 34 h 35"/>
                <a:gd name="T62" fmla="*/ 55 w 56"/>
                <a:gd name="T63" fmla="*/ 34 h 35"/>
                <a:gd name="T64" fmla="*/ 54 w 56"/>
                <a:gd name="T65" fmla="*/ 34 h 35"/>
                <a:gd name="T66" fmla="*/ 53 w 56"/>
                <a:gd name="T67" fmla="*/ 35 h 35"/>
                <a:gd name="T68" fmla="*/ 52 w 56"/>
                <a:gd name="T69" fmla="*/ 35 h 35"/>
                <a:gd name="T70" fmla="*/ 51 w 56"/>
                <a:gd name="T71" fmla="*/ 35 h 35"/>
                <a:gd name="T72" fmla="*/ 50 w 56"/>
                <a:gd name="T73" fmla="*/ 35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6"/>
                <a:gd name="T112" fmla="*/ 0 h 35"/>
                <a:gd name="T113" fmla="*/ 56 w 56"/>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6" h="35">
                  <a:moveTo>
                    <a:pt x="50" y="35"/>
                  </a:moveTo>
                  <a:lnTo>
                    <a:pt x="6" y="35"/>
                  </a:lnTo>
                  <a:lnTo>
                    <a:pt x="5" y="35"/>
                  </a:lnTo>
                  <a:lnTo>
                    <a:pt x="4" y="35"/>
                  </a:lnTo>
                  <a:lnTo>
                    <a:pt x="3" y="35"/>
                  </a:lnTo>
                  <a:lnTo>
                    <a:pt x="2" y="34"/>
                  </a:lnTo>
                  <a:lnTo>
                    <a:pt x="1" y="34"/>
                  </a:lnTo>
                  <a:lnTo>
                    <a:pt x="0" y="33"/>
                  </a:lnTo>
                  <a:lnTo>
                    <a:pt x="0" y="32"/>
                  </a:lnTo>
                  <a:lnTo>
                    <a:pt x="0" y="3"/>
                  </a:lnTo>
                  <a:lnTo>
                    <a:pt x="1" y="2"/>
                  </a:lnTo>
                  <a:lnTo>
                    <a:pt x="1" y="1"/>
                  </a:lnTo>
                  <a:lnTo>
                    <a:pt x="2" y="1"/>
                  </a:lnTo>
                  <a:lnTo>
                    <a:pt x="3" y="1"/>
                  </a:lnTo>
                  <a:lnTo>
                    <a:pt x="4" y="1"/>
                  </a:lnTo>
                  <a:lnTo>
                    <a:pt x="5" y="0"/>
                  </a:lnTo>
                  <a:lnTo>
                    <a:pt x="6" y="0"/>
                  </a:lnTo>
                  <a:lnTo>
                    <a:pt x="50" y="0"/>
                  </a:lnTo>
                  <a:lnTo>
                    <a:pt x="51" y="0"/>
                  </a:lnTo>
                  <a:lnTo>
                    <a:pt x="52" y="1"/>
                  </a:lnTo>
                  <a:lnTo>
                    <a:pt x="53" y="1"/>
                  </a:lnTo>
                  <a:lnTo>
                    <a:pt x="54" y="1"/>
                  </a:lnTo>
                  <a:lnTo>
                    <a:pt x="55" y="1"/>
                  </a:lnTo>
                  <a:lnTo>
                    <a:pt x="55" y="2"/>
                  </a:lnTo>
                  <a:lnTo>
                    <a:pt x="56" y="3"/>
                  </a:lnTo>
                  <a:lnTo>
                    <a:pt x="56" y="32"/>
                  </a:lnTo>
                  <a:lnTo>
                    <a:pt x="56" y="33"/>
                  </a:lnTo>
                  <a:lnTo>
                    <a:pt x="55" y="34"/>
                  </a:lnTo>
                  <a:lnTo>
                    <a:pt x="54" y="34"/>
                  </a:lnTo>
                  <a:lnTo>
                    <a:pt x="53" y="35"/>
                  </a:lnTo>
                  <a:lnTo>
                    <a:pt x="52" y="35"/>
                  </a:lnTo>
                  <a:lnTo>
                    <a:pt x="51" y="35"/>
                  </a:lnTo>
                  <a:lnTo>
                    <a:pt x="50" y="35"/>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37" name="Freeform 362">
              <a:extLst>
                <a:ext uri="{FF2B5EF4-FFF2-40B4-BE49-F238E27FC236}">
                  <a16:creationId xmlns:a16="http://schemas.microsoft.com/office/drawing/2014/main" id="{00000000-0008-0000-0300-000025000000}"/>
                </a:ext>
              </a:extLst>
            </xdr:cNvPr>
            <xdr:cNvSpPr>
              <a:spLocks/>
            </xdr:cNvSpPr>
          </xdr:nvSpPr>
          <xdr:spPr bwMode="auto">
            <a:xfrm>
              <a:off x="357" y="57"/>
              <a:ext cx="56" cy="35"/>
            </a:xfrm>
            <a:custGeom>
              <a:avLst/>
              <a:gdLst>
                <a:gd name="T0" fmla="*/ 50 w 56"/>
                <a:gd name="T1" fmla="*/ 35 h 35"/>
                <a:gd name="T2" fmla="*/ 6 w 56"/>
                <a:gd name="T3" fmla="*/ 35 h 35"/>
                <a:gd name="T4" fmla="*/ 5 w 56"/>
                <a:gd name="T5" fmla="*/ 35 h 35"/>
                <a:gd name="T6" fmla="*/ 4 w 56"/>
                <a:gd name="T7" fmla="*/ 35 h 35"/>
                <a:gd name="T8" fmla="*/ 3 w 56"/>
                <a:gd name="T9" fmla="*/ 35 h 35"/>
                <a:gd name="T10" fmla="*/ 2 w 56"/>
                <a:gd name="T11" fmla="*/ 34 h 35"/>
                <a:gd name="T12" fmla="*/ 1 w 56"/>
                <a:gd name="T13" fmla="*/ 34 h 35"/>
                <a:gd name="T14" fmla="*/ 1 w 56"/>
                <a:gd name="T15" fmla="*/ 34 h 35"/>
                <a:gd name="T16" fmla="*/ 0 w 56"/>
                <a:gd name="T17" fmla="*/ 33 h 35"/>
                <a:gd name="T18" fmla="*/ 0 w 56"/>
                <a:gd name="T19" fmla="*/ 32 h 35"/>
                <a:gd name="T20" fmla="*/ 0 w 56"/>
                <a:gd name="T21" fmla="*/ 3 h 35"/>
                <a:gd name="T22" fmla="*/ 0 w 56"/>
                <a:gd name="T23" fmla="*/ 3 h 35"/>
                <a:gd name="T24" fmla="*/ 1 w 56"/>
                <a:gd name="T25" fmla="*/ 2 h 35"/>
                <a:gd name="T26" fmla="*/ 1 w 56"/>
                <a:gd name="T27" fmla="*/ 1 h 35"/>
                <a:gd name="T28" fmla="*/ 2 w 56"/>
                <a:gd name="T29" fmla="*/ 1 h 35"/>
                <a:gd name="T30" fmla="*/ 3 w 56"/>
                <a:gd name="T31" fmla="*/ 1 h 35"/>
                <a:gd name="T32" fmla="*/ 4 w 56"/>
                <a:gd name="T33" fmla="*/ 1 h 35"/>
                <a:gd name="T34" fmla="*/ 5 w 56"/>
                <a:gd name="T35" fmla="*/ 0 h 35"/>
                <a:gd name="T36" fmla="*/ 6 w 56"/>
                <a:gd name="T37" fmla="*/ 0 h 35"/>
                <a:gd name="T38" fmla="*/ 50 w 56"/>
                <a:gd name="T39" fmla="*/ 0 h 35"/>
                <a:gd name="T40" fmla="*/ 51 w 56"/>
                <a:gd name="T41" fmla="*/ 0 h 35"/>
                <a:gd name="T42" fmla="*/ 52 w 56"/>
                <a:gd name="T43" fmla="*/ 1 h 35"/>
                <a:gd name="T44" fmla="*/ 53 w 56"/>
                <a:gd name="T45" fmla="*/ 1 h 35"/>
                <a:gd name="T46" fmla="*/ 54 w 56"/>
                <a:gd name="T47" fmla="*/ 1 h 35"/>
                <a:gd name="T48" fmla="*/ 55 w 56"/>
                <a:gd name="T49" fmla="*/ 1 h 35"/>
                <a:gd name="T50" fmla="*/ 55 w 56"/>
                <a:gd name="T51" fmla="*/ 2 h 35"/>
                <a:gd name="T52" fmla="*/ 56 w 56"/>
                <a:gd name="T53" fmla="*/ 3 h 35"/>
                <a:gd name="T54" fmla="*/ 56 w 56"/>
                <a:gd name="T55" fmla="*/ 3 h 35"/>
                <a:gd name="T56" fmla="*/ 56 w 56"/>
                <a:gd name="T57" fmla="*/ 32 h 35"/>
                <a:gd name="T58" fmla="*/ 56 w 56"/>
                <a:gd name="T59" fmla="*/ 33 h 35"/>
                <a:gd name="T60" fmla="*/ 55 w 56"/>
                <a:gd name="T61" fmla="*/ 34 h 35"/>
                <a:gd name="T62" fmla="*/ 55 w 56"/>
                <a:gd name="T63" fmla="*/ 34 h 35"/>
                <a:gd name="T64" fmla="*/ 54 w 56"/>
                <a:gd name="T65" fmla="*/ 34 h 35"/>
                <a:gd name="T66" fmla="*/ 53 w 56"/>
                <a:gd name="T67" fmla="*/ 35 h 35"/>
                <a:gd name="T68" fmla="*/ 52 w 56"/>
                <a:gd name="T69" fmla="*/ 35 h 35"/>
                <a:gd name="T70" fmla="*/ 51 w 56"/>
                <a:gd name="T71" fmla="*/ 35 h 35"/>
                <a:gd name="T72" fmla="*/ 50 w 56"/>
                <a:gd name="T73" fmla="*/ 35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6"/>
                <a:gd name="T112" fmla="*/ 0 h 35"/>
                <a:gd name="T113" fmla="*/ 56 w 56"/>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6" h="35">
                  <a:moveTo>
                    <a:pt x="50" y="35"/>
                  </a:moveTo>
                  <a:lnTo>
                    <a:pt x="6" y="35"/>
                  </a:lnTo>
                  <a:lnTo>
                    <a:pt x="5" y="35"/>
                  </a:lnTo>
                  <a:lnTo>
                    <a:pt x="4" y="35"/>
                  </a:lnTo>
                  <a:lnTo>
                    <a:pt x="3" y="35"/>
                  </a:lnTo>
                  <a:lnTo>
                    <a:pt x="2" y="34"/>
                  </a:lnTo>
                  <a:lnTo>
                    <a:pt x="1" y="34"/>
                  </a:lnTo>
                  <a:lnTo>
                    <a:pt x="0" y="33"/>
                  </a:lnTo>
                  <a:lnTo>
                    <a:pt x="0" y="32"/>
                  </a:lnTo>
                  <a:lnTo>
                    <a:pt x="0" y="3"/>
                  </a:lnTo>
                  <a:lnTo>
                    <a:pt x="1" y="2"/>
                  </a:lnTo>
                  <a:lnTo>
                    <a:pt x="1" y="1"/>
                  </a:lnTo>
                  <a:lnTo>
                    <a:pt x="2" y="1"/>
                  </a:lnTo>
                  <a:lnTo>
                    <a:pt x="3" y="1"/>
                  </a:lnTo>
                  <a:lnTo>
                    <a:pt x="4" y="1"/>
                  </a:lnTo>
                  <a:lnTo>
                    <a:pt x="5" y="0"/>
                  </a:lnTo>
                  <a:lnTo>
                    <a:pt x="6" y="0"/>
                  </a:lnTo>
                  <a:lnTo>
                    <a:pt x="50" y="0"/>
                  </a:lnTo>
                  <a:lnTo>
                    <a:pt x="51" y="0"/>
                  </a:lnTo>
                  <a:lnTo>
                    <a:pt x="52" y="1"/>
                  </a:lnTo>
                  <a:lnTo>
                    <a:pt x="53" y="1"/>
                  </a:lnTo>
                  <a:lnTo>
                    <a:pt x="54" y="1"/>
                  </a:lnTo>
                  <a:lnTo>
                    <a:pt x="55" y="1"/>
                  </a:lnTo>
                  <a:lnTo>
                    <a:pt x="55" y="2"/>
                  </a:lnTo>
                  <a:lnTo>
                    <a:pt x="56" y="3"/>
                  </a:lnTo>
                  <a:lnTo>
                    <a:pt x="56" y="32"/>
                  </a:lnTo>
                  <a:lnTo>
                    <a:pt x="56" y="33"/>
                  </a:lnTo>
                  <a:lnTo>
                    <a:pt x="55" y="34"/>
                  </a:lnTo>
                  <a:lnTo>
                    <a:pt x="54" y="34"/>
                  </a:lnTo>
                  <a:lnTo>
                    <a:pt x="53" y="35"/>
                  </a:lnTo>
                  <a:lnTo>
                    <a:pt x="52" y="35"/>
                  </a:lnTo>
                  <a:lnTo>
                    <a:pt x="51" y="35"/>
                  </a:lnTo>
                  <a:lnTo>
                    <a:pt x="50" y="35"/>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7" name="Group 366">
            <a:extLst>
              <a:ext uri="{FF2B5EF4-FFF2-40B4-BE49-F238E27FC236}">
                <a16:creationId xmlns:a16="http://schemas.microsoft.com/office/drawing/2014/main" id="{00000000-0008-0000-0300-000011000000}"/>
              </a:ext>
            </a:extLst>
          </xdr:cNvPr>
          <xdr:cNvGrpSpPr>
            <a:grpSpLocks/>
          </xdr:cNvGrpSpPr>
        </xdr:nvGrpSpPr>
        <xdr:grpSpPr bwMode="auto">
          <a:xfrm>
            <a:off x="290" y="75"/>
            <a:ext cx="122" cy="17"/>
            <a:chOff x="290" y="75"/>
            <a:chExt cx="122" cy="17"/>
          </a:xfrm>
        </xdr:grpSpPr>
        <xdr:sp macro="" textlink="">
          <xdr:nvSpPr>
            <xdr:cNvPr id="34" name="Freeform 364">
              <a:extLst>
                <a:ext uri="{FF2B5EF4-FFF2-40B4-BE49-F238E27FC236}">
                  <a16:creationId xmlns:a16="http://schemas.microsoft.com/office/drawing/2014/main" id="{00000000-0008-0000-0300-000022000000}"/>
                </a:ext>
              </a:extLst>
            </xdr:cNvPr>
            <xdr:cNvSpPr>
              <a:spLocks/>
            </xdr:cNvSpPr>
          </xdr:nvSpPr>
          <xdr:spPr bwMode="auto">
            <a:xfrm>
              <a:off x="290" y="75"/>
              <a:ext cx="122" cy="17"/>
            </a:xfrm>
            <a:custGeom>
              <a:avLst/>
              <a:gdLst>
                <a:gd name="T0" fmla="*/ 115 w 122"/>
                <a:gd name="T1" fmla="*/ 17 h 17"/>
                <a:gd name="T2" fmla="*/ 7 w 122"/>
                <a:gd name="T3" fmla="*/ 17 h 17"/>
                <a:gd name="T4" fmla="*/ 5 w 122"/>
                <a:gd name="T5" fmla="*/ 17 h 17"/>
                <a:gd name="T6" fmla="*/ 4 w 122"/>
                <a:gd name="T7" fmla="*/ 17 h 17"/>
                <a:gd name="T8" fmla="*/ 3 w 122"/>
                <a:gd name="T9" fmla="*/ 17 h 17"/>
                <a:gd name="T10" fmla="*/ 2 w 122"/>
                <a:gd name="T11" fmla="*/ 16 h 17"/>
                <a:gd name="T12" fmla="*/ 2 w 122"/>
                <a:gd name="T13" fmla="*/ 16 h 17"/>
                <a:gd name="T14" fmla="*/ 1 w 122"/>
                <a:gd name="T15" fmla="*/ 15 h 17"/>
                <a:gd name="T16" fmla="*/ 0 w 122"/>
                <a:gd name="T17" fmla="*/ 14 h 17"/>
                <a:gd name="T18" fmla="*/ 0 w 122"/>
                <a:gd name="T19" fmla="*/ 14 h 17"/>
                <a:gd name="T20" fmla="*/ 0 w 122"/>
                <a:gd name="T21" fmla="*/ 4 h 17"/>
                <a:gd name="T22" fmla="*/ 0 w 122"/>
                <a:gd name="T23" fmla="*/ 3 h 17"/>
                <a:gd name="T24" fmla="*/ 1 w 122"/>
                <a:gd name="T25" fmla="*/ 2 h 17"/>
                <a:gd name="T26" fmla="*/ 2 w 122"/>
                <a:gd name="T27" fmla="*/ 2 h 17"/>
                <a:gd name="T28" fmla="*/ 2 w 122"/>
                <a:gd name="T29" fmla="*/ 1 h 17"/>
                <a:gd name="T30" fmla="*/ 3 w 122"/>
                <a:gd name="T31" fmla="*/ 0 h 17"/>
                <a:gd name="T32" fmla="*/ 4 w 122"/>
                <a:gd name="T33" fmla="*/ 0 h 17"/>
                <a:gd name="T34" fmla="*/ 5 w 122"/>
                <a:gd name="T35" fmla="*/ 0 h 17"/>
                <a:gd name="T36" fmla="*/ 7 w 122"/>
                <a:gd name="T37" fmla="*/ 0 h 17"/>
                <a:gd name="T38" fmla="*/ 115 w 122"/>
                <a:gd name="T39" fmla="*/ 0 h 17"/>
                <a:gd name="T40" fmla="*/ 117 w 122"/>
                <a:gd name="T41" fmla="*/ 0 h 17"/>
                <a:gd name="T42" fmla="*/ 118 w 122"/>
                <a:gd name="T43" fmla="*/ 0 h 17"/>
                <a:gd name="T44" fmla="*/ 119 w 122"/>
                <a:gd name="T45" fmla="*/ 0 h 17"/>
                <a:gd name="T46" fmla="*/ 120 w 122"/>
                <a:gd name="T47" fmla="*/ 1 h 17"/>
                <a:gd name="T48" fmla="*/ 121 w 122"/>
                <a:gd name="T49" fmla="*/ 2 h 17"/>
                <a:gd name="T50" fmla="*/ 122 w 122"/>
                <a:gd name="T51" fmla="*/ 2 h 17"/>
                <a:gd name="T52" fmla="*/ 122 w 122"/>
                <a:gd name="T53" fmla="*/ 3 h 17"/>
                <a:gd name="T54" fmla="*/ 122 w 122"/>
                <a:gd name="T55" fmla="*/ 4 h 17"/>
                <a:gd name="T56" fmla="*/ 122 w 122"/>
                <a:gd name="T57" fmla="*/ 14 h 17"/>
                <a:gd name="T58" fmla="*/ 122 w 122"/>
                <a:gd name="T59" fmla="*/ 14 h 17"/>
                <a:gd name="T60" fmla="*/ 122 w 122"/>
                <a:gd name="T61" fmla="*/ 15 h 17"/>
                <a:gd name="T62" fmla="*/ 121 w 122"/>
                <a:gd name="T63" fmla="*/ 16 h 17"/>
                <a:gd name="T64" fmla="*/ 120 w 122"/>
                <a:gd name="T65" fmla="*/ 16 h 17"/>
                <a:gd name="T66" fmla="*/ 119 w 122"/>
                <a:gd name="T67" fmla="*/ 17 h 17"/>
                <a:gd name="T68" fmla="*/ 118 w 122"/>
                <a:gd name="T69" fmla="*/ 17 h 17"/>
                <a:gd name="T70" fmla="*/ 117 w 122"/>
                <a:gd name="T71" fmla="*/ 17 h 17"/>
                <a:gd name="T72" fmla="*/ 115 w 122"/>
                <a:gd name="T73" fmla="*/ 17 h 17"/>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7"/>
                <a:gd name="T113" fmla="*/ 122 w 122"/>
                <a:gd name="T114" fmla="*/ 17 h 17"/>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7">
                  <a:moveTo>
                    <a:pt x="115" y="17"/>
                  </a:moveTo>
                  <a:lnTo>
                    <a:pt x="7" y="17"/>
                  </a:lnTo>
                  <a:lnTo>
                    <a:pt x="5" y="17"/>
                  </a:lnTo>
                  <a:lnTo>
                    <a:pt x="4" y="17"/>
                  </a:lnTo>
                  <a:lnTo>
                    <a:pt x="3" y="17"/>
                  </a:lnTo>
                  <a:lnTo>
                    <a:pt x="2" y="16"/>
                  </a:lnTo>
                  <a:lnTo>
                    <a:pt x="1" y="15"/>
                  </a:lnTo>
                  <a:lnTo>
                    <a:pt x="0" y="14"/>
                  </a:lnTo>
                  <a:lnTo>
                    <a:pt x="0" y="4"/>
                  </a:lnTo>
                  <a:lnTo>
                    <a:pt x="0" y="3"/>
                  </a:lnTo>
                  <a:lnTo>
                    <a:pt x="1" y="2"/>
                  </a:lnTo>
                  <a:lnTo>
                    <a:pt x="2" y="2"/>
                  </a:lnTo>
                  <a:lnTo>
                    <a:pt x="2" y="1"/>
                  </a:lnTo>
                  <a:lnTo>
                    <a:pt x="3" y="0"/>
                  </a:lnTo>
                  <a:lnTo>
                    <a:pt x="4" y="0"/>
                  </a:lnTo>
                  <a:lnTo>
                    <a:pt x="5" y="0"/>
                  </a:lnTo>
                  <a:lnTo>
                    <a:pt x="7" y="0"/>
                  </a:lnTo>
                  <a:lnTo>
                    <a:pt x="115" y="0"/>
                  </a:lnTo>
                  <a:lnTo>
                    <a:pt x="117" y="0"/>
                  </a:lnTo>
                  <a:lnTo>
                    <a:pt x="118" y="0"/>
                  </a:lnTo>
                  <a:lnTo>
                    <a:pt x="119" y="0"/>
                  </a:lnTo>
                  <a:lnTo>
                    <a:pt x="120" y="1"/>
                  </a:lnTo>
                  <a:lnTo>
                    <a:pt x="121" y="2"/>
                  </a:lnTo>
                  <a:lnTo>
                    <a:pt x="122" y="2"/>
                  </a:lnTo>
                  <a:lnTo>
                    <a:pt x="122" y="3"/>
                  </a:lnTo>
                  <a:lnTo>
                    <a:pt x="122" y="4"/>
                  </a:lnTo>
                  <a:lnTo>
                    <a:pt x="122" y="14"/>
                  </a:lnTo>
                  <a:lnTo>
                    <a:pt x="122" y="15"/>
                  </a:lnTo>
                  <a:lnTo>
                    <a:pt x="121" y="16"/>
                  </a:lnTo>
                  <a:lnTo>
                    <a:pt x="120" y="16"/>
                  </a:lnTo>
                  <a:lnTo>
                    <a:pt x="119" y="17"/>
                  </a:lnTo>
                  <a:lnTo>
                    <a:pt x="118" y="17"/>
                  </a:lnTo>
                  <a:lnTo>
                    <a:pt x="117" y="17"/>
                  </a:lnTo>
                  <a:lnTo>
                    <a:pt x="115" y="17"/>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35" name="Freeform 365">
              <a:extLst>
                <a:ext uri="{FF2B5EF4-FFF2-40B4-BE49-F238E27FC236}">
                  <a16:creationId xmlns:a16="http://schemas.microsoft.com/office/drawing/2014/main" id="{00000000-0008-0000-0300-000023000000}"/>
                </a:ext>
              </a:extLst>
            </xdr:cNvPr>
            <xdr:cNvSpPr>
              <a:spLocks/>
            </xdr:cNvSpPr>
          </xdr:nvSpPr>
          <xdr:spPr bwMode="auto">
            <a:xfrm>
              <a:off x="290" y="75"/>
              <a:ext cx="122" cy="17"/>
            </a:xfrm>
            <a:custGeom>
              <a:avLst/>
              <a:gdLst>
                <a:gd name="T0" fmla="*/ 115 w 122"/>
                <a:gd name="T1" fmla="*/ 17 h 17"/>
                <a:gd name="T2" fmla="*/ 7 w 122"/>
                <a:gd name="T3" fmla="*/ 17 h 17"/>
                <a:gd name="T4" fmla="*/ 5 w 122"/>
                <a:gd name="T5" fmla="*/ 17 h 17"/>
                <a:gd name="T6" fmla="*/ 4 w 122"/>
                <a:gd name="T7" fmla="*/ 17 h 17"/>
                <a:gd name="T8" fmla="*/ 3 w 122"/>
                <a:gd name="T9" fmla="*/ 17 h 17"/>
                <a:gd name="T10" fmla="*/ 2 w 122"/>
                <a:gd name="T11" fmla="*/ 16 h 17"/>
                <a:gd name="T12" fmla="*/ 2 w 122"/>
                <a:gd name="T13" fmla="*/ 16 h 17"/>
                <a:gd name="T14" fmla="*/ 1 w 122"/>
                <a:gd name="T15" fmla="*/ 15 h 17"/>
                <a:gd name="T16" fmla="*/ 0 w 122"/>
                <a:gd name="T17" fmla="*/ 14 h 17"/>
                <a:gd name="T18" fmla="*/ 0 w 122"/>
                <a:gd name="T19" fmla="*/ 14 h 17"/>
                <a:gd name="T20" fmla="*/ 0 w 122"/>
                <a:gd name="T21" fmla="*/ 4 h 17"/>
                <a:gd name="T22" fmla="*/ 0 w 122"/>
                <a:gd name="T23" fmla="*/ 3 h 17"/>
                <a:gd name="T24" fmla="*/ 1 w 122"/>
                <a:gd name="T25" fmla="*/ 2 h 17"/>
                <a:gd name="T26" fmla="*/ 2 w 122"/>
                <a:gd name="T27" fmla="*/ 2 h 17"/>
                <a:gd name="T28" fmla="*/ 2 w 122"/>
                <a:gd name="T29" fmla="*/ 1 h 17"/>
                <a:gd name="T30" fmla="*/ 3 w 122"/>
                <a:gd name="T31" fmla="*/ 0 h 17"/>
                <a:gd name="T32" fmla="*/ 4 w 122"/>
                <a:gd name="T33" fmla="*/ 0 h 17"/>
                <a:gd name="T34" fmla="*/ 5 w 122"/>
                <a:gd name="T35" fmla="*/ 0 h 17"/>
                <a:gd name="T36" fmla="*/ 7 w 122"/>
                <a:gd name="T37" fmla="*/ 0 h 17"/>
                <a:gd name="T38" fmla="*/ 115 w 122"/>
                <a:gd name="T39" fmla="*/ 0 h 17"/>
                <a:gd name="T40" fmla="*/ 117 w 122"/>
                <a:gd name="T41" fmla="*/ 0 h 17"/>
                <a:gd name="T42" fmla="*/ 118 w 122"/>
                <a:gd name="T43" fmla="*/ 0 h 17"/>
                <a:gd name="T44" fmla="*/ 119 w 122"/>
                <a:gd name="T45" fmla="*/ 0 h 17"/>
                <a:gd name="T46" fmla="*/ 120 w 122"/>
                <a:gd name="T47" fmla="*/ 1 h 17"/>
                <a:gd name="T48" fmla="*/ 121 w 122"/>
                <a:gd name="T49" fmla="*/ 2 h 17"/>
                <a:gd name="T50" fmla="*/ 122 w 122"/>
                <a:gd name="T51" fmla="*/ 2 h 17"/>
                <a:gd name="T52" fmla="*/ 122 w 122"/>
                <a:gd name="T53" fmla="*/ 3 h 17"/>
                <a:gd name="T54" fmla="*/ 122 w 122"/>
                <a:gd name="T55" fmla="*/ 4 h 17"/>
                <a:gd name="T56" fmla="*/ 122 w 122"/>
                <a:gd name="T57" fmla="*/ 14 h 17"/>
                <a:gd name="T58" fmla="*/ 122 w 122"/>
                <a:gd name="T59" fmla="*/ 14 h 17"/>
                <a:gd name="T60" fmla="*/ 122 w 122"/>
                <a:gd name="T61" fmla="*/ 15 h 17"/>
                <a:gd name="T62" fmla="*/ 121 w 122"/>
                <a:gd name="T63" fmla="*/ 16 h 17"/>
                <a:gd name="T64" fmla="*/ 120 w 122"/>
                <a:gd name="T65" fmla="*/ 16 h 17"/>
                <a:gd name="T66" fmla="*/ 119 w 122"/>
                <a:gd name="T67" fmla="*/ 17 h 17"/>
                <a:gd name="T68" fmla="*/ 118 w 122"/>
                <a:gd name="T69" fmla="*/ 17 h 17"/>
                <a:gd name="T70" fmla="*/ 117 w 122"/>
                <a:gd name="T71" fmla="*/ 17 h 17"/>
                <a:gd name="T72" fmla="*/ 115 w 122"/>
                <a:gd name="T73" fmla="*/ 17 h 17"/>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7"/>
                <a:gd name="T113" fmla="*/ 122 w 122"/>
                <a:gd name="T114" fmla="*/ 17 h 17"/>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7">
                  <a:moveTo>
                    <a:pt x="115" y="17"/>
                  </a:moveTo>
                  <a:lnTo>
                    <a:pt x="7" y="17"/>
                  </a:lnTo>
                  <a:lnTo>
                    <a:pt x="5" y="17"/>
                  </a:lnTo>
                  <a:lnTo>
                    <a:pt x="4" y="17"/>
                  </a:lnTo>
                  <a:lnTo>
                    <a:pt x="3" y="17"/>
                  </a:lnTo>
                  <a:lnTo>
                    <a:pt x="2" y="16"/>
                  </a:lnTo>
                  <a:lnTo>
                    <a:pt x="1" y="15"/>
                  </a:lnTo>
                  <a:lnTo>
                    <a:pt x="0" y="14"/>
                  </a:lnTo>
                  <a:lnTo>
                    <a:pt x="0" y="4"/>
                  </a:lnTo>
                  <a:lnTo>
                    <a:pt x="0" y="3"/>
                  </a:lnTo>
                  <a:lnTo>
                    <a:pt x="1" y="2"/>
                  </a:lnTo>
                  <a:lnTo>
                    <a:pt x="2" y="2"/>
                  </a:lnTo>
                  <a:lnTo>
                    <a:pt x="2" y="1"/>
                  </a:lnTo>
                  <a:lnTo>
                    <a:pt x="3" y="0"/>
                  </a:lnTo>
                  <a:lnTo>
                    <a:pt x="4" y="0"/>
                  </a:lnTo>
                  <a:lnTo>
                    <a:pt x="5" y="0"/>
                  </a:lnTo>
                  <a:lnTo>
                    <a:pt x="7" y="0"/>
                  </a:lnTo>
                  <a:lnTo>
                    <a:pt x="115" y="0"/>
                  </a:lnTo>
                  <a:lnTo>
                    <a:pt x="117" y="0"/>
                  </a:lnTo>
                  <a:lnTo>
                    <a:pt x="118" y="0"/>
                  </a:lnTo>
                  <a:lnTo>
                    <a:pt x="119" y="0"/>
                  </a:lnTo>
                  <a:lnTo>
                    <a:pt x="120" y="1"/>
                  </a:lnTo>
                  <a:lnTo>
                    <a:pt x="121" y="2"/>
                  </a:lnTo>
                  <a:lnTo>
                    <a:pt x="122" y="2"/>
                  </a:lnTo>
                  <a:lnTo>
                    <a:pt x="122" y="3"/>
                  </a:lnTo>
                  <a:lnTo>
                    <a:pt x="122" y="4"/>
                  </a:lnTo>
                  <a:lnTo>
                    <a:pt x="122" y="14"/>
                  </a:lnTo>
                  <a:lnTo>
                    <a:pt x="122" y="15"/>
                  </a:lnTo>
                  <a:lnTo>
                    <a:pt x="121" y="16"/>
                  </a:lnTo>
                  <a:lnTo>
                    <a:pt x="120" y="16"/>
                  </a:lnTo>
                  <a:lnTo>
                    <a:pt x="119" y="17"/>
                  </a:lnTo>
                  <a:lnTo>
                    <a:pt x="118" y="17"/>
                  </a:lnTo>
                  <a:lnTo>
                    <a:pt x="117" y="17"/>
                  </a:lnTo>
                  <a:lnTo>
                    <a:pt x="115" y="17"/>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8" name="Group 369">
            <a:extLst>
              <a:ext uri="{FF2B5EF4-FFF2-40B4-BE49-F238E27FC236}">
                <a16:creationId xmlns:a16="http://schemas.microsoft.com/office/drawing/2014/main" id="{00000000-0008-0000-0300-000012000000}"/>
              </a:ext>
            </a:extLst>
          </xdr:cNvPr>
          <xdr:cNvGrpSpPr>
            <a:grpSpLocks/>
          </xdr:cNvGrpSpPr>
        </xdr:nvGrpSpPr>
        <xdr:grpSpPr bwMode="auto">
          <a:xfrm>
            <a:off x="290" y="30"/>
            <a:ext cx="55" cy="35"/>
            <a:chOff x="290" y="30"/>
            <a:chExt cx="55" cy="35"/>
          </a:xfrm>
        </xdr:grpSpPr>
        <xdr:sp macro="" textlink="">
          <xdr:nvSpPr>
            <xdr:cNvPr id="32" name="Freeform 367">
              <a:extLst>
                <a:ext uri="{FF2B5EF4-FFF2-40B4-BE49-F238E27FC236}">
                  <a16:creationId xmlns:a16="http://schemas.microsoft.com/office/drawing/2014/main" id="{00000000-0008-0000-0300-000020000000}"/>
                </a:ext>
              </a:extLst>
            </xdr:cNvPr>
            <xdr:cNvSpPr>
              <a:spLocks/>
            </xdr:cNvSpPr>
          </xdr:nvSpPr>
          <xdr:spPr bwMode="auto">
            <a:xfrm>
              <a:off x="290" y="30"/>
              <a:ext cx="55" cy="35"/>
            </a:xfrm>
            <a:custGeom>
              <a:avLst/>
              <a:gdLst>
                <a:gd name="T0" fmla="*/ 5 w 55"/>
                <a:gd name="T1" fmla="*/ 0 h 35"/>
                <a:gd name="T2" fmla="*/ 49 w 55"/>
                <a:gd name="T3" fmla="*/ 0 h 35"/>
                <a:gd name="T4" fmla="*/ 50 w 55"/>
                <a:gd name="T5" fmla="*/ 0 h 35"/>
                <a:gd name="T6" fmla="*/ 51 w 55"/>
                <a:gd name="T7" fmla="*/ 0 h 35"/>
                <a:gd name="T8" fmla="*/ 52 w 55"/>
                <a:gd name="T9" fmla="*/ 1 h 35"/>
                <a:gd name="T10" fmla="*/ 53 w 55"/>
                <a:gd name="T11" fmla="*/ 1 h 35"/>
                <a:gd name="T12" fmla="*/ 54 w 55"/>
                <a:gd name="T13" fmla="*/ 2 h 35"/>
                <a:gd name="T14" fmla="*/ 54 w 55"/>
                <a:gd name="T15" fmla="*/ 2 h 35"/>
                <a:gd name="T16" fmla="*/ 55 w 55"/>
                <a:gd name="T17" fmla="*/ 3 h 35"/>
                <a:gd name="T18" fmla="*/ 55 w 55"/>
                <a:gd name="T19" fmla="*/ 4 h 35"/>
                <a:gd name="T20" fmla="*/ 55 w 55"/>
                <a:gd name="T21" fmla="*/ 32 h 35"/>
                <a:gd name="T22" fmla="*/ 55 w 55"/>
                <a:gd name="T23" fmla="*/ 33 h 35"/>
                <a:gd name="T24" fmla="*/ 54 w 55"/>
                <a:gd name="T25" fmla="*/ 33 h 35"/>
                <a:gd name="T26" fmla="*/ 54 w 55"/>
                <a:gd name="T27" fmla="*/ 34 h 35"/>
                <a:gd name="T28" fmla="*/ 53 w 55"/>
                <a:gd name="T29" fmla="*/ 34 h 35"/>
                <a:gd name="T30" fmla="*/ 52 w 55"/>
                <a:gd name="T31" fmla="*/ 35 h 35"/>
                <a:gd name="T32" fmla="*/ 51 w 55"/>
                <a:gd name="T33" fmla="*/ 35 h 35"/>
                <a:gd name="T34" fmla="*/ 50 w 55"/>
                <a:gd name="T35" fmla="*/ 35 h 35"/>
                <a:gd name="T36" fmla="*/ 49 w 55"/>
                <a:gd name="T37" fmla="*/ 35 h 35"/>
                <a:gd name="T38" fmla="*/ 5 w 55"/>
                <a:gd name="T39" fmla="*/ 35 h 35"/>
                <a:gd name="T40" fmla="*/ 4 w 55"/>
                <a:gd name="T41" fmla="*/ 35 h 35"/>
                <a:gd name="T42" fmla="*/ 3 w 55"/>
                <a:gd name="T43" fmla="*/ 35 h 35"/>
                <a:gd name="T44" fmla="*/ 2 w 55"/>
                <a:gd name="T45" fmla="*/ 35 h 35"/>
                <a:gd name="T46" fmla="*/ 1 w 55"/>
                <a:gd name="T47" fmla="*/ 34 h 35"/>
                <a:gd name="T48" fmla="*/ 1 w 55"/>
                <a:gd name="T49" fmla="*/ 34 h 35"/>
                <a:gd name="T50" fmla="*/ 0 w 55"/>
                <a:gd name="T51" fmla="*/ 33 h 35"/>
                <a:gd name="T52" fmla="*/ 0 w 55"/>
                <a:gd name="T53" fmla="*/ 33 h 35"/>
                <a:gd name="T54" fmla="*/ 0 w 55"/>
                <a:gd name="T55" fmla="*/ 32 h 35"/>
                <a:gd name="T56" fmla="*/ 0 w 55"/>
                <a:gd name="T57" fmla="*/ 4 h 35"/>
                <a:gd name="T58" fmla="*/ 0 w 55"/>
                <a:gd name="T59" fmla="*/ 3 h 35"/>
                <a:gd name="T60" fmla="*/ 0 w 55"/>
                <a:gd name="T61" fmla="*/ 2 h 35"/>
                <a:gd name="T62" fmla="*/ 1 w 55"/>
                <a:gd name="T63" fmla="*/ 2 h 35"/>
                <a:gd name="T64" fmla="*/ 1 w 55"/>
                <a:gd name="T65" fmla="*/ 1 h 35"/>
                <a:gd name="T66" fmla="*/ 2 w 55"/>
                <a:gd name="T67" fmla="*/ 1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49" y="0"/>
                  </a:lnTo>
                  <a:lnTo>
                    <a:pt x="50" y="0"/>
                  </a:lnTo>
                  <a:lnTo>
                    <a:pt x="51" y="0"/>
                  </a:lnTo>
                  <a:lnTo>
                    <a:pt x="52" y="1"/>
                  </a:lnTo>
                  <a:lnTo>
                    <a:pt x="53" y="1"/>
                  </a:lnTo>
                  <a:lnTo>
                    <a:pt x="54" y="2"/>
                  </a:lnTo>
                  <a:lnTo>
                    <a:pt x="55" y="3"/>
                  </a:lnTo>
                  <a:lnTo>
                    <a:pt x="55" y="4"/>
                  </a:lnTo>
                  <a:lnTo>
                    <a:pt x="55" y="32"/>
                  </a:lnTo>
                  <a:lnTo>
                    <a:pt x="55" y="33"/>
                  </a:lnTo>
                  <a:lnTo>
                    <a:pt x="54" y="33"/>
                  </a:lnTo>
                  <a:lnTo>
                    <a:pt x="54" y="34"/>
                  </a:lnTo>
                  <a:lnTo>
                    <a:pt x="53" y="34"/>
                  </a:lnTo>
                  <a:lnTo>
                    <a:pt x="52" y="35"/>
                  </a:lnTo>
                  <a:lnTo>
                    <a:pt x="51" y="35"/>
                  </a:lnTo>
                  <a:lnTo>
                    <a:pt x="50" y="35"/>
                  </a:lnTo>
                  <a:lnTo>
                    <a:pt x="49" y="35"/>
                  </a:lnTo>
                  <a:lnTo>
                    <a:pt x="5" y="35"/>
                  </a:lnTo>
                  <a:lnTo>
                    <a:pt x="4" y="35"/>
                  </a:lnTo>
                  <a:lnTo>
                    <a:pt x="3" y="35"/>
                  </a:lnTo>
                  <a:lnTo>
                    <a:pt x="2" y="35"/>
                  </a:lnTo>
                  <a:lnTo>
                    <a:pt x="1" y="34"/>
                  </a:lnTo>
                  <a:lnTo>
                    <a:pt x="0" y="33"/>
                  </a:lnTo>
                  <a:lnTo>
                    <a:pt x="0" y="32"/>
                  </a:lnTo>
                  <a:lnTo>
                    <a:pt x="0" y="4"/>
                  </a:lnTo>
                  <a:lnTo>
                    <a:pt x="0" y="3"/>
                  </a:lnTo>
                  <a:lnTo>
                    <a:pt x="0" y="2"/>
                  </a:lnTo>
                  <a:lnTo>
                    <a:pt x="1" y="2"/>
                  </a:lnTo>
                  <a:lnTo>
                    <a:pt x="1" y="1"/>
                  </a:lnTo>
                  <a:lnTo>
                    <a:pt x="2" y="1"/>
                  </a:lnTo>
                  <a:lnTo>
                    <a:pt x="3" y="0"/>
                  </a:lnTo>
                  <a:lnTo>
                    <a:pt x="4" y="0"/>
                  </a:lnTo>
                  <a:lnTo>
                    <a:pt x="5"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33" name="Freeform 368">
              <a:extLst>
                <a:ext uri="{FF2B5EF4-FFF2-40B4-BE49-F238E27FC236}">
                  <a16:creationId xmlns:a16="http://schemas.microsoft.com/office/drawing/2014/main" id="{00000000-0008-0000-0300-000021000000}"/>
                </a:ext>
              </a:extLst>
            </xdr:cNvPr>
            <xdr:cNvSpPr>
              <a:spLocks/>
            </xdr:cNvSpPr>
          </xdr:nvSpPr>
          <xdr:spPr bwMode="auto">
            <a:xfrm>
              <a:off x="290" y="30"/>
              <a:ext cx="55" cy="35"/>
            </a:xfrm>
            <a:custGeom>
              <a:avLst/>
              <a:gdLst>
                <a:gd name="T0" fmla="*/ 5 w 55"/>
                <a:gd name="T1" fmla="*/ 0 h 35"/>
                <a:gd name="T2" fmla="*/ 49 w 55"/>
                <a:gd name="T3" fmla="*/ 0 h 35"/>
                <a:gd name="T4" fmla="*/ 50 w 55"/>
                <a:gd name="T5" fmla="*/ 0 h 35"/>
                <a:gd name="T6" fmla="*/ 51 w 55"/>
                <a:gd name="T7" fmla="*/ 0 h 35"/>
                <a:gd name="T8" fmla="*/ 52 w 55"/>
                <a:gd name="T9" fmla="*/ 1 h 35"/>
                <a:gd name="T10" fmla="*/ 53 w 55"/>
                <a:gd name="T11" fmla="*/ 1 h 35"/>
                <a:gd name="T12" fmla="*/ 54 w 55"/>
                <a:gd name="T13" fmla="*/ 2 h 35"/>
                <a:gd name="T14" fmla="*/ 54 w 55"/>
                <a:gd name="T15" fmla="*/ 2 h 35"/>
                <a:gd name="T16" fmla="*/ 55 w 55"/>
                <a:gd name="T17" fmla="*/ 3 h 35"/>
                <a:gd name="T18" fmla="*/ 55 w 55"/>
                <a:gd name="T19" fmla="*/ 4 h 35"/>
                <a:gd name="T20" fmla="*/ 55 w 55"/>
                <a:gd name="T21" fmla="*/ 32 h 35"/>
                <a:gd name="T22" fmla="*/ 55 w 55"/>
                <a:gd name="T23" fmla="*/ 33 h 35"/>
                <a:gd name="T24" fmla="*/ 54 w 55"/>
                <a:gd name="T25" fmla="*/ 33 h 35"/>
                <a:gd name="T26" fmla="*/ 54 w 55"/>
                <a:gd name="T27" fmla="*/ 34 h 35"/>
                <a:gd name="T28" fmla="*/ 53 w 55"/>
                <a:gd name="T29" fmla="*/ 34 h 35"/>
                <a:gd name="T30" fmla="*/ 52 w 55"/>
                <a:gd name="T31" fmla="*/ 35 h 35"/>
                <a:gd name="T32" fmla="*/ 51 w 55"/>
                <a:gd name="T33" fmla="*/ 35 h 35"/>
                <a:gd name="T34" fmla="*/ 50 w 55"/>
                <a:gd name="T35" fmla="*/ 35 h 35"/>
                <a:gd name="T36" fmla="*/ 49 w 55"/>
                <a:gd name="T37" fmla="*/ 35 h 35"/>
                <a:gd name="T38" fmla="*/ 5 w 55"/>
                <a:gd name="T39" fmla="*/ 35 h 35"/>
                <a:gd name="T40" fmla="*/ 4 w 55"/>
                <a:gd name="T41" fmla="*/ 35 h 35"/>
                <a:gd name="T42" fmla="*/ 3 w 55"/>
                <a:gd name="T43" fmla="*/ 35 h 35"/>
                <a:gd name="T44" fmla="*/ 2 w 55"/>
                <a:gd name="T45" fmla="*/ 35 h 35"/>
                <a:gd name="T46" fmla="*/ 1 w 55"/>
                <a:gd name="T47" fmla="*/ 34 h 35"/>
                <a:gd name="T48" fmla="*/ 1 w 55"/>
                <a:gd name="T49" fmla="*/ 34 h 35"/>
                <a:gd name="T50" fmla="*/ 0 w 55"/>
                <a:gd name="T51" fmla="*/ 33 h 35"/>
                <a:gd name="T52" fmla="*/ 0 w 55"/>
                <a:gd name="T53" fmla="*/ 33 h 35"/>
                <a:gd name="T54" fmla="*/ 0 w 55"/>
                <a:gd name="T55" fmla="*/ 32 h 35"/>
                <a:gd name="T56" fmla="*/ 0 w 55"/>
                <a:gd name="T57" fmla="*/ 4 h 35"/>
                <a:gd name="T58" fmla="*/ 0 w 55"/>
                <a:gd name="T59" fmla="*/ 3 h 35"/>
                <a:gd name="T60" fmla="*/ 0 w 55"/>
                <a:gd name="T61" fmla="*/ 2 h 35"/>
                <a:gd name="T62" fmla="*/ 1 w 55"/>
                <a:gd name="T63" fmla="*/ 2 h 35"/>
                <a:gd name="T64" fmla="*/ 1 w 55"/>
                <a:gd name="T65" fmla="*/ 1 h 35"/>
                <a:gd name="T66" fmla="*/ 2 w 55"/>
                <a:gd name="T67" fmla="*/ 1 h 35"/>
                <a:gd name="T68" fmla="*/ 3 w 55"/>
                <a:gd name="T69" fmla="*/ 0 h 35"/>
                <a:gd name="T70" fmla="*/ 4 w 55"/>
                <a:gd name="T71" fmla="*/ 0 h 35"/>
                <a:gd name="T72" fmla="*/ 5 w 55"/>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5"/>
                <a:gd name="T113" fmla="*/ 55 w 55"/>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5">
                  <a:moveTo>
                    <a:pt x="5" y="0"/>
                  </a:moveTo>
                  <a:lnTo>
                    <a:pt x="49" y="0"/>
                  </a:lnTo>
                  <a:lnTo>
                    <a:pt x="50" y="0"/>
                  </a:lnTo>
                  <a:lnTo>
                    <a:pt x="51" y="0"/>
                  </a:lnTo>
                  <a:lnTo>
                    <a:pt x="52" y="1"/>
                  </a:lnTo>
                  <a:lnTo>
                    <a:pt x="53" y="1"/>
                  </a:lnTo>
                  <a:lnTo>
                    <a:pt x="54" y="2"/>
                  </a:lnTo>
                  <a:lnTo>
                    <a:pt x="55" y="3"/>
                  </a:lnTo>
                  <a:lnTo>
                    <a:pt x="55" y="4"/>
                  </a:lnTo>
                  <a:lnTo>
                    <a:pt x="55" y="32"/>
                  </a:lnTo>
                  <a:lnTo>
                    <a:pt x="55" y="33"/>
                  </a:lnTo>
                  <a:lnTo>
                    <a:pt x="54" y="33"/>
                  </a:lnTo>
                  <a:lnTo>
                    <a:pt x="54" y="34"/>
                  </a:lnTo>
                  <a:lnTo>
                    <a:pt x="53" y="34"/>
                  </a:lnTo>
                  <a:lnTo>
                    <a:pt x="52" y="35"/>
                  </a:lnTo>
                  <a:lnTo>
                    <a:pt x="51" y="35"/>
                  </a:lnTo>
                  <a:lnTo>
                    <a:pt x="50" y="35"/>
                  </a:lnTo>
                  <a:lnTo>
                    <a:pt x="49" y="35"/>
                  </a:lnTo>
                  <a:lnTo>
                    <a:pt x="5" y="35"/>
                  </a:lnTo>
                  <a:lnTo>
                    <a:pt x="4" y="35"/>
                  </a:lnTo>
                  <a:lnTo>
                    <a:pt x="3" y="35"/>
                  </a:lnTo>
                  <a:lnTo>
                    <a:pt x="2" y="35"/>
                  </a:lnTo>
                  <a:lnTo>
                    <a:pt x="1" y="34"/>
                  </a:lnTo>
                  <a:lnTo>
                    <a:pt x="0" y="33"/>
                  </a:lnTo>
                  <a:lnTo>
                    <a:pt x="0" y="32"/>
                  </a:lnTo>
                  <a:lnTo>
                    <a:pt x="0" y="4"/>
                  </a:lnTo>
                  <a:lnTo>
                    <a:pt x="0" y="3"/>
                  </a:lnTo>
                  <a:lnTo>
                    <a:pt x="0" y="2"/>
                  </a:lnTo>
                  <a:lnTo>
                    <a:pt x="1" y="2"/>
                  </a:lnTo>
                  <a:lnTo>
                    <a:pt x="1" y="1"/>
                  </a:lnTo>
                  <a:lnTo>
                    <a:pt x="2" y="1"/>
                  </a:lnTo>
                  <a:lnTo>
                    <a:pt x="3" y="0"/>
                  </a:lnTo>
                  <a:lnTo>
                    <a:pt x="4" y="0"/>
                  </a:lnTo>
                  <a:lnTo>
                    <a:pt x="5"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19" name="Group 372">
            <a:extLst>
              <a:ext uri="{FF2B5EF4-FFF2-40B4-BE49-F238E27FC236}">
                <a16:creationId xmlns:a16="http://schemas.microsoft.com/office/drawing/2014/main" id="{00000000-0008-0000-0300-000013000000}"/>
              </a:ext>
            </a:extLst>
          </xdr:cNvPr>
          <xdr:cNvGrpSpPr>
            <a:grpSpLocks/>
          </xdr:cNvGrpSpPr>
        </xdr:nvGrpSpPr>
        <xdr:grpSpPr bwMode="auto">
          <a:xfrm>
            <a:off x="290" y="30"/>
            <a:ext cx="122" cy="18"/>
            <a:chOff x="290" y="30"/>
            <a:chExt cx="122" cy="18"/>
          </a:xfrm>
        </xdr:grpSpPr>
        <xdr:sp macro="" textlink="">
          <xdr:nvSpPr>
            <xdr:cNvPr id="30" name="Freeform 370">
              <a:extLst>
                <a:ext uri="{FF2B5EF4-FFF2-40B4-BE49-F238E27FC236}">
                  <a16:creationId xmlns:a16="http://schemas.microsoft.com/office/drawing/2014/main" id="{00000000-0008-0000-0300-00001E000000}"/>
                </a:ext>
              </a:extLst>
            </xdr:cNvPr>
            <xdr:cNvSpPr>
              <a:spLocks/>
            </xdr:cNvSpPr>
          </xdr:nvSpPr>
          <xdr:spPr bwMode="auto">
            <a:xfrm>
              <a:off x="290" y="30"/>
              <a:ext cx="122" cy="18"/>
            </a:xfrm>
            <a:custGeom>
              <a:avLst/>
              <a:gdLst>
                <a:gd name="T0" fmla="*/ 7 w 122"/>
                <a:gd name="T1" fmla="*/ 0 h 18"/>
                <a:gd name="T2" fmla="*/ 115 w 122"/>
                <a:gd name="T3" fmla="*/ 0 h 18"/>
                <a:gd name="T4" fmla="*/ 116 w 122"/>
                <a:gd name="T5" fmla="*/ 0 h 18"/>
                <a:gd name="T6" fmla="*/ 118 w 122"/>
                <a:gd name="T7" fmla="*/ 0 h 18"/>
                <a:gd name="T8" fmla="*/ 119 w 122"/>
                <a:gd name="T9" fmla="*/ 1 h 18"/>
                <a:gd name="T10" fmla="*/ 120 w 122"/>
                <a:gd name="T11" fmla="*/ 1 h 18"/>
                <a:gd name="T12" fmla="*/ 121 w 122"/>
                <a:gd name="T13" fmla="*/ 2 h 18"/>
                <a:gd name="T14" fmla="*/ 121 w 122"/>
                <a:gd name="T15" fmla="*/ 2 h 18"/>
                <a:gd name="T16" fmla="*/ 122 w 122"/>
                <a:gd name="T17" fmla="*/ 3 h 18"/>
                <a:gd name="T18" fmla="*/ 122 w 122"/>
                <a:gd name="T19" fmla="*/ 4 h 18"/>
                <a:gd name="T20" fmla="*/ 122 w 122"/>
                <a:gd name="T21" fmla="*/ 14 h 18"/>
                <a:gd name="T22" fmla="*/ 122 w 122"/>
                <a:gd name="T23" fmla="*/ 15 h 18"/>
                <a:gd name="T24" fmla="*/ 121 w 122"/>
                <a:gd name="T25" fmla="*/ 15 h 18"/>
                <a:gd name="T26" fmla="*/ 121 w 122"/>
                <a:gd name="T27" fmla="*/ 16 h 18"/>
                <a:gd name="T28" fmla="*/ 120 w 122"/>
                <a:gd name="T29" fmla="*/ 17 h 18"/>
                <a:gd name="T30" fmla="*/ 119 w 122"/>
                <a:gd name="T31" fmla="*/ 17 h 18"/>
                <a:gd name="T32" fmla="*/ 118 w 122"/>
                <a:gd name="T33" fmla="*/ 18 h 18"/>
                <a:gd name="T34" fmla="*/ 116 w 122"/>
                <a:gd name="T35" fmla="*/ 18 h 18"/>
                <a:gd name="T36" fmla="*/ 115 w 122"/>
                <a:gd name="T37" fmla="*/ 18 h 18"/>
                <a:gd name="T38" fmla="*/ 7 w 122"/>
                <a:gd name="T39" fmla="*/ 18 h 18"/>
                <a:gd name="T40" fmla="*/ 5 w 122"/>
                <a:gd name="T41" fmla="*/ 18 h 18"/>
                <a:gd name="T42" fmla="*/ 4 w 122"/>
                <a:gd name="T43" fmla="*/ 18 h 18"/>
                <a:gd name="T44" fmla="*/ 3 w 122"/>
                <a:gd name="T45" fmla="*/ 17 h 18"/>
                <a:gd name="T46" fmla="*/ 2 w 122"/>
                <a:gd name="T47" fmla="*/ 17 h 18"/>
                <a:gd name="T48" fmla="*/ 1 w 122"/>
                <a:gd name="T49" fmla="*/ 16 h 18"/>
                <a:gd name="T50" fmla="*/ 1 w 122"/>
                <a:gd name="T51" fmla="*/ 15 h 18"/>
                <a:gd name="T52" fmla="*/ 0 w 122"/>
                <a:gd name="T53" fmla="*/ 15 h 18"/>
                <a:gd name="T54" fmla="*/ 0 w 122"/>
                <a:gd name="T55" fmla="*/ 14 h 18"/>
                <a:gd name="T56" fmla="*/ 0 w 122"/>
                <a:gd name="T57" fmla="*/ 4 h 18"/>
                <a:gd name="T58" fmla="*/ 0 w 122"/>
                <a:gd name="T59" fmla="*/ 3 h 18"/>
                <a:gd name="T60" fmla="*/ 1 w 122"/>
                <a:gd name="T61" fmla="*/ 2 h 18"/>
                <a:gd name="T62" fmla="*/ 1 w 122"/>
                <a:gd name="T63" fmla="*/ 2 h 18"/>
                <a:gd name="T64" fmla="*/ 2 w 122"/>
                <a:gd name="T65" fmla="*/ 1 h 18"/>
                <a:gd name="T66" fmla="*/ 3 w 122"/>
                <a:gd name="T67" fmla="*/ 1 h 18"/>
                <a:gd name="T68" fmla="*/ 4 w 122"/>
                <a:gd name="T69" fmla="*/ 0 h 18"/>
                <a:gd name="T70" fmla="*/ 5 w 122"/>
                <a:gd name="T71" fmla="*/ 0 h 18"/>
                <a:gd name="T72" fmla="*/ 7 w 122"/>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7" y="0"/>
                  </a:moveTo>
                  <a:lnTo>
                    <a:pt x="115" y="0"/>
                  </a:lnTo>
                  <a:lnTo>
                    <a:pt x="116" y="0"/>
                  </a:lnTo>
                  <a:lnTo>
                    <a:pt x="118" y="0"/>
                  </a:lnTo>
                  <a:lnTo>
                    <a:pt x="119" y="1"/>
                  </a:lnTo>
                  <a:lnTo>
                    <a:pt x="120" y="1"/>
                  </a:lnTo>
                  <a:lnTo>
                    <a:pt x="121" y="2"/>
                  </a:lnTo>
                  <a:lnTo>
                    <a:pt x="122" y="3"/>
                  </a:lnTo>
                  <a:lnTo>
                    <a:pt x="122" y="4"/>
                  </a:lnTo>
                  <a:lnTo>
                    <a:pt x="122" y="14"/>
                  </a:lnTo>
                  <a:lnTo>
                    <a:pt x="122" y="15"/>
                  </a:lnTo>
                  <a:lnTo>
                    <a:pt x="121" y="15"/>
                  </a:lnTo>
                  <a:lnTo>
                    <a:pt x="121" y="16"/>
                  </a:lnTo>
                  <a:lnTo>
                    <a:pt x="120" y="17"/>
                  </a:lnTo>
                  <a:lnTo>
                    <a:pt x="119" y="17"/>
                  </a:lnTo>
                  <a:lnTo>
                    <a:pt x="118" y="18"/>
                  </a:lnTo>
                  <a:lnTo>
                    <a:pt x="116" y="18"/>
                  </a:lnTo>
                  <a:lnTo>
                    <a:pt x="115" y="18"/>
                  </a:lnTo>
                  <a:lnTo>
                    <a:pt x="7" y="18"/>
                  </a:lnTo>
                  <a:lnTo>
                    <a:pt x="5" y="18"/>
                  </a:lnTo>
                  <a:lnTo>
                    <a:pt x="4" y="18"/>
                  </a:lnTo>
                  <a:lnTo>
                    <a:pt x="3" y="17"/>
                  </a:lnTo>
                  <a:lnTo>
                    <a:pt x="2" y="17"/>
                  </a:lnTo>
                  <a:lnTo>
                    <a:pt x="1" y="16"/>
                  </a:lnTo>
                  <a:lnTo>
                    <a:pt x="1" y="15"/>
                  </a:lnTo>
                  <a:lnTo>
                    <a:pt x="0" y="15"/>
                  </a:lnTo>
                  <a:lnTo>
                    <a:pt x="0" y="14"/>
                  </a:lnTo>
                  <a:lnTo>
                    <a:pt x="0" y="4"/>
                  </a:lnTo>
                  <a:lnTo>
                    <a:pt x="0" y="3"/>
                  </a:lnTo>
                  <a:lnTo>
                    <a:pt x="1" y="2"/>
                  </a:lnTo>
                  <a:lnTo>
                    <a:pt x="2" y="1"/>
                  </a:lnTo>
                  <a:lnTo>
                    <a:pt x="3" y="1"/>
                  </a:lnTo>
                  <a:lnTo>
                    <a:pt x="4" y="0"/>
                  </a:lnTo>
                  <a:lnTo>
                    <a:pt x="5" y="0"/>
                  </a:lnTo>
                  <a:lnTo>
                    <a:pt x="7"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31" name="Freeform 371">
              <a:extLst>
                <a:ext uri="{FF2B5EF4-FFF2-40B4-BE49-F238E27FC236}">
                  <a16:creationId xmlns:a16="http://schemas.microsoft.com/office/drawing/2014/main" id="{00000000-0008-0000-0300-00001F000000}"/>
                </a:ext>
              </a:extLst>
            </xdr:cNvPr>
            <xdr:cNvSpPr>
              <a:spLocks/>
            </xdr:cNvSpPr>
          </xdr:nvSpPr>
          <xdr:spPr bwMode="auto">
            <a:xfrm>
              <a:off x="290" y="30"/>
              <a:ext cx="122" cy="18"/>
            </a:xfrm>
            <a:custGeom>
              <a:avLst/>
              <a:gdLst>
                <a:gd name="T0" fmla="*/ 7 w 122"/>
                <a:gd name="T1" fmla="*/ 0 h 18"/>
                <a:gd name="T2" fmla="*/ 115 w 122"/>
                <a:gd name="T3" fmla="*/ 0 h 18"/>
                <a:gd name="T4" fmla="*/ 116 w 122"/>
                <a:gd name="T5" fmla="*/ 0 h 18"/>
                <a:gd name="T6" fmla="*/ 118 w 122"/>
                <a:gd name="T7" fmla="*/ 0 h 18"/>
                <a:gd name="T8" fmla="*/ 119 w 122"/>
                <a:gd name="T9" fmla="*/ 1 h 18"/>
                <a:gd name="T10" fmla="*/ 120 w 122"/>
                <a:gd name="T11" fmla="*/ 1 h 18"/>
                <a:gd name="T12" fmla="*/ 121 w 122"/>
                <a:gd name="T13" fmla="*/ 2 h 18"/>
                <a:gd name="T14" fmla="*/ 121 w 122"/>
                <a:gd name="T15" fmla="*/ 2 h 18"/>
                <a:gd name="T16" fmla="*/ 122 w 122"/>
                <a:gd name="T17" fmla="*/ 3 h 18"/>
                <a:gd name="T18" fmla="*/ 122 w 122"/>
                <a:gd name="T19" fmla="*/ 4 h 18"/>
                <a:gd name="T20" fmla="*/ 122 w 122"/>
                <a:gd name="T21" fmla="*/ 14 h 18"/>
                <a:gd name="T22" fmla="*/ 122 w 122"/>
                <a:gd name="T23" fmla="*/ 15 h 18"/>
                <a:gd name="T24" fmla="*/ 121 w 122"/>
                <a:gd name="T25" fmla="*/ 15 h 18"/>
                <a:gd name="T26" fmla="*/ 121 w 122"/>
                <a:gd name="T27" fmla="*/ 16 h 18"/>
                <a:gd name="T28" fmla="*/ 120 w 122"/>
                <a:gd name="T29" fmla="*/ 17 h 18"/>
                <a:gd name="T30" fmla="*/ 119 w 122"/>
                <a:gd name="T31" fmla="*/ 17 h 18"/>
                <a:gd name="T32" fmla="*/ 118 w 122"/>
                <a:gd name="T33" fmla="*/ 18 h 18"/>
                <a:gd name="T34" fmla="*/ 116 w 122"/>
                <a:gd name="T35" fmla="*/ 18 h 18"/>
                <a:gd name="T36" fmla="*/ 115 w 122"/>
                <a:gd name="T37" fmla="*/ 18 h 18"/>
                <a:gd name="T38" fmla="*/ 7 w 122"/>
                <a:gd name="T39" fmla="*/ 18 h 18"/>
                <a:gd name="T40" fmla="*/ 5 w 122"/>
                <a:gd name="T41" fmla="*/ 18 h 18"/>
                <a:gd name="T42" fmla="*/ 4 w 122"/>
                <a:gd name="T43" fmla="*/ 18 h 18"/>
                <a:gd name="T44" fmla="*/ 3 w 122"/>
                <a:gd name="T45" fmla="*/ 17 h 18"/>
                <a:gd name="T46" fmla="*/ 2 w 122"/>
                <a:gd name="T47" fmla="*/ 17 h 18"/>
                <a:gd name="T48" fmla="*/ 1 w 122"/>
                <a:gd name="T49" fmla="*/ 16 h 18"/>
                <a:gd name="T50" fmla="*/ 1 w 122"/>
                <a:gd name="T51" fmla="*/ 15 h 18"/>
                <a:gd name="T52" fmla="*/ 0 w 122"/>
                <a:gd name="T53" fmla="*/ 15 h 18"/>
                <a:gd name="T54" fmla="*/ 0 w 122"/>
                <a:gd name="T55" fmla="*/ 14 h 18"/>
                <a:gd name="T56" fmla="*/ 0 w 122"/>
                <a:gd name="T57" fmla="*/ 4 h 18"/>
                <a:gd name="T58" fmla="*/ 0 w 122"/>
                <a:gd name="T59" fmla="*/ 3 h 18"/>
                <a:gd name="T60" fmla="*/ 1 w 122"/>
                <a:gd name="T61" fmla="*/ 2 h 18"/>
                <a:gd name="T62" fmla="*/ 1 w 122"/>
                <a:gd name="T63" fmla="*/ 2 h 18"/>
                <a:gd name="T64" fmla="*/ 2 w 122"/>
                <a:gd name="T65" fmla="*/ 1 h 18"/>
                <a:gd name="T66" fmla="*/ 3 w 122"/>
                <a:gd name="T67" fmla="*/ 1 h 18"/>
                <a:gd name="T68" fmla="*/ 4 w 122"/>
                <a:gd name="T69" fmla="*/ 0 h 18"/>
                <a:gd name="T70" fmla="*/ 5 w 122"/>
                <a:gd name="T71" fmla="*/ 0 h 18"/>
                <a:gd name="T72" fmla="*/ 7 w 122"/>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7" y="0"/>
                  </a:moveTo>
                  <a:lnTo>
                    <a:pt x="115" y="0"/>
                  </a:lnTo>
                  <a:lnTo>
                    <a:pt x="116" y="0"/>
                  </a:lnTo>
                  <a:lnTo>
                    <a:pt x="118" y="0"/>
                  </a:lnTo>
                  <a:lnTo>
                    <a:pt x="119" y="1"/>
                  </a:lnTo>
                  <a:lnTo>
                    <a:pt x="120" y="1"/>
                  </a:lnTo>
                  <a:lnTo>
                    <a:pt x="121" y="2"/>
                  </a:lnTo>
                  <a:lnTo>
                    <a:pt x="122" y="3"/>
                  </a:lnTo>
                  <a:lnTo>
                    <a:pt x="122" y="4"/>
                  </a:lnTo>
                  <a:lnTo>
                    <a:pt x="122" y="14"/>
                  </a:lnTo>
                  <a:lnTo>
                    <a:pt x="122" y="15"/>
                  </a:lnTo>
                  <a:lnTo>
                    <a:pt x="121" y="15"/>
                  </a:lnTo>
                  <a:lnTo>
                    <a:pt x="121" y="16"/>
                  </a:lnTo>
                  <a:lnTo>
                    <a:pt x="120" y="17"/>
                  </a:lnTo>
                  <a:lnTo>
                    <a:pt x="119" y="17"/>
                  </a:lnTo>
                  <a:lnTo>
                    <a:pt x="118" y="18"/>
                  </a:lnTo>
                  <a:lnTo>
                    <a:pt x="116" y="18"/>
                  </a:lnTo>
                  <a:lnTo>
                    <a:pt x="115" y="18"/>
                  </a:lnTo>
                  <a:lnTo>
                    <a:pt x="7" y="18"/>
                  </a:lnTo>
                  <a:lnTo>
                    <a:pt x="5" y="18"/>
                  </a:lnTo>
                  <a:lnTo>
                    <a:pt x="4" y="18"/>
                  </a:lnTo>
                  <a:lnTo>
                    <a:pt x="3" y="17"/>
                  </a:lnTo>
                  <a:lnTo>
                    <a:pt x="2" y="17"/>
                  </a:lnTo>
                  <a:lnTo>
                    <a:pt x="1" y="16"/>
                  </a:lnTo>
                  <a:lnTo>
                    <a:pt x="1" y="15"/>
                  </a:lnTo>
                  <a:lnTo>
                    <a:pt x="0" y="15"/>
                  </a:lnTo>
                  <a:lnTo>
                    <a:pt x="0" y="14"/>
                  </a:lnTo>
                  <a:lnTo>
                    <a:pt x="0" y="4"/>
                  </a:lnTo>
                  <a:lnTo>
                    <a:pt x="0" y="3"/>
                  </a:lnTo>
                  <a:lnTo>
                    <a:pt x="1" y="2"/>
                  </a:lnTo>
                  <a:lnTo>
                    <a:pt x="2" y="1"/>
                  </a:lnTo>
                  <a:lnTo>
                    <a:pt x="3" y="1"/>
                  </a:lnTo>
                  <a:lnTo>
                    <a:pt x="4" y="0"/>
                  </a:lnTo>
                  <a:lnTo>
                    <a:pt x="5" y="0"/>
                  </a:lnTo>
                  <a:lnTo>
                    <a:pt x="7"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20" name="Group 375">
            <a:extLst>
              <a:ext uri="{FF2B5EF4-FFF2-40B4-BE49-F238E27FC236}">
                <a16:creationId xmlns:a16="http://schemas.microsoft.com/office/drawing/2014/main" id="{00000000-0008-0000-0300-000014000000}"/>
              </a:ext>
            </a:extLst>
          </xdr:cNvPr>
          <xdr:cNvGrpSpPr>
            <a:grpSpLocks/>
          </xdr:cNvGrpSpPr>
        </xdr:nvGrpSpPr>
        <xdr:grpSpPr bwMode="auto">
          <a:xfrm>
            <a:off x="490" y="30"/>
            <a:ext cx="55" cy="36"/>
            <a:chOff x="490" y="30"/>
            <a:chExt cx="55" cy="36"/>
          </a:xfrm>
        </xdr:grpSpPr>
        <xdr:sp macro="" textlink="">
          <xdr:nvSpPr>
            <xdr:cNvPr id="28" name="Freeform 373">
              <a:extLst>
                <a:ext uri="{FF2B5EF4-FFF2-40B4-BE49-F238E27FC236}">
                  <a16:creationId xmlns:a16="http://schemas.microsoft.com/office/drawing/2014/main" id="{00000000-0008-0000-0300-00001C000000}"/>
                </a:ext>
              </a:extLst>
            </xdr:cNvPr>
            <xdr:cNvSpPr>
              <a:spLocks/>
            </xdr:cNvSpPr>
          </xdr:nvSpPr>
          <xdr:spPr bwMode="auto">
            <a:xfrm>
              <a:off x="490" y="30"/>
              <a:ext cx="55" cy="36"/>
            </a:xfrm>
            <a:custGeom>
              <a:avLst/>
              <a:gdLst>
                <a:gd name="T0" fmla="*/ 50 w 55"/>
                <a:gd name="T1" fmla="*/ 0 h 36"/>
                <a:gd name="T2" fmla="*/ 6 w 55"/>
                <a:gd name="T3" fmla="*/ 0 h 36"/>
                <a:gd name="T4" fmla="*/ 5 w 55"/>
                <a:gd name="T5" fmla="*/ 1 h 36"/>
                <a:gd name="T6" fmla="*/ 4 w 55"/>
                <a:gd name="T7" fmla="*/ 1 h 36"/>
                <a:gd name="T8" fmla="*/ 3 w 55"/>
                <a:gd name="T9" fmla="*/ 1 h 36"/>
                <a:gd name="T10" fmla="*/ 2 w 55"/>
                <a:gd name="T11" fmla="*/ 1 h 36"/>
                <a:gd name="T12" fmla="*/ 1 w 55"/>
                <a:gd name="T13" fmla="*/ 2 h 36"/>
                <a:gd name="T14" fmla="*/ 1 w 55"/>
                <a:gd name="T15" fmla="*/ 3 h 36"/>
                <a:gd name="T16" fmla="*/ 1 w 55"/>
                <a:gd name="T17" fmla="*/ 3 h 36"/>
                <a:gd name="T18" fmla="*/ 0 w 55"/>
                <a:gd name="T19" fmla="*/ 4 h 36"/>
                <a:gd name="T20" fmla="*/ 0 w 55"/>
                <a:gd name="T21" fmla="*/ 33 h 36"/>
                <a:gd name="T22" fmla="*/ 1 w 55"/>
                <a:gd name="T23" fmla="*/ 33 h 36"/>
                <a:gd name="T24" fmla="*/ 1 w 55"/>
                <a:gd name="T25" fmla="*/ 34 h 36"/>
                <a:gd name="T26" fmla="*/ 1 w 55"/>
                <a:gd name="T27" fmla="*/ 34 h 36"/>
                <a:gd name="T28" fmla="*/ 2 w 55"/>
                <a:gd name="T29" fmla="*/ 35 h 36"/>
                <a:gd name="T30" fmla="*/ 3 w 55"/>
                <a:gd name="T31" fmla="*/ 35 h 36"/>
                <a:gd name="T32" fmla="*/ 4 w 55"/>
                <a:gd name="T33" fmla="*/ 35 h 36"/>
                <a:gd name="T34" fmla="*/ 5 w 55"/>
                <a:gd name="T35" fmla="*/ 36 h 36"/>
                <a:gd name="T36" fmla="*/ 6 w 55"/>
                <a:gd name="T37" fmla="*/ 36 h 36"/>
                <a:gd name="T38" fmla="*/ 50 w 55"/>
                <a:gd name="T39" fmla="*/ 36 h 36"/>
                <a:gd name="T40" fmla="*/ 51 w 55"/>
                <a:gd name="T41" fmla="*/ 36 h 36"/>
                <a:gd name="T42" fmla="*/ 52 w 55"/>
                <a:gd name="T43" fmla="*/ 35 h 36"/>
                <a:gd name="T44" fmla="*/ 53 w 55"/>
                <a:gd name="T45" fmla="*/ 35 h 36"/>
                <a:gd name="T46" fmla="*/ 54 w 55"/>
                <a:gd name="T47" fmla="*/ 35 h 36"/>
                <a:gd name="T48" fmla="*/ 54 w 55"/>
                <a:gd name="T49" fmla="*/ 34 h 36"/>
                <a:gd name="T50" fmla="*/ 55 w 55"/>
                <a:gd name="T51" fmla="*/ 34 h 36"/>
                <a:gd name="T52" fmla="*/ 55 w 55"/>
                <a:gd name="T53" fmla="*/ 33 h 36"/>
                <a:gd name="T54" fmla="*/ 55 w 55"/>
                <a:gd name="T55" fmla="*/ 33 h 36"/>
                <a:gd name="T56" fmla="*/ 55 w 55"/>
                <a:gd name="T57" fmla="*/ 4 h 36"/>
                <a:gd name="T58" fmla="*/ 55 w 55"/>
                <a:gd name="T59" fmla="*/ 3 h 36"/>
                <a:gd name="T60" fmla="*/ 55 w 55"/>
                <a:gd name="T61" fmla="*/ 3 h 36"/>
                <a:gd name="T62" fmla="*/ 54 w 55"/>
                <a:gd name="T63" fmla="*/ 2 h 36"/>
                <a:gd name="T64" fmla="*/ 54 w 55"/>
                <a:gd name="T65" fmla="*/ 1 h 36"/>
                <a:gd name="T66" fmla="*/ 53 w 55"/>
                <a:gd name="T67" fmla="*/ 1 h 36"/>
                <a:gd name="T68" fmla="*/ 52 w 55"/>
                <a:gd name="T69" fmla="*/ 1 h 36"/>
                <a:gd name="T70" fmla="*/ 51 w 55"/>
                <a:gd name="T71" fmla="*/ 1 h 36"/>
                <a:gd name="T72" fmla="*/ 50 w 55"/>
                <a:gd name="T73" fmla="*/ 0 h 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6"/>
                <a:gd name="T113" fmla="*/ 55 w 55"/>
                <a:gd name="T114" fmla="*/ 36 h 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6">
                  <a:moveTo>
                    <a:pt x="50" y="0"/>
                  </a:moveTo>
                  <a:lnTo>
                    <a:pt x="6" y="0"/>
                  </a:lnTo>
                  <a:lnTo>
                    <a:pt x="5" y="1"/>
                  </a:lnTo>
                  <a:lnTo>
                    <a:pt x="4" y="1"/>
                  </a:lnTo>
                  <a:lnTo>
                    <a:pt x="3" y="1"/>
                  </a:lnTo>
                  <a:lnTo>
                    <a:pt x="2" y="1"/>
                  </a:lnTo>
                  <a:lnTo>
                    <a:pt x="1" y="2"/>
                  </a:lnTo>
                  <a:lnTo>
                    <a:pt x="1" y="3"/>
                  </a:lnTo>
                  <a:lnTo>
                    <a:pt x="0" y="4"/>
                  </a:lnTo>
                  <a:lnTo>
                    <a:pt x="0" y="33"/>
                  </a:lnTo>
                  <a:lnTo>
                    <a:pt x="1" y="33"/>
                  </a:lnTo>
                  <a:lnTo>
                    <a:pt x="1" y="34"/>
                  </a:lnTo>
                  <a:lnTo>
                    <a:pt x="2" y="35"/>
                  </a:lnTo>
                  <a:lnTo>
                    <a:pt x="3" y="35"/>
                  </a:lnTo>
                  <a:lnTo>
                    <a:pt x="4" y="35"/>
                  </a:lnTo>
                  <a:lnTo>
                    <a:pt x="5" y="36"/>
                  </a:lnTo>
                  <a:lnTo>
                    <a:pt x="6" y="36"/>
                  </a:lnTo>
                  <a:lnTo>
                    <a:pt x="50" y="36"/>
                  </a:lnTo>
                  <a:lnTo>
                    <a:pt x="51" y="36"/>
                  </a:lnTo>
                  <a:lnTo>
                    <a:pt x="52" y="35"/>
                  </a:lnTo>
                  <a:lnTo>
                    <a:pt x="53" y="35"/>
                  </a:lnTo>
                  <a:lnTo>
                    <a:pt x="54" y="35"/>
                  </a:lnTo>
                  <a:lnTo>
                    <a:pt x="54" y="34"/>
                  </a:lnTo>
                  <a:lnTo>
                    <a:pt x="55" y="34"/>
                  </a:lnTo>
                  <a:lnTo>
                    <a:pt x="55" y="33"/>
                  </a:lnTo>
                  <a:lnTo>
                    <a:pt x="55" y="4"/>
                  </a:lnTo>
                  <a:lnTo>
                    <a:pt x="55" y="3"/>
                  </a:lnTo>
                  <a:lnTo>
                    <a:pt x="54" y="2"/>
                  </a:lnTo>
                  <a:lnTo>
                    <a:pt x="54" y="1"/>
                  </a:lnTo>
                  <a:lnTo>
                    <a:pt x="53" y="1"/>
                  </a:lnTo>
                  <a:lnTo>
                    <a:pt x="52" y="1"/>
                  </a:lnTo>
                  <a:lnTo>
                    <a:pt x="51" y="1"/>
                  </a:lnTo>
                  <a:lnTo>
                    <a:pt x="50"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9" name="Freeform 374">
              <a:extLst>
                <a:ext uri="{FF2B5EF4-FFF2-40B4-BE49-F238E27FC236}">
                  <a16:creationId xmlns:a16="http://schemas.microsoft.com/office/drawing/2014/main" id="{00000000-0008-0000-0300-00001D000000}"/>
                </a:ext>
              </a:extLst>
            </xdr:cNvPr>
            <xdr:cNvSpPr>
              <a:spLocks/>
            </xdr:cNvSpPr>
          </xdr:nvSpPr>
          <xdr:spPr bwMode="auto">
            <a:xfrm>
              <a:off x="490" y="30"/>
              <a:ext cx="55" cy="36"/>
            </a:xfrm>
            <a:custGeom>
              <a:avLst/>
              <a:gdLst>
                <a:gd name="T0" fmla="*/ 50 w 55"/>
                <a:gd name="T1" fmla="*/ 0 h 36"/>
                <a:gd name="T2" fmla="*/ 6 w 55"/>
                <a:gd name="T3" fmla="*/ 0 h 36"/>
                <a:gd name="T4" fmla="*/ 5 w 55"/>
                <a:gd name="T5" fmla="*/ 1 h 36"/>
                <a:gd name="T6" fmla="*/ 4 w 55"/>
                <a:gd name="T7" fmla="*/ 1 h 36"/>
                <a:gd name="T8" fmla="*/ 3 w 55"/>
                <a:gd name="T9" fmla="*/ 1 h 36"/>
                <a:gd name="T10" fmla="*/ 2 w 55"/>
                <a:gd name="T11" fmla="*/ 1 h 36"/>
                <a:gd name="T12" fmla="*/ 1 w 55"/>
                <a:gd name="T13" fmla="*/ 2 h 36"/>
                <a:gd name="T14" fmla="*/ 1 w 55"/>
                <a:gd name="T15" fmla="*/ 3 h 36"/>
                <a:gd name="T16" fmla="*/ 1 w 55"/>
                <a:gd name="T17" fmla="*/ 3 h 36"/>
                <a:gd name="T18" fmla="*/ 0 w 55"/>
                <a:gd name="T19" fmla="*/ 4 h 36"/>
                <a:gd name="T20" fmla="*/ 0 w 55"/>
                <a:gd name="T21" fmla="*/ 33 h 36"/>
                <a:gd name="T22" fmla="*/ 1 w 55"/>
                <a:gd name="T23" fmla="*/ 33 h 36"/>
                <a:gd name="T24" fmla="*/ 1 w 55"/>
                <a:gd name="T25" fmla="*/ 34 h 36"/>
                <a:gd name="T26" fmla="*/ 1 w 55"/>
                <a:gd name="T27" fmla="*/ 34 h 36"/>
                <a:gd name="T28" fmla="*/ 2 w 55"/>
                <a:gd name="T29" fmla="*/ 35 h 36"/>
                <a:gd name="T30" fmla="*/ 3 w 55"/>
                <a:gd name="T31" fmla="*/ 35 h 36"/>
                <a:gd name="T32" fmla="*/ 4 w 55"/>
                <a:gd name="T33" fmla="*/ 35 h 36"/>
                <a:gd name="T34" fmla="*/ 5 w 55"/>
                <a:gd name="T35" fmla="*/ 36 h 36"/>
                <a:gd name="T36" fmla="*/ 6 w 55"/>
                <a:gd name="T37" fmla="*/ 36 h 36"/>
                <a:gd name="T38" fmla="*/ 50 w 55"/>
                <a:gd name="T39" fmla="*/ 36 h 36"/>
                <a:gd name="T40" fmla="*/ 51 w 55"/>
                <a:gd name="T41" fmla="*/ 36 h 36"/>
                <a:gd name="T42" fmla="*/ 52 w 55"/>
                <a:gd name="T43" fmla="*/ 35 h 36"/>
                <a:gd name="T44" fmla="*/ 53 w 55"/>
                <a:gd name="T45" fmla="*/ 35 h 36"/>
                <a:gd name="T46" fmla="*/ 54 w 55"/>
                <a:gd name="T47" fmla="*/ 35 h 36"/>
                <a:gd name="T48" fmla="*/ 54 w 55"/>
                <a:gd name="T49" fmla="*/ 34 h 36"/>
                <a:gd name="T50" fmla="*/ 55 w 55"/>
                <a:gd name="T51" fmla="*/ 34 h 36"/>
                <a:gd name="T52" fmla="*/ 55 w 55"/>
                <a:gd name="T53" fmla="*/ 33 h 36"/>
                <a:gd name="T54" fmla="*/ 55 w 55"/>
                <a:gd name="T55" fmla="*/ 33 h 36"/>
                <a:gd name="T56" fmla="*/ 55 w 55"/>
                <a:gd name="T57" fmla="*/ 4 h 36"/>
                <a:gd name="T58" fmla="*/ 55 w 55"/>
                <a:gd name="T59" fmla="*/ 3 h 36"/>
                <a:gd name="T60" fmla="*/ 55 w 55"/>
                <a:gd name="T61" fmla="*/ 3 h 36"/>
                <a:gd name="T62" fmla="*/ 54 w 55"/>
                <a:gd name="T63" fmla="*/ 2 h 36"/>
                <a:gd name="T64" fmla="*/ 54 w 55"/>
                <a:gd name="T65" fmla="*/ 1 h 36"/>
                <a:gd name="T66" fmla="*/ 53 w 55"/>
                <a:gd name="T67" fmla="*/ 1 h 36"/>
                <a:gd name="T68" fmla="*/ 52 w 55"/>
                <a:gd name="T69" fmla="*/ 1 h 36"/>
                <a:gd name="T70" fmla="*/ 51 w 55"/>
                <a:gd name="T71" fmla="*/ 1 h 36"/>
                <a:gd name="T72" fmla="*/ 50 w 55"/>
                <a:gd name="T73" fmla="*/ 0 h 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5"/>
                <a:gd name="T112" fmla="*/ 0 h 36"/>
                <a:gd name="T113" fmla="*/ 55 w 55"/>
                <a:gd name="T114" fmla="*/ 36 h 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5" h="36">
                  <a:moveTo>
                    <a:pt x="50" y="0"/>
                  </a:moveTo>
                  <a:lnTo>
                    <a:pt x="6" y="0"/>
                  </a:lnTo>
                  <a:lnTo>
                    <a:pt x="5" y="1"/>
                  </a:lnTo>
                  <a:lnTo>
                    <a:pt x="4" y="1"/>
                  </a:lnTo>
                  <a:lnTo>
                    <a:pt x="3" y="1"/>
                  </a:lnTo>
                  <a:lnTo>
                    <a:pt x="2" y="1"/>
                  </a:lnTo>
                  <a:lnTo>
                    <a:pt x="1" y="2"/>
                  </a:lnTo>
                  <a:lnTo>
                    <a:pt x="1" y="3"/>
                  </a:lnTo>
                  <a:lnTo>
                    <a:pt x="0" y="4"/>
                  </a:lnTo>
                  <a:lnTo>
                    <a:pt x="0" y="33"/>
                  </a:lnTo>
                  <a:lnTo>
                    <a:pt x="1" y="33"/>
                  </a:lnTo>
                  <a:lnTo>
                    <a:pt x="1" y="34"/>
                  </a:lnTo>
                  <a:lnTo>
                    <a:pt x="2" y="35"/>
                  </a:lnTo>
                  <a:lnTo>
                    <a:pt x="3" y="35"/>
                  </a:lnTo>
                  <a:lnTo>
                    <a:pt x="4" y="35"/>
                  </a:lnTo>
                  <a:lnTo>
                    <a:pt x="5" y="36"/>
                  </a:lnTo>
                  <a:lnTo>
                    <a:pt x="6" y="36"/>
                  </a:lnTo>
                  <a:lnTo>
                    <a:pt x="50" y="36"/>
                  </a:lnTo>
                  <a:lnTo>
                    <a:pt x="51" y="36"/>
                  </a:lnTo>
                  <a:lnTo>
                    <a:pt x="52" y="35"/>
                  </a:lnTo>
                  <a:lnTo>
                    <a:pt x="53" y="35"/>
                  </a:lnTo>
                  <a:lnTo>
                    <a:pt x="54" y="35"/>
                  </a:lnTo>
                  <a:lnTo>
                    <a:pt x="54" y="34"/>
                  </a:lnTo>
                  <a:lnTo>
                    <a:pt x="55" y="34"/>
                  </a:lnTo>
                  <a:lnTo>
                    <a:pt x="55" y="33"/>
                  </a:lnTo>
                  <a:lnTo>
                    <a:pt x="55" y="4"/>
                  </a:lnTo>
                  <a:lnTo>
                    <a:pt x="55" y="3"/>
                  </a:lnTo>
                  <a:lnTo>
                    <a:pt x="54" y="2"/>
                  </a:lnTo>
                  <a:lnTo>
                    <a:pt x="54" y="1"/>
                  </a:lnTo>
                  <a:lnTo>
                    <a:pt x="53" y="1"/>
                  </a:lnTo>
                  <a:lnTo>
                    <a:pt x="52" y="1"/>
                  </a:lnTo>
                  <a:lnTo>
                    <a:pt x="51" y="1"/>
                  </a:lnTo>
                  <a:lnTo>
                    <a:pt x="50"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grpSp>
        <xdr:nvGrpSpPr>
          <xdr:cNvPr id="21" name="Group 378">
            <a:extLst>
              <a:ext uri="{FF2B5EF4-FFF2-40B4-BE49-F238E27FC236}">
                <a16:creationId xmlns:a16="http://schemas.microsoft.com/office/drawing/2014/main" id="{00000000-0008-0000-0300-000015000000}"/>
              </a:ext>
            </a:extLst>
          </xdr:cNvPr>
          <xdr:cNvGrpSpPr>
            <a:grpSpLocks/>
          </xdr:cNvGrpSpPr>
        </xdr:nvGrpSpPr>
        <xdr:grpSpPr bwMode="auto">
          <a:xfrm>
            <a:off x="423" y="30"/>
            <a:ext cx="122" cy="18"/>
            <a:chOff x="423" y="30"/>
            <a:chExt cx="122" cy="18"/>
          </a:xfrm>
        </xdr:grpSpPr>
        <xdr:sp macro="" textlink="">
          <xdr:nvSpPr>
            <xdr:cNvPr id="26" name="Freeform 376">
              <a:extLst>
                <a:ext uri="{FF2B5EF4-FFF2-40B4-BE49-F238E27FC236}">
                  <a16:creationId xmlns:a16="http://schemas.microsoft.com/office/drawing/2014/main" id="{00000000-0008-0000-0300-00001A000000}"/>
                </a:ext>
              </a:extLst>
            </xdr:cNvPr>
            <xdr:cNvSpPr>
              <a:spLocks/>
            </xdr:cNvSpPr>
          </xdr:nvSpPr>
          <xdr:spPr bwMode="auto">
            <a:xfrm>
              <a:off x="423" y="30"/>
              <a:ext cx="122" cy="18"/>
            </a:xfrm>
            <a:custGeom>
              <a:avLst/>
              <a:gdLst>
                <a:gd name="T0" fmla="*/ 116 w 122"/>
                <a:gd name="T1" fmla="*/ 0 h 18"/>
                <a:gd name="T2" fmla="*/ 7 w 122"/>
                <a:gd name="T3" fmla="*/ 0 h 18"/>
                <a:gd name="T4" fmla="*/ 6 w 122"/>
                <a:gd name="T5" fmla="*/ 1 h 18"/>
                <a:gd name="T6" fmla="*/ 4 w 122"/>
                <a:gd name="T7" fmla="*/ 1 h 18"/>
                <a:gd name="T8" fmla="*/ 3 w 122"/>
                <a:gd name="T9" fmla="*/ 1 h 18"/>
                <a:gd name="T10" fmla="*/ 2 w 122"/>
                <a:gd name="T11" fmla="*/ 2 h 18"/>
                <a:gd name="T12" fmla="*/ 1 w 122"/>
                <a:gd name="T13" fmla="*/ 2 h 18"/>
                <a:gd name="T14" fmla="*/ 1 w 122"/>
                <a:gd name="T15" fmla="*/ 3 h 18"/>
                <a:gd name="T16" fmla="*/ 0 w 122"/>
                <a:gd name="T17" fmla="*/ 4 h 18"/>
                <a:gd name="T18" fmla="*/ 0 w 122"/>
                <a:gd name="T19" fmla="*/ 4 h 18"/>
                <a:gd name="T20" fmla="*/ 0 w 122"/>
                <a:gd name="T21" fmla="*/ 14 h 18"/>
                <a:gd name="T22" fmla="*/ 0 w 122"/>
                <a:gd name="T23" fmla="*/ 15 h 18"/>
                <a:gd name="T24" fmla="*/ 1 w 122"/>
                <a:gd name="T25" fmla="*/ 16 h 18"/>
                <a:gd name="T26" fmla="*/ 1 w 122"/>
                <a:gd name="T27" fmla="*/ 16 h 18"/>
                <a:gd name="T28" fmla="*/ 2 w 122"/>
                <a:gd name="T29" fmla="*/ 17 h 18"/>
                <a:gd name="T30" fmla="*/ 3 w 122"/>
                <a:gd name="T31" fmla="*/ 18 h 18"/>
                <a:gd name="T32" fmla="*/ 4 w 122"/>
                <a:gd name="T33" fmla="*/ 18 h 18"/>
                <a:gd name="T34" fmla="*/ 6 w 122"/>
                <a:gd name="T35" fmla="*/ 18 h 18"/>
                <a:gd name="T36" fmla="*/ 7 w 122"/>
                <a:gd name="T37" fmla="*/ 18 h 18"/>
                <a:gd name="T38" fmla="*/ 116 w 122"/>
                <a:gd name="T39" fmla="*/ 18 h 18"/>
                <a:gd name="T40" fmla="*/ 117 w 122"/>
                <a:gd name="T41" fmla="*/ 18 h 18"/>
                <a:gd name="T42" fmla="*/ 118 w 122"/>
                <a:gd name="T43" fmla="*/ 18 h 18"/>
                <a:gd name="T44" fmla="*/ 120 w 122"/>
                <a:gd name="T45" fmla="*/ 18 h 18"/>
                <a:gd name="T46" fmla="*/ 121 w 122"/>
                <a:gd name="T47" fmla="*/ 17 h 18"/>
                <a:gd name="T48" fmla="*/ 121 w 122"/>
                <a:gd name="T49" fmla="*/ 16 h 18"/>
                <a:gd name="T50" fmla="*/ 121 w 122"/>
                <a:gd name="T51" fmla="*/ 16 h 18"/>
                <a:gd name="T52" fmla="*/ 122 w 122"/>
                <a:gd name="T53" fmla="*/ 15 h 18"/>
                <a:gd name="T54" fmla="*/ 122 w 122"/>
                <a:gd name="T55" fmla="*/ 14 h 18"/>
                <a:gd name="T56" fmla="*/ 122 w 122"/>
                <a:gd name="T57" fmla="*/ 4 h 18"/>
                <a:gd name="T58" fmla="*/ 122 w 122"/>
                <a:gd name="T59" fmla="*/ 4 h 18"/>
                <a:gd name="T60" fmla="*/ 121 w 122"/>
                <a:gd name="T61" fmla="*/ 3 h 18"/>
                <a:gd name="T62" fmla="*/ 121 w 122"/>
                <a:gd name="T63" fmla="*/ 2 h 18"/>
                <a:gd name="T64" fmla="*/ 121 w 122"/>
                <a:gd name="T65" fmla="*/ 2 h 18"/>
                <a:gd name="T66" fmla="*/ 120 w 122"/>
                <a:gd name="T67" fmla="*/ 1 h 18"/>
                <a:gd name="T68" fmla="*/ 118 w 122"/>
                <a:gd name="T69" fmla="*/ 1 h 18"/>
                <a:gd name="T70" fmla="*/ 117 w 122"/>
                <a:gd name="T71" fmla="*/ 1 h 18"/>
                <a:gd name="T72" fmla="*/ 116 w 122"/>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116" y="0"/>
                  </a:moveTo>
                  <a:lnTo>
                    <a:pt x="7" y="0"/>
                  </a:lnTo>
                  <a:lnTo>
                    <a:pt x="6" y="1"/>
                  </a:lnTo>
                  <a:lnTo>
                    <a:pt x="4" y="1"/>
                  </a:lnTo>
                  <a:lnTo>
                    <a:pt x="3" y="1"/>
                  </a:lnTo>
                  <a:lnTo>
                    <a:pt x="2" y="2"/>
                  </a:lnTo>
                  <a:lnTo>
                    <a:pt x="1" y="2"/>
                  </a:lnTo>
                  <a:lnTo>
                    <a:pt x="1" y="3"/>
                  </a:lnTo>
                  <a:lnTo>
                    <a:pt x="0" y="4"/>
                  </a:lnTo>
                  <a:lnTo>
                    <a:pt x="0" y="14"/>
                  </a:lnTo>
                  <a:lnTo>
                    <a:pt x="0" y="15"/>
                  </a:lnTo>
                  <a:lnTo>
                    <a:pt x="1" y="16"/>
                  </a:lnTo>
                  <a:lnTo>
                    <a:pt x="2" y="17"/>
                  </a:lnTo>
                  <a:lnTo>
                    <a:pt x="3" y="18"/>
                  </a:lnTo>
                  <a:lnTo>
                    <a:pt x="4" y="18"/>
                  </a:lnTo>
                  <a:lnTo>
                    <a:pt x="6" y="18"/>
                  </a:lnTo>
                  <a:lnTo>
                    <a:pt x="7" y="18"/>
                  </a:lnTo>
                  <a:lnTo>
                    <a:pt x="116" y="18"/>
                  </a:lnTo>
                  <a:lnTo>
                    <a:pt x="117" y="18"/>
                  </a:lnTo>
                  <a:lnTo>
                    <a:pt x="118" y="18"/>
                  </a:lnTo>
                  <a:lnTo>
                    <a:pt x="120" y="18"/>
                  </a:lnTo>
                  <a:lnTo>
                    <a:pt x="121" y="17"/>
                  </a:lnTo>
                  <a:lnTo>
                    <a:pt x="121" y="16"/>
                  </a:lnTo>
                  <a:lnTo>
                    <a:pt x="122" y="15"/>
                  </a:lnTo>
                  <a:lnTo>
                    <a:pt x="122" y="14"/>
                  </a:lnTo>
                  <a:lnTo>
                    <a:pt x="122" y="4"/>
                  </a:lnTo>
                  <a:lnTo>
                    <a:pt x="121" y="3"/>
                  </a:lnTo>
                  <a:lnTo>
                    <a:pt x="121" y="2"/>
                  </a:lnTo>
                  <a:lnTo>
                    <a:pt x="120" y="1"/>
                  </a:lnTo>
                  <a:lnTo>
                    <a:pt x="118" y="1"/>
                  </a:lnTo>
                  <a:lnTo>
                    <a:pt x="117" y="1"/>
                  </a:lnTo>
                  <a:lnTo>
                    <a:pt x="116" y="0"/>
                  </a:lnTo>
                  <a:close/>
                </a:path>
              </a:pathLst>
            </a:custGeom>
            <a:solidFill>
              <a:srgbClr val="333399"/>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7" name="Freeform 377">
              <a:extLst>
                <a:ext uri="{FF2B5EF4-FFF2-40B4-BE49-F238E27FC236}">
                  <a16:creationId xmlns:a16="http://schemas.microsoft.com/office/drawing/2014/main" id="{00000000-0008-0000-0300-00001B000000}"/>
                </a:ext>
              </a:extLst>
            </xdr:cNvPr>
            <xdr:cNvSpPr>
              <a:spLocks/>
            </xdr:cNvSpPr>
          </xdr:nvSpPr>
          <xdr:spPr bwMode="auto">
            <a:xfrm>
              <a:off x="423" y="30"/>
              <a:ext cx="122" cy="18"/>
            </a:xfrm>
            <a:custGeom>
              <a:avLst/>
              <a:gdLst>
                <a:gd name="T0" fmla="*/ 116 w 122"/>
                <a:gd name="T1" fmla="*/ 0 h 18"/>
                <a:gd name="T2" fmla="*/ 7 w 122"/>
                <a:gd name="T3" fmla="*/ 0 h 18"/>
                <a:gd name="T4" fmla="*/ 6 w 122"/>
                <a:gd name="T5" fmla="*/ 1 h 18"/>
                <a:gd name="T6" fmla="*/ 4 w 122"/>
                <a:gd name="T7" fmla="*/ 1 h 18"/>
                <a:gd name="T8" fmla="*/ 3 w 122"/>
                <a:gd name="T9" fmla="*/ 1 h 18"/>
                <a:gd name="T10" fmla="*/ 2 w 122"/>
                <a:gd name="T11" fmla="*/ 2 h 18"/>
                <a:gd name="T12" fmla="*/ 1 w 122"/>
                <a:gd name="T13" fmla="*/ 2 h 18"/>
                <a:gd name="T14" fmla="*/ 1 w 122"/>
                <a:gd name="T15" fmla="*/ 3 h 18"/>
                <a:gd name="T16" fmla="*/ 0 w 122"/>
                <a:gd name="T17" fmla="*/ 4 h 18"/>
                <a:gd name="T18" fmla="*/ 0 w 122"/>
                <a:gd name="T19" fmla="*/ 4 h 18"/>
                <a:gd name="T20" fmla="*/ 0 w 122"/>
                <a:gd name="T21" fmla="*/ 14 h 18"/>
                <a:gd name="T22" fmla="*/ 0 w 122"/>
                <a:gd name="T23" fmla="*/ 15 h 18"/>
                <a:gd name="T24" fmla="*/ 1 w 122"/>
                <a:gd name="T25" fmla="*/ 16 h 18"/>
                <a:gd name="T26" fmla="*/ 1 w 122"/>
                <a:gd name="T27" fmla="*/ 16 h 18"/>
                <a:gd name="T28" fmla="*/ 2 w 122"/>
                <a:gd name="T29" fmla="*/ 17 h 18"/>
                <a:gd name="T30" fmla="*/ 3 w 122"/>
                <a:gd name="T31" fmla="*/ 18 h 18"/>
                <a:gd name="T32" fmla="*/ 4 w 122"/>
                <a:gd name="T33" fmla="*/ 18 h 18"/>
                <a:gd name="T34" fmla="*/ 6 w 122"/>
                <a:gd name="T35" fmla="*/ 18 h 18"/>
                <a:gd name="T36" fmla="*/ 7 w 122"/>
                <a:gd name="T37" fmla="*/ 18 h 18"/>
                <a:gd name="T38" fmla="*/ 116 w 122"/>
                <a:gd name="T39" fmla="*/ 18 h 18"/>
                <a:gd name="T40" fmla="*/ 117 w 122"/>
                <a:gd name="T41" fmla="*/ 18 h 18"/>
                <a:gd name="T42" fmla="*/ 118 w 122"/>
                <a:gd name="T43" fmla="*/ 18 h 18"/>
                <a:gd name="T44" fmla="*/ 120 w 122"/>
                <a:gd name="T45" fmla="*/ 18 h 18"/>
                <a:gd name="T46" fmla="*/ 121 w 122"/>
                <a:gd name="T47" fmla="*/ 17 h 18"/>
                <a:gd name="T48" fmla="*/ 121 w 122"/>
                <a:gd name="T49" fmla="*/ 16 h 18"/>
                <a:gd name="T50" fmla="*/ 121 w 122"/>
                <a:gd name="T51" fmla="*/ 16 h 18"/>
                <a:gd name="T52" fmla="*/ 122 w 122"/>
                <a:gd name="T53" fmla="*/ 15 h 18"/>
                <a:gd name="T54" fmla="*/ 122 w 122"/>
                <a:gd name="T55" fmla="*/ 14 h 18"/>
                <a:gd name="T56" fmla="*/ 122 w 122"/>
                <a:gd name="T57" fmla="*/ 4 h 18"/>
                <a:gd name="T58" fmla="*/ 122 w 122"/>
                <a:gd name="T59" fmla="*/ 4 h 18"/>
                <a:gd name="T60" fmla="*/ 121 w 122"/>
                <a:gd name="T61" fmla="*/ 3 h 18"/>
                <a:gd name="T62" fmla="*/ 121 w 122"/>
                <a:gd name="T63" fmla="*/ 2 h 18"/>
                <a:gd name="T64" fmla="*/ 121 w 122"/>
                <a:gd name="T65" fmla="*/ 2 h 18"/>
                <a:gd name="T66" fmla="*/ 120 w 122"/>
                <a:gd name="T67" fmla="*/ 1 h 18"/>
                <a:gd name="T68" fmla="*/ 118 w 122"/>
                <a:gd name="T69" fmla="*/ 1 h 18"/>
                <a:gd name="T70" fmla="*/ 117 w 122"/>
                <a:gd name="T71" fmla="*/ 1 h 18"/>
                <a:gd name="T72" fmla="*/ 116 w 122"/>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22"/>
                <a:gd name="T112" fmla="*/ 0 h 18"/>
                <a:gd name="T113" fmla="*/ 122 w 122"/>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22" h="18">
                  <a:moveTo>
                    <a:pt x="116" y="0"/>
                  </a:moveTo>
                  <a:lnTo>
                    <a:pt x="7" y="0"/>
                  </a:lnTo>
                  <a:lnTo>
                    <a:pt x="6" y="1"/>
                  </a:lnTo>
                  <a:lnTo>
                    <a:pt x="4" y="1"/>
                  </a:lnTo>
                  <a:lnTo>
                    <a:pt x="3" y="1"/>
                  </a:lnTo>
                  <a:lnTo>
                    <a:pt x="2" y="2"/>
                  </a:lnTo>
                  <a:lnTo>
                    <a:pt x="1" y="2"/>
                  </a:lnTo>
                  <a:lnTo>
                    <a:pt x="1" y="3"/>
                  </a:lnTo>
                  <a:lnTo>
                    <a:pt x="0" y="4"/>
                  </a:lnTo>
                  <a:lnTo>
                    <a:pt x="0" y="14"/>
                  </a:lnTo>
                  <a:lnTo>
                    <a:pt x="0" y="15"/>
                  </a:lnTo>
                  <a:lnTo>
                    <a:pt x="1" y="16"/>
                  </a:lnTo>
                  <a:lnTo>
                    <a:pt x="2" y="17"/>
                  </a:lnTo>
                  <a:lnTo>
                    <a:pt x="3" y="18"/>
                  </a:lnTo>
                  <a:lnTo>
                    <a:pt x="4" y="18"/>
                  </a:lnTo>
                  <a:lnTo>
                    <a:pt x="6" y="18"/>
                  </a:lnTo>
                  <a:lnTo>
                    <a:pt x="7" y="18"/>
                  </a:lnTo>
                  <a:lnTo>
                    <a:pt x="116" y="18"/>
                  </a:lnTo>
                  <a:lnTo>
                    <a:pt x="117" y="18"/>
                  </a:lnTo>
                  <a:lnTo>
                    <a:pt x="118" y="18"/>
                  </a:lnTo>
                  <a:lnTo>
                    <a:pt x="120" y="18"/>
                  </a:lnTo>
                  <a:lnTo>
                    <a:pt x="121" y="17"/>
                  </a:lnTo>
                  <a:lnTo>
                    <a:pt x="121" y="16"/>
                  </a:lnTo>
                  <a:lnTo>
                    <a:pt x="122" y="15"/>
                  </a:lnTo>
                  <a:lnTo>
                    <a:pt x="122" y="14"/>
                  </a:lnTo>
                  <a:lnTo>
                    <a:pt x="122" y="4"/>
                  </a:lnTo>
                  <a:lnTo>
                    <a:pt x="121" y="3"/>
                  </a:lnTo>
                  <a:lnTo>
                    <a:pt x="121" y="2"/>
                  </a:lnTo>
                  <a:lnTo>
                    <a:pt x="120" y="1"/>
                  </a:lnTo>
                  <a:lnTo>
                    <a:pt x="118" y="1"/>
                  </a:lnTo>
                  <a:lnTo>
                    <a:pt x="117" y="1"/>
                  </a:lnTo>
                  <a:lnTo>
                    <a:pt x="116" y="0"/>
                  </a:lnTo>
                  <a:close/>
                </a:path>
              </a:pathLst>
            </a:custGeom>
            <a:noFill/>
            <a:ln w="7620" cap="rnd">
              <a:solidFill>
                <a:srgbClr val="333399"/>
              </a:solidFill>
              <a:prstDash val="solid"/>
              <a:round/>
              <a:headEnd/>
              <a:tailEnd/>
            </a:ln>
            <a:extLst>
              <a:ext uri="{909E8E84-426E-40DD-AFC4-6F175D3DCCD1}">
                <a14:hiddenFill xmlns:a14="http://schemas.microsoft.com/office/drawing/2010/main">
                  <a:solidFill>
                    <a:srgbClr val="FFFFFF"/>
                  </a:solidFill>
                </a14:hiddenFill>
              </a:ext>
            </a:extLst>
          </xdr:spPr>
        </xdr:sp>
      </xdr:grpSp>
      <xdr:sp macro="" textlink="">
        <xdr:nvSpPr>
          <xdr:cNvPr id="22" name="Rectangle 379">
            <a:extLst>
              <a:ext uri="{FF2B5EF4-FFF2-40B4-BE49-F238E27FC236}">
                <a16:creationId xmlns:a16="http://schemas.microsoft.com/office/drawing/2014/main" id="{00000000-0008-0000-0300-000016000000}"/>
              </a:ext>
            </a:extLst>
          </xdr:cNvPr>
          <xdr:cNvSpPr>
            <a:spLocks noChangeArrowheads="1"/>
          </xdr:cNvSpPr>
        </xdr:nvSpPr>
        <xdr:spPr bwMode="auto">
          <a:xfrm>
            <a:off x="277" y="87"/>
            <a:ext cx="375" cy="47"/>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 name="Rectangle 380">
            <a:extLst>
              <a:ext uri="{FF2B5EF4-FFF2-40B4-BE49-F238E27FC236}">
                <a16:creationId xmlns:a16="http://schemas.microsoft.com/office/drawing/2014/main" id="{00000000-0008-0000-0300-000017000000}"/>
              </a:ext>
            </a:extLst>
          </xdr:cNvPr>
          <xdr:cNvSpPr>
            <a:spLocks noChangeArrowheads="1"/>
          </xdr:cNvSpPr>
        </xdr:nvSpPr>
        <xdr:spPr bwMode="auto">
          <a:xfrm>
            <a:off x="285" y="92"/>
            <a:ext cx="268" cy="14"/>
          </a:xfrm>
          <a:prstGeom prst="rect">
            <a:avLst/>
          </a:prstGeom>
          <a:noFill/>
          <a:ln w="9525">
            <a:noFill/>
            <a:miter lim="800000"/>
            <a:headEnd/>
            <a:tailEnd/>
          </a:ln>
        </xdr:spPr>
        <xdr:txBody>
          <a:bodyPr wrap="square" lIns="0" tIns="0" rIns="0" bIns="0" anchor="ctr" upright="1">
            <a:spAutoFit/>
          </a:bodyPr>
          <a:lstStyle/>
          <a:p>
            <a:pPr algn="ctr" rtl="0">
              <a:defRPr sz="1000"/>
            </a:pPr>
            <a:r>
              <a:rPr lang="en-US" sz="1200" b="1" i="0" u="none" strike="noStrike" baseline="0">
                <a:solidFill>
                  <a:srgbClr val="333399"/>
                </a:solidFill>
                <a:latin typeface="Book Antiqua"/>
              </a:rPr>
              <a:t>STARPRINT  VIETNAM  JSC</a:t>
            </a:r>
          </a:p>
        </xdr:txBody>
      </xdr:sp>
      <xdr:sp macro="" textlink="">
        <xdr:nvSpPr>
          <xdr:cNvPr id="24" name="Rectangle 381">
            <a:extLst>
              <a:ext uri="{FF2B5EF4-FFF2-40B4-BE49-F238E27FC236}">
                <a16:creationId xmlns:a16="http://schemas.microsoft.com/office/drawing/2014/main" id="{00000000-0008-0000-0300-000018000000}"/>
              </a:ext>
            </a:extLst>
          </xdr:cNvPr>
          <xdr:cNvSpPr>
            <a:spLocks noChangeArrowheads="1"/>
          </xdr:cNvSpPr>
        </xdr:nvSpPr>
        <xdr:spPr bwMode="auto">
          <a:xfrm>
            <a:off x="500" y="98"/>
            <a:ext cx="0"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25" name="Rectangle 383">
            <a:extLst>
              <a:ext uri="{FF2B5EF4-FFF2-40B4-BE49-F238E27FC236}">
                <a16:creationId xmlns:a16="http://schemas.microsoft.com/office/drawing/2014/main" id="{00000000-0008-0000-0300-000019000000}"/>
              </a:ext>
            </a:extLst>
          </xdr:cNvPr>
          <xdr:cNvSpPr>
            <a:spLocks noChangeArrowheads="1"/>
          </xdr:cNvSpPr>
        </xdr:nvSpPr>
        <xdr:spPr bwMode="auto">
          <a:xfrm>
            <a:off x="542" y="98"/>
            <a:ext cx="1" cy="25"/>
          </a:xfrm>
          <a:prstGeom prst="rect">
            <a:avLst/>
          </a:prstGeom>
          <a:noFill/>
          <a:ln w="9525">
            <a:noFill/>
            <a:miter lim="800000"/>
            <a:headEnd/>
            <a:tailEnd/>
          </a:ln>
        </xdr:spPr>
        <xdr:txBody>
          <a:bodyPr wrap="none" lIns="0" tIns="0" rIns="0" bIns="0" anchor="t" upright="1">
            <a:spAutoFit/>
          </a:bodyPr>
          <a:lstStyle/>
          <a:p>
            <a:pPr algn="l" rtl="0">
              <a:defRPr sz="1000"/>
            </a:pPr>
            <a:r>
              <a:rPr lang="en-US" sz="1000" b="1" i="0" u="none" strike="noStrike" baseline="0">
                <a:solidFill>
                  <a:srgbClr val="333399"/>
                </a:solidFill>
                <a:latin typeface="Book Antiqua"/>
              </a:rPr>
              <a:t> </a:t>
            </a:r>
          </a:p>
        </xdr:txBody>
      </xdr:sp>
    </xdr:grpSp>
    <xdr:clientData/>
  </xdr:twoCellAnchor>
  <xdr:twoCellAnchor>
    <xdr:from>
      <xdr:col>17</xdr:col>
      <xdr:colOff>134470</xdr:colOff>
      <xdr:row>1</xdr:row>
      <xdr:rowOff>52296</xdr:rowOff>
    </xdr:from>
    <xdr:to>
      <xdr:col>17</xdr:col>
      <xdr:colOff>575235</xdr:colOff>
      <xdr:row>2</xdr:row>
      <xdr:rowOff>112061</xdr:rowOff>
    </xdr:to>
    <xdr:sp macro="[0]!Hide_Sheet_Test01" textlink="">
      <xdr:nvSpPr>
        <xdr:cNvPr id="60" name="Rectangle 59">
          <a:extLst>
            <a:ext uri="{FF2B5EF4-FFF2-40B4-BE49-F238E27FC236}">
              <a16:creationId xmlns:a16="http://schemas.microsoft.com/office/drawing/2014/main" id="{EF247D82-3EB6-A678-65AE-27CBA8435274}"/>
            </a:ext>
          </a:extLst>
        </xdr:cNvPr>
        <xdr:cNvSpPr/>
      </xdr:nvSpPr>
      <xdr:spPr bwMode="auto">
        <a:xfrm>
          <a:off x="13693588" y="164355"/>
          <a:ext cx="440765" cy="156882"/>
        </a:xfrm>
        <a:prstGeom prst="rect">
          <a:avLst/>
        </a:prstGeom>
        <a:solidFill>
          <a:schemeClr val="bg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17</xdr:col>
      <xdr:colOff>712693</xdr:colOff>
      <xdr:row>1</xdr:row>
      <xdr:rowOff>55283</xdr:rowOff>
    </xdr:from>
    <xdr:to>
      <xdr:col>18</xdr:col>
      <xdr:colOff>373530</xdr:colOff>
      <xdr:row>2</xdr:row>
      <xdr:rowOff>112059</xdr:rowOff>
    </xdr:to>
    <xdr:sp macro="[0]!UnprotectSheet" textlink="">
      <xdr:nvSpPr>
        <xdr:cNvPr id="61" name="Rectangle 60">
          <a:extLst>
            <a:ext uri="{FF2B5EF4-FFF2-40B4-BE49-F238E27FC236}">
              <a16:creationId xmlns:a16="http://schemas.microsoft.com/office/drawing/2014/main" id="{B47AC000-D3B4-4DF8-A20F-E013783613DB}"/>
            </a:ext>
          </a:extLst>
        </xdr:cNvPr>
        <xdr:cNvSpPr/>
      </xdr:nvSpPr>
      <xdr:spPr bwMode="auto">
        <a:xfrm>
          <a:off x="14271811" y="167342"/>
          <a:ext cx="519954" cy="153893"/>
        </a:xfrm>
        <a:prstGeom prst="rect">
          <a:avLst/>
        </a:prstGeom>
        <a:solidFill>
          <a:schemeClr val="bg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242</xdr:row>
      <xdr:rowOff>224117</xdr:rowOff>
    </xdr:from>
    <xdr:to>
      <xdr:col>17</xdr:col>
      <xdr:colOff>602</xdr:colOff>
      <xdr:row>281</xdr:row>
      <xdr:rowOff>135799</xdr:rowOff>
    </xdr:to>
    <xdr:pic>
      <xdr:nvPicPr>
        <xdr:cNvPr id="3" name="Picture 2">
          <a:extLst>
            <a:ext uri="{FF2B5EF4-FFF2-40B4-BE49-F238E27FC236}">
              <a16:creationId xmlns:a16="http://schemas.microsoft.com/office/drawing/2014/main" id="{02997145-9EBF-4F2E-45A6-C9D17439940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9077411"/>
          <a:ext cx="12346123" cy="9526329"/>
        </a:xfrm>
        <a:prstGeom prst="rect">
          <a:avLst/>
        </a:prstGeom>
      </xdr:spPr>
    </xdr:pic>
    <xdr:clientData/>
  </xdr:twoCellAnchor>
  <xdr:twoCellAnchor editAs="oneCell">
    <xdr:from>
      <xdr:col>0</xdr:col>
      <xdr:colOff>0</xdr:colOff>
      <xdr:row>282</xdr:row>
      <xdr:rowOff>0</xdr:rowOff>
    </xdr:from>
    <xdr:to>
      <xdr:col>9</xdr:col>
      <xdr:colOff>548400</xdr:colOff>
      <xdr:row>314</xdr:row>
      <xdr:rowOff>113176</xdr:rowOff>
    </xdr:to>
    <xdr:pic>
      <xdr:nvPicPr>
        <xdr:cNvPr id="4" name="Picture 3">
          <a:extLst>
            <a:ext uri="{FF2B5EF4-FFF2-40B4-BE49-F238E27FC236}">
              <a16:creationId xmlns:a16="http://schemas.microsoft.com/office/drawing/2014/main" id="{360A7DEB-1F9D-0E32-3816-AE80880E669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8714471"/>
          <a:ext cx="11126753" cy="800211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21167</xdr:colOff>
      <xdr:row>1236</xdr:row>
      <xdr:rowOff>105835</xdr:rowOff>
    </xdr:from>
    <xdr:to>
      <xdr:col>4</xdr:col>
      <xdr:colOff>637723</xdr:colOff>
      <xdr:row>1245</xdr:row>
      <xdr:rowOff>173353</xdr:rowOff>
    </xdr:to>
    <xdr:pic>
      <xdr:nvPicPr>
        <xdr:cNvPr id="2" name="Picture 1">
          <a:extLst>
            <a:ext uri="{FF2B5EF4-FFF2-40B4-BE49-F238E27FC236}">
              <a16:creationId xmlns:a16="http://schemas.microsoft.com/office/drawing/2014/main" id="{CA6F48F3-A724-478B-94BC-22FA19523595}"/>
            </a:ext>
          </a:extLst>
        </xdr:cNvPr>
        <xdr:cNvPicPr>
          <a:picLocks noChangeAspect="1"/>
        </xdr:cNvPicPr>
      </xdr:nvPicPr>
      <xdr:blipFill>
        <a:blip xmlns:r="http://schemas.openxmlformats.org/officeDocument/2006/relationships" r:embed="rId1"/>
        <a:stretch>
          <a:fillRect/>
        </a:stretch>
      </xdr:blipFill>
      <xdr:spPr>
        <a:xfrm>
          <a:off x="21167" y="221657335"/>
          <a:ext cx="7112606" cy="169629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10583</xdr:colOff>
      <xdr:row>39</xdr:row>
      <xdr:rowOff>31750</xdr:rowOff>
    </xdr:from>
    <xdr:to>
      <xdr:col>24</xdr:col>
      <xdr:colOff>553679</xdr:colOff>
      <xdr:row>50</xdr:row>
      <xdr:rowOff>9310</xdr:rowOff>
    </xdr:to>
    <xdr:pic>
      <xdr:nvPicPr>
        <xdr:cNvPr id="2" name="Picture 1">
          <a:extLst>
            <a:ext uri="{FF2B5EF4-FFF2-40B4-BE49-F238E27FC236}">
              <a16:creationId xmlns:a16="http://schemas.microsoft.com/office/drawing/2014/main" id="{118C6172-92B0-41E6-934A-4352165706C7}"/>
            </a:ext>
          </a:extLst>
        </xdr:cNvPr>
        <xdr:cNvPicPr>
          <a:picLocks noChangeAspect="1"/>
        </xdr:cNvPicPr>
      </xdr:nvPicPr>
      <xdr:blipFill>
        <a:blip xmlns:r="http://schemas.openxmlformats.org/officeDocument/2006/relationships" r:embed="rId1"/>
        <a:stretch>
          <a:fillRect/>
        </a:stretch>
      </xdr:blipFill>
      <xdr:spPr>
        <a:xfrm>
          <a:off x="275166" y="16457083"/>
          <a:ext cx="7104762" cy="17238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10583</xdr:colOff>
      <xdr:row>39</xdr:row>
      <xdr:rowOff>31750</xdr:rowOff>
    </xdr:from>
    <xdr:to>
      <xdr:col>24</xdr:col>
      <xdr:colOff>553679</xdr:colOff>
      <xdr:row>50</xdr:row>
      <xdr:rowOff>9310</xdr:rowOff>
    </xdr:to>
    <xdr:pic>
      <xdr:nvPicPr>
        <xdr:cNvPr id="2" name="Picture 1">
          <a:extLst>
            <a:ext uri="{FF2B5EF4-FFF2-40B4-BE49-F238E27FC236}">
              <a16:creationId xmlns:a16="http://schemas.microsoft.com/office/drawing/2014/main" id="{91184832-44D8-4ADA-88DF-B151AF8A0D8C}"/>
            </a:ext>
          </a:extLst>
        </xdr:cNvPr>
        <xdr:cNvPicPr>
          <a:picLocks noChangeAspect="1"/>
        </xdr:cNvPicPr>
      </xdr:nvPicPr>
      <xdr:blipFill>
        <a:blip xmlns:r="http://schemas.openxmlformats.org/officeDocument/2006/relationships" r:embed="rId1"/>
        <a:stretch>
          <a:fillRect/>
        </a:stretch>
      </xdr:blipFill>
      <xdr:spPr>
        <a:xfrm>
          <a:off x="277283" y="15662275"/>
          <a:ext cx="7116403" cy="175873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10</xdr:col>
      <xdr:colOff>56030</xdr:colOff>
      <xdr:row>831</xdr:row>
      <xdr:rowOff>145676</xdr:rowOff>
    </xdr:from>
    <xdr:to>
      <xdr:col>12</xdr:col>
      <xdr:colOff>212912</xdr:colOff>
      <xdr:row>835</xdr:row>
      <xdr:rowOff>145676</xdr:rowOff>
    </xdr:to>
    <xdr:sp macro="" textlink="">
      <xdr:nvSpPr>
        <xdr:cNvPr id="2" name="Left Arrow 1">
          <a:extLst>
            <a:ext uri="{FF2B5EF4-FFF2-40B4-BE49-F238E27FC236}">
              <a16:creationId xmlns:a16="http://schemas.microsoft.com/office/drawing/2014/main" id="{00000000-0008-0000-0A00-000002000000}"/>
            </a:ext>
          </a:extLst>
        </xdr:cNvPr>
        <xdr:cNvSpPr/>
      </xdr:nvSpPr>
      <xdr:spPr bwMode="auto">
        <a:xfrm>
          <a:off x="11026589" y="94062176"/>
          <a:ext cx="1972235" cy="851647"/>
        </a:xfrm>
        <a:prstGeom prst="leftArrow">
          <a:avLst/>
        </a:prstGeom>
        <a:solidFill>
          <a:schemeClr val="accent2"/>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lstStyle/>
        <a:p>
          <a:pPr algn="ctr"/>
          <a:r>
            <a:rPr lang="en-US" sz="1500" b="1">
              <a:solidFill>
                <a:schemeClr val="bg1"/>
              </a:solidFill>
              <a:latin typeface="Arial" panose="020B0604020202020204" pitchFamily="34" charset="0"/>
              <a:cs typeface="Arial" panose="020B0604020202020204" pitchFamily="34" charset="0"/>
            </a:rPr>
            <a:t>ACC</a:t>
          </a:r>
          <a:r>
            <a:rPr lang="en-US" sz="1500" b="1" baseline="0">
              <a:solidFill>
                <a:schemeClr val="bg1"/>
              </a:solidFill>
              <a:latin typeface="Arial" panose="020B0604020202020204" pitchFamily="34" charset="0"/>
              <a:cs typeface="Arial" panose="020B0604020202020204" pitchFamily="34" charset="0"/>
            </a:rPr>
            <a:t> Only</a:t>
          </a:r>
        </a:p>
        <a:p>
          <a:pPr algn="ctr"/>
          <a:r>
            <a:rPr lang="en-US" sz="1000">
              <a:solidFill>
                <a:schemeClr val="bg1"/>
              </a:solidFill>
              <a:latin typeface="Arial" panose="020B0604020202020204" pitchFamily="34" charset="0"/>
              <a:cs typeface="Arial" panose="020B0604020202020204" pitchFamily="34" charset="0"/>
            </a:rPr>
            <a:t>Check</a:t>
          </a:r>
          <a:r>
            <a:rPr lang="en-US" sz="1000" baseline="0">
              <a:solidFill>
                <a:schemeClr val="bg1"/>
              </a:solidFill>
              <a:latin typeface="Arial" panose="020B0604020202020204" pitchFamily="34" charset="0"/>
              <a:cs typeface="Arial" panose="020B0604020202020204" pitchFamily="34" charset="0"/>
            </a:rPr>
            <a:t> input sheet</a:t>
          </a:r>
        </a:p>
      </xdr:txBody>
    </xdr:sp>
    <xdr:clientData/>
  </xdr:twoCellAnchor>
  <xdr:twoCellAnchor>
    <xdr:from>
      <xdr:col>10</xdr:col>
      <xdr:colOff>22412</xdr:colOff>
      <xdr:row>933</xdr:row>
      <xdr:rowOff>22411</xdr:rowOff>
    </xdr:from>
    <xdr:to>
      <xdr:col>12</xdr:col>
      <xdr:colOff>179294</xdr:colOff>
      <xdr:row>936</xdr:row>
      <xdr:rowOff>33616</xdr:rowOff>
    </xdr:to>
    <xdr:sp macro="" textlink="">
      <xdr:nvSpPr>
        <xdr:cNvPr id="3" name="Left Arrow 2">
          <a:extLst>
            <a:ext uri="{FF2B5EF4-FFF2-40B4-BE49-F238E27FC236}">
              <a16:creationId xmlns:a16="http://schemas.microsoft.com/office/drawing/2014/main" id="{00000000-0008-0000-0A00-000003000000}"/>
            </a:ext>
          </a:extLst>
        </xdr:cNvPr>
        <xdr:cNvSpPr/>
      </xdr:nvSpPr>
      <xdr:spPr bwMode="auto">
        <a:xfrm>
          <a:off x="10992971" y="111397676"/>
          <a:ext cx="1972235" cy="649940"/>
        </a:xfrm>
        <a:prstGeom prst="leftArrow">
          <a:avLst/>
        </a:prstGeom>
        <a:solidFill>
          <a:schemeClr val="accent2"/>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lstStyle/>
        <a:p>
          <a:pPr algn="ctr"/>
          <a:r>
            <a:rPr lang="en-US" sz="1500" b="1">
              <a:solidFill>
                <a:schemeClr val="bg1"/>
              </a:solidFill>
              <a:latin typeface="Arial" panose="020B0604020202020204" pitchFamily="34" charset="0"/>
              <a:cs typeface="Arial" panose="020B0604020202020204" pitchFamily="34" charset="0"/>
            </a:rPr>
            <a:t>ACC</a:t>
          </a:r>
          <a:r>
            <a:rPr lang="en-US" sz="1500" b="1" baseline="0">
              <a:solidFill>
                <a:schemeClr val="bg1"/>
              </a:solidFill>
              <a:latin typeface="Arial" panose="020B0604020202020204" pitchFamily="34" charset="0"/>
              <a:cs typeface="Arial" panose="020B0604020202020204" pitchFamily="34" charset="0"/>
            </a:rPr>
            <a:t> Only</a:t>
          </a:r>
        </a:p>
        <a:p>
          <a:pPr algn="ctr"/>
          <a:r>
            <a:rPr lang="en-US" sz="1000">
              <a:solidFill>
                <a:schemeClr val="bg1"/>
              </a:solidFill>
              <a:latin typeface="Arial" panose="020B0604020202020204" pitchFamily="34" charset="0"/>
              <a:cs typeface="Arial" panose="020B0604020202020204" pitchFamily="34" charset="0"/>
            </a:rPr>
            <a:t>Check</a:t>
          </a:r>
          <a:r>
            <a:rPr lang="en-US" sz="1000" baseline="0">
              <a:solidFill>
                <a:schemeClr val="bg1"/>
              </a:solidFill>
              <a:latin typeface="Arial" panose="020B0604020202020204" pitchFamily="34" charset="0"/>
              <a:cs typeface="Arial" panose="020B0604020202020204" pitchFamily="34" charset="0"/>
            </a:rPr>
            <a:t> input sheet</a:t>
          </a:r>
        </a:p>
      </xdr:txBody>
    </xdr:sp>
    <xdr:clientData/>
  </xdr:twoCellAnchor>
  <xdr:twoCellAnchor>
    <xdr:from>
      <xdr:col>10</xdr:col>
      <xdr:colOff>44824</xdr:colOff>
      <xdr:row>961</xdr:row>
      <xdr:rowOff>11207</xdr:rowOff>
    </xdr:from>
    <xdr:to>
      <xdr:col>12</xdr:col>
      <xdr:colOff>212912</xdr:colOff>
      <xdr:row>963</xdr:row>
      <xdr:rowOff>11208</xdr:rowOff>
    </xdr:to>
    <xdr:sp macro="" textlink="">
      <xdr:nvSpPr>
        <xdr:cNvPr id="4" name="Left Arrow 3">
          <a:extLst>
            <a:ext uri="{FF2B5EF4-FFF2-40B4-BE49-F238E27FC236}">
              <a16:creationId xmlns:a16="http://schemas.microsoft.com/office/drawing/2014/main" id="{00000000-0008-0000-0A00-000004000000}"/>
            </a:ext>
          </a:extLst>
        </xdr:cNvPr>
        <xdr:cNvSpPr/>
      </xdr:nvSpPr>
      <xdr:spPr bwMode="auto">
        <a:xfrm>
          <a:off x="11015383" y="117348001"/>
          <a:ext cx="1983441" cy="425825"/>
        </a:xfrm>
        <a:prstGeom prst="leftArrow">
          <a:avLst/>
        </a:prstGeom>
        <a:solidFill>
          <a:schemeClr val="accent2"/>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lstStyle/>
        <a:p>
          <a:pPr algn="ctr"/>
          <a:r>
            <a:rPr lang="en-US" sz="1500" b="1">
              <a:solidFill>
                <a:schemeClr val="bg1"/>
              </a:solidFill>
              <a:latin typeface="Arial" panose="020B0604020202020204" pitchFamily="34" charset="0"/>
              <a:cs typeface="Arial" panose="020B0604020202020204" pitchFamily="34" charset="0"/>
            </a:rPr>
            <a:t>ACC</a:t>
          </a:r>
          <a:r>
            <a:rPr lang="en-US" sz="1500" b="1" baseline="0">
              <a:solidFill>
                <a:schemeClr val="bg1"/>
              </a:solidFill>
              <a:latin typeface="Arial" panose="020B0604020202020204" pitchFamily="34" charset="0"/>
              <a:cs typeface="Arial" panose="020B0604020202020204" pitchFamily="34" charset="0"/>
            </a:rPr>
            <a:t> Only</a:t>
          </a:r>
        </a:p>
        <a:p>
          <a:pPr algn="ctr"/>
          <a:r>
            <a:rPr lang="en-US" sz="1000">
              <a:solidFill>
                <a:schemeClr val="bg1"/>
              </a:solidFill>
              <a:latin typeface="Arial" panose="020B0604020202020204" pitchFamily="34" charset="0"/>
              <a:cs typeface="Arial" panose="020B0604020202020204" pitchFamily="34" charset="0"/>
            </a:rPr>
            <a:t>Check</a:t>
          </a:r>
          <a:r>
            <a:rPr lang="en-US" sz="1000" baseline="0">
              <a:solidFill>
                <a:schemeClr val="bg1"/>
              </a:solidFill>
              <a:latin typeface="Arial" panose="020B0604020202020204" pitchFamily="34" charset="0"/>
              <a:cs typeface="Arial" panose="020B0604020202020204" pitchFamily="34" charset="0"/>
            </a:rPr>
            <a:t> input sheet</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15</xdr:col>
      <xdr:colOff>89648</xdr:colOff>
      <xdr:row>86</xdr:row>
      <xdr:rowOff>145676</xdr:rowOff>
    </xdr:from>
    <xdr:to>
      <xdr:col>18</xdr:col>
      <xdr:colOff>330112</xdr:colOff>
      <xdr:row>108</xdr:row>
      <xdr:rowOff>182441</xdr:rowOff>
    </xdr:to>
    <xdr:pic>
      <xdr:nvPicPr>
        <xdr:cNvPr id="3" name="Picture 2">
          <a:extLst>
            <a:ext uri="{FF2B5EF4-FFF2-40B4-BE49-F238E27FC236}">
              <a16:creationId xmlns:a16="http://schemas.microsoft.com/office/drawing/2014/main" id="{C6DA9D01-4D98-488B-B194-CF3D4C27E971}"/>
            </a:ext>
          </a:extLst>
        </xdr:cNvPr>
        <xdr:cNvPicPr>
          <a:picLocks noChangeAspect="1"/>
        </xdr:cNvPicPr>
      </xdr:nvPicPr>
      <xdr:blipFill>
        <a:blip xmlns:r="http://schemas.openxmlformats.org/officeDocument/2006/relationships" r:embed="rId1"/>
        <a:stretch>
          <a:fillRect/>
        </a:stretch>
      </xdr:blipFill>
      <xdr:spPr>
        <a:xfrm>
          <a:off x="12438530" y="16439029"/>
          <a:ext cx="3669464" cy="6200000"/>
        </a:xfrm>
        <a:prstGeom prst="rect">
          <a:avLst/>
        </a:prstGeom>
      </xdr:spPr>
    </xdr:pic>
    <xdr:clientData/>
  </xdr:twoCellAnchor>
  <xdr:twoCellAnchor editAs="oneCell">
    <xdr:from>
      <xdr:col>18</xdr:col>
      <xdr:colOff>336177</xdr:colOff>
      <xdr:row>87</xdr:row>
      <xdr:rowOff>100854</xdr:rowOff>
    </xdr:from>
    <xdr:to>
      <xdr:col>26</xdr:col>
      <xdr:colOff>490213</xdr:colOff>
      <xdr:row>105</xdr:row>
      <xdr:rowOff>124874</xdr:rowOff>
    </xdr:to>
    <xdr:pic>
      <xdr:nvPicPr>
        <xdr:cNvPr id="2" name="Picture 1">
          <a:extLst>
            <a:ext uri="{FF2B5EF4-FFF2-40B4-BE49-F238E27FC236}">
              <a16:creationId xmlns:a16="http://schemas.microsoft.com/office/drawing/2014/main" id="{C7FB438B-564F-59F0-16CA-EA1920ED0B1F}"/>
            </a:ext>
          </a:extLst>
        </xdr:cNvPr>
        <xdr:cNvPicPr>
          <a:picLocks noChangeAspect="1"/>
        </xdr:cNvPicPr>
      </xdr:nvPicPr>
      <xdr:blipFill>
        <a:blip xmlns:r="http://schemas.openxmlformats.org/officeDocument/2006/relationships" r:embed="rId2"/>
        <a:stretch>
          <a:fillRect/>
        </a:stretch>
      </xdr:blipFill>
      <xdr:spPr>
        <a:xfrm>
          <a:off x="16114059" y="16674354"/>
          <a:ext cx="4838095" cy="5066667"/>
        </a:xfrm>
        <a:prstGeom prst="rect">
          <a:avLst/>
        </a:prstGeom>
      </xdr:spPr>
    </xdr:pic>
    <xdr:clientData/>
  </xdr:twoCellAnchor>
  <xdr:twoCellAnchor editAs="oneCell">
    <xdr:from>
      <xdr:col>1</xdr:col>
      <xdr:colOff>0</xdr:colOff>
      <xdr:row>142</xdr:row>
      <xdr:rowOff>0</xdr:rowOff>
    </xdr:from>
    <xdr:to>
      <xdr:col>12</xdr:col>
      <xdr:colOff>465045</xdr:colOff>
      <xdr:row>156</xdr:row>
      <xdr:rowOff>278466</xdr:rowOff>
    </xdr:to>
    <xdr:pic>
      <xdr:nvPicPr>
        <xdr:cNvPr id="4" name="Picture 3">
          <a:extLst>
            <a:ext uri="{FF2B5EF4-FFF2-40B4-BE49-F238E27FC236}">
              <a16:creationId xmlns:a16="http://schemas.microsoft.com/office/drawing/2014/main" id="{4863E711-A8D3-6293-2D29-A12E89DEB2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5324" y="31981588"/>
          <a:ext cx="10191750" cy="4200525"/>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104775</xdr:colOff>
      <xdr:row>0</xdr:row>
      <xdr:rowOff>66675</xdr:rowOff>
    </xdr:from>
    <xdr:to>
      <xdr:col>1</xdr:col>
      <xdr:colOff>914400</xdr:colOff>
      <xdr:row>1</xdr:row>
      <xdr:rowOff>19050</xdr:rowOff>
    </xdr:to>
    <xdr:pic>
      <xdr:nvPicPr>
        <xdr:cNvPr id="2" name="Picture 8">
          <a:extLst>
            <a:ext uri="{FF2B5EF4-FFF2-40B4-BE49-F238E27FC236}">
              <a16:creationId xmlns:a16="http://schemas.microsoft.com/office/drawing/2014/main" id="{49A9A5B6-0F5A-4D96-A47B-0866624270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66675"/>
          <a:ext cx="14573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333375</xdr:colOff>
      <xdr:row>11</xdr:row>
      <xdr:rowOff>171450</xdr:rowOff>
    </xdr:from>
    <xdr:to>
      <xdr:col>1</xdr:col>
      <xdr:colOff>333375</xdr:colOff>
      <xdr:row>13</xdr:row>
      <xdr:rowOff>9525</xdr:rowOff>
    </xdr:to>
    <xdr:cxnSp macro="">
      <xdr:nvCxnSpPr>
        <xdr:cNvPr id="3" name="Straight Arrow Connector 2">
          <a:extLst>
            <a:ext uri="{FF2B5EF4-FFF2-40B4-BE49-F238E27FC236}">
              <a16:creationId xmlns:a16="http://schemas.microsoft.com/office/drawing/2014/main" id="{03317D60-03E9-41DD-909B-8E090F1D09E9}"/>
            </a:ext>
          </a:extLst>
        </xdr:cNvPr>
        <xdr:cNvCxnSpPr>
          <a:cxnSpLocks noChangeShapeType="1"/>
        </xdr:cNvCxnSpPr>
      </xdr:nvCxnSpPr>
      <xdr:spPr bwMode="auto">
        <a:xfrm>
          <a:off x="981075" y="2962275"/>
          <a:ext cx="0" cy="2381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200025</xdr:colOff>
      <xdr:row>20</xdr:row>
      <xdr:rowOff>200025</xdr:rowOff>
    </xdr:from>
    <xdr:to>
      <xdr:col>2</xdr:col>
      <xdr:colOff>200025</xdr:colOff>
      <xdr:row>22</xdr:row>
      <xdr:rowOff>28575</xdr:rowOff>
    </xdr:to>
    <xdr:cxnSp macro="">
      <xdr:nvCxnSpPr>
        <xdr:cNvPr id="4" name="Straight Arrow Connector 5">
          <a:extLst>
            <a:ext uri="{FF2B5EF4-FFF2-40B4-BE49-F238E27FC236}">
              <a16:creationId xmlns:a16="http://schemas.microsoft.com/office/drawing/2014/main" id="{C118E9D0-BCD3-4A18-B48E-E00DFA4B875E}"/>
            </a:ext>
          </a:extLst>
        </xdr:cNvPr>
        <xdr:cNvCxnSpPr>
          <a:cxnSpLocks noChangeShapeType="1"/>
        </xdr:cNvCxnSpPr>
      </xdr:nvCxnSpPr>
      <xdr:spPr bwMode="auto">
        <a:xfrm>
          <a:off x="1809750" y="4676775"/>
          <a:ext cx="0" cy="1619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200025</xdr:colOff>
      <xdr:row>27</xdr:row>
      <xdr:rowOff>9525</xdr:rowOff>
    </xdr:from>
    <xdr:to>
      <xdr:col>2</xdr:col>
      <xdr:colOff>200025</xdr:colOff>
      <xdr:row>28</xdr:row>
      <xdr:rowOff>38100</xdr:rowOff>
    </xdr:to>
    <xdr:cxnSp macro="">
      <xdr:nvCxnSpPr>
        <xdr:cNvPr id="5" name="Straight Arrow Connector 6">
          <a:extLst>
            <a:ext uri="{FF2B5EF4-FFF2-40B4-BE49-F238E27FC236}">
              <a16:creationId xmlns:a16="http://schemas.microsoft.com/office/drawing/2014/main" id="{CDBCCA0A-F400-439E-8E6F-E91BCC330A3B}"/>
            </a:ext>
          </a:extLst>
        </xdr:cNvPr>
        <xdr:cNvCxnSpPr>
          <a:cxnSpLocks noChangeShapeType="1"/>
        </xdr:cNvCxnSpPr>
      </xdr:nvCxnSpPr>
      <xdr:spPr bwMode="auto">
        <a:xfrm>
          <a:off x="1809750" y="5753100"/>
          <a:ext cx="0" cy="2476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209550</xdr:colOff>
      <xdr:row>12</xdr:row>
      <xdr:rowOff>28575</xdr:rowOff>
    </xdr:from>
    <xdr:to>
      <xdr:col>6</xdr:col>
      <xdr:colOff>209550</xdr:colOff>
      <xdr:row>16</xdr:row>
      <xdr:rowOff>190500</xdr:rowOff>
    </xdr:to>
    <xdr:cxnSp macro="">
      <xdr:nvCxnSpPr>
        <xdr:cNvPr id="6" name="Straight Arrow Connector 2">
          <a:extLst>
            <a:ext uri="{FF2B5EF4-FFF2-40B4-BE49-F238E27FC236}">
              <a16:creationId xmlns:a16="http://schemas.microsoft.com/office/drawing/2014/main" id="{7B38BE2D-7066-4ECD-9777-BDF567419075}"/>
            </a:ext>
          </a:extLst>
        </xdr:cNvPr>
        <xdr:cNvCxnSpPr>
          <a:cxnSpLocks noChangeShapeType="1"/>
        </xdr:cNvCxnSpPr>
      </xdr:nvCxnSpPr>
      <xdr:spPr bwMode="auto">
        <a:xfrm>
          <a:off x="4200525" y="3019425"/>
          <a:ext cx="0" cy="94297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323850</xdr:colOff>
      <xdr:row>16</xdr:row>
      <xdr:rowOff>0</xdr:rowOff>
    </xdr:from>
    <xdr:to>
      <xdr:col>1</xdr:col>
      <xdr:colOff>323850</xdr:colOff>
      <xdr:row>17</xdr:row>
      <xdr:rowOff>9525</xdr:rowOff>
    </xdr:to>
    <xdr:cxnSp macro="">
      <xdr:nvCxnSpPr>
        <xdr:cNvPr id="7" name="Straight Arrow Connector 4">
          <a:extLst>
            <a:ext uri="{FF2B5EF4-FFF2-40B4-BE49-F238E27FC236}">
              <a16:creationId xmlns:a16="http://schemas.microsoft.com/office/drawing/2014/main" id="{027EDD85-8481-49B1-A507-EF01EC91949D}"/>
            </a:ext>
          </a:extLst>
        </xdr:cNvPr>
        <xdr:cNvCxnSpPr>
          <a:cxnSpLocks noChangeShapeType="1"/>
        </xdr:cNvCxnSpPr>
      </xdr:nvCxnSpPr>
      <xdr:spPr bwMode="auto">
        <a:xfrm>
          <a:off x="971550" y="3790950"/>
          <a:ext cx="0" cy="18097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304800</xdr:colOff>
      <xdr:row>16</xdr:row>
      <xdr:rowOff>200025</xdr:rowOff>
    </xdr:from>
    <xdr:to>
      <xdr:col>6</xdr:col>
      <xdr:colOff>209550</xdr:colOff>
      <xdr:row>16</xdr:row>
      <xdr:rowOff>200025</xdr:rowOff>
    </xdr:to>
    <xdr:cxnSp macro="">
      <xdr:nvCxnSpPr>
        <xdr:cNvPr id="8" name="Straight Connector 4">
          <a:extLst>
            <a:ext uri="{FF2B5EF4-FFF2-40B4-BE49-F238E27FC236}">
              <a16:creationId xmlns:a16="http://schemas.microsoft.com/office/drawing/2014/main" id="{0D2DEE34-FC49-4CBF-B47A-6695A8765206}"/>
            </a:ext>
          </a:extLst>
        </xdr:cNvPr>
        <xdr:cNvCxnSpPr>
          <a:cxnSpLocks noChangeShapeType="1"/>
        </xdr:cNvCxnSpPr>
      </xdr:nvCxnSpPr>
      <xdr:spPr bwMode="auto">
        <a:xfrm>
          <a:off x="952500" y="3962400"/>
          <a:ext cx="3248025"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190500</xdr:colOff>
      <xdr:row>17</xdr:row>
      <xdr:rowOff>0</xdr:rowOff>
    </xdr:from>
    <xdr:to>
      <xdr:col>2</xdr:col>
      <xdr:colOff>190500</xdr:colOff>
      <xdr:row>18</xdr:row>
      <xdr:rowOff>38100</xdr:rowOff>
    </xdr:to>
    <xdr:cxnSp macro="">
      <xdr:nvCxnSpPr>
        <xdr:cNvPr id="9" name="Straight Arrow Connector 4">
          <a:extLst>
            <a:ext uri="{FF2B5EF4-FFF2-40B4-BE49-F238E27FC236}">
              <a16:creationId xmlns:a16="http://schemas.microsoft.com/office/drawing/2014/main" id="{23DD3F75-07AA-40D2-8BDE-C12514289272}"/>
            </a:ext>
          </a:extLst>
        </xdr:cNvPr>
        <xdr:cNvCxnSpPr>
          <a:cxnSpLocks noChangeShapeType="1"/>
        </xdr:cNvCxnSpPr>
      </xdr:nvCxnSpPr>
      <xdr:spPr bwMode="auto">
        <a:xfrm>
          <a:off x="1800225" y="3962400"/>
          <a:ext cx="0" cy="2095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200025</xdr:colOff>
      <xdr:row>27</xdr:row>
      <xdr:rowOff>9525</xdr:rowOff>
    </xdr:from>
    <xdr:to>
      <xdr:col>2</xdr:col>
      <xdr:colOff>200025</xdr:colOff>
      <xdr:row>28</xdr:row>
      <xdr:rowOff>38100</xdr:rowOff>
    </xdr:to>
    <xdr:cxnSp macro="">
      <xdr:nvCxnSpPr>
        <xdr:cNvPr id="10" name="Straight Arrow Connector 6">
          <a:extLst>
            <a:ext uri="{FF2B5EF4-FFF2-40B4-BE49-F238E27FC236}">
              <a16:creationId xmlns:a16="http://schemas.microsoft.com/office/drawing/2014/main" id="{3012B5D9-B6CF-46AF-8070-DD644B5C012A}"/>
            </a:ext>
          </a:extLst>
        </xdr:cNvPr>
        <xdr:cNvCxnSpPr>
          <a:cxnSpLocks noChangeShapeType="1"/>
        </xdr:cNvCxnSpPr>
      </xdr:nvCxnSpPr>
      <xdr:spPr bwMode="auto">
        <a:xfrm>
          <a:off x="1809750" y="5753100"/>
          <a:ext cx="0" cy="2476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200025</xdr:colOff>
      <xdr:row>31</xdr:row>
      <xdr:rowOff>9525</xdr:rowOff>
    </xdr:from>
    <xdr:to>
      <xdr:col>2</xdr:col>
      <xdr:colOff>200025</xdr:colOff>
      <xdr:row>32</xdr:row>
      <xdr:rowOff>38100</xdr:rowOff>
    </xdr:to>
    <xdr:cxnSp macro="">
      <xdr:nvCxnSpPr>
        <xdr:cNvPr id="11" name="Straight Arrow Connector 6">
          <a:extLst>
            <a:ext uri="{FF2B5EF4-FFF2-40B4-BE49-F238E27FC236}">
              <a16:creationId xmlns:a16="http://schemas.microsoft.com/office/drawing/2014/main" id="{D77047EB-0182-4C4B-9EE8-659F77ED88F9}"/>
            </a:ext>
          </a:extLst>
        </xdr:cNvPr>
        <xdr:cNvCxnSpPr>
          <a:cxnSpLocks noChangeShapeType="1"/>
        </xdr:cNvCxnSpPr>
      </xdr:nvCxnSpPr>
      <xdr:spPr bwMode="auto">
        <a:xfrm>
          <a:off x="1809750" y="6600825"/>
          <a:ext cx="0" cy="22860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200025</xdr:colOff>
      <xdr:row>23</xdr:row>
      <xdr:rowOff>200025</xdr:rowOff>
    </xdr:from>
    <xdr:to>
      <xdr:col>2</xdr:col>
      <xdr:colOff>200025</xdr:colOff>
      <xdr:row>25</xdr:row>
      <xdr:rowOff>28575</xdr:rowOff>
    </xdr:to>
    <xdr:cxnSp macro="">
      <xdr:nvCxnSpPr>
        <xdr:cNvPr id="12" name="Straight Arrow Connector 5">
          <a:extLst>
            <a:ext uri="{FF2B5EF4-FFF2-40B4-BE49-F238E27FC236}">
              <a16:creationId xmlns:a16="http://schemas.microsoft.com/office/drawing/2014/main" id="{FA766117-1D24-430D-B0B6-DC1F875C6266}"/>
            </a:ext>
          </a:extLst>
        </xdr:cNvPr>
        <xdr:cNvCxnSpPr>
          <a:cxnSpLocks noChangeShapeType="1"/>
        </xdr:cNvCxnSpPr>
      </xdr:nvCxnSpPr>
      <xdr:spPr bwMode="auto">
        <a:xfrm>
          <a:off x="1809750" y="5210175"/>
          <a:ext cx="0" cy="1619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0</xdr:col>
      <xdr:colOff>0</xdr:colOff>
      <xdr:row>54</xdr:row>
      <xdr:rowOff>0</xdr:rowOff>
    </xdr:from>
    <xdr:to>
      <xdr:col>17</xdr:col>
      <xdr:colOff>220798</xdr:colOff>
      <xdr:row>111</xdr:row>
      <xdr:rowOff>96579</xdr:rowOff>
    </xdr:to>
    <xdr:pic>
      <xdr:nvPicPr>
        <xdr:cNvPr id="14" name="Picture 13">
          <a:extLst>
            <a:ext uri="{FF2B5EF4-FFF2-40B4-BE49-F238E27FC236}">
              <a16:creationId xmlns:a16="http://schemas.microsoft.com/office/drawing/2014/main" id="{572FEE3E-E2ED-E765-AB2B-88E79538DB3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2001500"/>
          <a:ext cx="12346123" cy="9526329"/>
        </a:xfrm>
        <a:prstGeom prst="rect">
          <a:avLst/>
        </a:prstGeom>
      </xdr:spPr>
    </xdr:pic>
    <xdr:clientData/>
  </xdr:twoCellAnchor>
  <xdr:twoCellAnchor editAs="oneCell">
    <xdr:from>
      <xdr:col>0</xdr:col>
      <xdr:colOff>0</xdr:colOff>
      <xdr:row>112</xdr:row>
      <xdr:rowOff>0</xdr:rowOff>
    </xdr:from>
    <xdr:to>
      <xdr:col>17</xdr:col>
      <xdr:colOff>220798</xdr:colOff>
      <xdr:row>170</xdr:row>
      <xdr:rowOff>134679</xdr:rowOff>
    </xdr:to>
    <xdr:pic>
      <xdr:nvPicPr>
        <xdr:cNvPr id="16" name="Picture 15">
          <a:extLst>
            <a:ext uri="{FF2B5EF4-FFF2-40B4-BE49-F238E27FC236}">
              <a16:creationId xmlns:a16="http://schemas.microsoft.com/office/drawing/2014/main" id="{72C940B9-9302-18B2-C640-17609CA92B9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21593175"/>
          <a:ext cx="12346123" cy="952632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60928</xdr:colOff>
      <xdr:row>0</xdr:row>
      <xdr:rowOff>95250</xdr:rowOff>
    </xdr:from>
    <xdr:to>
      <xdr:col>2</xdr:col>
      <xdr:colOff>835819</xdr:colOff>
      <xdr:row>1</xdr:row>
      <xdr:rowOff>399931</xdr:rowOff>
    </xdr:to>
    <xdr:pic>
      <xdr:nvPicPr>
        <xdr:cNvPr id="2" name="Picture 1">
          <a:extLst>
            <a:ext uri="{FF2B5EF4-FFF2-40B4-BE49-F238E27FC236}">
              <a16:creationId xmlns:a16="http://schemas.microsoft.com/office/drawing/2014/main" id="{3AE74333-C915-4F1D-B921-B00A0913D973}"/>
            </a:ext>
          </a:extLst>
        </xdr:cNvPr>
        <xdr:cNvPicPr>
          <a:picLocks noChangeAspect="1"/>
        </xdr:cNvPicPr>
      </xdr:nvPicPr>
      <xdr:blipFill>
        <a:blip xmlns:r="http://schemas.openxmlformats.org/officeDocument/2006/relationships" r:embed="rId1"/>
        <a:stretch>
          <a:fillRect/>
        </a:stretch>
      </xdr:blipFill>
      <xdr:spPr>
        <a:xfrm>
          <a:off x="232378" y="95250"/>
          <a:ext cx="1765491" cy="59995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184063</xdr:colOff>
      <xdr:row>1</xdr:row>
      <xdr:rowOff>196361</xdr:rowOff>
    </xdr:from>
    <xdr:to>
      <xdr:col>7</xdr:col>
      <xdr:colOff>0</xdr:colOff>
      <xdr:row>5</xdr:row>
      <xdr:rowOff>28575</xdr:rowOff>
    </xdr:to>
    <xdr:pic>
      <xdr:nvPicPr>
        <xdr:cNvPr id="2" name="Picture 1" descr="CraylogoforPP">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9488" y="386861"/>
          <a:ext cx="1244687" cy="7085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10584</xdr:colOff>
      <xdr:row>10</xdr:row>
      <xdr:rowOff>165272</xdr:rowOff>
    </xdr:from>
    <xdr:to>
      <xdr:col>2</xdr:col>
      <xdr:colOff>374650</xdr:colOff>
      <xdr:row>17</xdr:row>
      <xdr:rowOff>138641</xdr:rowOff>
    </xdr:to>
    <xdr:pic>
      <xdr:nvPicPr>
        <xdr:cNvPr id="3" name="Picture 2" descr="image00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359" y="2184572"/>
          <a:ext cx="1754716" cy="12687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104</xdr:row>
      <xdr:rowOff>0</xdr:rowOff>
    </xdr:from>
    <xdr:to>
      <xdr:col>17</xdr:col>
      <xdr:colOff>390525</xdr:colOff>
      <xdr:row>132</xdr:row>
      <xdr:rowOff>19050</xdr:rowOff>
    </xdr:to>
    <xdr:pic>
      <xdr:nvPicPr>
        <xdr:cNvPr id="2" name="Picture 75">
          <a:extLst>
            <a:ext uri="{FF2B5EF4-FFF2-40B4-BE49-F238E27FC236}">
              <a16:creationId xmlns:a16="http://schemas.microsoft.com/office/drawing/2014/main" id="{1D74A64D-DB15-440E-BE3C-E1A9766D7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21425"/>
          <a:ext cx="11258550" cy="455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112395</xdr:colOff>
      <xdr:row>0</xdr:row>
      <xdr:rowOff>0</xdr:rowOff>
    </xdr:from>
    <xdr:to>
      <xdr:col>3</xdr:col>
      <xdr:colOff>34512</xdr:colOff>
      <xdr:row>2</xdr:row>
      <xdr:rowOff>108702</xdr:rowOff>
    </xdr:to>
    <xdr:sp macro="" textlink="">
      <xdr:nvSpPr>
        <xdr:cNvPr id="36865" name="Text Box 1">
          <a:extLst>
            <a:ext uri="{FF2B5EF4-FFF2-40B4-BE49-F238E27FC236}">
              <a16:creationId xmlns:a16="http://schemas.microsoft.com/office/drawing/2014/main" id="{00000000-0008-0000-1E00-000001900000}"/>
            </a:ext>
          </a:extLst>
        </xdr:cNvPr>
        <xdr:cNvSpPr txBox="1">
          <a:spLocks noChangeArrowheads="1"/>
        </xdr:cNvSpPr>
      </xdr:nvSpPr>
      <xdr:spPr bwMode="auto">
        <a:xfrm>
          <a:off x="161925" y="464820"/>
          <a:ext cx="2234565" cy="529707"/>
        </a:xfrm>
        <a:prstGeom prst="rect">
          <a:avLst/>
        </a:prstGeom>
        <a:noFill/>
        <a:ln w="9525">
          <a:noFill/>
          <a:miter lim="800000"/>
          <a:headEnd/>
          <a:tailEnd/>
        </a:ln>
      </xdr:spPr>
      <xdr:txBody>
        <a:bodyPr vertOverflow="clip" wrap="square" lIns="73152" tIns="82296" rIns="0" bIns="0" anchor="t" upright="1"/>
        <a:lstStyle/>
        <a:p>
          <a:pPr algn="l" rtl="1">
            <a:defRPr sz="1000"/>
          </a:pPr>
          <a:r>
            <a:rPr lang="en-US" sz="2400" b="1" i="1" strike="noStrike">
              <a:solidFill>
                <a:srgbClr val="FF0000"/>
              </a:solidFill>
              <a:latin typeface="Arial Black"/>
            </a:rPr>
            <a:t>DHL Express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600075</xdr:colOff>
      <xdr:row>27</xdr:row>
      <xdr:rowOff>47625</xdr:rowOff>
    </xdr:from>
    <xdr:to>
      <xdr:col>0</xdr:col>
      <xdr:colOff>247650</xdr:colOff>
      <xdr:row>28</xdr:row>
      <xdr:rowOff>0</xdr:rowOff>
    </xdr:to>
    <xdr:sp macro="" textlink="">
      <xdr:nvSpPr>
        <xdr:cNvPr id="2" name="Rectangle 1" hidden="1">
          <a:extLst>
            <a:ext uri="{FF2B5EF4-FFF2-40B4-BE49-F238E27FC236}">
              <a16:creationId xmlns:a16="http://schemas.microsoft.com/office/drawing/2014/main" id="{00000000-0008-0000-0100-000002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 name="Rectangle 3" hidden="1">
          <a:extLst>
            <a:ext uri="{FF2B5EF4-FFF2-40B4-BE49-F238E27FC236}">
              <a16:creationId xmlns:a16="http://schemas.microsoft.com/office/drawing/2014/main" id="{00000000-0008-0000-0100-000004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 name="Rectangle 4" hidden="1">
          <a:extLst>
            <a:ext uri="{FF2B5EF4-FFF2-40B4-BE49-F238E27FC236}">
              <a16:creationId xmlns:a16="http://schemas.microsoft.com/office/drawing/2014/main" id="{00000000-0008-0000-0100-000005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6" name="Rectangle 5" hidden="1">
          <a:extLst>
            <a:ext uri="{FF2B5EF4-FFF2-40B4-BE49-F238E27FC236}">
              <a16:creationId xmlns:a16="http://schemas.microsoft.com/office/drawing/2014/main" id="{00000000-0008-0000-0100-000006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38100</xdr:rowOff>
    </xdr:from>
    <xdr:to>
      <xdr:col>0</xdr:col>
      <xdr:colOff>247650</xdr:colOff>
      <xdr:row>27</xdr:row>
      <xdr:rowOff>209550</xdr:rowOff>
    </xdr:to>
    <xdr:sp macro="" textlink="">
      <xdr:nvSpPr>
        <xdr:cNvPr id="7" name="Rectangle 6" hidden="1">
          <a:extLst>
            <a:ext uri="{FF2B5EF4-FFF2-40B4-BE49-F238E27FC236}">
              <a16:creationId xmlns:a16="http://schemas.microsoft.com/office/drawing/2014/main" id="{00000000-0008-0000-0100-000007000000}"/>
            </a:ext>
          </a:extLst>
        </xdr:cNvPr>
        <xdr:cNvSpPr>
          <a:spLocks noChangeArrowheads="1"/>
        </xdr:cNvSpPr>
      </xdr:nvSpPr>
      <xdr:spPr bwMode="auto">
        <a:xfrm>
          <a:off x="600075" y="2305050"/>
          <a:ext cx="25717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8" name="Rectangle 7" hidden="1">
          <a:extLst>
            <a:ext uri="{FF2B5EF4-FFF2-40B4-BE49-F238E27FC236}">
              <a16:creationId xmlns:a16="http://schemas.microsoft.com/office/drawing/2014/main" id="{00000000-0008-0000-0100-000008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9" name="Rectangle 8" hidden="1">
          <a:extLst>
            <a:ext uri="{FF2B5EF4-FFF2-40B4-BE49-F238E27FC236}">
              <a16:creationId xmlns:a16="http://schemas.microsoft.com/office/drawing/2014/main" id="{00000000-0008-0000-0100-000009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10" name="Rectangle 9" hidden="1">
          <a:extLst>
            <a:ext uri="{FF2B5EF4-FFF2-40B4-BE49-F238E27FC236}">
              <a16:creationId xmlns:a16="http://schemas.microsoft.com/office/drawing/2014/main" id="{00000000-0008-0000-0100-00000A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11" name="Rectangle 10" hidden="1">
          <a:extLst>
            <a:ext uri="{FF2B5EF4-FFF2-40B4-BE49-F238E27FC236}">
              <a16:creationId xmlns:a16="http://schemas.microsoft.com/office/drawing/2014/main" id="{00000000-0008-0000-0100-00000B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12" name="Rectangle 11" hidden="1">
          <a:extLst>
            <a:ext uri="{FF2B5EF4-FFF2-40B4-BE49-F238E27FC236}">
              <a16:creationId xmlns:a16="http://schemas.microsoft.com/office/drawing/2014/main" id="{00000000-0008-0000-0100-00000C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13" name="Rectangle 12" hidden="1">
          <a:extLst>
            <a:ext uri="{FF2B5EF4-FFF2-40B4-BE49-F238E27FC236}">
              <a16:creationId xmlns:a16="http://schemas.microsoft.com/office/drawing/2014/main" id="{00000000-0008-0000-0100-00000D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14" name="Rectangle 13" hidden="1">
          <a:extLst>
            <a:ext uri="{FF2B5EF4-FFF2-40B4-BE49-F238E27FC236}">
              <a16:creationId xmlns:a16="http://schemas.microsoft.com/office/drawing/2014/main" id="{00000000-0008-0000-0100-00000E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15" name="Rectangle 14" hidden="1">
          <a:extLst>
            <a:ext uri="{FF2B5EF4-FFF2-40B4-BE49-F238E27FC236}">
              <a16:creationId xmlns:a16="http://schemas.microsoft.com/office/drawing/2014/main" id="{00000000-0008-0000-0100-00000F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16" name="Rectangle 15" hidden="1">
          <a:extLst>
            <a:ext uri="{FF2B5EF4-FFF2-40B4-BE49-F238E27FC236}">
              <a16:creationId xmlns:a16="http://schemas.microsoft.com/office/drawing/2014/main" id="{00000000-0008-0000-0100-000010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17" name="Rectangle 16" hidden="1">
          <a:extLst>
            <a:ext uri="{FF2B5EF4-FFF2-40B4-BE49-F238E27FC236}">
              <a16:creationId xmlns:a16="http://schemas.microsoft.com/office/drawing/2014/main" id="{00000000-0008-0000-0100-000011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18" name="Rectangle 17" hidden="1">
          <a:extLst>
            <a:ext uri="{FF2B5EF4-FFF2-40B4-BE49-F238E27FC236}">
              <a16:creationId xmlns:a16="http://schemas.microsoft.com/office/drawing/2014/main" id="{00000000-0008-0000-0100-000012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19" name="Rectangle 18" hidden="1">
          <a:extLst>
            <a:ext uri="{FF2B5EF4-FFF2-40B4-BE49-F238E27FC236}">
              <a16:creationId xmlns:a16="http://schemas.microsoft.com/office/drawing/2014/main" id="{00000000-0008-0000-0100-000013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20" name="Rectangle 19" hidden="1">
          <a:extLst>
            <a:ext uri="{FF2B5EF4-FFF2-40B4-BE49-F238E27FC236}">
              <a16:creationId xmlns:a16="http://schemas.microsoft.com/office/drawing/2014/main" id="{00000000-0008-0000-0100-000014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21" name="Rectangle 20" hidden="1">
          <a:extLst>
            <a:ext uri="{FF2B5EF4-FFF2-40B4-BE49-F238E27FC236}">
              <a16:creationId xmlns:a16="http://schemas.microsoft.com/office/drawing/2014/main" id="{00000000-0008-0000-0100-000015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22" name="Rectangle 21" hidden="1">
          <a:extLst>
            <a:ext uri="{FF2B5EF4-FFF2-40B4-BE49-F238E27FC236}">
              <a16:creationId xmlns:a16="http://schemas.microsoft.com/office/drawing/2014/main" id="{00000000-0008-0000-0100-000016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38100</xdr:rowOff>
    </xdr:from>
    <xdr:to>
      <xdr:col>0</xdr:col>
      <xdr:colOff>247650</xdr:colOff>
      <xdr:row>27</xdr:row>
      <xdr:rowOff>209550</xdr:rowOff>
    </xdr:to>
    <xdr:sp macro="" textlink="">
      <xdr:nvSpPr>
        <xdr:cNvPr id="23" name="Rectangle 22" hidden="1">
          <a:extLst>
            <a:ext uri="{FF2B5EF4-FFF2-40B4-BE49-F238E27FC236}">
              <a16:creationId xmlns:a16="http://schemas.microsoft.com/office/drawing/2014/main" id="{00000000-0008-0000-0100-000017000000}"/>
            </a:ext>
          </a:extLst>
        </xdr:cNvPr>
        <xdr:cNvSpPr>
          <a:spLocks noChangeArrowheads="1"/>
        </xdr:cNvSpPr>
      </xdr:nvSpPr>
      <xdr:spPr bwMode="auto">
        <a:xfrm>
          <a:off x="600075" y="2305050"/>
          <a:ext cx="25717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24" name="Rectangle 23" hidden="1">
          <a:extLst>
            <a:ext uri="{FF2B5EF4-FFF2-40B4-BE49-F238E27FC236}">
              <a16:creationId xmlns:a16="http://schemas.microsoft.com/office/drawing/2014/main" id="{00000000-0008-0000-0100-000018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25" name="Rectangle 24" hidden="1">
          <a:extLst>
            <a:ext uri="{FF2B5EF4-FFF2-40B4-BE49-F238E27FC236}">
              <a16:creationId xmlns:a16="http://schemas.microsoft.com/office/drawing/2014/main" id="{00000000-0008-0000-0100-000019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26" name="Rectangle 25" hidden="1">
          <a:extLst>
            <a:ext uri="{FF2B5EF4-FFF2-40B4-BE49-F238E27FC236}">
              <a16:creationId xmlns:a16="http://schemas.microsoft.com/office/drawing/2014/main" id="{00000000-0008-0000-0100-00001A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27" name="Rectangle 26" hidden="1">
          <a:extLst>
            <a:ext uri="{FF2B5EF4-FFF2-40B4-BE49-F238E27FC236}">
              <a16:creationId xmlns:a16="http://schemas.microsoft.com/office/drawing/2014/main" id="{00000000-0008-0000-0100-00001B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28" name="Rectangle 27" hidden="1">
          <a:extLst>
            <a:ext uri="{FF2B5EF4-FFF2-40B4-BE49-F238E27FC236}">
              <a16:creationId xmlns:a16="http://schemas.microsoft.com/office/drawing/2014/main" id="{00000000-0008-0000-0100-00001C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27</xdr:row>
      <xdr:rowOff>47625</xdr:rowOff>
    </xdr:from>
    <xdr:to>
      <xdr:col>0</xdr:col>
      <xdr:colOff>247650</xdr:colOff>
      <xdr:row>28</xdr:row>
      <xdr:rowOff>0</xdr:rowOff>
    </xdr:to>
    <xdr:sp macro="" textlink="">
      <xdr:nvSpPr>
        <xdr:cNvPr id="29" name="Rectangle 28" hidden="1">
          <a:extLst>
            <a:ext uri="{FF2B5EF4-FFF2-40B4-BE49-F238E27FC236}">
              <a16:creationId xmlns:a16="http://schemas.microsoft.com/office/drawing/2014/main" id="{00000000-0008-0000-0100-00001D000000}"/>
            </a:ext>
          </a:extLst>
        </xdr:cNvPr>
        <xdr:cNvSpPr>
          <a:spLocks noChangeArrowheads="1"/>
        </xdr:cNvSpPr>
      </xdr:nvSpPr>
      <xdr:spPr bwMode="auto">
        <a:xfrm>
          <a:off x="600075" y="2314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0" name="Rectangle 29" hidden="1">
          <a:extLst>
            <a:ext uri="{FF2B5EF4-FFF2-40B4-BE49-F238E27FC236}">
              <a16:creationId xmlns:a16="http://schemas.microsoft.com/office/drawing/2014/main" id="{00000000-0008-0000-0100-00001E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31" name="Rectangle 30" hidden="1">
          <a:extLst>
            <a:ext uri="{FF2B5EF4-FFF2-40B4-BE49-F238E27FC236}">
              <a16:creationId xmlns:a16="http://schemas.microsoft.com/office/drawing/2014/main" id="{00000000-0008-0000-0100-00001F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32" name="Rectangle 31" hidden="1">
          <a:extLst>
            <a:ext uri="{FF2B5EF4-FFF2-40B4-BE49-F238E27FC236}">
              <a16:creationId xmlns:a16="http://schemas.microsoft.com/office/drawing/2014/main" id="{00000000-0008-0000-0100-000020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0</xdr:rowOff>
    </xdr:from>
    <xdr:to>
      <xdr:col>0</xdr:col>
      <xdr:colOff>247650</xdr:colOff>
      <xdr:row>27</xdr:row>
      <xdr:rowOff>180975</xdr:rowOff>
    </xdr:to>
    <xdr:sp macro="" textlink="">
      <xdr:nvSpPr>
        <xdr:cNvPr id="33" name="Rectangle 32" hidden="1">
          <a:extLst>
            <a:ext uri="{FF2B5EF4-FFF2-40B4-BE49-F238E27FC236}">
              <a16:creationId xmlns:a16="http://schemas.microsoft.com/office/drawing/2014/main" id="{00000000-0008-0000-0100-000021000000}"/>
            </a:ext>
          </a:extLst>
        </xdr:cNvPr>
        <xdr:cNvSpPr>
          <a:spLocks noChangeArrowheads="1"/>
        </xdr:cNvSpPr>
      </xdr:nvSpPr>
      <xdr:spPr bwMode="auto">
        <a:xfrm>
          <a:off x="619125" y="2266950"/>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4" name="Rectangle 33" hidden="1">
          <a:extLst>
            <a:ext uri="{FF2B5EF4-FFF2-40B4-BE49-F238E27FC236}">
              <a16:creationId xmlns:a16="http://schemas.microsoft.com/office/drawing/2014/main" id="{00000000-0008-0000-0100-000022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5" name="Rectangle 34" hidden="1">
          <a:extLst>
            <a:ext uri="{FF2B5EF4-FFF2-40B4-BE49-F238E27FC236}">
              <a16:creationId xmlns:a16="http://schemas.microsoft.com/office/drawing/2014/main" id="{00000000-0008-0000-0100-000023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6" name="Rectangle 35" hidden="1">
          <a:extLst>
            <a:ext uri="{FF2B5EF4-FFF2-40B4-BE49-F238E27FC236}">
              <a16:creationId xmlns:a16="http://schemas.microsoft.com/office/drawing/2014/main" id="{00000000-0008-0000-0100-000024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7" name="Rectangle 36" hidden="1">
          <a:extLst>
            <a:ext uri="{FF2B5EF4-FFF2-40B4-BE49-F238E27FC236}">
              <a16:creationId xmlns:a16="http://schemas.microsoft.com/office/drawing/2014/main" id="{00000000-0008-0000-0100-000025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8" name="Rectangle 37" hidden="1">
          <a:extLst>
            <a:ext uri="{FF2B5EF4-FFF2-40B4-BE49-F238E27FC236}">
              <a16:creationId xmlns:a16="http://schemas.microsoft.com/office/drawing/2014/main" id="{00000000-0008-0000-0100-000026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39" name="Rectangle 38" hidden="1">
          <a:extLst>
            <a:ext uri="{FF2B5EF4-FFF2-40B4-BE49-F238E27FC236}">
              <a16:creationId xmlns:a16="http://schemas.microsoft.com/office/drawing/2014/main" id="{00000000-0008-0000-0100-000027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0" name="Rectangle 39" hidden="1">
          <a:extLst>
            <a:ext uri="{FF2B5EF4-FFF2-40B4-BE49-F238E27FC236}">
              <a16:creationId xmlns:a16="http://schemas.microsoft.com/office/drawing/2014/main" id="{00000000-0008-0000-0100-000028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1" name="Rectangle 40" hidden="1">
          <a:extLst>
            <a:ext uri="{FF2B5EF4-FFF2-40B4-BE49-F238E27FC236}">
              <a16:creationId xmlns:a16="http://schemas.microsoft.com/office/drawing/2014/main" id="{00000000-0008-0000-0100-000029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2" name="Rectangle 41" hidden="1">
          <a:extLst>
            <a:ext uri="{FF2B5EF4-FFF2-40B4-BE49-F238E27FC236}">
              <a16:creationId xmlns:a16="http://schemas.microsoft.com/office/drawing/2014/main" id="{00000000-0008-0000-0100-00002A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3" name="Rectangle 42" hidden="1">
          <a:extLst>
            <a:ext uri="{FF2B5EF4-FFF2-40B4-BE49-F238E27FC236}">
              <a16:creationId xmlns:a16="http://schemas.microsoft.com/office/drawing/2014/main" id="{00000000-0008-0000-0100-00002B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4" name="Rectangle 43" hidden="1">
          <a:extLst>
            <a:ext uri="{FF2B5EF4-FFF2-40B4-BE49-F238E27FC236}">
              <a16:creationId xmlns:a16="http://schemas.microsoft.com/office/drawing/2014/main" id="{00000000-0008-0000-0100-00002C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5" name="Rectangle 44" hidden="1">
          <a:extLst>
            <a:ext uri="{FF2B5EF4-FFF2-40B4-BE49-F238E27FC236}">
              <a16:creationId xmlns:a16="http://schemas.microsoft.com/office/drawing/2014/main" id="{00000000-0008-0000-0100-00002D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6" name="Rectangle 45" hidden="1">
          <a:extLst>
            <a:ext uri="{FF2B5EF4-FFF2-40B4-BE49-F238E27FC236}">
              <a16:creationId xmlns:a16="http://schemas.microsoft.com/office/drawing/2014/main" id="{00000000-0008-0000-0100-00002E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7" name="Rectangle 46" hidden="1">
          <a:extLst>
            <a:ext uri="{FF2B5EF4-FFF2-40B4-BE49-F238E27FC236}">
              <a16:creationId xmlns:a16="http://schemas.microsoft.com/office/drawing/2014/main" id="{00000000-0008-0000-0100-00002F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8" name="Rectangle 47" hidden="1">
          <a:extLst>
            <a:ext uri="{FF2B5EF4-FFF2-40B4-BE49-F238E27FC236}">
              <a16:creationId xmlns:a16="http://schemas.microsoft.com/office/drawing/2014/main" id="{00000000-0008-0000-0100-000030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49" name="Rectangle 48" hidden="1">
          <a:extLst>
            <a:ext uri="{FF2B5EF4-FFF2-40B4-BE49-F238E27FC236}">
              <a16:creationId xmlns:a16="http://schemas.microsoft.com/office/drawing/2014/main" id="{00000000-0008-0000-0100-000031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0" name="Rectangle 49" hidden="1">
          <a:extLst>
            <a:ext uri="{FF2B5EF4-FFF2-40B4-BE49-F238E27FC236}">
              <a16:creationId xmlns:a16="http://schemas.microsoft.com/office/drawing/2014/main" id="{00000000-0008-0000-0100-000032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1" name="Rectangle 50" hidden="1">
          <a:extLst>
            <a:ext uri="{FF2B5EF4-FFF2-40B4-BE49-F238E27FC236}">
              <a16:creationId xmlns:a16="http://schemas.microsoft.com/office/drawing/2014/main" id="{00000000-0008-0000-0100-000033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2" name="Rectangle 51" hidden="1">
          <a:extLst>
            <a:ext uri="{FF2B5EF4-FFF2-40B4-BE49-F238E27FC236}">
              <a16:creationId xmlns:a16="http://schemas.microsoft.com/office/drawing/2014/main" id="{00000000-0008-0000-0100-000034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3" name="Rectangle 52" hidden="1">
          <a:extLst>
            <a:ext uri="{FF2B5EF4-FFF2-40B4-BE49-F238E27FC236}">
              <a16:creationId xmlns:a16="http://schemas.microsoft.com/office/drawing/2014/main" id="{00000000-0008-0000-0100-000035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4" name="Rectangle 53" hidden="1">
          <a:extLst>
            <a:ext uri="{FF2B5EF4-FFF2-40B4-BE49-F238E27FC236}">
              <a16:creationId xmlns:a16="http://schemas.microsoft.com/office/drawing/2014/main" id="{00000000-0008-0000-0100-000036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5" name="Rectangle 54" hidden="1">
          <a:extLst>
            <a:ext uri="{FF2B5EF4-FFF2-40B4-BE49-F238E27FC236}">
              <a16:creationId xmlns:a16="http://schemas.microsoft.com/office/drawing/2014/main" id="{00000000-0008-0000-0100-000037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6" name="Rectangle 55" hidden="1">
          <a:extLst>
            <a:ext uri="{FF2B5EF4-FFF2-40B4-BE49-F238E27FC236}">
              <a16:creationId xmlns:a16="http://schemas.microsoft.com/office/drawing/2014/main" id="{00000000-0008-0000-0100-000038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7" name="Rectangle 56" hidden="1">
          <a:extLst>
            <a:ext uri="{FF2B5EF4-FFF2-40B4-BE49-F238E27FC236}">
              <a16:creationId xmlns:a16="http://schemas.microsoft.com/office/drawing/2014/main" id="{00000000-0008-0000-0100-000039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8" name="Rectangle 57" hidden="1">
          <a:extLst>
            <a:ext uri="{FF2B5EF4-FFF2-40B4-BE49-F238E27FC236}">
              <a16:creationId xmlns:a16="http://schemas.microsoft.com/office/drawing/2014/main" id="{00000000-0008-0000-0100-00003A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59" name="Rectangle 58" hidden="1">
          <a:extLst>
            <a:ext uri="{FF2B5EF4-FFF2-40B4-BE49-F238E27FC236}">
              <a16:creationId xmlns:a16="http://schemas.microsoft.com/office/drawing/2014/main" id="{00000000-0008-0000-0100-00003B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60" name="Rectangle 59" hidden="1">
          <a:extLst>
            <a:ext uri="{FF2B5EF4-FFF2-40B4-BE49-F238E27FC236}">
              <a16:creationId xmlns:a16="http://schemas.microsoft.com/office/drawing/2014/main" id="{00000000-0008-0000-0100-00003C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27</xdr:row>
      <xdr:rowOff>47625</xdr:rowOff>
    </xdr:from>
    <xdr:to>
      <xdr:col>0</xdr:col>
      <xdr:colOff>247650</xdr:colOff>
      <xdr:row>28</xdr:row>
      <xdr:rowOff>9525</xdr:rowOff>
    </xdr:to>
    <xdr:sp macro="" textlink="">
      <xdr:nvSpPr>
        <xdr:cNvPr id="61" name="Rectangle 60" hidden="1">
          <a:extLst>
            <a:ext uri="{FF2B5EF4-FFF2-40B4-BE49-F238E27FC236}">
              <a16:creationId xmlns:a16="http://schemas.microsoft.com/office/drawing/2014/main" id="{00000000-0008-0000-0100-00003D000000}"/>
            </a:ext>
          </a:extLst>
        </xdr:cNvPr>
        <xdr:cNvSpPr>
          <a:spLocks noChangeArrowheads="1"/>
        </xdr:cNvSpPr>
      </xdr:nvSpPr>
      <xdr:spPr bwMode="auto">
        <a:xfrm>
          <a:off x="619125" y="2314575"/>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62" name="Rectangle 61" hidden="1">
          <a:extLst>
            <a:ext uri="{FF2B5EF4-FFF2-40B4-BE49-F238E27FC236}">
              <a16:creationId xmlns:a16="http://schemas.microsoft.com/office/drawing/2014/main" id="{00000000-0008-0000-0100-00003E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63" name="Rectangle 62" hidden="1">
          <a:extLst>
            <a:ext uri="{FF2B5EF4-FFF2-40B4-BE49-F238E27FC236}">
              <a16:creationId xmlns:a16="http://schemas.microsoft.com/office/drawing/2014/main" id="{00000000-0008-0000-0100-00003F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64" name="Rectangle 63" hidden="1">
          <a:extLst>
            <a:ext uri="{FF2B5EF4-FFF2-40B4-BE49-F238E27FC236}">
              <a16:creationId xmlns:a16="http://schemas.microsoft.com/office/drawing/2014/main" id="{00000000-0008-0000-0100-000040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65" name="Rectangle 64" hidden="1">
          <a:extLst>
            <a:ext uri="{FF2B5EF4-FFF2-40B4-BE49-F238E27FC236}">
              <a16:creationId xmlns:a16="http://schemas.microsoft.com/office/drawing/2014/main" id="{00000000-0008-0000-0100-000041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66" name="Rectangle 65" hidden="1">
          <a:extLst>
            <a:ext uri="{FF2B5EF4-FFF2-40B4-BE49-F238E27FC236}">
              <a16:creationId xmlns:a16="http://schemas.microsoft.com/office/drawing/2014/main" id="{00000000-0008-0000-0100-000042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47625</xdr:rowOff>
    </xdr:from>
    <xdr:to>
      <xdr:col>0</xdr:col>
      <xdr:colOff>247650</xdr:colOff>
      <xdr:row>29</xdr:row>
      <xdr:rowOff>0</xdr:rowOff>
    </xdr:to>
    <xdr:sp macro="" textlink="">
      <xdr:nvSpPr>
        <xdr:cNvPr id="67" name="Rectangle 66" hidden="1">
          <a:extLst>
            <a:ext uri="{FF2B5EF4-FFF2-40B4-BE49-F238E27FC236}">
              <a16:creationId xmlns:a16="http://schemas.microsoft.com/office/drawing/2014/main" id="{00000000-0008-0000-0100-000043000000}"/>
            </a:ext>
          </a:extLst>
        </xdr:cNvPr>
        <xdr:cNvSpPr>
          <a:spLocks noChangeArrowheads="1"/>
        </xdr:cNvSpPr>
      </xdr:nvSpPr>
      <xdr:spPr bwMode="auto">
        <a:xfrm>
          <a:off x="600075" y="25050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68" name="Rectangle 67" hidden="1">
          <a:extLst>
            <a:ext uri="{FF2B5EF4-FFF2-40B4-BE49-F238E27FC236}">
              <a16:creationId xmlns:a16="http://schemas.microsoft.com/office/drawing/2014/main" id="{00000000-0008-0000-0100-000044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69" name="Rectangle 68" hidden="1">
          <a:extLst>
            <a:ext uri="{FF2B5EF4-FFF2-40B4-BE49-F238E27FC236}">
              <a16:creationId xmlns:a16="http://schemas.microsoft.com/office/drawing/2014/main" id="{00000000-0008-0000-0100-000045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70" name="Rectangle 69" hidden="1">
          <a:extLst>
            <a:ext uri="{FF2B5EF4-FFF2-40B4-BE49-F238E27FC236}">
              <a16:creationId xmlns:a16="http://schemas.microsoft.com/office/drawing/2014/main" id="{00000000-0008-0000-0100-000046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71" name="Rectangle 70" hidden="1">
          <a:extLst>
            <a:ext uri="{FF2B5EF4-FFF2-40B4-BE49-F238E27FC236}">
              <a16:creationId xmlns:a16="http://schemas.microsoft.com/office/drawing/2014/main" id="{00000000-0008-0000-0100-000047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72" name="Rectangle 71" hidden="1">
          <a:extLst>
            <a:ext uri="{FF2B5EF4-FFF2-40B4-BE49-F238E27FC236}">
              <a16:creationId xmlns:a16="http://schemas.microsoft.com/office/drawing/2014/main" id="{00000000-0008-0000-0100-000048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73" name="Rectangle 72" hidden="1">
          <a:extLst>
            <a:ext uri="{FF2B5EF4-FFF2-40B4-BE49-F238E27FC236}">
              <a16:creationId xmlns:a16="http://schemas.microsoft.com/office/drawing/2014/main" id="{00000000-0008-0000-0100-000049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74" name="Rectangle 73" hidden="1">
          <a:extLst>
            <a:ext uri="{FF2B5EF4-FFF2-40B4-BE49-F238E27FC236}">
              <a16:creationId xmlns:a16="http://schemas.microsoft.com/office/drawing/2014/main" id="{00000000-0008-0000-0100-00004A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75" name="Rectangle 74" hidden="1">
          <a:extLst>
            <a:ext uri="{FF2B5EF4-FFF2-40B4-BE49-F238E27FC236}">
              <a16:creationId xmlns:a16="http://schemas.microsoft.com/office/drawing/2014/main" id="{00000000-0008-0000-0100-00004B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76" name="Rectangle 75" hidden="1">
          <a:extLst>
            <a:ext uri="{FF2B5EF4-FFF2-40B4-BE49-F238E27FC236}">
              <a16:creationId xmlns:a16="http://schemas.microsoft.com/office/drawing/2014/main" id="{00000000-0008-0000-0100-00004C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77" name="Rectangle 76" hidden="1">
          <a:extLst>
            <a:ext uri="{FF2B5EF4-FFF2-40B4-BE49-F238E27FC236}">
              <a16:creationId xmlns:a16="http://schemas.microsoft.com/office/drawing/2014/main" id="{00000000-0008-0000-0100-00004D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78" name="Rectangle 77" hidden="1">
          <a:extLst>
            <a:ext uri="{FF2B5EF4-FFF2-40B4-BE49-F238E27FC236}">
              <a16:creationId xmlns:a16="http://schemas.microsoft.com/office/drawing/2014/main" id="{00000000-0008-0000-0100-00004E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79" name="Rectangle 78" hidden="1">
          <a:extLst>
            <a:ext uri="{FF2B5EF4-FFF2-40B4-BE49-F238E27FC236}">
              <a16:creationId xmlns:a16="http://schemas.microsoft.com/office/drawing/2014/main" id="{00000000-0008-0000-0100-00004F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80" name="Rectangle 79" hidden="1">
          <a:extLst>
            <a:ext uri="{FF2B5EF4-FFF2-40B4-BE49-F238E27FC236}">
              <a16:creationId xmlns:a16="http://schemas.microsoft.com/office/drawing/2014/main" id="{00000000-0008-0000-0100-000050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81" name="Rectangle 80" hidden="1">
          <a:extLst>
            <a:ext uri="{FF2B5EF4-FFF2-40B4-BE49-F238E27FC236}">
              <a16:creationId xmlns:a16="http://schemas.microsoft.com/office/drawing/2014/main" id="{00000000-0008-0000-0100-000051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82" name="Rectangle 81" hidden="1">
          <a:extLst>
            <a:ext uri="{FF2B5EF4-FFF2-40B4-BE49-F238E27FC236}">
              <a16:creationId xmlns:a16="http://schemas.microsoft.com/office/drawing/2014/main" id="{00000000-0008-0000-0100-000052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47625</xdr:rowOff>
    </xdr:from>
    <xdr:to>
      <xdr:col>0</xdr:col>
      <xdr:colOff>247650</xdr:colOff>
      <xdr:row>29</xdr:row>
      <xdr:rowOff>0</xdr:rowOff>
    </xdr:to>
    <xdr:sp macro="" textlink="">
      <xdr:nvSpPr>
        <xdr:cNvPr id="83" name="Rectangle 82" hidden="1">
          <a:extLst>
            <a:ext uri="{FF2B5EF4-FFF2-40B4-BE49-F238E27FC236}">
              <a16:creationId xmlns:a16="http://schemas.microsoft.com/office/drawing/2014/main" id="{00000000-0008-0000-0100-000053000000}"/>
            </a:ext>
          </a:extLst>
        </xdr:cNvPr>
        <xdr:cNvSpPr>
          <a:spLocks noChangeArrowheads="1"/>
        </xdr:cNvSpPr>
      </xdr:nvSpPr>
      <xdr:spPr bwMode="auto">
        <a:xfrm>
          <a:off x="600075" y="25050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84" name="Rectangle 83" hidden="1">
          <a:extLst>
            <a:ext uri="{FF2B5EF4-FFF2-40B4-BE49-F238E27FC236}">
              <a16:creationId xmlns:a16="http://schemas.microsoft.com/office/drawing/2014/main" id="{00000000-0008-0000-0100-000054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85" name="Rectangle 84" hidden="1">
          <a:extLst>
            <a:ext uri="{FF2B5EF4-FFF2-40B4-BE49-F238E27FC236}">
              <a16:creationId xmlns:a16="http://schemas.microsoft.com/office/drawing/2014/main" id="{00000000-0008-0000-0100-000055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86" name="Rectangle 85" hidden="1">
          <a:extLst>
            <a:ext uri="{FF2B5EF4-FFF2-40B4-BE49-F238E27FC236}">
              <a16:creationId xmlns:a16="http://schemas.microsoft.com/office/drawing/2014/main" id="{00000000-0008-0000-0100-000056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87" name="Rectangle 86" hidden="1">
          <a:extLst>
            <a:ext uri="{FF2B5EF4-FFF2-40B4-BE49-F238E27FC236}">
              <a16:creationId xmlns:a16="http://schemas.microsoft.com/office/drawing/2014/main" id="{00000000-0008-0000-0100-000057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88" name="Rectangle 87" hidden="1">
          <a:extLst>
            <a:ext uri="{FF2B5EF4-FFF2-40B4-BE49-F238E27FC236}">
              <a16:creationId xmlns:a16="http://schemas.microsoft.com/office/drawing/2014/main" id="{00000000-0008-0000-0100-000058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28</xdr:row>
      <xdr:rowOff>57150</xdr:rowOff>
    </xdr:from>
    <xdr:to>
      <xdr:col>0</xdr:col>
      <xdr:colOff>247650</xdr:colOff>
      <xdr:row>29</xdr:row>
      <xdr:rowOff>9525</xdr:rowOff>
    </xdr:to>
    <xdr:sp macro="" textlink="">
      <xdr:nvSpPr>
        <xdr:cNvPr id="89" name="Rectangle 88" hidden="1">
          <a:extLst>
            <a:ext uri="{FF2B5EF4-FFF2-40B4-BE49-F238E27FC236}">
              <a16:creationId xmlns:a16="http://schemas.microsoft.com/office/drawing/2014/main" id="{00000000-0008-0000-0100-000059000000}"/>
            </a:ext>
          </a:extLst>
        </xdr:cNvPr>
        <xdr:cNvSpPr>
          <a:spLocks noChangeArrowheads="1"/>
        </xdr:cNvSpPr>
      </xdr:nvSpPr>
      <xdr:spPr bwMode="auto">
        <a:xfrm>
          <a:off x="600075" y="2514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0" name="Rectangle 89" hidden="1">
          <a:extLst>
            <a:ext uri="{FF2B5EF4-FFF2-40B4-BE49-F238E27FC236}">
              <a16:creationId xmlns:a16="http://schemas.microsoft.com/office/drawing/2014/main" id="{00000000-0008-0000-0100-00005A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91" name="Rectangle 90" hidden="1">
          <a:extLst>
            <a:ext uri="{FF2B5EF4-FFF2-40B4-BE49-F238E27FC236}">
              <a16:creationId xmlns:a16="http://schemas.microsoft.com/office/drawing/2014/main" id="{00000000-0008-0000-0100-00005B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92" name="Rectangle 91" hidden="1">
          <a:extLst>
            <a:ext uri="{FF2B5EF4-FFF2-40B4-BE49-F238E27FC236}">
              <a16:creationId xmlns:a16="http://schemas.microsoft.com/office/drawing/2014/main" id="{00000000-0008-0000-0100-00005C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9525</xdr:rowOff>
    </xdr:from>
    <xdr:to>
      <xdr:col>0</xdr:col>
      <xdr:colOff>247650</xdr:colOff>
      <xdr:row>28</xdr:row>
      <xdr:rowOff>190500</xdr:rowOff>
    </xdr:to>
    <xdr:sp macro="" textlink="">
      <xdr:nvSpPr>
        <xdr:cNvPr id="93" name="Rectangle 92" hidden="1">
          <a:extLst>
            <a:ext uri="{FF2B5EF4-FFF2-40B4-BE49-F238E27FC236}">
              <a16:creationId xmlns:a16="http://schemas.microsoft.com/office/drawing/2014/main" id="{00000000-0008-0000-0100-00005D000000}"/>
            </a:ext>
          </a:extLst>
        </xdr:cNvPr>
        <xdr:cNvSpPr>
          <a:spLocks noChangeArrowheads="1"/>
        </xdr:cNvSpPr>
      </xdr:nvSpPr>
      <xdr:spPr bwMode="auto">
        <a:xfrm>
          <a:off x="619125" y="2466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4" name="Rectangle 93" hidden="1">
          <a:extLst>
            <a:ext uri="{FF2B5EF4-FFF2-40B4-BE49-F238E27FC236}">
              <a16:creationId xmlns:a16="http://schemas.microsoft.com/office/drawing/2014/main" id="{00000000-0008-0000-0100-00005E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5" name="Rectangle 94" hidden="1">
          <a:extLst>
            <a:ext uri="{FF2B5EF4-FFF2-40B4-BE49-F238E27FC236}">
              <a16:creationId xmlns:a16="http://schemas.microsoft.com/office/drawing/2014/main" id="{00000000-0008-0000-0100-00005F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6" name="Rectangle 95" hidden="1">
          <a:extLst>
            <a:ext uri="{FF2B5EF4-FFF2-40B4-BE49-F238E27FC236}">
              <a16:creationId xmlns:a16="http://schemas.microsoft.com/office/drawing/2014/main" id="{00000000-0008-0000-0100-000060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7" name="Rectangle 96" hidden="1">
          <a:extLst>
            <a:ext uri="{FF2B5EF4-FFF2-40B4-BE49-F238E27FC236}">
              <a16:creationId xmlns:a16="http://schemas.microsoft.com/office/drawing/2014/main" id="{00000000-0008-0000-0100-000061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8" name="Rectangle 97" hidden="1">
          <a:extLst>
            <a:ext uri="{FF2B5EF4-FFF2-40B4-BE49-F238E27FC236}">
              <a16:creationId xmlns:a16="http://schemas.microsoft.com/office/drawing/2014/main" id="{00000000-0008-0000-0100-000062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99" name="Rectangle 98" hidden="1">
          <a:extLst>
            <a:ext uri="{FF2B5EF4-FFF2-40B4-BE49-F238E27FC236}">
              <a16:creationId xmlns:a16="http://schemas.microsoft.com/office/drawing/2014/main" id="{00000000-0008-0000-0100-000063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0" name="Rectangle 99" hidden="1">
          <a:extLst>
            <a:ext uri="{FF2B5EF4-FFF2-40B4-BE49-F238E27FC236}">
              <a16:creationId xmlns:a16="http://schemas.microsoft.com/office/drawing/2014/main" id="{00000000-0008-0000-0100-000064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1" name="Rectangle 100" hidden="1">
          <a:extLst>
            <a:ext uri="{FF2B5EF4-FFF2-40B4-BE49-F238E27FC236}">
              <a16:creationId xmlns:a16="http://schemas.microsoft.com/office/drawing/2014/main" id="{00000000-0008-0000-0100-000065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2" name="Rectangle 101" hidden="1">
          <a:extLst>
            <a:ext uri="{FF2B5EF4-FFF2-40B4-BE49-F238E27FC236}">
              <a16:creationId xmlns:a16="http://schemas.microsoft.com/office/drawing/2014/main" id="{00000000-0008-0000-0100-000066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3" name="Rectangle 102" hidden="1">
          <a:extLst>
            <a:ext uri="{FF2B5EF4-FFF2-40B4-BE49-F238E27FC236}">
              <a16:creationId xmlns:a16="http://schemas.microsoft.com/office/drawing/2014/main" id="{00000000-0008-0000-0100-000067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4" name="Rectangle 103" hidden="1">
          <a:extLst>
            <a:ext uri="{FF2B5EF4-FFF2-40B4-BE49-F238E27FC236}">
              <a16:creationId xmlns:a16="http://schemas.microsoft.com/office/drawing/2014/main" id="{00000000-0008-0000-0100-000068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5" name="Rectangle 104" hidden="1">
          <a:extLst>
            <a:ext uri="{FF2B5EF4-FFF2-40B4-BE49-F238E27FC236}">
              <a16:creationId xmlns:a16="http://schemas.microsoft.com/office/drawing/2014/main" id="{00000000-0008-0000-0100-000069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6" name="Rectangle 105" hidden="1">
          <a:extLst>
            <a:ext uri="{FF2B5EF4-FFF2-40B4-BE49-F238E27FC236}">
              <a16:creationId xmlns:a16="http://schemas.microsoft.com/office/drawing/2014/main" id="{00000000-0008-0000-0100-00006A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7" name="Rectangle 106" hidden="1">
          <a:extLst>
            <a:ext uri="{FF2B5EF4-FFF2-40B4-BE49-F238E27FC236}">
              <a16:creationId xmlns:a16="http://schemas.microsoft.com/office/drawing/2014/main" id="{00000000-0008-0000-0100-00006B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8" name="Rectangle 107" hidden="1">
          <a:extLst>
            <a:ext uri="{FF2B5EF4-FFF2-40B4-BE49-F238E27FC236}">
              <a16:creationId xmlns:a16="http://schemas.microsoft.com/office/drawing/2014/main" id="{00000000-0008-0000-0100-00006C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09" name="Rectangle 108" hidden="1">
          <a:extLst>
            <a:ext uri="{FF2B5EF4-FFF2-40B4-BE49-F238E27FC236}">
              <a16:creationId xmlns:a16="http://schemas.microsoft.com/office/drawing/2014/main" id="{00000000-0008-0000-0100-00006D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0" name="Rectangle 109" hidden="1">
          <a:extLst>
            <a:ext uri="{FF2B5EF4-FFF2-40B4-BE49-F238E27FC236}">
              <a16:creationId xmlns:a16="http://schemas.microsoft.com/office/drawing/2014/main" id="{00000000-0008-0000-0100-00006E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1" name="Rectangle 110" hidden="1">
          <a:extLst>
            <a:ext uri="{FF2B5EF4-FFF2-40B4-BE49-F238E27FC236}">
              <a16:creationId xmlns:a16="http://schemas.microsoft.com/office/drawing/2014/main" id="{00000000-0008-0000-0100-00006F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2" name="Rectangle 111" hidden="1">
          <a:extLst>
            <a:ext uri="{FF2B5EF4-FFF2-40B4-BE49-F238E27FC236}">
              <a16:creationId xmlns:a16="http://schemas.microsoft.com/office/drawing/2014/main" id="{00000000-0008-0000-0100-000070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3" name="Rectangle 112" hidden="1">
          <a:extLst>
            <a:ext uri="{FF2B5EF4-FFF2-40B4-BE49-F238E27FC236}">
              <a16:creationId xmlns:a16="http://schemas.microsoft.com/office/drawing/2014/main" id="{00000000-0008-0000-0100-000071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4" name="Rectangle 113" hidden="1">
          <a:extLst>
            <a:ext uri="{FF2B5EF4-FFF2-40B4-BE49-F238E27FC236}">
              <a16:creationId xmlns:a16="http://schemas.microsoft.com/office/drawing/2014/main" id="{00000000-0008-0000-0100-000072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5" name="Rectangle 114" hidden="1">
          <a:extLst>
            <a:ext uri="{FF2B5EF4-FFF2-40B4-BE49-F238E27FC236}">
              <a16:creationId xmlns:a16="http://schemas.microsoft.com/office/drawing/2014/main" id="{00000000-0008-0000-0100-000073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6" name="Rectangle 115" hidden="1">
          <a:extLst>
            <a:ext uri="{FF2B5EF4-FFF2-40B4-BE49-F238E27FC236}">
              <a16:creationId xmlns:a16="http://schemas.microsoft.com/office/drawing/2014/main" id="{00000000-0008-0000-0100-000074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7" name="Rectangle 116" hidden="1">
          <a:extLst>
            <a:ext uri="{FF2B5EF4-FFF2-40B4-BE49-F238E27FC236}">
              <a16:creationId xmlns:a16="http://schemas.microsoft.com/office/drawing/2014/main" id="{00000000-0008-0000-0100-000075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8" name="Rectangle 117" hidden="1">
          <a:extLst>
            <a:ext uri="{FF2B5EF4-FFF2-40B4-BE49-F238E27FC236}">
              <a16:creationId xmlns:a16="http://schemas.microsoft.com/office/drawing/2014/main" id="{00000000-0008-0000-0100-000076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19" name="Rectangle 118" hidden="1">
          <a:extLst>
            <a:ext uri="{FF2B5EF4-FFF2-40B4-BE49-F238E27FC236}">
              <a16:creationId xmlns:a16="http://schemas.microsoft.com/office/drawing/2014/main" id="{00000000-0008-0000-0100-000077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20" name="Rectangle 119" hidden="1">
          <a:extLst>
            <a:ext uri="{FF2B5EF4-FFF2-40B4-BE49-F238E27FC236}">
              <a16:creationId xmlns:a16="http://schemas.microsoft.com/office/drawing/2014/main" id="{00000000-0008-0000-0100-000078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28</xdr:row>
      <xdr:rowOff>57150</xdr:rowOff>
    </xdr:from>
    <xdr:to>
      <xdr:col>0</xdr:col>
      <xdr:colOff>247650</xdr:colOff>
      <xdr:row>29</xdr:row>
      <xdr:rowOff>19050</xdr:rowOff>
    </xdr:to>
    <xdr:sp macro="" textlink="">
      <xdr:nvSpPr>
        <xdr:cNvPr id="121" name="Rectangle 120" hidden="1">
          <a:extLst>
            <a:ext uri="{FF2B5EF4-FFF2-40B4-BE49-F238E27FC236}">
              <a16:creationId xmlns:a16="http://schemas.microsoft.com/office/drawing/2014/main" id="{00000000-0008-0000-0100-000079000000}"/>
            </a:ext>
          </a:extLst>
        </xdr:cNvPr>
        <xdr:cNvSpPr>
          <a:spLocks noChangeArrowheads="1"/>
        </xdr:cNvSpPr>
      </xdr:nvSpPr>
      <xdr:spPr bwMode="auto">
        <a:xfrm>
          <a:off x="619125" y="2514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22" name="Rectangle 121" hidden="1">
          <a:extLst>
            <a:ext uri="{FF2B5EF4-FFF2-40B4-BE49-F238E27FC236}">
              <a16:creationId xmlns:a16="http://schemas.microsoft.com/office/drawing/2014/main" id="{00000000-0008-0000-0100-00007A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23" name="Rectangle 122" hidden="1">
          <a:extLst>
            <a:ext uri="{FF2B5EF4-FFF2-40B4-BE49-F238E27FC236}">
              <a16:creationId xmlns:a16="http://schemas.microsoft.com/office/drawing/2014/main" id="{00000000-0008-0000-0100-00007B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24" name="Rectangle 123" hidden="1">
          <a:extLst>
            <a:ext uri="{FF2B5EF4-FFF2-40B4-BE49-F238E27FC236}">
              <a16:creationId xmlns:a16="http://schemas.microsoft.com/office/drawing/2014/main" id="{00000000-0008-0000-0100-00007C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25" name="Rectangle 124" hidden="1">
          <a:extLst>
            <a:ext uri="{FF2B5EF4-FFF2-40B4-BE49-F238E27FC236}">
              <a16:creationId xmlns:a16="http://schemas.microsoft.com/office/drawing/2014/main" id="{00000000-0008-0000-0100-00007D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26" name="Rectangle 125" hidden="1">
          <a:extLst>
            <a:ext uri="{FF2B5EF4-FFF2-40B4-BE49-F238E27FC236}">
              <a16:creationId xmlns:a16="http://schemas.microsoft.com/office/drawing/2014/main" id="{00000000-0008-0000-0100-00007E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47625</xdr:rowOff>
    </xdr:from>
    <xdr:to>
      <xdr:col>0</xdr:col>
      <xdr:colOff>247650</xdr:colOff>
      <xdr:row>30</xdr:row>
      <xdr:rowOff>0</xdr:rowOff>
    </xdr:to>
    <xdr:sp macro="" textlink="">
      <xdr:nvSpPr>
        <xdr:cNvPr id="127" name="Rectangle 126" hidden="1">
          <a:extLst>
            <a:ext uri="{FF2B5EF4-FFF2-40B4-BE49-F238E27FC236}">
              <a16:creationId xmlns:a16="http://schemas.microsoft.com/office/drawing/2014/main" id="{00000000-0008-0000-0100-00007F000000}"/>
            </a:ext>
          </a:extLst>
        </xdr:cNvPr>
        <xdr:cNvSpPr>
          <a:spLocks noChangeArrowheads="1"/>
        </xdr:cNvSpPr>
      </xdr:nvSpPr>
      <xdr:spPr bwMode="auto">
        <a:xfrm>
          <a:off x="600075" y="2695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28" name="Rectangle 127" hidden="1">
          <a:extLst>
            <a:ext uri="{FF2B5EF4-FFF2-40B4-BE49-F238E27FC236}">
              <a16:creationId xmlns:a16="http://schemas.microsoft.com/office/drawing/2014/main" id="{00000000-0008-0000-0100-000080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29" name="Rectangle 128" hidden="1">
          <a:extLst>
            <a:ext uri="{FF2B5EF4-FFF2-40B4-BE49-F238E27FC236}">
              <a16:creationId xmlns:a16="http://schemas.microsoft.com/office/drawing/2014/main" id="{00000000-0008-0000-0100-000081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30" name="Rectangle 129" hidden="1">
          <a:extLst>
            <a:ext uri="{FF2B5EF4-FFF2-40B4-BE49-F238E27FC236}">
              <a16:creationId xmlns:a16="http://schemas.microsoft.com/office/drawing/2014/main" id="{00000000-0008-0000-0100-000082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31" name="Rectangle 130" hidden="1">
          <a:extLst>
            <a:ext uri="{FF2B5EF4-FFF2-40B4-BE49-F238E27FC236}">
              <a16:creationId xmlns:a16="http://schemas.microsoft.com/office/drawing/2014/main" id="{00000000-0008-0000-0100-000083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32" name="Rectangle 131" hidden="1">
          <a:extLst>
            <a:ext uri="{FF2B5EF4-FFF2-40B4-BE49-F238E27FC236}">
              <a16:creationId xmlns:a16="http://schemas.microsoft.com/office/drawing/2014/main" id="{00000000-0008-0000-0100-000084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33" name="Rectangle 132" hidden="1">
          <a:extLst>
            <a:ext uri="{FF2B5EF4-FFF2-40B4-BE49-F238E27FC236}">
              <a16:creationId xmlns:a16="http://schemas.microsoft.com/office/drawing/2014/main" id="{00000000-0008-0000-0100-000085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34" name="Rectangle 133" hidden="1">
          <a:extLst>
            <a:ext uri="{FF2B5EF4-FFF2-40B4-BE49-F238E27FC236}">
              <a16:creationId xmlns:a16="http://schemas.microsoft.com/office/drawing/2014/main" id="{00000000-0008-0000-0100-000086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35" name="Rectangle 134" hidden="1">
          <a:extLst>
            <a:ext uri="{FF2B5EF4-FFF2-40B4-BE49-F238E27FC236}">
              <a16:creationId xmlns:a16="http://schemas.microsoft.com/office/drawing/2014/main" id="{00000000-0008-0000-0100-000087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36" name="Rectangle 135" hidden="1">
          <a:extLst>
            <a:ext uri="{FF2B5EF4-FFF2-40B4-BE49-F238E27FC236}">
              <a16:creationId xmlns:a16="http://schemas.microsoft.com/office/drawing/2014/main" id="{00000000-0008-0000-0100-000088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37" name="Rectangle 136" hidden="1">
          <a:extLst>
            <a:ext uri="{FF2B5EF4-FFF2-40B4-BE49-F238E27FC236}">
              <a16:creationId xmlns:a16="http://schemas.microsoft.com/office/drawing/2014/main" id="{00000000-0008-0000-0100-000089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38" name="Rectangle 137" hidden="1">
          <a:extLst>
            <a:ext uri="{FF2B5EF4-FFF2-40B4-BE49-F238E27FC236}">
              <a16:creationId xmlns:a16="http://schemas.microsoft.com/office/drawing/2014/main" id="{00000000-0008-0000-0100-00008A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39" name="Rectangle 138" hidden="1">
          <a:extLst>
            <a:ext uri="{FF2B5EF4-FFF2-40B4-BE49-F238E27FC236}">
              <a16:creationId xmlns:a16="http://schemas.microsoft.com/office/drawing/2014/main" id="{00000000-0008-0000-0100-00008B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40" name="Rectangle 139" hidden="1">
          <a:extLst>
            <a:ext uri="{FF2B5EF4-FFF2-40B4-BE49-F238E27FC236}">
              <a16:creationId xmlns:a16="http://schemas.microsoft.com/office/drawing/2014/main" id="{00000000-0008-0000-0100-00008C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41" name="Rectangle 140" hidden="1">
          <a:extLst>
            <a:ext uri="{FF2B5EF4-FFF2-40B4-BE49-F238E27FC236}">
              <a16:creationId xmlns:a16="http://schemas.microsoft.com/office/drawing/2014/main" id="{00000000-0008-0000-0100-00008D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42" name="Rectangle 141" hidden="1">
          <a:extLst>
            <a:ext uri="{FF2B5EF4-FFF2-40B4-BE49-F238E27FC236}">
              <a16:creationId xmlns:a16="http://schemas.microsoft.com/office/drawing/2014/main" id="{00000000-0008-0000-0100-00008E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47625</xdr:rowOff>
    </xdr:from>
    <xdr:to>
      <xdr:col>0</xdr:col>
      <xdr:colOff>247650</xdr:colOff>
      <xdr:row>30</xdr:row>
      <xdr:rowOff>0</xdr:rowOff>
    </xdr:to>
    <xdr:sp macro="" textlink="">
      <xdr:nvSpPr>
        <xdr:cNvPr id="143" name="Rectangle 142" hidden="1">
          <a:extLst>
            <a:ext uri="{FF2B5EF4-FFF2-40B4-BE49-F238E27FC236}">
              <a16:creationId xmlns:a16="http://schemas.microsoft.com/office/drawing/2014/main" id="{00000000-0008-0000-0100-00008F000000}"/>
            </a:ext>
          </a:extLst>
        </xdr:cNvPr>
        <xdr:cNvSpPr>
          <a:spLocks noChangeArrowheads="1"/>
        </xdr:cNvSpPr>
      </xdr:nvSpPr>
      <xdr:spPr bwMode="auto">
        <a:xfrm>
          <a:off x="600075" y="26955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44" name="Rectangle 143" hidden="1">
          <a:extLst>
            <a:ext uri="{FF2B5EF4-FFF2-40B4-BE49-F238E27FC236}">
              <a16:creationId xmlns:a16="http://schemas.microsoft.com/office/drawing/2014/main" id="{00000000-0008-0000-0100-000090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45" name="Rectangle 144" hidden="1">
          <a:extLst>
            <a:ext uri="{FF2B5EF4-FFF2-40B4-BE49-F238E27FC236}">
              <a16:creationId xmlns:a16="http://schemas.microsoft.com/office/drawing/2014/main" id="{00000000-0008-0000-0100-000091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46" name="Rectangle 145" hidden="1">
          <a:extLst>
            <a:ext uri="{FF2B5EF4-FFF2-40B4-BE49-F238E27FC236}">
              <a16:creationId xmlns:a16="http://schemas.microsoft.com/office/drawing/2014/main" id="{00000000-0008-0000-0100-000092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47" name="Rectangle 146" hidden="1">
          <a:extLst>
            <a:ext uri="{FF2B5EF4-FFF2-40B4-BE49-F238E27FC236}">
              <a16:creationId xmlns:a16="http://schemas.microsoft.com/office/drawing/2014/main" id="{00000000-0008-0000-0100-000093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48" name="Rectangle 147" hidden="1">
          <a:extLst>
            <a:ext uri="{FF2B5EF4-FFF2-40B4-BE49-F238E27FC236}">
              <a16:creationId xmlns:a16="http://schemas.microsoft.com/office/drawing/2014/main" id="{00000000-0008-0000-0100-000094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29</xdr:row>
      <xdr:rowOff>57150</xdr:rowOff>
    </xdr:from>
    <xdr:to>
      <xdr:col>0</xdr:col>
      <xdr:colOff>247650</xdr:colOff>
      <xdr:row>30</xdr:row>
      <xdr:rowOff>9525</xdr:rowOff>
    </xdr:to>
    <xdr:sp macro="" textlink="">
      <xdr:nvSpPr>
        <xdr:cNvPr id="149" name="Rectangle 148" hidden="1">
          <a:extLst>
            <a:ext uri="{FF2B5EF4-FFF2-40B4-BE49-F238E27FC236}">
              <a16:creationId xmlns:a16="http://schemas.microsoft.com/office/drawing/2014/main" id="{00000000-0008-0000-0100-000095000000}"/>
            </a:ext>
          </a:extLst>
        </xdr:cNvPr>
        <xdr:cNvSpPr>
          <a:spLocks noChangeArrowheads="1"/>
        </xdr:cNvSpPr>
      </xdr:nvSpPr>
      <xdr:spPr bwMode="auto">
        <a:xfrm>
          <a:off x="600075" y="27051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0" name="Rectangle 149" hidden="1">
          <a:extLst>
            <a:ext uri="{FF2B5EF4-FFF2-40B4-BE49-F238E27FC236}">
              <a16:creationId xmlns:a16="http://schemas.microsoft.com/office/drawing/2014/main" id="{00000000-0008-0000-0100-000096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51" name="Rectangle 150" hidden="1">
          <a:extLst>
            <a:ext uri="{FF2B5EF4-FFF2-40B4-BE49-F238E27FC236}">
              <a16:creationId xmlns:a16="http://schemas.microsoft.com/office/drawing/2014/main" id="{00000000-0008-0000-0100-000097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52" name="Rectangle 151" hidden="1">
          <a:extLst>
            <a:ext uri="{FF2B5EF4-FFF2-40B4-BE49-F238E27FC236}">
              <a16:creationId xmlns:a16="http://schemas.microsoft.com/office/drawing/2014/main" id="{00000000-0008-0000-0100-000098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9525</xdr:rowOff>
    </xdr:from>
    <xdr:to>
      <xdr:col>0</xdr:col>
      <xdr:colOff>247650</xdr:colOff>
      <xdr:row>29</xdr:row>
      <xdr:rowOff>190500</xdr:rowOff>
    </xdr:to>
    <xdr:sp macro="" textlink="">
      <xdr:nvSpPr>
        <xdr:cNvPr id="153" name="Rectangle 152" hidden="1">
          <a:extLst>
            <a:ext uri="{FF2B5EF4-FFF2-40B4-BE49-F238E27FC236}">
              <a16:creationId xmlns:a16="http://schemas.microsoft.com/office/drawing/2014/main" id="{00000000-0008-0000-0100-000099000000}"/>
            </a:ext>
          </a:extLst>
        </xdr:cNvPr>
        <xdr:cNvSpPr>
          <a:spLocks noChangeArrowheads="1"/>
        </xdr:cNvSpPr>
      </xdr:nvSpPr>
      <xdr:spPr bwMode="auto">
        <a:xfrm>
          <a:off x="619125" y="26574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4" name="Rectangle 153" hidden="1">
          <a:extLst>
            <a:ext uri="{FF2B5EF4-FFF2-40B4-BE49-F238E27FC236}">
              <a16:creationId xmlns:a16="http://schemas.microsoft.com/office/drawing/2014/main" id="{00000000-0008-0000-0100-00009A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5" name="Rectangle 154" hidden="1">
          <a:extLst>
            <a:ext uri="{FF2B5EF4-FFF2-40B4-BE49-F238E27FC236}">
              <a16:creationId xmlns:a16="http://schemas.microsoft.com/office/drawing/2014/main" id="{00000000-0008-0000-0100-00009B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6" name="Rectangle 155" hidden="1">
          <a:extLst>
            <a:ext uri="{FF2B5EF4-FFF2-40B4-BE49-F238E27FC236}">
              <a16:creationId xmlns:a16="http://schemas.microsoft.com/office/drawing/2014/main" id="{00000000-0008-0000-0100-00009C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7" name="Rectangle 156" hidden="1">
          <a:extLst>
            <a:ext uri="{FF2B5EF4-FFF2-40B4-BE49-F238E27FC236}">
              <a16:creationId xmlns:a16="http://schemas.microsoft.com/office/drawing/2014/main" id="{00000000-0008-0000-0100-00009D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8" name="Rectangle 157" hidden="1">
          <a:extLst>
            <a:ext uri="{FF2B5EF4-FFF2-40B4-BE49-F238E27FC236}">
              <a16:creationId xmlns:a16="http://schemas.microsoft.com/office/drawing/2014/main" id="{00000000-0008-0000-0100-00009E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59" name="Rectangle 158" hidden="1">
          <a:extLst>
            <a:ext uri="{FF2B5EF4-FFF2-40B4-BE49-F238E27FC236}">
              <a16:creationId xmlns:a16="http://schemas.microsoft.com/office/drawing/2014/main" id="{00000000-0008-0000-0100-00009F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0" name="Rectangle 159" hidden="1">
          <a:extLst>
            <a:ext uri="{FF2B5EF4-FFF2-40B4-BE49-F238E27FC236}">
              <a16:creationId xmlns:a16="http://schemas.microsoft.com/office/drawing/2014/main" id="{00000000-0008-0000-0100-0000A0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1" name="Rectangle 160" hidden="1">
          <a:extLst>
            <a:ext uri="{FF2B5EF4-FFF2-40B4-BE49-F238E27FC236}">
              <a16:creationId xmlns:a16="http://schemas.microsoft.com/office/drawing/2014/main" id="{00000000-0008-0000-0100-0000A1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2" name="Rectangle 161" hidden="1">
          <a:extLst>
            <a:ext uri="{FF2B5EF4-FFF2-40B4-BE49-F238E27FC236}">
              <a16:creationId xmlns:a16="http://schemas.microsoft.com/office/drawing/2014/main" id="{00000000-0008-0000-0100-0000A2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3" name="Rectangle 162" hidden="1">
          <a:extLst>
            <a:ext uri="{FF2B5EF4-FFF2-40B4-BE49-F238E27FC236}">
              <a16:creationId xmlns:a16="http://schemas.microsoft.com/office/drawing/2014/main" id="{00000000-0008-0000-0100-0000A3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4" name="Rectangle 163" hidden="1">
          <a:extLst>
            <a:ext uri="{FF2B5EF4-FFF2-40B4-BE49-F238E27FC236}">
              <a16:creationId xmlns:a16="http://schemas.microsoft.com/office/drawing/2014/main" id="{00000000-0008-0000-0100-0000A4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5" name="Rectangle 164" hidden="1">
          <a:extLst>
            <a:ext uri="{FF2B5EF4-FFF2-40B4-BE49-F238E27FC236}">
              <a16:creationId xmlns:a16="http://schemas.microsoft.com/office/drawing/2014/main" id="{00000000-0008-0000-0100-0000A5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6" name="Rectangle 165" hidden="1">
          <a:extLst>
            <a:ext uri="{FF2B5EF4-FFF2-40B4-BE49-F238E27FC236}">
              <a16:creationId xmlns:a16="http://schemas.microsoft.com/office/drawing/2014/main" id="{00000000-0008-0000-0100-0000A6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7" name="Rectangle 166" hidden="1">
          <a:extLst>
            <a:ext uri="{FF2B5EF4-FFF2-40B4-BE49-F238E27FC236}">
              <a16:creationId xmlns:a16="http://schemas.microsoft.com/office/drawing/2014/main" id="{00000000-0008-0000-0100-0000A7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8" name="Rectangle 167" hidden="1">
          <a:extLst>
            <a:ext uri="{FF2B5EF4-FFF2-40B4-BE49-F238E27FC236}">
              <a16:creationId xmlns:a16="http://schemas.microsoft.com/office/drawing/2014/main" id="{00000000-0008-0000-0100-0000A8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69" name="Rectangle 168" hidden="1">
          <a:extLst>
            <a:ext uri="{FF2B5EF4-FFF2-40B4-BE49-F238E27FC236}">
              <a16:creationId xmlns:a16="http://schemas.microsoft.com/office/drawing/2014/main" id="{00000000-0008-0000-0100-0000A9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0" name="Rectangle 169" hidden="1">
          <a:extLst>
            <a:ext uri="{FF2B5EF4-FFF2-40B4-BE49-F238E27FC236}">
              <a16:creationId xmlns:a16="http://schemas.microsoft.com/office/drawing/2014/main" id="{00000000-0008-0000-0100-0000AA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1" name="Rectangle 170" hidden="1">
          <a:extLst>
            <a:ext uri="{FF2B5EF4-FFF2-40B4-BE49-F238E27FC236}">
              <a16:creationId xmlns:a16="http://schemas.microsoft.com/office/drawing/2014/main" id="{00000000-0008-0000-0100-0000AB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2" name="Rectangle 171" hidden="1">
          <a:extLst>
            <a:ext uri="{FF2B5EF4-FFF2-40B4-BE49-F238E27FC236}">
              <a16:creationId xmlns:a16="http://schemas.microsoft.com/office/drawing/2014/main" id="{00000000-0008-0000-0100-0000AC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3" name="Rectangle 172" hidden="1">
          <a:extLst>
            <a:ext uri="{FF2B5EF4-FFF2-40B4-BE49-F238E27FC236}">
              <a16:creationId xmlns:a16="http://schemas.microsoft.com/office/drawing/2014/main" id="{00000000-0008-0000-0100-0000AD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4" name="Rectangle 173" hidden="1">
          <a:extLst>
            <a:ext uri="{FF2B5EF4-FFF2-40B4-BE49-F238E27FC236}">
              <a16:creationId xmlns:a16="http://schemas.microsoft.com/office/drawing/2014/main" id="{00000000-0008-0000-0100-0000AE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5" name="Rectangle 174" hidden="1">
          <a:extLst>
            <a:ext uri="{FF2B5EF4-FFF2-40B4-BE49-F238E27FC236}">
              <a16:creationId xmlns:a16="http://schemas.microsoft.com/office/drawing/2014/main" id="{00000000-0008-0000-0100-0000AF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6" name="Rectangle 175" hidden="1">
          <a:extLst>
            <a:ext uri="{FF2B5EF4-FFF2-40B4-BE49-F238E27FC236}">
              <a16:creationId xmlns:a16="http://schemas.microsoft.com/office/drawing/2014/main" id="{00000000-0008-0000-0100-0000B0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7" name="Rectangle 176" hidden="1">
          <a:extLst>
            <a:ext uri="{FF2B5EF4-FFF2-40B4-BE49-F238E27FC236}">
              <a16:creationId xmlns:a16="http://schemas.microsoft.com/office/drawing/2014/main" id="{00000000-0008-0000-0100-0000B1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8" name="Rectangle 177" hidden="1">
          <a:extLst>
            <a:ext uri="{FF2B5EF4-FFF2-40B4-BE49-F238E27FC236}">
              <a16:creationId xmlns:a16="http://schemas.microsoft.com/office/drawing/2014/main" id="{00000000-0008-0000-0100-0000B2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79" name="Rectangle 178" hidden="1">
          <a:extLst>
            <a:ext uri="{FF2B5EF4-FFF2-40B4-BE49-F238E27FC236}">
              <a16:creationId xmlns:a16="http://schemas.microsoft.com/office/drawing/2014/main" id="{00000000-0008-0000-0100-0000B3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80" name="Rectangle 179" hidden="1">
          <a:extLst>
            <a:ext uri="{FF2B5EF4-FFF2-40B4-BE49-F238E27FC236}">
              <a16:creationId xmlns:a16="http://schemas.microsoft.com/office/drawing/2014/main" id="{00000000-0008-0000-0100-0000B4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29</xdr:row>
      <xdr:rowOff>57150</xdr:rowOff>
    </xdr:from>
    <xdr:to>
      <xdr:col>0</xdr:col>
      <xdr:colOff>247650</xdr:colOff>
      <xdr:row>30</xdr:row>
      <xdr:rowOff>19050</xdr:rowOff>
    </xdr:to>
    <xdr:sp macro="" textlink="">
      <xdr:nvSpPr>
        <xdr:cNvPr id="181" name="Rectangle 180" hidden="1">
          <a:extLst>
            <a:ext uri="{FF2B5EF4-FFF2-40B4-BE49-F238E27FC236}">
              <a16:creationId xmlns:a16="http://schemas.microsoft.com/office/drawing/2014/main" id="{00000000-0008-0000-0100-0000B5000000}"/>
            </a:ext>
          </a:extLst>
        </xdr:cNvPr>
        <xdr:cNvSpPr>
          <a:spLocks noChangeArrowheads="1"/>
        </xdr:cNvSpPr>
      </xdr:nvSpPr>
      <xdr:spPr bwMode="auto">
        <a:xfrm>
          <a:off x="619125" y="27051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82" name="Rectangle 181" hidden="1">
          <a:extLst>
            <a:ext uri="{FF2B5EF4-FFF2-40B4-BE49-F238E27FC236}">
              <a16:creationId xmlns:a16="http://schemas.microsoft.com/office/drawing/2014/main" id="{00000000-0008-0000-0100-0000B6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83" name="Rectangle 182" hidden="1">
          <a:extLst>
            <a:ext uri="{FF2B5EF4-FFF2-40B4-BE49-F238E27FC236}">
              <a16:creationId xmlns:a16="http://schemas.microsoft.com/office/drawing/2014/main" id="{00000000-0008-0000-0100-0000B7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84" name="Rectangle 183" hidden="1">
          <a:extLst>
            <a:ext uri="{FF2B5EF4-FFF2-40B4-BE49-F238E27FC236}">
              <a16:creationId xmlns:a16="http://schemas.microsoft.com/office/drawing/2014/main" id="{00000000-0008-0000-0100-0000B8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85" name="Rectangle 184" hidden="1">
          <a:extLst>
            <a:ext uri="{FF2B5EF4-FFF2-40B4-BE49-F238E27FC236}">
              <a16:creationId xmlns:a16="http://schemas.microsoft.com/office/drawing/2014/main" id="{00000000-0008-0000-0100-0000B9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86" name="Rectangle 185" hidden="1">
          <a:extLst>
            <a:ext uri="{FF2B5EF4-FFF2-40B4-BE49-F238E27FC236}">
              <a16:creationId xmlns:a16="http://schemas.microsoft.com/office/drawing/2014/main" id="{00000000-0008-0000-0100-0000BA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47625</xdr:rowOff>
    </xdr:from>
    <xdr:to>
      <xdr:col>0</xdr:col>
      <xdr:colOff>247650</xdr:colOff>
      <xdr:row>31</xdr:row>
      <xdr:rowOff>0</xdr:rowOff>
    </xdr:to>
    <xdr:sp macro="" textlink="">
      <xdr:nvSpPr>
        <xdr:cNvPr id="187" name="Rectangle 186" hidden="1">
          <a:extLst>
            <a:ext uri="{FF2B5EF4-FFF2-40B4-BE49-F238E27FC236}">
              <a16:creationId xmlns:a16="http://schemas.microsoft.com/office/drawing/2014/main" id="{00000000-0008-0000-0100-0000BB000000}"/>
            </a:ext>
          </a:extLst>
        </xdr:cNvPr>
        <xdr:cNvSpPr>
          <a:spLocks noChangeArrowheads="1"/>
        </xdr:cNvSpPr>
      </xdr:nvSpPr>
      <xdr:spPr bwMode="auto">
        <a:xfrm>
          <a:off x="600075" y="28860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88" name="Rectangle 187" hidden="1">
          <a:extLst>
            <a:ext uri="{FF2B5EF4-FFF2-40B4-BE49-F238E27FC236}">
              <a16:creationId xmlns:a16="http://schemas.microsoft.com/office/drawing/2014/main" id="{00000000-0008-0000-0100-0000BC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89" name="Rectangle 188" hidden="1">
          <a:extLst>
            <a:ext uri="{FF2B5EF4-FFF2-40B4-BE49-F238E27FC236}">
              <a16:creationId xmlns:a16="http://schemas.microsoft.com/office/drawing/2014/main" id="{00000000-0008-0000-0100-0000BD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90" name="Rectangle 189" hidden="1">
          <a:extLst>
            <a:ext uri="{FF2B5EF4-FFF2-40B4-BE49-F238E27FC236}">
              <a16:creationId xmlns:a16="http://schemas.microsoft.com/office/drawing/2014/main" id="{00000000-0008-0000-0100-0000BE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91" name="Rectangle 190" hidden="1">
          <a:extLst>
            <a:ext uri="{FF2B5EF4-FFF2-40B4-BE49-F238E27FC236}">
              <a16:creationId xmlns:a16="http://schemas.microsoft.com/office/drawing/2014/main" id="{00000000-0008-0000-0100-0000BF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92" name="Rectangle 191" hidden="1">
          <a:extLst>
            <a:ext uri="{FF2B5EF4-FFF2-40B4-BE49-F238E27FC236}">
              <a16:creationId xmlns:a16="http://schemas.microsoft.com/office/drawing/2014/main" id="{00000000-0008-0000-0100-0000C0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193" name="Rectangle 192" hidden="1">
          <a:extLst>
            <a:ext uri="{FF2B5EF4-FFF2-40B4-BE49-F238E27FC236}">
              <a16:creationId xmlns:a16="http://schemas.microsoft.com/office/drawing/2014/main" id="{00000000-0008-0000-0100-0000C1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94" name="Rectangle 193" hidden="1">
          <a:extLst>
            <a:ext uri="{FF2B5EF4-FFF2-40B4-BE49-F238E27FC236}">
              <a16:creationId xmlns:a16="http://schemas.microsoft.com/office/drawing/2014/main" id="{00000000-0008-0000-0100-0000C2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95" name="Rectangle 194" hidden="1">
          <a:extLst>
            <a:ext uri="{FF2B5EF4-FFF2-40B4-BE49-F238E27FC236}">
              <a16:creationId xmlns:a16="http://schemas.microsoft.com/office/drawing/2014/main" id="{00000000-0008-0000-0100-0000C3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96" name="Rectangle 195" hidden="1">
          <a:extLst>
            <a:ext uri="{FF2B5EF4-FFF2-40B4-BE49-F238E27FC236}">
              <a16:creationId xmlns:a16="http://schemas.microsoft.com/office/drawing/2014/main" id="{00000000-0008-0000-0100-0000C4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197" name="Rectangle 196" hidden="1">
          <a:extLst>
            <a:ext uri="{FF2B5EF4-FFF2-40B4-BE49-F238E27FC236}">
              <a16:creationId xmlns:a16="http://schemas.microsoft.com/office/drawing/2014/main" id="{00000000-0008-0000-0100-0000C5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198" name="Rectangle 197" hidden="1">
          <a:extLst>
            <a:ext uri="{FF2B5EF4-FFF2-40B4-BE49-F238E27FC236}">
              <a16:creationId xmlns:a16="http://schemas.microsoft.com/office/drawing/2014/main" id="{00000000-0008-0000-0100-0000C6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199" name="Rectangle 198" hidden="1">
          <a:extLst>
            <a:ext uri="{FF2B5EF4-FFF2-40B4-BE49-F238E27FC236}">
              <a16:creationId xmlns:a16="http://schemas.microsoft.com/office/drawing/2014/main" id="{00000000-0008-0000-0100-0000C7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00" name="Rectangle 199" hidden="1">
          <a:extLst>
            <a:ext uri="{FF2B5EF4-FFF2-40B4-BE49-F238E27FC236}">
              <a16:creationId xmlns:a16="http://schemas.microsoft.com/office/drawing/2014/main" id="{00000000-0008-0000-0100-0000C8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01" name="Rectangle 200" hidden="1">
          <a:extLst>
            <a:ext uri="{FF2B5EF4-FFF2-40B4-BE49-F238E27FC236}">
              <a16:creationId xmlns:a16="http://schemas.microsoft.com/office/drawing/2014/main" id="{00000000-0008-0000-0100-0000C9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02" name="Rectangle 201" hidden="1">
          <a:extLst>
            <a:ext uri="{FF2B5EF4-FFF2-40B4-BE49-F238E27FC236}">
              <a16:creationId xmlns:a16="http://schemas.microsoft.com/office/drawing/2014/main" id="{00000000-0008-0000-0100-0000CA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47625</xdr:rowOff>
    </xdr:from>
    <xdr:to>
      <xdr:col>0</xdr:col>
      <xdr:colOff>247650</xdr:colOff>
      <xdr:row>31</xdr:row>
      <xdr:rowOff>0</xdr:rowOff>
    </xdr:to>
    <xdr:sp macro="" textlink="">
      <xdr:nvSpPr>
        <xdr:cNvPr id="203" name="Rectangle 202" hidden="1">
          <a:extLst>
            <a:ext uri="{FF2B5EF4-FFF2-40B4-BE49-F238E27FC236}">
              <a16:creationId xmlns:a16="http://schemas.microsoft.com/office/drawing/2014/main" id="{00000000-0008-0000-0100-0000CB000000}"/>
            </a:ext>
          </a:extLst>
        </xdr:cNvPr>
        <xdr:cNvSpPr>
          <a:spLocks noChangeArrowheads="1"/>
        </xdr:cNvSpPr>
      </xdr:nvSpPr>
      <xdr:spPr bwMode="auto">
        <a:xfrm>
          <a:off x="600075" y="2886075"/>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204" name="Rectangle 203" hidden="1">
          <a:extLst>
            <a:ext uri="{FF2B5EF4-FFF2-40B4-BE49-F238E27FC236}">
              <a16:creationId xmlns:a16="http://schemas.microsoft.com/office/drawing/2014/main" id="{00000000-0008-0000-0100-0000CC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205" name="Rectangle 204" hidden="1">
          <a:extLst>
            <a:ext uri="{FF2B5EF4-FFF2-40B4-BE49-F238E27FC236}">
              <a16:creationId xmlns:a16="http://schemas.microsoft.com/office/drawing/2014/main" id="{00000000-0008-0000-0100-0000CD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06" name="Rectangle 205" hidden="1">
          <a:extLst>
            <a:ext uri="{FF2B5EF4-FFF2-40B4-BE49-F238E27FC236}">
              <a16:creationId xmlns:a16="http://schemas.microsoft.com/office/drawing/2014/main" id="{00000000-0008-0000-0100-0000CE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207" name="Rectangle 206" hidden="1">
          <a:extLst>
            <a:ext uri="{FF2B5EF4-FFF2-40B4-BE49-F238E27FC236}">
              <a16:creationId xmlns:a16="http://schemas.microsoft.com/office/drawing/2014/main" id="{00000000-0008-0000-0100-0000CF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208" name="Rectangle 207" hidden="1">
          <a:extLst>
            <a:ext uri="{FF2B5EF4-FFF2-40B4-BE49-F238E27FC236}">
              <a16:creationId xmlns:a16="http://schemas.microsoft.com/office/drawing/2014/main" id="{00000000-0008-0000-0100-0000D0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600075</xdr:colOff>
      <xdr:row>30</xdr:row>
      <xdr:rowOff>57150</xdr:rowOff>
    </xdr:from>
    <xdr:to>
      <xdr:col>0</xdr:col>
      <xdr:colOff>247650</xdr:colOff>
      <xdr:row>31</xdr:row>
      <xdr:rowOff>9525</xdr:rowOff>
    </xdr:to>
    <xdr:sp macro="" textlink="">
      <xdr:nvSpPr>
        <xdr:cNvPr id="209" name="Rectangle 208" hidden="1">
          <a:extLst>
            <a:ext uri="{FF2B5EF4-FFF2-40B4-BE49-F238E27FC236}">
              <a16:creationId xmlns:a16="http://schemas.microsoft.com/office/drawing/2014/main" id="{00000000-0008-0000-0100-0000D1000000}"/>
            </a:ext>
          </a:extLst>
        </xdr:cNvPr>
        <xdr:cNvSpPr>
          <a:spLocks noChangeArrowheads="1"/>
        </xdr:cNvSpPr>
      </xdr:nvSpPr>
      <xdr:spPr bwMode="auto">
        <a:xfrm>
          <a:off x="600075" y="2895600"/>
          <a:ext cx="257175" cy="1428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0" name="Rectangle 209" hidden="1">
          <a:extLst>
            <a:ext uri="{FF2B5EF4-FFF2-40B4-BE49-F238E27FC236}">
              <a16:creationId xmlns:a16="http://schemas.microsoft.com/office/drawing/2014/main" id="{00000000-0008-0000-0100-0000D2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211" name="Rectangle 210" hidden="1">
          <a:extLst>
            <a:ext uri="{FF2B5EF4-FFF2-40B4-BE49-F238E27FC236}">
              <a16:creationId xmlns:a16="http://schemas.microsoft.com/office/drawing/2014/main" id="{00000000-0008-0000-0100-0000D3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212" name="Rectangle 211" hidden="1">
          <a:extLst>
            <a:ext uri="{FF2B5EF4-FFF2-40B4-BE49-F238E27FC236}">
              <a16:creationId xmlns:a16="http://schemas.microsoft.com/office/drawing/2014/main" id="{00000000-0008-0000-0100-0000D4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9525</xdr:rowOff>
    </xdr:from>
    <xdr:to>
      <xdr:col>0</xdr:col>
      <xdr:colOff>247650</xdr:colOff>
      <xdr:row>30</xdr:row>
      <xdr:rowOff>190500</xdr:rowOff>
    </xdr:to>
    <xdr:sp macro="" textlink="">
      <xdr:nvSpPr>
        <xdr:cNvPr id="213" name="Rectangle 212" hidden="1">
          <a:extLst>
            <a:ext uri="{FF2B5EF4-FFF2-40B4-BE49-F238E27FC236}">
              <a16:creationId xmlns:a16="http://schemas.microsoft.com/office/drawing/2014/main" id="{00000000-0008-0000-0100-0000D5000000}"/>
            </a:ext>
          </a:extLst>
        </xdr:cNvPr>
        <xdr:cNvSpPr>
          <a:spLocks noChangeArrowheads="1"/>
        </xdr:cNvSpPr>
      </xdr:nvSpPr>
      <xdr:spPr bwMode="auto">
        <a:xfrm>
          <a:off x="619125" y="2847975"/>
          <a:ext cx="238125" cy="180975"/>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4" name="Rectangle 213" hidden="1">
          <a:extLst>
            <a:ext uri="{FF2B5EF4-FFF2-40B4-BE49-F238E27FC236}">
              <a16:creationId xmlns:a16="http://schemas.microsoft.com/office/drawing/2014/main" id="{00000000-0008-0000-0100-0000D6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5" name="Rectangle 214" hidden="1">
          <a:extLst>
            <a:ext uri="{FF2B5EF4-FFF2-40B4-BE49-F238E27FC236}">
              <a16:creationId xmlns:a16="http://schemas.microsoft.com/office/drawing/2014/main" id="{00000000-0008-0000-0100-0000D7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6" name="Rectangle 215" hidden="1">
          <a:extLst>
            <a:ext uri="{FF2B5EF4-FFF2-40B4-BE49-F238E27FC236}">
              <a16:creationId xmlns:a16="http://schemas.microsoft.com/office/drawing/2014/main" id="{00000000-0008-0000-0100-0000D8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7" name="Rectangle 216" hidden="1">
          <a:extLst>
            <a:ext uri="{FF2B5EF4-FFF2-40B4-BE49-F238E27FC236}">
              <a16:creationId xmlns:a16="http://schemas.microsoft.com/office/drawing/2014/main" id="{00000000-0008-0000-0100-0000D9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8" name="Rectangle 217" hidden="1">
          <a:extLst>
            <a:ext uri="{FF2B5EF4-FFF2-40B4-BE49-F238E27FC236}">
              <a16:creationId xmlns:a16="http://schemas.microsoft.com/office/drawing/2014/main" id="{00000000-0008-0000-0100-0000DA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19" name="Rectangle 218" hidden="1">
          <a:extLst>
            <a:ext uri="{FF2B5EF4-FFF2-40B4-BE49-F238E27FC236}">
              <a16:creationId xmlns:a16="http://schemas.microsoft.com/office/drawing/2014/main" id="{00000000-0008-0000-0100-0000DB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0" name="Rectangle 219" hidden="1">
          <a:extLst>
            <a:ext uri="{FF2B5EF4-FFF2-40B4-BE49-F238E27FC236}">
              <a16:creationId xmlns:a16="http://schemas.microsoft.com/office/drawing/2014/main" id="{00000000-0008-0000-0100-0000DC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1" name="Rectangle 220" hidden="1">
          <a:extLst>
            <a:ext uri="{FF2B5EF4-FFF2-40B4-BE49-F238E27FC236}">
              <a16:creationId xmlns:a16="http://schemas.microsoft.com/office/drawing/2014/main" id="{00000000-0008-0000-0100-0000DD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2" name="Rectangle 221" hidden="1">
          <a:extLst>
            <a:ext uri="{FF2B5EF4-FFF2-40B4-BE49-F238E27FC236}">
              <a16:creationId xmlns:a16="http://schemas.microsoft.com/office/drawing/2014/main" id="{00000000-0008-0000-0100-0000DE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3" name="Rectangle 222" hidden="1">
          <a:extLst>
            <a:ext uri="{FF2B5EF4-FFF2-40B4-BE49-F238E27FC236}">
              <a16:creationId xmlns:a16="http://schemas.microsoft.com/office/drawing/2014/main" id="{00000000-0008-0000-0100-0000DF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4" name="Rectangle 223" hidden="1">
          <a:extLst>
            <a:ext uri="{FF2B5EF4-FFF2-40B4-BE49-F238E27FC236}">
              <a16:creationId xmlns:a16="http://schemas.microsoft.com/office/drawing/2014/main" id="{00000000-0008-0000-0100-0000E0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5" name="Rectangle 224" hidden="1">
          <a:extLst>
            <a:ext uri="{FF2B5EF4-FFF2-40B4-BE49-F238E27FC236}">
              <a16:creationId xmlns:a16="http://schemas.microsoft.com/office/drawing/2014/main" id="{00000000-0008-0000-0100-0000E1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6" name="Rectangle 225" hidden="1">
          <a:extLst>
            <a:ext uri="{FF2B5EF4-FFF2-40B4-BE49-F238E27FC236}">
              <a16:creationId xmlns:a16="http://schemas.microsoft.com/office/drawing/2014/main" id="{00000000-0008-0000-0100-0000E2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7" name="Rectangle 226" hidden="1">
          <a:extLst>
            <a:ext uri="{FF2B5EF4-FFF2-40B4-BE49-F238E27FC236}">
              <a16:creationId xmlns:a16="http://schemas.microsoft.com/office/drawing/2014/main" id="{00000000-0008-0000-0100-0000E3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8" name="Rectangle 227" hidden="1">
          <a:extLst>
            <a:ext uri="{FF2B5EF4-FFF2-40B4-BE49-F238E27FC236}">
              <a16:creationId xmlns:a16="http://schemas.microsoft.com/office/drawing/2014/main" id="{00000000-0008-0000-0100-0000E4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29" name="Rectangle 228" hidden="1">
          <a:extLst>
            <a:ext uri="{FF2B5EF4-FFF2-40B4-BE49-F238E27FC236}">
              <a16:creationId xmlns:a16="http://schemas.microsoft.com/office/drawing/2014/main" id="{00000000-0008-0000-0100-0000E5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0" name="Rectangle 229" hidden="1">
          <a:extLst>
            <a:ext uri="{FF2B5EF4-FFF2-40B4-BE49-F238E27FC236}">
              <a16:creationId xmlns:a16="http://schemas.microsoft.com/office/drawing/2014/main" id="{00000000-0008-0000-0100-0000E6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1" name="Rectangle 230" hidden="1">
          <a:extLst>
            <a:ext uri="{FF2B5EF4-FFF2-40B4-BE49-F238E27FC236}">
              <a16:creationId xmlns:a16="http://schemas.microsoft.com/office/drawing/2014/main" id="{00000000-0008-0000-0100-0000E7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2" name="Rectangle 231" hidden="1">
          <a:extLst>
            <a:ext uri="{FF2B5EF4-FFF2-40B4-BE49-F238E27FC236}">
              <a16:creationId xmlns:a16="http://schemas.microsoft.com/office/drawing/2014/main" id="{00000000-0008-0000-0100-0000E8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3" name="Rectangle 232" hidden="1">
          <a:extLst>
            <a:ext uri="{FF2B5EF4-FFF2-40B4-BE49-F238E27FC236}">
              <a16:creationId xmlns:a16="http://schemas.microsoft.com/office/drawing/2014/main" id="{00000000-0008-0000-0100-0000E9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4" name="Rectangle 233" hidden="1">
          <a:extLst>
            <a:ext uri="{FF2B5EF4-FFF2-40B4-BE49-F238E27FC236}">
              <a16:creationId xmlns:a16="http://schemas.microsoft.com/office/drawing/2014/main" id="{00000000-0008-0000-0100-0000EA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5" name="Rectangle 234" hidden="1">
          <a:extLst>
            <a:ext uri="{FF2B5EF4-FFF2-40B4-BE49-F238E27FC236}">
              <a16:creationId xmlns:a16="http://schemas.microsoft.com/office/drawing/2014/main" id="{00000000-0008-0000-0100-0000EB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6" name="Rectangle 235" hidden="1">
          <a:extLst>
            <a:ext uri="{FF2B5EF4-FFF2-40B4-BE49-F238E27FC236}">
              <a16:creationId xmlns:a16="http://schemas.microsoft.com/office/drawing/2014/main" id="{00000000-0008-0000-0100-0000EC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7" name="Rectangle 236" hidden="1">
          <a:extLst>
            <a:ext uri="{FF2B5EF4-FFF2-40B4-BE49-F238E27FC236}">
              <a16:creationId xmlns:a16="http://schemas.microsoft.com/office/drawing/2014/main" id="{00000000-0008-0000-0100-0000ED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8" name="Rectangle 237" hidden="1">
          <a:extLst>
            <a:ext uri="{FF2B5EF4-FFF2-40B4-BE49-F238E27FC236}">
              <a16:creationId xmlns:a16="http://schemas.microsoft.com/office/drawing/2014/main" id="{00000000-0008-0000-0100-0000EE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39" name="Rectangle 238" hidden="1">
          <a:extLst>
            <a:ext uri="{FF2B5EF4-FFF2-40B4-BE49-F238E27FC236}">
              <a16:creationId xmlns:a16="http://schemas.microsoft.com/office/drawing/2014/main" id="{00000000-0008-0000-0100-0000EF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40" name="Rectangle 239" hidden="1">
          <a:extLst>
            <a:ext uri="{FF2B5EF4-FFF2-40B4-BE49-F238E27FC236}">
              <a16:creationId xmlns:a16="http://schemas.microsoft.com/office/drawing/2014/main" id="{00000000-0008-0000-0100-0000F0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twoCellAnchor>
    <xdr:from>
      <xdr:col>0</xdr:col>
      <xdr:colOff>9525</xdr:colOff>
      <xdr:row>30</xdr:row>
      <xdr:rowOff>57150</xdr:rowOff>
    </xdr:from>
    <xdr:to>
      <xdr:col>0</xdr:col>
      <xdr:colOff>247650</xdr:colOff>
      <xdr:row>31</xdr:row>
      <xdr:rowOff>19050</xdr:rowOff>
    </xdr:to>
    <xdr:sp macro="" textlink="">
      <xdr:nvSpPr>
        <xdr:cNvPr id="241" name="Rectangle 240" hidden="1">
          <a:extLst>
            <a:ext uri="{FF2B5EF4-FFF2-40B4-BE49-F238E27FC236}">
              <a16:creationId xmlns:a16="http://schemas.microsoft.com/office/drawing/2014/main" id="{00000000-0008-0000-0100-0000F1000000}"/>
            </a:ext>
          </a:extLst>
        </xdr:cNvPr>
        <xdr:cNvSpPr>
          <a:spLocks noChangeArrowheads="1"/>
        </xdr:cNvSpPr>
      </xdr:nvSpPr>
      <xdr:spPr bwMode="auto">
        <a:xfrm>
          <a:off x="619125" y="2895600"/>
          <a:ext cx="238125" cy="152400"/>
        </a:xfrm>
        <a:prstGeom prst="rect">
          <a:avLst/>
        </a:prstGeom>
        <a:noFill/>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2</xdr:row>
      <xdr:rowOff>0</xdr:rowOff>
    </xdr:from>
    <xdr:to>
      <xdr:col>2</xdr:col>
      <xdr:colOff>243840</xdr:colOff>
      <xdr:row>2</xdr:row>
      <xdr:rowOff>0</xdr:rowOff>
    </xdr:to>
    <xdr:sp macro="" textlink="">
      <xdr:nvSpPr>
        <xdr:cNvPr id="217352" name="Line 1">
          <a:extLst>
            <a:ext uri="{FF2B5EF4-FFF2-40B4-BE49-F238E27FC236}">
              <a16:creationId xmlns:a16="http://schemas.microsoft.com/office/drawing/2014/main" id="{00000000-0008-0000-1800-000008510300}"/>
            </a:ext>
          </a:extLst>
        </xdr:cNvPr>
        <xdr:cNvSpPr>
          <a:spLocks noChangeShapeType="1"/>
        </xdr:cNvSpPr>
      </xdr:nvSpPr>
      <xdr:spPr bwMode="auto">
        <a:xfrm>
          <a:off x="1219200" y="487680"/>
          <a:ext cx="0"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297180</xdr:colOff>
      <xdr:row>2</xdr:row>
      <xdr:rowOff>0</xdr:rowOff>
    </xdr:from>
    <xdr:to>
      <xdr:col>2</xdr:col>
      <xdr:colOff>297180</xdr:colOff>
      <xdr:row>2</xdr:row>
      <xdr:rowOff>0</xdr:rowOff>
    </xdr:to>
    <xdr:sp macro="" textlink="">
      <xdr:nvSpPr>
        <xdr:cNvPr id="217353" name="Line 2">
          <a:extLst>
            <a:ext uri="{FF2B5EF4-FFF2-40B4-BE49-F238E27FC236}">
              <a16:creationId xmlns:a16="http://schemas.microsoft.com/office/drawing/2014/main" id="{00000000-0008-0000-1800-000009510300}"/>
            </a:ext>
          </a:extLst>
        </xdr:cNvPr>
        <xdr:cNvSpPr>
          <a:spLocks noChangeShapeType="1"/>
        </xdr:cNvSpPr>
      </xdr:nvSpPr>
      <xdr:spPr bwMode="auto">
        <a:xfrm>
          <a:off x="1272540" y="487680"/>
          <a:ext cx="0"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38100</xdr:colOff>
      <xdr:row>4</xdr:row>
      <xdr:rowOff>60960</xdr:rowOff>
    </xdr:from>
    <xdr:to>
      <xdr:col>3</xdr:col>
      <xdr:colOff>205740</xdr:colOff>
      <xdr:row>4</xdr:row>
      <xdr:rowOff>129540</xdr:rowOff>
    </xdr:to>
    <xdr:sp macro="" textlink="">
      <xdr:nvSpPr>
        <xdr:cNvPr id="217354" name="AutoShape 3">
          <a:extLst>
            <a:ext uri="{FF2B5EF4-FFF2-40B4-BE49-F238E27FC236}">
              <a16:creationId xmlns:a16="http://schemas.microsoft.com/office/drawing/2014/main" id="{00000000-0008-0000-1800-00000A510300}"/>
            </a:ext>
          </a:extLst>
        </xdr:cNvPr>
        <xdr:cNvSpPr>
          <a:spLocks noChangeArrowheads="1"/>
        </xdr:cNvSpPr>
      </xdr:nvSpPr>
      <xdr:spPr bwMode="auto">
        <a:xfrm>
          <a:off x="1676400" y="922020"/>
          <a:ext cx="167640" cy="68580"/>
        </a:xfrm>
        <a:prstGeom prst="verticalScroll">
          <a:avLst>
            <a:gd name="adj" fmla="val 12500"/>
          </a:avLst>
        </a:prstGeom>
        <a:solidFill>
          <a:srgbClr val="FFFF00"/>
        </a:solidFill>
        <a:ln w="9525">
          <a:solidFill>
            <a:srgbClr val="000000"/>
          </a:solidFill>
          <a:round/>
          <a:headEnd/>
          <a:tailEnd/>
        </a:ln>
      </xdr:spPr>
    </xdr:sp>
    <xdr:clientData/>
  </xdr:twoCellAnchor>
  <xdr:twoCellAnchor>
    <xdr:from>
      <xdr:col>3</xdr:col>
      <xdr:colOff>220980</xdr:colOff>
      <xdr:row>4</xdr:row>
      <xdr:rowOff>7620</xdr:rowOff>
    </xdr:from>
    <xdr:to>
      <xdr:col>3</xdr:col>
      <xdr:colOff>220980</xdr:colOff>
      <xdr:row>5</xdr:row>
      <xdr:rowOff>266700</xdr:rowOff>
    </xdr:to>
    <xdr:sp macro="" textlink="">
      <xdr:nvSpPr>
        <xdr:cNvPr id="217355" name="Line 4">
          <a:extLst>
            <a:ext uri="{FF2B5EF4-FFF2-40B4-BE49-F238E27FC236}">
              <a16:creationId xmlns:a16="http://schemas.microsoft.com/office/drawing/2014/main" id="{00000000-0008-0000-1800-00000B510300}"/>
            </a:ext>
          </a:extLst>
        </xdr:cNvPr>
        <xdr:cNvSpPr>
          <a:spLocks noChangeShapeType="1"/>
        </xdr:cNvSpPr>
      </xdr:nvSpPr>
      <xdr:spPr bwMode="auto">
        <a:xfrm>
          <a:off x="1859280" y="8686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251460</xdr:colOff>
      <xdr:row>4</xdr:row>
      <xdr:rowOff>7620</xdr:rowOff>
    </xdr:from>
    <xdr:to>
      <xdr:col>3</xdr:col>
      <xdr:colOff>251460</xdr:colOff>
      <xdr:row>5</xdr:row>
      <xdr:rowOff>266700</xdr:rowOff>
    </xdr:to>
    <xdr:sp macro="" textlink="">
      <xdr:nvSpPr>
        <xdr:cNvPr id="217356" name="Line 5">
          <a:extLst>
            <a:ext uri="{FF2B5EF4-FFF2-40B4-BE49-F238E27FC236}">
              <a16:creationId xmlns:a16="http://schemas.microsoft.com/office/drawing/2014/main" id="{00000000-0008-0000-1800-00000C510300}"/>
            </a:ext>
          </a:extLst>
        </xdr:cNvPr>
        <xdr:cNvSpPr>
          <a:spLocks noChangeShapeType="1"/>
        </xdr:cNvSpPr>
      </xdr:nvSpPr>
      <xdr:spPr bwMode="auto">
        <a:xfrm>
          <a:off x="1889760" y="8686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236220</xdr:colOff>
      <xdr:row>4</xdr:row>
      <xdr:rowOff>7620</xdr:rowOff>
    </xdr:from>
    <xdr:to>
      <xdr:col>4</xdr:col>
      <xdr:colOff>236220</xdr:colOff>
      <xdr:row>5</xdr:row>
      <xdr:rowOff>266700</xdr:rowOff>
    </xdr:to>
    <xdr:sp macro="" textlink="">
      <xdr:nvSpPr>
        <xdr:cNvPr id="217357" name="Line 6">
          <a:extLst>
            <a:ext uri="{FF2B5EF4-FFF2-40B4-BE49-F238E27FC236}">
              <a16:creationId xmlns:a16="http://schemas.microsoft.com/office/drawing/2014/main" id="{00000000-0008-0000-1800-00000D510300}"/>
            </a:ext>
          </a:extLst>
        </xdr:cNvPr>
        <xdr:cNvSpPr>
          <a:spLocks noChangeShapeType="1"/>
        </xdr:cNvSpPr>
      </xdr:nvSpPr>
      <xdr:spPr bwMode="auto">
        <a:xfrm>
          <a:off x="2491740" y="8686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38100</xdr:colOff>
      <xdr:row>5</xdr:row>
      <xdr:rowOff>53340</xdr:rowOff>
    </xdr:from>
    <xdr:to>
      <xdr:col>3</xdr:col>
      <xdr:colOff>205740</xdr:colOff>
      <xdr:row>5</xdr:row>
      <xdr:rowOff>121920</xdr:rowOff>
    </xdr:to>
    <xdr:sp macro="" textlink="">
      <xdr:nvSpPr>
        <xdr:cNvPr id="217358" name="AutoShape 8">
          <a:extLst>
            <a:ext uri="{FF2B5EF4-FFF2-40B4-BE49-F238E27FC236}">
              <a16:creationId xmlns:a16="http://schemas.microsoft.com/office/drawing/2014/main" id="{00000000-0008-0000-1800-00000E510300}"/>
            </a:ext>
          </a:extLst>
        </xdr:cNvPr>
        <xdr:cNvSpPr>
          <a:spLocks noChangeArrowheads="1"/>
        </xdr:cNvSpPr>
      </xdr:nvSpPr>
      <xdr:spPr bwMode="auto">
        <a:xfrm>
          <a:off x="1676400" y="1089660"/>
          <a:ext cx="167640" cy="68580"/>
        </a:xfrm>
        <a:prstGeom prst="verticalScroll">
          <a:avLst>
            <a:gd name="adj" fmla="val 12500"/>
          </a:avLst>
        </a:prstGeom>
        <a:solidFill>
          <a:srgbClr val="FFFF00"/>
        </a:solidFill>
        <a:ln w="9525">
          <a:solidFill>
            <a:srgbClr val="000000"/>
          </a:solidFill>
          <a:round/>
          <a:headEnd/>
          <a:tailEnd/>
        </a:ln>
      </xdr:spPr>
    </xdr:sp>
    <xdr:clientData/>
  </xdr:twoCellAnchor>
  <xdr:twoCellAnchor>
    <xdr:from>
      <xdr:col>3</xdr:col>
      <xdr:colOff>38100</xdr:colOff>
      <xdr:row>6</xdr:row>
      <xdr:rowOff>60960</xdr:rowOff>
    </xdr:from>
    <xdr:to>
      <xdr:col>3</xdr:col>
      <xdr:colOff>205740</xdr:colOff>
      <xdr:row>6</xdr:row>
      <xdr:rowOff>129540</xdr:rowOff>
    </xdr:to>
    <xdr:sp macro="" textlink="">
      <xdr:nvSpPr>
        <xdr:cNvPr id="217359" name="AutoShape 16">
          <a:extLst>
            <a:ext uri="{FF2B5EF4-FFF2-40B4-BE49-F238E27FC236}">
              <a16:creationId xmlns:a16="http://schemas.microsoft.com/office/drawing/2014/main" id="{00000000-0008-0000-1800-00000F510300}"/>
            </a:ext>
          </a:extLst>
        </xdr:cNvPr>
        <xdr:cNvSpPr>
          <a:spLocks noChangeArrowheads="1"/>
        </xdr:cNvSpPr>
      </xdr:nvSpPr>
      <xdr:spPr bwMode="auto">
        <a:xfrm>
          <a:off x="1676400" y="1272540"/>
          <a:ext cx="167640" cy="68580"/>
        </a:xfrm>
        <a:prstGeom prst="verticalScroll">
          <a:avLst>
            <a:gd name="adj" fmla="val 12500"/>
          </a:avLst>
        </a:prstGeom>
        <a:solidFill>
          <a:srgbClr val="FFFF00"/>
        </a:solidFill>
        <a:ln w="9525">
          <a:solidFill>
            <a:srgbClr val="000000"/>
          </a:solidFill>
          <a:round/>
          <a:headEnd/>
          <a:tailEnd/>
        </a:ln>
      </xdr:spPr>
    </xdr:sp>
    <xdr:clientData/>
  </xdr:twoCellAnchor>
  <xdr:twoCellAnchor>
    <xdr:from>
      <xdr:col>3</xdr:col>
      <xdr:colOff>220980</xdr:colOff>
      <xdr:row>6</xdr:row>
      <xdr:rowOff>7620</xdr:rowOff>
    </xdr:from>
    <xdr:to>
      <xdr:col>3</xdr:col>
      <xdr:colOff>220980</xdr:colOff>
      <xdr:row>7</xdr:row>
      <xdr:rowOff>266700</xdr:rowOff>
    </xdr:to>
    <xdr:sp macro="" textlink="">
      <xdr:nvSpPr>
        <xdr:cNvPr id="217360" name="Line 17">
          <a:extLst>
            <a:ext uri="{FF2B5EF4-FFF2-40B4-BE49-F238E27FC236}">
              <a16:creationId xmlns:a16="http://schemas.microsoft.com/office/drawing/2014/main" id="{00000000-0008-0000-1800-000010510300}"/>
            </a:ext>
          </a:extLst>
        </xdr:cNvPr>
        <xdr:cNvSpPr>
          <a:spLocks noChangeShapeType="1"/>
        </xdr:cNvSpPr>
      </xdr:nvSpPr>
      <xdr:spPr bwMode="auto">
        <a:xfrm>
          <a:off x="1859280" y="12192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251460</xdr:colOff>
      <xdr:row>6</xdr:row>
      <xdr:rowOff>7620</xdr:rowOff>
    </xdr:from>
    <xdr:to>
      <xdr:col>3</xdr:col>
      <xdr:colOff>251460</xdr:colOff>
      <xdr:row>7</xdr:row>
      <xdr:rowOff>266700</xdr:rowOff>
    </xdr:to>
    <xdr:sp macro="" textlink="">
      <xdr:nvSpPr>
        <xdr:cNvPr id="217361" name="Line 18">
          <a:extLst>
            <a:ext uri="{FF2B5EF4-FFF2-40B4-BE49-F238E27FC236}">
              <a16:creationId xmlns:a16="http://schemas.microsoft.com/office/drawing/2014/main" id="{00000000-0008-0000-1800-000011510300}"/>
            </a:ext>
          </a:extLst>
        </xdr:cNvPr>
        <xdr:cNvSpPr>
          <a:spLocks noChangeShapeType="1"/>
        </xdr:cNvSpPr>
      </xdr:nvSpPr>
      <xdr:spPr bwMode="auto">
        <a:xfrm>
          <a:off x="1889760" y="12192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236220</xdr:colOff>
      <xdr:row>6</xdr:row>
      <xdr:rowOff>7620</xdr:rowOff>
    </xdr:from>
    <xdr:to>
      <xdr:col>4</xdr:col>
      <xdr:colOff>236220</xdr:colOff>
      <xdr:row>7</xdr:row>
      <xdr:rowOff>266700</xdr:rowOff>
    </xdr:to>
    <xdr:sp macro="" textlink="">
      <xdr:nvSpPr>
        <xdr:cNvPr id="217362" name="Line 19">
          <a:extLst>
            <a:ext uri="{FF2B5EF4-FFF2-40B4-BE49-F238E27FC236}">
              <a16:creationId xmlns:a16="http://schemas.microsoft.com/office/drawing/2014/main" id="{00000000-0008-0000-1800-000012510300}"/>
            </a:ext>
          </a:extLst>
        </xdr:cNvPr>
        <xdr:cNvSpPr>
          <a:spLocks noChangeShapeType="1"/>
        </xdr:cNvSpPr>
      </xdr:nvSpPr>
      <xdr:spPr bwMode="auto">
        <a:xfrm>
          <a:off x="2491740" y="12192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38100</xdr:colOff>
      <xdr:row>7</xdr:row>
      <xdr:rowOff>53340</xdr:rowOff>
    </xdr:from>
    <xdr:to>
      <xdr:col>3</xdr:col>
      <xdr:colOff>205740</xdr:colOff>
      <xdr:row>7</xdr:row>
      <xdr:rowOff>121920</xdr:rowOff>
    </xdr:to>
    <xdr:sp macro="" textlink="">
      <xdr:nvSpPr>
        <xdr:cNvPr id="217363" name="AutoShape 20">
          <a:extLst>
            <a:ext uri="{FF2B5EF4-FFF2-40B4-BE49-F238E27FC236}">
              <a16:creationId xmlns:a16="http://schemas.microsoft.com/office/drawing/2014/main" id="{00000000-0008-0000-1800-000013510300}"/>
            </a:ext>
          </a:extLst>
        </xdr:cNvPr>
        <xdr:cNvSpPr>
          <a:spLocks noChangeArrowheads="1"/>
        </xdr:cNvSpPr>
      </xdr:nvSpPr>
      <xdr:spPr bwMode="auto">
        <a:xfrm>
          <a:off x="1676400" y="1440180"/>
          <a:ext cx="167640" cy="68580"/>
        </a:xfrm>
        <a:prstGeom prst="verticalScroll">
          <a:avLst>
            <a:gd name="adj" fmla="val 12500"/>
          </a:avLst>
        </a:prstGeom>
        <a:solidFill>
          <a:srgbClr val="FFFF00"/>
        </a:solidFill>
        <a:ln w="9525">
          <a:solidFill>
            <a:srgbClr val="000000"/>
          </a:solidFill>
          <a:round/>
          <a:headEnd/>
          <a:tailEnd/>
        </a:ln>
      </xdr:spPr>
    </xdr:sp>
    <xdr:clientData/>
  </xdr:twoCellAnchor>
  <xdr:twoCellAnchor>
    <xdr:from>
      <xdr:col>5</xdr:col>
      <xdr:colOff>236220</xdr:colOff>
      <xdr:row>4</xdr:row>
      <xdr:rowOff>7620</xdr:rowOff>
    </xdr:from>
    <xdr:to>
      <xdr:col>5</xdr:col>
      <xdr:colOff>236220</xdr:colOff>
      <xdr:row>5</xdr:row>
      <xdr:rowOff>266700</xdr:rowOff>
    </xdr:to>
    <xdr:sp macro="" textlink="">
      <xdr:nvSpPr>
        <xdr:cNvPr id="217364" name="Line 24">
          <a:extLst>
            <a:ext uri="{FF2B5EF4-FFF2-40B4-BE49-F238E27FC236}">
              <a16:creationId xmlns:a16="http://schemas.microsoft.com/office/drawing/2014/main" id="{00000000-0008-0000-1800-000014510300}"/>
            </a:ext>
          </a:extLst>
        </xdr:cNvPr>
        <xdr:cNvSpPr>
          <a:spLocks noChangeShapeType="1"/>
        </xdr:cNvSpPr>
      </xdr:nvSpPr>
      <xdr:spPr bwMode="auto">
        <a:xfrm>
          <a:off x="2979420" y="8686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236220</xdr:colOff>
      <xdr:row>6</xdr:row>
      <xdr:rowOff>7620</xdr:rowOff>
    </xdr:from>
    <xdr:to>
      <xdr:col>5</xdr:col>
      <xdr:colOff>236220</xdr:colOff>
      <xdr:row>7</xdr:row>
      <xdr:rowOff>266700</xdr:rowOff>
    </xdr:to>
    <xdr:sp macro="" textlink="">
      <xdr:nvSpPr>
        <xdr:cNvPr id="217365" name="Line 25">
          <a:extLst>
            <a:ext uri="{FF2B5EF4-FFF2-40B4-BE49-F238E27FC236}">
              <a16:creationId xmlns:a16="http://schemas.microsoft.com/office/drawing/2014/main" id="{00000000-0008-0000-1800-000015510300}"/>
            </a:ext>
          </a:extLst>
        </xdr:cNvPr>
        <xdr:cNvSpPr>
          <a:spLocks noChangeShapeType="1"/>
        </xdr:cNvSpPr>
      </xdr:nvSpPr>
      <xdr:spPr bwMode="auto">
        <a:xfrm>
          <a:off x="2979420" y="12192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251460</xdr:colOff>
      <xdr:row>61</xdr:row>
      <xdr:rowOff>7620</xdr:rowOff>
    </xdr:from>
    <xdr:to>
      <xdr:col>2</xdr:col>
      <xdr:colOff>251460</xdr:colOff>
      <xdr:row>62</xdr:row>
      <xdr:rowOff>266700</xdr:rowOff>
    </xdr:to>
    <xdr:sp macro="" textlink="">
      <xdr:nvSpPr>
        <xdr:cNvPr id="217366" name="Line 28">
          <a:extLst>
            <a:ext uri="{FF2B5EF4-FFF2-40B4-BE49-F238E27FC236}">
              <a16:creationId xmlns:a16="http://schemas.microsoft.com/office/drawing/2014/main" id="{00000000-0008-0000-1800-000016510300}"/>
            </a:ext>
          </a:extLst>
        </xdr:cNvPr>
        <xdr:cNvSpPr>
          <a:spLocks noChangeShapeType="1"/>
        </xdr:cNvSpPr>
      </xdr:nvSpPr>
      <xdr:spPr bwMode="auto">
        <a:xfrm>
          <a:off x="1226820" y="129844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228600</xdr:colOff>
      <xdr:row>61</xdr:row>
      <xdr:rowOff>7620</xdr:rowOff>
    </xdr:from>
    <xdr:to>
      <xdr:col>3</xdr:col>
      <xdr:colOff>228600</xdr:colOff>
      <xdr:row>62</xdr:row>
      <xdr:rowOff>266700</xdr:rowOff>
    </xdr:to>
    <xdr:sp macro="" textlink="">
      <xdr:nvSpPr>
        <xdr:cNvPr id="217367" name="Line 29">
          <a:extLst>
            <a:ext uri="{FF2B5EF4-FFF2-40B4-BE49-F238E27FC236}">
              <a16:creationId xmlns:a16="http://schemas.microsoft.com/office/drawing/2014/main" id="{00000000-0008-0000-1800-000017510300}"/>
            </a:ext>
          </a:extLst>
        </xdr:cNvPr>
        <xdr:cNvSpPr>
          <a:spLocks noChangeShapeType="1"/>
        </xdr:cNvSpPr>
      </xdr:nvSpPr>
      <xdr:spPr bwMode="auto">
        <a:xfrm>
          <a:off x="1866900" y="129844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220980</xdr:colOff>
      <xdr:row>63</xdr:row>
      <xdr:rowOff>7620</xdr:rowOff>
    </xdr:from>
    <xdr:to>
      <xdr:col>2</xdr:col>
      <xdr:colOff>220980</xdr:colOff>
      <xdr:row>64</xdr:row>
      <xdr:rowOff>266700</xdr:rowOff>
    </xdr:to>
    <xdr:sp macro="" textlink="">
      <xdr:nvSpPr>
        <xdr:cNvPr id="217368" name="Line 32">
          <a:extLst>
            <a:ext uri="{FF2B5EF4-FFF2-40B4-BE49-F238E27FC236}">
              <a16:creationId xmlns:a16="http://schemas.microsoft.com/office/drawing/2014/main" id="{00000000-0008-0000-1800-000018510300}"/>
            </a:ext>
          </a:extLst>
        </xdr:cNvPr>
        <xdr:cNvSpPr>
          <a:spLocks noChangeShapeType="1"/>
        </xdr:cNvSpPr>
      </xdr:nvSpPr>
      <xdr:spPr bwMode="auto">
        <a:xfrm>
          <a:off x="1196340" y="133350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251460</xdr:colOff>
      <xdr:row>63</xdr:row>
      <xdr:rowOff>7620</xdr:rowOff>
    </xdr:from>
    <xdr:to>
      <xdr:col>2</xdr:col>
      <xdr:colOff>251460</xdr:colOff>
      <xdr:row>64</xdr:row>
      <xdr:rowOff>266700</xdr:rowOff>
    </xdr:to>
    <xdr:sp macro="" textlink="">
      <xdr:nvSpPr>
        <xdr:cNvPr id="217369" name="Line 33">
          <a:extLst>
            <a:ext uri="{FF2B5EF4-FFF2-40B4-BE49-F238E27FC236}">
              <a16:creationId xmlns:a16="http://schemas.microsoft.com/office/drawing/2014/main" id="{00000000-0008-0000-1800-000019510300}"/>
            </a:ext>
          </a:extLst>
        </xdr:cNvPr>
        <xdr:cNvSpPr>
          <a:spLocks noChangeShapeType="1"/>
        </xdr:cNvSpPr>
      </xdr:nvSpPr>
      <xdr:spPr bwMode="auto">
        <a:xfrm>
          <a:off x="1226820" y="133350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228600</xdr:colOff>
      <xdr:row>63</xdr:row>
      <xdr:rowOff>7620</xdr:rowOff>
    </xdr:from>
    <xdr:to>
      <xdr:col>3</xdr:col>
      <xdr:colOff>228600</xdr:colOff>
      <xdr:row>64</xdr:row>
      <xdr:rowOff>266700</xdr:rowOff>
    </xdr:to>
    <xdr:sp macro="" textlink="">
      <xdr:nvSpPr>
        <xdr:cNvPr id="217370" name="Line 34">
          <a:extLst>
            <a:ext uri="{FF2B5EF4-FFF2-40B4-BE49-F238E27FC236}">
              <a16:creationId xmlns:a16="http://schemas.microsoft.com/office/drawing/2014/main" id="{00000000-0008-0000-1800-00001A510300}"/>
            </a:ext>
          </a:extLst>
        </xdr:cNvPr>
        <xdr:cNvSpPr>
          <a:spLocks noChangeShapeType="1"/>
        </xdr:cNvSpPr>
      </xdr:nvSpPr>
      <xdr:spPr bwMode="auto">
        <a:xfrm>
          <a:off x="1866900" y="133350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236220</xdr:colOff>
      <xdr:row>61</xdr:row>
      <xdr:rowOff>7620</xdr:rowOff>
    </xdr:from>
    <xdr:to>
      <xdr:col>4</xdr:col>
      <xdr:colOff>236220</xdr:colOff>
      <xdr:row>62</xdr:row>
      <xdr:rowOff>266700</xdr:rowOff>
    </xdr:to>
    <xdr:sp macro="" textlink="">
      <xdr:nvSpPr>
        <xdr:cNvPr id="217371" name="Line 36">
          <a:extLst>
            <a:ext uri="{FF2B5EF4-FFF2-40B4-BE49-F238E27FC236}">
              <a16:creationId xmlns:a16="http://schemas.microsoft.com/office/drawing/2014/main" id="{00000000-0008-0000-1800-00001B510300}"/>
            </a:ext>
          </a:extLst>
        </xdr:cNvPr>
        <xdr:cNvSpPr>
          <a:spLocks noChangeShapeType="1"/>
        </xdr:cNvSpPr>
      </xdr:nvSpPr>
      <xdr:spPr bwMode="auto">
        <a:xfrm>
          <a:off x="2491740" y="129844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236220</xdr:colOff>
      <xdr:row>63</xdr:row>
      <xdr:rowOff>7620</xdr:rowOff>
    </xdr:from>
    <xdr:to>
      <xdr:col>4</xdr:col>
      <xdr:colOff>236220</xdr:colOff>
      <xdr:row>64</xdr:row>
      <xdr:rowOff>266700</xdr:rowOff>
    </xdr:to>
    <xdr:sp macro="" textlink="">
      <xdr:nvSpPr>
        <xdr:cNvPr id="217372" name="Line 37">
          <a:extLst>
            <a:ext uri="{FF2B5EF4-FFF2-40B4-BE49-F238E27FC236}">
              <a16:creationId xmlns:a16="http://schemas.microsoft.com/office/drawing/2014/main" id="{00000000-0008-0000-1800-00001C510300}"/>
            </a:ext>
          </a:extLst>
        </xdr:cNvPr>
        <xdr:cNvSpPr>
          <a:spLocks noChangeShapeType="1"/>
        </xdr:cNvSpPr>
      </xdr:nvSpPr>
      <xdr:spPr bwMode="auto">
        <a:xfrm>
          <a:off x="2491740" y="133350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220980</xdr:colOff>
      <xdr:row>61</xdr:row>
      <xdr:rowOff>7620</xdr:rowOff>
    </xdr:from>
    <xdr:to>
      <xdr:col>2</xdr:col>
      <xdr:colOff>220980</xdr:colOff>
      <xdr:row>62</xdr:row>
      <xdr:rowOff>266700</xdr:rowOff>
    </xdr:to>
    <xdr:sp macro="" textlink="">
      <xdr:nvSpPr>
        <xdr:cNvPr id="217373" name="Line 38">
          <a:extLst>
            <a:ext uri="{FF2B5EF4-FFF2-40B4-BE49-F238E27FC236}">
              <a16:creationId xmlns:a16="http://schemas.microsoft.com/office/drawing/2014/main" id="{00000000-0008-0000-1800-00001D510300}"/>
            </a:ext>
          </a:extLst>
        </xdr:cNvPr>
        <xdr:cNvSpPr>
          <a:spLocks noChangeShapeType="1"/>
        </xdr:cNvSpPr>
      </xdr:nvSpPr>
      <xdr:spPr bwMode="auto">
        <a:xfrm>
          <a:off x="1196340" y="129844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205740</xdr:colOff>
      <xdr:row>91</xdr:row>
      <xdr:rowOff>0</xdr:rowOff>
    </xdr:from>
    <xdr:to>
      <xdr:col>2</xdr:col>
      <xdr:colOff>205740</xdr:colOff>
      <xdr:row>95</xdr:row>
      <xdr:rowOff>0</xdr:rowOff>
    </xdr:to>
    <xdr:sp macro="" textlink="">
      <xdr:nvSpPr>
        <xdr:cNvPr id="217374" name="Line 1">
          <a:extLst>
            <a:ext uri="{FF2B5EF4-FFF2-40B4-BE49-F238E27FC236}">
              <a16:creationId xmlns:a16="http://schemas.microsoft.com/office/drawing/2014/main" id="{00000000-0008-0000-1800-00001E510300}"/>
            </a:ext>
          </a:extLst>
        </xdr:cNvPr>
        <xdr:cNvSpPr>
          <a:spLocks noChangeShapeType="1"/>
        </xdr:cNvSpPr>
      </xdr:nvSpPr>
      <xdr:spPr bwMode="auto">
        <a:xfrm>
          <a:off x="1181100" y="19484340"/>
          <a:ext cx="0" cy="70104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259080</xdr:colOff>
      <xdr:row>91</xdr:row>
      <xdr:rowOff>0</xdr:rowOff>
    </xdr:from>
    <xdr:to>
      <xdr:col>2</xdr:col>
      <xdr:colOff>259080</xdr:colOff>
      <xdr:row>95</xdr:row>
      <xdr:rowOff>0</xdr:rowOff>
    </xdr:to>
    <xdr:sp macro="" textlink="">
      <xdr:nvSpPr>
        <xdr:cNvPr id="217375" name="Line 2">
          <a:extLst>
            <a:ext uri="{FF2B5EF4-FFF2-40B4-BE49-F238E27FC236}">
              <a16:creationId xmlns:a16="http://schemas.microsoft.com/office/drawing/2014/main" id="{00000000-0008-0000-1800-00001F510300}"/>
            </a:ext>
          </a:extLst>
        </xdr:cNvPr>
        <xdr:cNvSpPr>
          <a:spLocks noChangeShapeType="1"/>
        </xdr:cNvSpPr>
      </xdr:nvSpPr>
      <xdr:spPr bwMode="auto">
        <a:xfrm>
          <a:off x="1234440" y="19484340"/>
          <a:ext cx="0" cy="70104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251460</xdr:colOff>
      <xdr:row>36</xdr:row>
      <xdr:rowOff>0</xdr:rowOff>
    </xdr:from>
    <xdr:to>
      <xdr:col>3</xdr:col>
      <xdr:colOff>251460</xdr:colOff>
      <xdr:row>37</xdr:row>
      <xdr:rowOff>167640</xdr:rowOff>
    </xdr:to>
    <xdr:sp macro="" textlink="">
      <xdr:nvSpPr>
        <xdr:cNvPr id="217376" name="Line 5">
          <a:extLst>
            <a:ext uri="{FF2B5EF4-FFF2-40B4-BE49-F238E27FC236}">
              <a16:creationId xmlns:a16="http://schemas.microsoft.com/office/drawing/2014/main" id="{00000000-0008-0000-1800-000020510300}"/>
            </a:ext>
          </a:extLst>
        </xdr:cNvPr>
        <xdr:cNvSpPr>
          <a:spLocks noChangeShapeType="1"/>
        </xdr:cNvSpPr>
      </xdr:nvSpPr>
      <xdr:spPr bwMode="auto">
        <a:xfrm>
          <a:off x="1889760" y="779526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236220</xdr:colOff>
      <xdr:row>36</xdr:row>
      <xdr:rowOff>7620</xdr:rowOff>
    </xdr:from>
    <xdr:to>
      <xdr:col>4</xdr:col>
      <xdr:colOff>236220</xdr:colOff>
      <xdr:row>37</xdr:row>
      <xdr:rowOff>266700</xdr:rowOff>
    </xdr:to>
    <xdr:sp macro="" textlink="">
      <xdr:nvSpPr>
        <xdr:cNvPr id="217377" name="Line 6">
          <a:extLst>
            <a:ext uri="{FF2B5EF4-FFF2-40B4-BE49-F238E27FC236}">
              <a16:creationId xmlns:a16="http://schemas.microsoft.com/office/drawing/2014/main" id="{00000000-0008-0000-1800-000021510300}"/>
            </a:ext>
          </a:extLst>
        </xdr:cNvPr>
        <xdr:cNvSpPr>
          <a:spLocks noChangeShapeType="1"/>
        </xdr:cNvSpPr>
      </xdr:nvSpPr>
      <xdr:spPr bwMode="auto">
        <a:xfrm>
          <a:off x="2491740" y="78028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220980</xdr:colOff>
      <xdr:row>38</xdr:row>
      <xdr:rowOff>7620</xdr:rowOff>
    </xdr:from>
    <xdr:to>
      <xdr:col>3</xdr:col>
      <xdr:colOff>220980</xdr:colOff>
      <xdr:row>39</xdr:row>
      <xdr:rowOff>266700</xdr:rowOff>
    </xdr:to>
    <xdr:sp macro="" textlink="">
      <xdr:nvSpPr>
        <xdr:cNvPr id="217378" name="Line 17">
          <a:extLst>
            <a:ext uri="{FF2B5EF4-FFF2-40B4-BE49-F238E27FC236}">
              <a16:creationId xmlns:a16="http://schemas.microsoft.com/office/drawing/2014/main" id="{00000000-0008-0000-1800-000022510300}"/>
            </a:ext>
          </a:extLst>
        </xdr:cNvPr>
        <xdr:cNvSpPr>
          <a:spLocks noChangeShapeType="1"/>
        </xdr:cNvSpPr>
      </xdr:nvSpPr>
      <xdr:spPr bwMode="auto">
        <a:xfrm>
          <a:off x="1859280" y="81534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251460</xdr:colOff>
      <xdr:row>38</xdr:row>
      <xdr:rowOff>0</xdr:rowOff>
    </xdr:from>
    <xdr:to>
      <xdr:col>3</xdr:col>
      <xdr:colOff>251460</xdr:colOff>
      <xdr:row>39</xdr:row>
      <xdr:rowOff>167640</xdr:rowOff>
    </xdr:to>
    <xdr:sp macro="" textlink="">
      <xdr:nvSpPr>
        <xdr:cNvPr id="217379" name="Line 18">
          <a:extLst>
            <a:ext uri="{FF2B5EF4-FFF2-40B4-BE49-F238E27FC236}">
              <a16:creationId xmlns:a16="http://schemas.microsoft.com/office/drawing/2014/main" id="{00000000-0008-0000-1800-000023510300}"/>
            </a:ext>
          </a:extLst>
        </xdr:cNvPr>
        <xdr:cNvSpPr>
          <a:spLocks noChangeShapeType="1"/>
        </xdr:cNvSpPr>
      </xdr:nvSpPr>
      <xdr:spPr bwMode="auto">
        <a:xfrm>
          <a:off x="1889760" y="81457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236220</xdr:colOff>
      <xdr:row>38</xdr:row>
      <xdr:rowOff>7620</xdr:rowOff>
    </xdr:from>
    <xdr:to>
      <xdr:col>4</xdr:col>
      <xdr:colOff>236220</xdr:colOff>
      <xdr:row>39</xdr:row>
      <xdr:rowOff>266700</xdr:rowOff>
    </xdr:to>
    <xdr:sp macro="" textlink="">
      <xdr:nvSpPr>
        <xdr:cNvPr id="217380" name="Line 19">
          <a:extLst>
            <a:ext uri="{FF2B5EF4-FFF2-40B4-BE49-F238E27FC236}">
              <a16:creationId xmlns:a16="http://schemas.microsoft.com/office/drawing/2014/main" id="{00000000-0008-0000-1800-000024510300}"/>
            </a:ext>
          </a:extLst>
        </xdr:cNvPr>
        <xdr:cNvSpPr>
          <a:spLocks noChangeShapeType="1"/>
        </xdr:cNvSpPr>
      </xdr:nvSpPr>
      <xdr:spPr bwMode="auto">
        <a:xfrm>
          <a:off x="2491740" y="81534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236220</xdr:colOff>
      <xdr:row>36</xdr:row>
      <xdr:rowOff>7620</xdr:rowOff>
    </xdr:from>
    <xdr:to>
      <xdr:col>5</xdr:col>
      <xdr:colOff>236220</xdr:colOff>
      <xdr:row>37</xdr:row>
      <xdr:rowOff>266700</xdr:rowOff>
    </xdr:to>
    <xdr:sp macro="" textlink="">
      <xdr:nvSpPr>
        <xdr:cNvPr id="217381" name="Line 24">
          <a:extLst>
            <a:ext uri="{FF2B5EF4-FFF2-40B4-BE49-F238E27FC236}">
              <a16:creationId xmlns:a16="http://schemas.microsoft.com/office/drawing/2014/main" id="{00000000-0008-0000-1800-000025510300}"/>
            </a:ext>
          </a:extLst>
        </xdr:cNvPr>
        <xdr:cNvSpPr>
          <a:spLocks noChangeShapeType="1"/>
        </xdr:cNvSpPr>
      </xdr:nvSpPr>
      <xdr:spPr bwMode="auto">
        <a:xfrm>
          <a:off x="2979420" y="780288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236220</xdr:colOff>
      <xdr:row>38</xdr:row>
      <xdr:rowOff>7620</xdr:rowOff>
    </xdr:from>
    <xdr:to>
      <xdr:col>5</xdr:col>
      <xdr:colOff>236220</xdr:colOff>
      <xdr:row>39</xdr:row>
      <xdr:rowOff>266700</xdr:rowOff>
    </xdr:to>
    <xdr:sp macro="" textlink="">
      <xdr:nvSpPr>
        <xdr:cNvPr id="217382" name="Line 25">
          <a:extLst>
            <a:ext uri="{FF2B5EF4-FFF2-40B4-BE49-F238E27FC236}">
              <a16:creationId xmlns:a16="http://schemas.microsoft.com/office/drawing/2014/main" id="{00000000-0008-0000-1800-000026510300}"/>
            </a:ext>
          </a:extLst>
        </xdr:cNvPr>
        <xdr:cNvSpPr>
          <a:spLocks noChangeShapeType="1"/>
        </xdr:cNvSpPr>
      </xdr:nvSpPr>
      <xdr:spPr bwMode="auto">
        <a:xfrm>
          <a:off x="2979420" y="8153400"/>
          <a:ext cx="0" cy="3429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3</xdr:col>
      <xdr:colOff>220980</xdr:colOff>
      <xdr:row>35</xdr:row>
      <xdr:rowOff>167640</xdr:rowOff>
    </xdr:from>
    <xdr:to>
      <xdr:col>3</xdr:col>
      <xdr:colOff>220980</xdr:colOff>
      <xdr:row>37</xdr:row>
      <xdr:rowOff>152400</xdr:rowOff>
    </xdr:to>
    <xdr:sp macro="" textlink="">
      <xdr:nvSpPr>
        <xdr:cNvPr id="217384" name="Line 5">
          <a:extLst>
            <a:ext uri="{FF2B5EF4-FFF2-40B4-BE49-F238E27FC236}">
              <a16:creationId xmlns:a16="http://schemas.microsoft.com/office/drawing/2014/main" id="{00000000-0008-0000-1800-000028510300}"/>
            </a:ext>
          </a:extLst>
        </xdr:cNvPr>
        <xdr:cNvSpPr>
          <a:spLocks noChangeShapeType="1"/>
        </xdr:cNvSpPr>
      </xdr:nvSpPr>
      <xdr:spPr bwMode="auto">
        <a:xfrm>
          <a:off x="1859280" y="7787640"/>
          <a:ext cx="0" cy="33528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editAs="oneCell">
    <xdr:from>
      <xdr:col>28</xdr:col>
      <xdr:colOff>567418</xdr:colOff>
      <xdr:row>0</xdr:row>
      <xdr:rowOff>0</xdr:rowOff>
    </xdr:from>
    <xdr:to>
      <xdr:col>37</xdr:col>
      <xdr:colOff>235240</xdr:colOff>
      <xdr:row>144</xdr:row>
      <xdr:rowOff>91928</xdr:rowOff>
    </xdr:to>
    <xdr:pic>
      <xdr:nvPicPr>
        <xdr:cNvPr id="2" name="Picture 1">
          <a:extLst>
            <a:ext uri="{FF2B5EF4-FFF2-40B4-BE49-F238E27FC236}">
              <a16:creationId xmlns:a16="http://schemas.microsoft.com/office/drawing/2014/main" id="{44EE544C-CC8A-17AA-4DA3-9CEF3769AC54}"/>
            </a:ext>
          </a:extLst>
        </xdr:cNvPr>
        <xdr:cNvPicPr>
          <a:picLocks noChangeAspect="1"/>
        </xdr:cNvPicPr>
      </xdr:nvPicPr>
      <xdr:blipFill>
        <a:blip xmlns:r="http://schemas.openxmlformats.org/officeDocument/2006/relationships" r:embed="rId1"/>
        <a:stretch>
          <a:fillRect/>
        </a:stretch>
      </xdr:blipFill>
      <xdr:spPr>
        <a:xfrm>
          <a:off x="15059025" y="0"/>
          <a:ext cx="4933785" cy="484082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hyperlink" Target="mailto:tai.nguyenminh@starprintvn.com" TargetMode="External"/><Relationship Id="rId13" Type="http://schemas.openxmlformats.org/officeDocument/2006/relationships/hyperlink" Target="mailto:vi.truongvutuong@starprintvn.com" TargetMode="External"/><Relationship Id="rId18" Type="http://schemas.openxmlformats.org/officeDocument/2006/relationships/drawing" Target="../drawings/drawing1.xml"/><Relationship Id="rId3" Type="http://schemas.openxmlformats.org/officeDocument/2006/relationships/hyperlink" Target="mailto:thuhuong.dao@starprintvn.com" TargetMode="External"/><Relationship Id="rId7" Type="http://schemas.openxmlformats.org/officeDocument/2006/relationships/hyperlink" Target="mailto:anh.nguyenthingoc@starprintvn.com" TargetMode="External"/><Relationship Id="rId12" Type="http://schemas.openxmlformats.org/officeDocument/2006/relationships/hyperlink" Target="mailto:Raven@starprintvn.com" TargetMode="External"/><Relationship Id="rId17" Type="http://schemas.openxmlformats.org/officeDocument/2006/relationships/printerSettings" Target="../printerSettings/printerSettings1.bin"/><Relationship Id="rId2" Type="http://schemas.openxmlformats.org/officeDocument/2006/relationships/hyperlink" Target="mailto:loan.ttd@starprintvn.com" TargetMode="External"/><Relationship Id="rId16" Type="http://schemas.openxmlformats.org/officeDocument/2006/relationships/hyperlink" Target="mailto:huu.tohung@starprintvn.com" TargetMode="External"/><Relationship Id="rId1" Type="http://schemas.openxmlformats.org/officeDocument/2006/relationships/hyperlink" Target="mailto:tramy@starprintvn.com" TargetMode="External"/><Relationship Id="rId6" Type="http://schemas.openxmlformats.org/officeDocument/2006/relationships/hyperlink" Target="mailto:ha.tranthi@starprintvn.com" TargetMode="External"/><Relationship Id="rId11" Type="http://schemas.openxmlformats.org/officeDocument/2006/relationships/hyperlink" Target="mailto:toan.phamvan@starprintvn.com" TargetMode="External"/><Relationship Id="rId5" Type="http://schemas.openxmlformats.org/officeDocument/2006/relationships/hyperlink" Target="mailto:ngoc.lethanh@starprintvn.com" TargetMode="External"/><Relationship Id="rId15" Type="http://schemas.openxmlformats.org/officeDocument/2006/relationships/hyperlink" Target="mailto:nhu.phanthiquynh@starprintvn.com" TargetMode="External"/><Relationship Id="rId10" Type="http://schemas.openxmlformats.org/officeDocument/2006/relationships/hyperlink" Target="mailto:nguyen.letrong@starprintvn.com" TargetMode="External"/><Relationship Id="rId4" Type="http://schemas.openxmlformats.org/officeDocument/2006/relationships/hyperlink" Target="mailto:lamtuyen@starprintvn.com" TargetMode="External"/><Relationship Id="rId9" Type="http://schemas.openxmlformats.org/officeDocument/2006/relationships/hyperlink" Target="mailto:chi.ngothidiem@starprintvn.com" TargetMode="External"/><Relationship Id="rId14" Type="http://schemas.openxmlformats.org/officeDocument/2006/relationships/hyperlink" Target="mailto:xuan.phanthien@starprintvn.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26.bin"/><Relationship Id="rId1" Type="http://schemas.openxmlformats.org/officeDocument/2006/relationships/hyperlink" Target="http://www.dhl.com.vn/exp-vi/express/shipping/shipping_advice/express_fuel_surcharge.html" TargetMode="External"/><Relationship Id="rId5" Type="http://schemas.openxmlformats.org/officeDocument/2006/relationships/comments" Target="../comments23.xml"/><Relationship Id="rId4" Type="http://schemas.openxmlformats.org/officeDocument/2006/relationships/vmlDrawing" Target="../drawings/vmlDrawing23.v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s://www.fedex.com/vi-vn/shipping/surcharges.html" TargetMode="External"/><Relationship Id="rId4" Type="http://schemas.openxmlformats.org/officeDocument/2006/relationships/comments" Target="../comments25.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2.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5.xml"/><Relationship Id="rId1" Type="http://schemas.openxmlformats.org/officeDocument/2006/relationships/printerSettings" Target="../printerSettings/printerSettings34.bin"/><Relationship Id="rId4" Type="http://schemas.openxmlformats.org/officeDocument/2006/relationships/comments" Target="../comments2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hyperlink" Target="mailto:est@starprintvn.com" TargetMode="External"/><Relationship Id="rId1" Type="http://schemas.openxmlformats.org/officeDocument/2006/relationships/hyperlink" Target="mailto:ngoc.nguyenhong@starprintvn.com" TargetMode="External"/><Relationship Id="rId5" Type="http://schemas.openxmlformats.org/officeDocument/2006/relationships/comments" Target="../comments30.xml"/><Relationship Id="rId4" Type="http://schemas.openxmlformats.org/officeDocument/2006/relationships/vmlDrawing" Target="../drawings/vmlDrawing30.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2:O225"/>
  <sheetViews>
    <sheetView workbookViewId="0">
      <selection activeCell="C22" sqref="C22"/>
    </sheetView>
  </sheetViews>
  <sheetFormatPr defaultColWidth="9" defaultRowHeight="21.75"/>
  <cols>
    <col min="1" max="1" width="18.7109375" style="151" customWidth="1"/>
    <col min="2" max="2" width="12" style="151" customWidth="1"/>
    <col min="3" max="3" width="12" style="148" customWidth="1"/>
    <col min="4" max="4" width="12.42578125" style="148" customWidth="1"/>
    <col min="5" max="5" width="18" style="148" customWidth="1"/>
    <col min="6" max="6" width="12.42578125" style="148" customWidth="1"/>
    <col min="7" max="7" width="9" style="148"/>
    <col min="8" max="8" width="15.42578125" style="148" customWidth="1"/>
    <col min="9" max="9" width="7.7109375" style="148" customWidth="1"/>
    <col min="10" max="14" width="6.7109375" style="148" customWidth="1"/>
    <col min="15" max="16384" width="9" style="148"/>
  </cols>
  <sheetData>
    <row r="2" spans="1:15" ht="22.5" customHeight="1">
      <c r="A2" s="146" t="s">
        <v>65</v>
      </c>
      <c r="B2" s="146" t="str">
        <f>'Cost EST. GM target'!G3</f>
        <v>Friwo</v>
      </c>
      <c r="C2" s="147"/>
      <c r="D2" s="147"/>
      <c r="E2" s="147"/>
    </row>
    <row r="3" spans="1:15" ht="22.5" customHeight="1">
      <c r="A3" s="146" t="s">
        <v>83</v>
      </c>
      <c r="B3" s="146" t="str">
        <f>'Cost EST. GM target'!G4</f>
        <v>Corrugated box - 20001531</v>
      </c>
      <c r="E3" s="149">
        <f>'Cost EST. GM target'!N5</f>
        <v>1</v>
      </c>
      <c r="F3" s="146" t="s">
        <v>369</v>
      </c>
    </row>
    <row r="4" spans="1:15" ht="22.5" customHeight="1">
      <c r="A4" s="146" t="s">
        <v>370</v>
      </c>
      <c r="B4" s="147" t="e">
        <f>#REF!</f>
        <v>#REF!</v>
      </c>
      <c r="C4" s="147"/>
      <c r="D4" s="147"/>
      <c r="E4" s="147"/>
    </row>
    <row r="5" spans="1:15" ht="22.5" customHeight="1">
      <c r="A5" s="146" t="s">
        <v>371</v>
      </c>
      <c r="B5" s="150" t="e">
        <f>#REF!</f>
        <v>#REF!</v>
      </c>
      <c r="C5" s="147"/>
      <c r="D5" s="147"/>
      <c r="E5" s="147"/>
    </row>
    <row r="6" spans="1:15" ht="22.5" customHeight="1">
      <c r="A6" s="146" t="s">
        <v>372</v>
      </c>
      <c r="C6" s="152"/>
      <c r="D6" s="147"/>
      <c r="E6" s="147"/>
    </row>
    <row r="7" spans="1:15" ht="22.5" customHeight="1" thickBot="1">
      <c r="A7" s="147"/>
      <c r="B7" s="147"/>
      <c r="C7" s="147"/>
      <c r="D7" s="147"/>
      <c r="E7" s="147"/>
    </row>
    <row r="8" spans="1:15" ht="23.25" customHeight="1" thickBot="1">
      <c r="A8" s="122" t="s">
        <v>373</v>
      </c>
      <c r="B8" s="123"/>
      <c r="C8" s="124" t="str">
        <f>I10</f>
        <v>US</v>
      </c>
      <c r="D8" s="124" t="str">
        <f>K10</f>
        <v>UK</v>
      </c>
      <c r="E8" s="124" t="str">
        <f>M10</f>
        <v>France</v>
      </c>
      <c r="F8" s="122" t="s">
        <v>377</v>
      </c>
    </row>
    <row r="9" spans="1:15" ht="23.25" customHeight="1" thickBot="1">
      <c r="A9" s="125" t="s">
        <v>378</v>
      </c>
      <c r="B9" s="126"/>
      <c r="C9" s="145">
        <v>1</v>
      </c>
      <c r="D9" s="145">
        <v>7</v>
      </c>
      <c r="E9" s="145">
        <v>1</v>
      </c>
      <c r="F9" s="127"/>
      <c r="G9" s="126"/>
      <c r="H9" s="153"/>
    </row>
    <row r="10" spans="1:15" ht="19.5" customHeight="1">
      <c r="A10" s="689" t="s">
        <v>379</v>
      </c>
      <c r="B10" s="154" t="s">
        <v>380</v>
      </c>
      <c r="C10" s="155">
        <v>0</v>
      </c>
      <c r="D10" s="155">
        <v>0</v>
      </c>
      <c r="E10" s="155">
        <v>0</v>
      </c>
      <c r="F10" s="156"/>
      <c r="H10" s="135" t="s">
        <v>373</v>
      </c>
      <c r="I10" s="4081" t="s">
        <v>374</v>
      </c>
      <c r="J10" s="4082"/>
      <c r="K10" s="4081" t="s">
        <v>375</v>
      </c>
      <c r="L10" s="4082"/>
      <c r="M10" s="4081" t="s">
        <v>376</v>
      </c>
      <c r="N10" s="4082"/>
      <c r="O10" s="135" t="s">
        <v>377</v>
      </c>
    </row>
    <row r="11" spans="1:15" ht="19.5" customHeight="1">
      <c r="A11" s="690"/>
      <c r="B11" s="157" t="s">
        <v>260</v>
      </c>
      <c r="C11" s="185">
        <f ca="1">(INT(weight!$G$46*C10/0.5)+1)*0.5</f>
        <v>0.5</v>
      </c>
      <c r="D11" s="185">
        <f ca="1">(INT(weight!$G$46*D10/0.5)+1)*0.5</f>
        <v>0.5</v>
      </c>
      <c r="E11" s="185">
        <f ca="1">(INT(weight!$G$46*E10/0.5)+1)*0.5</f>
        <v>0.5</v>
      </c>
      <c r="F11" s="128"/>
      <c r="H11" s="158" t="s">
        <v>381</v>
      </c>
      <c r="I11" s="159">
        <v>0</v>
      </c>
      <c r="J11" s="160">
        <v>0</v>
      </c>
      <c r="K11" s="159">
        <v>0</v>
      </c>
      <c r="L11" s="160">
        <v>0</v>
      </c>
      <c r="M11" s="159">
        <v>0</v>
      </c>
      <c r="N11" s="160">
        <v>0</v>
      </c>
      <c r="O11" s="134"/>
    </row>
    <row r="12" spans="1:15" ht="16.5" customHeight="1">
      <c r="A12" s="690"/>
      <c r="B12" s="161" t="s">
        <v>382</v>
      </c>
      <c r="C12" s="186">
        <f>IF(C10&gt;0,IF(C11&lt;=30,VLOOKUP(C11,'Courier charge (DHL)'!$A$21:$K$80,$C$9+1,0),VLOOKUP(30,'Courier charge (DHL)'!$A$21:$K$80,$C$9+1,0)+VLOOKUP("Over 30kgs",'Courier charge (DHL)'!$A$21:$K$81,$C$9+1,0)*ROUNDUP(C11-30,0)))*(1+'Courier charge (DHL)'!$C$91)*(1+'Courier charge (DHL)'!$C$92)/input!$I$5</f>
        <v>0</v>
      </c>
      <c r="D12" s="186">
        <f>IF(D10&gt;0,IF(D11&lt;=30,VLOOKUP(D11,'Courier charge (DHL)'!$A$21:$K$80,$D$9+1,0),VLOOKUP(30,'Courier charge (DHL)'!$A$21:$K$80,$D$9+1,0)+VLOOKUP("Over 30kgs",'Courier charge (DHL)'!$A$21:$K$81,$D$9+1,0)*ROUNDUP(D11-30,0)))*(1+'Courier charge (DHL)'!$C$91)*(1+'Courier charge (DHL)'!$C$92)/input!$I$5</f>
        <v>0</v>
      </c>
      <c r="E12" s="186">
        <f ca="1">IF(E10&gt;0,IF(E11&lt;=30,VLOOKUP(E11,'Courier charge (DHL)'!$A$21:$K$80,$E$9+1,0),VLOOKUP(30,'Courier charge (DHL)'!$A$21:$K$80,$E$9+1,0)+VLOOKUP("Over 30kgs",'Courier charge (DHL)'!$A$21:$K$81,$E$9+1,0)*ROUNDUP(E11-30,0)))*(1+'Courier charge (DHL)'!$C$91)*(1+'Courier charge (DHL)'!$C$92)/weight!$G$46</f>
        <v>0</v>
      </c>
      <c r="F12" s="129"/>
      <c r="H12" s="162" t="s">
        <v>383</v>
      </c>
      <c r="I12" s="163">
        <v>0</v>
      </c>
      <c r="J12" s="160">
        <v>0</v>
      </c>
      <c r="K12" s="163">
        <f>I12</f>
        <v>0</v>
      </c>
      <c r="L12" s="160">
        <v>0</v>
      </c>
      <c r="M12" s="163">
        <v>0</v>
      </c>
      <c r="N12" s="160">
        <v>0</v>
      </c>
      <c r="O12" s="162"/>
    </row>
    <row r="13" spans="1:15" ht="17.25" customHeight="1">
      <c r="A13" s="690"/>
      <c r="B13" s="164" t="s">
        <v>157</v>
      </c>
      <c r="C13" s="165">
        <f ca="1">'Cost EST. GM target'!$J$73</f>
        <v>0.45002378881461591</v>
      </c>
      <c r="D13" s="165">
        <f ca="1">'Cost EST. GM target'!$J$73</f>
        <v>0.45002378881461591</v>
      </c>
      <c r="E13" s="165">
        <f ca="1">'Cost EST. GM target'!$J$73</f>
        <v>0.45002378881461591</v>
      </c>
      <c r="F13" s="130"/>
      <c r="H13" s="162" t="s">
        <v>384</v>
      </c>
      <c r="I13" s="163">
        <v>0</v>
      </c>
      <c r="J13" s="160">
        <v>0</v>
      </c>
      <c r="K13" s="163">
        <f>K12</f>
        <v>0</v>
      </c>
      <c r="L13" s="160">
        <v>0</v>
      </c>
      <c r="M13" s="163">
        <f>M12</f>
        <v>0</v>
      </c>
      <c r="N13" s="160">
        <v>0</v>
      </c>
      <c r="O13" s="162"/>
    </row>
    <row r="14" spans="1:15" ht="17.25" customHeight="1">
      <c r="A14" s="690"/>
      <c r="B14" s="696" t="s">
        <v>1583</v>
      </c>
      <c r="C14" s="697">
        <v>0</v>
      </c>
      <c r="D14" s="697">
        <v>0</v>
      </c>
      <c r="E14" s="697">
        <v>0</v>
      </c>
      <c r="F14" s="695"/>
      <c r="H14" s="162" t="s">
        <v>385</v>
      </c>
      <c r="I14" s="163">
        <v>0</v>
      </c>
      <c r="J14" s="160">
        <v>0</v>
      </c>
      <c r="K14" s="163">
        <f>K13</f>
        <v>0</v>
      </c>
      <c r="L14" s="160">
        <v>0</v>
      </c>
      <c r="M14" s="163">
        <f>M13</f>
        <v>0</v>
      </c>
      <c r="N14" s="160">
        <v>0</v>
      </c>
      <c r="O14" s="168"/>
    </row>
    <row r="15" spans="1:15" ht="20.25" customHeight="1">
      <c r="A15" s="690"/>
      <c r="B15" s="166" t="s">
        <v>75</v>
      </c>
      <c r="C15" s="167">
        <f>'Cost EST. GM target'!$J$50</f>
        <v>2.2499999999999999E-2</v>
      </c>
      <c r="D15" s="167">
        <f>'Cost EST. GM target'!$J$50</f>
        <v>2.2499999999999999E-2</v>
      </c>
      <c r="E15" s="167">
        <f>'Cost EST. GM target'!$J$50</f>
        <v>2.2499999999999999E-2</v>
      </c>
      <c r="F15" s="131"/>
      <c r="H15" s="162" t="s">
        <v>387</v>
      </c>
      <c r="I15" s="163">
        <v>0</v>
      </c>
      <c r="J15" s="160">
        <v>0</v>
      </c>
      <c r="K15" s="163">
        <v>0</v>
      </c>
      <c r="L15" s="160">
        <v>0</v>
      </c>
      <c r="M15" s="163">
        <v>0</v>
      </c>
      <c r="N15" s="160">
        <v>0</v>
      </c>
      <c r="O15" s="168"/>
    </row>
    <row r="16" spans="1:15" ht="20.25" customHeight="1" thickBot="1">
      <c r="A16" s="690"/>
      <c r="B16" s="164" t="s">
        <v>1609</v>
      </c>
      <c r="C16" s="698" t="e">
        <f ca="1">1-($C12+$C14)/($C17-($C12+$C14)*$C15)</f>
        <v>#DIV/0!</v>
      </c>
      <c r="D16" s="698" t="e">
        <f ca="1">1-($D12+$D14)/($D17-($D12+$D14)*$D15)</f>
        <v>#DIV/0!</v>
      </c>
      <c r="E16" s="698" t="e">
        <f ca="1">1-($E12+$E14)/($E17-($E12+$E14)*$E15)</f>
        <v>#DIV/0!</v>
      </c>
      <c r="F16" s="130"/>
      <c r="H16" s="171" t="s">
        <v>388</v>
      </c>
      <c r="I16" s="172">
        <v>0</v>
      </c>
      <c r="J16" s="173">
        <v>0</v>
      </c>
      <c r="K16" s="172">
        <f>I16</f>
        <v>0</v>
      </c>
      <c r="L16" s="173">
        <v>0</v>
      </c>
      <c r="M16" s="172">
        <f>I16</f>
        <v>0</v>
      </c>
      <c r="N16" s="173">
        <v>0</v>
      </c>
      <c r="O16" s="174"/>
    </row>
    <row r="17" spans="1:8" ht="22.5" customHeight="1" thickTop="1" thickBot="1">
      <c r="A17" s="691"/>
      <c r="B17" s="169" t="s">
        <v>386</v>
      </c>
      <c r="C17" s="699">
        <f ca="1">ROUNDUP(C12/(1-C13)+C12*C15,0)</f>
        <v>0</v>
      </c>
      <c r="D17" s="699">
        <f ca="1">ROUNDUP(D12/(1-D13)+D12*D15,0)</f>
        <v>0</v>
      </c>
      <c r="E17" s="699">
        <f ca="1">ROUNDUP(E12/(1-E13)+E12*E15,0)</f>
        <v>0</v>
      </c>
      <c r="F17" s="132"/>
    </row>
    <row r="18" spans="1:8" ht="19.5" customHeight="1">
      <c r="A18" s="689" t="s">
        <v>270</v>
      </c>
      <c r="B18" s="154" t="s">
        <v>380</v>
      </c>
      <c r="C18" s="155">
        <v>0</v>
      </c>
      <c r="D18" s="155">
        <v>0</v>
      </c>
      <c r="E18" s="155">
        <v>0</v>
      </c>
      <c r="F18" s="170"/>
    </row>
    <row r="19" spans="1:8" ht="16.5" customHeight="1">
      <c r="A19" s="690"/>
      <c r="B19" s="157" t="s">
        <v>260</v>
      </c>
      <c r="C19" s="185">
        <f ca="1">(INT(weight!$G$46*C18/0.5)+1)*0.5</f>
        <v>0.5</v>
      </c>
      <c r="D19" s="185">
        <f ca="1">(INT(weight!$G$46*D18/0.5)+1)*0.5</f>
        <v>0.5</v>
      </c>
      <c r="E19" s="185">
        <f ca="1">(INT(weight!$G$46*E18/0.5)+1)*0.5</f>
        <v>0.5</v>
      </c>
      <c r="F19" s="170"/>
    </row>
    <row r="20" spans="1:8" ht="19.5" customHeight="1">
      <c r="A20" s="690"/>
      <c r="B20" s="161" t="s">
        <v>382</v>
      </c>
      <c r="C20" s="186">
        <f>IF(C18&gt;0,IF(C19&lt;=30,VLOOKUP(C19,'Courier charge (DHL)'!$A$21:$K$80,$C$9+1,0),VLOOKUP(30,'Courier charge (DHL)'!$A$21:$K$80,$C$9+1,0)+VLOOKUP("Over 30kgs",'Courier charge (DHL)'!$A$21:$K$81,$C$9+1,0)*ROUNDUP(C19-30,0)))*(1+'Courier charge (DHL)'!$C$91)*(1+'Courier charge (DHL)'!$C$92)/input!$I$5</f>
        <v>0</v>
      </c>
      <c r="D20" s="186">
        <f>IF(D18&gt;0,IF(D19&lt;=30,VLOOKUP(D19,'Courier charge (DHL)'!$A$21:$K$80,$D$9+1,0),VLOOKUP(30,'Courier charge (DHL)'!$A$21:$K$80,$D$9+1,0)+VLOOKUP("Over 30kgs",'Courier charge (DHL)'!$A$21:$K$81,$D$9+1,0)*ROUNDUP(D19-30,0)))*(1+'Courier charge (DHL)'!$C$91)*(1+'Courier charge (DHL)'!$C$92)/input!$I$5</f>
        <v>0</v>
      </c>
      <c r="E20" s="186">
        <f>IF(E18&gt;0,IF(E19&lt;=30,VLOOKUP(E19,'Courier charge (DHL)'!$A$21:$K$80,$E$9+1,0),VLOOKUP(30,'Courier charge (DHL)'!$A$21:$K$80,$E$9+1,0)+VLOOKUP("Over 30kgs",'Courier charge (DHL)'!$A$21:$K$81,$E$9+1,0)*ROUNDUP(E19-30,0)))*(1+'Courier charge (DHL)'!$C$91)*(1+'Courier charge (DHL)'!$C$92)/input!$I$5</f>
        <v>0</v>
      </c>
      <c r="F20" s="170"/>
    </row>
    <row r="21" spans="1:8" ht="19.5" customHeight="1">
      <c r="A21" s="690"/>
      <c r="B21" s="164" t="s">
        <v>157</v>
      </c>
      <c r="C21" s="165">
        <f ca="1">'Cost EST. GM target'!$J$73</f>
        <v>0.45002378881461591</v>
      </c>
      <c r="D21" s="165">
        <f ca="1">'Cost EST. GM target'!$J$73</f>
        <v>0.45002378881461591</v>
      </c>
      <c r="E21" s="165">
        <f ca="1">'Cost EST. GM target'!$J$73</f>
        <v>0.45002378881461591</v>
      </c>
      <c r="F21" s="130"/>
      <c r="H21" s="175"/>
    </row>
    <row r="22" spans="1:8" ht="19.5" customHeight="1">
      <c r="A22" s="690"/>
      <c r="B22" s="696" t="s">
        <v>1583</v>
      </c>
      <c r="C22" s="697">
        <v>0</v>
      </c>
      <c r="D22" s="697">
        <v>0</v>
      </c>
      <c r="E22" s="697">
        <v>0</v>
      </c>
      <c r="F22" s="695"/>
      <c r="H22" s="175"/>
    </row>
    <row r="23" spans="1:8" ht="19.5" customHeight="1">
      <c r="A23" s="690"/>
      <c r="B23" s="166" t="s">
        <v>75</v>
      </c>
      <c r="C23" s="167">
        <f>'Cost EST. GM target'!$J$50</f>
        <v>2.2499999999999999E-2</v>
      </c>
      <c r="D23" s="167">
        <f>'Cost EST. GM target'!$J$50</f>
        <v>2.2499999999999999E-2</v>
      </c>
      <c r="E23" s="167">
        <f>'Cost EST. GM target'!$J$50</f>
        <v>2.2499999999999999E-2</v>
      </c>
      <c r="F23" s="131"/>
    </row>
    <row r="24" spans="1:8" ht="19.5" customHeight="1">
      <c r="A24" s="690"/>
      <c r="B24" s="164" t="s">
        <v>1609</v>
      </c>
      <c r="C24" s="698" t="e">
        <f ca="1">1-($C20+$C22)/($C25-($C20+$C22)*$C23)</f>
        <v>#DIV/0!</v>
      </c>
      <c r="D24" s="698" t="e">
        <f ca="1">1-($D20+$D22)/($D25-($D20+$D22)*$D23)</f>
        <v>#DIV/0!</v>
      </c>
      <c r="E24" s="698" t="e">
        <f ca="1">1-($E20+$E22)/($E25-($E20+$E22)*$E23)</f>
        <v>#DIV/0!</v>
      </c>
      <c r="F24" s="130"/>
    </row>
    <row r="25" spans="1:8" ht="19.5" customHeight="1" thickBot="1">
      <c r="A25" s="691"/>
      <c r="B25" s="169" t="s">
        <v>386</v>
      </c>
      <c r="C25" s="699">
        <f ca="1">ROUNDUP(C20/(1-C21)+C20*C23,0)</f>
        <v>0</v>
      </c>
      <c r="D25" s="699">
        <f ca="1">ROUNDUP(D20/(1-D21)+D20*D23,0)</f>
        <v>0</v>
      </c>
      <c r="E25" s="699">
        <f ca="1">ROUNDUP(E20/(1-E21)+E20*E23,0)</f>
        <v>0</v>
      </c>
      <c r="F25" s="132"/>
    </row>
    <row r="26" spans="1:8" ht="19.5" customHeight="1">
      <c r="A26" s="692" t="s">
        <v>389</v>
      </c>
      <c r="B26" s="154" t="s">
        <v>380</v>
      </c>
      <c r="C26" s="155">
        <v>0</v>
      </c>
      <c r="D26" s="155">
        <v>0</v>
      </c>
      <c r="E26" s="155">
        <v>0</v>
      </c>
      <c r="F26" s="170"/>
    </row>
    <row r="27" spans="1:8" ht="19.5" customHeight="1">
      <c r="A27" s="693"/>
      <c r="B27" s="157" t="s">
        <v>260</v>
      </c>
      <c r="C27" s="185">
        <f ca="1">(INT(weight!$G$46*C26/0.5)+1)*0.5</f>
        <v>0.5</v>
      </c>
      <c r="D27" s="185">
        <f ca="1">(INT(weight!$G$46*D26/0.5)+1)*0.5</f>
        <v>0.5</v>
      </c>
      <c r="E27" s="185">
        <f ca="1">(INT(weight!$G$46*E26/0.5)+1)*0.5</f>
        <v>0.5</v>
      </c>
      <c r="F27" s="170"/>
    </row>
    <row r="28" spans="1:8" ht="19.5" customHeight="1">
      <c r="A28" s="693"/>
      <c r="B28" s="161" t="s">
        <v>382</v>
      </c>
      <c r="C28" s="186">
        <f>IF(C26&gt;0,IF(C27&lt;=30,VLOOKUP(C27,'Courier charge (DHL)'!$A$21:$K$80,$C$9+1,0),VLOOKUP(30,'Courier charge (DHL)'!$A$21:$K$80,$C$9+1,0)+VLOOKUP("Over 30kgs",'Courier charge (DHL)'!$A$21:$K$81,$C$9+1,0)*ROUNDUP(C27-30,0)))*(1+'Courier charge (DHL)'!$C$91)*(1+'Courier charge (DHL)'!$C$92)/input!$I$5</f>
        <v>0</v>
      </c>
      <c r="D28" s="186">
        <f>IF(D26&gt;0,IF(D27&lt;=30,VLOOKUP(D27,'Courier charge (DHL)'!$A$21:$K$80,$D$9+1,0),VLOOKUP(30,'Courier charge (DHL)'!$A$21:$K$80,$D$9+1,0)+VLOOKUP("Over 30kgs",'Courier charge (DHL)'!$A$21:$K$81,$D$9+1,0)*ROUNDUP(D27-30,0)))*(1+'Courier charge (DHL)'!$C$91)*(1+'Courier charge (DHL)'!$C$92)/input!$I$5</f>
        <v>0</v>
      </c>
      <c r="E28" s="186">
        <f>IF(E26&gt;0,IF(E27&lt;=30,VLOOKUP(E27,'Courier charge (DHL)'!$A$21:$K$80,$E$9+1,0),VLOOKUP(30,'Courier charge (DHL)'!$A$21:$K$80,$E$9+1,0)+VLOOKUP("Over 30kgs",'Courier charge (DHL)'!$A$21:$K$81,$E$9+1,0)*ROUNDUP(E27-30,0)))*(1+'Courier charge (DHL)'!$C$91)*(1+'Courier charge (DHL)'!$C$92)/input!$I$5</f>
        <v>0</v>
      </c>
      <c r="F28" s="170"/>
    </row>
    <row r="29" spans="1:8" ht="19.5" customHeight="1">
      <c r="A29" s="690"/>
      <c r="B29" s="164" t="s">
        <v>157</v>
      </c>
      <c r="C29" s="165">
        <f ca="1">'Cost EST. GM target'!$J$73</f>
        <v>0.45002378881461591</v>
      </c>
      <c r="D29" s="165">
        <f ca="1">'Cost EST. GM target'!$J$73</f>
        <v>0.45002378881461591</v>
      </c>
      <c r="E29" s="165">
        <f ca="1">'Cost EST. GM target'!$J$73</f>
        <v>0.45002378881461591</v>
      </c>
      <c r="F29" s="130"/>
    </row>
    <row r="30" spans="1:8" ht="19.5" customHeight="1">
      <c r="A30" s="690"/>
      <c r="B30" s="696" t="s">
        <v>1583</v>
      </c>
      <c r="C30" s="697">
        <v>0</v>
      </c>
      <c r="D30" s="697">
        <v>0</v>
      </c>
      <c r="E30" s="697">
        <v>0</v>
      </c>
      <c r="F30" s="695"/>
    </row>
    <row r="31" spans="1:8" ht="19.5" customHeight="1">
      <c r="A31" s="690"/>
      <c r="B31" s="166" t="s">
        <v>75</v>
      </c>
      <c r="C31" s="167">
        <f>'Cost EST. GM target'!$J$50</f>
        <v>2.2499999999999999E-2</v>
      </c>
      <c r="D31" s="167">
        <f>'Cost EST. GM target'!$J$50</f>
        <v>2.2499999999999999E-2</v>
      </c>
      <c r="E31" s="167">
        <f>'Cost EST. GM target'!$J$50</f>
        <v>2.2499999999999999E-2</v>
      </c>
      <c r="F31" s="131"/>
    </row>
    <row r="32" spans="1:8" ht="19.5" customHeight="1">
      <c r="A32" s="690"/>
      <c r="B32" s="164" t="s">
        <v>1609</v>
      </c>
      <c r="C32" s="698" t="e">
        <f ca="1">1-($C28+$C30)/($C33-($C28+$C30)*$C31)</f>
        <v>#DIV/0!</v>
      </c>
      <c r="D32" s="698" t="e">
        <f ca="1">1-($D28+$D30)/($D33-($D28+$D30)*$D31)</f>
        <v>#DIV/0!</v>
      </c>
      <c r="E32" s="698" t="e">
        <f ca="1">1-($E28+$E30)/($E33-($E28+$E30)*$E31)</f>
        <v>#DIV/0!</v>
      </c>
      <c r="F32" s="130"/>
    </row>
    <row r="33" spans="1:7" ht="19.5" customHeight="1" thickBot="1">
      <c r="A33" s="691"/>
      <c r="B33" s="169" t="s">
        <v>386</v>
      </c>
      <c r="C33" s="699">
        <f ca="1">ROUNDUP(C28/(1-C29)+C28*C31,0)</f>
        <v>0</v>
      </c>
      <c r="D33" s="699">
        <f ca="1">ROUNDUP(D28/(1-D29)+D28*D31,0)</f>
        <v>0</v>
      </c>
      <c r="E33" s="699">
        <f ca="1">ROUNDUP(E28/(1-E29)+E28*E31,0)</f>
        <v>0</v>
      </c>
      <c r="F33" s="132"/>
    </row>
    <row r="34" spans="1:7" ht="21.75" customHeight="1">
      <c r="A34" s="689" t="s">
        <v>390</v>
      </c>
      <c r="B34" s="154" t="s">
        <v>380</v>
      </c>
      <c r="C34" s="155">
        <v>0</v>
      </c>
      <c r="D34" s="155">
        <v>0</v>
      </c>
      <c r="E34" s="155">
        <v>0</v>
      </c>
      <c r="F34" s="176"/>
    </row>
    <row r="35" spans="1:7" ht="21.75" customHeight="1">
      <c r="A35" s="690"/>
      <c r="B35" s="157" t="s">
        <v>260</v>
      </c>
      <c r="C35" s="185">
        <f ca="1">(INT(weight!$G$46*C34/0.5)+1)*0.5</f>
        <v>0.5</v>
      </c>
      <c r="D35" s="185">
        <f ca="1">(INT(weight!$G$46*D34/0.5)+1)*0.5</f>
        <v>0.5</v>
      </c>
      <c r="E35" s="185">
        <f ca="1">(INT(weight!$G$46*E34/0.5)+1)*0.5</f>
        <v>0.5</v>
      </c>
      <c r="F35" s="170"/>
    </row>
    <row r="36" spans="1:7" ht="21.75" customHeight="1">
      <c r="A36" s="690"/>
      <c r="B36" s="161" t="s">
        <v>382</v>
      </c>
      <c r="C36" s="186">
        <f>IF(C34&gt;0,IF(C35&lt;=30,VLOOKUP(C35,'Courier charge (DHL)'!$A$21:$K$80,$C$9+1,0),VLOOKUP(30,'Courier charge (DHL)'!$A$21:$K$80,$C$9+1,0)+VLOOKUP("Over 30kgs",'Courier charge (DHL)'!$A$21:$K$81,$C$9+1,0)*ROUNDUP(C35-30,0)))*(1+'Courier charge (DHL)'!$C$91)*(1+'Courier charge (DHL)'!$C$92)/input!$I$5</f>
        <v>0</v>
      </c>
      <c r="D36" s="186">
        <f>IF(D34&gt;0,IF(D35&lt;=30,VLOOKUP(D35,'Courier charge (DHL)'!$A$21:$K$80,$D$9+1,0),VLOOKUP(30,'Courier charge (DHL)'!$A$21:$K$80,$D$9+1,0)+VLOOKUP("Over 30kgs",'Courier charge (DHL)'!$A$21:$K$81,$D$9+1,0)*ROUNDUP(D35-30,0)))*(1+'Courier charge (DHL)'!$C$91)*(1+'Courier charge (DHL)'!$C$92)/input!$I$5</f>
        <v>0</v>
      </c>
      <c r="E36" s="186">
        <f>IF(E34&gt;0,IF(E35&lt;=30,VLOOKUP(E35,'Courier charge (DHL)'!$A$21:$K$80,$E$9+1,0),VLOOKUP(30,'Courier charge (DHL)'!$A$21:$K$80,$E$9+1,0)+VLOOKUP("Over 30kgs",'Courier charge (DHL)'!$A$21:$K$81,$E$9+1,0)*ROUNDUP(E35-30,0)))*(1+'Courier charge (DHL)'!$C$91)*(1+'Courier charge (DHL)'!$C$92)/input!$I$5</f>
        <v>0</v>
      </c>
      <c r="F36" s="170"/>
    </row>
    <row r="37" spans="1:7" ht="21.75" customHeight="1">
      <c r="A37" s="690"/>
      <c r="B37" s="164" t="s">
        <v>157</v>
      </c>
      <c r="C37" s="165">
        <f ca="1">'Cost EST. GM target'!$J$73</f>
        <v>0.45002378881461591</v>
      </c>
      <c r="D37" s="165">
        <f ca="1">'Cost EST. GM target'!$J$73</f>
        <v>0.45002378881461591</v>
      </c>
      <c r="E37" s="165">
        <f ca="1">'Cost EST. GM target'!$J$73</f>
        <v>0.45002378881461591</v>
      </c>
      <c r="F37" s="130"/>
    </row>
    <row r="38" spans="1:7" ht="21.75" customHeight="1">
      <c r="A38" s="690"/>
      <c r="B38" s="696" t="s">
        <v>1583</v>
      </c>
      <c r="C38" s="697">
        <v>0</v>
      </c>
      <c r="D38" s="697">
        <v>0</v>
      </c>
      <c r="E38" s="697">
        <v>0</v>
      </c>
      <c r="F38" s="695"/>
    </row>
    <row r="39" spans="1:7" ht="21.75" customHeight="1">
      <c r="A39" s="690"/>
      <c r="B39" s="166" t="s">
        <v>75</v>
      </c>
      <c r="C39" s="167">
        <f>'Cost EST. GM target'!$J$50</f>
        <v>2.2499999999999999E-2</v>
      </c>
      <c r="D39" s="167">
        <f>'Cost EST. GM target'!$J$50</f>
        <v>2.2499999999999999E-2</v>
      </c>
      <c r="E39" s="167">
        <f>'Cost EST. GM target'!$J$50</f>
        <v>2.2499999999999999E-2</v>
      </c>
      <c r="F39" s="131"/>
    </row>
    <row r="40" spans="1:7" ht="21.75" customHeight="1">
      <c r="A40" s="690"/>
      <c r="B40" s="164" t="s">
        <v>1609</v>
      </c>
      <c r="C40" s="698" t="e">
        <f ca="1">1-($C36+$C38)/($C41-($C36+$C38)*$C39)</f>
        <v>#DIV/0!</v>
      </c>
      <c r="D40" s="698" t="e">
        <f ca="1">1-($D36+$D38)/($D41-($D36+$D38)*$D39)</f>
        <v>#DIV/0!</v>
      </c>
      <c r="E40" s="698" t="e">
        <f ca="1">1-($E36+$E38)/($E41-($E36+$E38)*$E39)</f>
        <v>#DIV/0!</v>
      </c>
      <c r="F40" s="130"/>
    </row>
    <row r="41" spans="1:7" ht="21.75" customHeight="1" thickBot="1">
      <c r="A41" s="691"/>
      <c r="B41" s="169" t="s">
        <v>386</v>
      </c>
      <c r="C41" s="699">
        <f ca="1">ROUNDUP(C36/(1-C37)+C36*C39,0)</f>
        <v>0</v>
      </c>
      <c r="D41" s="699">
        <f ca="1">ROUNDUP(D36/(1-D37)+D36*D39,0)</f>
        <v>0</v>
      </c>
      <c r="E41" s="699">
        <f ca="1">ROUNDUP(E36/(1-E37)+E36*E39,0)</f>
        <v>0</v>
      </c>
      <c r="F41" s="132"/>
    </row>
    <row r="42" spans="1:7" ht="20.25" customHeight="1">
      <c r="A42" s="692" t="s">
        <v>391</v>
      </c>
      <c r="B42" s="154" t="s">
        <v>380</v>
      </c>
      <c r="C42" s="155">
        <v>0</v>
      </c>
      <c r="D42" s="155">
        <v>0</v>
      </c>
      <c r="E42" s="155">
        <v>0</v>
      </c>
      <c r="F42" s="133"/>
    </row>
    <row r="43" spans="1:7">
      <c r="A43" s="693"/>
      <c r="B43" s="157" t="s">
        <v>260</v>
      </c>
      <c r="C43" s="185">
        <f ca="1">(INT(weight!$G$46*C42/0.5)+1)*0.5</f>
        <v>0.5</v>
      </c>
      <c r="D43" s="185">
        <f ca="1">(INT(weight!$G$46*D42/0.5)+1)*0.5</f>
        <v>0.5</v>
      </c>
      <c r="E43" s="185">
        <f ca="1">(INT(weight!$G$46*E42/0.5)+1)*0.5</f>
        <v>0.5</v>
      </c>
      <c r="F43" s="128"/>
    </row>
    <row r="44" spans="1:7">
      <c r="A44" s="693"/>
      <c r="B44" s="161" t="s">
        <v>382</v>
      </c>
      <c r="C44" s="186">
        <f>IF(C42&gt;0,IF(C43&lt;=30,VLOOKUP(C43,'Courier charge (DHL)'!$A$21:$K$80,$C$9+1,0),VLOOKUP(30,'Courier charge (DHL)'!$A$21:$K$80,$C$9+1,0)+VLOOKUP("Over 30kgs",'Courier charge (DHL)'!$A$21:$K$81,$C$9+1,0)*ROUNDUP(C43-30,0)))*(1+'Courier charge (DHL)'!$C$91)*(1+'Courier charge (DHL)'!$C$92)/input!$I$5</f>
        <v>0</v>
      </c>
      <c r="D44" s="186">
        <f>IF(D42&gt;0,IF(D43&lt;=30,VLOOKUP(D43,'Courier charge (DHL)'!$A$21:$K$80,$D$9+1,0),VLOOKUP(30,'Courier charge (DHL)'!$A$21:$K$80,$D$9+1,0)+VLOOKUP("Over 30kgs",'Courier charge (DHL)'!$A$21:$K$81,$D$9+1,0)*ROUNDUP(D43-30,0)))*(1+'Courier charge (DHL)'!$C$91)*(1+'Courier charge (DHL)'!$C$92)/input!$I$5</f>
        <v>0</v>
      </c>
      <c r="E44" s="186">
        <f>IF(E42&gt;0,IF(E43&lt;=30,VLOOKUP(E43,'Courier charge (DHL)'!$A$21:$K$80,$E$9+1,0),VLOOKUP(30,'Courier charge (DHL)'!$A$21:$K$80,$E$9+1,0)+VLOOKUP("Over 30kgs",'Courier charge (DHL)'!$A$21:$K$81,$E$9+1,0)*ROUNDUP(E43-30,0)))*(1+'Courier charge (DHL)'!$C$91)*(1+'Courier charge (DHL)'!$C$92)/input!$I$5</f>
        <v>0</v>
      </c>
      <c r="F44" s="129"/>
      <c r="G44" s="177"/>
    </row>
    <row r="45" spans="1:7">
      <c r="A45" s="693"/>
      <c r="B45" s="164" t="s">
        <v>157</v>
      </c>
      <c r="C45" s="165">
        <f ca="1">'Cost EST. GM target'!$J$73</f>
        <v>0.45002378881461591</v>
      </c>
      <c r="D45" s="165">
        <f ca="1">'Cost EST. GM target'!$J$73</f>
        <v>0.45002378881461591</v>
      </c>
      <c r="E45" s="165">
        <f ca="1">'Cost EST. GM target'!$J$73</f>
        <v>0.45002378881461591</v>
      </c>
      <c r="F45" s="130"/>
    </row>
    <row r="46" spans="1:7">
      <c r="A46" s="693"/>
      <c r="B46" s="696" t="s">
        <v>1583</v>
      </c>
      <c r="C46" s="697">
        <v>0</v>
      </c>
      <c r="D46" s="697">
        <v>0</v>
      </c>
      <c r="E46" s="697">
        <v>0</v>
      </c>
      <c r="F46" s="695"/>
    </row>
    <row r="47" spans="1:7">
      <c r="A47" s="693"/>
      <c r="B47" s="166" t="s">
        <v>75</v>
      </c>
      <c r="C47" s="167">
        <f>'Cost EST. GM target'!$J$50</f>
        <v>2.2499999999999999E-2</v>
      </c>
      <c r="D47" s="167">
        <f>'Cost EST. GM target'!$J$50</f>
        <v>2.2499999999999999E-2</v>
      </c>
      <c r="E47" s="167">
        <f>'Cost EST. GM target'!$J$50</f>
        <v>2.2499999999999999E-2</v>
      </c>
      <c r="F47" s="131"/>
    </row>
    <row r="48" spans="1:7">
      <c r="A48" s="693"/>
      <c r="B48" s="164" t="s">
        <v>1609</v>
      </c>
      <c r="C48" s="698" t="e">
        <f ca="1">1-($C44+$C46)/($C49-($C44+$C46)*$C47)</f>
        <v>#DIV/0!</v>
      </c>
      <c r="D48" s="698" t="e">
        <f ca="1">1-($D44+$D46)/($D49-($D44+$D46)*$D47)</f>
        <v>#DIV/0!</v>
      </c>
      <c r="E48" s="698" t="e">
        <f ca="1">1-($E44+$E46)/($E49-($E44+$E46)*$E47)</f>
        <v>#DIV/0!</v>
      </c>
      <c r="F48" s="130"/>
    </row>
    <row r="49" spans="1:7" ht="22.5" thickBot="1">
      <c r="A49" s="694"/>
      <c r="B49" s="169" t="s">
        <v>386</v>
      </c>
      <c r="C49" s="699">
        <f ca="1">ROUNDUP(C44/(1-C45)+C44*C47,0)</f>
        <v>0</v>
      </c>
      <c r="D49" s="699">
        <f ca="1">ROUNDUP(D44/(1-D45)+D44*D47,0)</f>
        <v>0</v>
      </c>
      <c r="E49" s="699">
        <f ca="1">ROUNDUP(E44/(1-E45)+E44*E47,0)</f>
        <v>0</v>
      </c>
      <c r="F49" s="132"/>
    </row>
    <row r="50" spans="1:7" ht="20.25" customHeight="1">
      <c r="A50" s="692" t="s">
        <v>392</v>
      </c>
      <c r="B50" s="154" t="s">
        <v>380</v>
      </c>
      <c r="C50" s="155">
        <v>0</v>
      </c>
      <c r="D50" s="155">
        <v>0</v>
      </c>
      <c r="E50" s="155">
        <v>0</v>
      </c>
      <c r="F50" s="133"/>
    </row>
    <row r="51" spans="1:7">
      <c r="A51" s="693"/>
      <c r="B51" s="157" t="s">
        <v>260</v>
      </c>
      <c r="C51" s="185">
        <f ca="1">(INT(weight!$G$46*C50/0.5)+1)*0.5</f>
        <v>0.5</v>
      </c>
      <c r="D51" s="185">
        <f ca="1">(INT(weight!$G$46*D50/0.5)+1)*0.5</f>
        <v>0.5</v>
      </c>
      <c r="E51" s="185">
        <f ca="1">(INT(weight!$G$46*E50/0.5)+1)*0.5</f>
        <v>0.5</v>
      </c>
      <c r="F51" s="128"/>
    </row>
    <row r="52" spans="1:7">
      <c r="A52" s="693"/>
      <c r="B52" s="161" t="s">
        <v>382</v>
      </c>
      <c r="C52" s="186">
        <f>IF(C50&gt;0,IF(C51&lt;=30,VLOOKUP(C51,'Courier charge (DHL)'!$A$21:$K$80,$C$9+1,0),VLOOKUP(30,'Courier charge (DHL)'!$A$21:$K$80,$C$9+1,0)+VLOOKUP("Over 30kgs",'Courier charge (DHL)'!$A$21:$K$81,$C$9+1,0)*ROUNDUP(C51-30,0)))*(1+'Courier charge (DHL)'!$C$91)*(1+'Courier charge (DHL)'!$C$92)/input!$I$5</f>
        <v>0</v>
      </c>
      <c r="D52" s="186">
        <f>IF(D50&gt;0,IF(D51&lt;=30,VLOOKUP(D51,'Courier charge (DHL)'!$A$21:$K$80,$D$9+1,0),VLOOKUP(30,'Courier charge (DHL)'!$A$21:$K$80,$D$9+1,0)+VLOOKUP("Over 30kgs",'Courier charge (DHL)'!$A$21:$K$81,$D$9+1,0)*ROUNDUP(D51-30,0)))*(1+'Courier charge (DHL)'!$C$91)*(1+'Courier charge (DHL)'!$C$92)/input!$I$5</f>
        <v>0</v>
      </c>
      <c r="E52" s="186">
        <f>IF(E50&gt;0,IF(E51&lt;=30,VLOOKUP(E51,'Courier charge (DHL)'!$A$21:$K$80,$E$9+1,0),VLOOKUP(30,'Courier charge (DHL)'!$A$21:$K$80,$E$9+1,0)+VLOOKUP("Over 30kgs",'Courier charge (DHL)'!$A$21:$K$81,$E$9+1,0)*ROUNDUP(E51-30,0)))*(1+'Courier charge (DHL)'!$C$91)*(1+'Courier charge (DHL)'!$C$92)/input!$I$5</f>
        <v>0</v>
      </c>
      <c r="F52" s="129"/>
      <c r="G52" s="177"/>
    </row>
    <row r="53" spans="1:7">
      <c r="A53" s="693"/>
      <c r="B53" s="164" t="s">
        <v>157</v>
      </c>
      <c r="C53" s="165">
        <f ca="1">'Cost EST. GM target'!$J$73</f>
        <v>0.45002378881461591</v>
      </c>
      <c r="D53" s="165">
        <f ca="1">'Cost EST. GM target'!$J$73</f>
        <v>0.45002378881461591</v>
      </c>
      <c r="E53" s="165">
        <f ca="1">'Cost EST. GM target'!$J$73</f>
        <v>0.45002378881461591</v>
      </c>
      <c r="F53" s="130"/>
    </row>
    <row r="54" spans="1:7">
      <c r="A54" s="693"/>
      <c r="B54" s="696" t="s">
        <v>1583</v>
      </c>
      <c r="C54" s="697">
        <v>0</v>
      </c>
      <c r="D54" s="697">
        <v>0</v>
      </c>
      <c r="E54" s="697">
        <v>0</v>
      </c>
      <c r="F54" s="695"/>
    </row>
    <row r="55" spans="1:7">
      <c r="A55" s="693"/>
      <c r="B55" s="166" t="s">
        <v>75</v>
      </c>
      <c r="C55" s="167">
        <f>'Cost EST. GM target'!$J$50</f>
        <v>2.2499999999999999E-2</v>
      </c>
      <c r="D55" s="167">
        <f>'Cost EST. GM target'!$J$50</f>
        <v>2.2499999999999999E-2</v>
      </c>
      <c r="E55" s="167">
        <f>'Cost EST. GM target'!$J$50</f>
        <v>2.2499999999999999E-2</v>
      </c>
      <c r="F55" s="131"/>
    </row>
    <row r="56" spans="1:7">
      <c r="A56" s="693"/>
      <c r="B56" s="164" t="s">
        <v>1609</v>
      </c>
      <c r="C56" s="698" t="e">
        <f ca="1">1-($C52+$C54)/($C57-($C52+$C54)*$C55)</f>
        <v>#DIV/0!</v>
      </c>
      <c r="D56" s="698" t="e">
        <f ca="1">1-($D52+$D54)/($D57-($D52+$D54)*$D55)</f>
        <v>#DIV/0!</v>
      </c>
      <c r="E56" s="698" t="e">
        <f ca="1">1-($E52+$E54)/($E57-($E52+$E54)*$E55)</f>
        <v>#DIV/0!</v>
      </c>
      <c r="F56" s="130"/>
    </row>
    <row r="57" spans="1:7" ht="22.5" thickBot="1">
      <c r="A57" s="694"/>
      <c r="B57" s="169" t="s">
        <v>386</v>
      </c>
      <c r="C57" s="699">
        <f ca="1">ROUNDUP(C52/(1-C53)+C52*C55,0)</f>
        <v>0</v>
      </c>
      <c r="D57" s="699">
        <f ca="1">ROUNDUP(D52/(1-D53)+D52*D55,0)</f>
        <v>0</v>
      </c>
      <c r="E57" s="699">
        <f ca="1">ROUNDUP(E52/(1-E53)+E52*E55,0)</f>
        <v>0</v>
      </c>
      <c r="F57" s="132"/>
    </row>
    <row r="59" spans="1:7" s="179" customFormat="1" ht="21.75" customHeight="1">
      <c r="A59" s="147"/>
      <c r="B59" s="147"/>
      <c r="C59" s="178"/>
      <c r="D59" s="178"/>
      <c r="E59" s="178"/>
    </row>
    <row r="60" spans="1:7" s="179" customFormat="1" ht="21.75" customHeight="1">
      <c r="A60" s="147"/>
      <c r="B60" s="147"/>
      <c r="C60" s="178"/>
      <c r="D60" s="178"/>
      <c r="E60" s="178"/>
    </row>
    <row r="61" spans="1:7" s="179" customFormat="1" ht="21.75" customHeight="1">
      <c r="A61" s="180" t="s">
        <v>147</v>
      </c>
      <c r="B61" s="178" t="s">
        <v>393</v>
      </c>
      <c r="C61" s="178"/>
      <c r="D61" s="178"/>
      <c r="E61" s="178"/>
    </row>
    <row r="63" spans="1:7">
      <c r="A63" s="181"/>
      <c r="B63" s="182"/>
    </row>
    <row r="64" spans="1:7">
      <c r="A64" s="181"/>
      <c r="B64" s="182"/>
    </row>
    <row r="65" spans="1:2">
      <c r="A65" s="181"/>
      <c r="B65" s="183"/>
    </row>
    <row r="163" spans="1:2">
      <c r="A163" s="184" t="s">
        <v>394</v>
      </c>
      <c r="B163" s="184"/>
    </row>
    <row r="164" spans="1:2">
      <c r="A164" s="184" t="s">
        <v>395</v>
      </c>
      <c r="B164" s="184"/>
    </row>
    <row r="165" spans="1:2">
      <c r="A165" s="184" t="s">
        <v>396</v>
      </c>
      <c r="B165" s="184"/>
    </row>
    <row r="166" spans="1:2">
      <c r="A166" s="184" t="s">
        <v>397</v>
      </c>
      <c r="B166" s="184"/>
    </row>
    <row r="167" spans="1:2">
      <c r="A167" s="184" t="s">
        <v>296</v>
      </c>
      <c r="B167" s="184"/>
    </row>
    <row r="168" spans="1:2">
      <c r="A168" s="184" t="s">
        <v>398</v>
      </c>
      <c r="B168" s="184"/>
    </row>
    <row r="169" spans="1:2">
      <c r="A169" s="184" t="s">
        <v>305</v>
      </c>
      <c r="B169" s="184"/>
    </row>
    <row r="170" spans="1:2">
      <c r="A170" s="184" t="s">
        <v>399</v>
      </c>
      <c r="B170" s="184"/>
    </row>
    <row r="171" spans="1:2">
      <c r="A171" s="184" t="s">
        <v>400</v>
      </c>
      <c r="B171" s="184"/>
    </row>
    <row r="172" spans="1:2">
      <c r="A172" s="184" t="s">
        <v>401</v>
      </c>
      <c r="B172" s="184"/>
    </row>
    <row r="173" spans="1:2">
      <c r="A173" s="184" t="s">
        <v>297</v>
      </c>
      <c r="B173" s="184"/>
    </row>
    <row r="174" spans="1:2">
      <c r="A174" s="184" t="s">
        <v>402</v>
      </c>
      <c r="B174" s="184"/>
    </row>
    <row r="175" spans="1:2">
      <c r="A175" s="184" t="s">
        <v>302</v>
      </c>
      <c r="B175" s="184"/>
    </row>
    <row r="176" spans="1:2">
      <c r="A176" s="184" t="s">
        <v>403</v>
      </c>
      <c r="B176" s="184"/>
    </row>
    <row r="177" spans="1:2">
      <c r="A177" s="184" t="s">
        <v>404</v>
      </c>
      <c r="B177" s="184"/>
    </row>
    <row r="178" spans="1:2">
      <c r="A178" s="184" t="s">
        <v>405</v>
      </c>
      <c r="B178" s="184"/>
    </row>
    <row r="179" spans="1:2">
      <c r="A179" s="184" t="s">
        <v>406</v>
      </c>
      <c r="B179" s="184"/>
    </row>
    <row r="180" spans="1:2">
      <c r="A180" s="184" t="s">
        <v>407</v>
      </c>
      <c r="B180" s="184"/>
    </row>
    <row r="181" spans="1:2">
      <c r="A181" s="184" t="s">
        <v>376</v>
      </c>
      <c r="B181" s="184"/>
    </row>
    <row r="182" spans="1:2">
      <c r="A182" s="184" t="s">
        <v>273</v>
      </c>
      <c r="B182" s="184"/>
    </row>
    <row r="183" spans="1:2">
      <c r="A183" s="184" t="s">
        <v>408</v>
      </c>
      <c r="B183" s="184"/>
    </row>
    <row r="184" spans="1:2">
      <c r="A184" s="184" t="s">
        <v>409</v>
      </c>
      <c r="B184" s="184"/>
    </row>
    <row r="185" spans="1:2">
      <c r="A185" s="184" t="s">
        <v>410</v>
      </c>
      <c r="B185" s="184"/>
    </row>
    <row r="186" spans="1:2">
      <c r="A186" s="184" t="s">
        <v>411</v>
      </c>
      <c r="B186" s="184"/>
    </row>
    <row r="187" spans="1:2">
      <c r="A187" s="184" t="s">
        <v>412</v>
      </c>
      <c r="B187" s="184"/>
    </row>
    <row r="188" spans="1:2">
      <c r="A188" s="184" t="s">
        <v>295</v>
      </c>
      <c r="B188" s="184"/>
    </row>
    <row r="189" spans="1:2">
      <c r="A189" s="184" t="s">
        <v>203</v>
      </c>
      <c r="B189" s="184"/>
    </row>
    <row r="190" spans="1:2">
      <c r="A190" s="184" t="s">
        <v>413</v>
      </c>
      <c r="B190" s="184"/>
    </row>
    <row r="191" spans="1:2">
      <c r="A191" s="184" t="s">
        <v>414</v>
      </c>
      <c r="B191" s="184"/>
    </row>
    <row r="192" spans="1:2">
      <c r="A192" s="184" t="s">
        <v>415</v>
      </c>
      <c r="B192" s="184"/>
    </row>
    <row r="193" spans="1:2">
      <c r="A193" s="184" t="s">
        <v>416</v>
      </c>
      <c r="B193" s="184"/>
    </row>
    <row r="194" spans="1:2">
      <c r="A194" s="184" t="s">
        <v>417</v>
      </c>
      <c r="B194" s="184"/>
    </row>
    <row r="195" spans="1:2">
      <c r="A195" s="184" t="s">
        <v>418</v>
      </c>
      <c r="B195" s="184"/>
    </row>
    <row r="196" spans="1:2">
      <c r="A196" s="184" t="s">
        <v>419</v>
      </c>
      <c r="B196" s="184"/>
    </row>
    <row r="197" spans="1:2">
      <c r="A197" s="184" t="s">
        <v>420</v>
      </c>
      <c r="B197" s="184"/>
    </row>
    <row r="198" spans="1:2">
      <c r="A198" s="184" t="s">
        <v>421</v>
      </c>
      <c r="B198" s="184"/>
    </row>
    <row r="199" spans="1:2">
      <c r="A199" s="184" t="s">
        <v>422</v>
      </c>
      <c r="B199" s="184"/>
    </row>
    <row r="200" spans="1:2">
      <c r="A200" s="184" t="s">
        <v>299</v>
      </c>
      <c r="B200" s="184"/>
    </row>
    <row r="201" spans="1:2">
      <c r="A201" s="184" t="s">
        <v>423</v>
      </c>
      <c r="B201" s="184"/>
    </row>
    <row r="202" spans="1:2">
      <c r="A202" s="184" t="s">
        <v>424</v>
      </c>
      <c r="B202" s="184"/>
    </row>
    <row r="203" spans="1:2">
      <c r="A203" s="184" t="s">
        <v>304</v>
      </c>
      <c r="B203" s="184"/>
    </row>
    <row r="204" spans="1:2">
      <c r="A204" s="184" t="s">
        <v>293</v>
      </c>
      <c r="B204" s="184"/>
    </row>
    <row r="205" spans="1:2">
      <c r="A205" s="184" t="s">
        <v>307</v>
      </c>
      <c r="B205" s="184"/>
    </row>
    <row r="206" spans="1:2">
      <c r="A206" s="184" t="s">
        <v>425</v>
      </c>
      <c r="B206" s="184"/>
    </row>
    <row r="207" spans="1:2">
      <c r="A207" s="184" t="s">
        <v>306</v>
      </c>
      <c r="B207" s="184"/>
    </row>
    <row r="208" spans="1:2">
      <c r="A208" s="184" t="s">
        <v>426</v>
      </c>
      <c r="B208" s="184"/>
    </row>
    <row r="209" spans="1:2">
      <c r="A209" s="184" t="s">
        <v>427</v>
      </c>
      <c r="B209" s="184"/>
    </row>
    <row r="210" spans="1:2">
      <c r="A210" s="184" t="s">
        <v>308</v>
      </c>
      <c r="B210" s="184"/>
    </row>
    <row r="211" spans="1:2">
      <c r="A211" s="184" t="s">
        <v>294</v>
      </c>
      <c r="B211" s="184"/>
    </row>
    <row r="212" spans="1:2">
      <c r="A212" s="184" t="s">
        <v>428</v>
      </c>
      <c r="B212" s="184"/>
    </row>
    <row r="213" spans="1:2">
      <c r="A213" s="184" t="s">
        <v>429</v>
      </c>
      <c r="B213" s="184"/>
    </row>
    <row r="214" spans="1:2">
      <c r="A214" s="184" t="s">
        <v>300</v>
      </c>
      <c r="B214" s="184"/>
    </row>
    <row r="215" spans="1:2">
      <c r="A215" s="184" t="s">
        <v>301</v>
      </c>
      <c r="B215" s="184"/>
    </row>
    <row r="216" spans="1:2">
      <c r="A216" s="184" t="s">
        <v>298</v>
      </c>
      <c r="B216" s="184"/>
    </row>
    <row r="217" spans="1:2">
      <c r="A217" s="184" t="s">
        <v>221</v>
      </c>
      <c r="B217" s="184"/>
    </row>
    <row r="218" spans="1:2">
      <c r="A218" s="184" t="s">
        <v>292</v>
      </c>
      <c r="B218" s="184"/>
    </row>
    <row r="219" spans="1:2">
      <c r="A219" s="184" t="s">
        <v>430</v>
      </c>
      <c r="B219" s="184"/>
    </row>
    <row r="220" spans="1:2">
      <c r="A220" s="184" t="s">
        <v>431</v>
      </c>
      <c r="B220" s="184"/>
    </row>
    <row r="221" spans="1:2">
      <c r="A221" s="184" t="s">
        <v>303</v>
      </c>
      <c r="B221" s="184"/>
    </row>
    <row r="222" spans="1:2">
      <c r="A222" s="184" t="s">
        <v>375</v>
      </c>
      <c r="B222" s="184"/>
    </row>
    <row r="223" spans="1:2">
      <c r="A223" s="184" t="s">
        <v>272</v>
      </c>
      <c r="B223" s="184"/>
    </row>
    <row r="224" spans="1:2">
      <c r="A224" s="184" t="s">
        <v>432</v>
      </c>
      <c r="B224" s="184"/>
    </row>
    <row r="225" spans="1:2">
      <c r="A225" s="184" t="s">
        <v>226</v>
      </c>
      <c r="B225" s="184"/>
    </row>
  </sheetData>
  <mergeCells count="3">
    <mergeCell ref="I10:J10"/>
    <mergeCell ref="M10:N10"/>
    <mergeCell ref="K10:L10"/>
  </mergeCells>
  <phoneticPr fontId="0" type="noConversion"/>
  <dataValidations disablePrompts="1" count="2">
    <dataValidation type="list" allowBlank="1" showInputMessage="1" showErrorMessage="1" sqref="B63:B64" xr:uid="{00000000-0002-0000-0000-000000000000}">
      <formula1>"Quynh Chau, Huyen Linh, Uyen Vy, Hong Anh"</formula1>
    </dataValidation>
    <dataValidation type="list" allowBlank="1" showInputMessage="1" showErrorMessage="1" sqref="C9:E9" xr:uid="{00000000-0002-0000-0000-000001000000}">
      <formula1>"1,2,3,4,5,6,7,8,9,10"</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73"/>
  <sheetViews>
    <sheetView showGridLines="0" zoomScale="80" zoomScaleNormal="80" workbookViewId="0">
      <selection activeCell="M28" sqref="M28"/>
    </sheetView>
  </sheetViews>
  <sheetFormatPr defaultColWidth="6.42578125" defaultRowHeight="15" outlineLevelRow="1"/>
  <cols>
    <col min="1" max="1" width="5.5703125" style="3257" customWidth="1"/>
    <col min="2" max="2" width="27.28515625" style="3257" customWidth="1"/>
    <col min="3" max="5" width="9.28515625" style="3257" customWidth="1"/>
    <col min="6" max="6" width="10.42578125" style="3257" customWidth="1"/>
    <col min="7" max="7" width="15" style="3257" customWidth="1"/>
    <col min="8" max="8" width="14.28515625" style="3257" customWidth="1"/>
    <col min="9" max="9" width="13.28515625" style="3257" customWidth="1"/>
    <col min="10" max="10" width="14" style="3257" customWidth="1"/>
    <col min="11" max="11" width="17.28515625" style="3257" customWidth="1"/>
    <col min="12" max="16384" width="6.42578125" style="3257"/>
  </cols>
  <sheetData>
    <row r="1" spans="1:11" ht="51.75" customHeight="1">
      <c r="A1" s="3253"/>
      <c r="B1" s="3254"/>
      <c r="C1" s="3255"/>
      <c r="D1" s="3255"/>
      <c r="E1" s="3255"/>
      <c r="F1" s="3255"/>
      <c r="G1" s="3255"/>
      <c r="H1" s="3255"/>
      <c r="I1" s="3255"/>
      <c r="J1" s="3255"/>
      <c r="K1" s="3256"/>
    </row>
    <row r="2" spans="1:11" ht="27.75" customHeight="1">
      <c r="A2" s="3258"/>
      <c r="B2" s="3259"/>
      <c r="C2" s="3259"/>
      <c r="D2" s="3259"/>
      <c r="E2" s="3259"/>
      <c r="F2" s="3259"/>
      <c r="G2" s="3259"/>
      <c r="H2" s="3259"/>
      <c r="I2" s="3259"/>
      <c r="J2" s="3259"/>
      <c r="K2" s="703"/>
    </row>
    <row r="3" spans="1:11" ht="30.75">
      <c r="A3" s="4087" t="s">
        <v>1641</v>
      </c>
      <c r="B3" s="4088"/>
      <c r="C3" s="4088"/>
      <c r="D3" s="4088"/>
      <c r="E3" s="4088"/>
      <c r="F3" s="4088"/>
      <c r="G3" s="4088"/>
      <c r="H3" s="4088"/>
      <c r="I3" s="4088"/>
      <c r="J3" s="4088"/>
      <c r="K3" s="4089"/>
    </row>
    <row r="4" spans="1:11" s="3263" customFormat="1" ht="9.75" customHeight="1">
      <c r="A4" s="3260"/>
      <c r="B4" s="3261"/>
      <c r="C4" s="3261"/>
      <c r="D4" s="3261"/>
      <c r="E4" s="3261"/>
      <c r="F4" s="3261"/>
      <c r="G4" s="3261"/>
      <c r="H4" s="3261"/>
      <c r="I4" s="3261"/>
      <c r="J4" s="3261"/>
      <c r="K4" s="3262"/>
    </row>
    <row r="5" spans="1:11" s="3263" customFormat="1" ht="15.75">
      <c r="A5" s="3258" t="s">
        <v>1642</v>
      </c>
      <c r="C5" s="3264" t="str">
        <f>":" &amp; 'Cost EST. GM target'!$G$3</f>
        <v>:Friwo</v>
      </c>
      <c r="H5" s="3259" t="s">
        <v>1643</v>
      </c>
      <c r="J5" s="3265" t="str">
        <f>":" &amp;'Cost EST. GM target'!D77</f>
        <v>:SP2023/3950/01</v>
      </c>
      <c r="K5" s="704"/>
    </row>
    <row r="6" spans="1:11" s="3263" customFormat="1" ht="15.75" customHeight="1">
      <c r="A6" s="3258" t="s">
        <v>1644</v>
      </c>
      <c r="C6" s="3264" t="s">
        <v>1645</v>
      </c>
      <c r="H6" s="3259" t="s">
        <v>1646</v>
      </c>
      <c r="J6" s="3317">
        <f>'Cost EST. GM target'!D76</f>
        <v>45156</v>
      </c>
      <c r="K6" s="704"/>
    </row>
    <row r="7" spans="1:11" s="3263" customFormat="1" ht="17.25">
      <c r="A7" s="3258" t="s">
        <v>1647</v>
      </c>
      <c r="C7" s="3264" t="s">
        <v>1645</v>
      </c>
      <c r="H7" s="3259" t="s">
        <v>3378</v>
      </c>
      <c r="I7" s="3266"/>
      <c r="J7" s="3267" t="s">
        <v>1681</v>
      </c>
      <c r="K7" s="705"/>
    </row>
    <row r="8" spans="1:11" s="3263" customFormat="1" ht="17.25">
      <c r="A8" s="3258" t="s">
        <v>1648</v>
      </c>
      <c r="C8" s="3264" t="s">
        <v>1645</v>
      </c>
      <c r="H8" s="3259" t="s">
        <v>3379</v>
      </c>
      <c r="I8" s="3266"/>
      <c r="J8" s="3267" t="str">
        <f>IFERROR(": " &amp; VLOOKUP($J$7,$B$45:$G$65,2,0),"")</f>
        <v>: +84 916.689.787</v>
      </c>
      <c r="K8" s="705"/>
    </row>
    <row r="9" spans="1:11" s="3263" customFormat="1" ht="17.25">
      <c r="A9" s="3268"/>
      <c r="C9" s="3264"/>
      <c r="H9" s="3259" t="s">
        <v>1649</v>
      </c>
      <c r="I9" s="3266"/>
      <c r="J9" s="3267" t="str">
        <f>IFERROR(": " &amp; VLOOKUP($J$7,$B$45:$G$65,4,0),"")</f>
        <v>: thuy.ltt@starprintvn.com</v>
      </c>
      <c r="K9" s="705"/>
    </row>
    <row r="10" spans="1:11" ht="9.75" customHeight="1" thickBot="1">
      <c r="A10" s="3258"/>
      <c r="B10" s="3259"/>
      <c r="C10" s="3259"/>
      <c r="D10" s="3259"/>
      <c r="E10" s="3259"/>
      <c r="F10" s="3259"/>
      <c r="G10" s="3259"/>
      <c r="H10" s="3259"/>
      <c r="I10" s="3259"/>
      <c r="J10" s="3259"/>
      <c r="K10" s="3269"/>
    </row>
    <row r="11" spans="1:11" s="3270" customFormat="1" ht="12.75">
      <c r="A11" s="4090" t="s">
        <v>3380</v>
      </c>
      <c r="B11" s="4092" t="s">
        <v>1650</v>
      </c>
      <c r="C11" s="4094" t="s">
        <v>1651</v>
      </c>
      <c r="D11" s="4094"/>
      <c r="E11" s="4094"/>
      <c r="F11" s="4094" t="s">
        <v>1652</v>
      </c>
      <c r="G11" s="4094" t="s">
        <v>3381</v>
      </c>
      <c r="H11" s="4094" t="s">
        <v>1653</v>
      </c>
      <c r="I11" s="4094"/>
      <c r="J11" s="4094" t="s">
        <v>1654</v>
      </c>
      <c r="K11" s="4096" t="s">
        <v>1655</v>
      </c>
    </row>
    <row r="12" spans="1:11" s="3270" customFormat="1" ht="28.5" customHeight="1">
      <c r="A12" s="4091"/>
      <c r="B12" s="4093"/>
      <c r="C12" s="3271" t="s">
        <v>1656</v>
      </c>
      <c r="D12" s="3271" t="s">
        <v>1657</v>
      </c>
      <c r="E12" s="3271" t="s">
        <v>1658</v>
      </c>
      <c r="F12" s="4095"/>
      <c r="G12" s="4095"/>
      <c r="H12" s="3271" t="s">
        <v>1659</v>
      </c>
      <c r="I12" s="3271" t="s">
        <v>1660</v>
      </c>
      <c r="J12" s="4095"/>
      <c r="K12" s="4097"/>
    </row>
    <row r="13" spans="1:11">
      <c r="A13" s="3272"/>
      <c r="B13" s="3273"/>
      <c r="C13" s="3274"/>
      <c r="D13" s="3275"/>
      <c r="E13" s="3275"/>
      <c r="F13" s="3276"/>
      <c r="G13" s="3277"/>
      <c r="H13" s="3278"/>
      <c r="I13" s="3278"/>
      <c r="J13" s="3279"/>
      <c r="K13" s="3280"/>
    </row>
    <row r="14" spans="1:11">
      <c r="A14" s="3281">
        <v>1</v>
      </c>
      <c r="B14" s="706" t="str">
        <f>+'Cost EST. GM target'!G4</f>
        <v>Corrugated box - 20001531</v>
      </c>
      <c r="C14" s="3282">
        <f ca="1">+input!D11</f>
        <v>133</v>
      </c>
      <c r="D14" s="3282">
        <f ca="1">+input!E11</f>
        <v>52</v>
      </c>
      <c r="E14" s="3282">
        <f ca="1">+input!F11</f>
        <v>205</v>
      </c>
      <c r="F14" s="3284" t="str">
        <f>+'Cost EST. GM target'!E19</f>
        <v>1 Color(s)</v>
      </c>
      <c r="G14" s="3285"/>
      <c r="H14" s="3286" t="str">
        <f>+Paper!D7</f>
        <v>GB</v>
      </c>
      <c r="I14" s="3286">
        <f>+Paper!B7</f>
        <v>300</v>
      </c>
      <c r="J14" s="3287">
        <f ca="1">+'Cost EST. GM target'!J41</f>
        <v>3964.5699495931244</v>
      </c>
      <c r="K14" s="3288">
        <f>+'Cost EST. GM target'!J14</f>
        <v>5000</v>
      </c>
    </row>
    <row r="15" spans="1:11">
      <c r="A15" s="3281"/>
      <c r="B15" s="706"/>
      <c r="C15" s="3282"/>
      <c r="D15" s="3283"/>
      <c r="E15" s="3283"/>
      <c r="F15" s="3284"/>
      <c r="G15" s="3285"/>
      <c r="H15" s="3286"/>
      <c r="I15" s="3286"/>
      <c r="J15" s="3287"/>
      <c r="K15" s="3288"/>
    </row>
    <row r="16" spans="1:11" ht="15.75" thickBot="1">
      <c r="A16" s="3289"/>
      <c r="B16" s="3290"/>
      <c r="C16" s="3291"/>
      <c r="D16" s="3292"/>
      <c r="E16" s="3292"/>
      <c r="F16" s="3293"/>
      <c r="G16" s="3294"/>
      <c r="H16" s="3295"/>
      <c r="I16" s="3295"/>
      <c r="J16" s="3296"/>
      <c r="K16" s="3297"/>
    </row>
    <row r="17" spans="1:11" ht="5.25" customHeight="1">
      <c r="A17" s="3258"/>
      <c r="B17" s="3259"/>
      <c r="C17" s="3259"/>
      <c r="D17" s="3259"/>
      <c r="E17" s="3259"/>
      <c r="F17" s="3259"/>
      <c r="G17" s="3259"/>
      <c r="H17" s="3259"/>
      <c r="I17" s="3259"/>
      <c r="J17" s="3259"/>
      <c r="K17" s="703"/>
    </row>
    <row r="18" spans="1:11">
      <c r="A18" s="3298" t="s">
        <v>3382</v>
      </c>
      <c r="B18" s="3299"/>
      <c r="C18" s="3259"/>
      <c r="D18" s="3259" t="s">
        <v>3383</v>
      </c>
      <c r="E18" s="3259"/>
      <c r="F18" s="3259"/>
      <c r="G18" s="3259"/>
      <c r="H18" s="3259"/>
      <c r="I18" s="3259"/>
      <c r="J18" s="3259"/>
      <c r="K18" s="707"/>
    </row>
    <row r="19" spans="1:11">
      <c r="A19" s="3298"/>
      <c r="B19" s="3299"/>
      <c r="C19" s="3259"/>
      <c r="D19" s="3259" t="s">
        <v>1661</v>
      </c>
      <c r="E19" s="3259"/>
      <c r="F19" s="3259"/>
      <c r="G19" s="3259"/>
      <c r="H19" s="3259"/>
      <c r="I19" s="3259"/>
      <c r="J19" s="3259"/>
      <c r="K19" s="707"/>
    </row>
    <row r="20" spans="1:11">
      <c r="A20" s="3298" t="s">
        <v>1662</v>
      </c>
      <c r="B20" s="3299"/>
      <c r="C20" s="3259"/>
      <c r="D20" s="3259" t="s">
        <v>1645</v>
      </c>
      <c r="E20" s="3259"/>
      <c r="F20" s="3259"/>
      <c r="G20" s="3259"/>
      <c r="H20" s="3259"/>
      <c r="I20" s="3259"/>
      <c r="J20" s="3259"/>
      <c r="K20" s="707"/>
    </row>
    <row r="21" spans="1:11">
      <c r="A21" s="3298" t="s">
        <v>1663</v>
      </c>
      <c r="B21" s="3299"/>
      <c r="C21" s="3259"/>
      <c r="D21" s="715">
        <f>'Cost EST. GM target'!$E$37</f>
        <v>90</v>
      </c>
      <c r="E21" s="702" t="s">
        <v>1664</v>
      </c>
      <c r="F21" s="702"/>
      <c r="G21" s="702"/>
      <c r="H21" s="708"/>
      <c r="I21" s="702"/>
      <c r="J21" s="3259"/>
      <c r="K21" s="707"/>
    </row>
    <row r="22" spans="1:11">
      <c r="A22" s="3298" t="s">
        <v>1665</v>
      </c>
      <c r="B22" s="3299"/>
      <c r="C22" s="3259"/>
      <c r="D22" s="3259" t="s">
        <v>1640</v>
      </c>
      <c r="E22" s="3259"/>
      <c r="F22" s="3259"/>
      <c r="G22" s="3259"/>
      <c r="H22" s="3300"/>
      <c r="I22" s="3259"/>
      <c r="J22" s="3259"/>
      <c r="K22" s="707"/>
    </row>
    <row r="23" spans="1:11">
      <c r="A23" s="3298" t="s">
        <v>1666</v>
      </c>
      <c r="B23" s="3299"/>
      <c r="C23" s="3259"/>
      <c r="D23" s="3259" t="str">
        <f>+'Cost EST. GM target'!$E$28</f>
        <v>KCN Biên Hòa</v>
      </c>
      <c r="E23" s="3259"/>
      <c r="F23" s="3259"/>
      <c r="G23" s="3259"/>
      <c r="H23" s="3300"/>
      <c r="I23" s="3259"/>
      <c r="J23" s="3259"/>
      <c r="K23" s="707"/>
    </row>
    <row r="24" spans="1:11">
      <c r="A24" s="3298" t="s">
        <v>3384</v>
      </c>
      <c r="B24" s="3299"/>
      <c r="C24" s="3259"/>
      <c r="D24" s="3259" t="s">
        <v>3385</v>
      </c>
      <c r="E24" s="3259"/>
      <c r="F24" s="3259"/>
      <c r="G24" s="3259"/>
      <c r="H24" s="3300"/>
      <c r="I24" s="3259"/>
      <c r="J24" s="3259"/>
      <c r="K24" s="707"/>
    </row>
    <row r="25" spans="1:11">
      <c r="A25" s="3298" t="s">
        <v>3386</v>
      </c>
      <c r="B25" s="3299"/>
      <c r="C25" s="3259"/>
      <c r="D25" s="3259" t="s">
        <v>3387</v>
      </c>
      <c r="E25" s="3259"/>
      <c r="F25" s="3259"/>
      <c r="G25" s="3259"/>
      <c r="H25" s="3300"/>
      <c r="I25" s="3259"/>
      <c r="J25" s="3259"/>
      <c r="K25" s="707"/>
    </row>
    <row r="26" spans="1:11">
      <c r="A26" s="3298" t="s">
        <v>1667</v>
      </c>
      <c r="B26" s="3299"/>
      <c r="C26" s="3259"/>
      <c r="D26" s="3259" t="s">
        <v>1640</v>
      </c>
      <c r="E26" s="3259"/>
      <c r="F26" s="3259"/>
      <c r="G26" s="3259"/>
      <c r="H26" s="3300"/>
      <c r="I26" s="3259"/>
      <c r="J26" s="3259"/>
      <c r="K26" s="707"/>
    </row>
    <row r="27" spans="1:11" ht="20.25" customHeight="1">
      <c r="A27" s="3301" t="s">
        <v>1668</v>
      </c>
      <c r="B27" s="3302"/>
      <c r="C27" s="3303"/>
      <c r="D27" s="4083" t="s">
        <v>1697</v>
      </c>
      <c r="E27" s="4083"/>
      <c r="F27" s="4083"/>
      <c r="G27" s="4083"/>
      <c r="H27" s="4083"/>
      <c r="I27" s="4083"/>
      <c r="J27" s="4083"/>
      <c r="K27" s="4084"/>
    </row>
    <row r="28" spans="1:11" ht="11.25" customHeight="1">
      <c r="A28" s="3301"/>
      <c r="B28" s="3302"/>
      <c r="C28" s="3303"/>
      <c r="D28" s="4083"/>
      <c r="E28" s="4083"/>
      <c r="F28" s="4083"/>
      <c r="G28" s="4083"/>
      <c r="H28" s="4083"/>
      <c r="I28" s="4083"/>
      <c r="J28" s="4083"/>
      <c r="K28" s="4084"/>
    </row>
    <row r="29" spans="1:11" s="3305" customFormat="1" ht="12.75">
      <c r="A29" s="3304"/>
      <c r="K29" s="709"/>
    </row>
    <row r="30" spans="1:11" s="3305" customFormat="1" ht="12.75">
      <c r="A30" s="3306"/>
      <c r="B30" s="3307" t="s">
        <v>1669</v>
      </c>
      <c r="D30" s="3307" t="s">
        <v>1670</v>
      </c>
      <c r="E30" s="3307"/>
      <c r="G30" s="3307" t="s">
        <v>1670</v>
      </c>
      <c r="J30" s="3307" t="s">
        <v>1671</v>
      </c>
      <c r="K30" s="709"/>
    </row>
    <row r="31" spans="1:11" s="3305" customFormat="1" ht="12.75">
      <c r="A31" s="3306"/>
      <c r="B31" s="3307" t="s">
        <v>1672</v>
      </c>
      <c r="D31" s="3307" t="s">
        <v>1673</v>
      </c>
      <c r="E31" s="3307"/>
      <c r="G31" s="3307" t="s">
        <v>1673</v>
      </c>
      <c r="J31" s="3307" t="s">
        <v>1674</v>
      </c>
      <c r="K31" s="709"/>
    </row>
    <row r="32" spans="1:11" s="3305" customFormat="1" ht="15.75" customHeight="1">
      <c r="A32" s="3304"/>
      <c r="E32" s="3307"/>
      <c r="K32" s="709"/>
    </row>
    <row r="33" spans="1:11" s="3305" customFormat="1" ht="15.75" customHeight="1">
      <c r="A33" s="3304"/>
      <c r="K33" s="709"/>
    </row>
    <row r="34" spans="1:11" s="3305" customFormat="1" ht="15.75" customHeight="1">
      <c r="A34" s="3304"/>
      <c r="K34" s="709"/>
    </row>
    <row r="35" spans="1:11" s="3305" customFormat="1" ht="15.75" customHeight="1">
      <c r="A35" s="3304"/>
      <c r="K35" s="709"/>
    </row>
    <row r="36" spans="1:11" s="3305" customFormat="1" ht="15.75" customHeight="1">
      <c r="A36" s="3308"/>
      <c r="B36" s="3309" t="s">
        <v>1675</v>
      </c>
      <c r="D36" s="3309" t="s">
        <v>1676</v>
      </c>
      <c r="E36" s="3309"/>
      <c r="G36" s="3309" t="s">
        <v>805</v>
      </c>
      <c r="J36" s="3309" t="s">
        <v>1677</v>
      </c>
      <c r="K36" s="709"/>
    </row>
    <row r="37" spans="1:11" s="3305" customFormat="1" ht="12.75">
      <c r="A37" s="3304"/>
      <c r="B37" s="3307" t="s">
        <v>3309</v>
      </c>
      <c r="D37" s="3307" t="s">
        <v>1678</v>
      </c>
      <c r="E37" s="3307"/>
      <c r="G37" s="3307" t="s">
        <v>807</v>
      </c>
      <c r="K37" s="709"/>
    </row>
    <row r="38" spans="1:11" s="3305" customFormat="1" ht="12.75">
      <c r="A38" s="3304"/>
      <c r="B38" s="3305" t="str">
        <f>VLOOKUP(B37,$H$45:$J$65,3,0)</f>
        <v>Account Manager</v>
      </c>
      <c r="D38" s="3305" t="str">
        <f>VLOOKUP(D37,$H$45:$J$69,3,0)</f>
        <v>Key Account Manager</v>
      </c>
      <c r="G38" s="3305" t="str">
        <f>VLOOKUP(G37,$H$42:$J$72,3,0)</f>
        <v>Deputy General Director</v>
      </c>
      <c r="K38" s="709"/>
    </row>
    <row r="39" spans="1:11" ht="12.75" customHeight="1">
      <c r="A39" s="3258"/>
      <c r="B39" s="3259"/>
      <c r="C39" s="3259"/>
      <c r="D39" s="3259"/>
      <c r="E39" s="3259"/>
      <c r="F39" s="3259"/>
      <c r="G39" s="3259"/>
      <c r="H39" s="3259"/>
      <c r="I39" s="3259"/>
      <c r="J39" s="4085" t="s">
        <v>1679</v>
      </c>
      <c r="K39" s="4086"/>
    </row>
    <row r="40" spans="1:11" ht="7.5" customHeight="1" thickBot="1">
      <c r="A40" s="3310"/>
      <c r="B40" s="3311"/>
      <c r="C40" s="3311"/>
      <c r="D40" s="3311"/>
      <c r="E40" s="3311"/>
      <c r="F40" s="3311"/>
      <c r="G40" s="3311"/>
      <c r="H40" s="3311"/>
      <c r="I40" s="3311"/>
      <c r="J40" s="3311"/>
      <c r="K40" s="710"/>
    </row>
    <row r="41" spans="1:11">
      <c r="A41" s="3259"/>
      <c r="B41" s="3259"/>
      <c r="C41" s="3259"/>
      <c r="D41" s="3259"/>
      <c r="E41" s="3259"/>
      <c r="F41" s="3259"/>
      <c r="G41" s="3259"/>
      <c r="H41" s="3259"/>
      <c r="I41" s="3259"/>
      <c r="J41" s="3259"/>
      <c r="K41" s="711"/>
    </row>
    <row r="42" spans="1:11" s="3263" customFormat="1" ht="22.5" hidden="1" customHeight="1" outlineLevel="1">
      <c r="B42" s="3312"/>
      <c r="C42" s="3312"/>
      <c r="D42" s="3312"/>
      <c r="E42" s="712"/>
      <c r="F42" s="3312"/>
      <c r="G42" s="3312"/>
      <c r="I42" s="3312"/>
      <c r="J42" s="3312"/>
      <c r="K42" s="713"/>
    </row>
    <row r="43" spans="1:11" s="3263" customFormat="1" ht="22.5" hidden="1" customHeight="1" outlineLevel="1">
      <c r="B43" s="3312"/>
      <c r="C43" s="3312"/>
      <c r="D43" s="3312"/>
      <c r="E43" s="714"/>
      <c r="F43" s="3312"/>
      <c r="G43" s="3312"/>
      <c r="I43" s="3312"/>
      <c r="J43" s="3312"/>
      <c r="K43" s="713"/>
    </row>
    <row r="44" spans="1:11" s="3263" customFormat="1" ht="22.5" hidden="1" customHeight="1" outlineLevel="1">
      <c r="B44" s="3312"/>
      <c r="C44" s="3312"/>
      <c r="D44" s="3312"/>
      <c r="E44" s="714"/>
      <c r="F44" s="3312"/>
      <c r="G44" s="3312"/>
      <c r="I44" s="3313"/>
      <c r="J44" s="3312"/>
      <c r="K44" s="713"/>
    </row>
    <row r="45" spans="1:11" s="3263" customFormat="1" hidden="1" outlineLevel="1">
      <c r="B45" s="3312" t="s">
        <v>1681</v>
      </c>
      <c r="C45" s="3314" t="s">
        <v>3415</v>
      </c>
      <c r="D45" s="3312"/>
      <c r="E45" s="714" t="s">
        <v>1682</v>
      </c>
      <c r="F45" s="3312"/>
      <c r="G45" s="3312"/>
      <c r="H45" s="3312" t="s">
        <v>1678</v>
      </c>
      <c r="I45" s="3313"/>
      <c r="J45" s="3312" t="s">
        <v>1712</v>
      </c>
      <c r="K45" s="713"/>
    </row>
    <row r="46" spans="1:11" s="3263" customFormat="1" hidden="1" outlineLevel="1">
      <c r="B46" s="3312" t="s">
        <v>2993</v>
      </c>
      <c r="C46" s="3314" t="s">
        <v>3416</v>
      </c>
      <c r="D46" s="3313"/>
      <c r="E46" s="714" t="s">
        <v>2996</v>
      </c>
      <c r="F46" s="3313"/>
      <c r="G46" s="3313"/>
      <c r="H46" s="3312" t="s">
        <v>3001</v>
      </c>
      <c r="I46" s="3312"/>
      <c r="J46" s="3312" t="s">
        <v>2156</v>
      </c>
      <c r="K46" s="713"/>
    </row>
    <row r="47" spans="1:11" hidden="1" outlineLevel="1">
      <c r="B47" s="3312" t="s">
        <v>2994</v>
      </c>
      <c r="C47" s="3314" t="s">
        <v>3417</v>
      </c>
      <c r="D47" s="3313"/>
      <c r="E47" s="714" t="s">
        <v>2997</v>
      </c>
      <c r="F47" s="3312"/>
      <c r="G47" s="3313"/>
      <c r="H47" s="3312" t="s">
        <v>3002</v>
      </c>
      <c r="I47" s="3313"/>
      <c r="J47" s="3312" t="s">
        <v>2157</v>
      </c>
      <c r="K47" s="3313"/>
    </row>
    <row r="48" spans="1:11" hidden="1" outlineLevel="1">
      <c r="B48" s="3312" t="s">
        <v>2215</v>
      </c>
      <c r="C48" s="3314" t="s">
        <v>3418</v>
      </c>
      <c r="D48" s="3313"/>
      <c r="E48" s="714" t="s">
        <v>2153</v>
      </c>
      <c r="F48" s="3313"/>
      <c r="G48" s="3313"/>
      <c r="H48" s="3312" t="s">
        <v>2155</v>
      </c>
      <c r="I48" s="3313"/>
      <c r="J48" s="3312" t="s">
        <v>1712</v>
      </c>
      <c r="K48" s="3313"/>
    </row>
    <row r="49" spans="2:11" hidden="1" outlineLevel="1">
      <c r="B49" s="3312" t="s">
        <v>2995</v>
      </c>
      <c r="C49" s="3314" t="s">
        <v>3419</v>
      </c>
      <c r="D49" s="3313"/>
      <c r="E49" s="714" t="s">
        <v>2998</v>
      </c>
      <c r="F49" s="3313"/>
      <c r="G49" s="3313"/>
      <c r="H49" s="3312" t="s">
        <v>3003</v>
      </c>
      <c r="I49" s="3313"/>
      <c r="J49" s="3312" t="s">
        <v>2157</v>
      </c>
      <c r="K49" s="3313"/>
    </row>
    <row r="50" spans="2:11" hidden="1" outlineLevel="1">
      <c r="B50" s="3312" t="s">
        <v>3388</v>
      </c>
      <c r="C50" s="3314" t="s">
        <v>3420</v>
      </c>
      <c r="D50" s="3313"/>
      <c r="E50" s="714" t="s">
        <v>3389</v>
      </c>
      <c r="F50" s="3313"/>
      <c r="G50" s="3313"/>
      <c r="H50" s="3312" t="s">
        <v>3390</v>
      </c>
      <c r="I50" s="3313"/>
      <c r="J50" s="3312" t="s">
        <v>1712</v>
      </c>
      <c r="K50" s="3313"/>
    </row>
    <row r="51" spans="2:11" hidden="1" outlineLevel="1">
      <c r="B51" s="3312" t="s">
        <v>3412</v>
      </c>
      <c r="C51" s="3314" t="s">
        <v>3421</v>
      </c>
      <c r="D51" s="3313"/>
      <c r="E51" s="714" t="s">
        <v>3413</v>
      </c>
      <c r="F51" s="3313"/>
      <c r="G51" s="3313"/>
      <c r="H51" s="3312" t="s">
        <v>3414</v>
      </c>
      <c r="I51" s="3313"/>
      <c r="J51" s="3312" t="s">
        <v>1712</v>
      </c>
      <c r="K51" s="3313"/>
    </row>
    <row r="52" spans="2:11" hidden="1" outlineLevel="1">
      <c r="B52" s="3312" t="s">
        <v>2216</v>
      </c>
      <c r="C52" s="3314" t="s">
        <v>3422</v>
      </c>
      <c r="D52" s="3313"/>
      <c r="E52" s="714" t="s">
        <v>2217</v>
      </c>
      <c r="F52" s="3313"/>
      <c r="G52" s="3313"/>
      <c r="H52" s="3312" t="s">
        <v>2218</v>
      </c>
      <c r="I52" s="3313"/>
      <c r="J52" s="3312" t="s">
        <v>2157</v>
      </c>
      <c r="K52" s="3313"/>
    </row>
    <row r="53" spans="2:11" hidden="1" outlineLevel="1">
      <c r="B53" s="3312" t="s">
        <v>1686</v>
      </c>
      <c r="C53" s="3314" t="s">
        <v>3423</v>
      </c>
      <c r="D53" s="3312"/>
      <c r="E53" s="714" t="s">
        <v>1687</v>
      </c>
      <c r="F53" s="3313"/>
      <c r="G53" s="3313"/>
      <c r="H53" s="3312" t="s">
        <v>1683</v>
      </c>
      <c r="J53" s="3312" t="s">
        <v>2157</v>
      </c>
      <c r="K53" s="3313"/>
    </row>
    <row r="54" spans="2:11" hidden="1" outlineLevel="1">
      <c r="B54" s="3312" t="s">
        <v>1689</v>
      </c>
      <c r="C54" s="3314" t="s">
        <v>3424</v>
      </c>
      <c r="D54" s="3312"/>
      <c r="E54" s="714" t="s">
        <v>1690</v>
      </c>
      <c r="F54" s="3312"/>
      <c r="G54" s="3313"/>
      <c r="H54" s="3312" t="s">
        <v>1696</v>
      </c>
      <c r="J54" s="3312" t="s">
        <v>1712</v>
      </c>
      <c r="K54" s="3313"/>
    </row>
    <row r="55" spans="2:11" hidden="1" outlineLevel="1">
      <c r="B55" s="3312" t="s">
        <v>1692</v>
      </c>
      <c r="C55" s="3314" t="s">
        <v>3425</v>
      </c>
      <c r="D55" s="3312"/>
      <c r="E55" s="714" t="s">
        <v>1693</v>
      </c>
      <c r="F55" s="3312"/>
      <c r="G55" s="3313"/>
      <c r="H55" s="3312" t="s">
        <v>1688</v>
      </c>
      <c r="I55" s="3313"/>
      <c r="J55" s="3312" t="s">
        <v>2157</v>
      </c>
      <c r="K55" s="3313"/>
    </row>
    <row r="56" spans="2:11" hidden="1" outlineLevel="1">
      <c r="B56" s="3312" t="s">
        <v>1694</v>
      </c>
      <c r="C56" s="3314" t="s">
        <v>3426</v>
      </c>
      <c r="D56" s="3312"/>
      <c r="E56" s="714" t="s">
        <v>1695</v>
      </c>
      <c r="F56" s="3313"/>
      <c r="G56" s="3313"/>
      <c r="H56" s="3312" t="s">
        <v>1691</v>
      </c>
      <c r="I56" s="3313"/>
      <c r="J56" s="3312" t="s">
        <v>2157</v>
      </c>
      <c r="K56" s="3313"/>
    </row>
    <row r="57" spans="2:11" hidden="1" outlineLevel="1">
      <c r="B57" s="3312" t="s">
        <v>3391</v>
      </c>
      <c r="C57" s="3314" t="s">
        <v>3427</v>
      </c>
      <c r="D57" s="3312"/>
      <c r="E57" s="714" t="s">
        <v>2999</v>
      </c>
      <c r="F57" s="3313"/>
      <c r="G57" s="3313"/>
      <c r="H57" s="3312" t="s">
        <v>3004</v>
      </c>
      <c r="I57" s="3312"/>
      <c r="J57" s="3312" t="s">
        <v>2156</v>
      </c>
      <c r="K57" s="3313"/>
    </row>
    <row r="58" spans="2:11" hidden="1" outlineLevel="1">
      <c r="B58" s="3312" t="s">
        <v>3392</v>
      </c>
      <c r="C58" s="3314" t="s">
        <v>3428</v>
      </c>
      <c r="D58" s="3312"/>
      <c r="E58" s="714" t="s">
        <v>3000</v>
      </c>
      <c r="F58" s="3313"/>
      <c r="G58" s="3313"/>
      <c r="H58" s="3312" t="s">
        <v>3005</v>
      </c>
      <c r="I58" s="3312"/>
      <c r="J58" s="3312" t="s">
        <v>2156</v>
      </c>
      <c r="K58" s="3313"/>
    </row>
    <row r="59" spans="2:11" hidden="1" outlineLevel="1">
      <c r="B59" s="3312" t="s">
        <v>3060</v>
      </c>
      <c r="C59" s="3314" t="s">
        <v>3429</v>
      </c>
      <c r="D59" s="3312"/>
      <c r="E59" s="714" t="s">
        <v>2154</v>
      </c>
      <c r="F59" s="3313"/>
      <c r="G59" s="3313"/>
      <c r="H59" s="3312" t="s">
        <v>3061</v>
      </c>
      <c r="I59" s="3313"/>
      <c r="J59" s="3312" t="s">
        <v>2156</v>
      </c>
      <c r="K59" s="3313"/>
    </row>
    <row r="60" spans="2:11" hidden="1" outlineLevel="1">
      <c r="B60" s="3312" t="s">
        <v>1684</v>
      </c>
      <c r="C60" s="3314" t="s">
        <v>3430</v>
      </c>
      <c r="D60" s="3312"/>
      <c r="E60" s="714" t="s">
        <v>1685</v>
      </c>
      <c r="F60" s="3313"/>
      <c r="G60" s="3313"/>
      <c r="H60" s="3312" t="s">
        <v>1680</v>
      </c>
      <c r="J60" s="3312" t="s">
        <v>2157</v>
      </c>
      <c r="K60" s="3313"/>
    </row>
    <row r="61" spans="2:11" hidden="1" outlineLevel="1">
      <c r="B61" s="3312" t="s">
        <v>3307</v>
      </c>
      <c r="C61" s="3314" t="s">
        <v>3431</v>
      </c>
      <c r="D61" s="3312"/>
      <c r="E61" s="714" t="s">
        <v>3308</v>
      </c>
      <c r="F61" s="3313"/>
      <c r="G61" s="714"/>
      <c r="H61" s="3312" t="s">
        <v>3309</v>
      </c>
      <c r="J61" s="3312" t="s">
        <v>2157</v>
      </c>
      <c r="K61" s="3313"/>
    </row>
    <row r="62" spans="2:11" hidden="1" outlineLevel="1">
      <c r="B62" s="3312" t="s">
        <v>3311</v>
      </c>
      <c r="C62" s="3314" t="s">
        <v>3432</v>
      </c>
      <c r="D62" s="3312"/>
      <c r="E62" s="714" t="s">
        <v>3310</v>
      </c>
      <c r="H62" s="3312" t="s">
        <v>3312</v>
      </c>
      <c r="I62" s="3259"/>
      <c r="J62" s="3312" t="s">
        <v>1712</v>
      </c>
    </row>
    <row r="63" spans="2:11" hidden="1" outlineLevel="1">
      <c r="B63" s="3312" t="s">
        <v>3322</v>
      </c>
      <c r="C63" s="3314" t="s">
        <v>3433</v>
      </c>
      <c r="D63" s="3312"/>
      <c r="E63" s="714" t="s">
        <v>3323</v>
      </c>
      <c r="H63" s="3312" t="s">
        <v>3324</v>
      </c>
      <c r="I63" s="3259"/>
      <c r="J63" s="3312" t="s">
        <v>1712</v>
      </c>
    </row>
    <row r="64" spans="2:11" hidden="1" outlineLevel="1">
      <c r="B64" s="3312" t="s">
        <v>3393</v>
      </c>
      <c r="C64" s="3314" t="s">
        <v>3434</v>
      </c>
      <c r="D64" s="3312"/>
      <c r="E64" s="714" t="s">
        <v>3394</v>
      </c>
      <c r="H64" s="3312" t="s">
        <v>3395</v>
      </c>
      <c r="I64" s="3259"/>
      <c r="J64" s="3312" t="s">
        <v>2157</v>
      </c>
    </row>
    <row r="65" spans="2:10" hidden="1" outlineLevel="1">
      <c r="B65" s="3312" t="s">
        <v>3396</v>
      </c>
      <c r="C65" s="3314" t="s">
        <v>3435</v>
      </c>
      <c r="E65" s="714" t="s">
        <v>3397</v>
      </c>
      <c r="H65" s="3312" t="s">
        <v>3398</v>
      </c>
      <c r="J65" s="3312" t="s">
        <v>2156</v>
      </c>
    </row>
    <row r="66" spans="2:10" hidden="1" outlineLevel="1">
      <c r="B66" s="3312"/>
      <c r="C66" s="3314"/>
      <c r="E66" s="714"/>
      <c r="H66" s="3312"/>
      <c r="J66" s="3312"/>
    </row>
    <row r="67" spans="2:10" hidden="1" outlineLevel="1">
      <c r="B67" s="3312"/>
      <c r="C67" s="3314"/>
      <c r="E67" s="3315"/>
      <c r="H67" s="3312"/>
      <c r="J67" s="3312"/>
    </row>
    <row r="68" spans="2:10" hidden="1" outlineLevel="1">
      <c r="B68" s="3312"/>
      <c r="C68" s="3314"/>
      <c r="E68" s="3315"/>
      <c r="H68" s="3312"/>
      <c r="J68" s="3312"/>
    </row>
    <row r="69" spans="2:10" hidden="1" outlineLevel="1"/>
    <row r="70" spans="2:10" hidden="1" outlineLevel="1">
      <c r="H70" s="3312" t="s">
        <v>807</v>
      </c>
      <c r="J70" s="3312" t="s">
        <v>810</v>
      </c>
    </row>
    <row r="71" spans="2:10" hidden="1" outlineLevel="1">
      <c r="H71" s="3312"/>
      <c r="J71" s="3312"/>
    </row>
    <row r="72" spans="2:10" hidden="1" outlineLevel="1">
      <c r="H72" s="3312"/>
      <c r="J72" s="3312"/>
    </row>
    <row r="73" spans="2:10" collapsed="1"/>
  </sheetData>
  <mergeCells count="11">
    <mergeCell ref="D27:K28"/>
    <mergeCell ref="J39:K39"/>
    <mergeCell ref="A3:K3"/>
    <mergeCell ref="A11:A12"/>
    <mergeCell ref="B11:B12"/>
    <mergeCell ref="C11:E11"/>
    <mergeCell ref="F11:F12"/>
    <mergeCell ref="G11:G12"/>
    <mergeCell ref="H11:I11"/>
    <mergeCell ref="J11:J12"/>
    <mergeCell ref="K11:K12"/>
  </mergeCells>
  <dataValidations count="3">
    <dataValidation type="list" allowBlank="1" showInputMessage="1" showErrorMessage="1" sqref="J7" xr:uid="{00000000-0002-0000-0100-000000000000}">
      <formula1>$B$45:$B$65</formula1>
    </dataValidation>
    <dataValidation type="list" allowBlank="1" showInputMessage="1" showErrorMessage="1" sqref="B37 D37" xr:uid="{00000000-0002-0000-0100-000001000000}">
      <formula1>$H$45:$H$65</formula1>
    </dataValidation>
    <dataValidation type="list" allowBlank="1" showInputMessage="1" showErrorMessage="1" sqref="G37" xr:uid="{00000000-0002-0000-0100-000002000000}">
      <formula1>$H$70:$H$72</formula1>
    </dataValidation>
  </dataValidations>
  <hyperlinks>
    <hyperlink ref="E45" r:id="rId1" display="tramy@starprintvn.com" xr:uid="{00000000-0004-0000-0100-000000000000}"/>
    <hyperlink ref="E46" r:id="rId2" display="loan.ttd@starprintvn.com" xr:uid="{00000000-0004-0000-0100-000001000000}"/>
    <hyperlink ref="E48" r:id="rId3" display="thuhuong.dao@starprintvn.com" xr:uid="{00000000-0004-0000-0100-000002000000}"/>
    <hyperlink ref="E52" r:id="rId4" display="lamtuyen@starprintvn.com" xr:uid="{00000000-0004-0000-0100-000003000000}"/>
    <hyperlink ref="E53" r:id="rId5" display="ngoc.lethanh@starprintvn.com" xr:uid="{00000000-0004-0000-0100-000004000000}"/>
    <hyperlink ref="E55" r:id="rId6" display="ha.tranthi@starprintvn.com" xr:uid="{00000000-0004-0000-0100-000005000000}"/>
    <hyperlink ref="E57" r:id="rId7" display="anh.nguyenthingoc@starprintvn.com" xr:uid="{00000000-0004-0000-0100-000006000000}"/>
    <hyperlink ref="E56" r:id="rId8" display="tai.nguyenminh@starprintvn.com" xr:uid="{00000000-0004-0000-0100-000007000000}"/>
    <hyperlink ref="E58" r:id="rId9" display="chi.ngothidiem@starprintvn.com" xr:uid="{00000000-0004-0000-0100-000008000000}"/>
    <hyperlink ref="E61" r:id="rId10" xr:uid="{00000000-0004-0000-0100-000009000000}"/>
    <hyperlink ref="E62" r:id="rId11" xr:uid="{00000000-0004-0000-0100-00000A000000}"/>
    <hyperlink ref="E63" r:id="rId12" xr:uid="{00000000-0004-0000-0100-00000B000000}"/>
    <hyperlink ref="E50" r:id="rId13" xr:uid="{00000000-0004-0000-0100-00000C000000}"/>
    <hyperlink ref="E65" r:id="rId14" xr:uid="{00000000-0004-0000-0100-00000D000000}"/>
    <hyperlink ref="E64" r:id="rId15" xr:uid="{00000000-0004-0000-0100-00000E000000}"/>
    <hyperlink ref="E51" r:id="rId16" xr:uid="{00000000-0004-0000-0100-00000F000000}"/>
  </hyperlinks>
  <pageMargins left="0" right="0" top="0.2" bottom="0.2" header="0" footer="0"/>
  <pageSetup scale="92" orientation="landscape" r:id="rId17"/>
  <drawing r:id="rId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A1:AA161"/>
  <sheetViews>
    <sheetView showGridLines="0" tabSelected="1" topLeftCell="A32" zoomScale="85" zoomScaleNormal="85" workbookViewId="0">
      <selection activeCell="D78" sqref="D78"/>
    </sheetView>
  </sheetViews>
  <sheetFormatPr defaultColWidth="9" defaultRowHeight="16.5" customHeight="1" outlineLevelRow="1"/>
  <cols>
    <col min="1" max="1" width="1.85546875" style="482" customWidth="1"/>
    <col min="2" max="2" width="2.28515625" style="482" customWidth="1"/>
    <col min="3" max="3" width="8.42578125" style="482" customWidth="1"/>
    <col min="4" max="5" width="13" style="482" customWidth="1"/>
    <col min="6" max="6" width="7.85546875" style="482" customWidth="1"/>
    <col min="7" max="7" width="12.85546875" style="482" bestFit="1" customWidth="1"/>
    <col min="8" max="8" width="13.85546875" style="482" bestFit="1" customWidth="1"/>
    <col min="9" max="9" width="12.7109375" style="482" bestFit="1" customWidth="1"/>
    <col min="10" max="10" width="11" style="482" customWidth="1"/>
    <col min="11" max="11" width="9.28515625" style="482" customWidth="1"/>
    <col min="12" max="12" width="9.28515625" style="531" bestFit="1" customWidth="1"/>
    <col min="13" max="13" width="6.42578125" style="531" customWidth="1"/>
    <col min="14" max="14" width="8.5703125" style="531" customWidth="1"/>
    <col min="15" max="15" width="10.5703125" style="482" bestFit="1" customWidth="1"/>
    <col min="16" max="16" width="1.85546875" style="482" customWidth="1"/>
    <col min="17" max="18" width="9" style="482" customWidth="1"/>
    <col min="19" max="21" width="8" style="482" customWidth="1"/>
    <col min="22" max="22" width="8" style="530" customWidth="1"/>
    <col min="23" max="24" width="8" style="482" customWidth="1"/>
    <col min="25" max="16384" width="9" style="482"/>
  </cols>
  <sheetData>
    <row r="1" spans="1:26" ht="9" customHeight="1">
      <c r="A1" s="479"/>
      <c r="B1" s="480"/>
      <c r="C1" s="480"/>
      <c r="D1" s="480"/>
      <c r="E1" s="480"/>
      <c r="F1" s="480"/>
      <c r="G1" s="480"/>
      <c r="H1" s="480"/>
      <c r="I1" s="480"/>
      <c r="J1" s="480"/>
      <c r="K1" s="480"/>
      <c r="L1" s="529"/>
      <c r="M1" s="529"/>
      <c r="N1" s="529"/>
      <c r="O1" s="480"/>
      <c r="P1" s="481"/>
    </row>
    <row r="2" spans="1:26" ht="7.5" customHeight="1">
      <c r="A2" s="483"/>
      <c r="P2" s="484"/>
    </row>
    <row r="3" spans="1:26" ht="19.5" customHeight="1">
      <c r="A3" s="483"/>
      <c r="C3" s="532"/>
      <c r="F3" s="533" t="s">
        <v>1555</v>
      </c>
      <c r="G3" s="4068" t="str">
        <f>VLOOKUP("Customer Name :",CR!B:M,3,0)</f>
        <v>Friwo</v>
      </c>
      <c r="H3" s="535"/>
      <c r="I3" s="535"/>
      <c r="J3" s="535"/>
      <c r="K3" s="536"/>
      <c r="L3" s="536"/>
      <c r="M3" s="536"/>
      <c r="N3" s="536"/>
      <c r="P3" s="484"/>
    </row>
    <row r="4" spans="1:26" ht="19.5" customHeight="1">
      <c r="A4" s="483"/>
      <c r="C4" s="532"/>
      <c r="F4" s="533" t="s">
        <v>1556</v>
      </c>
      <c r="G4" s="4068" t="str">
        <f>VLOOKUP("Project Name :",CR!B:M,3,0)</f>
        <v>Corrugated box - 20001531</v>
      </c>
      <c r="H4" s="537"/>
      <c r="I4" s="533"/>
      <c r="J4" s="535"/>
      <c r="K4" s="538" t="s">
        <v>0</v>
      </c>
      <c r="L4" s="3191">
        <f>HLOOKUP(M4,input!$I$2:$M$5,3,0)</f>
        <v>1</v>
      </c>
      <c r="M4" s="1846" t="s">
        <v>92</v>
      </c>
      <c r="N4" s="536"/>
      <c r="P4" s="484"/>
    </row>
    <row r="5" spans="1:26" ht="19.5" customHeight="1">
      <c r="A5" s="483"/>
      <c r="C5" s="532"/>
      <c r="F5" s="533" t="s">
        <v>1557</v>
      </c>
      <c r="G5" s="534" t="str">
        <f ca="1">" L " &amp; input!$D$11 &amp;  " x "&amp; "W "&amp; input!$E$11 &amp;  " x "&amp;"H "&amp; input!F11 &amp; " mm"</f>
        <v xml:space="preserve"> L 133 x W 52 x H 205 mm</v>
      </c>
      <c r="H5" s="535"/>
      <c r="I5" s="535"/>
      <c r="J5" s="539"/>
      <c r="K5" s="538" t="s">
        <v>1309</v>
      </c>
      <c r="L5" s="540">
        <v>5000</v>
      </c>
      <c r="M5" s="541" t="s">
        <v>8</v>
      </c>
      <c r="N5" s="542">
        <v>1</v>
      </c>
      <c r="O5" s="543" t="s">
        <v>1310</v>
      </c>
      <c r="P5" s="484"/>
    </row>
    <row r="6" spans="1:26" ht="19.5" customHeight="1">
      <c r="A6" s="483"/>
      <c r="C6" s="532"/>
      <c r="F6" s="533" t="s">
        <v>1558</v>
      </c>
      <c r="G6" s="539">
        <f>L5</f>
        <v>5000</v>
      </c>
      <c r="H6" s="2388">
        <f>$G$6/Paper!$I$7</f>
        <v>2500</v>
      </c>
      <c r="I6" s="2389">
        <f>IF(H6&lt;L9,L9,0)</f>
        <v>0</v>
      </c>
      <c r="J6" s="544"/>
      <c r="K6" s="538" t="s">
        <v>1311</v>
      </c>
      <c r="L6" s="545">
        <f>L5*N5*(1+N6)</f>
        <v>5000</v>
      </c>
      <c r="M6" s="541" t="s">
        <v>1094</v>
      </c>
      <c r="N6" s="546">
        <v>0</v>
      </c>
      <c r="O6" s="547"/>
      <c r="P6" s="484"/>
    </row>
    <row r="7" spans="1:26" ht="19.5" customHeight="1">
      <c r="A7" s="483"/>
      <c r="C7" s="532"/>
      <c r="F7" s="533" t="s">
        <v>1559</v>
      </c>
      <c r="G7" s="548">
        <f>input!J25</f>
        <v>638</v>
      </c>
      <c r="H7" s="549">
        <f>input!K25</f>
        <v>407</v>
      </c>
      <c r="I7" s="544"/>
      <c r="K7" s="538" t="s">
        <v>1611</v>
      </c>
      <c r="L7" s="538" t="str">
        <f>input!E1070</f>
        <v>Regular</v>
      </c>
      <c r="M7" s="550"/>
      <c r="P7" s="484"/>
    </row>
    <row r="8" spans="1:26" ht="19.5" customHeight="1">
      <c r="A8" s="483"/>
      <c r="C8" s="532"/>
      <c r="F8" s="533" t="s">
        <v>1560</v>
      </c>
      <c r="G8" s="551" t="str">
        <f>input!B4</f>
        <v>Non Metalize</v>
      </c>
      <c r="H8" s="485"/>
      <c r="I8" s="485"/>
      <c r="J8" s="485"/>
      <c r="K8" s="538" t="s">
        <v>3970</v>
      </c>
      <c r="L8" s="4078" t="s">
        <v>202</v>
      </c>
      <c r="M8" s="536"/>
      <c r="N8" s="536"/>
      <c r="P8" s="484"/>
      <c r="R8" s="3136"/>
      <c r="V8" s="552"/>
    </row>
    <row r="9" spans="1:26" ht="19.5" customHeight="1">
      <c r="A9" s="483"/>
      <c r="C9" s="532"/>
      <c r="F9" s="533" t="s">
        <v>1307</v>
      </c>
      <c r="G9" s="551" t="str">
        <f>input!$B$25&amp;" "&amp;input!$C$25&amp;" - "&amp;input!$E$25</f>
        <v>300 GB - Import</v>
      </c>
      <c r="H9" s="551"/>
      <c r="I9" s="551"/>
      <c r="J9" s="538"/>
      <c r="K9" s="538" t="s">
        <v>3973</v>
      </c>
      <c r="L9" s="4079">
        <v>2000</v>
      </c>
      <c r="V9" s="552"/>
    </row>
    <row r="10" spans="1:26" ht="20.25" customHeight="1">
      <c r="A10" s="483"/>
      <c r="C10" s="532"/>
      <c r="F10" s="553" t="s">
        <v>1561</v>
      </c>
      <c r="G10" s="554">
        <f ca="1">IF((SUM(Paper!R7:R21,Paper!R27:R29,Paper!R34:R48,Paper!R53:R57)-SUM(Paper!AR7:AR21,Paper!AR27:AR29,Paper!AR34:AR48,Paper!AR53:AR57))/SUM(Paper!R7:R21,Paper!R27:R29,Paper!R34:R48,Paper!R53:R57)&gt;0,(SUM(Paper!R7:R21,Paper!R27:R29,Paper!R34:R48,Paper!R53:R57)-SUM(Paper!AR7:AR21,Paper!AR27:AR29,Paper!AR34:AR48,Paper!AR53:AR57))/SUM(Paper!R7:R21,Paper!R27:R29,Paper!R34:R48,Paper!R53:R57),0)</f>
        <v>1.1339939427389622E-2</v>
      </c>
      <c r="H10" s="532"/>
      <c r="I10" s="532"/>
      <c r="J10" s="538"/>
      <c r="V10" s="552"/>
    </row>
    <row r="11" spans="1:26" ht="36" customHeight="1">
      <c r="A11" s="483"/>
      <c r="C11" s="4098" t="s">
        <v>1308</v>
      </c>
      <c r="D11" s="4098"/>
      <c r="E11" s="4098"/>
      <c r="F11" s="4098"/>
      <c r="G11" s="4098"/>
      <c r="H11" s="4098"/>
      <c r="I11" s="4098"/>
      <c r="J11" s="4098"/>
      <c r="K11" s="4098"/>
      <c r="L11" s="4098"/>
      <c r="M11" s="4098"/>
      <c r="N11" s="4098"/>
      <c r="O11" s="555"/>
      <c r="P11" s="556"/>
      <c r="Q11" s="4099"/>
      <c r="R11" s="4099"/>
      <c r="S11" s="4099"/>
      <c r="T11" s="4099"/>
      <c r="U11" s="4099"/>
      <c r="V11" s="4099"/>
      <c r="W11" s="4099"/>
      <c r="X11" s="557"/>
    </row>
    <row r="12" spans="1:26" s="434" customFormat="1" ht="12.75">
      <c r="A12" s="433"/>
      <c r="H12" s="486"/>
      <c r="I12" s="486"/>
      <c r="J12" s="486"/>
      <c r="K12" s="4100"/>
      <c r="L12" s="4101"/>
      <c r="M12" s="4101"/>
      <c r="N12" s="4101"/>
      <c r="O12" s="4101"/>
      <c r="P12" s="558"/>
      <c r="Q12" s="559"/>
      <c r="R12" s="559"/>
      <c r="S12" s="559"/>
      <c r="T12" s="559"/>
      <c r="U12" s="559"/>
      <c r="V12" s="559"/>
      <c r="W12" s="559"/>
      <c r="X12" s="559"/>
    </row>
    <row r="13" spans="1:26" s="436" customFormat="1" ht="12.75">
      <c r="A13" s="435"/>
      <c r="H13" s="486" t="s">
        <v>1562</v>
      </c>
      <c r="I13" s="486"/>
      <c r="J13" s="486" t="s">
        <v>1562</v>
      </c>
      <c r="K13" s="560"/>
      <c r="L13" s="437"/>
      <c r="M13" s="437"/>
      <c r="N13" s="437"/>
      <c r="O13" s="437"/>
      <c r="P13" s="561"/>
      <c r="Q13" s="562"/>
      <c r="R13" s="562"/>
      <c r="S13" s="562"/>
      <c r="T13" s="562"/>
      <c r="U13" s="562"/>
      <c r="V13" s="562"/>
      <c r="W13" s="562"/>
      <c r="X13" s="562"/>
    </row>
    <row r="14" spans="1:26" s="436" customFormat="1" ht="12.75">
      <c r="A14" s="435"/>
      <c r="C14" s="486"/>
      <c r="D14" s="486"/>
      <c r="E14" s="486"/>
      <c r="F14" s="486"/>
      <c r="G14" s="486"/>
      <c r="H14" s="563"/>
      <c r="I14" s="486"/>
      <c r="J14" s="563">
        <f>L6</f>
        <v>5000</v>
      </c>
      <c r="K14" s="560"/>
      <c r="L14" s="437"/>
      <c r="M14" s="437"/>
      <c r="N14" s="437"/>
      <c r="O14" s="437"/>
      <c r="P14" s="561"/>
      <c r="Q14" s="562"/>
      <c r="R14" s="562"/>
      <c r="S14" s="562"/>
      <c r="T14" s="562"/>
      <c r="U14" s="562"/>
      <c r="V14" s="562"/>
      <c r="W14" s="562"/>
      <c r="X14" s="562"/>
    </row>
    <row r="15" spans="1:26" s="436" customFormat="1" ht="51">
      <c r="A15" s="435"/>
      <c r="C15" s="564"/>
      <c r="D15" s="564"/>
      <c r="E15" s="564"/>
      <c r="F15" s="564"/>
      <c r="G15" s="564"/>
      <c r="H15" s="565" t="s">
        <v>814</v>
      </c>
      <c r="I15" s="564"/>
      <c r="J15" s="565" t="s">
        <v>813</v>
      </c>
      <c r="K15" s="566"/>
      <c r="L15" s="565" t="s">
        <v>1312</v>
      </c>
      <c r="M15" s="565"/>
      <c r="N15" s="565" t="s">
        <v>1563</v>
      </c>
      <c r="O15" s="438"/>
      <c r="P15" s="561"/>
      <c r="Q15" s="562"/>
      <c r="R15" s="562"/>
      <c r="S15" s="562"/>
      <c r="T15" s="562"/>
      <c r="U15" s="562"/>
      <c r="V15" s="562"/>
      <c r="W15" s="562"/>
      <c r="X15" s="562"/>
    </row>
    <row r="16" spans="1:26" s="436" customFormat="1" ht="17.25" customHeight="1">
      <c r="A16" s="435"/>
      <c r="B16" s="439"/>
      <c r="C16" s="567" t="s">
        <v>1313</v>
      </c>
      <c r="D16" s="439"/>
      <c r="E16" s="439"/>
      <c r="F16" s="439"/>
      <c r="G16" s="439"/>
      <c r="H16" s="568">
        <f>SUM(H17:H24)</f>
        <v>0</v>
      </c>
      <c r="I16" s="439"/>
      <c r="J16" s="2390">
        <f ca="1">SUM(J17:J24)</f>
        <v>1571.6236903746669</v>
      </c>
      <c r="K16" s="439"/>
      <c r="L16" s="569">
        <f ca="1">SUM(L17:L24)</f>
        <v>0.39641719287509591</v>
      </c>
      <c r="M16" s="570"/>
      <c r="N16" s="569">
        <f ca="1">IF(AND(H16&gt;0,J16&gt;0),(J16-H16)/H16,IF(AND(H16&gt;0,J16=0),-100%,IF(AND(H16=0,J16=0),"",100%)))</f>
        <v>1</v>
      </c>
      <c r="O16" s="571"/>
      <c r="P16" s="572"/>
      <c r="Q16" s="440"/>
      <c r="R16" s="440"/>
      <c r="S16" s="562"/>
      <c r="V16" s="562"/>
      <c r="W16" s="562"/>
      <c r="X16" s="562"/>
      <c r="Y16" s="562"/>
      <c r="Z16" s="500" t="s">
        <v>1900</v>
      </c>
    </row>
    <row r="17" spans="1:27" s="436" customFormat="1" ht="18.75" customHeight="1" outlineLevel="1">
      <c r="A17" s="435"/>
      <c r="B17" s="439"/>
      <c r="C17" s="439"/>
      <c r="D17" s="439" t="s">
        <v>1578</v>
      </c>
      <c r="E17" s="573" t="s">
        <v>1578</v>
      </c>
      <c r="F17" s="574"/>
      <c r="G17" s="575"/>
      <c r="H17" s="576">
        <v>0</v>
      </c>
      <c r="I17" s="577"/>
      <c r="J17" s="2391">
        <f ca="1">(Paper!$T$22+Paper!$T$30+Paper!$T$71)/$L$4</f>
        <v>562.77484848000006</v>
      </c>
      <c r="K17" s="441"/>
      <c r="L17" s="578">
        <f t="shared" ref="L17:L24" ca="1" si="0">J17/$J$41</f>
        <v>0.14195104529250555</v>
      </c>
      <c r="M17" s="579" t="str">
        <f ca="1">IF(Balance!$L$24&gt;0,"MOQ&gt;PO","-")</f>
        <v>-</v>
      </c>
      <c r="N17" s="580">
        <f t="shared" ref="N17:N24" ca="1" si="1">IF(AND(H17&gt;0,J17&gt;0),(J17-H17)/H17,IF(AND(H17&gt;0,J17=0),-100%,IF(AND(H17=0,J17=0),"",100%)))</f>
        <v>1</v>
      </c>
      <c r="O17" s="571"/>
      <c r="P17" s="581"/>
      <c r="Q17" s="440"/>
      <c r="R17" s="440"/>
      <c r="S17" s="442"/>
      <c r="T17" s="442"/>
      <c r="U17" s="442"/>
      <c r="V17" s="442"/>
      <c r="W17" s="442"/>
      <c r="X17" s="442"/>
      <c r="Y17" s="442"/>
      <c r="Z17" s="722">
        <f ca="1">SUM(Paper!$AL$7:$AL$21,Paper!$AL$27:$AL$29)</f>
        <v>0</v>
      </c>
    </row>
    <row r="18" spans="1:27" s="436" customFormat="1" ht="18.75" customHeight="1" outlineLevel="1">
      <c r="A18" s="435"/>
      <c r="B18" s="439"/>
      <c r="C18" s="439"/>
      <c r="D18" s="439" t="s">
        <v>1564</v>
      </c>
      <c r="E18" s="573" t="s">
        <v>1564</v>
      </c>
      <c r="F18" s="574"/>
      <c r="G18" s="575"/>
      <c r="H18" s="576">
        <v>0</v>
      </c>
      <c r="I18" s="577"/>
      <c r="J18" s="2391">
        <f ca="1">(Paper!$T$49+Paper!$T$58)/$L$4</f>
        <v>692.97382200000004</v>
      </c>
      <c r="K18" s="441"/>
      <c r="L18" s="578">
        <f t="shared" ca="1" si="0"/>
        <v>0.17479167496366624</v>
      </c>
      <c r="M18" s="580"/>
      <c r="N18" s="580">
        <f t="shared" ca="1" si="1"/>
        <v>1</v>
      </c>
      <c r="O18" s="571"/>
      <c r="P18" s="581"/>
      <c r="Q18" s="440"/>
      <c r="R18" s="440"/>
      <c r="S18" s="442"/>
      <c r="T18" s="442"/>
      <c r="U18" s="442"/>
      <c r="V18" s="442"/>
      <c r="W18" s="442"/>
      <c r="X18" s="442"/>
      <c r="Y18" s="442"/>
      <c r="Z18" s="722">
        <f ca="1">SUM(Paper!$AL$34:$AL$48)</f>
        <v>0</v>
      </c>
      <c r="AA18" s="442"/>
    </row>
    <row r="19" spans="1:27" s="436" customFormat="1" ht="18.75" customHeight="1" outlineLevel="1">
      <c r="A19" s="435"/>
      <c r="B19" s="439"/>
      <c r="C19" s="439"/>
      <c r="D19" s="439" t="s">
        <v>213</v>
      </c>
      <c r="E19" s="573" t="str">
        <f>SUM(Paper!M7:M21,Paper!M27:M29)&amp;" Color(s)"</f>
        <v>1 Color(s)</v>
      </c>
      <c r="F19" s="564"/>
      <c r="G19" s="582"/>
      <c r="H19" s="576">
        <v>0</v>
      </c>
      <c r="I19" s="582"/>
      <c r="J19" s="2391">
        <f ca="1">Ink!$M$7/$L$4</f>
        <v>43.982399999999998</v>
      </c>
      <c r="K19" s="441"/>
      <c r="L19" s="583">
        <f t="shared" ca="1" si="0"/>
        <v>1.1093864040540847E-2</v>
      </c>
      <c r="M19" s="580"/>
      <c r="N19" s="580">
        <f t="shared" ca="1" si="1"/>
        <v>1</v>
      </c>
      <c r="O19" s="571"/>
      <c r="P19" s="581"/>
      <c r="Q19" s="440"/>
      <c r="R19" s="440"/>
      <c r="S19" s="442"/>
      <c r="T19" s="442"/>
      <c r="U19" s="442"/>
      <c r="V19" s="442"/>
      <c r="W19" s="442"/>
      <c r="X19" s="442"/>
      <c r="Y19" s="442"/>
    </row>
    <row r="20" spans="1:27" s="436" customFormat="1" ht="18.75" customHeight="1" outlineLevel="1">
      <c r="A20" s="435"/>
      <c r="B20" s="439"/>
      <c r="C20" s="439"/>
      <c r="D20" s="439" t="s">
        <v>1463</v>
      </c>
      <c r="E20" s="584"/>
      <c r="F20" s="585"/>
      <c r="G20" s="586"/>
      <c r="H20" s="576">
        <v>0</v>
      </c>
      <c r="I20" s="587"/>
      <c r="J20" s="2391">
        <f ca="1">Coating!$N$6/$L$4</f>
        <v>73.92</v>
      </c>
      <c r="K20" s="441"/>
      <c r="L20" s="583">
        <f t="shared" ca="1" si="0"/>
        <v>1.8645149647967811E-2</v>
      </c>
      <c r="M20" s="580"/>
      <c r="N20" s="580">
        <f t="shared" ca="1" si="1"/>
        <v>1</v>
      </c>
      <c r="O20" s="571"/>
      <c r="P20" s="581"/>
      <c r="Q20" s="440"/>
      <c r="R20" s="440"/>
      <c r="S20" s="442"/>
      <c r="T20" s="442"/>
      <c r="U20" s="442"/>
      <c r="V20" s="442"/>
      <c r="W20" s="442"/>
      <c r="X20" s="442"/>
    </row>
    <row r="21" spans="1:27" s="436" customFormat="1" ht="18.75" customHeight="1" outlineLevel="1">
      <c r="A21" s="435"/>
      <c r="B21" s="439"/>
      <c r="C21" s="439"/>
      <c r="D21" s="439" t="s">
        <v>1322</v>
      </c>
      <c r="E21" s="584"/>
      <c r="F21" s="585"/>
      <c r="G21" s="588"/>
      <c r="H21" s="576">
        <v>0</v>
      </c>
      <c r="I21" s="589"/>
      <c r="J21" s="2391">
        <f ca="1">Glue!$L$6/$L$4</f>
        <v>72.81</v>
      </c>
      <c r="K21" s="441"/>
      <c r="L21" s="583">
        <f t="shared" ca="1" si="0"/>
        <v>1.8365169722247516E-2</v>
      </c>
      <c r="M21" s="580"/>
      <c r="N21" s="580">
        <f t="shared" ca="1" si="1"/>
        <v>1</v>
      </c>
      <c r="O21" s="571"/>
      <c r="P21" s="581"/>
      <c r="Q21" s="440"/>
      <c r="R21" s="440"/>
      <c r="S21" s="442"/>
      <c r="T21" s="442"/>
      <c r="U21" s="442"/>
      <c r="V21" s="442"/>
      <c r="W21" s="442"/>
      <c r="X21" s="442"/>
      <c r="Y21" s="442"/>
    </row>
    <row r="22" spans="1:27" s="436" customFormat="1" ht="18.75" customHeight="1" outlineLevel="1">
      <c r="A22" s="435"/>
      <c r="B22" s="439"/>
      <c r="C22" s="439"/>
      <c r="D22" s="439" t="s">
        <v>1323</v>
      </c>
      <c r="E22" s="584"/>
      <c r="F22" s="574"/>
      <c r="G22" s="439"/>
      <c r="H22" s="576">
        <v>0</v>
      </c>
      <c r="I22" s="441"/>
      <c r="J22" s="2391">
        <f>'ACC &amp; Other Material '!$I$6/$L$4</f>
        <v>0</v>
      </c>
      <c r="K22" s="441"/>
      <c r="L22" s="583">
        <f t="shared" ca="1" si="0"/>
        <v>0</v>
      </c>
      <c r="M22" s="579" t="str">
        <f>IF(Balance!$L$36&gt;0,"MOQ&gt;PO","-")</f>
        <v>-</v>
      </c>
      <c r="N22" s="580" t="str">
        <f t="shared" si="1"/>
        <v/>
      </c>
      <c r="O22" s="571"/>
      <c r="P22" s="581"/>
      <c r="Q22" s="440"/>
      <c r="R22" s="440"/>
      <c r="S22" s="442"/>
      <c r="T22" s="442"/>
      <c r="U22" s="442"/>
      <c r="V22" s="442"/>
      <c r="W22" s="442"/>
      <c r="X22" s="442"/>
    </row>
    <row r="23" spans="1:27" s="436" customFormat="1" ht="18.75" customHeight="1" outlineLevel="1">
      <c r="A23" s="435"/>
      <c r="B23" s="439"/>
      <c r="C23" s="439"/>
      <c r="D23" s="439" t="s">
        <v>1565</v>
      </c>
      <c r="E23" s="584"/>
      <c r="F23" s="574"/>
      <c r="G23" s="439"/>
      <c r="H23" s="576">
        <v>0</v>
      </c>
      <c r="I23" s="441"/>
      <c r="J23" s="2391">
        <f>('ACC &amp; Other Material '!$I$25+'ACC &amp; Other Material '!$I$48)/$L$4</f>
        <v>0</v>
      </c>
      <c r="K23" s="441"/>
      <c r="L23" s="583">
        <f t="shared" ca="1" si="0"/>
        <v>0</v>
      </c>
      <c r="M23" s="580"/>
      <c r="N23" s="580" t="str">
        <f t="shared" si="1"/>
        <v/>
      </c>
      <c r="O23" s="571"/>
      <c r="P23" s="581"/>
      <c r="Q23" s="440"/>
      <c r="R23" s="440"/>
      <c r="S23" s="442"/>
      <c r="T23" s="442"/>
      <c r="U23" s="442"/>
      <c r="V23" s="442"/>
      <c r="W23" s="442"/>
      <c r="X23" s="442"/>
    </row>
    <row r="24" spans="1:27" s="436" customFormat="1" ht="18.75" customHeight="1" outlineLevel="1">
      <c r="A24" s="435"/>
      <c r="B24" s="439"/>
      <c r="C24" s="439"/>
      <c r="D24" s="439" t="s">
        <v>1324</v>
      </c>
      <c r="E24" s="590" t="str">
        <f>input!$H$1185&amp;" Pcs/Carton"</f>
        <v>150 Pcs/Carton</v>
      </c>
      <c r="F24" s="574"/>
      <c r="G24" s="439"/>
      <c r="H24" s="576">
        <v>0</v>
      </c>
      <c r="I24" s="441"/>
      <c r="J24" s="2391">
        <f ca="1">'Packing Materials'!$M$6/$L$4</f>
        <v>125.16261989466669</v>
      </c>
      <c r="K24" s="441"/>
      <c r="L24" s="583">
        <f t="shared" ca="1" si="0"/>
        <v>3.1570289208167929E-2</v>
      </c>
      <c r="M24" s="580"/>
      <c r="N24" s="580">
        <f t="shared" ca="1" si="1"/>
        <v>1</v>
      </c>
      <c r="O24" s="571"/>
      <c r="P24" s="581"/>
      <c r="Q24" s="440"/>
      <c r="R24" s="440"/>
      <c r="S24" s="442"/>
      <c r="T24" s="442"/>
      <c r="U24" s="442"/>
      <c r="V24" s="591"/>
      <c r="W24" s="442"/>
      <c r="X24" s="442"/>
    </row>
    <row r="25" spans="1:27" s="436" customFormat="1" ht="5.0999999999999996" customHeight="1">
      <c r="A25" s="435"/>
      <c r="B25" s="439"/>
      <c r="C25" s="574"/>
      <c r="D25" s="585"/>
      <c r="E25" s="592"/>
      <c r="F25" s="574"/>
      <c r="G25" s="585"/>
      <c r="H25" s="593"/>
      <c r="I25" s="585"/>
      <c r="J25" s="2392"/>
      <c r="K25" s="594"/>
      <c r="L25" s="595"/>
      <c r="M25" s="595"/>
      <c r="N25" s="580"/>
      <c r="O25" s="571"/>
      <c r="P25" s="581"/>
      <c r="Q25" s="440"/>
      <c r="R25" s="440"/>
      <c r="S25" s="440"/>
      <c r="T25" s="440"/>
      <c r="U25" s="440"/>
      <c r="V25" s="596"/>
      <c r="W25" s="440"/>
      <c r="X25" s="440"/>
    </row>
    <row r="26" spans="1:27" s="436" customFormat="1" ht="17.25" customHeight="1">
      <c r="A26" s="435"/>
      <c r="B26" s="439"/>
      <c r="C26" s="567" t="s">
        <v>1566</v>
      </c>
      <c r="D26" s="574"/>
      <c r="E26" s="573"/>
      <c r="F26" s="574"/>
      <c r="G26" s="597"/>
      <c r="H26" s="568">
        <v>0</v>
      </c>
      <c r="I26" s="597"/>
      <c r="J26" s="2390">
        <f ca="1">'Production cost'!$R$701/$L$4</f>
        <v>413.30216041433829</v>
      </c>
      <c r="K26" s="439"/>
      <c r="L26" s="569">
        <f ca="1">J26/$J$41</f>
        <v>0.10424892628184165</v>
      </c>
      <c r="M26" s="570"/>
      <c r="N26" s="569">
        <f ca="1">IF(AND(H26&gt;0,J26&gt;0),(J26-H26)/H26,IF(AND(H26&gt;0,J26=0),-100%,IF(AND(H26=0,J26=0),"",100%)))</f>
        <v>1</v>
      </c>
      <c r="O26" s="571"/>
      <c r="P26" s="572"/>
      <c r="Q26" s="440"/>
      <c r="R26" s="440"/>
      <c r="S26" s="440"/>
      <c r="T26" s="440"/>
      <c r="U26" s="440"/>
      <c r="V26" s="440"/>
      <c r="W26" s="440"/>
      <c r="X26" s="440"/>
    </row>
    <row r="27" spans="1:27" s="436" customFormat="1" ht="5.0999999999999996" customHeight="1">
      <c r="A27" s="435"/>
      <c r="B27" s="439"/>
      <c r="C27" s="567"/>
      <c r="D27" s="439"/>
      <c r="E27" s="573"/>
      <c r="F27" s="439"/>
      <c r="G27" s="597"/>
      <c r="H27" s="593"/>
      <c r="I27" s="597"/>
      <c r="J27" s="2392"/>
      <c r="K27" s="594"/>
      <c r="L27" s="595"/>
      <c r="M27" s="595"/>
      <c r="N27" s="570"/>
      <c r="O27" s="571"/>
      <c r="P27" s="581"/>
      <c r="Q27" s="440"/>
      <c r="R27" s="440"/>
      <c r="S27" s="440"/>
      <c r="T27" s="440"/>
      <c r="U27" s="440"/>
      <c r="V27" s="596"/>
      <c r="W27" s="440"/>
      <c r="X27" s="440"/>
    </row>
    <row r="28" spans="1:27" s="436" customFormat="1" ht="17.25" customHeight="1">
      <c r="A28" s="435"/>
      <c r="B28" s="439"/>
      <c r="C28" s="567" t="s">
        <v>1314</v>
      </c>
      <c r="D28" s="439"/>
      <c r="E28" s="590" t="str">
        <f>input!$C$1215</f>
        <v>KCN Biên Hòa</v>
      </c>
      <c r="F28" s="439"/>
      <c r="G28" s="439"/>
      <c r="H28" s="568">
        <v>0</v>
      </c>
      <c r="I28" s="439"/>
      <c r="J28" s="2390">
        <f ca="1">Freight!$I$8/$L$4</f>
        <v>120.4</v>
      </c>
      <c r="K28" s="439"/>
      <c r="L28" s="569">
        <f ca="1">J28/$J$41</f>
        <v>3.0368993744796055E-2</v>
      </c>
      <c r="M28" s="570"/>
      <c r="N28" s="569">
        <f ca="1">IF(AND(H28&gt;0,J28&gt;0),(J28-H28)/H28,IF(AND(H28&gt;0,J28=0),-100%,IF(AND(H28=0,J28=0),"",100%)))</f>
        <v>1</v>
      </c>
      <c r="O28" s="571"/>
      <c r="P28" s="572"/>
      <c r="Q28" s="440"/>
      <c r="R28" s="440"/>
      <c r="S28" s="442"/>
      <c r="T28" s="442"/>
      <c r="U28" s="442"/>
      <c r="V28" s="442"/>
      <c r="W28" s="442"/>
      <c r="X28" s="442"/>
    </row>
    <row r="29" spans="1:27" s="436" customFormat="1" ht="5.0999999999999996" customHeight="1">
      <c r="A29" s="435"/>
      <c r="B29" s="439"/>
      <c r="C29" s="439"/>
      <c r="D29" s="439"/>
      <c r="E29" s="584"/>
      <c r="F29" s="439"/>
      <c r="G29" s="439"/>
      <c r="H29" s="593"/>
      <c r="I29" s="439"/>
      <c r="J29" s="2392"/>
      <c r="K29" s="594"/>
      <c r="L29" s="595"/>
      <c r="M29" s="595"/>
      <c r="N29" s="570"/>
      <c r="O29" s="571"/>
      <c r="P29" s="581"/>
      <c r="Q29" s="440"/>
      <c r="R29" s="440"/>
      <c r="S29" s="440"/>
      <c r="T29" s="440"/>
      <c r="U29" s="440"/>
      <c r="V29" s="596"/>
      <c r="W29" s="440"/>
      <c r="X29" s="440"/>
    </row>
    <row r="30" spans="1:27" s="436" customFormat="1" ht="17.25" customHeight="1">
      <c r="A30" s="435"/>
      <c r="B30" s="439"/>
      <c r="C30" s="567" t="s">
        <v>1567</v>
      </c>
      <c r="D30" s="439"/>
      <c r="E30" s="584"/>
      <c r="F30" s="498"/>
      <c r="G30" s="598"/>
      <c r="H30" s="568">
        <f>SUM(H31:H32)</f>
        <v>0</v>
      </c>
      <c r="I30" s="598"/>
      <c r="J30" s="2390">
        <f ca="1">SUM(J31:J32)</f>
        <v>48.441589790897908</v>
      </c>
      <c r="K30" s="439"/>
      <c r="L30" s="569">
        <f ca="1">SUM(L31:L32)</f>
        <v>1.2218624064350123E-2</v>
      </c>
      <c r="M30" s="570"/>
      <c r="N30" s="569">
        <f ca="1">IF(AND(H30&gt;0,J30&gt;0),(J30-H30)/H30,IF(AND(H30&gt;0,J30=0),-100%,IF(AND(H30=0,J30=0),"",100%)))</f>
        <v>1</v>
      </c>
      <c r="O30" s="571"/>
      <c r="P30" s="572"/>
      <c r="Q30" s="440"/>
      <c r="R30" s="440"/>
      <c r="S30" s="440"/>
      <c r="T30" s="440"/>
      <c r="U30" s="440"/>
      <c r="V30" s="596"/>
      <c r="W30" s="440"/>
      <c r="X30" s="440"/>
    </row>
    <row r="31" spans="1:27" s="436" customFormat="1" ht="17.25" customHeight="1">
      <c r="A31" s="435"/>
      <c r="B31" s="439"/>
      <c r="C31" s="439"/>
      <c r="D31" s="439" t="s">
        <v>1568</v>
      </c>
      <c r="E31" s="584"/>
      <c r="F31" s="599"/>
      <c r="G31" s="439"/>
      <c r="H31" s="576">
        <v>0</v>
      </c>
      <c r="I31" s="441"/>
      <c r="J31" s="2391">
        <f ca="1">'Fix Cost'!$N$6/$L$4</f>
        <v>48.441589790897908</v>
      </c>
      <c r="K31" s="441"/>
      <c r="L31" s="583">
        <f ca="1">J31/$J$41</f>
        <v>1.2218624064350123E-2</v>
      </c>
      <c r="M31" s="580"/>
      <c r="N31" s="580">
        <f ca="1">IF(AND(H31&gt;0,J31&gt;0),(J31-H31)/H31,IF(AND(H31&gt;0,J31=0),-100%,IF(AND(H31=0,J31=0),"",100%)))</f>
        <v>1</v>
      </c>
      <c r="O31" s="571"/>
      <c r="P31" s="600"/>
      <c r="Q31" s="440"/>
      <c r="R31" s="440"/>
      <c r="S31" s="440"/>
      <c r="T31" s="440"/>
      <c r="U31" s="440"/>
      <c r="V31" s="596"/>
      <c r="W31" s="440"/>
      <c r="X31" s="440"/>
    </row>
    <row r="32" spans="1:27" s="436" customFormat="1" ht="17.25" customHeight="1">
      <c r="A32" s="435"/>
      <c r="B32" s="439"/>
      <c r="C32" s="498"/>
      <c r="D32" s="439" t="s">
        <v>1569</v>
      </c>
      <c r="E32" s="590" t="str">
        <f>+'Proof cost'!I6</f>
        <v>Offline</v>
      </c>
      <c r="F32" s="599"/>
      <c r="G32" s="439"/>
      <c r="H32" s="576">
        <v>0</v>
      </c>
      <c r="I32" s="441"/>
      <c r="J32" s="2486">
        <f ca="1">'Proof cost'!$I$229/$L$4*IF($M$7="Reprint",0,1)</f>
        <v>0</v>
      </c>
      <c r="K32" s="441"/>
      <c r="L32" s="583">
        <f ca="1">J32/$J$41</f>
        <v>0</v>
      </c>
      <c r="M32" s="580"/>
      <c r="N32" s="580" t="str">
        <f ca="1">IF(AND(H32&gt;0,J32&gt;0),(J32-H32)/H32,IF(AND(H32&gt;0,J32=0),-100%,IF(AND(H32=0,J32=0),"",100%)))</f>
        <v/>
      </c>
      <c r="O32" s="571"/>
      <c r="P32" s="600"/>
      <c r="R32" s="440"/>
      <c r="S32" s="3121" t="s">
        <v>3167</v>
      </c>
      <c r="T32" s="3121" t="s">
        <v>3168</v>
      </c>
      <c r="U32" s="440"/>
      <c r="V32" s="596"/>
      <c r="W32" s="440"/>
      <c r="X32" s="440"/>
    </row>
    <row r="33" spans="1:24" s="436" customFormat="1" ht="17.25" customHeight="1">
      <c r="A33" s="435"/>
      <c r="C33" s="567" t="s">
        <v>1570</v>
      </c>
      <c r="G33" s="487"/>
      <c r="H33" s="568"/>
      <c r="I33" s="601"/>
      <c r="J33" s="2390">
        <f ca="1">'Fix Cost'!$N$173/$L$4</f>
        <v>961.80815831449718</v>
      </c>
      <c r="L33" s="569">
        <f ca="1">J33/$J$41</f>
        <v>0.24260087992979051</v>
      </c>
      <c r="M33" s="602"/>
      <c r="N33" s="569">
        <f ca="1">IF(AND(H33&gt;0,J33&gt;0),(J33-H33)/H33,IF(AND(H33&gt;0,J33=0),-100%,IF(AND(H33=0,J33=0),"",100%)))</f>
        <v>1</v>
      </c>
      <c r="P33" s="603"/>
      <c r="R33" s="440"/>
      <c r="S33" s="3122">
        <f>+VLOOKUP(input!B5,'Fix Cost'!$A$177:$C$238,2,0)</f>
        <v>0</v>
      </c>
      <c r="T33" s="3122">
        <f>+VLOOKUP(input!B5,'Fix Cost'!$A$177:$C$238,3,0)</f>
        <v>0.13786119150291035</v>
      </c>
      <c r="U33" s="440"/>
      <c r="V33" s="596"/>
      <c r="W33" s="440"/>
      <c r="X33" s="440"/>
    </row>
    <row r="34" spans="1:24" ht="16.5" customHeight="1">
      <c r="H34" s="3102">
        <f>+SUM(H16,H26,H28,H30)</f>
        <v>0</v>
      </c>
      <c r="I34" s="3103" t="e">
        <f ca="1">+J34/H34-1</f>
        <v>#DIV/0!</v>
      </c>
      <c r="J34" s="3102">
        <f ca="1">+SUM(J16,J26,J28,J30)</f>
        <v>2153.767440579903</v>
      </c>
    </row>
    <row r="35" spans="1:24" s="436" customFormat="1" ht="17.25" customHeight="1">
      <c r="A35" s="435"/>
      <c r="C35" s="567"/>
      <c r="E35" s="488"/>
      <c r="F35" s="489"/>
      <c r="G35" s="490" t="s">
        <v>1571</v>
      </c>
      <c r="H35" s="604" t="e">
        <f>1-SUM(H16,H26,H28,H30,H33)/(H41-H38-SUM(H16,H26,H28,H30,H33)*H37)</f>
        <v>#DIV/0!</v>
      </c>
      <c r="I35" s="605"/>
      <c r="J35" s="606">
        <v>0.2</v>
      </c>
      <c r="K35" s="607" t="s">
        <v>1572</v>
      </c>
      <c r="L35" s="608"/>
      <c r="M35" s="609"/>
      <c r="N35" s="609"/>
      <c r="P35" s="603"/>
      <c r="R35" s="440"/>
      <c r="S35" s="440"/>
      <c r="T35" s="440"/>
      <c r="U35" s="440"/>
      <c r="V35" s="596"/>
      <c r="W35" s="440"/>
      <c r="X35" s="440"/>
    </row>
    <row r="36" spans="1:24" s="436" customFormat="1" ht="5.0999999999999996" customHeight="1" thickBot="1">
      <c r="A36" s="435"/>
      <c r="B36" s="439"/>
      <c r="C36" s="567"/>
      <c r="D36" s="439"/>
      <c r="E36" s="573"/>
      <c r="F36" s="439"/>
      <c r="G36" s="597"/>
      <c r="H36" s="593"/>
      <c r="I36" s="597"/>
      <c r="J36" s="593"/>
      <c r="K36" s="594"/>
      <c r="L36" s="610"/>
      <c r="M36" s="610"/>
      <c r="N36" s="611"/>
      <c r="O36" s="571"/>
      <c r="P36" s="581"/>
      <c r="Q36" s="440"/>
      <c r="R36" s="440"/>
      <c r="S36" s="440"/>
      <c r="T36" s="440"/>
      <c r="U36" s="440"/>
      <c r="V36" s="596"/>
      <c r="W36" s="440"/>
      <c r="X36" s="440"/>
    </row>
    <row r="37" spans="1:24" s="436" customFormat="1" ht="17.25" customHeight="1" thickBot="1">
      <c r="A37" s="435"/>
      <c r="C37" s="567" t="s">
        <v>1573</v>
      </c>
      <c r="D37" s="719" t="s">
        <v>1340</v>
      </c>
      <c r="E37" s="728">
        <v>90</v>
      </c>
      <c r="F37" s="590" t="s">
        <v>1716</v>
      </c>
      <c r="H37" s="612">
        <v>0.01</v>
      </c>
      <c r="I37" s="613"/>
      <c r="J37" s="612">
        <f>ROUNDUP($E$37/30,1)*IF(input!B5="ULV",0.63%,0.75%)</f>
        <v>2.2499999999999999E-2</v>
      </c>
      <c r="K37" s="3192"/>
      <c r="L37" s="602"/>
      <c r="M37" s="602"/>
      <c r="N37" s="614">
        <f>IF(AND(H37&gt;0,J37&gt;0),(J37-H37)/H37,IF(AND(H37&gt;0,J37=0),-100%,IF(AND(H37=0,J37=0),"",100%)))</f>
        <v>1.2499999999999998</v>
      </c>
      <c r="P37" s="603"/>
      <c r="R37" s="3137"/>
      <c r="S37" s="440"/>
      <c r="T37" s="440"/>
      <c r="U37" s="440"/>
      <c r="V37" s="596"/>
      <c r="W37" s="440"/>
      <c r="X37" s="440"/>
    </row>
    <row r="38" spans="1:24" s="436" customFormat="1" ht="17.25" hidden="1" customHeight="1" outlineLevel="1">
      <c r="A38" s="435"/>
      <c r="C38" s="567" t="s">
        <v>1574</v>
      </c>
      <c r="E38" s="488"/>
      <c r="F38" s="489"/>
      <c r="G38" s="490"/>
      <c r="H38" s="568">
        <v>0</v>
      </c>
      <c r="I38" s="598"/>
      <c r="J38" s="2390">
        <f ca="1">SUM(Freight!$AH$40:$AH$55)/$L$4</f>
        <v>0</v>
      </c>
      <c r="K38" s="607"/>
      <c r="L38" s="608"/>
      <c r="M38" s="609"/>
      <c r="N38" s="569" t="str">
        <f ca="1">IF(AND(H38&gt;0,J38&gt;0),(J38-H38)/H38,IF(AND(H38&gt;0,J38=0),-100%,IF(AND(H38=0,J38=0),"",100%)))</f>
        <v/>
      </c>
      <c r="P38" s="603"/>
      <c r="R38" s="440"/>
      <c r="S38" s="440"/>
      <c r="T38" s="440"/>
      <c r="U38" s="440"/>
      <c r="V38" s="596"/>
      <c r="W38" s="440"/>
      <c r="X38" s="440"/>
    </row>
    <row r="39" spans="1:24" s="436" customFormat="1" ht="17.25" hidden="1" customHeight="1" outlineLevel="1">
      <c r="A39" s="435"/>
      <c r="C39" s="567" t="s">
        <v>2939</v>
      </c>
      <c r="E39" s="488"/>
      <c r="F39" s="489"/>
      <c r="G39" s="490"/>
      <c r="H39" s="568"/>
      <c r="I39" s="598"/>
      <c r="J39" s="2390">
        <f>IF(input!B5='Fix Cost'!$A$187,(SUM(J16,J26,J28,J30,J33)/(1-J35)+J38+SUM(J16,J26,J28,J30,J33)*J37)*'Sumary Crayola'!$D$34,0)</f>
        <v>0</v>
      </c>
      <c r="K39" s="607"/>
      <c r="L39" s="608"/>
      <c r="M39" s="609"/>
      <c r="N39" s="569"/>
      <c r="P39" s="603"/>
      <c r="R39" s="442"/>
      <c r="S39" s="440"/>
      <c r="T39" s="440"/>
      <c r="U39" s="440"/>
      <c r="V39" s="596"/>
      <c r="W39" s="440"/>
      <c r="X39" s="440"/>
    </row>
    <row r="40" spans="1:24" s="436" customFormat="1" ht="17.25" hidden="1" customHeight="1" outlineLevel="1">
      <c r="A40" s="435"/>
      <c r="C40" s="721" t="s">
        <v>1718</v>
      </c>
      <c r="E40" s="488"/>
      <c r="F40" s="489"/>
      <c r="G40" s="490"/>
      <c r="H40" s="568">
        <v>0</v>
      </c>
      <c r="I40" s="598"/>
      <c r="J40" s="2390">
        <f>IF(input!B5='Fix Cost'!$A$211,(SUM(J16,J26,J28,J30,J33)/(1-J35)+SUM(J16,J26,J28,J30,J33)*J37)*0.04%,0)</f>
        <v>0</v>
      </c>
      <c r="K40" s="607"/>
      <c r="L40" s="608"/>
      <c r="M40" s="609"/>
      <c r="N40" s="569"/>
      <c r="P40" s="603"/>
      <c r="R40" s="440"/>
      <c r="S40" s="440"/>
      <c r="T40" s="440"/>
      <c r="U40" s="440"/>
      <c r="V40" s="596"/>
      <c r="W40" s="440"/>
      <c r="X40" s="440"/>
    </row>
    <row r="41" spans="1:24" s="436" customFormat="1" ht="17.25" customHeight="1" collapsed="1">
      <c r="A41" s="435"/>
      <c r="C41" s="491"/>
      <c r="D41" s="490"/>
      <c r="E41" s="488"/>
      <c r="F41" s="492"/>
      <c r="G41" s="490" t="s">
        <v>1316</v>
      </c>
      <c r="H41" s="493"/>
      <c r="I41" s="490"/>
      <c r="J41" s="2393">
        <f ca="1">(SUM(J16,J26,J28,J30,J33))/(1-J35)+J38+(SUM(J16,J26,J28,J30,J33))*J37+J39+J40</f>
        <v>3964.5699495931244</v>
      </c>
      <c r="K41" s="494" t="str">
        <f>M4&amp;"/Piece"</f>
        <v>VND/Piece</v>
      </c>
      <c r="L41" s="616"/>
      <c r="M41" s="616"/>
      <c r="N41" s="616"/>
      <c r="O41" s="490"/>
      <c r="P41" s="603"/>
      <c r="Q41" s="440"/>
      <c r="R41" s="440"/>
      <c r="S41" s="440"/>
      <c r="T41" s="440"/>
      <c r="U41" s="440"/>
      <c r="V41" s="596"/>
      <c r="W41" s="440"/>
      <c r="X41" s="440"/>
    </row>
    <row r="42" spans="1:24" ht="10.5" customHeight="1">
      <c r="A42" s="483"/>
      <c r="B42" s="485"/>
      <c r="C42" s="617"/>
      <c r="D42" s="618"/>
      <c r="E42" s="618"/>
      <c r="F42" s="485"/>
      <c r="G42" s="533"/>
      <c r="H42" s="533"/>
      <c r="I42" s="533"/>
      <c r="J42" s="533"/>
      <c r="K42" s="533"/>
      <c r="L42" s="619"/>
      <c r="M42" s="619"/>
      <c r="N42" s="619"/>
      <c r="O42" s="618"/>
      <c r="P42" s="620"/>
      <c r="Q42" s="495"/>
      <c r="R42" s="495"/>
      <c r="S42" s="495"/>
      <c r="T42" s="495"/>
      <c r="U42" s="495"/>
      <c r="V42" s="621"/>
      <c r="W42" s="495"/>
      <c r="X42" s="495"/>
    </row>
    <row r="43" spans="1:24" ht="17.25" hidden="1" customHeight="1" outlineLevel="1" thickBot="1">
      <c r="A43" s="483"/>
      <c r="B43" s="485"/>
      <c r="C43" s="721" t="s">
        <v>2214</v>
      </c>
      <c r="E43" s="728" t="s">
        <v>103</v>
      </c>
      <c r="F43" s="2309">
        <v>0.05</v>
      </c>
      <c r="G43" s="533"/>
      <c r="H43" s="568">
        <f>IF($E$44="Y",$F$44*$H$42,0)</f>
        <v>0</v>
      </c>
      <c r="I43" s="533"/>
      <c r="J43" s="2390">
        <f ca="1">IF(E43="Y",J41/(1-F43)*F43,0)</f>
        <v>208.66157629437498</v>
      </c>
      <c r="K43" s="534" t="str">
        <f>K41</f>
        <v>VND/Piece</v>
      </c>
      <c r="L43" s="619"/>
      <c r="M43" s="619"/>
      <c r="N43" s="619"/>
      <c r="O43" s="618"/>
      <c r="P43" s="620"/>
      <c r="Q43" s="495"/>
      <c r="R43" s="495"/>
      <c r="S43" s="495"/>
      <c r="T43" s="495"/>
      <c r="U43" s="495"/>
      <c r="V43" s="621"/>
      <c r="W43" s="495"/>
      <c r="X43" s="495"/>
    </row>
    <row r="44" spans="1:24" ht="17.25" hidden="1" customHeight="1" outlineLevel="1" thickBot="1">
      <c r="A44" s="483"/>
      <c r="B44" s="485"/>
      <c r="C44" s="2444" t="s">
        <v>2337</v>
      </c>
      <c r="D44" s="2445"/>
      <c r="E44" s="2446"/>
      <c r="F44" s="2447"/>
      <c r="G44" s="2448"/>
      <c r="H44" s="2449"/>
      <c r="I44" s="2448"/>
      <c r="J44" s="2450">
        <f ca="1">J41+J43</f>
        <v>4173.2315258874996</v>
      </c>
      <c r="K44" s="534"/>
      <c r="L44" s="619"/>
      <c r="M44" s="619"/>
      <c r="N44" s="619"/>
      <c r="O44" s="618"/>
      <c r="P44" s="620"/>
      <c r="Q44" s="495"/>
      <c r="R44" s="495"/>
      <c r="S44" s="495"/>
      <c r="T44" s="495"/>
      <c r="U44" s="495"/>
      <c r="V44" s="621"/>
      <c r="W44" s="495"/>
      <c r="X44" s="495"/>
    </row>
    <row r="45" spans="1:24" ht="17.25" hidden="1" customHeight="1" outlineLevel="1" thickBot="1">
      <c r="A45" s="483"/>
      <c r="B45" s="485"/>
      <c r="C45" s="721" t="s">
        <v>2158</v>
      </c>
      <c r="E45" s="728" t="s">
        <v>103</v>
      </c>
      <c r="F45" s="2309">
        <v>0.13</v>
      </c>
      <c r="G45" s="533"/>
      <c r="H45" s="568">
        <f>IF($E$46="Y",$F$46*$H$42,0)</f>
        <v>0</v>
      </c>
      <c r="I45" s="533"/>
      <c r="J45" s="2390">
        <f ca="1">IF($E$45="Y",$F$45*$J$44,0)</f>
        <v>542.52009836537502</v>
      </c>
      <c r="K45" s="534"/>
      <c r="L45" s="619"/>
      <c r="M45" s="619"/>
      <c r="N45" s="619"/>
      <c r="O45" s="618"/>
      <c r="P45" s="620"/>
      <c r="Q45" s="495"/>
      <c r="R45" s="495"/>
      <c r="S45" s="495"/>
      <c r="T45" s="495"/>
      <c r="U45" s="495"/>
      <c r="V45" s="621"/>
      <c r="W45" s="495"/>
      <c r="X45" s="495"/>
    </row>
    <row r="46" spans="1:24" ht="17.25" hidden="1" customHeight="1" outlineLevel="1">
      <c r="A46" s="483"/>
      <c r="B46" s="485"/>
      <c r="C46" s="2444" t="s">
        <v>2338</v>
      </c>
      <c r="D46" s="2451"/>
      <c r="E46" s="2451"/>
      <c r="F46" s="2452"/>
      <c r="G46" s="2448"/>
      <c r="H46" s="2449"/>
      <c r="I46" s="2453"/>
      <c r="J46" s="2454">
        <f ca="1">J44+J45</f>
        <v>4715.7516242528745</v>
      </c>
      <c r="K46" s="534" t="str">
        <f>K43</f>
        <v>VND/Piece</v>
      </c>
      <c r="L46" s="619"/>
      <c r="M46" s="619"/>
      <c r="N46" s="619"/>
      <c r="O46" s="618"/>
      <c r="P46" s="620"/>
      <c r="Q46" s="495"/>
      <c r="R46" s="495"/>
      <c r="S46" s="495"/>
      <c r="T46" s="495"/>
      <c r="U46" s="495"/>
      <c r="V46" s="621"/>
      <c r="W46" s="495"/>
      <c r="X46" s="495"/>
    </row>
    <row r="47" spans="1:24" ht="10.5" customHeight="1" collapsed="1">
      <c r="A47" s="483"/>
      <c r="B47" s="485"/>
      <c r="C47" s="617"/>
      <c r="D47" s="618"/>
      <c r="E47" s="618"/>
      <c r="F47" s="485"/>
      <c r="G47" s="533"/>
      <c r="H47" s="623"/>
      <c r="I47" s="623"/>
      <c r="J47" s="623"/>
      <c r="K47" s="533"/>
      <c r="L47" s="619"/>
      <c r="M47" s="619"/>
      <c r="N47" s="619"/>
      <c r="O47" s="618"/>
      <c r="P47" s="620"/>
      <c r="Q47" s="495"/>
      <c r="R47" s="495"/>
      <c r="S47" s="495"/>
      <c r="T47" s="495"/>
      <c r="U47" s="495"/>
      <c r="V47" s="621"/>
      <c r="W47" s="495"/>
      <c r="X47" s="495"/>
    </row>
    <row r="48" spans="1:24" s="500" customFormat="1" ht="17.25" customHeight="1" outlineLevel="1">
      <c r="A48" s="496"/>
      <c r="B48" s="497"/>
      <c r="C48" s="567" t="s">
        <v>1575</v>
      </c>
      <c r="D48" s="624"/>
      <c r="E48" s="624"/>
      <c r="G48" s="498" t="s">
        <v>1317</v>
      </c>
      <c r="H48" s="625">
        <v>0</v>
      </c>
      <c r="I48" s="626"/>
      <c r="J48" s="625">
        <f ca="1">'Proof cost'!$I$228/$L$4</f>
        <v>3052000</v>
      </c>
      <c r="K48" s="627" t="str">
        <f>M4</f>
        <v>VND</v>
      </c>
      <c r="L48" s="628"/>
      <c r="M48" s="628"/>
      <c r="N48" s="628"/>
      <c r="O48" s="629"/>
      <c r="P48" s="630"/>
      <c r="Q48" s="499"/>
      <c r="R48" s="499"/>
      <c r="S48" s="499"/>
      <c r="T48" s="499"/>
      <c r="U48" s="499"/>
      <c r="V48" s="631"/>
      <c r="W48" s="499"/>
      <c r="X48" s="499"/>
    </row>
    <row r="49" spans="1:24" s="500" customFormat="1" ht="10.5" customHeight="1" outlineLevel="1">
      <c r="A49" s="496"/>
      <c r="B49" s="497"/>
      <c r="C49" s="632"/>
      <c r="D49" s="624"/>
      <c r="E49" s="624"/>
      <c r="G49" s="490"/>
      <c r="H49" s="633"/>
      <c r="I49" s="634"/>
      <c r="J49" s="633"/>
      <c r="K49" s="627"/>
      <c r="L49" s="628"/>
      <c r="M49" s="628"/>
      <c r="N49" s="628"/>
      <c r="O49" s="629"/>
      <c r="P49" s="630"/>
      <c r="Q49" s="499"/>
      <c r="R49" s="499"/>
      <c r="S49" s="499"/>
      <c r="T49" s="499"/>
      <c r="U49" s="499"/>
      <c r="V49" s="631"/>
      <c r="W49" s="499"/>
      <c r="X49" s="499"/>
    </row>
    <row r="50" spans="1:24" s="500" customFormat="1" ht="17.25" customHeight="1" outlineLevel="1">
      <c r="A50" s="496"/>
      <c r="B50" s="497"/>
      <c r="C50" s="632"/>
      <c r="D50" s="624"/>
      <c r="E50" s="624"/>
      <c r="G50" s="490" t="s">
        <v>1315</v>
      </c>
      <c r="H50" s="612">
        <f>H37</f>
        <v>0.01</v>
      </c>
      <c r="I50" s="635"/>
      <c r="J50" s="612">
        <f>J37</f>
        <v>2.2499999999999999E-2</v>
      </c>
      <c r="K50" s="627"/>
      <c r="L50" s="628"/>
      <c r="M50" s="628"/>
      <c r="N50" s="628"/>
      <c r="O50" s="629"/>
      <c r="P50" s="630"/>
      <c r="Q50" s="499"/>
      <c r="R50" s="499"/>
      <c r="S50" s="499"/>
      <c r="T50" s="499"/>
      <c r="U50" s="499"/>
      <c r="V50" s="631"/>
      <c r="W50" s="499"/>
      <c r="X50" s="499"/>
    </row>
    <row r="51" spans="1:24" s="500" customFormat="1" ht="17.25" customHeight="1" outlineLevel="1">
      <c r="A51" s="496"/>
      <c r="B51" s="497"/>
      <c r="C51" s="632"/>
      <c r="D51" s="624"/>
      <c r="E51" s="624"/>
      <c r="G51" s="490" t="s">
        <v>1571</v>
      </c>
      <c r="H51" s="636" t="e">
        <f>H35</f>
        <v>#DIV/0!</v>
      </c>
      <c r="I51" s="635"/>
      <c r="J51" s="636">
        <f>IF(input!$B$5='Fix Cost'!$A$187,'Cost EST. GM target'!$J$73,$J$35)</f>
        <v>0.2</v>
      </c>
      <c r="K51" s="627"/>
      <c r="L51" s="628"/>
      <c r="M51" s="628"/>
      <c r="N51" s="628"/>
      <c r="O51" s="629"/>
      <c r="P51" s="630"/>
      <c r="Q51" s="499"/>
      <c r="R51" s="499"/>
      <c r="S51" s="499"/>
      <c r="T51" s="499"/>
      <c r="U51" s="499"/>
      <c r="V51" s="631"/>
      <c r="W51" s="499"/>
      <c r="X51" s="499"/>
    </row>
    <row r="52" spans="1:24" ht="10.5" customHeight="1" outlineLevel="1">
      <c r="A52" s="483"/>
      <c r="B52" s="485"/>
      <c r="C52" s="637"/>
      <c r="D52" s="638"/>
      <c r="E52" s="638"/>
      <c r="G52" s="501"/>
      <c r="H52" s="639"/>
      <c r="I52" s="640"/>
      <c r="J52" s="639"/>
      <c r="K52" s="641"/>
      <c r="L52" s="619"/>
      <c r="M52" s="619"/>
      <c r="N52" s="619"/>
      <c r="O52" s="618"/>
      <c r="P52" s="620"/>
      <c r="Q52" s="495"/>
      <c r="R52" s="495"/>
      <c r="S52" s="495"/>
      <c r="T52" s="495"/>
      <c r="U52" s="495"/>
      <c r="V52" s="621"/>
      <c r="W52" s="495"/>
      <c r="X52" s="495"/>
    </row>
    <row r="53" spans="1:24" s="500" customFormat="1" ht="17.25" customHeight="1" outlineLevel="1">
      <c r="A53" s="496"/>
      <c r="B53" s="497"/>
      <c r="C53" s="632"/>
      <c r="D53" s="624"/>
      <c r="E53" s="624"/>
      <c r="G53" s="490" t="s">
        <v>1318</v>
      </c>
      <c r="H53" s="502" t="e">
        <f>H48/(1-H51)+H48*H50</f>
        <v>#DIV/0!</v>
      </c>
      <c r="I53" s="503"/>
      <c r="J53" s="502">
        <f ca="1">J48/(1-J51)+J48*J50</f>
        <v>3883670</v>
      </c>
      <c r="K53" s="627" t="str">
        <f>K48</f>
        <v>VND</v>
      </c>
      <c r="L53" s="628"/>
      <c r="M53" s="628"/>
      <c r="N53" s="628"/>
      <c r="O53" s="629"/>
      <c r="P53" s="630"/>
      <c r="Q53" s="499"/>
      <c r="R53" s="499"/>
      <c r="S53" s="499"/>
      <c r="T53" s="499"/>
      <c r="U53" s="499"/>
      <c r="V53" s="631"/>
      <c r="W53" s="499"/>
      <c r="X53" s="499"/>
    </row>
    <row r="54" spans="1:24" ht="10.5" customHeight="1">
      <c r="A54" s="483"/>
      <c r="B54" s="485"/>
      <c r="C54" s="617"/>
      <c r="D54" s="618"/>
      <c r="E54" s="618"/>
      <c r="F54" s="485"/>
      <c r="G54" s="533"/>
      <c r="H54" s="533"/>
      <c r="I54" s="533"/>
      <c r="J54" s="622"/>
      <c r="K54" s="533"/>
      <c r="L54" s="619"/>
      <c r="M54" s="619"/>
      <c r="N54" s="619"/>
      <c r="O54" s="618"/>
      <c r="P54" s="620"/>
      <c r="Q54" s="495"/>
      <c r="R54" s="495"/>
      <c r="S54" s="495"/>
      <c r="T54" s="495"/>
      <c r="U54" s="495"/>
      <c r="V54" s="621"/>
      <c r="W54" s="495"/>
      <c r="X54" s="495"/>
    </row>
    <row r="55" spans="1:24" ht="10.5" customHeight="1">
      <c r="A55" s="483"/>
      <c r="B55" s="485"/>
      <c r="C55" s="617"/>
      <c r="D55" s="618"/>
      <c r="E55" s="618"/>
      <c r="F55" s="485"/>
      <c r="G55" s="533"/>
      <c r="H55" s="533"/>
      <c r="I55" s="533"/>
      <c r="J55" s="622"/>
      <c r="K55" s="533"/>
      <c r="L55" s="619"/>
      <c r="M55" s="619"/>
      <c r="N55" s="619"/>
      <c r="O55" s="618"/>
      <c r="P55" s="620"/>
      <c r="Q55" s="495"/>
      <c r="R55" s="495"/>
      <c r="S55" s="495"/>
      <c r="T55" s="495"/>
      <c r="U55" s="495"/>
      <c r="V55" s="621"/>
      <c r="W55" s="495"/>
      <c r="X55" s="495"/>
    </row>
    <row r="56" spans="1:24" ht="15" customHeight="1">
      <c r="A56" s="483"/>
      <c r="B56" s="485"/>
      <c r="C56" s="504" t="s">
        <v>147</v>
      </c>
      <c r="D56" s="642"/>
      <c r="E56" s="642"/>
      <c r="F56" s="643"/>
      <c r="G56" s="644"/>
      <c r="H56" s="644"/>
      <c r="I56" s="644"/>
      <c r="J56" s="645"/>
      <c r="K56" s="644"/>
      <c r="L56" s="646"/>
      <c r="M56" s="646"/>
      <c r="N56" s="646"/>
      <c r="O56" s="618"/>
      <c r="P56" s="620"/>
      <c r="Q56" s="495"/>
      <c r="R56" s="495"/>
      <c r="S56" s="495"/>
      <c r="T56" s="495"/>
      <c r="U56" s="495"/>
      <c r="V56" s="621"/>
      <c r="W56" s="495"/>
      <c r="X56" s="495"/>
    </row>
    <row r="57" spans="1:24" s="447" customFormat="1" ht="15" customHeight="1">
      <c r="A57" s="443"/>
      <c r="B57" s="505"/>
      <c r="C57" s="506" t="s">
        <v>2390</v>
      </c>
      <c r="D57" s="507"/>
      <c r="E57" s="507"/>
      <c r="F57" s="507"/>
      <c r="G57" s="4102">
        <f>input!$D$1070</f>
        <v>100000</v>
      </c>
      <c r="H57" s="4102"/>
      <c r="I57" s="647" t="s">
        <v>11</v>
      </c>
      <c r="J57" s="508"/>
      <c r="K57" s="508"/>
      <c r="L57" s="508"/>
      <c r="M57" s="506"/>
      <c r="N57" s="506"/>
      <c r="O57" s="444"/>
      <c r="P57" s="445"/>
      <c r="Q57" s="446"/>
      <c r="R57" s="446"/>
      <c r="S57" s="446"/>
      <c r="T57" s="446"/>
      <c r="U57" s="446"/>
      <c r="V57" s="648"/>
      <c r="W57" s="446"/>
      <c r="X57" s="446"/>
    </row>
    <row r="58" spans="1:24" s="447" customFormat="1" ht="15" customHeight="1">
      <c r="A58" s="443"/>
      <c r="B58" s="505"/>
      <c r="C58" s="4103" t="str">
        <f>"2. "&amp;VLOOKUP(input!B1,Data!$O$3:$P$5,2,0)</f>
        <v>2. Orders which are not urgent and under forecast which can use import cut-to-size materials.
*** In case the quantity requested does not meet MOQ of import materials, the sale-price will be estimated with local materials ***</v>
      </c>
      <c r="D58" s="4103"/>
      <c r="E58" s="4103"/>
      <c r="F58" s="4103"/>
      <c r="G58" s="4103"/>
      <c r="H58" s="4103"/>
      <c r="I58" s="4103"/>
      <c r="J58" s="4103"/>
      <c r="K58" s="4103"/>
      <c r="L58" s="4103"/>
      <c r="M58" s="4103"/>
      <c r="N58" s="4103"/>
      <c r="O58" s="509"/>
      <c r="P58" s="445"/>
      <c r="Q58" s="446"/>
      <c r="R58" s="446"/>
      <c r="S58" s="446"/>
      <c r="T58" s="446"/>
      <c r="U58" s="446"/>
      <c r="V58" s="648"/>
      <c r="W58" s="446"/>
      <c r="X58" s="446"/>
    </row>
    <row r="59" spans="1:24" s="447" customFormat="1" ht="15" customHeight="1">
      <c r="A59" s="443"/>
      <c r="B59" s="444"/>
      <c r="C59" s="2971" t="s">
        <v>3320</v>
      </c>
      <c r="D59" s="510"/>
      <c r="E59" s="510"/>
      <c r="F59" s="510"/>
      <c r="G59" s="510"/>
      <c r="H59" s="510"/>
      <c r="I59" s="510"/>
      <c r="J59" s="510"/>
      <c r="K59" s="510"/>
      <c r="L59" s="510"/>
      <c r="M59" s="510"/>
      <c r="N59" s="510"/>
      <c r="O59" s="509"/>
      <c r="P59" s="445"/>
      <c r="Q59" s="446"/>
      <c r="R59" s="446"/>
      <c r="S59" s="446"/>
      <c r="T59" s="446"/>
      <c r="U59" s="446"/>
      <c r="V59" s="648"/>
      <c r="W59" s="446"/>
      <c r="X59" s="446"/>
    </row>
    <row r="60" spans="1:24" s="447" customFormat="1" ht="15" customHeight="1">
      <c r="A60" s="443"/>
      <c r="B60" s="444"/>
      <c r="C60" s="2971" t="s">
        <v>3975</v>
      </c>
      <c r="D60" s="510"/>
      <c r="E60" s="510"/>
      <c r="F60" s="510"/>
      <c r="G60" s="510"/>
      <c r="H60" s="510"/>
      <c r="I60" s="510"/>
      <c r="J60" s="510"/>
      <c r="K60" s="510"/>
      <c r="L60" s="510"/>
      <c r="M60" s="510"/>
      <c r="N60" s="510"/>
      <c r="O60" s="509"/>
      <c r="P60" s="445"/>
      <c r="Q60" s="446"/>
      <c r="R60" s="446"/>
      <c r="S60" s="446"/>
      <c r="T60" s="446"/>
      <c r="U60" s="446"/>
      <c r="V60" s="648"/>
      <c r="W60" s="446"/>
      <c r="X60" s="446"/>
    </row>
    <row r="61" spans="1:24" s="447" customFormat="1" ht="15" customHeight="1">
      <c r="A61" s="443"/>
      <c r="B61" s="444"/>
      <c r="C61" s="510"/>
      <c r="D61" s="510"/>
      <c r="E61" s="510"/>
      <c r="F61" s="510"/>
      <c r="G61" s="510"/>
      <c r="H61" s="510"/>
      <c r="I61" s="510"/>
      <c r="J61" s="510"/>
      <c r="K61" s="510"/>
      <c r="L61" s="510"/>
      <c r="M61" s="510"/>
      <c r="N61" s="510"/>
      <c r="O61" s="509"/>
      <c r="P61" s="445"/>
      <c r="Q61" s="446"/>
      <c r="R61" s="446"/>
      <c r="S61" s="446"/>
      <c r="T61" s="446"/>
      <c r="U61" s="446"/>
      <c r="V61" s="648"/>
      <c r="W61" s="446"/>
      <c r="X61" s="446"/>
    </row>
    <row r="62" spans="1:24" ht="9.75" customHeight="1">
      <c r="A62" s="448"/>
      <c r="B62" s="485"/>
      <c r="C62" s="511"/>
      <c r="D62" s="512"/>
      <c r="E62" s="512"/>
      <c r="F62" s="449"/>
      <c r="G62" s="449"/>
      <c r="H62" s="449"/>
      <c r="I62" s="449"/>
      <c r="J62" s="449"/>
      <c r="K62" s="513"/>
      <c r="L62" s="449"/>
      <c r="M62" s="449"/>
      <c r="N62" s="449"/>
      <c r="O62" s="649"/>
      <c r="P62" s="484"/>
      <c r="Q62" s="495"/>
      <c r="R62" s="495"/>
      <c r="S62" s="495"/>
      <c r="T62" s="495"/>
      <c r="U62" s="495"/>
      <c r="V62" s="621"/>
      <c r="W62" s="495"/>
      <c r="X62" s="495"/>
    </row>
    <row r="63" spans="1:24" ht="18" customHeight="1">
      <c r="A63" s="514"/>
      <c r="B63" s="515"/>
      <c r="C63" s="515" t="s">
        <v>801</v>
      </c>
      <c r="D63" s="515"/>
      <c r="E63" s="515" t="s">
        <v>802</v>
      </c>
      <c r="F63" s="515"/>
      <c r="H63" s="515" t="s">
        <v>803</v>
      </c>
      <c r="I63" s="515"/>
      <c r="J63" s="515"/>
      <c r="K63" s="516"/>
      <c r="L63" s="515" t="s">
        <v>804</v>
      </c>
      <c r="M63" s="515"/>
      <c r="N63" s="515"/>
      <c r="O63" s="552"/>
      <c r="P63" s="484"/>
    </row>
    <row r="64" spans="1:24" ht="20.25" customHeight="1">
      <c r="A64" s="448"/>
      <c r="B64" s="517"/>
      <c r="C64" s="518"/>
      <c r="E64" s="518"/>
      <c r="H64" s="518"/>
      <c r="K64" s="516"/>
      <c r="L64" s="518"/>
      <c r="M64" s="518"/>
      <c r="N64" s="518"/>
      <c r="O64" s="552"/>
      <c r="P64" s="484"/>
    </row>
    <row r="65" spans="1:22" ht="20.25" customHeight="1">
      <c r="A65" s="448"/>
      <c r="B65" s="517"/>
      <c r="C65" s="518"/>
      <c r="E65" s="518"/>
      <c r="H65" s="518"/>
      <c r="K65" s="516"/>
      <c r="L65" s="518"/>
      <c r="M65" s="518"/>
      <c r="N65" s="518"/>
      <c r="O65" s="552"/>
      <c r="P65" s="484"/>
    </row>
    <row r="66" spans="1:22" ht="16.5" customHeight="1">
      <c r="A66" s="448"/>
      <c r="B66" s="517"/>
      <c r="C66" s="518"/>
      <c r="E66" s="518"/>
      <c r="H66" s="518"/>
      <c r="K66" s="516"/>
      <c r="L66" s="518"/>
      <c r="M66" s="518"/>
      <c r="N66" s="518"/>
      <c r="P66" s="484"/>
    </row>
    <row r="67" spans="1:22" ht="16.5" customHeight="1">
      <c r="A67" s="483"/>
      <c r="B67" s="517"/>
      <c r="K67" s="519"/>
      <c r="L67" s="482"/>
      <c r="M67" s="482"/>
      <c r="N67" s="482"/>
      <c r="P67" s="484"/>
    </row>
    <row r="68" spans="1:22" ht="16.5" customHeight="1">
      <c r="A68" s="483"/>
      <c r="C68" s="520" t="s">
        <v>805</v>
      </c>
      <c r="E68" s="520" t="s">
        <v>805</v>
      </c>
      <c r="H68" s="520" t="s">
        <v>805</v>
      </c>
      <c r="L68" s="520" t="s">
        <v>805</v>
      </c>
      <c r="M68" s="520"/>
      <c r="N68" s="520"/>
      <c r="P68" s="484"/>
    </row>
    <row r="69" spans="1:22" ht="16.5" customHeight="1">
      <c r="A69" s="483"/>
      <c r="C69" s="515" t="s">
        <v>1319</v>
      </c>
      <c r="E69" s="515" t="s">
        <v>1678</v>
      </c>
      <c r="H69" s="515" t="s">
        <v>806</v>
      </c>
      <c r="L69" s="515" t="s">
        <v>807</v>
      </c>
      <c r="M69" s="515"/>
      <c r="N69" s="515"/>
      <c r="P69" s="484"/>
    </row>
    <row r="70" spans="1:22" s="450" customFormat="1" ht="16.5" customHeight="1">
      <c r="A70" s="521"/>
      <c r="C70" s="522" t="str">
        <f>VLOOKUP(C69,$B$81:$E$92,4,0)</f>
        <v>Estimating Manager</v>
      </c>
      <c r="E70" s="522" t="str">
        <f>VLOOKUP(E69,$B$81:$E$92,4,0)</f>
        <v>Sales/MKT - team lead</v>
      </c>
      <c r="H70" s="522" t="str">
        <f>VLOOKUP(H69,$B$81:$E$92,4,0)</f>
        <v>Chief Financial Officer</v>
      </c>
      <c r="L70" s="522" t="str">
        <f>VLOOKUP(L69,$B$81:$E$92,4,0)</f>
        <v>Deputy General Director</v>
      </c>
      <c r="M70" s="522"/>
      <c r="N70" s="522"/>
      <c r="P70" s="523"/>
      <c r="V70" s="650"/>
    </row>
    <row r="71" spans="1:22" ht="16.5" customHeight="1">
      <c r="A71" s="524"/>
      <c r="B71" s="525"/>
      <c r="C71" s="525"/>
      <c r="D71" s="525"/>
      <c r="E71" s="525"/>
      <c r="F71" s="525"/>
      <c r="G71" s="525"/>
      <c r="H71" s="525"/>
      <c r="I71" s="525"/>
      <c r="J71" s="525"/>
      <c r="K71" s="525"/>
      <c r="L71" s="651"/>
      <c r="M71" s="651"/>
      <c r="N71" s="651"/>
      <c r="O71" s="525"/>
      <c r="P71" s="526"/>
    </row>
    <row r="72" spans="1:22" ht="11.25" customHeight="1"/>
    <row r="73" spans="1:22" ht="16.5" customHeight="1">
      <c r="B73" s="527" t="s">
        <v>1320</v>
      </c>
      <c r="C73" s="527"/>
      <c r="G73" s="531" t="s">
        <v>1576</v>
      </c>
      <c r="H73" s="652" t="e">
        <f>1-SUM(H16,H26,H28,H30)/(H41-SUM(H38:H40)-SUM(H16,H26,H28,H30)*H37)</f>
        <v>#DIV/0!</v>
      </c>
      <c r="I73" s="635"/>
      <c r="J73" s="652">
        <f ca="1">1-(SUM(J16,J26,J28,J30))/(J41-SUM(J38:J40)-(SUM(J16,J26,J28,J30))*J37)</f>
        <v>0.45002378881461591</v>
      </c>
    </row>
    <row r="74" spans="1:22" ht="16.5" customHeight="1">
      <c r="C74" s="511" t="s">
        <v>1321</v>
      </c>
      <c r="D74" s="2932" t="s">
        <v>3788</v>
      </c>
    </row>
    <row r="75" spans="1:22" ht="16.5" customHeight="1">
      <c r="C75" s="511" t="s">
        <v>322</v>
      </c>
      <c r="D75" s="2932" t="s">
        <v>3788</v>
      </c>
      <c r="J75" s="653"/>
    </row>
    <row r="76" spans="1:22" ht="16.5" customHeight="1">
      <c r="C76" s="511" t="s">
        <v>253</v>
      </c>
      <c r="D76" s="528">
        <v>45156</v>
      </c>
    </row>
    <row r="77" spans="1:22" ht="16.5" customHeight="1">
      <c r="C77" s="511" t="s">
        <v>370</v>
      </c>
      <c r="D77" s="512" t="s">
        <v>3976</v>
      </c>
    </row>
    <row r="78" spans="1:22" ht="12.75" customHeight="1">
      <c r="C78" s="511" t="s">
        <v>2067</v>
      </c>
    </row>
    <row r="80" spans="1:22" ht="16.5" customHeight="1">
      <c r="J80" s="4076"/>
    </row>
    <row r="81" spans="2:19" ht="16.5" hidden="1" customHeight="1" outlineLevel="1">
      <c r="B81" s="482" t="s">
        <v>1319</v>
      </c>
      <c r="E81" s="482" t="s">
        <v>808</v>
      </c>
    </row>
    <row r="82" spans="2:19" ht="16.5" hidden="1" customHeight="1" outlineLevel="1">
      <c r="B82" s="482" t="s">
        <v>806</v>
      </c>
      <c r="E82" s="482" t="s">
        <v>809</v>
      </c>
    </row>
    <row r="83" spans="2:19" ht="16.5" hidden="1" customHeight="1" outlineLevel="1">
      <c r="B83" s="482" t="s">
        <v>807</v>
      </c>
      <c r="E83" s="482" t="s">
        <v>810</v>
      </c>
    </row>
    <row r="84" spans="2:19" ht="16.5" hidden="1" customHeight="1" outlineLevel="1">
      <c r="B84" s="482" t="s">
        <v>811</v>
      </c>
      <c r="E84" s="482" t="s">
        <v>812</v>
      </c>
    </row>
    <row r="85" spans="2:19" ht="16.5" hidden="1" customHeight="1" outlineLevel="1">
      <c r="B85" s="482" t="s">
        <v>1678</v>
      </c>
      <c r="E85" s="482" t="s">
        <v>1577</v>
      </c>
    </row>
    <row r="86" spans="2:19" ht="16.5" hidden="1" customHeight="1" outlineLevel="1">
      <c r="B86" s="482" t="s">
        <v>2155</v>
      </c>
      <c r="E86" s="482" t="s">
        <v>1577</v>
      </c>
    </row>
    <row r="87" spans="2:19" ht="16.5" hidden="1" customHeight="1" outlineLevel="1">
      <c r="B87" s="482" t="s">
        <v>3390</v>
      </c>
      <c r="E87" s="482" t="s">
        <v>1577</v>
      </c>
    </row>
    <row r="88" spans="2:19" ht="16.5" hidden="1" customHeight="1" outlineLevel="1">
      <c r="B88" s="482" t="s">
        <v>1696</v>
      </c>
      <c r="E88" s="482" t="s">
        <v>1577</v>
      </c>
    </row>
    <row r="89" spans="2:19" ht="16.5" hidden="1" customHeight="1" outlineLevel="1">
      <c r="B89" s="482" t="s">
        <v>3312</v>
      </c>
      <c r="E89" s="482" t="s">
        <v>1577</v>
      </c>
    </row>
    <row r="90" spans="2:19" ht="16.5" hidden="1" customHeight="1" outlineLevel="1">
      <c r="B90" s="482" t="s">
        <v>3414</v>
      </c>
      <c r="E90" s="482" t="s">
        <v>1577</v>
      </c>
      <c r="F90" s="3339"/>
    </row>
    <row r="91" spans="2:19" ht="16.5" hidden="1" customHeight="1" outlineLevel="1">
      <c r="B91" s="482" t="s">
        <v>3324</v>
      </c>
      <c r="E91" s="482" t="s">
        <v>1577</v>
      </c>
    </row>
    <row r="92" spans="2:19" ht="16.5" hidden="1" customHeight="1" outlineLevel="1"/>
    <row r="93" spans="2:19" ht="16.5" customHeight="1" collapsed="1">
      <c r="C93" s="716" t="s">
        <v>750</v>
      </c>
      <c r="D93" s="716"/>
      <c r="E93" s="716"/>
      <c r="F93" s="716" t="s">
        <v>1713</v>
      </c>
      <c r="G93" s="716"/>
      <c r="H93" s="716" t="s">
        <v>1714</v>
      </c>
      <c r="I93" s="716"/>
      <c r="J93" s="716" t="s">
        <v>1715</v>
      </c>
      <c r="K93" s="716" t="s">
        <v>1877</v>
      </c>
      <c r="L93" s="716" t="s">
        <v>2063</v>
      </c>
      <c r="M93" s="716" t="s">
        <v>2813</v>
      </c>
      <c r="O93" s="3251" t="s">
        <v>3375</v>
      </c>
      <c r="Q93" s="3139" t="s">
        <v>445</v>
      </c>
      <c r="R93" s="3139" t="s">
        <v>1099</v>
      </c>
      <c r="S93" s="3250"/>
    </row>
    <row r="94" spans="2:19" ht="16.5" customHeight="1">
      <c r="C94" s="532" t="str">
        <f>Paper!A6</f>
        <v>No.</v>
      </c>
      <c r="D94" s="532" t="str">
        <f>Paper!B6</f>
        <v>GSM</v>
      </c>
      <c r="E94" s="532" t="str">
        <f>Paper!D6</f>
        <v>Paper type</v>
      </c>
      <c r="F94" s="532" t="str">
        <f>Paper!N6</f>
        <v>W (mm)</v>
      </c>
      <c r="G94" s="532" t="str">
        <f>Paper!O6</f>
        <v>L (mm)</v>
      </c>
      <c r="H94" s="532" t="str">
        <f>Paper!P6</f>
        <v>W (mm)</v>
      </c>
      <c r="I94" s="532" t="str">
        <f>Paper!Q6</f>
        <v>L(mm)</v>
      </c>
      <c r="J94" s="718"/>
      <c r="O94" s="3250"/>
      <c r="Q94" s="3139"/>
      <c r="R94" s="3139"/>
      <c r="S94" s="3250"/>
    </row>
    <row r="95" spans="2:19" ht="16.5" customHeight="1">
      <c r="C95" s="485" t="str">
        <f>Paper!A7</f>
        <v>Box</v>
      </c>
      <c r="D95" s="485">
        <f>Paper!B7</f>
        <v>300</v>
      </c>
      <c r="E95" s="2954" t="str">
        <f>Paper!D7&amp;" - "&amp;Paper!E7&amp;IF(Paper!$AM7="Y"," FSC"," ")</f>
        <v xml:space="preserve">GB - HANSOL </v>
      </c>
      <c r="F95" s="485">
        <f>Paper!N7</f>
        <v>638</v>
      </c>
      <c r="G95" s="485">
        <f>Paper!O7</f>
        <v>407</v>
      </c>
      <c r="H95" s="485">
        <f>Paper!P7</f>
        <v>650</v>
      </c>
      <c r="I95" s="485">
        <f>Paper!Q7</f>
        <v>410</v>
      </c>
      <c r="J95" s="2895">
        <f ca="1">Paper!R7</f>
        <v>0.222</v>
      </c>
      <c r="K95" s="2896">
        <f>Paper!V7</f>
        <v>2500</v>
      </c>
      <c r="L95" s="2897">
        <f>IFERROR(IF($L$7="Regular",0,VLOOKUP(Paper!B7&amp;"gsm "&amp;Paper!D7&amp;" "&amp;Paper!E7,Data!$P$14:$AH$894,19,0)),)</f>
        <v>0</v>
      </c>
      <c r="M95" s="2898">
        <f>Paper!AQ7</f>
        <v>0</v>
      </c>
      <c r="O95" s="3250" t="str">
        <f>Paper!G7</f>
        <v>Import</v>
      </c>
      <c r="Q95" s="3139">
        <f>INDEX(Data!$C$14:$P$894,MATCH(Paper!C7,Data!$P$14:$P$894,0),IF(Paper!G7="Local",1,2))</f>
        <v>495</v>
      </c>
      <c r="R95" s="3139" t="str">
        <f>IF(Paper!G7="Import",INDEX(Data!$C$14:$P$894,MATCH(Paper!C7,Data!$P$14:$P$894,0),6),"")</f>
        <v>CIF</v>
      </c>
      <c r="S95" s="3250"/>
    </row>
    <row r="96" spans="2:19" ht="16.5" hidden="1" customHeight="1" outlineLevel="1">
      <c r="C96" s="485" t="str">
        <f>Paper!A8</f>
        <v>N</v>
      </c>
      <c r="D96" s="485">
        <f>Paper!B8</f>
        <v>0</v>
      </c>
      <c r="E96" s="2954" t="str">
        <f>Paper!D8&amp;" - "&amp;Paper!E8&amp;IF(Paper!$AM8="Y"," FSC"," ")</f>
        <v xml:space="preserve">GB - 0 </v>
      </c>
      <c r="F96" s="485">
        <f>Paper!N8</f>
        <v>0</v>
      </c>
      <c r="G96" s="485">
        <f>Paper!O8</f>
        <v>0</v>
      </c>
      <c r="H96" s="485">
        <f ca="1">Paper!P8</f>
        <v>0</v>
      </c>
      <c r="I96" s="485">
        <f>Paper!Q8</f>
        <v>3</v>
      </c>
      <c r="J96" s="2895">
        <f ca="1">Paper!R8</f>
        <v>0</v>
      </c>
      <c r="K96" s="2896">
        <f>Paper!V8</f>
        <v>0</v>
      </c>
      <c r="L96" s="2897">
        <f>IFERROR(IF($L$7="Regular",0,VLOOKUP(Paper!B8&amp;"gsm "&amp;Paper!D8&amp;" "&amp;Paper!E8,Data!$P$14:$AH$894,19,0)),)</f>
        <v>0</v>
      </c>
      <c r="M96" s="2898">
        <f>Paper!AQ8</f>
        <v>0</v>
      </c>
      <c r="O96" s="3250" t="str">
        <f>Paper!G8</f>
        <v>Local</v>
      </c>
      <c r="Q96" s="3139">
        <f>INDEX(Data!$C$14:$P$894,MATCH(Paper!C8,Data!$P$14:$P$894,0),IF(Paper!G8="Local",1,2))</f>
        <v>0</v>
      </c>
      <c r="R96" s="3139" t="str">
        <f>IF(Paper!G8="Import",INDEX(Data!$C$14:$P$894,MATCH(Paper!C8,Data!$P$14:$P$894,0),6),"")</f>
        <v/>
      </c>
      <c r="S96" s="3250"/>
    </row>
    <row r="97" spans="3:19" ht="16.5" hidden="1" customHeight="1" outlineLevel="1">
      <c r="C97" s="485" t="str">
        <f>Paper!A9</f>
        <v>N</v>
      </c>
      <c r="D97" s="485">
        <f>Paper!B9</f>
        <v>0</v>
      </c>
      <c r="E97" s="2954" t="str">
        <f>Paper!D9&amp;" - "&amp;Paper!E9&amp;IF(Paper!$AM9="Y"," FSC"," ")</f>
        <v xml:space="preserve">GB - 0 </v>
      </c>
      <c r="F97" s="485">
        <f>Paper!N9</f>
        <v>0</v>
      </c>
      <c r="G97" s="485">
        <f>Paper!O9</f>
        <v>0</v>
      </c>
      <c r="H97" s="485">
        <f ca="1">Paper!P9</f>
        <v>0</v>
      </c>
      <c r="I97" s="485">
        <f>Paper!Q9</f>
        <v>3</v>
      </c>
      <c r="J97" s="2895">
        <f ca="1">Paper!R9</f>
        <v>0</v>
      </c>
      <c r="K97" s="2896">
        <f>Paper!V9</f>
        <v>0</v>
      </c>
      <c r="L97" s="2897">
        <f>IFERROR(IF($L$7="Regular",0,VLOOKUP(Paper!B9&amp;"gsm "&amp;Paper!D9&amp;" "&amp;Paper!E9,Data!$P$14:$AH$894,19,0)),)</f>
        <v>0</v>
      </c>
      <c r="M97" s="2898">
        <f>Paper!AQ9</f>
        <v>0</v>
      </c>
      <c r="O97" s="3250" t="str">
        <f>Paper!G9</f>
        <v>Local</v>
      </c>
      <c r="Q97" s="3139">
        <f>INDEX(Data!$C$14:$P$894,MATCH(Paper!C9,Data!$P$14:$P$894,0),IF(Paper!G9="Local",1,2))</f>
        <v>0</v>
      </c>
      <c r="R97" s="3139" t="str">
        <f>IF(Paper!G9="Import",INDEX(Data!$C$14:$P$894,MATCH(Paper!C9,Data!$P$14:$P$894,0),6),"")</f>
        <v/>
      </c>
      <c r="S97" s="3250"/>
    </row>
    <row r="98" spans="3:19" ht="16.5" hidden="1" customHeight="1" outlineLevel="1">
      <c r="C98" s="485" t="str">
        <f>Paper!A10</f>
        <v>N</v>
      </c>
      <c r="D98" s="485">
        <f>Paper!B10</f>
        <v>0</v>
      </c>
      <c r="E98" s="2954" t="str">
        <f>Paper!D10&amp;" - "&amp;Paper!E10&amp;IF(Paper!$AM10="Y"," FSC"," ")</f>
        <v xml:space="preserve">GB - DEA HAN </v>
      </c>
      <c r="F98" s="485">
        <f>Paper!N10</f>
        <v>0</v>
      </c>
      <c r="G98" s="485">
        <f>Paper!O10</f>
        <v>0</v>
      </c>
      <c r="H98" s="485">
        <f ca="1">Paper!P10</f>
        <v>0</v>
      </c>
      <c r="I98" s="485">
        <f>Paper!Q10</f>
        <v>3</v>
      </c>
      <c r="J98" s="2895">
        <f ca="1">Paper!R10</f>
        <v>0</v>
      </c>
      <c r="K98" s="2896">
        <f>Paper!V10</f>
        <v>0</v>
      </c>
      <c r="L98" s="2897">
        <f>IFERROR(IF($L$7="Regular",0,VLOOKUP(Paper!B10&amp;"gsm "&amp;Paper!D10&amp;" "&amp;Paper!E10,Data!$P$14:$AH$894,19,0)),)</f>
        <v>0</v>
      </c>
      <c r="M98" s="2898">
        <f>Paper!AQ10</f>
        <v>0</v>
      </c>
      <c r="O98" s="3250" t="str">
        <f>Paper!G10</f>
        <v>Local</v>
      </c>
      <c r="Q98" s="3139">
        <f>INDEX(Data!$C$14:$P$894,MATCH(Paper!C10,Data!$P$14:$P$894,0),IF(Paper!G10="Local",1,2))</f>
        <v>0</v>
      </c>
      <c r="R98" s="3139" t="str">
        <f>IF(Paper!G10="Import",INDEX(Data!$C$14:$P$894,MATCH(Paper!C10,Data!$P$14:$P$894,0),6),"")</f>
        <v/>
      </c>
      <c r="S98" s="3250"/>
    </row>
    <row r="99" spans="3:19" ht="16.5" hidden="1" customHeight="1" outlineLevel="1">
      <c r="C99" s="485" t="str">
        <f>Paper!A11</f>
        <v>N</v>
      </c>
      <c r="D99" s="485">
        <f>Paper!B11</f>
        <v>0</v>
      </c>
      <c r="E99" s="2954" t="str">
        <f>Paper!D11&amp;" - "&amp;Paper!E11&amp;IF(Paper!$AM11="Y"," FSC"," ")</f>
        <v xml:space="preserve">GB - 0 </v>
      </c>
      <c r="F99" s="485">
        <f>Paper!N11</f>
        <v>0</v>
      </c>
      <c r="G99" s="485">
        <f>Paper!O11</f>
        <v>0</v>
      </c>
      <c r="H99" s="485">
        <f ca="1">Paper!P11</f>
        <v>0</v>
      </c>
      <c r="I99" s="485">
        <f>Paper!Q11</f>
        <v>3</v>
      </c>
      <c r="J99" s="2895">
        <f ca="1">Paper!R11</f>
        <v>0</v>
      </c>
      <c r="K99" s="2896">
        <f>Paper!V11</f>
        <v>0</v>
      </c>
      <c r="L99" s="2897">
        <f>IFERROR(IF($L$7="Regular",0,VLOOKUP(Paper!B11&amp;"gsm "&amp;Paper!D11&amp;" "&amp;Paper!E11,Data!$P$14:$AH$894,19,0)),)</f>
        <v>0</v>
      </c>
      <c r="M99" s="2898">
        <f>Paper!AQ11</f>
        <v>0</v>
      </c>
      <c r="O99" s="3250" t="str">
        <f>Paper!G11</f>
        <v>Local</v>
      </c>
      <c r="Q99" s="3139">
        <f>INDEX(Data!$C$14:$P$894,MATCH(Paper!C11,Data!$P$14:$P$894,0),IF(Paper!G11="Local",1,2))</f>
        <v>0</v>
      </c>
      <c r="R99" s="3139" t="str">
        <f>IF(Paper!G11="Import",INDEX(Data!$C$14:$P$894,MATCH(Paper!C11,Data!$P$14:$P$894,0),6),"")</f>
        <v/>
      </c>
      <c r="S99" s="3250"/>
    </row>
    <row r="100" spans="3:19" ht="16.5" hidden="1" customHeight="1" outlineLevel="1">
      <c r="C100" s="485" t="str">
        <f>Paper!A12</f>
        <v>N</v>
      </c>
      <c r="D100" s="485">
        <f>Paper!B12</f>
        <v>0</v>
      </c>
      <c r="E100" s="2954" t="str">
        <f>Paper!D12&amp;" - "&amp;Paper!E12&amp;IF(Paper!$AM12="Y"," FSC"," ")</f>
        <v xml:space="preserve">GB - 0 </v>
      </c>
      <c r="F100" s="485">
        <f>Paper!N12</f>
        <v>0</v>
      </c>
      <c r="G100" s="485">
        <f>Paper!O12</f>
        <v>0</v>
      </c>
      <c r="H100" s="485">
        <f ca="1">Paper!P12</f>
        <v>0</v>
      </c>
      <c r="I100" s="485">
        <f>Paper!Q12</f>
        <v>3</v>
      </c>
      <c r="J100" s="2895">
        <f ca="1">Paper!R12</f>
        <v>0</v>
      </c>
      <c r="K100" s="2896">
        <f>Paper!V12</f>
        <v>0</v>
      </c>
      <c r="L100" s="2897">
        <f>IFERROR(IF($L$7="Regular",0,VLOOKUP(Paper!B12&amp;"gsm "&amp;Paper!D12&amp;" "&amp;Paper!E12,Data!$P$14:$AH$894,19,0)),)</f>
        <v>0</v>
      </c>
      <c r="M100" s="2898">
        <f>Paper!AQ12</f>
        <v>0</v>
      </c>
      <c r="O100" s="3250" t="str">
        <f>Paper!G12</f>
        <v>Local</v>
      </c>
      <c r="Q100" s="3139">
        <f>INDEX(Data!$C$14:$P$894,MATCH(Paper!C12,Data!$P$14:$P$894,0),IF(Paper!G12="Local",1,2))</f>
        <v>0</v>
      </c>
      <c r="R100" s="3139" t="str">
        <f>IF(Paper!G12="Import",INDEX(Data!$C$14:$P$894,MATCH(Paper!C12,Data!$P$14:$P$894,0),6),"")</f>
        <v/>
      </c>
      <c r="S100" s="3250"/>
    </row>
    <row r="101" spans="3:19" ht="16.5" hidden="1" customHeight="1" outlineLevel="1">
      <c r="C101" s="485" t="str">
        <f>Paper!A13</f>
        <v>N</v>
      </c>
      <c r="D101" s="485">
        <f>Paper!B13</f>
        <v>0</v>
      </c>
      <c r="E101" s="2954" t="str">
        <f>Paper!D13&amp;" - "&amp;Paper!E13&amp;IF(Paper!$AM13="Y"," FSC"," ")</f>
        <v xml:space="preserve">GB - 0 </v>
      </c>
      <c r="F101" s="485">
        <f>Paper!N13</f>
        <v>0</v>
      </c>
      <c r="G101" s="485">
        <f>Paper!O13</f>
        <v>0</v>
      </c>
      <c r="H101" s="485">
        <f ca="1">Paper!P13</f>
        <v>0</v>
      </c>
      <c r="I101" s="485">
        <f>Paper!Q13</f>
        <v>3</v>
      </c>
      <c r="J101" s="2895">
        <f ca="1">Paper!R13</f>
        <v>0</v>
      </c>
      <c r="K101" s="2896">
        <f>Paper!V13</f>
        <v>0</v>
      </c>
      <c r="L101" s="2897">
        <f>IFERROR(IF($L$7="Regular",0,VLOOKUP(Paper!B13&amp;"gsm "&amp;Paper!D13&amp;" "&amp;Paper!E13,Data!$P$14:$AH$894,19,0)),)</f>
        <v>0</v>
      </c>
      <c r="M101" s="2898">
        <f>Paper!AQ13</f>
        <v>0</v>
      </c>
      <c r="O101" s="3250" t="str">
        <f>Paper!G13</f>
        <v>Local</v>
      </c>
      <c r="Q101" s="3139">
        <f>INDEX(Data!$C$14:$P$894,MATCH(Paper!C13,Data!$P$14:$P$894,0),IF(Paper!G13="Local",1,2))</f>
        <v>0</v>
      </c>
      <c r="R101" s="3139" t="str">
        <f>IF(Paper!G13="Import",INDEX(Data!$C$14:$P$894,MATCH(Paper!C13,Data!$P$14:$P$894,0),6),"")</f>
        <v/>
      </c>
      <c r="S101" s="3250"/>
    </row>
    <row r="102" spans="3:19" ht="16.5" hidden="1" customHeight="1" outlineLevel="1">
      <c r="C102" s="485" t="str">
        <f>Paper!A14</f>
        <v>N</v>
      </c>
      <c r="D102" s="485">
        <f>Paper!B14</f>
        <v>0</v>
      </c>
      <c r="E102" s="2954" t="str">
        <f>Paper!D14&amp;" - "&amp;Paper!E14&amp;IF(Paper!$AM14="Y"," FSC"," ")</f>
        <v xml:space="preserve">GB - 0 </v>
      </c>
      <c r="F102" s="485">
        <f>Paper!N14</f>
        <v>0</v>
      </c>
      <c r="G102" s="485">
        <f>Paper!O14</f>
        <v>0</v>
      </c>
      <c r="H102" s="485">
        <f ca="1">Paper!P14</f>
        <v>0</v>
      </c>
      <c r="I102" s="485">
        <f>Paper!Q14</f>
        <v>3</v>
      </c>
      <c r="J102" s="2895">
        <f ca="1">Paper!R14</f>
        <v>0</v>
      </c>
      <c r="K102" s="2896">
        <f>Paper!V14</f>
        <v>0</v>
      </c>
      <c r="L102" s="2897">
        <f>IFERROR(IF($L$7="Regular",0,VLOOKUP(Paper!B14&amp;"gsm "&amp;Paper!D14&amp;" "&amp;Paper!E14,Data!$P$14:$AH$894,19,0)),)</f>
        <v>0</v>
      </c>
      <c r="M102" s="2898">
        <f>Paper!AQ14</f>
        <v>0</v>
      </c>
      <c r="O102" s="3250" t="str">
        <f>Paper!G14</f>
        <v>Local</v>
      </c>
      <c r="Q102" s="3139">
        <f>INDEX(Data!$C$14:$P$894,MATCH(Paper!C14,Data!$P$14:$P$894,0),IF(Paper!G14="Local",1,2))</f>
        <v>0</v>
      </c>
      <c r="R102" s="3139" t="str">
        <f>IF(Paper!G14="Import",INDEX(Data!$C$14:$P$894,MATCH(Paper!C14,Data!$P$14:$P$894,0),6),"")</f>
        <v/>
      </c>
      <c r="S102" s="3250"/>
    </row>
    <row r="103" spans="3:19" ht="16.5" hidden="1" customHeight="1" outlineLevel="1">
      <c r="C103" s="485" t="str">
        <f>Paper!A15</f>
        <v>N</v>
      </c>
      <c r="D103" s="485">
        <f>Paper!B15</f>
        <v>0</v>
      </c>
      <c r="E103" s="2954" t="str">
        <f>Paper!D15&amp;" - "&amp;Paper!E15&amp;IF(Paper!$AM15="Y"," FSC"," ")</f>
        <v xml:space="preserve">GB - 0 </v>
      </c>
      <c r="F103" s="485">
        <f>Paper!N15</f>
        <v>0</v>
      </c>
      <c r="G103" s="485">
        <f>Paper!O15</f>
        <v>0</v>
      </c>
      <c r="H103" s="485">
        <f ca="1">Paper!P15</f>
        <v>0</v>
      </c>
      <c r="I103" s="485">
        <f>Paper!Q15</f>
        <v>3</v>
      </c>
      <c r="J103" s="2895">
        <f ca="1">Paper!R15</f>
        <v>0</v>
      </c>
      <c r="K103" s="2896">
        <f>Paper!V15</f>
        <v>0</v>
      </c>
      <c r="L103" s="2897">
        <f>IFERROR(IF($L$7="Regular",0,VLOOKUP(Paper!B15&amp;"gsm "&amp;Paper!D15&amp;" "&amp;Paper!E15,Data!$P$14:$AH$894,19,0)),)</f>
        <v>0</v>
      </c>
      <c r="M103" s="2898">
        <f>Paper!AQ15</f>
        <v>0</v>
      </c>
      <c r="O103" s="3250" t="str">
        <f>Paper!G15</f>
        <v>Local</v>
      </c>
      <c r="Q103" s="3139">
        <f>INDEX(Data!$C$14:$P$894,MATCH(Paper!C15,Data!$P$14:$P$894,0),IF(Paper!G15="Local",1,2))</f>
        <v>0</v>
      </c>
      <c r="R103" s="3139" t="str">
        <f>IF(Paper!G15="Import",INDEX(Data!$C$14:$P$894,MATCH(Paper!C15,Data!$P$14:$P$894,0),6),"")</f>
        <v/>
      </c>
      <c r="S103" s="3250"/>
    </row>
    <row r="104" spans="3:19" ht="16.5" hidden="1" customHeight="1" outlineLevel="1">
      <c r="C104" s="485" t="str">
        <f>Paper!A21</f>
        <v>1st</v>
      </c>
      <c r="D104" s="485">
        <f>Paper!B21</f>
        <v>0</v>
      </c>
      <c r="E104" s="2954" t="str">
        <f>Paper!D21&amp;" - "&amp;Paper!E21&amp;IF(Paper!$AM21="Y"," FSC"," ")</f>
        <v xml:space="preserve">GB - HANSOL </v>
      </c>
      <c r="F104" s="485">
        <f>Paper!N21</f>
        <v>0</v>
      </c>
      <c r="G104" s="485">
        <f>Paper!O21</f>
        <v>0</v>
      </c>
      <c r="H104" s="485">
        <f ca="1">Paper!P21</f>
        <v>0</v>
      </c>
      <c r="I104" s="485">
        <f>Paper!Q21</f>
        <v>3</v>
      </c>
      <c r="J104" s="2895">
        <f ca="1">Paper!R21</f>
        <v>0</v>
      </c>
      <c r="K104" s="2896">
        <f>Paper!V21</f>
        <v>0</v>
      </c>
      <c r="L104" s="2897">
        <f>IFERROR(IF($L$7="Regular",0,VLOOKUP(Paper!B21&amp;"gsm "&amp;Paper!D21&amp;" "&amp;Paper!E21,Data!$P$14:$AH$894,19,0)),)</f>
        <v>0</v>
      </c>
      <c r="M104" s="2898">
        <f>Paper!AQ21</f>
        <v>0</v>
      </c>
      <c r="O104" s="3250" t="str">
        <f>Paper!G21</f>
        <v>Local</v>
      </c>
      <c r="Q104" s="3139">
        <f>INDEX(Data!$C$14:$P$894,MATCH(Paper!C21,Data!$P$14:$P$894,0),IF(Paper!G21="Local",1,2))</f>
        <v>0</v>
      </c>
      <c r="R104" s="3139" t="str">
        <f>IF(Paper!G21="Import",INDEX(Data!$C$14:$P$894,MATCH(Paper!C21,Data!$P$14:$P$894,0),6),"")</f>
        <v/>
      </c>
      <c r="S104" s="3250"/>
    </row>
    <row r="105" spans="3:19" ht="16.5" hidden="1" customHeight="1" outlineLevel="1">
      <c r="C105" s="485" t="str">
        <f>Paper!A27</f>
        <v>N</v>
      </c>
      <c r="D105" s="485">
        <f>Paper!B27</f>
        <v>0</v>
      </c>
      <c r="E105" s="2954">
        <f>Paper!C27</f>
        <v>0</v>
      </c>
      <c r="F105" s="485">
        <f>Paper!N27</f>
        <v>0</v>
      </c>
      <c r="G105" s="485">
        <f>Paper!O27</f>
        <v>0</v>
      </c>
      <c r="H105" s="485">
        <f>Paper!P27</f>
        <v>0</v>
      </c>
      <c r="I105" s="485">
        <f>Paper!Q27</f>
        <v>0</v>
      </c>
      <c r="J105" s="2895">
        <f>Paper!R27</f>
        <v>0</v>
      </c>
      <c r="K105" s="2896">
        <f>Paper!V27</f>
        <v>0</v>
      </c>
      <c r="L105" s="2897"/>
      <c r="M105" s="2898"/>
      <c r="O105" s="3250" t="s">
        <v>649</v>
      </c>
      <c r="Q105" s="3139">
        <f>INDEX(Data!$C$14:$P$894,MATCH(Paper!C27,Data!$P$14:$P$894,0),IF(Paper!G27="Local",1,2))</f>
        <v>0</v>
      </c>
      <c r="R105" s="3139" t="str">
        <f>IF(Paper!G27="Import",INDEX(Data!$C$14:$P$894,MATCH(Paper!C27,Data!$P$14:$P$894,0),6),"")</f>
        <v/>
      </c>
      <c r="S105" s="3250"/>
    </row>
    <row r="106" spans="3:19" ht="16.5" hidden="1" customHeight="1" outlineLevel="1">
      <c r="C106" s="485" t="str">
        <f>Paper!A28</f>
        <v>N</v>
      </c>
      <c r="D106" s="485">
        <f>Paper!B28</f>
        <v>0</v>
      </c>
      <c r="E106" s="2954">
        <f>Paper!C28</f>
        <v>0</v>
      </c>
      <c r="F106" s="485">
        <f>Paper!N28</f>
        <v>0</v>
      </c>
      <c r="G106" s="485">
        <f>Paper!O28</f>
        <v>0</v>
      </c>
      <c r="H106" s="485">
        <f>Paper!P28</f>
        <v>0</v>
      </c>
      <c r="I106" s="485">
        <f>Paper!Q28</f>
        <v>0</v>
      </c>
      <c r="J106" s="2895">
        <f>Paper!R28</f>
        <v>0</v>
      </c>
      <c r="K106" s="2896">
        <f>Paper!V28</f>
        <v>0</v>
      </c>
      <c r="L106" s="2897"/>
      <c r="M106" s="2898"/>
      <c r="O106" s="3250" t="s">
        <v>649</v>
      </c>
      <c r="Q106" s="3139">
        <f>INDEX(Data!$C$14:$P$894,MATCH(Paper!C28,Data!$P$14:$P$894,0),IF(Paper!G28="Local",1,2))</f>
        <v>0</v>
      </c>
      <c r="R106" s="3139" t="str">
        <f>IF(Paper!G28="Import",INDEX(Data!$C$14:$P$894,MATCH(Paper!C28,Data!$P$14:$P$894,0),6),"")</f>
        <v/>
      </c>
      <c r="S106" s="3250"/>
    </row>
    <row r="107" spans="3:19" ht="16.5" hidden="1" customHeight="1" outlineLevel="1">
      <c r="C107" s="485" t="str">
        <f>Paper!A29</f>
        <v>N</v>
      </c>
      <c r="D107" s="485">
        <f>Paper!B29</f>
        <v>0</v>
      </c>
      <c r="E107" s="2954">
        <f>Paper!C29</f>
        <v>0</v>
      </c>
      <c r="F107" s="485">
        <f>Paper!N29</f>
        <v>0</v>
      </c>
      <c r="G107" s="485">
        <f>Paper!O29</f>
        <v>0</v>
      </c>
      <c r="H107" s="485">
        <f>Paper!P29</f>
        <v>0</v>
      </c>
      <c r="I107" s="485">
        <f>Paper!Q29</f>
        <v>0</v>
      </c>
      <c r="J107" s="2895">
        <f>Paper!R29</f>
        <v>0</v>
      </c>
      <c r="K107" s="2896">
        <f>Paper!V29</f>
        <v>0</v>
      </c>
      <c r="L107" s="2897"/>
      <c r="M107" s="2898"/>
      <c r="O107" s="3250" t="s">
        <v>649</v>
      </c>
      <c r="Q107" s="3139">
        <f>INDEX(Data!$C$14:$P$894,MATCH(Paper!C29,Data!$P$14:$P$894,0),IF(Paper!G29="Local",1,2))</f>
        <v>0</v>
      </c>
      <c r="R107" s="3139" t="str">
        <f>IF(Paper!G29="Import",INDEX(Data!$C$14:$P$894,MATCH(Paper!C29,Data!$P$14:$P$894,0),6),"")</f>
        <v/>
      </c>
      <c r="S107" s="3250"/>
    </row>
    <row r="108" spans="3:19" ht="16.5" hidden="1" customHeight="1" outlineLevel="1">
      <c r="C108" s="485" t="str">
        <f>Paper!A34</f>
        <v>N</v>
      </c>
      <c r="D108" s="485">
        <f>Paper!B34</f>
        <v>0</v>
      </c>
      <c r="E108" s="2954">
        <f>Paper!E34</f>
        <v>0</v>
      </c>
      <c r="F108" s="485">
        <f>Paper!N34</f>
        <v>0</v>
      </c>
      <c r="G108" s="485">
        <f>Paper!O34</f>
        <v>0</v>
      </c>
      <c r="H108" s="485">
        <f>Paper!P34</f>
        <v>0</v>
      </c>
      <c r="I108" s="485">
        <f>Paper!Q34</f>
        <v>0</v>
      </c>
      <c r="J108" s="2895">
        <f>Paper!R34</f>
        <v>0</v>
      </c>
      <c r="K108" s="2896">
        <f>Paper!V34</f>
        <v>0</v>
      </c>
      <c r="L108" s="2897">
        <f>IFERROR(IF($L$7="Regular",0,VLOOKUP(Paper!D34&amp;" "&amp;Paper!E34&amp;" "&amp;Paper!F34,Data!$P$14:$AH$894,19,0)),)</f>
        <v>0</v>
      </c>
      <c r="M108" s="2899">
        <f>Paper!AQ34</f>
        <v>0</v>
      </c>
      <c r="O108" s="3250" t="str">
        <f>Paper!G34</f>
        <v>Import</v>
      </c>
      <c r="Q108" s="3139">
        <f>INDEX(Data!$C$14:$P$894,MATCH(Paper!C34,Data!$P$14:$P$894,0),IF(Paper!G34="Local",1,2))</f>
        <v>0</v>
      </c>
      <c r="R108" s="3139">
        <f>IF(Paper!G34="Import",INDEX(Data!$C$14:$P$894,MATCH(Paper!C34,Data!$P$14:$P$894,0),6),"")</f>
        <v>0</v>
      </c>
      <c r="S108" s="3250"/>
    </row>
    <row r="109" spans="3:19" ht="16.5" hidden="1" customHeight="1" outlineLevel="1">
      <c r="C109" s="485" t="str">
        <f>Paper!A35</f>
        <v>N</v>
      </c>
      <c r="D109" s="485">
        <f>Paper!B35</f>
        <v>0</v>
      </c>
      <c r="E109" s="2954">
        <f>Paper!E35</f>
        <v>0</v>
      </c>
      <c r="F109" s="485">
        <f>Paper!N35</f>
        <v>0</v>
      </c>
      <c r="G109" s="485">
        <f>Paper!O35</f>
        <v>0</v>
      </c>
      <c r="H109" s="485">
        <f>Paper!P35</f>
        <v>0</v>
      </c>
      <c r="I109" s="485">
        <f>Paper!Q35</f>
        <v>0</v>
      </c>
      <c r="J109" s="2895">
        <f>Paper!R35</f>
        <v>0</v>
      </c>
      <c r="K109" s="2896">
        <f>Paper!V35</f>
        <v>0</v>
      </c>
      <c r="L109" s="2897">
        <f>IFERROR(IF($L$7="Regular",0,VLOOKUP(Paper!D35&amp;" "&amp;Paper!E35&amp;" "&amp;Paper!F35,Data!$P$14:$AH$894,19,0)),)</f>
        <v>0</v>
      </c>
      <c r="M109" s="2899">
        <f>Paper!AQ35</f>
        <v>0</v>
      </c>
      <c r="O109" s="3250" t="str">
        <f>Paper!G35</f>
        <v>Import</v>
      </c>
      <c r="Q109" s="3139">
        <f>INDEX(Data!$C$14:$P$894,MATCH(Paper!C35,Data!$P$14:$P$894,0),IF(Paper!G35="Local",1,2))</f>
        <v>0</v>
      </c>
      <c r="R109" s="3139">
        <f>IF(Paper!G35="Import",INDEX(Data!$C$14:$P$894,MATCH(Paper!C35,Data!$P$14:$P$894,0),6),"")</f>
        <v>0</v>
      </c>
      <c r="S109" s="3250"/>
    </row>
    <row r="110" spans="3:19" ht="16.5" hidden="1" customHeight="1" outlineLevel="1">
      <c r="C110" s="485" t="str">
        <f>Paper!A36</f>
        <v>N</v>
      </c>
      <c r="D110" s="485">
        <f>Paper!B36</f>
        <v>0</v>
      </c>
      <c r="E110" s="2954">
        <f>Paper!E36</f>
        <v>0</v>
      </c>
      <c r="F110" s="485">
        <f>Paper!N36</f>
        <v>0</v>
      </c>
      <c r="G110" s="485">
        <f>Paper!O36</f>
        <v>0</v>
      </c>
      <c r="H110" s="485">
        <f>Paper!P36</f>
        <v>0</v>
      </c>
      <c r="I110" s="485">
        <f>Paper!Q36</f>
        <v>0</v>
      </c>
      <c r="J110" s="2895">
        <f>Paper!R36</f>
        <v>0</v>
      </c>
      <c r="K110" s="2896">
        <f>Paper!V36</f>
        <v>0</v>
      </c>
      <c r="L110" s="2897">
        <f>IFERROR(IF($L$7="Regular",0,VLOOKUP(Paper!D36&amp;" "&amp;Paper!E36&amp;" "&amp;Paper!F36,Data!$P$14:$AH$894,19,0)),)</f>
        <v>0</v>
      </c>
      <c r="M110" s="2899">
        <f>Paper!AQ36</f>
        <v>0</v>
      </c>
      <c r="O110" s="3250" t="str">
        <f>Paper!G36</f>
        <v>Import</v>
      </c>
      <c r="Q110" s="3139">
        <f>INDEX(Data!$C$14:$P$894,MATCH(Paper!C36,Data!$P$14:$P$894,0),IF(Paper!G36="Local",1,2))</f>
        <v>0</v>
      </c>
      <c r="R110" s="3139">
        <f>IF(Paper!G36="Import",INDEX(Data!$C$14:$P$894,MATCH(Paper!C36,Data!$P$14:$P$894,0),6),"")</f>
        <v>0</v>
      </c>
      <c r="S110" s="3250"/>
    </row>
    <row r="111" spans="3:19" ht="16.5" hidden="1" customHeight="1" outlineLevel="1">
      <c r="C111" s="485" t="str">
        <f>Paper!A37</f>
        <v>N</v>
      </c>
      <c r="D111" s="485">
        <f>Paper!B37</f>
        <v>0</v>
      </c>
      <c r="E111" s="2954">
        <f>Paper!E37</f>
        <v>0</v>
      </c>
      <c r="F111" s="485">
        <f>Paper!N37</f>
        <v>0</v>
      </c>
      <c r="G111" s="485">
        <f>Paper!O37</f>
        <v>0</v>
      </c>
      <c r="H111" s="485">
        <f>Paper!P37</f>
        <v>0</v>
      </c>
      <c r="I111" s="485">
        <f>Paper!Q37</f>
        <v>0</v>
      </c>
      <c r="J111" s="2895">
        <f>Paper!R37</f>
        <v>0</v>
      </c>
      <c r="K111" s="2896">
        <f>Paper!V37</f>
        <v>0</v>
      </c>
      <c r="L111" s="2897">
        <f>IFERROR(IF($L$7="Regular",0,VLOOKUP(Paper!D37&amp;" "&amp;Paper!E37&amp;" "&amp;Paper!F37,Data!$P$14:$AH$894,19,0)),)</f>
        <v>0</v>
      </c>
      <c r="M111" s="2899">
        <f>Paper!AQ37</f>
        <v>0</v>
      </c>
      <c r="O111" s="3250" t="str">
        <f>Paper!G37</f>
        <v>Import</v>
      </c>
      <c r="Q111" s="3139">
        <f>INDEX(Data!$C$14:$P$894,MATCH(Paper!C37,Data!$P$14:$P$894,0),IF(Paper!G37="Local",1,2))</f>
        <v>0</v>
      </c>
      <c r="R111" s="3139">
        <f>IF(Paper!G37="Import",INDEX(Data!$C$14:$P$894,MATCH(Paper!C37,Data!$P$14:$P$894,0),6),"")</f>
        <v>0</v>
      </c>
      <c r="S111" s="3250"/>
    </row>
    <row r="112" spans="3:19" ht="16.5" hidden="1" customHeight="1" outlineLevel="1">
      <c r="C112" s="485" t="str">
        <f>Paper!A38</f>
        <v>N</v>
      </c>
      <c r="D112" s="485">
        <f>Paper!B38</f>
        <v>0</v>
      </c>
      <c r="E112" s="2954">
        <f>Paper!E38</f>
        <v>0</v>
      </c>
      <c r="F112" s="485">
        <f>Paper!N38</f>
        <v>0</v>
      </c>
      <c r="G112" s="485">
        <f>Paper!O38</f>
        <v>0</v>
      </c>
      <c r="H112" s="485">
        <f>Paper!P38</f>
        <v>0</v>
      </c>
      <c r="I112" s="485">
        <f>Paper!Q38</f>
        <v>0</v>
      </c>
      <c r="J112" s="2895">
        <f>Paper!R38</f>
        <v>0</v>
      </c>
      <c r="K112" s="2896">
        <f>Paper!V38</f>
        <v>0</v>
      </c>
      <c r="L112" s="2897">
        <f>IFERROR(IF($L$7="Regular",0,VLOOKUP(Paper!D38&amp;" "&amp;Paper!E38&amp;" "&amp;Paper!F38,Data!$P$14:$AH$894,19,0)),)</f>
        <v>0</v>
      </c>
      <c r="M112" s="2899">
        <f>Paper!AQ38</f>
        <v>0</v>
      </c>
      <c r="O112" s="3250" t="str">
        <f>Paper!G38</f>
        <v>Import</v>
      </c>
      <c r="Q112" s="3139">
        <f>INDEX(Data!$C$14:$P$894,MATCH(Paper!C38,Data!$P$14:$P$894,0),IF(Paper!G38="Local",1,2))</f>
        <v>0</v>
      </c>
      <c r="R112" s="3139">
        <f>IF(Paper!G38="Import",INDEX(Data!$C$14:$P$894,MATCH(Paper!C38,Data!$P$14:$P$894,0),6),"")</f>
        <v>0</v>
      </c>
      <c r="S112" s="3250"/>
    </row>
    <row r="113" spans="3:19" ht="16.5" hidden="1" customHeight="1" outlineLevel="1">
      <c r="C113" s="485" t="str">
        <f>Paper!A39</f>
        <v>N</v>
      </c>
      <c r="D113" s="485">
        <f>Paper!B39</f>
        <v>0</v>
      </c>
      <c r="E113" s="2954">
        <f>Paper!E39</f>
        <v>0</v>
      </c>
      <c r="F113" s="485">
        <f>Paper!N39</f>
        <v>0</v>
      </c>
      <c r="G113" s="485">
        <f>Paper!O39</f>
        <v>0</v>
      </c>
      <c r="H113" s="485">
        <f>Paper!P39</f>
        <v>0</v>
      </c>
      <c r="I113" s="485">
        <f>Paper!Q39</f>
        <v>0</v>
      </c>
      <c r="J113" s="2895">
        <f>Paper!R39</f>
        <v>0</v>
      </c>
      <c r="K113" s="2896">
        <f>Paper!V39</f>
        <v>0</v>
      </c>
      <c r="L113" s="2897">
        <f>IFERROR(IF($L$7="Regular",0,VLOOKUP(Paper!D39&amp;" "&amp;Paper!E39&amp;" "&amp;Paper!F39,Data!$P$14:$AH$894,19,0)),)</f>
        <v>0</v>
      </c>
      <c r="M113" s="2899">
        <f>Paper!AQ39</f>
        <v>0</v>
      </c>
      <c r="O113" s="3250" t="str">
        <f>Paper!G39</f>
        <v>Import</v>
      </c>
      <c r="Q113" s="3139">
        <f>INDEX(Data!$C$14:$P$894,MATCH(Paper!C39,Data!$P$14:$P$894,0),IF(Paper!G39="Local",1,2))</f>
        <v>0</v>
      </c>
      <c r="R113" s="3139">
        <f>IF(Paper!G39="Import",INDEX(Data!$C$14:$P$894,MATCH(Paper!C39,Data!$P$14:$P$894,0),6),"")</f>
        <v>0</v>
      </c>
      <c r="S113" s="3250"/>
    </row>
    <row r="114" spans="3:19" ht="16.5" hidden="1" customHeight="1" outlineLevel="1">
      <c r="C114" s="485" t="str">
        <f>Paper!A40</f>
        <v>N</v>
      </c>
      <c r="D114" s="485">
        <f>Paper!B40</f>
        <v>0</v>
      </c>
      <c r="E114" s="2954">
        <f>Paper!E40</f>
        <v>0</v>
      </c>
      <c r="F114" s="485">
        <f>Paper!N40</f>
        <v>0</v>
      </c>
      <c r="G114" s="485">
        <f>Paper!O40</f>
        <v>0</v>
      </c>
      <c r="H114" s="485">
        <f>Paper!P40</f>
        <v>0</v>
      </c>
      <c r="I114" s="485">
        <f>Paper!Q40</f>
        <v>0</v>
      </c>
      <c r="J114" s="2895">
        <f>Paper!R40</f>
        <v>0</v>
      </c>
      <c r="K114" s="2896">
        <f>Paper!V40</f>
        <v>0</v>
      </c>
      <c r="L114" s="2897">
        <f>IFERROR(IF($L$7="Regular",0,VLOOKUP(Paper!D40&amp;" "&amp;Paper!E40&amp;" "&amp;Paper!F40,Data!$P$14:$AH$894,19,0)),)</f>
        <v>0</v>
      </c>
      <c r="M114" s="2899">
        <f>Paper!AQ40</f>
        <v>0</v>
      </c>
      <c r="O114" s="3250" t="str">
        <f>Paper!G40</f>
        <v>Import</v>
      </c>
      <c r="Q114" s="3139">
        <f>INDEX(Data!$C$14:$P$894,MATCH(Paper!C40,Data!$P$14:$P$894,0),IF(Paper!G40="Local",1,2))</f>
        <v>0</v>
      </c>
      <c r="R114" s="3139">
        <f>IF(Paper!G40="Import",INDEX(Data!$C$14:$P$894,MATCH(Paper!C40,Data!$P$14:$P$894,0),6),"")</f>
        <v>0</v>
      </c>
      <c r="S114" s="3250"/>
    </row>
    <row r="115" spans="3:19" ht="16.5" hidden="1" customHeight="1" outlineLevel="1">
      <c r="C115" s="485" t="str">
        <f ca="1">Paper!A41</f>
        <v>N</v>
      </c>
      <c r="D115" s="485">
        <f ca="1">Paper!B41</f>
        <v>0</v>
      </c>
      <c r="E115" s="2954">
        <f ca="1">Paper!E41</f>
        <v>0</v>
      </c>
      <c r="F115" s="485">
        <f ca="1">Paper!N41</f>
        <v>0</v>
      </c>
      <c r="G115" s="485">
        <f ca="1">Paper!O41</f>
        <v>0</v>
      </c>
      <c r="H115" s="485">
        <f ca="1">Paper!P41</f>
        <v>0</v>
      </c>
      <c r="I115" s="485">
        <f ca="1">Paper!Q41</f>
        <v>0</v>
      </c>
      <c r="J115" s="2895">
        <f ca="1">Paper!R41</f>
        <v>0</v>
      </c>
      <c r="K115" s="2896">
        <f ca="1">Paper!V41</f>
        <v>0</v>
      </c>
      <c r="L115" s="2897">
        <f>IFERROR(IF($L$7="Regular",0,VLOOKUP(Paper!D41&amp;" "&amp;Paper!E41&amp;" "&amp;Paper!F41,Data!$P$14:$AH$894,19,0)),)</f>
        <v>0</v>
      </c>
      <c r="M115" s="2899">
        <f ca="1">Paper!AQ41</f>
        <v>0</v>
      </c>
      <c r="O115" s="3250" t="str">
        <f ca="1">Paper!G41</f>
        <v>Import</v>
      </c>
      <c r="Q115" s="3139">
        <f ca="1">INDEX(Data!$C$14:$P$894,MATCH(Paper!C41,Data!$P$14:$P$894,0),IF(Paper!G41="Local",1,2))</f>
        <v>0</v>
      </c>
      <c r="R115" s="3139">
        <f ca="1">IF(Paper!G41="Import",INDEX(Data!$C$14:$P$894,MATCH(Paper!C41,Data!$P$14:$P$894,0),6),"")</f>
        <v>0</v>
      </c>
      <c r="S115" s="3250"/>
    </row>
    <row r="116" spans="3:19" ht="16.5" hidden="1" customHeight="1" outlineLevel="1">
      <c r="C116" s="485" t="str">
        <f ca="1">Paper!A47</f>
        <v>N</v>
      </c>
      <c r="D116" s="485">
        <f ca="1">Paper!B47</f>
        <v>0</v>
      </c>
      <c r="E116" s="2954">
        <f ca="1">Paper!E47</f>
        <v>0</v>
      </c>
      <c r="F116" s="485">
        <f ca="1">Paper!N47</f>
        <v>0</v>
      </c>
      <c r="G116" s="485">
        <f ca="1">Paper!O47</f>
        <v>0</v>
      </c>
      <c r="H116" s="485">
        <f ca="1">Paper!P47</f>
        <v>0</v>
      </c>
      <c r="I116" s="485">
        <f ca="1">Paper!Q47</f>
        <v>0</v>
      </c>
      <c r="J116" s="2895">
        <f ca="1">Paper!R47</f>
        <v>0</v>
      </c>
      <c r="K116" s="2896">
        <f ca="1">Paper!V47</f>
        <v>0</v>
      </c>
      <c r="L116" s="2897">
        <f>IFERROR(IF($L$7="Regular",0,VLOOKUP(Paper!D47&amp;" "&amp;Paper!E47&amp;" "&amp;Paper!F47,Data!$P$14:$AH$894,19,0)),)</f>
        <v>0</v>
      </c>
      <c r="M116" s="2899">
        <f ca="1">Paper!AQ47</f>
        <v>0</v>
      </c>
      <c r="O116" s="3250" t="str">
        <f ca="1">Paper!G47</f>
        <v>Import</v>
      </c>
      <c r="Q116" s="3139">
        <f ca="1">INDEX(Data!$C$14:$P$894,MATCH(Paper!C47,Data!$P$14:$P$894,0),IF(Paper!G47="Local",1,2))</f>
        <v>0</v>
      </c>
      <c r="R116" s="3139">
        <f ca="1">IF(Paper!G47="Import",INDEX(Data!$C$14:$P$894,MATCH(Paper!C47,Data!$P$14:$P$894,0),6),"")</f>
        <v>0</v>
      </c>
      <c r="S116" s="3250"/>
    </row>
    <row r="117" spans="3:19" ht="16.5" hidden="1" customHeight="1" outlineLevel="1">
      <c r="C117" s="485" t="str">
        <f ca="1">Paper!A48</f>
        <v>N</v>
      </c>
      <c r="D117" s="485">
        <f ca="1">Paper!B48</f>
        <v>0</v>
      </c>
      <c r="E117" s="2954">
        <f ca="1">Paper!E48</f>
        <v>0</v>
      </c>
      <c r="F117" s="485">
        <f ca="1">Paper!N48</f>
        <v>0</v>
      </c>
      <c r="G117" s="485">
        <f ca="1">Paper!O48</f>
        <v>0</v>
      </c>
      <c r="H117" s="485">
        <f ca="1">Paper!P48</f>
        <v>0</v>
      </c>
      <c r="I117" s="485">
        <f ca="1">Paper!Q48</f>
        <v>0</v>
      </c>
      <c r="J117" s="2895">
        <f ca="1">Paper!R48</f>
        <v>0</v>
      </c>
      <c r="K117" s="2896">
        <f ca="1">Paper!V48</f>
        <v>0</v>
      </c>
      <c r="L117" s="2897">
        <f>IFERROR(IF($L$7="Regular",0,VLOOKUP(Paper!D48&amp;" "&amp;Paper!E48&amp;" "&amp;Paper!F48,Data!$P$14:$AH$894,19,0)),)</f>
        <v>0</v>
      </c>
      <c r="M117" s="2899">
        <f ca="1">Paper!AQ48</f>
        <v>0</v>
      </c>
      <c r="O117" s="3250" t="str">
        <f ca="1">Paper!G48</f>
        <v>Import</v>
      </c>
      <c r="Q117" s="3139">
        <f ca="1">INDEX(Data!$C$14:$P$894,MATCH(Paper!C48,Data!$P$14:$P$894,0),IF(Paper!G48="Local",1,2))</f>
        <v>0</v>
      </c>
      <c r="R117" s="3139">
        <f ca="1">IF(Paper!G48="Import",INDEX(Data!$C$14:$P$894,MATCH(Paper!C48,Data!$P$14:$P$894,0),6),"")</f>
        <v>0</v>
      </c>
      <c r="S117" s="3250"/>
    </row>
    <row r="118" spans="3:19" ht="16.5" customHeight="1" collapsed="1">
      <c r="C118" s="485" t="str">
        <f>Paper!A53</f>
        <v>E-flute 115/105</v>
      </c>
      <c r="D118" s="485" t="str">
        <f>input!C358</f>
        <v>115/105</v>
      </c>
      <c r="E118" s="2954" t="str">
        <f>Paper!C53</f>
        <v>E-Flute</v>
      </c>
      <c r="F118" s="485">
        <f ca="1">Paper!N53</f>
        <v>628</v>
      </c>
      <c r="G118" s="485">
        <f ca="1">Paper!O53</f>
        <v>397</v>
      </c>
      <c r="H118" s="485">
        <f ca="1">Paper!P53</f>
        <v>628</v>
      </c>
      <c r="I118" s="485">
        <f ca="1">Paper!Q53</f>
        <v>397</v>
      </c>
      <c r="J118" s="2895">
        <f ca="1">Paper!R53</f>
        <v>0.16943889334000004</v>
      </c>
      <c r="K118" s="2896">
        <f>Paper!V53</f>
        <v>2500</v>
      </c>
      <c r="L118" s="2897">
        <f>IF($L$7="Regular",0,10%)</f>
        <v>0</v>
      </c>
      <c r="M118" s="2898"/>
      <c r="O118" s="3250" t="s">
        <v>649</v>
      </c>
      <c r="Q118" s="3139"/>
      <c r="R118" s="3139"/>
      <c r="S118" s="3250"/>
    </row>
    <row r="119" spans="3:19" ht="16.5" hidden="1" customHeight="1" outlineLevel="1">
      <c r="C119" s="485" t="str">
        <f>Paper!A54</f>
        <v>N</v>
      </c>
      <c r="D119" s="485">
        <f>input!C361</f>
        <v>0</v>
      </c>
      <c r="E119" s="2954" t="str">
        <f>Paper!C54</f>
        <v>E-Flute</v>
      </c>
      <c r="F119" s="485">
        <f>Paper!N54</f>
        <v>0</v>
      </c>
      <c r="G119" s="485">
        <f>Paper!O54</f>
        <v>0</v>
      </c>
      <c r="H119" s="485">
        <f>Paper!P54</f>
        <v>0</v>
      </c>
      <c r="I119" s="485">
        <f>Paper!Q54</f>
        <v>0</v>
      </c>
      <c r="J119" s="2895">
        <f>Paper!R54</f>
        <v>0</v>
      </c>
      <c r="K119" s="2896">
        <f>Paper!V54</f>
        <v>0</v>
      </c>
      <c r="L119" s="2897">
        <f>IF($L$7="Regular",0,10%)</f>
        <v>0</v>
      </c>
      <c r="M119" s="2898"/>
      <c r="O119" s="3250" t="s">
        <v>649</v>
      </c>
      <c r="Q119" s="3139"/>
      <c r="R119" s="3139"/>
      <c r="S119" s="3250"/>
    </row>
    <row r="120" spans="3:19" ht="16.5" hidden="1" customHeight="1" outlineLevel="1">
      <c r="C120" s="485" t="str">
        <f>Paper!A55</f>
        <v>N</v>
      </c>
      <c r="D120" s="485">
        <f>input!C364</f>
        <v>0</v>
      </c>
      <c r="E120" s="2954" t="str">
        <f>Paper!C55</f>
        <v>E-Flute</v>
      </c>
      <c r="F120" s="485">
        <f>Paper!N55</f>
        <v>0</v>
      </c>
      <c r="G120" s="485">
        <f>Paper!O55</f>
        <v>0</v>
      </c>
      <c r="H120" s="485">
        <f>Paper!P55</f>
        <v>0</v>
      </c>
      <c r="I120" s="485">
        <f>Paper!Q55</f>
        <v>0</v>
      </c>
      <c r="J120" s="2895">
        <f>Paper!R55</f>
        <v>0</v>
      </c>
      <c r="K120" s="2896">
        <f>Paper!V55</f>
        <v>0</v>
      </c>
      <c r="L120" s="2897">
        <f>IF($L$7="Regular",0,10%)</f>
        <v>0</v>
      </c>
      <c r="M120" s="2898"/>
      <c r="O120" s="3250" t="s">
        <v>649</v>
      </c>
      <c r="Q120" s="3139"/>
      <c r="R120" s="3139"/>
      <c r="S120" s="3250"/>
    </row>
    <row r="121" spans="3:19" ht="16.5" hidden="1" customHeight="1" outlineLevel="1">
      <c r="C121" s="485" t="str">
        <f>Paper!A56</f>
        <v>N</v>
      </c>
      <c r="D121" s="485">
        <f>input!C367</f>
        <v>0</v>
      </c>
      <c r="E121" s="2954" t="str">
        <f>Paper!C56</f>
        <v>E-Flute</v>
      </c>
      <c r="F121" s="485">
        <f>Paper!N56</f>
        <v>0</v>
      </c>
      <c r="G121" s="485">
        <f>Paper!O56</f>
        <v>0</v>
      </c>
      <c r="H121" s="485">
        <f>Paper!P56</f>
        <v>0</v>
      </c>
      <c r="I121" s="485">
        <f>Paper!Q56</f>
        <v>0</v>
      </c>
      <c r="J121" s="2895">
        <f>Paper!R56</f>
        <v>0</v>
      </c>
      <c r="K121" s="2896">
        <f>Paper!V56</f>
        <v>0</v>
      </c>
      <c r="L121" s="2897">
        <f>IF($L$7="Regular",0,10%)</f>
        <v>0</v>
      </c>
      <c r="M121" s="2898"/>
      <c r="O121" s="3250" t="s">
        <v>649</v>
      </c>
      <c r="Q121" s="3139"/>
      <c r="R121" s="3139"/>
      <c r="S121" s="3250"/>
    </row>
    <row r="122" spans="3:19" ht="16.5" hidden="1" customHeight="1" outlineLevel="1">
      <c r="C122" s="485" t="str">
        <f>Paper!A57</f>
        <v>N</v>
      </c>
      <c r="D122" s="485">
        <f>input!C370</f>
        <v>0</v>
      </c>
      <c r="E122" s="2954" t="str">
        <f>Paper!C57</f>
        <v>E-Flute</v>
      </c>
      <c r="F122" s="485">
        <f>Paper!N57</f>
        <v>0</v>
      </c>
      <c r="G122" s="485">
        <f>Paper!O57</f>
        <v>0</v>
      </c>
      <c r="H122" s="485">
        <f>Paper!P57</f>
        <v>0</v>
      </c>
      <c r="I122" s="485">
        <f>Paper!Q57</f>
        <v>0</v>
      </c>
      <c r="J122" s="2895">
        <f>Paper!R57</f>
        <v>0</v>
      </c>
      <c r="K122" s="2896">
        <f>Paper!V57</f>
        <v>0</v>
      </c>
      <c r="L122" s="2897">
        <f>IF($L$7="Regular",0,10%)</f>
        <v>0</v>
      </c>
      <c r="M122" s="2898"/>
      <c r="O122" s="3250" t="s">
        <v>649</v>
      </c>
      <c r="Q122" s="3139"/>
      <c r="R122" s="3139"/>
      <c r="S122" s="3250"/>
    </row>
    <row r="123" spans="3:19" ht="16.5" customHeight="1" collapsed="1"/>
    <row r="125" spans="3:19" ht="16.5" customHeight="1">
      <c r="C125" s="716" t="str">
        <f>D22</f>
        <v>Accessories</v>
      </c>
      <c r="D125" s="716"/>
      <c r="E125" s="716"/>
      <c r="F125" s="717" t="s">
        <v>2944</v>
      </c>
      <c r="G125" s="717"/>
      <c r="H125" s="2904" t="s">
        <v>2063</v>
      </c>
      <c r="I125" s="2900" t="s">
        <v>157</v>
      </c>
      <c r="J125" s="2900" t="s">
        <v>75</v>
      </c>
      <c r="K125" s="2900" t="s">
        <v>445</v>
      </c>
      <c r="L125" s="2900"/>
    </row>
    <row r="126" spans="3:19" ht="16.5" hidden="1" customHeight="1" outlineLevel="1">
      <c r="C126" s="485" t="str">
        <f>'ACC &amp; Other Material '!C8</f>
        <v>Acc1</v>
      </c>
      <c r="D126" s="485"/>
      <c r="E126" s="485"/>
      <c r="F126" s="2893">
        <f>'ACC &amp; Other Material '!$I8/$L$4</f>
        <v>0</v>
      </c>
      <c r="G126" s="485"/>
      <c r="H126" s="2894">
        <f>5%*IF($L$7="Regular",0,1)</f>
        <v>0</v>
      </c>
      <c r="I126" s="3066">
        <f ca="1">$J$73</f>
        <v>0.45002378881461591</v>
      </c>
      <c r="J126" s="2901">
        <f>$J$37</f>
        <v>2.2499999999999999E-2</v>
      </c>
      <c r="K126" s="2902">
        <f ca="1">F126/(1-I126)+F126*J126</f>
        <v>0</v>
      </c>
      <c r="L126" s="2903"/>
    </row>
    <row r="127" spans="3:19" ht="16.5" hidden="1" customHeight="1" outlineLevel="1">
      <c r="C127" s="485" t="str">
        <f>'ACC &amp; Other Material '!C9</f>
        <v>Acc2</v>
      </c>
      <c r="D127" s="485"/>
      <c r="E127" s="485"/>
      <c r="F127" s="2893">
        <f>'ACC &amp; Other Material '!$I9/$L$4</f>
        <v>0</v>
      </c>
      <c r="G127" s="485"/>
      <c r="H127" s="2894">
        <f t="shared" ref="H127:H140" si="2">5%*IF($L$7="Regular",0,1)</f>
        <v>0</v>
      </c>
      <c r="I127" s="3066">
        <f t="shared" ref="I127:I140" ca="1" si="3">$J$73</f>
        <v>0.45002378881461591</v>
      </c>
      <c r="J127" s="2901">
        <f t="shared" ref="J127:J140" si="4">$J$37</f>
        <v>2.2499999999999999E-2</v>
      </c>
      <c r="K127" s="2902">
        <f t="shared" ref="K127:K140" ca="1" si="5">F127/(1-I127)+F127*J127</f>
        <v>0</v>
      </c>
      <c r="L127" s="2903"/>
    </row>
    <row r="128" spans="3:19" ht="16.5" hidden="1" customHeight="1" outlineLevel="1">
      <c r="C128" s="485" t="str">
        <f>'ACC &amp; Other Material '!C10</f>
        <v>Acc3</v>
      </c>
      <c r="D128" s="485"/>
      <c r="E128" s="485"/>
      <c r="F128" s="2893">
        <f>'ACC &amp; Other Material '!$I10/$L$4</f>
        <v>0</v>
      </c>
      <c r="G128" s="485"/>
      <c r="H128" s="2894">
        <f t="shared" si="2"/>
        <v>0</v>
      </c>
      <c r="I128" s="3066">
        <f t="shared" ca="1" si="3"/>
        <v>0.45002378881461591</v>
      </c>
      <c r="J128" s="2901">
        <f t="shared" si="4"/>
        <v>2.2499999999999999E-2</v>
      </c>
      <c r="K128" s="2902">
        <f t="shared" ca="1" si="5"/>
        <v>0</v>
      </c>
      <c r="L128" s="2903"/>
    </row>
    <row r="129" spans="3:12" ht="16.5" hidden="1" customHeight="1" outlineLevel="1">
      <c r="C129" s="485" t="str">
        <f>'ACC &amp; Other Material '!C11</f>
        <v>Acc4</v>
      </c>
      <c r="D129" s="485"/>
      <c r="E129" s="485"/>
      <c r="F129" s="2893">
        <f>'ACC &amp; Other Material '!$I11/$L$4</f>
        <v>0</v>
      </c>
      <c r="G129" s="485"/>
      <c r="H129" s="2894">
        <f t="shared" si="2"/>
        <v>0</v>
      </c>
      <c r="I129" s="3066">
        <f t="shared" ca="1" si="3"/>
        <v>0.45002378881461591</v>
      </c>
      <c r="J129" s="2901">
        <f t="shared" si="4"/>
        <v>2.2499999999999999E-2</v>
      </c>
      <c r="K129" s="2902">
        <f t="shared" ca="1" si="5"/>
        <v>0</v>
      </c>
      <c r="L129" s="2903"/>
    </row>
    <row r="130" spans="3:12" ht="16.5" hidden="1" customHeight="1" outlineLevel="1">
      <c r="C130" s="485" t="str">
        <f>'ACC &amp; Other Material '!C12</f>
        <v>Acc5</v>
      </c>
      <c r="D130" s="485"/>
      <c r="E130" s="485"/>
      <c r="F130" s="2893">
        <f>'ACC &amp; Other Material '!$I12/$L$4</f>
        <v>0</v>
      </c>
      <c r="G130" s="485"/>
      <c r="H130" s="2894">
        <f t="shared" si="2"/>
        <v>0</v>
      </c>
      <c r="I130" s="3066">
        <f t="shared" ca="1" si="3"/>
        <v>0.45002378881461591</v>
      </c>
      <c r="J130" s="2901">
        <f t="shared" si="4"/>
        <v>2.2499999999999999E-2</v>
      </c>
      <c r="K130" s="2902">
        <f t="shared" ca="1" si="5"/>
        <v>0</v>
      </c>
      <c r="L130" s="2903"/>
    </row>
    <row r="131" spans="3:12" ht="16.5" hidden="1" customHeight="1" outlineLevel="1">
      <c r="C131" s="485" t="str">
        <f>'ACC &amp; Other Material '!C13</f>
        <v>Acc6</v>
      </c>
      <c r="D131" s="485"/>
      <c r="E131" s="485"/>
      <c r="F131" s="2893">
        <f>'ACC &amp; Other Material '!$I13/$L$4</f>
        <v>0</v>
      </c>
      <c r="G131" s="485"/>
      <c r="H131" s="2894">
        <f t="shared" si="2"/>
        <v>0</v>
      </c>
      <c r="I131" s="3066">
        <f t="shared" ca="1" si="3"/>
        <v>0.45002378881461591</v>
      </c>
      <c r="J131" s="2901">
        <f t="shared" si="4"/>
        <v>2.2499999999999999E-2</v>
      </c>
      <c r="K131" s="2902">
        <f t="shared" ca="1" si="5"/>
        <v>0</v>
      </c>
      <c r="L131" s="2903"/>
    </row>
    <row r="132" spans="3:12" ht="16.5" hidden="1" customHeight="1" outlineLevel="1">
      <c r="C132" s="485" t="str">
        <f>'ACC &amp; Other Material '!C14</f>
        <v>Acc7</v>
      </c>
      <c r="D132" s="485"/>
      <c r="E132" s="485"/>
      <c r="F132" s="2893">
        <f>'ACC &amp; Other Material '!$I14/$L$4</f>
        <v>0</v>
      </c>
      <c r="G132" s="485"/>
      <c r="H132" s="2894">
        <f t="shared" si="2"/>
        <v>0</v>
      </c>
      <c r="I132" s="3066">
        <f t="shared" ca="1" si="3"/>
        <v>0.45002378881461591</v>
      </c>
      <c r="J132" s="2901">
        <f t="shared" si="4"/>
        <v>2.2499999999999999E-2</v>
      </c>
      <c r="K132" s="2902">
        <f t="shared" ca="1" si="5"/>
        <v>0</v>
      </c>
      <c r="L132" s="2903"/>
    </row>
    <row r="133" spans="3:12" ht="16.5" hidden="1" customHeight="1" outlineLevel="1">
      <c r="C133" s="485" t="str">
        <f>'ACC &amp; Other Material '!C15</f>
        <v>Acc8</v>
      </c>
      <c r="D133" s="485"/>
      <c r="E133" s="485"/>
      <c r="F133" s="2893">
        <f>'ACC &amp; Other Material '!$I15/$L$4</f>
        <v>0</v>
      </c>
      <c r="G133" s="485"/>
      <c r="H133" s="2894">
        <f t="shared" si="2"/>
        <v>0</v>
      </c>
      <c r="I133" s="3066">
        <f t="shared" ca="1" si="3"/>
        <v>0.45002378881461591</v>
      </c>
      <c r="J133" s="2901">
        <f t="shared" si="4"/>
        <v>2.2499999999999999E-2</v>
      </c>
      <c r="K133" s="2902">
        <f t="shared" ca="1" si="5"/>
        <v>0</v>
      </c>
      <c r="L133" s="2903"/>
    </row>
    <row r="134" spans="3:12" ht="16.5" hidden="1" customHeight="1" outlineLevel="1">
      <c r="C134" s="485" t="str">
        <f>'ACC &amp; Other Material '!C16</f>
        <v>Acc9</v>
      </c>
      <c r="D134" s="485"/>
      <c r="E134" s="485"/>
      <c r="F134" s="2893">
        <f>'ACC &amp; Other Material '!$I16/$L$4</f>
        <v>0</v>
      </c>
      <c r="G134" s="485"/>
      <c r="H134" s="2894">
        <f t="shared" si="2"/>
        <v>0</v>
      </c>
      <c r="I134" s="3066">
        <f t="shared" ca="1" si="3"/>
        <v>0.45002378881461591</v>
      </c>
      <c r="J134" s="2901">
        <f t="shared" si="4"/>
        <v>2.2499999999999999E-2</v>
      </c>
      <c r="K134" s="2902">
        <f t="shared" ca="1" si="5"/>
        <v>0</v>
      </c>
      <c r="L134" s="2903"/>
    </row>
    <row r="135" spans="3:12" ht="16.5" hidden="1" customHeight="1" outlineLevel="1">
      <c r="C135" s="485" t="str">
        <f>'ACC &amp; Other Material '!C17</f>
        <v>Acc10</v>
      </c>
      <c r="D135" s="485"/>
      <c r="E135" s="485"/>
      <c r="F135" s="2893">
        <f>'ACC &amp; Other Material '!$I17/$L$4</f>
        <v>0</v>
      </c>
      <c r="G135" s="485"/>
      <c r="H135" s="2894">
        <f t="shared" si="2"/>
        <v>0</v>
      </c>
      <c r="I135" s="3066">
        <f t="shared" ca="1" si="3"/>
        <v>0.45002378881461591</v>
      </c>
      <c r="J135" s="2901">
        <f t="shared" si="4"/>
        <v>2.2499999999999999E-2</v>
      </c>
      <c r="K135" s="2902">
        <f t="shared" ca="1" si="5"/>
        <v>0</v>
      </c>
      <c r="L135" s="2903"/>
    </row>
    <row r="136" spans="3:12" ht="16.5" hidden="1" customHeight="1" outlineLevel="1">
      <c r="C136" s="485" t="str">
        <f>'ACC &amp; Other Material '!C18</f>
        <v>Acc11</v>
      </c>
      <c r="D136" s="485"/>
      <c r="E136" s="485"/>
      <c r="F136" s="2893">
        <f>'ACC &amp; Other Material '!$I18/$L$4</f>
        <v>0</v>
      </c>
      <c r="G136" s="485"/>
      <c r="H136" s="2894">
        <f t="shared" si="2"/>
        <v>0</v>
      </c>
      <c r="I136" s="3066">
        <f t="shared" ca="1" si="3"/>
        <v>0.45002378881461591</v>
      </c>
      <c r="J136" s="2901">
        <f t="shared" si="4"/>
        <v>2.2499999999999999E-2</v>
      </c>
      <c r="K136" s="2902">
        <f t="shared" ca="1" si="5"/>
        <v>0</v>
      </c>
      <c r="L136" s="2903"/>
    </row>
    <row r="137" spans="3:12" ht="16.5" hidden="1" customHeight="1" outlineLevel="1">
      <c r="C137" s="485" t="str">
        <f>'ACC &amp; Other Material '!C19</f>
        <v>Acc12</v>
      </c>
      <c r="D137" s="485"/>
      <c r="E137" s="485"/>
      <c r="F137" s="2893">
        <f>'ACC &amp; Other Material '!$I19/$L$4</f>
        <v>0</v>
      </c>
      <c r="G137" s="485"/>
      <c r="H137" s="2894">
        <f t="shared" si="2"/>
        <v>0</v>
      </c>
      <c r="I137" s="3066">
        <f t="shared" ca="1" si="3"/>
        <v>0.45002378881461591</v>
      </c>
      <c r="J137" s="2901">
        <f t="shared" si="4"/>
        <v>2.2499999999999999E-2</v>
      </c>
      <c r="K137" s="2902">
        <f t="shared" ca="1" si="5"/>
        <v>0</v>
      </c>
      <c r="L137" s="2903"/>
    </row>
    <row r="138" spans="3:12" ht="16.5" hidden="1" customHeight="1" outlineLevel="1">
      <c r="C138" s="485" t="str">
        <f>'ACC &amp; Other Material '!C20</f>
        <v>Acc13</v>
      </c>
      <c r="D138" s="485"/>
      <c r="E138" s="485"/>
      <c r="F138" s="2893">
        <f>'ACC &amp; Other Material '!$I20/$L$4</f>
        <v>0</v>
      </c>
      <c r="G138" s="485"/>
      <c r="H138" s="2894">
        <f t="shared" si="2"/>
        <v>0</v>
      </c>
      <c r="I138" s="3066">
        <f t="shared" ca="1" si="3"/>
        <v>0.45002378881461591</v>
      </c>
      <c r="J138" s="2901">
        <f t="shared" si="4"/>
        <v>2.2499999999999999E-2</v>
      </c>
      <c r="K138" s="2902">
        <f t="shared" ca="1" si="5"/>
        <v>0</v>
      </c>
      <c r="L138" s="2903"/>
    </row>
    <row r="139" spans="3:12" ht="16.5" hidden="1" customHeight="1" outlineLevel="1">
      <c r="C139" s="485" t="str">
        <f>'ACC &amp; Other Material '!C21</f>
        <v>Acc14</v>
      </c>
      <c r="D139" s="485"/>
      <c r="E139" s="485"/>
      <c r="F139" s="2893">
        <f>'ACC &amp; Other Material '!$I21/$L$4</f>
        <v>0</v>
      </c>
      <c r="G139" s="485"/>
      <c r="H139" s="2894">
        <f t="shared" si="2"/>
        <v>0</v>
      </c>
      <c r="I139" s="3066">
        <f t="shared" ca="1" si="3"/>
        <v>0.45002378881461591</v>
      </c>
      <c r="J139" s="2901">
        <f t="shared" si="4"/>
        <v>2.2499999999999999E-2</v>
      </c>
      <c r="K139" s="2902">
        <f t="shared" ca="1" si="5"/>
        <v>0</v>
      </c>
      <c r="L139" s="2903"/>
    </row>
    <row r="140" spans="3:12" ht="16.5" hidden="1" customHeight="1" outlineLevel="1">
      <c r="C140" s="485" t="str">
        <f>'ACC &amp; Other Material '!C22</f>
        <v>Acc15</v>
      </c>
      <c r="D140" s="485"/>
      <c r="E140" s="485"/>
      <c r="F140" s="2893">
        <f>'ACC &amp; Other Material '!$I22/$L$4</f>
        <v>0</v>
      </c>
      <c r="G140" s="485"/>
      <c r="H140" s="2894">
        <f t="shared" si="2"/>
        <v>0</v>
      </c>
      <c r="I140" s="3066">
        <f t="shared" ca="1" si="3"/>
        <v>0.45002378881461591</v>
      </c>
      <c r="J140" s="2901">
        <f t="shared" si="4"/>
        <v>2.2499999999999999E-2</v>
      </c>
      <c r="K140" s="2902">
        <f t="shared" ca="1" si="5"/>
        <v>0</v>
      </c>
      <c r="L140" s="2903"/>
    </row>
    <row r="141" spans="3:12" ht="16.5" customHeight="1" collapsed="1"/>
    <row r="143" spans="3:12" ht="16.5" customHeight="1">
      <c r="C143" s="2885" t="s">
        <v>1054</v>
      </c>
      <c r="D143" s="143"/>
      <c r="E143" s="144"/>
      <c r="F143" s="144"/>
      <c r="G143" s="144"/>
      <c r="H143" s="144"/>
      <c r="I143" s="2886" t="s">
        <v>2928</v>
      </c>
      <c r="J143" s="144"/>
      <c r="K143" s="144"/>
    </row>
    <row r="144" spans="3:12" ht="35.25" customHeight="1">
      <c r="C144" s="2874" t="s">
        <v>259</v>
      </c>
      <c r="D144" s="2875"/>
      <c r="E144" s="2876" t="s">
        <v>2935</v>
      </c>
      <c r="F144" s="2876" t="s">
        <v>7</v>
      </c>
      <c r="G144" s="2876" t="s">
        <v>9</v>
      </c>
      <c r="H144" s="2876" t="s">
        <v>38</v>
      </c>
      <c r="I144" s="2877" t="s">
        <v>2934</v>
      </c>
      <c r="J144" s="2878" t="s">
        <v>186</v>
      </c>
    </row>
    <row r="145" spans="3:10" ht="16.5" customHeight="1">
      <c r="C145" s="2879" t="s">
        <v>2929</v>
      </c>
      <c r="D145" s="20"/>
      <c r="E145" s="21" t="str">
        <f ca="1">input!H1185*IF(J145=0,0,1)&amp;" pcs/ctn"</f>
        <v>150 pcs/ctn</v>
      </c>
      <c r="F145" s="21">
        <f ca="1">input!B1186/10*IF(J145=0,0,1)</f>
        <v>36.299999999999997</v>
      </c>
      <c r="G145" s="21">
        <f ca="1">input!C1186/10*IF(J145=0,0,1)</f>
        <v>50.2</v>
      </c>
      <c r="H145" s="21">
        <f ca="1">input!D1186/10*IF(J145=0,0,1)</f>
        <v>39.4</v>
      </c>
      <c r="I145" s="21">
        <f ca="1">input!I1185</f>
        <v>11.514222705</v>
      </c>
      <c r="J145" s="2880">
        <f ca="1">IF(input!H1186&gt;0,input!J1185,0)</f>
        <v>7.1797044000000004E-2</v>
      </c>
    </row>
    <row r="146" spans="3:10" ht="16.5" customHeight="1">
      <c r="C146" s="2881" t="s">
        <v>176</v>
      </c>
      <c r="D146" s="2882"/>
      <c r="E146" s="2883" t="str">
        <f>input!H1187*IF(J146=0,0,1)&amp;" ctn/pl"</f>
        <v>0 ctn/pl</v>
      </c>
      <c r="F146" s="2883">
        <f>input!B1188*IF(J146=0,0,1)</f>
        <v>0</v>
      </c>
      <c r="G146" s="2883">
        <f>input!C1188*IF(J146=0,0,1)</f>
        <v>0</v>
      </c>
      <c r="H146" s="2883">
        <f ca="1">input!D1188*IF(J146=0,0,1)</f>
        <v>0</v>
      </c>
      <c r="I146" s="2883">
        <f>input!I1187</f>
        <v>0</v>
      </c>
      <c r="J146" s="2884">
        <f>IF(input!H1188&gt;0,input!J1187,0)</f>
        <v>0</v>
      </c>
    </row>
    <row r="147" spans="3:10" ht="29.25" hidden="1" customHeight="1" outlineLevel="1">
      <c r="C147" s="2874" t="s">
        <v>259</v>
      </c>
      <c r="D147" s="2875"/>
      <c r="E147" s="2876" t="s">
        <v>2936</v>
      </c>
      <c r="F147" s="2876" t="s">
        <v>7</v>
      </c>
      <c r="G147" s="2876" t="s">
        <v>9</v>
      </c>
      <c r="H147" s="2876" t="s">
        <v>38</v>
      </c>
      <c r="I147" s="2877" t="s">
        <v>2934</v>
      </c>
      <c r="J147" s="2878" t="s">
        <v>186</v>
      </c>
    </row>
    <row r="148" spans="3:10" ht="16.5" hidden="1" customHeight="1" outlineLevel="1">
      <c r="C148" s="2879" t="s">
        <v>2929</v>
      </c>
      <c r="D148" s="20"/>
      <c r="E148" s="21" t="str">
        <f>input!H1197*IF(J148=0,0,1)&amp;" pcs/ctn"</f>
        <v>0 pcs/ctn</v>
      </c>
      <c r="F148" s="21">
        <f>input!B1198/10*IF(J148=0,0,1)</f>
        <v>0</v>
      </c>
      <c r="G148" s="21">
        <f>input!C1198/10*IF(J148=0,0,1)</f>
        <v>0</v>
      </c>
      <c r="H148" s="21">
        <f>input!D1198/10*IF(J148=0,0,1)</f>
        <v>0</v>
      </c>
      <c r="I148" s="21">
        <f>input!I1197</f>
        <v>0</v>
      </c>
      <c r="J148" s="2880">
        <f>IF(input!H1198&gt;0,input!J1197,0)</f>
        <v>0</v>
      </c>
    </row>
    <row r="149" spans="3:10" ht="16.5" hidden="1" customHeight="1" outlineLevel="1">
      <c r="C149" s="2881" t="s">
        <v>176</v>
      </c>
      <c r="D149" s="2882"/>
      <c r="E149" s="2883" t="str">
        <f>input!H1199*IF(J149=0,0,1)&amp;" ctn/pl"</f>
        <v>0 ctn/pl</v>
      </c>
      <c r="F149" s="2883">
        <f>input!B1200*IF(J149=0,0,1)</f>
        <v>0</v>
      </c>
      <c r="G149" s="2883">
        <f>input!C1200*IF(J149=0,0,1)</f>
        <v>0</v>
      </c>
      <c r="H149" s="2883">
        <f>input!D1200*IF(J149=0,0,1)</f>
        <v>0</v>
      </c>
      <c r="I149" s="2883">
        <f>input!I1199</f>
        <v>0</v>
      </c>
      <c r="J149" s="2884">
        <f>IF(input!H1200&gt;0,input!J1199,0)</f>
        <v>0</v>
      </c>
    </row>
    <row r="150" spans="3:10" ht="29.25" hidden="1" customHeight="1" outlineLevel="1">
      <c r="C150" s="2874" t="s">
        <v>259</v>
      </c>
      <c r="D150" s="2875"/>
      <c r="E150" s="2876" t="s">
        <v>2937</v>
      </c>
      <c r="F150" s="2876" t="s">
        <v>7</v>
      </c>
      <c r="G150" s="2876" t="s">
        <v>9</v>
      </c>
      <c r="H150" s="2876" t="s">
        <v>38</v>
      </c>
      <c r="I150" s="2877" t="s">
        <v>2934</v>
      </c>
      <c r="J150" s="2878" t="s">
        <v>186</v>
      </c>
    </row>
    <row r="151" spans="3:10" ht="16.5" hidden="1" customHeight="1" outlineLevel="1">
      <c r="C151" s="2879" t="s">
        <v>2929</v>
      </c>
      <c r="D151" s="20"/>
      <c r="E151" s="21" t="str">
        <f>input!H1209*IF(J151=0,0,1)&amp;" pcs/ctn"</f>
        <v>0 pcs/ctn</v>
      </c>
      <c r="F151" s="21">
        <f>input!B1210/10*IF(J151=0,0,1)</f>
        <v>0</v>
      </c>
      <c r="G151" s="21">
        <f>input!C1210/10*IF(J151=0,0,1)</f>
        <v>0</v>
      </c>
      <c r="H151" s="21">
        <f>input!D1210/10*IF(J151=0,0,1)</f>
        <v>0</v>
      </c>
      <c r="I151" s="21">
        <f>input!I1209</f>
        <v>0</v>
      </c>
      <c r="J151" s="2880">
        <f>IF(input!H1210&gt;0,input!J1209,0)</f>
        <v>0</v>
      </c>
    </row>
    <row r="152" spans="3:10" ht="16.5" hidden="1" customHeight="1" outlineLevel="1">
      <c r="C152" s="2881" t="s">
        <v>176</v>
      </c>
      <c r="D152" s="2882"/>
      <c r="E152" s="2883" t="str">
        <f>input!H1211*IF(J152=0,0,1)&amp;" ctn/pl"</f>
        <v>0 ctn/pl</v>
      </c>
      <c r="F152" s="2883">
        <f>input!B1212*IF(J152=0,0,1)</f>
        <v>0</v>
      </c>
      <c r="G152" s="2883">
        <f>input!C1212*IF(J152=0,0,1)</f>
        <v>0</v>
      </c>
      <c r="H152" s="2883">
        <f>input!D1212*IF(J152=0,0,1)</f>
        <v>0</v>
      </c>
      <c r="I152" s="2883">
        <f>input!I1211</f>
        <v>0</v>
      </c>
      <c r="J152" s="2884">
        <f>IF(input!H1212&gt;0,input!J1211,0)</f>
        <v>0</v>
      </c>
    </row>
    <row r="153" spans="3:10" ht="16.5" hidden="1" customHeight="1" outlineLevel="1"/>
    <row r="154" spans="3:10" ht="16.5" hidden="1" customHeight="1" outlineLevel="1">
      <c r="C154" s="2885" t="s">
        <v>2945</v>
      </c>
      <c r="D154" s="143"/>
      <c r="E154" s="144"/>
      <c r="F154" s="144"/>
      <c r="G154" s="144"/>
      <c r="H154" s="2906" t="str">
        <f>input!$A$1234</f>
        <v>Cartons</v>
      </c>
    </row>
    <row r="155" spans="3:10" ht="16.5" hidden="1" customHeight="1" outlineLevel="1">
      <c r="C155" s="1704"/>
      <c r="D155" s="1053">
        <v>1</v>
      </c>
      <c r="E155" s="1053">
        <v>2</v>
      </c>
      <c r="F155" s="1709">
        <v>3</v>
      </c>
      <c r="G155" s="1709">
        <v>4</v>
      </c>
      <c r="H155" s="1709">
        <v>5</v>
      </c>
    </row>
    <row r="156" spans="3:10" ht="16.5" hidden="1" customHeight="1" outlineLevel="1">
      <c r="C156" s="1710" t="s">
        <v>41</v>
      </c>
      <c r="D156" s="1711">
        <f ca="1">input!B1234</f>
        <v>34</v>
      </c>
      <c r="E156" s="1711">
        <f>input!C1234</f>
        <v>0</v>
      </c>
      <c r="F156" s="1711">
        <f>input!D1234</f>
        <v>0</v>
      </c>
      <c r="G156" s="1711">
        <f>input!E1234</f>
        <v>0</v>
      </c>
      <c r="H156" s="1711">
        <f>input!F1234</f>
        <v>0</v>
      </c>
    </row>
    <row r="157" spans="3:10" ht="16.5" hidden="1" customHeight="1" outlineLevel="1">
      <c r="C157" s="1710" t="s">
        <v>49</v>
      </c>
      <c r="D157" s="1711">
        <f ca="1">input!B1235</f>
        <v>0</v>
      </c>
      <c r="E157" s="1711">
        <f ca="1">input!C1235</f>
        <v>0</v>
      </c>
      <c r="F157" s="1711">
        <f ca="1">input!D1235</f>
        <v>0</v>
      </c>
      <c r="G157" s="1711">
        <f ca="1">input!E1235</f>
        <v>0</v>
      </c>
      <c r="H157" s="1711">
        <f ca="1">input!F1235</f>
        <v>0</v>
      </c>
    </row>
    <row r="158" spans="3:10" ht="16.5" hidden="1" customHeight="1" outlineLevel="1">
      <c r="C158" s="1710" t="s">
        <v>50</v>
      </c>
      <c r="D158" s="1711">
        <f ca="1">input!B1236</f>
        <v>0</v>
      </c>
      <c r="E158" s="1711">
        <f ca="1">input!C1236</f>
        <v>0</v>
      </c>
      <c r="F158" s="1711">
        <f ca="1">input!D1236</f>
        <v>0</v>
      </c>
      <c r="G158" s="1711">
        <f ca="1">input!E1236</f>
        <v>0</v>
      </c>
      <c r="H158" s="1711">
        <f ca="1">input!F1236</f>
        <v>0</v>
      </c>
    </row>
    <row r="159" spans="3:10" ht="16.5" customHeight="1" collapsed="1"/>
    <row r="161" spans="9:10" ht="16.5" customHeight="1">
      <c r="I161" s="3134" t="s">
        <v>3248</v>
      </c>
      <c r="J161" s="3135">
        <f ca="1">1-SUM(J16,J26,(SUM('Fix Cost'!$N$153:$N$167)/L4))/(J41-SUM(J38:J40))</f>
        <v>0.496735868919712</v>
      </c>
    </row>
  </sheetData>
  <sheetProtection algorithmName="SHA-512" hashValue="bR1HT21KxYg+dH2fgRXKP3aHBVHI/nYrR8Qg1cwf8sq0KwAyziqLEZ9P1LgvFl4cYoPGXgt45+M+nOUFsZsUeg==" saltValue="ZIWKLWEvbgEj2D6/5r9p8g==" spinCount="100000" sheet="1" formatCells="0" formatColumns="0" formatRows="0"/>
  <mergeCells count="5">
    <mergeCell ref="C11:N11"/>
    <mergeCell ref="Q11:W11"/>
    <mergeCell ref="K12:O12"/>
    <mergeCell ref="G57:H57"/>
    <mergeCell ref="C58:N58"/>
  </mergeCells>
  <conditionalFormatting sqref="I6">
    <cfRule type="expression" dxfId="18" priority="1">
      <formula>$H$6&lt;$L$9</formula>
    </cfRule>
  </conditionalFormatting>
  <conditionalFormatting sqref="J17">
    <cfRule type="expression" dxfId="17" priority="4">
      <formula>$Z$17&gt;0</formula>
    </cfRule>
  </conditionalFormatting>
  <conditionalFormatting sqref="J18">
    <cfRule type="expression" dxfId="16" priority="3">
      <formula>$Z$18&gt;0</formula>
    </cfRule>
  </conditionalFormatting>
  <dataValidations count="8">
    <dataValidation type="list" allowBlank="1" showInputMessage="1" showErrorMessage="1" sqref="C69" xr:uid="{00000000-0002-0000-0200-000000000000}">
      <formula1>$B$81:$B$82</formula1>
    </dataValidation>
    <dataValidation type="list" allowBlank="1" showInputMessage="1" showErrorMessage="1" sqref="M7" xr:uid="{00000000-0002-0000-0200-000001000000}">
      <formula1>INDIRECT($L$7)</formula1>
    </dataValidation>
    <dataValidation type="list" allowBlank="1" showInputMessage="1" showErrorMessage="1" sqref="E43:E45" xr:uid="{00000000-0002-0000-0200-000002000000}">
      <formula1>"Y,N"</formula1>
    </dataValidation>
    <dataValidation type="list" allowBlank="1" showInputMessage="1" showErrorMessage="1" sqref="L69" xr:uid="{00000000-0002-0000-0200-000003000000}">
      <formula1>$B$84:$B$85</formula1>
    </dataValidation>
    <dataValidation type="list" allowBlank="1" showInputMessage="1" showErrorMessage="1" sqref="E69" xr:uid="{00000000-0002-0000-0200-000004000000}">
      <formula1>$B$85:$B$91</formula1>
    </dataValidation>
    <dataValidation type="list" allowBlank="1" showInputMessage="1" showErrorMessage="1" sqref="D74:D75" xr:uid="{00000000-0002-0000-0200-000005000000}">
      <formula1>"Nguyen Thi Huyen,Thanh Thuan,Nhat Vang,Hong Van,Hong Tham,Duc Tri,Nhu Huynh"</formula1>
    </dataValidation>
    <dataValidation type="list" allowBlank="1" showInputMessage="1" showErrorMessage="1" sqref="L8" xr:uid="{D96CFCAA-7F42-4AF4-BF63-FBC18DF7A139}">
      <formula1>"Local,Import"</formula1>
    </dataValidation>
    <dataValidation type="list" allowBlank="1" showInputMessage="1" showErrorMessage="1" sqref="L9" xr:uid="{0E797626-9D27-4C4D-94BF-3C05A91C3222}">
      <formula1>"500,1000,2000"</formula1>
    </dataValidation>
  </dataValidations>
  <printOptions horizontalCentered="1"/>
  <pageMargins left="0.25" right="0.25" top="0.75" bottom="0.75" header="0.3" footer="0.3"/>
  <pageSetup scale="57" orientation="portrait"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B88EA30B-A963-4998-B098-6B444A826002}">
            <xm:f>Balance!$L$24&gt;0</xm:f>
            <x14:dxf>
              <fill>
                <patternFill>
                  <bgColor rgb="FFFF0000"/>
                </patternFill>
              </fill>
              <border>
                <vertical/>
                <horizontal/>
              </border>
            </x14:dxf>
          </x14:cfRule>
          <xm:sqref>M17</xm:sqref>
        </x14:conditionalFormatting>
        <x14:conditionalFormatting xmlns:xm="http://schemas.microsoft.com/office/excel/2006/main">
          <x14:cfRule type="expression" priority="2" id="{2861A418-A88B-4F11-A612-30E3E3CCE7C5}">
            <xm:f>Balance!$L$36&gt;0</xm:f>
            <x14:dxf>
              <fill>
                <patternFill>
                  <bgColor rgb="FFFF0000"/>
                </patternFill>
              </fill>
              <border>
                <vertical/>
                <horizontal/>
              </border>
            </x14:dxf>
          </x14:cfRule>
          <xm:sqref>M22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6000000}">
          <x14:formula1>
            <xm:f>input!$B$7:$M$7</xm:f>
          </x14:formula1>
          <xm:sqref>L5</xm:sqref>
        </x14:dataValidation>
        <x14:dataValidation type="list" allowBlank="1" showInputMessage="1" showErrorMessage="1" xr:uid="{00000000-0002-0000-0200-000007000000}">
          <x14:formula1>
            <xm:f>input!$I$2:$M$2</xm:f>
          </x14:formula1>
          <xm:sqref>M4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3BBB5-6587-4BED-BFC0-052105CEF7D5}">
  <sheetPr codeName="Sheet43"/>
  <dimension ref="B2:J1767"/>
  <sheetViews>
    <sheetView zoomScale="85" zoomScaleNormal="85" workbookViewId="0">
      <pane xSplit="3" ySplit="2" topLeftCell="D3" activePane="bottomRight" state="frozen"/>
      <selection activeCell="M28" sqref="M28"/>
      <selection pane="topRight" activeCell="M28" sqref="M28"/>
      <selection pane="bottomLeft" activeCell="M28" sqref="M28"/>
      <selection pane="bottomRight" activeCell="J62" sqref="J6:J62"/>
    </sheetView>
  </sheetViews>
  <sheetFormatPr defaultColWidth="8.85546875" defaultRowHeight="18"/>
  <cols>
    <col min="1" max="1" width="8.85546875" style="3143"/>
    <col min="2" max="2" width="9.7109375" style="3143" customWidth="1"/>
    <col min="3" max="3" width="4.85546875" style="3143" customWidth="1"/>
    <col min="4" max="4" width="13.7109375" style="3143" customWidth="1"/>
    <col min="5" max="5" width="26.28515625" style="3143" customWidth="1"/>
    <col min="6" max="6" width="7" style="3143" customWidth="1"/>
    <col min="7" max="7" width="8.85546875" style="3143"/>
    <col min="8" max="8" width="12.85546875" style="3143" customWidth="1"/>
    <col min="9" max="9" width="10.28515625" style="3143" customWidth="1"/>
    <col min="10" max="10" width="12.5703125" style="3143" customWidth="1"/>
    <col min="11" max="16384" width="8.85546875" style="3143"/>
  </cols>
  <sheetData>
    <row r="2" spans="2:10" s="3600" customFormat="1" ht="30.6" customHeight="1">
      <c r="B2" s="3600" t="s">
        <v>3643</v>
      </c>
      <c r="C2" s="3600" t="s">
        <v>3644</v>
      </c>
      <c r="D2" s="3600" t="s">
        <v>746</v>
      </c>
      <c r="E2" s="3600" t="s">
        <v>3645</v>
      </c>
      <c r="F2" s="3600" t="s">
        <v>1409</v>
      </c>
      <c r="G2" s="3600" t="s">
        <v>3646</v>
      </c>
      <c r="H2" s="3600" t="s">
        <v>3647</v>
      </c>
      <c r="I2" s="3600" t="s">
        <v>3648</v>
      </c>
      <c r="J2" s="3600" t="s">
        <v>3649</v>
      </c>
    </row>
    <row r="3" spans="2:10" ht="21.75">
      <c r="B3" s="3143" t="s">
        <v>3650</v>
      </c>
      <c r="C3" s="3143">
        <v>1</v>
      </c>
      <c r="D3" s="3143" t="str">
        <f ca="1">IFERROR(INDEX(Paper!$A:$AU,MATCH($C3,Paper!$AU:$AU,0),1),"")</f>
        <v>Box</v>
      </c>
      <c r="E3" s="3143" t="str">
        <f ca="1">IFERROR(INDEX(Paper!$A:$AU,MATCH($C3,Paper!$AU:$AU,0),3),"")</f>
        <v>300gsm GB HANSOL</v>
      </c>
      <c r="F3" s="3143" t="s">
        <v>3651</v>
      </c>
      <c r="G3" s="3599">
        <f ca="1">IFERROR(INDEX(Paper!$A:$AU,MATCH($C3,Paper!$AU:$AU,0),18)/'ACC &amp; Other Material '!$E$2*10^3,"")</f>
        <v>4.4400000000000002E-2</v>
      </c>
      <c r="H3" s="3599"/>
      <c r="I3" s="3153">
        <f ca="1">IFERROR(INDEX(Paper!$A:$AU,MATCH($C3,Paper!$AU:$AU,0),19),"")</f>
        <v>562.77484848000006</v>
      </c>
      <c r="J3" s="3153">
        <f ca="1">IFERROR(INDEX(Paper!$A:$AU,MATCH($C3,Paper!$AU:$AU,0),20),"")</f>
        <v>562.77484848000006</v>
      </c>
    </row>
    <row r="4" spans="2:10" ht="21.75">
      <c r="B4" s="3143" t="s">
        <v>3650</v>
      </c>
      <c r="C4" s="3143">
        <f>C3+1</f>
        <v>2</v>
      </c>
      <c r="D4" s="3143" t="str">
        <f ca="1">IFERROR(INDEX(Paper!$A:$AU,MATCH($C4,Paper!$AU:$AU,0),1),"")</f>
        <v>E-flute 115/105</v>
      </c>
      <c r="E4" s="3143" t="str">
        <f ca="1">IFERROR(INDEX(Paper!$A:$AU,MATCH($C4,Paper!$AU:$AU,0),3),"")</f>
        <v>E-Flute</v>
      </c>
      <c r="F4" s="3143" t="s">
        <v>3651</v>
      </c>
      <c r="G4" s="3599">
        <f ca="1">IFERROR(INDEX(Paper!$A:$AU,MATCH($C4,Paper!$AU:$AU,0),18)/'ACC &amp; Other Material '!$E$2*10^3,"")</f>
        <v>3.388777866800001E-2</v>
      </c>
      <c r="H4" s="3599"/>
      <c r="I4" s="3153">
        <f ca="1">IFERROR(INDEX(Paper!$A:$AU,MATCH($C4,Paper!$AU:$AU,0),19),"")</f>
        <v>692.97382200000004</v>
      </c>
      <c r="J4" s="3153">
        <f ca="1">IFERROR(INDEX(Paper!$A:$AU,MATCH($C4,Paper!$AU:$AU,0),20),"")</f>
        <v>692.97382200000004</v>
      </c>
    </row>
    <row r="5" spans="2:10" ht="21.75">
      <c r="B5" s="3143" t="s">
        <v>3650</v>
      </c>
      <c r="C5" s="3143">
        <f t="shared" ref="C5:C62" si="0">C4+1</f>
        <v>3</v>
      </c>
      <c r="D5" s="3143" t="str">
        <f ca="1">IFERROR(INDEX(Paper!$A:$AU,MATCH($C5,Paper!$AU:$AU,0),1),"")</f>
        <v/>
      </c>
      <c r="E5" s="3143" t="str">
        <f ca="1">IFERROR(INDEX(Paper!$A:$AU,MATCH($C5,Paper!$AU:$AU,0),3),"")</f>
        <v/>
      </c>
      <c r="F5" s="3143" t="s">
        <v>3651</v>
      </c>
      <c r="G5" s="3599" t="str">
        <f ca="1">IFERROR(INDEX(Paper!$A:$AU,MATCH($C5,Paper!$AU:$AU,0),18)/'ACC &amp; Other Material '!$E$2*10^3,"")</f>
        <v/>
      </c>
      <c r="H5" s="3599"/>
      <c r="I5" s="3153" t="str">
        <f ca="1">IFERROR(INDEX(Paper!$A:$AU,MATCH($C5,Paper!$AU:$AU,0),19),"")</f>
        <v/>
      </c>
      <c r="J5" s="3153" t="str">
        <f ca="1">IFERROR(INDEX(Paper!$A:$AU,MATCH($C5,Paper!$AU:$AU,0),20),"")</f>
        <v/>
      </c>
    </row>
    <row r="6" spans="2:10" ht="21.75">
      <c r="B6" s="3143" t="s">
        <v>3650</v>
      </c>
      <c r="C6" s="3143">
        <f t="shared" si="0"/>
        <v>4</v>
      </c>
      <c r="D6" s="3143" t="str">
        <f ca="1">IFERROR(INDEX(Paper!$A:$AU,MATCH($C6,Paper!$AU:$AU,0),1),"")</f>
        <v/>
      </c>
      <c r="E6" s="3143" t="str">
        <f ca="1">IFERROR(INDEX(Paper!$A:$AU,MATCH($C6,Paper!$AU:$AU,0),3),"")</f>
        <v/>
      </c>
      <c r="F6" s="3143" t="s">
        <v>3651</v>
      </c>
      <c r="G6" s="3599" t="str">
        <f ca="1">IFERROR(INDEX(Paper!$A:$AU,MATCH($C6,Paper!$AU:$AU,0),18)/'ACC &amp; Other Material '!$E$2*10^3,"")</f>
        <v/>
      </c>
      <c r="H6" s="3599"/>
      <c r="I6" s="3153" t="str">
        <f ca="1">IFERROR(INDEX(Paper!$A:$AU,MATCH($C6,Paper!$AU:$AU,0),20),"")</f>
        <v/>
      </c>
      <c r="J6" s="3143" t="str">
        <f ca="1">IFERROR(INDEX(Paper!$A:$AU,MATCH($C6,Paper!$AU:$AU,0),20),"")</f>
        <v/>
      </c>
    </row>
    <row r="7" spans="2:10" ht="21.75">
      <c r="B7" s="3143" t="s">
        <v>3650</v>
      </c>
      <c r="C7" s="3143">
        <f t="shared" si="0"/>
        <v>5</v>
      </c>
      <c r="D7" s="3143" t="str">
        <f ca="1">IFERROR(INDEX(Paper!$A:$AU,MATCH($C7,Paper!$AU:$AU,0),1),"")</f>
        <v/>
      </c>
      <c r="E7" s="3143" t="str">
        <f ca="1">IFERROR(INDEX(Paper!$A:$AU,MATCH($C7,Paper!$AU:$AU,0),3),"")</f>
        <v/>
      </c>
      <c r="F7" s="3143" t="s">
        <v>3651</v>
      </c>
      <c r="G7" s="3599" t="str">
        <f ca="1">IFERROR(INDEX(Paper!$A:$AU,MATCH($C7,Paper!$AU:$AU,0),18)/'ACC &amp; Other Material '!$E$2*10^3,"")</f>
        <v/>
      </c>
      <c r="H7" s="3599"/>
      <c r="I7" s="3153" t="str">
        <f ca="1">IFERROR(INDEX(Paper!$A:$AU,MATCH($C7,Paper!$AU:$AU,0),20),"")</f>
        <v/>
      </c>
      <c r="J7" s="3143" t="str">
        <f ca="1">IFERROR(INDEX(Paper!$A:$AU,MATCH($C7,Paper!$AU:$AU,0),20),"")</f>
        <v/>
      </c>
    </row>
    <row r="8" spans="2:10" ht="21.75">
      <c r="B8" s="3143" t="s">
        <v>3650</v>
      </c>
      <c r="C8" s="3143">
        <f t="shared" si="0"/>
        <v>6</v>
      </c>
      <c r="D8" s="3143" t="str">
        <f ca="1">IFERROR(INDEX(Paper!$A:$AU,MATCH($C8,Paper!$AU:$AU,0),1),"")</f>
        <v/>
      </c>
      <c r="E8" s="3143" t="str">
        <f ca="1">IFERROR(INDEX(Paper!$A:$AU,MATCH($C8,Paper!$AU:$AU,0),3),"")</f>
        <v/>
      </c>
      <c r="F8" s="3143" t="s">
        <v>3651</v>
      </c>
      <c r="G8" s="3599" t="str">
        <f ca="1">IFERROR(INDEX(Paper!$A:$AU,MATCH($C8,Paper!$AU:$AU,0),18)/'ACC &amp; Other Material '!$E$2*10^3,"")</f>
        <v/>
      </c>
      <c r="H8" s="3599"/>
      <c r="I8" s="3153" t="str">
        <f ca="1">IFERROR(INDEX(Paper!$A:$AU,MATCH($C8,Paper!$AU:$AU,0),20),"")</f>
        <v/>
      </c>
      <c r="J8" s="3143" t="str">
        <f ca="1">IFERROR(INDEX(Paper!$A:$AU,MATCH($C8,Paper!$AU:$AU,0),20),"")</f>
        <v/>
      </c>
    </row>
    <row r="9" spans="2:10" ht="21.75">
      <c r="B9" s="3143" t="s">
        <v>3650</v>
      </c>
      <c r="C9" s="3143">
        <f t="shared" si="0"/>
        <v>7</v>
      </c>
      <c r="D9" s="3143" t="str">
        <f ca="1">IFERROR(INDEX(Paper!$A:$AU,MATCH($C9,Paper!$AU:$AU,0),1),"")</f>
        <v/>
      </c>
      <c r="E9" s="3143" t="str">
        <f ca="1">IFERROR(INDEX(Paper!$A:$AU,MATCH($C9,Paper!$AU:$AU,0),3),"")</f>
        <v/>
      </c>
      <c r="F9" s="3143" t="s">
        <v>3651</v>
      </c>
      <c r="G9" s="3599" t="str">
        <f ca="1">IFERROR(INDEX(Paper!$A:$AU,MATCH($C9,Paper!$AU:$AU,0),18)/'ACC &amp; Other Material '!$E$2*10^3,"")</f>
        <v/>
      </c>
      <c r="H9" s="3599"/>
      <c r="I9" s="3153" t="str">
        <f ca="1">IFERROR(INDEX(Paper!$A:$AU,MATCH($C9,Paper!$AU:$AU,0),20),"")</f>
        <v/>
      </c>
      <c r="J9" s="3143" t="str">
        <f ca="1">IFERROR(INDEX(Paper!$A:$AU,MATCH($C9,Paper!$AU:$AU,0),20),"")</f>
        <v/>
      </c>
    </row>
    <row r="10" spans="2:10" ht="21.75">
      <c r="B10" s="3143" t="s">
        <v>3650</v>
      </c>
      <c r="C10" s="3143">
        <f t="shared" si="0"/>
        <v>8</v>
      </c>
      <c r="D10" s="3143" t="str">
        <f ca="1">IFERROR(INDEX(Paper!$A:$AU,MATCH($C10,Paper!$AU:$AU,0),1),"")</f>
        <v/>
      </c>
      <c r="E10" s="3143" t="str">
        <f ca="1">IFERROR(INDEX(Paper!$A:$AU,MATCH($C10,Paper!$AU:$AU,0),3),"")</f>
        <v/>
      </c>
      <c r="F10" s="3143" t="s">
        <v>3651</v>
      </c>
      <c r="G10" s="3599" t="str">
        <f ca="1">IFERROR(INDEX(Paper!$A:$AU,MATCH($C10,Paper!$AU:$AU,0),18)/'ACC &amp; Other Material '!$E$2*10^3,"")</f>
        <v/>
      </c>
      <c r="H10" s="3599"/>
      <c r="I10" s="3153" t="str">
        <f ca="1">IFERROR(INDEX(Paper!$A:$AU,MATCH($C10,Paper!$AU:$AU,0),20),"")</f>
        <v/>
      </c>
      <c r="J10" s="3143" t="str">
        <f ca="1">IFERROR(INDEX(Paper!$A:$AU,MATCH($C10,Paper!$AU:$AU,0),20),"")</f>
        <v/>
      </c>
    </row>
    <row r="11" spans="2:10" ht="21.75">
      <c r="B11" s="3143" t="s">
        <v>3650</v>
      </c>
      <c r="C11" s="3143">
        <f t="shared" si="0"/>
        <v>9</v>
      </c>
      <c r="D11" s="3143" t="str">
        <f ca="1">IFERROR(INDEX(Paper!$A:$AU,MATCH($C11,Paper!$AU:$AU,0),1),"")</f>
        <v/>
      </c>
      <c r="E11" s="3143" t="str">
        <f ca="1">IFERROR(INDEX(Paper!$A:$AU,MATCH($C11,Paper!$AU:$AU,0),3),"")</f>
        <v/>
      </c>
      <c r="F11" s="3143" t="s">
        <v>3651</v>
      </c>
      <c r="G11" s="3599" t="str">
        <f ca="1">IFERROR(INDEX(Paper!$A:$AU,MATCH($C11,Paper!$AU:$AU,0),18)/'ACC &amp; Other Material '!$E$2*10^3,"")</f>
        <v/>
      </c>
      <c r="H11" s="3599"/>
      <c r="I11" s="3153" t="str">
        <f ca="1">IFERROR(INDEX(Paper!$A:$AU,MATCH($C11,Paper!$AU:$AU,0),20),"")</f>
        <v/>
      </c>
      <c r="J11" s="3143" t="str">
        <f ca="1">IFERROR(INDEX(Paper!$A:$AU,MATCH($C11,Paper!$AU:$AU,0),20),"")</f>
        <v/>
      </c>
    </row>
    <row r="12" spans="2:10" ht="21.75">
      <c r="B12" s="3143" t="s">
        <v>3650</v>
      </c>
      <c r="C12" s="3143">
        <f t="shared" si="0"/>
        <v>10</v>
      </c>
      <c r="D12" s="3143" t="str">
        <f ca="1">IFERROR(INDEX(Paper!$A:$AU,MATCH($C12,Paper!$AU:$AU,0),1),"")</f>
        <v/>
      </c>
      <c r="E12" s="3143" t="str">
        <f ca="1">IFERROR(INDEX(Paper!$A:$AU,MATCH($C12,Paper!$AU:$AU,0),3),"")</f>
        <v/>
      </c>
      <c r="F12" s="3143" t="s">
        <v>3651</v>
      </c>
      <c r="G12" s="3599" t="str">
        <f ca="1">IFERROR(INDEX(Paper!$A:$AU,MATCH($C12,Paper!$AU:$AU,0),18)/'ACC &amp; Other Material '!$E$2*10^3,"")</f>
        <v/>
      </c>
      <c r="H12" s="3599"/>
      <c r="I12" s="3153" t="str">
        <f ca="1">IFERROR(INDEX(Paper!$A:$AU,MATCH($C12,Paper!$AU:$AU,0),20),"")</f>
        <v/>
      </c>
      <c r="J12" s="3143" t="str">
        <f ca="1">IFERROR(INDEX(Paper!$A:$AU,MATCH($C12,Paper!$AU:$AU,0),20),"")</f>
        <v/>
      </c>
    </row>
    <row r="13" spans="2:10" ht="21.75">
      <c r="B13" s="3143" t="s">
        <v>3650</v>
      </c>
      <c r="C13" s="3143">
        <f t="shared" si="0"/>
        <v>11</v>
      </c>
      <c r="D13" s="3143" t="str">
        <f ca="1">IFERROR(INDEX(Paper!$A:$AU,MATCH($C13,Paper!$AU:$AU,0),1),"")</f>
        <v/>
      </c>
      <c r="E13" s="3143" t="str">
        <f ca="1">IFERROR(INDEX(Paper!$A:$AU,MATCH($C13,Paper!$AU:$AU,0),3),"")</f>
        <v/>
      </c>
      <c r="F13" s="3143" t="s">
        <v>3651</v>
      </c>
      <c r="G13" s="3599" t="str">
        <f ca="1">IFERROR(INDEX(Paper!$A:$AU,MATCH($C13,Paper!$AU:$AU,0),18)/'ACC &amp; Other Material '!$E$2*10^3,"")</f>
        <v/>
      </c>
      <c r="H13" s="3599"/>
      <c r="I13" s="3153" t="str">
        <f ca="1">IFERROR(INDEX(Paper!$A:$AU,MATCH($C13,Paper!$AU:$AU,0),20),"")</f>
        <v/>
      </c>
      <c r="J13" s="3143" t="str">
        <f ca="1">IFERROR(INDEX(Paper!$A:$AU,MATCH($C13,Paper!$AU:$AU,0),20),"")</f>
        <v/>
      </c>
    </row>
    <row r="14" spans="2:10" ht="21.75">
      <c r="B14" s="3143" t="s">
        <v>3650</v>
      </c>
      <c r="C14" s="3143">
        <f t="shared" si="0"/>
        <v>12</v>
      </c>
      <c r="D14" s="3143" t="str">
        <f ca="1">IFERROR(INDEX(Paper!$A:$AU,MATCH($C14,Paper!$AU:$AU,0),1),"")</f>
        <v/>
      </c>
      <c r="E14" s="3143" t="str">
        <f ca="1">IFERROR(INDEX(Paper!$A:$AU,MATCH($C14,Paper!$AU:$AU,0),3),"")</f>
        <v/>
      </c>
      <c r="F14" s="3143" t="s">
        <v>3651</v>
      </c>
      <c r="G14" s="3599" t="str">
        <f ca="1">IFERROR(INDEX(Paper!$A:$AU,MATCH($C14,Paper!$AU:$AU,0),18)/'ACC &amp; Other Material '!$E$2*10^3,"")</f>
        <v/>
      </c>
      <c r="H14" s="3599"/>
      <c r="I14" s="3153" t="str">
        <f ca="1">IFERROR(INDEX(Paper!$A:$AU,MATCH($C14,Paper!$AU:$AU,0),20),"")</f>
        <v/>
      </c>
      <c r="J14" s="3143" t="str">
        <f ca="1">IFERROR(INDEX(Paper!$A:$AU,MATCH($C14,Paper!$AU:$AU,0),20),"")</f>
        <v/>
      </c>
    </row>
    <row r="15" spans="2:10" ht="21.75">
      <c r="B15" s="3143" t="s">
        <v>3650</v>
      </c>
      <c r="C15" s="3143">
        <f t="shared" si="0"/>
        <v>13</v>
      </c>
      <c r="D15" s="3143" t="str">
        <f ca="1">IFERROR(INDEX(Paper!$A:$AU,MATCH($C15,Paper!$AU:$AU,0),1),"")</f>
        <v/>
      </c>
      <c r="E15" s="3143" t="str">
        <f ca="1">IFERROR(INDEX(Paper!$A:$AU,MATCH($C15,Paper!$AU:$AU,0),3),"")</f>
        <v/>
      </c>
      <c r="F15" s="3143" t="s">
        <v>3651</v>
      </c>
      <c r="G15" s="3599" t="str">
        <f ca="1">IFERROR(INDEX(Paper!$A:$AU,MATCH($C15,Paper!$AU:$AU,0),18)/'ACC &amp; Other Material '!$E$2*10^3,"")</f>
        <v/>
      </c>
      <c r="H15" s="3599"/>
      <c r="I15" s="3153" t="str">
        <f ca="1">IFERROR(INDEX(Paper!$A:$AU,MATCH($C15,Paper!$AU:$AU,0),20),"")</f>
        <v/>
      </c>
      <c r="J15" s="3143" t="str">
        <f ca="1">IFERROR(INDEX(Paper!$A:$AU,MATCH($C15,Paper!$AU:$AU,0),20),"")</f>
        <v/>
      </c>
    </row>
    <row r="16" spans="2:10" ht="21.75">
      <c r="B16" s="3143" t="s">
        <v>3650</v>
      </c>
      <c r="C16" s="3143">
        <f t="shared" si="0"/>
        <v>14</v>
      </c>
      <c r="D16" s="3143" t="str">
        <f ca="1">IFERROR(INDEX(Paper!$A:$AU,MATCH($C16,Paper!$AU:$AU,0),1),"")</f>
        <v/>
      </c>
      <c r="E16" s="3143" t="str">
        <f ca="1">IFERROR(INDEX(Paper!$A:$AU,MATCH($C16,Paper!$AU:$AU,0),3),"")</f>
        <v/>
      </c>
      <c r="F16" s="3143" t="s">
        <v>3651</v>
      </c>
      <c r="G16" s="3599" t="str">
        <f ca="1">IFERROR(INDEX(Paper!$A:$AU,MATCH($C16,Paper!$AU:$AU,0),18)/'ACC &amp; Other Material '!$E$2*10^3,"")</f>
        <v/>
      </c>
      <c r="H16" s="3599"/>
      <c r="I16" s="3153" t="str">
        <f ca="1">IFERROR(INDEX(Paper!$A:$AU,MATCH($C16,Paper!$AU:$AU,0),20),"")</f>
        <v/>
      </c>
      <c r="J16" s="3143" t="str">
        <f ca="1">IFERROR(INDEX(Paper!$A:$AU,MATCH($C16,Paper!$AU:$AU,0),20),"")</f>
        <v/>
      </c>
    </row>
    <row r="17" spans="2:10" ht="21.75">
      <c r="B17" s="3143" t="s">
        <v>3650</v>
      </c>
      <c r="C17" s="3143">
        <f t="shared" si="0"/>
        <v>15</v>
      </c>
      <c r="D17" s="3143" t="str">
        <f ca="1">IFERROR(INDEX(Paper!$A:$AU,MATCH($C17,Paper!$AU:$AU,0),1),"")</f>
        <v/>
      </c>
      <c r="E17" s="3143" t="str">
        <f ca="1">IFERROR(INDEX(Paper!$A:$AU,MATCH($C17,Paper!$AU:$AU,0),3),"")</f>
        <v/>
      </c>
      <c r="F17" s="3143" t="s">
        <v>3651</v>
      </c>
      <c r="G17" s="3599" t="str">
        <f ca="1">IFERROR(INDEX(Paper!$A:$AU,MATCH($C17,Paper!$AU:$AU,0),18)/'ACC &amp; Other Material '!$E$2*10^3,"")</f>
        <v/>
      </c>
      <c r="H17" s="3599"/>
      <c r="I17" s="3153" t="str">
        <f ca="1">IFERROR(INDEX(Paper!$A:$AU,MATCH($C17,Paper!$AU:$AU,0),20),"")</f>
        <v/>
      </c>
      <c r="J17" s="3143" t="str">
        <f ca="1">IFERROR(INDEX(Paper!$A:$AU,MATCH($C17,Paper!$AU:$AU,0),20),"")</f>
        <v/>
      </c>
    </row>
    <row r="18" spans="2:10" ht="21.75">
      <c r="B18" s="3143" t="s">
        <v>3650</v>
      </c>
      <c r="C18" s="3143">
        <f t="shared" si="0"/>
        <v>16</v>
      </c>
      <c r="D18" s="3143" t="str">
        <f ca="1">IFERROR(INDEX(Paper!$A:$AU,MATCH($C18,Paper!$AU:$AU,0),1),"")</f>
        <v/>
      </c>
      <c r="E18" s="3143" t="str">
        <f ca="1">IFERROR(INDEX(Paper!$A:$AU,MATCH($C18,Paper!$AU:$AU,0),3),"")</f>
        <v/>
      </c>
      <c r="F18" s="3143" t="s">
        <v>3651</v>
      </c>
      <c r="G18" s="3599" t="str">
        <f ca="1">IFERROR(INDEX(Paper!$A:$AU,MATCH($C18,Paper!$AU:$AU,0),18)/'ACC &amp; Other Material '!$E$2*10^3,"")</f>
        <v/>
      </c>
      <c r="H18" s="3599"/>
      <c r="I18" s="3153" t="str">
        <f ca="1">IFERROR(INDEX(Paper!$A:$AU,MATCH($C18,Paper!$AU:$AU,0),20),"")</f>
        <v/>
      </c>
      <c r="J18" s="3143" t="str">
        <f ca="1">IFERROR(INDEX(Paper!$A:$AU,MATCH($C18,Paper!$AU:$AU,0),20),"")</f>
        <v/>
      </c>
    </row>
    <row r="19" spans="2:10" ht="21.75">
      <c r="B19" s="3143" t="s">
        <v>3650</v>
      </c>
      <c r="C19" s="3143">
        <f t="shared" si="0"/>
        <v>17</v>
      </c>
      <c r="D19" s="3143" t="str">
        <f ca="1">IFERROR(INDEX(Paper!$A:$AU,MATCH($C19,Paper!$AU:$AU,0),1),"")</f>
        <v/>
      </c>
      <c r="E19" s="3143" t="str">
        <f ca="1">IFERROR(INDEX(Paper!$A:$AU,MATCH($C19,Paper!$AU:$AU,0),3),"")</f>
        <v/>
      </c>
      <c r="F19" s="3143" t="s">
        <v>3651</v>
      </c>
      <c r="G19" s="3599" t="str">
        <f ca="1">IFERROR(INDEX(Paper!$A:$AU,MATCH($C19,Paper!$AU:$AU,0),18)/'ACC &amp; Other Material '!$E$2*10^3,"")</f>
        <v/>
      </c>
      <c r="H19" s="3599"/>
      <c r="I19" s="3153" t="str">
        <f ca="1">IFERROR(INDEX(Paper!$A:$AU,MATCH($C19,Paper!$AU:$AU,0),20),"")</f>
        <v/>
      </c>
      <c r="J19" s="3143" t="str">
        <f ca="1">IFERROR(INDEX(Paper!$A:$AU,MATCH($C19,Paper!$AU:$AU,0),20),"")</f>
        <v/>
      </c>
    </row>
    <row r="20" spans="2:10" ht="21.75">
      <c r="B20" s="3143" t="s">
        <v>3650</v>
      </c>
      <c r="C20" s="3143">
        <f t="shared" si="0"/>
        <v>18</v>
      </c>
      <c r="D20" s="3143" t="str">
        <f ca="1">IFERROR(INDEX(Paper!$A:$AU,MATCH($C20,Paper!$AU:$AU,0),1),"")</f>
        <v/>
      </c>
      <c r="E20" s="3143" t="str">
        <f ca="1">IFERROR(INDEX(Paper!$A:$AU,MATCH($C20,Paper!$AU:$AU,0),3),"")</f>
        <v/>
      </c>
      <c r="F20" s="3143" t="s">
        <v>3651</v>
      </c>
      <c r="G20" s="3599" t="str">
        <f ca="1">IFERROR(INDEX(Paper!$A:$AU,MATCH($C20,Paper!$AU:$AU,0),18)/'ACC &amp; Other Material '!$E$2*10^3,"")</f>
        <v/>
      </c>
      <c r="H20" s="3599"/>
      <c r="I20" s="3153" t="str">
        <f ca="1">IFERROR(INDEX(Paper!$A:$AU,MATCH($C20,Paper!$AU:$AU,0),20),"")</f>
        <v/>
      </c>
      <c r="J20" s="3143" t="str">
        <f ca="1">IFERROR(INDEX(Paper!$A:$AU,MATCH($C20,Paper!$AU:$AU,0),20),"")</f>
        <v/>
      </c>
    </row>
    <row r="21" spans="2:10" ht="21.75">
      <c r="B21" s="3143" t="s">
        <v>3650</v>
      </c>
      <c r="C21" s="3143">
        <f t="shared" si="0"/>
        <v>19</v>
      </c>
      <c r="D21" s="3143" t="str">
        <f ca="1">IFERROR(INDEX(Paper!$A:$AU,MATCH($C21,Paper!$AU:$AU,0),1),"")</f>
        <v/>
      </c>
      <c r="E21" s="3143" t="str">
        <f ca="1">IFERROR(INDEX(Paper!$A:$AU,MATCH($C21,Paper!$AU:$AU,0),3),"")</f>
        <v/>
      </c>
      <c r="F21" s="3143" t="s">
        <v>3651</v>
      </c>
      <c r="G21" s="3599" t="str">
        <f ca="1">IFERROR(INDEX(Paper!$A:$AU,MATCH($C21,Paper!$AU:$AU,0),18)/'ACC &amp; Other Material '!$E$2*10^3,"")</f>
        <v/>
      </c>
      <c r="H21" s="3599"/>
      <c r="I21" s="3153" t="str">
        <f ca="1">IFERROR(INDEX(Paper!$A:$AU,MATCH($C21,Paper!$AU:$AU,0),20),"")</f>
        <v/>
      </c>
      <c r="J21" s="3143" t="str">
        <f ca="1">IFERROR(INDEX(Paper!$A:$AU,MATCH($C21,Paper!$AU:$AU,0),20),"")</f>
        <v/>
      </c>
    </row>
    <row r="22" spans="2:10" ht="21.75">
      <c r="B22" s="3143" t="s">
        <v>3650</v>
      </c>
      <c r="C22" s="3143">
        <f t="shared" si="0"/>
        <v>20</v>
      </c>
      <c r="D22" s="3143" t="str">
        <f ca="1">IFERROR(INDEX(Paper!$A:$AU,MATCH($C22,Paper!$AU:$AU,0),1),"")</f>
        <v/>
      </c>
      <c r="E22" s="3143" t="str">
        <f ca="1">IFERROR(INDEX(Paper!$A:$AU,MATCH($C22,Paper!$AU:$AU,0),3),"")</f>
        <v/>
      </c>
      <c r="F22" s="3143" t="s">
        <v>3651</v>
      </c>
      <c r="G22" s="3599" t="str">
        <f ca="1">IFERROR(INDEX(Paper!$A:$AU,MATCH($C22,Paper!$AU:$AU,0),18)/'ACC &amp; Other Material '!$E$2*10^3,"")</f>
        <v/>
      </c>
      <c r="H22" s="3599"/>
      <c r="I22" s="3153" t="str">
        <f ca="1">IFERROR(INDEX(Paper!$A:$AU,MATCH($C22,Paper!$AU:$AU,0),20),"")</f>
        <v/>
      </c>
      <c r="J22" s="3143" t="str">
        <f ca="1">IFERROR(INDEX(Paper!$A:$AU,MATCH($C22,Paper!$AU:$AU,0),20),"")</f>
        <v/>
      </c>
    </row>
    <row r="23" spans="2:10" ht="21.75">
      <c r="B23" s="3143" t="s">
        <v>3650</v>
      </c>
      <c r="C23" s="3143">
        <f t="shared" si="0"/>
        <v>21</v>
      </c>
      <c r="D23" s="3143" t="str">
        <f ca="1">IFERROR(INDEX(Paper!$A:$AU,MATCH($C23,Paper!$AU:$AU,0),1),"")</f>
        <v/>
      </c>
      <c r="E23" s="3143" t="str">
        <f ca="1">IFERROR(INDEX(Paper!$A:$AU,MATCH($C23,Paper!$AU:$AU,0),3),"")</f>
        <v/>
      </c>
      <c r="F23" s="3143" t="s">
        <v>3651</v>
      </c>
      <c r="G23" s="3599" t="str">
        <f ca="1">IFERROR(INDEX(Paper!$A:$AU,MATCH($C23,Paper!$AU:$AU,0),18)/'ACC &amp; Other Material '!$E$2*10^3,"")</f>
        <v/>
      </c>
      <c r="H23" s="3599"/>
      <c r="I23" s="3153" t="str">
        <f ca="1">IFERROR(INDEX(Paper!$A:$AU,MATCH($C23,Paper!$AU:$AU,0),20),"")</f>
        <v/>
      </c>
      <c r="J23" s="3143" t="str">
        <f ca="1">IFERROR(INDEX(Paper!$A:$AU,MATCH($C23,Paper!$AU:$AU,0),20),"")</f>
        <v/>
      </c>
    </row>
    <row r="24" spans="2:10" ht="21.75">
      <c r="B24" s="3143" t="s">
        <v>3650</v>
      </c>
      <c r="C24" s="3143">
        <f t="shared" si="0"/>
        <v>22</v>
      </c>
      <c r="D24" s="3143" t="str">
        <f ca="1">IFERROR(INDEX(Paper!$A:$AU,MATCH($C24,Paper!$AU:$AU,0),1),"")</f>
        <v/>
      </c>
      <c r="E24" s="3143" t="str">
        <f ca="1">IFERROR(INDEX(Paper!$A:$AU,MATCH($C24,Paper!$AU:$AU,0),3),"")</f>
        <v/>
      </c>
      <c r="F24" s="3143" t="s">
        <v>3651</v>
      </c>
      <c r="G24" s="3599" t="str">
        <f ca="1">IFERROR(INDEX(Paper!$A:$AU,MATCH($C24,Paper!$AU:$AU,0),18)/'ACC &amp; Other Material '!$E$2*10^3,"")</f>
        <v/>
      </c>
      <c r="H24" s="3599"/>
      <c r="I24" s="3153" t="str">
        <f ca="1">IFERROR(INDEX(Paper!$A:$AU,MATCH($C24,Paper!$AU:$AU,0),20),"")</f>
        <v/>
      </c>
      <c r="J24" s="3143" t="str">
        <f ca="1">IFERROR(INDEX(Paper!$A:$AU,MATCH($C24,Paper!$AU:$AU,0),20),"")</f>
        <v/>
      </c>
    </row>
    <row r="25" spans="2:10" ht="21.75">
      <c r="B25" s="3143" t="s">
        <v>3650</v>
      </c>
      <c r="C25" s="3143">
        <f t="shared" si="0"/>
        <v>23</v>
      </c>
      <c r="D25" s="3143" t="str">
        <f ca="1">IFERROR(INDEX(Paper!$A:$AU,MATCH($C25,Paper!$AU:$AU,0),1),"")</f>
        <v/>
      </c>
      <c r="E25" s="3143" t="str">
        <f ca="1">IFERROR(INDEX(Paper!$A:$AU,MATCH($C25,Paper!$AU:$AU,0),3),"")</f>
        <v/>
      </c>
      <c r="F25" s="3143" t="s">
        <v>3651</v>
      </c>
      <c r="G25" s="3599" t="str">
        <f ca="1">IFERROR(INDEX(Paper!$A:$AU,MATCH($C25,Paper!$AU:$AU,0),18)/'ACC &amp; Other Material '!$E$2*10^3,"")</f>
        <v/>
      </c>
      <c r="H25" s="3599"/>
      <c r="I25" s="3153" t="str">
        <f ca="1">IFERROR(INDEX(Paper!$A:$AU,MATCH($C25,Paper!$AU:$AU,0),20),"")</f>
        <v/>
      </c>
      <c r="J25" s="3143" t="str">
        <f ca="1">IFERROR(INDEX(Paper!$A:$AU,MATCH($C25,Paper!$AU:$AU,0),20),"")</f>
        <v/>
      </c>
    </row>
    <row r="26" spans="2:10" ht="21.75">
      <c r="B26" s="3143" t="s">
        <v>3650</v>
      </c>
      <c r="C26" s="3143">
        <f t="shared" si="0"/>
        <v>24</v>
      </c>
      <c r="D26" s="3143" t="str">
        <f ca="1">IFERROR(INDEX(Paper!$A:$AU,MATCH($C26,Paper!$AU:$AU,0),1),"")</f>
        <v/>
      </c>
      <c r="E26" s="3143" t="str">
        <f ca="1">IFERROR(INDEX(Paper!$A:$AU,MATCH($C26,Paper!$AU:$AU,0),3),"")</f>
        <v/>
      </c>
      <c r="F26" s="3143" t="s">
        <v>3651</v>
      </c>
      <c r="G26" s="3599" t="str">
        <f ca="1">IFERROR(INDEX(Paper!$A:$AU,MATCH($C26,Paper!$AU:$AU,0),18)/'ACC &amp; Other Material '!$E$2*10^3,"")</f>
        <v/>
      </c>
      <c r="H26" s="3599"/>
      <c r="I26" s="3153" t="str">
        <f ca="1">IFERROR(INDEX(Paper!$A:$AU,MATCH($C26,Paper!$AU:$AU,0),20),"")</f>
        <v/>
      </c>
      <c r="J26" s="3143" t="str">
        <f ca="1">IFERROR(INDEX(Paper!$A:$AU,MATCH($C26,Paper!$AU:$AU,0),20),"")</f>
        <v/>
      </c>
    </row>
    <row r="27" spans="2:10" ht="21.75">
      <c r="B27" s="3143" t="s">
        <v>3650</v>
      </c>
      <c r="C27" s="3143">
        <f t="shared" si="0"/>
        <v>25</v>
      </c>
      <c r="D27" s="3143" t="str">
        <f ca="1">IFERROR(INDEX(Paper!$A:$AU,MATCH($C27,Paper!$AU:$AU,0),1),"")</f>
        <v/>
      </c>
      <c r="E27" s="3143" t="str">
        <f ca="1">IFERROR(INDEX(Paper!$A:$AU,MATCH($C27,Paper!$AU:$AU,0),3),"")</f>
        <v/>
      </c>
      <c r="F27" s="3143" t="s">
        <v>3651</v>
      </c>
      <c r="G27" s="3599" t="str">
        <f ca="1">IFERROR(INDEX(Paper!$A:$AU,MATCH($C27,Paper!$AU:$AU,0),18)/'ACC &amp; Other Material '!$E$2*10^3,"")</f>
        <v/>
      </c>
      <c r="H27" s="3599"/>
      <c r="I27" s="3153" t="str">
        <f ca="1">IFERROR(INDEX(Paper!$A:$AU,MATCH($C27,Paper!$AU:$AU,0),20),"")</f>
        <v/>
      </c>
      <c r="J27" s="3143" t="str">
        <f ca="1">IFERROR(INDEX(Paper!$A:$AU,MATCH($C27,Paper!$AU:$AU,0),20),"")</f>
        <v/>
      </c>
    </row>
    <row r="28" spans="2:10" ht="21.75">
      <c r="B28" s="3143" t="s">
        <v>3650</v>
      </c>
      <c r="C28" s="3143">
        <f t="shared" si="0"/>
        <v>26</v>
      </c>
      <c r="D28" s="3143" t="str">
        <f ca="1">IFERROR(INDEX(Paper!$A:$AU,MATCH($C28,Paper!$AU:$AU,0),1),"")</f>
        <v/>
      </c>
      <c r="E28" s="3143" t="str">
        <f ca="1">IFERROR(INDEX(Paper!$A:$AU,MATCH($C28,Paper!$AU:$AU,0),3),"")</f>
        <v/>
      </c>
      <c r="F28" s="3143" t="s">
        <v>3651</v>
      </c>
      <c r="G28" s="3599" t="str">
        <f ca="1">IFERROR(INDEX(Paper!$A:$AU,MATCH($C28,Paper!$AU:$AU,0),18)/'ACC &amp; Other Material '!$E$2*10^3,"")</f>
        <v/>
      </c>
      <c r="H28" s="3599"/>
      <c r="I28" s="3153" t="str">
        <f ca="1">IFERROR(INDEX(Paper!$A:$AU,MATCH($C28,Paper!$AU:$AU,0),20),"")</f>
        <v/>
      </c>
      <c r="J28" s="3143" t="str">
        <f ca="1">IFERROR(INDEX(Paper!$A:$AU,MATCH($C28,Paper!$AU:$AU,0),20),"")</f>
        <v/>
      </c>
    </row>
    <row r="29" spans="2:10" ht="21.75">
      <c r="B29" s="3143" t="s">
        <v>3650</v>
      </c>
      <c r="C29" s="3143">
        <f t="shared" si="0"/>
        <v>27</v>
      </c>
      <c r="D29" s="3143" t="str">
        <f ca="1">IFERROR(INDEX(Paper!$A:$AU,MATCH($C29,Paper!$AU:$AU,0),1),"")</f>
        <v/>
      </c>
      <c r="E29" s="3143" t="str">
        <f ca="1">IFERROR(INDEX(Paper!$A:$AU,MATCH($C29,Paper!$AU:$AU,0),3),"")</f>
        <v/>
      </c>
      <c r="F29" s="3143" t="s">
        <v>3651</v>
      </c>
      <c r="G29" s="3599" t="str">
        <f ca="1">IFERROR(INDEX(Paper!$A:$AU,MATCH($C29,Paper!$AU:$AU,0),18)/'ACC &amp; Other Material '!$E$2*10^3,"")</f>
        <v/>
      </c>
      <c r="H29" s="3599"/>
      <c r="I29" s="3153" t="str">
        <f ca="1">IFERROR(INDEX(Paper!$A:$AU,MATCH($C29,Paper!$AU:$AU,0),20),"")</f>
        <v/>
      </c>
      <c r="J29" s="3143" t="str">
        <f ca="1">IFERROR(INDEX(Paper!$A:$AU,MATCH($C29,Paper!$AU:$AU,0),20),"")</f>
        <v/>
      </c>
    </row>
    <row r="30" spans="2:10" ht="21.75">
      <c r="B30" s="3143" t="s">
        <v>3650</v>
      </c>
      <c r="C30" s="3143">
        <f t="shared" si="0"/>
        <v>28</v>
      </c>
      <c r="D30" s="3143" t="str">
        <f ca="1">IFERROR(INDEX(Paper!$A:$AU,MATCH($C30,Paper!$AU:$AU,0),1),"")</f>
        <v/>
      </c>
      <c r="E30" s="3143" t="str">
        <f ca="1">IFERROR(INDEX(Paper!$A:$AU,MATCH($C30,Paper!$AU:$AU,0),3),"")</f>
        <v/>
      </c>
      <c r="F30" s="3143" t="s">
        <v>3651</v>
      </c>
      <c r="G30" s="3599" t="str">
        <f ca="1">IFERROR(INDEX(Paper!$A:$AU,MATCH($C30,Paper!$AU:$AU,0),18)/'ACC &amp; Other Material '!$E$2*10^3,"")</f>
        <v/>
      </c>
      <c r="H30" s="3599"/>
      <c r="I30" s="3153" t="str">
        <f ca="1">IFERROR(INDEX(Paper!$A:$AU,MATCH($C30,Paper!$AU:$AU,0),20),"")</f>
        <v/>
      </c>
      <c r="J30" s="3143" t="str">
        <f ca="1">IFERROR(INDEX(Paper!$A:$AU,MATCH($C30,Paper!$AU:$AU,0),20),"")</f>
        <v/>
      </c>
    </row>
    <row r="31" spans="2:10" ht="21.75">
      <c r="B31" s="3143" t="s">
        <v>3650</v>
      </c>
      <c r="C31" s="3143">
        <f t="shared" si="0"/>
        <v>29</v>
      </c>
      <c r="D31" s="3143" t="str">
        <f ca="1">IFERROR(INDEX(Paper!$A:$AU,MATCH($C31,Paper!$AU:$AU,0),1),"")</f>
        <v/>
      </c>
      <c r="E31" s="3143" t="str">
        <f ca="1">IFERROR(INDEX(Paper!$A:$AU,MATCH($C31,Paper!$AU:$AU,0),3),"")</f>
        <v/>
      </c>
      <c r="F31" s="3143" t="s">
        <v>3651</v>
      </c>
      <c r="G31" s="3599" t="str">
        <f ca="1">IFERROR(INDEX(Paper!$A:$AU,MATCH($C31,Paper!$AU:$AU,0),18)/'ACC &amp; Other Material '!$E$2*10^3,"")</f>
        <v/>
      </c>
      <c r="H31" s="3599"/>
      <c r="I31" s="3153" t="str">
        <f ca="1">IFERROR(INDEX(Paper!$A:$AU,MATCH($C31,Paper!$AU:$AU,0),20),"")</f>
        <v/>
      </c>
      <c r="J31" s="3143" t="str">
        <f ca="1">IFERROR(INDEX(Paper!$A:$AU,MATCH($C31,Paper!$AU:$AU,0),20),"")</f>
        <v/>
      </c>
    </row>
    <row r="32" spans="2:10" ht="21.75">
      <c r="B32" s="3143" t="s">
        <v>3650</v>
      </c>
      <c r="C32" s="3143">
        <f t="shared" si="0"/>
        <v>30</v>
      </c>
      <c r="D32" s="3143" t="str">
        <f ca="1">IFERROR(INDEX(Paper!$A:$AU,MATCH($C32,Paper!$AU:$AU,0),1),"")</f>
        <v/>
      </c>
      <c r="E32" s="3143" t="str">
        <f ca="1">IFERROR(INDEX(Paper!$A:$AU,MATCH($C32,Paper!$AU:$AU,0),3),"")</f>
        <v/>
      </c>
      <c r="F32" s="3143" t="s">
        <v>3651</v>
      </c>
      <c r="G32" s="3599" t="str">
        <f ca="1">IFERROR(INDEX(Paper!$A:$AU,MATCH($C32,Paper!$AU:$AU,0),18)/'ACC &amp; Other Material '!$E$2*10^3,"")</f>
        <v/>
      </c>
      <c r="H32" s="3599"/>
      <c r="I32" s="3153" t="str">
        <f ca="1">IFERROR(INDEX(Paper!$A:$AU,MATCH($C32,Paper!$AU:$AU,0),20),"")</f>
        <v/>
      </c>
      <c r="J32" s="3143" t="str">
        <f ca="1">IFERROR(INDEX(Paper!$A:$AU,MATCH($C32,Paper!$AU:$AU,0),20),"")</f>
        <v/>
      </c>
    </row>
    <row r="33" spans="2:10" ht="21.75">
      <c r="B33" s="3143" t="s">
        <v>3650</v>
      </c>
      <c r="C33" s="3143">
        <f t="shared" si="0"/>
        <v>31</v>
      </c>
      <c r="D33" s="3143" t="str">
        <f ca="1">IFERROR(INDEX(Paper!$A:$AU,MATCH($C33,Paper!$AU:$AU,0),1),"")</f>
        <v/>
      </c>
      <c r="E33" s="3143" t="str">
        <f ca="1">IFERROR(INDEX(Paper!$A:$AU,MATCH($C33,Paper!$AU:$AU,0),3),"")</f>
        <v/>
      </c>
      <c r="F33" s="3143" t="s">
        <v>3651</v>
      </c>
      <c r="G33" s="3599" t="str">
        <f ca="1">IFERROR(INDEX(Paper!$A:$AU,MATCH($C33,Paper!$AU:$AU,0),18)/'ACC &amp; Other Material '!$E$2*10^3,"")</f>
        <v/>
      </c>
      <c r="H33" s="3599"/>
      <c r="I33" s="3153" t="str">
        <f ca="1">IFERROR(INDEX(Paper!$A:$AU,MATCH($C33,Paper!$AU:$AU,0),20),"")</f>
        <v/>
      </c>
      <c r="J33" s="3143" t="str">
        <f ca="1">IFERROR(INDEX(Paper!$A:$AU,MATCH($C33,Paper!$AU:$AU,0),20),"")</f>
        <v/>
      </c>
    </row>
    <row r="34" spans="2:10" ht="21.75">
      <c r="B34" s="3143" t="s">
        <v>3650</v>
      </c>
      <c r="C34" s="3143">
        <f t="shared" si="0"/>
        <v>32</v>
      </c>
      <c r="D34" s="3143" t="str">
        <f ca="1">IFERROR(INDEX(Paper!$A:$AU,MATCH($C34,Paper!$AU:$AU,0),1),"")</f>
        <v/>
      </c>
      <c r="E34" s="3143" t="str">
        <f ca="1">IFERROR(INDEX(Paper!$A:$AU,MATCH($C34,Paper!$AU:$AU,0),3),"")</f>
        <v/>
      </c>
      <c r="F34" s="3143" t="s">
        <v>3651</v>
      </c>
      <c r="G34" s="3599" t="str">
        <f ca="1">IFERROR(INDEX(Paper!$A:$AU,MATCH($C34,Paper!$AU:$AU,0),18)/'ACC &amp; Other Material '!$E$2*10^3,"")</f>
        <v/>
      </c>
      <c r="H34" s="3599"/>
      <c r="I34" s="3153" t="str">
        <f ca="1">IFERROR(INDEX(Paper!$A:$AU,MATCH($C34,Paper!$AU:$AU,0),20),"")</f>
        <v/>
      </c>
      <c r="J34" s="3143" t="str">
        <f ca="1">IFERROR(INDEX(Paper!$A:$AU,MATCH($C34,Paper!$AU:$AU,0),20),"")</f>
        <v/>
      </c>
    </row>
    <row r="35" spans="2:10" ht="21.75">
      <c r="B35" s="3143" t="s">
        <v>3650</v>
      </c>
      <c r="C35" s="3143">
        <f t="shared" si="0"/>
        <v>33</v>
      </c>
      <c r="D35" s="3143" t="str">
        <f ca="1">IFERROR(INDEX(Paper!$A:$AU,MATCH($C35,Paper!$AU:$AU,0),1),"")</f>
        <v/>
      </c>
      <c r="E35" s="3143" t="str">
        <f ca="1">IFERROR(INDEX(Paper!$A:$AU,MATCH($C35,Paper!$AU:$AU,0),3),"")</f>
        <v/>
      </c>
      <c r="F35" s="3143" t="s">
        <v>3651</v>
      </c>
      <c r="G35" s="3599" t="str">
        <f ca="1">IFERROR(INDEX(Paper!$A:$AU,MATCH($C35,Paper!$AU:$AU,0),18)/'ACC &amp; Other Material '!$E$2*10^3,"")</f>
        <v/>
      </c>
      <c r="H35" s="3599"/>
      <c r="I35" s="3153" t="str">
        <f ca="1">IFERROR(INDEX(Paper!$A:$AU,MATCH($C35,Paper!$AU:$AU,0),20),"")</f>
        <v/>
      </c>
      <c r="J35" s="3143" t="str">
        <f ca="1">IFERROR(INDEX(Paper!$A:$AU,MATCH($C35,Paper!$AU:$AU,0),20),"")</f>
        <v/>
      </c>
    </row>
    <row r="36" spans="2:10" ht="21.75">
      <c r="B36" s="3143" t="s">
        <v>3650</v>
      </c>
      <c r="C36" s="3143">
        <f t="shared" si="0"/>
        <v>34</v>
      </c>
      <c r="D36" s="3143" t="str">
        <f ca="1">IFERROR(INDEX(Paper!$A:$AU,MATCH($C36,Paper!$AU:$AU,0),1),"")</f>
        <v/>
      </c>
      <c r="E36" s="3143" t="str">
        <f ca="1">IFERROR(INDEX(Paper!$A:$AU,MATCH($C36,Paper!$AU:$AU,0),3),"")</f>
        <v/>
      </c>
      <c r="F36" s="3143" t="s">
        <v>3651</v>
      </c>
      <c r="G36" s="3599" t="str">
        <f ca="1">IFERROR(INDEX(Paper!$A:$AU,MATCH($C36,Paper!$AU:$AU,0),18)/'ACC &amp; Other Material '!$E$2*10^3,"")</f>
        <v/>
      </c>
      <c r="H36" s="3599"/>
      <c r="I36" s="3153" t="str">
        <f ca="1">IFERROR(INDEX(Paper!$A:$AU,MATCH($C36,Paper!$AU:$AU,0),20),"")</f>
        <v/>
      </c>
      <c r="J36" s="3143" t="str">
        <f ca="1">IFERROR(INDEX(Paper!$A:$AU,MATCH($C36,Paper!$AU:$AU,0),20),"")</f>
        <v/>
      </c>
    </row>
    <row r="37" spans="2:10" ht="21.75">
      <c r="B37" s="3143" t="s">
        <v>3650</v>
      </c>
      <c r="C37" s="3143">
        <f t="shared" si="0"/>
        <v>35</v>
      </c>
      <c r="D37" s="3143" t="str">
        <f ca="1">IFERROR(INDEX(Paper!$A:$AU,MATCH($C37,Paper!$AU:$AU,0),1),"")</f>
        <v/>
      </c>
      <c r="E37" s="3143" t="str">
        <f ca="1">IFERROR(INDEX(Paper!$A:$AU,MATCH($C37,Paper!$AU:$AU,0),3),"")</f>
        <v/>
      </c>
      <c r="F37" s="3143" t="s">
        <v>3651</v>
      </c>
      <c r="G37" s="3599" t="str">
        <f ca="1">IFERROR(INDEX(Paper!$A:$AU,MATCH($C37,Paper!$AU:$AU,0),18)/'ACC &amp; Other Material '!$E$2*10^3,"")</f>
        <v/>
      </c>
      <c r="H37" s="3599"/>
      <c r="I37" s="3153" t="str">
        <f ca="1">IFERROR(INDEX(Paper!$A:$AU,MATCH($C37,Paper!$AU:$AU,0),20),"")</f>
        <v/>
      </c>
      <c r="J37" s="3143" t="str">
        <f ca="1">IFERROR(INDEX(Paper!$A:$AU,MATCH($C37,Paper!$AU:$AU,0),20),"")</f>
        <v/>
      </c>
    </row>
    <row r="38" spans="2:10" ht="21.75">
      <c r="B38" s="3143" t="s">
        <v>3650</v>
      </c>
      <c r="C38" s="3143">
        <f t="shared" si="0"/>
        <v>36</v>
      </c>
      <c r="D38" s="3143" t="str">
        <f ca="1">IFERROR(INDEX(Paper!$A:$AU,MATCH($C38,Paper!$AU:$AU,0),1),"")</f>
        <v/>
      </c>
      <c r="E38" s="3143" t="str">
        <f ca="1">IFERROR(INDEX(Paper!$A:$AU,MATCH($C38,Paper!$AU:$AU,0),3),"")</f>
        <v/>
      </c>
      <c r="F38" s="3143" t="s">
        <v>3651</v>
      </c>
      <c r="G38" s="3599" t="str">
        <f ca="1">IFERROR(INDEX(Paper!$A:$AU,MATCH($C38,Paper!$AU:$AU,0),18)/'ACC &amp; Other Material '!$E$2*10^3,"")</f>
        <v/>
      </c>
      <c r="H38" s="3599"/>
      <c r="I38" s="3153" t="str">
        <f ca="1">IFERROR(INDEX(Paper!$A:$AU,MATCH($C38,Paper!$AU:$AU,0),20),"")</f>
        <v/>
      </c>
      <c r="J38" s="3143" t="str">
        <f ca="1">IFERROR(INDEX(Paper!$A:$AU,MATCH($C38,Paper!$AU:$AU,0),20),"")</f>
        <v/>
      </c>
    </row>
    <row r="39" spans="2:10" ht="21.75">
      <c r="B39" s="3143" t="s">
        <v>3650</v>
      </c>
      <c r="C39" s="3143">
        <f t="shared" si="0"/>
        <v>37</v>
      </c>
      <c r="D39" s="3143" t="str">
        <f ca="1">IFERROR(INDEX(Paper!$A:$AU,MATCH($C39,Paper!$AU:$AU,0),1),"")</f>
        <v/>
      </c>
      <c r="E39" s="3143" t="str">
        <f ca="1">IFERROR(INDEX(Paper!$A:$AU,MATCH($C39,Paper!$AU:$AU,0),3),"")</f>
        <v/>
      </c>
      <c r="F39" s="3143" t="s">
        <v>3651</v>
      </c>
      <c r="G39" s="3599" t="str">
        <f ca="1">IFERROR(INDEX(Paper!$A:$AU,MATCH($C39,Paper!$AU:$AU,0),18)/'ACC &amp; Other Material '!$E$2*10^3,"")</f>
        <v/>
      </c>
      <c r="H39" s="3599"/>
      <c r="I39" s="3153" t="str">
        <f ca="1">IFERROR(INDEX(Paper!$A:$AU,MATCH($C39,Paper!$AU:$AU,0),20),"")</f>
        <v/>
      </c>
      <c r="J39" s="3143" t="str">
        <f ca="1">IFERROR(INDEX(Paper!$A:$AU,MATCH($C39,Paper!$AU:$AU,0),20),"")</f>
        <v/>
      </c>
    </row>
    <row r="40" spans="2:10" ht="21.75">
      <c r="B40" s="3143" t="s">
        <v>3650</v>
      </c>
      <c r="C40" s="3143">
        <f t="shared" si="0"/>
        <v>38</v>
      </c>
      <c r="D40" s="3143" t="str">
        <f ca="1">IFERROR(INDEX(Paper!$A:$AU,MATCH($C40,Paper!$AU:$AU,0),1),"")</f>
        <v/>
      </c>
      <c r="E40" s="3143" t="str">
        <f ca="1">IFERROR(INDEX(Paper!$A:$AU,MATCH($C40,Paper!$AU:$AU,0),3),"")</f>
        <v/>
      </c>
      <c r="F40" s="3143" t="s">
        <v>3651</v>
      </c>
      <c r="G40" s="3599" t="str">
        <f ca="1">IFERROR(INDEX(Paper!$A:$AU,MATCH($C40,Paper!$AU:$AU,0),18)/'ACC &amp; Other Material '!$E$2*10^3,"")</f>
        <v/>
      </c>
      <c r="H40" s="3599"/>
      <c r="I40" s="3153" t="str">
        <f ca="1">IFERROR(INDEX(Paper!$A:$AU,MATCH($C40,Paper!$AU:$AU,0),20),"")</f>
        <v/>
      </c>
      <c r="J40" s="3143" t="str">
        <f ca="1">IFERROR(INDEX(Paper!$A:$AU,MATCH($C40,Paper!$AU:$AU,0),20),"")</f>
        <v/>
      </c>
    </row>
    <row r="41" spans="2:10" ht="21.75">
      <c r="B41" s="3143" t="s">
        <v>3650</v>
      </c>
      <c r="C41" s="3143">
        <f t="shared" si="0"/>
        <v>39</v>
      </c>
      <c r="D41" s="3143" t="str">
        <f ca="1">IFERROR(INDEX(Paper!$A:$AU,MATCH($C41,Paper!$AU:$AU,0),1),"")</f>
        <v/>
      </c>
      <c r="E41" s="3143" t="str">
        <f ca="1">IFERROR(INDEX(Paper!$A:$AU,MATCH($C41,Paper!$AU:$AU,0),3),"")</f>
        <v/>
      </c>
      <c r="F41" s="3143" t="s">
        <v>3651</v>
      </c>
      <c r="G41" s="3599" t="str">
        <f ca="1">IFERROR(INDEX(Paper!$A:$AU,MATCH($C41,Paper!$AU:$AU,0),18)/'ACC &amp; Other Material '!$E$2*10^3,"")</f>
        <v/>
      </c>
      <c r="H41" s="3599"/>
      <c r="I41" s="3153" t="str">
        <f ca="1">IFERROR(INDEX(Paper!$A:$AU,MATCH($C41,Paper!$AU:$AU,0),20),"")</f>
        <v/>
      </c>
      <c r="J41" s="3143" t="str">
        <f ca="1">IFERROR(INDEX(Paper!$A:$AU,MATCH($C41,Paper!$AU:$AU,0),20),"")</f>
        <v/>
      </c>
    </row>
    <row r="42" spans="2:10" ht="21.75">
      <c r="B42" s="3143" t="s">
        <v>3650</v>
      </c>
      <c r="C42" s="3143">
        <f t="shared" si="0"/>
        <v>40</v>
      </c>
      <c r="D42" s="3143" t="str">
        <f ca="1">IFERROR(INDEX(Paper!$A:$AU,MATCH($C42,Paper!$AU:$AU,0),1),"")</f>
        <v/>
      </c>
      <c r="E42" s="3143" t="str">
        <f ca="1">IFERROR(INDEX(Paper!$A:$AU,MATCH($C42,Paper!$AU:$AU,0),3),"")</f>
        <v/>
      </c>
      <c r="F42" s="3143" t="s">
        <v>3651</v>
      </c>
      <c r="G42" s="3599" t="str">
        <f ca="1">IFERROR(INDEX(Paper!$A:$AU,MATCH($C42,Paper!$AU:$AU,0),18)/'ACC &amp; Other Material '!$E$2*10^3,"")</f>
        <v/>
      </c>
      <c r="H42" s="3599"/>
      <c r="I42" s="3153" t="str">
        <f ca="1">IFERROR(INDEX(Paper!$A:$AU,MATCH($C42,Paper!$AU:$AU,0),20),"")</f>
        <v/>
      </c>
      <c r="J42" s="3143" t="str">
        <f ca="1">IFERROR(INDEX(Paper!$A:$AU,MATCH($C42,Paper!$AU:$AU,0),20),"")</f>
        <v/>
      </c>
    </row>
    <row r="43" spans="2:10" ht="21.75">
      <c r="B43" s="3143" t="s">
        <v>3650</v>
      </c>
      <c r="C43" s="3143">
        <f t="shared" si="0"/>
        <v>41</v>
      </c>
      <c r="D43" s="3143" t="str">
        <f ca="1">IFERROR(INDEX(Paper!$A:$AU,MATCH($C43,Paper!$AU:$AU,0),1),"")</f>
        <v/>
      </c>
      <c r="E43" s="3143" t="str">
        <f ca="1">IFERROR(INDEX(Paper!$A:$AU,MATCH($C43,Paper!$AU:$AU,0),3),"")</f>
        <v/>
      </c>
      <c r="F43" s="3143" t="s">
        <v>3651</v>
      </c>
      <c r="G43" s="3599" t="str">
        <f ca="1">IFERROR(INDEX(Paper!$A:$AU,MATCH($C43,Paper!$AU:$AU,0),18)/'ACC &amp; Other Material '!$E$2*10^3,"")</f>
        <v/>
      </c>
      <c r="H43" s="3599"/>
      <c r="I43" s="3153" t="str">
        <f ca="1">IFERROR(INDEX(Paper!$A:$AU,MATCH($C43,Paper!$AU:$AU,0),20),"")</f>
        <v/>
      </c>
      <c r="J43" s="3143" t="str">
        <f ca="1">IFERROR(INDEX(Paper!$A:$AU,MATCH($C43,Paper!$AU:$AU,0),20),"")</f>
        <v/>
      </c>
    </row>
    <row r="44" spans="2:10" ht="21.75">
      <c r="B44" s="3143" t="s">
        <v>3650</v>
      </c>
      <c r="C44" s="3143">
        <f t="shared" si="0"/>
        <v>42</v>
      </c>
      <c r="D44" s="3143" t="str">
        <f ca="1">IFERROR(INDEX(Paper!$A:$AU,MATCH($C44,Paper!$AU:$AU,0),1),"")</f>
        <v/>
      </c>
      <c r="E44" s="3143" t="str">
        <f ca="1">IFERROR(INDEX(Paper!$A:$AU,MATCH($C44,Paper!$AU:$AU,0),3),"")</f>
        <v/>
      </c>
      <c r="F44" s="3143" t="s">
        <v>3651</v>
      </c>
      <c r="G44" s="3599" t="str">
        <f ca="1">IFERROR(INDEX(Paper!$A:$AU,MATCH($C44,Paper!$AU:$AU,0),18)/'ACC &amp; Other Material '!$E$2*10^3,"")</f>
        <v/>
      </c>
      <c r="H44" s="3599"/>
      <c r="I44" s="3153" t="str">
        <f ca="1">IFERROR(INDEX(Paper!$A:$AU,MATCH($C44,Paper!$AU:$AU,0),20),"")</f>
        <v/>
      </c>
      <c r="J44" s="3143" t="str">
        <f ca="1">IFERROR(INDEX(Paper!$A:$AU,MATCH($C44,Paper!$AU:$AU,0),20),"")</f>
        <v/>
      </c>
    </row>
    <row r="45" spans="2:10" ht="21.75">
      <c r="B45" s="3143" t="s">
        <v>3650</v>
      </c>
      <c r="C45" s="3143">
        <f t="shared" si="0"/>
        <v>43</v>
      </c>
      <c r="D45" s="3143" t="str">
        <f ca="1">IFERROR(INDEX(Paper!$A:$AU,MATCH($C45,Paper!$AU:$AU,0),1),"")</f>
        <v/>
      </c>
      <c r="E45" s="3143" t="str">
        <f ca="1">IFERROR(INDEX(Paper!$A:$AU,MATCH($C45,Paper!$AU:$AU,0),3),"")</f>
        <v/>
      </c>
      <c r="F45" s="3143" t="s">
        <v>3651</v>
      </c>
      <c r="G45" s="3599" t="str">
        <f ca="1">IFERROR(INDEX(Paper!$A:$AU,MATCH($C45,Paper!$AU:$AU,0),18)/'ACC &amp; Other Material '!$E$2*10^3,"")</f>
        <v/>
      </c>
      <c r="H45" s="3599"/>
      <c r="I45" s="3153" t="str">
        <f ca="1">IFERROR(INDEX(Paper!$A:$AU,MATCH($C45,Paper!$AU:$AU,0),20),"")</f>
        <v/>
      </c>
      <c r="J45" s="3143" t="str">
        <f ca="1">IFERROR(INDEX(Paper!$A:$AU,MATCH($C45,Paper!$AU:$AU,0),20),"")</f>
        <v/>
      </c>
    </row>
    <row r="46" spans="2:10" ht="21.75">
      <c r="B46" s="3143" t="s">
        <v>3650</v>
      </c>
      <c r="C46" s="3143">
        <f t="shared" si="0"/>
        <v>44</v>
      </c>
      <c r="D46" s="3143" t="str">
        <f ca="1">IFERROR(INDEX(Paper!$A:$AU,MATCH($C46,Paper!$AU:$AU,0),1),"")</f>
        <v/>
      </c>
      <c r="E46" s="3143" t="str">
        <f ca="1">IFERROR(INDEX(Paper!$A:$AU,MATCH($C46,Paper!$AU:$AU,0),3),"")</f>
        <v/>
      </c>
      <c r="F46" s="3143" t="s">
        <v>3651</v>
      </c>
      <c r="G46" s="3599" t="str">
        <f ca="1">IFERROR(INDEX(Paper!$A:$AU,MATCH($C46,Paper!$AU:$AU,0),18)/'ACC &amp; Other Material '!$E$2*10^3,"")</f>
        <v/>
      </c>
      <c r="H46" s="3599"/>
      <c r="I46" s="3153" t="str">
        <f ca="1">IFERROR(INDEX(Paper!$A:$AU,MATCH($C46,Paper!$AU:$AU,0),20),"")</f>
        <v/>
      </c>
      <c r="J46" s="3143" t="str">
        <f ca="1">IFERROR(INDEX(Paper!$A:$AU,MATCH($C46,Paper!$AU:$AU,0),20),"")</f>
        <v/>
      </c>
    </row>
    <row r="47" spans="2:10" ht="21.75">
      <c r="B47" s="3143" t="s">
        <v>3650</v>
      </c>
      <c r="C47" s="3143">
        <f t="shared" si="0"/>
        <v>45</v>
      </c>
      <c r="D47" s="3143" t="str">
        <f ca="1">IFERROR(INDEX(Paper!$A:$AU,MATCH($C47,Paper!$AU:$AU,0),1),"")</f>
        <v/>
      </c>
      <c r="E47" s="3143" t="str">
        <f ca="1">IFERROR(INDEX(Paper!$A:$AU,MATCH($C47,Paper!$AU:$AU,0),3),"")</f>
        <v/>
      </c>
      <c r="F47" s="3143" t="s">
        <v>3651</v>
      </c>
      <c r="G47" s="3599" t="str">
        <f ca="1">IFERROR(INDEX(Paper!$A:$AU,MATCH($C47,Paper!$AU:$AU,0),18)/'ACC &amp; Other Material '!$E$2*10^3,"")</f>
        <v/>
      </c>
      <c r="H47" s="3599"/>
      <c r="I47" s="3153" t="str">
        <f ca="1">IFERROR(INDEX(Paper!$A:$AU,MATCH($C47,Paper!$AU:$AU,0),20),"")</f>
        <v/>
      </c>
      <c r="J47" s="3143" t="str">
        <f ca="1">IFERROR(INDEX(Paper!$A:$AU,MATCH($C47,Paper!$AU:$AU,0),20),"")</f>
        <v/>
      </c>
    </row>
    <row r="48" spans="2:10" ht="21.75">
      <c r="B48" s="3143" t="s">
        <v>3650</v>
      </c>
      <c r="C48" s="3143">
        <f t="shared" si="0"/>
        <v>46</v>
      </c>
      <c r="D48" s="3143" t="str">
        <f ca="1">IFERROR(INDEX(Paper!$A:$AU,MATCH($C48,Paper!$AU:$AU,0),1),"")</f>
        <v/>
      </c>
      <c r="E48" s="3143" t="str">
        <f ca="1">IFERROR(INDEX(Paper!$A:$AU,MATCH($C48,Paper!$AU:$AU,0),3),"")</f>
        <v/>
      </c>
      <c r="F48" s="3143" t="s">
        <v>3651</v>
      </c>
      <c r="G48" s="3599" t="str">
        <f ca="1">IFERROR(INDEX(Paper!$A:$AU,MATCH($C48,Paper!$AU:$AU,0),18)/'ACC &amp; Other Material '!$E$2*10^3,"")</f>
        <v/>
      </c>
      <c r="H48" s="3599"/>
      <c r="I48" s="3153" t="str">
        <f ca="1">IFERROR(INDEX(Paper!$A:$AU,MATCH($C48,Paper!$AU:$AU,0),20),"")</f>
        <v/>
      </c>
      <c r="J48" s="3143" t="str">
        <f ca="1">IFERROR(INDEX(Paper!$A:$AU,MATCH($C48,Paper!$AU:$AU,0),20),"")</f>
        <v/>
      </c>
    </row>
    <row r="49" spans="2:10" ht="21.75">
      <c r="B49" s="3143" t="s">
        <v>3650</v>
      </c>
      <c r="C49" s="3143">
        <f t="shared" si="0"/>
        <v>47</v>
      </c>
      <c r="D49" s="3143" t="str">
        <f ca="1">IFERROR(INDEX(Paper!$A:$AU,MATCH($C49,Paper!$AU:$AU,0),1),"")</f>
        <v/>
      </c>
      <c r="E49" s="3143" t="str">
        <f ca="1">IFERROR(INDEX(Paper!$A:$AU,MATCH($C49,Paper!$AU:$AU,0),3),"")</f>
        <v/>
      </c>
      <c r="F49" s="3143" t="s">
        <v>3651</v>
      </c>
      <c r="G49" s="3599" t="str">
        <f ca="1">IFERROR(INDEX(Paper!$A:$AU,MATCH($C49,Paper!$AU:$AU,0),18)/'ACC &amp; Other Material '!$E$2*10^3,"")</f>
        <v/>
      </c>
      <c r="H49" s="3599"/>
      <c r="I49" s="3153" t="str">
        <f ca="1">IFERROR(INDEX(Paper!$A:$AU,MATCH($C49,Paper!$AU:$AU,0),20),"")</f>
        <v/>
      </c>
      <c r="J49" s="3143" t="str">
        <f ca="1">IFERROR(INDEX(Paper!$A:$AU,MATCH($C49,Paper!$AU:$AU,0),20),"")</f>
        <v/>
      </c>
    </row>
    <row r="50" spans="2:10" ht="21.75">
      <c r="B50" s="3143" t="s">
        <v>3650</v>
      </c>
      <c r="C50" s="3143">
        <f t="shared" si="0"/>
        <v>48</v>
      </c>
      <c r="D50" s="3143" t="str">
        <f ca="1">IFERROR(INDEX(Paper!$A:$AU,MATCH($C50,Paper!$AU:$AU,0),1),"")</f>
        <v/>
      </c>
      <c r="E50" s="3143" t="str">
        <f ca="1">IFERROR(INDEX(Paper!$A:$AU,MATCH($C50,Paper!$AU:$AU,0),3),"")</f>
        <v/>
      </c>
      <c r="F50" s="3143" t="s">
        <v>3651</v>
      </c>
      <c r="G50" s="3599" t="str">
        <f ca="1">IFERROR(INDEX(Paper!$A:$AU,MATCH($C50,Paper!$AU:$AU,0),18)/'ACC &amp; Other Material '!$E$2*10^3,"")</f>
        <v/>
      </c>
      <c r="H50" s="3599"/>
      <c r="I50" s="3153" t="str">
        <f ca="1">IFERROR(INDEX(Paper!$A:$AU,MATCH($C50,Paper!$AU:$AU,0),20),"")</f>
        <v/>
      </c>
      <c r="J50" s="3143" t="str">
        <f ca="1">IFERROR(INDEX(Paper!$A:$AU,MATCH($C50,Paper!$AU:$AU,0),20),"")</f>
        <v/>
      </c>
    </row>
    <row r="51" spans="2:10" ht="21.75">
      <c r="B51" s="3143" t="s">
        <v>3650</v>
      </c>
      <c r="C51" s="3143">
        <f t="shared" si="0"/>
        <v>49</v>
      </c>
      <c r="D51" s="3143" t="str">
        <f ca="1">IFERROR(INDEX(Paper!$A:$AU,MATCH($C51,Paper!$AU:$AU,0),1),"")</f>
        <v/>
      </c>
      <c r="E51" s="3143" t="str">
        <f ca="1">IFERROR(INDEX(Paper!$A:$AU,MATCH($C51,Paper!$AU:$AU,0),3),"")</f>
        <v/>
      </c>
      <c r="F51" s="3143" t="s">
        <v>3651</v>
      </c>
      <c r="G51" s="3599" t="str">
        <f ca="1">IFERROR(INDEX(Paper!$A:$AU,MATCH($C51,Paper!$AU:$AU,0),18)/'ACC &amp; Other Material '!$E$2*10^3,"")</f>
        <v/>
      </c>
      <c r="H51" s="3599"/>
      <c r="I51" s="3153" t="str">
        <f ca="1">IFERROR(INDEX(Paper!$A:$AU,MATCH($C51,Paper!$AU:$AU,0),20),"")</f>
        <v/>
      </c>
      <c r="J51" s="3143" t="str">
        <f ca="1">IFERROR(INDEX(Paper!$A:$AU,MATCH($C51,Paper!$AU:$AU,0),20),"")</f>
        <v/>
      </c>
    </row>
    <row r="52" spans="2:10" ht="21.75">
      <c r="B52" s="3143" t="s">
        <v>3650</v>
      </c>
      <c r="C52" s="3143">
        <f t="shared" si="0"/>
        <v>50</v>
      </c>
      <c r="D52" s="3143" t="str">
        <f ca="1">IFERROR(INDEX(Paper!$A:$AU,MATCH($C52,Paper!$AU:$AU,0),1),"")</f>
        <v/>
      </c>
      <c r="E52" s="3143" t="str">
        <f ca="1">IFERROR(INDEX(Paper!$A:$AU,MATCH($C52,Paper!$AU:$AU,0),3),"")</f>
        <v/>
      </c>
      <c r="F52" s="3143" t="s">
        <v>3651</v>
      </c>
      <c r="G52" s="3599" t="str">
        <f ca="1">IFERROR(INDEX(Paper!$A:$AU,MATCH($C52,Paper!$AU:$AU,0),18)/'ACC &amp; Other Material '!$E$2*10^3,"")</f>
        <v/>
      </c>
      <c r="H52" s="3599"/>
      <c r="I52" s="3153" t="str">
        <f ca="1">IFERROR(INDEX(Paper!$A:$AU,MATCH($C52,Paper!$AU:$AU,0),20),"")</f>
        <v/>
      </c>
      <c r="J52" s="3143" t="str">
        <f ca="1">IFERROR(INDEX(Paper!$A:$AU,MATCH($C52,Paper!$AU:$AU,0),20),"")</f>
        <v/>
      </c>
    </row>
    <row r="53" spans="2:10" ht="21.75">
      <c r="B53" s="3143" t="s">
        <v>3650</v>
      </c>
      <c r="C53" s="3143">
        <f t="shared" si="0"/>
        <v>51</v>
      </c>
      <c r="D53" s="3143" t="str">
        <f ca="1">IFERROR(INDEX(Paper!$A:$AU,MATCH($C53,Paper!$AU:$AU,0),1),"")</f>
        <v/>
      </c>
      <c r="E53" s="3143" t="str">
        <f ca="1">IFERROR(INDEX(Paper!$A:$AU,MATCH($C53,Paper!$AU:$AU,0),3),"")</f>
        <v/>
      </c>
      <c r="F53" s="3143" t="s">
        <v>3651</v>
      </c>
      <c r="G53" s="3599" t="str">
        <f ca="1">IFERROR(INDEX(Paper!$A:$AU,MATCH($C53,Paper!$AU:$AU,0),18)/'ACC &amp; Other Material '!$E$2*10^3,"")</f>
        <v/>
      </c>
      <c r="H53" s="3599"/>
      <c r="I53" s="3153" t="str">
        <f ca="1">IFERROR(INDEX(Paper!$A:$AU,MATCH($C53,Paper!$AU:$AU,0),20),"")</f>
        <v/>
      </c>
      <c r="J53" s="3143" t="str">
        <f ca="1">IFERROR(INDEX(Paper!$A:$AU,MATCH($C53,Paper!$AU:$AU,0),20),"")</f>
        <v/>
      </c>
    </row>
    <row r="54" spans="2:10" ht="21.75">
      <c r="B54" s="3143" t="s">
        <v>3650</v>
      </c>
      <c r="C54" s="3143">
        <f t="shared" si="0"/>
        <v>52</v>
      </c>
      <c r="D54" s="3143" t="str">
        <f ca="1">IFERROR(INDEX(Paper!$A:$AU,MATCH($C54,Paper!$AU:$AU,0),1),"")</f>
        <v/>
      </c>
      <c r="E54" s="3143" t="str">
        <f ca="1">IFERROR(INDEX(Paper!$A:$AU,MATCH($C54,Paper!$AU:$AU,0),3),"")</f>
        <v/>
      </c>
      <c r="F54" s="3143" t="s">
        <v>3651</v>
      </c>
      <c r="G54" s="3599" t="str">
        <f ca="1">IFERROR(INDEX(Paper!$A:$AU,MATCH($C54,Paper!$AU:$AU,0),18)/'ACC &amp; Other Material '!$E$2*10^3,"")</f>
        <v/>
      </c>
      <c r="H54" s="3599"/>
      <c r="I54" s="3153" t="str">
        <f ca="1">IFERROR(INDEX(Paper!$A:$AU,MATCH($C54,Paper!$AU:$AU,0),20),"")</f>
        <v/>
      </c>
      <c r="J54" s="3143" t="str">
        <f ca="1">IFERROR(INDEX(Paper!$A:$AU,MATCH($C54,Paper!$AU:$AU,0),20),"")</f>
        <v/>
      </c>
    </row>
    <row r="55" spans="2:10" ht="21.75">
      <c r="B55" s="3143" t="s">
        <v>3650</v>
      </c>
      <c r="C55" s="3143">
        <f t="shared" si="0"/>
        <v>53</v>
      </c>
      <c r="D55" s="3143" t="str">
        <f ca="1">IFERROR(INDEX(Paper!$A:$AU,MATCH($C55,Paper!$AU:$AU,0),1),"")</f>
        <v/>
      </c>
      <c r="E55" s="3143" t="str">
        <f ca="1">IFERROR(INDEX(Paper!$A:$AU,MATCH($C55,Paper!$AU:$AU,0),3),"")</f>
        <v/>
      </c>
      <c r="F55" s="3143" t="s">
        <v>3651</v>
      </c>
      <c r="G55" s="3599" t="str">
        <f ca="1">IFERROR(INDEX(Paper!$A:$AU,MATCH($C55,Paper!$AU:$AU,0),18)/'ACC &amp; Other Material '!$E$2*10^3,"")</f>
        <v/>
      </c>
      <c r="H55" s="3599"/>
      <c r="I55" s="3153" t="str">
        <f ca="1">IFERROR(INDEX(Paper!$A:$AU,MATCH($C55,Paper!$AU:$AU,0),20),"")</f>
        <v/>
      </c>
      <c r="J55" s="3143" t="str">
        <f ca="1">IFERROR(INDEX(Paper!$A:$AU,MATCH($C55,Paper!$AU:$AU,0),20),"")</f>
        <v/>
      </c>
    </row>
    <row r="56" spans="2:10" ht="21.75">
      <c r="B56" s="3143" t="s">
        <v>3650</v>
      </c>
      <c r="C56" s="3143">
        <f t="shared" si="0"/>
        <v>54</v>
      </c>
      <c r="D56" s="3143" t="str">
        <f ca="1">IFERROR(INDEX(Paper!$A:$AU,MATCH($C56,Paper!$AU:$AU,0),1),"")</f>
        <v/>
      </c>
      <c r="E56" s="3143" t="str">
        <f ca="1">IFERROR(INDEX(Paper!$A:$AU,MATCH($C56,Paper!$AU:$AU,0),3),"")</f>
        <v/>
      </c>
      <c r="F56" s="3143" t="s">
        <v>3651</v>
      </c>
      <c r="G56" s="3599" t="str">
        <f ca="1">IFERROR(INDEX(Paper!$A:$AU,MATCH($C56,Paper!$AU:$AU,0),18)/'ACC &amp; Other Material '!$E$2*10^3,"")</f>
        <v/>
      </c>
      <c r="H56" s="3599"/>
      <c r="I56" s="3153" t="str">
        <f ca="1">IFERROR(INDEX(Paper!$A:$AU,MATCH($C56,Paper!$AU:$AU,0),20),"")</f>
        <v/>
      </c>
      <c r="J56" s="3143" t="str">
        <f ca="1">IFERROR(INDEX(Paper!$A:$AU,MATCH($C56,Paper!$AU:$AU,0),20),"")</f>
        <v/>
      </c>
    </row>
    <row r="57" spans="2:10" ht="21.75">
      <c r="B57" s="3143" t="s">
        <v>3650</v>
      </c>
      <c r="C57" s="3143">
        <f t="shared" si="0"/>
        <v>55</v>
      </c>
      <c r="D57" s="3143" t="str">
        <f ca="1">IFERROR(INDEX(Paper!$A:$AU,MATCH($C57,Paper!$AU:$AU,0),1),"")</f>
        <v/>
      </c>
      <c r="E57" s="3143" t="str">
        <f ca="1">IFERROR(INDEX(Paper!$A:$AU,MATCH($C57,Paper!$AU:$AU,0),3),"")</f>
        <v/>
      </c>
      <c r="F57" s="3143" t="s">
        <v>3651</v>
      </c>
      <c r="G57" s="3599" t="str">
        <f ca="1">IFERROR(INDEX(Paper!$A:$AU,MATCH($C57,Paper!$AU:$AU,0),18)/'ACC &amp; Other Material '!$E$2*10^3,"")</f>
        <v/>
      </c>
      <c r="H57" s="3599"/>
      <c r="I57" s="3153" t="str">
        <f ca="1">IFERROR(INDEX(Paper!$A:$AU,MATCH($C57,Paper!$AU:$AU,0),20),"")</f>
        <v/>
      </c>
      <c r="J57" s="3143" t="str">
        <f ca="1">IFERROR(INDEX(Paper!$A:$AU,MATCH($C57,Paper!$AU:$AU,0),20),"")</f>
        <v/>
      </c>
    </row>
    <row r="58" spans="2:10" ht="21.75">
      <c r="B58" s="3143" t="s">
        <v>3650</v>
      </c>
      <c r="C58" s="3143">
        <f t="shared" si="0"/>
        <v>56</v>
      </c>
      <c r="D58" s="3143" t="str">
        <f ca="1">IFERROR(INDEX(Paper!$A:$AU,MATCH($C58,Paper!$AU:$AU,0),1),"")</f>
        <v/>
      </c>
      <c r="E58" s="3143" t="str">
        <f ca="1">IFERROR(INDEX(Paper!$A:$AU,MATCH($C58,Paper!$AU:$AU,0),3),"")</f>
        <v/>
      </c>
      <c r="F58" s="3143" t="s">
        <v>3651</v>
      </c>
      <c r="G58" s="3599" t="str">
        <f ca="1">IFERROR(INDEX(Paper!$A:$AU,MATCH($C58,Paper!$AU:$AU,0),18)/'ACC &amp; Other Material '!$E$2*10^3,"")</f>
        <v/>
      </c>
      <c r="H58" s="3599"/>
      <c r="I58" s="3153" t="str">
        <f ca="1">IFERROR(INDEX(Paper!$A:$AU,MATCH($C58,Paper!$AU:$AU,0),20),"")</f>
        <v/>
      </c>
      <c r="J58" s="3143" t="str">
        <f ca="1">IFERROR(INDEX(Paper!$A:$AU,MATCH($C58,Paper!$AU:$AU,0),20),"")</f>
        <v/>
      </c>
    </row>
    <row r="59" spans="2:10" ht="21.75">
      <c r="B59" s="3143" t="s">
        <v>3650</v>
      </c>
      <c r="C59" s="3143">
        <f t="shared" si="0"/>
        <v>57</v>
      </c>
      <c r="D59" s="3143" t="str">
        <f ca="1">IFERROR(INDEX(Paper!$A:$AU,MATCH($C59,Paper!$AU:$AU,0),1),"")</f>
        <v/>
      </c>
      <c r="E59" s="3143" t="str">
        <f ca="1">IFERROR(INDEX(Paper!$A:$AU,MATCH($C59,Paper!$AU:$AU,0),3),"")</f>
        <v/>
      </c>
      <c r="F59" s="3143" t="s">
        <v>3651</v>
      </c>
      <c r="G59" s="3599" t="str">
        <f ca="1">IFERROR(INDEX(Paper!$A:$AU,MATCH($C59,Paper!$AU:$AU,0),18)/'ACC &amp; Other Material '!$E$2*10^3,"")</f>
        <v/>
      </c>
      <c r="H59" s="3599"/>
      <c r="I59" s="3153" t="str">
        <f ca="1">IFERROR(INDEX(Paper!$A:$AU,MATCH($C59,Paper!$AU:$AU,0),20),"")</f>
        <v/>
      </c>
      <c r="J59" s="3143" t="str">
        <f ca="1">IFERROR(INDEX(Paper!$A:$AU,MATCH($C59,Paper!$AU:$AU,0),20),"")</f>
        <v/>
      </c>
    </row>
    <row r="60" spans="2:10" ht="21.75">
      <c r="B60" s="3143" t="s">
        <v>3650</v>
      </c>
      <c r="C60" s="3143">
        <f t="shared" si="0"/>
        <v>58</v>
      </c>
      <c r="D60" s="3143" t="str">
        <f ca="1">IFERROR(INDEX(Paper!$A:$AU,MATCH($C60,Paper!$AU:$AU,0),1),"")</f>
        <v/>
      </c>
      <c r="E60" s="3143" t="str">
        <f ca="1">IFERROR(INDEX(Paper!$A:$AU,MATCH($C60,Paper!$AU:$AU,0),3),"")</f>
        <v/>
      </c>
      <c r="F60" s="3143" t="s">
        <v>3651</v>
      </c>
      <c r="G60" s="3599" t="str">
        <f ca="1">IFERROR(INDEX(Paper!$A:$AU,MATCH($C60,Paper!$AU:$AU,0),18)/'ACC &amp; Other Material '!$E$2*10^3,"")</f>
        <v/>
      </c>
      <c r="H60" s="3599"/>
      <c r="I60" s="3153" t="str">
        <f ca="1">IFERROR(INDEX(Paper!$A:$AU,MATCH($C60,Paper!$AU:$AU,0),20),"")</f>
        <v/>
      </c>
      <c r="J60" s="3143" t="str">
        <f ca="1">IFERROR(INDEX(Paper!$A:$AU,MATCH($C60,Paper!$AU:$AU,0),20),"")</f>
        <v/>
      </c>
    </row>
    <row r="61" spans="2:10" ht="21.75">
      <c r="B61" s="3143" t="s">
        <v>3650</v>
      </c>
      <c r="C61" s="3143">
        <f t="shared" si="0"/>
        <v>59</v>
      </c>
      <c r="D61" s="3143" t="str">
        <f ca="1">IFERROR(INDEX(Paper!$A:$AU,MATCH($C61,Paper!$AU:$AU,0),1),"")</f>
        <v/>
      </c>
      <c r="E61" s="3143" t="str">
        <f ca="1">IFERROR(INDEX(Paper!$A:$AU,MATCH($C61,Paper!$AU:$AU,0),3),"")</f>
        <v/>
      </c>
      <c r="F61" s="3143" t="s">
        <v>3651</v>
      </c>
      <c r="G61" s="3599" t="str">
        <f ca="1">IFERROR(INDEX(Paper!$A:$AU,MATCH($C61,Paper!$AU:$AU,0),18)/'ACC &amp; Other Material '!$E$2*10^3,"")</f>
        <v/>
      </c>
      <c r="H61" s="3599"/>
      <c r="I61" s="3153" t="str">
        <f ca="1">IFERROR(INDEX(Paper!$A:$AU,MATCH($C61,Paper!$AU:$AU,0),20),"")</f>
        <v/>
      </c>
      <c r="J61" s="3143" t="str">
        <f ca="1">IFERROR(INDEX(Paper!$A:$AU,MATCH($C61,Paper!$AU:$AU,0),20),"")</f>
        <v/>
      </c>
    </row>
    <row r="62" spans="2:10" ht="21.75">
      <c r="B62" s="3143" t="s">
        <v>3650</v>
      </c>
      <c r="C62" s="3143">
        <f t="shared" si="0"/>
        <v>60</v>
      </c>
      <c r="D62" s="3143" t="str">
        <f ca="1">IFERROR(INDEX(Paper!$A:$AU,MATCH($C62,Paper!$AU:$AU,0),1),"")</f>
        <v/>
      </c>
      <c r="E62" s="3143" t="str">
        <f ca="1">IFERROR(INDEX(Paper!$A:$AU,MATCH($C62,Paper!$AU:$AU,0),3),"")</f>
        <v/>
      </c>
      <c r="F62" s="3143" t="s">
        <v>3651</v>
      </c>
      <c r="G62" s="3599" t="str">
        <f ca="1">IFERROR(INDEX(Paper!$A:$AU,MATCH($C62,Paper!$AU:$AU,0),18)/'ACC &amp; Other Material '!$E$2*10^3,"")</f>
        <v/>
      </c>
      <c r="H62" s="3599"/>
      <c r="I62" s="3153" t="str">
        <f ca="1">IFERROR(INDEX(Paper!$A:$AU,MATCH($C62,Paper!$AU:$AU,0),20),"")</f>
        <v/>
      </c>
      <c r="J62" s="3143" t="str">
        <f ca="1">IFERROR(INDEX(Paper!$A:$AU,MATCH($C62,Paper!$AU:$AU,0),20),"")</f>
        <v/>
      </c>
    </row>
    <row r="64" spans="2:10" ht="21.75">
      <c r="B64" s="3143" t="s">
        <v>213</v>
      </c>
      <c r="C64" s="3143">
        <v>1</v>
      </c>
      <c r="D64" s="3143" t="str">
        <f ca="1">IFERROR(INDEX(Ink!$A:$AU,MATCH($C64,Ink!$AU:$AU,0),1),"")</f>
        <v>Box</v>
      </c>
      <c r="E64" s="3143" t="str">
        <f ca="1">IFERROR(INDEX(Ink!$A:$AU,MATCH($C64,Ink!$AU:$AU,0),4),"")</f>
        <v>Black (60-914386-2.1200 Nutri-2 Proc Black ISO 2846-1)</v>
      </c>
      <c r="F64" s="3143" t="s">
        <v>3651</v>
      </c>
      <c r="G64" s="3599">
        <f ca="1">IFERROR(INDEX(Ink!$A:$AU,MATCH($C64,Ink!$AU:$AU,0),9)/'ACC &amp; Other Material '!$E$2*10^3,"")</f>
        <v>0.04</v>
      </c>
      <c r="H64" s="3599">
        <f ca="1">IFERROR(INDEX(Ink!$A:$AU,MATCH($C64,Ink!$AU:$AU,0),10)/'ACC &amp; Other Material '!$E$2*10^3,"")</f>
        <v>0.04</v>
      </c>
      <c r="I64" s="3153">
        <f ca="1">IFERROR(INDEX(Ink!$A:$AU,MATCH($C64,Ink!$AU:$AU,0),13),"")</f>
        <v>43.982399999999998</v>
      </c>
      <c r="J64" s="3153">
        <f ca="1">IFERROR(INDEX(Ink!$A:$AU,MATCH($C64,Ink!$AU:$AU,0),13)*(1+Ink!$M$5),"")</f>
        <v>43.982399999999998</v>
      </c>
    </row>
    <row r="65" spans="2:10" ht="21.75">
      <c r="B65" s="3143" t="s">
        <v>213</v>
      </c>
      <c r="C65" s="3143">
        <f>C64+1</f>
        <v>2</v>
      </c>
      <c r="D65" s="3143" t="str">
        <f ca="1">IFERROR(INDEX(Ink!$A:$AU,MATCH($C65,Ink!$AU:$AU,0),1),"")</f>
        <v/>
      </c>
      <c r="E65" s="3143" t="str">
        <f ca="1">IFERROR(INDEX(Ink!$A:$AU,MATCH($C65,Ink!$AU:$AU,0),4),"")</f>
        <v/>
      </c>
      <c r="F65" s="3143" t="s">
        <v>3651</v>
      </c>
      <c r="G65" s="3599" t="str">
        <f ca="1">IFERROR(INDEX(Ink!$A:$AU,MATCH($C65,Ink!$AU:$AU,0),9)/'ACC &amp; Other Material '!$E$2*10^3,"")</f>
        <v/>
      </c>
      <c r="H65" s="3599" t="str">
        <f ca="1">IFERROR(INDEX(Ink!$A:$AU,MATCH($C65,Ink!$AU:$AU,0),10)/'ACC &amp; Other Material '!$E$2*10^3,"")</f>
        <v/>
      </c>
      <c r="I65" s="3153" t="str">
        <f ca="1">IFERROR(INDEX(Ink!$A:$AU,MATCH($C65,Ink!$AU:$AU,0),13),"")</f>
        <v/>
      </c>
      <c r="J65" s="3153" t="str">
        <f ca="1">IFERROR(INDEX(Ink!$A:$AU,MATCH($C65,Ink!$AU:$AU,0),13)*(1+Ink!$M$5),"")</f>
        <v/>
      </c>
    </row>
    <row r="66" spans="2:10" ht="21.75">
      <c r="B66" s="3143" t="s">
        <v>213</v>
      </c>
      <c r="C66" s="3143">
        <f t="shared" ref="C66:C129" si="1">C65+1</f>
        <v>3</v>
      </c>
      <c r="D66" s="3143" t="str">
        <f ca="1">IFERROR(INDEX(Ink!$A:$AU,MATCH($C66,Ink!$AU:$AU,0),1),"")</f>
        <v/>
      </c>
      <c r="E66" s="3143" t="str">
        <f ca="1">IFERROR(INDEX(Ink!$A:$AU,MATCH($C66,Ink!$AU:$AU,0),4),"")</f>
        <v/>
      </c>
      <c r="F66" s="3143" t="s">
        <v>3651</v>
      </c>
      <c r="G66" s="3599" t="str">
        <f ca="1">IFERROR(INDEX(Ink!$A:$AU,MATCH($C66,Ink!$AU:$AU,0),9)/'ACC &amp; Other Material '!$E$2*10^3,"")</f>
        <v/>
      </c>
      <c r="H66" s="3599" t="str">
        <f ca="1">IFERROR(INDEX(Ink!$A:$AU,MATCH($C66,Ink!$AU:$AU,0),10)/'ACC &amp; Other Material '!$E$2*10^3,"")</f>
        <v/>
      </c>
      <c r="I66" s="3153" t="str">
        <f ca="1">IFERROR(INDEX(Ink!$A:$AU,MATCH($C66,Ink!$AU:$AU,0),13),"")</f>
        <v/>
      </c>
      <c r="J66" s="3153" t="str">
        <f ca="1">IFERROR(INDEX(Ink!$A:$AU,MATCH($C66,Ink!$AU:$AU,0),13)*(1+Ink!$M$5),"")</f>
        <v/>
      </c>
    </row>
    <row r="67" spans="2:10" ht="21.75">
      <c r="B67" s="3143" t="s">
        <v>213</v>
      </c>
      <c r="C67" s="3143">
        <f t="shared" si="1"/>
        <v>4</v>
      </c>
      <c r="D67" s="3143" t="str">
        <f ca="1">IFERROR(INDEX(Ink!$A:$AU,MATCH($C67,Ink!$AU:$AU,0),1),"")</f>
        <v/>
      </c>
      <c r="E67" s="3143" t="str">
        <f ca="1">IFERROR(INDEX(Ink!$A:$AU,MATCH($C67,Ink!$AU:$AU,0),4),"")</f>
        <v/>
      </c>
      <c r="F67" s="3143" t="s">
        <v>3651</v>
      </c>
      <c r="G67" s="3599" t="str">
        <f ca="1">IFERROR(INDEX(Ink!$A:$AU,MATCH($C67,Ink!$AU:$AU,0),9)/'ACC &amp; Other Material '!$E$2*10^3,"")</f>
        <v/>
      </c>
      <c r="H67" s="3599" t="str">
        <f ca="1">IFERROR(INDEX(Ink!$A:$AU,MATCH($C67,Ink!$AU:$AU,0),10)/'ACC &amp; Other Material '!$E$2*10^3,"")</f>
        <v/>
      </c>
      <c r="I67" s="3153" t="str">
        <f ca="1">IFERROR(INDEX(Ink!$A:$AU,MATCH($C67,Ink!$AU:$AU,0),13),"")</f>
        <v/>
      </c>
      <c r="J67" s="3153" t="str">
        <f ca="1">IFERROR(INDEX(Ink!$A:$AU,MATCH($C67,Ink!$AU:$AU,0),13)*(1+Ink!$M$5),"")</f>
        <v/>
      </c>
    </row>
    <row r="68" spans="2:10" ht="21.75">
      <c r="B68" s="3143" t="s">
        <v>213</v>
      </c>
      <c r="C68" s="3143">
        <f t="shared" si="1"/>
        <v>5</v>
      </c>
      <c r="D68" s="3143" t="str">
        <f ca="1">IFERROR(INDEX(Ink!$A:$AU,MATCH($C68,Ink!$AU:$AU,0),1),"")</f>
        <v/>
      </c>
      <c r="E68" s="3143" t="str">
        <f ca="1">IFERROR(INDEX(Ink!$A:$AU,MATCH($C68,Ink!$AU:$AU,0),4),"")</f>
        <v/>
      </c>
      <c r="F68" s="3143" t="s">
        <v>3651</v>
      </c>
      <c r="G68" s="3599" t="str">
        <f ca="1">IFERROR(INDEX(Ink!$A:$AU,MATCH($C68,Ink!$AU:$AU,0),9)/'ACC &amp; Other Material '!$E$2*10^3,"")</f>
        <v/>
      </c>
      <c r="H68" s="3599" t="str">
        <f ca="1">IFERROR(INDEX(Ink!$A:$AU,MATCH($C68,Ink!$AU:$AU,0),10)/'ACC &amp; Other Material '!$E$2*10^3,"")</f>
        <v/>
      </c>
      <c r="I68" s="3153" t="str">
        <f ca="1">IFERROR(INDEX(Ink!$A:$AU,MATCH($C68,Ink!$AU:$AU,0),13),"")</f>
        <v/>
      </c>
      <c r="J68" s="3153" t="str">
        <f ca="1">IFERROR(INDEX(Ink!$A:$AU,MATCH($C68,Ink!$AU:$AU,0),13)*(1+Ink!$M$5),"")</f>
        <v/>
      </c>
    </row>
    <row r="69" spans="2:10" ht="21.75">
      <c r="B69" s="3143" t="s">
        <v>213</v>
      </c>
      <c r="C69" s="3143">
        <f t="shared" si="1"/>
        <v>6</v>
      </c>
      <c r="D69" s="3143" t="str">
        <f ca="1">IFERROR(INDEX(Ink!$A:$AU,MATCH($C69,Ink!$AU:$AU,0),1),"")</f>
        <v/>
      </c>
      <c r="E69" s="3143" t="str">
        <f ca="1">IFERROR(INDEX(Ink!$A:$AU,MATCH($C69,Ink!$AU:$AU,0),4),"")</f>
        <v/>
      </c>
      <c r="F69" s="3143" t="s">
        <v>3651</v>
      </c>
      <c r="G69" s="3599" t="str">
        <f ca="1">IFERROR(INDEX(Ink!$A:$AU,MATCH($C69,Ink!$AU:$AU,0),9)/'ACC &amp; Other Material '!$E$2*10^3,"")</f>
        <v/>
      </c>
      <c r="H69" s="3599" t="str">
        <f ca="1">IFERROR(INDEX(Ink!$A:$AU,MATCH($C69,Ink!$AU:$AU,0),10)/'ACC &amp; Other Material '!$E$2*10^3,"")</f>
        <v/>
      </c>
      <c r="I69" s="3153" t="str">
        <f ca="1">IFERROR(INDEX(Ink!$A:$AU,MATCH($C69,Ink!$AU:$AU,0),13),"")</f>
        <v/>
      </c>
      <c r="J69" s="3153" t="str">
        <f ca="1">IFERROR(INDEX(Ink!$A:$AU,MATCH($C69,Ink!$AU:$AU,0),13)*(1+Ink!$M$5),"")</f>
        <v/>
      </c>
    </row>
    <row r="70" spans="2:10" ht="21.75">
      <c r="B70" s="3143" t="s">
        <v>213</v>
      </c>
      <c r="C70" s="3143">
        <f t="shared" si="1"/>
        <v>7</v>
      </c>
      <c r="D70" s="3143" t="str">
        <f ca="1">IFERROR(INDEX(Ink!$A:$AU,MATCH($C70,Ink!$AU:$AU,0),1),"")</f>
        <v/>
      </c>
      <c r="E70" s="3143" t="str">
        <f ca="1">IFERROR(INDEX(Ink!$A:$AU,MATCH($C70,Ink!$AU:$AU,0),4),"")</f>
        <v/>
      </c>
      <c r="F70" s="3143" t="s">
        <v>3651</v>
      </c>
      <c r="G70" s="3599" t="str">
        <f ca="1">IFERROR(INDEX(Ink!$A:$AU,MATCH($C70,Ink!$AU:$AU,0),9)/'ACC &amp; Other Material '!$E$2*10^3,"")</f>
        <v/>
      </c>
      <c r="H70" s="3599" t="str">
        <f ca="1">IFERROR(INDEX(Ink!$A:$AU,MATCH($C70,Ink!$AU:$AU,0),10)/'ACC &amp; Other Material '!$E$2*10^3,"")</f>
        <v/>
      </c>
      <c r="I70" s="3153" t="str">
        <f ca="1">IFERROR(INDEX(Ink!$A:$AU,MATCH($C70,Ink!$AU:$AU,0),13),"")</f>
        <v/>
      </c>
      <c r="J70" s="3153" t="str">
        <f ca="1">IFERROR(INDEX(Ink!$A:$AU,MATCH($C70,Ink!$AU:$AU,0),13)*(1+Ink!$M$5),"")</f>
        <v/>
      </c>
    </row>
    <row r="71" spans="2:10" ht="21.75">
      <c r="B71" s="3143" t="s">
        <v>213</v>
      </c>
      <c r="C71" s="3143">
        <f t="shared" si="1"/>
        <v>8</v>
      </c>
      <c r="D71" s="3143" t="str">
        <f ca="1">IFERROR(INDEX(Ink!$A:$AU,MATCH($C71,Ink!$AU:$AU,0),1),"")</f>
        <v/>
      </c>
      <c r="E71" s="3143" t="str">
        <f ca="1">IFERROR(INDEX(Ink!$A:$AU,MATCH($C71,Ink!$AU:$AU,0),4),"")</f>
        <v/>
      </c>
      <c r="F71" s="3143" t="s">
        <v>3651</v>
      </c>
      <c r="G71" s="3599" t="str">
        <f ca="1">IFERROR(INDEX(Ink!$A:$AU,MATCH($C71,Ink!$AU:$AU,0),9)/'ACC &amp; Other Material '!$E$2*10^3,"")</f>
        <v/>
      </c>
      <c r="H71" s="3599" t="str">
        <f ca="1">IFERROR(INDEX(Ink!$A:$AU,MATCH($C71,Ink!$AU:$AU,0),10)/'ACC &amp; Other Material '!$E$2*10^3,"")</f>
        <v/>
      </c>
      <c r="I71" s="3153" t="str">
        <f ca="1">IFERROR(INDEX(Ink!$A:$AU,MATCH($C71,Ink!$AU:$AU,0),13),"")</f>
        <v/>
      </c>
      <c r="J71" s="3153" t="str">
        <f ca="1">IFERROR(INDEX(Ink!$A:$AU,MATCH($C71,Ink!$AU:$AU,0),13)*(1+Ink!$M$5),"")</f>
        <v/>
      </c>
    </row>
    <row r="72" spans="2:10" ht="21.75">
      <c r="B72" s="3143" t="s">
        <v>213</v>
      </c>
      <c r="C72" s="3143">
        <f t="shared" si="1"/>
        <v>9</v>
      </c>
      <c r="D72" s="3143" t="str">
        <f ca="1">IFERROR(INDEX(Ink!$A:$AU,MATCH($C72,Ink!$AU:$AU,0),1),"")</f>
        <v/>
      </c>
      <c r="E72" s="3143" t="str">
        <f ca="1">IFERROR(INDEX(Ink!$A:$AU,MATCH($C72,Ink!$AU:$AU,0),4),"")</f>
        <v/>
      </c>
      <c r="F72" s="3143" t="s">
        <v>3651</v>
      </c>
      <c r="G72" s="3599" t="str">
        <f ca="1">IFERROR(INDEX(Ink!$A:$AU,MATCH($C72,Ink!$AU:$AU,0),9)/'ACC &amp; Other Material '!$E$2*10^3,"")</f>
        <v/>
      </c>
      <c r="H72" s="3599" t="str">
        <f ca="1">IFERROR(INDEX(Ink!$A:$AU,MATCH($C72,Ink!$AU:$AU,0),10)/'ACC &amp; Other Material '!$E$2*10^3,"")</f>
        <v/>
      </c>
      <c r="I72" s="3153" t="str">
        <f ca="1">IFERROR(INDEX(Ink!$A:$AU,MATCH($C72,Ink!$AU:$AU,0),13),"")</f>
        <v/>
      </c>
      <c r="J72" s="3153" t="str">
        <f ca="1">IFERROR(INDEX(Ink!$A:$AU,MATCH($C72,Ink!$AU:$AU,0),13)*(1+Ink!$M$5),"")</f>
        <v/>
      </c>
    </row>
    <row r="73" spans="2:10" ht="21.75">
      <c r="B73" s="3143" t="s">
        <v>213</v>
      </c>
      <c r="C73" s="3143">
        <f t="shared" si="1"/>
        <v>10</v>
      </c>
      <c r="D73" s="3143" t="str">
        <f ca="1">IFERROR(INDEX(Ink!$A:$AU,MATCH($C73,Ink!$AU:$AU,0),1),"")</f>
        <v/>
      </c>
      <c r="E73" s="3143" t="str">
        <f ca="1">IFERROR(INDEX(Ink!$A:$AU,MATCH($C73,Ink!$AU:$AU,0),4),"")</f>
        <v/>
      </c>
      <c r="F73" s="3143" t="s">
        <v>3651</v>
      </c>
      <c r="G73" s="3599" t="str">
        <f ca="1">IFERROR(INDEX(Ink!$A:$AU,MATCH($C73,Ink!$AU:$AU,0),9)/'ACC &amp; Other Material '!$E$2*10^3,"")</f>
        <v/>
      </c>
      <c r="H73" s="3599" t="str">
        <f ca="1">IFERROR(INDEX(Ink!$A:$AU,MATCH($C73,Ink!$AU:$AU,0),10)/'ACC &amp; Other Material '!$E$2*10^3,"")</f>
        <v/>
      </c>
      <c r="I73" s="3153" t="str">
        <f ca="1">IFERROR(INDEX(Ink!$A:$AU,MATCH($C73,Ink!$AU:$AU,0),13),"")</f>
        <v/>
      </c>
      <c r="J73" s="3153" t="str">
        <f ca="1">IFERROR(INDEX(Ink!$A:$AU,MATCH($C73,Ink!$AU:$AU,0),13)*(1+Ink!$M$5),"")</f>
        <v/>
      </c>
    </row>
    <row r="74" spans="2:10" ht="21.75">
      <c r="B74" s="3143" t="s">
        <v>213</v>
      </c>
      <c r="C74" s="3143">
        <f t="shared" si="1"/>
        <v>11</v>
      </c>
      <c r="D74" s="3143" t="str">
        <f ca="1">IFERROR(INDEX(Ink!$A:$AU,MATCH($C74,Ink!$AU:$AU,0),1),"")</f>
        <v/>
      </c>
      <c r="E74" s="3143" t="str">
        <f ca="1">IFERROR(INDEX(Ink!$A:$AU,MATCH($C74,Ink!$AU:$AU,0),4),"")</f>
        <v/>
      </c>
      <c r="F74" s="3143" t="s">
        <v>3651</v>
      </c>
      <c r="G74" s="3599" t="str">
        <f ca="1">IFERROR(INDEX(Ink!$A:$AU,MATCH($C74,Ink!$AU:$AU,0),9)/'ACC &amp; Other Material '!$E$2*10^3,"")</f>
        <v/>
      </c>
      <c r="H74" s="3599" t="str">
        <f ca="1">IFERROR(INDEX(Ink!$A:$AU,MATCH($C74,Ink!$AU:$AU,0),10)/'ACC &amp; Other Material '!$E$2*10^3,"")</f>
        <v/>
      </c>
      <c r="I74" s="3153" t="str">
        <f ca="1">IFERROR(INDEX(Ink!$A:$AU,MATCH($C74,Ink!$AU:$AU,0),13),"")</f>
        <v/>
      </c>
      <c r="J74" s="3153" t="str">
        <f ca="1">IFERROR(INDEX(Ink!$A:$AU,MATCH($C74,Ink!$AU:$AU,0),13)*(1+Ink!$M$5),"")</f>
        <v/>
      </c>
    </row>
    <row r="75" spans="2:10" ht="21.75">
      <c r="B75" s="3143" t="s">
        <v>213</v>
      </c>
      <c r="C75" s="3143">
        <f t="shared" si="1"/>
        <v>12</v>
      </c>
      <c r="D75" s="3143" t="str">
        <f ca="1">IFERROR(INDEX(Ink!$A:$AU,MATCH($C75,Ink!$AU:$AU,0),1),"")</f>
        <v/>
      </c>
      <c r="E75" s="3143" t="str">
        <f ca="1">IFERROR(INDEX(Ink!$A:$AU,MATCH($C75,Ink!$AU:$AU,0),4),"")</f>
        <v/>
      </c>
      <c r="F75" s="3143" t="s">
        <v>3651</v>
      </c>
      <c r="G75" s="3599" t="str">
        <f ca="1">IFERROR(INDEX(Ink!$A:$AU,MATCH($C75,Ink!$AU:$AU,0),9)/'ACC &amp; Other Material '!$E$2*10^3,"")</f>
        <v/>
      </c>
      <c r="H75" s="3599" t="str">
        <f ca="1">IFERROR(INDEX(Ink!$A:$AU,MATCH($C75,Ink!$AU:$AU,0),10)/'ACC &amp; Other Material '!$E$2*10^3,"")</f>
        <v/>
      </c>
      <c r="I75" s="3153" t="str">
        <f ca="1">IFERROR(INDEX(Ink!$A:$AU,MATCH($C75,Ink!$AU:$AU,0),13),"")</f>
        <v/>
      </c>
      <c r="J75" s="3153" t="str">
        <f ca="1">IFERROR(INDEX(Ink!$A:$AU,MATCH($C75,Ink!$AU:$AU,0),13)*(1+Ink!$M$5),"")</f>
        <v/>
      </c>
    </row>
    <row r="76" spans="2:10" ht="21.75">
      <c r="B76" s="3143" t="s">
        <v>213</v>
      </c>
      <c r="C76" s="3143">
        <f t="shared" si="1"/>
        <v>13</v>
      </c>
      <c r="D76" s="3143" t="str">
        <f ca="1">IFERROR(INDEX(Ink!$A:$AU,MATCH($C76,Ink!$AU:$AU,0),1),"")</f>
        <v/>
      </c>
      <c r="E76" s="3143" t="str">
        <f ca="1">IFERROR(INDEX(Ink!$A:$AU,MATCH($C76,Ink!$AU:$AU,0),4),"")</f>
        <v/>
      </c>
      <c r="F76" s="3143" t="s">
        <v>3651</v>
      </c>
      <c r="G76" s="3599" t="str">
        <f ca="1">IFERROR(INDEX(Ink!$A:$AU,MATCH($C76,Ink!$AU:$AU,0),9)/'ACC &amp; Other Material '!$E$2*10^3,"")</f>
        <v/>
      </c>
      <c r="H76" s="3599" t="str">
        <f ca="1">IFERROR(INDEX(Ink!$A:$AU,MATCH($C76,Ink!$AU:$AU,0),10)/'ACC &amp; Other Material '!$E$2*10^3,"")</f>
        <v/>
      </c>
      <c r="I76" s="3153" t="str">
        <f ca="1">IFERROR(INDEX(Ink!$A:$AU,MATCH($C76,Ink!$AU:$AU,0),13),"")</f>
        <v/>
      </c>
      <c r="J76" s="3153" t="str">
        <f ca="1">IFERROR(INDEX(Ink!$A:$AU,MATCH($C76,Ink!$AU:$AU,0),13)*(1+Ink!$M$5),"")</f>
        <v/>
      </c>
    </row>
    <row r="77" spans="2:10" ht="21.75">
      <c r="B77" s="3143" t="s">
        <v>213</v>
      </c>
      <c r="C77" s="3143">
        <f t="shared" si="1"/>
        <v>14</v>
      </c>
      <c r="D77" s="3143" t="str">
        <f ca="1">IFERROR(INDEX(Ink!$A:$AU,MATCH($C77,Ink!$AU:$AU,0),1),"")</f>
        <v/>
      </c>
      <c r="E77" s="3143" t="str">
        <f ca="1">IFERROR(INDEX(Ink!$A:$AU,MATCH($C77,Ink!$AU:$AU,0),4),"")</f>
        <v/>
      </c>
      <c r="F77" s="3143" t="s">
        <v>3651</v>
      </c>
      <c r="G77" s="3599" t="str">
        <f ca="1">IFERROR(INDEX(Ink!$A:$AU,MATCH($C77,Ink!$AU:$AU,0),9)/'ACC &amp; Other Material '!$E$2*10^3,"")</f>
        <v/>
      </c>
      <c r="H77" s="3599" t="str">
        <f ca="1">IFERROR(INDEX(Ink!$A:$AU,MATCH($C77,Ink!$AU:$AU,0),10)/'ACC &amp; Other Material '!$E$2*10^3,"")</f>
        <v/>
      </c>
      <c r="I77" s="3153" t="str">
        <f ca="1">IFERROR(INDEX(Ink!$A:$AU,MATCH($C77,Ink!$AU:$AU,0),13),"")</f>
        <v/>
      </c>
      <c r="J77" s="3153" t="str">
        <f ca="1">IFERROR(INDEX(Ink!$A:$AU,MATCH($C77,Ink!$AU:$AU,0),13)*(1+Ink!$M$5),"")</f>
        <v/>
      </c>
    </row>
    <row r="78" spans="2:10" ht="21.75">
      <c r="B78" s="3143" t="s">
        <v>213</v>
      </c>
      <c r="C78" s="3143">
        <f t="shared" si="1"/>
        <v>15</v>
      </c>
      <c r="D78" s="3143" t="str">
        <f ca="1">IFERROR(INDEX(Ink!$A:$AU,MATCH($C78,Ink!$AU:$AU,0),1),"")</f>
        <v/>
      </c>
      <c r="E78" s="3143" t="str">
        <f ca="1">IFERROR(INDEX(Ink!$A:$AU,MATCH($C78,Ink!$AU:$AU,0),4),"")</f>
        <v/>
      </c>
      <c r="F78" s="3143" t="s">
        <v>3651</v>
      </c>
      <c r="G78" s="3599" t="str">
        <f ca="1">IFERROR(INDEX(Ink!$A:$AU,MATCH($C78,Ink!$AU:$AU,0),9)/'ACC &amp; Other Material '!$E$2*10^3,"")</f>
        <v/>
      </c>
      <c r="H78" s="3599" t="str">
        <f ca="1">IFERROR(INDEX(Ink!$A:$AU,MATCH($C78,Ink!$AU:$AU,0),10)/'ACC &amp; Other Material '!$E$2*10^3,"")</f>
        <v/>
      </c>
      <c r="I78" s="3153" t="str">
        <f ca="1">IFERROR(INDEX(Ink!$A:$AU,MATCH($C78,Ink!$AU:$AU,0),13),"")</f>
        <v/>
      </c>
      <c r="J78" s="3153" t="str">
        <f ca="1">IFERROR(INDEX(Ink!$A:$AU,MATCH($C78,Ink!$AU:$AU,0),13)*(1+Ink!$M$5),"")</f>
        <v/>
      </c>
    </row>
    <row r="79" spans="2:10" ht="21.75">
      <c r="B79" s="3143" t="s">
        <v>213</v>
      </c>
      <c r="C79" s="3143">
        <f t="shared" si="1"/>
        <v>16</v>
      </c>
      <c r="D79" s="3143" t="str">
        <f ca="1">IFERROR(INDEX(Ink!$A:$AU,MATCH($C79,Ink!$AU:$AU,0),1),"")</f>
        <v/>
      </c>
      <c r="E79" s="3143" t="str">
        <f ca="1">IFERROR(INDEX(Ink!$A:$AU,MATCH($C79,Ink!$AU:$AU,0),4),"")</f>
        <v/>
      </c>
      <c r="F79" s="3143" t="s">
        <v>3651</v>
      </c>
      <c r="G79" s="3599" t="str">
        <f ca="1">IFERROR(INDEX(Ink!$A:$AU,MATCH($C79,Ink!$AU:$AU,0),9)/'ACC &amp; Other Material '!$E$2*10^3,"")</f>
        <v/>
      </c>
      <c r="H79" s="3599" t="str">
        <f ca="1">IFERROR(INDEX(Ink!$A:$AU,MATCH($C79,Ink!$AU:$AU,0),10)/'ACC &amp; Other Material '!$E$2*10^3,"")</f>
        <v/>
      </c>
      <c r="I79" s="3153" t="str">
        <f ca="1">IFERROR(INDEX(Ink!$A:$AU,MATCH($C79,Ink!$AU:$AU,0),13),"")</f>
        <v/>
      </c>
      <c r="J79" s="3153" t="str">
        <f ca="1">IFERROR(INDEX(Ink!$A:$AU,MATCH($C79,Ink!$AU:$AU,0),13)*(1+Ink!$M$5),"")</f>
        <v/>
      </c>
    </row>
    <row r="80" spans="2:10" ht="21.75">
      <c r="B80" s="3143" t="s">
        <v>213</v>
      </c>
      <c r="C80" s="3143">
        <f t="shared" si="1"/>
        <v>17</v>
      </c>
      <c r="D80" s="3143" t="str">
        <f ca="1">IFERROR(INDEX(Ink!$A:$AU,MATCH($C80,Ink!$AU:$AU,0),1),"")</f>
        <v/>
      </c>
      <c r="E80" s="3143" t="str">
        <f ca="1">IFERROR(INDEX(Ink!$A:$AU,MATCH($C80,Ink!$AU:$AU,0),4),"")</f>
        <v/>
      </c>
      <c r="F80" s="3143" t="s">
        <v>3651</v>
      </c>
      <c r="G80" s="3599" t="str">
        <f ca="1">IFERROR(INDEX(Ink!$A:$AU,MATCH($C80,Ink!$AU:$AU,0),9)/'ACC &amp; Other Material '!$E$2*10^3,"")</f>
        <v/>
      </c>
      <c r="H80" s="3599" t="str">
        <f ca="1">IFERROR(INDEX(Ink!$A:$AU,MATCH($C80,Ink!$AU:$AU,0),10)/'ACC &amp; Other Material '!$E$2*10^3,"")</f>
        <v/>
      </c>
      <c r="I80" s="3153" t="str">
        <f ca="1">IFERROR(INDEX(Ink!$A:$AU,MATCH($C80,Ink!$AU:$AU,0),13),"")</f>
        <v/>
      </c>
      <c r="J80" s="3153" t="str">
        <f ca="1">IFERROR(INDEX(Ink!$A:$AU,MATCH($C80,Ink!$AU:$AU,0),13)*(1+Ink!$M$5),"")</f>
        <v/>
      </c>
    </row>
    <row r="81" spans="2:10" ht="21.75">
      <c r="B81" s="3143" t="s">
        <v>213</v>
      </c>
      <c r="C81" s="3143">
        <f t="shared" si="1"/>
        <v>18</v>
      </c>
      <c r="D81" s="3143" t="str">
        <f ca="1">IFERROR(INDEX(Ink!$A:$AU,MATCH($C81,Ink!$AU:$AU,0),1),"")</f>
        <v/>
      </c>
      <c r="E81" s="3143" t="str">
        <f ca="1">IFERROR(INDEX(Ink!$A:$AU,MATCH($C81,Ink!$AU:$AU,0),4),"")</f>
        <v/>
      </c>
      <c r="F81" s="3143" t="s">
        <v>3651</v>
      </c>
      <c r="G81" s="3599" t="str">
        <f ca="1">IFERROR(INDEX(Ink!$A:$AU,MATCH($C81,Ink!$AU:$AU,0),9)/'ACC &amp; Other Material '!$E$2*10^3,"")</f>
        <v/>
      </c>
      <c r="H81" s="3599" t="str">
        <f ca="1">IFERROR(INDEX(Ink!$A:$AU,MATCH($C81,Ink!$AU:$AU,0),10)/'ACC &amp; Other Material '!$E$2*10^3,"")</f>
        <v/>
      </c>
      <c r="I81" s="3153" t="str">
        <f ca="1">IFERROR(INDEX(Ink!$A:$AU,MATCH($C81,Ink!$AU:$AU,0),13),"")</f>
        <v/>
      </c>
      <c r="J81" s="3153" t="str">
        <f ca="1">IFERROR(INDEX(Ink!$A:$AU,MATCH($C81,Ink!$AU:$AU,0),13)*(1+Ink!$M$5),"")</f>
        <v/>
      </c>
    </row>
    <row r="82" spans="2:10" ht="21.75">
      <c r="B82" s="3143" t="s">
        <v>213</v>
      </c>
      <c r="C82" s="3143">
        <f t="shared" si="1"/>
        <v>19</v>
      </c>
      <c r="D82" s="3143" t="str">
        <f ca="1">IFERROR(INDEX(Ink!$A:$AU,MATCH($C82,Ink!$AU:$AU,0),1),"")</f>
        <v/>
      </c>
      <c r="E82" s="3143" t="str">
        <f ca="1">IFERROR(INDEX(Ink!$A:$AU,MATCH($C82,Ink!$AU:$AU,0),4),"")</f>
        <v/>
      </c>
      <c r="F82" s="3143" t="s">
        <v>3651</v>
      </c>
      <c r="G82" s="3599" t="str">
        <f ca="1">IFERROR(INDEX(Ink!$A:$AU,MATCH($C82,Ink!$AU:$AU,0),9)/'ACC &amp; Other Material '!$E$2*10^3,"")</f>
        <v/>
      </c>
      <c r="H82" s="3599" t="str">
        <f ca="1">IFERROR(INDEX(Ink!$A:$AU,MATCH($C82,Ink!$AU:$AU,0),10)/'ACC &amp; Other Material '!$E$2*10^3,"")</f>
        <v/>
      </c>
      <c r="I82" s="3153" t="str">
        <f ca="1">IFERROR(INDEX(Ink!$A:$AU,MATCH($C82,Ink!$AU:$AU,0),13),"")</f>
        <v/>
      </c>
      <c r="J82" s="3153" t="str">
        <f ca="1">IFERROR(INDEX(Ink!$A:$AU,MATCH($C82,Ink!$AU:$AU,0),13)*(1+Ink!$M$5),"")</f>
        <v/>
      </c>
    </row>
    <row r="83" spans="2:10" ht="21.75">
      <c r="B83" s="3143" t="s">
        <v>213</v>
      </c>
      <c r="C83" s="3143">
        <f t="shared" si="1"/>
        <v>20</v>
      </c>
      <c r="D83" s="3143" t="str">
        <f ca="1">IFERROR(INDEX(Ink!$A:$AU,MATCH($C83,Ink!$AU:$AU,0),1),"")</f>
        <v/>
      </c>
      <c r="E83" s="3143" t="str">
        <f ca="1">IFERROR(INDEX(Ink!$A:$AU,MATCH($C83,Ink!$AU:$AU,0),4),"")</f>
        <v/>
      </c>
      <c r="F83" s="3143" t="s">
        <v>3651</v>
      </c>
      <c r="G83" s="3599" t="str">
        <f ca="1">IFERROR(INDEX(Ink!$A:$AU,MATCH($C83,Ink!$AU:$AU,0),9)/'ACC &amp; Other Material '!$E$2*10^3,"")</f>
        <v/>
      </c>
      <c r="H83" s="3599" t="str">
        <f ca="1">IFERROR(INDEX(Ink!$A:$AU,MATCH($C83,Ink!$AU:$AU,0),10)/'ACC &amp; Other Material '!$E$2*10^3,"")</f>
        <v/>
      </c>
      <c r="I83" s="3153" t="str">
        <f ca="1">IFERROR(INDEX(Ink!$A:$AU,MATCH($C83,Ink!$AU:$AU,0),13),"")</f>
        <v/>
      </c>
      <c r="J83" s="3153" t="str">
        <f ca="1">IFERROR(INDEX(Ink!$A:$AU,MATCH($C83,Ink!$AU:$AU,0),13)*(1+Ink!$M$5),"")</f>
        <v/>
      </c>
    </row>
    <row r="84" spans="2:10" ht="21.75">
      <c r="B84" s="3143" t="s">
        <v>213</v>
      </c>
      <c r="C84" s="3143">
        <f t="shared" si="1"/>
        <v>21</v>
      </c>
      <c r="D84" s="3143" t="str">
        <f ca="1">IFERROR(INDEX(Ink!$A:$AU,MATCH($C84,Ink!$AU:$AU,0),1),"")</f>
        <v/>
      </c>
      <c r="E84" s="3143" t="str">
        <f ca="1">IFERROR(INDEX(Ink!$A:$AU,MATCH($C84,Ink!$AU:$AU,0),4),"")</f>
        <v/>
      </c>
      <c r="F84" s="3143" t="s">
        <v>3651</v>
      </c>
      <c r="G84" s="3599" t="str">
        <f ca="1">IFERROR(INDEX(Ink!$A:$AU,MATCH($C84,Ink!$AU:$AU,0),9)/'ACC &amp; Other Material '!$E$2*10^3,"")</f>
        <v/>
      </c>
      <c r="H84" s="3599" t="str">
        <f ca="1">IFERROR(INDEX(Ink!$A:$AU,MATCH($C84,Ink!$AU:$AU,0),10)/'ACC &amp; Other Material '!$E$2*10^3,"")</f>
        <v/>
      </c>
      <c r="I84" s="3153" t="str">
        <f ca="1">IFERROR(INDEX(Ink!$A:$AU,MATCH($C84,Ink!$AU:$AU,0),13),"")</f>
        <v/>
      </c>
      <c r="J84" s="3153" t="str">
        <f ca="1">IFERROR(INDEX(Ink!$A:$AU,MATCH($C84,Ink!$AU:$AU,0),13)*(1+Ink!$M$5),"")</f>
        <v/>
      </c>
    </row>
    <row r="85" spans="2:10" ht="21.75">
      <c r="B85" s="3143" t="s">
        <v>213</v>
      </c>
      <c r="C85" s="3143">
        <f t="shared" si="1"/>
        <v>22</v>
      </c>
      <c r="D85" s="3143" t="str">
        <f ca="1">IFERROR(INDEX(Ink!$A:$AU,MATCH($C85,Ink!$AU:$AU,0),1),"")</f>
        <v/>
      </c>
      <c r="E85" s="3143" t="str">
        <f ca="1">IFERROR(INDEX(Ink!$A:$AU,MATCH($C85,Ink!$AU:$AU,0),4),"")</f>
        <v/>
      </c>
      <c r="F85" s="3143" t="s">
        <v>3651</v>
      </c>
      <c r="G85" s="3599" t="str">
        <f ca="1">IFERROR(INDEX(Ink!$A:$AU,MATCH($C85,Ink!$AU:$AU,0),9)/'ACC &amp; Other Material '!$E$2*10^3,"")</f>
        <v/>
      </c>
      <c r="H85" s="3599" t="str">
        <f ca="1">IFERROR(INDEX(Ink!$A:$AU,MATCH($C85,Ink!$AU:$AU,0),10)/'ACC &amp; Other Material '!$E$2*10^3,"")</f>
        <v/>
      </c>
      <c r="I85" s="3153" t="str">
        <f ca="1">IFERROR(INDEX(Ink!$A:$AU,MATCH($C85,Ink!$AU:$AU,0),13),"")</f>
        <v/>
      </c>
      <c r="J85" s="3153" t="str">
        <f ca="1">IFERROR(INDEX(Ink!$A:$AU,MATCH($C85,Ink!$AU:$AU,0),13)*(1+Ink!$M$5),"")</f>
        <v/>
      </c>
    </row>
    <row r="86" spans="2:10" ht="21.75">
      <c r="B86" s="3143" t="s">
        <v>213</v>
      </c>
      <c r="C86" s="3143">
        <f t="shared" si="1"/>
        <v>23</v>
      </c>
      <c r="D86" s="3143" t="str">
        <f ca="1">IFERROR(INDEX(Ink!$A:$AU,MATCH($C86,Ink!$AU:$AU,0),1),"")</f>
        <v/>
      </c>
      <c r="E86" s="3143" t="str">
        <f ca="1">IFERROR(INDEX(Ink!$A:$AU,MATCH($C86,Ink!$AU:$AU,0),4),"")</f>
        <v/>
      </c>
      <c r="F86" s="3143" t="s">
        <v>3651</v>
      </c>
      <c r="G86" s="3599" t="str">
        <f ca="1">IFERROR(INDEX(Ink!$A:$AU,MATCH($C86,Ink!$AU:$AU,0),9)/'ACC &amp; Other Material '!$E$2*10^3,"")</f>
        <v/>
      </c>
      <c r="H86" s="3599" t="str">
        <f ca="1">IFERROR(INDEX(Ink!$A:$AU,MATCH($C86,Ink!$AU:$AU,0),10)/'ACC &amp; Other Material '!$E$2*10^3,"")</f>
        <v/>
      </c>
      <c r="I86" s="3153" t="str">
        <f ca="1">IFERROR(INDEX(Ink!$A:$AU,MATCH($C86,Ink!$AU:$AU,0),13),"")</f>
        <v/>
      </c>
      <c r="J86" s="3153" t="str">
        <f ca="1">IFERROR(INDEX(Ink!$A:$AU,MATCH($C86,Ink!$AU:$AU,0),13)*(1+Ink!$M$5),"")</f>
        <v/>
      </c>
    </row>
    <row r="87" spans="2:10" ht="21.75">
      <c r="B87" s="3143" t="s">
        <v>213</v>
      </c>
      <c r="C87" s="3143">
        <f t="shared" si="1"/>
        <v>24</v>
      </c>
      <c r="D87" s="3143" t="str">
        <f ca="1">IFERROR(INDEX(Ink!$A:$AU,MATCH($C87,Ink!$AU:$AU,0),1),"")</f>
        <v/>
      </c>
      <c r="E87" s="3143" t="str">
        <f ca="1">IFERROR(INDEX(Ink!$A:$AU,MATCH($C87,Ink!$AU:$AU,0),4),"")</f>
        <v/>
      </c>
      <c r="F87" s="3143" t="s">
        <v>3651</v>
      </c>
      <c r="G87" s="3599" t="str">
        <f ca="1">IFERROR(INDEX(Ink!$A:$AU,MATCH($C87,Ink!$AU:$AU,0),9)/'ACC &amp; Other Material '!$E$2*10^3,"")</f>
        <v/>
      </c>
      <c r="H87" s="3599" t="str">
        <f ca="1">IFERROR(INDEX(Ink!$A:$AU,MATCH($C87,Ink!$AU:$AU,0),10)/'ACC &amp; Other Material '!$E$2*10^3,"")</f>
        <v/>
      </c>
      <c r="I87" s="3153" t="str">
        <f ca="1">IFERROR(INDEX(Ink!$A:$AU,MATCH($C87,Ink!$AU:$AU,0),13),"")</f>
        <v/>
      </c>
      <c r="J87" s="3153" t="str">
        <f ca="1">IFERROR(INDEX(Ink!$A:$AU,MATCH($C87,Ink!$AU:$AU,0),13)*(1+Ink!$M$5),"")</f>
        <v/>
      </c>
    </row>
    <row r="88" spans="2:10" ht="21.75">
      <c r="B88" s="3143" t="s">
        <v>213</v>
      </c>
      <c r="C88" s="3143">
        <f t="shared" si="1"/>
        <v>25</v>
      </c>
      <c r="D88" s="3143" t="str">
        <f ca="1">IFERROR(INDEX(Ink!$A:$AU,MATCH($C88,Ink!$AU:$AU,0),1),"")</f>
        <v/>
      </c>
      <c r="E88" s="3143" t="str">
        <f ca="1">IFERROR(INDEX(Ink!$A:$AU,MATCH($C88,Ink!$AU:$AU,0),4),"")</f>
        <v/>
      </c>
      <c r="F88" s="3143" t="s">
        <v>3651</v>
      </c>
      <c r="G88" s="3599" t="str">
        <f ca="1">IFERROR(INDEX(Ink!$A:$AU,MATCH($C88,Ink!$AU:$AU,0),9)/'ACC &amp; Other Material '!$E$2*10^3,"")</f>
        <v/>
      </c>
      <c r="H88" s="3599" t="str">
        <f ca="1">IFERROR(INDEX(Ink!$A:$AU,MATCH($C88,Ink!$AU:$AU,0),10)/'ACC &amp; Other Material '!$E$2*10^3,"")</f>
        <v/>
      </c>
      <c r="I88" s="3153" t="str">
        <f ca="1">IFERROR(INDEX(Ink!$A:$AU,MATCH($C88,Ink!$AU:$AU,0),13),"")</f>
        <v/>
      </c>
      <c r="J88" s="3153" t="str">
        <f ca="1">IFERROR(INDEX(Ink!$A:$AU,MATCH($C88,Ink!$AU:$AU,0),13)*(1+Ink!$M$5),"")</f>
        <v/>
      </c>
    </row>
    <row r="89" spans="2:10" ht="21.75">
      <c r="B89" s="3143" t="s">
        <v>213</v>
      </c>
      <c r="C89" s="3143">
        <f t="shared" si="1"/>
        <v>26</v>
      </c>
      <c r="D89" s="3143" t="str">
        <f ca="1">IFERROR(INDEX(Ink!$A:$AU,MATCH($C89,Ink!$AU:$AU,0),1),"")</f>
        <v/>
      </c>
      <c r="E89" s="3143" t="str">
        <f ca="1">IFERROR(INDEX(Ink!$A:$AU,MATCH($C89,Ink!$AU:$AU,0),4),"")</f>
        <v/>
      </c>
      <c r="F89" s="3143" t="s">
        <v>3651</v>
      </c>
      <c r="G89" s="3599" t="str">
        <f ca="1">IFERROR(INDEX(Ink!$A:$AU,MATCH($C89,Ink!$AU:$AU,0),9)/'ACC &amp; Other Material '!$E$2*10^3,"")</f>
        <v/>
      </c>
      <c r="H89" s="3599" t="str">
        <f ca="1">IFERROR(INDEX(Ink!$A:$AU,MATCH($C89,Ink!$AU:$AU,0),10)/'ACC &amp; Other Material '!$E$2*10^3,"")</f>
        <v/>
      </c>
      <c r="I89" s="3153" t="str">
        <f ca="1">IFERROR(INDEX(Ink!$A:$AU,MATCH($C89,Ink!$AU:$AU,0),13),"")</f>
        <v/>
      </c>
      <c r="J89" s="3153" t="str">
        <f ca="1">IFERROR(INDEX(Ink!$A:$AU,MATCH($C89,Ink!$AU:$AU,0),13)*(1+Ink!$M$5),"")</f>
        <v/>
      </c>
    </row>
    <row r="90" spans="2:10" ht="21.75">
      <c r="B90" s="3143" t="s">
        <v>213</v>
      </c>
      <c r="C90" s="3143">
        <f t="shared" si="1"/>
        <v>27</v>
      </c>
      <c r="D90" s="3143" t="str">
        <f ca="1">IFERROR(INDEX(Ink!$A:$AU,MATCH($C90,Ink!$AU:$AU,0),1),"")</f>
        <v/>
      </c>
      <c r="E90" s="3143" t="str">
        <f ca="1">IFERROR(INDEX(Ink!$A:$AU,MATCH($C90,Ink!$AU:$AU,0),4),"")</f>
        <v/>
      </c>
      <c r="F90" s="3143" t="s">
        <v>3651</v>
      </c>
      <c r="G90" s="3599" t="str">
        <f ca="1">IFERROR(INDEX(Ink!$A:$AU,MATCH($C90,Ink!$AU:$AU,0),9)/'ACC &amp; Other Material '!$E$2*10^3,"")</f>
        <v/>
      </c>
      <c r="H90" s="3599" t="str">
        <f ca="1">IFERROR(INDEX(Ink!$A:$AU,MATCH($C90,Ink!$AU:$AU,0),10)/'ACC &amp; Other Material '!$E$2*10^3,"")</f>
        <v/>
      </c>
      <c r="I90" s="3153" t="str">
        <f ca="1">IFERROR(INDEX(Ink!$A:$AU,MATCH($C90,Ink!$AU:$AU,0),13),"")</f>
        <v/>
      </c>
      <c r="J90" s="3153" t="str">
        <f ca="1">IFERROR(INDEX(Ink!$A:$AU,MATCH($C90,Ink!$AU:$AU,0),13)*(1+Ink!$M$5),"")</f>
        <v/>
      </c>
    </row>
    <row r="91" spans="2:10" ht="21.75">
      <c r="B91" s="3143" t="s">
        <v>213</v>
      </c>
      <c r="C91" s="3143">
        <f t="shared" si="1"/>
        <v>28</v>
      </c>
      <c r="D91" s="3143" t="str">
        <f ca="1">IFERROR(INDEX(Ink!$A:$AU,MATCH($C91,Ink!$AU:$AU,0),1),"")</f>
        <v/>
      </c>
      <c r="E91" s="3143" t="str">
        <f ca="1">IFERROR(INDEX(Ink!$A:$AU,MATCH($C91,Ink!$AU:$AU,0),4),"")</f>
        <v/>
      </c>
      <c r="F91" s="3143" t="s">
        <v>3651</v>
      </c>
      <c r="G91" s="3599" t="str">
        <f ca="1">IFERROR(INDEX(Ink!$A:$AU,MATCH($C91,Ink!$AU:$AU,0),9)/'ACC &amp; Other Material '!$E$2*10^3,"")</f>
        <v/>
      </c>
      <c r="H91" s="3599" t="str">
        <f ca="1">IFERROR(INDEX(Ink!$A:$AU,MATCH($C91,Ink!$AU:$AU,0),10)/'ACC &amp; Other Material '!$E$2*10^3,"")</f>
        <v/>
      </c>
      <c r="I91" s="3153" t="str">
        <f ca="1">IFERROR(INDEX(Ink!$A:$AU,MATCH($C91,Ink!$AU:$AU,0),13),"")</f>
        <v/>
      </c>
      <c r="J91" s="3153" t="str">
        <f ca="1">IFERROR(INDEX(Ink!$A:$AU,MATCH($C91,Ink!$AU:$AU,0),13)*(1+Ink!$M$5),"")</f>
        <v/>
      </c>
    </row>
    <row r="92" spans="2:10" ht="21.75">
      <c r="B92" s="3143" t="s">
        <v>213</v>
      </c>
      <c r="C92" s="3143">
        <f t="shared" si="1"/>
        <v>29</v>
      </c>
      <c r="D92" s="3143" t="str">
        <f ca="1">IFERROR(INDEX(Ink!$A:$AU,MATCH($C92,Ink!$AU:$AU,0),1),"")</f>
        <v/>
      </c>
      <c r="E92" s="3143" t="str">
        <f ca="1">IFERROR(INDEX(Ink!$A:$AU,MATCH($C92,Ink!$AU:$AU,0),4),"")</f>
        <v/>
      </c>
      <c r="F92" s="3143" t="s">
        <v>3651</v>
      </c>
      <c r="G92" s="3599" t="str">
        <f ca="1">IFERROR(INDEX(Ink!$A:$AU,MATCH($C92,Ink!$AU:$AU,0),9)/'ACC &amp; Other Material '!$E$2*10^3,"")</f>
        <v/>
      </c>
      <c r="H92" s="3599" t="str">
        <f ca="1">IFERROR(INDEX(Ink!$A:$AU,MATCH($C92,Ink!$AU:$AU,0),10)/'ACC &amp; Other Material '!$E$2*10^3,"")</f>
        <v/>
      </c>
      <c r="I92" s="3153" t="str">
        <f ca="1">IFERROR(INDEX(Ink!$A:$AU,MATCH($C92,Ink!$AU:$AU,0),13),"")</f>
        <v/>
      </c>
      <c r="J92" s="3153" t="str">
        <f ca="1">IFERROR(INDEX(Ink!$A:$AU,MATCH($C92,Ink!$AU:$AU,0),13)*(1+Ink!$M$5),"")</f>
        <v/>
      </c>
    </row>
    <row r="93" spans="2:10" ht="21.75">
      <c r="B93" s="3143" t="s">
        <v>213</v>
      </c>
      <c r="C93" s="3143">
        <f t="shared" si="1"/>
        <v>30</v>
      </c>
      <c r="D93" s="3143" t="str">
        <f ca="1">IFERROR(INDEX(Ink!$A:$AU,MATCH($C93,Ink!$AU:$AU,0),1),"")</f>
        <v/>
      </c>
      <c r="E93" s="3143" t="str">
        <f ca="1">IFERROR(INDEX(Ink!$A:$AU,MATCH($C93,Ink!$AU:$AU,0),4),"")</f>
        <v/>
      </c>
      <c r="F93" s="3143" t="s">
        <v>3651</v>
      </c>
      <c r="G93" s="3599" t="str">
        <f ca="1">IFERROR(INDEX(Ink!$A:$AU,MATCH($C93,Ink!$AU:$AU,0),9)/'ACC &amp; Other Material '!$E$2*10^3,"")</f>
        <v/>
      </c>
      <c r="H93" s="3599" t="str">
        <f ca="1">IFERROR(INDEX(Ink!$A:$AU,MATCH($C93,Ink!$AU:$AU,0),10)/'ACC &amp; Other Material '!$E$2*10^3,"")</f>
        <v/>
      </c>
      <c r="I93" s="3153" t="str">
        <f ca="1">IFERROR(INDEX(Ink!$A:$AU,MATCH($C93,Ink!$AU:$AU,0),13),"")</f>
        <v/>
      </c>
      <c r="J93" s="3153" t="str">
        <f ca="1">IFERROR(INDEX(Ink!$A:$AU,MATCH($C93,Ink!$AU:$AU,0),13)*(1+Ink!$M$5),"")</f>
        <v/>
      </c>
    </row>
    <row r="94" spans="2:10" ht="21.75">
      <c r="B94" s="3143" t="s">
        <v>213</v>
      </c>
      <c r="C94" s="3143">
        <f t="shared" si="1"/>
        <v>31</v>
      </c>
      <c r="D94" s="3143" t="str">
        <f ca="1">IFERROR(INDEX(Ink!$A:$AU,MATCH($C94,Ink!$AU:$AU,0),1),"")</f>
        <v/>
      </c>
      <c r="E94" s="3143" t="str">
        <f ca="1">IFERROR(INDEX(Ink!$A:$AU,MATCH($C94,Ink!$AU:$AU,0),4),"")</f>
        <v/>
      </c>
      <c r="F94" s="3143" t="s">
        <v>3651</v>
      </c>
      <c r="G94" s="3599" t="str">
        <f ca="1">IFERROR(INDEX(Ink!$A:$AU,MATCH($C94,Ink!$AU:$AU,0),9)/'ACC &amp; Other Material '!$E$2*10^3,"")</f>
        <v/>
      </c>
      <c r="H94" s="3599" t="str">
        <f ca="1">IFERROR(INDEX(Ink!$A:$AU,MATCH($C94,Ink!$AU:$AU,0),10)/'ACC &amp; Other Material '!$E$2*10^3,"")</f>
        <v/>
      </c>
      <c r="I94" s="3153" t="str">
        <f ca="1">IFERROR(INDEX(Ink!$A:$AU,MATCH($C94,Ink!$AU:$AU,0),13),"")</f>
        <v/>
      </c>
      <c r="J94" s="3153" t="str">
        <f ca="1">IFERROR(INDEX(Ink!$A:$AU,MATCH($C94,Ink!$AU:$AU,0),13)*(1+Ink!$M$5),"")</f>
        <v/>
      </c>
    </row>
    <row r="95" spans="2:10" ht="21.75">
      <c r="B95" s="3143" t="s">
        <v>213</v>
      </c>
      <c r="C95" s="3143">
        <f t="shared" si="1"/>
        <v>32</v>
      </c>
      <c r="D95" s="3143" t="str">
        <f ca="1">IFERROR(INDEX(Ink!$A:$AU,MATCH($C95,Ink!$AU:$AU,0),1),"")</f>
        <v/>
      </c>
      <c r="E95" s="3143" t="str">
        <f ca="1">IFERROR(INDEX(Ink!$A:$AU,MATCH($C95,Ink!$AU:$AU,0),4),"")</f>
        <v/>
      </c>
      <c r="F95" s="3143" t="s">
        <v>3651</v>
      </c>
      <c r="G95" s="3599" t="str">
        <f ca="1">IFERROR(INDEX(Ink!$A:$AU,MATCH($C95,Ink!$AU:$AU,0),9)/'ACC &amp; Other Material '!$E$2*10^3,"")</f>
        <v/>
      </c>
      <c r="H95" s="3599" t="str">
        <f ca="1">IFERROR(INDEX(Ink!$A:$AU,MATCH($C95,Ink!$AU:$AU,0),10)/'ACC &amp; Other Material '!$E$2*10^3,"")</f>
        <v/>
      </c>
      <c r="I95" s="3153" t="str">
        <f ca="1">IFERROR(INDEX(Ink!$A:$AU,MATCH($C95,Ink!$AU:$AU,0),13),"")</f>
        <v/>
      </c>
      <c r="J95" s="3153" t="str">
        <f ca="1">IFERROR(INDEX(Ink!$A:$AU,MATCH($C95,Ink!$AU:$AU,0),13)*(1+Ink!$M$5),"")</f>
        <v/>
      </c>
    </row>
    <row r="96" spans="2:10" ht="21.75">
      <c r="B96" s="3143" t="s">
        <v>213</v>
      </c>
      <c r="C96" s="3143">
        <f t="shared" si="1"/>
        <v>33</v>
      </c>
      <c r="D96" s="3143" t="str">
        <f ca="1">IFERROR(INDEX(Ink!$A:$AU,MATCH($C96,Ink!$AU:$AU,0),1),"")</f>
        <v/>
      </c>
      <c r="E96" s="3143" t="str">
        <f ca="1">IFERROR(INDEX(Ink!$A:$AU,MATCH($C96,Ink!$AU:$AU,0),4),"")</f>
        <v/>
      </c>
      <c r="F96" s="3143" t="s">
        <v>3651</v>
      </c>
      <c r="G96" s="3599" t="str">
        <f ca="1">IFERROR(INDEX(Ink!$A:$AU,MATCH($C96,Ink!$AU:$AU,0),9)/'ACC &amp; Other Material '!$E$2*10^3,"")</f>
        <v/>
      </c>
      <c r="H96" s="3599" t="str">
        <f ca="1">IFERROR(INDEX(Ink!$A:$AU,MATCH($C96,Ink!$AU:$AU,0),10)/'ACC &amp; Other Material '!$E$2*10^3,"")</f>
        <v/>
      </c>
      <c r="I96" s="3153" t="str">
        <f ca="1">IFERROR(INDEX(Ink!$A:$AU,MATCH($C96,Ink!$AU:$AU,0),13),"")</f>
        <v/>
      </c>
      <c r="J96" s="3153" t="str">
        <f ca="1">IFERROR(INDEX(Ink!$A:$AU,MATCH($C96,Ink!$AU:$AU,0),13)*(1+Ink!$M$5),"")</f>
        <v/>
      </c>
    </row>
    <row r="97" spans="2:10" ht="21.75">
      <c r="B97" s="3143" t="s">
        <v>213</v>
      </c>
      <c r="C97" s="3143">
        <f t="shared" si="1"/>
        <v>34</v>
      </c>
      <c r="D97" s="3143" t="str">
        <f ca="1">IFERROR(INDEX(Ink!$A:$AU,MATCH($C97,Ink!$AU:$AU,0),1),"")</f>
        <v/>
      </c>
      <c r="E97" s="3143" t="str">
        <f ca="1">IFERROR(INDEX(Ink!$A:$AU,MATCH($C97,Ink!$AU:$AU,0),4),"")</f>
        <v/>
      </c>
      <c r="F97" s="3143" t="s">
        <v>3651</v>
      </c>
      <c r="G97" s="3599" t="str">
        <f ca="1">IFERROR(INDEX(Ink!$A:$AU,MATCH($C97,Ink!$AU:$AU,0),9)/'ACC &amp; Other Material '!$E$2*10^3,"")</f>
        <v/>
      </c>
      <c r="H97" s="3599" t="str">
        <f ca="1">IFERROR(INDEX(Ink!$A:$AU,MATCH($C97,Ink!$AU:$AU,0),10)/'ACC &amp; Other Material '!$E$2*10^3,"")</f>
        <v/>
      </c>
      <c r="I97" s="3153" t="str">
        <f ca="1">IFERROR(INDEX(Ink!$A:$AU,MATCH($C97,Ink!$AU:$AU,0),13),"")</f>
        <v/>
      </c>
      <c r="J97" s="3153" t="str">
        <f ca="1">IFERROR(INDEX(Ink!$A:$AU,MATCH($C97,Ink!$AU:$AU,0),13)*(1+Ink!$M$5),"")</f>
        <v/>
      </c>
    </row>
    <row r="98" spans="2:10" ht="21.75">
      <c r="B98" s="3143" t="s">
        <v>213</v>
      </c>
      <c r="C98" s="3143">
        <f t="shared" si="1"/>
        <v>35</v>
      </c>
      <c r="D98" s="3143" t="str">
        <f ca="1">IFERROR(INDEX(Ink!$A:$AU,MATCH($C98,Ink!$AU:$AU,0),1),"")</f>
        <v/>
      </c>
      <c r="E98" s="3143" t="str">
        <f ca="1">IFERROR(INDEX(Ink!$A:$AU,MATCH($C98,Ink!$AU:$AU,0),4),"")</f>
        <v/>
      </c>
      <c r="F98" s="3143" t="s">
        <v>3651</v>
      </c>
      <c r="G98" s="3599" t="str">
        <f ca="1">IFERROR(INDEX(Ink!$A:$AU,MATCH($C98,Ink!$AU:$AU,0),9)/'ACC &amp; Other Material '!$E$2*10^3,"")</f>
        <v/>
      </c>
      <c r="H98" s="3599" t="str">
        <f ca="1">IFERROR(INDEX(Ink!$A:$AU,MATCH($C98,Ink!$AU:$AU,0),10)/'ACC &amp; Other Material '!$E$2*10^3,"")</f>
        <v/>
      </c>
      <c r="I98" s="3153" t="str">
        <f ca="1">IFERROR(INDEX(Ink!$A:$AU,MATCH($C98,Ink!$AU:$AU,0),13),"")</f>
        <v/>
      </c>
      <c r="J98" s="3153" t="str">
        <f ca="1">IFERROR(INDEX(Ink!$A:$AU,MATCH($C98,Ink!$AU:$AU,0),13)*(1+Ink!$M$5),"")</f>
        <v/>
      </c>
    </row>
    <row r="99" spans="2:10" ht="21.75">
      <c r="B99" s="3143" t="s">
        <v>213</v>
      </c>
      <c r="C99" s="3143">
        <f t="shared" si="1"/>
        <v>36</v>
      </c>
      <c r="D99" s="3143" t="str">
        <f ca="1">IFERROR(INDEX(Ink!$A:$AU,MATCH($C99,Ink!$AU:$AU,0),1),"")</f>
        <v/>
      </c>
      <c r="E99" s="3143" t="str">
        <f ca="1">IFERROR(INDEX(Ink!$A:$AU,MATCH($C99,Ink!$AU:$AU,0),4),"")</f>
        <v/>
      </c>
      <c r="F99" s="3143" t="s">
        <v>3651</v>
      </c>
      <c r="G99" s="3599" t="str">
        <f ca="1">IFERROR(INDEX(Ink!$A:$AU,MATCH($C99,Ink!$AU:$AU,0),9)/'ACC &amp; Other Material '!$E$2*10^3,"")</f>
        <v/>
      </c>
      <c r="H99" s="3599" t="str">
        <f ca="1">IFERROR(INDEX(Ink!$A:$AU,MATCH($C99,Ink!$AU:$AU,0),10)/'ACC &amp; Other Material '!$E$2*10^3,"")</f>
        <v/>
      </c>
      <c r="I99" s="3153" t="str">
        <f ca="1">IFERROR(INDEX(Ink!$A:$AU,MATCH($C99,Ink!$AU:$AU,0),13),"")</f>
        <v/>
      </c>
      <c r="J99" s="3153" t="str">
        <f ca="1">IFERROR(INDEX(Ink!$A:$AU,MATCH($C99,Ink!$AU:$AU,0),13)*(1+Ink!$M$5),"")</f>
        <v/>
      </c>
    </row>
    <row r="100" spans="2:10" ht="21.75">
      <c r="B100" s="3143" t="s">
        <v>213</v>
      </c>
      <c r="C100" s="3143">
        <f t="shared" si="1"/>
        <v>37</v>
      </c>
      <c r="D100" s="3143" t="str">
        <f ca="1">IFERROR(INDEX(Ink!$A:$AU,MATCH($C100,Ink!$AU:$AU,0),1),"")</f>
        <v/>
      </c>
      <c r="E100" s="3143" t="str">
        <f ca="1">IFERROR(INDEX(Ink!$A:$AU,MATCH($C100,Ink!$AU:$AU,0),4),"")</f>
        <v/>
      </c>
      <c r="F100" s="3143" t="s">
        <v>3651</v>
      </c>
      <c r="G100" s="3599" t="str">
        <f ca="1">IFERROR(INDEX(Ink!$A:$AU,MATCH($C100,Ink!$AU:$AU,0),9)/'ACC &amp; Other Material '!$E$2*10^3,"")</f>
        <v/>
      </c>
      <c r="H100" s="3599" t="str">
        <f ca="1">IFERROR(INDEX(Ink!$A:$AU,MATCH($C100,Ink!$AU:$AU,0),10)/'ACC &amp; Other Material '!$E$2*10^3,"")</f>
        <v/>
      </c>
      <c r="I100" s="3153" t="str">
        <f ca="1">IFERROR(INDEX(Ink!$A:$AU,MATCH($C100,Ink!$AU:$AU,0),13),"")</f>
        <v/>
      </c>
      <c r="J100" s="3153" t="str">
        <f ca="1">IFERROR(INDEX(Ink!$A:$AU,MATCH($C100,Ink!$AU:$AU,0),13)*(1+Ink!$M$5),"")</f>
        <v/>
      </c>
    </row>
    <row r="101" spans="2:10" ht="21.75">
      <c r="B101" s="3143" t="s">
        <v>213</v>
      </c>
      <c r="C101" s="3143">
        <f t="shared" si="1"/>
        <v>38</v>
      </c>
      <c r="D101" s="3143" t="str">
        <f ca="1">IFERROR(INDEX(Ink!$A:$AU,MATCH($C101,Ink!$AU:$AU,0),1),"")</f>
        <v/>
      </c>
      <c r="E101" s="3143" t="str">
        <f ca="1">IFERROR(INDEX(Ink!$A:$AU,MATCH($C101,Ink!$AU:$AU,0),4),"")</f>
        <v/>
      </c>
      <c r="F101" s="3143" t="s">
        <v>3651</v>
      </c>
      <c r="G101" s="3599" t="str">
        <f ca="1">IFERROR(INDEX(Ink!$A:$AU,MATCH($C101,Ink!$AU:$AU,0),9)/'ACC &amp; Other Material '!$E$2*10^3,"")</f>
        <v/>
      </c>
      <c r="H101" s="3599" t="str">
        <f ca="1">IFERROR(INDEX(Ink!$A:$AU,MATCH($C101,Ink!$AU:$AU,0),10)/'ACC &amp; Other Material '!$E$2*10^3,"")</f>
        <v/>
      </c>
      <c r="I101" s="3153" t="str">
        <f ca="1">IFERROR(INDEX(Ink!$A:$AU,MATCH($C101,Ink!$AU:$AU,0),13),"")</f>
        <v/>
      </c>
      <c r="J101" s="3153" t="str">
        <f ca="1">IFERROR(INDEX(Ink!$A:$AU,MATCH($C101,Ink!$AU:$AU,0),13)*(1+Ink!$M$5),"")</f>
        <v/>
      </c>
    </row>
    <row r="102" spans="2:10" ht="21.75">
      <c r="B102" s="3143" t="s">
        <v>213</v>
      </c>
      <c r="C102" s="3143">
        <f t="shared" si="1"/>
        <v>39</v>
      </c>
      <c r="D102" s="3143" t="str">
        <f ca="1">IFERROR(INDEX(Ink!$A:$AU,MATCH($C102,Ink!$AU:$AU,0),1),"")</f>
        <v/>
      </c>
      <c r="E102" s="3143" t="str">
        <f ca="1">IFERROR(INDEX(Ink!$A:$AU,MATCH($C102,Ink!$AU:$AU,0),4),"")</f>
        <v/>
      </c>
      <c r="F102" s="3143" t="s">
        <v>3651</v>
      </c>
      <c r="G102" s="3599" t="str">
        <f ca="1">IFERROR(INDEX(Ink!$A:$AU,MATCH($C102,Ink!$AU:$AU,0),9)/'ACC &amp; Other Material '!$E$2*10^3,"")</f>
        <v/>
      </c>
      <c r="H102" s="3599" t="str">
        <f ca="1">IFERROR(INDEX(Ink!$A:$AU,MATCH($C102,Ink!$AU:$AU,0),10)/'ACC &amp; Other Material '!$E$2*10^3,"")</f>
        <v/>
      </c>
      <c r="I102" s="3153" t="str">
        <f ca="1">IFERROR(INDEX(Ink!$A:$AU,MATCH($C102,Ink!$AU:$AU,0),13),"")</f>
        <v/>
      </c>
      <c r="J102" s="3153" t="str">
        <f ca="1">IFERROR(INDEX(Ink!$A:$AU,MATCH($C102,Ink!$AU:$AU,0),13)*(1+Ink!$M$5),"")</f>
        <v/>
      </c>
    </row>
    <row r="103" spans="2:10" ht="21.75">
      <c r="B103" s="3143" t="s">
        <v>213</v>
      </c>
      <c r="C103" s="3143">
        <f t="shared" si="1"/>
        <v>40</v>
      </c>
      <c r="D103" s="3143" t="str">
        <f ca="1">IFERROR(INDEX(Ink!$A:$AU,MATCH($C103,Ink!$AU:$AU,0),1),"")</f>
        <v/>
      </c>
      <c r="E103" s="3143" t="str">
        <f ca="1">IFERROR(INDEX(Ink!$A:$AU,MATCH($C103,Ink!$AU:$AU,0),4),"")</f>
        <v/>
      </c>
      <c r="F103" s="3143" t="s">
        <v>3651</v>
      </c>
      <c r="G103" s="3599" t="str">
        <f ca="1">IFERROR(INDEX(Ink!$A:$AU,MATCH($C103,Ink!$AU:$AU,0),9)/'ACC &amp; Other Material '!$E$2*10^3,"")</f>
        <v/>
      </c>
      <c r="H103" s="3599" t="str">
        <f ca="1">IFERROR(INDEX(Ink!$A:$AU,MATCH($C103,Ink!$AU:$AU,0),10)/'ACC &amp; Other Material '!$E$2*10^3,"")</f>
        <v/>
      </c>
      <c r="I103" s="3153" t="str">
        <f ca="1">IFERROR(INDEX(Ink!$A:$AU,MATCH($C103,Ink!$AU:$AU,0),13),"")</f>
        <v/>
      </c>
      <c r="J103" s="3153" t="str">
        <f ca="1">IFERROR(INDEX(Ink!$A:$AU,MATCH($C103,Ink!$AU:$AU,0),13)*(1+Ink!$M$5),"")</f>
        <v/>
      </c>
    </row>
    <row r="104" spans="2:10" ht="21.75">
      <c r="B104" s="3143" t="s">
        <v>213</v>
      </c>
      <c r="C104" s="3143">
        <f t="shared" si="1"/>
        <v>41</v>
      </c>
      <c r="D104" s="3143" t="str">
        <f ca="1">IFERROR(INDEX(Ink!$A:$AU,MATCH($C104,Ink!$AU:$AU,0),1),"")</f>
        <v/>
      </c>
      <c r="E104" s="3143" t="str">
        <f ca="1">IFERROR(INDEX(Ink!$A:$AU,MATCH($C104,Ink!$AU:$AU,0),4),"")</f>
        <v/>
      </c>
      <c r="F104" s="3143" t="s">
        <v>3651</v>
      </c>
      <c r="G104" s="3599" t="str">
        <f ca="1">IFERROR(INDEX(Ink!$A:$AU,MATCH($C104,Ink!$AU:$AU,0),9)/'ACC &amp; Other Material '!$E$2*10^3,"")</f>
        <v/>
      </c>
      <c r="H104" s="3599" t="str">
        <f ca="1">IFERROR(INDEX(Ink!$A:$AU,MATCH($C104,Ink!$AU:$AU,0),10)/'ACC &amp; Other Material '!$E$2*10^3,"")</f>
        <v/>
      </c>
      <c r="I104" s="3153" t="str">
        <f ca="1">IFERROR(INDEX(Ink!$A:$AU,MATCH($C104,Ink!$AU:$AU,0),13),"")</f>
        <v/>
      </c>
      <c r="J104" s="3153" t="str">
        <f ca="1">IFERROR(INDEX(Ink!$A:$AU,MATCH($C104,Ink!$AU:$AU,0),13)*(1+Ink!$M$5),"")</f>
        <v/>
      </c>
    </row>
    <row r="105" spans="2:10" ht="21.75">
      <c r="B105" s="3143" t="s">
        <v>213</v>
      </c>
      <c r="C105" s="3143">
        <f t="shared" si="1"/>
        <v>42</v>
      </c>
      <c r="D105" s="3143" t="str">
        <f ca="1">IFERROR(INDEX(Ink!$A:$AU,MATCH($C105,Ink!$AU:$AU,0),1),"")</f>
        <v/>
      </c>
      <c r="E105" s="3143" t="str">
        <f ca="1">IFERROR(INDEX(Ink!$A:$AU,MATCH($C105,Ink!$AU:$AU,0),4),"")</f>
        <v/>
      </c>
      <c r="F105" s="3143" t="s">
        <v>3651</v>
      </c>
      <c r="G105" s="3599" t="str">
        <f ca="1">IFERROR(INDEX(Ink!$A:$AU,MATCH($C105,Ink!$AU:$AU,0),9)/'ACC &amp; Other Material '!$E$2*10^3,"")</f>
        <v/>
      </c>
      <c r="H105" s="3599" t="str">
        <f ca="1">IFERROR(INDEX(Ink!$A:$AU,MATCH($C105,Ink!$AU:$AU,0),10)/'ACC &amp; Other Material '!$E$2*10^3,"")</f>
        <v/>
      </c>
      <c r="I105" s="3153" t="str">
        <f ca="1">IFERROR(INDEX(Ink!$A:$AU,MATCH($C105,Ink!$AU:$AU,0),13),"")</f>
        <v/>
      </c>
      <c r="J105" s="3153" t="str">
        <f ca="1">IFERROR(INDEX(Ink!$A:$AU,MATCH($C105,Ink!$AU:$AU,0),13)*(1+Ink!$M$5),"")</f>
        <v/>
      </c>
    </row>
    <row r="106" spans="2:10" ht="21.75">
      <c r="B106" s="3143" t="s">
        <v>213</v>
      </c>
      <c r="C106" s="3143">
        <f t="shared" si="1"/>
        <v>43</v>
      </c>
      <c r="D106" s="3143" t="str">
        <f ca="1">IFERROR(INDEX(Ink!$A:$AU,MATCH($C106,Ink!$AU:$AU,0),1),"")</f>
        <v/>
      </c>
      <c r="E106" s="3143" t="str">
        <f ca="1">IFERROR(INDEX(Ink!$A:$AU,MATCH($C106,Ink!$AU:$AU,0),4),"")</f>
        <v/>
      </c>
      <c r="F106" s="3143" t="s">
        <v>3651</v>
      </c>
      <c r="G106" s="3599" t="str">
        <f ca="1">IFERROR(INDEX(Ink!$A:$AU,MATCH($C106,Ink!$AU:$AU,0),9)/'ACC &amp; Other Material '!$E$2*10^3,"")</f>
        <v/>
      </c>
      <c r="H106" s="3599" t="str">
        <f ca="1">IFERROR(INDEX(Ink!$A:$AU,MATCH($C106,Ink!$AU:$AU,0),10)/'ACC &amp; Other Material '!$E$2*10^3,"")</f>
        <v/>
      </c>
      <c r="I106" s="3153" t="str">
        <f ca="1">IFERROR(INDEX(Ink!$A:$AU,MATCH($C106,Ink!$AU:$AU,0),13),"")</f>
        <v/>
      </c>
      <c r="J106" s="3153" t="str">
        <f ca="1">IFERROR(INDEX(Ink!$A:$AU,MATCH($C106,Ink!$AU:$AU,0),13)*(1+Ink!$M$5),"")</f>
        <v/>
      </c>
    </row>
    <row r="107" spans="2:10" ht="21.75">
      <c r="B107" s="3143" t="s">
        <v>213</v>
      </c>
      <c r="C107" s="3143">
        <f t="shared" si="1"/>
        <v>44</v>
      </c>
      <c r="D107" s="3143" t="str">
        <f ca="1">IFERROR(INDEX(Ink!$A:$AU,MATCH($C107,Ink!$AU:$AU,0),1),"")</f>
        <v/>
      </c>
      <c r="E107" s="3143" t="str">
        <f ca="1">IFERROR(INDEX(Ink!$A:$AU,MATCH($C107,Ink!$AU:$AU,0),4),"")</f>
        <v/>
      </c>
      <c r="F107" s="3143" t="s">
        <v>3651</v>
      </c>
      <c r="G107" s="3599" t="str">
        <f ca="1">IFERROR(INDEX(Ink!$A:$AU,MATCH($C107,Ink!$AU:$AU,0),9)/'ACC &amp; Other Material '!$E$2*10^3,"")</f>
        <v/>
      </c>
      <c r="H107" s="3599" t="str">
        <f ca="1">IFERROR(INDEX(Ink!$A:$AU,MATCH($C107,Ink!$AU:$AU,0),10)/'ACC &amp; Other Material '!$E$2*10^3,"")</f>
        <v/>
      </c>
      <c r="I107" s="3153" t="str">
        <f ca="1">IFERROR(INDEX(Ink!$A:$AU,MATCH($C107,Ink!$AU:$AU,0),13),"")</f>
        <v/>
      </c>
      <c r="J107" s="3153" t="str">
        <f ca="1">IFERROR(INDEX(Ink!$A:$AU,MATCH($C107,Ink!$AU:$AU,0),13)*(1+Ink!$M$5),"")</f>
        <v/>
      </c>
    </row>
    <row r="108" spans="2:10" ht="21.75">
      <c r="B108" s="3143" t="s">
        <v>213</v>
      </c>
      <c r="C108" s="3143">
        <f t="shared" si="1"/>
        <v>45</v>
      </c>
      <c r="D108" s="3143" t="str">
        <f ca="1">IFERROR(INDEX(Ink!$A:$AU,MATCH($C108,Ink!$AU:$AU,0),1),"")</f>
        <v/>
      </c>
      <c r="E108" s="3143" t="str">
        <f ca="1">IFERROR(INDEX(Ink!$A:$AU,MATCH($C108,Ink!$AU:$AU,0),4),"")</f>
        <v/>
      </c>
      <c r="F108" s="3143" t="s">
        <v>3651</v>
      </c>
      <c r="G108" s="3599" t="str">
        <f ca="1">IFERROR(INDEX(Ink!$A:$AU,MATCH($C108,Ink!$AU:$AU,0),9)/'ACC &amp; Other Material '!$E$2*10^3,"")</f>
        <v/>
      </c>
      <c r="H108" s="3599" t="str">
        <f ca="1">IFERROR(INDEX(Ink!$A:$AU,MATCH($C108,Ink!$AU:$AU,0),10)/'ACC &amp; Other Material '!$E$2*10^3,"")</f>
        <v/>
      </c>
      <c r="I108" s="3153" t="str">
        <f ca="1">IFERROR(INDEX(Ink!$A:$AU,MATCH($C108,Ink!$AU:$AU,0),13),"")</f>
        <v/>
      </c>
      <c r="J108" s="3153" t="str">
        <f ca="1">IFERROR(INDEX(Ink!$A:$AU,MATCH($C108,Ink!$AU:$AU,0),13)*(1+Ink!$M$5),"")</f>
        <v/>
      </c>
    </row>
    <row r="109" spans="2:10" ht="21.75">
      <c r="B109" s="3143" t="s">
        <v>213</v>
      </c>
      <c r="C109" s="3143">
        <f t="shared" si="1"/>
        <v>46</v>
      </c>
      <c r="D109" s="3143" t="str">
        <f ca="1">IFERROR(INDEX(Ink!$A:$AU,MATCH($C109,Ink!$AU:$AU,0),1),"")</f>
        <v/>
      </c>
      <c r="E109" s="3143" t="str">
        <f ca="1">IFERROR(INDEX(Ink!$A:$AU,MATCH($C109,Ink!$AU:$AU,0),4),"")</f>
        <v/>
      </c>
      <c r="F109" s="3143" t="s">
        <v>3651</v>
      </c>
      <c r="G109" s="3599" t="str">
        <f ca="1">IFERROR(INDEX(Ink!$A:$AU,MATCH($C109,Ink!$AU:$AU,0),9)/'ACC &amp; Other Material '!$E$2*10^3,"")</f>
        <v/>
      </c>
      <c r="H109" s="3599" t="str">
        <f ca="1">IFERROR(INDEX(Ink!$A:$AU,MATCH($C109,Ink!$AU:$AU,0),10)/'ACC &amp; Other Material '!$E$2*10^3,"")</f>
        <v/>
      </c>
      <c r="I109" s="3153" t="str">
        <f ca="1">IFERROR(INDEX(Ink!$A:$AU,MATCH($C109,Ink!$AU:$AU,0),13),"")</f>
        <v/>
      </c>
      <c r="J109" s="3153" t="str">
        <f ca="1">IFERROR(INDEX(Ink!$A:$AU,MATCH($C109,Ink!$AU:$AU,0),13)*(1+Ink!$M$5),"")</f>
        <v/>
      </c>
    </row>
    <row r="110" spans="2:10" ht="21.75">
      <c r="B110" s="3143" t="s">
        <v>213</v>
      </c>
      <c r="C110" s="3143">
        <f t="shared" si="1"/>
        <v>47</v>
      </c>
      <c r="D110" s="3143" t="str">
        <f ca="1">IFERROR(INDEX(Ink!$A:$AU,MATCH($C110,Ink!$AU:$AU,0),1),"")</f>
        <v/>
      </c>
      <c r="E110" s="3143" t="str">
        <f ca="1">IFERROR(INDEX(Ink!$A:$AU,MATCH($C110,Ink!$AU:$AU,0),4),"")</f>
        <v/>
      </c>
      <c r="F110" s="3143" t="s">
        <v>3651</v>
      </c>
      <c r="G110" s="3599" t="str">
        <f ca="1">IFERROR(INDEX(Ink!$A:$AU,MATCH($C110,Ink!$AU:$AU,0),9)/'ACC &amp; Other Material '!$E$2*10^3,"")</f>
        <v/>
      </c>
      <c r="H110" s="3599" t="str">
        <f ca="1">IFERROR(INDEX(Ink!$A:$AU,MATCH($C110,Ink!$AU:$AU,0),10)/'ACC &amp; Other Material '!$E$2*10^3,"")</f>
        <v/>
      </c>
      <c r="I110" s="3153" t="str">
        <f ca="1">IFERROR(INDEX(Ink!$A:$AU,MATCH($C110,Ink!$AU:$AU,0),13),"")</f>
        <v/>
      </c>
      <c r="J110" s="3153" t="str">
        <f ca="1">IFERROR(INDEX(Ink!$A:$AU,MATCH($C110,Ink!$AU:$AU,0),13)*(1+Ink!$M$5),"")</f>
        <v/>
      </c>
    </row>
    <row r="111" spans="2:10" ht="21.75">
      <c r="B111" s="3143" t="s">
        <v>213</v>
      </c>
      <c r="C111" s="3143">
        <f t="shared" si="1"/>
        <v>48</v>
      </c>
      <c r="D111" s="3143" t="str">
        <f ca="1">IFERROR(INDEX(Ink!$A:$AU,MATCH($C111,Ink!$AU:$AU,0),1),"")</f>
        <v/>
      </c>
      <c r="E111" s="3143" t="str">
        <f ca="1">IFERROR(INDEX(Ink!$A:$AU,MATCH($C111,Ink!$AU:$AU,0),4),"")</f>
        <v/>
      </c>
      <c r="F111" s="3143" t="s">
        <v>3651</v>
      </c>
      <c r="G111" s="3599" t="str">
        <f ca="1">IFERROR(INDEX(Ink!$A:$AU,MATCH($C111,Ink!$AU:$AU,0),9)/'ACC &amp; Other Material '!$E$2*10^3,"")</f>
        <v/>
      </c>
      <c r="H111" s="3599" t="str">
        <f ca="1">IFERROR(INDEX(Ink!$A:$AU,MATCH($C111,Ink!$AU:$AU,0),10)/'ACC &amp; Other Material '!$E$2*10^3,"")</f>
        <v/>
      </c>
      <c r="I111" s="3153" t="str">
        <f ca="1">IFERROR(INDEX(Ink!$A:$AU,MATCH($C111,Ink!$AU:$AU,0),13),"")</f>
        <v/>
      </c>
      <c r="J111" s="3153" t="str">
        <f ca="1">IFERROR(INDEX(Ink!$A:$AU,MATCH($C111,Ink!$AU:$AU,0),13)*(1+Ink!$M$5),"")</f>
        <v/>
      </c>
    </row>
    <row r="112" spans="2:10" ht="21.75">
      <c r="B112" s="3143" t="s">
        <v>213</v>
      </c>
      <c r="C112" s="3143">
        <f t="shared" si="1"/>
        <v>49</v>
      </c>
      <c r="D112" s="3143" t="str">
        <f ca="1">IFERROR(INDEX(Ink!$A:$AU,MATCH($C112,Ink!$AU:$AU,0),1),"")</f>
        <v/>
      </c>
      <c r="E112" s="3143" t="str">
        <f ca="1">IFERROR(INDEX(Ink!$A:$AU,MATCH($C112,Ink!$AU:$AU,0),4),"")</f>
        <v/>
      </c>
      <c r="F112" s="3143" t="s">
        <v>3651</v>
      </c>
      <c r="G112" s="3599" t="str">
        <f ca="1">IFERROR(INDEX(Ink!$A:$AU,MATCH($C112,Ink!$AU:$AU,0),9)/'ACC &amp; Other Material '!$E$2*10^3,"")</f>
        <v/>
      </c>
      <c r="H112" s="3599" t="str">
        <f ca="1">IFERROR(INDEX(Ink!$A:$AU,MATCH($C112,Ink!$AU:$AU,0),10)/'ACC &amp; Other Material '!$E$2*10^3,"")</f>
        <v/>
      </c>
      <c r="I112" s="3153" t="str">
        <f ca="1">IFERROR(INDEX(Ink!$A:$AU,MATCH($C112,Ink!$AU:$AU,0),13),"")</f>
        <v/>
      </c>
      <c r="J112" s="3153" t="str">
        <f ca="1">IFERROR(INDEX(Ink!$A:$AU,MATCH($C112,Ink!$AU:$AU,0),13)*(1+Ink!$M$5),"")</f>
        <v/>
      </c>
    </row>
    <row r="113" spans="2:10" ht="21.75">
      <c r="B113" s="3143" t="s">
        <v>213</v>
      </c>
      <c r="C113" s="3143">
        <f t="shared" si="1"/>
        <v>50</v>
      </c>
      <c r="D113" s="3143" t="str">
        <f ca="1">IFERROR(INDEX(Ink!$A:$AU,MATCH($C113,Ink!$AU:$AU,0),1),"")</f>
        <v/>
      </c>
      <c r="E113" s="3143" t="str">
        <f ca="1">IFERROR(INDEX(Ink!$A:$AU,MATCH($C113,Ink!$AU:$AU,0),4),"")</f>
        <v/>
      </c>
      <c r="F113" s="3143" t="s">
        <v>3651</v>
      </c>
      <c r="G113" s="3599" t="str">
        <f ca="1">IFERROR(INDEX(Ink!$A:$AU,MATCH($C113,Ink!$AU:$AU,0),9)/'ACC &amp; Other Material '!$E$2*10^3,"")</f>
        <v/>
      </c>
      <c r="H113" s="3599" t="str">
        <f ca="1">IFERROR(INDEX(Ink!$A:$AU,MATCH($C113,Ink!$AU:$AU,0),10)/'ACC &amp; Other Material '!$E$2*10^3,"")</f>
        <v/>
      </c>
      <c r="I113" s="3153" t="str">
        <f ca="1">IFERROR(INDEX(Ink!$A:$AU,MATCH($C113,Ink!$AU:$AU,0),13),"")</f>
        <v/>
      </c>
      <c r="J113" s="3153" t="str">
        <f ca="1">IFERROR(INDEX(Ink!$A:$AU,MATCH($C113,Ink!$AU:$AU,0),13)*(1+Ink!$M$5),"")</f>
        <v/>
      </c>
    </row>
    <row r="114" spans="2:10" ht="21.75">
      <c r="B114" s="3143" t="s">
        <v>213</v>
      </c>
      <c r="C114" s="3143">
        <f t="shared" si="1"/>
        <v>51</v>
      </c>
      <c r="D114" s="3143" t="str">
        <f ca="1">IFERROR(INDEX(Ink!$A:$AU,MATCH($C114,Ink!$AU:$AU,0),1),"")</f>
        <v/>
      </c>
      <c r="E114" s="3143" t="str">
        <f ca="1">IFERROR(INDEX(Ink!$A:$AU,MATCH($C114,Ink!$AU:$AU,0),4),"")</f>
        <v/>
      </c>
      <c r="F114" s="3143" t="s">
        <v>3651</v>
      </c>
      <c r="G114" s="3599" t="str">
        <f ca="1">IFERROR(INDEX(Ink!$A:$AU,MATCH($C114,Ink!$AU:$AU,0),9)/'ACC &amp; Other Material '!$E$2*10^3,"")</f>
        <v/>
      </c>
      <c r="H114" s="3599" t="str">
        <f ca="1">IFERROR(INDEX(Ink!$A:$AU,MATCH($C114,Ink!$AU:$AU,0),10)/'ACC &amp; Other Material '!$E$2*10^3,"")</f>
        <v/>
      </c>
      <c r="I114" s="3153" t="str">
        <f ca="1">IFERROR(INDEX(Ink!$A:$AU,MATCH($C114,Ink!$AU:$AU,0),13),"")</f>
        <v/>
      </c>
      <c r="J114" s="3153" t="str">
        <f ca="1">IFERROR(INDEX(Ink!$A:$AU,MATCH($C114,Ink!$AU:$AU,0),13)*(1+Ink!$M$5),"")</f>
        <v/>
      </c>
    </row>
    <row r="115" spans="2:10" ht="21.75">
      <c r="B115" s="3143" t="s">
        <v>213</v>
      </c>
      <c r="C115" s="3143">
        <f t="shared" si="1"/>
        <v>52</v>
      </c>
      <c r="D115" s="3143" t="str">
        <f ca="1">IFERROR(INDEX(Ink!$A:$AU,MATCH($C115,Ink!$AU:$AU,0),1),"")</f>
        <v/>
      </c>
      <c r="E115" s="3143" t="str">
        <f ca="1">IFERROR(INDEX(Ink!$A:$AU,MATCH($C115,Ink!$AU:$AU,0),4),"")</f>
        <v/>
      </c>
      <c r="F115" s="3143" t="s">
        <v>3651</v>
      </c>
      <c r="G115" s="3599" t="str">
        <f ca="1">IFERROR(INDEX(Ink!$A:$AU,MATCH($C115,Ink!$AU:$AU,0),9)/'ACC &amp; Other Material '!$E$2*10^3,"")</f>
        <v/>
      </c>
      <c r="H115" s="3599" t="str">
        <f ca="1">IFERROR(INDEX(Ink!$A:$AU,MATCH($C115,Ink!$AU:$AU,0),10)/'ACC &amp; Other Material '!$E$2*10^3,"")</f>
        <v/>
      </c>
      <c r="I115" s="3153" t="str">
        <f ca="1">IFERROR(INDEX(Ink!$A:$AU,MATCH($C115,Ink!$AU:$AU,0),13),"")</f>
        <v/>
      </c>
      <c r="J115" s="3153" t="str">
        <f ca="1">IFERROR(INDEX(Ink!$A:$AU,MATCH($C115,Ink!$AU:$AU,0),13)*(1+Ink!$M$5),"")</f>
        <v/>
      </c>
    </row>
    <row r="116" spans="2:10" ht="21.75">
      <c r="B116" s="3143" t="s">
        <v>213</v>
      </c>
      <c r="C116" s="3143">
        <f t="shared" si="1"/>
        <v>53</v>
      </c>
      <c r="D116" s="3143" t="str">
        <f ca="1">IFERROR(INDEX(Ink!$A:$AU,MATCH($C116,Ink!$AU:$AU,0),1),"")</f>
        <v/>
      </c>
      <c r="E116" s="3143" t="str">
        <f ca="1">IFERROR(INDEX(Ink!$A:$AU,MATCH($C116,Ink!$AU:$AU,0),4),"")</f>
        <v/>
      </c>
      <c r="F116" s="3143" t="s">
        <v>3651</v>
      </c>
      <c r="G116" s="3599" t="str">
        <f ca="1">IFERROR(INDEX(Ink!$A:$AU,MATCH($C116,Ink!$AU:$AU,0),9)/'ACC &amp; Other Material '!$E$2*10^3,"")</f>
        <v/>
      </c>
      <c r="H116" s="3599" t="str">
        <f ca="1">IFERROR(INDEX(Ink!$A:$AU,MATCH($C116,Ink!$AU:$AU,0),10)/'ACC &amp; Other Material '!$E$2*10^3,"")</f>
        <v/>
      </c>
      <c r="I116" s="3153" t="str">
        <f ca="1">IFERROR(INDEX(Ink!$A:$AU,MATCH($C116,Ink!$AU:$AU,0),13),"")</f>
        <v/>
      </c>
      <c r="J116" s="3153" t="str">
        <f ca="1">IFERROR(INDEX(Ink!$A:$AU,MATCH($C116,Ink!$AU:$AU,0),13)*(1+Ink!$M$5),"")</f>
        <v/>
      </c>
    </row>
    <row r="117" spans="2:10" ht="21.75">
      <c r="B117" s="3143" t="s">
        <v>213</v>
      </c>
      <c r="C117" s="3143">
        <f t="shared" si="1"/>
        <v>54</v>
      </c>
      <c r="D117" s="3143" t="str">
        <f ca="1">IFERROR(INDEX(Ink!$A:$AU,MATCH($C117,Ink!$AU:$AU,0),1),"")</f>
        <v/>
      </c>
      <c r="E117" s="3143" t="str">
        <f ca="1">IFERROR(INDEX(Ink!$A:$AU,MATCH($C117,Ink!$AU:$AU,0),4),"")</f>
        <v/>
      </c>
      <c r="F117" s="3143" t="s">
        <v>3651</v>
      </c>
      <c r="G117" s="3599" t="str">
        <f ca="1">IFERROR(INDEX(Ink!$A:$AU,MATCH($C117,Ink!$AU:$AU,0),9)/'ACC &amp; Other Material '!$E$2*10^3,"")</f>
        <v/>
      </c>
      <c r="H117" s="3599" t="str">
        <f ca="1">IFERROR(INDEX(Ink!$A:$AU,MATCH($C117,Ink!$AU:$AU,0),10)/'ACC &amp; Other Material '!$E$2*10^3,"")</f>
        <v/>
      </c>
      <c r="I117" s="3153" t="str">
        <f ca="1">IFERROR(INDEX(Ink!$A:$AU,MATCH($C117,Ink!$AU:$AU,0),13),"")</f>
        <v/>
      </c>
      <c r="J117" s="3153" t="str">
        <f ca="1">IFERROR(INDEX(Ink!$A:$AU,MATCH($C117,Ink!$AU:$AU,0),13)*(1+Ink!$M$5),"")</f>
        <v/>
      </c>
    </row>
    <row r="118" spans="2:10" ht="21.75">
      <c r="B118" s="3143" t="s">
        <v>213</v>
      </c>
      <c r="C118" s="3143">
        <f t="shared" si="1"/>
        <v>55</v>
      </c>
      <c r="D118" s="3143" t="str">
        <f ca="1">IFERROR(INDEX(Ink!$A:$AU,MATCH($C118,Ink!$AU:$AU,0),1),"")</f>
        <v/>
      </c>
      <c r="E118" s="3143" t="str">
        <f ca="1">IFERROR(INDEX(Ink!$A:$AU,MATCH($C118,Ink!$AU:$AU,0),4),"")</f>
        <v/>
      </c>
      <c r="F118" s="3143" t="s">
        <v>3651</v>
      </c>
      <c r="G118" s="3599" t="str">
        <f ca="1">IFERROR(INDEX(Ink!$A:$AU,MATCH($C118,Ink!$AU:$AU,0),9)/'ACC &amp; Other Material '!$E$2*10^3,"")</f>
        <v/>
      </c>
      <c r="H118" s="3599" t="str">
        <f ca="1">IFERROR(INDEX(Ink!$A:$AU,MATCH($C118,Ink!$AU:$AU,0),10)/'ACC &amp; Other Material '!$E$2*10^3,"")</f>
        <v/>
      </c>
      <c r="I118" s="3153" t="str">
        <f ca="1">IFERROR(INDEX(Ink!$A:$AU,MATCH($C118,Ink!$AU:$AU,0),13),"")</f>
        <v/>
      </c>
      <c r="J118" s="3153" t="str">
        <f ca="1">IFERROR(INDEX(Ink!$A:$AU,MATCH($C118,Ink!$AU:$AU,0),13)*(1+Ink!$M$5),"")</f>
        <v/>
      </c>
    </row>
    <row r="119" spans="2:10" ht="21.75">
      <c r="B119" s="3143" t="s">
        <v>213</v>
      </c>
      <c r="C119" s="3143">
        <f t="shared" si="1"/>
        <v>56</v>
      </c>
      <c r="D119" s="3143" t="str">
        <f ca="1">IFERROR(INDEX(Ink!$A:$AU,MATCH($C119,Ink!$AU:$AU,0),1),"")</f>
        <v/>
      </c>
      <c r="E119" s="3143" t="str">
        <f ca="1">IFERROR(INDEX(Ink!$A:$AU,MATCH($C119,Ink!$AU:$AU,0),4),"")</f>
        <v/>
      </c>
      <c r="F119" s="3143" t="s">
        <v>3651</v>
      </c>
      <c r="G119" s="3599" t="str">
        <f ca="1">IFERROR(INDEX(Ink!$A:$AU,MATCH($C119,Ink!$AU:$AU,0),9)/'ACC &amp; Other Material '!$E$2*10^3,"")</f>
        <v/>
      </c>
      <c r="H119" s="3599" t="str">
        <f ca="1">IFERROR(INDEX(Ink!$A:$AU,MATCH($C119,Ink!$AU:$AU,0),10)/'ACC &amp; Other Material '!$E$2*10^3,"")</f>
        <v/>
      </c>
      <c r="I119" s="3153" t="str">
        <f ca="1">IFERROR(INDEX(Ink!$A:$AU,MATCH($C119,Ink!$AU:$AU,0),13),"")</f>
        <v/>
      </c>
      <c r="J119" s="3153" t="str">
        <f ca="1">IFERROR(INDEX(Ink!$A:$AU,MATCH($C119,Ink!$AU:$AU,0),13)*(1+Ink!$M$5),"")</f>
        <v/>
      </c>
    </row>
    <row r="120" spans="2:10" ht="21.75">
      <c r="B120" s="3143" t="s">
        <v>213</v>
      </c>
      <c r="C120" s="3143">
        <f t="shared" si="1"/>
        <v>57</v>
      </c>
      <c r="D120" s="3143" t="str">
        <f ca="1">IFERROR(INDEX(Ink!$A:$AU,MATCH($C120,Ink!$AU:$AU,0),1),"")</f>
        <v/>
      </c>
      <c r="E120" s="3143" t="str">
        <f ca="1">IFERROR(INDEX(Ink!$A:$AU,MATCH($C120,Ink!$AU:$AU,0),4),"")</f>
        <v/>
      </c>
      <c r="F120" s="3143" t="s">
        <v>3651</v>
      </c>
      <c r="G120" s="3599" t="str">
        <f ca="1">IFERROR(INDEX(Ink!$A:$AU,MATCH($C120,Ink!$AU:$AU,0),9)/'ACC &amp; Other Material '!$E$2*10^3,"")</f>
        <v/>
      </c>
      <c r="H120" s="3599" t="str">
        <f ca="1">IFERROR(INDEX(Ink!$A:$AU,MATCH($C120,Ink!$AU:$AU,0),10)/'ACC &amp; Other Material '!$E$2*10^3,"")</f>
        <v/>
      </c>
      <c r="I120" s="3153" t="str">
        <f ca="1">IFERROR(INDEX(Ink!$A:$AU,MATCH($C120,Ink!$AU:$AU,0),13),"")</f>
        <v/>
      </c>
      <c r="J120" s="3153" t="str">
        <f ca="1">IFERROR(INDEX(Ink!$A:$AU,MATCH($C120,Ink!$AU:$AU,0),13)*(1+Ink!$M$5),"")</f>
        <v/>
      </c>
    </row>
    <row r="121" spans="2:10" ht="21.75">
      <c r="B121" s="3143" t="s">
        <v>213</v>
      </c>
      <c r="C121" s="3143">
        <f t="shared" si="1"/>
        <v>58</v>
      </c>
      <c r="D121" s="3143" t="str">
        <f ca="1">IFERROR(INDEX(Ink!$A:$AU,MATCH($C121,Ink!$AU:$AU,0),1),"")</f>
        <v/>
      </c>
      <c r="E121" s="3143" t="str">
        <f ca="1">IFERROR(INDEX(Ink!$A:$AU,MATCH($C121,Ink!$AU:$AU,0),4),"")</f>
        <v/>
      </c>
      <c r="F121" s="3143" t="s">
        <v>3651</v>
      </c>
      <c r="G121" s="3599" t="str">
        <f ca="1">IFERROR(INDEX(Ink!$A:$AU,MATCH($C121,Ink!$AU:$AU,0),9)/'ACC &amp; Other Material '!$E$2*10^3,"")</f>
        <v/>
      </c>
      <c r="H121" s="3599" t="str">
        <f ca="1">IFERROR(INDEX(Ink!$A:$AU,MATCH($C121,Ink!$AU:$AU,0),10)/'ACC &amp; Other Material '!$E$2*10^3,"")</f>
        <v/>
      </c>
      <c r="I121" s="3153" t="str">
        <f ca="1">IFERROR(INDEX(Ink!$A:$AU,MATCH($C121,Ink!$AU:$AU,0),13),"")</f>
        <v/>
      </c>
      <c r="J121" s="3153" t="str">
        <f ca="1">IFERROR(INDEX(Ink!$A:$AU,MATCH($C121,Ink!$AU:$AU,0),13)*(1+Ink!$M$5),"")</f>
        <v/>
      </c>
    </row>
    <row r="122" spans="2:10" ht="21.75">
      <c r="B122" s="3143" t="s">
        <v>213</v>
      </c>
      <c r="C122" s="3143">
        <f t="shared" si="1"/>
        <v>59</v>
      </c>
      <c r="D122" s="3143" t="str">
        <f ca="1">IFERROR(INDEX(Ink!$A:$AU,MATCH($C122,Ink!$AU:$AU,0),1),"")</f>
        <v/>
      </c>
      <c r="E122" s="3143" t="str">
        <f ca="1">IFERROR(INDEX(Ink!$A:$AU,MATCH($C122,Ink!$AU:$AU,0),4),"")</f>
        <v/>
      </c>
      <c r="F122" s="3143" t="s">
        <v>3651</v>
      </c>
      <c r="G122" s="3599" t="str">
        <f ca="1">IFERROR(INDEX(Ink!$A:$AU,MATCH($C122,Ink!$AU:$AU,0),9)/'ACC &amp; Other Material '!$E$2*10^3,"")</f>
        <v/>
      </c>
      <c r="H122" s="3599" t="str">
        <f ca="1">IFERROR(INDEX(Ink!$A:$AU,MATCH($C122,Ink!$AU:$AU,0),10)/'ACC &amp; Other Material '!$E$2*10^3,"")</f>
        <v/>
      </c>
      <c r="I122" s="3153" t="str">
        <f ca="1">IFERROR(INDEX(Ink!$A:$AU,MATCH($C122,Ink!$AU:$AU,0),13),"")</f>
        <v/>
      </c>
      <c r="J122" s="3153" t="str">
        <f ca="1">IFERROR(INDEX(Ink!$A:$AU,MATCH($C122,Ink!$AU:$AU,0),13)*(1+Ink!$M$5),"")</f>
        <v/>
      </c>
    </row>
    <row r="123" spans="2:10" ht="21.75">
      <c r="B123" s="3143" t="s">
        <v>213</v>
      </c>
      <c r="C123" s="3143">
        <f t="shared" si="1"/>
        <v>60</v>
      </c>
      <c r="D123" s="3143" t="str">
        <f ca="1">IFERROR(INDEX(Ink!$A:$AU,MATCH($C123,Ink!$AU:$AU,0),1),"")</f>
        <v/>
      </c>
      <c r="E123" s="3143" t="str">
        <f ca="1">IFERROR(INDEX(Ink!$A:$AU,MATCH($C123,Ink!$AU:$AU,0),4),"")</f>
        <v/>
      </c>
      <c r="F123" s="3143" t="s">
        <v>3651</v>
      </c>
      <c r="G123" s="3599" t="str">
        <f ca="1">IFERROR(INDEX(Ink!$A:$AU,MATCH($C123,Ink!$AU:$AU,0),9)/'ACC &amp; Other Material '!$E$2*10^3,"")</f>
        <v/>
      </c>
      <c r="H123" s="3599" t="str">
        <f ca="1">IFERROR(INDEX(Ink!$A:$AU,MATCH($C123,Ink!$AU:$AU,0),10)/'ACC &amp; Other Material '!$E$2*10^3,"")</f>
        <v/>
      </c>
      <c r="I123" s="3153" t="str">
        <f ca="1">IFERROR(INDEX(Ink!$A:$AU,MATCH($C123,Ink!$AU:$AU,0),13),"")</f>
        <v/>
      </c>
      <c r="J123" s="3153" t="str">
        <f ca="1">IFERROR(INDEX(Ink!$A:$AU,MATCH($C123,Ink!$AU:$AU,0),13)*(1+Ink!$M$5),"")</f>
        <v/>
      </c>
    </row>
    <row r="124" spans="2:10" ht="21.75">
      <c r="B124" s="3143" t="s">
        <v>213</v>
      </c>
      <c r="C124" s="3143">
        <f t="shared" si="1"/>
        <v>61</v>
      </c>
      <c r="D124" s="3143" t="str">
        <f ca="1">IFERROR(INDEX(Ink!$A:$AU,MATCH($C124,Ink!$AU:$AU,0),1),"")</f>
        <v/>
      </c>
      <c r="E124" s="3143" t="str">
        <f ca="1">IFERROR(INDEX(Ink!$A:$AU,MATCH($C124,Ink!$AU:$AU,0),4),"")</f>
        <v/>
      </c>
      <c r="F124" s="3143" t="s">
        <v>3651</v>
      </c>
      <c r="G124" s="3599" t="str">
        <f ca="1">IFERROR(INDEX(Ink!$A:$AU,MATCH($C124,Ink!$AU:$AU,0),9)/'ACC &amp; Other Material '!$E$2*10^3,"")</f>
        <v/>
      </c>
      <c r="H124" s="3599" t="str">
        <f ca="1">IFERROR(INDEX(Ink!$A:$AU,MATCH($C124,Ink!$AU:$AU,0),10)/'ACC &amp; Other Material '!$E$2*10^3,"")</f>
        <v/>
      </c>
      <c r="I124" s="3153" t="str">
        <f ca="1">IFERROR(INDEX(Ink!$A:$AU,MATCH($C124,Ink!$AU:$AU,0),13),"")</f>
        <v/>
      </c>
      <c r="J124" s="3153" t="str">
        <f ca="1">IFERROR(INDEX(Ink!$A:$AU,MATCH($C124,Ink!$AU:$AU,0),13)*(1+Ink!$M$5),"")</f>
        <v/>
      </c>
    </row>
    <row r="125" spans="2:10" ht="21.75">
      <c r="B125" s="3143" t="s">
        <v>213</v>
      </c>
      <c r="C125" s="3143">
        <f t="shared" si="1"/>
        <v>62</v>
      </c>
      <c r="D125" s="3143" t="str">
        <f ca="1">IFERROR(INDEX(Ink!$A:$AU,MATCH($C125,Ink!$AU:$AU,0),1),"")</f>
        <v/>
      </c>
      <c r="E125" s="3143" t="str">
        <f ca="1">IFERROR(INDEX(Ink!$A:$AU,MATCH($C125,Ink!$AU:$AU,0),4),"")</f>
        <v/>
      </c>
      <c r="F125" s="3143" t="s">
        <v>3651</v>
      </c>
      <c r="G125" s="3599" t="str">
        <f ca="1">IFERROR(INDEX(Ink!$A:$AU,MATCH($C125,Ink!$AU:$AU,0),9)/'ACC &amp; Other Material '!$E$2*10^3,"")</f>
        <v/>
      </c>
      <c r="H125" s="3599" t="str">
        <f ca="1">IFERROR(INDEX(Ink!$A:$AU,MATCH($C125,Ink!$AU:$AU,0),10)/'ACC &amp; Other Material '!$E$2*10^3,"")</f>
        <v/>
      </c>
      <c r="I125" s="3153" t="str">
        <f ca="1">IFERROR(INDEX(Ink!$A:$AU,MATCH($C125,Ink!$AU:$AU,0),13),"")</f>
        <v/>
      </c>
      <c r="J125" s="3153" t="str">
        <f ca="1">IFERROR(INDEX(Ink!$A:$AU,MATCH($C125,Ink!$AU:$AU,0),13)*(1+Ink!$M$5),"")</f>
        <v/>
      </c>
    </row>
    <row r="126" spans="2:10" ht="21.75">
      <c r="B126" s="3143" t="s">
        <v>213</v>
      </c>
      <c r="C126" s="3143">
        <f t="shared" si="1"/>
        <v>63</v>
      </c>
      <c r="D126" s="3143" t="str">
        <f ca="1">IFERROR(INDEX(Ink!$A:$AU,MATCH($C126,Ink!$AU:$AU,0),1),"")</f>
        <v/>
      </c>
      <c r="E126" s="3143" t="str">
        <f ca="1">IFERROR(INDEX(Ink!$A:$AU,MATCH($C126,Ink!$AU:$AU,0),4),"")</f>
        <v/>
      </c>
      <c r="F126" s="3143" t="s">
        <v>3651</v>
      </c>
      <c r="G126" s="3599" t="str">
        <f ca="1">IFERROR(INDEX(Ink!$A:$AU,MATCH($C126,Ink!$AU:$AU,0),9)/'ACC &amp; Other Material '!$E$2*10^3,"")</f>
        <v/>
      </c>
      <c r="H126" s="3599" t="str">
        <f ca="1">IFERROR(INDEX(Ink!$A:$AU,MATCH($C126,Ink!$AU:$AU,0),10)/'ACC &amp; Other Material '!$E$2*10^3,"")</f>
        <v/>
      </c>
      <c r="I126" s="3153" t="str">
        <f ca="1">IFERROR(INDEX(Ink!$A:$AU,MATCH($C126,Ink!$AU:$AU,0),13),"")</f>
        <v/>
      </c>
      <c r="J126" s="3153" t="str">
        <f ca="1">IFERROR(INDEX(Ink!$A:$AU,MATCH($C126,Ink!$AU:$AU,0),13)*(1+Ink!$M$5),"")</f>
        <v/>
      </c>
    </row>
    <row r="127" spans="2:10" ht="21.75">
      <c r="B127" s="3143" t="s">
        <v>213</v>
      </c>
      <c r="C127" s="3143">
        <f t="shared" si="1"/>
        <v>64</v>
      </c>
      <c r="D127" s="3143" t="str">
        <f ca="1">IFERROR(INDEX(Ink!$A:$AU,MATCH($C127,Ink!$AU:$AU,0),1),"")</f>
        <v/>
      </c>
      <c r="E127" s="3143" t="str">
        <f ca="1">IFERROR(INDEX(Ink!$A:$AU,MATCH($C127,Ink!$AU:$AU,0),4),"")</f>
        <v/>
      </c>
      <c r="F127" s="3143" t="s">
        <v>3651</v>
      </c>
      <c r="G127" s="3599" t="str">
        <f ca="1">IFERROR(INDEX(Ink!$A:$AU,MATCH($C127,Ink!$AU:$AU,0),9)/'ACC &amp; Other Material '!$E$2*10^3,"")</f>
        <v/>
      </c>
      <c r="H127" s="3599" t="str">
        <f ca="1">IFERROR(INDEX(Ink!$A:$AU,MATCH($C127,Ink!$AU:$AU,0),10)/'ACC &amp; Other Material '!$E$2*10^3,"")</f>
        <v/>
      </c>
      <c r="I127" s="3153" t="str">
        <f ca="1">IFERROR(INDEX(Ink!$A:$AU,MATCH($C127,Ink!$AU:$AU,0),13),"")</f>
        <v/>
      </c>
      <c r="J127" s="3153" t="str">
        <f ca="1">IFERROR(INDEX(Ink!$A:$AU,MATCH($C127,Ink!$AU:$AU,0),13)*(1+Ink!$M$5),"")</f>
        <v/>
      </c>
    </row>
    <row r="128" spans="2:10" ht="21.75">
      <c r="B128" s="3143" t="s">
        <v>213</v>
      </c>
      <c r="C128" s="3143">
        <f t="shared" si="1"/>
        <v>65</v>
      </c>
      <c r="D128" s="3143" t="str">
        <f ca="1">IFERROR(INDEX(Ink!$A:$AU,MATCH($C128,Ink!$AU:$AU,0),1),"")</f>
        <v/>
      </c>
      <c r="E128" s="3143" t="str">
        <f ca="1">IFERROR(INDEX(Ink!$A:$AU,MATCH($C128,Ink!$AU:$AU,0),4),"")</f>
        <v/>
      </c>
      <c r="F128" s="3143" t="s">
        <v>3651</v>
      </c>
      <c r="G128" s="3599" t="str">
        <f ca="1">IFERROR(INDEX(Ink!$A:$AU,MATCH($C128,Ink!$AU:$AU,0),9)/'ACC &amp; Other Material '!$E$2*10^3,"")</f>
        <v/>
      </c>
      <c r="H128" s="3599" t="str">
        <f ca="1">IFERROR(INDEX(Ink!$A:$AU,MATCH($C128,Ink!$AU:$AU,0),10)/'ACC &amp; Other Material '!$E$2*10^3,"")</f>
        <v/>
      </c>
      <c r="I128" s="3153" t="str">
        <f ca="1">IFERROR(INDEX(Ink!$A:$AU,MATCH($C128,Ink!$AU:$AU,0),13),"")</f>
        <v/>
      </c>
      <c r="J128" s="3153" t="str">
        <f ca="1">IFERROR(INDEX(Ink!$A:$AU,MATCH($C128,Ink!$AU:$AU,0),13)*(1+Ink!$M$5),"")</f>
        <v/>
      </c>
    </row>
    <row r="129" spans="2:10" ht="21.75">
      <c r="B129" s="3143" t="s">
        <v>213</v>
      </c>
      <c r="C129" s="3143">
        <f t="shared" si="1"/>
        <v>66</v>
      </c>
      <c r="D129" s="3143" t="str">
        <f ca="1">IFERROR(INDEX(Ink!$A:$AU,MATCH($C129,Ink!$AU:$AU,0),1),"")</f>
        <v/>
      </c>
      <c r="E129" s="3143" t="str">
        <f ca="1">IFERROR(INDEX(Ink!$A:$AU,MATCH($C129,Ink!$AU:$AU,0),4),"")</f>
        <v/>
      </c>
      <c r="F129" s="3143" t="s">
        <v>3651</v>
      </c>
      <c r="G129" s="3599" t="str">
        <f ca="1">IFERROR(INDEX(Ink!$A:$AU,MATCH($C129,Ink!$AU:$AU,0),9)/'ACC &amp; Other Material '!$E$2*10^3,"")</f>
        <v/>
      </c>
      <c r="H129" s="3599" t="str">
        <f ca="1">IFERROR(INDEX(Ink!$A:$AU,MATCH($C129,Ink!$AU:$AU,0),10)/'ACC &amp; Other Material '!$E$2*10^3,"")</f>
        <v/>
      </c>
      <c r="I129" s="3153" t="str">
        <f ca="1">IFERROR(INDEX(Ink!$A:$AU,MATCH($C129,Ink!$AU:$AU,0),13),"")</f>
        <v/>
      </c>
      <c r="J129" s="3153" t="str">
        <f ca="1">IFERROR(INDEX(Ink!$A:$AU,MATCH($C129,Ink!$AU:$AU,0),13)*(1+Ink!$M$5),"")</f>
        <v/>
      </c>
    </row>
    <row r="130" spans="2:10" ht="21.75">
      <c r="B130" s="3143" t="s">
        <v>213</v>
      </c>
      <c r="C130" s="3143">
        <f t="shared" ref="C130:C193" si="2">C129+1</f>
        <v>67</v>
      </c>
      <c r="D130" s="3143" t="str">
        <f ca="1">IFERROR(INDEX(Ink!$A:$AU,MATCH($C130,Ink!$AU:$AU,0),1),"")</f>
        <v/>
      </c>
      <c r="E130" s="3143" t="str">
        <f ca="1">IFERROR(INDEX(Ink!$A:$AU,MATCH($C130,Ink!$AU:$AU,0),4),"")</f>
        <v/>
      </c>
      <c r="F130" s="3143" t="s">
        <v>3651</v>
      </c>
      <c r="G130" s="3599" t="str">
        <f ca="1">IFERROR(INDEX(Ink!$A:$AU,MATCH($C130,Ink!$AU:$AU,0),9)/'ACC &amp; Other Material '!$E$2*10^3,"")</f>
        <v/>
      </c>
      <c r="H130" s="3599" t="str">
        <f ca="1">IFERROR(INDEX(Ink!$A:$AU,MATCH($C130,Ink!$AU:$AU,0),10)/'ACC &amp; Other Material '!$E$2*10^3,"")</f>
        <v/>
      </c>
      <c r="I130" s="3153" t="str">
        <f ca="1">IFERROR(INDEX(Ink!$A:$AU,MATCH($C130,Ink!$AU:$AU,0),13),"")</f>
        <v/>
      </c>
      <c r="J130" s="3153" t="str">
        <f ca="1">IFERROR(INDEX(Ink!$A:$AU,MATCH($C130,Ink!$AU:$AU,0),13)*(1+Ink!$M$5),"")</f>
        <v/>
      </c>
    </row>
    <row r="131" spans="2:10" ht="21.75">
      <c r="B131" s="3143" t="s">
        <v>213</v>
      </c>
      <c r="C131" s="3143">
        <f t="shared" si="2"/>
        <v>68</v>
      </c>
      <c r="D131" s="3143" t="str">
        <f ca="1">IFERROR(INDEX(Ink!$A:$AU,MATCH($C131,Ink!$AU:$AU,0),1),"")</f>
        <v/>
      </c>
      <c r="E131" s="3143" t="str">
        <f ca="1">IFERROR(INDEX(Ink!$A:$AU,MATCH($C131,Ink!$AU:$AU,0),4),"")</f>
        <v/>
      </c>
      <c r="F131" s="3143" t="s">
        <v>3651</v>
      </c>
      <c r="G131" s="3599" t="str">
        <f ca="1">IFERROR(INDEX(Ink!$A:$AU,MATCH($C131,Ink!$AU:$AU,0),9)/'ACC &amp; Other Material '!$E$2*10^3,"")</f>
        <v/>
      </c>
      <c r="H131" s="3599" t="str">
        <f ca="1">IFERROR(INDEX(Ink!$A:$AU,MATCH($C131,Ink!$AU:$AU,0),10)/'ACC &amp; Other Material '!$E$2*10^3,"")</f>
        <v/>
      </c>
      <c r="I131" s="3153" t="str">
        <f ca="1">IFERROR(INDEX(Ink!$A:$AU,MATCH($C131,Ink!$AU:$AU,0),13),"")</f>
        <v/>
      </c>
      <c r="J131" s="3153" t="str">
        <f ca="1">IFERROR(INDEX(Ink!$A:$AU,MATCH($C131,Ink!$AU:$AU,0),13)*(1+Ink!$M$5),"")</f>
        <v/>
      </c>
    </row>
    <row r="132" spans="2:10" ht="21.75">
      <c r="B132" s="3143" t="s">
        <v>213</v>
      </c>
      <c r="C132" s="3143">
        <f t="shared" si="2"/>
        <v>69</v>
      </c>
      <c r="D132" s="3143" t="str">
        <f ca="1">IFERROR(INDEX(Ink!$A:$AU,MATCH($C132,Ink!$AU:$AU,0),1),"")</f>
        <v/>
      </c>
      <c r="E132" s="3143" t="str">
        <f ca="1">IFERROR(INDEX(Ink!$A:$AU,MATCH($C132,Ink!$AU:$AU,0),4),"")</f>
        <v/>
      </c>
      <c r="F132" s="3143" t="s">
        <v>3651</v>
      </c>
      <c r="G132" s="3599" t="str">
        <f ca="1">IFERROR(INDEX(Ink!$A:$AU,MATCH($C132,Ink!$AU:$AU,0),9)/'ACC &amp; Other Material '!$E$2*10^3,"")</f>
        <v/>
      </c>
      <c r="H132" s="3599" t="str">
        <f ca="1">IFERROR(INDEX(Ink!$A:$AU,MATCH($C132,Ink!$AU:$AU,0),10)/'ACC &amp; Other Material '!$E$2*10^3,"")</f>
        <v/>
      </c>
      <c r="I132" s="3153" t="str">
        <f ca="1">IFERROR(INDEX(Ink!$A:$AU,MATCH($C132,Ink!$AU:$AU,0),13),"")</f>
        <v/>
      </c>
      <c r="J132" s="3153" t="str">
        <f ca="1">IFERROR(INDEX(Ink!$A:$AU,MATCH($C132,Ink!$AU:$AU,0),13)*(1+Ink!$M$5),"")</f>
        <v/>
      </c>
    </row>
    <row r="133" spans="2:10" ht="21.75">
      <c r="B133" s="3143" t="s">
        <v>213</v>
      </c>
      <c r="C133" s="3143">
        <f t="shared" si="2"/>
        <v>70</v>
      </c>
      <c r="D133" s="3143" t="str">
        <f ca="1">IFERROR(INDEX(Ink!$A:$AU,MATCH($C133,Ink!$AU:$AU,0),1),"")</f>
        <v/>
      </c>
      <c r="E133" s="3143" t="str">
        <f ca="1">IFERROR(INDEX(Ink!$A:$AU,MATCH($C133,Ink!$AU:$AU,0),4),"")</f>
        <v/>
      </c>
      <c r="F133" s="3143" t="s">
        <v>3651</v>
      </c>
      <c r="G133" s="3599" t="str">
        <f ca="1">IFERROR(INDEX(Ink!$A:$AU,MATCH($C133,Ink!$AU:$AU,0),9)/'ACC &amp; Other Material '!$E$2*10^3,"")</f>
        <v/>
      </c>
      <c r="H133" s="3599" t="str">
        <f ca="1">IFERROR(INDEX(Ink!$A:$AU,MATCH($C133,Ink!$AU:$AU,0),10)/'ACC &amp; Other Material '!$E$2*10^3,"")</f>
        <v/>
      </c>
      <c r="I133" s="3153" t="str">
        <f ca="1">IFERROR(INDEX(Ink!$A:$AU,MATCH($C133,Ink!$AU:$AU,0),13),"")</f>
        <v/>
      </c>
      <c r="J133" s="3153" t="str">
        <f ca="1">IFERROR(INDEX(Ink!$A:$AU,MATCH($C133,Ink!$AU:$AU,0),13)*(1+Ink!$M$5),"")</f>
        <v/>
      </c>
    </row>
    <row r="134" spans="2:10" ht="21.75">
      <c r="B134" s="3143" t="s">
        <v>213</v>
      </c>
      <c r="C134" s="3143">
        <f t="shared" si="2"/>
        <v>71</v>
      </c>
      <c r="D134" s="3143" t="str">
        <f ca="1">IFERROR(INDEX(Ink!$A:$AU,MATCH($C134,Ink!$AU:$AU,0),1),"")</f>
        <v/>
      </c>
      <c r="E134" s="3143" t="str">
        <f ca="1">IFERROR(INDEX(Ink!$A:$AU,MATCH($C134,Ink!$AU:$AU,0),4),"")</f>
        <v/>
      </c>
      <c r="F134" s="3143" t="s">
        <v>3651</v>
      </c>
      <c r="G134" s="3599" t="str">
        <f ca="1">IFERROR(INDEX(Ink!$A:$AU,MATCH($C134,Ink!$AU:$AU,0),9)/'ACC &amp; Other Material '!$E$2*10^3,"")</f>
        <v/>
      </c>
      <c r="H134" s="3599" t="str">
        <f ca="1">IFERROR(INDEX(Ink!$A:$AU,MATCH($C134,Ink!$AU:$AU,0),10)/'ACC &amp; Other Material '!$E$2*10^3,"")</f>
        <v/>
      </c>
      <c r="I134" s="3153" t="str">
        <f ca="1">IFERROR(INDEX(Ink!$A:$AU,MATCH($C134,Ink!$AU:$AU,0),13),"")</f>
        <v/>
      </c>
      <c r="J134" s="3153" t="str">
        <f ca="1">IFERROR(INDEX(Ink!$A:$AU,MATCH($C134,Ink!$AU:$AU,0),13)*(1+Ink!$M$5),"")</f>
        <v/>
      </c>
    </row>
    <row r="135" spans="2:10" ht="21.75">
      <c r="B135" s="3143" t="s">
        <v>213</v>
      </c>
      <c r="C135" s="3143">
        <f t="shared" si="2"/>
        <v>72</v>
      </c>
      <c r="D135" s="3143" t="str">
        <f ca="1">IFERROR(INDEX(Ink!$A:$AU,MATCH($C135,Ink!$AU:$AU,0),1),"")</f>
        <v/>
      </c>
      <c r="E135" s="3143" t="str">
        <f ca="1">IFERROR(INDEX(Ink!$A:$AU,MATCH($C135,Ink!$AU:$AU,0),4),"")</f>
        <v/>
      </c>
      <c r="F135" s="3143" t="s">
        <v>3651</v>
      </c>
      <c r="G135" s="3599" t="str">
        <f ca="1">IFERROR(INDEX(Ink!$A:$AU,MATCH($C135,Ink!$AU:$AU,0),9)/'ACC &amp; Other Material '!$E$2*10^3,"")</f>
        <v/>
      </c>
      <c r="H135" s="3599" t="str">
        <f ca="1">IFERROR(INDEX(Ink!$A:$AU,MATCH($C135,Ink!$AU:$AU,0),10)/'ACC &amp; Other Material '!$E$2*10^3,"")</f>
        <v/>
      </c>
      <c r="I135" s="3153" t="str">
        <f ca="1">IFERROR(INDEX(Ink!$A:$AU,MATCH($C135,Ink!$AU:$AU,0),13),"")</f>
        <v/>
      </c>
      <c r="J135" s="3153" t="str">
        <f ca="1">IFERROR(INDEX(Ink!$A:$AU,MATCH($C135,Ink!$AU:$AU,0),13)*(1+Ink!$M$5),"")</f>
        <v/>
      </c>
    </row>
    <row r="136" spans="2:10" ht="21.75">
      <c r="B136" s="3143" t="s">
        <v>213</v>
      </c>
      <c r="C136" s="3143">
        <f t="shared" si="2"/>
        <v>73</v>
      </c>
      <c r="D136" s="3143" t="str">
        <f ca="1">IFERROR(INDEX(Ink!$A:$AU,MATCH($C136,Ink!$AU:$AU,0),1),"")</f>
        <v/>
      </c>
      <c r="E136" s="3143" t="str">
        <f ca="1">IFERROR(INDEX(Ink!$A:$AU,MATCH($C136,Ink!$AU:$AU,0),4),"")</f>
        <v/>
      </c>
      <c r="F136" s="3143" t="s">
        <v>3651</v>
      </c>
      <c r="G136" s="3599" t="str">
        <f ca="1">IFERROR(INDEX(Ink!$A:$AU,MATCH($C136,Ink!$AU:$AU,0),9)/'ACC &amp; Other Material '!$E$2*10^3,"")</f>
        <v/>
      </c>
      <c r="H136" s="3599" t="str">
        <f ca="1">IFERROR(INDEX(Ink!$A:$AU,MATCH($C136,Ink!$AU:$AU,0),10)/'ACC &amp; Other Material '!$E$2*10^3,"")</f>
        <v/>
      </c>
      <c r="I136" s="3153" t="str">
        <f ca="1">IFERROR(INDEX(Ink!$A:$AU,MATCH($C136,Ink!$AU:$AU,0),13),"")</f>
        <v/>
      </c>
      <c r="J136" s="3153" t="str">
        <f ca="1">IFERROR(INDEX(Ink!$A:$AU,MATCH($C136,Ink!$AU:$AU,0),13)*(1+Ink!$M$5),"")</f>
        <v/>
      </c>
    </row>
    <row r="137" spans="2:10" ht="21.75">
      <c r="B137" s="3143" t="s">
        <v>213</v>
      </c>
      <c r="C137" s="3143">
        <f t="shared" si="2"/>
        <v>74</v>
      </c>
      <c r="D137" s="3143" t="str">
        <f ca="1">IFERROR(INDEX(Ink!$A:$AU,MATCH($C137,Ink!$AU:$AU,0),1),"")</f>
        <v/>
      </c>
      <c r="E137" s="3143" t="str">
        <f ca="1">IFERROR(INDEX(Ink!$A:$AU,MATCH($C137,Ink!$AU:$AU,0),4),"")</f>
        <v/>
      </c>
      <c r="F137" s="3143" t="s">
        <v>3651</v>
      </c>
      <c r="G137" s="3599" t="str">
        <f ca="1">IFERROR(INDEX(Ink!$A:$AU,MATCH($C137,Ink!$AU:$AU,0),9)/'ACC &amp; Other Material '!$E$2*10^3,"")</f>
        <v/>
      </c>
      <c r="H137" s="3599" t="str">
        <f ca="1">IFERROR(INDEX(Ink!$A:$AU,MATCH($C137,Ink!$AU:$AU,0),10)/'ACC &amp; Other Material '!$E$2*10^3,"")</f>
        <v/>
      </c>
      <c r="I137" s="3153" t="str">
        <f ca="1">IFERROR(INDEX(Ink!$A:$AU,MATCH($C137,Ink!$AU:$AU,0),13),"")</f>
        <v/>
      </c>
      <c r="J137" s="3153" t="str">
        <f ca="1">IFERROR(INDEX(Ink!$A:$AU,MATCH($C137,Ink!$AU:$AU,0),13)*(1+Ink!$M$5),"")</f>
        <v/>
      </c>
    </row>
    <row r="138" spans="2:10" ht="21.75">
      <c r="B138" s="3143" t="s">
        <v>213</v>
      </c>
      <c r="C138" s="3143">
        <f t="shared" si="2"/>
        <v>75</v>
      </c>
      <c r="D138" s="3143" t="str">
        <f ca="1">IFERROR(INDEX(Ink!$A:$AU,MATCH($C138,Ink!$AU:$AU,0),1),"")</f>
        <v/>
      </c>
      <c r="E138" s="3143" t="str">
        <f ca="1">IFERROR(INDEX(Ink!$A:$AU,MATCH($C138,Ink!$AU:$AU,0),4),"")</f>
        <v/>
      </c>
      <c r="F138" s="3143" t="s">
        <v>3651</v>
      </c>
      <c r="G138" s="3599" t="str">
        <f ca="1">IFERROR(INDEX(Ink!$A:$AU,MATCH($C138,Ink!$AU:$AU,0),9)/'ACC &amp; Other Material '!$E$2*10^3,"")</f>
        <v/>
      </c>
      <c r="H138" s="3599" t="str">
        <f ca="1">IFERROR(INDEX(Ink!$A:$AU,MATCH($C138,Ink!$AU:$AU,0),10)/'ACC &amp; Other Material '!$E$2*10^3,"")</f>
        <v/>
      </c>
      <c r="I138" s="3153" t="str">
        <f ca="1">IFERROR(INDEX(Ink!$A:$AU,MATCH($C138,Ink!$AU:$AU,0),13),"")</f>
        <v/>
      </c>
      <c r="J138" s="3153" t="str">
        <f ca="1">IFERROR(INDEX(Ink!$A:$AU,MATCH($C138,Ink!$AU:$AU,0),13)*(1+Ink!$M$5),"")</f>
        <v/>
      </c>
    </row>
    <row r="139" spans="2:10" ht="21.75">
      <c r="B139" s="3143" t="s">
        <v>213</v>
      </c>
      <c r="C139" s="3143">
        <f t="shared" si="2"/>
        <v>76</v>
      </c>
      <c r="D139" s="3143" t="str">
        <f ca="1">IFERROR(INDEX(Ink!$A:$AU,MATCH($C139,Ink!$AU:$AU,0),1),"")</f>
        <v/>
      </c>
      <c r="E139" s="3143" t="str">
        <f ca="1">IFERROR(INDEX(Ink!$A:$AU,MATCH($C139,Ink!$AU:$AU,0),4),"")</f>
        <v/>
      </c>
      <c r="F139" s="3143" t="s">
        <v>3651</v>
      </c>
      <c r="G139" s="3599" t="str">
        <f ca="1">IFERROR(INDEX(Ink!$A:$AU,MATCH($C139,Ink!$AU:$AU,0),9)/'ACC &amp; Other Material '!$E$2*10^3,"")</f>
        <v/>
      </c>
      <c r="H139" s="3599" t="str">
        <f ca="1">IFERROR(INDEX(Ink!$A:$AU,MATCH($C139,Ink!$AU:$AU,0),10)/'ACC &amp; Other Material '!$E$2*10^3,"")</f>
        <v/>
      </c>
      <c r="I139" s="3153" t="str">
        <f ca="1">IFERROR(INDEX(Ink!$A:$AU,MATCH($C139,Ink!$AU:$AU,0),13),"")</f>
        <v/>
      </c>
      <c r="J139" s="3153" t="str">
        <f ca="1">IFERROR(INDEX(Ink!$A:$AU,MATCH($C139,Ink!$AU:$AU,0),13)*(1+Ink!$M$5),"")</f>
        <v/>
      </c>
    </row>
    <row r="140" spans="2:10" ht="21.75">
      <c r="B140" s="3143" t="s">
        <v>213</v>
      </c>
      <c r="C140" s="3143">
        <f t="shared" si="2"/>
        <v>77</v>
      </c>
      <c r="D140" s="3143" t="str">
        <f ca="1">IFERROR(INDEX(Ink!$A:$AU,MATCH($C140,Ink!$AU:$AU,0),1),"")</f>
        <v/>
      </c>
      <c r="E140" s="3143" t="str">
        <f ca="1">IFERROR(INDEX(Ink!$A:$AU,MATCH($C140,Ink!$AU:$AU,0),4),"")</f>
        <v/>
      </c>
      <c r="F140" s="3143" t="s">
        <v>3651</v>
      </c>
      <c r="G140" s="3599" t="str">
        <f ca="1">IFERROR(INDEX(Ink!$A:$AU,MATCH($C140,Ink!$AU:$AU,0),9)/'ACC &amp; Other Material '!$E$2*10^3,"")</f>
        <v/>
      </c>
      <c r="H140" s="3599" t="str">
        <f ca="1">IFERROR(INDEX(Ink!$A:$AU,MATCH($C140,Ink!$AU:$AU,0),10)/'ACC &amp; Other Material '!$E$2*10^3,"")</f>
        <v/>
      </c>
      <c r="I140" s="3153" t="str">
        <f ca="1">IFERROR(INDEX(Ink!$A:$AU,MATCH($C140,Ink!$AU:$AU,0),13),"")</f>
        <v/>
      </c>
      <c r="J140" s="3153" t="str">
        <f ca="1">IFERROR(INDEX(Ink!$A:$AU,MATCH($C140,Ink!$AU:$AU,0),13)*(1+Ink!$M$5),"")</f>
        <v/>
      </c>
    </row>
    <row r="141" spans="2:10" ht="21.75">
      <c r="B141" s="3143" t="s">
        <v>213</v>
      </c>
      <c r="C141" s="3143">
        <f t="shared" si="2"/>
        <v>78</v>
      </c>
      <c r="D141" s="3143" t="str">
        <f ca="1">IFERROR(INDEX(Ink!$A:$AU,MATCH($C141,Ink!$AU:$AU,0),1),"")</f>
        <v/>
      </c>
      <c r="E141" s="3143" t="str">
        <f ca="1">IFERROR(INDEX(Ink!$A:$AU,MATCH($C141,Ink!$AU:$AU,0),4),"")</f>
        <v/>
      </c>
      <c r="F141" s="3143" t="s">
        <v>3651</v>
      </c>
      <c r="G141" s="3599" t="str">
        <f ca="1">IFERROR(INDEX(Ink!$A:$AU,MATCH($C141,Ink!$AU:$AU,0),9)/'ACC &amp; Other Material '!$E$2*10^3,"")</f>
        <v/>
      </c>
      <c r="H141" s="3599" t="str">
        <f ca="1">IFERROR(INDEX(Ink!$A:$AU,MATCH($C141,Ink!$AU:$AU,0),10)/'ACC &amp; Other Material '!$E$2*10^3,"")</f>
        <v/>
      </c>
      <c r="I141" s="3153" t="str">
        <f ca="1">IFERROR(INDEX(Ink!$A:$AU,MATCH($C141,Ink!$AU:$AU,0),13),"")</f>
        <v/>
      </c>
      <c r="J141" s="3153" t="str">
        <f ca="1">IFERROR(INDEX(Ink!$A:$AU,MATCH($C141,Ink!$AU:$AU,0),13)*(1+Ink!$M$5),"")</f>
        <v/>
      </c>
    </row>
    <row r="142" spans="2:10" ht="21.75">
      <c r="B142" s="3143" t="s">
        <v>213</v>
      </c>
      <c r="C142" s="3143">
        <f t="shared" si="2"/>
        <v>79</v>
      </c>
      <c r="D142" s="3143" t="str">
        <f ca="1">IFERROR(INDEX(Ink!$A:$AU,MATCH($C142,Ink!$AU:$AU,0),1),"")</f>
        <v/>
      </c>
      <c r="E142" s="3143" t="str">
        <f ca="1">IFERROR(INDEX(Ink!$A:$AU,MATCH($C142,Ink!$AU:$AU,0),4),"")</f>
        <v/>
      </c>
      <c r="F142" s="3143" t="s">
        <v>3651</v>
      </c>
      <c r="G142" s="3599" t="str">
        <f ca="1">IFERROR(INDEX(Ink!$A:$AU,MATCH($C142,Ink!$AU:$AU,0),9)/'ACC &amp; Other Material '!$E$2*10^3,"")</f>
        <v/>
      </c>
      <c r="H142" s="3599" t="str">
        <f ca="1">IFERROR(INDEX(Ink!$A:$AU,MATCH($C142,Ink!$AU:$AU,0),10)/'ACC &amp; Other Material '!$E$2*10^3,"")</f>
        <v/>
      </c>
      <c r="I142" s="3153" t="str">
        <f ca="1">IFERROR(INDEX(Ink!$A:$AU,MATCH($C142,Ink!$AU:$AU,0),13),"")</f>
        <v/>
      </c>
      <c r="J142" s="3153" t="str">
        <f ca="1">IFERROR(INDEX(Ink!$A:$AU,MATCH($C142,Ink!$AU:$AU,0),13)*(1+Ink!$M$5),"")</f>
        <v/>
      </c>
    </row>
    <row r="143" spans="2:10" ht="21.75">
      <c r="B143" s="3143" t="s">
        <v>213</v>
      </c>
      <c r="C143" s="3143">
        <f t="shared" si="2"/>
        <v>80</v>
      </c>
      <c r="D143" s="3143" t="str">
        <f ca="1">IFERROR(INDEX(Ink!$A:$AU,MATCH($C143,Ink!$AU:$AU,0),1),"")</f>
        <v/>
      </c>
      <c r="E143" s="3143" t="str">
        <f ca="1">IFERROR(INDEX(Ink!$A:$AU,MATCH($C143,Ink!$AU:$AU,0),4),"")</f>
        <v/>
      </c>
      <c r="F143" s="3143" t="s">
        <v>3651</v>
      </c>
      <c r="G143" s="3599" t="str">
        <f ca="1">IFERROR(INDEX(Ink!$A:$AU,MATCH($C143,Ink!$AU:$AU,0),9)/'ACC &amp; Other Material '!$E$2*10^3,"")</f>
        <v/>
      </c>
      <c r="H143" s="3599" t="str">
        <f ca="1">IFERROR(INDEX(Ink!$A:$AU,MATCH($C143,Ink!$AU:$AU,0),10)/'ACC &amp; Other Material '!$E$2*10^3,"")</f>
        <v/>
      </c>
      <c r="I143" s="3153" t="str">
        <f ca="1">IFERROR(INDEX(Ink!$A:$AU,MATCH($C143,Ink!$AU:$AU,0),13),"")</f>
        <v/>
      </c>
      <c r="J143" s="3153" t="str">
        <f ca="1">IFERROR(INDEX(Ink!$A:$AU,MATCH($C143,Ink!$AU:$AU,0),13)*(1+Ink!$M$5),"")</f>
        <v/>
      </c>
    </row>
    <row r="144" spans="2:10" ht="21.75">
      <c r="B144" s="3143" t="s">
        <v>213</v>
      </c>
      <c r="C144" s="3143">
        <f t="shared" si="2"/>
        <v>81</v>
      </c>
      <c r="D144" s="3143" t="str">
        <f ca="1">IFERROR(INDEX(Ink!$A:$AU,MATCH($C144,Ink!$AU:$AU,0),1),"")</f>
        <v/>
      </c>
      <c r="E144" s="3143" t="str">
        <f ca="1">IFERROR(INDEX(Ink!$A:$AU,MATCH($C144,Ink!$AU:$AU,0),4),"")</f>
        <v/>
      </c>
      <c r="F144" s="3143" t="s">
        <v>3651</v>
      </c>
      <c r="G144" s="3599" t="str">
        <f ca="1">IFERROR(INDEX(Ink!$A:$AU,MATCH($C144,Ink!$AU:$AU,0),9)/'ACC &amp; Other Material '!$E$2*10^3,"")</f>
        <v/>
      </c>
      <c r="H144" s="3599" t="str">
        <f ca="1">IFERROR(INDEX(Ink!$A:$AU,MATCH($C144,Ink!$AU:$AU,0),10)/'ACC &amp; Other Material '!$E$2*10^3,"")</f>
        <v/>
      </c>
      <c r="I144" s="3153" t="str">
        <f ca="1">IFERROR(INDEX(Ink!$A:$AU,MATCH($C144,Ink!$AU:$AU,0),13),"")</f>
        <v/>
      </c>
      <c r="J144" s="3153" t="str">
        <f ca="1">IFERROR(INDEX(Ink!$A:$AU,MATCH($C144,Ink!$AU:$AU,0),13)*(1+Ink!$M$5),"")</f>
        <v/>
      </c>
    </row>
    <row r="145" spans="2:10" ht="21.75">
      <c r="B145" s="3143" t="s">
        <v>213</v>
      </c>
      <c r="C145" s="3143">
        <f t="shared" si="2"/>
        <v>82</v>
      </c>
      <c r="D145" s="3143" t="str">
        <f ca="1">IFERROR(INDEX(Ink!$A:$AU,MATCH($C145,Ink!$AU:$AU,0),1),"")</f>
        <v/>
      </c>
      <c r="E145" s="3143" t="str">
        <f ca="1">IFERROR(INDEX(Ink!$A:$AU,MATCH($C145,Ink!$AU:$AU,0),4),"")</f>
        <v/>
      </c>
      <c r="F145" s="3143" t="s">
        <v>3651</v>
      </c>
      <c r="G145" s="3599" t="str">
        <f ca="1">IFERROR(INDEX(Ink!$A:$AU,MATCH($C145,Ink!$AU:$AU,0),9)/'ACC &amp; Other Material '!$E$2*10^3,"")</f>
        <v/>
      </c>
      <c r="H145" s="3599" t="str">
        <f ca="1">IFERROR(INDEX(Ink!$A:$AU,MATCH($C145,Ink!$AU:$AU,0),10)/'ACC &amp; Other Material '!$E$2*10^3,"")</f>
        <v/>
      </c>
      <c r="I145" s="3153" t="str">
        <f ca="1">IFERROR(INDEX(Ink!$A:$AU,MATCH($C145,Ink!$AU:$AU,0),13),"")</f>
        <v/>
      </c>
      <c r="J145" s="3153" t="str">
        <f ca="1">IFERROR(INDEX(Ink!$A:$AU,MATCH($C145,Ink!$AU:$AU,0),13)*(1+Ink!$M$5),"")</f>
        <v/>
      </c>
    </row>
    <row r="146" spans="2:10" ht="21.75">
      <c r="B146" s="3143" t="s">
        <v>213</v>
      </c>
      <c r="C146" s="3143">
        <f t="shared" si="2"/>
        <v>83</v>
      </c>
      <c r="D146" s="3143" t="str">
        <f ca="1">IFERROR(INDEX(Ink!$A:$AU,MATCH($C146,Ink!$AU:$AU,0),1),"")</f>
        <v/>
      </c>
      <c r="E146" s="3143" t="str">
        <f ca="1">IFERROR(INDEX(Ink!$A:$AU,MATCH($C146,Ink!$AU:$AU,0),4),"")</f>
        <v/>
      </c>
      <c r="F146" s="3143" t="s">
        <v>3651</v>
      </c>
      <c r="G146" s="3599" t="str">
        <f ca="1">IFERROR(INDEX(Ink!$A:$AU,MATCH($C146,Ink!$AU:$AU,0),9)/'ACC &amp; Other Material '!$E$2*10^3,"")</f>
        <v/>
      </c>
      <c r="H146" s="3599" t="str">
        <f ca="1">IFERROR(INDEX(Ink!$A:$AU,MATCH($C146,Ink!$AU:$AU,0),10)/'ACC &amp; Other Material '!$E$2*10^3,"")</f>
        <v/>
      </c>
      <c r="I146" s="3153" t="str">
        <f ca="1">IFERROR(INDEX(Ink!$A:$AU,MATCH($C146,Ink!$AU:$AU,0),13),"")</f>
        <v/>
      </c>
      <c r="J146" s="3153" t="str">
        <f ca="1">IFERROR(INDEX(Ink!$A:$AU,MATCH($C146,Ink!$AU:$AU,0),13)*(1+Ink!$M$5),"")</f>
        <v/>
      </c>
    </row>
    <row r="147" spans="2:10" ht="21.75">
      <c r="B147" s="3143" t="s">
        <v>213</v>
      </c>
      <c r="C147" s="3143">
        <f t="shared" si="2"/>
        <v>84</v>
      </c>
      <c r="D147" s="3143" t="str">
        <f ca="1">IFERROR(INDEX(Ink!$A:$AU,MATCH($C147,Ink!$AU:$AU,0),1),"")</f>
        <v/>
      </c>
      <c r="E147" s="3143" t="str">
        <f ca="1">IFERROR(INDEX(Ink!$A:$AU,MATCH($C147,Ink!$AU:$AU,0),4),"")</f>
        <v/>
      </c>
      <c r="F147" s="3143" t="s">
        <v>3651</v>
      </c>
      <c r="G147" s="3599" t="str">
        <f ca="1">IFERROR(INDEX(Ink!$A:$AU,MATCH($C147,Ink!$AU:$AU,0),9)/'ACC &amp; Other Material '!$E$2*10^3,"")</f>
        <v/>
      </c>
      <c r="H147" s="3599" t="str">
        <f ca="1">IFERROR(INDEX(Ink!$A:$AU,MATCH($C147,Ink!$AU:$AU,0),10)/'ACC &amp; Other Material '!$E$2*10^3,"")</f>
        <v/>
      </c>
      <c r="I147" s="3153" t="str">
        <f ca="1">IFERROR(INDEX(Ink!$A:$AU,MATCH($C147,Ink!$AU:$AU,0),13),"")</f>
        <v/>
      </c>
      <c r="J147" s="3153" t="str">
        <f ca="1">IFERROR(INDEX(Ink!$A:$AU,MATCH($C147,Ink!$AU:$AU,0),13)*(1+Ink!$M$5),"")</f>
        <v/>
      </c>
    </row>
    <row r="148" spans="2:10" ht="21.75">
      <c r="B148" s="3143" t="s">
        <v>213</v>
      </c>
      <c r="C148" s="3143">
        <f t="shared" si="2"/>
        <v>85</v>
      </c>
      <c r="D148" s="3143" t="str">
        <f ca="1">IFERROR(INDEX(Ink!$A:$AU,MATCH($C148,Ink!$AU:$AU,0),1),"")</f>
        <v/>
      </c>
      <c r="E148" s="3143" t="str">
        <f ca="1">IFERROR(INDEX(Ink!$A:$AU,MATCH($C148,Ink!$AU:$AU,0),4),"")</f>
        <v/>
      </c>
      <c r="F148" s="3143" t="s">
        <v>3651</v>
      </c>
      <c r="G148" s="3599" t="str">
        <f ca="1">IFERROR(INDEX(Ink!$A:$AU,MATCH($C148,Ink!$AU:$AU,0),9)/'ACC &amp; Other Material '!$E$2*10^3,"")</f>
        <v/>
      </c>
      <c r="H148" s="3599" t="str">
        <f ca="1">IFERROR(INDEX(Ink!$A:$AU,MATCH($C148,Ink!$AU:$AU,0),10)/'ACC &amp; Other Material '!$E$2*10^3,"")</f>
        <v/>
      </c>
      <c r="I148" s="3153" t="str">
        <f ca="1">IFERROR(INDEX(Ink!$A:$AU,MATCH($C148,Ink!$AU:$AU,0),13),"")</f>
        <v/>
      </c>
      <c r="J148" s="3153" t="str">
        <f ca="1">IFERROR(INDEX(Ink!$A:$AU,MATCH($C148,Ink!$AU:$AU,0),13)*(1+Ink!$M$5),"")</f>
        <v/>
      </c>
    </row>
    <row r="149" spans="2:10" ht="21.75">
      <c r="B149" s="3143" t="s">
        <v>213</v>
      </c>
      <c r="C149" s="3143">
        <f t="shared" si="2"/>
        <v>86</v>
      </c>
      <c r="D149" s="3143" t="str">
        <f ca="1">IFERROR(INDEX(Ink!$A:$AU,MATCH($C149,Ink!$AU:$AU,0),1),"")</f>
        <v/>
      </c>
      <c r="E149" s="3143" t="str">
        <f ca="1">IFERROR(INDEX(Ink!$A:$AU,MATCH($C149,Ink!$AU:$AU,0),4),"")</f>
        <v/>
      </c>
      <c r="F149" s="3143" t="s">
        <v>3651</v>
      </c>
      <c r="G149" s="3599" t="str">
        <f ca="1">IFERROR(INDEX(Ink!$A:$AU,MATCH($C149,Ink!$AU:$AU,0),9)/'ACC &amp; Other Material '!$E$2*10^3,"")</f>
        <v/>
      </c>
      <c r="H149" s="3599" t="str">
        <f ca="1">IFERROR(INDEX(Ink!$A:$AU,MATCH($C149,Ink!$AU:$AU,0),10)/'ACC &amp; Other Material '!$E$2*10^3,"")</f>
        <v/>
      </c>
      <c r="I149" s="3153" t="str">
        <f ca="1">IFERROR(INDEX(Ink!$A:$AU,MATCH($C149,Ink!$AU:$AU,0),13),"")</f>
        <v/>
      </c>
      <c r="J149" s="3153" t="str">
        <f ca="1">IFERROR(INDEX(Ink!$A:$AU,MATCH($C149,Ink!$AU:$AU,0),13)*(1+Ink!$M$5),"")</f>
        <v/>
      </c>
    </row>
    <row r="150" spans="2:10" ht="21.75">
      <c r="B150" s="3143" t="s">
        <v>213</v>
      </c>
      <c r="C150" s="3143">
        <f t="shared" si="2"/>
        <v>87</v>
      </c>
      <c r="D150" s="3143" t="str">
        <f ca="1">IFERROR(INDEX(Ink!$A:$AU,MATCH($C150,Ink!$AU:$AU,0),1),"")</f>
        <v/>
      </c>
      <c r="E150" s="3143" t="str">
        <f ca="1">IFERROR(INDEX(Ink!$A:$AU,MATCH($C150,Ink!$AU:$AU,0),4),"")</f>
        <v/>
      </c>
      <c r="F150" s="3143" t="s">
        <v>3651</v>
      </c>
      <c r="G150" s="3599" t="str">
        <f ca="1">IFERROR(INDEX(Ink!$A:$AU,MATCH($C150,Ink!$AU:$AU,0),9)/'ACC &amp; Other Material '!$E$2*10^3,"")</f>
        <v/>
      </c>
      <c r="H150" s="3599" t="str">
        <f ca="1">IFERROR(INDEX(Ink!$A:$AU,MATCH($C150,Ink!$AU:$AU,0),10)/'ACC &amp; Other Material '!$E$2*10^3,"")</f>
        <v/>
      </c>
      <c r="I150" s="3153" t="str">
        <f ca="1">IFERROR(INDEX(Ink!$A:$AU,MATCH($C150,Ink!$AU:$AU,0),13),"")</f>
        <v/>
      </c>
      <c r="J150" s="3153" t="str">
        <f ca="1">IFERROR(INDEX(Ink!$A:$AU,MATCH($C150,Ink!$AU:$AU,0),13)*(1+Ink!$M$5),"")</f>
        <v/>
      </c>
    </row>
    <row r="151" spans="2:10" ht="21.75">
      <c r="B151" s="3143" t="s">
        <v>213</v>
      </c>
      <c r="C151" s="3143">
        <f t="shared" si="2"/>
        <v>88</v>
      </c>
      <c r="D151" s="3143" t="str">
        <f ca="1">IFERROR(INDEX(Ink!$A:$AU,MATCH($C151,Ink!$AU:$AU,0),1),"")</f>
        <v/>
      </c>
      <c r="E151" s="3143" t="str">
        <f ca="1">IFERROR(INDEX(Ink!$A:$AU,MATCH($C151,Ink!$AU:$AU,0),4),"")</f>
        <v/>
      </c>
      <c r="F151" s="3143" t="s">
        <v>3651</v>
      </c>
      <c r="G151" s="3599" t="str">
        <f ca="1">IFERROR(INDEX(Ink!$A:$AU,MATCH($C151,Ink!$AU:$AU,0),9)/'ACC &amp; Other Material '!$E$2*10^3,"")</f>
        <v/>
      </c>
      <c r="H151" s="3599" t="str">
        <f ca="1">IFERROR(INDEX(Ink!$A:$AU,MATCH($C151,Ink!$AU:$AU,0),10)/'ACC &amp; Other Material '!$E$2*10^3,"")</f>
        <v/>
      </c>
      <c r="I151" s="3153" t="str">
        <f ca="1">IFERROR(INDEX(Ink!$A:$AU,MATCH($C151,Ink!$AU:$AU,0),13),"")</f>
        <v/>
      </c>
      <c r="J151" s="3153" t="str">
        <f ca="1">IFERROR(INDEX(Ink!$A:$AU,MATCH($C151,Ink!$AU:$AU,0),13)*(1+Ink!$M$5),"")</f>
        <v/>
      </c>
    </row>
    <row r="152" spans="2:10" ht="21.75">
      <c r="B152" s="3143" t="s">
        <v>213</v>
      </c>
      <c r="C152" s="3143">
        <f t="shared" si="2"/>
        <v>89</v>
      </c>
      <c r="D152" s="3143" t="str">
        <f ca="1">IFERROR(INDEX(Ink!$A:$AU,MATCH($C152,Ink!$AU:$AU,0),1),"")</f>
        <v/>
      </c>
      <c r="E152" s="3143" t="str">
        <f ca="1">IFERROR(INDEX(Ink!$A:$AU,MATCH($C152,Ink!$AU:$AU,0),4),"")</f>
        <v/>
      </c>
      <c r="F152" s="3143" t="s">
        <v>3651</v>
      </c>
      <c r="G152" s="3599" t="str">
        <f ca="1">IFERROR(INDEX(Ink!$A:$AU,MATCH($C152,Ink!$AU:$AU,0),9)/'ACC &amp; Other Material '!$E$2*10^3,"")</f>
        <v/>
      </c>
      <c r="H152" s="3599" t="str">
        <f ca="1">IFERROR(INDEX(Ink!$A:$AU,MATCH($C152,Ink!$AU:$AU,0),10)/'ACC &amp; Other Material '!$E$2*10^3,"")</f>
        <v/>
      </c>
      <c r="I152" s="3153" t="str">
        <f ca="1">IFERROR(INDEX(Ink!$A:$AU,MATCH($C152,Ink!$AU:$AU,0),13),"")</f>
        <v/>
      </c>
      <c r="J152" s="3153" t="str">
        <f ca="1">IFERROR(INDEX(Ink!$A:$AU,MATCH($C152,Ink!$AU:$AU,0),13)*(1+Ink!$M$5),"")</f>
        <v/>
      </c>
    </row>
    <row r="153" spans="2:10" ht="21.75">
      <c r="B153" s="3143" t="s">
        <v>213</v>
      </c>
      <c r="C153" s="3143">
        <f t="shared" si="2"/>
        <v>90</v>
      </c>
      <c r="D153" s="3143" t="str">
        <f ca="1">IFERROR(INDEX(Ink!$A:$AU,MATCH($C153,Ink!$AU:$AU,0),1),"")</f>
        <v/>
      </c>
      <c r="E153" s="3143" t="str">
        <f ca="1">IFERROR(INDEX(Ink!$A:$AU,MATCH($C153,Ink!$AU:$AU,0),4),"")</f>
        <v/>
      </c>
      <c r="F153" s="3143" t="s">
        <v>3651</v>
      </c>
      <c r="G153" s="3599" t="str">
        <f ca="1">IFERROR(INDEX(Ink!$A:$AU,MATCH($C153,Ink!$AU:$AU,0),9)/'ACC &amp; Other Material '!$E$2*10^3,"")</f>
        <v/>
      </c>
      <c r="H153" s="3599" t="str">
        <f ca="1">IFERROR(INDEX(Ink!$A:$AU,MATCH($C153,Ink!$AU:$AU,0),10)/'ACC &amp; Other Material '!$E$2*10^3,"")</f>
        <v/>
      </c>
      <c r="I153" s="3153" t="str">
        <f ca="1">IFERROR(INDEX(Ink!$A:$AU,MATCH($C153,Ink!$AU:$AU,0),13),"")</f>
        <v/>
      </c>
      <c r="J153" s="3153" t="str">
        <f ca="1">IFERROR(INDEX(Ink!$A:$AU,MATCH($C153,Ink!$AU:$AU,0),13)*(1+Ink!$M$5),"")</f>
        <v/>
      </c>
    </row>
    <row r="154" spans="2:10" ht="21.75">
      <c r="B154" s="3143" t="s">
        <v>213</v>
      </c>
      <c r="C154" s="3143">
        <f t="shared" si="2"/>
        <v>91</v>
      </c>
      <c r="D154" s="3143" t="str">
        <f ca="1">IFERROR(INDEX(Ink!$A:$AU,MATCH($C154,Ink!$AU:$AU,0),1),"")</f>
        <v/>
      </c>
      <c r="E154" s="3143" t="str">
        <f ca="1">IFERROR(INDEX(Ink!$A:$AU,MATCH($C154,Ink!$AU:$AU,0),4),"")</f>
        <v/>
      </c>
      <c r="F154" s="3143" t="s">
        <v>3651</v>
      </c>
      <c r="G154" s="3599" t="str">
        <f ca="1">IFERROR(INDEX(Ink!$A:$AU,MATCH($C154,Ink!$AU:$AU,0),9)/'ACC &amp; Other Material '!$E$2*10^3,"")</f>
        <v/>
      </c>
      <c r="H154" s="3599" t="str">
        <f ca="1">IFERROR(INDEX(Ink!$A:$AU,MATCH($C154,Ink!$AU:$AU,0),10)/'ACC &amp; Other Material '!$E$2*10^3,"")</f>
        <v/>
      </c>
      <c r="I154" s="3153" t="str">
        <f ca="1">IFERROR(INDEX(Ink!$A:$AU,MATCH($C154,Ink!$AU:$AU,0),13),"")</f>
        <v/>
      </c>
      <c r="J154" s="3153" t="str">
        <f ca="1">IFERROR(INDEX(Ink!$A:$AU,MATCH($C154,Ink!$AU:$AU,0),13)*(1+Ink!$M$5),"")</f>
        <v/>
      </c>
    </row>
    <row r="155" spans="2:10" ht="21.75">
      <c r="B155" s="3143" t="s">
        <v>213</v>
      </c>
      <c r="C155" s="3143">
        <f t="shared" si="2"/>
        <v>92</v>
      </c>
      <c r="D155" s="3143" t="str">
        <f ca="1">IFERROR(INDEX(Ink!$A:$AU,MATCH($C155,Ink!$AU:$AU,0),1),"")</f>
        <v/>
      </c>
      <c r="E155" s="3143" t="str">
        <f ca="1">IFERROR(INDEX(Ink!$A:$AU,MATCH($C155,Ink!$AU:$AU,0),4),"")</f>
        <v/>
      </c>
      <c r="F155" s="3143" t="s">
        <v>3651</v>
      </c>
      <c r="G155" s="3599" t="str">
        <f ca="1">IFERROR(INDEX(Ink!$A:$AU,MATCH($C155,Ink!$AU:$AU,0),9)/'ACC &amp; Other Material '!$E$2*10^3,"")</f>
        <v/>
      </c>
      <c r="H155" s="3599" t="str">
        <f ca="1">IFERROR(INDEX(Ink!$A:$AU,MATCH($C155,Ink!$AU:$AU,0),10)/'ACC &amp; Other Material '!$E$2*10^3,"")</f>
        <v/>
      </c>
      <c r="I155" s="3153" t="str">
        <f ca="1">IFERROR(INDEX(Ink!$A:$AU,MATCH($C155,Ink!$AU:$AU,0),13),"")</f>
        <v/>
      </c>
      <c r="J155" s="3153" t="str">
        <f ca="1">IFERROR(INDEX(Ink!$A:$AU,MATCH($C155,Ink!$AU:$AU,0),13)*(1+Ink!$M$5),"")</f>
        <v/>
      </c>
    </row>
    <row r="156" spans="2:10" ht="21.75">
      <c r="B156" s="3143" t="s">
        <v>213</v>
      </c>
      <c r="C156" s="3143">
        <f t="shared" si="2"/>
        <v>93</v>
      </c>
      <c r="D156" s="3143" t="str">
        <f ca="1">IFERROR(INDEX(Ink!$A:$AU,MATCH($C156,Ink!$AU:$AU,0),1),"")</f>
        <v/>
      </c>
      <c r="E156" s="3143" t="str">
        <f ca="1">IFERROR(INDEX(Ink!$A:$AU,MATCH($C156,Ink!$AU:$AU,0),4),"")</f>
        <v/>
      </c>
      <c r="F156" s="3143" t="s">
        <v>3651</v>
      </c>
      <c r="G156" s="3599" t="str">
        <f ca="1">IFERROR(INDEX(Ink!$A:$AU,MATCH($C156,Ink!$AU:$AU,0),9)/'ACC &amp; Other Material '!$E$2*10^3,"")</f>
        <v/>
      </c>
      <c r="H156" s="3599" t="str">
        <f ca="1">IFERROR(INDEX(Ink!$A:$AU,MATCH($C156,Ink!$AU:$AU,0),10)/'ACC &amp; Other Material '!$E$2*10^3,"")</f>
        <v/>
      </c>
      <c r="I156" s="3153" t="str">
        <f ca="1">IFERROR(INDEX(Ink!$A:$AU,MATCH($C156,Ink!$AU:$AU,0),13),"")</f>
        <v/>
      </c>
      <c r="J156" s="3153" t="str">
        <f ca="1">IFERROR(INDEX(Ink!$A:$AU,MATCH($C156,Ink!$AU:$AU,0),13)*(1+Ink!$M$5),"")</f>
        <v/>
      </c>
    </row>
    <row r="157" spans="2:10" ht="21.75">
      <c r="B157" s="3143" t="s">
        <v>213</v>
      </c>
      <c r="C157" s="3143">
        <f t="shared" si="2"/>
        <v>94</v>
      </c>
      <c r="D157" s="3143" t="str">
        <f ca="1">IFERROR(INDEX(Ink!$A:$AU,MATCH($C157,Ink!$AU:$AU,0),1),"")</f>
        <v/>
      </c>
      <c r="E157" s="3143" t="str">
        <f ca="1">IFERROR(INDEX(Ink!$A:$AU,MATCH($C157,Ink!$AU:$AU,0),4),"")</f>
        <v/>
      </c>
      <c r="F157" s="3143" t="s">
        <v>3651</v>
      </c>
      <c r="G157" s="3599" t="str">
        <f ca="1">IFERROR(INDEX(Ink!$A:$AU,MATCH($C157,Ink!$AU:$AU,0),9)/'ACC &amp; Other Material '!$E$2*10^3,"")</f>
        <v/>
      </c>
      <c r="H157" s="3599" t="str">
        <f ca="1">IFERROR(INDEX(Ink!$A:$AU,MATCH($C157,Ink!$AU:$AU,0),10)/'ACC &amp; Other Material '!$E$2*10^3,"")</f>
        <v/>
      </c>
      <c r="I157" s="3153" t="str">
        <f ca="1">IFERROR(INDEX(Ink!$A:$AU,MATCH($C157,Ink!$AU:$AU,0),13),"")</f>
        <v/>
      </c>
      <c r="J157" s="3153" t="str">
        <f ca="1">IFERROR(INDEX(Ink!$A:$AU,MATCH($C157,Ink!$AU:$AU,0),13)*(1+Ink!$M$5),"")</f>
        <v/>
      </c>
    </row>
    <row r="158" spans="2:10" ht="21.75">
      <c r="B158" s="3143" t="s">
        <v>213</v>
      </c>
      <c r="C158" s="3143">
        <f t="shared" si="2"/>
        <v>95</v>
      </c>
      <c r="D158" s="3143" t="str">
        <f ca="1">IFERROR(INDEX(Ink!$A:$AU,MATCH($C158,Ink!$AU:$AU,0),1),"")</f>
        <v/>
      </c>
      <c r="E158" s="3143" t="str">
        <f ca="1">IFERROR(INDEX(Ink!$A:$AU,MATCH($C158,Ink!$AU:$AU,0),4),"")</f>
        <v/>
      </c>
      <c r="F158" s="3143" t="s">
        <v>3651</v>
      </c>
      <c r="G158" s="3599" t="str">
        <f ca="1">IFERROR(INDEX(Ink!$A:$AU,MATCH($C158,Ink!$AU:$AU,0),9)/'ACC &amp; Other Material '!$E$2*10^3,"")</f>
        <v/>
      </c>
      <c r="H158" s="3599" t="str">
        <f ca="1">IFERROR(INDEX(Ink!$A:$AU,MATCH($C158,Ink!$AU:$AU,0),10)/'ACC &amp; Other Material '!$E$2*10^3,"")</f>
        <v/>
      </c>
      <c r="I158" s="3153" t="str">
        <f ca="1">IFERROR(INDEX(Ink!$A:$AU,MATCH($C158,Ink!$AU:$AU,0),13),"")</f>
        <v/>
      </c>
      <c r="J158" s="3153" t="str">
        <f ca="1">IFERROR(INDEX(Ink!$A:$AU,MATCH($C158,Ink!$AU:$AU,0),13)*(1+Ink!$M$5),"")</f>
        <v/>
      </c>
    </row>
    <row r="159" spans="2:10" ht="21.75">
      <c r="B159" s="3143" t="s">
        <v>213</v>
      </c>
      <c r="C159" s="3143">
        <f t="shared" si="2"/>
        <v>96</v>
      </c>
      <c r="D159" s="3143" t="str">
        <f ca="1">IFERROR(INDEX(Ink!$A:$AU,MATCH($C159,Ink!$AU:$AU,0),1),"")</f>
        <v/>
      </c>
      <c r="E159" s="3143" t="str">
        <f ca="1">IFERROR(INDEX(Ink!$A:$AU,MATCH($C159,Ink!$AU:$AU,0),4),"")</f>
        <v/>
      </c>
      <c r="F159" s="3143" t="s">
        <v>3651</v>
      </c>
      <c r="G159" s="3599" t="str">
        <f ca="1">IFERROR(INDEX(Ink!$A:$AU,MATCH($C159,Ink!$AU:$AU,0),9)/'ACC &amp; Other Material '!$E$2*10^3,"")</f>
        <v/>
      </c>
      <c r="H159" s="3599" t="str">
        <f ca="1">IFERROR(INDEX(Ink!$A:$AU,MATCH($C159,Ink!$AU:$AU,0),10)/'ACC &amp; Other Material '!$E$2*10^3,"")</f>
        <v/>
      </c>
      <c r="I159" s="3153" t="str">
        <f ca="1">IFERROR(INDEX(Ink!$A:$AU,MATCH($C159,Ink!$AU:$AU,0),13),"")</f>
        <v/>
      </c>
      <c r="J159" s="3153" t="str">
        <f ca="1">IFERROR(INDEX(Ink!$A:$AU,MATCH($C159,Ink!$AU:$AU,0),13)*(1+Ink!$M$5),"")</f>
        <v/>
      </c>
    </row>
    <row r="160" spans="2:10" ht="21.75">
      <c r="B160" s="3143" t="s">
        <v>213</v>
      </c>
      <c r="C160" s="3143">
        <f t="shared" si="2"/>
        <v>97</v>
      </c>
      <c r="D160" s="3143" t="str">
        <f ca="1">IFERROR(INDEX(Ink!$A:$AU,MATCH($C160,Ink!$AU:$AU,0),1),"")</f>
        <v/>
      </c>
      <c r="E160" s="3143" t="str">
        <f ca="1">IFERROR(INDEX(Ink!$A:$AU,MATCH($C160,Ink!$AU:$AU,0),4),"")</f>
        <v/>
      </c>
      <c r="F160" s="3143" t="s">
        <v>3651</v>
      </c>
      <c r="G160" s="3599" t="str">
        <f ca="1">IFERROR(INDEX(Ink!$A:$AU,MATCH($C160,Ink!$AU:$AU,0),9)/'ACC &amp; Other Material '!$E$2*10^3,"")</f>
        <v/>
      </c>
      <c r="H160" s="3599" t="str">
        <f ca="1">IFERROR(INDEX(Ink!$A:$AU,MATCH($C160,Ink!$AU:$AU,0),10)/'ACC &amp; Other Material '!$E$2*10^3,"")</f>
        <v/>
      </c>
      <c r="I160" s="3153" t="str">
        <f ca="1">IFERROR(INDEX(Ink!$A:$AU,MATCH($C160,Ink!$AU:$AU,0),13),"")</f>
        <v/>
      </c>
      <c r="J160" s="3153" t="str">
        <f ca="1">IFERROR(INDEX(Ink!$A:$AU,MATCH($C160,Ink!$AU:$AU,0),13)*(1+Ink!$M$5),"")</f>
        <v/>
      </c>
    </row>
    <row r="161" spans="2:10" ht="21.75">
      <c r="B161" s="3143" t="s">
        <v>213</v>
      </c>
      <c r="C161" s="3143">
        <f t="shared" si="2"/>
        <v>98</v>
      </c>
      <c r="D161" s="3143" t="str">
        <f ca="1">IFERROR(INDEX(Ink!$A:$AU,MATCH($C161,Ink!$AU:$AU,0),1),"")</f>
        <v/>
      </c>
      <c r="E161" s="3143" t="str">
        <f ca="1">IFERROR(INDEX(Ink!$A:$AU,MATCH($C161,Ink!$AU:$AU,0),4),"")</f>
        <v/>
      </c>
      <c r="F161" s="3143" t="s">
        <v>3651</v>
      </c>
      <c r="G161" s="3599" t="str">
        <f ca="1">IFERROR(INDEX(Ink!$A:$AU,MATCH($C161,Ink!$AU:$AU,0),9)/'ACC &amp; Other Material '!$E$2*10^3,"")</f>
        <v/>
      </c>
      <c r="H161" s="3599" t="str">
        <f ca="1">IFERROR(INDEX(Ink!$A:$AU,MATCH($C161,Ink!$AU:$AU,0),10)/'ACC &amp; Other Material '!$E$2*10^3,"")</f>
        <v/>
      </c>
      <c r="I161" s="3153" t="str">
        <f ca="1">IFERROR(INDEX(Ink!$A:$AU,MATCH($C161,Ink!$AU:$AU,0),13),"")</f>
        <v/>
      </c>
      <c r="J161" s="3153" t="str">
        <f ca="1">IFERROR(INDEX(Ink!$A:$AU,MATCH($C161,Ink!$AU:$AU,0),13)*(1+Ink!$M$5),"")</f>
        <v/>
      </c>
    </row>
    <row r="162" spans="2:10" ht="21.75">
      <c r="B162" s="3143" t="s">
        <v>213</v>
      </c>
      <c r="C162" s="3143">
        <f t="shared" si="2"/>
        <v>99</v>
      </c>
      <c r="D162" s="3143" t="str">
        <f ca="1">IFERROR(INDEX(Ink!$A:$AU,MATCH($C162,Ink!$AU:$AU,0),1),"")</f>
        <v/>
      </c>
      <c r="E162" s="3143" t="str">
        <f ca="1">IFERROR(INDEX(Ink!$A:$AU,MATCH($C162,Ink!$AU:$AU,0),4),"")</f>
        <v/>
      </c>
      <c r="F162" s="3143" t="s">
        <v>3651</v>
      </c>
      <c r="G162" s="3599" t="str">
        <f ca="1">IFERROR(INDEX(Ink!$A:$AU,MATCH($C162,Ink!$AU:$AU,0),9)/'ACC &amp; Other Material '!$E$2*10^3,"")</f>
        <v/>
      </c>
      <c r="H162" s="3599" t="str">
        <f ca="1">IFERROR(INDEX(Ink!$A:$AU,MATCH($C162,Ink!$AU:$AU,0),10)/'ACC &amp; Other Material '!$E$2*10^3,"")</f>
        <v/>
      </c>
      <c r="I162" s="3153" t="str">
        <f ca="1">IFERROR(INDEX(Ink!$A:$AU,MATCH($C162,Ink!$AU:$AU,0),13),"")</f>
        <v/>
      </c>
      <c r="J162" s="3153" t="str">
        <f ca="1">IFERROR(INDEX(Ink!$A:$AU,MATCH($C162,Ink!$AU:$AU,0),13)*(1+Ink!$M$5),"")</f>
        <v/>
      </c>
    </row>
    <row r="163" spans="2:10" ht="21.75">
      <c r="B163" s="3143" t="s">
        <v>213</v>
      </c>
      <c r="C163" s="3143">
        <f t="shared" si="2"/>
        <v>100</v>
      </c>
      <c r="D163" s="3143" t="str">
        <f ca="1">IFERROR(INDEX(Ink!$A:$AU,MATCH($C163,Ink!$AU:$AU,0),1),"")</f>
        <v/>
      </c>
      <c r="E163" s="3143" t="str">
        <f ca="1">IFERROR(INDEX(Ink!$A:$AU,MATCH($C163,Ink!$AU:$AU,0),4),"")</f>
        <v/>
      </c>
      <c r="F163" s="3143" t="s">
        <v>3651</v>
      </c>
      <c r="G163" s="3599" t="str">
        <f ca="1">IFERROR(INDEX(Ink!$A:$AU,MATCH($C163,Ink!$AU:$AU,0),9)/'ACC &amp; Other Material '!$E$2*10^3,"")</f>
        <v/>
      </c>
      <c r="H163" s="3599" t="str">
        <f ca="1">IFERROR(INDEX(Ink!$A:$AU,MATCH($C163,Ink!$AU:$AU,0),10)/'ACC &amp; Other Material '!$E$2*10^3,"")</f>
        <v/>
      </c>
      <c r="I163" s="3153" t="str">
        <f ca="1">IFERROR(INDEX(Ink!$A:$AU,MATCH($C163,Ink!$AU:$AU,0),13),"")</f>
        <v/>
      </c>
      <c r="J163" s="3153" t="str">
        <f ca="1">IFERROR(INDEX(Ink!$A:$AU,MATCH($C163,Ink!$AU:$AU,0),13)*(1+Ink!$M$5),"")</f>
        <v/>
      </c>
    </row>
    <row r="164" spans="2:10" ht="21.75">
      <c r="B164" s="3143" t="s">
        <v>213</v>
      </c>
      <c r="C164" s="3143">
        <f t="shared" si="2"/>
        <v>101</v>
      </c>
      <c r="D164" s="3143" t="str">
        <f ca="1">IFERROR(INDEX(Ink!$A:$AU,MATCH($C164,Ink!$AU:$AU,0),1),"")</f>
        <v/>
      </c>
      <c r="E164" s="3143" t="str">
        <f ca="1">IFERROR(INDEX(Ink!$A:$AU,MATCH($C164,Ink!$AU:$AU,0),4),"")</f>
        <v/>
      </c>
      <c r="F164" s="3143" t="s">
        <v>3651</v>
      </c>
      <c r="G164" s="3599" t="str">
        <f ca="1">IFERROR(INDEX(Ink!$A:$AU,MATCH($C164,Ink!$AU:$AU,0),9)/'ACC &amp; Other Material '!$E$2*10^3,"")</f>
        <v/>
      </c>
      <c r="H164" s="3599" t="str">
        <f ca="1">IFERROR(INDEX(Ink!$A:$AU,MATCH($C164,Ink!$AU:$AU,0),10)/'ACC &amp; Other Material '!$E$2*10^3,"")</f>
        <v/>
      </c>
      <c r="I164" s="3153" t="str">
        <f ca="1">IFERROR(INDEX(Ink!$A:$AU,MATCH($C164,Ink!$AU:$AU,0),13),"")</f>
        <v/>
      </c>
      <c r="J164" s="3153" t="str">
        <f ca="1">IFERROR(INDEX(Ink!$A:$AU,MATCH($C164,Ink!$AU:$AU,0),13)*(1+Ink!$M$5),"")</f>
        <v/>
      </c>
    </row>
    <row r="165" spans="2:10" ht="21.75">
      <c r="B165" s="3143" t="s">
        <v>213</v>
      </c>
      <c r="C165" s="3143">
        <f t="shared" si="2"/>
        <v>102</v>
      </c>
      <c r="D165" s="3143" t="str">
        <f ca="1">IFERROR(INDEX(Ink!$A:$AU,MATCH($C165,Ink!$AU:$AU,0),1),"")</f>
        <v/>
      </c>
      <c r="E165" s="3143" t="str">
        <f ca="1">IFERROR(INDEX(Ink!$A:$AU,MATCH($C165,Ink!$AU:$AU,0),4),"")</f>
        <v/>
      </c>
      <c r="F165" s="3143" t="s">
        <v>3651</v>
      </c>
      <c r="G165" s="3599" t="str">
        <f ca="1">IFERROR(INDEX(Ink!$A:$AU,MATCH($C165,Ink!$AU:$AU,0),9)/'ACC &amp; Other Material '!$E$2*10^3,"")</f>
        <v/>
      </c>
      <c r="H165" s="3599" t="str">
        <f ca="1">IFERROR(INDEX(Ink!$A:$AU,MATCH($C165,Ink!$AU:$AU,0),10)/'ACC &amp; Other Material '!$E$2*10^3,"")</f>
        <v/>
      </c>
      <c r="I165" s="3153" t="str">
        <f ca="1">IFERROR(INDEX(Ink!$A:$AU,MATCH($C165,Ink!$AU:$AU,0),13),"")</f>
        <v/>
      </c>
      <c r="J165" s="3153" t="str">
        <f ca="1">IFERROR(INDEX(Ink!$A:$AU,MATCH($C165,Ink!$AU:$AU,0),13)*(1+Ink!$M$5),"")</f>
        <v/>
      </c>
    </row>
    <row r="166" spans="2:10" ht="21.75">
      <c r="B166" s="3143" t="s">
        <v>213</v>
      </c>
      <c r="C166" s="3143">
        <f t="shared" si="2"/>
        <v>103</v>
      </c>
      <c r="D166" s="3143" t="str">
        <f ca="1">IFERROR(INDEX(Ink!$A:$AU,MATCH($C166,Ink!$AU:$AU,0),1),"")</f>
        <v/>
      </c>
      <c r="E166" s="3143" t="str">
        <f ca="1">IFERROR(INDEX(Ink!$A:$AU,MATCH($C166,Ink!$AU:$AU,0),4),"")</f>
        <v/>
      </c>
      <c r="F166" s="3143" t="s">
        <v>3651</v>
      </c>
      <c r="G166" s="3599" t="str">
        <f ca="1">IFERROR(INDEX(Ink!$A:$AU,MATCH($C166,Ink!$AU:$AU,0),9)/'ACC &amp; Other Material '!$E$2*10^3,"")</f>
        <v/>
      </c>
      <c r="H166" s="3599" t="str">
        <f ca="1">IFERROR(INDEX(Ink!$A:$AU,MATCH($C166,Ink!$AU:$AU,0),10)/'ACC &amp; Other Material '!$E$2*10^3,"")</f>
        <v/>
      </c>
      <c r="I166" s="3153" t="str">
        <f ca="1">IFERROR(INDEX(Ink!$A:$AU,MATCH($C166,Ink!$AU:$AU,0),13),"")</f>
        <v/>
      </c>
      <c r="J166" s="3153" t="str">
        <f ca="1">IFERROR(INDEX(Ink!$A:$AU,MATCH($C166,Ink!$AU:$AU,0),13)*(1+Ink!$M$5),"")</f>
        <v/>
      </c>
    </row>
    <row r="167" spans="2:10" ht="21.75">
      <c r="B167" s="3143" t="s">
        <v>213</v>
      </c>
      <c r="C167" s="3143">
        <f t="shared" si="2"/>
        <v>104</v>
      </c>
      <c r="D167" s="3143" t="str">
        <f ca="1">IFERROR(INDEX(Ink!$A:$AU,MATCH($C167,Ink!$AU:$AU,0),1),"")</f>
        <v/>
      </c>
      <c r="E167" s="3143" t="str">
        <f ca="1">IFERROR(INDEX(Ink!$A:$AU,MATCH($C167,Ink!$AU:$AU,0),4),"")</f>
        <v/>
      </c>
      <c r="F167" s="3143" t="s">
        <v>3651</v>
      </c>
      <c r="G167" s="3599" t="str">
        <f ca="1">IFERROR(INDEX(Ink!$A:$AU,MATCH($C167,Ink!$AU:$AU,0),9)/'ACC &amp; Other Material '!$E$2*10^3,"")</f>
        <v/>
      </c>
      <c r="H167" s="3599" t="str">
        <f ca="1">IFERROR(INDEX(Ink!$A:$AU,MATCH($C167,Ink!$AU:$AU,0),10)/'ACC &amp; Other Material '!$E$2*10^3,"")</f>
        <v/>
      </c>
      <c r="I167" s="3153" t="str">
        <f ca="1">IFERROR(INDEX(Ink!$A:$AU,MATCH($C167,Ink!$AU:$AU,0),13),"")</f>
        <v/>
      </c>
      <c r="J167" s="3153" t="str">
        <f ca="1">IFERROR(INDEX(Ink!$A:$AU,MATCH($C167,Ink!$AU:$AU,0),13)*(1+Ink!$M$5),"")</f>
        <v/>
      </c>
    </row>
    <row r="168" spans="2:10" ht="21.75">
      <c r="B168" s="3143" t="s">
        <v>213</v>
      </c>
      <c r="C168" s="3143">
        <f t="shared" si="2"/>
        <v>105</v>
      </c>
      <c r="D168" s="3143" t="str">
        <f ca="1">IFERROR(INDEX(Ink!$A:$AU,MATCH($C168,Ink!$AU:$AU,0),1),"")</f>
        <v/>
      </c>
      <c r="E168" s="3143" t="str">
        <f ca="1">IFERROR(INDEX(Ink!$A:$AU,MATCH($C168,Ink!$AU:$AU,0),4),"")</f>
        <v/>
      </c>
      <c r="F168" s="3143" t="s">
        <v>3651</v>
      </c>
      <c r="G168" s="3599" t="str">
        <f ca="1">IFERROR(INDEX(Ink!$A:$AU,MATCH($C168,Ink!$AU:$AU,0),9)/'ACC &amp; Other Material '!$E$2*10^3,"")</f>
        <v/>
      </c>
      <c r="H168" s="3599" t="str">
        <f ca="1">IFERROR(INDEX(Ink!$A:$AU,MATCH($C168,Ink!$AU:$AU,0),10)/'ACC &amp; Other Material '!$E$2*10^3,"")</f>
        <v/>
      </c>
      <c r="I168" s="3153" t="str">
        <f ca="1">IFERROR(INDEX(Ink!$A:$AU,MATCH($C168,Ink!$AU:$AU,0),13),"")</f>
        <v/>
      </c>
      <c r="J168" s="3153" t="str">
        <f ca="1">IFERROR(INDEX(Ink!$A:$AU,MATCH($C168,Ink!$AU:$AU,0),13)*(1+Ink!$M$5),"")</f>
        <v/>
      </c>
    </row>
    <row r="169" spans="2:10" ht="21.75">
      <c r="B169" s="3143" t="s">
        <v>213</v>
      </c>
      <c r="C169" s="3143">
        <f t="shared" si="2"/>
        <v>106</v>
      </c>
      <c r="D169" s="3143" t="str">
        <f ca="1">IFERROR(INDEX(Ink!$A:$AU,MATCH($C169,Ink!$AU:$AU,0),1),"")</f>
        <v/>
      </c>
      <c r="E169" s="3143" t="str">
        <f ca="1">IFERROR(INDEX(Ink!$A:$AU,MATCH($C169,Ink!$AU:$AU,0),4),"")</f>
        <v/>
      </c>
      <c r="F169" s="3143" t="s">
        <v>3651</v>
      </c>
      <c r="G169" s="3599" t="str">
        <f ca="1">IFERROR(INDEX(Ink!$A:$AU,MATCH($C169,Ink!$AU:$AU,0),9)/'ACC &amp; Other Material '!$E$2*10^3,"")</f>
        <v/>
      </c>
      <c r="H169" s="3599" t="str">
        <f ca="1">IFERROR(INDEX(Ink!$A:$AU,MATCH($C169,Ink!$AU:$AU,0),10)/'ACC &amp; Other Material '!$E$2*10^3,"")</f>
        <v/>
      </c>
      <c r="I169" s="3153" t="str">
        <f ca="1">IFERROR(INDEX(Ink!$A:$AU,MATCH($C169,Ink!$AU:$AU,0),13),"")</f>
        <v/>
      </c>
      <c r="J169" s="3153" t="str">
        <f ca="1">IFERROR(INDEX(Ink!$A:$AU,MATCH($C169,Ink!$AU:$AU,0),13)*(1+Ink!$M$5),"")</f>
        <v/>
      </c>
    </row>
    <row r="170" spans="2:10" ht="21.75">
      <c r="B170" s="3143" t="s">
        <v>213</v>
      </c>
      <c r="C170" s="3143">
        <f t="shared" si="2"/>
        <v>107</v>
      </c>
      <c r="D170" s="3143" t="str">
        <f ca="1">IFERROR(INDEX(Ink!$A:$AU,MATCH($C170,Ink!$AU:$AU,0),1),"")</f>
        <v/>
      </c>
      <c r="E170" s="3143" t="str">
        <f ca="1">IFERROR(INDEX(Ink!$A:$AU,MATCH($C170,Ink!$AU:$AU,0),4),"")</f>
        <v/>
      </c>
      <c r="F170" s="3143" t="s">
        <v>3651</v>
      </c>
      <c r="G170" s="3599" t="str">
        <f ca="1">IFERROR(INDEX(Ink!$A:$AU,MATCH($C170,Ink!$AU:$AU,0),9)/'ACC &amp; Other Material '!$E$2*10^3,"")</f>
        <v/>
      </c>
      <c r="H170" s="3599" t="str">
        <f ca="1">IFERROR(INDEX(Ink!$A:$AU,MATCH($C170,Ink!$AU:$AU,0),10)/'ACC &amp; Other Material '!$E$2*10^3,"")</f>
        <v/>
      </c>
      <c r="I170" s="3153" t="str">
        <f ca="1">IFERROR(INDEX(Ink!$A:$AU,MATCH($C170,Ink!$AU:$AU,0),13),"")</f>
        <v/>
      </c>
      <c r="J170" s="3153" t="str">
        <f ca="1">IFERROR(INDEX(Ink!$A:$AU,MATCH($C170,Ink!$AU:$AU,0),13)*(1+Ink!$M$5),"")</f>
        <v/>
      </c>
    </row>
    <row r="171" spans="2:10" ht="21.75">
      <c r="B171" s="3143" t="s">
        <v>213</v>
      </c>
      <c r="C171" s="3143">
        <f t="shared" si="2"/>
        <v>108</v>
      </c>
      <c r="D171" s="3143" t="str">
        <f ca="1">IFERROR(INDEX(Ink!$A:$AU,MATCH($C171,Ink!$AU:$AU,0),1),"")</f>
        <v/>
      </c>
      <c r="E171" s="3143" t="str">
        <f ca="1">IFERROR(INDEX(Ink!$A:$AU,MATCH($C171,Ink!$AU:$AU,0),4),"")</f>
        <v/>
      </c>
      <c r="F171" s="3143" t="s">
        <v>3651</v>
      </c>
      <c r="G171" s="3599" t="str">
        <f ca="1">IFERROR(INDEX(Ink!$A:$AU,MATCH($C171,Ink!$AU:$AU,0),9)/'ACC &amp; Other Material '!$E$2*10^3,"")</f>
        <v/>
      </c>
      <c r="H171" s="3599" t="str">
        <f ca="1">IFERROR(INDEX(Ink!$A:$AU,MATCH($C171,Ink!$AU:$AU,0),10)/'ACC &amp; Other Material '!$E$2*10^3,"")</f>
        <v/>
      </c>
      <c r="I171" s="3153" t="str">
        <f ca="1">IFERROR(INDEX(Ink!$A:$AU,MATCH($C171,Ink!$AU:$AU,0),13),"")</f>
        <v/>
      </c>
      <c r="J171" s="3153" t="str">
        <f ca="1">IFERROR(INDEX(Ink!$A:$AU,MATCH($C171,Ink!$AU:$AU,0),13)*(1+Ink!$M$5),"")</f>
        <v/>
      </c>
    </row>
    <row r="172" spans="2:10" ht="21.75">
      <c r="B172" s="3143" t="s">
        <v>213</v>
      </c>
      <c r="C172" s="3143">
        <f t="shared" si="2"/>
        <v>109</v>
      </c>
      <c r="D172" s="3143" t="str">
        <f ca="1">IFERROR(INDEX(Ink!$A:$AU,MATCH($C172,Ink!$AU:$AU,0),1),"")</f>
        <v/>
      </c>
      <c r="E172" s="3143" t="str">
        <f ca="1">IFERROR(INDEX(Ink!$A:$AU,MATCH($C172,Ink!$AU:$AU,0),4),"")</f>
        <v/>
      </c>
      <c r="F172" s="3143" t="s">
        <v>3651</v>
      </c>
      <c r="G172" s="3599" t="str">
        <f ca="1">IFERROR(INDEX(Ink!$A:$AU,MATCH($C172,Ink!$AU:$AU,0),9)/'ACC &amp; Other Material '!$E$2*10^3,"")</f>
        <v/>
      </c>
      <c r="H172" s="3599" t="str">
        <f ca="1">IFERROR(INDEX(Ink!$A:$AU,MATCH($C172,Ink!$AU:$AU,0),10)/'ACC &amp; Other Material '!$E$2*10^3,"")</f>
        <v/>
      </c>
      <c r="I172" s="3153" t="str">
        <f ca="1">IFERROR(INDEX(Ink!$A:$AU,MATCH($C172,Ink!$AU:$AU,0),13),"")</f>
        <v/>
      </c>
      <c r="J172" s="3153" t="str">
        <f ca="1">IFERROR(INDEX(Ink!$A:$AU,MATCH($C172,Ink!$AU:$AU,0),13)*(1+Ink!$M$5),"")</f>
        <v/>
      </c>
    </row>
    <row r="173" spans="2:10" ht="21.75">
      <c r="B173" s="3143" t="s">
        <v>213</v>
      </c>
      <c r="C173" s="3143">
        <f t="shared" si="2"/>
        <v>110</v>
      </c>
      <c r="D173" s="3143" t="str">
        <f ca="1">IFERROR(INDEX(Ink!$A:$AU,MATCH($C173,Ink!$AU:$AU,0),1),"")</f>
        <v/>
      </c>
      <c r="E173" s="3143" t="str">
        <f ca="1">IFERROR(INDEX(Ink!$A:$AU,MATCH($C173,Ink!$AU:$AU,0),4),"")</f>
        <v/>
      </c>
      <c r="F173" s="3143" t="s">
        <v>3651</v>
      </c>
      <c r="G173" s="3599" t="str">
        <f ca="1">IFERROR(INDEX(Ink!$A:$AU,MATCH($C173,Ink!$AU:$AU,0),9)/'ACC &amp; Other Material '!$E$2*10^3,"")</f>
        <v/>
      </c>
      <c r="H173" s="3599" t="str">
        <f ca="1">IFERROR(INDEX(Ink!$A:$AU,MATCH($C173,Ink!$AU:$AU,0),10)/'ACC &amp; Other Material '!$E$2*10^3,"")</f>
        <v/>
      </c>
      <c r="I173" s="3153" t="str">
        <f ca="1">IFERROR(INDEX(Ink!$A:$AU,MATCH($C173,Ink!$AU:$AU,0),13),"")</f>
        <v/>
      </c>
      <c r="J173" s="3153" t="str">
        <f ca="1">IFERROR(INDEX(Ink!$A:$AU,MATCH($C173,Ink!$AU:$AU,0),13)*(1+Ink!$M$5),"")</f>
        <v/>
      </c>
    </row>
    <row r="174" spans="2:10" ht="21.75">
      <c r="B174" s="3143" t="s">
        <v>213</v>
      </c>
      <c r="C174" s="3143">
        <f t="shared" si="2"/>
        <v>111</v>
      </c>
      <c r="D174" s="3143" t="str">
        <f ca="1">IFERROR(INDEX(Ink!$A:$AU,MATCH($C174,Ink!$AU:$AU,0),1),"")</f>
        <v/>
      </c>
      <c r="E174" s="3143" t="str">
        <f ca="1">IFERROR(INDEX(Ink!$A:$AU,MATCH($C174,Ink!$AU:$AU,0),4),"")</f>
        <v/>
      </c>
      <c r="F174" s="3143" t="s">
        <v>3651</v>
      </c>
      <c r="G174" s="3599" t="str">
        <f ca="1">IFERROR(INDEX(Ink!$A:$AU,MATCH($C174,Ink!$AU:$AU,0),9)/'ACC &amp; Other Material '!$E$2*10^3,"")</f>
        <v/>
      </c>
      <c r="H174" s="3599" t="str">
        <f ca="1">IFERROR(INDEX(Ink!$A:$AU,MATCH($C174,Ink!$AU:$AU,0),10)/'ACC &amp; Other Material '!$E$2*10^3,"")</f>
        <v/>
      </c>
      <c r="I174" s="3153" t="str">
        <f ca="1">IFERROR(INDEX(Ink!$A:$AU,MATCH($C174,Ink!$AU:$AU,0),13),"")</f>
        <v/>
      </c>
      <c r="J174" s="3153" t="str">
        <f ca="1">IFERROR(INDEX(Ink!$A:$AU,MATCH($C174,Ink!$AU:$AU,0),13)*(1+Ink!$M$5),"")</f>
        <v/>
      </c>
    </row>
    <row r="175" spans="2:10" ht="21.75">
      <c r="B175" s="3143" t="s">
        <v>213</v>
      </c>
      <c r="C175" s="3143">
        <f t="shared" si="2"/>
        <v>112</v>
      </c>
      <c r="D175" s="3143" t="str">
        <f ca="1">IFERROR(INDEX(Ink!$A:$AU,MATCH($C175,Ink!$AU:$AU,0),1),"")</f>
        <v/>
      </c>
      <c r="E175" s="3143" t="str">
        <f ca="1">IFERROR(INDEX(Ink!$A:$AU,MATCH($C175,Ink!$AU:$AU,0),4),"")</f>
        <v/>
      </c>
      <c r="F175" s="3143" t="s">
        <v>3651</v>
      </c>
      <c r="G175" s="3599" t="str">
        <f ca="1">IFERROR(INDEX(Ink!$A:$AU,MATCH($C175,Ink!$AU:$AU,0),9)/'ACC &amp; Other Material '!$E$2*10^3,"")</f>
        <v/>
      </c>
      <c r="H175" s="3599" t="str">
        <f ca="1">IFERROR(INDEX(Ink!$A:$AU,MATCH($C175,Ink!$AU:$AU,0),10)/'ACC &amp; Other Material '!$E$2*10^3,"")</f>
        <v/>
      </c>
      <c r="I175" s="3153" t="str">
        <f ca="1">IFERROR(INDEX(Ink!$A:$AU,MATCH($C175,Ink!$AU:$AU,0),13),"")</f>
        <v/>
      </c>
      <c r="J175" s="3153" t="str">
        <f ca="1">IFERROR(INDEX(Ink!$A:$AU,MATCH($C175,Ink!$AU:$AU,0),13)*(1+Ink!$M$5),"")</f>
        <v/>
      </c>
    </row>
    <row r="176" spans="2:10" ht="21.75">
      <c r="B176" s="3143" t="s">
        <v>213</v>
      </c>
      <c r="C176" s="3143">
        <f t="shared" si="2"/>
        <v>113</v>
      </c>
      <c r="D176" s="3143" t="str">
        <f ca="1">IFERROR(INDEX(Ink!$A:$AU,MATCH($C176,Ink!$AU:$AU,0),1),"")</f>
        <v/>
      </c>
      <c r="E176" s="3143" t="str">
        <f ca="1">IFERROR(INDEX(Ink!$A:$AU,MATCH($C176,Ink!$AU:$AU,0),4),"")</f>
        <v/>
      </c>
      <c r="F176" s="3143" t="s">
        <v>3651</v>
      </c>
      <c r="G176" s="3599" t="str">
        <f ca="1">IFERROR(INDEX(Ink!$A:$AU,MATCH($C176,Ink!$AU:$AU,0),9)/'ACC &amp; Other Material '!$E$2*10^3,"")</f>
        <v/>
      </c>
      <c r="H176" s="3599" t="str">
        <f ca="1">IFERROR(INDEX(Ink!$A:$AU,MATCH($C176,Ink!$AU:$AU,0),10)/'ACC &amp; Other Material '!$E$2*10^3,"")</f>
        <v/>
      </c>
      <c r="I176" s="3153" t="str">
        <f ca="1">IFERROR(INDEX(Ink!$A:$AU,MATCH($C176,Ink!$AU:$AU,0),13),"")</f>
        <v/>
      </c>
      <c r="J176" s="3153" t="str">
        <f ca="1">IFERROR(INDEX(Ink!$A:$AU,MATCH($C176,Ink!$AU:$AU,0),13)*(1+Ink!$M$5),"")</f>
        <v/>
      </c>
    </row>
    <row r="177" spans="2:10" ht="21.75">
      <c r="B177" s="3143" t="s">
        <v>213</v>
      </c>
      <c r="C177" s="3143">
        <f t="shared" si="2"/>
        <v>114</v>
      </c>
      <c r="D177" s="3143" t="str">
        <f ca="1">IFERROR(INDEX(Ink!$A:$AU,MATCH($C177,Ink!$AU:$AU,0),1),"")</f>
        <v/>
      </c>
      <c r="E177" s="3143" t="str">
        <f ca="1">IFERROR(INDEX(Ink!$A:$AU,MATCH($C177,Ink!$AU:$AU,0),4),"")</f>
        <v/>
      </c>
      <c r="F177" s="3143" t="s">
        <v>3651</v>
      </c>
      <c r="G177" s="3599" t="str">
        <f ca="1">IFERROR(INDEX(Ink!$A:$AU,MATCH($C177,Ink!$AU:$AU,0),9)/'ACC &amp; Other Material '!$E$2*10^3,"")</f>
        <v/>
      </c>
      <c r="H177" s="3599" t="str">
        <f ca="1">IFERROR(INDEX(Ink!$A:$AU,MATCH($C177,Ink!$AU:$AU,0),10)/'ACC &amp; Other Material '!$E$2*10^3,"")</f>
        <v/>
      </c>
      <c r="I177" s="3153" t="str">
        <f ca="1">IFERROR(INDEX(Ink!$A:$AU,MATCH($C177,Ink!$AU:$AU,0),13),"")</f>
        <v/>
      </c>
      <c r="J177" s="3153" t="str">
        <f ca="1">IFERROR(INDEX(Ink!$A:$AU,MATCH($C177,Ink!$AU:$AU,0),13)*(1+Ink!$M$5),"")</f>
        <v/>
      </c>
    </row>
    <row r="178" spans="2:10" ht="21.75">
      <c r="B178" s="3143" t="s">
        <v>213</v>
      </c>
      <c r="C178" s="3143">
        <f t="shared" si="2"/>
        <v>115</v>
      </c>
      <c r="D178" s="3143" t="str">
        <f ca="1">IFERROR(INDEX(Ink!$A:$AU,MATCH($C178,Ink!$AU:$AU,0),1),"")</f>
        <v/>
      </c>
      <c r="E178" s="3143" t="str">
        <f ca="1">IFERROR(INDEX(Ink!$A:$AU,MATCH($C178,Ink!$AU:$AU,0),4),"")</f>
        <v/>
      </c>
      <c r="F178" s="3143" t="s">
        <v>3651</v>
      </c>
      <c r="G178" s="3599" t="str">
        <f ca="1">IFERROR(INDEX(Ink!$A:$AU,MATCH($C178,Ink!$AU:$AU,0),9)/'ACC &amp; Other Material '!$E$2*10^3,"")</f>
        <v/>
      </c>
      <c r="H178" s="3599" t="str">
        <f ca="1">IFERROR(INDEX(Ink!$A:$AU,MATCH($C178,Ink!$AU:$AU,0),10)/'ACC &amp; Other Material '!$E$2*10^3,"")</f>
        <v/>
      </c>
      <c r="I178" s="3153" t="str">
        <f ca="1">IFERROR(INDEX(Ink!$A:$AU,MATCH($C178,Ink!$AU:$AU,0),13),"")</f>
        <v/>
      </c>
      <c r="J178" s="3153" t="str">
        <f ca="1">IFERROR(INDEX(Ink!$A:$AU,MATCH($C178,Ink!$AU:$AU,0),13)*(1+Ink!$M$5),"")</f>
        <v/>
      </c>
    </row>
    <row r="179" spans="2:10" ht="21.75">
      <c r="B179" s="3143" t="s">
        <v>213</v>
      </c>
      <c r="C179" s="3143">
        <f t="shared" si="2"/>
        <v>116</v>
      </c>
      <c r="D179" s="3143" t="str">
        <f ca="1">IFERROR(INDEX(Ink!$A:$AU,MATCH($C179,Ink!$AU:$AU,0),1),"")</f>
        <v/>
      </c>
      <c r="E179" s="3143" t="str">
        <f ca="1">IFERROR(INDEX(Ink!$A:$AU,MATCH($C179,Ink!$AU:$AU,0),4),"")</f>
        <v/>
      </c>
      <c r="F179" s="3143" t="s">
        <v>3651</v>
      </c>
      <c r="G179" s="3599" t="str">
        <f ca="1">IFERROR(INDEX(Ink!$A:$AU,MATCH($C179,Ink!$AU:$AU,0),9)/'ACC &amp; Other Material '!$E$2*10^3,"")</f>
        <v/>
      </c>
      <c r="H179" s="3599" t="str">
        <f ca="1">IFERROR(INDEX(Ink!$A:$AU,MATCH($C179,Ink!$AU:$AU,0),10)/'ACC &amp; Other Material '!$E$2*10^3,"")</f>
        <v/>
      </c>
      <c r="I179" s="3153" t="str">
        <f ca="1">IFERROR(INDEX(Ink!$A:$AU,MATCH($C179,Ink!$AU:$AU,0),13),"")</f>
        <v/>
      </c>
      <c r="J179" s="3153" t="str">
        <f ca="1">IFERROR(INDEX(Ink!$A:$AU,MATCH($C179,Ink!$AU:$AU,0),13)*(1+Ink!$M$5),"")</f>
        <v/>
      </c>
    </row>
    <row r="180" spans="2:10" ht="21.75">
      <c r="B180" s="3143" t="s">
        <v>213</v>
      </c>
      <c r="C180" s="3143">
        <f t="shared" si="2"/>
        <v>117</v>
      </c>
      <c r="D180" s="3143" t="str">
        <f ca="1">IFERROR(INDEX(Ink!$A:$AU,MATCH($C180,Ink!$AU:$AU,0),1),"")</f>
        <v/>
      </c>
      <c r="E180" s="3143" t="str">
        <f ca="1">IFERROR(INDEX(Ink!$A:$AU,MATCH($C180,Ink!$AU:$AU,0),4),"")</f>
        <v/>
      </c>
      <c r="F180" s="3143" t="s">
        <v>3651</v>
      </c>
      <c r="G180" s="3599" t="str">
        <f ca="1">IFERROR(INDEX(Ink!$A:$AU,MATCH($C180,Ink!$AU:$AU,0),9)/'ACC &amp; Other Material '!$E$2*10^3,"")</f>
        <v/>
      </c>
      <c r="H180" s="3599" t="str">
        <f ca="1">IFERROR(INDEX(Ink!$A:$AU,MATCH($C180,Ink!$AU:$AU,0),10)/'ACC &amp; Other Material '!$E$2*10^3,"")</f>
        <v/>
      </c>
      <c r="I180" s="3153" t="str">
        <f ca="1">IFERROR(INDEX(Ink!$A:$AU,MATCH($C180,Ink!$AU:$AU,0),13),"")</f>
        <v/>
      </c>
      <c r="J180" s="3153" t="str">
        <f ca="1">IFERROR(INDEX(Ink!$A:$AU,MATCH($C180,Ink!$AU:$AU,0),13)*(1+Ink!$M$5),"")</f>
        <v/>
      </c>
    </row>
    <row r="181" spans="2:10" ht="21.75">
      <c r="B181" s="3143" t="s">
        <v>213</v>
      </c>
      <c r="C181" s="3143">
        <f t="shared" si="2"/>
        <v>118</v>
      </c>
      <c r="D181" s="3143" t="str">
        <f ca="1">IFERROR(INDEX(Ink!$A:$AU,MATCH($C181,Ink!$AU:$AU,0),1),"")</f>
        <v/>
      </c>
      <c r="E181" s="3143" t="str">
        <f ca="1">IFERROR(INDEX(Ink!$A:$AU,MATCH($C181,Ink!$AU:$AU,0),4),"")</f>
        <v/>
      </c>
      <c r="F181" s="3143" t="s">
        <v>3651</v>
      </c>
      <c r="G181" s="3599" t="str">
        <f ca="1">IFERROR(INDEX(Ink!$A:$AU,MATCH($C181,Ink!$AU:$AU,0),9)/'ACC &amp; Other Material '!$E$2*10^3,"")</f>
        <v/>
      </c>
      <c r="H181" s="3599" t="str">
        <f ca="1">IFERROR(INDEX(Ink!$A:$AU,MATCH($C181,Ink!$AU:$AU,0),10)/'ACC &amp; Other Material '!$E$2*10^3,"")</f>
        <v/>
      </c>
      <c r="I181" s="3153" t="str">
        <f ca="1">IFERROR(INDEX(Ink!$A:$AU,MATCH($C181,Ink!$AU:$AU,0),13),"")</f>
        <v/>
      </c>
      <c r="J181" s="3153" t="str">
        <f ca="1">IFERROR(INDEX(Ink!$A:$AU,MATCH($C181,Ink!$AU:$AU,0),13)*(1+Ink!$M$5),"")</f>
        <v/>
      </c>
    </row>
    <row r="182" spans="2:10" ht="21.75">
      <c r="B182" s="3143" t="s">
        <v>213</v>
      </c>
      <c r="C182" s="3143">
        <f t="shared" si="2"/>
        <v>119</v>
      </c>
      <c r="D182" s="3143" t="str">
        <f ca="1">IFERROR(INDEX(Ink!$A:$AU,MATCH($C182,Ink!$AU:$AU,0),1),"")</f>
        <v/>
      </c>
      <c r="E182" s="3143" t="str">
        <f ca="1">IFERROR(INDEX(Ink!$A:$AU,MATCH($C182,Ink!$AU:$AU,0),4),"")</f>
        <v/>
      </c>
      <c r="F182" s="3143" t="s">
        <v>3651</v>
      </c>
      <c r="G182" s="3599" t="str">
        <f ca="1">IFERROR(INDEX(Ink!$A:$AU,MATCH($C182,Ink!$AU:$AU,0),9)/'ACC &amp; Other Material '!$E$2*10^3,"")</f>
        <v/>
      </c>
      <c r="H182" s="3599" t="str">
        <f ca="1">IFERROR(INDEX(Ink!$A:$AU,MATCH($C182,Ink!$AU:$AU,0),10)/'ACC &amp; Other Material '!$E$2*10^3,"")</f>
        <v/>
      </c>
      <c r="I182" s="3153" t="str">
        <f ca="1">IFERROR(INDEX(Ink!$A:$AU,MATCH($C182,Ink!$AU:$AU,0),13),"")</f>
        <v/>
      </c>
      <c r="J182" s="3153" t="str">
        <f ca="1">IFERROR(INDEX(Ink!$A:$AU,MATCH($C182,Ink!$AU:$AU,0),13)*(1+Ink!$M$5),"")</f>
        <v/>
      </c>
    </row>
    <row r="183" spans="2:10" ht="21.75">
      <c r="B183" s="3143" t="s">
        <v>213</v>
      </c>
      <c r="C183" s="3143">
        <f t="shared" si="2"/>
        <v>120</v>
      </c>
      <c r="D183" s="3143" t="str">
        <f ca="1">IFERROR(INDEX(Ink!$A:$AU,MATCH($C183,Ink!$AU:$AU,0),1),"")</f>
        <v/>
      </c>
      <c r="E183" s="3143" t="str">
        <f ca="1">IFERROR(INDEX(Ink!$A:$AU,MATCH($C183,Ink!$AU:$AU,0),4),"")</f>
        <v/>
      </c>
      <c r="F183" s="3143" t="s">
        <v>3651</v>
      </c>
      <c r="G183" s="3599" t="str">
        <f ca="1">IFERROR(INDEX(Ink!$A:$AU,MATCH($C183,Ink!$AU:$AU,0),9)/'ACC &amp; Other Material '!$E$2*10^3,"")</f>
        <v/>
      </c>
      <c r="H183" s="3599" t="str">
        <f ca="1">IFERROR(INDEX(Ink!$A:$AU,MATCH($C183,Ink!$AU:$AU,0),10)/'ACC &amp; Other Material '!$E$2*10^3,"")</f>
        <v/>
      </c>
      <c r="I183" s="3153" t="str">
        <f ca="1">IFERROR(INDEX(Ink!$A:$AU,MATCH($C183,Ink!$AU:$AU,0),13),"")</f>
        <v/>
      </c>
      <c r="J183" s="3153" t="str">
        <f ca="1">IFERROR(INDEX(Ink!$A:$AU,MATCH($C183,Ink!$AU:$AU,0),13)*(1+Ink!$M$5),"")</f>
        <v/>
      </c>
    </row>
    <row r="184" spans="2:10" ht="21.75">
      <c r="B184" s="3143" t="s">
        <v>213</v>
      </c>
      <c r="C184" s="3143">
        <f t="shared" si="2"/>
        <v>121</v>
      </c>
      <c r="D184" s="3143" t="str">
        <f ca="1">IFERROR(INDEX(Ink!$A:$AU,MATCH($C184,Ink!$AU:$AU,0),1),"")</f>
        <v/>
      </c>
      <c r="E184" s="3143" t="str">
        <f ca="1">IFERROR(INDEX(Ink!$A:$AU,MATCH($C184,Ink!$AU:$AU,0),4),"")</f>
        <v/>
      </c>
      <c r="F184" s="3143" t="s">
        <v>3651</v>
      </c>
      <c r="G184" s="3599" t="str">
        <f ca="1">IFERROR(INDEX(Ink!$A:$AU,MATCH($C184,Ink!$AU:$AU,0),9)/'ACC &amp; Other Material '!$E$2*10^3,"")</f>
        <v/>
      </c>
      <c r="H184" s="3599" t="str">
        <f ca="1">IFERROR(INDEX(Ink!$A:$AU,MATCH($C184,Ink!$AU:$AU,0),10)/'ACC &amp; Other Material '!$E$2*10^3,"")</f>
        <v/>
      </c>
      <c r="I184" s="3153" t="str">
        <f ca="1">IFERROR(INDEX(Ink!$A:$AU,MATCH($C184,Ink!$AU:$AU,0),13),"")</f>
        <v/>
      </c>
      <c r="J184" s="3153" t="str">
        <f ca="1">IFERROR(INDEX(Ink!$A:$AU,MATCH($C184,Ink!$AU:$AU,0),13)*(1+Ink!$M$5),"")</f>
        <v/>
      </c>
    </row>
    <row r="185" spans="2:10" ht="21.75">
      <c r="B185" s="3143" t="s">
        <v>213</v>
      </c>
      <c r="C185" s="3143">
        <f t="shared" si="2"/>
        <v>122</v>
      </c>
      <c r="D185" s="3143" t="str">
        <f ca="1">IFERROR(INDEX(Ink!$A:$AU,MATCH($C185,Ink!$AU:$AU,0),1),"")</f>
        <v/>
      </c>
      <c r="E185" s="3143" t="str">
        <f ca="1">IFERROR(INDEX(Ink!$A:$AU,MATCH($C185,Ink!$AU:$AU,0),4),"")</f>
        <v/>
      </c>
      <c r="F185" s="3143" t="s">
        <v>3651</v>
      </c>
      <c r="G185" s="3599" t="str">
        <f ca="1">IFERROR(INDEX(Ink!$A:$AU,MATCH($C185,Ink!$AU:$AU,0),9)/'ACC &amp; Other Material '!$E$2*10^3,"")</f>
        <v/>
      </c>
      <c r="H185" s="3599" t="str">
        <f ca="1">IFERROR(INDEX(Ink!$A:$AU,MATCH($C185,Ink!$AU:$AU,0),10)/'ACC &amp; Other Material '!$E$2*10^3,"")</f>
        <v/>
      </c>
      <c r="I185" s="3153" t="str">
        <f ca="1">IFERROR(INDEX(Ink!$A:$AU,MATCH($C185,Ink!$AU:$AU,0),13),"")</f>
        <v/>
      </c>
      <c r="J185" s="3153" t="str">
        <f ca="1">IFERROR(INDEX(Ink!$A:$AU,MATCH($C185,Ink!$AU:$AU,0),13)*(1+Ink!$M$5),"")</f>
        <v/>
      </c>
    </row>
    <row r="186" spans="2:10" ht="21.75">
      <c r="B186" s="3143" t="s">
        <v>213</v>
      </c>
      <c r="C186" s="3143">
        <f t="shared" si="2"/>
        <v>123</v>
      </c>
      <c r="D186" s="3143" t="str">
        <f ca="1">IFERROR(INDEX(Ink!$A:$AU,MATCH($C186,Ink!$AU:$AU,0),1),"")</f>
        <v/>
      </c>
      <c r="E186" s="3143" t="str">
        <f ca="1">IFERROR(INDEX(Ink!$A:$AU,MATCH($C186,Ink!$AU:$AU,0),4),"")</f>
        <v/>
      </c>
      <c r="F186" s="3143" t="s">
        <v>3651</v>
      </c>
      <c r="G186" s="3599" t="str">
        <f ca="1">IFERROR(INDEX(Ink!$A:$AU,MATCH($C186,Ink!$AU:$AU,0),9)/'ACC &amp; Other Material '!$E$2*10^3,"")</f>
        <v/>
      </c>
      <c r="H186" s="3599" t="str">
        <f ca="1">IFERROR(INDEX(Ink!$A:$AU,MATCH($C186,Ink!$AU:$AU,0),10)/'ACC &amp; Other Material '!$E$2*10^3,"")</f>
        <v/>
      </c>
      <c r="I186" s="3153" t="str">
        <f ca="1">IFERROR(INDEX(Ink!$A:$AU,MATCH($C186,Ink!$AU:$AU,0),13),"")</f>
        <v/>
      </c>
      <c r="J186" s="3153" t="str">
        <f ca="1">IFERROR(INDEX(Ink!$A:$AU,MATCH($C186,Ink!$AU:$AU,0),13)*(1+Ink!$M$5),"")</f>
        <v/>
      </c>
    </row>
    <row r="187" spans="2:10" ht="21.75">
      <c r="B187" s="3143" t="s">
        <v>213</v>
      </c>
      <c r="C187" s="3143">
        <f t="shared" si="2"/>
        <v>124</v>
      </c>
      <c r="D187" s="3143" t="str">
        <f ca="1">IFERROR(INDEX(Ink!$A:$AU,MATCH($C187,Ink!$AU:$AU,0),1),"")</f>
        <v/>
      </c>
      <c r="E187" s="3143" t="str">
        <f ca="1">IFERROR(INDEX(Ink!$A:$AU,MATCH($C187,Ink!$AU:$AU,0),4),"")</f>
        <v/>
      </c>
      <c r="F187" s="3143" t="s">
        <v>3651</v>
      </c>
      <c r="G187" s="3599" t="str">
        <f ca="1">IFERROR(INDEX(Ink!$A:$AU,MATCH($C187,Ink!$AU:$AU,0),9)/'ACC &amp; Other Material '!$E$2*10^3,"")</f>
        <v/>
      </c>
      <c r="H187" s="3599" t="str">
        <f ca="1">IFERROR(INDEX(Ink!$A:$AU,MATCH($C187,Ink!$AU:$AU,0),10)/'ACC &amp; Other Material '!$E$2*10^3,"")</f>
        <v/>
      </c>
      <c r="I187" s="3153" t="str">
        <f ca="1">IFERROR(INDEX(Ink!$A:$AU,MATCH($C187,Ink!$AU:$AU,0),13),"")</f>
        <v/>
      </c>
      <c r="J187" s="3153" t="str">
        <f ca="1">IFERROR(INDEX(Ink!$A:$AU,MATCH($C187,Ink!$AU:$AU,0),13)*(1+Ink!$M$5),"")</f>
        <v/>
      </c>
    </row>
    <row r="188" spans="2:10" ht="21.75">
      <c r="B188" s="3143" t="s">
        <v>213</v>
      </c>
      <c r="C188" s="3143">
        <f t="shared" si="2"/>
        <v>125</v>
      </c>
      <c r="D188" s="3143" t="str">
        <f ca="1">IFERROR(INDEX(Ink!$A:$AU,MATCH($C188,Ink!$AU:$AU,0),1),"")</f>
        <v/>
      </c>
      <c r="E188" s="3143" t="str">
        <f ca="1">IFERROR(INDEX(Ink!$A:$AU,MATCH($C188,Ink!$AU:$AU,0),4),"")</f>
        <v/>
      </c>
      <c r="F188" s="3143" t="s">
        <v>3651</v>
      </c>
      <c r="G188" s="3599" t="str">
        <f ca="1">IFERROR(INDEX(Ink!$A:$AU,MATCH($C188,Ink!$AU:$AU,0),9)/'ACC &amp; Other Material '!$E$2*10^3,"")</f>
        <v/>
      </c>
      <c r="H188" s="3599" t="str">
        <f ca="1">IFERROR(INDEX(Ink!$A:$AU,MATCH($C188,Ink!$AU:$AU,0),10)/'ACC &amp; Other Material '!$E$2*10^3,"")</f>
        <v/>
      </c>
      <c r="I188" s="3153" t="str">
        <f ca="1">IFERROR(INDEX(Ink!$A:$AU,MATCH($C188,Ink!$AU:$AU,0),13),"")</f>
        <v/>
      </c>
      <c r="J188" s="3153" t="str">
        <f ca="1">IFERROR(INDEX(Ink!$A:$AU,MATCH($C188,Ink!$AU:$AU,0),13)*(1+Ink!$M$5),"")</f>
        <v/>
      </c>
    </row>
    <row r="189" spans="2:10" ht="21.75">
      <c r="B189" s="3143" t="s">
        <v>213</v>
      </c>
      <c r="C189" s="3143">
        <f t="shared" si="2"/>
        <v>126</v>
      </c>
      <c r="D189" s="3143" t="str">
        <f ca="1">IFERROR(INDEX(Ink!$A:$AU,MATCH($C189,Ink!$AU:$AU,0),1),"")</f>
        <v/>
      </c>
      <c r="E189" s="3143" t="str">
        <f ca="1">IFERROR(INDEX(Ink!$A:$AU,MATCH($C189,Ink!$AU:$AU,0),4),"")</f>
        <v/>
      </c>
      <c r="F189" s="3143" t="s">
        <v>3651</v>
      </c>
      <c r="G189" s="3599" t="str">
        <f ca="1">IFERROR(INDEX(Ink!$A:$AU,MATCH($C189,Ink!$AU:$AU,0),9)/'ACC &amp; Other Material '!$E$2*10^3,"")</f>
        <v/>
      </c>
      <c r="H189" s="3599" t="str">
        <f ca="1">IFERROR(INDEX(Ink!$A:$AU,MATCH($C189,Ink!$AU:$AU,0),10)/'ACC &amp; Other Material '!$E$2*10^3,"")</f>
        <v/>
      </c>
      <c r="I189" s="3153" t="str">
        <f ca="1">IFERROR(INDEX(Ink!$A:$AU,MATCH($C189,Ink!$AU:$AU,0),13),"")</f>
        <v/>
      </c>
      <c r="J189" s="3153" t="str">
        <f ca="1">IFERROR(INDEX(Ink!$A:$AU,MATCH($C189,Ink!$AU:$AU,0),13)*(1+Ink!$M$5),"")</f>
        <v/>
      </c>
    </row>
    <row r="190" spans="2:10" ht="21.75">
      <c r="B190" s="3143" t="s">
        <v>213</v>
      </c>
      <c r="C190" s="3143">
        <f t="shared" si="2"/>
        <v>127</v>
      </c>
      <c r="D190" s="3143" t="str">
        <f ca="1">IFERROR(INDEX(Ink!$A:$AU,MATCH($C190,Ink!$AU:$AU,0),1),"")</f>
        <v/>
      </c>
      <c r="E190" s="3143" t="str">
        <f ca="1">IFERROR(INDEX(Ink!$A:$AU,MATCH($C190,Ink!$AU:$AU,0),4),"")</f>
        <v/>
      </c>
      <c r="F190" s="3143" t="s">
        <v>3651</v>
      </c>
      <c r="G190" s="3599" t="str">
        <f ca="1">IFERROR(INDEX(Ink!$A:$AU,MATCH($C190,Ink!$AU:$AU,0),9)/'ACC &amp; Other Material '!$E$2*10^3,"")</f>
        <v/>
      </c>
      <c r="H190" s="3599" t="str">
        <f ca="1">IFERROR(INDEX(Ink!$A:$AU,MATCH($C190,Ink!$AU:$AU,0),10)/'ACC &amp; Other Material '!$E$2*10^3,"")</f>
        <v/>
      </c>
      <c r="I190" s="3153" t="str">
        <f ca="1">IFERROR(INDEX(Ink!$A:$AU,MATCH($C190,Ink!$AU:$AU,0),13),"")</f>
        <v/>
      </c>
      <c r="J190" s="3153" t="str">
        <f ca="1">IFERROR(INDEX(Ink!$A:$AU,MATCH($C190,Ink!$AU:$AU,0),13)*(1+Ink!$M$5),"")</f>
        <v/>
      </c>
    </row>
    <row r="191" spans="2:10" ht="21.75">
      <c r="B191" s="3143" t="s">
        <v>213</v>
      </c>
      <c r="C191" s="3143">
        <f t="shared" si="2"/>
        <v>128</v>
      </c>
      <c r="D191" s="3143" t="str">
        <f ca="1">IFERROR(INDEX(Ink!$A:$AU,MATCH($C191,Ink!$AU:$AU,0),1),"")</f>
        <v/>
      </c>
      <c r="E191" s="3143" t="str">
        <f ca="1">IFERROR(INDEX(Ink!$A:$AU,MATCH($C191,Ink!$AU:$AU,0),4),"")</f>
        <v/>
      </c>
      <c r="F191" s="3143" t="s">
        <v>3651</v>
      </c>
      <c r="G191" s="3599" t="str">
        <f ca="1">IFERROR(INDEX(Ink!$A:$AU,MATCH($C191,Ink!$AU:$AU,0),9)/'ACC &amp; Other Material '!$E$2*10^3,"")</f>
        <v/>
      </c>
      <c r="H191" s="3599" t="str">
        <f ca="1">IFERROR(INDEX(Ink!$A:$AU,MATCH($C191,Ink!$AU:$AU,0),10)/'ACC &amp; Other Material '!$E$2*10^3,"")</f>
        <v/>
      </c>
      <c r="I191" s="3153" t="str">
        <f ca="1">IFERROR(INDEX(Ink!$A:$AU,MATCH($C191,Ink!$AU:$AU,0),13),"")</f>
        <v/>
      </c>
      <c r="J191" s="3153" t="str">
        <f ca="1">IFERROR(INDEX(Ink!$A:$AU,MATCH($C191,Ink!$AU:$AU,0),13)*(1+Ink!$M$5),"")</f>
        <v/>
      </c>
    </row>
    <row r="192" spans="2:10" ht="21.75">
      <c r="B192" s="3143" t="s">
        <v>213</v>
      </c>
      <c r="C192" s="3143">
        <f t="shared" si="2"/>
        <v>129</v>
      </c>
      <c r="D192" s="3143" t="str">
        <f ca="1">IFERROR(INDEX(Ink!$A:$AU,MATCH($C192,Ink!$AU:$AU,0),1),"")</f>
        <v/>
      </c>
      <c r="E192" s="3143" t="str">
        <f ca="1">IFERROR(INDEX(Ink!$A:$AU,MATCH($C192,Ink!$AU:$AU,0),4),"")</f>
        <v/>
      </c>
      <c r="F192" s="3143" t="s">
        <v>3651</v>
      </c>
      <c r="G192" s="3599" t="str">
        <f ca="1">IFERROR(INDEX(Ink!$A:$AU,MATCH($C192,Ink!$AU:$AU,0),9)/'ACC &amp; Other Material '!$E$2*10^3,"")</f>
        <v/>
      </c>
      <c r="H192" s="3599" t="str">
        <f ca="1">IFERROR(INDEX(Ink!$A:$AU,MATCH($C192,Ink!$AU:$AU,0),10)/'ACC &amp; Other Material '!$E$2*10^3,"")</f>
        <v/>
      </c>
      <c r="I192" s="3153" t="str">
        <f ca="1">IFERROR(INDEX(Ink!$A:$AU,MATCH($C192,Ink!$AU:$AU,0),13),"")</f>
        <v/>
      </c>
      <c r="J192" s="3153" t="str">
        <f ca="1">IFERROR(INDEX(Ink!$A:$AU,MATCH($C192,Ink!$AU:$AU,0),13)*(1+Ink!$M$5),"")</f>
        <v/>
      </c>
    </row>
    <row r="193" spans="2:10" ht="21.75">
      <c r="B193" s="3143" t="s">
        <v>213</v>
      </c>
      <c r="C193" s="3143">
        <f t="shared" si="2"/>
        <v>130</v>
      </c>
      <c r="D193" s="3143" t="str">
        <f ca="1">IFERROR(INDEX(Ink!$A:$AU,MATCH($C193,Ink!$AU:$AU,0),1),"")</f>
        <v/>
      </c>
      <c r="E193" s="3143" t="str">
        <f ca="1">IFERROR(INDEX(Ink!$A:$AU,MATCH($C193,Ink!$AU:$AU,0),4),"")</f>
        <v/>
      </c>
      <c r="F193" s="3143" t="s">
        <v>3651</v>
      </c>
      <c r="G193" s="3599" t="str">
        <f ca="1">IFERROR(INDEX(Ink!$A:$AU,MATCH($C193,Ink!$AU:$AU,0),9)/'ACC &amp; Other Material '!$E$2*10^3,"")</f>
        <v/>
      </c>
      <c r="H193" s="3599" t="str">
        <f ca="1">IFERROR(INDEX(Ink!$A:$AU,MATCH($C193,Ink!$AU:$AU,0),10)/'ACC &amp; Other Material '!$E$2*10^3,"")</f>
        <v/>
      </c>
      <c r="I193" s="3153" t="str">
        <f ca="1">IFERROR(INDEX(Ink!$A:$AU,MATCH($C193,Ink!$AU:$AU,0),13),"")</f>
        <v/>
      </c>
      <c r="J193" s="3153" t="str">
        <f ca="1">IFERROR(INDEX(Ink!$A:$AU,MATCH($C193,Ink!$AU:$AU,0),13)*(1+Ink!$M$5),"")</f>
        <v/>
      </c>
    </row>
    <row r="194" spans="2:10" ht="21.75">
      <c r="B194" s="3143" t="s">
        <v>213</v>
      </c>
      <c r="C194" s="3143">
        <f t="shared" ref="C194:C245" si="3">C193+1</f>
        <v>131</v>
      </c>
      <c r="D194" s="3143" t="str">
        <f ca="1">IFERROR(INDEX(Ink!$A:$AU,MATCH($C194,Ink!$AU:$AU,0),1),"")</f>
        <v/>
      </c>
      <c r="E194" s="3143" t="str">
        <f ca="1">IFERROR(INDEX(Ink!$A:$AU,MATCH($C194,Ink!$AU:$AU,0),4),"")</f>
        <v/>
      </c>
      <c r="F194" s="3143" t="s">
        <v>3651</v>
      </c>
      <c r="G194" s="3599" t="str">
        <f ca="1">IFERROR(INDEX(Ink!$A:$AU,MATCH($C194,Ink!$AU:$AU,0),9)/'ACC &amp; Other Material '!$E$2*10^3,"")</f>
        <v/>
      </c>
      <c r="H194" s="3599" t="str">
        <f ca="1">IFERROR(INDEX(Ink!$A:$AU,MATCH($C194,Ink!$AU:$AU,0),10)/'ACC &amp; Other Material '!$E$2*10^3,"")</f>
        <v/>
      </c>
      <c r="I194" s="3153" t="str">
        <f ca="1">IFERROR(INDEX(Ink!$A:$AU,MATCH($C194,Ink!$AU:$AU,0),13),"")</f>
        <v/>
      </c>
      <c r="J194" s="3153" t="str">
        <f ca="1">IFERROR(INDEX(Ink!$A:$AU,MATCH($C194,Ink!$AU:$AU,0),13)*(1+Ink!$M$5),"")</f>
        <v/>
      </c>
    </row>
    <row r="195" spans="2:10" ht="21.75">
      <c r="B195" s="3143" t="s">
        <v>213</v>
      </c>
      <c r="C195" s="3143">
        <f t="shared" si="3"/>
        <v>132</v>
      </c>
      <c r="D195" s="3143" t="str">
        <f ca="1">IFERROR(INDEX(Ink!$A:$AU,MATCH($C195,Ink!$AU:$AU,0),1),"")</f>
        <v/>
      </c>
      <c r="E195" s="3143" t="str">
        <f ca="1">IFERROR(INDEX(Ink!$A:$AU,MATCH($C195,Ink!$AU:$AU,0),4),"")</f>
        <v/>
      </c>
      <c r="F195" s="3143" t="s">
        <v>3651</v>
      </c>
      <c r="G195" s="3599" t="str">
        <f ca="1">IFERROR(INDEX(Ink!$A:$AU,MATCH($C195,Ink!$AU:$AU,0),9)/'ACC &amp; Other Material '!$E$2*10^3,"")</f>
        <v/>
      </c>
      <c r="H195" s="3599" t="str">
        <f ca="1">IFERROR(INDEX(Ink!$A:$AU,MATCH($C195,Ink!$AU:$AU,0),10)/'ACC &amp; Other Material '!$E$2*10^3,"")</f>
        <v/>
      </c>
      <c r="I195" s="3153" t="str">
        <f ca="1">IFERROR(INDEX(Ink!$A:$AU,MATCH($C195,Ink!$AU:$AU,0),13),"")</f>
        <v/>
      </c>
      <c r="J195" s="3153" t="str">
        <f ca="1">IFERROR(INDEX(Ink!$A:$AU,MATCH($C195,Ink!$AU:$AU,0),13)*(1+Ink!$M$5),"")</f>
        <v/>
      </c>
    </row>
    <row r="196" spans="2:10" ht="21.75">
      <c r="B196" s="3143" t="s">
        <v>213</v>
      </c>
      <c r="C196" s="3143">
        <f t="shared" si="3"/>
        <v>133</v>
      </c>
      <c r="D196" s="3143" t="str">
        <f ca="1">IFERROR(INDEX(Ink!$A:$AU,MATCH($C196,Ink!$AU:$AU,0),1),"")</f>
        <v/>
      </c>
      <c r="E196" s="3143" t="str">
        <f ca="1">IFERROR(INDEX(Ink!$A:$AU,MATCH($C196,Ink!$AU:$AU,0),4),"")</f>
        <v/>
      </c>
      <c r="F196" s="3143" t="s">
        <v>3651</v>
      </c>
      <c r="G196" s="3599" t="str">
        <f ca="1">IFERROR(INDEX(Ink!$A:$AU,MATCH($C196,Ink!$AU:$AU,0),9)/'ACC &amp; Other Material '!$E$2*10^3,"")</f>
        <v/>
      </c>
      <c r="H196" s="3599" t="str">
        <f ca="1">IFERROR(INDEX(Ink!$A:$AU,MATCH($C196,Ink!$AU:$AU,0),10)/'ACC &amp; Other Material '!$E$2*10^3,"")</f>
        <v/>
      </c>
      <c r="I196" s="3153" t="str">
        <f ca="1">IFERROR(INDEX(Ink!$A:$AU,MATCH($C196,Ink!$AU:$AU,0),13),"")</f>
        <v/>
      </c>
      <c r="J196" s="3153" t="str">
        <f ca="1">IFERROR(INDEX(Ink!$A:$AU,MATCH($C196,Ink!$AU:$AU,0),13)*(1+Ink!$M$5),"")</f>
        <v/>
      </c>
    </row>
    <row r="197" spans="2:10" ht="21.75">
      <c r="B197" s="3143" t="s">
        <v>213</v>
      </c>
      <c r="C197" s="3143">
        <f t="shared" si="3"/>
        <v>134</v>
      </c>
      <c r="D197" s="3143" t="str">
        <f ca="1">IFERROR(INDEX(Ink!$A:$AU,MATCH($C197,Ink!$AU:$AU,0),1),"")</f>
        <v/>
      </c>
      <c r="E197" s="3143" t="str">
        <f ca="1">IFERROR(INDEX(Ink!$A:$AU,MATCH($C197,Ink!$AU:$AU,0),4),"")</f>
        <v/>
      </c>
      <c r="F197" s="3143" t="s">
        <v>3651</v>
      </c>
      <c r="G197" s="3599" t="str">
        <f ca="1">IFERROR(INDEX(Ink!$A:$AU,MATCH($C197,Ink!$AU:$AU,0),9)/'ACC &amp; Other Material '!$E$2*10^3,"")</f>
        <v/>
      </c>
      <c r="H197" s="3599" t="str">
        <f ca="1">IFERROR(INDEX(Ink!$A:$AU,MATCH($C197,Ink!$AU:$AU,0),10)/'ACC &amp; Other Material '!$E$2*10^3,"")</f>
        <v/>
      </c>
      <c r="I197" s="3153" t="str">
        <f ca="1">IFERROR(INDEX(Ink!$A:$AU,MATCH($C197,Ink!$AU:$AU,0),13),"")</f>
        <v/>
      </c>
      <c r="J197" s="3153" t="str">
        <f ca="1">IFERROR(INDEX(Ink!$A:$AU,MATCH($C197,Ink!$AU:$AU,0),13)*(1+Ink!$M$5),"")</f>
        <v/>
      </c>
    </row>
    <row r="198" spans="2:10" ht="21.75">
      <c r="B198" s="3143" t="s">
        <v>213</v>
      </c>
      <c r="C198" s="3143">
        <f t="shared" si="3"/>
        <v>135</v>
      </c>
      <c r="D198" s="3143" t="str">
        <f ca="1">IFERROR(INDEX(Ink!$A:$AU,MATCH($C198,Ink!$AU:$AU,0),1),"")</f>
        <v/>
      </c>
      <c r="E198" s="3143" t="str">
        <f ca="1">IFERROR(INDEX(Ink!$A:$AU,MATCH($C198,Ink!$AU:$AU,0),4),"")</f>
        <v/>
      </c>
      <c r="F198" s="3143" t="s">
        <v>3651</v>
      </c>
      <c r="G198" s="3599" t="str">
        <f ca="1">IFERROR(INDEX(Ink!$A:$AU,MATCH($C198,Ink!$AU:$AU,0),9)/'ACC &amp; Other Material '!$E$2*10^3,"")</f>
        <v/>
      </c>
      <c r="H198" s="3599" t="str">
        <f ca="1">IFERROR(INDEX(Ink!$A:$AU,MATCH($C198,Ink!$AU:$AU,0),10)/'ACC &amp; Other Material '!$E$2*10^3,"")</f>
        <v/>
      </c>
      <c r="I198" s="3153" t="str">
        <f ca="1">IFERROR(INDEX(Ink!$A:$AU,MATCH($C198,Ink!$AU:$AU,0),13),"")</f>
        <v/>
      </c>
      <c r="J198" s="3153" t="str">
        <f ca="1">IFERROR(INDEX(Ink!$A:$AU,MATCH($C198,Ink!$AU:$AU,0),13)*(1+Ink!$M$5),"")</f>
        <v/>
      </c>
    </row>
    <row r="199" spans="2:10" ht="21.75">
      <c r="B199" s="3143" t="s">
        <v>213</v>
      </c>
      <c r="C199" s="3143">
        <f t="shared" si="3"/>
        <v>136</v>
      </c>
      <c r="D199" s="3143" t="str">
        <f ca="1">IFERROR(INDEX(Ink!$A:$AU,MATCH($C199,Ink!$AU:$AU,0),1),"")</f>
        <v/>
      </c>
      <c r="E199" s="3143" t="str">
        <f ca="1">IFERROR(INDEX(Ink!$A:$AU,MATCH($C199,Ink!$AU:$AU,0),4),"")</f>
        <v/>
      </c>
      <c r="F199" s="3143" t="s">
        <v>3651</v>
      </c>
      <c r="G199" s="3599" t="str">
        <f ca="1">IFERROR(INDEX(Ink!$A:$AU,MATCH($C199,Ink!$AU:$AU,0),9)/'ACC &amp; Other Material '!$E$2*10^3,"")</f>
        <v/>
      </c>
      <c r="H199" s="3599" t="str">
        <f ca="1">IFERROR(INDEX(Ink!$A:$AU,MATCH($C199,Ink!$AU:$AU,0),10)/'ACC &amp; Other Material '!$E$2*10^3,"")</f>
        <v/>
      </c>
      <c r="I199" s="3153" t="str">
        <f ca="1">IFERROR(INDEX(Ink!$A:$AU,MATCH($C199,Ink!$AU:$AU,0),13),"")</f>
        <v/>
      </c>
      <c r="J199" s="3153" t="str">
        <f ca="1">IFERROR(INDEX(Ink!$A:$AU,MATCH($C199,Ink!$AU:$AU,0),13)*(1+Ink!$M$5),"")</f>
        <v/>
      </c>
    </row>
    <row r="200" spans="2:10" ht="21.75">
      <c r="B200" s="3143" t="s">
        <v>213</v>
      </c>
      <c r="C200" s="3143">
        <f t="shared" si="3"/>
        <v>137</v>
      </c>
      <c r="D200" s="3143" t="str">
        <f ca="1">IFERROR(INDEX(Ink!$A:$AU,MATCH($C200,Ink!$AU:$AU,0),1),"")</f>
        <v/>
      </c>
      <c r="E200" s="3143" t="str">
        <f ca="1">IFERROR(INDEX(Ink!$A:$AU,MATCH($C200,Ink!$AU:$AU,0),4),"")</f>
        <v/>
      </c>
      <c r="F200" s="3143" t="s">
        <v>3651</v>
      </c>
      <c r="G200" s="3599" t="str">
        <f ca="1">IFERROR(INDEX(Ink!$A:$AU,MATCH($C200,Ink!$AU:$AU,0),9)/'ACC &amp; Other Material '!$E$2*10^3,"")</f>
        <v/>
      </c>
      <c r="H200" s="3599" t="str">
        <f ca="1">IFERROR(INDEX(Ink!$A:$AU,MATCH($C200,Ink!$AU:$AU,0),10)/'ACC &amp; Other Material '!$E$2*10^3,"")</f>
        <v/>
      </c>
      <c r="I200" s="3153" t="str">
        <f ca="1">IFERROR(INDEX(Ink!$A:$AU,MATCH($C200,Ink!$AU:$AU,0),13),"")</f>
        <v/>
      </c>
      <c r="J200" s="3153" t="str">
        <f ca="1">IFERROR(INDEX(Ink!$A:$AU,MATCH($C200,Ink!$AU:$AU,0),13)*(1+Ink!$M$5),"")</f>
        <v/>
      </c>
    </row>
    <row r="201" spans="2:10" ht="21.75">
      <c r="B201" s="3143" t="s">
        <v>213</v>
      </c>
      <c r="C201" s="3143">
        <f t="shared" si="3"/>
        <v>138</v>
      </c>
      <c r="D201" s="3143" t="str">
        <f ca="1">IFERROR(INDEX(Ink!$A:$AU,MATCH($C201,Ink!$AU:$AU,0),1),"")</f>
        <v/>
      </c>
      <c r="E201" s="3143" t="str">
        <f ca="1">IFERROR(INDEX(Ink!$A:$AU,MATCH($C201,Ink!$AU:$AU,0),4),"")</f>
        <v/>
      </c>
      <c r="F201" s="3143" t="s">
        <v>3651</v>
      </c>
      <c r="G201" s="3599" t="str">
        <f ca="1">IFERROR(INDEX(Ink!$A:$AU,MATCH($C201,Ink!$AU:$AU,0),9)/'ACC &amp; Other Material '!$E$2*10^3,"")</f>
        <v/>
      </c>
      <c r="H201" s="3599" t="str">
        <f ca="1">IFERROR(INDEX(Ink!$A:$AU,MATCH($C201,Ink!$AU:$AU,0),10)/'ACC &amp; Other Material '!$E$2*10^3,"")</f>
        <v/>
      </c>
      <c r="I201" s="3153" t="str">
        <f ca="1">IFERROR(INDEX(Ink!$A:$AU,MATCH($C201,Ink!$AU:$AU,0),13),"")</f>
        <v/>
      </c>
      <c r="J201" s="3153" t="str">
        <f ca="1">IFERROR(INDEX(Ink!$A:$AU,MATCH($C201,Ink!$AU:$AU,0),13)*(1+Ink!$M$5),"")</f>
        <v/>
      </c>
    </row>
    <row r="202" spans="2:10" ht="21.75">
      <c r="B202" s="3143" t="s">
        <v>213</v>
      </c>
      <c r="C202" s="3143">
        <f t="shared" si="3"/>
        <v>139</v>
      </c>
      <c r="D202" s="3143" t="str">
        <f ca="1">IFERROR(INDEX(Ink!$A:$AU,MATCH($C202,Ink!$AU:$AU,0),1),"")</f>
        <v/>
      </c>
      <c r="E202" s="3143" t="str">
        <f ca="1">IFERROR(INDEX(Ink!$A:$AU,MATCH($C202,Ink!$AU:$AU,0),4),"")</f>
        <v/>
      </c>
      <c r="F202" s="3143" t="s">
        <v>3651</v>
      </c>
      <c r="G202" s="3599" t="str">
        <f ca="1">IFERROR(INDEX(Ink!$A:$AU,MATCH($C202,Ink!$AU:$AU,0),9)/'ACC &amp; Other Material '!$E$2*10^3,"")</f>
        <v/>
      </c>
      <c r="H202" s="3599" t="str">
        <f ca="1">IFERROR(INDEX(Ink!$A:$AU,MATCH($C202,Ink!$AU:$AU,0),10)/'ACC &amp; Other Material '!$E$2*10^3,"")</f>
        <v/>
      </c>
      <c r="I202" s="3153" t="str">
        <f ca="1">IFERROR(INDEX(Ink!$A:$AU,MATCH($C202,Ink!$AU:$AU,0),13),"")</f>
        <v/>
      </c>
      <c r="J202" s="3153" t="str">
        <f ca="1">IFERROR(INDEX(Ink!$A:$AU,MATCH($C202,Ink!$AU:$AU,0),13)*(1+Ink!$M$5),"")</f>
        <v/>
      </c>
    </row>
    <row r="203" spans="2:10" ht="21.75">
      <c r="B203" s="3143" t="s">
        <v>213</v>
      </c>
      <c r="C203" s="3143">
        <f t="shared" si="3"/>
        <v>140</v>
      </c>
      <c r="D203" s="3143" t="str">
        <f ca="1">IFERROR(INDEX(Ink!$A:$AU,MATCH($C203,Ink!$AU:$AU,0),1),"")</f>
        <v/>
      </c>
      <c r="E203" s="3143" t="str">
        <f ca="1">IFERROR(INDEX(Ink!$A:$AU,MATCH($C203,Ink!$AU:$AU,0),4),"")</f>
        <v/>
      </c>
      <c r="F203" s="3143" t="s">
        <v>3651</v>
      </c>
      <c r="G203" s="3599" t="str">
        <f ca="1">IFERROR(INDEX(Ink!$A:$AU,MATCH($C203,Ink!$AU:$AU,0),9)/'ACC &amp; Other Material '!$E$2*10^3,"")</f>
        <v/>
      </c>
      <c r="H203" s="3599" t="str">
        <f ca="1">IFERROR(INDEX(Ink!$A:$AU,MATCH($C203,Ink!$AU:$AU,0),10)/'ACC &amp; Other Material '!$E$2*10^3,"")</f>
        <v/>
      </c>
      <c r="I203" s="3153" t="str">
        <f ca="1">IFERROR(INDEX(Ink!$A:$AU,MATCH($C203,Ink!$AU:$AU,0),13),"")</f>
        <v/>
      </c>
      <c r="J203" s="3153" t="str">
        <f ca="1">IFERROR(INDEX(Ink!$A:$AU,MATCH($C203,Ink!$AU:$AU,0),13)*(1+Ink!$M$5),"")</f>
        <v/>
      </c>
    </row>
    <row r="204" spans="2:10" ht="21.75">
      <c r="B204" s="3143" t="s">
        <v>213</v>
      </c>
      <c r="C204" s="3143">
        <f t="shared" si="3"/>
        <v>141</v>
      </c>
      <c r="D204" s="3143" t="str">
        <f ca="1">IFERROR(INDEX(Ink!$A:$AU,MATCH($C204,Ink!$AU:$AU,0),1),"")</f>
        <v/>
      </c>
      <c r="E204" s="3143" t="str">
        <f ca="1">IFERROR(INDEX(Ink!$A:$AU,MATCH($C204,Ink!$AU:$AU,0),4),"")</f>
        <v/>
      </c>
      <c r="F204" s="3143" t="s">
        <v>3651</v>
      </c>
      <c r="G204" s="3599" t="str">
        <f ca="1">IFERROR(INDEX(Ink!$A:$AU,MATCH($C204,Ink!$AU:$AU,0),9)/'ACC &amp; Other Material '!$E$2*10^3,"")</f>
        <v/>
      </c>
      <c r="H204" s="3599" t="str">
        <f ca="1">IFERROR(INDEX(Ink!$A:$AU,MATCH($C204,Ink!$AU:$AU,0),10)/'ACC &amp; Other Material '!$E$2*10^3,"")</f>
        <v/>
      </c>
      <c r="I204" s="3153" t="str">
        <f ca="1">IFERROR(INDEX(Ink!$A:$AU,MATCH($C204,Ink!$AU:$AU,0),13),"")</f>
        <v/>
      </c>
      <c r="J204" s="3153" t="str">
        <f ca="1">IFERROR(INDEX(Ink!$A:$AU,MATCH($C204,Ink!$AU:$AU,0),13)*(1+Ink!$M$5),"")</f>
        <v/>
      </c>
    </row>
    <row r="205" spans="2:10" ht="21.75">
      <c r="B205" s="3143" t="s">
        <v>213</v>
      </c>
      <c r="C205" s="3143">
        <f t="shared" si="3"/>
        <v>142</v>
      </c>
      <c r="D205" s="3143" t="str">
        <f ca="1">IFERROR(INDEX(Ink!$A:$AU,MATCH($C205,Ink!$AU:$AU,0),1),"")</f>
        <v/>
      </c>
      <c r="E205" s="3143" t="str">
        <f ca="1">IFERROR(INDEX(Ink!$A:$AU,MATCH($C205,Ink!$AU:$AU,0),4),"")</f>
        <v/>
      </c>
      <c r="F205" s="3143" t="s">
        <v>3651</v>
      </c>
      <c r="G205" s="3599" t="str">
        <f ca="1">IFERROR(INDEX(Ink!$A:$AU,MATCH($C205,Ink!$AU:$AU,0),9)/'ACC &amp; Other Material '!$E$2*10^3,"")</f>
        <v/>
      </c>
      <c r="H205" s="3599" t="str">
        <f ca="1">IFERROR(INDEX(Ink!$A:$AU,MATCH($C205,Ink!$AU:$AU,0),10)/'ACC &amp; Other Material '!$E$2*10^3,"")</f>
        <v/>
      </c>
      <c r="I205" s="3153" t="str">
        <f ca="1">IFERROR(INDEX(Ink!$A:$AU,MATCH($C205,Ink!$AU:$AU,0),13),"")</f>
        <v/>
      </c>
      <c r="J205" s="3153" t="str">
        <f ca="1">IFERROR(INDEX(Ink!$A:$AU,MATCH($C205,Ink!$AU:$AU,0),13)*(1+Ink!$M$5),"")</f>
        <v/>
      </c>
    </row>
    <row r="206" spans="2:10" ht="21.75">
      <c r="B206" s="3143" t="s">
        <v>213</v>
      </c>
      <c r="C206" s="3143">
        <f t="shared" si="3"/>
        <v>143</v>
      </c>
      <c r="D206" s="3143" t="str">
        <f ca="1">IFERROR(INDEX(Ink!$A:$AU,MATCH($C206,Ink!$AU:$AU,0),1),"")</f>
        <v/>
      </c>
      <c r="E206" s="3143" t="str">
        <f ca="1">IFERROR(INDEX(Ink!$A:$AU,MATCH($C206,Ink!$AU:$AU,0),4),"")</f>
        <v/>
      </c>
      <c r="F206" s="3143" t="s">
        <v>3651</v>
      </c>
      <c r="G206" s="3599" t="str">
        <f ca="1">IFERROR(INDEX(Ink!$A:$AU,MATCH($C206,Ink!$AU:$AU,0),9)/'ACC &amp; Other Material '!$E$2*10^3,"")</f>
        <v/>
      </c>
      <c r="H206" s="3599" t="str">
        <f ca="1">IFERROR(INDEX(Ink!$A:$AU,MATCH($C206,Ink!$AU:$AU,0),10)/'ACC &amp; Other Material '!$E$2*10^3,"")</f>
        <v/>
      </c>
      <c r="I206" s="3153" t="str">
        <f ca="1">IFERROR(INDEX(Ink!$A:$AU,MATCH($C206,Ink!$AU:$AU,0),13),"")</f>
        <v/>
      </c>
      <c r="J206" s="3153" t="str">
        <f ca="1">IFERROR(INDEX(Ink!$A:$AU,MATCH($C206,Ink!$AU:$AU,0),13)*(1+Ink!$M$5),"")</f>
        <v/>
      </c>
    </row>
    <row r="207" spans="2:10" ht="21.75">
      <c r="B207" s="3143" t="s">
        <v>213</v>
      </c>
      <c r="C207" s="3143">
        <f t="shared" si="3"/>
        <v>144</v>
      </c>
      <c r="D207" s="3143" t="str">
        <f ca="1">IFERROR(INDEX(Ink!$A:$AU,MATCH($C207,Ink!$AU:$AU,0),1),"")</f>
        <v/>
      </c>
      <c r="E207" s="3143" t="str">
        <f ca="1">IFERROR(INDEX(Ink!$A:$AU,MATCH($C207,Ink!$AU:$AU,0),4),"")</f>
        <v/>
      </c>
      <c r="F207" s="3143" t="s">
        <v>3651</v>
      </c>
      <c r="G207" s="3599" t="str">
        <f ca="1">IFERROR(INDEX(Ink!$A:$AU,MATCH($C207,Ink!$AU:$AU,0),9)/'ACC &amp; Other Material '!$E$2*10^3,"")</f>
        <v/>
      </c>
      <c r="H207" s="3599" t="str">
        <f ca="1">IFERROR(INDEX(Ink!$A:$AU,MATCH($C207,Ink!$AU:$AU,0),10)/'ACC &amp; Other Material '!$E$2*10^3,"")</f>
        <v/>
      </c>
      <c r="I207" s="3153" t="str">
        <f ca="1">IFERROR(INDEX(Ink!$A:$AU,MATCH($C207,Ink!$AU:$AU,0),13),"")</f>
        <v/>
      </c>
      <c r="J207" s="3153" t="str">
        <f ca="1">IFERROR(INDEX(Ink!$A:$AU,MATCH($C207,Ink!$AU:$AU,0),13)*(1+Ink!$M$5),"")</f>
        <v/>
      </c>
    </row>
    <row r="208" spans="2:10" ht="21.75">
      <c r="B208" s="3143" t="s">
        <v>213</v>
      </c>
      <c r="C208" s="3143">
        <f t="shared" si="3"/>
        <v>145</v>
      </c>
      <c r="D208" s="3143" t="str">
        <f ca="1">IFERROR(INDEX(Ink!$A:$AU,MATCH($C208,Ink!$AU:$AU,0),1),"")</f>
        <v/>
      </c>
      <c r="E208" s="3143" t="str">
        <f ca="1">IFERROR(INDEX(Ink!$A:$AU,MATCH($C208,Ink!$AU:$AU,0),4),"")</f>
        <v/>
      </c>
      <c r="F208" s="3143" t="s">
        <v>3651</v>
      </c>
      <c r="G208" s="3599" t="str">
        <f ca="1">IFERROR(INDEX(Ink!$A:$AU,MATCH($C208,Ink!$AU:$AU,0),9)/'ACC &amp; Other Material '!$E$2*10^3,"")</f>
        <v/>
      </c>
      <c r="H208" s="3599" t="str">
        <f ca="1">IFERROR(INDEX(Ink!$A:$AU,MATCH($C208,Ink!$AU:$AU,0),10)/'ACC &amp; Other Material '!$E$2*10^3,"")</f>
        <v/>
      </c>
      <c r="I208" s="3153" t="str">
        <f ca="1">IFERROR(INDEX(Ink!$A:$AU,MATCH($C208,Ink!$AU:$AU,0),13),"")</f>
        <v/>
      </c>
      <c r="J208" s="3153" t="str">
        <f ca="1">IFERROR(INDEX(Ink!$A:$AU,MATCH($C208,Ink!$AU:$AU,0),13)*(1+Ink!$M$5),"")</f>
        <v/>
      </c>
    </row>
    <row r="209" spans="2:10" ht="21.75">
      <c r="B209" s="3143" t="s">
        <v>213</v>
      </c>
      <c r="C209" s="3143">
        <f t="shared" si="3"/>
        <v>146</v>
      </c>
      <c r="D209" s="3143" t="str">
        <f ca="1">IFERROR(INDEX(Ink!$A:$AU,MATCH($C209,Ink!$AU:$AU,0),1),"")</f>
        <v/>
      </c>
      <c r="E209" s="3143" t="str">
        <f ca="1">IFERROR(INDEX(Ink!$A:$AU,MATCH($C209,Ink!$AU:$AU,0),4),"")</f>
        <v/>
      </c>
      <c r="F209" s="3143" t="s">
        <v>3651</v>
      </c>
      <c r="G209" s="3599" t="str">
        <f ca="1">IFERROR(INDEX(Ink!$A:$AU,MATCH($C209,Ink!$AU:$AU,0),9)/'ACC &amp; Other Material '!$E$2*10^3,"")</f>
        <v/>
      </c>
      <c r="H209" s="3599" t="str">
        <f ca="1">IFERROR(INDEX(Ink!$A:$AU,MATCH($C209,Ink!$AU:$AU,0),10)/'ACC &amp; Other Material '!$E$2*10^3,"")</f>
        <v/>
      </c>
      <c r="I209" s="3153" t="str">
        <f ca="1">IFERROR(INDEX(Ink!$A:$AU,MATCH($C209,Ink!$AU:$AU,0),13),"")</f>
        <v/>
      </c>
      <c r="J209" s="3153" t="str">
        <f ca="1">IFERROR(INDEX(Ink!$A:$AU,MATCH($C209,Ink!$AU:$AU,0),13)*(1+Ink!$M$5),"")</f>
        <v/>
      </c>
    </row>
    <row r="210" spans="2:10" ht="21.75">
      <c r="B210" s="3143" t="s">
        <v>213</v>
      </c>
      <c r="C210" s="3143">
        <f t="shared" si="3"/>
        <v>147</v>
      </c>
      <c r="D210" s="3143" t="str">
        <f ca="1">IFERROR(INDEX(Ink!$A:$AU,MATCH($C210,Ink!$AU:$AU,0),1),"")</f>
        <v/>
      </c>
      <c r="E210" s="3143" t="str">
        <f ca="1">IFERROR(INDEX(Ink!$A:$AU,MATCH($C210,Ink!$AU:$AU,0),4),"")</f>
        <v/>
      </c>
      <c r="F210" s="3143" t="s">
        <v>3651</v>
      </c>
      <c r="G210" s="3599" t="str">
        <f ca="1">IFERROR(INDEX(Ink!$A:$AU,MATCH($C210,Ink!$AU:$AU,0),9)/'ACC &amp; Other Material '!$E$2*10^3,"")</f>
        <v/>
      </c>
      <c r="H210" s="3599" t="str">
        <f ca="1">IFERROR(INDEX(Ink!$A:$AU,MATCH($C210,Ink!$AU:$AU,0),10)/'ACC &amp; Other Material '!$E$2*10^3,"")</f>
        <v/>
      </c>
      <c r="I210" s="3153" t="str">
        <f ca="1">IFERROR(INDEX(Ink!$A:$AU,MATCH($C210,Ink!$AU:$AU,0),13),"")</f>
        <v/>
      </c>
      <c r="J210" s="3153" t="str">
        <f ca="1">IFERROR(INDEX(Ink!$A:$AU,MATCH($C210,Ink!$AU:$AU,0),13)*(1+Ink!$M$5),"")</f>
        <v/>
      </c>
    </row>
    <row r="211" spans="2:10" ht="21.75">
      <c r="B211" s="3143" t="s">
        <v>213</v>
      </c>
      <c r="C211" s="3143">
        <f t="shared" si="3"/>
        <v>148</v>
      </c>
      <c r="D211" s="3143" t="str">
        <f ca="1">IFERROR(INDEX(Ink!$A:$AU,MATCH($C211,Ink!$AU:$AU,0),1),"")</f>
        <v/>
      </c>
      <c r="E211" s="3143" t="str">
        <f ca="1">IFERROR(INDEX(Ink!$A:$AU,MATCH($C211,Ink!$AU:$AU,0),4),"")</f>
        <v/>
      </c>
      <c r="F211" s="3143" t="s">
        <v>3651</v>
      </c>
      <c r="G211" s="3599" t="str">
        <f ca="1">IFERROR(INDEX(Ink!$A:$AU,MATCH($C211,Ink!$AU:$AU,0),9)/'ACC &amp; Other Material '!$E$2*10^3,"")</f>
        <v/>
      </c>
      <c r="H211" s="3599" t="str">
        <f ca="1">IFERROR(INDEX(Ink!$A:$AU,MATCH($C211,Ink!$AU:$AU,0),10)/'ACC &amp; Other Material '!$E$2*10^3,"")</f>
        <v/>
      </c>
      <c r="I211" s="3153" t="str">
        <f ca="1">IFERROR(INDEX(Ink!$A:$AU,MATCH($C211,Ink!$AU:$AU,0),13),"")</f>
        <v/>
      </c>
      <c r="J211" s="3153" t="str">
        <f ca="1">IFERROR(INDEX(Ink!$A:$AU,MATCH($C211,Ink!$AU:$AU,0),13)*(1+Ink!$M$5),"")</f>
        <v/>
      </c>
    </row>
    <row r="212" spans="2:10" ht="21.75">
      <c r="B212" s="3143" t="s">
        <v>213</v>
      </c>
      <c r="C212" s="3143">
        <f t="shared" si="3"/>
        <v>149</v>
      </c>
      <c r="D212" s="3143" t="str">
        <f ca="1">IFERROR(INDEX(Ink!$A:$AU,MATCH($C212,Ink!$AU:$AU,0),1),"")</f>
        <v/>
      </c>
      <c r="E212" s="3143" t="str">
        <f ca="1">IFERROR(INDEX(Ink!$A:$AU,MATCH($C212,Ink!$AU:$AU,0),4),"")</f>
        <v/>
      </c>
      <c r="F212" s="3143" t="s">
        <v>3651</v>
      </c>
      <c r="G212" s="3599" t="str">
        <f ca="1">IFERROR(INDEX(Ink!$A:$AU,MATCH($C212,Ink!$AU:$AU,0),9)/'ACC &amp; Other Material '!$E$2*10^3,"")</f>
        <v/>
      </c>
      <c r="H212" s="3599" t="str">
        <f ca="1">IFERROR(INDEX(Ink!$A:$AU,MATCH($C212,Ink!$AU:$AU,0),10)/'ACC &amp; Other Material '!$E$2*10^3,"")</f>
        <v/>
      </c>
      <c r="I212" s="3153" t="str">
        <f ca="1">IFERROR(INDEX(Ink!$A:$AU,MATCH($C212,Ink!$AU:$AU,0),13),"")</f>
        <v/>
      </c>
      <c r="J212" s="3153" t="str">
        <f ca="1">IFERROR(INDEX(Ink!$A:$AU,MATCH($C212,Ink!$AU:$AU,0),13)*(1+Ink!$M$5),"")</f>
        <v/>
      </c>
    </row>
    <row r="213" spans="2:10" ht="21.75">
      <c r="B213" s="3143" t="s">
        <v>213</v>
      </c>
      <c r="C213" s="3143">
        <f t="shared" si="3"/>
        <v>150</v>
      </c>
      <c r="D213" s="3143" t="str">
        <f ca="1">IFERROR(INDEX(Ink!$A:$AU,MATCH($C213,Ink!$AU:$AU,0),1),"")</f>
        <v/>
      </c>
      <c r="E213" s="3143" t="str">
        <f ca="1">IFERROR(INDEX(Ink!$A:$AU,MATCH($C213,Ink!$AU:$AU,0),4),"")</f>
        <v/>
      </c>
      <c r="F213" s="3143" t="s">
        <v>3651</v>
      </c>
      <c r="G213" s="3599" t="str">
        <f ca="1">IFERROR(INDEX(Ink!$A:$AU,MATCH($C213,Ink!$AU:$AU,0),9)/'ACC &amp; Other Material '!$E$2*10^3,"")</f>
        <v/>
      </c>
      <c r="H213" s="3599" t="str">
        <f ca="1">IFERROR(INDEX(Ink!$A:$AU,MATCH($C213,Ink!$AU:$AU,0),10)/'ACC &amp; Other Material '!$E$2*10^3,"")</f>
        <v/>
      </c>
      <c r="I213" s="3153" t="str">
        <f ca="1">IFERROR(INDEX(Ink!$A:$AU,MATCH($C213,Ink!$AU:$AU,0),13),"")</f>
        <v/>
      </c>
      <c r="J213" s="3153" t="str">
        <f ca="1">IFERROR(INDEX(Ink!$A:$AU,MATCH($C213,Ink!$AU:$AU,0),13)*(1+Ink!$M$5),"")</f>
        <v/>
      </c>
    </row>
    <row r="214" spans="2:10" ht="21.75">
      <c r="B214" s="3143" t="s">
        <v>213</v>
      </c>
      <c r="C214" s="3143">
        <f t="shared" si="3"/>
        <v>151</v>
      </c>
      <c r="D214" s="3143" t="str">
        <f ca="1">IFERROR(INDEX(Ink!$A:$AU,MATCH($C214,Ink!$AU:$AU,0),1),"")</f>
        <v/>
      </c>
      <c r="E214" s="3143" t="str">
        <f ca="1">IFERROR(INDEX(Ink!$A:$AU,MATCH($C214,Ink!$AU:$AU,0),4),"")</f>
        <v/>
      </c>
      <c r="F214" s="3143" t="s">
        <v>3651</v>
      </c>
      <c r="G214" s="3599" t="str">
        <f ca="1">IFERROR(INDEX(Ink!$A:$AU,MATCH($C214,Ink!$AU:$AU,0),9)/'ACC &amp; Other Material '!$E$2*10^3,"")</f>
        <v/>
      </c>
      <c r="H214" s="3599" t="str">
        <f ca="1">IFERROR(INDEX(Ink!$A:$AU,MATCH($C214,Ink!$AU:$AU,0),10)/'ACC &amp; Other Material '!$E$2*10^3,"")</f>
        <v/>
      </c>
      <c r="I214" s="3153" t="str">
        <f ca="1">IFERROR(INDEX(Ink!$A:$AU,MATCH($C214,Ink!$AU:$AU,0),13),"")</f>
        <v/>
      </c>
      <c r="J214" s="3153" t="str">
        <f ca="1">IFERROR(INDEX(Ink!$A:$AU,MATCH($C214,Ink!$AU:$AU,0),13)*(1+Ink!$M$5),"")</f>
        <v/>
      </c>
    </row>
    <row r="215" spans="2:10" ht="21.75">
      <c r="B215" s="3143" t="s">
        <v>213</v>
      </c>
      <c r="C215" s="3143">
        <f t="shared" si="3"/>
        <v>152</v>
      </c>
      <c r="D215" s="3143" t="str">
        <f ca="1">IFERROR(INDEX(Ink!$A:$AU,MATCH($C215,Ink!$AU:$AU,0),1),"")</f>
        <v/>
      </c>
      <c r="E215" s="3143" t="str">
        <f ca="1">IFERROR(INDEX(Ink!$A:$AU,MATCH($C215,Ink!$AU:$AU,0),4),"")</f>
        <v/>
      </c>
      <c r="F215" s="3143" t="s">
        <v>3651</v>
      </c>
      <c r="G215" s="3599" t="str">
        <f ca="1">IFERROR(INDEX(Ink!$A:$AU,MATCH($C215,Ink!$AU:$AU,0),9)/'ACC &amp; Other Material '!$E$2*10^3,"")</f>
        <v/>
      </c>
      <c r="H215" s="3599" t="str">
        <f ca="1">IFERROR(INDEX(Ink!$A:$AU,MATCH($C215,Ink!$AU:$AU,0),10)/'ACC &amp; Other Material '!$E$2*10^3,"")</f>
        <v/>
      </c>
      <c r="I215" s="3153" t="str">
        <f ca="1">IFERROR(INDEX(Ink!$A:$AU,MATCH($C215,Ink!$AU:$AU,0),13),"")</f>
        <v/>
      </c>
      <c r="J215" s="3153" t="str">
        <f ca="1">IFERROR(INDEX(Ink!$A:$AU,MATCH($C215,Ink!$AU:$AU,0),13)*(1+Ink!$M$5),"")</f>
        <v/>
      </c>
    </row>
    <row r="216" spans="2:10" ht="21.75">
      <c r="B216" s="3143" t="s">
        <v>213</v>
      </c>
      <c r="C216" s="3143">
        <f t="shared" si="3"/>
        <v>153</v>
      </c>
      <c r="D216" s="3143" t="str">
        <f ca="1">IFERROR(INDEX(Ink!$A:$AU,MATCH($C216,Ink!$AU:$AU,0),1),"")</f>
        <v/>
      </c>
      <c r="E216" s="3143" t="str">
        <f ca="1">IFERROR(INDEX(Ink!$A:$AU,MATCH($C216,Ink!$AU:$AU,0),4),"")</f>
        <v/>
      </c>
      <c r="F216" s="3143" t="s">
        <v>3651</v>
      </c>
      <c r="G216" s="3599" t="str">
        <f ca="1">IFERROR(INDEX(Ink!$A:$AU,MATCH($C216,Ink!$AU:$AU,0),9)/'ACC &amp; Other Material '!$E$2*10^3,"")</f>
        <v/>
      </c>
      <c r="H216" s="3599" t="str">
        <f ca="1">IFERROR(INDEX(Ink!$A:$AU,MATCH($C216,Ink!$AU:$AU,0),10)/'ACC &amp; Other Material '!$E$2*10^3,"")</f>
        <v/>
      </c>
      <c r="I216" s="3153" t="str">
        <f ca="1">IFERROR(INDEX(Ink!$A:$AU,MATCH($C216,Ink!$AU:$AU,0),13),"")</f>
        <v/>
      </c>
      <c r="J216" s="3153" t="str">
        <f ca="1">IFERROR(INDEX(Ink!$A:$AU,MATCH($C216,Ink!$AU:$AU,0),13)*(1+Ink!$M$5),"")</f>
        <v/>
      </c>
    </row>
    <row r="217" spans="2:10" ht="21.75">
      <c r="B217" s="3143" t="s">
        <v>213</v>
      </c>
      <c r="C217" s="3143">
        <f t="shared" si="3"/>
        <v>154</v>
      </c>
      <c r="D217" s="3143" t="str">
        <f ca="1">IFERROR(INDEX(Ink!$A:$AU,MATCH($C217,Ink!$AU:$AU,0),1),"")</f>
        <v/>
      </c>
      <c r="E217" s="3143" t="str">
        <f ca="1">IFERROR(INDEX(Ink!$A:$AU,MATCH($C217,Ink!$AU:$AU,0),4),"")</f>
        <v/>
      </c>
      <c r="F217" s="3143" t="s">
        <v>3651</v>
      </c>
      <c r="G217" s="3599" t="str">
        <f ca="1">IFERROR(INDEX(Ink!$A:$AU,MATCH($C217,Ink!$AU:$AU,0),9)/'ACC &amp; Other Material '!$E$2*10^3,"")</f>
        <v/>
      </c>
      <c r="H217" s="3599" t="str">
        <f ca="1">IFERROR(INDEX(Ink!$A:$AU,MATCH($C217,Ink!$AU:$AU,0),10)/'ACC &amp; Other Material '!$E$2*10^3,"")</f>
        <v/>
      </c>
      <c r="I217" s="3153" t="str">
        <f ca="1">IFERROR(INDEX(Ink!$A:$AU,MATCH($C217,Ink!$AU:$AU,0),13),"")</f>
        <v/>
      </c>
      <c r="J217" s="3153" t="str">
        <f ca="1">IFERROR(INDEX(Ink!$A:$AU,MATCH($C217,Ink!$AU:$AU,0),13)*(1+Ink!$M$5),"")</f>
        <v/>
      </c>
    </row>
    <row r="218" spans="2:10" ht="21.75">
      <c r="B218" s="3143" t="s">
        <v>213</v>
      </c>
      <c r="C218" s="3143">
        <f t="shared" si="3"/>
        <v>155</v>
      </c>
      <c r="D218" s="3143" t="str">
        <f ca="1">IFERROR(INDEX(Ink!$A:$AU,MATCH($C218,Ink!$AU:$AU,0),1),"")</f>
        <v/>
      </c>
      <c r="E218" s="3143" t="str">
        <f ca="1">IFERROR(INDEX(Ink!$A:$AU,MATCH($C218,Ink!$AU:$AU,0),4),"")</f>
        <v/>
      </c>
      <c r="F218" s="3143" t="s">
        <v>3651</v>
      </c>
      <c r="G218" s="3599" t="str">
        <f ca="1">IFERROR(INDEX(Ink!$A:$AU,MATCH($C218,Ink!$AU:$AU,0),9)/'ACC &amp; Other Material '!$E$2*10^3,"")</f>
        <v/>
      </c>
      <c r="H218" s="3599" t="str">
        <f ca="1">IFERROR(INDEX(Ink!$A:$AU,MATCH($C218,Ink!$AU:$AU,0),10)/'ACC &amp; Other Material '!$E$2*10^3,"")</f>
        <v/>
      </c>
      <c r="I218" s="3153" t="str">
        <f ca="1">IFERROR(INDEX(Ink!$A:$AU,MATCH($C218,Ink!$AU:$AU,0),13),"")</f>
        <v/>
      </c>
      <c r="J218" s="3153" t="str">
        <f ca="1">IFERROR(INDEX(Ink!$A:$AU,MATCH($C218,Ink!$AU:$AU,0),13)*(1+Ink!$M$5),"")</f>
        <v/>
      </c>
    </row>
    <row r="219" spans="2:10" ht="21.75">
      <c r="B219" s="3143" t="s">
        <v>213</v>
      </c>
      <c r="C219" s="3143">
        <f t="shared" si="3"/>
        <v>156</v>
      </c>
      <c r="D219" s="3143" t="str">
        <f ca="1">IFERROR(INDEX(Ink!$A:$AU,MATCH($C219,Ink!$AU:$AU,0),1),"")</f>
        <v/>
      </c>
      <c r="E219" s="3143" t="str">
        <f ca="1">IFERROR(INDEX(Ink!$A:$AU,MATCH($C219,Ink!$AU:$AU,0),4),"")</f>
        <v/>
      </c>
      <c r="F219" s="3143" t="s">
        <v>3651</v>
      </c>
      <c r="G219" s="3599" t="str">
        <f ca="1">IFERROR(INDEX(Ink!$A:$AU,MATCH($C219,Ink!$AU:$AU,0),9)/'ACC &amp; Other Material '!$E$2*10^3,"")</f>
        <v/>
      </c>
      <c r="H219" s="3599" t="str">
        <f ca="1">IFERROR(INDEX(Ink!$A:$AU,MATCH($C219,Ink!$AU:$AU,0),10)/'ACC &amp; Other Material '!$E$2*10^3,"")</f>
        <v/>
      </c>
      <c r="I219" s="3153" t="str">
        <f ca="1">IFERROR(INDEX(Ink!$A:$AU,MATCH($C219,Ink!$AU:$AU,0),13),"")</f>
        <v/>
      </c>
      <c r="J219" s="3153" t="str">
        <f ca="1">IFERROR(INDEX(Ink!$A:$AU,MATCH($C219,Ink!$AU:$AU,0),13)*(1+Ink!$M$5),"")</f>
        <v/>
      </c>
    </row>
    <row r="220" spans="2:10" ht="21.75">
      <c r="B220" s="3143" t="s">
        <v>213</v>
      </c>
      <c r="C220" s="3143">
        <f t="shared" si="3"/>
        <v>157</v>
      </c>
      <c r="D220" s="3143" t="str">
        <f ca="1">IFERROR(INDEX(Ink!$A:$AU,MATCH($C220,Ink!$AU:$AU,0),1),"")</f>
        <v/>
      </c>
      <c r="E220" s="3143" t="str">
        <f ca="1">IFERROR(INDEX(Ink!$A:$AU,MATCH($C220,Ink!$AU:$AU,0),4),"")</f>
        <v/>
      </c>
      <c r="F220" s="3143" t="s">
        <v>3651</v>
      </c>
      <c r="G220" s="3599" t="str">
        <f ca="1">IFERROR(INDEX(Ink!$A:$AU,MATCH($C220,Ink!$AU:$AU,0),9)/'ACC &amp; Other Material '!$E$2*10^3,"")</f>
        <v/>
      </c>
      <c r="H220" s="3599" t="str">
        <f ca="1">IFERROR(INDEX(Ink!$A:$AU,MATCH($C220,Ink!$AU:$AU,0),10)/'ACC &amp; Other Material '!$E$2*10^3,"")</f>
        <v/>
      </c>
      <c r="I220" s="3153" t="str">
        <f ca="1">IFERROR(INDEX(Ink!$A:$AU,MATCH($C220,Ink!$AU:$AU,0),13),"")</f>
        <v/>
      </c>
      <c r="J220" s="3153" t="str">
        <f ca="1">IFERROR(INDEX(Ink!$A:$AU,MATCH($C220,Ink!$AU:$AU,0),13)*(1+Ink!$M$5),"")</f>
        <v/>
      </c>
    </row>
    <row r="221" spans="2:10" ht="21.75">
      <c r="B221" s="3143" t="s">
        <v>213</v>
      </c>
      <c r="C221" s="3143">
        <f t="shared" si="3"/>
        <v>158</v>
      </c>
      <c r="D221" s="3143" t="str">
        <f ca="1">IFERROR(INDEX(Ink!$A:$AU,MATCH($C221,Ink!$AU:$AU,0),1),"")</f>
        <v/>
      </c>
      <c r="E221" s="3143" t="str">
        <f ca="1">IFERROR(INDEX(Ink!$A:$AU,MATCH($C221,Ink!$AU:$AU,0),4),"")</f>
        <v/>
      </c>
      <c r="F221" s="3143" t="s">
        <v>3651</v>
      </c>
      <c r="G221" s="3599" t="str">
        <f ca="1">IFERROR(INDEX(Ink!$A:$AU,MATCH($C221,Ink!$AU:$AU,0),9)/'ACC &amp; Other Material '!$E$2*10^3,"")</f>
        <v/>
      </c>
      <c r="H221" s="3599" t="str">
        <f ca="1">IFERROR(INDEX(Ink!$A:$AU,MATCH($C221,Ink!$AU:$AU,0),10)/'ACC &amp; Other Material '!$E$2*10^3,"")</f>
        <v/>
      </c>
      <c r="I221" s="3153" t="str">
        <f ca="1">IFERROR(INDEX(Ink!$A:$AU,MATCH($C221,Ink!$AU:$AU,0),13),"")</f>
        <v/>
      </c>
      <c r="J221" s="3153" t="str">
        <f ca="1">IFERROR(INDEX(Ink!$A:$AU,MATCH($C221,Ink!$AU:$AU,0),13)*(1+Ink!$M$5),"")</f>
        <v/>
      </c>
    </row>
    <row r="222" spans="2:10" ht="21.75">
      <c r="B222" s="3143" t="s">
        <v>213</v>
      </c>
      <c r="C222" s="3143">
        <f t="shared" si="3"/>
        <v>159</v>
      </c>
      <c r="D222" s="3143" t="str">
        <f ca="1">IFERROR(INDEX(Ink!$A:$AU,MATCH($C222,Ink!$AU:$AU,0),1),"")</f>
        <v/>
      </c>
      <c r="E222" s="3143" t="str">
        <f ca="1">IFERROR(INDEX(Ink!$A:$AU,MATCH($C222,Ink!$AU:$AU,0),4),"")</f>
        <v/>
      </c>
      <c r="F222" s="3143" t="s">
        <v>3651</v>
      </c>
      <c r="G222" s="3599" t="str">
        <f ca="1">IFERROR(INDEX(Ink!$A:$AU,MATCH($C222,Ink!$AU:$AU,0),9)/'ACC &amp; Other Material '!$E$2*10^3,"")</f>
        <v/>
      </c>
      <c r="H222" s="3599" t="str">
        <f ca="1">IFERROR(INDEX(Ink!$A:$AU,MATCH($C222,Ink!$AU:$AU,0),10)/'ACC &amp; Other Material '!$E$2*10^3,"")</f>
        <v/>
      </c>
      <c r="I222" s="3153" t="str">
        <f ca="1">IFERROR(INDEX(Ink!$A:$AU,MATCH($C222,Ink!$AU:$AU,0),13),"")</f>
        <v/>
      </c>
      <c r="J222" s="3153" t="str">
        <f ca="1">IFERROR(INDEX(Ink!$A:$AU,MATCH($C222,Ink!$AU:$AU,0),13)*(1+Ink!$M$5),"")</f>
        <v/>
      </c>
    </row>
    <row r="223" spans="2:10" ht="21.75">
      <c r="B223" s="3143" t="s">
        <v>213</v>
      </c>
      <c r="C223" s="3143">
        <f t="shared" si="3"/>
        <v>160</v>
      </c>
      <c r="D223" s="3143" t="str">
        <f ca="1">IFERROR(INDEX(Ink!$A:$AU,MATCH($C223,Ink!$AU:$AU,0),1),"")</f>
        <v/>
      </c>
      <c r="E223" s="3143" t="str">
        <f ca="1">IFERROR(INDEX(Ink!$A:$AU,MATCH($C223,Ink!$AU:$AU,0),4),"")</f>
        <v/>
      </c>
      <c r="F223" s="3143" t="s">
        <v>3651</v>
      </c>
      <c r="G223" s="3599" t="str">
        <f ca="1">IFERROR(INDEX(Ink!$A:$AU,MATCH($C223,Ink!$AU:$AU,0),9)/'ACC &amp; Other Material '!$E$2*10^3,"")</f>
        <v/>
      </c>
      <c r="H223" s="3599" t="str">
        <f ca="1">IFERROR(INDEX(Ink!$A:$AU,MATCH($C223,Ink!$AU:$AU,0),10)/'ACC &amp; Other Material '!$E$2*10^3,"")</f>
        <v/>
      </c>
      <c r="I223" s="3153" t="str">
        <f ca="1">IFERROR(INDEX(Ink!$A:$AU,MATCH($C223,Ink!$AU:$AU,0),13),"")</f>
        <v/>
      </c>
      <c r="J223" s="3153" t="str">
        <f ca="1">IFERROR(INDEX(Ink!$A:$AU,MATCH($C223,Ink!$AU:$AU,0),13)*(1+Ink!$M$5),"")</f>
        <v/>
      </c>
    </row>
    <row r="224" spans="2:10" ht="21.75">
      <c r="B224" s="3143" t="s">
        <v>213</v>
      </c>
      <c r="C224" s="3143">
        <f t="shared" si="3"/>
        <v>161</v>
      </c>
      <c r="D224" s="3143" t="str">
        <f ca="1">IFERROR(INDEX(Ink!$A:$AU,MATCH($C224,Ink!$AU:$AU,0),1),"")</f>
        <v/>
      </c>
      <c r="E224" s="3143" t="str">
        <f ca="1">IFERROR(INDEX(Ink!$A:$AU,MATCH($C224,Ink!$AU:$AU,0),4),"")</f>
        <v/>
      </c>
      <c r="F224" s="3143" t="s">
        <v>3651</v>
      </c>
      <c r="G224" s="3599" t="str">
        <f ca="1">IFERROR(INDEX(Ink!$A:$AU,MATCH($C224,Ink!$AU:$AU,0),9)/'ACC &amp; Other Material '!$E$2*10^3,"")</f>
        <v/>
      </c>
      <c r="H224" s="3599" t="str">
        <f ca="1">IFERROR(INDEX(Ink!$A:$AU,MATCH($C224,Ink!$AU:$AU,0),10)/'ACC &amp; Other Material '!$E$2*10^3,"")</f>
        <v/>
      </c>
      <c r="I224" s="3153" t="str">
        <f ca="1">IFERROR(INDEX(Ink!$A:$AU,MATCH($C224,Ink!$AU:$AU,0),13),"")</f>
        <v/>
      </c>
      <c r="J224" s="3153" t="str">
        <f ca="1">IFERROR(INDEX(Ink!$A:$AU,MATCH($C224,Ink!$AU:$AU,0),13)*(1+Ink!$M$5),"")</f>
        <v/>
      </c>
    </row>
    <row r="225" spans="2:10" ht="21.75">
      <c r="B225" s="3143" t="s">
        <v>213</v>
      </c>
      <c r="C225" s="3143">
        <f t="shared" si="3"/>
        <v>162</v>
      </c>
      <c r="D225" s="3143" t="str">
        <f ca="1">IFERROR(INDEX(Ink!$A:$AU,MATCH($C225,Ink!$AU:$AU,0),1),"")</f>
        <v/>
      </c>
      <c r="E225" s="3143" t="str">
        <f ca="1">IFERROR(INDEX(Ink!$A:$AU,MATCH($C225,Ink!$AU:$AU,0),4),"")</f>
        <v/>
      </c>
      <c r="F225" s="3143" t="s">
        <v>3651</v>
      </c>
      <c r="G225" s="3599" t="str">
        <f ca="1">IFERROR(INDEX(Ink!$A:$AU,MATCH($C225,Ink!$AU:$AU,0),9)/'ACC &amp; Other Material '!$E$2*10^3,"")</f>
        <v/>
      </c>
      <c r="H225" s="3599" t="str">
        <f ca="1">IFERROR(INDEX(Ink!$A:$AU,MATCH($C225,Ink!$AU:$AU,0),10)/'ACC &amp; Other Material '!$E$2*10^3,"")</f>
        <v/>
      </c>
      <c r="I225" s="3153" t="str">
        <f ca="1">IFERROR(INDEX(Ink!$A:$AU,MATCH($C225,Ink!$AU:$AU,0),13),"")</f>
        <v/>
      </c>
      <c r="J225" s="3153" t="str">
        <f ca="1">IFERROR(INDEX(Ink!$A:$AU,MATCH($C225,Ink!$AU:$AU,0),13)*(1+Ink!$M$5),"")</f>
        <v/>
      </c>
    </row>
    <row r="226" spans="2:10" ht="21.75">
      <c r="B226" s="3143" t="s">
        <v>213</v>
      </c>
      <c r="C226" s="3143">
        <f t="shared" si="3"/>
        <v>163</v>
      </c>
      <c r="D226" s="3143" t="str">
        <f ca="1">IFERROR(INDEX(Ink!$A:$AU,MATCH($C226,Ink!$AU:$AU,0),1),"")</f>
        <v/>
      </c>
      <c r="E226" s="3143" t="str">
        <f ca="1">IFERROR(INDEX(Ink!$A:$AU,MATCH($C226,Ink!$AU:$AU,0),4),"")</f>
        <v/>
      </c>
      <c r="F226" s="3143" t="s">
        <v>3651</v>
      </c>
      <c r="G226" s="3599" t="str">
        <f ca="1">IFERROR(INDEX(Ink!$A:$AU,MATCH($C226,Ink!$AU:$AU,0),9)/'ACC &amp; Other Material '!$E$2*10^3,"")</f>
        <v/>
      </c>
      <c r="H226" s="3599" t="str">
        <f ca="1">IFERROR(INDEX(Ink!$A:$AU,MATCH($C226,Ink!$AU:$AU,0),10)/'ACC &amp; Other Material '!$E$2*10^3,"")</f>
        <v/>
      </c>
      <c r="I226" s="3153" t="str">
        <f ca="1">IFERROR(INDEX(Ink!$A:$AU,MATCH($C226,Ink!$AU:$AU,0),13),"")</f>
        <v/>
      </c>
      <c r="J226" s="3153" t="str">
        <f ca="1">IFERROR(INDEX(Ink!$A:$AU,MATCH($C226,Ink!$AU:$AU,0),13)*(1+Ink!$M$5),"")</f>
        <v/>
      </c>
    </row>
    <row r="227" spans="2:10" ht="21.75">
      <c r="B227" s="3143" t="s">
        <v>213</v>
      </c>
      <c r="C227" s="3143">
        <f t="shared" si="3"/>
        <v>164</v>
      </c>
      <c r="D227" s="3143" t="str">
        <f ca="1">IFERROR(INDEX(Ink!$A:$AU,MATCH($C227,Ink!$AU:$AU,0),1),"")</f>
        <v/>
      </c>
      <c r="E227" s="3143" t="str">
        <f ca="1">IFERROR(INDEX(Ink!$A:$AU,MATCH($C227,Ink!$AU:$AU,0),4),"")</f>
        <v/>
      </c>
      <c r="F227" s="3143" t="s">
        <v>3651</v>
      </c>
      <c r="G227" s="3599" t="str">
        <f ca="1">IFERROR(INDEX(Ink!$A:$AU,MATCH($C227,Ink!$AU:$AU,0),9)/'ACC &amp; Other Material '!$E$2*10^3,"")</f>
        <v/>
      </c>
      <c r="H227" s="3599" t="str">
        <f ca="1">IFERROR(INDEX(Ink!$A:$AU,MATCH($C227,Ink!$AU:$AU,0),10)/'ACC &amp; Other Material '!$E$2*10^3,"")</f>
        <v/>
      </c>
      <c r="I227" s="3153" t="str">
        <f ca="1">IFERROR(INDEX(Ink!$A:$AU,MATCH($C227,Ink!$AU:$AU,0),13),"")</f>
        <v/>
      </c>
      <c r="J227" s="3153" t="str">
        <f ca="1">IFERROR(INDEX(Ink!$A:$AU,MATCH($C227,Ink!$AU:$AU,0),13)*(1+Ink!$M$5),"")</f>
        <v/>
      </c>
    </row>
    <row r="228" spans="2:10" ht="21.75">
      <c r="B228" s="3143" t="s">
        <v>213</v>
      </c>
      <c r="C228" s="3143">
        <f t="shared" si="3"/>
        <v>165</v>
      </c>
      <c r="D228" s="3143" t="str">
        <f ca="1">IFERROR(INDEX(Ink!$A:$AU,MATCH($C228,Ink!$AU:$AU,0),1),"")</f>
        <v/>
      </c>
      <c r="E228" s="3143" t="str">
        <f ca="1">IFERROR(INDEX(Ink!$A:$AU,MATCH($C228,Ink!$AU:$AU,0),4),"")</f>
        <v/>
      </c>
      <c r="F228" s="3143" t="s">
        <v>3651</v>
      </c>
      <c r="G228" s="3599" t="str">
        <f ca="1">IFERROR(INDEX(Ink!$A:$AU,MATCH($C228,Ink!$AU:$AU,0),9)/'ACC &amp; Other Material '!$E$2*10^3,"")</f>
        <v/>
      </c>
      <c r="H228" s="3599" t="str">
        <f ca="1">IFERROR(INDEX(Ink!$A:$AU,MATCH($C228,Ink!$AU:$AU,0),10)/'ACC &amp; Other Material '!$E$2*10^3,"")</f>
        <v/>
      </c>
      <c r="I228" s="3153" t="str">
        <f ca="1">IFERROR(INDEX(Ink!$A:$AU,MATCH($C228,Ink!$AU:$AU,0),13),"")</f>
        <v/>
      </c>
      <c r="J228" s="3153" t="str">
        <f ca="1">IFERROR(INDEX(Ink!$A:$AU,MATCH($C228,Ink!$AU:$AU,0),13)*(1+Ink!$M$5),"")</f>
        <v/>
      </c>
    </row>
    <row r="229" spans="2:10" ht="21.75">
      <c r="B229" s="3143" t="s">
        <v>213</v>
      </c>
      <c r="C229" s="3143">
        <f t="shared" si="3"/>
        <v>166</v>
      </c>
      <c r="D229" s="3143" t="str">
        <f ca="1">IFERROR(INDEX(Ink!$A:$AU,MATCH($C229,Ink!$AU:$AU,0),1),"")</f>
        <v/>
      </c>
      <c r="E229" s="3143" t="str">
        <f ca="1">IFERROR(INDEX(Ink!$A:$AU,MATCH($C229,Ink!$AU:$AU,0),4),"")</f>
        <v/>
      </c>
      <c r="F229" s="3143" t="s">
        <v>3651</v>
      </c>
      <c r="G229" s="3599" t="str">
        <f ca="1">IFERROR(INDEX(Ink!$A:$AU,MATCH($C229,Ink!$AU:$AU,0),9)/'ACC &amp; Other Material '!$E$2*10^3,"")</f>
        <v/>
      </c>
      <c r="H229" s="3599" t="str">
        <f ca="1">IFERROR(INDEX(Ink!$A:$AU,MATCH($C229,Ink!$AU:$AU,0),10)/'ACC &amp; Other Material '!$E$2*10^3,"")</f>
        <v/>
      </c>
      <c r="I229" s="3153" t="str">
        <f ca="1">IFERROR(INDEX(Ink!$A:$AU,MATCH($C229,Ink!$AU:$AU,0),13),"")</f>
        <v/>
      </c>
      <c r="J229" s="3153" t="str">
        <f ca="1">IFERROR(INDEX(Ink!$A:$AU,MATCH($C229,Ink!$AU:$AU,0),13)*(1+Ink!$M$5),"")</f>
        <v/>
      </c>
    </row>
    <row r="230" spans="2:10" ht="21.75">
      <c r="B230" s="3143" t="s">
        <v>213</v>
      </c>
      <c r="C230" s="3143">
        <f t="shared" si="3"/>
        <v>167</v>
      </c>
      <c r="D230" s="3143" t="str">
        <f ca="1">IFERROR(INDEX(Ink!$A:$AU,MATCH($C230,Ink!$AU:$AU,0),1),"")</f>
        <v/>
      </c>
      <c r="E230" s="3143" t="str">
        <f ca="1">IFERROR(INDEX(Ink!$A:$AU,MATCH($C230,Ink!$AU:$AU,0),4),"")</f>
        <v/>
      </c>
      <c r="F230" s="3143" t="s">
        <v>3651</v>
      </c>
      <c r="G230" s="3599" t="str">
        <f ca="1">IFERROR(INDEX(Ink!$A:$AU,MATCH($C230,Ink!$AU:$AU,0),9)/'ACC &amp; Other Material '!$E$2*10^3,"")</f>
        <v/>
      </c>
      <c r="H230" s="3599" t="str">
        <f ca="1">IFERROR(INDEX(Ink!$A:$AU,MATCH($C230,Ink!$AU:$AU,0),10)/'ACC &amp; Other Material '!$E$2*10^3,"")</f>
        <v/>
      </c>
      <c r="I230" s="3153" t="str">
        <f ca="1">IFERROR(INDEX(Ink!$A:$AU,MATCH($C230,Ink!$AU:$AU,0),13),"")</f>
        <v/>
      </c>
      <c r="J230" s="3153" t="str">
        <f ca="1">IFERROR(INDEX(Ink!$A:$AU,MATCH($C230,Ink!$AU:$AU,0),13)*(1+Ink!$M$5),"")</f>
        <v/>
      </c>
    </row>
    <row r="231" spans="2:10" ht="21.75">
      <c r="B231" s="3143" t="s">
        <v>213</v>
      </c>
      <c r="C231" s="3143">
        <f t="shared" si="3"/>
        <v>168</v>
      </c>
      <c r="D231" s="3143" t="str">
        <f ca="1">IFERROR(INDEX(Ink!$A:$AU,MATCH($C231,Ink!$AU:$AU,0),1),"")</f>
        <v/>
      </c>
      <c r="E231" s="3143" t="str">
        <f ca="1">IFERROR(INDEX(Ink!$A:$AU,MATCH($C231,Ink!$AU:$AU,0),4),"")</f>
        <v/>
      </c>
      <c r="F231" s="3143" t="s">
        <v>3651</v>
      </c>
      <c r="G231" s="3599" t="str">
        <f ca="1">IFERROR(INDEX(Ink!$A:$AU,MATCH($C231,Ink!$AU:$AU,0),9)/'ACC &amp; Other Material '!$E$2*10^3,"")</f>
        <v/>
      </c>
      <c r="H231" s="3599" t="str">
        <f ca="1">IFERROR(INDEX(Ink!$A:$AU,MATCH($C231,Ink!$AU:$AU,0),10)/'ACC &amp; Other Material '!$E$2*10^3,"")</f>
        <v/>
      </c>
      <c r="I231" s="3153" t="str">
        <f ca="1">IFERROR(INDEX(Ink!$A:$AU,MATCH($C231,Ink!$AU:$AU,0),13),"")</f>
        <v/>
      </c>
      <c r="J231" s="3153" t="str">
        <f ca="1">IFERROR(INDEX(Ink!$A:$AU,MATCH($C231,Ink!$AU:$AU,0),13)*(1+Ink!$M$5),"")</f>
        <v/>
      </c>
    </row>
    <row r="232" spans="2:10" ht="21.75">
      <c r="B232" s="3143" t="s">
        <v>213</v>
      </c>
      <c r="C232" s="3143">
        <f t="shared" si="3"/>
        <v>169</v>
      </c>
      <c r="D232" s="3143" t="str">
        <f ca="1">IFERROR(INDEX(Ink!$A:$AU,MATCH($C232,Ink!$AU:$AU,0),1),"")</f>
        <v/>
      </c>
      <c r="E232" s="3143" t="str">
        <f ca="1">IFERROR(INDEX(Ink!$A:$AU,MATCH($C232,Ink!$AU:$AU,0),4),"")</f>
        <v/>
      </c>
      <c r="F232" s="3143" t="s">
        <v>3651</v>
      </c>
      <c r="G232" s="3599" t="str">
        <f ca="1">IFERROR(INDEX(Ink!$A:$AU,MATCH($C232,Ink!$AU:$AU,0),9)/'ACC &amp; Other Material '!$E$2*10^3,"")</f>
        <v/>
      </c>
      <c r="H232" s="3599" t="str">
        <f ca="1">IFERROR(INDEX(Ink!$A:$AU,MATCH($C232,Ink!$AU:$AU,0),10)/'ACC &amp; Other Material '!$E$2*10^3,"")</f>
        <v/>
      </c>
      <c r="I232" s="3153" t="str">
        <f ca="1">IFERROR(INDEX(Ink!$A:$AU,MATCH($C232,Ink!$AU:$AU,0),13),"")</f>
        <v/>
      </c>
      <c r="J232" s="3153" t="str">
        <f ca="1">IFERROR(INDEX(Ink!$A:$AU,MATCH($C232,Ink!$AU:$AU,0),13)*(1+Ink!$M$5),"")</f>
        <v/>
      </c>
    </row>
    <row r="233" spans="2:10" ht="21.75">
      <c r="B233" s="3143" t="s">
        <v>213</v>
      </c>
      <c r="C233" s="3143">
        <f t="shared" si="3"/>
        <v>170</v>
      </c>
      <c r="D233" s="3143" t="str">
        <f ca="1">IFERROR(INDEX(Ink!$A:$AU,MATCH($C233,Ink!$AU:$AU,0),1),"")</f>
        <v/>
      </c>
      <c r="E233" s="3143" t="str">
        <f ca="1">IFERROR(INDEX(Ink!$A:$AU,MATCH($C233,Ink!$AU:$AU,0),4),"")</f>
        <v/>
      </c>
      <c r="F233" s="3143" t="s">
        <v>3651</v>
      </c>
      <c r="G233" s="3599" t="str">
        <f ca="1">IFERROR(INDEX(Ink!$A:$AU,MATCH($C233,Ink!$AU:$AU,0),9)/'ACC &amp; Other Material '!$E$2*10^3,"")</f>
        <v/>
      </c>
      <c r="H233" s="3599" t="str">
        <f ca="1">IFERROR(INDEX(Ink!$A:$AU,MATCH($C233,Ink!$AU:$AU,0),10)/'ACC &amp; Other Material '!$E$2*10^3,"")</f>
        <v/>
      </c>
      <c r="I233" s="3153" t="str">
        <f ca="1">IFERROR(INDEX(Ink!$A:$AU,MATCH($C233,Ink!$AU:$AU,0),13),"")</f>
        <v/>
      </c>
      <c r="J233" s="3153" t="str">
        <f ca="1">IFERROR(INDEX(Ink!$A:$AU,MATCH($C233,Ink!$AU:$AU,0),13)*(1+Ink!$M$5),"")</f>
        <v/>
      </c>
    </row>
    <row r="234" spans="2:10" ht="21.75">
      <c r="B234" s="3143" t="s">
        <v>213</v>
      </c>
      <c r="C234" s="3143">
        <f t="shared" si="3"/>
        <v>171</v>
      </c>
      <c r="D234" s="3143" t="str">
        <f ca="1">IFERROR(INDEX(Ink!$A:$AU,MATCH($C234,Ink!$AU:$AU,0),1),"")</f>
        <v/>
      </c>
      <c r="E234" s="3143" t="str">
        <f ca="1">IFERROR(INDEX(Ink!$A:$AU,MATCH($C234,Ink!$AU:$AU,0),4),"")</f>
        <v/>
      </c>
      <c r="F234" s="3143" t="s">
        <v>3651</v>
      </c>
      <c r="G234" s="3599" t="str">
        <f ca="1">IFERROR(INDEX(Ink!$A:$AU,MATCH($C234,Ink!$AU:$AU,0),9)/'ACC &amp; Other Material '!$E$2*10^3,"")</f>
        <v/>
      </c>
      <c r="H234" s="3599" t="str">
        <f ca="1">IFERROR(INDEX(Ink!$A:$AU,MATCH($C234,Ink!$AU:$AU,0),10)/'ACC &amp; Other Material '!$E$2*10^3,"")</f>
        <v/>
      </c>
      <c r="I234" s="3153" t="str">
        <f ca="1">IFERROR(INDEX(Ink!$A:$AU,MATCH($C234,Ink!$AU:$AU,0),13),"")</f>
        <v/>
      </c>
      <c r="J234" s="3153" t="str">
        <f ca="1">IFERROR(INDEX(Ink!$A:$AU,MATCH($C234,Ink!$AU:$AU,0),13)*(1+Ink!$M$5),"")</f>
        <v/>
      </c>
    </row>
    <row r="235" spans="2:10" ht="21.75">
      <c r="B235" s="3143" t="s">
        <v>213</v>
      </c>
      <c r="C235" s="3143">
        <f t="shared" si="3"/>
        <v>172</v>
      </c>
      <c r="D235" s="3143" t="str">
        <f ca="1">IFERROR(INDEX(Ink!$A:$AU,MATCH($C235,Ink!$AU:$AU,0),1),"")</f>
        <v/>
      </c>
      <c r="E235" s="3143" t="str">
        <f ca="1">IFERROR(INDEX(Ink!$A:$AU,MATCH($C235,Ink!$AU:$AU,0),4),"")</f>
        <v/>
      </c>
      <c r="F235" s="3143" t="s">
        <v>3651</v>
      </c>
      <c r="G235" s="3599" t="str">
        <f ca="1">IFERROR(INDEX(Ink!$A:$AU,MATCH($C235,Ink!$AU:$AU,0),9)/'ACC &amp; Other Material '!$E$2*10^3,"")</f>
        <v/>
      </c>
      <c r="H235" s="3599" t="str">
        <f ca="1">IFERROR(INDEX(Ink!$A:$AU,MATCH($C235,Ink!$AU:$AU,0),10)/'ACC &amp; Other Material '!$E$2*10^3,"")</f>
        <v/>
      </c>
      <c r="I235" s="3153" t="str">
        <f ca="1">IFERROR(INDEX(Ink!$A:$AU,MATCH($C235,Ink!$AU:$AU,0),13),"")</f>
        <v/>
      </c>
      <c r="J235" s="3153" t="str">
        <f ca="1">IFERROR(INDEX(Ink!$A:$AU,MATCH($C235,Ink!$AU:$AU,0),13)*(1+Ink!$M$5),"")</f>
        <v/>
      </c>
    </row>
    <row r="236" spans="2:10" ht="21.75">
      <c r="B236" s="3143" t="s">
        <v>213</v>
      </c>
      <c r="C236" s="3143">
        <f t="shared" si="3"/>
        <v>173</v>
      </c>
      <c r="D236" s="3143" t="str">
        <f ca="1">IFERROR(INDEX(Ink!$A:$AU,MATCH($C236,Ink!$AU:$AU,0),1),"")</f>
        <v/>
      </c>
      <c r="E236" s="3143" t="str">
        <f ca="1">IFERROR(INDEX(Ink!$A:$AU,MATCH($C236,Ink!$AU:$AU,0),4),"")</f>
        <v/>
      </c>
      <c r="F236" s="3143" t="s">
        <v>3651</v>
      </c>
      <c r="G236" s="3599" t="str">
        <f ca="1">IFERROR(INDEX(Ink!$A:$AU,MATCH($C236,Ink!$AU:$AU,0),9)/'ACC &amp; Other Material '!$E$2*10^3,"")</f>
        <v/>
      </c>
      <c r="H236" s="3599" t="str">
        <f ca="1">IFERROR(INDEX(Ink!$A:$AU,MATCH($C236,Ink!$AU:$AU,0),10)/'ACC &amp; Other Material '!$E$2*10^3,"")</f>
        <v/>
      </c>
      <c r="I236" s="3153" t="str">
        <f ca="1">IFERROR(INDEX(Ink!$A:$AU,MATCH($C236,Ink!$AU:$AU,0),13),"")</f>
        <v/>
      </c>
      <c r="J236" s="3153" t="str">
        <f ca="1">IFERROR(INDEX(Ink!$A:$AU,MATCH($C236,Ink!$AU:$AU,0),13)*(1+Ink!$M$5),"")</f>
        <v/>
      </c>
    </row>
    <row r="237" spans="2:10" ht="21.75">
      <c r="B237" s="3143" t="s">
        <v>213</v>
      </c>
      <c r="C237" s="3143">
        <f t="shared" si="3"/>
        <v>174</v>
      </c>
      <c r="D237" s="3143" t="str">
        <f ca="1">IFERROR(INDEX(Ink!$A:$AU,MATCH($C237,Ink!$AU:$AU,0),1),"")</f>
        <v/>
      </c>
      <c r="E237" s="3143" t="str">
        <f ca="1">IFERROR(INDEX(Ink!$A:$AU,MATCH($C237,Ink!$AU:$AU,0),4),"")</f>
        <v/>
      </c>
      <c r="F237" s="3143" t="s">
        <v>3651</v>
      </c>
      <c r="G237" s="3599" t="str">
        <f ca="1">IFERROR(INDEX(Ink!$A:$AU,MATCH($C237,Ink!$AU:$AU,0),9)/'ACC &amp; Other Material '!$E$2*10^3,"")</f>
        <v/>
      </c>
      <c r="H237" s="3599" t="str">
        <f ca="1">IFERROR(INDEX(Ink!$A:$AU,MATCH($C237,Ink!$AU:$AU,0),10)/'ACC &amp; Other Material '!$E$2*10^3,"")</f>
        <v/>
      </c>
      <c r="I237" s="3153" t="str">
        <f ca="1">IFERROR(INDEX(Ink!$A:$AU,MATCH($C237,Ink!$AU:$AU,0),13),"")</f>
        <v/>
      </c>
      <c r="J237" s="3153" t="str">
        <f ca="1">IFERROR(INDEX(Ink!$A:$AU,MATCH($C237,Ink!$AU:$AU,0),13)*(1+Ink!$M$5),"")</f>
        <v/>
      </c>
    </row>
    <row r="238" spans="2:10" ht="21.75">
      <c r="B238" s="3143" t="s">
        <v>213</v>
      </c>
      <c r="C238" s="3143">
        <f t="shared" si="3"/>
        <v>175</v>
      </c>
      <c r="D238" s="3143" t="str">
        <f ca="1">IFERROR(INDEX(Ink!$A:$AU,MATCH($C238,Ink!$AU:$AU,0),1),"")</f>
        <v/>
      </c>
      <c r="E238" s="3143" t="str">
        <f ca="1">IFERROR(INDEX(Ink!$A:$AU,MATCH($C238,Ink!$AU:$AU,0),4),"")</f>
        <v/>
      </c>
      <c r="F238" s="3143" t="s">
        <v>3651</v>
      </c>
      <c r="G238" s="3599" t="str">
        <f ca="1">IFERROR(INDEX(Ink!$A:$AU,MATCH($C238,Ink!$AU:$AU,0),9)/'ACC &amp; Other Material '!$E$2*10^3,"")</f>
        <v/>
      </c>
      <c r="H238" s="3599" t="str">
        <f ca="1">IFERROR(INDEX(Ink!$A:$AU,MATCH($C238,Ink!$AU:$AU,0),10)/'ACC &amp; Other Material '!$E$2*10^3,"")</f>
        <v/>
      </c>
      <c r="I238" s="3153" t="str">
        <f ca="1">IFERROR(INDEX(Ink!$A:$AU,MATCH($C238,Ink!$AU:$AU,0),13),"")</f>
        <v/>
      </c>
      <c r="J238" s="3153" t="str">
        <f ca="1">IFERROR(INDEX(Ink!$A:$AU,MATCH($C238,Ink!$AU:$AU,0),13)*(1+Ink!$M$5),"")</f>
        <v/>
      </c>
    </row>
    <row r="239" spans="2:10" ht="21.75">
      <c r="B239" s="3143" t="s">
        <v>213</v>
      </c>
      <c r="C239" s="3143">
        <f t="shared" si="3"/>
        <v>176</v>
      </c>
      <c r="D239" s="3143" t="str">
        <f ca="1">IFERROR(INDEX(Ink!$A:$AU,MATCH($C239,Ink!$AU:$AU,0),1),"")</f>
        <v/>
      </c>
      <c r="E239" s="3143" t="str">
        <f ca="1">IFERROR(INDEX(Ink!$A:$AU,MATCH($C239,Ink!$AU:$AU,0),4),"")</f>
        <v/>
      </c>
      <c r="F239" s="3143" t="s">
        <v>3651</v>
      </c>
      <c r="G239" s="3599" t="str">
        <f ca="1">IFERROR(INDEX(Ink!$A:$AU,MATCH($C239,Ink!$AU:$AU,0),9)/'ACC &amp; Other Material '!$E$2*10^3,"")</f>
        <v/>
      </c>
      <c r="H239" s="3599" t="str">
        <f ca="1">IFERROR(INDEX(Ink!$A:$AU,MATCH($C239,Ink!$AU:$AU,0),10)/'ACC &amp; Other Material '!$E$2*10^3,"")</f>
        <v/>
      </c>
      <c r="I239" s="3153" t="str">
        <f ca="1">IFERROR(INDEX(Ink!$A:$AU,MATCH($C239,Ink!$AU:$AU,0),13),"")</f>
        <v/>
      </c>
      <c r="J239" s="3153" t="str">
        <f ca="1">IFERROR(INDEX(Ink!$A:$AU,MATCH($C239,Ink!$AU:$AU,0),13)*(1+Ink!$M$5),"")</f>
        <v/>
      </c>
    </row>
    <row r="240" spans="2:10" ht="21.75">
      <c r="B240" s="3143" t="s">
        <v>213</v>
      </c>
      <c r="C240" s="3143">
        <f t="shared" si="3"/>
        <v>177</v>
      </c>
      <c r="D240" s="3143" t="str">
        <f ca="1">IFERROR(INDEX(Ink!$A:$AU,MATCH($C240,Ink!$AU:$AU,0),1),"")</f>
        <v/>
      </c>
      <c r="E240" s="3143" t="str">
        <f ca="1">IFERROR(INDEX(Ink!$A:$AU,MATCH($C240,Ink!$AU:$AU,0),4),"")</f>
        <v/>
      </c>
      <c r="F240" s="3143" t="s">
        <v>3651</v>
      </c>
      <c r="G240" s="3599" t="str">
        <f ca="1">IFERROR(INDEX(Ink!$A:$AU,MATCH($C240,Ink!$AU:$AU,0),9)/'ACC &amp; Other Material '!$E$2*10^3,"")</f>
        <v/>
      </c>
      <c r="H240" s="3599" t="str">
        <f ca="1">IFERROR(INDEX(Ink!$A:$AU,MATCH($C240,Ink!$AU:$AU,0),10)/'ACC &amp; Other Material '!$E$2*10^3,"")</f>
        <v/>
      </c>
      <c r="I240" s="3153" t="str">
        <f ca="1">IFERROR(INDEX(Ink!$A:$AU,MATCH($C240,Ink!$AU:$AU,0),13),"")</f>
        <v/>
      </c>
      <c r="J240" s="3153" t="str">
        <f ca="1">IFERROR(INDEX(Ink!$A:$AU,MATCH($C240,Ink!$AU:$AU,0),13)*(1+Ink!$M$5),"")</f>
        <v/>
      </c>
    </row>
    <row r="241" spans="2:10" ht="21.75">
      <c r="B241" s="3143" t="s">
        <v>213</v>
      </c>
      <c r="C241" s="3143">
        <f t="shared" si="3"/>
        <v>178</v>
      </c>
      <c r="D241" s="3143" t="str">
        <f ca="1">IFERROR(INDEX(Ink!$A:$AU,MATCH($C241,Ink!$AU:$AU,0),1),"")</f>
        <v/>
      </c>
      <c r="E241" s="3143" t="str">
        <f ca="1">IFERROR(INDEX(Ink!$A:$AU,MATCH($C241,Ink!$AU:$AU,0),4),"")</f>
        <v/>
      </c>
      <c r="F241" s="3143" t="s">
        <v>3651</v>
      </c>
      <c r="G241" s="3599" t="str">
        <f ca="1">IFERROR(INDEX(Ink!$A:$AU,MATCH($C241,Ink!$AU:$AU,0),9)/'ACC &amp; Other Material '!$E$2*10^3,"")</f>
        <v/>
      </c>
      <c r="H241" s="3599" t="str">
        <f ca="1">IFERROR(INDEX(Ink!$A:$AU,MATCH($C241,Ink!$AU:$AU,0),10)/'ACC &amp; Other Material '!$E$2*10^3,"")</f>
        <v/>
      </c>
      <c r="I241" s="3153" t="str">
        <f ca="1">IFERROR(INDEX(Ink!$A:$AU,MATCH($C241,Ink!$AU:$AU,0),13),"")</f>
        <v/>
      </c>
      <c r="J241" s="3153" t="str">
        <f ca="1">IFERROR(INDEX(Ink!$A:$AU,MATCH($C241,Ink!$AU:$AU,0),13)*(1+Ink!$M$5),"")</f>
        <v/>
      </c>
    </row>
    <row r="242" spans="2:10" ht="21.75">
      <c r="B242" s="3143" t="s">
        <v>213</v>
      </c>
      <c r="C242" s="3143">
        <f t="shared" si="3"/>
        <v>179</v>
      </c>
      <c r="D242" s="3143" t="str">
        <f ca="1">IFERROR(INDEX(Ink!$A:$AU,MATCH($C242,Ink!$AU:$AU,0),1),"")</f>
        <v/>
      </c>
      <c r="E242" s="3143" t="str">
        <f ca="1">IFERROR(INDEX(Ink!$A:$AU,MATCH($C242,Ink!$AU:$AU,0),4),"")</f>
        <v/>
      </c>
      <c r="F242" s="3143" t="s">
        <v>3651</v>
      </c>
      <c r="G242" s="3599" t="str">
        <f ca="1">IFERROR(INDEX(Ink!$A:$AU,MATCH($C242,Ink!$AU:$AU,0),9)/'ACC &amp; Other Material '!$E$2*10^3,"")</f>
        <v/>
      </c>
      <c r="H242" s="3599" t="str">
        <f ca="1">IFERROR(INDEX(Ink!$A:$AU,MATCH($C242,Ink!$AU:$AU,0),10)/'ACC &amp; Other Material '!$E$2*10^3,"")</f>
        <v/>
      </c>
      <c r="I242" s="3153" t="str">
        <f ca="1">IFERROR(INDEX(Ink!$A:$AU,MATCH($C242,Ink!$AU:$AU,0),13),"")</f>
        <v/>
      </c>
      <c r="J242" s="3153" t="str">
        <f ca="1">IFERROR(INDEX(Ink!$A:$AU,MATCH($C242,Ink!$AU:$AU,0),13)*(1+Ink!$M$5),"")</f>
        <v/>
      </c>
    </row>
    <row r="243" spans="2:10" ht="21.75">
      <c r="B243" s="3143" t="s">
        <v>213</v>
      </c>
      <c r="C243" s="3143">
        <f t="shared" si="3"/>
        <v>180</v>
      </c>
      <c r="D243" s="3143" t="str">
        <f ca="1">IFERROR(INDEX(Ink!$A:$AU,MATCH($C243,Ink!$AU:$AU,0),1),"")</f>
        <v/>
      </c>
      <c r="E243" s="3143" t="str">
        <f ca="1">IFERROR(INDEX(Ink!$A:$AU,MATCH($C243,Ink!$AU:$AU,0),4),"")</f>
        <v/>
      </c>
      <c r="F243" s="3143" t="s">
        <v>3651</v>
      </c>
      <c r="G243" s="3599" t="str">
        <f ca="1">IFERROR(INDEX(Ink!$A:$AU,MATCH($C243,Ink!$AU:$AU,0),9)/'ACC &amp; Other Material '!$E$2*10^3,"")</f>
        <v/>
      </c>
      <c r="H243" s="3599" t="str">
        <f ca="1">IFERROR(INDEX(Ink!$A:$AU,MATCH($C243,Ink!$AU:$AU,0),10)/'ACC &amp; Other Material '!$E$2*10^3,"")</f>
        <v/>
      </c>
      <c r="I243" s="3153" t="str">
        <f ca="1">IFERROR(INDEX(Ink!$A:$AU,MATCH($C243,Ink!$AU:$AU,0),13),"")</f>
        <v/>
      </c>
      <c r="J243" s="3153" t="str">
        <f ca="1">IFERROR(INDEX(Ink!$A:$AU,MATCH($C243,Ink!$AU:$AU,0),13)*(1+Ink!$M$5),"")</f>
        <v/>
      </c>
    </row>
    <row r="244" spans="2:10" ht="21.75">
      <c r="B244" s="3143" t="s">
        <v>213</v>
      </c>
      <c r="C244" s="3143">
        <f t="shared" si="3"/>
        <v>181</v>
      </c>
      <c r="D244" s="3143" t="str">
        <f ca="1">IFERROR(INDEX(Ink!$A:$AU,MATCH($C244,Ink!$AU:$AU,0),1),"")</f>
        <v/>
      </c>
      <c r="E244" s="3143" t="str">
        <f ca="1">IFERROR(INDEX(Ink!$A:$AU,MATCH($C244,Ink!$AU:$AU,0),4),"")</f>
        <v/>
      </c>
      <c r="F244" s="3143" t="s">
        <v>3651</v>
      </c>
      <c r="G244" s="3599" t="str">
        <f ca="1">IFERROR(INDEX(Ink!$A:$AU,MATCH($C244,Ink!$AU:$AU,0),9)/'ACC &amp; Other Material '!$E$2*10^3,"")</f>
        <v/>
      </c>
      <c r="H244" s="3599" t="str">
        <f ca="1">IFERROR(INDEX(Ink!$A:$AU,MATCH($C244,Ink!$AU:$AU,0),10)/'ACC &amp; Other Material '!$E$2*10^3,"")</f>
        <v/>
      </c>
      <c r="I244" s="3153" t="str">
        <f ca="1">IFERROR(INDEX(Ink!$A:$AU,MATCH($C244,Ink!$AU:$AU,0),13),"")</f>
        <v/>
      </c>
      <c r="J244" s="3153" t="str">
        <f ca="1">IFERROR(INDEX(Ink!$A:$AU,MATCH($C244,Ink!$AU:$AU,0),13)*(1+Ink!$M$5),"")</f>
        <v/>
      </c>
    </row>
    <row r="245" spans="2:10" ht="21.75">
      <c r="B245" s="3143" t="s">
        <v>213</v>
      </c>
      <c r="C245" s="3143">
        <f t="shared" si="3"/>
        <v>182</v>
      </c>
      <c r="D245" s="3143" t="str">
        <f ca="1">IFERROR(INDEX(Ink!$A:$AU,MATCH($C245,Ink!$AU:$AU,0),1),"")</f>
        <v/>
      </c>
      <c r="E245" s="3143" t="str">
        <f ca="1">IFERROR(INDEX(Ink!$A:$AU,MATCH($C245,Ink!$AU:$AU,0),4),"")</f>
        <v/>
      </c>
      <c r="F245" s="3143" t="s">
        <v>3651</v>
      </c>
      <c r="G245" s="3599" t="str">
        <f ca="1">IFERROR(INDEX(Ink!$A:$AU,MATCH($C245,Ink!$AU:$AU,0),9)/'ACC &amp; Other Material '!$E$2*10^3,"")</f>
        <v/>
      </c>
      <c r="H245" s="3599" t="str">
        <f ca="1">IFERROR(INDEX(Ink!$A:$AU,MATCH($C245,Ink!$AU:$AU,0),10)/'ACC &amp; Other Material '!$E$2*10^3,"")</f>
        <v/>
      </c>
      <c r="I245" s="3153" t="str">
        <f ca="1">IFERROR(INDEX(Ink!$A:$AU,MATCH($C245,Ink!$AU:$AU,0),13),"")</f>
        <v/>
      </c>
      <c r="J245" s="3153" t="str">
        <f ca="1">IFERROR(INDEX(Ink!$A:$AU,MATCH($C245,Ink!$AU:$AU,0),13)*(1+Ink!$M$5),"")</f>
        <v/>
      </c>
    </row>
    <row r="247" spans="2:10" ht="21.75">
      <c r="B247" s="3143" t="s">
        <v>1610</v>
      </c>
      <c r="C247" s="3143">
        <v>1</v>
      </c>
      <c r="D247" s="3143" t="str">
        <f ca="1">IFERROR(INDEX(Coating!$A:$AU,MATCH($C247,Coating!$AU:$AU,0),1),"")</f>
        <v>Box</v>
      </c>
      <c r="E247" s="3143" t="str">
        <f ca="1">IFERROR(INDEX(Coating!$A:$AU,MATCH($C247,Coating!$AU:$AU,0),4),"")</f>
        <v>OPV-CX0186 Water base</v>
      </c>
      <c r="F247" s="3143" t="s">
        <v>3651</v>
      </c>
      <c r="G247" s="3599">
        <f ca="1">IFERROR(INDEX(Coating!$A:$AU,MATCH($C247,Coating!$AU:$AU,0),10)/'ACC &amp; Other Material '!$E$2*10^3,"")</f>
        <v>0.64</v>
      </c>
      <c r="H247" s="3599">
        <f ca="1">IFERROR(INDEX(Coating!$A:$AU,MATCH($C247,Coating!$AU:$AU,0),11)/'ACC &amp; Other Material '!$E$2*10^3,"")</f>
        <v>0.2</v>
      </c>
      <c r="I247" s="3153">
        <f ca="1">IFERROR(INDEX(Coating!$A:$AU,MATCH($C247,Coating!$AU:$AU,0),14),"")</f>
        <v>73.92</v>
      </c>
      <c r="J247" s="3153">
        <f ca="1">IFERROR(INDEX(Coating!$A:$AU,MATCH($C247,Coating!$AU:$AU,0),14)*(1+Coating!$N$4),"")</f>
        <v>73.92</v>
      </c>
    </row>
    <row r="248" spans="2:10" ht="21.75">
      <c r="B248" s="3143" t="s">
        <v>1610</v>
      </c>
      <c r="C248" s="3143">
        <f>C247+1</f>
        <v>2</v>
      </c>
      <c r="D248" s="3143" t="str">
        <f ca="1">IFERROR(INDEX(Coating!$A:$AU,MATCH($C248,Coating!$AU:$AU,0),1),"")</f>
        <v/>
      </c>
      <c r="E248" s="3143" t="str">
        <f ca="1">IFERROR(INDEX(Coating!$A:$AU,MATCH($C248,Coating!$AU:$AU,0),4),"")</f>
        <v/>
      </c>
      <c r="F248" s="3143" t="s">
        <v>3651</v>
      </c>
      <c r="G248" s="3599" t="str">
        <f ca="1">IFERROR(INDEX(Coating!$A:$AU,MATCH($C248,Coating!$AU:$AU,0),10)/'ACC &amp; Other Material '!$E$2*10^3,"")</f>
        <v/>
      </c>
      <c r="H248" s="3599" t="str">
        <f ca="1">IFERROR(INDEX(Coating!$A:$AU,MATCH($C248,Coating!$AU:$AU,0),11)/'ACC &amp; Other Material '!$E$2*10^3,"")</f>
        <v/>
      </c>
      <c r="I248" s="3153" t="str">
        <f ca="1">IFERROR(INDEX(Coating!$A:$AU,MATCH($C248,Coating!$AU:$AU,0),14),"")</f>
        <v/>
      </c>
      <c r="J248" s="3153" t="str">
        <f ca="1">IFERROR(INDEX(Coating!$A:$AU,MATCH($C248,Coating!$AU:$AU,0),14)*(1+Coating!$N$4),"")</f>
        <v/>
      </c>
    </row>
    <row r="249" spans="2:10" ht="21.75">
      <c r="B249" s="3143" t="s">
        <v>1610</v>
      </c>
      <c r="C249" s="3143">
        <f t="shared" ref="C249:C312" si="4">C248+1</f>
        <v>3</v>
      </c>
      <c r="D249" s="3143" t="str">
        <f ca="1">IFERROR(INDEX(Coating!$A:$AU,MATCH($C249,Coating!$AU:$AU,0),1),"")</f>
        <v/>
      </c>
      <c r="E249" s="3143" t="str">
        <f ca="1">IFERROR(INDEX(Coating!$A:$AU,MATCH($C249,Coating!$AU:$AU,0),4),"")</f>
        <v/>
      </c>
      <c r="F249" s="3143" t="s">
        <v>3651</v>
      </c>
      <c r="G249" s="3599" t="str">
        <f ca="1">IFERROR(INDEX(Coating!$A:$AU,MATCH($C249,Coating!$AU:$AU,0),10)/'ACC &amp; Other Material '!$E$2*10^3,"")</f>
        <v/>
      </c>
      <c r="H249" s="3599" t="str">
        <f ca="1">IFERROR(INDEX(Coating!$A:$AU,MATCH($C249,Coating!$AU:$AU,0),11)/'ACC &amp; Other Material '!$E$2*10^3,"")</f>
        <v/>
      </c>
      <c r="I249" s="3153" t="str">
        <f ca="1">IFERROR(INDEX(Coating!$A:$AU,MATCH($C249,Coating!$AU:$AU,0),14),"")</f>
        <v/>
      </c>
      <c r="J249" s="3153" t="str">
        <f ca="1">IFERROR(INDEX(Coating!$A:$AU,MATCH($C249,Coating!$AU:$AU,0),14)*(1+Coating!$N$4),"")</f>
        <v/>
      </c>
    </row>
    <row r="250" spans="2:10" ht="21.75">
      <c r="B250" s="3143" t="s">
        <v>1610</v>
      </c>
      <c r="C250" s="3143">
        <f t="shared" si="4"/>
        <v>4</v>
      </c>
      <c r="D250" s="3143" t="str">
        <f ca="1">IFERROR(INDEX(Coating!$A:$AU,MATCH($C250,Coating!$AU:$AU,0),1),"")</f>
        <v/>
      </c>
      <c r="E250" s="3143" t="str">
        <f ca="1">IFERROR(INDEX(Coating!$A:$AU,MATCH($C250,Coating!$AU:$AU,0),4),"")</f>
        <v/>
      </c>
      <c r="F250" s="3143" t="s">
        <v>3651</v>
      </c>
      <c r="G250" s="3599" t="str">
        <f ca="1">IFERROR(INDEX(Coating!$A:$AU,MATCH($C250,Coating!$AU:$AU,0),10)/'ACC &amp; Other Material '!$E$2*10^3,"")</f>
        <v/>
      </c>
      <c r="H250" s="3599" t="str">
        <f ca="1">IFERROR(INDEX(Coating!$A:$AU,MATCH($C250,Coating!$AU:$AU,0),11)/'ACC &amp; Other Material '!$E$2*10^3,"")</f>
        <v/>
      </c>
      <c r="I250" s="3153" t="str">
        <f ca="1">IFERROR(INDEX(Coating!$A:$AU,MATCH($C250,Coating!$AU:$AU,0),14),"")</f>
        <v/>
      </c>
      <c r="J250" s="3153" t="str">
        <f ca="1">IFERROR(INDEX(Coating!$A:$AU,MATCH($C250,Coating!$AU:$AU,0),14)*(1+Coating!$N$4),"")</f>
        <v/>
      </c>
    </row>
    <row r="251" spans="2:10" ht="21.75">
      <c r="B251" s="3143" t="s">
        <v>1610</v>
      </c>
      <c r="C251" s="3143">
        <f t="shared" si="4"/>
        <v>5</v>
      </c>
      <c r="D251" s="3143" t="str">
        <f ca="1">IFERROR(INDEX(Coating!$A:$AU,MATCH($C251,Coating!$AU:$AU,0),1),"")</f>
        <v/>
      </c>
      <c r="E251" s="3143" t="str">
        <f ca="1">IFERROR(INDEX(Coating!$A:$AU,MATCH($C251,Coating!$AU:$AU,0),4),"")</f>
        <v/>
      </c>
      <c r="F251" s="3143" t="s">
        <v>3651</v>
      </c>
      <c r="G251" s="3599" t="str">
        <f ca="1">IFERROR(INDEX(Coating!$A:$AU,MATCH($C251,Coating!$AU:$AU,0),10)/'ACC &amp; Other Material '!$E$2*10^3,"")</f>
        <v/>
      </c>
      <c r="H251" s="3599" t="str">
        <f ca="1">IFERROR(INDEX(Coating!$A:$AU,MATCH($C251,Coating!$AU:$AU,0),11)/'ACC &amp; Other Material '!$E$2*10^3,"")</f>
        <v/>
      </c>
      <c r="I251" s="3153" t="str">
        <f ca="1">IFERROR(INDEX(Coating!$A:$AU,MATCH($C251,Coating!$AU:$AU,0),14),"")</f>
        <v/>
      </c>
      <c r="J251" s="3153" t="str">
        <f ca="1">IFERROR(INDEX(Coating!$A:$AU,MATCH($C251,Coating!$AU:$AU,0),14)*(1+Coating!$N$4),"")</f>
        <v/>
      </c>
    </row>
    <row r="252" spans="2:10" ht="21.75">
      <c r="B252" s="3143" t="s">
        <v>1610</v>
      </c>
      <c r="C252" s="3143">
        <f t="shared" si="4"/>
        <v>6</v>
      </c>
      <c r="D252" s="3143" t="str">
        <f ca="1">IFERROR(INDEX(Coating!$A:$AU,MATCH($C252,Coating!$AU:$AU,0),1),"")</f>
        <v/>
      </c>
      <c r="E252" s="3143" t="str">
        <f ca="1">IFERROR(INDEX(Coating!$A:$AU,MATCH($C252,Coating!$AU:$AU,0),4),"")</f>
        <v/>
      </c>
      <c r="F252" s="3143" t="s">
        <v>3651</v>
      </c>
      <c r="G252" s="3599" t="str">
        <f ca="1">IFERROR(INDEX(Coating!$A:$AU,MATCH($C252,Coating!$AU:$AU,0),10)/'ACC &amp; Other Material '!$E$2*10^3,"")</f>
        <v/>
      </c>
      <c r="H252" s="3599" t="str">
        <f ca="1">IFERROR(INDEX(Coating!$A:$AU,MATCH($C252,Coating!$AU:$AU,0),11)/'ACC &amp; Other Material '!$E$2*10^3,"")</f>
        <v/>
      </c>
      <c r="I252" s="3153" t="str">
        <f ca="1">IFERROR(INDEX(Coating!$A:$AU,MATCH($C252,Coating!$AU:$AU,0),14),"")</f>
        <v/>
      </c>
      <c r="J252" s="3153" t="str">
        <f ca="1">IFERROR(INDEX(Coating!$A:$AU,MATCH($C252,Coating!$AU:$AU,0),14)*(1+Coating!$N$4),"")</f>
        <v/>
      </c>
    </row>
    <row r="253" spans="2:10" ht="21.75">
      <c r="B253" s="3143" t="s">
        <v>1610</v>
      </c>
      <c r="C253" s="3143">
        <f t="shared" si="4"/>
        <v>7</v>
      </c>
      <c r="D253" s="3143" t="str">
        <f ca="1">IFERROR(INDEX(Coating!$A:$AU,MATCH($C253,Coating!$AU:$AU,0),1),"")</f>
        <v/>
      </c>
      <c r="E253" s="3143" t="str">
        <f ca="1">IFERROR(INDEX(Coating!$A:$AU,MATCH($C253,Coating!$AU:$AU,0),4),"")</f>
        <v/>
      </c>
      <c r="F253" s="3143" t="s">
        <v>3651</v>
      </c>
      <c r="G253" s="3599" t="str">
        <f ca="1">IFERROR(INDEX(Coating!$A:$AU,MATCH($C253,Coating!$AU:$AU,0),10)/'ACC &amp; Other Material '!$E$2*10^3,"")</f>
        <v/>
      </c>
      <c r="H253" s="3599" t="str">
        <f ca="1">IFERROR(INDEX(Coating!$A:$AU,MATCH($C253,Coating!$AU:$AU,0),11)/'ACC &amp; Other Material '!$E$2*10^3,"")</f>
        <v/>
      </c>
      <c r="I253" s="3153" t="str">
        <f ca="1">IFERROR(INDEX(Coating!$A:$AU,MATCH($C253,Coating!$AU:$AU,0),14),"")</f>
        <v/>
      </c>
      <c r="J253" s="3153" t="str">
        <f ca="1">IFERROR(INDEX(Coating!$A:$AU,MATCH($C253,Coating!$AU:$AU,0),14)*(1+Coating!$N$4),"")</f>
        <v/>
      </c>
    </row>
    <row r="254" spans="2:10" ht="21.75">
      <c r="B254" s="3143" t="s">
        <v>1610</v>
      </c>
      <c r="C254" s="3143">
        <f t="shared" si="4"/>
        <v>8</v>
      </c>
      <c r="D254" s="3143" t="str">
        <f ca="1">IFERROR(INDEX(Coating!$A:$AU,MATCH($C254,Coating!$AU:$AU,0),1),"")</f>
        <v/>
      </c>
      <c r="E254" s="3143" t="str">
        <f ca="1">IFERROR(INDEX(Coating!$A:$AU,MATCH($C254,Coating!$AU:$AU,0),4),"")</f>
        <v/>
      </c>
      <c r="F254" s="3143" t="s">
        <v>3651</v>
      </c>
      <c r="G254" s="3599" t="str">
        <f ca="1">IFERROR(INDEX(Coating!$A:$AU,MATCH($C254,Coating!$AU:$AU,0),10)/'ACC &amp; Other Material '!$E$2*10^3,"")</f>
        <v/>
      </c>
      <c r="H254" s="3599" t="str">
        <f ca="1">IFERROR(INDEX(Coating!$A:$AU,MATCH($C254,Coating!$AU:$AU,0),11)/'ACC &amp; Other Material '!$E$2*10^3,"")</f>
        <v/>
      </c>
      <c r="I254" s="3153" t="str">
        <f ca="1">IFERROR(INDEX(Coating!$A:$AU,MATCH($C254,Coating!$AU:$AU,0),14),"")</f>
        <v/>
      </c>
      <c r="J254" s="3153" t="str">
        <f ca="1">IFERROR(INDEX(Coating!$A:$AU,MATCH($C254,Coating!$AU:$AU,0),14)*(1+Coating!$N$4),"")</f>
        <v/>
      </c>
    </row>
    <row r="255" spans="2:10" ht="21.75">
      <c r="B255" s="3143" t="s">
        <v>1610</v>
      </c>
      <c r="C255" s="3143">
        <f t="shared" si="4"/>
        <v>9</v>
      </c>
      <c r="D255" s="3143" t="str">
        <f ca="1">IFERROR(INDEX(Coating!$A:$AU,MATCH($C255,Coating!$AU:$AU,0),1),"")</f>
        <v/>
      </c>
      <c r="E255" s="3143" t="str">
        <f ca="1">IFERROR(INDEX(Coating!$A:$AU,MATCH($C255,Coating!$AU:$AU,0),4),"")</f>
        <v/>
      </c>
      <c r="F255" s="3143" t="s">
        <v>3651</v>
      </c>
      <c r="G255" s="3599" t="str">
        <f ca="1">IFERROR(INDEX(Coating!$A:$AU,MATCH($C255,Coating!$AU:$AU,0),10)/'ACC &amp; Other Material '!$E$2*10^3,"")</f>
        <v/>
      </c>
      <c r="H255" s="3599" t="str">
        <f ca="1">IFERROR(INDEX(Coating!$A:$AU,MATCH($C255,Coating!$AU:$AU,0),11)/'ACC &amp; Other Material '!$E$2*10^3,"")</f>
        <v/>
      </c>
      <c r="I255" s="3153" t="str">
        <f ca="1">IFERROR(INDEX(Coating!$A:$AU,MATCH($C255,Coating!$AU:$AU,0),14),"")</f>
        <v/>
      </c>
      <c r="J255" s="3153" t="str">
        <f ca="1">IFERROR(INDEX(Coating!$A:$AU,MATCH($C255,Coating!$AU:$AU,0),14)*(1+Coating!$N$4),"")</f>
        <v/>
      </c>
    </row>
    <row r="256" spans="2:10" ht="21.75">
      <c r="B256" s="3143" t="s">
        <v>1610</v>
      </c>
      <c r="C256" s="3143">
        <f t="shared" si="4"/>
        <v>10</v>
      </c>
      <c r="D256" s="3143" t="str">
        <f ca="1">IFERROR(INDEX(Coating!$A:$AU,MATCH($C256,Coating!$AU:$AU,0),1),"")</f>
        <v/>
      </c>
      <c r="E256" s="3143" t="str">
        <f ca="1">IFERROR(INDEX(Coating!$A:$AU,MATCH($C256,Coating!$AU:$AU,0),4),"")</f>
        <v/>
      </c>
      <c r="F256" s="3143" t="s">
        <v>3651</v>
      </c>
      <c r="G256" s="3599" t="str">
        <f ca="1">IFERROR(INDEX(Coating!$A:$AU,MATCH($C256,Coating!$AU:$AU,0),10)/'ACC &amp; Other Material '!$E$2*10^3,"")</f>
        <v/>
      </c>
      <c r="H256" s="3599" t="str">
        <f ca="1">IFERROR(INDEX(Coating!$A:$AU,MATCH($C256,Coating!$AU:$AU,0),11)/'ACC &amp; Other Material '!$E$2*10^3,"")</f>
        <v/>
      </c>
      <c r="I256" s="3153" t="str">
        <f ca="1">IFERROR(INDEX(Coating!$A:$AU,MATCH($C256,Coating!$AU:$AU,0),14),"")</f>
        <v/>
      </c>
      <c r="J256" s="3153" t="str">
        <f ca="1">IFERROR(INDEX(Coating!$A:$AU,MATCH($C256,Coating!$AU:$AU,0),14)*(1+Coating!$N$4),"")</f>
        <v/>
      </c>
    </row>
    <row r="257" spans="2:10" ht="21.75">
      <c r="B257" s="3143" t="s">
        <v>1610</v>
      </c>
      <c r="C257" s="3143">
        <f t="shared" si="4"/>
        <v>11</v>
      </c>
      <c r="D257" s="3143" t="str">
        <f ca="1">IFERROR(INDEX(Coating!$A:$AU,MATCH($C257,Coating!$AU:$AU,0),1),"")</f>
        <v/>
      </c>
      <c r="E257" s="3143" t="str">
        <f ca="1">IFERROR(INDEX(Coating!$A:$AU,MATCH($C257,Coating!$AU:$AU,0),4),"")</f>
        <v/>
      </c>
      <c r="F257" s="3143" t="s">
        <v>3651</v>
      </c>
      <c r="G257" s="3599" t="str">
        <f ca="1">IFERROR(INDEX(Coating!$A:$AU,MATCH($C257,Coating!$AU:$AU,0),10)/'ACC &amp; Other Material '!$E$2*10^3,"")</f>
        <v/>
      </c>
      <c r="H257" s="3599" t="str">
        <f ca="1">IFERROR(INDEX(Coating!$A:$AU,MATCH($C257,Coating!$AU:$AU,0),11)/'ACC &amp; Other Material '!$E$2*10^3,"")</f>
        <v/>
      </c>
      <c r="I257" s="3153" t="str">
        <f ca="1">IFERROR(INDEX(Coating!$A:$AU,MATCH($C257,Coating!$AU:$AU,0),14),"")</f>
        <v/>
      </c>
      <c r="J257" s="3153" t="str">
        <f ca="1">IFERROR(INDEX(Coating!$A:$AU,MATCH($C257,Coating!$AU:$AU,0),14)*(1+Coating!$N$4),"")</f>
        <v/>
      </c>
    </row>
    <row r="258" spans="2:10" ht="21.75">
      <c r="B258" s="3143" t="s">
        <v>1610</v>
      </c>
      <c r="C258" s="3143">
        <f t="shared" si="4"/>
        <v>12</v>
      </c>
      <c r="D258" s="3143" t="str">
        <f ca="1">IFERROR(INDEX(Coating!$A:$AU,MATCH($C258,Coating!$AU:$AU,0),1),"")</f>
        <v/>
      </c>
      <c r="E258" s="3143" t="str">
        <f ca="1">IFERROR(INDEX(Coating!$A:$AU,MATCH($C258,Coating!$AU:$AU,0),4),"")</f>
        <v/>
      </c>
      <c r="F258" s="3143" t="s">
        <v>3651</v>
      </c>
      <c r="G258" s="3599" t="str">
        <f ca="1">IFERROR(INDEX(Coating!$A:$AU,MATCH($C258,Coating!$AU:$AU,0),10)/'ACC &amp; Other Material '!$E$2*10^3,"")</f>
        <v/>
      </c>
      <c r="H258" s="3599" t="str">
        <f ca="1">IFERROR(INDEX(Coating!$A:$AU,MATCH($C258,Coating!$AU:$AU,0),11)/'ACC &amp; Other Material '!$E$2*10^3,"")</f>
        <v/>
      </c>
      <c r="I258" s="3153" t="str">
        <f ca="1">IFERROR(INDEX(Coating!$A:$AU,MATCH($C258,Coating!$AU:$AU,0),14),"")</f>
        <v/>
      </c>
      <c r="J258" s="3153" t="str">
        <f ca="1">IFERROR(INDEX(Coating!$A:$AU,MATCH($C258,Coating!$AU:$AU,0),14)*(1+Coating!$N$4),"")</f>
        <v/>
      </c>
    </row>
    <row r="259" spans="2:10" ht="21.75">
      <c r="B259" s="3143" t="s">
        <v>1610</v>
      </c>
      <c r="C259" s="3143">
        <f t="shared" si="4"/>
        <v>13</v>
      </c>
      <c r="D259" s="3143" t="str">
        <f ca="1">IFERROR(INDEX(Coating!$A:$AU,MATCH($C259,Coating!$AU:$AU,0),1),"")</f>
        <v/>
      </c>
      <c r="E259" s="3143" t="str">
        <f ca="1">IFERROR(INDEX(Coating!$A:$AU,MATCH($C259,Coating!$AU:$AU,0),4),"")</f>
        <v/>
      </c>
      <c r="F259" s="3143" t="s">
        <v>3651</v>
      </c>
      <c r="G259" s="3599" t="str">
        <f ca="1">IFERROR(INDEX(Coating!$A:$AU,MATCH($C259,Coating!$AU:$AU,0),10)/'ACC &amp; Other Material '!$E$2*10^3,"")</f>
        <v/>
      </c>
      <c r="H259" s="3599" t="str">
        <f ca="1">IFERROR(INDEX(Coating!$A:$AU,MATCH($C259,Coating!$AU:$AU,0),11)/'ACC &amp; Other Material '!$E$2*10^3,"")</f>
        <v/>
      </c>
      <c r="I259" s="3153" t="str">
        <f ca="1">IFERROR(INDEX(Coating!$A:$AU,MATCH($C259,Coating!$AU:$AU,0),14),"")</f>
        <v/>
      </c>
      <c r="J259" s="3153" t="str">
        <f ca="1">IFERROR(INDEX(Coating!$A:$AU,MATCH($C259,Coating!$AU:$AU,0),14)*(1+Coating!$N$4),"")</f>
        <v/>
      </c>
    </row>
    <row r="260" spans="2:10" ht="21.75">
      <c r="B260" s="3143" t="s">
        <v>1610</v>
      </c>
      <c r="C260" s="3143">
        <f t="shared" si="4"/>
        <v>14</v>
      </c>
      <c r="D260" s="3143" t="str">
        <f ca="1">IFERROR(INDEX(Coating!$A:$AU,MATCH($C260,Coating!$AU:$AU,0),1),"")</f>
        <v/>
      </c>
      <c r="E260" s="3143" t="str">
        <f ca="1">IFERROR(INDEX(Coating!$A:$AU,MATCH($C260,Coating!$AU:$AU,0),4),"")</f>
        <v/>
      </c>
      <c r="F260" s="3143" t="s">
        <v>3651</v>
      </c>
      <c r="G260" s="3599" t="str">
        <f ca="1">IFERROR(INDEX(Coating!$A:$AU,MATCH($C260,Coating!$AU:$AU,0),10)/'ACC &amp; Other Material '!$E$2*10^3,"")</f>
        <v/>
      </c>
      <c r="H260" s="3599" t="str">
        <f ca="1">IFERROR(INDEX(Coating!$A:$AU,MATCH($C260,Coating!$AU:$AU,0),11)/'ACC &amp; Other Material '!$E$2*10^3,"")</f>
        <v/>
      </c>
      <c r="I260" s="3153" t="str">
        <f ca="1">IFERROR(INDEX(Coating!$A:$AU,MATCH($C260,Coating!$AU:$AU,0),14),"")</f>
        <v/>
      </c>
      <c r="J260" s="3153" t="str">
        <f ca="1">IFERROR(INDEX(Coating!$A:$AU,MATCH($C260,Coating!$AU:$AU,0),14)*(1+Coating!$N$4),"")</f>
        <v/>
      </c>
    </row>
    <row r="261" spans="2:10" ht="21.75">
      <c r="B261" s="3143" t="s">
        <v>1610</v>
      </c>
      <c r="C261" s="3143">
        <f t="shared" si="4"/>
        <v>15</v>
      </c>
      <c r="D261" s="3143" t="str">
        <f ca="1">IFERROR(INDEX(Coating!$A:$AU,MATCH($C261,Coating!$AU:$AU,0),1),"")</f>
        <v/>
      </c>
      <c r="E261" s="3143" t="str">
        <f ca="1">IFERROR(INDEX(Coating!$A:$AU,MATCH($C261,Coating!$AU:$AU,0),4),"")</f>
        <v/>
      </c>
      <c r="F261" s="3143" t="s">
        <v>3651</v>
      </c>
      <c r="G261" s="3599" t="str">
        <f ca="1">IFERROR(INDEX(Coating!$A:$AU,MATCH($C261,Coating!$AU:$AU,0),10)/'ACC &amp; Other Material '!$E$2*10^3,"")</f>
        <v/>
      </c>
      <c r="H261" s="3599" t="str">
        <f ca="1">IFERROR(INDEX(Coating!$A:$AU,MATCH($C261,Coating!$AU:$AU,0),11)/'ACC &amp; Other Material '!$E$2*10^3,"")</f>
        <v/>
      </c>
      <c r="I261" s="3153" t="str">
        <f ca="1">IFERROR(INDEX(Coating!$A:$AU,MATCH($C261,Coating!$AU:$AU,0),14),"")</f>
        <v/>
      </c>
      <c r="J261" s="3153" t="str">
        <f ca="1">IFERROR(INDEX(Coating!$A:$AU,MATCH($C261,Coating!$AU:$AU,0),14)*(1+Coating!$N$4),"")</f>
        <v/>
      </c>
    </row>
    <row r="262" spans="2:10" ht="21.75">
      <c r="B262" s="3143" t="s">
        <v>1610</v>
      </c>
      <c r="C262" s="3143">
        <f t="shared" si="4"/>
        <v>16</v>
      </c>
      <c r="D262" s="3143" t="str">
        <f ca="1">IFERROR(INDEX(Coating!$A:$AU,MATCH($C262,Coating!$AU:$AU,0),1),"")</f>
        <v/>
      </c>
      <c r="E262" s="3143" t="str">
        <f ca="1">IFERROR(INDEX(Coating!$A:$AU,MATCH($C262,Coating!$AU:$AU,0),4),"")</f>
        <v/>
      </c>
      <c r="F262" s="3143" t="s">
        <v>3651</v>
      </c>
      <c r="G262" s="3599" t="str">
        <f ca="1">IFERROR(INDEX(Coating!$A:$AU,MATCH($C262,Coating!$AU:$AU,0),10)/'ACC &amp; Other Material '!$E$2*10^3,"")</f>
        <v/>
      </c>
      <c r="H262" s="3599" t="str">
        <f ca="1">IFERROR(INDEX(Coating!$A:$AU,MATCH($C262,Coating!$AU:$AU,0),11)/'ACC &amp; Other Material '!$E$2*10^3,"")</f>
        <v/>
      </c>
      <c r="I262" s="3153" t="str">
        <f ca="1">IFERROR(INDEX(Coating!$A:$AU,MATCH($C262,Coating!$AU:$AU,0),14),"")</f>
        <v/>
      </c>
      <c r="J262" s="3153" t="str">
        <f ca="1">IFERROR(INDEX(Coating!$A:$AU,MATCH($C262,Coating!$AU:$AU,0),14)*(1+Coating!$N$4),"")</f>
        <v/>
      </c>
    </row>
    <row r="263" spans="2:10" ht="21.75">
      <c r="B263" s="3143" t="s">
        <v>1610</v>
      </c>
      <c r="C263" s="3143">
        <f t="shared" si="4"/>
        <v>17</v>
      </c>
      <c r="D263" s="3143" t="str">
        <f ca="1">IFERROR(INDEX(Coating!$A:$AU,MATCH($C263,Coating!$AU:$AU,0),1),"")</f>
        <v/>
      </c>
      <c r="E263" s="3143" t="str">
        <f ca="1">IFERROR(INDEX(Coating!$A:$AU,MATCH($C263,Coating!$AU:$AU,0),4),"")</f>
        <v/>
      </c>
      <c r="F263" s="3143" t="s">
        <v>3651</v>
      </c>
      <c r="G263" s="3599" t="str">
        <f ca="1">IFERROR(INDEX(Coating!$A:$AU,MATCH($C263,Coating!$AU:$AU,0),10)/'ACC &amp; Other Material '!$E$2*10^3,"")</f>
        <v/>
      </c>
      <c r="H263" s="3599" t="str">
        <f ca="1">IFERROR(INDEX(Coating!$A:$AU,MATCH($C263,Coating!$AU:$AU,0),11)/'ACC &amp; Other Material '!$E$2*10^3,"")</f>
        <v/>
      </c>
      <c r="I263" s="3153" t="str">
        <f ca="1">IFERROR(INDEX(Coating!$A:$AU,MATCH($C263,Coating!$AU:$AU,0),14),"")</f>
        <v/>
      </c>
      <c r="J263" s="3153" t="str">
        <f ca="1">IFERROR(INDEX(Coating!$A:$AU,MATCH($C263,Coating!$AU:$AU,0),14)*(1+Coating!$N$4),"")</f>
        <v/>
      </c>
    </row>
    <row r="264" spans="2:10" ht="21.75">
      <c r="B264" s="3143" t="s">
        <v>1610</v>
      </c>
      <c r="C264" s="3143">
        <f t="shared" si="4"/>
        <v>18</v>
      </c>
      <c r="D264" s="3143" t="str">
        <f ca="1">IFERROR(INDEX(Coating!$A:$AU,MATCH($C264,Coating!$AU:$AU,0),1),"")</f>
        <v/>
      </c>
      <c r="E264" s="3143" t="str">
        <f ca="1">IFERROR(INDEX(Coating!$A:$AU,MATCH($C264,Coating!$AU:$AU,0),4),"")</f>
        <v/>
      </c>
      <c r="F264" s="3143" t="s">
        <v>3651</v>
      </c>
      <c r="G264" s="3599" t="str">
        <f ca="1">IFERROR(INDEX(Coating!$A:$AU,MATCH($C264,Coating!$AU:$AU,0),10)/'ACC &amp; Other Material '!$E$2*10^3,"")</f>
        <v/>
      </c>
      <c r="H264" s="3599" t="str">
        <f ca="1">IFERROR(INDEX(Coating!$A:$AU,MATCH($C264,Coating!$AU:$AU,0),11)/'ACC &amp; Other Material '!$E$2*10^3,"")</f>
        <v/>
      </c>
      <c r="I264" s="3153" t="str">
        <f ca="1">IFERROR(INDEX(Coating!$A:$AU,MATCH($C264,Coating!$AU:$AU,0),14),"")</f>
        <v/>
      </c>
      <c r="J264" s="3153" t="str">
        <f ca="1">IFERROR(INDEX(Coating!$A:$AU,MATCH($C264,Coating!$AU:$AU,0),14)*(1+Coating!$N$4),"")</f>
        <v/>
      </c>
    </row>
    <row r="265" spans="2:10" ht="21.75">
      <c r="B265" s="3143" t="s">
        <v>1610</v>
      </c>
      <c r="C265" s="3143">
        <f t="shared" si="4"/>
        <v>19</v>
      </c>
      <c r="D265" s="3143" t="str">
        <f ca="1">IFERROR(INDEX(Coating!$A:$AU,MATCH($C265,Coating!$AU:$AU,0),1),"")</f>
        <v/>
      </c>
      <c r="E265" s="3143" t="str">
        <f ca="1">IFERROR(INDEX(Coating!$A:$AU,MATCH($C265,Coating!$AU:$AU,0),4),"")</f>
        <v/>
      </c>
      <c r="F265" s="3143" t="s">
        <v>3651</v>
      </c>
      <c r="G265" s="3599" t="str">
        <f ca="1">IFERROR(INDEX(Coating!$A:$AU,MATCH($C265,Coating!$AU:$AU,0),10)/'ACC &amp; Other Material '!$E$2*10^3,"")</f>
        <v/>
      </c>
      <c r="H265" s="3599" t="str">
        <f ca="1">IFERROR(INDEX(Coating!$A:$AU,MATCH($C265,Coating!$AU:$AU,0),11)/'ACC &amp; Other Material '!$E$2*10^3,"")</f>
        <v/>
      </c>
      <c r="I265" s="3153" t="str">
        <f ca="1">IFERROR(INDEX(Coating!$A:$AU,MATCH($C265,Coating!$AU:$AU,0),14),"")</f>
        <v/>
      </c>
      <c r="J265" s="3153" t="str">
        <f ca="1">IFERROR(INDEX(Coating!$A:$AU,MATCH($C265,Coating!$AU:$AU,0),14)*(1+Coating!$N$4),"")</f>
        <v/>
      </c>
    </row>
    <row r="266" spans="2:10" ht="21.75">
      <c r="B266" s="3143" t="s">
        <v>1610</v>
      </c>
      <c r="C266" s="3143">
        <f t="shared" si="4"/>
        <v>20</v>
      </c>
      <c r="D266" s="3143" t="str">
        <f ca="1">IFERROR(INDEX(Coating!$A:$AU,MATCH($C266,Coating!$AU:$AU,0),1),"")</f>
        <v/>
      </c>
      <c r="E266" s="3143" t="str">
        <f ca="1">IFERROR(INDEX(Coating!$A:$AU,MATCH($C266,Coating!$AU:$AU,0),4),"")</f>
        <v/>
      </c>
      <c r="F266" s="3143" t="s">
        <v>3651</v>
      </c>
      <c r="G266" s="3599" t="str">
        <f ca="1">IFERROR(INDEX(Coating!$A:$AU,MATCH($C266,Coating!$AU:$AU,0),10)/'ACC &amp; Other Material '!$E$2*10^3,"")</f>
        <v/>
      </c>
      <c r="H266" s="3599" t="str">
        <f ca="1">IFERROR(INDEX(Coating!$A:$AU,MATCH($C266,Coating!$AU:$AU,0),11)/'ACC &amp; Other Material '!$E$2*10^3,"")</f>
        <v/>
      </c>
      <c r="I266" s="3153" t="str">
        <f ca="1">IFERROR(INDEX(Coating!$A:$AU,MATCH($C266,Coating!$AU:$AU,0),14),"")</f>
        <v/>
      </c>
      <c r="J266" s="3153" t="str">
        <f ca="1">IFERROR(INDEX(Coating!$A:$AU,MATCH($C266,Coating!$AU:$AU,0),14)*(1+Coating!$N$4),"")</f>
        <v/>
      </c>
    </row>
    <row r="267" spans="2:10" ht="21.75">
      <c r="B267" s="3143" t="s">
        <v>1610</v>
      </c>
      <c r="C267" s="3143">
        <f t="shared" si="4"/>
        <v>21</v>
      </c>
      <c r="D267" s="3143" t="str">
        <f ca="1">IFERROR(INDEX(Coating!$A:$AU,MATCH($C267,Coating!$AU:$AU,0),1),"")</f>
        <v/>
      </c>
      <c r="E267" s="3143" t="str">
        <f ca="1">IFERROR(INDEX(Coating!$A:$AU,MATCH($C267,Coating!$AU:$AU,0),4),"")</f>
        <v/>
      </c>
      <c r="F267" s="3143" t="s">
        <v>3651</v>
      </c>
      <c r="G267" s="3599" t="str">
        <f ca="1">IFERROR(INDEX(Coating!$A:$AU,MATCH($C267,Coating!$AU:$AU,0),10)/'ACC &amp; Other Material '!$E$2*10^3,"")</f>
        <v/>
      </c>
      <c r="H267" s="3599" t="str">
        <f ca="1">IFERROR(INDEX(Coating!$A:$AU,MATCH($C267,Coating!$AU:$AU,0),11)/'ACC &amp; Other Material '!$E$2*10^3,"")</f>
        <v/>
      </c>
      <c r="I267" s="3153" t="str">
        <f ca="1">IFERROR(INDEX(Coating!$A:$AU,MATCH($C267,Coating!$AU:$AU,0),14),"")</f>
        <v/>
      </c>
      <c r="J267" s="3153" t="str">
        <f ca="1">IFERROR(INDEX(Coating!$A:$AU,MATCH($C267,Coating!$AU:$AU,0),14)*(1+Coating!$N$4),"")</f>
        <v/>
      </c>
    </row>
    <row r="268" spans="2:10" ht="21.75">
      <c r="B268" s="3143" t="s">
        <v>1610</v>
      </c>
      <c r="C268" s="3143">
        <f t="shared" si="4"/>
        <v>22</v>
      </c>
      <c r="D268" s="3143" t="str">
        <f ca="1">IFERROR(INDEX(Coating!$A:$AU,MATCH($C268,Coating!$AU:$AU,0),1),"")</f>
        <v/>
      </c>
      <c r="E268" s="3143" t="str">
        <f ca="1">IFERROR(INDEX(Coating!$A:$AU,MATCH($C268,Coating!$AU:$AU,0),4),"")</f>
        <v/>
      </c>
      <c r="F268" s="3143" t="s">
        <v>3651</v>
      </c>
      <c r="G268" s="3599" t="str">
        <f ca="1">IFERROR(INDEX(Coating!$A:$AU,MATCH($C268,Coating!$AU:$AU,0),10)/'ACC &amp; Other Material '!$E$2*10^3,"")</f>
        <v/>
      </c>
      <c r="H268" s="3599" t="str">
        <f ca="1">IFERROR(INDEX(Coating!$A:$AU,MATCH($C268,Coating!$AU:$AU,0),11)/'ACC &amp; Other Material '!$E$2*10^3,"")</f>
        <v/>
      </c>
      <c r="I268" s="3153" t="str">
        <f ca="1">IFERROR(INDEX(Coating!$A:$AU,MATCH($C268,Coating!$AU:$AU,0),14),"")</f>
        <v/>
      </c>
      <c r="J268" s="3153" t="str">
        <f ca="1">IFERROR(INDEX(Coating!$A:$AU,MATCH($C268,Coating!$AU:$AU,0),14)*(1+Coating!$N$4),"")</f>
        <v/>
      </c>
    </row>
    <row r="269" spans="2:10" ht="21.75">
      <c r="B269" s="3143" t="s">
        <v>1610</v>
      </c>
      <c r="C269" s="3143">
        <f t="shared" si="4"/>
        <v>23</v>
      </c>
      <c r="D269" s="3143" t="str">
        <f ca="1">IFERROR(INDEX(Coating!$A:$AU,MATCH($C269,Coating!$AU:$AU,0),1),"")</f>
        <v/>
      </c>
      <c r="E269" s="3143" t="str">
        <f ca="1">IFERROR(INDEX(Coating!$A:$AU,MATCH($C269,Coating!$AU:$AU,0),4),"")</f>
        <v/>
      </c>
      <c r="F269" s="3143" t="s">
        <v>3651</v>
      </c>
      <c r="G269" s="3599" t="str">
        <f ca="1">IFERROR(INDEX(Coating!$A:$AU,MATCH($C269,Coating!$AU:$AU,0),10)/'ACC &amp; Other Material '!$E$2*10^3,"")</f>
        <v/>
      </c>
      <c r="H269" s="3599" t="str">
        <f ca="1">IFERROR(INDEX(Coating!$A:$AU,MATCH($C269,Coating!$AU:$AU,0),11)/'ACC &amp; Other Material '!$E$2*10^3,"")</f>
        <v/>
      </c>
      <c r="I269" s="3153" t="str">
        <f ca="1">IFERROR(INDEX(Coating!$A:$AU,MATCH($C269,Coating!$AU:$AU,0),14),"")</f>
        <v/>
      </c>
      <c r="J269" s="3153" t="str">
        <f ca="1">IFERROR(INDEX(Coating!$A:$AU,MATCH($C269,Coating!$AU:$AU,0),14)*(1+Coating!$N$4),"")</f>
        <v/>
      </c>
    </row>
    <row r="270" spans="2:10" ht="21.75">
      <c r="B270" s="3143" t="s">
        <v>1610</v>
      </c>
      <c r="C270" s="3143">
        <f t="shared" si="4"/>
        <v>24</v>
      </c>
      <c r="D270" s="3143" t="str">
        <f ca="1">IFERROR(INDEX(Coating!$A:$AU,MATCH($C270,Coating!$AU:$AU,0),1),"")</f>
        <v/>
      </c>
      <c r="E270" s="3143" t="str">
        <f ca="1">IFERROR(INDEX(Coating!$A:$AU,MATCH($C270,Coating!$AU:$AU,0),4),"")</f>
        <v/>
      </c>
      <c r="F270" s="3143" t="s">
        <v>3651</v>
      </c>
      <c r="G270" s="3599" t="str">
        <f ca="1">IFERROR(INDEX(Coating!$A:$AU,MATCH($C270,Coating!$AU:$AU,0),10)/'ACC &amp; Other Material '!$E$2*10^3,"")</f>
        <v/>
      </c>
      <c r="H270" s="3599" t="str">
        <f ca="1">IFERROR(INDEX(Coating!$A:$AU,MATCH($C270,Coating!$AU:$AU,0),11)/'ACC &amp; Other Material '!$E$2*10^3,"")</f>
        <v/>
      </c>
      <c r="I270" s="3153" t="str">
        <f ca="1">IFERROR(INDEX(Coating!$A:$AU,MATCH($C270,Coating!$AU:$AU,0),14),"")</f>
        <v/>
      </c>
      <c r="J270" s="3153" t="str">
        <f ca="1">IFERROR(INDEX(Coating!$A:$AU,MATCH($C270,Coating!$AU:$AU,0),14)*(1+Coating!$N$4),"")</f>
        <v/>
      </c>
    </row>
    <row r="271" spans="2:10" ht="21.75">
      <c r="B271" s="3143" t="s">
        <v>1610</v>
      </c>
      <c r="C271" s="3143">
        <f t="shared" si="4"/>
        <v>25</v>
      </c>
      <c r="D271" s="3143" t="str">
        <f ca="1">IFERROR(INDEX(Coating!$A:$AU,MATCH($C271,Coating!$AU:$AU,0),1),"")</f>
        <v/>
      </c>
      <c r="E271" s="3143" t="str">
        <f ca="1">IFERROR(INDEX(Coating!$A:$AU,MATCH($C271,Coating!$AU:$AU,0),4),"")</f>
        <v/>
      </c>
      <c r="F271" s="3143" t="s">
        <v>3651</v>
      </c>
      <c r="G271" s="3599" t="str">
        <f ca="1">IFERROR(INDEX(Coating!$A:$AU,MATCH($C271,Coating!$AU:$AU,0),10)/'ACC &amp; Other Material '!$E$2*10^3,"")</f>
        <v/>
      </c>
      <c r="H271" s="3599" t="str">
        <f ca="1">IFERROR(INDEX(Coating!$A:$AU,MATCH($C271,Coating!$AU:$AU,0),11)/'ACC &amp; Other Material '!$E$2*10^3,"")</f>
        <v/>
      </c>
      <c r="I271" s="3153" t="str">
        <f ca="1">IFERROR(INDEX(Coating!$A:$AU,MATCH($C271,Coating!$AU:$AU,0),14),"")</f>
        <v/>
      </c>
      <c r="J271" s="3153" t="str">
        <f ca="1">IFERROR(INDEX(Coating!$A:$AU,MATCH($C271,Coating!$AU:$AU,0),14)*(1+Coating!$N$4),"")</f>
        <v/>
      </c>
    </row>
    <row r="272" spans="2:10" ht="21.75">
      <c r="B272" s="3143" t="s">
        <v>1610</v>
      </c>
      <c r="C272" s="3143">
        <f t="shared" si="4"/>
        <v>26</v>
      </c>
      <c r="D272" s="3143" t="str">
        <f ca="1">IFERROR(INDEX(Coating!$A:$AU,MATCH($C272,Coating!$AU:$AU,0),1),"")</f>
        <v/>
      </c>
      <c r="E272" s="3143" t="str">
        <f ca="1">IFERROR(INDEX(Coating!$A:$AU,MATCH($C272,Coating!$AU:$AU,0),4),"")</f>
        <v/>
      </c>
      <c r="F272" s="3143" t="s">
        <v>3651</v>
      </c>
      <c r="G272" s="3599" t="str">
        <f ca="1">IFERROR(INDEX(Coating!$A:$AU,MATCH($C272,Coating!$AU:$AU,0),10)/'ACC &amp; Other Material '!$E$2*10^3,"")</f>
        <v/>
      </c>
      <c r="H272" s="3599" t="str">
        <f ca="1">IFERROR(INDEX(Coating!$A:$AU,MATCH($C272,Coating!$AU:$AU,0),11)/'ACC &amp; Other Material '!$E$2*10^3,"")</f>
        <v/>
      </c>
      <c r="I272" s="3153" t="str">
        <f ca="1">IFERROR(INDEX(Coating!$A:$AU,MATCH($C272,Coating!$AU:$AU,0),14),"")</f>
        <v/>
      </c>
      <c r="J272" s="3153" t="str">
        <f ca="1">IFERROR(INDEX(Coating!$A:$AU,MATCH($C272,Coating!$AU:$AU,0),14)*(1+Coating!$N$4),"")</f>
        <v/>
      </c>
    </row>
    <row r="273" spans="2:10" ht="21.75">
      <c r="B273" s="3143" t="s">
        <v>1610</v>
      </c>
      <c r="C273" s="3143">
        <f t="shared" si="4"/>
        <v>27</v>
      </c>
      <c r="D273" s="3143" t="str">
        <f ca="1">IFERROR(INDEX(Coating!$A:$AU,MATCH($C273,Coating!$AU:$AU,0),1),"")</f>
        <v/>
      </c>
      <c r="E273" s="3143" t="str">
        <f ca="1">IFERROR(INDEX(Coating!$A:$AU,MATCH($C273,Coating!$AU:$AU,0),4),"")</f>
        <v/>
      </c>
      <c r="F273" s="3143" t="s">
        <v>3651</v>
      </c>
      <c r="G273" s="3599" t="str">
        <f ca="1">IFERROR(INDEX(Coating!$A:$AU,MATCH($C273,Coating!$AU:$AU,0),10)/'ACC &amp; Other Material '!$E$2*10^3,"")</f>
        <v/>
      </c>
      <c r="H273" s="3599" t="str">
        <f ca="1">IFERROR(INDEX(Coating!$A:$AU,MATCH($C273,Coating!$AU:$AU,0),11)/'ACC &amp; Other Material '!$E$2*10^3,"")</f>
        <v/>
      </c>
      <c r="I273" s="3153" t="str">
        <f ca="1">IFERROR(INDEX(Coating!$A:$AU,MATCH($C273,Coating!$AU:$AU,0),14),"")</f>
        <v/>
      </c>
      <c r="J273" s="3153" t="str">
        <f ca="1">IFERROR(INDEX(Coating!$A:$AU,MATCH($C273,Coating!$AU:$AU,0),14)*(1+Coating!$N$4),"")</f>
        <v/>
      </c>
    </row>
    <row r="274" spans="2:10" ht="21.75">
      <c r="B274" s="3143" t="s">
        <v>1610</v>
      </c>
      <c r="C274" s="3143">
        <f t="shared" si="4"/>
        <v>28</v>
      </c>
      <c r="D274" s="3143" t="str">
        <f ca="1">IFERROR(INDEX(Coating!$A:$AU,MATCH($C274,Coating!$AU:$AU,0),1),"")</f>
        <v/>
      </c>
      <c r="E274" s="3143" t="str">
        <f ca="1">IFERROR(INDEX(Coating!$A:$AU,MATCH($C274,Coating!$AU:$AU,0),4),"")</f>
        <v/>
      </c>
      <c r="F274" s="3143" t="s">
        <v>3651</v>
      </c>
      <c r="G274" s="3599" t="str">
        <f ca="1">IFERROR(INDEX(Coating!$A:$AU,MATCH($C274,Coating!$AU:$AU,0),10)/'ACC &amp; Other Material '!$E$2*10^3,"")</f>
        <v/>
      </c>
      <c r="H274" s="3599" t="str">
        <f ca="1">IFERROR(INDEX(Coating!$A:$AU,MATCH($C274,Coating!$AU:$AU,0),11)/'ACC &amp; Other Material '!$E$2*10^3,"")</f>
        <v/>
      </c>
      <c r="I274" s="3153" t="str">
        <f ca="1">IFERROR(INDEX(Coating!$A:$AU,MATCH($C274,Coating!$AU:$AU,0),14),"")</f>
        <v/>
      </c>
      <c r="J274" s="3153" t="str">
        <f ca="1">IFERROR(INDEX(Coating!$A:$AU,MATCH($C274,Coating!$AU:$AU,0),14)*(1+Coating!$N$4),"")</f>
        <v/>
      </c>
    </row>
    <row r="275" spans="2:10" ht="21.75">
      <c r="B275" s="3143" t="s">
        <v>1610</v>
      </c>
      <c r="C275" s="3143">
        <f t="shared" si="4"/>
        <v>29</v>
      </c>
      <c r="D275" s="3143" t="str">
        <f ca="1">IFERROR(INDEX(Coating!$A:$AU,MATCH($C275,Coating!$AU:$AU,0),1),"")</f>
        <v/>
      </c>
      <c r="E275" s="3143" t="str">
        <f ca="1">IFERROR(INDEX(Coating!$A:$AU,MATCH($C275,Coating!$AU:$AU,0),4),"")</f>
        <v/>
      </c>
      <c r="F275" s="3143" t="s">
        <v>3651</v>
      </c>
      <c r="G275" s="3599" t="str">
        <f ca="1">IFERROR(INDEX(Coating!$A:$AU,MATCH($C275,Coating!$AU:$AU,0),10)/'ACC &amp; Other Material '!$E$2*10^3,"")</f>
        <v/>
      </c>
      <c r="H275" s="3599" t="str">
        <f ca="1">IFERROR(INDEX(Coating!$A:$AU,MATCH($C275,Coating!$AU:$AU,0),11)/'ACC &amp; Other Material '!$E$2*10^3,"")</f>
        <v/>
      </c>
      <c r="I275" s="3153" t="str">
        <f ca="1">IFERROR(INDEX(Coating!$A:$AU,MATCH($C275,Coating!$AU:$AU,0),14),"")</f>
        <v/>
      </c>
      <c r="J275" s="3153" t="str">
        <f ca="1">IFERROR(INDEX(Coating!$A:$AU,MATCH($C275,Coating!$AU:$AU,0),14)*(1+Coating!$N$4),"")</f>
        <v/>
      </c>
    </row>
    <row r="276" spans="2:10" ht="21.75">
      <c r="B276" s="3143" t="s">
        <v>1610</v>
      </c>
      <c r="C276" s="3143">
        <f t="shared" si="4"/>
        <v>30</v>
      </c>
      <c r="D276" s="3143" t="str">
        <f ca="1">IFERROR(INDEX(Coating!$A:$AU,MATCH($C276,Coating!$AU:$AU,0),1),"")</f>
        <v/>
      </c>
      <c r="E276" s="3143" t="str">
        <f ca="1">IFERROR(INDEX(Coating!$A:$AU,MATCH($C276,Coating!$AU:$AU,0),4),"")</f>
        <v/>
      </c>
      <c r="F276" s="3143" t="s">
        <v>3651</v>
      </c>
      <c r="G276" s="3599" t="str">
        <f ca="1">IFERROR(INDEX(Coating!$A:$AU,MATCH($C276,Coating!$AU:$AU,0),10)/'ACC &amp; Other Material '!$E$2*10^3,"")</f>
        <v/>
      </c>
      <c r="H276" s="3599" t="str">
        <f ca="1">IFERROR(INDEX(Coating!$A:$AU,MATCH($C276,Coating!$AU:$AU,0),11)/'ACC &amp; Other Material '!$E$2*10^3,"")</f>
        <v/>
      </c>
      <c r="I276" s="3153" t="str">
        <f ca="1">IFERROR(INDEX(Coating!$A:$AU,MATCH($C276,Coating!$AU:$AU,0),14),"")</f>
        <v/>
      </c>
      <c r="J276" s="3153" t="str">
        <f ca="1">IFERROR(INDEX(Coating!$A:$AU,MATCH($C276,Coating!$AU:$AU,0),14)*(1+Coating!$N$4),"")</f>
        <v/>
      </c>
    </row>
    <row r="277" spans="2:10" ht="21.75">
      <c r="B277" s="3143" t="s">
        <v>1610</v>
      </c>
      <c r="C277" s="3143">
        <f t="shared" si="4"/>
        <v>31</v>
      </c>
      <c r="D277" s="3143" t="str">
        <f ca="1">IFERROR(INDEX(Coating!$A:$AU,MATCH($C277,Coating!$AU:$AU,0),1),"")</f>
        <v/>
      </c>
      <c r="E277" s="3143" t="str">
        <f ca="1">IFERROR(INDEX(Coating!$A:$AU,MATCH($C277,Coating!$AU:$AU,0),4),"")</f>
        <v/>
      </c>
      <c r="F277" s="3143" t="s">
        <v>3651</v>
      </c>
      <c r="G277" s="3599" t="str">
        <f ca="1">IFERROR(INDEX(Coating!$A:$AU,MATCH($C277,Coating!$AU:$AU,0),10)/'ACC &amp; Other Material '!$E$2*10^3,"")</f>
        <v/>
      </c>
      <c r="H277" s="3599" t="str">
        <f ca="1">IFERROR(INDEX(Coating!$A:$AU,MATCH($C277,Coating!$AU:$AU,0),11)/'ACC &amp; Other Material '!$E$2*10^3,"")</f>
        <v/>
      </c>
      <c r="I277" s="3153" t="str">
        <f ca="1">IFERROR(INDEX(Coating!$A:$AU,MATCH($C277,Coating!$AU:$AU,0),14),"")</f>
        <v/>
      </c>
      <c r="J277" s="3153" t="str">
        <f ca="1">IFERROR(INDEX(Coating!$A:$AU,MATCH($C277,Coating!$AU:$AU,0),14)*(1+Coating!$N$4),"")</f>
        <v/>
      </c>
    </row>
    <row r="278" spans="2:10" ht="21.75">
      <c r="B278" s="3143" t="s">
        <v>1610</v>
      </c>
      <c r="C278" s="3143">
        <f t="shared" si="4"/>
        <v>32</v>
      </c>
      <c r="D278" s="3143" t="str">
        <f ca="1">IFERROR(INDEX(Coating!$A:$AU,MATCH($C278,Coating!$AU:$AU,0),1),"")</f>
        <v/>
      </c>
      <c r="E278" s="3143" t="str">
        <f ca="1">IFERROR(INDEX(Coating!$A:$AU,MATCH($C278,Coating!$AU:$AU,0),4),"")</f>
        <v/>
      </c>
      <c r="F278" s="3143" t="s">
        <v>3651</v>
      </c>
      <c r="G278" s="3599" t="str">
        <f ca="1">IFERROR(INDEX(Coating!$A:$AU,MATCH($C278,Coating!$AU:$AU,0),10)/'ACC &amp; Other Material '!$E$2*10^3,"")</f>
        <v/>
      </c>
      <c r="H278" s="3599" t="str">
        <f ca="1">IFERROR(INDEX(Coating!$A:$AU,MATCH($C278,Coating!$AU:$AU,0),11)/'ACC &amp; Other Material '!$E$2*10^3,"")</f>
        <v/>
      </c>
      <c r="I278" s="3153" t="str">
        <f ca="1">IFERROR(INDEX(Coating!$A:$AU,MATCH($C278,Coating!$AU:$AU,0),14),"")</f>
        <v/>
      </c>
      <c r="J278" s="3153" t="str">
        <f ca="1">IFERROR(INDEX(Coating!$A:$AU,MATCH($C278,Coating!$AU:$AU,0),14)*(1+Coating!$N$4),"")</f>
        <v/>
      </c>
    </row>
    <row r="279" spans="2:10" ht="21.75">
      <c r="B279" s="3143" t="s">
        <v>1610</v>
      </c>
      <c r="C279" s="3143">
        <f t="shared" si="4"/>
        <v>33</v>
      </c>
      <c r="D279" s="3143" t="str">
        <f ca="1">IFERROR(INDEX(Coating!$A:$AU,MATCH($C279,Coating!$AU:$AU,0),1),"")</f>
        <v/>
      </c>
      <c r="E279" s="3143" t="str">
        <f ca="1">IFERROR(INDEX(Coating!$A:$AU,MATCH($C279,Coating!$AU:$AU,0),4),"")</f>
        <v/>
      </c>
      <c r="F279" s="3143" t="s">
        <v>3651</v>
      </c>
      <c r="G279" s="3599" t="str">
        <f ca="1">IFERROR(INDEX(Coating!$A:$AU,MATCH($C279,Coating!$AU:$AU,0),10)/'ACC &amp; Other Material '!$E$2*10^3,"")</f>
        <v/>
      </c>
      <c r="H279" s="3599" t="str">
        <f ca="1">IFERROR(INDEX(Coating!$A:$AU,MATCH($C279,Coating!$AU:$AU,0),11)/'ACC &amp; Other Material '!$E$2*10^3,"")</f>
        <v/>
      </c>
      <c r="I279" s="3153" t="str">
        <f ca="1">IFERROR(INDEX(Coating!$A:$AU,MATCH($C279,Coating!$AU:$AU,0),14),"")</f>
        <v/>
      </c>
      <c r="J279" s="3153" t="str">
        <f ca="1">IFERROR(INDEX(Coating!$A:$AU,MATCH($C279,Coating!$AU:$AU,0),14)*(1+Coating!$N$4),"")</f>
        <v/>
      </c>
    </row>
    <row r="280" spans="2:10" ht="21.75">
      <c r="B280" s="3143" t="s">
        <v>1610</v>
      </c>
      <c r="C280" s="3143">
        <f t="shared" si="4"/>
        <v>34</v>
      </c>
      <c r="D280" s="3143" t="str">
        <f ca="1">IFERROR(INDEX(Coating!$A:$AU,MATCH($C280,Coating!$AU:$AU,0),1),"")</f>
        <v/>
      </c>
      <c r="E280" s="3143" t="str">
        <f ca="1">IFERROR(INDEX(Coating!$A:$AU,MATCH($C280,Coating!$AU:$AU,0),4),"")</f>
        <v/>
      </c>
      <c r="F280" s="3143" t="s">
        <v>3651</v>
      </c>
      <c r="G280" s="3599" t="str">
        <f ca="1">IFERROR(INDEX(Coating!$A:$AU,MATCH($C280,Coating!$AU:$AU,0),10)/'ACC &amp; Other Material '!$E$2*10^3,"")</f>
        <v/>
      </c>
      <c r="H280" s="3599" t="str">
        <f ca="1">IFERROR(INDEX(Coating!$A:$AU,MATCH($C280,Coating!$AU:$AU,0),11)/'ACC &amp; Other Material '!$E$2*10^3,"")</f>
        <v/>
      </c>
      <c r="I280" s="3153" t="str">
        <f ca="1">IFERROR(INDEX(Coating!$A:$AU,MATCH($C280,Coating!$AU:$AU,0),14),"")</f>
        <v/>
      </c>
      <c r="J280" s="3153" t="str">
        <f ca="1">IFERROR(INDEX(Coating!$A:$AU,MATCH($C280,Coating!$AU:$AU,0),14)*(1+Coating!$N$4),"")</f>
        <v/>
      </c>
    </row>
    <row r="281" spans="2:10" ht="21.75">
      <c r="B281" s="3143" t="s">
        <v>1610</v>
      </c>
      <c r="C281" s="3143">
        <f t="shared" si="4"/>
        <v>35</v>
      </c>
      <c r="D281" s="3143" t="str">
        <f ca="1">IFERROR(INDEX(Coating!$A:$AU,MATCH($C281,Coating!$AU:$AU,0),1),"")</f>
        <v/>
      </c>
      <c r="E281" s="3143" t="str">
        <f ca="1">IFERROR(INDEX(Coating!$A:$AU,MATCH($C281,Coating!$AU:$AU,0),4),"")</f>
        <v/>
      </c>
      <c r="F281" s="3143" t="s">
        <v>3651</v>
      </c>
      <c r="G281" s="3599" t="str">
        <f ca="1">IFERROR(INDEX(Coating!$A:$AU,MATCH($C281,Coating!$AU:$AU,0),10)/'ACC &amp; Other Material '!$E$2*10^3,"")</f>
        <v/>
      </c>
      <c r="H281" s="3599" t="str">
        <f ca="1">IFERROR(INDEX(Coating!$A:$AU,MATCH($C281,Coating!$AU:$AU,0),11)/'ACC &amp; Other Material '!$E$2*10^3,"")</f>
        <v/>
      </c>
      <c r="I281" s="3153" t="str">
        <f ca="1">IFERROR(INDEX(Coating!$A:$AU,MATCH($C281,Coating!$AU:$AU,0),14),"")</f>
        <v/>
      </c>
      <c r="J281" s="3153" t="str">
        <f ca="1">IFERROR(INDEX(Coating!$A:$AU,MATCH($C281,Coating!$AU:$AU,0),14)*(1+Coating!$N$4),"")</f>
        <v/>
      </c>
    </row>
    <row r="282" spans="2:10" ht="21.75">
      <c r="B282" s="3143" t="s">
        <v>1610</v>
      </c>
      <c r="C282" s="3143">
        <f t="shared" si="4"/>
        <v>36</v>
      </c>
      <c r="D282" s="3143" t="str">
        <f ca="1">IFERROR(INDEX(Coating!$A:$AU,MATCH($C282,Coating!$AU:$AU,0),1),"")</f>
        <v/>
      </c>
      <c r="E282" s="3143" t="str">
        <f ca="1">IFERROR(INDEX(Coating!$A:$AU,MATCH($C282,Coating!$AU:$AU,0),4),"")</f>
        <v/>
      </c>
      <c r="F282" s="3143" t="s">
        <v>3651</v>
      </c>
      <c r="G282" s="3599" t="str">
        <f ca="1">IFERROR(INDEX(Coating!$A:$AU,MATCH($C282,Coating!$AU:$AU,0),10)/'ACC &amp; Other Material '!$E$2*10^3,"")</f>
        <v/>
      </c>
      <c r="H282" s="3599" t="str">
        <f ca="1">IFERROR(INDEX(Coating!$A:$AU,MATCH($C282,Coating!$AU:$AU,0),11)/'ACC &amp; Other Material '!$E$2*10^3,"")</f>
        <v/>
      </c>
      <c r="I282" s="3153" t="str">
        <f ca="1">IFERROR(INDEX(Coating!$A:$AU,MATCH($C282,Coating!$AU:$AU,0),14),"")</f>
        <v/>
      </c>
      <c r="J282" s="3153" t="str">
        <f ca="1">IFERROR(INDEX(Coating!$A:$AU,MATCH($C282,Coating!$AU:$AU,0),14)*(1+Coating!$N$4),"")</f>
        <v/>
      </c>
    </row>
    <row r="283" spans="2:10" ht="21.75">
      <c r="B283" s="3143" t="s">
        <v>1610</v>
      </c>
      <c r="C283" s="3143">
        <f t="shared" si="4"/>
        <v>37</v>
      </c>
      <c r="D283" s="3143" t="str">
        <f ca="1">IFERROR(INDEX(Coating!$A:$AU,MATCH($C283,Coating!$AU:$AU,0),1),"")</f>
        <v/>
      </c>
      <c r="E283" s="3143" t="str">
        <f ca="1">IFERROR(INDEX(Coating!$A:$AU,MATCH($C283,Coating!$AU:$AU,0),4),"")</f>
        <v/>
      </c>
      <c r="F283" s="3143" t="s">
        <v>3651</v>
      </c>
      <c r="G283" s="3599" t="str">
        <f ca="1">IFERROR(INDEX(Coating!$A:$AU,MATCH($C283,Coating!$AU:$AU,0),10)/'ACC &amp; Other Material '!$E$2*10^3,"")</f>
        <v/>
      </c>
      <c r="H283" s="3599" t="str">
        <f ca="1">IFERROR(INDEX(Coating!$A:$AU,MATCH($C283,Coating!$AU:$AU,0),11)/'ACC &amp; Other Material '!$E$2*10^3,"")</f>
        <v/>
      </c>
      <c r="I283" s="3153" t="str">
        <f ca="1">IFERROR(INDEX(Coating!$A:$AU,MATCH($C283,Coating!$AU:$AU,0),14),"")</f>
        <v/>
      </c>
      <c r="J283" s="3153" t="str">
        <f ca="1">IFERROR(INDEX(Coating!$A:$AU,MATCH($C283,Coating!$AU:$AU,0),14)*(1+Coating!$N$4),"")</f>
        <v/>
      </c>
    </row>
    <row r="284" spans="2:10" ht="21.75">
      <c r="B284" s="3143" t="s">
        <v>1610</v>
      </c>
      <c r="C284" s="3143">
        <f t="shared" si="4"/>
        <v>38</v>
      </c>
      <c r="D284" s="3143" t="str">
        <f ca="1">IFERROR(INDEX(Coating!$A:$AU,MATCH($C284,Coating!$AU:$AU,0),1),"")</f>
        <v/>
      </c>
      <c r="E284" s="3143" t="str">
        <f ca="1">IFERROR(INDEX(Coating!$A:$AU,MATCH($C284,Coating!$AU:$AU,0),4),"")</f>
        <v/>
      </c>
      <c r="F284" s="3143" t="s">
        <v>3651</v>
      </c>
      <c r="G284" s="3599" t="str">
        <f ca="1">IFERROR(INDEX(Coating!$A:$AU,MATCH($C284,Coating!$AU:$AU,0),10)/'ACC &amp; Other Material '!$E$2*10^3,"")</f>
        <v/>
      </c>
      <c r="H284" s="3599" t="str">
        <f ca="1">IFERROR(INDEX(Coating!$A:$AU,MATCH($C284,Coating!$AU:$AU,0),11)/'ACC &amp; Other Material '!$E$2*10^3,"")</f>
        <v/>
      </c>
      <c r="I284" s="3153" t="str">
        <f ca="1">IFERROR(INDEX(Coating!$A:$AU,MATCH($C284,Coating!$AU:$AU,0),14),"")</f>
        <v/>
      </c>
      <c r="J284" s="3153" t="str">
        <f ca="1">IFERROR(INDEX(Coating!$A:$AU,MATCH($C284,Coating!$AU:$AU,0),14)*(1+Coating!$N$4),"")</f>
        <v/>
      </c>
    </row>
    <row r="285" spans="2:10" ht="21.75">
      <c r="B285" s="3143" t="s">
        <v>1610</v>
      </c>
      <c r="C285" s="3143">
        <f t="shared" si="4"/>
        <v>39</v>
      </c>
      <c r="D285" s="3143" t="str">
        <f ca="1">IFERROR(INDEX(Coating!$A:$AU,MATCH($C285,Coating!$AU:$AU,0),1),"")</f>
        <v/>
      </c>
      <c r="E285" s="3143" t="str">
        <f ca="1">IFERROR(INDEX(Coating!$A:$AU,MATCH($C285,Coating!$AU:$AU,0),4),"")</f>
        <v/>
      </c>
      <c r="F285" s="3143" t="s">
        <v>3651</v>
      </c>
      <c r="G285" s="3599" t="str">
        <f ca="1">IFERROR(INDEX(Coating!$A:$AU,MATCH($C285,Coating!$AU:$AU,0),10)/'ACC &amp; Other Material '!$E$2*10^3,"")</f>
        <v/>
      </c>
      <c r="H285" s="3599" t="str">
        <f ca="1">IFERROR(INDEX(Coating!$A:$AU,MATCH($C285,Coating!$AU:$AU,0),11)/'ACC &amp; Other Material '!$E$2*10^3,"")</f>
        <v/>
      </c>
      <c r="I285" s="3153" t="str">
        <f ca="1">IFERROR(INDEX(Coating!$A:$AU,MATCH($C285,Coating!$AU:$AU,0),14),"")</f>
        <v/>
      </c>
      <c r="J285" s="3153" t="str">
        <f ca="1">IFERROR(INDEX(Coating!$A:$AU,MATCH($C285,Coating!$AU:$AU,0),14)*(1+Coating!$N$4),"")</f>
        <v/>
      </c>
    </row>
    <row r="286" spans="2:10" ht="21.75">
      <c r="B286" s="3143" t="s">
        <v>1610</v>
      </c>
      <c r="C286" s="3143">
        <f t="shared" si="4"/>
        <v>40</v>
      </c>
      <c r="D286" s="3143" t="str">
        <f ca="1">IFERROR(INDEX(Coating!$A:$AU,MATCH($C286,Coating!$AU:$AU,0),1),"")</f>
        <v/>
      </c>
      <c r="E286" s="3143" t="str">
        <f ca="1">IFERROR(INDEX(Coating!$A:$AU,MATCH($C286,Coating!$AU:$AU,0),4),"")</f>
        <v/>
      </c>
      <c r="F286" s="3143" t="s">
        <v>3651</v>
      </c>
      <c r="G286" s="3599" t="str">
        <f ca="1">IFERROR(INDEX(Coating!$A:$AU,MATCH($C286,Coating!$AU:$AU,0),10)/'ACC &amp; Other Material '!$E$2*10^3,"")</f>
        <v/>
      </c>
      <c r="H286" s="3599" t="str">
        <f ca="1">IFERROR(INDEX(Coating!$A:$AU,MATCH($C286,Coating!$AU:$AU,0),11)/'ACC &amp; Other Material '!$E$2*10^3,"")</f>
        <v/>
      </c>
      <c r="I286" s="3153" t="str">
        <f ca="1">IFERROR(INDEX(Coating!$A:$AU,MATCH($C286,Coating!$AU:$AU,0),14),"")</f>
        <v/>
      </c>
      <c r="J286" s="3153" t="str">
        <f ca="1">IFERROR(INDEX(Coating!$A:$AU,MATCH($C286,Coating!$AU:$AU,0),14)*(1+Coating!$N$4),"")</f>
        <v/>
      </c>
    </row>
    <row r="287" spans="2:10" ht="21.75">
      <c r="B287" s="3143" t="s">
        <v>1610</v>
      </c>
      <c r="C287" s="3143">
        <f t="shared" si="4"/>
        <v>41</v>
      </c>
      <c r="D287" s="3143" t="str">
        <f ca="1">IFERROR(INDEX(Coating!$A:$AU,MATCH($C287,Coating!$AU:$AU,0),1),"")</f>
        <v/>
      </c>
      <c r="E287" s="3143" t="str">
        <f ca="1">IFERROR(INDEX(Coating!$A:$AU,MATCH($C287,Coating!$AU:$AU,0),4),"")</f>
        <v/>
      </c>
      <c r="F287" s="3143" t="s">
        <v>3651</v>
      </c>
      <c r="G287" s="3599" t="str">
        <f ca="1">IFERROR(INDEX(Coating!$A:$AU,MATCH($C287,Coating!$AU:$AU,0),10)/'ACC &amp; Other Material '!$E$2*10^3,"")</f>
        <v/>
      </c>
      <c r="H287" s="3599" t="str">
        <f ca="1">IFERROR(INDEX(Coating!$A:$AU,MATCH($C287,Coating!$AU:$AU,0),11)/'ACC &amp; Other Material '!$E$2*10^3,"")</f>
        <v/>
      </c>
      <c r="I287" s="3153" t="str">
        <f ca="1">IFERROR(INDEX(Coating!$A:$AU,MATCH($C287,Coating!$AU:$AU,0),14),"")</f>
        <v/>
      </c>
      <c r="J287" s="3153" t="str">
        <f ca="1">IFERROR(INDEX(Coating!$A:$AU,MATCH($C287,Coating!$AU:$AU,0),14)*(1+Coating!$N$4),"")</f>
        <v/>
      </c>
    </row>
    <row r="288" spans="2:10" ht="21.75">
      <c r="B288" s="3143" t="s">
        <v>1610</v>
      </c>
      <c r="C288" s="3143">
        <f t="shared" si="4"/>
        <v>42</v>
      </c>
      <c r="D288" s="3143" t="str">
        <f ca="1">IFERROR(INDEX(Coating!$A:$AU,MATCH($C288,Coating!$AU:$AU,0),1),"")</f>
        <v/>
      </c>
      <c r="E288" s="3143" t="str">
        <f ca="1">IFERROR(INDEX(Coating!$A:$AU,MATCH($C288,Coating!$AU:$AU,0),4),"")</f>
        <v/>
      </c>
      <c r="F288" s="3143" t="s">
        <v>3651</v>
      </c>
      <c r="G288" s="3599" t="str">
        <f ca="1">IFERROR(INDEX(Coating!$A:$AU,MATCH($C288,Coating!$AU:$AU,0),10)/'ACC &amp; Other Material '!$E$2*10^3,"")</f>
        <v/>
      </c>
      <c r="H288" s="3599" t="str">
        <f ca="1">IFERROR(INDEX(Coating!$A:$AU,MATCH($C288,Coating!$AU:$AU,0),11)/'ACC &amp; Other Material '!$E$2*10^3,"")</f>
        <v/>
      </c>
      <c r="I288" s="3153" t="str">
        <f ca="1">IFERROR(INDEX(Coating!$A:$AU,MATCH($C288,Coating!$AU:$AU,0),14),"")</f>
        <v/>
      </c>
      <c r="J288" s="3153" t="str">
        <f ca="1">IFERROR(INDEX(Coating!$A:$AU,MATCH($C288,Coating!$AU:$AU,0),14)*(1+Coating!$N$4),"")</f>
        <v/>
      </c>
    </row>
    <row r="289" spans="2:10" ht="21.75">
      <c r="B289" s="3143" t="s">
        <v>1610</v>
      </c>
      <c r="C289" s="3143">
        <f t="shared" si="4"/>
        <v>43</v>
      </c>
      <c r="D289" s="3143" t="str">
        <f ca="1">IFERROR(INDEX(Coating!$A:$AU,MATCH($C289,Coating!$AU:$AU,0),1),"")</f>
        <v/>
      </c>
      <c r="E289" s="3143" t="str">
        <f ca="1">IFERROR(INDEX(Coating!$A:$AU,MATCH($C289,Coating!$AU:$AU,0),4),"")</f>
        <v/>
      </c>
      <c r="F289" s="3143" t="s">
        <v>3651</v>
      </c>
      <c r="G289" s="3599" t="str">
        <f ca="1">IFERROR(INDEX(Coating!$A:$AU,MATCH($C289,Coating!$AU:$AU,0),10)/'ACC &amp; Other Material '!$E$2*10^3,"")</f>
        <v/>
      </c>
      <c r="H289" s="3599" t="str">
        <f ca="1">IFERROR(INDEX(Coating!$A:$AU,MATCH($C289,Coating!$AU:$AU,0),11)/'ACC &amp; Other Material '!$E$2*10^3,"")</f>
        <v/>
      </c>
      <c r="I289" s="3153" t="str">
        <f ca="1">IFERROR(INDEX(Coating!$A:$AU,MATCH($C289,Coating!$AU:$AU,0),14),"")</f>
        <v/>
      </c>
      <c r="J289" s="3153" t="str">
        <f ca="1">IFERROR(INDEX(Coating!$A:$AU,MATCH($C289,Coating!$AU:$AU,0),14)*(1+Coating!$N$4),"")</f>
        <v/>
      </c>
    </row>
    <row r="290" spans="2:10" ht="21.75">
      <c r="B290" s="3143" t="s">
        <v>1610</v>
      </c>
      <c r="C290" s="3143">
        <f t="shared" si="4"/>
        <v>44</v>
      </c>
      <c r="D290" s="3143" t="str">
        <f ca="1">IFERROR(INDEX(Coating!$A:$AU,MATCH($C290,Coating!$AU:$AU,0),1),"")</f>
        <v/>
      </c>
      <c r="E290" s="3143" t="str">
        <f ca="1">IFERROR(INDEX(Coating!$A:$AU,MATCH($C290,Coating!$AU:$AU,0),4),"")</f>
        <v/>
      </c>
      <c r="F290" s="3143" t="s">
        <v>3651</v>
      </c>
      <c r="G290" s="3599" t="str">
        <f ca="1">IFERROR(INDEX(Coating!$A:$AU,MATCH($C290,Coating!$AU:$AU,0),10)/'ACC &amp; Other Material '!$E$2*10^3,"")</f>
        <v/>
      </c>
      <c r="H290" s="3599" t="str">
        <f ca="1">IFERROR(INDEX(Coating!$A:$AU,MATCH($C290,Coating!$AU:$AU,0),11)/'ACC &amp; Other Material '!$E$2*10^3,"")</f>
        <v/>
      </c>
      <c r="I290" s="3153" t="str">
        <f ca="1">IFERROR(INDEX(Coating!$A:$AU,MATCH($C290,Coating!$AU:$AU,0),14),"")</f>
        <v/>
      </c>
      <c r="J290" s="3153" t="str">
        <f ca="1">IFERROR(INDEX(Coating!$A:$AU,MATCH($C290,Coating!$AU:$AU,0),14)*(1+Coating!$N$4),"")</f>
        <v/>
      </c>
    </row>
    <row r="291" spans="2:10" ht="21.75">
      <c r="B291" s="3143" t="s">
        <v>1610</v>
      </c>
      <c r="C291" s="3143">
        <f t="shared" si="4"/>
        <v>45</v>
      </c>
      <c r="D291" s="3143" t="str">
        <f ca="1">IFERROR(INDEX(Coating!$A:$AU,MATCH($C291,Coating!$AU:$AU,0),1),"")</f>
        <v/>
      </c>
      <c r="E291" s="3143" t="str">
        <f ca="1">IFERROR(INDEX(Coating!$A:$AU,MATCH($C291,Coating!$AU:$AU,0),4),"")</f>
        <v/>
      </c>
      <c r="F291" s="3143" t="s">
        <v>3651</v>
      </c>
      <c r="G291" s="3599" t="str">
        <f ca="1">IFERROR(INDEX(Coating!$A:$AU,MATCH($C291,Coating!$AU:$AU,0),10)/'ACC &amp; Other Material '!$E$2*10^3,"")</f>
        <v/>
      </c>
      <c r="H291" s="3599" t="str">
        <f ca="1">IFERROR(INDEX(Coating!$A:$AU,MATCH($C291,Coating!$AU:$AU,0),11)/'ACC &amp; Other Material '!$E$2*10^3,"")</f>
        <v/>
      </c>
      <c r="I291" s="3153" t="str">
        <f ca="1">IFERROR(INDEX(Coating!$A:$AU,MATCH($C291,Coating!$AU:$AU,0),14),"")</f>
        <v/>
      </c>
      <c r="J291" s="3153" t="str">
        <f ca="1">IFERROR(INDEX(Coating!$A:$AU,MATCH($C291,Coating!$AU:$AU,0),14)*(1+Coating!$N$4),"")</f>
        <v/>
      </c>
    </row>
    <row r="292" spans="2:10" ht="21.75">
      <c r="B292" s="3143" t="s">
        <v>1610</v>
      </c>
      <c r="C292" s="3143">
        <f t="shared" si="4"/>
        <v>46</v>
      </c>
      <c r="D292" s="3143" t="str">
        <f ca="1">IFERROR(INDEX(Coating!$A:$AU,MATCH($C292,Coating!$AU:$AU,0),1),"")</f>
        <v/>
      </c>
      <c r="E292" s="3143" t="str">
        <f ca="1">IFERROR(INDEX(Coating!$A:$AU,MATCH($C292,Coating!$AU:$AU,0),4),"")</f>
        <v/>
      </c>
      <c r="F292" s="3143" t="s">
        <v>3651</v>
      </c>
      <c r="G292" s="3599" t="str">
        <f ca="1">IFERROR(INDEX(Coating!$A:$AU,MATCH($C292,Coating!$AU:$AU,0),10)/'ACC &amp; Other Material '!$E$2*10^3,"")</f>
        <v/>
      </c>
      <c r="H292" s="3599" t="str">
        <f ca="1">IFERROR(INDEX(Coating!$A:$AU,MATCH($C292,Coating!$AU:$AU,0),11)/'ACC &amp; Other Material '!$E$2*10^3,"")</f>
        <v/>
      </c>
      <c r="I292" s="3153" t="str">
        <f ca="1">IFERROR(INDEX(Coating!$A:$AU,MATCH($C292,Coating!$AU:$AU,0),14),"")</f>
        <v/>
      </c>
      <c r="J292" s="3153" t="str">
        <f ca="1">IFERROR(INDEX(Coating!$A:$AU,MATCH($C292,Coating!$AU:$AU,0),14)*(1+Coating!$N$4),"")</f>
        <v/>
      </c>
    </row>
    <row r="293" spans="2:10" ht="21.75">
      <c r="B293" s="3143" t="s">
        <v>1610</v>
      </c>
      <c r="C293" s="3143">
        <f t="shared" si="4"/>
        <v>47</v>
      </c>
      <c r="D293" s="3143" t="str">
        <f ca="1">IFERROR(INDEX(Coating!$A:$AU,MATCH($C293,Coating!$AU:$AU,0),1),"")</f>
        <v/>
      </c>
      <c r="E293" s="3143" t="str">
        <f ca="1">IFERROR(INDEX(Coating!$A:$AU,MATCH($C293,Coating!$AU:$AU,0),4),"")</f>
        <v/>
      </c>
      <c r="F293" s="3143" t="s">
        <v>3651</v>
      </c>
      <c r="G293" s="3599" t="str">
        <f ca="1">IFERROR(INDEX(Coating!$A:$AU,MATCH($C293,Coating!$AU:$AU,0),10)/'ACC &amp; Other Material '!$E$2*10^3,"")</f>
        <v/>
      </c>
      <c r="H293" s="3599" t="str">
        <f ca="1">IFERROR(INDEX(Coating!$A:$AU,MATCH($C293,Coating!$AU:$AU,0),11)/'ACC &amp; Other Material '!$E$2*10^3,"")</f>
        <v/>
      </c>
      <c r="I293" s="3153" t="str">
        <f ca="1">IFERROR(INDEX(Coating!$A:$AU,MATCH($C293,Coating!$AU:$AU,0),14),"")</f>
        <v/>
      </c>
      <c r="J293" s="3153" t="str">
        <f ca="1">IFERROR(INDEX(Coating!$A:$AU,MATCH($C293,Coating!$AU:$AU,0),14)*(1+Coating!$N$4),"")</f>
        <v/>
      </c>
    </row>
    <row r="294" spans="2:10" ht="21.75">
      <c r="B294" s="3143" t="s">
        <v>1610</v>
      </c>
      <c r="C294" s="3143">
        <f t="shared" si="4"/>
        <v>48</v>
      </c>
      <c r="D294" s="3143" t="str">
        <f ca="1">IFERROR(INDEX(Coating!$A:$AU,MATCH($C294,Coating!$AU:$AU,0),1),"")</f>
        <v/>
      </c>
      <c r="E294" s="3143" t="str">
        <f ca="1">IFERROR(INDEX(Coating!$A:$AU,MATCH($C294,Coating!$AU:$AU,0),4),"")</f>
        <v/>
      </c>
      <c r="F294" s="3143" t="s">
        <v>3651</v>
      </c>
      <c r="G294" s="3599" t="str">
        <f ca="1">IFERROR(INDEX(Coating!$A:$AU,MATCH($C294,Coating!$AU:$AU,0),10)/'ACC &amp; Other Material '!$E$2*10^3,"")</f>
        <v/>
      </c>
      <c r="H294" s="3599" t="str">
        <f ca="1">IFERROR(INDEX(Coating!$A:$AU,MATCH($C294,Coating!$AU:$AU,0),11)/'ACC &amp; Other Material '!$E$2*10^3,"")</f>
        <v/>
      </c>
      <c r="I294" s="3153" t="str">
        <f ca="1">IFERROR(INDEX(Coating!$A:$AU,MATCH($C294,Coating!$AU:$AU,0),14),"")</f>
        <v/>
      </c>
      <c r="J294" s="3153" t="str">
        <f ca="1">IFERROR(INDEX(Coating!$A:$AU,MATCH($C294,Coating!$AU:$AU,0),14)*(1+Coating!$N$4),"")</f>
        <v/>
      </c>
    </row>
    <row r="295" spans="2:10" ht="21.75">
      <c r="B295" s="3143" t="s">
        <v>1610</v>
      </c>
      <c r="C295" s="3143">
        <f t="shared" si="4"/>
        <v>49</v>
      </c>
      <c r="D295" s="3143" t="str">
        <f ca="1">IFERROR(INDEX(Coating!$A:$AU,MATCH($C295,Coating!$AU:$AU,0),1),"")</f>
        <v/>
      </c>
      <c r="E295" s="3143" t="str">
        <f ca="1">IFERROR(INDEX(Coating!$A:$AU,MATCH($C295,Coating!$AU:$AU,0),4),"")</f>
        <v/>
      </c>
      <c r="F295" s="3143" t="s">
        <v>3651</v>
      </c>
      <c r="G295" s="3599" t="str">
        <f ca="1">IFERROR(INDEX(Coating!$A:$AU,MATCH($C295,Coating!$AU:$AU,0),10)/'ACC &amp; Other Material '!$E$2*10^3,"")</f>
        <v/>
      </c>
      <c r="H295" s="3599" t="str">
        <f ca="1">IFERROR(INDEX(Coating!$A:$AU,MATCH($C295,Coating!$AU:$AU,0),11)/'ACC &amp; Other Material '!$E$2*10^3,"")</f>
        <v/>
      </c>
      <c r="I295" s="3153" t="str">
        <f ca="1">IFERROR(INDEX(Coating!$A:$AU,MATCH($C295,Coating!$AU:$AU,0),14),"")</f>
        <v/>
      </c>
      <c r="J295" s="3153" t="str">
        <f ca="1">IFERROR(INDEX(Coating!$A:$AU,MATCH($C295,Coating!$AU:$AU,0),14)*(1+Coating!$N$4),"")</f>
        <v/>
      </c>
    </row>
    <row r="296" spans="2:10" ht="21.75">
      <c r="B296" s="3143" t="s">
        <v>1610</v>
      </c>
      <c r="C296" s="3143">
        <f t="shared" si="4"/>
        <v>50</v>
      </c>
      <c r="D296" s="3143" t="str">
        <f ca="1">IFERROR(INDEX(Coating!$A:$AU,MATCH($C296,Coating!$AU:$AU,0),1),"")</f>
        <v/>
      </c>
      <c r="E296" s="3143" t="str">
        <f ca="1">IFERROR(INDEX(Coating!$A:$AU,MATCH($C296,Coating!$AU:$AU,0),4),"")</f>
        <v/>
      </c>
      <c r="F296" s="3143" t="s">
        <v>3651</v>
      </c>
      <c r="G296" s="3599" t="str">
        <f ca="1">IFERROR(INDEX(Coating!$A:$AU,MATCH($C296,Coating!$AU:$AU,0),10)/'ACC &amp; Other Material '!$E$2*10^3,"")</f>
        <v/>
      </c>
      <c r="H296" s="3599" t="str">
        <f ca="1">IFERROR(INDEX(Coating!$A:$AU,MATCH($C296,Coating!$AU:$AU,0),11)/'ACC &amp; Other Material '!$E$2*10^3,"")</f>
        <v/>
      </c>
      <c r="I296" s="3153" t="str">
        <f ca="1">IFERROR(INDEX(Coating!$A:$AU,MATCH($C296,Coating!$AU:$AU,0),14),"")</f>
        <v/>
      </c>
      <c r="J296" s="3153" t="str">
        <f ca="1">IFERROR(INDEX(Coating!$A:$AU,MATCH($C296,Coating!$AU:$AU,0),14)*(1+Coating!$N$4),"")</f>
        <v/>
      </c>
    </row>
    <row r="297" spans="2:10" ht="21.75">
      <c r="B297" s="3143" t="s">
        <v>1610</v>
      </c>
      <c r="C297" s="3143">
        <f t="shared" si="4"/>
        <v>51</v>
      </c>
      <c r="D297" s="3143" t="str">
        <f ca="1">IFERROR(INDEX(Coating!$A:$AU,MATCH($C297,Coating!$AU:$AU,0),1),"")</f>
        <v/>
      </c>
      <c r="E297" s="3143" t="str">
        <f ca="1">IFERROR(INDEX(Coating!$A:$AU,MATCH($C297,Coating!$AU:$AU,0),4),"")</f>
        <v/>
      </c>
      <c r="F297" s="3143" t="s">
        <v>3651</v>
      </c>
      <c r="G297" s="3599" t="str">
        <f ca="1">IFERROR(INDEX(Coating!$A:$AU,MATCH($C297,Coating!$AU:$AU,0),10)/'ACC &amp; Other Material '!$E$2*10^3,"")</f>
        <v/>
      </c>
      <c r="H297" s="3599" t="str">
        <f ca="1">IFERROR(INDEX(Coating!$A:$AU,MATCH($C297,Coating!$AU:$AU,0),11)/'ACC &amp; Other Material '!$E$2*10^3,"")</f>
        <v/>
      </c>
      <c r="I297" s="3153" t="str">
        <f ca="1">IFERROR(INDEX(Coating!$A:$AU,MATCH($C297,Coating!$AU:$AU,0),14),"")</f>
        <v/>
      </c>
      <c r="J297" s="3153" t="str">
        <f ca="1">IFERROR(INDEX(Coating!$A:$AU,MATCH($C297,Coating!$AU:$AU,0),14)*(1+Coating!$N$4),"")</f>
        <v/>
      </c>
    </row>
    <row r="298" spans="2:10" ht="21.75">
      <c r="B298" s="3143" t="s">
        <v>1610</v>
      </c>
      <c r="C298" s="3143">
        <f t="shared" si="4"/>
        <v>52</v>
      </c>
      <c r="D298" s="3143" t="str">
        <f ca="1">IFERROR(INDEX(Coating!$A:$AU,MATCH($C298,Coating!$AU:$AU,0),1),"")</f>
        <v/>
      </c>
      <c r="E298" s="3143" t="str">
        <f ca="1">IFERROR(INDEX(Coating!$A:$AU,MATCH($C298,Coating!$AU:$AU,0),4),"")</f>
        <v/>
      </c>
      <c r="F298" s="3143" t="s">
        <v>3651</v>
      </c>
      <c r="G298" s="3599" t="str">
        <f ca="1">IFERROR(INDEX(Coating!$A:$AU,MATCH($C298,Coating!$AU:$AU,0),10)/'ACC &amp; Other Material '!$E$2*10^3,"")</f>
        <v/>
      </c>
      <c r="H298" s="3599" t="str">
        <f ca="1">IFERROR(INDEX(Coating!$A:$AU,MATCH($C298,Coating!$AU:$AU,0),11)/'ACC &amp; Other Material '!$E$2*10^3,"")</f>
        <v/>
      </c>
      <c r="I298" s="3153" t="str">
        <f ca="1">IFERROR(INDEX(Coating!$A:$AU,MATCH($C298,Coating!$AU:$AU,0),14),"")</f>
        <v/>
      </c>
      <c r="J298" s="3153" t="str">
        <f ca="1">IFERROR(INDEX(Coating!$A:$AU,MATCH($C298,Coating!$AU:$AU,0),14)*(1+Coating!$N$4),"")</f>
        <v/>
      </c>
    </row>
    <row r="299" spans="2:10" ht="21.75">
      <c r="B299" s="3143" t="s">
        <v>1610</v>
      </c>
      <c r="C299" s="3143">
        <f t="shared" si="4"/>
        <v>53</v>
      </c>
      <c r="D299" s="3143" t="str">
        <f ca="1">IFERROR(INDEX(Coating!$A:$AU,MATCH($C299,Coating!$AU:$AU,0),1),"")</f>
        <v/>
      </c>
      <c r="E299" s="3143" t="str">
        <f ca="1">IFERROR(INDEX(Coating!$A:$AU,MATCH($C299,Coating!$AU:$AU,0),4),"")</f>
        <v/>
      </c>
      <c r="F299" s="3143" t="s">
        <v>3651</v>
      </c>
      <c r="G299" s="3599" t="str">
        <f ca="1">IFERROR(INDEX(Coating!$A:$AU,MATCH($C299,Coating!$AU:$AU,0),10)/'ACC &amp; Other Material '!$E$2*10^3,"")</f>
        <v/>
      </c>
      <c r="H299" s="3599" t="str">
        <f ca="1">IFERROR(INDEX(Coating!$A:$AU,MATCH($C299,Coating!$AU:$AU,0),11)/'ACC &amp; Other Material '!$E$2*10^3,"")</f>
        <v/>
      </c>
      <c r="I299" s="3153" t="str">
        <f ca="1">IFERROR(INDEX(Coating!$A:$AU,MATCH($C299,Coating!$AU:$AU,0),14),"")</f>
        <v/>
      </c>
      <c r="J299" s="3153" t="str">
        <f ca="1">IFERROR(INDEX(Coating!$A:$AU,MATCH($C299,Coating!$AU:$AU,0),14)*(1+Coating!$N$4),"")</f>
        <v/>
      </c>
    </row>
    <row r="300" spans="2:10" ht="21.75">
      <c r="B300" s="3143" t="s">
        <v>1610</v>
      </c>
      <c r="C300" s="3143">
        <f t="shared" si="4"/>
        <v>54</v>
      </c>
      <c r="D300" s="3143" t="str">
        <f ca="1">IFERROR(INDEX(Coating!$A:$AU,MATCH($C300,Coating!$AU:$AU,0),1),"")</f>
        <v/>
      </c>
      <c r="E300" s="3143" t="str">
        <f ca="1">IFERROR(INDEX(Coating!$A:$AU,MATCH($C300,Coating!$AU:$AU,0),4),"")</f>
        <v/>
      </c>
      <c r="F300" s="3143" t="s">
        <v>3651</v>
      </c>
      <c r="G300" s="3599" t="str">
        <f ca="1">IFERROR(INDEX(Coating!$A:$AU,MATCH($C300,Coating!$AU:$AU,0),10)/'ACC &amp; Other Material '!$E$2*10^3,"")</f>
        <v/>
      </c>
      <c r="H300" s="3599" t="str">
        <f ca="1">IFERROR(INDEX(Coating!$A:$AU,MATCH($C300,Coating!$AU:$AU,0),11)/'ACC &amp; Other Material '!$E$2*10^3,"")</f>
        <v/>
      </c>
      <c r="I300" s="3153" t="str">
        <f ca="1">IFERROR(INDEX(Coating!$A:$AU,MATCH($C300,Coating!$AU:$AU,0),14),"")</f>
        <v/>
      </c>
      <c r="J300" s="3153" t="str">
        <f ca="1">IFERROR(INDEX(Coating!$A:$AU,MATCH($C300,Coating!$AU:$AU,0),14)*(1+Coating!$N$4),"")</f>
        <v/>
      </c>
    </row>
    <row r="301" spans="2:10" ht="21.75">
      <c r="B301" s="3143" t="s">
        <v>1610</v>
      </c>
      <c r="C301" s="3143">
        <f t="shared" si="4"/>
        <v>55</v>
      </c>
      <c r="D301" s="3143" t="str">
        <f ca="1">IFERROR(INDEX(Coating!$A:$AU,MATCH($C301,Coating!$AU:$AU,0),1),"")</f>
        <v/>
      </c>
      <c r="E301" s="3143" t="str">
        <f ca="1">IFERROR(INDEX(Coating!$A:$AU,MATCH($C301,Coating!$AU:$AU,0),4),"")</f>
        <v/>
      </c>
      <c r="F301" s="3143" t="s">
        <v>3651</v>
      </c>
      <c r="G301" s="3599" t="str">
        <f ca="1">IFERROR(INDEX(Coating!$A:$AU,MATCH($C301,Coating!$AU:$AU,0),10)/'ACC &amp; Other Material '!$E$2*10^3,"")</f>
        <v/>
      </c>
      <c r="H301" s="3599" t="str">
        <f ca="1">IFERROR(INDEX(Coating!$A:$AU,MATCH($C301,Coating!$AU:$AU,0),11)/'ACC &amp; Other Material '!$E$2*10^3,"")</f>
        <v/>
      </c>
      <c r="I301" s="3153" t="str">
        <f ca="1">IFERROR(INDEX(Coating!$A:$AU,MATCH($C301,Coating!$AU:$AU,0),14),"")</f>
        <v/>
      </c>
      <c r="J301" s="3153" t="str">
        <f ca="1">IFERROR(INDEX(Coating!$A:$AU,MATCH($C301,Coating!$AU:$AU,0),14)*(1+Coating!$N$4),"")</f>
        <v/>
      </c>
    </row>
    <row r="302" spans="2:10" ht="21.75">
      <c r="B302" s="3143" t="s">
        <v>1610</v>
      </c>
      <c r="C302" s="3143">
        <f t="shared" si="4"/>
        <v>56</v>
      </c>
      <c r="D302" s="3143" t="str">
        <f ca="1">IFERROR(INDEX(Coating!$A:$AU,MATCH($C302,Coating!$AU:$AU,0),1),"")</f>
        <v/>
      </c>
      <c r="E302" s="3143" t="str">
        <f ca="1">IFERROR(INDEX(Coating!$A:$AU,MATCH($C302,Coating!$AU:$AU,0),4),"")</f>
        <v/>
      </c>
      <c r="F302" s="3143" t="s">
        <v>3651</v>
      </c>
      <c r="G302" s="3599" t="str">
        <f ca="1">IFERROR(INDEX(Coating!$A:$AU,MATCH($C302,Coating!$AU:$AU,0),10)/'ACC &amp; Other Material '!$E$2*10^3,"")</f>
        <v/>
      </c>
      <c r="H302" s="3599" t="str">
        <f ca="1">IFERROR(INDEX(Coating!$A:$AU,MATCH($C302,Coating!$AU:$AU,0),11)/'ACC &amp; Other Material '!$E$2*10^3,"")</f>
        <v/>
      </c>
      <c r="I302" s="3153" t="str">
        <f ca="1">IFERROR(INDEX(Coating!$A:$AU,MATCH($C302,Coating!$AU:$AU,0),14),"")</f>
        <v/>
      </c>
      <c r="J302" s="3153" t="str">
        <f ca="1">IFERROR(INDEX(Coating!$A:$AU,MATCH($C302,Coating!$AU:$AU,0),14)*(1+Coating!$N$4),"")</f>
        <v/>
      </c>
    </row>
    <row r="303" spans="2:10" ht="21.75">
      <c r="B303" s="3143" t="s">
        <v>1610</v>
      </c>
      <c r="C303" s="3143">
        <f t="shared" si="4"/>
        <v>57</v>
      </c>
      <c r="D303" s="3143" t="str">
        <f ca="1">IFERROR(INDEX(Coating!$A:$AU,MATCH($C303,Coating!$AU:$AU,0),1),"")</f>
        <v/>
      </c>
      <c r="E303" s="3143" t="str">
        <f ca="1">IFERROR(INDEX(Coating!$A:$AU,MATCH($C303,Coating!$AU:$AU,0),4),"")</f>
        <v/>
      </c>
      <c r="F303" s="3143" t="s">
        <v>3651</v>
      </c>
      <c r="G303" s="3599" t="str">
        <f ca="1">IFERROR(INDEX(Coating!$A:$AU,MATCH($C303,Coating!$AU:$AU,0),10)/'ACC &amp; Other Material '!$E$2*10^3,"")</f>
        <v/>
      </c>
      <c r="H303" s="3599" t="str">
        <f ca="1">IFERROR(INDEX(Coating!$A:$AU,MATCH($C303,Coating!$AU:$AU,0),11)/'ACC &amp; Other Material '!$E$2*10^3,"")</f>
        <v/>
      </c>
      <c r="I303" s="3153" t="str">
        <f ca="1">IFERROR(INDEX(Coating!$A:$AU,MATCH($C303,Coating!$AU:$AU,0),14),"")</f>
        <v/>
      </c>
      <c r="J303" s="3153" t="str">
        <f ca="1">IFERROR(INDEX(Coating!$A:$AU,MATCH($C303,Coating!$AU:$AU,0),14)*(1+Coating!$N$4),"")</f>
        <v/>
      </c>
    </row>
    <row r="304" spans="2:10" ht="21.75">
      <c r="B304" s="3143" t="s">
        <v>1610</v>
      </c>
      <c r="C304" s="3143">
        <f t="shared" si="4"/>
        <v>58</v>
      </c>
      <c r="D304" s="3143" t="str">
        <f ca="1">IFERROR(INDEX(Coating!$A:$AU,MATCH($C304,Coating!$AU:$AU,0),1),"")</f>
        <v/>
      </c>
      <c r="E304" s="3143" t="str">
        <f ca="1">IFERROR(INDEX(Coating!$A:$AU,MATCH($C304,Coating!$AU:$AU,0),4),"")</f>
        <v/>
      </c>
      <c r="F304" s="3143" t="s">
        <v>3651</v>
      </c>
      <c r="G304" s="3599" t="str">
        <f ca="1">IFERROR(INDEX(Coating!$A:$AU,MATCH($C304,Coating!$AU:$AU,0),10)/'ACC &amp; Other Material '!$E$2*10^3,"")</f>
        <v/>
      </c>
      <c r="H304" s="3599" t="str">
        <f ca="1">IFERROR(INDEX(Coating!$A:$AU,MATCH($C304,Coating!$AU:$AU,0),11)/'ACC &amp; Other Material '!$E$2*10^3,"")</f>
        <v/>
      </c>
      <c r="I304" s="3153" t="str">
        <f ca="1">IFERROR(INDEX(Coating!$A:$AU,MATCH($C304,Coating!$AU:$AU,0),14),"")</f>
        <v/>
      </c>
      <c r="J304" s="3153" t="str">
        <f ca="1">IFERROR(INDEX(Coating!$A:$AU,MATCH($C304,Coating!$AU:$AU,0),14)*(1+Coating!$N$4),"")</f>
        <v/>
      </c>
    </row>
    <row r="305" spans="2:10" ht="21.75">
      <c r="B305" s="3143" t="s">
        <v>1610</v>
      </c>
      <c r="C305" s="3143">
        <f t="shared" si="4"/>
        <v>59</v>
      </c>
      <c r="D305" s="3143" t="str">
        <f ca="1">IFERROR(INDEX(Coating!$A:$AU,MATCH($C305,Coating!$AU:$AU,0),1),"")</f>
        <v/>
      </c>
      <c r="E305" s="3143" t="str">
        <f ca="1">IFERROR(INDEX(Coating!$A:$AU,MATCH($C305,Coating!$AU:$AU,0),4),"")</f>
        <v/>
      </c>
      <c r="F305" s="3143" t="s">
        <v>3651</v>
      </c>
      <c r="G305" s="3599" t="str">
        <f ca="1">IFERROR(INDEX(Coating!$A:$AU,MATCH($C305,Coating!$AU:$AU,0),10)/'ACC &amp; Other Material '!$E$2*10^3,"")</f>
        <v/>
      </c>
      <c r="H305" s="3599" t="str">
        <f ca="1">IFERROR(INDEX(Coating!$A:$AU,MATCH($C305,Coating!$AU:$AU,0),11)/'ACC &amp; Other Material '!$E$2*10^3,"")</f>
        <v/>
      </c>
      <c r="I305" s="3153" t="str">
        <f ca="1">IFERROR(INDEX(Coating!$A:$AU,MATCH($C305,Coating!$AU:$AU,0),14),"")</f>
        <v/>
      </c>
      <c r="J305" s="3153" t="str">
        <f ca="1">IFERROR(INDEX(Coating!$A:$AU,MATCH($C305,Coating!$AU:$AU,0),14)*(1+Coating!$N$4),"")</f>
        <v/>
      </c>
    </row>
    <row r="306" spans="2:10" ht="21.75">
      <c r="B306" s="3143" t="s">
        <v>1610</v>
      </c>
      <c r="C306" s="3143">
        <f t="shared" si="4"/>
        <v>60</v>
      </c>
      <c r="D306" s="3143" t="str">
        <f ca="1">IFERROR(INDEX(Coating!$A:$AU,MATCH($C306,Coating!$AU:$AU,0),1),"")</f>
        <v/>
      </c>
      <c r="E306" s="3143" t="str">
        <f ca="1">IFERROR(INDEX(Coating!$A:$AU,MATCH($C306,Coating!$AU:$AU,0),4),"")</f>
        <v/>
      </c>
      <c r="F306" s="3143" t="s">
        <v>3651</v>
      </c>
      <c r="G306" s="3599" t="str">
        <f ca="1">IFERROR(INDEX(Coating!$A:$AU,MATCH($C306,Coating!$AU:$AU,0),10)/'ACC &amp; Other Material '!$E$2*10^3,"")</f>
        <v/>
      </c>
      <c r="H306" s="3599" t="str">
        <f ca="1">IFERROR(INDEX(Coating!$A:$AU,MATCH($C306,Coating!$AU:$AU,0),11)/'ACC &amp; Other Material '!$E$2*10^3,"")</f>
        <v/>
      </c>
      <c r="I306" s="3153" t="str">
        <f ca="1">IFERROR(INDEX(Coating!$A:$AU,MATCH($C306,Coating!$AU:$AU,0),14),"")</f>
        <v/>
      </c>
      <c r="J306" s="3153" t="str">
        <f ca="1">IFERROR(INDEX(Coating!$A:$AU,MATCH($C306,Coating!$AU:$AU,0),14)*(1+Coating!$N$4),"")</f>
        <v/>
      </c>
    </row>
    <row r="307" spans="2:10" ht="21.75">
      <c r="B307" s="3143" t="s">
        <v>1610</v>
      </c>
      <c r="C307" s="3143">
        <f t="shared" si="4"/>
        <v>61</v>
      </c>
      <c r="D307" s="3143" t="str">
        <f ca="1">IFERROR(INDEX(Coating!$A:$AU,MATCH($C307,Coating!$AU:$AU,0),1),"")</f>
        <v/>
      </c>
      <c r="E307" s="3143" t="str">
        <f ca="1">IFERROR(INDEX(Coating!$A:$AU,MATCH($C307,Coating!$AU:$AU,0),4),"")</f>
        <v/>
      </c>
      <c r="F307" s="3143" t="s">
        <v>3651</v>
      </c>
      <c r="G307" s="3599" t="str">
        <f ca="1">IFERROR(INDEX(Coating!$A:$AU,MATCH($C307,Coating!$AU:$AU,0),10)/'ACC &amp; Other Material '!$E$2*10^3,"")</f>
        <v/>
      </c>
      <c r="H307" s="3599" t="str">
        <f ca="1">IFERROR(INDEX(Coating!$A:$AU,MATCH($C307,Coating!$AU:$AU,0),11)/'ACC &amp; Other Material '!$E$2*10^3,"")</f>
        <v/>
      </c>
      <c r="I307" s="3153" t="str">
        <f ca="1">IFERROR(INDEX(Coating!$A:$AU,MATCH($C307,Coating!$AU:$AU,0),14),"")</f>
        <v/>
      </c>
      <c r="J307" s="3153" t="str">
        <f ca="1">IFERROR(INDEX(Coating!$A:$AU,MATCH($C307,Coating!$AU:$AU,0),14)*(1+Coating!$N$4),"")</f>
        <v/>
      </c>
    </row>
    <row r="308" spans="2:10" ht="21.75">
      <c r="B308" s="3143" t="s">
        <v>1610</v>
      </c>
      <c r="C308" s="3143">
        <f t="shared" si="4"/>
        <v>62</v>
      </c>
      <c r="D308" s="3143" t="str">
        <f ca="1">IFERROR(INDEX(Coating!$A:$AU,MATCH($C308,Coating!$AU:$AU,0),1),"")</f>
        <v/>
      </c>
      <c r="E308" s="3143" t="str">
        <f ca="1">IFERROR(INDEX(Coating!$A:$AU,MATCH($C308,Coating!$AU:$AU,0),4),"")</f>
        <v/>
      </c>
      <c r="F308" s="3143" t="s">
        <v>3651</v>
      </c>
      <c r="G308" s="3599" t="str">
        <f ca="1">IFERROR(INDEX(Coating!$A:$AU,MATCH($C308,Coating!$AU:$AU,0),10)/'ACC &amp; Other Material '!$E$2*10^3,"")</f>
        <v/>
      </c>
      <c r="H308" s="3599" t="str">
        <f ca="1">IFERROR(INDEX(Coating!$A:$AU,MATCH($C308,Coating!$AU:$AU,0),11)/'ACC &amp; Other Material '!$E$2*10^3,"")</f>
        <v/>
      </c>
      <c r="I308" s="3153" t="str">
        <f ca="1">IFERROR(INDEX(Coating!$A:$AU,MATCH($C308,Coating!$AU:$AU,0),14),"")</f>
        <v/>
      </c>
      <c r="J308" s="3153" t="str">
        <f ca="1">IFERROR(INDEX(Coating!$A:$AU,MATCH($C308,Coating!$AU:$AU,0),14)*(1+Coating!$N$4),"")</f>
        <v/>
      </c>
    </row>
    <row r="309" spans="2:10" ht="21.75">
      <c r="B309" s="3143" t="s">
        <v>1610</v>
      </c>
      <c r="C309" s="3143">
        <f t="shared" si="4"/>
        <v>63</v>
      </c>
      <c r="D309" s="3143" t="str">
        <f ca="1">IFERROR(INDEX(Coating!$A:$AU,MATCH($C309,Coating!$AU:$AU,0),1),"")</f>
        <v/>
      </c>
      <c r="E309" s="3143" t="str">
        <f ca="1">IFERROR(INDEX(Coating!$A:$AU,MATCH($C309,Coating!$AU:$AU,0),4),"")</f>
        <v/>
      </c>
      <c r="F309" s="3143" t="s">
        <v>3651</v>
      </c>
      <c r="G309" s="3599" t="str">
        <f ca="1">IFERROR(INDEX(Coating!$A:$AU,MATCH($C309,Coating!$AU:$AU,0),10)/'ACC &amp; Other Material '!$E$2*10^3,"")</f>
        <v/>
      </c>
      <c r="H309" s="3599" t="str">
        <f ca="1">IFERROR(INDEX(Coating!$A:$AU,MATCH($C309,Coating!$AU:$AU,0),11)/'ACC &amp; Other Material '!$E$2*10^3,"")</f>
        <v/>
      </c>
      <c r="I309" s="3153" t="str">
        <f ca="1">IFERROR(INDEX(Coating!$A:$AU,MATCH($C309,Coating!$AU:$AU,0),14),"")</f>
        <v/>
      </c>
      <c r="J309" s="3153" t="str">
        <f ca="1">IFERROR(INDEX(Coating!$A:$AU,MATCH($C309,Coating!$AU:$AU,0),14)*(1+Coating!$N$4),"")</f>
        <v/>
      </c>
    </row>
    <row r="310" spans="2:10" ht="21.75">
      <c r="B310" s="3143" t="s">
        <v>1610</v>
      </c>
      <c r="C310" s="3143">
        <f t="shared" si="4"/>
        <v>64</v>
      </c>
      <c r="D310" s="3143" t="str">
        <f ca="1">IFERROR(INDEX(Coating!$A:$AU,MATCH($C310,Coating!$AU:$AU,0),1),"")</f>
        <v/>
      </c>
      <c r="E310" s="3143" t="str">
        <f ca="1">IFERROR(INDEX(Coating!$A:$AU,MATCH($C310,Coating!$AU:$AU,0),4),"")</f>
        <v/>
      </c>
      <c r="F310" s="3143" t="s">
        <v>3651</v>
      </c>
      <c r="G310" s="3599" t="str">
        <f ca="1">IFERROR(INDEX(Coating!$A:$AU,MATCH($C310,Coating!$AU:$AU,0),10)/'ACC &amp; Other Material '!$E$2*10^3,"")</f>
        <v/>
      </c>
      <c r="H310" s="3599" t="str">
        <f ca="1">IFERROR(INDEX(Coating!$A:$AU,MATCH($C310,Coating!$AU:$AU,0),11)/'ACC &amp; Other Material '!$E$2*10^3,"")</f>
        <v/>
      </c>
      <c r="I310" s="3153" t="str">
        <f ca="1">IFERROR(INDEX(Coating!$A:$AU,MATCH($C310,Coating!$AU:$AU,0),14),"")</f>
        <v/>
      </c>
      <c r="J310" s="3153" t="str">
        <f ca="1">IFERROR(INDEX(Coating!$A:$AU,MATCH($C310,Coating!$AU:$AU,0),14)*(1+Coating!$N$4),"")</f>
        <v/>
      </c>
    </row>
    <row r="311" spans="2:10" ht="21.75">
      <c r="B311" s="3143" t="s">
        <v>1610</v>
      </c>
      <c r="C311" s="3143">
        <f t="shared" si="4"/>
        <v>65</v>
      </c>
      <c r="D311" s="3143" t="str">
        <f ca="1">IFERROR(INDEX(Coating!$A:$AU,MATCH($C311,Coating!$AU:$AU,0),1),"")</f>
        <v/>
      </c>
      <c r="E311" s="3143" t="str">
        <f ca="1">IFERROR(INDEX(Coating!$A:$AU,MATCH($C311,Coating!$AU:$AU,0),4),"")</f>
        <v/>
      </c>
      <c r="F311" s="3143" t="s">
        <v>3651</v>
      </c>
      <c r="G311" s="3599" t="str">
        <f ca="1">IFERROR(INDEX(Coating!$A:$AU,MATCH($C311,Coating!$AU:$AU,0),10)/'ACC &amp; Other Material '!$E$2*10^3,"")</f>
        <v/>
      </c>
      <c r="H311" s="3599" t="str">
        <f ca="1">IFERROR(INDEX(Coating!$A:$AU,MATCH($C311,Coating!$AU:$AU,0),11)/'ACC &amp; Other Material '!$E$2*10^3,"")</f>
        <v/>
      </c>
      <c r="I311" s="3153" t="str">
        <f ca="1">IFERROR(INDEX(Coating!$A:$AU,MATCH($C311,Coating!$AU:$AU,0),14),"")</f>
        <v/>
      </c>
      <c r="J311" s="3153" t="str">
        <f ca="1">IFERROR(INDEX(Coating!$A:$AU,MATCH($C311,Coating!$AU:$AU,0),14)*(1+Coating!$N$4),"")</f>
        <v/>
      </c>
    </row>
    <row r="312" spans="2:10" ht="21.75">
      <c r="B312" s="3143" t="s">
        <v>1610</v>
      </c>
      <c r="C312" s="3143">
        <f t="shared" si="4"/>
        <v>66</v>
      </c>
      <c r="D312" s="3143" t="str">
        <f ca="1">IFERROR(INDEX(Coating!$A:$AU,MATCH($C312,Coating!$AU:$AU,0),1),"")</f>
        <v/>
      </c>
      <c r="E312" s="3143" t="str">
        <f ca="1">IFERROR(INDEX(Coating!$A:$AU,MATCH($C312,Coating!$AU:$AU,0),4),"")</f>
        <v/>
      </c>
      <c r="F312" s="3143" t="s">
        <v>3651</v>
      </c>
      <c r="G312" s="3599" t="str">
        <f ca="1">IFERROR(INDEX(Coating!$A:$AU,MATCH($C312,Coating!$AU:$AU,0),10)/'ACC &amp; Other Material '!$E$2*10^3,"")</f>
        <v/>
      </c>
      <c r="H312" s="3599" t="str">
        <f ca="1">IFERROR(INDEX(Coating!$A:$AU,MATCH($C312,Coating!$AU:$AU,0),11)/'ACC &amp; Other Material '!$E$2*10^3,"")</f>
        <v/>
      </c>
      <c r="I312" s="3153" t="str">
        <f ca="1">IFERROR(INDEX(Coating!$A:$AU,MATCH($C312,Coating!$AU:$AU,0),14),"")</f>
        <v/>
      </c>
      <c r="J312" s="3153" t="str">
        <f ca="1">IFERROR(INDEX(Coating!$A:$AU,MATCH($C312,Coating!$AU:$AU,0),14)*(1+Coating!$N$4),"")</f>
        <v/>
      </c>
    </row>
    <row r="313" spans="2:10" ht="21.75">
      <c r="B313" s="3143" t="s">
        <v>1610</v>
      </c>
      <c r="C313" s="3143">
        <f t="shared" ref="C313:C376" si="5">C312+1</f>
        <v>67</v>
      </c>
      <c r="D313" s="3143" t="str">
        <f ca="1">IFERROR(INDEX(Coating!$A:$AU,MATCH($C313,Coating!$AU:$AU,0),1),"")</f>
        <v/>
      </c>
      <c r="E313" s="3143" t="str">
        <f ca="1">IFERROR(INDEX(Coating!$A:$AU,MATCH($C313,Coating!$AU:$AU,0),4),"")</f>
        <v/>
      </c>
      <c r="F313" s="3143" t="s">
        <v>3651</v>
      </c>
      <c r="G313" s="3599" t="str">
        <f ca="1">IFERROR(INDEX(Coating!$A:$AU,MATCH($C313,Coating!$AU:$AU,0),10)/'ACC &amp; Other Material '!$E$2*10^3,"")</f>
        <v/>
      </c>
      <c r="H313" s="3599" t="str">
        <f ca="1">IFERROR(INDEX(Coating!$A:$AU,MATCH($C313,Coating!$AU:$AU,0),11)/'ACC &amp; Other Material '!$E$2*10^3,"")</f>
        <v/>
      </c>
      <c r="I313" s="3153" t="str">
        <f ca="1">IFERROR(INDEX(Coating!$A:$AU,MATCH($C313,Coating!$AU:$AU,0),14),"")</f>
        <v/>
      </c>
      <c r="J313" s="3153" t="str">
        <f ca="1">IFERROR(INDEX(Coating!$A:$AU,MATCH($C313,Coating!$AU:$AU,0),14)*(1+Coating!$N$4),"")</f>
        <v/>
      </c>
    </row>
    <row r="314" spans="2:10" ht="21.75">
      <c r="B314" s="3143" t="s">
        <v>1610</v>
      </c>
      <c r="C314" s="3143">
        <f t="shared" si="5"/>
        <v>68</v>
      </c>
      <c r="D314" s="3143" t="str">
        <f ca="1">IFERROR(INDEX(Coating!$A:$AU,MATCH($C314,Coating!$AU:$AU,0),1),"")</f>
        <v/>
      </c>
      <c r="E314" s="3143" t="str">
        <f ca="1">IFERROR(INDEX(Coating!$A:$AU,MATCH($C314,Coating!$AU:$AU,0),4),"")</f>
        <v/>
      </c>
      <c r="F314" s="3143" t="s">
        <v>3651</v>
      </c>
      <c r="G314" s="3599" t="str">
        <f ca="1">IFERROR(INDEX(Coating!$A:$AU,MATCH($C314,Coating!$AU:$AU,0),10)/'ACC &amp; Other Material '!$E$2*10^3,"")</f>
        <v/>
      </c>
      <c r="H314" s="3599" t="str">
        <f ca="1">IFERROR(INDEX(Coating!$A:$AU,MATCH($C314,Coating!$AU:$AU,0),11)/'ACC &amp; Other Material '!$E$2*10^3,"")</f>
        <v/>
      </c>
      <c r="I314" s="3153" t="str">
        <f ca="1">IFERROR(INDEX(Coating!$A:$AU,MATCH($C314,Coating!$AU:$AU,0),14),"")</f>
        <v/>
      </c>
      <c r="J314" s="3153" t="str">
        <f ca="1">IFERROR(INDEX(Coating!$A:$AU,MATCH($C314,Coating!$AU:$AU,0),14)*(1+Coating!$N$4),"")</f>
        <v/>
      </c>
    </row>
    <row r="315" spans="2:10" ht="21.75">
      <c r="B315" s="3143" t="s">
        <v>1610</v>
      </c>
      <c r="C315" s="3143">
        <f t="shared" si="5"/>
        <v>69</v>
      </c>
      <c r="D315" s="3143" t="str">
        <f ca="1">IFERROR(INDEX(Coating!$A:$AU,MATCH($C315,Coating!$AU:$AU,0),1),"")</f>
        <v/>
      </c>
      <c r="E315" s="3143" t="str">
        <f ca="1">IFERROR(INDEX(Coating!$A:$AU,MATCH($C315,Coating!$AU:$AU,0),4),"")</f>
        <v/>
      </c>
      <c r="F315" s="3143" t="s">
        <v>3651</v>
      </c>
      <c r="G315" s="3599" t="str">
        <f ca="1">IFERROR(INDEX(Coating!$A:$AU,MATCH($C315,Coating!$AU:$AU,0),10)/'ACC &amp; Other Material '!$E$2*10^3,"")</f>
        <v/>
      </c>
      <c r="H315" s="3599" t="str">
        <f ca="1">IFERROR(INDEX(Coating!$A:$AU,MATCH($C315,Coating!$AU:$AU,0),11)/'ACC &amp; Other Material '!$E$2*10^3,"")</f>
        <v/>
      </c>
      <c r="I315" s="3153" t="str">
        <f ca="1">IFERROR(INDEX(Coating!$A:$AU,MATCH($C315,Coating!$AU:$AU,0),14),"")</f>
        <v/>
      </c>
      <c r="J315" s="3153" t="str">
        <f ca="1">IFERROR(INDEX(Coating!$A:$AU,MATCH($C315,Coating!$AU:$AU,0),14)*(1+Coating!$N$4),"")</f>
        <v/>
      </c>
    </row>
    <row r="316" spans="2:10" ht="21.75">
      <c r="B316" s="3143" t="s">
        <v>1610</v>
      </c>
      <c r="C316" s="3143">
        <f t="shared" si="5"/>
        <v>70</v>
      </c>
      <c r="D316" s="3143" t="str">
        <f ca="1">IFERROR(INDEX(Coating!$A:$AU,MATCH($C316,Coating!$AU:$AU,0),1),"")</f>
        <v/>
      </c>
      <c r="E316" s="3143" t="str">
        <f ca="1">IFERROR(INDEX(Coating!$A:$AU,MATCH($C316,Coating!$AU:$AU,0),4),"")</f>
        <v/>
      </c>
      <c r="F316" s="3143" t="s">
        <v>3651</v>
      </c>
      <c r="G316" s="3599" t="str">
        <f ca="1">IFERROR(INDEX(Coating!$A:$AU,MATCH($C316,Coating!$AU:$AU,0),10)/'ACC &amp; Other Material '!$E$2*10^3,"")</f>
        <v/>
      </c>
      <c r="H316" s="3599" t="str">
        <f ca="1">IFERROR(INDEX(Coating!$A:$AU,MATCH($C316,Coating!$AU:$AU,0),11)/'ACC &amp; Other Material '!$E$2*10^3,"")</f>
        <v/>
      </c>
      <c r="I316" s="3153" t="str">
        <f ca="1">IFERROR(INDEX(Coating!$A:$AU,MATCH($C316,Coating!$AU:$AU,0),14),"")</f>
        <v/>
      </c>
      <c r="J316" s="3153" t="str">
        <f ca="1">IFERROR(INDEX(Coating!$A:$AU,MATCH($C316,Coating!$AU:$AU,0),14)*(1+Coating!$N$4),"")</f>
        <v/>
      </c>
    </row>
    <row r="317" spans="2:10" ht="21.75">
      <c r="B317" s="3143" t="s">
        <v>1610</v>
      </c>
      <c r="C317" s="3143">
        <f t="shared" si="5"/>
        <v>71</v>
      </c>
      <c r="D317" s="3143" t="str">
        <f ca="1">IFERROR(INDEX(Coating!$A:$AU,MATCH($C317,Coating!$AU:$AU,0),1),"")</f>
        <v/>
      </c>
      <c r="E317" s="3143" t="str">
        <f ca="1">IFERROR(INDEX(Coating!$A:$AU,MATCH($C317,Coating!$AU:$AU,0),4),"")</f>
        <v/>
      </c>
      <c r="F317" s="3143" t="s">
        <v>3651</v>
      </c>
      <c r="G317" s="3599" t="str">
        <f ca="1">IFERROR(INDEX(Coating!$A:$AU,MATCH($C317,Coating!$AU:$AU,0),10)/'ACC &amp; Other Material '!$E$2*10^3,"")</f>
        <v/>
      </c>
      <c r="H317" s="3599" t="str">
        <f ca="1">IFERROR(INDEX(Coating!$A:$AU,MATCH($C317,Coating!$AU:$AU,0),11)/'ACC &amp; Other Material '!$E$2*10^3,"")</f>
        <v/>
      </c>
      <c r="I317" s="3153" t="str">
        <f ca="1">IFERROR(INDEX(Coating!$A:$AU,MATCH($C317,Coating!$AU:$AU,0),14),"")</f>
        <v/>
      </c>
      <c r="J317" s="3153" t="str">
        <f ca="1">IFERROR(INDEX(Coating!$A:$AU,MATCH($C317,Coating!$AU:$AU,0),14)*(1+Coating!$N$4),"")</f>
        <v/>
      </c>
    </row>
    <row r="318" spans="2:10" ht="21.75">
      <c r="B318" s="3143" t="s">
        <v>1610</v>
      </c>
      <c r="C318" s="3143">
        <f t="shared" si="5"/>
        <v>72</v>
      </c>
      <c r="D318" s="3143" t="str">
        <f ca="1">IFERROR(INDEX(Coating!$A:$AU,MATCH($C318,Coating!$AU:$AU,0),1),"")</f>
        <v/>
      </c>
      <c r="E318" s="3143" t="str">
        <f ca="1">IFERROR(INDEX(Coating!$A:$AU,MATCH($C318,Coating!$AU:$AU,0),4),"")</f>
        <v/>
      </c>
      <c r="F318" s="3143" t="s">
        <v>3651</v>
      </c>
      <c r="G318" s="3599" t="str">
        <f ca="1">IFERROR(INDEX(Coating!$A:$AU,MATCH($C318,Coating!$AU:$AU,0),10)/'ACC &amp; Other Material '!$E$2*10^3,"")</f>
        <v/>
      </c>
      <c r="H318" s="3599" t="str">
        <f ca="1">IFERROR(INDEX(Coating!$A:$AU,MATCH($C318,Coating!$AU:$AU,0),11)/'ACC &amp; Other Material '!$E$2*10^3,"")</f>
        <v/>
      </c>
      <c r="I318" s="3153" t="str">
        <f ca="1">IFERROR(INDEX(Coating!$A:$AU,MATCH($C318,Coating!$AU:$AU,0),14),"")</f>
        <v/>
      </c>
      <c r="J318" s="3153" t="str">
        <f ca="1">IFERROR(INDEX(Coating!$A:$AU,MATCH($C318,Coating!$AU:$AU,0),14)*(1+Coating!$N$4),"")</f>
        <v/>
      </c>
    </row>
    <row r="319" spans="2:10" ht="21.75">
      <c r="B319" s="3143" t="s">
        <v>1610</v>
      </c>
      <c r="C319" s="3143">
        <f t="shared" si="5"/>
        <v>73</v>
      </c>
      <c r="D319" s="3143" t="str">
        <f ca="1">IFERROR(INDEX(Coating!$A:$AU,MATCH($C319,Coating!$AU:$AU,0),1),"")</f>
        <v/>
      </c>
      <c r="E319" s="3143" t="str">
        <f ca="1">IFERROR(INDEX(Coating!$A:$AU,MATCH($C319,Coating!$AU:$AU,0),4),"")</f>
        <v/>
      </c>
      <c r="F319" s="3143" t="s">
        <v>3651</v>
      </c>
      <c r="G319" s="3599" t="str">
        <f ca="1">IFERROR(INDEX(Coating!$A:$AU,MATCH($C319,Coating!$AU:$AU,0),10)/'ACC &amp; Other Material '!$E$2*10^3,"")</f>
        <v/>
      </c>
      <c r="H319" s="3599" t="str">
        <f ca="1">IFERROR(INDEX(Coating!$A:$AU,MATCH($C319,Coating!$AU:$AU,0),11)/'ACC &amp; Other Material '!$E$2*10^3,"")</f>
        <v/>
      </c>
      <c r="I319" s="3153" t="str">
        <f ca="1">IFERROR(INDEX(Coating!$A:$AU,MATCH($C319,Coating!$AU:$AU,0),14),"")</f>
        <v/>
      </c>
      <c r="J319" s="3153" t="str">
        <f ca="1">IFERROR(INDEX(Coating!$A:$AU,MATCH($C319,Coating!$AU:$AU,0),14)*(1+Coating!$N$4),"")</f>
        <v/>
      </c>
    </row>
    <row r="320" spans="2:10" ht="21.75">
      <c r="B320" s="3143" t="s">
        <v>1610</v>
      </c>
      <c r="C320" s="3143">
        <f t="shared" si="5"/>
        <v>74</v>
      </c>
      <c r="D320" s="3143" t="str">
        <f ca="1">IFERROR(INDEX(Coating!$A:$AU,MATCH($C320,Coating!$AU:$AU,0),1),"")</f>
        <v/>
      </c>
      <c r="E320" s="3143" t="str">
        <f ca="1">IFERROR(INDEX(Coating!$A:$AU,MATCH($C320,Coating!$AU:$AU,0),4),"")</f>
        <v/>
      </c>
      <c r="F320" s="3143" t="s">
        <v>3651</v>
      </c>
      <c r="G320" s="3599" t="str">
        <f ca="1">IFERROR(INDEX(Coating!$A:$AU,MATCH($C320,Coating!$AU:$AU,0),10)/'ACC &amp; Other Material '!$E$2*10^3,"")</f>
        <v/>
      </c>
      <c r="H320" s="3599" t="str">
        <f ca="1">IFERROR(INDEX(Coating!$A:$AU,MATCH($C320,Coating!$AU:$AU,0),11)/'ACC &amp; Other Material '!$E$2*10^3,"")</f>
        <v/>
      </c>
      <c r="I320" s="3153" t="str">
        <f ca="1">IFERROR(INDEX(Coating!$A:$AU,MATCH($C320,Coating!$AU:$AU,0),14),"")</f>
        <v/>
      </c>
      <c r="J320" s="3153" t="str">
        <f ca="1">IFERROR(INDEX(Coating!$A:$AU,MATCH($C320,Coating!$AU:$AU,0),14)*(1+Coating!$N$4),"")</f>
        <v/>
      </c>
    </row>
    <row r="321" spans="2:10" ht="21.75">
      <c r="B321" s="3143" t="s">
        <v>1610</v>
      </c>
      <c r="C321" s="3143">
        <f t="shared" si="5"/>
        <v>75</v>
      </c>
      <c r="D321" s="3143" t="str">
        <f ca="1">IFERROR(INDEX(Coating!$A:$AU,MATCH($C321,Coating!$AU:$AU,0),1),"")</f>
        <v/>
      </c>
      <c r="E321" s="3143" t="str">
        <f ca="1">IFERROR(INDEX(Coating!$A:$AU,MATCH($C321,Coating!$AU:$AU,0),4),"")</f>
        <v/>
      </c>
      <c r="F321" s="3143" t="s">
        <v>3651</v>
      </c>
      <c r="G321" s="3599" t="str">
        <f ca="1">IFERROR(INDEX(Coating!$A:$AU,MATCH($C321,Coating!$AU:$AU,0),10)/'ACC &amp; Other Material '!$E$2*10^3,"")</f>
        <v/>
      </c>
      <c r="H321" s="3599" t="str">
        <f ca="1">IFERROR(INDEX(Coating!$A:$AU,MATCH($C321,Coating!$AU:$AU,0),11)/'ACC &amp; Other Material '!$E$2*10^3,"")</f>
        <v/>
      </c>
      <c r="I321" s="3153" t="str">
        <f ca="1">IFERROR(INDEX(Coating!$A:$AU,MATCH($C321,Coating!$AU:$AU,0),14),"")</f>
        <v/>
      </c>
      <c r="J321" s="3153" t="str">
        <f ca="1">IFERROR(INDEX(Coating!$A:$AU,MATCH($C321,Coating!$AU:$AU,0),14)*(1+Coating!$N$4),"")</f>
        <v/>
      </c>
    </row>
    <row r="322" spans="2:10" ht="21.75">
      <c r="B322" s="3143" t="s">
        <v>1610</v>
      </c>
      <c r="C322" s="3143">
        <f t="shared" si="5"/>
        <v>76</v>
      </c>
      <c r="D322" s="3143" t="str">
        <f ca="1">IFERROR(INDEX(Coating!$A:$AU,MATCH($C322,Coating!$AU:$AU,0),1),"")</f>
        <v/>
      </c>
      <c r="E322" s="3143" t="str">
        <f ca="1">IFERROR(INDEX(Coating!$A:$AU,MATCH($C322,Coating!$AU:$AU,0),4),"")</f>
        <v/>
      </c>
      <c r="F322" s="3143" t="s">
        <v>3651</v>
      </c>
      <c r="G322" s="3599" t="str">
        <f ca="1">IFERROR(INDEX(Coating!$A:$AU,MATCH($C322,Coating!$AU:$AU,0),10)/'ACC &amp; Other Material '!$E$2*10^3,"")</f>
        <v/>
      </c>
      <c r="H322" s="3599" t="str">
        <f ca="1">IFERROR(INDEX(Coating!$A:$AU,MATCH($C322,Coating!$AU:$AU,0),11)/'ACC &amp; Other Material '!$E$2*10^3,"")</f>
        <v/>
      </c>
      <c r="I322" s="3153" t="str">
        <f ca="1">IFERROR(INDEX(Coating!$A:$AU,MATCH($C322,Coating!$AU:$AU,0),14),"")</f>
        <v/>
      </c>
      <c r="J322" s="3153" t="str">
        <f ca="1">IFERROR(INDEX(Coating!$A:$AU,MATCH($C322,Coating!$AU:$AU,0),14)*(1+Coating!$N$4),"")</f>
        <v/>
      </c>
    </row>
    <row r="323" spans="2:10" ht="21.75">
      <c r="B323" s="3143" t="s">
        <v>1610</v>
      </c>
      <c r="C323" s="3143">
        <f t="shared" si="5"/>
        <v>77</v>
      </c>
      <c r="D323" s="3143" t="str">
        <f ca="1">IFERROR(INDEX(Coating!$A:$AU,MATCH($C323,Coating!$AU:$AU,0),1),"")</f>
        <v/>
      </c>
      <c r="E323" s="3143" t="str">
        <f ca="1">IFERROR(INDEX(Coating!$A:$AU,MATCH($C323,Coating!$AU:$AU,0),4),"")</f>
        <v/>
      </c>
      <c r="F323" s="3143" t="s">
        <v>3651</v>
      </c>
      <c r="G323" s="3599" t="str">
        <f ca="1">IFERROR(INDEX(Coating!$A:$AU,MATCH($C323,Coating!$AU:$AU,0),10)/'ACC &amp; Other Material '!$E$2*10^3,"")</f>
        <v/>
      </c>
      <c r="H323" s="3599" t="str">
        <f ca="1">IFERROR(INDEX(Coating!$A:$AU,MATCH($C323,Coating!$AU:$AU,0),11)/'ACC &amp; Other Material '!$E$2*10^3,"")</f>
        <v/>
      </c>
      <c r="I323" s="3153" t="str">
        <f ca="1">IFERROR(INDEX(Coating!$A:$AU,MATCH($C323,Coating!$AU:$AU,0),14),"")</f>
        <v/>
      </c>
      <c r="J323" s="3153" t="str">
        <f ca="1">IFERROR(INDEX(Coating!$A:$AU,MATCH($C323,Coating!$AU:$AU,0),14)*(1+Coating!$N$4),"")</f>
        <v/>
      </c>
    </row>
    <row r="324" spans="2:10" ht="21.75">
      <c r="B324" s="3143" t="s">
        <v>1610</v>
      </c>
      <c r="C324" s="3143">
        <f t="shared" si="5"/>
        <v>78</v>
      </c>
      <c r="D324" s="3143" t="str">
        <f ca="1">IFERROR(INDEX(Coating!$A:$AU,MATCH($C324,Coating!$AU:$AU,0),1),"")</f>
        <v/>
      </c>
      <c r="E324" s="3143" t="str">
        <f ca="1">IFERROR(INDEX(Coating!$A:$AU,MATCH($C324,Coating!$AU:$AU,0),4),"")</f>
        <v/>
      </c>
      <c r="F324" s="3143" t="s">
        <v>3651</v>
      </c>
      <c r="G324" s="3599" t="str">
        <f ca="1">IFERROR(INDEX(Coating!$A:$AU,MATCH($C324,Coating!$AU:$AU,0),10)/'ACC &amp; Other Material '!$E$2*10^3,"")</f>
        <v/>
      </c>
      <c r="H324" s="3599" t="str">
        <f ca="1">IFERROR(INDEX(Coating!$A:$AU,MATCH($C324,Coating!$AU:$AU,0),11)/'ACC &amp; Other Material '!$E$2*10^3,"")</f>
        <v/>
      </c>
      <c r="I324" s="3153" t="str">
        <f ca="1">IFERROR(INDEX(Coating!$A:$AU,MATCH($C324,Coating!$AU:$AU,0),14),"")</f>
        <v/>
      </c>
      <c r="J324" s="3153" t="str">
        <f ca="1">IFERROR(INDEX(Coating!$A:$AU,MATCH($C324,Coating!$AU:$AU,0),14)*(1+Coating!$N$4),"")</f>
        <v/>
      </c>
    </row>
    <row r="325" spans="2:10" ht="21.75">
      <c r="B325" s="3143" t="s">
        <v>1610</v>
      </c>
      <c r="C325" s="3143">
        <f t="shared" si="5"/>
        <v>79</v>
      </c>
      <c r="D325" s="3143" t="str">
        <f ca="1">IFERROR(INDEX(Coating!$A:$AU,MATCH($C325,Coating!$AU:$AU,0),1),"")</f>
        <v/>
      </c>
      <c r="E325" s="3143" t="str">
        <f ca="1">IFERROR(INDEX(Coating!$A:$AU,MATCH($C325,Coating!$AU:$AU,0),4),"")</f>
        <v/>
      </c>
      <c r="F325" s="3143" t="s">
        <v>3651</v>
      </c>
      <c r="G325" s="3599" t="str">
        <f ca="1">IFERROR(INDEX(Coating!$A:$AU,MATCH($C325,Coating!$AU:$AU,0),10)/'ACC &amp; Other Material '!$E$2*10^3,"")</f>
        <v/>
      </c>
      <c r="H325" s="3599" t="str">
        <f ca="1">IFERROR(INDEX(Coating!$A:$AU,MATCH($C325,Coating!$AU:$AU,0),11)/'ACC &amp; Other Material '!$E$2*10^3,"")</f>
        <v/>
      </c>
      <c r="I325" s="3153" t="str">
        <f ca="1">IFERROR(INDEX(Coating!$A:$AU,MATCH($C325,Coating!$AU:$AU,0),14),"")</f>
        <v/>
      </c>
      <c r="J325" s="3153" t="str">
        <f ca="1">IFERROR(INDEX(Coating!$A:$AU,MATCH($C325,Coating!$AU:$AU,0),14)*(1+Coating!$N$4),"")</f>
        <v/>
      </c>
    </row>
    <row r="326" spans="2:10" ht="21.75">
      <c r="B326" s="3143" t="s">
        <v>1610</v>
      </c>
      <c r="C326" s="3143">
        <f t="shared" si="5"/>
        <v>80</v>
      </c>
      <c r="D326" s="3143" t="str">
        <f ca="1">IFERROR(INDEX(Coating!$A:$AU,MATCH($C326,Coating!$AU:$AU,0),1),"")</f>
        <v/>
      </c>
      <c r="E326" s="3143" t="str">
        <f ca="1">IFERROR(INDEX(Coating!$A:$AU,MATCH($C326,Coating!$AU:$AU,0),4),"")</f>
        <v/>
      </c>
      <c r="F326" s="3143" t="s">
        <v>3651</v>
      </c>
      <c r="G326" s="3599" t="str">
        <f ca="1">IFERROR(INDEX(Coating!$A:$AU,MATCH($C326,Coating!$AU:$AU,0),10)/'ACC &amp; Other Material '!$E$2*10^3,"")</f>
        <v/>
      </c>
      <c r="H326" s="3599" t="str">
        <f ca="1">IFERROR(INDEX(Coating!$A:$AU,MATCH($C326,Coating!$AU:$AU,0),11)/'ACC &amp; Other Material '!$E$2*10^3,"")</f>
        <v/>
      </c>
      <c r="I326" s="3153" t="str">
        <f ca="1">IFERROR(INDEX(Coating!$A:$AU,MATCH($C326,Coating!$AU:$AU,0),14),"")</f>
        <v/>
      </c>
      <c r="J326" s="3153" t="str">
        <f ca="1">IFERROR(INDEX(Coating!$A:$AU,MATCH($C326,Coating!$AU:$AU,0),14)*(1+Coating!$N$4),"")</f>
        <v/>
      </c>
    </row>
    <row r="327" spans="2:10" ht="21.75">
      <c r="B327" s="3143" t="s">
        <v>1610</v>
      </c>
      <c r="C327" s="3143">
        <f t="shared" si="5"/>
        <v>81</v>
      </c>
      <c r="D327" s="3143" t="str">
        <f ca="1">IFERROR(INDEX(Coating!$A:$AU,MATCH($C327,Coating!$AU:$AU,0),1),"")</f>
        <v/>
      </c>
      <c r="E327" s="3143" t="str">
        <f ca="1">IFERROR(INDEX(Coating!$A:$AU,MATCH($C327,Coating!$AU:$AU,0),4),"")</f>
        <v/>
      </c>
      <c r="F327" s="3143" t="s">
        <v>3651</v>
      </c>
      <c r="G327" s="3599" t="str">
        <f ca="1">IFERROR(INDEX(Coating!$A:$AU,MATCH($C327,Coating!$AU:$AU,0),10)/'ACC &amp; Other Material '!$E$2*10^3,"")</f>
        <v/>
      </c>
      <c r="H327" s="3599" t="str">
        <f ca="1">IFERROR(INDEX(Coating!$A:$AU,MATCH($C327,Coating!$AU:$AU,0),11)/'ACC &amp; Other Material '!$E$2*10^3,"")</f>
        <v/>
      </c>
      <c r="I327" s="3153" t="str">
        <f ca="1">IFERROR(INDEX(Coating!$A:$AU,MATCH($C327,Coating!$AU:$AU,0),14),"")</f>
        <v/>
      </c>
      <c r="J327" s="3153" t="str">
        <f ca="1">IFERROR(INDEX(Coating!$A:$AU,MATCH($C327,Coating!$AU:$AU,0),14)*(1+Coating!$N$4),"")</f>
        <v/>
      </c>
    </row>
    <row r="328" spans="2:10" ht="21.75">
      <c r="B328" s="3143" t="s">
        <v>1610</v>
      </c>
      <c r="C328" s="3143">
        <f t="shared" si="5"/>
        <v>82</v>
      </c>
      <c r="D328" s="3143" t="str">
        <f ca="1">IFERROR(INDEX(Coating!$A:$AU,MATCH($C328,Coating!$AU:$AU,0),1),"")</f>
        <v/>
      </c>
      <c r="E328" s="3143" t="str">
        <f ca="1">IFERROR(INDEX(Coating!$A:$AU,MATCH($C328,Coating!$AU:$AU,0),4),"")</f>
        <v/>
      </c>
      <c r="F328" s="3143" t="s">
        <v>3651</v>
      </c>
      <c r="G328" s="3599" t="str">
        <f ca="1">IFERROR(INDEX(Coating!$A:$AU,MATCH($C328,Coating!$AU:$AU,0),10)/'ACC &amp; Other Material '!$E$2*10^3,"")</f>
        <v/>
      </c>
      <c r="H328" s="3599" t="str">
        <f ca="1">IFERROR(INDEX(Coating!$A:$AU,MATCH($C328,Coating!$AU:$AU,0),11)/'ACC &amp; Other Material '!$E$2*10^3,"")</f>
        <v/>
      </c>
      <c r="I328" s="3153" t="str">
        <f ca="1">IFERROR(INDEX(Coating!$A:$AU,MATCH($C328,Coating!$AU:$AU,0),14),"")</f>
        <v/>
      </c>
      <c r="J328" s="3153" t="str">
        <f ca="1">IFERROR(INDEX(Coating!$A:$AU,MATCH($C328,Coating!$AU:$AU,0),14)*(1+Coating!$N$4),"")</f>
        <v/>
      </c>
    </row>
    <row r="329" spans="2:10" ht="21.75">
      <c r="B329" s="3143" t="s">
        <v>1610</v>
      </c>
      <c r="C329" s="3143">
        <f t="shared" si="5"/>
        <v>83</v>
      </c>
      <c r="D329" s="3143" t="str">
        <f ca="1">IFERROR(INDEX(Coating!$A:$AU,MATCH($C329,Coating!$AU:$AU,0),1),"")</f>
        <v/>
      </c>
      <c r="E329" s="3143" t="str">
        <f ca="1">IFERROR(INDEX(Coating!$A:$AU,MATCH($C329,Coating!$AU:$AU,0),4),"")</f>
        <v/>
      </c>
      <c r="F329" s="3143" t="s">
        <v>3651</v>
      </c>
      <c r="G329" s="3599" t="str">
        <f ca="1">IFERROR(INDEX(Coating!$A:$AU,MATCH($C329,Coating!$AU:$AU,0),10)/'ACC &amp; Other Material '!$E$2*10^3,"")</f>
        <v/>
      </c>
      <c r="H329" s="3599" t="str">
        <f ca="1">IFERROR(INDEX(Coating!$A:$AU,MATCH($C329,Coating!$AU:$AU,0),11)/'ACC &amp; Other Material '!$E$2*10^3,"")</f>
        <v/>
      </c>
      <c r="I329" s="3153" t="str">
        <f ca="1">IFERROR(INDEX(Coating!$A:$AU,MATCH($C329,Coating!$AU:$AU,0),14),"")</f>
        <v/>
      </c>
      <c r="J329" s="3153" t="str">
        <f ca="1">IFERROR(INDEX(Coating!$A:$AU,MATCH($C329,Coating!$AU:$AU,0),14)*(1+Coating!$N$4),"")</f>
        <v/>
      </c>
    </row>
    <row r="330" spans="2:10" ht="21.75">
      <c r="B330" s="3143" t="s">
        <v>1610</v>
      </c>
      <c r="C330" s="3143">
        <f t="shared" si="5"/>
        <v>84</v>
      </c>
      <c r="D330" s="3143" t="str">
        <f ca="1">IFERROR(INDEX(Coating!$A:$AU,MATCH($C330,Coating!$AU:$AU,0),1),"")</f>
        <v/>
      </c>
      <c r="E330" s="3143" t="str">
        <f ca="1">IFERROR(INDEX(Coating!$A:$AU,MATCH($C330,Coating!$AU:$AU,0),4),"")</f>
        <v/>
      </c>
      <c r="F330" s="3143" t="s">
        <v>3651</v>
      </c>
      <c r="G330" s="3599" t="str">
        <f ca="1">IFERROR(INDEX(Coating!$A:$AU,MATCH($C330,Coating!$AU:$AU,0),10)/'ACC &amp; Other Material '!$E$2*10^3,"")</f>
        <v/>
      </c>
      <c r="H330" s="3599" t="str">
        <f ca="1">IFERROR(INDEX(Coating!$A:$AU,MATCH($C330,Coating!$AU:$AU,0),11)/'ACC &amp; Other Material '!$E$2*10^3,"")</f>
        <v/>
      </c>
      <c r="I330" s="3153" t="str">
        <f ca="1">IFERROR(INDEX(Coating!$A:$AU,MATCH($C330,Coating!$AU:$AU,0),14),"")</f>
        <v/>
      </c>
      <c r="J330" s="3153" t="str">
        <f ca="1">IFERROR(INDEX(Coating!$A:$AU,MATCH($C330,Coating!$AU:$AU,0),14)*(1+Coating!$N$4),"")</f>
        <v/>
      </c>
    </row>
    <row r="331" spans="2:10" ht="21.75">
      <c r="B331" s="3143" t="s">
        <v>1610</v>
      </c>
      <c r="C331" s="3143">
        <f t="shared" si="5"/>
        <v>85</v>
      </c>
      <c r="D331" s="3143" t="str">
        <f ca="1">IFERROR(INDEX(Coating!$A:$AU,MATCH($C331,Coating!$AU:$AU,0),1),"")</f>
        <v/>
      </c>
      <c r="E331" s="3143" t="str">
        <f ca="1">IFERROR(INDEX(Coating!$A:$AU,MATCH($C331,Coating!$AU:$AU,0),4),"")</f>
        <v/>
      </c>
      <c r="F331" s="3143" t="s">
        <v>3651</v>
      </c>
      <c r="G331" s="3599" t="str">
        <f ca="1">IFERROR(INDEX(Coating!$A:$AU,MATCH($C331,Coating!$AU:$AU,0),10)/'ACC &amp; Other Material '!$E$2*10^3,"")</f>
        <v/>
      </c>
      <c r="H331" s="3599" t="str">
        <f ca="1">IFERROR(INDEX(Coating!$A:$AU,MATCH($C331,Coating!$AU:$AU,0),11)/'ACC &amp; Other Material '!$E$2*10^3,"")</f>
        <v/>
      </c>
      <c r="I331" s="3153" t="str">
        <f ca="1">IFERROR(INDEX(Coating!$A:$AU,MATCH($C331,Coating!$AU:$AU,0),14),"")</f>
        <v/>
      </c>
      <c r="J331" s="3153" t="str">
        <f ca="1">IFERROR(INDEX(Coating!$A:$AU,MATCH($C331,Coating!$AU:$AU,0),14)*(1+Coating!$N$4),"")</f>
        <v/>
      </c>
    </row>
    <row r="332" spans="2:10" ht="21.75">
      <c r="B332" s="3143" t="s">
        <v>1610</v>
      </c>
      <c r="C332" s="3143">
        <f t="shared" si="5"/>
        <v>86</v>
      </c>
      <c r="D332" s="3143" t="str">
        <f ca="1">IFERROR(INDEX(Coating!$A:$AU,MATCH($C332,Coating!$AU:$AU,0),1),"")</f>
        <v/>
      </c>
      <c r="E332" s="3143" t="str">
        <f ca="1">IFERROR(INDEX(Coating!$A:$AU,MATCH($C332,Coating!$AU:$AU,0),4),"")</f>
        <v/>
      </c>
      <c r="F332" s="3143" t="s">
        <v>3651</v>
      </c>
      <c r="G332" s="3599" t="str">
        <f ca="1">IFERROR(INDEX(Coating!$A:$AU,MATCH($C332,Coating!$AU:$AU,0),10)/'ACC &amp; Other Material '!$E$2*10^3,"")</f>
        <v/>
      </c>
      <c r="H332" s="3599" t="str">
        <f ca="1">IFERROR(INDEX(Coating!$A:$AU,MATCH($C332,Coating!$AU:$AU,0),11)/'ACC &amp; Other Material '!$E$2*10^3,"")</f>
        <v/>
      </c>
      <c r="I332" s="3153" t="str">
        <f ca="1">IFERROR(INDEX(Coating!$A:$AU,MATCH($C332,Coating!$AU:$AU,0),14),"")</f>
        <v/>
      </c>
      <c r="J332" s="3153" t="str">
        <f ca="1">IFERROR(INDEX(Coating!$A:$AU,MATCH($C332,Coating!$AU:$AU,0),14)*(1+Coating!$N$4),"")</f>
        <v/>
      </c>
    </row>
    <row r="333" spans="2:10" ht="21.75">
      <c r="B333" s="3143" t="s">
        <v>1610</v>
      </c>
      <c r="C333" s="3143">
        <f t="shared" si="5"/>
        <v>87</v>
      </c>
      <c r="D333" s="3143" t="str">
        <f ca="1">IFERROR(INDEX(Coating!$A:$AU,MATCH($C333,Coating!$AU:$AU,0),1),"")</f>
        <v/>
      </c>
      <c r="E333" s="3143" t="str">
        <f ca="1">IFERROR(INDEX(Coating!$A:$AU,MATCH($C333,Coating!$AU:$AU,0),4),"")</f>
        <v/>
      </c>
      <c r="F333" s="3143" t="s">
        <v>3651</v>
      </c>
      <c r="G333" s="3599" t="str">
        <f ca="1">IFERROR(INDEX(Coating!$A:$AU,MATCH($C333,Coating!$AU:$AU,0),10)/'ACC &amp; Other Material '!$E$2*10^3,"")</f>
        <v/>
      </c>
      <c r="H333" s="3599" t="str">
        <f ca="1">IFERROR(INDEX(Coating!$A:$AU,MATCH($C333,Coating!$AU:$AU,0),11)/'ACC &amp; Other Material '!$E$2*10^3,"")</f>
        <v/>
      </c>
      <c r="I333" s="3153" t="str">
        <f ca="1">IFERROR(INDEX(Coating!$A:$AU,MATCH($C333,Coating!$AU:$AU,0),14),"")</f>
        <v/>
      </c>
      <c r="J333" s="3153" t="str">
        <f ca="1">IFERROR(INDEX(Coating!$A:$AU,MATCH($C333,Coating!$AU:$AU,0),14)*(1+Coating!$N$4),"")</f>
        <v/>
      </c>
    </row>
    <row r="334" spans="2:10" ht="21.75">
      <c r="B334" s="3143" t="s">
        <v>1610</v>
      </c>
      <c r="C334" s="3143">
        <f t="shared" si="5"/>
        <v>88</v>
      </c>
      <c r="D334" s="3143" t="str">
        <f ca="1">IFERROR(INDEX(Coating!$A:$AU,MATCH($C334,Coating!$AU:$AU,0),1),"")</f>
        <v/>
      </c>
      <c r="E334" s="3143" t="str">
        <f ca="1">IFERROR(INDEX(Coating!$A:$AU,MATCH($C334,Coating!$AU:$AU,0),4),"")</f>
        <v/>
      </c>
      <c r="F334" s="3143" t="s">
        <v>3651</v>
      </c>
      <c r="G334" s="3599" t="str">
        <f ca="1">IFERROR(INDEX(Coating!$A:$AU,MATCH($C334,Coating!$AU:$AU,0),10)/'ACC &amp; Other Material '!$E$2*10^3,"")</f>
        <v/>
      </c>
      <c r="H334" s="3599" t="str">
        <f ca="1">IFERROR(INDEX(Coating!$A:$AU,MATCH($C334,Coating!$AU:$AU,0),11)/'ACC &amp; Other Material '!$E$2*10^3,"")</f>
        <v/>
      </c>
      <c r="I334" s="3153" t="str">
        <f ca="1">IFERROR(INDEX(Coating!$A:$AU,MATCH($C334,Coating!$AU:$AU,0),14),"")</f>
        <v/>
      </c>
      <c r="J334" s="3153" t="str">
        <f ca="1">IFERROR(INDEX(Coating!$A:$AU,MATCH($C334,Coating!$AU:$AU,0),14)*(1+Coating!$N$4),"")</f>
        <v/>
      </c>
    </row>
    <row r="335" spans="2:10" ht="21.75">
      <c r="B335" s="3143" t="s">
        <v>1610</v>
      </c>
      <c r="C335" s="3143">
        <f t="shared" si="5"/>
        <v>89</v>
      </c>
      <c r="D335" s="3143" t="str">
        <f ca="1">IFERROR(INDEX(Coating!$A:$AU,MATCH($C335,Coating!$AU:$AU,0),1),"")</f>
        <v/>
      </c>
      <c r="E335" s="3143" t="str">
        <f ca="1">IFERROR(INDEX(Coating!$A:$AU,MATCH($C335,Coating!$AU:$AU,0),4),"")</f>
        <v/>
      </c>
      <c r="F335" s="3143" t="s">
        <v>3651</v>
      </c>
      <c r="G335" s="3599" t="str">
        <f ca="1">IFERROR(INDEX(Coating!$A:$AU,MATCH($C335,Coating!$AU:$AU,0),10)/'ACC &amp; Other Material '!$E$2*10^3,"")</f>
        <v/>
      </c>
      <c r="H335" s="3599" t="str">
        <f ca="1">IFERROR(INDEX(Coating!$A:$AU,MATCH($C335,Coating!$AU:$AU,0),11)/'ACC &amp; Other Material '!$E$2*10^3,"")</f>
        <v/>
      </c>
      <c r="I335" s="3153" t="str">
        <f ca="1">IFERROR(INDEX(Coating!$A:$AU,MATCH($C335,Coating!$AU:$AU,0),14),"")</f>
        <v/>
      </c>
      <c r="J335" s="3153" t="str">
        <f ca="1">IFERROR(INDEX(Coating!$A:$AU,MATCH($C335,Coating!$AU:$AU,0),14)*(1+Coating!$N$4),"")</f>
        <v/>
      </c>
    </row>
    <row r="336" spans="2:10" ht="21.75">
      <c r="B336" s="3143" t="s">
        <v>1610</v>
      </c>
      <c r="C336" s="3143">
        <f t="shared" si="5"/>
        <v>90</v>
      </c>
      <c r="D336" s="3143" t="str">
        <f ca="1">IFERROR(INDEX(Coating!$A:$AU,MATCH($C336,Coating!$AU:$AU,0),1),"")</f>
        <v/>
      </c>
      <c r="E336" s="3143" t="str">
        <f ca="1">IFERROR(INDEX(Coating!$A:$AU,MATCH($C336,Coating!$AU:$AU,0),4),"")</f>
        <v/>
      </c>
      <c r="F336" s="3143" t="s">
        <v>3651</v>
      </c>
      <c r="G336" s="3599" t="str">
        <f ca="1">IFERROR(INDEX(Coating!$A:$AU,MATCH($C336,Coating!$AU:$AU,0),10)/'ACC &amp; Other Material '!$E$2*10^3,"")</f>
        <v/>
      </c>
      <c r="H336" s="3599" t="str">
        <f ca="1">IFERROR(INDEX(Coating!$A:$AU,MATCH($C336,Coating!$AU:$AU,0),11)/'ACC &amp; Other Material '!$E$2*10^3,"")</f>
        <v/>
      </c>
      <c r="I336" s="3153" t="str">
        <f ca="1">IFERROR(INDEX(Coating!$A:$AU,MATCH($C336,Coating!$AU:$AU,0),14),"")</f>
        <v/>
      </c>
      <c r="J336" s="3153" t="str">
        <f ca="1">IFERROR(INDEX(Coating!$A:$AU,MATCH($C336,Coating!$AU:$AU,0),14)*(1+Coating!$N$4),"")</f>
        <v/>
      </c>
    </row>
    <row r="337" spans="2:10" ht="21.75">
      <c r="B337" s="3143" t="s">
        <v>1610</v>
      </c>
      <c r="C337" s="3143">
        <f t="shared" si="5"/>
        <v>91</v>
      </c>
      <c r="D337" s="3143" t="str">
        <f ca="1">IFERROR(INDEX(Coating!$A:$AU,MATCH($C337,Coating!$AU:$AU,0),1),"")</f>
        <v/>
      </c>
      <c r="E337" s="3143" t="str">
        <f ca="1">IFERROR(INDEX(Coating!$A:$AU,MATCH($C337,Coating!$AU:$AU,0),4),"")</f>
        <v/>
      </c>
      <c r="F337" s="3143" t="s">
        <v>3651</v>
      </c>
      <c r="G337" s="3599" t="str">
        <f ca="1">IFERROR(INDEX(Coating!$A:$AU,MATCH($C337,Coating!$AU:$AU,0),10)/'ACC &amp; Other Material '!$E$2*10^3,"")</f>
        <v/>
      </c>
      <c r="H337" s="3599" t="str">
        <f ca="1">IFERROR(INDEX(Coating!$A:$AU,MATCH($C337,Coating!$AU:$AU,0),11)/'ACC &amp; Other Material '!$E$2*10^3,"")</f>
        <v/>
      </c>
      <c r="I337" s="3153" t="str">
        <f ca="1">IFERROR(INDEX(Coating!$A:$AU,MATCH($C337,Coating!$AU:$AU,0),14),"")</f>
        <v/>
      </c>
      <c r="J337" s="3153" t="str">
        <f ca="1">IFERROR(INDEX(Coating!$A:$AU,MATCH($C337,Coating!$AU:$AU,0),14)*(1+Coating!$N$4),"")</f>
        <v/>
      </c>
    </row>
    <row r="338" spans="2:10" ht="21.75">
      <c r="B338" s="3143" t="s">
        <v>1610</v>
      </c>
      <c r="C338" s="3143">
        <f t="shared" si="5"/>
        <v>92</v>
      </c>
      <c r="D338" s="3143" t="str">
        <f ca="1">IFERROR(INDEX(Coating!$A:$AU,MATCH($C338,Coating!$AU:$AU,0),1),"")</f>
        <v/>
      </c>
      <c r="E338" s="3143" t="str">
        <f ca="1">IFERROR(INDEX(Coating!$A:$AU,MATCH($C338,Coating!$AU:$AU,0),4),"")</f>
        <v/>
      </c>
      <c r="F338" s="3143" t="s">
        <v>3651</v>
      </c>
      <c r="G338" s="3599" t="str">
        <f ca="1">IFERROR(INDEX(Coating!$A:$AU,MATCH($C338,Coating!$AU:$AU,0),10)/'ACC &amp; Other Material '!$E$2*10^3,"")</f>
        <v/>
      </c>
      <c r="H338" s="3599" t="str">
        <f ca="1">IFERROR(INDEX(Coating!$A:$AU,MATCH($C338,Coating!$AU:$AU,0),11)/'ACC &amp; Other Material '!$E$2*10^3,"")</f>
        <v/>
      </c>
      <c r="I338" s="3153" t="str">
        <f ca="1">IFERROR(INDEX(Coating!$A:$AU,MATCH($C338,Coating!$AU:$AU,0),14),"")</f>
        <v/>
      </c>
      <c r="J338" s="3153" t="str">
        <f ca="1">IFERROR(INDEX(Coating!$A:$AU,MATCH($C338,Coating!$AU:$AU,0),14)*(1+Coating!$N$4),"")</f>
        <v/>
      </c>
    </row>
    <row r="339" spans="2:10" ht="21.75">
      <c r="B339" s="3143" t="s">
        <v>1610</v>
      </c>
      <c r="C339" s="3143">
        <f t="shared" si="5"/>
        <v>93</v>
      </c>
      <c r="D339" s="3143" t="str">
        <f ca="1">IFERROR(INDEX(Coating!$A:$AU,MATCH($C339,Coating!$AU:$AU,0),1),"")</f>
        <v/>
      </c>
      <c r="E339" s="3143" t="str">
        <f ca="1">IFERROR(INDEX(Coating!$A:$AU,MATCH($C339,Coating!$AU:$AU,0),4),"")</f>
        <v/>
      </c>
      <c r="F339" s="3143" t="s">
        <v>3651</v>
      </c>
      <c r="G339" s="3599" t="str">
        <f ca="1">IFERROR(INDEX(Coating!$A:$AU,MATCH($C339,Coating!$AU:$AU,0),10)/'ACC &amp; Other Material '!$E$2*10^3,"")</f>
        <v/>
      </c>
      <c r="H339" s="3599" t="str">
        <f ca="1">IFERROR(INDEX(Coating!$A:$AU,MATCH($C339,Coating!$AU:$AU,0),11)/'ACC &amp; Other Material '!$E$2*10^3,"")</f>
        <v/>
      </c>
      <c r="I339" s="3153" t="str">
        <f ca="1">IFERROR(INDEX(Coating!$A:$AU,MATCH($C339,Coating!$AU:$AU,0),14),"")</f>
        <v/>
      </c>
      <c r="J339" s="3153" t="str">
        <f ca="1">IFERROR(INDEX(Coating!$A:$AU,MATCH($C339,Coating!$AU:$AU,0),14)*(1+Coating!$N$4),"")</f>
        <v/>
      </c>
    </row>
    <row r="340" spans="2:10" ht="21.75">
      <c r="B340" s="3143" t="s">
        <v>1610</v>
      </c>
      <c r="C340" s="3143">
        <f t="shared" si="5"/>
        <v>94</v>
      </c>
      <c r="D340" s="3143" t="str">
        <f ca="1">IFERROR(INDEX(Coating!$A:$AU,MATCH($C340,Coating!$AU:$AU,0),1),"")</f>
        <v/>
      </c>
      <c r="E340" s="3143" t="str">
        <f ca="1">IFERROR(INDEX(Coating!$A:$AU,MATCH($C340,Coating!$AU:$AU,0),4),"")</f>
        <v/>
      </c>
      <c r="F340" s="3143" t="s">
        <v>3651</v>
      </c>
      <c r="G340" s="3599" t="str">
        <f ca="1">IFERROR(INDEX(Coating!$A:$AU,MATCH($C340,Coating!$AU:$AU,0),10)/'ACC &amp; Other Material '!$E$2*10^3,"")</f>
        <v/>
      </c>
      <c r="H340" s="3599" t="str">
        <f ca="1">IFERROR(INDEX(Coating!$A:$AU,MATCH($C340,Coating!$AU:$AU,0),11)/'ACC &amp; Other Material '!$E$2*10^3,"")</f>
        <v/>
      </c>
      <c r="I340" s="3153" t="str">
        <f ca="1">IFERROR(INDEX(Coating!$A:$AU,MATCH($C340,Coating!$AU:$AU,0),14),"")</f>
        <v/>
      </c>
      <c r="J340" s="3153" t="str">
        <f ca="1">IFERROR(INDEX(Coating!$A:$AU,MATCH($C340,Coating!$AU:$AU,0),14)*(1+Coating!$N$4),"")</f>
        <v/>
      </c>
    </row>
    <row r="341" spans="2:10" ht="21.75">
      <c r="B341" s="3143" t="s">
        <v>1610</v>
      </c>
      <c r="C341" s="3143">
        <f t="shared" si="5"/>
        <v>95</v>
      </c>
      <c r="D341" s="3143" t="str">
        <f ca="1">IFERROR(INDEX(Coating!$A:$AU,MATCH($C341,Coating!$AU:$AU,0),1),"")</f>
        <v/>
      </c>
      <c r="E341" s="3143" t="str">
        <f ca="1">IFERROR(INDEX(Coating!$A:$AU,MATCH($C341,Coating!$AU:$AU,0),4),"")</f>
        <v/>
      </c>
      <c r="F341" s="3143" t="s">
        <v>3651</v>
      </c>
      <c r="G341" s="3599" t="str">
        <f ca="1">IFERROR(INDEX(Coating!$A:$AU,MATCH($C341,Coating!$AU:$AU,0),10)/'ACC &amp; Other Material '!$E$2*10^3,"")</f>
        <v/>
      </c>
      <c r="H341" s="3599" t="str">
        <f ca="1">IFERROR(INDEX(Coating!$A:$AU,MATCH($C341,Coating!$AU:$AU,0),11)/'ACC &amp; Other Material '!$E$2*10^3,"")</f>
        <v/>
      </c>
      <c r="I341" s="3153" t="str">
        <f ca="1">IFERROR(INDEX(Coating!$A:$AU,MATCH($C341,Coating!$AU:$AU,0),14),"")</f>
        <v/>
      </c>
      <c r="J341" s="3153" t="str">
        <f ca="1">IFERROR(INDEX(Coating!$A:$AU,MATCH($C341,Coating!$AU:$AU,0),14)*(1+Coating!$N$4),"")</f>
        <v/>
      </c>
    </row>
    <row r="342" spans="2:10" ht="21.75">
      <c r="B342" s="3143" t="s">
        <v>1610</v>
      </c>
      <c r="C342" s="3143">
        <f t="shared" si="5"/>
        <v>96</v>
      </c>
      <c r="D342" s="3143" t="str">
        <f ca="1">IFERROR(INDEX(Coating!$A:$AU,MATCH($C342,Coating!$AU:$AU,0),1),"")</f>
        <v/>
      </c>
      <c r="E342" s="3143" t="str">
        <f ca="1">IFERROR(INDEX(Coating!$A:$AU,MATCH($C342,Coating!$AU:$AU,0),4),"")</f>
        <v/>
      </c>
      <c r="F342" s="3143" t="s">
        <v>3651</v>
      </c>
      <c r="G342" s="3599" t="str">
        <f ca="1">IFERROR(INDEX(Coating!$A:$AU,MATCH($C342,Coating!$AU:$AU,0),10)/'ACC &amp; Other Material '!$E$2*10^3,"")</f>
        <v/>
      </c>
      <c r="H342" s="3599" t="str">
        <f ca="1">IFERROR(INDEX(Coating!$A:$AU,MATCH($C342,Coating!$AU:$AU,0),11)/'ACC &amp; Other Material '!$E$2*10^3,"")</f>
        <v/>
      </c>
      <c r="I342" s="3153" t="str">
        <f ca="1">IFERROR(INDEX(Coating!$A:$AU,MATCH($C342,Coating!$AU:$AU,0),14),"")</f>
        <v/>
      </c>
      <c r="J342" s="3153" t="str">
        <f ca="1">IFERROR(INDEX(Coating!$A:$AU,MATCH($C342,Coating!$AU:$AU,0),14)*(1+Coating!$N$4),"")</f>
        <v/>
      </c>
    </row>
    <row r="343" spans="2:10" ht="21.75">
      <c r="B343" s="3143" t="s">
        <v>1610</v>
      </c>
      <c r="C343" s="3143">
        <f t="shared" si="5"/>
        <v>97</v>
      </c>
      <c r="D343" s="3143" t="str">
        <f ca="1">IFERROR(INDEX(Coating!$A:$AU,MATCH($C343,Coating!$AU:$AU,0),1),"")</f>
        <v/>
      </c>
      <c r="E343" s="3143" t="str">
        <f ca="1">IFERROR(INDEX(Coating!$A:$AU,MATCH($C343,Coating!$AU:$AU,0),4),"")</f>
        <v/>
      </c>
      <c r="F343" s="3143" t="s">
        <v>3651</v>
      </c>
      <c r="G343" s="3599" t="str">
        <f ca="1">IFERROR(INDEX(Coating!$A:$AU,MATCH($C343,Coating!$AU:$AU,0),10)/'ACC &amp; Other Material '!$E$2*10^3,"")</f>
        <v/>
      </c>
      <c r="H343" s="3599" t="str">
        <f ca="1">IFERROR(INDEX(Coating!$A:$AU,MATCH($C343,Coating!$AU:$AU,0),11)/'ACC &amp; Other Material '!$E$2*10^3,"")</f>
        <v/>
      </c>
      <c r="I343" s="3153" t="str">
        <f ca="1">IFERROR(INDEX(Coating!$A:$AU,MATCH($C343,Coating!$AU:$AU,0),14),"")</f>
        <v/>
      </c>
      <c r="J343" s="3153" t="str">
        <f ca="1">IFERROR(INDEX(Coating!$A:$AU,MATCH($C343,Coating!$AU:$AU,0),14)*(1+Coating!$N$4),"")</f>
        <v/>
      </c>
    </row>
    <row r="344" spans="2:10" ht="21.75">
      <c r="B344" s="3143" t="s">
        <v>1610</v>
      </c>
      <c r="C344" s="3143">
        <f t="shared" si="5"/>
        <v>98</v>
      </c>
      <c r="D344" s="3143" t="str">
        <f ca="1">IFERROR(INDEX(Coating!$A:$AU,MATCH($C344,Coating!$AU:$AU,0),1),"")</f>
        <v/>
      </c>
      <c r="E344" s="3143" t="str">
        <f ca="1">IFERROR(INDEX(Coating!$A:$AU,MATCH($C344,Coating!$AU:$AU,0),4),"")</f>
        <v/>
      </c>
      <c r="F344" s="3143" t="s">
        <v>3651</v>
      </c>
      <c r="G344" s="3599" t="str">
        <f ca="1">IFERROR(INDEX(Coating!$A:$AU,MATCH($C344,Coating!$AU:$AU,0),10)/'ACC &amp; Other Material '!$E$2*10^3,"")</f>
        <v/>
      </c>
      <c r="H344" s="3599" t="str">
        <f ca="1">IFERROR(INDEX(Coating!$A:$AU,MATCH($C344,Coating!$AU:$AU,0),11)/'ACC &amp; Other Material '!$E$2*10^3,"")</f>
        <v/>
      </c>
      <c r="I344" s="3153" t="str">
        <f ca="1">IFERROR(INDEX(Coating!$A:$AU,MATCH($C344,Coating!$AU:$AU,0),14),"")</f>
        <v/>
      </c>
      <c r="J344" s="3153" t="str">
        <f ca="1">IFERROR(INDEX(Coating!$A:$AU,MATCH($C344,Coating!$AU:$AU,0),14)*(1+Coating!$N$4),"")</f>
        <v/>
      </c>
    </row>
    <row r="345" spans="2:10" ht="21.75">
      <c r="B345" s="3143" t="s">
        <v>1610</v>
      </c>
      <c r="C345" s="3143">
        <f t="shared" si="5"/>
        <v>99</v>
      </c>
      <c r="D345" s="3143" t="str">
        <f ca="1">IFERROR(INDEX(Coating!$A:$AU,MATCH($C345,Coating!$AU:$AU,0),1),"")</f>
        <v/>
      </c>
      <c r="E345" s="3143" t="str">
        <f ca="1">IFERROR(INDEX(Coating!$A:$AU,MATCH($C345,Coating!$AU:$AU,0),4),"")</f>
        <v/>
      </c>
      <c r="F345" s="3143" t="s">
        <v>3651</v>
      </c>
      <c r="G345" s="3599" t="str">
        <f ca="1">IFERROR(INDEX(Coating!$A:$AU,MATCH($C345,Coating!$AU:$AU,0),10)/'ACC &amp; Other Material '!$E$2*10^3,"")</f>
        <v/>
      </c>
      <c r="H345" s="3599" t="str">
        <f ca="1">IFERROR(INDEX(Coating!$A:$AU,MATCH($C345,Coating!$AU:$AU,0),11)/'ACC &amp; Other Material '!$E$2*10^3,"")</f>
        <v/>
      </c>
      <c r="I345" s="3153" t="str">
        <f ca="1">IFERROR(INDEX(Coating!$A:$AU,MATCH($C345,Coating!$AU:$AU,0),14),"")</f>
        <v/>
      </c>
      <c r="J345" s="3153" t="str">
        <f ca="1">IFERROR(INDEX(Coating!$A:$AU,MATCH($C345,Coating!$AU:$AU,0),14)*(1+Coating!$N$4),"")</f>
        <v/>
      </c>
    </row>
    <row r="346" spans="2:10" ht="21.75">
      <c r="B346" s="3143" t="s">
        <v>1610</v>
      </c>
      <c r="C346" s="3143">
        <f t="shared" si="5"/>
        <v>100</v>
      </c>
      <c r="D346" s="3143" t="str">
        <f ca="1">IFERROR(INDEX(Coating!$A:$AU,MATCH($C346,Coating!$AU:$AU,0),1),"")</f>
        <v/>
      </c>
      <c r="E346" s="3143" t="str">
        <f ca="1">IFERROR(INDEX(Coating!$A:$AU,MATCH($C346,Coating!$AU:$AU,0),4),"")</f>
        <v/>
      </c>
      <c r="F346" s="3143" t="s">
        <v>3651</v>
      </c>
      <c r="G346" s="3599" t="str">
        <f ca="1">IFERROR(INDEX(Coating!$A:$AU,MATCH($C346,Coating!$AU:$AU,0),10)/'ACC &amp; Other Material '!$E$2*10^3,"")</f>
        <v/>
      </c>
      <c r="H346" s="3599" t="str">
        <f ca="1">IFERROR(INDEX(Coating!$A:$AU,MATCH($C346,Coating!$AU:$AU,0),11)/'ACC &amp; Other Material '!$E$2*10^3,"")</f>
        <v/>
      </c>
      <c r="I346" s="3153" t="str">
        <f ca="1">IFERROR(INDEX(Coating!$A:$AU,MATCH($C346,Coating!$AU:$AU,0),14),"")</f>
        <v/>
      </c>
      <c r="J346" s="3153" t="str">
        <f ca="1">IFERROR(INDEX(Coating!$A:$AU,MATCH($C346,Coating!$AU:$AU,0),14)*(1+Coating!$N$4),"")</f>
        <v/>
      </c>
    </row>
    <row r="347" spans="2:10" ht="21.75">
      <c r="B347" s="3143" t="s">
        <v>1610</v>
      </c>
      <c r="C347" s="3143">
        <f t="shared" si="5"/>
        <v>101</v>
      </c>
      <c r="D347" s="3143" t="str">
        <f ca="1">IFERROR(INDEX(Coating!$A:$AU,MATCH($C347,Coating!$AU:$AU,0),1),"")</f>
        <v/>
      </c>
      <c r="E347" s="3143" t="str">
        <f ca="1">IFERROR(INDEX(Coating!$A:$AU,MATCH($C347,Coating!$AU:$AU,0),4),"")</f>
        <v/>
      </c>
      <c r="F347" s="3143" t="s">
        <v>3651</v>
      </c>
      <c r="G347" s="3599" t="str">
        <f ca="1">IFERROR(INDEX(Coating!$A:$AU,MATCH($C347,Coating!$AU:$AU,0),10)/'ACC &amp; Other Material '!$E$2*10^3,"")</f>
        <v/>
      </c>
      <c r="H347" s="3599" t="str">
        <f ca="1">IFERROR(INDEX(Coating!$A:$AU,MATCH($C347,Coating!$AU:$AU,0),11)/'ACC &amp; Other Material '!$E$2*10^3,"")</f>
        <v/>
      </c>
      <c r="I347" s="3153" t="str">
        <f ca="1">IFERROR(INDEX(Coating!$A:$AU,MATCH($C347,Coating!$AU:$AU,0),14),"")</f>
        <v/>
      </c>
      <c r="J347" s="3153" t="str">
        <f ca="1">IFERROR(INDEX(Coating!$A:$AU,MATCH($C347,Coating!$AU:$AU,0),14)*(1+Coating!$N$4),"")</f>
        <v/>
      </c>
    </row>
    <row r="348" spans="2:10" ht="21.75">
      <c r="B348" s="3143" t="s">
        <v>1610</v>
      </c>
      <c r="C348" s="3143">
        <f t="shared" si="5"/>
        <v>102</v>
      </c>
      <c r="D348" s="3143" t="str">
        <f ca="1">IFERROR(INDEX(Coating!$A:$AU,MATCH($C348,Coating!$AU:$AU,0),1),"")</f>
        <v/>
      </c>
      <c r="E348" s="3143" t="str">
        <f ca="1">IFERROR(INDEX(Coating!$A:$AU,MATCH($C348,Coating!$AU:$AU,0),4),"")</f>
        <v/>
      </c>
      <c r="F348" s="3143" t="s">
        <v>3651</v>
      </c>
      <c r="G348" s="3599" t="str">
        <f ca="1">IFERROR(INDEX(Coating!$A:$AU,MATCH($C348,Coating!$AU:$AU,0),10)/'ACC &amp; Other Material '!$E$2*10^3,"")</f>
        <v/>
      </c>
      <c r="H348" s="3599" t="str">
        <f ca="1">IFERROR(INDEX(Coating!$A:$AU,MATCH($C348,Coating!$AU:$AU,0),11)/'ACC &amp; Other Material '!$E$2*10^3,"")</f>
        <v/>
      </c>
      <c r="I348" s="3153" t="str">
        <f ca="1">IFERROR(INDEX(Coating!$A:$AU,MATCH($C348,Coating!$AU:$AU,0),14),"")</f>
        <v/>
      </c>
      <c r="J348" s="3153" t="str">
        <f ca="1">IFERROR(INDEX(Coating!$A:$AU,MATCH($C348,Coating!$AU:$AU,0),14)*(1+Coating!$N$4),"")</f>
        <v/>
      </c>
    </row>
    <row r="349" spans="2:10" ht="21.75">
      <c r="B349" s="3143" t="s">
        <v>1610</v>
      </c>
      <c r="C349" s="3143">
        <f t="shared" si="5"/>
        <v>103</v>
      </c>
      <c r="D349" s="3143" t="str">
        <f ca="1">IFERROR(INDEX(Coating!$A:$AU,MATCH($C349,Coating!$AU:$AU,0),1),"")</f>
        <v/>
      </c>
      <c r="E349" s="3143" t="str">
        <f ca="1">IFERROR(INDEX(Coating!$A:$AU,MATCH($C349,Coating!$AU:$AU,0),4),"")</f>
        <v/>
      </c>
      <c r="F349" s="3143" t="s">
        <v>3651</v>
      </c>
      <c r="G349" s="3599" t="str">
        <f ca="1">IFERROR(INDEX(Coating!$A:$AU,MATCH($C349,Coating!$AU:$AU,0),10)/'ACC &amp; Other Material '!$E$2*10^3,"")</f>
        <v/>
      </c>
      <c r="H349" s="3599" t="str">
        <f ca="1">IFERROR(INDEX(Coating!$A:$AU,MATCH($C349,Coating!$AU:$AU,0),11)/'ACC &amp; Other Material '!$E$2*10^3,"")</f>
        <v/>
      </c>
      <c r="I349" s="3153" t="str">
        <f ca="1">IFERROR(INDEX(Coating!$A:$AU,MATCH($C349,Coating!$AU:$AU,0),14),"")</f>
        <v/>
      </c>
      <c r="J349" s="3153" t="str">
        <f ca="1">IFERROR(INDEX(Coating!$A:$AU,MATCH($C349,Coating!$AU:$AU,0),14)*(1+Coating!$N$4),"")</f>
        <v/>
      </c>
    </row>
    <row r="350" spans="2:10" ht="21.75">
      <c r="B350" s="3143" t="s">
        <v>1610</v>
      </c>
      <c r="C350" s="3143">
        <f t="shared" si="5"/>
        <v>104</v>
      </c>
      <c r="D350" s="3143" t="str">
        <f ca="1">IFERROR(INDEX(Coating!$A:$AU,MATCH($C350,Coating!$AU:$AU,0),1),"")</f>
        <v/>
      </c>
      <c r="E350" s="3143" t="str">
        <f ca="1">IFERROR(INDEX(Coating!$A:$AU,MATCH($C350,Coating!$AU:$AU,0),4),"")</f>
        <v/>
      </c>
      <c r="F350" s="3143" t="s">
        <v>3651</v>
      </c>
      <c r="G350" s="3599" t="str">
        <f ca="1">IFERROR(INDEX(Coating!$A:$AU,MATCH($C350,Coating!$AU:$AU,0),10)/'ACC &amp; Other Material '!$E$2*10^3,"")</f>
        <v/>
      </c>
      <c r="H350" s="3599" t="str">
        <f ca="1">IFERROR(INDEX(Coating!$A:$AU,MATCH($C350,Coating!$AU:$AU,0),11)/'ACC &amp; Other Material '!$E$2*10^3,"")</f>
        <v/>
      </c>
      <c r="I350" s="3153" t="str">
        <f ca="1">IFERROR(INDEX(Coating!$A:$AU,MATCH($C350,Coating!$AU:$AU,0),14),"")</f>
        <v/>
      </c>
      <c r="J350" s="3153" t="str">
        <f ca="1">IFERROR(INDEX(Coating!$A:$AU,MATCH($C350,Coating!$AU:$AU,0),14)*(1+Coating!$N$4),"")</f>
        <v/>
      </c>
    </row>
    <row r="351" spans="2:10" ht="21.75">
      <c r="B351" s="3143" t="s">
        <v>1610</v>
      </c>
      <c r="C351" s="3143">
        <f t="shared" si="5"/>
        <v>105</v>
      </c>
      <c r="D351" s="3143" t="str">
        <f ca="1">IFERROR(INDEX(Coating!$A:$AU,MATCH($C351,Coating!$AU:$AU,0),1),"")</f>
        <v/>
      </c>
      <c r="E351" s="3143" t="str">
        <f ca="1">IFERROR(INDEX(Coating!$A:$AU,MATCH($C351,Coating!$AU:$AU,0),4),"")</f>
        <v/>
      </c>
      <c r="F351" s="3143" t="s">
        <v>3651</v>
      </c>
      <c r="G351" s="3599" t="str">
        <f ca="1">IFERROR(INDEX(Coating!$A:$AU,MATCH($C351,Coating!$AU:$AU,0),10)/'ACC &amp; Other Material '!$E$2*10^3,"")</f>
        <v/>
      </c>
      <c r="H351" s="3599" t="str">
        <f ca="1">IFERROR(INDEX(Coating!$A:$AU,MATCH($C351,Coating!$AU:$AU,0),11)/'ACC &amp; Other Material '!$E$2*10^3,"")</f>
        <v/>
      </c>
      <c r="I351" s="3153" t="str">
        <f ca="1">IFERROR(INDEX(Coating!$A:$AU,MATCH($C351,Coating!$AU:$AU,0),14),"")</f>
        <v/>
      </c>
      <c r="J351" s="3153" t="str">
        <f ca="1">IFERROR(INDEX(Coating!$A:$AU,MATCH($C351,Coating!$AU:$AU,0),14)*(1+Coating!$N$4),"")</f>
        <v/>
      </c>
    </row>
    <row r="352" spans="2:10" ht="21.75">
      <c r="B352" s="3143" t="s">
        <v>1610</v>
      </c>
      <c r="C352" s="3143">
        <f t="shared" si="5"/>
        <v>106</v>
      </c>
      <c r="D352" s="3143" t="str">
        <f ca="1">IFERROR(INDEX(Coating!$A:$AU,MATCH($C352,Coating!$AU:$AU,0),1),"")</f>
        <v/>
      </c>
      <c r="E352" s="3143" t="str">
        <f ca="1">IFERROR(INDEX(Coating!$A:$AU,MATCH($C352,Coating!$AU:$AU,0),4),"")</f>
        <v/>
      </c>
      <c r="F352" s="3143" t="s">
        <v>3651</v>
      </c>
      <c r="G352" s="3599" t="str">
        <f ca="1">IFERROR(INDEX(Coating!$A:$AU,MATCH($C352,Coating!$AU:$AU,0),10)/'ACC &amp; Other Material '!$E$2*10^3,"")</f>
        <v/>
      </c>
      <c r="H352" s="3599" t="str">
        <f ca="1">IFERROR(INDEX(Coating!$A:$AU,MATCH($C352,Coating!$AU:$AU,0),11)/'ACC &amp; Other Material '!$E$2*10^3,"")</f>
        <v/>
      </c>
      <c r="I352" s="3153" t="str">
        <f ca="1">IFERROR(INDEX(Coating!$A:$AU,MATCH($C352,Coating!$AU:$AU,0),14),"")</f>
        <v/>
      </c>
      <c r="J352" s="3153" t="str">
        <f ca="1">IFERROR(INDEX(Coating!$A:$AU,MATCH($C352,Coating!$AU:$AU,0),14)*(1+Coating!$N$4),"")</f>
        <v/>
      </c>
    </row>
    <row r="353" spans="2:10" ht="21.75">
      <c r="B353" s="3143" t="s">
        <v>1610</v>
      </c>
      <c r="C353" s="3143">
        <f t="shared" si="5"/>
        <v>107</v>
      </c>
      <c r="D353" s="3143" t="str">
        <f ca="1">IFERROR(INDEX(Coating!$A:$AU,MATCH($C353,Coating!$AU:$AU,0),1),"")</f>
        <v/>
      </c>
      <c r="E353" s="3143" t="str">
        <f ca="1">IFERROR(INDEX(Coating!$A:$AU,MATCH($C353,Coating!$AU:$AU,0),4),"")</f>
        <v/>
      </c>
      <c r="F353" s="3143" t="s">
        <v>3651</v>
      </c>
      <c r="G353" s="3599" t="str">
        <f ca="1">IFERROR(INDEX(Coating!$A:$AU,MATCH($C353,Coating!$AU:$AU,0),10)/'ACC &amp; Other Material '!$E$2*10^3,"")</f>
        <v/>
      </c>
      <c r="H353" s="3599" t="str">
        <f ca="1">IFERROR(INDEX(Coating!$A:$AU,MATCH($C353,Coating!$AU:$AU,0),11)/'ACC &amp; Other Material '!$E$2*10^3,"")</f>
        <v/>
      </c>
      <c r="I353" s="3153" t="str">
        <f ca="1">IFERROR(INDEX(Coating!$A:$AU,MATCH($C353,Coating!$AU:$AU,0),14),"")</f>
        <v/>
      </c>
      <c r="J353" s="3153" t="str">
        <f ca="1">IFERROR(INDEX(Coating!$A:$AU,MATCH($C353,Coating!$AU:$AU,0),14)*(1+Coating!$N$4),"")</f>
        <v/>
      </c>
    </row>
    <row r="354" spans="2:10" ht="21.75">
      <c r="B354" s="3143" t="s">
        <v>1610</v>
      </c>
      <c r="C354" s="3143">
        <f t="shared" si="5"/>
        <v>108</v>
      </c>
      <c r="D354" s="3143" t="str">
        <f ca="1">IFERROR(INDEX(Coating!$A:$AU,MATCH($C354,Coating!$AU:$AU,0),1),"")</f>
        <v/>
      </c>
      <c r="E354" s="3143" t="str">
        <f ca="1">IFERROR(INDEX(Coating!$A:$AU,MATCH($C354,Coating!$AU:$AU,0),4),"")</f>
        <v/>
      </c>
      <c r="F354" s="3143" t="s">
        <v>3651</v>
      </c>
      <c r="G354" s="3599" t="str">
        <f ca="1">IFERROR(INDEX(Coating!$A:$AU,MATCH($C354,Coating!$AU:$AU,0),10)/'ACC &amp; Other Material '!$E$2*10^3,"")</f>
        <v/>
      </c>
      <c r="H354" s="3599" t="str">
        <f ca="1">IFERROR(INDEX(Coating!$A:$AU,MATCH($C354,Coating!$AU:$AU,0),11)/'ACC &amp; Other Material '!$E$2*10^3,"")</f>
        <v/>
      </c>
      <c r="I354" s="3153" t="str">
        <f ca="1">IFERROR(INDEX(Coating!$A:$AU,MATCH($C354,Coating!$AU:$AU,0),14),"")</f>
        <v/>
      </c>
      <c r="J354" s="3153" t="str">
        <f ca="1">IFERROR(INDEX(Coating!$A:$AU,MATCH($C354,Coating!$AU:$AU,0),14)*(1+Coating!$N$4),"")</f>
        <v/>
      </c>
    </row>
    <row r="355" spans="2:10" ht="21.75">
      <c r="B355" s="3143" t="s">
        <v>1610</v>
      </c>
      <c r="C355" s="3143">
        <f t="shared" si="5"/>
        <v>109</v>
      </c>
      <c r="D355" s="3143" t="str">
        <f ca="1">IFERROR(INDEX(Coating!$A:$AU,MATCH($C355,Coating!$AU:$AU,0),1),"")</f>
        <v/>
      </c>
      <c r="E355" s="3143" t="str">
        <f ca="1">IFERROR(INDEX(Coating!$A:$AU,MATCH($C355,Coating!$AU:$AU,0),4),"")</f>
        <v/>
      </c>
      <c r="F355" s="3143" t="s">
        <v>3651</v>
      </c>
      <c r="G355" s="3599" t="str">
        <f ca="1">IFERROR(INDEX(Coating!$A:$AU,MATCH($C355,Coating!$AU:$AU,0),10)/'ACC &amp; Other Material '!$E$2*10^3,"")</f>
        <v/>
      </c>
      <c r="H355" s="3599" t="str">
        <f ca="1">IFERROR(INDEX(Coating!$A:$AU,MATCH($C355,Coating!$AU:$AU,0),11)/'ACC &amp; Other Material '!$E$2*10^3,"")</f>
        <v/>
      </c>
      <c r="I355" s="3153" t="str">
        <f ca="1">IFERROR(INDEX(Coating!$A:$AU,MATCH($C355,Coating!$AU:$AU,0),14),"")</f>
        <v/>
      </c>
      <c r="J355" s="3153" t="str">
        <f ca="1">IFERROR(INDEX(Coating!$A:$AU,MATCH($C355,Coating!$AU:$AU,0),14)*(1+Coating!$N$4),"")</f>
        <v/>
      </c>
    </row>
    <row r="356" spans="2:10" ht="21.75">
      <c r="B356" s="3143" t="s">
        <v>1610</v>
      </c>
      <c r="C356" s="3143">
        <f t="shared" si="5"/>
        <v>110</v>
      </c>
      <c r="D356" s="3143" t="str">
        <f ca="1">IFERROR(INDEX(Coating!$A:$AU,MATCH($C356,Coating!$AU:$AU,0),1),"")</f>
        <v/>
      </c>
      <c r="E356" s="3143" t="str">
        <f ca="1">IFERROR(INDEX(Coating!$A:$AU,MATCH($C356,Coating!$AU:$AU,0),4),"")</f>
        <v/>
      </c>
      <c r="F356" s="3143" t="s">
        <v>3651</v>
      </c>
      <c r="G356" s="3599" t="str">
        <f ca="1">IFERROR(INDEX(Coating!$A:$AU,MATCH($C356,Coating!$AU:$AU,0),10)/'ACC &amp; Other Material '!$E$2*10^3,"")</f>
        <v/>
      </c>
      <c r="H356" s="3599" t="str">
        <f ca="1">IFERROR(INDEX(Coating!$A:$AU,MATCH($C356,Coating!$AU:$AU,0),11)/'ACC &amp; Other Material '!$E$2*10^3,"")</f>
        <v/>
      </c>
      <c r="I356" s="3153" t="str">
        <f ca="1">IFERROR(INDEX(Coating!$A:$AU,MATCH($C356,Coating!$AU:$AU,0),14),"")</f>
        <v/>
      </c>
      <c r="J356" s="3153" t="str">
        <f ca="1">IFERROR(INDEX(Coating!$A:$AU,MATCH($C356,Coating!$AU:$AU,0),14)*(1+Coating!$N$4),"")</f>
        <v/>
      </c>
    </row>
    <row r="357" spans="2:10" ht="21.75">
      <c r="B357" s="3143" t="s">
        <v>1610</v>
      </c>
      <c r="C357" s="3143">
        <f t="shared" si="5"/>
        <v>111</v>
      </c>
      <c r="D357" s="3143" t="str">
        <f ca="1">IFERROR(INDEX(Coating!$A:$AU,MATCH($C357,Coating!$AU:$AU,0),1),"")</f>
        <v/>
      </c>
      <c r="E357" s="3143" t="str">
        <f ca="1">IFERROR(INDEX(Coating!$A:$AU,MATCH($C357,Coating!$AU:$AU,0),4),"")</f>
        <v/>
      </c>
      <c r="F357" s="3143" t="s">
        <v>3651</v>
      </c>
      <c r="G357" s="3599" t="str">
        <f ca="1">IFERROR(INDEX(Coating!$A:$AU,MATCH($C357,Coating!$AU:$AU,0),10)/'ACC &amp; Other Material '!$E$2*10^3,"")</f>
        <v/>
      </c>
      <c r="H357" s="3599" t="str">
        <f ca="1">IFERROR(INDEX(Coating!$A:$AU,MATCH($C357,Coating!$AU:$AU,0),11)/'ACC &amp; Other Material '!$E$2*10^3,"")</f>
        <v/>
      </c>
      <c r="I357" s="3153" t="str">
        <f ca="1">IFERROR(INDEX(Coating!$A:$AU,MATCH($C357,Coating!$AU:$AU,0),14),"")</f>
        <v/>
      </c>
      <c r="J357" s="3153" t="str">
        <f ca="1">IFERROR(INDEX(Coating!$A:$AU,MATCH($C357,Coating!$AU:$AU,0),14)*(1+Coating!$N$4),"")</f>
        <v/>
      </c>
    </row>
    <row r="358" spans="2:10" ht="21.75">
      <c r="B358" s="3143" t="s">
        <v>1610</v>
      </c>
      <c r="C358" s="3143">
        <f t="shared" si="5"/>
        <v>112</v>
      </c>
      <c r="D358" s="3143" t="str">
        <f ca="1">IFERROR(INDEX(Coating!$A:$AU,MATCH($C358,Coating!$AU:$AU,0),1),"")</f>
        <v/>
      </c>
      <c r="E358" s="3143" t="str">
        <f ca="1">IFERROR(INDEX(Coating!$A:$AU,MATCH($C358,Coating!$AU:$AU,0),4),"")</f>
        <v/>
      </c>
      <c r="F358" s="3143" t="s">
        <v>3651</v>
      </c>
      <c r="G358" s="3599" t="str">
        <f ca="1">IFERROR(INDEX(Coating!$A:$AU,MATCH($C358,Coating!$AU:$AU,0),10)/'ACC &amp; Other Material '!$E$2*10^3,"")</f>
        <v/>
      </c>
      <c r="H358" s="3599" t="str">
        <f ca="1">IFERROR(INDEX(Coating!$A:$AU,MATCH($C358,Coating!$AU:$AU,0),11)/'ACC &amp; Other Material '!$E$2*10^3,"")</f>
        <v/>
      </c>
      <c r="I358" s="3153" t="str">
        <f ca="1">IFERROR(INDEX(Coating!$A:$AU,MATCH($C358,Coating!$AU:$AU,0),14),"")</f>
        <v/>
      </c>
      <c r="J358" s="3153" t="str">
        <f ca="1">IFERROR(INDEX(Coating!$A:$AU,MATCH($C358,Coating!$AU:$AU,0),14)*(1+Coating!$N$4),"")</f>
        <v/>
      </c>
    </row>
    <row r="359" spans="2:10" ht="21.75">
      <c r="B359" s="3143" t="s">
        <v>1610</v>
      </c>
      <c r="C359" s="3143">
        <f t="shared" si="5"/>
        <v>113</v>
      </c>
      <c r="D359" s="3143" t="str">
        <f ca="1">IFERROR(INDEX(Coating!$A:$AU,MATCH($C359,Coating!$AU:$AU,0),1),"")</f>
        <v/>
      </c>
      <c r="E359" s="3143" t="str">
        <f ca="1">IFERROR(INDEX(Coating!$A:$AU,MATCH($C359,Coating!$AU:$AU,0),4),"")</f>
        <v/>
      </c>
      <c r="F359" s="3143" t="s">
        <v>3651</v>
      </c>
      <c r="G359" s="3599" t="str">
        <f ca="1">IFERROR(INDEX(Coating!$A:$AU,MATCH($C359,Coating!$AU:$AU,0),10)/'ACC &amp; Other Material '!$E$2*10^3,"")</f>
        <v/>
      </c>
      <c r="H359" s="3599" t="str">
        <f ca="1">IFERROR(INDEX(Coating!$A:$AU,MATCH($C359,Coating!$AU:$AU,0),11)/'ACC &amp; Other Material '!$E$2*10^3,"")</f>
        <v/>
      </c>
      <c r="I359" s="3153" t="str">
        <f ca="1">IFERROR(INDEX(Coating!$A:$AU,MATCH($C359,Coating!$AU:$AU,0),14),"")</f>
        <v/>
      </c>
      <c r="J359" s="3153" t="str">
        <f ca="1">IFERROR(INDEX(Coating!$A:$AU,MATCH($C359,Coating!$AU:$AU,0),14)*(1+Coating!$N$4),"")</f>
        <v/>
      </c>
    </row>
    <row r="360" spans="2:10" ht="21.75">
      <c r="B360" s="3143" t="s">
        <v>1610</v>
      </c>
      <c r="C360" s="3143">
        <f t="shared" si="5"/>
        <v>114</v>
      </c>
      <c r="D360" s="3143" t="str">
        <f ca="1">IFERROR(INDEX(Coating!$A:$AU,MATCH($C360,Coating!$AU:$AU,0),1),"")</f>
        <v/>
      </c>
      <c r="E360" s="3143" t="str">
        <f ca="1">IFERROR(INDEX(Coating!$A:$AU,MATCH($C360,Coating!$AU:$AU,0),4),"")</f>
        <v/>
      </c>
      <c r="F360" s="3143" t="s">
        <v>3651</v>
      </c>
      <c r="G360" s="3599" t="str">
        <f ca="1">IFERROR(INDEX(Coating!$A:$AU,MATCH($C360,Coating!$AU:$AU,0),10)/'ACC &amp; Other Material '!$E$2*10^3,"")</f>
        <v/>
      </c>
      <c r="H360" s="3599" t="str">
        <f ca="1">IFERROR(INDEX(Coating!$A:$AU,MATCH($C360,Coating!$AU:$AU,0),11)/'ACC &amp; Other Material '!$E$2*10^3,"")</f>
        <v/>
      </c>
      <c r="I360" s="3153" t="str">
        <f ca="1">IFERROR(INDEX(Coating!$A:$AU,MATCH($C360,Coating!$AU:$AU,0),14),"")</f>
        <v/>
      </c>
      <c r="J360" s="3153" t="str">
        <f ca="1">IFERROR(INDEX(Coating!$A:$AU,MATCH($C360,Coating!$AU:$AU,0),14)*(1+Coating!$N$4),"")</f>
        <v/>
      </c>
    </row>
    <row r="361" spans="2:10" ht="21.75">
      <c r="B361" s="3143" t="s">
        <v>1610</v>
      </c>
      <c r="C361" s="3143">
        <f t="shared" si="5"/>
        <v>115</v>
      </c>
      <c r="D361" s="3143" t="str">
        <f ca="1">IFERROR(INDEX(Coating!$A:$AU,MATCH($C361,Coating!$AU:$AU,0),1),"")</f>
        <v/>
      </c>
      <c r="E361" s="3143" t="str">
        <f ca="1">IFERROR(INDEX(Coating!$A:$AU,MATCH($C361,Coating!$AU:$AU,0),4),"")</f>
        <v/>
      </c>
      <c r="F361" s="3143" t="s">
        <v>3651</v>
      </c>
      <c r="G361" s="3599" t="str">
        <f ca="1">IFERROR(INDEX(Coating!$A:$AU,MATCH($C361,Coating!$AU:$AU,0),10)/'ACC &amp; Other Material '!$E$2*10^3,"")</f>
        <v/>
      </c>
      <c r="H361" s="3599" t="str">
        <f ca="1">IFERROR(INDEX(Coating!$A:$AU,MATCH($C361,Coating!$AU:$AU,0),11)/'ACC &amp; Other Material '!$E$2*10^3,"")</f>
        <v/>
      </c>
      <c r="I361" s="3153" t="str">
        <f ca="1">IFERROR(INDEX(Coating!$A:$AU,MATCH($C361,Coating!$AU:$AU,0),14),"")</f>
        <v/>
      </c>
      <c r="J361" s="3153" t="str">
        <f ca="1">IFERROR(INDEX(Coating!$A:$AU,MATCH($C361,Coating!$AU:$AU,0),14)*(1+Coating!$N$4),"")</f>
        <v/>
      </c>
    </row>
    <row r="362" spans="2:10" ht="21.75">
      <c r="B362" s="3143" t="s">
        <v>1610</v>
      </c>
      <c r="C362" s="3143">
        <f t="shared" si="5"/>
        <v>116</v>
      </c>
      <c r="D362" s="3143" t="str">
        <f ca="1">IFERROR(INDEX(Coating!$A:$AU,MATCH($C362,Coating!$AU:$AU,0),1),"")</f>
        <v/>
      </c>
      <c r="E362" s="3143" t="str">
        <f ca="1">IFERROR(INDEX(Coating!$A:$AU,MATCH($C362,Coating!$AU:$AU,0),4),"")</f>
        <v/>
      </c>
      <c r="F362" s="3143" t="s">
        <v>3651</v>
      </c>
      <c r="G362" s="3599" t="str">
        <f ca="1">IFERROR(INDEX(Coating!$A:$AU,MATCH($C362,Coating!$AU:$AU,0),10)/'ACC &amp; Other Material '!$E$2*10^3,"")</f>
        <v/>
      </c>
      <c r="H362" s="3599" t="str">
        <f ca="1">IFERROR(INDEX(Coating!$A:$AU,MATCH($C362,Coating!$AU:$AU,0),11)/'ACC &amp; Other Material '!$E$2*10^3,"")</f>
        <v/>
      </c>
      <c r="I362" s="3153" t="str">
        <f ca="1">IFERROR(INDEX(Coating!$A:$AU,MATCH($C362,Coating!$AU:$AU,0),14),"")</f>
        <v/>
      </c>
      <c r="J362" s="3153" t="str">
        <f ca="1">IFERROR(INDEX(Coating!$A:$AU,MATCH($C362,Coating!$AU:$AU,0),14)*(1+Coating!$N$4),"")</f>
        <v/>
      </c>
    </row>
    <row r="363" spans="2:10" ht="21.75">
      <c r="B363" s="3143" t="s">
        <v>1610</v>
      </c>
      <c r="C363" s="3143">
        <f t="shared" si="5"/>
        <v>117</v>
      </c>
      <c r="D363" s="3143" t="str">
        <f ca="1">IFERROR(INDEX(Coating!$A:$AU,MATCH($C363,Coating!$AU:$AU,0),1),"")</f>
        <v/>
      </c>
      <c r="E363" s="3143" t="str">
        <f ca="1">IFERROR(INDEX(Coating!$A:$AU,MATCH($C363,Coating!$AU:$AU,0),4),"")</f>
        <v/>
      </c>
      <c r="F363" s="3143" t="s">
        <v>3651</v>
      </c>
      <c r="G363" s="3599" t="str">
        <f ca="1">IFERROR(INDEX(Coating!$A:$AU,MATCH($C363,Coating!$AU:$AU,0),10)/'ACC &amp; Other Material '!$E$2*10^3,"")</f>
        <v/>
      </c>
      <c r="H363" s="3599" t="str">
        <f ca="1">IFERROR(INDEX(Coating!$A:$AU,MATCH($C363,Coating!$AU:$AU,0),11)/'ACC &amp; Other Material '!$E$2*10^3,"")</f>
        <v/>
      </c>
      <c r="I363" s="3153" t="str">
        <f ca="1">IFERROR(INDEX(Coating!$A:$AU,MATCH($C363,Coating!$AU:$AU,0),14),"")</f>
        <v/>
      </c>
      <c r="J363" s="3153" t="str">
        <f ca="1">IFERROR(INDEX(Coating!$A:$AU,MATCH($C363,Coating!$AU:$AU,0),14)*(1+Coating!$N$4),"")</f>
        <v/>
      </c>
    </row>
    <row r="364" spans="2:10" ht="21.75">
      <c r="B364" s="3143" t="s">
        <v>1610</v>
      </c>
      <c r="C364" s="3143">
        <f t="shared" si="5"/>
        <v>118</v>
      </c>
      <c r="D364" s="3143" t="str">
        <f ca="1">IFERROR(INDEX(Coating!$A:$AU,MATCH($C364,Coating!$AU:$AU,0),1),"")</f>
        <v/>
      </c>
      <c r="E364" s="3143" t="str">
        <f ca="1">IFERROR(INDEX(Coating!$A:$AU,MATCH($C364,Coating!$AU:$AU,0),4),"")</f>
        <v/>
      </c>
      <c r="F364" s="3143" t="s">
        <v>3651</v>
      </c>
      <c r="G364" s="3599" t="str">
        <f ca="1">IFERROR(INDEX(Coating!$A:$AU,MATCH($C364,Coating!$AU:$AU,0),10)/'ACC &amp; Other Material '!$E$2*10^3,"")</f>
        <v/>
      </c>
      <c r="H364" s="3599" t="str">
        <f ca="1">IFERROR(INDEX(Coating!$A:$AU,MATCH($C364,Coating!$AU:$AU,0),11)/'ACC &amp; Other Material '!$E$2*10^3,"")</f>
        <v/>
      </c>
      <c r="I364" s="3153" t="str">
        <f ca="1">IFERROR(INDEX(Coating!$A:$AU,MATCH($C364,Coating!$AU:$AU,0),14),"")</f>
        <v/>
      </c>
      <c r="J364" s="3153" t="str">
        <f ca="1">IFERROR(INDEX(Coating!$A:$AU,MATCH($C364,Coating!$AU:$AU,0),14)*(1+Coating!$N$4),"")</f>
        <v/>
      </c>
    </row>
    <row r="365" spans="2:10" ht="21.75">
      <c r="B365" s="3143" t="s">
        <v>1610</v>
      </c>
      <c r="C365" s="3143">
        <f t="shared" si="5"/>
        <v>119</v>
      </c>
      <c r="D365" s="3143" t="str">
        <f ca="1">IFERROR(INDEX(Coating!$A:$AU,MATCH($C365,Coating!$AU:$AU,0),1),"")</f>
        <v/>
      </c>
      <c r="E365" s="3143" t="str">
        <f ca="1">IFERROR(INDEX(Coating!$A:$AU,MATCH($C365,Coating!$AU:$AU,0),4),"")</f>
        <v/>
      </c>
      <c r="F365" s="3143" t="s">
        <v>3651</v>
      </c>
      <c r="G365" s="3599" t="str">
        <f ca="1">IFERROR(INDEX(Coating!$A:$AU,MATCH($C365,Coating!$AU:$AU,0),10)/'ACC &amp; Other Material '!$E$2*10^3,"")</f>
        <v/>
      </c>
      <c r="H365" s="3599" t="str">
        <f ca="1">IFERROR(INDEX(Coating!$A:$AU,MATCH($C365,Coating!$AU:$AU,0),11)/'ACC &amp; Other Material '!$E$2*10^3,"")</f>
        <v/>
      </c>
      <c r="I365" s="3153" t="str">
        <f ca="1">IFERROR(INDEX(Coating!$A:$AU,MATCH($C365,Coating!$AU:$AU,0),14),"")</f>
        <v/>
      </c>
      <c r="J365" s="3153" t="str">
        <f ca="1">IFERROR(INDEX(Coating!$A:$AU,MATCH($C365,Coating!$AU:$AU,0),14)*(1+Coating!$N$4),"")</f>
        <v/>
      </c>
    </row>
    <row r="366" spans="2:10" ht="21.75">
      <c r="B366" s="3143" t="s">
        <v>1610</v>
      </c>
      <c r="C366" s="3143">
        <f t="shared" si="5"/>
        <v>120</v>
      </c>
      <c r="D366" s="3143" t="str">
        <f ca="1">IFERROR(INDEX(Coating!$A:$AU,MATCH($C366,Coating!$AU:$AU,0),1),"")</f>
        <v/>
      </c>
      <c r="E366" s="3143" t="str">
        <f ca="1">IFERROR(INDEX(Coating!$A:$AU,MATCH($C366,Coating!$AU:$AU,0),4),"")</f>
        <v/>
      </c>
      <c r="F366" s="3143" t="s">
        <v>3651</v>
      </c>
      <c r="G366" s="3599" t="str">
        <f ca="1">IFERROR(INDEX(Coating!$A:$AU,MATCH($C366,Coating!$AU:$AU,0),10)/'ACC &amp; Other Material '!$E$2*10^3,"")</f>
        <v/>
      </c>
      <c r="H366" s="3599" t="str">
        <f ca="1">IFERROR(INDEX(Coating!$A:$AU,MATCH($C366,Coating!$AU:$AU,0),11)/'ACC &amp; Other Material '!$E$2*10^3,"")</f>
        <v/>
      </c>
      <c r="I366" s="3153" t="str">
        <f ca="1">IFERROR(INDEX(Coating!$A:$AU,MATCH($C366,Coating!$AU:$AU,0),14),"")</f>
        <v/>
      </c>
      <c r="J366" s="3153" t="str">
        <f ca="1">IFERROR(INDEX(Coating!$A:$AU,MATCH($C366,Coating!$AU:$AU,0),14)*(1+Coating!$N$4),"")</f>
        <v/>
      </c>
    </row>
    <row r="367" spans="2:10" ht="21.75">
      <c r="B367" s="3143" t="s">
        <v>1610</v>
      </c>
      <c r="C367" s="3143">
        <f t="shared" si="5"/>
        <v>121</v>
      </c>
      <c r="D367" s="3143" t="str">
        <f ca="1">IFERROR(INDEX(Coating!$A:$AU,MATCH($C367,Coating!$AU:$AU,0),1),"")</f>
        <v/>
      </c>
      <c r="E367" s="3143" t="str">
        <f ca="1">IFERROR(INDEX(Coating!$A:$AU,MATCH($C367,Coating!$AU:$AU,0),4),"")</f>
        <v/>
      </c>
      <c r="F367" s="3143" t="s">
        <v>3651</v>
      </c>
      <c r="G367" s="3599" t="str">
        <f ca="1">IFERROR(INDEX(Coating!$A:$AU,MATCH($C367,Coating!$AU:$AU,0),10)/'ACC &amp; Other Material '!$E$2*10^3,"")</f>
        <v/>
      </c>
      <c r="H367" s="3599" t="str">
        <f ca="1">IFERROR(INDEX(Coating!$A:$AU,MATCH($C367,Coating!$AU:$AU,0),11)/'ACC &amp; Other Material '!$E$2*10^3,"")</f>
        <v/>
      </c>
      <c r="I367" s="3153" t="str">
        <f ca="1">IFERROR(INDEX(Coating!$A:$AU,MATCH($C367,Coating!$AU:$AU,0),14),"")</f>
        <v/>
      </c>
      <c r="J367" s="3153" t="str">
        <f ca="1">IFERROR(INDEX(Coating!$A:$AU,MATCH($C367,Coating!$AU:$AU,0),14)*(1+Coating!$N$4),"")</f>
        <v/>
      </c>
    </row>
    <row r="368" spans="2:10" ht="21.75">
      <c r="B368" s="3143" t="s">
        <v>1610</v>
      </c>
      <c r="C368" s="3143">
        <f t="shared" si="5"/>
        <v>122</v>
      </c>
      <c r="D368" s="3143" t="str">
        <f ca="1">IFERROR(INDEX(Coating!$A:$AU,MATCH($C368,Coating!$AU:$AU,0),1),"")</f>
        <v/>
      </c>
      <c r="E368" s="3143" t="str">
        <f ca="1">IFERROR(INDEX(Coating!$A:$AU,MATCH($C368,Coating!$AU:$AU,0),4),"")</f>
        <v/>
      </c>
      <c r="F368" s="3143" t="s">
        <v>3651</v>
      </c>
      <c r="G368" s="3599" t="str">
        <f ca="1">IFERROR(INDEX(Coating!$A:$AU,MATCH($C368,Coating!$AU:$AU,0),10)/'ACC &amp; Other Material '!$E$2*10^3,"")</f>
        <v/>
      </c>
      <c r="H368" s="3599" t="str">
        <f ca="1">IFERROR(INDEX(Coating!$A:$AU,MATCH($C368,Coating!$AU:$AU,0),11)/'ACC &amp; Other Material '!$E$2*10^3,"")</f>
        <v/>
      </c>
      <c r="I368" s="3153" t="str">
        <f ca="1">IFERROR(INDEX(Coating!$A:$AU,MATCH($C368,Coating!$AU:$AU,0),14),"")</f>
        <v/>
      </c>
      <c r="J368" s="3153" t="str">
        <f ca="1">IFERROR(INDEX(Coating!$A:$AU,MATCH($C368,Coating!$AU:$AU,0),14)*(1+Coating!$N$4),"")</f>
        <v/>
      </c>
    </row>
    <row r="369" spans="2:10" ht="21.75">
      <c r="B369" s="3143" t="s">
        <v>1610</v>
      </c>
      <c r="C369" s="3143">
        <f t="shared" si="5"/>
        <v>123</v>
      </c>
      <c r="D369" s="3143" t="str">
        <f ca="1">IFERROR(INDEX(Coating!$A:$AU,MATCH($C369,Coating!$AU:$AU,0),1),"")</f>
        <v/>
      </c>
      <c r="E369" s="3143" t="str">
        <f ca="1">IFERROR(INDEX(Coating!$A:$AU,MATCH($C369,Coating!$AU:$AU,0),4),"")</f>
        <v/>
      </c>
      <c r="F369" s="3143" t="s">
        <v>3651</v>
      </c>
      <c r="G369" s="3599" t="str">
        <f ca="1">IFERROR(INDEX(Coating!$A:$AU,MATCH($C369,Coating!$AU:$AU,0),10)/'ACC &amp; Other Material '!$E$2*10^3,"")</f>
        <v/>
      </c>
      <c r="H369" s="3599" t="str">
        <f ca="1">IFERROR(INDEX(Coating!$A:$AU,MATCH($C369,Coating!$AU:$AU,0),11)/'ACC &amp; Other Material '!$E$2*10^3,"")</f>
        <v/>
      </c>
      <c r="I369" s="3153" t="str">
        <f ca="1">IFERROR(INDEX(Coating!$A:$AU,MATCH($C369,Coating!$AU:$AU,0),14),"")</f>
        <v/>
      </c>
      <c r="J369" s="3153" t="str">
        <f ca="1">IFERROR(INDEX(Coating!$A:$AU,MATCH($C369,Coating!$AU:$AU,0),14)*(1+Coating!$N$4),"")</f>
        <v/>
      </c>
    </row>
    <row r="370" spans="2:10" ht="21.75">
      <c r="B370" s="3143" t="s">
        <v>1610</v>
      </c>
      <c r="C370" s="3143">
        <f t="shared" si="5"/>
        <v>124</v>
      </c>
      <c r="D370" s="3143" t="str">
        <f ca="1">IFERROR(INDEX(Coating!$A:$AU,MATCH($C370,Coating!$AU:$AU,0),1),"")</f>
        <v/>
      </c>
      <c r="E370" s="3143" t="str">
        <f ca="1">IFERROR(INDEX(Coating!$A:$AU,MATCH($C370,Coating!$AU:$AU,0),4),"")</f>
        <v/>
      </c>
      <c r="F370" s="3143" t="s">
        <v>3651</v>
      </c>
      <c r="G370" s="3599" t="str">
        <f ca="1">IFERROR(INDEX(Coating!$A:$AU,MATCH($C370,Coating!$AU:$AU,0),10)/'ACC &amp; Other Material '!$E$2*10^3,"")</f>
        <v/>
      </c>
      <c r="H370" s="3599" t="str">
        <f ca="1">IFERROR(INDEX(Coating!$A:$AU,MATCH($C370,Coating!$AU:$AU,0),11)/'ACC &amp; Other Material '!$E$2*10^3,"")</f>
        <v/>
      </c>
      <c r="I370" s="3153" t="str">
        <f ca="1">IFERROR(INDEX(Coating!$A:$AU,MATCH($C370,Coating!$AU:$AU,0),14),"")</f>
        <v/>
      </c>
      <c r="J370" s="3153" t="str">
        <f ca="1">IFERROR(INDEX(Coating!$A:$AU,MATCH($C370,Coating!$AU:$AU,0),14)*(1+Coating!$N$4),"")</f>
        <v/>
      </c>
    </row>
    <row r="371" spans="2:10" ht="21.75">
      <c r="B371" s="3143" t="s">
        <v>1610</v>
      </c>
      <c r="C371" s="3143">
        <f t="shared" si="5"/>
        <v>125</v>
      </c>
      <c r="D371" s="3143" t="str">
        <f ca="1">IFERROR(INDEX(Coating!$A:$AU,MATCH($C371,Coating!$AU:$AU,0),1),"")</f>
        <v/>
      </c>
      <c r="E371" s="3143" t="str">
        <f ca="1">IFERROR(INDEX(Coating!$A:$AU,MATCH($C371,Coating!$AU:$AU,0),4),"")</f>
        <v/>
      </c>
      <c r="F371" s="3143" t="s">
        <v>3651</v>
      </c>
      <c r="G371" s="3599" t="str">
        <f ca="1">IFERROR(INDEX(Coating!$A:$AU,MATCH($C371,Coating!$AU:$AU,0),10)/'ACC &amp; Other Material '!$E$2*10^3,"")</f>
        <v/>
      </c>
      <c r="H371" s="3599" t="str">
        <f ca="1">IFERROR(INDEX(Coating!$A:$AU,MATCH($C371,Coating!$AU:$AU,0),11)/'ACC &amp; Other Material '!$E$2*10^3,"")</f>
        <v/>
      </c>
      <c r="I371" s="3153" t="str">
        <f ca="1">IFERROR(INDEX(Coating!$A:$AU,MATCH($C371,Coating!$AU:$AU,0),14),"")</f>
        <v/>
      </c>
      <c r="J371" s="3153" t="str">
        <f ca="1">IFERROR(INDEX(Coating!$A:$AU,MATCH($C371,Coating!$AU:$AU,0),14)*(1+Coating!$N$4),"")</f>
        <v/>
      </c>
    </row>
    <row r="372" spans="2:10" ht="21.75">
      <c r="B372" s="3143" t="s">
        <v>1610</v>
      </c>
      <c r="C372" s="3143">
        <f t="shared" si="5"/>
        <v>126</v>
      </c>
      <c r="D372" s="3143" t="str">
        <f ca="1">IFERROR(INDEX(Coating!$A:$AU,MATCH($C372,Coating!$AU:$AU,0),1),"")</f>
        <v/>
      </c>
      <c r="E372" s="3143" t="str">
        <f ca="1">IFERROR(INDEX(Coating!$A:$AU,MATCH($C372,Coating!$AU:$AU,0),4),"")</f>
        <v/>
      </c>
      <c r="F372" s="3143" t="s">
        <v>3651</v>
      </c>
      <c r="G372" s="3599" t="str">
        <f ca="1">IFERROR(INDEX(Coating!$A:$AU,MATCH($C372,Coating!$AU:$AU,0),10)/'ACC &amp; Other Material '!$E$2*10^3,"")</f>
        <v/>
      </c>
      <c r="H372" s="3599" t="str">
        <f ca="1">IFERROR(INDEX(Coating!$A:$AU,MATCH($C372,Coating!$AU:$AU,0),11)/'ACC &amp; Other Material '!$E$2*10^3,"")</f>
        <v/>
      </c>
      <c r="I372" s="3153" t="str">
        <f ca="1">IFERROR(INDEX(Coating!$A:$AU,MATCH($C372,Coating!$AU:$AU,0),14),"")</f>
        <v/>
      </c>
      <c r="J372" s="3153" t="str">
        <f ca="1">IFERROR(INDEX(Coating!$A:$AU,MATCH($C372,Coating!$AU:$AU,0),14)*(1+Coating!$N$4),"")</f>
        <v/>
      </c>
    </row>
    <row r="373" spans="2:10" ht="21.75">
      <c r="B373" s="3143" t="s">
        <v>1610</v>
      </c>
      <c r="C373" s="3143">
        <f t="shared" si="5"/>
        <v>127</v>
      </c>
      <c r="D373" s="3143" t="str">
        <f ca="1">IFERROR(INDEX(Coating!$A:$AU,MATCH($C373,Coating!$AU:$AU,0),1),"")</f>
        <v/>
      </c>
      <c r="E373" s="3143" t="str">
        <f ca="1">IFERROR(INDEX(Coating!$A:$AU,MATCH($C373,Coating!$AU:$AU,0),4),"")</f>
        <v/>
      </c>
      <c r="F373" s="3143" t="s">
        <v>3651</v>
      </c>
      <c r="G373" s="3599" t="str">
        <f ca="1">IFERROR(INDEX(Coating!$A:$AU,MATCH($C373,Coating!$AU:$AU,0),10)/'ACC &amp; Other Material '!$E$2*10^3,"")</f>
        <v/>
      </c>
      <c r="H373" s="3599" t="str">
        <f ca="1">IFERROR(INDEX(Coating!$A:$AU,MATCH($C373,Coating!$AU:$AU,0),11)/'ACC &amp; Other Material '!$E$2*10^3,"")</f>
        <v/>
      </c>
      <c r="I373" s="3153" t="str">
        <f ca="1">IFERROR(INDEX(Coating!$A:$AU,MATCH($C373,Coating!$AU:$AU,0),14),"")</f>
        <v/>
      </c>
      <c r="J373" s="3153" t="str">
        <f ca="1">IFERROR(INDEX(Coating!$A:$AU,MATCH($C373,Coating!$AU:$AU,0),14)*(1+Coating!$N$4),"")</f>
        <v/>
      </c>
    </row>
    <row r="374" spans="2:10" ht="21.75">
      <c r="B374" s="3143" t="s">
        <v>1610</v>
      </c>
      <c r="C374" s="3143">
        <f t="shared" si="5"/>
        <v>128</v>
      </c>
      <c r="D374" s="3143" t="str">
        <f ca="1">IFERROR(INDEX(Coating!$A:$AU,MATCH($C374,Coating!$AU:$AU,0),1),"")</f>
        <v/>
      </c>
      <c r="E374" s="3143" t="str">
        <f ca="1">IFERROR(INDEX(Coating!$A:$AU,MATCH($C374,Coating!$AU:$AU,0),4),"")</f>
        <v/>
      </c>
      <c r="F374" s="3143" t="s">
        <v>3651</v>
      </c>
      <c r="G374" s="3599" t="str">
        <f ca="1">IFERROR(INDEX(Coating!$A:$AU,MATCH($C374,Coating!$AU:$AU,0),10)/'ACC &amp; Other Material '!$E$2*10^3,"")</f>
        <v/>
      </c>
      <c r="H374" s="3599" t="str">
        <f ca="1">IFERROR(INDEX(Coating!$A:$AU,MATCH($C374,Coating!$AU:$AU,0),11)/'ACC &amp; Other Material '!$E$2*10^3,"")</f>
        <v/>
      </c>
      <c r="I374" s="3153" t="str">
        <f ca="1">IFERROR(INDEX(Coating!$A:$AU,MATCH($C374,Coating!$AU:$AU,0),14),"")</f>
        <v/>
      </c>
      <c r="J374" s="3153" t="str">
        <f ca="1">IFERROR(INDEX(Coating!$A:$AU,MATCH($C374,Coating!$AU:$AU,0),14)*(1+Coating!$N$4),"")</f>
        <v/>
      </c>
    </row>
    <row r="375" spans="2:10" ht="21.75">
      <c r="B375" s="3143" t="s">
        <v>1610</v>
      </c>
      <c r="C375" s="3143">
        <f t="shared" si="5"/>
        <v>129</v>
      </c>
      <c r="D375" s="3143" t="str">
        <f ca="1">IFERROR(INDEX(Coating!$A:$AU,MATCH($C375,Coating!$AU:$AU,0),1),"")</f>
        <v/>
      </c>
      <c r="E375" s="3143" t="str">
        <f ca="1">IFERROR(INDEX(Coating!$A:$AU,MATCH($C375,Coating!$AU:$AU,0),4),"")</f>
        <v/>
      </c>
      <c r="F375" s="3143" t="s">
        <v>3651</v>
      </c>
      <c r="G375" s="3599" t="str">
        <f ca="1">IFERROR(INDEX(Coating!$A:$AU,MATCH($C375,Coating!$AU:$AU,0),10)/'ACC &amp; Other Material '!$E$2*10^3,"")</f>
        <v/>
      </c>
      <c r="H375" s="3599" t="str">
        <f ca="1">IFERROR(INDEX(Coating!$A:$AU,MATCH($C375,Coating!$AU:$AU,0),11)/'ACC &amp; Other Material '!$E$2*10^3,"")</f>
        <v/>
      </c>
      <c r="I375" s="3153" t="str">
        <f ca="1">IFERROR(INDEX(Coating!$A:$AU,MATCH($C375,Coating!$AU:$AU,0),14),"")</f>
        <v/>
      </c>
      <c r="J375" s="3153" t="str">
        <f ca="1">IFERROR(INDEX(Coating!$A:$AU,MATCH($C375,Coating!$AU:$AU,0),14)*(1+Coating!$N$4),"")</f>
        <v/>
      </c>
    </row>
    <row r="376" spans="2:10" ht="21.75">
      <c r="B376" s="3143" t="s">
        <v>1610</v>
      </c>
      <c r="C376" s="3143">
        <f t="shared" si="5"/>
        <v>130</v>
      </c>
      <c r="D376" s="3143" t="str">
        <f ca="1">IFERROR(INDEX(Coating!$A:$AU,MATCH($C376,Coating!$AU:$AU,0),1),"")</f>
        <v/>
      </c>
      <c r="E376" s="3143" t="str">
        <f ca="1">IFERROR(INDEX(Coating!$A:$AU,MATCH($C376,Coating!$AU:$AU,0),4),"")</f>
        <v/>
      </c>
      <c r="F376" s="3143" t="s">
        <v>3651</v>
      </c>
      <c r="G376" s="3599" t="str">
        <f ca="1">IFERROR(INDEX(Coating!$A:$AU,MATCH($C376,Coating!$AU:$AU,0),10)/'ACC &amp; Other Material '!$E$2*10^3,"")</f>
        <v/>
      </c>
      <c r="H376" s="3599" t="str">
        <f ca="1">IFERROR(INDEX(Coating!$A:$AU,MATCH($C376,Coating!$AU:$AU,0),11)/'ACC &amp; Other Material '!$E$2*10^3,"")</f>
        <v/>
      </c>
      <c r="I376" s="3153" t="str">
        <f ca="1">IFERROR(INDEX(Coating!$A:$AU,MATCH($C376,Coating!$AU:$AU,0),14),"")</f>
        <v/>
      </c>
      <c r="J376" s="3153" t="str">
        <f ca="1">IFERROR(INDEX(Coating!$A:$AU,MATCH($C376,Coating!$AU:$AU,0),14)*(1+Coating!$N$4),"")</f>
        <v/>
      </c>
    </row>
    <row r="377" spans="2:10" ht="21.75">
      <c r="B377" s="3143" t="s">
        <v>1610</v>
      </c>
      <c r="C377" s="3143">
        <f t="shared" ref="C377:C386" si="6">C376+1</f>
        <v>131</v>
      </c>
      <c r="D377" s="3143" t="str">
        <f ca="1">IFERROR(INDEX(Coating!$A:$AU,MATCH($C377,Coating!$AU:$AU,0),1),"")</f>
        <v/>
      </c>
      <c r="E377" s="3143" t="str">
        <f ca="1">IFERROR(INDEX(Coating!$A:$AU,MATCH($C377,Coating!$AU:$AU,0),4),"")</f>
        <v/>
      </c>
      <c r="F377" s="3143" t="s">
        <v>3651</v>
      </c>
      <c r="G377" s="3599" t="str">
        <f ca="1">IFERROR(INDEX(Coating!$A:$AU,MATCH($C377,Coating!$AU:$AU,0),10)/'ACC &amp; Other Material '!$E$2*10^3,"")</f>
        <v/>
      </c>
      <c r="H377" s="3599" t="str">
        <f ca="1">IFERROR(INDEX(Coating!$A:$AU,MATCH($C377,Coating!$AU:$AU,0),11)/'ACC &amp; Other Material '!$E$2*10^3,"")</f>
        <v/>
      </c>
      <c r="I377" s="3153" t="str">
        <f ca="1">IFERROR(INDEX(Coating!$A:$AU,MATCH($C377,Coating!$AU:$AU,0),14),"")</f>
        <v/>
      </c>
      <c r="J377" s="3153" t="str">
        <f ca="1">IFERROR(INDEX(Coating!$A:$AU,MATCH($C377,Coating!$AU:$AU,0),14)*(1+Coating!$N$4),"")</f>
        <v/>
      </c>
    </row>
    <row r="378" spans="2:10" ht="21.75">
      <c r="B378" s="3143" t="s">
        <v>1610</v>
      </c>
      <c r="C378" s="3143">
        <f t="shared" si="6"/>
        <v>132</v>
      </c>
      <c r="D378" s="3143" t="str">
        <f ca="1">IFERROR(INDEX(Coating!$A:$AU,MATCH($C378,Coating!$AU:$AU,0),1),"")</f>
        <v/>
      </c>
      <c r="E378" s="3143" t="str">
        <f ca="1">IFERROR(INDEX(Coating!$A:$AU,MATCH($C378,Coating!$AU:$AU,0),4),"")</f>
        <v/>
      </c>
      <c r="F378" s="3143" t="s">
        <v>3651</v>
      </c>
      <c r="G378" s="3599" t="str">
        <f ca="1">IFERROR(INDEX(Coating!$A:$AU,MATCH($C378,Coating!$AU:$AU,0),10)/'ACC &amp; Other Material '!$E$2*10^3,"")</f>
        <v/>
      </c>
      <c r="H378" s="3599" t="str">
        <f ca="1">IFERROR(INDEX(Coating!$A:$AU,MATCH($C378,Coating!$AU:$AU,0),11)/'ACC &amp; Other Material '!$E$2*10^3,"")</f>
        <v/>
      </c>
      <c r="I378" s="3153" t="str">
        <f ca="1">IFERROR(INDEX(Coating!$A:$AU,MATCH($C378,Coating!$AU:$AU,0),14),"")</f>
        <v/>
      </c>
      <c r="J378" s="3153" t="str">
        <f ca="1">IFERROR(INDEX(Coating!$A:$AU,MATCH($C378,Coating!$AU:$AU,0),14)*(1+Coating!$N$4),"")</f>
        <v/>
      </c>
    </row>
    <row r="379" spans="2:10" ht="21.75">
      <c r="B379" s="3143" t="s">
        <v>1610</v>
      </c>
      <c r="C379" s="3143">
        <f t="shared" si="6"/>
        <v>133</v>
      </c>
      <c r="D379" s="3143" t="str">
        <f ca="1">IFERROR(INDEX(Coating!$A:$AU,MATCH($C379,Coating!$AU:$AU,0),1),"")</f>
        <v/>
      </c>
      <c r="E379" s="3143" t="str">
        <f ca="1">IFERROR(INDEX(Coating!$A:$AU,MATCH($C379,Coating!$AU:$AU,0),4),"")</f>
        <v/>
      </c>
      <c r="F379" s="3143" t="s">
        <v>3651</v>
      </c>
      <c r="G379" s="3599" t="str">
        <f ca="1">IFERROR(INDEX(Coating!$A:$AU,MATCH($C379,Coating!$AU:$AU,0),10)/'ACC &amp; Other Material '!$E$2*10^3,"")</f>
        <v/>
      </c>
      <c r="H379" s="3599" t="str">
        <f ca="1">IFERROR(INDEX(Coating!$A:$AU,MATCH($C379,Coating!$AU:$AU,0),11)/'ACC &amp; Other Material '!$E$2*10^3,"")</f>
        <v/>
      </c>
      <c r="I379" s="3153" t="str">
        <f ca="1">IFERROR(INDEX(Coating!$A:$AU,MATCH($C379,Coating!$AU:$AU,0),14),"")</f>
        <v/>
      </c>
      <c r="J379" s="3153" t="str">
        <f ca="1">IFERROR(INDEX(Coating!$A:$AU,MATCH($C379,Coating!$AU:$AU,0),14)*(1+Coating!$N$4),"")</f>
        <v/>
      </c>
    </row>
    <row r="380" spans="2:10" ht="21.75">
      <c r="B380" s="3143" t="s">
        <v>1610</v>
      </c>
      <c r="C380" s="3143">
        <f t="shared" si="6"/>
        <v>134</v>
      </c>
      <c r="D380" s="3143" t="str">
        <f ca="1">IFERROR(INDEX(Coating!$A:$AU,MATCH($C380,Coating!$AU:$AU,0),1),"")</f>
        <v/>
      </c>
      <c r="E380" s="3143" t="str">
        <f ca="1">IFERROR(INDEX(Coating!$A:$AU,MATCH($C380,Coating!$AU:$AU,0),4),"")</f>
        <v/>
      </c>
      <c r="F380" s="3143" t="s">
        <v>3651</v>
      </c>
      <c r="G380" s="3599" t="str">
        <f ca="1">IFERROR(INDEX(Coating!$A:$AU,MATCH($C380,Coating!$AU:$AU,0),10)/'ACC &amp; Other Material '!$E$2*10^3,"")</f>
        <v/>
      </c>
      <c r="H380" s="3599" t="str">
        <f ca="1">IFERROR(INDEX(Coating!$A:$AU,MATCH($C380,Coating!$AU:$AU,0),11)/'ACC &amp; Other Material '!$E$2*10^3,"")</f>
        <v/>
      </c>
      <c r="I380" s="3153" t="str">
        <f ca="1">IFERROR(INDEX(Coating!$A:$AU,MATCH($C380,Coating!$AU:$AU,0),14),"")</f>
        <v/>
      </c>
      <c r="J380" s="3153" t="str">
        <f ca="1">IFERROR(INDEX(Coating!$A:$AU,MATCH($C380,Coating!$AU:$AU,0),14)*(1+Coating!$N$4),"")</f>
        <v/>
      </c>
    </row>
    <row r="381" spans="2:10" ht="21.75">
      <c r="B381" s="3143" t="s">
        <v>1610</v>
      </c>
      <c r="C381" s="3143">
        <f t="shared" si="6"/>
        <v>135</v>
      </c>
      <c r="D381" s="3143" t="str">
        <f ca="1">IFERROR(INDEX(Coating!$A:$AU,MATCH($C381,Coating!$AU:$AU,0),1),"")</f>
        <v/>
      </c>
      <c r="E381" s="3143" t="str">
        <f ca="1">IFERROR(INDEX(Coating!$A:$AU,MATCH($C381,Coating!$AU:$AU,0),4),"")</f>
        <v/>
      </c>
      <c r="F381" s="3143" t="s">
        <v>3651</v>
      </c>
      <c r="G381" s="3599" t="str">
        <f ca="1">IFERROR(INDEX(Coating!$A:$AU,MATCH($C381,Coating!$AU:$AU,0),10)/'ACC &amp; Other Material '!$E$2*10^3,"")</f>
        <v/>
      </c>
      <c r="H381" s="3599" t="str">
        <f ca="1">IFERROR(INDEX(Coating!$A:$AU,MATCH($C381,Coating!$AU:$AU,0),11)/'ACC &amp; Other Material '!$E$2*10^3,"")</f>
        <v/>
      </c>
      <c r="I381" s="3153" t="str">
        <f ca="1">IFERROR(INDEX(Coating!$A:$AU,MATCH($C381,Coating!$AU:$AU,0),14),"")</f>
        <v/>
      </c>
      <c r="J381" s="3153" t="str">
        <f ca="1">IFERROR(INDEX(Coating!$A:$AU,MATCH($C381,Coating!$AU:$AU,0),14)*(1+Coating!$N$4),"")</f>
        <v/>
      </c>
    </row>
    <row r="382" spans="2:10" ht="21.75">
      <c r="B382" s="3143" t="s">
        <v>1610</v>
      </c>
      <c r="C382" s="3143">
        <f t="shared" si="6"/>
        <v>136</v>
      </c>
      <c r="D382" s="3143" t="str">
        <f ca="1">IFERROR(INDEX(Coating!$A:$AU,MATCH($C382,Coating!$AU:$AU,0),1),"")</f>
        <v/>
      </c>
      <c r="E382" s="3143" t="str">
        <f ca="1">IFERROR(INDEX(Coating!$A:$AU,MATCH($C382,Coating!$AU:$AU,0),4),"")</f>
        <v/>
      </c>
      <c r="F382" s="3143" t="s">
        <v>3651</v>
      </c>
      <c r="G382" s="3599" t="str">
        <f ca="1">IFERROR(INDEX(Coating!$A:$AU,MATCH($C382,Coating!$AU:$AU,0),10)/'ACC &amp; Other Material '!$E$2*10^3,"")</f>
        <v/>
      </c>
      <c r="H382" s="3599" t="str">
        <f ca="1">IFERROR(INDEX(Coating!$A:$AU,MATCH($C382,Coating!$AU:$AU,0),11)/'ACC &amp; Other Material '!$E$2*10^3,"")</f>
        <v/>
      </c>
      <c r="I382" s="3153" t="str">
        <f ca="1">IFERROR(INDEX(Coating!$A:$AU,MATCH($C382,Coating!$AU:$AU,0),14),"")</f>
        <v/>
      </c>
      <c r="J382" s="3153" t="str">
        <f ca="1">IFERROR(INDEX(Coating!$A:$AU,MATCH($C382,Coating!$AU:$AU,0),14)*(1+Coating!$N$4),"")</f>
        <v/>
      </c>
    </row>
    <row r="383" spans="2:10" ht="21.75">
      <c r="B383" s="3143" t="s">
        <v>1610</v>
      </c>
      <c r="C383" s="3143">
        <f t="shared" si="6"/>
        <v>137</v>
      </c>
      <c r="D383" s="3143" t="str">
        <f ca="1">IFERROR(INDEX(Coating!$A:$AU,MATCH($C383,Coating!$AU:$AU,0),1),"")</f>
        <v/>
      </c>
      <c r="E383" s="3143" t="str">
        <f ca="1">IFERROR(INDEX(Coating!$A:$AU,MATCH($C383,Coating!$AU:$AU,0),4),"")</f>
        <v/>
      </c>
      <c r="F383" s="3143" t="s">
        <v>3651</v>
      </c>
      <c r="G383" s="3599" t="str">
        <f ca="1">IFERROR(INDEX(Coating!$A:$AU,MATCH($C383,Coating!$AU:$AU,0),10)/'ACC &amp; Other Material '!$E$2*10^3,"")</f>
        <v/>
      </c>
      <c r="H383" s="3599" t="str">
        <f ca="1">IFERROR(INDEX(Coating!$A:$AU,MATCH($C383,Coating!$AU:$AU,0),11)/'ACC &amp; Other Material '!$E$2*10^3,"")</f>
        <v/>
      </c>
      <c r="I383" s="3153" t="str">
        <f ca="1">IFERROR(INDEX(Coating!$A:$AU,MATCH($C383,Coating!$AU:$AU,0),14),"")</f>
        <v/>
      </c>
      <c r="J383" s="3153" t="str">
        <f ca="1">IFERROR(INDEX(Coating!$A:$AU,MATCH($C383,Coating!$AU:$AU,0),14)*(1+Coating!$N$4),"")</f>
        <v/>
      </c>
    </row>
    <row r="384" spans="2:10" ht="21.75">
      <c r="B384" s="3143" t="s">
        <v>1610</v>
      </c>
      <c r="C384" s="3143">
        <f t="shared" si="6"/>
        <v>138</v>
      </c>
      <c r="D384" s="3143" t="str">
        <f ca="1">IFERROR(INDEX(Coating!$A:$AU,MATCH($C384,Coating!$AU:$AU,0),1),"")</f>
        <v/>
      </c>
      <c r="E384" s="3143" t="str">
        <f ca="1">IFERROR(INDEX(Coating!$A:$AU,MATCH($C384,Coating!$AU:$AU,0),4),"")</f>
        <v/>
      </c>
      <c r="F384" s="3143" t="s">
        <v>3651</v>
      </c>
      <c r="G384" s="3599" t="str">
        <f ca="1">IFERROR(INDEX(Coating!$A:$AU,MATCH($C384,Coating!$AU:$AU,0),10)/'ACC &amp; Other Material '!$E$2*10^3,"")</f>
        <v/>
      </c>
      <c r="H384" s="3599" t="str">
        <f ca="1">IFERROR(INDEX(Coating!$A:$AU,MATCH($C384,Coating!$AU:$AU,0),11)/'ACC &amp; Other Material '!$E$2*10^3,"")</f>
        <v/>
      </c>
      <c r="I384" s="3153" t="str">
        <f ca="1">IFERROR(INDEX(Coating!$A:$AU,MATCH($C384,Coating!$AU:$AU,0),14),"")</f>
        <v/>
      </c>
      <c r="J384" s="3153" t="str">
        <f ca="1">IFERROR(INDEX(Coating!$A:$AU,MATCH($C384,Coating!$AU:$AU,0),14)*(1+Coating!$N$4),"")</f>
        <v/>
      </c>
    </row>
    <row r="385" spans="2:10" ht="21.75">
      <c r="B385" s="3143" t="s">
        <v>1610</v>
      </c>
      <c r="C385" s="3143">
        <f t="shared" si="6"/>
        <v>139</v>
      </c>
      <c r="D385" s="3143" t="str">
        <f ca="1">IFERROR(INDEX(Coating!$A:$AU,MATCH($C385,Coating!$AU:$AU,0),1),"")</f>
        <v/>
      </c>
      <c r="E385" s="3143" t="str">
        <f ca="1">IFERROR(INDEX(Coating!$A:$AU,MATCH($C385,Coating!$AU:$AU,0),4),"")</f>
        <v/>
      </c>
      <c r="F385" s="3143" t="s">
        <v>3651</v>
      </c>
      <c r="G385" s="3599" t="str">
        <f ca="1">IFERROR(INDEX(Coating!$A:$AU,MATCH($C385,Coating!$AU:$AU,0),10)/'ACC &amp; Other Material '!$E$2*10^3,"")</f>
        <v/>
      </c>
      <c r="H385" s="3599" t="str">
        <f ca="1">IFERROR(INDEX(Coating!$A:$AU,MATCH($C385,Coating!$AU:$AU,0),11)/'ACC &amp; Other Material '!$E$2*10^3,"")</f>
        <v/>
      </c>
      <c r="I385" s="3153" t="str">
        <f ca="1">IFERROR(INDEX(Coating!$A:$AU,MATCH($C385,Coating!$AU:$AU,0),14),"")</f>
        <v/>
      </c>
      <c r="J385" s="3153" t="str">
        <f ca="1">IFERROR(INDEX(Coating!$A:$AU,MATCH($C385,Coating!$AU:$AU,0),14)*(1+Coating!$N$4),"")</f>
        <v/>
      </c>
    </row>
    <row r="386" spans="2:10" ht="21.75">
      <c r="B386" s="3143" t="s">
        <v>1610</v>
      </c>
      <c r="C386" s="3143">
        <f t="shared" si="6"/>
        <v>140</v>
      </c>
      <c r="D386" s="3143" t="str">
        <f ca="1">IFERROR(INDEX(Coating!$A:$AU,MATCH($C386,Coating!$AU:$AU,0),1),"")</f>
        <v/>
      </c>
      <c r="E386" s="3143" t="str">
        <f ca="1">IFERROR(INDEX(Coating!$A:$AU,MATCH($C386,Coating!$AU:$AU,0),4),"")</f>
        <v/>
      </c>
      <c r="F386" s="3143" t="s">
        <v>3651</v>
      </c>
      <c r="G386" s="3599" t="str">
        <f ca="1">IFERROR(INDEX(Coating!$A:$AU,MATCH($C386,Coating!$AU:$AU,0),10)/'ACC &amp; Other Material '!$E$2*10^3,"")</f>
        <v/>
      </c>
      <c r="H386" s="3599" t="str">
        <f ca="1">IFERROR(INDEX(Coating!$A:$AU,MATCH($C386,Coating!$AU:$AU,0),11)/'ACC &amp; Other Material '!$E$2*10^3,"")</f>
        <v/>
      </c>
      <c r="I386" s="3153" t="str">
        <f ca="1">IFERROR(INDEX(Coating!$A:$AU,MATCH($C386,Coating!$AU:$AU,0),14),"")</f>
        <v/>
      </c>
      <c r="J386" s="3153" t="str">
        <f ca="1">IFERROR(INDEX(Coating!$A:$AU,MATCH($C386,Coating!$AU:$AU,0),14)*(1+Coating!$N$4),"")</f>
        <v/>
      </c>
    </row>
    <row r="388" spans="2:10" ht="21.75">
      <c r="B388" s="3143" t="s">
        <v>215</v>
      </c>
      <c r="C388" s="3143">
        <v>1</v>
      </c>
      <c r="D388" s="3143" t="str">
        <f ca="1">IFERROR(INDEX(Glue!$A:$AU,MATCH($C388,Glue!$AU:$AU,0),1),"")</f>
        <v>Box</v>
      </c>
      <c r="E388" s="3143" t="str">
        <f ca="1">IFERROR(INDEX(Glue!$A:$AU,MATCH($C388,Glue!$AU:$AU,0),5),"")</f>
        <v>D450</v>
      </c>
      <c r="F388" s="3143" t="s">
        <v>3651</v>
      </c>
      <c r="G388" s="3599">
        <f ca="1">IFERROR(INDEX(Glue!$A:$AU,MATCH($C388,Glue!$AU:$AU,0),8)/'ACC &amp; Other Material '!$E$2*10^3,"")</f>
        <v>3.7400000000000007</v>
      </c>
      <c r="H388" s="3599">
        <f ca="1">IFERROR(INDEX(Glue!$A:$AU,MATCH($C388,Glue!$AU:$AU,0),9)/'ACC &amp; Other Material '!$E$2*10^3,"")</f>
        <v>0.2</v>
      </c>
      <c r="I388" s="3153">
        <f ca="1">IFERROR(INDEX(Glue!$A:$AU,MATCH($C388,Glue!$AU:$AU,0),12),"")</f>
        <v>57.13000000000001</v>
      </c>
      <c r="J388" s="3153">
        <f ca="1">IFERROR(INDEX(Glue!$A:$AU,MATCH($C388,Glue!$AU:$AU,0),12)*(1+Glue!$L$4),"")</f>
        <v>57.13000000000001</v>
      </c>
    </row>
    <row r="389" spans="2:10" ht="21.75">
      <c r="B389" s="3143" t="s">
        <v>215</v>
      </c>
      <c r="C389" s="3143">
        <f>C388+1</f>
        <v>2</v>
      </c>
      <c r="D389" s="3143" t="str">
        <f ca="1">IFERROR(INDEX(Glue!$A:$AU,MATCH($C389,Glue!$AU:$AU,0),1),"")</f>
        <v>Box</v>
      </c>
      <c r="E389" s="3143" t="str">
        <f ca="1">IFERROR(INDEX(Glue!$A:$AU,MATCH($C389,Glue!$AU:$AU,0),5),"")</f>
        <v>A-10211</v>
      </c>
      <c r="F389" s="3143" t="s">
        <v>3651</v>
      </c>
      <c r="G389" s="3599">
        <f ca="1">IFERROR(INDEX(Glue!$A:$AU,MATCH($C389,Glue!$AU:$AU,0),8)/'ACC &amp; Other Material '!$E$2*10^3,"")</f>
        <v>0.12</v>
      </c>
      <c r="H389" s="3599">
        <f ca="1">IFERROR(INDEX(Glue!$A:$AU,MATCH($C389,Glue!$AU:$AU,0),9)/'ACC &amp; Other Material '!$E$2*10^3,"")</f>
        <v>0.2</v>
      </c>
      <c r="I389" s="3153">
        <f ca="1">IFERROR(INDEX(Glue!$A:$AU,MATCH($C389,Glue!$AU:$AU,0),12),"")</f>
        <v>15.68</v>
      </c>
      <c r="J389" s="3153">
        <f ca="1">IFERROR(INDEX(Glue!$A:$AU,MATCH($C389,Glue!$AU:$AU,0),12)*(1+Glue!$L$4),"")</f>
        <v>15.68</v>
      </c>
    </row>
    <row r="390" spans="2:10" ht="21.75">
      <c r="B390" s="3143" t="s">
        <v>215</v>
      </c>
      <c r="C390" s="3143">
        <f t="shared" ref="C390:C453" si="7">C389+1</f>
        <v>3</v>
      </c>
      <c r="D390" s="3143" t="str">
        <f ca="1">IFERROR(INDEX(Glue!$A:$AU,MATCH($C390,Glue!$AU:$AU,0),1),"")</f>
        <v/>
      </c>
      <c r="E390" s="3143" t="str">
        <f ca="1">IFERROR(INDEX(Glue!$A:$AU,MATCH($C390,Glue!$AU:$AU,0),5),"")</f>
        <v/>
      </c>
      <c r="F390" s="3143" t="s">
        <v>3651</v>
      </c>
      <c r="G390" s="3599" t="str">
        <f ca="1">IFERROR(INDEX(Glue!$A:$AU,MATCH($C390,Glue!$AU:$AU,0),8)/'ACC &amp; Other Material '!$E$2*10^3,"")</f>
        <v/>
      </c>
      <c r="H390" s="3599" t="str">
        <f ca="1">IFERROR(INDEX(Glue!$A:$AU,MATCH($C390,Glue!$AU:$AU,0),9)/'ACC &amp; Other Material '!$E$2*10^3,"")</f>
        <v/>
      </c>
      <c r="I390" s="3153" t="str">
        <f ca="1">IFERROR(INDEX(Glue!$A:$AU,MATCH($C390,Glue!$AU:$AU,0),12),"")</f>
        <v/>
      </c>
      <c r="J390" s="3153" t="str">
        <f ca="1">IFERROR(INDEX(Glue!$A:$AU,MATCH($C390,Glue!$AU:$AU,0),12)*(1+Glue!$L$4),"")</f>
        <v/>
      </c>
    </row>
    <row r="391" spans="2:10" ht="21.75">
      <c r="B391" s="3143" t="s">
        <v>215</v>
      </c>
      <c r="C391" s="3143">
        <f t="shared" si="7"/>
        <v>4</v>
      </c>
      <c r="D391" s="3143" t="str">
        <f ca="1">IFERROR(INDEX(Glue!$A:$AU,MATCH($C391,Glue!$AU:$AU,0),1),"")</f>
        <v/>
      </c>
      <c r="E391" s="3143" t="str">
        <f ca="1">IFERROR(INDEX(Glue!$A:$AU,MATCH($C391,Glue!$AU:$AU,0),5),"")</f>
        <v/>
      </c>
      <c r="F391" s="3143" t="s">
        <v>3651</v>
      </c>
      <c r="G391" s="3599" t="str">
        <f ca="1">IFERROR(INDEX(Glue!$A:$AU,MATCH($C391,Glue!$AU:$AU,0),8)/'ACC &amp; Other Material '!$E$2*10^3,"")</f>
        <v/>
      </c>
      <c r="H391" s="3599" t="str">
        <f ca="1">IFERROR(INDEX(Glue!$A:$AU,MATCH($C391,Glue!$AU:$AU,0),9)/'ACC &amp; Other Material '!$E$2*10^3,"")</f>
        <v/>
      </c>
      <c r="I391" s="3153" t="str">
        <f ca="1">IFERROR(INDEX(Glue!$A:$AU,MATCH($C391,Glue!$AU:$AU,0),12),"")</f>
        <v/>
      </c>
      <c r="J391" s="3153" t="str">
        <f ca="1">IFERROR(INDEX(Glue!$A:$AU,MATCH($C391,Glue!$AU:$AU,0),12)*(1+Glue!$L$4),"")</f>
        <v/>
      </c>
    </row>
    <row r="392" spans="2:10" ht="21.75">
      <c r="B392" s="3143" t="s">
        <v>215</v>
      </c>
      <c r="C392" s="3143">
        <f t="shared" si="7"/>
        <v>5</v>
      </c>
      <c r="D392" s="3143" t="str">
        <f ca="1">IFERROR(INDEX(Glue!$A:$AU,MATCH($C392,Glue!$AU:$AU,0),1),"")</f>
        <v/>
      </c>
      <c r="E392" s="3143" t="str">
        <f ca="1">IFERROR(INDEX(Glue!$A:$AU,MATCH($C392,Glue!$AU:$AU,0),5),"")</f>
        <v/>
      </c>
      <c r="F392" s="3143" t="s">
        <v>3651</v>
      </c>
      <c r="G392" s="3599" t="str">
        <f ca="1">IFERROR(INDEX(Glue!$A:$AU,MATCH($C392,Glue!$AU:$AU,0),8)/'ACC &amp; Other Material '!$E$2*10^3,"")</f>
        <v/>
      </c>
      <c r="H392" s="3599" t="str">
        <f ca="1">IFERROR(INDEX(Glue!$A:$AU,MATCH($C392,Glue!$AU:$AU,0),9)/'ACC &amp; Other Material '!$E$2*10^3,"")</f>
        <v/>
      </c>
      <c r="I392" s="3153" t="str">
        <f ca="1">IFERROR(INDEX(Glue!$A:$AU,MATCH($C392,Glue!$AU:$AU,0),12),"")</f>
        <v/>
      </c>
      <c r="J392" s="3153" t="str">
        <f ca="1">IFERROR(INDEX(Glue!$A:$AU,MATCH($C392,Glue!$AU:$AU,0),12)*(1+Glue!$L$4),"")</f>
        <v/>
      </c>
    </row>
    <row r="393" spans="2:10" ht="21.75">
      <c r="B393" s="3143" t="s">
        <v>215</v>
      </c>
      <c r="C393" s="3143">
        <f t="shared" si="7"/>
        <v>6</v>
      </c>
      <c r="D393" s="3143" t="str">
        <f ca="1">IFERROR(INDEX(Glue!$A:$AU,MATCH($C393,Glue!$AU:$AU,0),1),"")</f>
        <v/>
      </c>
      <c r="E393" s="3143" t="str">
        <f ca="1">IFERROR(INDEX(Glue!$A:$AU,MATCH($C393,Glue!$AU:$AU,0),5),"")</f>
        <v/>
      </c>
      <c r="F393" s="3143" t="s">
        <v>3651</v>
      </c>
      <c r="G393" s="3599" t="str">
        <f ca="1">IFERROR(INDEX(Glue!$A:$AU,MATCH($C393,Glue!$AU:$AU,0),8)/'ACC &amp; Other Material '!$E$2*10^3,"")</f>
        <v/>
      </c>
      <c r="H393" s="3599" t="str">
        <f ca="1">IFERROR(INDEX(Glue!$A:$AU,MATCH($C393,Glue!$AU:$AU,0),9)/'ACC &amp; Other Material '!$E$2*10^3,"")</f>
        <v/>
      </c>
      <c r="I393" s="3153" t="str">
        <f ca="1">IFERROR(INDEX(Glue!$A:$AU,MATCH($C393,Glue!$AU:$AU,0),12),"")</f>
        <v/>
      </c>
      <c r="J393" s="3153" t="str">
        <f ca="1">IFERROR(INDEX(Glue!$A:$AU,MATCH($C393,Glue!$AU:$AU,0),12)*(1+Glue!$L$4),"")</f>
        <v/>
      </c>
    </row>
    <row r="394" spans="2:10" ht="21.75">
      <c r="B394" s="3143" t="s">
        <v>215</v>
      </c>
      <c r="C394" s="3143">
        <f t="shared" si="7"/>
        <v>7</v>
      </c>
      <c r="D394" s="3143" t="str">
        <f ca="1">IFERROR(INDEX(Glue!$A:$AU,MATCH($C394,Glue!$AU:$AU,0),1),"")</f>
        <v/>
      </c>
      <c r="E394" s="3143" t="str">
        <f ca="1">IFERROR(INDEX(Glue!$A:$AU,MATCH($C394,Glue!$AU:$AU,0),5),"")</f>
        <v/>
      </c>
      <c r="F394" s="3143" t="s">
        <v>3651</v>
      </c>
      <c r="G394" s="3599" t="str">
        <f ca="1">IFERROR(INDEX(Glue!$A:$AU,MATCH($C394,Glue!$AU:$AU,0),8)/'ACC &amp; Other Material '!$E$2*10^3,"")</f>
        <v/>
      </c>
      <c r="H394" s="3599" t="str">
        <f ca="1">IFERROR(INDEX(Glue!$A:$AU,MATCH($C394,Glue!$AU:$AU,0),9)/'ACC &amp; Other Material '!$E$2*10^3,"")</f>
        <v/>
      </c>
      <c r="I394" s="3153" t="str">
        <f ca="1">IFERROR(INDEX(Glue!$A:$AU,MATCH($C394,Glue!$AU:$AU,0),12),"")</f>
        <v/>
      </c>
      <c r="J394" s="3153" t="str">
        <f ca="1">IFERROR(INDEX(Glue!$A:$AU,MATCH($C394,Glue!$AU:$AU,0),12)*(1+Glue!$L$4),"")</f>
        <v/>
      </c>
    </row>
    <row r="395" spans="2:10" ht="21.75">
      <c r="B395" s="3143" t="s">
        <v>215</v>
      </c>
      <c r="C395" s="3143">
        <f t="shared" si="7"/>
        <v>8</v>
      </c>
      <c r="D395" s="3143" t="str">
        <f ca="1">IFERROR(INDEX(Glue!$A:$AU,MATCH($C395,Glue!$AU:$AU,0),1),"")</f>
        <v/>
      </c>
      <c r="E395" s="3143" t="str">
        <f ca="1">IFERROR(INDEX(Glue!$A:$AU,MATCH($C395,Glue!$AU:$AU,0),5),"")</f>
        <v/>
      </c>
      <c r="F395" s="3143" t="s">
        <v>3651</v>
      </c>
      <c r="G395" s="3599" t="str">
        <f ca="1">IFERROR(INDEX(Glue!$A:$AU,MATCH($C395,Glue!$AU:$AU,0),8)/'ACC &amp; Other Material '!$E$2*10^3,"")</f>
        <v/>
      </c>
      <c r="H395" s="3599" t="str">
        <f ca="1">IFERROR(INDEX(Glue!$A:$AU,MATCH($C395,Glue!$AU:$AU,0),9)/'ACC &amp; Other Material '!$E$2*10^3,"")</f>
        <v/>
      </c>
      <c r="I395" s="3153" t="str">
        <f ca="1">IFERROR(INDEX(Glue!$A:$AU,MATCH($C395,Glue!$AU:$AU,0),12),"")</f>
        <v/>
      </c>
      <c r="J395" s="3153" t="str">
        <f ca="1">IFERROR(INDEX(Glue!$A:$AU,MATCH($C395,Glue!$AU:$AU,0),12)*(1+Glue!$L$4),"")</f>
        <v/>
      </c>
    </row>
    <row r="396" spans="2:10" ht="21.75">
      <c r="B396" s="3143" t="s">
        <v>215</v>
      </c>
      <c r="C396" s="3143">
        <f t="shared" si="7"/>
        <v>9</v>
      </c>
      <c r="D396" s="3143" t="str">
        <f ca="1">IFERROR(INDEX(Glue!$A:$AU,MATCH($C396,Glue!$AU:$AU,0),1),"")</f>
        <v/>
      </c>
      <c r="E396" s="3143" t="str">
        <f ca="1">IFERROR(INDEX(Glue!$A:$AU,MATCH($C396,Glue!$AU:$AU,0),5),"")</f>
        <v/>
      </c>
      <c r="F396" s="3143" t="s">
        <v>3651</v>
      </c>
      <c r="G396" s="3599" t="str">
        <f ca="1">IFERROR(INDEX(Glue!$A:$AU,MATCH($C396,Glue!$AU:$AU,0),8)/'ACC &amp; Other Material '!$E$2*10^3,"")</f>
        <v/>
      </c>
      <c r="H396" s="3599" t="str">
        <f ca="1">IFERROR(INDEX(Glue!$A:$AU,MATCH($C396,Glue!$AU:$AU,0),9)/'ACC &amp; Other Material '!$E$2*10^3,"")</f>
        <v/>
      </c>
      <c r="I396" s="3153" t="str">
        <f ca="1">IFERROR(INDEX(Glue!$A:$AU,MATCH($C396,Glue!$AU:$AU,0),12),"")</f>
        <v/>
      </c>
      <c r="J396" s="3153" t="str">
        <f ca="1">IFERROR(INDEX(Glue!$A:$AU,MATCH($C396,Glue!$AU:$AU,0),12)*(1+Glue!$L$4),"")</f>
        <v/>
      </c>
    </row>
    <row r="397" spans="2:10" ht="21.75">
      <c r="B397" s="3143" t="s">
        <v>215</v>
      </c>
      <c r="C397" s="3143">
        <f t="shared" si="7"/>
        <v>10</v>
      </c>
      <c r="D397" s="3143" t="str">
        <f ca="1">IFERROR(INDEX(Glue!$A:$AU,MATCH($C397,Glue!$AU:$AU,0),1),"")</f>
        <v/>
      </c>
      <c r="E397" s="3143" t="str">
        <f ca="1">IFERROR(INDEX(Glue!$A:$AU,MATCH($C397,Glue!$AU:$AU,0),5),"")</f>
        <v/>
      </c>
      <c r="F397" s="3143" t="s">
        <v>3651</v>
      </c>
      <c r="G397" s="3599" t="str">
        <f ca="1">IFERROR(INDEX(Glue!$A:$AU,MATCH($C397,Glue!$AU:$AU,0),8)/'ACC &amp; Other Material '!$E$2*10^3,"")</f>
        <v/>
      </c>
      <c r="H397" s="3599" t="str">
        <f ca="1">IFERROR(INDEX(Glue!$A:$AU,MATCH($C397,Glue!$AU:$AU,0),9)/'ACC &amp; Other Material '!$E$2*10^3,"")</f>
        <v/>
      </c>
      <c r="I397" s="3153" t="str">
        <f ca="1">IFERROR(INDEX(Glue!$A:$AU,MATCH($C397,Glue!$AU:$AU,0),12),"")</f>
        <v/>
      </c>
      <c r="J397" s="3153" t="str">
        <f ca="1">IFERROR(INDEX(Glue!$A:$AU,MATCH($C397,Glue!$AU:$AU,0),12)*(1+Glue!$L$4),"")</f>
        <v/>
      </c>
    </row>
    <row r="398" spans="2:10" ht="21.75">
      <c r="B398" s="3143" t="s">
        <v>215</v>
      </c>
      <c r="C398" s="3143">
        <f t="shared" si="7"/>
        <v>11</v>
      </c>
      <c r="D398" s="3143" t="str">
        <f ca="1">IFERROR(INDEX(Glue!$A:$AU,MATCH($C398,Glue!$AU:$AU,0),1),"")</f>
        <v/>
      </c>
      <c r="E398" s="3143" t="str">
        <f ca="1">IFERROR(INDEX(Glue!$A:$AU,MATCH($C398,Glue!$AU:$AU,0),5),"")</f>
        <v/>
      </c>
      <c r="F398" s="3143" t="s">
        <v>3651</v>
      </c>
      <c r="G398" s="3599" t="str">
        <f ca="1">IFERROR(INDEX(Glue!$A:$AU,MATCH($C398,Glue!$AU:$AU,0),8)/'ACC &amp; Other Material '!$E$2*10^3,"")</f>
        <v/>
      </c>
      <c r="H398" s="3599" t="str">
        <f ca="1">IFERROR(INDEX(Glue!$A:$AU,MATCH($C398,Glue!$AU:$AU,0),9)/'ACC &amp; Other Material '!$E$2*10^3,"")</f>
        <v/>
      </c>
      <c r="I398" s="3153" t="str">
        <f ca="1">IFERROR(INDEX(Glue!$A:$AU,MATCH($C398,Glue!$AU:$AU,0),12),"")</f>
        <v/>
      </c>
      <c r="J398" s="3153" t="str">
        <f ca="1">IFERROR(INDEX(Glue!$A:$AU,MATCH($C398,Glue!$AU:$AU,0),12)*(1+Glue!$L$4),"")</f>
        <v/>
      </c>
    </row>
    <row r="399" spans="2:10" ht="21.75">
      <c r="B399" s="3143" t="s">
        <v>215</v>
      </c>
      <c r="C399" s="3143">
        <f t="shared" si="7"/>
        <v>12</v>
      </c>
      <c r="D399" s="3143" t="str">
        <f ca="1">IFERROR(INDEX(Glue!$A:$AU,MATCH($C399,Glue!$AU:$AU,0),1),"")</f>
        <v/>
      </c>
      <c r="E399" s="3143" t="str">
        <f ca="1">IFERROR(INDEX(Glue!$A:$AU,MATCH($C399,Glue!$AU:$AU,0),5),"")</f>
        <v/>
      </c>
      <c r="F399" s="3143" t="s">
        <v>3651</v>
      </c>
      <c r="G399" s="3599" t="str">
        <f ca="1">IFERROR(INDEX(Glue!$A:$AU,MATCH($C399,Glue!$AU:$AU,0),8)/'ACC &amp; Other Material '!$E$2*10^3,"")</f>
        <v/>
      </c>
      <c r="H399" s="3599" t="str">
        <f ca="1">IFERROR(INDEX(Glue!$A:$AU,MATCH($C399,Glue!$AU:$AU,0),9)/'ACC &amp; Other Material '!$E$2*10^3,"")</f>
        <v/>
      </c>
      <c r="I399" s="3153" t="str">
        <f ca="1">IFERROR(INDEX(Glue!$A:$AU,MATCH($C399,Glue!$AU:$AU,0),12),"")</f>
        <v/>
      </c>
      <c r="J399" s="3153" t="str">
        <f ca="1">IFERROR(INDEX(Glue!$A:$AU,MATCH($C399,Glue!$AU:$AU,0),12)*(1+Glue!$L$4),"")</f>
        <v/>
      </c>
    </row>
    <row r="400" spans="2:10" ht="21.75">
      <c r="B400" s="3143" t="s">
        <v>215</v>
      </c>
      <c r="C400" s="3143">
        <f t="shared" si="7"/>
        <v>13</v>
      </c>
      <c r="D400" s="3143" t="str">
        <f ca="1">IFERROR(INDEX(Glue!$A:$AU,MATCH($C400,Glue!$AU:$AU,0),1),"")</f>
        <v/>
      </c>
      <c r="E400" s="3143" t="str">
        <f ca="1">IFERROR(INDEX(Glue!$A:$AU,MATCH($C400,Glue!$AU:$AU,0),5),"")</f>
        <v/>
      </c>
      <c r="F400" s="3143" t="s">
        <v>3651</v>
      </c>
      <c r="G400" s="3599" t="str">
        <f ca="1">IFERROR(INDEX(Glue!$A:$AU,MATCH($C400,Glue!$AU:$AU,0),8)/'ACC &amp; Other Material '!$E$2*10^3,"")</f>
        <v/>
      </c>
      <c r="H400" s="3599" t="str">
        <f ca="1">IFERROR(INDEX(Glue!$A:$AU,MATCH($C400,Glue!$AU:$AU,0),9)/'ACC &amp; Other Material '!$E$2*10^3,"")</f>
        <v/>
      </c>
      <c r="I400" s="3153" t="str">
        <f ca="1">IFERROR(INDEX(Glue!$A:$AU,MATCH($C400,Glue!$AU:$AU,0),12),"")</f>
        <v/>
      </c>
      <c r="J400" s="3153" t="str">
        <f ca="1">IFERROR(INDEX(Glue!$A:$AU,MATCH($C400,Glue!$AU:$AU,0),12)*(1+Glue!$L$4),"")</f>
        <v/>
      </c>
    </row>
    <row r="401" spans="2:10" ht="21.75">
      <c r="B401" s="3143" t="s">
        <v>215</v>
      </c>
      <c r="C401" s="3143">
        <f t="shared" si="7"/>
        <v>14</v>
      </c>
      <c r="D401" s="3143" t="str">
        <f ca="1">IFERROR(INDEX(Glue!$A:$AU,MATCH($C401,Glue!$AU:$AU,0),1),"")</f>
        <v/>
      </c>
      <c r="E401" s="3143" t="str">
        <f ca="1">IFERROR(INDEX(Glue!$A:$AU,MATCH($C401,Glue!$AU:$AU,0),5),"")</f>
        <v/>
      </c>
      <c r="F401" s="3143" t="s">
        <v>3651</v>
      </c>
      <c r="G401" s="3599" t="str">
        <f ca="1">IFERROR(INDEX(Glue!$A:$AU,MATCH($C401,Glue!$AU:$AU,0),8)/'ACC &amp; Other Material '!$E$2*10^3,"")</f>
        <v/>
      </c>
      <c r="H401" s="3599" t="str">
        <f ca="1">IFERROR(INDEX(Glue!$A:$AU,MATCH($C401,Glue!$AU:$AU,0),9)/'ACC &amp; Other Material '!$E$2*10^3,"")</f>
        <v/>
      </c>
      <c r="I401" s="3153" t="str">
        <f ca="1">IFERROR(INDEX(Glue!$A:$AU,MATCH($C401,Glue!$AU:$AU,0),12),"")</f>
        <v/>
      </c>
      <c r="J401" s="3153" t="str">
        <f ca="1">IFERROR(INDEX(Glue!$A:$AU,MATCH($C401,Glue!$AU:$AU,0),12)*(1+Glue!$L$4),"")</f>
        <v/>
      </c>
    </row>
    <row r="402" spans="2:10" ht="21.75">
      <c r="B402" s="3143" t="s">
        <v>215</v>
      </c>
      <c r="C402" s="3143">
        <f t="shared" si="7"/>
        <v>15</v>
      </c>
      <c r="D402" s="3143" t="str">
        <f ca="1">IFERROR(INDEX(Glue!$A:$AU,MATCH($C402,Glue!$AU:$AU,0),1),"")</f>
        <v/>
      </c>
      <c r="E402" s="3143" t="str">
        <f ca="1">IFERROR(INDEX(Glue!$A:$AU,MATCH($C402,Glue!$AU:$AU,0),5),"")</f>
        <v/>
      </c>
      <c r="F402" s="3143" t="s">
        <v>3651</v>
      </c>
      <c r="G402" s="3599" t="str">
        <f ca="1">IFERROR(INDEX(Glue!$A:$AU,MATCH($C402,Glue!$AU:$AU,0),8)/'ACC &amp; Other Material '!$E$2*10^3,"")</f>
        <v/>
      </c>
      <c r="H402" s="3599" t="str">
        <f ca="1">IFERROR(INDEX(Glue!$A:$AU,MATCH($C402,Glue!$AU:$AU,0),9)/'ACC &amp; Other Material '!$E$2*10^3,"")</f>
        <v/>
      </c>
      <c r="I402" s="3153" t="str">
        <f ca="1">IFERROR(INDEX(Glue!$A:$AU,MATCH($C402,Glue!$AU:$AU,0),12),"")</f>
        <v/>
      </c>
      <c r="J402" s="3153" t="str">
        <f ca="1">IFERROR(INDEX(Glue!$A:$AU,MATCH($C402,Glue!$AU:$AU,0),12)*(1+Glue!$L$4),"")</f>
        <v/>
      </c>
    </row>
    <row r="403" spans="2:10" ht="21.75">
      <c r="B403" s="3143" t="s">
        <v>215</v>
      </c>
      <c r="C403" s="3143">
        <f t="shared" si="7"/>
        <v>16</v>
      </c>
      <c r="D403" s="3143" t="str">
        <f ca="1">IFERROR(INDEX(Glue!$A:$AU,MATCH($C403,Glue!$AU:$AU,0),1),"")</f>
        <v/>
      </c>
      <c r="E403" s="3143" t="str">
        <f ca="1">IFERROR(INDEX(Glue!$A:$AU,MATCH($C403,Glue!$AU:$AU,0),5),"")</f>
        <v/>
      </c>
      <c r="F403" s="3143" t="s">
        <v>3651</v>
      </c>
      <c r="G403" s="3599" t="str">
        <f ca="1">IFERROR(INDEX(Glue!$A:$AU,MATCH($C403,Glue!$AU:$AU,0),8)/'ACC &amp; Other Material '!$E$2*10^3,"")</f>
        <v/>
      </c>
      <c r="H403" s="3599" t="str">
        <f ca="1">IFERROR(INDEX(Glue!$A:$AU,MATCH($C403,Glue!$AU:$AU,0),9)/'ACC &amp; Other Material '!$E$2*10^3,"")</f>
        <v/>
      </c>
      <c r="I403" s="3153" t="str">
        <f ca="1">IFERROR(INDEX(Glue!$A:$AU,MATCH($C403,Glue!$AU:$AU,0),12),"")</f>
        <v/>
      </c>
      <c r="J403" s="3153" t="str">
        <f ca="1">IFERROR(INDEX(Glue!$A:$AU,MATCH($C403,Glue!$AU:$AU,0),12)*(1+Glue!$L$4),"")</f>
        <v/>
      </c>
    </row>
    <row r="404" spans="2:10" ht="21.75">
      <c r="B404" s="3143" t="s">
        <v>215</v>
      </c>
      <c r="C404" s="3143">
        <f t="shared" si="7"/>
        <v>17</v>
      </c>
      <c r="D404" s="3143" t="str">
        <f ca="1">IFERROR(INDEX(Glue!$A:$AU,MATCH($C404,Glue!$AU:$AU,0),1),"")</f>
        <v/>
      </c>
      <c r="E404" s="3143" t="str">
        <f ca="1">IFERROR(INDEX(Glue!$A:$AU,MATCH($C404,Glue!$AU:$AU,0),5),"")</f>
        <v/>
      </c>
      <c r="F404" s="3143" t="s">
        <v>3651</v>
      </c>
      <c r="G404" s="3599" t="str">
        <f ca="1">IFERROR(INDEX(Glue!$A:$AU,MATCH($C404,Glue!$AU:$AU,0),8)/'ACC &amp; Other Material '!$E$2*10^3,"")</f>
        <v/>
      </c>
      <c r="H404" s="3599" t="str">
        <f ca="1">IFERROR(INDEX(Glue!$A:$AU,MATCH($C404,Glue!$AU:$AU,0),9)/'ACC &amp; Other Material '!$E$2*10^3,"")</f>
        <v/>
      </c>
      <c r="I404" s="3153" t="str">
        <f ca="1">IFERROR(INDEX(Glue!$A:$AU,MATCH($C404,Glue!$AU:$AU,0),12),"")</f>
        <v/>
      </c>
      <c r="J404" s="3153" t="str">
        <f ca="1">IFERROR(INDEX(Glue!$A:$AU,MATCH($C404,Glue!$AU:$AU,0),12)*(1+Glue!$L$4),"")</f>
        <v/>
      </c>
    </row>
    <row r="405" spans="2:10" ht="21.75">
      <c r="B405" s="3143" t="s">
        <v>215</v>
      </c>
      <c r="C405" s="3143">
        <f t="shared" si="7"/>
        <v>18</v>
      </c>
      <c r="D405" s="3143" t="str">
        <f ca="1">IFERROR(INDEX(Glue!$A:$AU,MATCH($C405,Glue!$AU:$AU,0),1),"")</f>
        <v/>
      </c>
      <c r="E405" s="3143" t="str">
        <f ca="1">IFERROR(INDEX(Glue!$A:$AU,MATCH($C405,Glue!$AU:$AU,0),5),"")</f>
        <v/>
      </c>
      <c r="F405" s="3143" t="s">
        <v>3651</v>
      </c>
      <c r="G405" s="3599" t="str">
        <f ca="1">IFERROR(INDEX(Glue!$A:$AU,MATCH($C405,Glue!$AU:$AU,0),8)/'ACC &amp; Other Material '!$E$2*10^3,"")</f>
        <v/>
      </c>
      <c r="H405" s="3599" t="str">
        <f ca="1">IFERROR(INDEX(Glue!$A:$AU,MATCH($C405,Glue!$AU:$AU,0),9)/'ACC &amp; Other Material '!$E$2*10^3,"")</f>
        <v/>
      </c>
      <c r="I405" s="3153" t="str">
        <f ca="1">IFERROR(INDEX(Glue!$A:$AU,MATCH($C405,Glue!$AU:$AU,0),12),"")</f>
        <v/>
      </c>
      <c r="J405" s="3153" t="str">
        <f ca="1">IFERROR(INDEX(Glue!$A:$AU,MATCH($C405,Glue!$AU:$AU,0),12)*(1+Glue!$L$4),"")</f>
        <v/>
      </c>
    </row>
    <row r="406" spans="2:10" ht="21.75">
      <c r="B406" s="3143" t="s">
        <v>215</v>
      </c>
      <c r="C406" s="3143">
        <f t="shared" si="7"/>
        <v>19</v>
      </c>
      <c r="D406" s="3143" t="str">
        <f ca="1">IFERROR(INDEX(Glue!$A:$AU,MATCH($C406,Glue!$AU:$AU,0),1),"")</f>
        <v/>
      </c>
      <c r="E406" s="3143" t="str">
        <f ca="1">IFERROR(INDEX(Glue!$A:$AU,MATCH($C406,Glue!$AU:$AU,0),5),"")</f>
        <v/>
      </c>
      <c r="F406" s="3143" t="s">
        <v>3651</v>
      </c>
      <c r="G406" s="3599" t="str">
        <f ca="1">IFERROR(INDEX(Glue!$A:$AU,MATCH($C406,Glue!$AU:$AU,0),8)/'ACC &amp; Other Material '!$E$2*10^3,"")</f>
        <v/>
      </c>
      <c r="H406" s="3599" t="str">
        <f ca="1">IFERROR(INDEX(Glue!$A:$AU,MATCH($C406,Glue!$AU:$AU,0),9)/'ACC &amp; Other Material '!$E$2*10^3,"")</f>
        <v/>
      </c>
      <c r="I406" s="3153" t="str">
        <f ca="1">IFERROR(INDEX(Glue!$A:$AU,MATCH($C406,Glue!$AU:$AU,0),12),"")</f>
        <v/>
      </c>
      <c r="J406" s="3153" t="str">
        <f ca="1">IFERROR(INDEX(Glue!$A:$AU,MATCH($C406,Glue!$AU:$AU,0),12)*(1+Glue!$L$4),"")</f>
        <v/>
      </c>
    </row>
    <row r="407" spans="2:10" ht="21.75">
      <c r="B407" s="3143" t="s">
        <v>215</v>
      </c>
      <c r="C407" s="3143">
        <f t="shared" si="7"/>
        <v>20</v>
      </c>
      <c r="D407" s="3143" t="str">
        <f ca="1">IFERROR(INDEX(Glue!$A:$AU,MATCH($C407,Glue!$AU:$AU,0),1),"")</f>
        <v/>
      </c>
      <c r="E407" s="3143" t="str">
        <f ca="1">IFERROR(INDEX(Glue!$A:$AU,MATCH($C407,Glue!$AU:$AU,0),5),"")</f>
        <v/>
      </c>
      <c r="F407" s="3143" t="s">
        <v>3651</v>
      </c>
      <c r="G407" s="3599" t="str">
        <f ca="1">IFERROR(INDEX(Glue!$A:$AU,MATCH($C407,Glue!$AU:$AU,0),8)/'ACC &amp; Other Material '!$E$2*10^3,"")</f>
        <v/>
      </c>
      <c r="H407" s="3599" t="str">
        <f ca="1">IFERROR(INDEX(Glue!$A:$AU,MATCH($C407,Glue!$AU:$AU,0),9)/'ACC &amp; Other Material '!$E$2*10^3,"")</f>
        <v/>
      </c>
      <c r="I407" s="3153" t="str">
        <f ca="1">IFERROR(INDEX(Glue!$A:$AU,MATCH($C407,Glue!$AU:$AU,0),12),"")</f>
        <v/>
      </c>
      <c r="J407" s="3153" t="str">
        <f ca="1">IFERROR(INDEX(Glue!$A:$AU,MATCH($C407,Glue!$AU:$AU,0),12)*(1+Glue!$L$4),"")</f>
        <v/>
      </c>
    </row>
    <row r="408" spans="2:10" ht="21.75">
      <c r="B408" s="3143" t="s">
        <v>215</v>
      </c>
      <c r="C408" s="3143">
        <f t="shared" si="7"/>
        <v>21</v>
      </c>
      <c r="D408" s="3143" t="str">
        <f ca="1">IFERROR(INDEX(Glue!$A:$AU,MATCH($C408,Glue!$AU:$AU,0),1),"")</f>
        <v/>
      </c>
      <c r="E408" s="3143" t="str">
        <f ca="1">IFERROR(INDEX(Glue!$A:$AU,MATCH($C408,Glue!$AU:$AU,0),5),"")</f>
        <v/>
      </c>
      <c r="F408" s="3143" t="s">
        <v>3651</v>
      </c>
      <c r="G408" s="3599" t="str">
        <f ca="1">IFERROR(INDEX(Glue!$A:$AU,MATCH($C408,Glue!$AU:$AU,0),8)/'ACC &amp; Other Material '!$E$2*10^3,"")</f>
        <v/>
      </c>
      <c r="H408" s="3599" t="str">
        <f ca="1">IFERROR(INDEX(Glue!$A:$AU,MATCH($C408,Glue!$AU:$AU,0),9)/'ACC &amp; Other Material '!$E$2*10^3,"")</f>
        <v/>
      </c>
      <c r="I408" s="3153" t="str">
        <f ca="1">IFERROR(INDEX(Glue!$A:$AU,MATCH($C408,Glue!$AU:$AU,0),12),"")</f>
        <v/>
      </c>
      <c r="J408" s="3153" t="str">
        <f ca="1">IFERROR(INDEX(Glue!$A:$AU,MATCH($C408,Glue!$AU:$AU,0),12)*(1+Glue!$L$4),"")</f>
        <v/>
      </c>
    </row>
    <row r="409" spans="2:10" ht="21.75">
      <c r="B409" s="3143" t="s">
        <v>215</v>
      </c>
      <c r="C409" s="3143">
        <f t="shared" si="7"/>
        <v>22</v>
      </c>
      <c r="D409" s="3143" t="str">
        <f ca="1">IFERROR(INDEX(Glue!$A:$AU,MATCH($C409,Glue!$AU:$AU,0),1),"")</f>
        <v/>
      </c>
      <c r="E409" s="3143" t="str">
        <f ca="1">IFERROR(INDEX(Glue!$A:$AU,MATCH($C409,Glue!$AU:$AU,0),5),"")</f>
        <v/>
      </c>
      <c r="F409" s="3143" t="s">
        <v>3651</v>
      </c>
      <c r="G409" s="3599" t="str">
        <f ca="1">IFERROR(INDEX(Glue!$A:$AU,MATCH($C409,Glue!$AU:$AU,0),8)/'ACC &amp; Other Material '!$E$2*10^3,"")</f>
        <v/>
      </c>
      <c r="H409" s="3599" t="str">
        <f ca="1">IFERROR(INDEX(Glue!$A:$AU,MATCH($C409,Glue!$AU:$AU,0),9)/'ACC &amp; Other Material '!$E$2*10^3,"")</f>
        <v/>
      </c>
      <c r="I409" s="3153" t="str">
        <f ca="1">IFERROR(INDEX(Glue!$A:$AU,MATCH($C409,Glue!$AU:$AU,0),12),"")</f>
        <v/>
      </c>
      <c r="J409" s="3153" t="str">
        <f ca="1">IFERROR(INDEX(Glue!$A:$AU,MATCH($C409,Glue!$AU:$AU,0),12)*(1+Glue!$L$4),"")</f>
        <v/>
      </c>
    </row>
    <row r="410" spans="2:10" ht="21.75">
      <c r="B410" s="3143" t="s">
        <v>215</v>
      </c>
      <c r="C410" s="3143">
        <f t="shared" si="7"/>
        <v>23</v>
      </c>
      <c r="D410" s="3143" t="str">
        <f ca="1">IFERROR(INDEX(Glue!$A:$AU,MATCH($C410,Glue!$AU:$AU,0),1),"")</f>
        <v/>
      </c>
      <c r="E410" s="3143" t="str">
        <f ca="1">IFERROR(INDEX(Glue!$A:$AU,MATCH($C410,Glue!$AU:$AU,0),5),"")</f>
        <v/>
      </c>
      <c r="F410" s="3143" t="s">
        <v>3651</v>
      </c>
      <c r="G410" s="3599" t="str">
        <f ca="1">IFERROR(INDEX(Glue!$A:$AU,MATCH($C410,Glue!$AU:$AU,0),8)/'ACC &amp; Other Material '!$E$2*10^3,"")</f>
        <v/>
      </c>
      <c r="H410" s="3599" t="str">
        <f ca="1">IFERROR(INDEX(Glue!$A:$AU,MATCH($C410,Glue!$AU:$AU,0),9)/'ACC &amp; Other Material '!$E$2*10^3,"")</f>
        <v/>
      </c>
      <c r="I410" s="3153" t="str">
        <f ca="1">IFERROR(INDEX(Glue!$A:$AU,MATCH($C410,Glue!$AU:$AU,0),12),"")</f>
        <v/>
      </c>
      <c r="J410" s="3153" t="str">
        <f ca="1">IFERROR(INDEX(Glue!$A:$AU,MATCH($C410,Glue!$AU:$AU,0),12)*(1+Glue!$L$4),"")</f>
        <v/>
      </c>
    </row>
    <row r="411" spans="2:10" ht="21.75">
      <c r="B411" s="3143" t="s">
        <v>215</v>
      </c>
      <c r="C411" s="3143">
        <f t="shared" si="7"/>
        <v>24</v>
      </c>
      <c r="D411" s="3143" t="str">
        <f ca="1">IFERROR(INDEX(Glue!$A:$AU,MATCH($C411,Glue!$AU:$AU,0),1),"")</f>
        <v/>
      </c>
      <c r="E411" s="3143" t="str">
        <f ca="1">IFERROR(INDEX(Glue!$A:$AU,MATCH($C411,Glue!$AU:$AU,0),5),"")</f>
        <v/>
      </c>
      <c r="F411" s="3143" t="s">
        <v>3651</v>
      </c>
      <c r="G411" s="3599" t="str">
        <f ca="1">IFERROR(INDEX(Glue!$A:$AU,MATCH($C411,Glue!$AU:$AU,0),8)/'ACC &amp; Other Material '!$E$2*10^3,"")</f>
        <v/>
      </c>
      <c r="H411" s="3599" t="str">
        <f ca="1">IFERROR(INDEX(Glue!$A:$AU,MATCH($C411,Glue!$AU:$AU,0),9)/'ACC &amp; Other Material '!$E$2*10^3,"")</f>
        <v/>
      </c>
      <c r="I411" s="3153" t="str">
        <f ca="1">IFERROR(INDEX(Glue!$A:$AU,MATCH($C411,Glue!$AU:$AU,0),12),"")</f>
        <v/>
      </c>
      <c r="J411" s="3153" t="str">
        <f ca="1">IFERROR(INDEX(Glue!$A:$AU,MATCH($C411,Glue!$AU:$AU,0),12)*(1+Glue!$L$4),"")</f>
        <v/>
      </c>
    </row>
    <row r="412" spans="2:10" ht="21.75">
      <c r="B412" s="3143" t="s">
        <v>215</v>
      </c>
      <c r="C412" s="3143">
        <f t="shared" si="7"/>
        <v>25</v>
      </c>
      <c r="D412" s="3143" t="str">
        <f ca="1">IFERROR(INDEX(Glue!$A:$AU,MATCH($C412,Glue!$AU:$AU,0),1),"")</f>
        <v/>
      </c>
      <c r="E412" s="3143" t="str">
        <f ca="1">IFERROR(INDEX(Glue!$A:$AU,MATCH($C412,Glue!$AU:$AU,0),5),"")</f>
        <v/>
      </c>
      <c r="F412" s="3143" t="s">
        <v>3651</v>
      </c>
      <c r="G412" s="3599" t="str">
        <f ca="1">IFERROR(INDEX(Glue!$A:$AU,MATCH($C412,Glue!$AU:$AU,0),8)/'ACC &amp; Other Material '!$E$2*10^3,"")</f>
        <v/>
      </c>
      <c r="H412" s="3599" t="str">
        <f ca="1">IFERROR(INDEX(Glue!$A:$AU,MATCH($C412,Glue!$AU:$AU,0),9)/'ACC &amp; Other Material '!$E$2*10^3,"")</f>
        <v/>
      </c>
      <c r="I412" s="3153" t="str">
        <f ca="1">IFERROR(INDEX(Glue!$A:$AU,MATCH($C412,Glue!$AU:$AU,0),12),"")</f>
        <v/>
      </c>
      <c r="J412" s="3153" t="str">
        <f ca="1">IFERROR(INDEX(Glue!$A:$AU,MATCH($C412,Glue!$AU:$AU,0),12)*(1+Glue!$L$4),"")</f>
        <v/>
      </c>
    </row>
    <row r="413" spans="2:10" ht="21.75">
      <c r="B413" s="3143" t="s">
        <v>215</v>
      </c>
      <c r="C413" s="3143">
        <f t="shared" si="7"/>
        <v>26</v>
      </c>
      <c r="D413" s="3143" t="str">
        <f ca="1">IFERROR(INDEX(Glue!$A:$AU,MATCH($C413,Glue!$AU:$AU,0),1),"")</f>
        <v/>
      </c>
      <c r="E413" s="3143" t="str">
        <f ca="1">IFERROR(INDEX(Glue!$A:$AU,MATCH($C413,Glue!$AU:$AU,0),5),"")</f>
        <v/>
      </c>
      <c r="F413" s="3143" t="s">
        <v>3651</v>
      </c>
      <c r="G413" s="3599" t="str">
        <f ca="1">IFERROR(INDEX(Glue!$A:$AU,MATCH($C413,Glue!$AU:$AU,0),8)/'ACC &amp; Other Material '!$E$2*10^3,"")</f>
        <v/>
      </c>
      <c r="H413" s="3599" t="str">
        <f ca="1">IFERROR(INDEX(Glue!$A:$AU,MATCH($C413,Glue!$AU:$AU,0),9)/'ACC &amp; Other Material '!$E$2*10^3,"")</f>
        <v/>
      </c>
      <c r="I413" s="3153" t="str">
        <f ca="1">IFERROR(INDEX(Glue!$A:$AU,MATCH($C413,Glue!$AU:$AU,0),12),"")</f>
        <v/>
      </c>
      <c r="J413" s="3153" t="str">
        <f ca="1">IFERROR(INDEX(Glue!$A:$AU,MATCH($C413,Glue!$AU:$AU,0),12)*(1+Glue!$L$4),"")</f>
        <v/>
      </c>
    </row>
    <row r="414" spans="2:10" ht="21.75">
      <c r="B414" s="3143" t="s">
        <v>215</v>
      </c>
      <c r="C414" s="3143">
        <f t="shared" si="7"/>
        <v>27</v>
      </c>
      <c r="D414" s="3143" t="str">
        <f ca="1">IFERROR(INDEX(Glue!$A:$AU,MATCH($C414,Glue!$AU:$AU,0),1),"")</f>
        <v/>
      </c>
      <c r="E414" s="3143" t="str">
        <f ca="1">IFERROR(INDEX(Glue!$A:$AU,MATCH($C414,Glue!$AU:$AU,0),5),"")</f>
        <v/>
      </c>
      <c r="F414" s="3143" t="s">
        <v>3651</v>
      </c>
      <c r="G414" s="3599" t="str">
        <f ca="1">IFERROR(INDEX(Glue!$A:$AU,MATCH($C414,Glue!$AU:$AU,0),8)/'ACC &amp; Other Material '!$E$2*10^3,"")</f>
        <v/>
      </c>
      <c r="H414" s="3599" t="str">
        <f ca="1">IFERROR(INDEX(Glue!$A:$AU,MATCH($C414,Glue!$AU:$AU,0),9)/'ACC &amp; Other Material '!$E$2*10^3,"")</f>
        <v/>
      </c>
      <c r="I414" s="3153" t="str">
        <f ca="1">IFERROR(INDEX(Glue!$A:$AU,MATCH($C414,Glue!$AU:$AU,0),12),"")</f>
        <v/>
      </c>
      <c r="J414" s="3153" t="str">
        <f ca="1">IFERROR(INDEX(Glue!$A:$AU,MATCH($C414,Glue!$AU:$AU,0),12)*(1+Glue!$L$4),"")</f>
        <v/>
      </c>
    </row>
    <row r="415" spans="2:10" ht="21.75">
      <c r="B415" s="3143" t="s">
        <v>215</v>
      </c>
      <c r="C415" s="3143">
        <f t="shared" si="7"/>
        <v>28</v>
      </c>
      <c r="D415" s="3143" t="str">
        <f ca="1">IFERROR(INDEX(Glue!$A:$AU,MATCH($C415,Glue!$AU:$AU,0),1),"")</f>
        <v/>
      </c>
      <c r="E415" s="3143" t="str">
        <f ca="1">IFERROR(INDEX(Glue!$A:$AU,MATCH($C415,Glue!$AU:$AU,0),5),"")</f>
        <v/>
      </c>
      <c r="F415" s="3143" t="s">
        <v>3651</v>
      </c>
      <c r="G415" s="3599" t="str">
        <f ca="1">IFERROR(INDEX(Glue!$A:$AU,MATCH($C415,Glue!$AU:$AU,0),8)/'ACC &amp; Other Material '!$E$2*10^3,"")</f>
        <v/>
      </c>
      <c r="H415" s="3599" t="str">
        <f ca="1">IFERROR(INDEX(Glue!$A:$AU,MATCH($C415,Glue!$AU:$AU,0),9)/'ACC &amp; Other Material '!$E$2*10^3,"")</f>
        <v/>
      </c>
      <c r="I415" s="3153" t="str">
        <f ca="1">IFERROR(INDEX(Glue!$A:$AU,MATCH($C415,Glue!$AU:$AU,0),12),"")</f>
        <v/>
      </c>
      <c r="J415" s="3153" t="str">
        <f ca="1">IFERROR(INDEX(Glue!$A:$AU,MATCH($C415,Glue!$AU:$AU,0),12)*(1+Glue!$L$4),"")</f>
        <v/>
      </c>
    </row>
    <row r="416" spans="2:10" ht="21.75">
      <c r="B416" s="3143" t="s">
        <v>215</v>
      </c>
      <c r="C416" s="3143">
        <f t="shared" si="7"/>
        <v>29</v>
      </c>
      <c r="D416" s="3143" t="str">
        <f ca="1">IFERROR(INDEX(Glue!$A:$AU,MATCH($C416,Glue!$AU:$AU,0),1),"")</f>
        <v/>
      </c>
      <c r="E416" s="3143" t="str">
        <f ca="1">IFERROR(INDEX(Glue!$A:$AU,MATCH($C416,Glue!$AU:$AU,0),5),"")</f>
        <v/>
      </c>
      <c r="F416" s="3143" t="s">
        <v>3651</v>
      </c>
      <c r="G416" s="3599" t="str">
        <f ca="1">IFERROR(INDEX(Glue!$A:$AU,MATCH($C416,Glue!$AU:$AU,0),8)/'ACC &amp; Other Material '!$E$2*10^3,"")</f>
        <v/>
      </c>
      <c r="H416" s="3599" t="str">
        <f ca="1">IFERROR(INDEX(Glue!$A:$AU,MATCH($C416,Glue!$AU:$AU,0),9)/'ACC &amp; Other Material '!$E$2*10^3,"")</f>
        <v/>
      </c>
      <c r="I416" s="3153" t="str">
        <f ca="1">IFERROR(INDEX(Glue!$A:$AU,MATCH($C416,Glue!$AU:$AU,0),12),"")</f>
        <v/>
      </c>
      <c r="J416" s="3153" t="str">
        <f ca="1">IFERROR(INDEX(Glue!$A:$AU,MATCH($C416,Glue!$AU:$AU,0),12)*(1+Glue!$L$4),"")</f>
        <v/>
      </c>
    </row>
    <row r="417" spans="2:10" ht="21.75">
      <c r="B417" s="3143" t="s">
        <v>215</v>
      </c>
      <c r="C417" s="3143">
        <f t="shared" si="7"/>
        <v>30</v>
      </c>
      <c r="D417" s="3143" t="str">
        <f ca="1">IFERROR(INDEX(Glue!$A:$AU,MATCH($C417,Glue!$AU:$AU,0),1),"")</f>
        <v/>
      </c>
      <c r="E417" s="3143" t="str">
        <f ca="1">IFERROR(INDEX(Glue!$A:$AU,MATCH($C417,Glue!$AU:$AU,0),5),"")</f>
        <v/>
      </c>
      <c r="F417" s="3143" t="s">
        <v>3651</v>
      </c>
      <c r="G417" s="3599" t="str">
        <f ca="1">IFERROR(INDEX(Glue!$A:$AU,MATCH($C417,Glue!$AU:$AU,0),8)/'ACC &amp; Other Material '!$E$2*10^3,"")</f>
        <v/>
      </c>
      <c r="H417" s="3599" t="str">
        <f ca="1">IFERROR(INDEX(Glue!$A:$AU,MATCH($C417,Glue!$AU:$AU,0),9)/'ACC &amp; Other Material '!$E$2*10^3,"")</f>
        <v/>
      </c>
      <c r="I417" s="3153" t="str">
        <f ca="1">IFERROR(INDEX(Glue!$A:$AU,MATCH($C417,Glue!$AU:$AU,0),12),"")</f>
        <v/>
      </c>
      <c r="J417" s="3153" t="str">
        <f ca="1">IFERROR(INDEX(Glue!$A:$AU,MATCH($C417,Glue!$AU:$AU,0),12)*(1+Glue!$L$4),"")</f>
        <v/>
      </c>
    </row>
    <row r="418" spans="2:10" ht="21.75">
      <c r="B418" s="3143" t="s">
        <v>215</v>
      </c>
      <c r="C418" s="3143">
        <f t="shared" si="7"/>
        <v>31</v>
      </c>
      <c r="D418" s="3143" t="str">
        <f ca="1">IFERROR(INDEX(Glue!$A:$AU,MATCH($C418,Glue!$AU:$AU,0),1),"")</f>
        <v/>
      </c>
      <c r="E418" s="3143" t="str">
        <f ca="1">IFERROR(INDEX(Glue!$A:$AU,MATCH($C418,Glue!$AU:$AU,0),5),"")</f>
        <v/>
      </c>
      <c r="F418" s="3143" t="s">
        <v>3651</v>
      </c>
      <c r="G418" s="3599" t="str">
        <f ca="1">IFERROR(INDEX(Glue!$A:$AU,MATCH($C418,Glue!$AU:$AU,0),8)/'ACC &amp; Other Material '!$E$2*10^3,"")</f>
        <v/>
      </c>
      <c r="H418" s="3599" t="str">
        <f ca="1">IFERROR(INDEX(Glue!$A:$AU,MATCH($C418,Glue!$AU:$AU,0),9)/'ACC &amp; Other Material '!$E$2*10^3,"")</f>
        <v/>
      </c>
      <c r="I418" s="3153" t="str">
        <f ca="1">IFERROR(INDEX(Glue!$A:$AU,MATCH($C418,Glue!$AU:$AU,0),12),"")</f>
        <v/>
      </c>
      <c r="J418" s="3153" t="str">
        <f ca="1">IFERROR(INDEX(Glue!$A:$AU,MATCH($C418,Glue!$AU:$AU,0),12)*(1+Glue!$L$4),"")</f>
        <v/>
      </c>
    </row>
    <row r="419" spans="2:10" ht="21.75">
      <c r="B419" s="3143" t="s">
        <v>215</v>
      </c>
      <c r="C419" s="3143">
        <f t="shared" si="7"/>
        <v>32</v>
      </c>
      <c r="D419" s="3143" t="str">
        <f ca="1">IFERROR(INDEX(Glue!$A:$AU,MATCH($C419,Glue!$AU:$AU,0),1),"")</f>
        <v/>
      </c>
      <c r="E419" s="3143" t="str">
        <f ca="1">IFERROR(INDEX(Glue!$A:$AU,MATCH($C419,Glue!$AU:$AU,0),5),"")</f>
        <v/>
      </c>
      <c r="F419" s="3143" t="s">
        <v>3651</v>
      </c>
      <c r="G419" s="3599" t="str">
        <f ca="1">IFERROR(INDEX(Glue!$A:$AU,MATCH($C419,Glue!$AU:$AU,0),8)/'ACC &amp; Other Material '!$E$2*10^3,"")</f>
        <v/>
      </c>
      <c r="H419" s="3599" t="str">
        <f ca="1">IFERROR(INDEX(Glue!$A:$AU,MATCH($C419,Glue!$AU:$AU,0),9)/'ACC &amp; Other Material '!$E$2*10^3,"")</f>
        <v/>
      </c>
      <c r="I419" s="3153" t="str">
        <f ca="1">IFERROR(INDEX(Glue!$A:$AU,MATCH($C419,Glue!$AU:$AU,0),12),"")</f>
        <v/>
      </c>
      <c r="J419" s="3153" t="str">
        <f ca="1">IFERROR(INDEX(Glue!$A:$AU,MATCH($C419,Glue!$AU:$AU,0),12)*(1+Glue!$L$4),"")</f>
        <v/>
      </c>
    </row>
    <row r="420" spans="2:10" ht="21.75">
      <c r="B420" s="3143" t="s">
        <v>215</v>
      </c>
      <c r="C420" s="3143">
        <f t="shared" si="7"/>
        <v>33</v>
      </c>
      <c r="D420" s="3143" t="str">
        <f ca="1">IFERROR(INDEX(Glue!$A:$AU,MATCH($C420,Glue!$AU:$AU,0),1),"")</f>
        <v/>
      </c>
      <c r="E420" s="3143" t="str">
        <f ca="1">IFERROR(INDEX(Glue!$A:$AU,MATCH($C420,Glue!$AU:$AU,0),5),"")</f>
        <v/>
      </c>
      <c r="F420" s="3143" t="s">
        <v>3651</v>
      </c>
      <c r="G420" s="3599" t="str">
        <f ca="1">IFERROR(INDEX(Glue!$A:$AU,MATCH($C420,Glue!$AU:$AU,0),8)/'ACC &amp; Other Material '!$E$2*10^3,"")</f>
        <v/>
      </c>
      <c r="H420" s="3599" t="str">
        <f ca="1">IFERROR(INDEX(Glue!$A:$AU,MATCH($C420,Glue!$AU:$AU,0),9)/'ACC &amp; Other Material '!$E$2*10^3,"")</f>
        <v/>
      </c>
      <c r="I420" s="3153" t="str">
        <f ca="1">IFERROR(INDEX(Glue!$A:$AU,MATCH($C420,Glue!$AU:$AU,0),12),"")</f>
        <v/>
      </c>
      <c r="J420" s="3153" t="str">
        <f ca="1">IFERROR(INDEX(Glue!$A:$AU,MATCH($C420,Glue!$AU:$AU,0),12)*(1+Glue!$L$4),"")</f>
        <v/>
      </c>
    </row>
    <row r="421" spans="2:10" ht="21.75">
      <c r="B421" s="3143" t="s">
        <v>215</v>
      </c>
      <c r="C421" s="3143">
        <f t="shared" si="7"/>
        <v>34</v>
      </c>
      <c r="D421" s="3143" t="str">
        <f ca="1">IFERROR(INDEX(Glue!$A:$AU,MATCH($C421,Glue!$AU:$AU,0),1),"")</f>
        <v/>
      </c>
      <c r="E421" s="3143" t="str">
        <f ca="1">IFERROR(INDEX(Glue!$A:$AU,MATCH($C421,Glue!$AU:$AU,0),5),"")</f>
        <v/>
      </c>
      <c r="F421" s="3143" t="s">
        <v>3651</v>
      </c>
      <c r="G421" s="3599" t="str">
        <f ca="1">IFERROR(INDEX(Glue!$A:$AU,MATCH($C421,Glue!$AU:$AU,0),8)/'ACC &amp; Other Material '!$E$2*10^3,"")</f>
        <v/>
      </c>
      <c r="H421" s="3599" t="str">
        <f ca="1">IFERROR(INDEX(Glue!$A:$AU,MATCH($C421,Glue!$AU:$AU,0),9)/'ACC &amp; Other Material '!$E$2*10^3,"")</f>
        <v/>
      </c>
      <c r="I421" s="3153" t="str">
        <f ca="1">IFERROR(INDEX(Glue!$A:$AU,MATCH($C421,Glue!$AU:$AU,0),12),"")</f>
        <v/>
      </c>
      <c r="J421" s="3153" t="str">
        <f ca="1">IFERROR(INDEX(Glue!$A:$AU,MATCH($C421,Glue!$AU:$AU,0),12)*(1+Glue!$L$4),"")</f>
        <v/>
      </c>
    </row>
    <row r="422" spans="2:10" ht="21.75">
      <c r="B422" s="3143" t="s">
        <v>215</v>
      </c>
      <c r="C422" s="3143">
        <f t="shared" si="7"/>
        <v>35</v>
      </c>
      <c r="D422" s="3143" t="str">
        <f ca="1">IFERROR(INDEX(Glue!$A:$AU,MATCH($C422,Glue!$AU:$AU,0),1),"")</f>
        <v/>
      </c>
      <c r="E422" s="3143" t="str">
        <f ca="1">IFERROR(INDEX(Glue!$A:$AU,MATCH($C422,Glue!$AU:$AU,0),5),"")</f>
        <v/>
      </c>
      <c r="F422" s="3143" t="s">
        <v>3651</v>
      </c>
      <c r="G422" s="3599" t="str">
        <f ca="1">IFERROR(INDEX(Glue!$A:$AU,MATCH($C422,Glue!$AU:$AU,0),8)/'ACC &amp; Other Material '!$E$2*10^3,"")</f>
        <v/>
      </c>
      <c r="H422" s="3599" t="str">
        <f ca="1">IFERROR(INDEX(Glue!$A:$AU,MATCH($C422,Glue!$AU:$AU,0),9)/'ACC &amp; Other Material '!$E$2*10^3,"")</f>
        <v/>
      </c>
      <c r="I422" s="3153" t="str">
        <f ca="1">IFERROR(INDEX(Glue!$A:$AU,MATCH($C422,Glue!$AU:$AU,0),12),"")</f>
        <v/>
      </c>
      <c r="J422" s="3153" t="str">
        <f ca="1">IFERROR(INDEX(Glue!$A:$AU,MATCH($C422,Glue!$AU:$AU,0),12)*(1+Glue!$L$4),"")</f>
        <v/>
      </c>
    </row>
    <row r="423" spans="2:10" ht="21.75">
      <c r="B423" s="3143" t="s">
        <v>215</v>
      </c>
      <c r="C423" s="3143">
        <f t="shared" si="7"/>
        <v>36</v>
      </c>
      <c r="D423" s="3143" t="str">
        <f ca="1">IFERROR(INDEX(Glue!$A:$AU,MATCH($C423,Glue!$AU:$AU,0),1),"")</f>
        <v/>
      </c>
      <c r="E423" s="3143" t="str">
        <f ca="1">IFERROR(INDEX(Glue!$A:$AU,MATCH($C423,Glue!$AU:$AU,0),5),"")</f>
        <v/>
      </c>
      <c r="F423" s="3143" t="s">
        <v>3651</v>
      </c>
      <c r="G423" s="3599" t="str">
        <f ca="1">IFERROR(INDEX(Glue!$A:$AU,MATCH($C423,Glue!$AU:$AU,0),8)/'ACC &amp; Other Material '!$E$2*10^3,"")</f>
        <v/>
      </c>
      <c r="H423" s="3599" t="str">
        <f ca="1">IFERROR(INDEX(Glue!$A:$AU,MATCH($C423,Glue!$AU:$AU,0),9)/'ACC &amp; Other Material '!$E$2*10^3,"")</f>
        <v/>
      </c>
      <c r="I423" s="3153" t="str">
        <f ca="1">IFERROR(INDEX(Glue!$A:$AU,MATCH($C423,Glue!$AU:$AU,0),12),"")</f>
        <v/>
      </c>
      <c r="J423" s="3153" t="str">
        <f ca="1">IFERROR(INDEX(Glue!$A:$AU,MATCH($C423,Glue!$AU:$AU,0),12)*(1+Glue!$L$4),"")</f>
        <v/>
      </c>
    </row>
    <row r="424" spans="2:10" ht="21.75">
      <c r="B424" s="3143" t="s">
        <v>215</v>
      </c>
      <c r="C424" s="3143">
        <f t="shared" si="7"/>
        <v>37</v>
      </c>
      <c r="D424" s="3143" t="str">
        <f ca="1">IFERROR(INDEX(Glue!$A:$AU,MATCH($C424,Glue!$AU:$AU,0),1),"")</f>
        <v/>
      </c>
      <c r="E424" s="3143" t="str">
        <f ca="1">IFERROR(INDEX(Glue!$A:$AU,MATCH($C424,Glue!$AU:$AU,0),5),"")</f>
        <v/>
      </c>
      <c r="F424" s="3143" t="s">
        <v>3651</v>
      </c>
      <c r="G424" s="3599" t="str">
        <f ca="1">IFERROR(INDEX(Glue!$A:$AU,MATCH($C424,Glue!$AU:$AU,0),8)/'ACC &amp; Other Material '!$E$2*10^3,"")</f>
        <v/>
      </c>
      <c r="H424" s="3599" t="str">
        <f ca="1">IFERROR(INDEX(Glue!$A:$AU,MATCH($C424,Glue!$AU:$AU,0),9)/'ACC &amp; Other Material '!$E$2*10^3,"")</f>
        <v/>
      </c>
      <c r="I424" s="3153" t="str">
        <f ca="1">IFERROR(INDEX(Glue!$A:$AU,MATCH($C424,Glue!$AU:$AU,0),12),"")</f>
        <v/>
      </c>
      <c r="J424" s="3153" t="str">
        <f ca="1">IFERROR(INDEX(Glue!$A:$AU,MATCH($C424,Glue!$AU:$AU,0),12)*(1+Glue!$L$4),"")</f>
        <v/>
      </c>
    </row>
    <row r="425" spans="2:10" ht="21.75">
      <c r="B425" s="3143" t="s">
        <v>215</v>
      </c>
      <c r="C425" s="3143">
        <f t="shared" si="7"/>
        <v>38</v>
      </c>
      <c r="D425" s="3143" t="str">
        <f ca="1">IFERROR(INDEX(Glue!$A:$AU,MATCH($C425,Glue!$AU:$AU,0),1),"")</f>
        <v/>
      </c>
      <c r="E425" s="3143" t="str">
        <f ca="1">IFERROR(INDEX(Glue!$A:$AU,MATCH($C425,Glue!$AU:$AU,0),5),"")</f>
        <v/>
      </c>
      <c r="F425" s="3143" t="s">
        <v>3651</v>
      </c>
      <c r="G425" s="3599" t="str">
        <f ca="1">IFERROR(INDEX(Glue!$A:$AU,MATCH($C425,Glue!$AU:$AU,0),8)/'ACC &amp; Other Material '!$E$2*10^3,"")</f>
        <v/>
      </c>
      <c r="H425" s="3599" t="str">
        <f ca="1">IFERROR(INDEX(Glue!$A:$AU,MATCH($C425,Glue!$AU:$AU,0),9)/'ACC &amp; Other Material '!$E$2*10^3,"")</f>
        <v/>
      </c>
      <c r="I425" s="3153" t="str">
        <f ca="1">IFERROR(INDEX(Glue!$A:$AU,MATCH($C425,Glue!$AU:$AU,0),12),"")</f>
        <v/>
      </c>
      <c r="J425" s="3153" t="str">
        <f ca="1">IFERROR(INDEX(Glue!$A:$AU,MATCH($C425,Glue!$AU:$AU,0),12)*(1+Glue!$L$4),"")</f>
        <v/>
      </c>
    </row>
    <row r="426" spans="2:10" ht="21.75">
      <c r="B426" s="3143" t="s">
        <v>215</v>
      </c>
      <c r="C426" s="3143">
        <f t="shared" si="7"/>
        <v>39</v>
      </c>
      <c r="D426" s="3143" t="str">
        <f ca="1">IFERROR(INDEX(Glue!$A:$AU,MATCH($C426,Glue!$AU:$AU,0),1),"")</f>
        <v/>
      </c>
      <c r="E426" s="3143" t="str">
        <f ca="1">IFERROR(INDEX(Glue!$A:$AU,MATCH($C426,Glue!$AU:$AU,0),5),"")</f>
        <v/>
      </c>
      <c r="F426" s="3143" t="s">
        <v>3651</v>
      </c>
      <c r="G426" s="3599" t="str">
        <f ca="1">IFERROR(INDEX(Glue!$A:$AU,MATCH($C426,Glue!$AU:$AU,0),8)/'ACC &amp; Other Material '!$E$2*10^3,"")</f>
        <v/>
      </c>
      <c r="H426" s="3599" t="str">
        <f ca="1">IFERROR(INDEX(Glue!$A:$AU,MATCH($C426,Glue!$AU:$AU,0),9)/'ACC &amp; Other Material '!$E$2*10^3,"")</f>
        <v/>
      </c>
      <c r="I426" s="3153" t="str">
        <f ca="1">IFERROR(INDEX(Glue!$A:$AU,MATCH($C426,Glue!$AU:$AU,0),12),"")</f>
        <v/>
      </c>
      <c r="J426" s="3153" t="str">
        <f ca="1">IFERROR(INDEX(Glue!$A:$AU,MATCH($C426,Glue!$AU:$AU,0),12)*(1+Glue!$L$4),"")</f>
        <v/>
      </c>
    </row>
    <row r="427" spans="2:10" ht="21.75">
      <c r="B427" s="3143" t="s">
        <v>215</v>
      </c>
      <c r="C427" s="3143">
        <f t="shared" si="7"/>
        <v>40</v>
      </c>
      <c r="D427" s="3143" t="str">
        <f ca="1">IFERROR(INDEX(Glue!$A:$AU,MATCH($C427,Glue!$AU:$AU,0),1),"")</f>
        <v/>
      </c>
      <c r="E427" s="3143" t="str">
        <f ca="1">IFERROR(INDEX(Glue!$A:$AU,MATCH($C427,Glue!$AU:$AU,0),5),"")</f>
        <v/>
      </c>
      <c r="F427" s="3143" t="s">
        <v>3651</v>
      </c>
      <c r="G427" s="3599" t="str">
        <f ca="1">IFERROR(INDEX(Glue!$A:$AU,MATCH($C427,Glue!$AU:$AU,0),8)/'ACC &amp; Other Material '!$E$2*10^3,"")</f>
        <v/>
      </c>
      <c r="H427" s="3599" t="str">
        <f ca="1">IFERROR(INDEX(Glue!$A:$AU,MATCH($C427,Glue!$AU:$AU,0),9)/'ACC &amp; Other Material '!$E$2*10^3,"")</f>
        <v/>
      </c>
      <c r="I427" s="3153" t="str">
        <f ca="1">IFERROR(INDEX(Glue!$A:$AU,MATCH($C427,Glue!$AU:$AU,0),12),"")</f>
        <v/>
      </c>
      <c r="J427" s="3153" t="str">
        <f ca="1">IFERROR(INDEX(Glue!$A:$AU,MATCH($C427,Glue!$AU:$AU,0),12)*(1+Glue!$L$4),"")</f>
        <v/>
      </c>
    </row>
    <row r="428" spans="2:10" ht="21.75">
      <c r="B428" s="3143" t="s">
        <v>215</v>
      </c>
      <c r="C428" s="3143">
        <f t="shared" si="7"/>
        <v>41</v>
      </c>
      <c r="D428" s="3143" t="str">
        <f ca="1">IFERROR(INDEX(Glue!$A:$AU,MATCH($C428,Glue!$AU:$AU,0),1),"")</f>
        <v/>
      </c>
      <c r="E428" s="3143" t="str">
        <f ca="1">IFERROR(INDEX(Glue!$A:$AU,MATCH($C428,Glue!$AU:$AU,0),5),"")</f>
        <v/>
      </c>
      <c r="F428" s="3143" t="s">
        <v>3651</v>
      </c>
      <c r="G428" s="3599" t="str">
        <f ca="1">IFERROR(INDEX(Glue!$A:$AU,MATCH($C428,Glue!$AU:$AU,0),8)/'ACC &amp; Other Material '!$E$2*10^3,"")</f>
        <v/>
      </c>
      <c r="H428" s="3599" t="str">
        <f ca="1">IFERROR(INDEX(Glue!$A:$AU,MATCH($C428,Glue!$AU:$AU,0),9)/'ACC &amp; Other Material '!$E$2*10^3,"")</f>
        <v/>
      </c>
      <c r="I428" s="3153" t="str">
        <f ca="1">IFERROR(INDEX(Glue!$A:$AU,MATCH($C428,Glue!$AU:$AU,0),12),"")</f>
        <v/>
      </c>
      <c r="J428" s="3153" t="str">
        <f ca="1">IFERROR(INDEX(Glue!$A:$AU,MATCH($C428,Glue!$AU:$AU,0),12)*(1+Glue!$L$4),"")</f>
        <v/>
      </c>
    </row>
    <row r="429" spans="2:10" ht="21.75">
      <c r="B429" s="3143" t="s">
        <v>215</v>
      </c>
      <c r="C429" s="3143">
        <f t="shared" si="7"/>
        <v>42</v>
      </c>
      <c r="D429" s="3143" t="str">
        <f ca="1">IFERROR(INDEX(Glue!$A:$AU,MATCH($C429,Glue!$AU:$AU,0),1),"")</f>
        <v/>
      </c>
      <c r="E429" s="3143" t="str">
        <f ca="1">IFERROR(INDEX(Glue!$A:$AU,MATCH($C429,Glue!$AU:$AU,0),5),"")</f>
        <v/>
      </c>
      <c r="F429" s="3143" t="s">
        <v>3651</v>
      </c>
      <c r="G429" s="3599" t="str">
        <f ca="1">IFERROR(INDEX(Glue!$A:$AU,MATCH($C429,Glue!$AU:$AU,0),8)/'ACC &amp; Other Material '!$E$2*10^3,"")</f>
        <v/>
      </c>
      <c r="H429" s="3599" t="str">
        <f ca="1">IFERROR(INDEX(Glue!$A:$AU,MATCH($C429,Glue!$AU:$AU,0),9)/'ACC &amp; Other Material '!$E$2*10^3,"")</f>
        <v/>
      </c>
      <c r="I429" s="3153" t="str">
        <f ca="1">IFERROR(INDEX(Glue!$A:$AU,MATCH($C429,Glue!$AU:$AU,0),12),"")</f>
        <v/>
      </c>
      <c r="J429" s="3153" t="str">
        <f ca="1">IFERROR(INDEX(Glue!$A:$AU,MATCH($C429,Glue!$AU:$AU,0),12)*(1+Glue!$L$4),"")</f>
        <v/>
      </c>
    </row>
    <row r="430" spans="2:10" ht="21.75">
      <c r="B430" s="3143" t="s">
        <v>215</v>
      </c>
      <c r="C430" s="3143">
        <f t="shared" si="7"/>
        <v>43</v>
      </c>
      <c r="D430" s="3143" t="str">
        <f ca="1">IFERROR(INDEX(Glue!$A:$AU,MATCH($C430,Glue!$AU:$AU,0),1),"")</f>
        <v/>
      </c>
      <c r="E430" s="3143" t="str">
        <f ca="1">IFERROR(INDEX(Glue!$A:$AU,MATCH($C430,Glue!$AU:$AU,0),5),"")</f>
        <v/>
      </c>
      <c r="F430" s="3143" t="s">
        <v>3651</v>
      </c>
      <c r="G430" s="3599" t="str">
        <f ca="1">IFERROR(INDEX(Glue!$A:$AU,MATCH($C430,Glue!$AU:$AU,0),8)/'ACC &amp; Other Material '!$E$2*10^3,"")</f>
        <v/>
      </c>
      <c r="H430" s="3599" t="str">
        <f ca="1">IFERROR(INDEX(Glue!$A:$AU,MATCH($C430,Glue!$AU:$AU,0),9)/'ACC &amp; Other Material '!$E$2*10^3,"")</f>
        <v/>
      </c>
      <c r="I430" s="3153" t="str">
        <f ca="1">IFERROR(INDEX(Glue!$A:$AU,MATCH($C430,Glue!$AU:$AU,0),12),"")</f>
        <v/>
      </c>
      <c r="J430" s="3153" t="str">
        <f ca="1">IFERROR(INDEX(Glue!$A:$AU,MATCH($C430,Glue!$AU:$AU,0),12)*(1+Glue!$L$4),"")</f>
        <v/>
      </c>
    </row>
    <row r="431" spans="2:10" ht="21.75">
      <c r="B431" s="3143" t="s">
        <v>215</v>
      </c>
      <c r="C431" s="3143">
        <f t="shared" si="7"/>
        <v>44</v>
      </c>
      <c r="D431" s="3143" t="str">
        <f ca="1">IFERROR(INDEX(Glue!$A:$AU,MATCH($C431,Glue!$AU:$AU,0),1),"")</f>
        <v/>
      </c>
      <c r="E431" s="3143" t="str">
        <f ca="1">IFERROR(INDEX(Glue!$A:$AU,MATCH($C431,Glue!$AU:$AU,0),5),"")</f>
        <v/>
      </c>
      <c r="F431" s="3143" t="s">
        <v>3651</v>
      </c>
      <c r="G431" s="3599" t="str">
        <f ca="1">IFERROR(INDEX(Glue!$A:$AU,MATCH($C431,Glue!$AU:$AU,0),8)/'ACC &amp; Other Material '!$E$2*10^3,"")</f>
        <v/>
      </c>
      <c r="H431" s="3599" t="str">
        <f ca="1">IFERROR(INDEX(Glue!$A:$AU,MATCH($C431,Glue!$AU:$AU,0),9)/'ACC &amp; Other Material '!$E$2*10^3,"")</f>
        <v/>
      </c>
      <c r="I431" s="3153" t="str">
        <f ca="1">IFERROR(INDEX(Glue!$A:$AU,MATCH($C431,Glue!$AU:$AU,0),12),"")</f>
        <v/>
      </c>
      <c r="J431" s="3153" t="str">
        <f ca="1">IFERROR(INDEX(Glue!$A:$AU,MATCH($C431,Glue!$AU:$AU,0),12)*(1+Glue!$L$4),"")</f>
        <v/>
      </c>
    </row>
    <row r="432" spans="2:10" ht="21.75">
      <c r="B432" s="3143" t="s">
        <v>215</v>
      </c>
      <c r="C432" s="3143">
        <f t="shared" si="7"/>
        <v>45</v>
      </c>
      <c r="D432" s="3143" t="str">
        <f ca="1">IFERROR(INDEX(Glue!$A:$AU,MATCH($C432,Glue!$AU:$AU,0),1),"")</f>
        <v/>
      </c>
      <c r="E432" s="3143" t="str">
        <f ca="1">IFERROR(INDEX(Glue!$A:$AU,MATCH($C432,Glue!$AU:$AU,0),5),"")</f>
        <v/>
      </c>
      <c r="F432" s="3143" t="s">
        <v>3651</v>
      </c>
      <c r="G432" s="3599" t="str">
        <f ca="1">IFERROR(INDEX(Glue!$A:$AU,MATCH($C432,Glue!$AU:$AU,0),8)/'ACC &amp; Other Material '!$E$2*10^3,"")</f>
        <v/>
      </c>
      <c r="H432" s="3599" t="str">
        <f ca="1">IFERROR(INDEX(Glue!$A:$AU,MATCH($C432,Glue!$AU:$AU,0),9)/'ACC &amp; Other Material '!$E$2*10^3,"")</f>
        <v/>
      </c>
      <c r="I432" s="3153" t="str">
        <f ca="1">IFERROR(INDEX(Glue!$A:$AU,MATCH($C432,Glue!$AU:$AU,0),12),"")</f>
        <v/>
      </c>
      <c r="J432" s="3153" t="str">
        <f ca="1">IFERROR(INDEX(Glue!$A:$AU,MATCH($C432,Glue!$AU:$AU,0),12)*(1+Glue!$L$4),"")</f>
        <v/>
      </c>
    </row>
    <row r="433" spans="2:10" ht="21.75">
      <c r="B433" s="3143" t="s">
        <v>215</v>
      </c>
      <c r="C433" s="3143">
        <f t="shared" si="7"/>
        <v>46</v>
      </c>
      <c r="D433" s="3143" t="str">
        <f ca="1">IFERROR(INDEX(Glue!$A:$AU,MATCH($C433,Glue!$AU:$AU,0),1),"")</f>
        <v/>
      </c>
      <c r="E433" s="3143" t="str">
        <f ca="1">IFERROR(INDEX(Glue!$A:$AU,MATCH($C433,Glue!$AU:$AU,0),5),"")</f>
        <v/>
      </c>
      <c r="F433" s="3143" t="s">
        <v>3651</v>
      </c>
      <c r="G433" s="3599" t="str">
        <f ca="1">IFERROR(INDEX(Glue!$A:$AU,MATCH($C433,Glue!$AU:$AU,0),8)/'ACC &amp; Other Material '!$E$2*10^3,"")</f>
        <v/>
      </c>
      <c r="H433" s="3599" t="str">
        <f ca="1">IFERROR(INDEX(Glue!$A:$AU,MATCH($C433,Glue!$AU:$AU,0),9)/'ACC &amp; Other Material '!$E$2*10^3,"")</f>
        <v/>
      </c>
      <c r="I433" s="3153" t="str">
        <f ca="1">IFERROR(INDEX(Glue!$A:$AU,MATCH($C433,Glue!$AU:$AU,0),12),"")</f>
        <v/>
      </c>
      <c r="J433" s="3153" t="str">
        <f ca="1">IFERROR(INDEX(Glue!$A:$AU,MATCH($C433,Glue!$AU:$AU,0),12)*(1+Glue!$L$4),"")</f>
        <v/>
      </c>
    </row>
    <row r="434" spans="2:10" ht="21.75">
      <c r="B434" s="3143" t="s">
        <v>215</v>
      </c>
      <c r="C434" s="3143">
        <f t="shared" si="7"/>
        <v>47</v>
      </c>
      <c r="D434" s="3143" t="str">
        <f ca="1">IFERROR(INDEX(Glue!$A:$AU,MATCH($C434,Glue!$AU:$AU,0),1),"")</f>
        <v/>
      </c>
      <c r="E434" s="3143" t="str">
        <f ca="1">IFERROR(INDEX(Glue!$A:$AU,MATCH($C434,Glue!$AU:$AU,0),5),"")</f>
        <v/>
      </c>
      <c r="F434" s="3143" t="s">
        <v>3651</v>
      </c>
      <c r="G434" s="3599" t="str">
        <f ca="1">IFERROR(INDEX(Glue!$A:$AU,MATCH($C434,Glue!$AU:$AU,0),8)/'ACC &amp; Other Material '!$E$2*10^3,"")</f>
        <v/>
      </c>
      <c r="H434" s="3599" t="str">
        <f ca="1">IFERROR(INDEX(Glue!$A:$AU,MATCH($C434,Glue!$AU:$AU,0),9)/'ACC &amp; Other Material '!$E$2*10^3,"")</f>
        <v/>
      </c>
      <c r="I434" s="3153" t="str">
        <f ca="1">IFERROR(INDEX(Glue!$A:$AU,MATCH($C434,Glue!$AU:$AU,0),12),"")</f>
        <v/>
      </c>
      <c r="J434" s="3153" t="str">
        <f ca="1">IFERROR(INDEX(Glue!$A:$AU,MATCH($C434,Glue!$AU:$AU,0),12)*(1+Glue!$L$4),"")</f>
        <v/>
      </c>
    </row>
    <row r="435" spans="2:10" ht="21.75">
      <c r="B435" s="3143" t="s">
        <v>215</v>
      </c>
      <c r="C435" s="3143">
        <f t="shared" si="7"/>
        <v>48</v>
      </c>
      <c r="D435" s="3143" t="str">
        <f ca="1">IFERROR(INDEX(Glue!$A:$AU,MATCH($C435,Glue!$AU:$AU,0),1),"")</f>
        <v/>
      </c>
      <c r="E435" s="3143" t="str">
        <f ca="1">IFERROR(INDEX(Glue!$A:$AU,MATCH($C435,Glue!$AU:$AU,0),5),"")</f>
        <v/>
      </c>
      <c r="F435" s="3143" t="s">
        <v>3651</v>
      </c>
      <c r="G435" s="3599" t="str">
        <f ca="1">IFERROR(INDEX(Glue!$A:$AU,MATCH($C435,Glue!$AU:$AU,0),8)/'ACC &amp; Other Material '!$E$2*10^3,"")</f>
        <v/>
      </c>
      <c r="H435" s="3599" t="str">
        <f ca="1">IFERROR(INDEX(Glue!$A:$AU,MATCH($C435,Glue!$AU:$AU,0),9)/'ACC &amp; Other Material '!$E$2*10^3,"")</f>
        <v/>
      </c>
      <c r="I435" s="3153" t="str">
        <f ca="1">IFERROR(INDEX(Glue!$A:$AU,MATCH($C435,Glue!$AU:$AU,0),12),"")</f>
        <v/>
      </c>
      <c r="J435" s="3153" t="str">
        <f ca="1">IFERROR(INDEX(Glue!$A:$AU,MATCH($C435,Glue!$AU:$AU,0),12)*(1+Glue!$L$4),"")</f>
        <v/>
      </c>
    </row>
    <row r="436" spans="2:10" ht="21.75">
      <c r="B436" s="3143" t="s">
        <v>215</v>
      </c>
      <c r="C436" s="3143">
        <f t="shared" si="7"/>
        <v>49</v>
      </c>
      <c r="D436" s="3143" t="str">
        <f ca="1">IFERROR(INDEX(Glue!$A:$AU,MATCH($C436,Glue!$AU:$AU,0),1),"")</f>
        <v/>
      </c>
      <c r="E436" s="3143" t="str">
        <f ca="1">IFERROR(INDEX(Glue!$A:$AU,MATCH($C436,Glue!$AU:$AU,0),5),"")</f>
        <v/>
      </c>
      <c r="F436" s="3143" t="s">
        <v>3651</v>
      </c>
      <c r="G436" s="3599" t="str">
        <f ca="1">IFERROR(INDEX(Glue!$A:$AU,MATCH($C436,Glue!$AU:$AU,0),8)/'ACC &amp; Other Material '!$E$2*10^3,"")</f>
        <v/>
      </c>
      <c r="H436" s="3599" t="str">
        <f ca="1">IFERROR(INDEX(Glue!$A:$AU,MATCH($C436,Glue!$AU:$AU,0),9)/'ACC &amp; Other Material '!$E$2*10^3,"")</f>
        <v/>
      </c>
      <c r="I436" s="3153" t="str">
        <f ca="1">IFERROR(INDEX(Glue!$A:$AU,MATCH($C436,Glue!$AU:$AU,0),12),"")</f>
        <v/>
      </c>
      <c r="J436" s="3153" t="str">
        <f ca="1">IFERROR(INDEX(Glue!$A:$AU,MATCH($C436,Glue!$AU:$AU,0),12)*(1+Glue!$L$4),"")</f>
        <v/>
      </c>
    </row>
    <row r="437" spans="2:10" ht="21.75">
      <c r="B437" s="3143" t="s">
        <v>215</v>
      </c>
      <c r="C437" s="3143">
        <f t="shared" si="7"/>
        <v>50</v>
      </c>
      <c r="D437" s="3143" t="str">
        <f ca="1">IFERROR(INDEX(Glue!$A:$AU,MATCH($C437,Glue!$AU:$AU,0),1),"")</f>
        <v/>
      </c>
      <c r="E437" s="3143" t="str">
        <f ca="1">IFERROR(INDEX(Glue!$A:$AU,MATCH($C437,Glue!$AU:$AU,0),5),"")</f>
        <v/>
      </c>
      <c r="F437" s="3143" t="s">
        <v>3651</v>
      </c>
      <c r="G437" s="3599" t="str">
        <f ca="1">IFERROR(INDEX(Glue!$A:$AU,MATCH($C437,Glue!$AU:$AU,0),8)/'ACC &amp; Other Material '!$E$2*10^3,"")</f>
        <v/>
      </c>
      <c r="H437" s="3599" t="str">
        <f ca="1">IFERROR(INDEX(Glue!$A:$AU,MATCH($C437,Glue!$AU:$AU,0),9)/'ACC &amp; Other Material '!$E$2*10^3,"")</f>
        <v/>
      </c>
      <c r="I437" s="3153" t="str">
        <f ca="1">IFERROR(INDEX(Glue!$A:$AU,MATCH($C437,Glue!$AU:$AU,0),12),"")</f>
        <v/>
      </c>
      <c r="J437" s="3153" t="str">
        <f ca="1">IFERROR(INDEX(Glue!$A:$AU,MATCH($C437,Glue!$AU:$AU,0),12)*(1+Glue!$L$4),"")</f>
        <v/>
      </c>
    </row>
    <row r="438" spans="2:10" ht="21.75">
      <c r="B438" s="3143" t="s">
        <v>215</v>
      </c>
      <c r="C438" s="3143">
        <f t="shared" si="7"/>
        <v>51</v>
      </c>
      <c r="D438" s="3143" t="str">
        <f ca="1">IFERROR(INDEX(Glue!$A:$AU,MATCH($C438,Glue!$AU:$AU,0),1),"")</f>
        <v/>
      </c>
      <c r="E438" s="3143" t="str">
        <f ca="1">IFERROR(INDEX(Glue!$A:$AU,MATCH($C438,Glue!$AU:$AU,0),5),"")</f>
        <v/>
      </c>
      <c r="F438" s="3143" t="s">
        <v>3651</v>
      </c>
      <c r="G438" s="3599" t="str">
        <f ca="1">IFERROR(INDEX(Glue!$A:$AU,MATCH($C438,Glue!$AU:$AU,0),8)/'ACC &amp; Other Material '!$E$2*10^3,"")</f>
        <v/>
      </c>
      <c r="H438" s="3599" t="str">
        <f ca="1">IFERROR(INDEX(Glue!$A:$AU,MATCH($C438,Glue!$AU:$AU,0),9)/'ACC &amp; Other Material '!$E$2*10^3,"")</f>
        <v/>
      </c>
      <c r="I438" s="3153" t="str">
        <f ca="1">IFERROR(INDEX(Glue!$A:$AU,MATCH($C438,Glue!$AU:$AU,0),12),"")</f>
        <v/>
      </c>
      <c r="J438" s="3153" t="str">
        <f ca="1">IFERROR(INDEX(Glue!$A:$AU,MATCH($C438,Glue!$AU:$AU,0),12)*(1+Glue!$L$4),"")</f>
        <v/>
      </c>
    </row>
    <row r="439" spans="2:10" ht="21.75">
      <c r="B439" s="3143" t="s">
        <v>215</v>
      </c>
      <c r="C439" s="3143">
        <f t="shared" si="7"/>
        <v>52</v>
      </c>
      <c r="D439" s="3143" t="str">
        <f ca="1">IFERROR(INDEX(Glue!$A:$AU,MATCH($C439,Glue!$AU:$AU,0),1),"")</f>
        <v/>
      </c>
      <c r="E439" s="3143" t="str">
        <f ca="1">IFERROR(INDEX(Glue!$A:$AU,MATCH($C439,Glue!$AU:$AU,0),5),"")</f>
        <v/>
      </c>
      <c r="F439" s="3143" t="s">
        <v>3651</v>
      </c>
      <c r="G439" s="3599" t="str">
        <f ca="1">IFERROR(INDEX(Glue!$A:$AU,MATCH($C439,Glue!$AU:$AU,0),8)/'ACC &amp; Other Material '!$E$2*10^3,"")</f>
        <v/>
      </c>
      <c r="H439" s="3599" t="str">
        <f ca="1">IFERROR(INDEX(Glue!$A:$AU,MATCH($C439,Glue!$AU:$AU,0),9)/'ACC &amp; Other Material '!$E$2*10^3,"")</f>
        <v/>
      </c>
      <c r="I439" s="3153" t="str">
        <f ca="1">IFERROR(INDEX(Glue!$A:$AU,MATCH($C439,Glue!$AU:$AU,0),12),"")</f>
        <v/>
      </c>
      <c r="J439" s="3153" t="str">
        <f ca="1">IFERROR(INDEX(Glue!$A:$AU,MATCH($C439,Glue!$AU:$AU,0),12)*(1+Glue!$L$4),"")</f>
        <v/>
      </c>
    </row>
    <row r="440" spans="2:10" ht="21.75">
      <c r="B440" s="3143" t="s">
        <v>215</v>
      </c>
      <c r="C440" s="3143">
        <f t="shared" si="7"/>
        <v>53</v>
      </c>
      <c r="D440" s="3143" t="str">
        <f ca="1">IFERROR(INDEX(Glue!$A:$AU,MATCH($C440,Glue!$AU:$AU,0),1),"")</f>
        <v/>
      </c>
      <c r="E440" s="3143" t="str">
        <f ca="1">IFERROR(INDEX(Glue!$A:$AU,MATCH($C440,Glue!$AU:$AU,0),5),"")</f>
        <v/>
      </c>
      <c r="F440" s="3143" t="s">
        <v>3651</v>
      </c>
      <c r="G440" s="3599" t="str">
        <f ca="1">IFERROR(INDEX(Glue!$A:$AU,MATCH($C440,Glue!$AU:$AU,0),8)/'ACC &amp; Other Material '!$E$2*10^3,"")</f>
        <v/>
      </c>
      <c r="H440" s="3599" t="str">
        <f ca="1">IFERROR(INDEX(Glue!$A:$AU,MATCH($C440,Glue!$AU:$AU,0),9)/'ACC &amp; Other Material '!$E$2*10^3,"")</f>
        <v/>
      </c>
      <c r="I440" s="3153" t="str">
        <f ca="1">IFERROR(INDEX(Glue!$A:$AU,MATCH($C440,Glue!$AU:$AU,0),12),"")</f>
        <v/>
      </c>
      <c r="J440" s="3153" t="str">
        <f ca="1">IFERROR(INDEX(Glue!$A:$AU,MATCH($C440,Glue!$AU:$AU,0),12)*(1+Glue!$L$4),"")</f>
        <v/>
      </c>
    </row>
    <row r="441" spans="2:10" ht="21.75">
      <c r="B441" s="3143" t="s">
        <v>215</v>
      </c>
      <c r="C441" s="3143">
        <f t="shared" si="7"/>
        <v>54</v>
      </c>
      <c r="D441" s="3143" t="str">
        <f ca="1">IFERROR(INDEX(Glue!$A:$AU,MATCH($C441,Glue!$AU:$AU,0),1),"")</f>
        <v/>
      </c>
      <c r="E441" s="3143" t="str">
        <f ca="1">IFERROR(INDEX(Glue!$A:$AU,MATCH($C441,Glue!$AU:$AU,0),5),"")</f>
        <v/>
      </c>
      <c r="F441" s="3143" t="s">
        <v>3651</v>
      </c>
      <c r="G441" s="3599" t="str">
        <f ca="1">IFERROR(INDEX(Glue!$A:$AU,MATCH($C441,Glue!$AU:$AU,0),8)/'ACC &amp; Other Material '!$E$2*10^3,"")</f>
        <v/>
      </c>
      <c r="H441" s="3599" t="str">
        <f ca="1">IFERROR(INDEX(Glue!$A:$AU,MATCH($C441,Glue!$AU:$AU,0),9)/'ACC &amp; Other Material '!$E$2*10^3,"")</f>
        <v/>
      </c>
      <c r="I441" s="3153" t="str">
        <f ca="1">IFERROR(INDEX(Glue!$A:$AU,MATCH($C441,Glue!$AU:$AU,0),12),"")</f>
        <v/>
      </c>
      <c r="J441" s="3153" t="str">
        <f ca="1">IFERROR(INDEX(Glue!$A:$AU,MATCH($C441,Glue!$AU:$AU,0),12)*(1+Glue!$L$4),"")</f>
        <v/>
      </c>
    </row>
    <row r="442" spans="2:10" ht="21.75">
      <c r="B442" s="3143" t="s">
        <v>215</v>
      </c>
      <c r="C442" s="3143">
        <f t="shared" si="7"/>
        <v>55</v>
      </c>
      <c r="D442" s="3143" t="str">
        <f ca="1">IFERROR(INDEX(Glue!$A:$AU,MATCH($C442,Glue!$AU:$AU,0),1),"")</f>
        <v/>
      </c>
      <c r="E442" s="3143" t="str">
        <f ca="1">IFERROR(INDEX(Glue!$A:$AU,MATCH($C442,Glue!$AU:$AU,0),5),"")</f>
        <v/>
      </c>
      <c r="F442" s="3143" t="s">
        <v>3651</v>
      </c>
      <c r="G442" s="3599" t="str">
        <f ca="1">IFERROR(INDEX(Glue!$A:$AU,MATCH($C442,Glue!$AU:$AU,0),8)/'ACC &amp; Other Material '!$E$2*10^3,"")</f>
        <v/>
      </c>
      <c r="H442" s="3599" t="str">
        <f ca="1">IFERROR(INDEX(Glue!$A:$AU,MATCH($C442,Glue!$AU:$AU,0),9)/'ACC &amp; Other Material '!$E$2*10^3,"")</f>
        <v/>
      </c>
      <c r="I442" s="3153" t="str">
        <f ca="1">IFERROR(INDEX(Glue!$A:$AU,MATCH($C442,Glue!$AU:$AU,0),12),"")</f>
        <v/>
      </c>
      <c r="J442" s="3153" t="str">
        <f ca="1">IFERROR(INDEX(Glue!$A:$AU,MATCH($C442,Glue!$AU:$AU,0),12)*(1+Glue!$L$4),"")</f>
        <v/>
      </c>
    </row>
    <row r="443" spans="2:10" ht="21.75">
      <c r="B443" s="3143" t="s">
        <v>215</v>
      </c>
      <c r="C443" s="3143">
        <f t="shared" si="7"/>
        <v>56</v>
      </c>
      <c r="D443" s="3143" t="str">
        <f ca="1">IFERROR(INDEX(Glue!$A:$AU,MATCH($C443,Glue!$AU:$AU,0),1),"")</f>
        <v/>
      </c>
      <c r="E443" s="3143" t="str">
        <f ca="1">IFERROR(INDEX(Glue!$A:$AU,MATCH($C443,Glue!$AU:$AU,0),5),"")</f>
        <v/>
      </c>
      <c r="F443" s="3143" t="s">
        <v>3651</v>
      </c>
      <c r="G443" s="3599" t="str">
        <f ca="1">IFERROR(INDEX(Glue!$A:$AU,MATCH($C443,Glue!$AU:$AU,0),8)/'ACC &amp; Other Material '!$E$2*10^3,"")</f>
        <v/>
      </c>
      <c r="H443" s="3599" t="str">
        <f ca="1">IFERROR(INDEX(Glue!$A:$AU,MATCH($C443,Glue!$AU:$AU,0),9)/'ACC &amp; Other Material '!$E$2*10^3,"")</f>
        <v/>
      </c>
      <c r="I443" s="3153" t="str">
        <f ca="1">IFERROR(INDEX(Glue!$A:$AU,MATCH($C443,Glue!$AU:$AU,0),12),"")</f>
        <v/>
      </c>
      <c r="J443" s="3153" t="str">
        <f ca="1">IFERROR(INDEX(Glue!$A:$AU,MATCH($C443,Glue!$AU:$AU,0),12)*(1+Glue!$L$4),"")</f>
        <v/>
      </c>
    </row>
    <row r="444" spans="2:10" ht="21.75">
      <c r="B444" s="3143" t="s">
        <v>215</v>
      </c>
      <c r="C444" s="3143">
        <f t="shared" si="7"/>
        <v>57</v>
      </c>
      <c r="D444" s="3143" t="str">
        <f ca="1">IFERROR(INDEX(Glue!$A:$AU,MATCH($C444,Glue!$AU:$AU,0),1),"")</f>
        <v/>
      </c>
      <c r="E444" s="3143" t="str">
        <f ca="1">IFERROR(INDEX(Glue!$A:$AU,MATCH($C444,Glue!$AU:$AU,0),5),"")</f>
        <v/>
      </c>
      <c r="F444" s="3143" t="s">
        <v>3651</v>
      </c>
      <c r="G444" s="3599" t="str">
        <f ca="1">IFERROR(INDEX(Glue!$A:$AU,MATCH($C444,Glue!$AU:$AU,0),8)/'ACC &amp; Other Material '!$E$2*10^3,"")</f>
        <v/>
      </c>
      <c r="H444" s="3599" t="str">
        <f ca="1">IFERROR(INDEX(Glue!$A:$AU,MATCH($C444,Glue!$AU:$AU,0),9)/'ACC &amp; Other Material '!$E$2*10^3,"")</f>
        <v/>
      </c>
      <c r="I444" s="3153" t="str">
        <f ca="1">IFERROR(INDEX(Glue!$A:$AU,MATCH($C444,Glue!$AU:$AU,0),12),"")</f>
        <v/>
      </c>
      <c r="J444" s="3153" t="str">
        <f ca="1">IFERROR(INDEX(Glue!$A:$AU,MATCH($C444,Glue!$AU:$AU,0),12)*(1+Glue!$L$4),"")</f>
        <v/>
      </c>
    </row>
    <row r="445" spans="2:10" ht="21.75">
      <c r="B445" s="3143" t="s">
        <v>215</v>
      </c>
      <c r="C445" s="3143">
        <f t="shared" si="7"/>
        <v>58</v>
      </c>
      <c r="D445" s="3143" t="str">
        <f ca="1">IFERROR(INDEX(Glue!$A:$AU,MATCH($C445,Glue!$AU:$AU,0),1),"")</f>
        <v/>
      </c>
      <c r="E445" s="3143" t="str">
        <f ca="1">IFERROR(INDEX(Glue!$A:$AU,MATCH($C445,Glue!$AU:$AU,0),5),"")</f>
        <v/>
      </c>
      <c r="F445" s="3143" t="s">
        <v>3651</v>
      </c>
      <c r="G445" s="3599" t="str">
        <f ca="1">IFERROR(INDEX(Glue!$A:$AU,MATCH($C445,Glue!$AU:$AU,0),8)/'ACC &amp; Other Material '!$E$2*10^3,"")</f>
        <v/>
      </c>
      <c r="H445" s="3599" t="str">
        <f ca="1">IFERROR(INDEX(Glue!$A:$AU,MATCH($C445,Glue!$AU:$AU,0),9)/'ACC &amp; Other Material '!$E$2*10^3,"")</f>
        <v/>
      </c>
      <c r="I445" s="3153" t="str">
        <f ca="1">IFERROR(INDEX(Glue!$A:$AU,MATCH($C445,Glue!$AU:$AU,0),12),"")</f>
        <v/>
      </c>
      <c r="J445" s="3153" t="str">
        <f ca="1">IFERROR(INDEX(Glue!$A:$AU,MATCH($C445,Glue!$AU:$AU,0),12)*(1+Glue!$L$4),"")</f>
        <v/>
      </c>
    </row>
    <row r="446" spans="2:10" ht="21.75">
      <c r="B446" s="3143" t="s">
        <v>215</v>
      </c>
      <c r="C446" s="3143">
        <f t="shared" si="7"/>
        <v>59</v>
      </c>
      <c r="D446" s="3143" t="str">
        <f ca="1">IFERROR(INDEX(Glue!$A:$AU,MATCH($C446,Glue!$AU:$AU,0),1),"")</f>
        <v/>
      </c>
      <c r="E446" s="3143" t="str">
        <f ca="1">IFERROR(INDEX(Glue!$A:$AU,MATCH($C446,Glue!$AU:$AU,0),5),"")</f>
        <v/>
      </c>
      <c r="F446" s="3143" t="s">
        <v>3651</v>
      </c>
      <c r="G446" s="3599" t="str">
        <f ca="1">IFERROR(INDEX(Glue!$A:$AU,MATCH($C446,Glue!$AU:$AU,0),8)/'ACC &amp; Other Material '!$E$2*10^3,"")</f>
        <v/>
      </c>
      <c r="H446" s="3599" t="str">
        <f ca="1">IFERROR(INDEX(Glue!$A:$AU,MATCH($C446,Glue!$AU:$AU,0),9)/'ACC &amp; Other Material '!$E$2*10^3,"")</f>
        <v/>
      </c>
      <c r="I446" s="3153" t="str">
        <f ca="1">IFERROR(INDEX(Glue!$A:$AU,MATCH($C446,Glue!$AU:$AU,0),12),"")</f>
        <v/>
      </c>
      <c r="J446" s="3153" t="str">
        <f ca="1">IFERROR(INDEX(Glue!$A:$AU,MATCH($C446,Glue!$AU:$AU,0),12)*(1+Glue!$L$4),"")</f>
        <v/>
      </c>
    </row>
    <row r="447" spans="2:10" ht="21.75">
      <c r="B447" s="3143" t="s">
        <v>215</v>
      </c>
      <c r="C447" s="3143">
        <f t="shared" si="7"/>
        <v>60</v>
      </c>
      <c r="D447" s="3143" t="str">
        <f ca="1">IFERROR(INDEX(Glue!$A:$AU,MATCH($C447,Glue!$AU:$AU,0),1),"")</f>
        <v/>
      </c>
      <c r="E447" s="3143" t="str">
        <f ca="1">IFERROR(INDEX(Glue!$A:$AU,MATCH($C447,Glue!$AU:$AU,0),5),"")</f>
        <v/>
      </c>
      <c r="F447" s="3143" t="s">
        <v>3651</v>
      </c>
      <c r="G447" s="3599" t="str">
        <f ca="1">IFERROR(INDEX(Glue!$A:$AU,MATCH($C447,Glue!$AU:$AU,0),8)/'ACC &amp; Other Material '!$E$2*10^3,"")</f>
        <v/>
      </c>
      <c r="H447" s="3599" t="str">
        <f ca="1">IFERROR(INDEX(Glue!$A:$AU,MATCH($C447,Glue!$AU:$AU,0),9)/'ACC &amp; Other Material '!$E$2*10^3,"")</f>
        <v/>
      </c>
      <c r="I447" s="3153" t="str">
        <f ca="1">IFERROR(INDEX(Glue!$A:$AU,MATCH($C447,Glue!$AU:$AU,0),12),"")</f>
        <v/>
      </c>
      <c r="J447" s="3153" t="str">
        <f ca="1">IFERROR(INDEX(Glue!$A:$AU,MATCH($C447,Glue!$AU:$AU,0),12)*(1+Glue!$L$4),"")</f>
        <v/>
      </c>
    </row>
    <row r="448" spans="2:10" ht="21.75">
      <c r="B448" s="3143" t="s">
        <v>215</v>
      </c>
      <c r="C448" s="3143">
        <f t="shared" si="7"/>
        <v>61</v>
      </c>
      <c r="D448" s="3143" t="str">
        <f ca="1">IFERROR(INDEX(Glue!$A:$AU,MATCH($C448,Glue!$AU:$AU,0),1),"")</f>
        <v/>
      </c>
      <c r="E448" s="3143" t="str">
        <f ca="1">IFERROR(INDEX(Glue!$A:$AU,MATCH($C448,Glue!$AU:$AU,0),5),"")</f>
        <v/>
      </c>
      <c r="F448" s="3143" t="s">
        <v>3651</v>
      </c>
      <c r="G448" s="3599" t="str">
        <f ca="1">IFERROR(INDEX(Glue!$A:$AU,MATCH($C448,Glue!$AU:$AU,0),8)/'ACC &amp; Other Material '!$E$2*10^3,"")</f>
        <v/>
      </c>
      <c r="H448" s="3599" t="str">
        <f ca="1">IFERROR(INDEX(Glue!$A:$AU,MATCH($C448,Glue!$AU:$AU,0),9)/'ACC &amp; Other Material '!$E$2*10^3,"")</f>
        <v/>
      </c>
      <c r="I448" s="3153" t="str">
        <f ca="1">IFERROR(INDEX(Glue!$A:$AU,MATCH($C448,Glue!$AU:$AU,0),12),"")</f>
        <v/>
      </c>
      <c r="J448" s="3153" t="str">
        <f ca="1">IFERROR(INDEX(Glue!$A:$AU,MATCH($C448,Glue!$AU:$AU,0),12)*(1+Glue!$L$4),"")</f>
        <v/>
      </c>
    </row>
    <row r="449" spans="2:10" ht="21.75">
      <c r="B449" s="3143" t="s">
        <v>215</v>
      </c>
      <c r="C449" s="3143">
        <f t="shared" si="7"/>
        <v>62</v>
      </c>
      <c r="D449" s="3143" t="str">
        <f ca="1">IFERROR(INDEX(Glue!$A:$AU,MATCH($C449,Glue!$AU:$AU,0),1),"")</f>
        <v/>
      </c>
      <c r="E449" s="3143" t="str">
        <f ca="1">IFERROR(INDEX(Glue!$A:$AU,MATCH($C449,Glue!$AU:$AU,0),5),"")</f>
        <v/>
      </c>
      <c r="F449" s="3143" t="s">
        <v>3651</v>
      </c>
      <c r="G449" s="3599" t="str">
        <f ca="1">IFERROR(INDEX(Glue!$A:$AU,MATCH($C449,Glue!$AU:$AU,0),8)/'ACC &amp; Other Material '!$E$2*10^3,"")</f>
        <v/>
      </c>
      <c r="H449" s="3599" t="str">
        <f ca="1">IFERROR(INDEX(Glue!$A:$AU,MATCH($C449,Glue!$AU:$AU,0),9)/'ACC &amp; Other Material '!$E$2*10^3,"")</f>
        <v/>
      </c>
      <c r="I449" s="3153" t="str">
        <f ca="1">IFERROR(INDEX(Glue!$A:$AU,MATCH($C449,Glue!$AU:$AU,0),12),"")</f>
        <v/>
      </c>
      <c r="J449" s="3153" t="str">
        <f ca="1">IFERROR(INDEX(Glue!$A:$AU,MATCH($C449,Glue!$AU:$AU,0),12)*(1+Glue!$L$4),"")</f>
        <v/>
      </c>
    </row>
    <row r="450" spans="2:10" ht="21.75">
      <c r="B450" s="3143" t="s">
        <v>215</v>
      </c>
      <c r="C450" s="3143">
        <f t="shared" si="7"/>
        <v>63</v>
      </c>
      <c r="D450" s="3143" t="str">
        <f ca="1">IFERROR(INDEX(Glue!$A:$AU,MATCH($C450,Glue!$AU:$AU,0),1),"")</f>
        <v/>
      </c>
      <c r="E450" s="3143" t="str">
        <f ca="1">IFERROR(INDEX(Glue!$A:$AU,MATCH($C450,Glue!$AU:$AU,0),5),"")</f>
        <v/>
      </c>
      <c r="F450" s="3143" t="s">
        <v>3651</v>
      </c>
      <c r="G450" s="3599" t="str">
        <f ca="1">IFERROR(INDEX(Glue!$A:$AU,MATCH($C450,Glue!$AU:$AU,0),8)/'ACC &amp; Other Material '!$E$2*10^3,"")</f>
        <v/>
      </c>
      <c r="H450" s="3599" t="str">
        <f ca="1">IFERROR(INDEX(Glue!$A:$AU,MATCH($C450,Glue!$AU:$AU,0),9)/'ACC &amp; Other Material '!$E$2*10^3,"")</f>
        <v/>
      </c>
      <c r="I450" s="3153" t="str">
        <f ca="1">IFERROR(INDEX(Glue!$A:$AU,MATCH($C450,Glue!$AU:$AU,0),12),"")</f>
        <v/>
      </c>
      <c r="J450" s="3153" t="str">
        <f ca="1">IFERROR(INDEX(Glue!$A:$AU,MATCH($C450,Glue!$AU:$AU,0),12)*(1+Glue!$L$4),"")</f>
        <v/>
      </c>
    </row>
    <row r="451" spans="2:10" ht="21.75">
      <c r="B451" s="3143" t="s">
        <v>215</v>
      </c>
      <c r="C451" s="3143">
        <f t="shared" si="7"/>
        <v>64</v>
      </c>
      <c r="D451" s="3143" t="str">
        <f ca="1">IFERROR(INDEX(Glue!$A:$AU,MATCH($C451,Glue!$AU:$AU,0),1),"")</f>
        <v/>
      </c>
      <c r="E451" s="3143" t="str">
        <f ca="1">IFERROR(INDEX(Glue!$A:$AU,MATCH($C451,Glue!$AU:$AU,0),5),"")</f>
        <v/>
      </c>
      <c r="F451" s="3143" t="s">
        <v>3651</v>
      </c>
      <c r="G451" s="3599" t="str">
        <f ca="1">IFERROR(INDEX(Glue!$A:$AU,MATCH($C451,Glue!$AU:$AU,0),8)/'ACC &amp; Other Material '!$E$2*10^3,"")</f>
        <v/>
      </c>
      <c r="H451" s="3599" t="str">
        <f ca="1">IFERROR(INDEX(Glue!$A:$AU,MATCH($C451,Glue!$AU:$AU,0),9)/'ACC &amp; Other Material '!$E$2*10^3,"")</f>
        <v/>
      </c>
      <c r="I451" s="3153" t="str">
        <f ca="1">IFERROR(INDEX(Glue!$A:$AU,MATCH($C451,Glue!$AU:$AU,0),12),"")</f>
        <v/>
      </c>
      <c r="J451" s="3153" t="str">
        <f ca="1">IFERROR(INDEX(Glue!$A:$AU,MATCH($C451,Glue!$AU:$AU,0),12)*(1+Glue!$L$4),"")</f>
        <v/>
      </c>
    </row>
    <row r="452" spans="2:10" ht="21.75">
      <c r="B452" s="3143" t="s">
        <v>215</v>
      </c>
      <c r="C452" s="3143">
        <f t="shared" si="7"/>
        <v>65</v>
      </c>
      <c r="D452" s="3143" t="str">
        <f ca="1">IFERROR(INDEX(Glue!$A:$AU,MATCH($C452,Glue!$AU:$AU,0),1),"")</f>
        <v/>
      </c>
      <c r="E452" s="3143" t="str">
        <f ca="1">IFERROR(INDEX(Glue!$A:$AU,MATCH($C452,Glue!$AU:$AU,0),5),"")</f>
        <v/>
      </c>
      <c r="F452" s="3143" t="s">
        <v>3651</v>
      </c>
      <c r="G452" s="3599" t="str">
        <f ca="1">IFERROR(INDEX(Glue!$A:$AU,MATCH($C452,Glue!$AU:$AU,0),8)/'ACC &amp; Other Material '!$E$2*10^3,"")</f>
        <v/>
      </c>
      <c r="H452" s="3599" t="str">
        <f ca="1">IFERROR(INDEX(Glue!$A:$AU,MATCH($C452,Glue!$AU:$AU,0),9)/'ACC &amp; Other Material '!$E$2*10^3,"")</f>
        <v/>
      </c>
      <c r="I452" s="3153" t="str">
        <f ca="1">IFERROR(INDEX(Glue!$A:$AU,MATCH($C452,Glue!$AU:$AU,0),12),"")</f>
        <v/>
      </c>
      <c r="J452" s="3153" t="str">
        <f ca="1">IFERROR(INDEX(Glue!$A:$AU,MATCH($C452,Glue!$AU:$AU,0),12)*(1+Glue!$L$4),"")</f>
        <v/>
      </c>
    </row>
    <row r="453" spans="2:10" ht="21.75">
      <c r="B453" s="3143" t="s">
        <v>215</v>
      </c>
      <c r="C453" s="3143">
        <f t="shared" si="7"/>
        <v>66</v>
      </c>
      <c r="D453" s="3143" t="str">
        <f ca="1">IFERROR(INDEX(Glue!$A:$AU,MATCH($C453,Glue!$AU:$AU,0),1),"")</f>
        <v/>
      </c>
      <c r="E453" s="3143" t="str">
        <f ca="1">IFERROR(INDEX(Glue!$A:$AU,MATCH($C453,Glue!$AU:$AU,0),5),"")</f>
        <v/>
      </c>
      <c r="F453" s="3143" t="s">
        <v>3651</v>
      </c>
      <c r="G453" s="3599" t="str">
        <f ca="1">IFERROR(INDEX(Glue!$A:$AU,MATCH($C453,Glue!$AU:$AU,0),8)/'ACC &amp; Other Material '!$E$2*10^3,"")</f>
        <v/>
      </c>
      <c r="H453" s="3599" t="str">
        <f ca="1">IFERROR(INDEX(Glue!$A:$AU,MATCH($C453,Glue!$AU:$AU,0),9)/'ACC &amp; Other Material '!$E$2*10^3,"")</f>
        <v/>
      </c>
      <c r="I453" s="3153" t="str">
        <f ca="1">IFERROR(INDEX(Glue!$A:$AU,MATCH($C453,Glue!$AU:$AU,0),12),"")</f>
        <v/>
      </c>
      <c r="J453" s="3153" t="str">
        <f ca="1">IFERROR(INDEX(Glue!$A:$AU,MATCH($C453,Glue!$AU:$AU,0),12)*(1+Glue!$L$4),"")</f>
        <v/>
      </c>
    </row>
    <row r="454" spans="2:10" ht="21.75">
      <c r="B454" s="3143" t="s">
        <v>215</v>
      </c>
      <c r="C454" s="3143">
        <f t="shared" ref="C454:C507" si="8">C453+1</f>
        <v>67</v>
      </c>
      <c r="D454" s="3143" t="str">
        <f ca="1">IFERROR(INDEX(Glue!$A:$AU,MATCH($C454,Glue!$AU:$AU,0),1),"")</f>
        <v/>
      </c>
      <c r="E454" s="3143" t="str">
        <f ca="1">IFERROR(INDEX(Glue!$A:$AU,MATCH($C454,Glue!$AU:$AU,0),5),"")</f>
        <v/>
      </c>
      <c r="F454" s="3143" t="s">
        <v>3651</v>
      </c>
      <c r="G454" s="3599" t="str">
        <f ca="1">IFERROR(INDEX(Glue!$A:$AU,MATCH($C454,Glue!$AU:$AU,0),8)/'ACC &amp; Other Material '!$E$2*10^3,"")</f>
        <v/>
      </c>
      <c r="H454" s="3599" t="str">
        <f ca="1">IFERROR(INDEX(Glue!$A:$AU,MATCH($C454,Glue!$AU:$AU,0),9)/'ACC &amp; Other Material '!$E$2*10^3,"")</f>
        <v/>
      </c>
      <c r="I454" s="3153" t="str">
        <f ca="1">IFERROR(INDEX(Glue!$A:$AU,MATCH($C454,Glue!$AU:$AU,0),12),"")</f>
        <v/>
      </c>
      <c r="J454" s="3153" t="str">
        <f ca="1">IFERROR(INDEX(Glue!$A:$AU,MATCH($C454,Glue!$AU:$AU,0),12)*(1+Glue!$L$4),"")</f>
        <v/>
      </c>
    </row>
    <row r="455" spans="2:10" ht="21.75">
      <c r="B455" s="3143" t="s">
        <v>215</v>
      </c>
      <c r="C455" s="3143">
        <f t="shared" si="8"/>
        <v>68</v>
      </c>
      <c r="D455" s="3143" t="str">
        <f ca="1">IFERROR(INDEX(Glue!$A:$AU,MATCH($C455,Glue!$AU:$AU,0),1),"")</f>
        <v/>
      </c>
      <c r="E455" s="3143" t="str">
        <f ca="1">IFERROR(INDEX(Glue!$A:$AU,MATCH($C455,Glue!$AU:$AU,0),5),"")</f>
        <v/>
      </c>
      <c r="F455" s="3143" t="s">
        <v>3651</v>
      </c>
      <c r="G455" s="3599" t="str">
        <f ca="1">IFERROR(INDEX(Glue!$A:$AU,MATCH($C455,Glue!$AU:$AU,0),8)/'ACC &amp; Other Material '!$E$2*10^3,"")</f>
        <v/>
      </c>
      <c r="H455" s="3599" t="str">
        <f ca="1">IFERROR(INDEX(Glue!$A:$AU,MATCH($C455,Glue!$AU:$AU,0),9)/'ACC &amp; Other Material '!$E$2*10^3,"")</f>
        <v/>
      </c>
      <c r="I455" s="3153" t="str">
        <f ca="1">IFERROR(INDEX(Glue!$A:$AU,MATCH($C455,Glue!$AU:$AU,0),12),"")</f>
        <v/>
      </c>
      <c r="J455" s="3153" t="str">
        <f ca="1">IFERROR(INDEX(Glue!$A:$AU,MATCH($C455,Glue!$AU:$AU,0),12)*(1+Glue!$L$4),"")</f>
        <v/>
      </c>
    </row>
    <row r="456" spans="2:10" ht="21.75">
      <c r="B456" s="3143" t="s">
        <v>215</v>
      </c>
      <c r="C456" s="3143">
        <f t="shared" si="8"/>
        <v>69</v>
      </c>
      <c r="D456" s="3143" t="str">
        <f ca="1">IFERROR(INDEX(Glue!$A:$AU,MATCH($C456,Glue!$AU:$AU,0),1),"")</f>
        <v/>
      </c>
      <c r="E456" s="3143" t="str">
        <f ca="1">IFERROR(INDEX(Glue!$A:$AU,MATCH($C456,Glue!$AU:$AU,0),5),"")</f>
        <v/>
      </c>
      <c r="F456" s="3143" t="s">
        <v>3651</v>
      </c>
      <c r="G456" s="3599" t="str">
        <f ca="1">IFERROR(INDEX(Glue!$A:$AU,MATCH($C456,Glue!$AU:$AU,0),8)/'ACC &amp; Other Material '!$E$2*10^3,"")</f>
        <v/>
      </c>
      <c r="H456" s="3599" t="str">
        <f ca="1">IFERROR(INDEX(Glue!$A:$AU,MATCH($C456,Glue!$AU:$AU,0),9)/'ACC &amp; Other Material '!$E$2*10^3,"")</f>
        <v/>
      </c>
      <c r="I456" s="3153" t="str">
        <f ca="1">IFERROR(INDEX(Glue!$A:$AU,MATCH($C456,Glue!$AU:$AU,0),12),"")</f>
        <v/>
      </c>
      <c r="J456" s="3153" t="str">
        <f ca="1">IFERROR(INDEX(Glue!$A:$AU,MATCH($C456,Glue!$AU:$AU,0),12)*(1+Glue!$L$4),"")</f>
        <v/>
      </c>
    </row>
    <row r="457" spans="2:10" ht="21.75">
      <c r="B457" s="3143" t="s">
        <v>215</v>
      </c>
      <c r="C457" s="3143">
        <f t="shared" si="8"/>
        <v>70</v>
      </c>
      <c r="D457" s="3143" t="str">
        <f ca="1">IFERROR(INDEX(Glue!$A:$AU,MATCH($C457,Glue!$AU:$AU,0),1),"")</f>
        <v/>
      </c>
      <c r="E457" s="3143" t="str">
        <f ca="1">IFERROR(INDEX(Glue!$A:$AU,MATCH($C457,Glue!$AU:$AU,0),5),"")</f>
        <v/>
      </c>
      <c r="F457" s="3143" t="s">
        <v>3651</v>
      </c>
      <c r="G457" s="3599" t="str">
        <f ca="1">IFERROR(INDEX(Glue!$A:$AU,MATCH($C457,Glue!$AU:$AU,0),8)/'ACC &amp; Other Material '!$E$2*10^3,"")</f>
        <v/>
      </c>
      <c r="H457" s="3599" t="str">
        <f ca="1">IFERROR(INDEX(Glue!$A:$AU,MATCH($C457,Glue!$AU:$AU,0),9)/'ACC &amp; Other Material '!$E$2*10^3,"")</f>
        <v/>
      </c>
      <c r="I457" s="3153" t="str">
        <f ca="1">IFERROR(INDEX(Glue!$A:$AU,MATCH($C457,Glue!$AU:$AU,0),12),"")</f>
        <v/>
      </c>
      <c r="J457" s="3153" t="str">
        <f ca="1">IFERROR(INDEX(Glue!$A:$AU,MATCH($C457,Glue!$AU:$AU,0),12)*(1+Glue!$L$4),"")</f>
        <v/>
      </c>
    </row>
    <row r="458" spans="2:10" ht="21.75">
      <c r="B458" s="3143" t="s">
        <v>215</v>
      </c>
      <c r="C458" s="3143">
        <f t="shared" si="8"/>
        <v>71</v>
      </c>
      <c r="D458" s="3143" t="str">
        <f ca="1">IFERROR(INDEX(Glue!$A:$AU,MATCH($C458,Glue!$AU:$AU,0),1),"")</f>
        <v/>
      </c>
      <c r="E458" s="3143" t="str">
        <f ca="1">IFERROR(INDEX(Glue!$A:$AU,MATCH($C458,Glue!$AU:$AU,0),5),"")</f>
        <v/>
      </c>
      <c r="F458" s="3143" t="s">
        <v>3651</v>
      </c>
      <c r="G458" s="3599" t="str">
        <f ca="1">IFERROR(INDEX(Glue!$A:$AU,MATCH($C458,Glue!$AU:$AU,0),8)/'ACC &amp; Other Material '!$E$2*10^3,"")</f>
        <v/>
      </c>
      <c r="H458" s="3599" t="str">
        <f ca="1">IFERROR(INDEX(Glue!$A:$AU,MATCH($C458,Glue!$AU:$AU,0),9)/'ACC &amp; Other Material '!$E$2*10^3,"")</f>
        <v/>
      </c>
      <c r="I458" s="3153" t="str">
        <f ca="1">IFERROR(INDEX(Glue!$A:$AU,MATCH($C458,Glue!$AU:$AU,0),12),"")</f>
        <v/>
      </c>
      <c r="J458" s="3153" t="str">
        <f ca="1">IFERROR(INDEX(Glue!$A:$AU,MATCH($C458,Glue!$AU:$AU,0),12)*(1+Glue!$L$4),"")</f>
        <v/>
      </c>
    </row>
    <row r="459" spans="2:10" ht="21.75">
      <c r="B459" s="3143" t="s">
        <v>215</v>
      </c>
      <c r="C459" s="3143">
        <f t="shared" si="8"/>
        <v>72</v>
      </c>
      <c r="D459" s="3143" t="str">
        <f ca="1">IFERROR(INDEX(Glue!$A:$AU,MATCH($C459,Glue!$AU:$AU,0),1),"")</f>
        <v/>
      </c>
      <c r="E459" s="3143" t="str">
        <f ca="1">IFERROR(INDEX(Glue!$A:$AU,MATCH($C459,Glue!$AU:$AU,0),5),"")</f>
        <v/>
      </c>
      <c r="F459" s="3143" t="s">
        <v>3651</v>
      </c>
      <c r="G459" s="3599" t="str">
        <f ca="1">IFERROR(INDEX(Glue!$A:$AU,MATCH($C459,Glue!$AU:$AU,0),8)/'ACC &amp; Other Material '!$E$2*10^3,"")</f>
        <v/>
      </c>
      <c r="H459" s="3599" t="str">
        <f ca="1">IFERROR(INDEX(Glue!$A:$AU,MATCH($C459,Glue!$AU:$AU,0),9)/'ACC &amp; Other Material '!$E$2*10^3,"")</f>
        <v/>
      </c>
      <c r="I459" s="3153" t="str">
        <f ca="1">IFERROR(INDEX(Glue!$A:$AU,MATCH($C459,Glue!$AU:$AU,0),12),"")</f>
        <v/>
      </c>
      <c r="J459" s="3153" t="str">
        <f ca="1">IFERROR(INDEX(Glue!$A:$AU,MATCH($C459,Glue!$AU:$AU,0),12)*(1+Glue!$L$4),"")</f>
        <v/>
      </c>
    </row>
    <row r="460" spans="2:10" ht="21.75">
      <c r="B460" s="3143" t="s">
        <v>215</v>
      </c>
      <c r="C460" s="3143">
        <f t="shared" si="8"/>
        <v>73</v>
      </c>
      <c r="D460" s="3143" t="str">
        <f ca="1">IFERROR(INDEX(Glue!$A:$AU,MATCH($C460,Glue!$AU:$AU,0),1),"")</f>
        <v/>
      </c>
      <c r="E460" s="3143" t="str">
        <f ca="1">IFERROR(INDEX(Glue!$A:$AU,MATCH($C460,Glue!$AU:$AU,0),5),"")</f>
        <v/>
      </c>
      <c r="F460" s="3143" t="s">
        <v>3651</v>
      </c>
      <c r="G460" s="3599" t="str">
        <f ca="1">IFERROR(INDEX(Glue!$A:$AU,MATCH($C460,Glue!$AU:$AU,0),8)/'ACC &amp; Other Material '!$E$2*10^3,"")</f>
        <v/>
      </c>
      <c r="H460" s="3599" t="str">
        <f ca="1">IFERROR(INDEX(Glue!$A:$AU,MATCH($C460,Glue!$AU:$AU,0),9)/'ACC &amp; Other Material '!$E$2*10^3,"")</f>
        <v/>
      </c>
      <c r="I460" s="3153" t="str">
        <f ca="1">IFERROR(INDEX(Glue!$A:$AU,MATCH($C460,Glue!$AU:$AU,0),12),"")</f>
        <v/>
      </c>
      <c r="J460" s="3153" t="str">
        <f ca="1">IFERROR(INDEX(Glue!$A:$AU,MATCH($C460,Glue!$AU:$AU,0),12)*(1+Glue!$L$4),"")</f>
        <v/>
      </c>
    </row>
    <row r="461" spans="2:10" ht="21.75">
      <c r="B461" s="3143" t="s">
        <v>215</v>
      </c>
      <c r="C461" s="3143">
        <f t="shared" si="8"/>
        <v>74</v>
      </c>
      <c r="D461" s="3143" t="str">
        <f ca="1">IFERROR(INDEX(Glue!$A:$AU,MATCH($C461,Glue!$AU:$AU,0),1),"")</f>
        <v/>
      </c>
      <c r="E461" s="3143" t="str">
        <f ca="1">IFERROR(INDEX(Glue!$A:$AU,MATCH($C461,Glue!$AU:$AU,0),5),"")</f>
        <v/>
      </c>
      <c r="F461" s="3143" t="s">
        <v>3651</v>
      </c>
      <c r="G461" s="3599" t="str">
        <f ca="1">IFERROR(INDEX(Glue!$A:$AU,MATCH($C461,Glue!$AU:$AU,0),8)/'ACC &amp; Other Material '!$E$2*10^3,"")</f>
        <v/>
      </c>
      <c r="H461" s="3599" t="str">
        <f ca="1">IFERROR(INDEX(Glue!$A:$AU,MATCH($C461,Glue!$AU:$AU,0),9)/'ACC &amp; Other Material '!$E$2*10^3,"")</f>
        <v/>
      </c>
      <c r="I461" s="3153" t="str">
        <f ca="1">IFERROR(INDEX(Glue!$A:$AU,MATCH($C461,Glue!$AU:$AU,0),12),"")</f>
        <v/>
      </c>
      <c r="J461" s="3153" t="str">
        <f ca="1">IFERROR(INDEX(Glue!$A:$AU,MATCH($C461,Glue!$AU:$AU,0),12)*(1+Glue!$L$4),"")</f>
        <v/>
      </c>
    </row>
    <row r="462" spans="2:10" ht="21.75">
      <c r="B462" s="3143" t="s">
        <v>215</v>
      </c>
      <c r="C462" s="3143">
        <f t="shared" si="8"/>
        <v>75</v>
      </c>
      <c r="D462" s="3143" t="str">
        <f ca="1">IFERROR(INDEX(Glue!$A:$AU,MATCH($C462,Glue!$AU:$AU,0),1),"")</f>
        <v/>
      </c>
      <c r="E462" s="3143" t="str">
        <f ca="1">IFERROR(INDEX(Glue!$A:$AU,MATCH($C462,Glue!$AU:$AU,0),5),"")</f>
        <v/>
      </c>
      <c r="F462" s="3143" t="s">
        <v>3651</v>
      </c>
      <c r="G462" s="3599" t="str">
        <f ca="1">IFERROR(INDEX(Glue!$A:$AU,MATCH($C462,Glue!$AU:$AU,0),8)/'ACC &amp; Other Material '!$E$2*10^3,"")</f>
        <v/>
      </c>
      <c r="H462" s="3599" t="str">
        <f ca="1">IFERROR(INDEX(Glue!$A:$AU,MATCH($C462,Glue!$AU:$AU,0),9)/'ACC &amp; Other Material '!$E$2*10^3,"")</f>
        <v/>
      </c>
      <c r="I462" s="3153" t="str">
        <f ca="1">IFERROR(INDEX(Glue!$A:$AU,MATCH($C462,Glue!$AU:$AU,0),12),"")</f>
        <v/>
      </c>
      <c r="J462" s="3153" t="str">
        <f ca="1">IFERROR(INDEX(Glue!$A:$AU,MATCH($C462,Glue!$AU:$AU,0),12)*(1+Glue!$L$4),"")</f>
        <v/>
      </c>
    </row>
    <row r="463" spans="2:10" ht="21.75">
      <c r="B463" s="3143" t="s">
        <v>215</v>
      </c>
      <c r="C463" s="3143">
        <f t="shared" si="8"/>
        <v>76</v>
      </c>
      <c r="D463" s="3143" t="str">
        <f ca="1">IFERROR(INDEX(Glue!$A:$AU,MATCH($C463,Glue!$AU:$AU,0),1),"")</f>
        <v/>
      </c>
      <c r="E463" s="3143" t="str">
        <f ca="1">IFERROR(INDEX(Glue!$A:$AU,MATCH($C463,Glue!$AU:$AU,0),5),"")</f>
        <v/>
      </c>
      <c r="F463" s="3143" t="s">
        <v>3651</v>
      </c>
      <c r="G463" s="3599" t="str">
        <f ca="1">IFERROR(INDEX(Glue!$A:$AU,MATCH($C463,Glue!$AU:$AU,0),8)/'ACC &amp; Other Material '!$E$2*10^3,"")</f>
        <v/>
      </c>
      <c r="H463" s="3599" t="str">
        <f ca="1">IFERROR(INDEX(Glue!$A:$AU,MATCH($C463,Glue!$AU:$AU,0),9)/'ACC &amp; Other Material '!$E$2*10^3,"")</f>
        <v/>
      </c>
      <c r="I463" s="3153" t="str">
        <f ca="1">IFERROR(INDEX(Glue!$A:$AU,MATCH($C463,Glue!$AU:$AU,0),12),"")</f>
        <v/>
      </c>
      <c r="J463" s="3153" t="str">
        <f ca="1">IFERROR(INDEX(Glue!$A:$AU,MATCH($C463,Glue!$AU:$AU,0),12)*(1+Glue!$L$4),"")</f>
        <v/>
      </c>
    </row>
    <row r="464" spans="2:10" ht="21.75">
      <c r="B464" s="3143" t="s">
        <v>215</v>
      </c>
      <c r="C464" s="3143">
        <f t="shared" si="8"/>
        <v>77</v>
      </c>
      <c r="D464" s="3143" t="str">
        <f ca="1">IFERROR(INDEX(Glue!$A:$AU,MATCH($C464,Glue!$AU:$AU,0),1),"")</f>
        <v/>
      </c>
      <c r="E464" s="3143" t="str">
        <f ca="1">IFERROR(INDEX(Glue!$A:$AU,MATCH($C464,Glue!$AU:$AU,0),5),"")</f>
        <v/>
      </c>
      <c r="F464" s="3143" t="s">
        <v>3651</v>
      </c>
      <c r="G464" s="3599" t="str">
        <f ca="1">IFERROR(INDEX(Glue!$A:$AU,MATCH($C464,Glue!$AU:$AU,0),8)/'ACC &amp; Other Material '!$E$2*10^3,"")</f>
        <v/>
      </c>
      <c r="H464" s="3599" t="str">
        <f ca="1">IFERROR(INDEX(Glue!$A:$AU,MATCH($C464,Glue!$AU:$AU,0),9)/'ACC &amp; Other Material '!$E$2*10^3,"")</f>
        <v/>
      </c>
      <c r="I464" s="3153" t="str">
        <f ca="1">IFERROR(INDEX(Glue!$A:$AU,MATCH($C464,Glue!$AU:$AU,0),12),"")</f>
        <v/>
      </c>
      <c r="J464" s="3153" t="str">
        <f ca="1">IFERROR(INDEX(Glue!$A:$AU,MATCH($C464,Glue!$AU:$AU,0),12)*(1+Glue!$L$4),"")</f>
        <v/>
      </c>
    </row>
    <row r="465" spans="2:10" ht="21.75">
      <c r="B465" s="3143" t="s">
        <v>215</v>
      </c>
      <c r="C465" s="3143">
        <f t="shared" si="8"/>
        <v>78</v>
      </c>
      <c r="D465" s="3143" t="str">
        <f ca="1">IFERROR(INDEX(Glue!$A:$AU,MATCH($C465,Glue!$AU:$AU,0),1),"")</f>
        <v/>
      </c>
      <c r="E465" s="3143" t="str">
        <f ca="1">IFERROR(INDEX(Glue!$A:$AU,MATCH($C465,Glue!$AU:$AU,0),5),"")</f>
        <v/>
      </c>
      <c r="F465" s="3143" t="s">
        <v>3651</v>
      </c>
      <c r="G465" s="3599" t="str">
        <f ca="1">IFERROR(INDEX(Glue!$A:$AU,MATCH($C465,Glue!$AU:$AU,0),8)/'ACC &amp; Other Material '!$E$2*10^3,"")</f>
        <v/>
      </c>
      <c r="H465" s="3599" t="str">
        <f ca="1">IFERROR(INDEX(Glue!$A:$AU,MATCH($C465,Glue!$AU:$AU,0),9)/'ACC &amp; Other Material '!$E$2*10^3,"")</f>
        <v/>
      </c>
      <c r="I465" s="3153" t="str">
        <f ca="1">IFERROR(INDEX(Glue!$A:$AU,MATCH($C465,Glue!$AU:$AU,0),12),"")</f>
        <v/>
      </c>
      <c r="J465" s="3153" t="str">
        <f ca="1">IFERROR(INDEX(Glue!$A:$AU,MATCH($C465,Glue!$AU:$AU,0),12)*(1+Glue!$L$4),"")</f>
        <v/>
      </c>
    </row>
    <row r="466" spans="2:10" ht="21.75">
      <c r="B466" s="3143" t="s">
        <v>215</v>
      </c>
      <c r="C466" s="3143">
        <f t="shared" si="8"/>
        <v>79</v>
      </c>
      <c r="D466" s="3143" t="str">
        <f ca="1">IFERROR(INDEX(Glue!$A:$AU,MATCH($C466,Glue!$AU:$AU,0),1),"")</f>
        <v/>
      </c>
      <c r="E466" s="3143" t="str">
        <f ca="1">IFERROR(INDEX(Glue!$A:$AU,MATCH($C466,Glue!$AU:$AU,0),5),"")</f>
        <v/>
      </c>
      <c r="F466" s="3143" t="s">
        <v>3651</v>
      </c>
      <c r="G466" s="3599" t="str">
        <f ca="1">IFERROR(INDEX(Glue!$A:$AU,MATCH($C466,Glue!$AU:$AU,0),8)/'ACC &amp; Other Material '!$E$2*10^3,"")</f>
        <v/>
      </c>
      <c r="H466" s="3599" t="str">
        <f ca="1">IFERROR(INDEX(Glue!$A:$AU,MATCH($C466,Glue!$AU:$AU,0),9)/'ACC &amp; Other Material '!$E$2*10^3,"")</f>
        <v/>
      </c>
      <c r="I466" s="3153" t="str">
        <f ca="1">IFERROR(INDEX(Glue!$A:$AU,MATCH($C466,Glue!$AU:$AU,0),12),"")</f>
        <v/>
      </c>
      <c r="J466" s="3153" t="str">
        <f ca="1">IFERROR(INDEX(Glue!$A:$AU,MATCH($C466,Glue!$AU:$AU,0),12)*(1+Glue!$L$4),"")</f>
        <v/>
      </c>
    </row>
    <row r="467" spans="2:10" ht="21.75">
      <c r="B467" s="3143" t="s">
        <v>215</v>
      </c>
      <c r="C467" s="3143">
        <f t="shared" si="8"/>
        <v>80</v>
      </c>
      <c r="D467" s="3143" t="str">
        <f ca="1">IFERROR(INDEX(Glue!$A:$AU,MATCH($C467,Glue!$AU:$AU,0),1),"")</f>
        <v/>
      </c>
      <c r="E467" s="3143" t="str">
        <f ca="1">IFERROR(INDEX(Glue!$A:$AU,MATCH($C467,Glue!$AU:$AU,0),5),"")</f>
        <v/>
      </c>
      <c r="F467" s="3143" t="s">
        <v>3651</v>
      </c>
      <c r="G467" s="3599" t="str">
        <f ca="1">IFERROR(INDEX(Glue!$A:$AU,MATCH($C467,Glue!$AU:$AU,0),8)/'ACC &amp; Other Material '!$E$2*10^3,"")</f>
        <v/>
      </c>
      <c r="H467" s="3599" t="str">
        <f ca="1">IFERROR(INDEX(Glue!$A:$AU,MATCH($C467,Glue!$AU:$AU,0),9)/'ACC &amp; Other Material '!$E$2*10^3,"")</f>
        <v/>
      </c>
      <c r="I467" s="3153" t="str">
        <f ca="1">IFERROR(INDEX(Glue!$A:$AU,MATCH($C467,Glue!$AU:$AU,0),12),"")</f>
        <v/>
      </c>
      <c r="J467" s="3153" t="str">
        <f ca="1">IFERROR(INDEX(Glue!$A:$AU,MATCH($C467,Glue!$AU:$AU,0),12)*(1+Glue!$L$4),"")</f>
        <v/>
      </c>
    </row>
    <row r="468" spans="2:10" ht="21.75">
      <c r="B468" s="3143" t="s">
        <v>215</v>
      </c>
      <c r="C468" s="3143">
        <f t="shared" si="8"/>
        <v>81</v>
      </c>
      <c r="D468" s="3143" t="str">
        <f ca="1">IFERROR(INDEX(Glue!$A:$AU,MATCH($C468,Glue!$AU:$AU,0),1),"")</f>
        <v/>
      </c>
      <c r="E468" s="3143" t="str">
        <f ca="1">IFERROR(INDEX(Glue!$A:$AU,MATCH($C468,Glue!$AU:$AU,0),5),"")</f>
        <v/>
      </c>
      <c r="F468" s="3143" t="s">
        <v>3651</v>
      </c>
      <c r="G468" s="3599" t="str">
        <f ca="1">IFERROR(INDEX(Glue!$A:$AU,MATCH($C468,Glue!$AU:$AU,0),8)/'ACC &amp; Other Material '!$E$2*10^3,"")</f>
        <v/>
      </c>
      <c r="H468" s="3599" t="str">
        <f ca="1">IFERROR(INDEX(Glue!$A:$AU,MATCH($C468,Glue!$AU:$AU,0),9)/'ACC &amp; Other Material '!$E$2*10^3,"")</f>
        <v/>
      </c>
      <c r="I468" s="3153" t="str">
        <f ca="1">IFERROR(INDEX(Glue!$A:$AU,MATCH($C468,Glue!$AU:$AU,0),12),"")</f>
        <v/>
      </c>
      <c r="J468" s="3153" t="str">
        <f ca="1">IFERROR(INDEX(Glue!$A:$AU,MATCH($C468,Glue!$AU:$AU,0),12)*(1+Glue!$L$4),"")</f>
        <v/>
      </c>
    </row>
    <row r="469" spans="2:10" ht="21.75">
      <c r="B469" s="3143" t="s">
        <v>215</v>
      </c>
      <c r="C469" s="3143">
        <f t="shared" si="8"/>
        <v>82</v>
      </c>
      <c r="D469" s="3143" t="str">
        <f ca="1">IFERROR(INDEX(Glue!$A:$AU,MATCH($C469,Glue!$AU:$AU,0),1),"")</f>
        <v/>
      </c>
      <c r="E469" s="3143" t="str">
        <f ca="1">IFERROR(INDEX(Glue!$A:$AU,MATCH($C469,Glue!$AU:$AU,0),5),"")</f>
        <v/>
      </c>
      <c r="F469" s="3143" t="s">
        <v>3651</v>
      </c>
      <c r="G469" s="3599" t="str">
        <f ca="1">IFERROR(INDEX(Glue!$A:$AU,MATCH($C469,Glue!$AU:$AU,0),8)/'ACC &amp; Other Material '!$E$2*10^3,"")</f>
        <v/>
      </c>
      <c r="H469" s="3599" t="str">
        <f ca="1">IFERROR(INDEX(Glue!$A:$AU,MATCH($C469,Glue!$AU:$AU,0),9)/'ACC &amp; Other Material '!$E$2*10^3,"")</f>
        <v/>
      </c>
      <c r="I469" s="3153" t="str">
        <f ca="1">IFERROR(INDEX(Glue!$A:$AU,MATCH($C469,Glue!$AU:$AU,0),12),"")</f>
        <v/>
      </c>
      <c r="J469" s="3153" t="str">
        <f ca="1">IFERROR(INDEX(Glue!$A:$AU,MATCH($C469,Glue!$AU:$AU,0),12)*(1+Glue!$L$4),"")</f>
        <v/>
      </c>
    </row>
    <row r="470" spans="2:10" ht="21.75">
      <c r="B470" s="3143" t="s">
        <v>215</v>
      </c>
      <c r="C470" s="3143">
        <f t="shared" si="8"/>
        <v>83</v>
      </c>
      <c r="D470" s="3143" t="str">
        <f ca="1">IFERROR(INDEX(Glue!$A:$AU,MATCH($C470,Glue!$AU:$AU,0),1),"")</f>
        <v/>
      </c>
      <c r="E470" s="3143" t="str">
        <f ca="1">IFERROR(INDEX(Glue!$A:$AU,MATCH($C470,Glue!$AU:$AU,0),5),"")</f>
        <v/>
      </c>
      <c r="F470" s="3143" t="s">
        <v>3651</v>
      </c>
      <c r="G470" s="3599" t="str">
        <f ca="1">IFERROR(INDEX(Glue!$A:$AU,MATCH($C470,Glue!$AU:$AU,0),8)/'ACC &amp; Other Material '!$E$2*10^3,"")</f>
        <v/>
      </c>
      <c r="H470" s="3599" t="str">
        <f ca="1">IFERROR(INDEX(Glue!$A:$AU,MATCH($C470,Glue!$AU:$AU,0),9)/'ACC &amp; Other Material '!$E$2*10^3,"")</f>
        <v/>
      </c>
      <c r="I470" s="3153" t="str">
        <f ca="1">IFERROR(INDEX(Glue!$A:$AU,MATCH($C470,Glue!$AU:$AU,0),12),"")</f>
        <v/>
      </c>
      <c r="J470" s="3153" t="str">
        <f ca="1">IFERROR(INDEX(Glue!$A:$AU,MATCH($C470,Glue!$AU:$AU,0),12)*(1+Glue!$L$4),"")</f>
        <v/>
      </c>
    </row>
    <row r="471" spans="2:10" ht="21.75">
      <c r="B471" s="3143" t="s">
        <v>215</v>
      </c>
      <c r="C471" s="3143">
        <f t="shared" si="8"/>
        <v>84</v>
      </c>
      <c r="D471" s="3143" t="str">
        <f ca="1">IFERROR(INDEX(Glue!$A:$AU,MATCH($C471,Glue!$AU:$AU,0),1),"")</f>
        <v/>
      </c>
      <c r="E471" s="3143" t="str">
        <f ca="1">IFERROR(INDEX(Glue!$A:$AU,MATCH($C471,Glue!$AU:$AU,0),5),"")</f>
        <v/>
      </c>
      <c r="F471" s="3143" t="s">
        <v>3651</v>
      </c>
      <c r="G471" s="3599" t="str">
        <f ca="1">IFERROR(INDEX(Glue!$A:$AU,MATCH($C471,Glue!$AU:$AU,0),8)/'ACC &amp; Other Material '!$E$2*10^3,"")</f>
        <v/>
      </c>
      <c r="H471" s="3599" t="str">
        <f ca="1">IFERROR(INDEX(Glue!$A:$AU,MATCH($C471,Glue!$AU:$AU,0),9)/'ACC &amp; Other Material '!$E$2*10^3,"")</f>
        <v/>
      </c>
      <c r="I471" s="3153" t="str">
        <f ca="1">IFERROR(INDEX(Glue!$A:$AU,MATCH($C471,Glue!$AU:$AU,0),12),"")</f>
        <v/>
      </c>
      <c r="J471" s="3153" t="str">
        <f ca="1">IFERROR(INDEX(Glue!$A:$AU,MATCH($C471,Glue!$AU:$AU,0),12)*(1+Glue!$L$4),"")</f>
        <v/>
      </c>
    </row>
    <row r="472" spans="2:10" ht="21.75">
      <c r="B472" s="3143" t="s">
        <v>215</v>
      </c>
      <c r="C472" s="3143">
        <f t="shared" si="8"/>
        <v>85</v>
      </c>
      <c r="D472" s="3143" t="str">
        <f ca="1">IFERROR(INDEX(Glue!$A:$AU,MATCH($C472,Glue!$AU:$AU,0),1),"")</f>
        <v/>
      </c>
      <c r="E472" s="3143" t="str">
        <f ca="1">IFERROR(INDEX(Glue!$A:$AU,MATCH($C472,Glue!$AU:$AU,0),5),"")</f>
        <v/>
      </c>
      <c r="F472" s="3143" t="s">
        <v>3651</v>
      </c>
      <c r="G472" s="3599" t="str">
        <f ca="1">IFERROR(INDEX(Glue!$A:$AU,MATCH($C472,Glue!$AU:$AU,0),8)/'ACC &amp; Other Material '!$E$2*10^3,"")</f>
        <v/>
      </c>
      <c r="H472" s="3599" t="str">
        <f ca="1">IFERROR(INDEX(Glue!$A:$AU,MATCH($C472,Glue!$AU:$AU,0),9)/'ACC &amp; Other Material '!$E$2*10^3,"")</f>
        <v/>
      </c>
      <c r="I472" s="3153" t="str">
        <f ca="1">IFERROR(INDEX(Glue!$A:$AU,MATCH($C472,Glue!$AU:$AU,0),12),"")</f>
        <v/>
      </c>
      <c r="J472" s="3153" t="str">
        <f ca="1">IFERROR(INDEX(Glue!$A:$AU,MATCH($C472,Glue!$AU:$AU,0),12)*(1+Glue!$L$4),"")</f>
        <v/>
      </c>
    </row>
    <row r="473" spans="2:10" ht="21.75">
      <c r="B473" s="3143" t="s">
        <v>215</v>
      </c>
      <c r="C473" s="3143">
        <f t="shared" si="8"/>
        <v>86</v>
      </c>
      <c r="D473" s="3143" t="str">
        <f ca="1">IFERROR(INDEX(Glue!$A:$AU,MATCH($C473,Glue!$AU:$AU,0),1),"")</f>
        <v/>
      </c>
      <c r="E473" s="3143" t="str">
        <f ca="1">IFERROR(INDEX(Glue!$A:$AU,MATCH($C473,Glue!$AU:$AU,0),5),"")</f>
        <v/>
      </c>
      <c r="F473" s="3143" t="s">
        <v>3651</v>
      </c>
      <c r="G473" s="3599" t="str">
        <f ca="1">IFERROR(INDEX(Glue!$A:$AU,MATCH($C473,Glue!$AU:$AU,0),8)/'ACC &amp; Other Material '!$E$2*10^3,"")</f>
        <v/>
      </c>
      <c r="H473" s="3599" t="str">
        <f ca="1">IFERROR(INDEX(Glue!$A:$AU,MATCH($C473,Glue!$AU:$AU,0),9)/'ACC &amp; Other Material '!$E$2*10^3,"")</f>
        <v/>
      </c>
      <c r="I473" s="3153" t="str">
        <f ca="1">IFERROR(INDEX(Glue!$A:$AU,MATCH($C473,Glue!$AU:$AU,0),12),"")</f>
        <v/>
      </c>
      <c r="J473" s="3153" t="str">
        <f ca="1">IFERROR(INDEX(Glue!$A:$AU,MATCH($C473,Glue!$AU:$AU,0),12)*(1+Glue!$L$4),"")</f>
        <v/>
      </c>
    </row>
    <row r="474" spans="2:10" ht="21.75">
      <c r="B474" s="3143" t="s">
        <v>215</v>
      </c>
      <c r="C474" s="3143">
        <f t="shared" si="8"/>
        <v>87</v>
      </c>
      <c r="D474" s="3143" t="str">
        <f ca="1">IFERROR(INDEX(Glue!$A:$AU,MATCH($C474,Glue!$AU:$AU,0),1),"")</f>
        <v/>
      </c>
      <c r="E474" s="3143" t="str">
        <f ca="1">IFERROR(INDEX(Glue!$A:$AU,MATCH($C474,Glue!$AU:$AU,0),5),"")</f>
        <v/>
      </c>
      <c r="F474" s="3143" t="s">
        <v>3651</v>
      </c>
      <c r="G474" s="3599" t="str">
        <f ca="1">IFERROR(INDEX(Glue!$A:$AU,MATCH($C474,Glue!$AU:$AU,0),8)/'ACC &amp; Other Material '!$E$2*10^3,"")</f>
        <v/>
      </c>
      <c r="H474" s="3599" t="str">
        <f ca="1">IFERROR(INDEX(Glue!$A:$AU,MATCH($C474,Glue!$AU:$AU,0),9)/'ACC &amp; Other Material '!$E$2*10^3,"")</f>
        <v/>
      </c>
      <c r="I474" s="3153" t="str">
        <f ca="1">IFERROR(INDEX(Glue!$A:$AU,MATCH($C474,Glue!$AU:$AU,0),12),"")</f>
        <v/>
      </c>
      <c r="J474" s="3153" t="str">
        <f ca="1">IFERROR(INDEX(Glue!$A:$AU,MATCH($C474,Glue!$AU:$AU,0),12)*(1+Glue!$L$4),"")</f>
        <v/>
      </c>
    </row>
    <row r="475" spans="2:10" ht="21.75">
      <c r="B475" s="3143" t="s">
        <v>215</v>
      </c>
      <c r="C475" s="3143">
        <f t="shared" si="8"/>
        <v>88</v>
      </c>
      <c r="D475" s="3143" t="str">
        <f ca="1">IFERROR(INDEX(Glue!$A:$AU,MATCH($C475,Glue!$AU:$AU,0),1),"")</f>
        <v/>
      </c>
      <c r="E475" s="3143" t="str">
        <f ca="1">IFERROR(INDEX(Glue!$A:$AU,MATCH($C475,Glue!$AU:$AU,0),5),"")</f>
        <v/>
      </c>
      <c r="F475" s="3143" t="s">
        <v>3651</v>
      </c>
      <c r="G475" s="3599" t="str">
        <f ca="1">IFERROR(INDEX(Glue!$A:$AU,MATCH($C475,Glue!$AU:$AU,0),8)/'ACC &amp; Other Material '!$E$2*10^3,"")</f>
        <v/>
      </c>
      <c r="H475" s="3599" t="str">
        <f ca="1">IFERROR(INDEX(Glue!$A:$AU,MATCH($C475,Glue!$AU:$AU,0),9)/'ACC &amp; Other Material '!$E$2*10^3,"")</f>
        <v/>
      </c>
      <c r="I475" s="3153" t="str">
        <f ca="1">IFERROR(INDEX(Glue!$A:$AU,MATCH($C475,Glue!$AU:$AU,0),12),"")</f>
        <v/>
      </c>
      <c r="J475" s="3153" t="str">
        <f ca="1">IFERROR(INDEX(Glue!$A:$AU,MATCH($C475,Glue!$AU:$AU,0),12)*(1+Glue!$L$4),"")</f>
        <v/>
      </c>
    </row>
    <row r="476" spans="2:10" ht="21.75">
      <c r="B476" s="3143" t="s">
        <v>215</v>
      </c>
      <c r="C476" s="3143">
        <f t="shared" si="8"/>
        <v>89</v>
      </c>
      <c r="D476" s="3143" t="str">
        <f ca="1">IFERROR(INDEX(Glue!$A:$AU,MATCH($C476,Glue!$AU:$AU,0),1),"")</f>
        <v/>
      </c>
      <c r="E476" s="3143" t="str">
        <f ca="1">IFERROR(INDEX(Glue!$A:$AU,MATCH($C476,Glue!$AU:$AU,0),5),"")</f>
        <v/>
      </c>
      <c r="F476" s="3143" t="s">
        <v>3651</v>
      </c>
      <c r="G476" s="3599" t="str">
        <f ca="1">IFERROR(INDEX(Glue!$A:$AU,MATCH($C476,Glue!$AU:$AU,0),8)/'ACC &amp; Other Material '!$E$2*10^3,"")</f>
        <v/>
      </c>
      <c r="H476" s="3599" t="str">
        <f ca="1">IFERROR(INDEX(Glue!$A:$AU,MATCH($C476,Glue!$AU:$AU,0),9)/'ACC &amp; Other Material '!$E$2*10^3,"")</f>
        <v/>
      </c>
      <c r="I476" s="3153" t="str">
        <f ca="1">IFERROR(INDEX(Glue!$A:$AU,MATCH($C476,Glue!$AU:$AU,0),12),"")</f>
        <v/>
      </c>
      <c r="J476" s="3153" t="str">
        <f ca="1">IFERROR(INDEX(Glue!$A:$AU,MATCH($C476,Glue!$AU:$AU,0),12)*(1+Glue!$L$4),"")</f>
        <v/>
      </c>
    </row>
    <row r="477" spans="2:10" ht="21.75">
      <c r="B477" s="3143" t="s">
        <v>215</v>
      </c>
      <c r="C477" s="3143">
        <f t="shared" si="8"/>
        <v>90</v>
      </c>
      <c r="D477" s="3143" t="str">
        <f ca="1">IFERROR(INDEX(Glue!$A:$AU,MATCH($C477,Glue!$AU:$AU,0),1),"")</f>
        <v/>
      </c>
      <c r="E477" s="3143" t="str">
        <f ca="1">IFERROR(INDEX(Glue!$A:$AU,MATCH($C477,Glue!$AU:$AU,0),5),"")</f>
        <v/>
      </c>
      <c r="F477" s="3143" t="s">
        <v>3651</v>
      </c>
      <c r="G477" s="3599" t="str">
        <f ca="1">IFERROR(INDEX(Glue!$A:$AU,MATCH($C477,Glue!$AU:$AU,0),8)/'ACC &amp; Other Material '!$E$2*10^3,"")</f>
        <v/>
      </c>
      <c r="H477" s="3599" t="str">
        <f ca="1">IFERROR(INDEX(Glue!$A:$AU,MATCH($C477,Glue!$AU:$AU,0),9)/'ACC &amp; Other Material '!$E$2*10^3,"")</f>
        <v/>
      </c>
      <c r="I477" s="3153" t="str">
        <f ca="1">IFERROR(INDEX(Glue!$A:$AU,MATCH($C477,Glue!$AU:$AU,0),12),"")</f>
        <v/>
      </c>
      <c r="J477" s="3153" t="str">
        <f ca="1">IFERROR(INDEX(Glue!$A:$AU,MATCH($C477,Glue!$AU:$AU,0),12)*(1+Glue!$L$4),"")</f>
        <v/>
      </c>
    </row>
    <row r="478" spans="2:10" ht="21.75">
      <c r="B478" s="3143" t="s">
        <v>215</v>
      </c>
      <c r="C478" s="3143">
        <f t="shared" si="8"/>
        <v>91</v>
      </c>
      <c r="D478" s="3143" t="str">
        <f ca="1">IFERROR(INDEX(Glue!$A:$AU,MATCH($C478,Glue!$AU:$AU,0),1),"")</f>
        <v/>
      </c>
      <c r="E478" s="3143" t="str">
        <f ca="1">IFERROR(INDEX(Glue!$A:$AU,MATCH($C478,Glue!$AU:$AU,0),5),"")</f>
        <v/>
      </c>
      <c r="F478" s="3143" t="s">
        <v>3651</v>
      </c>
      <c r="G478" s="3599" t="str">
        <f ca="1">IFERROR(INDEX(Glue!$A:$AU,MATCH($C478,Glue!$AU:$AU,0),8)/'ACC &amp; Other Material '!$E$2*10^3,"")</f>
        <v/>
      </c>
      <c r="H478" s="3599" t="str">
        <f ca="1">IFERROR(INDEX(Glue!$A:$AU,MATCH($C478,Glue!$AU:$AU,0),9)/'ACC &amp; Other Material '!$E$2*10^3,"")</f>
        <v/>
      </c>
      <c r="I478" s="3153" t="str">
        <f ca="1">IFERROR(INDEX(Glue!$A:$AU,MATCH($C478,Glue!$AU:$AU,0),12),"")</f>
        <v/>
      </c>
      <c r="J478" s="3153" t="str">
        <f ca="1">IFERROR(INDEX(Glue!$A:$AU,MATCH($C478,Glue!$AU:$AU,0),12)*(1+Glue!$L$4),"")</f>
        <v/>
      </c>
    </row>
    <row r="479" spans="2:10" ht="21.75">
      <c r="B479" s="3143" t="s">
        <v>215</v>
      </c>
      <c r="C479" s="3143">
        <f t="shared" si="8"/>
        <v>92</v>
      </c>
      <c r="D479" s="3143" t="str">
        <f ca="1">IFERROR(INDEX(Glue!$A:$AU,MATCH($C479,Glue!$AU:$AU,0),1),"")</f>
        <v/>
      </c>
      <c r="E479" s="3143" t="str">
        <f ca="1">IFERROR(INDEX(Glue!$A:$AU,MATCH($C479,Glue!$AU:$AU,0),5),"")</f>
        <v/>
      </c>
      <c r="F479" s="3143" t="s">
        <v>3651</v>
      </c>
      <c r="G479" s="3599" t="str">
        <f ca="1">IFERROR(INDEX(Glue!$A:$AU,MATCH($C479,Glue!$AU:$AU,0),8)/'ACC &amp; Other Material '!$E$2*10^3,"")</f>
        <v/>
      </c>
      <c r="H479" s="3599" t="str">
        <f ca="1">IFERROR(INDEX(Glue!$A:$AU,MATCH($C479,Glue!$AU:$AU,0),9)/'ACC &amp; Other Material '!$E$2*10^3,"")</f>
        <v/>
      </c>
      <c r="I479" s="3153" t="str">
        <f ca="1">IFERROR(INDEX(Glue!$A:$AU,MATCH($C479,Glue!$AU:$AU,0),12),"")</f>
        <v/>
      </c>
      <c r="J479" s="3153" t="str">
        <f ca="1">IFERROR(INDEX(Glue!$A:$AU,MATCH($C479,Glue!$AU:$AU,0),12)*(1+Glue!$L$4),"")</f>
        <v/>
      </c>
    </row>
    <row r="480" spans="2:10" ht="21.75">
      <c r="B480" s="3143" t="s">
        <v>215</v>
      </c>
      <c r="C480" s="3143">
        <f t="shared" si="8"/>
        <v>93</v>
      </c>
      <c r="D480" s="3143" t="str">
        <f ca="1">IFERROR(INDEX(Glue!$A:$AU,MATCH($C480,Glue!$AU:$AU,0),1),"")</f>
        <v/>
      </c>
      <c r="E480" s="3143" t="str">
        <f ca="1">IFERROR(INDEX(Glue!$A:$AU,MATCH($C480,Glue!$AU:$AU,0),5),"")</f>
        <v/>
      </c>
      <c r="F480" s="3143" t="s">
        <v>3651</v>
      </c>
      <c r="G480" s="3599" t="str">
        <f ca="1">IFERROR(INDEX(Glue!$A:$AU,MATCH($C480,Glue!$AU:$AU,0),8)/'ACC &amp; Other Material '!$E$2*10^3,"")</f>
        <v/>
      </c>
      <c r="H480" s="3599" t="str">
        <f ca="1">IFERROR(INDEX(Glue!$A:$AU,MATCH($C480,Glue!$AU:$AU,0),9)/'ACC &amp; Other Material '!$E$2*10^3,"")</f>
        <v/>
      </c>
      <c r="I480" s="3153" t="str">
        <f ca="1">IFERROR(INDEX(Glue!$A:$AU,MATCH($C480,Glue!$AU:$AU,0),12),"")</f>
        <v/>
      </c>
      <c r="J480" s="3153" t="str">
        <f ca="1">IFERROR(INDEX(Glue!$A:$AU,MATCH($C480,Glue!$AU:$AU,0),12)*(1+Glue!$L$4),"")</f>
        <v/>
      </c>
    </row>
    <row r="481" spans="2:10" ht="21.75">
      <c r="B481" s="3143" t="s">
        <v>215</v>
      </c>
      <c r="C481" s="3143">
        <f t="shared" si="8"/>
        <v>94</v>
      </c>
      <c r="D481" s="3143" t="str">
        <f ca="1">IFERROR(INDEX(Glue!$A:$AU,MATCH($C481,Glue!$AU:$AU,0),1),"")</f>
        <v/>
      </c>
      <c r="E481" s="3143" t="str">
        <f ca="1">IFERROR(INDEX(Glue!$A:$AU,MATCH($C481,Glue!$AU:$AU,0),5),"")</f>
        <v/>
      </c>
      <c r="F481" s="3143" t="s">
        <v>3651</v>
      </c>
      <c r="G481" s="3599" t="str">
        <f ca="1">IFERROR(INDEX(Glue!$A:$AU,MATCH($C481,Glue!$AU:$AU,0),8)/'ACC &amp; Other Material '!$E$2*10^3,"")</f>
        <v/>
      </c>
      <c r="H481" s="3599" t="str">
        <f ca="1">IFERROR(INDEX(Glue!$A:$AU,MATCH($C481,Glue!$AU:$AU,0),9)/'ACC &amp; Other Material '!$E$2*10^3,"")</f>
        <v/>
      </c>
      <c r="I481" s="3153" t="str">
        <f ca="1">IFERROR(INDEX(Glue!$A:$AU,MATCH($C481,Glue!$AU:$AU,0),12),"")</f>
        <v/>
      </c>
      <c r="J481" s="3153" t="str">
        <f ca="1">IFERROR(INDEX(Glue!$A:$AU,MATCH($C481,Glue!$AU:$AU,0),12)*(1+Glue!$L$4),"")</f>
        <v/>
      </c>
    </row>
    <row r="482" spans="2:10" ht="21.75">
      <c r="B482" s="3143" t="s">
        <v>215</v>
      </c>
      <c r="C482" s="3143">
        <f t="shared" si="8"/>
        <v>95</v>
      </c>
      <c r="D482" s="3143" t="str">
        <f ca="1">IFERROR(INDEX(Glue!$A:$AU,MATCH($C482,Glue!$AU:$AU,0),1),"")</f>
        <v/>
      </c>
      <c r="E482" s="3143" t="str">
        <f ca="1">IFERROR(INDEX(Glue!$A:$AU,MATCH($C482,Glue!$AU:$AU,0),5),"")</f>
        <v/>
      </c>
      <c r="F482" s="3143" t="s">
        <v>3651</v>
      </c>
      <c r="G482" s="3599" t="str">
        <f ca="1">IFERROR(INDEX(Glue!$A:$AU,MATCH($C482,Glue!$AU:$AU,0),8)/'ACC &amp; Other Material '!$E$2*10^3,"")</f>
        <v/>
      </c>
      <c r="H482" s="3599" t="str">
        <f ca="1">IFERROR(INDEX(Glue!$A:$AU,MATCH($C482,Glue!$AU:$AU,0),9)/'ACC &amp; Other Material '!$E$2*10^3,"")</f>
        <v/>
      </c>
      <c r="I482" s="3153" t="str">
        <f ca="1">IFERROR(INDEX(Glue!$A:$AU,MATCH($C482,Glue!$AU:$AU,0),12),"")</f>
        <v/>
      </c>
      <c r="J482" s="3153" t="str">
        <f ca="1">IFERROR(INDEX(Glue!$A:$AU,MATCH($C482,Glue!$AU:$AU,0),12)*(1+Glue!$L$4),"")</f>
        <v/>
      </c>
    </row>
    <row r="483" spans="2:10" ht="21.75">
      <c r="B483" s="3143" t="s">
        <v>215</v>
      </c>
      <c r="C483" s="3143">
        <f t="shared" si="8"/>
        <v>96</v>
      </c>
      <c r="D483" s="3143" t="str">
        <f ca="1">IFERROR(INDEX(Glue!$A:$AU,MATCH($C483,Glue!$AU:$AU,0),1),"")</f>
        <v/>
      </c>
      <c r="E483" s="3143" t="str">
        <f ca="1">IFERROR(INDEX(Glue!$A:$AU,MATCH($C483,Glue!$AU:$AU,0),5),"")</f>
        <v/>
      </c>
      <c r="F483" s="3143" t="s">
        <v>3651</v>
      </c>
      <c r="G483" s="3599" t="str">
        <f ca="1">IFERROR(INDEX(Glue!$A:$AU,MATCH($C483,Glue!$AU:$AU,0),8)/'ACC &amp; Other Material '!$E$2*10^3,"")</f>
        <v/>
      </c>
      <c r="H483" s="3599" t="str">
        <f ca="1">IFERROR(INDEX(Glue!$A:$AU,MATCH($C483,Glue!$AU:$AU,0),9)/'ACC &amp; Other Material '!$E$2*10^3,"")</f>
        <v/>
      </c>
      <c r="I483" s="3153" t="str">
        <f ca="1">IFERROR(INDEX(Glue!$A:$AU,MATCH($C483,Glue!$AU:$AU,0),12),"")</f>
        <v/>
      </c>
      <c r="J483" s="3153" t="str">
        <f ca="1">IFERROR(INDEX(Glue!$A:$AU,MATCH($C483,Glue!$AU:$AU,0),12)*(1+Glue!$L$4),"")</f>
        <v/>
      </c>
    </row>
    <row r="484" spans="2:10" ht="21.75">
      <c r="B484" s="3143" t="s">
        <v>215</v>
      </c>
      <c r="C484" s="3143">
        <f t="shared" si="8"/>
        <v>97</v>
      </c>
      <c r="D484" s="3143" t="str">
        <f ca="1">IFERROR(INDEX(Glue!$A:$AU,MATCH($C484,Glue!$AU:$AU,0),1),"")</f>
        <v/>
      </c>
      <c r="E484" s="3143" t="str">
        <f ca="1">IFERROR(INDEX(Glue!$A:$AU,MATCH($C484,Glue!$AU:$AU,0),5),"")</f>
        <v/>
      </c>
      <c r="F484" s="3143" t="s">
        <v>3651</v>
      </c>
      <c r="G484" s="3599" t="str">
        <f ca="1">IFERROR(INDEX(Glue!$A:$AU,MATCH($C484,Glue!$AU:$AU,0),8)/'ACC &amp; Other Material '!$E$2*10^3,"")</f>
        <v/>
      </c>
      <c r="H484" s="3599" t="str">
        <f ca="1">IFERROR(INDEX(Glue!$A:$AU,MATCH($C484,Glue!$AU:$AU,0),9)/'ACC &amp; Other Material '!$E$2*10^3,"")</f>
        <v/>
      </c>
      <c r="I484" s="3153" t="str">
        <f ca="1">IFERROR(INDEX(Glue!$A:$AU,MATCH($C484,Glue!$AU:$AU,0),12),"")</f>
        <v/>
      </c>
      <c r="J484" s="3153" t="str">
        <f ca="1">IFERROR(INDEX(Glue!$A:$AU,MATCH($C484,Glue!$AU:$AU,0),12)*(1+Glue!$L$4),"")</f>
        <v/>
      </c>
    </row>
    <row r="485" spans="2:10" ht="21.75">
      <c r="B485" s="3143" t="s">
        <v>215</v>
      </c>
      <c r="C485" s="3143">
        <f t="shared" si="8"/>
        <v>98</v>
      </c>
      <c r="D485" s="3143" t="str">
        <f ca="1">IFERROR(INDEX(Glue!$A:$AU,MATCH($C485,Glue!$AU:$AU,0),1),"")</f>
        <v/>
      </c>
      <c r="E485" s="3143" t="str">
        <f ca="1">IFERROR(INDEX(Glue!$A:$AU,MATCH($C485,Glue!$AU:$AU,0),5),"")</f>
        <v/>
      </c>
      <c r="F485" s="3143" t="s">
        <v>3651</v>
      </c>
      <c r="G485" s="3599" t="str">
        <f ca="1">IFERROR(INDEX(Glue!$A:$AU,MATCH($C485,Glue!$AU:$AU,0),8)/'ACC &amp; Other Material '!$E$2*10^3,"")</f>
        <v/>
      </c>
      <c r="H485" s="3599" t="str">
        <f ca="1">IFERROR(INDEX(Glue!$A:$AU,MATCH($C485,Glue!$AU:$AU,0),9)/'ACC &amp; Other Material '!$E$2*10^3,"")</f>
        <v/>
      </c>
      <c r="I485" s="3153" t="str">
        <f ca="1">IFERROR(INDEX(Glue!$A:$AU,MATCH($C485,Glue!$AU:$AU,0),12),"")</f>
        <v/>
      </c>
      <c r="J485" s="3153" t="str">
        <f ca="1">IFERROR(INDEX(Glue!$A:$AU,MATCH($C485,Glue!$AU:$AU,0),12)*(1+Glue!$L$4),"")</f>
        <v/>
      </c>
    </row>
    <row r="486" spans="2:10" ht="21.75">
      <c r="B486" s="3143" t="s">
        <v>215</v>
      </c>
      <c r="C486" s="3143">
        <f t="shared" si="8"/>
        <v>99</v>
      </c>
      <c r="D486" s="3143" t="str">
        <f ca="1">IFERROR(INDEX(Glue!$A:$AU,MATCH($C486,Glue!$AU:$AU,0),1),"")</f>
        <v/>
      </c>
      <c r="E486" s="3143" t="str">
        <f ca="1">IFERROR(INDEX(Glue!$A:$AU,MATCH($C486,Glue!$AU:$AU,0),5),"")</f>
        <v/>
      </c>
      <c r="F486" s="3143" t="s">
        <v>3651</v>
      </c>
      <c r="G486" s="3599" t="str">
        <f ca="1">IFERROR(INDEX(Glue!$A:$AU,MATCH($C486,Glue!$AU:$AU,0),8)/'ACC &amp; Other Material '!$E$2*10^3,"")</f>
        <v/>
      </c>
      <c r="H486" s="3599" t="str">
        <f ca="1">IFERROR(INDEX(Glue!$A:$AU,MATCH($C486,Glue!$AU:$AU,0),9)/'ACC &amp; Other Material '!$E$2*10^3,"")</f>
        <v/>
      </c>
      <c r="I486" s="3153" t="str">
        <f ca="1">IFERROR(INDEX(Glue!$A:$AU,MATCH($C486,Glue!$AU:$AU,0),12),"")</f>
        <v/>
      </c>
      <c r="J486" s="3153" t="str">
        <f ca="1">IFERROR(INDEX(Glue!$A:$AU,MATCH($C486,Glue!$AU:$AU,0),12)*(1+Glue!$L$4),"")</f>
        <v/>
      </c>
    </row>
    <row r="487" spans="2:10" ht="21.75">
      <c r="B487" s="3143" t="s">
        <v>215</v>
      </c>
      <c r="C487" s="3143">
        <f t="shared" si="8"/>
        <v>100</v>
      </c>
      <c r="D487" s="3143" t="str">
        <f ca="1">IFERROR(INDEX(Glue!$A:$AU,MATCH($C487,Glue!$AU:$AU,0),1),"")</f>
        <v/>
      </c>
      <c r="E487" s="3143" t="str">
        <f ca="1">IFERROR(INDEX(Glue!$A:$AU,MATCH($C487,Glue!$AU:$AU,0),5),"")</f>
        <v/>
      </c>
      <c r="F487" s="3143" t="s">
        <v>3651</v>
      </c>
      <c r="G487" s="3599" t="str">
        <f ca="1">IFERROR(INDEX(Glue!$A:$AU,MATCH($C487,Glue!$AU:$AU,0),8)/'ACC &amp; Other Material '!$E$2*10^3,"")</f>
        <v/>
      </c>
      <c r="H487" s="3599" t="str">
        <f ca="1">IFERROR(INDEX(Glue!$A:$AU,MATCH($C487,Glue!$AU:$AU,0),9)/'ACC &amp; Other Material '!$E$2*10^3,"")</f>
        <v/>
      </c>
      <c r="I487" s="3153" t="str">
        <f ca="1">IFERROR(INDEX(Glue!$A:$AU,MATCH($C487,Glue!$AU:$AU,0),12),"")</f>
        <v/>
      </c>
      <c r="J487" s="3153" t="str">
        <f ca="1">IFERROR(INDEX(Glue!$A:$AU,MATCH($C487,Glue!$AU:$AU,0),12)*(1+Glue!$L$4),"")</f>
        <v/>
      </c>
    </row>
    <row r="488" spans="2:10" ht="21.75">
      <c r="B488" s="3143" t="s">
        <v>215</v>
      </c>
      <c r="C488" s="3143">
        <f t="shared" si="8"/>
        <v>101</v>
      </c>
      <c r="D488" s="3143" t="str">
        <f ca="1">IFERROR(INDEX(Glue!$A:$AU,MATCH($C488,Glue!$AU:$AU,0),1),"")</f>
        <v/>
      </c>
      <c r="E488" s="3143" t="str">
        <f ca="1">IFERROR(INDEX(Glue!$A:$AU,MATCH($C488,Glue!$AU:$AU,0),5),"")</f>
        <v/>
      </c>
      <c r="F488" s="3143" t="s">
        <v>3651</v>
      </c>
      <c r="G488" s="3599" t="str">
        <f ca="1">IFERROR(INDEX(Glue!$A:$AU,MATCH($C488,Glue!$AU:$AU,0),8)/'ACC &amp; Other Material '!$E$2*10^3,"")</f>
        <v/>
      </c>
      <c r="H488" s="3599" t="str">
        <f ca="1">IFERROR(INDEX(Glue!$A:$AU,MATCH($C488,Glue!$AU:$AU,0),9)/'ACC &amp; Other Material '!$E$2*10^3,"")</f>
        <v/>
      </c>
      <c r="I488" s="3153" t="str">
        <f ca="1">IFERROR(INDEX(Glue!$A:$AU,MATCH($C488,Glue!$AU:$AU,0),12),"")</f>
        <v/>
      </c>
      <c r="J488" s="3153" t="str">
        <f ca="1">IFERROR(INDEX(Glue!$A:$AU,MATCH($C488,Glue!$AU:$AU,0),12)*(1+Glue!$L$4),"")</f>
        <v/>
      </c>
    </row>
    <row r="489" spans="2:10" ht="21.75">
      <c r="B489" s="3143" t="s">
        <v>215</v>
      </c>
      <c r="C489" s="3143">
        <f t="shared" si="8"/>
        <v>102</v>
      </c>
      <c r="D489" s="3143" t="str">
        <f ca="1">IFERROR(INDEX(Glue!$A:$AU,MATCH($C489,Glue!$AU:$AU,0),1),"")</f>
        <v/>
      </c>
      <c r="E489" s="3143" t="str">
        <f ca="1">IFERROR(INDEX(Glue!$A:$AU,MATCH($C489,Glue!$AU:$AU,0),5),"")</f>
        <v/>
      </c>
      <c r="F489" s="3143" t="s">
        <v>3651</v>
      </c>
      <c r="G489" s="3599" t="str">
        <f ca="1">IFERROR(INDEX(Glue!$A:$AU,MATCH($C489,Glue!$AU:$AU,0),8)/'ACC &amp; Other Material '!$E$2*10^3,"")</f>
        <v/>
      </c>
      <c r="H489" s="3599" t="str">
        <f ca="1">IFERROR(INDEX(Glue!$A:$AU,MATCH($C489,Glue!$AU:$AU,0),9)/'ACC &amp; Other Material '!$E$2*10^3,"")</f>
        <v/>
      </c>
      <c r="I489" s="3153" t="str">
        <f ca="1">IFERROR(INDEX(Glue!$A:$AU,MATCH($C489,Glue!$AU:$AU,0),12),"")</f>
        <v/>
      </c>
      <c r="J489" s="3153" t="str">
        <f ca="1">IFERROR(INDEX(Glue!$A:$AU,MATCH($C489,Glue!$AU:$AU,0),12)*(1+Glue!$L$4),"")</f>
        <v/>
      </c>
    </row>
    <row r="490" spans="2:10" ht="21.75">
      <c r="B490" s="3143" t="s">
        <v>215</v>
      </c>
      <c r="C490" s="3143">
        <f t="shared" si="8"/>
        <v>103</v>
      </c>
      <c r="D490" s="3143" t="str">
        <f ca="1">IFERROR(INDEX(Glue!$A:$AU,MATCH($C490,Glue!$AU:$AU,0),1),"")</f>
        <v/>
      </c>
      <c r="E490" s="3143" t="str">
        <f ca="1">IFERROR(INDEX(Glue!$A:$AU,MATCH($C490,Glue!$AU:$AU,0),5),"")</f>
        <v/>
      </c>
      <c r="F490" s="3143" t="s">
        <v>3651</v>
      </c>
      <c r="G490" s="3599" t="str">
        <f ca="1">IFERROR(INDEX(Glue!$A:$AU,MATCH($C490,Glue!$AU:$AU,0),8)/'ACC &amp; Other Material '!$E$2*10^3,"")</f>
        <v/>
      </c>
      <c r="H490" s="3599" t="str">
        <f ca="1">IFERROR(INDEX(Glue!$A:$AU,MATCH($C490,Glue!$AU:$AU,0),9)/'ACC &amp; Other Material '!$E$2*10^3,"")</f>
        <v/>
      </c>
      <c r="I490" s="3153" t="str">
        <f ca="1">IFERROR(INDEX(Glue!$A:$AU,MATCH($C490,Glue!$AU:$AU,0),12),"")</f>
        <v/>
      </c>
      <c r="J490" s="3153" t="str">
        <f ca="1">IFERROR(INDEX(Glue!$A:$AU,MATCH($C490,Glue!$AU:$AU,0),12)*(1+Glue!$L$4),"")</f>
        <v/>
      </c>
    </row>
    <row r="491" spans="2:10" ht="21.75">
      <c r="B491" s="3143" t="s">
        <v>215</v>
      </c>
      <c r="C491" s="3143">
        <f t="shared" si="8"/>
        <v>104</v>
      </c>
      <c r="D491" s="3143" t="str">
        <f ca="1">IFERROR(INDEX(Glue!$A:$AU,MATCH($C491,Glue!$AU:$AU,0),1),"")</f>
        <v/>
      </c>
      <c r="E491" s="3143" t="str">
        <f ca="1">IFERROR(INDEX(Glue!$A:$AU,MATCH($C491,Glue!$AU:$AU,0),5),"")</f>
        <v/>
      </c>
      <c r="F491" s="3143" t="s">
        <v>3651</v>
      </c>
      <c r="G491" s="3599" t="str">
        <f ca="1">IFERROR(INDEX(Glue!$A:$AU,MATCH($C491,Glue!$AU:$AU,0),8)/'ACC &amp; Other Material '!$E$2*10^3,"")</f>
        <v/>
      </c>
      <c r="H491" s="3599" t="str">
        <f ca="1">IFERROR(INDEX(Glue!$A:$AU,MATCH($C491,Glue!$AU:$AU,0),9)/'ACC &amp; Other Material '!$E$2*10^3,"")</f>
        <v/>
      </c>
      <c r="I491" s="3153" t="str">
        <f ca="1">IFERROR(INDEX(Glue!$A:$AU,MATCH($C491,Glue!$AU:$AU,0),12),"")</f>
        <v/>
      </c>
      <c r="J491" s="3153" t="str">
        <f ca="1">IFERROR(INDEX(Glue!$A:$AU,MATCH($C491,Glue!$AU:$AU,0),12)*(1+Glue!$L$4),"")</f>
        <v/>
      </c>
    </row>
    <row r="492" spans="2:10" ht="21.75">
      <c r="B492" s="3143" t="s">
        <v>215</v>
      </c>
      <c r="C492" s="3143">
        <f t="shared" si="8"/>
        <v>105</v>
      </c>
      <c r="D492" s="3143" t="str">
        <f ca="1">IFERROR(INDEX(Glue!$A:$AU,MATCH($C492,Glue!$AU:$AU,0),1),"")</f>
        <v/>
      </c>
      <c r="E492" s="3143" t="str">
        <f ca="1">IFERROR(INDEX(Glue!$A:$AU,MATCH($C492,Glue!$AU:$AU,0),5),"")</f>
        <v/>
      </c>
      <c r="F492" s="3143" t="s">
        <v>3651</v>
      </c>
      <c r="G492" s="3599" t="str">
        <f ca="1">IFERROR(INDEX(Glue!$A:$AU,MATCH($C492,Glue!$AU:$AU,0),8)/'ACC &amp; Other Material '!$E$2*10^3,"")</f>
        <v/>
      </c>
      <c r="H492" s="3599" t="str">
        <f ca="1">IFERROR(INDEX(Glue!$A:$AU,MATCH($C492,Glue!$AU:$AU,0),9)/'ACC &amp; Other Material '!$E$2*10^3,"")</f>
        <v/>
      </c>
      <c r="I492" s="3153" t="str">
        <f ca="1">IFERROR(INDEX(Glue!$A:$AU,MATCH($C492,Glue!$AU:$AU,0),12),"")</f>
        <v/>
      </c>
      <c r="J492" s="3153" t="str">
        <f ca="1">IFERROR(INDEX(Glue!$A:$AU,MATCH($C492,Glue!$AU:$AU,0),12)*(1+Glue!$L$4),"")</f>
        <v/>
      </c>
    </row>
    <row r="493" spans="2:10" ht="21.75">
      <c r="B493" s="3143" t="s">
        <v>215</v>
      </c>
      <c r="C493" s="3143">
        <f t="shared" si="8"/>
        <v>106</v>
      </c>
      <c r="D493" s="3143" t="str">
        <f ca="1">IFERROR(INDEX(Glue!$A:$AU,MATCH($C493,Glue!$AU:$AU,0),1),"")</f>
        <v/>
      </c>
      <c r="E493" s="3143" t="str">
        <f ca="1">IFERROR(INDEX(Glue!$A:$AU,MATCH($C493,Glue!$AU:$AU,0),5),"")</f>
        <v/>
      </c>
      <c r="F493" s="3143" t="s">
        <v>3651</v>
      </c>
      <c r="G493" s="3599" t="str">
        <f ca="1">IFERROR(INDEX(Glue!$A:$AU,MATCH($C493,Glue!$AU:$AU,0),8)/'ACC &amp; Other Material '!$E$2*10^3,"")</f>
        <v/>
      </c>
      <c r="H493" s="3599" t="str">
        <f ca="1">IFERROR(INDEX(Glue!$A:$AU,MATCH($C493,Glue!$AU:$AU,0),9)/'ACC &amp; Other Material '!$E$2*10^3,"")</f>
        <v/>
      </c>
      <c r="I493" s="3153" t="str">
        <f ca="1">IFERROR(INDEX(Glue!$A:$AU,MATCH($C493,Glue!$AU:$AU,0),12),"")</f>
        <v/>
      </c>
      <c r="J493" s="3153" t="str">
        <f ca="1">IFERROR(INDEX(Glue!$A:$AU,MATCH($C493,Glue!$AU:$AU,0),12)*(1+Glue!$L$4),"")</f>
        <v/>
      </c>
    </row>
    <row r="494" spans="2:10" ht="21.75">
      <c r="B494" s="3143" t="s">
        <v>215</v>
      </c>
      <c r="C494" s="3143">
        <f t="shared" si="8"/>
        <v>107</v>
      </c>
      <c r="D494" s="3143" t="str">
        <f ca="1">IFERROR(INDEX(Glue!$A:$AU,MATCH($C494,Glue!$AU:$AU,0),1),"")</f>
        <v/>
      </c>
      <c r="E494" s="3143" t="str">
        <f ca="1">IFERROR(INDEX(Glue!$A:$AU,MATCH($C494,Glue!$AU:$AU,0),5),"")</f>
        <v/>
      </c>
      <c r="F494" s="3143" t="s">
        <v>3651</v>
      </c>
      <c r="G494" s="3599" t="str">
        <f ca="1">IFERROR(INDEX(Glue!$A:$AU,MATCH($C494,Glue!$AU:$AU,0),8)/'ACC &amp; Other Material '!$E$2*10^3,"")</f>
        <v/>
      </c>
      <c r="H494" s="3599" t="str">
        <f ca="1">IFERROR(INDEX(Glue!$A:$AU,MATCH($C494,Glue!$AU:$AU,0),9)/'ACC &amp; Other Material '!$E$2*10^3,"")</f>
        <v/>
      </c>
      <c r="I494" s="3153" t="str">
        <f ca="1">IFERROR(INDEX(Glue!$A:$AU,MATCH($C494,Glue!$AU:$AU,0),12),"")</f>
        <v/>
      </c>
      <c r="J494" s="3153" t="str">
        <f ca="1">IFERROR(INDEX(Glue!$A:$AU,MATCH($C494,Glue!$AU:$AU,0),12)*(1+Glue!$L$4),"")</f>
        <v/>
      </c>
    </row>
    <row r="495" spans="2:10" ht="21.75">
      <c r="B495" s="3143" t="s">
        <v>215</v>
      </c>
      <c r="C495" s="3143">
        <f t="shared" si="8"/>
        <v>108</v>
      </c>
      <c r="D495" s="3143" t="str">
        <f ca="1">IFERROR(INDEX(Glue!$A:$AU,MATCH($C495,Glue!$AU:$AU,0),1),"")</f>
        <v/>
      </c>
      <c r="E495" s="3143" t="str">
        <f ca="1">IFERROR(INDEX(Glue!$A:$AU,MATCH($C495,Glue!$AU:$AU,0),5),"")</f>
        <v/>
      </c>
      <c r="F495" s="3143" t="s">
        <v>3651</v>
      </c>
      <c r="G495" s="3599" t="str">
        <f ca="1">IFERROR(INDEX(Glue!$A:$AU,MATCH($C495,Glue!$AU:$AU,0),8)/'ACC &amp; Other Material '!$E$2*10^3,"")</f>
        <v/>
      </c>
      <c r="H495" s="3599" t="str">
        <f ca="1">IFERROR(INDEX(Glue!$A:$AU,MATCH($C495,Glue!$AU:$AU,0),9)/'ACC &amp; Other Material '!$E$2*10^3,"")</f>
        <v/>
      </c>
      <c r="I495" s="3153" t="str">
        <f ca="1">IFERROR(INDEX(Glue!$A:$AU,MATCH($C495,Glue!$AU:$AU,0),12),"")</f>
        <v/>
      </c>
      <c r="J495" s="3153" t="str">
        <f ca="1">IFERROR(INDEX(Glue!$A:$AU,MATCH($C495,Glue!$AU:$AU,0),12)*(1+Glue!$L$4),"")</f>
        <v/>
      </c>
    </row>
    <row r="496" spans="2:10" ht="21.75">
      <c r="B496" s="3143" t="s">
        <v>215</v>
      </c>
      <c r="C496" s="3143">
        <f t="shared" si="8"/>
        <v>109</v>
      </c>
      <c r="D496" s="3143" t="str">
        <f ca="1">IFERROR(INDEX(Glue!$A:$AU,MATCH($C496,Glue!$AU:$AU,0),1),"")</f>
        <v/>
      </c>
      <c r="E496" s="3143" t="str">
        <f ca="1">IFERROR(INDEX(Glue!$A:$AU,MATCH($C496,Glue!$AU:$AU,0),5),"")</f>
        <v/>
      </c>
      <c r="F496" s="3143" t="s">
        <v>3651</v>
      </c>
      <c r="G496" s="3599" t="str">
        <f ca="1">IFERROR(INDEX(Glue!$A:$AU,MATCH($C496,Glue!$AU:$AU,0),8)/'ACC &amp; Other Material '!$E$2*10^3,"")</f>
        <v/>
      </c>
      <c r="H496" s="3599" t="str">
        <f ca="1">IFERROR(INDEX(Glue!$A:$AU,MATCH($C496,Glue!$AU:$AU,0),9)/'ACC &amp; Other Material '!$E$2*10^3,"")</f>
        <v/>
      </c>
      <c r="I496" s="3153" t="str">
        <f ca="1">IFERROR(INDEX(Glue!$A:$AU,MATCH($C496,Glue!$AU:$AU,0),12),"")</f>
        <v/>
      </c>
      <c r="J496" s="3153" t="str">
        <f ca="1">IFERROR(INDEX(Glue!$A:$AU,MATCH($C496,Glue!$AU:$AU,0),12)*(1+Glue!$L$4),"")</f>
        <v/>
      </c>
    </row>
    <row r="497" spans="2:10" ht="21.75">
      <c r="B497" s="3143" t="s">
        <v>215</v>
      </c>
      <c r="C497" s="3143">
        <f t="shared" si="8"/>
        <v>110</v>
      </c>
      <c r="D497" s="3143" t="str">
        <f ca="1">IFERROR(INDEX(Glue!$A:$AU,MATCH($C497,Glue!$AU:$AU,0),1),"")</f>
        <v/>
      </c>
      <c r="E497" s="3143" t="str">
        <f ca="1">IFERROR(INDEX(Glue!$A:$AU,MATCH($C497,Glue!$AU:$AU,0),5),"")</f>
        <v/>
      </c>
      <c r="F497" s="3143" t="s">
        <v>3651</v>
      </c>
      <c r="G497" s="3599" t="str">
        <f ca="1">IFERROR(INDEX(Glue!$A:$AU,MATCH($C497,Glue!$AU:$AU,0),8)/'ACC &amp; Other Material '!$E$2*10^3,"")</f>
        <v/>
      </c>
      <c r="H497" s="3599" t="str">
        <f ca="1">IFERROR(INDEX(Glue!$A:$AU,MATCH($C497,Glue!$AU:$AU,0),9)/'ACC &amp; Other Material '!$E$2*10^3,"")</f>
        <v/>
      </c>
      <c r="I497" s="3153" t="str">
        <f ca="1">IFERROR(INDEX(Glue!$A:$AU,MATCH($C497,Glue!$AU:$AU,0),12),"")</f>
        <v/>
      </c>
      <c r="J497" s="3153" t="str">
        <f ca="1">IFERROR(INDEX(Glue!$A:$AU,MATCH($C497,Glue!$AU:$AU,0),12)*(1+Glue!$L$4),"")</f>
        <v/>
      </c>
    </row>
    <row r="498" spans="2:10" ht="21.75">
      <c r="B498" s="3143" t="s">
        <v>215</v>
      </c>
      <c r="C498" s="3143">
        <f t="shared" si="8"/>
        <v>111</v>
      </c>
      <c r="D498" s="3143" t="str">
        <f ca="1">IFERROR(INDEX(Glue!$A:$AU,MATCH($C498,Glue!$AU:$AU,0),1),"")</f>
        <v/>
      </c>
      <c r="E498" s="3143" t="str">
        <f ca="1">IFERROR(INDEX(Glue!$A:$AU,MATCH($C498,Glue!$AU:$AU,0),5),"")</f>
        <v/>
      </c>
      <c r="F498" s="3143" t="s">
        <v>3651</v>
      </c>
      <c r="G498" s="3599" t="str">
        <f ca="1">IFERROR(INDEX(Glue!$A:$AU,MATCH($C498,Glue!$AU:$AU,0),8)/'ACC &amp; Other Material '!$E$2*10^3,"")</f>
        <v/>
      </c>
      <c r="H498" s="3599" t="str">
        <f ca="1">IFERROR(INDEX(Glue!$A:$AU,MATCH($C498,Glue!$AU:$AU,0),9)/'ACC &amp; Other Material '!$E$2*10^3,"")</f>
        <v/>
      </c>
      <c r="I498" s="3153" t="str">
        <f ca="1">IFERROR(INDEX(Glue!$A:$AU,MATCH($C498,Glue!$AU:$AU,0),12),"")</f>
        <v/>
      </c>
      <c r="J498" s="3153" t="str">
        <f ca="1">IFERROR(INDEX(Glue!$A:$AU,MATCH($C498,Glue!$AU:$AU,0),12)*(1+Glue!$L$4),"")</f>
        <v/>
      </c>
    </row>
    <row r="499" spans="2:10" ht="21.75">
      <c r="B499" s="3143" t="s">
        <v>215</v>
      </c>
      <c r="C499" s="3143">
        <f t="shared" si="8"/>
        <v>112</v>
      </c>
      <c r="D499" s="3143" t="str">
        <f ca="1">IFERROR(INDEX(Glue!$A:$AU,MATCH($C499,Glue!$AU:$AU,0),1),"")</f>
        <v/>
      </c>
      <c r="E499" s="3143" t="str">
        <f ca="1">IFERROR(INDEX(Glue!$A:$AU,MATCH($C499,Glue!$AU:$AU,0),5),"")</f>
        <v/>
      </c>
      <c r="F499" s="3143" t="s">
        <v>3651</v>
      </c>
      <c r="G499" s="3599" t="str">
        <f ca="1">IFERROR(INDEX(Glue!$A:$AU,MATCH($C499,Glue!$AU:$AU,0),8)/'ACC &amp; Other Material '!$E$2*10^3,"")</f>
        <v/>
      </c>
      <c r="H499" s="3599" t="str">
        <f ca="1">IFERROR(INDEX(Glue!$A:$AU,MATCH($C499,Glue!$AU:$AU,0),9)/'ACC &amp; Other Material '!$E$2*10^3,"")</f>
        <v/>
      </c>
      <c r="I499" s="3153" t="str">
        <f ca="1">IFERROR(INDEX(Glue!$A:$AU,MATCH($C499,Glue!$AU:$AU,0),12),"")</f>
        <v/>
      </c>
      <c r="J499" s="3153" t="str">
        <f ca="1">IFERROR(INDEX(Glue!$A:$AU,MATCH($C499,Glue!$AU:$AU,0),12)*(1+Glue!$L$4),"")</f>
        <v/>
      </c>
    </row>
    <row r="500" spans="2:10" ht="21.75">
      <c r="B500" s="3143" t="s">
        <v>215</v>
      </c>
      <c r="C500" s="3143">
        <f t="shared" si="8"/>
        <v>113</v>
      </c>
      <c r="D500" s="3143" t="str">
        <f ca="1">IFERROR(INDEX(Glue!$A:$AU,MATCH($C500,Glue!$AU:$AU,0),1),"")</f>
        <v/>
      </c>
      <c r="E500" s="3143" t="str">
        <f ca="1">IFERROR(INDEX(Glue!$A:$AU,MATCH($C500,Glue!$AU:$AU,0),5),"")</f>
        <v/>
      </c>
      <c r="F500" s="3143" t="s">
        <v>3651</v>
      </c>
      <c r="G500" s="3599" t="str">
        <f ca="1">IFERROR(INDEX(Glue!$A:$AU,MATCH($C500,Glue!$AU:$AU,0),8)/'ACC &amp; Other Material '!$E$2*10^3,"")</f>
        <v/>
      </c>
      <c r="H500" s="3599" t="str">
        <f ca="1">IFERROR(INDEX(Glue!$A:$AU,MATCH($C500,Glue!$AU:$AU,0),9)/'ACC &amp; Other Material '!$E$2*10^3,"")</f>
        <v/>
      </c>
      <c r="I500" s="3153" t="str">
        <f ca="1">IFERROR(INDEX(Glue!$A:$AU,MATCH($C500,Glue!$AU:$AU,0),12),"")</f>
        <v/>
      </c>
      <c r="J500" s="3153" t="str">
        <f ca="1">IFERROR(INDEX(Glue!$A:$AU,MATCH($C500,Glue!$AU:$AU,0),12)*(1+Glue!$L$4),"")</f>
        <v/>
      </c>
    </row>
    <row r="501" spans="2:10" ht="21.75">
      <c r="B501" s="3143" t="s">
        <v>215</v>
      </c>
      <c r="C501" s="3143">
        <f t="shared" si="8"/>
        <v>114</v>
      </c>
      <c r="D501" s="3143" t="str">
        <f ca="1">IFERROR(INDEX(Glue!$A:$AU,MATCH($C501,Glue!$AU:$AU,0),1),"")</f>
        <v/>
      </c>
      <c r="E501" s="3143" t="str">
        <f ca="1">IFERROR(INDEX(Glue!$A:$AU,MATCH($C501,Glue!$AU:$AU,0),5),"")</f>
        <v/>
      </c>
      <c r="F501" s="3143" t="s">
        <v>3651</v>
      </c>
      <c r="G501" s="3599" t="str">
        <f ca="1">IFERROR(INDEX(Glue!$A:$AU,MATCH($C501,Glue!$AU:$AU,0),8)/'ACC &amp; Other Material '!$E$2*10^3,"")</f>
        <v/>
      </c>
      <c r="H501" s="3599" t="str">
        <f ca="1">IFERROR(INDEX(Glue!$A:$AU,MATCH($C501,Glue!$AU:$AU,0),9)/'ACC &amp; Other Material '!$E$2*10^3,"")</f>
        <v/>
      </c>
      <c r="I501" s="3153" t="str">
        <f ca="1">IFERROR(INDEX(Glue!$A:$AU,MATCH($C501,Glue!$AU:$AU,0),12),"")</f>
        <v/>
      </c>
      <c r="J501" s="3153" t="str">
        <f ca="1">IFERROR(INDEX(Glue!$A:$AU,MATCH($C501,Glue!$AU:$AU,0),12)*(1+Glue!$L$4),"")</f>
        <v/>
      </c>
    </row>
    <row r="502" spans="2:10" ht="21.75">
      <c r="B502" s="3143" t="s">
        <v>215</v>
      </c>
      <c r="C502" s="3143">
        <f t="shared" si="8"/>
        <v>115</v>
      </c>
      <c r="D502" s="3143" t="str">
        <f ca="1">IFERROR(INDEX(Glue!$A:$AU,MATCH($C502,Glue!$AU:$AU,0),1),"")</f>
        <v/>
      </c>
      <c r="E502" s="3143" t="str">
        <f ca="1">IFERROR(INDEX(Glue!$A:$AU,MATCH($C502,Glue!$AU:$AU,0),5),"")</f>
        <v/>
      </c>
      <c r="F502" s="3143" t="s">
        <v>3651</v>
      </c>
      <c r="G502" s="3599" t="str">
        <f ca="1">IFERROR(INDEX(Glue!$A:$AU,MATCH($C502,Glue!$AU:$AU,0),8)/'ACC &amp; Other Material '!$E$2*10^3,"")</f>
        <v/>
      </c>
      <c r="H502" s="3599" t="str">
        <f ca="1">IFERROR(INDEX(Glue!$A:$AU,MATCH($C502,Glue!$AU:$AU,0),9)/'ACC &amp; Other Material '!$E$2*10^3,"")</f>
        <v/>
      </c>
      <c r="I502" s="3153" t="str">
        <f ca="1">IFERROR(INDEX(Glue!$A:$AU,MATCH($C502,Glue!$AU:$AU,0),12),"")</f>
        <v/>
      </c>
      <c r="J502" s="3153" t="str">
        <f ca="1">IFERROR(INDEX(Glue!$A:$AU,MATCH($C502,Glue!$AU:$AU,0),12)*(1+Glue!$L$4),"")</f>
        <v/>
      </c>
    </row>
    <row r="503" spans="2:10" ht="21.75">
      <c r="B503" s="3143" t="s">
        <v>215</v>
      </c>
      <c r="C503" s="3143">
        <f t="shared" si="8"/>
        <v>116</v>
      </c>
      <c r="D503" s="3143" t="str">
        <f ca="1">IFERROR(INDEX(Glue!$A:$AU,MATCH($C503,Glue!$AU:$AU,0),1),"")</f>
        <v/>
      </c>
      <c r="E503" s="3143" t="str">
        <f ca="1">IFERROR(INDEX(Glue!$A:$AU,MATCH($C503,Glue!$AU:$AU,0),5),"")</f>
        <v/>
      </c>
      <c r="F503" s="3143" t="s">
        <v>3651</v>
      </c>
      <c r="G503" s="3599" t="str">
        <f ca="1">IFERROR(INDEX(Glue!$A:$AU,MATCH($C503,Glue!$AU:$AU,0),8)/'ACC &amp; Other Material '!$E$2*10^3,"")</f>
        <v/>
      </c>
      <c r="H503" s="3599" t="str">
        <f ca="1">IFERROR(INDEX(Glue!$A:$AU,MATCH($C503,Glue!$AU:$AU,0),9)/'ACC &amp; Other Material '!$E$2*10^3,"")</f>
        <v/>
      </c>
      <c r="I503" s="3153" t="str">
        <f ca="1">IFERROR(INDEX(Glue!$A:$AU,MATCH($C503,Glue!$AU:$AU,0),12),"")</f>
        <v/>
      </c>
      <c r="J503" s="3153" t="str">
        <f ca="1">IFERROR(INDEX(Glue!$A:$AU,MATCH($C503,Glue!$AU:$AU,0),12)*(1+Glue!$L$4),"")</f>
        <v/>
      </c>
    </row>
    <row r="504" spans="2:10" ht="21.75">
      <c r="B504" s="3143" t="s">
        <v>215</v>
      </c>
      <c r="C504" s="3143">
        <f t="shared" si="8"/>
        <v>117</v>
      </c>
      <c r="D504" s="3143" t="str">
        <f ca="1">IFERROR(INDEX(Glue!$A:$AU,MATCH($C504,Glue!$AU:$AU,0),1),"")</f>
        <v/>
      </c>
      <c r="E504" s="3143" t="str">
        <f ca="1">IFERROR(INDEX(Glue!$A:$AU,MATCH($C504,Glue!$AU:$AU,0),5),"")</f>
        <v/>
      </c>
      <c r="F504" s="3143" t="s">
        <v>3651</v>
      </c>
      <c r="G504" s="3599" t="str">
        <f ca="1">IFERROR(INDEX(Glue!$A:$AU,MATCH($C504,Glue!$AU:$AU,0),8)/'ACC &amp; Other Material '!$E$2*10^3,"")</f>
        <v/>
      </c>
      <c r="H504" s="3599" t="str">
        <f ca="1">IFERROR(INDEX(Glue!$A:$AU,MATCH($C504,Glue!$AU:$AU,0),9)/'ACC &amp; Other Material '!$E$2*10^3,"")</f>
        <v/>
      </c>
      <c r="I504" s="3153" t="str">
        <f ca="1">IFERROR(INDEX(Glue!$A:$AU,MATCH($C504,Glue!$AU:$AU,0),12),"")</f>
        <v/>
      </c>
      <c r="J504" s="3153" t="str">
        <f ca="1">IFERROR(INDEX(Glue!$A:$AU,MATCH($C504,Glue!$AU:$AU,0),12)*(1+Glue!$L$4),"")</f>
        <v/>
      </c>
    </row>
    <row r="505" spans="2:10" ht="21.75">
      <c r="B505" s="3143" t="s">
        <v>215</v>
      </c>
      <c r="C505" s="3143">
        <f t="shared" si="8"/>
        <v>118</v>
      </c>
      <c r="D505" s="3143" t="str">
        <f ca="1">IFERROR(INDEX(Glue!$A:$AU,MATCH($C505,Glue!$AU:$AU,0),1),"")</f>
        <v/>
      </c>
      <c r="E505" s="3143" t="str">
        <f ca="1">IFERROR(INDEX(Glue!$A:$AU,MATCH($C505,Glue!$AU:$AU,0),5),"")</f>
        <v/>
      </c>
      <c r="F505" s="3143" t="s">
        <v>3651</v>
      </c>
      <c r="G505" s="3599" t="str">
        <f ca="1">IFERROR(INDEX(Glue!$A:$AU,MATCH($C505,Glue!$AU:$AU,0),8)/'ACC &amp; Other Material '!$E$2*10^3,"")</f>
        <v/>
      </c>
      <c r="H505" s="3599" t="str">
        <f ca="1">IFERROR(INDEX(Glue!$A:$AU,MATCH($C505,Glue!$AU:$AU,0),9)/'ACC &amp; Other Material '!$E$2*10^3,"")</f>
        <v/>
      </c>
      <c r="I505" s="3153" t="str">
        <f ca="1">IFERROR(INDEX(Glue!$A:$AU,MATCH($C505,Glue!$AU:$AU,0),12),"")</f>
        <v/>
      </c>
      <c r="J505" s="3153" t="str">
        <f ca="1">IFERROR(INDEX(Glue!$A:$AU,MATCH($C505,Glue!$AU:$AU,0),12)*(1+Glue!$L$4),"")</f>
        <v/>
      </c>
    </row>
    <row r="506" spans="2:10" ht="21.75">
      <c r="B506" s="3143" t="s">
        <v>215</v>
      </c>
      <c r="C506" s="3143">
        <f t="shared" si="8"/>
        <v>119</v>
      </c>
      <c r="D506" s="3143" t="str">
        <f ca="1">IFERROR(INDEX(Glue!$A:$AU,MATCH($C506,Glue!$AU:$AU,0),1),"")</f>
        <v/>
      </c>
      <c r="E506" s="3143" t="str">
        <f ca="1">IFERROR(INDEX(Glue!$A:$AU,MATCH($C506,Glue!$AU:$AU,0),5),"")</f>
        <v/>
      </c>
      <c r="F506" s="3143" t="s">
        <v>3651</v>
      </c>
      <c r="G506" s="3599" t="str">
        <f ca="1">IFERROR(INDEX(Glue!$A:$AU,MATCH($C506,Glue!$AU:$AU,0),8)/'ACC &amp; Other Material '!$E$2*10^3,"")</f>
        <v/>
      </c>
      <c r="H506" s="3599" t="str">
        <f ca="1">IFERROR(INDEX(Glue!$A:$AU,MATCH($C506,Glue!$AU:$AU,0),9)/'ACC &amp; Other Material '!$E$2*10^3,"")</f>
        <v/>
      </c>
      <c r="I506" s="3153" t="str">
        <f ca="1">IFERROR(INDEX(Glue!$A:$AU,MATCH($C506,Glue!$AU:$AU,0),12),"")</f>
        <v/>
      </c>
      <c r="J506" s="3153" t="str">
        <f ca="1">IFERROR(INDEX(Glue!$A:$AU,MATCH($C506,Glue!$AU:$AU,0),12)*(1+Glue!$L$4),"")</f>
        <v/>
      </c>
    </row>
    <row r="507" spans="2:10" ht="21.75">
      <c r="B507" s="3143" t="s">
        <v>215</v>
      </c>
      <c r="C507" s="3143">
        <f t="shared" si="8"/>
        <v>120</v>
      </c>
      <c r="D507" s="3143" t="str">
        <f ca="1">IFERROR(INDEX(Glue!$A:$AU,MATCH($C507,Glue!$AU:$AU,0),1),"")</f>
        <v/>
      </c>
      <c r="E507" s="3143" t="str">
        <f ca="1">IFERROR(INDEX(Glue!$A:$AU,MATCH($C507,Glue!$AU:$AU,0),5),"")</f>
        <v/>
      </c>
      <c r="F507" s="3143" t="s">
        <v>3651</v>
      </c>
      <c r="G507" s="3599" t="str">
        <f ca="1">IFERROR(INDEX(Glue!$A:$AU,MATCH($C507,Glue!$AU:$AU,0),8)/'ACC &amp; Other Material '!$E$2*10^3,"")</f>
        <v/>
      </c>
      <c r="H507" s="3599" t="str">
        <f ca="1">IFERROR(INDEX(Glue!$A:$AU,MATCH($C507,Glue!$AU:$AU,0),9)/'ACC &amp; Other Material '!$E$2*10^3,"")</f>
        <v/>
      </c>
      <c r="I507" s="3153" t="str">
        <f ca="1">IFERROR(INDEX(Glue!$A:$AU,MATCH($C507,Glue!$AU:$AU,0),12),"")</f>
        <v/>
      </c>
      <c r="J507" s="3153" t="str">
        <f ca="1">IFERROR(INDEX(Glue!$A:$AU,MATCH($C507,Glue!$AU:$AU,0),12)*(1+Glue!$L$4),"")</f>
        <v/>
      </c>
    </row>
    <row r="509" spans="2:10" ht="21.75">
      <c r="B509" s="3143" t="s">
        <v>2035</v>
      </c>
      <c r="C509" s="3143">
        <v>1</v>
      </c>
      <c r="D509" s="3143" t="str">
        <f>IFERROR(INDEX('ACC &amp; Other Material '!$A:$AU,MATCH($C509,'ACC &amp; Other Material '!$AU:$AU,0),1),"")</f>
        <v/>
      </c>
      <c r="E509" s="3143" t="str">
        <f>IFERROR(INDEX('ACC &amp; Other Material '!$A:$AU,MATCH($C509,'ACC &amp; Other Material '!$AU:$AU,0),3),"")</f>
        <v/>
      </c>
      <c r="G509" s="3599"/>
      <c r="H509" s="3599"/>
      <c r="I509" s="3153" t="str">
        <f>IFERROR(INDEX('ACC &amp; Other Material '!$A:$AU,MATCH($C509,'ACC &amp; Other Material '!$AU:$AU,0),9),"")</f>
        <v/>
      </c>
      <c r="J509" s="3153" t="str">
        <f>IFERROR(INDEX('ACC &amp; Other Material '!$A:$AU,MATCH($C509,'ACC &amp; Other Material '!$AU:$AU,0),9)*(1+'ACC &amp; Other Material '!$J$4),"")</f>
        <v/>
      </c>
    </row>
    <row r="510" spans="2:10" ht="21.75">
      <c r="B510" s="3143" t="s">
        <v>2035</v>
      </c>
      <c r="C510" s="3143">
        <f>C509+1</f>
        <v>2</v>
      </c>
      <c r="D510" s="3143" t="str">
        <f>IFERROR(INDEX('ACC &amp; Other Material '!$A:$AU,MATCH($C510,'ACC &amp; Other Material '!$AU:$AU,0),1),"")</f>
        <v/>
      </c>
      <c r="E510" s="3143" t="str">
        <f>IFERROR(INDEX('ACC &amp; Other Material '!$A:$AU,MATCH($C510,'ACC &amp; Other Material '!$AU:$AU,0),3),"")</f>
        <v/>
      </c>
      <c r="G510" s="3599"/>
      <c r="H510" s="3599"/>
      <c r="I510" s="3153" t="str">
        <f>IFERROR(INDEX('ACC &amp; Other Material '!$A:$AU,MATCH($C510,'ACC &amp; Other Material '!$AU:$AU,0),9),"")</f>
        <v/>
      </c>
      <c r="J510" s="3153" t="str">
        <f>IFERROR(INDEX('ACC &amp; Other Material '!$A:$AU,MATCH($C510,'ACC &amp; Other Material '!$AU:$AU,0),9)*(1+'ACC &amp; Other Material '!$J$4),"")</f>
        <v/>
      </c>
    </row>
    <row r="511" spans="2:10" ht="21.75">
      <c r="B511" s="3143" t="s">
        <v>2035</v>
      </c>
      <c r="C511" s="3143">
        <f t="shared" ref="C511:C548" si="9">C510+1</f>
        <v>3</v>
      </c>
      <c r="D511" s="3143" t="str">
        <f>IFERROR(INDEX('ACC &amp; Other Material '!$A:$AU,MATCH($C511,'ACC &amp; Other Material '!$AU:$AU,0),1),"")</f>
        <v/>
      </c>
      <c r="E511" s="3143" t="str">
        <f>IFERROR(INDEX('ACC &amp; Other Material '!$A:$AU,MATCH($C511,'ACC &amp; Other Material '!$AU:$AU,0),3),"")</f>
        <v/>
      </c>
      <c r="G511" s="3599"/>
      <c r="H511" s="3599"/>
      <c r="I511" s="3153" t="str">
        <f>IFERROR(INDEX('ACC &amp; Other Material '!$A:$AU,MATCH($C511,'ACC &amp; Other Material '!$AU:$AU,0),9),"")</f>
        <v/>
      </c>
      <c r="J511" s="3153" t="str">
        <f>IFERROR(INDEX('ACC &amp; Other Material '!$A:$AU,MATCH($C511,'ACC &amp; Other Material '!$AU:$AU,0),9)*(1+'ACC &amp; Other Material '!$J$4),"")</f>
        <v/>
      </c>
    </row>
    <row r="512" spans="2:10" ht="21.75">
      <c r="B512" s="3143" t="s">
        <v>2035</v>
      </c>
      <c r="C512" s="3143">
        <f t="shared" si="9"/>
        <v>4</v>
      </c>
      <c r="D512" s="3143" t="str">
        <f>IFERROR(INDEX('ACC &amp; Other Material '!$A:$AU,MATCH($C512,'ACC &amp; Other Material '!$AU:$AU,0),1),"")</f>
        <v/>
      </c>
      <c r="E512" s="3143" t="str">
        <f>IFERROR(INDEX('ACC &amp; Other Material '!$A:$AU,MATCH($C512,'ACC &amp; Other Material '!$AU:$AU,0),3),"")</f>
        <v/>
      </c>
      <c r="G512" s="3599"/>
      <c r="H512" s="3599"/>
      <c r="I512" s="3153" t="str">
        <f>IFERROR(INDEX('ACC &amp; Other Material '!$A:$AU,MATCH($C512,'ACC &amp; Other Material '!$AU:$AU,0),9),"")</f>
        <v/>
      </c>
      <c r="J512" s="3153" t="str">
        <f>IFERROR(INDEX('ACC &amp; Other Material '!$A:$AU,MATCH($C512,'ACC &amp; Other Material '!$AU:$AU,0),9)*(1+'ACC &amp; Other Material '!$J$4),"")</f>
        <v/>
      </c>
    </row>
    <row r="513" spans="2:10" ht="21.75">
      <c r="B513" s="3143" t="s">
        <v>2035</v>
      </c>
      <c r="C513" s="3143">
        <f t="shared" si="9"/>
        <v>5</v>
      </c>
      <c r="D513" s="3143" t="str">
        <f>IFERROR(INDEX('ACC &amp; Other Material '!$A:$AU,MATCH($C513,'ACC &amp; Other Material '!$AU:$AU,0),1),"")</f>
        <v/>
      </c>
      <c r="E513" s="3143" t="str">
        <f>IFERROR(INDEX('ACC &amp; Other Material '!$A:$AU,MATCH($C513,'ACC &amp; Other Material '!$AU:$AU,0),3),"")</f>
        <v/>
      </c>
      <c r="G513" s="3599"/>
      <c r="H513" s="3599"/>
      <c r="I513" s="3153" t="str">
        <f>IFERROR(INDEX('ACC &amp; Other Material '!$A:$AU,MATCH($C513,'ACC &amp; Other Material '!$AU:$AU,0),9),"")</f>
        <v/>
      </c>
      <c r="J513" s="3153" t="str">
        <f>IFERROR(INDEX('ACC &amp; Other Material '!$A:$AU,MATCH($C513,'ACC &amp; Other Material '!$AU:$AU,0),9)*(1+'ACC &amp; Other Material '!$J$4),"")</f>
        <v/>
      </c>
    </row>
    <row r="514" spans="2:10" ht="21.75">
      <c r="B514" s="3143" t="s">
        <v>2035</v>
      </c>
      <c r="C514" s="3143">
        <f t="shared" si="9"/>
        <v>6</v>
      </c>
      <c r="D514" s="3143" t="str">
        <f>IFERROR(INDEX('ACC &amp; Other Material '!$A:$AU,MATCH($C514,'ACC &amp; Other Material '!$AU:$AU,0),1),"")</f>
        <v/>
      </c>
      <c r="E514" s="3143" t="str">
        <f>IFERROR(INDEX('ACC &amp; Other Material '!$A:$AU,MATCH($C514,'ACC &amp; Other Material '!$AU:$AU,0),3),"")</f>
        <v/>
      </c>
      <c r="G514" s="3599"/>
      <c r="H514" s="3599"/>
      <c r="I514" s="3153" t="str">
        <f>IFERROR(INDEX('ACC &amp; Other Material '!$A:$AU,MATCH($C514,'ACC &amp; Other Material '!$AU:$AU,0),9),"")</f>
        <v/>
      </c>
      <c r="J514" s="3153" t="str">
        <f>IFERROR(INDEX('ACC &amp; Other Material '!$A:$AU,MATCH($C514,'ACC &amp; Other Material '!$AU:$AU,0),9)*(1+'ACC &amp; Other Material '!$J$4),"")</f>
        <v/>
      </c>
    </row>
    <row r="515" spans="2:10" ht="21.75">
      <c r="B515" s="3143" t="s">
        <v>2035</v>
      </c>
      <c r="C515" s="3143">
        <f t="shared" si="9"/>
        <v>7</v>
      </c>
      <c r="D515" s="3143" t="str">
        <f>IFERROR(INDEX('ACC &amp; Other Material '!$A:$AU,MATCH($C515,'ACC &amp; Other Material '!$AU:$AU,0),1),"")</f>
        <v/>
      </c>
      <c r="E515" s="3143" t="str">
        <f>IFERROR(INDEX('ACC &amp; Other Material '!$A:$AU,MATCH($C515,'ACC &amp; Other Material '!$AU:$AU,0),3),"")</f>
        <v/>
      </c>
      <c r="G515" s="3599"/>
      <c r="H515" s="3599"/>
      <c r="I515" s="3153" t="str">
        <f>IFERROR(INDEX('ACC &amp; Other Material '!$A:$AU,MATCH($C515,'ACC &amp; Other Material '!$AU:$AU,0),9),"")</f>
        <v/>
      </c>
      <c r="J515" s="3153" t="str">
        <f>IFERROR(INDEX('ACC &amp; Other Material '!$A:$AU,MATCH($C515,'ACC &amp; Other Material '!$AU:$AU,0),9)*(1+'ACC &amp; Other Material '!$J$4),"")</f>
        <v/>
      </c>
    </row>
    <row r="516" spans="2:10" ht="21.75">
      <c r="B516" s="3143" t="s">
        <v>2035</v>
      </c>
      <c r="C516" s="3143">
        <f t="shared" si="9"/>
        <v>8</v>
      </c>
      <c r="D516" s="3143" t="str">
        <f>IFERROR(INDEX('ACC &amp; Other Material '!$A:$AU,MATCH($C516,'ACC &amp; Other Material '!$AU:$AU,0),1),"")</f>
        <v/>
      </c>
      <c r="E516" s="3143" t="str">
        <f>IFERROR(INDEX('ACC &amp; Other Material '!$A:$AU,MATCH($C516,'ACC &amp; Other Material '!$AU:$AU,0),3),"")</f>
        <v/>
      </c>
      <c r="G516" s="3599"/>
      <c r="H516" s="3599"/>
      <c r="I516" s="3153" t="str">
        <f>IFERROR(INDEX('ACC &amp; Other Material '!$A:$AU,MATCH($C516,'ACC &amp; Other Material '!$AU:$AU,0),9),"")</f>
        <v/>
      </c>
      <c r="J516" s="3153" t="str">
        <f>IFERROR(INDEX('ACC &amp; Other Material '!$A:$AU,MATCH($C516,'ACC &amp; Other Material '!$AU:$AU,0),9)*(1+'ACC &amp; Other Material '!$J$4),"")</f>
        <v/>
      </c>
    </row>
    <row r="517" spans="2:10" ht="21.75">
      <c r="B517" s="3143" t="s">
        <v>2035</v>
      </c>
      <c r="C517" s="3143">
        <f t="shared" si="9"/>
        <v>9</v>
      </c>
      <c r="D517" s="3143" t="str">
        <f>IFERROR(INDEX('ACC &amp; Other Material '!$A:$AU,MATCH($C517,'ACC &amp; Other Material '!$AU:$AU,0),1),"")</f>
        <v/>
      </c>
      <c r="E517" s="3143" t="str">
        <f>IFERROR(INDEX('ACC &amp; Other Material '!$A:$AU,MATCH($C517,'ACC &amp; Other Material '!$AU:$AU,0),3),"")</f>
        <v/>
      </c>
      <c r="G517" s="3599"/>
      <c r="H517" s="3599"/>
      <c r="I517" s="3153" t="str">
        <f>IFERROR(INDEX('ACC &amp; Other Material '!$A:$AU,MATCH($C517,'ACC &amp; Other Material '!$AU:$AU,0),9),"")</f>
        <v/>
      </c>
      <c r="J517" s="3153" t="str">
        <f>IFERROR(INDEX('ACC &amp; Other Material '!$A:$AU,MATCH($C517,'ACC &amp; Other Material '!$AU:$AU,0),9)*(1+'ACC &amp; Other Material '!$J$4),"")</f>
        <v/>
      </c>
    </row>
    <row r="518" spans="2:10" ht="21.75">
      <c r="B518" s="3143" t="s">
        <v>2035</v>
      </c>
      <c r="C518" s="3143">
        <f t="shared" si="9"/>
        <v>10</v>
      </c>
      <c r="D518" s="3143" t="str">
        <f>IFERROR(INDEX('ACC &amp; Other Material '!$A:$AU,MATCH($C518,'ACC &amp; Other Material '!$AU:$AU,0),1),"")</f>
        <v/>
      </c>
      <c r="E518" s="3143" t="str">
        <f>IFERROR(INDEX('ACC &amp; Other Material '!$A:$AU,MATCH($C518,'ACC &amp; Other Material '!$AU:$AU,0),3),"")</f>
        <v/>
      </c>
      <c r="G518" s="3599"/>
      <c r="H518" s="3599"/>
      <c r="I518" s="3153" t="str">
        <f>IFERROR(INDEX('ACC &amp; Other Material '!$A:$AU,MATCH($C518,'ACC &amp; Other Material '!$AU:$AU,0),9),"")</f>
        <v/>
      </c>
      <c r="J518" s="3153" t="str">
        <f>IFERROR(INDEX('ACC &amp; Other Material '!$A:$AU,MATCH($C518,'ACC &amp; Other Material '!$AU:$AU,0),9)*(1+'ACC &amp; Other Material '!$J$4),"")</f>
        <v/>
      </c>
    </row>
    <row r="519" spans="2:10" ht="21.75">
      <c r="B519" s="3143" t="s">
        <v>2035</v>
      </c>
      <c r="C519" s="3143">
        <f t="shared" si="9"/>
        <v>11</v>
      </c>
      <c r="D519" s="3143" t="str">
        <f>IFERROR(INDEX('ACC &amp; Other Material '!$A:$AU,MATCH($C519,'ACC &amp; Other Material '!$AU:$AU,0),1),"")</f>
        <v/>
      </c>
      <c r="E519" s="3143" t="str">
        <f>IFERROR(INDEX('ACC &amp; Other Material '!$A:$AU,MATCH($C519,'ACC &amp; Other Material '!$AU:$AU,0),3),"")</f>
        <v/>
      </c>
      <c r="G519" s="3599"/>
      <c r="H519" s="3599"/>
      <c r="I519" s="3153" t="str">
        <f>IFERROR(INDEX('ACC &amp; Other Material '!$A:$AU,MATCH($C519,'ACC &amp; Other Material '!$AU:$AU,0),9),"")</f>
        <v/>
      </c>
      <c r="J519" s="3153" t="str">
        <f>IFERROR(INDEX('ACC &amp; Other Material '!$A:$AU,MATCH($C519,'ACC &amp; Other Material '!$AU:$AU,0),9)*(1+'ACC &amp; Other Material '!$J$4),"")</f>
        <v/>
      </c>
    </row>
    <row r="520" spans="2:10" ht="21.75">
      <c r="B520" s="3143" t="s">
        <v>2035</v>
      </c>
      <c r="C520" s="3143">
        <f t="shared" si="9"/>
        <v>12</v>
      </c>
      <c r="D520" s="3143" t="str">
        <f>IFERROR(INDEX('ACC &amp; Other Material '!$A:$AU,MATCH($C520,'ACC &amp; Other Material '!$AU:$AU,0),1),"")</f>
        <v/>
      </c>
      <c r="E520" s="3143" t="str">
        <f>IFERROR(INDEX('ACC &amp; Other Material '!$A:$AU,MATCH($C520,'ACC &amp; Other Material '!$AU:$AU,0),3),"")</f>
        <v/>
      </c>
      <c r="G520" s="3599"/>
      <c r="H520" s="3599"/>
      <c r="I520" s="3153" t="str">
        <f>IFERROR(INDEX('ACC &amp; Other Material '!$A:$AU,MATCH($C520,'ACC &amp; Other Material '!$AU:$AU,0),9),"")</f>
        <v/>
      </c>
      <c r="J520" s="3153" t="str">
        <f>IFERROR(INDEX('ACC &amp; Other Material '!$A:$AU,MATCH($C520,'ACC &amp; Other Material '!$AU:$AU,0),9)*(1+'ACC &amp; Other Material '!$J$4),"")</f>
        <v/>
      </c>
    </row>
    <row r="521" spans="2:10" ht="21.75">
      <c r="B521" s="3143" t="s">
        <v>2035</v>
      </c>
      <c r="C521" s="3143">
        <f t="shared" si="9"/>
        <v>13</v>
      </c>
      <c r="D521" s="3143" t="str">
        <f>IFERROR(INDEX('ACC &amp; Other Material '!$A:$AU,MATCH($C521,'ACC &amp; Other Material '!$AU:$AU,0),1),"")</f>
        <v/>
      </c>
      <c r="E521" s="3143" t="str">
        <f>IFERROR(INDEX('ACC &amp; Other Material '!$A:$AU,MATCH($C521,'ACC &amp; Other Material '!$AU:$AU,0),3),"")</f>
        <v/>
      </c>
      <c r="G521" s="3599"/>
      <c r="H521" s="3599"/>
      <c r="I521" s="3153" t="str">
        <f>IFERROR(INDEX('ACC &amp; Other Material '!$A:$AU,MATCH($C521,'ACC &amp; Other Material '!$AU:$AU,0),9),"")</f>
        <v/>
      </c>
      <c r="J521" s="3153" t="str">
        <f>IFERROR(INDEX('ACC &amp; Other Material '!$A:$AU,MATCH($C521,'ACC &amp; Other Material '!$AU:$AU,0),9)*(1+'ACC &amp; Other Material '!$J$4),"")</f>
        <v/>
      </c>
    </row>
    <row r="522" spans="2:10" ht="21.75">
      <c r="B522" s="3143" t="s">
        <v>2035</v>
      </c>
      <c r="C522" s="3143">
        <f t="shared" si="9"/>
        <v>14</v>
      </c>
      <c r="D522" s="3143" t="str">
        <f>IFERROR(INDEX('ACC &amp; Other Material '!$A:$AU,MATCH($C522,'ACC &amp; Other Material '!$AU:$AU,0),1),"")</f>
        <v/>
      </c>
      <c r="E522" s="3143" t="str">
        <f>IFERROR(INDEX('ACC &amp; Other Material '!$A:$AU,MATCH($C522,'ACC &amp; Other Material '!$AU:$AU,0),3),"")</f>
        <v/>
      </c>
      <c r="G522" s="3599"/>
      <c r="H522" s="3599"/>
      <c r="I522" s="3153" t="str">
        <f>IFERROR(INDEX('ACC &amp; Other Material '!$A:$AU,MATCH($C522,'ACC &amp; Other Material '!$AU:$AU,0),9),"")</f>
        <v/>
      </c>
      <c r="J522" s="3153" t="str">
        <f>IFERROR(INDEX('ACC &amp; Other Material '!$A:$AU,MATCH($C522,'ACC &amp; Other Material '!$AU:$AU,0),9)*(1+'ACC &amp; Other Material '!$J$4),"")</f>
        <v/>
      </c>
    </row>
    <row r="523" spans="2:10" ht="21.75">
      <c r="B523" s="3143" t="s">
        <v>2035</v>
      </c>
      <c r="C523" s="3143">
        <f t="shared" si="9"/>
        <v>15</v>
      </c>
      <c r="D523" s="3143" t="str">
        <f>IFERROR(INDEX('ACC &amp; Other Material '!$A:$AU,MATCH($C523,'ACC &amp; Other Material '!$AU:$AU,0),1),"")</f>
        <v/>
      </c>
      <c r="E523" s="3143" t="str">
        <f>IFERROR(INDEX('ACC &amp; Other Material '!$A:$AU,MATCH($C523,'ACC &amp; Other Material '!$AU:$AU,0),3),"")</f>
        <v/>
      </c>
      <c r="G523" s="3599"/>
      <c r="H523" s="3599"/>
      <c r="I523" s="3153" t="str">
        <f>IFERROR(INDEX('ACC &amp; Other Material '!$A:$AU,MATCH($C523,'ACC &amp; Other Material '!$AU:$AU,0),9),"")</f>
        <v/>
      </c>
      <c r="J523" s="3153" t="str">
        <f>IFERROR(INDEX('ACC &amp; Other Material '!$A:$AU,MATCH($C523,'ACC &amp; Other Material '!$AU:$AU,0),9)*(1+'ACC &amp; Other Material '!$J$4),"")</f>
        <v/>
      </c>
    </row>
    <row r="524" spans="2:10" ht="21.75">
      <c r="B524" s="3143" t="s">
        <v>2035</v>
      </c>
      <c r="C524" s="3143">
        <f t="shared" si="9"/>
        <v>16</v>
      </c>
      <c r="D524" s="3143" t="str">
        <f>IFERROR(INDEX('ACC &amp; Other Material '!$A:$AU,MATCH($C524,'ACC &amp; Other Material '!$AU:$AU,0),1),"")</f>
        <v/>
      </c>
      <c r="E524" s="3143" t="str">
        <f>IFERROR(INDEX('ACC &amp; Other Material '!$A:$AU,MATCH($C524,'ACC &amp; Other Material '!$AU:$AU,0),3),"")</f>
        <v/>
      </c>
      <c r="G524" s="3599"/>
      <c r="H524" s="3599"/>
      <c r="I524" s="3153" t="str">
        <f>IFERROR(INDEX('ACC &amp; Other Material '!$A:$AU,MATCH($C524,'ACC &amp; Other Material '!$AU:$AU,0),9),"")</f>
        <v/>
      </c>
      <c r="J524" s="3153" t="str">
        <f>IFERROR(INDEX('ACC &amp; Other Material '!$A:$AU,MATCH($C524,'ACC &amp; Other Material '!$AU:$AU,0),9)*(1+'ACC &amp; Other Material '!$J$4),"")</f>
        <v/>
      </c>
    </row>
    <row r="525" spans="2:10" ht="21.75">
      <c r="B525" s="3143" t="s">
        <v>2035</v>
      </c>
      <c r="C525" s="3143">
        <f t="shared" si="9"/>
        <v>17</v>
      </c>
      <c r="D525" s="3143" t="str">
        <f>IFERROR(INDEX('ACC &amp; Other Material '!$A:$AU,MATCH($C525,'ACC &amp; Other Material '!$AU:$AU,0),1),"")</f>
        <v/>
      </c>
      <c r="E525" s="3143" t="str">
        <f>IFERROR(INDEX('ACC &amp; Other Material '!$A:$AU,MATCH($C525,'ACC &amp; Other Material '!$AU:$AU,0),3),"")</f>
        <v/>
      </c>
      <c r="G525" s="3599"/>
      <c r="H525" s="3599"/>
      <c r="I525" s="3153" t="str">
        <f>IFERROR(INDEX('ACC &amp; Other Material '!$A:$AU,MATCH($C525,'ACC &amp; Other Material '!$AU:$AU,0),9),"")</f>
        <v/>
      </c>
      <c r="J525" s="3153" t="str">
        <f>IFERROR(INDEX('ACC &amp; Other Material '!$A:$AU,MATCH($C525,'ACC &amp; Other Material '!$AU:$AU,0),9)*(1+'ACC &amp; Other Material '!$J$4),"")</f>
        <v/>
      </c>
    </row>
    <row r="526" spans="2:10" ht="21.75">
      <c r="B526" s="3143" t="s">
        <v>2035</v>
      </c>
      <c r="C526" s="3143">
        <f t="shared" si="9"/>
        <v>18</v>
      </c>
      <c r="D526" s="3143" t="str">
        <f>IFERROR(INDEX('ACC &amp; Other Material '!$A:$AU,MATCH($C526,'ACC &amp; Other Material '!$AU:$AU,0),1),"")</f>
        <v/>
      </c>
      <c r="E526" s="3143" t="str">
        <f>IFERROR(INDEX('ACC &amp; Other Material '!$A:$AU,MATCH($C526,'ACC &amp; Other Material '!$AU:$AU,0),3),"")</f>
        <v/>
      </c>
      <c r="G526" s="3599"/>
      <c r="H526" s="3599"/>
      <c r="I526" s="3153" t="str">
        <f>IFERROR(INDEX('ACC &amp; Other Material '!$A:$AU,MATCH($C526,'ACC &amp; Other Material '!$AU:$AU,0),9),"")</f>
        <v/>
      </c>
      <c r="J526" s="3153" t="str">
        <f>IFERROR(INDEX('ACC &amp; Other Material '!$A:$AU,MATCH($C526,'ACC &amp; Other Material '!$AU:$AU,0),9)*(1+'ACC &amp; Other Material '!$J$4),"")</f>
        <v/>
      </c>
    </row>
    <row r="527" spans="2:10" ht="21.75">
      <c r="B527" s="3143" t="s">
        <v>2035</v>
      </c>
      <c r="C527" s="3143">
        <f t="shared" si="9"/>
        <v>19</v>
      </c>
      <c r="D527" s="3143" t="str">
        <f>IFERROR(INDEX('ACC &amp; Other Material '!$A:$AU,MATCH($C527,'ACC &amp; Other Material '!$AU:$AU,0),1),"")</f>
        <v/>
      </c>
      <c r="E527" s="3143" t="str">
        <f>IFERROR(INDEX('ACC &amp; Other Material '!$A:$AU,MATCH($C527,'ACC &amp; Other Material '!$AU:$AU,0),3),"")</f>
        <v/>
      </c>
      <c r="G527" s="3599"/>
      <c r="H527" s="3599"/>
      <c r="I527" s="3153" t="str">
        <f>IFERROR(INDEX('ACC &amp; Other Material '!$A:$AU,MATCH($C527,'ACC &amp; Other Material '!$AU:$AU,0),9),"")</f>
        <v/>
      </c>
      <c r="J527" s="3153" t="str">
        <f>IFERROR(INDEX('ACC &amp; Other Material '!$A:$AU,MATCH($C527,'ACC &amp; Other Material '!$AU:$AU,0),9)*(1+'ACC &amp; Other Material '!$J$4),"")</f>
        <v/>
      </c>
    </row>
    <row r="528" spans="2:10" ht="21.75">
      <c r="B528" s="3143" t="s">
        <v>2035</v>
      </c>
      <c r="C528" s="3143">
        <f t="shared" si="9"/>
        <v>20</v>
      </c>
      <c r="D528" s="3143" t="str">
        <f>IFERROR(INDEX('ACC &amp; Other Material '!$A:$AU,MATCH($C528,'ACC &amp; Other Material '!$AU:$AU,0),1),"")</f>
        <v/>
      </c>
      <c r="E528" s="3143" t="str">
        <f>IFERROR(INDEX('ACC &amp; Other Material '!$A:$AU,MATCH($C528,'ACC &amp; Other Material '!$AU:$AU,0),3),"")</f>
        <v/>
      </c>
      <c r="G528" s="3599"/>
      <c r="H528" s="3599"/>
      <c r="I528" s="3153" t="str">
        <f>IFERROR(INDEX('ACC &amp; Other Material '!$A:$AU,MATCH($C528,'ACC &amp; Other Material '!$AU:$AU,0),9),"")</f>
        <v/>
      </c>
      <c r="J528" s="3153" t="str">
        <f>IFERROR(INDEX('ACC &amp; Other Material '!$A:$AU,MATCH($C528,'ACC &amp; Other Material '!$AU:$AU,0),9)*(1+'ACC &amp; Other Material '!$J$4),"")</f>
        <v/>
      </c>
    </row>
    <row r="529" spans="2:10" ht="21.75">
      <c r="B529" s="3143" t="s">
        <v>2035</v>
      </c>
      <c r="C529" s="3143">
        <f t="shared" si="9"/>
        <v>21</v>
      </c>
      <c r="D529" s="3143" t="str">
        <f>IFERROR(INDEX('ACC &amp; Other Material '!$A:$AU,MATCH($C529,'ACC &amp; Other Material '!$AU:$AU,0),1),"")</f>
        <v/>
      </c>
      <c r="E529" s="3143" t="str">
        <f>IFERROR(INDEX('ACC &amp; Other Material '!$A:$AU,MATCH($C529,'ACC &amp; Other Material '!$AU:$AU,0),3),"")</f>
        <v/>
      </c>
      <c r="G529" s="3599"/>
      <c r="H529" s="3599"/>
      <c r="I529" s="3153" t="str">
        <f>IFERROR(INDEX('ACC &amp; Other Material '!$A:$AU,MATCH($C529,'ACC &amp; Other Material '!$AU:$AU,0),9),"")</f>
        <v/>
      </c>
      <c r="J529" s="3153" t="str">
        <f>IFERROR(INDEX('ACC &amp; Other Material '!$A:$AU,MATCH($C529,'ACC &amp; Other Material '!$AU:$AU,0),9)*(1+'ACC &amp; Other Material '!$J$4),"")</f>
        <v/>
      </c>
    </row>
    <row r="530" spans="2:10" ht="21.75">
      <c r="B530" s="3143" t="s">
        <v>2035</v>
      </c>
      <c r="C530" s="3143">
        <f t="shared" si="9"/>
        <v>22</v>
      </c>
      <c r="D530" s="3143" t="str">
        <f>IFERROR(INDEX('ACC &amp; Other Material '!$A:$AU,MATCH($C530,'ACC &amp; Other Material '!$AU:$AU,0),1),"")</f>
        <v/>
      </c>
      <c r="E530" s="3143" t="str">
        <f>IFERROR(INDEX('ACC &amp; Other Material '!$A:$AU,MATCH($C530,'ACC &amp; Other Material '!$AU:$AU,0),3),"")</f>
        <v/>
      </c>
      <c r="G530" s="3599"/>
      <c r="H530" s="3599"/>
      <c r="I530" s="3153" t="str">
        <f>IFERROR(INDEX('ACC &amp; Other Material '!$A:$AU,MATCH($C530,'ACC &amp; Other Material '!$AU:$AU,0),9),"")</f>
        <v/>
      </c>
      <c r="J530" s="3153" t="str">
        <f>IFERROR(INDEX('ACC &amp; Other Material '!$A:$AU,MATCH($C530,'ACC &amp; Other Material '!$AU:$AU,0),9)*(1+'ACC &amp; Other Material '!$J$4),"")</f>
        <v/>
      </c>
    </row>
    <row r="531" spans="2:10" ht="21.75">
      <c r="B531" s="3143" t="s">
        <v>2035</v>
      </c>
      <c r="C531" s="3143">
        <f t="shared" si="9"/>
        <v>23</v>
      </c>
      <c r="D531" s="3143" t="str">
        <f>IFERROR(INDEX('ACC &amp; Other Material '!$A:$AU,MATCH($C531,'ACC &amp; Other Material '!$AU:$AU,0),1),"")</f>
        <v/>
      </c>
      <c r="E531" s="3143" t="str">
        <f>IFERROR(INDEX('ACC &amp; Other Material '!$A:$AU,MATCH($C531,'ACC &amp; Other Material '!$AU:$AU,0),3),"")</f>
        <v/>
      </c>
      <c r="G531" s="3599"/>
      <c r="H531" s="3599"/>
      <c r="I531" s="3153" t="str">
        <f>IFERROR(INDEX('ACC &amp; Other Material '!$A:$AU,MATCH($C531,'ACC &amp; Other Material '!$AU:$AU,0),9),"")</f>
        <v/>
      </c>
      <c r="J531" s="3153" t="str">
        <f>IFERROR(INDEX('ACC &amp; Other Material '!$A:$AU,MATCH($C531,'ACC &amp; Other Material '!$AU:$AU,0),9)*(1+'ACC &amp; Other Material '!$J$4),"")</f>
        <v/>
      </c>
    </row>
    <row r="532" spans="2:10" ht="21.75">
      <c r="B532" s="3143" t="s">
        <v>2035</v>
      </c>
      <c r="C532" s="3143">
        <f t="shared" si="9"/>
        <v>24</v>
      </c>
      <c r="D532" s="3143" t="str">
        <f>IFERROR(INDEX('ACC &amp; Other Material '!$A:$AU,MATCH($C532,'ACC &amp; Other Material '!$AU:$AU,0),1),"")</f>
        <v/>
      </c>
      <c r="E532" s="3143" t="str">
        <f>IFERROR(INDEX('ACC &amp; Other Material '!$A:$AU,MATCH($C532,'ACC &amp; Other Material '!$AU:$AU,0),3),"")</f>
        <v/>
      </c>
      <c r="G532" s="3599"/>
      <c r="H532" s="3599"/>
      <c r="I532" s="3153" t="str">
        <f>IFERROR(INDEX('ACC &amp; Other Material '!$A:$AU,MATCH($C532,'ACC &amp; Other Material '!$AU:$AU,0),9),"")</f>
        <v/>
      </c>
      <c r="J532" s="3153" t="str">
        <f>IFERROR(INDEX('ACC &amp; Other Material '!$A:$AU,MATCH($C532,'ACC &amp; Other Material '!$AU:$AU,0),9)*(1+'ACC &amp; Other Material '!$J$4),"")</f>
        <v/>
      </c>
    </row>
    <row r="533" spans="2:10" ht="21.75">
      <c r="B533" s="3143" t="s">
        <v>2035</v>
      </c>
      <c r="C533" s="3143">
        <f t="shared" si="9"/>
        <v>25</v>
      </c>
      <c r="D533" s="3143" t="str">
        <f>IFERROR(INDEX('ACC &amp; Other Material '!$A:$AU,MATCH($C533,'ACC &amp; Other Material '!$AU:$AU,0),1),"")</f>
        <v/>
      </c>
      <c r="E533" s="3143" t="str">
        <f>IFERROR(INDEX('ACC &amp; Other Material '!$A:$AU,MATCH($C533,'ACC &amp; Other Material '!$AU:$AU,0),3),"")</f>
        <v/>
      </c>
      <c r="G533" s="3599"/>
      <c r="H533" s="3599"/>
      <c r="I533" s="3153" t="str">
        <f>IFERROR(INDEX('ACC &amp; Other Material '!$A:$AU,MATCH($C533,'ACC &amp; Other Material '!$AU:$AU,0),9),"")</f>
        <v/>
      </c>
      <c r="J533" s="3153" t="str">
        <f>IFERROR(INDEX('ACC &amp; Other Material '!$A:$AU,MATCH($C533,'ACC &amp; Other Material '!$AU:$AU,0),9)*(1+'ACC &amp; Other Material '!$J$4),"")</f>
        <v/>
      </c>
    </row>
    <row r="534" spans="2:10" ht="21.75">
      <c r="B534" s="3143" t="s">
        <v>2035</v>
      </c>
      <c r="C534" s="3143">
        <f t="shared" si="9"/>
        <v>26</v>
      </c>
      <c r="D534" s="3143" t="str">
        <f>IFERROR(INDEX('ACC &amp; Other Material '!$A:$AU,MATCH($C534,'ACC &amp; Other Material '!$AU:$AU,0),1),"")</f>
        <v/>
      </c>
      <c r="E534" s="3143" t="str">
        <f>IFERROR(INDEX('ACC &amp; Other Material '!$A:$AU,MATCH($C534,'ACC &amp; Other Material '!$AU:$AU,0),3),"")</f>
        <v/>
      </c>
      <c r="G534" s="3599"/>
      <c r="H534" s="3599"/>
      <c r="I534" s="3153" t="str">
        <f>IFERROR(INDEX('ACC &amp; Other Material '!$A:$AU,MATCH($C534,'ACC &amp; Other Material '!$AU:$AU,0),9),"")</f>
        <v/>
      </c>
      <c r="J534" s="3153" t="str">
        <f>IFERROR(INDEX('ACC &amp; Other Material '!$A:$AU,MATCH($C534,'ACC &amp; Other Material '!$AU:$AU,0),9)*(1+'ACC &amp; Other Material '!$J$4),"")</f>
        <v/>
      </c>
    </row>
    <row r="535" spans="2:10" ht="21.75">
      <c r="B535" s="3143" t="s">
        <v>2035</v>
      </c>
      <c r="C535" s="3143">
        <f t="shared" si="9"/>
        <v>27</v>
      </c>
      <c r="D535" s="3143" t="str">
        <f>IFERROR(INDEX('ACC &amp; Other Material '!$A:$AU,MATCH($C535,'ACC &amp; Other Material '!$AU:$AU,0),1),"")</f>
        <v/>
      </c>
      <c r="E535" s="3143" t="str">
        <f>IFERROR(INDEX('ACC &amp; Other Material '!$A:$AU,MATCH($C535,'ACC &amp; Other Material '!$AU:$AU,0),3),"")</f>
        <v/>
      </c>
      <c r="G535" s="3599"/>
      <c r="H535" s="3599"/>
      <c r="I535" s="3153" t="str">
        <f>IFERROR(INDEX('ACC &amp; Other Material '!$A:$AU,MATCH($C535,'ACC &amp; Other Material '!$AU:$AU,0),9),"")</f>
        <v/>
      </c>
      <c r="J535" s="3153" t="str">
        <f>IFERROR(INDEX('ACC &amp; Other Material '!$A:$AU,MATCH($C535,'ACC &amp; Other Material '!$AU:$AU,0),9)*(1+'ACC &amp; Other Material '!$J$4),"")</f>
        <v/>
      </c>
    </row>
    <row r="536" spans="2:10" ht="21.75">
      <c r="B536" s="3143" t="s">
        <v>2035</v>
      </c>
      <c r="C536" s="3143">
        <f t="shared" si="9"/>
        <v>28</v>
      </c>
      <c r="D536" s="3143" t="str">
        <f>IFERROR(INDEX('ACC &amp; Other Material '!$A:$AU,MATCH($C536,'ACC &amp; Other Material '!$AU:$AU,0),1),"")</f>
        <v/>
      </c>
      <c r="E536" s="3143" t="str">
        <f>IFERROR(INDEX('ACC &amp; Other Material '!$A:$AU,MATCH($C536,'ACC &amp; Other Material '!$AU:$AU,0),3),"")</f>
        <v/>
      </c>
      <c r="G536" s="3599"/>
      <c r="H536" s="3599"/>
      <c r="I536" s="3153" t="str">
        <f>IFERROR(INDEX('ACC &amp; Other Material '!$A:$AU,MATCH($C536,'ACC &amp; Other Material '!$AU:$AU,0),9),"")</f>
        <v/>
      </c>
      <c r="J536" s="3153" t="str">
        <f>IFERROR(INDEX('ACC &amp; Other Material '!$A:$AU,MATCH($C536,'ACC &amp; Other Material '!$AU:$AU,0),9)*(1+'ACC &amp; Other Material '!$J$4),"")</f>
        <v/>
      </c>
    </row>
    <row r="537" spans="2:10" ht="21.75">
      <c r="B537" s="3143" t="s">
        <v>2035</v>
      </c>
      <c r="C537" s="3143">
        <f t="shared" si="9"/>
        <v>29</v>
      </c>
      <c r="D537" s="3143" t="str">
        <f>IFERROR(INDEX('ACC &amp; Other Material '!$A:$AU,MATCH($C537,'ACC &amp; Other Material '!$AU:$AU,0),1),"")</f>
        <v/>
      </c>
      <c r="E537" s="3143" t="str">
        <f>IFERROR(INDEX('ACC &amp; Other Material '!$A:$AU,MATCH($C537,'ACC &amp; Other Material '!$AU:$AU,0),3),"")</f>
        <v/>
      </c>
      <c r="G537" s="3599"/>
      <c r="H537" s="3599"/>
      <c r="I537" s="3153" t="str">
        <f>IFERROR(INDEX('ACC &amp; Other Material '!$A:$AU,MATCH($C537,'ACC &amp; Other Material '!$AU:$AU,0),9),"")</f>
        <v/>
      </c>
      <c r="J537" s="3153" t="str">
        <f>IFERROR(INDEX('ACC &amp; Other Material '!$A:$AU,MATCH($C537,'ACC &amp; Other Material '!$AU:$AU,0),9)*(1+'ACC &amp; Other Material '!$J$4),"")</f>
        <v/>
      </c>
    </row>
    <row r="538" spans="2:10" ht="21.75">
      <c r="B538" s="3143" t="s">
        <v>2035</v>
      </c>
      <c r="C538" s="3143">
        <f t="shared" si="9"/>
        <v>30</v>
      </c>
      <c r="D538" s="3143" t="str">
        <f>IFERROR(INDEX('ACC &amp; Other Material '!$A:$AU,MATCH($C538,'ACC &amp; Other Material '!$AU:$AU,0),1),"")</f>
        <v/>
      </c>
      <c r="E538" s="3143" t="str">
        <f>IFERROR(INDEX('ACC &amp; Other Material '!$A:$AU,MATCH($C538,'ACC &amp; Other Material '!$AU:$AU,0),3),"")</f>
        <v/>
      </c>
      <c r="G538" s="3599"/>
      <c r="H538" s="3599"/>
      <c r="I538" s="3153" t="str">
        <f>IFERROR(INDEX('ACC &amp; Other Material '!$A:$AU,MATCH($C538,'ACC &amp; Other Material '!$AU:$AU,0),9),"")</f>
        <v/>
      </c>
      <c r="J538" s="3153" t="str">
        <f>IFERROR(INDEX('ACC &amp; Other Material '!$A:$AU,MATCH($C538,'ACC &amp; Other Material '!$AU:$AU,0),9)*(1+'ACC &amp; Other Material '!$J$4),"")</f>
        <v/>
      </c>
    </row>
    <row r="539" spans="2:10" ht="21.75">
      <c r="B539" s="3143" t="s">
        <v>2035</v>
      </c>
      <c r="C539" s="3143">
        <f t="shared" si="9"/>
        <v>31</v>
      </c>
      <c r="D539" s="3143" t="str">
        <f>IFERROR(INDEX('ACC &amp; Other Material '!$A:$AU,MATCH($C539,'ACC &amp; Other Material '!$AU:$AU,0),1),"")</f>
        <v/>
      </c>
      <c r="E539" s="3143" t="str">
        <f>IFERROR(INDEX('ACC &amp; Other Material '!$A:$AU,MATCH($C539,'ACC &amp; Other Material '!$AU:$AU,0),3),"")</f>
        <v/>
      </c>
      <c r="G539" s="3599"/>
      <c r="H539" s="3599"/>
      <c r="I539" s="3153" t="str">
        <f>IFERROR(INDEX('ACC &amp; Other Material '!$A:$AU,MATCH($C539,'ACC &amp; Other Material '!$AU:$AU,0),9),"")</f>
        <v/>
      </c>
      <c r="J539" s="3153" t="str">
        <f>IFERROR(INDEX('ACC &amp; Other Material '!$A:$AU,MATCH($C539,'ACC &amp; Other Material '!$AU:$AU,0),9)*(1+'ACC &amp; Other Material '!$J$4),"")</f>
        <v/>
      </c>
    </row>
    <row r="540" spans="2:10" ht="21.75">
      <c r="B540" s="3143" t="s">
        <v>2035</v>
      </c>
      <c r="C540" s="3143">
        <f t="shared" si="9"/>
        <v>32</v>
      </c>
      <c r="D540" s="3143" t="str">
        <f>IFERROR(INDEX('ACC &amp; Other Material '!$A:$AU,MATCH($C540,'ACC &amp; Other Material '!$AU:$AU,0),1),"")</f>
        <v/>
      </c>
      <c r="E540" s="3143" t="str">
        <f>IFERROR(INDEX('ACC &amp; Other Material '!$A:$AU,MATCH($C540,'ACC &amp; Other Material '!$AU:$AU,0),3),"")</f>
        <v/>
      </c>
      <c r="G540" s="3599"/>
      <c r="H540" s="3599"/>
      <c r="I540" s="3153" t="str">
        <f>IFERROR(INDEX('ACC &amp; Other Material '!$A:$AU,MATCH($C540,'ACC &amp; Other Material '!$AU:$AU,0),9),"")</f>
        <v/>
      </c>
      <c r="J540" s="3153" t="str">
        <f>IFERROR(INDEX('ACC &amp; Other Material '!$A:$AU,MATCH($C540,'ACC &amp; Other Material '!$AU:$AU,0),9)*(1+'ACC &amp; Other Material '!$J$4),"")</f>
        <v/>
      </c>
    </row>
    <row r="541" spans="2:10" ht="21.75">
      <c r="B541" s="3143" t="s">
        <v>2035</v>
      </c>
      <c r="C541" s="3143">
        <f t="shared" si="9"/>
        <v>33</v>
      </c>
      <c r="D541" s="3143" t="str">
        <f>IFERROR(INDEX('ACC &amp; Other Material '!$A:$AU,MATCH($C541,'ACC &amp; Other Material '!$AU:$AU,0),1),"")</f>
        <v/>
      </c>
      <c r="E541" s="3143" t="str">
        <f>IFERROR(INDEX('ACC &amp; Other Material '!$A:$AU,MATCH($C541,'ACC &amp; Other Material '!$AU:$AU,0),3),"")</f>
        <v/>
      </c>
      <c r="G541" s="3599"/>
      <c r="H541" s="3599"/>
      <c r="I541" s="3153" t="str">
        <f>IFERROR(INDEX('ACC &amp; Other Material '!$A:$AU,MATCH($C541,'ACC &amp; Other Material '!$AU:$AU,0),9),"")</f>
        <v/>
      </c>
      <c r="J541" s="3153" t="str">
        <f>IFERROR(INDEX('ACC &amp; Other Material '!$A:$AU,MATCH($C541,'ACC &amp; Other Material '!$AU:$AU,0),9)*(1+'ACC &amp; Other Material '!$J$4),"")</f>
        <v/>
      </c>
    </row>
    <row r="542" spans="2:10" ht="21.75">
      <c r="B542" s="3143" t="s">
        <v>2035</v>
      </c>
      <c r="C542" s="3143">
        <f t="shared" si="9"/>
        <v>34</v>
      </c>
      <c r="D542" s="3143" t="str">
        <f>IFERROR(INDEX('ACC &amp; Other Material '!$A:$AU,MATCH($C542,'ACC &amp; Other Material '!$AU:$AU,0),1),"")</f>
        <v/>
      </c>
      <c r="E542" s="3143" t="str">
        <f>IFERROR(INDEX('ACC &amp; Other Material '!$A:$AU,MATCH($C542,'ACC &amp; Other Material '!$AU:$AU,0),3),"")</f>
        <v/>
      </c>
      <c r="G542" s="3599"/>
      <c r="H542" s="3599"/>
      <c r="I542" s="3153" t="str">
        <f>IFERROR(INDEX('ACC &amp; Other Material '!$A:$AU,MATCH($C542,'ACC &amp; Other Material '!$AU:$AU,0),9),"")</f>
        <v/>
      </c>
      <c r="J542" s="3153" t="str">
        <f>IFERROR(INDEX('ACC &amp; Other Material '!$A:$AU,MATCH($C542,'ACC &amp; Other Material '!$AU:$AU,0),9)*(1+'ACC &amp; Other Material '!$J$4),"")</f>
        <v/>
      </c>
    </row>
    <row r="543" spans="2:10" ht="21.75">
      <c r="B543" s="3143" t="s">
        <v>2035</v>
      </c>
      <c r="C543" s="3143">
        <f t="shared" si="9"/>
        <v>35</v>
      </c>
      <c r="D543" s="3143" t="str">
        <f>IFERROR(INDEX('ACC &amp; Other Material '!$A:$AU,MATCH($C543,'ACC &amp; Other Material '!$AU:$AU,0),1),"")</f>
        <v/>
      </c>
      <c r="E543" s="3143" t="str">
        <f>IFERROR(INDEX('ACC &amp; Other Material '!$A:$AU,MATCH($C543,'ACC &amp; Other Material '!$AU:$AU,0),3),"")</f>
        <v/>
      </c>
      <c r="G543" s="3599"/>
      <c r="H543" s="3599"/>
      <c r="I543" s="3153" t="str">
        <f>IFERROR(INDEX('ACC &amp; Other Material '!$A:$AU,MATCH($C543,'ACC &amp; Other Material '!$AU:$AU,0),9),"")</f>
        <v/>
      </c>
      <c r="J543" s="3153" t="str">
        <f>IFERROR(INDEX('ACC &amp; Other Material '!$A:$AU,MATCH($C543,'ACC &amp; Other Material '!$AU:$AU,0),9)*(1+'ACC &amp; Other Material '!$J$4),"")</f>
        <v/>
      </c>
    </row>
    <row r="544" spans="2:10" ht="21.75">
      <c r="B544" s="3143" t="s">
        <v>2035</v>
      </c>
      <c r="C544" s="3143">
        <f t="shared" si="9"/>
        <v>36</v>
      </c>
      <c r="D544" s="3143" t="str">
        <f>IFERROR(INDEX('ACC &amp; Other Material '!$A:$AU,MATCH($C544,'ACC &amp; Other Material '!$AU:$AU,0),1),"")</f>
        <v/>
      </c>
      <c r="E544" s="3143" t="str">
        <f>IFERROR(INDEX('ACC &amp; Other Material '!$A:$AU,MATCH($C544,'ACC &amp; Other Material '!$AU:$AU,0),3),"")</f>
        <v/>
      </c>
      <c r="G544" s="3599"/>
      <c r="H544" s="3599"/>
      <c r="I544" s="3153" t="str">
        <f>IFERROR(INDEX('ACC &amp; Other Material '!$A:$AU,MATCH($C544,'ACC &amp; Other Material '!$AU:$AU,0),9),"")</f>
        <v/>
      </c>
      <c r="J544" s="3153" t="str">
        <f>IFERROR(INDEX('ACC &amp; Other Material '!$A:$AU,MATCH($C544,'ACC &amp; Other Material '!$AU:$AU,0),9)*(1+'ACC &amp; Other Material '!$J$4),"")</f>
        <v/>
      </c>
    </row>
    <row r="545" spans="2:10" ht="21.75">
      <c r="B545" s="3143" t="s">
        <v>2035</v>
      </c>
      <c r="C545" s="3143">
        <f t="shared" si="9"/>
        <v>37</v>
      </c>
      <c r="D545" s="3143" t="str">
        <f>IFERROR(INDEX('ACC &amp; Other Material '!$A:$AU,MATCH($C545,'ACC &amp; Other Material '!$AU:$AU,0),1),"")</f>
        <v/>
      </c>
      <c r="E545" s="3143" t="str">
        <f>IFERROR(INDEX('ACC &amp; Other Material '!$A:$AU,MATCH($C545,'ACC &amp; Other Material '!$AU:$AU,0),3),"")</f>
        <v/>
      </c>
      <c r="G545" s="3599"/>
      <c r="H545" s="3599"/>
      <c r="I545" s="3153" t="str">
        <f>IFERROR(INDEX('ACC &amp; Other Material '!$A:$AU,MATCH($C545,'ACC &amp; Other Material '!$AU:$AU,0),9),"")</f>
        <v/>
      </c>
      <c r="J545" s="3153" t="str">
        <f>IFERROR(INDEX('ACC &amp; Other Material '!$A:$AU,MATCH($C545,'ACC &amp; Other Material '!$AU:$AU,0),9)*(1+'ACC &amp; Other Material '!$J$4),"")</f>
        <v/>
      </c>
    </row>
    <row r="546" spans="2:10" ht="21.75">
      <c r="B546" s="3143" t="s">
        <v>2035</v>
      </c>
      <c r="C546" s="3143">
        <f t="shared" si="9"/>
        <v>38</v>
      </c>
      <c r="D546" s="3143" t="str">
        <f>IFERROR(INDEX('ACC &amp; Other Material '!$A:$AU,MATCH($C546,'ACC &amp; Other Material '!$AU:$AU,0),1),"")</f>
        <v/>
      </c>
      <c r="E546" s="3143" t="str">
        <f>IFERROR(INDEX('ACC &amp; Other Material '!$A:$AU,MATCH($C546,'ACC &amp; Other Material '!$AU:$AU,0),3),"")</f>
        <v/>
      </c>
      <c r="G546" s="3599"/>
      <c r="H546" s="3599"/>
      <c r="I546" s="3153" t="str">
        <f>IFERROR(INDEX('ACC &amp; Other Material '!$A:$AU,MATCH($C546,'ACC &amp; Other Material '!$AU:$AU,0),9),"")</f>
        <v/>
      </c>
      <c r="J546" s="3153" t="str">
        <f>IFERROR(INDEX('ACC &amp; Other Material '!$A:$AU,MATCH($C546,'ACC &amp; Other Material '!$AU:$AU,0),9)*(1+'ACC &amp; Other Material '!$J$4),"")</f>
        <v/>
      </c>
    </row>
    <row r="547" spans="2:10" ht="21.75">
      <c r="B547" s="3143" t="s">
        <v>2035</v>
      </c>
      <c r="C547" s="3143">
        <f t="shared" si="9"/>
        <v>39</v>
      </c>
      <c r="D547" s="3143" t="str">
        <f>IFERROR(INDEX('ACC &amp; Other Material '!$A:$AU,MATCH($C547,'ACC &amp; Other Material '!$AU:$AU,0),1),"")</f>
        <v/>
      </c>
      <c r="E547" s="3143" t="str">
        <f>IFERROR(INDEX('ACC &amp; Other Material '!$A:$AU,MATCH($C547,'ACC &amp; Other Material '!$AU:$AU,0),3),"")</f>
        <v/>
      </c>
      <c r="G547" s="3599"/>
      <c r="H547" s="3599"/>
      <c r="I547" s="3153" t="str">
        <f>IFERROR(INDEX('ACC &amp; Other Material '!$A:$AU,MATCH($C547,'ACC &amp; Other Material '!$AU:$AU,0),9),"")</f>
        <v/>
      </c>
      <c r="J547" s="3153" t="str">
        <f>IFERROR(INDEX('ACC &amp; Other Material '!$A:$AU,MATCH($C547,'ACC &amp; Other Material '!$AU:$AU,0),9)*(1+'ACC &amp; Other Material '!$J$4),"")</f>
        <v/>
      </c>
    </row>
    <row r="548" spans="2:10" ht="21.75">
      <c r="B548" s="3143" t="s">
        <v>2035</v>
      </c>
      <c r="C548" s="3143">
        <f t="shared" si="9"/>
        <v>40</v>
      </c>
      <c r="D548" s="3143" t="str">
        <f>IFERROR(INDEX('ACC &amp; Other Material '!$A:$AU,MATCH($C548,'ACC &amp; Other Material '!$AU:$AU,0),1),"")</f>
        <v/>
      </c>
      <c r="E548" s="3143" t="str">
        <f>IFERROR(INDEX('ACC &amp; Other Material '!$A:$AU,MATCH($C548,'ACC &amp; Other Material '!$AU:$AU,0),3),"")</f>
        <v/>
      </c>
      <c r="G548" s="3599"/>
      <c r="H548" s="3599"/>
      <c r="I548" s="3153" t="str">
        <f>IFERROR(INDEX('ACC &amp; Other Material '!$A:$AU,MATCH($C548,'ACC &amp; Other Material '!$AU:$AU,0),9),"")</f>
        <v/>
      </c>
      <c r="J548" s="3153" t="str">
        <f>IFERROR(INDEX('ACC &amp; Other Material '!$A:$AU,MATCH($C548,'ACC &amp; Other Material '!$AU:$AU,0),9)*(1+'ACC &amp; Other Material '!$J$4),"")</f>
        <v/>
      </c>
    </row>
    <row r="549" spans="2:10" ht="21.75">
      <c r="D549" s="3143">
        <f>IFERROR(INDEX('ACC &amp; Other Material '!$A:$AU,MATCH($C549,'ACC &amp; Other Material '!$AU:$AU,0),1),"")</f>
        <v>0</v>
      </c>
      <c r="E549" s="3143" t="str">
        <f>IFERROR(INDEX('ACC &amp; Other Material '!$A:$AU,MATCH($C549,'ACC &amp; Other Material '!$AU:$AU,0),3),"")</f>
        <v>Acc1</v>
      </c>
      <c r="G549" s="3599"/>
      <c r="H549" s="3599"/>
      <c r="I549" s="3153">
        <f>IFERROR(INDEX('ACC &amp; Other Material '!$A:$AU,MATCH($C549,'ACC &amp; Other Material '!$AU:$AU,0),9),"")</f>
        <v>0</v>
      </c>
      <c r="J549" s="3153">
        <f>IFERROR(INDEX('ACC &amp; Other Material '!$A:$AU,MATCH($C549,'ACC &amp; Other Material '!$AU:$AU,0),9)*(1+'ACC &amp; Other Material '!$J$4),"")</f>
        <v>0</v>
      </c>
    </row>
    <row r="550" spans="2:10" ht="21.75">
      <c r="B550" s="3143" t="s">
        <v>164</v>
      </c>
      <c r="C550" s="3143">
        <v>1</v>
      </c>
      <c r="E550" s="3143" t="str">
        <f ca="1">IFERROR(INDEX('Packing Materials'!$A:$AU,MATCH($C550,'Packing Materials'!$AU:$AU,0),3),"")</f>
        <v>Carton Costs</v>
      </c>
      <c r="G550" s="3599"/>
      <c r="H550" s="3599"/>
      <c r="I550" s="3153">
        <f ca="1">IFERROR(INDEX('Packing Materials'!$A:$AU,MATCH($C550,'Packing Materials'!$AU:$AU,0),6)/'Packing Materials'!$E$2,"")</f>
        <v>116.85315322800001</v>
      </c>
      <c r="J550" s="3153">
        <f ca="1">IFERROR(INDEX('Packing Materials'!$A:$AU,MATCH($C550,'Packing Materials'!$AU:$AU,0),6)*(1+'Packing Materials'!$M$4)/'Packing Materials'!$E$2,"")</f>
        <v>116.85315322800001</v>
      </c>
    </row>
    <row r="551" spans="2:10" ht="21.75">
      <c r="B551" s="3143" t="s">
        <v>164</v>
      </c>
      <c r="C551" s="3143">
        <f>C550+1</f>
        <v>2</v>
      </c>
      <c r="E551" s="3143" t="str">
        <f ca="1">IFERROR(INDEX('Packing Materials'!$A:$AU,MATCH($C551,'Packing Materials'!$AU:$AU,0),3),"")</f>
        <v>Packing material cost</v>
      </c>
      <c r="G551" s="3599"/>
      <c r="H551" s="3599"/>
      <c r="I551" s="3153">
        <f ca="1">IFERROR(INDEX('Packing Materials'!$A:$AU,MATCH($C551,'Packing Materials'!$AU:$AU,0),6)/'Packing Materials'!$E$2,"")</f>
        <v>8.3094666666666654</v>
      </c>
      <c r="J551" s="3153">
        <f ca="1">IFERROR(INDEX('Packing Materials'!$A:$AU,MATCH($C551,'Packing Materials'!$AU:$AU,0),6)*(1+'Packing Materials'!$M$4)/'Packing Materials'!$E$2,"")</f>
        <v>8.3094666666666654</v>
      </c>
    </row>
    <row r="552" spans="2:10" ht="21.75">
      <c r="B552" s="3143" t="s">
        <v>164</v>
      </c>
      <c r="C552" s="3143">
        <f t="shared" ref="C552:C579" si="10">C551+1</f>
        <v>3</v>
      </c>
      <c r="E552" s="3143" t="str">
        <f ca="1">IFERROR(INDEX('Packing Materials'!$A:$AU,MATCH($C552,'Packing Materials'!$AU:$AU,0),3),"")</f>
        <v/>
      </c>
      <c r="G552" s="3599"/>
      <c r="H552" s="3599"/>
      <c r="I552" s="3153" t="str">
        <f ca="1">IFERROR(INDEX('Packing Materials'!$A:$AU,MATCH($C552,'Packing Materials'!$AU:$AU,0),6)/'Packing Materials'!$E$2,"")</f>
        <v/>
      </c>
      <c r="J552" s="3153" t="str">
        <f ca="1">IFERROR(INDEX('Packing Materials'!$A:$AU,MATCH($C552,'Packing Materials'!$AU:$AU,0),6)*(1+'Packing Materials'!$M$4)/'Packing Materials'!$E$2,"")</f>
        <v/>
      </c>
    </row>
    <row r="553" spans="2:10" ht="21.75">
      <c r="B553" s="3143" t="s">
        <v>164</v>
      </c>
      <c r="C553" s="3143">
        <f t="shared" si="10"/>
        <v>4</v>
      </c>
      <c r="E553" s="3143" t="str">
        <f ca="1">IFERROR(INDEX('Packing Materials'!$A:$AU,MATCH($C553,'Packing Materials'!$AU:$AU,0),3),"")</f>
        <v/>
      </c>
      <c r="G553" s="3599"/>
      <c r="H553" s="3599"/>
      <c r="I553" s="3153" t="str">
        <f ca="1">IFERROR(INDEX('Packing Materials'!$A:$AU,MATCH($C553,'Packing Materials'!$AU:$AU,0),6)/'Packing Materials'!$E$2,"")</f>
        <v/>
      </c>
      <c r="J553" s="3153" t="str">
        <f ca="1">IFERROR(INDEX('Packing Materials'!$A:$AU,MATCH($C553,'Packing Materials'!$AU:$AU,0),6)*(1+'Packing Materials'!$M$4)/'Packing Materials'!$E$2,"")</f>
        <v/>
      </c>
    </row>
    <row r="554" spans="2:10" ht="21.75">
      <c r="B554" s="3143" t="s">
        <v>164</v>
      </c>
      <c r="C554" s="3143">
        <f t="shared" si="10"/>
        <v>5</v>
      </c>
      <c r="E554" s="3143" t="str">
        <f ca="1">IFERROR(INDEX('Packing Materials'!$A:$AU,MATCH($C554,'Packing Materials'!$AU:$AU,0),3),"")</f>
        <v/>
      </c>
      <c r="G554" s="3599"/>
      <c r="H554" s="3599"/>
      <c r="I554" s="3153" t="str">
        <f ca="1">IFERROR(INDEX('Packing Materials'!$A:$AU,MATCH($C554,'Packing Materials'!$AU:$AU,0),6)/'Packing Materials'!$E$2,"")</f>
        <v/>
      </c>
      <c r="J554" s="3153" t="str">
        <f ca="1">IFERROR(INDEX('Packing Materials'!$A:$AU,MATCH($C554,'Packing Materials'!$AU:$AU,0),6)*(1+'Packing Materials'!$M$4)/'Packing Materials'!$E$2,"")</f>
        <v/>
      </c>
    </row>
    <row r="555" spans="2:10" ht="21.75">
      <c r="B555" s="3143" t="s">
        <v>164</v>
      </c>
      <c r="C555" s="3143">
        <f t="shared" si="10"/>
        <v>6</v>
      </c>
      <c r="E555" s="3143" t="str">
        <f ca="1">IFERROR(INDEX('Packing Materials'!$A:$AU,MATCH($C555,'Packing Materials'!$AU:$AU,0),3),"")</f>
        <v/>
      </c>
      <c r="G555" s="3599"/>
      <c r="H555" s="3599"/>
      <c r="I555" s="3153" t="str">
        <f ca="1">IFERROR(INDEX('Packing Materials'!$A:$AU,MATCH($C555,'Packing Materials'!$AU:$AU,0),6)/'Packing Materials'!$E$2,"")</f>
        <v/>
      </c>
      <c r="J555" s="3153" t="str">
        <f ca="1">IFERROR(INDEX('Packing Materials'!$A:$AU,MATCH($C555,'Packing Materials'!$AU:$AU,0),6)*(1+'Packing Materials'!$M$4)/'Packing Materials'!$E$2,"")</f>
        <v/>
      </c>
    </row>
    <row r="556" spans="2:10" ht="21.75">
      <c r="B556" s="3143" t="s">
        <v>164</v>
      </c>
      <c r="C556" s="3143">
        <f t="shared" si="10"/>
        <v>7</v>
      </c>
      <c r="E556" s="3143" t="str">
        <f ca="1">IFERROR(INDEX('Packing Materials'!$A:$AU,MATCH($C556,'Packing Materials'!$AU:$AU,0),3),"")</f>
        <v/>
      </c>
      <c r="G556" s="3599"/>
      <c r="H556" s="3599"/>
      <c r="I556" s="3153" t="str">
        <f ca="1">IFERROR(INDEX('Packing Materials'!$A:$AU,MATCH($C556,'Packing Materials'!$AU:$AU,0),6)/'Packing Materials'!$E$2,"")</f>
        <v/>
      </c>
      <c r="J556" s="3153" t="str">
        <f ca="1">IFERROR(INDEX('Packing Materials'!$A:$AU,MATCH($C556,'Packing Materials'!$AU:$AU,0),6)*(1+'Packing Materials'!$M$4)/'Packing Materials'!$E$2,"")</f>
        <v/>
      </c>
    </row>
    <row r="557" spans="2:10" ht="21.75">
      <c r="B557" s="3143" t="s">
        <v>164</v>
      </c>
      <c r="C557" s="3143">
        <f t="shared" si="10"/>
        <v>8</v>
      </c>
      <c r="E557" s="3143" t="str">
        <f ca="1">IFERROR(INDEX('Packing Materials'!$A:$AU,MATCH($C557,'Packing Materials'!$AU:$AU,0),3),"")</f>
        <v/>
      </c>
      <c r="G557" s="3599"/>
      <c r="H557" s="3599"/>
      <c r="I557" s="3153" t="str">
        <f ca="1">IFERROR(INDEX('Packing Materials'!$A:$AU,MATCH($C557,'Packing Materials'!$AU:$AU,0),6)/'Packing Materials'!$E$2,"")</f>
        <v/>
      </c>
      <c r="J557" s="3153" t="str">
        <f ca="1">IFERROR(INDEX('Packing Materials'!$A:$AU,MATCH($C557,'Packing Materials'!$AU:$AU,0),6)*(1+'Packing Materials'!$M$4)/'Packing Materials'!$E$2,"")</f>
        <v/>
      </c>
    </row>
    <row r="558" spans="2:10" ht="21.75">
      <c r="B558" s="3143" t="s">
        <v>164</v>
      </c>
      <c r="C558" s="3143">
        <f t="shared" si="10"/>
        <v>9</v>
      </c>
      <c r="E558" s="3143" t="str">
        <f ca="1">IFERROR(INDEX('Packing Materials'!$A:$AU,MATCH($C558,'Packing Materials'!$AU:$AU,0),3),"")</f>
        <v/>
      </c>
      <c r="G558" s="3599"/>
      <c r="H558" s="3599"/>
      <c r="I558" s="3153" t="str">
        <f ca="1">IFERROR(INDEX('Packing Materials'!$A:$AU,MATCH($C558,'Packing Materials'!$AU:$AU,0),6)/'Packing Materials'!$E$2,"")</f>
        <v/>
      </c>
      <c r="J558" s="3153" t="str">
        <f ca="1">IFERROR(INDEX('Packing Materials'!$A:$AU,MATCH($C558,'Packing Materials'!$AU:$AU,0),6)*(1+'Packing Materials'!$M$4)/'Packing Materials'!$E$2,"")</f>
        <v/>
      </c>
    </row>
    <row r="559" spans="2:10" ht="21.75">
      <c r="B559" s="3143" t="s">
        <v>164</v>
      </c>
      <c r="C559" s="3143">
        <f t="shared" si="10"/>
        <v>10</v>
      </c>
      <c r="E559" s="3143" t="str">
        <f ca="1">IFERROR(INDEX('Packing Materials'!$A:$AU,MATCH($C559,'Packing Materials'!$AU:$AU,0),3),"")</f>
        <v/>
      </c>
      <c r="G559" s="3599"/>
      <c r="H559" s="3599"/>
      <c r="I559" s="3153" t="str">
        <f ca="1">IFERROR(INDEX('Packing Materials'!$A:$AU,MATCH($C559,'Packing Materials'!$AU:$AU,0),6)/'Packing Materials'!$E$2,"")</f>
        <v/>
      </c>
      <c r="J559" s="3153" t="str">
        <f ca="1">IFERROR(INDEX('Packing Materials'!$A:$AU,MATCH($C559,'Packing Materials'!$AU:$AU,0),6)*(1+'Packing Materials'!$M$4)/'Packing Materials'!$E$2,"")</f>
        <v/>
      </c>
    </row>
    <row r="560" spans="2:10" ht="21.75">
      <c r="B560" s="3143" t="s">
        <v>164</v>
      </c>
      <c r="C560" s="3143">
        <f t="shared" si="10"/>
        <v>11</v>
      </c>
      <c r="E560" s="3143" t="str">
        <f ca="1">IFERROR(INDEX('Packing Materials'!$A:$AU,MATCH($C560,'Packing Materials'!$AU:$AU,0),3),"")</f>
        <v/>
      </c>
      <c r="G560" s="3599"/>
      <c r="H560" s="3599"/>
      <c r="I560" s="3153" t="str">
        <f ca="1">IFERROR(INDEX('Packing Materials'!$A:$AU,MATCH($C560,'Packing Materials'!$AU:$AU,0),6)/'Packing Materials'!$E$2,"")</f>
        <v/>
      </c>
      <c r="J560" s="3153" t="str">
        <f ca="1">IFERROR(INDEX('Packing Materials'!$A:$AU,MATCH($C560,'Packing Materials'!$AU:$AU,0),6)*(1+'Packing Materials'!$M$4)/'Packing Materials'!$E$2,"")</f>
        <v/>
      </c>
    </row>
    <row r="561" spans="2:10" ht="21.75">
      <c r="B561" s="3143" t="s">
        <v>164</v>
      </c>
      <c r="C561" s="3143">
        <f t="shared" si="10"/>
        <v>12</v>
      </c>
      <c r="E561" s="3143" t="str">
        <f ca="1">IFERROR(INDEX('Packing Materials'!$A:$AU,MATCH($C561,'Packing Materials'!$AU:$AU,0),3),"")</f>
        <v/>
      </c>
      <c r="G561" s="3599"/>
      <c r="H561" s="3599"/>
      <c r="I561" s="3153" t="str">
        <f ca="1">IFERROR(INDEX('Packing Materials'!$A:$AU,MATCH($C561,'Packing Materials'!$AU:$AU,0),6)/'Packing Materials'!$E$2,"")</f>
        <v/>
      </c>
      <c r="J561" s="3153" t="str">
        <f ca="1">IFERROR(INDEX('Packing Materials'!$A:$AU,MATCH($C561,'Packing Materials'!$AU:$AU,0),6)*(1+'Packing Materials'!$M$4)/'Packing Materials'!$E$2,"")</f>
        <v/>
      </c>
    </row>
    <row r="562" spans="2:10" ht="21.75">
      <c r="B562" s="3143" t="s">
        <v>164</v>
      </c>
      <c r="C562" s="3143">
        <f t="shared" si="10"/>
        <v>13</v>
      </c>
      <c r="E562" s="3143" t="str">
        <f ca="1">IFERROR(INDEX('Packing Materials'!$A:$AU,MATCH($C562,'Packing Materials'!$AU:$AU,0),3),"")</f>
        <v/>
      </c>
      <c r="G562" s="3599"/>
      <c r="H562" s="3599"/>
      <c r="I562" s="3153" t="str">
        <f ca="1">IFERROR(INDEX('Packing Materials'!$A:$AU,MATCH($C562,'Packing Materials'!$AU:$AU,0),6)/'Packing Materials'!$E$2,"")</f>
        <v/>
      </c>
      <c r="J562" s="3153" t="str">
        <f ca="1">IFERROR(INDEX('Packing Materials'!$A:$AU,MATCH($C562,'Packing Materials'!$AU:$AU,0),6)*(1+'Packing Materials'!$M$4)/'Packing Materials'!$E$2,"")</f>
        <v/>
      </c>
    </row>
    <row r="563" spans="2:10" ht="21.75">
      <c r="B563" s="3143" t="s">
        <v>164</v>
      </c>
      <c r="C563" s="3143">
        <f t="shared" si="10"/>
        <v>14</v>
      </c>
      <c r="E563" s="3143" t="str">
        <f ca="1">IFERROR(INDEX('Packing Materials'!$A:$AU,MATCH($C563,'Packing Materials'!$AU:$AU,0),3),"")</f>
        <v/>
      </c>
      <c r="G563" s="3599"/>
      <c r="H563" s="3599"/>
      <c r="I563" s="3153" t="str">
        <f ca="1">IFERROR(INDEX('Packing Materials'!$A:$AU,MATCH($C563,'Packing Materials'!$AU:$AU,0),6)/'Packing Materials'!$E$2,"")</f>
        <v/>
      </c>
      <c r="J563" s="3153" t="str">
        <f ca="1">IFERROR(INDEX('Packing Materials'!$A:$AU,MATCH($C563,'Packing Materials'!$AU:$AU,0),6)*(1+'Packing Materials'!$M$4)/'Packing Materials'!$E$2,"")</f>
        <v/>
      </c>
    </row>
    <row r="564" spans="2:10" ht="21.75">
      <c r="B564" s="3143" t="s">
        <v>164</v>
      </c>
      <c r="C564" s="3143">
        <f t="shared" si="10"/>
        <v>15</v>
      </c>
      <c r="E564" s="3143" t="str">
        <f ca="1">IFERROR(INDEX('Packing Materials'!$A:$AU,MATCH($C564,'Packing Materials'!$AU:$AU,0),3),"")</f>
        <v/>
      </c>
      <c r="G564" s="3599"/>
      <c r="H564" s="3599"/>
      <c r="I564" s="3153" t="str">
        <f ca="1">IFERROR(INDEX('Packing Materials'!$A:$AU,MATCH($C564,'Packing Materials'!$AU:$AU,0),6)/'Packing Materials'!$E$2,"")</f>
        <v/>
      </c>
      <c r="J564" s="3153" t="str">
        <f ca="1">IFERROR(INDEX('Packing Materials'!$A:$AU,MATCH($C564,'Packing Materials'!$AU:$AU,0),6)*(1+'Packing Materials'!$M$4)/'Packing Materials'!$E$2,"")</f>
        <v/>
      </c>
    </row>
    <row r="565" spans="2:10" ht="21.75">
      <c r="B565" s="3143" t="s">
        <v>164</v>
      </c>
      <c r="C565" s="3143">
        <f t="shared" si="10"/>
        <v>16</v>
      </c>
      <c r="E565" s="3143" t="str">
        <f ca="1">IFERROR(INDEX('Packing Materials'!$A:$AU,MATCH($C565,'Packing Materials'!$AU:$AU,0),3),"")</f>
        <v/>
      </c>
      <c r="G565" s="3599"/>
      <c r="H565" s="3599"/>
      <c r="I565" s="3153" t="str">
        <f ca="1">IFERROR(INDEX('Packing Materials'!$A:$AU,MATCH($C565,'Packing Materials'!$AU:$AU,0),6)/'Packing Materials'!$E$2,"")</f>
        <v/>
      </c>
      <c r="J565" s="3153" t="str">
        <f ca="1">IFERROR(INDEX('Packing Materials'!$A:$AU,MATCH($C565,'Packing Materials'!$AU:$AU,0),6)*(1+'Packing Materials'!$M$4)/'Packing Materials'!$E$2,"")</f>
        <v/>
      </c>
    </row>
    <row r="566" spans="2:10" ht="21.75">
      <c r="B566" s="3143" t="s">
        <v>164</v>
      </c>
      <c r="C566" s="3143">
        <f t="shared" si="10"/>
        <v>17</v>
      </c>
      <c r="E566" s="3143" t="str">
        <f ca="1">IFERROR(INDEX('Packing Materials'!$A:$AU,MATCH($C566,'Packing Materials'!$AU:$AU,0),3),"")</f>
        <v/>
      </c>
      <c r="G566" s="3599"/>
      <c r="H566" s="3599"/>
      <c r="I566" s="3153" t="str">
        <f ca="1">IFERROR(INDEX('Packing Materials'!$A:$AU,MATCH($C566,'Packing Materials'!$AU:$AU,0),6)/'Packing Materials'!$E$2,"")</f>
        <v/>
      </c>
      <c r="J566" s="3153" t="str">
        <f ca="1">IFERROR(INDEX('Packing Materials'!$A:$AU,MATCH($C566,'Packing Materials'!$AU:$AU,0),6)*(1+'Packing Materials'!$M$4)/'Packing Materials'!$E$2,"")</f>
        <v/>
      </c>
    </row>
    <row r="567" spans="2:10" ht="21.75">
      <c r="B567" s="3143" t="s">
        <v>164</v>
      </c>
      <c r="C567" s="3143">
        <f t="shared" si="10"/>
        <v>18</v>
      </c>
      <c r="E567" s="3143" t="str">
        <f ca="1">IFERROR(INDEX('Packing Materials'!$A:$AU,MATCH($C567,'Packing Materials'!$AU:$AU,0),3),"")</f>
        <v/>
      </c>
      <c r="G567" s="3599"/>
      <c r="H567" s="3599"/>
      <c r="I567" s="3153" t="str">
        <f ca="1">IFERROR(INDEX('Packing Materials'!$A:$AU,MATCH($C567,'Packing Materials'!$AU:$AU,0),6)/'Packing Materials'!$E$2,"")</f>
        <v/>
      </c>
      <c r="J567" s="3153" t="str">
        <f ca="1">IFERROR(INDEX('Packing Materials'!$A:$AU,MATCH($C567,'Packing Materials'!$AU:$AU,0),6)*(1+'Packing Materials'!$M$4)/'Packing Materials'!$E$2,"")</f>
        <v/>
      </c>
    </row>
    <row r="568" spans="2:10" ht="21.75">
      <c r="B568" s="3143" t="s">
        <v>164</v>
      </c>
      <c r="C568" s="3143">
        <f t="shared" si="10"/>
        <v>19</v>
      </c>
      <c r="E568" s="3143" t="str">
        <f ca="1">IFERROR(INDEX('Packing Materials'!$A:$AU,MATCH($C568,'Packing Materials'!$AU:$AU,0),3),"")</f>
        <v/>
      </c>
      <c r="G568" s="3599"/>
      <c r="H568" s="3599"/>
      <c r="I568" s="3153" t="str">
        <f ca="1">IFERROR(INDEX('Packing Materials'!$A:$AU,MATCH($C568,'Packing Materials'!$AU:$AU,0),6)/'Packing Materials'!$E$2,"")</f>
        <v/>
      </c>
      <c r="J568" s="3153" t="str">
        <f ca="1">IFERROR(INDEX('Packing Materials'!$A:$AU,MATCH($C568,'Packing Materials'!$AU:$AU,0),6)*(1+'Packing Materials'!$M$4)/'Packing Materials'!$E$2,"")</f>
        <v/>
      </c>
    </row>
    <row r="569" spans="2:10" ht="21.75">
      <c r="B569" s="3143" t="s">
        <v>164</v>
      </c>
      <c r="C569" s="3143">
        <f t="shared" si="10"/>
        <v>20</v>
      </c>
      <c r="E569" s="3143" t="str">
        <f ca="1">IFERROR(INDEX('Packing Materials'!$A:$AU,MATCH($C569,'Packing Materials'!$AU:$AU,0),3),"")</f>
        <v/>
      </c>
      <c r="G569" s="3599"/>
      <c r="H569" s="3599"/>
      <c r="I569" s="3153" t="str">
        <f ca="1">IFERROR(INDEX('Packing Materials'!$A:$AU,MATCH($C569,'Packing Materials'!$AU:$AU,0),6)/'Packing Materials'!$E$2,"")</f>
        <v/>
      </c>
      <c r="J569" s="3153" t="str">
        <f ca="1">IFERROR(INDEX('Packing Materials'!$A:$AU,MATCH($C569,'Packing Materials'!$AU:$AU,0),6)*(1+'Packing Materials'!$M$4)/'Packing Materials'!$E$2,"")</f>
        <v/>
      </c>
    </row>
    <row r="570" spans="2:10" ht="21.75">
      <c r="B570" s="3143" t="s">
        <v>164</v>
      </c>
      <c r="C570" s="3143">
        <f t="shared" si="10"/>
        <v>21</v>
      </c>
      <c r="E570" s="3143" t="str">
        <f ca="1">IFERROR(INDEX('Packing Materials'!$A:$AU,MATCH($C570,'Packing Materials'!$AU:$AU,0),3),"")</f>
        <v/>
      </c>
      <c r="G570" s="3599"/>
      <c r="H570" s="3599"/>
      <c r="I570" s="3153" t="str">
        <f ca="1">IFERROR(INDEX('Packing Materials'!$A:$AU,MATCH($C570,'Packing Materials'!$AU:$AU,0),6)/'Packing Materials'!$E$2,"")</f>
        <v/>
      </c>
      <c r="J570" s="3153" t="str">
        <f ca="1">IFERROR(INDEX('Packing Materials'!$A:$AU,MATCH($C570,'Packing Materials'!$AU:$AU,0),6)*(1+'Packing Materials'!$M$4)/'Packing Materials'!$E$2,"")</f>
        <v/>
      </c>
    </row>
    <row r="571" spans="2:10" ht="21.75">
      <c r="B571" s="3143" t="s">
        <v>164</v>
      </c>
      <c r="C571" s="3143">
        <f t="shared" si="10"/>
        <v>22</v>
      </c>
      <c r="E571" s="3143" t="str">
        <f ca="1">IFERROR(INDEX('Packing Materials'!$A:$AU,MATCH($C571,'Packing Materials'!$AU:$AU,0),3),"")</f>
        <v/>
      </c>
      <c r="G571" s="3599"/>
      <c r="H571" s="3599"/>
      <c r="I571" s="3153" t="str">
        <f ca="1">IFERROR(INDEX('Packing Materials'!$A:$AU,MATCH($C571,'Packing Materials'!$AU:$AU,0),6)/'Packing Materials'!$E$2,"")</f>
        <v/>
      </c>
      <c r="J571" s="3153" t="str">
        <f ca="1">IFERROR(INDEX('Packing Materials'!$A:$AU,MATCH($C571,'Packing Materials'!$AU:$AU,0),6)*(1+'Packing Materials'!$M$4)/'Packing Materials'!$E$2,"")</f>
        <v/>
      </c>
    </row>
    <row r="572" spans="2:10" ht="21.75">
      <c r="B572" s="3143" t="s">
        <v>164</v>
      </c>
      <c r="C572" s="3143">
        <f t="shared" si="10"/>
        <v>23</v>
      </c>
      <c r="E572" s="3143" t="str">
        <f ca="1">IFERROR(INDEX('Packing Materials'!$A:$AU,MATCH($C572,'Packing Materials'!$AU:$AU,0),3),"")</f>
        <v/>
      </c>
      <c r="G572" s="3599"/>
      <c r="H572" s="3599"/>
      <c r="I572" s="3153" t="str">
        <f ca="1">IFERROR(INDEX('Packing Materials'!$A:$AU,MATCH($C572,'Packing Materials'!$AU:$AU,0),6)/'Packing Materials'!$E$2,"")</f>
        <v/>
      </c>
      <c r="J572" s="3153" t="str">
        <f ca="1">IFERROR(INDEX('Packing Materials'!$A:$AU,MATCH($C572,'Packing Materials'!$AU:$AU,0),6)*(1+'Packing Materials'!$M$4)/'Packing Materials'!$E$2,"")</f>
        <v/>
      </c>
    </row>
    <row r="573" spans="2:10" ht="21.75">
      <c r="B573" s="3143" t="s">
        <v>164</v>
      </c>
      <c r="C573" s="3143">
        <f t="shared" si="10"/>
        <v>24</v>
      </c>
      <c r="E573" s="3143" t="str">
        <f ca="1">IFERROR(INDEX('Packing Materials'!$A:$AU,MATCH($C573,'Packing Materials'!$AU:$AU,0),3),"")</f>
        <v/>
      </c>
      <c r="G573" s="3599"/>
      <c r="H573" s="3599"/>
      <c r="I573" s="3153" t="str">
        <f ca="1">IFERROR(INDEX('Packing Materials'!$A:$AU,MATCH($C573,'Packing Materials'!$AU:$AU,0),6)/'Packing Materials'!$E$2,"")</f>
        <v/>
      </c>
      <c r="J573" s="3153" t="str">
        <f ca="1">IFERROR(INDEX('Packing Materials'!$A:$AU,MATCH($C573,'Packing Materials'!$AU:$AU,0),6)*(1+'Packing Materials'!$M$4)/'Packing Materials'!$E$2,"")</f>
        <v/>
      </c>
    </row>
    <row r="574" spans="2:10" ht="21.75">
      <c r="B574" s="3143" t="s">
        <v>164</v>
      </c>
      <c r="C574" s="3143">
        <f t="shared" si="10"/>
        <v>25</v>
      </c>
      <c r="E574" s="3143" t="str">
        <f ca="1">IFERROR(INDEX('Packing Materials'!$A:$AU,MATCH($C574,'Packing Materials'!$AU:$AU,0),3),"")</f>
        <v/>
      </c>
      <c r="G574" s="3599"/>
      <c r="H574" s="3599"/>
      <c r="I574" s="3153" t="str">
        <f ca="1">IFERROR(INDEX('Packing Materials'!$A:$AU,MATCH($C574,'Packing Materials'!$AU:$AU,0),6)/'Packing Materials'!$E$2,"")</f>
        <v/>
      </c>
      <c r="J574" s="3153" t="str">
        <f ca="1">IFERROR(INDEX('Packing Materials'!$A:$AU,MATCH($C574,'Packing Materials'!$AU:$AU,0),6)*(1+'Packing Materials'!$M$4)/'Packing Materials'!$E$2,"")</f>
        <v/>
      </c>
    </row>
    <row r="575" spans="2:10" ht="21.75">
      <c r="B575" s="3143" t="s">
        <v>164</v>
      </c>
      <c r="C575" s="3143">
        <f t="shared" si="10"/>
        <v>26</v>
      </c>
      <c r="E575" s="3143" t="str">
        <f ca="1">IFERROR(INDEX('Packing Materials'!$A:$AU,MATCH($C575,'Packing Materials'!$AU:$AU,0),3),"")</f>
        <v/>
      </c>
      <c r="G575" s="3599"/>
      <c r="H575" s="3599"/>
      <c r="I575" s="3153" t="str">
        <f ca="1">IFERROR(INDEX('Packing Materials'!$A:$AU,MATCH($C575,'Packing Materials'!$AU:$AU,0),6)/'Packing Materials'!$E$2,"")</f>
        <v/>
      </c>
      <c r="J575" s="3153" t="str">
        <f ca="1">IFERROR(INDEX('Packing Materials'!$A:$AU,MATCH($C575,'Packing Materials'!$AU:$AU,0),6)*(1+'Packing Materials'!$M$4)/'Packing Materials'!$E$2,"")</f>
        <v/>
      </c>
    </row>
    <row r="576" spans="2:10" ht="21.75">
      <c r="B576" s="3143" t="s">
        <v>164</v>
      </c>
      <c r="C576" s="3143">
        <f t="shared" si="10"/>
        <v>27</v>
      </c>
      <c r="E576" s="3143" t="str">
        <f ca="1">IFERROR(INDEX('Packing Materials'!$A:$AU,MATCH($C576,'Packing Materials'!$AU:$AU,0),3),"")</f>
        <v/>
      </c>
      <c r="G576" s="3599"/>
      <c r="H576" s="3599"/>
      <c r="I576" s="3153" t="str">
        <f ca="1">IFERROR(INDEX('Packing Materials'!$A:$AU,MATCH($C576,'Packing Materials'!$AU:$AU,0),6)/'Packing Materials'!$E$2,"")</f>
        <v/>
      </c>
      <c r="J576" s="3153" t="str">
        <f ca="1">IFERROR(INDEX('Packing Materials'!$A:$AU,MATCH($C576,'Packing Materials'!$AU:$AU,0),6)*(1+'Packing Materials'!$M$4)/'Packing Materials'!$E$2,"")</f>
        <v/>
      </c>
    </row>
    <row r="577" spans="2:10" ht="21.75">
      <c r="B577" s="3143" t="s">
        <v>164</v>
      </c>
      <c r="C577" s="3143">
        <f t="shared" si="10"/>
        <v>28</v>
      </c>
      <c r="E577" s="3143" t="str">
        <f ca="1">IFERROR(INDEX('Packing Materials'!$A:$AU,MATCH($C577,'Packing Materials'!$AU:$AU,0),3),"")</f>
        <v/>
      </c>
      <c r="G577" s="3599"/>
      <c r="H577" s="3599"/>
      <c r="I577" s="3153" t="str">
        <f ca="1">IFERROR(INDEX('Packing Materials'!$A:$AU,MATCH($C577,'Packing Materials'!$AU:$AU,0),6)/'Packing Materials'!$E$2,"")</f>
        <v/>
      </c>
      <c r="J577" s="3153" t="str">
        <f ca="1">IFERROR(INDEX('Packing Materials'!$A:$AU,MATCH($C577,'Packing Materials'!$AU:$AU,0),6)*(1+'Packing Materials'!$M$4)/'Packing Materials'!$E$2,"")</f>
        <v/>
      </c>
    </row>
    <row r="578" spans="2:10" ht="21.75">
      <c r="B578" s="3143" t="s">
        <v>164</v>
      </c>
      <c r="C578" s="3143">
        <f t="shared" si="10"/>
        <v>29</v>
      </c>
      <c r="E578" s="3143" t="str">
        <f ca="1">IFERROR(INDEX('Packing Materials'!$A:$AU,MATCH($C578,'Packing Materials'!$AU:$AU,0),3),"")</f>
        <v/>
      </c>
      <c r="G578" s="3599"/>
      <c r="H578" s="3599"/>
      <c r="I578" s="3153" t="str">
        <f ca="1">IFERROR(INDEX('Packing Materials'!$A:$AU,MATCH($C578,'Packing Materials'!$AU:$AU,0),6)/'Packing Materials'!$E$2,"")</f>
        <v/>
      </c>
      <c r="J578" s="3153" t="str">
        <f ca="1">IFERROR(INDEX('Packing Materials'!$A:$AU,MATCH($C578,'Packing Materials'!$AU:$AU,0),6)*(1+'Packing Materials'!$M$4)/'Packing Materials'!$E$2,"")</f>
        <v/>
      </c>
    </row>
    <row r="579" spans="2:10" ht="21.75">
      <c r="B579" s="3143" t="s">
        <v>164</v>
      </c>
      <c r="C579" s="3143">
        <f t="shared" si="10"/>
        <v>30</v>
      </c>
      <c r="E579" s="3143" t="str">
        <f ca="1">IFERROR(INDEX('Packing Materials'!$A:$AU,MATCH($C579,'Packing Materials'!$AU:$AU,0),3),"")</f>
        <v/>
      </c>
      <c r="G579" s="3599"/>
      <c r="H579" s="3599"/>
      <c r="I579" s="3153" t="str">
        <f ca="1">IFERROR(INDEX('Packing Materials'!$A:$AU,MATCH($C579,'Packing Materials'!$AU:$AU,0),6)/'Packing Materials'!$E$2,"")</f>
        <v/>
      </c>
      <c r="J579" s="3153" t="str">
        <f ca="1">IFERROR(INDEX('Packing Materials'!$A:$AU,MATCH($C579,'Packing Materials'!$AU:$AU,0),6)*(1+'Packing Materials'!$M$4)/'Packing Materials'!$E$2,"")</f>
        <v/>
      </c>
    </row>
    <row r="581" spans="2:10" ht="21.75">
      <c r="B581" s="3143" t="s">
        <v>3652</v>
      </c>
      <c r="C581" s="3143">
        <v>1</v>
      </c>
      <c r="D581" s="3143">
        <f ca="1">IFERROR(INDEX('Production cost'!$A:$AU,MATCH($C581,'Production cost'!$AU:$AU,0),6),"")</f>
        <v>0</v>
      </c>
      <c r="E581" s="3143" t="str">
        <f ca="1">IFERROR(INDEX('Production cost'!$A:$AU,MATCH($C581,'Production cost'!$AU:$AU,0),3),"")</f>
        <v>Slitting paper in roll</v>
      </c>
      <c r="G581" s="3153">
        <f ca="1">IFERROR(INDEX('Production cost'!$A:$AU,MATCH($C581,'Production cost'!$AU:$AU,0),9),"")</f>
        <v>10000</v>
      </c>
      <c r="H581" s="3599">
        <f ca="1">IFERROR(IFERROR(INDEX('Production cost'!$A:$AU,MATCH($C581,'Production cost'!$AU:$AU,0),11),"")+IFERROR(INDEX('Production cost'!$A:$AU,MATCH($C581,'Production cost'!$AU:$AU,0),12),""),"")</f>
        <v>3</v>
      </c>
      <c r="I581" s="3153">
        <f ca="1">IFERROR(INDEX('Production cost'!$A:$AU,MATCH($C581,'Production cost'!$AU:$AU,0),18),"")</f>
        <v>17.266399396982344</v>
      </c>
      <c r="J581" s="3153">
        <f ca="1">IFERROR(INDEX('Production cost'!$A:$AU,MATCH($C581,'Production cost'!$AU:$AU,0),18),"")</f>
        <v>17.266399396982344</v>
      </c>
    </row>
    <row r="582" spans="2:10" ht="21.75">
      <c r="B582" s="3143" t="s">
        <v>3652</v>
      </c>
      <c r="C582" s="3143">
        <f>C581+1</f>
        <v>2</v>
      </c>
      <c r="D582" s="3143" t="str">
        <f ca="1">IFERROR(INDEX('Production cost'!$A:$AU,MATCH($C582,'Production cost'!$AU:$AU,0),6),"")</f>
        <v>Box</v>
      </c>
      <c r="E582" s="3143" t="str">
        <f ca="1">IFERROR(INDEX('Production cost'!$A:$AU,MATCH($C582,'Production cost'!$AU:$AU,0),3),"")</f>
        <v>Trimming</v>
      </c>
      <c r="G582" s="3153" t="str">
        <f ca="1">IFERROR(INDEX('Production cost'!$A:$AU,MATCH($C582,'Production cost'!$AU:$AU,0),9),"")</f>
        <v>8000</v>
      </c>
      <c r="H582" s="3599">
        <f ca="1">IFERROR(IFERROR(INDEX('Production cost'!$A:$AU,MATCH($C582,'Production cost'!$AU:$AU,0),11),"")+IFERROR(INDEX('Production cost'!$A:$AU,MATCH($C582,'Production cost'!$AU:$AU,0),12),""),"")</f>
        <v>3</v>
      </c>
      <c r="I582" s="3153">
        <f ca="1">IFERROR(INDEX('Production cost'!$A:$AU,MATCH($C582,'Production cost'!$AU:$AU,0),18),"")</f>
        <v>20.719679276378812</v>
      </c>
      <c r="J582" s="3153">
        <f ca="1">IFERROR(INDEX('Production cost'!$A:$AU,MATCH($C582,'Production cost'!$AU:$AU,0),18),"")</f>
        <v>20.719679276378812</v>
      </c>
    </row>
    <row r="583" spans="2:10" ht="21.75">
      <c r="B583" s="3143" t="s">
        <v>3652</v>
      </c>
      <c r="C583" s="3143">
        <f t="shared" ref="C583:C646" si="11">C582+1</f>
        <v>3</v>
      </c>
      <c r="D583" s="3143" t="str">
        <f ca="1">IFERROR(INDEX('Production cost'!$A:$AU,MATCH($C583,'Production cost'!$AU:$AU,0),6),"")</f>
        <v>Box</v>
      </c>
      <c r="E583" s="3143" t="str">
        <f ca="1">IFERROR(INDEX('Production cost'!$A:$AU,MATCH($C583,'Production cost'!$AU:$AU,0),3),"")</f>
        <v>Komori_L240</v>
      </c>
      <c r="G583" s="3153">
        <f ca="1">IFERROR(INDEX('Production cost'!$A:$AU,MATCH($C583,'Production cost'!$AU:$AU,0),9),"")</f>
        <v>8000</v>
      </c>
      <c r="H583" s="3599">
        <f ca="1">IFERROR(IFERROR(INDEX('Production cost'!$A:$AU,MATCH($C583,'Production cost'!$AU:$AU,0),11),"")+IFERROR(INDEX('Production cost'!$A:$AU,MATCH($C583,'Production cost'!$AU:$AU,0),12),""),"")</f>
        <v>3</v>
      </c>
      <c r="I583" s="3153">
        <f ca="1">IFERROR(INDEX('Production cost'!$A:$AU,MATCH($C583,'Production cost'!$AU:$AU,0),18),"")</f>
        <v>69.720316093059211</v>
      </c>
      <c r="J583" s="3153">
        <f ca="1">IFERROR(INDEX('Production cost'!$A:$AU,MATCH($C583,'Production cost'!$AU:$AU,0),18),"")</f>
        <v>69.720316093059211</v>
      </c>
    </row>
    <row r="584" spans="2:10" ht="21.75">
      <c r="B584" s="3143" t="s">
        <v>3652</v>
      </c>
      <c r="C584" s="3143">
        <f t="shared" si="11"/>
        <v>4</v>
      </c>
      <c r="D584" s="3143" t="str">
        <f ca="1">IFERROR(INDEX('Production cost'!$A:$AU,MATCH($C584,'Production cost'!$AU:$AU,0),6),"")</f>
        <v>Box</v>
      </c>
      <c r="E584" s="3143" t="str">
        <f ca="1">IFERROR(INDEX('Production cost'!$A:$AU,MATCH($C584,'Production cost'!$AU:$AU,0),3),"")</f>
        <v>E-Flute</v>
      </c>
      <c r="G584" s="3153" t="str">
        <f ca="1">IFERROR(INDEX('Production cost'!$A:$AU,MATCH($C584,'Production cost'!$AU:$AU,0),9),"")</f>
        <v>4000</v>
      </c>
      <c r="H584" s="3599">
        <f ca="1">IFERROR(IFERROR(INDEX('Production cost'!$A:$AU,MATCH($C584,'Production cost'!$AU:$AU,0),11),"")+IFERROR(INDEX('Production cost'!$A:$AU,MATCH($C584,'Production cost'!$AU:$AU,0),12),""),"")</f>
        <v>3</v>
      </c>
      <c r="I584" s="3153">
        <f ca="1">IFERROR(INDEX('Production cost'!$A:$AU,MATCH($C584,'Production cost'!$AU:$AU,0),18),"")</f>
        <v>65.885105671420007</v>
      </c>
      <c r="J584" s="3153">
        <f ca="1">IFERROR(INDEX('Production cost'!$A:$AU,MATCH($C584,'Production cost'!$AU:$AU,0),18),"")</f>
        <v>65.885105671420007</v>
      </c>
    </row>
    <row r="585" spans="2:10" ht="21.75">
      <c r="B585" s="3143" t="s">
        <v>3652</v>
      </c>
      <c r="C585" s="3143">
        <f t="shared" si="11"/>
        <v>5</v>
      </c>
      <c r="D585" s="3143" t="str">
        <f ca="1">IFERROR(INDEX('Production cost'!$A:$AU,MATCH($C585,'Production cost'!$AU:$AU,0),6),"")</f>
        <v>Box</v>
      </c>
      <c r="E585" s="3143" t="str">
        <f ca="1">IFERROR(INDEX('Production cost'!$A:$AU,MATCH($C585,'Production cost'!$AU:$AU,0),3),"")</f>
        <v>Die-cutting (NIKKO 1050FH)</v>
      </c>
      <c r="G585" s="3153" t="str">
        <f ca="1">IFERROR(INDEX('Production cost'!$A:$AU,MATCH($C585,'Production cost'!$AU:$AU,0),9),"")</f>
        <v>3500</v>
      </c>
      <c r="H585" s="3599">
        <f ca="1">IFERROR(IFERROR(INDEX('Production cost'!$A:$AU,MATCH($C585,'Production cost'!$AU:$AU,0),11),"")+IFERROR(INDEX('Production cost'!$A:$AU,MATCH($C585,'Production cost'!$AU:$AU,0),12),""),"")</f>
        <v>2.25</v>
      </c>
      <c r="I585" s="3153">
        <f ca="1">IFERROR(INDEX('Production cost'!$A:$AU,MATCH($C585,'Production cost'!$AU:$AU,0),18),"")</f>
        <v>65.19901869333934</v>
      </c>
      <c r="J585" s="3153">
        <f ca="1">IFERROR(INDEX('Production cost'!$A:$AU,MATCH($C585,'Production cost'!$AU:$AU,0),18),"")</f>
        <v>65.19901869333934</v>
      </c>
    </row>
    <row r="586" spans="2:10" ht="21.75">
      <c r="B586" s="3143" t="s">
        <v>3652</v>
      </c>
      <c r="C586" s="3143">
        <f t="shared" si="11"/>
        <v>6</v>
      </c>
      <c r="D586" s="3143" t="str">
        <f ca="1">IFERROR(INDEX('Production cost'!$A:$AU,MATCH($C586,'Production cost'!$AU:$AU,0),6),"")</f>
        <v>Pcs</v>
      </c>
      <c r="E586" s="3143" t="str">
        <f ca="1">IFERROR(INDEX('Production cost'!$A:$AU,MATCH($C586,'Production cost'!$AU:$AU,0),3),"")</f>
        <v>Folding &amp; Glueing (side-joint)</v>
      </c>
      <c r="G586" s="3153" t="str">
        <f ca="1">IFERROR(INDEX('Production cost'!$A:$AU,MATCH($C586,'Production cost'!$AU:$AU,0),9),"")</f>
        <v>4000</v>
      </c>
      <c r="H586" s="3599">
        <f ca="1">IFERROR(IFERROR(INDEX('Production cost'!$A:$AU,MATCH($C586,'Production cost'!$AU:$AU,0),11),"")+IFERROR(INDEX('Production cost'!$A:$AU,MATCH($C586,'Production cost'!$AU:$AU,0),12),""),"")</f>
        <v>7</v>
      </c>
      <c r="I586" s="3153">
        <f ca="1">IFERROR(INDEX('Production cost'!$A:$AU,MATCH($C586,'Production cost'!$AU:$AU,0),18),"")</f>
        <v>141.27132865779501</v>
      </c>
      <c r="J586" s="3153">
        <f ca="1">IFERROR(INDEX('Production cost'!$A:$AU,MATCH($C586,'Production cost'!$AU:$AU,0),18),"")</f>
        <v>141.27132865779501</v>
      </c>
    </row>
    <row r="587" spans="2:10" ht="21.75">
      <c r="B587" s="3143" t="s">
        <v>3652</v>
      </c>
      <c r="C587" s="3143">
        <f t="shared" si="11"/>
        <v>7</v>
      </c>
      <c r="D587" s="3143" t="str">
        <f ca="1">IFERROR(INDEX('Production cost'!$A:$AU,MATCH($C587,'Production cost'!$AU:$AU,0),6),"")</f>
        <v>Pcs</v>
      </c>
      <c r="E587" s="3143" t="str">
        <f ca="1">IFERROR(INDEX('Production cost'!$A:$AU,MATCH($C587,'Production cost'!$AU:$AU,0),3),"")</f>
        <v>Box</v>
      </c>
      <c r="G587" s="3153" t="str">
        <f ca="1">IFERROR(INDEX('Production cost'!$A:$AU,MATCH($C587,'Production cost'!$AU:$AU,0),9),"")</f>
        <v>4000</v>
      </c>
      <c r="H587" s="3599">
        <f ca="1">IFERROR(IFERROR(INDEX('Production cost'!$A:$AU,MATCH($C587,'Production cost'!$AU:$AU,0),11),"")+IFERROR(INDEX('Production cost'!$A:$AU,MATCH($C587,'Production cost'!$AU:$AU,0),12),""),"")</f>
        <v>2</v>
      </c>
      <c r="I587" s="3153">
        <f ca="1">IFERROR(INDEX('Production cost'!$A:$AU,MATCH($C587,'Production cost'!$AU:$AU,0),18),"")</f>
        <v>33.240312625363536</v>
      </c>
      <c r="J587" s="3153">
        <f ca="1">IFERROR(INDEX('Production cost'!$A:$AU,MATCH($C587,'Production cost'!$AU:$AU,0),18),"")</f>
        <v>33.240312625363536</v>
      </c>
    </row>
    <row r="588" spans="2:10" ht="21.75">
      <c r="B588" s="3143" t="s">
        <v>3652</v>
      </c>
      <c r="C588" s="3143">
        <f t="shared" si="11"/>
        <v>8</v>
      </c>
      <c r="D588" s="3143">
        <f ca="1">IFERROR(INDEX('Production cost'!$A:$AU,MATCH($C588,'Production cost'!$AU:$AU,0),6),"")</f>
        <v>0</v>
      </c>
      <c r="E588" s="3143" t="str">
        <f ca="1">IFERROR(INDEX('Production cost'!$A:$AU,MATCH($C588,'Production cost'!$AU:$AU,0),3),"")</f>
        <v>Total labour cost</v>
      </c>
      <c r="G588" s="3153">
        <f ca="1">IFERROR(INDEX('Production cost'!$A:$AU,MATCH($C588,'Production cost'!$AU:$AU,0),9),"")</f>
        <v>0</v>
      </c>
      <c r="H588" s="3599">
        <f ca="1">IFERROR(IFERROR(INDEX('Production cost'!$A:$AU,MATCH($C588,'Production cost'!$AU:$AU,0),11),"")+IFERROR(INDEX('Production cost'!$A:$AU,MATCH($C588,'Production cost'!$AU:$AU,0),12),""),"")</f>
        <v>0</v>
      </c>
      <c r="I588" s="3153">
        <f ca="1">IFERROR(INDEX('Production cost'!$A:$AU,MATCH($C588,'Production cost'!$AU:$AU,0),18),"")</f>
        <v>413.30216041433829</v>
      </c>
      <c r="J588" s="3153">
        <f ca="1">IFERROR(INDEX('Production cost'!$A:$AU,MATCH($C588,'Production cost'!$AU:$AU,0),18),"")</f>
        <v>413.30216041433829</v>
      </c>
    </row>
    <row r="589" spans="2:10" ht="21.75">
      <c r="B589" s="3143" t="s">
        <v>3652</v>
      </c>
      <c r="C589" s="3143">
        <f t="shared" si="11"/>
        <v>9</v>
      </c>
      <c r="D589" s="3143" t="str">
        <f ca="1">IFERROR(INDEX('Production cost'!$A:$AU,MATCH($C589,'Production cost'!$AU:$AU,0),6),"")</f>
        <v/>
      </c>
      <c r="E589" s="3143" t="str">
        <f ca="1">IFERROR(INDEX('Production cost'!$A:$AU,MATCH($C589,'Production cost'!$AU:$AU,0),3),"")</f>
        <v/>
      </c>
      <c r="G589" s="3153" t="str">
        <f ca="1">IFERROR(INDEX('Production cost'!$A:$AU,MATCH($C589,'Production cost'!$AU:$AU,0),9),"")</f>
        <v/>
      </c>
      <c r="H589" s="3599" t="str">
        <f ca="1">IFERROR(IFERROR(INDEX('Production cost'!$A:$AU,MATCH($C589,'Production cost'!$AU:$AU,0),11),"")+IFERROR(INDEX('Production cost'!$A:$AU,MATCH($C589,'Production cost'!$AU:$AU,0),12),""),"")</f>
        <v/>
      </c>
      <c r="I589" s="3153" t="str">
        <f ca="1">IFERROR(INDEX('Production cost'!$A:$AU,MATCH($C589,'Production cost'!$AU:$AU,0),18),"")</f>
        <v/>
      </c>
      <c r="J589" s="3153" t="str">
        <f ca="1">IFERROR(INDEX('Production cost'!$A:$AU,MATCH($C589,'Production cost'!$AU:$AU,0),18),"")</f>
        <v/>
      </c>
    </row>
    <row r="590" spans="2:10" ht="21.75">
      <c r="B590" s="3143" t="s">
        <v>3652</v>
      </c>
      <c r="C590" s="3143">
        <f t="shared" si="11"/>
        <v>10</v>
      </c>
      <c r="D590" s="3143" t="str">
        <f ca="1">IFERROR(INDEX('Production cost'!$A:$AU,MATCH($C590,'Production cost'!$AU:$AU,0),6),"")</f>
        <v/>
      </c>
      <c r="E590" s="3143" t="str">
        <f ca="1">IFERROR(INDEX('Production cost'!$A:$AU,MATCH($C590,'Production cost'!$AU:$AU,0),3),"")</f>
        <v/>
      </c>
      <c r="G590" s="3153" t="str">
        <f ca="1">IFERROR(INDEX('Production cost'!$A:$AU,MATCH($C590,'Production cost'!$AU:$AU,0),9),"")</f>
        <v/>
      </c>
      <c r="H590" s="3599" t="str">
        <f ca="1">IFERROR(IFERROR(INDEX('Production cost'!$A:$AU,MATCH($C590,'Production cost'!$AU:$AU,0),11),"")+IFERROR(INDEX('Production cost'!$A:$AU,MATCH($C590,'Production cost'!$AU:$AU,0),12),""),"")</f>
        <v/>
      </c>
      <c r="I590" s="3153" t="str">
        <f ca="1">IFERROR(INDEX('Production cost'!$A:$AU,MATCH($C590,'Production cost'!$AU:$AU,0),18),"")</f>
        <v/>
      </c>
      <c r="J590" s="3153" t="str">
        <f ca="1">IFERROR(INDEX('Production cost'!$A:$AU,MATCH($C590,'Production cost'!$AU:$AU,0),18),"")</f>
        <v/>
      </c>
    </row>
    <row r="591" spans="2:10" ht="21.75">
      <c r="B591" s="3143" t="s">
        <v>3652</v>
      </c>
      <c r="C591" s="3143">
        <f t="shared" si="11"/>
        <v>11</v>
      </c>
      <c r="D591" s="3143" t="str">
        <f ca="1">IFERROR(INDEX('Production cost'!$A:$AU,MATCH($C591,'Production cost'!$AU:$AU,0),6),"")</f>
        <v/>
      </c>
      <c r="E591" s="3143" t="str">
        <f ca="1">IFERROR(INDEX('Production cost'!$A:$AU,MATCH($C591,'Production cost'!$AU:$AU,0),3),"")</f>
        <v/>
      </c>
      <c r="G591" s="3153" t="str">
        <f ca="1">IFERROR(INDEX('Production cost'!$A:$AU,MATCH($C591,'Production cost'!$AU:$AU,0),9),"")</f>
        <v/>
      </c>
      <c r="H591" s="3599" t="str">
        <f ca="1">IFERROR(IFERROR(INDEX('Production cost'!$A:$AU,MATCH($C591,'Production cost'!$AU:$AU,0),11),"")+IFERROR(INDEX('Production cost'!$A:$AU,MATCH($C591,'Production cost'!$AU:$AU,0),12),""),"")</f>
        <v/>
      </c>
      <c r="I591" s="3153" t="str">
        <f ca="1">IFERROR(INDEX('Production cost'!$A:$AU,MATCH($C591,'Production cost'!$AU:$AU,0),18),"")</f>
        <v/>
      </c>
      <c r="J591" s="3153" t="str">
        <f ca="1">IFERROR(INDEX('Production cost'!$A:$AU,MATCH($C591,'Production cost'!$AU:$AU,0),18),"")</f>
        <v/>
      </c>
    </row>
    <row r="592" spans="2:10" ht="21.75">
      <c r="B592" s="3143" t="s">
        <v>3652</v>
      </c>
      <c r="C592" s="3143">
        <f t="shared" si="11"/>
        <v>12</v>
      </c>
      <c r="D592" s="3143" t="str">
        <f ca="1">IFERROR(INDEX('Production cost'!$A:$AU,MATCH($C592,'Production cost'!$AU:$AU,0),6),"")</f>
        <v/>
      </c>
      <c r="E592" s="3143" t="str">
        <f ca="1">IFERROR(INDEX('Production cost'!$A:$AU,MATCH($C592,'Production cost'!$AU:$AU,0),3),"")</f>
        <v/>
      </c>
      <c r="G592" s="3153" t="str">
        <f ca="1">IFERROR(INDEX('Production cost'!$A:$AU,MATCH($C592,'Production cost'!$AU:$AU,0),9),"")</f>
        <v/>
      </c>
      <c r="H592" s="3599" t="str">
        <f ca="1">IFERROR(IFERROR(INDEX('Production cost'!$A:$AU,MATCH($C592,'Production cost'!$AU:$AU,0),11),"")+IFERROR(INDEX('Production cost'!$A:$AU,MATCH($C592,'Production cost'!$AU:$AU,0),12),""),"")</f>
        <v/>
      </c>
      <c r="I592" s="3153" t="str">
        <f ca="1">IFERROR(INDEX('Production cost'!$A:$AU,MATCH($C592,'Production cost'!$AU:$AU,0),18),"")</f>
        <v/>
      </c>
      <c r="J592" s="3153" t="str">
        <f ca="1">IFERROR(INDEX('Production cost'!$A:$AU,MATCH($C592,'Production cost'!$AU:$AU,0),18),"")</f>
        <v/>
      </c>
    </row>
    <row r="593" spans="2:10" ht="21.75">
      <c r="B593" s="3143" t="s">
        <v>3652</v>
      </c>
      <c r="C593" s="3143">
        <f t="shared" si="11"/>
        <v>13</v>
      </c>
      <c r="D593" s="3143" t="str">
        <f ca="1">IFERROR(INDEX('Production cost'!$A:$AU,MATCH($C593,'Production cost'!$AU:$AU,0),6),"")</f>
        <v/>
      </c>
      <c r="E593" s="3143" t="str">
        <f ca="1">IFERROR(INDEX('Production cost'!$A:$AU,MATCH($C593,'Production cost'!$AU:$AU,0),3),"")</f>
        <v/>
      </c>
      <c r="G593" s="3153" t="str">
        <f ca="1">IFERROR(INDEX('Production cost'!$A:$AU,MATCH($C593,'Production cost'!$AU:$AU,0),9),"")</f>
        <v/>
      </c>
      <c r="H593" s="3599" t="str">
        <f ca="1">IFERROR(IFERROR(INDEX('Production cost'!$A:$AU,MATCH($C593,'Production cost'!$AU:$AU,0),11),"")+IFERROR(INDEX('Production cost'!$A:$AU,MATCH($C593,'Production cost'!$AU:$AU,0),12),""),"")</f>
        <v/>
      </c>
      <c r="I593" s="3153" t="str">
        <f ca="1">IFERROR(INDEX('Production cost'!$A:$AU,MATCH($C593,'Production cost'!$AU:$AU,0),18),"")</f>
        <v/>
      </c>
      <c r="J593" s="3153" t="str">
        <f ca="1">IFERROR(INDEX('Production cost'!$A:$AU,MATCH($C593,'Production cost'!$AU:$AU,0),18),"")</f>
        <v/>
      </c>
    </row>
    <row r="594" spans="2:10" ht="21.75">
      <c r="B594" s="3143" t="s">
        <v>3652</v>
      </c>
      <c r="C594" s="3143">
        <f t="shared" si="11"/>
        <v>14</v>
      </c>
      <c r="D594" s="3143" t="str">
        <f ca="1">IFERROR(INDEX('Production cost'!$A:$AU,MATCH($C594,'Production cost'!$AU:$AU,0),6),"")</f>
        <v/>
      </c>
      <c r="E594" s="3143" t="str">
        <f ca="1">IFERROR(INDEX('Production cost'!$A:$AU,MATCH($C594,'Production cost'!$AU:$AU,0),3),"")</f>
        <v/>
      </c>
      <c r="G594" s="3153" t="str">
        <f ca="1">IFERROR(INDEX('Production cost'!$A:$AU,MATCH($C594,'Production cost'!$AU:$AU,0),9),"")</f>
        <v/>
      </c>
      <c r="H594" s="3599" t="str">
        <f ca="1">IFERROR(IFERROR(INDEX('Production cost'!$A:$AU,MATCH($C594,'Production cost'!$AU:$AU,0),11),"")+IFERROR(INDEX('Production cost'!$A:$AU,MATCH($C594,'Production cost'!$AU:$AU,0),12),""),"")</f>
        <v/>
      </c>
      <c r="I594" s="3153" t="str">
        <f ca="1">IFERROR(INDEX('Production cost'!$A:$AU,MATCH($C594,'Production cost'!$AU:$AU,0),18),"")</f>
        <v/>
      </c>
      <c r="J594" s="3153" t="str">
        <f ca="1">IFERROR(INDEX('Production cost'!$A:$AU,MATCH($C594,'Production cost'!$AU:$AU,0),18),"")</f>
        <v/>
      </c>
    </row>
    <row r="595" spans="2:10" ht="21.75">
      <c r="B595" s="3143" t="s">
        <v>3652</v>
      </c>
      <c r="C595" s="3143">
        <f t="shared" si="11"/>
        <v>15</v>
      </c>
      <c r="D595" s="3143" t="str">
        <f ca="1">IFERROR(INDEX('Production cost'!$A:$AU,MATCH($C595,'Production cost'!$AU:$AU,0),6),"")</f>
        <v/>
      </c>
      <c r="E595" s="3143" t="str">
        <f ca="1">IFERROR(INDEX('Production cost'!$A:$AU,MATCH($C595,'Production cost'!$AU:$AU,0),3),"")</f>
        <v/>
      </c>
      <c r="G595" s="3153" t="str">
        <f ca="1">IFERROR(INDEX('Production cost'!$A:$AU,MATCH($C595,'Production cost'!$AU:$AU,0),9),"")</f>
        <v/>
      </c>
      <c r="H595" s="3599" t="str">
        <f ca="1">IFERROR(IFERROR(INDEX('Production cost'!$A:$AU,MATCH($C595,'Production cost'!$AU:$AU,0),11),"")+IFERROR(INDEX('Production cost'!$A:$AU,MATCH($C595,'Production cost'!$AU:$AU,0),12),""),"")</f>
        <v/>
      </c>
      <c r="I595" s="3153" t="str">
        <f ca="1">IFERROR(INDEX('Production cost'!$A:$AU,MATCH($C595,'Production cost'!$AU:$AU,0),18),"")</f>
        <v/>
      </c>
      <c r="J595" s="3153" t="str">
        <f ca="1">IFERROR(INDEX('Production cost'!$A:$AU,MATCH($C595,'Production cost'!$AU:$AU,0),18),"")</f>
        <v/>
      </c>
    </row>
    <row r="596" spans="2:10" ht="21.75">
      <c r="B596" s="3143" t="s">
        <v>3652</v>
      </c>
      <c r="C596" s="3143">
        <f t="shared" si="11"/>
        <v>16</v>
      </c>
      <c r="D596" s="3143" t="str">
        <f ca="1">IFERROR(INDEX('Production cost'!$A:$AU,MATCH($C596,'Production cost'!$AU:$AU,0),6),"")</f>
        <v/>
      </c>
      <c r="E596" s="3143" t="str">
        <f ca="1">IFERROR(INDEX('Production cost'!$A:$AU,MATCH($C596,'Production cost'!$AU:$AU,0),3),"")</f>
        <v/>
      </c>
      <c r="G596" s="3153" t="str">
        <f ca="1">IFERROR(INDEX('Production cost'!$A:$AU,MATCH($C596,'Production cost'!$AU:$AU,0),9),"")</f>
        <v/>
      </c>
      <c r="H596" s="3599" t="str">
        <f ca="1">IFERROR(IFERROR(INDEX('Production cost'!$A:$AU,MATCH($C596,'Production cost'!$AU:$AU,0),11),"")+IFERROR(INDEX('Production cost'!$A:$AU,MATCH($C596,'Production cost'!$AU:$AU,0),12),""),"")</f>
        <v/>
      </c>
      <c r="I596" s="3153" t="str">
        <f ca="1">IFERROR(INDEX('Production cost'!$A:$AU,MATCH($C596,'Production cost'!$AU:$AU,0),18),"")</f>
        <v/>
      </c>
      <c r="J596" s="3153" t="str">
        <f ca="1">IFERROR(INDEX('Production cost'!$A:$AU,MATCH($C596,'Production cost'!$AU:$AU,0),18),"")</f>
        <v/>
      </c>
    </row>
    <row r="597" spans="2:10" ht="21.75">
      <c r="B597" s="3143" t="s">
        <v>3652</v>
      </c>
      <c r="C597" s="3143">
        <f t="shared" si="11"/>
        <v>17</v>
      </c>
      <c r="D597" s="3143" t="str">
        <f ca="1">IFERROR(INDEX('Production cost'!$A:$AU,MATCH($C597,'Production cost'!$AU:$AU,0),6),"")</f>
        <v/>
      </c>
      <c r="E597" s="3143" t="str">
        <f ca="1">IFERROR(INDEX('Production cost'!$A:$AU,MATCH($C597,'Production cost'!$AU:$AU,0),3),"")</f>
        <v/>
      </c>
      <c r="G597" s="3153" t="str">
        <f ca="1">IFERROR(INDEX('Production cost'!$A:$AU,MATCH($C597,'Production cost'!$AU:$AU,0),9),"")</f>
        <v/>
      </c>
      <c r="H597" s="3599" t="str">
        <f ca="1">IFERROR(IFERROR(INDEX('Production cost'!$A:$AU,MATCH($C597,'Production cost'!$AU:$AU,0),11),"")+IFERROR(INDEX('Production cost'!$A:$AU,MATCH($C597,'Production cost'!$AU:$AU,0),12),""),"")</f>
        <v/>
      </c>
      <c r="I597" s="3153" t="str">
        <f ca="1">IFERROR(INDEX('Production cost'!$A:$AU,MATCH($C597,'Production cost'!$AU:$AU,0),18),"")</f>
        <v/>
      </c>
      <c r="J597" s="3153" t="str">
        <f ca="1">IFERROR(INDEX('Production cost'!$A:$AU,MATCH($C597,'Production cost'!$AU:$AU,0),18),"")</f>
        <v/>
      </c>
    </row>
    <row r="598" spans="2:10" ht="21.75">
      <c r="B598" s="3143" t="s">
        <v>3652</v>
      </c>
      <c r="C598" s="3143">
        <f t="shared" si="11"/>
        <v>18</v>
      </c>
      <c r="D598" s="3143" t="str">
        <f ca="1">IFERROR(INDEX('Production cost'!$A:$AU,MATCH($C598,'Production cost'!$AU:$AU,0),6),"")</f>
        <v/>
      </c>
      <c r="E598" s="3143" t="str">
        <f ca="1">IFERROR(INDEX('Production cost'!$A:$AU,MATCH($C598,'Production cost'!$AU:$AU,0),3),"")</f>
        <v/>
      </c>
      <c r="G598" s="3153" t="str">
        <f ca="1">IFERROR(INDEX('Production cost'!$A:$AU,MATCH($C598,'Production cost'!$AU:$AU,0),9),"")</f>
        <v/>
      </c>
      <c r="H598" s="3599" t="str">
        <f ca="1">IFERROR(IFERROR(INDEX('Production cost'!$A:$AU,MATCH($C598,'Production cost'!$AU:$AU,0),11),"")+IFERROR(INDEX('Production cost'!$A:$AU,MATCH($C598,'Production cost'!$AU:$AU,0),12),""),"")</f>
        <v/>
      </c>
      <c r="I598" s="3153" t="str">
        <f ca="1">IFERROR(INDEX('Production cost'!$A:$AU,MATCH($C598,'Production cost'!$AU:$AU,0),18),"")</f>
        <v/>
      </c>
      <c r="J598" s="3153" t="str">
        <f ca="1">IFERROR(INDEX('Production cost'!$A:$AU,MATCH($C598,'Production cost'!$AU:$AU,0),18),"")</f>
        <v/>
      </c>
    </row>
    <row r="599" spans="2:10" ht="21.75">
      <c r="B599" s="3143" t="s">
        <v>3652</v>
      </c>
      <c r="C599" s="3143">
        <f t="shared" si="11"/>
        <v>19</v>
      </c>
      <c r="D599" s="3143" t="str">
        <f ca="1">IFERROR(INDEX('Production cost'!$A:$AU,MATCH($C599,'Production cost'!$AU:$AU,0),6),"")</f>
        <v/>
      </c>
      <c r="E599" s="3143" t="str">
        <f ca="1">IFERROR(INDEX('Production cost'!$A:$AU,MATCH($C599,'Production cost'!$AU:$AU,0),3),"")</f>
        <v/>
      </c>
      <c r="G599" s="3153" t="str">
        <f ca="1">IFERROR(INDEX('Production cost'!$A:$AU,MATCH($C599,'Production cost'!$AU:$AU,0),9),"")</f>
        <v/>
      </c>
      <c r="H599" s="3599" t="str">
        <f ca="1">IFERROR(IFERROR(INDEX('Production cost'!$A:$AU,MATCH($C599,'Production cost'!$AU:$AU,0),11),"")+IFERROR(INDEX('Production cost'!$A:$AU,MATCH($C599,'Production cost'!$AU:$AU,0),12),""),"")</f>
        <v/>
      </c>
      <c r="I599" s="3153" t="str">
        <f ca="1">IFERROR(INDEX('Production cost'!$A:$AU,MATCH($C599,'Production cost'!$AU:$AU,0),18),"")</f>
        <v/>
      </c>
      <c r="J599" s="3153" t="str">
        <f ca="1">IFERROR(INDEX('Production cost'!$A:$AU,MATCH($C599,'Production cost'!$AU:$AU,0),18),"")</f>
        <v/>
      </c>
    </row>
    <row r="600" spans="2:10" ht="21.75">
      <c r="B600" s="3143" t="s">
        <v>3652</v>
      </c>
      <c r="C600" s="3143">
        <f t="shared" si="11"/>
        <v>20</v>
      </c>
      <c r="D600" s="3143" t="str">
        <f ca="1">IFERROR(INDEX('Production cost'!$A:$AU,MATCH($C600,'Production cost'!$AU:$AU,0),6),"")</f>
        <v/>
      </c>
      <c r="E600" s="3143" t="str">
        <f ca="1">IFERROR(INDEX('Production cost'!$A:$AU,MATCH($C600,'Production cost'!$AU:$AU,0),3),"")</f>
        <v/>
      </c>
      <c r="G600" s="3153" t="str">
        <f ca="1">IFERROR(INDEX('Production cost'!$A:$AU,MATCH($C600,'Production cost'!$AU:$AU,0),9),"")</f>
        <v/>
      </c>
      <c r="H600" s="3599" t="str">
        <f ca="1">IFERROR(IFERROR(INDEX('Production cost'!$A:$AU,MATCH($C600,'Production cost'!$AU:$AU,0),11),"")+IFERROR(INDEX('Production cost'!$A:$AU,MATCH($C600,'Production cost'!$AU:$AU,0),12),""),"")</f>
        <v/>
      </c>
      <c r="I600" s="3153" t="str">
        <f ca="1">IFERROR(INDEX('Production cost'!$A:$AU,MATCH($C600,'Production cost'!$AU:$AU,0),18),"")</f>
        <v/>
      </c>
      <c r="J600" s="3153" t="str">
        <f ca="1">IFERROR(INDEX('Production cost'!$A:$AU,MATCH($C600,'Production cost'!$AU:$AU,0),18),"")</f>
        <v/>
      </c>
    </row>
    <row r="601" spans="2:10" ht="21.75">
      <c r="B601" s="3143" t="s">
        <v>3652</v>
      </c>
      <c r="C601" s="3143">
        <f t="shared" si="11"/>
        <v>21</v>
      </c>
      <c r="D601" s="3143" t="str">
        <f ca="1">IFERROR(INDEX('Production cost'!$A:$AU,MATCH($C601,'Production cost'!$AU:$AU,0),6),"")</f>
        <v/>
      </c>
      <c r="E601" s="3143" t="str">
        <f ca="1">IFERROR(INDEX('Production cost'!$A:$AU,MATCH($C601,'Production cost'!$AU:$AU,0),3),"")</f>
        <v/>
      </c>
      <c r="G601" s="3153" t="str">
        <f ca="1">IFERROR(INDEX('Production cost'!$A:$AU,MATCH($C601,'Production cost'!$AU:$AU,0),9),"")</f>
        <v/>
      </c>
      <c r="H601" s="3599" t="str">
        <f ca="1">IFERROR(IFERROR(INDEX('Production cost'!$A:$AU,MATCH($C601,'Production cost'!$AU:$AU,0),11),"")+IFERROR(INDEX('Production cost'!$A:$AU,MATCH($C601,'Production cost'!$AU:$AU,0),12),""),"")</f>
        <v/>
      </c>
      <c r="I601" s="3153" t="str">
        <f ca="1">IFERROR(INDEX('Production cost'!$A:$AU,MATCH($C601,'Production cost'!$AU:$AU,0),18),"")</f>
        <v/>
      </c>
      <c r="J601" s="3153" t="str">
        <f ca="1">IFERROR(INDEX('Production cost'!$A:$AU,MATCH($C601,'Production cost'!$AU:$AU,0),18),"")</f>
        <v/>
      </c>
    </row>
    <row r="602" spans="2:10" ht="21.75">
      <c r="B602" s="3143" t="s">
        <v>3652</v>
      </c>
      <c r="C602" s="3143">
        <f t="shared" si="11"/>
        <v>22</v>
      </c>
      <c r="D602" s="3143" t="str">
        <f ca="1">IFERROR(INDEX('Production cost'!$A:$AU,MATCH($C602,'Production cost'!$AU:$AU,0),6),"")</f>
        <v/>
      </c>
      <c r="E602" s="3143" t="str">
        <f ca="1">IFERROR(INDEX('Production cost'!$A:$AU,MATCH($C602,'Production cost'!$AU:$AU,0),3),"")</f>
        <v/>
      </c>
      <c r="G602" s="3153" t="str">
        <f ca="1">IFERROR(INDEX('Production cost'!$A:$AU,MATCH($C602,'Production cost'!$AU:$AU,0),9),"")</f>
        <v/>
      </c>
      <c r="H602" s="3599" t="str">
        <f ca="1">IFERROR(IFERROR(INDEX('Production cost'!$A:$AU,MATCH($C602,'Production cost'!$AU:$AU,0),11),"")+IFERROR(INDEX('Production cost'!$A:$AU,MATCH($C602,'Production cost'!$AU:$AU,0),12),""),"")</f>
        <v/>
      </c>
      <c r="I602" s="3153" t="str">
        <f ca="1">IFERROR(INDEX('Production cost'!$A:$AU,MATCH($C602,'Production cost'!$AU:$AU,0),18),"")</f>
        <v/>
      </c>
      <c r="J602" s="3153" t="str">
        <f ca="1">IFERROR(INDEX('Production cost'!$A:$AU,MATCH($C602,'Production cost'!$AU:$AU,0),18),"")</f>
        <v/>
      </c>
    </row>
    <row r="603" spans="2:10" ht="21.75">
      <c r="B603" s="3143" t="s">
        <v>3652</v>
      </c>
      <c r="C603" s="3143">
        <f t="shared" si="11"/>
        <v>23</v>
      </c>
      <c r="D603" s="3143" t="str">
        <f ca="1">IFERROR(INDEX('Production cost'!$A:$AU,MATCH($C603,'Production cost'!$AU:$AU,0),6),"")</f>
        <v/>
      </c>
      <c r="E603" s="3143" t="str">
        <f ca="1">IFERROR(INDEX('Production cost'!$A:$AU,MATCH($C603,'Production cost'!$AU:$AU,0),3),"")</f>
        <v/>
      </c>
      <c r="G603" s="3153" t="str">
        <f ca="1">IFERROR(INDEX('Production cost'!$A:$AU,MATCH($C603,'Production cost'!$AU:$AU,0),9),"")</f>
        <v/>
      </c>
      <c r="H603" s="3599" t="str">
        <f ca="1">IFERROR(IFERROR(INDEX('Production cost'!$A:$AU,MATCH($C603,'Production cost'!$AU:$AU,0),11),"")+IFERROR(INDEX('Production cost'!$A:$AU,MATCH($C603,'Production cost'!$AU:$AU,0),12),""),"")</f>
        <v/>
      </c>
      <c r="I603" s="3153" t="str">
        <f ca="1">IFERROR(INDEX('Production cost'!$A:$AU,MATCH($C603,'Production cost'!$AU:$AU,0),18),"")</f>
        <v/>
      </c>
      <c r="J603" s="3153" t="str">
        <f ca="1">IFERROR(INDEX('Production cost'!$A:$AU,MATCH($C603,'Production cost'!$AU:$AU,0),18),"")</f>
        <v/>
      </c>
    </row>
    <row r="604" spans="2:10" ht="21.75">
      <c r="B604" s="3143" t="s">
        <v>3652</v>
      </c>
      <c r="C604" s="3143">
        <f t="shared" si="11"/>
        <v>24</v>
      </c>
      <c r="D604" s="3143" t="str">
        <f ca="1">IFERROR(INDEX('Production cost'!$A:$AU,MATCH($C604,'Production cost'!$AU:$AU,0),6),"")</f>
        <v/>
      </c>
      <c r="E604" s="3143" t="str">
        <f ca="1">IFERROR(INDEX('Production cost'!$A:$AU,MATCH($C604,'Production cost'!$AU:$AU,0),3),"")</f>
        <v/>
      </c>
      <c r="G604" s="3153" t="str">
        <f ca="1">IFERROR(INDEX('Production cost'!$A:$AU,MATCH($C604,'Production cost'!$AU:$AU,0),9),"")</f>
        <v/>
      </c>
      <c r="H604" s="3599" t="str">
        <f ca="1">IFERROR(IFERROR(INDEX('Production cost'!$A:$AU,MATCH($C604,'Production cost'!$AU:$AU,0),11),"")+IFERROR(INDEX('Production cost'!$A:$AU,MATCH($C604,'Production cost'!$AU:$AU,0),12),""),"")</f>
        <v/>
      </c>
      <c r="I604" s="3153" t="str">
        <f ca="1">IFERROR(INDEX('Production cost'!$A:$AU,MATCH($C604,'Production cost'!$AU:$AU,0),18),"")</f>
        <v/>
      </c>
      <c r="J604" s="3153" t="str">
        <f ca="1">IFERROR(INDEX('Production cost'!$A:$AU,MATCH($C604,'Production cost'!$AU:$AU,0),18),"")</f>
        <v/>
      </c>
    </row>
    <row r="605" spans="2:10" ht="21.75">
      <c r="B605" s="3143" t="s">
        <v>3652</v>
      </c>
      <c r="C605" s="3143">
        <f t="shared" si="11"/>
        <v>25</v>
      </c>
      <c r="D605" s="3143" t="str">
        <f ca="1">IFERROR(INDEX('Production cost'!$A:$AU,MATCH($C605,'Production cost'!$AU:$AU,0),6),"")</f>
        <v/>
      </c>
      <c r="E605" s="3143" t="str">
        <f ca="1">IFERROR(INDEX('Production cost'!$A:$AU,MATCH($C605,'Production cost'!$AU:$AU,0),3),"")</f>
        <v/>
      </c>
      <c r="G605" s="3153" t="str">
        <f ca="1">IFERROR(INDEX('Production cost'!$A:$AU,MATCH($C605,'Production cost'!$AU:$AU,0),9),"")</f>
        <v/>
      </c>
      <c r="H605" s="3599" t="str">
        <f ca="1">IFERROR(IFERROR(INDEX('Production cost'!$A:$AU,MATCH($C605,'Production cost'!$AU:$AU,0),11),"")+IFERROR(INDEX('Production cost'!$A:$AU,MATCH($C605,'Production cost'!$AU:$AU,0),12),""),"")</f>
        <v/>
      </c>
      <c r="I605" s="3153" t="str">
        <f ca="1">IFERROR(INDEX('Production cost'!$A:$AU,MATCH($C605,'Production cost'!$AU:$AU,0),18),"")</f>
        <v/>
      </c>
      <c r="J605" s="3153" t="str">
        <f ca="1">IFERROR(INDEX('Production cost'!$A:$AU,MATCH($C605,'Production cost'!$AU:$AU,0),18),"")</f>
        <v/>
      </c>
    </row>
    <row r="606" spans="2:10" ht="21.75">
      <c r="B606" s="3143" t="s">
        <v>3652</v>
      </c>
      <c r="C606" s="3143">
        <f t="shared" si="11"/>
        <v>26</v>
      </c>
      <c r="D606" s="3143" t="str">
        <f ca="1">IFERROR(INDEX('Production cost'!$A:$AU,MATCH($C606,'Production cost'!$AU:$AU,0),6),"")</f>
        <v/>
      </c>
      <c r="E606" s="3143" t="str">
        <f ca="1">IFERROR(INDEX('Production cost'!$A:$AU,MATCH($C606,'Production cost'!$AU:$AU,0),3),"")</f>
        <v/>
      </c>
      <c r="G606" s="3153" t="str">
        <f ca="1">IFERROR(INDEX('Production cost'!$A:$AU,MATCH($C606,'Production cost'!$AU:$AU,0),9),"")</f>
        <v/>
      </c>
      <c r="H606" s="3599" t="str">
        <f ca="1">IFERROR(IFERROR(INDEX('Production cost'!$A:$AU,MATCH($C606,'Production cost'!$AU:$AU,0),11),"")+IFERROR(INDEX('Production cost'!$A:$AU,MATCH($C606,'Production cost'!$AU:$AU,0),12),""),"")</f>
        <v/>
      </c>
      <c r="I606" s="3153" t="str">
        <f ca="1">IFERROR(INDEX('Production cost'!$A:$AU,MATCH($C606,'Production cost'!$AU:$AU,0),18),"")</f>
        <v/>
      </c>
      <c r="J606" s="3153" t="str">
        <f ca="1">IFERROR(INDEX('Production cost'!$A:$AU,MATCH($C606,'Production cost'!$AU:$AU,0),18),"")</f>
        <v/>
      </c>
    </row>
    <row r="607" spans="2:10" ht="21.75">
      <c r="B607" s="3143" t="s">
        <v>3652</v>
      </c>
      <c r="C607" s="3143">
        <f t="shared" si="11"/>
        <v>27</v>
      </c>
      <c r="D607" s="3143" t="str">
        <f ca="1">IFERROR(INDEX('Production cost'!$A:$AU,MATCH($C607,'Production cost'!$AU:$AU,0),6),"")</f>
        <v/>
      </c>
      <c r="E607" s="3143" t="str">
        <f ca="1">IFERROR(INDEX('Production cost'!$A:$AU,MATCH($C607,'Production cost'!$AU:$AU,0),3),"")</f>
        <v/>
      </c>
      <c r="G607" s="3153" t="str">
        <f ca="1">IFERROR(INDEX('Production cost'!$A:$AU,MATCH($C607,'Production cost'!$AU:$AU,0),9),"")</f>
        <v/>
      </c>
      <c r="H607" s="3599" t="str">
        <f ca="1">IFERROR(IFERROR(INDEX('Production cost'!$A:$AU,MATCH($C607,'Production cost'!$AU:$AU,0),11),"")+IFERROR(INDEX('Production cost'!$A:$AU,MATCH($C607,'Production cost'!$AU:$AU,0),12),""),"")</f>
        <v/>
      </c>
      <c r="I607" s="3153" t="str">
        <f ca="1">IFERROR(INDEX('Production cost'!$A:$AU,MATCH($C607,'Production cost'!$AU:$AU,0),18),"")</f>
        <v/>
      </c>
      <c r="J607" s="3153" t="str">
        <f ca="1">IFERROR(INDEX('Production cost'!$A:$AU,MATCH($C607,'Production cost'!$AU:$AU,0),18),"")</f>
        <v/>
      </c>
    </row>
    <row r="608" spans="2:10" ht="21.75">
      <c r="B608" s="3143" t="s">
        <v>3652</v>
      </c>
      <c r="C608" s="3143">
        <f t="shared" si="11"/>
        <v>28</v>
      </c>
      <c r="D608" s="3143" t="str">
        <f ca="1">IFERROR(INDEX('Production cost'!$A:$AU,MATCH($C608,'Production cost'!$AU:$AU,0),6),"")</f>
        <v/>
      </c>
      <c r="E608" s="3143" t="str">
        <f ca="1">IFERROR(INDEX('Production cost'!$A:$AU,MATCH($C608,'Production cost'!$AU:$AU,0),3),"")</f>
        <v/>
      </c>
      <c r="G608" s="3153" t="str">
        <f ca="1">IFERROR(INDEX('Production cost'!$A:$AU,MATCH($C608,'Production cost'!$AU:$AU,0),9),"")</f>
        <v/>
      </c>
      <c r="H608" s="3599" t="str">
        <f ca="1">IFERROR(IFERROR(INDEX('Production cost'!$A:$AU,MATCH($C608,'Production cost'!$AU:$AU,0),11),"")+IFERROR(INDEX('Production cost'!$A:$AU,MATCH($C608,'Production cost'!$AU:$AU,0),12),""),"")</f>
        <v/>
      </c>
      <c r="I608" s="3153" t="str">
        <f ca="1">IFERROR(INDEX('Production cost'!$A:$AU,MATCH($C608,'Production cost'!$AU:$AU,0),18),"")</f>
        <v/>
      </c>
      <c r="J608" s="3153" t="str">
        <f ca="1">IFERROR(INDEX('Production cost'!$A:$AU,MATCH($C608,'Production cost'!$AU:$AU,0),18),"")</f>
        <v/>
      </c>
    </row>
    <row r="609" spans="2:10" ht="21.75">
      <c r="B609" s="3143" t="s">
        <v>3652</v>
      </c>
      <c r="C609" s="3143">
        <f t="shared" si="11"/>
        <v>29</v>
      </c>
      <c r="D609" s="3143" t="str">
        <f ca="1">IFERROR(INDEX('Production cost'!$A:$AU,MATCH($C609,'Production cost'!$AU:$AU,0),6),"")</f>
        <v/>
      </c>
      <c r="E609" s="3143" t="str">
        <f ca="1">IFERROR(INDEX('Production cost'!$A:$AU,MATCH($C609,'Production cost'!$AU:$AU,0),3),"")</f>
        <v/>
      </c>
      <c r="G609" s="3153" t="str">
        <f ca="1">IFERROR(INDEX('Production cost'!$A:$AU,MATCH($C609,'Production cost'!$AU:$AU,0),9),"")</f>
        <v/>
      </c>
      <c r="H609" s="3599" t="str">
        <f ca="1">IFERROR(IFERROR(INDEX('Production cost'!$A:$AU,MATCH($C609,'Production cost'!$AU:$AU,0),11),"")+IFERROR(INDEX('Production cost'!$A:$AU,MATCH($C609,'Production cost'!$AU:$AU,0),12),""),"")</f>
        <v/>
      </c>
      <c r="I609" s="3153" t="str">
        <f ca="1">IFERROR(INDEX('Production cost'!$A:$AU,MATCH($C609,'Production cost'!$AU:$AU,0),18),"")</f>
        <v/>
      </c>
      <c r="J609" s="3153" t="str">
        <f ca="1">IFERROR(INDEX('Production cost'!$A:$AU,MATCH($C609,'Production cost'!$AU:$AU,0),18),"")</f>
        <v/>
      </c>
    </row>
    <row r="610" spans="2:10" ht="21.75">
      <c r="B610" s="3143" t="s">
        <v>3652</v>
      </c>
      <c r="C610" s="3143">
        <f t="shared" si="11"/>
        <v>30</v>
      </c>
      <c r="D610" s="3143" t="str">
        <f ca="1">IFERROR(INDEX('Production cost'!$A:$AU,MATCH($C610,'Production cost'!$AU:$AU,0),6),"")</f>
        <v/>
      </c>
      <c r="E610" s="3143" t="str">
        <f ca="1">IFERROR(INDEX('Production cost'!$A:$AU,MATCH($C610,'Production cost'!$AU:$AU,0),3),"")</f>
        <v/>
      </c>
      <c r="G610" s="3153" t="str">
        <f ca="1">IFERROR(INDEX('Production cost'!$A:$AU,MATCH($C610,'Production cost'!$AU:$AU,0),9),"")</f>
        <v/>
      </c>
      <c r="H610" s="3599" t="str">
        <f ca="1">IFERROR(IFERROR(INDEX('Production cost'!$A:$AU,MATCH($C610,'Production cost'!$AU:$AU,0),11),"")+IFERROR(INDEX('Production cost'!$A:$AU,MATCH($C610,'Production cost'!$AU:$AU,0),12),""),"")</f>
        <v/>
      </c>
      <c r="I610" s="3153" t="str">
        <f ca="1">IFERROR(INDEX('Production cost'!$A:$AU,MATCH($C610,'Production cost'!$AU:$AU,0),18),"")</f>
        <v/>
      </c>
      <c r="J610" s="3153" t="str">
        <f ca="1">IFERROR(INDEX('Production cost'!$A:$AU,MATCH($C610,'Production cost'!$AU:$AU,0),18),"")</f>
        <v/>
      </c>
    </row>
    <row r="611" spans="2:10" ht="21.75">
      <c r="B611" s="3143" t="s">
        <v>3652</v>
      </c>
      <c r="C611" s="3143">
        <f t="shared" si="11"/>
        <v>31</v>
      </c>
      <c r="D611" s="3143" t="str">
        <f ca="1">IFERROR(INDEX('Production cost'!$A:$AU,MATCH($C611,'Production cost'!$AU:$AU,0),6),"")</f>
        <v/>
      </c>
      <c r="E611" s="3143" t="str">
        <f ca="1">IFERROR(INDEX('Production cost'!$A:$AU,MATCH($C611,'Production cost'!$AU:$AU,0),3),"")</f>
        <v/>
      </c>
      <c r="G611" s="3153" t="str">
        <f ca="1">IFERROR(INDEX('Production cost'!$A:$AU,MATCH($C611,'Production cost'!$AU:$AU,0),9),"")</f>
        <v/>
      </c>
      <c r="H611" s="3599" t="str">
        <f ca="1">IFERROR(IFERROR(INDEX('Production cost'!$A:$AU,MATCH($C611,'Production cost'!$AU:$AU,0),11),"")+IFERROR(INDEX('Production cost'!$A:$AU,MATCH($C611,'Production cost'!$AU:$AU,0),12),""),"")</f>
        <v/>
      </c>
      <c r="I611" s="3153" t="str">
        <f ca="1">IFERROR(INDEX('Production cost'!$A:$AU,MATCH($C611,'Production cost'!$AU:$AU,0),18),"")</f>
        <v/>
      </c>
      <c r="J611" s="3153" t="str">
        <f ca="1">IFERROR(INDEX('Production cost'!$A:$AU,MATCH($C611,'Production cost'!$AU:$AU,0),18),"")</f>
        <v/>
      </c>
    </row>
    <row r="612" spans="2:10" ht="21.75">
      <c r="B612" s="3143" t="s">
        <v>3652</v>
      </c>
      <c r="C612" s="3143">
        <f t="shared" si="11"/>
        <v>32</v>
      </c>
      <c r="D612" s="3143" t="str">
        <f ca="1">IFERROR(INDEX('Production cost'!$A:$AU,MATCH($C612,'Production cost'!$AU:$AU,0),6),"")</f>
        <v/>
      </c>
      <c r="E612" s="3143" t="str">
        <f ca="1">IFERROR(INDEX('Production cost'!$A:$AU,MATCH($C612,'Production cost'!$AU:$AU,0),3),"")</f>
        <v/>
      </c>
      <c r="G612" s="3153" t="str">
        <f ca="1">IFERROR(INDEX('Production cost'!$A:$AU,MATCH($C612,'Production cost'!$AU:$AU,0),9),"")</f>
        <v/>
      </c>
      <c r="H612" s="3599" t="str">
        <f ca="1">IFERROR(IFERROR(INDEX('Production cost'!$A:$AU,MATCH($C612,'Production cost'!$AU:$AU,0),11),"")+IFERROR(INDEX('Production cost'!$A:$AU,MATCH($C612,'Production cost'!$AU:$AU,0),12),""),"")</f>
        <v/>
      </c>
      <c r="I612" s="3153" t="str">
        <f ca="1">IFERROR(INDEX('Production cost'!$A:$AU,MATCH($C612,'Production cost'!$AU:$AU,0),18),"")</f>
        <v/>
      </c>
      <c r="J612" s="3153" t="str">
        <f ca="1">IFERROR(INDEX('Production cost'!$A:$AU,MATCH($C612,'Production cost'!$AU:$AU,0),18),"")</f>
        <v/>
      </c>
    </row>
    <row r="613" spans="2:10" ht="21.75">
      <c r="B613" s="3143" t="s">
        <v>3652</v>
      </c>
      <c r="C613" s="3143">
        <f t="shared" si="11"/>
        <v>33</v>
      </c>
      <c r="D613" s="3143" t="str">
        <f ca="1">IFERROR(INDEX('Production cost'!$A:$AU,MATCH($C613,'Production cost'!$AU:$AU,0),6),"")</f>
        <v/>
      </c>
      <c r="E613" s="3143" t="str">
        <f ca="1">IFERROR(INDEX('Production cost'!$A:$AU,MATCH($C613,'Production cost'!$AU:$AU,0),3),"")</f>
        <v/>
      </c>
      <c r="G613" s="3153" t="str">
        <f ca="1">IFERROR(INDEX('Production cost'!$A:$AU,MATCH($C613,'Production cost'!$AU:$AU,0),9),"")</f>
        <v/>
      </c>
      <c r="H613" s="3599" t="str">
        <f ca="1">IFERROR(IFERROR(INDEX('Production cost'!$A:$AU,MATCH($C613,'Production cost'!$AU:$AU,0),11),"")+IFERROR(INDEX('Production cost'!$A:$AU,MATCH($C613,'Production cost'!$AU:$AU,0),12),""),"")</f>
        <v/>
      </c>
      <c r="I613" s="3153" t="str">
        <f ca="1">IFERROR(INDEX('Production cost'!$A:$AU,MATCH($C613,'Production cost'!$AU:$AU,0),18),"")</f>
        <v/>
      </c>
      <c r="J613" s="3153" t="str">
        <f ca="1">IFERROR(INDEX('Production cost'!$A:$AU,MATCH($C613,'Production cost'!$AU:$AU,0),18),"")</f>
        <v/>
      </c>
    </row>
    <row r="614" spans="2:10" ht="21.75">
      <c r="B614" s="3143" t="s">
        <v>3652</v>
      </c>
      <c r="C614" s="3143">
        <f t="shared" si="11"/>
        <v>34</v>
      </c>
      <c r="D614" s="3143" t="str">
        <f ca="1">IFERROR(INDEX('Production cost'!$A:$AU,MATCH($C614,'Production cost'!$AU:$AU,0),6),"")</f>
        <v/>
      </c>
      <c r="E614" s="3143" t="str">
        <f ca="1">IFERROR(INDEX('Production cost'!$A:$AU,MATCH($C614,'Production cost'!$AU:$AU,0),3),"")</f>
        <v/>
      </c>
      <c r="G614" s="3153" t="str">
        <f ca="1">IFERROR(INDEX('Production cost'!$A:$AU,MATCH($C614,'Production cost'!$AU:$AU,0),9),"")</f>
        <v/>
      </c>
      <c r="H614" s="3599" t="str">
        <f ca="1">IFERROR(IFERROR(INDEX('Production cost'!$A:$AU,MATCH($C614,'Production cost'!$AU:$AU,0),11),"")+IFERROR(INDEX('Production cost'!$A:$AU,MATCH($C614,'Production cost'!$AU:$AU,0),12),""),"")</f>
        <v/>
      </c>
      <c r="I614" s="3153" t="str">
        <f ca="1">IFERROR(INDEX('Production cost'!$A:$AU,MATCH($C614,'Production cost'!$AU:$AU,0),18),"")</f>
        <v/>
      </c>
      <c r="J614" s="3153" t="str">
        <f ca="1">IFERROR(INDEX('Production cost'!$A:$AU,MATCH($C614,'Production cost'!$AU:$AU,0),18),"")</f>
        <v/>
      </c>
    </row>
    <row r="615" spans="2:10" ht="21.75">
      <c r="B615" s="3143" t="s">
        <v>3652</v>
      </c>
      <c r="C615" s="3143">
        <f t="shared" si="11"/>
        <v>35</v>
      </c>
      <c r="D615" s="3143" t="str">
        <f ca="1">IFERROR(INDEX('Production cost'!$A:$AU,MATCH($C615,'Production cost'!$AU:$AU,0),6),"")</f>
        <v/>
      </c>
      <c r="E615" s="3143" t="str">
        <f ca="1">IFERROR(INDEX('Production cost'!$A:$AU,MATCH($C615,'Production cost'!$AU:$AU,0),3),"")</f>
        <v/>
      </c>
      <c r="G615" s="3153" t="str">
        <f ca="1">IFERROR(INDEX('Production cost'!$A:$AU,MATCH($C615,'Production cost'!$AU:$AU,0),9),"")</f>
        <v/>
      </c>
      <c r="H615" s="3599" t="str">
        <f ca="1">IFERROR(IFERROR(INDEX('Production cost'!$A:$AU,MATCH($C615,'Production cost'!$AU:$AU,0),11),"")+IFERROR(INDEX('Production cost'!$A:$AU,MATCH($C615,'Production cost'!$AU:$AU,0),12),""),"")</f>
        <v/>
      </c>
      <c r="I615" s="3153" t="str">
        <f ca="1">IFERROR(INDEX('Production cost'!$A:$AU,MATCH($C615,'Production cost'!$AU:$AU,0),18),"")</f>
        <v/>
      </c>
      <c r="J615" s="3153" t="str">
        <f ca="1">IFERROR(INDEX('Production cost'!$A:$AU,MATCH($C615,'Production cost'!$AU:$AU,0),18),"")</f>
        <v/>
      </c>
    </row>
    <row r="616" spans="2:10" ht="21.75">
      <c r="B616" s="3143" t="s">
        <v>3652</v>
      </c>
      <c r="C616" s="3143">
        <f t="shared" si="11"/>
        <v>36</v>
      </c>
      <c r="D616" s="3143" t="str">
        <f ca="1">IFERROR(INDEX('Production cost'!$A:$AU,MATCH($C616,'Production cost'!$AU:$AU,0),6),"")</f>
        <v/>
      </c>
      <c r="E616" s="3143" t="str">
        <f ca="1">IFERROR(INDEX('Production cost'!$A:$AU,MATCH($C616,'Production cost'!$AU:$AU,0),3),"")</f>
        <v/>
      </c>
      <c r="G616" s="3153" t="str">
        <f ca="1">IFERROR(INDEX('Production cost'!$A:$AU,MATCH($C616,'Production cost'!$AU:$AU,0),9),"")</f>
        <v/>
      </c>
      <c r="H616" s="3599" t="str">
        <f ca="1">IFERROR(IFERROR(INDEX('Production cost'!$A:$AU,MATCH($C616,'Production cost'!$AU:$AU,0),11),"")+IFERROR(INDEX('Production cost'!$A:$AU,MATCH($C616,'Production cost'!$AU:$AU,0),12),""),"")</f>
        <v/>
      </c>
      <c r="I616" s="3153" t="str">
        <f ca="1">IFERROR(INDEX('Production cost'!$A:$AU,MATCH($C616,'Production cost'!$AU:$AU,0),18),"")</f>
        <v/>
      </c>
      <c r="J616" s="3153" t="str">
        <f ca="1">IFERROR(INDEX('Production cost'!$A:$AU,MATCH($C616,'Production cost'!$AU:$AU,0),18),"")</f>
        <v/>
      </c>
    </row>
    <row r="617" spans="2:10" ht="21.75">
      <c r="B617" s="3143" t="s">
        <v>3652</v>
      </c>
      <c r="C617" s="3143">
        <f t="shared" si="11"/>
        <v>37</v>
      </c>
      <c r="D617" s="3143" t="str">
        <f ca="1">IFERROR(INDEX('Production cost'!$A:$AU,MATCH($C617,'Production cost'!$AU:$AU,0),6),"")</f>
        <v/>
      </c>
      <c r="E617" s="3143" t="str">
        <f ca="1">IFERROR(INDEX('Production cost'!$A:$AU,MATCH($C617,'Production cost'!$AU:$AU,0),3),"")</f>
        <v/>
      </c>
      <c r="G617" s="3153" t="str">
        <f ca="1">IFERROR(INDEX('Production cost'!$A:$AU,MATCH($C617,'Production cost'!$AU:$AU,0),9),"")</f>
        <v/>
      </c>
      <c r="H617" s="3599" t="str">
        <f ca="1">IFERROR(IFERROR(INDEX('Production cost'!$A:$AU,MATCH($C617,'Production cost'!$AU:$AU,0),11),"")+IFERROR(INDEX('Production cost'!$A:$AU,MATCH($C617,'Production cost'!$AU:$AU,0),12),""),"")</f>
        <v/>
      </c>
      <c r="I617" s="3153" t="str">
        <f ca="1">IFERROR(INDEX('Production cost'!$A:$AU,MATCH($C617,'Production cost'!$AU:$AU,0),18),"")</f>
        <v/>
      </c>
      <c r="J617" s="3153" t="str">
        <f ca="1">IFERROR(INDEX('Production cost'!$A:$AU,MATCH($C617,'Production cost'!$AU:$AU,0),18),"")</f>
        <v/>
      </c>
    </row>
    <row r="618" spans="2:10" ht="21.75">
      <c r="B618" s="3143" t="s">
        <v>3652</v>
      </c>
      <c r="C618" s="3143">
        <f t="shared" si="11"/>
        <v>38</v>
      </c>
      <c r="D618" s="3143" t="str">
        <f ca="1">IFERROR(INDEX('Production cost'!$A:$AU,MATCH($C618,'Production cost'!$AU:$AU,0),6),"")</f>
        <v/>
      </c>
      <c r="E618" s="3143" t="str">
        <f ca="1">IFERROR(INDEX('Production cost'!$A:$AU,MATCH($C618,'Production cost'!$AU:$AU,0),3),"")</f>
        <v/>
      </c>
      <c r="G618" s="3153" t="str">
        <f ca="1">IFERROR(INDEX('Production cost'!$A:$AU,MATCH($C618,'Production cost'!$AU:$AU,0),9),"")</f>
        <v/>
      </c>
      <c r="H618" s="3599" t="str">
        <f ca="1">IFERROR(IFERROR(INDEX('Production cost'!$A:$AU,MATCH($C618,'Production cost'!$AU:$AU,0),11),"")+IFERROR(INDEX('Production cost'!$A:$AU,MATCH($C618,'Production cost'!$AU:$AU,0),12),""),"")</f>
        <v/>
      </c>
      <c r="I618" s="3153" t="str">
        <f ca="1">IFERROR(INDEX('Production cost'!$A:$AU,MATCH($C618,'Production cost'!$AU:$AU,0),18),"")</f>
        <v/>
      </c>
      <c r="J618" s="3153" t="str">
        <f ca="1">IFERROR(INDEX('Production cost'!$A:$AU,MATCH($C618,'Production cost'!$AU:$AU,0),18),"")</f>
        <v/>
      </c>
    </row>
    <row r="619" spans="2:10" ht="21.75">
      <c r="B619" s="3143" t="s">
        <v>3652</v>
      </c>
      <c r="C619" s="3143">
        <f t="shared" si="11"/>
        <v>39</v>
      </c>
      <c r="D619" s="3143" t="str">
        <f ca="1">IFERROR(INDEX('Production cost'!$A:$AU,MATCH($C619,'Production cost'!$AU:$AU,0),6),"")</f>
        <v/>
      </c>
      <c r="E619" s="3143" t="str">
        <f ca="1">IFERROR(INDEX('Production cost'!$A:$AU,MATCH($C619,'Production cost'!$AU:$AU,0),3),"")</f>
        <v/>
      </c>
      <c r="G619" s="3153" t="str">
        <f ca="1">IFERROR(INDEX('Production cost'!$A:$AU,MATCH($C619,'Production cost'!$AU:$AU,0),9),"")</f>
        <v/>
      </c>
      <c r="H619" s="3599" t="str">
        <f ca="1">IFERROR(IFERROR(INDEX('Production cost'!$A:$AU,MATCH($C619,'Production cost'!$AU:$AU,0),11),"")+IFERROR(INDEX('Production cost'!$A:$AU,MATCH($C619,'Production cost'!$AU:$AU,0),12),""),"")</f>
        <v/>
      </c>
      <c r="I619" s="3153" t="str">
        <f ca="1">IFERROR(INDEX('Production cost'!$A:$AU,MATCH($C619,'Production cost'!$AU:$AU,0),18),"")</f>
        <v/>
      </c>
      <c r="J619" s="3153" t="str">
        <f ca="1">IFERROR(INDEX('Production cost'!$A:$AU,MATCH($C619,'Production cost'!$AU:$AU,0),18),"")</f>
        <v/>
      </c>
    </row>
    <row r="620" spans="2:10" ht="21.75">
      <c r="B620" s="3143" t="s">
        <v>3652</v>
      </c>
      <c r="C620" s="3143">
        <f t="shared" si="11"/>
        <v>40</v>
      </c>
      <c r="D620" s="3143" t="str">
        <f ca="1">IFERROR(INDEX('Production cost'!$A:$AU,MATCH($C620,'Production cost'!$AU:$AU,0),6),"")</f>
        <v/>
      </c>
      <c r="E620" s="3143" t="str">
        <f ca="1">IFERROR(INDEX('Production cost'!$A:$AU,MATCH($C620,'Production cost'!$AU:$AU,0),3),"")</f>
        <v/>
      </c>
      <c r="G620" s="3153" t="str">
        <f ca="1">IFERROR(INDEX('Production cost'!$A:$AU,MATCH($C620,'Production cost'!$AU:$AU,0),9),"")</f>
        <v/>
      </c>
      <c r="H620" s="3599" t="str">
        <f ca="1">IFERROR(IFERROR(INDEX('Production cost'!$A:$AU,MATCH($C620,'Production cost'!$AU:$AU,0),11),"")+IFERROR(INDEX('Production cost'!$A:$AU,MATCH($C620,'Production cost'!$AU:$AU,0),12),""),"")</f>
        <v/>
      </c>
      <c r="I620" s="3153" t="str">
        <f ca="1">IFERROR(INDEX('Production cost'!$A:$AU,MATCH($C620,'Production cost'!$AU:$AU,0),18),"")</f>
        <v/>
      </c>
      <c r="J620" s="3153" t="str">
        <f ca="1">IFERROR(INDEX('Production cost'!$A:$AU,MATCH($C620,'Production cost'!$AU:$AU,0),18),"")</f>
        <v/>
      </c>
    </row>
    <row r="621" spans="2:10" ht="21.75">
      <c r="B621" s="3143" t="s">
        <v>3652</v>
      </c>
      <c r="C621" s="3143">
        <f t="shared" si="11"/>
        <v>41</v>
      </c>
      <c r="D621" s="3143" t="str">
        <f ca="1">IFERROR(INDEX('Production cost'!$A:$AU,MATCH($C621,'Production cost'!$AU:$AU,0),6),"")</f>
        <v/>
      </c>
      <c r="E621" s="3143" t="str">
        <f ca="1">IFERROR(INDEX('Production cost'!$A:$AU,MATCH($C621,'Production cost'!$AU:$AU,0),3),"")</f>
        <v/>
      </c>
      <c r="G621" s="3153" t="str">
        <f ca="1">IFERROR(INDEX('Production cost'!$A:$AU,MATCH($C621,'Production cost'!$AU:$AU,0),9),"")</f>
        <v/>
      </c>
      <c r="H621" s="3599" t="str">
        <f ca="1">IFERROR(IFERROR(INDEX('Production cost'!$A:$AU,MATCH($C621,'Production cost'!$AU:$AU,0),11),"")+IFERROR(INDEX('Production cost'!$A:$AU,MATCH($C621,'Production cost'!$AU:$AU,0),12),""),"")</f>
        <v/>
      </c>
      <c r="I621" s="3153" t="str">
        <f ca="1">IFERROR(INDEX('Production cost'!$A:$AU,MATCH($C621,'Production cost'!$AU:$AU,0),18),"")</f>
        <v/>
      </c>
      <c r="J621" s="3153" t="str">
        <f ca="1">IFERROR(INDEX('Production cost'!$A:$AU,MATCH($C621,'Production cost'!$AU:$AU,0),18),"")</f>
        <v/>
      </c>
    </row>
    <row r="622" spans="2:10" ht="21.75">
      <c r="B622" s="3143" t="s">
        <v>3652</v>
      </c>
      <c r="C622" s="3143">
        <f t="shared" si="11"/>
        <v>42</v>
      </c>
      <c r="D622" s="3143" t="str">
        <f ca="1">IFERROR(INDEX('Production cost'!$A:$AU,MATCH($C622,'Production cost'!$AU:$AU,0),6),"")</f>
        <v/>
      </c>
      <c r="E622" s="3143" t="str">
        <f ca="1">IFERROR(INDEX('Production cost'!$A:$AU,MATCH($C622,'Production cost'!$AU:$AU,0),3),"")</f>
        <v/>
      </c>
      <c r="G622" s="3153" t="str">
        <f ca="1">IFERROR(INDEX('Production cost'!$A:$AU,MATCH($C622,'Production cost'!$AU:$AU,0),9),"")</f>
        <v/>
      </c>
      <c r="H622" s="3599" t="str">
        <f ca="1">IFERROR(IFERROR(INDEX('Production cost'!$A:$AU,MATCH($C622,'Production cost'!$AU:$AU,0),11),"")+IFERROR(INDEX('Production cost'!$A:$AU,MATCH($C622,'Production cost'!$AU:$AU,0),12),""),"")</f>
        <v/>
      </c>
      <c r="I622" s="3153" t="str">
        <f ca="1">IFERROR(INDEX('Production cost'!$A:$AU,MATCH($C622,'Production cost'!$AU:$AU,0),18),"")</f>
        <v/>
      </c>
      <c r="J622" s="3153" t="str">
        <f ca="1">IFERROR(INDEX('Production cost'!$A:$AU,MATCH($C622,'Production cost'!$AU:$AU,0),18),"")</f>
        <v/>
      </c>
    </row>
    <row r="623" spans="2:10" ht="21.75">
      <c r="B623" s="3143" t="s">
        <v>3652</v>
      </c>
      <c r="C623" s="3143">
        <f t="shared" si="11"/>
        <v>43</v>
      </c>
      <c r="D623" s="3143" t="str">
        <f ca="1">IFERROR(INDEX('Production cost'!$A:$AU,MATCH($C623,'Production cost'!$AU:$AU,0),6),"")</f>
        <v/>
      </c>
      <c r="E623" s="3143" t="str">
        <f ca="1">IFERROR(INDEX('Production cost'!$A:$AU,MATCH($C623,'Production cost'!$AU:$AU,0),3),"")</f>
        <v/>
      </c>
      <c r="G623" s="3153" t="str">
        <f ca="1">IFERROR(INDEX('Production cost'!$A:$AU,MATCH($C623,'Production cost'!$AU:$AU,0),9),"")</f>
        <v/>
      </c>
      <c r="H623" s="3599" t="str">
        <f ca="1">IFERROR(IFERROR(INDEX('Production cost'!$A:$AU,MATCH($C623,'Production cost'!$AU:$AU,0),11),"")+IFERROR(INDEX('Production cost'!$A:$AU,MATCH($C623,'Production cost'!$AU:$AU,0),12),""),"")</f>
        <v/>
      </c>
      <c r="I623" s="3153" t="str">
        <f ca="1">IFERROR(INDEX('Production cost'!$A:$AU,MATCH($C623,'Production cost'!$AU:$AU,0),18),"")</f>
        <v/>
      </c>
      <c r="J623" s="3153" t="str">
        <f ca="1">IFERROR(INDEX('Production cost'!$A:$AU,MATCH($C623,'Production cost'!$AU:$AU,0),18),"")</f>
        <v/>
      </c>
    </row>
    <row r="624" spans="2:10" ht="21.75">
      <c r="B624" s="3143" t="s">
        <v>3652</v>
      </c>
      <c r="C624" s="3143">
        <f t="shared" si="11"/>
        <v>44</v>
      </c>
      <c r="D624" s="3143" t="str">
        <f ca="1">IFERROR(INDEX('Production cost'!$A:$AU,MATCH($C624,'Production cost'!$AU:$AU,0),6),"")</f>
        <v/>
      </c>
      <c r="E624" s="3143" t="str">
        <f ca="1">IFERROR(INDEX('Production cost'!$A:$AU,MATCH($C624,'Production cost'!$AU:$AU,0),3),"")</f>
        <v/>
      </c>
      <c r="G624" s="3153" t="str">
        <f ca="1">IFERROR(INDEX('Production cost'!$A:$AU,MATCH($C624,'Production cost'!$AU:$AU,0),9),"")</f>
        <v/>
      </c>
      <c r="H624" s="3599" t="str">
        <f ca="1">IFERROR(IFERROR(INDEX('Production cost'!$A:$AU,MATCH($C624,'Production cost'!$AU:$AU,0),11),"")+IFERROR(INDEX('Production cost'!$A:$AU,MATCH($C624,'Production cost'!$AU:$AU,0),12),""),"")</f>
        <v/>
      </c>
      <c r="I624" s="3153" t="str">
        <f ca="1">IFERROR(INDEX('Production cost'!$A:$AU,MATCH($C624,'Production cost'!$AU:$AU,0),18),"")</f>
        <v/>
      </c>
      <c r="J624" s="3153" t="str">
        <f ca="1">IFERROR(INDEX('Production cost'!$A:$AU,MATCH($C624,'Production cost'!$AU:$AU,0),18),"")</f>
        <v/>
      </c>
    </row>
    <row r="625" spans="2:10" ht="21.75">
      <c r="B625" s="3143" t="s">
        <v>3652</v>
      </c>
      <c r="C625" s="3143">
        <f t="shared" si="11"/>
        <v>45</v>
      </c>
      <c r="D625" s="3143" t="str">
        <f ca="1">IFERROR(INDEX('Production cost'!$A:$AU,MATCH($C625,'Production cost'!$AU:$AU,0),6),"")</f>
        <v/>
      </c>
      <c r="E625" s="3143" t="str">
        <f ca="1">IFERROR(INDEX('Production cost'!$A:$AU,MATCH($C625,'Production cost'!$AU:$AU,0),3),"")</f>
        <v/>
      </c>
      <c r="G625" s="3153" t="str">
        <f ca="1">IFERROR(INDEX('Production cost'!$A:$AU,MATCH($C625,'Production cost'!$AU:$AU,0),9),"")</f>
        <v/>
      </c>
      <c r="H625" s="3599" t="str">
        <f ca="1">IFERROR(IFERROR(INDEX('Production cost'!$A:$AU,MATCH($C625,'Production cost'!$AU:$AU,0),11),"")+IFERROR(INDEX('Production cost'!$A:$AU,MATCH($C625,'Production cost'!$AU:$AU,0),12),""),"")</f>
        <v/>
      </c>
      <c r="I625" s="3153" t="str">
        <f ca="1">IFERROR(INDEX('Production cost'!$A:$AU,MATCH($C625,'Production cost'!$AU:$AU,0),18),"")</f>
        <v/>
      </c>
      <c r="J625" s="3153" t="str">
        <f ca="1">IFERROR(INDEX('Production cost'!$A:$AU,MATCH($C625,'Production cost'!$AU:$AU,0),18),"")</f>
        <v/>
      </c>
    </row>
    <row r="626" spans="2:10" ht="21.75">
      <c r="B626" s="3143" t="s">
        <v>3652</v>
      </c>
      <c r="C626" s="3143">
        <f t="shared" si="11"/>
        <v>46</v>
      </c>
      <c r="D626" s="3143" t="str">
        <f ca="1">IFERROR(INDEX('Production cost'!$A:$AU,MATCH($C626,'Production cost'!$AU:$AU,0),6),"")</f>
        <v/>
      </c>
      <c r="E626" s="3143" t="str">
        <f ca="1">IFERROR(INDEX('Production cost'!$A:$AU,MATCH($C626,'Production cost'!$AU:$AU,0),3),"")</f>
        <v/>
      </c>
      <c r="G626" s="3153" t="str">
        <f ca="1">IFERROR(INDEX('Production cost'!$A:$AU,MATCH($C626,'Production cost'!$AU:$AU,0),9),"")</f>
        <v/>
      </c>
      <c r="H626" s="3599" t="str">
        <f ca="1">IFERROR(IFERROR(INDEX('Production cost'!$A:$AU,MATCH($C626,'Production cost'!$AU:$AU,0),11),"")+IFERROR(INDEX('Production cost'!$A:$AU,MATCH($C626,'Production cost'!$AU:$AU,0),12),""),"")</f>
        <v/>
      </c>
      <c r="I626" s="3153" t="str">
        <f ca="1">IFERROR(INDEX('Production cost'!$A:$AU,MATCH($C626,'Production cost'!$AU:$AU,0),18),"")</f>
        <v/>
      </c>
      <c r="J626" s="3153" t="str">
        <f ca="1">IFERROR(INDEX('Production cost'!$A:$AU,MATCH($C626,'Production cost'!$AU:$AU,0),18),"")</f>
        <v/>
      </c>
    </row>
    <row r="627" spans="2:10" ht="21.75">
      <c r="B627" s="3143" t="s">
        <v>3652</v>
      </c>
      <c r="C627" s="3143">
        <f t="shared" si="11"/>
        <v>47</v>
      </c>
      <c r="D627" s="3143" t="str">
        <f ca="1">IFERROR(INDEX('Production cost'!$A:$AU,MATCH($C627,'Production cost'!$AU:$AU,0),6),"")</f>
        <v/>
      </c>
      <c r="E627" s="3143" t="str">
        <f ca="1">IFERROR(INDEX('Production cost'!$A:$AU,MATCH($C627,'Production cost'!$AU:$AU,0),3),"")</f>
        <v/>
      </c>
      <c r="G627" s="3153" t="str">
        <f ca="1">IFERROR(INDEX('Production cost'!$A:$AU,MATCH($C627,'Production cost'!$AU:$AU,0),9),"")</f>
        <v/>
      </c>
      <c r="H627" s="3599" t="str">
        <f ca="1">IFERROR(IFERROR(INDEX('Production cost'!$A:$AU,MATCH($C627,'Production cost'!$AU:$AU,0),11),"")+IFERROR(INDEX('Production cost'!$A:$AU,MATCH($C627,'Production cost'!$AU:$AU,0),12),""),"")</f>
        <v/>
      </c>
      <c r="I627" s="3153" t="str">
        <f ca="1">IFERROR(INDEX('Production cost'!$A:$AU,MATCH($C627,'Production cost'!$AU:$AU,0),18),"")</f>
        <v/>
      </c>
      <c r="J627" s="3153" t="str">
        <f ca="1">IFERROR(INDEX('Production cost'!$A:$AU,MATCH($C627,'Production cost'!$AU:$AU,0),18),"")</f>
        <v/>
      </c>
    </row>
    <row r="628" spans="2:10" ht="21.75">
      <c r="B628" s="3143" t="s">
        <v>3652</v>
      </c>
      <c r="C628" s="3143">
        <f t="shared" si="11"/>
        <v>48</v>
      </c>
      <c r="D628" s="3143" t="str">
        <f ca="1">IFERROR(INDEX('Production cost'!$A:$AU,MATCH($C628,'Production cost'!$AU:$AU,0),6),"")</f>
        <v/>
      </c>
      <c r="E628" s="3143" t="str">
        <f ca="1">IFERROR(INDEX('Production cost'!$A:$AU,MATCH($C628,'Production cost'!$AU:$AU,0),3),"")</f>
        <v/>
      </c>
      <c r="G628" s="3153" t="str">
        <f ca="1">IFERROR(INDEX('Production cost'!$A:$AU,MATCH($C628,'Production cost'!$AU:$AU,0),9),"")</f>
        <v/>
      </c>
      <c r="H628" s="3599" t="str">
        <f ca="1">IFERROR(IFERROR(INDEX('Production cost'!$A:$AU,MATCH($C628,'Production cost'!$AU:$AU,0),11),"")+IFERROR(INDEX('Production cost'!$A:$AU,MATCH($C628,'Production cost'!$AU:$AU,0),12),""),"")</f>
        <v/>
      </c>
      <c r="I628" s="3153" t="str">
        <f ca="1">IFERROR(INDEX('Production cost'!$A:$AU,MATCH($C628,'Production cost'!$AU:$AU,0),18),"")</f>
        <v/>
      </c>
      <c r="J628" s="3153" t="str">
        <f ca="1">IFERROR(INDEX('Production cost'!$A:$AU,MATCH($C628,'Production cost'!$AU:$AU,0),18),"")</f>
        <v/>
      </c>
    </row>
    <row r="629" spans="2:10" ht="21.75">
      <c r="B629" s="3143" t="s">
        <v>3652</v>
      </c>
      <c r="C629" s="3143">
        <f t="shared" si="11"/>
        <v>49</v>
      </c>
      <c r="D629" s="3143" t="str">
        <f ca="1">IFERROR(INDEX('Production cost'!$A:$AU,MATCH($C629,'Production cost'!$AU:$AU,0),6),"")</f>
        <v/>
      </c>
      <c r="E629" s="3143" t="str">
        <f ca="1">IFERROR(INDEX('Production cost'!$A:$AU,MATCH($C629,'Production cost'!$AU:$AU,0),3),"")</f>
        <v/>
      </c>
      <c r="G629" s="3153" t="str">
        <f ca="1">IFERROR(INDEX('Production cost'!$A:$AU,MATCH($C629,'Production cost'!$AU:$AU,0),9),"")</f>
        <v/>
      </c>
      <c r="H629" s="3599" t="str">
        <f ca="1">IFERROR(IFERROR(INDEX('Production cost'!$A:$AU,MATCH($C629,'Production cost'!$AU:$AU,0),11),"")+IFERROR(INDEX('Production cost'!$A:$AU,MATCH($C629,'Production cost'!$AU:$AU,0),12),""),"")</f>
        <v/>
      </c>
      <c r="I629" s="3153" t="str">
        <f ca="1">IFERROR(INDEX('Production cost'!$A:$AU,MATCH($C629,'Production cost'!$AU:$AU,0),18),"")</f>
        <v/>
      </c>
      <c r="J629" s="3153" t="str">
        <f ca="1">IFERROR(INDEX('Production cost'!$A:$AU,MATCH($C629,'Production cost'!$AU:$AU,0),18),"")</f>
        <v/>
      </c>
    </row>
    <row r="630" spans="2:10" ht="21.75">
      <c r="B630" s="3143" t="s">
        <v>3652</v>
      </c>
      <c r="C630" s="3143">
        <f t="shared" si="11"/>
        <v>50</v>
      </c>
      <c r="D630" s="3143" t="str">
        <f ca="1">IFERROR(INDEX('Production cost'!$A:$AU,MATCH($C630,'Production cost'!$AU:$AU,0),6),"")</f>
        <v/>
      </c>
      <c r="E630" s="3143" t="str">
        <f ca="1">IFERROR(INDEX('Production cost'!$A:$AU,MATCH($C630,'Production cost'!$AU:$AU,0),3),"")</f>
        <v/>
      </c>
      <c r="G630" s="3153" t="str">
        <f ca="1">IFERROR(INDEX('Production cost'!$A:$AU,MATCH($C630,'Production cost'!$AU:$AU,0),9),"")</f>
        <v/>
      </c>
      <c r="H630" s="3599" t="str">
        <f ca="1">IFERROR(IFERROR(INDEX('Production cost'!$A:$AU,MATCH($C630,'Production cost'!$AU:$AU,0),11),"")+IFERROR(INDEX('Production cost'!$A:$AU,MATCH($C630,'Production cost'!$AU:$AU,0),12),""),"")</f>
        <v/>
      </c>
      <c r="I630" s="3153" t="str">
        <f ca="1">IFERROR(INDEX('Production cost'!$A:$AU,MATCH($C630,'Production cost'!$AU:$AU,0),18),"")</f>
        <v/>
      </c>
      <c r="J630" s="3153" t="str">
        <f ca="1">IFERROR(INDEX('Production cost'!$A:$AU,MATCH($C630,'Production cost'!$AU:$AU,0),18),"")</f>
        <v/>
      </c>
    </row>
    <row r="631" spans="2:10" ht="21.75">
      <c r="B631" s="3143" t="s">
        <v>3652</v>
      </c>
      <c r="C631" s="3143">
        <f t="shared" si="11"/>
        <v>51</v>
      </c>
      <c r="D631" s="3143" t="str">
        <f ca="1">IFERROR(INDEX('Production cost'!$A:$AU,MATCH($C631,'Production cost'!$AU:$AU,0),6),"")</f>
        <v/>
      </c>
      <c r="E631" s="3143" t="str">
        <f ca="1">IFERROR(INDEX('Production cost'!$A:$AU,MATCH($C631,'Production cost'!$AU:$AU,0),3),"")</f>
        <v/>
      </c>
      <c r="G631" s="3153" t="str">
        <f ca="1">IFERROR(INDEX('Production cost'!$A:$AU,MATCH($C631,'Production cost'!$AU:$AU,0),9),"")</f>
        <v/>
      </c>
      <c r="H631" s="3599" t="str">
        <f ca="1">IFERROR(IFERROR(INDEX('Production cost'!$A:$AU,MATCH($C631,'Production cost'!$AU:$AU,0),11),"")+IFERROR(INDEX('Production cost'!$A:$AU,MATCH($C631,'Production cost'!$AU:$AU,0),12),""),"")</f>
        <v/>
      </c>
      <c r="I631" s="3153" t="str">
        <f ca="1">IFERROR(INDEX('Production cost'!$A:$AU,MATCH($C631,'Production cost'!$AU:$AU,0),18),"")</f>
        <v/>
      </c>
      <c r="J631" s="3153" t="str">
        <f ca="1">IFERROR(INDEX('Production cost'!$A:$AU,MATCH($C631,'Production cost'!$AU:$AU,0),18),"")</f>
        <v/>
      </c>
    </row>
    <row r="632" spans="2:10" ht="21.75">
      <c r="B632" s="3143" t="s">
        <v>3652</v>
      </c>
      <c r="C632" s="3143">
        <f t="shared" si="11"/>
        <v>52</v>
      </c>
      <c r="D632" s="3143" t="str">
        <f ca="1">IFERROR(INDEX('Production cost'!$A:$AU,MATCH($C632,'Production cost'!$AU:$AU,0),6),"")</f>
        <v/>
      </c>
      <c r="E632" s="3143" t="str">
        <f ca="1">IFERROR(INDEX('Production cost'!$A:$AU,MATCH($C632,'Production cost'!$AU:$AU,0),3),"")</f>
        <v/>
      </c>
      <c r="G632" s="3153" t="str">
        <f ca="1">IFERROR(INDEX('Production cost'!$A:$AU,MATCH($C632,'Production cost'!$AU:$AU,0),9),"")</f>
        <v/>
      </c>
      <c r="H632" s="3599" t="str">
        <f ca="1">IFERROR(IFERROR(INDEX('Production cost'!$A:$AU,MATCH($C632,'Production cost'!$AU:$AU,0),11),"")+IFERROR(INDEX('Production cost'!$A:$AU,MATCH($C632,'Production cost'!$AU:$AU,0),12),""),"")</f>
        <v/>
      </c>
      <c r="I632" s="3153" t="str">
        <f ca="1">IFERROR(INDEX('Production cost'!$A:$AU,MATCH($C632,'Production cost'!$AU:$AU,0),18),"")</f>
        <v/>
      </c>
      <c r="J632" s="3153" t="str">
        <f ca="1">IFERROR(INDEX('Production cost'!$A:$AU,MATCH($C632,'Production cost'!$AU:$AU,0),18),"")</f>
        <v/>
      </c>
    </row>
    <row r="633" spans="2:10" ht="21.75">
      <c r="B633" s="3143" t="s">
        <v>3652</v>
      </c>
      <c r="C633" s="3143">
        <f t="shared" si="11"/>
        <v>53</v>
      </c>
      <c r="D633" s="3143" t="str">
        <f ca="1">IFERROR(INDEX('Production cost'!$A:$AU,MATCH($C633,'Production cost'!$AU:$AU,0),6),"")</f>
        <v/>
      </c>
      <c r="E633" s="3143" t="str">
        <f ca="1">IFERROR(INDEX('Production cost'!$A:$AU,MATCH($C633,'Production cost'!$AU:$AU,0),3),"")</f>
        <v/>
      </c>
      <c r="G633" s="3153" t="str">
        <f ca="1">IFERROR(INDEX('Production cost'!$A:$AU,MATCH($C633,'Production cost'!$AU:$AU,0),9),"")</f>
        <v/>
      </c>
      <c r="H633" s="3599" t="str">
        <f ca="1">IFERROR(IFERROR(INDEX('Production cost'!$A:$AU,MATCH($C633,'Production cost'!$AU:$AU,0),11),"")+IFERROR(INDEX('Production cost'!$A:$AU,MATCH($C633,'Production cost'!$AU:$AU,0),12),""),"")</f>
        <v/>
      </c>
      <c r="I633" s="3153" t="str">
        <f ca="1">IFERROR(INDEX('Production cost'!$A:$AU,MATCH($C633,'Production cost'!$AU:$AU,0),18),"")</f>
        <v/>
      </c>
      <c r="J633" s="3153" t="str">
        <f ca="1">IFERROR(INDEX('Production cost'!$A:$AU,MATCH($C633,'Production cost'!$AU:$AU,0),18),"")</f>
        <v/>
      </c>
    </row>
    <row r="634" spans="2:10" ht="21.75">
      <c r="B634" s="3143" t="s">
        <v>3652</v>
      </c>
      <c r="C634" s="3143">
        <f t="shared" si="11"/>
        <v>54</v>
      </c>
      <c r="D634" s="3143" t="str">
        <f ca="1">IFERROR(INDEX('Production cost'!$A:$AU,MATCH($C634,'Production cost'!$AU:$AU,0),6),"")</f>
        <v/>
      </c>
      <c r="E634" s="3143" t="str">
        <f ca="1">IFERROR(INDEX('Production cost'!$A:$AU,MATCH($C634,'Production cost'!$AU:$AU,0),3),"")</f>
        <v/>
      </c>
      <c r="G634" s="3153" t="str">
        <f ca="1">IFERROR(INDEX('Production cost'!$A:$AU,MATCH($C634,'Production cost'!$AU:$AU,0),9),"")</f>
        <v/>
      </c>
      <c r="H634" s="3599" t="str">
        <f ca="1">IFERROR(IFERROR(INDEX('Production cost'!$A:$AU,MATCH($C634,'Production cost'!$AU:$AU,0),11),"")+IFERROR(INDEX('Production cost'!$A:$AU,MATCH($C634,'Production cost'!$AU:$AU,0),12),""),"")</f>
        <v/>
      </c>
      <c r="I634" s="3153" t="str">
        <f ca="1">IFERROR(INDEX('Production cost'!$A:$AU,MATCH($C634,'Production cost'!$AU:$AU,0),18),"")</f>
        <v/>
      </c>
      <c r="J634" s="3153" t="str">
        <f ca="1">IFERROR(INDEX('Production cost'!$A:$AU,MATCH($C634,'Production cost'!$AU:$AU,0),18),"")</f>
        <v/>
      </c>
    </row>
    <row r="635" spans="2:10" ht="21.75">
      <c r="B635" s="3143" t="s">
        <v>3652</v>
      </c>
      <c r="C635" s="3143">
        <f t="shared" si="11"/>
        <v>55</v>
      </c>
      <c r="D635" s="3143" t="str">
        <f ca="1">IFERROR(INDEX('Production cost'!$A:$AU,MATCH($C635,'Production cost'!$AU:$AU,0),6),"")</f>
        <v/>
      </c>
      <c r="E635" s="3143" t="str">
        <f ca="1">IFERROR(INDEX('Production cost'!$A:$AU,MATCH($C635,'Production cost'!$AU:$AU,0),3),"")</f>
        <v/>
      </c>
      <c r="G635" s="3153" t="str">
        <f ca="1">IFERROR(INDEX('Production cost'!$A:$AU,MATCH($C635,'Production cost'!$AU:$AU,0),9),"")</f>
        <v/>
      </c>
      <c r="H635" s="3599" t="str">
        <f ca="1">IFERROR(IFERROR(INDEX('Production cost'!$A:$AU,MATCH($C635,'Production cost'!$AU:$AU,0),11),"")+IFERROR(INDEX('Production cost'!$A:$AU,MATCH($C635,'Production cost'!$AU:$AU,0),12),""),"")</f>
        <v/>
      </c>
      <c r="I635" s="3153" t="str">
        <f ca="1">IFERROR(INDEX('Production cost'!$A:$AU,MATCH($C635,'Production cost'!$AU:$AU,0),18),"")</f>
        <v/>
      </c>
      <c r="J635" s="3153" t="str">
        <f ca="1">IFERROR(INDEX('Production cost'!$A:$AU,MATCH($C635,'Production cost'!$AU:$AU,0),18),"")</f>
        <v/>
      </c>
    </row>
    <row r="636" spans="2:10" ht="21.75">
      <c r="B636" s="3143" t="s">
        <v>3652</v>
      </c>
      <c r="C636" s="3143">
        <f t="shared" si="11"/>
        <v>56</v>
      </c>
      <c r="D636" s="3143" t="str">
        <f ca="1">IFERROR(INDEX('Production cost'!$A:$AU,MATCH($C636,'Production cost'!$AU:$AU,0),6),"")</f>
        <v/>
      </c>
      <c r="E636" s="3143" t="str">
        <f ca="1">IFERROR(INDEX('Production cost'!$A:$AU,MATCH($C636,'Production cost'!$AU:$AU,0),3),"")</f>
        <v/>
      </c>
      <c r="G636" s="3153" t="str">
        <f ca="1">IFERROR(INDEX('Production cost'!$A:$AU,MATCH($C636,'Production cost'!$AU:$AU,0),9),"")</f>
        <v/>
      </c>
      <c r="H636" s="3599" t="str">
        <f ca="1">IFERROR(IFERROR(INDEX('Production cost'!$A:$AU,MATCH($C636,'Production cost'!$AU:$AU,0),11),"")+IFERROR(INDEX('Production cost'!$A:$AU,MATCH($C636,'Production cost'!$AU:$AU,0),12),""),"")</f>
        <v/>
      </c>
      <c r="I636" s="3153" t="str">
        <f ca="1">IFERROR(INDEX('Production cost'!$A:$AU,MATCH($C636,'Production cost'!$AU:$AU,0),18),"")</f>
        <v/>
      </c>
      <c r="J636" s="3153" t="str">
        <f ca="1">IFERROR(INDEX('Production cost'!$A:$AU,MATCH($C636,'Production cost'!$AU:$AU,0),18),"")</f>
        <v/>
      </c>
    </row>
    <row r="637" spans="2:10" ht="21.75">
      <c r="B637" s="3143" t="s">
        <v>3652</v>
      </c>
      <c r="C637" s="3143">
        <f t="shared" si="11"/>
        <v>57</v>
      </c>
      <c r="D637" s="3143" t="str">
        <f ca="1">IFERROR(INDEX('Production cost'!$A:$AU,MATCH($C637,'Production cost'!$AU:$AU,0),6),"")</f>
        <v/>
      </c>
      <c r="E637" s="3143" t="str">
        <f ca="1">IFERROR(INDEX('Production cost'!$A:$AU,MATCH($C637,'Production cost'!$AU:$AU,0),3),"")</f>
        <v/>
      </c>
      <c r="G637" s="3153" t="str">
        <f ca="1">IFERROR(INDEX('Production cost'!$A:$AU,MATCH($C637,'Production cost'!$AU:$AU,0),9),"")</f>
        <v/>
      </c>
      <c r="H637" s="3599" t="str">
        <f ca="1">IFERROR(IFERROR(INDEX('Production cost'!$A:$AU,MATCH($C637,'Production cost'!$AU:$AU,0),11),"")+IFERROR(INDEX('Production cost'!$A:$AU,MATCH($C637,'Production cost'!$AU:$AU,0),12),""),"")</f>
        <v/>
      </c>
      <c r="I637" s="3153" t="str">
        <f ca="1">IFERROR(INDEX('Production cost'!$A:$AU,MATCH($C637,'Production cost'!$AU:$AU,0),18),"")</f>
        <v/>
      </c>
      <c r="J637" s="3153" t="str">
        <f ca="1">IFERROR(INDEX('Production cost'!$A:$AU,MATCH($C637,'Production cost'!$AU:$AU,0),18),"")</f>
        <v/>
      </c>
    </row>
    <row r="638" spans="2:10" ht="21.75">
      <c r="B638" s="3143" t="s">
        <v>3652</v>
      </c>
      <c r="C638" s="3143">
        <f t="shared" si="11"/>
        <v>58</v>
      </c>
      <c r="D638" s="3143" t="str">
        <f ca="1">IFERROR(INDEX('Production cost'!$A:$AU,MATCH($C638,'Production cost'!$AU:$AU,0),6),"")</f>
        <v/>
      </c>
      <c r="E638" s="3143" t="str">
        <f ca="1">IFERROR(INDEX('Production cost'!$A:$AU,MATCH($C638,'Production cost'!$AU:$AU,0),3),"")</f>
        <v/>
      </c>
      <c r="G638" s="3153" t="str">
        <f ca="1">IFERROR(INDEX('Production cost'!$A:$AU,MATCH($C638,'Production cost'!$AU:$AU,0),9),"")</f>
        <v/>
      </c>
      <c r="H638" s="3599" t="str">
        <f ca="1">IFERROR(IFERROR(INDEX('Production cost'!$A:$AU,MATCH($C638,'Production cost'!$AU:$AU,0),11),"")+IFERROR(INDEX('Production cost'!$A:$AU,MATCH($C638,'Production cost'!$AU:$AU,0),12),""),"")</f>
        <v/>
      </c>
      <c r="I638" s="3153" t="str">
        <f ca="1">IFERROR(INDEX('Production cost'!$A:$AU,MATCH($C638,'Production cost'!$AU:$AU,0),18),"")</f>
        <v/>
      </c>
      <c r="J638" s="3153" t="str">
        <f ca="1">IFERROR(INDEX('Production cost'!$A:$AU,MATCH($C638,'Production cost'!$AU:$AU,0),18),"")</f>
        <v/>
      </c>
    </row>
    <row r="639" spans="2:10" ht="21.75">
      <c r="B639" s="3143" t="s">
        <v>3652</v>
      </c>
      <c r="C639" s="3143">
        <f t="shared" si="11"/>
        <v>59</v>
      </c>
      <c r="D639" s="3143" t="str">
        <f ca="1">IFERROR(INDEX('Production cost'!$A:$AU,MATCH($C639,'Production cost'!$AU:$AU,0),6),"")</f>
        <v/>
      </c>
      <c r="E639" s="3143" t="str">
        <f ca="1">IFERROR(INDEX('Production cost'!$A:$AU,MATCH($C639,'Production cost'!$AU:$AU,0),3),"")</f>
        <v/>
      </c>
      <c r="G639" s="3153" t="str">
        <f ca="1">IFERROR(INDEX('Production cost'!$A:$AU,MATCH($C639,'Production cost'!$AU:$AU,0),9),"")</f>
        <v/>
      </c>
      <c r="H639" s="3599" t="str">
        <f ca="1">IFERROR(IFERROR(INDEX('Production cost'!$A:$AU,MATCH($C639,'Production cost'!$AU:$AU,0),11),"")+IFERROR(INDEX('Production cost'!$A:$AU,MATCH($C639,'Production cost'!$AU:$AU,0),12),""),"")</f>
        <v/>
      </c>
      <c r="I639" s="3153" t="str">
        <f ca="1">IFERROR(INDEX('Production cost'!$A:$AU,MATCH($C639,'Production cost'!$AU:$AU,0),18),"")</f>
        <v/>
      </c>
      <c r="J639" s="3153" t="str">
        <f ca="1">IFERROR(INDEX('Production cost'!$A:$AU,MATCH($C639,'Production cost'!$AU:$AU,0),18),"")</f>
        <v/>
      </c>
    </row>
    <row r="640" spans="2:10" ht="21.75">
      <c r="B640" s="3143" t="s">
        <v>3652</v>
      </c>
      <c r="C640" s="3143">
        <f t="shared" si="11"/>
        <v>60</v>
      </c>
      <c r="D640" s="3143" t="str">
        <f ca="1">IFERROR(INDEX('Production cost'!$A:$AU,MATCH($C640,'Production cost'!$AU:$AU,0),6),"")</f>
        <v/>
      </c>
      <c r="E640" s="3143" t="str">
        <f ca="1">IFERROR(INDEX('Production cost'!$A:$AU,MATCH($C640,'Production cost'!$AU:$AU,0),3),"")</f>
        <v/>
      </c>
      <c r="G640" s="3153" t="str">
        <f ca="1">IFERROR(INDEX('Production cost'!$A:$AU,MATCH($C640,'Production cost'!$AU:$AU,0),9),"")</f>
        <v/>
      </c>
      <c r="H640" s="3599" t="str">
        <f ca="1">IFERROR(IFERROR(INDEX('Production cost'!$A:$AU,MATCH($C640,'Production cost'!$AU:$AU,0),11),"")+IFERROR(INDEX('Production cost'!$A:$AU,MATCH($C640,'Production cost'!$AU:$AU,0),12),""),"")</f>
        <v/>
      </c>
      <c r="I640" s="3153" t="str">
        <f ca="1">IFERROR(INDEX('Production cost'!$A:$AU,MATCH($C640,'Production cost'!$AU:$AU,0),18),"")</f>
        <v/>
      </c>
      <c r="J640" s="3153" t="str">
        <f ca="1">IFERROR(INDEX('Production cost'!$A:$AU,MATCH($C640,'Production cost'!$AU:$AU,0),18),"")</f>
        <v/>
      </c>
    </row>
    <row r="641" spans="2:10" ht="21.75">
      <c r="B641" s="3143" t="s">
        <v>3652</v>
      </c>
      <c r="C641" s="3143">
        <f t="shared" si="11"/>
        <v>61</v>
      </c>
      <c r="D641" s="3143" t="str">
        <f ca="1">IFERROR(INDEX('Production cost'!$A:$AU,MATCH($C641,'Production cost'!$AU:$AU,0),6),"")</f>
        <v/>
      </c>
      <c r="E641" s="3143" t="str">
        <f ca="1">IFERROR(INDEX('Production cost'!$A:$AU,MATCH($C641,'Production cost'!$AU:$AU,0),3),"")</f>
        <v/>
      </c>
      <c r="G641" s="3153" t="str">
        <f ca="1">IFERROR(INDEX('Production cost'!$A:$AU,MATCH($C641,'Production cost'!$AU:$AU,0),9),"")</f>
        <v/>
      </c>
      <c r="H641" s="3599" t="str">
        <f ca="1">IFERROR(IFERROR(INDEX('Production cost'!$A:$AU,MATCH($C641,'Production cost'!$AU:$AU,0),11),"")+IFERROR(INDEX('Production cost'!$A:$AU,MATCH($C641,'Production cost'!$AU:$AU,0),12),""),"")</f>
        <v/>
      </c>
      <c r="I641" s="3153" t="str">
        <f ca="1">IFERROR(INDEX('Production cost'!$A:$AU,MATCH($C641,'Production cost'!$AU:$AU,0),18),"")</f>
        <v/>
      </c>
      <c r="J641" s="3153" t="str">
        <f ca="1">IFERROR(INDEX('Production cost'!$A:$AU,MATCH($C641,'Production cost'!$AU:$AU,0),18),"")</f>
        <v/>
      </c>
    </row>
    <row r="642" spans="2:10" ht="21.75">
      <c r="B642" s="3143" t="s">
        <v>3652</v>
      </c>
      <c r="C642" s="3143">
        <f t="shared" si="11"/>
        <v>62</v>
      </c>
      <c r="D642" s="3143" t="str">
        <f ca="1">IFERROR(INDEX('Production cost'!$A:$AU,MATCH($C642,'Production cost'!$AU:$AU,0),6),"")</f>
        <v/>
      </c>
      <c r="E642" s="3143" t="str">
        <f ca="1">IFERROR(INDEX('Production cost'!$A:$AU,MATCH($C642,'Production cost'!$AU:$AU,0),3),"")</f>
        <v/>
      </c>
      <c r="G642" s="3153" t="str">
        <f ca="1">IFERROR(INDEX('Production cost'!$A:$AU,MATCH($C642,'Production cost'!$AU:$AU,0),9),"")</f>
        <v/>
      </c>
      <c r="H642" s="3599" t="str">
        <f ca="1">IFERROR(IFERROR(INDEX('Production cost'!$A:$AU,MATCH($C642,'Production cost'!$AU:$AU,0),11),"")+IFERROR(INDEX('Production cost'!$A:$AU,MATCH($C642,'Production cost'!$AU:$AU,0),12),""),"")</f>
        <v/>
      </c>
      <c r="I642" s="3153" t="str">
        <f ca="1">IFERROR(INDEX('Production cost'!$A:$AU,MATCH($C642,'Production cost'!$AU:$AU,0),18),"")</f>
        <v/>
      </c>
      <c r="J642" s="3153" t="str">
        <f ca="1">IFERROR(INDEX('Production cost'!$A:$AU,MATCH($C642,'Production cost'!$AU:$AU,0),18),"")</f>
        <v/>
      </c>
    </row>
    <row r="643" spans="2:10" ht="21.75">
      <c r="B643" s="3143" t="s">
        <v>3652</v>
      </c>
      <c r="C643" s="3143">
        <f t="shared" si="11"/>
        <v>63</v>
      </c>
      <c r="D643" s="3143" t="str">
        <f ca="1">IFERROR(INDEX('Production cost'!$A:$AU,MATCH($C643,'Production cost'!$AU:$AU,0),6),"")</f>
        <v/>
      </c>
      <c r="E643" s="3143" t="str">
        <f ca="1">IFERROR(INDEX('Production cost'!$A:$AU,MATCH($C643,'Production cost'!$AU:$AU,0),3),"")</f>
        <v/>
      </c>
      <c r="G643" s="3153" t="str">
        <f ca="1">IFERROR(INDEX('Production cost'!$A:$AU,MATCH($C643,'Production cost'!$AU:$AU,0),9),"")</f>
        <v/>
      </c>
      <c r="H643" s="3599" t="str">
        <f ca="1">IFERROR(IFERROR(INDEX('Production cost'!$A:$AU,MATCH($C643,'Production cost'!$AU:$AU,0),11),"")+IFERROR(INDEX('Production cost'!$A:$AU,MATCH($C643,'Production cost'!$AU:$AU,0),12),""),"")</f>
        <v/>
      </c>
      <c r="I643" s="3153" t="str">
        <f ca="1">IFERROR(INDEX('Production cost'!$A:$AU,MATCH($C643,'Production cost'!$AU:$AU,0),18),"")</f>
        <v/>
      </c>
      <c r="J643" s="3153" t="str">
        <f ca="1">IFERROR(INDEX('Production cost'!$A:$AU,MATCH($C643,'Production cost'!$AU:$AU,0),18),"")</f>
        <v/>
      </c>
    </row>
    <row r="644" spans="2:10" ht="21.75">
      <c r="B644" s="3143" t="s">
        <v>3652</v>
      </c>
      <c r="C644" s="3143">
        <f t="shared" si="11"/>
        <v>64</v>
      </c>
      <c r="D644" s="3143" t="str">
        <f ca="1">IFERROR(INDEX('Production cost'!$A:$AU,MATCH($C644,'Production cost'!$AU:$AU,0),6),"")</f>
        <v/>
      </c>
      <c r="E644" s="3143" t="str">
        <f ca="1">IFERROR(INDEX('Production cost'!$A:$AU,MATCH($C644,'Production cost'!$AU:$AU,0),3),"")</f>
        <v/>
      </c>
      <c r="G644" s="3153" t="str">
        <f ca="1">IFERROR(INDEX('Production cost'!$A:$AU,MATCH($C644,'Production cost'!$AU:$AU,0),9),"")</f>
        <v/>
      </c>
      <c r="H644" s="3599" t="str">
        <f ca="1">IFERROR(IFERROR(INDEX('Production cost'!$A:$AU,MATCH($C644,'Production cost'!$AU:$AU,0),11),"")+IFERROR(INDEX('Production cost'!$A:$AU,MATCH($C644,'Production cost'!$AU:$AU,0),12),""),"")</f>
        <v/>
      </c>
      <c r="I644" s="3153" t="str">
        <f ca="1">IFERROR(INDEX('Production cost'!$A:$AU,MATCH($C644,'Production cost'!$AU:$AU,0),18),"")</f>
        <v/>
      </c>
      <c r="J644" s="3153" t="str">
        <f ca="1">IFERROR(INDEX('Production cost'!$A:$AU,MATCH($C644,'Production cost'!$AU:$AU,0),18),"")</f>
        <v/>
      </c>
    </row>
    <row r="645" spans="2:10" ht="21.75">
      <c r="B645" s="3143" t="s">
        <v>3652</v>
      </c>
      <c r="C645" s="3143">
        <f t="shared" si="11"/>
        <v>65</v>
      </c>
      <c r="D645" s="3143" t="str">
        <f ca="1">IFERROR(INDEX('Production cost'!$A:$AU,MATCH($C645,'Production cost'!$AU:$AU,0),6),"")</f>
        <v/>
      </c>
      <c r="E645" s="3143" t="str">
        <f ca="1">IFERROR(INDEX('Production cost'!$A:$AU,MATCH($C645,'Production cost'!$AU:$AU,0),3),"")</f>
        <v/>
      </c>
      <c r="G645" s="3153" t="str">
        <f ca="1">IFERROR(INDEX('Production cost'!$A:$AU,MATCH($C645,'Production cost'!$AU:$AU,0),9),"")</f>
        <v/>
      </c>
      <c r="H645" s="3599" t="str">
        <f ca="1">IFERROR(IFERROR(INDEX('Production cost'!$A:$AU,MATCH($C645,'Production cost'!$AU:$AU,0),11),"")+IFERROR(INDEX('Production cost'!$A:$AU,MATCH($C645,'Production cost'!$AU:$AU,0),12),""),"")</f>
        <v/>
      </c>
      <c r="I645" s="3153" t="str">
        <f ca="1">IFERROR(INDEX('Production cost'!$A:$AU,MATCH($C645,'Production cost'!$AU:$AU,0),18),"")</f>
        <v/>
      </c>
      <c r="J645" s="3153" t="str">
        <f ca="1">IFERROR(INDEX('Production cost'!$A:$AU,MATCH($C645,'Production cost'!$AU:$AU,0),18),"")</f>
        <v/>
      </c>
    </row>
    <row r="646" spans="2:10" ht="21.75">
      <c r="B646" s="3143" t="s">
        <v>3652</v>
      </c>
      <c r="C646" s="3143">
        <f t="shared" si="11"/>
        <v>66</v>
      </c>
      <c r="D646" s="3143" t="str">
        <f ca="1">IFERROR(INDEX('Production cost'!$A:$AU,MATCH($C646,'Production cost'!$AU:$AU,0),6),"")</f>
        <v/>
      </c>
      <c r="E646" s="3143" t="str">
        <f ca="1">IFERROR(INDEX('Production cost'!$A:$AU,MATCH($C646,'Production cost'!$AU:$AU,0),3),"")</f>
        <v/>
      </c>
      <c r="G646" s="3153" t="str">
        <f ca="1">IFERROR(INDEX('Production cost'!$A:$AU,MATCH($C646,'Production cost'!$AU:$AU,0),9),"")</f>
        <v/>
      </c>
      <c r="H646" s="3599" t="str">
        <f ca="1">IFERROR(IFERROR(INDEX('Production cost'!$A:$AU,MATCH($C646,'Production cost'!$AU:$AU,0),11),"")+IFERROR(INDEX('Production cost'!$A:$AU,MATCH($C646,'Production cost'!$AU:$AU,0),12),""),"")</f>
        <v/>
      </c>
      <c r="I646" s="3153" t="str">
        <f ca="1">IFERROR(INDEX('Production cost'!$A:$AU,MATCH($C646,'Production cost'!$AU:$AU,0),18),"")</f>
        <v/>
      </c>
      <c r="J646" s="3153" t="str">
        <f ca="1">IFERROR(INDEX('Production cost'!$A:$AU,MATCH($C646,'Production cost'!$AU:$AU,0),18),"")</f>
        <v/>
      </c>
    </row>
    <row r="647" spans="2:10" ht="21.75">
      <c r="B647" s="3143" t="s">
        <v>3652</v>
      </c>
      <c r="C647" s="3143">
        <f t="shared" ref="C647:C710" si="12">C646+1</f>
        <v>67</v>
      </c>
      <c r="D647" s="3143" t="str">
        <f ca="1">IFERROR(INDEX('Production cost'!$A:$AU,MATCH($C647,'Production cost'!$AU:$AU,0),6),"")</f>
        <v/>
      </c>
      <c r="E647" s="3143" t="str">
        <f ca="1">IFERROR(INDEX('Production cost'!$A:$AU,MATCH($C647,'Production cost'!$AU:$AU,0),3),"")</f>
        <v/>
      </c>
      <c r="G647" s="3153" t="str">
        <f ca="1">IFERROR(INDEX('Production cost'!$A:$AU,MATCH($C647,'Production cost'!$AU:$AU,0),9),"")</f>
        <v/>
      </c>
      <c r="H647" s="3599" t="str">
        <f ca="1">IFERROR(IFERROR(INDEX('Production cost'!$A:$AU,MATCH($C647,'Production cost'!$AU:$AU,0),11),"")+IFERROR(INDEX('Production cost'!$A:$AU,MATCH($C647,'Production cost'!$AU:$AU,0),12),""),"")</f>
        <v/>
      </c>
      <c r="I647" s="3153" t="str">
        <f ca="1">IFERROR(INDEX('Production cost'!$A:$AU,MATCH($C647,'Production cost'!$AU:$AU,0),18),"")</f>
        <v/>
      </c>
      <c r="J647" s="3153" t="str">
        <f ca="1">IFERROR(INDEX('Production cost'!$A:$AU,MATCH($C647,'Production cost'!$AU:$AU,0),18),"")</f>
        <v/>
      </c>
    </row>
    <row r="648" spans="2:10" ht="21.75">
      <c r="B648" s="3143" t="s">
        <v>3652</v>
      </c>
      <c r="C648" s="3143">
        <f t="shared" si="12"/>
        <v>68</v>
      </c>
      <c r="D648" s="3143" t="str">
        <f ca="1">IFERROR(INDEX('Production cost'!$A:$AU,MATCH($C648,'Production cost'!$AU:$AU,0),6),"")</f>
        <v/>
      </c>
      <c r="E648" s="3143" t="str">
        <f ca="1">IFERROR(INDEX('Production cost'!$A:$AU,MATCH($C648,'Production cost'!$AU:$AU,0),3),"")</f>
        <v/>
      </c>
      <c r="G648" s="3153" t="str">
        <f ca="1">IFERROR(INDEX('Production cost'!$A:$AU,MATCH($C648,'Production cost'!$AU:$AU,0),9),"")</f>
        <v/>
      </c>
      <c r="H648" s="3599" t="str">
        <f ca="1">IFERROR(IFERROR(INDEX('Production cost'!$A:$AU,MATCH($C648,'Production cost'!$AU:$AU,0),11),"")+IFERROR(INDEX('Production cost'!$A:$AU,MATCH($C648,'Production cost'!$AU:$AU,0),12),""),"")</f>
        <v/>
      </c>
      <c r="I648" s="3153" t="str">
        <f ca="1">IFERROR(INDEX('Production cost'!$A:$AU,MATCH($C648,'Production cost'!$AU:$AU,0),18),"")</f>
        <v/>
      </c>
      <c r="J648" s="3153" t="str">
        <f ca="1">IFERROR(INDEX('Production cost'!$A:$AU,MATCH($C648,'Production cost'!$AU:$AU,0),18),"")</f>
        <v/>
      </c>
    </row>
    <row r="649" spans="2:10" ht="21.75">
      <c r="B649" s="3143" t="s">
        <v>3652</v>
      </c>
      <c r="C649" s="3143">
        <f t="shared" si="12"/>
        <v>69</v>
      </c>
      <c r="D649" s="3143" t="str">
        <f ca="1">IFERROR(INDEX('Production cost'!$A:$AU,MATCH($C649,'Production cost'!$AU:$AU,0),6),"")</f>
        <v/>
      </c>
      <c r="E649" s="3143" t="str">
        <f ca="1">IFERROR(INDEX('Production cost'!$A:$AU,MATCH($C649,'Production cost'!$AU:$AU,0),3),"")</f>
        <v/>
      </c>
      <c r="G649" s="3153" t="str">
        <f ca="1">IFERROR(INDEX('Production cost'!$A:$AU,MATCH($C649,'Production cost'!$AU:$AU,0),9),"")</f>
        <v/>
      </c>
      <c r="H649" s="3599" t="str">
        <f ca="1">IFERROR(IFERROR(INDEX('Production cost'!$A:$AU,MATCH($C649,'Production cost'!$AU:$AU,0),11),"")+IFERROR(INDEX('Production cost'!$A:$AU,MATCH($C649,'Production cost'!$AU:$AU,0),12),""),"")</f>
        <v/>
      </c>
      <c r="I649" s="3153" t="str">
        <f ca="1">IFERROR(INDEX('Production cost'!$A:$AU,MATCH($C649,'Production cost'!$AU:$AU,0),18),"")</f>
        <v/>
      </c>
      <c r="J649" s="3153" t="str">
        <f ca="1">IFERROR(INDEX('Production cost'!$A:$AU,MATCH($C649,'Production cost'!$AU:$AU,0),18),"")</f>
        <v/>
      </c>
    </row>
    <row r="650" spans="2:10" ht="21.75">
      <c r="B650" s="3143" t="s">
        <v>3652</v>
      </c>
      <c r="C650" s="3143">
        <f t="shared" si="12"/>
        <v>70</v>
      </c>
      <c r="D650" s="3143" t="str">
        <f ca="1">IFERROR(INDEX('Production cost'!$A:$AU,MATCH($C650,'Production cost'!$AU:$AU,0),6),"")</f>
        <v/>
      </c>
      <c r="E650" s="3143" t="str">
        <f ca="1">IFERROR(INDEX('Production cost'!$A:$AU,MATCH($C650,'Production cost'!$AU:$AU,0),3),"")</f>
        <v/>
      </c>
      <c r="G650" s="3153" t="str">
        <f ca="1">IFERROR(INDEX('Production cost'!$A:$AU,MATCH($C650,'Production cost'!$AU:$AU,0),9),"")</f>
        <v/>
      </c>
      <c r="H650" s="3599" t="str">
        <f ca="1">IFERROR(IFERROR(INDEX('Production cost'!$A:$AU,MATCH($C650,'Production cost'!$AU:$AU,0),11),"")+IFERROR(INDEX('Production cost'!$A:$AU,MATCH($C650,'Production cost'!$AU:$AU,0),12),""),"")</f>
        <v/>
      </c>
      <c r="I650" s="3153" t="str">
        <f ca="1">IFERROR(INDEX('Production cost'!$A:$AU,MATCH($C650,'Production cost'!$AU:$AU,0),18),"")</f>
        <v/>
      </c>
      <c r="J650" s="3153" t="str">
        <f ca="1">IFERROR(INDEX('Production cost'!$A:$AU,MATCH($C650,'Production cost'!$AU:$AU,0),18),"")</f>
        <v/>
      </c>
    </row>
    <row r="651" spans="2:10" ht="21.75">
      <c r="B651" s="3143" t="s">
        <v>3652</v>
      </c>
      <c r="C651" s="3143">
        <f t="shared" si="12"/>
        <v>71</v>
      </c>
      <c r="D651" s="3143" t="str">
        <f ca="1">IFERROR(INDEX('Production cost'!$A:$AU,MATCH($C651,'Production cost'!$AU:$AU,0),6),"")</f>
        <v/>
      </c>
      <c r="E651" s="3143" t="str">
        <f ca="1">IFERROR(INDEX('Production cost'!$A:$AU,MATCH($C651,'Production cost'!$AU:$AU,0),3),"")</f>
        <v/>
      </c>
      <c r="G651" s="3153" t="str">
        <f ca="1">IFERROR(INDEX('Production cost'!$A:$AU,MATCH($C651,'Production cost'!$AU:$AU,0),9),"")</f>
        <v/>
      </c>
      <c r="H651" s="3599" t="str">
        <f ca="1">IFERROR(IFERROR(INDEX('Production cost'!$A:$AU,MATCH($C651,'Production cost'!$AU:$AU,0),11),"")+IFERROR(INDEX('Production cost'!$A:$AU,MATCH($C651,'Production cost'!$AU:$AU,0),12),""),"")</f>
        <v/>
      </c>
      <c r="I651" s="3153" t="str">
        <f ca="1">IFERROR(INDEX('Production cost'!$A:$AU,MATCH($C651,'Production cost'!$AU:$AU,0),18),"")</f>
        <v/>
      </c>
      <c r="J651" s="3153" t="str">
        <f ca="1">IFERROR(INDEX('Production cost'!$A:$AU,MATCH($C651,'Production cost'!$AU:$AU,0),18),"")</f>
        <v/>
      </c>
    </row>
    <row r="652" spans="2:10" ht="21.75">
      <c r="B652" s="3143" t="s">
        <v>3652</v>
      </c>
      <c r="C652" s="3143">
        <f t="shared" si="12"/>
        <v>72</v>
      </c>
      <c r="D652" s="3143" t="str">
        <f ca="1">IFERROR(INDEX('Production cost'!$A:$AU,MATCH($C652,'Production cost'!$AU:$AU,0),6),"")</f>
        <v/>
      </c>
      <c r="E652" s="3143" t="str">
        <f ca="1">IFERROR(INDEX('Production cost'!$A:$AU,MATCH($C652,'Production cost'!$AU:$AU,0),3),"")</f>
        <v/>
      </c>
      <c r="G652" s="3153" t="str">
        <f ca="1">IFERROR(INDEX('Production cost'!$A:$AU,MATCH($C652,'Production cost'!$AU:$AU,0),9),"")</f>
        <v/>
      </c>
      <c r="H652" s="3599" t="str">
        <f ca="1">IFERROR(IFERROR(INDEX('Production cost'!$A:$AU,MATCH($C652,'Production cost'!$AU:$AU,0),11),"")+IFERROR(INDEX('Production cost'!$A:$AU,MATCH($C652,'Production cost'!$AU:$AU,0),12),""),"")</f>
        <v/>
      </c>
      <c r="I652" s="3153" t="str">
        <f ca="1">IFERROR(INDEX('Production cost'!$A:$AU,MATCH($C652,'Production cost'!$AU:$AU,0),18),"")</f>
        <v/>
      </c>
      <c r="J652" s="3153" t="str">
        <f ca="1">IFERROR(INDEX('Production cost'!$A:$AU,MATCH($C652,'Production cost'!$AU:$AU,0),18),"")</f>
        <v/>
      </c>
    </row>
    <row r="653" spans="2:10" ht="21.75">
      <c r="B653" s="3143" t="s">
        <v>3652</v>
      </c>
      <c r="C653" s="3143">
        <f t="shared" si="12"/>
        <v>73</v>
      </c>
      <c r="D653" s="3143" t="str">
        <f ca="1">IFERROR(INDEX('Production cost'!$A:$AU,MATCH($C653,'Production cost'!$AU:$AU,0),6),"")</f>
        <v/>
      </c>
      <c r="E653" s="3143" t="str">
        <f ca="1">IFERROR(INDEX('Production cost'!$A:$AU,MATCH($C653,'Production cost'!$AU:$AU,0),3),"")</f>
        <v/>
      </c>
      <c r="G653" s="3153" t="str">
        <f ca="1">IFERROR(INDEX('Production cost'!$A:$AU,MATCH($C653,'Production cost'!$AU:$AU,0),9),"")</f>
        <v/>
      </c>
      <c r="H653" s="3599" t="str">
        <f ca="1">IFERROR(IFERROR(INDEX('Production cost'!$A:$AU,MATCH($C653,'Production cost'!$AU:$AU,0),11),"")+IFERROR(INDEX('Production cost'!$A:$AU,MATCH($C653,'Production cost'!$AU:$AU,0),12),""),"")</f>
        <v/>
      </c>
      <c r="I653" s="3153" t="str">
        <f ca="1">IFERROR(INDEX('Production cost'!$A:$AU,MATCH($C653,'Production cost'!$AU:$AU,0),18),"")</f>
        <v/>
      </c>
      <c r="J653" s="3153" t="str">
        <f ca="1">IFERROR(INDEX('Production cost'!$A:$AU,MATCH($C653,'Production cost'!$AU:$AU,0),18),"")</f>
        <v/>
      </c>
    </row>
    <row r="654" spans="2:10" ht="21.75">
      <c r="B654" s="3143" t="s">
        <v>3652</v>
      </c>
      <c r="C654" s="3143">
        <f t="shared" si="12"/>
        <v>74</v>
      </c>
      <c r="D654" s="3143" t="str">
        <f ca="1">IFERROR(INDEX('Production cost'!$A:$AU,MATCH($C654,'Production cost'!$AU:$AU,0),6),"")</f>
        <v/>
      </c>
      <c r="E654" s="3143" t="str">
        <f ca="1">IFERROR(INDEX('Production cost'!$A:$AU,MATCH($C654,'Production cost'!$AU:$AU,0),3),"")</f>
        <v/>
      </c>
      <c r="G654" s="3153" t="str">
        <f ca="1">IFERROR(INDEX('Production cost'!$A:$AU,MATCH($C654,'Production cost'!$AU:$AU,0),9),"")</f>
        <v/>
      </c>
      <c r="H654" s="3599" t="str">
        <f ca="1">IFERROR(IFERROR(INDEX('Production cost'!$A:$AU,MATCH($C654,'Production cost'!$AU:$AU,0),11),"")+IFERROR(INDEX('Production cost'!$A:$AU,MATCH($C654,'Production cost'!$AU:$AU,0),12),""),"")</f>
        <v/>
      </c>
      <c r="I654" s="3153" t="str">
        <f ca="1">IFERROR(INDEX('Production cost'!$A:$AU,MATCH($C654,'Production cost'!$AU:$AU,0),18),"")</f>
        <v/>
      </c>
      <c r="J654" s="3153" t="str">
        <f ca="1">IFERROR(INDEX('Production cost'!$A:$AU,MATCH($C654,'Production cost'!$AU:$AU,0),18),"")</f>
        <v/>
      </c>
    </row>
    <row r="655" spans="2:10" ht="21.75">
      <c r="B655" s="3143" t="s">
        <v>3652</v>
      </c>
      <c r="C655" s="3143">
        <f t="shared" si="12"/>
        <v>75</v>
      </c>
      <c r="D655" s="3143" t="str">
        <f ca="1">IFERROR(INDEX('Production cost'!$A:$AU,MATCH($C655,'Production cost'!$AU:$AU,0),6),"")</f>
        <v/>
      </c>
      <c r="E655" s="3143" t="str">
        <f ca="1">IFERROR(INDEX('Production cost'!$A:$AU,MATCH($C655,'Production cost'!$AU:$AU,0),3),"")</f>
        <v/>
      </c>
      <c r="G655" s="3153" t="str">
        <f ca="1">IFERROR(INDEX('Production cost'!$A:$AU,MATCH($C655,'Production cost'!$AU:$AU,0),9),"")</f>
        <v/>
      </c>
      <c r="H655" s="3599" t="str">
        <f ca="1">IFERROR(IFERROR(INDEX('Production cost'!$A:$AU,MATCH($C655,'Production cost'!$AU:$AU,0),11),"")+IFERROR(INDEX('Production cost'!$A:$AU,MATCH($C655,'Production cost'!$AU:$AU,0),12),""),"")</f>
        <v/>
      </c>
      <c r="I655" s="3153" t="str">
        <f ca="1">IFERROR(INDEX('Production cost'!$A:$AU,MATCH($C655,'Production cost'!$AU:$AU,0),18),"")</f>
        <v/>
      </c>
      <c r="J655" s="3153" t="str">
        <f ca="1">IFERROR(INDEX('Production cost'!$A:$AU,MATCH($C655,'Production cost'!$AU:$AU,0),18),"")</f>
        <v/>
      </c>
    </row>
    <row r="656" spans="2:10" ht="21.75">
      <c r="B656" s="3143" t="s">
        <v>3652</v>
      </c>
      <c r="C656" s="3143">
        <f t="shared" si="12"/>
        <v>76</v>
      </c>
      <c r="D656" s="3143" t="str">
        <f ca="1">IFERROR(INDEX('Production cost'!$A:$AU,MATCH($C656,'Production cost'!$AU:$AU,0),6),"")</f>
        <v/>
      </c>
      <c r="E656" s="3143" t="str">
        <f ca="1">IFERROR(INDEX('Production cost'!$A:$AU,MATCH($C656,'Production cost'!$AU:$AU,0),3),"")</f>
        <v/>
      </c>
      <c r="G656" s="3153" t="str">
        <f ca="1">IFERROR(INDEX('Production cost'!$A:$AU,MATCH($C656,'Production cost'!$AU:$AU,0),9),"")</f>
        <v/>
      </c>
      <c r="H656" s="3599" t="str">
        <f ca="1">IFERROR(IFERROR(INDEX('Production cost'!$A:$AU,MATCH($C656,'Production cost'!$AU:$AU,0),11),"")+IFERROR(INDEX('Production cost'!$A:$AU,MATCH($C656,'Production cost'!$AU:$AU,0),12),""),"")</f>
        <v/>
      </c>
      <c r="I656" s="3153" t="str">
        <f ca="1">IFERROR(INDEX('Production cost'!$A:$AU,MATCH($C656,'Production cost'!$AU:$AU,0),18),"")</f>
        <v/>
      </c>
      <c r="J656" s="3153" t="str">
        <f ca="1">IFERROR(INDEX('Production cost'!$A:$AU,MATCH($C656,'Production cost'!$AU:$AU,0),18),"")</f>
        <v/>
      </c>
    </row>
    <row r="657" spans="2:10" ht="21.75">
      <c r="B657" s="3143" t="s">
        <v>3652</v>
      </c>
      <c r="C657" s="3143">
        <f t="shared" si="12"/>
        <v>77</v>
      </c>
      <c r="D657" s="3143" t="str">
        <f ca="1">IFERROR(INDEX('Production cost'!$A:$AU,MATCH($C657,'Production cost'!$AU:$AU,0),6),"")</f>
        <v/>
      </c>
      <c r="E657" s="3143" t="str">
        <f ca="1">IFERROR(INDEX('Production cost'!$A:$AU,MATCH($C657,'Production cost'!$AU:$AU,0),3),"")</f>
        <v/>
      </c>
      <c r="G657" s="3153" t="str">
        <f ca="1">IFERROR(INDEX('Production cost'!$A:$AU,MATCH($C657,'Production cost'!$AU:$AU,0),9),"")</f>
        <v/>
      </c>
      <c r="H657" s="3599" t="str">
        <f ca="1">IFERROR(IFERROR(INDEX('Production cost'!$A:$AU,MATCH($C657,'Production cost'!$AU:$AU,0),11),"")+IFERROR(INDEX('Production cost'!$A:$AU,MATCH($C657,'Production cost'!$AU:$AU,0),12),""),"")</f>
        <v/>
      </c>
      <c r="I657" s="3153" t="str">
        <f ca="1">IFERROR(INDEX('Production cost'!$A:$AU,MATCH($C657,'Production cost'!$AU:$AU,0),18),"")</f>
        <v/>
      </c>
      <c r="J657" s="3153" t="str">
        <f ca="1">IFERROR(INDEX('Production cost'!$A:$AU,MATCH($C657,'Production cost'!$AU:$AU,0),18),"")</f>
        <v/>
      </c>
    </row>
    <row r="658" spans="2:10" ht="21.75">
      <c r="B658" s="3143" t="s">
        <v>3652</v>
      </c>
      <c r="C658" s="3143">
        <f t="shared" si="12"/>
        <v>78</v>
      </c>
      <c r="D658" s="3143" t="str">
        <f ca="1">IFERROR(INDEX('Production cost'!$A:$AU,MATCH($C658,'Production cost'!$AU:$AU,0),6),"")</f>
        <v/>
      </c>
      <c r="E658" s="3143" t="str">
        <f ca="1">IFERROR(INDEX('Production cost'!$A:$AU,MATCH($C658,'Production cost'!$AU:$AU,0),3),"")</f>
        <v/>
      </c>
      <c r="G658" s="3153" t="str">
        <f ca="1">IFERROR(INDEX('Production cost'!$A:$AU,MATCH($C658,'Production cost'!$AU:$AU,0),9),"")</f>
        <v/>
      </c>
      <c r="H658" s="3599" t="str">
        <f ca="1">IFERROR(IFERROR(INDEX('Production cost'!$A:$AU,MATCH($C658,'Production cost'!$AU:$AU,0),11),"")+IFERROR(INDEX('Production cost'!$A:$AU,MATCH($C658,'Production cost'!$AU:$AU,0),12),""),"")</f>
        <v/>
      </c>
      <c r="I658" s="3153" t="str">
        <f ca="1">IFERROR(INDEX('Production cost'!$A:$AU,MATCH($C658,'Production cost'!$AU:$AU,0),18),"")</f>
        <v/>
      </c>
      <c r="J658" s="3153" t="str">
        <f ca="1">IFERROR(INDEX('Production cost'!$A:$AU,MATCH($C658,'Production cost'!$AU:$AU,0),18),"")</f>
        <v/>
      </c>
    </row>
    <row r="659" spans="2:10" ht="21.75">
      <c r="B659" s="3143" t="s">
        <v>3652</v>
      </c>
      <c r="C659" s="3143">
        <f t="shared" si="12"/>
        <v>79</v>
      </c>
      <c r="D659" s="3143" t="str">
        <f ca="1">IFERROR(INDEX('Production cost'!$A:$AU,MATCH($C659,'Production cost'!$AU:$AU,0),6),"")</f>
        <v/>
      </c>
      <c r="E659" s="3143" t="str">
        <f ca="1">IFERROR(INDEX('Production cost'!$A:$AU,MATCH($C659,'Production cost'!$AU:$AU,0),3),"")</f>
        <v/>
      </c>
      <c r="G659" s="3153" t="str">
        <f ca="1">IFERROR(INDEX('Production cost'!$A:$AU,MATCH($C659,'Production cost'!$AU:$AU,0),9),"")</f>
        <v/>
      </c>
      <c r="H659" s="3599" t="str">
        <f ca="1">IFERROR(IFERROR(INDEX('Production cost'!$A:$AU,MATCH($C659,'Production cost'!$AU:$AU,0),11),"")+IFERROR(INDEX('Production cost'!$A:$AU,MATCH($C659,'Production cost'!$AU:$AU,0),12),""),"")</f>
        <v/>
      </c>
      <c r="I659" s="3153" t="str">
        <f ca="1">IFERROR(INDEX('Production cost'!$A:$AU,MATCH($C659,'Production cost'!$AU:$AU,0),18),"")</f>
        <v/>
      </c>
      <c r="J659" s="3153" t="str">
        <f ca="1">IFERROR(INDEX('Production cost'!$A:$AU,MATCH($C659,'Production cost'!$AU:$AU,0),18),"")</f>
        <v/>
      </c>
    </row>
    <row r="660" spans="2:10" ht="21.75">
      <c r="B660" s="3143" t="s">
        <v>3652</v>
      </c>
      <c r="C660" s="3143">
        <f t="shared" si="12"/>
        <v>80</v>
      </c>
      <c r="D660" s="3143" t="str">
        <f ca="1">IFERROR(INDEX('Production cost'!$A:$AU,MATCH($C660,'Production cost'!$AU:$AU,0),6),"")</f>
        <v/>
      </c>
      <c r="E660" s="3143" t="str">
        <f ca="1">IFERROR(INDEX('Production cost'!$A:$AU,MATCH($C660,'Production cost'!$AU:$AU,0),3),"")</f>
        <v/>
      </c>
      <c r="G660" s="3153" t="str">
        <f ca="1">IFERROR(INDEX('Production cost'!$A:$AU,MATCH($C660,'Production cost'!$AU:$AU,0),9),"")</f>
        <v/>
      </c>
      <c r="H660" s="3599" t="str">
        <f ca="1">IFERROR(IFERROR(INDEX('Production cost'!$A:$AU,MATCH($C660,'Production cost'!$AU:$AU,0),11),"")+IFERROR(INDEX('Production cost'!$A:$AU,MATCH($C660,'Production cost'!$AU:$AU,0),12),""),"")</f>
        <v/>
      </c>
      <c r="I660" s="3153" t="str">
        <f ca="1">IFERROR(INDEX('Production cost'!$A:$AU,MATCH($C660,'Production cost'!$AU:$AU,0),18),"")</f>
        <v/>
      </c>
      <c r="J660" s="3153" t="str">
        <f ca="1">IFERROR(INDEX('Production cost'!$A:$AU,MATCH($C660,'Production cost'!$AU:$AU,0),18),"")</f>
        <v/>
      </c>
    </row>
    <row r="661" spans="2:10" ht="21.75">
      <c r="B661" s="3143" t="s">
        <v>3652</v>
      </c>
      <c r="C661" s="3143">
        <f t="shared" si="12"/>
        <v>81</v>
      </c>
      <c r="D661" s="3143" t="str">
        <f ca="1">IFERROR(INDEX('Production cost'!$A:$AU,MATCH($C661,'Production cost'!$AU:$AU,0),6),"")</f>
        <v/>
      </c>
      <c r="E661" s="3143" t="str">
        <f ca="1">IFERROR(INDEX('Production cost'!$A:$AU,MATCH($C661,'Production cost'!$AU:$AU,0),3),"")</f>
        <v/>
      </c>
      <c r="G661" s="3153" t="str">
        <f ca="1">IFERROR(INDEX('Production cost'!$A:$AU,MATCH($C661,'Production cost'!$AU:$AU,0),9),"")</f>
        <v/>
      </c>
      <c r="H661" s="3599" t="str">
        <f ca="1">IFERROR(IFERROR(INDEX('Production cost'!$A:$AU,MATCH($C661,'Production cost'!$AU:$AU,0),11),"")+IFERROR(INDEX('Production cost'!$A:$AU,MATCH($C661,'Production cost'!$AU:$AU,0),12),""),"")</f>
        <v/>
      </c>
      <c r="I661" s="3153" t="str">
        <f ca="1">IFERROR(INDEX('Production cost'!$A:$AU,MATCH($C661,'Production cost'!$AU:$AU,0),18),"")</f>
        <v/>
      </c>
      <c r="J661" s="3153" t="str">
        <f ca="1">IFERROR(INDEX('Production cost'!$A:$AU,MATCH($C661,'Production cost'!$AU:$AU,0),18),"")</f>
        <v/>
      </c>
    </row>
    <row r="662" spans="2:10" ht="21.75">
      <c r="B662" s="3143" t="s">
        <v>3652</v>
      </c>
      <c r="C662" s="3143">
        <f t="shared" si="12"/>
        <v>82</v>
      </c>
      <c r="D662" s="3143" t="str">
        <f ca="1">IFERROR(INDEX('Production cost'!$A:$AU,MATCH($C662,'Production cost'!$AU:$AU,0),6),"")</f>
        <v/>
      </c>
      <c r="E662" s="3143" t="str">
        <f ca="1">IFERROR(INDEX('Production cost'!$A:$AU,MATCH($C662,'Production cost'!$AU:$AU,0),3),"")</f>
        <v/>
      </c>
      <c r="G662" s="3153" t="str">
        <f ca="1">IFERROR(INDEX('Production cost'!$A:$AU,MATCH($C662,'Production cost'!$AU:$AU,0),9),"")</f>
        <v/>
      </c>
      <c r="H662" s="3599" t="str">
        <f ca="1">IFERROR(IFERROR(INDEX('Production cost'!$A:$AU,MATCH($C662,'Production cost'!$AU:$AU,0),11),"")+IFERROR(INDEX('Production cost'!$A:$AU,MATCH($C662,'Production cost'!$AU:$AU,0),12),""),"")</f>
        <v/>
      </c>
      <c r="I662" s="3153" t="str">
        <f ca="1">IFERROR(INDEX('Production cost'!$A:$AU,MATCH($C662,'Production cost'!$AU:$AU,0),18),"")</f>
        <v/>
      </c>
      <c r="J662" s="3153" t="str">
        <f ca="1">IFERROR(INDEX('Production cost'!$A:$AU,MATCH($C662,'Production cost'!$AU:$AU,0),18),"")</f>
        <v/>
      </c>
    </row>
    <row r="663" spans="2:10" ht="21.75">
      <c r="B663" s="3143" t="s">
        <v>3652</v>
      </c>
      <c r="C663" s="3143">
        <f t="shared" si="12"/>
        <v>83</v>
      </c>
      <c r="D663" s="3143" t="str">
        <f ca="1">IFERROR(INDEX('Production cost'!$A:$AU,MATCH($C663,'Production cost'!$AU:$AU,0),6),"")</f>
        <v/>
      </c>
      <c r="E663" s="3143" t="str">
        <f ca="1">IFERROR(INDEX('Production cost'!$A:$AU,MATCH($C663,'Production cost'!$AU:$AU,0),3),"")</f>
        <v/>
      </c>
      <c r="G663" s="3153" t="str">
        <f ca="1">IFERROR(INDEX('Production cost'!$A:$AU,MATCH($C663,'Production cost'!$AU:$AU,0),9),"")</f>
        <v/>
      </c>
      <c r="H663" s="3599" t="str">
        <f ca="1">IFERROR(IFERROR(INDEX('Production cost'!$A:$AU,MATCH($C663,'Production cost'!$AU:$AU,0),11),"")+IFERROR(INDEX('Production cost'!$A:$AU,MATCH($C663,'Production cost'!$AU:$AU,0),12),""),"")</f>
        <v/>
      </c>
      <c r="I663" s="3153" t="str">
        <f ca="1">IFERROR(INDEX('Production cost'!$A:$AU,MATCH($C663,'Production cost'!$AU:$AU,0),18),"")</f>
        <v/>
      </c>
      <c r="J663" s="3153" t="str">
        <f ca="1">IFERROR(INDEX('Production cost'!$A:$AU,MATCH($C663,'Production cost'!$AU:$AU,0),18),"")</f>
        <v/>
      </c>
    </row>
    <row r="664" spans="2:10" ht="21.75">
      <c r="B664" s="3143" t="s">
        <v>3652</v>
      </c>
      <c r="C664" s="3143">
        <f t="shared" si="12"/>
        <v>84</v>
      </c>
      <c r="D664" s="3143" t="str">
        <f ca="1">IFERROR(INDEX('Production cost'!$A:$AU,MATCH($C664,'Production cost'!$AU:$AU,0),6),"")</f>
        <v/>
      </c>
      <c r="E664" s="3143" t="str">
        <f ca="1">IFERROR(INDEX('Production cost'!$A:$AU,MATCH($C664,'Production cost'!$AU:$AU,0),3),"")</f>
        <v/>
      </c>
      <c r="G664" s="3153" t="str">
        <f ca="1">IFERROR(INDEX('Production cost'!$A:$AU,MATCH($C664,'Production cost'!$AU:$AU,0),9),"")</f>
        <v/>
      </c>
      <c r="H664" s="3599" t="str">
        <f ca="1">IFERROR(IFERROR(INDEX('Production cost'!$A:$AU,MATCH($C664,'Production cost'!$AU:$AU,0),11),"")+IFERROR(INDEX('Production cost'!$A:$AU,MATCH($C664,'Production cost'!$AU:$AU,0),12),""),"")</f>
        <v/>
      </c>
      <c r="I664" s="3153" t="str">
        <f ca="1">IFERROR(INDEX('Production cost'!$A:$AU,MATCH($C664,'Production cost'!$AU:$AU,0),18),"")</f>
        <v/>
      </c>
      <c r="J664" s="3153" t="str">
        <f ca="1">IFERROR(INDEX('Production cost'!$A:$AU,MATCH($C664,'Production cost'!$AU:$AU,0),18),"")</f>
        <v/>
      </c>
    </row>
    <row r="665" spans="2:10" ht="21.75">
      <c r="B665" s="3143" t="s">
        <v>3652</v>
      </c>
      <c r="C665" s="3143">
        <f t="shared" si="12"/>
        <v>85</v>
      </c>
      <c r="D665" s="3143" t="str">
        <f ca="1">IFERROR(INDEX('Production cost'!$A:$AU,MATCH($C665,'Production cost'!$AU:$AU,0),6),"")</f>
        <v/>
      </c>
      <c r="E665" s="3143" t="str">
        <f ca="1">IFERROR(INDEX('Production cost'!$A:$AU,MATCH($C665,'Production cost'!$AU:$AU,0),3),"")</f>
        <v/>
      </c>
      <c r="G665" s="3153" t="str">
        <f ca="1">IFERROR(INDEX('Production cost'!$A:$AU,MATCH($C665,'Production cost'!$AU:$AU,0),9),"")</f>
        <v/>
      </c>
      <c r="H665" s="3599" t="str">
        <f ca="1">IFERROR(IFERROR(INDEX('Production cost'!$A:$AU,MATCH($C665,'Production cost'!$AU:$AU,0),11),"")+IFERROR(INDEX('Production cost'!$A:$AU,MATCH($C665,'Production cost'!$AU:$AU,0),12),""),"")</f>
        <v/>
      </c>
      <c r="I665" s="3153" t="str">
        <f ca="1">IFERROR(INDEX('Production cost'!$A:$AU,MATCH($C665,'Production cost'!$AU:$AU,0),18),"")</f>
        <v/>
      </c>
      <c r="J665" s="3153" t="str">
        <f ca="1">IFERROR(INDEX('Production cost'!$A:$AU,MATCH($C665,'Production cost'!$AU:$AU,0),18),"")</f>
        <v/>
      </c>
    </row>
    <row r="666" spans="2:10" ht="21.75">
      <c r="B666" s="3143" t="s">
        <v>3652</v>
      </c>
      <c r="C666" s="3143">
        <f t="shared" si="12"/>
        <v>86</v>
      </c>
      <c r="D666" s="3143" t="str">
        <f ca="1">IFERROR(INDEX('Production cost'!$A:$AU,MATCH($C666,'Production cost'!$AU:$AU,0),6),"")</f>
        <v/>
      </c>
      <c r="E666" s="3143" t="str">
        <f ca="1">IFERROR(INDEX('Production cost'!$A:$AU,MATCH($C666,'Production cost'!$AU:$AU,0),3),"")</f>
        <v/>
      </c>
      <c r="G666" s="3153" t="str">
        <f ca="1">IFERROR(INDEX('Production cost'!$A:$AU,MATCH($C666,'Production cost'!$AU:$AU,0),9),"")</f>
        <v/>
      </c>
      <c r="H666" s="3599" t="str">
        <f ca="1">IFERROR(IFERROR(INDEX('Production cost'!$A:$AU,MATCH($C666,'Production cost'!$AU:$AU,0),11),"")+IFERROR(INDEX('Production cost'!$A:$AU,MATCH($C666,'Production cost'!$AU:$AU,0),12),""),"")</f>
        <v/>
      </c>
      <c r="I666" s="3153" t="str">
        <f ca="1">IFERROR(INDEX('Production cost'!$A:$AU,MATCH($C666,'Production cost'!$AU:$AU,0),18),"")</f>
        <v/>
      </c>
      <c r="J666" s="3153" t="str">
        <f ca="1">IFERROR(INDEX('Production cost'!$A:$AU,MATCH($C666,'Production cost'!$AU:$AU,0),18),"")</f>
        <v/>
      </c>
    </row>
    <row r="667" spans="2:10" ht="21.75">
      <c r="B667" s="3143" t="s">
        <v>3652</v>
      </c>
      <c r="C667" s="3143">
        <f t="shared" si="12"/>
        <v>87</v>
      </c>
      <c r="D667" s="3143" t="str">
        <f ca="1">IFERROR(INDEX('Production cost'!$A:$AU,MATCH($C667,'Production cost'!$AU:$AU,0),6),"")</f>
        <v/>
      </c>
      <c r="E667" s="3143" t="str">
        <f ca="1">IFERROR(INDEX('Production cost'!$A:$AU,MATCH($C667,'Production cost'!$AU:$AU,0),3),"")</f>
        <v/>
      </c>
      <c r="G667" s="3153" t="str">
        <f ca="1">IFERROR(INDEX('Production cost'!$A:$AU,MATCH($C667,'Production cost'!$AU:$AU,0),9),"")</f>
        <v/>
      </c>
      <c r="H667" s="3599" t="str">
        <f ca="1">IFERROR(IFERROR(INDEX('Production cost'!$A:$AU,MATCH($C667,'Production cost'!$AU:$AU,0),11),"")+IFERROR(INDEX('Production cost'!$A:$AU,MATCH($C667,'Production cost'!$AU:$AU,0),12),""),"")</f>
        <v/>
      </c>
      <c r="I667" s="3153" t="str">
        <f ca="1">IFERROR(INDEX('Production cost'!$A:$AU,MATCH($C667,'Production cost'!$AU:$AU,0),18),"")</f>
        <v/>
      </c>
      <c r="J667" s="3153" t="str">
        <f ca="1">IFERROR(INDEX('Production cost'!$A:$AU,MATCH($C667,'Production cost'!$AU:$AU,0),18),"")</f>
        <v/>
      </c>
    </row>
    <row r="668" spans="2:10" ht="21.75">
      <c r="B668" s="3143" t="s">
        <v>3652</v>
      </c>
      <c r="C668" s="3143">
        <f t="shared" si="12"/>
        <v>88</v>
      </c>
      <c r="D668" s="3143" t="str">
        <f ca="1">IFERROR(INDEX('Production cost'!$A:$AU,MATCH($C668,'Production cost'!$AU:$AU,0),6),"")</f>
        <v/>
      </c>
      <c r="E668" s="3143" t="str">
        <f ca="1">IFERROR(INDEX('Production cost'!$A:$AU,MATCH($C668,'Production cost'!$AU:$AU,0),3),"")</f>
        <v/>
      </c>
      <c r="G668" s="3153" t="str">
        <f ca="1">IFERROR(INDEX('Production cost'!$A:$AU,MATCH($C668,'Production cost'!$AU:$AU,0),9),"")</f>
        <v/>
      </c>
      <c r="H668" s="3599" t="str">
        <f ca="1">IFERROR(IFERROR(INDEX('Production cost'!$A:$AU,MATCH($C668,'Production cost'!$AU:$AU,0),11),"")+IFERROR(INDEX('Production cost'!$A:$AU,MATCH($C668,'Production cost'!$AU:$AU,0),12),""),"")</f>
        <v/>
      </c>
      <c r="I668" s="3153" t="str">
        <f ca="1">IFERROR(INDEX('Production cost'!$A:$AU,MATCH($C668,'Production cost'!$AU:$AU,0),18),"")</f>
        <v/>
      </c>
      <c r="J668" s="3153" t="str">
        <f ca="1">IFERROR(INDEX('Production cost'!$A:$AU,MATCH($C668,'Production cost'!$AU:$AU,0),18),"")</f>
        <v/>
      </c>
    </row>
    <row r="669" spans="2:10" ht="21.75">
      <c r="B669" s="3143" t="s">
        <v>3652</v>
      </c>
      <c r="C669" s="3143">
        <f t="shared" si="12"/>
        <v>89</v>
      </c>
      <c r="D669" s="3143" t="str">
        <f ca="1">IFERROR(INDEX('Production cost'!$A:$AU,MATCH($C669,'Production cost'!$AU:$AU,0),6),"")</f>
        <v/>
      </c>
      <c r="E669" s="3143" t="str">
        <f ca="1">IFERROR(INDEX('Production cost'!$A:$AU,MATCH($C669,'Production cost'!$AU:$AU,0),3),"")</f>
        <v/>
      </c>
      <c r="G669" s="3153" t="str">
        <f ca="1">IFERROR(INDEX('Production cost'!$A:$AU,MATCH($C669,'Production cost'!$AU:$AU,0),9),"")</f>
        <v/>
      </c>
      <c r="H669" s="3599" t="str">
        <f ca="1">IFERROR(IFERROR(INDEX('Production cost'!$A:$AU,MATCH($C669,'Production cost'!$AU:$AU,0),11),"")+IFERROR(INDEX('Production cost'!$A:$AU,MATCH($C669,'Production cost'!$AU:$AU,0),12),""),"")</f>
        <v/>
      </c>
      <c r="I669" s="3153" t="str">
        <f ca="1">IFERROR(INDEX('Production cost'!$A:$AU,MATCH($C669,'Production cost'!$AU:$AU,0),18),"")</f>
        <v/>
      </c>
      <c r="J669" s="3153" t="str">
        <f ca="1">IFERROR(INDEX('Production cost'!$A:$AU,MATCH($C669,'Production cost'!$AU:$AU,0),18),"")</f>
        <v/>
      </c>
    </row>
    <row r="670" spans="2:10" ht="21.75">
      <c r="B670" s="3143" t="s">
        <v>3652</v>
      </c>
      <c r="C670" s="3143">
        <f t="shared" si="12"/>
        <v>90</v>
      </c>
      <c r="D670" s="3143" t="str">
        <f ca="1">IFERROR(INDEX('Production cost'!$A:$AU,MATCH($C670,'Production cost'!$AU:$AU,0),6),"")</f>
        <v/>
      </c>
      <c r="E670" s="3143" t="str">
        <f ca="1">IFERROR(INDEX('Production cost'!$A:$AU,MATCH($C670,'Production cost'!$AU:$AU,0),3),"")</f>
        <v/>
      </c>
      <c r="G670" s="3153" t="str">
        <f ca="1">IFERROR(INDEX('Production cost'!$A:$AU,MATCH($C670,'Production cost'!$AU:$AU,0),9),"")</f>
        <v/>
      </c>
      <c r="H670" s="3599" t="str">
        <f ca="1">IFERROR(IFERROR(INDEX('Production cost'!$A:$AU,MATCH($C670,'Production cost'!$AU:$AU,0),11),"")+IFERROR(INDEX('Production cost'!$A:$AU,MATCH($C670,'Production cost'!$AU:$AU,0),12),""),"")</f>
        <v/>
      </c>
      <c r="I670" s="3153" t="str">
        <f ca="1">IFERROR(INDEX('Production cost'!$A:$AU,MATCH($C670,'Production cost'!$AU:$AU,0),18),"")</f>
        <v/>
      </c>
      <c r="J670" s="3153" t="str">
        <f ca="1">IFERROR(INDEX('Production cost'!$A:$AU,MATCH($C670,'Production cost'!$AU:$AU,0),18),"")</f>
        <v/>
      </c>
    </row>
    <row r="671" spans="2:10" ht="21.75">
      <c r="B671" s="3143" t="s">
        <v>3652</v>
      </c>
      <c r="C671" s="3143">
        <f t="shared" si="12"/>
        <v>91</v>
      </c>
      <c r="D671" s="3143" t="str">
        <f ca="1">IFERROR(INDEX('Production cost'!$A:$AU,MATCH($C671,'Production cost'!$AU:$AU,0),6),"")</f>
        <v/>
      </c>
      <c r="E671" s="3143" t="str">
        <f ca="1">IFERROR(INDEX('Production cost'!$A:$AU,MATCH($C671,'Production cost'!$AU:$AU,0),3),"")</f>
        <v/>
      </c>
      <c r="G671" s="3153" t="str">
        <f ca="1">IFERROR(INDEX('Production cost'!$A:$AU,MATCH($C671,'Production cost'!$AU:$AU,0),9),"")</f>
        <v/>
      </c>
      <c r="H671" s="3599" t="str">
        <f ca="1">IFERROR(IFERROR(INDEX('Production cost'!$A:$AU,MATCH($C671,'Production cost'!$AU:$AU,0),11),"")+IFERROR(INDEX('Production cost'!$A:$AU,MATCH($C671,'Production cost'!$AU:$AU,0),12),""),"")</f>
        <v/>
      </c>
      <c r="I671" s="3153" t="str">
        <f ca="1">IFERROR(INDEX('Production cost'!$A:$AU,MATCH($C671,'Production cost'!$AU:$AU,0),18),"")</f>
        <v/>
      </c>
      <c r="J671" s="3153" t="str">
        <f ca="1">IFERROR(INDEX('Production cost'!$A:$AU,MATCH($C671,'Production cost'!$AU:$AU,0),18),"")</f>
        <v/>
      </c>
    </row>
    <row r="672" spans="2:10" ht="21.75">
      <c r="B672" s="3143" t="s">
        <v>3652</v>
      </c>
      <c r="C672" s="3143">
        <f t="shared" si="12"/>
        <v>92</v>
      </c>
      <c r="D672" s="3143" t="str">
        <f ca="1">IFERROR(INDEX('Production cost'!$A:$AU,MATCH($C672,'Production cost'!$AU:$AU,0),6),"")</f>
        <v/>
      </c>
      <c r="E672" s="3143" t="str">
        <f ca="1">IFERROR(INDEX('Production cost'!$A:$AU,MATCH($C672,'Production cost'!$AU:$AU,0),3),"")</f>
        <v/>
      </c>
      <c r="G672" s="3153" t="str">
        <f ca="1">IFERROR(INDEX('Production cost'!$A:$AU,MATCH($C672,'Production cost'!$AU:$AU,0),9),"")</f>
        <v/>
      </c>
      <c r="H672" s="3599" t="str">
        <f ca="1">IFERROR(IFERROR(INDEX('Production cost'!$A:$AU,MATCH($C672,'Production cost'!$AU:$AU,0),11),"")+IFERROR(INDEX('Production cost'!$A:$AU,MATCH($C672,'Production cost'!$AU:$AU,0),12),""),"")</f>
        <v/>
      </c>
      <c r="I672" s="3153" t="str">
        <f ca="1">IFERROR(INDEX('Production cost'!$A:$AU,MATCH($C672,'Production cost'!$AU:$AU,0),18),"")</f>
        <v/>
      </c>
      <c r="J672" s="3153" t="str">
        <f ca="1">IFERROR(INDEX('Production cost'!$A:$AU,MATCH($C672,'Production cost'!$AU:$AU,0),18),"")</f>
        <v/>
      </c>
    </row>
    <row r="673" spans="2:10" ht="21.75">
      <c r="B673" s="3143" t="s">
        <v>3652</v>
      </c>
      <c r="C673" s="3143">
        <f t="shared" si="12"/>
        <v>93</v>
      </c>
      <c r="D673" s="3143" t="str">
        <f ca="1">IFERROR(INDEX('Production cost'!$A:$AU,MATCH($C673,'Production cost'!$AU:$AU,0),6),"")</f>
        <v/>
      </c>
      <c r="E673" s="3143" t="str">
        <f ca="1">IFERROR(INDEX('Production cost'!$A:$AU,MATCH($C673,'Production cost'!$AU:$AU,0),3),"")</f>
        <v/>
      </c>
      <c r="G673" s="3153" t="str">
        <f ca="1">IFERROR(INDEX('Production cost'!$A:$AU,MATCH($C673,'Production cost'!$AU:$AU,0),9),"")</f>
        <v/>
      </c>
      <c r="H673" s="3599" t="str">
        <f ca="1">IFERROR(IFERROR(INDEX('Production cost'!$A:$AU,MATCH($C673,'Production cost'!$AU:$AU,0),11),"")+IFERROR(INDEX('Production cost'!$A:$AU,MATCH($C673,'Production cost'!$AU:$AU,0),12),""),"")</f>
        <v/>
      </c>
      <c r="I673" s="3153" t="str">
        <f ca="1">IFERROR(INDEX('Production cost'!$A:$AU,MATCH($C673,'Production cost'!$AU:$AU,0),18),"")</f>
        <v/>
      </c>
      <c r="J673" s="3153" t="str">
        <f ca="1">IFERROR(INDEX('Production cost'!$A:$AU,MATCH($C673,'Production cost'!$AU:$AU,0),18),"")</f>
        <v/>
      </c>
    </row>
    <row r="674" spans="2:10" ht="21.75">
      <c r="B674" s="3143" t="s">
        <v>3652</v>
      </c>
      <c r="C674" s="3143">
        <f t="shared" si="12"/>
        <v>94</v>
      </c>
      <c r="D674" s="3143" t="str">
        <f ca="1">IFERROR(INDEX('Production cost'!$A:$AU,MATCH($C674,'Production cost'!$AU:$AU,0),6),"")</f>
        <v/>
      </c>
      <c r="E674" s="3143" t="str">
        <f ca="1">IFERROR(INDEX('Production cost'!$A:$AU,MATCH($C674,'Production cost'!$AU:$AU,0),3),"")</f>
        <v/>
      </c>
      <c r="G674" s="3153" t="str">
        <f ca="1">IFERROR(INDEX('Production cost'!$A:$AU,MATCH($C674,'Production cost'!$AU:$AU,0),9),"")</f>
        <v/>
      </c>
      <c r="H674" s="3599" t="str">
        <f ca="1">IFERROR(IFERROR(INDEX('Production cost'!$A:$AU,MATCH($C674,'Production cost'!$AU:$AU,0),11),"")+IFERROR(INDEX('Production cost'!$A:$AU,MATCH($C674,'Production cost'!$AU:$AU,0),12),""),"")</f>
        <v/>
      </c>
      <c r="I674" s="3153" t="str">
        <f ca="1">IFERROR(INDEX('Production cost'!$A:$AU,MATCH($C674,'Production cost'!$AU:$AU,0),18),"")</f>
        <v/>
      </c>
      <c r="J674" s="3153" t="str">
        <f ca="1">IFERROR(INDEX('Production cost'!$A:$AU,MATCH($C674,'Production cost'!$AU:$AU,0),18),"")</f>
        <v/>
      </c>
    </row>
    <row r="675" spans="2:10" ht="21.75">
      <c r="B675" s="3143" t="s">
        <v>3652</v>
      </c>
      <c r="C675" s="3143">
        <f t="shared" si="12"/>
        <v>95</v>
      </c>
      <c r="D675" s="3143" t="str">
        <f ca="1">IFERROR(INDEX('Production cost'!$A:$AU,MATCH($C675,'Production cost'!$AU:$AU,0),6),"")</f>
        <v/>
      </c>
      <c r="E675" s="3143" t="str">
        <f ca="1">IFERROR(INDEX('Production cost'!$A:$AU,MATCH($C675,'Production cost'!$AU:$AU,0),3),"")</f>
        <v/>
      </c>
      <c r="G675" s="3153" t="str">
        <f ca="1">IFERROR(INDEX('Production cost'!$A:$AU,MATCH($C675,'Production cost'!$AU:$AU,0),9),"")</f>
        <v/>
      </c>
      <c r="H675" s="3599" t="str">
        <f ca="1">IFERROR(IFERROR(INDEX('Production cost'!$A:$AU,MATCH($C675,'Production cost'!$AU:$AU,0),11),"")+IFERROR(INDEX('Production cost'!$A:$AU,MATCH($C675,'Production cost'!$AU:$AU,0),12),""),"")</f>
        <v/>
      </c>
      <c r="I675" s="3153" t="str">
        <f ca="1">IFERROR(INDEX('Production cost'!$A:$AU,MATCH($C675,'Production cost'!$AU:$AU,0),18),"")</f>
        <v/>
      </c>
      <c r="J675" s="3153" t="str">
        <f ca="1">IFERROR(INDEX('Production cost'!$A:$AU,MATCH($C675,'Production cost'!$AU:$AU,0),18),"")</f>
        <v/>
      </c>
    </row>
    <row r="676" spans="2:10" ht="21.75">
      <c r="B676" s="3143" t="s">
        <v>3652</v>
      </c>
      <c r="C676" s="3143">
        <f t="shared" si="12"/>
        <v>96</v>
      </c>
      <c r="D676" s="3143" t="str">
        <f ca="1">IFERROR(INDEX('Production cost'!$A:$AU,MATCH($C676,'Production cost'!$AU:$AU,0),6),"")</f>
        <v/>
      </c>
      <c r="E676" s="3143" t="str">
        <f ca="1">IFERROR(INDEX('Production cost'!$A:$AU,MATCH($C676,'Production cost'!$AU:$AU,0),3),"")</f>
        <v/>
      </c>
      <c r="G676" s="3153" t="str">
        <f ca="1">IFERROR(INDEX('Production cost'!$A:$AU,MATCH($C676,'Production cost'!$AU:$AU,0),9),"")</f>
        <v/>
      </c>
      <c r="H676" s="3599" t="str">
        <f ca="1">IFERROR(IFERROR(INDEX('Production cost'!$A:$AU,MATCH($C676,'Production cost'!$AU:$AU,0),11),"")+IFERROR(INDEX('Production cost'!$A:$AU,MATCH($C676,'Production cost'!$AU:$AU,0),12),""),"")</f>
        <v/>
      </c>
      <c r="I676" s="3153" t="str">
        <f ca="1">IFERROR(INDEX('Production cost'!$A:$AU,MATCH($C676,'Production cost'!$AU:$AU,0),18),"")</f>
        <v/>
      </c>
      <c r="J676" s="3153" t="str">
        <f ca="1">IFERROR(INDEX('Production cost'!$A:$AU,MATCH($C676,'Production cost'!$AU:$AU,0),18),"")</f>
        <v/>
      </c>
    </row>
    <row r="677" spans="2:10" ht="21.75">
      <c r="B677" s="3143" t="s">
        <v>3652</v>
      </c>
      <c r="C677" s="3143">
        <f t="shared" si="12"/>
        <v>97</v>
      </c>
      <c r="D677" s="3143" t="str">
        <f ca="1">IFERROR(INDEX('Production cost'!$A:$AU,MATCH($C677,'Production cost'!$AU:$AU,0),6),"")</f>
        <v/>
      </c>
      <c r="E677" s="3143" t="str">
        <f ca="1">IFERROR(INDEX('Production cost'!$A:$AU,MATCH($C677,'Production cost'!$AU:$AU,0),3),"")</f>
        <v/>
      </c>
      <c r="G677" s="3153" t="str">
        <f ca="1">IFERROR(INDEX('Production cost'!$A:$AU,MATCH($C677,'Production cost'!$AU:$AU,0),9),"")</f>
        <v/>
      </c>
      <c r="H677" s="3599" t="str">
        <f ca="1">IFERROR(IFERROR(INDEX('Production cost'!$A:$AU,MATCH($C677,'Production cost'!$AU:$AU,0),11),"")+IFERROR(INDEX('Production cost'!$A:$AU,MATCH($C677,'Production cost'!$AU:$AU,0),12),""),"")</f>
        <v/>
      </c>
      <c r="I677" s="3153" t="str">
        <f ca="1">IFERROR(INDEX('Production cost'!$A:$AU,MATCH($C677,'Production cost'!$AU:$AU,0),18),"")</f>
        <v/>
      </c>
      <c r="J677" s="3153" t="str">
        <f ca="1">IFERROR(INDEX('Production cost'!$A:$AU,MATCH($C677,'Production cost'!$AU:$AU,0),18),"")</f>
        <v/>
      </c>
    </row>
    <row r="678" spans="2:10" ht="21.75">
      <c r="B678" s="3143" t="s">
        <v>3652</v>
      </c>
      <c r="C678" s="3143">
        <f t="shared" si="12"/>
        <v>98</v>
      </c>
      <c r="D678" s="3143" t="str">
        <f ca="1">IFERROR(INDEX('Production cost'!$A:$AU,MATCH($C678,'Production cost'!$AU:$AU,0),6),"")</f>
        <v/>
      </c>
      <c r="E678" s="3143" t="str">
        <f ca="1">IFERROR(INDEX('Production cost'!$A:$AU,MATCH($C678,'Production cost'!$AU:$AU,0),3),"")</f>
        <v/>
      </c>
      <c r="G678" s="3153" t="str">
        <f ca="1">IFERROR(INDEX('Production cost'!$A:$AU,MATCH($C678,'Production cost'!$AU:$AU,0),9),"")</f>
        <v/>
      </c>
      <c r="H678" s="3599" t="str">
        <f ca="1">IFERROR(IFERROR(INDEX('Production cost'!$A:$AU,MATCH($C678,'Production cost'!$AU:$AU,0),11),"")+IFERROR(INDEX('Production cost'!$A:$AU,MATCH($C678,'Production cost'!$AU:$AU,0),12),""),"")</f>
        <v/>
      </c>
      <c r="I678" s="3153" t="str">
        <f ca="1">IFERROR(INDEX('Production cost'!$A:$AU,MATCH($C678,'Production cost'!$AU:$AU,0),18),"")</f>
        <v/>
      </c>
      <c r="J678" s="3153" t="str">
        <f ca="1">IFERROR(INDEX('Production cost'!$A:$AU,MATCH($C678,'Production cost'!$AU:$AU,0),18),"")</f>
        <v/>
      </c>
    </row>
    <row r="679" spans="2:10" ht="21.75">
      <c r="B679" s="3143" t="s">
        <v>3652</v>
      </c>
      <c r="C679" s="3143">
        <f t="shared" si="12"/>
        <v>99</v>
      </c>
      <c r="D679" s="3143" t="str">
        <f ca="1">IFERROR(INDEX('Production cost'!$A:$AU,MATCH($C679,'Production cost'!$AU:$AU,0),6),"")</f>
        <v/>
      </c>
      <c r="E679" s="3143" t="str">
        <f ca="1">IFERROR(INDEX('Production cost'!$A:$AU,MATCH($C679,'Production cost'!$AU:$AU,0),3),"")</f>
        <v/>
      </c>
      <c r="G679" s="3153" t="str">
        <f ca="1">IFERROR(INDEX('Production cost'!$A:$AU,MATCH($C679,'Production cost'!$AU:$AU,0),9),"")</f>
        <v/>
      </c>
      <c r="H679" s="3599" t="str">
        <f ca="1">IFERROR(IFERROR(INDEX('Production cost'!$A:$AU,MATCH($C679,'Production cost'!$AU:$AU,0),11),"")+IFERROR(INDEX('Production cost'!$A:$AU,MATCH($C679,'Production cost'!$AU:$AU,0),12),""),"")</f>
        <v/>
      </c>
      <c r="I679" s="3153" t="str">
        <f ca="1">IFERROR(INDEX('Production cost'!$A:$AU,MATCH($C679,'Production cost'!$AU:$AU,0),18),"")</f>
        <v/>
      </c>
      <c r="J679" s="3153" t="str">
        <f ca="1">IFERROR(INDEX('Production cost'!$A:$AU,MATCH($C679,'Production cost'!$AU:$AU,0),18),"")</f>
        <v/>
      </c>
    </row>
    <row r="680" spans="2:10" ht="21.75">
      <c r="B680" s="3143" t="s">
        <v>3652</v>
      </c>
      <c r="C680" s="3143">
        <f t="shared" si="12"/>
        <v>100</v>
      </c>
      <c r="D680" s="3143" t="str">
        <f ca="1">IFERROR(INDEX('Production cost'!$A:$AU,MATCH($C680,'Production cost'!$AU:$AU,0),6),"")</f>
        <v/>
      </c>
      <c r="E680" s="3143" t="str">
        <f ca="1">IFERROR(INDEX('Production cost'!$A:$AU,MATCH($C680,'Production cost'!$AU:$AU,0),3),"")</f>
        <v/>
      </c>
      <c r="G680" s="3153" t="str">
        <f ca="1">IFERROR(INDEX('Production cost'!$A:$AU,MATCH($C680,'Production cost'!$AU:$AU,0),9),"")</f>
        <v/>
      </c>
      <c r="H680" s="3599" t="str">
        <f ca="1">IFERROR(IFERROR(INDEX('Production cost'!$A:$AU,MATCH($C680,'Production cost'!$AU:$AU,0),11),"")+IFERROR(INDEX('Production cost'!$A:$AU,MATCH($C680,'Production cost'!$AU:$AU,0),12),""),"")</f>
        <v/>
      </c>
      <c r="I680" s="3153" t="str">
        <f ca="1">IFERROR(INDEX('Production cost'!$A:$AU,MATCH($C680,'Production cost'!$AU:$AU,0),18),"")</f>
        <v/>
      </c>
      <c r="J680" s="3153" t="str">
        <f ca="1">IFERROR(INDEX('Production cost'!$A:$AU,MATCH($C680,'Production cost'!$AU:$AU,0),18),"")</f>
        <v/>
      </c>
    </row>
    <row r="681" spans="2:10" ht="21.75">
      <c r="B681" s="3143" t="s">
        <v>3652</v>
      </c>
      <c r="C681" s="3143">
        <f t="shared" si="12"/>
        <v>101</v>
      </c>
      <c r="D681" s="3143" t="str">
        <f ca="1">IFERROR(INDEX('Production cost'!$A:$AU,MATCH($C681,'Production cost'!$AU:$AU,0),6),"")</f>
        <v/>
      </c>
      <c r="E681" s="3143" t="str">
        <f ca="1">IFERROR(INDEX('Production cost'!$A:$AU,MATCH($C681,'Production cost'!$AU:$AU,0),3),"")</f>
        <v/>
      </c>
      <c r="G681" s="3153" t="str">
        <f ca="1">IFERROR(INDEX('Production cost'!$A:$AU,MATCH($C681,'Production cost'!$AU:$AU,0),9),"")</f>
        <v/>
      </c>
      <c r="H681" s="3599" t="str">
        <f ca="1">IFERROR(IFERROR(INDEX('Production cost'!$A:$AU,MATCH($C681,'Production cost'!$AU:$AU,0),11),"")+IFERROR(INDEX('Production cost'!$A:$AU,MATCH($C681,'Production cost'!$AU:$AU,0),12),""),"")</f>
        <v/>
      </c>
      <c r="I681" s="3153" t="str">
        <f ca="1">IFERROR(INDEX('Production cost'!$A:$AU,MATCH($C681,'Production cost'!$AU:$AU,0),18),"")</f>
        <v/>
      </c>
      <c r="J681" s="3153" t="str">
        <f ca="1">IFERROR(INDEX('Production cost'!$A:$AU,MATCH($C681,'Production cost'!$AU:$AU,0),18),"")</f>
        <v/>
      </c>
    </row>
    <row r="682" spans="2:10" ht="21.75">
      <c r="B682" s="3143" t="s">
        <v>3652</v>
      </c>
      <c r="C682" s="3143">
        <f t="shared" si="12"/>
        <v>102</v>
      </c>
      <c r="D682" s="3143" t="str">
        <f ca="1">IFERROR(INDEX('Production cost'!$A:$AU,MATCH($C682,'Production cost'!$AU:$AU,0),6),"")</f>
        <v/>
      </c>
      <c r="E682" s="3143" t="str">
        <f ca="1">IFERROR(INDEX('Production cost'!$A:$AU,MATCH($C682,'Production cost'!$AU:$AU,0),3),"")</f>
        <v/>
      </c>
      <c r="G682" s="3153" t="str">
        <f ca="1">IFERROR(INDEX('Production cost'!$A:$AU,MATCH($C682,'Production cost'!$AU:$AU,0),9),"")</f>
        <v/>
      </c>
      <c r="H682" s="3599" t="str">
        <f ca="1">IFERROR(IFERROR(INDEX('Production cost'!$A:$AU,MATCH($C682,'Production cost'!$AU:$AU,0),11),"")+IFERROR(INDEX('Production cost'!$A:$AU,MATCH($C682,'Production cost'!$AU:$AU,0),12),""),"")</f>
        <v/>
      </c>
      <c r="I682" s="3153" t="str">
        <f ca="1">IFERROR(INDEX('Production cost'!$A:$AU,MATCH($C682,'Production cost'!$AU:$AU,0),18),"")</f>
        <v/>
      </c>
      <c r="J682" s="3153" t="str">
        <f ca="1">IFERROR(INDEX('Production cost'!$A:$AU,MATCH($C682,'Production cost'!$AU:$AU,0),18),"")</f>
        <v/>
      </c>
    </row>
    <row r="683" spans="2:10" ht="21.75">
      <c r="B683" s="3143" t="s">
        <v>3652</v>
      </c>
      <c r="C683" s="3143">
        <f t="shared" si="12"/>
        <v>103</v>
      </c>
      <c r="D683" s="3143" t="str">
        <f ca="1">IFERROR(INDEX('Production cost'!$A:$AU,MATCH($C683,'Production cost'!$AU:$AU,0),6),"")</f>
        <v/>
      </c>
      <c r="E683" s="3143" t="str">
        <f ca="1">IFERROR(INDEX('Production cost'!$A:$AU,MATCH($C683,'Production cost'!$AU:$AU,0),3),"")</f>
        <v/>
      </c>
      <c r="G683" s="3153" t="str">
        <f ca="1">IFERROR(INDEX('Production cost'!$A:$AU,MATCH($C683,'Production cost'!$AU:$AU,0),9),"")</f>
        <v/>
      </c>
      <c r="H683" s="3599" t="str">
        <f ca="1">IFERROR(IFERROR(INDEX('Production cost'!$A:$AU,MATCH($C683,'Production cost'!$AU:$AU,0),11),"")+IFERROR(INDEX('Production cost'!$A:$AU,MATCH($C683,'Production cost'!$AU:$AU,0),12),""),"")</f>
        <v/>
      </c>
      <c r="I683" s="3153" t="str">
        <f ca="1">IFERROR(INDEX('Production cost'!$A:$AU,MATCH($C683,'Production cost'!$AU:$AU,0),18),"")</f>
        <v/>
      </c>
      <c r="J683" s="3153" t="str">
        <f ca="1">IFERROR(INDEX('Production cost'!$A:$AU,MATCH($C683,'Production cost'!$AU:$AU,0),18),"")</f>
        <v/>
      </c>
    </row>
    <row r="684" spans="2:10" ht="21.75">
      <c r="B684" s="3143" t="s">
        <v>3652</v>
      </c>
      <c r="C684" s="3143">
        <f t="shared" si="12"/>
        <v>104</v>
      </c>
      <c r="D684" s="3143" t="str">
        <f ca="1">IFERROR(INDEX('Production cost'!$A:$AU,MATCH($C684,'Production cost'!$AU:$AU,0),6),"")</f>
        <v/>
      </c>
      <c r="E684" s="3143" t="str">
        <f ca="1">IFERROR(INDEX('Production cost'!$A:$AU,MATCH($C684,'Production cost'!$AU:$AU,0),3),"")</f>
        <v/>
      </c>
      <c r="G684" s="3153" t="str">
        <f ca="1">IFERROR(INDEX('Production cost'!$A:$AU,MATCH($C684,'Production cost'!$AU:$AU,0),9),"")</f>
        <v/>
      </c>
      <c r="H684" s="3599" t="str">
        <f ca="1">IFERROR(IFERROR(INDEX('Production cost'!$A:$AU,MATCH($C684,'Production cost'!$AU:$AU,0),11),"")+IFERROR(INDEX('Production cost'!$A:$AU,MATCH($C684,'Production cost'!$AU:$AU,0),12),""),"")</f>
        <v/>
      </c>
      <c r="I684" s="3153" t="str">
        <f ca="1">IFERROR(INDEX('Production cost'!$A:$AU,MATCH($C684,'Production cost'!$AU:$AU,0),18),"")</f>
        <v/>
      </c>
      <c r="J684" s="3153" t="str">
        <f ca="1">IFERROR(INDEX('Production cost'!$A:$AU,MATCH($C684,'Production cost'!$AU:$AU,0),18),"")</f>
        <v/>
      </c>
    </row>
    <row r="685" spans="2:10" ht="21.75">
      <c r="B685" s="3143" t="s">
        <v>3652</v>
      </c>
      <c r="C685" s="3143">
        <f t="shared" si="12"/>
        <v>105</v>
      </c>
      <c r="D685" s="3143" t="str">
        <f ca="1">IFERROR(INDEX('Production cost'!$A:$AU,MATCH($C685,'Production cost'!$AU:$AU,0),6),"")</f>
        <v/>
      </c>
      <c r="E685" s="3143" t="str">
        <f ca="1">IFERROR(INDEX('Production cost'!$A:$AU,MATCH($C685,'Production cost'!$AU:$AU,0),3),"")</f>
        <v/>
      </c>
      <c r="G685" s="3153" t="str">
        <f ca="1">IFERROR(INDEX('Production cost'!$A:$AU,MATCH($C685,'Production cost'!$AU:$AU,0),9),"")</f>
        <v/>
      </c>
      <c r="H685" s="3599" t="str">
        <f ca="1">IFERROR(IFERROR(INDEX('Production cost'!$A:$AU,MATCH($C685,'Production cost'!$AU:$AU,0),11),"")+IFERROR(INDEX('Production cost'!$A:$AU,MATCH($C685,'Production cost'!$AU:$AU,0),12),""),"")</f>
        <v/>
      </c>
      <c r="I685" s="3153" t="str">
        <f ca="1">IFERROR(INDEX('Production cost'!$A:$AU,MATCH($C685,'Production cost'!$AU:$AU,0),18),"")</f>
        <v/>
      </c>
      <c r="J685" s="3153" t="str">
        <f ca="1">IFERROR(INDEX('Production cost'!$A:$AU,MATCH($C685,'Production cost'!$AU:$AU,0),18),"")</f>
        <v/>
      </c>
    </row>
    <row r="686" spans="2:10" ht="21.75">
      <c r="B686" s="3143" t="s">
        <v>3652</v>
      </c>
      <c r="C686" s="3143">
        <f t="shared" si="12"/>
        <v>106</v>
      </c>
      <c r="D686" s="3143" t="str">
        <f ca="1">IFERROR(INDEX('Production cost'!$A:$AU,MATCH($C686,'Production cost'!$AU:$AU,0),6),"")</f>
        <v/>
      </c>
      <c r="E686" s="3143" t="str">
        <f ca="1">IFERROR(INDEX('Production cost'!$A:$AU,MATCH($C686,'Production cost'!$AU:$AU,0),3),"")</f>
        <v/>
      </c>
      <c r="G686" s="3153" t="str">
        <f ca="1">IFERROR(INDEX('Production cost'!$A:$AU,MATCH($C686,'Production cost'!$AU:$AU,0),9),"")</f>
        <v/>
      </c>
      <c r="H686" s="3599" t="str">
        <f ca="1">IFERROR(IFERROR(INDEX('Production cost'!$A:$AU,MATCH($C686,'Production cost'!$AU:$AU,0),11),"")+IFERROR(INDEX('Production cost'!$A:$AU,MATCH($C686,'Production cost'!$AU:$AU,0),12),""),"")</f>
        <v/>
      </c>
      <c r="I686" s="3153" t="str">
        <f ca="1">IFERROR(INDEX('Production cost'!$A:$AU,MATCH($C686,'Production cost'!$AU:$AU,0),18),"")</f>
        <v/>
      </c>
      <c r="J686" s="3153" t="str">
        <f ca="1">IFERROR(INDEX('Production cost'!$A:$AU,MATCH($C686,'Production cost'!$AU:$AU,0),18),"")</f>
        <v/>
      </c>
    </row>
    <row r="687" spans="2:10" ht="21.75">
      <c r="B687" s="3143" t="s">
        <v>3652</v>
      </c>
      <c r="C687" s="3143">
        <f t="shared" si="12"/>
        <v>107</v>
      </c>
      <c r="D687" s="3143" t="str">
        <f ca="1">IFERROR(INDEX('Production cost'!$A:$AU,MATCH($C687,'Production cost'!$AU:$AU,0),6),"")</f>
        <v/>
      </c>
      <c r="E687" s="3143" t="str">
        <f ca="1">IFERROR(INDEX('Production cost'!$A:$AU,MATCH($C687,'Production cost'!$AU:$AU,0),3),"")</f>
        <v/>
      </c>
      <c r="G687" s="3153" t="str">
        <f ca="1">IFERROR(INDEX('Production cost'!$A:$AU,MATCH($C687,'Production cost'!$AU:$AU,0),9),"")</f>
        <v/>
      </c>
      <c r="H687" s="3599" t="str">
        <f ca="1">IFERROR(IFERROR(INDEX('Production cost'!$A:$AU,MATCH($C687,'Production cost'!$AU:$AU,0),11),"")+IFERROR(INDEX('Production cost'!$A:$AU,MATCH($C687,'Production cost'!$AU:$AU,0),12),""),"")</f>
        <v/>
      </c>
      <c r="I687" s="3153" t="str">
        <f ca="1">IFERROR(INDEX('Production cost'!$A:$AU,MATCH($C687,'Production cost'!$AU:$AU,0),18),"")</f>
        <v/>
      </c>
      <c r="J687" s="3153" t="str">
        <f ca="1">IFERROR(INDEX('Production cost'!$A:$AU,MATCH($C687,'Production cost'!$AU:$AU,0),18),"")</f>
        <v/>
      </c>
    </row>
    <row r="688" spans="2:10" ht="21.75">
      <c r="B688" s="3143" t="s">
        <v>3652</v>
      </c>
      <c r="C688" s="3143">
        <f t="shared" si="12"/>
        <v>108</v>
      </c>
      <c r="D688" s="3143" t="str">
        <f ca="1">IFERROR(INDEX('Production cost'!$A:$AU,MATCH($C688,'Production cost'!$AU:$AU,0),6),"")</f>
        <v/>
      </c>
      <c r="E688" s="3143" t="str">
        <f ca="1">IFERROR(INDEX('Production cost'!$A:$AU,MATCH($C688,'Production cost'!$AU:$AU,0),3),"")</f>
        <v/>
      </c>
      <c r="G688" s="3153" t="str">
        <f ca="1">IFERROR(INDEX('Production cost'!$A:$AU,MATCH($C688,'Production cost'!$AU:$AU,0),9),"")</f>
        <v/>
      </c>
      <c r="H688" s="3599" t="str">
        <f ca="1">IFERROR(IFERROR(INDEX('Production cost'!$A:$AU,MATCH($C688,'Production cost'!$AU:$AU,0),11),"")+IFERROR(INDEX('Production cost'!$A:$AU,MATCH($C688,'Production cost'!$AU:$AU,0),12),""),"")</f>
        <v/>
      </c>
      <c r="I688" s="3153" t="str">
        <f ca="1">IFERROR(INDEX('Production cost'!$A:$AU,MATCH($C688,'Production cost'!$AU:$AU,0),18),"")</f>
        <v/>
      </c>
      <c r="J688" s="3153" t="str">
        <f ca="1">IFERROR(INDEX('Production cost'!$A:$AU,MATCH($C688,'Production cost'!$AU:$AU,0),18),"")</f>
        <v/>
      </c>
    </row>
    <row r="689" spans="2:10" ht="21.75">
      <c r="B689" s="3143" t="s">
        <v>3652</v>
      </c>
      <c r="C689" s="3143">
        <f t="shared" si="12"/>
        <v>109</v>
      </c>
      <c r="D689" s="3143" t="str">
        <f ca="1">IFERROR(INDEX('Production cost'!$A:$AU,MATCH($C689,'Production cost'!$AU:$AU,0),6),"")</f>
        <v/>
      </c>
      <c r="E689" s="3143" t="str">
        <f ca="1">IFERROR(INDEX('Production cost'!$A:$AU,MATCH($C689,'Production cost'!$AU:$AU,0),3),"")</f>
        <v/>
      </c>
      <c r="G689" s="3153" t="str">
        <f ca="1">IFERROR(INDEX('Production cost'!$A:$AU,MATCH($C689,'Production cost'!$AU:$AU,0),9),"")</f>
        <v/>
      </c>
      <c r="H689" s="3599" t="str">
        <f ca="1">IFERROR(IFERROR(INDEX('Production cost'!$A:$AU,MATCH($C689,'Production cost'!$AU:$AU,0),11),"")+IFERROR(INDEX('Production cost'!$A:$AU,MATCH($C689,'Production cost'!$AU:$AU,0),12),""),"")</f>
        <v/>
      </c>
      <c r="I689" s="3153" t="str">
        <f ca="1">IFERROR(INDEX('Production cost'!$A:$AU,MATCH($C689,'Production cost'!$AU:$AU,0),18),"")</f>
        <v/>
      </c>
      <c r="J689" s="3153" t="str">
        <f ca="1">IFERROR(INDEX('Production cost'!$A:$AU,MATCH($C689,'Production cost'!$AU:$AU,0),18),"")</f>
        <v/>
      </c>
    </row>
    <row r="690" spans="2:10" ht="21.75">
      <c r="B690" s="3143" t="s">
        <v>3652</v>
      </c>
      <c r="C690" s="3143">
        <f t="shared" si="12"/>
        <v>110</v>
      </c>
      <c r="D690" s="3143" t="str">
        <f ca="1">IFERROR(INDEX('Production cost'!$A:$AU,MATCH($C690,'Production cost'!$AU:$AU,0),6),"")</f>
        <v/>
      </c>
      <c r="E690" s="3143" t="str">
        <f ca="1">IFERROR(INDEX('Production cost'!$A:$AU,MATCH($C690,'Production cost'!$AU:$AU,0),3),"")</f>
        <v/>
      </c>
      <c r="G690" s="3153" t="str">
        <f ca="1">IFERROR(INDEX('Production cost'!$A:$AU,MATCH($C690,'Production cost'!$AU:$AU,0),9),"")</f>
        <v/>
      </c>
      <c r="H690" s="3599" t="str">
        <f ca="1">IFERROR(IFERROR(INDEX('Production cost'!$A:$AU,MATCH($C690,'Production cost'!$AU:$AU,0),11),"")+IFERROR(INDEX('Production cost'!$A:$AU,MATCH($C690,'Production cost'!$AU:$AU,0),12),""),"")</f>
        <v/>
      </c>
      <c r="I690" s="3153" t="str">
        <f ca="1">IFERROR(INDEX('Production cost'!$A:$AU,MATCH($C690,'Production cost'!$AU:$AU,0),18),"")</f>
        <v/>
      </c>
      <c r="J690" s="3153" t="str">
        <f ca="1">IFERROR(INDEX('Production cost'!$A:$AU,MATCH($C690,'Production cost'!$AU:$AU,0),18),"")</f>
        <v/>
      </c>
    </row>
    <row r="691" spans="2:10" ht="21.75">
      <c r="B691" s="3143" t="s">
        <v>3652</v>
      </c>
      <c r="C691" s="3143">
        <f t="shared" si="12"/>
        <v>111</v>
      </c>
      <c r="D691" s="3143" t="str">
        <f ca="1">IFERROR(INDEX('Production cost'!$A:$AU,MATCH($C691,'Production cost'!$AU:$AU,0),6),"")</f>
        <v/>
      </c>
      <c r="E691" s="3143" t="str">
        <f ca="1">IFERROR(INDEX('Production cost'!$A:$AU,MATCH($C691,'Production cost'!$AU:$AU,0),3),"")</f>
        <v/>
      </c>
      <c r="G691" s="3153" t="str">
        <f ca="1">IFERROR(INDEX('Production cost'!$A:$AU,MATCH($C691,'Production cost'!$AU:$AU,0),9),"")</f>
        <v/>
      </c>
      <c r="H691" s="3599" t="str">
        <f ca="1">IFERROR(IFERROR(INDEX('Production cost'!$A:$AU,MATCH($C691,'Production cost'!$AU:$AU,0),11),"")+IFERROR(INDEX('Production cost'!$A:$AU,MATCH($C691,'Production cost'!$AU:$AU,0),12),""),"")</f>
        <v/>
      </c>
      <c r="I691" s="3153" t="str">
        <f ca="1">IFERROR(INDEX('Production cost'!$A:$AU,MATCH($C691,'Production cost'!$AU:$AU,0),18),"")</f>
        <v/>
      </c>
      <c r="J691" s="3153" t="str">
        <f ca="1">IFERROR(INDEX('Production cost'!$A:$AU,MATCH($C691,'Production cost'!$AU:$AU,0),18),"")</f>
        <v/>
      </c>
    </row>
    <row r="692" spans="2:10" ht="21.75">
      <c r="B692" s="3143" t="s">
        <v>3652</v>
      </c>
      <c r="C692" s="3143">
        <f t="shared" si="12"/>
        <v>112</v>
      </c>
      <c r="D692" s="3143" t="str">
        <f ca="1">IFERROR(INDEX('Production cost'!$A:$AU,MATCH($C692,'Production cost'!$AU:$AU,0),6),"")</f>
        <v/>
      </c>
      <c r="E692" s="3143" t="str">
        <f ca="1">IFERROR(INDEX('Production cost'!$A:$AU,MATCH($C692,'Production cost'!$AU:$AU,0),3),"")</f>
        <v/>
      </c>
      <c r="G692" s="3153" t="str">
        <f ca="1">IFERROR(INDEX('Production cost'!$A:$AU,MATCH($C692,'Production cost'!$AU:$AU,0),9),"")</f>
        <v/>
      </c>
      <c r="H692" s="3599" t="str">
        <f ca="1">IFERROR(IFERROR(INDEX('Production cost'!$A:$AU,MATCH($C692,'Production cost'!$AU:$AU,0),11),"")+IFERROR(INDEX('Production cost'!$A:$AU,MATCH($C692,'Production cost'!$AU:$AU,0),12),""),"")</f>
        <v/>
      </c>
      <c r="I692" s="3153" t="str">
        <f ca="1">IFERROR(INDEX('Production cost'!$A:$AU,MATCH($C692,'Production cost'!$AU:$AU,0),18),"")</f>
        <v/>
      </c>
      <c r="J692" s="3153" t="str">
        <f ca="1">IFERROR(INDEX('Production cost'!$A:$AU,MATCH($C692,'Production cost'!$AU:$AU,0),18),"")</f>
        <v/>
      </c>
    </row>
    <row r="693" spans="2:10" ht="21.75">
      <c r="B693" s="3143" t="s">
        <v>3652</v>
      </c>
      <c r="C693" s="3143">
        <f t="shared" si="12"/>
        <v>113</v>
      </c>
      <c r="D693" s="3143" t="str">
        <f ca="1">IFERROR(INDEX('Production cost'!$A:$AU,MATCH($C693,'Production cost'!$AU:$AU,0),6),"")</f>
        <v/>
      </c>
      <c r="E693" s="3143" t="str">
        <f ca="1">IFERROR(INDEX('Production cost'!$A:$AU,MATCH($C693,'Production cost'!$AU:$AU,0),3),"")</f>
        <v/>
      </c>
      <c r="G693" s="3153" t="str">
        <f ca="1">IFERROR(INDEX('Production cost'!$A:$AU,MATCH($C693,'Production cost'!$AU:$AU,0),9),"")</f>
        <v/>
      </c>
      <c r="H693" s="3599" t="str">
        <f ca="1">IFERROR(IFERROR(INDEX('Production cost'!$A:$AU,MATCH($C693,'Production cost'!$AU:$AU,0),11),"")+IFERROR(INDEX('Production cost'!$A:$AU,MATCH($C693,'Production cost'!$AU:$AU,0),12),""),"")</f>
        <v/>
      </c>
      <c r="I693" s="3153" t="str">
        <f ca="1">IFERROR(INDEX('Production cost'!$A:$AU,MATCH($C693,'Production cost'!$AU:$AU,0),18),"")</f>
        <v/>
      </c>
      <c r="J693" s="3153" t="str">
        <f ca="1">IFERROR(INDEX('Production cost'!$A:$AU,MATCH($C693,'Production cost'!$AU:$AU,0),18),"")</f>
        <v/>
      </c>
    </row>
    <row r="694" spans="2:10" ht="21.75">
      <c r="B694" s="3143" t="s">
        <v>3652</v>
      </c>
      <c r="C694" s="3143">
        <f t="shared" si="12"/>
        <v>114</v>
      </c>
      <c r="D694" s="3143" t="str">
        <f ca="1">IFERROR(INDEX('Production cost'!$A:$AU,MATCH($C694,'Production cost'!$AU:$AU,0),6),"")</f>
        <v/>
      </c>
      <c r="E694" s="3143" t="str">
        <f ca="1">IFERROR(INDEX('Production cost'!$A:$AU,MATCH($C694,'Production cost'!$AU:$AU,0),3),"")</f>
        <v/>
      </c>
      <c r="G694" s="3153" t="str">
        <f ca="1">IFERROR(INDEX('Production cost'!$A:$AU,MATCH($C694,'Production cost'!$AU:$AU,0),9),"")</f>
        <v/>
      </c>
      <c r="H694" s="3599" t="str">
        <f ca="1">IFERROR(IFERROR(INDEX('Production cost'!$A:$AU,MATCH($C694,'Production cost'!$AU:$AU,0),11),"")+IFERROR(INDEX('Production cost'!$A:$AU,MATCH($C694,'Production cost'!$AU:$AU,0),12),""),"")</f>
        <v/>
      </c>
      <c r="I694" s="3153" t="str">
        <f ca="1">IFERROR(INDEX('Production cost'!$A:$AU,MATCH($C694,'Production cost'!$AU:$AU,0),18),"")</f>
        <v/>
      </c>
      <c r="J694" s="3153" t="str">
        <f ca="1">IFERROR(INDEX('Production cost'!$A:$AU,MATCH($C694,'Production cost'!$AU:$AU,0),18),"")</f>
        <v/>
      </c>
    </row>
    <row r="695" spans="2:10" ht="21.75">
      <c r="B695" s="3143" t="s">
        <v>3652</v>
      </c>
      <c r="C695" s="3143">
        <f t="shared" si="12"/>
        <v>115</v>
      </c>
      <c r="D695" s="3143" t="str">
        <f ca="1">IFERROR(INDEX('Production cost'!$A:$AU,MATCH($C695,'Production cost'!$AU:$AU,0),6),"")</f>
        <v/>
      </c>
      <c r="E695" s="3143" t="str">
        <f ca="1">IFERROR(INDEX('Production cost'!$A:$AU,MATCH($C695,'Production cost'!$AU:$AU,0),3),"")</f>
        <v/>
      </c>
      <c r="G695" s="3153" t="str">
        <f ca="1">IFERROR(INDEX('Production cost'!$A:$AU,MATCH($C695,'Production cost'!$AU:$AU,0),9),"")</f>
        <v/>
      </c>
      <c r="H695" s="3599" t="str">
        <f ca="1">IFERROR(IFERROR(INDEX('Production cost'!$A:$AU,MATCH($C695,'Production cost'!$AU:$AU,0),11),"")+IFERROR(INDEX('Production cost'!$A:$AU,MATCH($C695,'Production cost'!$AU:$AU,0),12),""),"")</f>
        <v/>
      </c>
      <c r="I695" s="3153" t="str">
        <f ca="1">IFERROR(INDEX('Production cost'!$A:$AU,MATCH($C695,'Production cost'!$AU:$AU,0),18),"")</f>
        <v/>
      </c>
      <c r="J695" s="3153" t="str">
        <f ca="1">IFERROR(INDEX('Production cost'!$A:$AU,MATCH($C695,'Production cost'!$AU:$AU,0),18),"")</f>
        <v/>
      </c>
    </row>
    <row r="696" spans="2:10" ht="21.75">
      <c r="B696" s="3143" t="s">
        <v>3652</v>
      </c>
      <c r="C696" s="3143">
        <f t="shared" si="12"/>
        <v>116</v>
      </c>
      <c r="D696" s="3143" t="str">
        <f ca="1">IFERROR(INDEX('Production cost'!$A:$AU,MATCH($C696,'Production cost'!$AU:$AU,0),6),"")</f>
        <v/>
      </c>
      <c r="E696" s="3143" t="str">
        <f ca="1">IFERROR(INDEX('Production cost'!$A:$AU,MATCH($C696,'Production cost'!$AU:$AU,0),3),"")</f>
        <v/>
      </c>
      <c r="G696" s="3153" t="str">
        <f ca="1">IFERROR(INDEX('Production cost'!$A:$AU,MATCH($C696,'Production cost'!$AU:$AU,0),9),"")</f>
        <v/>
      </c>
      <c r="H696" s="3599" t="str">
        <f ca="1">IFERROR(IFERROR(INDEX('Production cost'!$A:$AU,MATCH($C696,'Production cost'!$AU:$AU,0),11),"")+IFERROR(INDEX('Production cost'!$A:$AU,MATCH($C696,'Production cost'!$AU:$AU,0),12),""),"")</f>
        <v/>
      </c>
      <c r="I696" s="3153" t="str">
        <f ca="1">IFERROR(INDEX('Production cost'!$A:$AU,MATCH($C696,'Production cost'!$AU:$AU,0),18),"")</f>
        <v/>
      </c>
      <c r="J696" s="3153" t="str">
        <f ca="1">IFERROR(INDEX('Production cost'!$A:$AU,MATCH($C696,'Production cost'!$AU:$AU,0),18),"")</f>
        <v/>
      </c>
    </row>
    <row r="697" spans="2:10" ht="21.75">
      <c r="B697" s="3143" t="s">
        <v>3652</v>
      </c>
      <c r="C697" s="3143">
        <f t="shared" si="12"/>
        <v>117</v>
      </c>
      <c r="D697" s="3143" t="str">
        <f ca="1">IFERROR(INDEX('Production cost'!$A:$AU,MATCH($C697,'Production cost'!$AU:$AU,0),6),"")</f>
        <v/>
      </c>
      <c r="E697" s="3143" t="str">
        <f ca="1">IFERROR(INDEX('Production cost'!$A:$AU,MATCH($C697,'Production cost'!$AU:$AU,0),3),"")</f>
        <v/>
      </c>
      <c r="G697" s="3153" t="str">
        <f ca="1">IFERROR(INDEX('Production cost'!$A:$AU,MATCH($C697,'Production cost'!$AU:$AU,0),9),"")</f>
        <v/>
      </c>
      <c r="H697" s="3599" t="str">
        <f ca="1">IFERROR(IFERROR(INDEX('Production cost'!$A:$AU,MATCH($C697,'Production cost'!$AU:$AU,0),11),"")+IFERROR(INDEX('Production cost'!$A:$AU,MATCH($C697,'Production cost'!$AU:$AU,0),12),""),"")</f>
        <v/>
      </c>
      <c r="I697" s="3153" t="str">
        <f ca="1">IFERROR(INDEX('Production cost'!$A:$AU,MATCH($C697,'Production cost'!$AU:$AU,0),18),"")</f>
        <v/>
      </c>
      <c r="J697" s="3153" t="str">
        <f ca="1">IFERROR(INDEX('Production cost'!$A:$AU,MATCH($C697,'Production cost'!$AU:$AU,0),18),"")</f>
        <v/>
      </c>
    </row>
    <row r="698" spans="2:10" ht="21.75">
      <c r="B698" s="3143" t="s">
        <v>3652</v>
      </c>
      <c r="C698" s="3143">
        <f t="shared" si="12"/>
        <v>118</v>
      </c>
      <c r="D698" s="3143" t="str">
        <f ca="1">IFERROR(INDEX('Production cost'!$A:$AU,MATCH($C698,'Production cost'!$AU:$AU,0),6),"")</f>
        <v/>
      </c>
      <c r="E698" s="3143" t="str">
        <f ca="1">IFERROR(INDEX('Production cost'!$A:$AU,MATCH($C698,'Production cost'!$AU:$AU,0),3),"")</f>
        <v/>
      </c>
      <c r="G698" s="3153" t="str">
        <f ca="1">IFERROR(INDEX('Production cost'!$A:$AU,MATCH($C698,'Production cost'!$AU:$AU,0),9),"")</f>
        <v/>
      </c>
      <c r="H698" s="3599" t="str">
        <f ca="1">IFERROR(IFERROR(INDEX('Production cost'!$A:$AU,MATCH($C698,'Production cost'!$AU:$AU,0),11),"")+IFERROR(INDEX('Production cost'!$A:$AU,MATCH($C698,'Production cost'!$AU:$AU,0),12),""),"")</f>
        <v/>
      </c>
      <c r="I698" s="3153" t="str">
        <f ca="1">IFERROR(INDEX('Production cost'!$A:$AU,MATCH($C698,'Production cost'!$AU:$AU,0),18),"")</f>
        <v/>
      </c>
      <c r="J698" s="3153" t="str">
        <f ca="1">IFERROR(INDEX('Production cost'!$A:$AU,MATCH($C698,'Production cost'!$AU:$AU,0),18),"")</f>
        <v/>
      </c>
    </row>
    <row r="699" spans="2:10" ht="21.75">
      <c r="B699" s="3143" t="s">
        <v>3652</v>
      </c>
      <c r="C699" s="3143">
        <f t="shared" si="12"/>
        <v>119</v>
      </c>
      <c r="D699" s="3143" t="str">
        <f ca="1">IFERROR(INDEX('Production cost'!$A:$AU,MATCH($C699,'Production cost'!$AU:$AU,0),6),"")</f>
        <v/>
      </c>
      <c r="E699" s="3143" t="str">
        <f ca="1">IFERROR(INDEX('Production cost'!$A:$AU,MATCH($C699,'Production cost'!$AU:$AU,0),3),"")</f>
        <v/>
      </c>
      <c r="G699" s="3153" t="str">
        <f ca="1">IFERROR(INDEX('Production cost'!$A:$AU,MATCH($C699,'Production cost'!$AU:$AU,0),9),"")</f>
        <v/>
      </c>
      <c r="H699" s="3599" t="str">
        <f ca="1">IFERROR(IFERROR(INDEX('Production cost'!$A:$AU,MATCH($C699,'Production cost'!$AU:$AU,0),11),"")+IFERROR(INDEX('Production cost'!$A:$AU,MATCH($C699,'Production cost'!$AU:$AU,0),12),""),"")</f>
        <v/>
      </c>
      <c r="I699" s="3153" t="str">
        <f ca="1">IFERROR(INDEX('Production cost'!$A:$AU,MATCH($C699,'Production cost'!$AU:$AU,0),18),"")</f>
        <v/>
      </c>
      <c r="J699" s="3153" t="str">
        <f ca="1">IFERROR(INDEX('Production cost'!$A:$AU,MATCH($C699,'Production cost'!$AU:$AU,0),18),"")</f>
        <v/>
      </c>
    </row>
    <row r="700" spans="2:10" ht="21.75">
      <c r="B700" s="3143" t="s">
        <v>3652</v>
      </c>
      <c r="C700" s="3143">
        <f t="shared" si="12"/>
        <v>120</v>
      </c>
      <c r="D700" s="3143" t="str">
        <f ca="1">IFERROR(INDEX('Production cost'!$A:$AU,MATCH($C700,'Production cost'!$AU:$AU,0),6),"")</f>
        <v/>
      </c>
      <c r="E700" s="3143" t="str">
        <f ca="1">IFERROR(INDEX('Production cost'!$A:$AU,MATCH($C700,'Production cost'!$AU:$AU,0),3),"")</f>
        <v/>
      </c>
      <c r="G700" s="3153" t="str">
        <f ca="1">IFERROR(INDEX('Production cost'!$A:$AU,MATCH($C700,'Production cost'!$AU:$AU,0),9),"")</f>
        <v/>
      </c>
      <c r="H700" s="3599" t="str">
        <f ca="1">IFERROR(IFERROR(INDEX('Production cost'!$A:$AU,MATCH($C700,'Production cost'!$AU:$AU,0),11),"")+IFERROR(INDEX('Production cost'!$A:$AU,MATCH($C700,'Production cost'!$AU:$AU,0),12),""),"")</f>
        <v/>
      </c>
      <c r="I700" s="3153" t="str">
        <f ca="1">IFERROR(INDEX('Production cost'!$A:$AU,MATCH($C700,'Production cost'!$AU:$AU,0),18),"")</f>
        <v/>
      </c>
      <c r="J700" s="3153" t="str">
        <f ca="1">IFERROR(INDEX('Production cost'!$A:$AU,MATCH($C700,'Production cost'!$AU:$AU,0),18),"")</f>
        <v/>
      </c>
    </row>
    <row r="701" spans="2:10" ht="21.75">
      <c r="B701" s="3143" t="s">
        <v>3652</v>
      </c>
      <c r="C701" s="3143">
        <f t="shared" si="12"/>
        <v>121</v>
      </c>
      <c r="D701" s="3143" t="str">
        <f ca="1">IFERROR(INDEX('Production cost'!$A:$AU,MATCH($C701,'Production cost'!$AU:$AU,0),6),"")</f>
        <v/>
      </c>
      <c r="E701" s="3143" t="str">
        <f ca="1">IFERROR(INDEX('Production cost'!$A:$AU,MATCH($C701,'Production cost'!$AU:$AU,0),3),"")</f>
        <v/>
      </c>
      <c r="G701" s="3153" t="str">
        <f ca="1">IFERROR(INDEX('Production cost'!$A:$AU,MATCH($C701,'Production cost'!$AU:$AU,0),9),"")</f>
        <v/>
      </c>
      <c r="H701" s="3599" t="str">
        <f ca="1">IFERROR(IFERROR(INDEX('Production cost'!$A:$AU,MATCH($C701,'Production cost'!$AU:$AU,0),11),"")+IFERROR(INDEX('Production cost'!$A:$AU,MATCH($C701,'Production cost'!$AU:$AU,0),12),""),"")</f>
        <v/>
      </c>
      <c r="I701" s="3153" t="str">
        <f ca="1">IFERROR(INDEX('Production cost'!$A:$AU,MATCH($C701,'Production cost'!$AU:$AU,0),18),"")</f>
        <v/>
      </c>
      <c r="J701" s="3153" t="str">
        <f ca="1">IFERROR(INDEX('Production cost'!$A:$AU,MATCH($C701,'Production cost'!$AU:$AU,0),18),"")</f>
        <v/>
      </c>
    </row>
    <row r="702" spans="2:10" ht="21.75">
      <c r="B702" s="3143" t="s">
        <v>3652</v>
      </c>
      <c r="C702" s="3143">
        <f t="shared" si="12"/>
        <v>122</v>
      </c>
      <c r="D702" s="3143" t="str">
        <f ca="1">IFERROR(INDEX('Production cost'!$A:$AU,MATCH($C702,'Production cost'!$AU:$AU,0),6),"")</f>
        <v/>
      </c>
      <c r="E702" s="3143" t="str">
        <f ca="1">IFERROR(INDEX('Production cost'!$A:$AU,MATCH($C702,'Production cost'!$AU:$AU,0),3),"")</f>
        <v/>
      </c>
      <c r="G702" s="3153" t="str">
        <f ca="1">IFERROR(INDEX('Production cost'!$A:$AU,MATCH($C702,'Production cost'!$AU:$AU,0),9),"")</f>
        <v/>
      </c>
      <c r="H702" s="3599" t="str">
        <f ca="1">IFERROR(IFERROR(INDEX('Production cost'!$A:$AU,MATCH($C702,'Production cost'!$AU:$AU,0),11),"")+IFERROR(INDEX('Production cost'!$A:$AU,MATCH($C702,'Production cost'!$AU:$AU,0),12),""),"")</f>
        <v/>
      </c>
      <c r="I702" s="3153" t="str">
        <f ca="1">IFERROR(INDEX('Production cost'!$A:$AU,MATCH($C702,'Production cost'!$AU:$AU,0),18),"")</f>
        <v/>
      </c>
      <c r="J702" s="3153" t="str">
        <f ca="1">IFERROR(INDEX('Production cost'!$A:$AU,MATCH($C702,'Production cost'!$AU:$AU,0),18),"")</f>
        <v/>
      </c>
    </row>
    <row r="703" spans="2:10" ht="21.75">
      <c r="B703" s="3143" t="s">
        <v>3652</v>
      </c>
      <c r="C703" s="3143">
        <f t="shared" si="12"/>
        <v>123</v>
      </c>
      <c r="D703" s="3143" t="str">
        <f ca="1">IFERROR(INDEX('Production cost'!$A:$AU,MATCH($C703,'Production cost'!$AU:$AU,0),6),"")</f>
        <v/>
      </c>
      <c r="E703" s="3143" t="str">
        <f ca="1">IFERROR(INDEX('Production cost'!$A:$AU,MATCH($C703,'Production cost'!$AU:$AU,0),3),"")</f>
        <v/>
      </c>
      <c r="G703" s="3153" t="str">
        <f ca="1">IFERROR(INDEX('Production cost'!$A:$AU,MATCH($C703,'Production cost'!$AU:$AU,0),9),"")</f>
        <v/>
      </c>
      <c r="H703" s="3599" t="str">
        <f ca="1">IFERROR(IFERROR(INDEX('Production cost'!$A:$AU,MATCH($C703,'Production cost'!$AU:$AU,0),11),"")+IFERROR(INDEX('Production cost'!$A:$AU,MATCH($C703,'Production cost'!$AU:$AU,0),12),""),"")</f>
        <v/>
      </c>
      <c r="I703" s="3153" t="str">
        <f ca="1">IFERROR(INDEX('Production cost'!$A:$AU,MATCH($C703,'Production cost'!$AU:$AU,0),18),"")</f>
        <v/>
      </c>
      <c r="J703" s="3153" t="str">
        <f ca="1">IFERROR(INDEX('Production cost'!$A:$AU,MATCH($C703,'Production cost'!$AU:$AU,0),18),"")</f>
        <v/>
      </c>
    </row>
    <row r="704" spans="2:10" ht="21.75">
      <c r="B704" s="3143" t="s">
        <v>3652</v>
      </c>
      <c r="C704" s="3143">
        <f t="shared" si="12"/>
        <v>124</v>
      </c>
      <c r="D704" s="3143" t="str">
        <f ca="1">IFERROR(INDEX('Production cost'!$A:$AU,MATCH($C704,'Production cost'!$AU:$AU,0),6),"")</f>
        <v/>
      </c>
      <c r="E704" s="3143" t="str">
        <f ca="1">IFERROR(INDEX('Production cost'!$A:$AU,MATCH($C704,'Production cost'!$AU:$AU,0),3),"")</f>
        <v/>
      </c>
      <c r="G704" s="3153" t="str">
        <f ca="1">IFERROR(INDEX('Production cost'!$A:$AU,MATCH($C704,'Production cost'!$AU:$AU,0),9),"")</f>
        <v/>
      </c>
      <c r="H704" s="3599" t="str">
        <f ca="1">IFERROR(IFERROR(INDEX('Production cost'!$A:$AU,MATCH($C704,'Production cost'!$AU:$AU,0),11),"")+IFERROR(INDEX('Production cost'!$A:$AU,MATCH($C704,'Production cost'!$AU:$AU,0),12),""),"")</f>
        <v/>
      </c>
      <c r="I704" s="3153" t="str">
        <f ca="1">IFERROR(INDEX('Production cost'!$A:$AU,MATCH($C704,'Production cost'!$AU:$AU,0),18),"")</f>
        <v/>
      </c>
      <c r="J704" s="3153" t="str">
        <f ca="1">IFERROR(INDEX('Production cost'!$A:$AU,MATCH($C704,'Production cost'!$AU:$AU,0),18),"")</f>
        <v/>
      </c>
    </row>
    <row r="705" spans="2:10" ht="21.75">
      <c r="B705" s="3143" t="s">
        <v>3652</v>
      </c>
      <c r="C705" s="3143">
        <f t="shared" si="12"/>
        <v>125</v>
      </c>
      <c r="D705" s="3143" t="str">
        <f ca="1">IFERROR(INDEX('Production cost'!$A:$AU,MATCH($C705,'Production cost'!$AU:$AU,0),6),"")</f>
        <v/>
      </c>
      <c r="E705" s="3143" t="str">
        <f ca="1">IFERROR(INDEX('Production cost'!$A:$AU,MATCH($C705,'Production cost'!$AU:$AU,0),3),"")</f>
        <v/>
      </c>
      <c r="G705" s="3153" t="str">
        <f ca="1">IFERROR(INDEX('Production cost'!$A:$AU,MATCH($C705,'Production cost'!$AU:$AU,0),9),"")</f>
        <v/>
      </c>
      <c r="H705" s="3599" t="str">
        <f ca="1">IFERROR(IFERROR(INDEX('Production cost'!$A:$AU,MATCH($C705,'Production cost'!$AU:$AU,0),11),"")+IFERROR(INDEX('Production cost'!$A:$AU,MATCH($C705,'Production cost'!$AU:$AU,0),12),""),"")</f>
        <v/>
      </c>
      <c r="I705" s="3153" t="str">
        <f ca="1">IFERROR(INDEX('Production cost'!$A:$AU,MATCH($C705,'Production cost'!$AU:$AU,0),18),"")</f>
        <v/>
      </c>
      <c r="J705" s="3153" t="str">
        <f ca="1">IFERROR(INDEX('Production cost'!$A:$AU,MATCH($C705,'Production cost'!$AU:$AU,0),18),"")</f>
        <v/>
      </c>
    </row>
    <row r="706" spans="2:10" ht="21.75">
      <c r="B706" s="3143" t="s">
        <v>3652</v>
      </c>
      <c r="C706" s="3143">
        <f t="shared" si="12"/>
        <v>126</v>
      </c>
      <c r="D706" s="3143" t="str">
        <f ca="1">IFERROR(INDEX('Production cost'!$A:$AU,MATCH($C706,'Production cost'!$AU:$AU,0),6),"")</f>
        <v/>
      </c>
      <c r="E706" s="3143" t="str">
        <f ca="1">IFERROR(INDEX('Production cost'!$A:$AU,MATCH($C706,'Production cost'!$AU:$AU,0),3),"")</f>
        <v/>
      </c>
      <c r="G706" s="3153" t="str">
        <f ca="1">IFERROR(INDEX('Production cost'!$A:$AU,MATCH($C706,'Production cost'!$AU:$AU,0),9),"")</f>
        <v/>
      </c>
      <c r="H706" s="3599" t="str">
        <f ca="1">IFERROR(IFERROR(INDEX('Production cost'!$A:$AU,MATCH($C706,'Production cost'!$AU:$AU,0),11),"")+IFERROR(INDEX('Production cost'!$A:$AU,MATCH($C706,'Production cost'!$AU:$AU,0),12),""),"")</f>
        <v/>
      </c>
      <c r="I706" s="3153" t="str">
        <f ca="1">IFERROR(INDEX('Production cost'!$A:$AU,MATCH($C706,'Production cost'!$AU:$AU,0),18),"")</f>
        <v/>
      </c>
      <c r="J706" s="3153" t="str">
        <f ca="1">IFERROR(INDEX('Production cost'!$A:$AU,MATCH($C706,'Production cost'!$AU:$AU,0),18),"")</f>
        <v/>
      </c>
    </row>
    <row r="707" spans="2:10" ht="21.75">
      <c r="B707" s="3143" t="s">
        <v>3652</v>
      </c>
      <c r="C707" s="3143">
        <f t="shared" si="12"/>
        <v>127</v>
      </c>
      <c r="D707" s="3143" t="str">
        <f ca="1">IFERROR(INDEX('Production cost'!$A:$AU,MATCH($C707,'Production cost'!$AU:$AU,0),6),"")</f>
        <v/>
      </c>
      <c r="E707" s="3143" t="str">
        <f ca="1">IFERROR(INDEX('Production cost'!$A:$AU,MATCH($C707,'Production cost'!$AU:$AU,0),3),"")</f>
        <v/>
      </c>
      <c r="G707" s="3153" t="str">
        <f ca="1">IFERROR(INDEX('Production cost'!$A:$AU,MATCH($C707,'Production cost'!$AU:$AU,0),9),"")</f>
        <v/>
      </c>
      <c r="H707" s="3599" t="str">
        <f ca="1">IFERROR(IFERROR(INDEX('Production cost'!$A:$AU,MATCH($C707,'Production cost'!$AU:$AU,0),11),"")+IFERROR(INDEX('Production cost'!$A:$AU,MATCH($C707,'Production cost'!$AU:$AU,0),12),""),"")</f>
        <v/>
      </c>
      <c r="I707" s="3153" t="str">
        <f ca="1">IFERROR(INDEX('Production cost'!$A:$AU,MATCH($C707,'Production cost'!$AU:$AU,0),18),"")</f>
        <v/>
      </c>
      <c r="J707" s="3153" t="str">
        <f ca="1">IFERROR(INDEX('Production cost'!$A:$AU,MATCH($C707,'Production cost'!$AU:$AU,0),18),"")</f>
        <v/>
      </c>
    </row>
    <row r="708" spans="2:10" ht="21.75">
      <c r="B708" s="3143" t="s">
        <v>3652</v>
      </c>
      <c r="C708" s="3143">
        <f t="shared" si="12"/>
        <v>128</v>
      </c>
      <c r="D708" s="3143" t="str">
        <f ca="1">IFERROR(INDEX('Production cost'!$A:$AU,MATCH($C708,'Production cost'!$AU:$AU,0),6),"")</f>
        <v/>
      </c>
      <c r="E708" s="3143" t="str">
        <f ca="1">IFERROR(INDEX('Production cost'!$A:$AU,MATCH($C708,'Production cost'!$AU:$AU,0),3),"")</f>
        <v/>
      </c>
      <c r="G708" s="3153" t="str">
        <f ca="1">IFERROR(INDEX('Production cost'!$A:$AU,MATCH($C708,'Production cost'!$AU:$AU,0),9),"")</f>
        <v/>
      </c>
      <c r="H708" s="3599" t="str">
        <f ca="1">IFERROR(IFERROR(INDEX('Production cost'!$A:$AU,MATCH($C708,'Production cost'!$AU:$AU,0),11),"")+IFERROR(INDEX('Production cost'!$A:$AU,MATCH($C708,'Production cost'!$AU:$AU,0),12),""),"")</f>
        <v/>
      </c>
      <c r="I708" s="3153" t="str">
        <f ca="1">IFERROR(INDEX('Production cost'!$A:$AU,MATCH($C708,'Production cost'!$AU:$AU,0),18),"")</f>
        <v/>
      </c>
      <c r="J708" s="3153" t="str">
        <f ca="1">IFERROR(INDEX('Production cost'!$A:$AU,MATCH($C708,'Production cost'!$AU:$AU,0),18),"")</f>
        <v/>
      </c>
    </row>
    <row r="709" spans="2:10" ht="21.75">
      <c r="B709" s="3143" t="s">
        <v>3652</v>
      </c>
      <c r="C709" s="3143">
        <f t="shared" si="12"/>
        <v>129</v>
      </c>
      <c r="D709" s="3143" t="str">
        <f ca="1">IFERROR(INDEX('Production cost'!$A:$AU,MATCH($C709,'Production cost'!$AU:$AU,0),6),"")</f>
        <v/>
      </c>
      <c r="E709" s="3143" t="str">
        <f ca="1">IFERROR(INDEX('Production cost'!$A:$AU,MATCH($C709,'Production cost'!$AU:$AU,0),3),"")</f>
        <v/>
      </c>
      <c r="G709" s="3153" t="str">
        <f ca="1">IFERROR(INDEX('Production cost'!$A:$AU,MATCH($C709,'Production cost'!$AU:$AU,0),9),"")</f>
        <v/>
      </c>
      <c r="H709" s="3599" t="str">
        <f ca="1">IFERROR(IFERROR(INDEX('Production cost'!$A:$AU,MATCH($C709,'Production cost'!$AU:$AU,0),11),"")+IFERROR(INDEX('Production cost'!$A:$AU,MATCH($C709,'Production cost'!$AU:$AU,0),12),""),"")</f>
        <v/>
      </c>
      <c r="I709" s="3153" t="str">
        <f ca="1">IFERROR(INDEX('Production cost'!$A:$AU,MATCH($C709,'Production cost'!$AU:$AU,0),18),"")</f>
        <v/>
      </c>
      <c r="J709" s="3153" t="str">
        <f ca="1">IFERROR(INDEX('Production cost'!$A:$AU,MATCH($C709,'Production cost'!$AU:$AU,0),18),"")</f>
        <v/>
      </c>
    </row>
    <row r="710" spans="2:10" ht="21.75">
      <c r="B710" s="3143" t="s">
        <v>3652</v>
      </c>
      <c r="C710" s="3143">
        <f t="shared" si="12"/>
        <v>130</v>
      </c>
      <c r="D710" s="3143" t="str">
        <f ca="1">IFERROR(INDEX('Production cost'!$A:$AU,MATCH($C710,'Production cost'!$AU:$AU,0),6),"")</f>
        <v/>
      </c>
      <c r="E710" s="3143" t="str">
        <f ca="1">IFERROR(INDEX('Production cost'!$A:$AU,MATCH($C710,'Production cost'!$AU:$AU,0),3),"")</f>
        <v/>
      </c>
      <c r="G710" s="3153" t="str">
        <f ca="1">IFERROR(INDEX('Production cost'!$A:$AU,MATCH($C710,'Production cost'!$AU:$AU,0),9),"")</f>
        <v/>
      </c>
      <c r="H710" s="3599" t="str">
        <f ca="1">IFERROR(IFERROR(INDEX('Production cost'!$A:$AU,MATCH($C710,'Production cost'!$AU:$AU,0),11),"")+IFERROR(INDEX('Production cost'!$A:$AU,MATCH($C710,'Production cost'!$AU:$AU,0),12),""),"")</f>
        <v/>
      </c>
      <c r="I710" s="3153" t="str">
        <f ca="1">IFERROR(INDEX('Production cost'!$A:$AU,MATCH($C710,'Production cost'!$AU:$AU,0),18),"")</f>
        <v/>
      </c>
      <c r="J710" s="3153" t="str">
        <f ca="1">IFERROR(INDEX('Production cost'!$A:$AU,MATCH($C710,'Production cost'!$AU:$AU,0),18),"")</f>
        <v/>
      </c>
    </row>
    <row r="711" spans="2:10" ht="21.75">
      <c r="B711" s="3143" t="s">
        <v>3652</v>
      </c>
      <c r="C711" s="3143">
        <f t="shared" ref="C711:C774" si="13">C710+1</f>
        <v>131</v>
      </c>
      <c r="D711" s="3143" t="str">
        <f ca="1">IFERROR(INDEX('Production cost'!$A:$AU,MATCH($C711,'Production cost'!$AU:$AU,0),6),"")</f>
        <v/>
      </c>
      <c r="E711" s="3143" t="str">
        <f ca="1">IFERROR(INDEX('Production cost'!$A:$AU,MATCH($C711,'Production cost'!$AU:$AU,0),3),"")</f>
        <v/>
      </c>
      <c r="G711" s="3153" t="str">
        <f ca="1">IFERROR(INDEX('Production cost'!$A:$AU,MATCH($C711,'Production cost'!$AU:$AU,0),9),"")</f>
        <v/>
      </c>
      <c r="H711" s="3599" t="str">
        <f ca="1">IFERROR(IFERROR(INDEX('Production cost'!$A:$AU,MATCH($C711,'Production cost'!$AU:$AU,0),11),"")+IFERROR(INDEX('Production cost'!$A:$AU,MATCH($C711,'Production cost'!$AU:$AU,0),12),""),"")</f>
        <v/>
      </c>
      <c r="I711" s="3153" t="str">
        <f ca="1">IFERROR(INDEX('Production cost'!$A:$AU,MATCH($C711,'Production cost'!$AU:$AU,0),18),"")</f>
        <v/>
      </c>
      <c r="J711" s="3153" t="str">
        <f ca="1">IFERROR(INDEX('Production cost'!$A:$AU,MATCH($C711,'Production cost'!$AU:$AU,0),18),"")</f>
        <v/>
      </c>
    </row>
    <row r="712" spans="2:10" ht="21.75">
      <c r="B712" s="3143" t="s">
        <v>3652</v>
      </c>
      <c r="C712" s="3143">
        <f t="shared" si="13"/>
        <v>132</v>
      </c>
      <c r="D712" s="3143" t="str">
        <f ca="1">IFERROR(INDEX('Production cost'!$A:$AU,MATCH($C712,'Production cost'!$AU:$AU,0),6),"")</f>
        <v/>
      </c>
      <c r="E712" s="3143" t="str">
        <f ca="1">IFERROR(INDEX('Production cost'!$A:$AU,MATCH($C712,'Production cost'!$AU:$AU,0),3),"")</f>
        <v/>
      </c>
      <c r="G712" s="3153" t="str">
        <f ca="1">IFERROR(INDEX('Production cost'!$A:$AU,MATCH($C712,'Production cost'!$AU:$AU,0),9),"")</f>
        <v/>
      </c>
      <c r="H712" s="3599" t="str">
        <f ca="1">IFERROR(IFERROR(INDEX('Production cost'!$A:$AU,MATCH($C712,'Production cost'!$AU:$AU,0),11),"")+IFERROR(INDEX('Production cost'!$A:$AU,MATCH($C712,'Production cost'!$AU:$AU,0),12),""),"")</f>
        <v/>
      </c>
      <c r="I712" s="3153" t="str">
        <f ca="1">IFERROR(INDEX('Production cost'!$A:$AU,MATCH($C712,'Production cost'!$AU:$AU,0),18),"")</f>
        <v/>
      </c>
      <c r="J712" s="3153" t="str">
        <f ca="1">IFERROR(INDEX('Production cost'!$A:$AU,MATCH($C712,'Production cost'!$AU:$AU,0),18),"")</f>
        <v/>
      </c>
    </row>
    <row r="713" spans="2:10" ht="21.75">
      <c r="B713" s="3143" t="s">
        <v>3652</v>
      </c>
      <c r="C713" s="3143">
        <f t="shared" si="13"/>
        <v>133</v>
      </c>
      <c r="D713" s="3143" t="str">
        <f ca="1">IFERROR(INDEX('Production cost'!$A:$AU,MATCH($C713,'Production cost'!$AU:$AU,0),6),"")</f>
        <v/>
      </c>
      <c r="E713" s="3143" t="str">
        <f ca="1">IFERROR(INDEX('Production cost'!$A:$AU,MATCH($C713,'Production cost'!$AU:$AU,0),3),"")</f>
        <v/>
      </c>
      <c r="G713" s="3153" t="str">
        <f ca="1">IFERROR(INDEX('Production cost'!$A:$AU,MATCH($C713,'Production cost'!$AU:$AU,0),9),"")</f>
        <v/>
      </c>
      <c r="H713" s="3599" t="str">
        <f ca="1">IFERROR(IFERROR(INDEX('Production cost'!$A:$AU,MATCH($C713,'Production cost'!$AU:$AU,0),11),"")+IFERROR(INDEX('Production cost'!$A:$AU,MATCH($C713,'Production cost'!$AU:$AU,0),12),""),"")</f>
        <v/>
      </c>
      <c r="I713" s="3153" t="str">
        <f ca="1">IFERROR(INDEX('Production cost'!$A:$AU,MATCH($C713,'Production cost'!$AU:$AU,0),18),"")</f>
        <v/>
      </c>
      <c r="J713" s="3153" t="str">
        <f ca="1">IFERROR(INDEX('Production cost'!$A:$AU,MATCH($C713,'Production cost'!$AU:$AU,0),18),"")</f>
        <v/>
      </c>
    </row>
    <row r="714" spans="2:10" ht="21.75">
      <c r="B714" s="3143" t="s">
        <v>3652</v>
      </c>
      <c r="C714" s="3143">
        <f t="shared" si="13"/>
        <v>134</v>
      </c>
      <c r="D714" s="3143" t="str">
        <f ca="1">IFERROR(INDEX('Production cost'!$A:$AU,MATCH($C714,'Production cost'!$AU:$AU,0),6),"")</f>
        <v/>
      </c>
      <c r="E714" s="3143" t="str">
        <f ca="1">IFERROR(INDEX('Production cost'!$A:$AU,MATCH($C714,'Production cost'!$AU:$AU,0),3),"")</f>
        <v/>
      </c>
      <c r="G714" s="3153" t="str">
        <f ca="1">IFERROR(INDEX('Production cost'!$A:$AU,MATCH($C714,'Production cost'!$AU:$AU,0),9),"")</f>
        <v/>
      </c>
      <c r="H714" s="3599" t="str">
        <f ca="1">IFERROR(IFERROR(INDEX('Production cost'!$A:$AU,MATCH($C714,'Production cost'!$AU:$AU,0),11),"")+IFERROR(INDEX('Production cost'!$A:$AU,MATCH($C714,'Production cost'!$AU:$AU,0),12),""),"")</f>
        <v/>
      </c>
      <c r="I714" s="3153" t="str">
        <f ca="1">IFERROR(INDEX('Production cost'!$A:$AU,MATCH($C714,'Production cost'!$AU:$AU,0),18),"")</f>
        <v/>
      </c>
      <c r="J714" s="3153" t="str">
        <f ca="1">IFERROR(INDEX('Production cost'!$A:$AU,MATCH($C714,'Production cost'!$AU:$AU,0),18),"")</f>
        <v/>
      </c>
    </row>
    <row r="715" spans="2:10" ht="21.75">
      <c r="B715" s="3143" t="s">
        <v>3652</v>
      </c>
      <c r="C715" s="3143">
        <f t="shared" si="13"/>
        <v>135</v>
      </c>
      <c r="D715" s="3143" t="str">
        <f ca="1">IFERROR(INDEX('Production cost'!$A:$AU,MATCH($C715,'Production cost'!$AU:$AU,0),6),"")</f>
        <v/>
      </c>
      <c r="E715" s="3143" t="str">
        <f ca="1">IFERROR(INDEX('Production cost'!$A:$AU,MATCH($C715,'Production cost'!$AU:$AU,0),3),"")</f>
        <v/>
      </c>
      <c r="G715" s="3153" t="str">
        <f ca="1">IFERROR(INDEX('Production cost'!$A:$AU,MATCH($C715,'Production cost'!$AU:$AU,0),9),"")</f>
        <v/>
      </c>
      <c r="H715" s="3599" t="str">
        <f ca="1">IFERROR(IFERROR(INDEX('Production cost'!$A:$AU,MATCH($C715,'Production cost'!$AU:$AU,0),11),"")+IFERROR(INDEX('Production cost'!$A:$AU,MATCH($C715,'Production cost'!$AU:$AU,0),12),""),"")</f>
        <v/>
      </c>
      <c r="I715" s="3153" t="str">
        <f ca="1">IFERROR(INDEX('Production cost'!$A:$AU,MATCH($C715,'Production cost'!$AU:$AU,0),18),"")</f>
        <v/>
      </c>
      <c r="J715" s="3153" t="str">
        <f ca="1">IFERROR(INDEX('Production cost'!$A:$AU,MATCH($C715,'Production cost'!$AU:$AU,0),18),"")</f>
        <v/>
      </c>
    </row>
    <row r="716" spans="2:10" ht="21.75">
      <c r="B716" s="3143" t="s">
        <v>3652</v>
      </c>
      <c r="C716" s="3143">
        <f t="shared" si="13"/>
        <v>136</v>
      </c>
      <c r="D716" s="3143" t="str">
        <f ca="1">IFERROR(INDEX('Production cost'!$A:$AU,MATCH($C716,'Production cost'!$AU:$AU,0),6),"")</f>
        <v/>
      </c>
      <c r="E716" s="3143" t="str">
        <f ca="1">IFERROR(INDEX('Production cost'!$A:$AU,MATCH($C716,'Production cost'!$AU:$AU,0),3),"")</f>
        <v/>
      </c>
      <c r="G716" s="3153" t="str">
        <f ca="1">IFERROR(INDEX('Production cost'!$A:$AU,MATCH($C716,'Production cost'!$AU:$AU,0),9),"")</f>
        <v/>
      </c>
      <c r="H716" s="3599" t="str">
        <f ca="1">IFERROR(IFERROR(INDEX('Production cost'!$A:$AU,MATCH($C716,'Production cost'!$AU:$AU,0),11),"")+IFERROR(INDEX('Production cost'!$A:$AU,MATCH($C716,'Production cost'!$AU:$AU,0),12),""),"")</f>
        <v/>
      </c>
      <c r="I716" s="3153" t="str">
        <f ca="1">IFERROR(INDEX('Production cost'!$A:$AU,MATCH($C716,'Production cost'!$AU:$AU,0),18),"")</f>
        <v/>
      </c>
      <c r="J716" s="3153" t="str">
        <f ca="1">IFERROR(INDEX('Production cost'!$A:$AU,MATCH($C716,'Production cost'!$AU:$AU,0),18),"")</f>
        <v/>
      </c>
    </row>
    <row r="717" spans="2:10" ht="21.75">
      <c r="B717" s="3143" t="s">
        <v>3652</v>
      </c>
      <c r="C717" s="3143">
        <f t="shared" si="13"/>
        <v>137</v>
      </c>
      <c r="D717" s="3143" t="str">
        <f ca="1">IFERROR(INDEX('Production cost'!$A:$AU,MATCH($C717,'Production cost'!$AU:$AU,0),6),"")</f>
        <v/>
      </c>
      <c r="E717" s="3143" t="str">
        <f ca="1">IFERROR(INDEX('Production cost'!$A:$AU,MATCH($C717,'Production cost'!$AU:$AU,0),3),"")</f>
        <v/>
      </c>
      <c r="G717" s="3153" t="str">
        <f ca="1">IFERROR(INDEX('Production cost'!$A:$AU,MATCH($C717,'Production cost'!$AU:$AU,0),9),"")</f>
        <v/>
      </c>
      <c r="H717" s="3599" t="str">
        <f ca="1">IFERROR(IFERROR(INDEX('Production cost'!$A:$AU,MATCH($C717,'Production cost'!$AU:$AU,0),11),"")+IFERROR(INDEX('Production cost'!$A:$AU,MATCH($C717,'Production cost'!$AU:$AU,0),12),""),"")</f>
        <v/>
      </c>
      <c r="I717" s="3153" t="str">
        <f ca="1">IFERROR(INDEX('Production cost'!$A:$AU,MATCH($C717,'Production cost'!$AU:$AU,0),18),"")</f>
        <v/>
      </c>
      <c r="J717" s="3153" t="str">
        <f ca="1">IFERROR(INDEX('Production cost'!$A:$AU,MATCH($C717,'Production cost'!$AU:$AU,0),18),"")</f>
        <v/>
      </c>
    </row>
    <row r="718" spans="2:10" ht="21.75">
      <c r="B718" s="3143" t="s">
        <v>3652</v>
      </c>
      <c r="C718" s="3143">
        <f t="shared" si="13"/>
        <v>138</v>
      </c>
      <c r="D718" s="3143" t="str">
        <f ca="1">IFERROR(INDEX('Production cost'!$A:$AU,MATCH($C718,'Production cost'!$AU:$AU,0),6),"")</f>
        <v/>
      </c>
      <c r="E718" s="3143" t="str">
        <f ca="1">IFERROR(INDEX('Production cost'!$A:$AU,MATCH($C718,'Production cost'!$AU:$AU,0),3),"")</f>
        <v/>
      </c>
      <c r="G718" s="3153" t="str">
        <f ca="1">IFERROR(INDEX('Production cost'!$A:$AU,MATCH($C718,'Production cost'!$AU:$AU,0),9),"")</f>
        <v/>
      </c>
      <c r="H718" s="3599" t="str">
        <f ca="1">IFERROR(IFERROR(INDEX('Production cost'!$A:$AU,MATCH($C718,'Production cost'!$AU:$AU,0),11),"")+IFERROR(INDEX('Production cost'!$A:$AU,MATCH($C718,'Production cost'!$AU:$AU,0),12),""),"")</f>
        <v/>
      </c>
      <c r="I718" s="3153" t="str">
        <f ca="1">IFERROR(INDEX('Production cost'!$A:$AU,MATCH($C718,'Production cost'!$AU:$AU,0),18),"")</f>
        <v/>
      </c>
      <c r="J718" s="3153" t="str">
        <f ca="1">IFERROR(INDEX('Production cost'!$A:$AU,MATCH($C718,'Production cost'!$AU:$AU,0),18),"")</f>
        <v/>
      </c>
    </row>
    <row r="719" spans="2:10" ht="21.75">
      <c r="B719" s="3143" t="s">
        <v>3652</v>
      </c>
      <c r="C719" s="3143">
        <f t="shared" si="13"/>
        <v>139</v>
      </c>
      <c r="D719" s="3143" t="str">
        <f ca="1">IFERROR(INDEX('Production cost'!$A:$AU,MATCH($C719,'Production cost'!$AU:$AU,0),6),"")</f>
        <v/>
      </c>
      <c r="E719" s="3143" t="str">
        <f ca="1">IFERROR(INDEX('Production cost'!$A:$AU,MATCH($C719,'Production cost'!$AU:$AU,0),3),"")</f>
        <v/>
      </c>
      <c r="G719" s="3153" t="str">
        <f ca="1">IFERROR(INDEX('Production cost'!$A:$AU,MATCH($C719,'Production cost'!$AU:$AU,0),9),"")</f>
        <v/>
      </c>
      <c r="H719" s="3599" t="str">
        <f ca="1">IFERROR(IFERROR(INDEX('Production cost'!$A:$AU,MATCH($C719,'Production cost'!$AU:$AU,0),11),"")+IFERROR(INDEX('Production cost'!$A:$AU,MATCH($C719,'Production cost'!$AU:$AU,0),12),""),"")</f>
        <v/>
      </c>
      <c r="I719" s="3153" t="str">
        <f ca="1">IFERROR(INDEX('Production cost'!$A:$AU,MATCH($C719,'Production cost'!$AU:$AU,0),18),"")</f>
        <v/>
      </c>
      <c r="J719" s="3153" t="str">
        <f ca="1">IFERROR(INDEX('Production cost'!$A:$AU,MATCH($C719,'Production cost'!$AU:$AU,0),18),"")</f>
        <v/>
      </c>
    </row>
    <row r="720" spans="2:10" ht="21.75">
      <c r="B720" s="3143" t="s">
        <v>3652</v>
      </c>
      <c r="C720" s="3143">
        <f t="shared" si="13"/>
        <v>140</v>
      </c>
      <c r="D720" s="3143" t="str">
        <f ca="1">IFERROR(INDEX('Production cost'!$A:$AU,MATCH($C720,'Production cost'!$AU:$AU,0),6),"")</f>
        <v/>
      </c>
      <c r="E720" s="3143" t="str">
        <f ca="1">IFERROR(INDEX('Production cost'!$A:$AU,MATCH($C720,'Production cost'!$AU:$AU,0),3),"")</f>
        <v/>
      </c>
      <c r="G720" s="3153" t="str">
        <f ca="1">IFERROR(INDEX('Production cost'!$A:$AU,MATCH($C720,'Production cost'!$AU:$AU,0),9),"")</f>
        <v/>
      </c>
      <c r="H720" s="3599" t="str">
        <f ca="1">IFERROR(IFERROR(INDEX('Production cost'!$A:$AU,MATCH($C720,'Production cost'!$AU:$AU,0),11),"")+IFERROR(INDEX('Production cost'!$A:$AU,MATCH($C720,'Production cost'!$AU:$AU,0),12),""),"")</f>
        <v/>
      </c>
      <c r="I720" s="3153" t="str">
        <f ca="1">IFERROR(INDEX('Production cost'!$A:$AU,MATCH($C720,'Production cost'!$AU:$AU,0),18),"")</f>
        <v/>
      </c>
      <c r="J720" s="3153" t="str">
        <f ca="1">IFERROR(INDEX('Production cost'!$A:$AU,MATCH($C720,'Production cost'!$AU:$AU,0),18),"")</f>
        <v/>
      </c>
    </row>
    <row r="721" spans="2:10" ht="21.75">
      <c r="B721" s="3143" t="s">
        <v>3652</v>
      </c>
      <c r="C721" s="3143">
        <f t="shared" si="13"/>
        <v>141</v>
      </c>
      <c r="D721" s="3143" t="str">
        <f ca="1">IFERROR(INDEX('Production cost'!$A:$AU,MATCH($C721,'Production cost'!$AU:$AU,0),6),"")</f>
        <v/>
      </c>
      <c r="E721" s="3143" t="str">
        <f ca="1">IFERROR(INDEX('Production cost'!$A:$AU,MATCH($C721,'Production cost'!$AU:$AU,0),3),"")</f>
        <v/>
      </c>
      <c r="G721" s="3153" t="str">
        <f ca="1">IFERROR(INDEX('Production cost'!$A:$AU,MATCH($C721,'Production cost'!$AU:$AU,0),9),"")</f>
        <v/>
      </c>
      <c r="H721" s="3599" t="str">
        <f ca="1">IFERROR(IFERROR(INDEX('Production cost'!$A:$AU,MATCH($C721,'Production cost'!$AU:$AU,0),11),"")+IFERROR(INDEX('Production cost'!$A:$AU,MATCH($C721,'Production cost'!$AU:$AU,0),12),""),"")</f>
        <v/>
      </c>
      <c r="I721" s="3153" t="str">
        <f ca="1">IFERROR(INDEX('Production cost'!$A:$AU,MATCH($C721,'Production cost'!$AU:$AU,0),18),"")</f>
        <v/>
      </c>
      <c r="J721" s="3153" t="str">
        <f ca="1">IFERROR(INDEX('Production cost'!$A:$AU,MATCH($C721,'Production cost'!$AU:$AU,0),18),"")</f>
        <v/>
      </c>
    </row>
    <row r="722" spans="2:10" ht="21.75">
      <c r="B722" s="3143" t="s">
        <v>3652</v>
      </c>
      <c r="C722" s="3143">
        <f t="shared" si="13"/>
        <v>142</v>
      </c>
      <c r="D722" s="3143" t="str">
        <f ca="1">IFERROR(INDEX('Production cost'!$A:$AU,MATCH($C722,'Production cost'!$AU:$AU,0),6),"")</f>
        <v/>
      </c>
      <c r="E722" s="3143" t="str">
        <f ca="1">IFERROR(INDEX('Production cost'!$A:$AU,MATCH($C722,'Production cost'!$AU:$AU,0),3),"")</f>
        <v/>
      </c>
      <c r="G722" s="3153" t="str">
        <f ca="1">IFERROR(INDEX('Production cost'!$A:$AU,MATCH($C722,'Production cost'!$AU:$AU,0),9),"")</f>
        <v/>
      </c>
      <c r="H722" s="3599" t="str">
        <f ca="1">IFERROR(IFERROR(INDEX('Production cost'!$A:$AU,MATCH($C722,'Production cost'!$AU:$AU,0),11),"")+IFERROR(INDEX('Production cost'!$A:$AU,MATCH($C722,'Production cost'!$AU:$AU,0),12),""),"")</f>
        <v/>
      </c>
      <c r="I722" s="3153" t="str">
        <f ca="1">IFERROR(INDEX('Production cost'!$A:$AU,MATCH($C722,'Production cost'!$AU:$AU,0),18),"")</f>
        <v/>
      </c>
      <c r="J722" s="3153" t="str">
        <f ca="1">IFERROR(INDEX('Production cost'!$A:$AU,MATCH($C722,'Production cost'!$AU:$AU,0),18),"")</f>
        <v/>
      </c>
    </row>
    <row r="723" spans="2:10" ht="21.75">
      <c r="B723" s="3143" t="s">
        <v>3652</v>
      </c>
      <c r="C723" s="3143">
        <f t="shared" si="13"/>
        <v>143</v>
      </c>
      <c r="D723" s="3143" t="str">
        <f ca="1">IFERROR(INDEX('Production cost'!$A:$AU,MATCH($C723,'Production cost'!$AU:$AU,0),6),"")</f>
        <v/>
      </c>
      <c r="E723" s="3143" t="str">
        <f ca="1">IFERROR(INDEX('Production cost'!$A:$AU,MATCH($C723,'Production cost'!$AU:$AU,0),3),"")</f>
        <v/>
      </c>
      <c r="G723" s="3153" t="str">
        <f ca="1">IFERROR(INDEX('Production cost'!$A:$AU,MATCH($C723,'Production cost'!$AU:$AU,0),9),"")</f>
        <v/>
      </c>
      <c r="H723" s="3599" t="str">
        <f ca="1">IFERROR(IFERROR(INDEX('Production cost'!$A:$AU,MATCH($C723,'Production cost'!$AU:$AU,0),11),"")+IFERROR(INDEX('Production cost'!$A:$AU,MATCH($C723,'Production cost'!$AU:$AU,0),12),""),"")</f>
        <v/>
      </c>
      <c r="I723" s="3153" t="str">
        <f ca="1">IFERROR(INDEX('Production cost'!$A:$AU,MATCH($C723,'Production cost'!$AU:$AU,0),18),"")</f>
        <v/>
      </c>
      <c r="J723" s="3153" t="str">
        <f ca="1">IFERROR(INDEX('Production cost'!$A:$AU,MATCH($C723,'Production cost'!$AU:$AU,0),18),"")</f>
        <v/>
      </c>
    </row>
    <row r="724" spans="2:10" ht="21.75">
      <c r="B724" s="3143" t="s">
        <v>3652</v>
      </c>
      <c r="C724" s="3143">
        <f t="shared" si="13"/>
        <v>144</v>
      </c>
      <c r="D724" s="3143" t="str">
        <f ca="1">IFERROR(INDEX('Production cost'!$A:$AU,MATCH($C724,'Production cost'!$AU:$AU,0),6),"")</f>
        <v/>
      </c>
      <c r="E724" s="3143" t="str">
        <f ca="1">IFERROR(INDEX('Production cost'!$A:$AU,MATCH($C724,'Production cost'!$AU:$AU,0),3),"")</f>
        <v/>
      </c>
      <c r="G724" s="3153" t="str">
        <f ca="1">IFERROR(INDEX('Production cost'!$A:$AU,MATCH($C724,'Production cost'!$AU:$AU,0),9),"")</f>
        <v/>
      </c>
      <c r="H724" s="3599" t="str">
        <f ca="1">IFERROR(IFERROR(INDEX('Production cost'!$A:$AU,MATCH($C724,'Production cost'!$AU:$AU,0),11),"")+IFERROR(INDEX('Production cost'!$A:$AU,MATCH($C724,'Production cost'!$AU:$AU,0),12),""),"")</f>
        <v/>
      </c>
      <c r="I724" s="3153" t="str">
        <f ca="1">IFERROR(INDEX('Production cost'!$A:$AU,MATCH($C724,'Production cost'!$AU:$AU,0),18),"")</f>
        <v/>
      </c>
      <c r="J724" s="3153" t="str">
        <f ca="1">IFERROR(INDEX('Production cost'!$A:$AU,MATCH($C724,'Production cost'!$AU:$AU,0),18),"")</f>
        <v/>
      </c>
    </row>
    <row r="725" spans="2:10" ht="21.75">
      <c r="B725" s="3143" t="s">
        <v>3652</v>
      </c>
      <c r="C725" s="3143">
        <f t="shared" si="13"/>
        <v>145</v>
      </c>
      <c r="D725" s="3143" t="str">
        <f ca="1">IFERROR(INDEX('Production cost'!$A:$AU,MATCH($C725,'Production cost'!$AU:$AU,0),6),"")</f>
        <v/>
      </c>
      <c r="E725" s="3143" t="str">
        <f ca="1">IFERROR(INDEX('Production cost'!$A:$AU,MATCH($C725,'Production cost'!$AU:$AU,0),3),"")</f>
        <v/>
      </c>
      <c r="G725" s="3153" t="str">
        <f ca="1">IFERROR(INDEX('Production cost'!$A:$AU,MATCH($C725,'Production cost'!$AU:$AU,0),9),"")</f>
        <v/>
      </c>
      <c r="H725" s="3599" t="str">
        <f ca="1">IFERROR(IFERROR(INDEX('Production cost'!$A:$AU,MATCH($C725,'Production cost'!$AU:$AU,0),11),"")+IFERROR(INDEX('Production cost'!$A:$AU,MATCH($C725,'Production cost'!$AU:$AU,0),12),""),"")</f>
        <v/>
      </c>
      <c r="I725" s="3153" t="str">
        <f ca="1">IFERROR(INDEX('Production cost'!$A:$AU,MATCH($C725,'Production cost'!$AU:$AU,0),18),"")</f>
        <v/>
      </c>
      <c r="J725" s="3153" t="str">
        <f ca="1">IFERROR(INDEX('Production cost'!$A:$AU,MATCH($C725,'Production cost'!$AU:$AU,0),18),"")</f>
        <v/>
      </c>
    </row>
    <row r="726" spans="2:10" ht="21.75">
      <c r="B726" s="3143" t="s">
        <v>3652</v>
      </c>
      <c r="C726" s="3143">
        <f t="shared" si="13"/>
        <v>146</v>
      </c>
      <c r="D726" s="3143" t="str">
        <f ca="1">IFERROR(INDEX('Production cost'!$A:$AU,MATCH($C726,'Production cost'!$AU:$AU,0),6),"")</f>
        <v/>
      </c>
      <c r="E726" s="3143" t="str">
        <f ca="1">IFERROR(INDEX('Production cost'!$A:$AU,MATCH($C726,'Production cost'!$AU:$AU,0),3),"")</f>
        <v/>
      </c>
      <c r="G726" s="3153" t="str">
        <f ca="1">IFERROR(INDEX('Production cost'!$A:$AU,MATCH($C726,'Production cost'!$AU:$AU,0),9),"")</f>
        <v/>
      </c>
      <c r="H726" s="3599" t="str">
        <f ca="1">IFERROR(IFERROR(INDEX('Production cost'!$A:$AU,MATCH($C726,'Production cost'!$AU:$AU,0),11),"")+IFERROR(INDEX('Production cost'!$A:$AU,MATCH($C726,'Production cost'!$AU:$AU,0),12),""),"")</f>
        <v/>
      </c>
      <c r="I726" s="3153" t="str">
        <f ca="1">IFERROR(INDEX('Production cost'!$A:$AU,MATCH($C726,'Production cost'!$AU:$AU,0),18),"")</f>
        <v/>
      </c>
      <c r="J726" s="3153" t="str">
        <f ca="1">IFERROR(INDEX('Production cost'!$A:$AU,MATCH($C726,'Production cost'!$AU:$AU,0),18),"")</f>
        <v/>
      </c>
    </row>
    <row r="727" spans="2:10" ht="21.75">
      <c r="B727" s="3143" t="s">
        <v>3652</v>
      </c>
      <c r="C727" s="3143">
        <f t="shared" si="13"/>
        <v>147</v>
      </c>
      <c r="D727" s="3143" t="str">
        <f ca="1">IFERROR(INDEX('Production cost'!$A:$AU,MATCH($C727,'Production cost'!$AU:$AU,0),6),"")</f>
        <v/>
      </c>
      <c r="E727" s="3143" t="str">
        <f ca="1">IFERROR(INDEX('Production cost'!$A:$AU,MATCH($C727,'Production cost'!$AU:$AU,0),3),"")</f>
        <v/>
      </c>
      <c r="G727" s="3153" t="str">
        <f ca="1">IFERROR(INDEX('Production cost'!$A:$AU,MATCH($C727,'Production cost'!$AU:$AU,0),9),"")</f>
        <v/>
      </c>
      <c r="H727" s="3599" t="str">
        <f ca="1">IFERROR(IFERROR(INDEX('Production cost'!$A:$AU,MATCH($C727,'Production cost'!$AU:$AU,0),11),"")+IFERROR(INDEX('Production cost'!$A:$AU,MATCH($C727,'Production cost'!$AU:$AU,0),12),""),"")</f>
        <v/>
      </c>
      <c r="I727" s="3153" t="str">
        <f ca="1">IFERROR(INDEX('Production cost'!$A:$AU,MATCH($C727,'Production cost'!$AU:$AU,0),18),"")</f>
        <v/>
      </c>
      <c r="J727" s="3153" t="str">
        <f ca="1">IFERROR(INDEX('Production cost'!$A:$AU,MATCH($C727,'Production cost'!$AU:$AU,0),18),"")</f>
        <v/>
      </c>
    </row>
    <row r="728" spans="2:10" ht="21.75">
      <c r="B728" s="3143" t="s">
        <v>3652</v>
      </c>
      <c r="C728" s="3143">
        <f t="shared" si="13"/>
        <v>148</v>
      </c>
      <c r="D728" s="3143" t="str">
        <f ca="1">IFERROR(INDEX('Production cost'!$A:$AU,MATCH($C728,'Production cost'!$AU:$AU,0),6),"")</f>
        <v/>
      </c>
      <c r="E728" s="3143" t="str">
        <f ca="1">IFERROR(INDEX('Production cost'!$A:$AU,MATCH($C728,'Production cost'!$AU:$AU,0),3),"")</f>
        <v/>
      </c>
      <c r="G728" s="3153" t="str">
        <f ca="1">IFERROR(INDEX('Production cost'!$A:$AU,MATCH($C728,'Production cost'!$AU:$AU,0),9),"")</f>
        <v/>
      </c>
      <c r="H728" s="3599" t="str">
        <f ca="1">IFERROR(IFERROR(INDEX('Production cost'!$A:$AU,MATCH($C728,'Production cost'!$AU:$AU,0),11),"")+IFERROR(INDEX('Production cost'!$A:$AU,MATCH($C728,'Production cost'!$AU:$AU,0),12),""),"")</f>
        <v/>
      </c>
      <c r="I728" s="3153" t="str">
        <f ca="1">IFERROR(INDEX('Production cost'!$A:$AU,MATCH($C728,'Production cost'!$AU:$AU,0),18),"")</f>
        <v/>
      </c>
      <c r="J728" s="3153" t="str">
        <f ca="1">IFERROR(INDEX('Production cost'!$A:$AU,MATCH($C728,'Production cost'!$AU:$AU,0),18),"")</f>
        <v/>
      </c>
    </row>
    <row r="729" spans="2:10" ht="21.75">
      <c r="B729" s="3143" t="s">
        <v>3652</v>
      </c>
      <c r="C729" s="3143">
        <f t="shared" si="13"/>
        <v>149</v>
      </c>
      <c r="D729" s="3143" t="str">
        <f ca="1">IFERROR(INDEX('Production cost'!$A:$AU,MATCH($C729,'Production cost'!$AU:$AU,0),6),"")</f>
        <v/>
      </c>
      <c r="E729" s="3143" t="str">
        <f ca="1">IFERROR(INDEX('Production cost'!$A:$AU,MATCH($C729,'Production cost'!$AU:$AU,0),3),"")</f>
        <v/>
      </c>
      <c r="G729" s="3153" t="str">
        <f ca="1">IFERROR(INDEX('Production cost'!$A:$AU,MATCH($C729,'Production cost'!$AU:$AU,0),9),"")</f>
        <v/>
      </c>
      <c r="H729" s="3599" t="str">
        <f ca="1">IFERROR(IFERROR(INDEX('Production cost'!$A:$AU,MATCH($C729,'Production cost'!$AU:$AU,0),11),"")+IFERROR(INDEX('Production cost'!$A:$AU,MATCH($C729,'Production cost'!$AU:$AU,0),12),""),"")</f>
        <v/>
      </c>
      <c r="I729" s="3153" t="str">
        <f ca="1">IFERROR(INDEX('Production cost'!$A:$AU,MATCH($C729,'Production cost'!$AU:$AU,0),18),"")</f>
        <v/>
      </c>
      <c r="J729" s="3153" t="str">
        <f ca="1">IFERROR(INDEX('Production cost'!$A:$AU,MATCH($C729,'Production cost'!$AU:$AU,0),18),"")</f>
        <v/>
      </c>
    </row>
    <row r="730" spans="2:10" ht="21.75">
      <c r="B730" s="3143" t="s">
        <v>3652</v>
      </c>
      <c r="C730" s="3143">
        <f t="shared" si="13"/>
        <v>150</v>
      </c>
      <c r="D730" s="3143" t="str">
        <f ca="1">IFERROR(INDEX('Production cost'!$A:$AU,MATCH($C730,'Production cost'!$AU:$AU,0),6),"")</f>
        <v/>
      </c>
      <c r="E730" s="3143" t="str">
        <f ca="1">IFERROR(INDEX('Production cost'!$A:$AU,MATCH($C730,'Production cost'!$AU:$AU,0),3),"")</f>
        <v/>
      </c>
      <c r="G730" s="3153" t="str">
        <f ca="1">IFERROR(INDEX('Production cost'!$A:$AU,MATCH($C730,'Production cost'!$AU:$AU,0),9),"")</f>
        <v/>
      </c>
      <c r="H730" s="3599" t="str">
        <f ca="1">IFERROR(IFERROR(INDEX('Production cost'!$A:$AU,MATCH($C730,'Production cost'!$AU:$AU,0),11),"")+IFERROR(INDEX('Production cost'!$A:$AU,MATCH($C730,'Production cost'!$AU:$AU,0),12),""),"")</f>
        <v/>
      </c>
      <c r="I730" s="3153" t="str">
        <f ca="1">IFERROR(INDEX('Production cost'!$A:$AU,MATCH($C730,'Production cost'!$AU:$AU,0),18),"")</f>
        <v/>
      </c>
      <c r="J730" s="3153" t="str">
        <f ca="1">IFERROR(INDEX('Production cost'!$A:$AU,MATCH($C730,'Production cost'!$AU:$AU,0),18),"")</f>
        <v/>
      </c>
    </row>
    <row r="731" spans="2:10" ht="21.75">
      <c r="B731" s="3143" t="s">
        <v>3652</v>
      </c>
      <c r="C731" s="3143">
        <f t="shared" si="13"/>
        <v>151</v>
      </c>
      <c r="D731" s="3143" t="str">
        <f ca="1">IFERROR(INDEX('Production cost'!$A:$AU,MATCH($C731,'Production cost'!$AU:$AU,0),6),"")</f>
        <v/>
      </c>
      <c r="E731" s="3143" t="str">
        <f ca="1">IFERROR(INDEX('Production cost'!$A:$AU,MATCH($C731,'Production cost'!$AU:$AU,0),3),"")</f>
        <v/>
      </c>
      <c r="G731" s="3153" t="str">
        <f ca="1">IFERROR(INDEX('Production cost'!$A:$AU,MATCH($C731,'Production cost'!$AU:$AU,0),9),"")</f>
        <v/>
      </c>
      <c r="H731" s="3599" t="str">
        <f ca="1">IFERROR(IFERROR(INDEX('Production cost'!$A:$AU,MATCH($C731,'Production cost'!$AU:$AU,0),11),"")+IFERROR(INDEX('Production cost'!$A:$AU,MATCH($C731,'Production cost'!$AU:$AU,0),12),""),"")</f>
        <v/>
      </c>
      <c r="I731" s="3153" t="str">
        <f ca="1">IFERROR(INDEX('Production cost'!$A:$AU,MATCH($C731,'Production cost'!$AU:$AU,0),18),"")</f>
        <v/>
      </c>
      <c r="J731" s="3153" t="str">
        <f ca="1">IFERROR(INDEX('Production cost'!$A:$AU,MATCH($C731,'Production cost'!$AU:$AU,0),18),"")</f>
        <v/>
      </c>
    </row>
    <row r="732" spans="2:10" ht="21.75">
      <c r="B732" s="3143" t="s">
        <v>3652</v>
      </c>
      <c r="C732" s="3143">
        <f t="shared" si="13"/>
        <v>152</v>
      </c>
      <c r="D732" s="3143" t="str">
        <f ca="1">IFERROR(INDEX('Production cost'!$A:$AU,MATCH($C732,'Production cost'!$AU:$AU,0),6),"")</f>
        <v/>
      </c>
      <c r="E732" s="3143" t="str">
        <f ca="1">IFERROR(INDEX('Production cost'!$A:$AU,MATCH($C732,'Production cost'!$AU:$AU,0),3),"")</f>
        <v/>
      </c>
      <c r="G732" s="3153" t="str">
        <f ca="1">IFERROR(INDEX('Production cost'!$A:$AU,MATCH($C732,'Production cost'!$AU:$AU,0),9),"")</f>
        <v/>
      </c>
      <c r="H732" s="3599" t="str">
        <f ca="1">IFERROR(IFERROR(INDEX('Production cost'!$A:$AU,MATCH($C732,'Production cost'!$AU:$AU,0),11),"")+IFERROR(INDEX('Production cost'!$A:$AU,MATCH($C732,'Production cost'!$AU:$AU,0),12),""),"")</f>
        <v/>
      </c>
      <c r="I732" s="3153" t="str">
        <f ca="1">IFERROR(INDEX('Production cost'!$A:$AU,MATCH($C732,'Production cost'!$AU:$AU,0),18),"")</f>
        <v/>
      </c>
      <c r="J732" s="3153" t="str">
        <f ca="1">IFERROR(INDEX('Production cost'!$A:$AU,MATCH($C732,'Production cost'!$AU:$AU,0),18),"")</f>
        <v/>
      </c>
    </row>
    <row r="733" spans="2:10" ht="21.75">
      <c r="B733" s="3143" t="s">
        <v>3652</v>
      </c>
      <c r="C733" s="3143">
        <f t="shared" si="13"/>
        <v>153</v>
      </c>
      <c r="D733" s="3143" t="str">
        <f ca="1">IFERROR(INDEX('Production cost'!$A:$AU,MATCH($C733,'Production cost'!$AU:$AU,0),6),"")</f>
        <v/>
      </c>
      <c r="E733" s="3143" t="str">
        <f ca="1">IFERROR(INDEX('Production cost'!$A:$AU,MATCH($C733,'Production cost'!$AU:$AU,0),3),"")</f>
        <v/>
      </c>
      <c r="G733" s="3153" t="str">
        <f ca="1">IFERROR(INDEX('Production cost'!$A:$AU,MATCH($C733,'Production cost'!$AU:$AU,0),9),"")</f>
        <v/>
      </c>
      <c r="H733" s="3599" t="str">
        <f ca="1">IFERROR(IFERROR(INDEX('Production cost'!$A:$AU,MATCH($C733,'Production cost'!$AU:$AU,0),11),"")+IFERROR(INDEX('Production cost'!$A:$AU,MATCH($C733,'Production cost'!$AU:$AU,0),12),""),"")</f>
        <v/>
      </c>
      <c r="I733" s="3153" t="str">
        <f ca="1">IFERROR(INDEX('Production cost'!$A:$AU,MATCH($C733,'Production cost'!$AU:$AU,0),18),"")</f>
        <v/>
      </c>
      <c r="J733" s="3153" t="str">
        <f ca="1">IFERROR(INDEX('Production cost'!$A:$AU,MATCH($C733,'Production cost'!$AU:$AU,0),18),"")</f>
        <v/>
      </c>
    </row>
    <row r="734" spans="2:10" ht="21.75">
      <c r="B734" s="3143" t="s">
        <v>3652</v>
      </c>
      <c r="C734" s="3143">
        <f t="shared" si="13"/>
        <v>154</v>
      </c>
      <c r="D734" s="3143" t="str">
        <f ca="1">IFERROR(INDEX('Production cost'!$A:$AU,MATCH($C734,'Production cost'!$AU:$AU,0),6),"")</f>
        <v/>
      </c>
      <c r="E734" s="3143" t="str">
        <f ca="1">IFERROR(INDEX('Production cost'!$A:$AU,MATCH($C734,'Production cost'!$AU:$AU,0),3),"")</f>
        <v/>
      </c>
      <c r="G734" s="3153" t="str">
        <f ca="1">IFERROR(INDEX('Production cost'!$A:$AU,MATCH($C734,'Production cost'!$AU:$AU,0),9),"")</f>
        <v/>
      </c>
      <c r="H734" s="3599" t="str">
        <f ca="1">IFERROR(IFERROR(INDEX('Production cost'!$A:$AU,MATCH($C734,'Production cost'!$AU:$AU,0),11),"")+IFERROR(INDEX('Production cost'!$A:$AU,MATCH($C734,'Production cost'!$AU:$AU,0),12),""),"")</f>
        <v/>
      </c>
      <c r="I734" s="3153" t="str">
        <f ca="1">IFERROR(INDEX('Production cost'!$A:$AU,MATCH($C734,'Production cost'!$AU:$AU,0),18),"")</f>
        <v/>
      </c>
      <c r="J734" s="3153" t="str">
        <f ca="1">IFERROR(INDEX('Production cost'!$A:$AU,MATCH($C734,'Production cost'!$AU:$AU,0),18),"")</f>
        <v/>
      </c>
    </row>
    <row r="735" spans="2:10" ht="21.75">
      <c r="B735" s="3143" t="s">
        <v>3652</v>
      </c>
      <c r="C735" s="3143">
        <f t="shared" si="13"/>
        <v>155</v>
      </c>
      <c r="D735" s="3143" t="str">
        <f ca="1">IFERROR(INDEX('Production cost'!$A:$AU,MATCH($C735,'Production cost'!$AU:$AU,0),6),"")</f>
        <v/>
      </c>
      <c r="E735" s="3143" t="str">
        <f ca="1">IFERROR(INDEX('Production cost'!$A:$AU,MATCH($C735,'Production cost'!$AU:$AU,0),3),"")</f>
        <v/>
      </c>
      <c r="G735" s="3153" t="str">
        <f ca="1">IFERROR(INDEX('Production cost'!$A:$AU,MATCH($C735,'Production cost'!$AU:$AU,0),9),"")</f>
        <v/>
      </c>
      <c r="H735" s="3599" t="str">
        <f ca="1">IFERROR(IFERROR(INDEX('Production cost'!$A:$AU,MATCH($C735,'Production cost'!$AU:$AU,0),11),"")+IFERROR(INDEX('Production cost'!$A:$AU,MATCH($C735,'Production cost'!$AU:$AU,0),12),""),"")</f>
        <v/>
      </c>
      <c r="I735" s="3153" t="str">
        <f ca="1">IFERROR(INDEX('Production cost'!$A:$AU,MATCH($C735,'Production cost'!$AU:$AU,0),18),"")</f>
        <v/>
      </c>
      <c r="J735" s="3153" t="str">
        <f ca="1">IFERROR(INDEX('Production cost'!$A:$AU,MATCH($C735,'Production cost'!$AU:$AU,0),18),"")</f>
        <v/>
      </c>
    </row>
    <row r="736" spans="2:10" ht="21.75">
      <c r="B736" s="3143" t="s">
        <v>3652</v>
      </c>
      <c r="C736" s="3143">
        <f t="shared" si="13"/>
        <v>156</v>
      </c>
      <c r="D736" s="3143" t="str">
        <f ca="1">IFERROR(INDEX('Production cost'!$A:$AU,MATCH($C736,'Production cost'!$AU:$AU,0),6),"")</f>
        <v/>
      </c>
      <c r="E736" s="3143" t="str">
        <f ca="1">IFERROR(INDEX('Production cost'!$A:$AU,MATCH($C736,'Production cost'!$AU:$AU,0),3),"")</f>
        <v/>
      </c>
      <c r="G736" s="3153" t="str">
        <f ca="1">IFERROR(INDEX('Production cost'!$A:$AU,MATCH($C736,'Production cost'!$AU:$AU,0),9),"")</f>
        <v/>
      </c>
      <c r="H736" s="3599" t="str">
        <f ca="1">IFERROR(IFERROR(INDEX('Production cost'!$A:$AU,MATCH($C736,'Production cost'!$AU:$AU,0),11),"")+IFERROR(INDEX('Production cost'!$A:$AU,MATCH($C736,'Production cost'!$AU:$AU,0),12),""),"")</f>
        <v/>
      </c>
      <c r="I736" s="3153" t="str">
        <f ca="1">IFERROR(INDEX('Production cost'!$A:$AU,MATCH($C736,'Production cost'!$AU:$AU,0),18),"")</f>
        <v/>
      </c>
      <c r="J736" s="3153" t="str">
        <f ca="1">IFERROR(INDEX('Production cost'!$A:$AU,MATCH($C736,'Production cost'!$AU:$AU,0),18),"")</f>
        <v/>
      </c>
    </row>
    <row r="737" spans="2:10" ht="21.75">
      <c r="B737" s="3143" t="s">
        <v>3652</v>
      </c>
      <c r="C737" s="3143">
        <f t="shared" si="13"/>
        <v>157</v>
      </c>
      <c r="D737" s="3143" t="str">
        <f ca="1">IFERROR(INDEX('Production cost'!$A:$AU,MATCH($C737,'Production cost'!$AU:$AU,0),6),"")</f>
        <v/>
      </c>
      <c r="E737" s="3143" t="str">
        <f ca="1">IFERROR(INDEX('Production cost'!$A:$AU,MATCH($C737,'Production cost'!$AU:$AU,0),3),"")</f>
        <v/>
      </c>
      <c r="G737" s="3153" t="str">
        <f ca="1">IFERROR(INDEX('Production cost'!$A:$AU,MATCH($C737,'Production cost'!$AU:$AU,0),9),"")</f>
        <v/>
      </c>
      <c r="H737" s="3599" t="str">
        <f ca="1">IFERROR(IFERROR(INDEX('Production cost'!$A:$AU,MATCH($C737,'Production cost'!$AU:$AU,0),11),"")+IFERROR(INDEX('Production cost'!$A:$AU,MATCH($C737,'Production cost'!$AU:$AU,0),12),""),"")</f>
        <v/>
      </c>
      <c r="I737" s="3153" t="str">
        <f ca="1">IFERROR(INDEX('Production cost'!$A:$AU,MATCH($C737,'Production cost'!$AU:$AU,0),18),"")</f>
        <v/>
      </c>
      <c r="J737" s="3153" t="str">
        <f ca="1">IFERROR(INDEX('Production cost'!$A:$AU,MATCH($C737,'Production cost'!$AU:$AU,0),18),"")</f>
        <v/>
      </c>
    </row>
    <row r="738" spans="2:10" ht="21.75">
      <c r="B738" s="3143" t="s">
        <v>3652</v>
      </c>
      <c r="C738" s="3143">
        <f t="shared" si="13"/>
        <v>158</v>
      </c>
      <c r="D738" s="3143" t="str">
        <f ca="1">IFERROR(INDEX('Production cost'!$A:$AU,MATCH($C738,'Production cost'!$AU:$AU,0),6),"")</f>
        <v/>
      </c>
      <c r="E738" s="3143" t="str">
        <f ca="1">IFERROR(INDEX('Production cost'!$A:$AU,MATCH($C738,'Production cost'!$AU:$AU,0),3),"")</f>
        <v/>
      </c>
      <c r="G738" s="3153" t="str">
        <f ca="1">IFERROR(INDEX('Production cost'!$A:$AU,MATCH($C738,'Production cost'!$AU:$AU,0),9),"")</f>
        <v/>
      </c>
      <c r="H738" s="3599" t="str">
        <f ca="1">IFERROR(IFERROR(INDEX('Production cost'!$A:$AU,MATCH($C738,'Production cost'!$AU:$AU,0),11),"")+IFERROR(INDEX('Production cost'!$A:$AU,MATCH($C738,'Production cost'!$AU:$AU,0),12),""),"")</f>
        <v/>
      </c>
      <c r="I738" s="3153" t="str">
        <f ca="1">IFERROR(INDEX('Production cost'!$A:$AU,MATCH($C738,'Production cost'!$AU:$AU,0),18),"")</f>
        <v/>
      </c>
      <c r="J738" s="3153" t="str">
        <f ca="1">IFERROR(INDEX('Production cost'!$A:$AU,MATCH($C738,'Production cost'!$AU:$AU,0),18),"")</f>
        <v/>
      </c>
    </row>
    <row r="739" spans="2:10" ht="21.75">
      <c r="B739" s="3143" t="s">
        <v>3652</v>
      </c>
      <c r="C739" s="3143">
        <f t="shared" si="13"/>
        <v>159</v>
      </c>
      <c r="D739" s="3143" t="str">
        <f ca="1">IFERROR(INDEX('Production cost'!$A:$AU,MATCH($C739,'Production cost'!$AU:$AU,0),6),"")</f>
        <v/>
      </c>
      <c r="E739" s="3143" t="str">
        <f ca="1">IFERROR(INDEX('Production cost'!$A:$AU,MATCH($C739,'Production cost'!$AU:$AU,0),3),"")</f>
        <v/>
      </c>
      <c r="G739" s="3153" t="str">
        <f ca="1">IFERROR(INDEX('Production cost'!$A:$AU,MATCH($C739,'Production cost'!$AU:$AU,0),9),"")</f>
        <v/>
      </c>
      <c r="H739" s="3599" t="str">
        <f ca="1">IFERROR(IFERROR(INDEX('Production cost'!$A:$AU,MATCH($C739,'Production cost'!$AU:$AU,0),11),"")+IFERROR(INDEX('Production cost'!$A:$AU,MATCH($C739,'Production cost'!$AU:$AU,0),12),""),"")</f>
        <v/>
      </c>
      <c r="I739" s="3153" t="str">
        <f ca="1">IFERROR(INDEX('Production cost'!$A:$AU,MATCH($C739,'Production cost'!$AU:$AU,0),18),"")</f>
        <v/>
      </c>
      <c r="J739" s="3153" t="str">
        <f ca="1">IFERROR(INDEX('Production cost'!$A:$AU,MATCH($C739,'Production cost'!$AU:$AU,0),18),"")</f>
        <v/>
      </c>
    </row>
    <row r="740" spans="2:10" ht="21.75">
      <c r="B740" s="3143" t="s">
        <v>3652</v>
      </c>
      <c r="C740" s="3143">
        <f t="shared" si="13"/>
        <v>160</v>
      </c>
      <c r="D740" s="3143" t="str">
        <f ca="1">IFERROR(INDEX('Production cost'!$A:$AU,MATCH($C740,'Production cost'!$AU:$AU,0),6),"")</f>
        <v/>
      </c>
      <c r="E740" s="3143" t="str">
        <f ca="1">IFERROR(INDEX('Production cost'!$A:$AU,MATCH($C740,'Production cost'!$AU:$AU,0),3),"")</f>
        <v/>
      </c>
      <c r="G740" s="3153" t="str">
        <f ca="1">IFERROR(INDEX('Production cost'!$A:$AU,MATCH($C740,'Production cost'!$AU:$AU,0),9),"")</f>
        <v/>
      </c>
      <c r="H740" s="3599" t="str">
        <f ca="1">IFERROR(IFERROR(INDEX('Production cost'!$A:$AU,MATCH($C740,'Production cost'!$AU:$AU,0),11),"")+IFERROR(INDEX('Production cost'!$A:$AU,MATCH($C740,'Production cost'!$AU:$AU,0),12),""),"")</f>
        <v/>
      </c>
      <c r="I740" s="3153" t="str">
        <f ca="1">IFERROR(INDEX('Production cost'!$A:$AU,MATCH($C740,'Production cost'!$AU:$AU,0),18),"")</f>
        <v/>
      </c>
      <c r="J740" s="3153" t="str">
        <f ca="1">IFERROR(INDEX('Production cost'!$A:$AU,MATCH($C740,'Production cost'!$AU:$AU,0),18),"")</f>
        <v/>
      </c>
    </row>
    <row r="741" spans="2:10" ht="21.75">
      <c r="B741" s="3143" t="s">
        <v>3652</v>
      </c>
      <c r="C741" s="3143">
        <f t="shared" si="13"/>
        <v>161</v>
      </c>
      <c r="D741" s="3143" t="str">
        <f ca="1">IFERROR(INDEX('Production cost'!$A:$AU,MATCH($C741,'Production cost'!$AU:$AU,0),6),"")</f>
        <v/>
      </c>
      <c r="E741" s="3143" t="str">
        <f ca="1">IFERROR(INDEX('Production cost'!$A:$AU,MATCH($C741,'Production cost'!$AU:$AU,0),3),"")</f>
        <v/>
      </c>
      <c r="G741" s="3153" t="str">
        <f ca="1">IFERROR(INDEX('Production cost'!$A:$AU,MATCH($C741,'Production cost'!$AU:$AU,0),9),"")</f>
        <v/>
      </c>
      <c r="H741" s="3599" t="str">
        <f ca="1">IFERROR(IFERROR(INDEX('Production cost'!$A:$AU,MATCH($C741,'Production cost'!$AU:$AU,0),11),"")+IFERROR(INDEX('Production cost'!$A:$AU,MATCH($C741,'Production cost'!$AU:$AU,0),12),""),"")</f>
        <v/>
      </c>
      <c r="I741" s="3153" t="str">
        <f ca="1">IFERROR(INDEX('Production cost'!$A:$AU,MATCH($C741,'Production cost'!$AU:$AU,0),18),"")</f>
        <v/>
      </c>
      <c r="J741" s="3153" t="str">
        <f ca="1">IFERROR(INDEX('Production cost'!$A:$AU,MATCH($C741,'Production cost'!$AU:$AU,0),18),"")</f>
        <v/>
      </c>
    </row>
    <row r="742" spans="2:10" ht="21.75">
      <c r="B742" s="3143" t="s">
        <v>3652</v>
      </c>
      <c r="C742" s="3143">
        <f t="shared" si="13"/>
        <v>162</v>
      </c>
      <c r="D742" s="3143" t="str">
        <f ca="1">IFERROR(INDEX('Production cost'!$A:$AU,MATCH($C742,'Production cost'!$AU:$AU,0),6),"")</f>
        <v/>
      </c>
      <c r="E742" s="3143" t="str">
        <f ca="1">IFERROR(INDEX('Production cost'!$A:$AU,MATCH($C742,'Production cost'!$AU:$AU,0),3),"")</f>
        <v/>
      </c>
      <c r="G742" s="3153" t="str">
        <f ca="1">IFERROR(INDEX('Production cost'!$A:$AU,MATCH($C742,'Production cost'!$AU:$AU,0),9),"")</f>
        <v/>
      </c>
      <c r="H742" s="3599" t="str">
        <f ca="1">IFERROR(IFERROR(INDEX('Production cost'!$A:$AU,MATCH($C742,'Production cost'!$AU:$AU,0),11),"")+IFERROR(INDEX('Production cost'!$A:$AU,MATCH($C742,'Production cost'!$AU:$AU,0),12),""),"")</f>
        <v/>
      </c>
      <c r="I742" s="3153" t="str">
        <f ca="1">IFERROR(INDEX('Production cost'!$A:$AU,MATCH($C742,'Production cost'!$AU:$AU,0),18),"")</f>
        <v/>
      </c>
      <c r="J742" s="3153" t="str">
        <f ca="1">IFERROR(INDEX('Production cost'!$A:$AU,MATCH($C742,'Production cost'!$AU:$AU,0),18),"")</f>
        <v/>
      </c>
    </row>
    <row r="743" spans="2:10" ht="21.75">
      <c r="B743" s="3143" t="s">
        <v>3652</v>
      </c>
      <c r="C743" s="3143">
        <f t="shared" si="13"/>
        <v>163</v>
      </c>
      <c r="D743" s="3143" t="str">
        <f ca="1">IFERROR(INDEX('Production cost'!$A:$AU,MATCH($C743,'Production cost'!$AU:$AU,0),6),"")</f>
        <v/>
      </c>
      <c r="E743" s="3143" t="str">
        <f ca="1">IFERROR(INDEX('Production cost'!$A:$AU,MATCH($C743,'Production cost'!$AU:$AU,0),3),"")</f>
        <v/>
      </c>
      <c r="G743" s="3153" t="str">
        <f ca="1">IFERROR(INDEX('Production cost'!$A:$AU,MATCH($C743,'Production cost'!$AU:$AU,0),9),"")</f>
        <v/>
      </c>
      <c r="H743" s="3599" t="str">
        <f ca="1">IFERROR(IFERROR(INDEX('Production cost'!$A:$AU,MATCH($C743,'Production cost'!$AU:$AU,0),11),"")+IFERROR(INDEX('Production cost'!$A:$AU,MATCH($C743,'Production cost'!$AU:$AU,0),12),""),"")</f>
        <v/>
      </c>
      <c r="I743" s="3153" t="str">
        <f ca="1">IFERROR(INDEX('Production cost'!$A:$AU,MATCH($C743,'Production cost'!$AU:$AU,0),18),"")</f>
        <v/>
      </c>
      <c r="J743" s="3153" t="str">
        <f ca="1">IFERROR(INDEX('Production cost'!$A:$AU,MATCH($C743,'Production cost'!$AU:$AU,0),18),"")</f>
        <v/>
      </c>
    </row>
    <row r="744" spans="2:10" ht="21.75">
      <c r="B744" s="3143" t="s">
        <v>3652</v>
      </c>
      <c r="C744" s="3143">
        <f t="shared" si="13"/>
        <v>164</v>
      </c>
      <c r="D744" s="3143" t="str">
        <f ca="1">IFERROR(INDEX('Production cost'!$A:$AU,MATCH($C744,'Production cost'!$AU:$AU,0),6),"")</f>
        <v/>
      </c>
      <c r="E744" s="3143" t="str">
        <f ca="1">IFERROR(INDEX('Production cost'!$A:$AU,MATCH($C744,'Production cost'!$AU:$AU,0),3),"")</f>
        <v/>
      </c>
      <c r="G744" s="3153" t="str">
        <f ca="1">IFERROR(INDEX('Production cost'!$A:$AU,MATCH($C744,'Production cost'!$AU:$AU,0),9),"")</f>
        <v/>
      </c>
      <c r="H744" s="3599" t="str">
        <f ca="1">IFERROR(IFERROR(INDEX('Production cost'!$A:$AU,MATCH($C744,'Production cost'!$AU:$AU,0),11),"")+IFERROR(INDEX('Production cost'!$A:$AU,MATCH($C744,'Production cost'!$AU:$AU,0),12),""),"")</f>
        <v/>
      </c>
      <c r="I744" s="3153" t="str">
        <f ca="1">IFERROR(INDEX('Production cost'!$A:$AU,MATCH($C744,'Production cost'!$AU:$AU,0),18),"")</f>
        <v/>
      </c>
      <c r="J744" s="3153" t="str">
        <f ca="1">IFERROR(INDEX('Production cost'!$A:$AU,MATCH($C744,'Production cost'!$AU:$AU,0),18),"")</f>
        <v/>
      </c>
    </row>
    <row r="745" spans="2:10" ht="21.75">
      <c r="B745" s="3143" t="s">
        <v>3652</v>
      </c>
      <c r="C745" s="3143">
        <f t="shared" si="13"/>
        <v>165</v>
      </c>
      <c r="D745" s="3143" t="str">
        <f ca="1">IFERROR(INDEX('Production cost'!$A:$AU,MATCH($C745,'Production cost'!$AU:$AU,0),6),"")</f>
        <v/>
      </c>
      <c r="E745" s="3143" t="str">
        <f ca="1">IFERROR(INDEX('Production cost'!$A:$AU,MATCH($C745,'Production cost'!$AU:$AU,0),3),"")</f>
        <v/>
      </c>
      <c r="G745" s="3153" t="str">
        <f ca="1">IFERROR(INDEX('Production cost'!$A:$AU,MATCH($C745,'Production cost'!$AU:$AU,0),9),"")</f>
        <v/>
      </c>
      <c r="H745" s="3599" t="str">
        <f ca="1">IFERROR(IFERROR(INDEX('Production cost'!$A:$AU,MATCH($C745,'Production cost'!$AU:$AU,0),11),"")+IFERROR(INDEX('Production cost'!$A:$AU,MATCH($C745,'Production cost'!$AU:$AU,0),12),""),"")</f>
        <v/>
      </c>
      <c r="I745" s="3153" t="str">
        <f ca="1">IFERROR(INDEX('Production cost'!$A:$AU,MATCH($C745,'Production cost'!$AU:$AU,0),18),"")</f>
        <v/>
      </c>
      <c r="J745" s="3153" t="str">
        <f ca="1">IFERROR(INDEX('Production cost'!$A:$AU,MATCH($C745,'Production cost'!$AU:$AU,0),18),"")</f>
        <v/>
      </c>
    </row>
    <row r="746" spans="2:10" ht="21.75">
      <c r="B746" s="3143" t="s">
        <v>3652</v>
      </c>
      <c r="C746" s="3143">
        <f t="shared" si="13"/>
        <v>166</v>
      </c>
      <c r="D746" s="3143" t="str">
        <f ca="1">IFERROR(INDEX('Production cost'!$A:$AU,MATCH($C746,'Production cost'!$AU:$AU,0),6),"")</f>
        <v/>
      </c>
      <c r="E746" s="3143" t="str">
        <f ca="1">IFERROR(INDEX('Production cost'!$A:$AU,MATCH($C746,'Production cost'!$AU:$AU,0),3),"")</f>
        <v/>
      </c>
      <c r="G746" s="3153" t="str">
        <f ca="1">IFERROR(INDEX('Production cost'!$A:$AU,MATCH($C746,'Production cost'!$AU:$AU,0),9),"")</f>
        <v/>
      </c>
      <c r="H746" s="3599" t="str">
        <f ca="1">IFERROR(IFERROR(INDEX('Production cost'!$A:$AU,MATCH($C746,'Production cost'!$AU:$AU,0),11),"")+IFERROR(INDEX('Production cost'!$A:$AU,MATCH($C746,'Production cost'!$AU:$AU,0),12),""),"")</f>
        <v/>
      </c>
      <c r="I746" s="3153" t="str">
        <f ca="1">IFERROR(INDEX('Production cost'!$A:$AU,MATCH($C746,'Production cost'!$AU:$AU,0),18),"")</f>
        <v/>
      </c>
      <c r="J746" s="3153" t="str">
        <f ca="1">IFERROR(INDEX('Production cost'!$A:$AU,MATCH($C746,'Production cost'!$AU:$AU,0),18),"")</f>
        <v/>
      </c>
    </row>
    <row r="747" spans="2:10" ht="21.75">
      <c r="B747" s="3143" t="s">
        <v>3652</v>
      </c>
      <c r="C747" s="3143">
        <f t="shared" si="13"/>
        <v>167</v>
      </c>
      <c r="D747" s="3143" t="str">
        <f ca="1">IFERROR(INDEX('Production cost'!$A:$AU,MATCH($C747,'Production cost'!$AU:$AU,0),6),"")</f>
        <v/>
      </c>
      <c r="E747" s="3143" t="str">
        <f ca="1">IFERROR(INDEX('Production cost'!$A:$AU,MATCH($C747,'Production cost'!$AU:$AU,0),3),"")</f>
        <v/>
      </c>
      <c r="G747" s="3153" t="str">
        <f ca="1">IFERROR(INDEX('Production cost'!$A:$AU,MATCH($C747,'Production cost'!$AU:$AU,0),9),"")</f>
        <v/>
      </c>
      <c r="H747" s="3599" t="str">
        <f ca="1">IFERROR(IFERROR(INDEX('Production cost'!$A:$AU,MATCH($C747,'Production cost'!$AU:$AU,0),11),"")+IFERROR(INDEX('Production cost'!$A:$AU,MATCH($C747,'Production cost'!$AU:$AU,0),12),""),"")</f>
        <v/>
      </c>
      <c r="I747" s="3153" t="str">
        <f ca="1">IFERROR(INDEX('Production cost'!$A:$AU,MATCH($C747,'Production cost'!$AU:$AU,0),18),"")</f>
        <v/>
      </c>
      <c r="J747" s="3153" t="str">
        <f ca="1">IFERROR(INDEX('Production cost'!$A:$AU,MATCH($C747,'Production cost'!$AU:$AU,0),18),"")</f>
        <v/>
      </c>
    </row>
    <row r="748" spans="2:10" ht="21.75">
      <c r="B748" s="3143" t="s">
        <v>3652</v>
      </c>
      <c r="C748" s="3143">
        <f t="shared" si="13"/>
        <v>168</v>
      </c>
      <c r="D748" s="3143" t="str">
        <f ca="1">IFERROR(INDEX('Production cost'!$A:$AU,MATCH($C748,'Production cost'!$AU:$AU,0),6),"")</f>
        <v/>
      </c>
      <c r="E748" s="3143" t="str">
        <f ca="1">IFERROR(INDEX('Production cost'!$A:$AU,MATCH($C748,'Production cost'!$AU:$AU,0),3),"")</f>
        <v/>
      </c>
      <c r="G748" s="3153" t="str">
        <f ca="1">IFERROR(INDEX('Production cost'!$A:$AU,MATCH($C748,'Production cost'!$AU:$AU,0),9),"")</f>
        <v/>
      </c>
      <c r="H748" s="3599" t="str">
        <f ca="1">IFERROR(IFERROR(INDEX('Production cost'!$A:$AU,MATCH($C748,'Production cost'!$AU:$AU,0),11),"")+IFERROR(INDEX('Production cost'!$A:$AU,MATCH($C748,'Production cost'!$AU:$AU,0),12),""),"")</f>
        <v/>
      </c>
      <c r="I748" s="3153" t="str">
        <f ca="1">IFERROR(INDEX('Production cost'!$A:$AU,MATCH($C748,'Production cost'!$AU:$AU,0),18),"")</f>
        <v/>
      </c>
      <c r="J748" s="3153" t="str">
        <f ca="1">IFERROR(INDEX('Production cost'!$A:$AU,MATCH($C748,'Production cost'!$AU:$AU,0),18),"")</f>
        <v/>
      </c>
    </row>
    <row r="749" spans="2:10" ht="21.75">
      <c r="B749" s="3143" t="s">
        <v>3652</v>
      </c>
      <c r="C749" s="3143">
        <f t="shared" si="13"/>
        <v>169</v>
      </c>
      <c r="D749" s="3143" t="str">
        <f ca="1">IFERROR(INDEX('Production cost'!$A:$AU,MATCH($C749,'Production cost'!$AU:$AU,0),6),"")</f>
        <v/>
      </c>
      <c r="E749" s="3143" t="str">
        <f ca="1">IFERROR(INDEX('Production cost'!$A:$AU,MATCH($C749,'Production cost'!$AU:$AU,0),3),"")</f>
        <v/>
      </c>
      <c r="G749" s="3153" t="str">
        <f ca="1">IFERROR(INDEX('Production cost'!$A:$AU,MATCH($C749,'Production cost'!$AU:$AU,0),9),"")</f>
        <v/>
      </c>
      <c r="H749" s="3599" t="str">
        <f ca="1">IFERROR(IFERROR(INDEX('Production cost'!$A:$AU,MATCH($C749,'Production cost'!$AU:$AU,0),11),"")+IFERROR(INDEX('Production cost'!$A:$AU,MATCH($C749,'Production cost'!$AU:$AU,0),12),""),"")</f>
        <v/>
      </c>
      <c r="I749" s="3153" t="str">
        <f ca="1">IFERROR(INDEX('Production cost'!$A:$AU,MATCH($C749,'Production cost'!$AU:$AU,0),18),"")</f>
        <v/>
      </c>
      <c r="J749" s="3153" t="str">
        <f ca="1">IFERROR(INDEX('Production cost'!$A:$AU,MATCH($C749,'Production cost'!$AU:$AU,0),18),"")</f>
        <v/>
      </c>
    </row>
    <row r="750" spans="2:10" ht="21.75">
      <c r="B750" s="3143" t="s">
        <v>3652</v>
      </c>
      <c r="C750" s="3143">
        <f t="shared" si="13"/>
        <v>170</v>
      </c>
      <c r="D750" s="3143" t="str">
        <f ca="1">IFERROR(INDEX('Production cost'!$A:$AU,MATCH($C750,'Production cost'!$AU:$AU,0),6),"")</f>
        <v/>
      </c>
      <c r="E750" s="3143" t="str">
        <f ca="1">IFERROR(INDEX('Production cost'!$A:$AU,MATCH($C750,'Production cost'!$AU:$AU,0),3),"")</f>
        <v/>
      </c>
      <c r="G750" s="3153" t="str">
        <f ca="1">IFERROR(INDEX('Production cost'!$A:$AU,MATCH($C750,'Production cost'!$AU:$AU,0),9),"")</f>
        <v/>
      </c>
      <c r="H750" s="3599" t="str">
        <f ca="1">IFERROR(IFERROR(INDEX('Production cost'!$A:$AU,MATCH($C750,'Production cost'!$AU:$AU,0),11),"")+IFERROR(INDEX('Production cost'!$A:$AU,MATCH($C750,'Production cost'!$AU:$AU,0),12),""),"")</f>
        <v/>
      </c>
      <c r="I750" s="3153" t="str">
        <f ca="1">IFERROR(INDEX('Production cost'!$A:$AU,MATCH($C750,'Production cost'!$AU:$AU,0),18),"")</f>
        <v/>
      </c>
      <c r="J750" s="3153" t="str">
        <f ca="1">IFERROR(INDEX('Production cost'!$A:$AU,MATCH($C750,'Production cost'!$AU:$AU,0),18),"")</f>
        <v/>
      </c>
    </row>
    <row r="751" spans="2:10" ht="21.75">
      <c r="B751" s="3143" t="s">
        <v>3652</v>
      </c>
      <c r="C751" s="3143">
        <f t="shared" si="13"/>
        <v>171</v>
      </c>
      <c r="D751" s="3143" t="str">
        <f ca="1">IFERROR(INDEX('Production cost'!$A:$AU,MATCH($C751,'Production cost'!$AU:$AU,0),6),"")</f>
        <v/>
      </c>
      <c r="E751" s="3143" t="str">
        <f ca="1">IFERROR(INDEX('Production cost'!$A:$AU,MATCH($C751,'Production cost'!$AU:$AU,0),3),"")</f>
        <v/>
      </c>
      <c r="G751" s="3153" t="str">
        <f ca="1">IFERROR(INDEX('Production cost'!$A:$AU,MATCH($C751,'Production cost'!$AU:$AU,0),9),"")</f>
        <v/>
      </c>
      <c r="H751" s="3599" t="str">
        <f ca="1">IFERROR(IFERROR(INDEX('Production cost'!$A:$AU,MATCH($C751,'Production cost'!$AU:$AU,0),11),"")+IFERROR(INDEX('Production cost'!$A:$AU,MATCH($C751,'Production cost'!$AU:$AU,0),12),""),"")</f>
        <v/>
      </c>
      <c r="I751" s="3153" t="str">
        <f ca="1">IFERROR(INDEX('Production cost'!$A:$AU,MATCH($C751,'Production cost'!$AU:$AU,0),18),"")</f>
        <v/>
      </c>
      <c r="J751" s="3153" t="str">
        <f ca="1">IFERROR(INDEX('Production cost'!$A:$AU,MATCH($C751,'Production cost'!$AU:$AU,0),18),"")</f>
        <v/>
      </c>
    </row>
    <row r="752" spans="2:10" ht="21.75">
      <c r="B752" s="3143" t="s">
        <v>3652</v>
      </c>
      <c r="C752" s="3143">
        <f t="shared" si="13"/>
        <v>172</v>
      </c>
      <c r="D752" s="3143" t="str">
        <f ca="1">IFERROR(INDEX('Production cost'!$A:$AU,MATCH($C752,'Production cost'!$AU:$AU,0),6),"")</f>
        <v/>
      </c>
      <c r="E752" s="3143" t="str">
        <f ca="1">IFERROR(INDEX('Production cost'!$A:$AU,MATCH($C752,'Production cost'!$AU:$AU,0),3),"")</f>
        <v/>
      </c>
      <c r="G752" s="3153" t="str">
        <f ca="1">IFERROR(INDEX('Production cost'!$A:$AU,MATCH($C752,'Production cost'!$AU:$AU,0),9),"")</f>
        <v/>
      </c>
      <c r="H752" s="3599" t="str">
        <f ca="1">IFERROR(IFERROR(INDEX('Production cost'!$A:$AU,MATCH($C752,'Production cost'!$AU:$AU,0),11),"")+IFERROR(INDEX('Production cost'!$A:$AU,MATCH($C752,'Production cost'!$AU:$AU,0),12),""),"")</f>
        <v/>
      </c>
      <c r="I752" s="3153" t="str">
        <f ca="1">IFERROR(INDEX('Production cost'!$A:$AU,MATCH($C752,'Production cost'!$AU:$AU,0),18),"")</f>
        <v/>
      </c>
      <c r="J752" s="3153" t="str">
        <f ca="1">IFERROR(INDEX('Production cost'!$A:$AU,MATCH($C752,'Production cost'!$AU:$AU,0),18),"")</f>
        <v/>
      </c>
    </row>
    <row r="753" spans="2:10" ht="21.75">
      <c r="B753" s="3143" t="s">
        <v>3652</v>
      </c>
      <c r="C753" s="3143">
        <f t="shared" si="13"/>
        <v>173</v>
      </c>
      <c r="D753" s="3143" t="str">
        <f ca="1">IFERROR(INDEX('Production cost'!$A:$AU,MATCH($C753,'Production cost'!$AU:$AU,0),6),"")</f>
        <v/>
      </c>
      <c r="E753" s="3143" t="str">
        <f ca="1">IFERROR(INDEX('Production cost'!$A:$AU,MATCH($C753,'Production cost'!$AU:$AU,0),3),"")</f>
        <v/>
      </c>
      <c r="G753" s="3153" t="str">
        <f ca="1">IFERROR(INDEX('Production cost'!$A:$AU,MATCH($C753,'Production cost'!$AU:$AU,0),9),"")</f>
        <v/>
      </c>
      <c r="H753" s="3599" t="str">
        <f ca="1">IFERROR(IFERROR(INDEX('Production cost'!$A:$AU,MATCH($C753,'Production cost'!$AU:$AU,0),11),"")+IFERROR(INDEX('Production cost'!$A:$AU,MATCH($C753,'Production cost'!$AU:$AU,0),12),""),"")</f>
        <v/>
      </c>
      <c r="I753" s="3153" t="str">
        <f ca="1">IFERROR(INDEX('Production cost'!$A:$AU,MATCH($C753,'Production cost'!$AU:$AU,0),18),"")</f>
        <v/>
      </c>
      <c r="J753" s="3153" t="str">
        <f ca="1">IFERROR(INDEX('Production cost'!$A:$AU,MATCH($C753,'Production cost'!$AU:$AU,0),18),"")</f>
        <v/>
      </c>
    </row>
    <row r="754" spans="2:10" ht="21.75">
      <c r="B754" s="3143" t="s">
        <v>3652</v>
      </c>
      <c r="C754" s="3143">
        <f t="shared" si="13"/>
        <v>174</v>
      </c>
      <c r="D754" s="3143" t="str">
        <f ca="1">IFERROR(INDEX('Production cost'!$A:$AU,MATCH($C754,'Production cost'!$AU:$AU,0),6),"")</f>
        <v/>
      </c>
      <c r="E754" s="3143" t="str">
        <f ca="1">IFERROR(INDEX('Production cost'!$A:$AU,MATCH($C754,'Production cost'!$AU:$AU,0),3),"")</f>
        <v/>
      </c>
      <c r="G754" s="3153" t="str">
        <f ca="1">IFERROR(INDEX('Production cost'!$A:$AU,MATCH($C754,'Production cost'!$AU:$AU,0),9),"")</f>
        <v/>
      </c>
      <c r="H754" s="3599" t="str">
        <f ca="1">IFERROR(IFERROR(INDEX('Production cost'!$A:$AU,MATCH($C754,'Production cost'!$AU:$AU,0),11),"")+IFERROR(INDEX('Production cost'!$A:$AU,MATCH($C754,'Production cost'!$AU:$AU,0),12),""),"")</f>
        <v/>
      </c>
      <c r="I754" s="3153" t="str">
        <f ca="1">IFERROR(INDEX('Production cost'!$A:$AU,MATCH($C754,'Production cost'!$AU:$AU,0),18),"")</f>
        <v/>
      </c>
      <c r="J754" s="3153" t="str">
        <f ca="1">IFERROR(INDEX('Production cost'!$A:$AU,MATCH($C754,'Production cost'!$AU:$AU,0),18),"")</f>
        <v/>
      </c>
    </row>
    <row r="755" spans="2:10" ht="21.75">
      <c r="B755" s="3143" t="s">
        <v>3652</v>
      </c>
      <c r="C755" s="3143">
        <f t="shared" si="13"/>
        <v>175</v>
      </c>
      <c r="D755" s="3143" t="str">
        <f ca="1">IFERROR(INDEX('Production cost'!$A:$AU,MATCH($C755,'Production cost'!$AU:$AU,0),6),"")</f>
        <v/>
      </c>
      <c r="E755" s="3143" t="str">
        <f ca="1">IFERROR(INDEX('Production cost'!$A:$AU,MATCH($C755,'Production cost'!$AU:$AU,0),3),"")</f>
        <v/>
      </c>
      <c r="G755" s="3153" t="str">
        <f ca="1">IFERROR(INDEX('Production cost'!$A:$AU,MATCH($C755,'Production cost'!$AU:$AU,0),9),"")</f>
        <v/>
      </c>
      <c r="H755" s="3599" t="str">
        <f ca="1">IFERROR(IFERROR(INDEX('Production cost'!$A:$AU,MATCH($C755,'Production cost'!$AU:$AU,0),11),"")+IFERROR(INDEX('Production cost'!$A:$AU,MATCH($C755,'Production cost'!$AU:$AU,0),12),""),"")</f>
        <v/>
      </c>
      <c r="I755" s="3153" t="str">
        <f ca="1">IFERROR(INDEX('Production cost'!$A:$AU,MATCH($C755,'Production cost'!$AU:$AU,0),18),"")</f>
        <v/>
      </c>
      <c r="J755" s="3153" t="str">
        <f ca="1">IFERROR(INDEX('Production cost'!$A:$AU,MATCH($C755,'Production cost'!$AU:$AU,0),18),"")</f>
        <v/>
      </c>
    </row>
    <row r="756" spans="2:10" ht="21.75">
      <c r="B756" s="3143" t="s">
        <v>3652</v>
      </c>
      <c r="C756" s="3143">
        <f t="shared" si="13"/>
        <v>176</v>
      </c>
      <c r="D756" s="3143" t="str">
        <f ca="1">IFERROR(INDEX('Production cost'!$A:$AU,MATCH($C756,'Production cost'!$AU:$AU,0),6),"")</f>
        <v/>
      </c>
      <c r="E756" s="3143" t="str">
        <f ca="1">IFERROR(INDEX('Production cost'!$A:$AU,MATCH($C756,'Production cost'!$AU:$AU,0),3),"")</f>
        <v/>
      </c>
      <c r="G756" s="3153" t="str">
        <f ca="1">IFERROR(INDEX('Production cost'!$A:$AU,MATCH($C756,'Production cost'!$AU:$AU,0),9),"")</f>
        <v/>
      </c>
      <c r="H756" s="3599" t="str">
        <f ca="1">IFERROR(IFERROR(INDEX('Production cost'!$A:$AU,MATCH($C756,'Production cost'!$AU:$AU,0),11),"")+IFERROR(INDEX('Production cost'!$A:$AU,MATCH($C756,'Production cost'!$AU:$AU,0),12),""),"")</f>
        <v/>
      </c>
      <c r="I756" s="3153" t="str">
        <f ca="1">IFERROR(INDEX('Production cost'!$A:$AU,MATCH($C756,'Production cost'!$AU:$AU,0),18),"")</f>
        <v/>
      </c>
      <c r="J756" s="3153" t="str">
        <f ca="1">IFERROR(INDEX('Production cost'!$A:$AU,MATCH($C756,'Production cost'!$AU:$AU,0),18),"")</f>
        <v/>
      </c>
    </row>
    <row r="757" spans="2:10" ht="21.75">
      <c r="B757" s="3143" t="s">
        <v>3652</v>
      </c>
      <c r="C757" s="3143">
        <f t="shared" si="13"/>
        <v>177</v>
      </c>
      <c r="D757" s="3143" t="str">
        <f ca="1">IFERROR(INDEX('Production cost'!$A:$AU,MATCH($C757,'Production cost'!$AU:$AU,0),6),"")</f>
        <v/>
      </c>
      <c r="E757" s="3143" t="str">
        <f ca="1">IFERROR(INDEX('Production cost'!$A:$AU,MATCH($C757,'Production cost'!$AU:$AU,0),3),"")</f>
        <v/>
      </c>
      <c r="G757" s="3153" t="str">
        <f ca="1">IFERROR(INDEX('Production cost'!$A:$AU,MATCH($C757,'Production cost'!$AU:$AU,0),9),"")</f>
        <v/>
      </c>
      <c r="H757" s="3599" t="str">
        <f ca="1">IFERROR(IFERROR(INDEX('Production cost'!$A:$AU,MATCH($C757,'Production cost'!$AU:$AU,0),11),"")+IFERROR(INDEX('Production cost'!$A:$AU,MATCH($C757,'Production cost'!$AU:$AU,0),12),""),"")</f>
        <v/>
      </c>
      <c r="I757" s="3153" t="str">
        <f ca="1">IFERROR(INDEX('Production cost'!$A:$AU,MATCH($C757,'Production cost'!$AU:$AU,0),18),"")</f>
        <v/>
      </c>
      <c r="J757" s="3153" t="str">
        <f ca="1">IFERROR(INDEX('Production cost'!$A:$AU,MATCH($C757,'Production cost'!$AU:$AU,0),18),"")</f>
        <v/>
      </c>
    </row>
    <row r="758" spans="2:10" ht="21.75">
      <c r="B758" s="3143" t="s">
        <v>3652</v>
      </c>
      <c r="C758" s="3143">
        <f t="shared" si="13"/>
        <v>178</v>
      </c>
      <c r="D758" s="3143" t="str">
        <f ca="1">IFERROR(INDEX('Production cost'!$A:$AU,MATCH($C758,'Production cost'!$AU:$AU,0),6),"")</f>
        <v/>
      </c>
      <c r="E758" s="3143" t="str">
        <f ca="1">IFERROR(INDEX('Production cost'!$A:$AU,MATCH($C758,'Production cost'!$AU:$AU,0),3),"")</f>
        <v/>
      </c>
      <c r="G758" s="3153" t="str">
        <f ca="1">IFERROR(INDEX('Production cost'!$A:$AU,MATCH($C758,'Production cost'!$AU:$AU,0),9),"")</f>
        <v/>
      </c>
      <c r="H758" s="3599" t="str">
        <f ca="1">IFERROR(IFERROR(INDEX('Production cost'!$A:$AU,MATCH($C758,'Production cost'!$AU:$AU,0),11),"")+IFERROR(INDEX('Production cost'!$A:$AU,MATCH($C758,'Production cost'!$AU:$AU,0),12),""),"")</f>
        <v/>
      </c>
      <c r="I758" s="3153" t="str">
        <f ca="1">IFERROR(INDEX('Production cost'!$A:$AU,MATCH($C758,'Production cost'!$AU:$AU,0),18),"")</f>
        <v/>
      </c>
      <c r="J758" s="3153" t="str">
        <f ca="1">IFERROR(INDEX('Production cost'!$A:$AU,MATCH($C758,'Production cost'!$AU:$AU,0),18),"")</f>
        <v/>
      </c>
    </row>
    <row r="759" spans="2:10" ht="21.75">
      <c r="B759" s="3143" t="s">
        <v>3652</v>
      </c>
      <c r="C759" s="3143">
        <f t="shared" si="13"/>
        <v>179</v>
      </c>
      <c r="D759" s="3143" t="str">
        <f ca="1">IFERROR(INDEX('Production cost'!$A:$AU,MATCH($C759,'Production cost'!$AU:$AU,0),6),"")</f>
        <v/>
      </c>
      <c r="E759" s="3143" t="str">
        <f ca="1">IFERROR(INDEX('Production cost'!$A:$AU,MATCH($C759,'Production cost'!$AU:$AU,0),3),"")</f>
        <v/>
      </c>
      <c r="G759" s="3153" t="str">
        <f ca="1">IFERROR(INDEX('Production cost'!$A:$AU,MATCH($C759,'Production cost'!$AU:$AU,0),9),"")</f>
        <v/>
      </c>
      <c r="H759" s="3599" t="str">
        <f ca="1">IFERROR(IFERROR(INDEX('Production cost'!$A:$AU,MATCH($C759,'Production cost'!$AU:$AU,0),11),"")+IFERROR(INDEX('Production cost'!$A:$AU,MATCH($C759,'Production cost'!$AU:$AU,0),12),""),"")</f>
        <v/>
      </c>
      <c r="I759" s="3153" t="str">
        <f ca="1">IFERROR(INDEX('Production cost'!$A:$AU,MATCH($C759,'Production cost'!$AU:$AU,0),18),"")</f>
        <v/>
      </c>
      <c r="J759" s="3153" t="str">
        <f ca="1">IFERROR(INDEX('Production cost'!$A:$AU,MATCH($C759,'Production cost'!$AU:$AU,0),18),"")</f>
        <v/>
      </c>
    </row>
    <row r="760" spans="2:10" ht="21.75">
      <c r="B760" s="3143" t="s">
        <v>3652</v>
      </c>
      <c r="C760" s="3143">
        <f t="shared" si="13"/>
        <v>180</v>
      </c>
      <c r="D760" s="3143" t="str">
        <f ca="1">IFERROR(INDEX('Production cost'!$A:$AU,MATCH($C760,'Production cost'!$AU:$AU,0),6),"")</f>
        <v/>
      </c>
      <c r="E760" s="3143" t="str">
        <f ca="1">IFERROR(INDEX('Production cost'!$A:$AU,MATCH($C760,'Production cost'!$AU:$AU,0),3),"")</f>
        <v/>
      </c>
      <c r="G760" s="3153" t="str">
        <f ca="1">IFERROR(INDEX('Production cost'!$A:$AU,MATCH($C760,'Production cost'!$AU:$AU,0),9),"")</f>
        <v/>
      </c>
      <c r="H760" s="3599" t="str">
        <f ca="1">IFERROR(IFERROR(INDEX('Production cost'!$A:$AU,MATCH($C760,'Production cost'!$AU:$AU,0),11),"")+IFERROR(INDEX('Production cost'!$A:$AU,MATCH($C760,'Production cost'!$AU:$AU,0),12),""),"")</f>
        <v/>
      </c>
      <c r="I760" s="3153" t="str">
        <f ca="1">IFERROR(INDEX('Production cost'!$A:$AU,MATCH($C760,'Production cost'!$AU:$AU,0),18),"")</f>
        <v/>
      </c>
      <c r="J760" s="3153" t="str">
        <f ca="1">IFERROR(INDEX('Production cost'!$A:$AU,MATCH($C760,'Production cost'!$AU:$AU,0),18),"")</f>
        <v/>
      </c>
    </row>
    <row r="761" spans="2:10" ht="21.75">
      <c r="B761" s="3143" t="s">
        <v>3652</v>
      </c>
      <c r="C761" s="3143">
        <f t="shared" si="13"/>
        <v>181</v>
      </c>
      <c r="D761" s="3143" t="str">
        <f ca="1">IFERROR(INDEX('Production cost'!$A:$AU,MATCH($C761,'Production cost'!$AU:$AU,0),6),"")</f>
        <v/>
      </c>
      <c r="E761" s="3143" t="str">
        <f ca="1">IFERROR(INDEX('Production cost'!$A:$AU,MATCH($C761,'Production cost'!$AU:$AU,0),3),"")</f>
        <v/>
      </c>
      <c r="G761" s="3153" t="str">
        <f ca="1">IFERROR(INDEX('Production cost'!$A:$AU,MATCH($C761,'Production cost'!$AU:$AU,0),9),"")</f>
        <v/>
      </c>
      <c r="H761" s="3599" t="str">
        <f ca="1">IFERROR(IFERROR(INDEX('Production cost'!$A:$AU,MATCH($C761,'Production cost'!$AU:$AU,0),11),"")+IFERROR(INDEX('Production cost'!$A:$AU,MATCH($C761,'Production cost'!$AU:$AU,0),12),""),"")</f>
        <v/>
      </c>
      <c r="I761" s="3153" t="str">
        <f ca="1">IFERROR(INDEX('Production cost'!$A:$AU,MATCH($C761,'Production cost'!$AU:$AU,0),18),"")</f>
        <v/>
      </c>
      <c r="J761" s="3153" t="str">
        <f ca="1">IFERROR(INDEX('Production cost'!$A:$AU,MATCH($C761,'Production cost'!$AU:$AU,0),18),"")</f>
        <v/>
      </c>
    </row>
    <row r="762" spans="2:10" ht="21.75">
      <c r="B762" s="3143" t="s">
        <v>3652</v>
      </c>
      <c r="C762" s="3143">
        <f t="shared" si="13"/>
        <v>182</v>
      </c>
      <c r="D762" s="3143" t="str">
        <f ca="1">IFERROR(INDEX('Production cost'!$A:$AU,MATCH($C762,'Production cost'!$AU:$AU,0),6),"")</f>
        <v/>
      </c>
      <c r="E762" s="3143" t="str">
        <f ca="1">IFERROR(INDEX('Production cost'!$A:$AU,MATCH($C762,'Production cost'!$AU:$AU,0),3),"")</f>
        <v/>
      </c>
      <c r="G762" s="3153" t="str">
        <f ca="1">IFERROR(INDEX('Production cost'!$A:$AU,MATCH($C762,'Production cost'!$AU:$AU,0),9),"")</f>
        <v/>
      </c>
      <c r="H762" s="3599" t="str">
        <f ca="1">IFERROR(IFERROR(INDEX('Production cost'!$A:$AU,MATCH($C762,'Production cost'!$AU:$AU,0),11),"")+IFERROR(INDEX('Production cost'!$A:$AU,MATCH($C762,'Production cost'!$AU:$AU,0),12),""),"")</f>
        <v/>
      </c>
      <c r="I762" s="3153" t="str">
        <f ca="1">IFERROR(INDEX('Production cost'!$A:$AU,MATCH($C762,'Production cost'!$AU:$AU,0),18),"")</f>
        <v/>
      </c>
      <c r="J762" s="3153" t="str">
        <f ca="1">IFERROR(INDEX('Production cost'!$A:$AU,MATCH($C762,'Production cost'!$AU:$AU,0),18),"")</f>
        <v/>
      </c>
    </row>
    <row r="763" spans="2:10" ht="21.75">
      <c r="B763" s="3143" t="s">
        <v>3652</v>
      </c>
      <c r="C763" s="3143">
        <f t="shared" si="13"/>
        <v>183</v>
      </c>
      <c r="D763" s="3143" t="str">
        <f ca="1">IFERROR(INDEX('Production cost'!$A:$AU,MATCH($C763,'Production cost'!$AU:$AU,0),6),"")</f>
        <v/>
      </c>
      <c r="E763" s="3143" t="str">
        <f ca="1">IFERROR(INDEX('Production cost'!$A:$AU,MATCH($C763,'Production cost'!$AU:$AU,0),3),"")</f>
        <v/>
      </c>
      <c r="G763" s="3153" t="str">
        <f ca="1">IFERROR(INDEX('Production cost'!$A:$AU,MATCH($C763,'Production cost'!$AU:$AU,0),9),"")</f>
        <v/>
      </c>
      <c r="H763" s="3599" t="str">
        <f ca="1">IFERROR(IFERROR(INDEX('Production cost'!$A:$AU,MATCH($C763,'Production cost'!$AU:$AU,0),11),"")+IFERROR(INDEX('Production cost'!$A:$AU,MATCH($C763,'Production cost'!$AU:$AU,0),12),""),"")</f>
        <v/>
      </c>
      <c r="I763" s="3153" t="str">
        <f ca="1">IFERROR(INDEX('Production cost'!$A:$AU,MATCH($C763,'Production cost'!$AU:$AU,0),18),"")</f>
        <v/>
      </c>
      <c r="J763" s="3153" t="str">
        <f ca="1">IFERROR(INDEX('Production cost'!$A:$AU,MATCH($C763,'Production cost'!$AU:$AU,0),18),"")</f>
        <v/>
      </c>
    </row>
    <row r="764" spans="2:10" ht="21.75">
      <c r="B764" s="3143" t="s">
        <v>3652</v>
      </c>
      <c r="C764" s="3143">
        <f t="shared" si="13"/>
        <v>184</v>
      </c>
      <c r="D764" s="3143" t="str">
        <f ca="1">IFERROR(INDEX('Production cost'!$A:$AU,MATCH($C764,'Production cost'!$AU:$AU,0),6),"")</f>
        <v/>
      </c>
      <c r="E764" s="3143" t="str">
        <f ca="1">IFERROR(INDEX('Production cost'!$A:$AU,MATCH($C764,'Production cost'!$AU:$AU,0),3),"")</f>
        <v/>
      </c>
      <c r="G764" s="3153" t="str">
        <f ca="1">IFERROR(INDEX('Production cost'!$A:$AU,MATCH($C764,'Production cost'!$AU:$AU,0),9),"")</f>
        <v/>
      </c>
      <c r="H764" s="3599" t="str">
        <f ca="1">IFERROR(IFERROR(INDEX('Production cost'!$A:$AU,MATCH($C764,'Production cost'!$AU:$AU,0),11),"")+IFERROR(INDEX('Production cost'!$A:$AU,MATCH($C764,'Production cost'!$AU:$AU,0),12),""),"")</f>
        <v/>
      </c>
      <c r="I764" s="3153" t="str">
        <f ca="1">IFERROR(INDEX('Production cost'!$A:$AU,MATCH($C764,'Production cost'!$AU:$AU,0),18),"")</f>
        <v/>
      </c>
      <c r="J764" s="3153" t="str">
        <f ca="1">IFERROR(INDEX('Production cost'!$A:$AU,MATCH($C764,'Production cost'!$AU:$AU,0),18),"")</f>
        <v/>
      </c>
    </row>
    <row r="765" spans="2:10" ht="21.75">
      <c r="B765" s="3143" t="s">
        <v>3652</v>
      </c>
      <c r="C765" s="3143">
        <f t="shared" si="13"/>
        <v>185</v>
      </c>
      <c r="D765" s="3143" t="str">
        <f ca="1">IFERROR(INDEX('Production cost'!$A:$AU,MATCH($C765,'Production cost'!$AU:$AU,0),6),"")</f>
        <v/>
      </c>
      <c r="E765" s="3143" t="str">
        <f ca="1">IFERROR(INDEX('Production cost'!$A:$AU,MATCH($C765,'Production cost'!$AU:$AU,0),3),"")</f>
        <v/>
      </c>
      <c r="G765" s="3153" t="str">
        <f ca="1">IFERROR(INDEX('Production cost'!$A:$AU,MATCH($C765,'Production cost'!$AU:$AU,0),9),"")</f>
        <v/>
      </c>
      <c r="H765" s="3599" t="str">
        <f ca="1">IFERROR(IFERROR(INDEX('Production cost'!$A:$AU,MATCH($C765,'Production cost'!$AU:$AU,0),11),"")+IFERROR(INDEX('Production cost'!$A:$AU,MATCH($C765,'Production cost'!$AU:$AU,0),12),""),"")</f>
        <v/>
      </c>
      <c r="I765" s="3153" t="str">
        <f ca="1">IFERROR(INDEX('Production cost'!$A:$AU,MATCH($C765,'Production cost'!$AU:$AU,0),18),"")</f>
        <v/>
      </c>
      <c r="J765" s="3153" t="str">
        <f ca="1">IFERROR(INDEX('Production cost'!$A:$AU,MATCH($C765,'Production cost'!$AU:$AU,0),18),"")</f>
        <v/>
      </c>
    </row>
    <row r="766" spans="2:10" ht="21.75">
      <c r="B766" s="3143" t="s">
        <v>3652</v>
      </c>
      <c r="C766" s="3143">
        <f t="shared" si="13"/>
        <v>186</v>
      </c>
      <c r="D766" s="3143" t="str">
        <f ca="1">IFERROR(INDEX('Production cost'!$A:$AU,MATCH($C766,'Production cost'!$AU:$AU,0),6),"")</f>
        <v/>
      </c>
      <c r="E766" s="3143" t="str">
        <f ca="1">IFERROR(INDEX('Production cost'!$A:$AU,MATCH($C766,'Production cost'!$AU:$AU,0),3),"")</f>
        <v/>
      </c>
      <c r="G766" s="3153" t="str">
        <f ca="1">IFERROR(INDEX('Production cost'!$A:$AU,MATCH($C766,'Production cost'!$AU:$AU,0),9),"")</f>
        <v/>
      </c>
      <c r="H766" s="3599" t="str">
        <f ca="1">IFERROR(IFERROR(INDEX('Production cost'!$A:$AU,MATCH($C766,'Production cost'!$AU:$AU,0),11),"")+IFERROR(INDEX('Production cost'!$A:$AU,MATCH($C766,'Production cost'!$AU:$AU,0),12),""),"")</f>
        <v/>
      </c>
      <c r="I766" s="3153" t="str">
        <f ca="1">IFERROR(INDEX('Production cost'!$A:$AU,MATCH($C766,'Production cost'!$AU:$AU,0),18),"")</f>
        <v/>
      </c>
      <c r="J766" s="3153" t="str">
        <f ca="1">IFERROR(INDEX('Production cost'!$A:$AU,MATCH($C766,'Production cost'!$AU:$AU,0),18),"")</f>
        <v/>
      </c>
    </row>
    <row r="767" spans="2:10" ht="21.75">
      <c r="B767" s="3143" t="s">
        <v>3652</v>
      </c>
      <c r="C767" s="3143">
        <f t="shared" si="13"/>
        <v>187</v>
      </c>
      <c r="D767" s="3143" t="str">
        <f ca="1">IFERROR(INDEX('Production cost'!$A:$AU,MATCH($C767,'Production cost'!$AU:$AU,0),6),"")</f>
        <v/>
      </c>
      <c r="E767" s="3143" t="str">
        <f ca="1">IFERROR(INDEX('Production cost'!$A:$AU,MATCH($C767,'Production cost'!$AU:$AU,0),3),"")</f>
        <v/>
      </c>
      <c r="G767" s="3153" t="str">
        <f ca="1">IFERROR(INDEX('Production cost'!$A:$AU,MATCH($C767,'Production cost'!$AU:$AU,0),9),"")</f>
        <v/>
      </c>
      <c r="H767" s="3599" t="str">
        <f ca="1">IFERROR(IFERROR(INDEX('Production cost'!$A:$AU,MATCH($C767,'Production cost'!$AU:$AU,0),11),"")+IFERROR(INDEX('Production cost'!$A:$AU,MATCH($C767,'Production cost'!$AU:$AU,0),12),""),"")</f>
        <v/>
      </c>
      <c r="I767" s="3153" t="str">
        <f ca="1">IFERROR(INDEX('Production cost'!$A:$AU,MATCH($C767,'Production cost'!$AU:$AU,0),18),"")</f>
        <v/>
      </c>
      <c r="J767" s="3153" t="str">
        <f ca="1">IFERROR(INDEX('Production cost'!$A:$AU,MATCH($C767,'Production cost'!$AU:$AU,0),18),"")</f>
        <v/>
      </c>
    </row>
    <row r="768" spans="2:10" ht="21.75">
      <c r="B768" s="3143" t="s">
        <v>3652</v>
      </c>
      <c r="C768" s="3143">
        <f t="shared" si="13"/>
        <v>188</v>
      </c>
      <c r="D768" s="3143" t="str">
        <f ca="1">IFERROR(INDEX('Production cost'!$A:$AU,MATCH($C768,'Production cost'!$AU:$AU,0),6),"")</f>
        <v/>
      </c>
      <c r="E768" s="3143" t="str">
        <f ca="1">IFERROR(INDEX('Production cost'!$A:$AU,MATCH($C768,'Production cost'!$AU:$AU,0),3),"")</f>
        <v/>
      </c>
      <c r="G768" s="3153" t="str">
        <f ca="1">IFERROR(INDEX('Production cost'!$A:$AU,MATCH($C768,'Production cost'!$AU:$AU,0),9),"")</f>
        <v/>
      </c>
      <c r="H768" s="3599" t="str">
        <f ca="1">IFERROR(IFERROR(INDEX('Production cost'!$A:$AU,MATCH($C768,'Production cost'!$AU:$AU,0),11),"")+IFERROR(INDEX('Production cost'!$A:$AU,MATCH($C768,'Production cost'!$AU:$AU,0),12),""),"")</f>
        <v/>
      </c>
      <c r="I768" s="3153" t="str">
        <f ca="1">IFERROR(INDEX('Production cost'!$A:$AU,MATCH($C768,'Production cost'!$AU:$AU,0),18),"")</f>
        <v/>
      </c>
      <c r="J768" s="3153" t="str">
        <f ca="1">IFERROR(INDEX('Production cost'!$A:$AU,MATCH($C768,'Production cost'!$AU:$AU,0),18),"")</f>
        <v/>
      </c>
    </row>
    <row r="769" spans="2:10" ht="21.75">
      <c r="B769" s="3143" t="s">
        <v>3652</v>
      </c>
      <c r="C769" s="3143">
        <f t="shared" si="13"/>
        <v>189</v>
      </c>
      <c r="D769" s="3143" t="str">
        <f ca="1">IFERROR(INDEX('Production cost'!$A:$AU,MATCH($C769,'Production cost'!$AU:$AU,0),6),"")</f>
        <v/>
      </c>
      <c r="E769" s="3143" t="str">
        <f ca="1">IFERROR(INDEX('Production cost'!$A:$AU,MATCH($C769,'Production cost'!$AU:$AU,0),3),"")</f>
        <v/>
      </c>
      <c r="G769" s="3153" t="str">
        <f ca="1">IFERROR(INDEX('Production cost'!$A:$AU,MATCH($C769,'Production cost'!$AU:$AU,0),9),"")</f>
        <v/>
      </c>
      <c r="H769" s="3599" t="str">
        <f ca="1">IFERROR(IFERROR(INDEX('Production cost'!$A:$AU,MATCH($C769,'Production cost'!$AU:$AU,0),11),"")+IFERROR(INDEX('Production cost'!$A:$AU,MATCH($C769,'Production cost'!$AU:$AU,0),12),""),"")</f>
        <v/>
      </c>
      <c r="I769" s="3153" t="str">
        <f ca="1">IFERROR(INDEX('Production cost'!$A:$AU,MATCH($C769,'Production cost'!$AU:$AU,0),18),"")</f>
        <v/>
      </c>
      <c r="J769" s="3153" t="str">
        <f ca="1">IFERROR(INDEX('Production cost'!$A:$AU,MATCH($C769,'Production cost'!$AU:$AU,0),18),"")</f>
        <v/>
      </c>
    </row>
    <row r="770" spans="2:10" ht="21.75">
      <c r="B770" s="3143" t="s">
        <v>3652</v>
      </c>
      <c r="C770" s="3143">
        <f t="shared" si="13"/>
        <v>190</v>
      </c>
      <c r="D770" s="3143" t="str">
        <f ca="1">IFERROR(INDEX('Production cost'!$A:$AU,MATCH($C770,'Production cost'!$AU:$AU,0),6),"")</f>
        <v/>
      </c>
      <c r="E770" s="3143" t="str">
        <f ca="1">IFERROR(INDEX('Production cost'!$A:$AU,MATCH($C770,'Production cost'!$AU:$AU,0),3),"")</f>
        <v/>
      </c>
      <c r="G770" s="3153" t="str">
        <f ca="1">IFERROR(INDEX('Production cost'!$A:$AU,MATCH($C770,'Production cost'!$AU:$AU,0),9),"")</f>
        <v/>
      </c>
      <c r="H770" s="3599" t="str">
        <f ca="1">IFERROR(IFERROR(INDEX('Production cost'!$A:$AU,MATCH($C770,'Production cost'!$AU:$AU,0),11),"")+IFERROR(INDEX('Production cost'!$A:$AU,MATCH($C770,'Production cost'!$AU:$AU,0),12),""),"")</f>
        <v/>
      </c>
      <c r="I770" s="3153" t="str">
        <f ca="1">IFERROR(INDEX('Production cost'!$A:$AU,MATCH($C770,'Production cost'!$AU:$AU,0),18),"")</f>
        <v/>
      </c>
      <c r="J770" s="3153" t="str">
        <f ca="1">IFERROR(INDEX('Production cost'!$A:$AU,MATCH($C770,'Production cost'!$AU:$AU,0),18),"")</f>
        <v/>
      </c>
    </row>
    <row r="771" spans="2:10" ht="21.75">
      <c r="B771" s="3143" t="s">
        <v>3652</v>
      </c>
      <c r="C771" s="3143">
        <f t="shared" si="13"/>
        <v>191</v>
      </c>
      <c r="D771" s="3143" t="str">
        <f ca="1">IFERROR(INDEX('Production cost'!$A:$AU,MATCH($C771,'Production cost'!$AU:$AU,0),6),"")</f>
        <v/>
      </c>
      <c r="E771" s="3143" t="str">
        <f ca="1">IFERROR(INDEX('Production cost'!$A:$AU,MATCH($C771,'Production cost'!$AU:$AU,0),3),"")</f>
        <v/>
      </c>
      <c r="G771" s="3153" t="str">
        <f ca="1">IFERROR(INDEX('Production cost'!$A:$AU,MATCH($C771,'Production cost'!$AU:$AU,0),9),"")</f>
        <v/>
      </c>
      <c r="H771" s="3599" t="str">
        <f ca="1">IFERROR(IFERROR(INDEX('Production cost'!$A:$AU,MATCH($C771,'Production cost'!$AU:$AU,0),11),"")+IFERROR(INDEX('Production cost'!$A:$AU,MATCH($C771,'Production cost'!$AU:$AU,0),12),""),"")</f>
        <v/>
      </c>
      <c r="I771" s="3153" t="str">
        <f ca="1">IFERROR(INDEX('Production cost'!$A:$AU,MATCH($C771,'Production cost'!$AU:$AU,0),18),"")</f>
        <v/>
      </c>
      <c r="J771" s="3153" t="str">
        <f ca="1">IFERROR(INDEX('Production cost'!$A:$AU,MATCH($C771,'Production cost'!$AU:$AU,0),18),"")</f>
        <v/>
      </c>
    </row>
    <row r="772" spans="2:10" ht="21.75">
      <c r="B772" s="3143" t="s">
        <v>3652</v>
      </c>
      <c r="C772" s="3143">
        <f t="shared" si="13"/>
        <v>192</v>
      </c>
      <c r="D772" s="3143" t="str">
        <f ca="1">IFERROR(INDEX('Production cost'!$A:$AU,MATCH($C772,'Production cost'!$AU:$AU,0),6),"")</f>
        <v/>
      </c>
      <c r="E772" s="3143" t="str">
        <f ca="1">IFERROR(INDEX('Production cost'!$A:$AU,MATCH($C772,'Production cost'!$AU:$AU,0),3),"")</f>
        <v/>
      </c>
      <c r="G772" s="3153" t="str">
        <f ca="1">IFERROR(INDEX('Production cost'!$A:$AU,MATCH($C772,'Production cost'!$AU:$AU,0),9),"")</f>
        <v/>
      </c>
      <c r="H772" s="3599" t="str">
        <f ca="1">IFERROR(IFERROR(INDEX('Production cost'!$A:$AU,MATCH($C772,'Production cost'!$AU:$AU,0),11),"")+IFERROR(INDEX('Production cost'!$A:$AU,MATCH($C772,'Production cost'!$AU:$AU,0),12),""),"")</f>
        <v/>
      </c>
      <c r="I772" s="3153" t="str">
        <f ca="1">IFERROR(INDEX('Production cost'!$A:$AU,MATCH($C772,'Production cost'!$AU:$AU,0),18),"")</f>
        <v/>
      </c>
      <c r="J772" s="3153" t="str">
        <f ca="1">IFERROR(INDEX('Production cost'!$A:$AU,MATCH($C772,'Production cost'!$AU:$AU,0),18),"")</f>
        <v/>
      </c>
    </row>
    <row r="773" spans="2:10" ht="21.75">
      <c r="B773" s="3143" t="s">
        <v>3652</v>
      </c>
      <c r="C773" s="3143">
        <f t="shared" si="13"/>
        <v>193</v>
      </c>
      <c r="D773" s="3143" t="str">
        <f ca="1">IFERROR(INDEX('Production cost'!$A:$AU,MATCH($C773,'Production cost'!$AU:$AU,0),6),"")</f>
        <v/>
      </c>
      <c r="E773" s="3143" t="str">
        <f ca="1">IFERROR(INDEX('Production cost'!$A:$AU,MATCH($C773,'Production cost'!$AU:$AU,0),3),"")</f>
        <v/>
      </c>
      <c r="G773" s="3153" t="str">
        <f ca="1">IFERROR(INDEX('Production cost'!$A:$AU,MATCH($C773,'Production cost'!$AU:$AU,0),9),"")</f>
        <v/>
      </c>
      <c r="H773" s="3599" t="str">
        <f ca="1">IFERROR(IFERROR(INDEX('Production cost'!$A:$AU,MATCH($C773,'Production cost'!$AU:$AU,0),11),"")+IFERROR(INDEX('Production cost'!$A:$AU,MATCH($C773,'Production cost'!$AU:$AU,0),12),""),"")</f>
        <v/>
      </c>
      <c r="I773" s="3153" t="str">
        <f ca="1">IFERROR(INDEX('Production cost'!$A:$AU,MATCH($C773,'Production cost'!$AU:$AU,0),18),"")</f>
        <v/>
      </c>
      <c r="J773" s="3153" t="str">
        <f ca="1">IFERROR(INDEX('Production cost'!$A:$AU,MATCH($C773,'Production cost'!$AU:$AU,0),18),"")</f>
        <v/>
      </c>
    </row>
    <row r="774" spans="2:10" ht="21.75">
      <c r="B774" s="3143" t="s">
        <v>3652</v>
      </c>
      <c r="C774" s="3143">
        <f t="shared" si="13"/>
        <v>194</v>
      </c>
      <c r="D774" s="3143" t="str">
        <f ca="1">IFERROR(INDEX('Production cost'!$A:$AU,MATCH($C774,'Production cost'!$AU:$AU,0),6),"")</f>
        <v/>
      </c>
      <c r="E774" s="3143" t="str">
        <f ca="1">IFERROR(INDEX('Production cost'!$A:$AU,MATCH($C774,'Production cost'!$AU:$AU,0),3),"")</f>
        <v/>
      </c>
      <c r="G774" s="3153" t="str">
        <f ca="1">IFERROR(INDEX('Production cost'!$A:$AU,MATCH($C774,'Production cost'!$AU:$AU,0),9),"")</f>
        <v/>
      </c>
      <c r="H774" s="3599" t="str">
        <f ca="1">IFERROR(IFERROR(INDEX('Production cost'!$A:$AU,MATCH($C774,'Production cost'!$AU:$AU,0),11),"")+IFERROR(INDEX('Production cost'!$A:$AU,MATCH($C774,'Production cost'!$AU:$AU,0),12),""),"")</f>
        <v/>
      </c>
      <c r="I774" s="3153" t="str">
        <f ca="1">IFERROR(INDEX('Production cost'!$A:$AU,MATCH($C774,'Production cost'!$AU:$AU,0),18),"")</f>
        <v/>
      </c>
      <c r="J774" s="3153" t="str">
        <f ca="1">IFERROR(INDEX('Production cost'!$A:$AU,MATCH($C774,'Production cost'!$AU:$AU,0),18),"")</f>
        <v/>
      </c>
    </row>
    <row r="775" spans="2:10" ht="21.75">
      <c r="B775" s="3143" t="s">
        <v>3652</v>
      </c>
      <c r="C775" s="3143">
        <f t="shared" ref="C775:C838" si="14">C774+1</f>
        <v>195</v>
      </c>
      <c r="D775" s="3143" t="str">
        <f ca="1">IFERROR(INDEX('Production cost'!$A:$AU,MATCH($C775,'Production cost'!$AU:$AU,0),6),"")</f>
        <v/>
      </c>
      <c r="E775" s="3143" t="str">
        <f ca="1">IFERROR(INDEX('Production cost'!$A:$AU,MATCH($C775,'Production cost'!$AU:$AU,0),3),"")</f>
        <v/>
      </c>
      <c r="G775" s="3153" t="str">
        <f ca="1">IFERROR(INDEX('Production cost'!$A:$AU,MATCH($C775,'Production cost'!$AU:$AU,0),9),"")</f>
        <v/>
      </c>
      <c r="H775" s="3599" t="str">
        <f ca="1">IFERROR(IFERROR(INDEX('Production cost'!$A:$AU,MATCH($C775,'Production cost'!$AU:$AU,0),11),"")+IFERROR(INDEX('Production cost'!$A:$AU,MATCH($C775,'Production cost'!$AU:$AU,0),12),""),"")</f>
        <v/>
      </c>
      <c r="I775" s="3153" t="str">
        <f ca="1">IFERROR(INDEX('Production cost'!$A:$AU,MATCH($C775,'Production cost'!$AU:$AU,0),18),"")</f>
        <v/>
      </c>
      <c r="J775" s="3153" t="str">
        <f ca="1">IFERROR(INDEX('Production cost'!$A:$AU,MATCH($C775,'Production cost'!$AU:$AU,0),18),"")</f>
        <v/>
      </c>
    </row>
    <row r="776" spans="2:10" ht="21.75">
      <c r="B776" s="3143" t="s">
        <v>3652</v>
      </c>
      <c r="C776" s="3143">
        <f t="shared" si="14"/>
        <v>196</v>
      </c>
      <c r="D776" s="3143" t="str">
        <f ca="1">IFERROR(INDEX('Production cost'!$A:$AU,MATCH($C776,'Production cost'!$AU:$AU,0),6),"")</f>
        <v/>
      </c>
      <c r="E776" s="3143" t="str">
        <f ca="1">IFERROR(INDEX('Production cost'!$A:$AU,MATCH($C776,'Production cost'!$AU:$AU,0),3),"")</f>
        <v/>
      </c>
      <c r="G776" s="3153" t="str">
        <f ca="1">IFERROR(INDEX('Production cost'!$A:$AU,MATCH($C776,'Production cost'!$AU:$AU,0),9),"")</f>
        <v/>
      </c>
      <c r="H776" s="3599" t="str">
        <f ca="1">IFERROR(IFERROR(INDEX('Production cost'!$A:$AU,MATCH($C776,'Production cost'!$AU:$AU,0),11),"")+IFERROR(INDEX('Production cost'!$A:$AU,MATCH($C776,'Production cost'!$AU:$AU,0),12),""),"")</f>
        <v/>
      </c>
      <c r="I776" s="3153" t="str">
        <f ca="1">IFERROR(INDEX('Production cost'!$A:$AU,MATCH($C776,'Production cost'!$AU:$AU,0),18),"")</f>
        <v/>
      </c>
      <c r="J776" s="3153" t="str">
        <f ca="1">IFERROR(INDEX('Production cost'!$A:$AU,MATCH($C776,'Production cost'!$AU:$AU,0),18),"")</f>
        <v/>
      </c>
    </row>
    <row r="777" spans="2:10" ht="21.75">
      <c r="B777" s="3143" t="s">
        <v>3652</v>
      </c>
      <c r="C777" s="3143">
        <f t="shared" si="14"/>
        <v>197</v>
      </c>
      <c r="D777" s="3143" t="str">
        <f ca="1">IFERROR(INDEX('Production cost'!$A:$AU,MATCH($C777,'Production cost'!$AU:$AU,0),6),"")</f>
        <v/>
      </c>
      <c r="E777" s="3143" t="str">
        <f ca="1">IFERROR(INDEX('Production cost'!$A:$AU,MATCH($C777,'Production cost'!$AU:$AU,0),3),"")</f>
        <v/>
      </c>
      <c r="G777" s="3153" t="str">
        <f ca="1">IFERROR(INDEX('Production cost'!$A:$AU,MATCH($C777,'Production cost'!$AU:$AU,0),9),"")</f>
        <v/>
      </c>
      <c r="H777" s="3599" t="str">
        <f ca="1">IFERROR(IFERROR(INDEX('Production cost'!$A:$AU,MATCH($C777,'Production cost'!$AU:$AU,0),11),"")+IFERROR(INDEX('Production cost'!$A:$AU,MATCH($C777,'Production cost'!$AU:$AU,0),12),""),"")</f>
        <v/>
      </c>
      <c r="I777" s="3153" t="str">
        <f ca="1">IFERROR(INDEX('Production cost'!$A:$AU,MATCH($C777,'Production cost'!$AU:$AU,0),18),"")</f>
        <v/>
      </c>
      <c r="J777" s="3153" t="str">
        <f ca="1">IFERROR(INDEX('Production cost'!$A:$AU,MATCH($C777,'Production cost'!$AU:$AU,0),18),"")</f>
        <v/>
      </c>
    </row>
    <row r="778" spans="2:10" ht="21.75">
      <c r="B778" s="3143" t="s">
        <v>3652</v>
      </c>
      <c r="C778" s="3143">
        <f t="shared" si="14"/>
        <v>198</v>
      </c>
      <c r="D778" s="3143" t="str">
        <f ca="1">IFERROR(INDEX('Production cost'!$A:$AU,MATCH($C778,'Production cost'!$AU:$AU,0),6),"")</f>
        <v/>
      </c>
      <c r="E778" s="3143" t="str">
        <f ca="1">IFERROR(INDEX('Production cost'!$A:$AU,MATCH($C778,'Production cost'!$AU:$AU,0),3),"")</f>
        <v/>
      </c>
      <c r="G778" s="3153" t="str">
        <f ca="1">IFERROR(INDEX('Production cost'!$A:$AU,MATCH($C778,'Production cost'!$AU:$AU,0),9),"")</f>
        <v/>
      </c>
      <c r="H778" s="3599" t="str">
        <f ca="1">IFERROR(IFERROR(INDEX('Production cost'!$A:$AU,MATCH($C778,'Production cost'!$AU:$AU,0),11),"")+IFERROR(INDEX('Production cost'!$A:$AU,MATCH($C778,'Production cost'!$AU:$AU,0),12),""),"")</f>
        <v/>
      </c>
      <c r="I778" s="3153" t="str">
        <f ca="1">IFERROR(INDEX('Production cost'!$A:$AU,MATCH($C778,'Production cost'!$AU:$AU,0),18),"")</f>
        <v/>
      </c>
      <c r="J778" s="3153" t="str">
        <f ca="1">IFERROR(INDEX('Production cost'!$A:$AU,MATCH($C778,'Production cost'!$AU:$AU,0),18),"")</f>
        <v/>
      </c>
    </row>
    <row r="779" spans="2:10" ht="21.75">
      <c r="B779" s="3143" t="s">
        <v>3652</v>
      </c>
      <c r="C779" s="3143">
        <f t="shared" si="14"/>
        <v>199</v>
      </c>
      <c r="D779" s="3143" t="str">
        <f ca="1">IFERROR(INDEX('Production cost'!$A:$AU,MATCH($C779,'Production cost'!$AU:$AU,0),6),"")</f>
        <v/>
      </c>
      <c r="E779" s="3143" t="str">
        <f ca="1">IFERROR(INDEX('Production cost'!$A:$AU,MATCH($C779,'Production cost'!$AU:$AU,0),3),"")</f>
        <v/>
      </c>
      <c r="G779" s="3153" t="str">
        <f ca="1">IFERROR(INDEX('Production cost'!$A:$AU,MATCH($C779,'Production cost'!$AU:$AU,0),9),"")</f>
        <v/>
      </c>
      <c r="H779" s="3599" t="str">
        <f ca="1">IFERROR(IFERROR(INDEX('Production cost'!$A:$AU,MATCH($C779,'Production cost'!$AU:$AU,0),11),"")+IFERROR(INDEX('Production cost'!$A:$AU,MATCH($C779,'Production cost'!$AU:$AU,0),12),""),"")</f>
        <v/>
      </c>
      <c r="I779" s="3153" t="str">
        <f ca="1">IFERROR(INDEX('Production cost'!$A:$AU,MATCH($C779,'Production cost'!$AU:$AU,0),18),"")</f>
        <v/>
      </c>
      <c r="J779" s="3153" t="str">
        <f ca="1">IFERROR(INDEX('Production cost'!$A:$AU,MATCH($C779,'Production cost'!$AU:$AU,0),18),"")</f>
        <v/>
      </c>
    </row>
    <row r="780" spans="2:10" ht="21.75">
      <c r="B780" s="3143" t="s">
        <v>3652</v>
      </c>
      <c r="C780" s="3143">
        <f t="shared" si="14"/>
        <v>200</v>
      </c>
      <c r="D780" s="3143" t="str">
        <f ca="1">IFERROR(INDEX('Production cost'!$A:$AU,MATCH($C780,'Production cost'!$AU:$AU,0),6),"")</f>
        <v/>
      </c>
      <c r="E780" s="3143" t="str">
        <f ca="1">IFERROR(INDEX('Production cost'!$A:$AU,MATCH($C780,'Production cost'!$AU:$AU,0),3),"")</f>
        <v/>
      </c>
      <c r="G780" s="3153" t="str">
        <f ca="1">IFERROR(INDEX('Production cost'!$A:$AU,MATCH($C780,'Production cost'!$AU:$AU,0),9),"")</f>
        <v/>
      </c>
      <c r="H780" s="3599" t="str">
        <f ca="1">IFERROR(IFERROR(INDEX('Production cost'!$A:$AU,MATCH($C780,'Production cost'!$AU:$AU,0),11),"")+IFERROR(INDEX('Production cost'!$A:$AU,MATCH($C780,'Production cost'!$AU:$AU,0),12),""),"")</f>
        <v/>
      </c>
      <c r="I780" s="3153" t="str">
        <f ca="1">IFERROR(INDEX('Production cost'!$A:$AU,MATCH($C780,'Production cost'!$AU:$AU,0),18),"")</f>
        <v/>
      </c>
      <c r="J780" s="3153" t="str">
        <f ca="1">IFERROR(INDEX('Production cost'!$A:$AU,MATCH($C780,'Production cost'!$AU:$AU,0),18),"")</f>
        <v/>
      </c>
    </row>
    <row r="781" spans="2:10" ht="21.75">
      <c r="B781" s="3143" t="s">
        <v>3652</v>
      </c>
      <c r="C781" s="3143">
        <f t="shared" si="14"/>
        <v>201</v>
      </c>
      <c r="D781" s="3143" t="str">
        <f ca="1">IFERROR(INDEX('Production cost'!$A:$AU,MATCH($C781,'Production cost'!$AU:$AU,0),6),"")</f>
        <v/>
      </c>
      <c r="E781" s="3143" t="str">
        <f ca="1">IFERROR(INDEX('Production cost'!$A:$AU,MATCH($C781,'Production cost'!$AU:$AU,0),3),"")</f>
        <v/>
      </c>
      <c r="G781" s="3153" t="str">
        <f ca="1">IFERROR(INDEX('Production cost'!$A:$AU,MATCH($C781,'Production cost'!$AU:$AU,0),9),"")</f>
        <v/>
      </c>
      <c r="H781" s="3599" t="str">
        <f ca="1">IFERROR(IFERROR(INDEX('Production cost'!$A:$AU,MATCH($C781,'Production cost'!$AU:$AU,0),11),"")+IFERROR(INDEX('Production cost'!$A:$AU,MATCH($C781,'Production cost'!$AU:$AU,0),12),""),"")</f>
        <v/>
      </c>
      <c r="I781" s="3153" t="str">
        <f ca="1">IFERROR(INDEX('Production cost'!$A:$AU,MATCH($C781,'Production cost'!$AU:$AU,0),18),"")</f>
        <v/>
      </c>
      <c r="J781" s="3153" t="str">
        <f ca="1">IFERROR(INDEX('Production cost'!$A:$AU,MATCH($C781,'Production cost'!$AU:$AU,0),18),"")</f>
        <v/>
      </c>
    </row>
    <row r="782" spans="2:10" ht="21.75">
      <c r="B782" s="3143" t="s">
        <v>3652</v>
      </c>
      <c r="C782" s="3143">
        <f t="shared" si="14"/>
        <v>202</v>
      </c>
      <c r="D782" s="3143" t="str">
        <f ca="1">IFERROR(INDEX('Production cost'!$A:$AU,MATCH($C782,'Production cost'!$AU:$AU,0),6),"")</f>
        <v/>
      </c>
      <c r="E782" s="3143" t="str">
        <f ca="1">IFERROR(INDEX('Production cost'!$A:$AU,MATCH($C782,'Production cost'!$AU:$AU,0),3),"")</f>
        <v/>
      </c>
      <c r="G782" s="3153" t="str">
        <f ca="1">IFERROR(INDEX('Production cost'!$A:$AU,MATCH($C782,'Production cost'!$AU:$AU,0),9),"")</f>
        <v/>
      </c>
      <c r="H782" s="3599" t="str">
        <f ca="1">IFERROR(IFERROR(INDEX('Production cost'!$A:$AU,MATCH($C782,'Production cost'!$AU:$AU,0),11),"")+IFERROR(INDEX('Production cost'!$A:$AU,MATCH($C782,'Production cost'!$AU:$AU,0),12),""),"")</f>
        <v/>
      </c>
      <c r="I782" s="3153" t="str">
        <f ca="1">IFERROR(INDEX('Production cost'!$A:$AU,MATCH($C782,'Production cost'!$AU:$AU,0),18),"")</f>
        <v/>
      </c>
      <c r="J782" s="3153" t="str">
        <f ca="1">IFERROR(INDEX('Production cost'!$A:$AU,MATCH($C782,'Production cost'!$AU:$AU,0),18),"")</f>
        <v/>
      </c>
    </row>
    <row r="783" spans="2:10" ht="21.75">
      <c r="B783" s="3143" t="s">
        <v>3652</v>
      </c>
      <c r="C783" s="3143">
        <f t="shared" si="14"/>
        <v>203</v>
      </c>
      <c r="D783" s="3143" t="str">
        <f ca="1">IFERROR(INDEX('Production cost'!$A:$AU,MATCH($C783,'Production cost'!$AU:$AU,0),6),"")</f>
        <v/>
      </c>
      <c r="E783" s="3143" t="str">
        <f ca="1">IFERROR(INDEX('Production cost'!$A:$AU,MATCH($C783,'Production cost'!$AU:$AU,0),3),"")</f>
        <v/>
      </c>
      <c r="G783" s="3153" t="str">
        <f ca="1">IFERROR(INDEX('Production cost'!$A:$AU,MATCH($C783,'Production cost'!$AU:$AU,0),9),"")</f>
        <v/>
      </c>
      <c r="H783" s="3599" t="str">
        <f ca="1">IFERROR(IFERROR(INDEX('Production cost'!$A:$AU,MATCH($C783,'Production cost'!$AU:$AU,0),11),"")+IFERROR(INDEX('Production cost'!$A:$AU,MATCH($C783,'Production cost'!$AU:$AU,0),12),""),"")</f>
        <v/>
      </c>
      <c r="I783" s="3153" t="str">
        <f ca="1">IFERROR(INDEX('Production cost'!$A:$AU,MATCH($C783,'Production cost'!$AU:$AU,0),18),"")</f>
        <v/>
      </c>
      <c r="J783" s="3153" t="str">
        <f ca="1">IFERROR(INDEX('Production cost'!$A:$AU,MATCH($C783,'Production cost'!$AU:$AU,0),18),"")</f>
        <v/>
      </c>
    </row>
    <row r="784" spans="2:10" ht="21.75">
      <c r="B784" s="3143" t="s">
        <v>3652</v>
      </c>
      <c r="C784" s="3143">
        <f t="shared" si="14"/>
        <v>204</v>
      </c>
      <c r="D784" s="3143" t="str">
        <f ca="1">IFERROR(INDEX('Production cost'!$A:$AU,MATCH($C784,'Production cost'!$AU:$AU,0),6),"")</f>
        <v/>
      </c>
      <c r="E784" s="3143" t="str">
        <f ca="1">IFERROR(INDEX('Production cost'!$A:$AU,MATCH($C784,'Production cost'!$AU:$AU,0),3),"")</f>
        <v/>
      </c>
      <c r="G784" s="3153" t="str">
        <f ca="1">IFERROR(INDEX('Production cost'!$A:$AU,MATCH($C784,'Production cost'!$AU:$AU,0),9),"")</f>
        <v/>
      </c>
      <c r="H784" s="3599" t="str">
        <f ca="1">IFERROR(IFERROR(INDEX('Production cost'!$A:$AU,MATCH($C784,'Production cost'!$AU:$AU,0),11),"")+IFERROR(INDEX('Production cost'!$A:$AU,MATCH($C784,'Production cost'!$AU:$AU,0),12),""),"")</f>
        <v/>
      </c>
      <c r="I784" s="3153" t="str">
        <f ca="1">IFERROR(INDEX('Production cost'!$A:$AU,MATCH($C784,'Production cost'!$AU:$AU,0),18),"")</f>
        <v/>
      </c>
      <c r="J784" s="3153" t="str">
        <f ca="1">IFERROR(INDEX('Production cost'!$A:$AU,MATCH($C784,'Production cost'!$AU:$AU,0),18),"")</f>
        <v/>
      </c>
    </row>
    <row r="785" spans="2:10" ht="21.75">
      <c r="B785" s="3143" t="s">
        <v>3652</v>
      </c>
      <c r="C785" s="3143">
        <f t="shared" si="14"/>
        <v>205</v>
      </c>
      <c r="D785" s="3143" t="str">
        <f ca="1">IFERROR(INDEX('Production cost'!$A:$AU,MATCH($C785,'Production cost'!$AU:$AU,0),6),"")</f>
        <v/>
      </c>
      <c r="E785" s="3143" t="str">
        <f ca="1">IFERROR(INDEX('Production cost'!$A:$AU,MATCH($C785,'Production cost'!$AU:$AU,0),3),"")</f>
        <v/>
      </c>
      <c r="G785" s="3153" t="str">
        <f ca="1">IFERROR(INDEX('Production cost'!$A:$AU,MATCH($C785,'Production cost'!$AU:$AU,0),9),"")</f>
        <v/>
      </c>
      <c r="H785" s="3599" t="str">
        <f ca="1">IFERROR(IFERROR(INDEX('Production cost'!$A:$AU,MATCH($C785,'Production cost'!$AU:$AU,0),11),"")+IFERROR(INDEX('Production cost'!$A:$AU,MATCH($C785,'Production cost'!$AU:$AU,0),12),""),"")</f>
        <v/>
      </c>
      <c r="I785" s="3153" t="str">
        <f ca="1">IFERROR(INDEX('Production cost'!$A:$AU,MATCH($C785,'Production cost'!$AU:$AU,0),18),"")</f>
        <v/>
      </c>
      <c r="J785" s="3153" t="str">
        <f ca="1">IFERROR(INDEX('Production cost'!$A:$AU,MATCH($C785,'Production cost'!$AU:$AU,0),18),"")</f>
        <v/>
      </c>
    </row>
    <row r="786" spans="2:10" ht="21.75">
      <c r="B786" s="3143" t="s">
        <v>3652</v>
      </c>
      <c r="C786" s="3143">
        <f t="shared" si="14"/>
        <v>206</v>
      </c>
      <c r="D786" s="3143" t="str">
        <f ca="1">IFERROR(INDEX('Production cost'!$A:$AU,MATCH($C786,'Production cost'!$AU:$AU,0),6),"")</f>
        <v/>
      </c>
      <c r="E786" s="3143" t="str">
        <f ca="1">IFERROR(INDEX('Production cost'!$A:$AU,MATCH($C786,'Production cost'!$AU:$AU,0),3),"")</f>
        <v/>
      </c>
      <c r="G786" s="3153" t="str">
        <f ca="1">IFERROR(INDEX('Production cost'!$A:$AU,MATCH($C786,'Production cost'!$AU:$AU,0),9),"")</f>
        <v/>
      </c>
      <c r="H786" s="3599" t="str">
        <f ca="1">IFERROR(IFERROR(INDEX('Production cost'!$A:$AU,MATCH($C786,'Production cost'!$AU:$AU,0),11),"")+IFERROR(INDEX('Production cost'!$A:$AU,MATCH($C786,'Production cost'!$AU:$AU,0),12),""),"")</f>
        <v/>
      </c>
      <c r="I786" s="3153" t="str">
        <f ca="1">IFERROR(INDEX('Production cost'!$A:$AU,MATCH($C786,'Production cost'!$AU:$AU,0),18),"")</f>
        <v/>
      </c>
      <c r="J786" s="3153" t="str">
        <f ca="1">IFERROR(INDEX('Production cost'!$A:$AU,MATCH($C786,'Production cost'!$AU:$AU,0),18),"")</f>
        <v/>
      </c>
    </row>
    <row r="787" spans="2:10" ht="21.75">
      <c r="B787" s="3143" t="s">
        <v>3652</v>
      </c>
      <c r="C787" s="3143">
        <f t="shared" si="14"/>
        <v>207</v>
      </c>
      <c r="D787" s="3143" t="str">
        <f ca="1">IFERROR(INDEX('Production cost'!$A:$AU,MATCH($C787,'Production cost'!$AU:$AU,0),6),"")</f>
        <v/>
      </c>
      <c r="E787" s="3143" t="str">
        <f ca="1">IFERROR(INDEX('Production cost'!$A:$AU,MATCH($C787,'Production cost'!$AU:$AU,0),3),"")</f>
        <v/>
      </c>
      <c r="G787" s="3153" t="str">
        <f ca="1">IFERROR(INDEX('Production cost'!$A:$AU,MATCH($C787,'Production cost'!$AU:$AU,0),9),"")</f>
        <v/>
      </c>
      <c r="H787" s="3599" t="str">
        <f ca="1">IFERROR(IFERROR(INDEX('Production cost'!$A:$AU,MATCH($C787,'Production cost'!$AU:$AU,0),11),"")+IFERROR(INDEX('Production cost'!$A:$AU,MATCH($C787,'Production cost'!$AU:$AU,0),12),""),"")</f>
        <v/>
      </c>
      <c r="I787" s="3153" t="str">
        <f ca="1">IFERROR(INDEX('Production cost'!$A:$AU,MATCH($C787,'Production cost'!$AU:$AU,0),18),"")</f>
        <v/>
      </c>
      <c r="J787" s="3153" t="str">
        <f ca="1">IFERROR(INDEX('Production cost'!$A:$AU,MATCH($C787,'Production cost'!$AU:$AU,0),18),"")</f>
        <v/>
      </c>
    </row>
    <row r="788" spans="2:10" ht="21.75">
      <c r="B788" s="3143" t="s">
        <v>3652</v>
      </c>
      <c r="C788" s="3143">
        <f t="shared" si="14"/>
        <v>208</v>
      </c>
      <c r="D788" s="3143" t="str">
        <f ca="1">IFERROR(INDEX('Production cost'!$A:$AU,MATCH($C788,'Production cost'!$AU:$AU,0),6),"")</f>
        <v/>
      </c>
      <c r="E788" s="3143" t="str">
        <f ca="1">IFERROR(INDEX('Production cost'!$A:$AU,MATCH($C788,'Production cost'!$AU:$AU,0),3),"")</f>
        <v/>
      </c>
      <c r="G788" s="3153" t="str">
        <f ca="1">IFERROR(INDEX('Production cost'!$A:$AU,MATCH($C788,'Production cost'!$AU:$AU,0),9),"")</f>
        <v/>
      </c>
      <c r="H788" s="3599" t="str">
        <f ca="1">IFERROR(IFERROR(INDEX('Production cost'!$A:$AU,MATCH($C788,'Production cost'!$AU:$AU,0),11),"")+IFERROR(INDEX('Production cost'!$A:$AU,MATCH($C788,'Production cost'!$AU:$AU,0),12),""),"")</f>
        <v/>
      </c>
      <c r="I788" s="3153" t="str">
        <f ca="1">IFERROR(INDEX('Production cost'!$A:$AU,MATCH($C788,'Production cost'!$AU:$AU,0),18),"")</f>
        <v/>
      </c>
      <c r="J788" s="3153" t="str">
        <f ca="1">IFERROR(INDEX('Production cost'!$A:$AU,MATCH($C788,'Production cost'!$AU:$AU,0),18),"")</f>
        <v/>
      </c>
    </row>
    <row r="789" spans="2:10" ht="21.75">
      <c r="B789" s="3143" t="s">
        <v>3652</v>
      </c>
      <c r="C789" s="3143">
        <f t="shared" si="14"/>
        <v>209</v>
      </c>
      <c r="D789" s="3143" t="str">
        <f ca="1">IFERROR(INDEX('Production cost'!$A:$AU,MATCH($C789,'Production cost'!$AU:$AU,0),6),"")</f>
        <v/>
      </c>
      <c r="E789" s="3143" t="str">
        <f ca="1">IFERROR(INDEX('Production cost'!$A:$AU,MATCH($C789,'Production cost'!$AU:$AU,0),3),"")</f>
        <v/>
      </c>
      <c r="G789" s="3153" t="str">
        <f ca="1">IFERROR(INDEX('Production cost'!$A:$AU,MATCH($C789,'Production cost'!$AU:$AU,0),9),"")</f>
        <v/>
      </c>
      <c r="H789" s="3599" t="str">
        <f ca="1">IFERROR(IFERROR(INDEX('Production cost'!$A:$AU,MATCH($C789,'Production cost'!$AU:$AU,0),11),"")+IFERROR(INDEX('Production cost'!$A:$AU,MATCH($C789,'Production cost'!$AU:$AU,0),12),""),"")</f>
        <v/>
      </c>
      <c r="I789" s="3153" t="str">
        <f ca="1">IFERROR(INDEX('Production cost'!$A:$AU,MATCH($C789,'Production cost'!$AU:$AU,0),18),"")</f>
        <v/>
      </c>
      <c r="J789" s="3153" t="str">
        <f ca="1">IFERROR(INDEX('Production cost'!$A:$AU,MATCH($C789,'Production cost'!$AU:$AU,0),18),"")</f>
        <v/>
      </c>
    </row>
    <row r="790" spans="2:10" ht="21.75">
      <c r="B790" s="3143" t="s">
        <v>3652</v>
      </c>
      <c r="C790" s="3143">
        <f t="shared" si="14"/>
        <v>210</v>
      </c>
      <c r="D790" s="3143" t="str">
        <f ca="1">IFERROR(INDEX('Production cost'!$A:$AU,MATCH($C790,'Production cost'!$AU:$AU,0),6),"")</f>
        <v/>
      </c>
      <c r="E790" s="3143" t="str">
        <f ca="1">IFERROR(INDEX('Production cost'!$A:$AU,MATCH($C790,'Production cost'!$AU:$AU,0),3),"")</f>
        <v/>
      </c>
      <c r="G790" s="3153" t="str">
        <f ca="1">IFERROR(INDEX('Production cost'!$A:$AU,MATCH($C790,'Production cost'!$AU:$AU,0),9),"")</f>
        <v/>
      </c>
      <c r="H790" s="3599" t="str">
        <f ca="1">IFERROR(IFERROR(INDEX('Production cost'!$A:$AU,MATCH($C790,'Production cost'!$AU:$AU,0),11),"")+IFERROR(INDEX('Production cost'!$A:$AU,MATCH($C790,'Production cost'!$AU:$AU,0),12),""),"")</f>
        <v/>
      </c>
      <c r="I790" s="3153" t="str">
        <f ca="1">IFERROR(INDEX('Production cost'!$A:$AU,MATCH($C790,'Production cost'!$AU:$AU,0),18),"")</f>
        <v/>
      </c>
      <c r="J790" s="3153" t="str">
        <f ca="1">IFERROR(INDEX('Production cost'!$A:$AU,MATCH($C790,'Production cost'!$AU:$AU,0),18),"")</f>
        <v/>
      </c>
    </row>
    <row r="791" spans="2:10" ht="21.75">
      <c r="B791" s="3143" t="s">
        <v>3652</v>
      </c>
      <c r="C791" s="3143">
        <f t="shared" si="14"/>
        <v>211</v>
      </c>
      <c r="D791" s="3143" t="str">
        <f ca="1">IFERROR(INDEX('Production cost'!$A:$AU,MATCH($C791,'Production cost'!$AU:$AU,0),6),"")</f>
        <v/>
      </c>
      <c r="E791" s="3143" t="str">
        <f ca="1">IFERROR(INDEX('Production cost'!$A:$AU,MATCH($C791,'Production cost'!$AU:$AU,0),3),"")</f>
        <v/>
      </c>
      <c r="G791" s="3153" t="str">
        <f ca="1">IFERROR(INDEX('Production cost'!$A:$AU,MATCH($C791,'Production cost'!$AU:$AU,0),9),"")</f>
        <v/>
      </c>
      <c r="H791" s="3599" t="str">
        <f ca="1">IFERROR(IFERROR(INDEX('Production cost'!$A:$AU,MATCH($C791,'Production cost'!$AU:$AU,0),11),"")+IFERROR(INDEX('Production cost'!$A:$AU,MATCH($C791,'Production cost'!$AU:$AU,0),12),""),"")</f>
        <v/>
      </c>
      <c r="I791" s="3153" t="str">
        <f ca="1">IFERROR(INDEX('Production cost'!$A:$AU,MATCH($C791,'Production cost'!$AU:$AU,0),18),"")</f>
        <v/>
      </c>
      <c r="J791" s="3153" t="str">
        <f ca="1">IFERROR(INDEX('Production cost'!$A:$AU,MATCH($C791,'Production cost'!$AU:$AU,0),18),"")</f>
        <v/>
      </c>
    </row>
    <row r="792" spans="2:10" ht="21.75">
      <c r="B792" s="3143" t="s">
        <v>3652</v>
      </c>
      <c r="C792" s="3143">
        <f t="shared" si="14"/>
        <v>212</v>
      </c>
      <c r="D792" s="3143" t="str">
        <f ca="1">IFERROR(INDEX('Production cost'!$A:$AU,MATCH($C792,'Production cost'!$AU:$AU,0),6),"")</f>
        <v/>
      </c>
      <c r="E792" s="3143" t="str">
        <f ca="1">IFERROR(INDEX('Production cost'!$A:$AU,MATCH($C792,'Production cost'!$AU:$AU,0),3),"")</f>
        <v/>
      </c>
      <c r="G792" s="3153" t="str">
        <f ca="1">IFERROR(INDEX('Production cost'!$A:$AU,MATCH($C792,'Production cost'!$AU:$AU,0),9),"")</f>
        <v/>
      </c>
      <c r="H792" s="3599" t="str">
        <f ca="1">IFERROR(IFERROR(INDEX('Production cost'!$A:$AU,MATCH($C792,'Production cost'!$AU:$AU,0),11),"")+IFERROR(INDEX('Production cost'!$A:$AU,MATCH($C792,'Production cost'!$AU:$AU,0),12),""),"")</f>
        <v/>
      </c>
      <c r="I792" s="3153" t="str">
        <f ca="1">IFERROR(INDEX('Production cost'!$A:$AU,MATCH($C792,'Production cost'!$AU:$AU,0),18),"")</f>
        <v/>
      </c>
      <c r="J792" s="3153" t="str">
        <f ca="1">IFERROR(INDEX('Production cost'!$A:$AU,MATCH($C792,'Production cost'!$AU:$AU,0),18),"")</f>
        <v/>
      </c>
    </row>
    <row r="793" spans="2:10" ht="21.75">
      <c r="B793" s="3143" t="s">
        <v>3652</v>
      </c>
      <c r="C793" s="3143">
        <f t="shared" si="14"/>
        <v>213</v>
      </c>
      <c r="D793" s="3143" t="str">
        <f ca="1">IFERROR(INDEX('Production cost'!$A:$AU,MATCH($C793,'Production cost'!$AU:$AU,0),6),"")</f>
        <v/>
      </c>
      <c r="E793" s="3143" t="str">
        <f ca="1">IFERROR(INDEX('Production cost'!$A:$AU,MATCH($C793,'Production cost'!$AU:$AU,0),3),"")</f>
        <v/>
      </c>
      <c r="G793" s="3153" t="str">
        <f ca="1">IFERROR(INDEX('Production cost'!$A:$AU,MATCH($C793,'Production cost'!$AU:$AU,0),9),"")</f>
        <v/>
      </c>
      <c r="H793" s="3599" t="str">
        <f ca="1">IFERROR(IFERROR(INDEX('Production cost'!$A:$AU,MATCH($C793,'Production cost'!$AU:$AU,0),11),"")+IFERROR(INDEX('Production cost'!$A:$AU,MATCH($C793,'Production cost'!$AU:$AU,0),12),""),"")</f>
        <v/>
      </c>
      <c r="I793" s="3153" t="str">
        <f ca="1">IFERROR(INDEX('Production cost'!$A:$AU,MATCH($C793,'Production cost'!$AU:$AU,0),18),"")</f>
        <v/>
      </c>
      <c r="J793" s="3153" t="str">
        <f ca="1">IFERROR(INDEX('Production cost'!$A:$AU,MATCH($C793,'Production cost'!$AU:$AU,0),18),"")</f>
        <v/>
      </c>
    </row>
    <row r="794" spans="2:10" ht="21.75">
      <c r="B794" s="3143" t="s">
        <v>3652</v>
      </c>
      <c r="C794" s="3143">
        <f t="shared" si="14"/>
        <v>214</v>
      </c>
      <c r="D794" s="3143" t="str">
        <f ca="1">IFERROR(INDEX('Production cost'!$A:$AU,MATCH($C794,'Production cost'!$AU:$AU,0),6),"")</f>
        <v/>
      </c>
      <c r="E794" s="3143" t="str">
        <f ca="1">IFERROR(INDEX('Production cost'!$A:$AU,MATCH($C794,'Production cost'!$AU:$AU,0),3),"")</f>
        <v/>
      </c>
      <c r="G794" s="3153" t="str">
        <f ca="1">IFERROR(INDEX('Production cost'!$A:$AU,MATCH($C794,'Production cost'!$AU:$AU,0),9),"")</f>
        <v/>
      </c>
      <c r="H794" s="3599" t="str">
        <f ca="1">IFERROR(IFERROR(INDEX('Production cost'!$A:$AU,MATCH($C794,'Production cost'!$AU:$AU,0),11),"")+IFERROR(INDEX('Production cost'!$A:$AU,MATCH($C794,'Production cost'!$AU:$AU,0),12),""),"")</f>
        <v/>
      </c>
      <c r="I794" s="3153" t="str">
        <f ca="1">IFERROR(INDEX('Production cost'!$A:$AU,MATCH($C794,'Production cost'!$AU:$AU,0),18),"")</f>
        <v/>
      </c>
      <c r="J794" s="3153" t="str">
        <f ca="1">IFERROR(INDEX('Production cost'!$A:$AU,MATCH($C794,'Production cost'!$AU:$AU,0),18),"")</f>
        <v/>
      </c>
    </row>
    <row r="795" spans="2:10" ht="21.75">
      <c r="B795" s="3143" t="s">
        <v>3652</v>
      </c>
      <c r="C795" s="3143">
        <f t="shared" si="14"/>
        <v>215</v>
      </c>
      <c r="D795" s="3143" t="str">
        <f ca="1">IFERROR(INDEX('Production cost'!$A:$AU,MATCH($C795,'Production cost'!$AU:$AU,0),6),"")</f>
        <v/>
      </c>
      <c r="E795" s="3143" t="str">
        <f ca="1">IFERROR(INDEX('Production cost'!$A:$AU,MATCH($C795,'Production cost'!$AU:$AU,0),3),"")</f>
        <v/>
      </c>
      <c r="G795" s="3153" t="str">
        <f ca="1">IFERROR(INDEX('Production cost'!$A:$AU,MATCH($C795,'Production cost'!$AU:$AU,0),9),"")</f>
        <v/>
      </c>
      <c r="H795" s="3599" t="str">
        <f ca="1">IFERROR(IFERROR(INDEX('Production cost'!$A:$AU,MATCH($C795,'Production cost'!$AU:$AU,0),11),"")+IFERROR(INDEX('Production cost'!$A:$AU,MATCH($C795,'Production cost'!$AU:$AU,0),12),""),"")</f>
        <v/>
      </c>
      <c r="I795" s="3153" t="str">
        <f ca="1">IFERROR(INDEX('Production cost'!$A:$AU,MATCH($C795,'Production cost'!$AU:$AU,0),18),"")</f>
        <v/>
      </c>
      <c r="J795" s="3153" t="str">
        <f ca="1">IFERROR(INDEX('Production cost'!$A:$AU,MATCH($C795,'Production cost'!$AU:$AU,0),18),"")</f>
        <v/>
      </c>
    </row>
    <row r="796" spans="2:10" ht="21.75">
      <c r="B796" s="3143" t="s">
        <v>3652</v>
      </c>
      <c r="C796" s="3143">
        <f t="shared" si="14"/>
        <v>216</v>
      </c>
      <c r="D796" s="3143" t="str">
        <f ca="1">IFERROR(INDEX('Production cost'!$A:$AU,MATCH($C796,'Production cost'!$AU:$AU,0),6),"")</f>
        <v/>
      </c>
      <c r="E796" s="3143" t="str">
        <f ca="1">IFERROR(INDEX('Production cost'!$A:$AU,MATCH($C796,'Production cost'!$AU:$AU,0),3),"")</f>
        <v/>
      </c>
      <c r="G796" s="3153" t="str">
        <f ca="1">IFERROR(INDEX('Production cost'!$A:$AU,MATCH($C796,'Production cost'!$AU:$AU,0),9),"")</f>
        <v/>
      </c>
      <c r="H796" s="3599" t="str">
        <f ca="1">IFERROR(IFERROR(INDEX('Production cost'!$A:$AU,MATCH($C796,'Production cost'!$AU:$AU,0),11),"")+IFERROR(INDEX('Production cost'!$A:$AU,MATCH($C796,'Production cost'!$AU:$AU,0),12),""),"")</f>
        <v/>
      </c>
      <c r="I796" s="3153" t="str">
        <f ca="1">IFERROR(INDEX('Production cost'!$A:$AU,MATCH($C796,'Production cost'!$AU:$AU,0),18),"")</f>
        <v/>
      </c>
      <c r="J796" s="3153" t="str">
        <f ca="1">IFERROR(INDEX('Production cost'!$A:$AU,MATCH($C796,'Production cost'!$AU:$AU,0),18),"")</f>
        <v/>
      </c>
    </row>
    <row r="797" spans="2:10" ht="21.75">
      <c r="B797" s="3143" t="s">
        <v>3652</v>
      </c>
      <c r="C797" s="3143">
        <f t="shared" si="14"/>
        <v>217</v>
      </c>
      <c r="D797" s="3143" t="str">
        <f ca="1">IFERROR(INDEX('Production cost'!$A:$AU,MATCH($C797,'Production cost'!$AU:$AU,0),6),"")</f>
        <v/>
      </c>
      <c r="E797" s="3143" t="str">
        <f ca="1">IFERROR(INDEX('Production cost'!$A:$AU,MATCH($C797,'Production cost'!$AU:$AU,0),3),"")</f>
        <v/>
      </c>
      <c r="G797" s="3153" t="str">
        <f ca="1">IFERROR(INDEX('Production cost'!$A:$AU,MATCH($C797,'Production cost'!$AU:$AU,0),9),"")</f>
        <v/>
      </c>
      <c r="H797" s="3599" t="str">
        <f ca="1">IFERROR(IFERROR(INDEX('Production cost'!$A:$AU,MATCH($C797,'Production cost'!$AU:$AU,0),11),"")+IFERROR(INDEX('Production cost'!$A:$AU,MATCH($C797,'Production cost'!$AU:$AU,0),12),""),"")</f>
        <v/>
      </c>
      <c r="I797" s="3153" t="str">
        <f ca="1">IFERROR(INDEX('Production cost'!$A:$AU,MATCH($C797,'Production cost'!$AU:$AU,0),18),"")</f>
        <v/>
      </c>
      <c r="J797" s="3153" t="str">
        <f ca="1">IFERROR(INDEX('Production cost'!$A:$AU,MATCH($C797,'Production cost'!$AU:$AU,0),18),"")</f>
        <v/>
      </c>
    </row>
    <row r="798" spans="2:10" ht="21.75">
      <c r="B798" s="3143" t="s">
        <v>3652</v>
      </c>
      <c r="C798" s="3143">
        <f t="shared" si="14"/>
        <v>218</v>
      </c>
      <c r="D798" s="3143" t="str">
        <f ca="1">IFERROR(INDEX('Production cost'!$A:$AU,MATCH($C798,'Production cost'!$AU:$AU,0),6),"")</f>
        <v/>
      </c>
      <c r="E798" s="3143" t="str">
        <f ca="1">IFERROR(INDEX('Production cost'!$A:$AU,MATCH($C798,'Production cost'!$AU:$AU,0),3),"")</f>
        <v/>
      </c>
      <c r="G798" s="3153" t="str">
        <f ca="1">IFERROR(INDEX('Production cost'!$A:$AU,MATCH($C798,'Production cost'!$AU:$AU,0),9),"")</f>
        <v/>
      </c>
      <c r="H798" s="3599" t="str">
        <f ca="1">IFERROR(IFERROR(INDEX('Production cost'!$A:$AU,MATCH($C798,'Production cost'!$AU:$AU,0),11),"")+IFERROR(INDEX('Production cost'!$A:$AU,MATCH($C798,'Production cost'!$AU:$AU,0),12),""),"")</f>
        <v/>
      </c>
      <c r="I798" s="3153" t="str">
        <f ca="1">IFERROR(INDEX('Production cost'!$A:$AU,MATCH($C798,'Production cost'!$AU:$AU,0),18),"")</f>
        <v/>
      </c>
      <c r="J798" s="3153" t="str">
        <f ca="1">IFERROR(INDEX('Production cost'!$A:$AU,MATCH($C798,'Production cost'!$AU:$AU,0),18),"")</f>
        <v/>
      </c>
    </row>
    <row r="799" spans="2:10" ht="21.75">
      <c r="B799" s="3143" t="s">
        <v>3652</v>
      </c>
      <c r="C799" s="3143">
        <f t="shared" si="14"/>
        <v>219</v>
      </c>
      <c r="D799" s="3143" t="str">
        <f ca="1">IFERROR(INDEX('Production cost'!$A:$AU,MATCH($C799,'Production cost'!$AU:$AU,0),6),"")</f>
        <v/>
      </c>
      <c r="E799" s="3143" t="str">
        <f ca="1">IFERROR(INDEX('Production cost'!$A:$AU,MATCH($C799,'Production cost'!$AU:$AU,0),3),"")</f>
        <v/>
      </c>
      <c r="G799" s="3153" t="str">
        <f ca="1">IFERROR(INDEX('Production cost'!$A:$AU,MATCH($C799,'Production cost'!$AU:$AU,0),9),"")</f>
        <v/>
      </c>
      <c r="H799" s="3599" t="str">
        <f ca="1">IFERROR(IFERROR(INDEX('Production cost'!$A:$AU,MATCH($C799,'Production cost'!$AU:$AU,0),11),"")+IFERROR(INDEX('Production cost'!$A:$AU,MATCH($C799,'Production cost'!$AU:$AU,0),12),""),"")</f>
        <v/>
      </c>
      <c r="I799" s="3153" t="str">
        <f ca="1">IFERROR(INDEX('Production cost'!$A:$AU,MATCH($C799,'Production cost'!$AU:$AU,0),18),"")</f>
        <v/>
      </c>
      <c r="J799" s="3153" t="str">
        <f ca="1">IFERROR(INDEX('Production cost'!$A:$AU,MATCH($C799,'Production cost'!$AU:$AU,0),18),"")</f>
        <v/>
      </c>
    </row>
    <row r="800" spans="2:10" ht="21.75">
      <c r="B800" s="3143" t="s">
        <v>3652</v>
      </c>
      <c r="C800" s="3143">
        <f t="shared" si="14"/>
        <v>220</v>
      </c>
      <c r="D800" s="3143" t="str">
        <f ca="1">IFERROR(INDEX('Production cost'!$A:$AU,MATCH($C800,'Production cost'!$AU:$AU,0),6),"")</f>
        <v/>
      </c>
      <c r="E800" s="3143" t="str">
        <f ca="1">IFERROR(INDEX('Production cost'!$A:$AU,MATCH($C800,'Production cost'!$AU:$AU,0),3),"")</f>
        <v/>
      </c>
      <c r="G800" s="3153" t="str">
        <f ca="1">IFERROR(INDEX('Production cost'!$A:$AU,MATCH($C800,'Production cost'!$AU:$AU,0),9),"")</f>
        <v/>
      </c>
      <c r="H800" s="3599" t="str">
        <f ca="1">IFERROR(IFERROR(INDEX('Production cost'!$A:$AU,MATCH($C800,'Production cost'!$AU:$AU,0),11),"")+IFERROR(INDEX('Production cost'!$A:$AU,MATCH($C800,'Production cost'!$AU:$AU,0),12),""),"")</f>
        <v/>
      </c>
      <c r="I800" s="3153" t="str">
        <f ca="1">IFERROR(INDEX('Production cost'!$A:$AU,MATCH($C800,'Production cost'!$AU:$AU,0),18),"")</f>
        <v/>
      </c>
      <c r="J800" s="3153" t="str">
        <f ca="1">IFERROR(INDEX('Production cost'!$A:$AU,MATCH($C800,'Production cost'!$AU:$AU,0),18),"")</f>
        <v/>
      </c>
    </row>
    <row r="801" spans="2:10" ht="21.75">
      <c r="B801" s="3143" t="s">
        <v>3652</v>
      </c>
      <c r="C801" s="3143">
        <f t="shared" si="14"/>
        <v>221</v>
      </c>
      <c r="D801" s="3143" t="str">
        <f ca="1">IFERROR(INDEX('Production cost'!$A:$AU,MATCH($C801,'Production cost'!$AU:$AU,0),6),"")</f>
        <v/>
      </c>
      <c r="E801" s="3143" t="str">
        <f ca="1">IFERROR(INDEX('Production cost'!$A:$AU,MATCH($C801,'Production cost'!$AU:$AU,0),3),"")</f>
        <v/>
      </c>
      <c r="G801" s="3153" t="str">
        <f ca="1">IFERROR(INDEX('Production cost'!$A:$AU,MATCH($C801,'Production cost'!$AU:$AU,0),9),"")</f>
        <v/>
      </c>
      <c r="H801" s="3599" t="str">
        <f ca="1">IFERROR(IFERROR(INDEX('Production cost'!$A:$AU,MATCH($C801,'Production cost'!$AU:$AU,0),11),"")+IFERROR(INDEX('Production cost'!$A:$AU,MATCH($C801,'Production cost'!$AU:$AU,0),12),""),"")</f>
        <v/>
      </c>
      <c r="I801" s="3153" t="str">
        <f ca="1">IFERROR(INDEX('Production cost'!$A:$AU,MATCH($C801,'Production cost'!$AU:$AU,0),18),"")</f>
        <v/>
      </c>
      <c r="J801" s="3153" t="str">
        <f ca="1">IFERROR(INDEX('Production cost'!$A:$AU,MATCH($C801,'Production cost'!$AU:$AU,0),18),"")</f>
        <v/>
      </c>
    </row>
    <row r="802" spans="2:10" ht="21.75">
      <c r="B802" s="3143" t="s">
        <v>3652</v>
      </c>
      <c r="C802" s="3143">
        <f t="shared" si="14"/>
        <v>222</v>
      </c>
      <c r="D802" s="3143" t="str">
        <f ca="1">IFERROR(INDEX('Production cost'!$A:$AU,MATCH($C802,'Production cost'!$AU:$AU,0),6),"")</f>
        <v/>
      </c>
      <c r="E802" s="3143" t="str">
        <f ca="1">IFERROR(INDEX('Production cost'!$A:$AU,MATCH($C802,'Production cost'!$AU:$AU,0),3),"")</f>
        <v/>
      </c>
      <c r="G802" s="3153" t="str">
        <f ca="1">IFERROR(INDEX('Production cost'!$A:$AU,MATCH($C802,'Production cost'!$AU:$AU,0),9),"")</f>
        <v/>
      </c>
      <c r="H802" s="3599" t="str">
        <f ca="1">IFERROR(IFERROR(INDEX('Production cost'!$A:$AU,MATCH($C802,'Production cost'!$AU:$AU,0),11),"")+IFERROR(INDEX('Production cost'!$A:$AU,MATCH($C802,'Production cost'!$AU:$AU,0),12),""),"")</f>
        <v/>
      </c>
      <c r="I802" s="3153" t="str">
        <f ca="1">IFERROR(INDEX('Production cost'!$A:$AU,MATCH($C802,'Production cost'!$AU:$AU,0),18),"")</f>
        <v/>
      </c>
      <c r="J802" s="3153" t="str">
        <f ca="1">IFERROR(INDEX('Production cost'!$A:$AU,MATCH($C802,'Production cost'!$AU:$AU,0),18),"")</f>
        <v/>
      </c>
    </row>
    <row r="803" spans="2:10" ht="21.75">
      <c r="B803" s="3143" t="s">
        <v>3652</v>
      </c>
      <c r="C803" s="3143">
        <f t="shared" si="14"/>
        <v>223</v>
      </c>
      <c r="D803" s="3143" t="str">
        <f ca="1">IFERROR(INDEX('Production cost'!$A:$AU,MATCH($C803,'Production cost'!$AU:$AU,0),6),"")</f>
        <v/>
      </c>
      <c r="E803" s="3143" t="str">
        <f ca="1">IFERROR(INDEX('Production cost'!$A:$AU,MATCH($C803,'Production cost'!$AU:$AU,0),3),"")</f>
        <v/>
      </c>
      <c r="G803" s="3153" t="str">
        <f ca="1">IFERROR(INDEX('Production cost'!$A:$AU,MATCH($C803,'Production cost'!$AU:$AU,0),9),"")</f>
        <v/>
      </c>
      <c r="H803" s="3599" t="str">
        <f ca="1">IFERROR(IFERROR(INDEX('Production cost'!$A:$AU,MATCH($C803,'Production cost'!$AU:$AU,0),11),"")+IFERROR(INDEX('Production cost'!$A:$AU,MATCH($C803,'Production cost'!$AU:$AU,0),12),""),"")</f>
        <v/>
      </c>
      <c r="I803" s="3153" t="str">
        <f ca="1">IFERROR(INDEX('Production cost'!$A:$AU,MATCH($C803,'Production cost'!$AU:$AU,0),18),"")</f>
        <v/>
      </c>
      <c r="J803" s="3153" t="str">
        <f ca="1">IFERROR(INDEX('Production cost'!$A:$AU,MATCH($C803,'Production cost'!$AU:$AU,0),18),"")</f>
        <v/>
      </c>
    </row>
    <row r="804" spans="2:10" ht="21.75">
      <c r="B804" s="3143" t="s">
        <v>3652</v>
      </c>
      <c r="C804" s="3143">
        <f t="shared" si="14"/>
        <v>224</v>
      </c>
      <c r="D804" s="3143" t="str">
        <f ca="1">IFERROR(INDEX('Production cost'!$A:$AU,MATCH($C804,'Production cost'!$AU:$AU,0),6),"")</f>
        <v/>
      </c>
      <c r="E804" s="3143" t="str">
        <f ca="1">IFERROR(INDEX('Production cost'!$A:$AU,MATCH($C804,'Production cost'!$AU:$AU,0),3),"")</f>
        <v/>
      </c>
      <c r="G804" s="3153" t="str">
        <f ca="1">IFERROR(INDEX('Production cost'!$A:$AU,MATCH($C804,'Production cost'!$AU:$AU,0),9),"")</f>
        <v/>
      </c>
      <c r="H804" s="3599" t="str">
        <f ca="1">IFERROR(IFERROR(INDEX('Production cost'!$A:$AU,MATCH($C804,'Production cost'!$AU:$AU,0),11),"")+IFERROR(INDEX('Production cost'!$A:$AU,MATCH($C804,'Production cost'!$AU:$AU,0),12),""),"")</f>
        <v/>
      </c>
      <c r="I804" s="3153" t="str">
        <f ca="1">IFERROR(INDEX('Production cost'!$A:$AU,MATCH($C804,'Production cost'!$AU:$AU,0),18),"")</f>
        <v/>
      </c>
      <c r="J804" s="3153" t="str">
        <f ca="1">IFERROR(INDEX('Production cost'!$A:$AU,MATCH($C804,'Production cost'!$AU:$AU,0),18),"")</f>
        <v/>
      </c>
    </row>
    <row r="805" spans="2:10" ht="21.75">
      <c r="B805" s="3143" t="s">
        <v>3652</v>
      </c>
      <c r="C805" s="3143">
        <f t="shared" si="14"/>
        <v>225</v>
      </c>
      <c r="D805" s="3143" t="str">
        <f ca="1">IFERROR(INDEX('Production cost'!$A:$AU,MATCH($C805,'Production cost'!$AU:$AU,0),6),"")</f>
        <v/>
      </c>
      <c r="E805" s="3143" t="str">
        <f ca="1">IFERROR(INDEX('Production cost'!$A:$AU,MATCH($C805,'Production cost'!$AU:$AU,0),3),"")</f>
        <v/>
      </c>
      <c r="G805" s="3153" t="str">
        <f ca="1">IFERROR(INDEX('Production cost'!$A:$AU,MATCH($C805,'Production cost'!$AU:$AU,0),9),"")</f>
        <v/>
      </c>
      <c r="H805" s="3599" t="str">
        <f ca="1">IFERROR(IFERROR(INDEX('Production cost'!$A:$AU,MATCH($C805,'Production cost'!$AU:$AU,0),11),"")+IFERROR(INDEX('Production cost'!$A:$AU,MATCH($C805,'Production cost'!$AU:$AU,0),12),""),"")</f>
        <v/>
      </c>
      <c r="I805" s="3153" t="str">
        <f ca="1">IFERROR(INDEX('Production cost'!$A:$AU,MATCH($C805,'Production cost'!$AU:$AU,0),18),"")</f>
        <v/>
      </c>
      <c r="J805" s="3153" t="str">
        <f ca="1">IFERROR(INDEX('Production cost'!$A:$AU,MATCH($C805,'Production cost'!$AU:$AU,0),18),"")</f>
        <v/>
      </c>
    </row>
    <row r="806" spans="2:10" ht="21.75">
      <c r="B806" s="3143" t="s">
        <v>3652</v>
      </c>
      <c r="C806" s="3143">
        <f t="shared" si="14"/>
        <v>226</v>
      </c>
      <c r="D806" s="3143" t="str">
        <f ca="1">IFERROR(INDEX('Production cost'!$A:$AU,MATCH($C806,'Production cost'!$AU:$AU,0),6),"")</f>
        <v/>
      </c>
      <c r="E806" s="3143" t="str">
        <f ca="1">IFERROR(INDEX('Production cost'!$A:$AU,MATCH($C806,'Production cost'!$AU:$AU,0),3),"")</f>
        <v/>
      </c>
      <c r="G806" s="3153" t="str">
        <f ca="1">IFERROR(INDEX('Production cost'!$A:$AU,MATCH($C806,'Production cost'!$AU:$AU,0),9),"")</f>
        <v/>
      </c>
      <c r="H806" s="3599" t="str">
        <f ca="1">IFERROR(IFERROR(INDEX('Production cost'!$A:$AU,MATCH($C806,'Production cost'!$AU:$AU,0),11),"")+IFERROR(INDEX('Production cost'!$A:$AU,MATCH($C806,'Production cost'!$AU:$AU,0),12),""),"")</f>
        <v/>
      </c>
      <c r="I806" s="3153" t="str">
        <f ca="1">IFERROR(INDEX('Production cost'!$A:$AU,MATCH($C806,'Production cost'!$AU:$AU,0),18),"")</f>
        <v/>
      </c>
      <c r="J806" s="3153" t="str">
        <f ca="1">IFERROR(INDEX('Production cost'!$A:$AU,MATCH($C806,'Production cost'!$AU:$AU,0),18),"")</f>
        <v/>
      </c>
    </row>
    <row r="807" spans="2:10" ht="21.75">
      <c r="B807" s="3143" t="s">
        <v>3652</v>
      </c>
      <c r="C807" s="3143">
        <f t="shared" si="14"/>
        <v>227</v>
      </c>
      <c r="D807" s="3143" t="str">
        <f ca="1">IFERROR(INDEX('Production cost'!$A:$AU,MATCH($C807,'Production cost'!$AU:$AU,0),6),"")</f>
        <v/>
      </c>
      <c r="E807" s="3143" t="str">
        <f ca="1">IFERROR(INDEX('Production cost'!$A:$AU,MATCH($C807,'Production cost'!$AU:$AU,0),3),"")</f>
        <v/>
      </c>
      <c r="G807" s="3153" t="str">
        <f ca="1">IFERROR(INDEX('Production cost'!$A:$AU,MATCH($C807,'Production cost'!$AU:$AU,0),9),"")</f>
        <v/>
      </c>
      <c r="H807" s="3599" t="str">
        <f ca="1">IFERROR(IFERROR(INDEX('Production cost'!$A:$AU,MATCH($C807,'Production cost'!$AU:$AU,0),11),"")+IFERROR(INDEX('Production cost'!$A:$AU,MATCH($C807,'Production cost'!$AU:$AU,0),12),""),"")</f>
        <v/>
      </c>
      <c r="I807" s="3153" t="str">
        <f ca="1">IFERROR(INDEX('Production cost'!$A:$AU,MATCH($C807,'Production cost'!$AU:$AU,0),18),"")</f>
        <v/>
      </c>
      <c r="J807" s="3153" t="str">
        <f ca="1">IFERROR(INDEX('Production cost'!$A:$AU,MATCH($C807,'Production cost'!$AU:$AU,0),18),"")</f>
        <v/>
      </c>
    </row>
    <row r="808" spans="2:10" ht="21.75">
      <c r="B808" s="3143" t="s">
        <v>3652</v>
      </c>
      <c r="C808" s="3143">
        <f t="shared" si="14"/>
        <v>228</v>
      </c>
      <c r="D808" s="3143" t="str">
        <f ca="1">IFERROR(INDEX('Production cost'!$A:$AU,MATCH($C808,'Production cost'!$AU:$AU,0),6),"")</f>
        <v/>
      </c>
      <c r="E808" s="3143" t="str">
        <f ca="1">IFERROR(INDEX('Production cost'!$A:$AU,MATCH($C808,'Production cost'!$AU:$AU,0),3),"")</f>
        <v/>
      </c>
      <c r="G808" s="3153" t="str">
        <f ca="1">IFERROR(INDEX('Production cost'!$A:$AU,MATCH($C808,'Production cost'!$AU:$AU,0),9),"")</f>
        <v/>
      </c>
      <c r="H808" s="3599" t="str">
        <f ca="1">IFERROR(IFERROR(INDEX('Production cost'!$A:$AU,MATCH($C808,'Production cost'!$AU:$AU,0),11),"")+IFERROR(INDEX('Production cost'!$A:$AU,MATCH($C808,'Production cost'!$AU:$AU,0),12),""),"")</f>
        <v/>
      </c>
      <c r="I808" s="3153" t="str">
        <f ca="1">IFERROR(INDEX('Production cost'!$A:$AU,MATCH($C808,'Production cost'!$AU:$AU,0),18),"")</f>
        <v/>
      </c>
      <c r="J808" s="3153" t="str">
        <f ca="1">IFERROR(INDEX('Production cost'!$A:$AU,MATCH($C808,'Production cost'!$AU:$AU,0),18),"")</f>
        <v/>
      </c>
    </row>
    <row r="809" spans="2:10" ht="21.75">
      <c r="B809" s="3143" t="s">
        <v>3652</v>
      </c>
      <c r="C809" s="3143">
        <f t="shared" si="14"/>
        <v>229</v>
      </c>
      <c r="D809" s="3143" t="str">
        <f ca="1">IFERROR(INDEX('Production cost'!$A:$AU,MATCH($C809,'Production cost'!$AU:$AU,0),6),"")</f>
        <v/>
      </c>
      <c r="E809" s="3143" t="str">
        <f ca="1">IFERROR(INDEX('Production cost'!$A:$AU,MATCH($C809,'Production cost'!$AU:$AU,0),3),"")</f>
        <v/>
      </c>
      <c r="G809" s="3153" t="str">
        <f ca="1">IFERROR(INDEX('Production cost'!$A:$AU,MATCH($C809,'Production cost'!$AU:$AU,0),9),"")</f>
        <v/>
      </c>
      <c r="H809" s="3599" t="str">
        <f ca="1">IFERROR(IFERROR(INDEX('Production cost'!$A:$AU,MATCH($C809,'Production cost'!$AU:$AU,0),11),"")+IFERROR(INDEX('Production cost'!$A:$AU,MATCH($C809,'Production cost'!$AU:$AU,0),12),""),"")</f>
        <v/>
      </c>
      <c r="I809" s="3153" t="str">
        <f ca="1">IFERROR(INDEX('Production cost'!$A:$AU,MATCH($C809,'Production cost'!$AU:$AU,0),18),"")</f>
        <v/>
      </c>
      <c r="J809" s="3153" t="str">
        <f ca="1">IFERROR(INDEX('Production cost'!$A:$AU,MATCH($C809,'Production cost'!$AU:$AU,0),18),"")</f>
        <v/>
      </c>
    </row>
    <row r="810" spans="2:10" ht="21.75">
      <c r="B810" s="3143" t="s">
        <v>3652</v>
      </c>
      <c r="C810" s="3143">
        <f t="shared" si="14"/>
        <v>230</v>
      </c>
      <c r="D810" s="3143" t="str">
        <f ca="1">IFERROR(INDEX('Production cost'!$A:$AU,MATCH($C810,'Production cost'!$AU:$AU,0),6),"")</f>
        <v/>
      </c>
      <c r="E810" s="3143" t="str">
        <f ca="1">IFERROR(INDEX('Production cost'!$A:$AU,MATCH($C810,'Production cost'!$AU:$AU,0),3),"")</f>
        <v/>
      </c>
      <c r="G810" s="3153" t="str">
        <f ca="1">IFERROR(INDEX('Production cost'!$A:$AU,MATCH($C810,'Production cost'!$AU:$AU,0),9),"")</f>
        <v/>
      </c>
      <c r="H810" s="3599" t="str">
        <f ca="1">IFERROR(IFERROR(INDEX('Production cost'!$A:$AU,MATCH($C810,'Production cost'!$AU:$AU,0),11),"")+IFERROR(INDEX('Production cost'!$A:$AU,MATCH($C810,'Production cost'!$AU:$AU,0),12),""),"")</f>
        <v/>
      </c>
      <c r="I810" s="3153" t="str">
        <f ca="1">IFERROR(INDEX('Production cost'!$A:$AU,MATCH($C810,'Production cost'!$AU:$AU,0),18),"")</f>
        <v/>
      </c>
      <c r="J810" s="3153" t="str">
        <f ca="1">IFERROR(INDEX('Production cost'!$A:$AU,MATCH($C810,'Production cost'!$AU:$AU,0),18),"")</f>
        <v/>
      </c>
    </row>
    <row r="811" spans="2:10" ht="21.75">
      <c r="B811" s="3143" t="s">
        <v>3652</v>
      </c>
      <c r="C811" s="3143">
        <f t="shared" si="14"/>
        <v>231</v>
      </c>
      <c r="D811" s="3143" t="str">
        <f ca="1">IFERROR(INDEX('Production cost'!$A:$AU,MATCH($C811,'Production cost'!$AU:$AU,0),6),"")</f>
        <v/>
      </c>
      <c r="E811" s="3143" t="str">
        <f ca="1">IFERROR(INDEX('Production cost'!$A:$AU,MATCH($C811,'Production cost'!$AU:$AU,0),3),"")</f>
        <v/>
      </c>
      <c r="G811" s="3153" t="str">
        <f ca="1">IFERROR(INDEX('Production cost'!$A:$AU,MATCH($C811,'Production cost'!$AU:$AU,0),9),"")</f>
        <v/>
      </c>
      <c r="H811" s="3599" t="str">
        <f ca="1">IFERROR(IFERROR(INDEX('Production cost'!$A:$AU,MATCH($C811,'Production cost'!$AU:$AU,0),11),"")+IFERROR(INDEX('Production cost'!$A:$AU,MATCH($C811,'Production cost'!$AU:$AU,0),12),""),"")</f>
        <v/>
      </c>
      <c r="I811" s="3153" t="str">
        <f ca="1">IFERROR(INDEX('Production cost'!$A:$AU,MATCH($C811,'Production cost'!$AU:$AU,0),18),"")</f>
        <v/>
      </c>
      <c r="J811" s="3153" t="str">
        <f ca="1">IFERROR(INDEX('Production cost'!$A:$AU,MATCH($C811,'Production cost'!$AU:$AU,0),18),"")</f>
        <v/>
      </c>
    </row>
    <row r="812" spans="2:10" ht="21.75">
      <c r="B812" s="3143" t="s">
        <v>3652</v>
      </c>
      <c r="C812" s="3143">
        <f t="shared" si="14"/>
        <v>232</v>
      </c>
      <c r="D812" s="3143" t="str">
        <f ca="1">IFERROR(INDEX('Production cost'!$A:$AU,MATCH($C812,'Production cost'!$AU:$AU,0),6),"")</f>
        <v/>
      </c>
      <c r="E812" s="3143" t="str">
        <f ca="1">IFERROR(INDEX('Production cost'!$A:$AU,MATCH($C812,'Production cost'!$AU:$AU,0),3),"")</f>
        <v/>
      </c>
      <c r="G812" s="3153" t="str">
        <f ca="1">IFERROR(INDEX('Production cost'!$A:$AU,MATCH($C812,'Production cost'!$AU:$AU,0),9),"")</f>
        <v/>
      </c>
      <c r="H812" s="3599" t="str">
        <f ca="1">IFERROR(IFERROR(INDEX('Production cost'!$A:$AU,MATCH($C812,'Production cost'!$AU:$AU,0),11),"")+IFERROR(INDEX('Production cost'!$A:$AU,MATCH($C812,'Production cost'!$AU:$AU,0),12),""),"")</f>
        <v/>
      </c>
      <c r="I812" s="3153" t="str">
        <f ca="1">IFERROR(INDEX('Production cost'!$A:$AU,MATCH($C812,'Production cost'!$AU:$AU,0),18),"")</f>
        <v/>
      </c>
      <c r="J812" s="3153" t="str">
        <f ca="1">IFERROR(INDEX('Production cost'!$A:$AU,MATCH($C812,'Production cost'!$AU:$AU,0),18),"")</f>
        <v/>
      </c>
    </row>
    <row r="813" spans="2:10" ht="21.75">
      <c r="B813" s="3143" t="s">
        <v>3652</v>
      </c>
      <c r="C813" s="3143">
        <f t="shared" si="14"/>
        <v>233</v>
      </c>
      <c r="D813" s="3143" t="str">
        <f ca="1">IFERROR(INDEX('Production cost'!$A:$AU,MATCH($C813,'Production cost'!$AU:$AU,0),6),"")</f>
        <v/>
      </c>
      <c r="E813" s="3143" t="str">
        <f ca="1">IFERROR(INDEX('Production cost'!$A:$AU,MATCH($C813,'Production cost'!$AU:$AU,0),3),"")</f>
        <v/>
      </c>
      <c r="G813" s="3153" t="str">
        <f ca="1">IFERROR(INDEX('Production cost'!$A:$AU,MATCH($C813,'Production cost'!$AU:$AU,0),9),"")</f>
        <v/>
      </c>
      <c r="H813" s="3599" t="str">
        <f ca="1">IFERROR(IFERROR(INDEX('Production cost'!$A:$AU,MATCH($C813,'Production cost'!$AU:$AU,0),11),"")+IFERROR(INDEX('Production cost'!$A:$AU,MATCH($C813,'Production cost'!$AU:$AU,0),12),""),"")</f>
        <v/>
      </c>
      <c r="I813" s="3153" t="str">
        <f ca="1">IFERROR(INDEX('Production cost'!$A:$AU,MATCH($C813,'Production cost'!$AU:$AU,0),18),"")</f>
        <v/>
      </c>
      <c r="J813" s="3153" t="str">
        <f ca="1">IFERROR(INDEX('Production cost'!$A:$AU,MATCH($C813,'Production cost'!$AU:$AU,0),18),"")</f>
        <v/>
      </c>
    </row>
    <row r="814" spans="2:10" ht="21.75">
      <c r="B814" s="3143" t="s">
        <v>3652</v>
      </c>
      <c r="C814" s="3143">
        <f t="shared" si="14"/>
        <v>234</v>
      </c>
      <c r="D814" s="3143" t="str">
        <f ca="1">IFERROR(INDEX('Production cost'!$A:$AU,MATCH($C814,'Production cost'!$AU:$AU,0),6),"")</f>
        <v/>
      </c>
      <c r="E814" s="3143" t="str">
        <f ca="1">IFERROR(INDEX('Production cost'!$A:$AU,MATCH($C814,'Production cost'!$AU:$AU,0),3),"")</f>
        <v/>
      </c>
      <c r="G814" s="3153" t="str">
        <f ca="1">IFERROR(INDEX('Production cost'!$A:$AU,MATCH($C814,'Production cost'!$AU:$AU,0),9),"")</f>
        <v/>
      </c>
      <c r="H814" s="3599" t="str">
        <f ca="1">IFERROR(IFERROR(INDEX('Production cost'!$A:$AU,MATCH($C814,'Production cost'!$AU:$AU,0),11),"")+IFERROR(INDEX('Production cost'!$A:$AU,MATCH($C814,'Production cost'!$AU:$AU,0),12),""),"")</f>
        <v/>
      </c>
      <c r="I814" s="3153" t="str">
        <f ca="1">IFERROR(INDEX('Production cost'!$A:$AU,MATCH($C814,'Production cost'!$AU:$AU,0),18),"")</f>
        <v/>
      </c>
      <c r="J814" s="3153" t="str">
        <f ca="1">IFERROR(INDEX('Production cost'!$A:$AU,MATCH($C814,'Production cost'!$AU:$AU,0),18),"")</f>
        <v/>
      </c>
    </row>
    <row r="815" spans="2:10" ht="21.75">
      <c r="B815" s="3143" t="s">
        <v>3652</v>
      </c>
      <c r="C815" s="3143">
        <f t="shared" si="14"/>
        <v>235</v>
      </c>
      <c r="D815" s="3143" t="str">
        <f ca="1">IFERROR(INDEX('Production cost'!$A:$AU,MATCH($C815,'Production cost'!$AU:$AU,0),6),"")</f>
        <v/>
      </c>
      <c r="E815" s="3143" t="str">
        <f ca="1">IFERROR(INDEX('Production cost'!$A:$AU,MATCH($C815,'Production cost'!$AU:$AU,0),3),"")</f>
        <v/>
      </c>
      <c r="G815" s="3153" t="str">
        <f ca="1">IFERROR(INDEX('Production cost'!$A:$AU,MATCH($C815,'Production cost'!$AU:$AU,0),9),"")</f>
        <v/>
      </c>
      <c r="H815" s="3599" t="str">
        <f ca="1">IFERROR(IFERROR(INDEX('Production cost'!$A:$AU,MATCH($C815,'Production cost'!$AU:$AU,0),11),"")+IFERROR(INDEX('Production cost'!$A:$AU,MATCH($C815,'Production cost'!$AU:$AU,0),12),""),"")</f>
        <v/>
      </c>
      <c r="I815" s="3153" t="str">
        <f ca="1">IFERROR(INDEX('Production cost'!$A:$AU,MATCH($C815,'Production cost'!$AU:$AU,0),18),"")</f>
        <v/>
      </c>
      <c r="J815" s="3153" t="str">
        <f ca="1">IFERROR(INDEX('Production cost'!$A:$AU,MATCH($C815,'Production cost'!$AU:$AU,0),18),"")</f>
        <v/>
      </c>
    </row>
    <row r="816" spans="2:10" ht="21.75">
      <c r="B816" s="3143" t="s">
        <v>3652</v>
      </c>
      <c r="C816" s="3143">
        <f t="shared" si="14"/>
        <v>236</v>
      </c>
      <c r="D816" s="3143" t="str">
        <f ca="1">IFERROR(INDEX('Production cost'!$A:$AU,MATCH($C816,'Production cost'!$AU:$AU,0),6),"")</f>
        <v/>
      </c>
      <c r="E816" s="3143" t="str">
        <f ca="1">IFERROR(INDEX('Production cost'!$A:$AU,MATCH($C816,'Production cost'!$AU:$AU,0),3),"")</f>
        <v/>
      </c>
      <c r="G816" s="3153" t="str">
        <f ca="1">IFERROR(INDEX('Production cost'!$A:$AU,MATCH($C816,'Production cost'!$AU:$AU,0),9),"")</f>
        <v/>
      </c>
      <c r="H816" s="3599" t="str">
        <f ca="1">IFERROR(IFERROR(INDEX('Production cost'!$A:$AU,MATCH($C816,'Production cost'!$AU:$AU,0),11),"")+IFERROR(INDEX('Production cost'!$A:$AU,MATCH($C816,'Production cost'!$AU:$AU,0),12),""),"")</f>
        <v/>
      </c>
      <c r="I816" s="3153" t="str">
        <f ca="1">IFERROR(INDEX('Production cost'!$A:$AU,MATCH($C816,'Production cost'!$AU:$AU,0),18),"")</f>
        <v/>
      </c>
      <c r="J816" s="3153" t="str">
        <f ca="1">IFERROR(INDEX('Production cost'!$A:$AU,MATCH($C816,'Production cost'!$AU:$AU,0),18),"")</f>
        <v/>
      </c>
    </row>
    <row r="817" spans="2:10" ht="21.75">
      <c r="B817" s="3143" t="s">
        <v>3652</v>
      </c>
      <c r="C817" s="3143">
        <f t="shared" si="14"/>
        <v>237</v>
      </c>
      <c r="D817" s="3143" t="str">
        <f ca="1">IFERROR(INDEX('Production cost'!$A:$AU,MATCH($C817,'Production cost'!$AU:$AU,0),6),"")</f>
        <v/>
      </c>
      <c r="E817" s="3143" t="str">
        <f ca="1">IFERROR(INDEX('Production cost'!$A:$AU,MATCH($C817,'Production cost'!$AU:$AU,0),3),"")</f>
        <v/>
      </c>
      <c r="G817" s="3153" t="str">
        <f ca="1">IFERROR(INDEX('Production cost'!$A:$AU,MATCH($C817,'Production cost'!$AU:$AU,0),9),"")</f>
        <v/>
      </c>
      <c r="H817" s="3599" t="str">
        <f ca="1">IFERROR(IFERROR(INDEX('Production cost'!$A:$AU,MATCH($C817,'Production cost'!$AU:$AU,0),11),"")+IFERROR(INDEX('Production cost'!$A:$AU,MATCH($C817,'Production cost'!$AU:$AU,0),12),""),"")</f>
        <v/>
      </c>
      <c r="I817" s="3153" t="str">
        <f ca="1">IFERROR(INDEX('Production cost'!$A:$AU,MATCH($C817,'Production cost'!$AU:$AU,0),18),"")</f>
        <v/>
      </c>
      <c r="J817" s="3153" t="str">
        <f ca="1">IFERROR(INDEX('Production cost'!$A:$AU,MATCH($C817,'Production cost'!$AU:$AU,0),18),"")</f>
        <v/>
      </c>
    </row>
    <row r="818" spans="2:10" ht="21.75">
      <c r="B818" s="3143" t="s">
        <v>3652</v>
      </c>
      <c r="C818" s="3143">
        <f t="shared" si="14"/>
        <v>238</v>
      </c>
      <c r="D818" s="3143" t="str">
        <f ca="1">IFERROR(INDEX('Production cost'!$A:$AU,MATCH($C818,'Production cost'!$AU:$AU,0),6),"")</f>
        <v/>
      </c>
      <c r="E818" s="3143" t="str">
        <f ca="1">IFERROR(INDEX('Production cost'!$A:$AU,MATCH($C818,'Production cost'!$AU:$AU,0),3),"")</f>
        <v/>
      </c>
      <c r="G818" s="3153" t="str">
        <f ca="1">IFERROR(INDEX('Production cost'!$A:$AU,MATCH($C818,'Production cost'!$AU:$AU,0),9),"")</f>
        <v/>
      </c>
      <c r="H818" s="3599" t="str">
        <f ca="1">IFERROR(IFERROR(INDEX('Production cost'!$A:$AU,MATCH($C818,'Production cost'!$AU:$AU,0),11),"")+IFERROR(INDEX('Production cost'!$A:$AU,MATCH($C818,'Production cost'!$AU:$AU,0),12),""),"")</f>
        <v/>
      </c>
      <c r="I818" s="3153" t="str">
        <f ca="1">IFERROR(INDEX('Production cost'!$A:$AU,MATCH($C818,'Production cost'!$AU:$AU,0),18),"")</f>
        <v/>
      </c>
      <c r="J818" s="3153" t="str">
        <f ca="1">IFERROR(INDEX('Production cost'!$A:$AU,MATCH($C818,'Production cost'!$AU:$AU,0),18),"")</f>
        <v/>
      </c>
    </row>
    <row r="819" spans="2:10" ht="21.75">
      <c r="B819" s="3143" t="s">
        <v>3652</v>
      </c>
      <c r="C819" s="3143">
        <f t="shared" si="14"/>
        <v>239</v>
      </c>
      <c r="D819" s="3143" t="str">
        <f ca="1">IFERROR(INDEX('Production cost'!$A:$AU,MATCH($C819,'Production cost'!$AU:$AU,0),6),"")</f>
        <v/>
      </c>
      <c r="E819" s="3143" t="str">
        <f ca="1">IFERROR(INDEX('Production cost'!$A:$AU,MATCH($C819,'Production cost'!$AU:$AU,0),3),"")</f>
        <v/>
      </c>
      <c r="G819" s="3153" t="str">
        <f ca="1">IFERROR(INDEX('Production cost'!$A:$AU,MATCH($C819,'Production cost'!$AU:$AU,0),9),"")</f>
        <v/>
      </c>
      <c r="H819" s="3599" t="str">
        <f ca="1">IFERROR(IFERROR(INDEX('Production cost'!$A:$AU,MATCH($C819,'Production cost'!$AU:$AU,0),11),"")+IFERROR(INDEX('Production cost'!$A:$AU,MATCH($C819,'Production cost'!$AU:$AU,0),12),""),"")</f>
        <v/>
      </c>
      <c r="I819" s="3153" t="str">
        <f ca="1">IFERROR(INDEX('Production cost'!$A:$AU,MATCH($C819,'Production cost'!$AU:$AU,0),18),"")</f>
        <v/>
      </c>
      <c r="J819" s="3153" t="str">
        <f ca="1">IFERROR(INDEX('Production cost'!$A:$AU,MATCH($C819,'Production cost'!$AU:$AU,0),18),"")</f>
        <v/>
      </c>
    </row>
    <row r="820" spans="2:10" ht="21.75">
      <c r="B820" s="3143" t="s">
        <v>3652</v>
      </c>
      <c r="C820" s="3143">
        <f t="shared" si="14"/>
        <v>240</v>
      </c>
      <c r="D820" s="3143" t="str">
        <f ca="1">IFERROR(INDEX('Production cost'!$A:$AU,MATCH($C820,'Production cost'!$AU:$AU,0),6),"")</f>
        <v/>
      </c>
      <c r="E820" s="3143" t="str">
        <f ca="1">IFERROR(INDEX('Production cost'!$A:$AU,MATCH($C820,'Production cost'!$AU:$AU,0),3),"")</f>
        <v/>
      </c>
      <c r="G820" s="3153" t="str">
        <f ca="1">IFERROR(INDEX('Production cost'!$A:$AU,MATCH($C820,'Production cost'!$AU:$AU,0),9),"")</f>
        <v/>
      </c>
      <c r="H820" s="3599" t="str">
        <f ca="1">IFERROR(IFERROR(INDEX('Production cost'!$A:$AU,MATCH($C820,'Production cost'!$AU:$AU,0),11),"")+IFERROR(INDEX('Production cost'!$A:$AU,MATCH($C820,'Production cost'!$AU:$AU,0),12),""),"")</f>
        <v/>
      </c>
      <c r="I820" s="3153" t="str">
        <f ca="1">IFERROR(INDEX('Production cost'!$A:$AU,MATCH($C820,'Production cost'!$AU:$AU,0),18),"")</f>
        <v/>
      </c>
      <c r="J820" s="3153" t="str">
        <f ca="1">IFERROR(INDEX('Production cost'!$A:$AU,MATCH($C820,'Production cost'!$AU:$AU,0),18),"")</f>
        <v/>
      </c>
    </row>
    <row r="821" spans="2:10" ht="21.75">
      <c r="B821" s="3143" t="s">
        <v>3652</v>
      </c>
      <c r="C821" s="3143">
        <f t="shared" si="14"/>
        <v>241</v>
      </c>
      <c r="D821" s="3143" t="str">
        <f ca="1">IFERROR(INDEX('Production cost'!$A:$AU,MATCH($C821,'Production cost'!$AU:$AU,0),6),"")</f>
        <v/>
      </c>
      <c r="E821" s="3143" t="str">
        <f ca="1">IFERROR(INDEX('Production cost'!$A:$AU,MATCH($C821,'Production cost'!$AU:$AU,0),3),"")</f>
        <v/>
      </c>
      <c r="G821" s="3153" t="str">
        <f ca="1">IFERROR(INDEX('Production cost'!$A:$AU,MATCH($C821,'Production cost'!$AU:$AU,0),9),"")</f>
        <v/>
      </c>
      <c r="H821" s="3599" t="str">
        <f ca="1">IFERROR(IFERROR(INDEX('Production cost'!$A:$AU,MATCH($C821,'Production cost'!$AU:$AU,0),11),"")+IFERROR(INDEX('Production cost'!$A:$AU,MATCH($C821,'Production cost'!$AU:$AU,0),12),""),"")</f>
        <v/>
      </c>
      <c r="I821" s="3153" t="str">
        <f ca="1">IFERROR(INDEX('Production cost'!$A:$AU,MATCH($C821,'Production cost'!$AU:$AU,0),18),"")</f>
        <v/>
      </c>
      <c r="J821" s="3153" t="str">
        <f ca="1">IFERROR(INDEX('Production cost'!$A:$AU,MATCH($C821,'Production cost'!$AU:$AU,0),18),"")</f>
        <v/>
      </c>
    </row>
    <row r="822" spans="2:10" ht="21.75">
      <c r="B822" s="3143" t="s">
        <v>3652</v>
      </c>
      <c r="C822" s="3143">
        <f t="shared" si="14"/>
        <v>242</v>
      </c>
      <c r="D822" s="3143" t="str">
        <f ca="1">IFERROR(INDEX('Production cost'!$A:$AU,MATCH($C822,'Production cost'!$AU:$AU,0),6),"")</f>
        <v/>
      </c>
      <c r="E822" s="3143" t="str">
        <f ca="1">IFERROR(INDEX('Production cost'!$A:$AU,MATCH($C822,'Production cost'!$AU:$AU,0),3),"")</f>
        <v/>
      </c>
      <c r="G822" s="3153" t="str">
        <f ca="1">IFERROR(INDEX('Production cost'!$A:$AU,MATCH($C822,'Production cost'!$AU:$AU,0),9),"")</f>
        <v/>
      </c>
      <c r="H822" s="3599" t="str">
        <f ca="1">IFERROR(IFERROR(INDEX('Production cost'!$A:$AU,MATCH($C822,'Production cost'!$AU:$AU,0),11),"")+IFERROR(INDEX('Production cost'!$A:$AU,MATCH($C822,'Production cost'!$AU:$AU,0),12),""),"")</f>
        <v/>
      </c>
      <c r="I822" s="3153" t="str">
        <f ca="1">IFERROR(INDEX('Production cost'!$A:$AU,MATCH($C822,'Production cost'!$AU:$AU,0),18),"")</f>
        <v/>
      </c>
      <c r="J822" s="3153" t="str">
        <f ca="1">IFERROR(INDEX('Production cost'!$A:$AU,MATCH($C822,'Production cost'!$AU:$AU,0),18),"")</f>
        <v/>
      </c>
    </row>
    <row r="823" spans="2:10" ht="21.75">
      <c r="B823" s="3143" t="s">
        <v>3652</v>
      </c>
      <c r="C823" s="3143">
        <f t="shared" si="14"/>
        <v>243</v>
      </c>
      <c r="D823" s="3143" t="str">
        <f ca="1">IFERROR(INDEX('Production cost'!$A:$AU,MATCH($C823,'Production cost'!$AU:$AU,0),6),"")</f>
        <v/>
      </c>
      <c r="E823" s="3143" t="str">
        <f ca="1">IFERROR(INDEX('Production cost'!$A:$AU,MATCH($C823,'Production cost'!$AU:$AU,0),3),"")</f>
        <v/>
      </c>
      <c r="G823" s="3153" t="str">
        <f ca="1">IFERROR(INDEX('Production cost'!$A:$AU,MATCH($C823,'Production cost'!$AU:$AU,0),9),"")</f>
        <v/>
      </c>
      <c r="H823" s="3599" t="str">
        <f ca="1">IFERROR(IFERROR(INDEX('Production cost'!$A:$AU,MATCH($C823,'Production cost'!$AU:$AU,0),11),"")+IFERROR(INDEX('Production cost'!$A:$AU,MATCH($C823,'Production cost'!$AU:$AU,0),12),""),"")</f>
        <v/>
      </c>
      <c r="I823" s="3153" t="str">
        <f ca="1">IFERROR(INDEX('Production cost'!$A:$AU,MATCH($C823,'Production cost'!$AU:$AU,0),18),"")</f>
        <v/>
      </c>
      <c r="J823" s="3153" t="str">
        <f ca="1">IFERROR(INDEX('Production cost'!$A:$AU,MATCH($C823,'Production cost'!$AU:$AU,0),18),"")</f>
        <v/>
      </c>
    </row>
    <row r="824" spans="2:10" ht="21.75">
      <c r="B824" s="3143" t="s">
        <v>3652</v>
      </c>
      <c r="C824" s="3143">
        <f t="shared" si="14"/>
        <v>244</v>
      </c>
      <c r="D824" s="3143" t="str">
        <f ca="1">IFERROR(INDEX('Production cost'!$A:$AU,MATCH($C824,'Production cost'!$AU:$AU,0),6),"")</f>
        <v/>
      </c>
      <c r="E824" s="3143" t="str">
        <f ca="1">IFERROR(INDEX('Production cost'!$A:$AU,MATCH($C824,'Production cost'!$AU:$AU,0),3),"")</f>
        <v/>
      </c>
      <c r="G824" s="3153" t="str">
        <f ca="1">IFERROR(INDEX('Production cost'!$A:$AU,MATCH($C824,'Production cost'!$AU:$AU,0),9),"")</f>
        <v/>
      </c>
      <c r="H824" s="3599" t="str">
        <f ca="1">IFERROR(IFERROR(INDEX('Production cost'!$A:$AU,MATCH($C824,'Production cost'!$AU:$AU,0),11),"")+IFERROR(INDEX('Production cost'!$A:$AU,MATCH($C824,'Production cost'!$AU:$AU,0),12),""),"")</f>
        <v/>
      </c>
      <c r="I824" s="3153" t="str">
        <f ca="1">IFERROR(INDEX('Production cost'!$A:$AU,MATCH($C824,'Production cost'!$AU:$AU,0),18),"")</f>
        <v/>
      </c>
      <c r="J824" s="3153" t="str">
        <f ca="1">IFERROR(INDEX('Production cost'!$A:$AU,MATCH($C824,'Production cost'!$AU:$AU,0),18),"")</f>
        <v/>
      </c>
    </row>
    <row r="825" spans="2:10" ht="21.75">
      <c r="B825" s="3143" t="s">
        <v>3652</v>
      </c>
      <c r="C825" s="3143">
        <f t="shared" si="14"/>
        <v>245</v>
      </c>
      <c r="D825" s="3143" t="str">
        <f ca="1">IFERROR(INDEX('Production cost'!$A:$AU,MATCH($C825,'Production cost'!$AU:$AU,0),6),"")</f>
        <v/>
      </c>
      <c r="E825" s="3143" t="str">
        <f ca="1">IFERROR(INDEX('Production cost'!$A:$AU,MATCH($C825,'Production cost'!$AU:$AU,0),3),"")</f>
        <v/>
      </c>
      <c r="G825" s="3153" t="str">
        <f ca="1">IFERROR(INDEX('Production cost'!$A:$AU,MATCH($C825,'Production cost'!$AU:$AU,0),9),"")</f>
        <v/>
      </c>
      <c r="H825" s="3599" t="str">
        <f ca="1">IFERROR(IFERROR(INDEX('Production cost'!$A:$AU,MATCH($C825,'Production cost'!$AU:$AU,0),11),"")+IFERROR(INDEX('Production cost'!$A:$AU,MATCH($C825,'Production cost'!$AU:$AU,0),12),""),"")</f>
        <v/>
      </c>
      <c r="I825" s="3153" t="str">
        <f ca="1">IFERROR(INDEX('Production cost'!$A:$AU,MATCH($C825,'Production cost'!$AU:$AU,0),18),"")</f>
        <v/>
      </c>
      <c r="J825" s="3153" t="str">
        <f ca="1">IFERROR(INDEX('Production cost'!$A:$AU,MATCH($C825,'Production cost'!$AU:$AU,0),18),"")</f>
        <v/>
      </c>
    </row>
    <row r="826" spans="2:10" ht="21.75">
      <c r="B826" s="3143" t="s">
        <v>3652</v>
      </c>
      <c r="C826" s="3143">
        <f t="shared" si="14"/>
        <v>246</v>
      </c>
      <c r="D826" s="3143" t="str">
        <f ca="1">IFERROR(INDEX('Production cost'!$A:$AU,MATCH($C826,'Production cost'!$AU:$AU,0),6),"")</f>
        <v/>
      </c>
      <c r="E826" s="3143" t="str">
        <f ca="1">IFERROR(INDEX('Production cost'!$A:$AU,MATCH($C826,'Production cost'!$AU:$AU,0),3),"")</f>
        <v/>
      </c>
      <c r="G826" s="3153" t="str">
        <f ca="1">IFERROR(INDEX('Production cost'!$A:$AU,MATCH($C826,'Production cost'!$AU:$AU,0),9),"")</f>
        <v/>
      </c>
      <c r="H826" s="3599" t="str">
        <f ca="1">IFERROR(IFERROR(INDEX('Production cost'!$A:$AU,MATCH($C826,'Production cost'!$AU:$AU,0),11),"")+IFERROR(INDEX('Production cost'!$A:$AU,MATCH($C826,'Production cost'!$AU:$AU,0),12),""),"")</f>
        <v/>
      </c>
      <c r="I826" s="3153" t="str">
        <f ca="1">IFERROR(INDEX('Production cost'!$A:$AU,MATCH($C826,'Production cost'!$AU:$AU,0),18),"")</f>
        <v/>
      </c>
      <c r="J826" s="3153" t="str">
        <f ca="1">IFERROR(INDEX('Production cost'!$A:$AU,MATCH($C826,'Production cost'!$AU:$AU,0),18),"")</f>
        <v/>
      </c>
    </row>
    <row r="827" spans="2:10" ht="21.75">
      <c r="B827" s="3143" t="s">
        <v>3652</v>
      </c>
      <c r="C827" s="3143">
        <f t="shared" si="14"/>
        <v>247</v>
      </c>
      <c r="D827" s="3143" t="str">
        <f ca="1">IFERROR(INDEX('Production cost'!$A:$AU,MATCH($C827,'Production cost'!$AU:$AU,0),6),"")</f>
        <v/>
      </c>
      <c r="E827" s="3143" t="str">
        <f ca="1">IFERROR(INDEX('Production cost'!$A:$AU,MATCH($C827,'Production cost'!$AU:$AU,0),3),"")</f>
        <v/>
      </c>
      <c r="G827" s="3153" t="str">
        <f ca="1">IFERROR(INDEX('Production cost'!$A:$AU,MATCH($C827,'Production cost'!$AU:$AU,0),9),"")</f>
        <v/>
      </c>
      <c r="H827" s="3599" t="str">
        <f ca="1">IFERROR(IFERROR(INDEX('Production cost'!$A:$AU,MATCH($C827,'Production cost'!$AU:$AU,0),11),"")+IFERROR(INDEX('Production cost'!$A:$AU,MATCH($C827,'Production cost'!$AU:$AU,0),12),""),"")</f>
        <v/>
      </c>
      <c r="I827" s="3153" t="str">
        <f ca="1">IFERROR(INDEX('Production cost'!$A:$AU,MATCH($C827,'Production cost'!$AU:$AU,0),18),"")</f>
        <v/>
      </c>
      <c r="J827" s="3153" t="str">
        <f ca="1">IFERROR(INDEX('Production cost'!$A:$AU,MATCH($C827,'Production cost'!$AU:$AU,0),18),"")</f>
        <v/>
      </c>
    </row>
    <row r="828" spans="2:10" ht="21.75">
      <c r="B828" s="3143" t="s">
        <v>3652</v>
      </c>
      <c r="C828" s="3143">
        <f t="shared" si="14"/>
        <v>248</v>
      </c>
      <c r="D828" s="3143" t="str">
        <f ca="1">IFERROR(INDEX('Production cost'!$A:$AU,MATCH($C828,'Production cost'!$AU:$AU,0),6),"")</f>
        <v/>
      </c>
      <c r="E828" s="3143" t="str">
        <f ca="1">IFERROR(INDEX('Production cost'!$A:$AU,MATCH($C828,'Production cost'!$AU:$AU,0),3),"")</f>
        <v/>
      </c>
      <c r="G828" s="3153" t="str">
        <f ca="1">IFERROR(INDEX('Production cost'!$A:$AU,MATCH($C828,'Production cost'!$AU:$AU,0),9),"")</f>
        <v/>
      </c>
      <c r="H828" s="3599" t="str">
        <f ca="1">IFERROR(IFERROR(INDEX('Production cost'!$A:$AU,MATCH($C828,'Production cost'!$AU:$AU,0),11),"")+IFERROR(INDEX('Production cost'!$A:$AU,MATCH($C828,'Production cost'!$AU:$AU,0),12),""),"")</f>
        <v/>
      </c>
      <c r="I828" s="3153" t="str">
        <f ca="1">IFERROR(INDEX('Production cost'!$A:$AU,MATCH($C828,'Production cost'!$AU:$AU,0),18),"")</f>
        <v/>
      </c>
      <c r="J828" s="3153" t="str">
        <f ca="1">IFERROR(INDEX('Production cost'!$A:$AU,MATCH($C828,'Production cost'!$AU:$AU,0),18),"")</f>
        <v/>
      </c>
    </row>
    <row r="829" spans="2:10" ht="21.75">
      <c r="B829" s="3143" t="s">
        <v>3652</v>
      </c>
      <c r="C829" s="3143">
        <f t="shared" si="14"/>
        <v>249</v>
      </c>
      <c r="D829" s="3143" t="str">
        <f ca="1">IFERROR(INDEX('Production cost'!$A:$AU,MATCH($C829,'Production cost'!$AU:$AU,0),6),"")</f>
        <v/>
      </c>
      <c r="E829" s="3143" t="str">
        <f ca="1">IFERROR(INDEX('Production cost'!$A:$AU,MATCH($C829,'Production cost'!$AU:$AU,0),3),"")</f>
        <v/>
      </c>
      <c r="G829" s="3153" t="str">
        <f ca="1">IFERROR(INDEX('Production cost'!$A:$AU,MATCH($C829,'Production cost'!$AU:$AU,0),9),"")</f>
        <v/>
      </c>
      <c r="H829" s="3599" t="str">
        <f ca="1">IFERROR(IFERROR(INDEX('Production cost'!$A:$AU,MATCH($C829,'Production cost'!$AU:$AU,0),11),"")+IFERROR(INDEX('Production cost'!$A:$AU,MATCH($C829,'Production cost'!$AU:$AU,0),12),""),"")</f>
        <v/>
      </c>
      <c r="I829" s="3153" t="str">
        <f ca="1">IFERROR(INDEX('Production cost'!$A:$AU,MATCH($C829,'Production cost'!$AU:$AU,0),18),"")</f>
        <v/>
      </c>
      <c r="J829" s="3153" t="str">
        <f ca="1">IFERROR(INDEX('Production cost'!$A:$AU,MATCH($C829,'Production cost'!$AU:$AU,0),18),"")</f>
        <v/>
      </c>
    </row>
    <row r="830" spans="2:10" ht="21.75">
      <c r="B830" s="3143" t="s">
        <v>3652</v>
      </c>
      <c r="C830" s="3143">
        <f t="shared" si="14"/>
        <v>250</v>
      </c>
      <c r="D830" s="3143" t="str">
        <f ca="1">IFERROR(INDEX('Production cost'!$A:$AU,MATCH($C830,'Production cost'!$AU:$AU,0),6),"")</f>
        <v/>
      </c>
      <c r="E830" s="3143" t="str">
        <f ca="1">IFERROR(INDEX('Production cost'!$A:$AU,MATCH($C830,'Production cost'!$AU:$AU,0),3),"")</f>
        <v/>
      </c>
      <c r="G830" s="3153" t="str">
        <f ca="1">IFERROR(INDEX('Production cost'!$A:$AU,MATCH($C830,'Production cost'!$AU:$AU,0),9),"")</f>
        <v/>
      </c>
      <c r="H830" s="3599" t="str">
        <f ca="1">IFERROR(IFERROR(INDEX('Production cost'!$A:$AU,MATCH($C830,'Production cost'!$AU:$AU,0),11),"")+IFERROR(INDEX('Production cost'!$A:$AU,MATCH($C830,'Production cost'!$AU:$AU,0),12),""),"")</f>
        <v/>
      </c>
      <c r="I830" s="3153" t="str">
        <f ca="1">IFERROR(INDEX('Production cost'!$A:$AU,MATCH($C830,'Production cost'!$AU:$AU,0),18),"")</f>
        <v/>
      </c>
      <c r="J830" s="3153" t="str">
        <f ca="1">IFERROR(INDEX('Production cost'!$A:$AU,MATCH($C830,'Production cost'!$AU:$AU,0),18),"")</f>
        <v/>
      </c>
    </row>
    <row r="831" spans="2:10" ht="21.75">
      <c r="B831" s="3143" t="s">
        <v>3652</v>
      </c>
      <c r="C831" s="3143">
        <f t="shared" si="14"/>
        <v>251</v>
      </c>
      <c r="D831" s="3143" t="str">
        <f ca="1">IFERROR(INDEX('Production cost'!$A:$AU,MATCH($C831,'Production cost'!$AU:$AU,0),6),"")</f>
        <v/>
      </c>
      <c r="E831" s="3143" t="str">
        <f ca="1">IFERROR(INDEX('Production cost'!$A:$AU,MATCH($C831,'Production cost'!$AU:$AU,0),3),"")</f>
        <v/>
      </c>
      <c r="G831" s="3153" t="str">
        <f ca="1">IFERROR(INDEX('Production cost'!$A:$AU,MATCH($C831,'Production cost'!$AU:$AU,0),9),"")</f>
        <v/>
      </c>
      <c r="H831" s="3599" t="str">
        <f ca="1">IFERROR(IFERROR(INDEX('Production cost'!$A:$AU,MATCH($C831,'Production cost'!$AU:$AU,0),11),"")+IFERROR(INDEX('Production cost'!$A:$AU,MATCH($C831,'Production cost'!$AU:$AU,0),12),""),"")</f>
        <v/>
      </c>
      <c r="I831" s="3153" t="str">
        <f ca="1">IFERROR(INDEX('Production cost'!$A:$AU,MATCH($C831,'Production cost'!$AU:$AU,0),18),"")</f>
        <v/>
      </c>
      <c r="J831" s="3153" t="str">
        <f ca="1">IFERROR(INDEX('Production cost'!$A:$AU,MATCH($C831,'Production cost'!$AU:$AU,0),18),"")</f>
        <v/>
      </c>
    </row>
    <row r="832" spans="2:10" ht="21.75">
      <c r="B832" s="3143" t="s">
        <v>3652</v>
      </c>
      <c r="C832" s="3143">
        <f t="shared" si="14"/>
        <v>252</v>
      </c>
      <c r="D832" s="3143" t="str">
        <f ca="1">IFERROR(INDEX('Production cost'!$A:$AU,MATCH($C832,'Production cost'!$AU:$AU,0),6),"")</f>
        <v/>
      </c>
      <c r="E832" s="3143" t="str">
        <f ca="1">IFERROR(INDEX('Production cost'!$A:$AU,MATCH($C832,'Production cost'!$AU:$AU,0),3),"")</f>
        <v/>
      </c>
      <c r="G832" s="3153" t="str">
        <f ca="1">IFERROR(INDEX('Production cost'!$A:$AU,MATCH($C832,'Production cost'!$AU:$AU,0),9),"")</f>
        <v/>
      </c>
      <c r="H832" s="3599" t="str">
        <f ca="1">IFERROR(IFERROR(INDEX('Production cost'!$A:$AU,MATCH($C832,'Production cost'!$AU:$AU,0),11),"")+IFERROR(INDEX('Production cost'!$A:$AU,MATCH($C832,'Production cost'!$AU:$AU,0),12),""),"")</f>
        <v/>
      </c>
      <c r="I832" s="3153" t="str">
        <f ca="1">IFERROR(INDEX('Production cost'!$A:$AU,MATCH($C832,'Production cost'!$AU:$AU,0),18),"")</f>
        <v/>
      </c>
      <c r="J832" s="3153" t="str">
        <f ca="1">IFERROR(INDEX('Production cost'!$A:$AU,MATCH($C832,'Production cost'!$AU:$AU,0),18),"")</f>
        <v/>
      </c>
    </row>
    <row r="833" spans="2:10" ht="21.75">
      <c r="B833" s="3143" t="s">
        <v>3652</v>
      </c>
      <c r="C833" s="3143">
        <f t="shared" si="14"/>
        <v>253</v>
      </c>
      <c r="D833" s="3143" t="str">
        <f ca="1">IFERROR(INDEX('Production cost'!$A:$AU,MATCH($C833,'Production cost'!$AU:$AU,0),6),"")</f>
        <v/>
      </c>
      <c r="E833" s="3143" t="str">
        <f ca="1">IFERROR(INDEX('Production cost'!$A:$AU,MATCH($C833,'Production cost'!$AU:$AU,0),3),"")</f>
        <v/>
      </c>
      <c r="G833" s="3153" t="str">
        <f ca="1">IFERROR(INDEX('Production cost'!$A:$AU,MATCH($C833,'Production cost'!$AU:$AU,0),9),"")</f>
        <v/>
      </c>
      <c r="H833" s="3599" t="str">
        <f ca="1">IFERROR(IFERROR(INDEX('Production cost'!$A:$AU,MATCH($C833,'Production cost'!$AU:$AU,0),11),"")+IFERROR(INDEX('Production cost'!$A:$AU,MATCH($C833,'Production cost'!$AU:$AU,0),12),""),"")</f>
        <v/>
      </c>
      <c r="I833" s="3153" t="str">
        <f ca="1">IFERROR(INDEX('Production cost'!$A:$AU,MATCH($C833,'Production cost'!$AU:$AU,0),18),"")</f>
        <v/>
      </c>
      <c r="J833" s="3153" t="str">
        <f ca="1">IFERROR(INDEX('Production cost'!$A:$AU,MATCH($C833,'Production cost'!$AU:$AU,0),18),"")</f>
        <v/>
      </c>
    </row>
    <row r="834" spans="2:10" ht="21.75">
      <c r="B834" s="3143" t="s">
        <v>3652</v>
      </c>
      <c r="C834" s="3143">
        <f t="shared" si="14"/>
        <v>254</v>
      </c>
      <c r="D834" s="3143" t="str">
        <f ca="1">IFERROR(INDEX('Production cost'!$A:$AU,MATCH($C834,'Production cost'!$AU:$AU,0),6),"")</f>
        <v/>
      </c>
      <c r="E834" s="3143" t="str">
        <f ca="1">IFERROR(INDEX('Production cost'!$A:$AU,MATCH($C834,'Production cost'!$AU:$AU,0),3),"")</f>
        <v/>
      </c>
      <c r="G834" s="3153" t="str">
        <f ca="1">IFERROR(INDEX('Production cost'!$A:$AU,MATCH($C834,'Production cost'!$AU:$AU,0),9),"")</f>
        <v/>
      </c>
      <c r="H834" s="3599" t="str">
        <f ca="1">IFERROR(IFERROR(INDEX('Production cost'!$A:$AU,MATCH($C834,'Production cost'!$AU:$AU,0),11),"")+IFERROR(INDEX('Production cost'!$A:$AU,MATCH($C834,'Production cost'!$AU:$AU,0),12),""),"")</f>
        <v/>
      </c>
      <c r="I834" s="3153" t="str">
        <f ca="1">IFERROR(INDEX('Production cost'!$A:$AU,MATCH($C834,'Production cost'!$AU:$AU,0),18),"")</f>
        <v/>
      </c>
      <c r="J834" s="3153" t="str">
        <f ca="1">IFERROR(INDEX('Production cost'!$A:$AU,MATCH($C834,'Production cost'!$AU:$AU,0),18),"")</f>
        <v/>
      </c>
    </row>
    <row r="835" spans="2:10" ht="21.75">
      <c r="B835" s="3143" t="s">
        <v>3652</v>
      </c>
      <c r="C835" s="3143">
        <f t="shared" si="14"/>
        <v>255</v>
      </c>
      <c r="D835" s="3143" t="str">
        <f ca="1">IFERROR(INDEX('Production cost'!$A:$AU,MATCH($C835,'Production cost'!$AU:$AU,0),6),"")</f>
        <v/>
      </c>
      <c r="E835" s="3143" t="str">
        <f ca="1">IFERROR(INDEX('Production cost'!$A:$AU,MATCH($C835,'Production cost'!$AU:$AU,0),3),"")</f>
        <v/>
      </c>
      <c r="G835" s="3153" t="str">
        <f ca="1">IFERROR(INDEX('Production cost'!$A:$AU,MATCH($C835,'Production cost'!$AU:$AU,0),9),"")</f>
        <v/>
      </c>
      <c r="H835" s="3599" t="str">
        <f ca="1">IFERROR(IFERROR(INDEX('Production cost'!$A:$AU,MATCH($C835,'Production cost'!$AU:$AU,0),11),"")+IFERROR(INDEX('Production cost'!$A:$AU,MATCH($C835,'Production cost'!$AU:$AU,0),12),""),"")</f>
        <v/>
      </c>
      <c r="I835" s="3153" t="str">
        <f ca="1">IFERROR(INDEX('Production cost'!$A:$AU,MATCH($C835,'Production cost'!$AU:$AU,0),18),"")</f>
        <v/>
      </c>
      <c r="J835" s="3153" t="str">
        <f ca="1">IFERROR(INDEX('Production cost'!$A:$AU,MATCH($C835,'Production cost'!$AU:$AU,0),18),"")</f>
        <v/>
      </c>
    </row>
    <row r="836" spans="2:10" ht="21.75">
      <c r="B836" s="3143" t="s">
        <v>3652</v>
      </c>
      <c r="C836" s="3143">
        <f t="shared" si="14"/>
        <v>256</v>
      </c>
      <c r="D836" s="3143" t="str">
        <f ca="1">IFERROR(INDEX('Production cost'!$A:$AU,MATCH($C836,'Production cost'!$AU:$AU,0),6),"")</f>
        <v/>
      </c>
      <c r="E836" s="3143" t="str">
        <f ca="1">IFERROR(INDEX('Production cost'!$A:$AU,MATCH($C836,'Production cost'!$AU:$AU,0),3),"")</f>
        <v/>
      </c>
      <c r="G836" s="3153" t="str">
        <f ca="1">IFERROR(INDEX('Production cost'!$A:$AU,MATCH($C836,'Production cost'!$AU:$AU,0),9),"")</f>
        <v/>
      </c>
      <c r="H836" s="3599" t="str">
        <f ca="1">IFERROR(IFERROR(INDEX('Production cost'!$A:$AU,MATCH($C836,'Production cost'!$AU:$AU,0),11),"")+IFERROR(INDEX('Production cost'!$A:$AU,MATCH($C836,'Production cost'!$AU:$AU,0),12),""),"")</f>
        <v/>
      </c>
      <c r="I836" s="3153" t="str">
        <f ca="1">IFERROR(INDEX('Production cost'!$A:$AU,MATCH($C836,'Production cost'!$AU:$AU,0),18),"")</f>
        <v/>
      </c>
      <c r="J836" s="3153" t="str">
        <f ca="1">IFERROR(INDEX('Production cost'!$A:$AU,MATCH($C836,'Production cost'!$AU:$AU,0),18),"")</f>
        <v/>
      </c>
    </row>
    <row r="837" spans="2:10" ht="21.75">
      <c r="B837" s="3143" t="s">
        <v>3652</v>
      </c>
      <c r="C837" s="3143">
        <f t="shared" si="14"/>
        <v>257</v>
      </c>
      <c r="D837" s="3143" t="str">
        <f ca="1">IFERROR(INDEX('Production cost'!$A:$AU,MATCH($C837,'Production cost'!$AU:$AU,0),6),"")</f>
        <v/>
      </c>
      <c r="E837" s="3143" t="str">
        <f ca="1">IFERROR(INDEX('Production cost'!$A:$AU,MATCH($C837,'Production cost'!$AU:$AU,0),3),"")</f>
        <v/>
      </c>
      <c r="G837" s="3153" t="str">
        <f ca="1">IFERROR(INDEX('Production cost'!$A:$AU,MATCH($C837,'Production cost'!$AU:$AU,0),9),"")</f>
        <v/>
      </c>
      <c r="H837" s="3599" t="str">
        <f ca="1">IFERROR(IFERROR(INDEX('Production cost'!$A:$AU,MATCH($C837,'Production cost'!$AU:$AU,0),11),"")+IFERROR(INDEX('Production cost'!$A:$AU,MATCH($C837,'Production cost'!$AU:$AU,0),12),""),"")</f>
        <v/>
      </c>
      <c r="I837" s="3153" t="str">
        <f ca="1">IFERROR(INDEX('Production cost'!$A:$AU,MATCH($C837,'Production cost'!$AU:$AU,0),18),"")</f>
        <v/>
      </c>
      <c r="J837" s="3153" t="str">
        <f ca="1">IFERROR(INDEX('Production cost'!$A:$AU,MATCH($C837,'Production cost'!$AU:$AU,0),18),"")</f>
        <v/>
      </c>
    </row>
    <row r="838" spans="2:10" ht="21.75">
      <c r="B838" s="3143" t="s">
        <v>3652</v>
      </c>
      <c r="C838" s="3143">
        <f t="shared" si="14"/>
        <v>258</v>
      </c>
      <c r="D838" s="3143" t="str">
        <f ca="1">IFERROR(INDEX('Production cost'!$A:$AU,MATCH($C838,'Production cost'!$AU:$AU,0),6),"")</f>
        <v/>
      </c>
      <c r="E838" s="3143" t="str">
        <f ca="1">IFERROR(INDEX('Production cost'!$A:$AU,MATCH($C838,'Production cost'!$AU:$AU,0),3),"")</f>
        <v/>
      </c>
      <c r="G838" s="3153" t="str">
        <f ca="1">IFERROR(INDEX('Production cost'!$A:$AU,MATCH($C838,'Production cost'!$AU:$AU,0),9),"")</f>
        <v/>
      </c>
      <c r="H838" s="3599" t="str">
        <f ca="1">IFERROR(IFERROR(INDEX('Production cost'!$A:$AU,MATCH($C838,'Production cost'!$AU:$AU,0),11),"")+IFERROR(INDEX('Production cost'!$A:$AU,MATCH($C838,'Production cost'!$AU:$AU,0),12),""),"")</f>
        <v/>
      </c>
      <c r="I838" s="3153" t="str">
        <f ca="1">IFERROR(INDEX('Production cost'!$A:$AU,MATCH($C838,'Production cost'!$AU:$AU,0),18),"")</f>
        <v/>
      </c>
      <c r="J838" s="3153" t="str">
        <f ca="1">IFERROR(INDEX('Production cost'!$A:$AU,MATCH($C838,'Production cost'!$AU:$AU,0),18),"")</f>
        <v/>
      </c>
    </row>
    <row r="839" spans="2:10" ht="21.75">
      <c r="B839" s="3143" t="s">
        <v>3652</v>
      </c>
      <c r="C839" s="3143">
        <f t="shared" ref="C839:C902" si="15">C838+1</f>
        <v>259</v>
      </c>
      <c r="D839" s="3143" t="str">
        <f ca="1">IFERROR(INDEX('Production cost'!$A:$AU,MATCH($C839,'Production cost'!$AU:$AU,0),6),"")</f>
        <v/>
      </c>
      <c r="E839" s="3143" t="str">
        <f ca="1">IFERROR(INDEX('Production cost'!$A:$AU,MATCH($C839,'Production cost'!$AU:$AU,0),3),"")</f>
        <v/>
      </c>
      <c r="G839" s="3153" t="str">
        <f ca="1">IFERROR(INDEX('Production cost'!$A:$AU,MATCH($C839,'Production cost'!$AU:$AU,0),9),"")</f>
        <v/>
      </c>
      <c r="H839" s="3599" t="str">
        <f ca="1">IFERROR(IFERROR(INDEX('Production cost'!$A:$AU,MATCH($C839,'Production cost'!$AU:$AU,0),11),"")+IFERROR(INDEX('Production cost'!$A:$AU,MATCH($C839,'Production cost'!$AU:$AU,0),12),""),"")</f>
        <v/>
      </c>
      <c r="I839" s="3153" t="str">
        <f ca="1">IFERROR(INDEX('Production cost'!$A:$AU,MATCH($C839,'Production cost'!$AU:$AU,0),18),"")</f>
        <v/>
      </c>
      <c r="J839" s="3153" t="str">
        <f ca="1">IFERROR(INDEX('Production cost'!$A:$AU,MATCH($C839,'Production cost'!$AU:$AU,0),18),"")</f>
        <v/>
      </c>
    </row>
    <row r="840" spans="2:10" ht="21.75">
      <c r="B840" s="3143" t="s">
        <v>3652</v>
      </c>
      <c r="C840" s="3143">
        <f t="shared" si="15"/>
        <v>260</v>
      </c>
      <c r="D840" s="3143" t="str">
        <f ca="1">IFERROR(INDEX('Production cost'!$A:$AU,MATCH($C840,'Production cost'!$AU:$AU,0),6),"")</f>
        <v/>
      </c>
      <c r="E840" s="3143" t="str">
        <f ca="1">IFERROR(INDEX('Production cost'!$A:$AU,MATCH($C840,'Production cost'!$AU:$AU,0),3),"")</f>
        <v/>
      </c>
      <c r="G840" s="3153" t="str">
        <f ca="1">IFERROR(INDEX('Production cost'!$A:$AU,MATCH($C840,'Production cost'!$AU:$AU,0),9),"")</f>
        <v/>
      </c>
      <c r="H840" s="3599" t="str">
        <f ca="1">IFERROR(IFERROR(INDEX('Production cost'!$A:$AU,MATCH($C840,'Production cost'!$AU:$AU,0),11),"")+IFERROR(INDEX('Production cost'!$A:$AU,MATCH($C840,'Production cost'!$AU:$AU,0),12),""),"")</f>
        <v/>
      </c>
      <c r="I840" s="3153" t="str">
        <f ca="1">IFERROR(INDEX('Production cost'!$A:$AU,MATCH($C840,'Production cost'!$AU:$AU,0),18),"")</f>
        <v/>
      </c>
      <c r="J840" s="3153" t="str">
        <f ca="1">IFERROR(INDEX('Production cost'!$A:$AU,MATCH($C840,'Production cost'!$AU:$AU,0),18),"")</f>
        <v/>
      </c>
    </row>
    <row r="841" spans="2:10" ht="21.75">
      <c r="B841" s="3143" t="s">
        <v>3652</v>
      </c>
      <c r="C841" s="3143">
        <f t="shared" si="15"/>
        <v>261</v>
      </c>
      <c r="D841" s="3143" t="str">
        <f ca="1">IFERROR(INDEX('Production cost'!$A:$AU,MATCH($C841,'Production cost'!$AU:$AU,0),6),"")</f>
        <v/>
      </c>
      <c r="E841" s="3143" t="str">
        <f ca="1">IFERROR(INDEX('Production cost'!$A:$AU,MATCH($C841,'Production cost'!$AU:$AU,0),3),"")</f>
        <v/>
      </c>
      <c r="G841" s="3153" t="str">
        <f ca="1">IFERROR(INDEX('Production cost'!$A:$AU,MATCH($C841,'Production cost'!$AU:$AU,0),9),"")</f>
        <v/>
      </c>
      <c r="H841" s="3599" t="str">
        <f ca="1">IFERROR(IFERROR(INDEX('Production cost'!$A:$AU,MATCH($C841,'Production cost'!$AU:$AU,0),11),"")+IFERROR(INDEX('Production cost'!$A:$AU,MATCH($C841,'Production cost'!$AU:$AU,0),12),""),"")</f>
        <v/>
      </c>
      <c r="I841" s="3153" t="str">
        <f ca="1">IFERROR(INDEX('Production cost'!$A:$AU,MATCH($C841,'Production cost'!$AU:$AU,0),18),"")</f>
        <v/>
      </c>
      <c r="J841" s="3153" t="str">
        <f ca="1">IFERROR(INDEX('Production cost'!$A:$AU,MATCH($C841,'Production cost'!$AU:$AU,0),18),"")</f>
        <v/>
      </c>
    </row>
    <row r="842" spans="2:10" ht="21.75">
      <c r="B842" s="3143" t="s">
        <v>3652</v>
      </c>
      <c r="C842" s="3143">
        <f t="shared" si="15"/>
        <v>262</v>
      </c>
      <c r="D842" s="3143" t="str">
        <f ca="1">IFERROR(INDEX('Production cost'!$A:$AU,MATCH($C842,'Production cost'!$AU:$AU,0),6),"")</f>
        <v/>
      </c>
      <c r="E842" s="3143" t="str">
        <f ca="1">IFERROR(INDEX('Production cost'!$A:$AU,MATCH($C842,'Production cost'!$AU:$AU,0),3),"")</f>
        <v/>
      </c>
      <c r="G842" s="3153" t="str">
        <f ca="1">IFERROR(INDEX('Production cost'!$A:$AU,MATCH($C842,'Production cost'!$AU:$AU,0),9),"")</f>
        <v/>
      </c>
      <c r="H842" s="3599" t="str">
        <f ca="1">IFERROR(IFERROR(INDEX('Production cost'!$A:$AU,MATCH($C842,'Production cost'!$AU:$AU,0),11),"")+IFERROR(INDEX('Production cost'!$A:$AU,MATCH($C842,'Production cost'!$AU:$AU,0),12),""),"")</f>
        <v/>
      </c>
      <c r="I842" s="3153" t="str">
        <f ca="1">IFERROR(INDEX('Production cost'!$A:$AU,MATCH($C842,'Production cost'!$AU:$AU,0),18),"")</f>
        <v/>
      </c>
      <c r="J842" s="3153" t="str">
        <f ca="1">IFERROR(INDEX('Production cost'!$A:$AU,MATCH($C842,'Production cost'!$AU:$AU,0),18),"")</f>
        <v/>
      </c>
    </row>
    <row r="843" spans="2:10" ht="21.75">
      <c r="B843" s="3143" t="s">
        <v>3652</v>
      </c>
      <c r="C843" s="3143">
        <f t="shared" si="15"/>
        <v>263</v>
      </c>
      <c r="D843" s="3143" t="str">
        <f ca="1">IFERROR(INDEX('Production cost'!$A:$AU,MATCH($C843,'Production cost'!$AU:$AU,0),6),"")</f>
        <v/>
      </c>
      <c r="E843" s="3143" t="str">
        <f ca="1">IFERROR(INDEX('Production cost'!$A:$AU,MATCH($C843,'Production cost'!$AU:$AU,0),3),"")</f>
        <v/>
      </c>
      <c r="G843" s="3153" t="str">
        <f ca="1">IFERROR(INDEX('Production cost'!$A:$AU,MATCH($C843,'Production cost'!$AU:$AU,0),9),"")</f>
        <v/>
      </c>
      <c r="H843" s="3599" t="str">
        <f ca="1">IFERROR(IFERROR(INDEX('Production cost'!$A:$AU,MATCH($C843,'Production cost'!$AU:$AU,0),11),"")+IFERROR(INDEX('Production cost'!$A:$AU,MATCH($C843,'Production cost'!$AU:$AU,0),12),""),"")</f>
        <v/>
      </c>
      <c r="I843" s="3153" t="str">
        <f ca="1">IFERROR(INDEX('Production cost'!$A:$AU,MATCH($C843,'Production cost'!$AU:$AU,0),18),"")</f>
        <v/>
      </c>
      <c r="J843" s="3153" t="str">
        <f ca="1">IFERROR(INDEX('Production cost'!$A:$AU,MATCH($C843,'Production cost'!$AU:$AU,0),18),"")</f>
        <v/>
      </c>
    </row>
    <row r="844" spans="2:10" ht="21.75">
      <c r="B844" s="3143" t="s">
        <v>3652</v>
      </c>
      <c r="C844" s="3143">
        <f t="shared" si="15"/>
        <v>264</v>
      </c>
      <c r="D844" s="3143" t="str">
        <f ca="1">IFERROR(INDEX('Production cost'!$A:$AU,MATCH($C844,'Production cost'!$AU:$AU,0),6),"")</f>
        <v/>
      </c>
      <c r="E844" s="3143" t="str">
        <f ca="1">IFERROR(INDEX('Production cost'!$A:$AU,MATCH($C844,'Production cost'!$AU:$AU,0),3),"")</f>
        <v/>
      </c>
      <c r="G844" s="3153" t="str">
        <f ca="1">IFERROR(INDEX('Production cost'!$A:$AU,MATCH($C844,'Production cost'!$AU:$AU,0),9),"")</f>
        <v/>
      </c>
      <c r="H844" s="3599" t="str">
        <f ca="1">IFERROR(IFERROR(INDEX('Production cost'!$A:$AU,MATCH($C844,'Production cost'!$AU:$AU,0),11),"")+IFERROR(INDEX('Production cost'!$A:$AU,MATCH($C844,'Production cost'!$AU:$AU,0),12),""),"")</f>
        <v/>
      </c>
      <c r="I844" s="3153" t="str">
        <f ca="1">IFERROR(INDEX('Production cost'!$A:$AU,MATCH($C844,'Production cost'!$AU:$AU,0),18),"")</f>
        <v/>
      </c>
      <c r="J844" s="3153" t="str">
        <f ca="1">IFERROR(INDEX('Production cost'!$A:$AU,MATCH($C844,'Production cost'!$AU:$AU,0),18),"")</f>
        <v/>
      </c>
    </row>
    <row r="845" spans="2:10" ht="21.75">
      <c r="B845" s="3143" t="s">
        <v>3652</v>
      </c>
      <c r="C845" s="3143">
        <f t="shared" si="15"/>
        <v>265</v>
      </c>
      <c r="D845" s="3143" t="str">
        <f ca="1">IFERROR(INDEX('Production cost'!$A:$AU,MATCH($C845,'Production cost'!$AU:$AU,0),6),"")</f>
        <v/>
      </c>
      <c r="E845" s="3143" t="str">
        <f ca="1">IFERROR(INDEX('Production cost'!$A:$AU,MATCH($C845,'Production cost'!$AU:$AU,0),3),"")</f>
        <v/>
      </c>
      <c r="G845" s="3153" t="str">
        <f ca="1">IFERROR(INDEX('Production cost'!$A:$AU,MATCH($C845,'Production cost'!$AU:$AU,0),9),"")</f>
        <v/>
      </c>
      <c r="H845" s="3599" t="str">
        <f ca="1">IFERROR(IFERROR(INDEX('Production cost'!$A:$AU,MATCH($C845,'Production cost'!$AU:$AU,0),11),"")+IFERROR(INDEX('Production cost'!$A:$AU,MATCH($C845,'Production cost'!$AU:$AU,0),12),""),"")</f>
        <v/>
      </c>
      <c r="I845" s="3153" t="str">
        <f ca="1">IFERROR(INDEX('Production cost'!$A:$AU,MATCH($C845,'Production cost'!$AU:$AU,0),18),"")</f>
        <v/>
      </c>
      <c r="J845" s="3153" t="str">
        <f ca="1">IFERROR(INDEX('Production cost'!$A:$AU,MATCH($C845,'Production cost'!$AU:$AU,0),18),"")</f>
        <v/>
      </c>
    </row>
    <row r="846" spans="2:10" ht="21.75">
      <c r="B846" s="3143" t="s">
        <v>3652</v>
      </c>
      <c r="C846" s="3143">
        <f t="shared" si="15"/>
        <v>266</v>
      </c>
      <c r="D846" s="3143" t="str">
        <f ca="1">IFERROR(INDEX('Production cost'!$A:$AU,MATCH($C846,'Production cost'!$AU:$AU,0),6),"")</f>
        <v/>
      </c>
      <c r="E846" s="3143" t="str">
        <f ca="1">IFERROR(INDEX('Production cost'!$A:$AU,MATCH($C846,'Production cost'!$AU:$AU,0),3),"")</f>
        <v/>
      </c>
      <c r="G846" s="3153" t="str">
        <f ca="1">IFERROR(INDEX('Production cost'!$A:$AU,MATCH($C846,'Production cost'!$AU:$AU,0),9),"")</f>
        <v/>
      </c>
      <c r="H846" s="3599" t="str">
        <f ca="1">IFERROR(IFERROR(INDEX('Production cost'!$A:$AU,MATCH($C846,'Production cost'!$AU:$AU,0),11),"")+IFERROR(INDEX('Production cost'!$A:$AU,MATCH($C846,'Production cost'!$AU:$AU,0),12),""),"")</f>
        <v/>
      </c>
      <c r="I846" s="3153" t="str">
        <f ca="1">IFERROR(INDEX('Production cost'!$A:$AU,MATCH($C846,'Production cost'!$AU:$AU,0),18),"")</f>
        <v/>
      </c>
      <c r="J846" s="3153" t="str">
        <f ca="1">IFERROR(INDEX('Production cost'!$A:$AU,MATCH($C846,'Production cost'!$AU:$AU,0),18),"")</f>
        <v/>
      </c>
    </row>
    <row r="847" spans="2:10" ht="21.75">
      <c r="B847" s="3143" t="s">
        <v>3652</v>
      </c>
      <c r="C847" s="3143">
        <f t="shared" si="15"/>
        <v>267</v>
      </c>
      <c r="D847" s="3143" t="str">
        <f ca="1">IFERROR(INDEX('Production cost'!$A:$AU,MATCH($C847,'Production cost'!$AU:$AU,0),6),"")</f>
        <v/>
      </c>
      <c r="E847" s="3143" t="str">
        <f ca="1">IFERROR(INDEX('Production cost'!$A:$AU,MATCH($C847,'Production cost'!$AU:$AU,0),3),"")</f>
        <v/>
      </c>
      <c r="G847" s="3153" t="str">
        <f ca="1">IFERROR(INDEX('Production cost'!$A:$AU,MATCH($C847,'Production cost'!$AU:$AU,0),9),"")</f>
        <v/>
      </c>
      <c r="H847" s="3599" t="str">
        <f ca="1">IFERROR(IFERROR(INDEX('Production cost'!$A:$AU,MATCH($C847,'Production cost'!$AU:$AU,0),11),"")+IFERROR(INDEX('Production cost'!$A:$AU,MATCH($C847,'Production cost'!$AU:$AU,0),12),""),"")</f>
        <v/>
      </c>
      <c r="I847" s="3153" t="str">
        <f ca="1">IFERROR(INDEX('Production cost'!$A:$AU,MATCH($C847,'Production cost'!$AU:$AU,0),18),"")</f>
        <v/>
      </c>
      <c r="J847" s="3153" t="str">
        <f ca="1">IFERROR(INDEX('Production cost'!$A:$AU,MATCH($C847,'Production cost'!$AU:$AU,0),18),"")</f>
        <v/>
      </c>
    </row>
    <row r="848" spans="2:10" ht="21.75">
      <c r="B848" s="3143" t="s">
        <v>3652</v>
      </c>
      <c r="C848" s="3143">
        <f t="shared" si="15"/>
        <v>268</v>
      </c>
      <c r="D848" s="3143" t="str">
        <f ca="1">IFERROR(INDEX('Production cost'!$A:$AU,MATCH($C848,'Production cost'!$AU:$AU,0),6),"")</f>
        <v/>
      </c>
      <c r="E848" s="3143" t="str">
        <f ca="1">IFERROR(INDEX('Production cost'!$A:$AU,MATCH($C848,'Production cost'!$AU:$AU,0),3),"")</f>
        <v/>
      </c>
      <c r="G848" s="3153" t="str">
        <f ca="1">IFERROR(INDEX('Production cost'!$A:$AU,MATCH($C848,'Production cost'!$AU:$AU,0),9),"")</f>
        <v/>
      </c>
      <c r="H848" s="3599" t="str">
        <f ca="1">IFERROR(IFERROR(INDEX('Production cost'!$A:$AU,MATCH($C848,'Production cost'!$AU:$AU,0),11),"")+IFERROR(INDEX('Production cost'!$A:$AU,MATCH($C848,'Production cost'!$AU:$AU,0),12),""),"")</f>
        <v/>
      </c>
      <c r="I848" s="3153" t="str">
        <f ca="1">IFERROR(INDEX('Production cost'!$A:$AU,MATCH($C848,'Production cost'!$AU:$AU,0),18),"")</f>
        <v/>
      </c>
      <c r="J848" s="3153" t="str">
        <f ca="1">IFERROR(INDEX('Production cost'!$A:$AU,MATCH($C848,'Production cost'!$AU:$AU,0),18),"")</f>
        <v/>
      </c>
    </row>
    <row r="849" spans="2:10" ht="21.75">
      <c r="B849" s="3143" t="s">
        <v>3652</v>
      </c>
      <c r="C849" s="3143">
        <f t="shared" si="15"/>
        <v>269</v>
      </c>
      <c r="D849" s="3143" t="str">
        <f ca="1">IFERROR(INDEX('Production cost'!$A:$AU,MATCH($C849,'Production cost'!$AU:$AU,0),6),"")</f>
        <v/>
      </c>
      <c r="E849" s="3143" t="str">
        <f ca="1">IFERROR(INDEX('Production cost'!$A:$AU,MATCH($C849,'Production cost'!$AU:$AU,0),3),"")</f>
        <v/>
      </c>
      <c r="G849" s="3153" t="str">
        <f ca="1">IFERROR(INDEX('Production cost'!$A:$AU,MATCH($C849,'Production cost'!$AU:$AU,0),9),"")</f>
        <v/>
      </c>
      <c r="H849" s="3599" t="str">
        <f ca="1">IFERROR(IFERROR(INDEX('Production cost'!$A:$AU,MATCH($C849,'Production cost'!$AU:$AU,0),11),"")+IFERROR(INDEX('Production cost'!$A:$AU,MATCH($C849,'Production cost'!$AU:$AU,0),12),""),"")</f>
        <v/>
      </c>
      <c r="I849" s="3153" t="str">
        <f ca="1">IFERROR(INDEX('Production cost'!$A:$AU,MATCH($C849,'Production cost'!$AU:$AU,0),18),"")</f>
        <v/>
      </c>
      <c r="J849" s="3153" t="str">
        <f ca="1">IFERROR(INDEX('Production cost'!$A:$AU,MATCH($C849,'Production cost'!$AU:$AU,0),18),"")</f>
        <v/>
      </c>
    </row>
    <row r="850" spans="2:10" ht="21.75">
      <c r="B850" s="3143" t="s">
        <v>3652</v>
      </c>
      <c r="C850" s="3143">
        <f t="shared" si="15"/>
        <v>270</v>
      </c>
      <c r="D850" s="3143" t="str">
        <f ca="1">IFERROR(INDEX('Production cost'!$A:$AU,MATCH($C850,'Production cost'!$AU:$AU,0),6),"")</f>
        <v/>
      </c>
      <c r="E850" s="3143" t="str">
        <f ca="1">IFERROR(INDEX('Production cost'!$A:$AU,MATCH($C850,'Production cost'!$AU:$AU,0),3),"")</f>
        <v/>
      </c>
      <c r="G850" s="3153" t="str">
        <f ca="1">IFERROR(INDEX('Production cost'!$A:$AU,MATCH($C850,'Production cost'!$AU:$AU,0),9),"")</f>
        <v/>
      </c>
      <c r="H850" s="3599" t="str">
        <f ca="1">IFERROR(IFERROR(INDEX('Production cost'!$A:$AU,MATCH($C850,'Production cost'!$AU:$AU,0),11),"")+IFERROR(INDEX('Production cost'!$A:$AU,MATCH($C850,'Production cost'!$AU:$AU,0),12),""),"")</f>
        <v/>
      </c>
      <c r="I850" s="3153" t="str">
        <f ca="1">IFERROR(INDEX('Production cost'!$A:$AU,MATCH($C850,'Production cost'!$AU:$AU,0),18),"")</f>
        <v/>
      </c>
      <c r="J850" s="3153" t="str">
        <f ca="1">IFERROR(INDEX('Production cost'!$A:$AU,MATCH($C850,'Production cost'!$AU:$AU,0),18),"")</f>
        <v/>
      </c>
    </row>
    <row r="851" spans="2:10" ht="21.75">
      <c r="B851" s="3143" t="s">
        <v>3652</v>
      </c>
      <c r="C851" s="3143">
        <f t="shared" si="15"/>
        <v>271</v>
      </c>
      <c r="D851" s="3143" t="str">
        <f ca="1">IFERROR(INDEX('Production cost'!$A:$AU,MATCH($C851,'Production cost'!$AU:$AU,0),6),"")</f>
        <v/>
      </c>
      <c r="E851" s="3143" t="str">
        <f ca="1">IFERROR(INDEX('Production cost'!$A:$AU,MATCH($C851,'Production cost'!$AU:$AU,0),3),"")</f>
        <v/>
      </c>
      <c r="G851" s="3153" t="str">
        <f ca="1">IFERROR(INDEX('Production cost'!$A:$AU,MATCH($C851,'Production cost'!$AU:$AU,0),9),"")</f>
        <v/>
      </c>
      <c r="H851" s="3599" t="str">
        <f ca="1">IFERROR(IFERROR(INDEX('Production cost'!$A:$AU,MATCH($C851,'Production cost'!$AU:$AU,0),11),"")+IFERROR(INDEX('Production cost'!$A:$AU,MATCH($C851,'Production cost'!$AU:$AU,0),12),""),"")</f>
        <v/>
      </c>
      <c r="I851" s="3153" t="str">
        <f ca="1">IFERROR(INDEX('Production cost'!$A:$AU,MATCH($C851,'Production cost'!$AU:$AU,0),18),"")</f>
        <v/>
      </c>
      <c r="J851" s="3153" t="str">
        <f ca="1">IFERROR(INDEX('Production cost'!$A:$AU,MATCH($C851,'Production cost'!$AU:$AU,0),18),"")</f>
        <v/>
      </c>
    </row>
    <row r="852" spans="2:10" ht="21.75">
      <c r="B852" s="3143" t="s">
        <v>3652</v>
      </c>
      <c r="C852" s="3143">
        <f t="shared" si="15"/>
        <v>272</v>
      </c>
      <c r="D852" s="3143" t="str">
        <f ca="1">IFERROR(INDEX('Production cost'!$A:$AU,MATCH($C852,'Production cost'!$AU:$AU,0),6),"")</f>
        <v/>
      </c>
      <c r="E852" s="3143" t="str">
        <f ca="1">IFERROR(INDEX('Production cost'!$A:$AU,MATCH($C852,'Production cost'!$AU:$AU,0),3),"")</f>
        <v/>
      </c>
      <c r="G852" s="3153" t="str">
        <f ca="1">IFERROR(INDEX('Production cost'!$A:$AU,MATCH($C852,'Production cost'!$AU:$AU,0),9),"")</f>
        <v/>
      </c>
      <c r="H852" s="3599" t="str">
        <f ca="1">IFERROR(IFERROR(INDEX('Production cost'!$A:$AU,MATCH($C852,'Production cost'!$AU:$AU,0),11),"")+IFERROR(INDEX('Production cost'!$A:$AU,MATCH($C852,'Production cost'!$AU:$AU,0),12),""),"")</f>
        <v/>
      </c>
      <c r="I852" s="3153" t="str">
        <f ca="1">IFERROR(INDEX('Production cost'!$A:$AU,MATCH($C852,'Production cost'!$AU:$AU,0),18),"")</f>
        <v/>
      </c>
      <c r="J852" s="3153" t="str">
        <f ca="1">IFERROR(INDEX('Production cost'!$A:$AU,MATCH($C852,'Production cost'!$AU:$AU,0),18),"")</f>
        <v/>
      </c>
    </row>
    <row r="853" spans="2:10" ht="21.75">
      <c r="B853" s="3143" t="s">
        <v>3652</v>
      </c>
      <c r="C853" s="3143">
        <f t="shared" si="15"/>
        <v>273</v>
      </c>
      <c r="D853" s="3143" t="str">
        <f ca="1">IFERROR(INDEX('Production cost'!$A:$AU,MATCH($C853,'Production cost'!$AU:$AU,0),6),"")</f>
        <v/>
      </c>
      <c r="E853" s="3143" t="str">
        <f ca="1">IFERROR(INDEX('Production cost'!$A:$AU,MATCH($C853,'Production cost'!$AU:$AU,0),3),"")</f>
        <v/>
      </c>
      <c r="G853" s="3153" t="str">
        <f ca="1">IFERROR(INDEX('Production cost'!$A:$AU,MATCH($C853,'Production cost'!$AU:$AU,0),9),"")</f>
        <v/>
      </c>
      <c r="H853" s="3599" t="str">
        <f ca="1">IFERROR(IFERROR(INDEX('Production cost'!$A:$AU,MATCH($C853,'Production cost'!$AU:$AU,0),11),"")+IFERROR(INDEX('Production cost'!$A:$AU,MATCH($C853,'Production cost'!$AU:$AU,0),12),""),"")</f>
        <v/>
      </c>
      <c r="I853" s="3153" t="str">
        <f ca="1">IFERROR(INDEX('Production cost'!$A:$AU,MATCH($C853,'Production cost'!$AU:$AU,0),18),"")</f>
        <v/>
      </c>
      <c r="J853" s="3153" t="str">
        <f ca="1">IFERROR(INDEX('Production cost'!$A:$AU,MATCH($C853,'Production cost'!$AU:$AU,0),18),"")</f>
        <v/>
      </c>
    </row>
    <row r="854" spans="2:10" ht="21.75">
      <c r="B854" s="3143" t="s">
        <v>3652</v>
      </c>
      <c r="C854" s="3143">
        <f t="shared" si="15"/>
        <v>274</v>
      </c>
      <c r="D854" s="3143" t="str">
        <f ca="1">IFERROR(INDEX('Production cost'!$A:$AU,MATCH($C854,'Production cost'!$AU:$AU,0),6),"")</f>
        <v/>
      </c>
      <c r="E854" s="3143" t="str">
        <f ca="1">IFERROR(INDEX('Production cost'!$A:$AU,MATCH($C854,'Production cost'!$AU:$AU,0),3),"")</f>
        <v/>
      </c>
      <c r="G854" s="3153" t="str">
        <f ca="1">IFERROR(INDEX('Production cost'!$A:$AU,MATCH($C854,'Production cost'!$AU:$AU,0),9),"")</f>
        <v/>
      </c>
      <c r="H854" s="3599" t="str">
        <f ca="1">IFERROR(IFERROR(INDEX('Production cost'!$A:$AU,MATCH($C854,'Production cost'!$AU:$AU,0),11),"")+IFERROR(INDEX('Production cost'!$A:$AU,MATCH($C854,'Production cost'!$AU:$AU,0),12),""),"")</f>
        <v/>
      </c>
      <c r="I854" s="3153" t="str">
        <f ca="1">IFERROR(INDEX('Production cost'!$A:$AU,MATCH($C854,'Production cost'!$AU:$AU,0),18),"")</f>
        <v/>
      </c>
      <c r="J854" s="3153" t="str">
        <f ca="1">IFERROR(INDEX('Production cost'!$A:$AU,MATCH($C854,'Production cost'!$AU:$AU,0),18),"")</f>
        <v/>
      </c>
    </row>
    <row r="855" spans="2:10" ht="21.75">
      <c r="B855" s="3143" t="s">
        <v>3652</v>
      </c>
      <c r="C855" s="3143">
        <f t="shared" si="15"/>
        <v>275</v>
      </c>
      <c r="D855" s="3143" t="str">
        <f ca="1">IFERROR(INDEX('Production cost'!$A:$AU,MATCH($C855,'Production cost'!$AU:$AU,0),6),"")</f>
        <v/>
      </c>
      <c r="E855" s="3143" t="str">
        <f ca="1">IFERROR(INDEX('Production cost'!$A:$AU,MATCH($C855,'Production cost'!$AU:$AU,0),3),"")</f>
        <v/>
      </c>
      <c r="G855" s="3153" t="str">
        <f ca="1">IFERROR(INDEX('Production cost'!$A:$AU,MATCH($C855,'Production cost'!$AU:$AU,0),9),"")</f>
        <v/>
      </c>
      <c r="H855" s="3599" t="str">
        <f ca="1">IFERROR(IFERROR(INDEX('Production cost'!$A:$AU,MATCH($C855,'Production cost'!$AU:$AU,0),11),"")+IFERROR(INDEX('Production cost'!$A:$AU,MATCH($C855,'Production cost'!$AU:$AU,0),12),""),"")</f>
        <v/>
      </c>
      <c r="I855" s="3153" t="str">
        <f ca="1">IFERROR(INDEX('Production cost'!$A:$AU,MATCH($C855,'Production cost'!$AU:$AU,0),18),"")</f>
        <v/>
      </c>
      <c r="J855" s="3153" t="str">
        <f ca="1">IFERROR(INDEX('Production cost'!$A:$AU,MATCH($C855,'Production cost'!$AU:$AU,0),18),"")</f>
        <v/>
      </c>
    </row>
    <row r="856" spans="2:10" ht="21.75">
      <c r="B856" s="3143" t="s">
        <v>3652</v>
      </c>
      <c r="C856" s="3143">
        <f t="shared" si="15"/>
        <v>276</v>
      </c>
      <c r="D856" s="3143" t="str">
        <f ca="1">IFERROR(INDEX('Production cost'!$A:$AU,MATCH($C856,'Production cost'!$AU:$AU,0),6),"")</f>
        <v/>
      </c>
      <c r="E856" s="3143" t="str">
        <f ca="1">IFERROR(INDEX('Production cost'!$A:$AU,MATCH($C856,'Production cost'!$AU:$AU,0),3),"")</f>
        <v/>
      </c>
      <c r="G856" s="3153" t="str">
        <f ca="1">IFERROR(INDEX('Production cost'!$A:$AU,MATCH($C856,'Production cost'!$AU:$AU,0),9),"")</f>
        <v/>
      </c>
      <c r="H856" s="3599" t="str">
        <f ca="1">IFERROR(IFERROR(INDEX('Production cost'!$A:$AU,MATCH($C856,'Production cost'!$AU:$AU,0),11),"")+IFERROR(INDEX('Production cost'!$A:$AU,MATCH($C856,'Production cost'!$AU:$AU,0),12),""),"")</f>
        <v/>
      </c>
      <c r="I856" s="3153" t="str">
        <f ca="1">IFERROR(INDEX('Production cost'!$A:$AU,MATCH($C856,'Production cost'!$AU:$AU,0),18),"")</f>
        <v/>
      </c>
      <c r="J856" s="3153" t="str">
        <f ca="1">IFERROR(INDEX('Production cost'!$A:$AU,MATCH($C856,'Production cost'!$AU:$AU,0),18),"")</f>
        <v/>
      </c>
    </row>
    <row r="857" spans="2:10" ht="21.75">
      <c r="B857" s="3143" t="s">
        <v>3652</v>
      </c>
      <c r="C857" s="3143">
        <f t="shared" si="15"/>
        <v>277</v>
      </c>
      <c r="D857" s="3143" t="str">
        <f ca="1">IFERROR(INDEX('Production cost'!$A:$AU,MATCH($C857,'Production cost'!$AU:$AU,0),6),"")</f>
        <v/>
      </c>
      <c r="E857" s="3143" t="str">
        <f ca="1">IFERROR(INDEX('Production cost'!$A:$AU,MATCH($C857,'Production cost'!$AU:$AU,0),3),"")</f>
        <v/>
      </c>
      <c r="G857" s="3153" t="str">
        <f ca="1">IFERROR(INDEX('Production cost'!$A:$AU,MATCH($C857,'Production cost'!$AU:$AU,0),9),"")</f>
        <v/>
      </c>
      <c r="H857" s="3599" t="str">
        <f ca="1">IFERROR(IFERROR(INDEX('Production cost'!$A:$AU,MATCH($C857,'Production cost'!$AU:$AU,0),11),"")+IFERROR(INDEX('Production cost'!$A:$AU,MATCH($C857,'Production cost'!$AU:$AU,0),12),""),"")</f>
        <v/>
      </c>
      <c r="I857" s="3153" t="str">
        <f ca="1">IFERROR(INDEX('Production cost'!$A:$AU,MATCH($C857,'Production cost'!$AU:$AU,0),18),"")</f>
        <v/>
      </c>
      <c r="J857" s="3153" t="str">
        <f ca="1">IFERROR(INDEX('Production cost'!$A:$AU,MATCH($C857,'Production cost'!$AU:$AU,0),18),"")</f>
        <v/>
      </c>
    </row>
    <row r="858" spans="2:10" ht="21.75">
      <c r="B858" s="3143" t="s">
        <v>3652</v>
      </c>
      <c r="C858" s="3143">
        <f t="shared" si="15"/>
        <v>278</v>
      </c>
      <c r="D858" s="3143" t="str">
        <f ca="1">IFERROR(INDEX('Production cost'!$A:$AU,MATCH($C858,'Production cost'!$AU:$AU,0),6),"")</f>
        <v/>
      </c>
      <c r="E858" s="3143" t="str">
        <f ca="1">IFERROR(INDEX('Production cost'!$A:$AU,MATCH($C858,'Production cost'!$AU:$AU,0),3),"")</f>
        <v/>
      </c>
      <c r="G858" s="3153" t="str">
        <f ca="1">IFERROR(INDEX('Production cost'!$A:$AU,MATCH($C858,'Production cost'!$AU:$AU,0),9),"")</f>
        <v/>
      </c>
      <c r="H858" s="3599" t="str">
        <f ca="1">IFERROR(IFERROR(INDEX('Production cost'!$A:$AU,MATCH($C858,'Production cost'!$AU:$AU,0),11),"")+IFERROR(INDEX('Production cost'!$A:$AU,MATCH($C858,'Production cost'!$AU:$AU,0),12),""),"")</f>
        <v/>
      </c>
      <c r="I858" s="3153" t="str">
        <f ca="1">IFERROR(INDEX('Production cost'!$A:$AU,MATCH($C858,'Production cost'!$AU:$AU,0),18),"")</f>
        <v/>
      </c>
      <c r="J858" s="3153" t="str">
        <f ca="1">IFERROR(INDEX('Production cost'!$A:$AU,MATCH($C858,'Production cost'!$AU:$AU,0),18),"")</f>
        <v/>
      </c>
    </row>
    <row r="859" spans="2:10" ht="21.75">
      <c r="B859" s="3143" t="s">
        <v>3652</v>
      </c>
      <c r="C859" s="3143">
        <f t="shared" si="15"/>
        <v>279</v>
      </c>
      <c r="D859" s="3143" t="str">
        <f ca="1">IFERROR(INDEX('Production cost'!$A:$AU,MATCH($C859,'Production cost'!$AU:$AU,0),6),"")</f>
        <v/>
      </c>
      <c r="E859" s="3143" t="str">
        <f ca="1">IFERROR(INDEX('Production cost'!$A:$AU,MATCH($C859,'Production cost'!$AU:$AU,0),3),"")</f>
        <v/>
      </c>
      <c r="G859" s="3153" t="str">
        <f ca="1">IFERROR(INDEX('Production cost'!$A:$AU,MATCH($C859,'Production cost'!$AU:$AU,0),9),"")</f>
        <v/>
      </c>
      <c r="H859" s="3599" t="str">
        <f ca="1">IFERROR(IFERROR(INDEX('Production cost'!$A:$AU,MATCH($C859,'Production cost'!$AU:$AU,0),11),"")+IFERROR(INDEX('Production cost'!$A:$AU,MATCH($C859,'Production cost'!$AU:$AU,0),12),""),"")</f>
        <v/>
      </c>
      <c r="I859" s="3153" t="str">
        <f ca="1">IFERROR(INDEX('Production cost'!$A:$AU,MATCH($C859,'Production cost'!$AU:$AU,0),18),"")</f>
        <v/>
      </c>
      <c r="J859" s="3153" t="str">
        <f ca="1">IFERROR(INDEX('Production cost'!$A:$AU,MATCH($C859,'Production cost'!$AU:$AU,0),18),"")</f>
        <v/>
      </c>
    </row>
    <row r="860" spans="2:10" ht="21.75">
      <c r="B860" s="3143" t="s">
        <v>3652</v>
      </c>
      <c r="C860" s="3143">
        <f t="shared" si="15"/>
        <v>280</v>
      </c>
      <c r="D860" s="3143" t="str">
        <f ca="1">IFERROR(INDEX('Production cost'!$A:$AU,MATCH($C860,'Production cost'!$AU:$AU,0),6),"")</f>
        <v/>
      </c>
      <c r="E860" s="3143" t="str">
        <f ca="1">IFERROR(INDEX('Production cost'!$A:$AU,MATCH($C860,'Production cost'!$AU:$AU,0),3),"")</f>
        <v/>
      </c>
      <c r="G860" s="3153" t="str">
        <f ca="1">IFERROR(INDEX('Production cost'!$A:$AU,MATCH($C860,'Production cost'!$AU:$AU,0),9),"")</f>
        <v/>
      </c>
      <c r="H860" s="3599" t="str">
        <f ca="1">IFERROR(IFERROR(INDEX('Production cost'!$A:$AU,MATCH($C860,'Production cost'!$AU:$AU,0),11),"")+IFERROR(INDEX('Production cost'!$A:$AU,MATCH($C860,'Production cost'!$AU:$AU,0),12),""),"")</f>
        <v/>
      </c>
      <c r="I860" s="3153" t="str">
        <f ca="1">IFERROR(INDEX('Production cost'!$A:$AU,MATCH($C860,'Production cost'!$AU:$AU,0),18),"")</f>
        <v/>
      </c>
      <c r="J860" s="3153" t="str">
        <f ca="1">IFERROR(INDEX('Production cost'!$A:$AU,MATCH($C860,'Production cost'!$AU:$AU,0),18),"")</f>
        <v/>
      </c>
    </row>
    <row r="861" spans="2:10" ht="21.75">
      <c r="B861" s="3143" t="s">
        <v>3652</v>
      </c>
      <c r="C861" s="3143">
        <f t="shared" si="15"/>
        <v>281</v>
      </c>
      <c r="D861" s="3143" t="str">
        <f ca="1">IFERROR(INDEX('Production cost'!$A:$AU,MATCH($C861,'Production cost'!$AU:$AU,0),6),"")</f>
        <v/>
      </c>
      <c r="E861" s="3143" t="str">
        <f ca="1">IFERROR(INDEX('Production cost'!$A:$AU,MATCH($C861,'Production cost'!$AU:$AU,0),3),"")</f>
        <v/>
      </c>
      <c r="G861" s="3153" t="str">
        <f ca="1">IFERROR(INDEX('Production cost'!$A:$AU,MATCH($C861,'Production cost'!$AU:$AU,0),9),"")</f>
        <v/>
      </c>
      <c r="H861" s="3599" t="str">
        <f ca="1">IFERROR(IFERROR(INDEX('Production cost'!$A:$AU,MATCH($C861,'Production cost'!$AU:$AU,0),11),"")+IFERROR(INDEX('Production cost'!$A:$AU,MATCH($C861,'Production cost'!$AU:$AU,0),12),""),"")</f>
        <v/>
      </c>
      <c r="I861" s="3153" t="str">
        <f ca="1">IFERROR(INDEX('Production cost'!$A:$AU,MATCH($C861,'Production cost'!$AU:$AU,0),18),"")</f>
        <v/>
      </c>
      <c r="J861" s="3153" t="str">
        <f ca="1">IFERROR(INDEX('Production cost'!$A:$AU,MATCH($C861,'Production cost'!$AU:$AU,0),18),"")</f>
        <v/>
      </c>
    </row>
    <row r="862" spans="2:10" ht="21.75">
      <c r="B862" s="3143" t="s">
        <v>3652</v>
      </c>
      <c r="C862" s="3143">
        <f t="shared" si="15"/>
        <v>282</v>
      </c>
      <c r="D862" s="3143" t="str">
        <f ca="1">IFERROR(INDEX('Production cost'!$A:$AU,MATCH($C862,'Production cost'!$AU:$AU,0),6),"")</f>
        <v/>
      </c>
      <c r="E862" s="3143" t="str">
        <f ca="1">IFERROR(INDEX('Production cost'!$A:$AU,MATCH($C862,'Production cost'!$AU:$AU,0),3),"")</f>
        <v/>
      </c>
      <c r="G862" s="3153" t="str">
        <f ca="1">IFERROR(INDEX('Production cost'!$A:$AU,MATCH($C862,'Production cost'!$AU:$AU,0),9),"")</f>
        <v/>
      </c>
      <c r="H862" s="3599" t="str">
        <f ca="1">IFERROR(IFERROR(INDEX('Production cost'!$A:$AU,MATCH($C862,'Production cost'!$AU:$AU,0),11),"")+IFERROR(INDEX('Production cost'!$A:$AU,MATCH($C862,'Production cost'!$AU:$AU,0),12),""),"")</f>
        <v/>
      </c>
      <c r="I862" s="3153" t="str">
        <f ca="1">IFERROR(INDEX('Production cost'!$A:$AU,MATCH($C862,'Production cost'!$AU:$AU,0),18),"")</f>
        <v/>
      </c>
      <c r="J862" s="3153" t="str">
        <f ca="1">IFERROR(INDEX('Production cost'!$A:$AU,MATCH($C862,'Production cost'!$AU:$AU,0),18),"")</f>
        <v/>
      </c>
    </row>
    <row r="863" spans="2:10" ht="21.75">
      <c r="B863" s="3143" t="s">
        <v>3652</v>
      </c>
      <c r="C863" s="3143">
        <f t="shared" si="15"/>
        <v>283</v>
      </c>
      <c r="D863" s="3143" t="str">
        <f ca="1">IFERROR(INDEX('Production cost'!$A:$AU,MATCH($C863,'Production cost'!$AU:$AU,0),6),"")</f>
        <v/>
      </c>
      <c r="E863" s="3143" t="str">
        <f ca="1">IFERROR(INDEX('Production cost'!$A:$AU,MATCH($C863,'Production cost'!$AU:$AU,0),3),"")</f>
        <v/>
      </c>
      <c r="G863" s="3153" t="str">
        <f ca="1">IFERROR(INDEX('Production cost'!$A:$AU,MATCH($C863,'Production cost'!$AU:$AU,0),9),"")</f>
        <v/>
      </c>
      <c r="H863" s="3599" t="str">
        <f ca="1">IFERROR(IFERROR(INDEX('Production cost'!$A:$AU,MATCH($C863,'Production cost'!$AU:$AU,0),11),"")+IFERROR(INDEX('Production cost'!$A:$AU,MATCH($C863,'Production cost'!$AU:$AU,0),12),""),"")</f>
        <v/>
      </c>
      <c r="I863" s="3153" t="str">
        <f ca="1">IFERROR(INDEX('Production cost'!$A:$AU,MATCH($C863,'Production cost'!$AU:$AU,0),18),"")</f>
        <v/>
      </c>
      <c r="J863" s="3153" t="str">
        <f ca="1">IFERROR(INDEX('Production cost'!$A:$AU,MATCH($C863,'Production cost'!$AU:$AU,0),18),"")</f>
        <v/>
      </c>
    </row>
    <row r="864" spans="2:10" ht="21.75">
      <c r="B864" s="3143" t="s">
        <v>3652</v>
      </c>
      <c r="C864" s="3143">
        <f t="shared" si="15"/>
        <v>284</v>
      </c>
      <c r="D864" s="3143" t="str">
        <f ca="1">IFERROR(INDEX('Production cost'!$A:$AU,MATCH($C864,'Production cost'!$AU:$AU,0),6),"")</f>
        <v/>
      </c>
      <c r="E864" s="3143" t="str">
        <f ca="1">IFERROR(INDEX('Production cost'!$A:$AU,MATCH($C864,'Production cost'!$AU:$AU,0),3),"")</f>
        <v/>
      </c>
      <c r="G864" s="3153" t="str">
        <f ca="1">IFERROR(INDEX('Production cost'!$A:$AU,MATCH($C864,'Production cost'!$AU:$AU,0),9),"")</f>
        <v/>
      </c>
      <c r="H864" s="3599" t="str">
        <f ca="1">IFERROR(IFERROR(INDEX('Production cost'!$A:$AU,MATCH($C864,'Production cost'!$AU:$AU,0),11),"")+IFERROR(INDEX('Production cost'!$A:$AU,MATCH($C864,'Production cost'!$AU:$AU,0),12),""),"")</f>
        <v/>
      </c>
      <c r="I864" s="3153" t="str">
        <f ca="1">IFERROR(INDEX('Production cost'!$A:$AU,MATCH($C864,'Production cost'!$AU:$AU,0),18),"")</f>
        <v/>
      </c>
      <c r="J864" s="3153" t="str">
        <f ca="1">IFERROR(INDEX('Production cost'!$A:$AU,MATCH($C864,'Production cost'!$AU:$AU,0),18),"")</f>
        <v/>
      </c>
    </row>
    <row r="865" spans="2:10" ht="21.75">
      <c r="B865" s="3143" t="s">
        <v>3652</v>
      </c>
      <c r="C865" s="3143">
        <f t="shared" si="15"/>
        <v>285</v>
      </c>
      <c r="D865" s="3143" t="str">
        <f ca="1">IFERROR(INDEX('Production cost'!$A:$AU,MATCH($C865,'Production cost'!$AU:$AU,0),6),"")</f>
        <v/>
      </c>
      <c r="E865" s="3143" t="str">
        <f ca="1">IFERROR(INDEX('Production cost'!$A:$AU,MATCH($C865,'Production cost'!$AU:$AU,0),3),"")</f>
        <v/>
      </c>
      <c r="G865" s="3153" t="str">
        <f ca="1">IFERROR(INDEX('Production cost'!$A:$AU,MATCH($C865,'Production cost'!$AU:$AU,0),9),"")</f>
        <v/>
      </c>
      <c r="H865" s="3599" t="str">
        <f ca="1">IFERROR(IFERROR(INDEX('Production cost'!$A:$AU,MATCH($C865,'Production cost'!$AU:$AU,0),11),"")+IFERROR(INDEX('Production cost'!$A:$AU,MATCH($C865,'Production cost'!$AU:$AU,0),12),""),"")</f>
        <v/>
      </c>
      <c r="I865" s="3153" t="str">
        <f ca="1">IFERROR(INDEX('Production cost'!$A:$AU,MATCH($C865,'Production cost'!$AU:$AU,0),18),"")</f>
        <v/>
      </c>
      <c r="J865" s="3153" t="str">
        <f ca="1">IFERROR(INDEX('Production cost'!$A:$AU,MATCH($C865,'Production cost'!$AU:$AU,0),18),"")</f>
        <v/>
      </c>
    </row>
    <row r="866" spans="2:10" ht="21.75">
      <c r="B866" s="3143" t="s">
        <v>3652</v>
      </c>
      <c r="C866" s="3143">
        <f t="shared" si="15"/>
        <v>286</v>
      </c>
      <c r="D866" s="3143" t="str">
        <f ca="1">IFERROR(INDEX('Production cost'!$A:$AU,MATCH($C866,'Production cost'!$AU:$AU,0),6),"")</f>
        <v/>
      </c>
      <c r="E866" s="3143" t="str">
        <f ca="1">IFERROR(INDEX('Production cost'!$A:$AU,MATCH($C866,'Production cost'!$AU:$AU,0),3),"")</f>
        <v/>
      </c>
      <c r="G866" s="3153" t="str">
        <f ca="1">IFERROR(INDEX('Production cost'!$A:$AU,MATCH($C866,'Production cost'!$AU:$AU,0),9),"")</f>
        <v/>
      </c>
      <c r="H866" s="3599" t="str">
        <f ca="1">IFERROR(IFERROR(INDEX('Production cost'!$A:$AU,MATCH($C866,'Production cost'!$AU:$AU,0),11),"")+IFERROR(INDEX('Production cost'!$A:$AU,MATCH($C866,'Production cost'!$AU:$AU,0),12),""),"")</f>
        <v/>
      </c>
      <c r="I866" s="3153" t="str">
        <f ca="1">IFERROR(INDEX('Production cost'!$A:$AU,MATCH($C866,'Production cost'!$AU:$AU,0),18),"")</f>
        <v/>
      </c>
      <c r="J866" s="3153" t="str">
        <f ca="1">IFERROR(INDEX('Production cost'!$A:$AU,MATCH($C866,'Production cost'!$AU:$AU,0),18),"")</f>
        <v/>
      </c>
    </row>
    <row r="867" spans="2:10" ht="21.75">
      <c r="B867" s="3143" t="s">
        <v>3652</v>
      </c>
      <c r="C867" s="3143">
        <f t="shared" si="15"/>
        <v>287</v>
      </c>
      <c r="D867" s="3143" t="str">
        <f ca="1">IFERROR(INDEX('Production cost'!$A:$AU,MATCH($C867,'Production cost'!$AU:$AU,0),6),"")</f>
        <v/>
      </c>
      <c r="E867" s="3143" t="str">
        <f ca="1">IFERROR(INDEX('Production cost'!$A:$AU,MATCH($C867,'Production cost'!$AU:$AU,0),3),"")</f>
        <v/>
      </c>
      <c r="G867" s="3153" t="str">
        <f ca="1">IFERROR(INDEX('Production cost'!$A:$AU,MATCH($C867,'Production cost'!$AU:$AU,0),9),"")</f>
        <v/>
      </c>
      <c r="H867" s="3599" t="str">
        <f ca="1">IFERROR(IFERROR(INDEX('Production cost'!$A:$AU,MATCH($C867,'Production cost'!$AU:$AU,0),11),"")+IFERROR(INDEX('Production cost'!$A:$AU,MATCH($C867,'Production cost'!$AU:$AU,0),12),""),"")</f>
        <v/>
      </c>
      <c r="I867" s="3153" t="str">
        <f ca="1">IFERROR(INDEX('Production cost'!$A:$AU,MATCH($C867,'Production cost'!$AU:$AU,0),18),"")</f>
        <v/>
      </c>
      <c r="J867" s="3153" t="str">
        <f ca="1">IFERROR(INDEX('Production cost'!$A:$AU,MATCH($C867,'Production cost'!$AU:$AU,0),18),"")</f>
        <v/>
      </c>
    </row>
    <row r="868" spans="2:10" ht="21.75">
      <c r="B868" s="3143" t="s">
        <v>3652</v>
      </c>
      <c r="C868" s="3143">
        <f t="shared" si="15"/>
        <v>288</v>
      </c>
      <c r="D868" s="3143" t="str">
        <f ca="1">IFERROR(INDEX('Production cost'!$A:$AU,MATCH($C868,'Production cost'!$AU:$AU,0),6),"")</f>
        <v/>
      </c>
      <c r="E868" s="3143" t="str">
        <f ca="1">IFERROR(INDEX('Production cost'!$A:$AU,MATCH($C868,'Production cost'!$AU:$AU,0),3),"")</f>
        <v/>
      </c>
      <c r="G868" s="3153" t="str">
        <f ca="1">IFERROR(INDEX('Production cost'!$A:$AU,MATCH($C868,'Production cost'!$AU:$AU,0),9),"")</f>
        <v/>
      </c>
      <c r="H868" s="3599" t="str">
        <f ca="1">IFERROR(IFERROR(INDEX('Production cost'!$A:$AU,MATCH($C868,'Production cost'!$AU:$AU,0),11),"")+IFERROR(INDEX('Production cost'!$A:$AU,MATCH($C868,'Production cost'!$AU:$AU,0),12),""),"")</f>
        <v/>
      </c>
      <c r="I868" s="3153" t="str">
        <f ca="1">IFERROR(INDEX('Production cost'!$A:$AU,MATCH($C868,'Production cost'!$AU:$AU,0),18),"")</f>
        <v/>
      </c>
      <c r="J868" s="3153" t="str">
        <f ca="1">IFERROR(INDEX('Production cost'!$A:$AU,MATCH($C868,'Production cost'!$AU:$AU,0),18),"")</f>
        <v/>
      </c>
    </row>
    <row r="869" spans="2:10" ht="21.75">
      <c r="B869" s="3143" t="s">
        <v>3652</v>
      </c>
      <c r="C869" s="3143">
        <f t="shared" si="15"/>
        <v>289</v>
      </c>
      <c r="D869" s="3143" t="str">
        <f ca="1">IFERROR(INDEX('Production cost'!$A:$AU,MATCH($C869,'Production cost'!$AU:$AU,0),6),"")</f>
        <v/>
      </c>
      <c r="E869" s="3143" t="str">
        <f ca="1">IFERROR(INDEX('Production cost'!$A:$AU,MATCH($C869,'Production cost'!$AU:$AU,0),3),"")</f>
        <v/>
      </c>
      <c r="G869" s="3153" t="str">
        <f ca="1">IFERROR(INDEX('Production cost'!$A:$AU,MATCH($C869,'Production cost'!$AU:$AU,0),9),"")</f>
        <v/>
      </c>
      <c r="H869" s="3599" t="str">
        <f ca="1">IFERROR(IFERROR(INDEX('Production cost'!$A:$AU,MATCH($C869,'Production cost'!$AU:$AU,0),11),"")+IFERROR(INDEX('Production cost'!$A:$AU,MATCH($C869,'Production cost'!$AU:$AU,0),12),""),"")</f>
        <v/>
      </c>
      <c r="I869" s="3153" t="str">
        <f ca="1">IFERROR(INDEX('Production cost'!$A:$AU,MATCH($C869,'Production cost'!$AU:$AU,0),18),"")</f>
        <v/>
      </c>
      <c r="J869" s="3153" t="str">
        <f ca="1">IFERROR(INDEX('Production cost'!$A:$AU,MATCH($C869,'Production cost'!$AU:$AU,0),18),"")</f>
        <v/>
      </c>
    </row>
    <row r="870" spans="2:10" ht="21.75">
      <c r="B870" s="3143" t="s">
        <v>3652</v>
      </c>
      <c r="C870" s="3143">
        <f t="shared" si="15"/>
        <v>290</v>
      </c>
      <c r="D870" s="3143" t="str">
        <f ca="1">IFERROR(INDEX('Production cost'!$A:$AU,MATCH($C870,'Production cost'!$AU:$AU,0),6),"")</f>
        <v/>
      </c>
      <c r="E870" s="3143" t="str">
        <f ca="1">IFERROR(INDEX('Production cost'!$A:$AU,MATCH($C870,'Production cost'!$AU:$AU,0),3),"")</f>
        <v/>
      </c>
      <c r="G870" s="3153" t="str">
        <f ca="1">IFERROR(INDEX('Production cost'!$A:$AU,MATCH($C870,'Production cost'!$AU:$AU,0),9),"")</f>
        <v/>
      </c>
      <c r="H870" s="3599" t="str">
        <f ca="1">IFERROR(IFERROR(INDEX('Production cost'!$A:$AU,MATCH($C870,'Production cost'!$AU:$AU,0),11),"")+IFERROR(INDEX('Production cost'!$A:$AU,MATCH($C870,'Production cost'!$AU:$AU,0),12),""),"")</f>
        <v/>
      </c>
      <c r="I870" s="3153" t="str">
        <f ca="1">IFERROR(INDEX('Production cost'!$A:$AU,MATCH($C870,'Production cost'!$AU:$AU,0),18),"")</f>
        <v/>
      </c>
      <c r="J870" s="3153" t="str">
        <f ca="1">IFERROR(INDEX('Production cost'!$A:$AU,MATCH($C870,'Production cost'!$AU:$AU,0),18),"")</f>
        <v/>
      </c>
    </row>
    <row r="871" spans="2:10" ht="21.75">
      <c r="B871" s="3143" t="s">
        <v>3652</v>
      </c>
      <c r="C871" s="3143">
        <f t="shared" si="15"/>
        <v>291</v>
      </c>
      <c r="D871" s="3143" t="str">
        <f ca="1">IFERROR(INDEX('Production cost'!$A:$AU,MATCH($C871,'Production cost'!$AU:$AU,0),6),"")</f>
        <v/>
      </c>
      <c r="E871" s="3143" t="str">
        <f ca="1">IFERROR(INDEX('Production cost'!$A:$AU,MATCH($C871,'Production cost'!$AU:$AU,0),3),"")</f>
        <v/>
      </c>
      <c r="G871" s="3153" t="str">
        <f ca="1">IFERROR(INDEX('Production cost'!$A:$AU,MATCH($C871,'Production cost'!$AU:$AU,0),9),"")</f>
        <v/>
      </c>
      <c r="H871" s="3599" t="str">
        <f ca="1">IFERROR(IFERROR(INDEX('Production cost'!$A:$AU,MATCH($C871,'Production cost'!$AU:$AU,0),11),"")+IFERROR(INDEX('Production cost'!$A:$AU,MATCH($C871,'Production cost'!$AU:$AU,0),12),""),"")</f>
        <v/>
      </c>
      <c r="I871" s="3153" t="str">
        <f ca="1">IFERROR(INDEX('Production cost'!$A:$AU,MATCH($C871,'Production cost'!$AU:$AU,0),18),"")</f>
        <v/>
      </c>
      <c r="J871" s="3153" t="str">
        <f ca="1">IFERROR(INDEX('Production cost'!$A:$AU,MATCH($C871,'Production cost'!$AU:$AU,0),18),"")</f>
        <v/>
      </c>
    </row>
    <row r="872" spans="2:10" ht="21.75">
      <c r="B872" s="3143" t="s">
        <v>3652</v>
      </c>
      <c r="C872" s="3143">
        <f t="shared" si="15"/>
        <v>292</v>
      </c>
      <c r="D872" s="3143" t="str">
        <f ca="1">IFERROR(INDEX('Production cost'!$A:$AU,MATCH($C872,'Production cost'!$AU:$AU,0),6),"")</f>
        <v/>
      </c>
      <c r="E872" s="3143" t="str">
        <f ca="1">IFERROR(INDEX('Production cost'!$A:$AU,MATCH($C872,'Production cost'!$AU:$AU,0),3),"")</f>
        <v/>
      </c>
      <c r="G872" s="3153" t="str">
        <f ca="1">IFERROR(INDEX('Production cost'!$A:$AU,MATCH($C872,'Production cost'!$AU:$AU,0),9),"")</f>
        <v/>
      </c>
      <c r="H872" s="3599" t="str">
        <f ca="1">IFERROR(IFERROR(INDEX('Production cost'!$A:$AU,MATCH($C872,'Production cost'!$AU:$AU,0),11),"")+IFERROR(INDEX('Production cost'!$A:$AU,MATCH($C872,'Production cost'!$AU:$AU,0),12),""),"")</f>
        <v/>
      </c>
      <c r="I872" s="3153" t="str">
        <f ca="1">IFERROR(INDEX('Production cost'!$A:$AU,MATCH($C872,'Production cost'!$AU:$AU,0),18),"")</f>
        <v/>
      </c>
      <c r="J872" s="3153" t="str">
        <f ca="1">IFERROR(INDEX('Production cost'!$A:$AU,MATCH($C872,'Production cost'!$AU:$AU,0),18),"")</f>
        <v/>
      </c>
    </row>
    <row r="873" spans="2:10" ht="21.75">
      <c r="B873" s="3143" t="s">
        <v>3652</v>
      </c>
      <c r="C873" s="3143">
        <f t="shared" si="15"/>
        <v>293</v>
      </c>
      <c r="D873" s="3143" t="str">
        <f ca="1">IFERROR(INDEX('Production cost'!$A:$AU,MATCH($C873,'Production cost'!$AU:$AU,0),6),"")</f>
        <v/>
      </c>
      <c r="E873" s="3143" t="str">
        <f ca="1">IFERROR(INDEX('Production cost'!$A:$AU,MATCH($C873,'Production cost'!$AU:$AU,0),3),"")</f>
        <v/>
      </c>
      <c r="G873" s="3153" t="str">
        <f ca="1">IFERROR(INDEX('Production cost'!$A:$AU,MATCH($C873,'Production cost'!$AU:$AU,0),9),"")</f>
        <v/>
      </c>
      <c r="H873" s="3599" t="str">
        <f ca="1">IFERROR(IFERROR(INDEX('Production cost'!$A:$AU,MATCH($C873,'Production cost'!$AU:$AU,0),11),"")+IFERROR(INDEX('Production cost'!$A:$AU,MATCH($C873,'Production cost'!$AU:$AU,0),12),""),"")</f>
        <v/>
      </c>
      <c r="I873" s="3153" t="str">
        <f ca="1">IFERROR(INDEX('Production cost'!$A:$AU,MATCH($C873,'Production cost'!$AU:$AU,0),18),"")</f>
        <v/>
      </c>
      <c r="J873" s="3153" t="str">
        <f ca="1">IFERROR(INDEX('Production cost'!$A:$AU,MATCH($C873,'Production cost'!$AU:$AU,0),18),"")</f>
        <v/>
      </c>
    </row>
    <row r="874" spans="2:10" ht="21.75">
      <c r="B874" s="3143" t="s">
        <v>3652</v>
      </c>
      <c r="C874" s="3143">
        <f t="shared" si="15"/>
        <v>294</v>
      </c>
      <c r="D874" s="3143" t="str">
        <f ca="1">IFERROR(INDEX('Production cost'!$A:$AU,MATCH($C874,'Production cost'!$AU:$AU,0),6),"")</f>
        <v/>
      </c>
      <c r="E874" s="3143" t="str">
        <f ca="1">IFERROR(INDEX('Production cost'!$A:$AU,MATCH($C874,'Production cost'!$AU:$AU,0),3),"")</f>
        <v/>
      </c>
      <c r="G874" s="3153" t="str">
        <f ca="1">IFERROR(INDEX('Production cost'!$A:$AU,MATCH($C874,'Production cost'!$AU:$AU,0),9),"")</f>
        <v/>
      </c>
      <c r="H874" s="3599" t="str">
        <f ca="1">IFERROR(IFERROR(INDEX('Production cost'!$A:$AU,MATCH($C874,'Production cost'!$AU:$AU,0),11),"")+IFERROR(INDEX('Production cost'!$A:$AU,MATCH($C874,'Production cost'!$AU:$AU,0),12),""),"")</f>
        <v/>
      </c>
      <c r="I874" s="3153" t="str">
        <f ca="1">IFERROR(INDEX('Production cost'!$A:$AU,MATCH($C874,'Production cost'!$AU:$AU,0),18),"")</f>
        <v/>
      </c>
      <c r="J874" s="3153" t="str">
        <f ca="1">IFERROR(INDEX('Production cost'!$A:$AU,MATCH($C874,'Production cost'!$AU:$AU,0),18),"")</f>
        <v/>
      </c>
    </row>
    <row r="875" spans="2:10" ht="21.75">
      <c r="B875" s="3143" t="s">
        <v>3652</v>
      </c>
      <c r="C875" s="3143">
        <f t="shared" si="15"/>
        <v>295</v>
      </c>
      <c r="D875" s="3143" t="str">
        <f ca="1">IFERROR(INDEX('Production cost'!$A:$AU,MATCH($C875,'Production cost'!$AU:$AU,0),6),"")</f>
        <v/>
      </c>
      <c r="E875" s="3143" t="str">
        <f ca="1">IFERROR(INDEX('Production cost'!$A:$AU,MATCH($C875,'Production cost'!$AU:$AU,0),3),"")</f>
        <v/>
      </c>
      <c r="G875" s="3153" t="str">
        <f ca="1">IFERROR(INDEX('Production cost'!$A:$AU,MATCH($C875,'Production cost'!$AU:$AU,0),9),"")</f>
        <v/>
      </c>
      <c r="H875" s="3599" t="str">
        <f ca="1">IFERROR(IFERROR(INDEX('Production cost'!$A:$AU,MATCH($C875,'Production cost'!$AU:$AU,0),11),"")+IFERROR(INDEX('Production cost'!$A:$AU,MATCH($C875,'Production cost'!$AU:$AU,0),12),""),"")</f>
        <v/>
      </c>
      <c r="I875" s="3153" t="str">
        <f ca="1">IFERROR(INDEX('Production cost'!$A:$AU,MATCH($C875,'Production cost'!$AU:$AU,0),18),"")</f>
        <v/>
      </c>
      <c r="J875" s="3153" t="str">
        <f ca="1">IFERROR(INDEX('Production cost'!$A:$AU,MATCH($C875,'Production cost'!$AU:$AU,0),18),"")</f>
        <v/>
      </c>
    </row>
    <row r="876" spans="2:10" ht="21.75">
      <c r="B876" s="3143" t="s">
        <v>3652</v>
      </c>
      <c r="C876" s="3143">
        <f t="shared" si="15"/>
        <v>296</v>
      </c>
      <c r="D876" s="3143" t="str">
        <f ca="1">IFERROR(INDEX('Production cost'!$A:$AU,MATCH($C876,'Production cost'!$AU:$AU,0),6),"")</f>
        <v/>
      </c>
      <c r="E876" s="3143" t="str">
        <f ca="1">IFERROR(INDEX('Production cost'!$A:$AU,MATCH($C876,'Production cost'!$AU:$AU,0),3),"")</f>
        <v/>
      </c>
      <c r="G876" s="3153" t="str">
        <f ca="1">IFERROR(INDEX('Production cost'!$A:$AU,MATCH($C876,'Production cost'!$AU:$AU,0),9),"")</f>
        <v/>
      </c>
      <c r="H876" s="3599" t="str">
        <f ca="1">IFERROR(IFERROR(INDEX('Production cost'!$A:$AU,MATCH($C876,'Production cost'!$AU:$AU,0),11),"")+IFERROR(INDEX('Production cost'!$A:$AU,MATCH($C876,'Production cost'!$AU:$AU,0),12),""),"")</f>
        <v/>
      </c>
      <c r="I876" s="3153" t="str">
        <f ca="1">IFERROR(INDEX('Production cost'!$A:$AU,MATCH($C876,'Production cost'!$AU:$AU,0),18),"")</f>
        <v/>
      </c>
      <c r="J876" s="3153" t="str">
        <f ca="1">IFERROR(INDEX('Production cost'!$A:$AU,MATCH($C876,'Production cost'!$AU:$AU,0),18),"")</f>
        <v/>
      </c>
    </row>
    <row r="877" spans="2:10" ht="21.75">
      <c r="B877" s="3143" t="s">
        <v>3652</v>
      </c>
      <c r="C877" s="3143">
        <f t="shared" si="15"/>
        <v>297</v>
      </c>
      <c r="D877" s="3143" t="str">
        <f ca="1">IFERROR(INDEX('Production cost'!$A:$AU,MATCH($C877,'Production cost'!$AU:$AU,0),6),"")</f>
        <v/>
      </c>
      <c r="E877" s="3143" t="str">
        <f ca="1">IFERROR(INDEX('Production cost'!$A:$AU,MATCH($C877,'Production cost'!$AU:$AU,0),3),"")</f>
        <v/>
      </c>
      <c r="G877" s="3153" t="str">
        <f ca="1">IFERROR(INDEX('Production cost'!$A:$AU,MATCH($C877,'Production cost'!$AU:$AU,0),9),"")</f>
        <v/>
      </c>
      <c r="H877" s="3599" t="str">
        <f ca="1">IFERROR(IFERROR(INDEX('Production cost'!$A:$AU,MATCH($C877,'Production cost'!$AU:$AU,0),11),"")+IFERROR(INDEX('Production cost'!$A:$AU,MATCH($C877,'Production cost'!$AU:$AU,0),12),""),"")</f>
        <v/>
      </c>
      <c r="I877" s="3153" t="str">
        <f ca="1">IFERROR(INDEX('Production cost'!$A:$AU,MATCH($C877,'Production cost'!$AU:$AU,0),18),"")</f>
        <v/>
      </c>
      <c r="J877" s="3153" t="str">
        <f ca="1">IFERROR(INDEX('Production cost'!$A:$AU,MATCH($C877,'Production cost'!$AU:$AU,0),18),"")</f>
        <v/>
      </c>
    </row>
    <row r="878" spans="2:10" ht="21.75">
      <c r="B878" s="3143" t="s">
        <v>3652</v>
      </c>
      <c r="C878" s="3143">
        <f t="shared" si="15"/>
        <v>298</v>
      </c>
      <c r="D878" s="3143" t="str">
        <f ca="1">IFERROR(INDEX('Production cost'!$A:$AU,MATCH($C878,'Production cost'!$AU:$AU,0),6),"")</f>
        <v/>
      </c>
      <c r="E878" s="3143" t="str">
        <f ca="1">IFERROR(INDEX('Production cost'!$A:$AU,MATCH($C878,'Production cost'!$AU:$AU,0),3),"")</f>
        <v/>
      </c>
      <c r="G878" s="3153" t="str">
        <f ca="1">IFERROR(INDEX('Production cost'!$A:$AU,MATCH($C878,'Production cost'!$AU:$AU,0),9),"")</f>
        <v/>
      </c>
      <c r="H878" s="3599" t="str">
        <f ca="1">IFERROR(IFERROR(INDEX('Production cost'!$A:$AU,MATCH($C878,'Production cost'!$AU:$AU,0),11),"")+IFERROR(INDEX('Production cost'!$A:$AU,MATCH($C878,'Production cost'!$AU:$AU,0),12),""),"")</f>
        <v/>
      </c>
      <c r="I878" s="3153" t="str">
        <f ca="1">IFERROR(INDEX('Production cost'!$A:$AU,MATCH($C878,'Production cost'!$AU:$AU,0),18),"")</f>
        <v/>
      </c>
      <c r="J878" s="3153" t="str">
        <f ca="1">IFERROR(INDEX('Production cost'!$A:$AU,MATCH($C878,'Production cost'!$AU:$AU,0),18),"")</f>
        <v/>
      </c>
    </row>
    <row r="879" spans="2:10" ht="21.75">
      <c r="B879" s="3143" t="s">
        <v>3652</v>
      </c>
      <c r="C879" s="3143">
        <f t="shared" si="15"/>
        <v>299</v>
      </c>
      <c r="D879" s="3143" t="str">
        <f ca="1">IFERROR(INDEX('Production cost'!$A:$AU,MATCH($C879,'Production cost'!$AU:$AU,0),6),"")</f>
        <v/>
      </c>
      <c r="E879" s="3143" t="str">
        <f ca="1">IFERROR(INDEX('Production cost'!$A:$AU,MATCH($C879,'Production cost'!$AU:$AU,0),3),"")</f>
        <v/>
      </c>
      <c r="G879" s="3153" t="str">
        <f ca="1">IFERROR(INDEX('Production cost'!$A:$AU,MATCH($C879,'Production cost'!$AU:$AU,0),9),"")</f>
        <v/>
      </c>
      <c r="H879" s="3599" t="str">
        <f ca="1">IFERROR(IFERROR(INDEX('Production cost'!$A:$AU,MATCH($C879,'Production cost'!$AU:$AU,0),11),"")+IFERROR(INDEX('Production cost'!$A:$AU,MATCH($C879,'Production cost'!$AU:$AU,0),12),""),"")</f>
        <v/>
      </c>
      <c r="I879" s="3153" t="str">
        <f ca="1">IFERROR(INDEX('Production cost'!$A:$AU,MATCH($C879,'Production cost'!$AU:$AU,0),18),"")</f>
        <v/>
      </c>
      <c r="J879" s="3153" t="str">
        <f ca="1">IFERROR(INDEX('Production cost'!$A:$AU,MATCH($C879,'Production cost'!$AU:$AU,0),18),"")</f>
        <v/>
      </c>
    </row>
    <row r="880" spans="2:10" ht="21.75">
      <c r="B880" s="3143" t="s">
        <v>3652</v>
      </c>
      <c r="C880" s="3143">
        <f t="shared" si="15"/>
        <v>300</v>
      </c>
      <c r="D880" s="3143" t="str">
        <f ca="1">IFERROR(INDEX('Production cost'!$A:$AU,MATCH($C880,'Production cost'!$AU:$AU,0),6),"")</f>
        <v/>
      </c>
      <c r="E880" s="3143" t="str">
        <f ca="1">IFERROR(INDEX('Production cost'!$A:$AU,MATCH($C880,'Production cost'!$AU:$AU,0),3),"")</f>
        <v/>
      </c>
      <c r="G880" s="3153" t="str">
        <f ca="1">IFERROR(INDEX('Production cost'!$A:$AU,MATCH($C880,'Production cost'!$AU:$AU,0),9),"")</f>
        <v/>
      </c>
      <c r="H880" s="3599" t="str">
        <f ca="1">IFERROR(IFERROR(INDEX('Production cost'!$A:$AU,MATCH($C880,'Production cost'!$AU:$AU,0),11),"")+IFERROR(INDEX('Production cost'!$A:$AU,MATCH($C880,'Production cost'!$AU:$AU,0),12),""),"")</f>
        <v/>
      </c>
      <c r="I880" s="3153" t="str">
        <f ca="1">IFERROR(INDEX('Production cost'!$A:$AU,MATCH($C880,'Production cost'!$AU:$AU,0),18),"")</f>
        <v/>
      </c>
      <c r="J880" s="3153" t="str">
        <f ca="1">IFERROR(INDEX('Production cost'!$A:$AU,MATCH($C880,'Production cost'!$AU:$AU,0),18),"")</f>
        <v/>
      </c>
    </row>
    <row r="881" spans="2:10" ht="21.75">
      <c r="B881" s="3143" t="s">
        <v>3652</v>
      </c>
      <c r="C881" s="3143">
        <f t="shared" si="15"/>
        <v>301</v>
      </c>
      <c r="D881" s="3143" t="str">
        <f ca="1">IFERROR(INDEX('Production cost'!$A:$AU,MATCH($C881,'Production cost'!$AU:$AU,0),6),"")</f>
        <v/>
      </c>
      <c r="E881" s="3143" t="str">
        <f ca="1">IFERROR(INDEX('Production cost'!$A:$AU,MATCH($C881,'Production cost'!$AU:$AU,0),3),"")</f>
        <v/>
      </c>
      <c r="G881" s="3153" t="str">
        <f ca="1">IFERROR(INDEX('Production cost'!$A:$AU,MATCH($C881,'Production cost'!$AU:$AU,0),9),"")</f>
        <v/>
      </c>
      <c r="H881" s="3599" t="str">
        <f ca="1">IFERROR(IFERROR(INDEX('Production cost'!$A:$AU,MATCH($C881,'Production cost'!$AU:$AU,0),11),"")+IFERROR(INDEX('Production cost'!$A:$AU,MATCH($C881,'Production cost'!$AU:$AU,0),12),""),"")</f>
        <v/>
      </c>
      <c r="I881" s="3153" t="str">
        <f ca="1">IFERROR(INDEX('Production cost'!$A:$AU,MATCH($C881,'Production cost'!$AU:$AU,0),18),"")</f>
        <v/>
      </c>
      <c r="J881" s="3153" t="str">
        <f ca="1">IFERROR(INDEX('Production cost'!$A:$AU,MATCH($C881,'Production cost'!$AU:$AU,0),18),"")</f>
        <v/>
      </c>
    </row>
    <row r="882" spans="2:10" ht="21.75">
      <c r="B882" s="3143" t="s">
        <v>3652</v>
      </c>
      <c r="C882" s="3143">
        <f t="shared" si="15"/>
        <v>302</v>
      </c>
      <c r="D882" s="3143" t="str">
        <f ca="1">IFERROR(INDEX('Production cost'!$A:$AU,MATCH($C882,'Production cost'!$AU:$AU,0),6),"")</f>
        <v/>
      </c>
      <c r="E882" s="3143" t="str">
        <f ca="1">IFERROR(INDEX('Production cost'!$A:$AU,MATCH($C882,'Production cost'!$AU:$AU,0),3),"")</f>
        <v/>
      </c>
      <c r="G882" s="3153" t="str">
        <f ca="1">IFERROR(INDEX('Production cost'!$A:$AU,MATCH($C882,'Production cost'!$AU:$AU,0),9),"")</f>
        <v/>
      </c>
      <c r="H882" s="3599" t="str">
        <f ca="1">IFERROR(IFERROR(INDEX('Production cost'!$A:$AU,MATCH($C882,'Production cost'!$AU:$AU,0),11),"")+IFERROR(INDEX('Production cost'!$A:$AU,MATCH($C882,'Production cost'!$AU:$AU,0),12),""),"")</f>
        <v/>
      </c>
      <c r="I882" s="3153" t="str">
        <f ca="1">IFERROR(INDEX('Production cost'!$A:$AU,MATCH($C882,'Production cost'!$AU:$AU,0),18),"")</f>
        <v/>
      </c>
      <c r="J882" s="3153" t="str">
        <f ca="1">IFERROR(INDEX('Production cost'!$A:$AU,MATCH($C882,'Production cost'!$AU:$AU,0),18),"")</f>
        <v/>
      </c>
    </row>
    <row r="883" spans="2:10" ht="21.75">
      <c r="B883" s="3143" t="s">
        <v>3652</v>
      </c>
      <c r="C883" s="3143">
        <f t="shared" si="15"/>
        <v>303</v>
      </c>
      <c r="D883" s="3143" t="str">
        <f ca="1">IFERROR(INDEX('Production cost'!$A:$AU,MATCH($C883,'Production cost'!$AU:$AU,0),6),"")</f>
        <v/>
      </c>
      <c r="E883" s="3143" t="str">
        <f ca="1">IFERROR(INDEX('Production cost'!$A:$AU,MATCH($C883,'Production cost'!$AU:$AU,0),3),"")</f>
        <v/>
      </c>
      <c r="G883" s="3153" t="str">
        <f ca="1">IFERROR(INDEX('Production cost'!$A:$AU,MATCH($C883,'Production cost'!$AU:$AU,0),9),"")</f>
        <v/>
      </c>
      <c r="H883" s="3599" t="str">
        <f ca="1">IFERROR(IFERROR(INDEX('Production cost'!$A:$AU,MATCH($C883,'Production cost'!$AU:$AU,0),11),"")+IFERROR(INDEX('Production cost'!$A:$AU,MATCH($C883,'Production cost'!$AU:$AU,0),12),""),"")</f>
        <v/>
      </c>
      <c r="I883" s="3153" t="str">
        <f ca="1">IFERROR(INDEX('Production cost'!$A:$AU,MATCH($C883,'Production cost'!$AU:$AU,0),18),"")</f>
        <v/>
      </c>
      <c r="J883" s="3153" t="str">
        <f ca="1">IFERROR(INDEX('Production cost'!$A:$AU,MATCH($C883,'Production cost'!$AU:$AU,0),18),"")</f>
        <v/>
      </c>
    </row>
    <row r="884" spans="2:10" ht="21.75">
      <c r="B884" s="3143" t="s">
        <v>3652</v>
      </c>
      <c r="C884" s="3143">
        <f t="shared" si="15"/>
        <v>304</v>
      </c>
      <c r="D884" s="3143" t="str">
        <f ca="1">IFERROR(INDEX('Production cost'!$A:$AU,MATCH($C884,'Production cost'!$AU:$AU,0),6),"")</f>
        <v/>
      </c>
      <c r="E884" s="3143" t="str">
        <f ca="1">IFERROR(INDEX('Production cost'!$A:$AU,MATCH($C884,'Production cost'!$AU:$AU,0),3),"")</f>
        <v/>
      </c>
      <c r="G884" s="3153" t="str">
        <f ca="1">IFERROR(INDEX('Production cost'!$A:$AU,MATCH($C884,'Production cost'!$AU:$AU,0),9),"")</f>
        <v/>
      </c>
      <c r="H884" s="3599" t="str">
        <f ca="1">IFERROR(IFERROR(INDEX('Production cost'!$A:$AU,MATCH($C884,'Production cost'!$AU:$AU,0),11),"")+IFERROR(INDEX('Production cost'!$A:$AU,MATCH($C884,'Production cost'!$AU:$AU,0),12),""),"")</f>
        <v/>
      </c>
      <c r="I884" s="3153" t="str">
        <f ca="1">IFERROR(INDEX('Production cost'!$A:$AU,MATCH($C884,'Production cost'!$AU:$AU,0),18),"")</f>
        <v/>
      </c>
      <c r="J884" s="3153" t="str">
        <f ca="1">IFERROR(INDEX('Production cost'!$A:$AU,MATCH($C884,'Production cost'!$AU:$AU,0),18),"")</f>
        <v/>
      </c>
    </row>
    <row r="885" spans="2:10" ht="21.75">
      <c r="B885" s="3143" t="s">
        <v>3652</v>
      </c>
      <c r="C885" s="3143">
        <f t="shared" si="15"/>
        <v>305</v>
      </c>
      <c r="D885" s="3143" t="str">
        <f ca="1">IFERROR(INDEX('Production cost'!$A:$AU,MATCH($C885,'Production cost'!$AU:$AU,0),6),"")</f>
        <v/>
      </c>
      <c r="E885" s="3143" t="str">
        <f ca="1">IFERROR(INDEX('Production cost'!$A:$AU,MATCH($C885,'Production cost'!$AU:$AU,0),3),"")</f>
        <v/>
      </c>
      <c r="G885" s="3153" t="str">
        <f ca="1">IFERROR(INDEX('Production cost'!$A:$AU,MATCH($C885,'Production cost'!$AU:$AU,0),9),"")</f>
        <v/>
      </c>
      <c r="H885" s="3599" t="str">
        <f ca="1">IFERROR(IFERROR(INDEX('Production cost'!$A:$AU,MATCH($C885,'Production cost'!$AU:$AU,0),11),"")+IFERROR(INDEX('Production cost'!$A:$AU,MATCH($C885,'Production cost'!$AU:$AU,0),12),""),"")</f>
        <v/>
      </c>
      <c r="I885" s="3153" t="str">
        <f ca="1">IFERROR(INDEX('Production cost'!$A:$AU,MATCH($C885,'Production cost'!$AU:$AU,0),18),"")</f>
        <v/>
      </c>
      <c r="J885" s="3153" t="str">
        <f ca="1">IFERROR(INDEX('Production cost'!$A:$AU,MATCH($C885,'Production cost'!$AU:$AU,0),18),"")</f>
        <v/>
      </c>
    </row>
    <row r="886" spans="2:10" ht="21.75">
      <c r="B886" s="3143" t="s">
        <v>3652</v>
      </c>
      <c r="C886" s="3143">
        <f t="shared" si="15"/>
        <v>306</v>
      </c>
      <c r="D886" s="3143" t="str">
        <f ca="1">IFERROR(INDEX('Production cost'!$A:$AU,MATCH($C886,'Production cost'!$AU:$AU,0),6),"")</f>
        <v/>
      </c>
      <c r="E886" s="3143" t="str">
        <f ca="1">IFERROR(INDEX('Production cost'!$A:$AU,MATCH($C886,'Production cost'!$AU:$AU,0),3),"")</f>
        <v/>
      </c>
      <c r="G886" s="3153" t="str">
        <f ca="1">IFERROR(INDEX('Production cost'!$A:$AU,MATCH($C886,'Production cost'!$AU:$AU,0),9),"")</f>
        <v/>
      </c>
      <c r="H886" s="3599" t="str">
        <f ca="1">IFERROR(IFERROR(INDEX('Production cost'!$A:$AU,MATCH($C886,'Production cost'!$AU:$AU,0),11),"")+IFERROR(INDEX('Production cost'!$A:$AU,MATCH($C886,'Production cost'!$AU:$AU,0),12),""),"")</f>
        <v/>
      </c>
      <c r="I886" s="3153" t="str">
        <f ca="1">IFERROR(INDEX('Production cost'!$A:$AU,MATCH($C886,'Production cost'!$AU:$AU,0),18),"")</f>
        <v/>
      </c>
      <c r="J886" s="3153" t="str">
        <f ca="1">IFERROR(INDEX('Production cost'!$A:$AU,MATCH($C886,'Production cost'!$AU:$AU,0),18),"")</f>
        <v/>
      </c>
    </row>
    <row r="887" spans="2:10" ht="21.75">
      <c r="B887" s="3143" t="s">
        <v>3652</v>
      </c>
      <c r="C887" s="3143">
        <f t="shared" si="15"/>
        <v>307</v>
      </c>
      <c r="D887" s="3143" t="str">
        <f ca="1">IFERROR(INDEX('Production cost'!$A:$AU,MATCH($C887,'Production cost'!$AU:$AU,0),6),"")</f>
        <v/>
      </c>
      <c r="E887" s="3143" t="str">
        <f ca="1">IFERROR(INDEX('Production cost'!$A:$AU,MATCH($C887,'Production cost'!$AU:$AU,0),3),"")</f>
        <v/>
      </c>
      <c r="G887" s="3153" t="str">
        <f ca="1">IFERROR(INDEX('Production cost'!$A:$AU,MATCH($C887,'Production cost'!$AU:$AU,0),9),"")</f>
        <v/>
      </c>
      <c r="H887" s="3599" t="str">
        <f ca="1">IFERROR(IFERROR(INDEX('Production cost'!$A:$AU,MATCH($C887,'Production cost'!$AU:$AU,0),11),"")+IFERROR(INDEX('Production cost'!$A:$AU,MATCH($C887,'Production cost'!$AU:$AU,0),12),""),"")</f>
        <v/>
      </c>
      <c r="I887" s="3153" t="str">
        <f ca="1">IFERROR(INDEX('Production cost'!$A:$AU,MATCH($C887,'Production cost'!$AU:$AU,0),18),"")</f>
        <v/>
      </c>
      <c r="J887" s="3153" t="str">
        <f ca="1">IFERROR(INDEX('Production cost'!$A:$AU,MATCH($C887,'Production cost'!$AU:$AU,0),18),"")</f>
        <v/>
      </c>
    </row>
    <row r="888" spans="2:10" ht="21.75">
      <c r="B888" s="3143" t="s">
        <v>3652</v>
      </c>
      <c r="C888" s="3143">
        <f t="shared" si="15"/>
        <v>308</v>
      </c>
      <c r="D888" s="3143" t="str">
        <f ca="1">IFERROR(INDEX('Production cost'!$A:$AU,MATCH($C888,'Production cost'!$AU:$AU,0),6),"")</f>
        <v/>
      </c>
      <c r="E888" s="3143" t="str">
        <f ca="1">IFERROR(INDEX('Production cost'!$A:$AU,MATCH($C888,'Production cost'!$AU:$AU,0),3),"")</f>
        <v/>
      </c>
      <c r="G888" s="3153" t="str">
        <f ca="1">IFERROR(INDEX('Production cost'!$A:$AU,MATCH($C888,'Production cost'!$AU:$AU,0),9),"")</f>
        <v/>
      </c>
      <c r="H888" s="3599" t="str">
        <f ca="1">IFERROR(IFERROR(INDEX('Production cost'!$A:$AU,MATCH($C888,'Production cost'!$AU:$AU,0),11),"")+IFERROR(INDEX('Production cost'!$A:$AU,MATCH($C888,'Production cost'!$AU:$AU,0),12),""),"")</f>
        <v/>
      </c>
      <c r="I888" s="3153" t="str">
        <f ca="1">IFERROR(INDEX('Production cost'!$A:$AU,MATCH($C888,'Production cost'!$AU:$AU,0),18),"")</f>
        <v/>
      </c>
      <c r="J888" s="3153" t="str">
        <f ca="1">IFERROR(INDEX('Production cost'!$A:$AU,MATCH($C888,'Production cost'!$AU:$AU,0),18),"")</f>
        <v/>
      </c>
    </row>
    <row r="889" spans="2:10" ht="21.75">
      <c r="B889" s="3143" t="s">
        <v>3652</v>
      </c>
      <c r="C889" s="3143">
        <f t="shared" si="15"/>
        <v>309</v>
      </c>
      <c r="D889" s="3143" t="str">
        <f ca="1">IFERROR(INDEX('Production cost'!$A:$AU,MATCH($C889,'Production cost'!$AU:$AU,0),6),"")</f>
        <v/>
      </c>
      <c r="E889" s="3143" t="str">
        <f ca="1">IFERROR(INDEX('Production cost'!$A:$AU,MATCH($C889,'Production cost'!$AU:$AU,0),3),"")</f>
        <v/>
      </c>
      <c r="G889" s="3153" t="str">
        <f ca="1">IFERROR(INDEX('Production cost'!$A:$AU,MATCH($C889,'Production cost'!$AU:$AU,0),9),"")</f>
        <v/>
      </c>
      <c r="H889" s="3599" t="str">
        <f ca="1">IFERROR(IFERROR(INDEX('Production cost'!$A:$AU,MATCH($C889,'Production cost'!$AU:$AU,0),11),"")+IFERROR(INDEX('Production cost'!$A:$AU,MATCH($C889,'Production cost'!$AU:$AU,0),12),""),"")</f>
        <v/>
      </c>
      <c r="I889" s="3153" t="str">
        <f ca="1">IFERROR(INDEX('Production cost'!$A:$AU,MATCH($C889,'Production cost'!$AU:$AU,0),18),"")</f>
        <v/>
      </c>
      <c r="J889" s="3153" t="str">
        <f ca="1">IFERROR(INDEX('Production cost'!$A:$AU,MATCH($C889,'Production cost'!$AU:$AU,0),18),"")</f>
        <v/>
      </c>
    </row>
    <row r="890" spans="2:10" ht="21.75">
      <c r="B890" s="3143" t="s">
        <v>3652</v>
      </c>
      <c r="C890" s="3143">
        <f t="shared" si="15"/>
        <v>310</v>
      </c>
      <c r="D890" s="3143" t="str">
        <f ca="1">IFERROR(INDEX('Production cost'!$A:$AU,MATCH($C890,'Production cost'!$AU:$AU,0),6),"")</f>
        <v/>
      </c>
      <c r="E890" s="3143" t="str">
        <f ca="1">IFERROR(INDEX('Production cost'!$A:$AU,MATCH($C890,'Production cost'!$AU:$AU,0),3),"")</f>
        <v/>
      </c>
      <c r="G890" s="3153" t="str">
        <f ca="1">IFERROR(INDEX('Production cost'!$A:$AU,MATCH($C890,'Production cost'!$AU:$AU,0),9),"")</f>
        <v/>
      </c>
      <c r="H890" s="3599" t="str">
        <f ca="1">IFERROR(IFERROR(INDEX('Production cost'!$A:$AU,MATCH($C890,'Production cost'!$AU:$AU,0),11),"")+IFERROR(INDEX('Production cost'!$A:$AU,MATCH($C890,'Production cost'!$AU:$AU,0),12),""),"")</f>
        <v/>
      </c>
      <c r="I890" s="3153" t="str">
        <f ca="1">IFERROR(INDEX('Production cost'!$A:$AU,MATCH($C890,'Production cost'!$AU:$AU,0),18),"")</f>
        <v/>
      </c>
      <c r="J890" s="3153" t="str">
        <f ca="1">IFERROR(INDEX('Production cost'!$A:$AU,MATCH($C890,'Production cost'!$AU:$AU,0),18),"")</f>
        <v/>
      </c>
    </row>
    <row r="891" spans="2:10" ht="21.75">
      <c r="B891" s="3143" t="s">
        <v>3652</v>
      </c>
      <c r="C891" s="3143">
        <f t="shared" si="15"/>
        <v>311</v>
      </c>
      <c r="D891" s="3143" t="str">
        <f ca="1">IFERROR(INDEX('Production cost'!$A:$AU,MATCH($C891,'Production cost'!$AU:$AU,0),6),"")</f>
        <v/>
      </c>
      <c r="E891" s="3143" t="str">
        <f ca="1">IFERROR(INDEX('Production cost'!$A:$AU,MATCH($C891,'Production cost'!$AU:$AU,0),3),"")</f>
        <v/>
      </c>
      <c r="G891" s="3153" t="str">
        <f ca="1">IFERROR(INDEX('Production cost'!$A:$AU,MATCH($C891,'Production cost'!$AU:$AU,0),9),"")</f>
        <v/>
      </c>
      <c r="H891" s="3599" t="str">
        <f ca="1">IFERROR(IFERROR(INDEX('Production cost'!$A:$AU,MATCH($C891,'Production cost'!$AU:$AU,0),11),"")+IFERROR(INDEX('Production cost'!$A:$AU,MATCH($C891,'Production cost'!$AU:$AU,0),12),""),"")</f>
        <v/>
      </c>
      <c r="I891" s="3153" t="str">
        <f ca="1">IFERROR(INDEX('Production cost'!$A:$AU,MATCH($C891,'Production cost'!$AU:$AU,0),18),"")</f>
        <v/>
      </c>
      <c r="J891" s="3153" t="str">
        <f ca="1">IFERROR(INDEX('Production cost'!$A:$AU,MATCH($C891,'Production cost'!$AU:$AU,0),18),"")</f>
        <v/>
      </c>
    </row>
    <row r="892" spans="2:10" ht="21.75">
      <c r="B892" s="3143" t="s">
        <v>3652</v>
      </c>
      <c r="C892" s="3143">
        <f t="shared" si="15"/>
        <v>312</v>
      </c>
      <c r="D892" s="3143" t="str">
        <f ca="1">IFERROR(INDEX('Production cost'!$A:$AU,MATCH($C892,'Production cost'!$AU:$AU,0),6),"")</f>
        <v/>
      </c>
      <c r="E892" s="3143" t="str">
        <f ca="1">IFERROR(INDEX('Production cost'!$A:$AU,MATCH($C892,'Production cost'!$AU:$AU,0),3),"")</f>
        <v/>
      </c>
      <c r="G892" s="3153" t="str">
        <f ca="1">IFERROR(INDEX('Production cost'!$A:$AU,MATCH($C892,'Production cost'!$AU:$AU,0),9),"")</f>
        <v/>
      </c>
      <c r="H892" s="3599" t="str">
        <f ca="1">IFERROR(IFERROR(INDEX('Production cost'!$A:$AU,MATCH($C892,'Production cost'!$AU:$AU,0),11),"")+IFERROR(INDEX('Production cost'!$A:$AU,MATCH($C892,'Production cost'!$AU:$AU,0),12),""),"")</f>
        <v/>
      </c>
      <c r="I892" s="3153" t="str">
        <f ca="1">IFERROR(INDEX('Production cost'!$A:$AU,MATCH($C892,'Production cost'!$AU:$AU,0),18),"")</f>
        <v/>
      </c>
      <c r="J892" s="3153" t="str">
        <f ca="1">IFERROR(INDEX('Production cost'!$A:$AU,MATCH($C892,'Production cost'!$AU:$AU,0),18),"")</f>
        <v/>
      </c>
    </row>
    <row r="893" spans="2:10" ht="21.75">
      <c r="B893" s="3143" t="s">
        <v>3652</v>
      </c>
      <c r="C893" s="3143">
        <f t="shared" si="15"/>
        <v>313</v>
      </c>
      <c r="D893" s="3143" t="str">
        <f ca="1">IFERROR(INDEX('Production cost'!$A:$AU,MATCH($C893,'Production cost'!$AU:$AU,0),6),"")</f>
        <v/>
      </c>
      <c r="E893" s="3143" t="str">
        <f ca="1">IFERROR(INDEX('Production cost'!$A:$AU,MATCH($C893,'Production cost'!$AU:$AU,0),3),"")</f>
        <v/>
      </c>
      <c r="G893" s="3153" t="str">
        <f ca="1">IFERROR(INDEX('Production cost'!$A:$AU,MATCH($C893,'Production cost'!$AU:$AU,0),9),"")</f>
        <v/>
      </c>
      <c r="H893" s="3599" t="str">
        <f ca="1">IFERROR(IFERROR(INDEX('Production cost'!$A:$AU,MATCH($C893,'Production cost'!$AU:$AU,0),11),"")+IFERROR(INDEX('Production cost'!$A:$AU,MATCH($C893,'Production cost'!$AU:$AU,0),12),""),"")</f>
        <v/>
      </c>
      <c r="I893" s="3153" t="str">
        <f ca="1">IFERROR(INDEX('Production cost'!$A:$AU,MATCH($C893,'Production cost'!$AU:$AU,0),18),"")</f>
        <v/>
      </c>
      <c r="J893" s="3153" t="str">
        <f ca="1">IFERROR(INDEX('Production cost'!$A:$AU,MATCH($C893,'Production cost'!$AU:$AU,0),18),"")</f>
        <v/>
      </c>
    </row>
    <row r="894" spans="2:10" ht="21.75">
      <c r="B894" s="3143" t="s">
        <v>3652</v>
      </c>
      <c r="C894" s="3143">
        <f t="shared" si="15"/>
        <v>314</v>
      </c>
      <c r="D894" s="3143" t="str">
        <f ca="1">IFERROR(INDEX('Production cost'!$A:$AU,MATCH($C894,'Production cost'!$AU:$AU,0),6),"")</f>
        <v/>
      </c>
      <c r="E894" s="3143" t="str">
        <f ca="1">IFERROR(INDEX('Production cost'!$A:$AU,MATCH($C894,'Production cost'!$AU:$AU,0),3),"")</f>
        <v/>
      </c>
      <c r="G894" s="3153" t="str">
        <f ca="1">IFERROR(INDEX('Production cost'!$A:$AU,MATCH($C894,'Production cost'!$AU:$AU,0),9),"")</f>
        <v/>
      </c>
      <c r="H894" s="3599" t="str">
        <f ca="1">IFERROR(IFERROR(INDEX('Production cost'!$A:$AU,MATCH($C894,'Production cost'!$AU:$AU,0),11),"")+IFERROR(INDEX('Production cost'!$A:$AU,MATCH($C894,'Production cost'!$AU:$AU,0),12),""),"")</f>
        <v/>
      </c>
      <c r="I894" s="3153" t="str">
        <f ca="1">IFERROR(INDEX('Production cost'!$A:$AU,MATCH($C894,'Production cost'!$AU:$AU,0),18),"")</f>
        <v/>
      </c>
      <c r="J894" s="3153" t="str">
        <f ca="1">IFERROR(INDEX('Production cost'!$A:$AU,MATCH($C894,'Production cost'!$AU:$AU,0),18),"")</f>
        <v/>
      </c>
    </row>
    <row r="895" spans="2:10" ht="21.75">
      <c r="B895" s="3143" t="s">
        <v>3652</v>
      </c>
      <c r="C895" s="3143">
        <f t="shared" si="15"/>
        <v>315</v>
      </c>
      <c r="D895" s="3143" t="str">
        <f ca="1">IFERROR(INDEX('Production cost'!$A:$AU,MATCH($C895,'Production cost'!$AU:$AU,0),6),"")</f>
        <v/>
      </c>
      <c r="E895" s="3143" t="str">
        <f ca="1">IFERROR(INDEX('Production cost'!$A:$AU,MATCH($C895,'Production cost'!$AU:$AU,0),3),"")</f>
        <v/>
      </c>
      <c r="G895" s="3153" t="str">
        <f ca="1">IFERROR(INDEX('Production cost'!$A:$AU,MATCH($C895,'Production cost'!$AU:$AU,0),9),"")</f>
        <v/>
      </c>
      <c r="H895" s="3599" t="str">
        <f ca="1">IFERROR(IFERROR(INDEX('Production cost'!$A:$AU,MATCH($C895,'Production cost'!$AU:$AU,0),11),"")+IFERROR(INDEX('Production cost'!$A:$AU,MATCH($C895,'Production cost'!$AU:$AU,0),12),""),"")</f>
        <v/>
      </c>
      <c r="I895" s="3153" t="str">
        <f ca="1">IFERROR(INDEX('Production cost'!$A:$AU,MATCH($C895,'Production cost'!$AU:$AU,0),18),"")</f>
        <v/>
      </c>
      <c r="J895" s="3153" t="str">
        <f ca="1">IFERROR(INDEX('Production cost'!$A:$AU,MATCH($C895,'Production cost'!$AU:$AU,0),18),"")</f>
        <v/>
      </c>
    </row>
    <row r="896" spans="2:10" ht="21.75">
      <c r="B896" s="3143" t="s">
        <v>3652</v>
      </c>
      <c r="C896" s="3143">
        <f t="shared" si="15"/>
        <v>316</v>
      </c>
      <c r="D896" s="3143" t="str">
        <f ca="1">IFERROR(INDEX('Production cost'!$A:$AU,MATCH($C896,'Production cost'!$AU:$AU,0),6),"")</f>
        <v/>
      </c>
      <c r="E896" s="3143" t="str">
        <f ca="1">IFERROR(INDEX('Production cost'!$A:$AU,MATCH($C896,'Production cost'!$AU:$AU,0),3),"")</f>
        <v/>
      </c>
      <c r="G896" s="3153" t="str">
        <f ca="1">IFERROR(INDEX('Production cost'!$A:$AU,MATCH($C896,'Production cost'!$AU:$AU,0),9),"")</f>
        <v/>
      </c>
      <c r="H896" s="3599" t="str">
        <f ca="1">IFERROR(IFERROR(INDEX('Production cost'!$A:$AU,MATCH($C896,'Production cost'!$AU:$AU,0),11),"")+IFERROR(INDEX('Production cost'!$A:$AU,MATCH($C896,'Production cost'!$AU:$AU,0),12),""),"")</f>
        <v/>
      </c>
      <c r="I896" s="3153" t="str">
        <f ca="1">IFERROR(INDEX('Production cost'!$A:$AU,MATCH($C896,'Production cost'!$AU:$AU,0),18),"")</f>
        <v/>
      </c>
      <c r="J896" s="3153" t="str">
        <f ca="1">IFERROR(INDEX('Production cost'!$A:$AU,MATCH($C896,'Production cost'!$AU:$AU,0),18),"")</f>
        <v/>
      </c>
    </row>
    <row r="897" spans="2:10" ht="21.75">
      <c r="B897" s="3143" t="s">
        <v>3652</v>
      </c>
      <c r="C897" s="3143">
        <f t="shared" si="15"/>
        <v>317</v>
      </c>
      <c r="D897" s="3143" t="str">
        <f ca="1">IFERROR(INDEX('Production cost'!$A:$AU,MATCH($C897,'Production cost'!$AU:$AU,0),6),"")</f>
        <v/>
      </c>
      <c r="E897" s="3143" t="str">
        <f ca="1">IFERROR(INDEX('Production cost'!$A:$AU,MATCH($C897,'Production cost'!$AU:$AU,0),3),"")</f>
        <v/>
      </c>
      <c r="G897" s="3153" t="str">
        <f ca="1">IFERROR(INDEX('Production cost'!$A:$AU,MATCH($C897,'Production cost'!$AU:$AU,0),9),"")</f>
        <v/>
      </c>
      <c r="H897" s="3599" t="str">
        <f ca="1">IFERROR(IFERROR(INDEX('Production cost'!$A:$AU,MATCH($C897,'Production cost'!$AU:$AU,0),11),"")+IFERROR(INDEX('Production cost'!$A:$AU,MATCH($C897,'Production cost'!$AU:$AU,0),12),""),"")</f>
        <v/>
      </c>
      <c r="I897" s="3153" t="str">
        <f ca="1">IFERROR(INDEX('Production cost'!$A:$AU,MATCH($C897,'Production cost'!$AU:$AU,0),18),"")</f>
        <v/>
      </c>
      <c r="J897" s="3153" t="str">
        <f ca="1">IFERROR(INDEX('Production cost'!$A:$AU,MATCH($C897,'Production cost'!$AU:$AU,0),18),"")</f>
        <v/>
      </c>
    </row>
    <row r="898" spans="2:10" ht="21.75">
      <c r="B898" s="3143" t="s">
        <v>3652</v>
      </c>
      <c r="C898" s="3143">
        <f t="shared" si="15"/>
        <v>318</v>
      </c>
      <c r="D898" s="3143" t="str">
        <f ca="1">IFERROR(INDEX('Production cost'!$A:$AU,MATCH($C898,'Production cost'!$AU:$AU,0),6),"")</f>
        <v/>
      </c>
      <c r="E898" s="3143" t="str">
        <f ca="1">IFERROR(INDEX('Production cost'!$A:$AU,MATCH($C898,'Production cost'!$AU:$AU,0),3),"")</f>
        <v/>
      </c>
      <c r="G898" s="3153" t="str">
        <f ca="1">IFERROR(INDEX('Production cost'!$A:$AU,MATCH($C898,'Production cost'!$AU:$AU,0),9),"")</f>
        <v/>
      </c>
      <c r="H898" s="3599" t="str">
        <f ca="1">IFERROR(IFERROR(INDEX('Production cost'!$A:$AU,MATCH($C898,'Production cost'!$AU:$AU,0),11),"")+IFERROR(INDEX('Production cost'!$A:$AU,MATCH($C898,'Production cost'!$AU:$AU,0),12),""),"")</f>
        <v/>
      </c>
      <c r="I898" s="3153" t="str">
        <f ca="1">IFERROR(INDEX('Production cost'!$A:$AU,MATCH($C898,'Production cost'!$AU:$AU,0),18),"")</f>
        <v/>
      </c>
      <c r="J898" s="3153" t="str">
        <f ca="1">IFERROR(INDEX('Production cost'!$A:$AU,MATCH($C898,'Production cost'!$AU:$AU,0),18),"")</f>
        <v/>
      </c>
    </row>
    <row r="899" spans="2:10" ht="21.75">
      <c r="B899" s="3143" t="s">
        <v>3652</v>
      </c>
      <c r="C899" s="3143">
        <f t="shared" si="15"/>
        <v>319</v>
      </c>
      <c r="D899" s="3143" t="str">
        <f ca="1">IFERROR(INDEX('Production cost'!$A:$AU,MATCH($C899,'Production cost'!$AU:$AU,0),6),"")</f>
        <v/>
      </c>
      <c r="E899" s="3143" t="str">
        <f ca="1">IFERROR(INDEX('Production cost'!$A:$AU,MATCH($C899,'Production cost'!$AU:$AU,0),3),"")</f>
        <v/>
      </c>
      <c r="G899" s="3153" t="str">
        <f ca="1">IFERROR(INDEX('Production cost'!$A:$AU,MATCH($C899,'Production cost'!$AU:$AU,0),9),"")</f>
        <v/>
      </c>
      <c r="H899" s="3599" t="str">
        <f ca="1">IFERROR(IFERROR(INDEX('Production cost'!$A:$AU,MATCH($C899,'Production cost'!$AU:$AU,0),11),"")+IFERROR(INDEX('Production cost'!$A:$AU,MATCH($C899,'Production cost'!$AU:$AU,0),12),""),"")</f>
        <v/>
      </c>
      <c r="I899" s="3153" t="str">
        <f ca="1">IFERROR(INDEX('Production cost'!$A:$AU,MATCH($C899,'Production cost'!$AU:$AU,0),18),"")</f>
        <v/>
      </c>
      <c r="J899" s="3153" t="str">
        <f ca="1">IFERROR(INDEX('Production cost'!$A:$AU,MATCH($C899,'Production cost'!$AU:$AU,0),18),"")</f>
        <v/>
      </c>
    </row>
    <row r="900" spans="2:10" ht="21.75">
      <c r="B900" s="3143" t="s">
        <v>3652</v>
      </c>
      <c r="C900" s="3143">
        <f t="shared" si="15"/>
        <v>320</v>
      </c>
      <c r="D900" s="3143" t="str">
        <f ca="1">IFERROR(INDEX('Production cost'!$A:$AU,MATCH($C900,'Production cost'!$AU:$AU,0),6),"")</f>
        <v/>
      </c>
      <c r="E900" s="3143" t="str">
        <f ca="1">IFERROR(INDEX('Production cost'!$A:$AU,MATCH($C900,'Production cost'!$AU:$AU,0),3),"")</f>
        <v/>
      </c>
      <c r="G900" s="3153" t="str">
        <f ca="1">IFERROR(INDEX('Production cost'!$A:$AU,MATCH($C900,'Production cost'!$AU:$AU,0),9),"")</f>
        <v/>
      </c>
      <c r="H900" s="3599" t="str">
        <f ca="1">IFERROR(IFERROR(INDEX('Production cost'!$A:$AU,MATCH($C900,'Production cost'!$AU:$AU,0),11),"")+IFERROR(INDEX('Production cost'!$A:$AU,MATCH($C900,'Production cost'!$AU:$AU,0),12),""),"")</f>
        <v/>
      </c>
      <c r="I900" s="3153" t="str">
        <f ca="1">IFERROR(INDEX('Production cost'!$A:$AU,MATCH($C900,'Production cost'!$AU:$AU,0),18),"")</f>
        <v/>
      </c>
      <c r="J900" s="3153" t="str">
        <f ca="1">IFERROR(INDEX('Production cost'!$A:$AU,MATCH($C900,'Production cost'!$AU:$AU,0),18),"")</f>
        <v/>
      </c>
    </row>
    <row r="901" spans="2:10" ht="21.75">
      <c r="B901" s="3143" t="s">
        <v>3652</v>
      </c>
      <c r="C901" s="3143">
        <f t="shared" si="15"/>
        <v>321</v>
      </c>
      <c r="D901" s="3143" t="str">
        <f ca="1">IFERROR(INDEX('Production cost'!$A:$AU,MATCH($C901,'Production cost'!$AU:$AU,0),6),"")</f>
        <v/>
      </c>
      <c r="E901" s="3143" t="str">
        <f ca="1">IFERROR(INDEX('Production cost'!$A:$AU,MATCH($C901,'Production cost'!$AU:$AU,0),3),"")</f>
        <v/>
      </c>
      <c r="G901" s="3153" t="str">
        <f ca="1">IFERROR(INDEX('Production cost'!$A:$AU,MATCH($C901,'Production cost'!$AU:$AU,0),9),"")</f>
        <v/>
      </c>
      <c r="H901" s="3599" t="str">
        <f ca="1">IFERROR(IFERROR(INDEX('Production cost'!$A:$AU,MATCH($C901,'Production cost'!$AU:$AU,0),11),"")+IFERROR(INDEX('Production cost'!$A:$AU,MATCH($C901,'Production cost'!$AU:$AU,0),12),""),"")</f>
        <v/>
      </c>
      <c r="I901" s="3153" t="str">
        <f ca="1">IFERROR(INDEX('Production cost'!$A:$AU,MATCH($C901,'Production cost'!$AU:$AU,0),18),"")</f>
        <v/>
      </c>
      <c r="J901" s="3153" t="str">
        <f ca="1">IFERROR(INDEX('Production cost'!$A:$AU,MATCH($C901,'Production cost'!$AU:$AU,0),18),"")</f>
        <v/>
      </c>
    </row>
    <row r="902" spans="2:10" ht="21.75">
      <c r="B902" s="3143" t="s">
        <v>3652</v>
      </c>
      <c r="C902" s="3143">
        <f t="shared" si="15"/>
        <v>322</v>
      </c>
      <c r="D902" s="3143" t="str">
        <f ca="1">IFERROR(INDEX('Production cost'!$A:$AU,MATCH($C902,'Production cost'!$AU:$AU,0),6),"")</f>
        <v/>
      </c>
      <c r="E902" s="3143" t="str">
        <f ca="1">IFERROR(INDEX('Production cost'!$A:$AU,MATCH($C902,'Production cost'!$AU:$AU,0),3),"")</f>
        <v/>
      </c>
      <c r="G902" s="3153" t="str">
        <f ca="1">IFERROR(INDEX('Production cost'!$A:$AU,MATCH($C902,'Production cost'!$AU:$AU,0),9),"")</f>
        <v/>
      </c>
      <c r="H902" s="3599" t="str">
        <f ca="1">IFERROR(IFERROR(INDEX('Production cost'!$A:$AU,MATCH($C902,'Production cost'!$AU:$AU,0),11),"")+IFERROR(INDEX('Production cost'!$A:$AU,MATCH($C902,'Production cost'!$AU:$AU,0),12),""),"")</f>
        <v/>
      </c>
      <c r="I902" s="3153" t="str">
        <f ca="1">IFERROR(INDEX('Production cost'!$A:$AU,MATCH($C902,'Production cost'!$AU:$AU,0),18),"")</f>
        <v/>
      </c>
      <c r="J902" s="3153" t="str">
        <f ca="1">IFERROR(INDEX('Production cost'!$A:$AU,MATCH($C902,'Production cost'!$AU:$AU,0),18),"")</f>
        <v/>
      </c>
    </row>
    <row r="903" spans="2:10" ht="21.75">
      <c r="B903" s="3143" t="s">
        <v>3652</v>
      </c>
      <c r="C903" s="3143">
        <f t="shared" ref="C903:C966" si="16">C902+1</f>
        <v>323</v>
      </c>
      <c r="D903" s="3143" t="str">
        <f ca="1">IFERROR(INDEX('Production cost'!$A:$AU,MATCH($C903,'Production cost'!$AU:$AU,0),6),"")</f>
        <v/>
      </c>
      <c r="E903" s="3143" t="str">
        <f ca="1">IFERROR(INDEX('Production cost'!$A:$AU,MATCH($C903,'Production cost'!$AU:$AU,0),3),"")</f>
        <v/>
      </c>
      <c r="G903" s="3153" t="str">
        <f ca="1">IFERROR(INDEX('Production cost'!$A:$AU,MATCH($C903,'Production cost'!$AU:$AU,0),9),"")</f>
        <v/>
      </c>
      <c r="H903" s="3599" t="str">
        <f ca="1">IFERROR(IFERROR(INDEX('Production cost'!$A:$AU,MATCH($C903,'Production cost'!$AU:$AU,0),11),"")+IFERROR(INDEX('Production cost'!$A:$AU,MATCH($C903,'Production cost'!$AU:$AU,0),12),""),"")</f>
        <v/>
      </c>
      <c r="I903" s="3153" t="str">
        <f ca="1">IFERROR(INDEX('Production cost'!$A:$AU,MATCH($C903,'Production cost'!$AU:$AU,0),18),"")</f>
        <v/>
      </c>
      <c r="J903" s="3153" t="str">
        <f ca="1">IFERROR(INDEX('Production cost'!$A:$AU,MATCH($C903,'Production cost'!$AU:$AU,0),18),"")</f>
        <v/>
      </c>
    </row>
    <row r="904" spans="2:10" ht="21.75">
      <c r="B904" s="3143" t="s">
        <v>3652</v>
      </c>
      <c r="C904" s="3143">
        <f t="shared" si="16"/>
        <v>324</v>
      </c>
      <c r="D904" s="3143" t="str">
        <f ca="1">IFERROR(INDEX('Production cost'!$A:$AU,MATCH($C904,'Production cost'!$AU:$AU,0),6),"")</f>
        <v/>
      </c>
      <c r="E904" s="3143" t="str">
        <f ca="1">IFERROR(INDEX('Production cost'!$A:$AU,MATCH($C904,'Production cost'!$AU:$AU,0),3),"")</f>
        <v/>
      </c>
      <c r="G904" s="3153" t="str">
        <f ca="1">IFERROR(INDEX('Production cost'!$A:$AU,MATCH($C904,'Production cost'!$AU:$AU,0),9),"")</f>
        <v/>
      </c>
      <c r="H904" s="3599" t="str">
        <f ca="1">IFERROR(IFERROR(INDEX('Production cost'!$A:$AU,MATCH($C904,'Production cost'!$AU:$AU,0),11),"")+IFERROR(INDEX('Production cost'!$A:$AU,MATCH($C904,'Production cost'!$AU:$AU,0),12),""),"")</f>
        <v/>
      </c>
      <c r="I904" s="3153" t="str">
        <f ca="1">IFERROR(INDEX('Production cost'!$A:$AU,MATCH($C904,'Production cost'!$AU:$AU,0),18),"")</f>
        <v/>
      </c>
      <c r="J904" s="3153" t="str">
        <f ca="1">IFERROR(INDEX('Production cost'!$A:$AU,MATCH($C904,'Production cost'!$AU:$AU,0),18),"")</f>
        <v/>
      </c>
    </row>
    <row r="905" spans="2:10" ht="21.75">
      <c r="B905" s="3143" t="s">
        <v>3652</v>
      </c>
      <c r="C905" s="3143">
        <f t="shared" si="16"/>
        <v>325</v>
      </c>
      <c r="D905" s="3143" t="str">
        <f ca="1">IFERROR(INDEX('Production cost'!$A:$AU,MATCH($C905,'Production cost'!$AU:$AU,0),6),"")</f>
        <v/>
      </c>
      <c r="E905" s="3143" t="str">
        <f ca="1">IFERROR(INDEX('Production cost'!$A:$AU,MATCH($C905,'Production cost'!$AU:$AU,0),3),"")</f>
        <v/>
      </c>
      <c r="G905" s="3153" t="str">
        <f ca="1">IFERROR(INDEX('Production cost'!$A:$AU,MATCH($C905,'Production cost'!$AU:$AU,0),9),"")</f>
        <v/>
      </c>
      <c r="H905" s="3599" t="str">
        <f ca="1">IFERROR(IFERROR(INDEX('Production cost'!$A:$AU,MATCH($C905,'Production cost'!$AU:$AU,0),11),"")+IFERROR(INDEX('Production cost'!$A:$AU,MATCH($C905,'Production cost'!$AU:$AU,0),12),""),"")</f>
        <v/>
      </c>
      <c r="I905" s="3153" t="str">
        <f ca="1">IFERROR(INDEX('Production cost'!$A:$AU,MATCH($C905,'Production cost'!$AU:$AU,0),18),"")</f>
        <v/>
      </c>
      <c r="J905" s="3153" t="str">
        <f ca="1">IFERROR(INDEX('Production cost'!$A:$AU,MATCH($C905,'Production cost'!$AU:$AU,0),18),"")</f>
        <v/>
      </c>
    </row>
    <row r="906" spans="2:10" ht="21.75">
      <c r="B906" s="3143" t="s">
        <v>3652</v>
      </c>
      <c r="C906" s="3143">
        <f t="shared" si="16"/>
        <v>326</v>
      </c>
      <c r="D906" s="3143" t="str">
        <f ca="1">IFERROR(INDEX('Production cost'!$A:$AU,MATCH($C906,'Production cost'!$AU:$AU,0),6),"")</f>
        <v/>
      </c>
      <c r="E906" s="3143" t="str">
        <f ca="1">IFERROR(INDEX('Production cost'!$A:$AU,MATCH($C906,'Production cost'!$AU:$AU,0),3),"")</f>
        <v/>
      </c>
      <c r="G906" s="3153" t="str">
        <f ca="1">IFERROR(INDEX('Production cost'!$A:$AU,MATCH($C906,'Production cost'!$AU:$AU,0),9),"")</f>
        <v/>
      </c>
      <c r="H906" s="3599" t="str">
        <f ca="1">IFERROR(IFERROR(INDEX('Production cost'!$A:$AU,MATCH($C906,'Production cost'!$AU:$AU,0),11),"")+IFERROR(INDEX('Production cost'!$A:$AU,MATCH($C906,'Production cost'!$AU:$AU,0),12),""),"")</f>
        <v/>
      </c>
      <c r="I906" s="3153" t="str">
        <f ca="1">IFERROR(INDEX('Production cost'!$A:$AU,MATCH($C906,'Production cost'!$AU:$AU,0),18),"")</f>
        <v/>
      </c>
      <c r="J906" s="3153" t="str">
        <f ca="1">IFERROR(INDEX('Production cost'!$A:$AU,MATCH($C906,'Production cost'!$AU:$AU,0),18),"")</f>
        <v/>
      </c>
    </row>
    <row r="907" spans="2:10" ht="21.75">
      <c r="B907" s="3143" t="s">
        <v>3652</v>
      </c>
      <c r="C907" s="3143">
        <f t="shared" si="16"/>
        <v>327</v>
      </c>
      <c r="D907" s="3143" t="str">
        <f ca="1">IFERROR(INDEX('Production cost'!$A:$AU,MATCH($C907,'Production cost'!$AU:$AU,0),6),"")</f>
        <v/>
      </c>
      <c r="E907" s="3143" t="str">
        <f ca="1">IFERROR(INDEX('Production cost'!$A:$AU,MATCH($C907,'Production cost'!$AU:$AU,0),3),"")</f>
        <v/>
      </c>
      <c r="G907" s="3153" t="str">
        <f ca="1">IFERROR(INDEX('Production cost'!$A:$AU,MATCH($C907,'Production cost'!$AU:$AU,0),9),"")</f>
        <v/>
      </c>
      <c r="H907" s="3599" t="str">
        <f ca="1">IFERROR(IFERROR(INDEX('Production cost'!$A:$AU,MATCH($C907,'Production cost'!$AU:$AU,0),11),"")+IFERROR(INDEX('Production cost'!$A:$AU,MATCH($C907,'Production cost'!$AU:$AU,0),12),""),"")</f>
        <v/>
      </c>
      <c r="I907" s="3153" t="str">
        <f ca="1">IFERROR(INDEX('Production cost'!$A:$AU,MATCH($C907,'Production cost'!$AU:$AU,0),18),"")</f>
        <v/>
      </c>
      <c r="J907" s="3153" t="str">
        <f ca="1">IFERROR(INDEX('Production cost'!$A:$AU,MATCH($C907,'Production cost'!$AU:$AU,0),18),"")</f>
        <v/>
      </c>
    </row>
    <row r="908" spans="2:10" ht="21.75">
      <c r="B908" s="3143" t="s">
        <v>3652</v>
      </c>
      <c r="C908" s="3143">
        <f t="shared" si="16"/>
        <v>328</v>
      </c>
      <c r="D908" s="3143" t="str">
        <f ca="1">IFERROR(INDEX('Production cost'!$A:$AU,MATCH($C908,'Production cost'!$AU:$AU,0),6),"")</f>
        <v/>
      </c>
      <c r="E908" s="3143" t="str">
        <f ca="1">IFERROR(INDEX('Production cost'!$A:$AU,MATCH($C908,'Production cost'!$AU:$AU,0),3),"")</f>
        <v/>
      </c>
      <c r="G908" s="3153" t="str">
        <f ca="1">IFERROR(INDEX('Production cost'!$A:$AU,MATCH($C908,'Production cost'!$AU:$AU,0),9),"")</f>
        <v/>
      </c>
      <c r="H908" s="3599" t="str">
        <f ca="1">IFERROR(IFERROR(INDEX('Production cost'!$A:$AU,MATCH($C908,'Production cost'!$AU:$AU,0),11),"")+IFERROR(INDEX('Production cost'!$A:$AU,MATCH($C908,'Production cost'!$AU:$AU,0),12),""),"")</f>
        <v/>
      </c>
      <c r="I908" s="3153" t="str">
        <f ca="1">IFERROR(INDEX('Production cost'!$A:$AU,MATCH($C908,'Production cost'!$AU:$AU,0),18),"")</f>
        <v/>
      </c>
      <c r="J908" s="3153" t="str">
        <f ca="1">IFERROR(INDEX('Production cost'!$A:$AU,MATCH($C908,'Production cost'!$AU:$AU,0),18),"")</f>
        <v/>
      </c>
    </row>
    <row r="909" spans="2:10" ht="21.75">
      <c r="B909" s="3143" t="s">
        <v>3652</v>
      </c>
      <c r="C909" s="3143">
        <f t="shared" si="16"/>
        <v>329</v>
      </c>
      <c r="D909" s="3143" t="str">
        <f ca="1">IFERROR(INDEX('Production cost'!$A:$AU,MATCH($C909,'Production cost'!$AU:$AU,0),6),"")</f>
        <v/>
      </c>
      <c r="E909" s="3143" t="str">
        <f ca="1">IFERROR(INDEX('Production cost'!$A:$AU,MATCH($C909,'Production cost'!$AU:$AU,0),3),"")</f>
        <v/>
      </c>
      <c r="G909" s="3153" t="str">
        <f ca="1">IFERROR(INDEX('Production cost'!$A:$AU,MATCH($C909,'Production cost'!$AU:$AU,0),9),"")</f>
        <v/>
      </c>
      <c r="H909" s="3599" t="str">
        <f ca="1">IFERROR(IFERROR(INDEX('Production cost'!$A:$AU,MATCH($C909,'Production cost'!$AU:$AU,0),11),"")+IFERROR(INDEX('Production cost'!$A:$AU,MATCH($C909,'Production cost'!$AU:$AU,0),12),""),"")</f>
        <v/>
      </c>
      <c r="I909" s="3153" t="str">
        <f ca="1">IFERROR(INDEX('Production cost'!$A:$AU,MATCH($C909,'Production cost'!$AU:$AU,0),18),"")</f>
        <v/>
      </c>
      <c r="J909" s="3153" t="str">
        <f ca="1">IFERROR(INDEX('Production cost'!$A:$AU,MATCH($C909,'Production cost'!$AU:$AU,0),18),"")</f>
        <v/>
      </c>
    </row>
    <row r="910" spans="2:10" ht="21.75">
      <c r="B910" s="3143" t="s">
        <v>3652</v>
      </c>
      <c r="C910" s="3143">
        <f t="shared" si="16"/>
        <v>330</v>
      </c>
      <c r="D910" s="3143" t="str">
        <f ca="1">IFERROR(INDEX('Production cost'!$A:$AU,MATCH($C910,'Production cost'!$AU:$AU,0),6),"")</f>
        <v/>
      </c>
      <c r="E910" s="3143" t="str">
        <f ca="1">IFERROR(INDEX('Production cost'!$A:$AU,MATCH($C910,'Production cost'!$AU:$AU,0),3),"")</f>
        <v/>
      </c>
      <c r="G910" s="3153" t="str">
        <f ca="1">IFERROR(INDEX('Production cost'!$A:$AU,MATCH($C910,'Production cost'!$AU:$AU,0),9),"")</f>
        <v/>
      </c>
      <c r="H910" s="3599" t="str">
        <f ca="1">IFERROR(IFERROR(INDEX('Production cost'!$A:$AU,MATCH($C910,'Production cost'!$AU:$AU,0),11),"")+IFERROR(INDEX('Production cost'!$A:$AU,MATCH($C910,'Production cost'!$AU:$AU,0),12),""),"")</f>
        <v/>
      </c>
      <c r="I910" s="3153" t="str">
        <f ca="1">IFERROR(INDEX('Production cost'!$A:$AU,MATCH($C910,'Production cost'!$AU:$AU,0),18),"")</f>
        <v/>
      </c>
      <c r="J910" s="3153" t="str">
        <f ca="1">IFERROR(INDEX('Production cost'!$A:$AU,MATCH($C910,'Production cost'!$AU:$AU,0),18),"")</f>
        <v/>
      </c>
    </row>
    <row r="911" spans="2:10" ht="21.75">
      <c r="B911" s="3143" t="s">
        <v>3652</v>
      </c>
      <c r="C911" s="3143">
        <f t="shared" si="16"/>
        <v>331</v>
      </c>
      <c r="D911" s="3143" t="str">
        <f ca="1">IFERROR(INDEX('Production cost'!$A:$AU,MATCH($C911,'Production cost'!$AU:$AU,0),6),"")</f>
        <v/>
      </c>
      <c r="E911" s="3143" t="str">
        <f ca="1">IFERROR(INDEX('Production cost'!$A:$AU,MATCH($C911,'Production cost'!$AU:$AU,0),3),"")</f>
        <v/>
      </c>
      <c r="G911" s="3153" t="str">
        <f ca="1">IFERROR(INDEX('Production cost'!$A:$AU,MATCH($C911,'Production cost'!$AU:$AU,0),9),"")</f>
        <v/>
      </c>
      <c r="H911" s="3599" t="str">
        <f ca="1">IFERROR(IFERROR(INDEX('Production cost'!$A:$AU,MATCH($C911,'Production cost'!$AU:$AU,0),11),"")+IFERROR(INDEX('Production cost'!$A:$AU,MATCH($C911,'Production cost'!$AU:$AU,0),12),""),"")</f>
        <v/>
      </c>
      <c r="I911" s="3153" t="str">
        <f ca="1">IFERROR(INDEX('Production cost'!$A:$AU,MATCH($C911,'Production cost'!$AU:$AU,0),18),"")</f>
        <v/>
      </c>
      <c r="J911" s="3153" t="str">
        <f ca="1">IFERROR(INDEX('Production cost'!$A:$AU,MATCH($C911,'Production cost'!$AU:$AU,0),18),"")</f>
        <v/>
      </c>
    </row>
    <row r="912" spans="2:10" ht="21.75">
      <c r="B912" s="3143" t="s">
        <v>3652</v>
      </c>
      <c r="C912" s="3143">
        <f t="shared" si="16"/>
        <v>332</v>
      </c>
      <c r="D912" s="3143" t="str">
        <f ca="1">IFERROR(INDEX('Production cost'!$A:$AU,MATCH($C912,'Production cost'!$AU:$AU,0),6),"")</f>
        <v/>
      </c>
      <c r="E912" s="3143" t="str">
        <f ca="1">IFERROR(INDEX('Production cost'!$A:$AU,MATCH($C912,'Production cost'!$AU:$AU,0),3),"")</f>
        <v/>
      </c>
      <c r="G912" s="3153" t="str">
        <f ca="1">IFERROR(INDEX('Production cost'!$A:$AU,MATCH($C912,'Production cost'!$AU:$AU,0),9),"")</f>
        <v/>
      </c>
      <c r="H912" s="3599" t="str">
        <f ca="1">IFERROR(IFERROR(INDEX('Production cost'!$A:$AU,MATCH($C912,'Production cost'!$AU:$AU,0),11),"")+IFERROR(INDEX('Production cost'!$A:$AU,MATCH($C912,'Production cost'!$AU:$AU,0),12),""),"")</f>
        <v/>
      </c>
      <c r="I912" s="3153" t="str">
        <f ca="1">IFERROR(INDEX('Production cost'!$A:$AU,MATCH($C912,'Production cost'!$AU:$AU,0),18),"")</f>
        <v/>
      </c>
      <c r="J912" s="3153" t="str">
        <f ca="1">IFERROR(INDEX('Production cost'!$A:$AU,MATCH($C912,'Production cost'!$AU:$AU,0),18),"")</f>
        <v/>
      </c>
    </row>
    <row r="913" spans="2:10" ht="21.75">
      <c r="B913" s="3143" t="s">
        <v>3652</v>
      </c>
      <c r="C913" s="3143">
        <f t="shared" si="16"/>
        <v>333</v>
      </c>
      <c r="D913" s="3143" t="str">
        <f ca="1">IFERROR(INDEX('Production cost'!$A:$AU,MATCH($C913,'Production cost'!$AU:$AU,0),6),"")</f>
        <v/>
      </c>
      <c r="E913" s="3143" t="str">
        <f ca="1">IFERROR(INDEX('Production cost'!$A:$AU,MATCH($C913,'Production cost'!$AU:$AU,0),3),"")</f>
        <v/>
      </c>
      <c r="G913" s="3153" t="str">
        <f ca="1">IFERROR(INDEX('Production cost'!$A:$AU,MATCH($C913,'Production cost'!$AU:$AU,0),9),"")</f>
        <v/>
      </c>
      <c r="H913" s="3599" t="str">
        <f ca="1">IFERROR(IFERROR(INDEX('Production cost'!$A:$AU,MATCH($C913,'Production cost'!$AU:$AU,0),11),"")+IFERROR(INDEX('Production cost'!$A:$AU,MATCH($C913,'Production cost'!$AU:$AU,0),12),""),"")</f>
        <v/>
      </c>
      <c r="I913" s="3153" t="str">
        <f ca="1">IFERROR(INDEX('Production cost'!$A:$AU,MATCH($C913,'Production cost'!$AU:$AU,0),18),"")</f>
        <v/>
      </c>
      <c r="J913" s="3153" t="str">
        <f ca="1">IFERROR(INDEX('Production cost'!$A:$AU,MATCH($C913,'Production cost'!$AU:$AU,0),18),"")</f>
        <v/>
      </c>
    </row>
    <row r="914" spans="2:10" ht="21.75">
      <c r="B914" s="3143" t="s">
        <v>3652</v>
      </c>
      <c r="C914" s="3143">
        <f t="shared" si="16"/>
        <v>334</v>
      </c>
      <c r="D914" s="3143" t="str">
        <f ca="1">IFERROR(INDEX('Production cost'!$A:$AU,MATCH($C914,'Production cost'!$AU:$AU,0),6),"")</f>
        <v/>
      </c>
      <c r="E914" s="3143" t="str">
        <f ca="1">IFERROR(INDEX('Production cost'!$A:$AU,MATCH($C914,'Production cost'!$AU:$AU,0),3),"")</f>
        <v/>
      </c>
      <c r="G914" s="3153" t="str">
        <f ca="1">IFERROR(INDEX('Production cost'!$A:$AU,MATCH($C914,'Production cost'!$AU:$AU,0),9),"")</f>
        <v/>
      </c>
      <c r="H914" s="3599" t="str">
        <f ca="1">IFERROR(IFERROR(INDEX('Production cost'!$A:$AU,MATCH($C914,'Production cost'!$AU:$AU,0),11),"")+IFERROR(INDEX('Production cost'!$A:$AU,MATCH($C914,'Production cost'!$AU:$AU,0),12),""),"")</f>
        <v/>
      </c>
      <c r="I914" s="3153" t="str">
        <f ca="1">IFERROR(INDEX('Production cost'!$A:$AU,MATCH($C914,'Production cost'!$AU:$AU,0),18),"")</f>
        <v/>
      </c>
      <c r="J914" s="3153" t="str">
        <f ca="1">IFERROR(INDEX('Production cost'!$A:$AU,MATCH($C914,'Production cost'!$AU:$AU,0),18),"")</f>
        <v/>
      </c>
    </row>
    <row r="915" spans="2:10" ht="21.75">
      <c r="B915" s="3143" t="s">
        <v>3652</v>
      </c>
      <c r="C915" s="3143">
        <f t="shared" si="16"/>
        <v>335</v>
      </c>
      <c r="D915" s="3143" t="str">
        <f ca="1">IFERROR(INDEX('Production cost'!$A:$AU,MATCH($C915,'Production cost'!$AU:$AU,0),6),"")</f>
        <v/>
      </c>
      <c r="E915" s="3143" t="str">
        <f ca="1">IFERROR(INDEX('Production cost'!$A:$AU,MATCH($C915,'Production cost'!$AU:$AU,0),3),"")</f>
        <v/>
      </c>
      <c r="G915" s="3153" t="str">
        <f ca="1">IFERROR(INDEX('Production cost'!$A:$AU,MATCH($C915,'Production cost'!$AU:$AU,0),9),"")</f>
        <v/>
      </c>
      <c r="H915" s="3599" t="str">
        <f ca="1">IFERROR(IFERROR(INDEX('Production cost'!$A:$AU,MATCH($C915,'Production cost'!$AU:$AU,0),11),"")+IFERROR(INDEX('Production cost'!$A:$AU,MATCH($C915,'Production cost'!$AU:$AU,0),12),""),"")</f>
        <v/>
      </c>
      <c r="I915" s="3153" t="str">
        <f ca="1">IFERROR(INDEX('Production cost'!$A:$AU,MATCH($C915,'Production cost'!$AU:$AU,0),18),"")</f>
        <v/>
      </c>
      <c r="J915" s="3153" t="str">
        <f ca="1">IFERROR(INDEX('Production cost'!$A:$AU,MATCH($C915,'Production cost'!$AU:$AU,0),18),"")</f>
        <v/>
      </c>
    </row>
    <row r="916" spans="2:10" ht="21.75">
      <c r="B916" s="3143" t="s">
        <v>3652</v>
      </c>
      <c r="C916" s="3143">
        <f t="shared" si="16"/>
        <v>336</v>
      </c>
      <c r="D916" s="3143" t="str">
        <f ca="1">IFERROR(INDEX('Production cost'!$A:$AU,MATCH($C916,'Production cost'!$AU:$AU,0),6),"")</f>
        <v/>
      </c>
      <c r="E916" s="3143" t="str">
        <f ca="1">IFERROR(INDEX('Production cost'!$A:$AU,MATCH($C916,'Production cost'!$AU:$AU,0),3),"")</f>
        <v/>
      </c>
      <c r="G916" s="3153" t="str">
        <f ca="1">IFERROR(INDEX('Production cost'!$A:$AU,MATCH($C916,'Production cost'!$AU:$AU,0),9),"")</f>
        <v/>
      </c>
      <c r="H916" s="3599" t="str">
        <f ca="1">IFERROR(IFERROR(INDEX('Production cost'!$A:$AU,MATCH($C916,'Production cost'!$AU:$AU,0),11),"")+IFERROR(INDEX('Production cost'!$A:$AU,MATCH($C916,'Production cost'!$AU:$AU,0),12),""),"")</f>
        <v/>
      </c>
      <c r="I916" s="3153" t="str">
        <f ca="1">IFERROR(INDEX('Production cost'!$A:$AU,MATCH($C916,'Production cost'!$AU:$AU,0),18),"")</f>
        <v/>
      </c>
      <c r="J916" s="3153" t="str">
        <f ca="1">IFERROR(INDEX('Production cost'!$A:$AU,MATCH($C916,'Production cost'!$AU:$AU,0),18),"")</f>
        <v/>
      </c>
    </row>
    <row r="917" spans="2:10" ht="21.75">
      <c r="B917" s="3143" t="s">
        <v>3652</v>
      </c>
      <c r="C917" s="3143">
        <f t="shared" si="16"/>
        <v>337</v>
      </c>
      <c r="D917" s="3143" t="str">
        <f ca="1">IFERROR(INDEX('Production cost'!$A:$AU,MATCH($C917,'Production cost'!$AU:$AU,0),6),"")</f>
        <v/>
      </c>
      <c r="E917" s="3143" t="str">
        <f ca="1">IFERROR(INDEX('Production cost'!$A:$AU,MATCH($C917,'Production cost'!$AU:$AU,0),3),"")</f>
        <v/>
      </c>
      <c r="G917" s="3153" t="str">
        <f ca="1">IFERROR(INDEX('Production cost'!$A:$AU,MATCH($C917,'Production cost'!$AU:$AU,0),9),"")</f>
        <v/>
      </c>
      <c r="H917" s="3599" t="str">
        <f ca="1">IFERROR(IFERROR(INDEX('Production cost'!$A:$AU,MATCH($C917,'Production cost'!$AU:$AU,0),11),"")+IFERROR(INDEX('Production cost'!$A:$AU,MATCH($C917,'Production cost'!$AU:$AU,0),12),""),"")</f>
        <v/>
      </c>
      <c r="I917" s="3153" t="str">
        <f ca="1">IFERROR(INDEX('Production cost'!$A:$AU,MATCH($C917,'Production cost'!$AU:$AU,0),18),"")</f>
        <v/>
      </c>
      <c r="J917" s="3153" t="str">
        <f ca="1">IFERROR(INDEX('Production cost'!$A:$AU,MATCH($C917,'Production cost'!$AU:$AU,0),18),"")</f>
        <v/>
      </c>
    </row>
    <row r="918" spans="2:10" ht="21.75">
      <c r="B918" s="3143" t="s">
        <v>3652</v>
      </c>
      <c r="C918" s="3143">
        <f t="shared" si="16"/>
        <v>338</v>
      </c>
      <c r="D918" s="3143" t="str">
        <f ca="1">IFERROR(INDEX('Production cost'!$A:$AU,MATCH($C918,'Production cost'!$AU:$AU,0),6),"")</f>
        <v/>
      </c>
      <c r="E918" s="3143" t="str">
        <f ca="1">IFERROR(INDEX('Production cost'!$A:$AU,MATCH($C918,'Production cost'!$AU:$AU,0),3),"")</f>
        <v/>
      </c>
      <c r="G918" s="3153" t="str">
        <f ca="1">IFERROR(INDEX('Production cost'!$A:$AU,MATCH($C918,'Production cost'!$AU:$AU,0),9),"")</f>
        <v/>
      </c>
      <c r="H918" s="3599" t="str">
        <f ca="1">IFERROR(IFERROR(INDEX('Production cost'!$A:$AU,MATCH($C918,'Production cost'!$AU:$AU,0),11),"")+IFERROR(INDEX('Production cost'!$A:$AU,MATCH($C918,'Production cost'!$AU:$AU,0),12),""),"")</f>
        <v/>
      </c>
      <c r="I918" s="3153" t="str">
        <f ca="1">IFERROR(INDEX('Production cost'!$A:$AU,MATCH($C918,'Production cost'!$AU:$AU,0),18),"")</f>
        <v/>
      </c>
      <c r="J918" s="3153" t="str">
        <f ca="1">IFERROR(INDEX('Production cost'!$A:$AU,MATCH($C918,'Production cost'!$AU:$AU,0),18),"")</f>
        <v/>
      </c>
    </row>
    <row r="919" spans="2:10" ht="21.75">
      <c r="B919" s="3143" t="s">
        <v>3652</v>
      </c>
      <c r="C919" s="3143">
        <f t="shared" si="16"/>
        <v>339</v>
      </c>
      <c r="D919" s="3143" t="str">
        <f ca="1">IFERROR(INDEX('Production cost'!$A:$AU,MATCH($C919,'Production cost'!$AU:$AU,0),6),"")</f>
        <v/>
      </c>
      <c r="E919" s="3143" t="str">
        <f ca="1">IFERROR(INDEX('Production cost'!$A:$AU,MATCH($C919,'Production cost'!$AU:$AU,0),3),"")</f>
        <v/>
      </c>
      <c r="G919" s="3153" t="str">
        <f ca="1">IFERROR(INDEX('Production cost'!$A:$AU,MATCH($C919,'Production cost'!$AU:$AU,0),9),"")</f>
        <v/>
      </c>
      <c r="H919" s="3599" t="str">
        <f ca="1">IFERROR(IFERROR(INDEX('Production cost'!$A:$AU,MATCH($C919,'Production cost'!$AU:$AU,0),11),"")+IFERROR(INDEX('Production cost'!$A:$AU,MATCH($C919,'Production cost'!$AU:$AU,0),12),""),"")</f>
        <v/>
      </c>
      <c r="I919" s="3153" t="str">
        <f ca="1">IFERROR(INDEX('Production cost'!$A:$AU,MATCH($C919,'Production cost'!$AU:$AU,0),18),"")</f>
        <v/>
      </c>
      <c r="J919" s="3153" t="str">
        <f ca="1">IFERROR(INDEX('Production cost'!$A:$AU,MATCH($C919,'Production cost'!$AU:$AU,0),18),"")</f>
        <v/>
      </c>
    </row>
    <row r="920" spans="2:10" ht="21.75">
      <c r="B920" s="3143" t="s">
        <v>3652</v>
      </c>
      <c r="C920" s="3143">
        <f t="shared" si="16"/>
        <v>340</v>
      </c>
      <c r="D920" s="3143" t="str">
        <f ca="1">IFERROR(INDEX('Production cost'!$A:$AU,MATCH($C920,'Production cost'!$AU:$AU,0),6),"")</f>
        <v/>
      </c>
      <c r="E920" s="3143" t="str">
        <f ca="1">IFERROR(INDEX('Production cost'!$A:$AU,MATCH($C920,'Production cost'!$AU:$AU,0),3),"")</f>
        <v/>
      </c>
      <c r="G920" s="3153" t="str">
        <f ca="1">IFERROR(INDEX('Production cost'!$A:$AU,MATCH($C920,'Production cost'!$AU:$AU,0),9),"")</f>
        <v/>
      </c>
      <c r="H920" s="3599" t="str">
        <f ca="1">IFERROR(IFERROR(INDEX('Production cost'!$A:$AU,MATCH($C920,'Production cost'!$AU:$AU,0),11),"")+IFERROR(INDEX('Production cost'!$A:$AU,MATCH($C920,'Production cost'!$AU:$AU,0),12),""),"")</f>
        <v/>
      </c>
      <c r="I920" s="3153" t="str">
        <f ca="1">IFERROR(INDEX('Production cost'!$A:$AU,MATCH($C920,'Production cost'!$AU:$AU,0),18),"")</f>
        <v/>
      </c>
      <c r="J920" s="3153" t="str">
        <f ca="1">IFERROR(INDEX('Production cost'!$A:$AU,MATCH($C920,'Production cost'!$AU:$AU,0),18),"")</f>
        <v/>
      </c>
    </row>
    <row r="921" spans="2:10" ht="21.75">
      <c r="B921" s="3143" t="s">
        <v>3652</v>
      </c>
      <c r="C921" s="3143">
        <f t="shared" si="16"/>
        <v>341</v>
      </c>
      <c r="D921" s="3143" t="str">
        <f ca="1">IFERROR(INDEX('Production cost'!$A:$AU,MATCH($C921,'Production cost'!$AU:$AU,0),6),"")</f>
        <v/>
      </c>
      <c r="E921" s="3143" t="str">
        <f ca="1">IFERROR(INDEX('Production cost'!$A:$AU,MATCH($C921,'Production cost'!$AU:$AU,0),3),"")</f>
        <v/>
      </c>
      <c r="G921" s="3153" t="str">
        <f ca="1">IFERROR(INDEX('Production cost'!$A:$AU,MATCH($C921,'Production cost'!$AU:$AU,0),9),"")</f>
        <v/>
      </c>
      <c r="H921" s="3599" t="str">
        <f ca="1">IFERROR(IFERROR(INDEX('Production cost'!$A:$AU,MATCH($C921,'Production cost'!$AU:$AU,0),11),"")+IFERROR(INDEX('Production cost'!$A:$AU,MATCH($C921,'Production cost'!$AU:$AU,0),12),""),"")</f>
        <v/>
      </c>
      <c r="I921" s="3153" t="str">
        <f ca="1">IFERROR(INDEX('Production cost'!$A:$AU,MATCH($C921,'Production cost'!$AU:$AU,0),18),"")</f>
        <v/>
      </c>
      <c r="J921" s="3153" t="str">
        <f ca="1">IFERROR(INDEX('Production cost'!$A:$AU,MATCH($C921,'Production cost'!$AU:$AU,0),18),"")</f>
        <v/>
      </c>
    </row>
    <row r="922" spans="2:10" ht="21.75">
      <c r="B922" s="3143" t="s">
        <v>3652</v>
      </c>
      <c r="C922" s="3143">
        <f t="shared" si="16"/>
        <v>342</v>
      </c>
      <c r="D922" s="3143" t="str">
        <f ca="1">IFERROR(INDEX('Production cost'!$A:$AU,MATCH($C922,'Production cost'!$AU:$AU,0),6),"")</f>
        <v/>
      </c>
      <c r="E922" s="3143" t="str">
        <f ca="1">IFERROR(INDEX('Production cost'!$A:$AU,MATCH($C922,'Production cost'!$AU:$AU,0),3),"")</f>
        <v/>
      </c>
      <c r="G922" s="3153" t="str">
        <f ca="1">IFERROR(INDEX('Production cost'!$A:$AU,MATCH($C922,'Production cost'!$AU:$AU,0),9),"")</f>
        <v/>
      </c>
      <c r="H922" s="3599" t="str">
        <f ca="1">IFERROR(IFERROR(INDEX('Production cost'!$A:$AU,MATCH($C922,'Production cost'!$AU:$AU,0),11),"")+IFERROR(INDEX('Production cost'!$A:$AU,MATCH($C922,'Production cost'!$AU:$AU,0),12),""),"")</f>
        <v/>
      </c>
      <c r="I922" s="3153" t="str">
        <f ca="1">IFERROR(INDEX('Production cost'!$A:$AU,MATCH($C922,'Production cost'!$AU:$AU,0),18),"")</f>
        <v/>
      </c>
      <c r="J922" s="3153" t="str">
        <f ca="1">IFERROR(INDEX('Production cost'!$A:$AU,MATCH($C922,'Production cost'!$AU:$AU,0),18),"")</f>
        <v/>
      </c>
    </row>
    <row r="923" spans="2:10" ht="21.75">
      <c r="B923" s="3143" t="s">
        <v>3652</v>
      </c>
      <c r="C923" s="3143">
        <f t="shared" si="16"/>
        <v>343</v>
      </c>
      <c r="D923" s="3143" t="str">
        <f ca="1">IFERROR(INDEX('Production cost'!$A:$AU,MATCH($C923,'Production cost'!$AU:$AU,0),6),"")</f>
        <v/>
      </c>
      <c r="E923" s="3143" t="str">
        <f ca="1">IFERROR(INDEX('Production cost'!$A:$AU,MATCH($C923,'Production cost'!$AU:$AU,0),3),"")</f>
        <v/>
      </c>
      <c r="G923" s="3153" t="str">
        <f ca="1">IFERROR(INDEX('Production cost'!$A:$AU,MATCH($C923,'Production cost'!$AU:$AU,0),9),"")</f>
        <v/>
      </c>
      <c r="H923" s="3599" t="str">
        <f ca="1">IFERROR(IFERROR(INDEX('Production cost'!$A:$AU,MATCH($C923,'Production cost'!$AU:$AU,0),11),"")+IFERROR(INDEX('Production cost'!$A:$AU,MATCH($C923,'Production cost'!$AU:$AU,0),12),""),"")</f>
        <v/>
      </c>
      <c r="I923" s="3153" t="str">
        <f ca="1">IFERROR(INDEX('Production cost'!$A:$AU,MATCH($C923,'Production cost'!$AU:$AU,0),18),"")</f>
        <v/>
      </c>
      <c r="J923" s="3153" t="str">
        <f ca="1">IFERROR(INDEX('Production cost'!$A:$AU,MATCH($C923,'Production cost'!$AU:$AU,0),18),"")</f>
        <v/>
      </c>
    </row>
    <row r="924" spans="2:10" ht="21.75">
      <c r="B924" s="3143" t="s">
        <v>3652</v>
      </c>
      <c r="C924" s="3143">
        <f t="shared" si="16"/>
        <v>344</v>
      </c>
      <c r="D924" s="3143" t="str">
        <f ca="1">IFERROR(INDEX('Production cost'!$A:$AU,MATCH($C924,'Production cost'!$AU:$AU,0),6),"")</f>
        <v/>
      </c>
      <c r="E924" s="3143" t="str">
        <f ca="1">IFERROR(INDEX('Production cost'!$A:$AU,MATCH($C924,'Production cost'!$AU:$AU,0),3),"")</f>
        <v/>
      </c>
      <c r="G924" s="3153" t="str">
        <f ca="1">IFERROR(INDEX('Production cost'!$A:$AU,MATCH($C924,'Production cost'!$AU:$AU,0),9),"")</f>
        <v/>
      </c>
      <c r="H924" s="3599" t="str">
        <f ca="1">IFERROR(IFERROR(INDEX('Production cost'!$A:$AU,MATCH($C924,'Production cost'!$AU:$AU,0),11),"")+IFERROR(INDEX('Production cost'!$A:$AU,MATCH($C924,'Production cost'!$AU:$AU,0),12),""),"")</f>
        <v/>
      </c>
      <c r="I924" s="3153" t="str">
        <f ca="1">IFERROR(INDEX('Production cost'!$A:$AU,MATCH($C924,'Production cost'!$AU:$AU,0),18),"")</f>
        <v/>
      </c>
      <c r="J924" s="3153" t="str">
        <f ca="1">IFERROR(INDEX('Production cost'!$A:$AU,MATCH($C924,'Production cost'!$AU:$AU,0),18),"")</f>
        <v/>
      </c>
    </row>
    <row r="925" spans="2:10" ht="21.75">
      <c r="B925" s="3143" t="s">
        <v>3652</v>
      </c>
      <c r="C925" s="3143">
        <f t="shared" si="16"/>
        <v>345</v>
      </c>
      <c r="D925" s="3143" t="str">
        <f ca="1">IFERROR(INDEX('Production cost'!$A:$AU,MATCH($C925,'Production cost'!$AU:$AU,0),6),"")</f>
        <v/>
      </c>
      <c r="E925" s="3143" t="str">
        <f ca="1">IFERROR(INDEX('Production cost'!$A:$AU,MATCH($C925,'Production cost'!$AU:$AU,0),3),"")</f>
        <v/>
      </c>
      <c r="G925" s="3153" t="str">
        <f ca="1">IFERROR(INDEX('Production cost'!$A:$AU,MATCH($C925,'Production cost'!$AU:$AU,0),9),"")</f>
        <v/>
      </c>
      <c r="H925" s="3599" t="str">
        <f ca="1">IFERROR(IFERROR(INDEX('Production cost'!$A:$AU,MATCH($C925,'Production cost'!$AU:$AU,0),11),"")+IFERROR(INDEX('Production cost'!$A:$AU,MATCH($C925,'Production cost'!$AU:$AU,0),12),""),"")</f>
        <v/>
      </c>
      <c r="I925" s="3153" t="str">
        <f ca="1">IFERROR(INDEX('Production cost'!$A:$AU,MATCH($C925,'Production cost'!$AU:$AU,0),18),"")</f>
        <v/>
      </c>
      <c r="J925" s="3153" t="str">
        <f ca="1">IFERROR(INDEX('Production cost'!$A:$AU,MATCH($C925,'Production cost'!$AU:$AU,0),18),"")</f>
        <v/>
      </c>
    </row>
    <row r="926" spans="2:10" ht="21.75">
      <c r="B926" s="3143" t="s">
        <v>3652</v>
      </c>
      <c r="C926" s="3143">
        <f t="shared" si="16"/>
        <v>346</v>
      </c>
      <c r="D926" s="3143" t="str">
        <f ca="1">IFERROR(INDEX('Production cost'!$A:$AU,MATCH($C926,'Production cost'!$AU:$AU,0),6),"")</f>
        <v/>
      </c>
      <c r="E926" s="3143" t="str">
        <f ca="1">IFERROR(INDEX('Production cost'!$A:$AU,MATCH($C926,'Production cost'!$AU:$AU,0),3),"")</f>
        <v/>
      </c>
      <c r="G926" s="3153" t="str">
        <f ca="1">IFERROR(INDEX('Production cost'!$A:$AU,MATCH($C926,'Production cost'!$AU:$AU,0),9),"")</f>
        <v/>
      </c>
      <c r="H926" s="3599" t="str">
        <f ca="1">IFERROR(IFERROR(INDEX('Production cost'!$A:$AU,MATCH($C926,'Production cost'!$AU:$AU,0),11),"")+IFERROR(INDEX('Production cost'!$A:$AU,MATCH($C926,'Production cost'!$AU:$AU,0),12),""),"")</f>
        <v/>
      </c>
      <c r="I926" s="3153" t="str">
        <f ca="1">IFERROR(INDEX('Production cost'!$A:$AU,MATCH($C926,'Production cost'!$AU:$AU,0),18),"")</f>
        <v/>
      </c>
      <c r="J926" s="3153" t="str">
        <f ca="1">IFERROR(INDEX('Production cost'!$A:$AU,MATCH($C926,'Production cost'!$AU:$AU,0),18),"")</f>
        <v/>
      </c>
    </row>
    <row r="927" spans="2:10" ht="21.75">
      <c r="B927" s="3143" t="s">
        <v>3652</v>
      </c>
      <c r="C927" s="3143">
        <f t="shared" si="16"/>
        <v>347</v>
      </c>
      <c r="D927" s="3143" t="str">
        <f ca="1">IFERROR(INDEX('Production cost'!$A:$AU,MATCH($C927,'Production cost'!$AU:$AU,0),6),"")</f>
        <v/>
      </c>
      <c r="E927" s="3143" t="str">
        <f ca="1">IFERROR(INDEX('Production cost'!$A:$AU,MATCH($C927,'Production cost'!$AU:$AU,0),3),"")</f>
        <v/>
      </c>
      <c r="G927" s="3153" t="str">
        <f ca="1">IFERROR(INDEX('Production cost'!$A:$AU,MATCH($C927,'Production cost'!$AU:$AU,0),9),"")</f>
        <v/>
      </c>
      <c r="H927" s="3599" t="str">
        <f ca="1">IFERROR(IFERROR(INDEX('Production cost'!$A:$AU,MATCH($C927,'Production cost'!$AU:$AU,0),11),"")+IFERROR(INDEX('Production cost'!$A:$AU,MATCH($C927,'Production cost'!$AU:$AU,0),12),""),"")</f>
        <v/>
      </c>
      <c r="I927" s="3153" t="str">
        <f ca="1">IFERROR(INDEX('Production cost'!$A:$AU,MATCH($C927,'Production cost'!$AU:$AU,0),18),"")</f>
        <v/>
      </c>
      <c r="J927" s="3153" t="str">
        <f ca="1">IFERROR(INDEX('Production cost'!$A:$AU,MATCH($C927,'Production cost'!$AU:$AU,0),18),"")</f>
        <v/>
      </c>
    </row>
    <row r="928" spans="2:10" ht="21.75">
      <c r="B928" s="3143" t="s">
        <v>3652</v>
      </c>
      <c r="C928" s="3143">
        <f t="shared" si="16"/>
        <v>348</v>
      </c>
      <c r="D928" s="3143" t="str">
        <f ca="1">IFERROR(INDEX('Production cost'!$A:$AU,MATCH($C928,'Production cost'!$AU:$AU,0),6),"")</f>
        <v/>
      </c>
      <c r="E928" s="3143" t="str">
        <f ca="1">IFERROR(INDEX('Production cost'!$A:$AU,MATCH($C928,'Production cost'!$AU:$AU,0),3),"")</f>
        <v/>
      </c>
      <c r="G928" s="3153" t="str">
        <f ca="1">IFERROR(INDEX('Production cost'!$A:$AU,MATCH($C928,'Production cost'!$AU:$AU,0),9),"")</f>
        <v/>
      </c>
      <c r="H928" s="3599" t="str">
        <f ca="1">IFERROR(IFERROR(INDEX('Production cost'!$A:$AU,MATCH($C928,'Production cost'!$AU:$AU,0),11),"")+IFERROR(INDEX('Production cost'!$A:$AU,MATCH($C928,'Production cost'!$AU:$AU,0),12),""),"")</f>
        <v/>
      </c>
      <c r="I928" s="3153" t="str">
        <f ca="1">IFERROR(INDEX('Production cost'!$A:$AU,MATCH($C928,'Production cost'!$AU:$AU,0),18),"")</f>
        <v/>
      </c>
      <c r="J928" s="3153" t="str">
        <f ca="1">IFERROR(INDEX('Production cost'!$A:$AU,MATCH($C928,'Production cost'!$AU:$AU,0),18),"")</f>
        <v/>
      </c>
    </row>
    <row r="929" spans="2:10" ht="21.75">
      <c r="B929" s="3143" t="s">
        <v>3652</v>
      </c>
      <c r="C929" s="3143">
        <f t="shared" si="16"/>
        <v>349</v>
      </c>
      <c r="D929" s="3143" t="str">
        <f ca="1">IFERROR(INDEX('Production cost'!$A:$AU,MATCH($C929,'Production cost'!$AU:$AU,0),6),"")</f>
        <v/>
      </c>
      <c r="E929" s="3143" t="str">
        <f ca="1">IFERROR(INDEX('Production cost'!$A:$AU,MATCH($C929,'Production cost'!$AU:$AU,0),3),"")</f>
        <v/>
      </c>
      <c r="G929" s="3153" t="str">
        <f ca="1">IFERROR(INDEX('Production cost'!$A:$AU,MATCH($C929,'Production cost'!$AU:$AU,0),9),"")</f>
        <v/>
      </c>
      <c r="H929" s="3599" t="str">
        <f ca="1">IFERROR(IFERROR(INDEX('Production cost'!$A:$AU,MATCH($C929,'Production cost'!$AU:$AU,0),11),"")+IFERROR(INDEX('Production cost'!$A:$AU,MATCH($C929,'Production cost'!$AU:$AU,0),12),""),"")</f>
        <v/>
      </c>
      <c r="I929" s="3153" t="str">
        <f ca="1">IFERROR(INDEX('Production cost'!$A:$AU,MATCH($C929,'Production cost'!$AU:$AU,0),18),"")</f>
        <v/>
      </c>
      <c r="J929" s="3153" t="str">
        <f ca="1">IFERROR(INDEX('Production cost'!$A:$AU,MATCH($C929,'Production cost'!$AU:$AU,0),18),"")</f>
        <v/>
      </c>
    </row>
    <row r="930" spans="2:10" ht="21.75">
      <c r="B930" s="3143" t="s">
        <v>3652</v>
      </c>
      <c r="C930" s="3143">
        <f t="shared" si="16"/>
        <v>350</v>
      </c>
      <c r="D930" s="3143" t="str">
        <f ca="1">IFERROR(INDEX('Production cost'!$A:$AU,MATCH($C930,'Production cost'!$AU:$AU,0),6),"")</f>
        <v/>
      </c>
      <c r="E930" s="3143" t="str">
        <f ca="1">IFERROR(INDEX('Production cost'!$A:$AU,MATCH($C930,'Production cost'!$AU:$AU,0),3),"")</f>
        <v/>
      </c>
      <c r="G930" s="3153" t="str">
        <f ca="1">IFERROR(INDEX('Production cost'!$A:$AU,MATCH($C930,'Production cost'!$AU:$AU,0),9),"")</f>
        <v/>
      </c>
      <c r="H930" s="3599" t="str">
        <f ca="1">IFERROR(IFERROR(INDEX('Production cost'!$A:$AU,MATCH($C930,'Production cost'!$AU:$AU,0),11),"")+IFERROR(INDEX('Production cost'!$A:$AU,MATCH($C930,'Production cost'!$AU:$AU,0),12),""),"")</f>
        <v/>
      </c>
      <c r="I930" s="3153" t="str">
        <f ca="1">IFERROR(INDEX('Production cost'!$A:$AU,MATCH($C930,'Production cost'!$AU:$AU,0),18),"")</f>
        <v/>
      </c>
      <c r="J930" s="3153" t="str">
        <f ca="1">IFERROR(INDEX('Production cost'!$A:$AU,MATCH($C930,'Production cost'!$AU:$AU,0),18),"")</f>
        <v/>
      </c>
    </row>
    <row r="931" spans="2:10" ht="21.75">
      <c r="B931" s="3143" t="s">
        <v>3652</v>
      </c>
      <c r="C931" s="3143">
        <f t="shared" si="16"/>
        <v>351</v>
      </c>
      <c r="D931" s="3143" t="str">
        <f ca="1">IFERROR(INDEX('Production cost'!$A:$AU,MATCH($C931,'Production cost'!$AU:$AU,0),6),"")</f>
        <v/>
      </c>
      <c r="E931" s="3143" t="str">
        <f ca="1">IFERROR(INDEX('Production cost'!$A:$AU,MATCH($C931,'Production cost'!$AU:$AU,0),3),"")</f>
        <v/>
      </c>
      <c r="G931" s="3153" t="str">
        <f ca="1">IFERROR(INDEX('Production cost'!$A:$AU,MATCH($C931,'Production cost'!$AU:$AU,0),9),"")</f>
        <v/>
      </c>
      <c r="H931" s="3599" t="str">
        <f ca="1">IFERROR(IFERROR(INDEX('Production cost'!$A:$AU,MATCH($C931,'Production cost'!$AU:$AU,0),11),"")+IFERROR(INDEX('Production cost'!$A:$AU,MATCH($C931,'Production cost'!$AU:$AU,0),12),""),"")</f>
        <v/>
      </c>
      <c r="I931" s="3153" t="str">
        <f ca="1">IFERROR(INDEX('Production cost'!$A:$AU,MATCH($C931,'Production cost'!$AU:$AU,0),18),"")</f>
        <v/>
      </c>
      <c r="J931" s="3153" t="str">
        <f ca="1">IFERROR(INDEX('Production cost'!$A:$AU,MATCH($C931,'Production cost'!$AU:$AU,0),18),"")</f>
        <v/>
      </c>
    </row>
    <row r="932" spans="2:10" ht="21.75">
      <c r="B932" s="3143" t="s">
        <v>3652</v>
      </c>
      <c r="C932" s="3143">
        <f t="shared" si="16"/>
        <v>352</v>
      </c>
      <c r="D932" s="3143" t="str">
        <f ca="1">IFERROR(INDEX('Production cost'!$A:$AU,MATCH($C932,'Production cost'!$AU:$AU,0),6),"")</f>
        <v/>
      </c>
      <c r="E932" s="3143" t="str">
        <f ca="1">IFERROR(INDEX('Production cost'!$A:$AU,MATCH($C932,'Production cost'!$AU:$AU,0),3),"")</f>
        <v/>
      </c>
      <c r="G932" s="3153" t="str">
        <f ca="1">IFERROR(INDEX('Production cost'!$A:$AU,MATCH($C932,'Production cost'!$AU:$AU,0),9),"")</f>
        <v/>
      </c>
      <c r="H932" s="3599" t="str">
        <f ca="1">IFERROR(IFERROR(INDEX('Production cost'!$A:$AU,MATCH($C932,'Production cost'!$AU:$AU,0),11),"")+IFERROR(INDEX('Production cost'!$A:$AU,MATCH($C932,'Production cost'!$AU:$AU,0),12),""),"")</f>
        <v/>
      </c>
      <c r="I932" s="3153" t="str">
        <f ca="1">IFERROR(INDEX('Production cost'!$A:$AU,MATCH($C932,'Production cost'!$AU:$AU,0),18),"")</f>
        <v/>
      </c>
      <c r="J932" s="3153" t="str">
        <f ca="1">IFERROR(INDEX('Production cost'!$A:$AU,MATCH($C932,'Production cost'!$AU:$AU,0),18),"")</f>
        <v/>
      </c>
    </row>
    <row r="933" spans="2:10" ht="21.75">
      <c r="B933" s="3143" t="s">
        <v>3652</v>
      </c>
      <c r="C933" s="3143">
        <f t="shared" si="16"/>
        <v>353</v>
      </c>
      <c r="D933" s="3143" t="str">
        <f ca="1">IFERROR(INDEX('Production cost'!$A:$AU,MATCH($C933,'Production cost'!$AU:$AU,0),6),"")</f>
        <v/>
      </c>
      <c r="E933" s="3143" t="str">
        <f ca="1">IFERROR(INDEX('Production cost'!$A:$AU,MATCH($C933,'Production cost'!$AU:$AU,0),3),"")</f>
        <v/>
      </c>
      <c r="G933" s="3153" t="str">
        <f ca="1">IFERROR(INDEX('Production cost'!$A:$AU,MATCH($C933,'Production cost'!$AU:$AU,0),9),"")</f>
        <v/>
      </c>
      <c r="H933" s="3599" t="str">
        <f ca="1">IFERROR(IFERROR(INDEX('Production cost'!$A:$AU,MATCH($C933,'Production cost'!$AU:$AU,0),11),"")+IFERROR(INDEX('Production cost'!$A:$AU,MATCH($C933,'Production cost'!$AU:$AU,0),12),""),"")</f>
        <v/>
      </c>
      <c r="I933" s="3153" t="str">
        <f ca="1">IFERROR(INDEX('Production cost'!$A:$AU,MATCH($C933,'Production cost'!$AU:$AU,0),18),"")</f>
        <v/>
      </c>
      <c r="J933" s="3153" t="str">
        <f ca="1">IFERROR(INDEX('Production cost'!$A:$AU,MATCH($C933,'Production cost'!$AU:$AU,0),18),"")</f>
        <v/>
      </c>
    </row>
    <row r="934" spans="2:10" ht="21.75">
      <c r="B934" s="3143" t="s">
        <v>3652</v>
      </c>
      <c r="C934" s="3143">
        <f t="shared" si="16"/>
        <v>354</v>
      </c>
      <c r="D934" s="3143" t="str">
        <f ca="1">IFERROR(INDEX('Production cost'!$A:$AU,MATCH($C934,'Production cost'!$AU:$AU,0),6),"")</f>
        <v/>
      </c>
      <c r="E934" s="3143" t="str">
        <f ca="1">IFERROR(INDEX('Production cost'!$A:$AU,MATCH($C934,'Production cost'!$AU:$AU,0),3),"")</f>
        <v/>
      </c>
      <c r="G934" s="3153" t="str">
        <f ca="1">IFERROR(INDEX('Production cost'!$A:$AU,MATCH($C934,'Production cost'!$AU:$AU,0),9),"")</f>
        <v/>
      </c>
      <c r="H934" s="3599" t="str">
        <f ca="1">IFERROR(IFERROR(INDEX('Production cost'!$A:$AU,MATCH($C934,'Production cost'!$AU:$AU,0),11),"")+IFERROR(INDEX('Production cost'!$A:$AU,MATCH($C934,'Production cost'!$AU:$AU,0),12),""),"")</f>
        <v/>
      </c>
      <c r="I934" s="3153" t="str">
        <f ca="1">IFERROR(INDEX('Production cost'!$A:$AU,MATCH($C934,'Production cost'!$AU:$AU,0),18),"")</f>
        <v/>
      </c>
      <c r="J934" s="3153" t="str">
        <f ca="1">IFERROR(INDEX('Production cost'!$A:$AU,MATCH($C934,'Production cost'!$AU:$AU,0),18),"")</f>
        <v/>
      </c>
    </row>
    <row r="935" spans="2:10" ht="21.75">
      <c r="B935" s="3143" t="s">
        <v>3652</v>
      </c>
      <c r="C935" s="3143">
        <f t="shared" si="16"/>
        <v>355</v>
      </c>
      <c r="D935" s="3143" t="str">
        <f ca="1">IFERROR(INDEX('Production cost'!$A:$AU,MATCH($C935,'Production cost'!$AU:$AU,0),6),"")</f>
        <v/>
      </c>
      <c r="E935" s="3143" t="str">
        <f ca="1">IFERROR(INDEX('Production cost'!$A:$AU,MATCH($C935,'Production cost'!$AU:$AU,0),3),"")</f>
        <v/>
      </c>
      <c r="G935" s="3153" t="str">
        <f ca="1">IFERROR(INDEX('Production cost'!$A:$AU,MATCH($C935,'Production cost'!$AU:$AU,0),9),"")</f>
        <v/>
      </c>
      <c r="H935" s="3599" t="str">
        <f ca="1">IFERROR(IFERROR(INDEX('Production cost'!$A:$AU,MATCH($C935,'Production cost'!$AU:$AU,0),11),"")+IFERROR(INDEX('Production cost'!$A:$AU,MATCH($C935,'Production cost'!$AU:$AU,0),12),""),"")</f>
        <v/>
      </c>
      <c r="I935" s="3153" t="str">
        <f ca="1">IFERROR(INDEX('Production cost'!$A:$AU,MATCH($C935,'Production cost'!$AU:$AU,0),18),"")</f>
        <v/>
      </c>
      <c r="J935" s="3153" t="str">
        <f ca="1">IFERROR(INDEX('Production cost'!$A:$AU,MATCH($C935,'Production cost'!$AU:$AU,0),18),"")</f>
        <v/>
      </c>
    </row>
    <row r="936" spans="2:10" ht="21.75">
      <c r="B936" s="3143" t="s">
        <v>3652</v>
      </c>
      <c r="C936" s="3143">
        <f t="shared" si="16"/>
        <v>356</v>
      </c>
      <c r="D936" s="3143" t="str">
        <f ca="1">IFERROR(INDEX('Production cost'!$A:$AU,MATCH($C936,'Production cost'!$AU:$AU,0),6),"")</f>
        <v/>
      </c>
      <c r="E936" s="3143" t="str">
        <f ca="1">IFERROR(INDEX('Production cost'!$A:$AU,MATCH($C936,'Production cost'!$AU:$AU,0),3),"")</f>
        <v/>
      </c>
      <c r="G936" s="3153" t="str">
        <f ca="1">IFERROR(INDEX('Production cost'!$A:$AU,MATCH($C936,'Production cost'!$AU:$AU,0),9),"")</f>
        <v/>
      </c>
      <c r="H936" s="3599" t="str">
        <f ca="1">IFERROR(IFERROR(INDEX('Production cost'!$A:$AU,MATCH($C936,'Production cost'!$AU:$AU,0),11),"")+IFERROR(INDEX('Production cost'!$A:$AU,MATCH($C936,'Production cost'!$AU:$AU,0),12),""),"")</f>
        <v/>
      </c>
      <c r="I936" s="3153" t="str">
        <f ca="1">IFERROR(INDEX('Production cost'!$A:$AU,MATCH($C936,'Production cost'!$AU:$AU,0),18),"")</f>
        <v/>
      </c>
      <c r="J936" s="3153" t="str">
        <f ca="1">IFERROR(INDEX('Production cost'!$A:$AU,MATCH($C936,'Production cost'!$AU:$AU,0),18),"")</f>
        <v/>
      </c>
    </row>
    <row r="937" spans="2:10" ht="21.75">
      <c r="B937" s="3143" t="s">
        <v>3652</v>
      </c>
      <c r="C937" s="3143">
        <f t="shared" si="16"/>
        <v>357</v>
      </c>
      <c r="D937" s="3143" t="str">
        <f ca="1">IFERROR(INDEX('Production cost'!$A:$AU,MATCH($C937,'Production cost'!$AU:$AU,0),6),"")</f>
        <v/>
      </c>
      <c r="E937" s="3143" t="str">
        <f ca="1">IFERROR(INDEX('Production cost'!$A:$AU,MATCH($C937,'Production cost'!$AU:$AU,0),3),"")</f>
        <v/>
      </c>
      <c r="G937" s="3153" t="str">
        <f ca="1">IFERROR(INDEX('Production cost'!$A:$AU,MATCH($C937,'Production cost'!$AU:$AU,0),9),"")</f>
        <v/>
      </c>
      <c r="H937" s="3599" t="str">
        <f ca="1">IFERROR(IFERROR(INDEX('Production cost'!$A:$AU,MATCH($C937,'Production cost'!$AU:$AU,0),11),"")+IFERROR(INDEX('Production cost'!$A:$AU,MATCH($C937,'Production cost'!$AU:$AU,0),12),""),"")</f>
        <v/>
      </c>
      <c r="I937" s="3153" t="str">
        <f ca="1">IFERROR(INDEX('Production cost'!$A:$AU,MATCH($C937,'Production cost'!$AU:$AU,0),18),"")</f>
        <v/>
      </c>
      <c r="J937" s="3153" t="str">
        <f ca="1">IFERROR(INDEX('Production cost'!$A:$AU,MATCH($C937,'Production cost'!$AU:$AU,0),18),"")</f>
        <v/>
      </c>
    </row>
    <row r="938" spans="2:10" ht="21.75">
      <c r="B938" s="3143" t="s">
        <v>3652</v>
      </c>
      <c r="C938" s="3143">
        <f t="shared" si="16"/>
        <v>358</v>
      </c>
      <c r="D938" s="3143" t="str">
        <f ca="1">IFERROR(INDEX('Production cost'!$A:$AU,MATCH($C938,'Production cost'!$AU:$AU,0),6),"")</f>
        <v/>
      </c>
      <c r="E938" s="3143" t="str">
        <f ca="1">IFERROR(INDEX('Production cost'!$A:$AU,MATCH($C938,'Production cost'!$AU:$AU,0),3),"")</f>
        <v/>
      </c>
      <c r="G938" s="3153" t="str">
        <f ca="1">IFERROR(INDEX('Production cost'!$A:$AU,MATCH($C938,'Production cost'!$AU:$AU,0),9),"")</f>
        <v/>
      </c>
      <c r="H938" s="3599" t="str">
        <f ca="1">IFERROR(IFERROR(INDEX('Production cost'!$A:$AU,MATCH($C938,'Production cost'!$AU:$AU,0),11),"")+IFERROR(INDEX('Production cost'!$A:$AU,MATCH($C938,'Production cost'!$AU:$AU,0),12),""),"")</f>
        <v/>
      </c>
      <c r="I938" s="3153" t="str">
        <f ca="1">IFERROR(INDEX('Production cost'!$A:$AU,MATCH($C938,'Production cost'!$AU:$AU,0),18),"")</f>
        <v/>
      </c>
      <c r="J938" s="3153" t="str">
        <f ca="1">IFERROR(INDEX('Production cost'!$A:$AU,MATCH($C938,'Production cost'!$AU:$AU,0),18),"")</f>
        <v/>
      </c>
    </row>
    <row r="939" spans="2:10" ht="21.75">
      <c r="B939" s="3143" t="s">
        <v>3652</v>
      </c>
      <c r="C939" s="3143">
        <f t="shared" si="16"/>
        <v>359</v>
      </c>
      <c r="D939" s="3143" t="str">
        <f ca="1">IFERROR(INDEX('Production cost'!$A:$AU,MATCH($C939,'Production cost'!$AU:$AU,0),6),"")</f>
        <v/>
      </c>
      <c r="E939" s="3143" t="str">
        <f ca="1">IFERROR(INDEX('Production cost'!$A:$AU,MATCH($C939,'Production cost'!$AU:$AU,0),3),"")</f>
        <v/>
      </c>
      <c r="G939" s="3153" t="str">
        <f ca="1">IFERROR(INDEX('Production cost'!$A:$AU,MATCH($C939,'Production cost'!$AU:$AU,0),9),"")</f>
        <v/>
      </c>
      <c r="H939" s="3599" t="str">
        <f ca="1">IFERROR(IFERROR(INDEX('Production cost'!$A:$AU,MATCH($C939,'Production cost'!$AU:$AU,0),11),"")+IFERROR(INDEX('Production cost'!$A:$AU,MATCH($C939,'Production cost'!$AU:$AU,0),12),""),"")</f>
        <v/>
      </c>
      <c r="I939" s="3153" t="str">
        <f ca="1">IFERROR(INDEX('Production cost'!$A:$AU,MATCH($C939,'Production cost'!$AU:$AU,0),18),"")</f>
        <v/>
      </c>
      <c r="J939" s="3153" t="str">
        <f ca="1">IFERROR(INDEX('Production cost'!$A:$AU,MATCH($C939,'Production cost'!$AU:$AU,0),18),"")</f>
        <v/>
      </c>
    </row>
    <row r="940" spans="2:10" ht="21.75">
      <c r="B940" s="3143" t="s">
        <v>3652</v>
      </c>
      <c r="C940" s="3143">
        <f t="shared" si="16"/>
        <v>360</v>
      </c>
      <c r="D940" s="3143" t="str">
        <f ca="1">IFERROR(INDEX('Production cost'!$A:$AU,MATCH($C940,'Production cost'!$AU:$AU,0),6),"")</f>
        <v/>
      </c>
      <c r="E940" s="3143" t="str">
        <f ca="1">IFERROR(INDEX('Production cost'!$A:$AU,MATCH($C940,'Production cost'!$AU:$AU,0),3),"")</f>
        <v/>
      </c>
      <c r="G940" s="3153" t="str">
        <f ca="1">IFERROR(INDEX('Production cost'!$A:$AU,MATCH($C940,'Production cost'!$AU:$AU,0),9),"")</f>
        <v/>
      </c>
      <c r="H940" s="3599" t="str">
        <f ca="1">IFERROR(IFERROR(INDEX('Production cost'!$A:$AU,MATCH($C940,'Production cost'!$AU:$AU,0),11),"")+IFERROR(INDEX('Production cost'!$A:$AU,MATCH($C940,'Production cost'!$AU:$AU,0),12),""),"")</f>
        <v/>
      </c>
      <c r="I940" s="3153" t="str">
        <f ca="1">IFERROR(INDEX('Production cost'!$A:$AU,MATCH($C940,'Production cost'!$AU:$AU,0),18),"")</f>
        <v/>
      </c>
      <c r="J940" s="3153" t="str">
        <f ca="1">IFERROR(INDEX('Production cost'!$A:$AU,MATCH($C940,'Production cost'!$AU:$AU,0),18),"")</f>
        <v/>
      </c>
    </row>
    <row r="941" spans="2:10" ht="21.75">
      <c r="B941" s="3143" t="s">
        <v>3652</v>
      </c>
      <c r="C941" s="3143">
        <f t="shared" si="16"/>
        <v>361</v>
      </c>
      <c r="D941" s="3143" t="str">
        <f ca="1">IFERROR(INDEX('Production cost'!$A:$AU,MATCH($C941,'Production cost'!$AU:$AU,0),6),"")</f>
        <v/>
      </c>
      <c r="E941" s="3143" t="str">
        <f ca="1">IFERROR(INDEX('Production cost'!$A:$AU,MATCH($C941,'Production cost'!$AU:$AU,0),3),"")</f>
        <v/>
      </c>
      <c r="G941" s="3153" t="str">
        <f ca="1">IFERROR(INDEX('Production cost'!$A:$AU,MATCH($C941,'Production cost'!$AU:$AU,0),9),"")</f>
        <v/>
      </c>
      <c r="H941" s="3599" t="str">
        <f ca="1">IFERROR(IFERROR(INDEX('Production cost'!$A:$AU,MATCH($C941,'Production cost'!$AU:$AU,0),11),"")+IFERROR(INDEX('Production cost'!$A:$AU,MATCH($C941,'Production cost'!$AU:$AU,0),12),""),"")</f>
        <v/>
      </c>
      <c r="I941" s="3153" t="str">
        <f ca="1">IFERROR(INDEX('Production cost'!$A:$AU,MATCH($C941,'Production cost'!$AU:$AU,0),18),"")</f>
        <v/>
      </c>
      <c r="J941" s="3153" t="str">
        <f ca="1">IFERROR(INDEX('Production cost'!$A:$AU,MATCH($C941,'Production cost'!$AU:$AU,0),18),"")</f>
        <v/>
      </c>
    </row>
    <row r="942" spans="2:10" ht="21.75">
      <c r="B942" s="3143" t="s">
        <v>3652</v>
      </c>
      <c r="C942" s="3143">
        <f t="shared" si="16"/>
        <v>362</v>
      </c>
      <c r="D942" s="3143" t="str">
        <f ca="1">IFERROR(INDEX('Production cost'!$A:$AU,MATCH($C942,'Production cost'!$AU:$AU,0),6),"")</f>
        <v/>
      </c>
      <c r="E942" s="3143" t="str">
        <f ca="1">IFERROR(INDEX('Production cost'!$A:$AU,MATCH($C942,'Production cost'!$AU:$AU,0),3),"")</f>
        <v/>
      </c>
      <c r="G942" s="3153" t="str">
        <f ca="1">IFERROR(INDEX('Production cost'!$A:$AU,MATCH($C942,'Production cost'!$AU:$AU,0),9),"")</f>
        <v/>
      </c>
      <c r="H942" s="3599" t="str">
        <f ca="1">IFERROR(IFERROR(INDEX('Production cost'!$A:$AU,MATCH($C942,'Production cost'!$AU:$AU,0),11),"")+IFERROR(INDEX('Production cost'!$A:$AU,MATCH($C942,'Production cost'!$AU:$AU,0),12),""),"")</f>
        <v/>
      </c>
      <c r="I942" s="3153" t="str">
        <f ca="1">IFERROR(INDEX('Production cost'!$A:$AU,MATCH($C942,'Production cost'!$AU:$AU,0),18),"")</f>
        <v/>
      </c>
      <c r="J942" s="3153" t="str">
        <f ca="1">IFERROR(INDEX('Production cost'!$A:$AU,MATCH($C942,'Production cost'!$AU:$AU,0),18),"")</f>
        <v/>
      </c>
    </row>
    <row r="943" spans="2:10" ht="21.75">
      <c r="B943" s="3143" t="s">
        <v>3652</v>
      </c>
      <c r="C943" s="3143">
        <f t="shared" si="16"/>
        <v>363</v>
      </c>
      <c r="D943" s="3143" t="str">
        <f ca="1">IFERROR(INDEX('Production cost'!$A:$AU,MATCH($C943,'Production cost'!$AU:$AU,0),6),"")</f>
        <v/>
      </c>
      <c r="E943" s="3143" t="str">
        <f ca="1">IFERROR(INDEX('Production cost'!$A:$AU,MATCH($C943,'Production cost'!$AU:$AU,0),3),"")</f>
        <v/>
      </c>
      <c r="G943" s="3153" t="str">
        <f ca="1">IFERROR(INDEX('Production cost'!$A:$AU,MATCH($C943,'Production cost'!$AU:$AU,0),9),"")</f>
        <v/>
      </c>
      <c r="H943" s="3599" t="str">
        <f ca="1">IFERROR(IFERROR(INDEX('Production cost'!$A:$AU,MATCH($C943,'Production cost'!$AU:$AU,0),11),"")+IFERROR(INDEX('Production cost'!$A:$AU,MATCH($C943,'Production cost'!$AU:$AU,0),12),""),"")</f>
        <v/>
      </c>
      <c r="I943" s="3153" t="str">
        <f ca="1">IFERROR(INDEX('Production cost'!$A:$AU,MATCH($C943,'Production cost'!$AU:$AU,0),18),"")</f>
        <v/>
      </c>
      <c r="J943" s="3153" t="str">
        <f ca="1">IFERROR(INDEX('Production cost'!$A:$AU,MATCH($C943,'Production cost'!$AU:$AU,0),18),"")</f>
        <v/>
      </c>
    </row>
    <row r="944" spans="2:10" ht="21.75">
      <c r="B944" s="3143" t="s">
        <v>3652</v>
      </c>
      <c r="C944" s="3143">
        <f t="shared" si="16"/>
        <v>364</v>
      </c>
      <c r="D944" s="3143" t="str">
        <f ca="1">IFERROR(INDEX('Production cost'!$A:$AU,MATCH($C944,'Production cost'!$AU:$AU,0),6),"")</f>
        <v/>
      </c>
      <c r="E944" s="3143" t="str">
        <f ca="1">IFERROR(INDEX('Production cost'!$A:$AU,MATCH($C944,'Production cost'!$AU:$AU,0),3),"")</f>
        <v/>
      </c>
      <c r="G944" s="3153" t="str">
        <f ca="1">IFERROR(INDEX('Production cost'!$A:$AU,MATCH($C944,'Production cost'!$AU:$AU,0),9),"")</f>
        <v/>
      </c>
      <c r="H944" s="3599" t="str">
        <f ca="1">IFERROR(IFERROR(INDEX('Production cost'!$A:$AU,MATCH($C944,'Production cost'!$AU:$AU,0),11),"")+IFERROR(INDEX('Production cost'!$A:$AU,MATCH($C944,'Production cost'!$AU:$AU,0),12),""),"")</f>
        <v/>
      </c>
      <c r="I944" s="3153" t="str">
        <f ca="1">IFERROR(INDEX('Production cost'!$A:$AU,MATCH($C944,'Production cost'!$AU:$AU,0),18),"")</f>
        <v/>
      </c>
      <c r="J944" s="3153" t="str">
        <f ca="1">IFERROR(INDEX('Production cost'!$A:$AU,MATCH($C944,'Production cost'!$AU:$AU,0),18),"")</f>
        <v/>
      </c>
    </row>
    <row r="945" spans="2:10" ht="21.75">
      <c r="B945" s="3143" t="s">
        <v>3652</v>
      </c>
      <c r="C945" s="3143">
        <f t="shared" si="16"/>
        <v>365</v>
      </c>
      <c r="D945" s="3143" t="str">
        <f ca="1">IFERROR(INDEX('Production cost'!$A:$AU,MATCH($C945,'Production cost'!$AU:$AU,0),6),"")</f>
        <v/>
      </c>
      <c r="E945" s="3143" t="str">
        <f ca="1">IFERROR(INDEX('Production cost'!$A:$AU,MATCH($C945,'Production cost'!$AU:$AU,0),3),"")</f>
        <v/>
      </c>
      <c r="G945" s="3153" t="str">
        <f ca="1">IFERROR(INDEX('Production cost'!$A:$AU,MATCH($C945,'Production cost'!$AU:$AU,0),9),"")</f>
        <v/>
      </c>
      <c r="H945" s="3599" t="str">
        <f ca="1">IFERROR(IFERROR(INDEX('Production cost'!$A:$AU,MATCH($C945,'Production cost'!$AU:$AU,0),11),"")+IFERROR(INDEX('Production cost'!$A:$AU,MATCH($C945,'Production cost'!$AU:$AU,0),12),""),"")</f>
        <v/>
      </c>
      <c r="I945" s="3153" t="str">
        <f ca="1">IFERROR(INDEX('Production cost'!$A:$AU,MATCH($C945,'Production cost'!$AU:$AU,0),18),"")</f>
        <v/>
      </c>
      <c r="J945" s="3153" t="str">
        <f ca="1">IFERROR(INDEX('Production cost'!$A:$AU,MATCH($C945,'Production cost'!$AU:$AU,0),18),"")</f>
        <v/>
      </c>
    </row>
    <row r="946" spans="2:10" ht="21.75">
      <c r="B946" s="3143" t="s">
        <v>3652</v>
      </c>
      <c r="C946" s="3143">
        <f t="shared" si="16"/>
        <v>366</v>
      </c>
      <c r="D946" s="3143" t="str">
        <f ca="1">IFERROR(INDEX('Production cost'!$A:$AU,MATCH($C946,'Production cost'!$AU:$AU,0),6),"")</f>
        <v/>
      </c>
      <c r="E946" s="3143" t="str">
        <f ca="1">IFERROR(INDEX('Production cost'!$A:$AU,MATCH($C946,'Production cost'!$AU:$AU,0),3),"")</f>
        <v/>
      </c>
      <c r="G946" s="3153" t="str">
        <f ca="1">IFERROR(INDEX('Production cost'!$A:$AU,MATCH($C946,'Production cost'!$AU:$AU,0),9),"")</f>
        <v/>
      </c>
      <c r="H946" s="3599" t="str">
        <f ca="1">IFERROR(IFERROR(INDEX('Production cost'!$A:$AU,MATCH($C946,'Production cost'!$AU:$AU,0),11),"")+IFERROR(INDEX('Production cost'!$A:$AU,MATCH($C946,'Production cost'!$AU:$AU,0),12),""),"")</f>
        <v/>
      </c>
      <c r="I946" s="3153" t="str">
        <f ca="1">IFERROR(INDEX('Production cost'!$A:$AU,MATCH($C946,'Production cost'!$AU:$AU,0),18),"")</f>
        <v/>
      </c>
      <c r="J946" s="3153" t="str">
        <f ca="1">IFERROR(INDEX('Production cost'!$A:$AU,MATCH($C946,'Production cost'!$AU:$AU,0),18),"")</f>
        <v/>
      </c>
    </row>
    <row r="947" spans="2:10" ht="21.75">
      <c r="B947" s="3143" t="s">
        <v>3652</v>
      </c>
      <c r="C947" s="3143">
        <f t="shared" si="16"/>
        <v>367</v>
      </c>
      <c r="D947" s="3143" t="str">
        <f ca="1">IFERROR(INDEX('Production cost'!$A:$AU,MATCH($C947,'Production cost'!$AU:$AU,0),6),"")</f>
        <v/>
      </c>
      <c r="E947" s="3143" t="str">
        <f ca="1">IFERROR(INDEX('Production cost'!$A:$AU,MATCH($C947,'Production cost'!$AU:$AU,0),3),"")</f>
        <v/>
      </c>
      <c r="G947" s="3153" t="str">
        <f ca="1">IFERROR(INDEX('Production cost'!$A:$AU,MATCH($C947,'Production cost'!$AU:$AU,0),9),"")</f>
        <v/>
      </c>
      <c r="H947" s="3599" t="str">
        <f ca="1">IFERROR(IFERROR(INDEX('Production cost'!$A:$AU,MATCH($C947,'Production cost'!$AU:$AU,0),11),"")+IFERROR(INDEX('Production cost'!$A:$AU,MATCH($C947,'Production cost'!$AU:$AU,0),12),""),"")</f>
        <v/>
      </c>
      <c r="I947" s="3153" t="str">
        <f ca="1">IFERROR(INDEX('Production cost'!$A:$AU,MATCH($C947,'Production cost'!$AU:$AU,0),18),"")</f>
        <v/>
      </c>
      <c r="J947" s="3153" t="str">
        <f ca="1">IFERROR(INDEX('Production cost'!$A:$AU,MATCH($C947,'Production cost'!$AU:$AU,0),18),"")</f>
        <v/>
      </c>
    </row>
    <row r="948" spans="2:10" ht="21.75">
      <c r="B948" s="3143" t="s">
        <v>3652</v>
      </c>
      <c r="C948" s="3143">
        <f t="shared" si="16"/>
        <v>368</v>
      </c>
      <c r="D948" s="3143" t="str">
        <f ca="1">IFERROR(INDEX('Production cost'!$A:$AU,MATCH($C948,'Production cost'!$AU:$AU,0),6),"")</f>
        <v/>
      </c>
      <c r="E948" s="3143" t="str">
        <f ca="1">IFERROR(INDEX('Production cost'!$A:$AU,MATCH($C948,'Production cost'!$AU:$AU,0),3),"")</f>
        <v/>
      </c>
      <c r="G948" s="3153" t="str">
        <f ca="1">IFERROR(INDEX('Production cost'!$A:$AU,MATCH($C948,'Production cost'!$AU:$AU,0),9),"")</f>
        <v/>
      </c>
      <c r="H948" s="3599" t="str">
        <f ca="1">IFERROR(IFERROR(INDEX('Production cost'!$A:$AU,MATCH($C948,'Production cost'!$AU:$AU,0),11),"")+IFERROR(INDEX('Production cost'!$A:$AU,MATCH($C948,'Production cost'!$AU:$AU,0),12),""),"")</f>
        <v/>
      </c>
      <c r="I948" s="3153" t="str">
        <f ca="1">IFERROR(INDEX('Production cost'!$A:$AU,MATCH($C948,'Production cost'!$AU:$AU,0),18),"")</f>
        <v/>
      </c>
      <c r="J948" s="3153" t="str">
        <f ca="1">IFERROR(INDEX('Production cost'!$A:$AU,MATCH($C948,'Production cost'!$AU:$AU,0),18),"")</f>
        <v/>
      </c>
    </row>
    <row r="949" spans="2:10" ht="21.75">
      <c r="B949" s="3143" t="s">
        <v>3652</v>
      </c>
      <c r="C949" s="3143">
        <f t="shared" si="16"/>
        <v>369</v>
      </c>
      <c r="D949" s="3143" t="str">
        <f ca="1">IFERROR(INDEX('Production cost'!$A:$AU,MATCH($C949,'Production cost'!$AU:$AU,0),6),"")</f>
        <v/>
      </c>
      <c r="E949" s="3143" t="str">
        <f ca="1">IFERROR(INDEX('Production cost'!$A:$AU,MATCH($C949,'Production cost'!$AU:$AU,0),3),"")</f>
        <v/>
      </c>
      <c r="G949" s="3153" t="str">
        <f ca="1">IFERROR(INDEX('Production cost'!$A:$AU,MATCH($C949,'Production cost'!$AU:$AU,0),9),"")</f>
        <v/>
      </c>
      <c r="H949" s="3599" t="str">
        <f ca="1">IFERROR(IFERROR(INDEX('Production cost'!$A:$AU,MATCH($C949,'Production cost'!$AU:$AU,0),11),"")+IFERROR(INDEX('Production cost'!$A:$AU,MATCH($C949,'Production cost'!$AU:$AU,0),12),""),"")</f>
        <v/>
      </c>
      <c r="I949" s="3153" t="str">
        <f ca="1">IFERROR(INDEX('Production cost'!$A:$AU,MATCH($C949,'Production cost'!$AU:$AU,0),18),"")</f>
        <v/>
      </c>
      <c r="J949" s="3153" t="str">
        <f ca="1">IFERROR(INDEX('Production cost'!$A:$AU,MATCH($C949,'Production cost'!$AU:$AU,0),18),"")</f>
        <v/>
      </c>
    </row>
    <row r="950" spans="2:10" ht="21.75">
      <c r="B950" s="3143" t="s">
        <v>3652</v>
      </c>
      <c r="C950" s="3143">
        <f t="shared" si="16"/>
        <v>370</v>
      </c>
      <c r="D950" s="3143" t="str">
        <f ca="1">IFERROR(INDEX('Production cost'!$A:$AU,MATCH($C950,'Production cost'!$AU:$AU,0),6),"")</f>
        <v/>
      </c>
      <c r="E950" s="3143" t="str">
        <f ca="1">IFERROR(INDEX('Production cost'!$A:$AU,MATCH($C950,'Production cost'!$AU:$AU,0),3),"")</f>
        <v/>
      </c>
      <c r="G950" s="3153" t="str">
        <f ca="1">IFERROR(INDEX('Production cost'!$A:$AU,MATCH($C950,'Production cost'!$AU:$AU,0),9),"")</f>
        <v/>
      </c>
      <c r="H950" s="3599" t="str">
        <f ca="1">IFERROR(IFERROR(INDEX('Production cost'!$A:$AU,MATCH($C950,'Production cost'!$AU:$AU,0),11),"")+IFERROR(INDEX('Production cost'!$A:$AU,MATCH($C950,'Production cost'!$AU:$AU,0),12),""),"")</f>
        <v/>
      </c>
      <c r="I950" s="3153" t="str">
        <f ca="1">IFERROR(INDEX('Production cost'!$A:$AU,MATCH($C950,'Production cost'!$AU:$AU,0),18),"")</f>
        <v/>
      </c>
      <c r="J950" s="3153" t="str">
        <f ca="1">IFERROR(INDEX('Production cost'!$A:$AU,MATCH($C950,'Production cost'!$AU:$AU,0),18),"")</f>
        <v/>
      </c>
    </row>
    <row r="951" spans="2:10" ht="21.75">
      <c r="B951" s="3143" t="s">
        <v>3652</v>
      </c>
      <c r="C951" s="3143">
        <f t="shared" si="16"/>
        <v>371</v>
      </c>
      <c r="D951" s="3143" t="str">
        <f ca="1">IFERROR(INDEX('Production cost'!$A:$AU,MATCH($C951,'Production cost'!$AU:$AU,0),6),"")</f>
        <v/>
      </c>
      <c r="E951" s="3143" t="str">
        <f ca="1">IFERROR(INDEX('Production cost'!$A:$AU,MATCH($C951,'Production cost'!$AU:$AU,0),3),"")</f>
        <v/>
      </c>
      <c r="G951" s="3153" t="str">
        <f ca="1">IFERROR(INDEX('Production cost'!$A:$AU,MATCH($C951,'Production cost'!$AU:$AU,0),9),"")</f>
        <v/>
      </c>
      <c r="H951" s="3599" t="str">
        <f ca="1">IFERROR(IFERROR(INDEX('Production cost'!$A:$AU,MATCH($C951,'Production cost'!$AU:$AU,0),11),"")+IFERROR(INDEX('Production cost'!$A:$AU,MATCH($C951,'Production cost'!$AU:$AU,0),12),""),"")</f>
        <v/>
      </c>
      <c r="I951" s="3153" t="str">
        <f ca="1">IFERROR(INDEX('Production cost'!$A:$AU,MATCH($C951,'Production cost'!$AU:$AU,0),18),"")</f>
        <v/>
      </c>
      <c r="J951" s="3153" t="str">
        <f ca="1">IFERROR(INDEX('Production cost'!$A:$AU,MATCH($C951,'Production cost'!$AU:$AU,0),18),"")</f>
        <v/>
      </c>
    </row>
    <row r="952" spans="2:10" ht="21.75">
      <c r="B952" s="3143" t="s">
        <v>3652</v>
      </c>
      <c r="C952" s="3143">
        <f t="shared" si="16"/>
        <v>372</v>
      </c>
      <c r="D952" s="3143" t="str">
        <f ca="1">IFERROR(INDEX('Production cost'!$A:$AU,MATCH($C952,'Production cost'!$AU:$AU,0),6),"")</f>
        <v/>
      </c>
      <c r="E952" s="3143" t="str">
        <f ca="1">IFERROR(INDEX('Production cost'!$A:$AU,MATCH($C952,'Production cost'!$AU:$AU,0),3),"")</f>
        <v/>
      </c>
      <c r="G952" s="3153" t="str">
        <f ca="1">IFERROR(INDEX('Production cost'!$A:$AU,MATCH($C952,'Production cost'!$AU:$AU,0),9),"")</f>
        <v/>
      </c>
      <c r="H952" s="3599" t="str">
        <f ca="1">IFERROR(IFERROR(INDEX('Production cost'!$A:$AU,MATCH($C952,'Production cost'!$AU:$AU,0),11),"")+IFERROR(INDEX('Production cost'!$A:$AU,MATCH($C952,'Production cost'!$AU:$AU,0),12),""),"")</f>
        <v/>
      </c>
      <c r="I952" s="3153" t="str">
        <f ca="1">IFERROR(INDEX('Production cost'!$A:$AU,MATCH($C952,'Production cost'!$AU:$AU,0),18),"")</f>
        <v/>
      </c>
      <c r="J952" s="3153" t="str">
        <f ca="1">IFERROR(INDEX('Production cost'!$A:$AU,MATCH($C952,'Production cost'!$AU:$AU,0),18),"")</f>
        <v/>
      </c>
    </row>
    <row r="953" spans="2:10" ht="21.75">
      <c r="B953" s="3143" t="s">
        <v>3652</v>
      </c>
      <c r="C953" s="3143">
        <f t="shared" si="16"/>
        <v>373</v>
      </c>
      <c r="D953" s="3143" t="str">
        <f ca="1">IFERROR(INDEX('Production cost'!$A:$AU,MATCH($C953,'Production cost'!$AU:$AU,0),6),"")</f>
        <v/>
      </c>
      <c r="E953" s="3143" t="str">
        <f ca="1">IFERROR(INDEX('Production cost'!$A:$AU,MATCH($C953,'Production cost'!$AU:$AU,0),3),"")</f>
        <v/>
      </c>
      <c r="G953" s="3153" t="str">
        <f ca="1">IFERROR(INDEX('Production cost'!$A:$AU,MATCH($C953,'Production cost'!$AU:$AU,0),9),"")</f>
        <v/>
      </c>
      <c r="H953" s="3599" t="str">
        <f ca="1">IFERROR(IFERROR(INDEX('Production cost'!$A:$AU,MATCH($C953,'Production cost'!$AU:$AU,0),11),"")+IFERROR(INDEX('Production cost'!$A:$AU,MATCH($C953,'Production cost'!$AU:$AU,0),12),""),"")</f>
        <v/>
      </c>
      <c r="I953" s="3153" t="str">
        <f ca="1">IFERROR(INDEX('Production cost'!$A:$AU,MATCH($C953,'Production cost'!$AU:$AU,0),18),"")</f>
        <v/>
      </c>
      <c r="J953" s="3153" t="str">
        <f ca="1">IFERROR(INDEX('Production cost'!$A:$AU,MATCH($C953,'Production cost'!$AU:$AU,0),18),"")</f>
        <v/>
      </c>
    </row>
    <row r="954" spans="2:10" ht="21.75">
      <c r="B954" s="3143" t="s">
        <v>3652</v>
      </c>
      <c r="C954" s="3143">
        <f t="shared" si="16"/>
        <v>374</v>
      </c>
      <c r="D954" s="3143" t="str">
        <f ca="1">IFERROR(INDEX('Production cost'!$A:$AU,MATCH($C954,'Production cost'!$AU:$AU,0),6),"")</f>
        <v/>
      </c>
      <c r="E954" s="3143" t="str">
        <f ca="1">IFERROR(INDEX('Production cost'!$A:$AU,MATCH($C954,'Production cost'!$AU:$AU,0),3),"")</f>
        <v/>
      </c>
      <c r="G954" s="3153" t="str">
        <f ca="1">IFERROR(INDEX('Production cost'!$A:$AU,MATCH($C954,'Production cost'!$AU:$AU,0),9),"")</f>
        <v/>
      </c>
      <c r="H954" s="3599" t="str">
        <f ca="1">IFERROR(IFERROR(INDEX('Production cost'!$A:$AU,MATCH($C954,'Production cost'!$AU:$AU,0),11),"")+IFERROR(INDEX('Production cost'!$A:$AU,MATCH($C954,'Production cost'!$AU:$AU,0),12),""),"")</f>
        <v/>
      </c>
      <c r="I954" s="3153" t="str">
        <f ca="1">IFERROR(INDEX('Production cost'!$A:$AU,MATCH($C954,'Production cost'!$AU:$AU,0),18),"")</f>
        <v/>
      </c>
      <c r="J954" s="3153" t="str">
        <f ca="1">IFERROR(INDEX('Production cost'!$A:$AU,MATCH($C954,'Production cost'!$AU:$AU,0),18),"")</f>
        <v/>
      </c>
    </row>
    <row r="955" spans="2:10" ht="21.75">
      <c r="B955" s="3143" t="s">
        <v>3652</v>
      </c>
      <c r="C955" s="3143">
        <f t="shared" si="16"/>
        <v>375</v>
      </c>
      <c r="D955" s="3143" t="str">
        <f ca="1">IFERROR(INDEX('Production cost'!$A:$AU,MATCH($C955,'Production cost'!$AU:$AU,0),6),"")</f>
        <v/>
      </c>
      <c r="E955" s="3143" t="str">
        <f ca="1">IFERROR(INDEX('Production cost'!$A:$AU,MATCH($C955,'Production cost'!$AU:$AU,0),3),"")</f>
        <v/>
      </c>
      <c r="G955" s="3153" t="str">
        <f ca="1">IFERROR(INDEX('Production cost'!$A:$AU,MATCH($C955,'Production cost'!$AU:$AU,0),9),"")</f>
        <v/>
      </c>
      <c r="H955" s="3599" t="str">
        <f ca="1">IFERROR(IFERROR(INDEX('Production cost'!$A:$AU,MATCH($C955,'Production cost'!$AU:$AU,0),11),"")+IFERROR(INDEX('Production cost'!$A:$AU,MATCH($C955,'Production cost'!$AU:$AU,0),12),""),"")</f>
        <v/>
      </c>
      <c r="I955" s="3153" t="str">
        <f ca="1">IFERROR(INDEX('Production cost'!$A:$AU,MATCH($C955,'Production cost'!$AU:$AU,0),18),"")</f>
        <v/>
      </c>
      <c r="J955" s="3153" t="str">
        <f ca="1">IFERROR(INDEX('Production cost'!$A:$AU,MATCH($C955,'Production cost'!$AU:$AU,0),18),"")</f>
        <v/>
      </c>
    </row>
    <row r="956" spans="2:10" ht="21.75">
      <c r="B956" s="3143" t="s">
        <v>3652</v>
      </c>
      <c r="C956" s="3143">
        <f t="shared" si="16"/>
        <v>376</v>
      </c>
      <c r="D956" s="3143" t="str">
        <f ca="1">IFERROR(INDEX('Production cost'!$A:$AU,MATCH($C956,'Production cost'!$AU:$AU,0),6),"")</f>
        <v/>
      </c>
      <c r="E956" s="3143" t="str">
        <f ca="1">IFERROR(INDEX('Production cost'!$A:$AU,MATCH($C956,'Production cost'!$AU:$AU,0),3),"")</f>
        <v/>
      </c>
      <c r="G956" s="3153" t="str">
        <f ca="1">IFERROR(INDEX('Production cost'!$A:$AU,MATCH($C956,'Production cost'!$AU:$AU,0),9),"")</f>
        <v/>
      </c>
      <c r="H956" s="3599" t="str">
        <f ca="1">IFERROR(IFERROR(INDEX('Production cost'!$A:$AU,MATCH($C956,'Production cost'!$AU:$AU,0),11),"")+IFERROR(INDEX('Production cost'!$A:$AU,MATCH($C956,'Production cost'!$AU:$AU,0),12),""),"")</f>
        <v/>
      </c>
      <c r="I956" s="3153" t="str">
        <f ca="1">IFERROR(INDEX('Production cost'!$A:$AU,MATCH($C956,'Production cost'!$AU:$AU,0),18),"")</f>
        <v/>
      </c>
      <c r="J956" s="3153" t="str">
        <f ca="1">IFERROR(INDEX('Production cost'!$A:$AU,MATCH($C956,'Production cost'!$AU:$AU,0),18),"")</f>
        <v/>
      </c>
    </row>
    <row r="957" spans="2:10" ht="21.75">
      <c r="B957" s="3143" t="s">
        <v>3652</v>
      </c>
      <c r="C957" s="3143">
        <f t="shared" si="16"/>
        <v>377</v>
      </c>
      <c r="D957" s="3143" t="str">
        <f ca="1">IFERROR(INDEX('Production cost'!$A:$AU,MATCH($C957,'Production cost'!$AU:$AU,0),6),"")</f>
        <v/>
      </c>
      <c r="E957" s="3143" t="str">
        <f ca="1">IFERROR(INDEX('Production cost'!$A:$AU,MATCH($C957,'Production cost'!$AU:$AU,0),3),"")</f>
        <v/>
      </c>
      <c r="G957" s="3153" t="str">
        <f ca="1">IFERROR(INDEX('Production cost'!$A:$AU,MATCH($C957,'Production cost'!$AU:$AU,0),9),"")</f>
        <v/>
      </c>
      <c r="H957" s="3599" t="str">
        <f ca="1">IFERROR(IFERROR(INDEX('Production cost'!$A:$AU,MATCH($C957,'Production cost'!$AU:$AU,0),11),"")+IFERROR(INDEX('Production cost'!$A:$AU,MATCH($C957,'Production cost'!$AU:$AU,0),12),""),"")</f>
        <v/>
      </c>
      <c r="I957" s="3153" t="str">
        <f ca="1">IFERROR(INDEX('Production cost'!$A:$AU,MATCH($C957,'Production cost'!$AU:$AU,0),18),"")</f>
        <v/>
      </c>
      <c r="J957" s="3153" t="str">
        <f ca="1">IFERROR(INDEX('Production cost'!$A:$AU,MATCH($C957,'Production cost'!$AU:$AU,0),18),"")</f>
        <v/>
      </c>
    </row>
    <row r="958" spans="2:10" ht="21.75">
      <c r="B958" s="3143" t="s">
        <v>3652</v>
      </c>
      <c r="C958" s="3143">
        <f t="shared" si="16"/>
        <v>378</v>
      </c>
      <c r="D958" s="3143" t="str">
        <f ca="1">IFERROR(INDEX('Production cost'!$A:$AU,MATCH($C958,'Production cost'!$AU:$AU,0),6),"")</f>
        <v/>
      </c>
      <c r="E958" s="3143" t="str">
        <f ca="1">IFERROR(INDEX('Production cost'!$A:$AU,MATCH($C958,'Production cost'!$AU:$AU,0),3),"")</f>
        <v/>
      </c>
      <c r="G958" s="3153" t="str">
        <f ca="1">IFERROR(INDEX('Production cost'!$A:$AU,MATCH($C958,'Production cost'!$AU:$AU,0),9),"")</f>
        <v/>
      </c>
      <c r="H958" s="3599" t="str">
        <f ca="1">IFERROR(IFERROR(INDEX('Production cost'!$A:$AU,MATCH($C958,'Production cost'!$AU:$AU,0),11),"")+IFERROR(INDEX('Production cost'!$A:$AU,MATCH($C958,'Production cost'!$AU:$AU,0),12),""),"")</f>
        <v/>
      </c>
      <c r="I958" s="3153" t="str">
        <f ca="1">IFERROR(INDEX('Production cost'!$A:$AU,MATCH($C958,'Production cost'!$AU:$AU,0),18),"")</f>
        <v/>
      </c>
      <c r="J958" s="3153" t="str">
        <f ca="1">IFERROR(INDEX('Production cost'!$A:$AU,MATCH($C958,'Production cost'!$AU:$AU,0),18),"")</f>
        <v/>
      </c>
    </row>
    <row r="959" spans="2:10" ht="21.75">
      <c r="B959" s="3143" t="s">
        <v>3652</v>
      </c>
      <c r="C959" s="3143">
        <f t="shared" si="16"/>
        <v>379</v>
      </c>
      <c r="D959" s="3143" t="str">
        <f ca="1">IFERROR(INDEX('Production cost'!$A:$AU,MATCH($C959,'Production cost'!$AU:$AU,0),6),"")</f>
        <v/>
      </c>
      <c r="E959" s="3143" t="str">
        <f ca="1">IFERROR(INDEX('Production cost'!$A:$AU,MATCH($C959,'Production cost'!$AU:$AU,0),3),"")</f>
        <v/>
      </c>
      <c r="G959" s="3153" t="str">
        <f ca="1">IFERROR(INDEX('Production cost'!$A:$AU,MATCH($C959,'Production cost'!$AU:$AU,0),9),"")</f>
        <v/>
      </c>
      <c r="H959" s="3599" t="str">
        <f ca="1">IFERROR(IFERROR(INDEX('Production cost'!$A:$AU,MATCH($C959,'Production cost'!$AU:$AU,0),11),"")+IFERROR(INDEX('Production cost'!$A:$AU,MATCH($C959,'Production cost'!$AU:$AU,0),12),""),"")</f>
        <v/>
      </c>
      <c r="I959" s="3153" t="str">
        <f ca="1">IFERROR(INDEX('Production cost'!$A:$AU,MATCH($C959,'Production cost'!$AU:$AU,0),18),"")</f>
        <v/>
      </c>
      <c r="J959" s="3153" t="str">
        <f ca="1">IFERROR(INDEX('Production cost'!$A:$AU,MATCH($C959,'Production cost'!$AU:$AU,0),18),"")</f>
        <v/>
      </c>
    </row>
    <row r="960" spans="2:10" ht="21.75">
      <c r="B960" s="3143" t="s">
        <v>3652</v>
      </c>
      <c r="C960" s="3143">
        <f t="shared" si="16"/>
        <v>380</v>
      </c>
      <c r="D960" s="3143" t="str">
        <f ca="1">IFERROR(INDEX('Production cost'!$A:$AU,MATCH($C960,'Production cost'!$AU:$AU,0),6),"")</f>
        <v/>
      </c>
      <c r="E960" s="3143" t="str">
        <f ca="1">IFERROR(INDEX('Production cost'!$A:$AU,MATCH($C960,'Production cost'!$AU:$AU,0),3),"")</f>
        <v/>
      </c>
      <c r="G960" s="3153" t="str">
        <f ca="1">IFERROR(INDEX('Production cost'!$A:$AU,MATCH($C960,'Production cost'!$AU:$AU,0),9),"")</f>
        <v/>
      </c>
      <c r="H960" s="3599" t="str">
        <f ca="1">IFERROR(IFERROR(INDEX('Production cost'!$A:$AU,MATCH($C960,'Production cost'!$AU:$AU,0),11),"")+IFERROR(INDEX('Production cost'!$A:$AU,MATCH($C960,'Production cost'!$AU:$AU,0),12),""),"")</f>
        <v/>
      </c>
      <c r="I960" s="3153" t="str">
        <f ca="1">IFERROR(INDEX('Production cost'!$A:$AU,MATCH($C960,'Production cost'!$AU:$AU,0),18),"")</f>
        <v/>
      </c>
      <c r="J960" s="3153" t="str">
        <f ca="1">IFERROR(INDEX('Production cost'!$A:$AU,MATCH($C960,'Production cost'!$AU:$AU,0),18),"")</f>
        <v/>
      </c>
    </row>
    <row r="961" spans="2:10" ht="21.75">
      <c r="B961" s="3143" t="s">
        <v>3652</v>
      </c>
      <c r="C961" s="3143">
        <f t="shared" si="16"/>
        <v>381</v>
      </c>
      <c r="D961" s="3143" t="str">
        <f ca="1">IFERROR(INDEX('Production cost'!$A:$AU,MATCH($C961,'Production cost'!$AU:$AU,0),6),"")</f>
        <v/>
      </c>
      <c r="E961" s="3143" t="str">
        <f ca="1">IFERROR(INDEX('Production cost'!$A:$AU,MATCH($C961,'Production cost'!$AU:$AU,0),3),"")</f>
        <v/>
      </c>
      <c r="G961" s="3153" t="str">
        <f ca="1">IFERROR(INDEX('Production cost'!$A:$AU,MATCH($C961,'Production cost'!$AU:$AU,0),9),"")</f>
        <v/>
      </c>
      <c r="H961" s="3599" t="str">
        <f ca="1">IFERROR(IFERROR(INDEX('Production cost'!$A:$AU,MATCH($C961,'Production cost'!$AU:$AU,0),11),"")+IFERROR(INDEX('Production cost'!$A:$AU,MATCH($C961,'Production cost'!$AU:$AU,0),12),""),"")</f>
        <v/>
      </c>
      <c r="I961" s="3153" t="str">
        <f ca="1">IFERROR(INDEX('Production cost'!$A:$AU,MATCH($C961,'Production cost'!$AU:$AU,0),18),"")</f>
        <v/>
      </c>
      <c r="J961" s="3153" t="str">
        <f ca="1">IFERROR(INDEX('Production cost'!$A:$AU,MATCH($C961,'Production cost'!$AU:$AU,0),18),"")</f>
        <v/>
      </c>
    </row>
    <row r="962" spans="2:10" ht="21.75">
      <c r="B962" s="3143" t="s">
        <v>3652</v>
      </c>
      <c r="C962" s="3143">
        <f t="shared" si="16"/>
        <v>382</v>
      </c>
      <c r="D962" s="3143" t="str">
        <f ca="1">IFERROR(INDEX('Production cost'!$A:$AU,MATCH($C962,'Production cost'!$AU:$AU,0),6),"")</f>
        <v/>
      </c>
      <c r="E962" s="3143" t="str">
        <f ca="1">IFERROR(INDEX('Production cost'!$A:$AU,MATCH($C962,'Production cost'!$AU:$AU,0),3),"")</f>
        <v/>
      </c>
      <c r="G962" s="3153" t="str">
        <f ca="1">IFERROR(INDEX('Production cost'!$A:$AU,MATCH($C962,'Production cost'!$AU:$AU,0),9),"")</f>
        <v/>
      </c>
      <c r="H962" s="3599" t="str">
        <f ca="1">IFERROR(IFERROR(INDEX('Production cost'!$A:$AU,MATCH($C962,'Production cost'!$AU:$AU,0),11),"")+IFERROR(INDEX('Production cost'!$A:$AU,MATCH($C962,'Production cost'!$AU:$AU,0),12),""),"")</f>
        <v/>
      </c>
      <c r="I962" s="3153" t="str">
        <f ca="1">IFERROR(INDEX('Production cost'!$A:$AU,MATCH($C962,'Production cost'!$AU:$AU,0),18),"")</f>
        <v/>
      </c>
      <c r="J962" s="3153" t="str">
        <f ca="1">IFERROR(INDEX('Production cost'!$A:$AU,MATCH($C962,'Production cost'!$AU:$AU,0),18),"")</f>
        <v/>
      </c>
    </row>
    <row r="963" spans="2:10" ht="21.75">
      <c r="B963" s="3143" t="s">
        <v>3652</v>
      </c>
      <c r="C963" s="3143">
        <f t="shared" si="16"/>
        <v>383</v>
      </c>
      <c r="D963" s="3143" t="str">
        <f ca="1">IFERROR(INDEX('Production cost'!$A:$AU,MATCH($C963,'Production cost'!$AU:$AU,0),6),"")</f>
        <v/>
      </c>
      <c r="E963" s="3143" t="str">
        <f ca="1">IFERROR(INDEX('Production cost'!$A:$AU,MATCH($C963,'Production cost'!$AU:$AU,0),3),"")</f>
        <v/>
      </c>
      <c r="G963" s="3153" t="str">
        <f ca="1">IFERROR(INDEX('Production cost'!$A:$AU,MATCH($C963,'Production cost'!$AU:$AU,0),9),"")</f>
        <v/>
      </c>
      <c r="H963" s="3599" t="str">
        <f ca="1">IFERROR(IFERROR(INDEX('Production cost'!$A:$AU,MATCH($C963,'Production cost'!$AU:$AU,0),11),"")+IFERROR(INDEX('Production cost'!$A:$AU,MATCH($C963,'Production cost'!$AU:$AU,0),12),""),"")</f>
        <v/>
      </c>
      <c r="I963" s="3153" t="str">
        <f ca="1">IFERROR(INDEX('Production cost'!$A:$AU,MATCH($C963,'Production cost'!$AU:$AU,0),18),"")</f>
        <v/>
      </c>
      <c r="J963" s="3153" t="str">
        <f ca="1">IFERROR(INDEX('Production cost'!$A:$AU,MATCH($C963,'Production cost'!$AU:$AU,0),18),"")</f>
        <v/>
      </c>
    </row>
    <row r="964" spans="2:10" ht="21.75">
      <c r="B964" s="3143" t="s">
        <v>3652</v>
      </c>
      <c r="C964" s="3143">
        <f t="shared" si="16"/>
        <v>384</v>
      </c>
      <c r="D964" s="3143" t="str">
        <f ca="1">IFERROR(INDEX('Production cost'!$A:$AU,MATCH($C964,'Production cost'!$AU:$AU,0),6),"")</f>
        <v/>
      </c>
      <c r="E964" s="3143" t="str">
        <f ca="1">IFERROR(INDEX('Production cost'!$A:$AU,MATCH($C964,'Production cost'!$AU:$AU,0),3),"")</f>
        <v/>
      </c>
      <c r="G964" s="3153" t="str">
        <f ca="1">IFERROR(INDEX('Production cost'!$A:$AU,MATCH($C964,'Production cost'!$AU:$AU,0),9),"")</f>
        <v/>
      </c>
      <c r="H964" s="3599" t="str">
        <f ca="1">IFERROR(IFERROR(INDEX('Production cost'!$A:$AU,MATCH($C964,'Production cost'!$AU:$AU,0),11),"")+IFERROR(INDEX('Production cost'!$A:$AU,MATCH($C964,'Production cost'!$AU:$AU,0),12),""),"")</f>
        <v/>
      </c>
      <c r="I964" s="3153" t="str">
        <f ca="1">IFERROR(INDEX('Production cost'!$A:$AU,MATCH($C964,'Production cost'!$AU:$AU,0),18),"")</f>
        <v/>
      </c>
      <c r="J964" s="3153" t="str">
        <f ca="1">IFERROR(INDEX('Production cost'!$A:$AU,MATCH($C964,'Production cost'!$AU:$AU,0),18),"")</f>
        <v/>
      </c>
    </row>
    <row r="965" spans="2:10" ht="21.75">
      <c r="B965" s="3143" t="s">
        <v>3652</v>
      </c>
      <c r="C965" s="3143">
        <f t="shared" si="16"/>
        <v>385</v>
      </c>
      <c r="D965" s="3143" t="str">
        <f ca="1">IFERROR(INDEX('Production cost'!$A:$AU,MATCH($C965,'Production cost'!$AU:$AU,0),6),"")</f>
        <v/>
      </c>
      <c r="E965" s="3143" t="str">
        <f ca="1">IFERROR(INDEX('Production cost'!$A:$AU,MATCH($C965,'Production cost'!$AU:$AU,0),3),"")</f>
        <v/>
      </c>
      <c r="G965" s="3153" t="str">
        <f ca="1">IFERROR(INDEX('Production cost'!$A:$AU,MATCH($C965,'Production cost'!$AU:$AU,0),9),"")</f>
        <v/>
      </c>
      <c r="H965" s="3599" t="str">
        <f ca="1">IFERROR(IFERROR(INDEX('Production cost'!$A:$AU,MATCH($C965,'Production cost'!$AU:$AU,0),11),"")+IFERROR(INDEX('Production cost'!$A:$AU,MATCH($C965,'Production cost'!$AU:$AU,0),12),""),"")</f>
        <v/>
      </c>
      <c r="I965" s="3153" t="str">
        <f ca="1">IFERROR(INDEX('Production cost'!$A:$AU,MATCH($C965,'Production cost'!$AU:$AU,0),18),"")</f>
        <v/>
      </c>
      <c r="J965" s="3153" t="str">
        <f ca="1">IFERROR(INDEX('Production cost'!$A:$AU,MATCH($C965,'Production cost'!$AU:$AU,0),18),"")</f>
        <v/>
      </c>
    </row>
    <row r="966" spans="2:10" ht="21.75">
      <c r="B966" s="3143" t="s">
        <v>3652</v>
      </c>
      <c r="C966" s="3143">
        <f t="shared" si="16"/>
        <v>386</v>
      </c>
      <c r="D966" s="3143" t="str">
        <f ca="1">IFERROR(INDEX('Production cost'!$A:$AU,MATCH($C966,'Production cost'!$AU:$AU,0),6),"")</f>
        <v/>
      </c>
      <c r="E966" s="3143" t="str">
        <f ca="1">IFERROR(INDEX('Production cost'!$A:$AU,MATCH($C966,'Production cost'!$AU:$AU,0),3),"")</f>
        <v/>
      </c>
      <c r="G966" s="3153" t="str">
        <f ca="1">IFERROR(INDEX('Production cost'!$A:$AU,MATCH($C966,'Production cost'!$AU:$AU,0),9),"")</f>
        <v/>
      </c>
      <c r="H966" s="3599" t="str">
        <f ca="1">IFERROR(IFERROR(INDEX('Production cost'!$A:$AU,MATCH($C966,'Production cost'!$AU:$AU,0),11),"")+IFERROR(INDEX('Production cost'!$A:$AU,MATCH($C966,'Production cost'!$AU:$AU,0),12),""),"")</f>
        <v/>
      </c>
      <c r="I966" s="3153" t="str">
        <f ca="1">IFERROR(INDEX('Production cost'!$A:$AU,MATCH($C966,'Production cost'!$AU:$AU,0),18),"")</f>
        <v/>
      </c>
      <c r="J966" s="3153" t="str">
        <f ca="1">IFERROR(INDEX('Production cost'!$A:$AU,MATCH($C966,'Production cost'!$AU:$AU,0),18),"")</f>
        <v/>
      </c>
    </row>
    <row r="967" spans="2:10" ht="21.75">
      <c r="B967" s="3143" t="s">
        <v>3652</v>
      </c>
      <c r="C967" s="3143">
        <f t="shared" ref="C967" si="17">C966+1</f>
        <v>387</v>
      </c>
      <c r="D967" s="3143" t="str">
        <f ca="1">IFERROR(INDEX('Production cost'!$A:$AU,MATCH($C967,'Production cost'!$AU:$AU,0),6),"")</f>
        <v/>
      </c>
      <c r="E967" s="3143" t="str">
        <f ca="1">IFERROR(INDEX('Production cost'!$A:$AU,MATCH($C967,'Production cost'!$AU:$AU,0),3),"")</f>
        <v/>
      </c>
      <c r="G967" s="3153" t="str">
        <f ca="1">IFERROR(INDEX('Production cost'!$A:$AU,MATCH($C967,'Production cost'!$AU:$AU,0),9),"")</f>
        <v/>
      </c>
      <c r="H967" s="3599" t="str">
        <f ca="1">IFERROR(IFERROR(INDEX('Production cost'!$A:$AU,MATCH($C967,'Production cost'!$AU:$AU,0),11),"")+IFERROR(INDEX('Production cost'!$A:$AU,MATCH($C967,'Production cost'!$AU:$AU,0),12),""),"")</f>
        <v/>
      </c>
      <c r="I967" s="3153" t="str">
        <f ca="1">IFERROR(INDEX('Production cost'!$A:$AU,MATCH($C967,'Production cost'!$AU:$AU,0),18),"")</f>
        <v/>
      </c>
      <c r="J967" s="3153" t="str">
        <f ca="1">IFERROR(INDEX('Production cost'!$A:$AU,MATCH($C967,'Production cost'!$AU:$AU,0),18),"")</f>
        <v/>
      </c>
    </row>
    <row r="968" spans="2:10" ht="21.75">
      <c r="B968" s="3143" t="s">
        <v>3652</v>
      </c>
      <c r="C968" s="3143">
        <f>C967+1</f>
        <v>388</v>
      </c>
      <c r="D968" s="3143" t="str">
        <f ca="1">IFERROR(INDEX('Production cost'!$A:$AU,MATCH($C968,'Production cost'!$AU:$AU,0),6),"")</f>
        <v/>
      </c>
      <c r="E968" s="3143" t="str">
        <f ca="1">IFERROR(INDEX('Production cost'!$A:$AU,MATCH($C968,'Production cost'!$AU:$AU,0),3),"")</f>
        <v/>
      </c>
      <c r="G968" s="3153" t="str">
        <f ca="1">IFERROR(INDEX('Production cost'!$A:$AU,MATCH($C968,'Production cost'!$AU:$AU,0),9),"")</f>
        <v/>
      </c>
      <c r="H968" s="3599" t="str">
        <f ca="1">IFERROR(IFERROR(INDEX('Production cost'!$A:$AU,MATCH($C968,'Production cost'!$AU:$AU,0),11),"")+IFERROR(INDEX('Production cost'!$A:$AU,MATCH($C968,'Production cost'!$AU:$AU,0),12),""),"")</f>
        <v/>
      </c>
      <c r="I968" s="3153" t="str">
        <f ca="1">IFERROR(INDEX('Production cost'!$A:$AU,MATCH($C968,'Production cost'!$AU:$AU,0),18),"")</f>
        <v/>
      </c>
      <c r="J968" s="3153" t="str">
        <f ca="1">IFERROR(INDEX('Production cost'!$A:$AU,MATCH($C968,'Production cost'!$AU:$AU,0),18),"")</f>
        <v/>
      </c>
    </row>
    <row r="970" spans="2:10" ht="21.75">
      <c r="B970" s="3143" t="s">
        <v>3653</v>
      </c>
      <c r="C970" s="3143">
        <v>1</v>
      </c>
      <c r="D970" s="3143" t="str">
        <f ca="1">IFERROR(INDEX('Fix Cost'!$A:$AU,MATCH($C970,'Fix Cost'!$AU:$AU,0),2),"")</f>
        <v>Box</v>
      </c>
      <c r="E970" s="3143" t="str">
        <f ca="1">IFERROR(INDEX('Fix Cost'!$A:$AU,MATCH($C970,'Fix Cost'!$AU:$AU,0),3),"")</f>
        <v>Die-cut mould</v>
      </c>
      <c r="G970" s="3153">
        <f ca="1">IFERROR(INDEX('Fix Cost'!$A:$AU,MATCH($C970,'Fix Cost'!$AU:$AU,0),10),"")</f>
        <v>1</v>
      </c>
      <c r="H970" s="3599"/>
      <c r="I970" s="3153">
        <f ca="1">IFERROR(INDEX('Fix Cost'!$A:$AU,MATCH($C970,'Fix Cost'!$AU:$AU,0),14),"")</f>
        <v>30</v>
      </c>
      <c r="J970" s="3153">
        <f ca="1">IFERROR(INDEX('Fix Cost'!$A:$AU,MATCH($C970,'Fix Cost'!$AU:$AU,0)*(1+'Fix Cost'!$N$5),14),"")</f>
        <v>30</v>
      </c>
    </row>
    <row r="971" spans="2:10" ht="21.75">
      <c r="B971" s="3143" t="s">
        <v>3653</v>
      </c>
      <c r="C971" s="3143">
        <f>C970+1</f>
        <v>2</v>
      </c>
      <c r="D971" s="3143" t="str">
        <f ca="1">IFERROR(INDEX('Fix Cost'!$A:$AU,MATCH($C971,'Fix Cost'!$AU:$AU,0),2),"")</f>
        <v>Box</v>
      </c>
      <c r="E971" s="3143" t="str">
        <f ca="1">IFERROR(INDEX('Fix Cost'!$A:$AU,MATCH($C971,'Fix Cost'!$AU:$AU,0),3),"")</f>
        <v>Coating Online</v>
      </c>
      <c r="G971" s="3153">
        <f ca="1">IFERROR(INDEX('Fix Cost'!$A:$AU,MATCH($C971,'Fix Cost'!$AU:$AU,0),10),"")</f>
        <v>1</v>
      </c>
      <c r="H971" s="3599"/>
      <c r="I971" s="3153">
        <f ca="1">IFERROR(INDEX('Fix Cost'!$A:$AU,MATCH($C971,'Fix Cost'!$AU:$AU,0),14),"")</f>
        <v>8.1415897908979087</v>
      </c>
      <c r="J971" s="3153">
        <f ca="1">IFERROR(INDEX('Fix Cost'!$A:$AU,MATCH($C971,'Fix Cost'!$AU:$AU,0)*(1+'Fix Cost'!$N$5),14),"")</f>
        <v>8.1415897908979087</v>
      </c>
    </row>
    <row r="972" spans="2:10" ht="21.75">
      <c r="B972" s="3143" t="s">
        <v>3653</v>
      </c>
      <c r="C972" s="3143">
        <f t="shared" ref="C972:C1035" si="18">C971+1</f>
        <v>3</v>
      </c>
      <c r="D972" s="3143" t="str">
        <f ca="1">IFERROR(INDEX('Fix Cost'!$A:$AU,MATCH($C972,'Fix Cost'!$AU:$AU,0),2),"")</f>
        <v>Box</v>
      </c>
      <c r="E972" s="3143" t="str">
        <f ca="1">IFERROR(INDEX('Fix Cost'!$A:$AU,MATCH($C972,'Fix Cost'!$AU:$AU,0),3),"")</f>
        <v>Plate Off set</v>
      </c>
      <c r="G972" s="3153">
        <f ca="1">IFERROR(INDEX('Fix Cost'!$A:$AU,MATCH($C972,'Fix Cost'!$AU:$AU,0),10),"")</f>
        <v>1</v>
      </c>
      <c r="H972" s="3599"/>
      <c r="I972" s="3153">
        <f ca="1">IFERROR(INDEX('Fix Cost'!$A:$AU,MATCH($C972,'Fix Cost'!$AU:$AU,0),14),"")</f>
        <v>10.3</v>
      </c>
      <c r="J972" s="3153">
        <f ca="1">IFERROR(INDEX('Fix Cost'!$A:$AU,MATCH($C972,'Fix Cost'!$AU:$AU,0)*(1+'Fix Cost'!$N$5),14),"")</f>
        <v>10.3</v>
      </c>
    </row>
    <row r="973" spans="2:10" ht="21.75">
      <c r="B973" s="3143" t="s">
        <v>3653</v>
      </c>
      <c r="C973" s="3143">
        <f t="shared" si="18"/>
        <v>4</v>
      </c>
      <c r="D973" s="3143" t="str">
        <f ca="1">IFERROR(INDEX('Fix Cost'!$A:$AU,MATCH($C973,'Fix Cost'!$AU:$AU,0),2),"")</f>
        <v/>
      </c>
      <c r="E973" s="3143" t="str">
        <f ca="1">IFERROR(INDEX('Fix Cost'!$A:$AU,MATCH($C973,'Fix Cost'!$AU:$AU,0),3),"")</f>
        <v/>
      </c>
      <c r="G973" s="3153" t="str">
        <f ca="1">IFERROR(INDEX('Fix Cost'!$A:$AU,MATCH($C973,'Fix Cost'!$AU:$AU,0),10),"")</f>
        <v/>
      </c>
      <c r="H973" s="3599"/>
      <c r="I973" s="3153" t="str">
        <f ca="1">IFERROR(INDEX('Fix Cost'!$A:$AU,MATCH($C973,'Fix Cost'!$AU:$AU,0),14),"")</f>
        <v/>
      </c>
      <c r="J973" s="3153" t="str">
        <f ca="1">IFERROR(INDEX('Fix Cost'!$A:$AU,MATCH($C973,'Fix Cost'!$AU:$AU,0)*(1+'Fix Cost'!$N$5),14),"")</f>
        <v/>
      </c>
    </row>
    <row r="974" spans="2:10" ht="21.75">
      <c r="B974" s="3143" t="s">
        <v>3653</v>
      </c>
      <c r="C974" s="3143">
        <f t="shared" si="18"/>
        <v>5</v>
      </c>
      <c r="D974" s="3143" t="str">
        <f ca="1">IFERROR(INDEX('Fix Cost'!$A:$AU,MATCH($C974,'Fix Cost'!$AU:$AU,0),2),"")</f>
        <v/>
      </c>
      <c r="E974" s="3143" t="str">
        <f ca="1">IFERROR(INDEX('Fix Cost'!$A:$AU,MATCH($C974,'Fix Cost'!$AU:$AU,0),3),"")</f>
        <v/>
      </c>
      <c r="G974" s="3153" t="str">
        <f ca="1">IFERROR(INDEX('Fix Cost'!$A:$AU,MATCH($C974,'Fix Cost'!$AU:$AU,0),10),"")</f>
        <v/>
      </c>
      <c r="H974" s="3599"/>
      <c r="I974" s="3153" t="str">
        <f ca="1">IFERROR(INDEX('Fix Cost'!$A:$AU,MATCH($C974,'Fix Cost'!$AU:$AU,0),14),"")</f>
        <v/>
      </c>
      <c r="J974" s="3153" t="str">
        <f ca="1">IFERROR(INDEX('Fix Cost'!$A:$AU,MATCH($C974,'Fix Cost'!$AU:$AU,0)*(1+'Fix Cost'!$N$5),14),"")</f>
        <v/>
      </c>
    </row>
    <row r="975" spans="2:10" ht="21.75">
      <c r="B975" s="3143" t="s">
        <v>3653</v>
      </c>
      <c r="C975" s="3143">
        <f t="shared" si="18"/>
        <v>6</v>
      </c>
      <c r="D975" s="3143" t="str">
        <f ca="1">IFERROR(INDEX('Fix Cost'!$A:$AU,MATCH($C975,'Fix Cost'!$AU:$AU,0),2),"")</f>
        <v/>
      </c>
      <c r="E975" s="3143" t="str">
        <f ca="1">IFERROR(INDEX('Fix Cost'!$A:$AU,MATCH($C975,'Fix Cost'!$AU:$AU,0),3),"")</f>
        <v/>
      </c>
      <c r="G975" s="3153" t="str">
        <f ca="1">IFERROR(INDEX('Fix Cost'!$A:$AU,MATCH($C975,'Fix Cost'!$AU:$AU,0),10),"")</f>
        <v/>
      </c>
      <c r="H975" s="3599"/>
      <c r="I975" s="3153" t="str">
        <f ca="1">IFERROR(INDEX('Fix Cost'!$A:$AU,MATCH($C975,'Fix Cost'!$AU:$AU,0),14),"")</f>
        <v/>
      </c>
      <c r="J975" s="3153" t="str">
        <f ca="1">IFERROR(INDEX('Fix Cost'!$A:$AU,MATCH($C975,'Fix Cost'!$AU:$AU,0)*(1+'Fix Cost'!$N$5),14),"")</f>
        <v/>
      </c>
    </row>
    <row r="976" spans="2:10" ht="21.75">
      <c r="B976" s="3143" t="s">
        <v>3653</v>
      </c>
      <c r="C976" s="3143">
        <f t="shared" si="18"/>
        <v>7</v>
      </c>
      <c r="D976" s="3143" t="str">
        <f ca="1">IFERROR(INDEX('Fix Cost'!$A:$AU,MATCH($C976,'Fix Cost'!$AU:$AU,0),2),"")</f>
        <v/>
      </c>
      <c r="E976" s="3143" t="str">
        <f ca="1">IFERROR(INDEX('Fix Cost'!$A:$AU,MATCH($C976,'Fix Cost'!$AU:$AU,0),3),"")</f>
        <v/>
      </c>
      <c r="G976" s="3153" t="str">
        <f ca="1">IFERROR(INDEX('Fix Cost'!$A:$AU,MATCH($C976,'Fix Cost'!$AU:$AU,0),10),"")</f>
        <v/>
      </c>
      <c r="H976" s="3599"/>
      <c r="I976" s="3153" t="str">
        <f ca="1">IFERROR(INDEX('Fix Cost'!$A:$AU,MATCH($C976,'Fix Cost'!$AU:$AU,0),14),"")</f>
        <v/>
      </c>
      <c r="J976" s="3153" t="str">
        <f ca="1">IFERROR(INDEX('Fix Cost'!$A:$AU,MATCH($C976,'Fix Cost'!$AU:$AU,0)*(1+'Fix Cost'!$N$5),14),"")</f>
        <v/>
      </c>
    </row>
    <row r="977" spans="2:10" ht="21.75">
      <c r="B977" s="3143" t="s">
        <v>3653</v>
      </c>
      <c r="C977" s="3143">
        <f t="shared" si="18"/>
        <v>8</v>
      </c>
      <c r="D977" s="3143" t="str">
        <f ca="1">IFERROR(INDEX('Fix Cost'!$A:$AU,MATCH($C977,'Fix Cost'!$AU:$AU,0),2),"")</f>
        <v/>
      </c>
      <c r="E977" s="3143" t="str">
        <f ca="1">IFERROR(INDEX('Fix Cost'!$A:$AU,MATCH($C977,'Fix Cost'!$AU:$AU,0),3),"")</f>
        <v/>
      </c>
      <c r="G977" s="3153" t="str">
        <f ca="1">IFERROR(INDEX('Fix Cost'!$A:$AU,MATCH($C977,'Fix Cost'!$AU:$AU,0),10),"")</f>
        <v/>
      </c>
      <c r="H977" s="3599"/>
      <c r="I977" s="3153" t="str">
        <f ca="1">IFERROR(INDEX('Fix Cost'!$A:$AU,MATCH($C977,'Fix Cost'!$AU:$AU,0),14),"")</f>
        <v/>
      </c>
      <c r="J977" s="3153" t="str">
        <f ca="1">IFERROR(INDEX('Fix Cost'!$A:$AU,MATCH($C977,'Fix Cost'!$AU:$AU,0)*(1+'Fix Cost'!$N$5),14),"")</f>
        <v/>
      </c>
    </row>
    <row r="978" spans="2:10" ht="21.75">
      <c r="B978" s="3143" t="s">
        <v>3653</v>
      </c>
      <c r="C978" s="3143">
        <f t="shared" si="18"/>
        <v>9</v>
      </c>
      <c r="D978" s="3143" t="str">
        <f ca="1">IFERROR(INDEX('Fix Cost'!$A:$AU,MATCH($C978,'Fix Cost'!$AU:$AU,0),2),"")</f>
        <v/>
      </c>
      <c r="E978" s="3143" t="str">
        <f ca="1">IFERROR(INDEX('Fix Cost'!$A:$AU,MATCH($C978,'Fix Cost'!$AU:$AU,0),3),"")</f>
        <v/>
      </c>
      <c r="G978" s="3153" t="str">
        <f ca="1">IFERROR(INDEX('Fix Cost'!$A:$AU,MATCH($C978,'Fix Cost'!$AU:$AU,0),10),"")</f>
        <v/>
      </c>
      <c r="H978" s="3599"/>
      <c r="I978" s="3153" t="str">
        <f ca="1">IFERROR(INDEX('Fix Cost'!$A:$AU,MATCH($C978,'Fix Cost'!$AU:$AU,0),14),"")</f>
        <v/>
      </c>
      <c r="J978" s="3153" t="str">
        <f ca="1">IFERROR(INDEX('Fix Cost'!$A:$AU,MATCH($C978,'Fix Cost'!$AU:$AU,0)*(1+'Fix Cost'!$N$5),14),"")</f>
        <v/>
      </c>
    </row>
    <row r="979" spans="2:10" ht="21.75">
      <c r="B979" s="3143" t="s">
        <v>3653</v>
      </c>
      <c r="C979" s="3143">
        <f t="shared" si="18"/>
        <v>10</v>
      </c>
      <c r="D979" s="3143" t="str">
        <f ca="1">IFERROR(INDEX('Fix Cost'!$A:$AU,MATCH($C979,'Fix Cost'!$AU:$AU,0),2),"")</f>
        <v/>
      </c>
      <c r="E979" s="3143" t="str">
        <f ca="1">IFERROR(INDEX('Fix Cost'!$A:$AU,MATCH($C979,'Fix Cost'!$AU:$AU,0),3),"")</f>
        <v/>
      </c>
      <c r="G979" s="3153" t="str">
        <f ca="1">IFERROR(INDEX('Fix Cost'!$A:$AU,MATCH($C979,'Fix Cost'!$AU:$AU,0),10),"")</f>
        <v/>
      </c>
      <c r="H979" s="3599"/>
      <c r="I979" s="3153" t="str">
        <f ca="1">IFERROR(INDEX('Fix Cost'!$A:$AU,MATCH($C979,'Fix Cost'!$AU:$AU,0),14),"")</f>
        <v/>
      </c>
      <c r="J979" s="3153" t="str">
        <f ca="1">IFERROR(INDEX('Fix Cost'!$A:$AU,MATCH($C979,'Fix Cost'!$AU:$AU,0)*(1+'Fix Cost'!$N$5),14),"")</f>
        <v/>
      </c>
    </row>
    <row r="980" spans="2:10" ht="21.75">
      <c r="B980" s="3143" t="s">
        <v>3653</v>
      </c>
      <c r="C980" s="3143">
        <f t="shared" si="18"/>
        <v>11</v>
      </c>
      <c r="D980" s="3143" t="str">
        <f ca="1">IFERROR(INDEX('Fix Cost'!$A:$AU,MATCH($C980,'Fix Cost'!$AU:$AU,0),2),"")</f>
        <v/>
      </c>
      <c r="E980" s="3143" t="str">
        <f ca="1">IFERROR(INDEX('Fix Cost'!$A:$AU,MATCH($C980,'Fix Cost'!$AU:$AU,0),3),"")</f>
        <v/>
      </c>
      <c r="G980" s="3153" t="str">
        <f ca="1">IFERROR(INDEX('Fix Cost'!$A:$AU,MATCH($C980,'Fix Cost'!$AU:$AU,0),10),"")</f>
        <v/>
      </c>
      <c r="H980" s="3599"/>
      <c r="I980" s="3153" t="str">
        <f ca="1">IFERROR(INDEX('Fix Cost'!$A:$AU,MATCH($C980,'Fix Cost'!$AU:$AU,0),14),"")</f>
        <v/>
      </c>
      <c r="J980" s="3153" t="str">
        <f ca="1">IFERROR(INDEX('Fix Cost'!$A:$AU,MATCH($C980,'Fix Cost'!$AU:$AU,0)*(1+'Fix Cost'!$N$5),14),"")</f>
        <v/>
      </c>
    </row>
    <row r="981" spans="2:10" ht="21.75">
      <c r="B981" s="3143" t="s">
        <v>3653</v>
      </c>
      <c r="C981" s="3143">
        <f t="shared" si="18"/>
        <v>12</v>
      </c>
      <c r="D981" s="3143" t="str">
        <f ca="1">IFERROR(INDEX('Fix Cost'!$A:$AU,MATCH($C981,'Fix Cost'!$AU:$AU,0),2),"")</f>
        <v/>
      </c>
      <c r="E981" s="3143" t="str">
        <f ca="1">IFERROR(INDEX('Fix Cost'!$A:$AU,MATCH($C981,'Fix Cost'!$AU:$AU,0),3),"")</f>
        <v/>
      </c>
      <c r="G981" s="3153" t="str">
        <f ca="1">IFERROR(INDEX('Fix Cost'!$A:$AU,MATCH($C981,'Fix Cost'!$AU:$AU,0),10),"")</f>
        <v/>
      </c>
      <c r="H981" s="3599"/>
      <c r="I981" s="3153" t="str">
        <f ca="1">IFERROR(INDEX('Fix Cost'!$A:$AU,MATCH($C981,'Fix Cost'!$AU:$AU,0),14),"")</f>
        <v/>
      </c>
      <c r="J981" s="3153" t="str">
        <f ca="1">IFERROR(INDEX('Fix Cost'!$A:$AU,MATCH($C981,'Fix Cost'!$AU:$AU,0)*(1+'Fix Cost'!$N$5),14),"")</f>
        <v/>
      </c>
    </row>
    <row r="982" spans="2:10" ht="21.75">
      <c r="B982" s="3143" t="s">
        <v>3653</v>
      </c>
      <c r="C982" s="3143">
        <f t="shared" si="18"/>
        <v>13</v>
      </c>
      <c r="D982" s="3143" t="str">
        <f ca="1">IFERROR(INDEX('Fix Cost'!$A:$AU,MATCH($C982,'Fix Cost'!$AU:$AU,0),2),"")</f>
        <v/>
      </c>
      <c r="E982" s="3143" t="str">
        <f ca="1">IFERROR(INDEX('Fix Cost'!$A:$AU,MATCH($C982,'Fix Cost'!$AU:$AU,0),3),"")</f>
        <v/>
      </c>
      <c r="G982" s="3153" t="str">
        <f ca="1">IFERROR(INDEX('Fix Cost'!$A:$AU,MATCH($C982,'Fix Cost'!$AU:$AU,0),10),"")</f>
        <v/>
      </c>
      <c r="H982" s="3599"/>
      <c r="I982" s="3153" t="str">
        <f ca="1">IFERROR(INDEX('Fix Cost'!$A:$AU,MATCH($C982,'Fix Cost'!$AU:$AU,0),14),"")</f>
        <v/>
      </c>
      <c r="J982" s="3153" t="str">
        <f ca="1">IFERROR(INDEX('Fix Cost'!$A:$AU,MATCH($C982,'Fix Cost'!$AU:$AU,0)*(1+'Fix Cost'!$N$5),14),"")</f>
        <v/>
      </c>
    </row>
    <row r="983" spans="2:10" ht="21.75">
      <c r="B983" s="3143" t="s">
        <v>3653</v>
      </c>
      <c r="C983" s="3143">
        <f t="shared" si="18"/>
        <v>14</v>
      </c>
      <c r="D983" s="3143" t="str">
        <f ca="1">IFERROR(INDEX('Fix Cost'!$A:$AU,MATCH($C983,'Fix Cost'!$AU:$AU,0),2),"")</f>
        <v/>
      </c>
      <c r="E983" s="3143" t="str">
        <f ca="1">IFERROR(INDEX('Fix Cost'!$A:$AU,MATCH($C983,'Fix Cost'!$AU:$AU,0),3),"")</f>
        <v/>
      </c>
      <c r="G983" s="3153" t="str">
        <f ca="1">IFERROR(INDEX('Fix Cost'!$A:$AU,MATCH($C983,'Fix Cost'!$AU:$AU,0),10),"")</f>
        <v/>
      </c>
      <c r="H983" s="3599"/>
      <c r="I983" s="3153" t="str">
        <f ca="1">IFERROR(INDEX('Fix Cost'!$A:$AU,MATCH($C983,'Fix Cost'!$AU:$AU,0),14),"")</f>
        <v/>
      </c>
      <c r="J983" s="3153" t="str">
        <f ca="1">IFERROR(INDEX('Fix Cost'!$A:$AU,MATCH($C983,'Fix Cost'!$AU:$AU,0)*(1+'Fix Cost'!$N$5),14),"")</f>
        <v/>
      </c>
    </row>
    <row r="984" spans="2:10" ht="21.75">
      <c r="B984" s="3143" t="s">
        <v>3653</v>
      </c>
      <c r="C984" s="3143">
        <f t="shared" si="18"/>
        <v>15</v>
      </c>
      <c r="D984" s="3143" t="str">
        <f ca="1">IFERROR(INDEX('Fix Cost'!$A:$AU,MATCH($C984,'Fix Cost'!$AU:$AU,0),2),"")</f>
        <v/>
      </c>
      <c r="E984" s="3143" t="str">
        <f ca="1">IFERROR(INDEX('Fix Cost'!$A:$AU,MATCH($C984,'Fix Cost'!$AU:$AU,0),3),"")</f>
        <v/>
      </c>
      <c r="G984" s="3153" t="str">
        <f ca="1">IFERROR(INDEX('Fix Cost'!$A:$AU,MATCH($C984,'Fix Cost'!$AU:$AU,0),10),"")</f>
        <v/>
      </c>
      <c r="H984" s="3599"/>
      <c r="I984" s="3153" t="str">
        <f ca="1">IFERROR(INDEX('Fix Cost'!$A:$AU,MATCH($C984,'Fix Cost'!$AU:$AU,0),14),"")</f>
        <v/>
      </c>
      <c r="J984" s="3153" t="str">
        <f ca="1">IFERROR(INDEX('Fix Cost'!$A:$AU,MATCH($C984,'Fix Cost'!$AU:$AU,0)*(1+'Fix Cost'!$N$5),14),"")</f>
        <v/>
      </c>
    </row>
    <row r="985" spans="2:10" ht="21.75">
      <c r="B985" s="3143" t="s">
        <v>3653</v>
      </c>
      <c r="C985" s="3143">
        <f t="shared" si="18"/>
        <v>16</v>
      </c>
      <c r="D985" s="3143" t="str">
        <f ca="1">IFERROR(INDEX('Fix Cost'!$A:$AU,MATCH($C985,'Fix Cost'!$AU:$AU,0),2),"")</f>
        <v/>
      </c>
      <c r="E985" s="3143" t="str">
        <f ca="1">IFERROR(INDEX('Fix Cost'!$A:$AU,MATCH($C985,'Fix Cost'!$AU:$AU,0),3),"")</f>
        <v/>
      </c>
      <c r="G985" s="3153" t="str">
        <f ca="1">IFERROR(INDEX('Fix Cost'!$A:$AU,MATCH($C985,'Fix Cost'!$AU:$AU,0),10),"")</f>
        <v/>
      </c>
      <c r="H985" s="3599"/>
      <c r="I985" s="3153" t="str">
        <f ca="1">IFERROR(INDEX('Fix Cost'!$A:$AU,MATCH($C985,'Fix Cost'!$AU:$AU,0),14),"")</f>
        <v/>
      </c>
      <c r="J985" s="3153" t="str">
        <f ca="1">IFERROR(INDEX('Fix Cost'!$A:$AU,MATCH($C985,'Fix Cost'!$AU:$AU,0)*(1+'Fix Cost'!$N$5),14),"")</f>
        <v/>
      </c>
    </row>
    <row r="986" spans="2:10" ht="21.75">
      <c r="B986" s="3143" t="s">
        <v>3653</v>
      </c>
      <c r="C986" s="3143">
        <f t="shared" si="18"/>
        <v>17</v>
      </c>
      <c r="D986" s="3143" t="str">
        <f ca="1">IFERROR(INDEX('Fix Cost'!$A:$AU,MATCH($C986,'Fix Cost'!$AU:$AU,0),2),"")</f>
        <v/>
      </c>
      <c r="E986" s="3143" t="str">
        <f ca="1">IFERROR(INDEX('Fix Cost'!$A:$AU,MATCH($C986,'Fix Cost'!$AU:$AU,0),3),"")</f>
        <v/>
      </c>
      <c r="G986" s="3153" t="str">
        <f ca="1">IFERROR(INDEX('Fix Cost'!$A:$AU,MATCH($C986,'Fix Cost'!$AU:$AU,0),10),"")</f>
        <v/>
      </c>
      <c r="H986" s="3599"/>
      <c r="I986" s="3153" t="str">
        <f ca="1">IFERROR(INDEX('Fix Cost'!$A:$AU,MATCH($C986,'Fix Cost'!$AU:$AU,0),14),"")</f>
        <v/>
      </c>
      <c r="J986" s="3153" t="str">
        <f ca="1">IFERROR(INDEX('Fix Cost'!$A:$AU,MATCH($C986,'Fix Cost'!$AU:$AU,0)*(1+'Fix Cost'!$N$5),14),"")</f>
        <v/>
      </c>
    </row>
    <row r="987" spans="2:10" ht="21.75">
      <c r="B987" s="3143" t="s">
        <v>3653</v>
      </c>
      <c r="C987" s="3143">
        <f t="shared" si="18"/>
        <v>18</v>
      </c>
      <c r="D987" s="3143" t="str">
        <f ca="1">IFERROR(INDEX('Fix Cost'!$A:$AU,MATCH($C987,'Fix Cost'!$AU:$AU,0),2),"")</f>
        <v/>
      </c>
      <c r="E987" s="3143" t="str">
        <f ca="1">IFERROR(INDEX('Fix Cost'!$A:$AU,MATCH($C987,'Fix Cost'!$AU:$AU,0),3),"")</f>
        <v/>
      </c>
      <c r="G987" s="3153" t="str">
        <f ca="1">IFERROR(INDEX('Fix Cost'!$A:$AU,MATCH($C987,'Fix Cost'!$AU:$AU,0),10),"")</f>
        <v/>
      </c>
      <c r="H987" s="3599"/>
      <c r="I987" s="3153" t="str">
        <f ca="1">IFERROR(INDEX('Fix Cost'!$A:$AU,MATCH($C987,'Fix Cost'!$AU:$AU,0),14),"")</f>
        <v/>
      </c>
      <c r="J987" s="3153" t="str">
        <f ca="1">IFERROR(INDEX('Fix Cost'!$A:$AU,MATCH($C987,'Fix Cost'!$AU:$AU,0)*(1+'Fix Cost'!$N$5),14),"")</f>
        <v/>
      </c>
    </row>
    <row r="988" spans="2:10" ht="21.75">
      <c r="B988" s="3143" t="s">
        <v>3653</v>
      </c>
      <c r="C988" s="3143">
        <f t="shared" si="18"/>
        <v>19</v>
      </c>
      <c r="D988" s="3143" t="str">
        <f ca="1">IFERROR(INDEX('Fix Cost'!$A:$AU,MATCH($C988,'Fix Cost'!$AU:$AU,0),2),"")</f>
        <v/>
      </c>
      <c r="E988" s="3143" t="str">
        <f ca="1">IFERROR(INDEX('Fix Cost'!$A:$AU,MATCH($C988,'Fix Cost'!$AU:$AU,0),3),"")</f>
        <v/>
      </c>
      <c r="G988" s="3153" t="str">
        <f ca="1">IFERROR(INDEX('Fix Cost'!$A:$AU,MATCH($C988,'Fix Cost'!$AU:$AU,0),10),"")</f>
        <v/>
      </c>
      <c r="H988" s="3599"/>
      <c r="I988" s="3153" t="str">
        <f ca="1">IFERROR(INDEX('Fix Cost'!$A:$AU,MATCH($C988,'Fix Cost'!$AU:$AU,0),14),"")</f>
        <v/>
      </c>
      <c r="J988" s="3153" t="str">
        <f ca="1">IFERROR(INDEX('Fix Cost'!$A:$AU,MATCH($C988,'Fix Cost'!$AU:$AU,0)*(1+'Fix Cost'!$N$5),14),"")</f>
        <v/>
      </c>
    </row>
    <row r="989" spans="2:10" ht="21.75">
      <c r="B989" s="3143" t="s">
        <v>3653</v>
      </c>
      <c r="C989" s="3143">
        <f t="shared" si="18"/>
        <v>20</v>
      </c>
      <c r="D989" s="3143" t="str">
        <f ca="1">IFERROR(INDEX('Fix Cost'!$A:$AU,MATCH($C989,'Fix Cost'!$AU:$AU,0),2),"")</f>
        <v/>
      </c>
      <c r="E989" s="3143" t="str">
        <f ca="1">IFERROR(INDEX('Fix Cost'!$A:$AU,MATCH($C989,'Fix Cost'!$AU:$AU,0),3),"")</f>
        <v/>
      </c>
      <c r="G989" s="3153" t="str">
        <f ca="1">IFERROR(INDEX('Fix Cost'!$A:$AU,MATCH($C989,'Fix Cost'!$AU:$AU,0),10),"")</f>
        <v/>
      </c>
      <c r="H989" s="3599"/>
      <c r="I989" s="3153" t="str">
        <f ca="1">IFERROR(INDEX('Fix Cost'!$A:$AU,MATCH($C989,'Fix Cost'!$AU:$AU,0),14),"")</f>
        <v/>
      </c>
      <c r="J989" s="3153" t="str">
        <f ca="1">IFERROR(INDEX('Fix Cost'!$A:$AU,MATCH($C989,'Fix Cost'!$AU:$AU,0)*(1+'Fix Cost'!$N$5),14),"")</f>
        <v/>
      </c>
    </row>
    <row r="990" spans="2:10" ht="21.75">
      <c r="B990" s="3143" t="s">
        <v>3653</v>
      </c>
      <c r="C990" s="3143">
        <f t="shared" si="18"/>
        <v>21</v>
      </c>
      <c r="D990" s="3143" t="str">
        <f ca="1">IFERROR(INDEX('Fix Cost'!$A:$AU,MATCH($C990,'Fix Cost'!$AU:$AU,0),2),"")</f>
        <v/>
      </c>
      <c r="E990" s="3143" t="str">
        <f ca="1">IFERROR(INDEX('Fix Cost'!$A:$AU,MATCH($C990,'Fix Cost'!$AU:$AU,0),3),"")</f>
        <v/>
      </c>
      <c r="G990" s="3153" t="str">
        <f ca="1">IFERROR(INDEX('Fix Cost'!$A:$AU,MATCH($C990,'Fix Cost'!$AU:$AU,0),10),"")</f>
        <v/>
      </c>
      <c r="H990" s="3599"/>
      <c r="I990" s="3153" t="str">
        <f ca="1">IFERROR(INDEX('Fix Cost'!$A:$AU,MATCH($C990,'Fix Cost'!$AU:$AU,0),14),"")</f>
        <v/>
      </c>
      <c r="J990" s="3153" t="str">
        <f ca="1">IFERROR(INDEX('Fix Cost'!$A:$AU,MATCH($C990,'Fix Cost'!$AU:$AU,0)*(1+'Fix Cost'!$N$5),14),"")</f>
        <v/>
      </c>
    </row>
    <row r="991" spans="2:10" ht="21.75">
      <c r="B991" s="3143" t="s">
        <v>3653</v>
      </c>
      <c r="C991" s="3143">
        <f t="shared" si="18"/>
        <v>22</v>
      </c>
      <c r="D991" s="3143" t="str">
        <f ca="1">IFERROR(INDEX('Fix Cost'!$A:$AU,MATCH($C991,'Fix Cost'!$AU:$AU,0),2),"")</f>
        <v/>
      </c>
      <c r="E991" s="3143" t="str">
        <f ca="1">IFERROR(INDEX('Fix Cost'!$A:$AU,MATCH($C991,'Fix Cost'!$AU:$AU,0),3),"")</f>
        <v/>
      </c>
      <c r="G991" s="3153" t="str">
        <f ca="1">IFERROR(INDEX('Fix Cost'!$A:$AU,MATCH($C991,'Fix Cost'!$AU:$AU,0),10),"")</f>
        <v/>
      </c>
      <c r="H991" s="3599"/>
      <c r="I991" s="3153" t="str">
        <f ca="1">IFERROR(INDEX('Fix Cost'!$A:$AU,MATCH($C991,'Fix Cost'!$AU:$AU,0),14),"")</f>
        <v/>
      </c>
      <c r="J991" s="3153" t="str">
        <f ca="1">IFERROR(INDEX('Fix Cost'!$A:$AU,MATCH($C991,'Fix Cost'!$AU:$AU,0)*(1+'Fix Cost'!$N$5),14),"")</f>
        <v/>
      </c>
    </row>
    <row r="992" spans="2:10" ht="21.75">
      <c r="B992" s="3143" t="s">
        <v>3653</v>
      </c>
      <c r="C992" s="3143">
        <f t="shared" si="18"/>
        <v>23</v>
      </c>
      <c r="D992" s="3143" t="str">
        <f ca="1">IFERROR(INDEX('Fix Cost'!$A:$AU,MATCH($C992,'Fix Cost'!$AU:$AU,0),2),"")</f>
        <v/>
      </c>
      <c r="E992" s="3143" t="str">
        <f ca="1">IFERROR(INDEX('Fix Cost'!$A:$AU,MATCH($C992,'Fix Cost'!$AU:$AU,0),3),"")</f>
        <v/>
      </c>
      <c r="G992" s="3153" t="str">
        <f ca="1">IFERROR(INDEX('Fix Cost'!$A:$AU,MATCH($C992,'Fix Cost'!$AU:$AU,0),10),"")</f>
        <v/>
      </c>
      <c r="H992" s="3599"/>
      <c r="I992" s="3153" t="str">
        <f ca="1">IFERROR(INDEX('Fix Cost'!$A:$AU,MATCH($C992,'Fix Cost'!$AU:$AU,0),14),"")</f>
        <v/>
      </c>
      <c r="J992" s="3153" t="str">
        <f ca="1">IFERROR(INDEX('Fix Cost'!$A:$AU,MATCH($C992,'Fix Cost'!$AU:$AU,0)*(1+'Fix Cost'!$N$5),14),"")</f>
        <v/>
      </c>
    </row>
    <row r="993" spans="2:10" ht="21.75">
      <c r="B993" s="3143" t="s">
        <v>3653</v>
      </c>
      <c r="C993" s="3143">
        <f t="shared" si="18"/>
        <v>24</v>
      </c>
      <c r="D993" s="3143" t="str">
        <f ca="1">IFERROR(INDEX('Fix Cost'!$A:$AU,MATCH($C993,'Fix Cost'!$AU:$AU,0),2),"")</f>
        <v/>
      </c>
      <c r="E993" s="3143" t="str">
        <f ca="1">IFERROR(INDEX('Fix Cost'!$A:$AU,MATCH($C993,'Fix Cost'!$AU:$AU,0),3),"")</f>
        <v/>
      </c>
      <c r="G993" s="3153" t="str">
        <f ca="1">IFERROR(INDEX('Fix Cost'!$A:$AU,MATCH($C993,'Fix Cost'!$AU:$AU,0),10),"")</f>
        <v/>
      </c>
      <c r="H993" s="3599"/>
      <c r="I993" s="3153" t="str">
        <f ca="1">IFERROR(INDEX('Fix Cost'!$A:$AU,MATCH($C993,'Fix Cost'!$AU:$AU,0),14),"")</f>
        <v/>
      </c>
      <c r="J993" s="3153" t="str">
        <f ca="1">IFERROR(INDEX('Fix Cost'!$A:$AU,MATCH($C993,'Fix Cost'!$AU:$AU,0)*(1+'Fix Cost'!$N$5),14),"")</f>
        <v/>
      </c>
    </row>
    <row r="994" spans="2:10" ht="21.75">
      <c r="B994" s="3143" t="s">
        <v>3653</v>
      </c>
      <c r="C994" s="3143">
        <f t="shared" si="18"/>
        <v>25</v>
      </c>
      <c r="D994" s="3143" t="str">
        <f ca="1">IFERROR(INDEX('Fix Cost'!$A:$AU,MATCH($C994,'Fix Cost'!$AU:$AU,0),2),"")</f>
        <v/>
      </c>
      <c r="E994" s="3143" t="str">
        <f ca="1">IFERROR(INDEX('Fix Cost'!$A:$AU,MATCH($C994,'Fix Cost'!$AU:$AU,0),3),"")</f>
        <v/>
      </c>
      <c r="G994" s="3153" t="str">
        <f ca="1">IFERROR(INDEX('Fix Cost'!$A:$AU,MATCH($C994,'Fix Cost'!$AU:$AU,0),10),"")</f>
        <v/>
      </c>
      <c r="H994" s="3599"/>
      <c r="I994" s="3153" t="str">
        <f ca="1">IFERROR(INDEX('Fix Cost'!$A:$AU,MATCH($C994,'Fix Cost'!$AU:$AU,0),14),"")</f>
        <v/>
      </c>
      <c r="J994" s="3153" t="str">
        <f ca="1">IFERROR(INDEX('Fix Cost'!$A:$AU,MATCH($C994,'Fix Cost'!$AU:$AU,0)*(1+'Fix Cost'!$N$5),14),"")</f>
        <v/>
      </c>
    </row>
    <row r="995" spans="2:10" ht="21.75">
      <c r="B995" s="3143" t="s">
        <v>3653</v>
      </c>
      <c r="C995" s="3143">
        <f t="shared" si="18"/>
        <v>26</v>
      </c>
      <c r="D995" s="3143" t="str">
        <f ca="1">IFERROR(INDEX('Fix Cost'!$A:$AU,MATCH($C995,'Fix Cost'!$AU:$AU,0),2),"")</f>
        <v/>
      </c>
      <c r="E995" s="3143" t="str">
        <f ca="1">IFERROR(INDEX('Fix Cost'!$A:$AU,MATCH($C995,'Fix Cost'!$AU:$AU,0),3),"")</f>
        <v/>
      </c>
      <c r="G995" s="3153" t="str">
        <f ca="1">IFERROR(INDEX('Fix Cost'!$A:$AU,MATCH($C995,'Fix Cost'!$AU:$AU,0),10),"")</f>
        <v/>
      </c>
      <c r="H995" s="3599"/>
      <c r="I995" s="3153" t="str">
        <f ca="1">IFERROR(INDEX('Fix Cost'!$A:$AU,MATCH($C995,'Fix Cost'!$AU:$AU,0),14),"")</f>
        <v/>
      </c>
      <c r="J995" s="3153" t="str">
        <f ca="1">IFERROR(INDEX('Fix Cost'!$A:$AU,MATCH($C995,'Fix Cost'!$AU:$AU,0)*(1+'Fix Cost'!$N$5),14),"")</f>
        <v/>
      </c>
    </row>
    <row r="996" spans="2:10" ht="21.75">
      <c r="B996" s="3143" t="s">
        <v>3653</v>
      </c>
      <c r="C996" s="3143">
        <f t="shared" si="18"/>
        <v>27</v>
      </c>
      <c r="D996" s="3143" t="str">
        <f ca="1">IFERROR(INDEX('Fix Cost'!$A:$AU,MATCH($C996,'Fix Cost'!$AU:$AU,0),2),"")</f>
        <v/>
      </c>
      <c r="E996" s="3143" t="str">
        <f ca="1">IFERROR(INDEX('Fix Cost'!$A:$AU,MATCH($C996,'Fix Cost'!$AU:$AU,0),3),"")</f>
        <v/>
      </c>
      <c r="G996" s="3153" t="str">
        <f ca="1">IFERROR(INDEX('Fix Cost'!$A:$AU,MATCH($C996,'Fix Cost'!$AU:$AU,0),10),"")</f>
        <v/>
      </c>
      <c r="H996" s="3599"/>
      <c r="I996" s="3153" t="str">
        <f ca="1">IFERROR(INDEX('Fix Cost'!$A:$AU,MATCH($C996,'Fix Cost'!$AU:$AU,0),14),"")</f>
        <v/>
      </c>
      <c r="J996" s="3153" t="str">
        <f ca="1">IFERROR(INDEX('Fix Cost'!$A:$AU,MATCH($C996,'Fix Cost'!$AU:$AU,0)*(1+'Fix Cost'!$N$5),14),"")</f>
        <v/>
      </c>
    </row>
    <row r="997" spans="2:10" ht="21.75">
      <c r="B997" s="3143" t="s">
        <v>3653</v>
      </c>
      <c r="C997" s="3143">
        <f t="shared" si="18"/>
        <v>28</v>
      </c>
      <c r="D997" s="3143" t="str">
        <f ca="1">IFERROR(INDEX('Fix Cost'!$A:$AU,MATCH($C997,'Fix Cost'!$AU:$AU,0),2),"")</f>
        <v/>
      </c>
      <c r="E997" s="3143" t="str">
        <f ca="1">IFERROR(INDEX('Fix Cost'!$A:$AU,MATCH($C997,'Fix Cost'!$AU:$AU,0),3),"")</f>
        <v/>
      </c>
      <c r="G997" s="3153" t="str">
        <f ca="1">IFERROR(INDEX('Fix Cost'!$A:$AU,MATCH($C997,'Fix Cost'!$AU:$AU,0),10),"")</f>
        <v/>
      </c>
      <c r="H997" s="3599"/>
      <c r="I997" s="3153" t="str">
        <f ca="1">IFERROR(INDEX('Fix Cost'!$A:$AU,MATCH($C997,'Fix Cost'!$AU:$AU,0),14),"")</f>
        <v/>
      </c>
      <c r="J997" s="3153" t="str">
        <f ca="1">IFERROR(INDEX('Fix Cost'!$A:$AU,MATCH($C997,'Fix Cost'!$AU:$AU,0)*(1+'Fix Cost'!$N$5),14),"")</f>
        <v/>
      </c>
    </row>
    <row r="998" spans="2:10" ht="21.75">
      <c r="B998" s="3143" t="s">
        <v>3653</v>
      </c>
      <c r="C998" s="3143">
        <f t="shared" si="18"/>
        <v>29</v>
      </c>
      <c r="D998" s="3143" t="str">
        <f ca="1">IFERROR(INDEX('Fix Cost'!$A:$AU,MATCH($C998,'Fix Cost'!$AU:$AU,0),2),"")</f>
        <v/>
      </c>
      <c r="E998" s="3143" t="str">
        <f ca="1">IFERROR(INDEX('Fix Cost'!$A:$AU,MATCH($C998,'Fix Cost'!$AU:$AU,0),3),"")</f>
        <v/>
      </c>
      <c r="G998" s="3153" t="str">
        <f ca="1">IFERROR(INDEX('Fix Cost'!$A:$AU,MATCH($C998,'Fix Cost'!$AU:$AU,0),10),"")</f>
        <v/>
      </c>
      <c r="H998" s="3599"/>
      <c r="I998" s="3153" t="str">
        <f ca="1">IFERROR(INDEX('Fix Cost'!$A:$AU,MATCH($C998,'Fix Cost'!$AU:$AU,0),14),"")</f>
        <v/>
      </c>
      <c r="J998" s="3153" t="str">
        <f ca="1">IFERROR(INDEX('Fix Cost'!$A:$AU,MATCH($C998,'Fix Cost'!$AU:$AU,0)*(1+'Fix Cost'!$N$5),14),"")</f>
        <v/>
      </c>
    </row>
    <row r="999" spans="2:10" ht="21.75">
      <c r="B999" s="3143" t="s">
        <v>3653</v>
      </c>
      <c r="C999" s="3143">
        <f t="shared" si="18"/>
        <v>30</v>
      </c>
      <c r="D999" s="3143" t="str">
        <f ca="1">IFERROR(INDEX('Fix Cost'!$A:$AU,MATCH($C999,'Fix Cost'!$AU:$AU,0),2),"")</f>
        <v/>
      </c>
      <c r="E999" s="3143" t="str">
        <f ca="1">IFERROR(INDEX('Fix Cost'!$A:$AU,MATCH($C999,'Fix Cost'!$AU:$AU,0),3),"")</f>
        <v/>
      </c>
      <c r="G999" s="3153" t="str">
        <f ca="1">IFERROR(INDEX('Fix Cost'!$A:$AU,MATCH($C999,'Fix Cost'!$AU:$AU,0),10),"")</f>
        <v/>
      </c>
      <c r="H999" s="3599"/>
      <c r="I999" s="3153" t="str">
        <f ca="1">IFERROR(INDEX('Fix Cost'!$A:$AU,MATCH($C999,'Fix Cost'!$AU:$AU,0),14),"")</f>
        <v/>
      </c>
      <c r="J999" s="3153" t="str">
        <f ca="1">IFERROR(INDEX('Fix Cost'!$A:$AU,MATCH($C999,'Fix Cost'!$AU:$AU,0)*(1+'Fix Cost'!$N$5),14),"")</f>
        <v/>
      </c>
    </row>
    <row r="1000" spans="2:10" ht="21.75">
      <c r="B1000" s="3143" t="s">
        <v>3653</v>
      </c>
      <c r="C1000" s="3143">
        <f t="shared" si="18"/>
        <v>31</v>
      </c>
      <c r="D1000" s="3143" t="str">
        <f ca="1">IFERROR(INDEX('Fix Cost'!$A:$AU,MATCH($C1000,'Fix Cost'!$AU:$AU,0),2),"")</f>
        <v/>
      </c>
      <c r="E1000" s="3143" t="str">
        <f ca="1">IFERROR(INDEX('Fix Cost'!$A:$AU,MATCH($C1000,'Fix Cost'!$AU:$AU,0),3),"")</f>
        <v/>
      </c>
      <c r="G1000" s="3153" t="str">
        <f ca="1">IFERROR(INDEX('Fix Cost'!$A:$AU,MATCH($C1000,'Fix Cost'!$AU:$AU,0),10),"")</f>
        <v/>
      </c>
      <c r="H1000" s="3599"/>
      <c r="I1000" s="3153" t="str">
        <f ca="1">IFERROR(INDEX('Fix Cost'!$A:$AU,MATCH($C1000,'Fix Cost'!$AU:$AU,0),14),"")</f>
        <v/>
      </c>
      <c r="J1000" s="3153" t="str">
        <f ca="1">IFERROR(INDEX('Fix Cost'!$A:$AU,MATCH($C1000,'Fix Cost'!$AU:$AU,0)*(1+'Fix Cost'!$N$5),14),"")</f>
        <v/>
      </c>
    </row>
    <row r="1001" spans="2:10" ht="21.75">
      <c r="B1001" s="3143" t="s">
        <v>3653</v>
      </c>
      <c r="C1001" s="3143">
        <f t="shared" si="18"/>
        <v>32</v>
      </c>
      <c r="D1001" s="3143" t="str">
        <f ca="1">IFERROR(INDEX('Fix Cost'!$A:$AU,MATCH($C1001,'Fix Cost'!$AU:$AU,0),2),"")</f>
        <v/>
      </c>
      <c r="E1001" s="3143" t="str">
        <f ca="1">IFERROR(INDEX('Fix Cost'!$A:$AU,MATCH($C1001,'Fix Cost'!$AU:$AU,0),3),"")</f>
        <v/>
      </c>
      <c r="G1001" s="3153" t="str">
        <f ca="1">IFERROR(INDEX('Fix Cost'!$A:$AU,MATCH($C1001,'Fix Cost'!$AU:$AU,0),10),"")</f>
        <v/>
      </c>
      <c r="H1001" s="3599"/>
      <c r="I1001" s="3153" t="str">
        <f ca="1">IFERROR(INDEX('Fix Cost'!$A:$AU,MATCH($C1001,'Fix Cost'!$AU:$AU,0),14),"")</f>
        <v/>
      </c>
      <c r="J1001" s="3153" t="str">
        <f ca="1">IFERROR(INDEX('Fix Cost'!$A:$AU,MATCH($C1001,'Fix Cost'!$AU:$AU,0)*(1+'Fix Cost'!$N$5),14),"")</f>
        <v/>
      </c>
    </row>
    <row r="1002" spans="2:10" ht="21.75">
      <c r="B1002" s="3143" t="s">
        <v>3653</v>
      </c>
      <c r="C1002" s="3143">
        <f t="shared" si="18"/>
        <v>33</v>
      </c>
      <c r="D1002" s="3143" t="str">
        <f ca="1">IFERROR(INDEX('Fix Cost'!$A:$AU,MATCH($C1002,'Fix Cost'!$AU:$AU,0),2),"")</f>
        <v/>
      </c>
      <c r="E1002" s="3143" t="str">
        <f ca="1">IFERROR(INDEX('Fix Cost'!$A:$AU,MATCH($C1002,'Fix Cost'!$AU:$AU,0),3),"")</f>
        <v/>
      </c>
      <c r="G1002" s="3153" t="str">
        <f ca="1">IFERROR(INDEX('Fix Cost'!$A:$AU,MATCH($C1002,'Fix Cost'!$AU:$AU,0),10),"")</f>
        <v/>
      </c>
      <c r="H1002" s="3599"/>
      <c r="I1002" s="3153" t="str">
        <f ca="1">IFERROR(INDEX('Fix Cost'!$A:$AU,MATCH($C1002,'Fix Cost'!$AU:$AU,0),14),"")</f>
        <v/>
      </c>
      <c r="J1002" s="3153" t="str">
        <f ca="1">IFERROR(INDEX('Fix Cost'!$A:$AU,MATCH($C1002,'Fix Cost'!$AU:$AU,0)*(1+'Fix Cost'!$N$5),14),"")</f>
        <v/>
      </c>
    </row>
    <row r="1003" spans="2:10" ht="21.75">
      <c r="B1003" s="3143" t="s">
        <v>3653</v>
      </c>
      <c r="C1003" s="3143">
        <f t="shared" si="18"/>
        <v>34</v>
      </c>
      <c r="D1003" s="3143" t="str">
        <f ca="1">IFERROR(INDEX('Fix Cost'!$A:$AU,MATCH($C1003,'Fix Cost'!$AU:$AU,0),2),"")</f>
        <v/>
      </c>
      <c r="E1003" s="3143" t="str">
        <f ca="1">IFERROR(INDEX('Fix Cost'!$A:$AU,MATCH($C1003,'Fix Cost'!$AU:$AU,0),3),"")</f>
        <v/>
      </c>
      <c r="G1003" s="3153" t="str">
        <f ca="1">IFERROR(INDEX('Fix Cost'!$A:$AU,MATCH($C1003,'Fix Cost'!$AU:$AU,0),10),"")</f>
        <v/>
      </c>
      <c r="H1003" s="3599"/>
      <c r="I1003" s="3153" t="str">
        <f ca="1">IFERROR(INDEX('Fix Cost'!$A:$AU,MATCH($C1003,'Fix Cost'!$AU:$AU,0),14),"")</f>
        <v/>
      </c>
      <c r="J1003" s="3153" t="str">
        <f ca="1">IFERROR(INDEX('Fix Cost'!$A:$AU,MATCH($C1003,'Fix Cost'!$AU:$AU,0)*(1+'Fix Cost'!$N$5),14),"")</f>
        <v/>
      </c>
    </row>
    <row r="1004" spans="2:10" ht="21.75">
      <c r="B1004" s="3143" t="s">
        <v>3653</v>
      </c>
      <c r="C1004" s="3143">
        <f t="shared" si="18"/>
        <v>35</v>
      </c>
      <c r="D1004" s="3143" t="str">
        <f ca="1">IFERROR(INDEX('Fix Cost'!$A:$AU,MATCH($C1004,'Fix Cost'!$AU:$AU,0),2),"")</f>
        <v/>
      </c>
      <c r="E1004" s="3143" t="str">
        <f ca="1">IFERROR(INDEX('Fix Cost'!$A:$AU,MATCH($C1004,'Fix Cost'!$AU:$AU,0),3),"")</f>
        <v/>
      </c>
      <c r="G1004" s="3153" t="str">
        <f ca="1">IFERROR(INDEX('Fix Cost'!$A:$AU,MATCH($C1004,'Fix Cost'!$AU:$AU,0),10),"")</f>
        <v/>
      </c>
      <c r="H1004" s="3599"/>
      <c r="I1004" s="3153" t="str">
        <f ca="1">IFERROR(INDEX('Fix Cost'!$A:$AU,MATCH($C1004,'Fix Cost'!$AU:$AU,0),14),"")</f>
        <v/>
      </c>
      <c r="J1004" s="3153" t="str">
        <f ca="1">IFERROR(INDEX('Fix Cost'!$A:$AU,MATCH($C1004,'Fix Cost'!$AU:$AU,0)*(1+'Fix Cost'!$N$5),14),"")</f>
        <v/>
      </c>
    </row>
    <row r="1005" spans="2:10" ht="21.75">
      <c r="B1005" s="3143" t="s">
        <v>3653</v>
      </c>
      <c r="C1005" s="3143">
        <f t="shared" si="18"/>
        <v>36</v>
      </c>
      <c r="D1005" s="3143" t="str">
        <f ca="1">IFERROR(INDEX('Fix Cost'!$A:$AU,MATCH($C1005,'Fix Cost'!$AU:$AU,0),2),"")</f>
        <v/>
      </c>
      <c r="E1005" s="3143" t="str">
        <f ca="1">IFERROR(INDEX('Fix Cost'!$A:$AU,MATCH($C1005,'Fix Cost'!$AU:$AU,0),3),"")</f>
        <v/>
      </c>
      <c r="G1005" s="3153" t="str">
        <f ca="1">IFERROR(INDEX('Fix Cost'!$A:$AU,MATCH($C1005,'Fix Cost'!$AU:$AU,0),10),"")</f>
        <v/>
      </c>
      <c r="H1005" s="3599"/>
      <c r="I1005" s="3153" t="str">
        <f ca="1">IFERROR(INDEX('Fix Cost'!$A:$AU,MATCH($C1005,'Fix Cost'!$AU:$AU,0),14),"")</f>
        <v/>
      </c>
      <c r="J1005" s="3153" t="str">
        <f ca="1">IFERROR(INDEX('Fix Cost'!$A:$AU,MATCH($C1005,'Fix Cost'!$AU:$AU,0)*(1+'Fix Cost'!$N$5),14),"")</f>
        <v/>
      </c>
    </row>
    <row r="1006" spans="2:10" ht="21.75">
      <c r="B1006" s="3143" t="s">
        <v>3653</v>
      </c>
      <c r="C1006" s="3143">
        <f t="shared" si="18"/>
        <v>37</v>
      </c>
      <c r="D1006" s="3143" t="str">
        <f ca="1">IFERROR(INDEX('Fix Cost'!$A:$AU,MATCH($C1006,'Fix Cost'!$AU:$AU,0),2),"")</f>
        <v/>
      </c>
      <c r="E1006" s="3143" t="str">
        <f ca="1">IFERROR(INDEX('Fix Cost'!$A:$AU,MATCH($C1006,'Fix Cost'!$AU:$AU,0),3),"")</f>
        <v/>
      </c>
      <c r="G1006" s="3153" t="str">
        <f ca="1">IFERROR(INDEX('Fix Cost'!$A:$AU,MATCH($C1006,'Fix Cost'!$AU:$AU,0),10),"")</f>
        <v/>
      </c>
      <c r="H1006" s="3599"/>
      <c r="I1006" s="3153" t="str">
        <f ca="1">IFERROR(INDEX('Fix Cost'!$A:$AU,MATCH($C1006,'Fix Cost'!$AU:$AU,0),14),"")</f>
        <v/>
      </c>
      <c r="J1006" s="3153" t="str">
        <f ca="1">IFERROR(INDEX('Fix Cost'!$A:$AU,MATCH($C1006,'Fix Cost'!$AU:$AU,0)*(1+'Fix Cost'!$N$5),14),"")</f>
        <v/>
      </c>
    </row>
    <row r="1007" spans="2:10" ht="21.75">
      <c r="B1007" s="3143" t="s">
        <v>3653</v>
      </c>
      <c r="C1007" s="3143">
        <f t="shared" si="18"/>
        <v>38</v>
      </c>
      <c r="D1007" s="3143" t="str">
        <f ca="1">IFERROR(INDEX('Fix Cost'!$A:$AU,MATCH($C1007,'Fix Cost'!$AU:$AU,0),2),"")</f>
        <v/>
      </c>
      <c r="E1007" s="3143" t="str">
        <f ca="1">IFERROR(INDEX('Fix Cost'!$A:$AU,MATCH($C1007,'Fix Cost'!$AU:$AU,0),3),"")</f>
        <v/>
      </c>
      <c r="G1007" s="3153" t="str">
        <f ca="1">IFERROR(INDEX('Fix Cost'!$A:$AU,MATCH($C1007,'Fix Cost'!$AU:$AU,0),10),"")</f>
        <v/>
      </c>
      <c r="H1007" s="3599"/>
      <c r="I1007" s="3153" t="str">
        <f ca="1">IFERROR(INDEX('Fix Cost'!$A:$AU,MATCH($C1007,'Fix Cost'!$AU:$AU,0),14),"")</f>
        <v/>
      </c>
      <c r="J1007" s="3153" t="str">
        <f ca="1">IFERROR(INDEX('Fix Cost'!$A:$AU,MATCH($C1007,'Fix Cost'!$AU:$AU,0)*(1+'Fix Cost'!$N$5),14),"")</f>
        <v/>
      </c>
    </row>
    <row r="1008" spans="2:10" ht="21.75">
      <c r="B1008" s="3143" t="s">
        <v>3653</v>
      </c>
      <c r="C1008" s="3143">
        <f t="shared" si="18"/>
        <v>39</v>
      </c>
      <c r="D1008" s="3143" t="str">
        <f ca="1">IFERROR(INDEX('Fix Cost'!$A:$AU,MATCH($C1008,'Fix Cost'!$AU:$AU,0),2),"")</f>
        <v/>
      </c>
      <c r="E1008" s="3143" t="str">
        <f ca="1">IFERROR(INDEX('Fix Cost'!$A:$AU,MATCH($C1008,'Fix Cost'!$AU:$AU,0),3),"")</f>
        <v/>
      </c>
      <c r="G1008" s="3153" t="str">
        <f ca="1">IFERROR(INDEX('Fix Cost'!$A:$AU,MATCH($C1008,'Fix Cost'!$AU:$AU,0),10),"")</f>
        <v/>
      </c>
      <c r="H1008" s="3599"/>
      <c r="I1008" s="3153" t="str">
        <f ca="1">IFERROR(INDEX('Fix Cost'!$A:$AU,MATCH($C1008,'Fix Cost'!$AU:$AU,0),14),"")</f>
        <v/>
      </c>
      <c r="J1008" s="3153" t="str">
        <f ca="1">IFERROR(INDEX('Fix Cost'!$A:$AU,MATCH($C1008,'Fix Cost'!$AU:$AU,0)*(1+'Fix Cost'!$N$5),14),"")</f>
        <v/>
      </c>
    </row>
    <row r="1009" spans="2:10" ht="21.75">
      <c r="B1009" s="3143" t="s">
        <v>3653</v>
      </c>
      <c r="C1009" s="3143">
        <f t="shared" si="18"/>
        <v>40</v>
      </c>
      <c r="D1009" s="3143" t="str">
        <f ca="1">IFERROR(INDEX('Fix Cost'!$A:$AU,MATCH($C1009,'Fix Cost'!$AU:$AU,0),2),"")</f>
        <v/>
      </c>
      <c r="E1009" s="3143" t="str">
        <f ca="1">IFERROR(INDEX('Fix Cost'!$A:$AU,MATCH($C1009,'Fix Cost'!$AU:$AU,0),3),"")</f>
        <v/>
      </c>
      <c r="G1009" s="3153" t="str">
        <f ca="1">IFERROR(INDEX('Fix Cost'!$A:$AU,MATCH($C1009,'Fix Cost'!$AU:$AU,0),10),"")</f>
        <v/>
      </c>
      <c r="H1009" s="3599"/>
      <c r="I1009" s="3153" t="str">
        <f ca="1">IFERROR(INDEX('Fix Cost'!$A:$AU,MATCH($C1009,'Fix Cost'!$AU:$AU,0),14),"")</f>
        <v/>
      </c>
      <c r="J1009" s="3153" t="str">
        <f ca="1">IFERROR(INDEX('Fix Cost'!$A:$AU,MATCH($C1009,'Fix Cost'!$AU:$AU,0)*(1+'Fix Cost'!$N$5),14),"")</f>
        <v/>
      </c>
    </row>
    <row r="1010" spans="2:10" ht="21.75">
      <c r="B1010" s="3143" t="s">
        <v>3653</v>
      </c>
      <c r="C1010" s="3143">
        <f t="shared" si="18"/>
        <v>41</v>
      </c>
      <c r="D1010" s="3143" t="str">
        <f ca="1">IFERROR(INDEX('Fix Cost'!$A:$AU,MATCH($C1010,'Fix Cost'!$AU:$AU,0),2),"")</f>
        <v/>
      </c>
      <c r="E1010" s="3143" t="str">
        <f ca="1">IFERROR(INDEX('Fix Cost'!$A:$AU,MATCH($C1010,'Fix Cost'!$AU:$AU,0),3),"")</f>
        <v/>
      </c>
      <c r="G1010" s="3153" t="str">
        <f ca="1">IFERROR(INDEX('Fix Cost'!$A:$AU,MATCH($C1010,'Fix Cost'!$AU:$AU,0),10),"")</f>
        <v/>
      </c>
      <c r="H1010" s="3599"/>
      <c r="I1010" s="3153" t="str">
        <f ca="1">IFERROR(INDEX('Fix Cost'!$A:$AU,MATCH($C1010,'Fix Cost'!$AU:$AU,0),14),"")</f>
        <v/>
      </c>
      <c r="J1010" s="3153" t="str">
        <f ca="1">IFERROR(INDEX('Fix Cost'!$A:$AU,MATCH($C1010,'Fix Cost'!$AU:$AU,0)*(1+'Fix Cost'!$N$5),14),"")</f>
        <v/>
      </c>
    </row>
    <row r="1011" spans="2:10" ht="21.75">
      <c r="B1011" s="3143" t="s">
        <v>3653</v>
      </c>
      <c r="C1011" s="3143">
        <f t="shared" si="18"/>
        <v>42</v>
      </c>
      <c r="D1011" s="3143" t="str">
        <f ca="1">IFERROR(INDEX('Fix Cost'!$A:$AU,MATCH($C1011,'Fix Cost'!$AU:$AU,0),2),"")</f>
        <v/>
      </c>
      <c r="E1011" s="3143" t="str">
        <f ca="1">IFERROR(INDEX('Fix Cost'!$A:$AU,MATCH($C1011,'Fix Cost'!$AU:$AU,0),3),"")</f>
        <v/>
      </c>
      <c r="G1011" s="3153" t="str">
        <f ca="1">IFERROR(INDEX('Fix Cost'!$A:$AU,MATCH($C1011,'Fix Cost'!$AU:$AU,0),10),"")</f>
        <v/>
      </c>
      <c r="H1011" s="3599"/>
      <c r="I1011" s="3153" t="str">
        <f ca="1">IFERROR(INDEX('Fix Cost'!$A:$AU,MATCH($C1011,'Fix Cost'!$AU:$AU,0),14),"")</f>
        <v/>
      </c>
      <c r="J1011" s="3153" t="str">
        <f ca="1">IFERROR(INDEX('Fix Cost'!$A:$AU,MATCH($C1011,'Fix Cost'!$AU:$AU,0)*(1+'Fix Cost'!$N$5),14),"")</f>
        <v/>
      </c>
    </row>
    <row r="1012" spans="2:10" ht="21.75">
      <c r="B1012" s="3143" t="s">
        <v>3653</v>
      </c>
      <c r="C1012" s="3143">
        <f t="shared" si="18"/>
        <v>43</v>
      </c>
      <c r="D1012" s="3143" t="str">
        <f ca="1">IFERROR(INDEX('Fix Cost'!$A:$AU,MATCH($C1012,'Fix Cost'!$AU:$AU,0),2),"")</f>
        <v/>
      </c>
      <c r="E1012" s="3143" t="str">
        <f ca="1">IFERROR(INDEX('Fix Cost'!$A:$AU,MATCH($C1012,'Fix Cost'!$AU:$AU,0),3),"")</f>
        <v/>
      </c>
      <c r="G1012" s="3153" t="str">
        <f ca="1">IFERROR(INDEX('Fix Cost'!$A:$AU,MATCH($C1012,'Fix Cost'!$AU:$AU,0),10),"")</f>
        <v/>
      </c>
      <c r="H1012" s="3599"/>
      <c r="I1012" s="3153" t="str">
        <f ca="1">IFERROR(INDEX('Fix Cost'!$A:$AU,MATCH($C1012,'Fix Cost'!$AU:$AU,0),14),"")</f>
        <v/>
      </c>
      <c r="J1012" s="3153" t="str">
        <f ca="1">IFERROR(INDEX('Fix Cost'!$A:$AU,MATCH($C1012,'Fix Cost'!$AU:$AU,0)*(1+'Fix Cost'!$N$5),14),"")</f>
        <v/>
      </c>
    </row>
    <row r="1013" spans="2:10" ht="21.75">
      <c r="B1013" s="3143" t="s">
        <v>3653</v>
      </c>
      <c r="C1013" s="3143">
        <f t="shared" si="18"/>
        <v>44</v>
      </c>
      <c r="D1013" s="3143" t="str">
        <f ca="1">IFERROR(INDEX('Fix Cost'!$A:$AU,MATCH($C1013,'Fix Cost'!$AU:$AU,0),2),"")</f>
        <v/>
      </c>
      <c r="E1013" s="3143" t="str">
        <f ca="1">IFERROR(INDEX('Fix Cost'!$A:$AU,MATCH($C1013,'Fix Cost'!$AU:$AU,0),3),"")</f>
        <v/>
      </c>
      <c r="G1013" s="3153" t="str">
        <f ca="1">IFERROR(INDEX('Fix Cost'!$A:$AU,MATCH($C1013,'Fix Cost'!$AU:$AU,0),10),"")</f>
        <v/>
      </c>
      <c r="H1013" s="3599"/>
      <c r="I1013" s="3153" t="str">
        <f ca="1">IFERROR(INDEX('Fix Cost'!$A:$AU,MATCH($C1013,'Fix Cost'!$AU:$AU,0),14),"")</f>
        <v/>
      </c>
      <c r="J1013" s="3153" t="str">
        <f ca="1">IFERROR(INDEX('Fix Cost'!$A:$AU,MATCH($C1013,'Fix Cost'!$AU:$AU,0)*(1+'Fix Cost'!$N$5),14),"")</f>
        <v/>
      </c>
    </row>
    <row r="1014" spans="2:10" ht="21.75">
      <c r="B1014" s="3143" t="s">
        <v>3653</v>
      </c>
      <c r="C1014" s="3143">
        <f t="shared" si="18"/>
        <v>45</v>
      </c>
      <c r="D1014" s="3143" t="str">
        <f ca="1">IFERROR(INDEX('Fix Cost'!$A:$AU,MATCH($C1014,'Fix Cost'!$AU:$AU,0),2),"")</f>
        <v/>
      </c>
      <c r="E1014" s="3143" t="str">
        <f ca="1">IFERROR(INDEX('Fix Cost'!$A:$AU,MATCH($C1014,'Fix Cost'!$AU:$AU,0),3),"")</f>
        <v/>
      </c>
      <c r="G1014" s="3153" t="str">
        <f ca="1">IFERROR(INDEX('Fix Cost'!$A:$AU,MATCH($C1014,'Fix Cost'!$AU:$AU,0),10),"")</f>
        <v/>
      </c>
      <c r="H1014" s="3599"/>
      <c r="I1014" s="3153" t="str">
        <f ca="1">IFERROR(INDEX('Fix Cost'!$A:$AU,MATCH($C1014,'Fix Cost'!$AU:$AU,0),14),"")</f>
        <v/>
      </c>
      <c r="J1014" s="3153" t="str">
        <f ca="1">IFERROR(INDEX('Fix Cost'!$A:$AU,MATCH($C1014,'Fix Cost'!$AU:$AU,0)*(1+'Fix Cost'!$N$5),14),"")</f>
        <v/>
      </c>
    </row>
    <row r="1015" spans="2:10" ht="21.75">
      <c r="B1015" s="3143" t="s">
        <v>3653</v>
      </c>
      <c r="C1015" s="3143">
        <f t="shared" si="18"/>
        <v>46</v>
      </c>
      <c r="D1015" s="3143" t="str">
        <f ca="1">IFERROR(INDEX('Fix Cost'!$A:$AU,MATCH($C1015,'Fix Cost'!$AU:$AU,0),2),"")</f>
        <v/>
      </c>
      <c r="E1015" s="3143" t="str">
        <f ca="1">IFERROR(INDEX('Fix Cost'!$A:$AU,MATCH($C1015,'Fix Cost'!$AU:$AU,0),3),"")</f>
        <v/>
      </c>
      <c r="G1015" s="3153" t="str">
        <f ca="1">IFERROR(INDEX('Fix Cost'!$A:$AU,MATCH($C1015,'Fix Cost'!$AU:$AU,0),10),"")</f>
        <v/>
      </c>
      <c r="H1015" s="3599"/>
      <c r="I1015" s="3153" t="str">
        <f ca="1">IFERROR(INDEX('Fix Cost'!$A:$AU,MATCH($C1015,'Fix Cost'!$AU:$AU,0),14),"")</f>
        <v/>
      </c>
      <c r="J1015" s="3153" t="str">
        <f ca="1">IFERROR(INDEX('Fix Cost'!$A:$AU,MATCH($C1015,'Fix Cost'!$AU:$AU,0)*(1+'Fix Cost'!$N$5),14),"")</f>
        <v/>
      </c>
    </row>
    <row r="1016" spans="2:10" ht="21.75">
      <c r="B1016" s="3143" t="s">
        <v>3653</v>
      </c>
      <c r="C1016" s="3143">
        <f t="shared" si="18"/>
        <v>47</v>
      </c>
      <c r="D1016" s="3143" t="str">
        <f ca="1">IFERROR(INDEX('Fix Cost'!$A:$AU,MATCH($C1016,'Fix Cost'!$AU:$AU,0),2),"")</f>
        <v/>
      </c>
      <c r="E1016" s="3143" t="str">
        <f ca="1">IFERROR(INDEX('Fix Cost'!$A:$AU,MATCH($C1016,'Fix Cost'!$AU:$AU,0),3),"")</f>
        <v/>
      </c>
      <c r="G1016" s="3153" t="str">
        <f ca="1">IFERROR(INDEX('Fix Cost'!$A:$AU,MATCH($C1016,'Fix Cost'!$AU:$AU,0),10),"")</f>
        <v/>
      </c>
      <c r="H1016" s="3599"/>
      <c r="I1016" s="3153" t="str">
        <f ca="1">IFERROR(INDEX('Fix Cost'!$A:$AU,MATCH($C1016,'Fix Cost'!$AU:$AU,0),14),"")</f>
        <v/>
      </c>
      <c r="J1016" s="3153" t="str">
        <f ca="1">IFERROR(INDEX('Fix Cost'!$A:$AU,MATCH($C1016,'Fix Cost'!$AU:$AU,0)*(1+'Fix Cost'!$N$5),14),"")</f>
        <v/>
      </c>
    </row>
    <row r="1017" spans="2:10" ht="21.75">
      <c r="B1017" s="3143" t="s">
        <v>3653</v>
      </c>
      <c r="C1017" s="3143">
        <f t="shared" si="18"/>
        <v>48</v>
      </c>
      <c r="D1017" s="3143" t="str">
        <f ca="1">IFERROR(INDEX('Fix Cost'!$A:$AU,MATCH($C1017,'Fix Cost'!$AU:$AU,0),2),"")</f>
        <v/>
      </c>
      <c r="E1017" s="3143" t="str">
        <f ca="1">IFERROR(INDEX('Fix Cost'!$A:$AU,MATCH($C1017,'Fix Cost'!$AU:$AU,0),3),"")</f>
        <v/>
      </c>
      <c r="G1017" s="3153" t="str">
        <f ca="1">IFERROR(INDEX('Fix Cost'!$A:$AU,MATCH($C1017,'Fix Cost'!$AU:$AU,0),10),"")</f>
        <v/>
      </c>
      <c r="H1017" s="3599"/>
      <c r="I1017" s="3153" t="str">
        <f ca="1">IFERROR(INDEX('Fix Cost'!$A:$AU,MATCH($C1017,'Fix Cost'!$AU:$AU,0),14),"")</f>
        <v/>
      </c>
      <c r="J1017" s="3153" t="str">
        <f ca="1">IFERROR(INDEX('Fix Cost'!$A:$AU,MATCH($C1017,'Fix Cost'!$AU:$AU,0)*(1+'Fix Cost'!$N$5),14),"")</f>
        <v/>
      </c>
    </row>
    <row r="1018" spans="2:10" ht="21.75">
      <c r="B1018" s="3143" t="s">
        <v>3653</v>
      </c>
      <c r="C1018" s="3143">
        <f t="shared" si="18"/>
        <v>49</v>
      </c>
      <c r="D1018" s="3143" t="str">
        <f ca="1">IFERROR(INDEX('Fix Cost'!$A:$AU,MATCH($C1018,'Fix Cost'!$AU:$AU,0),2),"")</f>
        <v/>
      </c>
      <c r="E1018" s="3143" t="str">
        <f ca="1">IFERROR(INDEX('Fix Cost'!$A:$AU,MATCH($C1018,'Fix Cost'!$AU:$AU,0),3),"")</f>
        <v/>
      </c>
      <c r="G1018" s="3153" t="str">
        <f ca="1">IFERROR(INDEX('Fix Cost'!$A:$AU,MATCH($C1018,'Fix Cost'!$AU:$AU,0),10),"")</f>
        <v/>
      </c>
      <c r="H1018" s="3599"/>
      <c r="I1018" s="3153" t="str">
        <f ca="1">IFERROR(INDEX('Fix Cost'!$A:$AU,MATCH($C1018,'Fix Cost'!$AU:$AU,0),14),"")</f>
        <v/>
      </c>
      <c r="J1018" s="3153" t="str">
        <f ca="1">IFERROR(INDEX('Fix Cost'!$A:$AU,MATCH($C1018,'Fix Cost'!$AU:$AU,0)*(1+'Fix Cost'!$N$5),14),"")</f>
        <v/>
      </c>
    </row>
    <row r="1019" spans="2:10" ht="21.75">
      <c r="B1019" s="3143" t="s">
        <v>3653</v>
      </c>
      <c r="C1019" s="3143">
        <f t="shared" si="18"/>
        <v>50</v>
      </c>
      <c r="D1019" s="3143" t="str">
        <f ca="1">IFERROR(INDEX('Fix Cost'!$A:$AU,MATCH($C1019,'Fix Cost'!$AU:$AU,0),2),"")</f>
        <v/>
      </c>
      <c r="E1019" s="3143" t="str">
        <f ca="1">IFERROR(INDEX('Fix Cost'!$A:$AU,MATCH($C1019,'Fix Cost'!$AU:$AU,0),3),"")</f>
        <v/>
      </c>
      <c r="G1019" s="3153" t="str">
        <f ca="1">IFERROR(INDEX('Fix Cost'!$A:$AU,MATCH($C1019,'Fix Cost'!$AU:$AU,0),10),"")</f>
        <v/>
      </c>
      <c r="H1019" s="3599"/>
      <c r="I1019" s="3153" t="str">
        <f ca="1">IFERROR(INDEX('Fix Cost'!$A:$AU,MATCH($C1019,'Fix Cost'!$AU:$AU,0),14),"")</f>
        <v/>
      </c>
      <c r="J1019" s="3153" t="str">
        <f ca="1">IFERROR(INDEX('Fix Cost'!$A:$AU,MATCH($C1019,'Fix Cost'!$AU:$AU,0)*(1+'Fix Cost'!$N$5),14),"")</f>
        <v/>
      </c>
    </row>
    <row r="1020" spans="2:10" ht="21.75">
      <c r="B1020" s="3143" t="s">
        <v>3653</v>
      </c>
      <c r="C1020" s="3143">
        <f t="shared" si="18"/>
        <v>51</v>
      </c>
      <c r="D1020" s="3143" t="str">
        <f ca="1">IFERROR(INDEX('Fix Cost'!$A:$AU,MATCH($C1020,'Fix Cost'!$AU:$AU,0),2),"")</f>
        <v/>
      </c>
      <c r="E1020" s="3143" t="str">
        <f ca="1">IFERROR(INDEX('Fix Cost'!$A:$AU,MATCH($C1020,'Fix Cost'!$AU:$AU,0),3),"")</f>
        <v/>
      </c>
      <c r="G1020" s="3153" t="str">
        <f ca="1">IFERROR(INDEX('Fix Cost'!$A:$AU,MATCH($C1020,'Fix Cost'!$AU:$AU,0),10),"")</f>
        <v/>
      </c>
      <c r="H1020" s="3599"/>
      <c r="I1020" s="3153" t="str">
        <f ca="1">IFERROR(INDEX('Fix Cost'!$A:$AU,MATCH($C1020,'Fix Cost'!$AU:$AU,0),14),"")</f>
        <v/>
      </c>
      <c r="J1020" s="3153" t="str">
        <f ca="1">IFERROR(INDEX('Fix Cost'!$A:$AU,MATCH($C1020,'Fix Cost'!$AU:$AU,0)*(1+'Fix Cost'!$N$5),14),"")</f>
        <v/>
      </c>
    </row>
    <row r="1021" spans="2:10" ht="21.75">
      <c r="B1021" s="3143" t="s">
        <v>3653</v>
      </c>
      <c r="C1021" s="3143">
        <f t="shared" si="18"/>
        <v>52</v>
      </c>
      <c r="D1021" s="3143" t="str">
        <f ca="1">IFERROR(INDEX('Fix Cost'!$A:$AU,MATCH($C1021,'Fix Cost'!$AU:$AU,0),2),"")</f>
        <v/>
      </c>
      <c r="E1021" s="3143" t="str">
        <f ca="1">IFERROR(INDEX('Fix Cost'!$A:$AU,MATCH($C1021,'Fix Cost'!$AU:$AU,0),3),"")</f>
        <v/>
      </c>
      <c r="G1021" s="3153" t="str">
        <f ca="1">IFERROR(INDEX('Fix Cost'!$A:$AU,MATCH($C1021,'Fix Cost'!$AU:$AU,0),10),"")</f>
        <v/>
      </c>
      <c r="H1021" s="3599"/>
      <c r="I1021" s="3153" t="str">
        <f ca="1">IFERROR(INDEX('Fix Cost'!$A:$AU,MATCH($C1021,'Fix Cost'!$AU:$AU,0),14),"")</f>
        <v/>
      </c>
      <c r="J1021" s="3153" t="str">
        <f ca="1">IFERROR(INDEX('Fix Cost'!$A:$AU,MATCH($C1021,'Fix Cost'!$AU:$AU,0)*(1+'Fix Cost'!$N$5),14),"")</f>
        <v/>
      </c>
    </row>
    <row r="1022" spans="2:10" ht="21.75">
      <c r="B1022" s="3143" t="s">
        <v>3653</v>
      </c>
      <c r="C1022" s="3143">
        <f t="shared" si="18"/>
        <v>53</v>
      </c>
      <c r="D1022" s="3143" t="str">
        <f ca="1">IFERROR(INDEX('Fix Cost'!$A:$AU,MATCH($C1022,'Fix Cost'!$AU:$AU,0),2),"")</f>
        <v/>
      </c>
      <c r="E1022" s="3143" t="str">
        <f ca="1">IFERROR(INDEX('Fix Cost'!$A:$AU,MATCH($C1022,'Fix Cost'!$AU:$AU,0),3),"")</f>
        <v/>
      </c>
      <c r="G1022" s="3153" t="str">
        <f ca="1">IFERROR(INDEX('Fix Cost'!$A:$AU,MATCH($C1022,'Fix Cost'!$AU:$AU,0),10),"")</f>
        <v/>
      </c>
      <c r="H1022" s="3599"/>
      <c r="I1022" s="3153" t="str">
        <f ca="1">IFERROR(INDEX('Fix Cost'!$A:$AU,MATCH($C1022,'Fix Cost'!$AU:$AU,0),14),"")</f>
        <v/>
      </c>
      <c r="J1022" s="3153" t="str">
        <f ca="1">IFERROR(INDEX('Fix Cost'!$A:$AU,MATCH($C1022,'Fix Cost'!$AU:$AU,0)*(1+'Fix Cost'!$N$5),14),"")</f>
        <v/>
      </c>
    </row>
    <row r="1023" spans="2:10" ht="21.75">
      <c r="B1023" s="3143" t="s">
        <v>3653</v>
      </c>
      <c r="C1023" s="3143">
        <f t="shared" si="18"/>
        <v>54</v>
      </c>
      <c r="D1023" s="3143" t="str">
        <f ca="1">IFERROR(INDEX('Fix Cost'!$A:$AU,MATCH($C1023,'Fix Cost'!$AU:$AU,0),2),"")</f>
        <v/>
      </c>
      <c r="E1023" s="3143" t="str">
        <f ca="1">IFERROR(INDEX('Fix Cost'!$A:$AU,MATCH($C1023,'Fix Cost'!$AU:$AU,0),3),"")</f>
        <v/>
      </c>
      <c r="G1023" s="3153" t="str">
        <f ca="1">IFERROR(INDEX('Fix Cost'!$A:$AU,MATCH($C1023,'Fix Cost'!$AU:$AU,0),10),"")</f>
        <v/>
      </c>
      <c r="H1023" s="3599"/>
      <c r="I1023" s="3153" t="str">
        <f ca="1">IFERROR(INDEX('Fix Cost'!$A:$AU,MATCH($C1023,'Fix Cost'!$AU:$AU,0),14),"")</f>
        <v/>
      </c>
      <c r="J1023" s="3153" t="str">
        <f ca="1">IFERROR(INDEX('Fix Cost'!$A:$AU,MATCH($C1023,'Fix Cost'!$AU:$AU,0)*(1+'Fix Cost'!$N$5),14),"")</f>
        <v/>
      </c>
    </row>
    <row r="1024" spans="2:10" ht="21.75">
      <c r="B1024" s="3143" t="s">
        <v>3653</v>
      </c>
      <c r="C1024" s="3143">
        <f t="shared" si="18"/>
        <v>55</v>
      </c>
      <c r="D1024" s="3143" t="str">
        <f ca="1">IFERROR(INDEX('Fix Cost'!$A:$AU,MATCH($C1024,'Fix Cost'!$AU:$AU,0),2),"")</f>
        <v/>
      </c>
      <c r="E1024" s="3143" t="str">
        <f ca="1">IFERROR(INDEX('Fix Cost'!$A:$AU,MATCH($C1024,'Fix Cost'!$AU:$AU,0),3),"")</f>
        <v/>
      </c>
      <c r="G1024" s="3153" t="str">
        <f ca="1">IFERROR(INDEX('Fix Cost'!$A:$AU,MATCH($C1024,'Fix Cost'!$AU:$AU,0),10),"")</f>
        <v/>
      </c>
      <c r="H1024" s="3599"/>
      <c r="I1024" s="3153" t="str">
        <f ca="1">IFERROR(INDEX('Fix Cost'!$A:$AU,MATCH($C1024,'Fix Cost'!$AU:$AU,0),14),"")</f>
        <v/>
      </c>
      <c r="J1024" s="3153" t="str">
        <f ca="1">IFERROR(INDEX('Fix Cost'!$A:$AU,MATCH($C1024,'Fix Cost'!$AU:$AU,0)*(1+'Fix Cost'!$N$5),14),"")</f>
        <v/>
      </c>
    </row>
    <row r="1025" spans="2:10" ht="21.75">
      <c r="B1025" s="3143" t="s">
        <v>3653</v>
      </c>
      <c r="C1025" s="3143">
        <f t="shared" si="18"/>
        <v>56</v>
      </c>
      <c r="D1025" s="3143" t="str">
        <f ca="1">IFERROR(INDEX('Fix Cost'!$A:$AU,MATCH($C1025,'Fix Cost'!$AU:$AU,0),2),"")</f>
        <v/>
      </c>
      <c r="E1025" s="3143" t="str">
        <f ca="1">IFERROR(INDEX('Fix Cost'!$A:$AU,MATCH($C1025,'Fix Cost'!$AU:$AU,0),3),"")</f>
        <v/>
      </c>
      <c r="G1025" s="3153" t="str">
        <f ca="1">IFERROR(INDEX('Fix Cost'!$A:$AU,MATCH($C1025,'Fix Cost'!$AU:$AU,0),10),"")</f>
        <v/>
      </c>
      <c r="H1025" s="3599"/>
      <c r="I1025" s="3153" t="str">
        <f ca="1">IFERROR(INDEX('Fix Cost'!$A:$AU,MATCH($C1025,'Fix Cost'!$AU:$AU,0),14),"")</f>
        <v/>
      </c>
      <c r="J1025" s="3153" t="str">
        <f ca="1">IFERROR(INDEX('Fix Cost'!$A:$AU,MATCH($C1025,'Fix Cost'!$AU:$AU,0)*(1+'Fix Cost'!$N$5),14),"")</f>
        <v/>
      </c>
    </row>
    <row r="1026" spans="2:10" ht="21.75">
      <c r="B1026" s="3143" t="s">
        <v>3653</v>
      </c>
      <c r="C1026" s="3143">
        <f t="shared" si="18"/>
        <v>57</v>
      </c>
      <c r="D1026" s="3143" t="str">
        <f ca="1">IFERROR(INDEX('Fix Cost'!$A:$AU,MATCH($C1026,'Fix Cost'!$AU:$AU,0),2),"")</f>
        <v/>
      </c>
      <c r="E1026" s="3143" t="str">
        <f ca="1">IFERROR(INDEX('Fix Cost'!$A:$AU,MATCH($C1026,'Fix Cost'!$AU:$AU,0),3),"")</f>
        <v/>
      </c>
      <c r="G1026" s="3153" t="str">
        <f ca="1">IFERROR(INDEX('Fix Cost'!$A:$AU,MATCH($C1026,'Fix Cost'!$AU:$AU,0),10),"")</f>
        <v/>
      </c>
      <c r="H1026" s="3599"/>
      <c r="I1026" s="3153" t="str">
        <f ca="1">IFERROR(INDEX('Fix Cost'!$A:$AU,MATCH($C1026,'Fix Cost'!$AU:$AU,0),14),"")</f>
        <v/>
      </c>
      <c r="J1026" s="3153" t="str">
        <f ca="1">IFERROR(INDEX('Fix Cost'!$A:$AU,MATCH($C1026,'Fix Cost'!$AU:$AU,0)*(1+'Fix Cost'!$N$5),14),"")</f>
        <v/>
      </c>
    </row>
    <row r="1027" spans="2:10" ht="21.75">
      <c r="B1027" s="3143" t="s">
        <v>3653</v>
      </c>
      <c r="C1027" s="3143">
        <f t="shared" si="18"/>
        <v>58</v>
      </c>
      <c r="D1027" s="3143" t="str">
        <f ca="1">IFERROR(INDEX('Fix Cost'!$A:$AU,MATCH($C1027,'Fix Cost'!$AU:$AU,0),2),"")</f>
        <v/>
      </c>
      <c r="E1027" s="3143" t="str">
        <f ca="1">IFERROR(INDEX('Fix Cost'!$A:$AU,MATCH($C1027,'Fix Cost'!$AU:$AU,0),3),"")</f>
        <v/>
      </c>
      <c r="G1027" s="3153" t="str">
        <f ca="1">IFERROR(INDEX('Fix Cost'!$A:$AU,MATCH($C1027,'Fix Cost'!$AU:$AU,0),10),"")</f>
        <v/>
      </c>
      <c r="H1027" s="3599"/>
      <c r="I1027" s="3153" t="str">
        <f ca="1">IFERROR(INDEX('Fix Cost'!$A:$AU,MATCH($C1027,'Fix Cost'!$AU:$AU,0),14),"")</f>
        <v/>
      </c>
      <c r="J1027" s="3153" t="str">
        <f ca="1">IFERROR(INDEX('Fix Cost'!$A:$AU,MATCH($C1027,'Fix Cost'!$AU:$AU,0)*(1+'Fix Cost'!$N$5),14),"")</f>
        <v/>
      </c>
    </row>
    <row r="1028" spans="2:10" ht="21.75">
      <c r="B1028" s="3143" t="s">
        <v>3653</v>
      </c>
      <c r="C1028" s="3143">
        <f t="shared" si="18"/>
        <v>59</v>
      </c>
      <c r="D1028" s="3143" t="str">
        <f ca="1">IFERROR(INDEX('Fix Cost'!$A:$AU,MATCH($C1028,'Fix Cost'!$AU:$AU,0),2),"")</f>
        <v/>
      </c>
      <c r="E1028" s="3143" t="str">
        <f ca="1">IFERROR(INDEX('Fix Cost'!$A:$AU,MATCH($C1028,'Fix Cost'!$AU:$AU,0),3),"")</f>
        <v/>
      </c>
      <c r="G1028" s="3153" t="str">
        <f ca="1">IFERROR(INDEX('Fix Cost'!$A:$AU,MATCH($C1028,'Fix Cost'!$AU:$AU,0),10),"")</f>
        <v/>
      </c>
      <c r="H1028" s="3599"/>
      <c r="I1028" s="3153" t="str">
        <f ca="1">IFERROR(INDEX('Fix Cost'!$A:$AU,MATCH($C1028,'Fix Cost'!$AU:$AU,0),14),"")</f>
        <v/>
      </c>
      <c r="J1028" s="3153" t="str">
        <f ca="1">IFERROR(INDEX('Fix Cost'!$A:$AU,MATCH($C1028,'Fix Cost'!$AU:$AU,0)*(1+'Fix Cost'!$N$5),14),"")</f>
        <v/>
      </c>
    </row>
    <row r="1029" spans="2:10" ht="21.75">
      <c r="B1029" s="3143" t="s">
        <v>3653</v>
      </c>
      <c r="C1029" s="3143">
        <f t="shared" si="18"/>
        <v>60</v>
      </c>
      <c r="D1029" s="3143" t="str">
        <f ca="1">IFERROR(INDEX('Fix Cost'!$A:$AU,MATCH($C1029,'Fix Cost'!$AU:$AU,0),2),"")</f>
        <v/>
      </c>
      <c r="E1029" s="3143" t="str">
        <f ca="1">IFERROR(INDEX('Fix Cost'!$A:$AU,MATCH($C1029,'Fix Cost'!$AU:$AU,0),3),"")</f>
        <v/>
      </c>
      <c r="G1029" s="3153" t="str">
        <f ca="1">IFERROR(INDEX('Fix Cost'!$A:$AU,MATCH($C1029,'Fix Cost'!$AU:$AU,0),10),"")</f>
        <v/>
      </c>
      <c r="H1029" s="3599"/>
      <c r="I1029" s="3153" t="str">
        <f ca="1">IFERROR(INDEX('Fix Cost'!$A:$AU,MATCH($C1029,'Fix Cost'!$AU:$AU,0),14),"")</f>
        <v/>
      </c>
      <c r="J1029" s="3153" t="str">
        <f ca="1">IFERROR(INDEX('Fix Cost'!$A:$AU,MATCH($C1029,'Fix Cost'!$AU:$AU,0)*(1+'Fix Cost'!$N$5),14),"")</f>
        <v/>
      </c>
    </row>
    <row r="1030" spans="2:10" ht="21.75">
      <c r="B1030" s="3143" t="s">
        <v>3653</v>
      </c>
      <c r="C1030" s="3143">
        <f t="shared" si="18"/>
        <v>61</v>
      </c>
      <c r="D1030" s="3143" t="str">
        <f ca="1">IFERROR(INDEX('Fix Cost'!$A:$AU,MATCH($C1030,'Fix Cost'!$AU:$AU,0),2),"")</f>
        <v/>
      </c>
      <c r="E1030" s="3143" t="str">
        <f ca="1">IFERROR(INDEX('Fix Cost'!$A:$AU,MATCH($C1030,'Fix Cost'!$AU:$AU,0),3),"")</f>
        <v/>
      </c>
      <c r="G1030" s="3153" t="str">
        <f ca="1">IFERROR(INDEX('Fix Cost'!$A:$AU,MATCH($C1030,'Fix Cost'!$AU:$AU,0),10),"")</f>
        <v/>
      </c>
      <c r="H1030" s="3599"/>
      <c r="I1030" s="3153" t="str">
        <f ca="1">IFERROR(INDEX('Fix Cost'!$A:$AU,MATCH($C1030,'Fix Cost'!$AU:$AU,0),14),"")</f>
        <v/>
      </c>
      <c r="J1030" s="3153" t="str">
        <f ca="1">IFERROR(INDEX('Fix Cost'!$A:$AU,MATCH($C1030,'Fix Cost'!$AU:$AU,0)*(1+'Fix Cost'!$N$5),14),"")</f>
        <v/>
      </c>
    </row>
    <row r="1031" spans="2:10" ht="21.75">
      <c r="B1031" s="3143" t="s">
        <v>3653</v>
      </c>
      <c r="C1031" s="3143">
        <f t="shared" si="18"/>
        <v>62</v>
      </c>
      <c r="D1031" s="3143" t="str">
        <f ca="1">IFERROR(INDEX('Fix Cost'!$A:$AU,MATCH($C1031,'Fix Cost'!$AU:$AU,0),2),"")</f>
        <v/>
      </c>
      <c r="E1031" s="3143" t="str">
        <f ca="1">IFERROR(INDEX('Fix Cost'!$A:$AU,MATCH($C1031,'Fix Cost'!$AU:$AU,0),3),"")</f>
        <v/>
      </c>
      <c r="G1031" s="3153" t="str">
        <f ca="1">IFERROR(INDEX('Fix Cost'!$A:$AU,MATCH($C1031,'Fix Cost'!$AU:$AU,0),10),"")</f>
        <v/>
      </c>
      <c r="H1031" s="3599"/>
      <c r="I1031" s="3153" t="str">
        <f ca="1">IFERROR(INDEX('Fix Cost'!$A:$AU,MATCH($C1031,'Fix Cost'!$AU:$AU,0),14),"")</f>
        <v/>
      </c>
      <c r="J1031" s="3153" t="str">
        <f ca="1">IFERROR(INDEX('Fix Cost'!$A:$AU,MATCH($C1031,'Fix Cost'!$AU:$AU,0)*(1+'Fix Cost'!$N$5),14),"")</f>
        <v/>
      </c>
    </row>
    <row r="1032" spans="2:10" ht="21.75">
      <c r="B1032" s="3143" t="s">
        <v>3653</v>
      </c>
      <c r="C1032" s="3143">
        <f t="shared" si="18"/>
        <v>63</v>
      </c>
      <c r="D1032" s="3143" t="str">
        <f ca="1">IFERROR(INDEX('Fix Cost'!$A:$AU,MATCH($C1032,'Fix Cost'!$AU:$AU,0),2),"")</f>
        <v/>
      </c>
      <c r="E1032" s="3143" t="str">
        <f ca="1">IFERROR(INDEX('Fix Cost'!$A:$AU,MATCH($C1032,'Fix Cost'!$AU:$AU,0),3),"")</f>
        <v/>
      </c>
      <c r="G1032" s="3153" t="str">
        <f ca="1">IFERROR(INDEX('Fix Cost'!$A:$AU,MATCH($C1032,'Fix Cost'!$AU:$AU,0),10),"")</f>
        <v/>
      </c>
      <c r="H1032" s="3599"/>
      <c r="I1032" s="3153" t="str">
        <f ca="1">IFERROR(INDEX('Fix Cost'!$A:$AU,MATCH($C1032,'Fix Cost'!$AU:$AU,0),14),"")</f>
        <v/>
      </c>
      <c r="J1032" s="3153" t="str">
        <f ca="1">IFERROR(INDEX('Fix Cost'!$A:$AU,MATCH($C1032,'Fix Cost'!$AU:$AU,0)*(1+'Fix Cost'!$N$5),14),"")</f>
        <v/>
      </c>
    </row>
    <row r="1033" spans="2:10" ht="21.75">
      <c r="B1033" s="3143" t="s">
        <v>3653</v>
      </c>
      <c r="C1033" s="3143">
        <f t="shared" si="18"/>
        <v>64</v>
      </c>
      <c r="D1033" s="3143" t="str">
        <f ca="1">IFERROR(INDEX('Fix Cost'!$A:$AU,MATCH($C1033,'Fix Cost'!$AU:$AU,0),2),"")</f>
        <v/>
      </c>
      <c r="E1033" s="3143" t="str">
        <f ca="1">IFERROR(INDEX('Fix Cost'!$A:$AU,MATCH($C1033,'Fix Cost'!$AU:$AU,0),3),"")</f>
        <v/>
      </c>
      <c r="G1033" s="3153" t="str">
        <f ca="1">IFERROR(INDEX('Fix Cost'!$A:$AU,MATCH($C1033,'Fix Cost'!$AU:$AU,0),10),"")</f>
        <v/>
      </c>
      <c r="H1033" s="3599"/>
      <c r="I1033" s="3153" t="str">
        <f ca="1">IFERROR(INDEX('Fix Cost'!$A:$AU,MATCH($C1033,'Fix Cost'!$AU:$AU,0),14),"")</f>
        <v/>
      </c>
      <c r="J1033" s="3153" t="str">
        <f ca="1">IFERROR(INDEX('Fix Cost'!$A:$AU,MATCH($C1033,'Fix Cost'!$AU:$AU,0)*(1+'Fix Cost'!$N$5),14),"")</f>
        <v/>
      </c>
    </row>
    <row r="1034" spans="2:10" ht="21.75">
      <c r="B1034" s="3143" t="s">
        <v>3653</v>
      </c>
      <c r="C1034" s="3143">
        <f t="shared" si="18"/>
        <v>65</v>
      </c>
      <c r="D1034" s="3143" t="str">
        <f ca="1">IFERROR(INDEX('Fix Cost'!$A:$AU,MATCH($C1034,'Fix Cost'!$AU:$AU,0),2),"")</f>
        <v/>
      </c>
      <c r="E1034" s="3143" t="str">
        <f ca="1">IFERROR(INDEX('Fix Cost'!$A:$AU,MATCH($C1034,'Fix Cost'!$AU:$AU,0),3),"")</f>
        <v/>
      </c>
      <c r="G1034" s="3153" t="str">
        <f ca="1">IFERROR(INDEX('Fix Cost'!$A:$AU,MATCH($C1034,'Fix Cost'!$AU:$AU,0),10),"")</f>
        <v/>
      </c>
      <c r="H1034" s="3599"/>
      <c r="I1034" s="3153" t="str">
        <f ca="1">IFERROR(INDEX('Fix Cost'!$A:$AU,MATCH($C1034,'Fix Cost'!$AU:$AU,0),14),"")</f>
        <v/>
      </c>
      <c r="J1034" s="3153" t="str">
        <f ca="1">IFERROR(INDEX('Fix Cost'!$A:$AU,MATCH($C1034,'Fix Cost'!$AU:$AU,0)*(1+'Fix Cost'!$N$5),14),"")</f>
        <v/>
      </c>
    </row>
    <row r="1035" spans="2:10" ht="21.75">
      <c r="B1035" s="3143" t="s">
        <v>3653</v>
      </c>
      <c r="C1035" s="3143">
        <f t="shared" si="18"/>
        <v>66</v>
      </c>
      <c r="D1035" s="3143" t="str">
        <f ca="1">IFERROR(INDEX('Fix Cost'!$A:$AU,MATCH($C1035,'Fix Cost'!$AU:$AU,0),2),"")</f>
        <v/>
      </c>
      <c r="E1035" s="3143" t="str">
        <f ca="1">IFERROR(INDEX('Fix Cost'!$A:$AU,MATCH($C1035,'Fix Cost'!$AU:$AU,0),3),"")</f>
        <v/>
      </c>
      <c r="G1035" s="3153" t="str">
        <f ca="1">IFERROR(INDEX('Fix Cost'!$A:$AU,MATCH($C1035,'Fix Cost'!$AU:$AU,0),10),"")</f>
        <v/>
      </c>
      <c r="H1035" s="3599"/>
      <c r="I1035" s="3153" t="str">
        <f ca="1">IFERROR(INDEX('Fix Cost'!$A:$AU,MATCH($C1035,'Fix Cost'!$AU:$AU,0),14),"")</f>
        <v/>
      </c>
      <c r="J1035" s="3153" t="str">
        <f ca="1">IFERROR(INDEX('Fix Cost'!$A:$AU,MATCH($C1035,'Fix Cost'!$AU:$AU,0)*(1+'Fix Cost'!$N$5),14),"")</f>
        <v/>
      </c>
    </row>
    <row r="1036" spans="2:10" ht="21.75">
      <c r="B1036" s="3143" t="s">
        <v>3653</v>
      </c>
      <c r="C1036" s="3143">
        <f t="shared" ref="C1036:C1099" si="19">C1035+1</f>
        <v>67</v>
      </c>
      <c r="D1036" s="3143" t="str">
        <f ca="1">IFERROR(INDEX('Fix Cost'!$A:$AU,MATCH($C1036,'Fix Cost'!$AU:$AU,0),2),"")</f>
        <v/>
      </c>
      <c r="E1036" s="3143" t="str">
        <f ca="1">IFERROR(INDEX('Fix Cost'!$A:$AU,MATCH($C1036,'Fix Cost'!$AU:$AU,0),3),"")</f>
        <v/>
      </c>
      <c r="G1036" s="3153" t="str">
        <f ca="1">IFERROR(INDEX('Fix Cost'!$A:$AU,MATCH($C1036,'Fix Cost'!$AU:$AU,0),10),"")</f>
        <v/>
      </c>
      <c r="H1036" s="3599"/>
      <c r="I1036" s="3153" t="str">
        <f ca="1">IFERROR(INDEX('Fix Cost'!$A:$AU,MATCH($C1036,'Fix Cost'!$AU:$AU,0),14),"")</f>
        <v/>
      </c>
      <c r="J1036" s="3153" t="str">
        <f ca="1">IFERROR(INDEX('Fix Cost'!$A:$AU,MATCH($C1036,'Fix Cost'!$AU:$AU,0)*(1+'Fix Cost'!$N$5),14),"")</f>
        <v/>
      </c>
    </row>
    <row r="1037" spans="2:10" ht="21.75">
      <c r="B1037" s="3143" t="s">
        <v>3653</v>
      </c>
      <c r="C1037" s="3143">
        <f t="shared" si="19"/>
        <v>68</v>
      </c>
      <c r="D1037" s="3143" t="str">
        <f ca="1">IFERROR(INDEX('Fix Cost'!$A:$AU,MATCH($C1037,'Fix Cost'!$AU:$AU,0),2),"")</f>
        <v/>
      </c>
      <c r="E1037" s="3143" t="str">
        <f ca="1">IFERROR(INDEX('Fix Cost'!$A:$AU,MATCH($C1037,'Fix Cost'!$AU:$AU,0),3),"")</f>
        <v/>
      </c>
      <c r="G1037" s="3153" t="str">
        <f ca="1">IFERROR(INDEX('Fix Cost'!$A:$AU,MATCH($C1037,'Fix Cost'!$AU:$AU,0),10),"")</f>
        <v/>
      </c>
      <c r="H1037" s="3599"/>
      <c r="I1037" s="3153" t="str">
        <f ca="1">IFERROR(INDEX('Fix Cost'!$A:$AU,MATCH($C1037,'Fix Cost'!$AU:$AU,0),14),"")</f>
        <v/>
      </c>
      <c r="J1037" s="3153" t="str">
        <f ca="1">IFERROR(INDEX('Fix Cost'!$A:$AU,MATCH($C1037,'Fix Cost'!$AU:$AU,0)*(1+'Fix Cost'!$N$5),14),"")</f>
        <v/>
      </c>
    </row>
    <row r="1038" spans="2:10" ht="21.75">
      <c r="B1038" s="3143" t="s">
        <v>3653</v>
      </c>
      <c r="C1038" s="3143">
        <f t="shared" si="19"/>
        <v>69</v>
      </c>
      <c r="D1038" s="3143" t="str">
        <f ca="1">IFERROR(INDEX('Fix Cost'!$A:$AU,MATCH($C1038,'Fix Cost'!$AU:$AU,0),2),"")</f>
        <v/>
      </c>
      <c r="E1038" s="3143" t="str">
        <f ca="1">IFERROR(INDEX('Fix Cost'!$A:$AU,MATCH($C1038,'Fix Cost'!$AU:$AU,0),3),"")</f>
        <v/>
      </c>
      <c r="G1038" s="3153" t="str">
        <f ca="1">IFERROR(INDEX('Fix Cost'!$A:$AU,MATCH($C1038,'Fix Cost'!$AU:$AU,0),10),"")</f>
        <v/>
      </c>
      <c r="H1038" s="3599"/>
      <c r="I1038" s="3153" t="str">
        <f ca="1">IFERROR(INDEX('Fix Cost'!$A:$AU,MATCH($C1038,'Fix Cost'!$AU:$AU,0),14),"")</f>
        <v/>
      </c>
      <c r="J1038" s="3153" t="str">
        <f ca="1">IFERROR(INDEX('Fix Cost'!$A:$AU,MATCH($C1038,'Fix Cost'!$AU:$AU,0)*(1+'Fix Cost'!$N$5),14),"")</f>
        <v/>
      </c>
    </row>
    <row r="1039" spans="2:10" ht="21.75">
      <c r="B1039" s="3143" t="s">
        <v>3653</v>
      </c>
      <c r="C1039" s="3143">
        <f t="shared" si="19"/>
        <v>70</v>
      </c>
      <c r="D1039" s="3143" t="str">
        <f ca="1">IFERROR(INDEX('Fix Cost'!$A:$AU,MATCH($C1039,'Fix Cost'!$AU:$AU,0),2),"")</f>
        <v/>
      </c>
      <c r="E1039" s="3143" t="str">
        <f ca="1">IFERROR(INDEX('Fix Cost'!$A:$AU,MATCH($C1039,'Fix Cost'!$AU:$AU,0),3),"")</f>
        <v/>
      </c>
      <c r="G1039" s="3153" t="str">
        <f ca="1">IFERROR(INDEX('Fix Cost'!$A:$AU,MATCH($C1039,'Fix Cost'!$AU:$AU,0),10),"")</f>
        <v/>
      </c>
      <c r="H1039" s="3599"/>
      <c r="I1039" s="3153" t="str">
        <f ca="1">IFERROR(INDEX('Fix Cost'!$A:$AU,MATCH($C1039,'Fix Cost'!$AU:$AU,0),14),"")</f>
        <v/>
      </c>
      <c r="J1039" s="3153" t="str">
        <f ca="1">IFERROR(INDEX('Fix Cost'!$A:$AU,MATCH($C1039,'Fix Cost'!$AU:$AU,0)*(1+'Fix Cost'!$N$5),14),"")</f>
        <v/>
      </c>
    </row>
    <row r="1040" spans="2:10" ht="21.75">
      <c r="B1040" s="3143" t="s">
        <v>3653</v>
      </c>
      <c r="C1040" s="3143">
        <f t="shared" si="19"/>
        <v>71</v>
      </c>
      <c r="D1040" s="3143" t="str">
        <f ca="1">IFERROR(INDEX('Fix Cost'!$A:$AU,MATCH($C1040,'Fix Cost'!$AU:$AU,0),2),"")</f>
        <v/>
      </c>
      <c r="E1040" s="3143" t="str">
        <f ca="1">IFERROR(INDEX('Fix Cost'!$A:$AU,MATCH($C1040,'Fix Cost'!$AU:$AU,0),3),"")</f>
        <v/>
      </c>
      <c r="G1040" s="3153" t="str">
        <f ca="1">IFERROR(INDEX('Fix Cost'!$A:$AU,MATCH($C1040,'Fix Cost'!$AU:$AU,0),10),"")</f>
        <v/>
      </c>
      <c r="H1040" s="3599"/>
      <c r="I1040" s="3153" t="str">
        <f ca="1">IFERROR(INDEX('Fix Cost'!$A:$AU,MATCH($C1040,'Fix Cost'!$AU:$AU,0),14),"")</f>
        <v/>
      </c>
      <c r="J1040" s="3153" t="str">
        <f ca="1">IFERROR(INDEX('Fix Cost'!$A:$AU,MATCH($C1040,'Fix Cost'!$AU:$AU,0)*(1+'Fix Cost'!$N$5),14),"")</f>
        <v/>
      </c>
    </row>
    <row r="1041" spans="2:10" ht="21.75">
      <c r="B1041" s="3143" t="s">
        <v>3653</v>
      </c>
      <c r="C1041" s="3143">
        <f t="shared" si="19"/>
        <v>72</v>
      </c>
      <c r="D1041" s="3143" t="str">
        <f ca="1">IFERROR(INDEX('Fix Cost'!$A:$AU,MATCH($C1041,'Fix Cost'!$AU:$AU,0),2),"")</f>
        <v/>
      </c>
      <c r="E1041" s="3143" t="str">
        <f ca="1">IFERROR(INDEX('Fix Cost'!$A:$AU,MATCH($C1041,'Fix Cost'!$AU:$AU,0),3),"")</f>
        <v/>
      </c>
      <c r="G1041" s="3153" t="str">
        <f ca="1">IFERROR(INDEX('Fix Cost'!$A:$AU,MATCH($C1041,'Fix Cost'!$AU:$AU,0),10),"")</f>
        <v/>
      </c>
      <c r="H1041" s="3599"/>
      <c r="I1041" s="3153" t="str">
        <f ca="1">IFERROR(INDEX('Fix Cost'!$A:$AU,MATCH($C1041,'Fix Cost'!$AU:$AU,0),14),"")</f>
        <v/>
      </c>
      <c r="J1041" s="3153" t="str">
        <f ca="1">IFERROR(INDEX('Fix Cost'!$A:$AU,MATCH($C1041,'Fix Cost'!$AU:$AU,0)*(1+'Fix Cost'!$N$5),14),"")</f>
        <v/>
      </c>
    </row>
    <row r="1042" spans="2:10" ht="21.75">
      <c r="B1042" s="3143" t="s">
        <v>3653</v>
      </c>
      <c r="C1042" s="3143">
        <f t="shared" si="19"/>
        <v>73</v>
      </c>
      <c r="D1042" s="3143" t="str">
        <f ca="1">IFERROR(INDEX('Fix Cost'!$A:$AU,MATCH($C1042,'Fix Cost'!$AU:$AU,0),2),"")</f>
        <v/>
      </c>
      <c r="E1042" s="3143" t="str">
        <f ca="1">IFERROR(INDEX('Fix Cost'!$A:$AU,MATCH($C1042,'Fix Cost'!$AU:$AU,0),3),"")</f>
        <v/>
      </c>
      <c r="G1042" s="3153" t="str">
        <f ca="1">IFERROR(INDEX('Fix Cost'!$A:$AU,MATCH($C1042,'Fix Cost'!$AU:$AU,0),10),"")</f>
        <v/>
      </c>
      <c r="H1042" s="3599"/>
      <c r="I1042" s="3153" t="str">
        <f ca="1">IFERROR(INDEX('Fix Cost'!$A:$AU,MATCH($C1042,'Fix Cost'!$AU:$AU,0),14),"")</f>
        <v/>
      </c>
      <c r="J1042" s="3153" t="str">
        <f ca="1">IFERROR(INDEX('Fix Cost'!$A:$AU,MATCH($C1042,'Fix Cost'!$AU:$AU,0)*(1+'Fix Cost'!$N$5),14),"")</f>
        <v/>
      </c>
    </row>
    <row r="1043" spans="2:10" ht="21.75">
      <c r="B1043" s="3143" t="s">
        <v>3653</v>
      </c>
      <c r="C1043" s="3143">
        <f t="shared" si="19"/>
        <v>74</v>
      </c>
      <c r="D1043" s="3143" t="str">
        <f ca="1">IFERROR(INDEX('Fix Cost'!$A:$AU,MATCH($C1043,'Fix Cost'!$AU:$AU,0),2),"")</f>
        <v/>
      </c>
      <c r="E1043" s="3143" t="str">
        <f ca="1">IFERROR(INDEX('Fix Cost'!$A:$AU,MATCH($C1043,'Fix Cost'!$AU:$AU,0),3),"")</f>
        <v/>
      </c>
      <c r="G1043" s="3153" t="str">
        <f ca="1">IFERROR(INDEX('Fix Cost'!$A:$AU,MATCH($C1043,'Fix Cost'!$AU:$AU,0),10),"")</f>
        <v/>
      </c>
      <c r="H1043" s="3599"/>
      <c r="I1043" s="3153" t="str">
        <f ca="1">IFERROR(INDEX('Fix Cost'!$A:$AU,MATCH($C1043,'Fix Cost'!$AU:$AU,0),14),"")</f>
        <v/>
      </c>
      <c r="J1043" s="3153" t="str">
        <f ca="1">IFERROR(INDEX('Fix Cost'!$A:$AU,MATCH($C1043,'Fix Cost'!$AU:$AU,0)*(1+'Fix Cost'!$N$5),14),"")</f>
        <v/>
      </c>
    </row>
    <row r="1044" spans="2:10" ht="21.75">
      <c r="B1044" s="3143" t="s">
        <v>3653</v>
      </c>
      <c r="C1044" s="3143">
        <f t="shared" si="19"/>
        <v>75</v>
      </c>
      <c r="D1044" s="3143" t="str">
        <f ca="1">IFERROR(INDEX('Fix Cost'!$A:$AU,MATCH($C1044,'Fix Cost'!$AU:$AU,0),2),"")</f>
        <v/>
      </c>
      <c r="E1044" s="3143" t="str">
        <f ca="1">IFERROR(INDEX('Fix Cost'!$A:$AU,MATCH($C1044,'Fix Cost'!$AU:$AU,0),3),"")</f>
        <v/>
      </c>
      <c r="G1044" s="3153" t="str">
        <f ca="1">IFERROR(INDEX('Fix Cost'!$A:$AU,MATCH($C1044,'Fix Cost'!$AU:$AU,0),10),"")</f>
        <v/>
      </c>
      <c r="H1044" s="3599"/>
      <c r="I1044" s="3153" t="str">
        <f ca="1">IFERROR(INDEX('Fix Cost'!$A:$AU,MATCH($C1044,'Fix Cost'!$AU:$AU,0),14),"")</f>
        <v/>
      </c>
      <c r="J1044" s="3153" t="str">
        <f ca="1">IFERROR(INDEX('Fix Cost'!$A:$AU,MATCH($C1044,'Fix Cost'!$AU:$AU,0)*(1+'Fix Cost'!$N$5),14),"")</f>
        <v/>
      </c>
    </row>
    <row r="1045" spans="2:10" ht="21.75">
      <c r="B1045" s="3143" t="s">
        <v>3653</v>
      </c>
      <c r="C1045" s="3143">
        <f t="shared" si="19"/>
        <v>76</v>
      </c>
      <c r="D1045" s="3143" t="str">
        <f ca="1">IFERROR(INDEX('Fix Cost'!$A:$AU,MATCH($C1045,'Fix Cost'!$AU:$AU,0),2),"")</f>
        <v/>
      </c>
      <c r="E1045" s="3143" t="str">
        <f ca="1">IFERROR(INDEX('Fix Cost'!$A:$AU,MATCH($C1045,'Fix Cost'!$AU:$AU,0),3),"")</f>
        <v/>
      </c>
      <c r="G1045" s="3153" t="str">
        <f ca="1">IFERROR(INDEX('Fix Cost'!$A:$AU,MATCH($C1045,'Fix Cost'!$AU:$AU,0),10),"")</f>
        <v/>
      </c>
      <c r="H1045" s="3599"/>
      <c r="I1045" s="3153" t="str">
        <f ca="1">IFERROR(INDEX('Fix Cost'!$A:$AU,MATCH($C1045,'Fix Cost'!$AU:$AU,0),14),"")</f>
        <v/>
      </c>
      <c r="J1045" s="3153" t="str">
        <f ca="1">IFERROR(INDEX('Fix Cost'!$A:$AU,MATCH($C1045,'Fix Cost'!$AU:$AU,0)*(1+'Fix Cost'!$N$5),14),"")</f>
        <v/>
      </c>
    </row>
    <row r="1046" spans="2:10" ht="21.75">
      <c r="B1046" s="3143" t="s">
        <v>3653</v>
      </c>
      <c r="C1046" s="3143">
        <f t="shared" si="19"/>
        <v>77</v>
      </c>
      <c r="D1046" s="3143" t="str">
        <f ca="1">IFERROR(INDEX('Fix Cost'!$A:$AU,MATCH($C1046,'Fix Cost'!$AU:$AU,0),2),"")</f>
        <v/>
      </c>
      <c r="E1046" s="3143" t="str">
        <f ca="1">IFERROR(INDEX('Fix Cost'!$A:$AU,MATCH($C1046,'Fix Cost'!$AU:$AU,0),3),"")</f>
        <v/>
      </c>
      <c r="G1046" s="3153" t="str">
        <f ca="1">IFERROR(INDEX('Fix Cost'!$A:$AU,MATCH($C1046,'Fix Cost'!$AU:$AU,0),10),"")</f>
        <v/>
      </c>
      <c r="H1046" s="3599"/>
      <c r="I1046" s="3153" t="str">
        <f ca="1">IFERROR(INDEX('Fix Cost'!$A:$AU,MATCH($C1046,'Fix Cost'!$AU:$AU,0),14),"")</f>
        <v/>
      </c>
      <c r="J1046" s="3153" t="str">
        <f ca="1">IFERROR(INDEX('Fix Cost'!$A:$AU,MATCH($C1046,'Fix Cost'!$AU:$AU,0)*(1+'Fix Cost'!$N$5),14),"")</f>
        <v/>
      </c>
    </row>
    <row r="1047" spans="2:10" ht="21.75">
      <c r="B1047" s="3143" t="s">
        <v>3653</v>
      </c>
      <c r="C1047" s="3143">
        <f t="shared" si="19"/>
        <v>78</v>
      </c>
      <c r="D1047" s="3143" t="str">
        <f ca="1">IFERROR(INDEX('Fix Cost'!$A:$AU,MATCH($C1047,'Fix Cost'!$AU:$AU,0),2),"")</f>
        <v/>
      </c>
      <c r="E1047" s="3143" t="str">
        <f ca="1">IFERROR(INDEX('Fix Cost'!$A:$AU,MATCH($C1047,'Fix Cost'!$AU:$AU,0),3),"")</f>
        <v/>
      </c>
      <c r="G1047" s="3153" t="str">
        <f ca="1">IFERROR(INDEX('Fix Cost'!$A:$AU,MATCH($C1047,'Fix Cost'!$AU:$AU,0),10),"")</f>
        <v/>
      </c>
      <c r="H1047" s="3599"/>
      <c r="I1047" s="3153" t="str">
        <f ca="1">IFERROR(INDEX('Fix Cost'!$A:$AU,MATCH($C1047,'Fix Cost'!$AU:$AU,0),14),"")</f>
        <v/>
      </c>
      <c r="J1047" s="3153" t="str">
        <f ca="1">IFERROR(INDEX('Fix Cost'!$A:$AU,MATCH($C1047,'Fix Cost'!$AU:$AU,0)*(1+'Fix Cost'!$N$5),14),"")</f>
        <v/>
      </c>
    </row>
    <row r="1048" spans="2:10" ht="21.75">
      <c r="B1048" s="3143" t="s">
        <v>3653</v>
      </c>
      <c r="C1048" s="3143">
        <f t="shared" si="19"/>
        <v>79</v>
      </c>
      <c r="D1048" s="3143" t="str">
        <f ca="1">IFERROR(INDEX('Fix Cost'!$A:$AU,MATCH($C1048,'Fix Cost'!$AU:$AU,0),2),"")</f>
        <v/>
      </c>
      <c r="E1048" s="3143" t="str">
        <f ca="1">IFERROR(INDEX('Fix Cost'!$A:$AU,MATCH($C1048,'Fix Cost'!$AU:$AU,0),3),"")</f>
        <v/>
      </c>
      <c r="G1048" s="3153" t="str">
        <f ca="1">IFERROR(INDEX('Fix Cost'!$A:$AU,MATCH($C1048,'Fix Cost'!$AU:$AU,0),10),"")</f>
        <v/>
      </c>
      <c r="H1048" s="3599"/>
      <c r="I1048" s="3153" t="str">
        <f ca="1">IFERROR(INDEX('Fix Cost'!$A:$AU,MATCH($C1048,'Fix Cost'!$AU:$AU,0),14),"")</f>
        <v/>
      </c>
      <c r="J1048" s="3153" t="str">
        <f ca="1">IFERROR(INDEX('Fix Cost'!$A:$AU,MATCH($C1048,'Fix Cost'!$AU:$AU,0)*(1+'Fix Cost'!$N$5),14),"")</f>
        <v/>
      </c>
    </row>
    <row r="1049" spans="2:10" ht="21.75">
      <c r="B1049" s="3143" t="s">
        <v>3653</v>
      </c>
      <c r="C1049" s="3143">
        <f t="shared" si="19"/>
        <v>80</v>
      </c>
      <c r="D1049" s="3143" t="str">
        <f ca="1">IFERROR(INDEX('Fix Cost'!$A:$AU,MATCH($C1049,'Fix Cost'!$AU:$AU,0),2),"")</f>
        <v/>
      </c>
      <c r="E1049" s="3143" t="str">
        <f ca="1">IFERROR(INDEX('Fix Cost'!$A:$AU,MATCH($C1049,'Fix Cost'!$AU:$AU,0),3),"")</f>
        <v/>
      </c>
      <c r="G1049" s="3153" t="str">
        <f ca="1">IFERROR(INDEX('Fix Cost'!$A:$AU,MATCH($C1049,'Fix Cost'!$AU:$AU,0),10),"")</f>
        <v/>
      </c>
      <c r="H1049" s="3599"/>
      <c r="I1049" s="3153" t="str">
        <f ca="1">IFERROR(INDEX('Fix Cost'!$A:$AU,MATCH($C1049,'Fix Cost'!$AU:$AU,0),14),"")</f>
        <v/>
      </c>
      <c r="J1049" s="3153" t="str">
        <f ca="1">IFERROR(INDEX('Fix Cost'!$A:$AU,MATCH($C1049,'Fix Cost'!$AU:$AU,0)*(1+'Fix Cost'!$N$5),14),"")</f>
        <v/>
      </c>
    </row>
    <row r="1050" spans="2:10" ht="21.75">
      <c r="B1050" s="3143" t="s">
        <v>3653</v>
      </c>
      <c r="C1050" s="3143">
        <f t="shared" si="19"/>
        <v>81</v>
      </c>
      <c r="D1050" s="3143" t="str">
        <f ca="1">IFERROR(INDEX('Fix Cost'!$A:$AU,MATCH($C1050,'Fix Cost'!$AU:$AU,0),2),"")</f>
        <v/>
      </c>
      <c r="E1050" s="3143" t="str">
        <f ca="1">IFERROR(INDEX('Fix Cost'!$A:$AU,MATCH($C1050,'Fix Cost'!$AU:$AU,0),3),"")</f>
        <v/>
      </c>
      <c r="G1050" s="3153" t="str">
        <f ca="1">IFERROR(INDEX('Fix Cost'!$A:$AU,MATCH($C1050,'Fix Cost'!$AU:$AU,0),10),"")</f>
        <v/>
      </c>
      <c r="H1050" s="3599"/>
      <c r="I1050" s="3153" t="str">
        <f ca="1">IFERROR(INDEX('Fix Cost'!$A:$AU,MATCH($C1050,'Fix Cost'!$AU:$AU,0),14),"")</f>
        <v/>
      </c>
      <c r="J1050" s="3153" t="str">
        <f ca="1">IFERROR(INDEX('Fix Cost'!$A:$AU,MATCH($C1050,'Fix Cost'!$AU:$AU,0)*(1+'Fix Cost'!$N$5),14),"")</f>
        <v/>
      </c>
    </row>
    <row r="1051" spans="2:10" ht="21.75">
      <c r="B1051" s="3143" t="s">
        <v>3653</v>
      </c>
      <c r="C1051" s="3143">
        <f t="shared" si="19"/>
        <v>82</v>
      </c>
      <c r="D1051" s="3143" t="str">
        <f ca="1">IFERROR(INDEX('Fix Cost'!$A:$AU,MATCH($C1051,'Fix Cost'!$AU:$AU,0),2),"")</f>
        <v/>
      </c>
      <c r="E1051" s="3143" t="str">
        <f ca="1">IFERROR(INDEX('Fix Cost'!$A:$AU,MATCH($C1051,'Fix Cost'!$AU:$AU,0),3),"")</f>
        <v/>
      </c>
      <c r="G1051" s="3153" t="str">
        <f ca="1">IFERROR(INDEX('Fix Cost'!$A:$AU,MATCH($C1051,'Fix Cost'!$AU:$AU,0),10),"")</f>
        <v/>
      </c>
      <c r="H1051" s="3599"/>
      <c r="I1051" s="3153" t="str">
        <f ca="1">IFERROR(INDEX('Fix Cost'!$A:$AU,MATCH($C1051,'Fix Cost'!$AU:$AU,0),14),"")</f>
        <v/>
      </c>
      <c r="J1051" s="3153" t="str">
        <f ca="1">IFERROR(INDEX('Fix Cost'!$A:$AU,MATCH($C1051,'Fix Cost'!$AU:$AU,0)*(1+'Fix Cost'!$N$5),14),"")</f>
        <v/>
      </c>
    </row>
    <row r="1052" spans="2:10" ht="21.75">
      <c r="B1052" s="3143" t="s">
        <v>3653</v>
      </c>
      <c r="C1052" s="3143">
        <f t="shared" si="19"/>
        <v>83</v>
      </c>
      <c r="D1052" s="3143" t="str">
        <f ca="1">IFERROR(INDEX('Fix Cost'!$A:$AU,MATCH($C1052,'Fix Cost'!$AU:$AU,0),2),"")</f>
        <v/>
      </c>
      <c r="E1052" s="3143" t="str">
        <f ca="1">IFERROR(INDEX('Fix Cost'!$A:$AU,MATCH($C1052,'Fix Cost'!$AU:$AU,0),3),"")</f>
        <v/>
      </c>
      <c r="G1052" s="3153" t="str">
        <f ca="1">IFERROR(INDEX('Fix Cost'!$A:$AU,MATCH($C1052,'Fix Cost'!$AU:$AU,0),10),"")</f>
        <v/>
      </c>
      <c r="H1052" s="3599"/>
      <c r="I1052" s="3153" t="str">
        <f ca="1">IFERROR(INDEX('Fix Cost'!$A:$AU,MATCH($C1052,'Fix Cost'!$AU:$AU,0),14),"")</f>
        <v/>
      </c>
      <c r="J1052" s="3153" t="str">
        <f ca="1">IFERROR(INDEX('Fix Cost'!$A:$AU,MATCH($C1052,'Fix Cost'!$AU:$AU,0)*(1+'Fix Cost'!$N$5),14),"")</f>
        <v/>
      </c>
    </row>
    <row r="1053" spans="2:10" ht="21.75">
      <c r="B1053" s="3143" t="s">
        <v>3653</v>
      </c>
      <c r="C1053" s="3143">
        <f t="shared" si="19"/>
        <v>84</v>
      </c>
      <c r="D1053" s="3143" t="str">
        <f ca="1">IFERROR(INDEX('Fix Cost'!$A:$AU,MATCH($C1053,'Fix Cost'!$AU:$AU,0),2),"")</f>
        <v/>
      </c>
      <c r="E1053" s="3143" t="str">
        <f ca="1">IFERROR(INDEX('Fix Cost'!$A:$AU,MATCH($C1053,'Fix Cost'!$AU:$AU,0),3),"")</f>
        <v/>
      </c>
      <c r="G1053" s="3153" t="str">
        <f ca="1">IFERROR(INDEX('Fix Cost'!$A:$AU,MATCH($C1053,'Fix Cost'!$AU:$AU,0),10),"")</f>
        <v/>
      </c>
      <c r="H1053" s="3599"/>
      <c r="I1053" s="3153" t="str">
        <f ca="1">IFERROR(INDEX('Fix Cost'!$A:$AU,MATCH($C1053,'Fix Cost'!$AU:$AU,0),14),"")</f>
        <v/>
      </c>
      <c r="J1053" s="3153" t="str">
        <f ca="1">IFERROR(INDEX('Fix Cost'!$A:$AU,MATCH($C1053,'Fix Cost'!$AU:$AU,0)*(1+'Fix Cost'!$N$5),14),"")</f>
        <v/>
      </c>
    </row>
    <row r="1054" spans="2:10" ht="21.75">
      <c r="B1054" s="3143" t="s">
        <v>3653</v>
      </c>
      <c r="C1054" s="3143">
        <f t="shared" si="19"/>
        <v>85</v>
      </c>
      <c r="D1054" s="3143" t="str">
        <f ca="1">IFERROR(INDEX('Fix Cost'!$A:$AU,MATCH($C1054,'Fix Cost'!$AU:$AU,0),2),"")</f>
        <v/>
      </c>
      <c r="E1054" s="3143" t="str">
        <f ca="1">IFERROR(INDEX('Fix Cost'!$A:$AU,MATCH($C1054,'Fix Cost'!$AU:$AU,0),3),"")</f>
        <v/>
      </c>
      <c r="G1054" s="3153" t="str">
        <f ca="1">IFERROR(INDEX('Fix Cost'!$A:$AU,MATCH($C1054,'Fix Cost'!$AU:$AU,0),10),"")</f>
        <v/>
      </c>
      <c r="H1054" s="3599"/>
      <c r="I1054" s="3153" t="str">
        <f ca="1">IFERROR(INDEX('Fix Cost'!$A:$AU,MATCH($C1054,'Fix Cost'!$AU:$AU,0),14),"")</f>
        <v/>
      </c>
      <c r="J1054" s="3153" t="str">
        <f ca="1">IFERROR(INDEX('Fix Cost'!$A:$AU,MATCH($C1054,'Fix Cost'!$AU:$AU,0)*(1+'Fix Cost'!$N$5),14),"")</f>
        <v/>
      </c>
    </row>
    <row r="1055" spans="2:10" ht="21.75">
      <c r="B1055" s="3143" t="s">
        <v>3653</v>
      </c>
      <c r="C1055" s="3143">
        <f t="shared" si="19"/>
        <v>86</v>
      </c>
      <c r="D1055" s="3143" t="str">
        <f ca="1">IFERROR(INDEX('Fix Cost'!$A:$AU,MATCH($C1055,'Fix Cost'!$AU:$AU,0),2),"")</f>
        <v/>
      </c>
      <c r="E1055" s="3143" t="str">
        <f ca="1">IFERROR(INDEX('Fix Cost'!$A:$AU,MATCH($C1055,'Fix Cost'!$AU:$AU,0),3),"")</f>
        <v/>
      </c>
      <c r="G1055" s="3153" t="str">
        <f ca="1">IFERROR(INDEX('Fix Cost'!$A:$AU,MATCH($C1055,'Fix Cost'!$AU:$AU,0),10),"")</f>
        <v/>
      </c>
      <c r="H1055" s="3599"/>
      <c r="I1055" s="3153" t="str">
        <f ca="1">IFERROR(INDEX('Fix Cost'!$A:$AU,MATCH($C1055,'Fix Cost'!$AU:$AU,0),14),"")</f>
        <v/>
      </c>
      <c r="J1055" s="3153" t="str">
        <f ca="1">IFERROR(INDEX('Fix Cost'!$A:$AU,MATCH($C1055,'Fix Cost'!$AU:$AU,0)*(1+'Fix Cost'!$N$5),14),"")</f>
        <v/>
      </c>
    </row>
    <row r="1056" spans="2:10" ht="21.75">
      <c r="B1056" s="3143" t="s">
        <v>3653</v>
      </c>
      <c r="C1056" s="3143">
        <f t="shared" si="19"/>
        <v>87</v>
      </c>
      <c r="D1056" s="3143" t="str">
        <f ca="1">IFERROR(INDEX('Fix Cost'!$A:$AU,MATCH($C1056,'Fix Cost'!$AU:$AU,0),2),"")</f>
        <v/>
      </c>
      <c r="E1056" s="3143" t="str">
        <f ca="1">IFERROR(INDEX('Fix Cost'!$A:$AU,MATCH($C1056,'Fix Cost'!$AU:$AU,0),3),"")</f>
        <v/>
      </c>
      <c r="G1056" s="3153" t="str">
        <f ca="1">IFERROR(INDEX('Fix Cost'!$A:$AU,MATCH($C1056,'Fix Cost'!$AU:$AU,0),10),"")</f>
        <v/>
      </c>
      <c r="H1056" s="3599"/>
      <c r="I1056" s="3153" t="str">
        <f ca="1">IFERROR(INDEX('Fix Cost'!$A:$AU,MATCH($C1056,'Fix Cost'!$AU:$AU,0),14),"")</f>
        <v/>
      </c>
      <c r="J1056" s="3153" t="str">
        <f ca="1">IFERROR(INDEX('Fix Cost'!$A:$AU,MATCH($C1056,'Fix Cost'!$AU:$AU,0)*(1+'Fix Cost'!$N$5),14),"")</f>
        <v/>
      </c>
    </row>
    <row r="1057" spans="2:10" ht="21.75">
      <c r="B1057" s="3143" t="s">
        <v>3653</v>
      </c>
      <c r="C1057" s="3143">
        <f t="shared" si="19"/>
        <v>88</v>
      </c>
      <c r="D1057" s="3143" t="str">
        <f ca="1">IFERROR(INDEX('Fix Cost'!$A:$AU,MATCH($C1057,'Fix Cost'!$AU:$AU,0),2),"")</f>
        <v/>
      </c>
      <c r="E1057" s="3143" t="str">
        <f ca="1">IFERROR(INDEX('Fix Cost'!$A:$AU,MATCH($C1057,'Fix Cost'!$AU:$AU,0),3),"")</f>
        <v/>
      </c>
      <c r="G1057" s="3153" t="str">
        <f ca="1">IFERROR(INDEX('Fix Cost'!$A:$AU,MATCH($C1057,'Fix Cost'!$AU:$AU,0),10),"")</f>
        <v/>
      </c>
      <c r="H1057" s="3599"/>
      <c r="I1057" s="3153" t="str">
        <f ca="1">IFERROR(INDEX('Fix Cost'!$A:$AU,MATCH($C1057,'Fix Cost'!$AU:$AU,0),14),"")</f>
        <v/>
      </c>
      <c r="J1057" s="3153" t="str">
        <f ca="1">IFERROR(INDEX('Fix Cost'!$A:$AU,MATCH($C1057,'Fix Cost'!$AU:$AU,0)*(1+'Fix Cost'!$N$5),14),"")</f>
        <v/>
      </c>
    </row>
    <row r="1058" spans="2:10" ht="21.75">
      <c r="B1058" s="3143" t="s">
        <v>3653</v>
      </c>
      <c r="C1058" s="3143">
        <f t="shared" si="19"/>
        <v>89</v>
      </c>
      <c r="D1058" s="3143" t="str">
        <f ca="1">IFERROR(INDEX('Fix Cost'!$A:$AU,MATCH($C1058,'Fix Cost'!$AU:$AU,0),2),"")</f>
        <v/>
      </c>
      <c r="E1058" s="3143" t="str">
        <f ca="1">IFERROR(INDEX('Fix Cost'!$A:$AU,MATCH($C1058,'Fix Cost'!$AU:$AU,0),3),"")</f>
        <v/>
      </c>
      <c r="G1058" s="3153" t="str">
        <f ca="1">IFERROR(INDEX('Fix Cost'!$A:$AU,MATCH($C1058,'Fix Cost'!$AU:$AU,0),10),"")</f>
        <v/>
      </c>
      <c r="H1058" s="3599"/>
      <c r="I1058" s="3153" t="str">
        <f ca="1">IFERROR(INDEX('Fix Cost'!$A:$AU,MATCH($C1058,'Fix Cost'!$AU:$AU,0),14),"")</f>
        <v/>
      </c>
      <c r="J1058" s="3153" t="str">
        <f ca="1">IFERROR(INDEX('Fix Cost'!$A:$AU,MATCH($C1058,'Fix Cost'!$AU:$AU,0)*(1+'Fix Cost'!$N$5),14),"")</f>
        <v/>
      </c>
    </row>
    <row r="1059" spans="2:10" ht="21.75">
      <c r="B1059" s="3143" t="s">
        <v>3653</v>
      </c>
      <c r="C1059" s="3143">
        <f t="shared" si="19"/>
        <v>90</v>
      </c>
      <c r="D1059" s="3143" t="str">
        <f ca="1">IFERROR(INDEX('Fix Cost'!$A:$AU,MATCH($C1059,'Fix Cost'!$AU:$AU,0),2),"")</f>
        <v/>
      </c>
      <c r="E1059" s="3143" t="str">
        <f ca="1">IFERROR(INDEX('Fix Cost'!$A:$AU,MATCH($C1059,'Fix Cost'!$AU:$AU,0),3),"")</f>
        <v/>
      </c>
      <c r="G1059" s="3153" t="str">
        <f ca="1">IFERROR(INDEX('Fix Cost'!$A:$AU,MATCH($C1059,'Fix Cost'!$AU:$AU,0),10),"")</f>
        <v/>
      </c>
      <c r="H1059" s="3599"/>
      <c r="I1059" s="3153" t="str">
        <f ca="1">IFERROR(INDEX('Fix Cost'!$A:$AU,MATCH($C1059,'Fix Cost'!$AU:$AU,0),14),"")</f>
        <v/>
      </c>
      <c r="J1059" s="3153" t="str">
        <f ca="1">IFERROR(INDEX('Fix Cost'!$A:$AU,MATCH($C1059,'Fix Cost'!$AU:$AU,0)*(1+'Fix Cost'!$N$5),14),"")</f>
        <v/>
      </c>
    </row>
    <row r="1060" spans="2:10" ht="21.75">
      <c r="B1060" s="3143" t="s">
        <v>3653</v>
      </c>
      <c r="C1060" s="3143">
        <f t="shared" si="19"/>
        <v>91</v>
      </c>
      <c r="D1060" s="3143" t="str">
        <f ca="1">IFERROR(INDEX('Fix Cost'!$A:$AU,MATCH($C1060,'Fix Cost'!$AU:$AU,0),2),"")</f>
        <v/>
      </c>
      <c r="E1060" s="3143" t="str">
        <f ca="1">IFERROR(INDEX('Fix Cost'!$A:$AU,MATCH($C1060,'Fix Cost'!$AU:$AU,0),3),"")</f>
        <v/>
      </c>
      <c r="G1060" s="3153" t="str">
        <f ca="1">IFERROR(INDEX('Fix Cost'!$A:$AU,MATCH($C1060,'Fix Cost'!$AU:$AU,0),10),"")</f>
        <v/>
      </c>
      <c r="H1060" s="3599"/>
      <c r="I1060" s="3153" t="str">
        <f ca="1">IFERROR(INDEX('Fix Cost'!$A:$AU,MATCH($C1060,'Fix Cost'!$AU:$AU,0),14),"")</f>
        <v/>
      </c>
      <c r="J1060" s="3153" t="str">
        <f ca="1">IFERROR(INDEX('Fix Cost'!$A:$AU,MATCH($C1060,'Fix Cost'!$AU:$AU,0)*(1+'Fix Cost'!$N$5),14),"")</f>
        <v/>
      </c>
    </row>
    <row r="1061" spans="2:10" ht="21.75">
      <c r="B1061" s="3143" t="s">
        <v>3653</v>
      </c>
      <c r="C1061" s="3143">
        <f t="shared" si="19"/>
        <v>92</v>
      </c>
      <c r="D1061" s="3143" t="str">
        <f ca="1">IFERROR(INDEX('Fix Cost'!$A:$AU,MATCH($C1061,'Fix Cost'!$AU:$AU,0),2),"")</f>
        <v/>
      </c>
      <c r="E1061" s="3143" t="str">
        <f ca="1">IFERROR(INDEX('Fix Cost'!$A:$AU,MATCH($C1061,'Fix Cost'!$AU:$AU,0),3),"")</f>
        <v/>
      </c>
      <c r="G1061" s="3153" t="str">
        <f ca="1">IFERROR(INDEX('Fix Cost'!$A:$AU,MATCH($C1061,'Fix Cost'!$AU:$AU,0),10),"")</f>
        <v/>
      </c>
      <c r="H1061" s="3599"/>
      <c r="I1061" s="3153" t="str">
        <f ca="1">IFERROR(INDEX('Fix Cost'!$A:$AU,MATCH($C1061,'Fix Cost'!$AU:$AU,0),14),"")</f>
        <v/>
      </c>
      <c r="J1061" s="3153" t="str">
        <f ca="1">IFERROR(INDEX('Fix Cost'!$A:$AU,MATCH($C1061,'Fix Cost'!$AU:$AU,0)*(1+'Fix Cost'!$N$5),14),"")</f>
        <v/>
      </c>
    </row>
    <row r="1062" spans="2:10" ht="21.75">
      <c r="B1062" s="3143" t="s">
        <v>3653</v>
      </c>
      <c r="C1062" s="3143">
        <f t="shared" si="19"/>
        <v>93</v>
      </c>
      <c r="D1062" s="3143" t="str">
        <f ca="1">IFERROR(INDEX('Fix Cost'!$A:$AU,MATCH($C1062,'Fix Cost'!$AU:$AU,0),2),"")</f>
        <v/>
      </c>
      <c r="E1062" s="3143" t="str">
        <f ca="1">IFERROR(INDEX('Fix Cost'!$A:$AU,MATCH($C1062,'Fix Cost'!$AU:$AU,0),3),"")</f>
        <v/>
      </c>
      <c r="G1062" s="3153" t="str">
        <f ca="1">IFERROR(INDEX('Fix Cost'!$A:$AU,MATCH($C1062,'Fix Cost'!$AU:$AU,0),10),"")</f>
        <v/>
      </c>
      <c r="H1062" s="3599"/>
      <c r="I1062" s="3153" t="str">
        <f ca="1">IFERROR(INDEX('Fix Cost'!$A:$AU,MATCH($C1062,'Fix Cost'!$AU:$AU,0),14),"")</f>
        <v/>
      </c>
      <c r="J1062" s="3153" t="str">
        <f ca="1">IFERROR(INDEX('Fix Cost'!$A:$AU,MATCH($C1062,'Fix Cost'!$AU:$AU,0)*(1+'Fix Cost'!$N$5),14),"")</f>
        <v/>
      </c>
    </row>
    <row r="1063" spans="2:10" ht="21.75">
      <c r="B1063" s="3143" t="s">
        <v>3653</v>
      </c>
      <c r="C1063" s="3143">
        <f t="shared" si="19"/>
        <v>94</v>
      </c>
      <c r="D1063" s="3143" t="str">
        <f ca="1">IFERROR(INDEX('Fix Cost'!$A:$AU,MATCH($C1063,'Fix Cost'!$AU:$AU,0),2),"")</f>
        <v/>
      </c>
      <c r="E1063" s="3143" t="str">
        <f ca="1">IFERROR(INDEX('Fix Cost'!$A:$AU,MATCH($C1063,'Fix Cost'!$AU:$AU,0),3),"")</f>
        <v/>
      </c>
      <c r="G1063" s="3153" t="str">
        <f ca="1">IFERROR(INDEX('Fix Cost'!$A:$AU,MATCH($C1063,'Fix Cost'!$AU:$AU,0),10),"")</f>
        <v/>
      </c>
      <c r="H1063" s="3599"/>
      <c r="I1063" s="3153" t="str">
        <f ca="1">IFERROR(INDEX('Fix Cost'!$A:$AU,MATCH($C1063,'Fix Cost'!$AU:$AU,0),14),"")</f>
        <v/>
      </c>
      <c r="J1063" s="3153" t="str">
        <f ca="1">IFERROR(INDEX('Fix Cost'!$A:$AU,MATCH($C1063,'Fix Cost'!$AU:$AU,0)*(1+'Fix Cost'!$N$5),14),"")</f>
        <v/>
      </c>
    </row>
    <row r="1064" spans="2:10" ht="21.75">
      <c r="B1064" s="3143" t="s">
        <v>3653</v>
      </c>
      <c r="C1064" s="3143">
        <f t="shared" si="19"/>
        <v>95</v>
      </c>
      <c r="D1064" s="3143" t="str">
        <f ca="1">IFERROR(INDEX('Fix Cost'!$A:$AU,MATCH($C1064,'Fix Cost'!$AU:$AU,0),2),"")</f>
        <v/>
      </c>
      <c r="E1064" s="3143" t="str">
        <f ca="1">IFERROR(INDEX('Fix Cost'!$A:$AU,MATCH($C1064,'Fix Cost'!$AU:$AU,0),3),"")</f>
        <v/>
      </c>
      <c r="G1064" s="3153" t="str">
        <f ca="1">IFERROR(INDEX('Fix Cost'!$A:$AU,MATCH($C1064,'Fix Cost'!$AU:$AU,0),10),"")</f>
        <v/>
      </c>
      <c r="H1064" s="3599"/>
      <c r="I1064" s="3153" t="str">
        <f ca="1">IFERROR(INDEX('Fix Cost'!$A:$AU,MATCH($C1064,'Fix Cost'!$AU:$AU,0),14),"")</f>
        <v/>
      </c>
      <c r="J1064" s="3153" t="str">
        <f ca="1">IFERROR(INDEX('Fix Cost'!$A:$AU,MATCH($C1064,'Fix Cost'!$AU:$AU,0)*(1+'Fix Cost'!$N$5),14),"")</f>
        <v/>
      </c>
    </row>
    <row r="1065" spans="2:10" ht="21.75">
      <c r="B1065" s="3143" t="s">
        <v>3653</v>
      </c>
      <c r="C1065" s="3143">
        <f t="shared" si="19"/>
        <v>96</v>
      </c>
      <c r="D1065" s="3143" t="str">
        <f ca="1">IFERROR(INDEX('Fix Cost'!$A:$AU,MATCH($C1065,'Fix Cost'!$AU:$AU,0),2),"")</f>
        <v/>
      </c>
      <c r="E1065" s="3143" t="str">
        <f ca="1">IFERROR(INDEX('Fix Cost'!$A:$AU,MATCH($C1065,'Fix Cost'!$AU:$AU,0),3),"")</f>
        <v/>
      </c>
      <c r="G1065" s="3153" t="str">
        <f ca="1">IFERROR(INDEX('Fix Cost'!$A:$AU,MATCH($C1065,'Fix Cost'!$AU:$AU,0),10),"")</f>
        <v/>
      </c>
      <c r="H1065" s="3599"/>
      <c r="I1065" s="3153" t="str">
        <f ca="1">IFERROR(INDEX('Fix Cost'!$A:$AU,MATCH($C1065,'Fix Cost'!$AU:$AU,0),14),"")</f>
        <v/>
      </c>
      <c r="J1065" s="3153" t="str">
        <f ca="1">IFERROR(INDEX('Fix Cost'!$A:$AU,MATCH($C1065,'Fix Cost'!$AU:$AU,0)*(1+'Fix Cost'!$N$5),14),"")</f>
        <v/>
      </c>
    </row>
    <row r="1066" spans="2:10" ht="21.75">
      <c r="B1066" s="3143" t="s">
        <v>3653</v>
      </c>
      <c r="C1066" s="3143">
        <f t="shared" si="19"/>
        <v>97</v>
      </c>
      <c r="D1066" s="3143" t="str">
        <f ca="1">IFERROR(INDEX('Fix Cost'!$A:$AU,MATCH($C1066,'Fix Cost'!$AU:$AU,0),2),"")</f>
        <v/>
      </c>
      <c r="E1066" s="3143" t="str">
        <f ca="1">IFERROR(INDEX('Fix Cost'!$A:$AU,MATCH($C1066,'Fix Cost'!$AU:$AU,0),3),"")</f>
        <v/>
      </c>
      <c r="G1066" s="3153" t="str">
        <f ca="1">IFERROR(INDEX('Fix Cost'!$A:$AU,MATCH($C1066,'Fix Cost'!$AU:$AU,0),10),"")</f>
        <v/>
      </c>
      <c r="H1066" s="3599"/>
      <c r="I1066" s="3153" t="str">
        <f ca="1">IFERROR(INDEX('Fix Cost'!$A:$AU,MATCH($C1066,'Fix Cost'!$AU:$AU,0),14),"")</f>
        <v/>
      </c>
      <c r="J1066" s="3153" t="str">
        <f ca="1">IFERROR(INDEX('Fix Cost'!$A:$AU,MATCH($C1066,'Fix Cost'!$AU:$AU,0)*(1+'Fix Cost'!$N$5),14),"")</f>
        <v/>
      </c>
    </row>
    <row r="1067" spans="2:10" ht="21.75">
      <c r="B1067" s="3143" t="s">
        <v>3653</v>
      </c>
      <c r="C1067" s="3143">
        <f t="shared" si="19"/>
        <v>98</v>
      </c>
      <c r="D1067" s="3143" t="str">
        <f ca="1">IFERROR(INDEX('Fix Cost'!$A:$AU,MATCH($C1067,'Fix Cost'!$AU:$AU,0),2),"")</f>
        <v/>
      </c>
      <c r="E1067" s="3143" t="str">
        <f ca="1">IFERROR(INDEX('Fix Cost'!$A:$AU,MATCH($C1067,'Fix Cost'!$AU:$AU,0),3),"")</f>
        <v/>
      </c>
      <c r="G1067" s="3153" t="str">
        <f ca="1">IFERROR(INDEX('Fix Cost'!$A:$AU,MATCH($C1067,'Fix Cost'!$AU:$AU,0),10),"")</f>
        <v/>
      </c>
      <c r="H1067" s="3599"/>
      <c r="I1067" s="3153" t="str">
        <f ca="1">IFERROR(INDEX('Fix Cost'!$A:$AU,MATCH($C1067,'Fix Cost'!$AU:$AU,0),14),"")</f>
        <v/>
      </c>
      <c r="J1067" s="3153" t="str">
        <f ca="1">IFERROR(INDEX('Fix Cost'!$A:$AU,MATCH($C1067,'Fix Cost'!$AU:$AU,0)*(1+'Fix Cost'!$N$5),14),"")</f>
        <v/>
      </c>
    </row>
    <row r="1068" spans="2:10" ht="21.75">
      <c r="B1068" s="3143" t="s">
        <v>3653</v>
      </c>
      <c r="C1068" s="3143">
        <f t="shared" si="19"/>
        <v>99</v>
      </c>
      <c r="D1068" s="3143" t="str">
        <f ca="1">IFERROR(INDEX('Fix Cost'!$A:$AU,MATCH($C1068,'Fix Cost'!$AU:$AU,0),2),"")</f>
        <v/>
      </c>
      <c r="E1068" s="3143" t="str">
        <f ca="1">IFERROR(INDEX('Fix Cost'!$A:$AU,MATCH($C1068,'Fix Cost'!$AU:$AU,0),3),"")</f>
        <v/>
      </c>
      <c r="G1068" s="3153" t="str">
        <f ca="1">IFERROR(INDEX('Fix Cost'!$A:$AU,MATCH($C1068,'Fix Cost'!$AU:$AU,0),10),"")</f>
        <v/>
      </c>
      <c r="H1068" s="3599"/>
      <c r="I1068" s="3153" t="str">
        <f ca="1">IFERROR(INDEX('Fix Cost'!$A:$AU,MATCH($C1068,'Fix Cost'!$AU:$AU,0),14),"")</f>
        <v/>
      </c>
      <c r="J1068" s="3153" t="str">
        <f ca="1">IFERROR(INDEX('Fix Cost'!$A:$AU,MATCH($C1068,'Fix Cost'!$AU:$AU,0)*(1+'Fix Cost'!$N$5),14),"")</f>
        <v/>
      </c>
    </row>
    <row r="1069" spans="2:10" ht="21.75">
      <c r="B1069" s="3143" t="s">
        <v>3653</v>
      </c>
      <c r="C1069" s="3143">
        <f t="shared" si="19"/>
        <v>100</v>
      </c>
      <c r="D1069" s="3143" t="str">
        <f ca="1">IFERROR(INDEX('Fix Cost'!$A:$AU,MATCH($C1069,'Fix Cost'!$AU:$AU,0),2),"")</f>
        <v/>
      </c>
      <c r="E1069" s="3143" t="str">
        <f ca="1">IFERROR(INDEX('Fix Cost'!$A:$AU,MATCH($C1069,'Fix Cost'!$AU:$AU,0),3),"")</f>
        <v/>
      </c>
      <c r="G1069" s="3153" t="str">
        <f ca="1">IFERROR(INDEX('Fix Cost'!$A:$AU,MATCH($C1069,'Fix Cost'!$AU:$AU,0),10),"")</f>
        <v/>
      </c>
      <c r="H1069" s="3599"/>
      <c r="I1069" s="3153" t="str">
        <f ca="1">IFERROR(INDEX('Fix Cost'!$A:$AU,MATCH($C1069,'Fix Cost'!$AU:$AU,0),14),"")</f>
        <v/>
      </c>
      <c r="J1069" s="3153" t="str">
        <f ca="1">IFERROR(INDEX('Fix Cost'!$A:$AU,MATCH($C1069,'Fix Cost'!$AU:$AU,0)*(1+'Fix Cost'!$N$5),14),"")</f>
        <v/>
      </c>
    </row>
    <row r="1070" spans="2:10" ht="21.75">
      <c r="B1070" s="3143" t="s">
        <v>3653</v>
      </c>
      <c r="C1070" s="3143">
        <f t="shared" si="19"/>
        <v>101</v>
      </c>
      <c r="D1070" s="3143" t="str">
        <f ca="1">IFERROR(INDEX('Fix Cost'!$A:$AU,MATCH($C1070,'Fix Cost'!$AU:$AU,0),2),"")</f>
        <v/>
      </c>
      <c r="E1070" s="3143" t="str">
        <f ca="1">IFERROR(INDEX('Fix Cost'!$A:$AU,MATCH($C1070,'Fix Cost'!$AU:$AU,0),3),"")</f>
        <v/>
      </c>
      <c r="G1070" s="3153" t="str">
        <f ca="1">IFERROR(INDEX('Fix Cost'!$A:$AU,MATCH($C1070,'Fix Cost'!$AU:$AU,0),10),"")</f>
        <v/>
      </c>
      <c r="H1070" s="3599"/>
      <c r="I1070" s="3153" t="str">
        <f ca="1">IFERROR(INDEX('Fix Cost'!$A:$AU,MATCH($C1070,'Fix Cost'!$AU:$AU,0),14),"")</f>
        <v/>
      </c>
      <c r="J1070" s="3153" t="str">
        <f ca="1">IFERROR(INDEX('Fix Cost'!$A:$AU,MATCH($C1070,'Fix Cost'!$AU:$AU,0)*(1+'Fix Cost'!$N$5),14),"")</f>
        <v/>
      </c>
    </row>
    <row r="1071" spans="2:10" ht="21.75">
      <c r="B1071" s="3143" t="s">
        <v>3653</v>
      </c>
      <c r="C1071" s="3143">
        <f t="shared" si="19"/>
        <v>102</v>
      </c>
      <c r="D1071" s="3143" t="str">
        <f ca="1">IFERROR(INDEX('Fix Cost'!$A:$AU,MATCH($C1071,'Fix Cost'!$AU:$AU,0),2),"")</f>
        <v/>
      </c>
      <c r="E1071" s="3143" t="str">
        <f ca="1">IFERROR(INDEX('Fix Cost'!$A:$AU,MATCH($C1071,'Fix Cost'!$AU:$AU,0),3),"")</f>
        <v/>
      </c>
      <c r="G1071" s="3153" t="str">
        <f ca="1">IFERROR(INDEX('Fix Cost'!$A:$AU,MATCH($C1071,'Fix Cost'!$AU:$AU,0),10),"")</f>
        <v/>
      </c>
      <c r="H1071" s="3599"/>
      <c r="I1071" s="3153" t="str">
        <f ca="1">IFERROR(INDEX('Fix Cost'!$A:$AU,MATCH($C1071,'Fix Cost'!$AU:$AU,0),14),"")</f>
        <v/>
      </c>
      <c r="J1071" s="3153" t="str">
        <f ca="1">IFERROR(INDEX('Fix Cost'!$A:$AU,MATCH($C1071,'Fix Cost'!$AU:$AU,0)*(1+'Fix Cost'!$N$5),14),"")</f>
        <v/>
      </c>
    </row>
    <row r="1072" spans="2:10" ht="21.75">
      <c r="B1072" s="3143" t="s">
        <v>3653</v>
      </c>
      <c r="C1072" s="3143">
        <f t="shared" si="19"/>
        <v>103</v>
      </c>
      <c r="D1072" s="3143" t="str">
        <f ca="1">IFERROR(INDEX('Fix Cost'!$A:$AU,MATCH($C1072,'Fix Cost'!$AU:$AU,0),2),"")</f>
        <v/>
      </c>
      <c r="E1072" s="3143" t="str">
        <f ca="1">IFERROR(INDEX('Fix Cost'!$A:$AU,MATCH($C1072,'Fix Cost'!$AU:$AU,0),3),"")</f>
        <v/>
      </c>
      <c r="G1072" s="3153" t="str">
        <f ca="1">IFERROR(INDEX('Fix Cost'!$A:$AU,MATCH($C1072,'Fix Cost'!$AU:$AU,0),10),"")</f>
        <v/>
      </c>
      <c r="H1072" s="3599"/>
      <c r="I1072" s="3153" t="str">
        <f ca="1">IFERROR(INDEX('Fix Cost'!$A:$AU,MATCH($C1072,'Fix Cost'!$AU:$AU,0),14),"")</f>
        <v/>
      </c>
      <c r="J1072" s="3153" t="str">
        <f ca="1">IFERROR(INDEX('Fix Cost'!$A:$AU,MATCH($C1072,'Fix Cost'!$AU:$AU,0)*(1+'Fix Cost'!$N$5),14),"")</f>
        <v/>
      </c>
    </row>
    <row r="1073" spans="2:10" ht="21.75">
      <c r="B1073" s="3143" t="s">
        <v>3653</v>
      </c>
      <c r="C1073" s="3143">
        <f t="shared" si="19"/>
        <v>104</v>
      </c>
      <c r="D1073" s="3143" t="str">
        <f ca="1">IFERROR(INDEX('Fix Cost'!$A:$AU,MATCH($C1073,'Fix Cost'!$AU:$AU,0),2),"")</f>
        <v/>
      </c>
      <c r="E1073" s="3143" t="str">
        <f ca="1">IFERROR(INDEX('Fix Cost'!$A:$AU,MATCH($C1073,'Fix Cost'!$AU:$AU,0),3),"")</f>
        <v/>
      </c>
      <c r="G1073" s="3153" t="str">
        <f ca="1">IFERROR(INDEX('Fix Cost'!$A:$AU,MATCH($C1073,'Fix Cost'!$AU:$AU,0),10),"")</f>
        <v/>
      </c>
      <c r="H1073" s="3599"/>
      <c r="I1073" s="3153" t="str">
        <f ca="1">IFERROR(INDEX('Fix Cost'!$A:$AU,MATCH($C1073,'Fix Cost'!$AU:$AU,0),14),"")</f>
        <v/>
      </c>
      <c r="J1073" s="3153" t="str">
        <f ca="1">IFERROR(INDEX('Fix Cost'!$A:$AU,MATCH($C1073,'Fix Cost'!$AU:$AU,0)*(1+'Fix Cost'!$N$5),14),"")</f>
        <v/>
      </c>
    </row>
    <row r="1074" spans="2:10" ht="21.75">
      <c r="B1074" s="3143" t="s">
        <v>3653</v>
      </c>
      <c r="C1074" s="3143">
        <f t="shared" si="19"/>
        <v>105</v>
      </c>
      <c r="D1074" s="3143" t="str">
        <f ca="1">IFERROR(INDEX('Fix Cost'!$A:$AU,MATCH($C1074,'Fix Cost'!$AU:$AU,0),2),"")</f>
        <v/>
      </c>
      <c r="E1074" s="3143" t="str">
        <f ca="1">IFERROR(INDEX('Fix Cost'!$A:$AU,MATCH($C1074,'Fix Cost'!$AU:$AU,0),3),"")</f>
        <v/>
      </c>
      <c r="G1074" s="3153" t="str">
        <f ca="1">IFERROR(INDEX('Fix Cost'!$A:$AU,MATCH($C1074,'Fix Cost'!$AU:$AU,0),10),"")</f>
        <v/>
      </c>
      <c r="H1074" s="3599"/>
      <c r="I1074" s="3153" t="str">
        <f ca="1">IFERROR(INDEX('Fix Cost'!$A:$AU,MATCH($C1074,'Fix Cost'!$AU:$AU,0),14),"")</f>
        <v/>
      </c>
      <c r="J1074" s="3153" t="str">
        <f ca="1">IFERROR(INDEX('Fix Cost'!$A:$AU,MATCH($C1074,'Fix Cost'!$AU:$AU,0)*(1+'Fix Cost'!$N$5),14),"")</f>
        <v/>
      </c>
    </row>
    <row r="1075" spans="2:10" ht="21.75">
      <c r="B1075" s="3143" t="s">
        <v>3653</v>
      </c>
      <c r="C1075" s="3143">
        <f t="shared" si="19"/>
        <v>106</v>
      </c>
      <c r="D1075" s="3143" t="str">
        <f ca="1">IFERROR(INDEX('Fix Cost'!$A:$AU,MATCH($C1075,'Fix Cost'!$AU:$AU,0),2),"")</f>
        <v/>
      </c>
      <c r="E1075" s="3143" t="str">
        <f ca="1">IFERROR(INDEX('Fix Cost'!$A:$AU,MATCH($C1075,'Fix Cost'!$AU:$AU,0),3),"")</f>
        <v/>
      </c>
      <c r="G1075" s="3153" t="str">
        <f ca="1">IFERROR(INDEX('Fix Cost'!$A:$AU,MATCH($C1075,'Fix Cost'!$AU:$AU,0),10),"")</f>
        <v/>
      </c>
      <c r="H1075" s="3599"/>
      <c r="I1075" s="3153" t="str">
        <f ca="1">IFERROR(INDEX('Fix Cost'!$A:$AU,MATCH($C1075,'Fix Cost'!$AU:$AU,0),14),"")</f>
        <v/>
      </c>
      <c r="J1075" s="3153" t="str">
        <f ca="1">IFERROR(INDEX('Fix Cost'!$A:$AU,MATCH($C1075,'Fix Cost'!$AU:$AU,0)*(1+'Fix Cost'!$N$5),14),"")</f>
        <v/>
      </c>
    </row>
    <row r="1076" spans="2:10" ht="21.75">
      <c r="B1076" s="3143" t="s">
        <v>3653</v>
      </c>
      <c r="C1076" s="3143">
        <f t="shared" si="19"/>
        <v>107</v>
      </c>
      <c r="D1076" s="3143" t="str">
        <f ca="1">IFERROR(INDEX('Fix Cost'!$A:$AU,MATCH($C1076,'Fix Cost'!$AU:$AU,0),2),"")</f>
        <v/>
      </c>
      <c r="E1076" s="3143" t="str">
        <f ca="1">IFERROR(INDEX('Fix Cost'!$A:$AU,MATCH($C1076,'Fix Cost'!$AU:$AU,0),3),"")</f>
        <v/>
      </c>
      <c r="G1076" s="3153" t="str">
        <f ca="1">IFERROR(INDEX('Fix Cost'!$A:$AU,MATCH($C1076,'Fix Cost'!$AU:$AU,0),10),"")</f>
        <v/>
      </c>
      <c r="H1076" s="3599"/>
      <c r="I1076" s="3153" t="str">
        <f ca="1">IFERROR(INDEX('Fix Cost'!$A:$AU,MATCH($C1076,'Fix Cost'!$AU:$AU,0),14),"")</f>
        <v/>
      </c>
      <c r="J1076" s="3153" t="str">
        <f ca="1">IFERROR(INDEX('Fix Cost'!$A:$AU,MATCH($C1076,'Fix Cost'!$AU:$AU,0)*(1+'Fix Cost'!$N$5),14),"")</f>
        <v/>
      </c>
    </row>
    <row r="1077" spans="2:10" ht="21.75">
      <c r="B1077" s="3143" t="s">
        <v>3653</v>
      </c>
      <c r="C1077" s="3143">
        <f t="shared" si="19"/>
        <v>108</v>
      </c>
      <c r="D1077" s="3143" t="str">
        <f ca="1">IFERROR(INDEX('Fix Cost'!$A:$AU,MATCH($C1077,'Fix Cost'!$AU:$AU,0),2),"")</f>
        <v/>
      </c>
      <c r="E1077" s="3143" t="str">
        <f ca="1">IFERROR(INDEX('Fix Cost'!$A:$AU,MATCH($C1077,'Fix Cost'!$AU:$AU,0),3),"")</f>
        <v/>
      </c>
      <c r="G1077" s="3153" t="str">
        <f ca="1">IFERROR(INDEX('Fix Cost'!$A:$AU,MATCH($C1077,'Fix Cost'!$AU:$AU,0),10),"")</f>
        <v/>
      </c>
      <c r="H1077" s="3599"/>
      <c r="I1077" s="3153" t="str">
        <f ca="1">IFERROR(INDEX('Fix Cost'!$A:$AU,MATCH($C1077,'Fix Cost'!$AU:$AU,0),14),"")</f>
        <v/>
      </c>
      <c r="J1077" s="3153" t="str">
        <f ca="1">IFERROR(INDEX('Fix Cost'!$A:$AU,MATCH($C1077,'Fix Cost'!$AU:$AU,0)*(1+'Fix Cost'!$N$5),14),"")</f>
        <v/>
      </c>
    </row>
    <row r="1078" spans="2:10" ht="21.75">
      <c r="B1078" s="3143" t="s">
        <v>3653</v>
      </c>
      <c r="C1078" s="3143">
        <f t="shared" si="19"/>
        <v>109</v>
      </c>
      <c r="D1078" s="3143" t="str">
        <f ca="1">IFERROR(INDEX('Fix Cost'!$A:$AU,MATCH($C1078,'Fix Cost'!$AU:$AU,0),2),"")</f>
        <v/>
      </c>
      <c r="E1078" s="3143" t="str">
        <f ca="1">IFERROR(INDEX('Fix Cost'!$A:$AU,MATCH($C1078,'Fix Cost'!$AU:$AU,0),3),"")</f>
        <v/>
      </c>
      <c r="G1078" s="3153" t="str">
        <f ca="1">IFERROR(INDEX('Fix Cost'!$A:$AU,MATCH($C1078,'Fix Cost'!$AU:$AU,0),10),"")</f>
        <v/>
      </c>
      <c r="H1078" s="3599"/>
      <c r="I1078" s="3153" t="str">
        <f ca="1">IFERROR(INDEX('Fix Cost'!$A:$AU,MATCH($C1078,'Fix Cost'!$AU:$AU,0),14),"")</f>
        <v/>
      </c>
      <c r="J1078" s="3153" t="str">
        <f ca="1">IFERROR(INDEX('Fix Cost'!$A:$AU,MATCH($C1078,'Fix Cost'!$AU:$AU,0)*(1+'Fix Cost'!$N$5),14),"")</f>
        <v/>
      </c>
    </row>
    <row r="1079" spans="2:10" ht="21.75">
      <c r="B1079" s="3143" t="s">
        <v>3653</v>
      </c>
      <c r="C1079" s="3143">
        <f t="shared" si="19"/>
        <v>110</v>
      </c>
      <c r="D1079" s="3143" t="str">
        <f ca="1">IFERROR(INDEX('Fix Cost'!$A:$AU,MATCH($C1079,'Fix Cost'!$AU:$AU,0),2),"")</f>
        <v/>
      </c>
      <c r="E1079" s="3143" t="str">
        <f ca="1">IFERROR(INDEX('Fix Cost'!$A:$AU,MATCH($C1079,'Fix Cost'!$AU:$AU,0),3),"")</f>
        <v/>
      </c>
      <c r="G1079" s="3153" t="str">
        <f ca="1">IFERROR(INDEX('Fix Cost'!$A:$AU,MATCH($C1079,'Fix Cost'!$AU:$AU,0),10),"")</f>
        <v/>
      </c>
      <c r="H1079" s="3599"/>
      <c r="I1079" s="3153" t="str">
        <f ca="1">IFERROR(INDEX('Fix Cost'!$A:$AU,MATCH($C1079,'Fix Cost'!$AU:$AU,0),14),"")</f>
        <v/>
      </c>
      <c r="J1079" s="3153" t="str">
        <f ca="1">IFERROR(INDEX('Fix Cost'!$A:$AU,MATCH($C1079,'Fix Cost'!$AU:$AU,0)*(1+'Fix Cost'!$N$5),14),"")</f>
        <v/>
      </c>
    </row>
    <row r="1080" spans="2:10" ht="21.75">
      <c r="B1080" s="3143" t="s">
        <v>3653</v>
      </c>
      <c r="C1080" s="3143">
        <f t="shared" si="19"/>
        <v>111</v>
      </c>
      <c r="D1080" s="3143" t="str">
        <f ca="1">IFERROR(INDEX('Fix Cost'!$A:$AU,MATCH($C1080,'Fix Cost'!$AU:$AU,0),2),"")</f>
        <v/>
      </c>
      <c r="E1080" s="3143" t="str">
        <f ca="1">IFERROR(INDEX('Fix Cost'!$A:$AU,MATCH($C1080,'Fix Cost'!$AU:$AU,0),3),"")</f>
        <v/>
      </c>
      <c r="G1080" s="3153" t="str">
        <f ca="1">IFERROR(INDEX('Fix Cost'!$A:$AU,MATCH($C1080,'Fix Cost'!$AU:$AU,0),10),"")</f>
        <v/>
      </c>
      <c r="H1080" s="3599"/>
      <c r="I1080" s="3153" t="str">
        <f ca="1">IFERROR(INDEX('Fix Cost'!$A:$AU,MATCH($C1080,'Fix Cost'!$AU:$AU,0),14),"")</f>
        <v/>
      </c>
      <c r="J1080" s="3153" t="str">
        <f ca="1">IFERROR(INDEX('Fix Cost'!$A:$AU,MATCH($C1080,'Fix Cost'!$AU:$AU,0)*(1+'Fix Cost'!$N$5),14),"")</f>
        <v/>
      </c>
    </row>
    <row r="1081" spans="2:10" ht="21.75">
      <c r="B1081" s="3143" t="s">
        <v>3653</v>
      </c>
      <c r="C1081" s="3143">
        <f t="shared" si="19"/>
        <v>112</v>
      </c>
      <c r="D1081" s="3143" t="str">
        <f ca="1">IFERROR(INDEX('Fix Cost'!$A:$AU,MATCH($C1081,'Fix Cost'!$AU:$AU,0),2),"")</f>
        <v/>
      </c>
      <c r="E1081" s="3143" t="str">
        <f ca="1">IFERROR(INDEX('Fix Cost'!$A:$AU,MATCH($C1081,'Fix Cost'!$AU:$AU,0),3),"")</f>
        <v/>
      </c>
      <c r="G1081" s="3153" t="str">
        <f ca="1">IFERROR(INDEX('Fix Cost'!$A:$AU,MATCH($C1081,'Fix Cost'!$AU:$AU,0),10),"")</f>
        <v/>
      </c>
      <c r="H1081" s="3599"/>
      <c r="I1081" s="3153" t="str">
        <f ca="1">IFERROR(INDEX('Fix Cost'!$A:$AU,MATCH($C1081,'Fix Cost'!$AU:$AU,0),14),"")</f>
        <v/>
      </c>
      <c r="J1081" s="3153" t="str">
        <f ca="1">IFERROR(INDEX('Fix Cost'!$A:$AU,MATCH($C1081,'Fix Cost'!$AU:$AU,0)*(1+'Fix Cost'!$N$5),14),"")</f>
        <v/>
      </c>
    </row>
    <row r="1082" spans="2:10" ht="21.75">
      <c r="B1082" s="3143" t="s">
        <v>3653</v>
      </c>
      <c r="C1082" s="3143">
        <f t="shared" si="19"/>
        <v>113</v>
      </c>
      <c r="D1082" s="3143" t="str">
        <f ca="1">IFERROR(INDEX('Fix Cost'!$A:$AU,MATCH($C1082,'Fix Cost'!$AU:$AU,0),2),"")</f>
        <v/>
      </c>
      <c r="E1082" s="3143" t="str">
        <f ca="1">IFERROR(INDEX('Fix Cost'!$A:$AU,MATCH($C1082,'Fix Cost'!$AU:$AU,0),3),"")</f>
        <v/>
      </c>
      <c r="G1082" s="3153" t="str">
        <f ca="1">IFERROR(INDEX('Fix Cost'!$A:$AU,MATCH($C1082,'Fix Cost'!$AU:$AU,0),10),"")</f>
        <v/>
      </c>
      <c r="H1082" s="3599"/>
      <c r="I1082" s="3153" t="str">
        <f ca="1">IFERROR(INDEX('Fix Cost'!$A:$AU,MATCH($C1082,'Fix Cost'!$AU:$AU,0),14),"")</f>
        <v/>
      </c>
      <c r="J1082" s="3153" t="str">
        <f ca="1">IFERROR(INDEX('Fix Cost'!$A:$AU,MATCH($C1082,'Fix Cost'!$AU:$AU,0)*(1+'Fix Cost'!$N$5),14),"")</f>
        <v/>
      </c>
    </row>
    <row r="1083" spans="2:10" ht="21.75">
      <c r="B1083" s="3143" t="s">
        <v>3653</v>
      </c>
      <c r="C1083" s="3143">
        <f t="shared" si="19"/>
        <v>114</v>
      </c>
      <c r="D1083" s="3143" t="str">
        <f ca="1">IFERROR(INDEX('Fix Cost'!$A:$AU,MATCH($C1083,'Fix Cost'!$AU:$AU,0),2),"")</f>
        <v/>
      </c>
      <c r="E1083" s="3143" t="str">
        <f ca="1">IFERROR(INDEX('Fix Cost'!$A:$AU,MATCH($C1083,'Fix Cost'!$AU:$AU,0),3),"")</f>
        <v/>
      </c>
      <c r="G1083" s="3153" t="str">
        <f ca="1">IFERROR(INDEX('Fix Cost'!$A:$AU,MATCH($C1083,'Fix Cost'!$AU:$AU,0),10),"")</f>
        <v/>
      </c>
      <c r="H1083" s="3599"/>
      <c r="I1083" s="3153" t="str">
        <f ca="1">IFERROR(INDEX('Fix Cost'!$A:$AU,MATCH($C1083,'Fix Cost'!$AU:$AU,0),14),"")</f>
        <v/>
      </c>
      <c r="J1083" s="3153" t="str">
        <f ca="1">IFERROR(INDEX('Fix Cost'!$A:$AU,MATCH($C1083,'Fix Cost'!$AU:$AU,0)*(1+'Fix Cost'!$N$5),14),"")</f>
        <v/>
      </c>
    </row>
    <row r="1084" spans="2:10" ht="21.75">
      <c r="B1084" s="3143" t="s">
        <v>3653</v>
      </c>
      <c r="C1084" s="3143">
        <f t="shared" si="19"/>
        <v>115</v>
      </c>
      <c r="D1084" s="3143" t="str">
        <f ca="1">IFERROR(INDEX('Fix Cost'!$A:$AU,MATCH($C1084,'Fix Cost'!$AU:$AU,0),2),"")</f>
        <v/>
      </c>
      <c r="E1084" s="3143" t="str">
        <f ca="1">IFERROR(INDEX('Fix Cost'!$A:$AU,MATCH($C1084,'Fix Cost'!$AU:$AU,0),3),"")</f>
        <v/>
      </c>
      <c r="G1084" s="3153" t="str">
        <f ca="1">IFERROR(INDEX('Fix Cost'!$A:$AU,MATCH($C1084,'Fix Cost'!$AU:$AU,0),10),"")</f>
        <v/>
      </c>
      <c r="H1084" s="3599"/>
      <c r="I1084" s="3153" t="str">
        <f ca="1">IFERROR(INDEX('Fix Cost'!$A:$AU,MATCH($C1084,'Fix Cost'!$AU:$AU,0),14),"")</f>
        <v/>
      </c>
      <c r="J1084" s="3153" t="str">
        <f ca="1">IFERROR(INDEX('Fix Cost'!$A:$AU,MATCH($C1084,'Fix Cost'!$AU:$AU,0)*(1+'Fix Cost'!$N$5),14),"")</f>
        <v/>
      </c>
    </row>
    <row r="1085" spans="2:10" ht="21.75">
      <c r="B1085" s="3143" t="s">
        <v>3653</v>
      </c>
      <c r="C1085" s="3143">
        <f t="shared" si="19"/>
        <v>116</v>
      </c>
      <c r="D1085" s="3143" t="str">
        <f ca="1">IFERROR(INDEX('Fix Cost'!$A:$AU,MATCH($C1085,'Fix Cost'!$AU:$AU,0),2),"")</f>
        <v/>
      </c>
      <c r="E1085" s="3143" t="str">
        <f ca="1">IFERROR(INDEX('Fix Cost'!$A:$AU,MATCH($C1085,'Fix Cost'!$AU:$AU,0),3),"")</f>
        <v/>
      </c>
      <c r="G1085" s="3153" t="str">
        <f ca="1">IFERROR(INDEX('Fix Cost'!$A:$AU,MATCH($C1085,'Fix Cost'!$AU:$AU,0),10),"")</f>
        <v/>
      </c>
      <c r="H1085" s="3599"/>
      <c r="I1085" s="3153" t="str">
        <f ca="1">IFERROR(INDEX('Fix Cost'!$A:$AU,MATCH($C1085,'Fix Cost'!$AU:$AU,0),14),"")</f>
        <v/>
      </c>
      <c r="J1085" s="3153" t="str">
        <f ca="1">IFERROR(INDEX('Fix Cost'!$A:$AU,MATCH($C1085,'Fix Cost'!$AU:$AU,0)*(1+'Fix Cost'!$N$5),14),"")</f>
        <v/>
      </c>
    </row>
    <row r="1086" spans="2:10" ht="21.75">
      <c r="B1086" s="3143" t="s">
        <v>3653</v>
      </c>
      <c r="C1086" s="3143">
        <f t="shared" si="19"/>
        <v>117</v>
      </c>
      <c r="D1086" s="3143" t="str">
        <f ca="1">IFERROR(INDEX('Fix Cost'!$A:$AU,MATCH($C1086,'Fix Cost'!$AU:$AU,0),2),"")</f>
        <v/>
      </c>
      <c r="E1086" s="3143" t="str">
        <f ca="1">IFERROR(INDEX('Fix Cost'!$A:$AU,MATCH($C1086,'Fix Cost'!$AU:$AU,0),3),"")</f>
        <v/>
      </c>
      <c r="G1086" s="3153" t="str">
        <f ca="1">IFERROR(INDEX('Fix Cost'!$A:$AU,MATCH($C1086,'Fix Cost'!$AU:$AU,0),10),"")</f>
        <v/>
      </c>
      <c r="H1086" s="3599"/>
      <c r="I1086" s="3153" t="str">
        <f ca="1">IFERROR(INDEX('Fix Cost'!$A:$AU,MATCH($C1086,'Fix Cost'!$AU:$AU,0),14),"")</f>
        <v/>
      </c>
      <c r="J1086" s="3153" t="str">
        <f ca="1">IFERROR(INDEX('Fix Cost'!$A:$AU,MATCH($C1086,'Fix Cost'!$AU:$AU,0)*(1+'Fix Cost'!$N$5),14),"")</f>
        <v/>
      </c>
    </row>
    <row r="1087" spans="2:10" ht="21.75">
      <c r="B1087" s="3143" t="s">
        <v>3653</v>
      </c>
      <c r="C1087" s="3143">
        <f t="shared" si="19"/>
        <v>118</v>
      </c>
      <c r="D1087" s="3143" t="str">
        <f ca="1">IFERROR(INDEX('Fix Cost'!$A:$AU,MATCH($C1087,'Fix Cost'!$AU:$AU,0),2),"")</f>
        <v/>
      </c>
      <c r="E1087" s="3143" t="str">
        <f ca="1">IFERROR(INDEX('Fix Cost'!$A:$AU,MATCH($C1087,'Fix Cost'!$AU:$AU,0),3),"")</f>
        <v/>
      </c>
      <c r="G1087" s="3153" t="str">
        <f ca="1">IFERROR(INDEX('Fix Cost'!$A:$AU,MATCH($C1087,'Fix Cost'!$AU:$AU,0),10),"")</f>
        <v/>
      </c>
      <c r="H1087" s="3599"/>
      <c r="I1087" s="3153" t="str">
        <f ca="1">IFERROR(INDEX('Fix Cost'!$A:$AU,MATCH($C1087,'Fix Cost'!$AU:$AU,0),14),"")</f>
        <v/>
      </c>
      <c r="J1087" s="3153" t="str">
        <f ca="1">IFERROR(INDEX('Fix Cost'!$A:$AU,MATCH($C1087,'Fix Cost'!$AU:$AU,0)*(1+'Fix Cost'!$N$5),14),"")</f>
        <v/>
      </c>
    </row>
    <row r="1088" spans="2:10" ht="21.75">
      <c r="B1088" s="3143" t="s">
        <v>3653</v>
      </c>
      <c r="C1088" s="3143">
        <f t="shared" si="19"/>
        <v>119</v>
      </c>
      <c r="D1088" s="3143" t="str">
        <f ca="1">IFERROR(INDEX('Fix Cost'!$A:$AU,MATCH($C1088,'Fix Cost'!$AU:$AU,0),2),"")</f>
        <v/>
      </c>
      <c r="E1088" s="3143" t="str">
        <f ca="1">IFERROR(INDEX('Fix Cost'!$A:$AU,MATCH($C1088,'Fix Cost'!$AU:$AU,0),3),"")</f>
        <v/>
      </c>
      <c r="G1088" s="3153" t="str">
        <f ca="1">IFERROR(INDEX('Fix Cost'!$A:$AU,MATCH($C1088,'Fix Cost'!$AU:$AU,0),10),"")</f>
        <v/>
      </c>
      <c r="H1088" s="3599"/>
      <c r="I1088" s="3153" t="str">
        <f ca="1">IFERROR(INDEX('Fix Cost'!$A:$AU,MATCH($C1088,'Fix Cost'!$AU:$AU,0),14),"")</f>
        <v/>
      </c>
      <c r="J1088" s="3153" t="str">
        <f ca="1">IFERROR(INDEX('Fix Cost'!$A:$AU,MATCH($C1088,'Fix Cost'!$AU:$AU,0)*(1+'Fix Cost'!$N$5),14),"")</f>
        <v/>
      </c>
    </row>
    <row r="1089" spans="2:10" ht="21.75">
      <c r="B1089" s="3143" t="s">
        <v>3653</v>
      </c>
      <c r="C1089" s="3143">
        <f t="shared" si="19"/>
        <v>120</v>
      </c>
      <c r="D1089" s="3143" t="str">
        <f ca="1">IFERROR(INDEX('Fix Cost'!$A:$AU,MATCH($C1089,'Fix Cost'!$AU:$AU,0),2),"")</f>
        <v/>
      </c>
      <c r="E1089" s="3143" t="str">
        <f ca="1">IFERROR(INDEX('Fix Cost'!$A:$AU,MATCH($C1089,'Fix Cost'!$AU:$AU,0),3),"")</f>
        <v/>
      </c>
      <c r="G1089" s="3153" t="str">
        <f ca="1">IFERROR(INDEX('Fix Cost'!$A:$AU,MATCH($C1089,'Fix Cost'!$AU:$AU,0),10),"")</f>
        <v/>
      </c>
      <c r="H1089" s="3599"/>
      <c r="I1089" s="3153" t="str">
        <f ca="1">IFERROR(INDEX('Fix Cost'!$A:$AU,MATCH($C1089,'Fix Cost'!$AU:$AU,0),14),"")</f>
        <v/>
      </c>
      <c r="J1089" s="3153" t="str">
        <f ca="1">IFERROR(INDEX('Fix Cost'!$A:$AU,MATCH($C1089,'Fix Cost'!$AU:$AU,0)*(1+'Fix Cost'!$N$5),14),"")</f>
        <v/>
      </c>
    </row>
    <row r="1090" spans="2:10" ht="21.75">
      <c r="B1090" s="3143" t="s">
        <v>3653</v>
      </c>
      <c r="C1090" s="3143">
        <f t="shared" si="19"/>
        <v>121</v>
      </c>
      <c r="D1090" s="3143" t="str">
        <f ca="1">IFERROR(INDEX('Fix Cost'!$A:$AU,MATCH($C1090,'Fix Cost'!$AU:$AU,0),2),"")</f>
        <v/>
      </c>
      <c r="E1090" s="3143" t="str">
        <f ca="1">IFERROR(INDEX('Fix Cost'!$A:$AU,MATCH($C1090,'Fix Cost'!$AU:$AU,0),3),"")</f>
        <v/>
      </c>
      <c r="G1090" s="3153" t="str">
        <f ca="1">IFERROR(INDEX('Fix Cost'!$A:$AU,MATCH($C1090,'Fix Cost'!$AU:$AU,0),10),"")</f>
        <v/>
      </c>
      <c r="H1090" s="3599"/>
      <c r="I1090" s="3153" t="str">
        <f ca="1">IFERROR(INDEX('Fix Cost'!$A:$AU,MATCH($C1090,'Fix Cost'!$AU:$AU,0),14),"")</f>
        <v/>
      </c>
      <c r="J1090" s="3153" t="str">
        <f ca="1">IFERROR(INDEX('Fix Cost'!$A:$AU,MATCH($C1090,'Fix Cost'!$AU:$AU,0)*(1+'Fix Cost'!$N$5),14),"")</f>
        <v/>
      </c>
    </row>
    <row r="1091" spans="2:10" ht="21.75">
      <c r="B1091" s="3143" t="s">
        <v>3653</v>
      </c>
      <c r="C1091" s="3143">
        <f t="shared" si="19"/>
        <v>122</v>
      </c>
      <c r="D1091" s="3143" t="str">
        <f ca="1">IFERROR(INDEX('Fix Cost'!$A:$AU,MATCH($C1091,'Fix Cost'!$AU:$AU,0),2),"")</f>
        <v/>
      </c>
      <c r="E1091" s="3143" t="str">
        <f ca="1">IFERROR(INDEX('Fix Cost'!$A:$AU,MATCH($C1091,'Fix Cost'!$AU:$AU,0),3),"")</f>
        <v/>
      </c>
      <c r="G1091" s="3153" t="str">
        <f ca="1">IFERROR(INDEX('Fix Cost'!$A:$AU,MATCH($C1091,'Fix Cost'!$AU:$AU,0),10),"")</f>
        <v/>
      </c>
      <c r="H1091" s="3599"/>
      <c r="I1091" s="3153" t="str">
        <f ca="1">IFERROR(INDEX('Fix Cost'!$A:$AU,MATCH($C1091,'Fix Cost'!$AU:$AU,0),14),"")</f>
        <v/>
      </c>
      <c r="J1091" s="3153" t="str">
        <f ca="1">IFERROR(INDEX('Fix Cost'!$A:$AU,MATCH($C1091,'Fix Cost'!$AU:$AU,0)*(1+'Fix Cost'!$N$5),14),"")</f>
        <v/>
      </c>
    </row>
    <row r="1092" spans="2:10" ht="21.75">
      <c r="B1092" s="3143" t="s">
        <v>3653</v>
      </c>
      <c r="C1092" s="3143">
        <f t="shared" si="19"/>
        <v>123</v>
      </c>
      <c r="D1092" s="3143" t="str">
        <f ca="1">IFERROR(INDEX('Fix Cost'!$A:$AU,MATCH($C1092,'Fix Cost'!$AU:$AU,0),2),"")</f>
        <v/>
      </c>
      <c r="E1092" s="3143" t="str">
        <f ca="1">IFERROR(INDEX('Fix Cost'!$A:$AU,MATCH($C1092,'Fix Cost'!$AU:$AU,0),3),"")</f>
        <v/>
      </c>
      <c r="G1092" s="3153" t="str">
        <f ca="1">IFERROR(INDEX('Fix Cost'!$A:$AU,MATCH($C1092,'Fix Cost'!$AU:$AU,0),10),"")</f>
        <v/>
      </c>
      <c r="H1092" s="3599"/>
      <c r="I1092" s="3153" t="str">
        <f ca="1">IFERROR(INDEX('Fix Cost'!$A:$AU,MATCH($C1092,'Fix Cost'!$AU:$AU,0),14),"")</f>
        <v/>
      </c>
      <c r="J1092" s="3153" t="str">
        <f ca="1">IFERROR(INDEX('Fix Cost'!$A:$AU,MATCH($C1092,'Fix Cost'!$AU:$AU,0)*(1+'Fix Cost'!$N$5),14),"")</f>
        <v/>
      </c>
    </row>
    <row r="1093" spans="2:10" ht="21.75">
      <c r="B1093" s="3143" t="s">
        <v>3653</v>
      </c>
      <c r="C1093" s="3143">
        <f t="shared" si="19"/>
        <v>124</v>
      </c>
      <c r="D1093" s="3143" t="str">
        <f ca="1">IFERROR(INDEX('Fix Cost'!$A:$AU,MATCH($C1093,'Fix Cost'!$AU:$AU,0),2),"")</f>
        <v/>
      </c>
      <c r="E1093" s="3143" t="str">
        <f ca="1">IFERROR(INDEX('Fix Cost'!$A:$AU,MATCH($C1093,'Fix Cost'!$AU:$AU,0),3),"")</f>
        <v/>
      </c>
      <c r="G1093" s="3153" t="str">
        <f ca="1">IFERROR(INDEX('Fix Cost'!$A:$AU,MATCH($C1093,'Fix Cost'!$AU:$AU,0),10),"")</f>
        <v/>
      </c>
      <c r="H1093" s="3599"/>
      <c r="I1093" s="3153" t="str">
        <f ca="1">IFERROR(INDEX('Fix Cost'!$A:$AU,MATCH($C1093,'Fix Cost'!$AU:$AU,0),14),"")</f>
        <v/>
      </c>
      <c r="J1093" s="3153" t="str">
        <f ca="1">IFERROR(INDEX('Fix Cost'!$A:$AU,MATCH($C1093,'Fix Cost'!$AU:$AU,0)*(1+'Fix Cost'!$N$5),14),"")</f>
        <v/>
      </c>
    </row>
    <row r="1094" spans="2:10" ht="21.75">
      <c r="B1094" s="3143" t="s">
        <v>3653</v>
      </c>
      <c r="C1094" s="3143">
        <f t="shared" si="19"/>
        <v>125</v>
      </c>
      <c r="D1094" s="3143" t="str">
        <f ca="1">IFERROR(INDEX('Fix Cost'!$A:$AU,MATCH($C1094,'Fix Cost'!$AU:$AU,0),2),"")</f>
        <v/>
      </c>
      <c r="E1094" s="3143" t="str">
        <f ca="1">IFERROR(INDEX('Fix Cost'!$A:$AU,MATCH($C1094,'Fix Cost'!$AU:$AU,0),3),"")</f>
        <v/>
      </c>
      <c r="G1094" s="3153" t="str">
        <f ca="1">IFERROR(INDEX('Fix Cost'!$A:$AU,MATCH($C1094,'Fix Cost'!$AU:$AU,0),10),"")</f>
        <v/>
      </c>
      <c r="H1094" s="3599"/>
      <c r="I1094" s="3153" t="str">
        <f ca="1">IFERROR(INDEX('Fix Cost'!$A:$AU,MATCH($C1094,'Fix Cost'!$AU:$AU,0),14),"")</f>
        <v/>
      </c>
      <c r="J1094" s="3153" t="str">
        <f ca="1">IFERROR(INDEX('Fix Cost'!$A:$AU,MATCH($C1094,'Fix Cost'!$AU:$AU,0)*(1+'Fix Cost'!$N$5),14),"")</f>
        <v/>
      </c>
    </row>
    <row r="1095" spans="2:10" ht="21.75">
      <c r="B1095" s="3143" t="s">
        <v>3653</v>
      </c>
      <c r="C1095" s="3143">
        <f t="shared" si="19"/>
        <v>126</v>
      </c>
      <c r="D1095" s="3143" t="str">
        <f ca="1">IFERROR(INDEX('Fix Cost'!$A:$AU,MATCH($C1095,'Fix Cost'!$AU:$AU,0),2),"")</f>
        <v/>
      </c>
      <c r="E1095" s="3143" t="str">
        <f ca="1">IFERROR(INDEX('Fix Cost'!$A:$AU,MATCH($C1095,'Fix Cost'!$AU:$AU,0),3),"")</f>
        <v/>
      </c>
      <c r="G1095" s="3153" t="str">
        <f ca="1">IFERROR(INDEX('Fix Cost'!$A:$AU,MATCH($C1095,'Fix Cost'!$AU:$AU,0),10),"")</f>
        <v/>
      </c>
      <c r="H1095" s="3599"/>
      <c r="I1095" s="3153" t="str">
        <f ca="1">IFERROR(INDEX('Fix Cost'!$A:$AU,MATCH($C1095,'Fix Cost'!$AU:$AU,0),14),"")</f>
        <v/>
      </c>
      <c r="J1095" s="3153" t="str">
        <f ca="1">IFERROR(INDEX('Fix Cost'!$A:$AU,MATCH($C1095,'Fix Cost'!$AU:$AU,0)*(1+'Fix Cost'!$N$5),14),"")</f>
        <v/>
      </c>
    </row>
    <row r="1096" spans="2:10" ht="21.75">
      <c r="B1096" s="3143" t="s">
        <v>3653</v>
      </c>
      <c r="C1096" s="3143">
        <f t="shared" si="19"/>
        <v>127</v>
      </c>
      <c r="D1096" s="3143" t="str">
        <f ca="1">IFERROR(INDEX('Fix Cost'!$A:$AU,MATCH($C1096,'Fix Cost'!$AU:$AU,0),2),"")</f>
        <v/>
      </c>
      <c r="E1096" s="3143" t="str">
        <f ca="1">IFERROR(INDEX('Fix Cost'!$A:$AU,MATCH($C1096,'Fix Cost'!$AU:$AU,0),3),"")</f>
        <v/>
      </c>
      <c r="G1096" s="3153" t="str">
        <f ca="1">IFERROR(INDEX('Fix Cost'!$A:$AU,MATCH($C1096,'Fix Cost'!$AU:$AU,0),10),"")</f>
        <v/>
      </c>
      <c r="H1096" s="3599"/>
      <c r="I1096" s="3153" t="str">
        <f ca="1">IFERROR(INDEX('Fix Cost'!$A:$AU,MATCH($C1096,'Fix Cost'!$AU:$AU,0),14),"")</f>
        <v/>
      </c>
      <c r="J1096" s="3153" t="str">
        <f ca="1">IFERROR(INDEX('Fix Cost'!$A:$AU,MATCH($C1096,'Fix Cost'!$AU:$AU,0)*(1+'Fix Cost'!$N$5),14),"")</f>
        <v/>
      </c>
    </row>
    <row r="1097" spans="2:10" ht="21.75">
      <c r="B1097" s="3143" t="s">
        <v>3653</v>
      </c>
      <c r="C1097" s="3143">
        <f t="shared" si="19"/>
        <v>128</v>
      </c>
      <c r="D1097" s="3143" t="str">
        <f ca="1">IFERROR(INDEX('Fix Cost'!$A:$AU,MATCH($C1097,'Fix Cost'!$AU:$AU,0),2),"")</f>
        <v/>
      </c>
      <c r="E1097" s="3143" t="str">
        <f ca="1">IFERROR(INDEX('Fix Cost'!$A:$AU,MATCH($C1097,'Fix Cost'!$AU:$AU,0),3),"")</f>
        <v/>
      </c>
      <c r="G1097" s="3153" t="str">
        <f ca="1">IFERROR(INDEX('Fix Cost'!$A:$AU,MATCH($C1097,'Fix Cost'!$AU:$AU,0),10),"")</f>
        <v/>
      </c>
      <c r="H1097" s="3599"/>
      <c r="I1097" s="3153" t="str">
        <f ca="1">IFERROR(INDEX('Fix Cost'!$A:$AU,MATCH($C1097,'Fix Cost'!$AU:$AU,0),14),"")</f>
        <v/>
      </c>
      <c r="J1097" s="3153" t="str">
        <f ca="1">IFERROR(INDEX('Fix Cost'!$A:$AU,MATCH($C1097,'Fix Cost'!$AU:$AU,0)*(1+'Fix Cost'!$N$5),14),"")</f>
        <v/>
      </c>
    </row>
    <row r="1098" spans="2:10" ht="21.75">
      <c r="B1098" s="3143" t="s">
        <v>3653</v>
      </c>
      <c r="C1098" s="3143">
        <f t="shared" si="19"/>
        <v>129</v>
      </c>
      <c r="D1098" s="3143" t="str">
        <f ca="1">IFERROR(INDEX('Fix Cost'!$A:$AU,MATCH($C1098,'Fix Cost'!$AU:$AU,0),2),"")</f>
        <v/>
      </c>
      <c r="E1098" s="3143" t="str">
        <f ca="1">IFERROR(INDEX('Fix Cost'!$A:$AU,MATCH($C1098,'Fix Cost'!$AU:$AU,0),3),"")</f>
        <v/>
      </c>
      <c r="G1098" s="3153" t="str">
        <f ca="1">IFERROR(INDEX('Fix Cost'!$A:$AU,MATCH($C1098,'Fix Cost'!$AU:$AU,0),10),"")</f>
        <v/>
      </c>
      <c r="H1098" s="3599"/>
      <c r="I1098" s="3153" t="str">
        <f ca="1">IFERROR(INDEX('Fix Cost'!$A:$AU,MATCH($C1098,'Fix Cost'!$AU:$AU,0),14),"")</f>
        <v/>
      </c>
      <c r="J1098" s="3153" t="str">
        <f ca="1">IFERROR(INDEX('Fix Cost'!$A:$AU,MATCH($C1098,'Fix Cost'!$AU:$AU,0)*(1+'Fix Cost'!$N$5),14),"")</f>
        <v/>
      </c>
    </row>
    <row r="1099" spans="2:10" ht="21.75">
      <c r="B1099" s="3143" t="s">
        <v>3653</v>
      </c>
      <c r="C1099" s="3143">
        <f t="shared" si="19"/>
        <v>130</v>
      </c>
      <c r="D1099" s="3143" t="str">
        <f ca="1">IFERROR(INDEX('Fix Cost'!$A:$AU,MATCH($C1099,'Fix Cost'!$AU:$AU,0),2),"")</f>
        <v/>
      </c>
      <c r="E1099" s="3143" t="str">
        <f ca="1">IFERROR(INDEX('Fix Cost'!$A:$AU,MATCH($C1099,'Fix Cost'!$AU:$AU,0),3),"")</f>
        <v/>
      </c>
      <c r="G1099" s="3153" t="str">
        <f ca="1">IFERROR(INDEX('Fix Cost'!$A:$AU,MATCH($C1099,'Fix Cost'!$AU:$AU,0),10),"")</f>
        <v/>
      </c>
      <c r="H1099" s="3599"/>
      <c r="I1099" s="3153" t="str">
        <f ca="1">IFERROR(INDEX('Fix Cost'!$A:$AU,MATCH($C1099,'Fix Cost'!$AU:$AU,0),14),"")</f>
        <v/>
      </c>
      <c r="J1099" s="3153" t="str">
        <f ca="1">IFERROR(INDEX('Fix Cost'!$A:$AU,MATCH($C1099,'Fix Cost'!$AU:$AU,0)*(1+'Fix Cost'!$N$5),14),"")</f>
        <v/>
      </c>
    </row>
    <row r="1100" spans="2:10" ht="21.75">
      <c r="B1100" s="3143" t="s">
        <v>3653</v>
      </c>
      <c r="C1100" s="3143">
        <f t="shared" ref="C1100:C1139" si="20">C1099+1</f>
        <v>131</v>
      </c>
      <c r="D1100" s="3143" t="str">
        <f ca="1">IFERROR(INDEX('Fix Cost'!$A:$AU,MATCH($C1100,'Fix Cost'!$AU:$AU,0),2),"")</f>
        <v/>
      </c>
      <c r="E1100" s="3143" t="str">
        <f ca="1">IFERROR(INDEX('Fix Cost'!$A:$AU,MATCH($C1100,'Fix Cost'!$AU:$AU,0),3),"")</f>
        <v/>
      </c>
      <c r="G1100" s="3153" t="str">
        <f ca="1">IFERROR(INDEX('Fix Cost'!$A:$AU,MATCH($C1100,'Fix Cost'!$AU:$AU,0),10),"")</f>
        <v/>
      </c>
      <c r="H1100" s="3599"/>
      <c r="I1100" s="3153" t="str">
        <f ca="1">IFERROR(INDEX('Fix Cost'!$A:$AU,MATCH($C1100,'Fix Cost'!$AU:$AU,0),14),"")</f>
        <v/>
      </c>
      <c r="J1100" s="3153" t="str">
        <f ca="1">IFERROR(INDEX('Fix Cost'!$A:$AU,MATCH($C1100,'Fix Cost'!$AU:$AU,0)*(1+'Fix Cost'!$N$5),14),"")</f>
        <v/>
      </c>
    </row>
    <row r="1101" spans="2:10" ht="21.75">
      <c r="B1101" s="3143" t="s">
        <v>3653</v>
      </c>
      <c r="C1101" s="3143">
        <f t="shared" si="20"/>
        <v>132</v>
      </c>
      <c r="D1101" s="3143" t="str">
        <f ca="1">IFERROR(INDEX('Fix Cost'!$A:$AU,MATCH($C1101,'Fix Cost'!$AU:$AU,0),2),"")</f>
        <v/>
      </c>
      <c r="E1101" s="3143" t="str">
        <f ca="1">IFERROR(INDEX('Fix Cost'!$A:$AU,MATCH($C1101,'Fix Cost'!$AU:$AU,0),3),"")</f>
        <v/>
      </c>
      <c r="G1101" s="3153" t="str">
        <f ca="1">IFERROR(INDEX('Fix Cost'!$A:$AU,MATCH($C1101,'Fix Cost'!$AU:$AU,0),10),"")</f>
        <v/>
      </c>
      <c r="H1101" s="3599"/>
      <c r="I1101" s="3153" t="str">
        <f ca="1">IFERROR(INDEX('Fix Cost'!$A:$AU,MATCH($C1101,'Fix Cost'!$AU:$AU,0),14),"")</f>
        <v/>
      </c>
      <c r="J1101" s="3153" t="str">
        <f ca="1">IFERROR(INDEX('Fix Cost'!$A:$AU,MATCH($C1101,'Fix Cost'!$AU:$AU,0)*(1+'Fix Cost'!$N$5),14),"")</f>
        <v/>
      </c>
    </row>
    <row r="1102" spans="2:10" ht="21.75">
      <c r="B1102" s="3143" t="s">
        <v>3653</v>
      </c>
      <c r="C1102" s="3143">
        <f t="shared" si="20"/>
        <v>133</v>
      </c>
      <c r="D1102" s="3143" t="str">
        <f ca="1">IFERROR(INDEX('Fix Cost'!$A:$AU,MATCH($C1102,'Fix Cost'!$AU:$AU,0),2),"")</f>
        <v/>
      </c>
      <c r="E1102" s="3143" t="str">
        <f ca="1">IFERROR(INDEX('Fix Cost'!$A:$AU,MATCH($C1102,'Fix Cost'!$AU:$AU,0),3),"")</f>
        <v/>
      </c>
      <c r="G1102" s="3153" t="str">
        <f ca="1">IFERROR(INDEX('Fix Cost'!$A:$AU,MATCH($C1102,'Fix Cost'!$AU:$AU,0),10),"")</f>
        <v/>
      </c>
      <c r="H1102" s="3599"/>
      <c r="I1102" s="3153" t="str">
        <f ca="1">IFERROR(INDEX('Fix Cost'!$A:$AU,MATCH($C1102,'Fix Cost'!$AU:$AU,0),14),"")</f>
        <v/>
      </c>
      <c r="J1102" s="3153" t="str">
        <f ca="1">IFERROR(INDEX('Fix Cost'!$A:$AU,MATCH($C1102,'Fix Cost'!$AU:$AU,0)*(1+'Fix Cost'!$N$5),14),"")</f>
        <v/>
      </c>
    </row>
    <row r="1103" spans="2:10" ht="21.75">
      <c r="B1103" s="3143" t="s">
        <v>3653</v>
      </c>
      <c r="C1103" s="3143">
        <f t="shared" si="20"/>
        <v>134</v>
      </c>
      <c r="D1103" s="3143" t="str">
        <f ca="1">IFERROR(INDEX('Fix Cost'!$A:$AU,MATCH($C1103,'Fix Cost'!$AU:$AU,0),2),"")</f>
        <v/>
      </c>
      <c r="E1103" s="3143" t="str">
        <f ca="1">IFERROR(INDEX('Fix Cost'!$A:$AU,MATCH($C1103,'Fix Cost'!$AU:$AU,0),3),"")</f>
        <v/>
      </c>
      <c r="G1103" s="3153" t="str">
        <f ca="1">IFERROR(INDEX('Fix Cost'!$A:$AU,MATCH($C1103,'Fix Cost'!$AU:$AU,0),10),"")</f>
        <v/>
      </c>
      <c r="H1103" s="3599"/>
      <c r="I1103" s="3153" t="str">
        <f ca="1">IFERROR(INDEX('Fix Cost'!$A:$AU,MATCH($C1103,'Fix Cost'!$AU:$AU,0),14),"")</f>
        <v/>
      </c>
      <c r="J1103" s="3153" t="str">
        <f ca="1">IFERROR(INDEX('Fix Cost'!$A:$AU,MATCH($C1103,'Fix Cost'!$AU:$AU,0)*(1+'Fix Cost'!$N$5),14),"")</f>
        <v/>
      </c>
    </row>
    <row r="1104" spans="2:10" ht="21.75">
      <c r="B1104" s="3143" t="s">
        <v>3653</v>
      </c>
      <c r="C1104" s="3143">
        <f t="shared" si="20"/>
        <v>135</v>
      </c>
      <c r="D1104" s="3143" t="str">
        <f ca="1">IFERROR(INDEX('Fix Cost'!$A:$AU,MATCH($C1104,'Fix Cost'!$AU:$AU,0),2),"")</f>
        <v/>
      </c>
      <c r="E1104" s="3143" t="str">
        <f ca="1">IFERROR(INDEX('Fix Cost'!$A:$AU,MATCH($C1104,'Fix Cost'!$AU:$AU,0),3),"")</f>
        <v/>
      </c>
      <c r="G1104" s="3153" t="str">
        <f ca="1">IFERROR(INDEX('Fix Cost'!$A:$AU,MATCH($C1104,'Fix Cost'!$AU:$AU,0),10),"")</f>
        <v/>
      </c>
      <c r="H1104" s="3599"/>
      <c r="I1104" s="3153" t="str">
        <f ca="1">IFERROR(INDEX('Fix Cost'!$A:$AU,MATCH($C1104,'Fix Cost'!$AU:$AU,0),14),"")</f>
        <v/>
      </c>
      <c r="J1104" s="3153" t="str">
        <f ca="1">IFERROR(INDEX('Fix Cost'!$A:$AU,MATCH($C1104,'Fix Cost'!$AU:$AU,0)*(1+'Fix Cost'!$N$5),14),"")</f>
        <v/>
      </c>
    </row>
    <row r="1105" spans="2:10" ht="21.75">
      <c r="B1105" s="3143" t="s">
        <v>3653</v>
      </c>
      <c r="C1105" s="3143">
        <f t="shared" si="20"/>
        <v>136</v>
      </c>
      <c r="D1105" s="3143" t="str">
        <f ca="1">IFERROR(INDEX('Fix Cost'!$A:$AU,MATCH($C1105,'Fix Cost'!$AU:$AU,0),2),"")</f>
        <v/>
      </c>
      <c r="E1105" s="3143" t="str">
        <f ca="1">IFERROR(INDEX('Fix Cost'!$A:$AU,MATCH($C1105,'Fix Cost'!$AU:$AU,0),3),"")</f>
        <v/>
      </c>
      <c r="G1105" s="3153" t="str">
        <f ca="1">IFERROR(INDEX('Fix Cost'!$A:$AU,MATCH($C1105,'Fix Cost'!$AU:$AU,0),10),"")</f>
        <v/>
      </c>
      <c r="H1105" s="3599"/>
      <c r="I1105" s="3153" t="str">
        <f ca="1">IFERROR(INDEX('Fix Cost'!$A:$AU,MATCH($C1105,'Fix Cost'!$AU:$AU,0),14),"")</f>
        <v/>
      </c>
      <c r="J1105" s="3153" t="str">
        <f ca="1">IFERROR(INDEX('Fix Cost'!$A:$AU,MATCH($C1105,'Fix Cost'!$AU:$AU,0)*(1+'Fix Cost'!$N$5),14),"")</f>
        <v/>
      </c>
    </row>
    <row r="1106" spans="2:10" ht="21.75">
      <c r="B1106" s="3143" t="s">
        <v>3653</v>
      </c>
      <c r="C1106" s="3143">
        <f t="shared" si="20"/>
        <v>137</v>
      </c>
      <c r="D1106" s="3143" t="str">
        <f ca="1">IFERROR(INDEX('Fix Cost'!$A:$AU,MATCH($C1106,'Fix Cost'!$AU:$AU,0),2),"")</f>
        <v/>
      </c>
      <c r="E1106" s="3143" t="str">
        <f ca="1">IFERROR(INDEX('Fix Cost'!$A:$AU,MATCH($C1106,'Fix Cost'!$AU:$AU,0),3),"")</f>
        <v/>
      </c>
      <c r="G1106" s="3153" t="str">
        <f ca="1">IFERROR(INDEX('Fix Cost'!$A:$AU,MATCH($C1106,'Fix Cost'!$AU:$AU,0),10),"")</f>
        <v/>
      </c>
      <c r="H1106" s="3599"/>
      <c r="I1106" s="3153" t="str">
        <f ca="1">IFERROR(INDEX('Fix Cost'!$A:$AU,MATCH($C1106,'Fix Cost'!$AU:$AU,0),14),"")</f>
        <v/>
      </c>
      <c r="J1106" s="3153" t="str">
        <f ca="1">IFERROR(INDEX('Fix Cost'!$A:$AU,MATCH($C1106,'Fix Cost'!$AU:$AU,0)*(1+'Fix Cost'!$N$5),14),"")</f>
        <v/>
      </c>
    </row>
    <row r="1107" spans="2:10" ht="21.75">
      <c r="B1107" s="3143" t="s">
        <v>3653</v>
      </c>
      <c r="C1107" s="3143">
        <f t="shared" si="20"/>
        <v>138</v>
      </c>
      <c r="D1107" s="3143" t="str">
        <f ca="1">IFERROR(INDEX('Fix Cost'!$A:$AU,MATCH($C1107,'Fix Cost'!$AU:$AU,0),2),"")</f>
        <v/>
      </c>
      <c r="E1107" s="3143" t="str">
        <f ca="1">IFERROR(INDEX('Fix Cost'!$A:$AU,MATCH($C1107,'Fix Cost'!$AU:$AU,0),3),"")</f>
        <v/>
      </c>
      <c r="G1107" s="3153" t="str">
        <f ca="1">IFERROR(INDEX('Fix Cost'!$A:$AU,MATCH($C1107,'Fix Cost'!$AU:$AU,0),10),"")</f>
        <v/>
      </c>
      <c r="H1107" s="3599"/>
      <c r="I1107" s="3153" t="str">
        <f ca="1">IFERROR(INDEX('Fix Cost'!$A:$AU,MATCH($C1107,'Fix Cost'!$AU:$AU,0),14),"")</f>
        <v/>
      </c>
      <c r="J1107" s="3153" t="str">
        <f ca="1">IFERROR(INDEX('Fix Cost'!$A:$AU,MATCH($C1107,'Fix Cost'!$AU:$AU,0)*(1+'Fix Cost'!$N$5),14),"")</f>
        <v/>
      </c>
    </row>
    <row r="1108" spans="2:10" ht="21.75">
      <c r="B1108" s="3143" t="s">
        <v>3653</v>
      </c>
      <c r="C1108" s="3143">
        <f t="shared" si="20"/>
        <v>139</v>
      </c>
      <c r="D1108" s="3143" t="str">
        <f ca="1">IFERROR(INDEX('Fix Cost'!$A:$AU,MATCH($C1108,'Fix Cost'!$AU:$AU,0),2),"")</f>
        <v/>
      </c>
      <c r="E1108" s="3143" t="str">
        <f ca="1">IFERROR(INDEX('Fix Cost'!$A:$AU,MATCH($C1108,'Fix Cost'!$AU:$AU,0),3),"")</f>
        <v/>
      </c>
      <c r="G1108" s="3153" t="str">
        <f ca="1">IFERROR(INDEX('Fix Cost'!$A:$AU,MATCH($C1108,'Fix Cost'!$AU:$AU,0),10),"")</f>
        <v/>
      </c>
      <c r="H1108" s="3599"/>
      <c r="I1108" s="3153" t="str">
        <f ca="1">IFERROR(INDEX('Fix Cost'!$A:$AU,MATCH($C1108,'Fix Cost'!$AU:$AU,0),14),"")</f>
        <v/>
      </c>
      <c r="J1108" s="3153" t="str">
        <f ca="1">IFERROR(INDEX('Fix Cost'!$A:$AU,MATCH($C1108,'Fix Cost'!$AU:$AU,0)*(1+'Fix Cost'!$N$5),14),"")</f>
        <v/>
      </c>
    </row>
    <row r="1109" spans="2:10" ht="21.75">
      <c r="B1109" s="3143" t="s">
        <v>3653</v>
      </c>
      <c r="C1109" s="3143">
        <f t="shared" si="20"/>
        <v>140</v>
      </c>
      <c r="D1109" s="3143" t="str">
        <f ca="1">IFERROR(INDEX('Fix Cost'!$A:$AU,MATCH($C1109,'Fix Cost'!$AU:$AU,0),2),"")</f>
        <v/>
      </c>
      <c r="E1109" s="3143" t="str">
        <f ca="1">IFERROR(INDEX('Fix Cost'!$A:$AU,MATCH($C1109,'Fix Cost'!$AU:$AU,0),3),"")</f>
        <v/>
      </c>
      <c r="G1109" s="3153" t="str">
        <f ca="1">IFERROR(INDEX('Fix Cost'!$A:$AU,MATCH($C1109,'Fix Cost'!$AU:$AU,0),10),"")</f>
        <v/>
      </c>
      <c r="H1109" s="3599"/>
      <c r="I1109" s="3153" t="str">
        <f ca="1">IFERROR(INDEX('Fix Cost'!$A:$AU,MATCH($C1109,'Fix Cost'!$AU:$AU,0),14),"")</f>
        <v/>
      </c>
      <c r="J1109" s="3153" t="str">
        <f ca="1">IFERROR(INDEX('Fix Cost'!$A:$AU,MATCH($C1109,'Fix Cost'!$AU:$AU,0)*(1+'Fix Cost'!$N$5),14),"")</f>
        <v/>
      </c>
    </row>
    <row r="1110" spans="2:10" ht="21.75">
      <c r="B1110" s="3143" t="s">
        <v>3653</v>
      </c>
      <c r="C1110" s="3143">
        <f t="shared" si="20"/>
        <v>141</v>
      </c>
      <c r="D1110" s="3143" t="str">
        <f ca="1">IFERROR(INDEX('Fix Cost'!$A:$AU,MATCH($C1110,'Fix Cost'!$AU:$AU,0),2),"")</f>
        <v/>
      </c>
      <c r="E1110" s="3143" t="str">
        <f ca="1">IFERROR(INDEX('Fix Cost'!$A:$AU,MATCH($C1110,'Fix Cost'!$AU:$AU,0),3),"")</f>
        <v/>
      </c>
      <c r="G1110" s="3153" t="str">
        <f ca="1">IFERROR(INDEX('Fix Cost'!$A:$AU,MATCH($C1110,'Fix Cost'!$AU:$AU,0),10),"")</f>
        <v/>
      </c>
      <c r="H1110" s="3599"/>
      <c r="I1110" s="3153" t="str">
        <f ca="1">IFERROR(INDEX('Fix Cost'!$A:$AU,MATCH($C1110,'Fix Cost'!$AU:$AU,0),14),"")</f>
        <v/>
      </c>
      <c r="J1110" s="3153" t="str">
        <f ca="1">IFERROR(INDEX('Fix Cost'!$A:$AU,MATCH($C1110,'Fix Cost'!$AU:$AU,0)*(1+'Fix Cost'!$N$5),14),"")</f>
        <v/>
      </c>
    </row>
    <row r="1111" spans="2:10" ht="21.75">
      <c r="B1111" s="3143" t="s">
        <v>3653</v>
      </c>
      <c r="C1111" s="3143">
        <f t="shared" si="20"/>
        <v>142</v>
      </c>
      <c r="D1111" s="3143" t="str">
        <f ca="1">IFERROR(INDEX('Fix Cost'!$A:$AU,MATCH($C1111,'Fix Cost'!$AU:$AU,0),2),"")</f>
        <v/>
      </c>
      <c r="E1111" s="3143" t="str">
        <f ca="1">IFERROR(INDEX('Fix Cost'!$A:$AU,MATCH($C1111,'Fix Cost'!$AU:$AU,0),3),"")</f>
        <v/>
      </c>
      <c r="G1111" s="3153" t="str">
        <f ca="1">IFERROR(INDEX('Fix Cost'!$A:$AU,MATCH($C1111,'Fix Cost'!$AU:$AU,0),10),"")</f>
        <v/>
      </c>
      <c r="H1111" s="3599"/>
      <c r="I1111" s="3153" t="str">
        <f ca="1">IFERROR(INDEX('Fix Cost'!$A:$AU,MATCH($C1111,'Fix Cost'!$AU:$AU,0),14),"")</f>
        <v/>
      </c>
      <c r="J1111" s="3153" t="str">
        <f ca="1">IFERROR(INDEX('Fix Cost'!$A:$AU,MATCH($C1111,'Fix Cost'!$AU:$AU,0)*(1+'Fix Cost'!$N$5),14),"")</f>
        <v/>
      </c>
    </row>
    <row r="1112" spans="2:10" ht="21.75">
      <c r="B1112" s="3143" t="s">
        <v>3653</v>
      </c>
      <c r="C1112" s="3143">
        <f t="shared" si="20"/>
        <v>143</v>
      </c>
      <c r="D1112" s="3143" t="str">
        <f ca="1">IFERROR(INDEX('Fix Cost'!$A:$AU,MATCH($C1112,'Fix Cost'!$AU:$AU,0),2),"")</f>
        <v/>
      </c>
      <c r="E1112" s="3143" t="str">
        <f ca="1">IFERROR(INDEX('Fix Cost'!$A:$AU,MATCH($C1112,'Fix Cost'!$AU:$AU,0),3),"")</f>
        <v/>
      </c>
      <c r="G1112" s="3153" t="str">
        <f ca="1">IFERROR(INDEX('Fix Cost'!$A:$AU,MATCH($C1112,'Fix Cost'!$AU:$AU,0),10),"")</f>
        <v/>
      </c>
      <c r="H1112" s="3599"/>
      <c r="I1112" s="3153" t="str">
        <f ca="1">IFERROR(INDEX('Fix Cost'!$A:$AU,MATCH($C1112,'Fix Cost'!$AU:$AU,0),14),"")</f>
        <v/>
      </c>
      <c r="J1112" s="3153" t="str">
        <f ca="1">IFERROR(INDEX('Fix Cost'!$A:$AU,MATCH($C1112,'Fix Cost'!$AU:$AU,0)*(1+'Fix Cost'!$N$5),14),"")</f>
        <v/>
      </c>
    </row>
    <row r="1113" spans="2:10" ht="21.75">
      <c r="B1113" s="3143" t="s">
        <v>3653</v>
      </c>
      <c r="C1113" s="3143">
        <f t="shared" si="20"/>
        <v>144</v>
      </c>
      <c r="D1113" s="3143" t="str">
        <f ca="1">IFERROR(INDEX('Fix Cost'!$A:$AU,MATCH($C1113,'Fix Cost'!$AU:$AU,0),2),"")</f>
        <v/>
      </c>
      <c r="E1113" s="3143" t="str">
        <f ca="1">IFERROR(INDEX('Fix Cost'!$A:$AU,MATCH($C1113,'Fix Cost'!$AU:$AU,0),3),"")</f>
        <v/>
      </c>
      <c r="G1113" s="3153" t="str">
        <f ca="1">IFERROR(INDEX('Fix Cost'!$A:$AU,MATCH($C1113,'Fix Cost'!$AU:$AU,0),10),"")</f>
        <v/>
      </c>
      <c r="H1113" s="3599"/>
      <c r="I1113" s="3153" t="str">
        <f ca="1">IFERROR(INDEX('Fix Cost'!$A:$AU,MATCH($C1113,'Fix Cost'!$AU:$AU,0),14),"")</f>
        <v/>
      </c>
      <c r="J1113" s="3153" t="str">
        <f ca="1">IFERROR(INDEX('Fix Cost'!$A:$AU,MATCH($C1113,'Fix Cost'!$AU:$AU,0)*(1+'Fix Cost'!$N$5),14),"")</f>
        <v/>
      </c>
    </row>
    <row r="1114" spans="2:10" ht="21.75">
      <c r="B1114" s="3143" t="s">
        <v>3653</v>
      </c>
      <c r="C1114" s="3143">
        <f t="shared" si="20"/>
        <v>145</v>
      </c>
      <c r="D1114" s="3143" t="str">
        <f ca="1">IFERROR(INDEX('Fix Cost'!$A:$AU,MATCH($C1114,'Fix Cost'!$AU:$AU,0),2),"")</f>
        <v/>
      </c>
      <c r="E1114" s="3143" t="str">
        <f ca="1">IFERROR(INDEX('Fix Cost'!$A:$AU,MATCH($C1114,'Fix Cost'!$AU:$AU,0),3),"")</f>
        <v/>
      </c>
      <c r="G1114" s="3153" t="str">
        <f ca="1">IFERROR(INDEX('Fix Cost'!$A:$AU,MATCH($C1114,'Fix Cost'!$AU:$AU,0),10),"")</f>
        <v/>
      </c>
      <c r="H1114" s="3599"/>
      <c r="I1114" s="3153" t="str">
        <f ca="1">IFERROR(INDEX('Fix Cost'!$A:$AU,MATCH($C1114,'Fix Cost'!$AU:$AU,0),14),"")</f>
        <v/>
      </c>
      <c r="J1114" s="3153" t="str">
        <f ca="1">IFERROR(INDEX('Fix Cost'!$A:$AU,MATCH($C1114,'Fix Cost'!$AU:$AU,0)*(1+'Fix Cost'!$N$5),14),"")</f>
        <v/>
      </c>
    </row>
    <row r="1115" spans="2:10" ht="21.75">
      <c r="B1115" s="3143" t="s">
        <v>3653</v>
      </c>
      <c r="C1115" s="3143">
        <f t="shared" si="20"/>
        <v>146</v>
      </c>
      <c r="D1115" s="3143" t="str">
        <f ca="1">IFERROR(INDEX('Fix Cost'!$A:$AU,MATCH($C1115,'Fix Cost'!$AU:$AU,0),2),"")</f>
        <v/>
      </c>
      <c r="E1115" s="3143" t="str">
        <f ca="1">IFERROR(INDEX('Fix Cost'!$A:$AU,MATCH($C1115,'Fix Cost'!$AU:$AU,0),3),"")</f>
        <v/>
      </c>
      <c r="G1115" s="3153" t="str">
        <f ca="1">IFERROR(INDEX('Fix Cost'!$A:$AU,MATCH($C1115,'Fix Cost'!$AU:$AU,0),10),"")</f>
        <v/>
      </c>
      <c r="H1115" s="3599"/>
      <c r="I1115" s="3153" t="str">
        <f ca="1">IFERROR(INDEX('Fix Cost'!$A:$AU,MATCH($C1115,'Fix Cost'!$AU:$AU,0),14),"")</f>
        <v/>
      </c>
      <c r="J1115" s="3153" t="str">
        <f ca="1">IFERROR(INDEX('Fix Cost'!$A:$AU,MATCH($C1115,'Fix Cost'!$AU:$AU,0)*(1+'Fix Cost'!$N$5),14),"")</f>
        <v/>
      </c>
    </row>
    <row r="1116" spans="2:10" ht="21.75">
      <c r="B1116" s="3143" t="s">
        <v>3653</v>
      </c>
      <c r="C1116" s="3143">
        <f t="shared" si="20"/>
        <v>147</v>
      </c>
      <c r="D1116" s="3143" t="str">
        <f ca="1">IFERROR(INDEX('Fix Cost'!$A:$AU,MATCH($C1116,'Fix Cost'!$AU:$AU,0),2),"")</f>
        <v/>
      </c>
      <c r="E1116" s="3143" t="str">
        <f ca="1">IFERROR(INDEX('Fix Cost'!$A:$AU,MATCH($C1116,'Fix Cost'!$AU:$AU,0),3),"")</f>
        <v/>
      </c>
      <c r="G1116" s="3153" t="str">
        <f ca="1">IFERROR(INDEX('Fix Cost'!$A:$AU,MATCH($C1116,'Fix Cost'!$AU:$AU,0),10),"")</f>
        <v/>
      </c>
      <c r="H1116" s="3599"/>
      <c r="I1116" s="3153" t="str">
        <f ca="1">IFERROR(INDEX('Fix Cost'!$A:$AU,MATCH($C1116,'Fix Cost'!$AU:$AU,0),14),"")</f>
        <v/>
      </c>
      <c r="J1116" s="3153" t="str">
        <f ca="1">IFERROR(INDEX('Fix Cost'!$A:$AU,MATCH($C1116,'Fix Cost'!$AU:$AU,0)*(1+'Fix Cost'!$N$5),14),"")</f>
        <v/>
      </c>
    </row>
    <row r="1117" spans="2:10" ht="21.75">
      <c r="B1117" s="3143" t="s">
        <v>3653</v>
      </c>
      <c r="C1117" s="3143">
        <f t="shared" si="20"/>
        <v>148</v>
      </c>
      <c r="D1117" s="3143" t="str">
        <f ca="1">IFERROR(INDEX('Fix Cost'!$A:$AU,MATCH($C1117,'Fix Cost'!$AU:$AU,0),2),"")</f>
        <v/>
      </c>
      <c r="E1117" s="3143" t="str">
        <f ca="1">IFERROR(INDEX('Fix Cost'!$A:$AU,MATCH($C1117,'Fix Cost'!$AU:$AU,0),3),"")</f>
        <v/>
      </c>
      <c r="G1117" s="3153" t="str">
        <f ca="1">IFERROR(INDEX('Fix Cost'!$A:$AU,MATCH($C1117,'Fix Cost'!$AU:$AU,0),10),"")</f>
        <v/>
      </c>
      <c r="H1117" s="3599"/>
      <c r="I1117" s="3153" t="str">
        <f ca="1">IFERROR(INDEX('Fix Cost'!$A:$AU,MATCH($C1117,'Fix Cost'!$AU:$AU,0),14),"")</f>
        <v/>
      </c>
      <c r="J1117" s="3153" t="str">
        <f ca="1">IFERROR(INDEX('Fix Cost'!$A:$AU,MATCH($C1117,'Fix Cost'!$AU:$AU,0)*(1+'Fix Cost'!$N$5),14),"")</f>
        <v/>
      </c>
    </row>
    <row r="1118" spans="2:10" ht="21.75">
      <c r="B1118" s="3143" t="s">
        <v>3653</v>
      </c>
      <c r="C1118" s="3143">
        <f t="shared" si="20"/>
        <v>149</v>
      </c>
      <c r="D1118" s="3143" t="str">
        <f ca="1">IFERROR(INDEX('Fix Cost'!$A:$AU,MATCH($C1118,'Fix Cost'!$AU:$AU,0),2),"")</f>
        <v/>
      </c>
      <c r="E1118" s="3143" t="str">
        <f ca="1">IFERROR(INDEX('Fix Cost'!$A:$AU,MATCH($C1118,'Fix Cost'!$AU:$AU,0),3),"")</f>
        <v/>
      </c>
      <c r="G1118" s="3153" t="str">
        <f ca="1">IFERROR(INDEX('Fix Cost'!$A:$AU,MATCH($C1118,'Fix Cost'!$AU:$AU,0),10),"")</f>
        <v/>
      </c>
      <c r="H1118" s="3599"/>
      <c r="I1118" s="3153" t="str">
        <f ca="1">IFERROR(INDEX('Fix Cost'!$A:$AU,MATCH($C1118,'Fix Cost'!$AU:$AU,0),14),"")</f>
        <v/>
      </c>
      <c r="J1118" s="3153" t="str">
        <f ca="1">IFERROR(INDEX('Fix Cost'!$A:$AU,MATCH($C1118,'Fix Cost'!$AU:$AU,0)*(1+'Fix Cost'!$N$5),14),"")</f>
        <v/>
      </c>
    </row>
    <row r="1119" spans="2:10" ht="21.75">
      <c r="B1119" s="3143" t="s">
        <v>3653</v>
      </c>
      <c r="C1119" s="3143">
        <f t="shared" si="20"/>
        <v>150</v>
      </c>
      <c r="D1119" s="3143" t="str">
        <f ca="1">IFERROR(INDEX('Fix Cost'!$A:$AU,MATCH($C1119,'Fix Cost'!$AU:$AU,0),2),"")</f>
        <v/>
      </c>
      <c r="E1119" s="3143" t="str">
        <f ca="1">IFERROR(INDEX('Fix Cost'!$A:$AU,MATCH($C1119,'Fix Cost'!$AU:$AU,0),3),"")</f>
        <v/>
      </c>
      <c r="G1119" s="3153" t="str">
        <f ca="1">IFERROR(INDEX('Fix Cost'!$A:$AU,MATCH($C1119,'Fix Cost'!$AU:$AU,0),10),"")</f>
        <v/>
      </c>
      <c r="H1119" s="3599"/>
      <c r="I1119" s="3153" t="str">
        <f ca="1">IFERROR(INDEX('Fix Cost'!$A:$AU,MATCH($C1119,'Fix Cost'!$AU:$AU,0),14),"")</f>
        <v/>
      </c>
      <c r="J1119" s="3153" t="str">
        <f ca="1">IFERROR(INDEX('Fix Cost'!$A:$AU,MATCH($C1119,'Fix Cost'!$AU:$AU,0)*(1+'Fix Cost'!$N$5),14),"")</f>
        <v/>
      </c>
    </row>
    <row r="1120" spans="2:10" ht="21.75">
      <c r="B1120" s="3143" t="s">
        <v>3653</v>
      </c>
      <c r="C1120" s="3143">
        <f t="shared" si="20"/>
        <v>151</v>
      </c>
      <c r="D1120" s="3143" t="str">
        <f ca="1">IFERROR(INDEX('Fix Cost'!$A:$AU,MATCH($C1120,'Fix Cost'!$AU:$AU,0),2),"")</f>
        <v/>
      </c>
      <c r="E1120" s="3143" t="str">
        <f ca="1">IFERROR(INDEX('Fix Cost'!$A:$AU,MATCH($C1120,'Fix Cost'!$AU:$AU,0),3),"")</f>
        <v/>
      </c>
      <c r="G1120" s="3153" t="str">
        <f ca="1">IFERROR(INDEX('Fix Cost'!$A:$AU,MATCH($C1120,'Fix Cost'!$AU:$AU,0),10),"")</f>
        <v/>
      </c>
      <c r="H1120" s="3599"/>
      <c r="I1120" s="3153" t="str">
        <f ca="1">IFERROR(INDEX('Fix Cost'!$A:$AU,MATCH($C1120,'Fix Cost'!$AU:$AU,0),14),"")</f>
        <v/>
      </c>
      <c r="J1120" s="3153" t="str">
        <f ca="1">IFERROR(INDEX('Fix Cost'!$A:$AU,MATCH($C1120,'Fix Cost'!$AU:$AU,0)*(1+'Fix Cost'!$N$5),14),"")</f>
        <v/>
      </c>
    </row>
    <row r="1121" spans="2:10" ht="21.75">
      <c r="B1121" s="3143" t="s">
        <v>3653</v>
      </c>
      <c r="C1121" s="3143">
        <f t="shared" si="20"/>
        <v>152</v>
      </c>
      <c r="D1121" s="3143" t="str">
        <f ca="1">IFERROR(INDEX('Fix Cost'!$A:$AU,MATCH($C1121,'Fix Cost'!$AU:$AU,0),2),"")</f>
        <v/>
      </c>
      <c r="E1121" s="3143" t="str">
        <f ca="1">IFERROR(INDEX('Fix Cost'!$A:$AU,MATCH($C1121,'Fix Cost'!$AU:$AU,0),3),"")</f>
        <v/>
      </c>
      <c r="G1121" s="3153" t="str">
        <f ca="1">IFERROR(INDEX('Fix Cost'!$A:$AU,MATCH($C1121,'Fix Cost'!$AU:$AU,0),10),"")</f>
        <v/>
      </c>
      <c r="H1121" s="3599"/>
      <c r="I1121" s="3153" t="str">
        <f ca="1">IFERROR(INDEX('Fix Cost'!$A:$AU,MATCH($C1121,'Fix Cost'!$AU:$AU,0),14),"")</f>
        <v/>
      </c>
      <c r="J1121" s="3153" t="str">
        <f ca="1">IFERROR(INDEX('Fix Cost'!$A:$AU,MATCH($C1121,'Fix Cost'!$AU:$AU,0)*(1+'Fix Cost'!$N$5),14),"")</f>
        <v/>
      </c>
    </row>
    <row r="1122" spans="2:10" ht="21.75">
      <c r="B1122" s="3143" t="s">
        <v>3653</v>
      </c>
      <c r="C1122" s="3143">
        <f t="shared" si="20"/>
        <v>153</v>
      </c>
      <c r="D1122" s="3143" t="str">
        <f ca="1">IFERROR(INDEX('Fix Cost'!$A:$AU,MATCH($C1122,'Fix Cost'!$AU:$AU,0),2),"")</f>
        <v/>
      </c>
      <c r="E1122" s="3143" t="str">
        <f ca="1">IFERROR(INDEX('Fix Cost'!$A:$AU,MATCH($C1122,'Fix Cost'!$AU:$AU,0),3),"")</f>
        <v/>
      </c>
      <c r="G1122" s="3153" t="str">
        <f ca="1">IFERROR(INDEX('Fix Cost'!$A:$AU,MATCH($C1122,'Fix Cost'!$AU:$AU,0),10),"")</f>
        <v/>
      </c>
      <c r="H1122" s="3599"/>
      <c r="I1122" s="3153" t="str">
        <f ca="1">IFERROR(INDEX('Fix Cost'!$A:$AU,MATCH($C1122,'Fix Cost'!$AU:$AU,0),14),"")</f>
        <v/>
      </c>
      <c r="J1122" s="3153" t="str">
        <f ca="1">IFERROR(INDEX('Fix Cost'!$A:$AU,MATCH($C1122,'Fix Cost'!$AU:$AU,0)*(1+'Fix Cost'!$N$5),14),"")</f>
        <v/>
      </c>
    </row>
    <row r="1123" spans="2:10" ht="21.75">
      <c r="B1123" s="3143" t="s">
        <v>3653</v>
      </c>
      <c r="C1123" s="3143">
        <f t="shared" si="20"/>
        <v>154</v>
      </c>
      <c r="D1123" s="3143" t="str">
        <f ca="1">IFERROR(INDEX('Fix Cost'!$A:$AU,MATCH($C1123,'Fix Cost'!$AU:$AU,0),2),"")</f>
        <v/>
      </c>
      <c r="E1123" s="3143" t="str">
        <f ca="1">IFERROR(INDEX('Fix Cost'!$A:$AU,MATCH($C1123,'Fix Cost'!$AU:$AU,0),3),"")</f>
        <v/>
      </c>
      <c r="G1123" s="3153" t="str">
        <f ca="1">IFERROR(INDEX('Fix Cost'!$A:$AU,MATCH($C1123,'Fix Cost'!$AU:$AU,0),10),"")</f>
        <v/>
      </c>
      <c r="H1123" s="3599"/>
      <c r="I1123" s="3153" t="str">
        <f ca="1">IFERROR(INDEX('Fix Cost'!$A:$AU,MATCH($C1123,'Fix Cost'!$AU:$AU,0),14),"")</f>
        <v/>
      </c>
      <c r="J1123" s="3153" t="str">
        <f ca="1">IFERROR(INDEX('Fix Cost'!$A:$AU,MATCH($C1123,'Fix Cost'!$AU:$AU,0)*(1+'Fix Cost'!$N$5),14),"")</f>
        <v/>
      </c>
    </row>
    <row r="1124" spans="2:10" ht="21.75">
      <c r="B1124" s="3143" t="s">
        <v>3653</v>
      </c>
      <c r="C1124" s="3143">
        <f t="shared" si="20"/>
        <v>155</v>
      </c>
      <c r="D1124" s="3143" t="str">
        <f ca="1">IFERROR(INDEX('Fix Cost'!$A:$AU,MATCH($C1124,'Fix Cost'!$AU:$AU,0),2),"")</f>
        <v/>
      </c>
      <c r="E1124" s="3143" t="str">
        <f ca="1">IFERROR(INDEX('Fix Cost'!$A:$AU,MATCH($C1124,'Fix Cost'!$AU:$AU,0),3),"")</f>
        <v/>
      </c>
      <c r="G1124" s="3153" t="str">
        <f ca="1">IFERROR(INDEX('Fix Cost'!$A:$AU,MATCH($C1124,'Fix Cost'!$AU:$AU,0),10),"")</f>
        <v/>
      </c>
      <c r="H1124" s="3599"/>
      <c r="I1124" s="3153" t="str">
        <f ca="1">IFERROR(INDEX('Fix Cost'!$A:$AU,MATCH($C1124,'Fix Cost'!$AU:$AU,0),14),"")</f>
        <v/>
      </c>
      <c r="J1124" s="3153" t="str">
        <f ca="1">IFERROR(INDEX('Fix Cost'!$A:$AU,MATCH($C1124,'Fix Cost'!$AU:$AU,0)*(1+'Fix Cost'!$N$5),14),"")</f>
        <v/>
      </c>
    </row>
    <row r="1125" spans="2:10" ht="21.75">
      <c r="B1125" s="3143" t="s">
        <v>3653</v>
      </c>
      <c r="C1125" s="3143">
        <f t="shared" si="20"/>
        <v>156</v>
      </c>
      <c r="D1125" s="3143" t="str">
        <f ca="1">IFERROR(INDEX('Fix Cost'!$A:$AU,MATCH($C1125,'Fix Cost'!$AU:$AU,0),2),"")</f>
        <v/>
      </c>
      <c r="E1125" s="3143" t="str">
        <f ca="1">IFERROR(INDEX('Fix Cost'!$A:$AU,MATCH($C1125,'Fix Cost'!$AU:$AU,0),3),"")</f>
        <v/>
      </c>
      <c r="G1125" s="3153" t="str">
        <f ca="1">IFERROR(INDEX('Fix Cost'!$A:$AU,MATCH($C1125,'Fix Cost'!$AU:$AU,0),10),"")</f>
        <v/>
      </c>
      <c r="H1125" s="3599"/>
      <c r="I1125" s="3153" t="str">
        <f ca="1">IFERROR(INDEX('Fix Cost'!$A:$AU,MATCH($C1125,'Fix Cost'!$AU:$AU,0),14),"")</f>
        <v/>
      </c>
      <c r="J1125" s="3153" t="str">
        <f ca="1">IFERROR(INDEX('Fix Cost'!$A:$AU,MATCH($C1125,'Fix Cost'!$AU:$AU,0)*(1+'Fix Cost'!$N$5),14),"")</f>
        <v/>
      </c>
    </row>
    <row r="1126" spans="2:10" ht="21.75">
      <c r="B1126" s="3143" t="s">
        <v>3653</v>
      </c>
      <c r="C1126" s="3143">
        <f t="shared" si="20"/>
        <v>157</v>
      </c>
      <c r="D1126" s="3143" t="str">
        <f ca="1">IFERROR(INDEX('Fix Cost'!$A:$AU,MATCH($C1126,'Fix Cost'!$AU:$AU,0),2),"")</f>
        <v/>
      </c>
      <c r="E1126" s="3143" t="str">
        <f ca="1">IFERROR(INDEX('Fix Cost'!$A:$AU,MATCH($C1126,'Fix Cost'!$AU:$AU,0),3),"")</f>
        <v/>
      </c>
      <c r="G1126" s="3153" t="str">
        <f ca="1">IFERROR(INDEX('Fix Cost'!$A:$AU,MATCH($C1126,'Fix Cost'!$AU:$AU,0),10),"")</f>
        <v/>
      </c>
      <c r="H1126" s="3599"/>
      <c r="I1126" s="3153" t="str">
        <f ca="1">IFERROR(INDEX('Fix Cost'!$A:$AU,MATCH($C1126,'Fix Cost'!$AU:$AU,0),14),"")</f>
        <v/>
      </c>
      <c r="J1126" s="3153" t="str">
        <f ca="1">IFERROR(INDEX('Fix Cost'!$A:$AU,MATCH($C1126,'Fix Cost'!$AU:$AU,0)*(1+'Fix Cost'!$N$5),14),"")</f>
        <v/>
      </c>
    </row>
    <row r="1127" spans="2:10" ht="21.75">
      <c r="B1127" s="3143" t="s">
        <v>3653</v>
      </c>
      <c r="C1127" s="3143">
        <f t="shared" si="20"/>
        <v>158</v>
      </c>
      <c r="D1127" s="3143" t="str">
        <f ca="1">IFERROR(INDEX('Fix Cost'!$A:$AU,MATCH($C1127,'Fix Cost'!$AU:$AU,0),2),"")</f>
        <v/>
      </c>
      <c r="E1127" s="3143" t="str">
        <f ca="1">IFERROR(INDEX('Fix Cost'!$A:$AU,MATCH($C1127,'Fix Cost'!$AU:$AU,0),3),"")</f>
        <v/>
      </c>
      <c r="G1127" s="3153" t="str">
        <f ca="1">IFERROR(INDEX('Fix Cost'!$A:$AU,MATCH($C1127,'Fix Cost'!$AU:$AU,0),10),"")</f>
        <v/>
      </c>
      <c r="H1127" s="3599"/>
      <c r="I1127" s="3153" t="str">
        <f ca="1">IFERROR(INDEX('Fix Cost'!$A:$AU,MATCH($C1127,'Fix Cost'!$AU:$AU,0),14),"")</f>
        <v/>
      </c>
      <c r="J1127" s="3153" t="str">
        <f ca="1">IFERROR(INDEX('Fix Cost'!$A:$AU,MATCH($C1127,'Fix Cost'!$AU:$AU,0)*(1+'Fix Cost'!$N$5),14),"")</f>
        <v/>
      </c>
    </row>
    <row r="1128" spans="2:10" ht="21.75">
      <c r="B1128" s="3143" t="s">
        <v>3653</v>
      </c>
      <c r="C1128" s="3143">
        <f t="shared" si="20"/>
        <v>159</v>
      </c>
      <c r="D1128" s="3143" t="str">
        <f ca="1">IFERROR(INDEX('Fix Cost'!$A:$AU,MATCH($C1128,'Fix Cost'!$AU:$AU,0),2),"")</f>
        <v/>
      </c>
      <c r="E1128" s="3143" t="str">
        <f ca="1">IFERROR(INDEX('Fix Cost'!$A:$AU,MATCH($C1128,'Fix Cost'!$AU:$AU,0),3),"")</f>
        <v/>
      </c>
      <c r="G1128" s="3153" t="str">
        <f ca="1">IFERROR(INDEX('Fix Cost'!$A:$AU,MATCH($C1128,'Fix Cost'!$AU:$AU,0),10),"")</f>
        <v/>
      </c>
      <c r="H1128" s="3599"/>
      <c r="I1128" s="3153" t="str">
        <f ca="1">IFERROR(INDEX('Fix Cost'!$A:$AU,MATCH($C1128,'Fix Cost'!$AU:$AU,0),14),"")</f>
        <v/>
      </c>
      <c r="J1128" s="3153" t="str">
        <f ca="1">IFERROR(INDEX('Fix Cost'!$A:$AU,MATCH($C1128,'Fix Cost'!$AU:$AU,0)*(1+'Fix Cost'!$N$5),14),"")</f>
        <v/>
      </c>
    </row>
    <row r="1129" spans="2:10" ht="21.75">
      <c r="B1129" s="3143" t="s">
        <v>3653</v>
      </c>
      <c r="C1129" s="3143">
        <f t="shared" si="20"/>
        <v>160</v>
      </c>
      <c r="D1129" s="3143" t="str">
        <f ca="1">IFERROR(INDEX('Fix Cost'!$A:$AU,MATCH($C1129,'Fix Cost'!$AU:$AU,0),2),"")</f>
        <v/>
      </c>
      <c r="E1129" s="3143" t="str">
        <f ca="1">IFERROR(INDEX('Fix Cost'!$A:$AU,MATCH($C1129,'Fix Cost'!$AU:$AU,0),3),"")</f>
        <v/>
      </c>
      <c r="G1129" s="3153" t="str">
        <f ca="1">IFERROR(INDEX('Fix Cost'!$A:$AU,MATCH($C1129,'Fix Cost'!$AU:$AU,0),10),"")</f>
        <v/>
      </c>
      <c r="H1129" s="3599"/>
      <c r="I1129" s="3153" t="str">
        <f ca="1">IFERROR(INDEX('Fix Cost'!$A:$AU,MATCH($C1129,'Fix Cost'!$AU:$AU,0),14),"")</f>
        <v/>
      </c>
      <c r="J1129" s="3153" t="str">
        <f ca="1">IFERROR(INDEX('Fix Cost'!$A:$AU,MATCH($C1129,'Fix Cost'!$AU:$AU,0)*(1+'Fix Cost'!$N$5),14),"")</f>
        <v/>
      </c>
    </row>
    <row r="1130" spans="2:10" ht="21.75">
      <c r="B1130" s="3143" t="s">
        <v>3653</v>
      </c>
      <c r="C1130" s="3143">
        <f t="shared" si="20"/>
        <v>161</v>
      </c>
      <c r="D1130" s="3143" t="str">
        <f ca="1">IFERROR(INDEX('Fix Cost'!$A:$AU,MATCH($C1130,'Fix Cost'!$AU:$AU,0),2),"")</f>
        <v/>
      </c>
      <c r="E1130" s="3143" t="str">
        <f ca="1">IFERROR(INDEX('Fix Cost'!$A:$AU,MATCH($C1130,'Fix Cost'!$AU:$AU,0),3),"")</f>
        <v/>
      </c>
      <c r="G1130" s="3153" t="str">
        <f ca="1">IFERROR(INDEX('Fix Cost'!$A:$AU,MATCH($C1130,'Fix Cost'!$AU:$AU,0),10),"")</f>
        <v/>
      </c>
      <c r="H1130" s="3599"/>
      <c r="I1130" s="3153" t="str">
        <f ca="1">IFERROR(INDEX('Fix Cost'!$A:$AU,MATCH($C1130,'Fix Cost'!$AU:$AU,0),14),"")</f>
        <v/>
      </c>
      <c r="J1130" s="3153" t="str">
        <f ca="1">IFERROR(INDEX('Fix Cost'!$A:$AU,MATCH($C1130,'Fix Cost'!$AU:$AU,0)*(1+'Fix Cost'!$N$5),14),"")</f>
        <v/>
      </c>
    </row>
    <row r="1131" spans="2:10" ht="21.75">
      <c r="B1131" s="3143" t="s">
        <v>3653</v>
      </c>
      <c r="C1131" s="3143">
        <f t="shared" si="20"/>
        <v>162</v>
      </c>
      <c r="D1131" s="3143" t="str">
        <f ca="1">IFERROR(INDEX('Fix Cost'!$A:$AU,MATCH($C1131,'Fix Cost'!$AU:$AU,0),2),"")</f>
        <v/>
      </c>
      <c r="E1131" s="3143" t="str">
        <f ca="1">IFERROR(INDEX('Fix Cost'!$A:$AU,MATCH($C1131,'Fix Cost'!$AU:$AU,0),3),"")</f>
        <v/>
      </c>
      <c r="G1131" s="3153" t="str">
        <f ca="1">IFERROR(INDEX('Fix Cost'!$A:$AU,MATCH($C1131,'Fix Cost'!$AU:$AU,0),10),"")</f>
        <v/>
      </c>
      <c r="H1131" s="3599"/>
      <c r="I1131" s="3153" t="str">
        <f ca="1">IFERROR(INDEX('Fix Cost'!$A:$AU,MATCH($C1131,'Fix Cost'!$AU:$AU,0),14),"")</f>
        <v/>
      </c>
      <c r="J1131" s="3153" t="str">
        <f ca="1">IFERROR(INDEX('Fix Cost'!$A:$AU,MATCH($C1131,'Fix Cost'!$AU:$AU,0)*(1+'Fix Cost'!$N$5),14),"")</f>
        <v/>
      </c>
    </row>
    <row r="1132" spans="2:10" ht="21.75">
      <c r="B1132" s="3143" t="s">
        <v>3653</v>
      </c>
      <c r="C1132" s="3143">
        <f t="shared" si="20"/>
        <v>163</v>
      </c>
      <c r="D1132" s="3143" t="str">
        <f ca="1">IFERROR(INDEX('Fix Cost'!$A:$AU,MATCH($C1132,'Fix Cost'!$AU:$AU,0),2),"")</f>
        <v/>
      </c>
      <c r="E1132" s="3143" t="str">
        <f ca="1">IFERROR(INDEX('Fix Cost'!$A:$AU,MATCH($C1132,'Fix Cost'!$AU:$AU,0),3),"")</f>
        <v/>
      </c>
      <c r="G1132" s="3153" t="str">
        <f ca="1">IFERROR(INDEX('Fix Cost'!$A:$AU,MATCH($C1132,'Fix Cost'!$AU:$AU,0),10),"")</f>
        <v/>
      </c>
      <c r="H1132" s="3599"/>
      <c r="I1132" s="3153" t="str">
        <f ca="1">IFERROR(INDEX('Fix Cost'!$A:$AU,MATCH($C1132,'Fix Cost'!$AU:$AU,0),14),"")</f>
        <v/>
      </c>
      <c r="J1132" s="3153" t="str">
        <f ca="1">IFERROR(INDEX('Fix Cost'!$A:$AU,MATCH($C1132,'Fix Cost'!$AU:$AU,0)*(1+'Fix Cost'!$N$5),14),"")</f>
        <v/>
      </c>
    </row>
    <row r="1133" spans="2:10" ht="21.75">
      <c r="B1133" s="3143" t="s">
        <v>3653</v>
      </c>
      <c r="C1133" s="3143">
        <f t="shared" si="20"/>
        <v>164</v>
      </c>
      <c r="D1133" s="3143" t="str">
        <f ca="1">IFERROR(INDEX('Fix Cost'!$A:$AU,MATCH($C1133,'Fix Cost'!$AU:$AU,0),2),"")</f>
        <v/>
      </c>
      <c r="E1133" s="3143" t="str">
        <f ca="1">IFERROR(INDEX('Fix Cost'!$A:$AU,MATCH($C1133,'Fix Cost'!$AU:$AU,0),3),"")</f>
        <v/>
      </c>
      <c r="G1133" s="3153" t="str">
        <f ca="1">IFERROR(INDEX('Fix Cost'!$A:$AU,MATCH($C1133,'Fix Cost'!$AU:$AU,0),10),"")</f>
        <v/>
      </c>
      <c r="H1133" s="3599"/>
      <c r="I1133" s="3153" t="str">
        <f ca="1">IFERROR(INDEX('Fix Cost'!$A:$AU,MATCH($C1133,'Fix Cost'!$AU:$AU,0),14),"")</f>
        <v/>
      </c>
      <c r="J1133" s="3153" t="str">
        <f ca="1">IFERROR(INDEX('Fix Cost'!$A:$AU,MATCH($C1133,'Fix Cost'!$AU:$AU,0)*(1+'Fix Cost'!$N$5),14),"")</f>
        <v/>
      </c>
    </row>
    <row r="1134" spans="2:10" ht="21.75">
      <c r="B1134" s="3143" t="s">
        <v>3653</v>
      </c>
      <c r="C1134" s="3143">
        <f t="shared" si="20"/>
        <v>165</v>
      </c>
      <c r="D1134" s="3143" t="str">
        <f ca="1">IFERROR(INDEX('Fix Cost'!$A:$AU,MATCH($C1134,'Fix Cost'!$AU:$AU,0),2),"")</f>
        <v/>
      </c>
      <c r="E1134" s="3143" t="str">
        <f ca="1">IFERROR(INDEX('Fix Cost'!$A:$AU,MATCH($C1134,'Fix Cost'!$AU:$AU,0),3),"")</f>
        <v/>
      </c>
      <c r="G1134" s="3153" t="str">
        <f ca="1">IFERROR(INDEX('Fix Cost'!$A:$AU,MATCH($C1134,'Fix Cost'!$AU:$AU,0),10),"")</f>
        <v/>
      </c>
      <c r="H1134" s="3599"/>
      <c r="I1134" s="3153" t="str">
        <f ca="1">IFERROR(INDEX('Fix Cost'!$A:$AU,MATCH($C1134,'Fix Cost'!$AU:$AU,0),14),"")</f>
        <v/>
      </c>
      <c r="J1134" s="3153" t="str">
        <f ca="1">IFERROR(INDEX('Fix Cost'!$A:$AU,MATCH($C1134,'Fix Cost'!$AU:$AU,0)*(1+'Fix Cost'!$N$5),14),"")</f>
        <v/>
      </c>
    </row>
    <row r="1135" spans="2:10" ht="21.75">
      <c r="B1135" s="3143" t="s">
        <v>3653</v>
      </c>
      <c r="C1135" s="3143">
        <f t="shared" si="20"/>
        <v>166</v>
      </c>
      <c r="D1135" s="3143" t="str">
        <f ca="1">IFERROR(INDEX('Fix Cost'!$A:$AU,MATCH($C1135,'Fix Cost'!$AU:$AU,0),2),"")</f>
        <v/>
      </c>
      <c r="E1135" s="3143" t="str">
        <f ca="1">IFERROR(INDEX('Fix Cost'!$A:$AU,MATCH($C1135,'Fix Cost'!$AU:$AU,0),3),"")</f>
        <v/>
      </c>
      <c r="G1135" s="3153" t="str">
        <f ca="1">IFERROR(INDEX('Fix Cost'!$A:$AU,MATCH($C1135,'Fix Cost'!$AU:$AU,0),10),"")</f>
        <v/>
      </c>
      <c r="H1135" s="3599"/>
      <c r="I1135" s="3153" t="str">
        <f ca="1">IFERROR(INDEX('Fix Cost'!$A:$AU,MATCH($C1135,'Fix Cost'!$AU:$AU,0),14),"")</f>
        <v/>
      </c>
      <c r="J1135" s="3153" t="str">
        <f ca="1">IFERROR(INDEX('Fix Cost'!$A:$AU,MATCH($C1135,'Fix Cost'!$AU:$AU,0)*(1+'Fix Cost'!$N$5),14),"")</f>
        <v/>
      </c>
    </row>
    <row r="1136" spans="2:10" ht="21.75">
      <c r="B1136" s="3143" t="s">
        <v>3653</v>
      </c>
      <c r="C1136" s="3143">
        <f t="shared" si="20"/>
        <v>167</v>
      </c>
      <c r="D1136" s="3143" t="str">
        <f ca="1">IFERROR(INDEX('Fix Cost'!$A:$AU,MATCH($C1136,'Fix Cost'!$AU:$AU,0),2),"")</f>
        <v/>
      </c>
      <c r="E1136" s="3143" t="str">
        <f ca="1">IFERROR(INDEX('Fix Cost'!$A:$AU,MATCH($C1136,'Fix Cost'!$AU:$AU,0),3),"")</f>
        <v/>
      </c>
      <c r="G1136" s="3153" t="str">
        <f ca="1">IFERROR(INDEX('Fix Cost'!$A:$AU,MATCH($C1136,'Fix Cost'!$AU:$AU,0),10),"")</f>
        <v/>
      </c>
      <c r="H1136" s="3599"/>
      <c r="I1136" s="3153" t="str">
        <f ca="1">IFERROR(INDEX('Fix Cost'!$A:$AU,MATCH($C1136,'Fix Cost'!$AU:$AU,0),14),"")</f>
        <v/>
      </c>
      <c r="J1136" s="3153" t="str">
        <f ca="1">IFERROR(INDEX('Fix Cost'!$A:$AU,MATCH($C1136,'Fix Cost'!$AU:$AU,0)*(1+'Fix Cost'!$N$5),14),"")</f>
        <v/>
      </c>
    </row>
    <row r="1137" spans="2:10" ht="21.75">
      <c r="B1137" s="3143" t="s">
        <v>3653</v>
      </c>
      <c r="C1137" s="3143">
        <f t="shared" si="20"/>
        <v>168</v>
      </c>
      <c r="D1137" s="3143" t="str">
        <f ca="1">IFERROR(INDEX('Fix Cost'!$A:$AU,MATCH($C1137,'Fix Cost'!$AU:$AU,0),2),"")</f>
        <v/>
      </c>
      <c r="E1137" s="3143" t="str">
        <f ca="1">IFERROR(INDEX('Fix Cost'!$A:$AU,MATCH($C1137,'Fix Cost'!$AU:$AU,0),3),"")</f>
        <v/>
      </c>
      <c r="G1137" s="3153" t="str">
        <f ca="1">IFERROR(INDEX('Fix Cost'!$A:$AU,MATCH($C1137,'Fix Cost'!$AU:$AU,0),10),"")</f>
        <v/>
      </c>
      <c r="H1137" s="3599"/>
      <c r="I1137" s="3153" t="str">
        <f ca="1">IFERROR(INDEX('Fix Cost'!$A:$AU,MATCH($C1137,'Fix Cost'!$AU:$AU,0),14),"")</f>
        <v/>
      </c>
      <c r="J1137" s="3153" t="str">
        <f ca="1">IFERROR(INDEX('Fix Cost'!$A:$AU,MATCH($C1137,'Fix Cost'!$AU:$AU,0)*(1+'Fix Cost'!$N$5),14),"")</f>
        <v/>
      </c>
    </row>
    <row r="1138" spans="2:10" ht="21.75">
      <c r="B1138" s="3143" t="s">
        <v>3653</v>
      </c>
      <c r="C1138" s="3143">
        <f t="shared" si="20"/>
        <v>169</v>
      </c>
      <c r="D1138" s="3143" t="str">
        <f ca="1">IFERROR(INDEX('Fix Cost'!$A:$AU,MATCH($C1138,'Fix Cost'!$AU:$AU,0),2),"")</f>
        <v/>
      </c>
      <c r="E1138" s="3143" t="str">
        <f ca="1">IFERROR(INDEX('Fix Cost'!$A:$AU,MATCH($C1138,'Fix Cost'!$AU:$AU,0),3),"")</f>
        <v/>
      </c>
      <c r="G1138" s="3153" t="str">
        <f ca="1">IFERROR(INDEX('Fix Cost'!$A:$AU,MATCH($C1138,'Fix Cost'!$AU:$AU,0),10),"")</f>
        <v/>
      </c>
      <c r="H1138" s="3599"/>
      <c r="I1138" s="3153" t="str">
        <f ca="1">IFERROR(INDEX('Fix Cost'!$A:$AU,MATCH($C1138,'Fix Cost'!$AU:$AU,0),14),"")</f>
        <v/>
      </c>
      <c r="J1138" s="3153" t="str">
        <f ca="1">IFERROR(INDEX('Fix Cost'!$A:$AU,MATCH($C1138,'Fix Cost'!$AU:$AU,0)*(1+'Fix Cost'!$N$5),14),"")</f>
        <v/>
      </c>
    </row>
    <row r="1139" spans="2:10" ht="21.75">
      <c r="B1139" s="3143" t="s">
        <v>3653</v>
      </c>
      <c r="C1139" s="3143">
        <f t="shared" si="20"/>
        <v>170</v>
      </c>
      <c r="D1139" s="3143" t="str">
        <f ca="1">IFERROR(INDEX('Fix Cost'!$A:$AU,MATCH($C1139,'Fix Cost'!$AU:$AU,0),2),"")</f>
        <v/>
      </c>
      <c r="E1139" s="3143" t="str">
        <f ca="1">IFERROR(INDEX('Fix Cost'!$A:$AU,MATCH($C1139,'Fix Cost'!$AU:$AU,0),3),"")</f>
        <v/>
      </c>
      <c r="G1139" s="3153" t="str">
        <f ca="1">IFERROR(INDEX('Fix Cost'!$A:$AU,MATCH($C1139,'Fix Cost'!$AU:$AU,0),10),"")</f>
        <v/>
      </c>
      <c r="H1139" s="3599"/>
      <c r="I1139" s="3153" t="str">
        <f ca="1">IFERROR(INDEX('Fix Cost'!$A:$AU,MATCH($C1139,'Fix Cost'!$AU:$AU,0),14),"")</f>
        <v/>
      </c>
      <c r="J1139" s="3153" t="str">
        <f ca="1">IFERROR(INDEX('Fix Cost'!$A:$AU,MATCH($C1139,'Fix Cost'!$AU:$AU,0)*(1+'Fix Cost'!$N$5),14),"")</f>
        <v/>
      </c>
    </row>
    <row r="1141" spans="2:10" ht="21.75">
      <c r="B1141" s="3143" t="s">
        <v>2066</v>
      </c>
      <c r="C1141" s="3143">
        <v>1</v>
      </c>
      <c r="D1141" s="3143" t="str">
        <f ca="1">IFERROR(INDEX('Proof cost'!$A:$AU,MATCH($C1141,'Proof cost'!$AU:$AU,0),9),"")</f>
        <v>Box</v>
      </c>
      <c r="E1141" s="3143" t="str">
        <f ca="1">IFERROR(INDEX('Proof cost'!$A:$AU,MATCH($C1141,'Proof cost'!$AU:$AU,0),45),"")</f>
        <v>Paper cost</v>
      </c>
      <c r="G1141" s="3143">
        <f ca="1">IFERROR(INDEX('Proof cost'!$A:$AU,MATCH($C1141,'Proof cost'!$AU:$AU,0),10),"")</f>
        <v>800</v>
      </c>
      <c r="I1141" s="3153">
        <f ca="1">IFERROR(INDEX('Proof cost'!$A:$AU,MATCH($C1141,'Proof cost'!$AU:$AU,0),20)/'Proof cost'!$I$2,"")</f>
        <v>162.13999688640001</v>
      </c>
      <c r="J1141" s="3153">
        <f ca="1">IFERROR(INDEX('Proof cost'!$A:$AU,MATCH($C1141,'Proof cost'!$AU:$AU,0),20)/'Proof cost'!$I$2,"")</f>
        <v>162.13999688640001</v>
      </c>
    </row>
    <row r="1142" spans="2:10" ht="21.75">
      <c r="B1142" s="3143" t="s">
        <v>2066</v>
      </c>
      <c r="C1142" s="3143">
        <f>C1141+1</f>
        <v>2</v>
      </c>
      <c r="D1142" s="3143" t="str">
        <f ca="1">IFERROR(INDEX('Proof cost'!$A:$AU,MATCH($C1142,'Proof cost'!$AU:$AU,0),9),"")</f>
        <v>E-flute 115/105</v>
      </c>
      <c r="E1142" s="3143" t="str">
        <f ca="1">IFERROR(INDEX('Proof cost'!$A:$AU,MATCH($C1142,'Proof cost'!$AU:$AU,0),45),"")</f>
        <v>Paper cost</v>
      </c>
      <c r="G1142" s="3143">
        <f ca="1">IFERROR(INDEX('Proof cost'!$A:$AU,MATCH($C1142,'Proof cost'!$AU:$AU,0),10),"")</f>
        <v>180</v>
      </c>
      <c r="I1142" s="3153">
        <f ca="1">IFERROR(INDEX('Proof cost'!$A:$AU,MATCH($C1142,'Proof cost'!$AU:$AU,0),20)/'Proof cost'!$I$2,"")</f>
        <v>45.7744176</v>
      </c>
      <c r="J1142" s="3153">
        <f ca="1">IFERROR(INDEX('Proof cost'!$A:$AU,MATCH($C1142,'Proof cost'!$AU:$AU,0),20)/'Proof cost'!$I$2,"")</f>
        <v>45.7744176</v>
      </c>
    </row>
    <row r="1143" spans="2:10" ht="21.75">
      <c r="B1143" s="3143" t="s">
        <v>2066</v>
      </c>
      <c r="C1143" s="3143">
        <f t="shared" ref="C1143:C1206" si="21">C1142+1</f>
        <v>3</v>
      </c>
      <c r="D1143" s="3143" t="str">
        <f ca="1">IFERROR(INDEX('Proof cost'!$A:$AU,MATCH($C1143,'Proof cost'!$AU:$AU,0),9),"")</f>
        <v>Box</v>
      </c>
      <c r="E1143" s="3143" t="str">
        <f ca="1">IFERROR(INDEX('Proof cost'!$A:$AU,MATCH($C1143,'Proof cost'!$AU:$AU,0),45),"")</f>
        <v>Ink cost</v>
      </c>
      <c r="G1143" s="3143" t="str">
        <f ca="1">IFERROR(INDEX('Proof cost'!$A:$AU,MATCH($C1143,'Proof cost'!$AU:$AU,0),10),"")</f>
        <v>CMYK</v>
      </c>
      <c r="I1143" s="3153">
        <f ca="1">IFERROR(INDEX('Proof cost'!$A:$AU,MATCH($C1143,'Proof cost'!$AU:$AU,0),20)/'Proof cost'!$I$2,"")</f>
        <v>164.934</v>
      </c>
      <c r="J1143" s="3153">
        <f ca="1">IFERROR(INDEX('Proof cost'!$A:$AU,MATCH($C1143,'Proof cost'!$AU:$AU,0),20)/'Proof cost'!$I$2,"")</f>
        <v>164.934</v>
      </c>
    </row>
    <row r="1144" spans="2:10" ht="21.75">
      <c r="B1144" s="3143" t="s">
        <v>2066</v>
      </c>
      <c r="C1144" s="3143">
        <f t="shared" si="21"/>
        <v>4</v>
      </c>
      <c r="D1144" s="3143" t="str">
        <f ca="1">IFERROR(INDEX('Proof cost'!$A:$AU,MATCH($C1144,'Proof cost'!$AU:$AU,0),9),"")</f>
        <v>Box</v>
      </c>
      <c r="E1144" s="3143" t="str">
        <f ca="1">IFERROR(INDEX('Proof cost'!$A:$AU,MATCH($C1144,'Proof cost'!$AU:$AU,0),45),"")</f>
        <v>Finishing</v>
      </c>
      <c r="G1144" s="3143" t="str">
        <f ca="1">IFERROR(INDEX('Proof cost'!$A:$AU,MATCH($C1144,'Proof cost'!$AU:$AU,0),10),"")</f>
        <v>OPV-CX0186 Water base</v>
      </c>
      <c r="I1144" s="3153">
        <f ca="1">IFERROR(INDEX('Proof cost'!$A:$AU,MATCH($C1144,'Proof cost'!$AU:$AU,0),20)/'Proof cost'!$I$2,"")</f>
        <v>35.200000000000003</v>
      </c>
      <c r="J1144" s="3153">
        <f ca="1">IFERROR(INDEX('Proof cost'!$A:$AU,MATCH($C1144,'Proof cost'!$AU:$AU,0),20)/'Proof cost'!$I$2,"")</f>
        <v>35.200000000000003</v>
      </c>
    </row>
    <row r="1145" spans="2:10" ht="21.75">
      <c r="B1145" s="3143" t="s">
        <v>2066</v>
      </c>
      <c r="C1145" s="3143">
        <f t="shared" si="21"/>
        <v>5</v>
      </c>
      <c r="D1145" s="3143" t="str">
        <f ca="1">IFERROR(INDEX('Proof cost'!$A:$AU,MATCH($C1145,'Proof cost'!$AU:$AU,0),9),"")</f>
        <v>Box</v>
      </c>
      <c r="E1145" s="3143" t="str">
        <f ca="1">IFERROR(INDEX('Proof cost'!$A:$AU,MATCH($C1145,'Proof cost'!$AU:$AU,0),45),"")</f>
        <v>Labour Cost</v>
      </c>
      <c r="G1145" s="3143" t="str">
        <f ca="1">IFERROR(INDEX('Proof cost'!$A:$AU,MATCH($C1145,'Proof cost'!$AU:$AU,0),10),"")</f>
        <v>Komori_L240</v>
      </c>
      <c r="I1145" s="3153">
        <f ca="1">IFERROR(INDEX('Proof cost'!$A:$AU,MATCH($C1145,'Proof cost'!$AU:$AU,0),20)/'Proof cost'!$I$2,"")</f>
        <v>99.600451561513154</v>
      </c>
      <c r="J1145" s="3153">
        <f ca="1">IFERROR(INDEX('Proof cost'!$A:$AU,MATCH($C1145,'Proof cost'!$AU:$AU,0),20)/'Proof cost'!$I$2,"")</f>
        <v>99.600451561513154</v>
      </c>
    </row>
    <row r="1146" spans="2:10" ht="21.75">
      <c r="B1146" s="3143" t="s">
        <v>2066</v>
      </c>
      <c r="C1146" s="3143">
        <f t="shared" si="21"/>
        <v>6</v>
      </c>
      <c r="D1146" s="3143">
        <f ca="1">IFERROR(INDEX('Proof cost'!$A:$AU,MATCH($C1146,'Proof cost'!$AU:$AU,0),9),"")</f>
        <v>110029.46045562089</v>
      </c>
      <c r="E1146" s="3143" t="str">
        <f ca="1">IFERROR(INDEX('Proof cost'!$A:$AU,MATCH($C1146,'Proof cost'!$AU:$AU,0),45),"")</f>
        <v>Glue, Acc, Labour cost</v>
      </c>
      <c r="G1146" s="3143" t="str">
        <f ca="1">IFERROR(INDEX('Proof cost'!$A:$AU,MATCH($C1146,'Proof cost'!$AU:$AU,0),10),"")</f>
        <v>VND</v>
      </c>
      <c r="I1146" s="3153">
        <f ca="1">IFERROR(INDEX('Proof cost'!$A:$AU,MATCH($C1146,'Proof cost'!$AU:$AU,0),20)/'Proof cost'!$I$2,"")</f>
        <v>22.005892091124178</v>
      </c>
      <c r="J1146" s="3153">
        <f ca="1">IFERROR(INDEX('Proof cost'!$A:$AU,MATCH($C1146,'Proof cost'!$AU:$AU,0),20)/'Proof cost'!$I$2,"")</f>
        <v>22.005892091124178</v>
      </c>
    </row>
    <row r="1147" spans="2:10" ht="21.75">
      <c r="B1147" s="3143" t="s">
        <v>2066</v>
      </c>
      <c r="C1147" s="3143">
        <f t="shared" si="21"/>
        <v>7</v>
      </c>
      <c r="D1147" s="3143">
        <f ca="1">IFERROR(INDEX('Proof cost'!$A:$AU,MATCH($C1147,'Proof cost'!$AU:$AU,0),9),"")</f>
        <v>300000</v>
      </c>
      <c r="E1147" s="3143" t="str">
        <f ca="1">IFERROR(INDEX('Proof cost'!$A:$AU,MATCH($C1147,'Proof cost'!$AU:$AU,0),45),"")</f>
        <v>Transportation-Local</v>
      </c>
      <c r="G1147" s="3143" t="str">
        <f ca="1">IFERROR(INDEX('Proof cost'!$A:$AU,MATCH($C1147,'Proof cost'!$AU:$AU,0),10),"")</f>
        <v>VND</v>
      </c>
      <c r="I1147" s="3153">
        <f ca="1">IFERROR(INDEX('Proof cost'!$A:$AU,MATCH($C1147,'Proof cost'!$AU:$AU,0),20)/'Proof cost'!$I$2,"")</f>
        <v>60</v>
      </c>
      <c r="J1147" s="3153">
        <f ca="1">IFERROR(INDEX('Proof cost'!$A:$AU,MATCH($C1147,'Proof cost'!$AU:$AU,0),20)/'Proof cost'!$I$2,"")</f>
        <v>60</v>
      </c>
    </row>
    <row r="1148" spans="2:10" ht="21.75">
      <c r="B1148" s="3143" t="s">
        <v>2066</v>
      </c>
      <c r="C1148" s="3143">
        <f t="shared" si="21"/>
        <v>8</v>
      </c>
      <c r="D1148" s="3143" t="str">
        <f ca="1">IFERROR(INDEX('Proof cost'!$A:$AU,MATCH($C1148,'Proof cost'!$AU:$AU,0),9),"")</f>
        <v/>
      </c>
      <c r="E1148" s="3143" t="str">
        <f ca="1">IFERROR(INDEX('Proof cost'!$A:$AU,MATCH($C1148,'Proof cost'!$AU:$AU,0),45),"")</f>
        <v/>
      </c>
      <c r="G1148" s="3143" t="str">
        <f ca="1">IFERROR(INDEX('Proof cost'!$A:$AU,MATCH($C1148,'Proof cost'!$AU:$AU,0),10),"")</f>
        <v/>
      </c>
      <c r="I1148" s="3153" t="str">
        <f ca="1">IFERROR(INDEX('Proof cost'!$A:$AU,MATCH($C1148,'Proof cost'!$AU:$AU,0),20)/'Proof cost'!$I$2,"")</f>
        <v/>
      </c>
      <c r="J1148" s="3153" t="str">
        <f ca="1">IFERROR(INDEX('Proof cost'!$A:$AU,MATCH($C1148,'Proof cost'!$AU:$AU,0),20)/'Proof cost'!$I$2,"")</f>
        <v/>
      </c>
    </row>
    <row r="1149" spans="2:10" ht="21.75">
      <c r="B1149" s="3143" t="s">
        <v>2066</v>
      </c>
      <c r="C1149" s="3143">
        <f t="shared" si="21"/>
        <v>9</v>
      </c>
      <c r="D1149" s="3143" t="str">
        <f ca="1">IFERROR(INDEX('Proof cost'!$A:$AU,MATCH($C1149,'Proof cost'!$AU:$AU,0),9),"")</f>
        <v/>
      </c>
      <c r="E1149" s="3143" t="str">
        <f ca="1">IFERROR(INDEX('Proof cost'!$A:$AU,MATCH($C1149,'Proof cost'!$AU:$AU,0),45),"")</f>
        <v/>
      </c>
      <c r="G1149" s="3143" t="str">
        <f ca="1">IFERROR(INDEX('Proof cost'!$A:$AU,MATCH($C1149,'Proof cost'!$AU:$AU,0),10),"")</f>
        <v/>
      </c>
      <c r="I1149" s="3153" t="str">
        <f ca="1">IFERROR(INDEX('Proof cost'!$A:$AU,MATCH($C1149,'Proof cost'!$AU:$AU,0),20)/'Proof cost'!$I$2,"")</f>
        <v/>
      </c>
      <c r="J1149" s="3153" t="str">
        <f ca="1">IFERROR(INDEX('Proof cost'!$A:$AU,MATCH($C1149,'Proof cost'!$AU:$AU,0),20)/'Proof cost'!$I$2,"")</f>
        <v/>
      </c>
    </row>
    <row r="1150" spans="2:10" ht="21.75">
      <c r="B1150" s="3143" t="s">
        <v>2066</v>
      </c>
      <c r="C1150" s="3143">
        <f t="shared" si="21"/>
        <v>10</v>
      </c>
      <c r="D1150" s="3143" t="str">
        <f ca="1">IFERROR(INDEX('Proof cost'!$A:$AU,MATCH($C1150,'Proof cost'!$AU:$AU,0),9),"")</f>
        <v/>
      </c>
      <c r="E1150" s="3143" t="str">
        <f ca="1">IFERROR(INDEX('Proof cost'!$A:$AU,MATCH($C1150,'Proof cost'!$AU:$AU,0),45),"")</f>
        <v/>
      </c>
      <c r="G1150" s="3143" t="str">
        <f ca="1">IFERROR(INDEX('Proof cost'!$A:$AU,MATCH($C1150,'Proof cost'!$AU:$AU,0),10),"")</f>
        <v/>
      </c>
      <c r="I1150" s="3153" t="str">
        <f ca="1">IFERROR(INDEX('Proof cost'!$A:$AU,MATCH($C1150,'Proof cost'!$AU:$AU,0),20)/'Proof cost'!$I$2,"")</f>
        <v/>
      </c>
      <c r="J1150" s="3153" t="str">
        <f ca="1">IFERROR(INDEX('Proof cost'!$A:$AU,MATCH($C1150,'Proof cost'!$AU:$AU,0),20)/'Proof cost'!$I$2,"")</f>
        <v/>
      </c>
    </row>
    <row r="1151" spans="2:10" ht="21.75">
      <c r="B1151" s="3143" t="s">
        <v>2066</v>
      </c>
      <c r="C1151" s="3143">
        <f t="shared" si="21"/>
        <v>11</v>
      </c>
      <c r="D1151" s="3143" t="str">
        <f ca="1">IFERROR(INDEX('Proof cost'!$A:$AU,MATCH($C1151,'Proof cost'!$AU:$AU,0),9),"")</f>
        <v/>
      </c>
      <c r="E1151" s="3143" t="str">
        <f ca="1">IFERROR(INDEX('Proof cost'!$A:$AU,MATCH($C1151,'Proof cost'!$AU:$AU,0),45),"")</f>
        <v/>
      </c>
      <c r="G1151" s="3143" t="str">
        <f ca="1">IFERROR(INDEX('Proof cost'!$A:$AU,MATCH($C1151,'Proof cost'!$AU:$AU,0),10),"")</f>
        <v/>
      </c>
      <c r="I1151" s="3153" t="str">
        <f ca="1">IFERROR(INDEX('Proof cost'!$A:$AU,MATCH($C1151,'Proof cost'!$AU:$AU,0),20)/'Proof cost'!$I$2,"")</f>
        <v/>
      </c>
      <c r="J1151" s="3153" t="str">
        <f ca="1">IFERROR(INDEX('Proof cost'!$A:$AU,MATCH($C1151,'Proof cost'!$AU:$AU,0),20)/'Proof cost'!$I$2,"")</f>
        <v/>
      </c>
    </row>
    <row r="1152" spans="2:10" ht="21.75">
      <c r="B1152" s="3143" t="s">
        <v>2066</v>
      </c>
      <c r="C1152" s="3143">
        <f t="shared" si="21"/>
        <v>12</v>
      </c>
      <c r="D1152" s="3143" t="str">
        <f ca="1">IFERROR(INDEX('Proof cost'!$A:$AU,MATCH($C1152,'Proof cost'!$AU:$AU,0),9),"")</f>
        <v/>
      </c>
      <c r="E1152" s="3143" t="str">
        <f ca="1">IFERROR(INDEX('Proof cost'!$A:$AU,MATCH($C1152,'Proof cost'!$AU:$AU,0),45),"")</f>
        <v/>
      </c>
      <c r="G1152" s="3143" t="str">
        <f ca="1">IFERROR(INDEX('Proof cost'!$A:$AU,MATCH($C1152,'Proof cost'!$AU:$AU,0),10),"")</f>
        <v/>
      </c>
      <c r="I1152" s="3153" t="str">
        <f ca="1">IFERROR(INDEX('Proof cost'!$A:$AU,MATCH($C1152,'Proof cost'!$AU:$AU,0),20)/'Proof cost'!$I$2,"")</f>
        <v/>
      </c>
      <c r="J1152" s="3153" t="str">
        <f ca="1">IFERROR(INDEX('Proof cost'!$A:$AU,MATCH($C1152,'Proof cost'!$AU:$AU,0),20)/'Proof cost'!$I$2,"")</f>
        <v/>
      </c>
    </row>
    <row r="1153" spans="2:10" ht="21.75">
      <c r="B1153" s="3143" t="s">
        <v>2066</v>
      </c>
      <c r="C1153" s="3143">
        <f t="shared" si="21"/>
        <v>13</v>
      </c>
      <c r="D1153" s="3143" t="str">
        <f ca="1">IFERROR(INDEX('Proof cost'!$A:$AU,MATCH($C1153,'Proof cost'!$AU:$AU,0),9),"")</f>
        <v/>
      </c>
      <c r="E1153" s="3143" t="str">
        <f ca="1">IFERROR(INDEX('Proof cost'!$A:$AU,MATCH($C1153,'Proof cost'!$AU:$AU,0),45),"")</f>
        <v/>
      </c>
      <c r="G1153" s="3143" t="str">
        <f ca="1">IFERROR(INDEX('Proof cost'!$A:$AU,MATCH($C1153,'Proof cost'!$AU:$AU,0),10),"")</f>
        <v/>
      </c>
      <c r="I1153" s="3153" t="str">
        <f ca="1">IFERROR(INDEX('Proof cost'!$A:$AU,MATCH($C1153,'Proof cost'!$AU:$AU,0),20)/'Proof cost'!$I$2,"")</f>
        <v/>
      </c>
      <c r="J1153" s="3153" t="str">
        <f ca="1">IFERROR(INDEX('Proof cost'!$A:$AU,MATCH($C1153,'Proof cost'!$AU:$AU,0),20)/'Proof cost'!$I$2,"")</f>
        <v/>
      </c>
    </row>
    <row r="1154" spans="2:10" ht="21.75">
      <c r="B1154" s="3143" t="s">
        <v>2066</v>
      </c>
      <c r="C1154" s="3143">
        <f t="shared" si="21"/>
        <v>14</v>
      </c>
      <c r="D1154" s="3143" t="str">
        <f ca="1">IFERROR(INDEX('Proof cost'!$A:$AU,MATCH($C1154,'Proof cost'!$AU:$AU,0),9),"")</f>
        <v/>
      </c>
      <c r="E1154" s="3143" t="str">
        <f ca="1">IFERROR(INDEX('Proof cost'!$A:$AU,MATCH($C1154,'Proof cost'!$AU:$AU,0),45),"")</f>
        <v/>
      </c>
      <c r="G1154" s="3143" t="str">
        <f ca="1">IFERROR(INDEX('Proof cost'!$A:$AU,MATCH($C1154,'Proof cost'!$AU:$AU,0),10),"")</f>
        <v/>
      </c>
      <c r="I1154" s="3153" t="str">
        <f ca="1">IFERROR(INDEX('Proof cost'!$A:$AU,MATCH($C1154,'Proof cost'!$AU:$AU,0),20)/'Proof cost'!$I$2,"")</f>
        <v/>
      </c>
      <c r="J1154" s="3153" t="str">
        <f ca="1">IFERROR(INDEX('Proof cost'!$A:$AU,MATCH($C1154,'Proof cost'!$AU:$AU,0),20)/'Proof cost'!$I$2,"")</f>
        <v/>
      </c>
    </row>
    <row r="1155" spans="2:10" ht="21.75">
      <c r="B1155" s="3143" t="s">
        <v>2066</v>
      </c>
      <c r="C1155" s="3143">
        <f t="shared" si="21"/>
        <v>15</v>
      </c>
      <c r="D1155" s="3143" t="str">
        <f ca="1">IFERROR(INDEX('Proof cost'!$A:$AU,MATCH($C1155,'Proof cost'!$AU:$AU,0),9),"")</f>
        <v/>
      </c>
      <c r="E1155" s="3143" t="str">
        <f ca="1">IFERROR(INDEX('Proof cost'!$A:$AU,MATCH($C1155,'Proof cost'!$AU:$AU,0),45),"")</f>
        <v/>
      </c>
      <c r="G1155" s="3143" t="str">
        <f ca="1">IFERROR(INDEX('Proof cost'!$A:$AU,MATCH($C1155,'Proof cost'!$AU:$AU,0),10),"")</f>
        <v/>
      </c>
      <c r="I1155" s="3153" t="str">
        <f ca="1">IFERROR(INDEX('Proof cost'!$A:$AU,MATCH($C1155,'Proof cost'!$AU:$AU,0),20)/'Proof cost'!$I$2,"")</f>
        <v/>
      </c>
      <c r="J1155" s="3153" t="str">
        <f ca="1">IFERROR(INDEX('Proof cost'!$A:$AU,MATCH($C1155,'Proof cost'!$AU:$AU,0),20)/'Proof cost'!$I$2,"")</f>
        <v/>
      </c>
    </row>
    <row r="1156" spans="2:10" ht="21.75">
      <c r="B1156" s="3143" t="s">
        <v>2066</v>
      </c>
      <c r="C1156" s="3143">
        <f t="shared" si="21"/>
        <v>16</v>
      </c>
      <c r="D1156" s="3143" t="str">
        <f ca="1">IFERROR(INDEX('Proof cost'!$A:$AU,MATCH($C1156,'Proof cost'!$AU:$AU,0),9),"")</f>
        <v/>
      </c>
      <c r="E1156" s="3143" t="str">
        <f ca="1">IFERROR(INDEX('Proof cost'!$A:$AU,MATCH($C1156,'Proof cost'!$AU:$AU,0),45),"")</f>
        <v/>
      </c>
      <c r="G1156" s="3143" t="str">
        <f ca="1">IFERROR(INDEX('Proof cost'!$A:$AU,MATCH($C1156,'Proof cost'!$AU:$AU,0),10),"")</f>
        <v/>
      </c>
      <c r="I1156" s="3153" t="str">
        <f ca="1">IFERROR(INDEX('Proof cost'!$A:$AU,MATCH($C1156,'Proof cost'!$AU:$AU,0),20)/'Proof cost'!$I$2,"")</f>
        <v/>
      </c>
      <c r="J1156" s="3153" t="str">
        <f ca="1">IFERROR(INDEX('Proof cost'!$A:$AU,MATCH($C1156,'Proof cost'!$AU:$AU,0),20)/'Proof cost'!$I$2,"")</f>
        <v/>
      </c>
    </row>
    <row r="1157" spans="2:10" ht="21.75">
      <c r="B1157" s="3143" t="s">
        <v>2066</v>
      </c>
      <c r="C1157" s="3143">
        <f t="shared" si="21"/>
        <v>17</v>
      </c>
      <c r="D1157" s="3143" t="str">
        <f ca="1">IFERROR(INDEX('Proof cost'!$A:$AU,MATCH($C1157,'Proof cost'!$AU:$AU,0),9),"")</f>
        <v/>
      </c>
      <c r="E1157" s="3143" t="str">
        <f ca="1">IFERROR(INDEX('Proof cost'!$A:$AU,MATCH($C1157,'Proof cost'!$AU:$AU,0),45),"")</f>
        <v/>
      </c>
      <c r="G1157" s="3143" t="str">
        <f ca="1">IFERROR(INDEX('Proof cost'!$A:$AU,MATCH($C1157,'Proof cost'!$AU:$AU,0),10),"")</f>
        <v/>
      </c>
      <c r="I1157" s="3153" t="str">
        <f ca="1">IFERROR(INDEX('Proof cost'!$A:$AU,MATCH($C1157,'Proof cost'!$AU:$AU,0),20)/'Proof cost'!$I$2,"")</f>
        <v/>
      </c>
      <c r="J1157" s="3153" t="str">
        <f ca="1">IFERROR(INDEX('Proof cost'!$A:$AU,MATCH($C1157,'Proof cost'!$AU:$AU,0),20)/'Proof cost'!$I$2,"")</f>
        <v/>
      </c>
    </row>
    <row r="1158" spans="2:10" ht="21.75">
      <c r="B1158" s="3143" t="s">
        <v>2066</v>
      </c>
      <c r="C1158" s="3143">
        <f t="shared" si="21"/>
        <v>18</v>
      </c>
      <c r="D1158" s="3143" t="str">
        <f ca="1">IFERROR(INDEX('Proof cost'!$A:$AU,MATCH($C1158,'Proof cost'!$AU:$AU,0),9),"")</f>
        <v/>
      </c>
      <c r="E1158" s="3143" t="str">
        <f ca="1">IFERROR(INDEX('Proof cost'!$A:$AU,MATCH($C1158,'Proof cost'!$AU:$AU,0),45),"")</f>
        <v/>
      </c>
      <c r="G1158" s="3143" t="str">
        <f ca="1">IFERROR(INDEX('Proof cost'!$A:$AU,MATCH($C1158,'Proof cost'!$AU:$AU,0),10),"")</f>
        <v/>
      </c>
      <c r="I1158" s="3153" t="str">
        <f ca="1">IFERROR(INDEX('Proof cost'!$A:$AU,MATCH($C1158,'Proof cost'!$AU:$AU,0),20)/'Proof cost'!$I$2,"")</f>
        <v/>
      </c>
      <c r="J1158" s="3153" t="str">
        <f ca="1">IFERROR(INDEX('Proof cost'!$A:$AU,MATCH($C1158,'Proof cost'!$AU:$AU,0),20)/'Proof cost'!$I$2,"")</f>
        <v/>
      </c>
    </row>
    <row r="1159" spans="2:10" ht="21.75">
      <c r="B1159" s="3143" t="s">
        <v>2066</v>
      </c>
      <c r="C1159" s="3143">
        <f t="shared" si="21"/>
        <v>19</v>
      </c>
      <c r="D1159" s="3143" t="str">
        <f ca="1">IFERROR(INDEX('Proof cost'!$A:$AU,MATCH($C1159,'Proof cost'!$AU:$AU,0),9),"")</f>
        <v/>
      </c>
      <c r="E1159" s="3143" t="str">
        <f ca="1">IFERROR(INDEX('Proof cost'!$A:$AU,MATCH($C1159,'Proof cost'!$AU:$AU,0),45),"")</f>
        <v/>
      </c>
      <c r="G1159" s="3143" t="str">
        <f ca="1">IFERROR(INDEX('Proof cost'!$A:$AU,MATCH($C1159,'Proof cost'!$AU:$AU,0),10),"")</f>
        <v/>
      </c>
      <c r="I1159" s="3153" t="str">
        <f ca="1">IFERROR(INDEX('Proof cost'!$A:$AU,MATCH($C1159,'Proof cost'!$AU:$AU,0),20)/'Proof cost'!$I$2,"")</f>
        <v/>
      </c>
      <c r="J1159" s="3153" t="str">
        <f ca="1">IFERROR(INDEX('Proof cost'!$A:$AU,MATCH($C1159,'Proof cost'!$AU:$AU,0),20)/'Proof cost'!$I$2,"")</f>
        <v/>
      </c>
    </row>
    <row r="1160" spans="2:10" ht="21.75">
      <c r="B1160" s="3143" t="s">
        <v>2066</v>
      </c>
      <c r="C1160" s="3143">
        <f t="shared" si="21"/>
        <v>20</v>
      </c>
      <c r="D1160" s="3143" t="str">
        <f ca="1">IFERROR(INDEX('Proof cost'!$A:$AU,MATCH($C1160,'Proof cost'!$AU:$AU,0),9),"")</f>
        <v/>
      </c>
      <c r="E1160" s="3143" t="str">
        <f ca="1">IFERROR(INDEX('Proof cost'!$A:$AU,MATCH($C1160,'Proof cost'!$AU:$AU,0),45),"")</f>
        <v/>
      </c>
      <c r="G1160" s="3143" t="str">
        <f ca="1">IFERROR(INDEX('Proof cost'!$A:$AU,MATCH($C1160,'Proof cost'!$AU:$AU,0),10),"")</f>
        <v/>
      </c>
      <c r="I1160" s="3153" t="str">
        <f ca="1">IFERROR(INDEX('Proof cost'!$A:$AU,MATCH($C1160,'Proof cost'!$AU:$AU,0),20)/'Proof cost'!$I$2,"")</f>
        <v/>
      </c>
      <c r="J1160" s="3153" t="str">
        <f ca="1">IFERROR(INDEX('Proof cost'!$A:$AU,MATCH($C1160,'Proof cost'!$AU:$AU,0),20)/'Proof cost'!$I$2,"")</f>
        <v/>
      </c>
    </row>
    <row r="1161" spans="2:10" ht="21.75">
      <c r="B1161" s="3143" t="s">
        <v>2066</v>
      </c>
      <c r="C1161" s="3143">
        <f t="shared" si="21"/>
        <v>21</v>
      </c>
      <c r="D1161" s="3143" t="str">
        <f ca="1">IFERROR(INDEX('Proof cost'!$A:$AU,MATCH($C1161,'Proof cost'!$AU:$AU,0),9),"")</f>
        <v/>
      </c>
      <c r="E1161" s="3143" t="str">
        <f ca="1">IFERROR(INDEX('Proof cost'!$A:$AU,MATCH($C1161,'Proof cost'!$AU:$AU,0),45),"")</f>
        <v/>
      </c>
      <c r="G1161" s="3143" t="str">
        <f ca="1">IFERROR(INDEX('Proof cost'!$A:$AU,MATCH($C1161,'Proof cost'!$AU:$AU,0),10),"")</f>
        <v/>
      </c>
      <c r="I1161" s="3153" t="str">
        <f ca="1">IFERROR(INDEX('Proof cost'!$A:$AU,MATCH($C1161,'Proof cost'!$AU:$AU,0),20)/'Proof cost'!$I$2,"")</f>
        <v/>
      </c>
      <c r="J1161" s="3153" t="str">
        <f ca="1">IFERROR(INDEX('Proof cost'!$A:$AU,MATCH($C1161,'Proof cost'!$AU:$AU,0),20)/'Proof cost'!$I$2,"")</f>
        <v/>
      </c>
    </row>
    <row r="1162" spans="2:10" ht="21.75">
      <c r="B1162" s="3143" t="s">
        <v>2066</v>
      </c>
      <c r="C1162" s="3143">
        <f t="shared" si="21"/>
        <v>22</v>
      </c>
      <c r="D1162" s="3143" t="str">
        <f ca="1">IFERROR(INDEX('Proof cost'!$A:$AU,MATCH($C1162,'Proof cost'!$AU:$AU,0),9),"")</f>
        <v/>
      </c>
      <c r="E1162" s="3143" t="str">
        <f ca="1">IFERROR(INDEX('Proof cost'!$A:$AU,MATCH($C1162,'Proof cost'!$AU:$AU,0),45),"")</f>
        <v/>
      </c>
      <c r="G1162" s="3143" t="str">
        <f ca="1">IFERROR(INDEX('Proof cost'!$A:$AU,MATCH($C1162,'Proof cost'!$AU:$AU,0),10),"")</f>
        <v/>
      </c>
      <c r="I1162" s="3153" t="str">
        <f ca="1">IFERROR(INDEX('Proof cost'!$A:$AU,MATCH($C1162,'Proof cost'!$AU:$AU,0),20)/'Proof cost'!$I$2,"")</f>
        <v/>
      </c>
      <c r="J1162" s="3153" t="str">
        <f ca="1">IFERROR(INDEX('Proof cost'!$A:$AU,MATCH($C1162,'Proof cost'!$AU:$AU,0),20)/'Proof cost'!$I$2,"")</f>
        <v/>
      </c>
    </row>
    <row r="1163" spans="2:10" ht="21.75">
      <c r="B1163" s="3143" t="s">
        <v>2066</v>
      </c>
      <c r="C1163" s="3143">
        <f t="shared" si="21"/>
        <v>23</v>
      </c>
      <c r="D1163" s="3143" t="str">
        <f ca="1">IFERROR(INDEX('Proof cost'!$A:$AU,MATCH($C1163,'Proof cost'!$AU:$AU,0),9),"")</f>
        <v/>
      </c>
      <c r="E1163" s="3143" t="str">
        <f ca="1">IFERROR(INDEX('Proof cost'!$A:$AU,MATCH($C1163,'Proof cost'!$AU:$AU,0),45),"")</f>
        <v/>
      </c>
      <c r="G1163" s="3143" t="str">
        <f ca="1">IFERROR(INDEX('Proof cost'!$A:$AU,MATCH($C1163,'Proof cost'!$AU:$AU,0),10),"")</f>
        <v/>
      </c>
      <c r="I1163" s="3153" t="str">
        <f ca="1">IFERROR(INDEX('Proof cost'!$A:$AU,MATCH($C1163,'Proof cost'!$AU:$AU,0),20)/'Proof cost'!$I$2,"")</f>
        <v/>
      </c>
      <c r="J1163" s="3153" t="str">
        <f ca="1">IFERROR(INDEX('Proof cost'!$A:$AU,MATCH($C1163,'Proof cost'!$AU:$AU,0),20)/'Proof cost'!$I$2,"")</f>
        <v/>
      </c>
    </row>
    <row r="1164" spans="2:10" ht="21.75">
      <c r="B1164" s="3143" t="s">
        <v>2066</v>
      </c>
      <c r="C1164" s="3143">
        <f t="shared" si="21"/>
        <v>24</v>
      </c>
      <c r="D1164" s="3143" t="str">
        <f ca="1">IFERROR(INDEX('Proof cost'!$A:$AU,MATCH($C1164,'Proof cost'!$AU:$AU,0),9),"")</f>
        <v/>
      </c>
      <c r="E1164" s="3143" t="str">
        <f ca="1">IFERROR(INDEX('Proof cost'!$A:$AU,MATCH($C1164,'Proof cost'!$AU:$AU,0),45),"")</f>
        <v/>
      </c>
      <c r="G1164" s="3143" t="str">
        <f ca="1">IFERROR(INDEX('Proof cost'!$A:$AU,MATCH($C1164,'Proof cost'!$AU:$AU,0),10),"")</f>
        <v/>
      </c>
      <c r="I1164" s="3153" t="str">
        <f ca="1">IFERROR(INDEX('Proof cost'!$A:$AU,MATCH($C1164,'Proof cost'!$AU:$AU,0),20)/'Proof cost'!$I$2,"")</f>
        <v/>
      </c>
      <c r="J1164" s="3153" t="str">
        <f ca="1">IFERROR(INDEX('Proof cost'!$A:$AU,MATCH($C1164,'Proof cost'!$AU:$AU,0),20)/'Proof cost'!$I$2,"")</f>
        <v/>
      </c>
    </row>
    <row r="1165" spans="2:10" ht="21.75">
      <c r="B1165" s="3143" t="s">
        <v>2066</v>
      </c>
      <c r="C1165" s="3143">
        <f t="shared" si="21"/>
        <v>25</v>
      </c>
      <c r="D1165" s="3143" t="str">
        <f ca="1">IFERROR(INDEX('Proof cost'!$A:$AU,MATCH($C1165,'Proof cost'!$AU:$AU,0),9),"")</f>
        <v/>
      </c>
      <c r="E1165" s="3143" t="str">
        <f ca="1">IFERROR(INDEX('Proof cost'!$A:$AU,MATCH($C1165,'Proof cost'!$AU:$AU,0),45),"")</f>
        <v/>
      </c>
      <c r="G1165" s="3143" t="str">
        <f ca="1">IFERROR(INDEX('Proof cost'!$A:$AU,MATCH($C1165,'Proof cost'!$AU:$AU,0),10),"")</f>
        <v/>
      </c>
      <c r="I1165" s="3153" t="str">
        <f ca="1">IFERROR(INDEX('Proof cost'!$A:$AU,MATCH($C1165,'Proof cost'!$AU:$AU,0),20)/'Proof cost'!$I$2,"")</f>
        <v/>
      </c>
      <c r="J1165" s="3153" t="str">
        <f ca="1">IFERROR(INDEX('Proof cost'!$A:$AU,MATCH($C1165,'Proof cost'!$AU:$AU,0),20)/'Proof cost'!$I$2,"")</f>
        <v/>
      </c>
    </row>
    <row r="1166" spans="2:10" ht="21.75">
      <c r="B1166" s="3143" t="s">
        <v>2066</v>
      </c>
      <c r="C1166" s="3143">
        <f t="shared" si="21"/>
        <v>26</v>
      </c>
      <c r="D1166" s="3143" t="str">
        <f ca="1">IFERROR(INDEX('Proof cost'!$A:$AU,MATCH($C1166,'Proof cost'!$AU:$AU,0),9),"")</f>
        <v/>
      </c>
      <c r="E1166" s="3143" t="str">
        <f ca="1">IFERROR(INDEX('Proof cost'!$A:$AU,MATCH($C1166,'Proof cost'!$AU:$AU,0),45),"")</f>
        <v/>
      </c>
      <c r="G1166" s="3143" t="str">
        <f ca="1">IFERROR(INDEX('Proof cost'!$A:$AU,MATCH($C1166,'Proof cost'!$AU:$AU,0),10),"")</f>
        <v/>
      </c>
      <c r="I1166" s="3153" t="str">
        <f ca="1">IFERROR(INDEX('Proof cost'!$A:$AU,MATCH($C1166,'Proof cost'!$AU:$AU,0),20)/'Proof cost'!$I$2,"")</f>
        <v/>
      </c>
      <c r="J1166" s="3153" t="str">
        <f ca="1">IFERROR(INDEX('Proof cost'!$A:$AU,MATCH($C1166,'Proof cost'!$AU:$AU,0),20)/'Proof cost'!$I$2,"")</f>
        <v/>
      </c>
    </row>
    <row r="1167" spans="2:10" ht="21.75">
      <c r="B1167" s="3143" t="s">
        <v>2066</v>
      </c>
      <c r="C1167" s="3143">
        <f t="shared" si="21"/>
        <v>27</v>
      </c>
      <c r="D1167" s="3143" t="str">
        <f ca="1">IFERROR(INDEX('Proof cost'!$A:$AU,MATCH($C1167,'Proof cost'!$AU:$AU,0),9),"")</f>
        <v/>
      </c>
      <c r="E1167" s="3143" t="str">
        <f ca="1">IFERROR(INDEX('Proof cost'!$A:$AU,MATCH($C1167,'Proof cost'!$AU:$AU,0),45),"")</f>
        <v/>
      </c>
      <c r="G1167" s="3143" t="str">
        <f ca="1">IFERROR(INDEX('Proof cost'!$A:$AU,MATCH($C1167,'Proof cost'!$AU:$AU,0),10),"")</f>
        <v/>
      </c>
      <c r="I1167" s="3153" t="str">
        <f ca="1">IFERROR(INDEX('Proof cost'!$A:$AU,MATCH($C1167,'Proof cost'!$AU:$AU,0),20)/'Proof cost'!$I$2,"")</f>
        <v/>
      </c>
      <c r="J1167" s="3153" t="str">
        <f ca="1">IFERROR(INDEX('Proof cost'!$A:$AU,MATCH($C1167,'Proof cost'!$AU:$AU,0),20)/'Proof cost'!$I$2,"")</f>
        <v/>
      </c>
    </row>
    <row r="1168" spans="2:10" ht="21.75">
      <c r="B1168" s="3143" t="s">
        <v>2066</v>
      </c>
      <c r="C1168" s="3143">
        <f t="shared" si="21"/>
        <v>28</v>
      </c>
      <c r="D1168" s="3143" t="str">
        <f ca="1">IFERROR(INDEX('Proof cost'!$A:$AU,MATCH($C1168,'Proof cost'!$AU:$AU,0),9),"")</f>
        <v/>
      </c>
      <c r="E1168" s="3143" t="str">
        <f ca="1">IFERROR(INDEX('Proof cost'!$A:$AU,MATCH($C1168,'Proof cost'!$AU:$AU,0),45),"")</f>
        <v/>
      </c>
      <c r="G1168" s="3143" t="str">
        <f ca="1">IFERROR(INDEX('Proof cost'!$A:$AU,MATCH($C1168,'Proof cost'!$AU:$AU,0),10),"")</f>
        <v/>
      </c>
      <c r="I1168" s="3153" t="str">
        <f ca="1">IFERROR(INDEX('Proof cost'!$A:$AU,MATCH($C1168,'Proof cost'!$AU:$AU,0),20)/'Proof cost'!$I$2,"")</f>
        <v/>
      </c>
      <c r="J1168" s="3153" t="str">
        <f ca="1">IFERROR(INDEX('Proof cost'!$A:$AU,MATCH($C1168,'Proof cost'!$AU:$AU,0),20)/'Proof cost'!$I$2,"")</f>
        <v/>
      </c>
    </row>
    <row r="1169" spans="2:10" ht="21.75">
      <c r="B1169" s="3143" t="s">
        <v>2066</v>
      </c>
      <c r="C1169" s="3143">
        <f t="shared" si="21"/>
        <v>29</v>
      </c>
      <c r="D1169" s="3143" t="str">
        <f ca="1">IFERROR(INDEX('Proof cost'!$A:$AU,MATCH($C1169,'Proof cost'!$AU:$AU,0),9),"")</f>
        <v/>
      </c>
      <c r="E1169" s="3143" t="str">
        <f ca="1">IFERROR(INDEX('Proof cost'!$A:$AU,MATCH($C1169,'Proof cost'!$AU:$AU,0),45),"")</f>
        <v/>
      </c>
      <c r="G1169" s="3143" t="str">
        <f ca="1">IFERROR(INDEX('Proof cost'!$A:$AU,MATCH($C1169,'Proof cost'!$AU:$AU,0),10),"")</f>
        <v/>
      </c>
      <c r="I1169" s="3153" t="str">
        <f ca="1">IFERROR(INDEX('Proof cost'!$A:$AU,MATCH($C1169,'Proof cost'!$AU:$AU,0),20)/'Proof cost'!$I$2,"")</f>
        <v/>
      </c>
      <c r="J1169" s="3153" t="str">
        <f ca="1">IFERROR(INDEX('Proof cost'!$A:$AU,MATCH($C1169,'Proof cost'!$AU:$AU,0),20)/'Proof cost'!$I$2,"")</f>
        <v/>
      </c>
    </row>
    <row r="1170" spans="2:10" ht="21.75">
      <c r="B1170" s="3143" t="s">
        <v>2066</v>
      </c>
      <c r="C1170" s="3143">
        <f t="shared" si="21"/>
        <v>30</v>
      </c>
      <c r="D1170" s="3143" t="str">
        <f ca="1">IFERROR(INDEX('Proof cost'!$A:$AU,MATCH($C1170,'Proof cost'!$AU:$AU,0),9),"")</f>
        <v/>
      </c>
      <c r="E1170" s="3143" t="str">
        <f ca="1">IFERROR(INDEX('Proof cost'!$A:$AU,MATCH($C1170,'Proof cost'!$AU:$AU,0),45),"")</f>
        <v/>
      </c>
      <c r="G1170" s="3143" t="str">
        <f ca="1">IFERROR(INDEX('Proof cost'!$A:$AU,MATCH($C1170,'Proof cost'!$AU:$AU,0),10),"")</f>
        <v/>
      </c>
      <c r="I1170" s="3153" t="str">
        <f ca="1">IFERROR(INDEX('Proof cost'!$A:$AU,MATCH($C1170,'Proof cost'!$AU:$AU,0),20)/'Proof cost'!$I$2,"")</f>
        <v/>
      </c>
      <c r="J1170" s="3153" t="str">
        <f ca="1">IFERROR(INDEX('Proof cost'!$A:$AU,MATCH($C1170,'Proof cost'!$AU:$AU,0),20)/'Proof cost'!$I$2,"")</f>
        <v/>
      </c>
    </row>
    <row r="1171" spans="2:10" ht="21.75">
      <c r="B1171" s="3143" t="s">
        <v>2066</v>
      </c>
      <c r="C1171" s="3143">
        <f t="shared" si="21"/>
        <v>31</v>
      </c>
      <c r="D1171" s="3143" t="str">
        <f ca="1">IFERROR(INDEX('Proof cost'!$A:$AU,MATCH($C1171,'Proof cost'!$AU:$AU,0),9),"")</f>
        <v/>
      </c>
      <c r="E1171" s="3143" t="str">
        <f ca="1">IFERROR(INDEX('Proof cost'!$A:$AU,MATCH($C1171,'Proof cost'!$AU:$AU,0),45),"")</f>
        <v/>
      </c>
      <c r="G1171" s="3143" t="str">
        <f ca="1">IFERROR(INDEX('Proof cost'!$A:$AU,MATCH($C1171,'Proof cost'!$AU:$AU,0),10),"")</f>
        <v/>
      </c>
      <c r="I1171" s="3153" t="str">
        <f ca="1">IFERROR(INDEX('Proof cost'!$A:$AU,MATCH($C1171,'Proof cost'!$AU:$AU,0),20)/'Proof cost'!$I$2,"")</f>
        <v/>
      </c>
      <c r="J1171" s="3153" t="str">
        <f ca="1">IFERROR(INDEX('Proof cost'!$A:$AU,MATCH($C1171,'Proof cost'!$AU:$AU,0),20)/'Proof cost'!$I$2,"")</f>
        <v/>
      </c>
    </row>
    <row r="1172" spans="2:10" ht="21.75">
      <c r="B1172" s="3143" t="s">
        <v>2066</v>
      </c>
      <c r="C1172" s="3143">
        <f t="shared" si="21"/>
        <v>32</v>
      </c>
      <c r="D1172" s="3143" t="str">
        <f ca="1">IFERROR(INDEX('Proof cost'!$A:$AU,MATCH($C1172,'Proof cost'!$AU:$AU,0),9),"")</f>
        <v/>
      </c>
      <c r="E1172" s="3143" t="str">
        <f ca="1">IFERROR(INDEX('Proof cost'!$A:$AU,MATCH($C1172,'Proof cost'!$AU:$AU,0),45),"")</f>
        <v/>
      </c>
      <c r="G1172" s="3143" t="str">
        <f ca="1">IFERROR(INDEX('Proof cost'!$A:$AU,MATCH($C1172,'Proof cost'!$AU:$AU,0),10),"")</f>
        <v/>
      </c>
      <c r="I1172" s="3153" t="str">
        <f ca="1">IFERROR(INDEX('Proof cost'!$A:$AU,MATCH($C1172,'Proof cost'!$AU:$AU,0),20)/'Proof cost'!$I$2,"")</f>
        <v/>
      </c>
      <c r="J1172" s="3153" t="str">
        <f ca="1">IFERROR(INDEX('Proof cost'!$A:$AU,MATCH($C1172,'Proof cost'!$AU:$AU,0),20)/'Proof cost'!$I$2,"")</f>
        <v/>
      </c>
    </row>
    <row r="1173" spans="2:10" ht="21.75">
      <c r="B1173" s="3143" t="s">
        <v>2066</v>
      </c>
      <c r="C1173" s="3143">
        <f t="shared" si="21"/>
        <v>33</v>
      </c>
      <c r="D1173" s="3143" t="str">
        <f ca="1">IFERROR(INDEX('Proof cost'!$A:$AU,MATCH($C1173,'Proof cost'!$AU:$AU,0),9),"")</f>
        <v/>
      </c>
      <c r="E1173" s="3143" t="str">
        <f ca="1">IFERROR(INDEX('Proof cost'!$A:$AU,MATCH($C1173,'Proof cost'!$AU:$AU,0),45),"")</f>
        <v/>
      </c>
      <c r="G1173" s="3143" t="str">
        <f ca="1">IFERROR(INDEX('Proof cost'!$A:$AU,MATCH($C1173,'Proof cost'!$AU:$AU,0),10),"")</f>
        <v/>
      </c>
      <c r="I1173" s="3153" t="str">
        <f ca="1">IFERROR(INDEX('Proof cost'!$A:$AU,MATCH($C1173,'Proof cost'!$AU:$AU,0),20)/'Proof cost'!$I$2,"")</f>
        <v/>
      </c>
      <c r="J1173" s="3153" t="str">
        <f ca="1">IFERROR(INDEX('Proof cost'!$A:$AU,MATCH($C1173,'Proof cost'!$AU:$AU,0),20)/'Proof cost'!$I$2,"")</f>
        <v/>
      </c>
    </row>
    <row r="1174" spans="2:10" ht="21.75">
      <c r="B1174" s="3143" t="s">
        <v>2066</v>
      </c>
      <c r="C1174" s="3143">
        <f t="shared" si="21"/>
        <v>34</v>
      </c>
      <c r="D1174" s="3143" t="str">
        <f ca="1">IFERROR(INDEX('Proof cost'!$A:$AU,MATCH($C1174,'Proof cost'!$AU:$AU,0),9),"")</f>
        <v/>
      </c>
      <c r="E1174" s="3143" t="str">
        <f ca="1">IFERROR(INDEX('Proof cost'!$A:$AU,MATCH($C1174,'Proof cost'!$AU:$AU,0),45),"")</f>
        <v/>
      </c>
      <c r="G1174" s="3143" t="str">
        <f ca="1">IFERROR(INDEX('Proof cost'!$A:$AU,MATCH($C1174,'Proof cost'!$AU:$AU,0),10),"")</f>
        <v/>
      </c>
      <c r="I1174" s="3153" t="str">
        <f ca="1">IFERROR(INDEX('Proof cost'!$A:$AU,MATCH($C1174,'Proof cost'!$AU:$AU,0),20)/'Proof cost'!$I$2,"")</f>
        <v/>
      </c>
      <c r="J1174" s="3153" t="str">
        <f ca="1">IFERROR(INDEX('Proof cost'!$A:$AU,MATCH($C1174,'Proof cost'!$AU:$AU,0),20)/'Proof cost'!$I$2,"")</f>
        <v/>
      </c>
    </row>
    <row r="1175" spans="2:10" ht="21.75">
      <c r="B1175" s="3143" t="s">
        <v>2066</v>
      </c>
      <c r="C1175" s="3143">
        <f t="shared" si="21"/>
        <v>35</v>
      </c>
      <c r="D1175" s="3143" t="str">
        <f ca="1">IFERROR(INDEX('Proof cost'!$A:$AU,MATCH($C1175,'Proof cost'!$AU:$AU,0),9),"")</f>
        <v/>
      </c>
      <c r="E1175" s="3143" t="str">
        <f ca="1">IFERROR(INDEX('Proof cost'!$A:$AU,MATCH($C1175,'Proof cost'!$AU:$AU,0),45),"")</f>
        <v/>
      </c>
      <c r="G1175" s="3143" t="str">
        <f ca="1">IFERROR(INDEX('Proof cost'!$A:$AU,MATCH($C1175,'Proof cost'!$AU:$AU,0),10),"")</f>
        <v/>
      </c>
      <c r="I1175" s="3153" t="str">
        <f ca="1">IFERROR(INDEX('Proof cost'!$A:$AU,MATCH($C1175,'Proof cost'!$AU:$AU,0),20)/'Proof cost'!$I$2,"")</f>
        <v/>
      </c>
      <c r="J1175" s="3153" t="str">
        <f ca="1">IFERROR(INDEX('Proof cost'!$A:$AU,MATCH($C1175,'Proof cost'!$AU:$AU,0),20)/'Proof cost'!$I$2,"")</f>
        <v/>
      </c>
    </row>
    <row r="1176" spans="2:10" ht="21.75">
      <c r="B1176" s="3143" t="s">
        <v>2066</v>
      </c>
      <c r="C1176" s="3143">
        <f t="shared" si="21"/>
        <v>36</v>
      </c>
      <c r="D1176" s="3143" t="str">
        <f ca="1">IFERROR(INDEX('Proof cost'!$A:$AU,MATCH($C1176,'Proof cost'!$AU:$AU,0),9),"")</f>
        <v/>
      </c>
      <c r="E1176" s="3143" t="str">
        <f ca="1">IFERROR(INDEX('Proof cost'!$A:$AU,MATCH($C1176,'Proof cost'!$AU:$AU,0),45),"")</f>
        <v/>
      </c>
      <c r="G1176" s="3143" t="str">
        <f ca="1">IFERROR(INDEX('Proof cost'!$A:$AU,MATCH($C1176,'Proof cost'!$AU:$AU,0),10),"")</f>
        <v/>
      </c>
      <c r="I1176" s="3153" t="str">
        <f ca="1">IFERROR(INDEX('Proof cost'!$A:$AU,MATCH($C1176,'Proof cost'!$AU:$AU,0),20)/'Proof cost'!$I$2,"")</f>
        <v/>
      </c>
      <c r="J1176" s="3153" t="str">
        <f ca="1">IFERROR(INDEX('Proof cost'!$A:$AU,MATCH($C1176,'Proof cost'!$AU:$AU,0),20)/'Proof cost'!$I$2,"")</f>
        <v/>
      </c>
    </row>
    <row r="1177" spans="2:10" ht="21.75">
      <c r="B1177" s="3143" t="s">
        <v>2066</v>
      </c>
      <c r="C1177" s="3143">
        <f t="shared" si="21"/>
        <v>37</v>
      </c>
      <c r="D1177" s="3143" t="str">
        <f ca="1">IFERROR(INDEX('Proof cost'!$A:$AU,MATCH($C1177,'Proof cost'!$AU:$AU,0),9),"")</f>
        <v/>
      </c>
      <c r="E1177" s="3143" t="str">
        <f ca="1">IFERROR(INDEX('Proof cost'!$A:$AU,MATCH($C1177,'Proof cost'!$AU:$AU,0),45),"")</f>
        <v/>
      </c>
      <c r="G1177" s="3143" t="str">
        <f ca="1">IFERROR(INDEX('Proof cost'!$A:$AU,MATCH($C1177,'Proof cost'!$AU:$AU,0),10),"")</f>
        <v/>
      </c>
      <c r="I1177" s="3153" t="str">
        <f ca="1">IFERROR(INDEX('Proof cost'!$A:$AU,MATCH($C1177,'Proof cost'!$AU:$AU,0),20)/'Proof cost'!$I$2,"")</f>
        <v/>
      </c>
      <c r="J1177" s="3153" t="str">
        <f ca="1">IFERROR(INDEX('Proof cost'!$A:$AU,MATCH($C1177,'Proof cost'!$AU:$AU,0),20)/'Proof cost'!$I$2,"")</f>
        <v/>
      </c>
    </row>
    <row r="1178" spans="2:10" ht="21.75">
      <c r="B1178" s="3143" t="s">
        <v>2066</v>
      </c>
      <c r="C1178" s="3143">
        <f t="shared" si="21"/>
        <v>38</v>
      </c>
      <c r="D1178" s="3143" t="str">
        <f ca="1">IFERROR(INDEX('Proof cost'!$A:$AU,MATCH($C1178,'Proof cost'!$AU:$AU,0),9),"")</f>
        <v/>
      </c>
      <c r="E1178" s="3143" t="str">
        <f ca="1">IFERROR(INDEX('Proof cost'!$A:$AU,MATCH($C1178,'Proof cost'!$AU:$AU,0),45),"")</f>
        <v/>
      </c>
      <c r="G1178" s="3143" t="str">
        <f ca="1">IFERROR(INDEX('Proof cost'!$A:$AU,MATCH($C1178,'Proof cost'!$AU:$AU,0),10),"")</f>
        <v/>
      </c>
      <c r="I1178" s="3153" t="str">
        <f ca="1">IFERROR(INDEX('Proof cost'!$A:$AU,MATCH($C1178,'Proof cost'!$AU:$AU,0),20)/'Proof cost'!$I$2,"")</f>
        <v/>
      </c>
      <c r="J1178" s="3153" t="str">
        <f ca="1">IFERROR(INDEX('Proof cost'!$A:$AU,MATCH($C1178,'Proof cost'!$AU:$AU,0),20)/'Proof cost'!$I$2,"")</f>
        <v/>
      </c>
    </row>
    <row r="1179" spans="2:10" ht="21.75">
      <c r="B1179" s="3143" t="s">
        <v>2066</v>
      </c>
      <c r="C1179" s="3143">
        <f t="shared" si="21"/>
        <v>39</v>
      </c>
      <c r="D1179" s="3143" t="str">
        <f ca="1">IFERROR(INDEX('Proof cost'!$A:$AU,MATCH($C1179,'Proof cost'!$AU:$AU,0),9),"")</f>
        <v/>
      </c>
      <c r="E1179" s="3143" t="str">
        <f ca="1">IFERROR(INDEX('Proof cost'!$A:$AU,MATCH($C1179,'Proof cost'!$AU:$AU,0),45),"")</f>
        <v/>
      </c>
      <c r="G1179" s="3143" t="str">
        <f ca="1">IFERROR(INDEX('Proof cost'!$A:$AU,MATCH($C1179,'Proof cost'!$AU:$AU,0),10),"")</f>
        <v/>
      </c>
      <c r="I1179" s="3153" t="str">
        <f ca="1">IFERROR(INDEX('Proof cost'!$A:$AU,MATCH($C1179,'Proof cost'!$AU:$AU,0),20)/'Proof cost'!$I$2,"")</f>
        <v/>
      </c>
      <c r="J1179" s="3153" t="str">
        <f ca="1">IFERROR(INDEX('Proof cost'!$A:$AU,MATCH($C1179,'Proof cost'!$AU:$AU,0),20)/'Proof cost'!$I$2,"")</f>
        <v/>
      </c>
    </row>
    <row r="1180" spans="2:10" ht="21.75">
      <c r="B1180" s="3143" t="s">
        <v>2066</v>
      </c>
      <c r="C1180" s="3143">
        <f t="shared" si="21"/>
        <v>40</v>
      </c>
      <c r="D1180" s="3143" t="str">
        <f ca="1">IFERROR(INDEX('Proof cost'!$A:$AU,MATCH($C1180,'Proof cost'!$AU:$AU,0),9),"")</f>
        <v/>
      </c>
      <c r="E1180" s="3143" t="str">
        <f ca="1">IFERROR(INDEX('Proof cost'!$A:$AU,MATCH($C1180,'Proof cost'!$AU:$AU,0),45),"")</f>
        <v/>
      </c>
      <c r="G1180" s="3143" t="str">
        <f ca="1">IFERROR(INDEX('Proof cost'!$A:$AU,MATCH($C1180,'Proof cost'!$AU:$AU,0),10),"")</f>
        <v/>
      </c>
      <c r="I1180" s="3153" t="str">
        <f ca="1">IFERROR(INDEX('Proof cost'!$A:$AU,MATCH($C1180,'Proof cost'!$AU:$AU,0),20)/'Proof cost'!$I$2,"")</f>
        <v/>
      </c>
      <c r="J1180" s="3153" t="str">
        <f ca="1">IFERROR(INDEX('Proof cost'!$A:$AU,MATCH($C1180,'Proof cost'!$AU:$AU,0),20)/'Proof cost'!$I$2,"")</f>
        <v/>
      </c>
    </row>
    <row r="1181" spans="2:10" ht="21.75">
      <c r="B1181" s="3143" t="s">
        <v>2066</v>
      </c>
      <c r="C1181" s="3143">
        <f t="shared" si="21"/>
        <v>41</v>
      </c>
      <c r="D1181" s="3143" t="str">
        <f ca="1">IFERROR(INDEX('Proof cost'!$A:$AU,MATCH($C1181,'Proof cost'!$AU:$AU,0),9),"")</f>
        <v/>
      </c>
      <c r="E1181" s="3143" t="str">
        <f ca="1">IFERROR(INDEX('Proof cost'!$A:$AU,MATCH($C1181,'Proof cost'!$AU:$AU,0),45),"")</f>
        <v/>
      </c>
      <c r="G1181" s="3143" t="str">
        <f ca="1">IFERROR(INDEX('Proof cost'!$A:$AU,MATCH($C1181,'Proof cost'!$AU:$AU,0),10),"")</f>
        <v/>
      </c>
      <c r="I1181" s="3153" t="str">
        <f ca="1">IFERROR(INDEX('Proof cost'!$A:$AU,MATCH($C1181,'Proof cost'!$AU:$AU,0),20)/'Proof cost'!$I$2,"")</f>
        <v/>
      </c>
      <c r="J1181" s="3153" t="str">
        <f ca="1">IFERROR(INDEX('Proof cost'!$A:$AU,MATCH($C1181,'Proof cost'!$AU:$AU,0),20)/'Proof cost'!$I$2,"")</f>
        <v/>
      </c>
    </row>
    <row r="1182" spans="2:10" ht="21.75">
      <c r="B1182" s="3143" t="s">
        <v>2066</v>
      </c>
      <c r="C1182" s="3143">
        <f t="shared" si="21"/>
        <v>42</v>
      </c>
      <c r="D1182" s="3143" t="str">
        <f ca="1">IFERROR(INDEX('Proof cost'!$A:$AU,MATCH($C1182,'Proof cost'!$AU:$AU,0),9),"")</f>
        <v/>
      </c>
      <c r="E1182" s="3143" t="str">
        <f ca="1">IFERROR(INDEX('Proof cost'!$A:$AU,MATCH($C1182,'Proof cost'!$AU:$AU,0),45),"")</f>
        <v/>
      </c>
      <c r="G1182" s="3143" t="str">
        <f ca="1">IFERROR(INDEX('Proof cost'!$A:$AU,MATCH($C1182,'Proof cost'!$AU:$AU,0),10),"")</f>
        <v/>
      </c>
      <c r="I1182" s="3153" t="str">
        <f ca="1">IFERROR(INDEX('Proof cost'!$A:$AU,MATCH($C1182,'Proof cost'!$AU:$AU,0),20)/'Proof cost'!$I$2,"")</f>
        <v/>
      </c>
      <c r="J1182" s="3153" t="str">
        <f ca="1">IFERROR(INDEX('Proof cost'!$A:$AU,MATCH($C1182,'Proof cost'!$AU:$AU,0),20)/'Proof cost'!$I$2,"")</f>
        <v/>
      </c>
    </row>
    <row r="1183" spans="2:10" ht="21.75">
      <c r="B1183" s="3143" t="s">
        <v>2066</v>
      </c>
      <c r="C1183" s="3143">
        <f t="shared" si="21"/>
        <v>43</v>
      </c>
      <c r="D1183" s="3143" t="str">
        <f ca="1">IFERROR(INDEX('Proof cost'!$A:$AU,MATCH($C1183,'Proof cost'!$AU:$AU,0),9),"")</f>
        <v/>
      </c>
      <c r="E1183" s="3143" t="str">
        <f ca="1">IFERROR(INDEX('Proof cost'!$A:$AU,MATCH($C1183,'Proof cost'!$AU:$AU,0),45),"")</f>
        <v/>
      </c>
      <c r="G1183" s="3143" t="str">
        <f ca="1">IFERROR(INDEX('Proof cost'!$A:$AU,MATCH($C1183,'Proof cost'!$AU:$AU,0),10),"")</f>
        <v/>
      </c>
      <c r="I1183" s="3153" t="str">
        <f ca="1">IFERROR(INDEX('Proof cost'!$A:$AU,MATCH($C1183,'Proof cost'!$AU:$AU,0),20)/'Proof cost'!$I$2,"")</f>
        <v/>
      </c>
      <c r="J1183" s="3153" t="str">
        <f ca="1">IFERROR(INDEX('Proof cost'!$A:$AU,MATCH($C1183,'Proof cost'!$AU:$AU,0),20)/'Proof cost'!$I$2,"")</f>
        <v/>
      </c>
    </row>
    <row r="1184" spans="2:10" ht="21.75">
      <c r="B1184" s="3143" t="s">
        <v>2066</v>
      </c>
      <c r="C1184" s="3143">
        <f t="shared" si="21"/>
        <v>44</v>
      </c>
      <c r="D1184" s="3143" t="str">
        <f ca="1">IFERROR(INDEX('Proof cost'!$A:$AU,MATCH($C1184,'Proof cost'!$AU:$AU,0),9),"")</f>
        <v/>
      </c>
      <c r="E1184" s="3143" t="str">
        <f ca="1">IFERROR(INDEX('Proof cost'!$A:$AU,MATCH($C1184,'Proof cost'!$AU:$AU,0),45),"")</f>
        <v/>
      </c>
      <c r="G1184" s="3143" t="str">
        <f ca="1">IFERROR(INDEX('Proof cost'!$A:$AU,MATCH($C1184,'Proof cost'!$AU:$AU,0),10),"")</f>
        <v/>
      </c>
      <c r="I1184" s="3153" t="str">
        <f ca="1">IFERROR(INDEX('Proof cost'!$A:$AU,MATCH($C1184,'Proof cost'!$AU:$AU,0),20)/'Proof cost'!$I$2,"")</f>
        <v/>
      </c>
      <c r="J1184" s="3153" t="str">
        <f ca="1">IFERROR(INDEX('Proof cost'!$A:$AU,MATCH($C1184,'Proof cost'!$AU:$AU,0),20)/'Proof cost'!$I$2,"")</f>
        <v/>
      </c>
    </row>
    <row r="1185" spans="2:10" ht="21.75">
      <c r="B1185" s="3143" t="s">
        <v>2066</v>
      </c>
      <c r="C1185" s="3143">
        <f t="shared" si="21"/>
        <v>45</v>
      </c>
      <c r="D1185" s="3143" t="str">
        <f ca="1">IFERROR(INDEX('Proof cost'!$A:$AU,MATCH($C1185,'Proof cost'!$AU:$AU,0),9),"")</f>
        <v/>
      </c>
      <c r="E1185" s="3143" t="str">
        <f ca="1">IFERROR(INDEX('Proof cost'!$A:$AU,MATCH($C1185,'Proof cost'!$AU:$AU,0),45),"")</f>
        <v/>
      </c>
      <c r="G1185" s="3143" t="str">
        <f ca="1">IFERROR(INDEX('Proof cost'!$A:$AU,MATCH($C1185,'Proof cost'!$AU:$AU,0),10),"")</f>
        <v/>
      </c>
      <c r="I1185" s="3153" t="str">
        <f ca="1">IFERROR(INDEX('Proof cost'!$A:$AU,MATCH($C1185,'Proof cost'!$AU:$AU,0),20)/'Proof cost'!$I$2,"")</f>
        <v/>
      </c>
      <c r="J1185" s="3153" t="str">
        <f ca="1">IFERROR(INDEX('Proof cost'!$A:$AU,MATCH($C1185,'Proof cost'!$AU:$AU,0),20)/'Proof cost'!$I$2,"")</f>
        <v/>
      </c>
    </row>
    <row r="1186" spans="2:10" ht="21.75">
      <c r="B1186" s="3143" t="s">
        <v>2066</v>
      </c>
      <c r="C1186" s="3143">
        <f t="shared" si="21"/>
        <v>46</v>
      </c>
      <c r="D1186" s="3143" t="str">
        <f ca="1">IFERROR(INDEX('Proof cost'!$A:$AU,MATCH($C1186,'Proof cost'!$AU:$AU,0),9),"")</f>
        <v/>
      </c>
      <c r="E1186" s="3143" t="str">
        <f ca="1">IFERROR(INDEX('Proof cost'!$A:$AU,MATCH($C1186,'Proof cost'!$AU:$AU,0),45),"")</f>
        <v/>
      </c>
      <c r="G1186" s="3143" t="str">
        <f ca="1">IFERROR(INDEX('Proof cost'!$A:$AU,MATCH($C1186,'Proof cost'!$AU:$AU,0),10),"")</f>
        <v/>
      </c>
      <c r="I1186" s="3153" t="str">
        <f ca="1">IFERROR(INDEX('Proof cost'!$A:$AU,MATCH($C1186,'Proof cost'!$AU:$AU,0),20)/'Proof cost'!$I$2,"")</f>
        <v/>
      </c>
      <c r="J1186" s="3153" t="str">
        <f ca="1">IFERROR(INDEX('Proof cost'!$A:$AU,MATCH($C1186,'Proof cost'!$AU:$AU,0),20)/'Proof cost'!$I$2,"")</f>
        <v/>
      </c>
    </row>
    <row r="1187" spans="2:10" ht="21.75">
      <c r="B1187" s="3143" t="s">
        <v>2066</v>
      </c>
      <c r="C1187" s="3143">
        <f t="shared" si="21"/>
        <v>47</v>
      </c>
      <c r="D1187" s="3143" t="str">
        <f ca="1">IFERROR(INDEX('Proof cost'!$A:$AU,MATCH($C1187,'Proof cost'!$AU:$AU,0),9),"")</f>
        <v/>
      </c>
      <c r="E1187" s="3143" t="str">
        <f ca="1">IFERROR(INDEX('Proof cost'!$A:$AU,MATCH($C1187,'Proof cost'!$AU:$AU,0),45),"")</f>
        <v/>
      </c>
      <c r="G1187" s="3143" t="str">
        <f ca="1">IFERROR(INDEX('Proof cost'!$A:$AU,MATCH($C1187,'Proof cost'!$AU:$AU,0),10),"")</f>
        <v/>
      </c>
      <c r="I1187" s="3153" t="str">
        <f ca="1">IFERROR(INDEX('Proof cost'!$A:$AU,MATCH($C1187,'Proof cost'!$AU:$AU,0),20)/'Proof cost'!$I$2,"")</f>
        <v/>
      </c>
      <c r="J1187" s="3153" t="str">
        <f ca="1">IFERROR(INDEX('Proof cost'!$A:$AU,MATCH($C1187,'Proof cost'!$AU:$AU,0),20)/'Proof cost'!$I$2,"")</f>
        <v/>
      </c>
    </row>
    <row r="1188" spans="2:10" ht="21.75">
      <c r="B1188" s="3143" t="s">
        <v>2066</v>
      </c>
      <c r="C1188" s="3143">
        <f t="shared" si="21"/>
        <v>48</v>
      </c>
      <c r="D1188" s="3143" t="str">
        <f ca="1">IFERROR(INDEX('Proof cost'!$A:$AU,MATCH($C1188,'Proof cost'!$AU:$AU,0),9),"")</f>
        <v/>
      </c>
      <c r="E1188" s="3143" t="str">
        <f ca="1">IFERROR(INDEX('Proof cost'!$A:$AU,MATCH($C1188,'Proof cost'!$AU:$AU,0),45),"")</f>
        <v/>
      </c>
      <c r="G1188" s="3143" t="str">
        <f ca="1">IFERROR(INDEX('Proof cost'!$A:$AU,MATCH($C1188,'Proof cost'!$AU:$AU,0),10),"")</f>
        <v/>
      </c>
      <c r="I1188" s="3153" t="str">
        <f ca="1">IFERROR(INDEX('Proof cost'!$A:$AU,MATCH($C1188,'Proof cost'!$AU:$AU,0),20)/'Proof cost'!$I$2,"")</f>
        <v/>
      </c>
      <c r="J1188" s="3153" t="str">
        <f ca="1">IFERROR(INDEX('Proof cost'!$A:$AU,MATCH($C1188,'Proof cost'!$AU:$AU,0),20)/'Proof cost'!$I$2,"")</f>
        <v/>
      </c>
    </row>
    <row r="1189" spans="2:10" ht="21.75">
      <c r="B1189" s="3143" t="s">
        <v>2066</v>
      </c>
      <c r="C1189" s="3143">
        <f t="shared" si="21"/>
        <v>49</v>
      </c>
      <c r="D1189" s="3143" t="str">
        <f ca="1">IFERROR(INDEX('Proof cost'!$A:$AU,MATCH($C1189,'Proof cost'!$AU:$AU,0),9),"")</f>
        <v/>
      </c>
      <c r="E1189" s="3143" t="str">
        <f ca="1">IFERROR(INDEX('Proof cost'!$A:$AU,MATCH($C1189,'Proof cost'!$AU:$AU,0),45),"")</f>
        <v/>
      </c>
      <c r="G1189" s="3143" t="str">
        <f ca="1">IFERROR(INDEX('Proof cost'!$A:$AU,MATCH($C1189,'Proof cost'!$AU:$AU,0),10),"")</f>
        <v/>
      </c>
      <c r="I1189" s="3153" t="str">
        <f ca="1">IFERROR(INDEX('Proof cost'!$A:$AU,MATCH($C1189,'Proof cost'!$AU:$AU,0),20)/'Proof cost'!$I$2,"")</f>
        <v/>
      </c>
      <c r="J1189" s="3153" t="str">
        <f ca="1">IFERROR(INDEX('Proof cost'!$A:$AU,MATCH($C1189,'Proof cost'!$AU:$AU,0),20)/'Proof cost'!$I$2,"")</f>
        <v/>
      </c>
    </row>
    <row r="1190" spans="2:10" ht="21.75">
      <c r="B1190" s="3143" t="s">
        <v>2066</v>
      </c>
      <c r="C1190" s="3143">
        <f t="shared" si="21"/>
        <v>50</v>
      </c>
      <c r="D1190" s="3143" t="str">
        <f ca="1">IFERROR(INDEX('Proof cost'!$A:$AU,MATCH($C1190,'Proof cost'!$AU:$AU,0),9),"")</f>
        <v/>
      </c>
      <c r="E1190" s="3143" t="str">
        <f ca="1">IFERROR(INDEX('Proof cost'!$A:$AU,MATCH($C1190,'Proof cost'!$AU:$AU,0),45),"")</f>
        <v/>
      </c>
      <c r="G1190" s="3143" t="str">
        <f ca="1">IFERROR(INDEX('Proof cost'!$A:$AU,MATCH($C1190,'Proof cost'!$AU:$AU,0),10),"")</f>
        <v/>
      </c>
      <c r="I1190" s="3153" t="str">
        <f ca="1">IFERROR(INDEX('Proof cost'!$A:$AU,MATCH($C1190,'Proof cost'!$AU:$AU,0),20)/'Proof cost'!$I$2,"")</f>
        <v/>
      </c>
      <c r="J1190" s="3153" t="str">
        <f ca="1">IFERROR(INDEX('Proof cost'!$A:$AU,MATCH($C1190,'Proof cost'!$AU:$AU,0),20)/'Proof cost'!$I$2,"")</f>
        <v/>
      </c>
    </row>
    <row r="1191" spans="2:10" ht="21.75">
      <c r="B1191" s="3143" t="s">
        <v>2066</v>
      </c>
      <c r="C1191" s="3143">
        <f t="shared" si="21"/>
        <v>51</v>
      </c>
      <c r="D1191" s="3143" t="str">
        <f ca="1">IFERROR(INDEX('Proof cost'!$A:$AU,MATCH($C1191,'Proof cost'!$AU:$AU,0),9),"")</f>
        <v/>
      </c>
      <c r="E1191" s="3143" t="str">
        <f ca="1">IFERROR(INDEX('Proof cost'!$A:$AU,MATCH($C1191,'Proof cost'!$AU:$AU,0),45),"")</f>
        <v/>
      </c>
      <c r="G1191" s="3143" t="str">
        <f ca="1">IFERROR(INDEX('Proof cost'!$A:$AU,MATCH($C1191,'Proof cost'!$AU:$AU,0),10),"")</f>
        <v/>
      </c>
      <c r="I1191" s="3153" t="str">
        <f ca="1">IFERROR(INDEX('Proof cost'!$A:$AU,MATCH($C1191,'Proof cost'!$AU:$AU,0),20)/'Proof cost'!$I$2,"")</f>
        <v/>
      </c>
      <c r="J1191" s="3153" t="str">
        <f ca="1">IFERROR(INDEX('Proof cost'!$A:$AU,MATCH($C1191,'Proof cost'!$AU:$AU,0),20)/'Proof cost'!$I$2,"")</f>
        <v/>
      </c>
    </row>
    <row r="1192" spans="2:10" ht="21.75">
      <c r="B1192" s="3143" t="s">
        <v>2066</v>
      </c>
      <c r="C1192" s="3143">
        <f t="shared" si="21"/>
        <v>52</v>
      </c>
      <c r="D1192" s="3143" t="str">
        <f ca="1">IFERROR(INDEX('Proof cost'!$A:$AU,MATCH($C1192,'Proof cost'!$AU:$AU,0),9),"")</f>
        <v/>
      </c>
      <c r="E1192" s="3143" t="str">
        <f ca="1">IFERROR(INDEX('Proof cost'!$A:$AU,MATCH($C1192,'Proof cost'!$AU:$AU,0),45),"")</f>
        <v/>
      </c>
      <c r="G1192" s="3143" t="str">
        <f ca="1">IFERROR(INDEX('Proof cost'!$A:$AU,MATCH($C1192,'Proof cost'!$AU:$AU,0),10),"")</f>
        <v/>
      </c>
      <c r="I1192" s="3153" t="str">
        <f ca="1">IFERROR(INDEX('Proof cost'!$A:$AU,MATCH($C1192,'Proof cost'!$AU:$AU,0),20)/'Proof cost'!$I$2,"")</f>
        <v/>
      </c>
      <c r="J1192" s="3153" t="str">
        <f ca="1">IFERROR(INDEX('Proof cost'!$A:$AU,MATCH($C1192,'Proof cost'!$AU:$AU,0),20)/'Proof cost'!$I$2,"")</f>
        <v/>
      </c>
    </row>
    <row r="1193" spans="2:10" ht="21.75">
      <c r="B1193" s="3143" t="s">
        <v>2066</v>
      </c>
      <c r="C1193" s="3143">
        <f t="shared" si="21"/>
        <v>53</v>
      </c>
      <c r="D1193" s="3143" t="str">
        <f ca="1">IFERROR(INDEX('Proof cost'!$A:$AU,MATCH($C1193,'Proof cost'!$AU:$AU,0),9),"")</f>
        <v/>
      </c>
      <c r="E1193" s="3143" t="str">
        <f ca="1">IFERROR(INDEX('Proof cost'!$A:$AU,MATCH($C1193,'Proof cost'!$AU:$AU,0),45),"")</f>
        <v/>
      </c>
      <c r="G1193" s="3143" t="str">
        <f ca="1">IFERROR(INDEX('Proof cost'!$A:$AU,MATCH($C1193,'Proof cost'!$AU:$AU,0),10),"")</f>
        <v/>
      </c>
      <c r="I1193" s="3153" t="str">
        <f ca="1">IFERROR(INDEX('Proof cost'!$A:$AU,MATCH($C1193,'Proof cost'!$AU:$AU,0),20)/'Proof cost'!$I$2,"")</f>
        <v/>
      </c>
      <c r="J1193" s="3153" t="str">
        <f ca="1">IFERROR(INDEX('Proof cost'!$A:$AU,MATCH($C1193,'Proof cost'!$AU:$AU,0),20)/'Proof cost'!$I$2,"")</f>
        <v/>
      </c>
    </row>
    <row r="1194" spans="2:10" ht="21.75">
      <c r="B1194" s="3143" t="s">
        <v>2066</v>
      </c>
      <c r="C1194" s="3143">
        <f t="shared" si="21"/>
        <v>54</v>
      </c>
      <c r="D1194" s="3143" t="str">
        <f ca="1">IFERROR(INDEX('Proof cost'!$A:$AU,MATCH($C1194,'Proof cost'!$AU:$AU,0),9),"")</f>
        <v/>
      </c>
      <c r="E1194" s="3143" t="str">
        <f ca="1">IFERROR(INDEX('Proof cost'!$A:$AU,MATCH($C1194,'Proof cost'!$AU:$AU,0),45),"")</f>
        <v/>
      </c>
      <c r="G1194" s="3143" t="str">
        <f ca="1">IFERROR(INDEX('Proof cost'!$A:$AU,MATCH($C1194,'Proof cost'!$AU:$AU,0),10),"")</f>
        <v/>
      </c>
      <c r="I1194" s="3153" t="str">
        <f ca="1">IFERROR(INDEX('Proof cost'!$A:$AU,MATCH($C1194,'Proof cost'!$AU:$AU,0),20)/'Proof cost'!$I$2,"")</f>
        <v/>
      </c>
      <c r="J1194" s="3153" t="str">
        <f ca="1">IFERROR(INDEX('Proof cost'!$A:$AU,MATCH($C1194,'Proof cost'!$AU:$AU,0),20)/'Proof cost'!$I$2,"")</f>
        <v/>
      </c>
    </row>
    <row r="1195" spans="2:10" ht="21.75">
      <c r="B1195" s="3143" t="s">
        <v>2066</v>
      </c>
      <c r="C1195" s="3143">
        <f t="shared" si="21"/>
        <v>55</v>
      </c>
      <c r="D1195" s="3143" t="str">
        <f ca="1">IFERROR(INDEX('Proof cost'!$A:$AU,MATCH($C1195,'Proof cost'!$AU:$AU,0),9),"")</f>
        <v/>
      </c>
      <c r="E1195" s="3143" t="str">
        <f ca="1">IFERROR(INDEX('Proof cost'!$A:$AU,MATCH($C1195,'Proof cost'!$AU:$AU,0),45),"")</f>
        <v/>
      </c>
      <c r="G1195" s="3143" t="str">
        <f ca="1">IFERROR(INDEX('Proof cost'!$A:$AU,MATCH($C1195,'Proof cost'!$AU:$AU,0),10),"")</f>
        <v/>
      </c>
      <c r="I1195" s="3153" t="str">
        <f ca="1">IFERROR(INDEX('Proof cost'!$A:$AU,MATCH($C1195,'Proof cost'!$AU:$AU,0),20)/'Proof cost'!$I$2,"")</f>
        <v/>
      </c>
      <c r="J1195" s="3153" t="str">
        <f ca="1">IFERROR(INDEX('Proof cost'!$A:$AU,MATCH($C1195,'Proof cost'!$AU:$AU,0),20)/'Proof cost'!$I$2,"")</f>
        <v/>
      </c>
    </row>
    <row r="1196" spans="2:10" ht="21.75">
      <c r="B1196" s="3143" t="s">
        <v>2066</v>
      </c>
      <c r="C1196" s="3143">
        <f t="shared" si="21"/>
        <v>56</v>
      </c>
      <c r="D1196" s="3143" t="str">
        <f ca="1">IFERROR(INDEX('Proof cost'!$A:$AU,MATCH($C1196,'Proof cost'!$AU:$AU,0),9),"")</f>
        <v/>
      </c>
      <c r="E1196" s="3143" t="str">
        <f ca="1">IFERROR(INDEX('Proof cost'!$A:$AU,MATCH($C1196,'Proof cost'!$AU:$AU,0),45),"")</f>
        <v/>
      </c>
      <c r="G1196" s="3143" t="str">
        <f ca="1">IFERROR(INDEX('Proof cost'!$A:$AU,MATCH($C1196,'Proof cost'!$AU:$AU,0),10),"")</f>
        <v/>
      </c>
      <c r="I1196" s="3153" t="str">
        <f ca="1">IFERROR(INDEX('Proof cost'!$A:$AU,MATCH($C1196,'Proof cost'!$AU:$AU,0),20)/'Proof cost'!$I$2,"")</f>
        <v/>
      </c>
      <c r="J1196" s="3153" t="str">
        <f ca="1">IFERROR(INDEX('Proof cost'!$A:$AU,MATCH($C1196,'Proof cost'!$AU:$AU,0),20)/'Proof cost'!$I$2,"")</f>
        <v/>
      </c>
    </row>
    <row r="1197" spans="2:10" ht="21.75">
      <c r="B1197" s="3143" t="s">
        <v>2066</v>
      </c>
      <c r="C1197" s="3143">
        <f t="shared" si="21"/>
        <v>57</v>
      </c>
      <c r="D1197" s="3143" t="str">
        <f ca="1">IFERROR(INDEX('Proof cost'!$A:$AU,MATCH($C1197,'Proof cost'!$AU:$AU,0),9),"")</f>
        <v/>
      </c>
      <c r="E1197" s="3143" t="str">
        <f ca="1">IFERROR(INDEX('Proof cost'!$A:$AU,MATCH($C1197,'Proof cost'!$AU:$AU,0),45),"")</f>
        <v/>
      </c>
      <c r="G1197" s="3143" t="str">
        <f ca="1">IFERROR(INDEX('Proof cost'!$A:$AU,MATCH($C1197,'Proof cost'!$AU:$AU,0),10),"")</f>
        <v/>
      </c>
      <c r="I1197" s="3153" t="str">
        <f ca="1">IFERROR(INDEX('Proof cost'!$A:$AU,MATCH($C1197,'Proof cost'!$AU:$AU,0),20)/'Proof cost'!$I$2,"")</f>
        <v/>
      </c>
      <c r="J1197" s="3153" t="str">
        <f ca="1">IFERROR(INDEX('Proof cost'!$A:$AU,MATCH($C1197,'Proof cost'!$AU:$AU,0),20)/'Proof cost'!$I$2,"")</f>
        <v/>
      </c>
    </row>
    <row r="1198" spans="2:10" ht="21.75">
      <c r="B1198" s="3143" t="s">
        <v>2066</v>
      </c>
      <c r="C1198" s="3143">
        <f t="shared" si="21"/>
        <v>58</v>
      </c>
      <c r="D1198" s="3143" t="str">
        <f ca="1">IFERROR(INDEX('Proof cost'!$A:$AU,MATCH($C1198,'Proof cost'!$AU:$AU,0),9),"")</f>
        <v/>
      </c>
      <c r="E1198" s="3143" t="str">
        <f ca="1">IFERROR(INDEX('Proof cost'!$A:$AU,MATCH($C1198,'Proof cost'!$AU:$AU,0),45),"")</f>
        <v/>
      </c>
      <c r="G1198" s="3143" t="str">
        <f ca="1">IFERROR(INDEX('Proof cost'!$A:$AU,MATCH($C1198,'Proof cost'!$AU:$AU,0),10),"")</f>
        <v/>
      </c>
      <c r="I1198" s="3153" t="str">
        <f ca="1">IFERROR(INDEX('Proof cost'!$A:$AU,MATCH($C1198,'Proof cost'!$AU:$AU,0),20)/'Proof cost'!$I$2,"")</f>
        <v/>
      </c>
      <c r="J1198" s="3153" t="str">
        <f ca="1">IFERROR(INDEX('Proof cost'!$A:$AU,MATCH($C1198,'Proof cost'!$AU:$AU,0),20)/'Proof cost'!$I$2,"")</f>
        <v/>
      </c>
    </row>
    <row r="1199" spans="2:10" ht="21.75">
      <c r="B1199" s="3143" t="s">
        <v>2066</v>
      </c>
      <c r="C1199" s="3143">
        <f t="shared" si="21"/>
        <v>59</v>
      </c>
      <c r="D1199" s="3143" t="str">
        <f ca="1">IFERROR(INDEX('Proof cost'!$A:$AU,MATCH($C1199,'Proof cost'!$AU:$AU,0),9),"")</f>
        <v/>
      </c>
      <c r="E1199" s="3143" t="str">
        <f ca="1">IFERROR(INDEX('Proof cost'!$A:$AU,MATCH($C1199,'Proof cost'!$AU:$AU,0),45),"")</f>
        <v/>
      </c>
      <c r="G1199" s="3143" t="str">
        <f ca="1">IFERROR(INDEX('Proof cost'!$A:$AU,MATCH($C1199,'Proof cost'!$AU:$AU,0),10),"")</f>
        <v/>
      </c>
      <c r="I1199" s="3153" t="str">
        <f ca="1">IFERROR(INDEX('Proof cost'!$A:$AU,MATCH($C1199,'Proof cost'!$AU:$AU,0),20)/'Proof cost'!$I$2,"")</f>
        <v/>
      </c>
      <c r="J1199" s="3153" t="str">
        <f ca="1">IFERROR(INDEX('Proof cost'!$A:$AU,MATCH($C1199,'Proof cost'!$AU:$AU,0),20)/'Proof cost'!$I$2,"")</f>
        <v/>
      </c>
    </row>
    <row r="1200" spans="2:10" ht="21.75">
      <c r="B1200" s="3143" t="s">
        <v>2066</v>
      </c>
      <c r="C1200" s="3143">
        <f t="shared" si="21"/>
        <v>60</v>
      </c>
      <c r="D1200" s="3143" t="str">
        <f ca="1">IFERROR(INDEX('Proof cost'!$A:$AU,MATCH($C1200,'Proof cost'!$AU:$AU,0),9),"")</f>
        <v/>
      </c>
      <c r="E1200" s="3143" t="str">
        <f ca="1">IFERROR(INDEX('Proof cost'!$A:$AU,MATCH($C1200,'Proof cost'!$AU:$AU,0),45),"")</f>
        <v/>
      </c>
      <c r="G1200" s="3143" t="str">
        <f ca="1">IFERROR(INDEX('Proof cost'!$A:$AU,MATCH($C1200,'Proof cost'!$AU:$AU,0),10),"")</f>
        <v/>
      </c>
      <c r="I1200" s="3153" t="str">
        <f ca="1">IFERROR(INDEX('Proof cost'!$A:$AU,MATCH($C1200,'Proof cost'!$AU:$AU,0),20)/'Proof cost'!$I$2,"")</f>
        <v/>
      </c>
      <c r="J1200" s="3153" t="str">
        <f ca="1">IFERROR(INDEX('Proof cost'!$A:$AU,MATCH($C1200,'Proof cost'!$AU:$AU,0),20)/'Proof cost'!$I$2,"")</f>
        <v/>
      </c>
    </row>
    <row r="1201" spans="2:10" ht="21.75">
      <c r="B1201" s="3143" t="s">
        <v>2066</v>
      </c>
      <c r="C1201" s="3143">
        <f t="shared" si="21"/>
        <v>61</v>
      </c>
      <c r="D1201" s="3143" t="str">
        <f ca="1">IFERROR(INDEX('Proof cost'!$A:$AU,MATCH($C1201,'Proof cost'!$AU:$AU,0),9),"")</f>
        <v/>
      </c>
      <c r="E1201" s="3143" t="str">
        <f ca="1">IFERROR(INDEX('Proof cost'!$A:$AU,MATCH($C1201,'Proof cost'!$AU:$AU,0),45),"")</f>
        <v/>
      </c>
      <c r="G1201" s="3143" t="str">
        <f ca="1">IFERROR(INDEX('Proof cost'!$A:$AU,MATCH($C1201,'Proof cost'!$AU:$AU,0),10),"")</f>
        <v/>
      </c>
      <c r="I1201" s="3153" t="str">
        <f ca="1">IFERROR(INDEX('Proof cost'!$A:$AU,MATCH($C1201,'Proof cost'!$AU:$AU,0),20)/'Proof cost'!$I$2,"")</f>
        <v/>
      </c>
      <c r="J1201" s="3153" t="str">
        <f ca="1">IFERROR(INDEX('Proof cost'!$A:$AU,MATCH($C1201,'Proof cost'!$AU:$AU,0),20)/'Proof cost'!$I$2,"")</f>
        <v/>
      </c>
    </row>
    <row r="1202" spans="2:10" ht="21.75">
      <c r="B1202" s="3143" t="s">
        <v>2066</v>
      </c>
      <c r="C1202" s="3143">
        <f t="shared" si="21"/>
        <v>62</v>
      </c>
      <c r="D1202" s="3143" t="str">
        <f ca="1">IFERROR(INDEX('Proof cost'!$A:$AU,MATCH($C1202,'Proof cost'!$AU:$AU,0),9),"")</f>
        <v/>
      </c>
      <c r="E1202" s="3143" t="str">
        <f ca="1">IFERROR(INDEX('Proof cost'!$A:$AU,MATCH($C1202,'Proof cost'!$AU:$AU,0),45),"")</f>
        <v/>
      </c>
      <c r="G1202" s="3143" t="str">
        <f ca="1">IFERROR(INDEX('Proof cost'!$A:$AU,MATCH($C1202,'Proof cost'!$AU:$AU,0),10),"")</f>
        <v/>
      </c>
      <c r="I1202" s="3153" t="str">
        <f ca="1">IFERROR(INDEX('Proof cost'!$A:$AU,MATCH($C1202,'Proof cost'!$AU:$AU,0),20)/'Proof cost'!$I$2,"")</f>
        <v/>
      </c>
      <c r="J1202" s="3153" t="str">
        <f ca="1">IFERROR(INDEX('Proof cost'!$A:$AU,MATCH($C1202,'Proof cost'!$AU:$AU,0),20)/'Proof cost'!$I$2,"")</f>
        <v/>
      </c>
    </row>
    <row r="1203" spans="2:10" ht="21.75">
      <c r="B1203" s="3143" t="s">
        <v>2066</v>
      </c>
      <c r="C1203" s="3143">
        <f t="shared" si="21"/>
        <v>63</v>
      </c>
      <c r="D1203" s="3143" t="str">
        <f ca="1">IFERROR(INDEX('Proof cost'!$A:$AU,MATCH($C1203,'Proof cost'!$AU:$AU,0),9),"")</f>
        <v/>
      </c>
      <c r="E1203" s="3143" t="str">
        <f ca="1">IFERROR(INDEX('Proof cost'!$A:$AU,MATCH($C1203,'Proof cost'!$AU:$AU,0),45),"")</f>
        <v/>
      </c>
      <c r="G1203" s="3143" t="str">
        <f ca="1">IFERROR(INDEX('Proof cost'!$A:$AU,MATCH($C1203,'Proof cost'!$AU:$AU,0),10),"")</f>
        <v/>
      </c>
      <c r="I1203" s="3153" t="str">
        <f ca="1">IFERROR(INDEX('Proof cost'!$A:$AU,MATCH($C1203,'Proof cost'!$AU:$AU,0),20)/'Proof cost'!$I$2,"")</f>
        <v/>
      </c>
      <c r="J1203" s="3153" t="str">
        <f ca="1">IFERROR(INDEX('Proof cost'!$A:$AU,MATCH($C1203,'Proof cost'!$AU:$AU,0),20)/'Proof cost'!$I$2,"")</f>
        <v/>
      </c>
    </row>
    <row r="1204" spans="2:10" ht="21.75">
      <c r="B1204" s="3143" t="s">
        <v>2066</v>
      </c>
      <c r="C1204" s="3143">
        <f t="shared" si="21"/>
        <v>64</v>
      </c>
      <c r="D1204" s="3143" t="str">
        <f ca="1">IFERROR(INDEX('Proof cost'!$A:$AU,MATCH($C1204,'Proof cost'!$AU:$AU,0),9),"")</f>
        <v/>
      </c>
      <c r="E1204" s="3143" t="str">
        <f ca="1">IFERROR(INDEX('Proof cost'!$A:$AU,MATCH($C1204,'Proof cost'!$AU:$AU,0),45),"")</f>
        <v/>
      </c>
      <c r="G1204" s="3143" t="str">
        <f ca="1">IFERROR(INDEX('Proof cost'!$A:$AU,MATCH($C1204,'Proof cost'!$AU:$AU,0),10),"")</f>
        <v/>
      </c>
      <c r="I1204" s="3153" t="str">
        <f ca="1">IFERROR(INDEX('Proof cost'!$A:$AU,MATCH($C1204,'Proof cost'!$AU:$AU,0),20)/'Proof cost'!$I$2,"")</f>
        <v/>
      </c>
      <c r="J1204" s="3153" t="str">
        <f ca="1">IFERROR(INDEX('Proof cost'!$A:$AU,MATCH($C1204,'Proof cost'!$AU:$AU,0),20)/'Proof cost'!$I$2,"")</f>
        <v/>
      </c>
    </row>
    <row r="1205" spans="2:10" ht="21.75">
      <c r="B1205" s="3143" t="s">
        <v>2066</v>
      </c>
      <c r="C1205" s="3143">
        <f t="shared" si="21"/>
        <v>65</v>
      </c>
      <c r="D1205" s="3143" t="str">
        <f ca="1">IFERROR(INDEX('Proof cost'!$A:$AU,MATCH($C1205,'Proof cost'!$AU:$AU,0),9),"")</f>
        <v/>
      </c>
      <c r="E1205" s="3143" t="str">
        <f ca="1">IFERROR(INDEX('Proof cost'!$A:$AU,MATCH($C1205,'Proof cost'!$AU:$AU,0),45),"")</f>
        <v/>
      </c>
      <c r="G1205" s="3143" t="str">
        <f ca="1">IFERROR(INDEX('Proof cost'!$A:$AU,MATCH($C1205,'Proof cost'!$AU:$AU,0),10),"")</f>
        <v/>
      </c>
      <c r="I1205" s="3153" t="str">
        <f ca="1">IFERROR(INDEX('Proof cost'!$A:$AU,MATCH($C1205,'Proof cost'!$AU:$AU,0),20)/'Proof cost'!$I$2,"")</f>
        <v/>
      </c>
      <c r="J1205" s="3153" t="str">
        <f ca="1">IFERROR(INDEX('Proof cost'!$A:$AU,MATCH($C1205,'Proof cost'!$AU:$AU,0),20)/'Proof cost'!$I$2,"")</f>
        <v/>
      </c>
    </row>
    <row r="1206" spans="2:10" ht="21.75">
      <c r="B1206" s="3143" t="s">
        <v>2066</v>
      </c>
      <c r="C1206" s="3143">
        <f t="shared" si="21"/>
        <v>66</v>
      </c>
      <c r="D1206" s="3143" t="str">
        <f ca="1">IFERROR(INDEX('Proof cost'!$A:$AU,MATCH($C1206,'Proof cost'!$AU:$AU,0),9),"")</f>
        <v/>
      </c>
      <c r="E1206" s="3143" t="str">
        <f ca="1">IFERROR(INDEX('Proof cost'!$A:$AU,MATCH($C1206,'Proof cost'!$AU:$AU,0),45),"")</f>
        <v/>
      </c>
      <c r="G1206" s="3143" t="str">
        <f ca="1">IFERROR(INDEX('Proof cost'!$A:$AU,MATCH($C1206,'Proof cost'!$AU:$AU,0),10),"")</f>
        <v/>
      </c>
      <c r="I1206" s="3153" t="str">
        <f ca="1">IFERROR(INDEX('Proof cost'!$A:$AU,MATCH($C1206,'Proof cost'!$AU:$AU,0),20)/'Proof cost'!$I$2,"")</f>
        <v/>
      </c>
      <c r="J1206" s="3153" t="str">
        <f ca="1">IFERROR(INDEX('Proof cost'!$A:$AU,MATCH($C1206,'Proof cost'!$AU:$AU,0),20)/'Proof cost'!$I$2,"")</f>
        <v/>
      </c>
    </row>
    <row r="1207" spans="2:10" ht="21.75">
      <c r="B1207" s="3143" t="s">
        <v>2066</v>
      </c>
      <c r="C1207" s="3143">
        <f t="shared" ref="C1207:C1270" si="22">C1206+1</f>
        <v>67</v>
      </c>
      <c r="D1207" s="3143" t="str">
        <f ca="1">IFERROR(INDEX('Proof cost'!$A:$AU,MATCH($C1207,'Proof cost'!$AU:$AU,0),9),"")</f>
        <v/>
      </c>
      <c r="E1207" s="3143" t="str">
        <f ca="1">IFERROR(INDEX('Proof cost'!$A:$AU,MATCH($C1207,'Proof cost'!$AU:$AU,0),45),"")</f>
        <v/>
      </c>
      <c r="G1207" s="3143" t="str">
        <f ca="1">IFERROR(INDEX('Proof cost'!$A:$AU,MATCH($C1207,'Proof cost'!$AU:$AU,0),10),"")</f>
        <v/>
      </c>
      <c r="I1207" s="3153" t="str">
        <f ca="1">IFERROR(INDEX('Proof cost'!$A:$AU,MATCH($C1207,'Proof cost'!$AU:$AU,0),20)/'Proof cost'!$I$2,"")</f>
        <v/>
      </c>
      <c r="J1207" s="3153" t="str">
        <f ca="1">IFERROR(INDEX('Proof cost'!$A:$AU,MATCH($C1207,'Proof cost'!$AU:$AU,0),20)/'Proof cost'!$I$2,"")</f>
        <v/>
      </c>
    </row>
    <row r="1208" spans="2:10" ht="21.75">
      <c r="B1208" s="3143" t="s">
        <v>2066</v>
      </c>
      <c r="C1208" s="3143">
        <f t="shared" si="22"/>
        <v>68</v>
      </c>
      <c r="D1208" s="3143" t="str">
        <f ca="1">IFERROR(INDEX('Proof cost'!$A:$AU,MATCH($C1208,'Proof cost'!$AU:$AU,0),9),"")</f>
        <v/>
      </c>
      <c r="E1208" s="3143" t="str">
        <f ca="1">IFERROR(INDEX('Proof cost'!$A:$AU,MATCH($C1208,'Proof cost'!$AU:$AU,0),45),"")</f>
        <v/>
      </c>
      <c r="G1208" s="3143" t="str">
        <f ca="1">IFERROR(INDEX('Proof cost'!$A:$AU,MATCH($C1208,'Proof cost'!$AU:$AU,0),10),"")</f>
        <v/>
      </c>
      <c r="I1208" s="3153" t="str">
        <f ca="1">IFERROR(INDEX('Proof cost'!$A:$AU,MATCH($C1208,'Proof cost'!$AU:$AU,0),20)/'Proof cost'!$I$2,"")</f>
        <v/>
      </c>
      <c r="J1208" s="3153" t="str">
        <f ca="1">IFERROR(INDEX('Proof cost'!$A:$AU,MATCH($C1208,'Proof cost'!$AU:$AU,0),20)/'Proof cost'!$I$2,"")</f>
        <v/>
      </c>
    </row>
    <row r="1209" spans="2:10" ht="21.75">
      <c r="B1209" s="3143" t="s">
        <v>2066</v>
      </c>
      <c r="C1209" s="3143">
        <f t="shared" si="22"/>
        <v>69</v>
      </c>
      <c r="D1209" s="3143" t="str">
        <f ca="1">IFERROR(INDEX('Proof cost'!$A:$AU,MATCH($C1209,'Proof cost'!$AU:$AU,0),9),"")</f>
        <v/>
      </c>
      <c r="E1209" s="3143" t="str">
        <f ca="1">IFERROR(INDEX('Proof cost'!$A:$AU,MATCH($C1209,'Proof cost'!$AU:$AU,0),45),"")</f>
        <v/>
      </c>
      <c r="G1209" s="3143" t="str">
        <f ca="1">IFERROR(INDEX('Proof cost'!$A:$AU,MATCH($C1209,'Proof cost'!$AU:$AU,0),10),"")</f>
        <v/>
      </c>
      <c r="I1209" s="3153" t="str">
        <f ca="1">IFERROR(INDEX('Proof cost'!$A:$AU,MATCH($C1209,'Proof cost'!$AU:$AU,0),20)/'Proof cost'!$I$2,"")</f>
        <v/>
      </c>
      <c r="J1209" s="3153" t="str">
        <f ca="1">IFERROR(INDEX('Proof cost'!$A:$AU,MATCH($C1209,'Proof cost'!$AU:$AU,0),20)/'Proof cost'!$I$2,"")</f>
        <v/>
      </c>
    </row>
    <row r="1210" spans="2:10" ht="21.75">
      <c r="B1210" s="3143" t="s">
        <v>2066</v>
      </c>
      <c r="C1210" s="3143">
        <f t="shared" si="22"/>
        <v>70</v>
      </c>
      <c r="D1210" s="3143" t="str">
        <f ca="1">IFERROR(INDEX('Proof cost'!$A:$AU,MATCH($C1210,'Proof cost'!$AU:$AU,0),9),"")</f>
        <v/>
      </c>
      <c r="E1210" s="3143" t="str">
        <f ca="1">IFERROR(INDEX('Proof cost'!$A:$AU,MATCH($C1210,'Proof cost'!$AU:$AU,0),45),"")</f>
        <v/>
      </c>
      <c r="G1210" s="3143" t="str">
        <f ca="1">IFERROR(INDEX('Proof cost'!$A:$AU,MATCH($C1210,'Proof cost'!$AU:$AU,0),10),"")</f>
        <v/>
      </c>
      <c r="I1210" s="3153" t="str">
        <f ca="1">IFERROR(INDEX('Proof cost'!$A:$AU,MATCH($C1210,'Proof cost'!$AU:$AU,0),20)/'Proof cost'!$I$2,"")</f>
        <v/>
      </c>
      <c r="J1210" s="3153" t="str">
        <f ca="1">IFERROR(INDEX('Proof cost'!$A:$AU,MATCH($C1210,'Proof cost'!$AU:$AU,0),20)/'Proof cost'!$I$2,"")</f>
        <v/>
      </c>
    </row>
    <row r="1211" spans="2:10" ht="21.75">
      <c r="B1211" s="3143" t="s">
        <v>2066</v>
      </c>
      <c r="C1211" s="3143">
        <f t="shared" si="22"/>
        <v>71</v>
      </c>
      <c r="D1211" s="3143" t="str">
        <f ca="1">IFERROR(INDEX('Proof cost'!$A:$AU,MATCH($C1211,'Proof cost'!$AU:$AU,0),9),"")</f>
        <v/>
      </c>
      <c r="E1211" s="3143" t="str">
        <f ca="1">IFERROR(INDEX('Proof cost'!$A:$AU,MATCH($C1211,'Proof cost'!$AU:$AU,0),45),"")</f>
        <v/>
      </c>
      <c r="G1211" s="3143" t="str">
        <f ca="1">IFERROR(INDEX('Proof cost'!$A:$AU,MATCH($C1211,'Proof cost'!$AU:$AU,0),10),"")</f>
        <v/>
      </c>
      <c r="I1211" s="3153" t="str">
        <f ca="1">IFERROR(INDEX('Proof cost'!$A:$AU,MATCH($C1211,'Proof cost'!$AU:$AU,0),20)/'Proof cost'!$I$2,"")</f>
        <v/>
      </c>
      <c r="J1211" s="3153" t="str">
        <f ca="1">IFERROR(INDEX('Proof cost'!$A:$AU,MATCH($C1211,'Proof cost'!$AU:$AU,0),20)/'Proof cost'!$I$2,"")</f>
        <v/>
      </c>
    </row>
    <row r="1212" spans="2:10" ht="21.75">
      <c r="B1212" s="3143" t="s">
        <v>2066</v>
      </c>
      <c r="C1212" s="3143">
        <f t="shared" si="22"/>
        <v>72</v>
      </c>
      <c r="D1212" s="3143" t="str">
        <f ca="1">IFERROR(INDEX('Proof cost'!$A:$AU,MATCH($C1212,'Proof cost'!$AU:$AU,0),9),"")</f>
        <v/>
      </c>
      <c r="E1212" s="3143" t="str">
        <f ca="1">IFERROR(INDEX('Proof cost'!$A:$AU,MATCH($C1212,'Proof cost'!$AU:$AU,0),45),"")</f>
        <v/>
      </c>
      <c r="G1212" s="3143" t="str">
        <f ca="1">IFERROR(INDEX('Proof cost'!$A:$AU,MATCH($C1212,'Proof cost'!$AU:$AU,0),10),"")</f>
        <v/>
      </c>
      <c r="I1212" s="3153" t="str">
        <f ca="1">IFERROR(INDEX('Proof cost'!$A:$AU,MATCH($C1212,'Proof cost'!$AU:$AU,0),20)/'Proof cost'!$I$2,"")</f>
        <v/>
      </c>
      <c r="J1212" s="3153" t="str">
        <f ca="1">IFERROR(INDEX('Proof cost'!$A:$AU,MATCH($C1212,'Proof cost'!$AU:$AU,0),20)/'Proof cost'!$I$2,"")</f>
        <v/>
      </c>
    </row>
    <row r="1213" spans="2:10" ht="21.75">
      <c r="B1213" s="3143" t="s">
        <v>2066</v>
      </c>
      <c r="C1213" s="3143">
        <f t="shared" si="22"/>
        <v>73</v>
      </c>
      <c r="D1213" s="3143" t="str">
        <f ca="1">IFERROR(INDEX('Proof cost'!$A:$AU,MATCH($C1213,'Proof cost'!$AU:$AU,0),9),"")</f>
        <v/>
      </c>
      <c r="E1213" s="3143" t="str">
        <f ca="1">IFERROR(INDEX('Proof cost'!$A:$AU,MATCH($C1213,'Proof cost'!$AU:$AU,0),45),"")</f>
        <v/>
      </c>
      <c r="G1213" s="3143" t="str">
        <f ca="1">IFERROR(INDEX('Proof cost'!$A:$AU,MATCH($C1213,'Proof cost'!$AU:$AU,0),10),"")</f>
        <v/>
      </c>
      <c r="I1213" s="3153" t="str">
        <f ca="1">IFERROR(INDEX('Proof cost'!$A:$AU,MATCH($C1213,'Proof cost'!$AU:$AU,0),20)/'Proof cost'!$I$2,"")</f>
        <v/>
      </c>
      <c r="J1213" s="3153" t="str">
        <f ca="1">IFERROR(INDEX('Proof cost'!$A:$AU,MATCH($C1213,'Proof cost'!$AU:$AU,0),20)/'Proof cost'!$I$2,"")</f>
        <v/>
      </c>
    </row>
    <row r="1214" spans="2:10" ht="21.75">
      <c r="B1214" s="3143" t="s">
        <v>2066</v>
      </c>
      <c r="C1214" s="3143">
        <f t="shared" si="22"/>
        <v>74</v>
      </c>
      <c r="D1214" s="3143" t="str">
        <f ca="1">IFERROR(INDEX('Proof cost'!$A:$AU,MATCH($C1214,'Proof cost'!$AU:$AU,0),9),"")</f>
        <v/>
      </c>
      <c r="E1214" s="3143" t="str">
        <f ca="1">IFERROR(INDEX('Proof cost'!$A:$AU,MATCH($C1214,'Proof cost'!$AU:$AU,0),45),"")</f>
        <v/>
      </c>
      <c r="G1214" s="3143" t="str">
        <f ca="1">IFERROR(INDEX('Proof cost'!$A:$AU,MATCH($C1214,'Proof cost'!$AU:$AU,0),10),"")</f>
        <v/>
      </c>
      <c r="I1214" s="3153" t="str">
        <f ca="1">IFERROR(INDEX('Proof cost'!$A:$AU,MATCH($C1214,'Proof cost'!$AU:$AU,0),20)/'Proof cost'!$I$2,"")</f>
        <v/>
      </c>
      <c r="J1214" s="3153" t="str">
        <f ca="1">IFERROR(INDEX('Proof cost'!$A:$AU,MATCH($C1214,'Proof cost'!$AU:$AU,0),20)/'Proof cost'!$I$2,"")</f>
        <v/>
      </c>
    </row>
    <row r="1215" spans="2:10" ht="21.75">
      <c r="B1215" s="3143" t="s">
        <v>2066</v>
      </c>
      <c r="C1215" s="3143">
        <f t="shared" si="22"/>
        <v>75</v>
      </c>
      <c r="D1215" s="3143" t="str">
        <f ca="1">IFERROR(INDEX('Proof cost'!$A:$AU,MATCH($C1215,'Proof cost'!$AU:$AU,0),9),"")</f>
        <v/>
      </c>
      <c r="E1215" s="3143" t="str">
        <f ca="1">IFERROR(INDEX('Proof cost'!$A:$AU,MATCH($C1215,'Proof cost'!$AU:$AU,0),45),"")</f>
        <v/>
      </c>
      <c r="G1215" s="3143" t="str">
        <f ca="1">IFERROR(INDEX('Proof cost'!$A:$AU,MATCH($C1215,'Proof cost'!$AU:$AU,0),10),"")</f>
        <v/>
      </c>
      <c r="I1215" s="3153" t="str">
        <f ca="1">IFERROR(INDEX('Proof cost'!$A:$AU,MATCH($C1215,'Proof cost'!$AU:$AU,0),20)/'Proof cost'!$I$2,"")</f>
        <v/>
      </c>
      <c r="J1215" s="3153" t="str">
        <f ca="1">IFERROR(INDEX('Proof cost'!$A:$AU,MATCH($C1215,'Proof cost'!$AU:$AU,0),20)/'Proof cost'!$I$2,"")</f>
        <v/>
      </c>
    </row>
    <row r="1216" spans="2:10" ht="21.75">
      <c r="B1216" s="3143" t="s">
        <v>2066</v>
      </c>
      <c r="C1216" s="3143">
        <f t="shared" si="22"/>
        <v>76</v>
      </c>
      <c r="D1216" s="3143" t="str">
        <f ca="1">IFERROR(INDEX('Proof cost'!$A:$AU,MATCH($C1216,'Proof cost'!$AU:$AU,0),9),"")</f>
        <v/>
      </c>
      <c r="E1216" s="3143" t="str">
        <f ca="1">IFERROR(INDEX('Proof cost'!$A:$AU,MATCH($C1216,'Proof cost'!$AU:$AU,0),45),"")</f>
        <v/>
      </c>
      <c r="G1216" s="3143" t="str">
        <f ca="1">IFERROR(INDEX('Proof cost'!$A:$AU,MATCH($C1216,'Proof cost'!$AU:$AU,0),10),"")</f>
        <v/>
      </c>
      <c r="I1216" s="3153" t="str">
        <f ca="1">IFERROR(INDEX('Proof cost'!$A:$AU,MATCH($C1216,'Proof cost'!$AU:$AU,0),20)/'Proof cost'!$I$2,"")</f>
        <v/>
      </c>
      <c r="J1216" s="3153" t="str">
        <f ca="1">IFERROR(INDEX('Proof cost'!$A:$AU,MATCH($C1216,'Proof cost'!$AU:$AU,0),20)/'Proof cost'!$I$2,"")</f>
        <v/>
      </c>
    </row>
    <row r="1217" spans="2:10" ht="21.75">
      <c r="B1217" s="3143" t="s">
        <v>2066</v>
      </c>
      <c r="C1217" s="3143">
        <f t="shared" si="22"/>
        <v>77</v>
      </c>
      <c r="D1217" s="3143" t="str">
        <f ca="1">IFERROR(INDEX('Proof cost'!$A:$AU,MATCH($C1217,'Proof cost'!$AU:$AU,0),9),"")</f>
        <v/>
      </c>
      <c r="E1217" s="3143" t="str">
        <f ca="1">IFERROR(INDEX('Proof cost'!$A:$AU,MATCH($C1217,'Proof cost'!$AU:$AU,0),45),"")</f>
        <v/>
      </c>
      <c r="G1217" s="3143" t="str">
        <f ca="1">IFERROR(INDEX('Proof cost'!$A:$AU,MATCH($C1217,'Proof cost'!$AU:$AU,0),10),"")</f>
        <v/>
      </c>
      <c r="I1217" s="3153" t="str">
        <f ca="1">IFERROR(INDEX('Proof cost'!$A:$AU,MATCH($C1217,'Proof cost'!$AU:$AU,0),20)/'Proof cost'!$I$2,"")</f>
        <v/>
      </c>
      <c r="J1217" s="3153" t="str">
        <f ca="1">IFERROR(INDEX('Proof cost'!$A:$AU,MATCH($C1217,'Proof cost'!$AU:$AU,0),20)/'Proof cost'!$I$2,"")</f>
        <v/>
      </c>
    </row>
    <row r="1218" spans="2:10" ht="21.75">
      <c r="B1218" s="3143" t="s">
        <v>2066</v>
      </c>
      <c r="C1218" s="3143">
        <f t="shared" si="22"/>
        <v>78</v>
      </c>
      <c r="D1218" s="3143" t="str">
        <f ca="1">IFERROR(INDEX('Proof cost'!$A:$AU,MATCH($C1218,'Proof cost'!$AU:$AU,0),9),"")</f>
        <v/>
      </c>
      <c r="E1218" s="3143" t="str">
        <f ca="1">IFERROR(INDEX('Proof cost'!$A:$AU,MATCH($C1218,'Proof cost'!$AU:$AU,0),45),"")</f>
        <v/>
      </c>
      <c r="G1218" s="3143" t="str">
        <f ca="1">IFERROR(INDEX('Proof cost'!$A:$AU,MATCH($C1218,'Proof cost'!$AU:$AU,0),10),"")</f>
        <v/>
      </c>
      <c r="I1218" s="3153" t="str">
        <f ca="1">IFERROR(INDEX('Proof cost'!$A:$AU,MATCH($C1218,'Proof cost'!$AU:$AU,0),20)/'Proof cost'!$I$2,"")</f>
        <v/>
      </c>
      <c r="J1218" s="3153" t="str">
        <f ca="1">IFERROR(INDEX('Proof cost'!$A:$AU,MATCH($C1218,'Proof cost'!$AU:$AU,0),20)/'Proof cost'!$I$2,"")</f>
        <v/>
      </c>
    </row>
    <row r="1219" spans="2:10" ht="21.75">
      <c r="B1219" s="3143" t="s">
        <v>2066</v>
      </c>
      <c r="C1219" s="3143">
        <f t="shared" si="22"/>
        <v>79</v>
      </c>
      <c r="D1219" s="3143" t="str">
        <f ca="1">IFERROR(INDEX('Proof cost'!$A:$AU,MATCH($C1219,'Proof cost'!$AU:$AU,0),9),"")</f>
        <v/>
      </c>
      <c r="E1219" s="3143" t="str">
        <f ca="1">IFERROR(INDEX('Proof cost'!$A:$AU,MATCH($C1219,'Proof cost'!$AU:$AU,0),45),"")</f>
        <v/>
      </c>
      <c r="G1219" s="3143" t="str">
        <f ca="1">IFERROR(INDEX('Proof cost'!$A:$AU,MATCH($C1219,'Proof cost'!$AU:$AU,0),10),"")</f>
        <v/>
      </c>
      <c r="I1219" s="3153" t="str">
        <f ca="1">IFERROR(INDEX('Proof cost'!$A:$AU,MATCH($C1219,'Proof cost'!$AU:$AU,0),20)/'Proof cost'!$I$2,"")</f>
        <v/>
      </c>
      <c r="J1219" s="3153" t="str">
        <f ca="1">IFERROR(INDEX('Proof cost'!$A:$AU,MATCH($C1219,'Proof cost'!$AU:$AU,0),20)/'Proof cost'!$I$2,"")</f>
        <v/>
      </c>
    </row>
    <row r="1220" spans="2:10" ht="21.75">
      <c r="B1220" s="3143" t="s">
        <v>2066</v>
      </c>
      <c r="C1220" s="3143">
        <f t="shared" si="22"/>
        <v>80</v>
      </c>
      <c r="D1220" s="3143" t="str">
        <f ca="1">IFERROR(INDEX('Proof cost'!$A:$AU,MATCH($C1220,'Proof cost'!$AU:$AU,0),9),"")</f>
        <v/>
      </c>
      <c r="E1220" s="3143" t="str">
        <f ca="1">IFERROR(INDEX('Proof cost'!$A:$AU,MATCH($C1220,'Proof cost'!$AU:$AU,0),45),"")</f>
        <v/>
      </c>
      <c r="G1220" s="3143" t="str">
        <f ca="1">IFERROR(INDEX('Proof cost'!$A:$AU,MATCH($C1220,'Proof cost'!$AU:$AU,0),10),"")</f>
        <v/>
      </c>
      <c r="I1220" s="3153" t="str">
        <f ca="1">IFERROR(INDEX('Proof cost'!$A:$AU,MATCH($C1220,'Proof cost'!$AU:$AU,0),20)/'Proof cost'!$I$2,"")</f>
        <v/>
      </c>
      <c r="J1220" s="3153" t="str">
        <f ca="1">IFERROR(INDEX('Proof cost'!$A:$AU,MATCH($C1220,'Proof cost'!$AU:$AU,0),20)/'Proof cost'!$I$2,"")</f>
        <v/>
      </c>
    </row>
    <row r="1221" spans="2:10" ht="21.75">
      <c r="B1221" s="3143" t="s">
        <v>2066</v>
      </c>
      <c r="C1221" s="3143">
        <f t="shared" si="22"/>
        <v>81</v>
      </c>
      <c r="D1221" s="3143" t="str">
        <f ca="1">IFERROR(INDEX('Proof cost'!$A:$AU,MATCH($C1221,'Proof cost'!$AU:$AU,0),9),"")</f>
        <v/>
      </c>
      <c r="E1221" s="3143" t="str">
        <f ca="1">IFERROR(INDEX('Proof cost'!$A:$AU,MATCH($C1221,'Proof cost'!$AU:$AU,0),45),"")</f>
        <v/>
      </c>
      <c r="G1221" s="3143" t="str">
        <f ca="1">IFERROR(INDEX('Proof cost'!$A:$AU,MATCH($C1221,'Proof cost'!$AU:$AU,0),10),"")</f>
        <v/>
      </c>
      <c r="I1221" s="3153" t="str">
        <f ca="1">IFERROR(INDEX('Proof cost'!$A:$AU,MATCH($C1221,'Proof cost'!$AU:$AU,0),20)/'Proof cost'!$I$2,"")</f>
        <v/>
      </c>
      <c r="J1221" s="3153" t="str">
        <f ca="1">IFERROR(INDEX('Proof cost'!$A:$AU,MATCH($C1221,'Proof cost'!$AU:$AU,0),20)/'Proof cost'!$I$2,"")</f>
        <v/>
      </c>
    </row>
    <row r="1222" spans="2:10" ht="21.75">
      <c r="B1222" s="3143" t="s">
        <v>2066</v>
      </c>
      <c r="C1222" s="3143">
        <f t="shared" si="22"/>
        <v>82</v>
      </c>
      <c r="D1222" s="3143" t="str">
        <f ca="1">IFERROR(INDEX('Proof cost'!$A:$AU,MATCH($C1222,'Proof cost'!$AU:$AU,0),9),"")</f>
        <v/>
      </c>
      <c r="E1222" s="3143" t="str">
        <f ca="1">IFERROR(INDEX('Proof cost'!$A:$AU,MATCH($C1222,'Proof cost'!$AU:$AU,0),45),"")</f>
        <v/>
      </c>
      <c r="G1222" s="3143" t="str">
        <f ca="1">IFERROR(INDEX('Proof cost'!$A:$AU,MATCH($C1222,'Proof cost'!$AU:$AU,0),10),"")</f>
        <v/>
      </c>
      <c r="I1222" s="3153" t="str">
        <f ca="1">IFERROR(INDEX('Proof cost'!$A:$AU,MATCH($C1222,'Proof cost'!$AU:$AU,0),20)/'Proof cost'!$I$2,"")</f>
        <v/>
      </c>
      <c r="J1222" s="3153" t="str">
        <f ca="1">IFERROR(INDEX('Proof cost'!$A:$AU,MATCH($C1222,'Proof cost'!$AU:$AU,0),20)/'Proof cost'!$I$2,"")</f>
        <v/>
      </c>
    </row>
    <row r="1223" spans="2:10" ht="21.75">
      <c r="B1223" s="3143" t="s">
        <v>2066</v>
      </c>
      <c r="C1223" s="3143">
        <f t="shared" si="22"/>
        <v>83</v>
      </c>
      <c r="D1223" s="3143" t="str">
        <f ca="1">IFERROR(INDEX('Proof cost'!$A:$AU,MATCH($C1223,'Proof cost'!$AU:$AU,0),9),"")</f>
        <v/>
      </c>
      <c r="E1223" s="3143" t="str">
        <f ca="1">IFERROR(INDEX('Proof cost'!$A:$AU,MATCH($C1223,'Proof cost'!$AU:$AU,0),45),"")</f>
        <v/>
      </c>
      <c r="G1223" s="3143" t="str">
        <f ca="1">IFERROR(INDEX('Proof cost'!$A:$AU,MATCH($C1223,'Proof cost'!$AU:$AU,0),10),"")</f>
        <v/>
      </c>
      <c r="I1223" s="3153" t="str">
        <f ca="1">IFERROR(INDEX('Proof cost'!$A:$AU,MATCH($C1223,'Proof cost'!$AU:$AU,0),20)/'Proof cost'!$I$2,"")</f>
        <v/>
      </c>
      <c r="J1223" s="3153" t="str">
        <f ca="1">IFERROR(INDEX('Proof cost'!$A:$AU,MATCH($C1223,'Proof cost'!$AU:$AU,0),20)/'Proof cost'!$I$2,"")</f>
        <v/>
      </c>
    </row>
    <row r="1224" spans="2:10" ht="21.75">
      <c r="B1224" s="3143" t="s">
        <v>2066</v>
      </c>
      <c r="C1224" s="3143">
        <f t="shared" si="22"/>
        <v>84</v>
      </c>
      <c r="D1224" s="3143" t="str">
        <f ca="1">IFERROR(INDEX('Proof cost'!$A:$AU,MATCH($C1224,'Proof cost'!$AU:$AU,0),9),"")</f>
        <v/>
      </c>
      <c r="E1224" s="3143" t="str">
        <f ca="1">IFERROR(INDEX('Proof cost'!$A:$AU,MATCH($C1224,'Proof cost'!$AU:$AU,0),45),"")</f>
        <v/>
      </c>
      <c r="G1224" s="3143" t="str">
        <f ca="1">IFERROR(INDEX('Proof cost'!$A:$AU,MATCH($C1224,'Proof cost'!$AU:$AU,0),10),"")</f>
        <v/>
      </c>
      <c r="I1224" s="3153" t="str">
        <f ca="1">IFERROR(INDEX('Proof cost'!$A:$AU,MATCH($C1224,'Proof cost'!$AU:$AU,0),20)/'Proof cost'!$I$2,"")</f>
        <v/>
      </c>
      <c r="J1224" s="3153" t="str">
        <f ca="1">IFERROR(INDEX('Proof cost'!$A:$AU,MATCH($C1224,'Proof cost'!$AU:$AU,0),20)/'Proof cost'!$I$2,"")</f>
        <v/>
      </c>
    </row>
    <row r="1225" spans="2:10" ht="21.75">
      <c r="B1225" s="3143" t="s">
        <v>2066</v>
      </c>
      <c r="C1225" s="3143">
        <f t="shared" si="22"/>
        <v>85</v>
      </c>
      <c r="D1225" s="3143" t="str">
        <f ca="1">IFERROR(INDEX('Proof cost'!$A:$AU,MATCH($C1225,'Proof cost'!$AU:$AU,0),9),"")</f>
        <v/>
      </c>
      <c r="E1225" s="3143" t="str">
        <f ca="1">IFERROR(INDEX('Proof cost'!$A:$AU,MATCH($C1225,'Proof cost'!$AU:$AU,0),45),"")</f>
        <v/>
      </c>
      <c r="G1225" s="3143" t="str">
        <f ca="1">IFERROR(INDEX('Proof cost'!$A:$AU,MATCH($C1225,'Proof cost'!$AU:$AU,0),10),"")</f>
        <v/>
      </c>
      <c r="I1225" s="3153" t="str">
        <f ca="1">IFERROR(INDEX('Proof cost'!$A:$AU,MATCH($C1225,'Proof cost'!$AU:$AU,0),20)/'Proof cost'!$I$2,"")</f>
        <v/>
      </c>
      <c r="J1225" s="3153" t="str">
        <f ca="1">IFERROR(INDEX('Proof cost'!$A:$AU,MATCH($C1225,'Proof cost'!$AU:$AU,0),20)/'Proof cost'!$I$2,"")</f>
        <v/>
      </c>
    </row>
    <row r="1226" spans="2:10" ht="21.75">
      <c r="B1226" s="3143" t="s">
        <v>2066</v>
      </c>
      <c r="C1226" s="3143">
        <f t="shared" si="22"/>
        <v>86</v>
      </c>
      <c r="D1226" s="3143" t="str">
        <f ca="1">IFERROR(INDEX('Proof cost'!$A:$AU,MATCH($C1226,'Proof cost'!$AU:$AU,0),9),"")</f>
        <v/>
      </c>
      <c r="E1226" s="3143" t="str">
        <f ca="1">IFERROR(INDEX('Proof cost'!$A:$AU,MATCH($C1226,'Proof cost'!$AU:$AU,0),45),"")</f>
        <v/>
      </c>
      <c r="G1226" s="3143" t="str">
        <f ca="1">IFERROR(INDEX('Proof cost'!$A:$AU,MATCH($C1226,'Proof cost'!$AU:$AU,0),10),"")</f>
        <v/>
      </c>
      <c r="I1226" s="3153" t="str">
        <f ca="1">IFERROR(INDEX('Proof cost'!$A:$AU,MATCH($C1226,'Proof cost'!$AU:$AU,0),20)/'Proof cost'!$I$2,"")</f>
        <v/>
      </c>
      <c r="J1226" s="3153" t="str">
        <f ca="1">IFERROR(INDEX('Proof cost'!$A:$AU,MATCH($C1226,'Proof cost'!$AU:$AU,0),20)/'Proof cost'!$I$2,"")</f>
        <v/>
      </c>
    </row>
    <row r="1227" spans="2:10" ht="21.75">
      <c r="B1227" s="3143" t="s">
        <v>2066</v>
      </c>
      <c r="C1227" s="3143">
        <f t="shared" si="22"/>
        <v>87</v>
      </c>
      <c r="D1227" s="3143" t="str">
        <f ca="1">IFERROR(INDEX('Proof cost'!$A:$AU,MATCH($C1227,'Proof cost'!$AU:$AU,0),9),"")</f>
        <v/>
      </c>
      <c r="E1227" s="3143" t="str">
        <f ca="1">IFERROR(INDEX('Proof cost'!$A:$AU,MATCH($C1227,'Proof cost'!$AU:$AU,0),45),"")</f>
        <v/>
      </c>
      <c r="G1227" s="3143" t="str">
        <f ca="1">IFERROR(INDEX('Proof cost'!$A:$AU,MATCH($C1227,'Proof cost'!$AU:$AU,0),10),"")</f>
        <v/>
      </c>
      <c r="I1227" s="3153" t="str">
        <f ca="1">IFERROR(INDEX('Proof cost'!$A:$AU,MATCH($C1227,'Proof cost'!$AU:$AU,0),20)/'Proof cost'!$I$2,"")</f>
        <v/>
      </c>
      <c r="J1227" s="3153" t="str">
        <f ca="1">IFERROR(INDEX('Proof cost'!$A:$AU,MATCH($C1227,'Proof cost'!$AU:$AU,0),20)/'Proof cost'!$I$2,"")</f>
        <v/>
      </c>
    </row>
    <row r="1228" spans="2:10" ht="21.75">
      <c r="B1228" s="3143" t="s">
        <v>2066</v>
      </c>
      <c r="C1228" s="3143">
        <f t="shared" si="22"/>
        <v>88</v>
      </c>
      <c r="D1228" s="3143" t="str">
        <f ca="1">IFERROR(INDEX('Proof cost'!$A:$AU,MATCH($C1228,'Proof cost'!$AU:$AU,0),9),"")</f>
        <v/>
      </c>
      <c r="E1228" s="3143" t="str">
        <f ca="1">IFERROR(INDEX('Proof cost'!$A:$AU,MATCH($C1228,'Proof cost'!$AU:$AU,0),45),"")</f>
        <v/>
      </c>
      <c r="G1228" s="3143" t="str">
        <f ca="1">IFERROR(INDEX('Proof cost'!$A:$AU,MATCH($C1228,'Proof cost'!$AU:$AU,0),10),"")</f>
        <v/>
      </c>
      <c r="I1228" s="3153" t="str">
        <f ca="1">IFERROR(INDEX('Proof cost'!$A:$AU,MATCH($C1228,'Proof cost'!$AU:$AU,0),20)/'Proof cost'!$I$2,"")</f>
        <v/>
      </c>
      <c r="J1228" s="3153" t="str">
        <f ca="1">IFERROR(INDEX('Proof cost'!$A:$AU,MATCH($C1228,'Proof cost'!$AU:$AU,0),20)/'Proof cost'!$I$2,"")</f>
        <v/>
      </c>
    </row>
    <row r="1229" spans="2:10" ht="21.75">
      <c r="B1229" s="3143" t="s">
        <v>2066</v>
      </c>
      <c r="C1229" s="3143">
        <f t="shared" si="22"/>
        <v>89</v>
      </c>
      <c r="D1229" s="3143" t="str">
        <f ca="1">IFERROR(INDEX('Proof cost'!$A:$AU,MATCH($C1229,'Proof cost'!$AU:$AU,0),9),"")</f>
        <v/>
      </c>
      <c r="E1229" s="3143" t="str">
        <f ca="1">IFERROR(INDEX('Proof cost'!$A:$AU,MATCH($C1229,'Proof cost'!$AU:$AU,0),45),"")</f>
        <v/>
      </c>
      <c r="G1229" s="3143" t="str">
        <f ca="1">IFERROR(INDEX('Proof cost'!$A:$AU,MATCH($C1229,'Proof cost'!$AU:$AU,0),10),"")</f>
        <v/>
      </c>
      <c r="I1229" s="3153" t="str">
        <f ca="1">IFERROR(INDEX('Proof cost'!$A:$AU,MATCH($C1229,'Proof cost'!$AU:$AU,0),20)/'Proof cost'!$I$2,"")</f>
        <v/>
      </c>
      <c r="J1229" s="3153" t="str">
        <f ca="1">IFERROR(INDEX('Proof cost'!$A:$AU,MATCH($C1229,'Proof cost'!$AU:$AU,0),20)/'Proof cost'!$I$2,"")</f>
        <v/>
      </c>
    </row>
    <row r="1230" spans="2:10" ht="21.75">
      <c r="B1230" s="3143" t="s">
        <v>2066</v>
      </c>
      <c r="C1230" s="3143">
        <f t="shared" si="22"/>
        <v>90</v>
      </c>
      <c r="D1230" s="3143" t="str">
        <f ca="1">IFERROR(INDEX('Proof cost'!$A:$AU,MATCH($C1230,'Proof cost'!$AU:$AU,0),9),"")</f>
        <v/>
      </c>
      <c r="E1230" s="3143" t="str">
        <f ca="1">IFERROR(INDEX('Proof cost'!$A:$AU,MATCH($C1230,'Proof cost'!$AU:$AU,0),45),"")</f>
        <v/>
      </c>
      <c r="G1230" s="3143" t="str">
        <f ca="1">IFERROR(INDEX('Proof cost'!$A:$AU,MATCH($C1230,'Proof cost'!$AU:$AU,0),10),"")</f>
        <v/>
      </c>
      <c r="I1230" s="3153" t="str">
        <f ca="1">IFERROR(INDEX('Proof cost'!$A:$AU,MATCH($C1230,'Proof cost'!$AU:$AU,0),20)/'Proof cost'!$I$2,"")</f>
        <v/>
      </c>
      <c r="J1230" s="3153" t="str">
        <f ca="1">IFERROR(INDEX('Proof cost'!$A:$AU,MATCH($C1230,'Proof cost'!$AU:$AU,0),20)/'Proof cost'!$I$2,"")</f>
        <v/>
      </c>
    </row>
    <row r="1231" spans="2:10" ht="21.75">
      <c r="B1231" s="3143" t="s">
        <v>2066</v>
      </c>
      <c r="C1231" s="3143">
        <f t="shared" si="22"/>
        <v>91</v>
      </c>
      <c r="D1231" s="3143" t="str">
        <f ca="1">IFERROR(INDEX('Proof cost'!$A:$AU,MATCH($C1231,'Proof cost'!$AU:$AU,0),9),"")</f>
        <v/>
      </c>
      <c r="E1231" s="3143" t="str">
        <f ca="1">IFERROR(INDEX('Proof cost'!$A:$AU,MATCH($C1231,'Proof cost'!$AU:$AU,0),45),"")</f>
        <v/>
      </c>
      <c r="G1231" s="3143" t="str">
        <f ca="1">IFERROR(INDEX('Proof cost'!$A:$AU,MATCH($C1231,'Proof cost'!$AU:$AU,0),10),"")</f>
        <v/>
      </c>
      <c r="I1231" s="3153" t="str">
        <f ca="1">IFERROR(INDEX('Proof cost'!$A:$AU,MATCH($C1231,'Proof cost'!$AU:$AU,0),20)/'Proof cost'!$I$2,"")</f>
        <v/>
      </c>
      <c r="J1231" s="3153" t="str">
        <f ca="1">IFERROR(INDEX('Proof cost'!$A:$AU,MATCH($C1231,'Proof cost'!$AU:$AU,0),20)/'Proof cost'!$I$2,"")</f>
        <v/>
      </c>
    </row>
    <row r="1232" spans="2:10" ht="21.75">
      <c r="B1232" s="3143" t="s">
        <v>2066</v>
      </c>
      <c r="C1232" s="3143">
        <f t="shared" si="22"/>
        <v>92</v>
      </c>
      <c r="D1232" s="3143" t="str">
        <f ca="1">IFERROR(INDEX('Proof cost'!$A:$AU,MATCH($C1232,'Proof cost'!$AU:$AU,0),9),"")</f>
        <v/>
      </c>
      <c r="E1232" s="3143" t="str">
        <f ca="1">IFERROR(INDEX('Proof cost'!$A:$AU,MATCH($C1232,'Proof cost'!$AU:$AU,0),45),"")</f>
        <v/>
      </c>
      <c r="G1232" s="3143" t="str">
        <f ca="1">IFERROR(INDEX('Proof cost'!$A:$AU,MATCH($C1232,'Proof cost'!$AU:$AU,0),10),"")</f>
        <v/>
      </c>
      <c r="I1232" s="3153" t="str">
        <f ca="1">IFERROR(INDEX('Proof cost'!$A:$AU,MATCH($C1232,'Proof cost'!$AU:$AU,0),20)/'Proof cost'!$I$2,"")</f>
        <v/>
      </c>
      <c r="J1232" s="3153" t="str">
        <f ca="1">IFERROR(INDEX('Proof cost'!$A:$AU,MATCH($C1232,'Proof cost'!$AU:$AU,0),20)/'Proof cost'!$I$2,"")</f>
        <v/>
      </c>
    </row>
    <row r="1233" spans="2:10" ht="21.75">
      <c r="B1233" s="3143" t="s">
        <v>2066</v>
      </c>
      <c r="C1233" s="3143">
        <f t="shared" si="22"/>
        <v>93</v>
      </c>
      <c r="D1233" s="3143" t="str">
        <f ca="1">IFERROR(INDEX('Proof cost'!$A:$AU,MATCH($C1233,'Proof cost'!$AU:$AU,0),9),"")</f>
        <v/>
      </c>
      <c r="E1233" s="3143" t="str">
        <f ca="1">IFERROR(INDEX('Proof cost'!$A:$AU,MATCH($C1233,'Proof cost'!$AU:$AU,0),45),"")</f>
        <v/>
      </c>
      <c r="G1233" s="3143" t="str">
        <f ca="1">IFERROR(INDEX('Proof cost'!$A:$AU,MATCH($C1233,'Proof cost'!$AU:$AU,0),10),"")</f>
        <v/>
      </c>
      <c r="I1233" s="3153" t="str">
        <f ca="1">IFERROR(INDEX('Proof cost'!$A:$AU,MATCH($C1233,'Proof cost'!$AU:$AU,0),20)/'Proof cost'!$I$2,"")</f>
        <v/>
      </c>
      <c r="J1233" s="3153" t="str">
        <f ca="1">IFERROR(INDEX('Proof cost'!$A:$AU,MATCH($C1233,'Proof cost'!$AU:$AU,0),20)/'Proof cost'!$I$2,"")</f>
        <v/>
      </c>
    </row>
    <row r="1234" spans="2:10" ht="21.75">
      <c r="B1234" s="3143" t="s">
        <v>2066</v>
      </c>
      <c r="C1234" s="3143">
        <f t="shared" si="22"/>
        <v>94</v>
      </c>
      <c r="D1234" s="3143" t="str">
        <f ca="1">IFERROR(INDEX('Proof cost'!$A:$AU,MATCH($C1234,'Proof cost'!$AU:$AU,0),9),"")</f>
        <v/>
      </c>
      <c r="E1234" s="3143" t="str">
        <f ca="1">IFERROR(INDEX('Proof cost'!$A:$AU,MATCH($C1234,'Proof cost'!$AU:$AU,0),45),"")</f>
        <v/>
      </c>
      <c r="G1234" s="3143" t="str">
        <f ca="1">IFERROR(INDEX('Proof cost'!$A:$AU,MATCH($C1234,'Proof cost'!$AU:$AU,0),10),"")</f>
        <v/>
      </c>
      <c r="I1234" s="3153" t="str">
        <f ca="1">IFERROR(INDEX('Proof cost'!$A:$AU,MATCH($C1234,'Proof cost'!$AU:$AU,0),20)/'Proof cost'!$I$2,"")</f>
        <v/>
      </c>
      <c r="J1234" s="3153" t="str">
        <f ca="1">IFERROR(INDEX('Proof cost'!$A:$AU,MATCH($C1234,'Proof cost'!$AU:$AU,0),20)/'Proof cost'!$I$2,"")</f>
        <v/>
      </c>
    </row>
    <row r="1235" spans="2:10" ht="21.75">
      <c r="B1235" s="3143" t="s">
        <v>2066</v>
      </c>
      <c r="C1235" s="3143">
        <f t="shared" si="22"/>
        <v>95</v>
      </c>
      <c r="D1235" s="3143" t="str">
        <f ca="1">IFERROR(INDEX('Proof cost'!$A:$AU,MATCH($C1235,'Proof cost'!$AU:$AU,0),9),"")</f>
        <v/>
      </c>
      <c r="E1235" s="3143" t="str">
        <f ca="1">IFERROR(INDEX('Proof cost'!$A:$AU,MATCH($C1235,'Proof cost'!$AU:$AU,0),45),"")</f>
        <v/>
      </c>
      <c r="G1235" s="3143" t="str">
        <f ca="1">IFERROR(INDEX('Proof cost'!$A:$AU,MATCH($C1235,'Proof cost'!$AU:$AU,0),10),"")</f>
        <v/>
      </c>
      <c r="I1235" s="3153" t="str">
        <f ca="1">IFERROR(INDEX('Proof cost'!$A:$AU,MATCH($C1235,'Proof cost'!$AU:$AU,0),20)/'Proof cost'!$I$2,"")</f>
        <v/>
      </c>
      <c r="J1235" s="3153" t="str">
        <f ca="1">IFERROR(INDEX('Proof cost'!$A:$AU,MATCH($C1235,'Proof cost'!$AU:$AU,0),20)/'Proof cost'!$I$2,"")</f>
        <v/>
      </c>
    </row>
    <row r="1236" spans="2:10" ht="21.75">
      <c r="B1236" s="3143" t="s">
        <v>2066</v>
      </c>
      <c r="C1236" s="3143">
        <f t="shared" si="22"/>
        <v>96</v>
      </c>
      <c r="D1236" s="3143" t="str">
        <f ca="1">IFERROR(INDEX('Proof cost'!$A:$AU,MATCH($C1236,'Proof cost'!$AU:$AU,0),9),"")</f>
        <v/>
      </c>
      <c r="E1236" s="3143" t="str">
        <f ca="1">IFERROR(INDEX('Proof cost'!$A:$AU,MATCH($C1236,'Proof cost'!$AU:$AU,0),45),"")</f>
        <v/>
      </c>
      <c r="G1236" s="3143" t="str">
        <f ca="1">IFERROR(INDEX('Proof cost'!$A:$AU,MATCH($C1236,'Proof cost'!$AU:$AU,0),10),"")</f>
        <v/>
      </c>
      <c r="I1236" s="3153" t="str">
        <f ca="1">IFERROR(INDEX('Proof cost'!$A:$AU,MATCH($C1236,'Proof cost'!$AU:$AU,0),20)/'Proof cost'!$I$2,"")</f>
        <v/>
      </c>
      <c r="J1236" s="3153" t="str">
        <f ca="1">IFERROR(INDEX('Proof cost'!$A:$AU,MATCH($C1236,'Proof cost'!$AU:$AU,0),20)/'Proof cost'!$I$2,"")</f>
        <v/>
      </c>
    </row>
    <row r="1237" spans="2:10" ht="21.75">
      <c r="B1237" s="3143" t="s">
        <v>2066</v>
      </c>
      <c r="C1237" s="3143">
        <f t="shared" si="22"/>
        <v>97</v>
      </c>
      <c r="D1237" s="3143" t="str">
        <f ca="1">IFERROR(INDEX('Proof cost'!$A:$AU,MATCH($C1237,'Proof cost'!$AU:$AU,0),9),"")</f>
        <v/>
      </c>
      <c r="E1237" s="3143" t="str">
        <f ca="1">IFERROR(INDEX('Proof cost'!$A:$AU,MATCH($C1237,'Proof cost'!$AU:$AU,0),45),"")</f>
        <v/>
      </c>
      <c r="G1237" s="3143" t="str">
        <f ca="1">IFERROR(INDEX('Proof cost'!$A:$AU,MATCH($C1237,'Proof cost'!$AU:$AU,0),10),"")</f>
        <v/>
      </c>
      <c r="I1237" s="3153" t="str">
        <f ca="1">IFERROR(INDEX('Proof cost'!$A:$AU,MATCH($C1237,'Proof cost'!$AU:$AU,0),20)/'Proof cost'!$I$2,"")</f>
        <v/>
      </c>
      <c r="J1237" s="3153" t="str">
        <f ca="1">IFERROR(INDEX('Proof cost'!$A:$AU,MATCH($C1237,'Proof cost'!$AU:$AU,0),20)/'Proof cost'!$I$2,"")</f>
        <v/>
      </c>
    </row>
    <row r="1238" spans="2:10" ht="21.75">
      <c r="B1238" s="3143" t="s">
        <v>2066</v>
      </c>
      <c r="C1238" s="3143">
        <f t="shared" si="22"/>
        <v>98</v>
      </c>
      <c r="D1238" s="3143" t="str">
        <f ca="1">IFERROR(INDEX('Proof cost'!$A:$AU,MATCH($C1238,'Proof cost'!$AU:$AU,0),9),"")</f>
        <v/>
      </c>
      <c r="E1238" s="3143" t="str">
        <f ca="1">IFERROR(INDEX('Proof cost'!$A:$AU,MATCH($C1238,'Proof cost'!$AU:$AU,0),45),"")</f>
        <v/>
      </c>
      <c r="G1238" s="3143" t="str">
        <f ca="1">IFERROR(INDEX('Proof cost'!$A:$AU,MATCH($C1238,'Proof cost'!$AU:$AU,0),10),"")</f>
        <v/>
      </c>
      <c r="I1238" s="3153" t="str">
        <f ca="1">IFERROR(INDEX('Proof cost'!$A:$AU,MATCH($C1238,'Proof cost'!$AU:$AU,0),20)/'Proof cost'!$I$2,"")</f>
        <v/>
      </c>
      <c r="J1238" s="3153" t="str">
        <f ca="1">IFERROR(INDEX('Proof cost'!$A:$AU,MATCH($C1238,'Proof cost'!$AU:$AU,0),20)/'Proof cost'!$I$2,"")</f>
        <v/>
      </c>
    </row>
    <row r="1239" spans="2:10" ht="21.75">
      <c r="B1239" s="3143" t="s">
        <v>2066</v>
      </c>
      <c r="C1239" s="3143">
        <f t="shared" si="22"/>
        <v>99</v>
      </c>
      <c r="D1239" s="3143" t="str">
        <f ca="1">IFERROR(INDEX('Proof cost'!$A:$AU,MATCH($C1239,'Proof cost'!$AU:$AU,0),9),"")</f>
        <v/>
      </c>
      <c r="E1239" s="3143" t="str">
        <f ca="1">IFERROR(INDEX('Proof cost'!$A:$AU,MATCH($C1239,'Proof cost'!$AU:$AU,0),45),"")</f>
        <v/>
      </c>
      <c r="G1239" s="3143" t="str">
        <f ca="1">IFERROR(INDEX('Proof cost'!$A:$AU,MATCH($C1239,'Proof cost'!$AU:$AU,0),10),"")</f>
        <v/>
      </c>
      <c r="I1239" s="3153" t="str">
        <f ca="1">IFERROR(INDEX('Proof cost'!$A:$AU,MATCH($C1239,'Proof cost'!$AU:$AU,0),20)/'Proof cost'!$I$2,"")</f>
        <v/>
      </c>
      <c r="J1239" s="3153" t="str">
        <f ca="1">IFERROR(INDEX('Proof cost'!$A:$AU,MATCH($C1239,'Proof cost'!$AU:$AU,0),20)/'Proof cost'!$I$2,"")</f>
        <v/>
      </c>
    </row>
    <row r="1240" spans="2:10" ht="21.75">
      <c r="B1240" s="3143" t="s">
        <v>2066</v>
      </c>
      <c r="C1240" s="3143">
        <f t="shared" si="22"/>
        <v>100</v>
      </c>
      <c r="D1240" s="3143" t="str">
        <f ca="1">IFERROR(INDEX('Proof cost'!$A:$AU,MATCH($C1240,'Proof cost'!$AU:$AU,0),9),"")</f>
        <v/>
      </c>
      <c r="E1240" s="3143" t="str">
        <f ca="1">IFERROR(INDEX('Proof cost'!$A:$AU,MATCH($C1240,'Proof cost'!$AU:$AU,0),45),"")</f>
        <v/>
      </c>
      <c r="G1240" s="3143" t="str">
        <f ca="1">IFERROR(INDEX('Proof cost'!$A:$AU,MATCH($C1240,'Proof cost'!$AU:$AU,0),10),"")</f>
        <v/>
      </c>
      <c r="I1240" s="3153" t="str">
        <f ca="1">IFERROR(INDEX('Proof cost'!$A:$AU,MATCH($C1240,'Proof cost'!$AU:$AU,0),20)/'Proof cost'!$I$2,"")</f>
        <v/>
      </c>
      <c r="J1240" s="3153" t="str">
        <f ca="1">IFERROR(INDEX('Proof cost'!$A:$AU,MATCH($C1240,'Proof cost'!$AU:$AU,0),20)/'Proof cost'!$I$2,"")</f>
        <v/>
      </c>
    </row>
    <row r="1241" spans="2:10" ht="21.75">
      <c r="B1241" s="3143" t="s">
        <v>2066</v>
      </c>
      <c r="C1241" s="3143">
        <f t="shared" si="22"/>
        <v>101</v>
      </c>
      <c r="D1241" s="3143" t="str">
        <f ca="1">IFERROR(INDEX('Proof cost'!$A:$AU,MATCH($C1241,'Proof cost'!$AU:$AU,0),9),"")</f>
        <v/>
      </c>
      <c r="E1241" s="3143" t="str">
        <f ca="1">IFERROR(INDEX('Proof cost'!$A:$AU,MATCH($C1241,'Proof cost'!$AU:$AU,0),45),"")</f>
        <v/>
      </c>
      <c r="G1241" s="3143" t="str">
        <f ca="1">IFERROR(INDEX('Proof cost'!$A:$AU,MATCH($C1241,'Proof cost'!$AU:$AU,0),10),"")</f>
        <v/>
      </c>
      <c r="I1241" s="3153" t="str">
        <f ca="1">IFERROR(INDEX('Proof cost'!$A:$AU,MATCH($C1241,'Proof cost'!$AU:$AU,0),20)/'Proof cost'!$I$2,"")</f>
        <v/>
      </c>
      <c r="J1241" s="3153" t="str">
        <f ca="1">IFERROR(INDEX('Proof cost'!$A:$AU,MATCH($C1241,'Proof cost'!$AU:$AU,0),20)/'Proof cost'!$I$2,"")</f>
        <v/>
      </c>
    </row>
    <row r="1242" spans="2:10" ht="21.75">
      <c r="B1242" s="3143" t="s">
        <v>2066</v>
      </c>
      <c r="C1242" s="3143">
        <f t="shared" si="22"/>
        <v>102</v>
      </c>
      <c r="D1242" s="3143" t="str">
        <f ca="1">IFERROR(INDEX('Proof cost'!$A:$AU,MATCH($C1242,'Proof cost'!$AU:$AU,0),9),"")</f>
        <v/>
      </c>
      <c r="E1242" s="3143" t="str">
        <f ca="1">IFERROR(INDEX('Proof cost'!$A:$AU,MATCH($C1242,'Proof cost'!$AU:$AU,0),45),"")</f>
        <v/>
      </c>
      <c r="G1242" s="3143" t="str">
        <f ca="1">IFERROR(INDEX('Proof cost'!$A:$AU,MATCH($C1242,'Proof cost'!$AU:$AU,0),10),"")</f>
        <v/>
      </c>
      <c r="I1242" s="3153" t="str">
        <f ca="1">IFERROR(INDEX('Proof cost'!$A:$AU,MATCH($C1242,'Proof cost'!$AU:$AU,0),20)/'Proof cost'!$I$2,"")</f>
        <v/>
      </c>
      <c r="J1242" s="3153" t="str">
        <f ca="1">IFERROR(INDEX('Proof cost'!$A:$AU,MATCH($C1242,'Proof cost'!$AU:$AU,0),20)/'Proof cost'!$I$2,"")</f>
        <v/>
      </c>
    </row>
    <row r="1243" spans="2:10" ht="21.75">
      <c r="B1243" s="3143" t="s">
        <v>2066</v>
      </c>
      <c r="C1243" s="3143">
        <f t="shared" si="22"/>
        <v>103</v>
      </c>
      <c r="D1243" s="3143" t="str">
        <f ca="1">IFERROR(INDEX('Proof cost'!$A:$AU,MATCH($C1243,'Proof cost'!$AU:$AU,0),9),"")</f>
        <v/>
      </c>
      <c r="E1243" s="3143" t="str">
        <f ca="1">IFERROR(INDEX('Proof cost'!$A:$AU,MATCH($C1243,'Proof cost'!$AU:$AU,0),45),"")</f>
        <v/>
      </c>
      <c r="G1243" s="3143" t="str">
        <f ca="1">IFERROR(INDEX('Proof cost'!$A:$AU,MATCH($C1243,'Proof cost'!$AU:$AU,0),10),"")</f>
        <v/>
      </c>
      <c r="I1243" s="3153" t="str">
        <f ca="1">IFERROR(INDEX('Proof cost'!$A:$AU,MATCH($C1243,'Proof cost'!$AU:$AU,0),20)/'Proof cost'!$I$2,"")</f>
        <v/>
      </c>
      <c r="J1243" s="3153" t="str">
        <f ca="1">IFERROR(INDEX('Proof cost'!$A:$AU,MATCH($C1243,'Proof cost'!$AU:$AU,0),20)/'Proof cost'!$I$2,"")</f>
        <v/>
      </c>
    </row>
    <row r="1244" spans="2:10" ht="21.75">
      <c r="B1244" s="3143" t="s">
        <v>2066</v>
      </c>
      <c r="C1244" s="3143">
        <f t="shared" si="22"/>
        <v>104</v>
      </c>
      <c r="D1244" s="3143" t="str">
        <f ca="1">IFERROR(INDEX('Proof cost'!$A:$AU,MATCH($C1244,'Proof cost'!$AU:$AU,0),9),"")</f>
        <v/>
      </c>
      <c r="E1244" s="3143" t="str">
        <f ca="1">IFERROR(INDEX('Proof cost'!$A:$AU,MATCH($C1244,'Proof cost'!$AU:$AU,0),45),"")</f>
        <v/>
      </c>
      <c r="G1244" s="3143" t="str">
        <f ca="1">IFERROR(INDEX('Proof cost'!$A:$AU,MATCH($C1244,'Proof cost'!$AU:$AU,0),10),"")</f>
        <v/>
      </c>
      <c r="I1244" s="3153" t="str">
        <f ca="1">IFERROR(INDEX('Proof cost'!$A:$AU,MATCH($C1244,'Proof cost'!$AU:$AU,0),20)/'Proof cost'!$I$2,"")</f>
        <v/>
      </c>
      <c r="J1244" s="3153" t="str">
        <f ca="1">IFERROR(INDEX('Proof cost'!$A:$AU,MATCH($C1244,'Proof cost'!$AU:$AU,0),20)/'Proof cost'!$I$2,"")</f>
        <v/>
      </c>
    </row>
    <row r="1245" spans="2:10" ht="21.75">
      <c r="B1245" s="3143" t="s">
        <v>2066</v>
      </c>
      <c r="C1245" s="3143">
        <f t="shared" si="22"/>
        <v>105</v>
      </c>
      <c r="D1245" s="3143" t="str">
        <f ca="1">IFERROR(INDEX('Proof cost'!$A:$AU,MATCH($C1245,'Proof cost'!$AU:$AU,0),9),"")</f>
        <v/>
      </c>
      <c r="E1245" s="3143" t="str">
        <f ca="1">IFERROR(INDEX('Proof cost'!$A:$AU,MATCH($C1245,'Proof cost'!$AU:$AU,0),45),"")</f>
        <v/>
      </c>
      <c r="G1245" s="3143" t="str">
        <f ca="1">IFERROR(INDEX('Proof cost'!$A:$AU,MATCH($C1245,'Proof cost'!$AU:$AU,0),10),"")</f>
        <v/>
      </c>
      <c r="I1245" s="3153" t="str">
        <f ca="1">IFERROR(INDEX('Proof cost'!$A:$AU,MATCH($C1245,'Proof cost'!$AU:$AU,0),20)/'Proof cost'!$I$2,"")</f>
        <v/>
      </c>
      <c r="J1245" s="3153" t="str">
        <f ca="1">IFERROR(INDEX('Proof cost'!$A:$AU,MATCH($C1245,'Proof cost'!$AU:$AU,0),20)/'Proof cost'!$I$2,"")</f>
        <v/>
      </c>
    </row>
    <row r="1246" spans="2:10" ht="21.75">
      <c r="B1246" s="3143" t="s">
        <v>2066</v>
      </c>
      <c r="C1246" s="3143">
        <f t="shared" si="22"/>
        <v>106</v>
      </c>
      <c r="D1246" s="3143" t="str">
        <f ca="1">IFERROR(INDEX('Proof cost'!$A:$AU,MATCH($C1246,'Proof cost'!$AU:$AU,0),9),"")</f>
        <v/>
      </c>
      <c r="E1246" s="3143" t="str">
        <f ca="1">IFERROR(INDEX('Proof cost'!$A:$AU,MATCH($C1246,'Proof cost'!$AU:$AU,0),45),"")</f>
        <v/>
      </c>
      <c r="G1246" s="3143" t="str">
        <f ca="1">IFERROR(INDEX('Proof cost'!$A:$AU,MATCH($C1246,'Proof cost'!$AU:$AU,0),10),"")</f>
        <v/>
      </c>
      <c r="I1246" s="3153" t="str">
        <f ca="1">IFERROR(INDEX('Proof cost'!$A:$AU,MATCH($C1246,'Proof cost'!$AU:$AU,0),20)/'Proof cost'!$I$2,"")</f>
        <v/>
      </c>
      <c r="J1246" s="3153" t="str">
        <f ca="1">IFERROR(INDEX('Proof cost'!$A:$AU,MATCH($C1246,'Proof cost'!$AU:$AU,0),20)/'Proof cost'!$I$2,"")</f>
        <v/>
      </c>
    </row>
    <row r="1247" spans="2:10" ht="21.75">
      <c r="B1247" s="3143" t="s">
        <v>2066</v>
      </c>
      <c r="C1247" s="3143">
        <f t="shared" si="22"/>
        <v>107</v>
      </c>
      <c r="D1247" s="3143" t="str">
        <f ca="1">IFERROR(INDEX('Proof cost'!$A:$AU,MATCH($C1247,'Proof cost'!$AU:$AU,0),9),"")</f>
        <v/>
      </c>
      <c r="E1247" s="3143" t="str">
        <f ca="1">IFERROR(INDEX('Proof cost'!$A:$AU,MATCH($C1247,'Proof cost'!$AU:$AU,0),45),"")</f>
        <v/>
      </c>
      <c r="G1247" s="3143" t="str">
        <f ca="1">IFERROR(INDEX('Proof cost'!$A:$AU,MATCH($C1247,'Proof cost'!$AU:$AU,0),10),"")</f>
        <v/>
      </c>
      <c r="I1247" s="3153" t="str">
        <f ca="1">IFERROR(INDEX('Proof cost'!$A:$AU,MATCH($C1247,'Proof cost'!$AU:$AU,0),20)/'Proof cost'!$I$2,"")</f>
        <v/>
      </c>
      <c r="J1247" s="3153" t="str">
        <f ca="1">IFERROR(INDEX('Proof cost'!$A:$AU,MATCH($C1247,'Proof cost'!$AU:$AU,0),20)/'Proof cost'!$I$2,"")</f>
        <v/>
      </c>
    </row>
    <row r="1248" spans="2:10" ht="21.75">
      <c r="B1248" s="3143" t="s">
        <v>2066</v>
      </c>
      <c r="C1248" s="3143">
        <f t="shared" si="22"/>
        <v>108</v>
      </c>
      <c r="D1248" s="3143" t="str">
        <f ca="1">IFERROR(INDEX('Proof cost'!$A:$AU,MATCH($C1248,'Proof cost'!$AU:$AU,0),9),"")</f>
        <v/>
      </c>
      <c r="E1248" s="3143" t="str">
        <f ca="1">IFERROR(INDEX('Proof cost'!$A:$AU,MATCH($C1248,'Proof cost'!$AU:$AU,0),45),"")</f>
        <v/>
      </c>
      <c r="G1248" s="3143" t="str">
        <f ca="1">IFERROR(INDEX('Proof cost'!$A:$AU,MATCH($C1248,'Proof cost'!$AU:$AU,0),10),"")</f>
        <v/>
      </c>
      <c r="I1248" s="3153" t="str">
        <f ca="1">IFERROR(INDEX('Proof cost'!$A:$AU,MATCH($C1248,'Proof cost'!$AU:$AU,0),20)/'Proof cost'!$I$2,"")</f>
        <v/>
      </c>
      <c r="J1248" s="3153" t="str">
        <f ca="1">IFERROR(INDEX('Proof cost'!$A:$AU,MATCH($C1248,'Proof cost'!$AU:$AU,0),20)/'Proof cost'!$I$2,"")</f>
        <v/>
      </c>
    </row>
    <row r="1249" spans="2:10" ht="21.75">
      <c r="B1249" s="3143" t="s">
        <v>2066</v>
      </c>
      <c r="C1249" s="3143">
        <f t="shared" si="22"/>
        <v>109</v>
      </c>
      <c r="D1249" s="3143" t="str">
        <f ca="1">IFERROR(INDEX('Proof cost'!$A:$AU,MATCH($C1249,'Proof cost'!$AU:$AU,0),9),"")</f>
        <v/>
      </c>
      <c r="E1249" s="3143" t="str">
        <f ca="1">IFERROR(INDEX('Proof cost'!$A:$AU,MATCH($C1249,'Proof cost'!$AU:$AU,0),45),"")</f>
        <v/>
      </c>
      <c r="G1249" s="3143" t="str">
        <f ca="1">IFERROR(INDEX('Proof cost'!$A:$AU,MATCH($C1249,'Proof cost'!$AU:$AU,0),10),"")</f>
        <v/>
      </c>
      <c r="I1249" s="3153" t="str">
        <f ca="1">IFERROR(INDEX('Proof cost'!$A:$AU,MATCH($C1249,'Proof cost'!$AU:$AU,0),20)/'Proof cost'!$I$2,"")</f>
        <v/>
      </c>
      <c r="J1249" s="3153" t="str">
        <f ca="1">IFERROR(INDEX('Proof cost'!$A:$AU,MATCH($C1249,'Proof cost'!$AU:$AU,0),20)/'Proof cost'!$I$2,"")</f>
        <v/>
      </c>
    </row>
    <row r="1250" spans="2:10" ht="21.75">
      <c r="B1250" s="3143" t="s">
        <v>2066</v>
      </c>
      <c r="C1250" s="3143">
        <f t="shared" si="22"/>
        <v>110</v>
      </c>
      <c r="D1250" s="3143" t="str">
        <f ca="1">IFERROR(INDEX('Proof cost'!$A:$AU,MATCH($C1250,'Proof cost'!$AU:$AU,0),9),"")</f>
        <v/>
      </c>
      <c r="E1250" s="3143" t="str">
        <f ca="1">IFERROR(INDEX('Proof cost'!$A:$AU,MATCH($C1250,'Proof cost'!$AU:$AU,0),45),"")</f>
        <v/>
      </c>
      <c r="G1250" s="3143" t="str">
        <f ca="1">IFERROR(INDEX('Proof cost'!$A:$AU,MATCH($C1250,'Proof cost'!$AU:$AU,0),10),"")</f>
        <v/>
      </c>
      <c r="I1250" s="3153" t="str">
        <f ca="1">IFERROR(INDEX('Proof cost'!$A:$AU,MATCH($C1250,'Proof cost'!$AU:$AU,0),20)/'Proof cost'!$I$2,"")</f>
        <v/>
      </c>
      <c r="J1250" s="3153" t="str">
        <f ca="1">IFERROR(INDEX('Proof cost'!$A:$AU,MATCH($C1250,'Proof cost'!$AU:$AU,0),20)/'Proof cost'!$I$2,"")</f>
        <v/>
      </c>
    </row>
    <row r="1251" spans="2:10" ht="21.75">
      <c r="B1251" s="3143" t="s">
        <v>2066</v>
      </c>
      <c r="C1251" s="3143">
        <f t="shared" si="22"/>
        <v>111</v>
      </c>
      <c r="D1251" s="3143" t="str">
        <f ca="1">IFERROR(INDEX('Proof cost'!$A:$AU,MATCH($C1251,'Proof cost'!$AU:$AU,0),9),"")</f>
        <v/>
      </c>
      <c r="E1251" s="3143" t="str">
        <f ca="1">IFERROR(INDEX('Proof cost'!$A:$AU,MATCH($C1251,'Proof cost'!$AU:$AU,0),45),"")</f>
        <v/>
      </c>
      <c r="G1251" s="3143" t="str">
        <f ca="1">IFERROR(INDEX('Proof cost'!$A:$AU,MATCH($C1251,'Proof cost'!$AU:$AU,0),10),"")</f>
        <v/>
      </c>
      <c r="I1251" s="3153" t="str">
        <f ca="1">IFERROR(INDEX('Proof cost'!$A:$AU,MATCH($C1251,'Proof cost'!$AU:$AU,0),20)/'Proof cost'!$I$2,"")</f>
        <v/>
      </c>
      <c r="J1251" s="3153" t="str">
        <f ca="1">IFERROR(INDEX('Proof cost'!$A:$AU,MATCH($C1251,'Proof cost'!$AU:$AU,0),20)/'Proof cost'!$I$2,"")</f>
        <v/>
      </c>
    </row>
    <row r="1252" spans="2:10" ht="21.75">
      <c r="B1252" s="3143" t="s">
        <v>2066</v>
      </c>
      <c r="C1252" s="3143">
        <f t="shared" si="22"/>
        <v>112</v>
      </c>
      <c r="D1252" s="3143" t="str">
        <f ca="1">IFERROR(INDEX('Proof cost'!$A:$AU,MATCH($C1252,'Proof cost'!$AU:$AU,0),9),"")</f>
        <v/>
      </c>
      <c r="E1252" s="3143" t="str">
        <f ca="1">IFERROR(INDEX('Proof cost'!$A:$AU,MATCH($C1252,'Proof cost'!$AU:$AU,0),45),"")</f>
        <v/>
      </c>
      <c r="G1252" s="3143" t="str">
        <f ca="1">IFERROR(INDEX('Proof cost'!$A:$AU,MATCH($C1252,'Proof cost'!$AU:$AU,0),10),"")</f>
        <v/>
      </c>
      <c r="I1252" s="3153" t="str">
        <f ca="1">IFERROR(INDEX('Proof cost'!$A:$AU,MATCH($C1252,'Proof cost'!$AU:$AU,0),20)/'Proof cost'!$I$2,"")</f>
        <v/>
      </c>
      <c r="J1252" s="3153" t="str">
        <f ca="1">IFERROR(INDEX('Proof cost'!$A:$AU,MATCH($C1252,'Proof cost'!$AU:$AU,0),20)/'Proof cost'!$I$2,"")</f>
        <v/>
      </c>
    </row>
    <row r="1253" spans="2:10" ht="21.75">
      <c r="B1253" s="3143" t="s">
        <v>2066</v>
      </c>
      <c r="C1253" s="3143">
        <f t="shared" si="22"/>
        <v>113</v>
      </c>
      <c r="D1253" s="3143" t="str">
        <f ca="1">IFERROR(INDEX('Proof cost'!$A:$AU,MATCH($C1253,'Proof cost'!$AU:$AU,0),9),"")</f>
        <v/>
      </c>
      <c r="E1253" s="3143" t="str">
        <f ca="1">IFERROR(INDEX('Proof cost'!$A:$AU,MATCH($C1253,'Proof cost'!$AU:$AU,0),45),"")</f>
        <v/>
      </c>
      <c r="G1253" s="3143" t="str">
        <f ca="1">IFERROR(INDEX('Proof cost'!$A:$AU,MATCH($C1253,'Proof cost'!$AU:$AU,0),10),"")</f>
        <v/>
      </c>
      <c r="I1253" s="3153" t="str">
        <f ca="1">IFERROR(INDEX('Proof cost'!$A:$AU,MATCH($C1253,'Proof cost'!$AU:$AU,0),20)/'Proof cost'!$I$2,"")</f>
        <v/>
      </c>
      <c r="J1253" s="3153" t="str">
        <f ca="1">IFERROR(INDEX('Proof cost'!$A:$AU,MATCH($C1253,'Proof cost'!$AU:$AU,0),20)/'Proof cost'!$I$2,"")</f>
        <v/>
      </c>
    </row>
    <row r="1254" spans="2:10" ht="21.75">
      <c r="B1254" s="3143" t="s">
        <v>2066</v>
      </c>
      <c r="C1254" s="3143">
        <f t="shared" si="22"/>
        <v>114</v>
      </c>
      <c r="D1254" s="3143" t="str">
        <f ca="1">IFERROR(INDEX('Proof cost'!$A:$AU,MATCH($C1254,'Proof cost'!$AU:$AU,0),9),"")</f>
        <v/>
      </c>
      <c r="E1254" s="3143" t="str">
        <f ca="1">IFERROR(INDEX('Proof cost'!$A:$AU,MATCH($C1254,'Proof cost'!$AU:$AU,0),45),"")</f>
        <v/>
      </c>
      <c r="G1254" s="3143" t="str">
        <f ca="1">IFERROR(INDEX('Proof cost'!$A:$AU,MATCH($C1254,'Proof cost'!$AU:$AU,0),10),"")</f>
        <v/>
      </c>
      <c r="I1254" s="3153" t="str">
        <f ca="1">IFERROR(INDEX('Proof cost'!$A:$AU,MATCH($C1254,'Proof cost'!$AU:$AU,0),20)/'Proof cost'!$I$2,"")</f>
        <v/>
      </c>
      <c r="J1254" s="3153" t="str">
        <f ca="1">IFERROR(INDEX('Proof cost'!$A:$AU,MATCH($C1254,'Proof cost'!$AU:$AU,0),20)/'Proof cost'!$I$2,"")</f>
        <v/>
      </c>
    </row>
    <row r="1255" spans="2:10" ht="21.75">
      <c r="B1255" s="3143" t="s">
        <v>2066</v>
      </c>
      <c r="C1255" s="3143">
        <f t="shared" si="22"/>
        <v>115</v>
      </c>
      <c r="D1255" s="3143" t="str">
        <f ca="1">IFERROR(INDEX('Proof cost'!$A:$AU,MATCH($C1255,'Proof cost'!$AU:$AU,0),9),"")</f>
        <v/>
      </c>
      <c r="E1255" s="3143" t="str">
        <f ca="1">IFERROR(INDEX('Proof cost'!$A:$AU,MATCH($C1255,'Proof cost'!$AU:$AU,0),45),"")</f>
        <v/>
      </c>
      <c r="G1255" s="3143" t="str">
        <f ca="1">IFERROR(INDEX('Proof cost'!$A:$AU,MATCH($C1255,'Proof cost'!$AU:$AU,0),10),"")</f>
        <v/>
      </c>
      <c r="I1255" s="3153" t="str">
        <f ca="1">IFERROR(INDEX('Proof cost'!$A:$AU,MATCH($C1255,'Proof cost'!$AU:$AU,0),20)/'Proof cost'!$I$2,"")</f>
        <v/>
      </c>
      <c r="J1255" s="3153" t="str">
        <f ca="1">IFERROR(INDEX('Proof cost'!$A:$AU,MATCH($C1255,'Proof cost'!$AU:$AU,0),20)/'Proof cost'!$I$2,"")</f>
        <v/>
      </c>
    </row>
    <row r="1256" spans="2:10" ht="21.75">
      <c r="B1256" s="3143" t="s">
        <v>2066</v>
      </c>
      <c r="C1256" s="3143">
        <f t="shared" si="22"/>
        <v>116</v>
      </c>
      <c r="D1256" s="3143" t="str">
        <f ca="1">IFERROR(INDEX('Proof cost'!$A:$AU,MATCH($C1256,'Proof cost'!$AU:$AU,0),9),"")</f>
        <v/>
      </c>
      <c r="E1256" s="3143" t="str">
        <f ca="1">IFERROR(INDEX('Proof cost'!$A:$AU,MATCH($C1256,'Proof cost'!$AU:$AU,0),45),"")</f>
        <v/>
      </c>
      <c r="G1256" s="3143" t="str">
        <f ca="1">IFERROR(INDEX('Proof cost'!$A:$AU,MATCH($C1256,'Proof cost'!$AU:$AU,0),10),"")</f>
        <v/>
      </c>
      <c r="I1256" s="3153" t="str">
        <f ca="1">IFERROR(INDEX('Proof cost'!$A:$AU,MATCH($C1256,'Proof cost'!$AU:$AU,0),20)/'Proof cost'!$I$2,"")</f>
        <v/>
      </c>
      <c r="J1256" s="3153" t="str">
        <f ca="1">IFERROR(INDEX('Proof cost'!$A:$AU,MATCH($C1256,'Proof cost'!$AU:$AU,0),20)/'Proof cost'!$I$2,"")</f>
        <v/>
      </c>
    </row>
    <row r="1257" spans="2:10" ht="21.75">
      <c r="B1257" s="3143" t="s">
        <v>2066</v>
      </c>
      <c r="C1257" s="3143">
        <f t="shared" si="22"/>
        <v>117</v>
      </c>
      <c r="D1257" s="3143" t="str">
        <f ca="1">IFERROR(INDEX('Proof cost'!$A:$AU,MATCH($C1257,'Proof cost'!$AU:$AU,0),9),"")</f>
        <v/>
      </c>
      <c r="E1257" s="3143" t="str">
        <f ca="1">IFERROR(INDEX('Proof cost'!$A:$AU,MATCH($C1257,'Proof cost'!$AU:$AU,0),45),"")</f>
        <v/>
      </c>
      <c r="G1257" s="3143" t="str">
        <f ca="1">IFERROR(INDEX('Proof cost'!$A:$AU,MATCH($C1257,'Proof cost'!$AU:$AU,0),10),"")</f>
        <v/>
      </c>
      <c r="I1257" s="3153" t="str">
        <f ca="1">IFERROR(INDEX('Proof cost'!$A:$AU,MATCH($C1257,'Proof cost'!$AU:$AU,0),20)/'Proof cost'!$I$2,"")</f>
        <v/>
      </c>
      <c r="J1257" s="3153" t="str">
        <f ca="1">IFERROR(INDEX('Proof cost'!$A:$AU,MATCH($C1257,'Proof cost'!$AU:$AU,0),20)/'Proof cost'!$I$2,"")</f>
        <v/>
      </c>
    </row>
    <row r="1258" spans="2:10" ht="21.75">
      <c r="B1258" s="3143" t="s">
        <v>2066</v>
      </c>
      <c r="C1258" s="3143">
        <f t="shared" si="22"/>
        <v>118</v>
      </c>
      <c r="D1258" s="3143" t="str">
        <f ca="1">IFERROR(INDEX('Proof cost'!$A:$AU,MATCH($C1258,'Proof cost'!$AU:$AU,0),9),"")</f>
        <v/>
      </c>
      <c r="E1258" s="3143" t="str">
        <f ca="1">IFERROR(INDEX('Proof cost'!$A:$AU,MATCH($C1258,'Proof cost'!$AU:$AU,0),45),"")</f>
        <v/>
      </c>
      <c r="G1258" s="3143" t="str">
        <f ca="1">IFERROR(INDEX('Proof cost'!$A:$AU,MATCH($C1258,'Proof cost'!$AU:$AU,0),10),"")</f>
        <v/>
      </c>
      <c r="I1258" s="3153" t="str">
        <f ca="1">IFERROR(INDEX('Proof cost'!$A:$AU,MATCH($C1258,'Proof cost'!$AU:$AU,0),20)/'Proof cost'!$I$2,"")</f>
        <v/>
      </c>
      <c r="J1258" s="3153" t="str">
        <f ca="1">IFERROR(INDEX('Proof cost'!$A:$AU,MATCH($C1258,'Proof cost'!$AU:$AU,0),20)/'Proof cost'!$I$2,"")</f>
        <v/>
      </c>
    </row>
    <row r="1259" spans="2:10" ht="21.75">
      <c r="B1259" s="3143" t="s">
        <v>2066</v>
      </c>
      <c r="C1259" s="3143">
        <f t="shared" si="22"/>
        <v>119</v>
      </c>
      <c r="D1259" s="3143" t="str">
        <f ca="1">IFERROR(INDEX('Proof cost'!$A:$AU,MATCH($C1259,'Proof cost'!$AU:$AU,0),9),"")</f>
        <v/>
      </c>
      <c r="E1259" s="3143" t="str">
        <f ca="1">IFERROR(INDEX('Proof cost'!$A:$AU,MATCH($C1259,'Proof cost'!$AU:$AU,0),45),"")</f>
        <v/>
      </c>
      <c r="G1259" s="3143" t="str">
        <f ca="1">IFERROR(INDEX('Proof cost'!$A:$AU,MATCH($C1259,'Proof cost'!$AU:$AU,0),10),"")</f>
        <v/>
      </c>
      <c r="I1259" s="3153" t="str">
        <f ca="1">IFERROR(INDEX('Proof cost'!$A:$AU,MATCH($C1259,'Proof cost'!$AU:$AU,0),20)/'Proof cost'!$I$2,"")</f>
        <v/>
      </c>
      <c r="J1259" s="3153" t="str">
        <f ca="1">IFERROR(INDEX('Proof cost'!$A:$AU,MATCH($C1259,'Proof cost'!$AU:$AU,0),20)/'Proof cost'!$I$2,"")</f>
        <v/>
      </c>
    </row>
    <row r="1260" spans="2:10" ht="21.75">
      <c r="B1260" s="3143" t="s">
        <v>2066</v>
      </c>
      <c r="C1260" s="3143">
        <f t="shared" si="22"/>
        <v>120</v>
      </c>
      <c r="D1260" s="3143" t="str">
        <f ca="1">IFERROR(INDEX('Proof cost'!$A:$AU,MATCH($C1260,'Proof cost'!$AU:$AU,0),9),"")</f>
        <v/>
      </c>
      <c r="E1260" s="3143" t="str">
        <f ca="1">IFERROR(INDEX('Proof cost'!$A:$AU,MATCH($C1260,'Proof cost'!$AU:$AU,0),45),"")</f>
        <v/>
      </c>
      <c r="G1260" s="3143" t="str">
        <f ca="1">IFERROR(INDEX('Proof cost'!$A:$AU,MATCH($C1260,'Proof cost'!$AU:$AU,0),10),"")</f>
        <v/>
      </c>
      <c r="I1260" s="3153" t="str">
        <f ca="1">IFERROR(INDEX('Proof cost'!$A:$AU,MATCH($C1260,'Proof cost'!$AU:$AU,0),20)/'Proof cost'!$I$2,"")</f>
        <v/>
      </c>
      <c r="J1260" s="3153" t="str">
        <f ca="1">IFERROR(INDEX('Proof cost'!$A:$AU,MATCH($C1260,'Proof cost'!$AU:$AU,0),20)/'Proof cost'!$I$2,"")</f>
        <v/>
      </c>
    </row>
    <row r="1261" spans="2:10" ht="21.75">
      <c r="B1261" s="3143" t="s">
        <v>2066</v>
      </c>
      <c r="C1261" s="3143">
        <f t="shared" si="22"/>
        <v>121</v>
      </c>
      <c r="D1261" s="3143" t="str">
        <f ca="1">IFERROR(INDEX('Proof cost'!$A:$AU,MATCH($C1261,'Proof cost'!$AU:$AU,0),9),"")</f>
        <v/>
      </c>
      <c r="E1261" s="3143" t="str">
        <f ca="1">IFERROR(INDEX('Proof cost'!$A:$AU,MATCH($C1261,'Proof cost'!$AU:$AU,0),45),"")</f>
        <v/>
      </c>
      <c r="G1261" s="3143" t="str">
        <f ca="1">IFERROR(INDEX('Proof cost'!$A:$AU,MATCH($C1261,'Proof cost'!$AU:$AU,0),10),"")</f>
        <v/>
      </c>
      <c r="I1261" s="3153" t="str">
        <f ca="1">IFERROR(INDEX('Proof cost'!$A:$AU,MATCH($C1261,'Proof cost'!$AU:$AU,0),20)/'Proof cost'!$I$2,"")</f>
        <v/>
      </c>
      <c r="J1261" s="3153" t="str">
        <f ca="1">IFERROR(INDEX('Proof cost'!$A:$AU,MATCH($C1261,'Proof cost'!$AU:$AU,0),20)/'Proof cost'!$I$2,"")</f>
        <v/>
      </c>
    </row>
    <row r="1262" spans="2:10" ht="21.75">
      <c r="B1262" s="3143" t="s">
        <v>2066</v>
      </c>
      <c r="C1262" s="3143">
        <f t="shared" si="22"/>
        <v>122</v>
      </c>
      <c r="D1262" s="3143" t="str">
        <f ca="1">IFERROR(INDEX('Proof cost'!$A:$AU,MATCH($C1262,'Proof cost'!$AU:$AU,0),9),"")</f>
        <v/>
      </c>
      <c r="E1262" s="3143" t="str">
        <f ca="1">IFERROR(INDEX('Proof cost'!$A:$AU,MATCH($C1262,'Proof cost'!$AU:$AU,0),45),"")</f>
        <v/>
      </c>
      <c r="G1262" s="3143" t="str">
        <f ca="1">IFERROR(INDEX('Proof cost'!$A:$AU,MATCH($C1262,'Proof cost'!$AU:$AU,0),10),"")</f>
        <v/>
      </c>
      <c r="I1262" s="3153" t="str">
        <f ca="1">IFERROR(INDEX('Proof cost'!$A:$AU,MATCH($C1262,'Proof cost'!$AU:$AU,0),20)/'Proof cost'!$I$2,"")</f>
        <v/>
      </c>
      <c r="J1262" s="3153" t="str">
        <f ca="1">IFERROR(INDEX('Proof cost'!$A:$AU,MATCH($C1262,'Proof cost'!$AU:$AU,0),20)/'Proof cost'!$I$2,"")</f>
        <v/>
      </c>
    </row>
    <row r="1263" spans="2:10" ht="21.75">
      <c r="B1263" s="3143" t="s">
        <v>2066</v>
      </c>
      <c r="C1263" s="3143">
        <f t="shared" si="22"/>
        <v>123</v>
      </c>
      <c r="D1263" s="3143" t="str">
        <f ca="1">IFERROR(INDEX('Proof cost'!$A:$AU,MATCH($C1263,'Proof cost'!$AU:$AU,0),9),"")</f>
        <v/>
      </c>
      <c r="E1263" s="3143" t="str">
        <f ca="1">IFERROR(INDEX('Proof cost'!$A:$AU,MATCH($C1263,'Proof cost'!$AU:$AU,0),45),"")</f>
        <v/>
      </c>
      <c r="G1263" s="3143" t="str">
        <f ca="1">IFERROR(INDEX('Proof cost'!$A:$AU,MATCH($C1263,'Proof cost'!$AU:$AU,0),10),"")</f>
        <v/>
      </c>
      <c r="I1263" s="3153" t="str">
        <f ca="1">IFERROR(INDEX('Proof cost'!$A:$AU,MATCH($C1263,'Proof cost'!$AU:$AU,0),20)/'Proof cost'!$I$2,"")</f>
        <v/>
      </c>
      <c r="J1263" s="3153" t="str">
        <f ca="1">IFERROR(INDEX('Proof cost'!$A:$AU,MATCH($C1263,'Proof cost'!$AU:$AU,0),20)/'Proof cost'!$I$2,"")</f>
        <v/>
      </c>
    </row>
    <row r="1264" spans="2:10" ht="21.75">
      <c r="B1264" s="3143" t="s">
        <v>2066</v>
      </c>
      <c r="C1264" s="3143">
        <f t="shared" si="22"/>
        <v>124</v>
      </c>
      <c r="D1264" s="3143" t="str">
        <f ca="1">IFERROR(INDEX('Proof cost'!$A:$AU,MATCH($C1264,'Proof cost'!$AU:$AU,0),9),"")</f>
        <v/>
      </c>
      <c r="E1264" s="3143" t="str">
        <f ca="1">IFERROR(INDEX('Proof cost'!$A:$AU,MATCH($C1264,'Proof cost'!$AU:$AU,0),45),"")</f>
        <v/>
      </c>
      <c r="G1264" s="3143" t="str">
        <f ca="1">IFERROR(INDEX('Proof cost'!$A:$AU,MATCH($C1264,'Proof cost'!$AU:$AU,0),10),"")</f>
        <v/>
      </c>
      <c r="I1264" s="3153" t="str">
        <f ca="1">IFERROR(INDEX('Proof cost'!$A:$AU,MATCH($C1264,'Proof cost'!$AU:$AU,0),20)/'Proof cost'!$I$2,"")</f>
        <v/>
      </c>
      <c r="J1264" s="3153" t="str">
        <f ca="1">IFERROR(INDEX('Proof cost'!$A:$AU,MATCH($C1264,'Proof cost'!$AU:$AU,0),20)/'Proof cost'!$I$2,"")</f>
        <v/>
      </c>
    </row>
    <row r="1265" spans="2:10" ht="21.75">
      <c r="B1265" s="3143" t="s">
        <v>2066</v>
      </c>
      <c r="C1265" s="3143">
        <f t="shared" si="22"/>
        <v>125</v>
      </c>
      <c r="D1265" s="3143" t="str">
        <f ca="1">IFERROR(INDEX('Proof cost'!$A:$AU,MATCH($C1265,'Proof cost'!$AU:$AU,0),9),"")</f>
        <v/>
      </c>
      <c r="E1265" s="3143" t="str">
        <f ca="1">IFERROR(INDEX('Proof cost'!$A:$AU,MATCH($C1265,'Proof cost'!$AU:$AU,0),45),"")</f>
        <v/>
      </c>
      <c r="G1265" s="3143" t="str">
        <f ca="1">IFERROR(INDEX('Proof cost'!$A:$AU,MATCH($C1265,'Proof cost'!$AU:$AU,0),10),"")</f>
        <v/>
      </c>
      <c r="I1265" s="3153" t="str">
        <f ca="1">IFERROR(INDEX('Proof cost'!$A:$AU,MATCH($C1265,'Proof cost'!$AU:$AU,0),20)/'Proof cost'!$I$2,"")</f>
        <v/>
      </c>
      <c r="J1265" s="3153" t="str">
        <f ca="1">IFERROR(INDEX('Proof cost'!$A:$AU,MATCH($C1265,'Proof cost'!$AU:$AU,0),20)/'Proof cost'!$I$2,"")</f>
        <v/>
      </c>
    </row>
    <row r="1266" spans="2:10" ht="21.75">
      <c r="B1266" s="3143" t="s">
        <v>2066</v>
      </c>
      <c r="C1266" s="3143">
        <f t="shared" si="22"/>
        <v>126</v>
      </c>
      <c r="D1266" s="3143" t="str">
        <f ca="1">IFERROR(INDEX('Proof cost'!$A:$AU,MATCH($C1266,'Proof cost'!$AU:$AU,0),9),"")</f>
        <v/>
      </c>
      <c r="E1266" s="3143" t="str">
        <f ca="1">IFERROR(INDEX('Proof cost'!$A:$AU,MATCH($C1266,'Proof cost'!$AU:$AU,0),45),"")</f>
        <v/>
      </c>
      <c r="G1266" s="3143" t="str">
        <f ca="1">IFERROR(INDEX('Proof cost'!$A:$AU,MATCH($C1266,'Proof cost'!$AU:$AU,0),10),"")</f>
        <v/>
      </c>
      <c r="I1266" s="3153" t="str">
        <f ca="1">IFERROR(INDEX('Proof cost'!$A:$AU,MATCH($C1266,'Proof cost'!$AU:$AU,0),20)/'Proof cost'!$I$2,"")</f>
        <v/>
      </c>
      <c r="J1266" s="3153" t="str">
        <f ca="1">IFERROR(INDEX('Proof cost'!$A:$AU,MATCH($C1266,'Proof cost'!$AU:$AU,0),20)/'Proof cost'!$I$2,"")</f>
        <v/>
      </c>
    </row>
    <row r="1267" spans="2:10" ht="21.75">
      <c r="B1267" s="3143" t="s">
        <v>2066</v>
      </c>
      <c r="C1267" s="3143">
        <f t="shared" si="22"/>
        <v>127</v>
      </c>
      <c r="D1267" s="3143" t="str">
        <f ca="1">IFERROR(INDEX('Proof cost'!$A:$AU,MATCH($C1267,'Proof cost'!$AU:$AU,0),9),"")</f>
        <v/>
      </c>
      <c r="E1267" s="3143" t="str">
        <f ca="1">IFERROR(INDEX('Proof cost'!$A:$AU,MATCH($C1267,'Proof cost'!$AU:$AU,0),45),"")</f>
        <v/>
      </c>
      <c r="G1267" s="3143" t="str">
        <f ca="1">IFERROR(INDEX('Proof cost'!$A:$AU,MATCH($C1267,'Proof cost'!$AU:$AU,0),10),"")</f>
        <v/>
      </c>
      <c r="I1267" s="3153" t="str">
        <f ca="1">IFERROR(INDEX('Proof cost'!$A:$AU,MATCH($C1267,'Proof cost'!$AU:$AU,0),20)/'Proof cost'!$I$2,"")</f>
        <v/>
      </c>
      <c r="J1267" s="3153" t="str">
        <f ca="1">IFERROR(INDEX('Proof cost'!$A:$AU,MATCH($C1267,'Proof cost'!$AU:$AU,0),20)/'Proof cost'!$I$2,"")</f>
        <v/>
      </c>
    </row>
    <row r="1268" spans="2:10" ht="21.75">
      <c r="B1268" s="3143" t="s">
        <v>2066</v>
      </c>
      <c r="C1268" s="3143">
        <f t="shared" si="22"/>
        <v>128</v>
      </c>
      <c r="D1268" s="3143" t="str">
        <f ca="1">IFERROR(INDEX('Proof cost'!$A:$AU,MATCH($C1268,'Proof cost'!$AU:$AU,0),9),"")</f>
        <v/>
      </c>
      <c r="E1268" s="3143" t="str">
        <f ca="1">IFERROR(INDEX('Proof cost'!$A:$AU,MATCH($C1268,'Proof cost'!$AU:$AU,0),45),"")</f>
        <v/>
      </c>
      <c r="G1268" s="3143" t="str">
        <f ca="1">IFERROR(INDEX('Proof cost'!$A:$AU,MATCH($C1268,'Proof cost'!$AU:$AU,0),10),"")</f>
        <v/>
      </c>
      <c r="I1268" s="3153" t="str">
        <f ca="1">IFERROR(INDEX('Proof cost'!$A:$AU,MATCH($C1268,'Proof cost'!$AU:$AU,0),20)/'Proof cost'!$I$2,"")</f>
        <v/>
      </c>
      <c r="J1268" s="3153" t="str">
        <f ca="1">IFERROR(INDEX('Proof cost'!$A:$AU,MATCH($C1268,'Proof cost'!$AU:$AU,0),20)/'Proof cost'!$I$2,"")</f>
        <v/>
      </c>
    </row>
    <row r="1269" spans="2:10" ht="21.75">
      <c r="B1269" s="3143" t="s">
        <v>2066</v>
      </c>
      <c r="C1269" s="3143">
        <f t="shared" si="22"/>
        <v>129</v>
      </c>
      <c r="D1269" s="3143" t="str">
        <f ca="1">IFERROR(INDEX('Proof cost'!$A:$AU,MATCH($C1269,'Proof cost'!$AU:$AU,0),9),"")</f>
        <v/>
      </c>
      <c r="E1269" s="3143" t="str">
        <f ca="1">IFERROR(INDEX('Proof cost'!$A:$AU,MATCH($C1269,'Proof cost'!$AU:$AU,0),45),"")</f>
        <v/>
      </c>
      <c r="G1269" s="3143" t="str">
        <f ca="1">IFERROR(INDEX('Proof cost'!$A:$AU,MATCH($C1269,'Proof cost'!$AU:$AU,0),10),"")</f>
        <v/>
      </c>
      <c r="I1269" s="3153" t="str">
        <f ca="1">IFERROR(INDEX('Proof cost'!$A:$AU,MATCH($C1269,'Proof cost'!$AU:$AU,0),20)/'Proof cost'!$I$2,"")</f>
        <v/>
      </c>
      <c r="J1269" s="3153" t="str">
        <f ca="1">IFERROR(INDEX('Proof cost'!$A:$AU,MATCH($C1269,'Proof cost'!$AU:$AU,0),20)/'Proof cost'!$I$2,"")</f>
        <v/>
      </c>
    </row>
    <row r="1270" spans="2:10" ht="21.75">
      <c r="B1270" s="3143" t="s">
        <v>2066</v>
      </c>
      <c r="C1270" s="3143">
        <f t="shared" si="22"/>
        <v>130</v>
      </c>
      <c r="D1270" s="3143" t="str">
        <f ca="1">IFERROR(INDEX('Proof cost'!$A:$AU,MATCH($C1270,'Proof cost'!$AU:$AU,0),9),"")</f>
        <v/>
      </c>
      <c r="E1270" s="3143" t="str">
        <f ca="1">IFERROR(INDEX('Proof cost'!$A:$AU,MATCH($C1270,'Proof cost'!$AU:$AU,0),45),"")</f>
        <v/>
      </c>
      <c r="G1270" s="3143" t="str">
        <f ca="1">IFERROR(INDEX('Proof cost'!$A:$AU,MATCH($C1270,'Proof cost'!$AU:$AU,0),10),"")</f>
        <v/>
      </c>
      <c r="I1270" s="3153" t="str">
        <f ca="1">IFERROR(INDEX('Proof cost'!$A:$AU,MATCH($C1270,'Proof cost'!$AU:$AU,0),20)/'Proof cost'!$I$2,"")</f>
        <v/>
      </c>
      <c r="J1270" s="3153" t="str">
        <f ca="1">IFERROR(INDEX('Proof cost'!$A:$AU,MATCH($C1270,'Proof cost'!$AU:$AU,0),20)/'Proof cost'!$I$2,"")</f>
        <v/>
      </c>
    </row>
    <row r="1271" spans="2:10" ht="21.75">
      <c r="B1271" s="3143" t="s">
        <v>2066</v>
      </c>
      <c r="C1271" s="3143">
        <f t="shared" ref="C1271:C1334" si="23">C1270+1</f>
        <v>131</v>
      </c>
      <c r="D1271" s="3143" t="str">
        <f ca="1">IFERROR(INDEX('Proof cost'!$A:$AU,MATCH($C1271,'Proof cost'!$AU:$AU,0),9),"")</f>
        <v/>
      </c>
      <c r="E1271" s="3143" t="str">
        <f ca="1">IFERROR(INDEX('Proof cost'!$A:$AU,MATCH($C1271,'Proof cost'!$AU:$AU,0),45),"")</f>
        <v/>
      </c>
      <c r="G1271" s="3143" t="str">
        <f ca="1">IFERROR(INDEX('Proof cost'!$A:$AU,MATCH($C1271,'Proof cost'!$AU:$AU,0),10),"")</f>
        <v/>
      </c>
      <c r="I1271" s="3153" t="str">
        <f ca="1">IFERROR(INDEX('Proof cost'!$A:$AU,MATCH($C1271,'Proof cost'!$AU:$AU,0),20)/'Proof cost'!$I$2,"")</f>
        <v/>
      </c>
      <c r="J1271" s="3153" t="str">
        <f ca="1">IFERROR(INDEX('Proof cost'!$A:$AU,MATCH($C1271,'Proof cost'!$AU:$AU,0),20)/'Proof cost'!$I$2,"")</f>
        <v/>
      </c>
    </row>
    <row r="1272" spans="2:10" ht="21.75">
      <c r="B1272" s="3143" t="s">
        <v>2066</v>
      </c>
      <c r="C1272" s="3143">
        <f t="shared" si="23"/>
        <v>132</v>
      </c>
      <c r="D1272" s="3143" t="str">
        <f ca="1">IFERROR(INDEX('Proof cost'!$A:$AU,MATCH($C1272,'Proof cost'!$AU:$AU,0),9),"")</f>
        <v/>
      </c>
      <c r="E1272" s="3143" t="str">
        <f ca="1">IFERROR(INDEX('Proof cost'!$A:$AU,MATCH($C1272,'Proof cost'!$AU:$AU,0),45),"")</f>
        <v/>
      </c>
      <c r="G1272" s="3143" t="str">
        <f ca="1">IFERROR(INDEX('Proof cost'!$A:$AU,MATCH($C1272,'Proof cost'!$AU:$AU,0),10),"")</f>
        <v/>
      </c>
      <c r="I1272" s="3153" t="str">
        <f ca="1">IFERROR(INDEX('Proof cost'!$A:$AU,MATCH($C1272,'Proof cost'!$AU:$AU,0),20)/'Proof cost'!$I$2,"")</f>
        <v/>
      </c>
      <c r="J1272" s="3153" t="str">
        <f ca="1">IFERROR(INDEX('Proof cost'!$A:$AU,MATCH($C1272,'Proof cost'!$AU:$AU,0),20)/'Proof cost'!$I$2,"")</f>
        <v/>
      </c>
    </row>
    <row r="1273" spans="2:10" ht="21.75">
      <c r="B1273" s="3143" t="s">
        <v>2066</v>
      </c>
      <c r="C1273" s="3143">
        <f t="shared" si="23"/>
        <v>133</v>
      </c>
      <c r="D1273" s="3143" t="str">
        <f ca="1">IFERROR(INDEX('Proof cost'!$A:$AU,MATCH($C1273,'Proof cost'!$AU:$AU,0),9),"")</f>
        <v/>
      </c>
      <c r="E1273" s="3143" t="str">
        <f ca="1">IFERROR(INDEX('Proof cost'!$A:$AU,MATCH($C1273,'Proof cost'!$AU:$AU,0),45),"")</f>
        <v/>
      </c>
      <c r="G1273" s="3143" t="str">
        <f ca="1">IFERROR(INDEX('Proof cost'!$A:$AU,MATCH($C1273,'Proof cost'!$AU:$AU,0),10),"")</f>
        <v/>
      </c>
      <c r="I1273" s="3153" t="str">
        <f ca="1">IFERROR(INDEX('Proof cost'!$A:$AU,MATCH($C1273,'Proof cost'!$AU:$AU,0),20)/'Proof cost'!$I$2,"")</f>
        <v/>
      </c>
      <c r="J1273" s="3153" t="str">
        <f ca="1">IFERROR(INDEX('Proof cost'!$A:$AU,MATCH($C1273,'Proof cost'!$AU:$AU,0),20)/'Proof cost'!$I$2,"")</f>
        <v/>
      </c>
    </row>
    <row r="1274" spans="2:10" ht="21.75">
      <c r="B1274" s="3143" t="s">
        <v>2066</v>
      </c>
      <c r="C1274" s="3143">
        <f t="shared" si="23"/>
        <v>134</v>
      </c>
      <c r="D1274" s="3143" t="str">
        <f ca="1">IFERROR(INDEX('Proof cost'!$A:$AU,MATCH($C1274,'Proof cost'!$AU:$AU,0),9),"")</f>
        <v/>
      </c>
      <c r="E1274" s="3143" t="str">
        <f ca="1">IFERROR(INDEX('Proof cost'!$A:$AU,MATCH($C1274,'Proof cost'!$AU:$AU,0),45),"")</f>
        <v/>
      </c>
      <c r="G1274" s="3143" t="str">
        <f ca="1">IFERROR(INDEX('Proof cost'!$A:$AU,MATCH($C1274,'Proof cost'!$AU:$AU,0),10),"")</f>
        <v/>
      </c>
      <c r="I1274" s="3153" t="str">
        <f ca="1">IFERROR(INDEX('Proof cost'!$A:$AU,MATCH($C1274,'Proof cost'!$AU:$AU,0),20)/'Proof cost'!$I$2,"")</f>
        <v/>
      </c>
      <c r="J1274" s="3153" t="str">
        <f ca="1">IFERROR(INDEX('Proof cost'!$A:$AU,MATCH($C1274,'Proof cost'!$AU:$AU,0),20)/'Proof cost'!$I$2,"")</f>
        <v/>
      </c>
    </row>
    <row r="1275" spans="2:10" ht="21.75">
      <c r="B1275" s="3143" t="s">
        <v>2066</v>
      </c>
      <c r="C1275" s="3143">
        <f t="shared" si="23"/>
        <v>135</v>
      </c>
      <c r="D1275" s="3143" t="str">
        <f ca="1">IFERROR(INDEX('Proof cost'!$A:$AU,MATCH($C1275,'Proof cost'!$AU:$AU,0),9),"")</f>
        <v/>
      </c>
      <c r="E1275" s="3143" t="str">
        <f ca="1">IFERROR(INDEX('Proof cost'!$A:$AU,MATCH($C1275,'Proof cost'!$AU:$AU,0),45),"")</f>
        <v/>
      </c>
      <c r="G1275" s="3143" t="str">
        <f ca="1">IFERROR(INDEX('Proof cost'!$A:$AU,MATCH($C1275,'Proof cost'!$AU:$AU,0),10),"")</f>
        <v/>
      </c>
      <c r="I1275" s="3153" t="str">
        <f ca="1">IFERROR(INDEX('Proof cost'!$A:$AU,MATCH($C1275,'Proof cost'!$AU:$AU,0),20)/'Proof cost'!$I$2,"")</f>
        <v/>
      </c>
      <c r="J1275" s="3153" t="str">
        <f ca="1">IFERROR(INDEX('Proof cost'!$A:$AU,MATCH($C1275,'Proof cost'!$AU:$AU,0),20)/'Proof cost'!$I$2,"")</f>
        <v/>
      </c>
    </row>
    <row r="1276" spans="2:10" ht="21.75">
      <c r="B1276" s="3143" t="s">
        <v>2066</v>
      </c>
      <c r="C1276" s="3143">
        <f t="shared" si="23"/>
        <v>136</v>
      </c>
      <c r="D1276" s="3143" t="str">
        <f ca="1">IFERROR(INDEX('Proof cost'!$A:$AU,MATCH($C1276,'Proof cost'!$AU:$AU,0),9),"")</f>
        <v/>
      </c>
      <c r="E1276" s="3143" t="str">
        <f ca="1">IFERROR(INDEX('Proof cost'!$A:$AU,MATCH($C1276,'Proof cost'!$AU:$AU,0),45),"")</f>
        <v/>
      </c>
      <c r="G1276" s="3143" t="str">
        <f ca="1">IFERROR(INDEX('Proof cost'!$A:$AU,MATCH($C1276,'Proof cost'!$AU:$AU,0),10),"")</f>
        <v/>
      </c>
      <c r="I1276" s="3153" t="str">
        <f ca="1">IFERROR(INDEX('Proof cost'!$A:$AU,MATCH($C1276,'Proof cost'!$AU:$AU,0),20)/'Proof cost'!$I$2,"")</f>
        <v/>
      </c>
      <c r="J1276" s="3153" t="str">
        <f ca="1">IFERROR(INDEX('Proof cost'!$A:$AU,MATCH($C1276,'Proof cost'!$AU:$AU,0),20)/'Proof cost'!$I$2,"")</f>
        <v/>
      </c>
    </row>
    <row r="1277" spans="2:10" ht="21.75">
      <c r="B1277" s="3143" t="s">
        <v>2066</v>
      </c>
      <c r="C1277" s="3143">
        <f t="shared" si="23"/>
        <v>137</v>
      </c>
      <c r="D1277" s="3143" t="str">
        <f ca="1">IFERROR(INDEX('Proof cost'!$A:$AU,MATCH($C1277,'Proof cost'!$AU:$AU,0),9),"")</f>
        <v/>
      </c>
      <c r="E1277" s="3143" t="str">
        <f ca="1">IFERROR(INDEX('Proof cost'!$A:$AU,MATCH($C1277,'Proof cost'!$AU:$AU,0),45),"")</f>
        <v/>
      </c>
      <c r="G1277" s="3143" t="str">
        <f ca="1">IFERROR(INDEX('Proof cost'!$A:$AU,MATCH($C1277,'Proof cost'!$AU:$AU,0),10),"")</f>
        <v/>
      </c>
      <c r="I1277" s="3153" t="str">
        <f ca="1">IFERROR(INDEX('Proof cost'!$A:$AU,MATCH($C1277,'Proof cost'!$AU:$AU,0),20)/'Proof cost'!$I$2,"")</f>
        <v/>
      </c>
      <c r="J1277" s="3153" t="str">
        <f ca="1">IFERROR(INDEX('Proof cost'!$A:$AU,MATCH($C1277,'Proof cost'!$AU:$AU,0),20)/'Proof cost'!$I$2,"")</f>
        <v/>
      </c>
    </row>
    <row r="1278" spans="2:10" ht="21.75">
      <c r="B1278" s="3143" t="s">
        <v>2066</v>
      </c>
      <c r="C1278" s="3143">
        <f t="shared" si="23"/>
        <v>138</v>
      </c>
      <c r="D1278" s="3143" t="str">
        <f ca="1">IFERROR(INDEX('Proof cost'!$A:$AU,MATCH($C1278,'Proof cost'!$AU:$AU,0),9),"")</f>
        <v/>
      </c>
      <c r="E1278" s="3143" t="str">
        <f ca="1">IFERROR(INDEX('Proof cost'!$A:$AU,MATCH($C1278,'Proof cost'!$AU:$AU,0),45),"")</f>
        <v/>
      </c>
      <c r="G1278" s="3143" t="str">
        <f ca="1">IFERROR(INDEX('Proof cost'!$A:$AU,MATCH($C1278,'Proof cost'!$AU:$AU,0),10),"")</f>
        <v/>
      </c>
      <c r="I1278" s="3153" t="str">
        <f ca="1">IFERROR(INDEX('Proof cost'!$A:$AU,MATCH($C1278,'Proof cost'!$AU:$AU,0),20)/'Proof cost'!$I$2,"")</f>
        <v/>
      </c>
      <c r="J1278" s="3153" t="str">
        <f ca="1">IFERROR(INDEX('Proof cost'!$A:$AU,MATCH($C1278,'Proof cost'!$AU:$AU,0),20)/'Proof cost'!$I$2,"")</f>
        <v/>
      </c>
    </row>
    <row r="1279" spans="2:10" ht="21.75">
      <c r="B1279" s="3143" t="s">
        <v>2066</v>
      </c>
      <c r="C1279" s="3143">
        <f t="shared" si="23"/>
        <v>139</v>
      </c>
      <c r="D1279" s="3143" t="str">
        <f ca="1">IFERROR(INDEX('Proof cost'!$A:$AU,MATCH($C1279,'Proof cost'!$AU:$AU,0),9),"")</f>
        <v/>
      </c>
      <c r="E1279" s="3143" t="str">
        <f ca="1">IFERROR(INDEX('Proof cost'!$A:$AU,MATCH($C1279,'Proof cost'!$AU:$AU,0),45),"")</f>
        <v/>
      </c>
      <c r="G1279" s="3143" t="str">
        <f ca="1">IFERROR(INDEX('Proof cost'!$A:$AU,MATCH($C1279,'Proof cost'!$AU:$AU,0),10),"")</f>
        <v/>
      </c>
      <c r="I1279" s="3153" t="str">
        <f ca="1">IFERROR(INDEX('Proof cost'!$A:$AU,MATCH($C1279,'Proof cost'!$AU:$AU,0),20)/'Proof cost'!$I$2,"")</f>
        <v/>
      </c>
      <c r="J1279" s="3153" t="str">
        <f ca="1">IFERROR(INDEX('Proof cost'!$A:$AU,MATCH($C1279,'Proof cost'!$AU:$AU,0),20)/'Proof cost'!$I$2,"")</f>
        <v/>
      </c>
    </row>
    <row r="1280" spans="2:10" ht="21.75">
      <c r="B1280" s="3143" t="s">
        <v>2066</v>
      </c>
      <c r="C1280" s="3143">
        <f t="shared" si="23"/>
        <v>140</v>
      </c>
      <c r="D1280" s="3143" t="str">
        <f ca="1">IFERROR(INDEX('Proof cost'!$A:$AU,MATCH($C1280,'Proof cost'!$AU:$AU,0),9),"")</f>
        <v/>
      </c>
      <c r="E1280" s="3143" t="str">
        <f ca="1">IFERROR(INDEX('Proof cost'!$A:$AU,MATCH($C1280,'Proof cost'!$AU:$AU,0),45),"")</f>
        <v/>
      </c>
      <c r="G1280" s="3143" t="str">
        <f ca="1">IFERROR(INDEX('Proof cost'!$A:$AU,MATCH($C1280,'Proof cost'!$AU:$AU,0),10),"")</f>
        <v/>
      </c>
      <c r="I1280" s="3153" t="str">
        <f ca="1">IFERROR(INDEX('Proof cost'!$A:$AU,MATCH($C1280,'Proof cost'!$AU:$AU,0),20)/'Proof cost'!$I$2,"")</f>
        <v/>
      </c>
      <c r="J1280" s="3153" t="str">
        <f ca="1">IFERROR(INDEX('Proof cost'!$A:$AU,MATCH($C1280,'Proof cost'!$AU:$AU,0),20)/'Proof cost'!$I$2,"")</f>
        <v/>
      </c>
    </row>
    <row r="1281" spans="2:10" ht="21.75">
      <c r="B1281" s="3143" t="s">
        <v>2066</v>
      </c>
      <c r="C1281" s="3143">
        <f t="shared" si="23"/>
        <v>141</v>
      </c>
      <c r="D1281" s="3143" t="str">
        <f ca="1">IFERROR(INDEX('Proof cost'!$A:$AU,MATCH($C1281,'Proof cost'!$AU:$AU,0),9),"")</f>
        <v/>
      </c>
      <c r="E1281" s="3143" t="str">
        <f ca="1">IFERROR(INDEX('Proof cost'!$A:$AU,MATCH($C1281,'Proof cost'!$AU:$AU,0),45),"")</f>
        <v/>
      </c>
      <c r="G1281" s="3143" t="str">
        <f ca="1">IFERROR(INDEX('Proof cost'!$A:$AU,MATCH($C1281,'Proof cost'!$AU:$AU,0),10),"")</f>
        <v/>
      </c>
      <c r="I1281" s="3153" t="str">
        <f ca="1">IFERROR(INDEX('Proof cost'!$A:$AU,MATCH($C1281,'Proof cost'!$AU:$AU,0),20)/'Proof cost'!$I$2,"")</f>
        <v/>
      </c>
      <c r="J1281" s="3153" t="str">
        <f ca="1">IFERROR(INDEX('Proof cost'!$A:$AU,MATCH($C1281,'Proof cost'!$AU:$AU,0),20)/'Proof cost'!$I$2,"")</f>
        <v/>
      </c>
    </row>
    <row r="1282" spans="2:10" ht="21.75">
      <c r="B1282" s="3143" t="s">
        <v>2066</v>
      </c>
      <c r="C1282" s="3143">
        <f t="shared" si="23"/>
        <v>142</v>
      </c>
      <c r="D1282" s="3143" t="str">
        <f ca="1">IFERROR(INDEX('Proof cost'!$A:$AU,MATCH($C1282,'Proof cost'!$AU:$AU,0),9),"")</f>
        <v/>
      </c>
      <c r="E1282" s="3143" t="str">
        <f ca="1">IFERROR(INDEX('Proof cost'!$A:$AU,MATCH($C1282,'Proof cost'!$AU:$AU,0),45),"")</f>
        <v/>
      </c>
      <c r="G1282" s="3143" t="str">
        <f ca="1">IFERROR(INDEX('Proof cost'!$A:$AU,MATCH($C1282,'Proof cost'!$AU:$AU,0),10),"")</f>
        <v/>
      </c>
      <c r="I1282" s="3153" t="str">
        <f ca="1">IFERROR(INDEX('Proof cost'!$A:$AU,MATCH($C1282,'Proof cost'!$AU:$AU,0),20)/'Proof cost'!$I$2,"")</f>
        <v/>
      </c>
      <c r="J1282" s="3153" t="str">
        <f ca="1">IFERROR(INDEX('Proof cost'!$A:$AU,MATCH($C1282,'Proof cost'!$AU:$AU,0),20)/'Proof cost'!$I$2,"")</f>
        <v/>
      </c>
    </row>
    <row r="1283" spans="2:10" ht="21.75">
      <c r="B1283" s="3143" t="s">
        <v>2066</v>
      </c>
      <c r="C1283" s="3143">
        <f t="shared" si="23"/>
        <v>143</v>
      </c>
      <c r="D1283" s="3143" t="str">
        <f ca="1">IFERROR(INDEX('Proof cost'!$A:$AU,MATCH($C1283,'Proof cost'!$AU:$AU,0),9),"")</f>
        <v/>
      </c>
      <c r="E1283" s="3143" t="str">
        <f ca="1">IFERROR(INDEX('Proof cost'!$A:$AU,MATCH($C1283,'Proof cost'!$AU:$AU,0),45),"")</f>
        <v/>
      </c>
      <c r="G1283" s="3143" t="str">
        <f ca="1">IFERROR(INDEX('Proof cost'!$A:$AU,MATCH($C1283,'Proof cost'!$AU:$AU,0),10),"")</f>
        <v/>
      </c>
      <c r="I1283" s="3153" t="str">
        <f ca="1">IFERROR(INDEX('Proof cost'!$A:$AU,MATCH($C1283,'Proof cost'!$AU:$AU,0),20)/'Proof cost'!$I$2,"")</f>
        <v/>
      </c>
      <c r="J1283" s="3153" t="str">
        <f ca="1">IFERROR(INDEX('Proof cost'!$A:$AU,MATCH($C1283,'Proof cost'!$AU:$AU,0),20)/'Proof cost'!$I$2,"")</f>
        <v/>
      </c>
    </row>
    <row r="1284" spans="2:10" ht="21.75">
      <c r="B1284" s="3143" t="s">
        <v>2066</v>
      </c>
      <c r="C1284" s="3143">
        <f t="shared" si="23"/>
        <v>144</v>
      </c>
      <c r="D1284" s="3143" t="str">
        <f ca="1">IFERROR(INDEX('Proof cost'!$A:$AU,MATCH($C1284,'Proof cost'!$AU:$AU,0),9),"")</f>
        <v/>
      </c>
      <c r="E1284" s="3143" t="str">
        <f ca="1">IFERROR(INDEX('Proof cost'!$A:$AU,MATCH($C1284,'Proof cost'!$AU:$AU,0),45),"")</f>
        <v/>
      </c>
      <c r="G1284" s="3143" t="str">
        <f ca="1">IFERROR(INDEX('Proof cost'!$A:$AU,MATCH($C1284,'Proof cost'!$AU:$AU,0),10),"")</f>
        <v/>
      </c>
      <c r="I1284" s="3153" t="str">
        <f ca="1">IFERROR(INDEX('Proof cost'!$A:$AU,MATCH($C1284,'Proof cost'!$AU:$AU,0),20)/'Proof cost'!$I$2,"")</f>
        <v/>
      </c>
      <c r="J1284" s="3153" t="str">
        <f ca="1">IFERROR(INDEX('Proof cost'!$A:$AU,MATCH($C1284,'Proof cost'!$AU:$AU,0),20)/'Proof cost'!$I$2,"")</f>
        <v/>
      </c>
    </row>
    <row r="1285" spans="2:10" ht="21.75">
      <c r="B1285" s="3143" t="s">
        <v>2066</v>
      </c>
      <c r="C1285" s="3143">
        <f t="shared" si="23"/>
        <v>145</v>
      </c>
      <c r="D1285" s="3143" t="str">
        <f ca="1">IFERROR(INDEX('Proof cost'!$A:$AU,MATCH($C1285,'Proof cost'!$AU:$AU,0),9),"")</f>
        <v/>
      </c>
      <c r="E1285" s="3143" t="str">
        <f ca="1">IFERROR(INDEX('Proof cost'!$A:$AU,MATCH($C1285,'Proof cost'!$AU:$AU,0),45),"")</f>
        <v/>
      </c>
      <c r="G1285" s="3143" t="str">
        <f ca="1">IFERROR(INDEX('Proof cost'!$A:$AU,MATCH($C1285,'Proof cost'!$AU:$AU,0),10),"")</f>
        <v/>
      </c>
      <c r="I1285" s="3153" t="str">
        <f ca="1">IFERROR(INDEX('Proof cost'!$A:$AU,MATCH($C1285,'Proof cost'!$AU:$AU,0),20)/'Proof cost'!$I$2,"")</f>
        <v/>
      </c>
      <c r="J1285" s="3153" t="str">
        <f ca="1">IFERROR(INDEX('Proof cost'!$A:$AU,MATCH($C1285,'Proof cost'!$AU:$AU,0),20)/'Proof cost'!$I$2,"")</f>
        <v/>
      </c>
    </row>
    <row r="1286" spans="2:10" ht="21.75">
      <c r="B1286" s="3143" t="s">
        <v>2066</v>
      </c>
      <c r="C1286" s="3143">
        <f t="shared" si="23"/>
        <v>146</v>
      </c>
      <c r="D1286" s="3143" t="str">
        <f ca="1">IFERROR(INDEX('Proof cost'!$A:$AU,MATCH($C1286,'Proof cost'!$AU:$AU,0),9),"")</f>
        <v/>
      </c>
      <c r="E1286" s="3143" t="str">
        <f ca="1">IFERROR(INDEX('Proof cost'!$A:$AU,MATCH($C1286,'Proof cost'!$AU:$AU,0),45),"")</f>
        <v/>
      </c>
      <c r="G1286" s="3143" t="str">
        <f ca="1">IFERROR(INDEX('Proof cost'!$A:$AU,MATCH($C1286,'Proof cost'!$AU:$AU,0),10),"")</f>
        <v/>
      </c>
      <c r="I1286" s="3153" t="str">
        <f ca="1">IFERROR(INDEX('Proof cost'!$A:$AU,MATCH($C1286,'Proof cost'!$AU:$AU,0),20)/'Proof cost'!$I$2,"")</f>
        <v/>
      </c>
      <c r="J1286" s="3153" t="str">
        <f ca="1">IFERROR(INDEX('Proof cost'!$A:$AU,MATCH($C1286,'Proof cost'!$AU:$AU,0),20)/'Proof cost'!$I$2,"")</f>
        <v/>
      </c>
    </row>
    <row r="1287" spans="2:10" ht="21.75">
      <c r="B1287" s="3143" t="s">
        <v>2066</v>
      </c>
      <c r="C1287" s="3143">
        <f t="shared" si="23"/>
        <v>147</v>
      </c>
      <c r="D1287" s="3143" t="str">
        <f ca="1">IFERROR(INDEX('Proof cost'!$A:$AU,MATCH($C1287,'Proof cost'!$AU:$AU,0),9),"")</f>
        <v/>
      </c>
      <c r="E1287" s="3143" t="str">
        <f ca="1">IFERROR(INDEX('Proof cost'!$A:$AU,MATCH($C1287,'Proof cost'!$AU:$AU,0),45),"")</f>
        <v/>
      </c>
      <c r="G1287" s="3143" t="str">
        <f ca="1">IFERROR(INDEX('Proof cost'!$A:$AU,MATCH($C1287,'Proof cost'!$AU:$AU,0),10),"")</f>
        <v/>
      </c>
      <c r="I1287" s="3153" t="str">
        <f ca="1">IFERROR(INDEX('Proof cost'!$A:$AU,MATCH($C1287,'Proof cost'!$AU:$AU,0),20)/'Proof cost'!$I$2,"")</f>
        <v/>
      </c>
      <c r="J1287" s="3153" t="str">
        <f ca="1">IFERROR(INDEX('Proof cost'!$A:$AU,MATCH($C1287,'Proof cost'!$AU:$AU,0),20)/'Proof cost'!$I$2,"")</f>
        <v/>
      </c>
    </row>
    <row r="1288" spans="2:10" ht="21.75">
      <c r="B1288" s="3143" t="s">
        <v>2066</v>
      </c>
      <c r="C1288" s="3143">
        <f t="shared" si="23"/>
        <v>148</v>
      </c>
      <c r="D1288" s="3143" t="str">
        <f ca="1">IFERROR(INDEX('Proof cost'!$A:$AU,MATCH($C1288,'Proof cost'!$AU:$AU,0),9),"")</f>
        <v/>
      </c>
      <c r="E1288" s="3143" t="str">
        <f ca="1">IFERROR(INDEX('Proof cost'!$A:$AU,MATCH($C1288,'Proof cost'!$AU:$AU,0),45),"")</f>
        <v/>
      </c>
      <c r="G1288" s="3143" t="str">
        <f ca="1">IFERROR(INDEX('Proof cost'!$A:$AU,MATCH($C1288,'Proof cost'!$AU:$AU,0),10),"")</f>
        <v/>
      </c>
      <c r="I1288" s="3153" t="str">
        <f ca="1">IFERROR(INDEX('Proof cost'!$A:$AU,MATCH($C1288,'Proof cost'!$AU:$AU,0),20)/'Proof cost'!$I$2,"")</f>
        <v/>
      </c>
      <c r="J1288" s="3153" t="str">
        <f ca="1">IFERROR(INDEX('Proof cost'!$A:$AU,MATCH($C1288,'Proof cost'!$AU:$AU,0),20)/'Proof cost'!$I$2,"")</f>
        <v/>
      </c>
    </row>
    <row r="1289" spans="2:10" ht="21.75">
      <c r="B1289" s="3143" t="s">
        <v>2066</v>
      </c>
      <c r="C1289" s="3143">
        <f t="shared" si="23"/>
        <v>149</v>
      </c>
      <c r="D1289" s="3143" t="str">
        <f ca="1">IFERROR(INDEX('Proof cost'!$A:$AU,MATCH($C1289,'Proof cost'!$AU:$AU,0),9),"")</f>
        <v/>
      </c>
      <c r="E1289" s="3143" t="str">
        <f ca="1">IFERROR(INDEX('Proof cost'!$A:$AU,MATCH($C1289,'Proof cost'!$AU:$AU,0),45),"")</f>
        <v/>
      </c>
      <c r="G1289" s="3143" t="str">
        <f ca="1">IFERROR(INDEX('Proof cost'!$A:$AU,MATCH($C1289,'Proof cost'!$AU:$AU,0),10),"")</f>
        <v/>
      </c>
      <c r="I1289" s="3153" t="str">
        <f ca="1">IFERROR(INDEX('Proof cost'!$A:$AU,MATCH($C1289,'Proof cost'!$AU:$AU,0),20)/'Proof cost'!$I$2,"")</f>
        <v/>
      </c>
      <c r="J1289" s="3153" t="str">
        <f ca="1">IFERROR(INDEX('Proof cost'!$A:$AU,MATCH($C1289,'Proof cost'!$AU:$AU,0),20)/'Proof cost'!$I$2,"")</f>
        <v/>
      </c>
    </row>
    <row r="1290" spans="2:10" ht="21.75">
      <c r="B1290" s="3143" t="s">
        <v>2066</v>
      </c>
      <c r="C1290" s="3143">
        <f t="shared" si="23"/>
        <v>150</v>
      </c>
      <c r="D1290" s="3143" t="str">
        <f ca="1">IFERROR(INDEX('Proof cost'!$A:$AU,MATCH($C1290,'Proof cost'!$AU:$AU,0),9),"")</f>
        <v/>
      </c>
      <c r="E1290" s="3143" t="str">
        <f ca="1">IFERROR(INDEX('Proof cost'!$A:$AU,MATCH($C1290,'Proof cost'!$AU:$AU,0),45),"")</f>
        <v/>
      </c>
      <c r="G1290" s="3143" t="str">
        <f ca="1">IFERROR(INDEX('Proof cost'!$A:$AU,MATCH($C1290,'Proof cost'!$AU:$AU,0),10),"")</f>
        <v/>
      </c>
      <c r="I1290" s="3153" t="str">
        <f ca="1">IFERROR(INDEX('Proof cost'!$A:$AU,MATCH($C1290,'Proof cost'!$AU:$AU,0),20)/'Proof cost'!$I$2,"")</f>
        <v/>
      </c>
      <c r="J1290" s="3153" t="str">
        <f ca="1">IFERROR(INDEX('Proof cost'!$A:$AU,MATCH($C1290,'Proof cost'!$AU:$AU,0),20)/'Proof cost'!$I$2,"")</f>
        <v/>
      </c>
    </row>
    <row r="1291" spans="2:10" ht="21.75">
      <c r="B1291" s="3143" t="s">
        <v>2066</v>
      </c>
      <c r="C1291" s="3143">
        <f t="shared" si="23"/>
        <v>151</v>
      </c>
      <c r="D1291" s="3143" t="str">
        <f ca="1">IFERROR(INDEX('Proof cost'!$A:$AU,MATCH($C1291,'Proof cost'!$AU:$AU,0),9),"")</f>
        <v/>
      </c>
      <c r="E1291" s="3143" t="str">
        <f ca="1">IFERROR(INDEX('Proof cost'!$A:$AU,MATCH($C1291,'Proof cost'!$AU:$AU,0),45),"")</f>
        <v/>
      </c>
      <c r="G1291" s="3143" t="str">
        <f ca="1">IFERROR(INDEX('Proof cost'!$A:$AU,MATCH($C1291,'Proof cost'!$AU:$AU,0),10),"")</f>
        <v/>
      </c>
      <c r="I1291" s="3153" t="str">
        <f ca="1">IFERROR(INDEX('Proof cost'!$A:$AU,MATCH($C1291,'Proof cost'!$AU:$AU,0),20)/'Proof cost'!$I$2,"")</f>
        <v/>
      </c>
      <c r="J1291" s="3153" t="str">
        <f ca="1">IFERROR(INDEX('Proof cost'!$A:$AU,MATCH($C1291,'Proof cost'!$AU:$AU,0),20)/'Proof cost'!$I$2,"")</f>
        <v/>
      </c>
    </row>
    <row r="1292" spans="2:10" ht="21.75">
      <c r="B1292" s="3143" t="s">
        <v>2066</v>
      </c>
      <c r="C1292" s="3143">
        <f t="shared" si="23"/>
        <v>152</v>
      </c>
      <c r="D1292" s="3143" t="str">
        <f ca="1">IFERROR(INDEX('Proof cost'!$A:$AU,MATCH($C1292,'Proof cost'!$AU:$AU,0),9),"")</f>
        <v/>
      </c>
      <c r="E1292" s="3143" t="str">
        <f ca="1">IFERROR(INDEX('Proof cost'!$A:$AU,MATCH($C1292,'Proof cost'!$AU:$AU,0),45),"")</f>
        <v/>
      </c>
      <c r="G1292" s="3143" t="str">
        <f ca="1">IFERROR(INDEX('Proof cost'!$A:$AU,MATCH($C1292,'Proof cost'!$AU:$AU,0),10),"")</f>
        <v/>
      </c>
      <c r="I1292" s="3153" t="str">
        <f ca="1">IFERROR(INDEX('Proof cost'!$A:$AU,MATCH($C1292,'Proof cost'!$AU:$AU,0),20)/'Proof cost'!$I$2,"")</f>
        <v/>
      </c>
      <c r="J1292" s="3153" t="str">
        <f ca="1">IFERROR(INDEX('Proof cost'!$A:$AU,MATCH($C1292,'Proof cost'!$AU:$AU,0),20)/'Proof cost'!$I$2,"")</f>
        <v/>
      </c>
    </row>
    <row r="1293" spans="2:10" ht="21.75">
      <c r="B1293" s="3143" t="s">
        <v>2066</v>
      </c>
      <c r="C1293" s="3143">
        <f t="shared" si="23"/>
        <v>153</v>
      </c>
      <c r="D1293" s="3143" t="str">
        <f ca="1">IFERROR(INDEX('Proof cost'!$A:$AU,MATCH($C1293,'Proof cost'!$AU:$AU,0),9),"")</f>
        <v/>
      </c>
      <c r="E1293" s="3143" t="str">
        <f ca="1">IFERROR(INDEX('Proof cost'!$A:$AU,MATCH($C1293,'Proof cost'!$AU:$AU,0),45),"")</f>
        <v/>
      </c>
      <c r="G1293" s="3143" t="str">
        <f ca="1">IFERROR(INDEX('Proof cost'!$A:$AU,MATCH($C1293,'Proof cost'!$AU:$AU,0),10),"")</f>
        <v/>
      </c>
      <c r="I1293" s="3153" t="str">
        <f ca="1">IFERROR(INDEX('Proof cost'!$A:$AU,MATCH($C1293,'Proof cost'!$AU:$AU,0),20)/'Proof cost'!$I$2,"")</f>
        <v/>
      </c>
      <c r="J1293" s="3153" t="str">
        <f ca="1">IFERROR(INDEX('Proof cost'!$A:$AU,MATCH($C1293,'Proof cost'!$AU:$AU,0),20)/'Proof cost'!$I$2,"")</f>
        <v/>
      </c>
    </row>
    <row r="1294" spans="2:10" ht="21.75">
      <c r="B1294" s="3143" t="s">
        <v>2066</v>
      </c>
      <c r="C1294" s="3143">
        <f t="shared" si="23"/>
        <v>154</v>
      </c>
      <c r="D1294" s="3143" t="str">
        <f ca="1">IFERROR(INDEX('Proof cost'!$A:$AU,MATCH($C1294,'Proof cost'!$AU:$AU,0),9),"")</f>
        <v/>
      </c>
      <c r="E1294" s="3143" t="str">
        <f ca="1">IFERROR(INDEX('Proof cost'!$A:$AU,MATCH($C1294,'Proof cost'!$AU:$AU,0),45),"")</f>
        <v/>
      </c>
      <c r="G1294" s="3143" t="str">
        <f ca="1">IFERROR(INDEX('Proof cost'!$A:$AU,MATCH($C1294,'Proof cost'!$AU:$AU,0),10),"")</f>
        <v/>
      </c>
      <c r="I1294" s="3153" t="str">
        <f ca="1">IFERROR(INDEX('Proof cost'!$A:$AU,MATCH($C1294,'Proof cost'!$AU:$AU,0),20)/'Proof cost'!$I$2,"")</f>
        <v/>
      </c>
      <c r="J1294" s="3153" t="str">
        <f ca="1">IFERROR(INDEX('Proof cost'!$A:$AU,MATCH($C1294,'Proof cost'!$AU:$AU,0),20)/'Proof cost'!$I$2,"")</f>
        <v/>
      </c>
    </row>
    <row r="1295" spans="2:10" ht="21.75">
      <c r="B1295" s="3143" t="s">
        <v>2066</v>
      </c>
      <c r="C1295" s="3143">
        <f t="shared" si="23"/>
        <v>155</v>
      </c>
      <c r="D1295" s="3143" t="str">
        <f ca="1">IFERROR(INDEX('Proof cost'!$A:$AU,MATCH($C1295,'Proof cost'!$AU:$AU,0),9),"")</f>
        <v/>
      </c>
      <c r="E1295" s="3143" t="str">
        <f ca="1">IFERROR(INDEX('Proof cost'!$A:$AU,MATCH($C1295,'Proof cost'!$AU:$AU,0),45),"")</f>
        <v/>
      </c>
      <c r="G1295" s="3143" t="str">
        <f ca="1">IFERROR(INDEX('Proof cost'!$A:$AU,MATCH($C1295,'Proof cost'!$AU:$AU,0),10),"")</f>
        <v/>
      </c>
      <c r="I1295" s="3153" t="str">
        <f ca="1">IFERROR(INDEX('Proof cost'!$A:$AU,MATCH($C1295,'Proof cost'!$AU:$AU,0),20)/'Proof cost'!$I$2,"")</f>
        <v/>
      </c>
      <c r="J1295" s="3153" t="str">
        <f ca="1">IFERROR(INDEX('Proof cost'!$A:$AU,MATCH($C1295,'Proof cost'!$AU:$AU,0),20)/'Proof cost'!$I$2,"")</f>
        <v/>
      </c>
    </row>
    <row r="1296" spans="2:10" ht="21.75">
      <c r="B1296" s="3143" t="s">
        <v>2066</v>
      </c>
      <c r="C1296" s="3143">
        <f t="shared" si="23"/>
        <v>156</v>
      </c>
      <c r="D1296" s="3143" t="str">
        <f ca="1">IFERROR(INDEX('Proof cost'!$A:$AU,MATCH($C1296,'Proof cost'!$AU:$AU,0),9),"")</f>
        <v/>
      </c>
      <c r="E1296" s="3143" t="str">
        <f ca="1">IFERROR(INDEX('Proof cost'!$A:$AU,MATCH($C1296,'Proof cost'!$AU:$AU,0),45),"")</f>
        <v/>
      </c>
      <c r="G1296" s="3143" t="str">
        <f ca="1">IFERROR(INDEX('Proof cost'!$A:$AU,MATCH($C1296,'Proof cost'!$AU:$AU,0),10),"")</f>
        <v/>
      </c>
      <c r="I1296" s="3153" t="str">
        <f ca="1">IFERROR(INDEX('Proof cost'!$A:$AU,MATCH($C1296,'Proof cost'!$AU:$AU,0),20)/'Proof cost'!$I$2,"")</f>
        <v/>
      </c>
      <c r="J1296" s="3153" t="str">
        <f ca="1">IFERROR(INDEX('Proof cost'!$A:$AU,MATCH($C1296,'Proof cost'!$AU:$AU,0),20)/'Proof cost'!$I$2,"")</f>
        <v/>
      </c>
    </row>
    <row r="1297" spans="2:10" ht="21.75">
      <c r="B1297" s="3143" t="s">
        <v>2066</v>
      </c>
      <c r="C1297" s="3143">
        <f t="shared" si="23"/>
        <v>157</v>
      </c>
      <c r="D1297" s="3143" t="str">
        <f ca="1">IFERROR(INDEX('Proof cost'!$A:$AU,MATCH($C1297,'Proof cost'!$AU:$AU,0),9),"")</f>
        <v/>
      </c>
      <c r="E1297" s="3143" t="str">
        <f ca="1">IFERROR(INDEX('Proof cost'!$A:$AU,MATCH($C1297,'Proof cost'!$AU:$AU,0),45),"")</f>
        <v/>
      </c>
      <c r="G1297" s="3143" t="str">
        <f ca="1">IFERROR(INDEX('Proof cost'!$A:$AU,MATCH($C1297,'Proof cost'!$AU:$AU,0),10),"")</f>
        <v/>
      </c>
      <c r="I1297" s="3153" t="str">
        <f ca="1">IFERROR(INDEX('Proof cost'!$A:$AU,MATCH($C1297,'Proof cost'!$AU:$AU,0),20)/'Proof cost'!$I$2,"")</f>
        <v/>
      </c>
      <c r="J1297" s="3153" t="str">
        <f ca="1">IFERROR(INDEX('Proof cost'!$A:$AU,MATCH($C1297,'Proof cost'!$AU:$AU,0),20)/'Proof cost'!$I$2,"")</f>
        <v/>
      </c>
    </row>
    <row r="1298" spans="2:10" ht="21.75">
      <c r="B1298" s="3143" t="s">
        <v>2066</v>
      </c>
      <c r="C1298" s="3143">
        <f t="shared" si="23"/>
        <v>158</v>
      </c>
      <c r="D1298" s="3143" t="str">
        <f ca="1">IFERROR(INDEX('Proof cost'!$A:$AU,MATCH($C1298,'Proof cost'!$AU:$AU,0),9),"")</f>
        <v/>
      </c>
      <c r="E1298" s="3143" t="str">
        <f ca="1">IFERROR(INDEX('Proof cost'!$A:$AU,MATCH($C1298,'Proof cost'!$AU:$AU,0),45),"")</f>
        <v/>
      </c>
      <c r="G1298" s="3143" t="str">
        <f ca="1">IFERROR(INDEX('Proof cost'!$A:$AU,MATCH($C1298,'Proof cost'!$AU:$AU,0),10),"")</f>
        <v/>
      </c>
      <c r="I1298" s="3153" t="str">
        <f ca="1">IFERROR(INDEX('Proof cost'!$A:$AU,MATCH($C1298,'Proof cost'!$AU:$AU,0),20)/'Proof cost'!$I$2,"")</f>
        <v/>
      </c>
      <c r="J1298" s="3153" t="str">
        <f ca="1">IFERROR(INDEX('Proof cost'!$A:$AU,MATCH($C1298,'Proof cost'!$AU:$AU,0),20)/'Proof cost'!$I$2,"")</f>
        <v/>
      </c>
    </row>
    <row r="1299" spans="2:10" ht="21.75">
      <c r="B1299" s="3143" t="s">
        <v>2066</v>
      </c>
      <c r="C1299" s="3143">
        <f t="shared" si="23"/>
        <v>159</v>
      </c>
      <c r="D1299" s="3143" t="str">
        <f ca="1">IFERROR(INDEX('Proof cost'!$A:$AU,MATCH($C1299,'Proof cost'!$AU:$AU,0),9),"")</f>
        <v/>
      </c>
      <c r="E1299" s="3143" t="str">
        <f ca="1">IFERROR(INDEX('Proof cost'!$A:$AU,MATCH($C1299,'Proof cost'!$AU:$AU,0),45),"")</f>
        <v/>
      </c>
      <c r="G1299" s="3143" t="str">
        <f ca="1">IFERROR(INDEX('Proof cost'!$A:$AU,MATCH($C1299,'Proof cost'!$AU:$AU,0),10),"")</f>
        <v/>
      </c>
      <c r="I1299" s="3153" t="str">
        <f ca="1">IFERROR(INDEX('Proof cost'!$A:$AU,MATCH($C1299,'Proof cost'!$AU:$AU,0),20)/'Proof cost'!$I$2,"")</f>
        <v/>
      </c>
      <c r="J1299" s="3153" t="str">
        <f ca="1">IFERROR(INDEX('Proof cost'!$A:$AU,MATCH($C1299,'Proof cost'!$AU:$AU,0),20)/'Proof cost'!$I$2,"")</f>
        <v/>
      </c>
    </row>
    <row r="1300" spans="2:10" ht="21.75">
      <c r="B1300" s="3143" t="s">
        <v>2066</v>
      </c>
      <c r="C1300" s="3143">
        <f t="shared" si="23"/>
        <v>160</v>
      </c>
      <c r="D1300" s="3143" t="str">
        <f ca="1">IFERROR(INDEX('Proof cost'!$A:$AU,MATCH($C1300,'Proof cost'!$AU:$AU,0),9),"")</f>
        <v/>
      </c>
      <c r="E1300" s="3143" t="str">
        <f ca="1">IFERROR(INDEX('Proof cost'!$A:$AU,MATCH($C1300,'Proof cost'!$AU:$AU,0),45),"")</f>
        <v/>
      </c>
      <c r="G1300" s="3143" t="str">
        <f ca="1">IFERROR(INDEX('Proof cost'!$A:$AU,MATCH($C1300,'Proof cost'!$AU:$AU,0),10),"")</f>
        <v/>
      </c>
      <c r="I1300" s="3153" t="str">
        <f ca="1">IFERROR(INDEX('Proof cost'!$A:$AU,MATCH($C1300,'Proof cost'!$AU:$AU,0),20)/'Proof cost'!$I$2,"")</f>
        <v/>
      </c>
      <c r="J1300" s="3153" t="str">
        <f ca="1">IFERROR(INDEX('Proof cost'!$A:$AU,MATCH($C1300,'Proof cost'!$AU:$AU,0),20)/'Proof cost'!$I$2,"")</f>
        <v/>
      </c>
    </row>
    <row r="1301" spans="2:10" ht="21.75">
      <c r="B1301" s="3143" t="s">
        <v>2066</v>
      </c>
      <c r="C1301" s="3143">
        <f t="shared" si="23"/>
        <v>161</v>
      </c>
      <c r="D1301" s="3143" t="str">
        <f ca="1">IFERROR(INDEX('Proof cost'!$A:$AU,MATCH($C1301,'Proof cost'!$AU:$AU,0),9),"")</f>
        <v/>
      </c>
      <c r="E1301" s="3143" t="str">
        <f ca="1">IFERROR(INDEX('Proof cost'!$A:$AU,MATCH($C1301,'Proof cost'!$AU:$AU,0),45),"")</f>
        <v/>
      </c>
      <c r="G1301" s="3143" t="str">
        <f ca="1">IFERROR(INDEX('Proof cost'!$A:$AU,MATCH($C1301,'Proof cost'!$AU:$AU,0),10),"")</f>
        <v/>
      </c>
      <c r="I1301" s="3153" t="str">
        <f ca="1">IFERROR(INDEX('Proof cost'!$A:$AU,MATCH($C1301,'Proof cost'!$AU:$AU,0),20)/'Proof cost'!$I$2,"")</f>
        <v/>
      </c>
      <c r="J1301" s="3153" t="str">
        <f ca="1">IFERROR(INDEX('Proof cost'!$A:$AU,MATCH($C1301,'Proof cost'!$AU:$AU,0),20)/'Proof cost'!$I$2,"")</f>
        <v/>
      </c>
    </row>
    <row r="1302" spans="2:10" ht="21.75">
      <c r="B1302" s="3143" t="s">
        <v>2066</v>
      </c>
      <c r="C1302" s="3143">
        <f t="shared" si="23"/>
        <v>162</v>
      </c>
      <c r="D1302" s="3143" t="str">
        <f ca="1">IFERROR(INDEX('Proof cost'!$A:$AU,MATCH($C1302,'Proof cost'!$AU:$AU,0),9),"")</f>
        <v/>
      </c>
      <c r="E1302" s="3143" t="str">
        <f ca="1">IFERROR(INDEX('Proof cost'!$A:$AU,MATCH($C1302,'Proof cost'!$AU:$AU,0),45),"")</f>
        <v/>
      </c>
      <c r="G1302" s="3143" t="str">
        <f ca="1">IFERROR(INDEX('Proof cost'!$A:$AU,MATCH($C1302,'Proof cost'!$AU:$AU,0),10),"")</f>
        <v/>
      </c>
      <c r="I1302" s="3153" t="str">
        <f ca="1">IFERROR(INDEX('Proof cost'!$A:$AU,MATCH($C1302,'Proof cost'!$AU:$AU,0),20)/'Proof cost'!$I$2,"")</f>
        <v/>
      </c>
      <c r="J1302" s="3153" t="str">
        <f ca="1">IFERROR(INDEX('Proof cost'!$A:$AU,MATCH($C1302,'Proof cost'!$AU:$AU,0),20)/'Proof cost'!$I$2,"")</f>
        <v/>
      </c>
    </row>
    <row r="1303" spans="2:10" ht="21.75">
      <c r="B1303" s="3143" t="s">
        <v>2066</v>
      </c>
      <c r="C1303" s="3143">
        <f t="shared" si="23"/>
        <v>163</v>
      </c>
      <c r="D1303" s="3143" t="str">
        <f ca="1">IFERROR(INDEX('Proof cost'!$A:$AU,MATCH($C1303,'Proof cost'!$AU:$AU,0),9),"")</f>
        <v/>
      </c>
      <c r="E1303" s="3143" t="str">
        <f ca="1">IFERROR(INDEX('Proof cost'!$A:$AU,MATCH($C1303,'Proof cost'!$AU:$AU,0),45),"")</f>
        <v/>
      </c>
      <c r="G1303" s="3143" t="str">
        <f ca="1">IFERROR(INDEX('Proof cost'!$A:$AU,MATCH($C1303,'Proof cost'!$AU:$AU,0),10),"")</f>
        <v/>
      </c>
      <c r="I1303" s="3153" t="str">
        <f ca="1">IFERROR(INDEX('Proof cost'!$A:$AU,MATCH($C1303,'Proof cost'!$AU:$AU,0),20)/'Proof cost'!$I$2,"")</f>
        <v/>
      </c>
      <c r="J1303" s="3153" t="str">
        <f ca="1">IFERROR(INDEX('Proof cost'!$A:$AU,MATCH($C1303,'Proof cost'!$AU:$AU,0),20)/'Proof cost'!$I$2,"")</f>
        <v/>
      </c>
    </row>
    <row r="1304" spans="2:10" ht="21.75">
      <c r="B1304" s="3143" t="s">
        <v>2066</v>
      </c>
      <c r="C1304" s="3143">
        <f t="shared" si="23"/>
        <v>164</v>
      </c>
      <c r="D1304" s="3143" t="str">
        <f ca="1">IFERROR(INDEX('Proof cost'!$A:$AU,MATCH($C1304,'Proof cost'!$AU:$AU,0),9),"")</f>
        <v/>
      </c>
      <c r="E1304" s="3143" t="str">
        <f ca="1">IFERROR(INDEX('Proof cost'!$A:$AU,MATCH($C1304,'Proof cost'!$AU:$AU,0),45),"")</f>
        <v/>
      </c>
      <c r="G1304" s="3143" t="str">
        <f ca="1">IFERROR(INDEX('Proof cost'!$A:$AU,MATCH($C1304,'Proof cost'!$AU:$AU,0),10),"")</f>
        <v/>
      </c>
      <c r="I1304" s="3153" t="str">
        <f ca="1">IFERROR(INDEX('Proof cost'!$A:$AU,MATCH($C1304,'Proof cost'!$AU:$AU,0),20)/'Proof cost'!$I$2,"")</f>
        <v/>
      </c>
      <c r="J1304" s="3153" t="str">
        <f ca="1">IFERROR(INDEX('Proof cost'!$A:$AU,MATCH($C1304,'Proof cost'!$AU:$AU,0),20)/'Proof cost'!$I$2,"")</f>
        <v/>
      </c>
    </row>
    <row r="1305" spans="2:10" ht="21.75">
      <c r="B1305" s="3143" t="s">
        <v>2066</v>
      </c>
      <c r="C1305" s="3143">
        <f t="shared" si="23"/>
        <v>165</v>
      </c>
      <c r="D1305" s="3143" t="str">
        <f ca="1">IFERROR(INDEX('Proof cost'!$A:$AU,MATCH($C1305,'Proof cost'!$AU:$AU,0),9),"")</f>
        <v/>
      </c>
      <c r="E1305" s="3143" t="str">
        <f ca="1">IFERROR(INDEX('Proof cost'!$A:$AU,MATCH($C1305,'Proof cost'!$AU:$AU,0),45),"")</f>
        <v/>
      </c>
      <c r="G1305" s="3143" t="str">
        <f ca="1">IFERROR(INDEX('Proof cost'!$A:$AU,MATCH($C1305,'Proof cost'!$AU:$AU,0),10),"")</f>
        <v/>
      </c>
      <c r="I1305" s="3153" t="str">
        <f ca="1">IFERROR(INDEX('Proof cost'!$A:$AU,MATCH($C1305,'Proof cost'!$AU:$AU,0),20)/'Proof cost'!$I$2,"")</f>
        <v/>
      </c>
      <c r="J1305" s="3153" t="str">
        <f ca="1">IFERROR(INDEX('Proof cost'!$A:$AU,MATCH($C1305,'Proof cost'!$AU:$AU,0),20)/'Proof cost'!$I$2,"")</f>
        <v/>
      </c>
    </row>
    <row r="1306" spans="2:10" ht="21.75">
      <c r="B1306" s="3143" t="s">
        <v>2066</v>
      </c>
      <c r="C1306" s="3143">
        <f t="shared" si="23"/>
        <v>166</v>
      </c>
      <c r="D1306" s="3143" t="str">
        <f ca="1">IFERROR(INDEX('Proof cost'!$A:$AU,MATCH($C1306,'Proof cost'!$AU:$AU,0),9),"")</f>
        <v/>
      </c>
      <c r="E1306" s="3143" t="str">
        <f ca="1">IFERROR(INDEX('Proof cost'!$A:$AU,MATCH($C1306,'Proof cost'!$AU:$AU,0),45),"")</f>
        <v/>
      </c>
      <c r="G1306" s="3143" t="str">
        <f ca="1">IFERROR(INDEX('Proof cost'!$A:$AU,MATCH($C1306,'Proof cost'!$AU:$AU,0),10),"")</f>
        <v/>
      </c>
      <c r="I1306" s="3153" t="str">
        <f ca="1">IFERROR(INDEX('Proof cost'!$A:$AU,MATCH($C1306,'Proof cost'!$AU:$AU,0),20)/'Proof cost'!$I$2,"")</f>
        <v/>
      </c>
      <c r="J1306" s="3153" t="str">
        <f ca="1">IFERROR(INDEX('Proof cost'!$A:$AU,MATCH($C1306,'Proof cost'!$AU:$AU,0),20)/'Proof cost'!$I$2,"")</f>
        <v/>
      </c>
    </row>
    <row r="1307" spans="2:10" ht="21.75">
      <c r="B1307" s="3143" t="s">
        <v>2066</v>
      </c>
      <c r="C1307" s="3143">
        <f t="shared" si="23"/>
        <v>167</v>
      </c>
      <c r="D1307" s="3143" t="str">
        <f ca="1">IFERROR(INDEX('Proof cost'!$A:$AU,MATCH($C1307,'Proof cost'!$AU:$AU,0),9),"")</f>
        <v/>
      </c>
      <c r="E1307" s="3143" t="str">
        <f ca="1">IFERROR(INDEX('Proof cost'!$A:$AU,MATCH($C1307,'Proof cost'!$AU:$AU,0),45),"")</f>
        <v/>
      </c>
      <c r="G1307" s="3143" t="str">
        <f ca="1">IFERROR(INDEX('Proof cost'!$A:$AU,MATCH($C1307,'Proof cost'!$AU:$AU,0),10),"")</f>
        <v/>
      </c>
      <c r="I1307" s="3153" t="str">
        <f ca="1">IFERROR(INDEX('Proof cost'!$A:$AU,MATCH($C1307,'Proof cost'!$AU:$AU,0),20)/'Proof cost'!$I$2,"")</f>
        <v/>
      </c>
      <c r="J1307" s="3153" t="str">
        <f ca="1">IFERROR(INDEX('Proof cost'!$A:$AU,MATCH($C1307,'Proof cost'!$AU:$AU,0),20)/'Proof cost'!$I$2,"")</f>
        <v/>
      </c>
    </row>
    <row r="1308" spans="2:10" ht="21.75">
      <c r="B1308" s="3143" t="s">
        <v>2066</v>
      </c>
      <c r="C1308" s="3143">
        <f t="shared" si="23"/>
        <v>168</v>
      </c>
      <c r="D1308" s="3143" t="str">
        <f ca="1">IFERROR(INDEX('Proof cost'!$A:$AU,MATCH($C1308,'Proof cost'!$AU:$AU,0),9),"")</f>
        <v/>
      </c>
      <c r="E1308" s="3143" t="str">
        <f ca="1">IFERROR(INDEX('Proof cost'!$A:$AU,MATCH($C1308,'Proof cost'!$AU:$AU,0),45),"")</f>
        <v/>
      </c>
      <c r="G1308" s="3143" t="str">
        <f ca="1">IFERROR(INDEX('Proof cost'!$A:$AU,MATCH($C1308,'Proof cost'!$AU:$AU,0),10),"")</f>
        <v/>
      </c>
      <c r="I1308" s="3153" t="str">
        <f ca="1">IFERROR(INDEX('Proof cost'!$A:$AU,MATCH($C1308,'Proof cost'!$AU:$AU,0),20)/'Proof cost'!$I$2,"")</f>
        <v/>
      </c>
      <c r="J1308" s="3153" t="str">
        <f ca="1">IFERROR(INDEX('Proof cost'!$A:$AU,MATCH($C1308,'Proof cost'!$AU:$AU,0),20)/'Proof cost'!$I$2,"")</f>
        <v/>
      </c>
    </row>
    <row r="1309" spans="2:10" ht="21.75">
      <c r="B1309" s="3143" t="s">
        <v>2066</v>
      </c>
      <c r="C1309" s="3143">
        <f t="shared" si="23"/>
        <v>169</v>
      </c>
      <c r="D1309" s="3143" t="str">
        <f ca="1">IFERROR(INDEX('Proof cost'!$A:$AU,MATCH($C1309,'Proof cost'!$AU:$AU,0),9),"")</f>
        <v/>
      </c>
      <c r="E1309" s="3143" t="str">
        <f ca="1">IFERROR(INDEX('Proof cost'!$A:$AU,MATCH($C1309,'Proof cost'!$AU:$AU,0),45),"")</f>
        <v/>
      </c>
      <c r="G1309" s="3143" t="str">
        <f ca="1">IFERROR(INDEX('Proof cost'!$A:$AU,MATCH($C1309,'Proof cost'!$AU:$AU,0),10),"")</f>
        <v/>
      </c>
      <c r="I1309" s="3153" t="str">
        <f ca="1">IFERROR(INDEX('Proof cost'!$A:$AU,MATCH($C1309,'Proof cost'!$AU:$AU,0),20)/'Proof cost'!$I$2,"")</f>
        <v/>
      </c>
      <c r="J1309" s="3153" t="str">
        <f ca="1">IFERROR(INDEX('Proof cost'!$A:$AU,MATCH($C1309,'Proof cost'!$AU:$AU,0),20)/'Proof cost'!$I$2,"")</f>
        <v/>
      </c>
    </row>
    <row r="1310" spans="2:10" ht="21.75">
      <c r="B1310" s="3143" t="s">
        <v>2066</v>
      </c>
      <c r="C1310" s="3143">
        <f t="shared" si="23"/>
        <v>170</v>
      </c>
      <c r="D1310" s="3143" t="str">
        <f ca="1">IFERROR(INDEX('Proof cost'!$A:$AU,MATCH($C1310,'Proof cost'!$AU:$AU,0),9),"")</f>
        <v/>
      </c>
      <c r="E1310" s="3143" t="str">
        <f ca="1">IFERROR(INDEX('Proof cost'!$A:$AU,MATCH($C1310,'Proof cost'!$AU:$AU,0),45),"")</f>
        <v/>
      </c>
      <c r="G1310" s="3143" t="str">
        <f ca="1">IFERROR(INDEX('Proof cost'!$A:$AU,MATCH($C1310,'Proof cost'!$AU:$AU,0),10),"")</f>
        <v/>
      </c>
      <c r="I1310" s="3153" t="str">
        <f ca="1">IFERROR(INDEX('Proof cost'!$A:$AU,MATCH($C1310,'Proof cost'!$AU:$AU,0),20)/'Proof cost'!$I$2,"")</f>
        <v/>
      </c>
      <c r="J1310" s="3153" t="str">
        <f ca="1">IFERROR(INDEX('Proof cost'!$A:$AU,MATCH($C1310,'Proof cost'!$AU:$AU,0),20)/'Proof cost'!$I$2,"")</f>
        <v/>
      </c>
    </row>
    <row r="1311" spans="2:10" ht="21.75">
      <c r="B1311" s="3143" t="s">
        <v>2066</v>
      </c>
      <c r="C1311" s="3143">
        <f t="shared" si="23"/>
        <v>171</v>
      </c>
      <c r="D1311" s="3143" t="str">
        <f ca="1">IFERROR(INDEX('Proof cost'!$A:$AU,MATCH($C1311,'Proof cost'!$AU:$AU,0),9),"")</f>
        <v/>
      </c>
      <c r="E1311" s="3143" t="str">
        <f ca="1">IFERROR(INDEX('Proof cost'!$A:$AU,MATCH($C1311,'Proof cost'!$AU:$AU,0),45),"")</f>
        <v/>
      </c>
      <c r="G1311" s="3143" t="str">
        <f ca="1">IFERROR(INDEX('Proof cost'!$A:$AU,MATCH($C1311,'Proof cost'!$AU:$AU,0),10),"")</f>
        <v/>
      </c>
      <c r="I1311" s="3153" t="str">
        <f ca="1">IFERROR(INDEX('Proof cost'!$A:$AU,MATCH($C1311,'Proof cost'!$AU:$AU,0),20)/'Proof cost'!$I$2,"")</f>
        <v/>
      </c>
      <c r="J1311" s="3153" t="str">
        <f ca="1">IFERROR(INDEX('Proof cost'!$A:$AU,MATCH($C1311,'Proof cost'!$AU:$AU,0),20)/'Proof cost'!$I$2,"")</f>
        <v/>
      </c>
    </row>
    <row r="1312" spans="2:10" ht="21.75">
      <c r="B1312" s="3143" t="s">
        <v>2066</v>
      </c>
      <c r="C1312" s="3143">
        <f t="shared" si="23"/>
        <v>172</v>
      </c>
      <c r="D1312" s="3143" t="str">
        <f ca="1">IFERROR(INDEX('Proof cost'!$A:$AU,MATCH($C1312,'Proof cost'!$AU:$AU,0),9),"")</f>
        <v/>
      </c>
      <c r="E1312" s="3143" t="str">
        <f ca="1">IFERROR(INDEX('Proof cost'!$A:$AU,MATCH($C1312,'Proof cost'!$AU:$AU,0),45),"")</f>
        <v/>
      </c>
      <c r="G1312" s="3143" t="str">
        <f ca="1">IFERROR(INDEX('Proof cost'!$A:$AU,MATCH($C1312,'Proof cost'!$AU:$AU,0),10),"")</f>
        <v/>
      </c>
      <c r="I1312" s="3153" t="str">
        <f ca="1">IFERROR(INDEX('Proof cost'!$A:$AU,MATCH($C1312,'Proof cost'!$AU:$AU,0),20)/'Proof cost'!$I$2,"")</f>
        <v/>
      </c>
      <c r="J1312" s="3153" t="str">
        <f ca="1">IFERROR(INDEX('Proof cost'!$A:$AU,MATCH($C1312,'Proof cost'!$AU:$AU,0),20)/'Proof cost'!$I$2,"")</f>
        <v/>
      </c>
    </row>
    <row r="1313" spans="2:10" ht="21.75">
      <c r="B1313" s="3143" t="s">
        <v>2066</v>
      </c>
      <c r="C1313" s="3143">
        <f t="shared" si="23"/>
        <v>173</v>
      </c>
      <c r="D1313" s="3143" t="str">
        <f ca="1">IFERROR(INDEX('Proof cost'!$A:$AU,MATCH($C1313,'Proof cost'!$AU:$AU,0),9),"")</f>
        <v/>
      </c>
      <c r="E1313" s="3143" t="str">
        <f ca="1">IFERROR(INDEX('Proof cost'!$A:$AU,MATCH($C1313,'Proof cost'!$AU:$AU,0),45),"")</f>
        <v/>
      </c>
      <c r="G1313" s="3143" t="str">
        <f ca="1">IFERROR(INDEX('Proof cost'!$A:$AU,MATCH($C1313,'Proof cost'!$AU:$AU,0),10),"")</f>
        <v/>
      </c>
      <c r="I1313" s="3153" t="str">
        <f ca="1">IFERROR(INDEX('Proof cost'!$A:$AU,MATCH($C1313,'Proof cost'!$AU:$AU,0),20)/'Proof cost'!$I$2,"")</f>
        <v/>
      </c>
      <c r="J1313" s="3153" t="str">
        <f ca="1">IFERROR(INDEX('Proof cost'!$A:$AU,MATCH($C1313,'Proof cost'!$AU:$AU,0),20)/'Proof cost'!$I$2,"")</f>
        <v/>
      </c>
    </row>
    <row r="1314" spans="2:10" ht="21.75">
      <c r="B1314" s="3143" t="s">
        <v>2066</v>
      </c>
      <c r="C1314" s="3143">
        <f t="shared" si="23"/>
        <v>174</v>
      </c>
      <c r="D1314" s="3143" t="str">
        <f ca="1">IFERROR(INDEX('Proof cost'!$A:$AU,MATCH($C1314,'Proof cost'!$AU:$AU,0),9),"")</f>
        <v/>
      </c>
      <c r="E1314" s="3143" t="str">
        <f ca="1">IFERROR(INDEX('Proof cost'!$A:$AU,MATCH($C1314,'Proof cost'!$AU:$AU,0),45),"")</f>
        <v/>
      </c>
      <c r="G1314" s="3143" t="str">
        <f ca="1">IFERROR(INDEX('Proof cost'!$A:$AU,MATCH($C1314,'Proof cost'!$AU:$AU,0),10),"")</f>
        <v/>
      </c>
      <c r="I1314" s="3153" t="str">
        <f ca="1">IFERROR(INDEX('Proof cost'!$A:$AU,MATCH($C1314,'Proof cost'!$AU:$AU,0),20)/'Proof cost'!$I$2,"")</f>
        <v/>
      </c>
      <c r="J1314" s="3153" t="str">
        <f ca="1">IFERROR(INDEX('Proof cost'!$A:$AU,MATCH($C1314,'Proof cost'!$AU:$AU,0),20)/'Proof cost'!$I$2,"")</f>
        <v/>
      </c>
    </row>
    <row r="1315" spans="2:10" ht="21.75">
      <c r="B1315" s="3143" t="s">
        <v>2066</v>
      </c>
      <c r="C1315" s="3143">
        <f t="shared" si="23"/>
        <v>175</v>
      </c>
      <c r="D1315" s="3143" t="str">
        <f ca="1">IFERROR(INDEX('Proof cost'!$A:$AU,MATCH($C1315,'Proof cost'!$AU:$AU,0),9),"")</f>
        <v/>
      </c>
      <c r="E1315" s="3143" t="str">
        <f ca="1">IFERROR(INDEX('Proof cost'!$A:$AU,MATCH($C1315,'Proof cost'!$AU:$AU,0),45),"")</f>
        <v/>
      </c>
      <c r="G1315" s="3143" t="str">
        <f ca="1">IFERROR(INDEX('Proof cost'!$A:$AU,MATCH($C1315,'Proof cost'!$AU:$AU,0),10),"")</f>
        <v/>
      </c>
      <c r="I1315" s="3153" t="str">
        <f ca="1">IFERROR(INDEX('Proof cost'!$A:$AU,MATCH($C1315,'Proof cost'!$AU:$AU,0),20)/'Proof cost'!$I$2,"")</f>
        <v/>
      </c>
      <c r="J1315" s="3153" t="str">
        <f ca="1">IFERROR(INDEX('Proof cost'!$A:$AU,MATCH($C1315,'Proof cost'!$AU:$AU,0),20)/'Proof cost'!$I$2,"")</f>
        <v/>
      </c>
    </row>
    <row r="1316" spans="2:10" ht="21.75">
      <c r="B1316" s="3143" t="s">
        <v>2066</v>
      </c>
      <c r="C1316" s="3143">
        <f t="shared" si="23"/>
        <v>176</v>
      </c>
      <c r="D1316" s="3143" t="str">
        <f ca="1">IFERROR(INDEX('Proof cost'!$A:$AU,MATCH($C1316,'Proof cost'!$AU:$AU,0),9),"")</f>
        <v/>
      </c>
      <c r="E1316" s="3143" t="str">
        <f ca="1">IFERROR(INDEX('Proof cost'!$A:$AU,MATCH($C1316,'Proof cost'!$AU:$AU,0),45),"")</f>
        <v/>
      </c>
      <c r="G1316" s="3143" t="str">
        <f ca="1">IFERROR(INDEX('Proof cost'!$A:$AU,MATCH($C1316,'Proof cost'!$AU:$AU,0),10),"")</f>
        <v/>
      </c>
      <c r="I1316" s="3153" t="str">
        <f ca="1">IFERROR(INDEX('Proof cost'!$A:$AU,MATCH($C1316,'Proof cost'!$AU:$AU,0),20)/'Proof cost'!$I$2,"")</f>
        <v/>
      </c>
      <c r="J1316" s="3153" t="str">
        <f ca="1">IFERROR(INDEX('Proof cost'!$A:$AU,MATCH($C1316,'Proof cost'!$AU:$AU,0),20)/'Proof cost'!$I$2,"")</f>
        <v/>
      </c>
    </row>
    <row r="1317" spans="2:10" ht="21.75">
      <c r="B1317" s="3143" t="s">
        <v>2066</v>
      </c>
      <c r="C1317" s="3143">
        <f t="shared" si="23"/>
        <v>177</v>
      </c>
      <c r="D1317" s="3143" t="str">
        <f ca="1">IFERROR(INDEX('Proof cost'!$A:$AU,MATCH($C1317,'Proof cost'!$AU:$AU,0),9),"")</f>
        <v/>
      </c>
      <c r="E1317" s="3143" t="str">
        <f ca="1">IFERROR(INDEX('Proof cost'!$A:$AU,MATCH($C1317,'Proof cost'!$AU:$AU,0),45),"")</f>
        <v/>
      </c>
      <c r="G1317" s="3143" t="str">
        <f ca="1">IFERROR(INDEX('Proof cost'!$A:$AU,MATCH($C1317,'Proof cost'!$AU:$AU,0),10),"")</f>
        <v/>
      </c>
      <c r="I1317" s="3153" t="str">
        <f ca="1">IFERROR(INDEX('Proof cost'!$A:$AU,MATCH($C1317,'Proof cost'!$AU:$AU,0),20)/'Proof cost'!$I$2,"")</f>
        <v/>
      </c>
      <c r="J1317" s="3153" t="str">
        <f ca="1">IFERROR(INDEX('Proof cost'!$A:$AU,MATCH($C1317,'Proof cost'!$AU:$AU,0),20)/'Proof cost'!$I$2,"")</f>
        <v/>
      </c>
    </row>
    <row r="1318" spans="2:10" ht="21.75">
      <c r="B1318" s="3143" t="s">
        <v>2066</v>
      </c>
      <c r="C1318" s="3143">
        <f t="shared" si="23"/>
        <v>178</v>
      </c>
      <c r="D1318" s="3143" t="str">
        <f ca="1">IFERROR(INDEX('Proof cost'!$A:$AU,MATCH($C1318,'Proof cost'!$AU:$AU,0),9),"")</f>
        <v/>
      </c>
      <c r="E1318" s="3143" t="str">
        <f ca="1">IFERROR(INDEX('Proof cost'!$A:$AU,MATCH($C1318,'Proof cost'!$AU:$AU,0),45),"")</f>
        <v/>
      </c>
      <c r="G1318" s="3143" t="str">
        <f ca="1">IFERROR(INDEX('Proof cost'!$A:$AU,MATCH($C1318,'Proof cost'!$AU:$AU,0),10),"")</f>
        <v/>
      </c>
      <c r="I1318" s="3153" t="str">
        <f ca="1">IFERROR(INDEX('Proof cost'!$A:$AU,MATCH($C1318,'Proof cost'!$AU:$AU,0),20)/'Proof cost'!$I$2,"")</f>
        <v/>
      </c>
      <c r="J1318" s="3153" t="str">
        <f ca="1">IFERROR(INDEX('Proof cost'!$A:$AU,MATCH($C1318,'Proof cost'!$AU:$AU,0),20)/'Proof cost'!$I$2,"")</f>
        <v/>
      </c>
    </row>
    <row r="1319" spans="2:10" ht="21.75">
      <c r="B1319" s="3143" t="s">
        <v>2066</v>
      </c>
      <c r="C1319" s="3143">
        <f t="shared" si="23"/>
        <v>179</v>
      </c>
      <c r="D1319" s="3143" t="str">
        <f ca="1">IFERROR(INDEX('Proof cost'!$A:$AU,MATCH($C1319,'Proof cost'!$AU:$AU,0),9),"")</f>
        <v/>
      </c>
      <c r="E1319" s="3143" t="str">
        <f ca="1">IFERROR(INDEX('Proof cost'!$A:$AU,MATCH($C1319,'Proof cost'!$AU:$AU,0),45),"")</f>
        <v/>
      </c>
      <c r="G1319" s="3143" t="str">
        <f ca="1">IFERROR(INDEX('Proof cost'!$A:$AU,MATCH($C1319,'Proof cost'!$AU:$AU,0),10),"")</f>
        <v/>
      </c>
      <c r="I1319" s="3153" t="str">
        <f ca="1">IFERROR(INDEX('Proof cost'!$A:$AU,MATCH($C1319,'Proof cost'!$AU:$AU,0),20)/'Proof cost'!$I$2,"")</f>
        <v/>
      </c>
      <c r="J1319" s="3153" t="str">
        <f ca="1">IFERROR(INDEX('Proof cost'!$A:$AU,MATCH($C1319,'Proof cost'!$AU:$AU,0),20)/'Proof cost'!$I$2,"")</f>
        <v/>
      </c>
    </row>
    <row r="1320" spans="2:10" ht="21.75">
      <c r="B1320" s="3143" t="s">
        <v>2066</v>
      </c>
      <c r="C1320" s="3143">
        <f t="shared" si="23"/>
        <v>180</v>
      </c>
      <c r="D1320" s="3143" t="str">
        <f ca="1">IFERROR(INDEX('Proof cost'!$A:$AU,MATCH($C1320,'Proof cost'!$AU:$AU,0),9),"")</f>
        <v/>
      </c>
      <c r="E1320" s="3143" t="str">
        <f ca="1">IFERROR(INDEX('Proof cost'!$A:$AU,MATCH($C1320,'Proof cost'!$AU:$AU,0),45),"")</f>
        <v/>
      </c>
      <c r="G1320" s="3143" t="str">
        <f ca="1">IFERROR(INDEX('Proof cost'!$A:$AU,MATCH($C1320,'Proof cost'!$AU:$AU,0),10),"")</f>
        <v/>
      </c>
      <c r="I1320" s="3153" t="str">
        <f ca="1">IFERROR(INDEX('Proof cost'!$A:$AU,MATCH($C1320,'Proof cost'!$AU:$AU,0),20)/'Proof cost'!$I$2,"")</f>
        <v/>
      </c>
      <c r="J1320" s="3153" t="str">
        <f ca="1">IFERROR(INDEX('Proof cost'!$A:$AU,MATCH($C1320,'Proof cost'!$AU:$AU,0),20)/'Proof cost'!$I$2,"")</f>
        <v/>
      </c>
    </row>
    <row r="1321" spans="2:10" ht="21.75">
      <c r="B1321" s="3143" t="s">
        <v>2066</v>
      </c>
      <c r="C1321" s="3143">
        <f t="shared" si="23"/>
        <v>181</v>
      </c>
      <c r="D1321" s="3143" t="str">
        <f ca="1">IFERROR(INDEX('Proof cost'!$A:$AU,MATCH($C1321,'Proof cost'!$AU:$AU,0),9),"")</f>
        <v/>
      </c>
      <c r="E1321" s="3143" t="str">
        <f ca="1">IFERROR(INDEX('Proof cost'!$A:$AU,MATCH($C1321,'Proof cost'!$AU:$AU,0),45),"")</f>
        <v/>
      </c>
      <c r="G1321" s="3143" t="str">
        <f ca="1">IFERROR(INDEX('Proof cost'!$A:$AU,MATCH($C1321,'Proof cost'!$AU:$AU,0),10),"")</f>
        <v/>
      </c>
      <c r="I1321" s="3153" t="str">
        <f ca="1">IFERROR(INDEX('Proof cost'!$A:$AU,MATCH($C1321,'Proof cost'!$AU:$AU,0),20)/'Proof cost'!$I$2,"")</f>
        <v/>
      </c>
      <c r="J1321" s="3153" t="str">
        <f ca="1">IFERROR(INDEX('Proof cost'!$A:$AU,MATCH($C1321,'Proof cost'!$AU:$AU,0),20)/'Proof cost'!$I$2,"")</f>
        <v/>
      </c>
    </row>
    <row r="1322" spans="2:10" ht="21.75">
      <c r="B1322" s="3143" t="s">
        <v>2066</v>
      </c>
      <c r="C1322" s="3143">
        <f t="shared" si="23"/>
        <v>182</v>
      </c>
      <c r="D1322" s="3143" t="str">
        <f ca="1">IFERROR(INDEX('Proof cost'!$A:$AU,MATCH($C1322,'Proof cost'!$AU:$AU,0),9),"")</f>
        <v/>
      </c>
      <c r="E1322" s="3143" t="str">
        <f ca="1">IFERROR(INDEX('Proof cost'!$A:$AU,MATCH($C1322,'Proof cost'!$AU:$AU,0),45),"")</f>
        <v/>
      </c>
      <c r="G1322" s="3143" t="str">
        <f ca="1">IFERROR(INDEX('Proof cost'!$A:$AU,MATCH($C1322,'Proof cost'!$AU:$AU,0),10),"")</f>
        <v/>
      </c>
      <c r="I1322" s="3153" t="str">
        <f ca="1">IFERROR(INDEX('Proof cost'!$A:$AU,MATCH($C1322,'Proof cost'!$AU:$AU,0),20)/'Proof cost'!$I$2,"")</f>
        <v/>
      </c>
      <c r="J1322" s="3153" t="str">
        <f ca="1">IFERROR(INDEX('Proof cost'!$A:$AU,MATCH($C1322,'Proof cost'!$AU:$AU,0),20)/'Proof cost'!$I$2,"")</f>
        <v/>
      </c>
    </row>
    <row r="1323" spans="2:10" ht="21.75">
      <c r="B1323" s="3143" t="s">
        <v>2066</v>
      </c>
      <c r="C1323" s="3143">
        <f t="shared" si="23"/>
        <v>183</v>
      </c>
      <c r="D1323" s="3143" t="str">
        <f ca="1">IFERROR(INDEX('Proof cost'!$A:$AU,MATCH($C1323,'Proof cost'!$AU:$AU,0),9),"")</f>
        <v/>
      </c>
      <c r="E1323" s="3143" t="str">
        <f ca="1">IFERROR(INDEX('Proof cost'!$A:$AU,MATCH($C1323,'Proof cost'!$AU:$AU,0),45),"")</f>
        <v/>
      </c>
      <c r="G1323" s="3143" t="str">
        <f ca="1">IFERROR(INDEX('Proof cost'!$A:$AU,MATCH($C1323,'Proof cost'!$AU:$AU,0),10),"")</f>
        <v/>
      </c>
      <c r="I1323" s="3153" t="str">
        <f ca="1">IFERROR(INDEX('Proof cost'!$A:$AU,MATCH($C1323,'Proof cost'!$AU:$AU,0),20)/'Proof cost'!$I$2,"")</f>
        <v/>
      </c>
      <c r="J1323" s="3153" t="str">
        <f ca="1">IFERROR(INDEX('Proof cost'!$A:$AU,MATCH($C1323,'Proof cost'!$AU:$AU,0),20)/'Proof cost'!$I$2,"")</f>
        <v/>
      </c>
    </row>
    <row r="1324" spans="2:10" ht="21.75">
      <c r="B1324" s="3143" t="s">
        <v>2066</v>
      </c>
      <c r="C1324" s="3143">
        <f t="shared" si="23"/>
        <v>184</v>
      </c>
      <c r="D1324" s="3143" t="str">
        <f ca="1">IFERROR(INDEX('Proof cost'!$A:$AU,MATCH($C1324,'Proof cost'!$AU:$AU,0),9),"")</f>
        <v/>
      </c>
      <c r="E1324" s="3143" t="str">
        <f ca="1">IFERROR(INDEX('Proof cost'!$A:$AU,MATCH($C1324,'Proof cost'!$AU:$AU,0),45),"")</f>
        <v/>
      </c>
      <c r="G1324" s="3143" t="str">
        <f ca="1">IFERROR(INDEX('Proof cost'!$A:$AU,MATCH($C1324,'Proof cost'!$AU:$AU,0),10),"")</f>
        <v/>
      </c>
      <c r="I1324" s="3153" t="str">
        <f ca="1">IFERROR(INDEX('Proof cost'!$A:$AU,MATCH($C1324,'Proof cost'!$AU:$AU,0),20)/'Proof cost'!$I$2,"")</f>
        <v/>
      </c>
      <c r="J1324" s="3153" t="str">
        <f ca="1">IFERROR(INDEX('Proof cost'!$A:$AU,MATCH($C1324,'Proof cost'!$AU:$AU,0),20)/'Proof cost'!$I$2,"")</f>
        <v/>
      </c>
    </row>
    <row r="1325" spans="2:10" ht="21.75">
      <c r="B1325" s="3143" t="s">
        <v>2066</v>
      </c>
      <c r="C1325" s="3143">
        <f t="shared" si="23"/>
        <v>185</v>
      </c>
      <c r="D1325" s="3143" t="str">
        <f ca="1">IFERROR(INDEX('Proof cost'!$A:$AU,MATCH($C1325,'Proof cost'!$AU:$AU,0),9),"")</f>
        <v/>
      </c>
      <c r="E1325" s="3143" t="str">
        <f ca="1">IFERROR(INDEX('Proof cost'!$A:$AU,MATCH($C1325,'Proof cost'!$AU:$AU,0),45),"")</f>
        <v/>
      </c>
      <c r="G1325" s="3143" t="str">
        <f ca="1">IFERROR(INDEX('Proof cost'!$A:$AU,MATCH($C1325,'Proof cost'!$AU:$AU,0),10),"")</f>
        <v/>
      </c>
      <c r="I1325" s="3153" t="str">
        <f ca="1">IFERROR(INDEX('Proof cost'!$A:$AU,MATCH($C1325,'Proof cost'!$AU:$AU,0),20)/'Proof cost'!$I$2,"")</f>
        <v/>
      </c>
      <c r="J1325" s="3153" t="str">
        <f ca="1">IFERROR(INDEX('Proof cost'!$A:$AU,MATCH($C1325,'Proof cost'!$AU:$AU,0),20)/'Proof cost'!$I$2,"")</f>
        <v/>
      </c>
    </row>
    <row r="1326" spans="2:10" ht="21.75">
      <c r="B1326" s="3143" t="s">
        <v>2066</v>
      </c>
      <c r="C1326" s="3143">
        <f t="shared" si="23"/>
        <v>186</v>
      </c>
      <c r="D1326" s="3143" t="str">
        <f ca="1">IFERROR(INDEX('Proof cost'!$A:$AU,MATCH($C1326,'Proof cost'!$AU:$AU,0),9),"")</f>
        <v/>
      </c>
      <c r="E1326" s="3143" t="str">
        <f ca="1">IFERROR(INDEX('Proof cost'!$A:$AU,MATCH($C1326,'Proof cost'!$AU:$AU,0),45),"")</f>
        <v/>
      </c>
      <c r="G1326" s="3143" t="str">
        <f ca="1">IFERROR(INDEX('Proof cost'!$A:$AU,MATCH($C1326,'Proof cost'!$AU:$AU,0),10),"")</f>
        <v/>
      </c>
      <c r="I1326" s="3153" t="str">
        <f ca="1">IFERROR(INDEX('Proof cost'!$A:$AU,MATCH($C1326,'Proof cost'!$AU:$AU,0),20)/'Proof cost'!$I$2,"")</f>
        <v/>
      </c>
      <c r="J1326" s="3153" t="str">
        <f ca="1">IFERROR(INDEX('Proof cost'!$A:$AU,MATCH($C1326,'Proof cost'!$AU:$AU,0),20)/'Proof cost'!$I$2,"")</f>
        <v/>
      </c>
    </row>
    <row r="1327" spans="2:10" ht="21.75">
      <c r="B1327" s="3143" t="s">
        <v>2066</v>
      </c>
      <c r="C1327" s="3143">
        <f t="shared" si="23"/>
        <v>187</v>
      </c>
      <c r="D1327" s="3143" t="str">
        <f ca="1">IFERROR(INDEX('Proof cost'!$A:$AU,MATCH($C1327,'Proof cost'!$AU:$AU,0),9),"")</f>
        <v/>
      </c>
      <c r="E1327" s="3143" t="str">
        <f ca="1">IFERROR(INDEX('Proof cost'!$A:$AU,MATCH($C1327,'Proof cost'!$AU:$AU,0),45),"")</f>
        <v/>
      </c>
      <c r="G1327" s="3143" t="str">
        <f ca="1">IFERROR(INDEX('Proof cost'!$A:$AU,MATCH($C1327,'Proof cost'!$AU:$AU,0),10),"")</f>
        <v/>
      </c>
      <c r="I1327" s="3153" t="str">
        <f ca="1">IFERROR(INDEX('Proof cost'!$A:$AU,MATCH($C1327,'Proof cost'!$AU:$AU,0),20)/'Proof cost'!$I$2,"")</f>
        <v/>
      </c>
      <c r="J1327" s="3153" t="str">
        <f ca="1">IFERROR(INDEX('Proof cost'!$A:$AU,MATCH($C1327,'Proof cost'!$AU:$AU,0),20)/'Proof cost'!$I$2,"")</f>
        <v/>
      </c>
    </row>
    <row r="1328" spans="2:10" ht="21.75">
      <c r="B1328" s="3143" t="s">
        <v>2066</v>
      </c>
      <c r="C1328" s="3143">
        <f t="shared" si="23"/>
        <v>188</v>
      </c>
      <c r="D1328" s="3143" t="str">
        <f ca="1">IFERROR(INDEX('Proof cost'!$A:$AU,MATCH($C1328,'Proof cost'!$AU:$AU,0),9),"")</f>
        <v/>
      </c>
      <c r="E1328" s="3143" t="str">
        <f ca="1">IFERROR(INDEX('Proof cost'!$A:$AU,MATCH($C1328,'Proof cost'!$AU:$AU,0),45),"")</f>
        <v/>
      </c>
      <c r="G1328" s="3143" t="str">
        <f ca="1">IFERROR(INDEX('Proof cost'!$A:$AU,MATCH($C1328,'Proof cost'!$AU:$AU,0),10),"")</f>
        <v/>
      </c>
      <c r="I1328" s="3153" t="str">
        <f ca="1">IFERROR(INDEX('Proof cost'!$A:$AU,MATCH($C1328,'Proof cost'!$AU:$AU,0),20)/'Proof cost'!$I$2,"")</f>
        <v/>
      </c>
      <c r="J1328" s="3153" t="str">
        <f ca="1">IFERROR(INDEX('Proof cost'!$A:$AU,MATCH($C1328,'Proof cost'!$AU:$AU,0),20)/'Proof cost'!$I$2,"")</f>
        <v/>
      </c>
    </row>
    <row r="1329" spans="2:10" ht="21.75">
      <c r="B1329" s="3143" t="s">
        <v>2066</v>
      </c>
      <c r="C1329" s="3143">
        <f t="shared" si="23"/>
        <v>189</v>
      </c>
      <c r="D1329" s="3143" t="str">
        <f ca="1">IFERROR(INDEX('Proof cost'!$A:$AU,MATCH($C1329,'Proof cost'!$AU:$AU,0),9),"")</f>
        <v/>
      </c>
      <c r="E1329" s="3143" t="str">
        <f ca="1">IFERROR(INDEX('Proof cost'!$A:$AU,MATCH($C1329,'Proof cost'!$AU:$AU,0),45),"")</f>
        <v/>
      </c>
      <c r="G1329" s="3143" t="str">
        <f ca="1">IFERROR(INDEX('Proof cost'!$A:$AU,MATCH($C1329,'Proof cost'!$AU:$AU,0),10),"")</f>
        <v/>
      </c>
      <c r="I1329" s="3153" t="str">
        <f ca="1">IFERROR(INDEX('Proof cost'!$A:$AU,MATCH($C1329,'Proof cost'!$AU:$AU,0),20)/'Proof cost'!$I$2,"")</f>
        <v/>
      </c>
      <c r="J1329" s="3153" t="str">
        <f ca="1">IFERROR(INDEX('Proof cost'!$A:$AU,MATCH($C1329,'Proof cost'!$AU:$AU,0),20)/'Proof cost'!$I$2,"")</f>
        <v/>
      </c>
    </row>
    <row r="1330" spans="2:10" ht="21.75">
      <c r="B1330" s="3143" t="s">
        <v>2066</v>
      </c>
      <c r="C1330" s="3143">
        <f t="shared" si="23"/>
        <v>190</v>
      </c>
      <c r="D1330" s="3143" t="str">
        <f ca="1">IFERROR(INDEX('Proof cost'!$A:$AU,MATCH($C1330,'Proof cost'!$AU:$AU,0),9),"")</f>
        <v/>
      </c>
      <c r="E1330" s="3143" t="str">
        <f ca="1">IFERROR(INDEX('Proof cost'!$A:$AU,MATCH($C1330,'Proof cost'!$AU:$AU,0),45),"")</f>
        <v/>
      </c>
      <c r="G1330" s="3143" t="str">
        <f ca="1">IFERROR(INDEX('Proof cost'!$A:$AU,MATCH($C1330,'Proof cost'!$AU:$AU,0),10),"")</f>
        <v/>
      </c>
      <c r="I1330" s="3153" t="str">
        <f ca="1">IFERROR(INDEX('Proof cost'!$A:$AU,MATCH($C1330,'Proof cost'!$AU:$AU,0),20)/'Proof cost'!$I$2,"")</f>
        <v/>
      </c>
      <c r="J1330" s="3153" t="str">
        <f ca="1">IFERROR(INDEX('Proof cost'!$A:$AU,MATCH($C1330,'Proof cost'!$AU:$AU,0),20)/'Proof cost'!$I$2,"")</f>
        <v/>
      </c>
    </row>
    <row r="1331" spans="2:10" ht="21.75">
      <c r="B1331" s="3143" t="s">
        <v>2066</v>
      </c>
      <c r="C1331" s="3143">
        <f t="shared" si="23"/>
        <v>191</v>
      </c>
      <c r="D1331" s="3143" t="str">
        <f ca="1">IFERROR(INDEX('Proof cost'!$A:$AU,MATCH($C1331,'Proof cost'!$AU:$AU,0),9),"")</f>
        <v/>
      </c>
      <c r="E1331" s="3143" t="str">
        <f ca="1">IFERROR(INDEX('Proof cost'!$A:$AU,MATCH($C1331,'Proof cost'!$AU:$AU,0),45),"")</f>
        <v/>
      </c>
      <c r="G1331" s="3143" t="str">
        <f ca="1">IFERROR(INDEX('Proof cost'!$A:$AU,MATCH($C1331,'Proof cost'!$AU:$AU,0),10),"")</f>
        <v/>
      </c>
      <c r="I1331" s="3153" t="str">
        <f ca="1">IFERROR(INDEX('Proof cost'!$A:$AU,MATCH($C1331,'Proof cost'!$AU:$AU,0),20)/'Proof cost'!$I$2,"")</f>
        <v/>
      </c>
      <c r="J1331" s="3153" t="str">
        <f ca="1">IFERROR(INDEX('Proof cost'!$A:$AU,MATCH($C1331,'Proof cost'!$AU:$AU,0),20)/'Proof cost'!$I$2,"")</f>
        <v/>
      </c>
    </row>
    <row r="1332" spans="2:10" ht="21.75">
      <c r="B1332" s="3143" t="s">
        <v>2066</v>
      </c>
      <c r="C1332" s="3143">
        <f t="shared" si="23"/>
        <v>192</v>
      </c>
      <c r="D1332" s="3143" t="str">
        <f ca="1">IFERROR(INDEX('Proof cost'!$A:$AU,MATCH($C1332,'Proof cost'!$AU:$AU,0),9),"")</f>
        <v/>
      </c>
      <c r="E1332" s="3143" t="str">
        <f ca="1">IFERROR(INDEX('Proof cost'!$A:$AU,MATCH($C1332,'Proof cost'!$AU:$AU,0),45),"")</f>
        <v/>
      </c>
      <c r="G1332" s="3143" t="str">
        <f ca="1">IFERROR(INDEX('Proof cost'!$A:$AU,MATCH($C1332,'Proof cost'!$AU:$AU,0),10),"")</f>
        <v/>
      </c>
      <c r="I1332" s="3153" t="str">
        <f ca="1">IFERROR(INDEX('Proof cost'!$A:$AU,MATCH($C1332,'Proof cost'!$AU:$AU,0),20)/'Proof cost'!$I$2,"")</f>
        <v/>
      </c>
      <c r="J1332" s="3153" t="str">
        <f ca="1">IFERROR(INDEX('Proof cost'!$A:$AU,MATCH($C1332,'Proof cost'!$AU:$AU,0),20)/'Proof cost'!$I$2,"")</f>
        <v/>
      </c>
    </row>
    <row r="1333" spans="2:10" ht="21.75">
      <c r="B1333" s="3143" t="s">
        <v>2066</v>
      </c>
      <c r="C1333" s="3143">
        <f t="shared" si="23"/>
        <v>193</v>
      </c>
      <c r="D1333" s="3143" t="str">
        <f ca="1">IFERROR(INDEX('Proof cost'!$A:$AU,MATCH($C1333,'Proof cost'!$AU:$AU,0),9),"")</f>
        <v/>
      </c>
      <c r="E1333" s="3143" t="str">
        <f ca="1">IFERROR(INDEX('Proof cost'!$A:$AU,MATCH($C1333,'Proof cost'!$AU:$AU,0),45),"")</f>
        <v/>
      </c>
      <c r="G1333" s="3143" t="str">
        <f ca="1">IFERROR(INDEX('Proof cost'!$A:$AU,MATCH($C1333,'Proof cost'!$AU:$AU,0),10),"")</f>
        <v/>
      </c>
      <c r="I1333" s="3153" t="str">
        <f ca="1">IFERROR(INDEX('Proof cost'!$A:$AU,MATCH($C1333,'Proof cost'!$AU:$AU,0),20)/'Proof cost'!$I$2,"")</f>
        <v/>
      </c>
      <c r="J1333" s="3153" t="str">
        <f ca="1">IFERROR(INDEX('Proof cost'!$A:$AU,MATCH($C1333,'Proof cost'!$AU:$AU,0),20)/'Proof cost'!$I$2,"")</f>
        <v/>
      </c>
    </row>
    <row r="1334" spans="2:10" ht="21.75">
      <c r="B1334" s="3143" t="s">
        <v>2066</v>
      </c>
      <c r="C1334" s="3143">
        <f t="shared" si="23"/>
        <v>194</v>
      </c>
      <c r="D1334" s="3143" t="str">
        <f ca="1">IFERROR(INDEX('Proof cost'!$A:$AU,MATCH($C1334,'Proof cost'!$AU:$AU,0),9),"")</f>
        <v/>
      </c>
      <c r="E1334" s="3143" t="str">
        <f ca="1">IFERROR(INDEX('Proof cost'!$A:$AU,MATCH($C1334,'Proof cost'!$AU:$AU,0),45),"")</f>
        <v/>
      </c>
      <c r="G1334" s="3143" t="str">
        <f ca="1">IFERROR(INDEX('Proof cost'!$A:$AU,MATCH($C1334,'Proof cost'!$AU:$AU,0),10),"")</f>
        <v/>
      </c>
      <c r="I1334" s="3153" t="str">
        <f ca="1">IFERROR(INDEX('Proof cost'!$A:$AU,MATCH($C1334,'Proof cost'!$AU:$AU,0),20)/'Proof cost'!$I$2,"")</f>
        <v/>
      </c>
      <c r="J1334" s="3153" t="str">
        <f ca="1">IFERROR(INDEX('Proof cost'!$A:$AU,MATCH($C1334,'Proof cost'!$AU:$AU,0),20)/'Proof cost'!$I$2,"")</f>
        <v/>
      </c>
    </row>
    <row r="1335" spans="2:10" ht="21.75">
      <c r="B1335" s="3143" t="s">
        <v>2066</v>
      </c>
      <c r="C1335" s="3143">
        <f t="shared" ref="C1335:C1344" si="24">C1334+1</f>
        <v>195</v>
      </c>
      <c r="D1335" s="3143" t="str">
        <f ca="1">IFERROR(INDEX('Proof cost'!$A:$AU,MATCH($C1335,'Proof cost'!$AU:$AU,0),9),"")</f>
        <v/>
      </c>
      <c r="E1335" s="3143" t="str">
        <f ca="1">IFERROR(INDEX('Proof cost'!$A:$AU,MATCH($C1335,'Proof cost'!$AU:$AU,0),45),"")</f>
        <v/>
      </c>
      <c r="G1335" s="3143" t="str">
        <f ca="1">IFERROR(INDEX('Proof cost'!$A:$AU,MATCH($C1335,'Proof cost'!$AU:$AU,0),10),"")</f>
        <v/>
      </c>
      <c r="I1335" s="3153" t="str">
        <f ca="1">IFERROR(INDEX('Proof cost'!$A:$AU,MATCH($C1335,'Proof cost'!$AU:$AU,0),20)/'Proof cost'!$I$2,"")</f>
        <v/>
      </c>
      <c r="J1335" s="3153" t="str">
        <f ca="1">IFERROR(INDEX('Proof cost'!$A:$AU,MATCH($C1335,'Proof cost'!$AU:$AU,0),20)/'Proof cost'!$I$2,"")</f>
        <v/>
      </c>
    </row>
    <row r="1336" spans="2:10" ht="21.75">
      <c r="B1336" s="3143" t="s">
        <v>2066</v>
      </c>
      <c r="C1336" s="3143">
        <f t="shared" si="24"/>
        <v>196</v>
      </c>
      <c r="D1336" s="3143" t="str">
        <f ca="1">IFERROR(INDEX('Proof cost'!$A:$AU,MATCH($C1336,'Proof cost'!$AU:$AU,0),9),"")</f>
        <v/>
      </c>
      <c r="E1336" s="3143" t="str">
        <f ca="1">IFERROR(INDEX('Proof cost'!$A:$AU,MATCH($C1336,'Proof cost'!$AU:$AU,0),45),"")</f>
        <v/>
      </c>
      <c r="G1336" s="3143" t="str">
        <f ca="1">IFERROR(INDEX('Proof cost'!$A:$AU,MATCH($C1336,'Proof cost'!$AU:$AU,0),10),"")</f>
        <v/>
      </c>
      <c r="I1336" s="3153" t="str">
        <f ca="1">IFERROR(INDEX('Proof cost'!$A:$AU,MATCH($C1336,'Proof cost'!$AU:$AU,0),20)/'Proof cost'!$I$2,"")</f>
        <v/>
      </c>
      <c r="J1336" s="3153" t="str">
        <f ca="1">IFERROR(INDEX('Proof cost'!$A:$AU,MATCH($C1336,'Proof cost'!$AU:$AU,0),20)/'Proof cost'!$I$2,"")</f>
        <v/>
      </c>
    </row>
    <row r="1337" spans="2:10" ht="21.75">
      <c r="B1337" s="3143" t="s">
        <v>2066</v>
      </c>
      <c r="C1337" s="3143">
        <f t="shared" si="24"/>
        <v>197</v>
      </c>
      <c r="D1337" s="3143" t="str">
        <f ca="1">IFERROR(INDEX('Proof cost'!$A:$AU,MATCH($C1337,'Proof cost'!$AU:$AU,0),9),"")</f>
        <v/>
      </c>
      <c r="E1337" s="3143" t="str">
        <f ca="1">IFERROR(INDEX('Proof cost'!$A:$AU,MATCH($C1337,'Proof cost'!$AU:$AU,0),45),"")</f>
        <v/>
      </c>
      <c r="G1337" s="3143" t="str">
        <f ca="1">IFERROR(INDEX('Proof cost'!$A:$AU,MATCH($C1337,'Proof cost'!$AU:$AU,0),10),"")</f>
        <v/>
      </c>
      <c r="I1337" s="3153" t="str">
        <f ca="1">IFERROR(INDEX('Proof cost'!$A:$AU,MATCH($C1337,'Proof cost'!$AU:$AU,0),20)/'Proof cost'!$I$2,"")</f>
        <v/>
      </c>
      <c r="J1337" s="3153" t="str">
        <f ca="1">IFERROR(INDEX('Proof cost'!$A:$AU,MATCH($C1337,'Proof cost'!$AU:$AU,0),20)/'Proof cost'!$I$2,"")</f>
        <v/>
      </c>
    </row>
    <row r="1338" spans="2:10" ht="21.75">
      <c r="B1338" s="3143" t="s">
        <v>2066</v>
      </c>
      <c r="C1338" s="3143">
        <f t="shared" si="24"/>
        <v>198</v>
      </c>
      <c r="D1338" s="3143" t="str">
        <f ca="1">IFERROR(INDEX('Proof cost'!$A:$AU,MATCH($C1338,'Proof cost'!$AU:$AU,0),9),"")</f>
        <v/>
      </c>
      <c r="E1338" s="3143" t="str">
        <f ca="1">IFERROR(INDEX('Proof cost'!$A:$AU,MATCH($C1338,'Proof cost'!$AU:$AU,0),45),"")</f>
        <v/>
      </c>
      <c r="G1338" s="3143" t="str">
        <f ca="1">IFERROR(INDEX('Proof cost'!$A:$AU,MATCH($C1338,'Proof cost'!$AU:$AU,0),10),"")</f>
        <v/>
      </c>
      <c r="I1338" s="3153" t="str">
        <f ca="1">IFERROR(INDEX('Proof cost'!$A:$AU,MATCH($C1338,'Proof cost'!$AU:$AU,0),20)/'Proof cost'!$I$2,"")</f>
        <v/>
      </c>
      <c r="J1338" s="3153" t="str">
        <f ca="1">IFERROR(INDEX('Proof cost'!$A:$AU,MATCH($C1338,'Proof cost'!$AU:$AU,0),20)/'Proof cost'!$I$2,"")</f>
        <v/>
      </c>
    </row>
    <row r="1339" spans="2:10" ht="21.75">
      <c r="B1339" s="3143" t="s">
        <v>2066</v>
      </c>
      <c r="C1339" s="3143">
        <f t="shared" si="24"/>
        <v>199</v>
      </c>
      <c r="D1339" s="3143" t="str">
        <f ca="1">IFERROR(INDEX('Proof cost'!$A:$AU,MATCH($C1339,'Proof cost'!$AU:$AU,0),9),"")</f>
        <v/>
      </c>
      <c r="E1339" s="3143" t="str">
        <f ca="1">IFERROR(INDEX('Proof cost'!$A:$AU,MATCH($C1339,'Proof cost'!$AU:$AU,0),45),"")</f>
        <v/>
      </c>
      <c r="G1339" s="3143" t="str">
        <f ca="1">IFERROR(INDEX('Proof cost'!$A:$AU,MATCH($C1339,'Proof cost'!$AU:$AU,0),10),"")</f>
        <v/>
      </c>
      <c r="I1339" s="3153" t="str">
        <f ca="1">IFERROR(INDEX('Proof cost'!$A:$AU,MATCH($C1339,'Proof cost'!$AU:$AU,0),20)/'Proof cost'!$I$2,"")</f>
        <v/>
      </c>
      <c r="J1339" s="3153" t="str">
        <f ca="1">IFERROR(INDEX('Proof cost'!$A:$AU,MATCH($C1339,'Proof cost'!$AU:$AU,0),20)/'Proof cost'!$I$2,"")</f>
        <v/>
      </c>
    </row>
    <row r="1340" spans="2:10" ht="21.75">
      <c r="B1340" s="3143" t="s">
        <v>2066</v>
      </c>
      <c r="C1340" s="3143">
        <f t="shared" si="24"/>
        <v>200</v>
      </c>
      <c r="D1340" s="3143" t="str">
        <f ca="1">IFERROR(INDEX('Proof cost'!$A:$AU,MATCH($C1340,'Proof cost'!$AU:$AU,0),9),"")</f>
        <v/>
      </c>
      <c r="E1340" s="3143" t="str">
        <f ca="1">IFERROR(INDEX('Proof cost'!$A:$AU,MATCH($C1340,'Proof cost'!$AU:$AU,0),45),"")</f>
        <v/>
      </c>
      <c r="G1340" s="3143" t="str">
        <f ca="1">IFERROR(INDEX('Proof cost'!$A:$AU,MATCH($C1340,'Proof cost'!$AU:$AU,0),10),"")</f>
        <v/>
      </c>
      <c r="I1340" s="3153" t="str">
        <f ca="1">IFERROR(INDEX('Proof cost'!$A:$AU,MATCH($C1340,'Proof cost'!$AU:$AU,0),20)/'Proof cost'!$I$2,"")</f>
        <v/>
      </c>
      <c r="J1340" s="3153" t="str">
        <f ca="1">IFERROR(INDEX('Proof cost'!$A:$AU,MATCH($C1340,'Proof cost'!$AU:$AU,0),20)/'Proof cost'!$I$2,"")</f>
        <v/>
      </c>
    </row>
    <row r="1341" spans="2:10" ht="21.75">
      <c r="B1341" s="3143" t="s">
        <v>2066</v>
      </c>
      <c r="C1341" s="3143">
        <f t="shared" si="24"/>
        <v>201</v>
      </c>
      <c r="D1341" s="3143" t="str">
        <f ca="1">IFERROR(INDEX('Proof cost'!$A:$AU,MATCH($C1341,'Proof cost'!$AU:$AU,0),9),"")</f>
        <v/>
      </c>
      <c r="E1341" s="3143" t="str">
        <f ca="1">IFERROR(INDEX('Proof cost'!$A:$AU,MATCH($C1341,'Proof cost'!$AU:$AU,0),45),"")</f>
        <v/>
      </c>
      <c r="G1341" s="3143" t="str">
        <f ca="1">IFERROR(INDEX('Proof cost'!$A:$AU,MATCH($C1341,'Proof cost'!$AU:$AU,0),10),"")</f>
        <v/>
      </c>
      <c r="I1341" s="3153" t="str">
        <f ca="1">IFERROR(INDEX('Proof cost'!$A:$AU,MATCH($C1341,'Proof cost'!$AU:$AU,0),20)/'Proof cost'!$I$2,"")</f>
        <v/>
      </c>
      <c r="J1341" s="3153" t="str">
        <f ca="1">IFERROR(INDEX('Proof cost'!$A:$AU,MATCH($C1341,'Proof cost'!$AU:$AU,0),20)/'Proof cost'!$I$2,"")</f>
        <v/>
      </c>
    </row>
    <row r="1342" spans="2:10" ht="21.75">
      <c r="B1342" s="3143" t="s">
        <v>2066</v>
      </c>
      <c r="C1342" s="3143">
        <f t="shared" si="24"/>
        <v>202</v>
      </c>
      <c r="D1342" s="3143" t="str">
        <f ca="1">IFERROR(INDEX('Proof cost'!$A:$AU,MATCH($C1342,'Proof cost'!$AU:$AU,0),9),"")</f>
        <v/>
      </c>
      <c r="E1342" s="3143" t="str">
        <f ca="1">IFERROR(INDEX('Proof cost'!$A:$AU,MATCH($C1342,'Proof cost'!$AU:$AU,0),45),"")</f>
        <v/>
      </c>
      <c r="G1342" s="3143" t="str">
        <f ca="1">IFERROR(INDEX('Proof cost'!$A:$AU,MATCH($C1342,'Proof cost'!$AU:$AU,0),10),"")</f>
        <v/>
      </c>
      <c r="I1342" s="3153" t="str">
        <f ca="1">IFERROR(INDEX('Proof cost'!$A:$AU,MATCH($C1342,'Proof cost'!$AU:$AU,0),20)/'Proof cost'!$I$2,"")</f>
        <v/>
      </c>
      <c r="J1342" s="3153" t="str">
        <f ca="1">IFERROR(INDEX('Proof cost'!$A:$AU,MATCH($C1342,'Proof cost'!$AU:$AU,0),20)/'Proof cost'!$I$2,"")</f>
        <v/>
      </c>
    </row>
    <row r="1343" spans="2:10" ht="21.75">
      <c r="B1343" s="3143" t="s">
        <v>2066</v>
      </c>
      <c r="C1343" s="3143">
        <f t="shared" si="24"/>
        <v>203</v>
      </c>
      <c r="D1343" s="3143" t="str">
        <f ca="1">IFERROR(INDEX('Proof cost'!$A:$AU,MATCH($C1343,'Proof cost'!$AU:$AU,0),9),"")</f>
        <v/>
      </c>
      <c r="E1343" s="3143" t="str">
        <f ca="1">IFERROR(INDEX('Proof cost'!$A:$AU,MATCH($C1343,'Proof cost'!$AU:$AU,0),45),"")</f>
        <v/>
      </c>
      <c r="G1343" s="3143" t="str">
        <f ca="1">IFERROR(INDEX('Proof cost'!$A:$AU,MATCH($C1343,'Proof cost'!$AU:$AU,0),10),"")</f>
        <v/>
      </c>
      <c r="I1343" s="3153" t="str">
        <f ca="1">IFERROR(INDEX('Proof cost'!$A:$AU,MATCH($C1343,'Proof cost'!$AU:$AU,0),20)/'Proof cost'!$I$2,"")</f>
        <v/>
      </c>
      <c r="J1343" s="3153" t="str">
        <f ca="1">IFERROR(INDEX('Proof cost'!$A:$AU,MATCH($C1343,'Proof cost'!$AU:$AU,0),20)/'Proof cost'!$I$2,"")</f>
        <v/>
      </c>
    </row>
    <row r="1344" spans="2:10" ht="21.75">
      <c r="B1344" s="3143" t="s">
        <v>2066</v>
      </c>
      <c r="C1344" s="3143">
        <f t="shared" si="24"/>
        <v>204</v>
      </c>
      <c r="D1344" s="3143" t="str">
        <f ca="1">IFERROR(INDEX('Proof cost'!$A:$AU,MATCH($C1344,'Proof cost'!$AU:$AU,0),9),"")</f>
        <v/>
      </c>
      <c r="E1344" s="3143" t="str">
        <f ca="1">IFERROR(INDEX('Proof cost'!$A:$AU,MATCH($C1344,'Proof cost'!$AU:$AU,0),45),"")</f>
        <v/>
      </c>
      <c r="G1344" s="3143" t="str">
        <f ca="1">IFERROR(INDEX('Proof cost'!$A:$AU,MATCH($C1344,'Proof cost'!$AU:$AU,0),10),"")</f>
        <v/>
      </c>
      <c r="I1344" s="3153" t="str">
        <f ca="1">IFERROR(INDEX('Proof cost'!$A:$AU,MATCH($C1344,'Proof cost'!$AU:$AU,0),20)/'Proof cost'!$I$2,"")</f>
        <v/>
      </c>
      <c r="J1344" s="3153" t="str">
        <f ca="1">IFERROR(INDEX('Proof cost'!$A:$AU,MATCH($C1344,'Proof cost'!$AU:$AU,0),20)/'Proof cost'!$I$2,"")</f>
        <v/>
      </c>
    </row>
    <row r="1346" spans="2:10" ht="21.75">
      <c r="B1346" s="3143" t="s">
        <v>3654</v>
      </c>
      <c r="C1346" s="3143">
        <v>1</v>
      </c>
      <c r="D1346" s="3143">
        <f ca="1">IFERROR(INDEX('Production cost'!$A:$AU,MATCH($C1346,'Production cost'!$AU:$AU,0),6),"")</f>
        <v>0</v>
      </c>
      <c r="E1346" s="3143" t="str">
        <f ca="1">IFERROR(INDEX('Production cost'!$A:$AU,MATCH($C1346,'Production cost'!$AU:$AU,0),3),"")</f>
        <v>Slitting paper in roll</v>
      </c>
      <c r="G1346" s="3153">
        <f ca="1">IFERROR(INDEX('Production cost'!$A:$AU,MATCH($C1346,'Production cost'!$AU:$AU,0),9),"")</f>
        <v>10000</v>
      </c>
      <c r="H1346" s="3599">
        <f ca="1">IFERROR(IFERROR(INDEX('Production cost'!$A:$AU,MATCH($C1346,'Production cost'!$AU:$AU,0),11),"")+IFERROR(INDEX('Production cost'!$A:$AU,MATCH($C1346,'Production cost'!$AU:$AU,0),12),""),"")</f>
        <v>3</v>
      </c>
      <c r="I1346" s="3153">
        <f ca="1">IFERROR(INDEX('Production cost'!$A:$AU,MATCH($C1346,'Production cost'!$AU:$AU,0),28)/'Production cost'!$E$2,"")</f>
        <v>44.276081838922281</v>
      </c>
      <c r="J1346" s="3153">
        <f ca="1">IFERROR(INDEX('Production cost'!$A:$AU,MATCH($C1346,'Production cost'!$AU:$AU,0),28)/'Production cost'!$E$2,"")</f>
        <v>44.276081838922281</v>
      </c>
    </row>
    <row r="1347" spans="2:10" ht="21.75">
      <c r="B1347" s="3143" t="s">
        <v>3654</v>
      </c>
      <c r="C1347" s="3143">
        <f>C1346+1</f>
        <v>2</v>
      </c>
      <c r="D1347" s="3143" t="str">
        <f ca="1">IFERROR(INDEX('Production cost'!$A:$AU,MATCH($C1347,'Production cost'!$AU:$AU,0),6),"")</f>
        <v>Box</v>
      </c>
      <c r="E1347" s="3143" t="str">
        <f ca="1">IFERROR(INDEX('Production cost'!$A:$AU,MATCH($C1347,'Production cost'!$AU:$AU,0),3),"")</f>
        <v>Trimming</v>
      </c>
      <c r="G1347" s="3153" t="str">
        <f ca="1">IFERROR(INDEX('Production cost'!$A:$AU,MATCH($C1347,'Production cost'!$AU:$AU,0),9),"")</f>
        <v>8000</v>
      </c>
      <c r="H1347" s="3599">
        <f ca="1">IFERROR(IFERROR(INDEX('Production cost'!$A:$AU,MATCH($C1347,'Production cost'!$AU:$AU,0),11),"")+IFERROR(INDEX('Production cost'!$A:$AU,MATCH($C1347,'Production cost'!$AU:$AU,0),12),""),"")</f>
        <v>3</v>
      </c>
      <c r="I1347" s="3153">
        <f ca="1">IFERROR(INDEX('Production cost'!$A:$AU,MATCH($C1347,'Production cost'!$AU:$AU,0),28)/'Production cost'!$E$2,"")</f>
        <v>53.131298206706731</v>
      </c>
      <c r="J1347" s="3153">
        <f ca="1">IFERROR(INDEX('Production cost'!$A:$AU,MATCH($C1347,'Production cost'!$AU:$AU,0),28)/'Production cost'!$E$2,"")</f>
        <v>53.131298206706731</v>
      </c>
    </row>
    <row r="1348" spans="2:10" ht="21.75">
      <c r="B1348" s="3143" t="s">
        <v>3654</v>
      </c>
      <c r="C1348" s="3143">
        <f t="shared" ref="C1348:C1411" si="25">C1347+1</f>
        <v>3</v>
      </c>
      <c r="D1348" s="3143" t="str">
        <f ca="1">IFERROR(INDEX('Production cost'!$A:$AU,MATCH($C1348,'Production cost'!$AU:$AU,0),6),"")</f>
        <v>Box</v>
      </c>
      <c r="E1348" s="3143" t="str">
        <f ca="1">IFERROR(INDEX('Production cost'!$A:$AU,MATCH($C1348,'Production cost'!$AU:$AU,0),3),"")</f>
        <v>Komori_L240</v>
      </c>
      <c r="G1348" s="3153">
        <f ca="1">IFERROR(INDEX('Production cost'!$A:$AU,MATCH($C1348,'Production cost'!$AU:$AU,0),9),"")</f>
        <v>8000</v>
      </c>
      <c r="H1348" s="3599">
        <f ca="1">IFERROR(IFERROR(INDEX('Production cost'!$A:$AU,MATCH($C1348,'Production cost'!$AU:$AU,0),11),"")+IFERROR(INDEX('Production cost'!$A:$AU,MATCH($C1348,'Production cost'!$AU:$AU,0),12),""),"")</f>
        <v>3</v>
      </c>
      <c r="I1348" s="3153">
        <f ca="1">IFERROR(INDEX('Production cost'!$A:$AU,MATCH($C1348,'Production cost'!$AU:$AU,0),28)/'Production cost'!$E$2,"")</f>
        <v>271.2976143115219</v>
      </c>
      <c r="J1348" s="3153">
        <f ca="1">IFERROR(INDEX('Production cost'!$A:$AU,MATCH($C1348,'Production cost'!$AU:$AU,0),28)/'Production cost'!$E$2,"")</f>
        <v>271.2976143115219</v>
      </c>
    </row>
    <row r="1349" spans="2:10" ht="21.75">
      <c r="B1349" s="3143" t="s">
        <v>3654</v>
      </c>
      <c r="C1349" s="3143">
        <f t="shared" si="25"/>
        <v>4</v>
      </c>
      <c r="D1349" s="3143" t="str">
        <f ca="1">IFERROR(INDEX('Production cost'!$A:$AU,MATCH($C1349,'Production cost'!$AU:$AU,0),6),"")</f>
        <v>Box</v>
      </c>
      <c r="E1349" s="3143" t="str">
        <f ca="1">IFERROR(INDEX('Production cost'!$A:$AU,MATCH($C1349,'Production cost'!$AU:$AU,0),3),"")</f>
        <v>E-Flute</v>
      </c>
      <c r="G1349" s="3153" t="str">
        <f ca="1">IFERROR(INDEX('Production cost'!$A:$AU,MATCH($C1349,'Production cost'!$AU:$AU,0),9),"")</f>
        <v>4000</v>
      </c>
      <c r="H1349" s="3599">
        <f ca="1">IFERROR(IFERROR(INDEX('Production cost'!$A:$AU,MATCH($C1349,'Production cost'!$AU:$AU,0),11),"")+IFERROR(INDEX('Production cost'!$A:$AU,MATCH($C1349,'Production cost'!$AU:$AU,0),12),""),"")</f>
        <v>3</v>
      </c>
      <c r="I1349" s="3153">
        <f ca="1">IFERROR(INDEX('Production cost'!$A:$AU,MATCH($C1349,'Production cost'!$AU:$AU,0),28)/'Production cost'!$E$2,"")</f>
        <v>150.53867825233579</v>
      </c>
      <c r="J1349" s="3153">
        <f ca="1">IFERROR(INDEX('Production cost'!$A:$AU,MATCH($C1349,'Production cost'!$AU:$AU,0),28)/'Production cost'!$E$2,"")</f>
        <v>150.53867825233579</v>
      </c>
    </row>
    <row r="1350" spans="2:10" ht="21.75">
      <c r="B1350" s="3143" t="s">
        <v>3654</v>
      </c>
      <c r="C1350" s="3143">
        <f t="shared" si="25"/>
        <v>5</v>
      </c>
      <c r="D1350" s="3143" t="str">
        <f ca="1">IFERROR(INDEX('Production cost'!$A:$AU,MATCH($C1350,'Production cost'!$AU:$AU,0),6),"")</f>
        <v>Box</v>
      </c>
      <c r="E1350" s="3143" t="str">
        <f ca="1">IFERROR(INDEX('Production cost'!$A:$AU,MATCH($C1350,'Production cost'!$AU:$AU,0),3),"")</f>
        <v>Die-cutting (NIKKO 1050FH)</v>
      </c>
      <c r="G1350" s="3153" t="str">
        <f ca="1">IFERROR(INDEX('Production cost'!$A:$AU,MATCH($C1350,'Production cost'!$AU:$AU,0),9),"")</f>
        <v>3500</v>
      </c>
      <c r="H1350" s="3599">
        <f ca="1">IFERROR(IFERROR(INDEX('Production cost'!$A:$AU,MATCH($C1350,'Production cost'!$AU:$AU,0),11),"")+IFERROR(INDEX('Production cost'!$A:$AU,MATCH($C1350,'Production cost'!$AU:$AU,0),12),""),"")</f>
        <v>2.25</v>
      </c>
      <c r="I1350" s="3153">
        <f ca="1">IFERROR(INDEX('Production cost'!$A:$AU,MATCH($C1350,'Production cost'!$AU:$AU,0),28)/'Production cost'!$E$2,"")</f>
        <v>119.67701264816169</v>
      </c>
      <c r="J1350" s="3153">
        <f ca="1">IFERROR(INDEX('Production cost'!$A:$AU,MATCH($C1350,'Production cost'!$AU:$AU,0),28)/'Production cost'!$E$2,"")</f>
        <v>119.67701264816169</v>
      </c>
    </row>
    <row r="1351" spans="2:10" ht="21.75">
      <c r="B1351" s="3143" t="s">
        <v>3654</v>
      </c>
      <c r="C1351" s="3143">
        <f t="shared" si="25"/>
        <v>6</v>
      </c>
      <c r="D1351" s="3143" t="str">
        <f ca="1">IFERROR(INDEX('Production cost'!$A:$AU,MATCH($C1351,'Production cost'!$AU:$AU,0),6),"")</f>
        <v>Pcs</v>
      </c>
      <c r="E1351" s="3143" t="str">
        <f ca="1">IFERROR(INDEX('Production cost'!$A:$AU,MATCH($C1351,'Production cost'!$AU:$AU,0),3),"")</f>
        <v>Folding &amp; Glueing (side-joint)</v>
      </c>
      <c r="G1351" s="3153" t="str">
        <f ca="1">IFERROR(INDEX('Production cost'!$A:$AU,MATCH($C1351,'Production cost'!$AU:$AU,0),9),"")</f>
        <v>4000</v>
      </c>
      <c r="H1351" s="3599">
        <f ca="1">IFERROR(IFERROR(INDEX('Production cost'!$A:$AU,MATCH($C1351,'Production cost'!$AU:$AU,0),11),"")+IFERROR(INDEX('Production cost'!$A:$AU,MATCH($C1351,'Production cost'!$AU:$AU,0),12),""),"")</f>
        <v>7</v>
      </c>
      <c r="I1351" s="3153">
        <f ca="1">IFERROR(INDEX('Production cost'!$A:$AU,MATCH($C1351,'Production cost'!$AU:$AU,0),28)/'Production cost'!$E$2,"")</f>
        <v>230.03057470257139</v>
      </c>
      <c r="J1351" s="3153">
        <f ca="1">IFERROR(INDEX('Production cost'!$A:$AU,MATCH($C1351,'Production cost'!$AU:$AU,0),28)/'Production cost'!$E$2,"")</f>
        <v>230.03057470257139</v>
      </c>
    </row>
    <row r="1352" spans="2:10" ht="21.75">
      <c r="B1352" s="3143" t="s">
        <v>3654</v>
      </c>
      <c r="C1352" s="3143">
        <f t="shared" si="25"/>
        <v>7</v>
      </c>
      <c r="D1352" s="3143" t="str">
        <f ca="1">IFERROR(INDEX('Production cost'!$A:$AU,MATCH($C1352,'Production cost'!$AU:$AU,0),6),"")</f>
        <v>Pcs</v>
      </c>
      <c r="E1352" s="3143" t="str">
        <f ca="1">IFERROR(INDEX('Production cost'!$A:$AU,MATCH($C1352,'Production cost'!$AU:$AU,0),3),"")</f>
        <v>Box</v>
      </c>
      <c r="G1352" s="3153" t="str">
        <f ca="1">IFERROR(INDEX('Production cost'!$A:$AU,MATCH($C1352,'Production cost'!$AU:$AU,0),9),"")</f>
        <v>4000</v>
      </c>
      <c r="H1352" s="3599">
        <f ca="1">IFERROR(IFERROR(INDEX('Production cost'!$A:$AU,MATCH($C1352,'Production cost'!$AU:$AU,0),11),"")+IFERROR(INDEX('Production cost'!$A:$AU,MATCH($C1352,'Production cost'!$AU:$AU,0),12),""),"")</f>
        <v>2</v>
      </c>
      <c r="I1352" s="3153">
        <f ca="1">IFERROR(INDEX('Production cost'!$A:$AU,MATCH($C1352,'Production cost'!$AU:$AU,0),28)/'Production cost'!$E$2,"")</f>
        <v>92.856898354277405</v>
      </c>
      <c r="J1352" s="3153">
        <f ca="1">IFERROR(INDEX('Production cost'!$A:$AU,MATCH($C1352,'Production cost'!$AU:$AU,0),28)/'Production cost'!$E$2,"")</f>
        <v>92.856898354277405</v>
      </c>
    </row>
    <row r="1353" spans="2:10" ht="21.75">
      <c r="B1353" s="3143" t="s">
        <v>3654</v>
      </c>
      <c r="C1353" s="3143">
        <f t="shared" si="25"/>
        <v>8</v>
      </c>
      <c r="D1353" s="3143">
        <f ca="1">IFERROR(INDEX('Production cost'!$A:$AU,MATCH($C1353,'Production cost'!$AU:$AU,0),6),"")</f>
        <v>0</v>
      </c>
      <c r="E1353" s="3143" t="str">
        <f ca="1">IFERROR(INDEX('Production cost'!$A:$AU,MATCH($C1353,'Production cost'!$AU:$AU,0),3),"")</f>
        <v>Total labour cost</v>
      </c>
      <c r="G1353" s="3153">
        <f ca="1">IFERROR(INDEX('Production cost'!$A:$AU,MATCH($C1353,'Production cost'!$AU:$AU,0),9),"")</f>
        <v>0</v>
      </c>
      <c r="H1353" s="3599">
        <f ca="1">IFERROR(IFERROR(INDEX('Production cost'!$A:$AU,MATCH($C1353,'Production cost'!$AU:$AU,0),11),"")+IFERROR(INDEX('Production cost'!$A:$AU,MATCH($C1353,'Production cost'!$AU:$AU,0),12),""),"")</f>
        <v>0</v>
      </c>
      <c r="I1353" s="3153">
        <f ca="1">IFERROR(INDEX('Production cost'!$A:$AU,MATCH($C1353,'Production cost'!$AU:$AU,0),28)/'Production cost'!$E$2,"")</f>
        <v>0</v>
      </c>
      <c r="J1353" s="3153">
        <f ca="1">IFERROR(INDEX('Production cost'!$A:$AU,MATCH($C1353,'Production cost'!$AU:$AU,0),28)/'Production cost'!$E$2,"")</f>
        <v>0</v>
      </c>
    </row>
    <row r="1354" spans="2:10" ht="21.75">
      <c r="B1354" s="3143" t="s">
        <v>3654</v>
      </c>
      <c r="C1354" s="3143">
        <f t="shared" si="25"/>
        <v>9</v>
      </c>
      <c r="D1354" s="3143" t="str">
        <f ca="1">IFERROR(INDEX('Production cost'!$A:$AU,MATCH($C1354,'Production cost'!$AU:$AU,0),6),"")</f>
        <v/>
      </c>
      <c r="E1354" s="3143" t="str">
        <f ca="1">IFERROR(INDEX('Production cost'!$A:$AU,MATCH($C1354,'Production cost'!$AU:$AU,0),3),"")</f>
        <v/>
      </c>
      <c r="G1354" s="3153" t="str">
        <f ca="1">IFERROR(INDEX('Production cost'!$A:$AU,MATCH($C1354,'Production cost'!$AU:$AU,0),9),"")</f>
        <v/>
      </c>
      <c r="H1354" s="3599" t="str">
        <f ca="1">IFERROR(IFERROR(INDEX('Production cost'!$A:$AU,MATCH($C1354,'Production cost'!$AU:$AU,0),11),"")+IFERROR(INDEX('Production cost'!$A:$AU,MATCH($C1354,'Production cost'!$AU:$AU,0),12),""),"")</f>
        <v/>
      </c>
      <c r="I1354" s="3153" t="str">
        <f ca="1">IFERROR(INDEX('Production cost'!$A:$AU,MATCH($C1354,'Production cost'!$AU:$AU,0),28)/'Production cost'!$E$2,"")</f>
        <v/>
      </c>
      <c r="J1354" s="3153" t="str">
        <f ca="1">IFERROR(INDEX('Production cost'!$A:$AU,MATCH($C1354,'Production cost'!$AU:$AU,0),28)/'Production cost'!$E$2,"")</f>
        <v/>
      </c>
    </row>
    <row r="1355" spans="2:10" ht="21.75">
      <c r="B1355" s="3143" t="s">
        <v>3654</v>
      </c>
      <c r="C1355" s="3143">
        <f t="shared" si="25"/>
        <v>10</v>
      </c>
      <c r="D1355" s="3143" t="str">
        <f ca="1">IFERROR(INDEX('Production cost'!$A:$AU,MATCH($C1355,'Production cost'!$AU:$AU,0),6),"")</f>
        <v/>
      </c>
      <c r="E1355" s="3143" t="str">
        <f ca="1">IFERROR(INDEX('Production cost'!$A:$AU,MATCH($C1355,'Production cost'!$AU:$AU,0),3),"")</f>
        <v/>
      </c>
      <c r="G1355" s="3153" t="str">
        <f ca="1">IFERROR(INDEX('Production cost'!$A:$AU,MATCH($C1355,'Production cost'!$AU:$AU,0),9),"")</f>
        <v/>
      </c>
      <c r="H1355" s="3599" t="str">
        <f ca="1">IFERROR(IFERROR(INDEX('Production cost'!$A:$AU,MATCH($C1355,'Production cost'!$AU:$AU,0),11),"")+IFERROR(INDEX('Production cost'!$A:$AU,MATCH($C1355,'Production cost'!$AU:$AU,0),12),""),"")</f>
        <v/>
      </c>
      <c r="I1355" s="3153" t="str">
        <f ca="1">IFERROR(INDEX('Production cost'!$A:$AU,MATCH($C1355,'Production cost'!$AU:$AU,0),28)/'Production cost'!$E$2,"")</f>
        <v/>
      </c>
      <c r="J1355" s="3153" t="str">
        <f ca="1">IFERROR(INDEX('Production cost'!$A:$AU,MATCH($C1355,'Production cost'!$AU:$AU,0),28)/'Production cost'!$E$2,"")</f>
        <v/>
      </c>
    </row>
    <row r="1356" spans="2:10" ht="21.75">
      <c r="B1356" s="3143" t="s">
        <v>3654</v>
      </c>
      <c r="C1356" s="3143">
        <f t="shared" si="25"/>
        <v>11</v>
      </c>
      <c r="D1356" s="3143" t="str">
        <f ca="1">IFERROR(INDEX('Production cost'!$A:$AU,MATCH($C1356,'Production cost'!$AU:$AU,0),6),"")</f>
        <v/>
      </c>
      <c r="E1356" s="3143" t="str">
        <f ca="1">IFERROR(INDEX('Production cost'!$A:$AU,MATCH($C1356,'Production cost'!$AU:$AU,0),3),"")</f>
        <v/>
      </c>
      <c r="G1356" s="3153" t="str">
        <f ca="1">IFERROR(INDEX('Production cost'!$A:$AU,MATCH($C1356,'Production cost'!$AU:$AU,0),9),"")</f>
        <v/>
      </c>
      <c r="H1356" s="3599" t="str">
        <f ca="1">IFERROR(IFERROR(INDEX('Production cost'!$A:$AU,MATCH($C1356,'Production cost'!$AU:$AU,0),11),"")+IFERROR(INDEX('Production cost'!$A:$AU,MATCH($C1356,'Production cost'!$AU:$AU,0),12),""),"")</f>
        <v/>
      </c>
      <c r="I1356" s="3153" t="str">
        <f ca="1">IFERROR(INDEX('Production cost'!$A:$AU,MATCH($C1356,'Production cost'!$AU:$AU,0),28)/'Production cost'!$E$2,"")</f>
        <v/>
      </c>
      <c r="J1356" s="3153" t="str">
        <f ca="1">IFERROR(INDEX('Production cost'!$A:$AU,MATCH($C1356,'Production cost'!$AU:$AU,0),28)/'Production cost'!$E$2,"")</f>
        <v/>
      </c>
    </row>
    <row r="1357" spans="2:10" ht="21.75">
      <c r="B1357" s="3143" t="s">
        <v>3654</v>
      </c>
      <c r="C1357" s="3143">
        <f t="shared" si="25"/>
        <v>12</v>
      </c>
      <c r="D1357" s="3143" t="str">
        <f ca="1">IFERROR(INDEX('Production cost'!$A:$AU,MATCH($C1357,'Production cost'!$AU:$AU,0),6),"")</f>
        <v/>
      </c>
      <c r="E1357" s="3143" t="str">
        <f ca="1">IFERROR(INDEX('Production cost'!$A:$AU,MATCH($C1357,'Production cost'!$AU:$AU,0),3),"")</f>
        <v/>
      </c>
      <c r="G1357" s="3153" t="str">
        <f ca="1">IFERROR(INDEX('Production cost'!$A:$AU,MATCH($C1357,'Production cost'!$AU:$AU,0),9),"")</f>
        <v/>
      </c>
      <c r="H1357" s="3599" t="str">
        <f ca="1">IFERROR(IFERROR(INDEX('Production cost'!$A:$AU,MATCH($C1357,'Production cost'!$AU:$AU,0),11),"")+IFERROR(INDEX('Production cost'!$A:$AU,MATCH($C1357,'Production cost'!$AU:$AU,0),12),""),"")</f>
        <v/>
      </c>
      <c r="I1357" s="3153" t="str">
        <f ca="1">IFERROR(INDEX('Production cost'!$A:$AU,MATCH($C1357,'Production cost'!$AU:$AU,0),28)/'Production cost'!$E$2,"")</f>
        <v/>
      </c>
      <c r="J1357" s="3153" t="str">
        <f ca="1">IFERROR(INDEX('Production cost'!$A:$AU,MATCH($C1357,'Production cost'!$AU:$AU,0),28)/'Production cost'!$E$2,"")</f>
        <v/>
      </c>
    </row>
    <row r="1358" spans="2:10" ht="21.75">
      <c r="B1358" s="3143" t="s">
        <v>3654</v>
      </c>
      <c r="C1358" s="3143">
        <f t="shared" si="25"/>
        <v>13</v>
      </c>
      <c r="D1358" s="3143" t="str">
        <f ca="1">IFERROR(INDEX('Production cost'!$A:$AU,MATCH($C1358,'Production cost'!$AU:$AU,0),6),"")</f>
        <v/>
      </c>
      <c r="E1358" s="3143" t="str">
        <f ca="1">IFERROR(INDEX('Production cost'!$A:$AU,MATCH($C1358,'Production cost'!$AU:$AU,0),3),"")</f>
        <v/>
      </c>
      <c r="G1358" s="3153" t="str">
        <f ca="1">IFERROR(INDEX('Production cost'!$A:$AU,MATCH($C1358,'Production cost'!$AU:$AU,0),9),"")</f>
        <v/>
      </c>
      <c r="H1358" s="3599" t="str">
        <f ca="1">IFERROR(IFERROR(INDEX('Production cost'!$A:$AU,MATCH($C1358,'Production cost'!$AU:$AU,0),11),"")+IFERROR(INDEX('Production cost'!$A:$AU,MATCH($C1358,'Production cost'!$AU:$AU,0),12),""),"")</f>
        <v/>
      </c>
      <c r="I1358" s="3153" t="str">
        <f ca="1">IFERROR(INDEX('Production cost'!$A:$AU,MATCH($C1358,'Production cost'!$AU:$AU,0),28)/'Production cost'!$E$2,"")</f>
        <v/>
      </c>
      <c r="J1358" s="3153" t="str">
        <f ca="1">IFERROR(INDEX('Production cost'!$A:$AU,MATCH($C1358,'Production cost'!$AU:$AU,0),28)/'Production cost'!$E$2,"")</f>
        <v/>
      </c>
    </row>
    <row r="1359" spans="2:10" ht="21.75">
      <c r="B1359" s="3143" t="s">
        <v>3654</v>
      </c>
      <c r="C1359" s="3143">
        <f t="shared" si="25"/>
        <v>14</v>
      </c>
      <c r="D1359" s="3143" t="str">
        <f ca="1">IFERROR(INDEX('Production cost'!$A:$AU,MATCH($C1359,'Production cost'!$AU:$AU,0),6),"")</f>
        <v/>
      </c>
      <c r="E1359" s="3143" t="str">
        <f ca="1">IFERROR(INDEX('Production cost'!$A:$AU,MATCH($C1359,'Production cost'!$AU:$AU,0),3),"")</f>
        <v/>
      </c>
      <c r="G1359" s="3153" t="str">
        <f ca="1">IFERROR(INDEX('Production cost'!$A:$AU,MATCH($C1359,'Production cost'!$AU:$AU,0),9),"")</f>
        <v/>
      </c>
      <c r="H1359" s="3599" t="str">
        <f ca="1">IFERROR(IFERROR(INDEX('Production cost'!$A:$AU,MATCH($C1359,'Production cost'!$AU:$AU,0),11),"")+IFERROR(INDEX('Production cost'!$A:$AU,MATCH($C1359,'Production cost'!$AU:$AU,0),12),""),"")</f>
        <v/>
      </c>
      <c r="I1359" s="3153" t="str">
        <f ca="1">IFERROR(INDEX('Production cost'!$A:$AU,MATCH($C1359,'Production cost'!$AU:$AU,0),28)/'Production cost'!$E$2,"")</f>
        <v/>
      </c>
      <c r="J1359" s="3153" t="str">
        <f ca="1">IFERROR(INDEX('Production cost'!$A:$AU,MATCH($C1359,'Production cost'!$AU:$AU,0),28)/'Production cost'!$E$2,"")</f>
        <v/>
      </c>
    </row>
    <row r="1360" spans="2:10" ht="21.75">
      <c r="B1360" s="3143" t="s">
        <v>3654</v>
      </c>
      <c r="C1360" s="3143">
        <f t="shared" si="25"/>
        <v>15</v>
      </c>
      <c r="D1360" s="3143" t="str">
        <f ca="1">IFERROR(INDEX('Production cost'!$A:$AU,MATCH($C1360,'Production cost'!$AU:$AU,0),6),"")</f>
        <v/>
      </c>
      <c r="E1360" s="3143" t="str">
        <f ca="1">IFERROR(INDEX('Production cost'!$A:$AU,MATCH($C1360,'Production cost'!$AU:$AU,0),3),"")</f>
        <v/>
      </c>
      <c r="G1360" s="3153" t="str">
        <f ca="1">IFERROR(INDEX('Production cost'!$A:$AU,MATCH($C1360,'Production cost'!$AU:$AU,0),9),"")</f>
        <v/>
      </c>
      <c r="H1360" s="3599" t="str">
        <f ca="1">IFERROR(IFERROR(INDEX('Production cost'!$A:$AU,MATCH($C1360,'Production cost'!$AU:$AU,0),11),"")+IFERROR(INDEX('Production cost'!$A:$AU,MATCH($C1360,'Production cost'!$AU:$AU,0),12),""),"")</f>
        <v/>
      </c>
      <c r="I1360" s="3153" t="str">
        <f ca="1">IFERROR(INDEX('Production cost'!$A:$AU,MATCH($C1360,'Production cost'!$AU:$AU,0),28)/'Production cost'!$E$2,"")</f>
        <v/>
      </c>
      <c r="J1360" s="3153" t="str">
        <f ca="1">IFERROR(INDEX('Production cost'!$A:$AU,MATCH($C1360,'Production cost'!$AU:$AU,0),28)/'Production cost'!$E$2,"")</f>
        <v/>
      </c>
    </row>
    <row r="1361" spans="2:10" ht="21.75">
      <c r="B1361" s="3143" t="s">
        <v>3654</v>
      </c>
      <c r="C1361" s="3143">
        <f t="shared" si="25"/>
        <v>16</v>
      </c>
      <c r="D1361" s="3143" t="str">
        <f ca="1">IFERROR(INDEX('Production cost'!$A:$AU,MATCH($C1361,'Production cost'!$AU:$AU,0),6),"")</f>
        <v/>
      </c>
      <c r="E1361" s="3143" t="str">
        <f ca="1">IFERROR(INDEX('Production cost'!$A:$AU,MATCH($C1361,'Production cost'!$AU:$AU,0),3),"")</f>
        <v/>
      </c>
      <c r="G1361" s="3153" t="str">
        <f ca="1">IFERROR(INDEX('Production cost'!$A:$AU,MATCH($C1361,'Production cost'!$AU:$AU,0),9),"")</f>
        <v/>
      </c>
      <c r="H1361" s="3599" t="str">
        <f ca="1">IFERROR(IFERROR(INDEX('Production cost'!$A:$AU,MATCH($C1361,'Production cost'!$AU:$AU,0),11),"")+IFERROR(INDEX('Production cost'!$A:$AU,MATCH($C1361,'Production cost'!$AU:$AU,0),12),""),"")</f>
        <v/>
      </c>
      <c r="I1361" s="3153" t="str">
        <f ca="1">IFERROR(INDEX('Production cost'!$A:$AU,MATCH($C1361,'Production cost'!$AU:$AU,0),28)/'Production cost'!$E$2,"")</f>
        <v/>
      </c>
      <c r="J1361" s="3153" t="str">
        <f ca="1">IFERROR(INDEX('Production cost'!$A:$AU,MATCH($C1361,'Production cost'!$AU:$AU,0),28)/'Production cost'!$E$2,"")</f>
        <v/>
      </c>
    </row>
    <row r="1362" spans="2:10" ht="21.75">
      <c r="B1362" s="3143" t="s">
        <v>3654</v>
      </c>
      <c r="C1362" s="3143">
        <f t="shared" si="25"/>
        <v>17</v>
      </c>
      <c r="D1362" s="3143" t="str">
        <f ca="1">IFERROR(INDEX('Production cost'!$A:$AU,MATCH($C1362,'Production cost'!$AU:$AU,0),6),"")</f>
        <v/>
      </c>
      <c r="E1362" s="3143" t="str">
        <f ca="1">IFERROR(INDEX('Production cost'!$A:$AU,MATCH($C1362,'Production cost'!$AU:$AU,0),3),"")</f>
        <v/>
      </c>
      <c r="G1362" s="3153" t="str">
        <f ca="1">IFERROR(INDEX('Production cost'!$A:$AU,MATCH($C1362,'Production cost'!$AU:$AU,0),9),"")</f>
        <v/>
      </c>
      <c r="H1362" s="3599" t="str">
        <f ca="1">IFERROR(IFERROR(INDEX('Production cost'!$A:$AU,MATCH($C1362,'Production cost'!$AU:$AU,0),11),"")+IFERROR(INDEX('Production cost'!$A:$AU,MATCH($C1362,'Production cost'!$AU:$AU,0),12),""),"")</f>
        <v/>
      </c>
      <c r="I1362" s="3153" t="str">
        <f ca="1">IFERROR(INDEX('Production cost'!$A:$AU,MATCH($C1362,'Production cost'!$AU:$AU,0),28)/'Production cost'!$E$2,"")</f>
        <v/>
      </c>
      <c r="J1362" s="3153" t="str">
        <f ca="1">IFERROR(INDEX('Production cost'!$A:$AU,MATCH($C1362,'Production cost'!$AU:$AU,0),28)/'Production cost'!$E$2,"")</f>
        <v/>
      </c>
    </row>
    <row r="1363" spans="2:10" ht="21.75">
      <c r="B1363" s="3143" t="s">
        <v>3654</v>
      </c>
      <c r="C1363" s="3143">
        <f t="shared" si="25"/>
        <v>18</v>
      </c>
      <c r="D1363" s="3143" t="str">
        <f ca="1">IFERROR(INDEX('Production cost'!$A:$AU,MATCH($C1363,'Production cost'!$AU:$AU,0),6),"")</f>
        <v/>
      </c>
      <c r="E1363" s="3143" t="str">
        <f ca="1">IFERROR(INDEX('Production cost'!$A:$AU,MATCH($C1363,'Production cost'!$AU:$AU,0),3),"")</f>
        <v/>
      </c>
      <c r="G1363" s="3153" t="str">
        <f ca="1">IFERROR(INDEX('Production cost'!$A:$AU,MATCH($C1363,'Production cost'!$AU:$AU,0),9),"")</f>
        <v/>
      </c>
      <c r="H1363" s="3599" t="str">
        <f ca="1">IFERROR(IFERROR(INDEX('Production cost'!$A:$AU,MATCH($C1363,'Production cost'!$AU:$AU,0),11),"")+IFERROR(INDEX('Production cost'!$A:$AU,MATCH($C1363,'Production cost'!$AU:$AU,0),12),""),"")</f>
        <v/>
      </c>
      <c r="I1363" s="3153" t="str">
        <f ca="1">IFERROR(INDEX('Production cost'!$A:$AU,MATCH($C1363,'Production cost'!$AU:$AU,0),28)/'Production cost'!$E$2,"")</f>
        <v/>
      </c>
      <c r="J1363" s="3153" t="str">
        <f ca="1">IFERROR(INDEX('Production cost'!$A:$AU,MATCH($C1363,'Production cost'!$AU:$AU,0),28)/'Production cost'!$E$2,"")</f>
        <v/>
      </c>
    </row>
    <row r="1364" spans="2:10" ht="21.75">
      <c r="B1364" s="3143" t="s">
        <v>3654</v>
      </c>
      <c r="C1364" s="3143">
        <f t="shared" si="25"/>
        <v>19</v>
      </c>
      <c r="D1364" s="3143" t="str">
        <f ca="1">IFERROR(INDEX('Production cost'!$A:$AU,MATCH($C1364,'Production cost'!$AU:$AU,0),6),"")</f>
        <v/>
      </c>
      <c r="E1364" s="3143" t="str">
        <f ca="1">IFERROR(INDEX('Production cost'!$A:$AU,MATCH($C1364,'Production cost'!$AU:$AU,0),3),"")</f>
        <v/>
      </c>
      <c r="G1364" s="3153" t="str">
        <f ca="1">IFERROR(INDEX('Production cost'!$A:$AU,MATCH($C1364,'Production cost'!$AU:$AU,0),9),"")</f>
        <v/>
      </c>
      <c r="H1364" s="3599" t="str">
        <f ca="1">IFERROR(IFERROR(INDEX('Production cost'!$A:$AU,MATCH($C1364,'Production cost'!$AU:$AU,0),11),"")+IFERROR(INDEX('Production cost'!$A:$AU,MATCH($C1364,'Production cost'!$AU:$AU,0),12),""),"")</f>
        <v/>
      </c>
      <c r="I1364" s="3153" t="str">
        <f ca="1">IFERROR(INDEX('Production cost'!$A:$AU,MATCH($C1364,'Production cost'!$AU:$AU,0),28)/'Production cost'!$E$2,"")</f>
        <v/>
      </c>
      <c r="J1364" s="3153" t="str">
        <f ca="1">IFERROR(INDEX('Production cost'!$A:$AU,MATCH($C1364,'Production cost'!$AU:$AU,0),28)/'Production cost'!$E$2,"")</f>
        <v/>
      </c>
    </row>
    <row r="1365" spans="2:10" ht="21.75">
      <c r="B1365" s="3143" t="s">
        <v>3654</v>
      </c>
      <c r="C1365" s="3143">
        <f t="shared" si="25"/>
        <v>20</v>
      </c>
      <c r="D1365" s="3143" t="str">
        <f ca="1">IFERROR(INDEX('Production cost'!$A:$AU,MATCH($C1365,'Production cost'!$AU:$AU,0),6),"")</f>
        <v/>
      </c>
      <c r="E1365" s="3143" t="str">
        <f ca="1">IFERROR(INDEX('Production cost'!$A:$AU,MATCH($C1365,'Production cost'!$AU:$AU,0),3),"")</f>
        <v/>
      </c>
      <c r="G1365" s="3153" t="str">
        <f ca="1">IFERROR(INDEX('Production cost'!$A:$AU,MATCH($C1365,'Production cost'!$AU:$AU,0),9),"")</f>
        <v/>
      </c>
      <c r="H1365" s="3599" t="str">
        <f ca="1">IFERROR(IFERROR(INDEX('Production cost'!$A:$AU,MATCH($C1365,'Production cost'!$AU:$AU,0),11),"")+IFERROR(INDEX('Production cost'!$A:$AU,MATCH($C1365,'Production cost'!$AU:$AU,0),12),""),"")</f>
        <v/>
      </c>
      <c r="I1365" s="3153" t="str">
        <f ca="1">IFERROR(INDEX('Production cost'!$A:$AU,MATCH($C1365,'Production cost'!$AU:$AU,0),28)/'Production cost'!$E$2,"")</f>
        <v/>
      </c>
      <c r="J1365" s="3153" t="str">
        <f ca="1">IFERROR(INDEX('Production cost'!$A:$AU,MATCH($C1365,'Production cost'!$AU:$AU,0),28)/'Production cost'!$E$2,"")</f>
        <v/>
      </c>
    </row>
    <row r="1366" spans="2:10" ht="21.75">
      <c r="B1366" s="3143" t="s">
        <v>3654</v>
      </c>
      <c r="C1366" s="3143">
        <f t="shared" si="25"/>
        <v>21</v>
      </c>
      <c r="D1366" s="3143" t="str">
        <f ca="1">IFERROR(INDEX('Production cost'!$A:$AU,MATCH($C1366,'Production cost'!$AU:$AU,0),6),"")</f>
        <v/>
      </c>
      <c r="E1366" s="3143" t="str">
        <f ca="1">IFERROR(INDEX('Production cost'!$A:$AU,MATCH($C1366,'Production cost'!$AU:$AU,0),3),"")</f>
        <v/>
      </c>
      <c r="G1366" s="3153" t="str">
        <f ca="1">IFERROR(INDEX('Production cost'!$A:$AU,MATCH($C1366,'Production cost'!$AU:$AU,0),9),"")</f>
        <v/>
      </c>
      <c r="H1366" s="3599" t="str">
        <f ca="1">IFERROR(IFERROR(INDEX('Production cost'!$A:$AU,MATCH($C1366,'Production cost'!$AU:$AU,0),11),"")+IFERROR(INDEX('Production cost'!$A:$AU,MATCH($C1366,'Production cost'!$AU:$AU,0),12),""),"")</f>
        <v/>
      </c>
      <c r="I1366" s="3153" t="str">
        <f ca="1">IFERROR(INDEX('Production cost'!$A:$AU,MATCH($C1366,'Production cost'!$AU:$AU,0),28)/'Production cost'!$E$2,"")</f>
        <v/>
      </c>
      <c r="J1366" s="3153" t="str">
        <f ca="1">IFERROR(INDEX('Production cost'!$A:$AU,MATCH($C1366,'Production cost'!$AU:$AU,0),28)/'Production cost'!$E$2,"")</f>
        <v/>
      </c>
    </row>
    <row r="1367" spans="2:10" ht="21.75">
      <c r="B1367" s="3143" t="s">
        <v>3654</v>
      </c>
      <c r="C1367" s="3143">
        <f t="shared" si="25"/>
        <v>22</v>
      </c>
      <c r="D1367" s="3143" t="str">
        <f ca="1">IFERROR(INDEX('Production cost'!$A:$AU,MATCH($C1367,'Production cost'!$AU:$AU,0),6),"")</f>
        <v/>
      </c>
      <c r="E1367" s="3143" t="str">
        <f ca="1">IFERROR(INDEX('Production cost'!$A:$AU,MATCH($C1367,'Production cost'!$AU:$AU,0),3),"")</f>
        <v/>
      </c>
      <c r="G1367" s="3153" t="str">
        <f ca="1">IFERROR(INDEX('Production cost'!$A:$AU,MATCH($C1367,'Production cost'!$AU:$AU,0),9),"")</f>
        <v/>
      </c>
      <c r="H1367" s="3599" t="str">
        <f ca="1">IFERROR(IFERROR(INDEX('Production cost'!$A:$AU,MATCH($C1367,'Production cost'!$AU:$AU,0),11),"")+IFERROR(INDEX('Production cost'!$A:$AU,MATCH($C1367,'Production cost'!$AU:$AU,0),12),""),"")</f>
        <v/>
      </c>
      <c r="I1367" s="3153" t="str">
        <f ca="1">IFERROR(INDEX('Production cost'!$A:$AU,MATCH($C1367,'Production cost'!$AU:$AU,0),28)/'Production cost'!$E$2,"")</f>
        <v/>
      </c>
      <c r="J1367" s="3153" t="str">
        <f ca="1">IFERROR(INDEX('Production cost'!$A:$AU,MATCH($C1367,'Production cost'!$AU:$AU,0),28)/'Production cost'!$E$2,"")</f>
        <v/>
      </c>
    </row>
    <row r="1368" spans="2:10" ht="21.75">
      <c r="B1368" s="3143" t="s">
        <v>3654</v>
      </c>
      <c r="C1368" s="3143">
        <f t="shared" si="25"/>
        <v>23</v>
      </c>
      <c r="D1368" s="3143" t="str">
        <f ca="1">IFERROR(INDEX('Production cost'!$A:$AU,MATCH($C1368,'Production cost'!$AU:$AU,0),6),"")</f>
        <v/>
      </c>
      <c r="E1368" s="3143" t="str">
        <f ca="1">IFERROR(INDEX('Production cost'!$A:$AU,MATCH($C1368,'Production cost'!$AU:$AU,0),3),"")</f>
        <v/>
      </c>
      <c r="G1368" s="3153" t="str">
        <f ca="1">IFERROR(INDEX('Production cost'!$A:$AU,MATCH($C1368,'Production cost'!$AU:$AU,0),9),"")</f>
        <v/>
      </c>
      <c r="H1368" s="3599" t="str">
        <f ca="1">IFERROR(IFERROR(INDEX('Production cost'!$A:$AU,MATCH($C1368,'Production cost'!$AU:$AU,0),11),"")+IFERROR(INDEX('Production cost'!$A:$AU,MATCH($C1368,'Production cost'!$AU:$AU,0),12),""),"")</f>
        <v/>
      </c>
      <c r="I1368" s="3153" t="str">
        <f ca="1">IFERROR(INDEX('Production cost'!$A:$AU,MATCH($C1368,'Production cost'!$AU:$AU,0),28)/'Production cost'!$E$2,"")</f>
        <v/>
      </c>
      <c r="J1368" s="3153" t="str">
        <f ca="1">IFERROR(INDEX('Production cost'!$A:$AU,MATCH($C1368,'Production cost'!$AU:$AU,0),28)/'Production cost'!$E$2,"")</f>
        <v/>
      </c>
    </row>
    <row r="1369" spans="2:10" ht="21.75">
      <c r="B1369" s="3143" t="s">
        <v>3654</v>
      </c>
      <c r="C1369" s="3143">
        <f t="shared" si="25"/>
        <v>24</v>
      </c>
      <c r="D1369" s="3143" t="str">
        <f ca="1">IFERROR(INDEX('Production cost'!$A:$AU,MATCH($C1369,'Production cost'!$AU:$AU,0),6),"")</f>
        <v/>
      </c>
      <c r="E1369" s="3143" t="str">
        <f ca="1">IFERROR(INDEX('Production cost'!$A:$AU,MATCH($C1369,'Production cost'!$AU:$AU,0),3),"")</f>
        <v/>
      </c>
      <c r="G1369" s="3153" t="str">
        <f ca="1">IFERROR(INDEX('Production cost'!$A:$AU,MATCH($C1369,'Production cost'!$AU:$AU,0),9),"")</f>
        <v/>
      </c>
      <c r="H1369" s="3599" t="str">
        <f ca="1">IFERROR(IFERROR(INDEX('Production cost'!$A:$AU,MATCH($C1369,'Production cost'!$AU:$AU,0),11),"")+IFERROR(INDEX('Production cost'!$A:$AU,MATCH($C1369,'Production cost'!$AU:$AU,0),12),""),"")</f>
        <v/>
      </c>
      <c r="I1369" s="3153" t="str">
        <f ca="1">IFERROR(INDEX('Production cost'!$A:$AU,MATCH($C1369,'Production cost'!$AU:$AU,0),28)/'Production cost'!$E$2,"")</f>
        <v/>
      </c>
      <c r="J1369" s="3153" t="str">
        <f ca="1">IFERROR(INDEX('Production cost'!$A:$AU,MATCH($C1369,'Production cost'!$AU:$AU,0),28)/'Production cost'!$E$2,"")</f>
        <v/>
      </c>
    </row>
    <row r="1370" spans="2:10" ht="21.75">
      <c r="B1370" s="3143" t="s">
        <v>3654</v>
      </c>
      <c r="C1370" s="3143">
        <f t="shared" si="25"/>
        <v>25</v>
      </c>
      <c r="D1370" s="3143" t="str">
        <f ca="1">IFERROR(INDEX('Production cost'!$A:$AU,MATCH($C1370,'Production cost'!$AU:$AU,0),6),"")</f>
        <v/>
      </c>
      <c r="E1370" s="3143" t="str">
        <f ca="1">IFERROR(INDEX('Production cost'!$A:$AU,MATCH($C1370,'Production cost'!$AU:$AU,0),3),"")</f>
        <v/>
      </c>
      <c r="G1370" s="3153" t="str">
        <f ca="1">IFERROR(INDEX('Production cost'!$A:$AU,MATCH($C1370,'Production cost'!$AU:$AU,0),9),"")</f>
        <v/>
      </c>
      <c r="H1370" s="3599" t="str">
        <f ca="1">IFERROR(IFERROR(INDEX('Production cost'!$A:$AU,MATCH($C1370,'Production cost'!$AU:$AU,0),11),"")+IFERROR(INDEX('Production cost'!$A:$AU,MATCH($C1370,'Production cost'!$AU:$AU,0),12),""),"")</f>
        <v/>
      </c>
      <c r="I1370" s="3153" t="str">
        <f ca="1">IFERROR(INDEX('Production cost'!$A:$AU,MATCH($C1370,'Production cost'!$AU:$AU,0),28)/'Production cost'!$E$2,"")</f>
        <v/>
      </c>
      <c r="J1370" s="3153" t="str">
        <f ca="1">IFERROR(INDEX('Production cost'!$A:$AU,MATCH($C1370,'Production cost'!$AU:$AU,0),28)/'Production cost'!$E$2,"")</f>
        <v/>
      </c>
    </row>
    <row r="1371" spans="2:10" ht="21.75">
      <c r="B1371" s="3143" t="s">
        <v>3654</v>
      </c>
      <c r="C1371" s="3143">
        <f t="shared" si="25"/>
        <v>26</v>
      </c>
      <c r="D1371" s="3143" t="str">
        <f ca="1">IFERROR(INDEX('Production cost'!$A:$AU,MATCH($C1371,'Production cost'!$AU:$AU,0),6),"")</f>
        <v/>
      </c>
      <c r="E1371" s="3143" t="str">
        <f ca="1">IFERROR(INDEX('Production cost'!$A:$AU,MATCH($C1371,'Production cost'!$AU:$AU,0),3),"")</f>
        <v/>
      </c>
      <c r="G1371" s="3153" t="str">
        <f ca="1">IFERROR(INDEX('Production cost'!$A:$AU,MATCH($C1371,'Production cost'!$AU:$AU,0),9),"")</f>
        <v/>
      </c>
      <c r="H1371" s="3599" t="str">
        <f ca="1">IFERROR(IFERROR(INDEX('Production cost'!$A:$AU,MATCH($C1371,'Production cost'!$AU:$AU,0),11),"")+IFERROR(INDEX('Production cost'!$A:$AU,MATCH($C1371,'Production cost'!$AU:$AU,0),12),""),"")</f>
        <v/>
      </c>
      <c r="I1371" s="3153" t="str">
        <f ca="1">IFERROR(INDEX('Production cost'!$A:$AU,MATCH($C1371,'Production cost'!$AU:$AU,0),28)/'Production cost'!$E$2,"")</f>
        <v/>
      </c>
      <c r="J1371" s="3153" t="str">
        <f ca="1">IFERROR(INDEX('Production cost'!$A:$AU,MATCH($C1371,'Production cost'!$AU:$AU,0),28)/'Production cost'!$E$2,"")</f>
        <v/>
      </c>
    </row>
    <row r="1372" spans="2:10" ht="21.75">
      <c r="B1372" s="3143" t="s">
        <v>3654</v>
      </c>
      <c r="C1372" s="3143">
        <f t="shared" si="25"/>
        <v>27</v>
      </c>
      <c r="D1372" s="3143" t="str">
        <f ca="1">IFERROR(INDEX('Production cost'!$A:$AU,MATCH($C1372,'Production cost'!$AU:$AU,0),6),"")</f>
        <v/>
      </c>
      <c r="E1372" s="3143" t="str">
        <f ca="1">IFERROR(INDEX('Production cost'!$A:$AU,MATCH($C1372,'Production cost'!$AU:$AU,0),3),"")</f>
        <v/>
      </c>
      <c r="G1372" s="3153" t="str">
        <f ca="1">IFERROR(INDEX('Production cost'!$A:$AU,MATCH($C1372,'Production cost'!$AU:$AU,0),9),"")</f>
        <v/>
      </c>
      <c r="H1372" s="3599" t="str">
        <f ca="1">IFERROR(IFERROR(INDEX('Production cost'!$A:$AU,MATCH($C1372,'Production cost'!$AU:$AU,0),11),"")+IFERROR(INDEX('Production cost'!$A:$AU,MATCH($C1372,'Production cost'!$AU:$AU,0),12),""),"")</f>
        <v/>
      </c>
      <c r="I1372" s="3153" t="str">
        <f ca="1">IFERROR(INDEX('Production cost'!$A:$AU,MATCH($C1372,'Production cost'!$AU:$AU,0),28)/'Production cost'!$E$2,"")</f>
        <v/>
      </c>
      <c r="J1372" s="3153" t="str">
        <f ca="1">IFERROR(INDEX('Production cost'!$A:$AU,MATCH($C1372,'Production cost'!$AU:$AU,0),28)/'Production cost'!$E$2,"")</f>
        <v/>
      </c>
    </row>
    <row r="1373" spans="2:10" ht="21.75">
      <c r="B1373" s="3143" t="s">
        <v>3654</v>
      </c>
      <c r="C1373" s="3143">
        <f t="shared" si="25"/>
        <v>28</v>
      </c>
      <c r="D1373" s="3143" t="str">
        <f ca="1">IFERROR(INDEX('Production cost'!$A:$AU,MATCH($C1373,'Production cost'!$AU:$AU,0),6),"")</f>
        <v/>
      </c>
      <c r="E1373" s="3143" t="str">
        <f ca="1">IFERROR(INDEX('Production cost'!$A:$AU,MATCH($C1373,'Production cost'!$AU:$AU,0),3),"")</f>
        <v/>
      </c>
      <c r="G1373" s="3153" t="str">
        <f ca="1">IFERROR(INDEX('Production cost'!$A:$AU,MATCH($C1373,'Production cost'!$AU:$AU,0),9),"")</f>
        <v/>
      </c>
      <c r="H1373" s="3599" t="str">
        <f ca="1">IFERROR(IFERROR(INDEX('Production cost'!$A:$AU,MATCH($C1373,'Production cost'!$AU:$AU,0),11),"")+IFERROR(INDEX('Production cost'!$A:$AU,MATCH($C1373,'Production cost'!$AU:$AU,0),12),""),"")</f>
        <v/>
      </c>
      <c r="I1373" s="3153" t="str">
        <f ca="1">IFERROR(INDEX('Production cost'!$A:$AU,MATCH($C1373,'Production cost'!$AU:$AU,0),28)/'Production cost'!$E$2,"")</f>
        <v/>
      </c>
      <c r="J1373" s="3153" t="str">
        <f ca="1">IFERROR(INDEX('Production cost'!$A:$AU,MATCH($C1373,'Production cost'!$AU:$AU,0),28)/'Production cost'!$E$2,"")</f>
        <v/>
      </c>
    </row>
    <row r="1374" spans="2:10" ht="21.75">
      <c r="B1374" s="3143" t="s">
        <v>3654</v>
      </c>
      <c r="C1374" s="3143">
        <f t="shared" si="25"/>
        <v>29</v>
      </c>
      <c r="D1374" s="3143" t="str">
        <f ca="1">IFERROR(INDEX('Production cost'!$A:$AU,MATCH($C1374,'Production cost'!$AU:$AU,0),6),"")</f>
        <v/>
      </c>
      <c r="E1374" s="3143" t="str">
        <f ca="1">IFERROR(INDEX('Production cost'!$A:$AU,MATCH($C1374,'Production cost'!$AU:$AU,0),3),"")</f>
        <v/>
      </c>
      <c r="G1374" s="3153" t="str">
        <f ca="1">IFERROR(INDEX('Production cost'!$A:$AU,MATCH($C1374,'Production cost'!$AU:$AU,0),9),"")</f>
        <v/>
      </c>
      <c r="H1374" s="3599" t="str">
        <f ca="1">IFERROR(IFERROR(INDEX('Production cost'!$A:$AU,MATCH($C1374,'Production cost'!$AU:$AU,0),11),"")+IFERROR(INDEX('Production cost'!$A:$AU,MATCH($C1374,'Production cost'!$AU:$AU,0),12),""),"")</f>
        <v/>
      </c>
      <c r="I1374" s="3153" t="str">
        <f ca="1">IFERROR(INDEX('Production cost'!$A:$AU,MATCH($C1374,'Production cost'!$AU:$AU,0),28)/'Production cost'!$E$2,"")</f>
        <v/>
      </c>
      <c r="J1374" s="3153" t="str">
        <f ca="1">IFERROR(INDEX('Production cost'!$A:$AU,MATCH($C1374,'Production cost'!$AU:$AU,0),28)/'Production cost'!$E$2,"")</f>
        <v/>
      </c>
    </row>
    <row r="1375" spans="2:10" ht="21.75">
      <c r="B1375" s="3143" t="s">
        <v>3654</v>
      </c>
      <c r="C1375" s="3143">
        <f t="shared" si="25"/>
        <v>30</v>
      </c>
      <c r="D1375" s="3143" t="str">
        <f ca="1">IFERROR(INDEX('Production cost'!$A:$AU,MATCH($C1375,'Production cost'!$AU:$AU,0),6),"")</f>
        <v/>
      </c>
      <c r="E1375" s="3143" t="str">
        <f ca="1">IFERROR(INDEX('Production cost'!$A:$AU,MATCH($C1375,'Production cost'!$AU:$AU,0),3),"")</f>
        <v/>
      </c>
      <c r="G1375" s="3153" t="str">
        <f ca="1">IFERROR(INDEX('Production cost'!$A:$AU,MATCH($C1375,'Production cost'!$AU:$AU,0),9),"")</f>
        <v/>
      </c>
      <c r="H1375" s="3599" t="str">
        <f ca="1">IFERROR(IFERROR(INDEX('Production cost'!$A:$AU,MATCH($C1375,'Production cost'!$AU:$AU,0),11),"")+IFERROR(INDEX('Production cost'!$A:$AU,MATCH($C1375,'Production cost'!$AU:$AU,0),12),""),"")</f>
        <v/>
      </c>
      <c r="I1375" s="3153" t="str">
        <f ca="1">IFERROR(INDEX('Production cost'!$A:$AU,MATCH($C1375,'Production cost'!$AU:$AU,0),28)/'Production cost'!$E$2,"")</f>
        <v/>
      </c>
      <c r="J1375" s="3153" t="str">
        <f ca="1">IFERROR(INDEX('Production cost'!$A:$AU,MATCH($C1375,'Production cost'!$AU:$AU,0),28)/'Production cost'!$E$2,"")</f>
        <v/>
      </c>
    </row>
    <row r="1376" spans="2:10" ht="21.75">
      <c r="B1376" s="3143" t="s">
        <v>3654</v>
      </c>
      <c r="C1376" s="3143">
        <f t="shared" si="25"/>
        <v>31</v>
      </c>
      <c r="D1376" s="3143" t="str">
        <f ca="1">IFERROR(INDEX('Production cost'!$A:$AU,MATCH($C1376,'Production cost'!$AU:$AU,0),6),"")</f>
        <v/>
      </c>
      <c r="E1376" s="3143" t="str">
        <f ca="1">IFERROR(INDEX('Production cost'!$A:$AU,MATCH($C1376,'Production cost'!$AU:$AU,0),3),"")</f>
        <v/>
      </c>
      <c r="G1376" s="3153" t="str">
        <f ca="1">IFERROR(INDEX('Production cost'!$A:$AU,MATCH($C1376,'Production cost'!$AU:$AU,0),9),"")</f>
        <v/>
      </c>
      <c r="H1376" s="3599" t="str">
        <f ca="1">IFERROR(IFERROR(INDEX('Production cost'!$A:$AU,MATCH($C1376,'Production cost'!$AU:$AU,0),11),"")+IFERROR(INDEX('Production cost'!$A:$AU,MATCH($C1376,'Production cost'!$AU:$AU,0),12),""),"")</f>
        <v/>
      </c>
      <c r="I1376" s="3153" t="str">
        <f ca="1">IFERROR(INDEX('Production cost'!$A:$AU,MATCH($C1376,'Production cost'!$AU:$AU,0),28)/'Production cost'!$E$2,"")</f>
        <v/>
      </c>
      <c r="J1376" s="3153" t="str">
        <f ca="1">IFERROR(INDEX('Production cost'!$A:$AU,MATCH($C1376,'Production cost'!$AU:$AU,0),28)/'Production cost'!$E$2,"")</f>
        <v/>
      </c>
    </row>
    <row r="1377" spans="2:10" ht="21.75">
      <c r="B1377" s="3143" t="s">
        <v>3654</v>
      </c>
      <c r="C1377" s="3143">
        <f t="shared" si="25"/>
        <v>32</v>
      </c>
      <c r="D1377" s="3143" t="str">
        <f ca="1">IFERROR(INDEX('Production cost'!$A:$AU,MATCH($C1377,'Production cost'!$AU:$AU,0),6),"")</f>
        <v/>
      </c>
      <c r="E1377" s="3143" t="str">
        <f ca="1">IFERROR(INDEX('Production cost'!$A:$AU,MATCH($C1377,'Production cost'!$AU:$AU,0),3),"")</f>
        <v/>
      </c>
      <c r="G1377" s="3153" t="str">
        <f ca="1">IFERROR(INDEX('Production cost'!$A:$AU,MATCH($C1377,'Production cost'!$AU:$AU,0),9),"")</f>
        <v/>
      </c>
      <c r="H1377" s="3599" t="str">
        <f ca="1">IFERROR(IFERROR(INDEX('Production cost'!$A:$AU,MATCH($C1377,'Production cost'!$AU:$AU,0),11),"")+IFERROR(INDEX('Production cost'!$A:$AU,MATCH($C1377,'Production cost'!$AU:$AU,0),12),""),"")</f>
        <v/>
      </c>
      <c r="I1377" s="3153" t="str">
        <f ca="1">IFERROR(INDEX('Production cost'!$A:$AU,MATCH($C1377,'Production cost'!$AU:$AU,0),28)/'Production cost'!$E$2,"")</f>
        <v/>
      </c>
      <c r="J1377" s="3153" t="str">
        <f ca="1">IFERROR(INDEX('Production cost'!$A:$AU,MATCH($C1377,'Production cost'!$AU:$AU,0),28)/'Production cost'!$E$2,"")</f>
        <v/>
      </c>
    </row>
    <row r="1378" spans="2:10" ht="21.75">
      <c r="B1378" s="3143" t="s">
        <v>3654</v>
      </c>
      <c r="C1378" s="3143">
        <f t="shared" si="25"/>
        <v>33</v>
      </c>
      <c r="D1378" s="3143" t="str">
        <f ca="1">IFERROR(INDEX('Production cost'!$A:$AU,MATCH($C1378,'Production cost'!$AU:$AU,0),6),"")</f>
        <v/>
      </c>
      <c r="E1378" s="3143" t="str">
        <f ca="1">IFERROR(INDEX('Production cost'!$A:$AU,MATCH($C1378,'Production cost'!$AU:$AU,0),3),"")</f>
        <v/>
      </c>
      <c r="G1378" s="3153" t="str">
        <f ca="1">IFERROR(INDEX('Production cost'!$A:$AU,MATCH($C1378,'Production cost'!$AU:$AU,0),9),"")</f>
        <v/>
      </c>
      <c r="H1378" s="3599" t="str">
        <f ca="1">IFERROR(IFERROR(INDEX('Production cost'!$A:$AU,MATCH($C1378,'Production cost'!$AU:$AU,0),11),"")+IFERROR(INDEX('Production cost'!$A:$AU,MATCH($C1378,'Production cost'!$AU:$AU,0),12),""),"")</f>
        <v/>
      </c>
      <c r="I1378" s="3153" t="str">
        <f ca="1">IFERROR(INDEX('Production cost'!$A:$AU,MATCH($C1378,'Production cost'!$AU:$AU,0),28)/'Production cost'!$E$2,"")</f>
        <v/>
      </c>
      <c r="J1378" s="3153" t="str">
        <f ca="1">IFERROR(INDEX('Production cost'!$A:$AU,MATCH($C1378,'Production cost'!$AU:$AU,0),28)/'Production cost'!$E$2,"")</f>
        <v/>
      </c>
    </row>
    <row r="1379" spans="2:10" ht="21.75">
      <c r="B1379" s="3143" t="s">
        <v>3654</v>
      </c>
      <c r="C1379" s="3143">
        <f t="shared" si="25"/>
        <v>34</v>
      </c>
      <c r="D1379" s="3143" t="str">
        <f ca="1">IFERROR(INDEX('Production cost'!$A:$AU,MATCH($C1379,'Production cost'!$AU:$AU,0),6),"")</f>
        <v/>
      </c>
      <c r="E1379" s="3143" t="str">
        <f ca="1">IFERROR(INDEX('Production cost'!$A:$AU,MATCH($C1379,'Production cost'!$AU:$AU,0),3),"")</f>
        <v/>
      </c>
      <c r="G1379" s="3153" t="str">
        <f ca="1">IFERROR(INDEX('Production cost'!$A:$AU,MATCH($C1379,'Production cost'!$AU:$AU,0),9),"")</f>
        <v/>
      </c>
      <c r="H1379" s="3599" t="str">
        <f ca="1">IFERROR(IFERROR(INDEX('Production cost'!$A:$AU,MATCH($C1379,'Production cost'!$AU:$AU,0),11),"")+IFERROR(INDEX('Production cost'!$A:$AU,MATCH($C1379,'Production cost'!$AU:$AU,0),12),""),"")</f>
        <v/>
      </c>
      <c r="I1379" s="3153" t="str">
        <f ca="1">IFERROR(INDEX('Production cost'!$A:$AU,MATCH($C1379,'Production cost'!$AU:$AU,0),28)/'Production cost'!$E$2,"")</f>
        <v/>
      </c>
      <c r="J1379" s="3153" t="str">
        <f ca="1">IFERROR(INDEX('Production cost'!$A:$AU,MATCH($C1379,'Production cost'!$AU:$AU,0),28)/'Production cost'!$E$2,"")</f>
        <v/>
      </c>
    </row>
    <row r="1380" spans="2:10" ht="21.75">
      <c r="B1380" s="3143" t="s">
        <v>3654</v>
      </c>
      <c r="C1380" s="3143">
        <f t="shared" si="25"/>
        <v>35</v>
      </c>
      <c r="D1380" s="3143" t="str">
        <f ca="1">IFERROR(INDEX('Production cost'!$A:$AU,MATCH($C1380,'Production cost'!$AU:$AU,0),6),"")</f>
        <v/>
      </c>
      <c r="E1380" s="3143" t="str">
        <f ca="1">IFERROR(INDEX('Production cost'!$A:$AU,MATCH($C1380,'Production cost'!$AU:$AU,0),3),"")</f>
        <v/>
      </c>
      <c r="G1380" s="3153" t="str">
        <f ca="1">IFERROR(INDEX('Production cost'!$A:$AU,MATCH($C1380,'Production cost'!$AU:$AU,0),9),"")</f>
        <v/>
      </c>
      <c r="H1380" s="3599" t="str">
        <f ca="1">IFERROR(IFERROR(INDEX('Production cost'!$A:$AU,MATCH($C1380,'Production cost'!$AU:$AU,0),11),"")+IFERROR(INDEX('Production cost'!$A:$AU,MATCH($C1380,'Production cost'!$AU:$AU,0),12),""),"")</f>
        <v/>
      </c>
      <c r="I1380" s="3153" t="str">
        <f ca="1">IFERROR(INDEX('Production cost'!$A:$AU,MATCH($C1380,'Production cost'!$AU:$AU,0),28)/'Production cost'!$E$2,"")</f>
        <v/>
      </c>
      <c r="J1380" s="3153" t="str">
        <f ca="1">IFERROR(INDEX('Production cost'!$A:$AU,MATCH($C1380,'Production cost'!$AU:$AU,0),28)/'Production cost'!$E$2,"")</f>
        <v/>
      </c>
    </row>
    <row r="1381" spans="2:10" ht="21.75">
      <c r="B1381" s="3143" t="s">
        <v>3654</v>
      </c>
      <c r="C1381" s="3143">
        <f t="shared" si="25"/>
        <v>36</v>
      </c>
      <c r="D1381" s="3143" t="str">
        <f ca="1">IFERROR(INDEX('Production cost'!$A:$AU,MATCH($C1381,'Production cost'!$AU:$AU,0),6),"")</f>
        <v/>
      </c>
      <c r="E1381" s="3143" t="str">
        <f ca="1">IFERROR(INDEX('Production cost'!$A:$AU,MATCH($C1381,'Production cost'!$AU:$AU,0),3),"")</f>
        <v/>
      </c>
      <c r="G1381" s="3153" t="str">
        <f ca="1">IFERROR(INDEX('Production cost'!$A:$AU,MATCH($C1381,'Production cost'!$AU:$AU,0),9),"")</f>
        <v/>
      </c>
      <c r="H1381" s="3599" t="str">
        <f ca="1">IFERROR(IFERROR(INDEX('Production cost'!$A:$AU,MATCH($C1381,'Production cost'!$AU:$AU,0),11),"")+IFERROR(INDEX('Production cost'!$A:$AU,MATCH($C1381,'Production cost'!$AU:$AU,0),12),""),"")</f>
        <v/>
      </c>
      <c r="I1381" s="3153" t="str">
        <f ca="1">IFERROR(INDEX('Production cost'!$A:$AU,MATCH($C1381,'Production cost'!$AU:$AU,0),28)/'Production cost'!$E$2,"")</f>
        <v/>
      </c>
      <c r="J1381" s="3153" t="str">
        <f ca="1">IFERROR(INDEX('Production cost'!$A:$AU,MATCH($C1381,'Production cost'!$AU:$AU,0),28)/'Production cost'!$E$2,"")</f>
        <v/>
      </c>
    </row>
    <row r="1382" spans="2:10" ht="21.75">
      <c r="B1382" s="3143" t="s">
        <v>3654</v>
      </c>
      <c r="C1382" s="3143">
        <f t="shared" si="25"/>
        <v>37</v>
      </c>
      <c r="D1382" s="3143" t="str">
        <f ca="1">IFERROR(INDEX('Production cost'!$A:$AU,MATCH($C1382,'Production cost'!$AU:$AU,0),6),"")</f>
        <v/>
      </c>
      <c r="E1382" s="3143" t="str">
        <f ca="1">IFERROR(INDEX('Production cost'!$A:$AU,MATCH($C1382,'Production cost'!$AU:$AU,0),3),"")</f>
        <v/>
      </c>
      <c r="G1382" s="3153" t="str">
        <f ca="1">IFERROR(INDEX('Production cost'!$A:$AU,MATCH($C1382,'Production cost'!$AU:$AU,0),9),"")</f>
        <v/>
      </c>
      <c r="H1382" s="3599" t="str">
        <f ca="1">IFERROR(IFERROR(INDEX('Production cost'!$A:$AU,MATCH($C1382,'Production cost'!$AU:$AU,0),11),"")+IFERROR(INDEX('Production cost'!$A:$AU,MATCH($C1382,'Production cost'!$AU:$AU,0),12),""),"")</f>
        <v/>
      </c>
      <c r="I1382" s="3153" t="str">
        <f ca="1">IFERROR(INDEX('Production cost'!$A:$AU,MATCH($C1382,'Production cost'!$AU:$AU,0),28)/'Production cost'!$E$2,"")</f>
        <v/>
      </c>
      <c r="J1382" s="3153" t="str">
        <f ca="1">IFERROR(INDEX('Production cost'!$A:$AU,MATCH($C1382,'Production cost'!$AU:$AU,0),28)/'Production cost'!$E$2,"")</f>
        <v/>
      </c>
    </row>
    <row r="1383" spans="2:10" ht="21.75">
      <c r="B1383" s="3143" t="s">
        <v>3654</v>
      </c>
      <c r="C1383" s="3143">
        <f t="shared" si="25"/>
        <v>38</v>
      </c>
      <c r="D1383" s="3143" t="str">
        <f ca="1">IFERROR(INDEX('Production cost'!$A:$AU,MATCH($C1383,'Production cost'!$AU:$AU,0),6),"")</f>
        <v/>
      </c>
      <c r="E1383" s="3143" t="str">
        <f ca="1">IFERROR(INDEX('Production cost'!$A:$AU,MATCH($C1383,'Production cost'!$AU:$AU,0),3),"")</f>
        <v/>
      </c>
      <c r="G1383" s="3153" t="str">
        <f ca="1">IFERROR(INDEX('Production cost'!$A:$AU,MATCH($C1383,'Production cost'!$AU:$AU,0),9),"")</f>
        <v/>
      </c>
      <c r="H1383" s="3599" t="str">
        <f ca="1">IFERROR(IFERROR(INDEX('Production cost'!$A:$AU,MATCH($C1383,'Production cost'!$AU:$AU,0),11),"")+IFERROR(INDEX('Production cost'!$A:$AU,MATCH($C1383,'Production cost'!$AU:$AU,0),12),""),"")</f>
        <v/>
      </c>
      <c r="I1383" s="3153" t="str">
        <f ca="1">IFERROR(INDEX('Production cost'!$A:$AU,MATCH($C1383,'Production cost'!$AU:$AU,0),28)/'Production cost'!$E$2,"")</f>
        <v/>
      </c>
      <c r="J1383" s="3153" t="str">
        <f ca="1">IFERROR(INDEX('Production cost'!$A:$AU,MATCH($C1383,'Production cost'!$AU:$AU,0),28)/'Production cost'!$E$2,"")</f>
        <v/>
      </c>
    </row>
    <row r="1384" spans="2:10" ht="21.75">
      <c r="B1384" s="3143" t="s">
        <v>3654</v>
      </c>
      <c r="C1384" s="3143">
        <f t="shared" si="25"/>
        <v>39</v>
      </c>
      <c r="D1384" s="3143" t="str">
        <f ca="1">IFERROR(INDEX('Production cost'!$A:$AU,MATCH($C1384,'Production cost'!$AU:$AU,0),6),"")</f>
        <v/>
      </c>
      <c r="E1384" s="3143" t="str">
        <f ca="1">IFERROR(INDEX('Production cost'!$A:$AU,MATCH($C1384,'Production cost'!$AU:$AU,0),3),"")</f>
        <v/>
      </c>
      <c r="G1384" s="3153" t="str">
        <f ca="1">IFERROR(INDEX('Production cost'!$A:$AU,MATCH($C1384,'Production cost'!$AU:$AU,0),9),"")</f>
        <v/>
      </c>
      <c r="H1384" s="3599" t="str">
        <f ca="1">IFERROR(IFERROR(INDEX('Production cost'!$A:$AU,MATCH($C1384,'Production cost'!$AU:$AU,0),11),"")+IFERROR(INDEX('Production cost'!$A:$AU,MATCH($C1384,'Production cost'!$AU:$AU,0),12),""),"")</f>
        <v/>
      </c>
      <c r="I1384" s="3153" t="str">
        <f ca="1">IFERROR(INDEX('Production cost'!$A:$AU,MATCH($C1384,'Production cost'!$AU:$AU,0),28)/'Production cost'!$E$2,"")</f>
        <v/>
      </c>
      <c r="J1384" s="3153" t="str">
        <f ca="1">IFERROR(INDEX('Production cost'!$A:$AU,MATCH($C1384,'Production cost'!$AU:$AU,0),28)/'Production cost'!$E$2,"")</f>
        <v/>
      </c>
    </row>
    <row r="1385" spans="2:10" ht="21.75">
      <c r="B1385" s="3143" t="s">
        <v>3654</v>
      </c>
      <c r="C1385" s="3143">
        <f t="shared" si="25"/>
        <v>40</v>
      </c>
      <c r="D1385" s="3143" t="str">
        <f ca="1">IFERROR(INDEX('Production cost'!$A:$AU,MATCH($C1385,'Production cost'!$AU:$AU,0),6),"")</f>
        <v/>
      </c>
      <c r="E1385" s="3143" t="str">
        <f ca="1">IFERROR(INDEX('Production cost'!$A:$AU,MATCH($C1385,'Production cost'!$AU:$AU,0),3),"")</f>
        <v/>
      </c>
      <c r="G1385" s="3153" t="str">
        <f ca="1">IFERROR(INDEX('Production cost'!$A:$AU,MATCH($C1385,'Production cost'!$AU:$AU,0),9),"")</f>
        <v/>
      </c>
      <c r="H1385" s="3599" t="str">
        <f ca="1">IFERROR(IFERROR(INDEX('Production cost'!$A:$AU,MATCH($C1385,'Production cost'!$AU:$AU,0),11),"")+IFERROR(INDEX('Production cost'!$A:$AU,MATCH($C1385,'Production cost'!$AU:$AU,0),12),""),"")</f>
        <v/>
      </c>
      <c r="I1385" s="3153" t="str">
        <f ca="1">IFERROR(INDEX('Production cost'!$A:$AU,MATCH($C1385,'Production cost'!$AU:$AU,0),28)/'Production cost'!$E$2,"")</f>
        <v/>
      </c>
      <c r="J1385" s="3153" t="str">
        <f ca="1">IFERROR(INDEX('Production cost'!$A:$AU,MATCH($C1385,'Production cost'!$AU:$AU,0),28)/'Production cost'!$E$2,"")</f>
        <v/>
      </c>
    </row>
    <row r="1386" spans="2:10" ht="21.75">
      <c r="B1386" s="3143" t="s">
        <v>3654</v>
      </c>
      <c r="C1386" s="3143">
        <f t="shared" si="25"/>
        <v>41</v>
      </c>
      <c r="D1386" s="3143" t="str">
        <f ca="1">IFERROR(INDEX('Production cost'!$A:$AU,MATCH($C1386,'Production cost'!$AU:$AU,0),6),"")</f>
        <v/>
      </c>
      <c r="E1386" s="3143" t="str">
        <f ca="1">IFERROR(INDEX('Production cost'!$A:$AU,MATCH($C1386,'Production cost'!$AU:$AU,0),3),"")</f>
        <v/>
      </c>
      <c r="G1386" s="3153" t="str">
        <f ca="1">IFERROR(INDEX('Production cost'!$A:$AU,MATCH($C1386,'Production cost'!$AU:$AU,0),9),"")</f>
        <v/>
      </c>
      <c r="H1386" s="3599" t="str">
        <f ca="1">IFERROR(IFERROR(INDEX('Production cost'!$A:$AU,MATCH($C1386,'Production cost'!$AU:$AU,0),11),"")+IFERROR(INDEX('Production cost'!$A:$AU,MATCH($C1386,'Production cost'!$AU:$AU,0),12),""),"")</f>
        <v/>
      </c>
      <c r="I1386" s="3153" t="str">
        <f ca="1">IFERROR(INDEX('Production cost'!$A:$AU,MATCH($C1386,'Production cost'!$AU:$AU,0),28)/'Production cost'!$E$2,"")</f>
        <v/>
      </c>
      <c r="J1386" s="3153" t="str">
        <f ca="1">IFERROR(INDEX('Production cost'!$A:$AU,MATCH($C1386,'Production cost'!$AU:$AU,0),28)/'Production cost'!$E$2,"")</f>
        <v/>
      </c>
    </row>
    <row r="1387" spans="2:10" ht="21.75">
      <c r="B1387" s="3143" t="s">
        <v>3654</v>
      </c>
      <c r="C1387" s="3143">
        <f t="shared" si="25"/>
        <v>42</v>
      </c>
      <c r="D1387" s="3143" t="str">
        <f ca="1">IFERROR(INDEX('Production cost'!$A:$AU,MATCH($C1387,'Production cost'!$AU:$AU,0),6),"")</f>
        <v/>
      </c>
      <c r="E1387" s="3143" t="str">
        <f ca="1">IFERROR(INDEX('Production cost'!$A:$AU,MATCH($C1387,'Production cost'!$AU:$AU,0),3),"")</f>
        <v/>
      </c>
      <c r="G1387" s="3153" t="str">
        <f ca="1">IFERROR(INDEX('Production cost'!$A:$AU,MATCH($C1387,'Production cost'!$AU:$AU,0),9),"")</f>
        <v/>
      </c>
      <c r="H1387" s="3599" t="str">
        <f ca="1">IFERROR(IFERROR(INDEX('Production cost'!$A:$AU,MATCH($C1387,'Production cost'!$AU:$AU,0),11),"")+IFERROR(INDEX('Production cost'!$A:$AU,MATCH($C1387,'Production cost'!$AU:$AU,0),12),""),"")</f>
        <v/>
      </c>
      <c r="I1387" s="3153" t="str">
        <f ca="1">IFERROR(INDEX('Production cost'!$A:$AU,MATCH($C1387,'Production cost'!$AU:$AU,0),28)/'Production cost'!$E$2,"")</f>
        <v/>
      </c>
      <c r="J1387" s="3153" t="str">
        <f ca="1">IFERROR(INDEX('Production cost'!$A:$AU,MATCH($C1387,'Production cost'!$AU:$AU,0),28)/'Production cost'!$E$2,"")</f>
        <v/>
      </c>
    </row>
    <row r="1388" spans="2:10" ht="21.75">
      <c r="B1388" s="3143" t="s">
        <v>3654</v>
      </c>
      <c r="C1388" s="3143">
        <f t="shared" si="25"/>
        <v>43</v>
      </c>
      <c r="D1388" s="3143" t="str">
        <f ca="1">IFERROR(INDEX('Production cost'!$A:$AU,MATCH($C1388,'Production cost'!$AU:$AU,0),6),"")</f>
        <v/>
      </c>
      <c r="E1388" s="3143" t="str">
        <f ca="1">IFERROR(INDEX('Production cost'!$A:$AU,MATCH($C1388,'Production cost'!$AU:$AU,0),3),"")</f>
        <v/>
      </c>
      <c r="G1388" s="3153" t="str">
        <f ca="1">IFERROR(INDEX('Production cost'!$A:$AU,MATCH($C1388,'Production cost'!$AU:$AU,0),9),"")</f>
        <v/>
      </c>
      <c r="H1388" s="3599" t="str">
        <f ca="1">IFERROR(IFERROR(INDEX('Production cost'!$A:$AU,MATCH($C1388,'Production cost'!$AU:$AU,0),11),"")+IFERROR(INDEX('Production cost'!$A:$AU,MATCH($C1388,'Production cost'!$AU:$AU,0),12),""),"")</f>
        <v/>
      </c>
      <c r="I1388" s="3153" t="str">
        <f ca="1">IFERROR(INDEX('Production cost'!$A:$AU,MATCH($C1388,'Production cost'!$AU:$AU,0),28)/'Production cost'!$E$2,"")</f>
        <v/>
      </c>
      <c r="J1388" s="3153" t="str">
        <f ca="1">IFERROR(INDEX('Production cost'!$A:$AU,MATCH($C1388,'Production cost'!$AU:$AU,0),28)/'Production cost'!$E$2,"")</f>
        <v/>
      </c>
    </row>
    <row r="1389" spans="2:10" ht="21.75">
      <c r="B1389" s="3143" t="s">
        <v>3654</v>
      </c>
      <c r="C1389" s="3143">
        <f t="shared" si="25"/>
        <v>44</v>
      </c>
      <c r="D1389" s="3143" t="str">
        <f ca="1">IFERROR(INDEX('Production cost'!$A:$AU,MATCH($C1389,'Production cost'!$AU:$AU,0),6),"")</f>
        <v/>
      </c>
      <c r="E1389" s="3143" t="str">
        <f ca="1">IFERROR(INDEX('Production cost'!$A:$AU,MATCH($C1389,'Production cost'!$AU:$AU,0),3),"")</f>
        <v/>
      </c>
      <c r="G1389" s="3153" t="str">
        <f ca="1">IFERROR(INDEX('Production cost'!$A:$AU,MATCH($C1389,'Production cost'!$AU:$AU,0),9),"")</f>
        <v/>
      </c>
      <c r="H1389" s="3599" t="str">
        <f ca="1">IFERROR(IFERROR(INDEX('Production cost'!$A:$AU,MATCH($C1389,'Production cost'!$AU:$AU,0),11),"")+IFERROR(INDEX('Production cost'!$A:$AU,MATCH($C1389,'Production cost'!$AU:$AU,0),12),""),"")</f>
        <v/>
      </c>
      <c r="I1389" s="3153" t="str">
        <f ca="1">IFERROR(INDEX('Production cost'!$A:$AU,MATCH($C1389,'Production cost'!$AU:$AU,0),28)/'Production cost'!$E$2,"")</f>
        <v/>
      </c>
      <c r="J1389" s="3153" t="str">
        <f ca="1">IFERROR(INDEX('Production cost'!$A:$AU,MATCH($C1389,'Production cost'!$AU:$AU,0),28)/'Production cost'!$E$2,"")</f>
        <v/>
      </c>
    </row>
    <row r="1390" spans="2:10" ht="21.75">
      <c r="B1390" s="3143" t="s">
        <v>3654</v>
      </c>
      <c r="C1390" s="3143">
        <f t="shared" si="25"/>
        <v>45</v>
      </c>
      <c r="D1390" s="3143" t="str">
        <f ca="1">IFERROR(INDEX('Production cost'!$A:$AU,MATCH($C1390,'Production cost'!$AU:$AU,0),6),"")</f>
        <v/>
      </c>
      <c r="E1390" s="3143" t="str">
        <f ca="1">IFERROR(INDEX('Production cost'!$A:$AU,MATCH($C1390,'Production cost'!$AU:$AU,0),3),"")</f>
        <v/>
      </c>
      <c r="G1390" s="3153" t="str">
        <f ca="1">IFERROR(INDEX('Production cost'!$A:$AU,MATCH($C1390,'Production cost'!$AU:$AU,0),9),"")</f>
        <v/>
      </c>
      <c r="H1390" s="3599" t="str">
        <f ca="1">IFERROR(IFERROR(INDEX('Production cost'!$A:$AU,MATCH($C1390,'Production cost'!$AU:$AU,0),11),"")+IFERROR(INDEX('Production cost'!$A:$AU,MATCH($C1390,'Production cost'!$AU:$AU,0),12),""),"")</f>
        <v/>
      </c>
      <c r="I1390" s="3153" t="str">
        <f ca="1">IFERROR(INDEX('Production cost'!$A:$AU,MATCH($C1390,'Production cost'!$AU:$AU,0),28)/'Production cost'!$E$2,"")</f>
        <v/>
      </c>
      <c r="J1390" s="3153" t="str">
        <f ca="1">IFERROR(INDEX('Production cost'!$A:$AU,MATCH($C1390,'Production cost'!$AU:$AU,0),28)/'Production cost'!$E$2,"")</f>
        <v/>
      </c>
    </row>
    <row r="1391" spans="2:10" ht="21.75">
      <c r="B1391" s="3143" t="s">
        <v>3654</v>
      </c>
      <c r="C1391" s="3143">
        <f t="shared" si="25"/>
        <v>46</v>
      </c>
      <c r="D1391" s="3143" t="str">
        <f ca="1">IFERROR(INDEX('Production cost'!$A:$AU,MATCH($C1391,'Production cost'!$AU:$AU,0),6),"")</f>
        <v/>
      </c>
      <c r="E1391" s="3143" t="str">
        <f ca="1">IFERROR(INDEX('Production cost'!$A:$AU,MATCH($C1391,'Production cost'!$AU:$AU,0),3),"")</f>
        <v/>
      </c>
      <c r="G1391" s="3153" t="str">
        <f ca="1">IFERROR(INDEX('Production cost'!$A:$AU,MATCH($C1391,'Production cost'!$AU:$AU,0),9),"")</f>
        <v/>
      </c>
      <c r="H1391" s="3599" t="str">
        <f ca="1">IFERROR(IFERROR(INDEX('Production cost'!$A:$AU,MATCH($C1391,'Production cost'!$AU:$AU,0),11),"")+IFERROR(INDEX('Production cost'!$A:$AU,MATCH($C1391,'Production cost'!$AU:$AU,0),12),""),"")</f>
        <v/>
      </c>
      <c r="I1391" s="3153" t="str">
        <f ca="1">IFERROR(INDEX('Production cost'!$A:$AU,MATCH($C1391,'Production cost'!$AU:$AU,0),28)/'Production cost'!$E$2,"")</f>
        <v/>
      </c>
      <c r="J1391" s="3153" t="str">
        <f ca="1">IFERROR(INDEX('Production cost'!$A:$AU,MATCH($C1391,'Production cost'!$AU:$AU,0),28)/'Production cost'!$E$2,"")</f>
        <v/>
      </c>
    </row>
    <row r="1392" spans="2:10" ht="21.75">
      <c r="B1392" s="3143" t="s">
        <v>3654</v>
      </c>
      <c r="C1392" s="3143">
        <f t="shared" si="25"/>
        <v>47</v>
      </c>
      <c r="D1392" s="3143" t="str">
        <f ca="1">IFERROR(INDEX('Production cost'!$A:$AU,MATCH($C1392,'Production cost'!$AU:$AU,0),6),"")</f>
        <v/>
      </c>
      <c r="E1392" s="3143" t="str">
        <f ca="1">IFERROR(INDEX('Production cost'!$A:$AU,MATCH($C1392,'Production cost'!$AU:$AU,0),3),"")</f>
        <v/>
      </c>
      <c r="G1392" s="3153" t="str">
        <f ca="1">IFERROR(INDEX('Production cost'!$A:$AU,MATCH($C1392,'Production cost'!$AU:$AU,0),9),"")</f>
        <v/>
      </c>
      <c r="H1392" s="3599" t="str">
        <f ca="1">IFERROR(IFERROR(INDEX('Production cost'!$A:$AU,MATCH($C1392,'Production cost'!$AU:$AU,0),11),"")+IFERROR(INDEX('Production cost'!$A:$AU,MATCH($C1392,'Production cost'!$AU:$AU,0),12),""),"")</f>
        <v/>
      </c>
      <c r="I1392" s="3153" t="str">
        <f ca="1">IFERROR(INDEX('Production cost'!$A:$AU,MATCH($C1392,'Production cost'!$AU:$AU,0),28)/'Production cost'!$E$2,"")</f>
        <v/>
      </c>
      <c r="J1392" s="3153" t="str">
        <f ca="1">IFERROR(INDEX('Production cost'!$A:$AU,MATCH($C1392,'Production cost'!$AU:$AU,0),28)/'Production cost'!$E$2,"")</f>
        <v/>
      </c>
    </row>
    <row r="1393" spans="2:10" ht="21.75">
      <c r="B1393" s="3143" t="s">
        <v>3654</v>
      </c>
      <c r="C1393" s="3143">
        <f t="shared" si="25"/>
        <v>48</v>
      </c>
      <c r="D1393" s="3143" t="str">
        <f ca="1">IFERROR(INDEX('Production cost'!$A:$AU,MATCH($C1393,'Production cost'!$AU:$AU,0),6),"")</f>
        <v/>
      </c>
      <c r="E1393" s="3143" t="str">
        <f ca="1">IFERROR(INDEX('Production cost'!$A:$AU,MATCH($C1393,'Production cost'!$AU:$AU,0),3),"")</f>
        <v/>
      </c>
      <c r="G1393" s="3153" t="str">
        <f ca="1">IFERROR(INDEX('Production cost'!$A:$AU,MATCH($C1393,'Production cost'!$AU:$AU,0),9),"")</f>
        <v/>
      </c>
      <c r="H1393" s="3599" t="str">
        <f ca="1">IFERROR(IFERROR(INDEX('Production cost'!$A:$AU,MATCH($C1393,'Production cost'!$AU:$AU,0),11),"")+IFERROR(INDEX('Production cost'!$A:$AU,MATCH($C1393,'Production cost'!$AU:$AU,0),12),""),"")</f>
        <v/>
      </c>
      <c r="I1393" s="3153" t="str">
        <f ca="1">IFERROR(INDEX('Production cost'!$A:$AU,MATCH($C1393,'Production cost'!$AU:$AU,0),28)/'Production cost'!$E$2,"")</f>
        <v/>
      </c>
      <c r="J1393" s="3153" t="str">
        <f ca="1">IFERROR(INDEX('Production cost'!$A:$AU,MATCH($C1393,'Production cost'!$AU:$AU,0),28)/'Production cost'!$E$2,"")</f>
        <v/>
      </c>
    </row>
    <row r="1394" spans="2:10" ht="21.75">
      <c r="B1394" s="3143" t="s">
        <v>3654</v>
      </c>
      <c r="C1394" s="3143">
        <f t="shared" si="25"/>
        <v>49</v>
      </c>
      <c r="D1394" s="3143" t="str">
        <f ca="1">IFERROR(INDEX('Production cost'!$A:$AU,MATCH($C1394,'Production cost'!$AU:$AU,0),6),"")</f>
        <v/>
      </c>
      <c r="E1394" s="3143" t="str">
        <f ca="1">IFERROR(INDEX('Production cost'!$A:$AU,MATCH($C1394,'Production cost'!$AU:$AU,0),3),"")</f>
        <v/>
      </c>
      <c r="G1394" s="3153" t="str">
        <f ca="1">IFERROR(INDEX('Production cost'!$A:$AU,MATCH($C1394,'Production cost'!$AU:$AU,0),9),"")</f>
        <v/>
      </c>
      <c r="H1394" s="3599" t="str">
        <f ca="1">IFERROR(IFERROR(INDEX('Production cost'!$A:$AU,MATCH($C1394,'Production cost'!$AU:$AU,0),11),"")+IFERROR(INDEX('Production cost'!$A:$AU,MATCH($C1394,'Production cost'!$AU:$AU,0),12),""),"")</f>
        <v/>
      </c>
      <c r="I1394" s="3153" t="str">
        <f ca="1">IFERROR(INDEX('Production cost'!$A:$AU,MATCH($C1394,'Production cost'!$AU:$AU,0),28)/'Production cost'!$E$2,"")</f>
        <v/>
      </c>
      <c r="J1394" s="3153" t="str">
        <f ca="1">IFERROR(INDEX('Production cost'!$A:$AU,MATCH($C1394,'Production cost'!$AU:$AU,0),28)/'Production cost'!$E$2,"")</f>
        <v/>
      </c>
    </row>
    <row r="1395" spans="2:10" ht="21.75">
      <c r="B1395" s="3143" t="s">
        <v>3654</v>
      </c>
      <c r="C1395" s="3143">
        <f t="shared" si="25"/>
        <v>50</v>
      </c>
      <c r="D1395" s="3143" t="str">
        <f ca="1">IFERROR(INDEX('Production cost'!$A:$AU,MATCH($C1395,'Production cost'!$AU:$AU,0),6),"")</f>
        <v/>
      </c>
      <c r="E1395" s="3143" t="str">
        <f ca="1">IFERROR(INDEX('Production cost'!$A:$AU,MATCH($C1395,'Production cost'!$AU:$AU,0),3),"")</f>
        <v/>
      </c>
      <c r="G1395" s="3153" t="str">
        <f ca="1">IFERROR(INDEX('Production cost'!$A:$AU,MATCH($C1395,'Production cost'!$AU:$AU,0),9),"")</f>
        <v/>
      </c>
      <c r="H1395" s="3599" t="str">
        <f ca="1">IFERROR(IFERROR(INDEX('Production cost'!$A:$AU,MATCH($C1395,'Production cost'!$AU:$AU,0),11),"")+IFERROR(INDEX('Production cost'!$A:$AU,MATCH($C1395,'Production cost'!$AU:$AU,0),12),""),"")</f>
        <v/>
      </c>
      <c r="I1395" s="3153" t="str">
        <f ca="1">IFERROR(INDEX('Production cost'!$A:$AU,MATCH($C1395,'Production cost'!$AU:$AU,0),28)/'Production cost'!$E$2,"")</f>
        <v/>
      </c>
      <c r="J1395" s="3153" t="str">
        <f ca="1">IFERROR(INDEX('Production cost'!$A:$AU,MATCH($C1395,'Production cost'!$AU:$AU,0),28)/'Production cost'!$E$2,"")</f>
        <v/>
      </c>
    </row>
    <row r="1396" spans="2:10" ht="21.75">
      <c r="B1396" s="3143" t="s">
        <v>3654</v>
      </c>
      <c r="C1396" s="3143">
        <f t="shared" si="25"/>
        <v>51</v>
      </c>
      <c r="D1396" s="3143" t="str">
        <f ca="1">IFERROR(INDEX('Production cost'!$A:$AU,MATCH($C1396,'Production cost'!$AU:$AU,0),6),"")</f>
        <v/>
      </c>
      <c r="E1396" s="3143" t="str">
        <f ca="1">IFERROR(INDEX('Production cost'!$A:$AU,MATCH($C1396,'Production cost'!$AU:$AU,0),3),"")</f>
        <v/>
      </c>
      <c r="G1396" s="3153" t="str">
        <f ca="1">IFERROR(INDEX('Production cost'!$A:$AU,MATCH($C1396,'Production cost'!$AU:$AU,0),9),"")</f>
        <v/>
      </c>
      <c r="H1396" s="3599" t="str">
        <f ca="1">IFERROR(IFERROR(INDEX('Production cost'!$A:$AU,MATCH($C1396,'Production cost'!$AU:$AU,0),11),"")+IFERROR(INDEX('Production cost'!$A:$AU,MATCH($C1396,'Production cost'!$AU:$AU,0),12),""),"")</f>
        <v/>
      </c>
      <c r="I1396" s="3153" t="str">
        <f ca="1">IFERROR(INDEX('Production cost'!$A:$AU,MATCH($C1396,'Production cost'!$AU:$AU,0),28)/'Production cost'!$E$2,"")</f>
        <v/>
      </c>
      <c r="J1396" s="3153" t="str">
        <f ca="1">IFERROR(INDEX('Production cost'!$A:$AU,MATCH($C1396,'Production cost'!$AU:$AU,0),28)/'Production cost'!$E$2,"")</f>
        <v/>
      </c>
    </row>
    <row r="1397" spans="2:10" ht="21.75">
      <c r="B1397" s="3143" t="s">
        <v>3654</v>
      </c>
      <c r="C1397" s="3143">
        <f t="shared" si="25"/>
        <v>52</v>
      </c>
      <c r="D1397" s="3143" t="str">
        <f ca="1">IFERROR(INDEX('Production cost'!$A:$AU,MATCH($C1397,'Production cost'!$AU:$AU,0),6),"")</f>
        <v/>
      </c>
      <c r="E1397" s="3143" t="str">
        <f ca="1">IFERROR(INDEX('Production cost'!$A:$AU,MATCH($C1397,'Production cost'!$AU:$AU,0),3),"")</f>
        <v/>
      </c>
      <c r="G1397" s="3153" t="str">
        <f ca="1">IFERROR(INDEX('Production cost'!$A:$AU,MATCH($C1397,'Production cost'!$AU:$AU,0),9),"")</f>
        <v/>
      </c>
      <c r="H1397" s="3599" t="str">
        <f ca="1">IFERROR(IFERROR(INDEX('Production cost'!$A:$AU,MATCH($C1397,'Production cost'!$AU:$AU,0),11),"")+IFERROR(INDEX('Production cost'!$A:$AU,MATCH($C1397,'Production cost'!$AU:$AU,0),12),""),"")</f>
        <v/>
      </c>
      <c r="I1397" s="3153" t="str">
        <f ca="1">IFERROR(INDEX('Production cost'!$A:$AU,MATCH($C1397,'Production cost'!$AU:$AU,0),28)/'Production cost'!$E$2,"")</f>
        <v/>
      </c>
      <c r="J1397" s="3153" t="str">
        <f ca="1">IFERROR(INDEX('Production cost'!$A:$AU,MATCH($C1397,'Production cost'!$AU:$AU,0),28)/'Production cost'!$E$2,"")</f>
        <v/>
      </c>
    </row>
    <row r="1398" spans="2:10" ht="21.75">
      <c r="B1398" s="3143" t="s">
        <v>3654</v>
      </c>
      <c r="C1398" s="3143">
        <f t="shared" si="25"/>
        <v>53</v>
      </c>
      <c r="D1398" s="3143" t="str">
        <f ca="1">IFERROR(INDEX('Production cost'!$A:$AU,MATCH($C1398,'Production cost'!$AU:$AU,0),6),"")</f>
        <v/>
      </c>
      <c r="E1398" s="3143" t="str">
        <f ca="1">IFERROR(INDEX('Production cost'!$A:$AU,MATCH($C1398,'Production cost'!$AU:$AU,0),3),"")</f>
        <v/>
      </c>
      <c r="G1398" s="3153" t="str">
        <f ca="1">IFERROR(INDEX('Production cost'!$A:$AU,MATCH($C1398,'Production cost'!$AU:$AU,0),9),"")</f>
        <v/>
      </c>
      <c r="H1398" s="3599" t="str">
        <f ca="1">IFERROR(IFERROR(INDEX('Production cost'!$A:$AU,MATCH($C1398,'Production cost'!$AU:$AU,0),11),"")+IFERROR(INDEX('Production cost'!$A:$AU,MATCH($C1398,'Production cost'!$AU:$AU,0),12),""),"")</f>
        <v/>
      </c>
      <c r="I1398" s="3153" t="str">
        <f ca="1">IFERROR(INDEX('Production cost'!$A:$AU,MATCH($C1398,'Production cost'!$AU:$AU,0),28)/'Production cost'!$E$2,"")</f>
        <v/>
      </c>
      <c r="J1398" s="3153" t="str">
        <f ca="1">IFERROR(INDEX('Production cost'!$A:$AU,MATCH($C1398,'Production cost'!$AU:$AU,0),28)/'Production cost'!$E$2,"")</f>
        <v/>
      </c>
    </row>
    <row r="1399" spans="2:10" ht="21.75">
      <c r="B1399" s="3143" t="s">
        <v>3654</v>
      </c>
      <c r="C1399" s="3143">
        <f t="shared" si="25"/>
        <v>54</v>
      </c>
      <c r="D1399" s="3143" t="str">
        <f ca="1">IFERROR(INDEX('Production cost'!$A:$AU,MATCH($C1399,'Production cost'!$AU:$AU,0),6),"")</f>
        <v/>
      </c>
      <c r="E1399" s="3143" t="str">
        <f ca="1">IFERROR(INDEX('Production cost'!$A:$AU,MATCH($C1399,'Production cost'!$AU:$AU,0),3),"")</f>
        <v/>
      </c>
      <c r="G1399" s="3153" t="str">
        <f ca="1">IFERROR(INDEX('Production cost'!$A:$AU,MATCH($C1399,'Production cost'!$AU:$AU,0),9),"")</f>
        <v/>
      </c>
      <c r="H1399" s="3599" t="str">
        <f ca="1">IFERROR(IFERROR(INDEX('Production cost'!$A:$AU,MATCH($C1399,'Production cost'!$AU:$AU,0),11),"")+IFERROR(INDEX('Production cost'!$A:$AU,MATCH($C1399,'Production cost'!$AU:$AU,0),12),""),"")</f>
        <v/>
      </c>
      <c r="I1399" s="3153" t="str">
        <f ca="1">IFERROR(INDEX('Production cost'!$A:$AU,MATCH($C1399,'Production cost'!$AU:$AU,0),28)/'Production cost'!$E$2,"")</f>
        <v/>
      </c>
      <c r="J1399" s="3153" t="str">
        <f ca="1">IFERROR(INDEX('Production cost'!$A:$AU,MATCH($C1399,'Production cost'!$AU:$AU,0),28)/'Production cost'!$E$2,"")</f>
        <v/>
      </c>
    </row>
    <row r="1400" spans="2:10" ht="21.75">
      <c r="B1400" s="3143" t="s">
        <v>3654</v>
      </c>
      <c r="C1400" s="3143">
        <f t="shared" si="25"/>
        <v>55</v>
      </c>
      <c r="D1400" s="3143" t="str">
        <f ca="1">IFERROR(INDEX('Production cost'!$A:$AU,MATCH($C1400,'Production cost'!$AU:$AU,0),6),"")</f>
        <v/>
      </c>
      <c r="E1400" s="3143" t="str">
        <f ca="1">IFERROR(INDEX('Production cost'!$A:$AU,MATCH($C1400,'Production cost'!$AU:$AU,0),3),"")</f>
        <v/>
      </c>
      <c r="G1400" s="3153" t="str">
        <f ca="1">IFERROR(INDEX('Production cost'!$A:$AU,MATCH($C1400,'Production cost'!$AU:$AU,0),9),"")</f>
        <v/>
      </c>
      <c r="H1400" s="3599" t="str">
        <f ca="1">IFERROR(IFERROR(INDEX('Production cost'!$A:$AU,MATCH($C1400,'Production cost'!$AU:$AU,0),11),"")+IFERROR(INDEX('Production cost'!$A:$AU,MATCH($C1400,'Production cost'!$AU:$AU,0),12),""),"")</f>
        <v/>
      </c>
      <c r="I1400" s="3153" t="str">
        <f ca="1">IFERROR(INDEX('Production cost'!$A:$AU,MATCH($C1400,'Production cost'!$AU:$AU,0),28)/'Production cost'!$E$2,"")</f>
        <v/>
      </c>
      <c r="J1400" s="3153" t="str">
        <f ca="1">IFERROR(INDEX('Production cost'!$A:$AU,MATCH($C1400,'Production cost'!$AU:$AU,0),28)/'Production cost'!$E$2,"")</f>
        <v/>
      </c>
    </row>
    <row r="1401" spans="2:10" ht="21.75">
      <c r="B1401" s="3143" t="s">
        <v>3654</v>
      </c>
      <c r="C1401" s="3143">
        <f t="shared" si="25"/>
        <v>56</v>
      </c>
      <c r="D1401" s="3143" t="str">
        <f ca="1">IFERROR(INDEX('Production cost'!$A:$AU,MATCH($C1401,'Production cost'!$AU:$AU,0),6),"")</f>
        <v/>
      </c>
      <c r="E1401" s="3143" t="str">
        <f ca="1">IFERROR(INDEX('Production cost'!$A:$AU,MATCH($C1401,'Production cost'!$AU:$AU,0),3),"")</f>
        <v/>
      </c>
      <c r="G1401" s="3153" t="str">
        <f ca="1">IFERROR(INDEX('Production cost'!$A:$AU,MATCH($C1401,'Production cost'!$AU:$AU,0),9),"")</f>
        <v/>
      </c>
      <c r="H1401" s="3599" t="str">
        <f ca="1">IFERROR(IFERROR(INDEX('Production cost'!$A:$AU,MATCH($C1401,'Production cost'!$AU:$AU,0),11),"")+IFERROR(INDEX('Production cost'!$A:$AU,MATCH($C1401,'Production cost'!$AU:$AU,0),12),""),"")</f>
        <v/>
      </c>
      <c r="I1401" s="3153" t="str">
        <f ca="1">IFERROR(INDEX('Production cost'!$A:$AU,MATCH($C1401,'Production cost'!$AU:$AU,0),28)/'Production cost'!$E$2,"")</f>
        <v/>
      </c>
      <c r="J1401" s="3153" t="str">
        <f ca="1">IFERROR(INDEX('Production cost'!$A:$AU,MATCH($C1401,'Production cost'!$AU:$AU,0),28)/'Production cost'!$E$2,"")</f>
        <v/>
      </c>
    </row>
    <row r="1402" spans="2:10" ht="21.75">
      <c r="B1402" s="3143" t="s">
        <v>3654</v>
      </c>
      <c r="C1402" s="3143">
        <f t="shared" si="25"/>
        <v>57</v>
      </c>
      <c r="D1402" s="3143" t="str">
        <f ca="1">IFERROR(INDEX('Production cost'!$A:$AU,MATCH($C1402,'Production cost'!$AU:$AU,0),6),"")</f>
        <v/>
      </c>
      <c r="E1402" s="3143" t="str">
        <f ca="1">IFERROR(INDEX('Production cost'!$A:$AU,MATCH($C1402,'Production cost'!$AU:$AU,0),3),"")</f>
        <v/>
      </c>
      <c r="G1402" s="3153" t="str">
        <f ca="1">IFERROR(INDEX('Production cost'!$A:$AU,MATCH($C1402,'Production cost'!$AU:$AU,0),9),"")</f>
        <v/>
      </c>
      <c r="H1402" s="3599" t="str">
        <f ca="1">IFERROR(IFERROR(INDEX('Production cost'!$A:$AU,MATCH($C1402,'Production cost'!$AU:$AU,0),11),"")+IFERROR(INDEX('Production cost'!$A:$AU,MATCH($C1402,'Production cost'!$AU:$AU,0),12),""),"")</f>
        <v/>
      </c>
      <c r="I1402" s="3153" t="str">
        <f ca="1">IFERROR(INDEX('Production cost'!$A:$AU,MATCH($C1402,'Production cost'!$AU:$AU,0),28)/'Production cost'!$E$2,"")</f>
        <v/>
      </c>
      <c r="J1402" s="3153" t="str">
        <f ca="1">IFERROR(INDEX('Production cost'!$A:$AU,MATCH($C1402,'Production cost'!$AU:$AU,0),28)/'Production cost'!$E$2,"")</f>
        <v/>
      </c>
    </row>
    <row r="1403" spans="2:10" ht="21.75">
      <c r="B1403" s="3143" t="s">
        <v>3654</v>
      </c>
      <c r="C1403" s="3143">
        <f t="shared" si="25"/>
        <v>58</v>
      </c>
      <c r="D1403" s="3143" t="str">
        <f ca="1">IFERROR(INDEX('Production cost'!$A:$AU,MATCH($C1403,'Production cost'!$AU:$AU,0),6),"")</f>
        <v/>
      </c>
      <c r="E1403" s="3143" t="str">
        <f ca="1">IFERROR(INDEX('Production cost'!$A:$AU,MATCH($C1403,'Production cost'!$AU:$AU,0),3),"")</f>
        <v/>
      </c>
      <c r="G1403" s="3153" t="str">
        <f ca="1">IFERROR(INDEX('Production cost'!$A:$AU,MATCH($C1403,'Production cost'!$AU:$AU,0),9),"")</f>
        <v/>
      </c>
      <c r="H1403" s="3599" t="str">
        <f ca="1">IFERROR(IFERROR(INDEX('Production cost'!$A:$AU,MATCH($C1403,'Production cost'!$AU:$AU,0),11),"")+IFERROR(INDEX('Production cost'!$A:$AU,MATCH($C1403,'Production cost'!$AU:$AU,0),12),""),"")</f>
        <v/>
      </c>
      <c r="I1403" s="3153" t="str">
        <f ca="1">IFERROR(INDEX('Production cost'!$A:$AU,MATCH($C1403,'Production cost'!$AU:$AU,0),28)/'Production cost'!$E$2,"")</f>
        <v/>
      </c>
      <c r="J1403" s="3153" t="str">
        <f ca="1">IFERROR(INDEX('Production cost'!$A:$AU,MATCH($C1403,'Production cost'!$AU:$AU,0),28)/'Production cost'!$E$2,"")</f>
        <v/>
      </c>
    </row>
    <row r="1404" spans="2:10" ht="21.75">
      <c r="B1404" s="3143" t="s">
        <v>3654</v>
      </c>
      <c r="C1404" s="3143">
        <f t="shared" si="25"/>
        <v>59</v>
      </c>
      <c r="D1404" s="3143" t="str">
        <f ca="1">IFERROR(INDEX('Production cost'!$A:$AU,MATCH($C1404,'Production cost'!$AU:$AU,0),6),"")</f>
        <v/>
      </c>
      <c r="E1404" s="3143" t="str">
        <f ca="1">IFERROR(INDEX('Production cost'!$A:$AU,MATCH($C1404,'Production cost'!$AU:$AU,0),3),"")</f>
        <v/>
      </c>
      <c r="G1404" s="3153" t="str">
        <f ca="1">IFERROR(INDEX('Production cost'!$A:$AU,MATCH($C1404,'Production cost'!$AU:$AU,0),9),"")</f>
        <v/>
      </c>
      <c r="H1404" s="3599" t="str">
        <f ca="1">IFERROR(IFERROR(INDEX('Production cost'!$A:$AU,MATCH($C1404,'Production cost'!$AU:$AU,0),11),"")+IFERROR(INDEX('Production cost'!$A:$AU,MATCH($C1404,'Production cost'!$AU:$AU,0),12),""),"")</f>
        <v/>
      </c>
      <c r="I1404" s="3153" t="str">
        <f ca="1">IFERROR(INDEX('Production cost'!$A:$AU,MATCH($C1404,'Production cost'!$AU:$AU,0),28)/'Production cost'!$E$2,"")</f>
        <v/>
      </c>
      <c r="J1404" s="3153" t="str">
        <f ca="1">IFERROR(INDEX('Production cost'!$A:$AU,MATCH($C1404,'Production cost'!$AU:$AU,0),28)/'Production cost'!$E$2,"")</f>
        <v/>
      </c>
    </row>
    <row r="1405" spans="2:10" ht="21.75">
      <c r="B1405" s="3143" t="s">
        <v>3654</v>
      </c>
      <c r="C1405" s="3143">
        <f t="shared" si="25"/>
        <v>60</v>
      </c>
      <c r="D1405" s="3143" t="str">
        <f ca="1">IFERROR(INDEX('Production cost'!$A:$AU,MATCH($C1405,'Production cost'!$AU:$AU,0),6),"")</f>
        <v/>
      </c>
      <c r="E1405" s="3143" t="str">
        <f ca="1">IFERROR(INDEX('Production cost'!$A:$AU,MATCH($C1405,'Production cost'!$AU:$AU,0),3),"")</f>
        <v/>
      </c>
      <c r="G1405" s="3153" t="str">
        <f ca="1">IFERROR(INDEX('Production cost'!$A:$AU,MATCH($C1405,'Production cost'!$AU:$AU,0),9),"")</f>
        <v/>
      </c>
      <c r="H1405" s="3599" t="str">
        <f ca="1">IFERROR(IFERROR(INDEX('Production cost'!$A:$AU,MATCH($C1405,'Production cost'!$AU:$AU,0),11),"")+IFERROR(INDEX('Production cost'!$A:$AU,MATCH($C1405,'Production cost'!$AU:$AU,0),12),""),"")</f>
        <v/>
      </c>
      <c r="I1405" s="3153" t="str">
        <f ca="1">IFERROR(INDEX('Production cost'!$A:$AU,MATCH($C1405,'Production cost'!$AU:$AU,0),28)/'Production cost'!$E$2,"")</f>
        <v/>
      </c>
      <c r="J1405" s="3153" t="str">
        <f ca="1">IFERROR(INDEX('Production cost'!$A:$AU,MATCH($C1405,'Production cost'!$AU:$AU,0),28)/'Production cost'!$E$2,"")</f>
        <v/>
      </c>
    </row>
    <row r="1406" spans="2:10" ht="21.75">
      <c r="B1406" s="3143" t="s">
        <v>3654</v>
      </c>
      <c r="C1406" s="3143">
        <f t="shared" si="25"/>
        <v>61</v>
      </c>
      <c r="D1406" s="3143" t="str">
        <f ca="1">IFERROR(INDEX('Production cost'!$A:$AU,MATCH($C1406,'Production cost'!$AU:$AU,0),6),"")</f>
        <v/>
      </c>
      <c r="E1406" s="3143" t="str">
        <f ca="1">IFERROR(INDEX('Production cost'!$A:$AU,MATCH($C1406,'Production cost'!$AU:$AU,0),3),"")</f>
        <v/>
      </c>
      <c r="G1406" s="3153" t="str">
        <f ca="1">IFERROR(INDEX('Production cost'!$A:$AU,MATCH($C1406,'Production cost'!$AU:$AU,0),9),"")</f>
        <v/>
      </c>
      <c r="H1406" s="3599" t="str">
        <f ca="1">IFERROR(IFERROR(INDEX('Production cost'!$A:$AU,MATCH($C1406,'Production cost'!$AU:$AU,0),11),"")+IFERROR(INDEX('Production cost'!$A:$AU,MATCH($C1406,'Production cost'!$AU:$AU,0),12),""),"")</f>
        <v/>
      </c>
      <c r="I1406" s="3153" t="str">
        <f ca="1">IFERROR(INDEX('Production cost'!$A:$AU,MATCH($C1406,'Production cost'!$AU:$AU,0),28)/'Production cost'!$E$2,"")</f>
        <v/>
      </c>
      <c r="J1406" s="3153" t="str">
        <f ca="1">IFERROR(INDEX('Production cost'!$A:$AU,MATCH($C1406,'Production cost'!$AU:$AU,0),28)/'Production cost'!$E$2,"")</f>
        <v/>
      </c>
    </row>
    <row r="1407" spans="2:10" ht="21.75">
      <c r="B1407" s="3143" t="s">
        <v>3654</v>
      </c>
      <c r="C1407" s="3143">
        <f t="shared" si="25"/>
        <v>62</v>
      </c>
      <c r="D1407" s="3143" t="str">
        <f ca="1">IFERROR(INDEX('Production cost'!$A:$AU,MATCH($C1407,'Production cost'!$AU:$AU,0),6),"")</f>
        <v/>
      </c>
      <c r="E1407" s="3143" t="str">
        <f ca="1">IFERROR(INDEX('Production cost'!$A:$AU,MATCH($C1407,'Production cost'!$AU:$AU,0),3),"")</f>
        <v/>
      </c>
      <c r="G1407" s="3153" t="str">
        <f ca="1">IFERROR(INDEX('Production cost'!$A:$AU,MATCH($C1407,'Production cost'!$AU:$AU,0),9),"")</f>
        <v/>
      </c>
      <c r="H1407" s="3599" t="str">
        <f ca="1">IFERROR(IFERROR(INDEX('Production cost'!$A:$AU,MATCH($C1407,'Production cost'!$AU:$AU,0),11),"")+IFERROR(INDEX('Production cost'!$A:$AU,MATCH($C1407,'Production cost'!$AU:$AU,0),12),""),"")</f>
        <v/>
      </c>
      <c r="I1407" s="3153" t="str">
        <f ca="1">IFERROR(INDEX('Production cost'!$A:$AU,MATCH($C1407,'Production cost'!$AU:$AU,0),28)/'Production cost'!$E$2,"")</f>
        <v/>
      </c>
      <c r="J1407" s="3153" t="str">
        <f ca="1">IFERROR(INDEX('Production cost'!$A:$AU,MATCH($C1407,'Production cost'!$AU:$AU,0),28)/'Production cost'!$E$2,"")</f>
        <v/>
      </c>
    </row>
    <row r="1408" spans="2:10" ht="21.75">
      <c r="B1408" s="3143" t="s">
        <v>3654</v>
      </c>
      <c r="C1408" s="3143">
        <f t="shared" si="25"/>
        <v>63</v>
      </c>
      <c r="D1408" s="3143" t="str">
        <f ca="1">IFERROR(INDEX('Production cost'!$A:$AU,MATCH($C1408,'Production cost'!$AU:$AU,0),6),"")</f>
        <v/>
      </c>
      <c r="E1408" s="3143" t="str">
        <f ca="1">IFERROR(INDEX('Production cost'!$A:$AU,MATCH($C1408,'Production cost'!$AU:$AU,0),3),"")</f>
        <v/>
      </c>
      <c r="G1408" s="3153" t="str">
        <f ca="1">IFERROR(INDEX('Production cost'!$A:$AU,MATCH($C1408,'Production cost'!$AU:$AU,0),9),"")</f>
        <v/>
      </c>
      <c r="H1408" s="3599" t="str">
        <f ca="1">IFERROR(IFERROR(INDEX('Production cost'!$A:$AU,MATCH($C1408,'Production cost'!$AU:$AU,0),11),"")+IFERROR(INDEX('Production cost'!$A:$AU,MATCH($C1408,'Production cost'!$AU:$AU,0),12),""),"")</f>
        <v/>
      </c>
      <c r="I1408" s="3153" t="str">
        <f ca="1">IFERROR(INDEX('Production cost'!$A:$AU,MATCH($C1408,'Production cost'!$AU:$AU,0),28)/'Production cost'!$E$2,"")</f>
        <v/>
      </c>
      <c r="J1408" s="3153" t="str">
        <f ca="1">IFERROR(INDEX('Production cost'!$A:$AU,MATCH($C1408,'Production cost'!$AU:$AU,0),28)/'Production cost'!$E$2,"")</f>
        <v/>
      </c>
    </row>
    <row r="1409" spans="2:10" ht="21.75">
      <c r="B1409" s="3143" t="s">
        <v>3654</v>
      </c>
      <c r="C1409" s="3143">
        <f t="shared" si="25"/>
        <v>64</v>
      </c>
      <c r="D1409" s="3143" t="str">
        <f ca="1">IFERROR(INDEX('Production cost'!$A:$AU,MATCH($C1409,'Production cost'!$AU:$AU,0),6),"")</f>
        <v/>
      </c>
      <c r="E1409" s="3143" t="str">
        <f ca="1">IFERROR(INDEX('Production cost'!$A:$AU,MATCH($C1409,'Production cost'!$AU:$AU,0),3),"")</f>
        <v/>
      </c>
      <c r="G1409" s="3153" t="str">
        <f ca="1">IFERROR(INDEX('Production cost'!$A:$AU,MATCH($C1409,'Production cost'!$AU:$AU,0),9),"")</f>
        <v/>
      </c>
      <c r="H1409" s="3599" t="str">
        <f ca="1">IFERROR(IFERROR(INDEX('Production cost'!$A:$AU,MATCH($C1409,'Production cost'!$AU:$AU,0),11),"")+IFERROR(INDEX('Production cost'!$A:$AU,MATCH($C1409,'Production cost'!$AU:$AU,0),12),""),"")</f>
        <v/>
      </c>
      <c r="I1409" s="3153" t="str">
        <f ca="1">IFERROR(INDEX('Production cost'!$A:$AU,MATCH($C1409,'Production cost'!$AU:$AU,0),28)/'Production cost'!$E$2,"")</f>
        <v/>
      </c>
      <c r="J1409" s="3153" t="str">
        <f ca="1">IFERROR(INDEX('Production cost'!$A:$AU,MATCH($C1409,'Production cost'!$AU:$AU,0),28)/'Production cost'!$E$2,"")</f>
        <v/>
      </c>
    </row>
    <row r="1410" spans="2:10" ht="21.75">
      <c r="B1410" s="3143" t="s">
        <v>3654</v>
      </c>
      <c r="C1410" s="3143">
        <f t="shared" si="25"/>
        <v>65</v>
      </c>
      <c r="D1410" s="3143" t="str">
        <f ca="1">IFERROR(INDEX('Production cost'!$A:$AU,MATCH($C1410,'Production cost'!$AU:$AU,0),6),"")</f>
        <v/>
      </c>
      <c r="E1410" s="3143" t="str">
        <f ca="1">IFERROR(INDEX('Production cost'!$A:$AU,MATCH($C1410,'Production cost'!$AU:$AU,0),3),"")</f>
        <v/>
      </c>
      <c r="G1410" s="3153" t="str">
        <f ca="1">IFERROR(INDEX('Production cost'!$A:$AU,MATCH($C1410,'Production cost'!$AU:$AU,0),9),"")</f>
        <v/>
      </c>
      <c r="H1410" s="3599" t="str">
        <f ca="1">IFERROR(IFERROR(INDEX('Production cost'!$A:$AU,MATCH($C1410,'Production cost'!$AU:$AU,0),11),"")+IFERROR(INDEX('Production cost'!$A:$AU,MATCH($C1410,'Production cost'!$AU:$AU,0),12),""),"")</f>
        <v/>
      </c>
      <c r="I1410" s="3153" t="str">
        <f ca="1">IFERROR(INDEX('Production cost'!$A:$AU,MATCH($C1410,'Production cost'!$AU:$AU,0),28)/'Production cost'!$E$2,"")</f>
        <v/>
      </c>
      <c r="J1410" s="3153" t="str">
        <f ca="1">IFERROR(INDEX('Production cost'!$A:$AU,MATCH($C1410,'Production cost'!$AU:$AU,0),28)/'Production cost'!$E$2,"")</f>
        <v/>
      </c>
    </row>
    <row r="1411" spans="2:10" ht="21.75">
      <c r="B1411" s="3143" t="s">
        <v>3654</v>
      </c>
      <c r="C1411" s="3143">
        <f t="shared" si="25"/>
        <v>66</v>
      </c>
      <c r="D1411" s="3143" t="str">
        <f ca="1">IFERROR(INDEX('Production cost'!$A:$AU,MATCH($C1411,'Production cost'!$AU:$AU,0),6),"")</f>
        <v/>
      </c>
      <c r="E1411" s="3143" t="str">
        <f ca="1">IFERROR(INDEX('Production cost'!$A:$AU,MATCH($C1411,'Production cost'!$AU:$AU,0),3),"")</f>
        <v/>
      </c>
      <c r="G1411" s="3153" t="str">
        <f ca="1">IFERROR(INDEX('Production cost'!$A:$AU,MATCH($C1411,'Production cost'!$AU:$AU,0),9),"")</f>
        <v/>
      </c>
      <c r="H1411" s="3599" t="str">
        <f ca="1">IFERROR(IFERROR(INDEX('Production cost'!$A:$AU,MATCH($C1411,'Production cost'!$AU:$AU,0),11),"")+IFERROR(INDEX('Production cost'!$A:$AU,MATCH($C1411,'Production cost'!$AU:$AU,0),12),""),"")</f>
        <v/>
      </c>
      <c r="I1411" s="3153" t="str">
        <f ca="1">IFERROR(INDEX('Production cost'!$A:$AU,MATCH($C1411,'Production cost'!$AU:$AU,0),28)/'Production cost'!$E$2,"")</f>
        <v/>
      </c>
      <c r="J1411" s="3153" t="str">
        <f ca="1">IFERROR(INDEX('Production cost'!$A:$AU,MATCH($C1411,'Production cost'!$AU:$AU,0),28)/'Production cost'!$E$2,"")</f>
        <v/>
      </c>
    </row>
    <row r="1412" spans="2:10" ht="21.75">
      <c r="B1412" s="3143" t="s">
        <v>3654</v>
      </c>
      <c r="C1412" s="3143">
        <f t="shared" ref="C1412:C1475" si="26">C1411+1</f>
        <v>67</v>
      </c>
      <c r="D1412" s="3143" t="str">
        <f ca="1">IFERROR(INDEX('Production cost'!$A:$AU,MATCH($C1412,'Production cost'!$AU:$AU,0),6),"")</f>
        <v/>
      </c>
      <c r="E1412" s="3143" t="str">
        <f ca="1">IFERROR(INDEX('Production cost'!$A:$AU,MATCH($C1412,'Production cost'!$AU:$AU,0),3),"")</f>
        <v/>
      </c>
      <c r="G1412" s="3153" t="str">
        <f ca="1">IFERROR(INDEX('Production cost'!$A:$AU,MATCH($C1412,'Production cost'!$AU:$AU,0),9),"")</f>
        <v/>
      </c>
      <c r="H1412" s="3599" t="str">
        <f ca="1">IFERROR(IFERROR(INDEX('Production cost'!$A:$AU,MATCH($C1412,'Production cost'!$AU:$AU,0),11),"")+IFERROR(INDEX('Production cost'!$A:$AU,MATCH($C1412,'Production cost'!$AU:$AU,0),12),""),"")</f>
        <v/>
      </c>
      <c r="I1412" s="3153" t="str">
        <f ca="1">IFERROR(INDEX('Production cost'!$A:$AU,MATCH($C1412,'Production cost'!$AU:$AU,0),28)/'Production cost'!$E$2,"")</f>
        <v/>
      </c>
      <c r="J1412" s="3153" t="str">
        <f ca="1">IFERROR(INDEX('Production cost'!$A:$AU,MATCH($C1412,'Production cost'!$AU:$AU,0),28)/'Production cost'!$E$2,"")</f>
        <v/>
      </c>
    </row>
    <row r="1413" spans="2:10" ht="21.75">
      <c r="B1413" s="3143" t="s">
        <v>3654</v>
      </c>
      <c r="C1413" s="3143">
        <f t="shared" si="26"/>
        <v>68</v>
      </c>
      <c r="D1413" s="3143" t="str">
        <f ca="1">IFERROR(INDEX('Production cost'!$A:$AU,MATCH($C1413,'Production cost'!$AU:$AU,0),6),"")</f>
        <v/>
      </c>
      <c r="E1413" s="3143" t="str">
        <f ca="1">IFERROR(INDEX('Production cost'!$A:$AU,MATCH($C1413,'Production cost'!$AU:$AU,0),3),"")</f>
        <v/>
      </c>
      <c r="G1413" s="3153" t="str">
        <f ca="1">IFERROR(INDEX('Production cost'!$A:$AU,MATCH($C1413,'Production cost'!$AU:$AU,0),9),"")</f>
        <v/>
      </c>
      <c r="H1413" s="3599" t="str">
        <f ca="1">IFERROR(IFERROR(INDEX('Production cost'!$A:$AU,MATCH($C1413,'Production cost'!$AU:$AU,0),11),"")+IFERROR(INDEX('Production cost'!$A:$AU,MATCH($C1413,'Production cost'!$AU:$AU,0),12),""),"")</f>
        <v/>
      </c>
      <c r="I1413" s="3153" t="str">
        <f ca="1">IFERROR(INDEX('Production cost'!$A:$AU,MATCH($C1413,'Production cost'!$AU:$AU,0),28)/'Production cost'!$E$2,"")</f>
        <v/>
      </c>
      <c r="J1413" s="3153" t="str">
        <f ca="1">IFERROR(INDEX('Production cost'!$A:$AU,MATCH($C1413,'Production cost'!$AU:$AU,0),28)/'Production cost'!$E$2,"")</f>
        <v/>
      </c>
    </row>
    <row r="1414" spans="2:10" ht="21.75">
      <c r="B1414" s="3143" t="s">
        <v>3654</v>
      </c>
      <c r="C1414" s="3143">
        <f t="shared" si="26"/>
        <v>69</v>
      </c>
      <c r="D1414" s="3143" t="str">
        <f ca="1">IFERROR(INDEX('Production cost'!$A:$AU,MATCH($C1414,'Production cost'!$AU:$AU,0),6),"")</f>
        <v/>
      </c>
      <c r="E1414" s="3143" t="str">
        <f ca="1">IFERROR(INDEX('Production cost'!$A:$AU,MATCH($C1414,'Production cost'!$AU:$AU,0),3),"")</f>
        <v/>
      </c>
      <c r="G1414" s="3153" t="str">
        <f ca="1">IFERROR(INDEX('Production cost'!$A:$AU,MATCH($C1414,'Production cost'!$AU:$AU,0),9),"")</f>
        <v/>
      </c>
      <c r="H1414" s="3599" t="str">
        <f ca="1">IFERROR(IFERROR(INDEX('Production cost'!$A:$AU,MATCH($C1414,'Production cost'!$AU:$AU,0),11),"")+IFERROR(INDEX('Production cost'!$A:$AU,MATCH($C1414,'Production cost'!$AU:$AU,0),12),""),"")</f>
        <v/>
      </c>
      <c r="I1414" s="3153" t="str">
        <f ca="1">IFERROR(INDEX('Production cost'!$A:$AU,MATCH($C1414,'Production cost'!$AU:$AU,0),28)/'Production cost'!$E$2,"")</f>
        <v/>
      </c>
      <c r="J1414" s="3153" t="str">
        <f ca="1">IFERROR(INDEX('Production cost'!$A:$AU,MATCH($C1414,'Production cost'!$AU:$AU,0),28)/'Production cost'!$E$2,"")</f>
        <v/>
      </c>
    </row>
    <row r="1415" spans="2:10" ht="21.75">
      <c r="B1415" s="3143" t="s">
        <v>3654</v>
      </c>
      <c r="C1415" s="3143">
        <f t="shared" si="26"/>
        <v>70</v>
      </c>
      <c r="D1415" s="3143" t="str">
        <f ca="1">IFERROR(INDEX('Production cost'!$A:$AU,MATCH($C1415,'Production cost'!$AU:$AU,0),6),"")</f>
        <v/>
      </c>
      <c r="E1415" s="3143" t="str">
        <f ca="1">IFERROR(INDEX('Production cost'!$A:$AU,MATCH($C1415,'Production cost'!$AU:$AU,0),3),"")</f>
        <v/>
      </c>
      <c r="G1415" s="3153" t="str">
        <f ca="1">IFERROR(INDEX('Production cost'!$A:$AU,MATCH($C1415,'Production cost'!$AU:$AU,0),9),"")</f>
        <v/>
      </c>
      <c r="H1415" s="3599" t="str">
        <f ca="1">IFERROR(IFERROR(INDEX('Production cost'!$A:$AU,MATCH($C1415,'Production cost'!$AU:$AU,0),11),"")+IFERROR(INDEX('Production cost'!$A:$AU,MATCH($C1415,'Production cost'!$AU:$AU,0),12),""),"")</f>
        <v/>
      </c>
      <c r="I1415" s="3153" t="str">
        <f ca="1">IFERROR(INDEX('Production cost'!$A:$AU,MATCH($C1415,'Production cost'!$AU:$AU,0),28)/'Production cost'!$E$2,"")</f>
        <v/>
      </c>
      <c r="J1415" s="3153" t="str">
        <f ca="1">IFERROR(INDEX('Production cost'!$A:$AU,MATCH($C1415,'Production cost'!$AU:$AU,0),28)/'Production cost'!$E$2,"")</f>
        <v/>
      </c>
    </row>
    <row r="1416" spans="2:10" ht="21.75">
      <c r="B1416" s="3143" t="s">
        <v>3654</v>
      </c>
      <c r="C1416" s="3143">
        <f t="shared" si="26"/>
        <v>71</v>
      </c>
      <c r="D1416" s="3143" t="str">
        <f ca="1">IFERROR(INDEX('Production cost'!$A:$AU,MATCH($C1416,'Production cost'!$AU:$AU,0),6),"")</f>
        <v/>
      </c>
      <c r="E1416" s="3143" t="str">
        <f ca="1">IFERROR(INDEX('Production cost'!$A:$AU,MATCH($C1416,'Production cost'!$AU:$AU,0),3),"")</f>
        <v/>
      </c>
      <c r="G1416" s="3153" t="str">
        <f ca="1">IFERROR(INDEX('Production cost'!$A:$AU,MATCH($C1416,'Production cost'!$AU:$AU,0),9),"")</f>
        <v/>
      </c>
      <c r="H1416" s="3599" t="str">
        <f ca="1">IFERROR(IFERROR(INDEX('Production cost'!$A:$AU,MATCH($C1416,'Production cost'!$AU:$AU,0),11),"")+IFERROR(INDEX('Production cost'!$A:$AU,MATCH($C1416,'Production cost'!$AU:$AU,0),12),""),"")</f>
        <v/>
      </c>
      <c r="I1416" s="3153" t="str">
        <f ca="1">IFERROR(INDEX('Production cost'!$A:$AU,MATCH($C1416,'Production cost'!$AU:$AU,0),28)/'Production cost'!$E$2,"")</f>
        <v/>
      </c>
      <c r="J1416" s="3153" t="str">
        <f ca="1">IFERROR(INDEX('Production cost'!$A:$AU,MATCH($C1416,'Production cost'!$AU:$AU,0),28)/'Production cost'!$E$2,"")</f>
        <v/>
      </c>
    </row>
    <row r="1417" spans="2:10" ht="21.75">
      <c r="B1417" s="3143" t="s">
        <v>3654</v>
      </c>
      <c r="C1417" s="3143">
        <f t="shared" si="26"/>
        <v>72</v>
      </c>
      <c r="D1417" s="3143" t="str">
        <f ca="1">IFERROR(INDEX('Production cost'!$A:$AU,MATCH($C1417,'Production cost'!$AU:$AU,0),6),"")</f>
        <v/>
      </c>
      <c r="E1417" s="3143" t="str">
        <f ca="1">IFERROR(INDEX('Production cost'!$A:$AU,MATCH($C1417,'Production cost'!$AU:$AU,0),3),"")</f>
        <v/>
      </c>
      <c r="G1417" s="3153" t="str">
        <f ca="1">IFERROR(INDEX('Production cost'!$A:$AU,MATCH($C1417,'Production cost'!$AU:$AU,0),9),"")</f>
        <v/>
      </c>
      <c r="H1417" s="3599" t="str">
        <f ca="1">IFERROR(IFERROR(INDEX('Production cost'!$A:$AU,MATCH($C1417,'Production cost'!$AU:$AU,0),11),"")+IFERROR(INDEX('Production cost'!$A:$AU,MATCH($C1417,'Production cost'!$AU:$AU,0),12),""),"")</f>
        <v/>
      </c>
      <c r="I1417" s="3153" t="str">
        <f ca="1">IFERROR(INDEX('Production cost'!$A:$AU,MATCH($C1417,'Production cost'!$AU:$AU,0),28)/'Production cost'!$E$2,"")</f>
        <v/>
      </c>
      <c r="J1417" s="3153" t="str">
        <f ca="1">IFERROR(INDEX('Production cost'!$A:$AU,MATCH($C1417,'Production cost'!$AU:$AU,0),28)/'Production cost'!$E$2,"")</f>
        <v/>
      </c>
    </row>
    <row r="1418" spans="2:10" ht="21.75">
      <c r="B1418" s="3143" t="s">
        <v>3654</v>
      </c>
      <c r="C1418" s="3143">
        <f t="shared" si="26"/>
        <v>73</v>
      </c>
      <c r="D1418" s="3143" t="str">
        <f ca="1">IFERROR(INDEX('Production cost'!$A:$AU,MATCH($C1418,'Production cost'!$AU:$AU,0),6),"")</f>
        <v/>
      </c>
      <c r="E1418" s="3143" t="str">
        <f ca="1">IFERROR(INDEX('Production cost'!$A:$AU,MATCH($C1418,'Production cost'!$AU:$AU,0),3),"")</f>
        <v/>
      </c>
      <c r="G1418" s="3153" t="str">
        <f ca="1">IFERROR(INDEX('Production cost'!$A:$AU,MATCH($C1418,'Production cost'!$AU:$AU,0),9),"")</f>
        <v/>
      </c>
      <c r="H1418" s="3599" t="str">
        <f ca="1">IFERROR(IFERROR(INDEX('Production cost'!$A:$AU,MATCH($C1418,'Production cost'!$AU:$AU,0),11),"")+IFERROR(INDEX('Production cost'!$A:$AU,MATCH($C1418,'Production cost'!$AU:$AU,0),12),""),"")</f>
        <v/>
      </c>
      <c r="I1418" s="3153" t="str">
        <f ca="1">IFERROR(INDEX('Production cost'!$A:$AU,MATCH($C1418,'Production cost'!$AU:$AU,0),28)/'Production cost'!$E$2,"")</f>
        <v/>
      </c>
      <c r="J1418" s="3153" t="str">
        <f ca="1">IFERROR(INDEX('Production cost'!$A:$AU,MATCH($C1418,'Production cost'!$AU:$AU,0),28)/'Production cost'!$E$2,"")</f>
        <v/>
      </c>
    </row>
    <row r="1419" spans="2:10" ht="21.75">
      <c r="B1419" s="3143" t="s">
        <v>3654</v>
      </c>
      <c r="C1419" s="3143">
        <f t="shared" si="26"/>
        <v>74</v>
      </c>
      <c r="D1419" s="3143" t="str">
        <f ca="1">IFERROR(INDEX('Production cost'!$A:$AU,MATCH($C1419,'Production cost'!$AU:$AU,0),6),"")</f>
        <v/>
      </c>
      <c r="E1419" s="3143" t="str">
        <f ca="1">IFERROR(INDEX('Production cost'!$A:$AU,MATCH($C1419,'Production cost'!$AU:$AU,0),3),"")</f>
        <v/>
      </c>
      <c r="G1419" s="3153" t="str">
        <f ca="1">IFERROR(INDEX('Production cost'!$A:$AU,MATCH($C1419,'Production cost'!$AU:$AU,0),9),"")</f>
        <v/>
      </c>
      <c r="H1419" s="3599" t="str">
        <f ca="1">IFERROR(IFERROR(INDEX('Production cost'!$A:$AU,MATCH($C1419,'Production cost'!$AU:$AU,0),11),"")+IFERROR(INDEX('Production cost'!$A:$AU,MATCH($C1419,'Production cost'!$AU:$AU,0),12),""),"")</f>
        <v/>
      </c>
      <c r="I1419" s="3153" t="str">
        <f ca="1">IFERROR(INDEX('Production cost'!$A:$AU,MATCH($C1419,'Production cost'!$AU:$AU,0),28)/'Production cost'!$E$2,"")</f>
        <v/>
      </c>
      <c r="J1419" s="3153" t="str">
        <f ca="1">IFERROR(INDEX('Production cost'!$A:$AU,MATCH($C1419,'Production cost'!$AU:$AU,0),28)/'Production cost'!$E$2,"")</f>
        <v/>
      </c>
    </row>
    <row r="1420" spans="2:10" ht="21.75">
      <c r="B1420" s="3143" t="s">
        <v>3654</v>
      </c>
      <c r="C1420" s="3143">
        <f t="shared" si="26"/>
        <v>75</v>
      </c>
      <c r="D1420" s="3143" t="str">
        <f ca="1">IFERROR(INDEX('Production cost'!$A:$AU,MATCH($C1420,'Production cost'!$AU:$AU,0),6),"")</f>
        <v/>
      </c>
      <c r="E1420" s="3143" t="str">
        <f ca="1">IFERROR(INDEX('Production cost'!$A:$AU,MATCH($C1420,'Production cost'!$AU:$AU,0),3),"")</f>
        <v/>
      </c>
      <c r="G1420" s="3153" t="str">
        <f ca="1">IFERROR(INDEX('Production cost'!$A:$AU,MATCH($C1420,'Production cost'!$AU:$AU,0),9),"")</f>
        <v/>
      </c>
      <c r="H1420" s="3599" t="str">
        <f ca="1">IFERROR(IFERROR(INDEX('Production cost'!$A:$AU,MATCH($C1420,'Production cost'!$AU:$AU,0),11),"")+IFERROR(INDEX('Production cost'!$A:$AU,MATCH($C1420,'Production cost'!$AU:$AU,0),12),""),"")</f>
        <v/>
      </c>
      <c r="I1420" s="3153" t="str">
        <f ca="1">IFERROR(INDEX('Production cost'!$A:$AU,MATCH($C1420,'Production cost'!$AU:$AU,0),28)/'Production cost'!$E$2,"")</f>
        <v/>
      </c>
      <c r="J1420" s="3153" t="str">
        <f ca="1">IFERROR(INDEX('Production cost'!$A:$AU,MATCH($C1420,'Production cost'!$AU:$AU,0),28)/'Production cost'!$E$2,"")</f>
        <v/>
      </c>
    </row>
    <row r="1421" spans="2:10" ht="21.75">
      <c r="B1421" s="3143" t="s">
        <v>3654</v>
      </c>
      <c r="C1421" s="3143">
        <f t="shared" si="26"/>
        <v>76</v>
      </c>
      <c r="D1421" s="3143" t="str">
        <f ca="1">IFERROR(INDEX('Production cost'!$A:$AU,MATCH($C1421,'Production cost'!$AU:$AU,0),6),"")</f>
        <v/>
      </c>
      <c r="E1421" s="3143" t="str">
        <f ca="1">IFERROR(INDEX('Production cost'!$A:$AU,MATCH($C1421,'Production cost'!$AU:$AU,0),3),"")</f>
        <v/>
      </c>
      <c r="G1421" s="3153" t="str">
        <f ca="1">IFERROR(INDEX('Production cost'!$A:$AU,MATCH($C1421,'Production cost'!$AU:$AU,0),9),"")</f>
        <v/>
      </c>
      <c r="H1421" s="3599" t="str">
        <f ca="1">IFERROR(IFERROR(INDEX('Production cost'!$A:$AU,MATCH($C1421,'Production cost'!$AU:$AU,0),11),"")+IFERROR(INDEX('Production cost'!$A:$AU,MATCH($C1421,'Production cost'!$AU:$AU,0),12),""),"")</f>
        <v/>
      </c>
      <c r="I1421" s="3153" t="str">
        <f ca="1">IFERROR(INDEX('Production cost'!$A:$AU,MATCH($C1421,'Production cost'!$AU:$AU,0),28)/'Production cost'!$E$2,"")</f>
        <v/>
      </c>
      <c r="J1421" s="3153" t="str">
        <f ca="1">IFERROR(INDEX('Production cost'!$A:$AU,MATCH($C1421,'Production cost'!$AU:$AU,0),28)/'Production cost'!$E$2,"")</f>
        <v/>
      </c>
    </row>
    <row r="1422" spans="2:10" ht="21.75">
      <c r="B1422" s="3143" t="s">
        <v>3654</v>
      </c>
      <c r="C1422" s="3143">
        <f t="shared" si="26"/>
        <v>77</v>
      </c>
      <c r="D1422" s="3143" t="str">
        <f ca="1">IFERROR(INDEX('Production cost'!$A:$AU,MATCH($C1422,'Production cost'!$AU:$AU,0),6),"")</f>
        <v/>
      </c>
      <c r="E1422" s="3143" t="str">
        <f ca="1">IFERROR(INDEX('Production cost'!$A:$AU,MATCH($C1422,'Production cost'!$AU:$AU,0),3),"")</f>
        <v/>
      </c>
      <c r="G1422" s="3153" t="str">
        <f ca="1">IFERROR(INDEX('Production cost'!$A:$AU,MATCH($C1422,'Production cost'!$AU:$AU,0),9),"")</f>
        <v/>
      </c>
      <c r="H1422" s="3599" t="str">
        <f ca="1">IFERROR(IFERROR(INDEX('Production cost'!$A:$AU,MATCH($C1422,'Production cost'!$AU:$AU,0),11),"")+IFERROR(INDEX('Production cost'!$A:$AU,MATCH($C1422,'Production cost'!$AU:$AU,0),12),""),"")</f>
        <v/>
      </c>
      <c r="I1422" s="3153" t="str">
        <f ca="1">IFERROR(INDEX('Production cost'!$A:$AU,MATCH($C1422,'Production cost'!$AU:$AU,0),28)/'Production cost'!$E$2,"")</f>
        <v/>
      </c>
      <c r="J1422" s="3153" t="str">
        <f ca="1">IFERROR(INDEX('Production cost'!$A:$AU,MATCH($C1422,'Production cost'!$AU:$AU,0),28)/'Production cost'!$E$2,"")</f>
        <v/>
      </c>
    </row>
    <row r="1423" spans="2:10" ht="21.75">
      <c r="B1423" s="3143" t="s">
        <v>3654</v>
      </c>
      <c r="C1423" s="3143">
        <f t="shared" si="26"/>
        <v>78</v>
      </c>
      <c r="D1423" s="3143" t="str">
        <f ca="1">IFERROR(INDEX('Production cost'!$A:$AU,MATCH($C1423,'Production cost'!$AU:$AU,0),6),"")</f>
        <v/>
      </c>
      <c r="E1423" s="3143" t="str">
        <f ca="1">IFERROR(INDEX('Production cost'!$A:$AU,MATCH($C1423,'Production cost'!$AU:$AU,0),3),"")</f>
        <v/>
      </c>
      <c r="G1423" s="3153" t="str">
        <f ca="1">IFERROR(INDEX('Production cost'!$A:$AU,MATCH($C1423,'Production cost'!$AU:$AU,0),9),"")</f>
        <v/>
      </c>
      <c r="H1423" s="3599" t="str">
        <f ca="1">IFERROR(IFERROR(INDEX('Production cost'!$A:$AU,MATCH($C1423,'Production cost'!$AU:$AU,0),11),"")+IFERROR(INDEX('Production cost'!$A:$AU,MATCH($C1423,'Production cost'!$AU:$AU,0),12),""),"")</f>
        <v/>
      </c>
      <c r="I1423" s="3153" t="str">
        <f ca="1">IFERROR(INDEX('Production cost'!$A:$AU,MATCH($C1423,'Production cost'!$AU:$AU,0),28)/'Production cost'!$E$2,"")</f>
        <v/>
      </c>
      <c r="J1423" s="3153" t="str">
        <f ca="1">IFERROR(INDEX('Production cost'!$A:$AU,MATCH($C1423,'Production cost'!$AU:$AU,0),28)/'Production cost'!$E$2,"")</f>
        <v/>
      </c>
    </row>
    <row r="1424" spans="2:10" ht="21.75">
      <c r="B1424" s="3143" t="s">
        <v>3654</v>
      </c>
      <c r="C1424" s="3143">
        <f t="shared" si="26"/>
        <v>79</v>
      </c>
      <c r="D1424" s="3143" t="str">
        <f ca="1">IFERROR(INDEX('Production cost'!$A:$AU,MATCH($C1424,'Production cost'!$AU:$AU,0),6),"")</f>
        <v/>
      </c>
      <c r="E1424" s="3143" t="str">
        <f ca="1">IFERROR(INDEX('Production cost'!$A:$AU,MATCH($C1424,'Production cost'!$AU:$AU,0),3),"")</f>
        <v/>
      </c>
      <c r="G1424" s="3153" t="str">
        <f ca="1">IFERROR(INDEX('Production cost'!$A:$AU,MATCH($C1424,'Production cost'!$AU:$AU,0),9),"")</f>
        <v/>
      </c>
      <c r="H1424" s="3599" t="str">
        <f ca="1">IFERROR(IFERROR(INDEX('Production cost'!$A:$AU,MATCH($C1424,'Production cost'!$AU:$AU,0),11),"")+IFERROR(INDEX('Production cost'!$A:$AU,MATCH($C1424,'Production cost'!$AU:$AU,0),12),""),"")</f>
        <v/>
      </c>
      <c r="I1424" s="3153" t="str">
        <f ca="1">IFERROR(INDEX('Production cost'!$A:$AU,MATCH($C1424,'Production cost'!$AU:$AU,0),28)/'Production cost'!$E$2,"")</f>
        <v/>
      </c>
      <c r="J1424" s="3153" t="str">
        <f ca="1">IFERROR(INDEX('Production cost'!$A:$AU,MATCH($C1424,'Production cost'!$AU:$AU,0),28)/'Production cost'!$E$2,"")</f>
        <v/>
      </c>
    </row>
    <row r="1425" spans="2:10" ht="21.75">
      <c r="B1425" s="3143" t="s">
        <v>3654</v>
      </c>
      <c r="C1425" s="3143">
        <f t="shared" si="26"/>
        <v>80</v>
      </c>
      <c r="D1425" s="3143" t="str">
        <f ca="1">IFERROR(INDEX('Production cost'!$A:$AU,MATCH($C1425,'Production cost'!$AU:$AU,0),6),"")</f>
        <v/>
      </c>
      <c r="E1425" s="3143" t="str">
        <f ca="1">IFERROR(INDEX('Production cost'!$A:$AU,MATCH($C1425,'Production cost'!$AU:$AU,0),3),"")</f>
        <v/>
      </c>
      <c r="G1425" s="3153" t="str">
        <f ca="1">IFERROR(INDEX('Production cost'!$A:$AU,MATCH($C1425,'Production cost'!$AU:$AU,0),9),"")</f>
        <v/>
      </c>
      <c r="H1425" s="3599" t="str">
        <f ca="1">IFERROR(IFERROR(INDEX('Production cost'!$A:$AU,MATCH($C1425,'Production cost'!$AU:$AU,0),11),"")+IFERROR(INDEX('Production cost'!$A:$AU,MATCH($C1425,'Production cost'!$AU:$AU,0),12),""),"")</f>
        <v/>
      </c>
      <c r="I1425" s="3153" t="str">
        <f ca="1">IFERROR(INDEX('Production cost'!$A:$AU,MATCH($C1425,'Production cost'!$AU:$AU,0),28)/'Production cost'!$E$2,"")</f>
        <v/>
      </c>
      <c r="J1425" s="3153" t="str">
        <f ca="1">IFERROR(INDEX('Production cost'!$A:$AU,MATCH($C1425,'Production cost'!$AU:$AU,0),28)/'Production cost'!$E$2,"")</f>
        <v/>
      </c>
    </row>
    <row r="1426" spans="2:10" ht="21.75">
      <c r="B1426" s="3143" t="s">
        <v>3654</v>
      </c>
      <c r="C1426" s="3143">
        <f t="shared" si="26"/>
        <v>81</v>
      </c>
      <c r="D1426" s="3143" t="str">
        <f ca="1">IFERROR(INDEX('Production cost'!$A:$AU,MATCH($C1426,'Production cost'!$AU:$AU,0),6),"")</f>
        <v/>
      </c>
      <c r="E1426" s="3143" t="str">
        <f ca="1">IFERROR(INDEX('Production cost'!$A:$AU,MATCH($C1426,'Production cost'!$AU:$AU,0),3),"")</f>
        <v/>
      </c>
      <c r="G1426" s="3153" t="str">
        <f ca="1">IFERROR(INDEX('Production cost'!$A:$AU,MATCH($C1426,'Production cost'!$AU:$AU,0),9),"")</f>
        <v/>
      </c>
      <c r="H1426" s="3599" t="str">
        <f ca="1">IFERROR(IFERROR(INDEX('Production cost'!$A:$AU,MATCH($C1426,'Production cost'!$AU:$AU,0),11),"")+IFERROR(INDEX('Production cost'!$A:$AU,MATCH($C1426,'Production cost'!$AU:$AU,0),12),""),"")</f>
        <v/>
      </c>
      <c r="I1426" s="3153" t="str">
        <f ca="1">IFERROR(INDEX('Production cost'!$A:$AU,MATCH($C1426,'Production cost'!$AU:$AU,0),28)/'Production cost'!$E$2,"")</f>
        <v/>
      </c>
      <c r="J1426" s="3153" t="str">
        <f ca="1">IFERROR(INDEX('Production cost'!$A:$AU,MATCH($C1426,'Production cost'!$AU:$AU,0),28)/'Production cost'!$E$2,"")</f>
        <v/>
      </c>
    </row>
    <row r="1427" spans="2:10" ht="21.75">
      <c r="B1427" s="3143" t="s">
        <v>3654</v>
      </c>
      <c r="C1427" s="3143">
        <f t="shared" si="26"/>
        <v>82</v>
      </c>
      <c r="D1427" s="3143" t="str">
        <f ca="1">IFERROR(INDEX('Production cost'!$A:$AU,MATCH($C1427,'Production cost'!$AU:$AU,0),6),"")</f>
        <v/>
      </c>
      <c r="E1427" s="3143" t="str">
        <f ca="1">IFERROR(INDEX('Production cost'!$A:$AU,MATCH($C1427,'Production cost'!$AU:$AU,0),3),"")</f>
        <v/>
      </c>
      <c r="G1427" s="3153" t="str">
        <f ca="1">IFERROR(INDEX('Production cost'!$A:$AU,MATCH($C1427,'Production cost'!$AU:$AU,0),9),"")</f>
        <v/>
      </c>
      <c r="H1427" s="3599" t="str">
        <f ca="1">IFERROR(IFERROR(INDEX('Production cost'!$A:$AU,MATCH($C1427,'Production cost'!$AU:$AU,0),11),"")+IFERROR(INDEX('Production cost'!$A:$AU,MATCH($C1427,'Production cost'!$AU:$AU,0),12),""),"")</f>
        <v/>
      </c>
      <c r="I1427" s="3153" t="str">
        <f ca="1">IFERROR(INDEX('Production cost'!$A:$AU,MATCH($C1427,'Production cost'!$AU:$AU,0),28)/'Production cost'!$E$2,"")</f>
        <v/>
      </c>
      <c r="J1427" s="3153" t="str">
        <f ca="1">IFERROR(INDEX('Production cost'!$A:$AU,MATCH($C1427,'Production cost'!$AU:$AU,0),28)/'Production cost'!$E$2,"")</f>
        <v/>
      </c>
    </row>
    <row r="1428" spans="2:10" ht="21.75">
      <c r="B1428" s="3143" t="s">
        <v>3654</v>
      </c>
      <c r="C1428" s="3143">
        <f t="shared" si="26"/>
        <v>83</v>
      </c>
      <c r="D1428" s="3143" t="str">
        <f ca="1">IFERROR(INDEX('Production cost'!$A:$AU,MATCH($C1428,'Production cost'!$AU:$AU,0),6),"")</f>
        <v/>
      </c>
      <c r="E1428" s="3143" t="str">
        <f ca="1">IFERROR(INDEX('Production cost'!$A:$AU,MATCH($C1428,'Production cost'!$AU:$AU,0),3),"")</f>
        <v/>
      </c>
      <c r="G1428" s="3153" t="str">
        <f ca="1">IFERROR(INDEX('Production cost'!$A:$AU,MATCH($C1428,'Production cost'!$AU:$AU,0),9),"")</f>
        <v/>
      </c>
      <c r="H1428" s="3599" t="str">
        <f ca="1">IFERROR(IFERROR(INDEX('Production cost'!$A:$AU,MATCH($C1428,'Production cost'!$AU:$AU,0),11),"")+IFERROR(INDEX('Production cost'!$A:$AU,MATCH($C1428,'Production cost'!$AU:$AU,0),12),""),"")</f>
        <v/>
      </c>
      <c r="I1428" s="3153" t="str">
        <f ca="1">IFERROR(INDEX('Production cost'!$A:$AU,MATCH($C1428,'Production cost'!$AU:$AU,0),28)/'Production cost'!$E$2,"")</f>
        <v/>
      </c>
      <c r="J1428" s="3153" t="str">
        <f ca="1">IFERROR(INDEX('Production cost'!$A:$AU,MATCH($C1428,'Production cost'!$AU:$AU,0),28)/'Production cost'!$E$2,"")</f>
        <v/>
      </c>
    </row>
    <row r="1429" spans="2:10" ht="21.75">
      <c r="B1429" s="3143" t="s">
        <v>3654</v>
      </c>
      <c r="C1429" s="3143">
        <f t="shared" si="26"/>
        <v>84</v>
      </c>
      <c r="D1429" s="3143" t="str">
        <f ca="1">IFERROR(INDEX('Production cost'!$A:$AU,MATCH($C1429,'Production cost'!$AU:$AU,0),6),"")</f>
        <v/>
      </c>
      <c r="E1429" s="3143" t="str">
        <f ca="1">IFERROR(INDEX('Production cost'!$A:$AU,MATCH($C1429,'Production cost'!$AU:$AU,0),3),"")</f>
        <v/>
      </c>
      <c r="G1429" s="3153" t="str">
        <f ca="1">IFERROR(INDEX('Production cost'!$A:$AU,MATCH($C1429,'Production cost'!$AU:$AU,0),9),"")</f>
        <v/>
      </c>
      <c r="H1429" s="3599" t="str">
        <f ca="1">IFERROR(IFERROR(INDEX('Production cost'!$A:$AU,MATCH($C1429,'Production cost'!$AU:$AU,0),11),"")+IFERROR(INDEX('Production cost'!$A:$AU,MATCH($C1429,'Production cost'!$AU:$AU,0),12),""),"")</f>
        <v/>
      </c>
      <c r="I1429" s="3153" t="str">
        <f ca="1">IFERROR(INDEX('Production cost'!$A:$AU,MATCH($C1429,'Production cost'!$AU:$AU,0),28)/'Production cost'!$E$2,"")</f>
        <v/>
      </c>
      <c r="J1429" s="3153" t="str">
        <f ca="1">IFERROR(INDEX('Production cost'!$A:$AU,MATCH($C1429,'Production cost'!$AU:$AU,0),28)/'Production cost'!$E$2,"")</f>
        <v/>
      </c>
    </row>
    <row r="1430" spans="2:10" ht="21.75">
      <c r="B1430" s="3143" t="s">
        <v>3654</v>
      </c>
      <c r="C1430" s="3143">
        <f t="shared" si="26"/>
        <v>85</v>
      </c>
      <c r="D1430" s="3143" t="str">
        <f ca="1">IFERROR(INDEX('Production cost'!$A:$AU,MATCH($C1430,'Production cost'!$AU:$AU,0),6),"")</f>
        <v/>
      </c>
      <c r="E1430" s="3143" t="str">
        <f ca="1">IFERROR(INDEX('Production cost'!$A:$AU,MATCH($C1430,'Production cost'!$AU:$AU,0),3),"")</f>
        <v/>
      </c>
      <c r="G1430" s="3153" t="str">
        <f ca="1">IFERROR(INDEX('Production cost'!$A:$AU,MATCH($C1430,'Production cost'!$AU:$AU,0),9),"")</f>
        <v/>
      </c>
      <c r="H1430" s="3599" t="str">
        <f ca="1">IFERROR(IFERROR(INDEX('Production cost'!$A:$AU,MATCH($C1430,'Production cost'!$AU:$AU,0),11),"")+IFERROR(INDEX('Production cost'!$A:$AU,MATCH($C1430,'Production cost'!$AU:$AU,0),12),""),"")</f>
        <v/>
      </c>
      <c r="I1430" s="3153" t="str">
        <f ca="1">IFERROR(INDEX('Production cost'!$A:$AU,MATCH($C1430,'Production cost'!$AU:$AU,0),28)/'Production cost'!$E$2,"")</f>
        <v/>
      </c>
      <c r="J1430" s="3153" t="str">
        <f ca="1">IFERROR(INDEX('Production cost'!$A:$AU,MATCH($C1430,'Production cost'!$AU:$AU,0),28)/'Production cost'!$E$2,"")</f>
        <v/>
      </c>
    </row>
    <row r="1431" spans="2:10" ht="21.75">
      <c r="B1431" s="3143" t="s">
        <v>3654</v>
      </c>
      <c r="C1431" s="3143">
        <f t="shared" si="26"/>
        <v>86</v>
      </c>
      <c r="D1431" s="3143" t="str">
        <f ca="1">IFERROR(INDEX('Production cost'!$A:$AU,MATCH($C1431,'Production cost'!$AU:$AU,0),6),"")</f>
        <v/>
      </c>
      <c r="E1431" s="3143" t="str">
        <f ca="1">IFERROR(INDEX('Production cost'!$A:$AU,MATCH($C1431,'Production cost'!$AU:$AU,0),3),"")</f>
        <v/>
      </c>
      <c r="G1431" s="3153" t="str">
        <f ca="1">IFERROR(INDEX('Production cost'!$A:$AU,MATCH($C1431,'Production cost'!$AU:$AU,0),9),"")</f>
        <v/>
      </c>
      <c r="H1431" s="3599" t="str">
        <f ca="1">IFERROR(IFERROR(INDEX('Production cost'!$A:$AU,MATCH($C1431,'Production cost'!$AU:$AU,0),11),"")+IFERROR(INDEX('Production cost'!$A:$AU,MATCH($C1431,'Production cost'!$AU:$AU,0),12),""),"")</f>
        <v/>
      </c>
      <c r="I1431" s="3153" t="str">
        <f ca="1">IFERROR(INDEX('Production cost'!$A:$AU,MATCH($C1431,'Production cost'!$AU:$AU,0),28)/'Production cost'!$E$2,"")</f>
        <v/>
      </c>
      <c r="J1431" s="3153" t="str">
        <f ca="1">IFERROR(INDEX('Production cost'!$A:$AU,MATCH($C1431,'Production cost'!$AU:$AU,0),28)/'Production cost'!$E$2,"")</f>
        <v/>
      </c>
    </row>
    <row r="1432" spans="2:10" ht="21.75">
      <c r="B1432" s="3143" t="s">
        <v>3654</v>
      </c>
      <c r="C1432" s="3143">
        <f t="shared" si="26"/>
        <v>87</v>
      </c>
      <c r="D1432" s="3143" t="str">
        <f ca="1">IFERROR(INDEX('Production cost'!$A:$AU,MATCH($C1432,'Production cost'!$AU:$AU,0),6),"")</f>
        <v/>
      </c>
      <c r="E1432" s="3143" t="str">
        <f ca="1">IFERROR(INDEX('Production cost'!$A:$AU,MATCH($C1432,'Production cost'!$AU:$AU,0),3),"")</f>
        <v/>
      </c>
      <c r="G1432" s="3153" t="str">
        <f ca="1">IFERROR(INDEX('Production cost'!$A:$AU,MATCH($C1432,'Production cost'!$AU:$AU,0),9),"")</f>
        <v/>
      </c>
      <c r="H1432" s="3599" t="str">
        <f ca="1">IFERROR(IFERROR(INDEX('Production cost'!$A:$AU,MATCH($C1432,'Production cost'!$AU:$AU,0),11),"")+IFERROR(INDEX('Production cost'!$A:$AU,MATCH($C1432,'Production cost'!$AU:$AU,0),12),""),"")</f>
        <v/>
      </c>
      <c r="I1432" s="3153" t="str">
        <f ca="1">IFERROR(INDEX('Production cost'!$A:$AU,MATCH($C1432,'Production cost'!$AU:$AU,0),28)/'Production cost'!$E$2,"")</f>
        <v/>
      </c>
      <c r="J1432" s="3153" t="str">
        <f ca="1">IFERROR(INDEX('Production cost'!$A:$AU,MATCH($C1432,'Production cost'!$AU:$AU,0),28)/'Production cost'!$E$2,"")</f>
        <v/>
      </c>
    </row>
    <row r="1433" spans="2:10" ht="21.75">
      <c r="B1433" s="3143" t="s">
        <v>3654</v>
      </c>
      <c r="C1433" s="3143">
        <f t="shared" si="26"/>
        <v>88</v>
      </c>
      <c r="D1433" s="3143" t="str">
        <f ca="1">IFERROR(INDEX('Production cost'!$A:$AU,MATCH($C1433,'Production cost'!$AU:$AU,0),6),"")</f>
        <v/>
      </c>
      <c r="E1433" s="3143" t="str">
        <f ca="1">IFERROR(INDEX('Production cost'!$A:$AU,MATCH($C1433,'Production cost'!$AU:$AU,0),3),"")</f>
        <v/>
      </c>
      <c r="G1433" s="3153" t="str">
        <f ca="1">IFERROR(INDEX('Production cost'!$A:$AU,MATCH($C1433,'Production cost'!$AU:$AU,0),9),"")</f>
        <v/>
      </c>
      <c r="H1433" s="3599" t="str">
        <f ca="1">IFERROR(IFERROR(INDEX('Production cost'!$A:$AU,MATCH($C1433,'Production cost'!$AU:$AU,0),11),"")+IFERROR(INDEX('Production cost'!$A:$AU,MATCH($C1433,'Production cost'!$AU:$AU,0),12),""),"")</f>
        <v/>
      </c>
      <c r="I1433" s="3153" t="str">
        <f ca="1">IFERROR(INDEX('Production cost'!$A:$AU,MATCH($C1433,'Production cost'!$AU:$AU,0),28)/'Production cost'!$E$2,"")</f>
        <v/>
      </c>
      <c r="J1433" s="3153" t="str">
        <f ca="1">IFERROR(INDEX('Production cost'!$A:$AU,MATCH($C1433,'Production cost'!$AU:$AU,0),28)/'Production cost'!$E$2,"")</f>
        <v/>
      </c>
    </row>
    <row r="1434" spans="2:10" ht="21.75">
      <c r="B1434" s="3143" t="s">
        <v>3654</v>
      </c>
      <c r="C1434" s="3143">
        <f t="shared" si="26"/>
        <v>89</v>
      </c>
      <c r="D1434" s="3143" t="str">
        <f ca="1">IFERROR(INDEX('Production cost'!$A:$AU,MATCH($C1434,'Production cost'!$AU:$AU,0),6),"")</f>
        <v/>
      </c>
      <c r="E1434" s="3143" t="str">
        <f ca="1">IFERROR(INDEX('Production cost'!$A:$AU,MATCH($C1434,'Production cost'!$AU:$AU,0),3),"")</f>
        <v/>
      </c>
      <c r="G1434" s="3153" t="str">
        <f ca="1">IFERROR(INDEX('Production cost'!$A:$AU,MATCH($C1434,'Production cost'!$AU:$AU,0),9),"")</f>
        <v/>
      </c>
      <c r="H1434" s="3599" t="str">
        <f ca="1">IFERROR(IFERROR(INDEX('Production cost'!$A:$AU,MATCH($C1434,'Production cost'!$AU:$AU,0),11),"")+IFERROR(INDEX('Production cost'!$A:$AU,MATCH($C1434,'Production cost'!$AU:$AU,0),12),""),"")</f>
        <v/>
      </c>
      <c r="I1434" s="3153" t="str">
        <f ca="1">IFERROR(INDEX('Production cost'!$A:$AU,MATCH($C1434,'Production cost'!$AU:$AU,0),28)/'Production cost'!$E$2,"")</f>
        <v/>
      </c>
      <c r="J1434" s="3153" t="str">
        <f ca="1">IFERROR(INDEX('Production cost'!$A:$AU,MATCH($C1434,'Production cost'!$AU:$AU,0),28)/'Production cost'!$E$2,"")</f>
        <v/>
      </c>
    </row>
    <row r="1435" spans="2:10" ht="21.75">
      <c r="B1435" s="3143" t="s">
        <v>3654</v>
      </c>
      <c r="C1435" s="3143">
        <f t="shared" si="26"/>
        <v>90</v>
      </c>
      <c r="D1435" s="3143" t="str">
        <f ca="1">IFERROR(INDEX('Production cost'!$A:$AU,MATCH($C1435,'Production cost'!$AU:$AU,0),6),"")</f>
        <v/>
      </c>
      <c r="E1435" s="3143" t="str">
        <f ca="1">IFERROR(INDEX('Production cost'!$A:$AU,MATCH($C1435,'Production cost'!$AU:$AU,0),3),"")</f>
        <v/>
      </c>
      <c r="G1435" s="3153" t="str">
        <f ca="1">IFERROR(INDEX('Production cost'!$A:$AU,MATCH($C1435,'Production cost'!$AU:$AU,0),9),"")</f>
        <v/>
      </c>
      <c r="H1435" s="3599" t="str">
        <f ca="1">IFERROR(IFERROR(INDEX('Production cost'!$A:$AU,MATCH($C1435,'Production cost'!$AU:$AU,0),11),"")+IFERROR(INDEX('Production cost'!$A:$AU,MATCH($C1435,'Production cost'!$AU:$AU,0),12),""),"")</f>
        <v/>
      </c>
      <c r="I1435" s="3153" t="str">
        <f ca="1">IFERROR(INDEX('Production cost'!$A:$AU,MATCH($C1435,'Production cost'!$AU:$AU,0),28)/'Production cost'!$E$2,"")</f>
        <v/>
      </c>
      <c r="J1435" s="3153" t="str">
        <f ca="1">IFERROR(INDEX('Production cost'!$A:$AU,MATCH($C1435,'Production cost'!$AU:$AU,0),28)/'Production cost'!$E$2,"")</f>
        <v/>
      </c>
    </row>
    <row r="1436" spans="2:10" ht="21.75">
      <c r="B1436" s="3143" t="s">
        <v>3654</v>
      </c>
      <c r="C1436" s="3143">
        <f t="shared" si="26"/>
        <v>91</v>
      </c>
      <c r="D1436" s="3143" t="str">
        <f ca="1">IFERROR(INDEX('Production cost'!$A:$AU,MATCH($C1436,'Production cost'!$AU:$AU,0),6),"")</f>
        <v/>
      </c>
      <c r="E1436" s="3143" t="str">
        <f ca="1">IFERROR(INDEX('Production cost'!$A:$AU,MATCH($C1436,'Production cost'!$AU:$AU,0),3),"")</f>
        <v/>
      </c>
      <c r="G1436" s="3153" t="str">
        <f ca="1">IFERROR(INDEX('Production cost'!$A:$AU,MATCH($C1436,'Production cost'!$AU:$AU,0),9),"")</f>
        <v/>
      </c>
      <c r="H1436" s="3599" t="str">
        <f ca="1">IFERROR(IFERROR(INDEX('Production cost'!$A:$AU,MATCH($C1436,'Production cost'!$AU:$AU,0),11),"")+IFERROR(INDEX('Production cost'!$A:$AU,MATCH($C1436,'Production cost'!$AU:$AU,0),12),""),"")</f>
        <v/>
      </c>
      <c r="I1436" s="3153" t="str">
        <f ca="1">IFERROR(INDEX('Production cost'!$A:$AU,MATCH($C1436,'Production cost'!$AU:$AU,0),28)/'Production cost'!$E$2,"")</f>
        <v/>
      </c>
      <c r="J1436" s="3153" t="str">
        <f ca="1">IFERROR(INDEX('Production cost'!$A:$AU,MATCH($C1436,'Production cost'!$AU:$AU,0),28)/'Production cost'!$E$2,"")</f>
        <v/>
      </c>
    </row>
    <row r="1437" spans="2:10" ht="21.75">
      <c r="B1437" s="3143" t="s">
        <v>3654</v>
      </c>
      <c r="C1437" s="3143">
        <f t="shared" si="26"/>
        <v>92</v>
      </c>
      <c r="D1437" s="3143" t="str">
        <f ca="1">IFERROR(INDEX('Production cost'!$A:$AU,MATCH($C1437,'Production cost'!$AU:$AU,0),6),"")</f>
        <v/>
      </c>
      <c r="E1437" s="3143" t="str">
        <f ca="1">IFERROR(INDEX('Production cost'!$A:$AU,MATCH($C1437,'Production cost'!$AU:$AU,0),3),"")</f>
        <v/>
      </c>
      <c r="G1437" s="3153" t="str">
        <f ca="1">IFERROR(INDEX('Production cost'!$A:$AU,MATCH($C1437,'Production cost'!$AU:$AU,0),9),"")</f>
        <v/>
      </c>
      <c r="H1437" s="3599" t="str">
        <f ca="1">IFERROR(IFERROR(INDEX('Production cost'!$A:$AU,MATCH($C1437,'Production cost'!$AU:$AU,0),11),"")+IFERROR(INDEX('Production cost'!$A:$AU,MATCH($C1437,'Production cost'!$AU:$AU,0),12),""),"")</f>
        <v/>
      </c>
      <c r="I1437" s="3153" t="str">
        <f ca="1">IFERROR(INDEX('Production cost'!$A:$AU,MATCH($C1437,'Production cost'!$AU:$AU,0),28)/'Production cost'!$E$2,"")</f>
        <v/>
      </c>
      <c r="J1437" s="3153" t="str">
        <f ca="1">IFERROR(INDEX('Production cost'!$A:$AU,MATCH($C1437,'Production cost'!$AU:$AU,0),28)/'Production cost'!$E$2,"")</f>
        <v/>
      </c>
    </row>
    <row r="1438" spans="2:10" ht="21.75">
      <c r="B1438" s="3143" t="s">
        <v>3654</v>
      </c>
      <c r="C1438" s="3143">
        <f t="shared" si="26"/>
        <v>93</v>
      </c>
      <c r="D1438" s="3143" t="str">
        <f ca="1">IFERROR(INDEX('Production cost'!$A:$AU,MATCH($C1438,'Production cost'!$AU:$AU,0),6),"")</f>
        <v/>
      </c>
      <c r="E1438" s="3143" t="str">
        <f ca="1">IFERROR(INDEX('Production cost'!$A:$AU,MATCH($C1438,'Production cost'!$AU:$AU,0),3),"")</f>
        <v/>
      </c>
      <c r="G1438" s="3153" t="str">
        <f ca="1">IFERROR(INDEX('Production cost'!$A:$AU,MATCH($C1438,'Production cost'!$AU:$AU,0),9),"")</f>
        <v/>
      </c>
      <c r="H1438" s="3599" t="str">
        <f ca="1">IFERROR(IFERROR(INDEX('Production cost'!$A:$AU,MATCH($C1438,'Production cost'!$AU:$AU,0),11),"")+IFERROR(INDEX('Production cost'!$A:$AU,MATCH($C1438,'Production cost'!$AU:$AU,0),12),""),"")</f>
        <v/>
      </c>
      <c r="I1438" s="3153" t="str">
        <f ca="1">IFERROR(INDEX('Production cost'!$A:$AU,MATCH($C1438,'Production cost'!$AU:$AU,0),28)/'Production cost'!$E$2,"")</f>
        <v/>
      </c>
      <c r="J1438" s="3153" t="str">
        <f ca="1">IFERROR(INDEX('Production cost'!$A:$AU,MATCH($C1438,'Production cost'!$AU:$AU,0),28)/'Production cost'!$E$2,"")</f>
        <v/>
      </c>
    </row>
    <row r="1439" spans="2:10" ht="21.75">
      <c r="B1439" s="3143" t="s">
        <v>3654</v>
      </c>
      <c r="C1439" s="3143">
        <f t="shared" si="26"/>
        <v>94</v>
      </c>
      <c r="D1439" s="3143" t="str">
        <f ca="1">IFERROR(INDEX('Production cost'!$A:$AU,MATCH($C1439,'Production cost'!$AU:$AU,0),6),"")</f>
        <v/>
      </c>
      <c r="E1439" s="3143" t="str">
        <f ca="1">IFERROR(INDEX('Production cost'!$A:$AU,MATCH($C1439,'Production cost'!$AU:$AU,0),3),"")</f>
        <v/>
      </c>
      <c r="G1439" s="3153" t="str">
        <f ca="1">IFERROR(INDEX('Production cost'!$A:$AU,MATCH($C1439,'Production cost'!$AU:$AU,0),9),"")</f>
        <v/>
      </c>
      <c r="H1439" s="3599" t="str">
        <f ca="1">IFERROR(IFERROR(INDEX('Production cost'!$A:$AU,MATCH($C1439,'Production cost'!$AU:$AU,0),11),"")+IFERROR(INDEX('Production cost'!$A:$AU,MATCH($C1439,'Production cost'!$AU:$AU,0),12),""),"")</f>
        <v/>
      </c>
      <c r="I1439" s="3153" t="str">
        <f ca="1">IFERROR(INDEX('Production cost'!$A:$AU,MATCH($C1439,'Production cost'!$AU:$AU,0),28)/'Production cost'!$E$2,"")</f>
        <v/>
      </c>
      <c r="J1439" s="3153" t="str">
        <f ca="1">IFERROR(INDEX('Production cost'!$A:$AU,MATCH($C1439,'Production cost'!$AU:$AU,0),28)/'Production cost'!$E$2,"")</f>
        <v/>
      </c>
    </row>
    <row r="1440" spans="2:10" ht="21.75">
      <c r="B1440" s="3143" t="s">
        <v>3654</v>
      </c>
      <c r="C1440" s="3143">
        <f t="shared" si="26"/>
        <v>95</v>
      </c>
      <c r="D1440" s="3143" t="str">
        <f ca="1">IFERROR(INDEX('Production cost'!$A:$AU,MATCH($C1440,'Production cost'!$AU:$AU,0),6),"")</f>
        <v/>
      </c>
      <c r="E1440" s="3143" t="str">
        <f ca="1">IFERROR(INDEX('Production cost'!$A:$AU,MATCH($C1440,'Production cost'!$AU:$AU,0),3),"")</f>
        <v/>
      </c>
      <c r="G1440" s="3153" t="str">
        <f ca="1">IFERROR(INDEX('Production cost'!$A:$AU,MATCH($C1440,'Production cost'!$AU:$AU,0),9),"")</f>
        <v/>
      </c>
      <c r="H1440" s="3599" t="str">
        <f ca="1">IFERROR(IFERROR(INDEX('Production cost'!$A:$AU,MATCH($C1440,'Production cost'!$AU:$AU,0),11),"")+IFERROR(INDEX('Production cost'!$A:$AU,MATCH($C1440,'Production cost'!$AU:$AU,0),12),""),"")</f>
        <v/>
      </c>
      <c r="I1440" s="3153" t="str">
        <f ca="1">IFERROR(INDEX('Production cost'!$A:$AU,MATCH($C1440,'Production cost'!$AU:$AU,0),28)/'Production cost'!$E$2,"")</f>
        <v/>
      </c>
      <c r="J1440" s="3153" t="str">
        <f ca="1">IFERROR(INDEX('Production cost'!$A:$AU,MATCH($C1440,'Production cost'!$AU:$AU,0),28)/'Production cost'!$E$2,"")</f>
        <v/>
      </c>
    </row>
    <row r="1441" spans="2:10" ht="21.75">
      <c r="B1441" s="3143" t="s">
        <v>3654</v>
      </c>
      <c r="C1441" s="3143">
        <f t="shared" si="26"/>
        <v>96</v>
      </c>
      <c r="D1441" s="3143" t="str">
        <f ca="1">IFERROR(INDEX('Production cost'!$A:$AU,MATCH($C1441,'Production cost'!$AU:$AU,0),6),"")</f>
        <v/>
      </c>
      <c r="E1441" s="3143" t="str">
        <f ca="1">IFERROR(INDEX('Production cost'!$A:$AU,MATCH($C1441,'Production cost'!$AU:$AU,0),3),"")</f>
        <v/>
      </c>
      <c r="G1441" s="3153" t="str">
        <f ca="1">IFERROR(INDEX('Production cost'!$A:$AU,MATCH($C1441,'Production cost'!$AU:$AU,0),9),"")</f>
        <v/>
      </c>
      <c r="H1441" s="3599" t="str">
        <f ca="1">IFERROR(IFERROR(INDEX('Production cost'!$A:$AU,MATCH($C1441,'Production cost'!$AU:$AU,0),11),"")+IFERROR(INDEX('Production cost'!$A:$AU,MATCH($C1441,'Production cost'!$AU:$AU,0),12),""),"")</f>
        <v/>
      </c>
      <c r="I1441" s="3153" t="str">
        <f ca="1">IFERROR(INDEX('Production cost'!$A:$AU,MATCH($C1441,'Production cost'!$AU:$AU,0),28)/'Production cost'!$E$2,"")</f>
        <v/>
      </c>
      <c r="J1441" s="3153" t="str">
        <f ca="1">IFERROR(INDEX('Production cost'!$A:$AU,MATCH($C1441,'Production cost'!$AU:$AU,0),28)/'Production cost'!$E$2,"")</f>
        <v/>
      </c>
    </row>
    <row r="1442" spans="2:10" ht="21.75">
      <c r="B1442" s="3143" t="s">
        <v>3654</v>
      </c>
      <c r="C1442" s="3143">
        <f t="shared" si="26"/>
        <v>97</v>
      </c>
      <c r="D1442" s="3143" t="str">
        <f ca="1">IFERROR(INDEX('Production cost'!$A:$AU,MATCH($C1442,'Production cost'!$AU:$AU,0),6),"")</f>
        <v/>
      </c>
      <c r="E1442" s="3143" t="str">
        <f ca="1">IFERROR(INDEX('Production cost'!$A:$AU,MATCH($C1442,'Production cost'!$AU:$AU,0),3),"")</f>
        <v/>
      </c>
      <c r="G1442" s="3153" t="str">
        <f ca="1">IFERROR(INDEX('Production cost'!$A:$AU,MATCH($C1442,'Production cost'!$AU:$AU,0),9),"")</f>
        <v/>
      </c>
      <c r="H1442" s="3599" t="str">
        <f ca="1">IFERROR(IFERROR(INDEX('Production cost'!$A:$AU,MATCH($C1442,'Production cost'!$AU:$AU,0),11),"")+IFERROR(INDEX('Production cost'!$A:$AU,MATCH($C1442,'Production cost'!$AU:$AU,0),12),""),"")</f>
        <v/>
      </c>
      <c r="I1442" s="3153" t="str">
        <f ca="1">IFERROR(INDEX('Production cost'!$A:$AU,MATCH($C1442,'Production cost'!$AU:$AU,0),28)/'Production cost'!$E$2,"")</f>
        <v/>
      </c>
      <c r="J1442" s="3153" t="str">
        <f ca="1">IFERROR(INDEX('Production cost'!$A:$AU,MATCH($C1442,'Production cost'!$AU:$AU,0),28)/'Production cost'!$E$2,"")</f>
        <v/>
      </c>
    </row>
    <row r="1443" spans="2:10" ht="21.75">
      <c r="B1443" s="3143" t="s">
        <v>3654</v>
      </c>
      <c r="C1443" s="3143">
        <f t="shared" si="26"/>
        <v>98</v>
      </c>
      <c r="D1443" s="3143" t="str">
        <f ca="1">IFERROR(INDEX('Production cost'!$A:$AU,MATCH($C1443,'Production cost'!$AU:$AU,0),6),"")</f>
        <v/>
      </c>
      <c r="E1443" s="3143" t="str">
        <f ca="1">IFERROR(INDEX('Production cost'!$A:$AU,MATCH($C1443,'Production cost'!$AU:$AU,0),3),"")</f>
        <v/>
      </c>
      <c r="G1443" s="3153" t="str">
        <f ca="1">IFERROR(INDEX('Production cost'!$A:$AU,MATCH($C1443,'Production cost'!$AU:$AU,0),9),"")</f>
        <v/>
      </c>
      <c r="H1443" s="3599" t="str">
        <f ca="1">IFERROR(IFERROR(INDEX('Production cost'!$A:$AU,MATCH($C1443,'Production cost'!$AU:$AU,0),11),"")+IFERROR(INDEX('Production cost'!$A:$AU,MATCH($C1443,'Production cost'!$AU:$AU,0),12),""),"")</f>
        <v/>
      </c>
      <c r="I1443" s="3153" t="str">
        <f ca="1">IFERROR(INDEX('Production cost'!$A:$AU,MATCH($C1443,'Production cost'!$AU:$AU,0),28)/'Production cost'!$E$2,"")</f>
        <v/>
      </c>
      <c r="J1443" s="3153" t="str">
        <f ca="1">IFERROR(INDEX('Production cost'!$A:$AU,MATCH($C1443,'Production cost'!$AU:$AU,0),28)/'Production cost'!$E$2,"")</f>
        <v/>
      </c>
    </row>
    <row r="1444" spans="2:10" ht="21.75">
      <c r="B1444" s="3143" t="s">
        <v>3654</v>
      </c>
      <c r="C1444" s="3143">
        <f t="shared" si="26"/>
        <v>99</v>
      </c>
      <c r="D1444" s="3143" t="str">
        <f ca="1">IFERROR(INDEX('Production cost'!$A:$AU,MATCH($C1444,'Production cost'!$AU:$AU,0),6),"")</f>
        <v/>
      </c>
      <c r="E1444" s="3143" t="str">
        <f ca="1">IFERROR(INDEX('Production cost'!$A:$AU,MATCH($C1444,'Production cost'!$AU:$AU,0),3),"")</f>
        <v/>
      </c>
      <c r="G1444" s="3153" t="str">
        <f ca="1">IFERROR(INDEX('Production cost'!$A:$AU,MATCH($C1444,'Production cost'!$AU:$AU,0),9),"")</f>
        <v/>
      </c>
      <c r="H1444" s="3599" t="str">
        <f ca="1">IFERROR(IFERROR(INDEX('Production cost'!$A:$AU,MATCH($C1444,'Production cost'!$AU:$AU,0),11),"")+IFERROR(INDEX('Production cost'!$A:$AU,MATCH($C1444,'Production cost'!$AU:$AU,0),12),""),"")</f>
        <v/>
      </c>
      <c r="I1444" s="3153" t="str">
        <f ca="1">IFERROR(INDEX('Production cost'!$A:$AU,MATCH($C1444,'Production cost'!$AU:$AU,0),28)/'Production cost'!$E$2,"")</f>
        <v/>
      </c>
      <c r="J1444" s="3153" t="str">
        <f ca="1">IFERROR(INDEX('Production cost'!$A:$AU,MATCH($C1444,'Production cost'!$AU:$AU,0),28)/'Production cost'!$E$2,"")</f>
        <v/>
      </c>
    </row>
    <row r="1445" spans="2:10" ht="21.75">
      <c r="B1445" s="3143" t="s">
        <v>3654</v>
      </c>
      <c r="C1445" s="3143">
        <f t="shared" si="26"/>
        <v>100</v>
      </c>
      <c r="D1445" s="3143" t="str">
        <f ca="1">IFERROR(INDEX('Production cost'!$A:$AU,MATCH($C1445,'Production cost'!$AU:$AU,0),6),"")</f>
        <v/>
      </c>
      <c r="E1445" s="3143" t="str">
        <f ca="1">IFERROR(INDEX('Production cost'!$A:$AU,MATCH($C1445,'Production cost'!$AU:$AU,0),3),"")</f>
        <v/>
      </c>
      <c r="G1445" s="3153" t="str">
        <f ca="1">IFERROR(INDEX('Production cost'!$A:$AU,MATCH($C1445,'Production cost'!$AU:$AU,0),9),"")</f>
        <v/>
      </c>
      <c r="H1445" s="3599" t="str">
        <f ca="1">IFERROR(IFERROR(INDEX('Production cost'!$A:$AU,MATCH($C1445,'Production cost'!$AU:$AU,0),11),"")+IFERROR(INDEX('Production cost'!$A:$AU,MATCH($C1445,'Production cost'!$AU:$AU,0),12),""),"")</f>
        <v/>
      </c>
      <c r="I1445" s="3153" t="str">
        <f ca="1">IFERROR(INDEX('Production cost'!$A:$AU,MATCH($C1445,'Production cost'!$AU:$AU,0),28)/'Production cost'!$E$2,"")</f>
        <v/>
      </c>
      <c r="J1445" s="3153" t="str">
        <f ca="1">IFERROR(INDEX('Production cost'!$A:$AU,MATCH($C1445,'Production cost'!$AU:$AU,0),28)/'Production cost'!$E$2,"")</f>
        <v/>
      </c>
    </row>
    <row r="1446" spans="2:10" ht="21.75">
      <c r="B1446" s="3143" t="s">
        <v>3654</v>
      </c>
      <c r="C1446" s="3143">
        <f t="shared" si="26"/>
        <v>101</v>
      </c>
      <c r="D1446" s="3143" t="str">
        <f ca="1">IFERROR(INDEX('Production cost'!$A:$AU,MATCH($C1446,'Production cost'!$AU:$AU,0),6),"")</f>
        <v/>
      </c>
      <c r="E1446" s="3143" t="str">
        <f ca="1">IFERROR(INDEX('Production cost'!$A:$AU,MATCH($C1446,'Production cost'!$AU:$AU,0),3),"")</f>
        <v/>
      </c>
      <c r="G1446" s="3153" t="str">
        <f ca="1">IFERROR(INDEX('Production cost'!$A:$AU,MATCH($C1446,'Production cost'!$AU:$AU,0),9),"")</f>
        <v/>
      </c>
      <c r="H1446" s="3599" t="str">
        <f ca="1">IFERROR(IFERROR(INDEX('Production cost'!$A:$AU,MATCH($C1446,'Production cost'!$AU:$AU,0),11),"")+IFERROR(INDEX('Production cost'!$A:$AU,MATCH($C1446,'Production cost'!$AU:$AU,0),12),""),"")</f>
        <v/>
      </c>
      <c r="I1446" s="3153" t="str">
        <f ca="1">IFERROR(INDEX('Production cost'!$A:$AU,MATCH($C1446,'Production cost'!$AU:$AU,0),28)/'Production cost'!$E$2,"")</f>
        <v/>
      </c>
      <c r="J1446" s="3153" t="str">
        <f ca="1">IFERROR(INDEX('Production cost'!$A:$AU,MATCH($C1446,'Production cost'!$AU:$AU,0),28)/'Production cost'!$E$2,"")</f>
        <v/>
      </c>
    </row>
    <row r="1447" spans="2:10" ht="21.75">
      <c r="B1447" s="3143" t="s">
        <v>3654</v>
      </c>
      <c r="C1447" s="3143">
        <f t="shared" si="26"/>
        <v>102</v>
      </c>
      <c r="D1447" s="3143" t="str">
        <f ca="1">IFERROR(INDEX('Production cost'!$A:$AU,MATCH($C1447,'Production cost'!$AU:$AU,0),6),"")</f>
        <v/>
      </c>
      <c r="E1447" s="3143" t="str">
        <f ca="1">IFERROR(INDEX('Production cost'!$A:$AU,MATCH($C1447,'Production cost'!$AU:$AU,0),3),"")</f>
        <v/>
      </c>
      <c r="G1447" s="3153" t="str">
        <f ca="1">IFERROR(INDEX('Production cost'!$A:$AU,MATCH($C1447,'Production cost'!$AU:$AU,0),9),"")</f>
        <v/>
      </c>
      <c r="H1447" s="3599" t="str">
        <f ca="1">IFERROR(IFERROR(INDEX('Production cost'!$A:$AU,MATCH($C1447,'Production cost'!$AU:$AU,0),11),"")+IFERROR(INDEX('Production cost'!$A:$AU,MATCH($C1447,'Production cost'!$AU:$AU,0),12),""),"")</f>
        <v/>
      </c>
      <c r="I1447" s="3153" t="str">
        <f ca="1">IFERROR(INDEX('Production cost'!$A:$AU,MATCH($C1447,'Production cost'!$AU:$AU,0),28)/'Production cost'!$E$2,"")</f>
        <v/>
      </c>
      <c r="J1447" s="3153" t="str">
        <f ca="1">IFERROR(INDEX('Production cost'!$A:$AU,MATCH($C1447,'Production cost'!$AU:$AU,0),28)/'Production cost'!$E$2,"")</f>
        <v/>
      </c>
    </row>
    <row r="1448" spans="2:10" ht="21.75">
      <c r="B1448" s="3143" t="s">
        <v>3654</v>
      </c>
      <c r="C1448" s="3143">
        <f t="shared" si="26"/>
        <v>103</v>
      </c>
      <c r="D1448" s="3143" t="str">
        <f ca="1">IFERROR(INDEX('Production cost'!$A:$AU,MATCH($C1448,'Production cost'!$AU:$AU,0),6),"")</f>
        <v/>
      </c>
      <c r="E1448" s="3143" t="str">
        <f ca="1">IFERROR(INDEX('Production cost'!$A:$AU,MATCH($C1448,'Production cost'!$AU:$AU,0),3),"")</f>
        <v/>
      </c>
      <c r="G1448" s="3153" t="str">
        <f ca="1">IFERROR(INDEX('Production cost'!$A:$AU,MATCH($C1448,'Production cost'!$AU:$AU,0),9),"")</f>
        <v/>
      </c>
      <c r="H1448" s="3599" t="str">
        <f ca="1">IFERROR(IFERROR(INDEX('Production cost'!$A:$AU,MATCH($C1448,'Production cost'!$AU:$AU,0),11),"")+IFERROR(INDEX('Production cost'!$A:$AU,MATCH($C1448,'Production cost'!$AU:$AU,0),12),""),"")</f>
        <v/>
      </c>
      <c r="I1448" s="3153" t="str">
        <f ca="1">IFERROR(INDEX('Production cost'!$A:$AU,MATCH($C1448,'Production cost'!$AU:$AU,0),28)/'Production cost'!$E$2,"")</f>
        <v/>
      </c>
      <c r="J1448" s="3153" t="str">
        <f ca="1">IFERROR(INDEX('Production cost'!$A:$AU,MATCH($C1448,'Production cost'!$AU:$AU,0),28)/'Production cost'!$E$2,"")</f>
        <v/>
      </c>
    </row>
    <row r="1449" spans="2:10" ht="21.75">
      <c r="B1449" s="3143" t="s">
        <v>3654</v>
      </c>
      <c r="C1449" s="3143">
        <f t="shared" si="26"/>
        <v>104</v>
      </c>
      <c r="D1449" s="3143" t="str">
        <f ca="1">IFERROR(INDEX('Production cost'!$A:$AU,MATCH($C1449,'Production cost'!$AU:$AU,0),6),"")</f>
        <v/>
      </c>
      <c r="E1449" s="3143" t="str">
        <f ca="1">IFERROR(INDEX('Production cost'!$A:$AU,MATCH($C1449,'Production cost'!$AU:$AU,0),3),"")</f>
        <v/>
      </c>
      <c r="G1449" s="3153" t="str">
        <f ca="1">IFERROR(INDEX('Production cost'!$A:$AU,MATCH($C1449,'Production cost'!$AU:$AU,0),9),"")</f>
        <v/>
      </c>
      <c r="H1449" s="3599" t="str">
        <f ca="1">IFERROR(IFERROR(INDEX('Production cost'!$A:$AU,MATCH($C1449,'Production cost'!$AU:$AU,0),11),"")+IFERROR(INDEX('Production cost'!$A:$AU,MATCH($C1449,'Production cost'!$AU:$AU,0),12),""),"")</f>
        <v/>
      </c>
      <c r="I1449" s="3153" t="str">
        <f ca="1">IFERROR(INDEX('Production cost'!$A:$AU,MATCH($C1449,'Production cost'!$AU:$AU,0),28)/'Production cost'!$E$2,"")</f>
        <v/>
      </c>
      <c r="J1449" s="3153" t="str">
        <f ca="1">IFERROR(INDEX('Production cost'!$A:$AU,MATCH($C1449,'Production cost'!$AU:$AU,0),28)/'Production cost'!$E$2,"")</f>
        <v/>
      </c>
    </row>
    <row r="1450" spans="2:10" ht="21.75">
      <c r="B1450" s="3143" t="s">
        <v>3654</v>
      </c>
      <c r="C1450" s="3143">
        <f t="shared" si="26"/>
        <v>105</v>
      </c>
      <c r="D1450" s="3143" t="str">
        <f ca="1">IFERROR(INDEX('Production cost'!$A:$AU,MATCH($C1450,'Production cost'!$AU:$AU,0),6),"")</f>
        <v/>
      </c>
      <c r="E1450" s="3143" t="str">
        <f ca="1">IFERROR(INDEX('Production cost'!$A:$AU,MATCH($C1450,'Production cost'!$AU:$AU,0),3),"")</f>
        <v/>
      </c>
      <c r="G1450" s="3153" t="str">
        <f ca="1">IFERROR(INDEX('Production cost'!$A:$AU,MATCH($C1450,'Production cost'!$AU:$AU,0),9),"")</f>
        <v/>
      </c>
      <c r="H1450" s="3599" t="str">
        <f ca="1">IFERROR(IFERROR(INDEX('Production cost'!$A:$AU,MATCH($C1450,'Production cost'!$AU:$AU,0),11),"")+IFERROR(INDEX('Production cost'!$A:$AU,MATCH($C1450,'Production cost'!$AU:$AU,0),12),""),"")</f>
        <v/>
      </c>
      <c r="I1450" s="3153" t="str">
        <f ca="1">IFERROR(INDEX('Production cost'!$A:$AU,MATCH($C1450,'Production cost'!$AU:$AU,0),28)/'Production cost'!$E$2,"")</f>
        <v/>
      </c>
      <c r="J1450" s="3153" t="str">
        <f ca="1">IFERROR(INDEX('Production cost'!$A:$AU,MATCH($C1450,'Production cost'!$AU:$AU,0),28)/'Production cost'!$E$2,"")</f>
        <v/>
      </c>
    </row>
    <row r="1451" spans="2:10" ht="21.75">
      <c r="B1451" s="3143" t="s">
        <v>3654</v>
      </c>
      <c r="C1451" s="3143">
        <f t="shared" si="26"/>
        <v>106</v>
      </c>
      <c r="D1451" s="3143" t="str">
        <f ca="1">IFERROR(INDEX('Production cost'!$A:$AU,MATCH($C1451,'Production cost'!$AU:$AU,0),6),"")</f>
        <v/>
      </c>
      <c r="E1451" s="3143" t="str">
        <f ca="1">IFERROR(INDEX('Production cost'!$A:$AU,MATCH($C1451,'Production cost'!$AU:$AU,0),3),"")</f>
        <v/>
      </c>
      <c r="G1451" s="3153" t="str">
        <f ca="1">IFERROR(INDEX('Production cost'!$A:$AU,MATCH($C1451,'Production cost'!$AU:$AU,0),9),"")</f>
        <v/>
      </c>
      <c r="H1451" s="3599" t="str">
        <f ca="1">IFERROR(IFERROR(INDEX('Production cost'!$A:$AU,MATCH($C1451,'Production cost'!$AU:$AU,0),11),"")+IFERROR(INDEX('Production cost'!$A:$AU,MATCH($C1451,'Production cost'!$AU:$AU,0),12),""),"")</f>
        <v/>
      </c>
      <c r="I1451" s="3153" t="str">
        <f ca="1">IFERROR(INDEX('Production cost'!$A:$AU,MATCH($C1451,'Production cost'!$AU:$AU,0),28)/'Production cost'!$E$2,"")</f>
        <v/>
      </c>
      <c r="J1451" s="3153" t="str">
        <f ca="1">IFERROR(INDEX('Production cost'!$A:$AU,MATCH($C1451,'Production cost'!$AU:$AU,0),28)/'Production cost'!$E$2,"")</f>
        <v/>
      </c>
    </row>
    <row r="1452" spans="2:10" ht="21.75">
      <c r="B1452" s="3143" t="s">
        <v>3654</v>
      </c>
      <c r="C1452" s="3143">
        <f t="shared" si="26"/>
        <v>107</v>
      </c>
      <c r="D1452" s="3143" t="str">
        <f ca="1">IFERROR(INDEX('Production cost'!$A:$AU,MATCH($C1452,'Production cost'!$AU:$AU,0),6),"")</f>
        <v/>
      </c>
      <c r="E1452" s="3143" t="str">
        <f ca="1">IFERROR(INDEX('Production cost'!$A:$AU,MATCH($C1452,'Production cost'!$AU:$AU,0),3),"")</f>
        <v/>
      </c>
      <c r="G1452" s="3153" t="str">
        <f ca="1">IFERROR(INDEX('Production cost'!$A:$AU,MATCH($C1452,'Production cost'!$AU:$AU,0),9),"")</f>
        <v/>
      </c>
      <c r="H1452" s="3599" t="str">
        <f ca="1">IFERROR(IFERROR(INDEX('Production cost'!$A:$AU,MATCH($C1452,'Production cost'!$AU:$AU,0),11),"")+IFERROR(INDEX('Production cost'!$A:$AU,MATCH($C1452,'Production cost'!$AU:$AU,0),12),""),"")</f>
        <v/>
      </c>
      <c r="I1452" s="3153" t="str">
        <f ca="1">IFERROR(INDEX('Production cost'!$A:$AU,MATCH($C1452,'Production cost'!$AU:$AU,0),28)/'Production cost'!$E$2,"")</f>
        <v/>
      </c>
      <c r="J1452" s="3153" t="str">
        <f ca="1">IFERROR(INDEX('Production cost'!$A:$AU,MATCH($C1452,'Production cost'!$AU:$AU,0),28)/'Production cost'!$E$2,"")</f>
        <v/>
      </c>
    </row>
    <row r="1453" spans="2:10" ht="21.75">
      <c r="B1453" s="3143" t="s">
        <v>3654</v>
      </c>
      <c r="C1453" s="3143">
        <f t="shared" si="26"/>
        <v>108</v>
      </c>
      <c r="D1453" s="3143" t="str">
        <f ca="1">IFERROR(INDEX('Production cost'!$A:$AU,MATCH($C1453,'Production cost'!$AU:$AU,0),6),"")</f>
        <v/>
      </c>
      <c r="E1453" s="3143" t="str">
        <f ca="1">IFERROR(INDEX('Production cost'!$A:$AU,MATCH($C1453,'Production cost'!$AU:$AU,0),3),"")</f>
        <v/>
      </c>
      <c r="G1453" s="3153" t="str">
        <f ca="1">IFERROR(INDEX('Production cost'!$A:$AU,MATCH($C1453,'Production cost'!$AU:$AU,0),9),"")</f>
        <v/>
      </c>
      <c r="H1453" s="3599" t="str">
        <f ca="1">IFERROR(IFERROR(INDEX('Production cost'!$A:$AU,MATCH($C1453,'Production cost'!$AU:$AU,0),11),"")+IFERROR(INDEX('Production cost'!$A:$AU,MATCH($C1453,'Production cost'!$AU:$AU,0),12),""),"")</f>
        <v/>
      </c>
      <c r="I1453" s="3153" t="str">
        <f ca="1">IFERROR(INDEX('Production cost'!$A:$AU,MATCH($C1453,'Production cost'!$AU:$AU,0),28)/'Production cost'!$E$2,"")</f>
        <v/>
      </c>
      <c r="J1453" s="3153" t="str">
        <f ca="1">IFERROR(INDEX('Production cost'!$A:$AU,MATCH($C1453,'Production cost'!$AU:$AU,0),28)/'Production cost'!$E$2,"")</f>
        <v/>
      </c>
    </row>
    <row r="1454" spans="2:10" ht="21.75">
      <c r="B1454" s="3143" t="s">
        <v>3654</v>
      </c>
      <c r="C1454" s="3143">
        <f t="shared" si="26"/>
        <v>109</v>
      </c>
      <c r="D1454" s="3143" t="str">
        <f ca="1">IFERROR(INDEX('Production cost'!$A:$AU,MATCH($C1454,'Production cost'!$AU:$AU,0),6),"")</f>
        <v/>
      </c>
      <c r="E1454" s="3143" t="str">
        <f ca="1">IFERROR(INDEX('Production cost'!$A:$AU,MATCH($C1454,'Production cost'!$AU:$AU,0),3),"")</f>
        <v/>
      </c>
      <c r="G1454" s="3153" t="str">
        <f ca="1">IFERROR(INDEX('Production cost'!$A:$AU,MATCH($C1454,'Production cost'!$AU:$AU,0),9),"")</f>
        <v/>
      </c>
      <c r="H1454" s="3599" t="str">
        <f ca="1">IFERROR(IFERROR(INDEX('Production cost'!$A:$AU,MATCH($C1454,'Production cost'!$AU:$AU,0),11),"")+IFERROR(INDEX('Production cost'!$A:$AU,MATCH($C1454,'Production cost'!$AU:$AU,0),12),""),"")</f>
        <v/>
      </c>
      <c r="I1454" s="3153" t="str">
        <f ca="1">IFERROR(INDEX('Production cost'!$A:$AU,MATCH($C1454,'Production cost'!$AU:$AU,0),28)/'Production cost'!$E$2,"")</f>
        <v/>
      </c>
      <c r="J1454" s="3153" t="str">
        <f ca="1">IFERROR(INDEX('Production cost'!$A:$AU,MATCH($C1454,'Production cost'!$AU:$AU,0),28)/'Production cost'!$E$2,"")</f>
        <v/>
      </c>
    </row>
    <row r="1455" spans="2:10" ht="21.75">
      <c r="B1455" s="3143" t="s">
        <v>3654</v>
      </c>
      <c r="C1455" s="3143">
        <f t="shared" si="26"/>
        <v>110</v>
      </c>
      <c r="D1455" s="3143" t="str">
        <f ca="1">IFERROR(INDEX('Production cost'!$A:$AU,MATCH($C1455,'Production cost'!$AU:$AU,0),6),"")</f>
        <v/>
      </c>
      <c r="E1455" s="3143" t="str">
        <f ca="1">IFERROR(INDEX('Production cost'!$A:$AU,MATCH($C1455,'Production cost'!$AU:$AU,0),3),"")</f>
        <v/>
      </c>
      <c r="G1455" s="3153" t="str">
        <f ca="1">IFERROR(INDEX('Production cost'!$A:$AU,MATCH($C1455,'Production cost'!$AU:$AU,0),9),"")</f>
        <v/>
      </c>
      <c r="H1455" s="3599" t="str">
        <f ca="1">IFERROR(IFERROR(INDEX('Production cost'!$A:$AU,MATCH($C1455,'Production cost'!$AU:$AU,0),11),"")+IFERROR(INDEX('Production cost'!$A:$AU,MATCH($C1455,'Production cost'!$AU:$AU,0),12),""),"")</f>
        <v/>
      </c>
      <c r="I1455" s="3153" t="str">
        <f ca="1">IFERROR(INDEX('Production cost'!$A:$AU,MATCH($C1455,'Production cost'!$AU:$AU,0),28)/'Production cost'!$E$2,"")</f>
        <v/>
      </c>
      <c r="J1455" s="3153" t="str">
        <f ca="1">IFERROR(INDEX('Production cost'!$A:$AU,MATCH($C1455,'Production cost'!$AU:$AU,0),28)/'Production cost'!$E$2,"")</f>
        <v/>
      </c>
    </row>
    <row r="1456" spans="2:10" ht="21.75">
      <c r="B1456" s="3143" t="s">
        <v>3654</v>
      </c>
      <c r="C1456" s="3143">
        <f t="shared" si="26"/>
        <v>111</v>
      </c>
      <c r="D1456" s="3143" t="str">
        <f ca="1">IFERROR(INDEX('Production cost'!$A:$AU,MATCH($C1456,'Production cost'!$AU:$AU,0),6),"")</f>
        <v/>
      </c>
      <c r="E1456" s="3143" t="str">
        <f ca="1">IFERROR(INDEX('Production cost'!$A:$AU,MATCH($C1456,'Production cost'!$AU:$AU,0),3),"")</f>
        <v/>
      </c>
      <c r="G1456" s="3153" t="str">
        <f ca="1">IFERROR(INDEX('Production cost'!$A:$AU,MATCH($C1456,'Production cost'!$AU:$AU,0),9),"")</f>
        <v/>
      </c>
      <c r="H1456" s="3599" t="str">
        <f ca="1">IFERROR(IFERROR(INDEX('Production cost'!$A:$AU,MATCH($C1456,'Production cost'!$AU:$AU,0),11),"")+IFERROR(INDEX('Production cost'!$A:$AU,MATCH($C1456,'Production cost'!$AU:$AU,0),12),""),"")</f>
        <v/>
      </c>
      <c r="I1456" s="3153" t="str">
        <f ca="1">IFERROR(INDEX('Production cost'!$A:$AU,MATCH($C1456,'Production cost'!$AU:$AU,0),28)/'Production cost'!$E$2,"")</f>
        <v/>
      </c>
      <c r="J1456" s="3153" t="str">
        <f ca="1">IFERROR(INDEX('Production cost'!$A:$AU,MATCH($C1456,'Production cost'!$AU:$AU,0),28)/'Production cost'!$E$2,"")</f>
        <v/>
      </c>
    </row>
    <row r="1457" spans="2:10" ht="21.75">
      <c r="B1457" s="3143" t="s">
        <v>3654</v>
      </c>
      <c r="C1457" s="3143">
        <f t="shared" si="26"/>
        <v>112</v>
      </c>
      <c r="D1457" s="3143" t="str">
        <f ca="1">IFERROR(INDEX('Production cost'!$A:$AU,MATCH($C1457,'Production cost'!$AU:$AU,0),6),"")</f>
        <v/>
      </c>
      <c r="E1457" s="3143" t="str">
        <f ca="1">IFERROR(INDEX('Production cost'!$A:$AU,MATCH($C1457,'Production cost'!$AU:$AU,0),3),"")</f>
        <v/>
      </c>
      <c r="G1457" s="3153" t="str">
        <f ca="1">IFERROR(INDEX('Production cost'!$A:$AU,MATCH($C1457,'Production cost'!$AU:$AU,0),9),"")</f>
        <v/>
      </c>
      <c r="H1457" s="3599" t="str">
        <f ca="1">IFERROR(IFERROR(INDEX('Production cost'!$A:$AU,MATCH($C1457,'Production cost'!$AU:$AU,0),11),"")+IFERROR(INDEX('Production cost'!$A:$AU,MATCH($C1457,'Production cost'!$AU:$AU,0),12),""),"")</f>
        <v/>
      </c>
      <c r="I1457" s="3153" t="str">
        <f ca="1">IFERROR(INDEX('Production cost'!$A:$AU,MATCH($C1457,'Production cost'!$AU:$AU,0),28)/'Production cost'!$E$2,"")</f>
        <v/>
      </c>
      <c r="J1457" s="3153" t="str">
        <f ca="1">IFERROR(INDEX('Production cost'!$A:$AU,MATCH($C1457,'Production cost'!$AU:$AU,0),28)/'Production cost'!$E$2,"")</f>
        <v/>
      </c>
    </row>
    <row r="1458" spans="2:10" ht="21.75">
      <c r="B1458" s="3143" t="s">
        <v>3654</v>
      </c>
      <c r="C1458" s="3143">
        <f t="shared" si="26"/>
        <v>113</v>
      </c>
      <c r="D1458" s="3143" t="str">
        <f ca="1">IFERROR(INDEX('Production cost'!$A:$AU,MATCH($C1458,'Production cost'!$AU:$AU,0),6),"")</f>
        <v/>
      </c>
      <c r="E1458" s="3143" t="str">
        <f ca="1">IFERROR(INDEX('Production cost'!$A:$AU,MATCH($C1458,'Production cost'!$AU:$AU,0),3),"")</f>
        <v/>
      </c>
      <c r="G1458" s="3153" t="str">
        <f ca="1">IFERROR(INDEX('Production cost'!$A:$AU,MATCH($C1458,'Production cost'!$AU:$AU,0),9),"")</f>
        <v/>
      </c>
      <c r="H1458" s="3599" t="str">
        <f ca="1">IFERROR(IFERROR(INDEX('Production cost'!$A:$AU,MATCH($C1458,'Production cost'!$AU:$AU,0),11),"")+IFERROR(INDEX('Production cost'!$A:$AU,MATCH($C1458,'Production cost'!$AU:$AU,0),12),""),"")</f>
        <v/>
      </c>
      <c r="I1458" s="3153" t="str">
        <f ca="1">IFERROR(INDEX('Production cost'!$A:$AU,MATCH($C1458,'Production cost'!$AU:$AU,0),28)/'Production cost'!$E$2,"")</f>
        <v/>
      </c>
      <c r="J1458" s="3153" t="str">
        <f ca="1">IFERROR(INDEX('Production cost'!$A:$AU,MATCH($C1458,'Production cost'!$AU:$AU,0),28)/'Production cost'!$E$2,"")</f>
        <v/>
      </c>
    </row>
    <row r="1459" spans="2:10" ht="21.75">
      <c r="B1459" s="3143" t="s">
        <v>3654</v>
      </c>
      <c r="C1459" s="3143">
        <f t="shared" si="26"/>
        <v>114</v>
      </c>
      <c r="D1459" s="3143" t="str">
        <f ca="1">IFERROR(INDEX('Production cost'!$A:$AU,MATCH($C1459,'Production cost'!$AU:$AU,0),6),"")</f>
        <v/>
      </c>
      <c r="E1459" s="3143" t="str">
        <f ca="1">IFERROR(INDEX('Production cost'!$A:$AU,MATCH($C1459,'Production cost'!$AU:$AU,0),3),"")</f>
        <v/>
      </c>
      <c r="G1459" s="3153" t="str">
        <f ca="1">IFERROR(INDEX('Production cost'!$A:$AU,MATCH($C1459,'Production cost'!$AU:$AU,0),9),"")</f>
        <v/>
      </c>
      <c r="H1459" s="3599" t="str">
        <f ca="1">IFERROR(IFERROR(INDEX('Production cost'!$A:$AU,MATCH($C1459,'Production cost'!$AU:$AU,0),11),"")+IFERROR(INDEX('Production cost'!$A:$AU,MATCH($C1459,'Production cost'!$AU:$AU,0),12),""),"")</f>
        <v/>
      </c>
      <c r="I1459" s="3153" t="str">
        <f ca="1">IFERROR(INDEX('Production cost'!$A:$AU,MATCH($C1459,'Production cost'!$AU:$AU,0),28)/'Production cost'!$E$2,"")</f>
        <v/>
      </c>
      <c r="J1459" s="3153" t="str">
        <f ca="1">IFERROR(INDEX('Production cost'!$A:$AU,MATCH($C1459,'Production cost'!$AU:$AU,0),28)/'Production cost'!$E$2,"")</f>
        <v/>
      </c>
    </row>
    <row r="1460" spans="2:10" ht="21.75">
      <c r="B1460" s="3143" t="s">
        <v>3654</v>
      </c>
      <c r="C1460" s="3143">
        <f t="shared" si="26"/>
        <v>115</v>
      </c>
      <c r="D1460" s="3143" t="str">
        <f ca="1">IFERROR(INDEX('Production cost'!$A:$AU,MATCH($C1460,'Production cost'!$AU:$AU,0),6),"")</f>
        <v/>
      </c>
      <c r="E1460" s="3143" t="str">
        <f ca="1">IFERROR(INDEX('Production cost'!$A:$AU,MATCH($C1460,'Production cost'!$AU:$AU,0),3),"")</f>
        <v/>
      </c>
      <c r="G1460" s="3153" t="str">
        <f ca="1">IFERROR(INDEX('Production cost'!$A:$AU,MATCH($C1460,'Production cost'!$AU:$AU,0),9),"")</f>
        <v/>
      </c>
      <c r="H1460" s="3599" t="str">
        <f ca="1">IFERROR(IFERROR(INDEX('Production cost'!$A:$AU,MATCH($C1460,'Production cost'!$AU:$AU,0),11),"")+IFERROR(INDEX('Production cost'!$A:$AU,MATCH($C1460,'Production cost'!$AU:$AU,0),12),""),"")</f>
        <v/>
      </c>
      <c r="I1460" s="3153" t="str">
        <f ca="1">IFERROR(INDEX('Production cost'!$A:$AU,MATCH($C1460,'Production cost'!$AU:$AU,0),28)/'Production cost'!$E$2,"")</f>
        <v/>
      </c>
      <c r="J1460" s="3153" t="str">
        <f ca="1">IFERROR(INDEX('Production cost'!$A:$AU,MATCH($C1460,'Production cost'!$AU:$AU,0),28)/'Production cost'!$E$2,"")</f>
        <v/>
      </c>
    </row>
    <row r="1461" spans="2:10" ht="21.75">
      <c r="B1461" s="3143" t="s">
        <v>3654</v>
      </c>
      <c r="C1461" s="3143">
        <f t="shared" si="26"/>
        <v>116</v>
      </c>
      <c r="D1461" s="3143" t="str">
        <f ca="1">IFERROR(INDEX('Production cost'!$A:$AU,MATCH($C1461,'Production cost'!$AU:$AU,0),6),"")</f>
        <v/>
      </c>
      <c r="E1461" s="3143" t="str">
        <f ca="1">IFERROR(INDEX('Production cost'!$A:$AU,MATCH($C1461,'Production cost'!$AU:$AU,0),3),"")</f>
        <v/>
      </c>
      <c r="G1461" s="3153" t="str">
        <f ca="1">IFERROR(INDEX('Production cost'!$A:$AU,MATCH($C1461,'Production cost'!$AU:$AU,0),9),"")</f>
        <v/>
      </c>
      <c r="H1461" s="3599" t="str">
        <f ca="1">IFERROR(IFERROR(INDEX('Production cost'!$A:$AU,MATCH($C1461,'Production cost'!$AU:$AU,0),11),"")+IFERROR(INDEX('Production cost'!$A:$AU,MATCH($C1461,'Production cost'!$AU:$AU,0),12),""),"")</f>
        <v/>
      </c>
      <c r="I1461" s="3153" t="str">
        <f ca="1">IFERROR(INDEX('Production cost'!$A:$AU,MATCH($C1461,'Production cost'!$AU:$AU,0),28)/'Production cost'!$E$2,"")</f>
        <v/>
      </c>
      <c r="J1461" s="3153" t="str">
        <f ca="1">IFERROR(INDEX('Production cost'!$A:$AU,MATCH($C1461,'Production cost'!$AU:$AU,0),28)/'Production cost'!$E$2,"")</f>
        <v/>
      </c>
    </row>
    <row r="1462" spans="2:10" ht="21.75">
      <c r="B1462" s="3143" t="s">
        <v>3654</v>
      </c>
      <c r="C1462" s="3143">
        <f t="shared" si="26"/>
        <v>117</v>
      </c>
      <c r="D1462" s="3143" t="str">
        <f ca="1">IFERROR(INDEX('Production cost'!$A:$AU,MATCH($C1462,'Production cost'!$AU:$AU,0),6),"")</f>
        <v/>
      </c>
      <c r="E1462" s="3143" t="str">
        <f ca="1">IFERROR(INDEX('Production cost'!$A:$AU,MATCH($C1462,'Production cost'!$AU:$AU,0),3),"")</f>
        <v/>
      </c>
      <c r="G1462" s="3153" t="str">
        <f ca="1">IFERROR(INDEX('Production cost'!$A:$AU,MATCH($C1462,'Production cost'!$AU:$AU,0),9),"")</f>
        <v/>
      </c>
      <c r="H1462" s="3599" t="str">
        <f ca="1">IFERROR(IFERROR(INDEX('Production cost'!$A:$AU,MATCH($C1462,'Production cost'!$AU:$AU,0),11),"")+IFERROR(INDEX('Production cost'!$A:$AU,MATCH($C1462,'Production cost'!$AU:$AU,0),12),""),"")</f>
        <v/>
      </c>
      <c r="I1462" s="3153" t="str">
        <f ca="1">IFERROR(INDEX('Production cost'!$A:$AU,MATCH($C1462,'Production cost'!$AU:$AU,0),28)/'Production cost'!$E$2,"")</f>
        <v/>
      </c>
      <c r="J1462" s="3153" t="str">
        <f ca="1">IFERROR(INDEX('Production cost'!$A:$AU,MATCH($C1462,'Production cost'!$AU:$AU,0),28)/'Production cost'!$E$2,"")</f>
        <v/>
      </c>
    </row>
    <row r="1463" spans="2:10" ht="21.75">
      <c r="B1463" s="3143" t="s">
        <v>3654</v>
      </c>
      <c r="C1463" s="3143">
        <f t="shared" si="26"/>
        <v>118</v>
      </c>
      <c r="D1463" s="3143" t="str">
        <f ca="1">IFERROR(INDEX('Production cost'!$A:$AU,MATCH($C1463,'Production cost'!$AU:$AU,0),6),"")</f>
        <v/>
      </c>
      <c r="E1463" s="3143" t="str">
        <f ca="1">IFERROR(INDEX('Production cost'!$A:$AU,MATCH($C1463,'Production cost'!$AU:$AU,0),3),"")</f>
        <v/>
      </c>
      <c r="G1463" s="3153" t="str">
        <f ca="1">IFERROR(INDEX('Production cost'!$A:$AU,MATCH($C1463,'Production cost'!$AU:$AU,0),9),"")</f>
        <v/>
      </c>
      <c r="H1463" s="3599" t="str">
        <f ca="1">IFERROR(IFERROR(INDEX('Production cost'!$A:$AU,MATCH($C1463,'Production cost'!$AU:$AU,0),11),"")+IFERROR(INDEX('Production cost'!$A:$AU,MATCH($C1463,'Production cost'!$AU:$AU,0),12),""),"")</f>
        <v/>
      </c>
      <c r="I1463" s="3153" t="str">
        <f ca="1">IFERROR(INDEX('Production cost'!$A:$AU,MATCH($C1463,'Production cost'!$AU:$AU,0),28)/'Production cost'!$E$2,"")</f>
        <v/>
      </c>
      <c r="J1463" s="3153" t="str">
        <f ca="1">IFERROR(INDEX('Production cost'!$A:$AU,MATCH($C1463,'Production cost'!$AU:$AU,0),28)/'Production cost'!$E$2,"")</f>
        <v/>
      </c>
    </row>
    <row r="1464" spans="2:10" ht="21.75">
      <c r="B1464" s="3143" t="s">
        <v>3654</v>
      </c>
      <c r="C1464" s="3143">
        <f t="shared" si="26"/>
        <v>119</v>
      </c>
      <c r="D1464" s="3143" t="str">
        <f ca="1">IFERROR(INDEX('Production cost'!$A:$AU,MATCH($C1464,'Production cost'!$AU:$AU,0),6),"")</f>
        <v/>
      </c>
      <c r="E1464" s="3143" t="str">
        <f ca="1">IFERROR(INDEX('Production cost'!$A:$AU,MATCH($C1464,'Production cost'!$AU:$AU,0),3),"")</f>
        <v/>
      </c>
      <c r="G1464" s="3153" t="str">
        <f ca="1">IFERROR(INDEX('Production cost'!$A:$AU,MATCH($C1464,'Production cost'!$AU:$AU,0),9),"")</f>
        <v/>
      </c>
      <c r="H1464" s="3599" t="str">
        <f ca="1">IFERROR(IFERROR(INDEX('Production cost'!$A:$AU,MATCH($C1464,'Production cost'!$AU:$AU,0),11),"")+IFERROR(INDEX('Production cost'!$A:$AU,MATCH($C1464,'Production cost'!$AU:$AU,0),12),""),"")</f>
        <v/>
      </c>
      <c r="I1464" s="3153" t="str">
        <f ca="1">IFERROR(INDEX('Production cost'!$A:$AU,MATCH($C1464,'Production cost'!$AU:$AU,0),28)/'Production cost'!$E$2,"")</f>
        <v/>
      </c>
      <c r="J1464" s="3153" t="str">
        <f ca="1">IFERROR(INDEX('Production cost'!$A:$AU,MATCH($C1464,'Production cost'!$AU:$AU,0),28)/'Production cost'!$E$2,"")</f>
        <v/>
      </c>
    </row>
    <row r="1465" spans="2:10" ht="21.75">
      <c r="B1465" s="3143" t="s">
        <v>3654</v>
      </c>
      <c r="C1465" s="3143">
        <f t="shared" si="26"/>
        <v>120</v>
      </c>
      <c r="D1465" s="3143" t="str">
        <f ca="1">IFERROR(INDEX('Production cost'!$A:$AU,MATCH($C1465,'Production cost'!$AU:$AU,0),6),"")</f>
        <v/>
      </c>
      <c r="E1465" s="3143" t="str">
        <f ca="1">IFERROR(INDEX('Production cost'!$A:$AU,MATCH($C1465,'Production cost'!$AU:$AU,0),3),"")</f>
        <v/>
      </c>
      <c r="G1465" s="3153" t="str">
        <f ca="1">IFERROR(INDEX('Production cost'!$A:$AU,MATCH($C1465,'Production cost'!$AU:$AU,0),9),"")</f>
        <v/>
      </c>
      <c r="H1465" s="3599" t="str">
        <f ca="1">IFERROR(IFERROR(INDEX('Production cost'!$A:$AU,MATCH($C1465,'Production cost'!$AU:$AU,0),11),"")+IFERROR(INDEX('Production cost'!$A:$AU,MATCH($C1465,'Production cost'!$AU:$AU,0),12),""),"")</f>
        <v/>
      </c>
      <c r="I1465" s="3153" t="str">
        <f ca="1">IFERROR(INDEX('Production cost'!$A:$AU,MATCH($C1465,'Production cost'!$AU:$AU,0),28)/'Production cost'!$E$2,"")</f>
        <v/>
      </c>
      <c r="J1465" s="3153" t="str">
        <f ca="1">IFERROR(INDEX('Production cost'!$A:$AU,MATCH($C1465,'Production cost'!$AU:$AU,0),28)/'Production cost'!$E$2,"")</f>
        <v/>
      </c>
    </row>
    <row r="1466" spans="2:10" ht="21.75">
      <c r="B1466" s="3143" t="s">
        <v>3654</v>
      </c>
      <c r="C1466" s="3143">
        <f t="shared" si="26"/>
        <v>121</v>
      </c>
      <c r="D1466" s="3143" t="str">
        <f ca="1">IFERROR(INDEX('Production cost'!$A:$AU,MATCH($C1466,'Production cost'!$AU:$AU,0),6),"")</f>
        <v/>
      </c>
      <c r="E1466" s="3143" t="str">
        <f ca="1">IFERROR(INDEX('Production cost'!$A:$AU,MATCH($C1466,'Production cost'!$AU:$AU,0),3),"")</f>
        <v/>
      </c>
      <c r="G1466" s="3153" t="str">
        <f ca="1">IFERROR(INDEX('Production cost'!$A:$AU,MATCH($C1466,'Production cost'!$AU:$AU,0),9),"")</f>
        <v/>
      </c>
      <c r="H1466" s="3599" t="str">
        <f ca="1">IFERROR(IFERROR(INDEX('Production cost'!$A:$AU,MATCH($C1466,'Production cost'!$AU:$AU,0),11),"")+IFERROR(INDEX('Production cost'!$A:$AU,MATCH($C1466,'Production cost'!$AU:$AU,0),12),""),"")</f>
        <v/>
      </c>
      <c r="I1466" s="3153" t="str">
        <f ca="1">IFERROR(INDEX('Production cost'!$A:$AU,MATCH($C1466,'Production cost'!$AU:$AU,0),28)/'Production cost'!$E$2,"")</f>
        <v/>
      </c>
      <c r="J1466" s="3153" t="str">
        <f ca="1">IFERROR(INDEX('Production cost'!$A:$AU,MATCH($C1466,'Production cost'!$AU:$AU,0),28)/'Production cost'!$E$2,"")</f>
        <v/>
      </c>
    </row>
    <row r="1467" spans="2:10" ht="21.75">
      <c r="B1467" s="3143" t="s">
        <v>3654</v>
      </c>
      <c r="C1467" s="3143">
        <f t="shared" si="26"/>
        <v>122</v>
      </c>
      <c r="D1467" s="3143" t="str">
        <f ca="1">IFERROR(INDEX('Production cost'!$A:$AU,MATCH($C1467,'Production cost'!$AU:$AU,0),6),"")</f>
        <v/>
      </c>
      <c r="E1467" s="3143" t="str">
        <f ca="1">IFERROR(INDEX('Production cost'!$A:$AU,MATCH($C1467,'Production cost'!$AU:$AU,0),3),"")</f>
        <v/>
      </c>
      <c r="G1467" s="3153" t="str">
        <f ca="1">IFERROR(INDEX('Production cost'!$A:$AU,MATCH($C1467,'Production cost'!$AU:$AU,0),9),"")</f>
        <v/>
      </c>
      <c r="H1467" s="3599" t="str">
        <f ca="1">IFERROR(IFERROR(INDEX('Production cost'!$A:$AU,MATCH($C1467,'Production cost'!$AU:$AU,0),11),"")+IFERROR(INDEX('Production cost'!$A:$AU,MATCH($C1467,'Production cost'!$AU:$AU,0),12),""),"")</f>
        <v/>
      </c>
      <c r="I1467" s="3153" t="str">
        <f ca="1">IFERROR(INDEX('Production cost'!$A:$AU,MATCH($C1467,'Production cost'!$AU:$AU,0),28)/'Production cost'!$E$2,"")</f>
        <v/>
      </c>
      <c r="J1467" s="3153" t="str">
        <f ca="1">IFERROR(INDEX('Production cost'!$A:$AU,MATCH($C1467,'Production cost'!$AU:$AU,0),28)/'Production cost'!$E$2,"")</f>
        <v/>
      </c>
    </row>
    <row r="1468" spans="2:10" ht="21.75">
      <c r="B1468" s="3143" t="s">
        <v>3654</v>
      </c>
      <c r="C1468" s="3143">
        <f t="shared" si="26"/>
        <v>123</v>
      </c>
      <c r="D1468" s="3143" t="str">
        <f ca="1">IFERROR(INDEX('Production cost'!$A:$AU,MATCH($C1468,'Production cost'!$AU:$AU,0),6),"")</f>
        <v/>
      </c>
      <c r="E1468" s="3143" t="str">
        <f ca="1">IFERROR(INDEX('Production cost'!$A:$AU,MATCH($C1468,'Production cost'!$AU:$AU,0),3),"")</f>
        <v/>
      </c>
      <c r="G1468" s="3153" t="str">
        <f ca="1">IFERROR(INDEX('Production cost'!$A:$AU,MATCH($C1468,'Production cost'!$AU:$AU,0),9),"")</f>
        <v/>
      </c>
      <c r="H1468" s="3599" t="str">
        <f ca="1">IFERROR(IFERROR(INDEX('Production cost'!$A:$AU,MATCH($C1468,'Production cost'!$AU:$AU,0),11),"")+IFERROR(INDEX('Production cost'!$A:$AU,MATCH($C1468,'Production cost'!$AU:$AU,0),12),""),"")</f>
        <v/>
      </c>
      <c r="I1468" s="3153" t="str">
        <f ca="1">IFERROR(INDEX('Production cost'!$A:$AU,MATCH($C1468,'Production cost'!$AU:$AU,0),28)/'Production cost'!$E$2,"")</f>
        <v/>
      </c>
      <c r="J1468" s="3153" t="str">
        <f ca="1">IFERROR(INDEX('Production cost'!$A:$AU,MATCH($C1468,'Production cost'!$AU:$AU,0),28)/'Production cost'!$E$2,"")</f>
        <v/>
      </c>
    </row>
    <row r="1469" spans="2:10" ht="21.75">
      <c r="B1469" s="3143" t="s">
        <v>3654</v>
      </c>
      <c r="C1469" s="3143">
        <f t="shared" si="26"/>
        <v>124</v>
      </c>
      <c r="D1469" s="3143" t="str">
        <f ca="1">IFERROR(INDEX('Production cost'!$A:$AU,MATCH($C1469,'Production cost'!$AU:$AU,0),6),"")</f>
        <v/>
      </c>
      <c r="E1469" s="3143" t="str">
        <f ca="1">IFERROR(INDEX('Production cost'!$A:$AU,MATCH($C1469,'Production cost'!$AU:$AU,0),3),"")</f>
        <v/>
      </c>
      <c r="G1469" s="3153" t="str">
        <f ca="1">IFERROR(INDEX('Production cost'!$A:$AU,MATCH($C1469,'Production cost'!$AU:$AU,0),9),"")</f>
        <v/>
      </c>
      <c r="H1469" s="3599" t="str">
        <f ca="1">IFERROR(IFERROR(INDEX('Production cost'!$A:$AU,MATCH($C1469,'Production cost'!$AU:$AU,0),11),"")+IFERROR(INDEX('Production cost'!$A:$AU,MATCH($C1469,'Production cost'!$AU:$AU,0),12),""),"")</f>
        <v/>
      </c>
      <c r="I1469" s="3153" t="str">
        <f ca="1">IFERROR(INDEX('Production cost'!$A:$AU,MATCH($C1469,'Production cost'!$AU:$AU,0),28)/'Production cost'!$E$2,"")</f>
        <v/>
      </c>
      <c r="J1469" s="3153" t="str">
        <f ca="1">IFERROR(INDEX('Production cost'!$A:$AU,MATCH($C1469,'Production cost'!$AU:$AU,0),28)/'Production cost'!$E$2,"")</f>
        <v/>
      </c>
    </row>
    <row r="1470" spans="2:10" ht="21.75">
      <c r="B1470" s="3143" t="s">
        <v>3654</v>
      </c>
      <c r="C1470" s="3143">
        <f t="shared" si="26"/>
        <v>125</v>
      </c>
      <c r="D1470" s="3143" t="str">
        <f ca="1">IFERROR(INDEX('Production cost'!$A:$AU,MATCH($C1470,'Production cost'!$AU:$AU,0),6),"")</f>
        <v/>
      </c>
      <c r="E1470" s="3143" t="str">
        <f ca="1">IFERROR(INDEX('Production cost'!$A:$AU,MATCH($C1470,'Production cost'!$AU:$AU,0),3),"")</f>
        <v/>
      </c>
      <c r="G1470" s="3153" t="str">
        <f ca="1">IFERROR(INDEX('Production cost'!$A:$AU,MATCH($C1470,'Production cost'!$AU:$AU,0),9),"")</f>
        <v/>
      </c>
      <c r="H1470" s="3599" t="str">
        <f ca="1">IFERROR(IFERROR(INDEX('Production cost'!$A:$AU,MATCH($C1470,'Production cost'!$AU:$AU,0),11),"")+IFERROR(INDEX('Production cost'!$A:$AU,MATCH($C1470,'Production cost'!$AU:$AU,0),12),""),"")</f>
        <v/>
      </c>
      <c r="I1470" s="3153" t="str">
        <f ca="1">IFERROR(INDEX('Production cost'!$A:$AU,MATCH($C1470,'Production cost'!$AU:$AU,0),28)/'Production cost'!$E$2,"")</f>
        <v/>
      </c>
      <c r="J1470" s="3153" t="str">
        <f ca="1">IFERROR(INDEX('Production cost'!$A:$AU,MATCH($C1470,'Production cost'!$AU:$AU,0),28)/'Production cost'!$E$2,"")</f>
        <v/>
      </c>
    </row>
    <row r="1471" spans="2:10" ht="21.75">
      <c r="B1471" s="3143" t="s">
        <v>3654</v>
      </c>
      <c r="C1471" s="3143">
        <f t="shared" si="26"/>
        <v>126</v>
      </c>
      <c r="D1471" s="3143" t="str">
        <f ca="1">IFERROR(INDEX('Production cost'!$A:$AU,MATCH($C1471,'Production cost'!$AU:$AU,0),6),"")</f>
        <v/>
      </c>
      <c r="E1471" s="3143" t="str">
        <f ca="1">IFERROR(INDEX('Production cost'!$A:$AU,MATCH($C1471,'Production cost'!$AU:$AU,0),3),"")</f>
        <v/>
      </c>
      <c r="G1471" s="3153" t="str">
        <f ca="1">IFERROR(INDEX('Production cost'!$A:$AU,MATCH($C1471,'Production cost'!$AU:$AU,0),9),"")</f>
        <v/>
      </c>
      <c r="H1471" s="3599" t="str">
        <f ca="1">IFERROR(IFERROR(INDEX('Production cost'!$A:$AU,MATCH($C1471,'Production cost'!$AU:$AU,0),11),"")+IFERROR(INDEX('Production cost'!$A:$AU,MATCH($C1471,'Production cost'!$AU:$AU,0),12),""),"")</f>
        <v/>
      </c>
      <c r="I1471" s="3153" t="str">
        <f ca="1">IFERROR(INDEX('Production cost'!$A:$AU,MATCH($C1471,'Production cost'!$AU:$AU,0),28)/'Production cost'!$E$2,"")</f>
        <v/>
      </c>
      <c r="J1471" s="3153" t="str">
        <f ca="1">IFERROR(INDEX('Production cost'!$A:$AU,MATCH($C1471,'Production cost'!$AU:$AU,0),28)/'Production cost'!$E$2,"")</f>
        <v/>
      </c>
    </row>
    <row r="1472" spans="2:10" ht="21.75">
      <c r="B1472" s="3143" t="s">
        <v>3654</v>
      </c>
      <c r="C1472" s="3143">
        <f t="shared" si="26"/>
        <v>127</v>
      </c>
      <c r="D1472" s="3143" t="str">
        <f ca="1">IFERROR(INDEX('Production cost'!$A:$AU,MATCH($C1472,'Production cost'!$AU:$AU,0),6),"")</f>
        <v/>
      </c>
      <c r="E1472" s="3143" t="str">
        <f ca="1">IFERROR(INDEX('Production cost'!$A:$AU,MATCH($C1472,'Production cost'!$AU:$AU,0),3),"")</f>
        <v/>
      </c>
      <c r="G1472" s="3153" t="str">
        <f ca="1">IFERROR(INDEX('Production cost'!$A:$AU,MATCH($C1472,'Production cost'!$AU:$AU,0),9),"")</f>
        <v/>
      </c>
      <c r="H1472" s="3599" t="str">
        <f ca="1">IFERROR(IFERROR(INDEX('Production cost'!$A:$AU,MATCH($C1472,'Production cost'!$AU:$AU,0),11),"")+IFERROR(INDEX('Production cost'!$A:$AU,MATCH($C1472,'Production cost'!$AU:$AU,0),12),""),"")</f>
        <v/>
      </c>
      <c r="I1472" s="3153" t="str">
        <f ca="1">IFERROR(INDEX('Production cost'!$A:$AU,MATCH($C1472,'Production cost'!$AU:$AU,0),28)/'Production cost'!$E$2,"")</f>
        <v/>
      </c>
      <c r="J1472" s="3153" t="str">
        <f ca="1">IFERROR(INDEX('Production cost'!$A:$AU,MATCH($C1472,'Production cost'!$AU:$AU,0),28)/'Production cost'!$E$2,"")</f>
        <v/>
      </c>
    </row>
    <row r="1473" spans="2:10" ht="21.75">
      <c r="B1473" s="3143" t="s">
        <v>3654</v>
      </c>
      <c r="C1473" s="3143">
        <f t="shared" si="26"/>
        <v>128</v>
      </c>
      <c r="D1473" s="3143" t="str">
        <f ca="1">IFERROR(INDEX('Production cost'!$A:$AU,MATCH($C1473,'Production cost'!$AU:$AU,0),6),"")</f>
        <v/>
      </c>
      <c r="E1473" s="3143" t="str">
        <f ca="1">IFERROR(INDEX('Production cost'!$A:$AU,MATCH($C1473,'Production cost'!$AU:$AU,0),3),"")</f>
        <v/>
      </c>
      <c r="G1473" s="3153" t="str">
        <f ca="1">IFERROR(INDEX('Production cost'!$A:$AU,MATCH($C1473,'Production cost'!$AU:$AU,0),9),"")</f>
        <v/>
      </c>
      <c r="H1473" s="3599" t="str">
        <f ca="1">IFERROR(IFERROR(INDEX('Production cost'!$A:$AU,MATCH($C1473,'Production cost'!$AU:$AU,0),11),"")+IFERROR(INDEX('Production cost'!$A:$AU,MATCH($C1473,'Production cost'!$AU:$AU,0),12),""),"")</f>
        <v/>
      </c>
      <c r="I1473" s="3153" t="str">
        <f ca="1">IFERROR(INDEX('Production cost'!$A:$AU,MATCH($C1473,'Production cost'!$AU:$AU,0),28)/'Production cost'!$E$2,"")</f>
        <v/>
      </c>
      <c r="J1473" s="3153" t="str">
        <f ca="1">IFERROR(INDEX('Production cost'!$A:$AU,MATCH($C1473,'Production cost'!$AU:$AU,0),28)/'Production cost'!$E$2,"")</f>
        <v/>
      </c>
    </row>
    <row r="1474" spans="2:10" ht="21.75">
      <c r="B1474" s="3143" t="s">
        <v>3654</v>
      </c>
      <c r="C1474" s="3143">
        <f t="shared" si="26"/>
        <v>129</v>
      </c>
      <c r="D1474" s="3143" t="str">
        <f ca="1">IFERROR(INDEX('Production cost'!$A:$AU,MATCH($C1474,'Production cost'!$AU:$AU,0),6),"")</f>
        <v/>
      </c>
      <c r="E1474" s="3143" t="str">
        <f ca="1">IFERROR(INDEX('Production cost'!$A:$AU,MATCH($C1474,'Production cost'!$AU:$AU,0),3),"")</f>
        <v/>
      </c>
      <c r="G1474" s="3153" t="str">
        <f ca="1">IFERROR(INDEX('Production cost'!$A:$AU,MATCH($C1474,'Production cost'!$AU:$AU,0),9),"")</f>
        <v/>
      </c>
      <c r="H1474" s="3599" t="str">
        <f ca="1">IFERROR(IFERROR(INDEX('Production cost'!$A:$AU,MATCH($C1474,'Production cost'!$AU:$AU,0),11),"")+IFERROR(INDEX('Production cost'!$A:$AU,MATCH($C1474,'Production cost'!$AU:$AU,0),12),""),"")</f>
        <v/>
      </c>
      <c r="I1474" s="3153" t="str">
        <f ca="1">IFERROR(INDEX('Production cost'!$A:$AU,MATCH($C1474,'Production cost'!$AU:$AU,0),28)/'Production cost'!$E$2,"")</f>
        <v/>
      </c>
      <c r="J1474" s="3153" t="str">
        <f ca="1">IFERROR(INDEX('Production cost'!$A:$AU,MATCH($C1474,'Production cost'!$AU:$AU,0),28)/'Production cost'!$E$2,"")</f>
        <v/>
      </c>
    </row>
    <row r="1475" spans="2:10" ht="21.75">
      <c r="B1475" s="3143" t="s">
        <v>3654</v>
      </c>
      <c r="C1475" s="3143">
        <f t="shared" si="26"/>
        <v>130</v>
      </c>
      <c r="D1475" s="3143" t="str">
        <f ca="1">IFERROR(INDEX('Production cost'!$A:$AU,MATCH($C1475,'Production cost'!$AU:$AU,0),6),"")</f>
        <v/>
      </c>
      <c r="E1475" s="3143" t="str">
        <f ca="1">IFERROR(INDEX('Production cost'!$A:$AU,MATCH($C1475,'Production cost'!$AU:$AU,0),3),"")</f>
        <v/>
      </c>
      <c r="G1475" s="3153" t="str">
        <f ca="1">IFERROR(INDEX('Production cost'!$A:$AU,MATCH($C1475,'Production cost'!$AU:$AU,0),9),"")</f>
        <v/>
      </c>
      <c r="H1475" s="3599" t="str">
        <f ca="1">IFERROR(IFERROR(INDEX('Production cost'!$A:$AU,MATCH($C1475,'Production cost'!$AU:$AU,0),11),"")+IFERROR(INDEX('Production cost'!$A:$AU,MATCH($C1475,'Production cost'!$AU:$AU,0),12),""),"")</f>
        <v/>
      </c>
      <c r="I1475" s="3153" t="str">
        <f ca="1">IFERROR(INDEX('Production cost'!$A:$AU,MATCH($C1475,'Production cost'!$AU:$AU,0),28)/'Production cost'!$E$2,"")</f>
        <v/>
      </c>
      <c r="J1475" s="3153" t="str">
        <f ca="1">IFERROR(INDEX('Production cost'!$A:$AU,MATCH($C1475,'Production cost'!$AU:$AU,0),28)/'Production cost'!$E$2,"")</f>
        <v/>
      </c>
    </row>
    <row r="1476" spans="2:10" ht="21.75">
      <c r="B1476" s="3143" t="s">
        <v>3654</v>
      </c>
      <c r="C1476" s="3143">
        <f t="shared" ref="C1476:C1539" si="27">C1475+1</f>
        <v>131</v>
      </c>
      <c r="D1476" s="3143" t="str">
        <f ca="1">IFERROR(INDEX('Production cost'!$A:$AU,MATCH($C1476,'Production cost'!$AU:$AU,0),6),"")</f>
        <v/>
      </c>
      <c r="E1476" s="3143" t="str">
        <f ca="1">IFERROR(INDEX('Production cost'!$A:$AU,MATCH($C1476,'Production cost'!$AU:$AU,0),3),"")</f>
        <v/>
      </c>
      <c r="G1476" s="3153" t="str">
        <f ca="1">IFERROR(INDEX('Production cost'!$A:$AU,MATCH($C1476,'Production cost'!$AU:$AU,0),9),"")</f>
        <v/>
      </c>
      <c r="H1476" s="3599" t="str">
        <f ca="1">IFERROR(IFERROR(INDEX('Production cost'!$A:$AU,MATCH($C1476,'Production cost'!$AU:$AU,0),11),"")+IFERROR(INDEX('Production cost'!$A:$AU,MATCH($C1476,'Production cost'!$AU:$AU,0),12),""),"")</f>
        <v/>
      </c>
      <c r="I1476" s="3153" t="str">
        <f ca="1">IFERROR(INDEX('Production cost'!$A:$AU,MATCH($C1476,'Production cost'!$AU:$AU,0),28)/'Production cost'!$E$2,"")</f>
        <v/>
      </c>
      <c r="J1476" s="3153" t="str">
        <f ca="1">IFERROR(INDEX('Production cost'!$A:$AU,MATCH($C1476,'Production cost'!$AU:$AU,0),28)/'Production cost'!$E$2,"")</f>
        <v/>
      </c>
    </row>
    <row r="1477" spans="2:10" ht="21.75">
      <c r="B1477" s="3143" t="s">
        <v>3654</v>
      </c>
      <c r="C1477" s="3143">
        <f t="shared" si="27"/>
        <v>132</v>
      </c>
      <c r="D1477" s="3143" t="str">
        <f ca="1">IFERROR(INDEX('Production cost'!$A:$AU,MATCH($C1477,'Production cost'!$AU:$AU,0),6),"")</f>
        <v/>
      </c>
      <c r="E1477" s="3143" t="str">
        <f ca="1">IFERROR(INDEX('Production cost'!$A:$AU,MATCH($C1477,'Production cost'!$AU:$AU,0),3),"")</f>
        <v/>
      </c>
      <c r="G1477" s="3153" t="str">
        <f ca="1">IFERROR(INDEX('Production cost'!$A:$AU,MATCH($C1477,'Production cost'!$AU:$AU,0),9),"")</f>
        <v/>
      </c>
      <c r="H1477" s="3599" t="str">
        <f ca="1">IFERROR(IFERROR(INDEX('Production cost'!$A:$AU,MATCH($C1477,'Production cost'!$AU:$AU,0),11),"")+IFERROR(INDEX('Production cost'!$A:$AU,MATCH($C1477,'Production cost'!$AU:$AU,0),12),""),"")</f>
        <v/>
      </c>
      <c r="I1477" s="3153" t="str">
        <f ca="1">IFERROR(INDEX('Production cost'!$A:$AU,MATCH($C1477,'Production cost'!$AU:$AU,0),28)/'Production cost'!$E$2,"")</f>
        <v/>
      </c>
      <c r="J1477" s="3153" t="str">
        <f ca="1">IFERROR(INDEX('Production cost'!$A:$AU,MATCH($C1477,'Production cost'!$AU:$AU,0),28)/'Production cost'!$E$2,"")</f>
        <v/>
      </c>
    </row>
    <row r="1478" spans="2:10" ht="21.75">
      <c r="B1478" s="3143" t="s">
        <v>3654</v>
      </c>
      <c r="C1478" s="3143">
        <f t="shared" si="27"/>
        <v>133</v>
      </c>
      <c r="D1478" s="3143" t="str">
        <f ca="1">IFERROR(INDEX('Production cost'!$A:$AU,MATCH($C1478,'Production cost'!$AU:$AU,0),6),"")</f>
        <v/>
      </c>
      <c r="E1478" s="3143" t="str">
        <f ca="1">IFERROR(INDEX('Production cost'!$A:$AU,MATCH($C1478,'Production cost'!$AU:$AU,0),3),"")</f>
        <v/>
      </c>
      <c r="G1478" s="3153" t="str">
        <f ca="1">IFERROR(INDEX('Production cost'!$A:$AU,MATCH($C1478,'Production cost'!$AU:$AU,0),9),"")</f>
        <v/>
      </c>
      <c r="H1478" s="3599" t="str">
        <f ca="1">IFERROR(IFERROR(INDEX('Production cost'!$A:$AU,MATCH($C1478,'Production cost'!$AU:$AU,0),11),"")+IFERROR(INDEX('Production cost'!$A:$AU,MATCH($C1478,'Production cost'!$AU:$AU,0),12),""),"")</f>
        <v/>
      </c>
      <c r="I1478" s="3153" t="str">
        <f ca="1">IFERROR(INDEX('Production cost'!$A:$AU,MATCH($C1478,'Production cost'!$AU:$AU,0),28)/'Production cost'!$E$2,"")</f>
        <v/>
      </c>
      <c r="J1478" s="3153" t="str">
        <f ca="1">IFERROR(INDEX('Production cost'!$A:$AU,MATCH($C1478,'Production cost'!$AU:$AU,0),28)/'Production cost'!$E$2,"")</f>
        <v/>
      </c>
    </row>
    <row r="1479" spans="2:10" ht="21.75">
      <c r="B1479" s="3143" t="s">
        <v>3654</v>
      </c>
      <c r="C1479" s="3143">
        <f t="shared" si="27"/>
        <v>134</v>
      </c>
      <c r="D1479" s="3143" t="str">
        <f ca="1">IFERROR(INDEX('Production cost'!$A:$AU,MATCH($C1479,'Production cost'!$AU:$AU,0),6),"")</f>
        <v/>
      </c>
      <c r="E1479" s="3143" t="str">
        <f ca="1">IFERROR(INDEX('Production cost'!$A:$AU,MATCH($C1479,'Production cost'!$AU:$AU,0),3),"")</f>
        <v/>
      </c>
      <c r="G1479" s="3153" t="str">
        <f ca="1">IFERROR(INDEX('Production cost'!$A:$AU,MATCH($C1479,'Production cost'!$AU:$AU,0),9),"")</f>
        <v/>
      </c>
      <c r="H1479" s="3599" t="str">
        <f ca="1">IFERROR(IFERROR(INDEX('Production cost'!$A:$AU,MATCH($C1479,'Production cost'!$AU:$AU,0),11),"")+IFERROR(INDEX('Production cost'!$A:$AU,MATCH($C1479,'Production cost'!$AU:$AU,0),12),""),"")</f>
        <v/>
      </c>
      <c r="I1479" s="3153" t="str">
        <f ca="1">IFERROR(INDEX('Production cost'!$A:$AU,MATCH($C1479,'Production cost'!$AU:$AU,0),28)/'Production cost'!$E$2,"")</f>
        <v/>
      </c>
      <c r="J1479" s="3153" t="str">
        <f ca="1">IFERROR(INDEX('Production cost'!$A:$AU,MATCH($C1479,'Production cost'!$AU:$AU,0),28)/'Production cost'!$E$2,"")</f>
        <v/>
      </c>
    </row>
    <row r="1480" spans="2:10" ht="21.75">
      <c r="B1480" s="3143" t="s">
        <v>3654</v>
      </c>
      <c r="C1480" s="3143">
        <f t="shared" si="27"/>
        <v>135</v>
      </c>
      <c r="D1480" s="3143" t="str">
        <f ca="1">IFERROR(INDEX('Production cost'!$A:$AU,MATCH($C1480,'Production cost'!$AU:$AU,0),6),"")</f>
        <v/>
      </c>
      <c r="E1480" s="3143" t="str">
        <f ca="1">IFERROR(INDEX('Production cost'!$A:$AU,MATCH($C1480,'Production cost'!$AU:$AU,0),3),"")</f>
        <v/>
      </c>
      <c r="G1480" s="3153" t="str">
        <f ca="1">IFERROR(INDEX('Production cost'!$A:$AU,MATCH($C1480,'Production cost'!$AU:$AU,0),9),"")</f>
        <v/>
      </c>
      <c r="H1480" s="3599" t="str">
        <f ca="1">IFERROR(IFERROR(INDEX('Production cost'!$A:$AU,MATCH($C1480,'Production cost'!$AU:$AU,0),11),"")+IFERROR(INDEX('Production cost'!$A:$AU,MATCH($C1480,'Production cost'!$AU:$AU,0),12),""),"")</f>
        <v/>
      </c>
      <c r="I1480" s="3153" t="str">
        <f ca="1">IFERROR(INDEX('Production cost'!$A:$AU,MATCH($C1480,'Production cost'!$AU:$AU,0),28)/'Production cost'!$E$2,"")</f>
        <v/>
      </c>
      <c r="J1480" s="3153" t="str">
        <f ca="1">IFERROR(INDEX('Production cost'!$A:$AU,MATCH($C1480,'Production cost'!$AU:$AU,0),28)/'Production cost'!$E$2,"")</f>
        <v/>
      </c>
    </row>
    <row r="1481" spans="2:10" ht="21.75">
      <c r="B1481" s="3143" t="s">
        <v>3654</v>
      </c>
      <c r="C1481" s="3143">
        <f t="shared" si="27"/>
        <v>136</v>
      </c>
      <c r="D1481" s="3143" t="str">
        <f ca="1">IFERROR(INDEX('Production cost'!$A:$AU,MATCH($C1481,'Production cost'!$AU:$AU,0),6),"")</f>
        <v/>
      </c>
      <c r="E1481" s="3143" t="str">
        <f ca="1">IFERROR(INDEX('Production cost'!$A:$AU,MATCH($C1481,'Production cost'!$AU:$AU,0),3),"")</f>
        <v/>
      </c>
      <c r="G1481" s="3153" t="str">
        <f ca="1">IFERROR(INDEX('Production cost'!$A:$AU,MATCH($C1481,'Production cost'!$AU:$AU,0),9),"")</f>
        <v/>
      </c>
      <c r="H1481" s="3599" t="str">
        <f ca="1">IFERROR(IFERROR(INDEX('Production cost'!$A:$AU,MATCH($C1481,'Production cost'!$AU:$AU,0),11),"")+IFERROR(INDEX('Production cost'!$A:$AU,MATCH($C1481,'Production cost'!$AU:$AU,0),12),""),"")</f>
        <v/>
      </c>
      <c r="I1481" s="3153" t="str">
        <f ca="1">IFERROR(INDEX('Production cost'!$A:$AU,MATCH($C1481,'Production cost'!$AU:$AU,0),28)/'Production cost'!$E$2,"")</f>
        <v/>
      </c>
      <c r="J1481" s="3153" t="str">
        <f ca="1">IFERROR(INDEX('Production cost'!$A:$AU,MATCH($C1481,'Production cost'!$AU:$AU,0),28)/'Production cost'!$E$2,"")</f>
        <v/>
      </c>
    </row>
    <row r="1482" spans="2:10" ht="21.75">
      <c r="B1482" s="3143" t="s">
        <v>3654</v>
      </c>
      <c r="C1482" s="3143">
        <f t="shared" si="27"/>
        <v>137</v>
      </c>
      <c r="D1482" s="3143" t="str">
        <f ca="1">IFERROR(INDEX('Production cost'!$A:$AU,MATCH($C1482,'Production cost'!$AU:$AU,0),6),"")</f>
        <v/>
      </c>
      <c r="E1482" s="3143" t="str">
        <f ca="1">IFERROR(INDEX('Production cost'!$A:$AU,MATCH($C1482,'Production cost'!$AU:$AU,0),3),"")</f>
        <v/>
      </c>
      <c r="G1482" s="3153" t="str">
        <f ca="1">IFERROR(INDEX('Production cost'!$A:$AU,MATCH($C1482,'Production cost'!$AU:$AU,0),9),"")</f>
        <v/>
      </c>
      <c r="H1482" s="3599" t="str">
        <f ca="1">IFERROR(IFERROR(INDEX('Production cost'!$A:$AU,MATCH($C1482,'Production cost'!$AU:$AU,0),11),"")+IFERROR(INDEX('Production cost'!$A:$AU,MATCH($C1482,'Production cost'!$AU:$AU,0),12),""),"")</f>
        <v/>
      </c>
      <c r="I1482" s="3153" t="str">
        <f ca="1">IFERROR(INDEX('Production cost'!$A:$AU,MATCH($C1482,'Production cost'!$AU:$AU,0),28)/'Production cost'!$E$2,"")</f>
        <v/>
      </c>
      <c r="J1482" s="3153" t="str">
        <f ca="1">IFERROR(INDEX('Production cost'!$A:$AU,MATCH($C1482,'Production cost'!$AU:$AU,0),28)/'Production cost'!$E$2,"")</f>
        <v/>
      </c>
    </row>
    <row r="1483" spans="2:10" ht="21.75">
      <c r="B1483" s="3143" t="s">
        <v>3654</v>
      </c>
      <c r="C1483" s="3143">
        <f t="shared" si="27"/>
        <v>138</v>
      </c>
      <c r="D1483" s="3143" t="str">
        <f ca="1">IFERROR(INDEX('Production cost'!$A:$AU,MATCH($C1483,'Production cost'!$AU:$AU,0),6),"")</f>
        <v/>
      </c>
      <c r="E1483" s="3143" t="str">
        <f ca="1">IFERROR(INDEX('Production cost'!$A:$AU,MATCH($C1483,'Production cost'!$AU:$AU,0),3),"")</f>
        <v/>
      </c>
      <c r="G1483" s="3153" t="str">
        <f ca="1">IFERROR(INDEX('Production cost'!$A:$AU,MATCH($C1483,'Production cost'!$AU:$AU,0),9),"")</f>
        <v/>
      </c>
      <c r="H1483" s="3599" t="str">
        <f ca="1">IFERROR(IFERROR(INDEX('Production cost'!$A:$AU,MATCH($C1483,'Production cost'!$AU:$AU,0),11),"")+IFERROR(INDEX('Production cost'!$A:$AU,MATCH($C1483,'Production cost'!$AU:$AU,0),12),""),"")</f>
        <v/>
      </c>
      <c r="I1483" s="3153" t="str">
        <f ca="1">IFERROR(INDEX('Production cost'!$A:$AU,MATCH($C1483,'Production cost'!$AU:$AU,0),28)/'Production cost'!$E$2,"")</f>
        <v/>
      </c>
      <c r="J1483" s="3153" t="str">
        <f ca="1">IFERROR(INDEX('Production cost'!$A:$AU,MATCH($C1483,'Production cost'!$AU:$AU,0),28)/'Production cost'!$E$2,"")</f>
        <v/>
      </c>
    </row>
    <row r="1484" spans="2:10" ht="21.75">
      <c r="B1484" s="3143" t="s">
        <v>3654</v>
      </c>
      <c r="C1484" s="3143">
        <f t="shared" si="27"/>
        <v>139</v>
      </c>
      <c r="D1484" s="3143" t="str">
        <f ca="1">IFERROR(INDEX('Production cost'!$A:$AU,MATCH($C1484,'Production cost'!$AU:$AU,0),6),"")</f>
        <v/>
      </c>
      <c r="E1484" s="3143" t="str">
        <f ca="1">IFERROR(INDEX('Production cost'!$A:$AU,MATCH($C1484,'Production cost'!$AU:$AU,0),3),"")</f>
        <v/>
      </c>
      <c r="G1484" s="3153" t="str">
        <f ca="1">IFERROR(INDEX('Production cost'!$A:$AU,MATCH($C1484,'Production cost'!$AU:$AU,0),9),"")</f>
        <v/>
      </c>
      <c r="H1484" s="3599" t="str">
        <f ca="1">IFERROR(IFERROR(INDEX('Production cost'!$A:$AU,MATCH($C1484,'Production cost'!$AU:$AU,0),11),"")+IFERROR(INDEX('Production cost'!$A:$AU,MATCH($C1484,'Production cost'!$AU:$AU,0),12),""),"")</f>
        <v/>
      </c>
      <c r="I1484" s="3153" t="str">
        <f ca="1">IFERROR(INDEX('Production cost'!$A:$AU,MATCH($C1484,'Production cost'!$AU:$AU,0),28)/'Production cost'!$E$2,"")</f>
        <v/>
      </c>
      <c r="J1484" s="3153" t="str">
        <f ca="1">IFERROR(INDEX('Production cost'!$A:$AU,MATCH($C1484,'Production cost'!$AU:$AU,0),28)/'Production cost'!$E$2,"")</f>
        <v/>
      </c>
    </row>
    <row r="1485" spans="2:10" ht="21.75">
      <c r="B1485" s="3143" t="s">
        <v>3654</v>
      </c>
      <c r="C1485" s="3143">
        <f t="shared" si="27"/>
        <v>140</v>
      </c>
      <c r="D1485" s="3143" t="str">
        <f ca="1">IFERROR(INDEX('Production cost'!$A:$AU,MATCH($C1485,'Production cost'!$AU:$AU,0),6),"")</f>
        <v/>
      </c>
      <c r="E1485" s="3143" t="str">
        <f ca="1">IFERROR(INDEX('Production cost'!$A:$AU,MATCH($C1485,'Production cost'!$AU:$AU,0),3),"")</f>
        <v/>
      </c>
      <c r="G1485" s="3153" t="str">
        <f ca="1">IFERROR(INDEX('Production cost'!$A:$AU,MATCH($C1485,'Production cost'!$AU:$AU,0),9),"")</f>
        <v/>
      </c>
      <c r="H1485" s="3599" t="str">
        <f ca="1">IFERROR(IFERROR(INDEX('Production cost'!$A:$AU,MATCH($C1485,'Production cost'!$AU:$AU,0),11),"")+IFERROR(INDEX('Production cost'!$A:$AU,MATCH($C1485,'Production cost'!$AU:$AU,0),12),""),"")</f>
        <v/>
      </c>
      <c r="I1485" s="3153" t="str">
        <f ca="1">IFERROR(INDEX('Production cost'!$A:$AU,MATCH($C1485,'Production cost'!$AU:$AU,0),28)/'Production cost'!$E$2,"")</f>
        <v/>
      </c>
      <c r="J1485" s="3153" t="str">
        <f ca="1">IFERROR(INDEX('Production cost'!$A:$AU,MATCH($C1485,'Production cost'!$AU:$AU,0),28)/'Production cost'!$E$2,"")</f>
        <v/>
      </c>
    </row>
    <row r="1486" spans="2:10" ht="21.75">
      <c r="B1486" s="3143" t="s">
        <v>3654</v>
      </c>
      <c r="C1486" s="3143">
        <f t="shared" si="27"/>
        <v>141</v>
      </c>
      <c r="D1486" s="3143" t="str">
        <f ca="1">IFERROR(INDEX('Production cost'!$A:$AU,MATCH($C1486,'Production cost'!$AU:$AU,0),6),"")</f>
        <v/>
      </c>
      <c r="E1486" s="3143" t="str">
        <f ca="1">IFERROR(INDEX('Production cost'!$A:$AU,MATCH($C1486,'Production cost'!$AU:$AU,0),3),"")</f>
        <v/>
      </c>
      <c r="G1486" s="3153" t="str">
        <f ca="1">IFERROR(INDEX('Production cost'!$A:$AU,MATCH($C1486,'Production cost'!$AU:$AU,0),9),"")</f>
        <v/>
      </c>
      <c r="H1486" s="3599" t="str">
        <f ca="1">IFERROR(IFERROR(INDEX('Production cost'!$A:$AU,MATCH($C1486,'Production cost'!$AU:$AU,0),11),"")+IFERROR(INDEX('Production cost'!$A:$AU,MATCH($C1486,'Production cost'!$AU:$AU,0),12),""),"")</f>
        <v/>
      </c>
      <c r="I1486" s="3153" t="str">
        <f ca="1">IFERROR(INDEX('Production cost'!$A:$AU,MATCH($C1486,'Production cost'!$AU:$AU,0),28)/'Production cost'!$E$2,"")</f>
        <v/>
      </c>
      <c r="J1486" s="3153" t="str">
        <f ca="1">IFERROR(INDEX('Production cost'!$A:$AU,MATCH($C1486,'Production cost'!$AU:$AU,0),28)/'Production cost'!$E$2,"")</f>
        <v/>
      </c>
    </row>
    <row r="1487" spans="2:10" ht="21.75">
      <c r="B1487" s="3143" t="s">
        <v>3654</v>
      </c>
      <c r="C1487" s="3143">
        <f t="shared" si="27"/>
        <v>142</v>
      </c>
      <c r="D1487" s="3143" t="str">
        <f ca="1">IFERROR(INDEX('Production cost'!$A:$AU,MATCH($C1487,'Production cost'!$AU:$AU,0),6),"")</f>
        <v/>
      </c>
      <c r="E1487" s="3143" t="str">
        <f ca="1">IFERROR(INDEX('Production cost'!$A:$AU,MATCH($C1487,'Production cost'!$AU:$AU,0),3),"")</f>
        <v/>
      </c>
      <c r="G1487" s="3153" t="str">
        <f ca="1">IFERROR(INDEX('Production cost'!$A:$AU,MATCH($C1487,'Production cost'!$AU:$AU,0),9),"")</f>
        <v/>
      </c>
      <c r="H1487" s="3599" t="str">
        <f ca="1">IFERROR(IFERROR(INDEX('Production cost'!$A:$AU,MATCH($C1487,'Production cost'!$AU:$AU,0),11),"")+IFERROR(INDEX('Production cost'!$A:$AU,MATCH($C1487,'Production cost'!$AU:$AU,0),12),""),"")</f>
        <v/>
      </c>
      <c r="I1487" s="3153" t="str">
        <f ca="1">IFERROR(INDEX('Production cost'!$A:$AU,MATCH($C1487,'Production cost'!$AU:$AU,0),28)/'Production cost'!$E$2,"")</f>
        <v/>
      </c>
      <c r="J1487" s="3153" t="str">
        <f ca="1">IFERROR(INDEX('Production cost'!$A:$AU,MATCH($C1487,'Production cost'!$AU:$AU,0),28)/'Production cost'!$E$2,"")</f>
        <v/>
      </c>
    </row>
    <row r="1488" spans="2:10" ht="21.75">
      <c r="B1488" s="3143" t="s">
        <v>3654</v>
      </c>
      <c r="C1488" s="3143">
        <f t="shared" si="27"/>
        <v>143</v>
      </c>
      <c r="D1488" s="3143" t="str">
        <f ca="1">IFERROR(INDEX('Production cost'!$A:$AU,MATCH($C1488,'Production cost'!$AU:$AU,0),6),"")</f>
        <v/>
      </c>
      <c r="E1488" s="3143" t="str">
        <f ca="1">IFERROR(INDEX('Production cost'!$A:$AU,MATCH($C1488,'Production cost'!$AU:$AU,0),3),"")</f>
        <v/>
      </c>
      <c r="G1488" s="3153" t="str">
        <f ca="1">IFERROR(INDEX('Production cost'!$A:$AU,MATCH($C1488,'Production cost'!$AU:$AU,0),9),"")</f>
        <v/>
      </c>
      <c r="H1488" s="3599" t="str">
        <f ca="1">IFERROR(IFERROR(INDEX('Production cost'!$A:$AU,MATCH($C1488,'Production cost'!$AU:$AU,0),11),"")+IFERROR(INDEX('Production cost'!$A:$AU,MATCH($C1488,'Production cost'!$AU:$AU,0),12),""),"")</f>
        <v/>
      </c>
      <c r="I1488" s="3153" t="str">
        <f ca="1">IFERROR(INDEX('Production cost'!$A:$AU,MATCH($C1488,'Production cost'!$AU:$AU,0),28)/'Production cost'!$E$2,"")</f>
        <v/>
      </c>
      <c r="J1488" s="3153" t="str">
        <f ca="1">IFERROR(INDEX('Production cost'!$A:$AU,MATCH($C1488,'Production cost'!$AU:$AU,0),28)/'Production cost'!$E$2,"")</f>
        <v/>
      </c>
    </row>
    <row r="1489" spans="2:10" ht="21.75">
      <c r="B1489" s="3143" t="s">
        <v>3654</v>
      </c>
      <c r="C1489" s="3143">
        <f t="shared" si="27"/>
        <v>144</v>
      </c>
      <c r="D1489" s="3143" t="str">
        <f ca="1">IFERROR(INDEX('Production cost'!$A:$AU,MATCH($C1489,'Production cost'!$AU:$AU,0),6),"")</f>
        <v/>
      </c>
      <c r="E1489" s="3143" t="str">
        <f ca="1">IFERROR(INDEX('Production cost'!$A:$AU,MATCH($C1489,'Production cost'!$AU:$AU,0),3),"")</f>
        <v/>
      </c>
      <c r="G1489" s="3153" t="str">
        <f ca="1">IFERROR(INDEX('Production cost'!$A:$AU,MATCH($C1489,'Production cost'!$AU:$AU,0),9),"")</f>
        <v/>
      </c>
      <c r="H1489" s="3599" t="str">
        <f ca="1">IFERROR(IFERROR(INDEX('Production cost'!$A:$AU,MATCH($C1489,'Production cost'!$AU:$AU,0),11),"")+IFERROR(INDEX('Production cost'!$A:$AU,MATCH($C1489,'Production cost'!$AU:$AU,0),12),""),"")</f>
        <v/>
      </c>
      <c r="I1489" s="3153" t="str">
        <f ca="1">IFERROR(INDEX('Production cost'!$A:$AU,MATCH($C1489,'Production cost'!$AU:$AU,0),28)/'Production cost'!$E$2,"")</f>
        <v/>
      </c>
      <c r="J1489" s="3153" t="str">
        <f ca="1">IFERROR(INDEX('Production cost'!$A:$AU,MATCH($C1489,'Production cost'!$AU:$AU,0),28)/'Production cost'!$E$2,"")</f>
        <v/>
      </c>
    </row>
    <row r="1490" spans="2:10" ht="21.75">
      <c r="B1490" s="3143" t="s">
        <v>3654</v>
      </c>
      <c r="C1490" s="3143">
        <f t="shared" si="27"/>
        <v>145</v>
      </c>
      <c r="D1490" s="3143" t="str">
        <f ca="1">IFERROR(INDEX('Production cost'!$A:$AU,MATCH($C1490,'Production cost'!$AU:$AU,0),6),"")</f>
        <v/>
      </c>
      <c r="E1490" s="3143" t="str">
        <f ca="1">IFERROR(INDEX('Production cost'!$A:$AU,MATCH($C1490,'Production cost'!$AU:$AU,0),3),"")</f>
        <v/>
      </c>
      <c r="G1490" s="3153" t="str">
        <f ca="1">IFERROR(INDEX('Production cost'!$A:$AU,MATCH($C1490,'Production cost'!$AU:$AU,0),9),"")</f>
        <v/>
      </c>
      <c r="H1490" s="3599" t="str">
        <f ca="1">IFERROR(IFERROR(INDEX('Production cost'!$A:$AU,MATCH($C1490,'Production cost'!$AU:$AU,0),11),"")+IFERROR(INDEX('Production cost'!$A:$AU,MATCH($C1490,'Production cost'!$AU:$AU,0),12),""),"")</f>
        <v/>
      </c>
      <c r="I1490" s="3153" t="str">
        <f ca="1">IFERROR(INDEX('Production cost'!$A:$AU,MATCH($C1490,'Production cost'!$AU:$AU,0),28)/'Production cost'!$E$2,"")</f>
        <v/>
      </c>
      <c r="J1490" s="3153" t="str">
        <f ca="1">IFERROR(INDEX('Production cost'!$A:$AU,MATCH($C1490,'Production cost'!$AU:$AU,0),28)/'Production cost'!$E$2,"")</f>
        <v/>
      </c>
    </row>
    <row r="1491" spans="2:10" ht="21.75">
      <c r="B1491" s="3143" t="s">
        <v>3654</v>
      </c>
      <c r="C1491" s="3143">
        <f t="shared" si="27"/>
        <v>146</v>
      </c>
      <c r="D1491" s="3143" t="str">
        <f ca="1">IFERROR(INDEX('Production cost'!$A:$AU,MATCH($C1491,'Production cost'!$AU:$AU,0),6),"")</f>
        <v/>
      </c>
      <c r="E1491" s="3143" t="str">
        <f ca="1">IFERROR(INDEX('Production cost'!$A:$AU,MATCH($C1491,'Production cost'!$AU:$AU,0),3),"")</f>
        <v/>
      </c>
      <c r="G1491" s="3153" t="str">
        <f ca="1">IFERROR(INDEX('Production cost'!$A:$AU,MATCH($C1491,'Production cost'!$AU:$AU,0),9),"")</f>
        <v/>
      </c>
      <c r="H1491" s="3599" t="str">
        <f ca="1">IFERROR(IFERROR(INDEX('Production cost'!$A:$AU,MATCH($C1491,'Production cost'!$AU:$AU,0),11),"")+IFERROR(INDEX('Production cost'!$A:$AU,MATCH($C1491,'Production cost'!$AU:$AU,0),12),""),"")</f>
        <v/>
      </c>
      <c r="I1491" s="3153" t="str">
        <f ca="1">IFERROR(INDEX('Production cost'!$A:$AU,MATCH($C1491,'Production cost'!$AU:$AU,0),28)/'Production cost'!$E$2,"")</f>
        <v/>
      </c>
      <c r="J1491" s="3153" t="str">
        <f ca="1">IFERROR(INDEX('Production cost'!$A:$AU,MATCH($C1491,'Production cost'!$AU:$AU,0),28)/'Production cost'!$E$2,"")</f>
        <v/>
      </c>
    </row>
    <row r="1492" spans="2:10" ht="21.75">
      <c r="B1492" s="3143" t="s">
        <v>3654</v>
      </c>
      <c r="C1492" s="3143">
        <f t="shared" si="27"/>
        <v>147</v>
      </c>
      <c r="D1492" s="3143" t="str">
        <f ca="1">IFERROR(INDEX('Production cost'!$A:$AU,MATCH($C1492,'Production cost'!$AU:$AU,0),6),"")</f>
        <v/>
      </c>
      <c r="E1492" s="3143" t="str">
        <f ca="1">IFERROR(INDEX('Production cost'!$A:$AU,MATCH($C1492,'Production cost'!$AU:$AU,0),3),"")</f>
        <v/>
      </c>
      <c r="G1492" s="3153" t="str">
        <f ca="1">IFERROR(INDEX('Production cost'!$A:$AU,MATCH($C1492,'Production cost'!$AU:$AU,0),9),"")</f>
        <v/>
      </c>
      <c r="H1492" s="3599" t="str">
        <f ca="1">IFERROR(IFERROR(INDEX('Production cost'!$A:$AU,MATCH($C1492,'Production cost'!$AU:$AU,0),11),"")+IFERROR(INDEX('Production cost'!$A:$AU,MATCH($C1492,'Production cost'!$AU:$AU,0),12),""),"")</f>
        <v/>
      </c>
      <c r="I1492" s="3153" t="str">
        <f ca="1">IFERROR(INDEX('Production cost'!$A:$AU,MATCH($C1492,'Production cost'!$AU:$AU,0),28)/'Production cost'!$E$2,"")</f>
        <v/>
      </c>
      <c r="J1492" s="3153" t="str">
        <f ca="1">IFERROR(INDEX('Production cost'!$A:$AU,MATCH($C1492,'Production cost'!$AU:$AU,0),28)/'Production cost'!$E$2,"")</f>
        <v/>
      </c>
    </row>
    <row r="1493" spans="2:10" ht="21.75">
      <c r="B1493" s="3143" t="s">
        <v>3654</v>
      </c>
      <c r="C1493" s="3143">
        <f t="shared" si="27"/>
        <v>148</v>
      </c>
      <c r="D1493" s="3143" t="str">
        <f ca="1">IFERROR(INDEX('Production cost'!$A:$AU,MATCH($C1493,'Production cost'!$AU:$AU,0),6),"")</f>
        <v/>
      </c>
      <c r="E1493" s="3143" t="str">
        <f ca="1">IFERROR(INDEX('Production cost'!$A:$AU,MATCH($C1493,'Production cost'!$AU:$AU,0),3),"")</f>
        <v/>
      </c>
      <c r="G1493" s="3153" t="str">
        <f ca="1">IFERROR(INDEX('Production cost'!$A:$AU,MATCH($C1493,'Production cost'!$AU:$AU,0),9),"")</f>
        <v/>
      </c>
      <c r="H1493" s="3599" t="str">
        <f ca="1">IFERROR(IFERROR(INDEX('Production cost'!$A:$AU,MATCH($C1493,'Production cost'!$AU:$AU,0),11),"")+IFERROR(INDEX('Production cost'!$A:$AU,MATCH($C1493,'Production cost'!$AU:$AU,0),12),""),"")</f>
        <v/>
      </c>
      <c r="I1493" s="3153" t="str">
        <f ca="1">IFERROR(INDEX('Production cost'!$A:$AU,MATCH($C1493,'Production cost'!$AU:$AU,0),28)/'Production cost'!$E$2,"")</f>
        <v/>
      </c>
      <c r="J1493" s="3153" t="str">
        <f ca="1">IFERROR(INDEX('Production cost'!$A:$AU,MATCH($C1493,'Production cost'!$AU:$AU,0),28)/'Production cost'!$E$2,"")</f>
        <v/>
      </c>
    </row>
    <row r="1494" spans="2:10" ht="21.75">
      <c r="B1494" s="3143" t="s">
        <v>3654</v>
      </c>
      <c r="C1494" s="3143">
        <f t="shared" si="27"/>
        <v>149</v>
      </c>
      <c r="D1494" s="3143" t="str">
        <f ca="1">IFERROR(INDEX('Production cost'!$A:$AU,MATCH($C1494,'Production cost'!$AU:$AU,0),6),"")</f>
        <v/>
      </c>
      <c r="E1494" s="3143" t="str">
        <f ca="1">IFERROR(INDEX('Production cost'!$A:$AU,MATCH($C1494,'Production cost'!$AU:$AU,0),3),"")</f>
        <v/>
      </c>
      <c r="G1494" s="3153" t="str">
        <f ca="1">IFERROR(INDEX('Production cost'!$A:$AU,MATCH($C1494,'Production cost'!$AU:$AU,0),9),"")</f>
        <v/>
      </c>
      <c r="H1494" s="3599" t="str">
        <f ca="1">IFERROR(IFERROR(INDEX('Production cost'!$A:$AU,MATCH($C1494,'Production cost'!$AU:$AU,0),11),"")+IFERROR(INDEX('Production cost'!$A:$AU,MATCH($C1494,'Production cost'!$AU:$AU,0),12),""),"")</f>
        <v/>
      </c>
      <c r="I1494" s="3153" t="str">
        <f ca="1">IFERROR(INDEX('Production cost'!$A:$AU,MATCH($C1494,'Production cost'!$AU:$AU,0),28)/'Production cost'!$E$2,"")</f>
        <v/>
      </c>
      <c r="J1494" s="3153" t="str">
        <f ca="1">IFERROR(INDEX('Production cost'!$A:$AU,MATCH($C1494,'Production cost'!$AU:$AU,0),28)/'Production cost'!$E$2,"")</f>
        <v/>
      </c>
    </row>
    <row r="1495" spans="2:10" ht="21.75">
      <c r="B1495" s="3143" t="s">
        <v>3654</v>
      </c>
      <c r="C1495" s="3143">
        <f t="shared" si="27"/>
        <v>150</v>
      </c>
      <c r="D1495" s="3143" t="str">
        <f ca="1">IFERROR(INDEX('Production cost'!$A:$AU,MATCH($C1495,'Production cost'!$AU:$AU,0),6),"")</f>
        <v/>
      </c>
      <c r="E1495" s="3143" t="str">
        <f ca="1">IFERROR(INDEX('Production cost'!$A:$AU,MATCH($C1495,'Production cost'!$AU:$AU,0),3),"")</f>
        <v/>
      </c>
      <c r="G1495" s="3153" t="str">
        <f ca="1">IFERROR(INDEX('Production cost'!$A:$AU,MATCH($C1495,'Production cost'!$AU:$AU,0),9),"")</f>
        <v/>
      </c>
      <c r="H1495" s="3599" t="str">
        <f ca="1">IFERROR(IFERROR(INDEX('Production cost'!$A:$AU,MATCH($C1495,'Production cost'!$AU:$AU,0),11),"")+IFERROR(INDEX('Production cost'!$A:$AU,MATCH($C1495,'Production cost'!$AU:$AU,0),12),""),"")</f>
        <v/>
      </c>
      <c r="I1495" s="3153" t="str">
        <f ca="1">IFERROR(INDEX('Production cost'!$A:$AU,MATCH($C1495,'Production cost'!$AU:$AU,0),28)/'Production cost'!$E$2,"")</f>
        <v/>
      </c>
      <c r="J1495" s="3153" t="str">
        <f ca="1">IFERROR(INDEX('Production cost'!$A:$AU,MATCH($C1495,'Production cost'!$AU:$AU,0),28)/'Production cost'!$E$2,"")</f>
        <v/>
      </c>
    </row>
    <row r="1496" spans="2:10" ht="21.75">
      <c r="B1496" s="3143" t="s">
        <v>3654</v>
      </c>
      <c r="C1496" s="3143">
        <f t="shared" si="27"/>
        <v>151</v>
      </c>
      <c r="D1496" s="3143" t="str">
        <f ca="1">IFERROR(INDEX('Production cost'!$A:$AU,MATCH($C1496,'Production cost'!$AU:$AU,0),6),"")</f>
        <v/>
      </c>
      <c r="E1496" s="3143" t="str">
        <f ca="1">IFERROR(INDEX('Production cost'!$A:$AU,MATCH($C1496,'Production cost'!$AU:$AU,0),3),"")</f>
        <v/>
      </c>
      <c r="G1496" s="3153" t="str">
        <f ca="1">IFERROR(INDEX('Production cost'!$A:$AU,MATCH($C1496,'Production cost'!$AU:$AU,0),9),"")</f>
        <v/>
      </c>
      <c r="H1496" s="3599" t="str">
        <f ca="1">IFERROR(IFERROR(INDEX('Production cost'!$A:$AU,MATCH($C1496,'Production cost'!$AU:$AU,0),11),"")+IFERROR(INDEX('Production cost'!$A:$AU,MATCH($C1496,'Production cost'!$AU:$AU,0),12),""),"")</f>
        <v/>
      </c>
      <c r="I1496" s="3153" t="str">
        <f ca="1">IFERROR(INDEX('Production cost'!$A:$AU,MATCH($C1496,'Production cost'!$AU:$AU,0),28)/'Production cost'!$E$2,"")</f>
        <v/>
      </c>
      <c r="J1496" s="3153" t="str">
        <f ca="1">IFERROR(INDEX('Production cost'!$A:$AU,MATCH($C1496,'Production cost'!$AU:$AU,0),28)/'Production cost'!$E$2,"")</f>
        <v/>
      </c>
    </row>
    <row r="1497" spans="2:10" ht="21.75">
      <c r="B1497" s="3143" t="s">
        <v>3654</v>
      </c>
      <c r="C1497" s="3143">
        <f t="shared" si="27"/>
        <v>152</v>
      </c>
      <c r="D1497" s="3143" t="str">
        <f ca="1">IFERROR(INDEX('Production cost'!$A:$AU,MATCH($C1497,'Production cost'!$AU:$AU,0),6),"")</f>
        <v/>
      </c>
      <c r="E1497" s="3143" t="str">
        <f ca="1">IFERROR(INDEX('Production cost'!$A:$AU,MATCH($C1497,'Production cost'!$AU:$AU,0),3),"")</f>
        <v/>
      </c>
      <c r="G1497" s="3153" t="str">
        <f ca="1">IFERROR(INDEX('Production cost'!$A:$AU,MATCH($C1497,'Production cost'!$AU:$AU,0),9),"")</f>
        <v/>
      </c>
      <c r="H1497" s="3599" t="str">
        <f ca="1">IFERROR(IFERROR(INDEX('Production cost'!$A:$AU,MATCH($C1497,'Production cost'!$AU:$AU,0),11),"")+IFERROR(INDEX('Production cost'!$A:$AU,MATCH($C1497,'Production cost'!$AU:$AU,0),12),""),"")</f>
        <v/>
      </c>
      <c r="I1497" s="3153" t="str">
        <f ca="1">IFERROR(INDEX('Production cost'!$A:$AU,MATCH($C1497,'Production cost'!$AU:$AU,0),28)/'Production cost'!$E$2,"")</f>
        <v/>
      </c>
      <c r="J1497" s="3153" t="str">
        <f ca="1">IFERROR(INDEX('Production cost'!$A:$AU,MATCH($C1497,'Production cost'!$AU:$AU,0),28)/'Production cost'!$E$2,"")</f>
        <v/>
      </c>
    </row>
    <row r="1498" spans="2:10" ht="21.75">
      <c r="B1498" s="3143" t="s">
        <v>3654</v>
      </c>
      <c r="C1498" s="3143">
        <f t="shared" si="27"/>
        <v>153</v>
      </c>
      <c r="D1498" s="3143" t="str">
        <f ca="1">IFERROR(INDEX('Production cost'!$A:$AU,MATCH($C1498,'Production cost'!$AU:$AU,0),6),"")</f>
        <v/>
      </c>
      <c r="E1498" s="3143" t="str">
        <f ca="1">IFERROR(INDEX('Production cost'!$A:$AU,MATCH($C1498,'Production cost'!$AU:$AU,0),3),"")</f>
        <v/>
      </c>
      <c r="G1498" s="3153" t="str">
        <f ca="1">IFERROR(INDEX('Production cost'!$A:$AU,MATCH($C1498,'Production cost'!$AU:$AU,0),9),"")</f>
        <v/>
      </c>
      <c r="H1498" s="3599" t="str">
        <f ca="1">IFERROR(IFERROR(INDEX('Production cost'!$A:$AU,MATCH($C1498,'Production cost'!$AU:$AU,0),11),"")+IFERROR(INDEX('Production cost'!$A:$AU,MATCH($C1498,'Production cost'!$AU:$AU,0),12),""),"")</f>
        <v/>
      </c>
      <c r="I1498" s="3153" t="str">
        <f ca="1">IFERROR(INDEX('Production cost'!$A:$AU,MATCH($C1498,'Production cost'!$AU:$AU,0),28)/'Production cost'!$E$2,"")</f>
        <v/>
      </c>
      <c r="J1498" s="3153" t="str">
        <f ca="1">IFERROR(INDEX('Production cost'!$A:$AU,MATCH($C1498,'Production cost'!$AU:$AU,0),28)/'Production cost'!$E$2,"")</f>
        <v/>
      </c>
    </row>
    <row r="1499" spans="2:10" ht="21.75">
      <c r="B1499" s="3143" t="s">
        <v>3654</v>
      </c>
      <c r="C1499" s="3143">
        <f t="shared" si="27"/>
        <v>154</v>
      </c>
      <c r="D1499" s="3143" t="str">
        <f ca="1">IFERROR(INDEX('Production cost'!$A:$AU,MATCH($C1499,'Production cost'!$AU:$AU,0),6),"")</f>
        <v/>
      </c>
      <c r="E1499" s="3143" t="str">
        <f ca="1">IFERROR(INDEX('Production cost'!$A:$AU,MATCH($C1499,'Production cost'!$AU:$AU,0),3),"")</f>
        <v/>
      </c>
      <c r="G1499" s="3153" t="str">
        <f ca="1">IFERROR(INDEX('Production cost'!$A:$AU,MATCH($C1499,'Production cost'!$AU:$AU,0),9),"")</f>
        <v/>
      </c>
      <c r="H1499" s="3599" t="str">
        <f ca="1">IFERROR(IFERROR(INDEX('Production cost'!$A:$AU,MATCH($C1499,'Production cost'!$AU:$AU,0),11),"")+IFERROR(INDEX('Production cost'!$A:$AU,MATCH($C1499,'Production cost'!$AU:$AU,0),12),""),"")</f>
        <v/>
      </c>
      <c r="I1499" s="3153" t="str">
        <f ca="1">IFERROR(INDEX('Production cost'!$A:$AU,MATCH($C1499,'Production cost'!$AU:$AU,0),28)/'Production cost'!$E$2,"")</f>
        <v/>
      </c>
      <c r="J1499" s="3153" t="str">
        <f ca="1">IFERROR(INDEX('Production cost'!$A:$AU,MATCH($C1499,'Production cost'!$AU:$AU,0),28)/'Production cost'!$E$2,"")</f>
        <v/>
      </c>
    </row>
    <row r="1500" spans="2:10" ht="21.75">
      <c r="B1500" s="3143" t="s">
        <v>3654</v>
      </c>
      <c r="C1500" s="3143">
        <f t="shared" si="27"/>
        <v>155</v>
      </c>
      <c r="D1500" s="3143" t="str">
        <f ca="1">IFERROR(INDEX('Production cost'!$A:$AU,MATCH($C1500,'Production cost'!$AU:$AU,0),6),"")</f>
        <v/>
      </c>
      <c r="E1500" s="3143" t="str">
        <f ca="1">IFERROR(INDEX('Production cost'!$A:$AU,MATCH($C1500,'Production cost'!$AU:$AU,0),3),"")</f>
        <v/>
      </c>
      <c r="G1500" s="3153" t="str">
        <f ca="1">IFERROR(INDEX('Production cost'!$A:$AU,MATCH($C1500,'Production cost'!$AU:$AU,0),9),"")</f>
        <v/>
      </c>
      <c r="H1500" s="3599" t="str">
        <f ca="1">IFERROR(IFERROR(INDEX('Production cost'!$A:$AU,MATCH($C1500,'Production cost'!$AU:$AU,0),11),"")+IFERROR(INDEX('Production cost'!$A:$AU,MATCH($C1500,'Production cost'!$AU:$AU,0),12),""),"")</f>
        <v/>
      </c>
      <c r="I1500" s="3153" t="str">
        <f ca="1">IFERROR(INDEX('Production cost'!$A:$AU,MATCH($C1500,'Production cost'!$AU:$AU,0),28)/'Production cost'!$E$2,"")</f>
        <v/>
      </c>
      <c r="J1500" s="3153" t="str">
        <f ca="1">IFERROR(INDEX('Production cost'!$A:$AU,MATCH($C1500,'Production cost'!$AU:$AU,0),28)/'Production cost'!$E$2,"")</f>
        <v/>
      </c>
    </row>
    <row r="1501" spans="2:10" ht="21.75">
      <c r="B1501" s="3143" t="s">
        <v>3654</v>
      </c>
      <c r="C1501" s="3143">
        <f t="shared" si="27"/>
        <v>156</v>
      </c>
      <c r="D1501" s="3143" t="str">
        <f ca="1">IFERROR(INDEX('Production cost'!$A:$AU,MATCH($C1501,'Production cost'!$AU:$AU,0),6),"")</f>
        <v/>
      </c>
      <c r="E1501" s="3143" t="str">
        <f ca="1">IFERROR(INDEX('Production cost'!$A:$AU,MATCH($C1501,'Production cost'!$AU:$AU,0),3),"")</f>
        <v/>
      </c>
      <c r="G1501" s="3153" t="str">
        <f ca="1">IFERROR(INDEX('Production cost'!$A:$AU,MATCH($C1501,'Production cost'!$AU:$AU,0),9),"")</f>
        <v/>
      </c>
      <c r="H1501" s="3599" t="str">
        <f ca="1">IFERROR(IFERROR(INDEX('Production cost'!$A:$AU,MATCH($C1501,'Production cost'!$AU:$AU,0),11),"")+IFERROR(INDEX('Production cost'!$A:$AU,MATCH($C1501,'Production cost'!$AU:$AU,0),12),""),"")</f>
        <v/>
      </c>
      <c r="I1501" s="3153" t="str">
        <f ca="1">IFERROR(INDEX('Production cost'!$A:$AU,MATCH($C1501,'Production cost'!$AU:$AU,0),28)/'Production cost'!$E$2,"")</f>
        <v/>
      </c>
      <c r="J1501" s="3153" t="str">
        <f ca="1">IFERROR(INDEX('Production cost'!$A:$AU,MATCH($C1501,'Production cost'!$AU:$AU,0),28)/'Production cost'!$E$2,"")</f>
        <v/>
      </c>
    </row>
    <row r="1502" spans="2:10" ht="21.75">
      <c r="B1502" s="3143" t="s">
        <v>3654</v>
      </c>
      <c r="C1502" s="3143">
        <f t="shared" si="27"/>
        <v>157</v>
      </c>
      <c r="D1502" s="3143" t="str">
        <f ca="1">IFERROR(INDEX('Production cost'!$A:$AU,MATCH($C1502,'Production cost'!$AU:$AU,0),6),"")</f>
        <v/>
      </c>
      <c r="E1502" s="3143" t="str">
        <f ca="1">IFERROR(INDEX('Production cost'!$A:$AU,MATCH($C1502,'Production cost'!$AU:$AU,0),3),"")</f>
        <v/>
      </c>
      <c r="G1502" s="3153" t="str">
        <f ca="1">IFERROR(INDEX('Production cost'!$A:$AU,MATCH($C1502,'Production cost'!$AU:$AU,0),9),"")</f>
        <v/>
      </c>
      <c r="H1502" s="3599" t="str">
        <f ca="1">IFERROR(IFERROR(INDEX('Production cost'!$A:$AU,MATCH($C1502,'Production cost'!$AU:$AU,0),11),"")+IFERROR(INDEX('Production cost'!$A:$AU,MATCH($C1502,'Production cost'!$AU:$AU,0),12),""),"")</f>
        <v/>
      </c>
      <c r="I1502" s="3153" t="str">
        <f ca="1">IFERROR(INDEX('Production cost'!$A:$AU,MATCH($C1502,'Production cost'!$AU:$AU,0),28)/'Production cost'!$E$2,"")</f>
        <v/>
      </c>
      <c r="J1502" s="3153" t="str">
        <f ca="1">IFERROR(INDEX('Production cost'!$A:$AU,MATCH($C1502,'Production cost'!$AU:$AU,0),28)/'Production cost'!$E$2,"")</f>
        <v/>
      </c>
    </row>
    <row r="1503" spans="2:10" ht="21.75">
      <c r="B1503" s="3143" t="s">
        <v>3654</v>
      </c>
      <c r="C1503" s="3143">
        <f t="shared" si="27"/>
        <v>158</v>
      </c>
      <c r="D1503" s="3143" t="str">
        <f ca="1">IFERROR(INDEX('Production cost'!$A:$AU,MATCH($C1503,'Production cost'!$AU:$AU,0),6),"")</f>
        <v/>
      </c>
      <c r="E1503" s="3143" t="str">
        <f ca="1">IFERROR(INDEX('Production cost'!$A:$AU,MATCH($C1503,'Production cost'!$AU:$AU,0),3),"")</f>
        <v/>
      </c>
      <c r="G1503" s="3153" t="str">
        <f ca="1">IFERROR(INDEX('Production cost'!$A:$AU,MATCH($C1503,'Production cost'!$AU:$AU,0),9),"")</f>
        <v/>
      </c>
      <c r="H1503" s="3599" t="str">
        <f ca="1">IFERROR(IFERROR(INDEX('Production cost'!$A:$AU,MATCH($C1503,'Production cost'!$AU:$AU,0),11),"")+IFERROR(INDEX('Production cost'!$A:$AU,MATCH($C1503,'Production cost'!$AU:$AU,0),12),""),"")</f>
        <v/>
      </c>
      <c r="I1503" s="3153" t="str">
        <f ca="1">IFERROR(INDEX('Production cost'!$A:$AU,MATCH($C1503,'Production cost'!$AU:$AU,0),28)/'Production cost'!$E$2,"")</f>
        <v/>
      </c>
      <c r="J1503" s="3153" t="str">
        <f ca="1">IFERROR(INDEX('Production cost'!$A:$AU,MATCH($C1503,'Production cost'!$AU:$AU,0),28)/'Production cost'!$E$2,"")</f>
        <v/>
      </c>
    </row>
    <row r="1504" spans="2:10" ht="21.75">
      <c r="B1504" s="3143" t="s">
        <v>3654</v>
      </c>
      <c r="C1504" s="3143">
        <f t="shared" si="27"/>
        <v>159</v>
      </c>
      <c r="D1504" s="3143" t="str">
        <f ca="1">IFERROR(INDEX('Production cost'!$A:$AU,MATCH($C1504,'Production cost'!$AU:$AU,0),6),"")</f>
        <v/>
      </c>
      <c r="E1504" s="3143" t="str">
        <f ca="1">IFERROR(INDEX('Production cost'!$A:$AU,MATCH($C1504,'Production cost'!$AU:$AU,0),3),"")</f>
        <v/>
      </c>
      <c r="G1504" s="3153" t="str">
        <f ca="1">IFERROR(INDEX('Production cost'!$A:$AU,MATCH($C1504,'Production cost'!$AU:$AU,0),9),"")</f>
        <v/>
      </c>
      <c r="H1504" s="3599" t="str">
        <f ca="1">IFERROR(IFERROR(INDEX('Production cost'!$A:$AU,MATCH($C1504,'Production cost'!$AU:$AU,0),11),"")+IFERROR(INDEX('Production cost'!$A:$AU,MATCH($C1504,'Production cost'!$AU:$AU,0),12),""),"")</f>
        <v/>
      </c>
      <c r="I1504" s="3153" t="str">
        <f ca="1">IFERROR(INDEX('Production cost'!$A:$AU,MATCH($C1504,'Production cost'!$AU:$AU,0),28)/'Production cost'!$E$2,"")</f>
        <v/>
      </c>
      <c r="J1504" s="3153" t="str">
        <f ca="1">IFERROR(INDEX('Production cost'!$A:$AU,MATCH($C1504,'Production cost'!$AU:$AU,0),28)/'Production cost'!$E$2,"")</f>
        <v/>
      </c>
    </row>
    <row r="1505" spans="2:10" ht="21.75">
      <c r="B1505" s="3143" t="s">
        <v>3654</v>
      </c>
      <c r="C1505" s="3143">
        <f t="shared" si="27"/>
        <v>160</v>
      </c>
      <c r="D1505" s="3143" t="str">
        <f ca="1">IFERROR(INDEX('Production cost'!$A:$AU,MATCH($C1505,'Production cost'!$AU:$AU,0),6),"")</f>
        <v/>
      </c>
      <c r="E1505" s="3143" t="str">
        <f ca="1">IFERROR(INDEX('Production cost'!$A:$AU,MATCH($C1505,'Production cost'!$AU:$AU,0),3),"")</f>
        <v/>
      </c>
      <c r="G1505" s="3153" t="str">
        <f ca="1">IFERROR(INDEX('Production cost'!$A:$AU,MATCH($C1505,'Production cost'!$AU:$AU,0),9),"")</f>
        <v/>
      </c>
      <c r="H1505" s="3599" t="str">
        <f ca="1">IFERROR(IFERROR(INDEX('Production cost'!$A:$AU,MATCH($C1505,'Production cost'!$AU:$AU,0),11),"")+IFERROR(INDEX('Production cost'!$A:$AU,MATCH($C1505,'Production cost'!$AU:$AU,0),12),""),"")</f>
        <v/>
      </c>
      <c r="I1505" s="3153" t="str">
        <f ca="1">IFERROR(INDEX('Production cost'!$A:$AU,MATCH($C1505,'Production cost'!$AU:$AU,0),28)/'Production cost'!$E$2,"")</f>
        <v/>
      </c>
      <c r="J1505" s="3153" t="str">
        <f ca="1">IFERROR(INDEX('Production cost'!$A:$AU,MATCH($C1505,'Production cost'!$AU:$AU,0),28)/'Production cost'!$E$2,"")</f>
        <v/>
      </c>
    </row>
    <row r="1506" spans="2:10" ht="21.75">
      <c r="B1506" s="3143" t="s">
        <v>3654</v>
      </c>
      <c r="C1506" s="3143">
        <f t="shared" si="27"/>
        <v>161</v>
      </c>
      <c r="D1506" s="3143" t="str">
        <f ca="1">IFERROR(INDEX('Production cost'!$A:$AU,MATCH($C1506,'Production cost'!$AU:$AU,0),6),"")</f>
        <v/>
      </c>
      <c r="E1506" s="3143" t="str">
        <f ca="1">IFERROR(INDEX('Production cost'!$A:$AU,MATCH($C1506,'Production cost'!$AU:$AU,0),3),"")</f>
        <v/>
      </c>
      <c r="G1506" s="3153" t="str">
        <f ca="1">IFERROR(INDEX('Production cost'!$A:$AU,MATCH($C1506,'Production cost'!$AU:$AU,0),9),"")</f>
        <v/>
      </c>
      <c r="H1506" s="3599" t="str">
        <f ca="1">IFERROR(IFERROR(INDEX('Production cost'!$A:$AU,MATCH($C1506,'Production cost'!$AU:$AU,0),11),"")+IFERROR(INDEX('Production cost'!$A:$AU,MATCH($C1506,'Production cost'!$AU:$AU,0),12),""),"")</f>
        <v/>
      </c>
      <c r="I1506" s="3153" t="str">
        <f ca="1">IFERROR(INDEX('Production cost'!$A:$AU,MATCH($C1506,'Production cost'!$AU:$AU,0),28)/'Production cost'!$E$2,"")</f>
        <v/>
      </c>
      <c r="J1506" s="3153" t="str">
        <f ca="1">IFERROR(INDEX('Production cost'!$A:$AU,MATCH($C1506,'Production cost'!$AU:$AU,0),28)/'Production cost'!$E$2,"")</f>
        <v/>
      </c>
    </row>
    <row r="1507" spans="2:10" ht="21.75">
      <c r="B1507" s="3143" t="s">
        <v>3654</v>
      </c>
      <c r="C1507" s="3143">
        <f t="shared" si="27"/>
        <v>162</v>
      </c>
      <c r="D1507" s="3143" t="str">
        <f ca="1">IFERROR(INDEX('Production cost'!$A:$AU,MATCH($C1507,'Production cost'!$AU:$AU,0),6),"")</f>
        <v/>
      </c>
      <c r="E1507" s="3143" t="str">
        <f ca="1">IFERROR(INDEX('Production cost'!$A:$AU,MATCH($C1507,'Production cost'!$AU:$AU,0),3),"")</f>
        <v/>
      </c>
      <c r="G1507" s="3153" t="str">
        <f ca="1">IFERROR(INDEX('Production cost'!$A:$AU,MATCH($C1507,'Production cost'!$AU:$AU,0),9),"")</f>
        <v/>
      </c>
      <c r="H1507" s="3599" t="str">
        <f ca="1">IFERROR(IFERROR(INDEX('Production cost'!$A:$AU,MATCH($C1507,'Production cost'!$AU:$AU,0),11),"")+IFERROR(INDEX('Production cost'!$A:$AU,MATCH($C1507,'Production cost'!$AU:$AU,0),12),""),"")</f>
        <v/>
      </c>
      <c r="I1507" s="3153" t="str">
        <f ca="1">IFERROR(INDEX('Production cost'!$A:$AU,MATCH($C1507,'Production cost'!$AU:$AU,0),28)/'Production cost'!$E$2,"")</f>
        <v/>
      </c>
      <c r="J1507" s="3153" t="str">
        <f ca="1">IFERROR(INDEX('Production cost'!$A:$AU,MATCH($C1507,'Production cost'!$AU:$AU,0),28)/'Production cost'!$E$2,"")</f>
        <v/>
      </c>
    </row>
    <row r="1508" spans="2:10" ht="21.75">
      <c r="B1508" s="3143" t="s">
        <v>3654</v>
      </c>
      <c r="C1508" s="3143">
        <f t="shared" si="27"/>
        <v>163</v>
      </c>
      <c r="D1508" s="3143" t="str">
        <f ca="1">IFERROR(INDEX('Production cost'!$A:$AU,MATCH($C1508,'Production cost'!$AU:$AU,0),6),"")</f>
        <v/>
      </c>
      <c r="E1508" s="3143" t="str">
        <f ca="1">IFERROR(INDEX('Production cost'!$A:$AU,MATCH($C1508,'Production cost'!$AU:$AU,0),3),"")</f>
        <v/>
      </c>
      <c r="G1508" s="3153" t="str">
        <f ca="1">IFERROR(INDEX('Production cost'!$A:$AU,MATCH($C1508,'Production cost'!$AU:$AU,0),9),"")</f>
        <v/>
      </c>
      <c r="H1508" s="3599" t="str">
        <f ca="1">IFERROR(IFERROR(INDEX('Production cost'!$A:$AU,MATCH($C1508,'Production cost'!$AU:$AU,0),11),"")+IFERROR(INDEX('Production cost'!$A:$AU,MATCH($C1508,'Production cost'!$AU:$AU,0),12),""),"")</f>
        <v/>
      </c>
      <c r="I1508" s="3153" t="str">
        <f ca="1">IFERROR(INDEX('Production cost'!$A:$AU,MATCH($C1508,'Production cost'!$AU:$AU,0),28)/'Production cost'!$E$2,"")</f>
        <v/>
      </c>
      <c r="J1508" s="3153" t="str">
        <f ca="1">IFERROR(INDEX('Production cost'!$A:$AU,MATCH($C1508,'Production cost'!$AU:$AU,0),28)/'Production cost'!$E$2,"")</f>
        <v/>
      </c>
    </row>
    <row r="1509" spans="2:10" ht="21.75">
      <c r="B1509" s="3143" t="s">
        <v>3654</v>
      </c>
      <c r="C1509" s="3143">
        <f t="shared" si="27"/>
        <v>164</v>
      </c>
      <c r="D1509" s="3143" t="str">
        <f ca="1">IFERROR(INDEX('Production cost'!$A:$AU,MATCH($C1509,'Production cost'!$AU:$AU,0),6),"")</f>
        <v/>
      </c>
      <c r="E1509" s="3143" t="str">
        <f ca="1">IFERROR(INDEX('Production cost'!$A:$AU,MATCH($C1509,'Production cost'!$AU:$AU,0),3),"")</f>
        <v/>
      </c>
      <c r="G1509" s="3153" t="str">
        <f ca="1">IFERROR(INDEX('Production cost'!$A:$AU,MATCH($C1509,'Production cost'!$AU:$AU,0),9),"")</f>
        <v/>
      </c>
      <c r="H1509" s="3599" t="str">
        <f ca="1">IFERROR(IFERROR(INDEX('Production cost'!$A:$AU,MATCH($C1509,'Production cost'!$AU:$AU,0),11),"")+IFERROR(INDEX('Production cost'!$A:$AU,MATCH($C1509,'Production cost'!$AU:$AU,0),12),""),"")</f>
        <v/>
      </c>
      <c r="I1509" s="3153" t="str">
        <f ca="1">IFERROR(INDEX('Production cost'!$A:$AU,MATCH($C1509,'Production cost'!$AU:$AU,0),28)/'Production cost'!$E$2,"")</f>
        <v/>
      </c>
      <c r="J1509" s="3153" t="str">
        <f ca="1">IFERROR(INDEX('Production cost'!$A:$AU,MATCH($C1509,'Production cost'!$AU:$AU,0),28)/'Production cost'!$E$2,"")</f>
        <v/>
      </c>
    </row>
    <row r="1510" spans="2:10" ht="21.75">
      <c r="B1510" s="3143" t="s">
        <v>3654</v>
      </c>
      <c r="C1510" s="3143">
        <f t="shared" si="27"/>
        <v>165</v>
      </c>
      <c r="D1510" s="3143" t="str">
        <f ca="1">IFERROR(INDEX('Production cost'!$A:$AU,MATCH($C1510,'Production cost'!$AU:$AU,0),6),"")</f>
        <v/>
      </c>
      <c r="E1510" s="3143" t="str">
        <f ca="1">IFERROR(INDEX('Production cost'!$A:$AU,MATCH($C1510,'Production cost'!$AU:$AU,0),3),"")</f>
        <v/>
      </c>
      <c r="G1510" s="3153" t="str">
        <f ca="1">IFERROR(INDEX('Production cost'!$A:$AU,MATCH($C1510,'Production cost'!$AU:$AU,0),9),"")</f>
        <v/>
      </c>
      <c r="H1510" s="3599" t="str">
        <f ca="1">IFERROR(IFERROR(INDEX('Production cost'!$A:$AU,MATCH($C1510,'Production cost'!$AU:$AU,0),11),"")+IFERROR(INDEX('Production cost'!$A:$AU,MATCH($C1510,'Production cost'!$AU:$AU,0),12),""),"")</f>
        <v/>
      </c>
      <c r="I1510" s="3153" t="str">
        <f ca="1">IFERROR(INDEX('Production cost'!$A:$AU,MATCH($C1510,'Production cost'!$AU:$AU,0),28)/'Production cost'!$E$2,"")</f>
        <v/>
      </c>
      <c r="J1510" s="3153" t="str">
        <f ca="1">IFERROR(INDEX('Production cost'!$A:$AU,MATCH($C1510,'Production cost'!$AU:$AU,0),28)/'Production cost'!$E$2,"")</f>
        <v/>
      </c>
    </row>
    <row r="1511" spans="2:10" ht="21.75">
      <c r="B1511" s="3143" t="s">
        <v>3654</v>
      </c>
      <c r="C1511" s="3143">
        <f t="shared" si="27"/>
        <v>166</v>
      </c>
      <c r="D1511" s="3143" t="str">
        <f ca="1">IFERROR(INDEX('Production cost'!$A:$AU,MATCH($C1511,'Production cost'!$AU:$AU,0),6),"")</f>
        <v/>
      </c>
      <c r="E1511" s="3143" t="str">
        <f ca="1">IFERROR(INDEX('Production cost'!$A:$AU,MATCH($C1511,'Production cost'!$AU:$AU,0),3),"")</f>
        <v/>
      </c>
      <c r="G1511" s="3153" t="str">
        <f ca="1">IFERROR(INDEX('Production cost'!$A:$AU,MATCH($C1511,'Production cost'!$AU:$AU,0),9),"")</f>
        <v/>
      </c>
      <c r="H1511" s="3599" t="str">
        <f ca="1">IFERROR(IFERROR(INDEX('Production cost'!$A:$AU,MATCH($C1511,'Production cost'!$AU:$AU,0),11),"")+IFERROR(INDEX('Production cost'!$A:$AU,MATCH($C1511,'Production cost'!$AU:$AU,0),12),""),"")</f>
        <v/>
      </c>
      <c r="I1511" s="3153" t="str">
        <f ca="1">IFERROR(INDEX('Production cost'!$A:$AU,MATCH($C1511,'Production cost'!$AU:$AU,0),28)/'Production cost'!$E$2,"")</f>
        <v/>
      </c>
      <c r="J1511" s="3153" t="str">
        <f ca="1">IFERROR(INDEX('Production cost'!$A:$AU,MATCH($C1511,'Production cost'!$AU:$AU,0),28)/'Production cost'!$E$2,"")</f>
        <v/>
      </c>
    </row>
    <row r="1512" spans="2:10" ht="21.75">
      <c r="B1512" s="3143" t="s">
        <v>3654</v>
      </c>
      <c r="C1512" s="3143">
        <f t="shared" si="27"/>
        <v>167</v>
      </c>
      <c r="D1512" s="3143" t="str">
        <f ca="1">IFERROR(INDEX('Production cost'!$A:$AU,MATCH($C1512,'Production cost'!$AU:$AU,0),6),"")</f>
        <v/>
      </c>
      <c r="E1512" s="3143" t="str">
        <f ca="1">IFERROR(INDEX('Production cost'!$A:$AU,MATCH($C1512,'Production cost'!$AU:$AU,0),3),"")</f>
        <v/>
      </c>
      <c r="G1512" s="3153" t="str">
        <f ca="1">IFERROR(INDEX('Production cost'!$A:$AU,MATCH($C1512,'Production cost'!$AU:$AU,0),9),"")</f>
        <v/>
      </c>
      <c r="H1512" s="3599" t="str">
        <f ca="1">IFERROR(IFERROR(INDEX('Production cost'!$A:$AU,MATCH($C1512,'Production cost'!$AU:$AU,0),11),"")+IFERROR(INDEX('Production cost'!$A:$AU,MATCH($C1512,'Production cost'!$AU:$AU,0),12),""),"")</f>
        <v/>
      </c>
      <c r="I1512" s="3153" t="str">
        <f ca="1">IFERROR(INDEX('Production cost'!$A:$AU,MATCH($C1512,'Production cost'!$AU:$AU,0),28)/'Production cost'!$E$2,"")</f>
        <v/>
      </c>
      <c r="J1512" s="3153" t="str">
        <f ca="1">IFERROR(INDEX('Production cost'!$A:$AU,MATCH($C1512,'Production cost'!$AU:$AU,0),28)/'Production cost'!$E$2,"")</f>
        <v/>
      </c>
    </row>
    <row r="1513" spans="2:10" ht="21.75">
      <c r="B1513" s="3143" t="s">
        <v>3654</v>
      </c>
      <c r="C1513" s="3143">
        <f t="shared" si="27"/>
        <v>168</v>
      </c>
      <c r="D1513" s="3143" t="str">
        <f ca="1">IFERROR(INDEX('Production cost'!$A:$AU,MATCH($C1513,'Production cost'!$AU:$AU,0),6),"")</f>
        <v/>
      </c>
      <c r="E1513" s="3143" t="str">
        <f ca="1">IFERROR(INDEX('Production cost'!$A:$AU,MATCH($C1513,'Production cost'!$AU:$AU,0),3),"")</f>
        <v/>
      </c>
      <c r="G1513" s="3153" t="str">
        <f ca="1">IFERROR(INDEX('Production cost'!$A:$AU,MATCH($C1513,'Production cost'!$AU:$AU,0),9),"")</f>
        <v/>
      </c>
      <c r="H1513" s="3599" t="str">
        <f ca="1">IFERROR(IFERROR(INDEX('Production cost'!$A:$AU,MATCH($C1513,'Production cost'!$AU:$AU,0),11),"")+IFERROR(INDEX('Production cost'!$A:$AU,MATCH($C1513,'Production cost'!$AU:$AU,0),12),""),"")</f>
        <v/>
      </c>
      <c r="I1513" s="3153" t="str">
        <f ca="1">IFERROR(INDEX('Production cost'!$A:$AU,MATCH($C1513,'Production cost'!$AU:$AU,0),28)/'Production cost'!$E$2,"")</f>
        <v/>
      </c>
      <c r="J1513" s="3153" t="str">
        <f ca="1">IFERROR(INDEX('Production cost'!$A:$AU,MATCH($C1513,'Production cost'!$AU:$AU,0),28)/'Production cost'!$E$2,"")</f>
        <v/>
      </c>
    </row>
    <row r="1514" spans="2:10" ht="21.75">
      <c r="B1514" s="3143" t="s">
        <v>3654</v>
      </c>
      <c r="C1514" s="3143">
        <f t="shared" si="27"/>
        <v>169</v>
      </c>
      <c r="D1514" s="3143" t="str">
        <f ca="1">IFERROR(INDEX('Production cost'!$A:$AU,MATCH($C1514,'Production cost'!$AU:$AU,0),6),"")</f>
        <v/>
      </c>
      <c r="E1514" s="3143" t="str">
        <f ca="1">IFERROR(INDEX('Production cost'!$A:$AU,MATCH($C1514,'Production cost'!$AU:$AU,0),3),"")</f>
        <v/>
      </c>
      <c r="G1514" s="3153" t="str">
        <f ca="1">IFERROR(INDEX('Production cost'!$A:$AU,MATCH($C1514,'Production cost'!$AU:$AU,0),9),"")</f>
        <v/>
      </c>
      <c r="H1514" s="3599" t="str">
        <f ca="1">IFERROR(IFERROR(INDEX('Production cost'!$A:$AU,MATCH($C1514,'Production cost'!$AU:$AU,0),11),"")+IFERROR(INDEX('Production cost'!$A:$AU,MATCH($C1514,'Production cost'!$AU:$AU,0),12),""),"")</f>
        <v/>
      </c>
      <c r="I1514" s="3153" t="str">
        <f ca="1">IFERROR(INDEX('Production cost'!$A:$AU,MATCH($C1514,'Production cost'!$AU:$AU,0),28)/'Production cost'!$E$2,"")</f>
        <v/>
      </c>
      <c r="J1514" s="3153" t="str">
        <f ca="1">IFERROR(INDEX('Production cost'!$A:$AU,MATCH($C1514,'Production cost'!$AU:$AU,0),28)/'Production cost'!$E$2,"")</f>
        <v/>
      </c>
    </row>
    <row r="1515" spans="2:10" ht="21.75">
      <c r="B1515" s="3143" t="s">
        <v>3654</v>
      </c>
      <c r="C1515" s="3143">
        <f t="shared" si="27"/>
        <v>170</v>
      </c>
      <c r="D1515" s="3143" t="str">
        <f ca="1">IFERROR(INDEX('Production cost'!$A:$AU,MATCH($C1515,'Production cost'!$AU:$AU,0),6),"")</f>
        <v/>
      </c>
      <c r="E1515" s="3143" t="str">
        <f ca="1">IFERROR(INDEX('Production cost'!$A:$AU,MATCH($C1515,'Production cost'!$AU:$AU,0),3),"")</f>
        <v/>
      </c>
      <c r="G1515" s="3153" t="str">
        <f ca="1">IFERROR(INDEX('Production cost'!$A:$AU,MATCH($C1515,'Production cost'!$AU:$AU,0),9),"")</f>
        <v/>
      </c>
      <c r="H1515" s="3599" t="str">
        <f ca="1">IFERROR(IFERROR(INDEX('Production cost'!$A:$AU,MATCH($C1515,'Production cost'!$AU:$AU,0),11),"")+IFERROR(INDEX('Production cost'!$A:$AU,MATCH($C1515,'Production cost'!$AU:$AU,0),12),""),"")</f>
        <v/>
      </c>
      <c r="I1515" s="3153" t="str">
        <f ca="1">IFERROR(INDEX('Production cost'!$A:$AU,MATCH($C1515,'Production cost'!$AU:$AU,0),28)/'Production cost'!$E$2,"")</f>
        <v/>
      </c>
      <c r="J1515" s="3153" t="str">
        <f ca="1">IFERROR(INDEX('Production cost'!$A:$AU,MATCH($C1515,'Production cost'!$AU:$AU,0),28)/'Production cost'!$E$2,"")</f>
        <v/>
      </c>
    </row>
    <row r="1516" spans="2:10" ht="21.75">
      <c r="B1516" s="3143" t="s">
        <v>3654</v>
      </c>
      <c r="C1516" s="3143">
        <f t="shared" si="27"/>
        <v>171</v>
      </c>
      <c r="D1516" s="3143" t="str">
        <f ca="1">IFERROR(INDEX('Production cost'!$A:$AU,MATCH($C1516,'Production cost'!$AU:$AU,0),6),"")</f>
        <v/>
      </c>
      <c r="E1516" s="3143" t="str">
        <f ca="1">IFERROR(INDEX('Production cost'!$A:$AU,MATCH($C1516,'Production cost'!$AU:$AU,0),3),"")</f>
        <v/>
      </c>
      <c r="G1516" s="3153" t="str">
        <f ca="1">IFERROR(INDEX('Production cost'!$A:$AU,MATCH($C1516,'Production cost'!$AU:$AU,0),9),"")</f>
        <v/>
      </c>
      <c r="H1516" s="3599" t="str">
        <f ca="1">IFERROR(IFERROR(INDEX('Production cost'!$A:$AU,MATCH($C1516,'Production cost'!$AU:$AU,0),11),"")+IFERROR(INDEX('Production cost'!$A:$AU,MATCH($C1516,'Production cost'!$AU:$AU,0),12),""),"")</f>
        <v/>
      </c>
      <c r="I1516" s="3153" t="str">
        <f ca="1">IFERROR(INDEX('Production cost'!$A:$AU,MATCH($C1516,'Production cost'!$AU:$AU,0),28)/'Production cost'!$E$2,"")</f>
        <v/>
      </c>
      <c r="J1516" s="3153" t="str">
        <f ca="1">IFERROR(INDEX('Production cost'!$A:$AU,MATCH($C1516,'Production cost'!$AU:$AU,0),28)/'Production cost'!$E$2,"")</f>
        <v/>
      </c>
    </row>
    <row r="1517" spans="2:10" ht="21.75">
      <c r="B1517" s="3143" t="s">
        <v>3654</v>
      </c>
      <c r="C1517" s="3143">
        <f t="shared" si="27"/>
        <v>172</v>
      </c>
      <c r="D1517" s="3143" t="str">
        <f ca="1">IFERROR(INDEX('Production cost'!$A:$AU,MATCH($C1517,'Production cost'!$AU:$AU,0),6),"")</f>
        <v/>
      </c>
      <c r="E1517" s="3143" t="str">
        <f ca="1">IFERROR(INDEX('Production cost'!$A:$AU,MATCH($C1517,'Production cost'!$AU:$AU,0),3),"")</f>
        <v/>
      </c>
      <c r="G1517" s="3153" t="str">
        <f ca="1">IFERROR(INDEX('Production cost'!$A:$AU,MATCH($C1517,'Production cost'!$AU:$AU,0),9),"")</f>
        <v/>
      </c>
      <c r="H1517" s="3599" t="str">
        <f ca="1">IFERROR(IFERROR(INDEX('Production cost'!$A:$AU,MATCH($C1517,'Production cost'!$AU:$AU,0),11),"")+IFERROR(INDEX('Production cost'!$A:$AU,MATCH($C1517,'Production cost'!$AU:$AU,0),12),""),"")</f>
        <v/>
      </c>
      <c r="I1517" s="3153" t="str">
        <f ca="1">IFERROR(INDEX('Production cost'!$A:$AU,MATCH($C1517,'Production cost'!$AU:$AU,0),28)/'Production cost'!$E$2,"")</f>
        <v/>
      </c>
      <c r="J1517" s="3153" t="str">
        <f ca="1">IFERROR(INDEX('Production cost'!$A:$AU,MATCH($C1517,'Production cost'!$AU:$AU,0),28)/'Production cost'!$E$2,"")</f>
        <v/>
      </c>
    </row>
    <row r="1518" spans="2:10" ht="21.75">
      <c r="B1518" s="3143" t="s">
        <v>3654</v>
      </c>
      <c r="C1518" s="3143">
        <f t="shared" si="27"/>
        <v>173</v>
      </c>
      <c r="D1518" s="3143" t="str">
        <f ca="1">IFERROR(INDEX('Production cost'!$A:$AU,MATCH($C1518,'Production cost'!$AU:$AU,0),6),"")</f>
        <v/>
      </c>
      <c r="E1518" s="3143" t="str">
        <f ca="1">IFERROR(INDEX('Production cost'!$A:$AU,MATCH($C1518,'Production cost'!$AU:$AU,0),3),"")</f>
        <v/>
      </c>
      <c r="G1518" s="3153" t="str">
        <f ca="1">IFERROR(INDEX('Production cost'!$A:$AU,MATCH($C1518,'Production cost'!$AU:$AU,0),9),"")</f>
        <v/>
      </c>
      <c r="H1518" s="3599" t="str">
        <f ca="1">IFERROR(IFERROR(INDEX('Production cost'!$A:$AU,MATCH($C1518,'Production cost'!$AU:$AU,0),11),"")+IFERROR(INDEX('Production cost'!$A:$AU,MATCH($C1518,'Production cost'!$AU:$AU,0),12),""),"")</f>
        <v/>
      </c>
      <c r="I1518" s="3153" t="str">
        <f ca="1">IFERROR(INDEX('Production cost'!$A:$AU,MATCH($C1518,'Production cost'!$AU:$AU,0),28)/'Production cost'!$E$2,"")</f>
        <v/>
      </c>
      <c r="J1518" s="3153" t="str">
        <f ca="1">IFERROR(INDEX('Production cost'!$A:$AU,MATCH($C1518,'Production cost'!$AU:$AU,0),28)/'Production cost'!$E$2,"")</f>
        <v/>
      </c>
    </row>
    <row r="1519" spans="2:10" ht="21.75">
      <c r="B1519" s="3143" t="s">
        <v>3654</v>
      </c>
      <c r="C1519" s="3143">
        <f t="shared" si="27"/>
        <v>174</v>
      </c>
      <c r="D1519" s="3143" t="str">
        <f ca="1">IFERROR(INDEX('Production cost'!$A:$AU,MATCH($C1519,'Production cost'!$AU:$AU,0),6),"")</f>
        <v/>
      </c>
      <c r="E1519" s="3143" t="str">
        <f ca="1">IFERROR(INDEX('Production cost'!$A:$AU,MATCH($C1519,'Production cost'!$AU:$AU,0),3),"")</f>
        <v/>
      </c>
      <c r="G1519" s="3153" t="str">
        <f ca="1">IFERROR(INDEX('Production cost'!$A:$AU,MATCH($C1519,'Production cost'!$AU:$AU,0),9),"")</f>
        <v/>
      </c>
      <c r="H1519" s="3599" t="str">
        <f ca="1">IFERROR(IFERROR(INDEX('Production cost'!$A:$AU,MATCH($C1519,'Production cost'!$AU:$AU,0),11),"")+IFERROR(INDEX('Production cost'!$A:$AU,MATCH($C1519,'Production cost'!$AU:$AU,0),12),""),"")</f>
        <v/>
      </c>
      <c r="I1519" s="3153" t="str">
        <f ca="1">IFERROR(INDEX('Production cost'!$A:$AU,MATCH($C1519,'Production cost'!$AU:$AU,0),28)/'Production cost'!$E$2,"")</f>
        <v/>
      </c>
      <c r="J1519" s="3153" t="str">
        <f ca="1">IFERROR(INDEX('Production cost'!$A:$AU,MATCH($C1519,'Production cost'!$AU:$AU,0),28)/'Production cost'!$E$2,"")</f>
        <v/>
      </c>
    </row>
    <row r="1520" spans="2:10" ht="21.75">
      <c r="B1520" s="3143" t="s">
        <v>3654</v>
      </c>
      <c r="C1520" s="3143">
        <f t="shared" si="27"/>
        <v>175</v>
      </c>
      <c r="D1520" s="3143" t="str">
        <f ca="1">IFERROR(INDEX('Production cost'!$A:$AU,MATCH($C1520,'Production cost'!$AU:$AU,0),6),"")</f>
        <v/>
      </c>
      <c r="E1520" s="3143" t="str">
        <f ca="1">IFERROR(INDEX('Production cost'!$A:$AU,MATCH($C1520,'Production cost'!$AU:$AU,0),3),"")</f>
        <v/>
      </c>
      <c r="G1520" s="3153" t="str">
        <f ca="1">IFERROR(INDEX('Production cost'!$A:$AU,MATCH($C1520,'Production cost'!$AU:$AU,0),9),"")</f>
        <v/>
      </c>
      <c r="H1520" s="3599" t="str">
        <f ca="1">IFERROR(IFERROR(INDEX('Production cost'!$A:$AU,MATCH($C1520,'Production cost'!$AU:$AU,0),11),"")+IFERROR(INDEX('Production cost'!$A:$AU,MATCH($C1520,'Production cost'!$AU:$AU,0),12),""),"")</f>
        <v/>
      </c>
      <c r="I1520" s="3153" t="str">
        <f ca="1">IFERROR(INDEX('Production cost'!$A:$AU,MATCH($C1520,'Production cost'!$AU:$AU,0),28)/'Production cost'!$E$2,"")</f>
        <v/>
      </c>
      <c r="J1520" s="3153" t="str">
        <f ca="1">IFERROR(INDEX('Production cost'!$A:$AU,MATCH($C1520,'Production cost'!$AU:$AU,0),28)/'Production cost'!$E$2,"")</f>
        <v/>
      </c>
    </row>
    <row r="1521" spans="2:10" ht="21.75">
      <c r="B1521" s="3143" t="s">
        <v>3654</v>
      </c>
      <c r="C1521" s="3143">
        <f t="shared" si="27"/>
        <v>176</v>
      </c>
      <c r="D1521" s="3143" t="str">
        <f ca="1">IFERROR(INDEX('Production cost'!$A:$AU,MATCH($C1521,'Production cost'!$AU:$AU,0),6),"")</f>
        <v/>
      </c>
      <c r="E1521" s="3143" t="str">
        <f ca="1">IFERROR(INDEX('Production cost'!$A:$AU,MATCH($C1521,'Production cost'!$AU:$AU,0),3),"")</f>
        <v/>
      </c>
      <c r="G1521" s="3153" t="str">
        <f ca="1">IFERROR(INDEX('Production cost'!$A:$AU,MATCH($C1521,'Production cost'!$AU:$AU,0),9),"")</f>
        <v/>
      </c>
      <c r="H1521" s="3599" t="str">
        <f ca="1">IFERROR(IFERROR(INDEX('Production cost'!$A:$AU,MATCH($C1521,'Production cost'!$AU:$AU,0),11),"")+IFERROR(INDEX('Production cost'!$A:$AU,MATCH($C1521,'Production cost'!$AU:$AU,0),12),""),"")</f>
        <v/>
      </c>
      <c r="I1521" s="3153" t="str">
        <f ca="1">IFERROR(INDEX('Production cost'!$A:$AU,MATCH($C1521,'Production cost'!$AU:$AU,0),28)/'Production cost'!$E$2,"")</f>
        <v/>
      </c>
      <c r="J1521" s="3153" t="str">
        <f ca="1">IFERROR(INDEX('Production cost'!$A:$AU,MATCH($C1521,'Production cost'!$AU:$AU,0),28)/'Production cost'!$E$2,"")</f>
        <v/>
      </c>
    </row>
    <row r="1522" spans="2:10" ht="21.75">
      <c r="B1522" s="3143" t="s">
        <v>3654</v>
      </c>
      <c r="C1522" s="3143">
        <f t="shared" si="27"/>
        <v>177</v>
      </c>
      <c r="D1522" s="3143" t="str">
        <f ca="1">IFERROR(INDEX('Production cost'!$A:$AU,MATCH($C1522,'Production cost'!$AU:$AU,0),6),"")</f>
        <v/>
      </c>
      <c r="E1522" s="3143" t="str">
        <f ca="1">IFERROR(INDEX('Production cost'!$A:$AU,MATCH($C1522,'Production cost'!$AU:$AU,0),3),"")</f>
        <v/>
      </c>
      <c r="G1522" s="3153" t="str">
        <f ca="1">IFERROR(INDEX('Production cost'!$A:$AU,MATCH($C1522,'Production cost'!$AU:$AU,0),9),"")</f>
        <v/>
      </c>
      <c r="H1522" s="3599" t="str">
        <f ca="1">IFERROR(IFERROR(INDEX('Production cost'!$A:$AU,MATCH($C1522,'Production cost'!$AU:$AU,0),11),"")+IFERROR(INDEX('Production cost'!$A:$AU,MATCH($C1522,'Production cost'!$AU:$AU,0),12),""),"")</f>
        <v/>
      </c>
      <c r="I1522" s="3153" t="str">
        <f ca="1">IFERROR(INDEX('Production cost'!$A:$AU,MATCH($C1522,'Production cost'!$AU:$AU,0),28)/'Production cost'!$E$2,"")</f>
        <v/>
      </c>
      <c r="J1522" s="3153" t="str">
        <f ca="1">IFERROR(INDEX('Production cost'!$A:$AU,MATCH($C1522,'Production cost'!$AU:$AU,0),28)/'Production cost'!$E$2,"")</f>
        <v/>
      </c>
    </row>
    <row r="1523" spans="2:10" ht="21.75">
      <c r="B1523" s="3143" t="s">
        <v>3654</v>
      </c>
      <c r="C1523" s="3143">
        <f t="shared" si="27"/>
        <v>178</v>
      </c>
      <c r="D1523" s="3143" t="str">
        <f ca="1">IFERROR(INDEX('Production cost'!$A:$AU,MATCH($C1523,'Production cost'!$AU:$AU,0),6),"")</f>
        <v/>
      </c>
      <c r="E1523" s="3143" t="str">
        <f ca="1">IFERROR(INDEX('Production cost'!$A:$AU,MATCH($C1523,'Production cost'!$AU:$AU,0),3),"")</f>
        <v/>
      </c>
      <c r="G1523" s="3153" t="str">
        <f ca="1">IFERROR(INDEX('Production cost'!$A:$AU,MATCH($C1523,'Production cost'!$AU:$AU,0),9),"")</f>
        <v/>
      </c>
      <c r="H1523" s="3599" t="str">
        <f ca="1">IFERROR(IFERROR(INDEX('Production cost'!$A:$AU,MATCH($C1523,'Production cost'!$AU:$AU,0),11),"")+IFERROR(INDEX('Production cost'!$A:$AU,MATCH($C1523,'Production cost'!$AU:$AU,0),12),""),"")</f>
        <v/>
      </c>
      <c r="I1523" s="3153" t="str">
        <f ca="1">IFERROR(INDEX('Production cost'!$A:$AU,MATCH($C1523,'Production cost'!$AU:$AU,0),28)/'Production cost'!$E$2,"")</f>
        <v/>
      </c>
      <c r="J1523" s="3153" t="str">
        <f ca="1">IFERROR(INDEX('Production cost'!$A:$AU,MATCH($C1523,'Production cost'!$AU:$AU,0),28)/'Production cost'!$E$2,"")</f>
        <v/>
      </c>
    </row>
    <row r="1524" spans="2:10" ht="21.75">
      <c r="B1524" s="3143" t="s">
        <v>3654</v>
      </c>
      <c r="C1524" s="3143">
        <f t="shared" si="27"/>
        <v>179</v>
      </c>
      <c r="D1524" s="3143" t="str">
        <f ca="1">IFERROR(INDEX('Production cost'!$A:$AU,MATCH($C1524,'Production cost'!$AU:$AU,0),6),"")</f>
        <v/>
      </c>
      <c r="E1524" s="3143" t="str">
        <f ca="1">IFERROR(INDEX('Production cost'!$A:$AU,MATCH($C1524,'Production cost'!$AU:$AU,0),3),"")</f>
        <v/>
      </c>
      <c r="G1524" s="3153" t="str">
        <f ca="1">IFERROR(INDEX('Production cost'!$A:$AU,MATCH($C1524,'Production cost'!$AU:$AU,0),9),"")</f>
        <v/>
      </c>
      <c r="H1524" s="3599" t="str">
        <f ca="1">IFERROR(IFERROR(INDEX('Production cost'!$A:$AU,MATCH($C1524,'Production cost'!$AU:$AU,0),11),"")+IFERROR(INDEX('Production cost'!$A:$AU,MATCH($C1524,'Production cost'!$AU:$AU,0),12),""),"")</f>
        <v/>
      </c>
      <c r="I1524" s="3153" t="str">
        <f ca="1">IFERROR(INDEX('Production cost'!$A:$AU,MATCH($C1524,'Production cost'!$AU:$AU,0),28)/'Production cost'!$E$2,"")</f>
        <v/>
      </c>
      <c r="J1524" s="3153" t="str">
        <f ca="1">IFERROR(INDEX('Production cost'!$A:$AU,MATCH($C1524,'Production cost'!$AU:$AU,0),28)/'Production cost'!$E$2,"")</f>
        <v/>
      </c>
    </row>
    <row r="1525" spans="2:10" ht="21.75">
      <c r="B1525" s="3143" t="s">
        <v>3654</v>
      </c>
      <c r="C1525" s="3143">
        <f t="shared" si="27"/>
        <v>180</v>
      </c>
      <c r="D1525" s="3143" t="str">
        <f ca="1">IFERROR(INDEX('Production cost'!$A:$AU,MATCH($C1525,'Production cost'!$AU:$AU,0),6),"")</f>
        <v/>
      </c>
      <c r="E1525" s="3143" t="str">
        <f ca="1">IFERROR(INDEX('Production cost'!$A:$AU,MATCH($C1525,'Production cost'!$AU:$AU,0),3),"")</f>
        <v/>
      </c>
      <c r="G1525" s="3153" t="str">
        <f ca="1">IFERROR(INDEX('Production cost'!$A:$AU,MATCH($C1525,'Production cost'!$AU:$AU,0),9),"")</f>
        <v/>
      </c>
      <c r="H1525" s="3599" t="str">
        <f ca="1">IFERROR(IFERROR(INDEX('Production cost'!$A:$AU,MATCH($C1525,'Production cost'!$AU:$AU,0),11),"")+IFERROR(INDEX('Production cost'!$A:$AU,MATCH($C1525,'Production cost'!$AU:$AU,0),12),""),"")</f>
        <v/>
      </c>
      <c r="I1525" s="3153" t="str">
        <f ca="1">IFERROR(INDEX('Production cost'!$A:$AU,MATCH($C1525,'Production cost'!$AU:$AU,0),28)/'Production cost'!$E$2,"")</f>
        <v/>
      </c>
      <c r="J1525" s="3153" t="str">
        <f ca="1">IFERROR(INDEX('Production cost'!$A:$AU,MATCH($C1525,'Production cost'!$AU:$AU,0),28)/'Production cost'!$E$2,"")</f>
        <v/>
      </c>
    </row>
    <row r="1526" spans="2:10" ht="21.75">
      <c r="B1526" s="3143" t="s">
        <v>3654</v>
      </c>
      <c r="C1526" s="3143">
        <f t="shared" si="27"/>
        <v>181</v>
      </c>
      <c r="D1526" s="3143" t="str">
        <f ca="1">IFERROR(INDEX('Production cost'!$A:$AU,MATCH($C1526,'Production cost'!$AU:$AU,0),6),"")</f>
        <v/>
      </c>
      <c r="E1526" s="3143" t="str">
        <f ca="1">IFERROR(INDEX('Production cost'!$A:$AU,MATCH($C1526,'Production cost'!$AU:$AU,0),3),"")</f>
        <v/>
      </c>
      <c r="G1526" s="3153" t="str">
        <f ca="1">IFERROR(INDEX('Production cost'!$A:$AU,MATCH($C1526,'Production cost'!$AU:$AU,0),9),"")</f>
        <v/>
      </c>
      <c r="H1526" s="3599" t="str">
        <f ca="1">IFERROR(IFERROR(INDEX('Production cost'!$A:$AU,MATCH($C1526,'Production cost'!$AU:$AU,0),11),"")+IFERROR(INDEX('Production cost'!$A:$AU,MATCH($C1526,'Production cost'!$AU:$AU,0),12),""),"")</f>
        <v/>
      </c>
      <c r="I1526" s="3153" t="str">
        <f ca="1">IFERROR(INDEX('Production cost'!$A:$AU,MATCH($C1526,'Production cost'!$AU:$AU,0),28)/'Production cost'!$E$2,"")</f>
        <v/>
      </c>
      <c r="J1526" s="3153" t="str">
        <f ca="1">IFERROR(INDEX('Production cost'!$A:$AU,MATCH($C1526,'Production cost'!$AU:$AU,0),28)/'Production cost'!$E$2,"")</f>
        <v/>
      </c>
    </row>
    <row r="1527" spans="2:10" ht="21.75">
      <c r="B1527" s="3143" t="s">
        <v>3654</v>
      </c>
      <c r="C1527" s="3143">
        <f t="shared" si="27"/>
        <v>182</v>
      </c>
      <c r="D1527" s="3143" t="str">
        <f ca="1">IFERROR(INDEX('Production cost'!$A:$AU,MATCH($C1527,'Production cost'!$AU:$AU,0),6),"")</f>
        <v/>
      </c>
      <c r="E1527" s="3143" t="str">
        <f ca="1">IFERROR(INDEX('Production cost'!$A:$AU,MATCH($C1527,'Production cost'!$AU:$AU,0),3),"")</f>
        <v/>
      </c>
      <c r="G1527" s="3153" t="str">
        <f ca="1">IFERROR(INDEX('Production cost'!$A:$AU,MATCH($C1527,'Production cost'!$AU:$AU,0),9),"")</f>
        <v/>
      </c>
      <c r="H1527" s="3599" t="str">
        <f ca="1">IFERROR(IFERROR(INDEX('Production cost'!$A:$AU,MATCH($C1527,'Production cost'!$AU:$AU,0),11),"")+IFERROR(INDEX('Production cost'!$A:$AU,MATCH($C1527,'Production cost'!$AU:$AU,0),12),""),"")</f>
        <v/>
      </c>
      <c r="I1527" s="3153" t="str">
        <f ca="1">IFERROR(INDEX('Production cost'!$A:$AU,MATCH($C1527,'Production cost'!$AU:$AU,0),28)/'Production cost'!$E$2,"")</f>
        <v/>
      </c>
      <c r="J1527" s="3153" t="str">
        <f ca="1">IFERROR(INDEX('Production cost'!$A:$AU,MATCH($C1527,'Production cost'!$AU:$AU,0),28)/'Production cost'!$E$2,"")</f>
        <v/>
      </c>
    </row>
    <row r="1528" spans="2:10" ht="21.75">
      <c r="B1528" s="3143" t="s">
        <v>3654</v>
      </c>
      <c r="C1528" s="3143">
        <f t="shared" si="27"/>
        <v>183</v>
      </c>
      <c r="D1528" s="3143" t="str">
        <f ca="1">IFERROR(INDEX('Production cost'!$A:$AU,MATCH($C1528,'Production cost'!$AU:$AU,0),6),"")</f>
        <v/>
      </c>
      <c r="E1528" s="3143" t="str">
        <f ca="1">IFERROR(INDEX('Production cost'!$A:$AU,MATCH($C1528,'Production cost'!$AU:$AU,0),3),"")</f>
        <v/>
      </c>
      <c r="G1528" s="3153" t="str">
        <f ca="1">IFERROR(INDEX('Production cost'!$A:$AU,MATCH($C1528,'Production cost'!$AU:$AU,0),9),"")</f>
        <v/>
      </c>
      <c r="H1528" s="3599" t="str">
        <f ca="1">IFERROR(IFERROR(INDEX('Production cost'!$A:$AU,MATCH($C1528,'Production cost'!$AU:$AU,0),11),"")+IFERROR(INDEX('Production cost'!$A:$AU,MATCH($C1528,'Production cost'!$AU:$AU,0),12),""),"")</f>
        <v/>
      </c>
      <c r="I1528" s="3153" t="str">
        <f ca="1">IFERROR(INDEX('Production cost'!$A:$AU,MATCH($C1528,'Production cost'!$AU:$AU,0),28)/'Production cost'!$E$2,"")</f>
        <v/>
      </c>
      <c r="J1528" s="3153" t="str">
        <f ca="1">IFERROR(INDEX('Production cost'!$A:$AU,MATCH($C1528,'Production cost'!$AU:$AU,0),28)/'Production cost'!$E$2,"")</f>
        <v/>
      </c>
    </row>
    <row r="1529" spans="2:10" ht="21.75">
      <c r="B1529" s="3143" t="s">
        <v>3654</v>
      </c>
      <c r="C1529" s="3143">
        <f t="shared" si="27"/>
        <v>184</v>
      </c>
      <c r="D1529" s="3143" t="str">
        <f ca="1">IFERROR(INDEX('Production cost'!$A:$AU,MATCH($C1529,'Production cost'!$AU:$AU,0),6),"")</f>
        <v/>
      </c>
      <c r="E1529" s="3143" t="str">
        <f ca="1">IFERROR(INDEX('Production cost'!$A:$AU,MATCH($C1529,'Production cost'!$AU:$AU,0),3),"")</f>
        <v/>
      </c>
      <c r="G1529" s="3153" t="str">
        <f ca="1">IFERROR(INDEX('Production cost'!$A:$AU,MATCH($C1529,'Production cost'!$AU:$AU,0),9),"")</f>
        <v/>
      </c>
      <c r="H1529" s="3599" t="str">
        <f ca="1">IFERROR(IFERROR(INDEX('Production cost'!$A:$AU,MATCH($C1529,'Production cost'!$AU:$AU,0),11),"")+IFERROR(INDEX('Production cost'!$A:$AU,MATCH($C1529,'Production cost'!$AU:$AU,0),12),""),"")</f>
        <v/>
      </c>
      <c r="I1529" s="3153" t="str">
        <f ca="1">IFERROR(INDEX('Production cost'!$A:$AU,MATCH($C1529,'Production cost'!$AU:$AU,0),28)/'Production cost'!$E$2,"")</f>
        <v/>
      </c>
      <c r="J1529" s="3153" t="str">
        <f ca="1">IFERROR(INDEX('Production cost'!$A:$AU,MATCH($C1529,'Production cost'!$AU:$AU,0),28)/'Production cost'!$E$2,"")</f>
        <v/>
      </c>
    </row>
    <row r="1530" spans="2:10" ht="21.75">
      <c r="B1530" s="3143" t="s">
        <v>3654</v>
      </c>
      <c r="C1530" s="3143">
        <f t="shared" si="27"/>
        <v>185</v>
      </c>
      <c r="D1530" s="3143" t="str">
        <f ca="1">IFERROR(INDEX('Production cost'!$A:$AU,MATCH($C1530,'Production cost'!$AU:$AU,0),6),"")</f>
        <v/>
      </c>
      <c r="E1530" s="3143" t="str">
        <f ca="1">IFERROR(INDEX('Production cost'!$A:$AU,MATCH($C1530,'Production cost'!$AU:$AU,0),3),"")</f>
        <v/>
      </c>
      <c r="G1530" s="3153" t="str">
        <f ca="1">IFERROR(INDEX('Production cost'!$A:$AU,MATCH($C1530,'Production cost'!$AU:$AU,0),9),"")</f>
        <v/>
      </c>
      <c r="H1530" s="3599" t="str">
        <f ca="1">IFERROR(IFERROR(INDEX('Production cost'!$A:$AU,MATCH($C1530,'Production cost'!$AU:$AU,0),11),"")+IFERROR(INDEX('Production cost'!$A:$AU,MATCH($C1530,'Production cost'!$AU:$AU,0),12),""),"")</f>
        <v/>
      </c>
      <c r="I1530" s="3153" t="str">
        <f ca="1">IFERROR(INDEX('Production cost'!$A:$AU,MATCH($C1530,'Production cost'!$AU:$AU,0),28)/'Production cost'!$E$2,"")</f>
        <v/>
      </c>
      <c r="J1530" s="3153" t="str">
        <f ca="1">IFERROR(INDEX('Production cost'!$A:$AU,MATCH($C1530,'Production cost'!$AU:$AU,0),28)/'Production cost'!$E$2,"")</f>
        <v/>
      </c>
    </row>
    <row r="1531" spans="2:10" ht="21.75">
      <c r="B1531" s="3143" t="s">
        <v>3654</v>
      </c>
      <c r="C1531" s="3143">
        <f t="shared" si="27"/>
        <v>186</v>
      </c>
      <c r="D1531" s="3143" t="str">
        <f ca="1">IFERROR(INDEX('Production cost'!$A:$AU,MATCH($C1531,'Production cost'!$AU:$AU,0),6),"")</f>
        <v/>
      </c>
      <c r="E1531" s="3143" t="str">
        <f ca="1">IFERROR(INDEX('Production cost'!$A:$AU,MATCH($C1531,'Production cost'!$AU:$AU,0),3),"")</f>
        <v/>
      </c>
      <c r="G1531" s="3153" t="str">
        <f ca="1">IFERROR(INDEX('Production cost'!$A:$AU,MATCH($C1531,'Production cost'!$AU:$AU,0),9),"")</f>
        <v/>
      </c>
      <c r="H1531" s="3599" t="str">
        <f ca="1">IFERROR(IFERROR(INDEX('Production cost'!$A:$AU,MATCH($C1531,'Production cost'!$AU:$AU,0),11),"")+IFERROR(INDEX('Production cost'!$A:$AU,MATCH($C1531,'Production cost'!$AU:$AU,0),12),""),"")</f>
        <v/>
      </c>
      <c r="I1531" s="3153" t="str">
        <f ca="1">IFERROR(INDEX('Production cost'!$A:$AU,MATCH($C1531,'Production cost'!$AU:$AU,0),28)/'Production cost'!$E$2,"")</f>
        <v/>
      </c>
      <c r="J1531" s="3153" t="str">
        <f ca="1">IFERROR(INDEX('Production cost'!$A:$AU,MATCH($C1531,'Production cost'!$AU:$AU,0),28)/'Production cost'!$E$2,"")</f>
        <v/>
      </c>
    </row>
    <row r="1532" spans="2:10" ht="21.75">
      <c r="B1532" s="3143" t="s">
        <v>3654</v>
      </c>
      <c r="C1532" s="3143">
        <f t="shared" si="27"/>
        <v>187</v>
      </c>
      <c r="D1532" s="3143" t="str">
        <f ca="1">IFERROR(INDEX('Production cost'!$A:$AU,MATCH($C1532,'Production cost'!$AU:$AU,0),6),"")</f>
        <v/>
      </c>
      <c r="E1532" s="3143" t="str">
        <f ca="1">IFERROR(INDEX('Production cost'!$A:$AU,MATCH($C1532,'Production cost'!$AU:$AU,0),3),"")</f>
        <v/>
      </c>
      <c r="G1532" s="3153" t="str">
        <f ca="1">IFERROR(INDEX('Production cost'!$A:$AU,MATCH($C1532,'Production cost'!$AU:$AU,0),9),"")</f>
        <v/>
      </c>
      <c r="H1532" s="3599" t="str">
        <f ca="1">IFERROR(IFERROR(INDEX('Production cost'!$A:$AU,MATCH($C1532,'Production cost'!$AU:$AU,0),11),"")+IFERROR(INDEX('Production cost'!$A:$AU,MATCH($C1532,'Production cost'!$AU:$AU,0),12),""),"")</f>
        <v/>
      </c>
      <c r="I1532" s="3153" t="str">
        <f ca="1">IFERROR(INDEX('Production cost'!$A:$AU,MATCH($C1532,'Production cost'!$AU:$AU,0),28)/'Production cost'!$E$2,"")</f>
        <v/>
      </c>
      <c r="J1532" s="3153" t="str">
        <f ca="1">IFERROR(INDEX('Production cost'!$A:$AU,MATCH($C1532,'Production cost'!$AU:$AU,0),28)/'Production cost'!$E$2,"")</f>
        <v/>
      </c>
    </row>
    <row r="1533" spans="2:10" ht="21.75">
      <c r="B1533" s="3143" t="s">
        <v>3654</v>
      </c>
      <c r="C1533" s="3143">
        <f t="shared" si="27"/>
        <v>188</v>
      </c>
      <c r="D1533" s="3143" t="str">
        <f ca="1">IFERROR(INDEX('Production cost'!$A:$AU,MATCH($C1533,'Production cost'!$AU:$AU,0),6),"")</f>
        <v/>
      </c>
      <c r="E1533" s="3143" t="str">
        <f ca="1">IFERROR(INDEX('Production cost'!$A:$AU,MATCH($C1533,'Production cost'!$AU:$AU,0),3),"")</f>
        <v/>
      </c>
      <c r="G1533" s="3153" t="str">
        <f ca="1">IFERROR(INDEX('Production cost'!$A:$AU,MATCH($C1533,'Production cost'!$AU:$AU,0),9),"")</f>
        <v/>
      </c>
      <c r="H1533" s="3599" t="str">
        <f ca="1">IFERROR(IFERROR(INDEX('Production cost'!$A:$AU,MATCH($C1533,'Production cost'!$AU:$AU,0),11),"")+IFERROR(INDEX('Production cost'!$A:$AU,MATCH($C1533,'Production cost'!$AU:$AU,0),12),""),"")</f>
        <v/>
      </c>
      <c r="I1533" s="3153" t="str">
        <f ca="1">IFERROR(INDEX('Production cost'!$A:$AU,MATCH($C1533,'Production cost'!$AU:$AU,0),28)/'Production cost'!$E$2,"")</f>
        <v/>
      </c>
      <c r="J1533" s="3153" t="str">
        <f ca="1">IFERROR(INDEX('Production cost'!$A:$AU,MATCH($C1533,'Production cost'!$AU:$AU,0),28)/'Production cost'!$E$2,"")</f>
        <v/>
      </c>
    </row>
    <row r="1534" spans="2:10" ht="21.75">
      <c r="B1534" s="3143" t="s">
        <v>3654</v>
      </c>
      <c r="C1534" s="3143">
        <f t="shared" si="27"/>
        <v>189</v>
      </c>
      <c r="D1534" s="3143" t="str">
        <f ca="1">IFERROR(INDEX('Production cost'!$A:$AU,MATCH($C1534,'Production cost'!$AU:$AU,0),6),"")</f>
        <v/>
      </c>
      <c r="E1534" s="3143" t="str">
        <f ca="1">IFERROR(INDEX('Production cost'!$A:$AU,MATCH($C1534,'Production cost'!$AU:$AU,0),3),"")</f>
        <v/>
      </c>
      <c r="G1534" s="3153" t="str">
        <f ca="1">IFERROR(INDEX('Production cost'!$A:$AU,MATCH($C1534,'Production cost'!$AU:$AU,0),9),"")</f>
        <v/>
      </c>
      <c r="H1534" s="3599" t="str">
        <f ca="1">IFERROR(IFERROR(INDEX('Production cost'!$A:$AU,MATCH($C1534,'Production cost'!$AU:$AU,0),11),"")+IFERROR(INDEX('Production cost'!$A:$AU,MATCH($C1534,'Production cost'!$AU:$AU,0),12),""),"")</f>
        <v/>
      </c>
      <c r="I1534" s="3153" t="str">
        <f ca="1">IFERROR(INDEX('Production cost'!$A:$AU,MATCH($C1534,'Production cost'!$AU:$AU,0),28)/'Production cost'!$E$2,"")</f>
        <v/>
      </c>
      <c r="J1534" s="3153" t="str">
        <f ca="1">IFERROR(INDEX('Production cost'!$A:$AU,MATCH($C1534,'Production cost'!$AU:$AU,0),28)/'Production cost'!$E$2,"")</f>
        <v/>
      </c>
    </row>
    <row r="1535" spans="2:10" ht="21.75">
      <c r="B1535" s="3143" t="s">
        <v>3654</v>
      </c>
      <c r="C1535" s="3143">
        <f t="shared" si="27"/>
        <v>190</v>
      </c>
      <c r="D1535" s="3143" t="str">
        <f ca="1">IFERROR(INDEX('Production cost'!$A:$AU,MATCH($C1535,'Production cost'!$AU:$AU,0),6),"")</f>
        <v/>
      </c>
      <c r="E1535" s="3143" t="str">
        <f ca="1">IFERROR(INDEX('Production cost'!$A:$AU,MATCH($C1535,'Production cost'!$AU:$AU,0),3),"")</f>
        <v/>
      </c>
      <c r="G1535" s="3153" t="str">
        <f ca="1">IFERROR(INDEX('Production cost'!$A:$AU,MATCH($C1535,'Production cost'!$AU:$AU,0),9),"")</f>
        <v/>
      </c>
      <c r="H1535" s="3599" t="str">
        <f ca="1">IFERROR(IFERROR(INDEX('Production cost'!$A:$AU,MATCH($C1535,'Production cost'!$AU:$AU,0),11),"")+IFERROR(INDEX('Production cost'!$A:$AU,MATCH($C1535,'Production cost'!$AU:$AU,0),12),""),"")</f>
        <v/>
      </c>
      <c r="I1535" s="3153" t="str">
        <f ca="1">IFERROR(INDEX('Production cost'!$A:$AU,MATCH($C1535,'Production cost'!$AU:$AU,0),28)/'Production cost'!$E$2,"")</f>
        <v/>
      </c>
      <c r="J1535" s="3153" t="str">
        <f ca="1">IFERROR(INDEX('Production cost'!$A:$AU,MATCH($C1535,'Production cost'!$AU:$AU,0),28)/'Production cost'!$E$2,"")</f>
        <v/>
      </c>
    </row>
    <row r="1536" spans="2:10" ht="21.75">
      <c r="B1536" s="3143" t="s">
        <v>3654</v>
      </c>
      <c r="C1536" s="3143">
        <f t="shared" si="27"/>
        <v>191</v>
      </c>
      <c r="D1536" s="3143" t="str">
        <f ca="1">IFERROR(INDEX('Production cost'!$A:$AU,MATCH($C1536,'Production cost'!$AU:$AU,0),6),"")</f>
        <v/>
      </c>
      <c r="E1536" s="3143" t="str">
        <f ca="1">IFERROR(INDEX('Production cost'!$A:$AU,MATCH($C1536,'Production cost'!$AU:$AU,0),3),"")</f>
        <v/>
      </c>
      <c r="G1536" s="3153" t="str">
        <f ca="1">IFERROR(INDEX('Production cost'!$A:$AU,MATCH($C1536,'Production cost'!$AU:$AU,0),9),"")</f>
        <v/>
      </c>
      <c r="H1536" s="3599" t="str">
        <f ca="1">IFERROR(IFERROR(INDEX('Production cost'!$A:$AU,MATCH($C1536,'Production cost'!$AU:$AU,0),11),"")+IFERROR(INDEX('Production cost'!$A:$AU,MATCH($C1536,'Production cost'!$AU:$AU,0),12),""),"")</f>
        <v/>
      </c>
      <c r="I1536" s="3153" t="str">
        <f ca="1">IFERROR(INDEX('Production cost'!$A:$AU,MATCH($C1536,'Production cost'!$AU:$AU,0),28)/'Production cost'!$E$2,"")</f>
        <v/>
      </c>
      <c r="J1536" s="3153" t="str">
        <f ca="1">IFERROR(INDEX('Production cost'!$A:$AU,MATCH($C1536,'Production cost'!$AU:$AU,0),28)/'Production cost'!$E$2,"")</f>
        <v/>
      </c>
    </row>
    <row r="1537" spans="2:10" ht="21.75">
      <c r="B1537" s="3143" t="s">
        <v>3654</v>
      </c>
      <c r="C1537" s="3143">
        <f t="shared" si="27"/>
        <v>192</v>
      </c>
      <c r="D1537" s="3143" t="str">
        <f ca="1">IFERROR(INDEX('Production cost'!$A:$AU,MATCH($C1537,'Production cost'!$AU:$AU,0),6),"")</f>
        <v/>
      </c>
      <c r="E1537" s="3143" t="str">
        <f ca="1">IFERROR(INDEX('Production cost'!$A:$AU,MATCH($C1537,'Production cost'!$AU:$AU,0),3),"")</f>
        <v/>
      </c>
      <c r="G1537" s="3153" t="str">
        <f ca="1">IFERROR(INDEX('Production cost'!$A:$AU,MATCH($C1537,'Production cost'!$AU:$AU,0),9),"")</f>
        <v/>
      </c>
      <c r="H1537" s="3599" t="str">
        <f ca="1">IFERROR(IFERROR(INDEX('Production cost'!$A:$AU,MATCH($C1537,'Production cost'!$AU:$AU,0),11),"")+IFERROR(INDEX('Production cost'!$A:$AU,MATCH($C1537,'Production cost'!$AU:$AU,0),12),""),"")</f>
        <v/>
      </c>
      <c r="I1537" s="3153" t="str">
        <f ca="1">IFERROR(INDEX('Production cost'!$A:$AU,MATCH($C1537,'Production cost'!$AU:$AU,0),28)/'Production cost'!$E$2,"")</f>
        <v/>
      </c>
      <c r="J1537" s="3153" t="str">
        <f ca="1">IFERROR(INDEX('Production cost'!$A:$AU,MATCH($C1537,'Production cost'!$AU:$AU,0),28)/'Production cost'!$E$2,"")</f>
        <v/>
      </c>
    </row>
    <row r="1538" spans="2:10" ht="21.75">
      <c r="B1538" s="3143" t="s">
        <v>3654</v>
      </c>
      <c r="C1538" s="3143">
        <f t="shared" si="27"/>
        <v>193</v>
      </c>
      <c r="D1538" s="3143" t="str">
        <f ca="1">IFERROR(INDEX('Production cost'!$A:$AU,MATCH($C1538,'Production cost'!$AU:$AU,0),6),"")</f>
        <v/>
      </c>
      <c r="E1538" s="3143" t="str">
        <f ca="1">IFERROR(INDEX('Production cost'!$A:$AU,MATCH($C1538,'Production cost'!$AU:$AU,0),3),"")</f>
        <v/>
      </c>
      <c r="G1538" s="3153" t="str">
        <f ca="1">IFERROR(INDEX('Production cost'!$A:$AU,MATCH($C1538,'Production cost'!$AU:$AU,0),9),"")</f>
        <v/>
      </c>
      <c r="H1538" s="3599" t="str">
        <f ca="1">IFERROR(IFERROR(INDEX('Production cost'!$A:$AU,MATCH($C1538,'Production cost'!$AU:$AU,0),11),"")+IFERROR(INDEX('Production cost'!$A:$AU,MATCH($C1538,'Production cost'!$AU:$AU,0),12),""),"")</f>
        <v/>
      </c>
      <c r="I1538" s="3153" t="str">
        <f ca="1">IFERROR(INDEX('Production cost'!$A:$AU,MATCH($C1538,'Production cost'!$AU:$AU,0),28)/'Production cost'!$E$2,"")</f>
        <v/>
      </c>
      <c r="J1538" s="3153" t="str">
        <f ca="1">IFERROR(INDEX('Production cost'!$A:$AU,MATCH($C1538,'Production cost'!$AU:$AU,0),28)/'Production cost'!$E$2,"")</f>
        <v/>
      </c>
    </row>
    <row r="1539" spans="2:10" ht="21.75">
      <c r="B1539" s="3143" t="s">
        <v>3654</v>
      </c>
      <c r="C1539" s="3143">
        <f t="shared" si="27"/>
        <v>194</v>
      </c>
      <c r="D1539" s="3143" t="str">
        <f ca="1">IFERROR(INDEX('Production cost'!$A:$AU,MATCH($C1539,'Production cost'!$AU:$AU,0),6),"")</f>
        <v/>
      </c>
      <c r="E1539" s="3143" t="str">
        <f ca="1">IFERROR(INDEX('Production cost'!$A:$AU,MATCH($C1539,'Production cost'!$AU:$AU,0),3),"")</f>
        <v/>
      </c>
      <c r="G1539" s="3153" t="str">
        <f ca="1">IFERROR(INDEX('Production cost'!$A:$AU,MATCH($C1539,'Production cost'!$AU:$AU,0),9),"")</f>
        <v/>
      </c>
      <c r="H1539" s="3599" t="str">
        <f ca="1">IFERROR(IFERROR(INDEX('Production cost'!$A:$AU,MATCH($C1539,'Production cost'!$AU:$AU,0),11),"")+IFERROR(INDEX('Production cost'!$A:$AU,MATCH($C1539,'Production cost'!$AU:$AU,0),12),""),"")</f>
        <v/>
      </c>
      <c r="I1539" s="3153" t="str">
        <f ca="1">IFERROR(INDEX('Production cost'!$A:$AU,MATCH($C1539,'Production cost'!$AU:$AU,0),28)/'Production cost'!$E$2,"")</f>
        <v/>
      </c>
      <c r="J1539" s="3153" t="str">
        <f ca="1">IFERROR(INDEX('Production cost'!$A:$AU,MATCH($C1539,'Production cost'!$AU:$AU,0),28)/'Production cost'!$E$2,"")</f>
        <v/>
      </c>
    </row>
    <row r="1540" spans="2:10" ht="21.75">
      <c r="B1540" s="3143" t="s">
        <v>3654</v>
      </c>
      <c r="C1540" s="3143">
        <f t="shared" ref="C1540:C1603" si="28">C1539+1</f>
        <v>195</v>
      </c>
      <c r="D1540" s="3143" t="str">
        <f ca="1">IFERROR(INDEX('Production cost'!$A:$AU,MATCH($C1540,'Production cost'!$AU:$AU,0),6),"")</f>
        <v/>
      </c>
      <c r="E1540" s="3143" t="str">
        <f ca="1">IFERROR(INDEX('Production cost'!$A:$AU,MATCH($C1540,'Production cost'!$AU:$AU,0),3),"")</f>
        <v/>
      </c>
      <c r="G1540" s="3153" t="str">
        <f ca="1">IFERROR(INDEX('Production cost'!$A:$AU,MATCH($C1540,'Production cost'!$AU:$AU,0),9),"")</f>
        <v/>
      </c>
      <c r="H1540" s="3599" t="str">
        <f ca="1">IFERROR(IFERROR(INDEX('Production cost'!$A:$AU,MATCH($C1540,'Production cost'!$AU:$AU,0),11),"")+IFERROR(INDEX('Production cost'!$A:$AU,MATCH($C1540,'Production cost'!$AU:$AU,0),12),""),"")</f>
        <v/>
      </c>
      <c r="I1540" s="3153" t="str">
        <f ca="1">IFERROR(INDEX('Production cost'!$A:$AU,MATCH($C1540,'Production cost'!$AU:$AU,0),28)/'Production cost'!$E$2,"")</f>
        <v/>
      </c>
      <c r="J1540" s="3153" t="str">
        <f ca="1">IFERROR(INDEX('Production cost'!$A:$AU,MATCH($C1540,'Production cost'!$AU:$AU,0),28)/'Production cost'!$E$2,"")</f>
        <v/>
      </c>
    </row>
    <row r="1541" spans="2:10" ht="21.75">
      <c r="B1541" s="3143" t="s">
        <v>3654</v>
      </c>
      <c r="C1541" s="3143">
        <f t="shared" si="28"/>
        <v>196</v>
      </c>
      <c r="D1541" s="3143" t="str">
        <f ca="1">IFERROR(INDEX('Production cost'!$A:$AU,MATCH($C1541,'Production cost'!$AU:$AU,0),6),"")</f>
        <v/>
      </c>
      <c r="E1541" s="3143" t="str">
        <f ca="1">IFERROR(INDEX('Production cost'!$A:$AU,MATCH($C1541,'Production cost'!$AU:$AU,0),3),"")</f>
        <v/>
      </c>
      <c r="G1541" s="3153" t="str">
        <f ca="1">IFERROR(INDEX('Production cost'!$A:$AU,MATCH($C1541,'Production cost'!$AU:$AU,0),9),"")</f>
        <v/>
      </c>
      <c r="H1541" s="3599" t="str">
        <f ca="1">IFERROR(IFERROR(INDEX('Production cost'!$A:$AU,MATCH($C1541,'Production cost'!$AU:$AU,0),11),"")+IFERROR(INDEX('Production cost'!$A:$AU,MATCH($C1541,'Production cost'!$AU:$AU,0),12),""),"")</f>
        <v/>
      </c>
      <c r="I1541" s="3153" t="str">
        <f ca="1">IFERROR(INDEX('Production cost'!$A:$AU,MATCH($C1541,'Production cost'!$AU:$AU,0),28)/'Production cost'!$E$2,"")</f>
        <v/>
      </c>
      <c r="J1541" s="3153" t="str">
        <f ca="1">IFERROR(INDEX('Production cost'!$A:$AU,MATCH($C1541,'Production cost'!$AU:$AU,0),28)/'Production cost'!$E$2,"")</f>
        <v/>
      </c>
    </row>
    <row r="1542" spans="2:10" ht="21.75">
      <c r="B1542" s="3143" t="s">
        <v>3654</v>
      </c>
      <c r="C1542" s="3143">
        <f t="shared" si="28"/>
        <v>197</v>
      </c>
      <c r="D1542" s="3143" t="str">
        <f ca="1">IFERROR(INDEX('Production cost'!$A:$AU,MATCH($C1542,'Production cost'!$AU:$AU,0),6),"")</f>
        <v/>
      </c>
      <c r="E1542" s="3143" t="str">
        <f ca="1">IFERROR(INDEX('Production cost'!$A:$AU,MATCH($C1542,'Production cost'!$AU:$AU,0),3),"")</f>
        <v/>
      </c>
      <c r="G1542" s="3153" t="str">
        <f ca="1">IFERROR(INDEX('Production cost'!$A:$AU,MATCH($C1542,'Production cost'!$AU:$AU,0),9),"")</f>
        <v/>
      </c>
      <c r="H1542" s="3599" t="str">
        <f ca="1">IFERROR(IFERROR(INDEX('Production cost'!$A:$AU,MATCH($C1542,'Production cost'!$AU:$AU,0),11),"")+IFERROR(INDEX('Production cost'!$A:$AU,MATCH($C1542,'Production cost'!$AU:$AU,0),12),""),"")</f>
        <v/>
      </c>
      <c r="I1542" s="3153" t="str">
        <f ca="1">IFERROR(INDEX('Production cost'!$A:$AU,MATCH($C1542,'Production cost'!$AU:$AU,0),28)/'Production cost'!$E$2,"")</f>
        <v/>
      </c>
      <c r="J1542" s="3153" t="str">
        <f ca="1">IFERROR(INDEX('Production cost'!$A:$AU,MATCH($C1542,'Production cost'!$AU:$AU,0),28)/'Production cost'!$E$2,"")</f>
        <v/>
      </c>
    </row>
    <row r="1543" spans="2:10" ht="21.75">
      <c r="B1543" s="3143" t="s">
        <v>3654</v>
      </c>
      <c r="C1543" s="3143">
        <f t="shared" si="28"/>
        <v>198</v>
      </c>
      <c r="D1543" s="3143" t="str">
        <f ca="1">IFERROR(INDEX('Production cost'!$A:$AU,MATCH($C1543,'Production cost'!$AU:$AU,0),6),"")</f>
        <v/>
      </c>
      <c r="E1543" s="3143" t="str">
        <f ca="1">IFERROR(INDEX('Production cost'!$A:$AU,MATCH($C1543,'Production cost'!$AU:$AU,0),3),"")</f>
        <v/>
      </c>
      <c r="G1543" s="3153" t="str">
        <f ca="1">IFERROR(INDEX('Production cost'!$A:$AU,MATCH($C1543,'Production cost'!$AU:$AU,0),9),"")</f>
        <v/>
      </c>
      <c r="H1543" s="3599" t="str">
        <f ca="1">IFERROR(IFERROR(INDEX('Production cost'!$A:$AU,MATCH($C1543,'Production cost'!$AU:$AU,0),11),"")+IFERROR(INDEX('Production cost'!$A:$AU,MATCH($C1543,'Production cost'!$AU:$AU,0),12),""),"")</f>
        <v/>
      </c>
      <c r="I1543" s="3153" t="str">
        <f ca="1">IFERROR(INDEX('Production cost'!$A:$AU,MATCH($C1543,'Production cost'!$AU:$AU,0),28)/'Production cost'!$E$2,"")</f>
        <v/>
      </c>
      <c r="J1543" s="3153" t="str">
        <f ca="1">IFERROR(INDEX('Production cost'!$A:$AU,MATCH($C1543,'Production cost'!$AU:$AU,0),28)/'Production cost'!$E$2,"")</f>
        <v/>
      </c>
    </row>
    <row r="1544" spans="2:10" ht="21.75">
      <c r="B1544" s="3143" t="s">
        <v>3654</v>
      </c>
      <c r="C1544" s="3143">
        <f t="shared" si="28"/>
        <v>199</v>
      </c>
      <c r="D1544" s="3143" t="str">
        <f ca="1">IFERROR(INDEX('Production cost'!$A:$AU,MATCH($C1544,'Production cost'!$AU:$AU,0),6),"")</f>
        <v/>
      </c>
      <c r="E1544" s="3143" t="str">
        <f ca="1">IFERROR(INDEX('Production cost'!$A:$AU,MATCH($C1544,'Production cost'!$AU:$AU,0),3),"")</f>
        <v/>
      </c>
      <c r="G1544" s="3153" t="str">
        <f ca="1">IFERROR(INDEX('Production cost'!$A:$AU,MATCH($C1544,'Production cost'!$AU:$AU,0),9),"")</f>
        <v/>
      </c>
      <c r="H1544" s="3599" t="str">
        <f ca="1">IFERROR(IFERROR(INDEX('Production cost'!$A:$AU,MATCH($C1544,'Production cost'!$AU:$AU,0),11),"")+IFERROR(INDEX('Production cost'!$A:$AU,MATCH($C1544,'Production cost'!$AU:$AU,0),12),""),"")</f>
        <v/>
      </c>
      <c r="I1544" s="3153" t="str">
        <f ca="1">IFERROR(INDEX('Production cost'!$A:$AU,MATCH($C1544,'Production cost'!$AU:$AU,0),28)/'Production cost'!$E$2,"")</f>
        <v/>
      </c>
      <c r="J1544" s="3153" t="str">
        <f ca="1">IFERROR(INDEX('Production cost'!$A:$AU,MATCH($C1544,'Production cost'!$AU:$AU,0),28)/'Production cost'!$E$2,"")</f>
        <v/>
      </c>
    </row>
    <row r="1545" spans="2:10" ht="21.75">
      <c r="B1545" s="3143" t="s">
        <v>3654</v>
      </c>
      <c r="C1545" s="3143">
        <f t="shared" si="28"/>
        <v>200</v>
      </c>
      <c r="D1545" s="3143" t="str">
        <f ca="1">IFERROR(INDEX('Production cost'!$A:$AU,MATCH($C1545,'Production cost'!$AU:$AU,0),6),"")</f>
        <v/>
      </c>
      <c r="E1545" s="3143" t="str">
        <f ca="1">IFERROR(INDEX('Production cost'!$A:$AU,MATCH($C1545,'Production cost'!$AU:$AU,0),3),"")</f>
        <v/>
      </c>
      <c r="G1545" s="3153" t="str">
        <f ca="1">IFERROR(INDEX('Production cost'!$A:$AU,MATCH($C1545,'Production cost'!$AU:$AU,0),9),"")</f>
        <v/>
      </c>
      <c r="H1545" s="3599" t="str">
        <f ca="1">IFERROR(IFERROR(INDEX('Production cost'!$A:$AU,MATCH($C1545,'Production cost'!$AU:$AU,0),11),"")+IFERROR(INDEX('Production cost'!$A:$AU,MATCH($C1545,'Production cost'!$AU:$AU,0),12),""),"")</f>
        <v/>
      </c>
      <c r="I1545" s="3153" t="str">
        <f ca="1">IFERROR(INDEX('Production cost'!$A:$AU,MATCH($C1545,'Production cost'!$AU:$AU,0),28)/'Production cost'!$E$2,"")</f>
        <v/>
      </c>
      <c r="J1545" s="3153" t="str">
        <f ca="1">IFERROR(INDEX('Production cost'!$A:$AU,MATCH($C1545,'Production cost'!$AU:$AU,0),28)/'Production cost'!$E$2,"")</f>
        <v/>
      </c>
    </row>
    <row r="1546" spans="2:10" ht="21.75">
      <c r="B1546" s="3143" t="s">
        <v>3654</v>
      </c>
      <c r="C1546" s="3143">
        <f t="shared" si="28"/>
        <v>201</v>
      </c>
      <c r="D1546" s="3143" t="str">
        <f ca="1">IFERROR(INDEX('Production cost'!$A:$AU,MATCH($C1546,'Production cost'!$AU:$AU,0),6),"")</f>
        <v/>
      </c>
      <c r="E1546" s="3143" t="str">
        <f ca="1">IFERROR(INDEX('Production cost'!$A:$AU,MATCH($C1546,'Production cost'!$AU:$AU,0),3),"")</f>
        <v/>
      </c>
      <c r="G1546" s="3153" t="str">
        <f ca="1">IFERROR(INDEX('Production cost'!$A:$AU,MATCH($C1546,'Production cost'!$AU:$AU,0),9),"")</f>
        <v/>
      </c>
      <c r="H1546" s="3599" t="str">
        <f ca="1">IFERROR(IFERROR(INDEX('Production cost'!$A:$AU,MATCH($C1546,'Production cost'!$AU:$AU,0),11),"")+IFERROR(INDEX('Production cost'!$A:$AU,MATCH($C1546,'Production cost'!$AU:$AU,0),12),""),"")</f>
        <v/>
      </c>
      <c r="I1546" s="3153" t="str">
        <f ca="1">IFERROR(INDEX('Production cost'!$A:$AU,MATCH($C1546,'Production cost'!$AU:$AU,0),28)/'Production cost'!$E$2,"")</f>
        <v/>
      </c>
      <c r="J1546" s="3153" t="str">
        <f ca="1">IFERROR(INDEX('Production cost'!$A:$AU,MATCH($C1546,'Production cost'!$AU:$AU,0),28)/'Production cost'!$E$2,"")</f>
        <v/>
      </c>
    </row>
    <row r="1547" spans="2:10" ht="21.75">
      <c r="B1547" s="3143" t="s">
        <v>3654</v>
      </c>
      <c r="C1547" s="3143">
        <f t="shared" si="28"/>
        <v>202</v>
      </c>
      <c r="D1547" s="3143" t="str">
        <f ca="1">IFERROR(INDEX('Production cost'!$A:$AU,MATCH($C1547,'Production cost'!$AU:$AU,0),6),"")</f>
        <v/>
      </c>
      <c r="E1547" s="3143" t="str">
        <f ca="1">IFERROR(INDEX('Production cost'!$A:$AU,MATCH($C1547,'Production cost'!$AU:$AU,0),3),"")</f>
        <v/>
      </c>
      <c r="G1547" s="3153" t="str">
        <f ca="1">IFERROR(INDEX('Production cost'!$A:$AU,MATCH($C1547,'Production cost'!$AU:$AU,0),9),"")</f>
        <v/>
      </c>
      <c r="H1547" s="3599" t="str">
        <f ca="1">IFERROR(IFERROR(INDEX('Production cost'!$A:$AU,MATCH($C1547,'Production cost'!$AU:$AU,0),11),"")+IFERROR(INDEX('Production cost'!$A:$AU,MATCH($C1547,'Production cost'!$AU:$AU,0),12),""),"")</f>
        <v/>
      </c>
      <c r="I1547" s="3153" t="str">
        <f ca="1">IFERROR(INDEX('Production cost'!$A:$AU,MATCH($C1547,'Production cost'!$AU:$AU,0),28)/'Production cost'!$E$2,"")</f>
        <v/>
      </c>
      <c r="J1547" s="3153" t="str">
        <f ca="1">IFERROR(INDEX('Production cost'!$A:$AU,MATCH($C1547,'Production cost'!$AU:$AU,0),28)/'Production cost'!$E$2,"")</f>
        <v/>
      </c>
    </row>
    <row r="1548" spans="2:10" ht="21.75">
      <c r="B1548" s="3143" t="s">
        <v>3654</v>
      </c>
      <c r="C1548" s="3143">
        <f t="shared" si="28"/>
        <v>203</v>
      </c>
      <c r="D1548" s="3143" t="str">
        <f ca="1">IFERROR(INDEX('Production cost'!$A:$AU,MATCH($C1548,'Production cost'!$AU:$AU,0),6),"")</f>
        <v/>
      </c>
      <c r="E1548" s="3143" t="str">
        <f ca="1">IFERROR(INDEX('Production cost'!$A:$AU,MATCH($C1548,'Production cost'!$AU:$AU,0),3),"")</f>
        <v/>
      </c>
      <c r="G1548" s="3153" t="str">
        <f ca="1">IFERROR(INDEX('Production cost'!$A:$AU,MATCH($C1548,'Production cost'!$AU:$AU,0),9),"")</f>
        <v/>
      </c>
      <c r="H1548" s="3599" t="str">
        <f ca="1">IFERROR(IFERROR(INDEX('Production cost'!$A:$AU,MATCH($C1548,'Production cost'!$AU:$AU,0),11),"")+IFERROR(INDEX('Production cost'!$A:$AU,MATCH($C1548,'Production cost'!$AU:$AU,0),12),""),"")</f>
        <v/>
      </c>
      <c r="I1548" s="3153" t="str">
        <f ca="1">IFERROR(INDEX('Production cost'!$A:$AU,MATCH($C1548,'Production cost'!$AU:$AU,0),28)/'Production cost'!$E$2,"")</f>
        <v/>
      </c>
      <c r="J1548" s="3153" t="str">
        <f ca="1">IFERROR(INDEX('Production cost'!$A:$AU,MATCH($C1548,'Production cost'!$AU:$AU,0),28)/'Production cost'!$E$2,"")</f>
        <v/>
      </c>
    </row>
    <row r="1549" spans="2:10" ht="21.75">
      <c r="B1549" s="3143" t="s">
        <v>3654</v>
      </c>
      <c r="C1549" s="3143">
        <f t="shared" si="28"/>
        <v>204</v>
      </c>
      <c r="D1549" s="3143" t="str">
        <f ca="1">IFERROR(INDEX('Production cost'!$A:$AU,MATCH($C1549,'Production cost'!$AU:$AU,0),6),"")</f>
        <v/>
      </c>
      <c r="E1549" s="3143" t="str">
        <f ca="1">IFERROR(INDEX('Production cost'!$A:$AU,MATCH($C1549,'Production cost'!$AU:$AU,0),3),"")</f>
        <v/>
      </c>
      <c r="G1549" s="3153" t="str">
        <f ca="1">IFERROR(INDEX('Production cost'!$A:$AU,MATCH($C1549,'Production cost'!$AU:$AU,0),9),"")</f>
        <v/>
      </c>
      <c r="H1549" s="3599" t="str">
        <f ca="1">IFERROR(IFERROR(INDEX('Production cost'!$A:$AU,MATCH($C1549,'Production cost'!$AU:$AU,0),11),"")+IFERROR(INDEX('Production cost'!$A:$AU,MATCH($C1549,'Production cost'!$AU:$AU,0),12),""),"")</f>
        <v/>
      </c>
      <c r="I1549" s="3153" t="str">
        <f ca="1">IFERROR(INDEX('Production cost'!$A:$AU,MATCH($C1549,'Production cost'!$AU:$AU,0),28)/'Production cost'!$E$2,"")</f>
        <v/>
      </c>
      <c r="J1549" s="3153" t="str">
        <f ca="1">IFERROR(INDEX('Production cost'!$A:$AU,MATCH($C1549,'Production cost'!$AU:$AU,0),28)/'Production cost'!$E$2,"")</f>
        <v/>
      </c>
    </row>
    <row r="1550" spans="2:10" ht="21.75">
      <c r="B1550" s="3143" t="s">
        <v>3654</v>
      </c>
      <c r="C1550" s="3143">
        <f t="shared" si="28"/>
        <v>205</v>
      </c>
      <c r="D1550" s="3143" t="str">
        <f ca="1">IFERROR(INDEX('Production cost'!$A:$AU,MATCH($C1550,'Production cost'!$AU:$AU,0),6),"")</f>
        <v/>
      </c>
      <c r="E1550" s="3143" t="str">
        <f ca="1">IFERROR(INDEX('Production cost'!$A:$AU,MATCH($C1550,'Production cost'!$AU:$AU,0),3),"")</f>
        <v/>
      </c>
      <c r="G1550" s="3153" t="str">
        <f ca="1">IFERROR(INDEX('Production cost'!$A:$AU,MATCH($C1550,'Production cost'!$AU:$AU,0),9),"")</f>
        <v/>
      </c>
      <c r="H1550" s="3599" t="str">
        <f ca="1">IFERROR(IFERROR(INDEX('Production cost'!$A:$AU,MATCH($C1550,'Production cost'!$AU:$AU,0),11),"")+IFERROR(INDEX('Production cost'!$A:$AU,MATCH($C1550,'Production cost'!$AU:$AU,0),12),""),"")</f>
        <v/>
      </c>
      <c r="I1550" s="3153" t="str">
        <f ca="1">IFERROR(INDEX('Production cost'!$A:$AU,MATCH($C1550,'Production cost'!$AU:$AU,0),28)/'Production cost'!$E$2,"")</f>
        <v/>
      </c>
      <c r="J1550" s="3153" t="str">
        <f ca="1">IFERROR(INDEX('Production cost'!$A:$AU,MATCH($C1550,'Production cost'!$AU:$AU,0),28)/'Production cost'!$E$2,"")</f>
        <v/>
      </c>
    </row>
    <row r="1551" spans="2:10" ht="21.75">
      <c r="B1551" s="3143" t="s">
        <v>3654</v>
      </c>
      <c r="C1551" s="3143">
        <f t="shared" si="28"/>
        <v>206</v>
      </c>
      <c r="D1551" s="3143" t="str">
        <f ca="1">IFERROR(INDEX('Production cost'!$A:$AU,MATCH($C1551,'Production cost'!$AU:$AU,0),6),"")</f>
        <v/>
      </c>
      <c r="E1551" s="3143" t="str">
        <f ca="1">IFERROR(INDEX('Production cost'!$A:$AU,MATCH($C1551,'Production cost'!$AU:$AU,0),3),"")</f>
        <v/>
      </c>
      <c r="G1551" s="3153" t="str">
        <f ca="1">IFERROR(INDEX('Production cost'!$A:$AU,MATCH($C1551,'Production cost'!$AU:$AU,0),9),"")</f>
        <v/>
      </c>
      <c r="H1551" s="3599" t="str">
        <f ca="1">IFERROR(IFERROR(INDEX('Production cost'!$A:$AU,MATCH($C1551,'Production cost'!$AU:$AU,0),11),"")+IFERROR(INDEX('Production cost'!$A:$AU,MATCH($C1551,'Production cost'!$AU:$AU,0),12),""),"")</f>
        <v/>
      </c>
      <c r="I1551" s="3153" t="str">
        <f ca="1">IFERROR(INDEX('Production cost'!$A:$AU,MATCH($C1551,'Production cost'!$AU:$AU,0),28)/'Production cost'!$E$2,"")</f>
        <v/>
      </c>
      <c r="J1551" s="3153" t="str">
        <f ca="1">IFERROR(INDEX('Production cost'!$A:$AU,MATCH($C1551,'Production cost'!$AU:$AU,0),28)/'Production cost'!$E$2,"")</f>
        <v/>
      </c>
    </row>
    <row r="1552" spans="2:10" ht="21.75">
      <c r="B1552" s="3143" t="s">
        <v>3654</v>
      </c>
      <c r="C1552" s="3143">
        <f t="shared" si="28"/>
        <v>207</v>
      </c>
      <c r="D1552" s="3143" t="str">
        <f ca="1">IFERROR(INDEX('Production cost'!$A:$AU,MATCH($C1552,'Production cost'!$AU:$AU,0),6),"")</f>
        <v/>
      </c>
      <c r="E1552" s="3143" t="str">
        <f ca="1">IFERROR(INDEX('Production cost'!$A:$AU,MATCH($C1552,'Production cost'!$AU:$AU,0),3),"")</f>
        <v/>
      </c>
      <c r="G1552" s="3153" t="str">
        <f ca="1">IFERROR(INDEX('Production cost'!$A:$AU,MATCH($C1552,'Production cost'!$AU:$AU,0),9),"")</f>
        <v/>
      </c>
      <c r="H1552" s="3599" t="str">
        <f ca="1">IFERROR(IFERROR(INDEX('Production cost'!$A:$AU,MATCH($C1552,'Production cost'!$AU:$AU,0),11),"")+IFERROR(INDEX('Production cost'!$A:$AU,MATCH($C1552,'Production cost'!$AU:$AU,0),12),""),"")</f>
        <v/>
      </c>
      <c r="I1552" s="3153" t="str">
        <f ca="1">IFERROR(INDEX('Production cost'!$A:$AU,MATCH($C1552,'Production cost'!$AU:$AU,0),28)/'Production cost'!$E$2,"")</f>
        <v/>
      </c>
      <c r="J1552" s="3153" t="str">
        <f ca="1">IFERROR(INDEX('Production cost'!$A:$AU,MATCH($C1552,'Production cost'!$AU:$AU,0),28)/'Production cost'!$E$2,"")</f>
        <v/>
      </c>
    </row>
    <row r="1553" spans="2:10" ht="21.75">
      <c r="B1553" s="3143" t="s">
        <v>3654</v>
      </c>
      <c r="C1553" s="3143">
        <f t="shared" si="28"/>
        <v>208</v>
      </c>
      <c r="D1553" s="3143" t="str">
        <f ca="1">IFERROR(INDEX('Production cost'!$A:$AU,MATCH($C1553,'Production cost'!$AU:$AU,0),6),"")</f>
        <v/>
      </c>
      <c r="E1553" s="3143" t="str">
        <f ca="1">IFERROR(INDEX('Production cost'!$A:$AU,MATCH($C1553,'Production cost'!$AU:$AU,0),3),"")</f>
        <v/>
      </c>
      <c r="G1553" s="3153" t="str">
        <f ca="1">IFERROR(INDEX('Production cost'!$A:$AU,MATCH($C1553,'Production cost'!$AU:$AU,0),9),"")</f>
        <v/>
      </c>
      <c r="H1553" s="3599" t="str">
        <f ca="1">IFERROR(IFERROR(INDEX('Production cost'!$A:$AU,MATCH($C1553,'Production cost'!$AU:$AU,0),11),"")+IFERROR(INDEX('Production cost'!$A:$AU,MATCH($C1553,'Production cost'!$AU:$AU,0),12),""),"")</f>
        <v/>
      </c>
      <c r="I1553" s="3153" t="str">
        <f ca="1">IFERROR(INDEX('Production cost'!$A:$AU,MATCH($C1553,'Production cost'!$AU:$AU,0),28)/'Production cost'!$E$2,"")</f>
        <v/>
      </c>
      <c r="J1553" s="3153" t="str">
        <f ca="1">IFERROR(INDEX('Production cost'!$A:$AU,MATCH($C1553,'Production cost'!$AU:$AU,0),28)/'Production cost'!$E$2,"")</f>
        <v/>
      </c>
    </row>
    <row r="1554" spans="2:10" ht="21.75">
      <c r="B1554" s="3143" t="s">
        <v>3654</v>
      </c>
      <c r="C1554" s="3143">
        <f t="shared" si="28"/>
        <v>209</v>
      </c>
      <c r="D1554" s="3143" t="str">
        <f ca="1">IFERROR(INDEX('Production cost'!$A:$AU,MATCH($C1554,'Production cost'!$AU:$AU,0),6),"")</f>
        <v/>
      </c>
      <c r="E1554" s="3143" t="str">
        <f ca="1">IFERROR(INDEX('Production cost'!$A:$AU,MATCH($C1554,'Production cost'!$AU:$AU,0),3),"")</f>
        <v/>
      </c>
      <c r="G1554" s="3153" t="str">
        <f ca="1">IFERROR(INDEX('Production cost'!$A:$AU,MATCH($C1554,'Production cost'!$AU:$AU,0),9),"")</f>
        <v/>
      </c>
      <c r="H1554" s="3599" t="str">
        <f ca="1">IFERROR(IFERROR(INDEX('Production cost'!$A:$AU,MATCH($C1554,'Production cost'!$AU:$AU,0),11),"")+IFERROR(INDEX('Production cost'!$A:$AU,MATCH($C1554,'Production cost'!$AU:$AU,0),12),""),"")</f>
        <v/>
      </c>
      <c r="I1554" s="3153" t="str">
        <f ca="1">IFERROR(INDEX('Production cost'!$A:$AU,MATCH($C1554,'Production cost'!$AU:$AU,0),28)/'Production cost'!$E$2,"")</f>
        <v/>
      </c>
      <c r="J1554" s="3153" t="str">
        <f ca="1">IFERROR(INDEX('Production cost'!$A:$AU,MATCH($C1554,'Production cost'!$AU:$AU,0),28)/'Production cost'!$E$2,"")</f>
        <v/>
      </c>
    </row>
    <row r="1555" spans="2:10" ht="21.75">
      <c r="B1555" s="3143" t="s">
        <v>3654</v>
      </c>
      <c r="C1555" s="3143">
        <f t="shared" si="28"/>
        <v>210</v>
      </c>
      <c r="D1555" s="3143" t="str">
        <f ca="1">IFERROR(INDEX('Production cost'!$A:$AU,MATCH($C1555,'Production cost'!$AU:$AU,0),6),"")</f>
        <v/>
      </c>
      <c r="E1555" s="3143" t="str">
        <f ca="1">IFERROR(INDEX('Production cost'!$A:$AU,MATCH($C1555,'Production cost'!$AU:$AU,0),3),"")</f>
        <v/>
      </c>
      <c r="G1555" s="3153" t="str">
        <f ca="1">IFERROR(INDEX('Production cost'!$A:$AU,MATCH($C1555,'Production cost'!$AU:$AU,0),9),"")</f>
        <v/>
      </c>
      <c r="H1555" s="3599" t="str">
        <f ca="1">IFERROR(IFERROR(INDEX('Production cost'!$A:$AU,MATCH($C1555,'Production cost'!$AU:$AU,0),11),"")+IFERROR(INDEX('Production cost'!$A:$AU,MATCH($C1555,'Production cost'!$AU:$AU,0),12),""),"")</f>
        <v/>
      </c>
      <c r="I1555" s="3153" t="str">
        <f ca="1">IFERROR(INDEX('Production cost'!$A:$AU,MATCH($C1555,'Production cost'!$AU:$AU,0),28)/'Production cost'!$E$2,"")</f>
        <v/>
      </c>
      <c r="J1555" s="3153" t="str">
        <f ca="1">IFERROR(INDEX('Production cost'!$A:$AU,MATCH($C1555,'Production cost'!$AU:$AU,0),28)/'Production cost'!$E$2,"")</f>
        <v/>
      </c>
    </row>
    <row r="1556" spans="2:10" ht="21.75">
      <c r="B1556" s="3143" t="s">
        <v>3654</v>
      </c>
      <c r="C1556" s="3143">
        <f t="shared" si="28"/>
        <v>211</v>
      </c>
      <c r="D1556" s="3143" t="str">
        <f ca="1">IFERROR(INDEX('Production cost'!$A:$AU,MATCH($C1556,'Production cost'!$AU:$AU,0),6),"")</f>
        <v/>
      </c>
      <c r="E1556" s="3143" t="str">
        <f ca="1">IFERROR(INDEX('Production cost'!$A:$AU,MATCH($C1556,'Production cost'!$AU:$AU,0),3),"")</f>
        <v/>
      </c>
      <c r="G1556" s="3153" t="str">
        <f ca="1">IFERROR(INDEX('Production cost'!$A:$AU,MATCH($C1556,'Production cost'!$AU:$AU,0),9),"")</f>
        <v/>
      </c>
      <c r="H1556" s="3599" t="str">
        <f ca="1">IFERROR(IFERROR(INDEX('Production cost'!$A:$AU,MATCH($C1556,'Production cost'!$AU:$AU,0),11),"")+IFERROR(INDEX('Production cost'!$A:$AU,MATCH($C1556,'Production cost'!$AU:$AU,0),12),""),"")</f>
        <v/>
      </c>
      <c r="I1556" s="3153" t="str">
        <f ca="1">IFERROR(INDEX('Production cost'!$A:$AU,MATCH($C1556,'Production cost'!$AU:$AU,0),28)/'Production cost'!$E$2,"")</f>
        <v/>
      </c>
      <c r="J1556" s="3153" t="str">
        <f ca="1">IFERROR(INDEX('Production cost'!$A:$AU,MATCH($C1556,'Production cost'!$AU:$AU,0),28)/'Production cost'!$E$2,"")</f>
        <v/>
      </c>
    </row>
    <row r="1557" spans="2:10" ht="21.75">
      <c r="B1557" s="3143" t="s">
        <v>3654</v>
      </c>
      <c r="C1557" s="3143">
        <f t="shared" si="28"/>
        <v>212</v>
      </c>
      <c r="D1557" s="3143" t="str">
        <f ca="1">IFERROR(INDEX('Production cost'!$A:$AU,MATCH($C1557,'Production cost'!$AU:$AU,0),6),"")</f>
        <v/>
      </c>
      <c r="E1557" s="3143" t="str">
        <f ca="1">IFERROR(INDEX('Production cost'!$A:$AU,MATCH($C1557,'Production cost'!$AU:$AU,0),3),"")</f>
        <v/>
      </c>
      <c r="G1557" s="3153" t="str">
        <f ca="1">IFERROR(INDEX('Production cost'!$A:$AU,MATCH($C1557,'Production cost'!$AU:$AU,0),9),"")</f>
        <v/>
      </c>
      <c r="H1557" s="3599" t="str">
        <f ca="1">IFERROR(IFERROR(INDEX('Production cost'!$A:$AU,MATCH($C1557,'Production cost'!$AU:$AU,0),11),"")+IFERROR(INDEX('Production cost'!$A:$AU,MATCH($C1557,'Production cost'!$AU:$AU,0),12),""),"")</f>
        <v/>
      </c>
      <c r="I1557" s="3153" t="str">
        <f ca="1">IFERROR(INDEX('Production cost'!$A:$AU,MATCH($C1557,'Production cost'!$AU:$AU,0),28)/'Production cost'!$E$2,"")</f>
        <v/>
      </c>
      <c r="J1557" s="3153" t="str">
        <f ca="1">IFERROR(INDEX('Production cost'!$A:$AU,MATCH($C1557,'Production cost'!$AU:$AU,0),28)/'Production cost'!$E$2,"")</f>
        <v/>
      </c>
    </row>
    <row r="1558" spans="2:10" ht="21.75">
      <c r="B1558" s="3143" t="s">
        <v>3654</v>
      </c>
      <c r="C1558" s="3143">
        <f t="shared" si="28"/>
        <v>213</v>
      </c>
      <c r="D1558" s="3143" t="str">
        <f ca="1">IFERROR(INDEX('Production cost'!$A:$AU,MATCH($C1558,'Production cost'!$AU:$AU,0),6),"")</f>
        <v/>
      </c>
      <c r="E1558" s="3143" t="str">
        <f ca="1">IFERROR(INDEX('Production cost'!$A:$AU,MATCH($C1558,'Production cost'!$AU:$AU,0),3),"")</f>
        <v/>
      </c>
      <c r="G1558" s="3153" t="str">
        <f ca="1">IFERROR(INDEX('Production cost'!$A:$AU,MATCH($C1558,'Production cost'!$AU:$AU,0),9),"")</f>
        <v/>
      </c>
      <c r="H1558" s="3599" t="str">
        <f ca="1">IFERROR(IFERROR(INDEX('Production cost'!$A:$AU,MATCH($C1558,'Production cost'!$AU:$AU,0),11),"")+IFERROR(INDEX('Production cost'!$A:$AU,MATCH($C1558,'Production cost'!$AU:$AU,0),12),""),"")</f>
        <v/>
      </c>
      <c r="I1558" s="3153" t="str">
        <f ca="1">IFERROR(INDEX('Production cost'!$A:$AU,MATCH($C1558,'Production cost'!$AU:$AU,0),28)/'Production cost'!$E$2,"")</f>
        <v/>
      </c>
      <c r="J1558" s="3153" t="str">
        <f ca="1">IFERROR(INDEX('Production cost'!$A:$AU,MATCH($C1558,'Production cost'!$AU:$AU,0),28)/'Production cost'!$E$2,"")</f>
        <v/>
      </c>
    </row>
    <row r="1559" spans="2:10" ht="21.75">
      <c r="B1559" s="3143" t="s">
        <v>3654</v>
      </c>
      <c r="C1559" s="3143">
        <f t="shared" si="28"/>
        <v>214</v>
      </c>
      <c r="D1559" s="3143" t="str">
        <f ca="1">IFERROR(INDEX('Production cost'!$A:$AU,MATCH($C1559,'Production cost'!$AU:$AU,0),6),"")</f>
        <v/>
      </c>
      <c r="E1559" s="3143" t="str">
        <f ca="1">IFERROR(INDEX('Production cost'!$A:$AU,MATCH($C1559,'Production cost'!$AU:$AU,0),3),"")</f>
        <v/>
      </c>
      <c r="G1559" s="3153" t="str">
        <f ca="1">IFERROR(INDEX('Production cost'!$A:$AU,MATCH($C1559,'Production cost'!$AU:$AU,0),9),"")</f>
        <v/>
      </c>
      <c r="H1559" s="3599" t="str">
        <f ca="1">IFERROR(IFERROR(INDEX('Production cost'!$A:$AU,MATCH($C1559,'Production cost'!$AU:$AU,0),11),"")+IFERROR(INDEX('Production cost'!$A:$AU,MATCH($C1559,'Production cost'!$AU:$AU,0),12),""),"")</f>
        <v/>
      </c>
      <c r="I1559" s="3153" t="str">
        <f ca="1">IFERROR(INDEX('Production cost'!$A:$AU,MATCH($C1559,'Production cost'!$AU:$AU,0),28)/'Production cost'!$E$2,"")</f>
        <v/>
      </c>
      <c r="J1559" s="3153" t="str">
        <f ca="1">IFERROR(INDEX('Production cost'!$A:$AU,MATCH($C1559,'Production cost'!$AU:$AU,0),28)/'Production cost'!$E$2,"")</f>
        <v/>
      </c>
    </row>
    <row r="1560" spans="2:10" ht="21.75">
      <c r="B1560" s="3143" t="s">
        <v>3654</v>
      </c>
      <c r="C1560" s="3143">
        <f t="shared" si="28"/>
        <v>215</v>
      </c>
      <c r="D1560" s="3143" t="str">
        <f ca="1">IFERROR(INDEX('Production cost'!$A:$AU,MATCH($C1560,'Production cost'!$AU:$AU,0),6),"")</f>
        <v/>
      </c>
      <c r="E1560" s="3143" t="str">
        <f ca="1">IFERROR(INDEX('Production cost'!$A:$AU,MATCH($C1560,'Production cost'!$AU:$AU,0),3),"")</f>
        <v/>
      </c>
      <c r="G1560" s="3153" t="str">
        <f ca="1">IFERROR(INDEX('Production cost'!$A:$AU,MATCH($C1560,'Production cost'!$AU:$AU,0),9),"")</f>
        <v/>
      </c>
      <c r="H1560" s="3599" t="str">
        <f ca="1">IFERROR(IFERROR(INDEX('Production cost'!$A:$AU,MATCH($C1560,'Production cost'!$AU:$AU,0),11),"")+IFERROR(INDEX('Production cost'!$A:$AU,MATCH($C1560,'Production cost'!$AU:$AU,0),12),""),"")</f>
        <v/>
      </c>
      <c r="I1560" s="3153" t="str">
        <f ca="1">IFERROR(INDEX('Production cost'!$A:$AU,MATCH($C1560,'Production cost'!$AU:$AU,0),28)/'Production cost'!$E$2,"")</f>
        <v/>
      </c>
      <c r="J1560" s="3153" t="str">
        <f ca="1">IFERROR(INDEX('Production cost'!$A:$AU,MATCH($C1560,'Production cost'!$AU:$AU,0),28)/'Production cost'!$E$2,"")</f>
        <v/>
      </c>
    </row>
    <row r="1561" spans="2:10" ht="21.75">
      <c r="B1561" s="3143" t="s">
        <v>3654</v>
      </c>
      <c r="C1561" s="3143">
        <f t="shared" si="28"/>
        <v>216</v>
      </c>
      <c r="D1561" s="3143" t="str">
        <f ca="1">IFERROR(INDEX('Production cost'!$A:$AU,MATCH($C1561,'Production cost'!$AU:$AU,0),6),"")</f>
        <v/>
      </c>
      <c r="E1561" s="3143" t="str">
        <f ca="1">IFERROR(INDEX('Production cost'!$A:$AU,MATCH($C1561,'Production cost'!$AU:$AU,0),3),"")</f>
        <v/>
      </c>
      <c r="G1561" s="3153" t="str">
        <f ca="1">IFERROR(INDEX('Production cost'!$A:$AU,MATCH($C1561,'Production cost'!$AU:$AU,0),9),"")</f>
        <v/>
      </c>
      <c r="H1561" s="3599" t="str">
        <f ca="1">IFERROR(IFERROR(INDEX('Production cost'!$A:$AU,MATCH($C1561,'Production cost'!$AU:$AU,0),11),"")+IFERROR(INDEX('Production cost'!$A:$AU,MATCH($C1561,'Production cost'!$AU:$AU,0),12),""),"")</f>
        <v/>
      </c>
      <c r="I1561" s="3153" t="str">
        <f ca="1">IFERROR(INDEX('Production cost'!$A:$AU,MATCH($C1561,'Production cost'!$AU:$AU,0),28)/'Production cost'!$E$2,"")</f>
        <v/>
      </c>
      <c r="J1561" s="3153" t="str">
        <f ca="1">IFERROR(INDEX('Production cost'!$A:$AU,MATCH($C1561,'Production cost'!$AU:$AU,0),28)/'Production cost'!$E$2,"")</f>
        <v/>
      </c>
    </row>
    <row r="1562" spans="2:10" ht="21.75">
      <c r="B1562" s="3143" t="s">
        <v>3654</v>
      </c>
      <c r="C1562" s="3143">
        <f t="shared" si="28"/>
        <v>217</v>
      </c>
      <c r="D1562" s="3143" t="str">
        <f ca="1">IFERROR(INDEX('Production cost'!$A:$AU,MATCH($C1562,'Production cost'!$AU:$AU,0),6),"")</f>
        <v/>
      </c>
      <c r="E1562" s="3143" t="str">
        <f ca="1">IFERROR(INDEX('Production cost'!$A:$AU,MATCH($C1562,'Production cost'!$AU:$AU,0),3),"")</f>
        <v/>
      </c>
      <c r="G1562" s="3153" t="str">
        <f ca="1">IFERROR(INDEX('Production cost'!$A:$AU,MATCH($C1562,'Production cost'!$AU:$AU,0),9),"")</f>
        <v/>
      </c>
      <c r="H1562" s="3599" t="str">
        <f ca="1">IFERROR(IFERROR(INDEX('Production cost'!$A:$AU,MATCH($C1562,'Production cost'!$AU:$AU,0),11),"")+IFERROR(INDEX('Production cost'!$A:$AU,MATCH($C1562,'Production cost'!$AU:$AU,0),12),""),"")</f>
        <v/>
      </c>
      <c r="I1562" s="3153" t="str">
        <f ca="1">IFERROR(INDEX('Production cost'!$A:$AU,MATCH($C1562,'Production cost'!$AU:$AU,0),28)/'Production cost'!$E$2,"")</f>
        <v/>
      </c>
      <c r="J1562" s="3153" t="str">
        <f ca="1">IFERROR(INDEX('Production cost'!$A:$AU,MATCH($C1562,'Production cost'!$AU:$AU,0),28)/'Production cost'!$E$2,"")</f>
        <v/>
      </c>
    </row>
    <row r="1563" spans="2:10" ht="21.75">
      <c r="B1563" s="3143" t="s">
        <v>3654</v>
      </c>
      <c r="C1563" s="3143">
        <f t="shared" si="28"/>
        <v>218</v>
      </c>
      <c r="D1563" s="3143" t="str">
        <f ca="1">IFERROR(INDEX('Production cost'!$A:$AU,MATCH($C1563,'Production cost'!$AU:$AU,0),6),"")</f>
        <v/>
      </c>
      <c r="E1563" s="3143" t="str">
        <f ca="1">IFERROR(INDEX('Production cost'!$A:$AU,MATCH($C1563,'Production cost'!$AU:$AU,0),3),"")</f>
        <v/>
      </c>
      <c r="G1563" s="3153" t="str">
        <f ca="1">IFERROR(INDEX('Production cost'!$A:$AU,MATCH($C1563,'Production cost'!$AU:$AU,0),9),"")</f>
        <v/>
      </c>
      <c r="H1563" s="3599" t="str">
        <f ca="1">IFERROR(IFERROR(INDEX('Production cost'!$A:$AU,MATCH($C1563,'Production cost'!$AU:$AU,0),11),"")+IFERROR(INDEX('Production cost'!$A:$AU,MATCH($C1563,'Production cost'!$AU:$AU,0),12),""),"")</f>
        <v/>
      </c>
      <c r="I1563" s="3153" t="str">
        <f ca="1">IFERROR(INDEX('Production cost'!$A:$AU,MATCH($C1563,'Production cost'!$AU:$AU,0),28)/'Production cost'!$E$2,"")</f>
        <v/>
      </c>
      <c r="J1563" s="3153" t="str">
        <f ca="1">IFERROR(INDEX('Production cost'!$A:$AU,MATCH($C1563,'Production cost'!$AU:$AU,0),28)/'Production cost'!$E$2,"")</f>
        <v/>
      </c>
    </row>
    <row r="1564" spans="2:10" ht="21.75">
      <c r="B1564" s="3143" t="s">
        <v>3654</v>
      </c>
      <c r="C1564" s="3143">
        <f t="shared" si="28"/>
        <v>219</v>
      </c>
      <c r="D1564" s="3143" t="str">
        <f ca="1">IFERROR(INDEX('Production cost'!$A:$AU,MATCH($C1564,'Production cost'!$AU:$AU,0),6),"")</f>
        <v/>
      </c>
      <c r="E1564" s="3143" t="str">
        <f ca="1">IFERROR(INDEX('Production cost'!$A:$AU,MATCH($C1564,'Production cost'!$AU:$AU,0),3),"")</f>
        <v/>
      </c>
      <c r="G1564" s="3153" t="str">
        <f ca="1">IFERROR(INDEX('Production cost'!$A:$AU,MATCH($C1564,'Production cost'!$AU:$AU,0),9),"")</f>
        <v/>
      </c>
      <c r="H1564" s="3599" t="str">
        <f ca="1">IFERROR(IFERROR(INDEX('Production cost'!$A:$AU,MATCH($C1564,'Production cost'!$AU:$AU,0),11),"")+IFERROR(INDEX('Production cost'!$A:$AU,MATCH($C1564,'Production cost'!$AU:$AU,0),12),""),"")</f>
        <v/>
      </c>
      <c r="I1564" s="3153" t="str">
        <f ca="1">IFERROR(INDEX('Production cost'!$A:$AU,MATCH($C1564,'Production cost'!$AU:$AU,0),28)/'Production cost'!$E$2,"")</f>
        <v/>
      </c>
      <c r="J1564" s="3153" t="str">
        <f ca="1">IFERROR(INDEX('Production cost'!$A:$AU,MATCH($C1564,'Production cost'!$AU:$AU,0),28)/'Production cost'!$E$2,"")</f>
        <v/>
      </c>
    </row>
    <row r="1565" spans="2:10" ht="21.75">
      <c r="B1565" s="3143" t="s">
        <v>3654</v>
      </c>
      <c r="C1565" s="3143">
        <f t="shared" si="28"/>
        <v>220</v>
      </c>
      <c r="D1565" s="3143" t="str">
        <f ca="1">IFERROR(INDEX('Production cost'!$A:$AU,MATCH($C1565,'Production cost'!$AU:$AU,0),6),"")</f>
        <v/>
      </c>
      <c r="E1565" s="3143" t="str">
        <f ca="1">IFERROR(INDEX('Production cost'!$A:$AU,MATCH($C1565,'Production cost'!$AU:$AU,0),3),"")</f>
        <v/>
      </c>
      <c r="G1565" s="3153" t="str">
        <f ca="1">IFERROR(INDEX('Production cost'!$A:$AU,MATCH($C1565,'Production cost'!$AU:$AU,0),9),"")</f>
        <v/>
      </c>
      <c r="H1565" s="3599" t="str">
        <f ca="1">IFERROR(IFERROR(INDEX('Production cost'!$A:$AU,MATCH($C1565,'Production cost'!$AU:$AU,0),11),"")+IFERROR(INDEX('Production cost'!$A:$AU,MATCH($C1565,'Production cost'!$AU:$AU,0),12),""),"")</f>
        <v/>
      </c>
      <c r="I1565" s="3153" t="str">
        <f ca="1">IFERROR(INDEX('Production cost'!$A:$AU,MATCH($C1565,'Production cost'!$AU:$AU,0),28)/'Production cost'!$E$2,"")</f>
        <v/>
      </c>
      <c r="J1565" s="3153" t="str">
        <f ca="1">IFERROR(INDEX('Production cost'!$A:$AU,MATCH($C1565,'Production cost'!$AU:$AU,0),28)/'Production cost'!$E$2,"")</f>
        <v/>
      </c>
    </row>
    <row r="1566" spans="2:10" ht="21.75">
      <c r="B1566" s="3143" t="s">
        <v>3654</v>
      </c>
      <c r="C1566" s="3143">
        <f t="shared" si="28"/>
        <v>221</v>
      </c>
      <c r="D1566" s="3143" t="str">
        <f ca="1">IFERROR(INDEX('Production cost'!$A:$AU,MATCH($C1566,'Production cost'!$AU:$AU,0),6),"")</f>
        <v/>
      </c>
      <c r="E1566" s="3143" t="str">
        <f ca="1">IFERROR(INDEX('Production cost'!$A:$AU,MATCH($C1566,'Production cost'!$AU:$AU,0),3),"")</f>
        <v/>
      </c>
      <c r="G1566" s="3153" t="str">
        <f ca="1">IFERROR(INDEX('Production cost'!$A:$AU,MATCH($C1566,'Production cost'!$AU:$AU,0),9),"")</f>
        <v/>
      </c>
      <c r="H1566" s="3599" t="str">
        <f ca="1">IFERROR(IFERROR(INDEX('Production cost'!$A:$AU,MATCH($C1566,'Production cost'!$AU:$AU,0),11),"")+IFERROR(INDEX('Production cost'!$A:$AU,MATCH($C1566,'Production cost'!$AU:$AU,0),12),""),"")</f>
        <v/>
      </c>
      <c r="I1566" s="3153" t="str">
        <f ca="1">IFERROR(INDEX('Production cost'!$A:$AU,MATCH($C1566,'Production cost'!$AU:$AU,0),28)/'Production cost'!$E$2,"")</f>
        <v/>
      </c>
      <c r="J1566" s="3153" t="str">
        <f ca="1">IFERROR(INDEX('Production cost'!$A:$AU,MATCH($C1566,'Production cost'!$AU:$AU,0),28)/'Production cost'!$E$2,"")</f>
        <v/>
      </c>
    </row>
    <row r="1567" spans="2:10" ht="21.75">
      <c r="B1567" s="3143" t="s">
        <v>3654</v>
      </c>
      <c r="C1567" s="3143">
        <f t="shared" si="28"/>
        <v>222</v>
      </c>
      <c r="D1567" s="3143" t="str">
        <f ca="1">IFERROR(INDEX('Production cost'!$A:$AU,MATCH($C1567,'Production cost'!$AU:$AU,0),6),"")</f>
        <v/>
      </c>
      <c r="E1567" s="3143" t="str">
        <f ca="1">IFERROR(INDEX('Production cost'!$A:$AU,MATCH($C1567,'Production cost'!$AU:$AU,0),3),"")</f>
        <v/>
      </c>
      <c r="G1567" s="3153" t="str">
        <f ca="1">IFERROR(INDEX('Production cost'!$A:$AU,MATCH($C1567,'Production cost'!$AU:$AU,0),9),"")</f>
        <v/>
      </c>
      <c r="H1567" s="3599" t="str">
        <f ca="1">IFERROR(IFERROR(INDEX('Production cost'!$A:$AU,MATCH($C1567,'Production cost'!$AU:$AU,0),11),"")+IFERROR(INDEX('Production cost'!$A:$AU,MATCH($C1567,'Production cost'!$AU:$AU,0),12),""),"")</f>
        <v/>
      </c>
      <c r="I1567" s="3153" t="str">
        <f ca="1">IFERROR(INDEX('Production cost'!$A:$AU,MATCH($C1567,'Production cost'!$AU:$AU,0),28)/'Production cost'!$E$2,"")</f>
        <v/>
      </c>
      <c r="J1567" s="3153" t="str">
        <f ca="1">IFERROR(INDEX('Production cost'!$A:$AU,MATCH($C1567,'Production cost'!$AU:$AU,0),28)/'Production cost'!$E$2,"")</f>
        <v/>
      </c>
    </row>
    <row r="1568" spans="2:10" ht="21.75">
      <c r="B1568" s="3143" t="s">
        <v>3654</v>
      </c>
      <c r="C1568" s="3143">
        <f t="shared" si="28"/>
        <v>223</v>
      </c>
      <c r="D1568" s="3143" t="str">
        <f ca="1">IFERROR(INDEX('Production cost'!$A:$AU,MATCH($C1568,'Production cost'!$AU:$AU,0),6),"")</f>
        <v/>
      </c>
      <c r="E1568" s="3143" t="str">
        <f ca="1">IFERROR(INDEX('Production cost'!$A:$AU,MATCH($C1568,'Production cost'!$AU:$AU,0),3),"")</f>
        <v/>
      </c>
      <c r="G1568" s="3153" t="str">
        <f ca="1">IFERROR(INDEX('Production cost'!$A:$AU,MATCH($C1568,'Production cost'!$AU:$AU,0),9),"")</f>
        <v/>
      </c>
      <c r="H1568" s="3599" t="str">
        <f ca="1">IFERROR(IFERROR(INDEX('Production cost'!$A:$AU,MATCH($C1568,'Production cost'!$AU:$AU,0),11),"")+IFERROR(INDEX('Production cost'!$A:$AU,MATCH($C1568,'Production cost'!$AU:$AU,0),12),""),"")</f>
        <v/>
      </c>
      <c r="I1568" s="3153" t="str">
        <f ca="1">IFERROR(INDEX('Production cost'!$A:$AU,MATCH($C1568,'Production cost'!$AU:$AU,0),28)/'Production cost'!$E$2,"")</f>
        <v/>
      </c>
      <c r="J1568" s="3153" t="str">
        <f ca="1">IFERROR(INDEX('Production cost'!$A:$AU,MATCH($C1568,'Production cost'!$AU:$AU,0),28)/'Production cost'!$E$2,"")</f>
        <v/>
      </c>
    </row>
    <row r="1569" spans="2:10" ht="21.75">
      <c r="B1569" s="3143" t="s">
        <v>3654</v>
      </c>
      <c r="C1569" s="3143">
        <f t="shared" si="28"/>
        <v>224</v>
      </c>
      <c r="D1569" s="3143" t="str">
        <f ca="1">IFERROR(INDEX('Production cost'!$A:$AU,MATCH($C1569,'Production cost'!$AU:$AU,0),6),"")</f>
        <v/>
      </c>
      <c r="E1569" s="3143" t="str">
        <f ca="1">IFERROR(INDEX('Production cost'!$A:$AU,MATCH($C1569,'Production cost'!$AU:$AU,0),3),"")</f>
        <v/>
      </c>
      <c r="G1569" s="3153" t="str">
        <f ca="1">IFERROR(INDEX('Production cost'!$A:$AU,MATCH($C1569,'Production cost'!$AU:$AU,0),9),"")</f>
        <v/>
      </c>
      <c r="H1569" s="3599" t="str">
        <f ca="1">IFERROR(IFERROR(INDEX('Production cost'!$A:$AU,MATCH($C1569,'Production cost'!$AU:$AU,0),11),"")+IFERROR(INDEX('Production cost'!$A:$AU,MATCH($C1569,'Production cost'!$AU:$AU,0),12),""),"")</f>
        <v/>
      </c>
      <c r="I1569" s="3153" t="str">
        <f ca="1">IFERROR(INDEX('Production cost'!$A:$AU,MATCH($C1569,'Production cost'!$AU:$AU,0),28)/'Production cost'!$E$2,"")</f>
        <v/>
      </c>
      <c r="J1569" s="3153" t="str">
        <f ca="1">IFERROR(INDEX('Production cost'!$A:$AU,MATCH($C1569,'Production cost'!$AU:$AU,0),28)/'Production cost'!$E$2,"")</f>
        <v/>
      </c>
    </row>
    <row r="1570" spans="2:10" ht="21.75">
      <c r="B1570" s="3143" t="s">
        <v>3654</v>
      </c>
      <c r="C1570" s="3143">
        <f t="shared" si="28"/>
        <v>225</v>
      </c>
      <c r="D1570" s="3143" t="str">
        <f ca="1">IFERROR(INDEX('Production cost'!$A:$AU,MATCH($C1570,'Production cost'!$AU:$AU,0),6),"")</f>
        <v/>
      </c>
      <c r="E1570" s="3143" t="str">
        <f ca="1">IFERROR(INDEX('Production cost'!$A:$AU,MATCH($C1570,'Production cost'!$AU:$AU,0),3),"")</f>
        <v/>
      </c>
      <c r="G1570" s="3153" t="str">
        <f ca="1">IFERROR(INDEX('Production cost'!$A:$AU,MATCH($C1570,'Production cost'!$AU:$AU,0),9),"")</f>
        <v/>
      </c>
      <c r="H1570" s="3599" t="str">
        <f ca="1">IFERROR(IFERROR(INDEX('Production cost'!$A:$AU,MATCH($C1570,'Production cost'!$AU:$AU,0),11),"")+IFERROR(INDEX('Production cost'!$A:$AU,MATCH($C1570,'Production cost'!$AU:$AU,0),12),""),"")</f>
        <v/>
      </c>
      <c r="I1570" s="3153" t="str">
        <f ca="1">IFERROR(INDEX('Production cost'!$A:$AU,MATCH($C1570,'Production cost'!$AU:$AU,0),28)/'Production cost'!$E$2,"")</f>
        <v/>
      </c>
      <c r="J1570" s="3153" t="str">
        <f ca="1">IFERROR(INDEX('Production cost'!$A:$AU,MATCH($C1570,'Production cost'!$AU:$AU,0),28)/'Production cost'!$E$2,"")</f>
        <v/>
      </c>
    </row>
    <row r="1571" spans="2:10" ht="21.75">
      <c r="B1571" s="3143" t="s">
        <v>3654</v>
      </c>
      <c r="C1571" s="3143">
        <f t="shared" si="28"/>
        <v>226</v>
      </c>
      <c r="D1571" s="3143" t="str">
        <f ca="1">IFERROR(INDEX('Production cost'!$A:$AU,MATCH($C1571,'Production cost'!$AU:$AU,0),6),"")</f>
        <v/>
      </c>
      <c r="E1571" s="3143" t="str">
        <f ca="1">IFERROR(INDEX('Production cost'!$A:$AU,MATCH($C1571,'Production cost'!$AU:$AU,0),3),"")</f>
        <v/>
      </c>
      <c r="G1571" s="3153" t="str">
        <f ca="1">IFERROR(INDEX('Production cost'!$A:$AU,MATCH($C1571,'Production cost'!$AU:$AU,0),9),"")</f>
        <v/>
      </c>
      <c r="H1571" s="3599" t="str">
        <f ca="1">IFERROR(IFERROR(INDEX('Production cost'!$A:$AU,MATCH($C1571,'Production cost'!$AU:$AU,0),11),"")+IFERROR(INDEX('Production cost'!$A:$AU,MATCH($C1571,'Production cost'!$AU:$AU,0),12),""),"")</f>
        <v/>
      </c>
      <c r="I1571" s="3153" t="str">
        <f ca="1">IFERROR(INDEX('Production cost'!$A:$AU,MATCH($C1571,'Production cost'!$AU:$AU,0),28)/'Production cost'!$E$2,"")</f>
        <v/>
      </c>
      <c r="J1571" s="3153" t="str">
        <f ca="1">IFERROR(INDEX('Production cost'!$A:$AU,MATCH($C1571,'Production cost'!$AU:$AU,0),28)/'Production cost'!$E$2,"")</f>
        <v/>
      </c>
    </row>
    <row r="1572" spans="2:10" ht="21.75">
      <c r="B1572" s="3143" t="s">
        <v>3654</v>
      </c>
      <c r="C1572" s="3143">
        <f t="shared" si="28"/>
        <v>227</v>
      </c>
      <c r="D1572" s="3143" t="str">
        <f ca="1">IFERROR(INDEX('Production cost'!$A:$AU,MATCH($C1572,'Production cost'!$AU:$AU,0),6),"")</f>
        <v/>
      </c>
      <c r="E1572" s="3143" t="str">
        <f ca="1">IFERROR(INDEX('Production cost'!$A:$AU,MATCH($C1572,'Production cost'!$AU:$AU,0),3),"")</f>
        <v/>
      </c>
      <c r="G1572" s="3153" t="str">
        <f ca="1">IFERROR(INDEX('Production cost'!$A:$AU,MATCH($C1572,'Production cost'!$AU:$AU,0),9),"")</f>
        <v/>
      </c>
      <c r="H1572" s="3599" t="str">
        <f ca="1">IFERROR(IFERROR(INDEX('Production cost'!$A:$AU,MATCH($C1572,'Production cost'!$AU:$AU,0),11),"")+IFERROR(INDEX('Production cost'!$A:$AU,MATCH($C1572,'Production cost'!$AU:$AU,0),12),""),"")</f>
        <v/>
      </c>
      <c r="I1572" s="3153" t="str">
        <f ca="1">IFERROR(INDEX('Production cost'!$A:$AU,MATCH($C1572,'Production cost'!$AU:$AU,0),28)/'Production cost'!$E$2,"")</f>
        <v/>
      </c>
      <c r="J1572" s="3153" t="str">
        <f ca="1">IFERROR(INDEX('Production cost'!$A:$AU,MATCH($C1572,'Production cost'!$AU:$AU,0),28)/'Production cost'!$E$2,"")</f>
        <v/>
      </c>
    </row>
    <row r="1573" spans="2:10" ht="21.75">
      <c r="B1573" s="3143" t="s">
        <v>3654</v>
      </c>
      <c r="C1573" s="3143">
        <f t="shared" si="28"/>
        <v>228</v>
      </c>
      <c r="D1573" s="3143" t="str">
        <f ca="1">IFERROR(INDEX('Production cost'!$A:$AU,MATCH($C1573,'Production cost'!$AU:$AU,0),6),"")</f>
        <v/>
      </c>
      <c r="E1573" s="3143" t="str">
        <f ca="1">IFERROR(INDEX('Production cost'!$A:$AU,MATCH($C1573,'Production cost'!$AU:$AU,0),3),"")</f>
        <v/>
      </c>
      <c r="G1573" s="3153" t="str">
        <f ca="1">IFERROR(INDEX('Production cost'!$A:$AU,MATCH($C1573,'Production cost'!$AU:$AU,0),9),"")</f>
        <v/>
      </c>
      <c r="H1573" s="3599" t="str">
        <f ca="1">IFERROR(IFERROR(INDEX('Production cost'!$A:$AU,MATCH($C1573,'Production cost'!$AU:$AU,0),11),"")+IFERROR(INDEX('Production cost'!$A:$AU,MATCH($C1573,'Production cost'!$AU:$AU,0),12),""),"")</f>
        <v/>
      </c>
      <c r="I1573" s="3153" t="str">
        <f ca="1">IFERROR(INDEX('Production cost'!$A:$AU,MATCH($C1573,'Production cost'!$AU:$AU,0),28)/'Production cost'!$E$2,"")</f>
        <v/>
      </c>
      <c r="J1573" s="3153" t="str">
        <f ca="1">IFERROR(INDEX('Production cost'!$A:$AU,MATCH($C1573,'Production cost'!$AU:$AU,0),28)/'Production cost'!$E$2,"")</f>
        <v/>
      </c>
    </row>
    <row r="1574" spans="2:10" ht="21.75">
      <c r="B1574" s="3143" t="s">
        <v>3654</v>
      </c>
      <c r="C1574" s="3143">
        <f t="shared" si="28"/>
        <v>229</v>
      </c>
      <c r="D1574" s="3143" t="str">
        <f ca="1">IFERROR(INDEX('Production cost'!$A:$AU,MATCH($C1574,'Production cost'!$AU:$AU,0),6),"")</f>
        <v/>
      </c>
      <c r="E1574" s="3143" t="str">
        <f ca="1">IFERROR(INDEX('Production cost'!$A:$AU,MATCH($C1574,'Production cost'!$AU:$AU,0),3),"")</f>
        <v/>
      </c>
      <c r="G1574" s="3153" t="str">
        <f ca="1">IFERROR(INDEX('Production cost'!$A:$AU,MATCH($C1574,'Production cost'!$AU:$AU,0),9),"")</f>
        <v/>
      </c>
      <c r="H1574" s="3599" t="str">
        <f ca="1">IFERROR(IFERROR(INDEX('Production cost'!$A:$AU,MATCH($C1574,'Production cost'!$AU:$AU,0),11),"")+IFERROR(INDEX('Production cost'!$A:$AU,MATCH($C1574,'Production cost'!$AU:$AU,0),12),""),"")</f>
        <v/>
      </c>
      <c r="I1574" s="3153" t="str">
        <f ca="1">IFERROR(INDEX('Production cost'!$A:$AU,MATCH($C1574,'Production cost'!$AU:$AU,0),28)/'Production cost'!$E$2,"")</f>
        <v/>
      </c>
      <c r="J1574" s="3153" t="str">
        <f ca="1">IFERROR(INDEX('Production cost'!$A:$AU,MATCH($C1574,'Production cost'!$AU:$AU,0),28)/'Production cost'!$E$2,"")</f>
        <v/>
      </c>
    </row>
    <row r="1575" spans="2:10" ht="21.75">
      <c r="B1575" s="3143" t="s">
        <v>3654</v>
      </c>
      <c r="C1575" s="3143">
        <f t="shared" si="28"/>
        <v>230</v>
      </c>
      <c r="D1575" s="3143" t="str">
        <f ca="1">IFERROR(INDEX('Production cost'!$A:$AU,MATCH($C1575,'Production cost'!$AU:$AU,0),6),"")</f>
        <v/>
      </c>
      <c r="E1575" s="3143" t="str">
        <f ca="1">IFERROR(INDEX('Production cost'!$A:$AU,MATCH($C1575,'Production cost'!$AU:$AU,0),3),"")</f>
        <v/>
      </c>
      <c r="G1575" s="3153" t="str">
        <f ca="1">IFERROR(INDEX('Production cost'!$A:$AU,MATCH($C1575,'Production cost'!$AU:$AU,0),9),"")</f>
        <v/>
      </c>
      <c r="H1575" s="3599" t="str">
        <f ca="1">IFERROR(IFERROR(INDEX('Production cost'!$A:$AU,MATCH($C1575,'Production cost'!$AU:$AU,0),11),"")+IFERROR(INDEX('Production cost'!$A:$AU,MATCH($C1575,'Production cost'!$AU:$AU,0),12),""),"")</f>
        <v/>
      </c>
      <c r="I1575" s="3153" t="str">
        <f ca="1">IFERROR(INDEX('Production cost'!$A:$AU,MATCH($C1575,'Production cost'!$AU:$AU,0),28)/'Production cost'!$E$2,"")</f>
        <v/>
      </c>
      <c r="J1575" s="3153" t="str">
        <f ca="1">IFERROR(INDEX('Production cost'!$A:$AU,MATCH($C1575,'Production cost'!$AU:$AU,0),28)/'Production cost'!$E$2,"")</f>
        <v/>
      </c>
    </row>
    <row r="1576" spans="2:10" ht="21.75">
      <c r="B1576" s="3143" t="s">
        <v>3654</v>
      </c>
      <c r="C1576" s="3143">
        <f t="shared" si="28"/>
        <v>231</v>
      </c>
      <c r="D1576" s="3143" t="str">
        <f ca="1">IFERROR(INDEX('Production cost'!$A:$AU,MATCH($C1576,'Production cost'!$AU:$AU,0),6),"")</f>
        <v/>
      </c>
      <c r="E1576" s="3143" t="str">
        <f ca="1">IFERROR(INDEX('Production cost'!$A:$AU,MATCH($C1576,'Production cost'!$AU:$AU,0),3),"")</f>
        <v/>
      </c>
      <c r="G1576" s="3153" t="str">
        <f ca="1">IFERROR(INDEX('Production cost'!$A:$AU,MATCH($C1576,'Production cost'!$AU:$AU,0),9),"")</f>
        <v/>
      </c>
      <c r="H1576" s="3599" t="str">
        <f ca="1">IFERROR(IFERROR(INDEX('Production cost'!$A:$AU,MATCH($C1576,'Production cost'!$AU:$AU,0),11),"")+IFERROR(INDEX('Production cost'!$A:$AU,MATCH($C1576,'Production cost'!$AU:$AU,0),12),""),"")</f>
        <v/>
      </c>
      <c r="I1576" s="3153" t="str">
        <f ca="1">IFERROR(INDEX('Production cost'!$A:$AU,MATCH($C1576,'Production cost'!$AU:$AU,0),28)/'Production cost'!$E$2,"")</f>
        <v/>
      </c>
      <c r="J1576" s="3153" t="str">
        <f ca="1">IFERROR(INDEX('Production cost'!$A:$AU,MATCH($C1576,'Production cost'!$AU:$AU,0),28)/'Production cost'!$E$2,"")</f>
        <v/>
      </c>
    </row>
    <row r="1577" spans="2:10" ht="21.75">
      <c r="B1577" s="3143" t="s">
        <v>3654</v>
      </c>
      <c r="C1577" s="3143">
        <f t="shared" si="28"/>
        <v>232</v>
      </c>
      <c r="D1577" s="3143" t="str">
        <f ca="1">IFERROR(INDEX('Production cost'!$A:$AU,MATCH($C1577,'Production cost'!$AU:$AU,0),6),"")</f>
        <v/>
      </c>
      <c r="E1577" s="3143" t="str">
        <f ca="1">IFERROR(INDEX('Production cost'!$A:$AU,MATCH($C1577,'Production cost'!$AU:$AU,0),3),"")</f>
        <v/>
      </c>
      <c r="G1577" s="3153" t="str">
        <f ca="1">IFERROR(INDEX('Production cost'!$A:$AU,MATCH($C1577,'Production cost'!$AU:$AU,0),9),"")</f>
        <v/>
      </c>
      <c r="H1577" s="3599" t="str">
        <f ca="1">IFERROR(IFERROR(INDEX('Production cost'!$A:$AU,MATCH($C1577,'Production cost'!$AU:$AU,0),11),"")+IFERROR(INDEX('Production cost'!$A:$AU,MATCH($C1577,'Production cost'!$AU:$AU,0),12),""),"")</f>
        <v/>
      </c>
      <c r="I1577" s="3153" t="str">
        <f ca="1">IFERROR(INDEX('Production cost'!$A:$AU,MATCH($C1577,'Production cost'!$AU:$AU,0),28)/'Production cost'!$E$2,"")</f>
        <v/>
      </c>
      <c r="J1577" s="3153" t="str">
        <f ca="1">IFERROR(INDEX('Production cost'!$A:$AU,MATCH($C1577,'Production cost'!$AU:$AU,0),28)/'Production cost'!$E$2,"")</f>
        <v/>
      </c>
    </row>
    <row r="1578" spans="2:10" ht="21.75">
      <c r="B1578" s="3143" t="s">
        <v>3654</v>
      </c>
      <c r="C1578" s="3143">
        <f t="shared" si="28"/>
        <v>233</v>
      </c>
      <c r="D1578" s="3143" t="str">
        <f ca="1">IFERROR(INDEX('Production cost'!$A:$AU,MATCH($C1578,'Production cost'!$AU:$AU,0),6),"")</f>
        <v/>
      </c>
      <c r="E1578" s="3143" t="str">
        <f ca="1">IFERROR(INDEX('Production cost'!$A:$AU,MATCH($C1578,'Production cost'!$AU:$AU,0),3),"")</f>
        <v/>
      </c>
      <c r="G1578" s="3153" t="str">
        <f ca="1">IFERROR(INDEX('Production cost'!$A:$AU,MATCH($C1578,'Production cost'!$AU:$AU,0),9),"")</f>
        <v/>
      </c>
      <c r="H1578" s="3599" t="str">
        <f ca="1">IFERROR(IFERROR(INDEX('Production cost'!$A:$AU,MATCH($C1578,'Production cost'!$AU:$AU,0),11),"")+IFERROR(INDEX('Production cost'!$A:$AU,MATCH($C1578,'Production cost'!$AU:$AU,0),12),""),"")</f>
        <v/>
      </c>
      <c r="I1578" s="3153" t="str">
        <f ca="1">IFERROR(INDEX('Production cost'!$A:$AU,MATCH($C1578,'Production cost'!$AU:$AU,0),28)/'Production cost'!$E$2,"")</f>
        <v/>
      </c>
      <c r="J1578" s="3153" t="str">
        <f ca="1">IFERROR(INDEX('Production cost'!$A:$AU,MATCH($C1578,'Production cost'!$AU:$AU,0),28)/'Production cost'!$E$2,"")</f>
        <v/>
      </c>
    </row>
    <row r="1579" spans="2:10" ht="21.75">
      <c r="B1579" s="3143" t="s">
        <v>3654</v>
      </c>
      <c r="C1579" s="3143">
        <f t="shared" si="28"/>
        <v>234</v>
      </c>
      <c r="D1579" s="3143" t="str">
        <f ca="1">IFERROR(INDEX('Production cost'!$A:$AU,MATCH($C1579,'Production cost'!$AU:$AU,0),6),"")</f>
        <v/>
      </c>
      <c r="E1579" s="3143" t="str">
        <f ca="1">IFERROR(INDEX('Production cost'!$A:$AU,MATCH($C1579,'Production cost'!$AU:$AU,0),3),"")</f>
        <v/>
      </c>
      <c r="G1579" s="3153" t="str">
        <f ca="1">IFERROR(INDEX('Production cost'!$A:$AU,MATCH($C1579,'Production cost'!$AU:$AU,0),9),"")</f>
        <v/>
      </c>
      <c r="H1579" s="3599" t="str">
        <f ca="1">IFERROR(IFERROR(INDEX('Production cost'!$A:$AU,MATCH($C1579,'Production cost'!$AU:$AU,0),11),"")+IFERROR(INDEX('Production cost'!$A:$AU,MATCH($C1579,'Production cost'!$AU:$AU,0),12),""),"")</f>
        <v/>
      </c>
      <c r="I1579" s="3153" t="str">
        <f ca="1">IFERROR(INDEX('Production cost'!$A:$AU,MATCH($C1579,'Production cost'!$AU:$AU,0),28)/'Production cost'!$E$2,"")</f>
        <v/>
      </c>
      <c r="J1579" s="3153" t="str">
        <f ca="1">IFERROR(INDEX('Production cost'!$A:$AU,MATCH($C1579,'Production cost'!$AU:$AU,0),28)/'Production cost'!$E$2,"")</f>
        <v/>
      </c>
    </row>
    <row r="1580" spans="2:10" ht="21.75">
      <c r="B1580" s="3143" t="s">
        <v>3654</v>
      </c>
      <c r="C1580" s="3143">
        <f t="shared" si="28"/>
        <v>235</v>
      </c>
      <c r="D1580" s="3143" t="str">
        <f ca="1">IFERROR(INDEX('Production cost'!$A:$AU,MATCH($C1580,'Production cost'!$AU:$AU,0),6),"")</f>
        <v/>
      </c>
      <c r="E1580" s="3143" t="str">
        <f ca="1">IFERROR(INDEX('Production cost'!$A:$AU,MATCH($C1580,'Production cost'!$AU:$AU,0),3),"")</f>
        <v/>
      </c>
      <c r="G1580" s="3153" t="str">
        <f ca="1">IFERROR(INDEX('Production cost'!$A:$AU,MATCH($C1580,'Production cost'!$AU:$AU,0),9),"")</f>
        <v/>
      </c>
      <c r="H1580" s="3599" t="str">
        <f ca="1">IFERROR(IFERROR(INDEX('Production cost'!$A:$AU,MATCH($C1580,'Production cost'!$AU:$AU,0),11),"")+IFERROR(INDEX('Production cost'!$A:$AU,MATCH($C1580,'Production cost'!$AU:$AU,0),12),""),"")</f>
        <v/>
      </c>
      <c r="I1580" s="3153" t="str">
        <f ca="1">IFERROR(INDEX('Production cost'!$A:$AU,MATCH($C1580,'Production cost'!$AU:$AU,0),28)/'Production cost'!$E$2,"")</f>
        <v/>
      </c>
      <c r="J1580" s="3153" t="str">
        <f ca="1">IFERROR(INDEX('Production cost'!$A:$AU,MATCH($C1580,'Production cost'!$AU:$AU,0),28)/'Production cost'!$E$2,"")</f>
        <v/>
      </c>
    </row>
    <row r="1581" spans="2:10" ht="21.75">
      <c r="B1581" s="3143" t="s">
        <v>3654</v>
      </c>
      <c r="C1581" s="3143">
        <f t="shared" si="28"/>
        <v>236</v>
      </c>
      <c r="D1581" s="3143" t="str">
        <f ca="1">IFERROR(INDEX('Production cost'!$A:$AU,MATCH($C1581,'Production cost'!$AU:$AU,0),6),"")</f>
        <v/>
      </c>
      <c r="E1581" s="3143" t="str">
        <f ca="1">IFERROR(INDEX('Production cost'!$A:$AU,MATCH($C1581,'Production cost'!$AU:$AU,0),3),"")</f>
        <v/>
      </c>
      <c r="G1581" s="3153" t="str">
        <f ca="1">IFERROR(INDEX('Production cost'!$A:$AU,MATCH($C1581,'Production cost'!$AU:$AU,0),9),"")</f>
        <v/>
      </c>
      <c r="H1581" s="3599" t="str">
        <f ca="1">IFERROR(IFERROR(INDEX('Production cost'!$A:$AU,MATCH($C1581,'Production cost'!$AU:$AU,0),11),"")+IFERROR(INDEX('Production cost'!$A:$AU,MATCH($C1581,'Production cost'!$AU:$AU,0),12),""),"")</f>
        <v/>
      </c>
      <c r="I1581" s="3153" t="str">
        <f ca="1">IFERROR(INDEX('Production cost'!$A:$AU,MATCH($C1581,'Production cost'!$AU:$AU,0),28)/'Production cost'!$E$2,"")</f>
        <v/>
      </c>
      <c r="J1581" s="3153" t="str">
        <f ca="1">IFERROR(INDEX('Production cost'!$A:$AU,MATCH($C1581,'Production cost'!$AU:$AU,0),28)/'Production cost'!$E$2,"")</f>
        <v/>
      </c>
    </row>
    <row r="1582" spans="2:10" ht="21.75">
      <c r="B1582" s="3143" t="s">
        <v>3654</v>
      </c>
      <c r="C1582" s="3143">
        <f t="shared" si="28"/>
        <v>237</v>
      </c>
      <c r="D1582" s="3143" t="str">
        <f ca="1">IFERROR(INDEX('Production cost'!$A:$AU,MATCH($C1582,'Production cost'!$AU:$AU,0),6),"")</f>
        <v/>
      </c>
      <c r="E1582" s="3143" t="str">
        <f ca="1">IFERROR(INDEX('Production cost'!$A:$AU,MATCH($C1582,'Production cost'!$AU:$AU,0),3),"")</f>
        <v/>
      </c>
      <c r="G1582" s="3153" t="str">
        <f ca="1">IFERROR(INDEX('Production cost'!$A:$AU,MATCH($C1582,'Production cost'!$AU:$AU,0),9),"")</f>
        <v/>
      </c>
      <c r="H1582" s="3599" t="str">
        <f ca="1">IFERROR(IFERROR(INDEX('Production cost'!$A:$AU,MATCH($C1582,'Production cost'!$AU:$AU,0),11),"")+IFERROR(INDEX('Production cost'!$A:$AU,MATCH($C1582,'Production cost'!$AU:$AU,0),12),""),"")</f>
        <v/>
      </c>
      <c r="I1582" s="3153" t="str">
        <f ca="1">IFERROR(INDEX('Production cost'!$A:$AU,MATCH($C1582,'Production cost'!$AU:$AU,0),28)/'Production cost'!$E$2,"")</f>
        <v/>
      </c>
      <c r="J1582" s="3153" t="str">
        <f ca="1">IFERROR(INDEX('Production cost'!$A:$AU,MATCH($C1582,'Production cost'!$AU:$AU,0),28)/'Production cost'!$E$2,"")</f>
        <v/>
      </c>
    </row>
    <row r="1583" spans="2:10" ht="21.75">
      <c r="B1583" s="3143" t="s">
        <v>3654</v>
      </c>
      <c r="C1583" s="3143">
        <f t="shared" si="28"/>
        <v>238</v>
      </c>
      <c r="D1583" s="3143" t="str">
        <f ca="1">IFERROR(INDEX('Production cost'!$A:$AU,MATCH($C1583,'Production cost'!$AU:$AU,0),6),"")</f>
        <v/>
      </c>
      <c r="E1583" s="3143" t="str">
        <f ca="1">IFERROR(INDEX('Production cost'!$A:$AU,MATCH($C1583,'Production cost'!$AU:$AU,0),3),"")</f>
        <v/>
      </c>
      <c r="G1583" s="3153" t="str">
        <f ca="1">IFERROR(INDEX('Production cost'!$A:$AU,MATCH($C1583,'Production cost'!$AU:$AU,0),9),"")</f>
        <v/>
      </c>
      <c r="H1583" s="3599" t="str">
        <f ca="1">IFERROR(IFERROR(INDEX('Production cost'!$A:$AU,MATCH($C1583,'Production cost'!$AU:$AU,0),11),"")+IFERROR(INDEX('Production cost'!$A:$AU,MATCH($C1583,'Production cost'!$AU:$AU,0),12),""),"")</f>
        <v/>
      </c>
      <c r="I1583" s="3153" t="str">
        <f ca="1">IFERROR(INDEX('Production cost'!$A:$AU,MATCH($C1583,'Production cost'!$AU:$AU,0),28)/'Production cost'!$E$2,"")</f>
        <v/>
      </c>
      <c r="J1583" s="3153" t="str">
        <f ca="1">IFERROR(INDEX('Production cost'!$A:$AU,MATCH($C1583,'Production cost'!$AU:$AU,0),28)/'Production cost'!$E$2,"")</f>
        <v/>
      </c>
    </row>
    <row r="1584" spans="2:10" ht="21.75">
      <c r="B1584" s="3143" t="s">
        <v>3654</v>
      </c>
      <c r="C1584" s="3143">
        <f t="shared" si="28"/>
        <v>239</v>
      </c>
      <c r="D1584" s="3143" t="str">
        <f ca="1">IFERROR(INDEX('Production cost'!$A:$AU,MATCH($C1584,'Production cost'!$AU:$AU,0),6),"")</f>
        <v/>
      </c>
      <c r="E1584" s="3143" t="str">
        <f ca="1">IFERROR(INDEX('Production cost'!$A:$AU,MATCH($C1584,'Production cost'!$AU:$AU,0),3),"")</f>
        <v/>
      </c>
      <c r="G1584" s="3153" t="str">
        <f ca="1">IFERROR(INDEX('Production cost'!$A:$AU,MATCH($C1584,'Production cost'!$AU:$AU,0),9),"")</f>
        <v/>
      </c>
      <c r="H1584" s="3599" t="str">
        <f ca="1">IFERROR(IFERROR(INDEX('Production cost'!$A:$AU,MATCH($C1584,'Production cost'!$AU:$AU,0),11),"")+IFERROR(INDEX('Production cost'!$A:$AU,MATCH($C1584,'Production cost'!$AU:$AU,0),12),""),"")</f>
        <v/>
      </c>
      <c r="I1584" s="3153" t="str">
        <f ca="1">IFERROR(INDEX('Production cost'!$A:$AU,MATCH($C1584,'Production cost'!$AU:$AU,0),28)/'Production cost'!$E$2,"")</f>
        <v/>
      </c>
      <c r="J1584" s="3153" t="str">
        <f ca="1">IFERROR(INDEX('Production cost'!$A:$AU,MATCH($C1584,'Production cost'!$AU:$AU,0),28)/'Production cost'!$E$2,"")</f>
        <v/>
      </c>
    </row>
    <row r="1585" spans="2:10" ht="21.75">
      <c r="B1585" s="3143" t="s">
        <v>3654</v>
      </c>
      <c r="C1585" s="3143">
        <f t="shared" si="28"/>
        <v>240</v>
      </c>
      <c r="D1585" s="3143" t="str">
        <f ca="1">IFERROR(INDEX('Production cost'!$A:$AU,MATCH($C1585,'Production cost'!$AU:$AU,0),6),"")</f>
        <v/>
      </c>
      <c r="E1585" s="3143" t="str">
        <f ca="1">IFERROR(INDEX('Production cost'!$A:$AU,MATCH($C1585,'Production cost'!$AU:$AU,0),3),"")</f>
        <v/>
      </c>
      <c r="G1585" s="3153" t="str">
        <f ca="1">IFERROR(INDEX('Production cost'!$A:$AU,MATCH($C1585,'Production cost'!$AU:$AU,0),9),"")</f>
        <v/>
      </c>
      <c r="H1585" s="3599" t="str">
        <f ca="1">IFERROR(IFERROR(INDEX('Production cost'!$A:$AU,MATCH($C1585,'Production cost'!$AU:$AU,0),11),"")+IFERROR(INDEX('Production cost'!$A:$AU,MATCH($C1585,'Production cost'!$AU:$AU,0),12),""),"")</f>
        <v/>
      </c>
      <c r="I1585" s="3153" t="str">
        <f ca="1">IFERROR(INDEX('Production cost'!$A:$AU,MATCH($C1585,'Production cost'!$AU:$AU,0),28)/'Production cost'!$E$2,"")</f>
        <v/>
      </c>
      <c r="J1585" s="3153" t="str">
        <f ca="1">IFERROR(INDEX('Production cost'!$A:$AU,MATCH($C1585,'Production cost'!$AU:$AU,0),28)/'Production cost'!$E$2,"")</f>
        <v/>
      </c>
    </row>
    <row r="1586" spans="2:10" ht="21.75">
      <c r="B1586" s="3143" t="s">
        <v>3654</v>
      </c>
      <c r="C1586" s="3143">
        <f t="shared" si="28"/>
        <v>241</v>
      </c>
      <c r="D1586" s="3143" t="str">
        <f ca="1">IFERROR(INDEX('Production cost'!$A:$AU,MATCH($C1586,'Production cost'!$AU:$AU,0),6),"")</f>
        <v/>
      </c>
      <c r="E1586" s="3143" t="str">
        <f ca="1">IFERROR(INDEX('Production cost'!$A:$AU,MATCH($C1586,'Production cost'!$AU:$AU,0),3),"")</f>
        <v/>
      </c>
      <c r="G1586" s="3153" t="str">
        <f ca="1">IFERROR(INDEX('Production cost'!$A:$AU,MATCH($C1586,'Production cost'!$AU:$AU,0),9),"")</f>
        <v/>
      </c>
      <c r="H1586" s="3599" t="str">
        <f ca="1">IFERROR(IFERROR(INDEX('Production cost'!$A:$AU,MATCH($C1586,'Production cost'!$AU:$AU,0),11),"")+IFERROR(INDEX('Production cost'!$A:$AU,MATCH($C1586,'Production cost'!$AU:$AU,0),12),""),"")</f>
        <v/>
      </c>
      <c r="I1586" s="3153" t="str">
        <f ca="1">IFERROR(INDEX('Production cost'!$A:$AU,MATCH($C1586,'Production cost'!$AU:$AU,0),28)/'Production cost'!$E$2,"")</f>
        <v/>
      </c>
      <c r="J1586" s="3153" t="str">
        <f ca="1">IFERROR(INDEX('Production cost'!$A:$AU,MATCH($C1586,'Production cost'!$AU:$AU,0),28)/'Production cost'!$E$2,"")</f>
        <v/>
      </c>
    </row>
    <row r="1587" spans="2:10" ht="21.75">
      <c r="B1587" s="3143" t="s">
        <v>3654</v>
      </c>
      <c r="C1587" s="3143">
        <f t="shared" si="28"/>
        <v>242</v>
      </c>
      <c r="D1587" s="3143" t="str">
        <f ca="1">IFERROR(INDEX('Production cost'!$A:$AU,MATCH($C1587,'Production cost'!$AU:$AU,0),6),"")</f>
        <v/>
      </c>
      <c r="E1587" s="3143" t="str">
        <f ca="1">IFERROR(INDEX('Production cost'!$A:$AU,MATCH($C1587,'Production cost'!$AU:$AU,0),3),"")</f>
        <v/>
      </c>
      <c r="G1587" s="3153" t="str">
        <f ca="1">IFERROR(INDEX('Production cost'!$A:$AU,MATCH($C1587,'Production cost'!$AU:$AU,0),9),"")</f>
        <v/>
      </c>
      <c r="H1587" s="3599" t="str">
        <f ca="1">IFERROR(IFERROR(INDEX('Production cost'!$A:$AU,MATCH($C1587,'Production cost'!$AU:$AU,0),11),"")+IFERROR(INDEX('Production cost'!$A:$AU,MATCH($C1587,'Production cost'!$AU:$AU,0),12),""),"")</f>
        <v/>
      </c>
      <c r="I1587" s="3153" t="str">
        <f ca="1">IFERROR(INDEX('Production cost'!$A:$AU,MATCH($C1587,'Production cost'!$AU:$AU,0),28)/'Production cost'!$E$2,"")</f>
        <v/>
      </c>
      <c r="J1587" s="3153" t="str">
        <f ca="1">IFERROR(INDEX('Production cost'!$A:$AU,MATCH($C1587,'Production cost'!$AU:$AU,0),28)/'Production cost'!$E$2,"")</f>
        <v/>
      </c>
    </row>
    <row r="1588" spans="2:10" ht="21.75">
      <c r="B1588" s="3143" t="s">
        <v>3654</v>
      </c>
      <c r="C1588" s="3143">
        <f t="shared" si="28"/>
        <v>243</v>
      </c>
      <c r="D1588" s="3143" t="str">
        <f ca="1">IFERROR(INDEX('Production cost'!$A:$AU,MATCH($C1588,'Production cost'!$AU:$AU,0),6),"")</f>
        <v/>
      </c>
      <c r="E1588" s="3143" t="str">
        <f ca="1">IFERROR(INDEX('Production cost'!$A:$AU,MATCH($C1588,'Production cost'!$AU:$AU,0),3),"")</f>
        <v/>
      </c>
      <c r="G1588" s="3153" t="str">
        <f ca="1">IFERROR(INDEX('Production cost'!$A:$AU,MATCH($C1588,'Production cost'!$AU:$AU,0),9),"")</f>
        <v/>
      </c>
      <c r="H1588" s="3599" t="str">
        <f ca="1">IFERROR(IFERROR(INDEX('Production cost'!$A:$AU,MATCH($C1588,'Production cost'!$AU:$AU,0),11),"")+IFERROR(INDEX('Production cost'!$A:$AU,MATCH($C1588,'Production cost'!$AU:$AU,0),12),""),"")</f>
        <v/>
      </c>
      <c r="I1588" s="3153" t="str">
        <f ca="1">IFERROR(INDEX('Production cost'!$A:$AU,MATCH($C1588,'Production cost'!$AU:$AU,0),28)/'Production cost'!$E$2,"")</f>
        <v/>
      </c>
      <c r="J1588" s="3153" t="str">
        <f ca="1">IFERROR(INDEX('Production cost'!$A:$AU,MATCH($C1588,'Production cost'!$AU:$AU,0),28)/'Production cost'!$E$2,"")</f>
        <v/>
      </c>
    </row>
    <row r="1589" spans="2:10" ht="21.75">
      <c r="B1589" s="3143" t="s">
        <v>3654</v>
      </c>
      <c r="C1589" s="3143">
        <f t="shared" si="28"/>
        <v>244</v>
      </c>
      <c r="D1589" s="3143" t="str">
        <f ca="1">IFERROR(INDEX('Production cost'!$A:$AU,MATCH($C1589,'Production cost'!$AU:$AU,0),6),"")</f>
        <v/>
      </c>
      <c r="E1589" s="3143" t="str">
        <f ca="1">IFERROR(INDEX('Production cost'!$A:$AU,MATCH($C1589,'Production cost'!$AU:$AU,0),3),"")</f>
        <v/>
      </c>
      <c r="G1589" s="3153" t="str">
        <f ca="1">IFERROR(INDEX('Production cost'!$A:$AU,MATCH($C1589,'Production cost'!$AU:$AU,0),9),"")</f>
        <v/>
      </c>
      <c r="H1589" s="3599" t="str">
        <f ca="1">IFERROR(IFERROR(INDEX('Production cost'!$A:$AU,MATCH($C1589,'Production cost'!$AU:$AU,0),11),"")+IFERROR(INDEX('Production cost'!$A:$AU,MATCH($C1589,'Production cost'!$AU:$AU,0),12),""),"")</f>
        <v/>
      </c>
      <c r="I1589" s="3153" t="str">
        <f ca="1">IFERROR(INDEX('Production cost'!$A:$AU,MATCH($C1589,'Production cost'!$AU:$AU,0),28)/'Production cost'!$E$2,"")</f>
        <v/>
      </c>
      <c r="J1589" s="3153" t="str">
        <f ca="1">IFERROR(INDEX('Production cost'!$A:$AU,MATCH($C1589,'Production cost'!$AU:$AU,0),28)/'Production cost'!$E$2,"")</f>
        <v/>
      </c>
    </row>
    <row r="1590" spans="2:10" ht="21.75">
      <c r="B1590" s="3143" t="s">
        <v>3654</v>
      </c>
      <c r="C1590" s="3143">
        <f t="shared" si="28"/>
        <v>245</v>
      </c>
      <c r="D1590" s="3143" t="str">
        <f ca="1">IFERROR(INDEX('Production cost'!$A:$AU,MATCH($C1590,'Production cost'!$AU:$AU,0),6),"")</f>
        <v/>
      </c>
      <c r="E1590" s="3143" t="str">
        <f ca="1">IFERROR(INDEX('Production cost'!$A:$AU,MATCH($C1590,'Production cost'!$AU:$AU,0),3),"")</f>
        <v/>
      </c>
      <c r="G1590" s="3153" t="str">
        <f ca="1">IFERROR(INDEX('Production cost'!$A:$AU,MATCH($C1590,'Production cost'!$AU:$AU,0),9),"")</f>
        <v/>
      </c>
      <c r="H1590" s="3599" t="str">
        <f ca="1">IFERROR(IFERROR(INDEX('Production cost'!$A:$AU,MATCH($C1590,'Production cost'!$AU:$AU,0),11),"")+IFERROR(INDEX('Production cost'!$A:$AU,MATCH($C1590,'Production cost'!$AU:$AU,0),12),""),"")</f>
        <v/>
      </c>
      <c r="I1590" s="3153" t="str">
        <f ca="1">IFERROR(INDEX('Production cost'!$A:$AU,MATCH($C1590,'Production cost'!$AU:$AU,0),28)/'Production cost'!$E$2,"")</f>
        <v/>
      </c>
      <c r="J1590" s="3153" t="str">
        <f ca="1">IFERROR(INDEX('Production cost'!$A:$AU,MATCH($C1590,'Production cost'!$AU:$AU,0),28)/'Production cost'!$E$2,"")</f>
        <v/>
      </c>
    </row>
    <row r="1591" spans="2:10" ht="21.75">
      <c r="B1591" s="3143" t="s">
        <v>3654</v>
      </c>
      <c r="C1591" s="3143">
        <f t="shared" si="28"/>
        <v>246</v>
      </c>
      <c r="D1591" s="3143" t="str">
        <f ca="1">IFERROR(INDEX('Production cost'!$A:$AU,MATCH($C1591,'Production cost'!$AU:$AU,0),6),"")</f>
        <v/>
      </c>
      <c r="E1591" s="3143" t="str">
        <f ca="1">IFERROR(INDEX('Production cost'!$A:$AU,MATCH($C1591,'Production cost'!$AU:$AU,0),3),"")</f>
        <v/>
      </c>
      <c r="G1591" s="3153" t="str">
        <f ca="1">IFERROR(INDEX('Production cost'!$A:$AU,MATCH($C1591,'Production cost'!$AU:$AU,0),9),"")</f>
        <v/>
      </c>
      <c r="H1591" s="3599" t="str">
        <f ca="1">IFERROR(IFERROR(INDEX('Production cost'!$A:$AU,MATCH($C1591,'Production cost'!$AU:$AU,0),11),"")+IFERROR(INDEX('Production cost'!$A:$AU,MATCH($C1591,'Production cost'!$AU:$AU,0),12),""),"")</f>
        <v/>
      </c>
      <c r="I1591" s="3153" t="str">
        <f ca="1">IFERROR(INDEX('Production cost'!$A:$AU,MATCH($C1591,'Production cost'!$AU:$AU,0),28)/'Production cost'!$E$2,"")</f>
        <v/>
      </c>
      <c r="J1591" s="3153" t="str">
        <f ca="1">IFERROR(INDEX('Production cost'!$A:$AU,MATCH($C1591,'Production cost'!$AU:$AU,0),28)/'Production cost'!$E$2,"")</f>
        <v/>
      </c>
    </row>
    <row r="1592" spans="2:10" ht="21.75">
      <c r="B1592" s="3143" t="s">
        <v>3654</v>
      </c>
      <c r="C1592" s="3143">
        <f t="shared" si="28"/>
        <v>247</v>
      </c>
      <c r="D1592" s="3143" t="str">
        <f ca="1">IFERROR(INDEX('Production cost'!$A:$AU,MATCH($C1592,'Production cost'!$AU:$AU,0),6),"")</f>
        <v/>
      </c>
      <c r="E1592" s="3143" t="str">
        <f ca="1">IFERROR(INDEX('Production cost'!$A:$AU,MATCH($C1592,'Production cost'!$AU:$AU,0),3),"")</f>
        <v/>
      </c>
      <c r="G1592" s="3153" t="str">
        <f ca="1">IFERROR(INDEX('Production cost'!$A:$AU,MATCH($C1592,'Production cost'!$AU:$AU,0),9),"")</f>
        <v/>
      </c>
      <c r="H1592" s="3599" t="str">
        <f ca="1">IFERROR(IFERROR(INDEX('Production cost'!$A:$AU,MATCH($C1592,'Production cost'!$AU:$AU,0),11),"")+IFERROR(INDEX('Production cost'!$A:$AU,MATCH($C1592,'Production cost'!$AU:$AU,0),12),""),"")</f>
        <v/>
      </c>
      <c r="I1592" s="3153" t="str">
        <f ca="1">IFERROR(INDEX('Production cost'!$A:$AU,MATCH($C1592,'Production cost'!$AU:$AU,0),28)/'Production cost'!$E$2,"")</f>
        <v/>
      </c>
      <c r="J1592" s="3153" t="str">
        <f ca="1">IFERROR(INDEX('Production cost'!$A:$AU,MATCH($C1592,'Production cost'!$AU:$AU,0),28)/'Production cost'!$E$2,"")</f>
        <v/>
      </c>
    </row>
    <row r="1593" spans="2:10" ht="21.75">
      <c r="B1593" s="3143" t="s">
        <v>3654</v>
      </c>
      <c r="C1593" s="3143">
        <f t="shared" si="28"/>
        <v>248</v>
      </c>
      <c r="D1593" s="3143" t="str">
        <f ca="1">IFERROR(INDEX('Production cost'!$A:$AU,MATCH($C1593,'Production cost'!$AU:$AU,0),6),"")</f>
        <v/>
      </c>
      <c r="E1593" s="3143" t="str">
        <f ca="1">IFERROR(INDEX('Production cost'!$A:$AU,MATCH($C1593,'Production cost'!$AU:$AU,0),3),"")</f>
        <v/>
      </c>
      <c r="G1593" s="3153" t="str">
        <f ca="1">IFERROR(INDEX('Production cost'!$A:$AU,MATCH($C1593,'Production cost'!$AU:$AU,0),9),"")</f>
        <v/>
      </c>
      <c r="H1593" s="3599" t="str">
        <f ca="1">IFERROR(IFERROR(INDEX('Production cost'!$A:$AU,MATCH($C1593,'Production cost'!$AU:$AU,0),11),"")+IFERROR(INDEX('Production cost'!$A:$AU,MATCH($C1593,'Production cost'!$AU:$AU,0),12),""),"")</f>
        <v/>
      </c>
      <c r="I1593" s="3153" t="str">
        <f ca="1">IFERROR(INDEX('Production cost'!$A:$AU,MATCH($C1593,'Production cost'!$AU:$AU,0),28)/'Production cost'!$E$2,"")</f>
        <v/>
      </c>
      <c r="J1593" s="3153" t="str">
        <f ca="1">IFERROR(INDEX('Production cost'!$A:$AU,MATCH($C1593,'Production cost'!$AU:$AU,0),28)/'Production cost'!$E$2,"")</f>
        <v/>
      </c>
    </row>
    <row r="1594" spans="2:10" ht="21.75">
      <c r="B1594" s="3143" t="s">
        <v>3654</v>
      </c>
      <c r="C1594" s="3143">
        <f t="shared" si="28"/>
        <v>249</v>
      </c>
      <c r="D1594" s="3143" t="str">
        <f ca="1">IFERROR(INDEX('Production cost'!$A:$AU,MATCH($C1594,'Production cost'!$AU:$AU,0),6),"")</f>
        <v/>
      </c>
      <c r="E1594" s="3143" t="str">
        <f ca="1">IFERROR(INDEX('Production cost'!$A:$AU,MATCH($C1594,'Production cost'!$AU:$AU,0),3),"")</f>
        <v/>
      </c>
      <c r="G1594" s="3153" t="str">
        <f ca="1">IFERROR(INDEX('Production cost'!$A:$AU,MATCH($C1594,'Production cost'!$AU:$AU,0),9),"")</f>
        <v/>
      </c>
      <c r="H1594" s="3599" t="str">
        <f ca="1">IFERROR(IFERROR(INDEX('Production cost'!$A:$AU,MATCH($C1594,'Production cost'!$AU:$AU,0),11),"")+IFERROR(INDEX('Production cost'!$A:$AU,MATCH($C1594,'Production cost'!$AU:$AU,0),12),""),"")</f>
        <v/>
      </c>
      <c r="I1594" s="3153" t="str">
        <f ca="1">IFERROR(INDEX('Production cost'!$A:$AU,MATCH($C1594,'Production cost'!$AU:$AU,0),28)/'Production cost'!$E$2,"")</f>
        <v/>
      </c>
      <c r="J1594" s="3153" t="str">
        <f ca="1">IFERROR(INDEX('Production cost'!$A:$AU,MATCH($C1594,'Production cost'!$AU:$AU,0),28)/'Production cost'!$E$2,"")</f>
        <v/>
      </c>
    </row>
    <row r="1595" spans="2:10" ht="21.75">
      <c r="B1595" s="3143" t="s">
        <v>3654</v>
      </c>
      <c r="C1595" s="3143">
        <f t="shared" si="28"/>
        <v>250</v>
      </c>
      <c r="D1595" s="3143" t="str">
        <f ca="1">IFERROR(INDEX('Production cost'!$A:$AU,MATCH($C1595,'Production cost'!$AU:$AU,0),6),"")</f>
        <v/>
      </c>
      <c r="E1595" s="3143" t="str">
        <f ca="1">IFERROR(INDEX('Production cost'!$A:$AU,MATCH($C1595,'Production cost'!$AU:$AU,0),3),"")</f>
        <v/>
      </c>
      <c r="G1595" s="3153" t="str">
        <f ca="1">IFERROR(INDEX('Production cost'!$A:$AU,MATCH($C1595,'Production cost'!$AU:$AU,0),9),"")</f>
        <v/>
      </c>
      <c r="H1595" s="3599" t="str">
        <f ca="1">IFERROR(IFERROR(INDEX('Production cost'!$A:$AU,MATCH($C1595,'Production cost'!$AU:$AU,0),11),"")+IFERROR(INDEX('Production cost'!$A:$AU,MATCH($C1595,'Production cost'!$AU:$AU,0),12),""),"")</f>
        <v/>
      </c>
      <c r="I1595" s="3153" t="str">
        <f ca="1">IFERROR(INDEX('Production cost'!$A:$AU,MATCH($C1595,'Production cost'!$AU:$AU,0),28)/'Production cost'!$E$2,"")</f>
        <v/>
      </c>
      <c r="J1595" s="3153" t="str">
        <f ca="1">IFERROR(INDEX('Production cost'!$A:$AU,MATCH($C1595,'Production cost'!$AU:$AU,0),28)/'Production cost'!$E$2,"")</f>
        <v/>
      </c>
    </row>
    <row r="1596" spans="2:10" ht="21.75">
      <c r="B1596" s="3143" t="s">
        <v>3654</v>
      </c>
      <c r="C1596" s="3143">
        <f t="shared" si="28"/>
        <v>251</v>
      </c>
      <c r="D1596" s="3143" t="str">
        <f ca="1">IFERROR(INDEX('Production cost'!$A:$AU,MATCH($C1596,'Production cost'!$AU:$AU,0),6),"")</f>
        <v/>
      </c>
      <c r="E1596" s="3143" t="str">
        <f ca="1">IFERROR(INDEX('Production cost'!$A:$AU,MATCH($C1596,'Production cost'!$AU:$AU,0),3),"")</f>
        <v/>
      </c>
      <c r="G1596" s="3153" t="str">
        <f ca="1">IFERROR(INDEX('Production cost'!$A:$AU,MATCH($C1596,'Production cost'!$AU:$AU,0),9),"")</f>
        <v/>
      </c>
      <c r="H1596" s="3599" t="str">
        <f ca="1">IFERROR(IFERROR(INDEX('Production cost'!$A:$AU,MATCH($C1596,'Production cost'!$AU:$AU,0),11),"")+IFERROR(INDEX('Production cost'!$A:$AU,MATCH($C1596,'Production cost'!$AU:$AU,0),12),""),"")</f>
        <v/>
      </c>
      <c r="I1596" s="3153" t="str">
        <f ca="1">IFERROR(INDEX('Production cost'!$A:$AU,MATCH($C1596,'Production cost'!$AU:$AU,0),28)/'Production cost'!$E$2,"")</f>
        <v/>
      </c>
      <c r="J1596" s="3153" t="str">
        <f ca="1">IFERROR(INDEX('Production cost'!$A:$AU,MATCH($C1596,'Production cost'!$AU:$AU,0),28)/'Production cost'!$E$2,"")</f>
        <v/>
      </c>
    </row>
    <row r="1597" spans="2:10" ht="21.75">
      <c r="B1597" s="3143" t="s">
        <v>3654</v>
      </c>
      <c r="C1597" s="3143">
        <f t="shared" si="28"/>
        <v>252</v>
      </c>
      <c r="D1597" s="3143" t="str">
        <f ca="1">IFERROR(INDEX('Production cost'!$A:$AU,MATCH($C1597,'Production cost'!$AU:$AU,0),6),"")</f>
        <v/>
      </c>
      <c r="E1597" s="3143" t="str">
        <f ca="1">IFERROR(INDEX('Production cost'!$A:$AU,MATCH($C1597,'Production cost'!$AU:$AU,0),3),"")</f>
        <v/>
      </c>
      <c r="G1597" s="3153" t="str">
        <f ca="1">IFERROR(INDEX('Production cost'!$A:$AU,MATCH($C1597,'Production cost'!$AU:$AU,0),9),"")</f>
        <v/>
      </c>
      <c r="H1597" s="3599" t="str">
        <f ca="1">IFERROR(IFERROR(INDEX('Production cost'!$A:$AU,MATCH($C1597,'Production cost'!$AU:$AU,0),11),"")+IFERROR(INDEX('Production cost'!$A:$AU,MATCH($C1597,'Production cost'!$AU:$AU,0),12),""),"")</f>
        <v/>
      </c>
      <c r="I1597" s="3153" t="str">
        <f ca="1">IFERROR(INDEX('Production cost'!$A:$AU,MATCH($C1597,'Production cost'!$AU:$AU,0),28)/'Production cost'!$E$2,"")</f>
        <v/>
      </c>
      <c r="J1597" s="3153" t="str">
        <f ca="1">IFERROR(INDEX('Production cost'!$A:$AU,MATCH($C1597,'Production cost'!$AU:$AU,0),28)/'Production cost'!$E$2,"")</f>
        <v/>
      </c>
    </row>
    <row r="1598" spans="2:10" ht="21.75">
      <c r="B1598" s="3143" t="s">
        <v>3654</v>
      </c>
      <c r="C1598" s="3143">
        <f t="shared" si="28"/>
        <v>253</v>
      </c>
      <c r="D1598" s="3143" t="str">
        <f ca="1">IFERROR(INDEX('Production cost'!$A:$AU,MATCH($C1598,'Production cost'!$AU:$AU,0),6),"")</f>
        <v/>
      </c>
      <c r="E1598" s="3143" t="str">
        <f ca="1">IFERROR(INDEX('Production cost'!$A:$AU,MATCH($C1598,'Production cost'!$AU:$AU,0),3),"")</f>
        <v/>
      </c>
      <c r="G1598" s="3153" t="str">
        <f ca="1">IFERROR(INDEX('Production cost'!$A:$AU,MATCH($C1598,'Production cost'!$AU:$AU,0),9),"")</f>
        <v/>
      </c>
      <c r="H1598" s="3599" t="str">
        <f ca="1">IFERROR(IFERROR(INDEX('Production cost'!$A:$AU,MATCH($C1598,'Production cost'!$AU:$AU,0),11),"")+IFERROR(INDEX('Production cost'!$A:$AU,MATCH($C1598,'Production cost'!$AU:$AU,0),12),""),"")</f>
        <v/>
      </c>
      <c r="I1598" s="3153" t="str">
        <f ca="1">IFERROR(INDEX('Production cost'!$A:$AU,MATCH($C1598,'Production cost'!$AU:$AU,0),28)/'Production cost'!$E$2,"")</f>
        <v/>
      </c>
      <c r="J1598" s="3153" t="str">
        <f ca="1">IFERROR(INDEX('Production cost'!$A:$AU,MATCH($C1598,'Production cost'!$AU:$AU,0),28)/'Production cost'!$E$2,"")</f>
        <v/>
      </c>
    </row>
    <row r="1599" spans="2:10" ht="21.75">
      <c r="B1599" s="3143" t="s">
        <v>3654</v>
      </c>
      <c r="C1599" s="3143">
        <f t="shared" si="28"/>
        <v>254</v>
      </c>
      <c r="D1599" s="3143" t="str">
        <f ca="1">IFERROR(INDEX('Production cost'!$A:$AU,MATCH($C1599,'Production cost'!$AU:$AU,0),6),"")</f>
        <v/>
      </c>
      <c r="E1599" s="3143" t="str">
        <f ca="1">IFERROR(INDEX('Production cost'!$A:$AU,MATCH($C1599,'Production cost'!$AU:$AU,0),3),"")</f>
        <v/>
      </c>
      <c r="G1599" s="3153" t="str">
        <f ca="1">IFERROR(INDEX('Production cost'!$A:$AU,MATCH($C1599,'Production cost'!$AU:$AU,0),9),"")</f>
        <v/>
      </c>
      <c r="H1599" s="3599" t="str">
        <f ca="1">IFERROR(IFERROR(INDEX('Production cost'!$A:$AU,MATCH($C1599,'Production cost'!$AU:$AU,0),11),"")+IFERROR(INDEX('Production cost'!$A:$AU,MATCH($C1599,'Production cost'!$AU:$AU,0),12),""),"")</f>
        <v/>
      </c>
      <c r="I1599" s="3153" t="str">
        <f ca="1">IFERROR(INDEX('Production cost'!$A:$AU,MATCH($C1599,'Production cost'!$AU:$AU,0),28)/'Production cost'!$E$2,"")</f>
        <v/>
      </c>
      <c r="J1599" s="3153" t="str">
        <f ca="1">IFERROR(INDEX('Production cost'!$A:$AU,MATCH($C1599,'Production cost'!$AU:$AU,0),28)/'Production cost'!$E$2,"")</f>
        <v/>
      </c>
    </row>
    <row r="1600" spans="2:10" ht="21.75">
      <c r="B1600" s="3143" t="s">
        <v>3654</v>
      </c>
      <c r="C1600" s="3143">
        <f t="shared" si="28"/>
        <v>255</v>
      </c>
      <c r="D1600" s="3143" t="str">
        <f ca="1">IFERROR(INDEX('Production cost'!$A:$AU,MATCH($C1600,'Production cost'!$AU:$AU,0),6),"")</f>
        <v/>
      </c>
      <c r="E1600" s="3143" t="str">
        <f ca="1">IFERROR(INDEX('Production cost'!$A:$AU,MATCH($C1600,'Production cost'!$AU:$AU,0),3),"")</f>
        <v/>
      </c>
      <c r="G1600" s="3153" t="str">
        <f ca="1">IFERROR(INDEX('Production cost'!$A:$AU,MATCH($C1600,'Production cost'!$AU:$AU,0),9),"")</f>
        <v/>
      </c>
      <c r="H1600" s="3599" t="str">
        <f ca="1">IFERROR(IFERROR(INDEX('Production cost'!$A:$AU,MATCH($C1600,'Production cost'!$AU:$AU,0),11),"")+IFERROR(INDEX('Production cost'!$A:$AU,MATCH($C1600,'Production cost'!$AU:$AU,0),12),""),"")</f>
        <v/>
      </c>
      <c r="I1600" s="3153" t="str">
        <f ca="1">IFERROR(INDEX('Production cost'!$A:$AU,MATCH($C1600,'Production cost'!$AU:$AU,0),28)/'Production cost'!$E$2,"")</f>
        <v/>
      </c>
      <c r="J1600" s="3153" t="str">
        <f ca="1">IFERROR(INDEX('Production cost'!$A:$AU,MATCH($C1600,'Production cost'!$AU:$AU,0),28)/'Production cost'!$E$2,"")</f>
        <v/>
      </c>
    </row>
    <row r="1601" spans="2:10" ht="21.75">
      <c r="B1601" s="3143" t="s">
        <v>3654</v>
      </c>
      <c r="C1601" s="3143">
        <f t="shared" si="28"/>
        <v>256</v>
      </c>
      <c r="D1601" s="3143" t="str">
        <f ca="1">IFERROR(INDEX('Production cost'!$A:$AU,MATCH($C1601,'Production cost'!$AU:$AU,0),6),"")</f>
        <v/>
      </c>
      <c r="E1601" s="3143" t="str">
        <f ca="1">IFERROR(INDEX('Production cost'!$A:$AU,MATCH($C1601,'Production cost'!$AU:$AU,0),3),"")</f>
        <v/>
      </c>
      <c r="G1601" s="3153" t="str">
        <f ca="1">IFERROR(INDEX('Production cost'!$A:$AU,MATCH($C1601,'Production cost'!$AU:$AU,0),9),"")</f>
        <v/>
      </c>
      <c r="H1601" s="3599" t="str">
        <f ca="1">IFERROR(IFERROR(INDEX('Production cost'!$A:$AU,MATCH($C1601,'Production cost'!$AU:$AU,0),11),"")+IFERROR(INDEX('Production cost'!$A:$AU,MATCH($C1601,'Production cost'!$AU:$AU,0),12),""),"")</f>
        <v/>
      </c>
      <c r="I1601" s="3153" t="str">
        <f ca="1">IFERROR(INDEX('Production cost'!$A:$AU,MATCH($C1601,'Production cost'!$AU:$AU,0),28)/'Production cost'!$E$2,"")</f>
        <v/>
      </c>
      <c r="J1601" s="3153" t="str">
        <f ca="1">IFERROR(INDEX('Production cost'!$A:$AU,MATCH($C1601,'Production cost'!$AU:$AU,0),28)/'Production cost'!$E$2,"")</f>
        <v/>
      </c>
    </row>
    <row r="1602" spans="2:10" ht="21.75">
      <c r="B1602" s="3143" t="s">
        <v>3654</v>
      </c>
      <c r="C1602" s="3143">
        <f t="shared" si="28"/>
        <v>257</v>
      </c>
      <c r="D1602" s="3143" t="str">
        <f ca="1">IFERROR(INDEX('Production cost'!$A:$AU,MATCH($C1602,'Production cost'!$AU:$AU,0),6),"")</f>
        <v/>
      </c>
      <c r="E1602" s="3143" t="str">
        <f ca="1">IFERROR(INDEX('Production cost'!$A:$AU,MATCH($C1602,'Production cost'!$AU:$AU,0),3),"")</f>
        <v/>
      </c>
      <c r="G1602" s="3153" t="str">
        <f ca="1">IFERROR(INDEX('Production cost'!$A:$AU,MATCH($C1602,'Production cost'!$AU:$AU,0),9),"")</f>
        <v/>
      </c>
      <c r="H1602" s="3599" t="str">
        <f ca="1">IFERROR(IFERROR(INDEX('Production cost'!$A:$AU,MATCH($C1602,'Production cost'!$AU:$AU,0),11),"")+IFERROR(INDEX('Production cost'!$A:$AU,MATCH($C1602,'Production cost'!$AU:$AU,0),12),""),"")</f>
        <v/>
      </c>
      <c r="I1602" s="3153" t="str">
        <f ca="1">IFERROR(INDEX('Production cost'!$A:$AU,MATCH($C1602,'Production cost'!$AU:$AU,0),28)/'Production cost'!$E$2,"")</f>
        <v/>
      </c>
      <c r="J1602" s="3153" t="str">
        <f ca="1">IFERROR(INDEX('Production cost'!$A:$AU,MATCH($C1602,'Production cost'!$AU:$AU,0),28)/'Production cost'!$E$2,"")</f>
        <v/>
      </c>
    </row>
    <row r="1603" spans="2:10" ht="21.75">
      <c r="B1603" s="3143" t="s">
        <v>3654</v>
      </c>
      <c r="C1603" s="3143">
        <f t="shared" si="28"/>
        <v>258</v>
      </c>
      <c r="D1603" s="3143" t="str">
        <f ca="1">IFERROR(INDEX('Production cost'!$A:$AU,MATCH($C1603,'Production cost'!$AU:$AU,0),6),"")</f>
        <v/>
      </c>
      <c r="E1603" s="3143" t="str">
        <f ca="1">IFERROR(INDEX('Production cost'!$A:$AU,MATCH($C1603,'Production cost'!$AU:$AU,0),3),"")</f>
        <v/>
      </c>
      <c r="G1603" s="3153" t="str">
        <f ca="1">IFERROR(INDEX('Production cost'!$A:$AU,MATCH($C1603,'Production cost'!$AU:$AU,0),9),"")</f>
        <v/>
      </c>
      <c r="H1603" s="3599" t="str">
        <f ca="1">IFERROR(IFERROR(INDEX('Production cost'!$A:$AU,MATCH($C1603,'Production cost'!$AU:$AU,0),11),"")+IFERROR(INDEX('Production cost'!$A:$AU,MATCH($C1603,'Production cost'!$AU:$AU,0),12),""),"")</f>
        <v/>
      </c>
      <c r="I1603" s="3153" t="str">
        <f ca="1">IFERROR(INDEX('Production cost'!$A:$AU,MATCH($C1603,'Production cost'!$AU:$AU,0),28)/'Production cost'!$E$2,"")</f>
        <v/>
      </c>
      <c r="J1603" s="3153" t="str">
        <f ca="1">IFERROR(INDEX('Production cost'!$A:$AU,MATCH($C1603,'Production cost'!$AU:$AU,0),28)/'Production cost'!$E$2,"")</f>
        <v/>
      </c>
    </row>
    <row r="1604" spans="2:10" ht="21.75">
      <c r="B1604" s="3143" t="s">
        <v>3654</v>
      </c>
      <c r="C1604" s="3143">
        <f t="shared" ref="C1604:C1667" si="29">C1603+1</f>
        <v>259</v>
      </c>
      <c r="D1604" s="3143" t="str">
        <f ca="1">IFERROR(INDEX('Production cost'!$A:$AU,MATCH($C1604,'Production cost'!$AU:$AU,0),6),"")</f>
        <v/>
      </c>
      <c r="E1604" s="3143" t="str">
        <f ca="1">IFERROR(INDEX('Production cost'!$A:$AU,MATCH($C1604,'Production cost'!$AU:$AU,0),3),"")</f>
        <v/>
      </c>
      <c r="G1604" s="3153" t="str">
        <f ca="1">IFERROR(INDEX('Production cost'!$A:$AU,MATCH($C1604,'Production cost'!$AU:$AU,0),9),"")</f>
        <v/>
      </c>
      <c r="H1604" s="3599" t="str">
        <f ca="1">IFERROR(IFERROR(INDEX('Production cost'!$A:$AU,MATCH($C1604,'Production cost'!$AU:$AU,0),11),"")+IFERROR(INDEX('Production cost'!$A:$AU,MATCH($C1604,'Production cost'!$AU:$AU,0),12),""),"")</f>
        <v/>
      </c>
      <c r="I1604" s="3153" t="str">
        <f ca="1">IFERROR(INDEX('Production cost'!$A:$AU,MATCH($C1604,'Production cost'!$AU:$AU,0),28)/'Production cost'!$E$2,"")</f>
        <v/>
      </c>
      <c r="J1604" s="3153" t="str">
        <f ca="1">IFERROR(INDEX('Production cost'!$A:$AU,MATCH($C1604,'Production cost'!$AU:$AU,0),28)/'Production cost'!$E$2,"")</f>
        <v/>
      </c>
    </row>
    <row r="1605" spans="2:10" ht="21.75">
      <c r="B1605" s="3143" t="s">
        <v>3654</v>
      </c>
      <c r="C1605" s="3143">
        <f t="shared" si="29"/>
        <v>260</v>
      </c>
      <c r="D1605" s="3143" t="str">
        <f ca="1">IFERROR(INDEX('Production cost'!$A:$AU,MATCH($C1605,'Production cost'!$AU:$AU,0),6),"")</f>
        <v/>
      </c>
      <c r="E1605" s="3143" t="str">
        <f ca="1">IFERROR(INDEX('Production cost'!$A:$AU,MATCH($C1605,'Production cost'!$AU:$AU,0),3),"")</f>
        <v/>
      </c>
      <c r="G1605" s="3153" t="str">
        <f ca="1">IFERROR(INDEX('Production cost'!$A:$AU,MATCH($C1605,'Production cost'!$AU:$AU,0),9),"")</f>
        <v/>
      </c>
      <c r="H1605" s="3599" t="str">
        <f ca="1">IFERROR(IFERROR(INDEX('Production cost'!$A:$AU,MATCH($C1605,'Production cost'!$AU:$AU,0),11),"")+IFERROR(INDEX('Production cost'!$A:$AU,MATCH($C1605,'Production cost'!$AU:$AU,0),12),""),"")</f>
        <v/>
      </c>
      <c r="I1605" s="3153" t="str">
        <f ca="1">IFERROR(INDEX('Production cost'!$A:$AU,MATCH($C1605,'Production cost'!$AU:$AU,0),28)/'Production cost'!$E$2,"")</f>
        <v/>
      </c>
      <c r="J1605" s="3153" t="str">
        <f ca="1">IFERROR(INDEX('Production cost'!$A:$AU,MATCH($C1605,'Production cost'!$AU:$AU,0),28)/'Production cost'!$E$2,"")</f>
        <v/>
      </c>
    </row>
    <row r="1606" spans="2:10" ht="21.75">
      <c r="B1606" s="3143" t="s">
        <v>3654</v>
      </c>
      <c r="C1606" s="3143">
        <f t="shared" si="29"/>
        <v>261</v>
      </c>
      <c r="D1606" s="3143" t="str">
        <f ca="1">IFERROR(INDEX('Production cost'!$A:$AU,MATCH($C1606,'Production cost'!$AU:$AU,0),6),"")</f>
        <v/>
      </c>
      <c r="E1606" s="3143" t="str">
        <f ca="1">IFERROR(INDEX('Production cost'!$A:$AU,MATCH($C1606,'Production cost'!$AU:$AU,0),3),"")</f>
        <v/>
      </c>
      <c r="G1606" s="3153" t="str">
        <f ca="1">IFERROR(INDEX('Production cost'!$A:$AU,MATCH($C1606,'Production cost'!$AU:$AU,0),9),"")</f>
        <v/>
      </c>
      <c r="H1606" s="3599" t="str">
        <f ca="1">IFERROR(IFERROR(INDEX('Production cost'!$A:$AU,MATCH($C1606,'Production cost'!$AU:$AU,0),11),"")+IFERROR(INDEX('Production cost'!$A:$AU,MATCH($C1606,'Production cost'!$AU:$AU,0),12),""),"")</f>
        <v/>
      </c>
      <c r="I1606" s="3153" t="str">
        <f ca="1">IFERROR(INDEX('Production cost'!$A:$AU,MATCH($C1606,'Production cost'!$AU:$AU,0),28)/'Production cost'!$E$2,"")</f>
        <v/>
      </c>
      <c r="J1606" s="3153" t="str">
        <f ca="1">IFERROR(INDEX('Production cost'!$A:$AU,MATCH($C1606,'Production cost'!$AU:$AU,0),28)/'Production cost'!$E$2,"")</f>
        <v/>
      </c>
    </row>
    <row r="1607" spans="2:10" ht="21.75">
      <c r="B1607" s="3143" t="s">
        <v>3654</v>
      </c>
      <c r="C1607" s="3143">
        <f t="shared" si="29"/>
        <v>262</v>
      </c>
      <c r="D1607" s="3143" t="str">
        <f ca="1">IFERROR(INDEX('Production cost'!$A:$AU,MATCH($C1607,'Production cost'!$AU:$AU,0),6),"")</f>
        <v/>
      </c>
      <c r="E1607" s="3143" t="str">
        <f ca="1">IFERROR(INDEX('Production cost'!$A:$AU,MATCH($C1607,'Production cost'!$AU:$AU,0),3),"")</f>
        <v/>
      </c>
      <c r="G1607" s="3153" t="str">
        <f ca="1">IFERROR(INDEX('Production cost'!$A:$AU,MATCH($C1607,'Production cost'!$AU:$AU,0),9),"")</f>
        <v/>
      </c>
      <c r="H1607" s="3599" t="str">
        <f ca="1">IFERROR(IFERROR(INDEX('Production cost'!$A:$AU,MATCH($C1607,'Production cost'!$AU:$AU,0),11),"")+IFERROR(INDEX('Production cost'!$A:$AU,MATCH($C1607,'Production cost'!$AU:$AU,0),12),""),"")</f>
        <v/>
      </c>
      <c r="I1607" s="3153" t="str">
        <f ca="1">IFERROR(INDEX('Production cost'!$A:$AU,MATCH($C1607,'Production cost'!$AU:$AU,0),28)/'Production cost'!$E$2,"")</f>
        <v/>
      </c>
      <c r="J1607" s="3153" t="str">
        <f ca="1">IFERROR(INDEX('Production cost'!$A:$AU,MATCH($C1607,'Production cost'!$AU:$AU,0),28)/'Production cost'!$E$2,"")</f>
        <v/>
      </c>
    </row>
    <row r="1608" spans="2:10" ht="21.75">
      <c r="B1608" s="3143" t="s">
        <v>3654</v>
      </c>
      <c r="C1608" s="3143">
        <f t="shared" si="29"/>
        <v>263</v>
      </c>
      <c r="D1608" s="3143" t="str">
        <f ca="1">IFERROR(INDEX('Production cost'!$A:$AU,MATCH($C1608,'Production cost'!$AU:$AU,0),6),"")</f>
        <v/>
      </c>
      <c r="E1608" s="3143" t="str">
        <f ca="1">IFERROR(INDEX('Production cost'!$A:$AU,MATCH($C1608,'Production cost'!$AU:$AU,0),3),"")</f>
        <v/>
      </c>
      <c r="G1608" s="3153" t="str">
        <f ca="1">IFERROR(INDEX('Production cost'!$A:$AU,MATCH($C1608,'Production cost'!$AU:$AU,0),9),"")</f>
        <v/>
      </c>
      <c r="H1608" s="3599" t="str">
        <f ca="1">IFERROR(IFERROR(INDEX('Production cost'!$A:$AU,MATCH($C1608,'Production cost'!$AU:$AU,0),11),"")+IFERROR(INDEX('Production cost'!$A:$AU,MATCH($C1608,'Production cost'!$AU:$AU,0),12),""),"")</f>
        <v/>
      </c>
      <c r="I1608" s="3153" t="str">
        <f ca="1">IFERROR(INDEX('Production cost'!$A:$AU,MATCH($C1608,'Production cost'!$AU:$AU,0),28)/'Production cost'!$E$2,"")</f>
        <v/>
      </c>
      <c r="J1608" s="3153" t="str">
        <f ca="1">IFERROR(INDEX('Production cost'!$A:$AU,MATCH($C1608,'Production cost'!$AU:$AU,0),28)/'Production cost'!$E$2,"")</f>
        <v/>
      </c>
    </row>
    <row r="1609" spans="2:10" ht="21.75">
      <c r="B1609" s="3143" t="s">
        <v>3654</v>
      </c>
      <c r="C1609" s="3143">
        <f t="shared" si="29"/>
        <v>264</v>
      </c>
      <c r="D1609" s="3143" t="str">
        <f ca="1">IFERROR(INDEX('Production cost'!$A:$AU,MATCH($C1609,'Production cost'!$AU:$AU,0),6),"")</f>
        <v/>
      </c>
      <c r="E1609" s="3143" t="str">
        <f ca="1">IFERROR(INDEX('Production cost'!$A:$AU,MATCH($C1609,'Production cost'!$AU:$AU,0),3),"")</f>
        <v/>
      </c>
      <c r="G1609" s="3153" t="str">
        <f ca="1">IFERROR(INDEX('Production cost'!$A:$AU,MATCH($C1609,'Production cost'!$AU:$AU,0),9),"")</f>
        <v/>
      </c>
      <c r="H1609" s="3599" t="str">
        <f ca="1">IFERROR(IFERROR(INDEX('Production cost'!$A:$AU,MATCH($C1609,'Production cost'!$AU:$AU,0),11),"")+IFERROR(INDEX('Production cost'!$A:$AU,MATCH($C1609,'Production cost'!$AU:$AU,0),12),""),"")</f>
        <v/>
      </c>
      <c r="I1609" s="3153" t="str">
        <f ca="1">IFERROR(INDEX('Production cost'!$A:$AU,MATCH($C1609,'Production cost'!$AU:$AU,0),28)/'Production cost'!$E$2,"")</f>
        <v/>
      </c>
      <c r="J1609" s="3153" t="str">
        <f ca="1">IFERROR(INDEX('Production cost'!$A:$AU,MATCH($C1609,'Production cost'!$AU:$AU,0),28)/'Production cost'!$E$2,"")</f>
        <v/>
      </c>
    </row>
    <row r="1610" spans="2:10" ht="21.75">
      <c r="B1610" s="3143" t="s">
        <v>3654</v>
      </c>
      <c r="C1610" s="3143">
        <f t="shared" si="29"/>
        <v>265</v>
      </c>
      <c r="D1610" s="3143" t="str">
        <f ca="1">IFERROR(INDEX('Production cost'!$A:$AU,MATCH($C1610,'Production cost'!$AU:$AU,0),6),"")</f>
        <v/>
      </c>
      <c r="E1610" s="3143" t="str">
        <f ca="1">IFERROR(INDEX('Production cost'!$A:$AU,MATCH($C1610,'Production cost'!$AU:$AU,0),3),"")</f>
        <v/>
      </c>
      <c r="G1610" s="3153" t="str">
        <f ca="1">IFERROR(INDEX('Production cost'!$A:$AU,MATCH($C1610,'Production cost'!$AU:$AU,0),9),"")</f>
        <v/>
      </c>
      <c r="H1610" s="3599" t="str">
        <f ca="1">IFERROR(IFERROR(INDEX('Production cost'!$A:$AU,MATCH($C1610,'Production cost'!$AU:$AU,0),11),"")+IFERROR(INDEX('Production cost'!$A:$AU,MATCH($C1610,'Production cost'!$AU:$AU,0),12),""),"")</f>
        <v/>
      </c>
      <c r="I1610" s="3153" t="str">
        <f ca="1">IFERROR(INDEX('Production cost'!$A:$AU,MATCH($C1610,'Production cost'!$AU:$AU,0),28)/'Production cost'!$E$2,"")</f>
        <v/>
      </c>
      <c r="J1610" s="3153" t="str">
        <f ca="1">IFERROR(INDEX('Production cost'!$A:$AU,MATCH($C1610,'Production cost'!$AU:$AU,0),28)/'Production cost'!$E$2,"")</f>
        <v/>
      </c>
    </row>
    <row r="1611" spans="2:10" ht="21.75">
      <c r="B1611" s="3143" t="s">
        <v>3654</v>
      </c>
      <c r="C1611" s="3143">
        <f t="shared" si="29"/>
        <v>266</v>
      </c>
      <c r="D1611" s="3143" t="str">
        <f ca="1">IFERROR(INDEX('Production cost'!$A:$AU,MATCH($C1611,'Production cost'!$AU:$AU,0),6),"")</f>
        <v/>
      </c>
      <c r="E1611" s="3143" t="str">
        <f ca="1">IFERROR(INDEX('Production cost'!$A:$AU,MATCH($C1611,'Production cost'!$AU:$AU,0),3),"")</f>
        <v/>
      </c>
      <c r="G1611" s="3153" t="str">
        <f ca="1">IFERROR(INDEX('Production cost'!$A:$AU,MATCH($C1611,'Production cost'!$AU:$AU,0),9),"")</f>
        <v/>
      </c>
      <c r="H1611" s="3599" t="str">
        <f ca="1">IFERROR(IFERROR(INDEX('Production cost'!$A:$AU,MATCH($C1611,'Production cost'!$AU:$AU,0),11),"")+IFERROR(INDEX('Production cost'!$A:$AU,MATCH($C1611,'Production cost'!$AU:$AU,0),12),""),"")</f>
        <v/>
      </c>
      <c r="I1611" s="3153" t="str">
        <f ca="1">IFERROR(INDEX('Production cost'!$A:$AU,MATCH($C1611,'Production cost'!$AU:$AU,0),28)/'Production cost'!$E$2,"")</f>
        <v/>
      </c>
      <c r="J1611" s="3153" t="str">
        <f ca="1">IFERROR(INDEX('Production cost'!$A:$AU,MATCH($C1611,'Production cost'!$AU:$AU,0),28)/'Production cost'!$E$2,"")</f>
        <v/>
      </c>
    </row>
    <row r="1612" spans="2:10" ht="21.75">
      <c r="B1612" s="3143" t="s">
        <v>3654</v>
      </c>
      <c r="C1612" s="3143">
        <f t="shared" si="29"/>
        <v>267</v>
      </c>
      <c r="D1612" s="3143" t="str">
        <f ca="1">IFERROR(INDEX('Production cost'!$A:$AU,MATCH($C1612,'Production cost'!$AU:$AU,0),6),"")</f>
        <v/>
      </c>
      <c r="E1612" s="3143" t="str">
        <f ca="1">IFERROR(INDEX('Production cost'!$A:$AU,MATCH($C1612,'Production cost'!$AU:$AU,0),3),"")</f>
        <v/>
      </c>
      <c r="G1612" s="3153" t="str">
        <f ca="1">IFERROR(INDEX('Production cost'!$A:$AU,MATCH($C1612,'Production cost'!$AU:$AU,0),9),"")</f>
        <v/>
      </c>
      <c r="H1612" s="3599" t="str">
        <f ca="1">IFERROR(IFERROR(INDEX('Production cost'!$A:$AU,MATCH($C1612,'Production cost'!$AU:$AU,0),11),"")+IFERROR(INDEX('Production cost'!$A:$AU,MATCH($C1612,'Production cost'!$AU:$AU,0),12),""),"")</f>
        <v/>
      </c>
      <c r="I1612" s="3153" t="str">
        <f ca="1">IFERROR(INDEX('Production cost'!$A:$AU,MATCH($C1612,'Production cost'!$AU:$AU,0),28)/'Production cost'!$E$2,"")</f>
        <v/>
      </c>
      <c r="J1612" s="3153" t="str">
        <f ca="1">IFERROR(INDEX('Production cost'!$A:$AU,MATCH($C1612,'Production cost'!$AU:$AU,0),28)/'Production cost'!$E$2,"")</f>
        <v/>
      </c>
    </row>
    <row r="1613" spans="2:10" ht="21.75">
      <c r="B1613" s="3143" t="s">
        <v>3654</v>
      </c>
      <c r="C1613" s="3143">
        <f t="shared" si="29"/>
        <v>268</v>
      </c>
      <c r="D1613" s="3143" t="str">
        <f ca="1">IFERROR(INDEX('Production cost'!$A:$AU,MATCH($C1613,'Production cost'!$AU:$AU,0),6),"")</f>
        <v/>
      </c>
      <c r="E1613" s="3143" t="str">
        <f ca="1">IFERROR(INDEX('Production cost'!$A:$AU,MATCH($C1613,'Production cost'!$AU:$AU,0),3),"")</f>
        <v/>
      </c>
      <c r="G1613" s="3153" t="str">
        <f ca="1">IFERROR(INDEX('Production cost'!$A:$AU,MATCH($C1613,'Production cost'!$AU:$AU,0),9),"")</f>
        <v/>
      </c>
      <c r="H1613" s="3599" t="str">
        <f ca="1">IFERROR(IFERROR(INDEX('Production cost'!$A:$AU,MATCH($C1613,'Production cost'!$AU:$AU,0),11),"")+IFERROR(INDEX('Production cost'!$A:$AU,MATCH($C1613,'Production cost'!$AU:$AU,0),12),""),"")</f>
        <v/>
      </c>
      <c r="I1613" s="3153" t="str">
        <f ca="1">IFERROR(INDEX('Production cost'!$A:$AU,MATCH($C1613,'Production cost'!$AU:$AU,0),28)/'Production cost'!$E$2,"")</f>
        <v/>
      </c>
      <c r="J1613" s="3153" t="str">
        <f ca="1">IFERROR(INDEX('Production cost'!$A:$AU,MATCH($C1613,'Production cost'!$AU:$AU,0),28)/'Production cost'!$E$2,"")</f>
        <v/>
      </c>
    </row>
    <row r="1614" spans="2:10" ht="21.75">
      <c r="B1614" s="3143" t="s">
        <v>3654</v>
      </c>
      <c r="C1614" s="3143">
        <f t="shared" si="29"/>
        <v>269</v>
      </c>
      <c r="D1614" s="3143" t="str">
        <f ca="1">IFERROR(INDEX('Production cost'!$A:$AU,MATCH($C1614,'Production cost'!$AU:$AU,0),6),"")</f>
        <v/>
      </c>
      <c r="E1614" s="3143" t="str">
        <f ca="1">IFERROR(INDEX('Production cost'!$A:$AU,MATCH($C1614,'Production cost'!$AU:$AU,0),3),"")</f>
        <v/>
      </c>
      <c r="G1614" s="3153" t="str">
        <f ca="1">IFERROR(INDEX('Production cost'!$A:$AU,MATCH($C1614,'Production cost'!$AU:$AU,0),9),"")</f>
        <v/>
      </c>
      <c r="H1614" s="3599" t="str">
        <f ca="1">IFERROR(IFERROR(INDEX('Production cost'!$A:$AU,MATCH($C1614,'Production cost'!$AU:$AU,0),11),"")+IFERROR(INDEX('Production cost'!$A:$AU,MATCH($C1614,'Production cost'!$AU:$AU,0),12),""),"")</f>
        <v/>
      </c>
      <c r="I1614" s="3153" t="str">
        <f ca="1">IFERROR(INDEX('Production cost'!$A:$AU,MATCH($C1614,'Production cost'!$AU:$AU,0),28)/'Production cost'!$E$2,"")</f>
        <v/>
      </c>
      <c r="J1614" s="3153" t="str">
        <f ca="1">IFERROR(INDEX('Production cost'!$A:$AU,MATCH($C1614,'Production cost'!$AU:$AU,0),28)/'Production cost'!$E$2,"")</f>
        <v/>
      </c>
    </row>
    <row r="1615" spans="2:10" ht="21.75">
      <c r="B1615" s="3143" t="s">
        <v>3654</v>
      </c>
      <c r="C1615" s="3143">
        <f t="shared" si="29"/>
        <v>270</v>
      </c>
      <c r="D1615" s="3143" t="str">
        <f ca="1">IFERROR(INDEX('Production cost'!$A:$AU,MATCH($C1615,'Production cost'!$AU:$AU,0),6),"")</f>
        <v/>
      </c>
      <c r="E1615" s="3143" t="str">
        <f ca="1">IFERROR(INDEX('Production cost'!$A:$AU,MATCH($C1615,'Production cost'!$AU:$AU,0),3),"")</f>
        <v/>
      </c>
      <c r="G1615" s="3153" t="str">
        <f ca="1">IFERROR(INDEX('Production cost'!$A:$AU,MATCH($C1615,'Production cost'!$AU:$AU,0),9),"")</f>
        <v/>
      </c>
      <c r="H1615" s="3599" t="str">
        <f ca="1">IFERROR(IFERROR(INDEX('Production cost'!$A:$AU,MATCH($C1615,'Production cost'!$AU:$AU,0),11),"")+IFERROR(INDEX('Production cost'!$A:$AU,MATCH($C1615,'Production cost'!$AU:$AU,0),12),""),"")</f>
        <v/>
      </c>
      <c r="I1615" s="3153" t="str">
        <f ca="1">IFERROR(INDEX('Production cost'!$A:$AU,MATCH($C1615,'Production cost'!$AU:$AU,0),28)/'Production cost'!$E$2,"")</f>
        <v/>
      </c>
      <c r="J1615" s="3153" t="str">
        <f ca="1">IFERROR(INDEX('Production cost'!$A:$AU,MATCH($C1615,'Production cost'!$AU:$AU,0),28)/'Production cost'!$E$2,"")</f>
        <v/>
      </c>
    </row>
    <row r="1616" spans="2:10" ht="21.75">
      <c r="B1616" s="3143" t="s">
        <v>3654</v>
      </c>
      <c r="C1616" s="3143">
        <f t="shared" si="29"/>
        <v>271</v>
      </c>
      <c r="D1616" s="3143" t="str">
        <f ca="1">IFERROR(INDEX('Production cost'!$A:$AU,MATCH($C1616,'Production cost'!$AU:$AU,0),6),"")</f>
        <v/>
      </c>
      <c r="E1616" s="3143" t="str">
        <f ca="1">IFERROR(INDEX('Production cost'!$A:$AU,MATCH($C1616,'Production cost'!$AU:$AU,0),3),"")</f>
        <v/>
      </c>
      <c r="G1616" s="3153" t="str">
        <f ca="1">IFERROR(INDEX('Production cost'!$A:$AU,MATCH($C1616,'Production cost'!$AU:$AU,0),9),"")</f>
        <v/>
      </c>
      <c r="H1616" s="3599" t="str">
        <f ca="1">IFERROR(IFERROR(INDEX('Production cost'!$A:$AU,MATCH($C1616,'Production cost'!$AU:$AU,0),11),"")+IFERROR(INDEX('Production cost'!$A:$AU,MATCH($C1616,'Production cost'!$AU:$AU,0),12),""),"")</f>
        <v/>
      </c>
      <c r="I1616" s="3153" t="str">
        <f ca="1">IFERROR(INDEX('Production cost'!$A:$AU,MATCH($C1616,'Production cost'!$AU:$AU,0),28)/'Production cost'!$E$2,"")</f>
        <v/>
      </c>
      <c r="J1616" s="3153" t="str">
        <f ca="1">IFERROR(INDEX('Production cost'!$A:$AU,MATCH($C1616,'Production cost'!$AU:$AU,0),28)/'Production cost'!$E$2,"")</f>
        <v/>
      </c>
    </row>
    <row r="1617" spans="2:10" ht="21.75">
      <c r="B1617" s="3143" t="s">
        <v>3654</v>
      </c>
      <c r="C1617" s="3143">
        <f t="shared" si="29"/>
        <v>272</v>
      </c>
      <c r="D1617" s="3143" t="str">
        <f ca="1">IFERROR(INDEX('Production cost'!$A:$AU,MATCH($C1617,'Production cost'!$AU:$AU,0),6),"")</f>
        <v/>
      </c>
      <c r="E1617" s="3143" t="str">
        <f ca="1">IFERROR(INDEX('Production cost'!$A:$AU,MATCH($C1617,'Production cost'!$AU:$AU,0),3),"")</f>
        <v/>
      </c>
      <c r="G1617" s="3153" t="str">
        <f ca="1">IFERROR(INDEX('Production cost'!$A:$AU,MATCH($C1617,'Production cost'!$AU:$AU,0),9),"")</f>
        <v/>
      </c>
      <c r="H1617" s="3599" t="str">
        <f ca="1">IFERROR(IFERROR(INDEX('Production cost'!$A:$AU,MATCH($C1617,'Production cost'!$AU:$AU,0),11),"")+IFERROR(INDEX('Production cost'!$A:$AU,MATCH($C1617,'Production cost'!$AU:$AU,0),12),""),"")</f>
        <v/>
      </c>
      <c r="I1617" s="3153" t="str">
        <f ca="1">IFERROR(INDEX('Production cost'!$A:$AU,MATCH($C1617,'Production cost'!$AU:$AU,0),28)/'Production cost'!$E$2,"")</f>
        <v/>
      </c>
      <c r="J1617" s="3153" t="str">
        <f ca="1">IFERROR(INDEX('Production cost'!$A:$AU,MATCH($C1617,'Production cost'!$AU:$AU,0),28)/'Production cost'!$E$2,"")</f>
        <v/>
      </c>
    </row>
    <row r="1618" spans="2:10" ht="21.75">
      <c r="B1618" s="3143" t="s">
        <v>3654</v>
      </c>
      <c r="C1618" s="3143">
        <f t="shared" si="29"/>
        <v>273</v>
      </c>
      <c r="D1618" s="3143" t="str">
        <f ca="1">IFERROR(INDEX('Production cost'!$A:$AU,MATCH($C1618,'Production cost'!$AU:$AU,0),6),"")</f>
        <v/>
      </c>
      <c r="E1618" s="3143" t="str">
        <f ca="1">IFERROR(INDEX('Production cost'!$A:$AU,MATCH($C1618,'Production cost'!$AU:$AU,0),3),"")</f>
        <v/>
      </c>
      <c r="G1618" s="3153" t="str">
        <f ca="1">IFERROR(INDEX('Production cost'!$A:$AU,MATCH($C1618,'Production cost'!$AU:$AU,0),9),"")</f>
        <v/>
      </c>
      <c r="H1618" s="3599" t="str">
        <f ca="1">IFERROR(IFERROR(INDEX('Production cost'!$A:$AU,MATCH($C1618,'Production cost'!$AU:$AU,0),11),"")+IFERROR(INDEX('Production cost'!$A:$AU,MATCH($C1618,'Production cost'!$AU:$AU,0),12),""),"")</f>
        <v/>
      </c>
      <c r="I1618" s="3153" t="str">
        <f ca="1">IFERROR(INDEX('Production cost'!$A:$AU,MATCH($C1618,'Production cost'!$AU:$AU,0),28)/'Production cost'!$E$2,"")</f>
        <v/>
      </c>
      <c r="J1618" s="3153" t="str">
        <f ca="1">IFERROR(INDEX('Production cost'!$A:$AU,MATCH($C1618,'Production cost'!$AU:$AU,0),28)/'Production cost'!$E$2,"")</f>
        <v/>
      </c>
    </row>
    <row r="1619" spans="2:10" ht="21.75">
      <c r="B1619" s="3143" t="s">
        <v>3654</v>
      </c>
      <c r="C1619" s="3143">
        <f t="shared" si="29"/>
        <v>274</v>
      </c>
      <c r="D1619" s="3143" t="str">
        <f ca="1">IFERROR(INDEX('Production cost'!$A:$AU,MATCH($C1619,'Production cost'!$AU:$AU,0),6),"")</f>
        <v/>
      </c>
      <c r="E1619" s="3143" t="str">
        <f ca="1">IFERROR(INDEX('Production cost'!$A:$AU,MATCH($C1619,'Production cost'!$AU:$AU,0),3),"")</f>
        <v/>
      </c>
      <c r="G1619" s="3153" t="str">
        <f ca="1">IFERROR(INDEX('Production cost'!$A:$AU,MATCH($C1619,'Production cost'!$AU:$AU,0),9),"")</f>
        <v/>
      </c>
      <c r="H1619" s="3599" t="str">
        <f ca="1">IFERROR(IFERROR(INDEX('Production cost'!$A:$AU,MATCH($C1619,'Production cost'!$AU:$AU,0),11),"")+IFERROR(INDEX('Production cost'!$A:$AU,MATCH($C1619,'Production cost'!$AU:$AU,0),12),""),"")</f>
        <v/>
      </c>
      <c r="I1619" s="3153" t="str">
        <f ca="1">IFERROR(INDEX('Production cost'!$A:$AU,MATCH($C1619,'Production cost'!$AU:$AU,0),28)/'Production cost'!$E$2,"")</f>
        <v/>
      </c>
      <c r="J1619" s="3153" t="str">
        <f ca="1">IFERROR(INDEX('Production cost'!$A:$AU,MATCH($C1619,'Production cost'!$AU:$AU,0),28)/'Production cost'!$E$2,"")</f>
        <v/>
      </c>
    </row>
    <row r="1620" spans="2:10" ht="21.75">
      <c r="B1620" s="3143" t="s">
        <v>3654</v>
      </c>
      <c r="C1620" s="3143">
        <f t="shared" si="29"/>
        <v>275</v>
      </c>
      <c r="D1620" s="3143" t="str">
        <f ca="1">IFERROR(INDEX('Production cost'!$A:$AU,MATCH($C1620,'Production cost'!$AU:$AU,0),6),"")</f>
        <v/>
      </c>
      <c r="E1620" s="3143" t="str">
        <f ca="1">IFERROR(INDEX('Production cost'!$A:$AU,MATCH($C1620,'Production cost'!$AU:$AU,0),3),"")</f>
        <v/>
      </c>
      <c r="G1620" s="3153" t="str">
        <f ca="1">IFERROR(INDEX('Production cost'!$A:$AU,MATCH($C1620,'Production cost'!$AU:$AU,0),9),"")</f>
        <v/>
      </c>
      <c r="H1620" s="3599" t="str">
        <f ca="1">IFERROR(IFERROR(INDEX('Production cost'!$A:$AU,MATCH($C1620,'Production cost'!$AU:$AU,0),11),"")+IFERROR(INDEX('Production cost'!$A:$AU,MATCH($C1620,'Production cost'!$AU:$AU,0),12),""),"")</f>
        <v/>
      </c>
      <c r="I1620" s="3153" t="str">
        <f ca="1">IFERROR(INDEX('Production cost'!$A:$AU,MATCH($C1620,'Production cost'!$AU:$AU,0),28)/'Production cost'!$E$2,"")</f>
        <v/>
      </c>
      <c r="J1620" s="3153" t="str">
        <f ca="1">IFERROR(INDEX('Production cost'!$A:$AU,MATCH($C1620,'Production cost'!$AU:$AU,0),28)/'Production cost'!$E$2,"")</f>
        <v/>
      </c>
    </row>
    <row r="1621" spans="2:10" ht="21.75">
      <c r="B1621" s="3143" t="s">
        <v>3654</v>
      </c>
      <c r="C1621" s="3143">
        <f t="shared" si="29"/>
        <v>276</v>
      </c>
      <c r="D1621" s="3143" t="str">
        <f ca="1">IFERROR(INDEX('Production cost'!$A:$AU,MATCH($C1621,'Production cost'!$AU:$AU,0),6),"")</f>
        <v/>
      </c>
      <c r="E1621" s="3143" t="str">
        <f ca="1">IFERROR(INDEX('Production cost'!$A:$AU,MATCH($C1621,'Production cost'!$AU:$AU,0),3),"")</f>
        <v/>
      </c>
      <c r="G1621" s="3153" t="str">
        <f ca="1">IFERROR(INDEX('Production cost'!$A:$AU,MATCH($C1621,'Production cost'!$AU:$AU,0),9),"")</f>
        <v/>
      </c>
      <c r="H1621" s="3599" t="str">
        <f ca="1">IFERROR(IFERROR(INDEX('Production cost'!$A:$AU,MATCH($C1621,'Production cost'!$AU:$AU,0),11),"")+IFERROR(INDEX('Production cost'!$A:$AU,MATCH($C1621,'Production cost'!$AU:$AU,0),12),""),"")</f>
        <v/>
      </c>
      <c r="I1621" s="3153" t="str">
        <f ca="1">IFERROR(INDEX('Production cost'!$A:$AU,MATCH($C1621,'Production cost'!$AU:$AU,0),28)/'Production cost'!$E$2,"")</f>
        <v/>
      </c>
      <c r="J1621" s="3153" t="str">
        <f ca="1">IFERROR(INDEX('Production cost'!$A:$AU,MATCH($C1621,'Production cost'!$AU:$AU,0),28)/'Production cost'!$E$2,"")</f>
        <v/>
      </c>
    </row>
    <row r="1622" spans="2:10" ht="21.75">
      <c r="B1622" s="3143" t="s">
        <v>3654</v>
      </c>
      <c r="C1622" s="3143">
        <f t="shared" si="29"/>
        <v>277</v>
      </c>
      <c r="D1622" s="3143" t="str">
        <f ca="1">IFERROR(INDEX('Production cost'!$A:$AU,MATCH($C1622,'Production cost'!$AU:$AU,0),6),"")</f>
        <v/>
      </c>
      <c r="E1622" s="3143" t="str">
        <f ca="1">IFERROR(INDEX('Production cost'!$A:$AU,MATCH($C1622,'Production cost'!$AU:$AU,0),3),"")</f>
        <v/>
      </c>
      <c r="G1622" s="3153" t="str">
        <f ca="1">IFERROR(INDEX('Production cost'!$A:$AU,MATCH($C1622,'Production cost'!$AU:$AU,0),9),"")</f>
        <v/>
      </c>
      <c r="H1622" s="3599" t="str">
        <f ca="1">IFERROR(IFERROR(INDEX('Production cost'!$A:$AU,MATCH($C1622,'Production cost'!$AU:$AU,0),11),"")+IFERROR(INDEX('Production cost'!$A:$AU,MATCH($C1622,'Production cost'!$AU:$AU,0),12),""),"")</f>
        <v/>
      </c>
      <c r="I1622" s="3153" t="str">
        <f ca="1">IFERROR(INDEX('Production cost'!$A:$AU,MATCH($C1622,'Production cost'!$AU:$AU,0),28)/'Production cost'!$E$2,"")</f>
        <v/>
      </c>
      <c r="J1622" s="3153" t="str">
        <f ca="1">IFERROR(INDEX('Production cost'!$A:$AU,MATCH($C1622,'Production cost'!$AU:$AU,0),28)/'Production cost'!$E$2,"")</f>
        <v/>
      </c>
    </row>
    <row r="1623" spans="2:10" ht="21.75">
      <c r="B1623" s="3143" t="s">
        <v>3654</v>
      </c>
      <c r="C1623" s="3143">
        <f t="shared" si="29"/>
        <v>278</v>
      </c>
      <c r="D1623" s="3143" t="str">
        <f ca="1">IFERROR(INDEX('Production cost'!$A:$AU,MATCH($C1623,'Production cost'!$AU:$AU,0),6),"")</f>
        <v/>
      </c>
      <c r="E1623" s="3143" t="str">
        <f ca="1">IFERROR(INDEX('Production cost'!$A:$AU,MATCH($C1623,'Production cost'!$AU:$AU,0),3),"")</f>
        <v/>
      </c>
      <c r="G1623" s="3153" t="str">
        <f ca="1">IFERROR(INDEX('Production cost'!$A:$AU,MATCH($C1623,'Production cost'!$AU:$AU,0),9),"")</f>
        <v/>
      </c>
      <c r="H1623" s="3599" t="str">
        <f ca="1">IFERROR(IFERROR(INDEX('Production cost'!$A:$AU,MATCH($C1623,'Production cost'!$AU:$AU,0),11),"")+IFERROR(INDEX('Production cost'!$A:$AU,MATCH($C1623,'Production cost'!$AU:$AU,0),12),""),"")</f>
        <v/>
      </c>
      <c r="I1623" s="3153" t="str">
        <f ca="1">IFERROR(INDEX('Production cost'!$A:$AU,MATCH($C1623,'Production cost'!$AU:$AU,0),28)/'Production cost'!$E$2,"")</f>
        <v/>
      </c>
      <c r="J1623" s="3153" t="str">
        <f ca="1">IFERROR(INDEX('Production cost'!$A:$AU,MATCH($C1623,'Production cost'!$AU:$AU,0),28)/'Production cost'!$E$2,"")</f>
        <v/>
      </c>
    </row>
    <row r="1624" spans="2:10" ht="21.75">
      <c r="B1624" s="3143" t="s">
        <v>3654</v>
      </c>
      <c r="C1624" s="3143">
        <f t="shared" si="29"/>
        <v>279</v>
      </c>
      <c r="D1624" s="3143" t="str">
        <f ca="1">IFERROR(INDEX('Production cost'!$A:$AU,MATCH($C1624,'Production cost'!$AU:$AU,0),6),"")</f>
        <v/>
      </c>
      <c r="E1624" s="3143" t="str">
        <f ca="1">IFERROR(INDEX('Production cost'!$A:$AU,MATCH($C1624,'Production cost'!$AU:$AU,0),3),"")</f>
        <v/>
      </c>
      <c r="G1624" s="3153" t="str">
        <f ca="1">IFERROR(INDEX('Production cost'!$A:$AU,MATCH($C1624,'Production cost'!$AU:$AU,0),9),"")</f>
        <v/>
      </c>
      <c r="H1624" s="3599" t="str">
        <f ca="1">IFERROR(IFERROR(INDEX('Production cost'!$A:$AU,MATCH($C1624,'Production cost'!$AU:$AU,0),11),"")+IFERROR(INDEX('Production cost'!$A:$AU,MATCH($C1624,'Production cost'!$AU:$AU,0),12),""),"")</f>
        <v/>
      </c>
      <c r="I1624" s="3153" t="str">
        <f ca="1">IFERROR(INDEX('Production cost'!$A:$AU,MATCH($C1624,'Production cost'!$AU:$AU,0),28)/'Production cost'!$E$2,"")</f>
        <v/>
      </c>
      <c r="J1624" s="3153" t="str">
        <f ca="1">IFERROR(INDEX('Production cost'!$A:$AU,MATCH($C1624,'Production cost'!$AU:$AU,0),28)/'Production cost'!$E$2,"")</f>
        <v/>
      </c>
    </row>
    <row r="1625" spans="2:10" ht="21.75">
      <c r="B1625" s="3143" t="s">
        <v>3654</v>
      </c>
      <c r="C1625" s="3143">
        <f t="shared" si="29"/>
        <v>280</v>
      </c>
      <c r="D1625" s="3143" t="str">
        <f ca="1">IFERROR(INDEX('Production cost'!$A:$AU,MATCH($C1625,'Production cost'!$AU:$AU,0),6),"")</f>
        <v/>
      </c>
      <c r="E1625" s="3143" t="str">
        <f ca="1">IFERROR(INDEX('Production cost'!$A:$AU,MATCH($C1625,'Production cost'!$AU:$AU,0),3),"")</f>
        <v/>
      </c>
      <c r="G1625" s="3153" t="str">
        <f ca="1">IFERROR(INDEX('Production cost'!$A:$AU,MATCH($C1625,'Production cost'!$AU:$AU,0),9),"")</f>
        <v/>
      </c>
      <c r="H1625" s="3599" t="str">
        <f ca="1">IFERROR(IFERROR(INDEX('Production cost'!$A:$AU,MATCH($C1625,'Production cost'!$AU:$AU,0),11),"")+IFERROR(INDEX('Production cost'!$A:$AU,MATCH($C1625,'Production cost'!$AU:$AU,0),12),""),"")</f>
        <v/>
      </c>
      <c r="I1625" s="3153" t="str">
        <f ca="1">IFERROR(INDEX('Production cost'!$A:$AU,MATCH($C1625,'Production cost'!$AU:$AU,0),28)/'Production cost'!$E$2,"")</f>
        <v/>
      </c>
      <c r="J1625" s="3153" t="str">
        <f ca="1">IFERROR(INDEX('Production cost'!$A:$AU,MATCH($C1625,'Production cost'!$AU:$AU,0),28)/'Production cost'!$E$2,"")</f>
        <v/>
      </c>
    </row>
    <row r="1626" spans="2:10" ht="21.75">
      <c r="B1626" s="3143" t="s">
        <v>3654</v>
      </c>
      <c r="C1626" s="3143">
        <f t="shared" si="29"/>
        <v>281</v>
      </c>
      <c r="D1626" s="3143" t="str">
        <f ca="1">IFERROR(INDEX('Production cost'!$A:$AU,MATCH($C1626,'Production cost'!$AU:$AU,0),6),"")</f>
        <v/>
      </c>
      <c r="E1626" s="3143" t="str">
        <f ca="1">IFERROR(INDEX('Production cost'!$A:$AU,MATCH($C1626,'Production cost'!$AU:$AU,0),3),"")</f>
        <v/>
      </c>
      <c r="G1626" s="3153" t="str">
        <f ca="1">IFERROR(INDEX('Production cost'!$A:$AU,MATCH($C1626,'Production cost'!$AU:$AU,0),9),"")</f>
        <v/>
      </c>
      <c r="H1626" s="3599" t="str">
        <f ca="1">IFERROR(IFERROR(INDEX('Production cost'!$A:$AU,MATCH($C1626,'Production cost'!$AU:$AU,0),11),"")+IFERROR(INDEX('Production cost'!$A:$AU,MATCH($C1626,'Production cost'!$AU:$AU,0),12),""),"")</f>
        <v/>
      </c>
      <c r="I1626" s="3153" t="str">
        <f ca="1">IFERROR(INDEX('Production cost'!$A:$AU,MATCH($C1626,'Production cost'!$AU:$AU,0),28)/'Production cost'!$E$2,"")</f>
        <v/>
      </c>
      <c r="J1626" s="3153" t="str">
        <f ca="1">IFERROR(INDEX('Production cost'!$A:$AU,MATCH($C1626,'Production cost'!$AU:$AU,0),28)/'Production cost'!$E$2,"")</f>
        <v/>
      </c>
    </row>
    <row r="1627" spans="2:10" ht="21.75">
      <c r="B1627" s="3143" t="s">
        <v>3654</v>
      </c>
      <c r="C1627" s="3143">
        <f t="shared" si="29"/>
        <v>282</v>
      </c>
      <c r="D1627" s="3143" t="str">
        <f ca="1">IFERROR(INDEX('Production cost'!$A:$AU,MATCH($C1627,'Production cost'!$AU:$AU,0),6),"")</f>
        <v/>
      </c>
      <c r="E1627" s="3143" t="str">
        <f ca="1">IFERROR(INDEX('Production cost'!$A:$AU,MATCH($C1627,'Production cost'!$AU:$AU,0),3),"")</f>
        <v/>
      </c>
      <c r="G1627" s="3153" t="str">
        <f ca="1">IFERROR(INDEX('Production cost'!$A:$AU,MATCH($C1627,'Production cost'!$AU:$AU,0),9),"")</f>
        <v/>
      </c>
      <c r="H1627" s="3599" t="str">
        <f ca="1">IFERROR(IFERROR(INDEX('Production cost'!$A:$AU,MATCH($C1627,'Production cost'!$AU:$AU,0),11),"")+IFERROR(INDEX('Production cost'!$A:$AU,MATCH($C1627,'Production cost'!$AU:$AU,0),12),""),"")</f>
        <v/>
      </c>
      <c r="I1627" s="3153" t="str">
        <f ca="1">IFERROR(INDEX('Production cost'!$A:$AU,MATCH($C1627,'Production cost'!$AU:$AU,0),28)/'Production cost'!$E$2,"")</f>
        <v/>
      </c>
      <c r="J1627" s="3153" t="str">
        <f ca="1">IFERROR(INDEX('Production cost'!$A:$AU,MATCH($C1627,'Production cost'!$AU:$AU,0),28)/'Production cost'!$E$2,"")</f>
        <v/>
      </c>
    </row>
    <row r="1628" spans="2:10" ht="21.75">
      <c r="B1628" s="3143" t="s">
        <v>3654</v>
      </c>
      <c r="C1628" s="3143">
        <f t="shared" si="29"/>
        <v>283</v>
      </c>
      <c r="D1628" s="3143" t="str">
        <f ca="1">IFERROR(INDEX('Production cost'!$A:$AU,MATCH($C1628,'Production cost'!$AU:$AU,0),6),"")</f>
        <v/>
      </c>
      <c r="E1628" s="3143" t="str">
        <f ca="1">IFERROR(INDEX('Production cost'!$A:$AU,MATCH($C1628,'Production cost'!$AU:$AU,0),3),"")</f>
        <v/>
      </c>
      <c r="G1628" s="3153" t="str">
        <f ca="1">IFERROR(INDEX('Production cost'!$A:$AU,MATCH($C1628,'Production cost'!$AU:$AU,0),9),"")</f>
        <v/>
      </c>
      <c r="H1628" s="3599" t="str">
        <f ca="1">IFERROR(IFERROR(INDEX('Production cost'!$A:$AU,MATCH($C1628,'Production cost'!$AU:$AU,0),11),"")+IFERROR(INDEX('Production cost'!$A:$AU,MATCH($C1628,'Production cost'!$AU:$AU,0),12),""),"")</f>
        <v/>
      </c>
      <c r="I1628" s="3153" t="str">
        <f ca="1">IFERROR(INDEX('Production cost'!$A:$AU,MATCH($C1628,'Production cost'!$AU:$AU,0),28)/'Production cost'!$E$2,"")</f>
        <v/>
      </c>
      <c r="J1628" s="3153" t="str">
        <f ca="1">IFERROR(INDEX('Production cost'!$A:$AU,MATCH($C1628,'Production cost'!$AU:$AU,0),28)/'Production cost'!$E$2,"")</f>
        <v/>
      </c>
    </row>
    <row r="1629" spans="2:10" ht="21.75">
      <c r="B1629" s="3143" t="s">
        <v>3654</v>
      </c>
      <c r="C1629" s="3143">
        <f t="shared" si="29"/>
        <v>284</v>
      </c>
      <c r="D1629" s="3143" t="str">
        <f ca="1">IFERROR(INDEX('Production cost'!$A:$AU,MATCH($C1629,'Production cost'!$AU:$AU,0),6),"")</f>
        <v/>
      </c>
      <c r="E1629" s="3143" t="str">
        <f ca="1">IFERROR(INDEX('Production cost'!$A:$AU,MATCH($C1629,'Production cost'!$AU:$AU,0),3),"")</f>
        <v/>
      </c>
      <c r="G1629" s="3153" t="str">
        <f ca="1">IFERROR(INDEX('Production cost'!$A:$AU,MATCH($C1629,'Production cost'!$AU:$AU,0),9),"")</f>
        <v/>
      </c>
      <c r="H1629" s="3599" t="str">
        <f ca="1">IFERROR(IFERROR(INDEX('Production cost'!$A:$AU,MATCH($C1629,'Production cost'!$AU:$AU,0),11),"")+IFERROR(INDEX('Production cost'!$A:$AU,MATCH($C1629,'Production cost'!$AU:$AU,0),12),""),"")</f>
        <v/>
      </c>
      <c r="I1629" s="3153" t="str">
        <f ca="1">IFERROR(INDEX('Production cost'!$A:$AU,MATCH($C1629,'Production cost'!$AU:$AU,0),28)/'Production cost'!$E$2,"")</f>
        <v/>
      </c>
      <c r="J1629" s="3153" t="str">
        <f ca="1">IFERROR(INDEX('Production cost'!$A:$AU,MATCH($C1629,'Production cost'!$AU:$AU,0),28)/'Production cost'!$E$2,"")</f>
        <v/>
      </c>
    </row>
    <row r="1630" spans="2:10" ht="21.75">
      <c r="B1630" s="3143" t="s">
        <v>3654</v>
      </c>
      <c r="C1630" s="3143">
        <f t="shared" si="29"/>
        <v>285</v>
      </c>
      <c r="D1630" s="3143" t="str">
        <f ca="1">IFERROR(INDEX('Production cost'!$A:$AU,MATCH($C1630,'Production cost'!$AU:$AU,0),6),"")</f>
        <v/>
      </c>
      <c r="E1630" s="3143" t="str">
        <f ca="1">IFERROR(INDEX('Production cost'!$A:$AU,MATCH($C1630,'Production cost'!$AU:$AU,0),3),"")</f>
        <v/>
      </c>
      <c r="G1630" s="3153" t="str">
        <f ca="1">IFERROR(INDEX('Production cost'!$A:$AU,MATCH($C1630,'Production cost'!$AU:$AU,0),9),"")</f>
        <v/>
      </c>
      <c r="H1630" s="3599" t="str">
        <f ca="1">IFERROR(IFERROR(INDEX('Production cost'!$A:$AU,MATCH($C1630,'Production cost'!$AU:$AU,0),11),"")+IFERROR(INDEX('Production cost'!$A:$AU,MATCH($C1630,'Production cost'!$AU:$AU,0),12),""),"")</f>
        <v/>
      </c>
      <c r="I1630" s="3153" t="str">
        <f ca="1">IFERROR(INDEX('Production cost'!$A:$AU,MATCH($C1630,'Production cost'!$AU:$AU,0),28)/'Production cost'!$E$2,"")</f>
        <v/>
      </c>
      <c r="J1630" s="3153" t="str">
        <f ca="1">IFERROR(INDEX('Production cost'!$A:$AU,MATCH($C1630,'Production cost'!$AU:$AU,0),28)/'Production cost'!$E$2,"")</f>
        <v/>
      </c>
    </row>
    <row r="1631" spans="2:10" ht="21.75">
      <c r="B1631" s="3143" t="s">
        <v>3654</v>
      </c>
      <c r="C1631" s="3143">
        <f t="shared" si="29"/>
        <v>286</v>
      </c>
      <c r="D1631" s="3143" t="str">
        <f ca="1">IFERROR(INDEX('Production cost'!$A:$AU,MATCH($C1631,'Production cost'!$AU:$AU,0),6),"")</f>
        <v/>
      </c>
      <c r="E1631" s="3143" t="str">
        <f ca="1">IFERROR(INDEX('Production cost'!$A:$AU,MATCH($C1631,'Production cost'!$AU:$AU,0),3),"")</f>
        <v/>
      </c>
      <c r="G1631" s="3153" t="str">
        <f ca="1">IFERROR(INDEX('Production cost'!$A:$AU,MATCH($C1631,'Production cost'!$AU:$AU,0),9),"")</f>
        <v/>
      </c>
      <c r="H1631" s="3599" t="str">
        <f ca="1">IFERROR(IFERROR(INDEX('Production cost'!$A:$AU,MATCH($C1631,'Production cost'!$AU:$AU,0),11),"")+IFERROR(INDEX('Production cost'!$A:$AU,MATCH($C1631,'Production cost'!$AU:$AU,0),12),""),"")</f>
        <v/>
      </c>
      <c r="I1631" s="3153" t="str">
        <f ca="1">IFERROR(INDEX('Production cost'!$A:$AU,MATCH($C1631,'Production cost'!$AU:$AU,0),28)/'Production cost'!$E$2,"")</f>
        <v/>
      </c>
      <c r="J1631" s="3153" t="str">
        <f ca="1">IFERROR(INDEX('Production cost'!$A:$AU,MATCH($C1631,'Production cost'!$AU:$AU,0),28)/'Production cost'!$E$2,"")</f>
        <v/>
      </c>
    </row>
    <row r="1632" spans="2:10" ht="21.75">
      <c r="B1632" s="3143" t="s">
        <v>3654</v>
      </c>
      <c r="C1632" s="3143">
        <f t="shared" si="29"/>
        <v>287</v>
      </c>
      <c r="D1632" s="3143" t="str">
        <f ca="1">IFERROR(INDEX('Production cost'!$A:$AU,MATCH($C1632,'Production cost'!$AU:$AU,0),6),"")</f>
        <v/>
      </c>
      <c r="E1632" s="3143" t="str">
        <f ca="1">IFERROR(INDEX('Production cost'!$A:$AU,MATCH($C1632,'Production cost'!$AU:$AU,0),3),"")</f>
        <v/>
      </c>
      <c r="G1632" s="3153" t="str">
        <f ca="1">IFERROR(INDEX('Production cost'!$A:$AU,MATCH($C1632,'Production cost'!$AU:$AU,0),9),"")</f>
        <v/>
      </c>
      <c r="H1632" s="3599" t="str">
        <f ca="1">IFERROR(IFERROR(INDEX('Production cost'!$A:$AU,MATCH($C1632,'Production cost'!$AU:$AU,0),11),"")+IFERROR(INDEX('Production cost'!$A:$AU,MATCH($C1632,'Production cost'!$AU:$AU,0),12),""),"")</f>
        <v/>
      </c>
      <c r="I1632" s="3153" t="str">
        <f ca="1">IFERROR(INDEX('Production cost'!$A:$AU,MATCH($C1632,'Production cost'!$AU:$AU,0),28)/'Production cost'!$E$2,"")</f>
        <v/>
      </c>
      <c r="J1632" s="3153" t="str">
        <f ca="1">IFERROR(INDEX('Production cost'!$A:$AU,MATCH($C1632,'Production cost'!$AU:$AU,0),28)/'Production cost'!$E$2,"")</f>
        <v/>
      </c>
    </row>
    <row r="1633" spans="2:10" ht="21.75">
      <c r="B1633" s="3143" t="s">
        <v>3654</v>
      </c>
      <c r="C1633" s="3143">
        <f t="shared" si="29"/>
        <v>288</v>
      </c>
      <c r="D1633" s="3143" t="str">
        <f ca="1">IFERROR(INDEX('Production cost'!$A:$AU,MATCH($C1633,'Production cost'!$AU:$AU,0),6),"")</f>
        <v/>
      </c>
      <c r="E1633" s="3143" t="str">
        <f ca="1">IFERROR(INDEX('Production cost'!$A:$AU,MATCH($C1633,'Production cost'!$AU:$AU,0),3),"")</f>
        <v/>
      </c>
      <c r="G1633" s="3153" t="str">
        <f ca="1">IFERROR(INDEX('Production cost'!$A:$AU,MATCH($C1633,'Production cost'!$AU:$AU,0),9),"")</f>
        <v/>
      </c>
      <c r="H1633" s="3599" t="str">
        <f ca="1">IFERROR(IFERROR(INDEX('Production cost'!$A:$AU,MATCH($C1633,'Production cost'!$AU:$AU,0),11),"")+IFERROR(INDEX('Production cost'!$A:$AU,MATCH($C1633,'Production cost'!$AU:$AU,0),12),""),"")</f>
        <v/>
      </c>
      <c r="I1633" s="3153" t="str">
        <f ca="1">IFERROR(INDEX('Production cost'!$A:$AU,MATCH($C1633,'Production cost'!$AU:$AU,0),28)/'Production cost'!$E$2,"")</f>
        <v/>
      </c>
      <c r="J1633" s="3153" t="str">
        <f ca="1">IFERROR(INDEX('Production cost'!$A:$AU,MATCH($C1633,'Production cost'!$AU:$AU,0),28)/'Production cost'!$E$2,"")</f>
        <v/>
      </c>
    </row>
    <row r="1634" spans="2:10" ht="21.75">
      <c r="B1634" s="3143" t="s">
        <v>3654</v>
      </c>
      <c r="C1634" s="3143">
        <f t="shared" si="29"/>
        <v>289</v>
      </c>
      <c r="D1634" s="3143" t="str">
        <f ca="1">IFERROR(INDEX('Production cost'!$A:$AU,MATCH($C1634,'Production cost'!$AU:$AU,0),6),"")</f>
        <v/>
      </c>
      <c r="E1634" s="3143" t="str">
        <f ca="1">IFERROR(INDEX('Production cost'!$A:$AU,MATCH($C1634,'Production cost'!$AU:$AU,0),3),"")</f>
        <v/>
      </c>
      <c r="G1634" s="3153" t="str">
        <f ca="1">IFERROR(INDEX('Production cost'!$A:$AU,MATCH($C1634,'Production cost'!$AU:$AU,0),9),"")</f>
        <v/>
      </c>
      <c r="H1634" s="3599" t="str">
        <f ca="1">IFERROR(IFERROR(INDEX('Production cost'!$A:$AU,MATCH($C1634,'Production cost'!$AU:$AU,0),11),"")+IFERROR(INDEX('Production cost'!$A:$AU,MATCH($C1634,'Production cost'!$AU:$AU,0),12),""),"")</f>
        <v/>
      </c>
      <c r="I1634" s="3153" t="str">
        <f ca="1">IFERROR(INDEX('Production cost'!$A:$AU,MATCH($C1634,'Production cost'!$AU:$AU,0),28)/'Production cost'!$E$2,"")</f>
        <v/>
      </c>
      <c r="J1634" s="3153" t="str">
        <f ca="1">IFERROR(INDEX('Production cost'!$A:$AU,MATCH($C1634,'Production cost'!$AU:$AU,0),28)/'Production cost'!$E$2,"")</f>
        <v/>
      </c>
    </row>
    <row r="1635" spans="2:10" ht="21.75">
      <c r="B1635" s="3143" t="s">
        <v>3654</v>
      </c>
      <c r="C1635" s="3143">
        <f t="shared" si="29"/>
        <v>290</v>
      </c>
      <c r="D1635" s="3143" t="str">
        <f ca="1">IFERROR(INDEX('Production cost'!$A:$AU,MATCH($C1635,'Production cost'!$AU:$AU,0),6),"")</f>
        <v/>
      </c>
      <c r="E1635" s="3143" t="str">
        <f ca="1">IFERROR(INDEX('Production cost'!$A:$AU,MATCH($C1635,'Production cost'!$AU:$AU,0),3),"")</f>
        <v/>
      </c>
      <c r="G1635" s="3153" t="str">
        <f ca="1">IFERROR(INDEX('Production cost'!$A:$AU,MATCH($C1635,'Production cost'!$AU:$AU,0),9),"")</f>
        <v/>
      </c>
      <c r="H1635" s="3599" t="str">
        <f ca="1">IFERROR(IFERROR(INDEX('Production cost'!$A:$AU,MATCH($C1635,'Production cost'!$AU:$AU,0),11),"")+IFERROR(INDEX('Production cost'!$A:$AU,MATCH($C1635,'Production cost'!$AU:$AU,0),12),""),"")</f>
        <v/>
      </c>
      <c r="I1635" s="3153" t="str">
        <f ca="1">IFERROR(INDEX('Production cost'!$A:$AU,MATCH($C1635,'Production cost'!$AU:$AU,0),28)/'Production cost'!$E$2,"")</f>
        <v/>
      </c>
      <c r="J1635" s="3153" t="str">
        <f ca="1">IFERROR(INDEX('Production cost'!$A:$AU,MATCH($C1635,'Production cost'!$AU:$AU,0),28)/'Production cost'!$E$2,"")</f>
        <v/>
      </c>
    </row>
    <row r="1636" spans="2:10" ht="21.75">
      <c r="B1636" s="3143" t="s">
        <v>3654</v>
      </c>
      <c r="C1636" s="3143">
        <f t="shared" si="29"/>
        <v>291</v>
      </c>
      <c r="D1636" s="3143" t="str">
        <f ca="1">IFERROR(INDEX('Production cost'!$A:$AU,MATCH($C1636,'Production cost'!$AU:$AU,0),6),"")</f>
        <v/>
      </c>
      <c r="E1636" s="3143" t="str">
        <f ca="1">IFERROR(INDEX('Production cost'!$A:$AU,MATCH($C1636,'Production cost'!$AU:$AU,0),3),"")</f>
        <v/>
      </c>
      <c r="G1636" s="3153" t="str">
        <f ca="1">IFERROR(INDEX('Production cost'!$A:$AU,MATCH($C1636,'Production cost'!$AU:$AU,0),9),"")</f>
        <v/>
      </c>
      <c r="H1636" s="3599" t="str">
        <f ca="1">IFERROR(IFERROR(INDEX('Production cost'!$A:$AU,MATCH($C1636,'Production cost'!$AU:$AU,0),11),"")+IFERROR(INDEX('Production cost'!$A:$AU,MATCH($C1636,'Production cost'!$AU:$AU,0),12),""),"")</f>
        <v/>
      </c>
      <c r="I1636" s="3153" t="str">
        <f ca="1">IFERROR(INDEX('Production cost'!$A:$AU,MATCH($C1636,'Production cost'!$AU:$AU,0),28)/'Production cost'!$E$2,"")</f>
        <v/>
      </c>
      <c r="J1636" s="3153" t="str">
        <f ca="1">IFERROR(INDEX('Production cost'!$A:$AU,MATCH($C1636,'Production cost'!$AU:$AU,0),28)/'Production cost'!$E$2,"")</f>
        <v/>
      </c>
    </row>
    <row r="1637" spans="2:10" ht="21.75">
      <c r="B1637" s="3143" t="s">
        <v>3654</v>
      </c>
      <c r="C1637" s="3143">
        <f t="shared" si="29"/>
        <v>292</v>
      </c>
      <c r="D1637" s="3143" t="str">
        <f ca="1">IFERROR(INDEX('Production cost'!$A:$AU,MATCH($C1637,'Production cost'!$AU:$AU,0),6),"")</f>
        <v/>
      </c>
      <c r="E1637" s="3143" t="str">
        <f ca="1">IFERROR(INDEX('Production cost'!$A:$AU,MATCH($C1637,'Production cost'!$AU:$AU,0),3),"")</f>
        <v/>
      </c>
      <c r="G1637" s="3153" t="str">
        <f ca="1">IFERROR(INDEX('Production cost'!$A:$AU,MATCH($C1637,'Production cost'!$AU:$AU,0),9),"")</f>
        <v/>
      </c>
      <c r="H1637" s="3599" t="str">
        <f ca="1">IFERROR(IFERROR(INDEX('Production cost'!$A:$AU,MATCH($C1637,'Production cost'!$AU:$AU,0),11),"")+IFERROR(INDEX('Production cost'!$A:$AU,MATCH($C1637,'Production cost'!$AU:$AU,0),12),""),"")</f>
        <v/>
      </c>
      <c r="I1637" s="3153" t="str">
        <f ca="1">IFERROR(INDEX('Production cost'!$A:$AU,MATCH($C1637,'Production cost'!$AU:$AU,0),28)/'Production cost'!$E$2,"")</f>
        <v/>
      </c>
      <c r="J1637" s="3153" t="str">
        <f ca="1">IFERROR(INDEX('Production cost'!$A:$AU,MATCH($C1637,'Production cost'!$AU:$AU,0),28)/'Production cost'!$E$2,"")</f>
        <v/>
      </c>
    </row>
    <row r="1638" spans="2:10" ht="21.75">
      <c r="B1638" s="3143" t="s">
        <v>3654</v>
      </c>
      <c r="C1638" s="3143">
        <f t="shared" si="29"/>
        <v>293</v>
      </c>
      <c r="D1638" s="3143" t="str">
        <f ca="1">IFERROR(INDEX('Production cost'!$A:$AU,MATCH($C1638,'Production cost'!$AU:$AU,0),6),"")</f>
        <v/>
      </c>
      <c r="E1638" s="3143" t="str">
        <f ca="1">IFERROR(INDEX('Production cost'!$A:$AU,MATCH($C1638,'Production cost'!$AU:$AU,0),3),"")</f>
        <v/>
      </c>
      <c r="G1638" s="3153" t="str">
        <f ca="1">IFERROR(INDEX('Production cost'!$A:$AU,MATCH($C1638,'Production cost'!$AU:$AU,0),9),"")</f>
        <v/>
      </c>
      <c r="H1638" s="3599" t="str">
        <f ca="1">IFERROR(IFERROR(INDEX('Production cost'!$A:$AU,MATCH($C1638,'Production cost'!$AU:$AU,0),11),"")+IFERROR(INDEX('Production cost'!$A:$AU,MATCH($C1638,'Production cost'!$AU:$AU,0),12),""),"")</f>
        <v/>
      </c>
      <c r="I1638" s="3153" t="str">
        <f ca="1">IFERROR(INDEX('Production cost'!$A:$AU,MATCH($C1638,'Production cost'!$AU:$AU,0),28)/'Production cost'!$E$2,"")</f>
        <v/>
      </c>
      <c r="J1638" s="3153" t="str">
        <f ca="1">IFERROR(INDEX('Production cost'!$A:$AU,MATCH($C1638,'Production cost'!$AU:$AU,0),28)/'Production cost'!$E$2,"")</f>
        <v/>
      </c>
    </row>
    <row r="1639" spans="2:10" ht="21.75">
      <c r="B1639" s="3143" t="s">
        <v>3654</v>
      </c>
      <c r="C1639" s="3143">
        <f t="shared" si="29"/>
        <v>294</v>
      </c>
      <c r="D1639" s="3143" t="str">
        <f ca="1">IFERROR(INDEX('Production cost'!$A:$AU,MATCH($C1639,'Production cost'!$AU:$AU,0),6),"")</f>
        <v/>
      </c>
      <c r="E1639" s="3143" t="str">
        <f ca="1">IFERROR(INDEX('Production cost'!$A:$AU,MATCH($C1639,'Production cost'!$AU:$AU,0),3),"")</f>
        <v/>
      </c>
      <c r="G1639" s="3153" t="str">
        <f ca="1">IFERROR(INDEX('Production cost'!$A:$AU,MATCH($C1639,'Production cost'!$AU:$AU,0),9),"")</f>
        <v/>
      </c>
      <c r="H1639" s="3599" t="str">
        <f ca="1">IFERROR(IFERROR(INDEX('Production cost'!$A:$AU,MATCH($C1639,'Production cost'!$AU:$AU,0),11),"")+IFERROR(INDEX('Production cost'!$A:$AU,MATCH($C1639,'Production cost'!$AU:$AU,0),12),""),"")</f>
        <v/>
      </c>
      <c r="I1639" s="3153" t="str">
        <f ca="1">IFERROR(INDEX('Production cost'!$A:$AU,MATCH($C1639,'Production cost'!$AU:$AU,0),28)/'Production cost'!$E$2,"")</f>
        <v/>
      </c>
      <c r="J1639" s="3153" t="str">
        <f ca="1">IFERROR(INDEX('Production cost'!$A:$AU,MATCH($C1639,'Production cost'!$AU:$AU,0),28)/'Production cost'!$E$2,"")</f>
        <v/>
      </c>
    </row>
    <row r="1640" spans="2:10" ht="21.75">
      <c r="B1640" s="3143" t="s">
        <v>3654</v>
      </c>
      <c r="C1640" s="3143">
        <f t="shared" si="29"/>
        <v>295</v>
      </c>
      <c r="D1640" s="3143" t="str">
        <f ca="1">IFERROR(INDEX('Production cost'!$A:$AU,MATCH($C1640,'Production cost'!$AU:$AU,0),6),"")</f>
        <v/>
      </c>
      <c r="E1640" s="3143" t="str">
        <f ca="1">IFERROR(INDEX('Production cost'!$A:$AU,MATCH($C1640,'Production cost'!$AU:$AU,0),3),"")</f>
        <v/>
      </c>
      <c r="G1640" s="3153" t="str">
        <f ca="1">IFERROR(INDEX('Production cost'!$A:$AU,MATCH($C1640,'Production cost'!$AU:$AU,0),9),"")</f>
        <v/>
      </c>
      <c r="H1640" s="3599" t="str">
        <f ca="1">IFERROR(IFERROR(INDEX('Production cost'!$A:$AU,MATCH($C1640,'Production cost'!$AU:$AU,0),11),"")+IFERROR(INDEX('Production cost'!$A:$AU,MATCH($C1640,'Production cost'!$AU:$AU,0),12),""),"")</f>
        <v/>
      </c>
      <c r="I1640" s="3153" t="str">
        <f ca="1">IFERROR(INDEX('Production cost'!$A:$AU,MATCH($C1640,'Production cost'!$AU:$AU,0),28)/'Production cost'!$E$2,"")</f>
        <v/>
      </c>
      <c r="J1640" s="3153" t="str">
        <f ca="1">IFERROR(INDEX('Production cost'!$A:$AU,MATCH($C1640,'Production cost'!$AU:$AU,0),28)/'Production cost'!$E$2,"")</f>
        <v/>
      </c>
    </row>
    <row r="1641" spans="2:10" ht="21.75">
      <c r="B1641" s="3143" t="s">
        <v>3654</v>
      </c>
      <c r="C1641" s="3143">
        <f t="shared" si="29"/>
        <v>296</v>
      </c>
      <c r="D1641" s="3143" t="str">
        <f ca="1">IFERROR(INDEX('Production cost'!$A:$AU,MATCH($C1641,'Production cost'!$AU:$AU,0),6),"")</f>
        <v/>
      </c>
      <c r="E1641" s="3143" t="str">
        <f ca="1">IFERROR(INDEX('Production cost'!$A:$AU,MATCH($C1641,'Production cost'!$AU:$AU,0),3),"")</f>
        <v/>
      </c>
      <c r="G1641" s="3153" t="str">
        <f ca="1">IFERROR(INDEX('Production cost'!$A:$AU,MATCH($C1641,'Production cost'!$AU:$AU,0),9),"")</f>
        <v/>
      </c>
      <c r="H1641" s="3599" t="str">
        <f ca="1">IFERROR(IFERROR(INDEX('Production cost'!$A:$AU,MATCH($C1641,'Production cost'!$AU:$AU,0),11),"")+IFERROR(INDEX('Production cost'!$A:$AU,MATCH($C1641,'Production cost'!$AU:$AU,0),12),""),"")</f>
        <v/>
      </c>
      <c r="I1641" s="3153" t="str">
        <f ca="1">IFERROR(INDEX('Production cost'!$A:$AU,MATCH($C1641,'Production cost'!$AU:$AU,0),28)/'Production cost'!$E$2,"")</f>
        <v/>
      </c>
      <c r="J1641" s="3153" t="str">
        <f ca="1">IFERROR(INDEX('Production cost'!$A:$AU,MATCH($C1641,'Production cost'!$AU:$AU,0),28)/'Production cost'!$E$2,"")</f>
        <v/>
      </c>
    </row>
    <row r="1642" spans="2:10" ht="21.75">
      <c r="B1642" s="3143" t="s">
        <v>3654</v>
      </c>
      <c r="C1642" s="3143">
        <f t="shared" si="29"/>
        <v>297</v>
      </c>
      <c r="D1642" s="3143" t="str">
        <f ca="1">IFERROR(INDEX('Production cost'!$A:$AU,MATCH($C1642,'Production cost'!$AU:$AU,0),6),"")</f>
        <v/>
      </c>
      <c r="E1642" s="3143" t="str">
        <f ca="1">IFERROR(INDEX('Production cost'!$A:$AU,MATCH($C1642,'Production cost'!$AU:$AU,0),3),"")</f>
        <v/>
      </c>
      <c r="G1642" s="3153" t="str">
        <f ca="1">IFERROR(INDEX('Production cost'!$A:$AU,MATCH($C1642,'Production cost'!$AU:$AU,0),9),"")</f>
        <v/>
      </c>
      <c r="H1642" s="3599" t="str">
        <f ca="1">IFERROR(IFERROR(INDEX('Production cost'!$A:$AU,MATCH($C1642,'Production cost'!$AU:$AU,0),11),"")+IFERROR(INDEX('Production cost'!$A:$AU,MATCH($C1642,'Production cost'!$AU:$AU,0),12),""),"")</f>
        <v/>
      </c>
      <c r="I1642" s="3153" t="str">
        <f ca="1">IFERROR(INDEX('Production cost'!$A:$AU,MATCH($C1642,'Production cost'!$AU:$AU,0),28)/'Production cost'!$E$2,"")</f>
        <v/>
      </c>
      <c r="J1642" s="3153" t="str">
        <f ca="1">IFERROR(INDEX('Production cost'!$A:$AU,MATCH($C1642,'Production cost'!$AU:$AU,0),28)/'Production cost'!$E$2,"")</f>
        <v/>
      </c>
    </row>
    <row r="1643" spans="2:10" ht="21.75">
      <c r="B1643" s="3143" t="s">
        <v>3654</v>
      </c>
      <c r="C1643" s="3143">
        <f t="shared" si="29"/>
        <v>298</v>
      </c>
      <c r="D1643" s="3143" t="str">
        <f ca="1">IFERROR(INDEX('Production cost'!$A:$AU,MATCH($C1643,'Production cost'!$AU:$AU,0),6),"")</f>
        <v/>
      </c>
      <c r="E1643" s="3143" t="str">
        <f ca="1">IFERROR(INDEX('Production cost'!$A:$AU,MATCH($C1643,'Production cost'!$AU:$AU,0),3),"")</f>
        <v/>
      </c>
      <c r="G1643" s="3153" t="str">
        <f ca="1">IFERROR(INDEX('Production cost'!$A:$AU,MATCH($C1643,'Production cost'!$AU:$AU,0),9),"")</f>
        <v/>
      </c>
      <c r="H1643" s="3599" t="str">
        <f ca="1">IFERROR(IFERROR(INDEX('Production cost'!$A:$AU,MATCH($C1643,'Production cost'!$AU:$AU,0),11),"")+IFERROR(INDEX('Production cost'!$A:$AU,MATCH($C1643,'Production cost'!$AU:$AU,0),12),""),"")</f>
        <v/>
      </c>
      <c r="I1643" s="3153" t="str">
        <f ca="1">IFERROR(INDEX('Production cost'!$A:$AU,MATCH($C1643,'Production cost'!$AU:$AU,0),28)/'Production cost'!$E$2,"")</f>
        <v/>
      </c>
      <c r="J1643" s="3153" t="str">
        <f ca="1">IFERROR(INDEX('Production cost'!$A:$AU,MATCH($C1643,'Production cost'!$AU:$AU,0),28)/'Production cost'!$E$2,"")</f>
        <v/>
      </c>
    </row>
    <row r="1644" spans="2:10" ht="21.75">
      <c r="B1644" s="3143" t="s">
        <v>3654</v>
      </c>
      <c r="C1644" s="3143">
        <f t="shared" si="29"/>
        <v>299</v>
      </c>
      <c r="D1644" s="3143" t="str">
        <f ca="1">IFERROR(INDEX('Production cost'!$A:$AU,MATCH($C1644,'Production cost'!$AU:$AU,0),6),"")</f>
        <v/>
      </c>
      <c r="E1644" s="3143" t="str">
        <f ca="1">IFERROR(INDEX('Production cost'!$A:$AU,MATCH($C1644,'Production cost'!$AU:$AU,0),3),"")</f>
        <v/>
      </c>
      <c r="G1644" s="3153" t="str">
        <f ca="1">IFERROR(INDEX('Production cost'!$A:$AU,MATCH($C1644,'Production cost'!$AU:$AU,0),9),"")</f>
        <v/>
      </c>
      <c r="H1644" s="3599" t="str">
        <f ca="1">IFERROR(IFERROR(INDEX('Production cost'!$A:$AU,MATCH($C1644,'Production cost'!$AU:$AU,0),11),"")+IFERROR(INDEX('Production cost'!$A:$AU,MATCH($C1644,'Production cost'!$AU:$AU,0),12),""),"")</f>
        <v/>
      </c>
      <c r="I1644" s="3153" t="str">
        <f ca="1">IFERROR(INDEX('Production cost'!$A:$AU,MATCH($C1644,'Production cost'!$AU:$AU,0),28)/'Production cost'!$E$2,"")</f>
        <v/>
      </c>
      <c r="J1644" s="3153" t="str">
        <f ca="1">IFERROR(INDEX('Production cost'!$A:$AU,MATCH($C1644,'Production cost'!$AU:$AU,0),28)/'Production cost'!$E$2,"")</f>
        <v/>
      </c>
    </row>
    <row r="1645" spans="2:10" ht="21.75">
      <c r="B1645" s="3143" t="s">
        <v>3654</v>
      </c>
      <c r="C1645" s="3143">
        <f t="shared" si="29"/>
        <v>300</v>
      </c>
      <c r="D1645" s="3143" t="str">
        <f ca="1">IFERROR(INDEX('Production cost'!$A:$AU,MATCH($C1645,'Production cost'!$AU:$AU,0),6),"")</f>
        <v/>
      </c>
      <c r="E1645" s="3143" t="str">
        <f ca="1">IFERROR(INDEX('Production cost'!$A:$AU,MATCH($C1645,'Production cost'!$AU:$AU,0),3),"")</f>
        <v/>
      </c>
      <c r="G1645" s="3153" t="str">
        <f ca="1">IFERROR(INDEX('Production cost'!$A:$AU,MATCH($C1645,'Production cost'!$AU:$AU,0),9),"")</f>
        <v/>
      </c>
      <c r="H1645" s="3599" t="str">
        <f ca="1">IFERROR(IFERROR(INDEX('Production cost'!$A:$AU,MATCH($C1645,'Production cost'!$AU:$AU,0),11),"")+IFERROR(INDEX('Production cost'!$A:$AU,MATCH($C1645,'Production cost'!$AU:$AU,0),12),""),"")</f>
        <v/>
      </c>
      <c r="I1645" s="3153" t="str">
        <f ca="1">IFERROR(INDEX('Production cost'!$A:$AU,MATCH($C1645,'Production cost'!$AU:$AU,0),28)/'Production cost'!$E$2,"")</f>
        <v/>
      </c>
      <c r="J1645" s="3153" t="str">
        <f ca="1">IFERROR(INDEX('Production cost'!$A:$AU,MATCH($C1645,'Production cost'!$AU:$AU,0),28)/'Production cost'!$E$2,"")</f>
        <v/>
      </c>
    </row>
    <row r="1646" spans="2:10" ht="21.75">
      <c r="B1646" s="3143" t="s">
        <v>3654</v>
      </c>
      <c r="C1646" s="3143">
        <f t="shared" si="29"/>
        <v>301</v>
      </c>
      <c r="D1646" s="3143" t="str">
        <f ca="1">IFERROR(INDEX('Production cost'!$A:$AU,MATCH($C1646,'Production cost'!$AU:$AU,0),6),"")</f>
        <v/>
      </c>
      <c r="E1646" s="3143" t="str">
        <f ca="1">IFERROR(INDEX('Production cost'!$A:$AU,MATCH($C1646,'Production cost'!$AU:$AU,0),3),"")</f>
        <v/>
      </c>
      <c r="G1646" s="3153" t="str">
        <f ca="1">IFERROR(INDEX('Production cost'!$A:$AU,MATCH($C1646,'Production cost'!$AU:$AU,0),9),"")</f>
        <v/>
      </c>
      <c r="H1646" s="3599" t="str">
        <f ca="1">IFERROR(IFERROR(INDEX('Production cost'!$A:$AU,MATCH($C1646,'Production cost'!$AU:$AU,0),11),"")+IFERROR(INDEX('Production cost'!$A:$AU,MATCH($C1646,'Production cost'!$AU:$AU,0),12),""),"")</f>
        <v/>
      </c>
      <c r="I1646" s="3153" t="str">
        <f ca="1">IFERROR(INDEX('Production cost'!$A:$AU,MATCH($C1646,'Production cost'!$AU:$AU,0),28)/'Production cost'!$E$2,"")</f>
        <v/>
      </c>
      <c r="J1646" s="3153" t="str">
        <f ca="1">IFERROR(INDEX('Production cost'!$A:$AU,MATCH($C1646,'Production cost'!$AU:$AU,0),28)/'Production cost'!$E$2,"")</f>
        <v/>
      </c>
    </row>
    <row r="1647" spans="2:10" ht="21.75">
      <c r="B1647" s="3143" t="s">
        <v>3654</v>
      </c>
      <c r="C1647" s="3143">
        <f t="shared" si="29"/>
        <v>302</v>
      </c>
      <c r="D1647" s="3143" t="str">
        <f ca="1">IFERROR(INDEX('Production cost'!$A:$AU,MATCH($C1647,'Production cost'!$AU:$AU,0),6),"")</f>
        <v/>
      </c>
      <c r="E1647" s="3143" t="str">
        <f ca="1">IFERROR(INDEX('Production cost'!$A:$AU,MATCH($C1647,'Production cost'!$AU:$AU,0),3),"")</f>
        <v/>
      </c>
      <c r="G1647" s="3153" t="str">
        <f ca="1">IFERROR(INDEX('Production cost'!$A:$AU,MATCH($C1647,'Production cost'!$AU:$AU,0),9),"")</f>
        <v/>
      </c>
      <c r="H1647" s="3599" t="str">
        <f ca="1">IFERROR(IFERROR(INDEX('Production cost'!$A:$AU,MATCH($C1647,'Production cost'!$AU:$AU,0),11),"")+IFERROR(INDEX('Production cost'!$A:$AU,MATCH($C1647,'Production cost'!$AU:$AU,0),12),""),"")</f>
        <v/>
      </c>
      <c r="I1647" s="3153" t="str">
        <f ca="1">IFERROR(INDEX('Production cost'!$A:$AU,MATCH($C1647,'Production cost'!$AU:$AU,0),28)/'Production cost'!$E$2,"")</f>
        <v/>
      </c>
      <c r="J1647" s="3153" t="str">
        <f ca="1">IFERROR(INDEX('Production cost'!$A:$AU,MATCH($C1647,'Production cost'!$AU:$AU,0),28)/'Production cost'!$E$2,"")</f>
        <v/>
      </c>
    </row>
    <row r="1648" spans="2:10" ht="21.75">
      <c r="B1648" s="3143" t="s">
        <v>3654</v>
      </c>
      <c r="C1648" s="3143">
        <f t="shared" si="29"/>
        <v>303</v>
      </c>
      <c r="D1648" s="3143" t="str">
        <f ca="1">IFERROR(INDEX('Production cost'!$A:$AU,MATCH($C1648,'Production cost'!$AU:$AU,0),6),"")</f>
        <v/>
      </c>
      <c r="E1648" s="3143" t="str">
        <f ca="1">IFERROR(INDEX('Production cost'!$A:$AU,MATCH($C1648,'Production cost'!$AU:$AU,0),3),"")</f>
        <v/>
      </c>
      <c r="G1648" s="3153" t="str">
        <f ca="1">IFERROR(INDEX('Production cost'!$A:$AU,MATCH($C1648,'Production cost'!$AU:$AU,0),9),"")</f>
        <v/>
      </c>
      <c r="H1648" s="3599" t="str">
        <f ca="1">IFERROR(IFERROR(INDEX('Production cost'!$A:$AU,MATCH($C1648,'Production cost'!$AU:$AU,0),11),"")+IFERROR(INDEX('Production cost'!$A:$AU,MATCH($C1648,'Production cost'!$AU:$AU,0),12),""),"")</f>
        <v/>
      </c>
      <c r="I1648" s="3153" t="str">
        <f ca="1">IFERROR(INDEX('Production cost'!$A:$AU,MATCH($C1648,'Production cost'!$AU:$AU,0),28)/'Production cost'!$E$2,"")</f>
        <v/>
      </c>
      <c r="J1648" s="3153" t="str">
        <f ca="1">IFERROR(INDEX('Production cost'!$A:$AU,MATCH($C1648,'Production cost'!$AU:$AU,0),28)/'Production cost'!$E$2,"")</f>
        <v/>
      </c>
    </row>
    <row r="1649" spans="2:10" ht="21.75">
      <c r="B1649" s="3143" t="s">
        <v>3654</v>
      </c>
      <c r="C1649" s="3143">
        <f t="shared" si="29"/>
        <v>304</v>
      </c>
      <c r="D1649" s="3143" t="str">
        <f ca="1">IFERROR(INDEX('Production cost'!$A:$AU,MATCH($C1649,'Production cost'!$AU:$AU,0),6),"")</f>
        <v/>
      </c>
      <c r="E1649" s="3143" t="str">
        <f ca="1">IFERROR(INDEX('Production cost'!$A:$AU,MATCH($C1649,'Production cost'!$AU:$AU,0),3),"")</f>
        <v/>
      </c>
      <c r="G1649" s="3153" t="str">
        <f ca="1">IFERROR(INDEX('Production cost'!$A:$AU,MATCH($C1649,'Production cost'!$AU:$AU,0),9),"")</f>
        <v/>
      </c>
      <c r="H1649" s="3599" t="str">
        <f ca="1">IFERROR(IFERROR(INDEX('Production cost'!$A:$AU,MATCH($C1649,'Production cost'!$AU:$AU,0),11),"")+IFERROR(INDEX('Production cost'!$A:$AU,MATCH($C1649,'Production cost'!$AU:$AU,0),12),""),"")</f>
        <v/>
      </c>
      <c r="I1649" s="3153" t="str">
        <f ca="1">IFERROR(INDEX('Production cost'!$A:$AU,MATCH($C1649,'Production cost'!$AU:$AU,0),28)/'Production cost'!$E$2,"")</f>
        <v/>
      </c>
      <c r="J1649" s="3153" t="str">
        <f ca="1">IFERROR(INDEX('Production cost'!$A:$AU,MATCH($C1649,'Production cost'!$AU:$AU,0),28)/'Production cost'!$E$2,"")</f>
        <v/>
      </c>
    </row>
    <row r="1650" spans="2:10" ht="21.75">
      <c r="B1650" s="3143" t="s">
        <v>3654</v>
      </c>
      <c r="C1650" s="3143">
        <f t="shared" si="29"/>
        <v>305</v>
      </c>
      <c r="D1650" s="3143" t="str">
        <f ca="1">IFERROR(INDEX('Production cost'!$A:$AU,MATCH($C1650,'Production cost'!$AU:$AU,0),6),"")</f>
        <v/>
      </c>
      <c r="E1650" s="3143" t="str">
        <f ca="1">IFERROR(INDEX('Production cost'!$A:$AU,MATCH($C1650,'Production cost'!$AU:$AU,0),3),"")</f>
        <v/>
      </c>
      <c r="G1650" s="3153" t="str">
        <f ca="1">IFERROR(INDEX('Production cost'!$A:$AU,MATCH($C1650,'Production cost'!$AU:$AU,0),9),"")</f>
        <v/>
      </c>
      <c r="H1650" s="3599" t="str">
        <f ca="1">IFERROR(IFERROR(INDEX('Production cost'!$A:$AU,MATCH($C1650,'Production cost'!$AU:$AU,0),11),"")+IFERROR(INDEX('Production cost'!$A:$AU,MATCH($C1650,'Production cost'!$AU:$AU,0),12),""),"")</f>
        <v/>
      </c>
      <c r="I1650" s="3153" t="str">
        <f ca="1">IFERROR(INDEX('Production cost'!$A:$AU,MATCH($C1650,'Production cost'!$AU:$AU,0),28)/'Production cost'!$E$2,"")</f>
        <v/>
      </c>
      <c r="J1650" s="3153" t="str">
        <f ca="1">IFERROR(INDEX('Production cost'!$A:$AU,MATCH($C1650,'Production cost'!$AU:$AU,0),28)/'Production cost'!$E$2,"")</f>
        <v/>
      </c>
    </row>
    <row r="1651" spans="2:10" ht="21.75">
      <c r="B1651" s="3143" t="s">
        <v>3654</v>
      </c>
      <c r="C1651" s="3143">
        <f t="shared" si="29"/>
        <v>306</v>
      </c>
      <c r="D1651" s="3143" t="str">
        <f ca="1">IFERROR(INDEX('Production cost'!$A:$AU,MATCH($C1651,'Production cost'!$AU:$AU,0),6),"")</f>
        <v/>
      </c>
      <c r="E1651" s="3143" t="str">
        <f ca="1">IFERROR(INDEX('Production cost'!$A:$AU,MATCH($C1651,'Production cost'!$AU:$AU,0),3),"")</f>
        <v/>
      </c>
      <c r="G1651" s="3153" t="str">
        <f ca="1">IFERROR(INDEX('Production cost'!$A:$AU,MATCH($C1651,'Production cost'!$AU:$AU,0),9),"")</f>
        <v/>
      </c>
      <c r="H1651" s="3599" t="str">
        <f ca="1">IFERROR(IFERROR(INDEX('Production cost'!$A:$AU,MATCH($C1651,'Production cost'!$AU:$AU,0),11),"")+IFERROR(INDEX('Production cost'!$A:$AU,MATCH($C1651,'Production cost'!$AU:$AU,0),12),""),"")</f>
        <v/>
      </c>
      <c r="I1651" s="3153" t="str">
        <f ca="1">IFERROR(INDEX('Production cost'!$A:$AU,MATCH($C1651,'Production cost'!$AU:$AU,0),28)/'Production cost'!$E$2,"")</f>
        <v/>
      </c>
      <c r="J1651" s="3153" t="str">
        <f ca="1">IFERROR(INDEX('Production cost'!$A:$AU,MATCH($C1651,'Production cost'!$AU:$AU,0),28)/'Production cost'!$E$2,"")</f>
        <v/>
      </c>
    </row>
    <row r="1652" spans="2:10" ht="21.75">
      <c r="B1652" s="3143" t="s">
        <v>3654</v>
      </c>
      <c r="C1652" s="3143">
        <f t="shared" si="29"/>
        <v>307</v>
      </c>
      <c r="D1652" s="3143" t="str">
        <f ca="1">IFERROR(INDEX('Production cost'!$A:$AU,MATCH($C1652,'Production cost'!$AU:$AU,0),6),"")</f>
        <v/>
      </c>
      <c r="E1652" s="3143" t="str">
        <f ca="1">IFERROR(INDEX('Production cost'!$A:$AU,MATCH($C1652,'Production cost'!$AU:$AU,0),3),"")</f>
        <v/>
      </c>
      <c r="G1652" s="3153" t="str">
        <f ca="1">IFERROR(INDEX('Production cost'!$A:$AU,MATCH($C1652,'Production cost'!$AU:$AU,0),9),"")</f>
        <v/>
      </c>
      <c r="H1652" s="3599" t="str">
        <f ca="1">IFERROR(IFERROR(INDEX('Production cost'!$A:$AU,MATCH($C1652,'Production cost'!$AU:$AU,0),11),"")+IFERROR(INDEX('Production cost'!$A:$AU,MATCH($C1652,'Production cost'!$AU:$AU,0),12),""),"")</f>
        <v/>
      </c>
      <c r="I1652" s="3153" t="str">
        <f ca="1">IFERROR(INDEX('Production cost'!$A:$AU,MATCH($C1652,'Production cost'!$AU:$AU,0),28)/'Production cost'!$E$2,"")</f>
        <v/>
      </c>
      <c r="J1652" s="3153" t="str">
        <f ca="1">IFERROR(INDEX('Production cost'!$A:$AU,MATCH($C1652,'Production cost'!$AU:$AU,0),28)/'Production cost'!$E$2,"")</f>
        <v/>
      </c>
    </row>
    <row r="1653" spans="2:10" ht="21.75">
      <c r="B1653" s="3143" t="s">
        <v>3654</v>
      </c>
      <c r="C1653" s="3143">
        <f t="shared" si="29"/>
        <v>308</v>
      </c>
      <c r="D1653" s="3143" t="str">
        <f ca="1">IFERROR(INDEX('Production cost'!$A:$AU,MATCH($C1653,'Production cost'!$AU:$AU,0),6),"")</f>
        <v/>
      </c>
      <c r="E1653" s="3143" t="str">
        <f ca="1">IFERROR(INDEX('Production cost'!$A:$AU,MATCH($C1653,'Production cost'!$AU:$AU,0),3),"")</f>
        <v/>
      </c>
      <c r="G1653" s="3153" t="str">
        <f ca="1">IFERROR(INDEX('Production cost'!$A:$AU,MATCH($C1653,'Production cost'!$AU:$AU,0),9),"")</f>
        <v/>
      </c>
      <c r="H1653" s="3599" t="str">
        <f ca="1">IFERROR(IFERROR(INDEX('Production cost'!$A:$AU,MATCH($C1653,'Production cost'!$AU:$AU,0),11),"")+IFERROR(INDEX('Production cost'!$A:$AU,MATCH($C1653,'Production cost'!$AU:$AU,0),12),""),"")</f>
        <v/>
      </c>
      <c r="I1653" s="3153" t="str">
        <f ca="1">IFERROR(INDEX('Production cost'!$A:$AU,MATCH($C1653,'Production cost'!$AU:$AU,0),28)/'Production cost'!$E$2,"")</f>
        <v/>
      </c>
      <c r="J1653" s="3153" t="str">
        <f ca="1">IFERROR(INDEX('Production cost'!$A:$AU,MATCH($C1653,'Production cost'!$AU:$AU,0),28)/'Production cost'!$E$2,"")</f>
        <v/>
      </c>
    </row>
    <row r="1654" spans="2:10" ht="21.75">
      <c r="B1654" s="3143" t="s">
        <v>3654</v>
      </c>
      <c r="C1654" s="3143">
        <f t="shared" si="29"/>
        <v>309</v>
      </c>
      <c r="D1654" s="3143" t="str">
        <f ca="1">IFERROR(INDEX('Production cost'!$A:$AU,MATCH($C1654,'Production cost'!$AU:$AU,0),6),"")</f>
        <v/>
      </c>
      <c r="E1654" s="3143" t="str">
        <f ca="1">IFERROR(INDEX('Production cost'!$A:$AU,MATCH($C1654,'Production cost'!$AU:$AU,0),3),"")</f>
        <v/>
      </c>
      <c r="G1654" s="3153" t="str">
        <f ca="1">IFERROR(INDEX('Production cost'!$A:$AU,MATCH($C1654,'Production cost'!$AU:$AU,0),9),"")</f>
        <v/>
      </c>
      <c r="H1654" s="3599" t="str">
        <f ca="1">IFERROR(IFERROR(INDEX('Production cost'!$A:$AU,MATCH($C1654,'Production cost'!$AU:$AU,0),11),"")+IFERROR(INDEX('Production cost'!$A:$AU,MATCH($C1654,'Production cost'!$AU:$AU,0),12),""),"")</f>
        <v/>
      </c>
      <c r="I1654" s="3153" t="str">
        <f ca="1">IFERROR(INDEX('Production cost'!$A:$AU,MATCH($C1654,'Production cost'!$AU:$AU,0),28)/'Production cost'!$E$2,"")</f>
        <v/>
      </c>
      <c r="J1654" s="3153" t="str">
        <f ca="1">IFERROR(INDEX('Production cost'!$A:$AU,MATCH($C1654,'Production cost'!$AU:$AU,0),28)/'Production cost'!$E$2,"")</f>
        <v/>
      </c>
    </row>
    <row r="1655" spans="2:10" ht="21.75">
      <c r="B1655" s="3143" t="s">
        <v>3654</v>
      </c>
      <c r="C1655" s="3143">
        <f t="shared" si="29"/>
        <v>310</v>
      </c>
      <c r="D1655" s="3143" t="str">
        <f ca="1">IFERROR(INDEX('Production cost'!$A:$AU,MATCH($C1655,'Production cost'!$AU:$AU,0),6),"")</f>
        <v/>
      </c>
      <c r="E1655" s="3143" t="str">
        <f ca="1">IFERROR(INDEX('Production cost'!$A:$AU,MATCH($C1655,'Production cost'!$AU:$AU,0),3),"")</f>
        <v/>
      </c>
      <c r="G1655" s="3153" t="str">
        <f ca="1">IFERROR(INDEX('Production cost'!$A:$AU,MATCH($C1655,'Production cost'!$AU:$AU,0),9),"")</f>
        <v/>
      </c>
      <c r="H1655" s="3599" t="str">
        <f ca="1">IFERROR(IFERROR(INDEX('Production cost'!$A:$AU,MATCH($C1655,'Production cost'!$AU:$AU,0),11),"")+IFERROR(INDEX('Production cost'!$A:$AU,MATCH($C1655,'Production cost'!$AU:$AU,0),12),""),"")</f>
        <v/>
      </c>
      <c r="I1655" s="3153" t="str">
        <f ca="1">IFERROR(INDEX('Production cost'!$A:$AU,MATCH($C1655,'Production cost'!$AU:$AU,0),28)/'Production cost'!$E$2,"")</f>
        <v/>
      </c>
      <c r="J1655" s="3153" t="str">
        <f ca="1">IFERROR(INDEX('Production cost'!$A:$AU,MATCH($C1655,'Production cost'!$AU:$AU,0),28)/'Production cost'!$E$2,"")</f>
        <v/>
      </c>
    </row>
    <row r="1656" spans="2:10" ht="21.75">
      <c r="B1656" s="3143" t="s">
        <v>3654</v>
      </c>
      <c r="C1656" s="3143">
        <f t="shared" si="29"/>
        <v>311</v>
      </c>
      <c r="D1656" s="3143" t="str">
        <f ca="1">IFERROR(INDEX('Production cost'!$A:$AU,MATCH($C1656,'Production cost'!$AU:$AU,0),6),"")</f>
        <v/>
      </c>
      <c r="E1656" s="3143" t="str">
        <f ca="1">IFERROR(INDEX('Production cost'!$A:$AU,MATCH($C1656,'Production cost'!$AU:$AU,0),3),"")</f>
        <v/>
      </c>
      <c r="G1656" s="3153" t="str">
        <f ca="1">IFERROR(INDEX('Production cost'!$A:$AU,MATCH($C1656,'Production cost'!$AU:$AU,0),9),"")</f>
        <v/>
      </c>
      <c r="H1656" s="3599" t="str">
        <f ca="1">IFERROR(IFERROR(INDEX('Production cost'!$A:$AU,MATCH($C1656,'Production cost'!$AU:$AU,0),11),"")+IFERROR(INDEX('Production cost'!$A:$AU,MATCH($C1656,'Production cost'!$AU:$AU,0),12),""),"")</f>
        <v/>
      </c>
      <c r="I1656" s="3153" t="str">
        <f ca="1">IFERROR(INDEX('Production cost'!$A:$AU,MATCH($C1656,'Production cost'!$AU:$AU,0),28)/'Production cost'!$E$2,"")</f>
        <v/>
      </c>
      <c r="J1656" s="3153" t="str">
        <f ca="1">IFERROR(INDEX('Production cost'!$A:$AU,MATCH($C1656,'Production cost'!$AU:$AU,0),28)/'Production cost'!$E$2,"")</f>
        <v/>
      </c>
    </row>
    <row r="1657" spans="2:10" ht="21.75">
      <c r="B1657" s="3143" t="s">
        <v>3654</v>
      </c>
      <c r="C1657" s="3143">
        <f t="shared" si="29"/>
        <v>312</v>
      </c>
      <c r="D1657" s="3143" t="str">
        <f ca="1">IFERROR(INDEX('Production cost'!$A:$AU,MATCH($C1657,'Production cost'!$AU:$AU,0),6),"")</f>
        <v/>
      </c>
      <c r="E1657" s="3143" t="str">
        <f ca="1">IFERROR(INDEX('Production cost'!$A:$AU,MATCH($C1657,'Production cost'!$AU:$AU,0),3),"")</f>
        <v/>
      </c>
      <c r="G1657" s="3153" t="str">
        <f ca="1">IFERROR(INDEX('Production cost'!$A:$AU,MATCH($C1657,'Production cost'!$AU:$AU,0),9),"")</f>
        <v/>
      </c>
      <c r="H1657" s="3599" t="str">
        <f ca="1">IFERROR(IFERROR(INDEX('Production cost'!$A:$AU,MATCH($C1657,'Production cost'!$AU:$AU,0),11),"")+IFERROR(INDEX('Production cost'!$A:$AU,MATCH($C1657,'Production cost'!$AU:$AU,0),12),""),"")</f>
        <v/>
      </c>
      <c r="I1657" s="3153" t="str">
        <f ca="1">IFERROR(INDEX('Production cost'!$A:$AU,MATCH($C1657,'Production cost'!$AU:$AU,0),28)/'Production cost'!$E$2,"")</f>
        <v/>
      </c>
      <c r="J1657" s="3153" t="str">
        <f ca="1">IFERROR(INDEX('Production cost'!$A:$AU,MATCH($C1657,'Production cost'!$AU:$AU,0),28)/'Production cost'!$E$2,"")</f>
        <v/>
      </c>
    </row>
    <row r="1658" spans="2:10" ht="21.75">
      <c r="B1658" s="3143" t="s">
        <v>3654</v>
      </c>
      <c r="C1658" s="3143">
        <f t="shared" si="29"/>
        <v>313</v>
      </c>
      <c r="D1658" s="3143" t="str">
        <f ca="1">IFERROR(INDEX('Production cost'!$A:$AU,MATCH($C1658,'Production cost'!$AU:$AU,0),6),"")</f>
        <v/>
      </c>
      <c r="E1658" s="3143" t="str">
        <f ca="1">IFERROR(INDEX('Production cost'!$A:$AU,MATCH($C1658,'Production cost'!$AU:$AU,0),3),"")</f>
        <v/>
      </c>
      <c r="G1658" s="3153" t="str">
        <f ca="1">IFERROR(INDEX('Production cost'!$A:$AU,MATCH($C1658,'Production cost'!$AU:$AU,0),9),"")</f>
        <v/>
      </c>
      <c r="H1658" s="3599" t="str">
        <f ca="1">IFERROR(IFERROR(INDEX('Production cost'!$A:$AU,MATCH($C1658,'Production cost'!$AU:$AU,0),11),"")+IFERROR(INDEX('Production cost'!$A:$AU,MATCH($C1658,'Production cost'!$AU:$AU,0),12),""),"")</f>
        <v/>
      </c>
      <c r="I1658" s="3153" t="str">
        <f ca="1">IFERROR(INDEX('Production cost'!$A:$AU,MATCH($C1658,'Production cost'!$AU:$AU,0),28)/'Production cost'!$E$2,"")</f>
        <v/>
      </c>
      <c r="J1658" s="3153" t="str">
        <f ca="1">IFERROR(INDEX('Production cost'!$A:$AU,MATCH($C1658,'Production cost'!$AU:$AU,0),28)/'Production cost'!$E$2,"")</f>
        <v/>
      </c>
    </row>
    <row r="1659" spans="2:10" ht="21.75">
      <c r="B1659" s="3143" t="s">
        <v>3654</v>
      </c>
      <c r="C1659" s="3143">
        <f t="shared" si="29"/>
        <v>314</v>
      </c>
      <c r="D1659" s="3143" t="str">
        <f ca="1">IFERROR(INDEX('Production cost'!$A:$AU,MATCH($C1659,'Production cost'!$AU:$AU,0),6),"")</f>
        <v/>
      </c>
      <c r="E1659" s="3143" t="str">
        <f ca="1">IFERROR(INDEX('Production cost'!$A:$AU,MATCH($C1659,'Production cost'!$AU:$AU,0),3),"")</f>
        <v/>
      </c>
      <c r="G1659" s="3153" t="str">
        <f ca="1">IFERROR(INDEX('Production cost'!$A:$AU,MATCH($C1659,'Production cost'!$AU:$AU,0),9),"")</f>
        <v/>
      </c>
      <c r="H1659" s="3599" t="str">
        <f ca="1">IFERROR(IFERROR(INDEX('Production cost'!$A:$AU,MATCH($C1659,'Production cost'!$AU:$AU,0),11),"")+IFERROR(INDEX('Production cost'!$A:$AU,MATCH($C1659,'Production cost'!$AU:$AU,0),12),""),"")</f>
        <v/>
      </c>
      <c r="I1659" s="3153" t="str">
        <f ca="1">IFERROR(INDEX('Production cost'!$A:$AU,MATCH($C1659,'Production cost'!$AU:$AU,0),28)/'Production cost'!$E$2,"")</f>
        <v/>
      </c>
      <c r="J1659" s="3153" t="str">
        <f ca="1">IFERROR(INDEX('Production cost'!$A:$AU,MATCH($C1659,'Production cost'!$AU:$AU,0),28)/'Production cost'!$E$2,"")</f>
        <v/>
      </c>
    </row>
    <row r="1660" spans="2:10" ht="21.75">
      <c r="B1660" s="3143" t="s">
        <v>3654</v>
      </c>
      <c r="C1660" s="3143">
        <f t="shared" si="29"/>
        <v>315</v>
      </c>
      <c r="D1660" s="3143" t="str">
        <f ca="1">IFERROR(INDEX('Production cost'!$A:$AU,MATCH($C1660,'Production cost'!$AU:$AU,0),6),"")</f>
        <v/>
      </c>
      <c r="E1660" s="3143" t="str">
        <f ca="1">IFERROR(INDEX('Production cost'!$A:$AU,MATCH($C1660,'Production cost'!$AU:$AU,0),3),"")</f>
        <v/>
      </c>
      <c r="G1660" s="3153" t="str">
        <f ca="1">IFERROR(INDEX('Production cost'!$A:$AU,MATCH($C1660,'Production cost'!$AU:$AU,0),9),"")</f>
        <v/>
      </c>
      <c r="H1660" s="3599" t="str">
        <f ca="1">IFERROR(IFERROR(INDEX('Production cost'!$A:$AU,MATCH($C1660,'Production cost'!$AU:$AU,0),11),"")+IFERROR(INDEX('Production cost'!$A:$AU,MATCH($C1660,'Production cost'!$AU:$AU,0),12),""),"")</f>
        <v/>
      </c>
      <c r="I1660" s="3153" t="str">
        <f ca="1">IFERROR(INDEX('Production cost'!$A:$AU,MATCH($C1660,'Production cost'!$AU:$AU,0),28)/'Production cost'!$E$2,"")</f>
        <v/>
      </c>
      <c r="J1660" s="3153" t="str">
        <f ca="1">IFERROR(INDEX('Production cost'!$A:$AU,MATCH($C1660,'Production cost'!$AU:$AU,0),28)/'Production cost'!$E$2,"")</f>
        <v/>
      </c>
    </row>
    <row r="1661" spans="2:10" ht="21.75">
      <c r="B1661" s="3143" t="s">
        <v>3654</v>
      </c>
      <c r="C1661" s="3143">
        <f t="shared" si="29"/>
        <v>316</v>
      </c>
      <c r="D1661" s="3143" t="str">
        <f ca="1">IFERROR(INDEX('Production cost'!$A:$AU,MATCH($C1661,'Production cost'!$AU:$AU,0),6),"")</f>
        <v/>
      </c>
      <c r="E1661" s="3143" t="str">
        <f ca="1">IFERROR(INDEX('Production cost'!$A:$AU,MATCH($C1661,'Production cost'!$AU:$AU,0),3),"")</f>
        <v/>
      </c>
      <c r="G1661" s="3153" t="str">
        <f ca="1">IFERROR(INDEX('Production cost'!$A:$AU,MATCH($C1661,'Production cost'!$AU:$AU,0),9),"")</f>
        <v/>
      </c>
      <c r="H1661" s="3599" t="str">
        <f ca="1">IFERROR(IFERROR(INDEX('Production cost'!$A:$AU,MATCH($C1661,'Production cost'!$AU:$AU,0),11),"")+IFERROR(INDEX('Production cost'!$A:$AU,MATCH($C1661,'Production cost'!$AU:$AU,0),12),""),"")</f>
        <v/>
      </c>
      <c r="I1661" s="3153" t="str">
        <f ca="1">IFERROR(INDEX('Production cost'!$A:$AU,MATCH($C1661,'Production cost'!$AU:$AU,0),28)/'Production cost'!$E$2,"")</f>
        <v/>
      </c>
      <c r="J1661" s="3153" t="str">
        <f ca="1">IFERROR(INDEX('Production cost'!$A:$AU,MATCH($C1661,'Production cost'!$AU:$AU,0),28)/'Production cost'!$E$2,"")</f>
        <v/>
      </c>
    </row>
    <row r="1662" spans="2:10" ht="21.75">
      <c r="B1662" s="3143" t="s">
        <v>3654</v>
      </c>
      <c r="C1662" s="3143">
        <f t="shared" si="29"/>
        <v>317</v>
      </c>
      <c r="D1662" s="3143" t="str">
        <f ca="1">IFERROR(INDEX('Production cost'!$A:$AU,MATCH($C1662,'Production cost'!$AU:$AU,0),6),"")</f>
        <v/>
      </c>
      <c r="E1662" s="3143" t="str">
        <f ca="1">IFERROR(INDEX('Production cost'!$A:$AU,MATCH($C1662,'Production cost'!$AU:$AU,0),3),"")</f>
        <v/>
      </c>
      <c r="G1662" s="3153" t="str">
        <f ca="1">IFERROR(INDEX('Production cost'!$A:$AU,MATCH($C1662,'Production cost'!$AU:$AU,0),9),"")</f>
        <v/>
      </c>
      <c r="H1662" s="3599" t="str">
        <f ca="1">IFERROR(IFERROR(INDEX('Production cost'!$A:$AU,MATCH($C1662,'Production cost'!$AU:$AU,0),11),"")+IFERROR(INDEX('Production cost'!$A:$AU,MATCH($C1662,'Production cost'!$AU:$AU,0),12),""),"")</f>
        <v/>
      </c>
      <c r="I1662" s="3153" t="str">
        <f ca="1">IFERROR(INDEX('Production cost'!$A:$AU,MATCH($C1662,'Production cost'!$AU:$AU,0),28)/'Production cost'!$E$2,"")</f>
        <v/>
      </c>
      <c r="J1662" s="3153" t="str">
        <f ca="1">IFERROR(INDEX('Production cost'!$A:$AU,MATCH($C1662,'Production cost'!$AU:$AU,0),28)/'Production cost'!$E$2,"")</f>
        <v/>
      </c>
    </row>
    <row r="1663" spans="2:10" ht="21.75">
      <c r="B1663" s="3143" t="s">
        <v>3654</v>
      </c>
      <c r="C1663" s="3143">
        <f t="shared" si="29"/>
        <v>318</v>
      </c>
      <c r="D1663" s="3143" t="str">
        <f ca="1">IFERROR(INDEX('Production cost'!$A:$AU,MATCH($C1663,'Production cost'!$AU:$AU,0),6),"")</f>
        <v/>
      </c>
      <c r="E1663" s="3143" t="str">
        <f ca="1">IFERROR(INDEX('Production cost'!$A:$AU,MATCH($C1663,'Production cost'!$AU:$AU,0),3),"")</f>
        <v/>
      </c>
      <c r="G1663" s="3153" t="str">
        <f ca="1">IFERROR(INDEX('Production cost'!$A:$AU,MATCH($C1663,'Production cost'!$AU:$AU,0),9),"")</f>
        <v/>
      </c>
      <c r="H1663" s="3599" t="str">
        <f ca="1">IFERROR(IFERROR(INDEX('Production cost'!$A:$AU,MATCH($C1663,'Production cost'!$AU:$AU,0),11),"")+IFERROR(INDEX('Production cost'!$A:$AU,MATCH($C1663,'Production cost'!$AU:$AU,0),12),""),"")</f>
        <v/>
      </c>
      <c r="I1663" s="3153" t="str">
        <f ca="1">IFERROR(INDEX('Production cost'!$A:$AU,MATCH($C1663,'Production cost'!$AU:$AU,0),28)/'Production cost'!$E$2,"")</f>
        <v/>
      </c>
      <c r="J1663" s="3153" t="str">
        <f ca="1">IFERROR(INDEX('Production cost'!$A:$AU,MATCH($C1663,'Production cost'!$AU:$AU,0),28)/'Production cost'!$E$2,"")</f>
        <v/>
      </c>
    </row>
    <row r="1664" spans="2:10" ht="21.75">
      <c r="B1664" s="3143" t="s">
        <v>3654</v>
      </c>
      <c r="C1664" s="3143">
        <f t="shared" si="29"/>
        <v>319</v>
      </c>
      <c r="D1664" s="3143" t="str">
        <f ca="1">IFERROR(INDEX('Production cost'!$A:$AU,MATCH($C1664,'Production cost'!$AU:$AU,0),6),"")</f>
        <v/>
      </c>
      <c r="E1664" s="3143" t="str">
        <f ca="1">IFERROR(INDEX('Production cost'!$A:$AU,MATCH($C1664,'Production cost'!$AU:$AU,0),3),"")</f>
        <v/>
      </c>
      <c r="G1664" s="3153" t="str">
        <f ca="1">IFERROR(INDEX('Production cost'!$A:$AU,MATCH($C1664,'Production cost'!$AU:$AU,0),9),"")</f>
        <v/>
      </c>
      <c r="H1664" s="3599" t="str">
        <f ca="1">IFERROR(IFERROR(INDEX('Production cost'!$A:$AU,MATCH($C1664,'Production cost'!$AU:$AU,0),11),"")+IFERROR(INDEX('Production cost'!$A:$AU,MATCH($C1664,'Production cost'!$AU:$AU,0),12),""),"")</f>
        <v/>
      </c>
      <c r="I1664" s="3153" t="str">
        <f ca="1">IFERROR(INDEX('Production cost'!$A:$AU,MATCH($C1664,'Production cost'!$AU:$AU,0),28)/'Production cost'!$E$2,"")</f>
        <v/>
      </c>
      <c r="J1664" s="3153" t="str">
        <f ca="1">IFERROR(INDEX('Production cost'!$A:$AU,MATCH($C1664,'Production cost'!$AU:$AU,0),28)/'Production cost'!$E$2,"")</f>
        <v/>
      </c>
    </row>
    <row r="1665" spans="2:10" ht="21.75">
      <c r="B1665" s="3143" t="s">
        <v>3654</v>
      </c>
      <c r="C1665" s="3143">
        <f t="shared" si="29"/>
        <v>320</v>
      </c>
      <c r="D1665" s="3143" t="str">
        <f ca="1">IFERROR(INDEX('Production cost'!$A:$AU,MATCH($C1665,'Production cost'!$AU:$AU,0),6),"")</f>
        <v/>
      </c>
      <c r="E1665" s="3143" t="str">
        <f ca="1">IFERROR(INDEX('Production cost'!$A:$AU,MATCH($C1665,'Production cost'!$AU:$AU,0),3),"")</f>
        <v/>
      </c>
      <c r="G1665" s="3153" t="str">
        <f ca="1">IFERROR(INDEX('Production cost'!$A:$AU,MATCH($C1665,'Production cost'!$AU:$AU,0),9),"")</f>
        <v/>
      </c>
      <c r="H1665" s="3599" t="str">
        <f ca="1">IFERROR(IFERROR(INDEX('Production cost'!$A:$AU,MATCH($C1665,'Production cost'!$AU:$AU,0),11),"")+IFERROR(INDEX('Production cost'!$A:$AU,MATCH($C1665,'Production cost'!$AU:$AU,0),12),""),"")</f>
        <v/>
      </c>
      <c r="I1665" s="3153" t="str">
        <f ca="1">IFERROR(INDEX('Production cost'!$A:$AU,MATCH($C1665,'Production cost'!$AU:$AU,0),28)/'Production cost'!$E$2,"")</f>
        <v/>
      </c>
      <c r="J1665" s="3153" t="str">
        <f ca="1">IFERROR(INDEX('Production cost'!$A:$AU,MATCH($C1665,'Production cost'!$AU:$AU,0),28)/'Production cost'!$E$2,"")</f>
        <v/>
      </c>
    </row>
    <row r="1666" spans="2:10" ht="21.75">
      <c r="B1666" s="3143" t="s">
        <v>3654</v>
      </c>
      <c r="C1666" s="3143">
        <f t="shared" si="29"/>
        <v>321</v>
      </c>
      <c r="D1666" s="3143" t="str">
        <f ca="1">IFERROR(INDEX('Production cost'!$A:$AU,MATCH($C1666,'Production cost'!$AU:$AU,0),6),"")</f>
        <v/>
      </c>
      <c r="E1666" s="3143" t="str">
        <f ca="1">IFERROR(INDEX('Production cost'!$A:$AU,MATCH($C1666,'Production cost'!$AU:$AU,0),3),"")</f>
        <v/>
      </c>
      <c r="G1666" s="3153" t="str">
        <f ca="1">IFERROR(INDEX('Production cost'!$A:$AU,MATCH($C1666,'Production cost'!$AU:$AU,0),9),"")</f>
        <v/>
      </c>
      <c r="H1666" s="3599" t="str">
        <f ca="1">IFERROR(IFERROR(INDEX('Production cost'!$A:$AU,MATCH($C1666,'Production cost'!$AU:$AU,0),11),"")+IFERROR(INDEX('Production cost'!$A:$AU,MATCH($C1666,'Production cost'!$AU:$AU,0),12),""),"")</f>
        <v/>
      </c>
      <c r="I1666" s="3153" t="str">
        <f ca="1">IFERROR(INDEX('Production cost'!$A:$AU,MATCH($C1666,'Production cost'!$AU:$AU,0),28)/'Production cost'!$E$2,"")</f>
        <v/>
      </c>
      <c r="J1666" s="3153" t="str">
        <f ca="1">IFERROR(INDEX('Production cost'!$A:$AU,MATCH($C1666,'Production cost'!$AU:$AU,0),28)/'Production cost'!$E$2,"")</f>
        <v/>
      </c>
    </row>
    <row r="1667" spans="2:10" ht="21.75">
      <c r="B1667" s="3143" t="s">
        <v>3654</v>
      </c>
      <c r="C1667" s="3143">
        <f t="shared" si="29"/>
        <v>322</v>
      </c>
      <c r="D1667" s="3143" t="str">
        <f ca="1">IFERROR(INDEX('Production cost'!$A:$AU,MATCH($C1667,'Production cost'!$AU:$AU,0),6),"")</f>
        <v/>
      </c>
      <c r="E1667" s="3143" t="str">
        <f ca="1">IFERROR(INDEX('Production cost'!$A:$AU,MATCH($C1667,'Production cost'!$AU:$AU,0),3),"")</f>
        <v/>
      </c>
      <c r="G1667" s="3153" t="str">
        <f ca="1">IFERROR(INDEX('Production cost'!$A:$AU,MATCH($C1667,'Production cost'!$AU:$AU,0),9),"")</f>
        <v/>
      </c>
      <c r="H1667" s="3599" t="str">
        <f ca="1">IFERROR(IFERROR(INDEX('Production cost'!$A:$AU,MATCH($C1667,'Production cost'!$AU:$AU,0),11),"")+IFERROR(INDEX('Production cost'!$A:$AU,MATCH($C1667,'Production cost'!$AU:$AU,0),12),""),"")</f>
        <v/>
      </c>
      <c r="I1667" s="3153" t="str">
        <f ca="1">IFERROR(INDEX('Production cost'!$A:$AU,MATCH($C1667,'Production cost'!$AU:$AU,0),28)/'Production cost'!$E$2,"")</f>
        <v/>
      </c>
      <c r="J1667" s="3153" t="str">
        <f ca="1">IFERROR(INDEX('Production cost'!$A:$AU,MATCH($C1667,'Production cost'!$AU:$AU,0),28)/'Production cost'!$E$2,"")</f>
        <v/>
      </c>
    </row>
    <row r="1668" spans="2:10" ht="21.75">
      <c r="B1668" s="3143" t="s">
        <v>3654</v>
      </c>
      <c r="C1668" s="3143">
        <f t="shared" ref="C1668:C1731" si="30">C1667+1</f>
        <v>323</v>
      </c>
      <c r="D1668" s="3143" t="str">
        <f ca="1">IFERROR(INDEX('Production cost'!$A:$AU,MATCH($C1668,'Production cost'!$AU:$AU,0),6),"")</f>
        <v/>
      </c>
      <c r="E1668" s="3143" t="str">
        <f ca="1">IFERROR(INDEX('Production cost'!$A:$AU,MATCH($C1668,'Production cost'!$AU:$AU,0),3),"")</f>
        <v/>
      </c>
      <c r="G1668" s="3153" t="str">
        <f ca="1">IFERROR(INDEX('Production cost'!$A:$AU,MATCH($C1668,'Production cost'!$AU:$AU,0),9),"")</f>
        <v/>
      </c>
      <c r="H1668" s="3599" t="str">
        <f ca="1">IFERROR(IFERROR(INDEX('Production cost'!$A:$AU,MATCH($C1668,'Production cost'!$AU:$AU,0),11),"")+IFERROR(INDEX('Production cost'!$A:$AU,MATCH($C1668,'Production cost'!$AU:$AU,0),12),""),"")</f>
        <v/>
      </c>
      <c r="I1668" s="3153" t="str">
        <f ca="1">IFERROR(INDEX('Production cost'!$A:$AU,MATCH($C1668,'Production cost'!$AU:$AU,0),28)/'Production cost'!$E$2,"")</f>
        <v/>
      </c>
      <c r="J1668" s="3153" t="str">
        <f ca="1">IFERROR(INDEX('Production cost'!$A:$AU,MATCH($C1668,'Production cost'!$AU:$AU,0),28)/'Production cost'!$E$2,"")</f>
        <v/>
      </c>
    </row>
    <row r="1669" spans="2:10" ht="21.75">
      <c r="B1669" s="3143" t="s">
        <v>3654</v>
      </c>
      <c r="C1669" s="3143">
        <f t="shared" si="30"/>
        <v>324</v>
      </c>
      <c r="D1669" s="3143" t="str">
        <f ca="1">IFERROR(INDEX('Production cost'!$A:$AU,MATCH($C1669,'Production cost'!$AU:$AU,0),6),"")</f>
        <v/>
      </c>
      <c r="E1669" s="3143" t="str">
        <f ca="1">IFERROR(INDEX('Production cost'!$A:$AU,MATCH($C1669,'Production cost'!$AU:$AU,0),3),"")</f>
        <v/>
      </c>
      <c r="G1669" s="3153" t="str">
        <f ca="1">IFERROR(INDEX('Production cost'!$A:$AU,MATCH($C1669,'Production cost'!$AU:$AU,0),9),"")</f>
        <v/>
      </c>
      <c r="H1669" s="3599" t="str">
        <f ca="1">IFERROR(IFERROR(INDEX('Production cost'!$A:$AU,MATCH($C1669,'Production cost'!$AU:$AU,0),11),"")+IFERROR(INDEX('Production cost'!$A:$AU,MATCH($C1669,'Production cost'!$AU:$AU,0),12),""),"")</f>
        <v/>
      </c>
      <c r="I1669" s="3153" t="str">
        <f ca="1">IFERROR(INDEX('Production cost'!$A:$AU,MATCH($C1669,'Production cost'!$AU:$AU,0),28)/'Production cost'!$E$2,"")</f>
        <v/>
      </c>
      <c r="J1669" s="3153" t="str">
        <f ca="1">IFERROR(INDEX('Production cost'!$A:$AU,MATCH($C1669,'Production cost'!$AU:$AU,0),28)/'Production cost'!$E$2,"")</f>
        <v/>
      </c>
    </row>
    <row r="1670" spans="2:10" ht="21.75">
      <c r="B1670" s="3143" t="s">
        <v>3654</v>
      </c>
      <c r="C1670" s="3143">
        <f t="shared" si="30"/>
        <v>325</v>
      </c>
      <c r="D1670" s="3143" t="str">
        <f ca="1">IFERROR(INDEX('Production cost'!$A:$AU,MATCH($C1670,'Production cost'!$AU:$AU,0),6),"")</f>
        <v/>
      </c>
      <c r="E1670" s="3143" t="str">
        <f ca="1">IFERROR(INDEX('Production cost'!$A:$AU,MATCH($C1670,'Production cost'!$AU:$AU,0),3),"")</f>
        <v/>
      </c>
      <c r="G1670" s="3153" t="str">
        <f ca="1">IFERROR(INDEX('Production cost'!$A:$AU,MATCH($C1670,'Production cost'!$AU:$AU,0),9),"")</f>
        <v/>
      </c>
      <c r="H1670" s="3599" t="str">
        <f ca="1">IFERROR(IFERROR(INDEX('Production cost'!$A:$AU,MATCH($C1670,'Production cost'!$AU:$AU,0),11),"")+IFERROR(INDEX('Production cost'!$A:$AU,MATCH($C1670,'Production cost'!$AU:$AU,0),12),""),"")</f>
        <v/>
      </c>
      <c r="I1670" s="3153" t="str">
        <f ca="1">IFERROR(INDEX('Production cost'!$A:$AU,MATCH($C1670,'Production cost'!$AU:$AU,0),28)/'Production cost'!$E$2,"")</f>
        <v/>
      </c>
      <c r="J1670" s="3153" t="str">
        <f ca="1">IFERROR(INDEX('Production cost'!$A:$AU,MATCH($C1670,'Production cost'!$AU:$AU,0),28)/'Production cost'!$E$2,"")</f>
        <v/>
      </c>
    </row>
    <row r="1671" spans="2:10" ht="21.75">
      <c r="B1671" s="3143" t="s">
        <v>3654</v>
      </c>
      <c r="C1671" s="3143">
        <f t="shared" si="30"/>
        <v>326</v>
      </c>
      <c r="D1671" s="3143" t="str">
        <f ca="1">IFERROR(INDEX('Production cost'!$A:$AU,MATCH($C1671,'Production cost'!$AU:$AU,0),6),"")</f>
        <v/>
      </c>
      <c r="E1671" s="3143" t="str">
        <f ca="1">IFERROR(INDEX('Production cost'!$A:$AU,MATCH($C1671,'Production cost'!$AU:$AU,0),3),"")</f>
        <v/>
      </c>
      <c r="G1671" s="3153" t="str">
        <f ca="1">IFERROR(INDEX('Production cost'!$A:$AU,MATCH($C1671,'Production cost'!$AU:$AU,0),9),"")</f>
        <v/>
      </c>
      <c r="H1671" s="3599" t="str">
        <f ca="1">IFERROR(IFERROR(INDEX('Production cost'!$A:$AU,MATCH($C1671,'Production cost'!$AU:$AU,0),11),"")+IFERROR(INDEX('Production cost'!$A:$AU,MATCH($C1671,'Production cost'!$AU:$AU,0),12),""),"")</f>
        <v/>
      </c>
      <c r="I1671" s="3153" t="str">
        <f ca="1">IFERROR(INDEX('Production cost'!$A:$AU,MATCH($C1671,'Production cost'!$AU:$AU,0),28)/'Production cost'!$E$2,"")</f>
        <v/>
      </c>
      <c r="J1671" s="3153" t="str">
        <f ca="1">IFERROR(INDEX('Production cost'!$A:$AU,MATCH($C1671,'Production cost'!$AU:$AU,0),28)/'Production cost'!$E$2,"")</f>
        <v/>
      </c>
    </row>
    <row r="1672" spans="2:10" ht="21.75">
      <c r="B1672" s="3143" t="s">
        <v>3654</v>
      </c>
      <c r="C1672" s="3143">
        <f t="shared" si="30"/>
        <v>327</v>
      </c>
      <c r="D1672" s="3143" t="str">
        <f ca="1">IFERROR(INDEX('Production cost'!$A:$AU,MATCH($C1672,'Production cost'!$AU:$AU,0),6),"")</f>
        <v/>
      </c>
      <c r="E1672" s="3143" t="str">
        <f ca="1">IFERROR(INDEX('Production cost'!$A:$AU,MATCH($C1672,'Production cost'!$AU:$AU,0),3),"")</f>
        <v/>
      </c>
      <c r="G1672" s="3153" t="str">
        <f ca="1">IFERROR(INDEX('Production cost'!$A:$AU,MATCH($C1672,'Production cost'!$AU:$AU,0),9),"")</f>
        <v/>
      </c>
      <c r="H1672" s="3599" t="str">
        <f ca="1">IFERROR(IFERROR(INDEX('Production cost'!$A:$AU,MATCH($C1672,'Production cost'!$AU:$AU,0),11),"")+IFERROR(INDEX('Production cost'!$A:$AU,MATCH($C1672,'Production cost'!$AU:$AU,0),12),""),"")</f>
        <v/>
      </c>
      <c r="I1672" s="3153" t="str">
        <f ca="1">IFERROR(INDEX('Production cost'!$A:$AU,MATCH($C1672,'Production cost'!$AU:$AU,0),28)/'Production cost'!$E$2,"")</f>
        <v/>
      </c>
      <c r="J1672" s="3153" t="str">
        <f ca="1">IFERROR(INDEX('Production cost'!$A:$AU,MATCH($C1672,'Production cost'!$AU:$AU,0),28)/'Production cost'!$E$2,"")</f>
        <v/>
      </c>
    </row>
    <row r="1673" spans="2:10" ht="21.75">
      <c r="B1673" s="3143" t="s">
        <v>3654</v>
      </c>
      <c r="C1673" s="3143">
        <f t="shared" si="30"/>
        <v>328</v>
      </c>
      <c r="D1673" s="3143" t="str">
        <f ca="1">IFERROR(INDEX('Production cost'!$A:$AU,MATCH($C1673,'Production cost'!$AU:$AU,0),6),"")</f>
        <v/>
      </c>
      <c r="E1673" s="3143" t="str">
        <f ca="1">IFERROR(INDEX('Production cost'!$A:$AU,MATCH($C1673,'Production cost'!$AU:$AU,0),3),"")</f>
        <v/>
      </c>
      <c r="G1673" s="3153" t="str">
        <f ca="1">IFERROR(INDEX('Production cost'!$A:$AU,MATCH($C1673,'Production cost'!$AU:$AU,0),9),"")</f>
        <v/>
      </c>
      <c r="H1673" s="3599" t="str">
        <f ca="1">IFERROR(IFERROR(INDEX('Production cost'!$A:$AU,MATCH($C1673,'Production cost'!$AU:$AU,0),11),"")+IFERROR(INDEX('Production cost'!$A:$AU,MATCH($C1673,'Production cost'!$AU:$AU,0),12),""),"")</f>
        <v/>
      </c>
      <c r="I1673" s="3153" t="str">
        <f ca="1">IFERROR(INDEX('Production cost'!$A:$AU,MATCH($C1673,'Production cost'!$AU:$AU,0),28)/'Production cost'!$E$2,"")</f>
        <v/>
      </c>
      <c r="J1673" s="3153" t="str">
        <f ca="1">IFERROR(INDEX('Production cost'!$A:$AU,MATCH($C1673,'Production cost'!$AU:$AU,0),28)/'Production cost'!$E$2,"")</f>
        <v/>
      </c>
    </row>
    <row r="1674" spans="2:10" ht="21.75">
      <c r="B1674" s="3143" t="s">
        <v>3654</v>
      </c>
      <c r="C1674" s="3143">
        <f t="shared" si="30"/>
        <v>329</v>
      </c>
      <c r="D1674" s="3143" t="str">
        <f ca="1">IFERROR(INDEX('Production cost'!$A:$AU,MATCH($C1674,'Production cost'!$AU:$AU,0),6),"")</f>
        <v/>
      </c>
      <c r="E1674" s="3143" t="str">
        <f ca="1">IFERROR(INDEX('Production cost'!$A:$AU,MATCH($C1674,'Production cost'!$AU:$AU,0),3),"")</f>
        <v/>
      </c>
      <c r="G1674" s="3153" t="str">
        <f ca="1">IFERROR(INDEX('Production cost'!$A:$AU,MATCH($C1674,'Production cost'!$AU:$AU,0),9),"")</f>
        <v/>
      </c>
      <c r="H1674" s="3599" t="str">
        <f ca="1">IFERROR(IFERROR(INDEX('Production cost'!$A:$AU,MATCH($C1674,'Production cost'!$AU:$AU,0),11),"")+IFERROR(INDEX('Production cost'!$A:$AU,MATCH($C1674,'Production cost'!$AU:$AU,0),12),""),"")</f>
        <v/>
      </c>
      <c r="I1674" s="3153" t="str">
        <f ca="1">IFERROR(INDEX('Production cost'!$A:$AU,MATCH($C1674,'Production cost'!$AU:$AU,0),28)/'Production cost'!$E$2,"")</f>
        <v/>
      </c>
      <c r="J1674" s="3153" t="str">
        <f ca="1">IFERROR(INDEX('Production cost'!$A:$AU,MATCH($C1674,'Production cost'!$AU:$AU,0),28)/'Production cost'!$E$2,"")</f>
        <v/>
      </c>
    </row>
    <row r="1675" spans="2:10" ht="21.75">
      <c r="B1675" s="3143" t="s">
        <v>3654</v>
      </c>
      <c r="C1675" s="3143">
        <f t="shared" si="30"/>
        <v>330</v>
      </c>
      <c r="D1675" s="3143" t="str">
        <f ca="1">IFERROR(INDEX('Production cost'!$A:$AU,MATCH($C1675,'Production cost'!$AU:$AU,0),6),"")</f>
        <v/>
      </c>
      <c r="E1675" s="3143" t="str">
        <f ca="1">IFERROR(INDEX('Production cost'!$A:$AU,MATCH($C1675,'Production cost'!$AU:$AU,0),3),"")</f>
        <v/>
      </c>
      <c r="G1675" s="3153" t="str">
        <f ca="1">IFERROR(INDEX('Production cost'!$A:$AU,MATCH($C1675,'Production cost'!$AU:$AU,0),9),"")</f>
        <v/>
      </c>
      <c r="H1675" s="3599" t="str">
        <f ca="1">IFERROR(IFERROR(INDEX('Production cost'!$A:$AU,MATCH($C1675,'Production cost'!$AU:$AU,0),11),"")+IFERROR(INDEX('Production cost'!$A:$AU,MATCH($C1675,'Production cost'!$AU:$AU,0),12),""),"")</f>
        <v/>
      </c>
      <c r="I1675" s="3153" t="str">
        <f ca="1">IFERROR(INDEX('Production cost'!$A:$AU,MATCH($C1675,'Production cost'!$AU:$AU,0),28)/'Production cost'!$E$2,"")</f>
        <v/>
      </c>
      <c r="J1675" s="3153" t="str">
        <f ca="1">IFERROR(INDEX('Production cost'!$A:$AU,MATCH($C1675,'Production cost'!$AU:$AU,0),28)/'Production cost'!$E$2,"")</f>
        <v/>
      </c>
    </row>
    <row r="1676" spans="2:10" ht="21.75">
      <c r="B1676" s="3143" t="s">
        <v>3654</v>
      </c>
      <c r="C1676" s="3143">
        <f t="shared" si="30"/>
        <v>331</v>
      </c>
      <c r="D1676" s="3143" t="str">
        <f ca="1">IFERROR(INDEX('Production cost'!$A:$AU,MATCH($C1676,'Production cost'!$AU:$AU,0),6),"")</f>
        <v/>
      </c>
      <c r="E1676" s="3143" t="str">
        <f ca="1">IFERROR(INDEX('Production cost'!$A:$AU,MATCH($C1676,'Production cost'!$AU:$AU,0),3),"")</f>
        <v/>
      </c>
      <c r="G1676" s="3153" t="str">
        <f ca="1">IFERROR(INDEX('Production cost'!$A:$AU,MATCH($C1676,'Production cost'!$AU:$AU,0),9),"")</f>
        <v/>
      </c>
      <c r="H1676" s="3599" t="str">
        <f ca="1">IFERROR(IFERROR(INDEX('Production cost'!$A:$AU,MATCH($C1676,'Production cost'!$AU:$AU,0),11),"")+IFERROR(INDEX('Production cost'!$A:$AU,MATCH($C1676,'Production cost'!$AU:$AU,0),12),""),"")</f>
        <v/>
      </c>
      <c r="I1676" s="3153" t="str">
        <f ca="1">IFERROR(INDEX('Production cost'!$A:$AU,MATCH($C1676,'Production cost'!$AU:$AU,0),28)/'Production cost'!$E$2,"")</f>
        <v/>
      </c>
      <c r="J1676" s="3153" t="str">
        <f ca="1">IFERROR(INDEX('Production cost'!$A:$AU,MATCH($C1676,'Production cost'!$AU:$AU,0),28)/'Production cost'!$E$2,"")</f>
        <v/>
      </c>
    </row>
    <row r="1677" spans="2:10" ht="21.75">
      <c r="B1677" s="3143" t="s">
        <v>3654</v>
      </c>
      <c r="C1677" s="3143">
        <f t="shared" si="30"/>
        <v>332</v>
      </c>
      <c r="D1677" s="3143" t="str">
        <f ca="1">IFERROR(INDEX('Production cost'!$A:$AU,MATCH($C1677,'Production cost'!$AU:$AU,0),6),"")</f>
        <v/>
      </c>
      <c r="E1677" s="3143" t="str">
        <f ca="1">IFERROR(INDEX('Production cost'!$A:$AU,MATCH($C1677,'Production cost'!$AU:$AU,0),3),"")</f>
        <v/>
      </c>
      <c r="G1677" s="3153" t="str">
        <f ca="1">IFERROR(INDEX('Production cost'!$A:$AU,MATCH($C1677,'Production cost'!$AU:$AU,0),9),"")</f>
        <v/>
      </c>
      <c r="H1677" s="3599" t="str">
        <f ca="1">IFERROR(IFERROR(INDEX('Production cost'!$A:$AU,MATCH($C1677,'Production cost'!$AU:$AU,0),11),"")+IFERROR(INDEX('Production cost'!$A:$AU,MATCH($C1677,'Production cost'!$AU:$AU,0),12),""),"")</f>
        <v/>
      </c>
      <c r="I1677" s="3153" t="str">
        <f ca="1">IFERROR(INDEX('Production cost'!$A:$AU,MATCH($C1677,'Production cost'!$AU:$AU,0),28)/'Production cost'!$E$2,"")</f>
        <v/>
      </c>
      <c r="J1677" s="3153" t="str">
        <f ca="1">IFERROR(INDEX('Production cost'!$A:$AU,MATCH($C1677,'Production cost'!$AU:$AU,0),28)/'Production cost'!$E$2,"")</f>
        <v/>
      </c>
    </row>
    <row r="1678" spans="2:10" ht="21.75">
      <c r="B1678" s="3143" t="s">
        <v>3654</v>
      </c>
      <c r="C1678" s="3143">
        <f t="shared" si="30"/>
        <v>333</v>
      </c>
      <c r="D1678" s="3143" t="str">
        <f ca="1">IFERROR(INDEX('Production cost'!$A:$AU,MATCH($C1678,'Production cost'!$AU:$AU,0),6),"")</f>
        <v/>
      </c>
      <c r="E1678" s="3143" t="str">
        <f ca="1">IFERROR(INDEX('Production cost'!$A:$AU,MATCH($C1678,'Production cost'!$AU:$AU,0),3),"")</f>
        <v/>
      </c>
      <c r="G1678" s="3153" t="str">
        <f ca="1">IFERROR(INDEX('Production cost'!$A:$AU,MATCH($C1678,'Production cost'!$AU:$AU,0),9),"")</f>
        <v/>
      </c>
      <c r="H1678" s="3599" t="str">
        <f ca="1">IFERROR(IFERROR(INDEX('Production cost'!$A:$AU,MATCH($C1678,'Production cost'!$AU:$AU,0),11),"")+IFERROR(INDEX('Production cost'!$A:$AU,MATCH($C1678,'Production cost'!$AU:$AU,0),12),""),"")</f>
        <v/>
      </c>
      <c r="I1678" s="3153" t="str">
        <f ca="1">IFERROR(INDEX('Production cost'!$A:$AU,MATCH($C1678,'Production cost'!$AU:$AU,0),28)/'Production cost'!$E$2,"")</f>
        <v/>
      </c>
      <c r="J1678" s="3153" t="str">
        <f ca="1">IFERROR(INDEX('Production cost'!$A:$AU,MATCH($C1678,'Production cost'!$AU:$AU,0),28)/'Production cost'!$E$2,"")</f>
        <v/>
      </c>
    </row>
    <row r="1679" spans="2:10" ht="21.75">
      <c r="B1679" s="3143" t="s">
        <v>3654</v>
      </c>
      <c r="C1679" s="3143">
        <f t="shared" si="30"/>
        <v>334</v>
      </c>
      <c r="D1679" s="3143" t="str">
        <f ca="1">IFERROR(INDEX('Production cost'!$A:$AU,MATCH($C1679,'Production cost'!$AU:$AU,0),6),"")</f>
        <v/>
      </c>
      <c r="E1679" s="3143" t="str">
        <f ca="1">IFERROR(INDEX('Production cost'!$A:$AU,MATCH($C1679,'Production cost'!$AU:$AU,0),3),"")</f>
        <v/>
      </c>
      <c r="G1679" s="3153" t="str">
        <f ca="1">IFERROR(INDEX('Production cost'!$A:$AU,MATCH($C1679,'Production cost'!$AU:$AU,0),9),"")</f>
        <v/>
      </c>
      <c r="H1679" s="3599" t="str">
        <f ca="1">IFERROR(IFERROR(INDEX('Production cost'!$A:$AU,MATCH($C1679,'Production cost'!$AU:$AU,0),11),"")+IFERROR(INDEX('Production cost'!$A:$AU,MATCH($C1679,'Production cost'!$AU:$AU,0),12),""),"")</f>
        <v/>
      </c>
      <c r="I1679" s="3153" t="str">
        <f ca="1">IFERROR(INDEX('Production cost'!$A:$AU,MATCH($C1679,'Production cost'!$AU:$AU,0),28)/'Production cost'!$E$2,"")</f>
        <v/>
      </c>
      <c r="J1679" s="3153" t="str">
        <f ca="1">IFERROR(INDEX('Production cost'!$A:$AU,MATCH($C1679,'Production cost'!$AU:$AU,0),28)/'Production cost'!$E$2,"")</f>
        <v/>
      </c>
    </row>
    <row r="1680" spans="2:10" ht="21.75">
      <c r="B1680" s="3143" t="s">
        <v>3654</v>
      </c>
      <c r="C1680" s="3143">
        <f t="shared" si="30"/>
        <v>335</v>
      </c>
      <c r="D1680" s="3143" t="str">
        <f ca="1">IFERROR(INDEX('Production cost'!$A:$AU,MATCH($C1680,'Production cost'!$AU:$AU,0),6),"")</f>
        <v/>
      </c>
      <c r="E1680" s="3143" t="str">
        <f ca="1">IFERROR(INDEX('Production cost'!$A:$AU,MATCH($C1680,'Production cost'!$AU:$AU,0),3),"")</f>
        <v/>
      </c>
      <c r="G1680" s="3153" t="str">
        <f ca="1">IFERROR(INDEX('Production cost'!$A:$AU,MATCH($C1680,'Production cost'!$AU:$AU,0),9),"")</f>
        <v/>
      </c>
      <c r="H1680" s="3599" t="str">
        <f ca="1">IFERROR(IFERROR(INDEX('Production cost'!$A:$AU,MATCH($C1680,'Production cost'!$AU:$AU,0),11),"")+IFERROR(INDEX('Production cost'!$A:$AU,MATCH($C1680,'Production cost'!$AU:$AU,0),12),""),"")</f>
        <v/>
      </c>
      <c r="I1680" s="3153" t="str">
        <f ca="1">IFERROR(INDEX('Production cost'!$A:$AU,MATCH($C1680,'Production cost'!$AU:$AU,0),28)/'Production cost'!$E$2,"")</f>
        <v/>
      </c>
      <c r="J1680" s="3153" t="str">
        <f ca="1">IFERROR(INDEX('Production cost'!$A:$AU,MATCH($C1680,'Production cost'!$AU:$AU,0),28)/'Production cost'!$E$2,"")</f>
        <v/>
      </c>
    </row>
    <row r="1681" spans="2:10" ht="21.75">
      <c r="B1681" s="3143" t="s">
        <v>3654</v>
      </c>
      <c r="C1681" s="3143">
        <f t="shared" si="30"/>
        <v>336</v>
      </c>
      <c r="D1681" s="3143" t="str">
        <f ca="1">IFERROR(INDEX('Production cost'!$A:$AU,MATCH($C1681,'Production cost'!$AU:$AU,0),6),"")</f>
        <v/>
      </c>
      <c r="E1681" s="3143" t="str">
        <f ca="1">IFERROR(INDEX('Production cost'!$A:$AU,MATCH($C1681,'Production cost'!$AU:$AU,0),3),"")</f>
        <v/>
      </c>
      <c r="G1681" s="3153" t="str">
        <f ca="1">IFERROR(INDEX('Production cost'!$A:$AU,MATCH($C1681,'Production cost'!$AU:$AU,0),9),"")</f>
        <v/>
      </c>
      <c r="H1681" s="3599" t="str">
        <f ca="1">IFERROR(IFERROR(INDEX('Production cost'!$A:$AU,MATCH($C1681,'Production cost'!$AU:$AU,0),11),"")+IFERROR(INDEX('Production cost'!$A:$AU,MATCH($C1681,'Production cost'!$AU:$AU,0),12),""),"")</f>
        <v/>
      </c>
      <c r="I1681" s="3153" t="str">
        <f ca="1">IFERROR(INDEX('Production cost'!$A:$AU,MATCH($C1681,'Production cost'!$AU:$AU,0),28)/'Production cost'!$E$2,"")</f>
        <v/>
      </c>
      <c r="J1681" s="3153" t="str">
        <f ca="1">IFERROR(INDEX('Production cost'!$A:$AU,MATCH($C1681,'Production cost'!$AU:$AU,0),28)/'Production cost'!$E$2,"")</f>
        <v/>
      </c>
    </row>
    <row r="1682" spans="2:10" ht="21.75">
      <c r="B1682" s="3143" t="s">
        <v>3654</v>
      </c>
      <c r="C1682" s="3143">
        <f t="shared" si="30"/>
        <v>337</v>
      </c>
      <c r="D1682" s="3143" t="str">
        <f ca="1">IFERROR(INDEX('Production cost'!$A:$AU,MATCH($C1682,'Production cost'!$AU:$AU,0),6),"")</f>
        <v/>
      </c>
      <c r="E1682" s="3143" t="str">
        <f ca="1">IFERROR(INDEX('Production cost'!$A:$AU,MATCH($C1682,'Production cost'!$AU:$AU,0),3),"")</f>
        <v/>
      </c>
      <c r="G1682" s="3153" t="str">
        <f ca="1">IFERROR(INDEX('Production cost'!$A:$AU,MATCH($C1682,'Production cost'!$AU:$AU,0),9),"")</f>
        <v/>
      </c>
      <c r="H1682" s="3599" t="str">
        <f ca="1">IFERROR(IFERROR(INDEX('Production cost'!$A:$AU,MATCH($C1682,'Production cost'!$AU:$AU,0),11),"")+IFERROR(INDEX('Production cost'!$A:$AU,MATCH($C1682,'Production cost'!$AU:$AU,0),12),""),"")</f>
        <v/>
      </c>
      <c r="I1682" s="3153" t="str">
        <f ca="1">IFERROR(INDEX('Production cost'!$A:$AU,MATCH($C1682,'Production cost'!$AU:$AU,0),28)/'Production cost'!$E$2,"")</f>
        <v/>
      </c>
      <c r="J1682" s="3153" t="str">
        <f ca="1">IFERROR(INDEX('Production cost'!$A:$AU,MATCH($C1682,'Production cost'!$AU:$AU,0),28)/'Production cost'!$E$2,"")</f>
        <v/>
      </c>
    </row>
    <row r="1683" spans="2:10" ht="21.75">
      <c r="B1683" s="3143" t="s">
        <v>3654</v>
      </c>
      <c r="C1683" s="3143">
        <f t="shared" si="30"/>
        <v>338</v>
      </c>
      <c r="D1683" s="3143" t="str">
        <f ca="1">IFERROR(INDEX('Production cost'!$A:$AU,MATCH($C1683,'Production cost'!$AU:$AU,0),6),"")</f>
        <v/>
      </c>
      <c r="E1683" s="3143" t="str">
        <f ca="1">IFERROR(INDEX('Production cost'!$A:$AU,MATCH($C1683,'Production cost'!$AU:$AU,0),3),"")</f>
        <v/>
      </c>
      <c r="G1683" s="3153" t="str">
        <f ca="1">IFERROR(INDEX('Production cost'!$A:$AU,MATCH($C1683,'Production cost'!$AU:$AU,0),9),"")</f>
        <v/>
      </c>
      <c r="H1683" s="3599" t="str">
        <f ca="1">IFERROR(IFERROR(INDEX('Production cost'!$A:$AU,MATCH($C1683,'Production cost'!$AU:$AU,0),11),"")+IFERROR(INDEX('Production cost'!$A:$AU,MATCH($C1683,'Production cost'!$AU:$AU,0),12),""),"")</f>
        <v/>
      </c>
      <c r="I1683" s="3153" t="str">
        <f ca="1">IFERROR(INDEX('Production cost'!$A:$AU,MATCH($C1683,'Production cost'!$AU:$AU,0),28)/'Production cost'!$E$2,"")</f>
        <v/>
      </c>
      <c r="J1683" s="3153" t="str">
        <f ca="1">IFERROR(INDEX('Production cost'!$A:$AU,MATCH($C1683,'Production cost'!$AU:$AU,0),28)/'Production cost'!$E$2,"")</f>
        <v/>
      </c>
    </row>
    <row r="1684" spans="2:10" ht="21.75">
      <c r="B1684" s="3143" t="s">
        <v>3654</v>
      </c>
      <c r="C1684" s="3143">
        <f t="shared" si="30"/>
        <v>339</v>
      </c>
      <c r="D1684" s="3143" t="str">
        <f ca="1">IFERROR(INDEX('Production cost'!$A:$AU,MATCH($C1684,'Production cost'!$AU:$AU,0),6),"")</f>
        <v/>
      </c>
      <c r="E1684" s="3143" t="str">
        <f ca="1">IFERROR(INDEX('Production cost'!$A:$AU,MATCH($C1684,'Production cost'!$AU:$AU,0),3),"")</f>
        <v/>
      </c>
      <c r="G1684" s="3153" t="str">
        <f ca="1">IFERROR(INDEX('Production cost'!$A:$AU,MATCH($C1684,'Production cost'!$AU:$AU,0),9),"")</f>
        <v/>
      </c>
      <c r="H1684" s="3599" t="str">
        <f ca="1">IFERROR(IFERROR(INDEX('Production cost'!$A:$AU,MATCH($C1684,'Production cost'!$AU:$AU,0),11),"")+IFERROR(INDEX('Production cost'!$A:$AU,MATCH($C1684,'Production cost'!$AU:$AU,0),12),""),"")</f>
        <v/>
      </c>
      <c r="I1684" s="3153" t="str">
        <f ca="1">IFERROR(INDEX('Production cost'!$A:$AU,MATCH($C1684,'Production cost'!$AU:$AU,0),28)/'Production cost'!$E$2,"")</f>
        <v/>
      </c>
      <c r="J1684" s="3153" t="str">
        <f ca="1">IFERROR(INDEX('Production cost'!$A:$AU,MATCH($C1684,'Production cost'!$AU:$AU,0),28)/'Production cost'!$E$2,"")</f>
        <v/>
      </c>
    </row>
    <row r="1685" spans="2:10" ht="21.75">
      <c r="B1685" s="3143" t="s">
        <v>3654</v>
      </c>
      <c r="C1685" s="3143">
        <f t="shared" si="30"/>
        <v>340</v>
      </c>
      <c r="D1685" s="3143" t="str">
        <f ca="1">IFERROR(INDEX('Production cost'!$A:$AU,MATCH($C1685,'Production cost'!$AU:$AU,0),6),"")</f>
        <v/>
      </c>
      <c r="E1685" s="3143" t="str">
        <f ca="1">IFERROR(INDEX('Production cost'!$A:$AU,MATCH($C1685,'Production cost'!$AU:$AU,0),3),"")</f>
        <v/>
      </c>
      <c r="G1685" s="3153" t="str">
        <f ca="1">IFERROR(INDEX('Production cost'!$A:$AU,MATCH($C1685,'Production cost'!$AU:$AU,0),9),"")</f>
        <v/>
      </c>
      <c r="H1685" s="3599" t="str">
        <f ca="1">IFERROR(IFERROR(INDEX('Production cost'!$A:$AU,MATCH($C1685,'Production cost'!$AU:$AU,0),11),"")+IFERROR(INDEX('Production cost'!$A:$AU,MATCH($C1685,'Production cost'!$AU:$AU,0),12),""),"")</f>
        <v/>
      </c>
      <c r="I1685" s="3153" t="str">
        <f ca="1">IFERROR(INDEX('Production cost'!$A:$AU,MATCH($C1685,'Production cost'!$AU:$AU,0),28)/'Production cost'!$E$2,"")</f>
        <v/>
      </c>
      <c r="J1685" s="3153" t="str">
        <f ca="1">IFERROR(INDEX('Production cost'!$A:$AU,MATCH($C1685,'Production cost'!$AU:$AU,0),28)/'Production cost'!$E$2,"")</f>
        <v/>
      </c>
    </row>
    <row r="1686" spans="2:10" ht="21.75">
      <c r="B1686" s="3143" t="s">
        <v>3654</v>
      </c>
      <c r="C1686" s="3143">
        <f t="shared" si="30"/>
        <v>341</v>
      </c>
      <c r="D1686" s="3143" t="str">
        <f ca="1">IFERROR(INDEX('Production cost'!$A:$AU,MATCH($C1686,'Production cost'!$AU:$AU,0),6),"")</f>
        <v/>
      </c>
      <c r="E1686" s="3143" t="str">
        <f ca="1">IFERROR(INDEX('Production cost'!$A:$AU,MATCH($C1686,'Production cost'!$AU:$AU,0),3),"")</f>
        <v/>
      </c>
      <c r="G1686" s="3153" t="str">
        <f ca="1">IFERROR(INDEX('Production cost'!$A:$AU,MATCH($C1686,'Production cost'!$AU:$AU,0),9),"")</f>
        <v/>
      </c>
      <c r="H1686" s="3599" t="str">
        <f ca="1">IFERROR(IFERROR(INDEX('Production cost'!$A:$AU,MATCH($C1686,'Production cost'!$AU:$AU,0),11),"")+IFERROR(INDEX('Production cost'!$A:$AU,MATCH($C1686,'Production cost'!$AU:$AU,0),12),""),"")</f>
        <v/>
      </c>
      <c r="I1686" s="3153" t="str">
        <f ca="1">IFERROR(INDEX('Production cost'!$A:$AU,MATCH($C1686,'Production cost'!$AU:$AU,0),28)/'Production cost'!$E$2,"")</f>
        <v/>
      </c>
      <c r="J1686" s="3153" t="str">
        <f ca="1">IFERROR(INDEX('Production cost'!$A:$AU,MATCH($C1686,'Production cost'!$AU:$AU,0),28)/'Production cost'!$E$2,"")</f>
        <v/>
      </c>
    </row>
    <row r="1687" spans="2:10" ht="21.75">
      <c r="B1687" s="3143" t="s">
        <v>3654</v>
      </c>
      <c r="C1687" s="3143">
        <f t="shared" si="30"/>
        <v>342</v>
      </c>
      <c r="D1687" s="3143" t="str">
        <f ca="1">IFERROR(INDEX('Production cost'!$A:$AU,MATCH($C1687,'Production cost'!$AU:$AU,0),6),"")</f>
        <v/>
      </c>
      <c r="E1687" s="3143" t="str">
        <f ca="1">IFERROR(INDEX('Production cost'!$A:$AU,MATCH($C1687,'Production cost'!$AU:$AU,0),3),"")</f>
        <v/>
      </c>
      <c r="G1687" s="3153" t="str">
        <f ca="1">IFERROR(INDEX('Production cost'!$A:$AU,MATCH($C1687,'Production cost'!$AU:$AU,0),9),"")</f>
        <v/>
      </c>
      <c r="H1687" s="3599" t="str">
        <f ca="1">IFERROR(IFERROR(INDEX('Production cost'!$A:$AU,MATCH($C1687,'Production cost'!$AU:$AU,0),11),"")+IFERROR(INDEX('Production cost'!$A:$AU,MATCH($C1687,'Production cost'!$AU:$AU,0),12),""),"")</f>
        <v/>
      </c>
      <c r="I1687" s="3153" t="str">
        <f ca="1">IFERROR(INDEX('Production cost'!$A:$AU,MATCH($C1687,'Production cost'!$AU:$AU,0),28)/'Production cost'!$E$2,"")</f>
        <v/>
      </c>
      <c r="J1687" s="3153" t="str">
        <f ca="1">IFERROR(INDEX('Production cost'!$A:$AU,MATCH($C1687,'Production cost'!$AU:$AU,0),28)/'Production cost'!$E$2,"")</f>
        <v/>
      </c>
    </row>
    <row r="1688" spans="2:10" ht="21.75">
      <c r="B1688" s="3143" t="s">
        <v>3654</v>
      </c>
      <c r="C1688" s="3143">
        <f t="shared" si="30"/>
        <v>343</v>
      </c>
      <c r="D1688" s="3143" t="str">
        <f ca="1">IFERROR(INDEX('Production cost'!$A:$AU,MATCH($C1688,'Production cost'!$AU:$AU,0),6),"")</f>
        <v/>
      </c>
      <c r="E1688" s="3143" t="str">
        <f ca="1">IFERROR(INDEX('Production cost'!$A:$AU,MATCH($C1688,'Production cost'!$AU:$AU,0),3),"")</f>
        <v/>
      </c>
      <c r="G1688" s="3153" t="str">
        <f ca="1">IFERROR(INDEX('Production cost'!$A:$AU,MATCH($C1688,'Production cost'!$AU:$AU,0),9),"")</f>
        <v/>
      </c>
      <c r="H1688" s="3599" t="str">
        <f ca="1">IFERROR(IFERROR(INDEX('Production cost'!$A:$AU,MATCH($C1688,'Production cost'!$AU:$AU,0),11),"")+IFERROR(INDEX('Production cost'!$A:$AU,MATCH($C1688,'Production cost'!$AU:$AU,0),12),""),"")</f>
        <v/>
      </c>
      <c r="I1688" s="3153" t="str">
        <f ca="1">IFERROR(INDEX('Production cost'!$A:$AU,MATCH($C1688,'Production cost'!$AU:$AU,0),28)/'Production cost'!$E$2,"")</f>
        <v/>
      </c>
      <c r="J1688" s="3153" t="str">
        <f ca="1">IFERROR(INDEX('Production cost'!$A:$AU,MATCH($C1688,'Production cost'!$AU:$AU,0),28)/'Production cost'!$E$2,"")</f>
        <v/>
      </c>
    </row>
    <row r="1689" spans="2:10" ht="21.75">
      <c r="B1689" s="3143" t="s">
        <v>3654</v>
      </c>
      <c r="C1689" s="3143">
        <f t="shared" si="30"/>
        <v>344</v>
      </c>
      <c r="D1689" s="3143" t="str">
        <f ca="1">IFERROR(INDEX('Production cost'!$A:$AU,MATCH($C1689,'Production cost'!$AU:$AU,0),6),"")</f>
        <v/>
      </c>
      <c r="E1689" s="3143" t="str">
        <f ca="1">IFERROR(INDEX('Production cost'!$A:$AU,MATCH($C1689,'Production cost'!$AU:$AU,0),3),"")</f>
        <v/>
      </c>
      <c r="G1689" s="3153" t="str">
        <f ca="1">IFERROR(INDEX('Production cost'!$A:$AU,MATCH($C1689,'Production cost'!$AU:$AU,0),9),"")</f>
        <v/>
      </c>
      <c r="H1689" s="3599" t="str">
        <f ca="1">IFERROR(IFERROR(INDEX('Production cost'!$A:$AU,MATCH($C1689,'Production cost'!$AU:$AU,0),11),"")+IFERROR(INDEX('Production cost'!$A:$AU,MATCH($C1689,'Production cost'!$AU:$AU,0),12),""),"")</f>
        <v/>
      </c>
      <c r="I1689" s="3153" t="str">
        <f ca="1">IFERROR(INDEX('Production cost'!$A:$AU,MATCH($C1689,'Production cost'!$AU:$AU,0),28)/'Production cost'!$E$2,"")</f>
        <v/>
      </c>
      <c r="J1689" s="3153" t="str">
        <f ca="1">IFERROR(INDEX('Production cost'!$A:$AU,MATCH($C1689,'Production cost'!$AU:$AU,0),28)/'Production cost'!$E$2,"")</f>
        <v/>
      </c>
    </row>
    <row r="1690" spans="2:10" ht="21.75">
      <c r="B1690" s="3143" t="s">
        <v>3654</v>
      </c>
      <c r="C1690" s="3143">
        <f t="shared" si="30"/>
        <v>345</v>
      </c>
      <c r="D1690" s="3143" t="str">
        <f ca="1">IFERROR(INDEX('Production cost'!$A:$AU,MATCH($C1690,'Production cost'!$AU:$AU,0),6),"")</f>
        <v/>
      </c>
      <c r="E1690" s="3143" t="str">
        <f ca="1">IFERROR(INDEX('Production cost'!$A:$AU,MATCH($C1690,'Production cost'!$AU:$AU,0),3),"")</f>
        <v/>
      </c>
      <c r="G1690" s="3153" t="str">
        <f ca="1">IFERROR(INDEX('Production cost'!$A:$AU,MATCH($C1690,'Production cost'!$AU:$AU,0),9),"")</f>
        <v/>
      </c>
      <c r="H1690" s="3599" t="str">
        <f ca="1">IFERROR(IFERROR(INDEX('Production cost'!$A:$AU,MATCH($C1690,'Production cost'!$AU:$AU,0),11),"")+IFERROR(INDEX('Production cost'!$A:$AU,MATCH($C1690,'Production cost'!$AU:$AU,0),12),""),"")</f>
        <v/>
      </c>
      <c r="I1690" s="3153" t="str">
        <f ca="1">IFERROR(INDEX('Production cost'!$A:$AU,MATCH($C1690,'Production cost'!$AU:$AU,0),28)/'Production cost'!$E$2,"")</f>
        <v/>
      </c>
      <c r="J1690" s="3153" t="str">
        <f ca="1">IFERROR(INDEX('Production cost'!$A:$AU,MATCH($C1690,'Production cost'!$AU:$AU,0),28)/'Production cost'!$E$2,"")</f>
        <v/>
      </c>
    </row>
    <row r="1691" spans="2:10" ht="21.75">
      <c r="B1691" s="3143" t="s">
        <v>3654</v>
      </c>
      <c r="C1691" s="3143">
        <f t="shared" si="30"/>
        <v>346</v>
      </c>
      <c r="D1691" s="3143" t="str">
        <f ca="1">IFERROR(INDEX('Production cost'!$A:$AU,MATCH($C1691,'Production cost'!$AU:$AU,0),6),"")</f>
        <v/>
      </c>
      <c r="E1691" s="3143" t="str">
        <f ca="1">IFERROR(INDEX('Production cost'!$A:$AU,MATCH($C1691,'Production cost'!$AU:$AU,0),3),"")</f>
        <v/>
      </c>
      <c r="G1691" s="3153" t="str">
        <f ca="1">IFERROR(INDEX('Production cost'!$A:$AU,MATCH($C1691,'Production cost'!$AU:$AU,0),9),"")</f>
        <v/>
      </c>
      <c r="H1691" s="3599" t="str">
        <f ca="1">IFERROR(IFERROR(INDEX('Production cost'!$A:$AU,MATCH($C1691,'Production cost'!$AU:$AU,0),11),"")+IFERROR(INDEX('Production cost'!$A:$AU,MATCH($C1691,'Production cost'!$AU:$AU,0),12),""),"")</f>
        <v/>
      </c>
      <c r="I1691" s="3153" t="str">
        <f ca="1">IFERROR(INDEX('Production cost'!$A:$AU,MATCH($C1691,'Production cost'!$AU:$AU,0),28)/'Production cost'!$E$2,"")</f>
        <v/>
      </c>
      <c r="J1691" s="3153" t="str">
        <f ca="1">IFERROR(INDEX('Production cost'!$A:$AU,MATCH($C1691,'Production cost'!$AU:$AU,0),28)/'Production cost'!$E$2,"")</f>
        <v/>
      </c>
    </row>
    <row r="1692" spans="2:10" ht="21.75">
      <c r="B1692" s="3143" t="s">
        <v>3654</v>
      </c>
      <c r="C1692" s="3143">
        <f t="shared" si="30"/>
        <v>347</v>
      </c>
      <c r="D1692" s="3143" t="str">
        <f ca="1">IFERROR(INDEX('Production cost'!$A:$AU,MATCH($C1692,'Production cost'!$AU:$AU,0),6),"")</f>
        <v/>
      </c>
      <c r="E1692" s="3143" t="str">
        <f ca="1">IFERROR(INDEX('Production cost'!$A:$AU,MATCH($C1692,'Production cost'!$AU:$AU,0),3),"")</f>
        <v/>
      </c>
      <c r="G1692" s="3153" t="str">
        <f ca="1">IFERROR(INDEX('Production cost'!$A:$AU,MATCH($C1692,'Production cost'!$AU:$AU,0),9),"")</f>
        <v/>
      </c>
      <c r="H1692" s="3599" t="str">
        <f ca="1">IFERROR(IFERROR(INDEX('Production cost'!$A:$AU,MATCH($C1692,'Production cost'!$AU:$AU,0),11),"")+IFERROR(INDEX('Production cost'!$A:$AU,MATCH($C1692,'Production cost'!$AU:$AU,0),12),""),"")</f>
        <v/>
      </c>
      <c r="I1692" s="3153" t="str">
        <f ca="1">IFERROR(INDEX('Production cost'!$A:$AU,MATCH($C1692,'Production cost'!$AU:$AU,0),28)/'Production cost'!$E$2,"")</f>
        <v/>
      </c>
      <c r="J1692" s="3153" t="str">
        <f ca="1">IFERROR(INDEX('Production cost'!$A:$AU,MATCH($C1692,'Production cost'!$AU:$AU,0),28)/'Production cost'!$E$2,"")</f>
        <v/>
      </c>
    </row>
    <row r="1693" spans="2:10" ht="21.75">
      <c r="B1693" s="3143" t="s">
        <v>3654</v>
      </c>
      <c r="C1693" s="3143">
        <f t="shared" si="30"/>
        <v>348</v>
      </c>
      <c r="D1693" s="3143" t="str">
        <f ca="1">IFERROR(INDEX('Production cost'!$A:$AU,MATCH($C1693,'Production cost'!$AU:$AU,0),6),"")</f>
        <v/>
      </c>
      <c r="E1693" s="3143" t="str">
        <f ca="1">IFERROR(INDEX('Production cost'!$A:$AU,MATCH($C1693,'Production cost'!$AU:$AU,0),3),"")</f>
        <v/>
      </c>
      <c r="G1693" s="3153" t="str">
        <f ca="1">IFERROR(INDEX('Production cost'!$A:$AU,MATCH($C1693,'Production cost'!$AU:$AU,0),9),"")</f>
        <v/>
      </c>
      <c r="H1693" s="3599" t="str">
        <f ca="1">IFERROR(IFERROR(INDEX('Production cost'!$A:$AU,MATCH($C1693,'Production cost'!$AU:$AU,0),11),"")+IFERROR(INDEX('Production cost'!$A:$AU,MATCH($C1693,'Production cost'!$AU:$AU,0),12),""),"")</f>
        <v/>
      </c>
      <c r="I1693" s="3153" t="str">
        <f ca="1">IFERROR(INDEX('Production cost'!$A:$AU,MATCH($C1693,'Production cost'!$AU:$AU,0),28)/'Production cost'!$E$2,"")</f>
        <v/>
      </c>
      <c r="J1693" s="3153" t="str">
        <f ca="1">IFERROR(INDEX('Production cost'!$A:$AU,MATCH($C1693,'Production cost'!$AU:$AU,0),28)/'Production cost'!$E$2,"")</f>
        <v/>
      </c>
    </row>
    <row r="1694" spans="2:10" ht="21.75">
      <c r="B1694" s="3143" t="s">
        <v>3654</v>
      </c>
      <c r="C1694" s="3143">
        <f t="shared" si="30"/>
        <v>349</v>
      </c>
      <c r="D1694" s="3143" t="str">
        <f ca="1">IFERROR(INDEX('Production cost'!$A:$AU,MATCH($C1694,'Production cost'!$AU:$AU,0),6),"")</f>
        <v/>
      </c>
      <c r="E1694" s="3143" t="str">
        <f ca="1">IFERROR(INDEX('Production cost'!$A:$AU,MATCH($C1694,'Production cost'!$AU:$AU,0),3),"")</f>
        <v/>
      </c>
      <c r="G1694" s="3153" t="str">
        <f ca="1">IFERROR(INDEX('Production cost'!$A:$AU,MATCH($C1694,'Production cost'!$AU:$AU,0),9),"")</f>
        <v/>
      </c>
      <c r="H1694" s="3599" t="str">
        <f ca="1">IFERROR(IFERROR(INDEX('Production cost'!$A:$AU,MATCH($C1694,'Production cost'!$AU:$AU,0),11),"")+IFERROR(INDEX('Production cost'!$A:$AU,MATCH($C1694,'Production cost'!$AU:$AU,0),12),""),"")</f>
        <v/>
      </c>
      <c r="I1694" s="3153" t="str">
        <f ca="1">IFERROR(INDEX('Production cost'!$A:$AU,MATCH($C1694,'Production cost'!$AU:$AU,0),28)/'Production cost'!$E$2,"")</f>
        <v/>
      </c>
      <c r="J1694" s="3153" t="str">
        <f ca="1">IFERROR(INDEX('Production cost'!$A:$AU,MATCH($C1694,'Production cost'!$AU:$AU,0),28)/'Production cost'!$E$2,"")</f>
        <v/>
      </c>
    </row>
    <row r="1695" spans="2:10" ht="21.75">
      <c r="B1695" s="3143" t="s">
        <v>3654</v>
      </c>
      <c r="C1695" s="3143">
        <f t="shared" si="30"/>
        <v>350</v>
      </c>
      <c r="D1695" s="3143" t="str">
        <f ca="1">IFERROR(INDEX('Production cost'!$A:$AU,MATCH($C1695,'Production cost'!$AU:$AU,0),6),"")</f>
        <v/>
      </c>
      <c r="E1695" s="3143" t="str">
        <f ca="1">IFERROR(INDEX('Production cost'!$A:$AU,MATCH($C1695,'Production cost'!$AU:$AU,0),3),"")</f>
        <v/>
      </c>
      <c r="G1695" s="3153" t="str">
        <f ca="1">IFERROR(INDEX('Production cost'!$A:$AU,MATCH($C1695,'Production cost'!$AU:$AU,0),9),"")</f>
        <v/>
      </c>
      <c r="H1695" s="3599" t="str">
        <f ca="1">IFERROR(IFERROR(INDEX('Production cost'!$A:$AU,MATCH($C1695,'Production cost'!$AU:$AU,0),11),"")+IFERROR(INDEX('Production cost'!$A:$AU,MATCH($C1695,'Production cost'!$AU:$AU,0),12),""),"")</f>
        <v/>
      </c>
      <c r="I1695" s="3153" t="str">
        <f ca="1">IFERROR(INDEX('Production cost'!$A:$AU,MATCH($C1695,'Production cost'!$AU:$AU,0),28)/'Production cost'!$E$2,"")</f>
        <v/>
      </c>
      <c r="J1695" s="3153" t="str">
        <f ca="1">IFERROR(INDEX('Production cost'!$A:$AU,MATCH($C1695,'Production cost'!$AU:$AU,0),28)/'Production cost'!$E$2,"")</f>
        <v/>
      </c>
    </row>
    <row r="1696" spans="2:10" ht="21.75">
      <c r="B1696" s="3143" t="s">
        <v>3654</v>
      </c>
      <c r="C1696" s="3143">
        <f t="shared" si="30"/>
        <v>351</v>
      </c>
      <c r="D1696" s="3143" t="str">
        <f ca="1">IFERROR(INDEX('Production cost'!$A:$AU,MATCH($C1696,'Production cost'!$AU:$AU,0),6),"")</f>
        <v/>
      </c>
      <c r="E1696" s="3143" t="str">
        <f ca="1">IFERROR(INDEX('Production cost'!$A:$AU,MATCH($C1696,'Production cost'!$AU:$AU,0),3),"")</f>
        <v/>
      </c>
      <c r="G1696" s="3153" t="str">
        <f ca="1">IFERROR(INDEX('Production cost'!$A:$AU,MATCH($C1696,'Production cost'!$AU:$AU,0),9),"")</f>
        <v/>
      </c>
      <c r="H1696" s="3599" t="str">
        <f ca="1">IFERROR(IFERROR(INDEX('Production cost'!$A:$AU,MATCH($C1696,'Production cost'!$AU:$AU,0),11),"")+IFERROR(INDEX('Production cost'!$A:$AU,MATCH($C1696,'Production cost'!$AU:$AU,0),12),""),"")</f>
        <v/>
      </c>
      <c r="I1696" s="3153" t="str">
        <f ca="1">IFERROR(INDEX('Production cost'!$A:$AU,MATCH($C1696,'Production cost'!$AU:$AU,0),28)/'Production cost'!$E$2,"")</f>
        <v/>
      </c>
      <c r="J1696" s="3153" t="str">
        <f ca="1">IFERROR(INDEX('Production cost'!$A:$AU,MATCH($C1696,'Production cost'!$AU:$AU,0),28)/'Production cost'!$E$2,"")</f>
        <v/>
      </c>
    </row>
    <row r="1697" spans="2:10" ht="21.75">
      <c r="B1697" s="3143" t="s">
        <v>3654</v>
      </c>
      <c r="C1697" s="3143">
        <f t="shared" si="30"/>
        <v>352</v>
      </c>
      <c r="D1697" s="3143" t="str">
        <f ca="1">IFERROR(INDEX('Production cost'!$A:$AU,MATCH($C1697,'Production cost'!$AU:$AU,0),6),"")</f>
        <v/>
      </c>
      <c r="E1697" s="3143" t="str">
        <f ca="1">IFERROR(INDEX('Production cost'!$A:$AU,MATCH($C1697,'Production cost'!$AU:$AU,0),3),"")</f>
        <v/>
      </c>
      <c r="G1697" s="3153" t="str">
        <f ca="1">IFERROR(INDEX('Production cost'!$A:$AU,MATCH($C1697,'Production cost'!$AU:$AU,0),9),"")</f>
        <v/>
      </c>
      <c r="H1697" s="3599" t="str">
        <f ca="1">IFERROR(IFERROR(INDEX('Production cost'!$A:$AU,MATCH($C1697,'Production cost'!$AU:$AU,0),11),"")+IFERROR(INDEX('Production cost'!$A:$AU,MATCH($C1697,'Production cost'!$AU:$AU,0),12),""),"")</f>
        <v/>
      </c>
      <c r="I1697" s="3153" t="str">
        <f ca="1">IFERROR(INDEX('Production cost'!$A:$AU,MATCH($C1697,'Production cost'!$AU:$AU,0),28)/'Production cost'!$E$2,"")</f>
        <v/>
      </c>
      <c r="J1697" s="3153" t="str">
        <f ca="1">IFERROR(INDEX('Production cost'!$A:$AU,MATCH($C1697,'Production cost'!$AU:$AU,0),28)/'Production cost'!$E$2,"")</f>
        <v/>
      </c>
    </row>
    <row r="1698" spans="2:10" ht="21.75">
      <c r="B1698" s="3143" t="s">
        <v>3654</v>
      </c>
      <c r="C1698" s="3143">
        <f t="shared" si="30"/>
        <v>353</v>
      </c>
      <c r="D1698" s="3143" t="str">
        <f ca="1">IFERROR(INDEX('Production cost'!$A:$AU,MATCH($C1698,'Production cost'!$AU:$AU,0),6),"")</f>
        <v/>
      </c>
      <c r="E1698" s="3143" t="str">
        <f ca="1">IFERROR(INDEX('Production cost'!$A:$AU,MATCH($C1698,'Production cost'!$AU:$AU,0),3),"")</f>
        <v/>
      </c>
      <c r="G1698" s="3153" t="str">
        <f ca="1">IFERROR(INDEX('Production cost'!$A:$AU,MATCH($C1698,'Production cost'!$AU:$AU,0),9),"")</f>
        <v/>
      </c>
      <c r="H1698" s="3599" t="str">
        <f ca="1">IFERROR(IFERROR(INDEX('Production cost'!$A:$AU,MATCH($C1698,'Production cost'!$AU:$AU,0),11),"")+IFERROR(INDEX('Production cost'!$A:$AU,MATCH($C1698,'Production cost'!$AU:$AU,0),12),""),"")</f>
        <v/>
      </c>
      <c r="I1698" s="3153" t="str">
        <f ca="1">IFERROR(INDEX('Production cost'!$A:$AU,MATCH($C1698,'Production cost'!$AU:$AU,0),28)/'Production cost'!$E$2,"")</f>
        <v/>
      </c>
      <c r="J1698" s="3153" t="str">
        <f ca="1">IFERROR(INDEX('Production cost'!$A:$AU,MATCH($C1698,'Production cost'!$AU:$AU,0),28)/'Production cost'!$E$2,"")</f>
        <v/>
      </c>
    </row>
    <row r="1699" spans="2:10" ht="21.75">
      <c r="B1699" s="3143" t="s">
        <v>3654</v>
      </c>
      <c r="C1699" s="3143">
        <f t="shared" si="30"/>
        <v>354</v>
      </c>
      <c r="D1699" s="3143" t="str">
        <f ca="1">IFERROR(INDEX('Production cost'!$A:$AU,MATCH($C1699,'Production cost'!$AU:$AU,0),6),"")</f>
        <v/>
      </c>
      <c r="E1699" s="3143" t="str">
        <f ca="1">IFERROR(INDEX('Production cost'!$A:$AU,MATCH($C1699,'Production cost'!$AU:$AU,0),3),"")</f>
        <v/>
      </c>
      <c r="G1699" s="3153" t="str">
        <f ca="1">IFERROR(INDEX('Production cost'!$A:$AU,MATCH($C1699,'Production cost'!$AU:$AU,0),9),"")</f>
        <v/>
      </c>
      <c r="H1699" s="3599" t="str">
        <f ca="1">IFERROR(IFERROR(INDEX('Production cost'!$A:$AU,MATCH($C1699,'Production cost'!$AU:$AU,0),11),"")+IFERROR(INDEX('Production cost'!$A:$AU,MATCH($C1699,'Production cost'!$AU:$AU,0),12),""),"")</f>
        <v/>
      </c>
      <c r="I1699" s="3153" t="str">
        <f ca="1">IFERROR(INDEX('Production cost'!$A:$AU,MATCH($C1699,'Production cost'!$AU:$AU,0),28)/'Production cost'!$E$2,"")</f>
        <v/>
      </c>
      <c r="J1699" s="3153" t="str">
        <f ca="1">IFERROR(INDEX('Production cost'!$A:$AU,MATCH($C1699,'Production cost'!$AU:$AU,0),28)/'Production cost'!$E$2,"")</f>
        <v/>
      </c>
    </row>
    <row r="1700" spans="2:10" ht="21.75">
      <c r="B1700" s="3143" t="s">
        <v>3654</v>
      </c>
      <c r="C1700" s="3143">
        <f t="shared" si="30"/>
        <v>355</v>
      </c>
      <c r="D1700" s="3143" t="str">
        <f ca="1">IFERROR(INDEX('Production cost'!$A:$AU,MATCH($C1700,'Production cost'!$AU:$AU,0),6),"")</f>
        <v/>
      </c>
      <c r="E1700" s="3143" t="str">
        <f ca="1">IFERROR(INDEX('Production cost'!$A:$AU,MATCH($C1700,'Production cost'!$AU:$AU,0),3),"")</f>
        <v/>
      </c>
      <c r="G1700" s="3153" t="str">
        <f ca="1">IFERROR(INDEX('Production cost'!$A:$AU,MATCH($C1700,'Production cost'!$AU:$AU,0),9),"")</f>
        <v/>
      </c>
      <c r="H1700" s="3599" t="str">
        <f ca="1">IFERROR(IFERROR(INDEX('Production cost'!$A:$AU,MATCH($C1700,'Production cost'!$AU:$AU,0),11),"")+IFERROR(INDEX('Production cost'!$A:$AU,MATCH($C1700,'Production cost'!$AU:$AU,0),12),""),"")</f>
        <v/>
      </c>
      <c r="I1700" s="3153" t="str">
        <f ca="1">IFERROR(INDEX('Production cost'!$A:$AU,MATCH($C1700,'Production cost'!$AU:$AU,0),28)/'Production cost'!$E$2,"")</f>
        <v/>
      </c>
      <c r="J1700" s="3153" t="str">
        <f ca="1">IFERROR(INDEX('Production cost'!$A:$AU,MATCH($C1700,'Production cost'!$AU:$AU,0),28)/'Production cost'!$E$2,"")</f>
        <v/>
      </c>
    </row>
    <row r="1701" spans="2:10" ht="21.75">
      <c r="B1701" s="3143" t="s">
        <v>3654</v>
      </c>
      <c r="C1701" s="3143">
        <f t="shared" si="30"/>
        <v>356</v>
      </c>
      <c r="D1701" s="3143" t="str">
        <f ca="1">IFERROR(INDEX('Production cost'!$A:$AU,MATCH($C1701,'Production cost'!$AU:$AU,0),6),"")</f>
        <v/>
      </c>
      <c r="E1701" s="3143" t="str">
        <f ca="1">IFERROR(INDEX('Production cost'!$A:$AU,MATCH($C1701,'Production cost'!$AU:$AU,0),3),"")</f>
        <v/>
      </c>
      <c r="G1701" s="3153" t="str">
        <f ca="1">IFERROR(INDEX('Production cost'!$A:$AU,MATCH($C1701,'Production cost'!$AU:$AU,0),9),"")</f>
        <v/>
      </c>
      <c r="H1701" s="3599" t="str">
        <f ca="1">IFERROR(IFERROR(INDEX('Production cost'!$A:$AU,MATCH($C1701,'Production cost'!$AU:$AU,0),11),"")+IFERROR(INDEX('Production cost'!$A:$AU,MATCH($C1701,'Production cost'!$AU:$AU,0),12),""),"")</f>
        <v/>
      </c>
      <c r="I1701" s="3153" t="str">
        <f ca="1">IFERROR(INDEX('Production cost'!$A:$AU,MATCH($C1701,'Production cost'!$AU:$AU,0),28)/'Production cost'!$E$2,"")</f>
        <v/>
      </c>
      <c r="J1701" s="3153" t="str">
        <f ca="1">IFERROR(INDEX('Production cost'!$A:$AU,MATCH($C1701,'Production cost'!$AU:$AU,0),28)/'Production cost'!$E$2,"")</f>
        <v/>
      </c>
    </row>
    <row r="1702" spans="2:10" ht="21.75">
      <c r="B1702" s="3143" t="s">
        <v>3654</v>
      </c>
      <c r="C1702" s="3143">
        <f t="shared" si="30"/>
        <v>357</v>
      </c>
      <c r="D1702" s="3143" t="str">
        <f ca="1">IFERROR(INDEX('Production cost'!$A:$AU,MATCH($C1702,'Production cost'!$AU:$AU,0),6),"")</f>
        <v/>
      </c>
      <c r="E1702" s="3143" t="str">
        <f ca="1">IFERROR(INDEX('Production cost'!$A:$AU,MATCH($C1702,'Production cost'!$AU:$AU,0),3),"")</f>
        <v/>
      </c>
      <c r="G1702" s="3153" t="str">
        <f ca="1">IFERROR(INDEX('Production cost'!$A:$AU,MATCH($C1702,'Production cost'!$AU:$AU,0),9),"")</f>
        <v/>
      </c>
      <c r="H1702" s="3599" t="str">
        <f ca="1">IFERROR(IFERROR(INDEX('Production cost'!$A:$AU,MATCH($C1702,'Production cost'!$AU:$AU,0),11),"")+IFERROR(INDEX('Production cost'!$A:$AU,MATCH($C1702,'Production cost'!$AU:$AU,0),12),""),"")</f>
        <v/>
      </c>
      <c r="I1702" s="3153" t="str">
        <f ca="1">IFERROR(INDEX('Production cost'!$A:$AU,MATCH($C1702,'Production cost'!$AU:$AU,0),28)/'Production cost'!$E$2,"")</f>
        <v/>
      </c>
      <c r="J1702" s="3153" t="str">
        <f ca="1">IFERROR(INDEX('Production cost'!$A:$AU,MATCH($C1702,'Production cost'!$AU:$AU,0),28)/'Production cost'!$E$2,"")</f>
        <v/>
      </c>
    </row>
    <row r="1703" spans="2:10" ht="21.75">
      <c r="B1703" s="3143" t="s">
        <v>3654</v>
      </c>
      <c r="C1703" s="3143">
        <f t="shared" si="30"/>
        <v>358</v>
      </c>
      <c r="D1703" s="3143" t="str">
        <f ca="1">IFERROR(INDEX('Production cost'!$A:$AU,MATCH($C1703,'Production cost'!$AU:$AU,0),6),"")</f>
        <v/>
      </c>
      <c r="E1703" s="3143" t="str">
        <f ca="1">IFERROR(INDEX('Production cost'!$A:$AU,MATCH($C1703,'Production cost'!$AU:$AU,0),3),"")</f>
        <v/>
      </c>
      <c r="G1703" s="3153" t="str">
        <f ca="1">IFERROR(INDEX('Production cost'!$A:$AU,MATCH($C1703,'Production cost'!$AU:$AU,0),9),"")</f>
        <v/>
      </c>
      <c r="H1703" s="3599" t="str">
        <f ca="1">IFERROR(IFERROR(INDEX('Production cost'!$A:$AU,MATCH($C1703,'Production cost'!$AU:$AU,0),11),"")+IFERROR(INDEX('Production cost'!$A:$AU,MATCH($C1703,'Production cost'!$AU:$AU,0),12),""),"")</f>
        <v/>
      </c>
      <c r="I1703" s="3153" t="str">
        <f ca="1">IFERROR(INDEX('Production cost'!$A:$AU,MATCH($C1703,'Production cost'!$AU:$AU,0),28)/'Production cost'!$E$2,"")</f>
        <v/>
      </c>
      <c r="J1703" s="3153" t="str">
        <f ca="1">IFERROR(INDEX('Production cost'!$A:$AU,MATCH($C1703,'Production cost'!$AU:$AU,0),28)/'Production cost'!$E$2,"")</f>
        <v/>
      </c>
    </row>
    <row r="1704" spans="2:10" ht="21.75">
      <c r="B1704" s="3143" t="s">
        <v>3654</v>
      </c>
      <c r="C1704" s="3143">
        <f t="shared" si="30"/>
        <v>359</v>
      </c>
      <c r="D1704" s="3143" t="str">
        <f ca="1">IFERROR(INDEX('Production cost'!$A:$AU,MATCH($C1704,'Production cost'!$AU:$AU,0),6),"")</f>
        <v/>
      </c>
      <c r="E1704" s="3143" t="str">
        <f ca="1">IFERROR(INDEX('Production cost'!$A:$AU,MATCH($C1704,'Production cost'!$AU:$AU,0),3),"")</f>
        <v/>
      </c>
      <c r="G1704" s="3153" t="str">
        <f ca="1">IFERROR(INDEX('Production cost'!$A:$AU,MATCH($C1704,'Production cost'!$AU:$AU,0),9),"")</f>
        <v/>
      </c>
      <c r="H1704" s="3599" t="str">
        <f ca="1">IFERROR(IFERROR(INDEX('Production cost'!$A:$AU,MATCH($C1704,'Production cost'!$AU:$AU,0),11),"")+IFERROR(INDEX('Production cost'!$A:$AU,MATCH($C1704,'Production cost'!$AU:$AU,0),12),""),"")</f>
        <v/>
      </c>
      <c r="I1704" s="3153" t="str">
        <f ca="1">IFERROR(INDEX('Production cost'!$A:$AU,MATCH($C1704,'Production cost'!$AU:$AU,0),28)/'Production cost'!$E$2,"")</f>
        <v/>
      </c>
      <c r="J1704" s="3153" t="str">
        <f ca="1">IFERROR(INDEX('Production cost'!$A:$AU,MATCH($C1704,'Production cost'!$AU:$AU,0),28)/'Production cost'!$E$2,"")</f>
        <v/>
      </c>
    </row>
    <row r="1705" spans="2:10" ht="21.75">
      <c r="B1705" s="3143" t="s">
        <v>3654</v>
      </c>
      <c r="C1705" s="3143">
        <f t="shared" si="30"/>
        <v>360</v>
      </c>
      <c r="D1705" s="3143" t="str">
        <f ca="1">IFERROR(INDEX('Production cost'!$A:$AU,MATCH($C1705,'Production cost'!$AU:$AU,0),6),"")</f>
        <v/>
      </c>
      <c r="E1705" s="3143" t="str">
        <f ca="1">IFERROR(INDEX('Production cost'!$A:$AU,MATCH($C1705,'Production cost'!$AU:$AU,0),3),"")</f>
        <v/>
      </c>
      <c r="G1705" s="3153" t="str">
        <f ca="1">IFERROR(INDEX('Production cost'!$A:$AU,MATCH($C1705,'Production cost'!$AU:$AU,0),9),"")</f>
        <v/>
      </c>
      <c r="H1705" s="3599" t="str">
        <f ca="1">IFERROR(IFERROR(INDEX('Production cost'!$A:$AU,MATCH($C1705,'Production cost'!$AU:$AU,0),11),"")+IFERROR(INDEX('Production cost'!$A:$AU,MATCH($C1705,'Production cost'!$AU:$AU,0),12),""),"")</f>
        <v/>
      </c>
      <c r="I1705" s="3153" t="str">
        <f ca="1">IFERROR(INDEX('Production cost'!$A:$AU,MATCH($C1705,'Production cost'!$AU:$AU,0),28)/'Production cost'!$E$2,"")</f>
        <v/>
      </c>
      <c r="J1705" s="3153" t="str">
        <f ca="1">IFERROR(INDEX('Production cost'!$A:$AU,MATCH($C1705,'Production cost'!$AU:$AU,0),28)/'Production cost'!$E$2,"")</f>
        <v/>
      </c>
    </row>
    <row r="1706" spans="2:10" ht="21.75">
      <c r="B1706" s="3143" t="s">
        <v>3654</v>
      </c>
      <c r="C1706" s="3143">
        <f t="shared" si="30"/>
        <v>361</v>
      </c>
      <c r="D1706" s="3143" t="str">
        <f ca="1">IFERROR(INDEX('Production cost'!$A:$AU,MATCH($C1706,'Production cost'!$AU:$AU,0),6),"")</f>
        <v/>
      </c>
      <c r="E1706" s="3143" t="str">
        <f ca="1">IFERROR(INDEX('Production cost'!$A:$AU,MATCH($C1706,'Production cost'!$AU:$AU,0),3),"")</f>
        <v/>
      </c>
      <c r="G1706" s="3153" t="str">
        <f ca="1">IFERROR(INDEX('Production cost'!$A:$AU,MATCH($C1706,'Production cost'!$AU:$AU,0),9),"")</f>
        <v/>
      </c>
      <c r="H1706" s="3599" t="str">
        <f ca="1">IFERROR(IFERROR(INDEX('Production cost'!$A:$AU,MATCH($C1706,'Production cost'!$AU:$AU,0),11),"")+IFERROR(INDEX('Production cost'!$A:$AU,MATCH($C1706,'Production cost'!$AU:$AU,0),12),""),"")</f>
        <v/>
      </c>
      <c r="I1706" s="3153" t="str">
        <f ca="1">IFERROR(INDEX('Production cost'!$A:$AU,MATCH($C1706,'Production cost'!$AU:$AU,0),28)/'Production cost'!$E$2,"")</f>
        <v/>
      </c>
      <c r="J1706" s="3153" t="str">
        <f ca="1">IFERROR(INDEX('Production cost'!$A:$AU,MATCH($C1706,'Production cost'!$AU:$AU,0),28)/'Production cost'!$E$2,"")</f>
        <v/>
      </c>
    </row>
    <row r="1707" spans="2:10" ht="21.75">
      <c r="B1707" s="3143" t="s">
        <v>3654</v>
      </c>
      <c r="C1707" s="3143">
        <f t="shared" si="30"/>
        <v>362</v>
      </c>
      <c r="D1707" s="3143" t="str">
        <f ca="1">IFERROR(INDEX('Production cost'!$A:$AU,MATCH($C1707,'Production cost'!$AU:$AU,0),6),"")</f>
        <v/>
      </c>
      <c r="E1707" s="3143" t="str">
        <f ca="1">IFERROR(INDEX('Production cost'!$A:$AU,MATCH($C1707,'Production cost'!$AU:$AU,0),3),"")</f>
        <v/>
      </c>
      <c r="G1707" s="3153" t="str">
        <f ca="1">IFERROR(INDEX('Production cost'!$A:$AU,MATCH($C1707,'Production cost'!$AU:$AU,0),9),"")</f>
        <v/>
      </c>
      <c r="H1707" s="3599" t="str">
        <f ca="1">IFERROR(IFERROR(INDEX('Production cost'!$A:$AU,MATCH($C1707,'Production cost'!$AU:$AU,0),11),"")+IFERROR(INDEX('Production cost'!$A:$AU,MATCH($C1707,'Production cost'!$AU:$AU,0),12),""),"")</f>
        <v/>
      </c>
      <c r="I1707" s="3153" t="str">
        <f ca="1">IFERROR(INDEX('Production cost'!$A:$AU,MATCH($C1707,'Production cost'!$AU:$AU,0),28)/'Production cost'!$E$2,"")</f>
        <v/>
      </c>
      <c r="J1707" s="3153" t="str">
        <f ca="1">IFERROR(INDEX('Production cost'!$A:$AU,MATCH($C1707,'Production cost'!$AU:$AU,0),28)/'Production cost'!$E$2,"")</f>
        <v/>
      </c>
    </row>
    <row r="1708" spans="2:10" ht="21.75">
      <c r="B1708" s="3143" t="s">
        <v>3654</v>
      </c>
      <c r="C1708" s="3143">
        <f t="shared" si="30"/>
        <v>363</v>
      </c>
      <c r="D1708" s="3143" t="str">
        <f ca="1">IFERROR(INDEX('Production cost'!$A:$AU,MATCH($C1708,'Production cost'!$AU:$AU,0),6),"")</f>
        <v/>
      </c>
      <c r="E1708" s="3143" t="str">
        <f ca="1">IFERROR(INDEX('Production cost'!$A:$AU,MATCH($C1708,'Production cost'!$AU:$AU,0),3),"")</f>
        <v/>
      </c>
      <c r="G1708" s="3153" t="str">
        <f ca="1">IFERROR(INDEX('Production cost'!$A:$AU,MATCH($C1708,'Production cost'!$AU:$AU,0),9),"")</f>
        <v/>
      </c>
      <c r="H1708" s="3599" t="str">
        <f ca="1">IFERROR(IFERROR(INDEX('Production cost'!$A:$AU,MATCH($C1708,'Production cost'!$AU:$AU,0),11),"")+IFERROR(INDEX('Production cost'!$A:$AU,MATCH($C1708,'Production cost'!$AU:$AU,0),12),""),"")</f>
        <v/>
      </c>
      <c r="I1708" s="3153" t="str">
        <f ca="1">IFERROR(INDEX('Production cost'!$A:$AU,MATCH($C1708,'Production cost'!$AU:$AU,0),28)/'Production cost'!$E$2,"")</f>
        <v/>
      </c>
      <c r="J1708" s="3153" t="str">
        <f ca="1">IFERROR(INDEX('Production cost'!$A:$AU,MATCH($C1708,'Production cost'!$AU:$AU,0),28)/'Production cost'!$E$2,"")</f>
        <v/>
      </c>
    </row>
    <row r="1709" spans="2:10" ht="21.75">
      <c r="B1709" s="3143" t="s">
        <v>3654</v>
      </c>
      <c r="C1709" s="3143">
        <f t="shared" si="30"/>
        <v>364</v>
      </c>
      <c r="D1709" s="3143" t="str">
        <f ca="1">IFERROR(INDEX('Production cost'!$A:$AU,MATCH($C1709,'Production cost'!$AU:$AU,0),6),"")</f>
        <v/>
      </c>
      <c r="E1709" s="3143" t="str">
        <f ca="1">IFERROR(INDEX('Production cost'!$A:$AU,MATCH($C1709,'Production cost'!$AU:$AU,0),3),"")</f>
        <v/>
      </c>
      <c r="G1709" s="3153" t="str">
        <f ca="1">IFERROR(INDEX('Production cost'!$A:$AU,MATCH($C1709,'Production cost'!$AU:$AU,0),9),"")</f>
        <v/>
      </c>
      <c r="H1709" s="3599" t="str">
        <f ca="1">IFERROR(IFERROR(INDEX('Production cost'!$A:$AU,MATCH($C1709,'Production cost'!$AU:$AU,0),11),"")+IFERROR(INDEX('Production cost'!$A:$AU,MATCH($C1709,'Production cost'!$AU:$AU,0),12),""),"")</f>
        <v/>
      </c>
      <c r="I1709" s="3153" t="str">
        <f ca="1">IFERROR(INDEX('Production cost'!$A:$AU,MATCH($C1709,'Production cost'!$AU:$AU,0),28)/'Production cost'!$E$2,"")</f>
        <v/>
      </c>
      <c r="J1709" s="3153" t="str">
        <f ca="1">IFERROR(INDEX('Production cost'!$A:$AU,MATCH($C1709,'Production cost'!$AU:$AU,0),28)/'Production cost'!$E$2,"")</f>
        <v/>
      </c>
    </row>
    <row r="1710" spans="2:10" ht="21.75">
      <c r="B1710" s="3143" t="s">
        <v>3654</v>
      </c>
      <c r="C1710" s="3143">
        <f t="shared" si="30"/>
        <v>365</v>
      </c>
      <c r="D1710" s="3143" t="str">
        <f ca="1">IFERROR(INDEX('Production cost'!$A:$AU,MATCH($C1710,'Production cost'!$AU:$AU,0),6),"")</f>
        <v/>
      </c>
      <c r="E1710" s="3143" t="str">
        <f ca="1">IFERROR(INDEX('Production cost'!$A:$AU,MATCH($C1710,'Production cost'!$AU:$AU,0),3),"")</f>
        <v/>
      </c>
      <c r="G1710" s="3153" t="str">
        <f ca="1">IFERROR(INDEX('Production cost'!$A:$AU,MATCH($C1710,'Production cost'!$AU:$AU,0),9),"")</f>
        <v/>
      </c>
      <c r="H1710" s="3599" t="str">
        <f ca="1">IFERROR(IFERROR(INDEX('Production cost'!$A:$AU,MATCH($C1710,'Production cost'!$AU:$AU,0),11),"")+IFERROR(INDEX('Production cost'!$A:$AU,MATCH($C1710,'Production cost'!$AU:$AU,0),12),""),"")</f>
        <v/>
      </c>
      <c r="I1710" s="3153" t="str">
        <f ca="1">IFERROR(INDEX('Production cost'!$A:$AU,MATCH($C1710,'Production cost'!$AU:$AU,0),28)/'Production cost'!$E$2,"")</f>
        <v/>
      </c>
      <c r="J1710" s="3153" t="str">
        <f ca="1">IFERROR(INDEX('Production cost'!$A:$AU,MATCH($C1710,'Production cost'!$AU:$AU,0),28)/'Production cost'!$E$2,"")</f>
        <v/>
      </c>
    </row>
    <row r="1711" spans="2:10" ht="21.75">
      <c r="B1711" s="3143" t="s">
        <v>3654</v>
      </c>
      <c r="C1711" s="3143">
        <f t="shared" si="30"/>
        <v>366</v>
      </c>
      <c r="D1711" s="3143" t="str">
        <f ca="1">IFERROR(INDEX('Production cost'!$A:$AU,MATCH($C1711,'Production cost'!$AU:$AU,0),6),"")</f>
        <v/>
      </c>
      <c r="E1711" s="3143" t="str">
        <f ca="1">IFERROR(INDEX('Production cost'!$A:$AU,MATCH($C1711,'Production cost'!$AU:$AU,0),3),"")</f>
        <v/>
      </c>
      <c r="G1711" s="3153" t="str">
        <f ca="1">IFERROR(INDEX('Production cost'!$A:$AU,MATCH($C1711,'Production cost'!$AU:$AU,0),9),"")</f>
        <v/>
      </c>
      <c r="H1711" s="3599" t="str">
        <f ca="1">IFERROR(IFERROR(INDEX('Production cost'!$A:$AU,MATCH($C1711,'Production cost'!$AU:$AU,0),11),"")+IFERROR(INDEX('Production cost'!$A:$AU,MATCH($C1711,'Production cost'!$AU:$AU,0),12),""),"")</f>
        <v/>
      </c>
      <c r="I1711" s="3153" t="str">
        <f ca="1">IFERROR(INDEX('Production cost'!$A:$AU,MATCH($C1711,'Production cost'!$AU:$AU,0),28)/'Production cost'!$E$2,"")</f>
        <v/>
      </c>
      <c r="J1711" s="3153" t="str">
        <f ca="1">IFERROR(INDEX('Production cost'!$A:$AU,MATCH($C1711,'Production cost'!$AU:$AU,0),28)/'Production cost'!$E$2,"")</f>
        <v/>
      </c>
    </row>
    <row r="1712" spans="2:10" ht="21.75">
      <c r="B1712" s="3143" t="s">
        <v>3654</v>
      </c>
      <c r="C1712" s="3143">
        <f t="shared" si="30"/>
        <v>367</v>
      </c>
      <c r="D1712" s="3143" t="str">
        <f ca="1">IFERROR(INDEX('Production cost'!$A:$AU,MATCH($C1712,'Production cost'!$AU:$AU,0),6),"")</f>
        <v/>
      </c>
      <c r="E1712" s="3143" t="str">
        <f ca="1">IFERROR(INDEX('Production cost'!$A:$AU,MATCH($C1712,'Production cost'!$AU:$AU,0),3),"")</f>
        <v/>
      </c>
      <c r="G1712" s="3153" t="str">
        <f ca="1">IFERROR(INDEX('Production cost'!$A:$AU,MATCH($C1712,'Production cost'!$AU:$AU,0),9),"")</f>
        <v/>
      </c>
      <c r="H1712" s="3599" t="str">
        <f ca="1">IFERROR(IFERROR(INDEX('Production cost'!$A:$AU,MATCH($C1712,'Production cost'!$AU:$AU,0),11),"")+IFERROR(INDEX('Production cost'!$A:$AU,MATCH($C1712,'Production cost'!$AU:$AU,0),12),""),"")</f>
        <v/>
      </c>
      <c r="I1712" s="3153" t="str">
        <f ca="1">IFERROR(INDEX('Production cost'!$A:$AU,MATCH($C1712,'Production cost'!$AU:$AU,0),28)/'Production cost'!$E$2,"")</f>
        <v/>
      </c>
      <c r="J1712" s="3153" t="str">
        <f ca="1">IFERROR(INDEX('Production cost'!$A:$AU,MATCH($C1712,'Production cost'!$AU:$AU,0),28)/'Production cost'!$E$2,"")</f>
        <v/>
      </c>
    </row>
    <row r="1713" spans="2:10" ht="21.75">
      <c r="B1713" s="3143" t="s">
        <v>3654</v>
      </c>
      <c r="C1713" s="3143">
        <f t="shared" si="30"/>
        <v>368</v>
      </c>
      <c r="D1713" s="3143" t="str">
        <f ca="1">IFERROR(INDEX('Production cost'!$A:$AU,MATCH($C1713,'Production cost'!$AU:$AU,0),6),"")</f>
        <v/>
      </c>
      <c r="E1713" s="3143" t="str">
        <f ca="1">IFERROR(INDEX('Production cost'!$A:$AU,MATCH($C1713,'Production cost'!$AU:$AU,0),3),"")</f>
        <v/>
      </c>
      <c r="G1713" s="3153" t="str">
        <f ca="1">IFERROR(INDEX('Production cost'!$A:$AU,MATCH($C1713,'Production cost'!$AU:$AU,0),9),"")</f>
        <v/>
      </c>
      <c r="H1713" s="3599" t="str">
        <f ca="1">IFERROR(IFERROR(INDEX('Production cost'!$A:$AU,MATCH($C1713,'Production cost'!$AU:$AU,0),11),"")+IFERROR(INDEX('Production cost'!$A:$AU,MATCH($C1713,'Production cost'!$AU:$AU,0),12),""),"")</f>
        <v/>
      </c>
      <c r="I1713" s="3153" t="str">
        <f ca="1">IFERROR(INDEX('Production cost'!$A:$AU,MATCH($C1713,'Production cost'!$AU:$AU,0),28)/'Production cost'!$E$2,"")</f>
        <v/>
      </c>
      <c r="J1713" s="3153" t="str">
        <f ca="1">IFERROR(INDEX('Production cost'!$A:$AU,MATCH($C1713,'Production cost'!$AU:$AU,0),28)/'Production cost'!$E$2,"")</f>
        <v/>
      </c>
    </row>
    <row r="1714" spans="2:10" ht="21.75">
      <c r="B1714" s="3143" t="s">
        <v>3654</v>
      </c>
      <c r="C1714" s="3143">
        <f t="shared" si="30"/>
        <v>369</v>
      </c>
      <c r="D1714" s="3143" t="str">
        <f ca="1">IFERROR(INDEX('Production cost'!$A:$AU,MATCH($C1714,'Production cost'!$AU:$AU,0),6),"")</f>
        <v/>
      </c>
      <c r="E1714" s="3143" t="str">
        <f ca="1">IFERROR(INDEX('Production cost'!$A:$AU,MATCH($C1714,'Production cost'!$AU:$AU,0),3),"")</f>
        <v/>
      </c>
      <c r="G1714" s="3153" t="str">
        <f ca="1">IFERROR(INDEX('Production cost'!$A:$AU,MATCH($C1714,'Production cost'!$AU:$AU,0),9),"")</f>
        <v/>
      </c>
      <c r="H1714" s="3599" t="str">
        <f ca="1">IFERROR(IFERROR(INDEX('Production cost'!$A:$AU,MATCH($C1714,'Production cost'!$AU:$AU,0),11),"")+IFERROR(INDEX('Production cost'!$A:$AU,MATCH($C1714,'Production cost'!$AU:$AU,0),12),""),"")</f>
        <v/>
      </c>
      <c r="I1714" s="3153" t="str">
        <f ca="1">IFERROR(INDEX('Production cost'!$A:$AU,MATCH($C1714,'Production cost'!$AU:$AU,0),28)/'Production cost'!$E$2,"")</f>
        <v/>
      </c>
      <c r="J1714" s="3153" t="str">
        <f ca="1">IFERROR(INDEX('Production cost'!$A:$AU,MATCH($C1714,'Production cost'!$AU:$AU,0),28)/'Production cost'!$E$2,"")</f>
        <v/>
      </c>
    </row>
    <row r="1715" spans="2:10" ht="21.75">
      <c r="B1715" s="3143" t="s">
        <v>3654</v>
      </c>
      <c r="C1715" s="3143">
        <f t="shared" si="30"/>
        <v>370</v>
      </c>
      <c r="D1715" s="3143" t="str">
        <f ca="1">IFERROR(INDEX('Production cost'!$A:$AU,MATCH($C1715,'Production cost'!$AU:$AU,0),6),"")</f>
        <v/>
      </c>
      <c r="E1715" s="3143" t="str">
        <f ca="1">IFERROR(INDEX('Production cost'!$A:$AU,MATCH($C1715,'Production cost'!$AU:$AU,0),3),"")</f>
        <v/>
      </c>
      <c r="G1715" s="3153" t="str">
        <f ca="1">IFERROR(INDEX('Production cost'!$A:$AU,MATCH($C1715,'Production cost'!$AU:$AU,0),9),"")</f>
        <v/>
      </c>
      <c r="H1715" s="3599" t="str">
        <f ca="1">IFERROR(IFERROR(INDEX('Production cost'!$A:$AU,MATCH($C1715,'Production cost'!$AU:$AU,0),11),"")+IFERROR(INDEX('Production cost'!$A:$AU,MATCH($C1715,'Production cost'!$AU:$AU,0),12),""),"")</f>
        <v/>
      </c>
      <c r="I1715" s="3153" t="str">
        <f ca="1">IFERROR(INDEX('Production cost'!$A:$AU,MATCH($C1715,'Production cost'!$AU:$AU,0),28)/'Production cost'!$E$2,"")</f>
        <v/>
      </c>
      <c r="J1715" s="3153" t="str">
        <f ca="1">IFERROR(INDEX('Production cost'!$A:$AU,MATCH($C1715,'Production cost'!$AU:$AU,0),28)/'Production cost'!$E$2,"")</f>
        <v/>
      </c>
    </row>
    <row r="1716" spans="2:10" ht="21.75">
      <c r="B1716" s="3143" t="s">
        <v>3654</v>
      </c>
      <c r="C1716" s="3143">
        <f t="shared" si="30"/>
        <v>371</v>
      </c>
      <c r="D1716" s="3143" t="str">
        <f ca="1">IFERROR(INDEX('Production cost'!$A:$AU,MATCH($C1716,'Production cost'!$AU:$AU,0),6),"")</f>
        <v/>
      </c>
      <c r="E1716" s="3143" t="str">
        <f ca="1">IFERROR(INDEX('Production cost'!$A:$AU,MATCH($C1716,'Production cost'!$AU:$AU,0),3),"")</f>
        <v/>
      </c>
      <c r="G1716" s="3153" t="str">
        <f ca="1">IFERROR(INDEX('Production cost'!$A:$AU,MATCH($C1716,'Production cost'!$AU:$AU,0),9),"")</f>
        <v/>
      </c>
      <c r="H1716" s="3599" t="str">
        <f ca="1">IFERROR(IFERROR(INDEX('Production cost'!$A:$AU,MATCH($C1716,'Production cost'!$AU:$AU,0),11),"")+IFERROR(INDEX('Production cost'!$A:$AU,MATCH($C1716,'Production cost'!$AU:$AU,0),12),""),"")</f>
        <v/>
      </c>
      <c r="I1716" s="3153" t="str">
        <f ca="1">IFERROR(INDEX('Production cost'!$A:$AU,MATCH($C1716,'Production cost'!$AU:$AU,0),28)/'Production cost'!$E$2,"")</f>
        <v/>
      </c>
      <c r="J1716" s="3153" t="str">
        <f ca="1">IFERROR(INDEX('Production cost'!$A:$AU,MATCH($C1716,'Production cost'!$AU:$AU,0),28)/'Production cost'!$E$2,"")</f>
        <v/>
      </c>
    </row>
    <row r="1717" spans="2:10" ht="21.75">
      <c r="B1717" s="3143" t="s">
        <v>3654</v>
      </c>
      <c r="C1717" s="3143">
        <f t="shared" si="30"/>
        <v>372</v>
      </c>
      <c r="D1717" s="3143" t="str">
        <f ca="1">IFERROR(INDEX('Production cost'!$A:$AU,MATCH($C1717,'Production cost'!$AU:$AU,0),6),"")</f>
        <v/>
      </c>
      <c r="E1717" s="3143" t="str">
        <f ca="1">IFERROR(INDEX('Production cost'!$A:$AU,MATCH($C1717,'Production cost'!$AU:$AU,0),3),"")</f>
        <v/>
      </c>
      <c r="G1717" s="3153" t="str">
        <f ca="1">IFERROR(INDEX('Production cost'!$A:$AU,MATCH($C1717,'Production cost'!$AU:$AU,0),9),"")</f>
        <v/>
      </c>
      <c r="H1717" s="3599" t="str">
        <f ca="1">IFERROR(IFERROR(INDEX('Production cost'!$A:$AU,MATCH($C1717,'Production cost'!$AU:$AU,0),11),"")+IFERROR(INDEX('Production cost'!$A:$AU,MATCH($C1717,'Production cost'!$AU:$AU,0),12),""),"")</f>
        <v/>
      </c>
      <c r="I1717" s="3153" t="str">
        <f ca="1">IFERROR(INDEX('Production cost'!$A:$AU,MATCH($C1717,'Production cost'!$AU:$AU,0),28)/'Production cost'!$E$2,"")</f>
        <v/>
      </c>
      <c r="J1717" s="3153" t="str">
        <f ca="1">IFERROR(INDEX('Production cost'!$A:$AU,MATCH($C1717,'Production cost'!$AU:$AU,0),28)/'Production cost'!$E$2,"")</f>
        <v/>
      </c>
    </row>
    <row r="1718" spans="2:10" ht="21.75">
      <c r="B1718" s="3143" t="s">
        <v>3654</v>
      </c>
      <c r="C1718" s="3143">
        <f t="shared" si="30"/>
        <v>373</v>
      </c>
      <c r="D1718" s="3143" t="str">
        <f ca="1">IFERROR(INDEX('Production cost'!$A:$AU,MATCH($C1718,'Production cost'!$AU:$AU,0),6),"")</f>
        <v/>
      </c>
      <c r="E1718" s="3143" t="str">
        <f ca="1">IFERROR(INDEX('Production cost'!$A:$AU,MATCH($C1718,'Production cost'!$AU:$AU,0),3),"")</f>
        <v/>
      </c>
      <c r="G1718" s="3153" t="str">
        <f ca="1">IFERROR(INDEX('Production cost'!$A:$AU,MATCH($C1718,'Production cost'!$AU:$AU,0),9),"")</f>
        <v/>
      </c>
      <c r="H1718" s="3599" t="str">
        <f ca="1">IFERROR(IFERROR(INDEX('Production cost'!$A:$AU,MATCH($C1718,'Production cost'!$AU:$AU,0),11),"")+IFERROR(INDEX('Production cost'!$A:$AU,MATCH($C1718,'Production cost'!$AU:$AU,0),12),""),"")</f>
        <v/>
      </c>
      <c r="I1718" s="3153" t="str">
        <f ca="1">IFERROR(INDEX('Production cost'!$A:$AU,MATCH($C1718,'Production cost'!$AU:$AU,0),28)/'Production cost'!$E$2,"")</f>
        <v/>
      </c>
      <c r="J1718" s="3153" t="str">
        <f ca="1">IFERROR(INDEX('Production cost'!$A:$AU,MATCH($C1718,'Production cost'!$AU:$AU,0),28)/'Production cost'!$E$2,"")</f>
        <v/>
      </c>
    </row>
    <row r="1719" spans="2:10" ht="21.75">
      <c r="B1719" s="3143" t="s">
        <v>3654</v>
      </c>
      <c r="C1719" s="3143">
        <f t="shared" si="30"/>
        <v>374</v>
      </c>
      <c r="D1719" s="3143" t="str">
        <f ca="1">IFERROR(INDEX('Production cost'!$A:$AU,MATCH($C1719,'Production cost'!$AU:$AU,0),6),"")</f>
        <v/>
      </c>
      <c r="E1719" s="3143" t="str">
        <f ca="1">IFERROR(INDEX('Production cost'!$A:$AU,MATCH($C1719,'Production cost'!$AU:$AU,0),3),"")</f>
        <v/>
      </c>
      <c r="G1719" s="3153" t="str">
        <f ca="1">IFERROR(INDEX('Production cost'!$A:$AU,MATCH($C1719,'Production cost'!$AU:$AU,0),9),"")</f>
        <v/>
      </c>
      <c r="H1719" s="3599" t="str">
        <f ca="1">IFERROR(IFERROR(INDEX('Production cost'!$A:$AU,MATCH($C1719,'Production cost'!$AU:$AU,0),11),"")+IFERROR(INDEX('Production cost'!$A:$AU,MATCH($C1719,'Production cost'!$AU:$AU,0),12),""),"")</f>
        <v/>
      </c>
      <c r="I1719" s="3153" t="str">
        <f ca="1">IFERROR(INDEX('Production cost'!$A:$AU,MATCH($C1719,'Production cost'!$AU:$AU,0),28)/'Production cost'!$E$2,"")</f>
        <v/>
      </c>
      <c r="J1719" s="3153" t="str">
        <f ca="1">IFERROR(INDEX('Production cost'!$A:$AU,MATCH($C1719,'Production cost'!$AU:$AU,0),28)/'Production cost'!$E$2,"")</f>
        <v/>
      </c>
    </row>
    <row r="1720" spans="2:10" ht="21.75">
      <c r="B1720" s="3143" t="s">
        <v>3654</v>
      </c>
      <c r="C1720" s="3143">
        <f t="shared" si="30"/>
        <v>375</v>
      </c>
      <c r="D1720" s="3143" t="str">
        <f ca="1">IFERROR(INDEX('Production cost'!$A:$AU,MATCH($C1720,'Production cost'!$AU:$AU,0),6),"")</f>
        <v/>
      </c>
      <c r="E1720" s="3143" t="str">
        <f ca="1">IFERROR(INDEX('Production cost'!$A:$AU,MATCH($C1720,'Production cost'!$AU:$AU,0),3),"")</f>
        <v/>
      </c>
      <c r="G1720" s="3153" t="str">
        <f ca="1">IFERROR(INDEX('Production cost'!$A:$AU,MATCH($C1720,'Production cost'!$AU:$AU,0),9),"")</f>
        <v/>
      </c>
      <c r="H1720" s="3599" t="str">
        <f ca="1">IFERROR(IFERROR(INDEX('Production cost'!$A:$AU,MATCH($C1720,'Production cost'!$AU:$AU,0),11),"")+IFERROR(INDEX('Production cost'!$A:$AU,MATCH($C1720,'Production cost'!$AU:$AU,0),12),""),"")</f>
        <v/>
      </c>
      <c r="I1720" s="3153" t="str">
        <f ca="1">IFERROR(INDEX('Production cost'!$A:$AU,MATCH($C1720,'Production cost'!$AU:$AU,0),28)/'Production cost'!$E$2,"")</f>
        <v/>
      </c>
      <c r="J1720" s="3153" t="str">
        <f ca="1">IFERROR(INDEX('Production cost'!$A:$AU,MATCH($C1720,'Production cost'!$AU:$AU,0),28)/'Production cost'!$E$2,"")</f>
        <v/>
      </c>
    </row>
    <row r="1721" spans="2:10" ht="21.75">
      <c r="B1721" s="3143" t="s">
        <v>3654</v>
      </c>
      <c r="C1721" s="3143">
        <f t="shared" si="30"/>
        <v>376</v>
      </c>
      <c r="D1721" s="3143" t="str">
        <f ca="1">IFERROR(INDEX('Production cost'!$A:$AU,MATCH($C1721,'Production cost'!$AU:$AU,0),6),"")</f>
        <v/>
      </c>
      <c r="E1721" s="3143" t="str">
        <f ca="1">IFERROR(INDEX('Production cost'!$A:$AU,MATCH($C1721,'Production cost'!$AU:$AU,0),3),"")</f>
        <v/>
      </c>
      <c r="G1721" s="3153" t="str">
        <f ca="1">IFERROR(INDEX('Production cost'!$A:$AU,MATCH($C1721,'Production cost'!$AU:$AU,0),9),"")</f>
        <v/>
      </c>
      <c r="H1721" s="3599" t="str">
        <f ca="1">IFERROR(IFERROR(INDEX('Production cost'!$A:$AU,MATCH($C1721,'Production cost'!$AU:$AU,0),11),"")+IFERROR(INDEX('Production cost'!$A:$AU,MATCH($C1721,'Production cost'!$AU:$AU,0),12),""),"")</f>
        <v/>
      </c>
      <c r="I1721" s="3153" t="str">
        <f ca="1">IFERROR(INDEX('Production cost'!$A:$AU,MATCH($C1721,'Production cost'!$AU:$AU,0),28)/'Production cost'!$E$2,"")</f>
        <v/>
      </c>
      <c r="J1721" s="3153" t="str">
        <f ca="1">IFERROR(INDEX('Production cost'!$A:$AU,MATCH($C1721,'Production cost'!$AU:$AU,0),28)/'Production cost'!$E$2,"")</f>
        <v/>
      </c>
    </row>
    <row r="1722" spans="2:10" ht="21.75">
      <c r="B1722" s="3143" t="s">
        <v>3654</v>
      </c>
      <c r="C1722" s="3143">
        <f t="shared" si="30"/>
        <v>377</v>
      </c>
      <c r="D1722" s="3143" t="str">
        <f ca="1">IFERROR(INDEX('Production cost'!$A:$AU,MATCH($C1722,'Production cost'!$AU:$AU,0),6),"")</f>
        <v/>
      </c>
      <c r="E1722" s="3143" t="str">
        <f ca="1">IFERROR(INDEX('Production cost'!$A:$AU,MATCH($C1722,'Production cost'!$AU:$AU,0),3),"")</f>
        <v/>
      </c>
      <c r="G1722" s="3153" t="str">
        <f ca="1">IFERROR(INDEX('Production cost'!$A:$AU,MATCH($C1722,'Production cost'!$AU:$AU,0),9),"")</f>
        <v/>
      </c>
      <c r="H1722" s="3599" t="str">
        <f ca="1">IFERROR(IFERROR(INDEX('Production cost'!$A:$AU,MATCH($C1722,'Production cost'!$AU:$AU,0),11),"")+IFERROR(INDEX('Production cost'!$A:$AU,MATCH($C1722,'Production cost'!$AU:$AU,0),12),""),"")</f>
        <v/>
      </c>
      <c r="I1722" s="3153" t="str">
        <f ca="1">IFERROR(INDEX('Production cost'!$A:$AU,MATCH($C1722,'Production cost'!$AU:$AU,0),28)/'Production cost'!$E$2,"")</f>
        <v/>
      </c>
      <c r="J1722" s="3153" t="str">
        <f ca="1">IFERROR(INDEX('Production cost'!$A:$AU,MATCH($C1722,'Production cost'!$AU:$AU,0),28)/'Production cost'!$E$2,"")</f>
        <v/>
      </c>
    </row>
    <row r="1723" spans="2:10" ht="21.75">
      <c r="B1723" s="3143" t="s">
        <v>3654</v>
      </c>
      <c r="C1723" s="3143">
        <f t="shared" si="30"/>
        <v>378</v>
      </c>
      <c r="D1723" s="3143" t="str">
        <f ca="1">IFERROR(INDEX('Production cost'!$A:$AU,MATCH($C1723,'Production cost'!$AU:$AU,0),6),"")</f>
        <v/>
      </c>
      <c r="E1723" s="3143" t="str">
        <f ca="1">IFERROR(INDEX('Production cost'!$A:$AU,MATCH($C1723,'Production cost'!$AU:$AU,0),3),"")</f>
        <v/>
      </c>
      <c r="G1723" s="3153" t="str">
        <f ca="1">IFERROR(INDEX('Production cost'!$A:$AU,MATCH($C1723,'Production cost'!$AU:$AU,0),9),"")</f>
        <v/>
      </c>
      <c r="H1723" s="3599" t="str">
        <f ca="1">IFERROR(IFERROR(INDEX('Production cost'!$A:$AU,MATCH($C1723,'Production cost'!$AU:$AU,0),11),"")+IFERROR(INDEX('Production cost'!$A:$AU,MATCH($C1723,'Production cost'!$AU:$AU,0),12),""),"")</f>
        <v/>
      </c>
      <c r="I1723" s="3153" t="str">
        <f ca="1">IFERROR(INDEX('Production cost'!$A:$AU,MATCH($C1723,'Production cost'!$AU:$AU,0),28)/'Production cost'!$E$2,"")</f>
        <v/>
      </c>
      <c r="J1723" s="3153" t="str">
        <f ca="1">IFERROR(INDEX('Production cost'!$A:$AU,MATCH($C1723,'Production cost'!$AU:$AU,0),28)/'Production cost'!$E$2,"")</f>
        <v/>
      </c>
    </row>
    <row r="1724" spans="2:10" ht="21.75">
      <c r="B1724" s="3143" t="s">
        <v>3654</v>
      </c>
      <c r="C1724" s="3143">
        <f t="shared" si="30"/>
        <v>379</v>
      </c>
      <c r="D1724" s="3143" t="str">
        <f ca="1">IFERROR(INDEX('Production cost'!$A:$AU,MATCH($C1724,'Production cost'!$AU:$AU,0),6),"")</f>
        <v/>
      </c>
      <c r="E1724" s="3143" t="str">
        <f ca="1">IFERROR(INDEX('Production cost'!$A:$AU,MATCH($C1724,'Production cost'!$AU:$AU,0),3),"")</f>
        <v/>
      </c>
      <c r="G1724" s="3153" t="str">
        <f ca="1">IFERROR(INDEX('Production cost'!$A:$AU,MATCH($C1724,'Production cost'!$AU:$AU,0),9),"")</f>
        <v/>
      </c>
      <c r="H1724" s="3599" t="str">
        <f ca="1">IFERROR(IFERROR(INDEX('Production cost'!$A:$AU,MATCH($C1724,'Production cost'!$AU:$AU,0),11),"")+IFERROR(INDEX('Production cost'!$A:$AU,MATCH($C1724,'Production cost'!$AU:$AU,0),12),""),"")</f>
        <v/>
      </c>
      <c r="I1724" s="3153" t="str">
        <f ca="1">IFERROR(INDEX('Production cost'!$A:$AU,MATCH($C1724,'Production cost'!$AU:$AU,0),28)/'Production cost'!$E$2,"")</f>
        <v/>
      </c>
      <c r="J1724" s="3153" t="str">
        <f ca="1">IFERROR(INDEX('Production cost'!$A:$AU,MATCH($C1724,'Production cost'!$AU:$AU,0),28)/'Production cost'!$E$2,"")</f>
        <v/>
      </c>
    </row>
    <row r="1725" spans="2:10" ht="21.75">
      <c r="B1725" s="3143" t="s">
        <v>3654</v>
      </c>
      <c r="C1725" s="3143">
        <f t="shared" si="30"/>
        <v>380</v>
      </c>
      <c r="D1725" s="3143" t="str">
        <f ca="1">IFERROR(INDEX('Production cost'!$A:$AU,MATCH($C1725,'Production cost'!$AU:$AU,0),6),"")</f>
        <v/>
      </c>
      <c r="E1725" s="3143" t="str">
        <f ca="1">IFERROR(INDEX('Production cost'!$A:$AU,MATCH($C1725,'Production cost'!$AU:$AU,0),3),"")</f>
        <v/>
      </c>
      <c r="G1725" s="3153" t="str">
        <f ca="1">IFERROR(INDEX('Production cost'!$A:$AU,MATCH($C1725,'Production cost'!$AU:$AU,0),9),"")</f>
        <v/>
      </c>
      <c r="H1725" s="3599" t="str">
        <f ca="1">IFERROR(IFERROR(INDEX('Production cost'!$A:$AU,MATCH($C1725,'Production cost'!$AU:$AU,0),11),"")+IFERROR(INDEX('Production cost'!$A:$AU,MATCH($C1725,'Production cost'!$AU:$AU,0),12),""),"")</f>
        <v/>
      </c>
      <c r="I1725" s="3153" t="str">
        <f ca="1">IFERROR(INDEX('Production cost'!$A:$AU,MATCH($C1725,'Production cost'!$AU:$AU,0),28)/'Production cost'!$E$2,"")</f>
        <v/>
      </c>
      <c r="J1725" s="3153" t="str">
        <f ca="1">IFERROR(INDEX('Production cost'!$A:$AU,MATCH($C1725,'Production cost'!$AU:$AU,0),28)/'Production cost'!$E$2,"")</f>
        <v/>
      </c>
    </row>
    <row r="1726" spans="2:10" ht="21.75">
      <c r="B1726" s="3143" t="s">
        <v>3654</v>
      </c>
      <c r="C1726" s="3143">
        <f t="shared" si="30"/>
        <v>381</v>
      </c>
      <c r="D1726" s="3143" t="str">
        <f ca="1">IFERROR(INDEX('Production cost'!$A:$AU,MATCH($C1726,'Production cost'!$AU:$AU,0),6),"")</f>
        <v/>
      </c>
      <c r="E1726" s="3143" t="str">
        <f ca="1">IFERROR(INDEX('Production cost'!$A:$AU,MATCH($C1726,'Production cost'!$AU:$AU,0),3),"")</f>
        <v/>
      </c>
      <c r="G1726" s="3153" t="str">
        <f ca="1">IFERROR(INDEX('Production cost'!$A:$AU,MATCH($C1726,'Production cost'!$AU:$AU,0),9),"")</f>
        <v/>
      </c>
      <c r="H1726" s="3599" t="str">
        <f ca="1">IFERROR(IFERROR(INDEX('Production cost'!$A:$AU,MATCH($C1726,'Production cost'!$AU:$AU,0),11),"")+IFERROR(INDEX('Production cost'!$A:$AU,MATCH($C1726,'Production cost'!$AU:$AU,0),12),""),"")</f>
        <v/>
      </c>
      <c r="I1726" s="3153" t="str">
        <f ca="1">IFERROR(INDEX('Production cost'!$A:$AU,MATCH($C1726,'Production cost'!$AU:$AU,0),28)/'Production cost'!$E$2,"")</f>
        <v/>
      </c>
      <c r="J1726" s="3153" t="str">
        <f ca="1">IFERROR(INDEX('Production cost'!$A:$AU,MATCH($C1726,'Production cost'!$AU:$AU,0),28)/'Production cost'!$E$2,"")</f>
        <v/>
      </c>
    </row>
    <row r="1727" spans="2:10" ht="21.75">
      <c r="B1727" s="3143" t="s">
        <v>3654</v>
      </c>
      <c r="C1727" s="3143">
        <f t="shared" si="30"/>
        <v>382</v>
      </c>
      <c r="D1727" s="3143" t="str">
        <f ca="1">IFERROR(INDEX('Production cost'!$A:$AU,MATCH($C1727,'Production cost'!$AU:$AU,0),6),"")</f>
        <v/>
      </c>
      <c r="E1727" s="3143" t="str">
        <f ca="1">IFERROR(INDEX('Production cost'!$A:$AU,MATCH($C1727,'Production cost'!$AU:$AU,0),3),"")</f>
        <v/>
      </c>
      <c r="G1727" s="3153" t="str">
        <f ca="1">IFERROR(INDEX('Production cost'!$A:$AU,MATCH($C1727,'Production cost'!$AU:$AU,0),9),"")</f>
        <v/>
      </c>
      <c r="H1727" s="3599" t="str">
        <f ca="1">IFERROR(IFERROR(INDEX('Production cost'!$A:$AU,MATCH($C1727,'Production cost'!$AU:$AU,0),11),"")+IFERROR(INDEX('Production cost'!$A:$AU,MATCH($C1727,'Production cost'!$AU:$AU,0),12),""),"")</f>
        <v/>
      </c>
      <c r="I1727" s="3153" t="str">
        <f ca="1">IFERROR(INDEX('Production cost'!$A:$AU,MATCH($C1727,'Production cost'!$AU:$AU,0),28)/'Production cost'!$E$2,"")</f>
        <v/>
      </c>
      <c r="J1727" s="3153" t="str">
        <f ca="1">IFERROR(INDEX('Production cost'!$A:$AU,MATCH($C1727,'Production cost'!$AU:$AU,0),28)/'Production cost'!$E$2,"")</f>
        <v/>
      </c>
    </row>
    <row r="1728" spans="2:10" ht="21.75">
      <c r="B1728" s="3143" t="s">
        <v>3654</v>
      </c>
      <c r="C1728" s="3143">
        <f t="shared" si="30"/>
        <v>383</v>
      </c>
      <c r="D1728" s="3143" t="str">
        <f ca="1">IFERROR(INDEX('Production cost'!$A:$AU,MATCH($C1728,'Production cost'!$AU:$AU,0),6),"")</f>
        <v/>
      </c>
      <c r="E1728" s="3143" t="str">
        <f ca="1">IFERROR(INDEX('Production cost'!$A:$AU,MATCH($C1728,'Production cost'!$AU:$AU,0),3),"")</f>
        <v/>
      </c>
      <c r="G1728" s="3153" t="str">
        <f ca="1">IFERROR(INDEX('Production cost'!$A:$AU,MATCH($C1728,'Production cost'!$AU:$AU,0),9),"")</f>
        <v/>
      </c>
      <c r="H1728" s="3599" t="str">
        <f ca="1">IFERROR(IFERROR(INDEX('Production cost'!$A:$AU,MATCH($C1728,'Production cost'!$AU:$AU,0),11),"")+IFERROR(INDEX('Production cost'!$A:$AU,MATCH($C1728,'Production cost'!$AU:$AU,0),12),""),"")</f>
        <v/>
      </c>
      <c r="I1728" s="3153" t="str">
        <f ca="1">IFERROR(INDEX('Production cost'!$A:$AU,MATCH($C1728,'Production cost'!$AU:$AU,0),28)/'Production cost'!$E$2,"")</f>
        <v/>
      </c>
      <c r="J1728" s="3153" t="str">
        <f ca="1">IFERROR(INDEX('Production cost'!$A:$AU,MATCH($C1728,'Production cost'!$AU:$AU,0),28)/'Production cost'!$E$2,"")</f>
        <v/>
      </c>
    </row>
    <row r="1729" spans="2:10" ht="21.75">
      <c r="B1729" s="3143" t="s">
        <v>3654</v>
      </c>
      <c r="C1729" s="3143">
        <f t="shared" si="30"/>
        <v>384</v>
      </c>
      <c r="D1729" s="3143" t="str">
        <f ca="1">IFERROR(INDEX('Production cost'!$A:$AU,MATCH($C1729,'Production cost'!$AU:$AU,0),6),"")</f>
        <v/>
      </c>
      <c r="E1729" s="3143" t="str">
        <f ca="1">IFERROR(INDEX('Production cost'!$A:$AU,MATCH($C1729,'Production cost'!$AU:$AU,0),3),"")</f>
        <v/>
      </c>
      <c r="G1729" s="3153" t="str">
        <f ca="1">IFERROR(INDEX('Production cost'!$A:$AU,MATCH($C1729,'Production cost'!$AU:$AU,0),9),"")</f>
        <v/>
      </c>
      <c r="H1729" s="3599" t="str">
        <f ca="1">IFERROR(IFERROR(INDEX('Production cost'!$A:$AU,MATCH($C1729,'Production cost'!$AU:$AU,0),11),"")+IFERROR(INDEX('Production cost'!$A:$AU,MATCH($C1729,'Production cost'!$AU:$AU,0),12),""),"")</f>
        <v/>
      </c>
      <c r="I1729" s="3153" t="str">
        <f ca="1">IFERROR(INDEX('Production cost'!$A:$AU,MATCH($C1729,'Production cost'!$AU:$AU,0),28)/'Production cost'!$E$2,"")</f>
        <v/>
      </c>
      <c r="J1729" s="3153" t="str">
        <f ca="1">IFERROR(INDEX('Production cost'!$A:$AU,MATCH($C1729,'Production cost'!$AU:$AU,0),28)/'Production cost'!$E$2,"")</f>
        <v/>
      </c>
    </row>
    <row r="1730" spans="2:10" ht="21.75">
      <c r="B1730" s="3143" t="s">
        <v>3654</v>
      </c>
      <c r="C1730" s="3143">
        <f t="shared" si="30"/>
        <v>385</v>
      </c>
      <c r="D1730" s="3143" t="str">
        <f ca="1">IFERROR(INDEX('Production cost'!$A:$AU,MATCH($C1730,'Production cost'!$AU:$AU,0),6),"")</f>
        <v/>
      </c>
      <c r="E1730" s="3143" t="str">
        <f ca="1">IFERROR(INDEX('Production cost'!$A:$AU,MATCH($C1730,'Production cost'!$AU:$AU,0),3),"")</f>
        <v/>
      </c>
      <c r="G1730" s="3153" t="str">
        <f ca="1">IFERROR(INDEX('Production cost'!$A:$AU,MATCH($C1730,'Production cost'!$AU:$AU,0),9),"")</f>
        <v/>
      </c>
      <c r="H1730" s="3599" t="str">
        <f ca="1">IFERROR(IFERROR(INDEX('Production cost'!$A:$AU,MATCH($C1730,'Production cost'!$AU:$AU,0),11),"")+IFERROR(INDEX('Production cost'!$A:$AU,MATCH($C1730,'Production cost'!$AU:$AU,0),12),""),"")</f>
        <v/>
      </c>
      <c r="I1730" s="3153" t="str">
        <f ca="1">IFERROR(INDEX('Production cost'!$A:$AU,MATCH($C1730,'Production cost'!$AU:$AU,0),28)/'Production cost'!$E$2,"")</f>
        <v/>
      </c>
      <c r="J1730" s="3153" t="str">
        <f ca="1">IFERROR(INDEX('Production cost'!$A:$AU,MATCH($C1730,'Production cost'!$AU:$AU,0),28)/'Production cost'!$E$2,"")</f>
        <v/>
      </c>
    </row>
    <row r="1731" spans="2:10" ht="21.75">
      <c r="B1731" s="3143" t="s">
        <v>3654</v>
      </c>
      <c r="C1731" s="3143">
        <f t="shared" si="30"/>
        <v>386</v>
      </c>
      <c r="D1731" s="3143" t="str">
        <f ca="1">IFERROR(INDEX('Production cost'!$A:$AU,MATCH($C1731,'Production cost'!$AU:$AU,0),6),"")</f>
        <v/>
      </c>
      <c r="E1731" s="3143" t="str">
        <f ca="1">IFERROR(INDEX('Production cost'!$A:$AU,MATCH($C1731,'Production cost'!$AU:$AU,0),3),"")</f>
        <v/>
      </c>
      <c r="G1731" s="3153" t="str">
        <f ca="1">IFERROR(INDEX('Production cost'!$A:$AU,MATCH($C1731,'Production cost'!$AU:$AU,0),9),"")</f>
        <v/>
      </c>
      <c r="H1731" s="3599" t="str">
        <f ca="1">IFERROR(IFERROR(INDEX('Production cost'!$A:$AU,MATCH($C1731,'Production cost'!$AU:$AU,0),11),"")+IFERROR(INDEX('Production cost'!$A:$AU,MATCH($C1731,'Production cost'!$AU:$AU,0),12),""),"")</f>
        <v/>
      </c>
      <c r="I1731" s="3153" t="str">
        <f ca="1">IFERROR(INDEX('Production cost'!$A:$AU,MATCH($C1731,'Production cost'!$AU:$AU,0),28)/'Production cost'!$E$2,"")</f>
        <v/>
      </c>
      <c r="J1731" s="3153" t="str">
        <f ca="1">IFERROR(INDEX('Production cost'!$A:$AU,MATCH($C1731,'Production cost'!$AU:$AU,0),28)/'Production cost'!$E$2,"")</f>
        <v/>
      </c>
    </row>
    <row r="1732" spans="2:10" ht="21.75">
      <c r="B1732" s="3143" t="s">
        <v>3654</v>
      </c>
      <c r="C1732" s="3143">
        <f t="shared" ref="C1732:C1767" si="31">C1731+1</f>
        <v>387</v>
      </c>
      <c r="D1732" s="3143" t="str">
        <f ca="1">IFERROR(INDEX('Production cost'!$A:$AU,MATCH($C1732,'Production cost'!$AU:$AU,0),6),"")</f>
        <v/>
      </c>
      <c r="E1732" s="3143" t="str">
        <f ca="1">IFERROR(INDEX('Production cost'!$A:$AU,MATCH($C1732,'Production cost'!$AU:$AU,0),3),"")</f>
        <v/>
      </c>
      <c r="G1732" s="3153" t="str">
        <f ca="1">IFERROR(INDEX('Production cost'!$A:$AU,MATCH($C1732,'Production cost'!$AU:$AU,0),9),"")</f>
        <v/>
      </c>
      <c r="H1732" s="3599" t="str">
        <f ca="1">IFERROR(IFERROR(INDEX('Production cost'!$A:$AU,MATCH($C1732,'Production cost'!$AU:$AU,0),11),"")+IFERROR(INDEX('Production cost'!$A:$AU,MATCH($C1732,'Production cost'!$AU:$AU,0),12),""),"")</f>
        <v/>
      </c>
      <c r="I1732" s="3153" t="str">
        <f ca="1">IFERROR(INDEX('Production cost'!$A:$AU,MATCH($C1732,'Production cost'!$AU:$AU,0),28)/'Production cost'!$E$2,"")</f>
        <v/>
      </c>
      <c r="J1732" s="3153" t="str">
        <f ca="1">IFERROR(INDEX('Production cost'!$A:$AU,MATCH($C1732,'Production cost'!$AU:$AU,0),28)/'Production cost'!$E$2,"")</f>
        <v/>
      </c>
    </row>
    <row r="1733" spans="2:10" ht="21.75">
      <c r="B1733" s="3143" t="s">
        <v>3654</v>
      </c>
      <c r="C1733" s="3143">
        <f t="shared" si="31"/>
        <v>388</v>
      </c>
      <c r="D1733" s="3143" t="str">
        <f ca="1">IFERROR(INDEX('Production cost'!$A:$AU,MATCH($C1733,'Production cost'!$AU:$AU,0),6),"")</f>
        <v/>
      </c>
      <c r="E1733" s="3143" t="str">
        <f ca="1">IFERROR(INDEX('Production cost'!$A:$AU,MATCH($C1733,'Production cost'!$AU:$AU,0),3),"")</f>
        <v/>
      </c>
      <c r="G1733" s="3153" t="str">
        <f ca="1">IFERROR(INDEX('Production cost'!$A:$AU,MATCH($C1733,'Production cost'!$AU:$AU,0),9),"")</f>
        <v/>
      </c>
      <c r="H1733" s="3599" t="str">
        <f ca="1">IFERROR(IFERROR(INDEX('Production cost'!$A:$AU,MATCH($C1733,'Production cost'!$AU:$AU,0),11),"")+IFERROR(INDEX('Production cost'!$A:$AU,MATCH($C1733,'Production cost'!$AU:$AU,0),12),""),"")</f>
        <v/>
      </c>
      <c r="I1733" s="3153" t="str">
        <f ca="1">IFERROR(INDEX('Production cost'!$A:$AU,MATCH($C1733,'Production cost'!$AU:$AU,0),28)/'Production cost'!$E$2,"")</f>
        <v/>
      </c>
      <c r="J1733" s="3153" t="str">
        <f ca="1">IFERROR(INDEX('Production cost'!$A:$AU,MATCH($C1733,'Production cost'!$AU:$AU,0),28)/'Production cost'!$E$2,"")</f>
        <v/>
      </c>
    </row>
    <row r="1734" spans="2:10" ht="21.75">
      <c r="B1734" s="3143" t="s">
        <v>3654</v>
      </c>
      <c r="C1734" s="3143">
        <f t="shared" si="31"/>
        <v>389</v>
      </c>
      <c r="D1734" s="3143" t="str">
        <f ca="1">IFERROR(INDEX('Production cost'!$A:$AU,MATCH($C1734,'Production cost'!$AU:$AU,0),6),"")</f>
        <v/>
      </c>
      <c r="E1734" s="3143" t="str">
        <f ca="1">IFERROR(INDEX('Production cost'!$A:$AU,MATCH($C1734,'Production cost'!$AU:$AU,0),3),"")</f>
        <v/>
      </c>
      <c r="G1734" s="3153" t="str">
        <f ca="1">IFERROR(INDEX('Production cost'!$A:$AU,MATCH($C1734,'Production cost'!$AU:$AU,0),9),"")</f>
        <v/>
      </c>
      <c r="H1734" s="3599" t="str">
        <f ca="1">IFERROR(IFERROR(INDEX('Production cost'!$A:$AU,MATCH($C1734,'Production cost'!$AU:$AU,0),11),"")+IFERROR(INDEX('Production cost'!$A:$AU,MATCH($C1734,'Production cost'!$AU:$AU,0),12),""),"")</f>
        <v/>
      </c>
      <c r="I1734" s="3153" t="str">
        <f ca="1">IFERROR(INDEX('Production cost'!$A:$AU,MATCH($C1734,'Production cost'!$AU:$AU,0),28)/'Production cost'!$E$2,"")</f>
        <v/>
      </c>
      <c r="J1734" s="3153" t="str">
        <f ca="1">IFERROR(INDEX('Production cost'!$A:$AU,MATCH($C1734,'Production cost'!$AU:$AU,0),28)/'Production cost'!$E$2,"")</f>
        <v/>
      </c>
    </row>
    <row r="1735" spans="2:10" ht="21.75">
      <c r="B1735" s="3143" t="s">
        <v>3654</v>
      </c>
      <c r="C1735" s="3143">
        <f t="shared" si="31"/>
        <v>390</v>
      </c>
      <c r="D1735" s="3143" t="str">
        <f ca="1">IFERROR(INDEX('Production cost'!$A:$AU,MATCH($C1735,'Production cost'!$AU:$AU,0),6),"")</f>
        <v/>
      </c>
      <c r="E1735" s="3143" t="str">
        <f ca="1">IFERROR(INDEX('Production cost'!$A:$AU,MATCH($C1735,'Production cost'!$AU:$AU,0),3),"")</f>
        <v/>
      </c>
      <c r="G1735" s="3153" t="str">
        <f ca="1">IFERROR(INDEX('Production cost'!$A:$AU,MATCH($C1735,'Production cost'!$AU:$AU,0),9),"")</f>
        <v/>
      </c>
      <c r="H1735" s="3599" t="str">
        <f ca="1">IFERROR(IFERROR(INDEX('Production cost'!$A:$AU,MATCH($C1735,'Production cost'!$AU:$AU,0),11),"")+IFERROR(INDEX('Production cost'!$A:$AU,MATCH($C1735,'Production cost'!$AU:$AU,0),12),""),"")</f>
        <v/>
      </c>
      <c r="I1735" s="3153" t="str">
        <f ca="1">IFERROR(INDEX('Production cost'!$A:$AU,MATCH($C1735,'Production cost'!$AU:$AU,0),28)/'Production cost'!$E$2,"")</f>
        <v/>
      </c>
      <c r="J1735" s="3153" t="str">
        <f ca="1">IFERROR(INDEX('Production cost'!$A:$AU,MATCH($C1735,'Production cost'!$AU:$AU,0),28)/'Production cost'!$E$2,"")</f>
        <v/>
      </c>
    </row>
    <row r="1736" spans="2:10" ht="21.75">
      <c r="B1736" s="3143" t="s">
        <v>3654</v>
      </c>
      <c r="C1736" s="3143">
        <f t="shared" si="31"/>
        <v>391</v>
      </c>
      <c r="D1736" s="3143" t="str">
        <f ca="1">IFERROR(INDEX('Production cost'!$A:$AU,MATCH($C1736,'Production cost'!$AU:$AU,0),6),"")</f>
        <v/>
      </c>
      <c r="E1736" s="3143" t="str">
        <f ca="1">IFERROR(INDEX('Production cost'!$A:$AU,MATCH($C1736,'Production cost'!$AU:$AU,0),3),"")</f>
        <v/>
      </c>
      <c r="G1736" s="3153" t="str">
        <f ca="1">IFERROR(INDEX('Production cost'!$A:$AU,MATCH($C1736,'Production cost'!$AU:$AU,0),9),"")</f>
        <v/>
      </c>
      <c r="H1736" s="3599" t="str">
        <f ca="1">IFERROR(IFERROR(INDEX('Production cost'!$A:$AU,MATCH($C1736,'Production cost'!$AU:$AU,0),11),"")+IFERROR(INDEX('Production cost'!$A:$AU,MATCH($C1736,'Production cost'!$AU:$AU,0),12),""),"")</f>
        <v/>
      </c>
      <c r="I1736" s="3153" t="str">
        <f ca="1">IFERROR(INDEX('Production cost'!$A:$AU,MATCH($C1736,'Production cost'!$AU:$AU,0),28)/'Production cost'!$E$2,"")</f>
        <v/>
      </c>
      <c r="J1736" s="3153" t="str">
        <f ca="1">IFERROR(INDEX('Production cost'!$A:$AU,MATCH($C1736,'Production cost'!$AU:$AU,0),28)/'Production cost'!$E$2,"")</f>
        <v/>
      </c>
    </row>
    <row r="1737" spans="2:10" ht="21.75">
      <c r="B1737" s="3143" t="s">
        <v>3654</v>
      </c>
      <c r="C1737" s="3143">
        <f t="shared" si="31"/>
        <v>392</v>
      </c>
      <c r="D1737" s="3143" t="str">
        <f ca="1">IFERROR(INDEX('Production cost'!$A:$AU,MATCH($C1737,'Production cost'!$AU:$AU,0),6),"")</f>
        <v/>
      </c>
      <c r="E1737" s="3143" t="str">
        <f ca="1">IFERROR(INDEX('Production cost'!$A:$AU,MATCH($C1737,'Production cost'!$AU:$AU,0),3),"")</f>
        <v/>
      </c>
      <c r="G1737" s="3153" t="str">
        <f ca="1">IFERROR(INDEX('Production cost'!$A:$AU,MATCH($C1737,'Production cost'!$AU:$AU,0),9),"")</f>
        <v/>
      </c>
      <c r="H1737" s="3599" t="str">
        <f ca="1">IFERROR(IFERROR(INDEX('Production cost'!$A:$AU,MATCH($C1737,'Production cost'!$AU:$AU,0),11),"")+IFERROR(INDEX('Production cost'!$A:$AU,MATCH($C1737,'Production cost'!$AU:$AU,0),12),""),"")</f>
        <v/>
      </c>
      <c r="I1737" s="3153" t="str">
        <f ca="1">IFERROR(INDEX('Production cost'!$A:$AU,MATCH($C1737,'Production cost'!$AU:$AU,0),28)/'Production cost'!$E$2,"")</f>
        <v/>
      </c>
      <c r="J1737" s="3153" t="str">
        <f ca="1">IFERROR(INDEX('Production cost'!$A:$AU,MATCH($C1737,'Production cost'!$AU:$AU,0),28)/'Production cost'!$E$2,"")</f>
        <v/>
      </c>
    </row>
    <row r="1738" spans="2:10" ht="21.75">
      <c r="B1738" s="3143" t="s">
        <v>3654</v>
      </c>
      <c r="C1738" s="3143">
        <f t="shared" si="31"/>
        <v>393</v>
      </c>
      <c r="D1738" s="3143" t="str">
        <f ca="1">IFERROR(INDEX('Production cost'!$A:$AU,MATCH($C1738,'Production cost'!$AU:$AU,0),6),"")</f>
        <v/>
      </c>
      <c r="E1738" s="3143" t="str">
        <f ca="1">IFERROR(INDEX('Production cost'!$A:$AU,MATCH($C1738,'Production cost'!$AU:$AU,0),3),"")</f>
        <v/>
      </c>
      <c r="G1738" s="3153" t="str">
        <f ca="1">IFERROR(INDEX('Production cost'!$A:$AU,MATCH($C1738,'Production cost'!$AU:$AU,0),9),"")</f>
        <v/>
      </c>
      <c r="H1738" s="3599" t="str">
        <f ca="1">IFERROR(IFERROR(INDEX('Production cost'!$A:$AU,MATCH($C1738,'Production cost'!$AU:$AU,0),11),"")+IFERROR(INDEX('Production cost'!$A:$AU,MATCH($C1738,'Production cost'!$AU:$AU,0),12),""),"")</f>
        <v/>
      </c>
      <c r="I1738" s="3153" t="str">
        <f ca="1">IFERROR(INDEX('Production cost'!$A:$AU,MATCH($C1738,'Production cost'!$AU:$AU,0),28)/'Production cost'!$E$2,"")</f>
        <v/>
      </c>
      <c r="J1738" s="3153" t="str">
        <f ca="1">IFERROR(INDEX('Production cost'!$A:$AU,MATCH($C1738,'Production cost'!$AU:$AU,0),28)/'Production cost'!$E$2,"")</f>
        <v/>
      </c>
    </row>
    <row r="1739" spans="2:10" ht="21.75">
      <c r="B1739" s="3143" t="s">
        <v>3654</v>
      </c>
      <c r="C1739" s="3143">
        <f t="shared" si="31"/>
        <v>394</v>
      </c>
      <c r="D1739" s="3143" t="str">
        <f ca="1">IFERROR(INDEX('Production cost'!$A:$AU,MATCH($C1739,'Production cost'!$AU:$AU,0),6),"")</f>
        <v/>
      </c>
      <c r="E1739" s="3143" t="str">
        <f ca="1">IFERROR(INDEX('Production cost'!$A:$AU,MATCH($C1739,'Production cost'!$AU:$AU,0),3),"")</f>
        <v/>
      </c>
      <c r="G1739" s="3153" t="str">
        <f ca="1">IFERROR(INDEX('Production cost'!$A:$AU,MATCH($C1739,'Production cost'!$AU:$AU,0),9),"")</f>
        <v/>
      </c>
      <c r="H1739" s="3599" t="str">
        <f ca="1">IFERROR(IFERROR(INDEX('Production cost'!$A:$AU,MATCH($C1739,'Production cost'!$AU:$AU,0),11),"")+IFERROR(INDEX('Production cost'!$A:$AU,MATCH($C1739,'Production cost'!$AU:$AU,0),12),""),"")</f>
        <v/>
      </c>
      <c r="I1739" s="3153" t="str">
        <f ca="1">IFERROR(INDEX('Production cost'!$A:$AU,MATCH($C1739,'Production cost'!$AU:$AU,0),28)/'Production cost'!$E$2,"")</f>
        <v/>
      </c>
      <c r="J1739" s="3153" t="str">
        <f ca="1">IFERROR(INDEX('Production cost'!$A:$AU,MATCH($C1739,'Production cost'!$AU:$AU,0),28)/'Production cost'!$E$2,"")</f>
        <v/>
      </c>
    </row>
    <row r="1740" spans="2:10" ht="21.75">
      <c r="B1740" s="3143" t="s">
        <v>3654</v>
      </c>
      <c r="C1740" s="3143">
        <f t="shared" si="31"/>
        <v>395</v>
      </c>
      <c r="D1740" s="3143" t="str">
        <f ca="1">IFERROR(INDEX('Production cost'!$A:$AU,MATCH($C1740,'Production cost'!$AU:$AU,0),6),"")</f>
        <v/>
      </c>
      <c r="E1740" s="3143" t="str">
        <f ca="1">IFERROR(INDEX('Production cost'!$A:$AU,MATCH($C1740,'Production cost'!$AU:$AU,0),3),"")</f>
        <v/>
      </c>
      <c r="G1740" s="3153" t="str">
        <f ca="1">IFERROR(INDEX('Production cost'!$A:$AU,MATCH($C1740,'Production cost'!$AU:$AU,0),9),"")</f>
        <v/>
      </c>
      <c r="H1740" s="3599" t="str">
        <f ca="1">IFERROR(IFERROR(INDEX('Production cost'!$A:$AU,MATCH($C1740,'Production cost'!$AU:$AU,0),11),"")+IFERROR(INDEX('Production cost'!$A:$AU,MATCH($C1740,'Production cost'!$AU:$AU,0),12),""),"")</f>
        <v/>
      </c>
      <c r="I1740" s="3153" t="str">
        <f ca="1">IFERROR(INDEX('Production cost'!$A:$AU,MATCH($C1740,'Production cost'!$AU:$AU,0),28)/'Production cost'!$E$2,"")</f>
        <v/>
      </c>
      <c r="J1740" s="3153" t="str">
        <f ca="1">IFERROR(INDEX('Production cost'!$A:$AU,MATCH($C1740,'Production cost'!$AU:$AU,0),28)/'Production cost'!$E$2,"")</f>
        <v/>
      </c>
    </row>
    <row r="1741" spans="2:10" ht="21.75">
      <c r="B1741" s="3143" t="s">
        <v>3654</v>
      </c>
      <c r="C1741" s="3143">
        <f t="shared" si="31"/>
        <v>396</v>
      </c>
      <c r="D1741" s="3143" t="str">
        <f ca="1">IFERROR(INDEX('Production cost'!$A:$AU,MATCH($C1741,'Production cost'!$AU:$AU,0),6),"")</f>
        <v/>
      </c>
      <c r="E1741" s="3143" t="str">
        <f ca="1">IFERROR(INDEX('Production cost'!$A:$AU,MATCH($C1741,'Production cost'!$AU:$AU,0),3),"")</f>
        <v/>
      </c>
      <c r="G1741" s="3153" t="str">
        <f ca="1">IFERROR(INDEX('Production cost'!$A:$AU,MATCH($C1741,'Production cost'!$AU:$AU,0),9),"")</f>
        <v/>
      </c>
      <c r="H1741" s="3599" t="str">
        <f ca="1">IFERROR(IFERROR(INDEX('Production cost'!$A:$AU,MATCH($C1741,'Production cost'!$AU:$AU,0),11),"")+IFERROR(INDEX('Production cost'!$A:$AU,MATCH($C1741,'Production cost'!$AU:$AU,0),12),""),"")</f>
        <v/>
      </c>
      <c r="I1741" s="3153" t="str">
        <f ca="1">IFERROR(INDEX('Production cost'!$A:$AU,MATCH($C1741,'Production cost'!$AU:$AU,0),28)/'Production cost'!$E$2,"")</f>
        <v/>
      </c>
      <c r="J1741" s="3153" t="str">
        <f ca="1">IFERROR(INDEX('Production cost'!$A:$AU,MATCH($C1741,'Production cost'!$AU:$AU,0),28)/'Production cost'!$E$2,"")</f>
        <v/>
      </c>
    </row>
    <row r="1742" spans="2:10" ht="21.75">
      <c r="B1742" s="3143" t="s">
        <v>3654</v>
      </c>
      <c r="C1742" s="3143">
        <f t="shared" si="31"/>
        <v>397</v>
      </c>
      <c r="D1742" s="3143" t="str">
        <f ca="1">IFERROR(INDEX('Production cost'!$A:$AU,MATCH($C1742,'Production cost'!$AU:$AU,0),6),"")</f>
        <v/>
      </c>
      <c r="E1742" s="3143" t="str">
        <f ca="1">IFERROR(INDEX('Production cost'!$A:$AU,MATCH($C1742,'Production cost'!$AU:$AU,0),3),"")</f>
        <v/>
      </c>
      <c r="G1742" s="3153" t="str">
        <f ca="1">IFERROR(INDEX('Production cost'!$A:$AU,MATCH($C1742,'Production cost'!$AU:$AU,0),9),"")</f>
        <v/>
      </c>
      <c r="H1742" s="3599" t="str">
        <f ca="1">IFERROR(IFERROR(INDEX('Production cost'!$A:$AU,MATCH($C1742,'Production cost'!$AU:$AU,0),11),"")+IFERROR(INDEX('Production cost'!$A:$AU,MATCH($C1742,'Production cost'!$AU:$AU,0),12),""),"")</f>
        <v/>
      </c>
      <c r="I1742" s="3153" t="str">
        <f ca="1">IFERROR(INDEX('Production cost'!$A:$AU,MATCH($C1742,'Production cost'!$AU:$AU,0),28)/'Production cost'!$E$2,"")</f>
        <v/>
      </c>
      <c r="J1742" s="3153" t="str">
        <f ca="1">IFERROR(INDEX('Production cost'!$A:$AU,MATCH($C1742,'Production cost'!$AU:$AU,0),28)/'Production cost'!$E$2,"")</f>
        <v/>
      </c>
    </row>
    <row r="1743" spans="2:10" ht="21.75">
      <c r="B1743" s="3143" t="s">
        <v>3654</v>
      </c>
      <c r="C1743" s="3143">
        <f t="shared" si="31"/>
        <v>398</v>
      </c>
      <c r="D1743" s="3143" t="str">
        <f ca="1">IFERROR(INDEX('Production cost'!$A:$AU,MATCH($C1743,'Production cost'!$AU:$AU,0),6),"")</f>
        <v/>
      </c>
      <c r="E1743" s="3143" t="str">
        <f ca="1">IFERROR(INDEX('Production cost'!$A:$AU,MATCH($C1743,'Production cost'!$AU:$AU,0),3),"")</f>
        <v/>
      </c>
      <c r="G1743" s="3153" t="str">
        <f ca="1">IFERROR(INDEX('Production cost'!$A:$AU,MATCH($C1743,'Production cost'!$AU:$AU,0),9),"")</f>
        <v/>
      </c>
      <c r="H1743" s="3599" t="str">
        <f ca="1">IFERROR(IFERROR(INDEX('Production cost'!$A:$AU,MATCH($C1743,'Production cost'!$AU:$AU,0),11),"")+IFERROR(INDEX('Production cost'!$A:$AU,MATCH($C1743,'Production cost'!$AU:$AU,0),12),""),"")</f>
        <v/>
      </c>
      <c r="I1743" s="3153" t="str">
        <f ca="1">IFERROR(INDEX('Production cost'!$A:$AU,MATCH($C1743,'Production cost'!$AU:$AU,0),28)/'Production cost'!$E$2,"")</f>
        <v/>
      </c>
      <c r="J1743" s="3153" t="str">
        <f ca="1">IFERROR(INDEX('Production cost'!$A:$AU,MATCH($C1743,'Production cost'!$AU:$AU,0),28)/'Production cost'!$E$2,"")</f>
        <v/>
      </c>
    </row>
    <row r="1744" spans="2:10" ht="21.75">
      <c r="B1744" s="3143" t="s">
        <v>3654</v>
      </c>
      <c r="C1744" s="3143">
        <f t="shared" si="31"/>
        <v>399</v>
      </c>
      <c r="D1744" s="3143" t="str">
        <f ca="1">IFERROR(INDEX('Production cost'!$A:$AU,MATCH($C1744,'Production cost'!$AU:$AU,0),6),"")</f>
        <v/>
      </c>
      <c r="E1744" s="3143" t="str">
        <f ca="1">IFERROR(INDEX('Production cost'!$A:$AU,MATCH($C1744,'Production cost'!$AU:$AU,0),3),"")</f>
        <v/>
      </c>
      <c r="G1744" s="3153" t="str">
        <f ca="1">IFERROR(INDEX('Production cost'!$A:$AU,MATCH($C1744,'Production cost'!$AU:$AU,0),9),"")</f>
        <v/>
      </c>
      <c r="H1744" s="3599" t="str">
        <f ca="1">IFERROR(IFERROR(INDEX('Production cost'!$A:$AU,MATCH($C1744,'Production cost'!$AU:$AU,0),11),"")+IFERROR(INDEX('Production cost'!$A:$AU,MATCH($C1744,'Production cost'!$AU:$AU,0),12),""),"")</f>
        <v/>
      </c>
      <c r="I1744" s="3153" t="str">
        <f ca="1">IFERROR(INDEX('Production cost'!$A:$AU,MATCH($C1744,'Production cost'!$AU:$AU,0),28)/'Production cost'!$E$2,"")</f>
        <v/>
      </c>
      <c r="J1744" s="3153" t="str">
        <f ca="1">IFERROR(INDEX('Production cost'!$A:$AU,MATCH($C1744,'Production cost'!$AU:$AU,0),28)/'Production cost'!$E$2,"")</f>
        <v/>
      </c>
    </row>
    <row r="1745" spans="2:10" ht="21.75">
      <c r="B1745" s="3143" t="s">
        <v>3654</v>
      </c>
      <c r="C1745" s="3143">
        <f t="shared" si="31"/>
        <v>400</v>
      </c>
      <c r="D1745" s="3143" t="str">
        <f ca="1">IFERROR(INDEX('Production cost'!$A:$AU,MATCH($C1745,'Production cost'!$AU:$AU,0),6),"")</f>
        <v/>
      </c>
      <c r="E1745" s="3143" t="str">
        <f ca="1">IFERROR(INDEX('Production cost'!$A:$AU,MATCH($C1745,'Production cost'!$AU:$AU,0),3),"")</f>
        <v/>
      </c>
      <c r="G1745" s="3153" t="str">
        <f ca="1">IFERROR(INDEX('Production cost'!$A:$AU,MATCH($C1745,'Production cost'!$AU:$AU,0),9),"")</f>
        <v/>
      </c>
      <c r="H1745" s="3599" t="str">
        <f ca="1">IFERROR(IFERROR(INDEX('Production cost'!$A:$AU,MATCH($C1745,'Production cost'!$AU:$AU,0),11),"")+IFERROR(INDEX('Production cost'!$A:$AU,MATCH($C1745,'Production cost'!$AU:$AU,0),12),""),"")</f>
        <v/>
      </c>
      <c r="I1745" s="3153" t="str">
        <f ca="1">IFERROR(INDEX('Production cost'!$A:$AU,MATCH($C1745,'Production cost'!$AU:$AU,0),28)/'Production cost'!$E$2,"")</f>
        <v/>
      </c>
      <c r="J1745" s="3153" t="str">
        <f ca="1">IFERROR(INDEX('Production cost'!$A:$AU,MATCH($C1745,'Production cost'!$AU:$AU,0),28)/'Production cost'!$E$2,"")</f>
        <v/>
      </c>
    </row>
    <row r="1746" spans="2:10" ht="21.75">
      <c r="B1746" s="3143" t="s">
        <v>3654</v>
      </c>
      <c r="C1746" s="3143">
        <f t="shared" si="31"/>
        <v>401</v>
      </c>
      <c r="D1746" s="3143" t="str">
        <f ca="1">IFERROR(INDEX('Production cost'!$A:$AU,MATCH($C1746,'Production cost'!$AU:$AU,0),6),"")</f>
        <v/>
      </c>
      <c r="E1746" s="3143" t="str">
        <f ca="1">IFERROR(INDEX('Production cost'!$A:$AU,MATCH($C1746,'Production cost'!$AU:$AU,0),3),"")</f>
        <v/>
      </c>
      <c r="G1746" s="3153" t="str">
        <f ca="1">IFERROR(INDEX('Production cost'!$A:$AU,MATCH($C1746,'Production cost'!$AU:$AU,0),9),"")</f>
        <v/>
      </c>
      <c r="H1746" s="3599" t="str">
        <f ca="1">IFERROR(IFERROR(INDEX('Production cost'!$A:$AU,MATCH($C1746,'Production cost'!$AU:$AU,0),11),"")+IFERROR(INDEX('Production cost'!$A:$AU,MATCH($C1746,'Production cost'!$AU:$AU,0),12),""),"")</f>
        <v/>
      </c>
      <c r="I1746" s="3153" t="str">
        <f ca="1">IFERROR(INDEX('Production cost'!$A:$AU,MATCH($C1746,'Production cost'!$AU:$AU,0),28)/'Production cost'!$E$2,"")</f>
        <v/>
      </c>
      <c r="J1746" s="3153" t="str">
        <f ca="1">IFERROR(INDEX('Production cost'!$A:$AU,MATCH($C1746,'Production cost'!$AU:$AU,0),28)/'Production cost'!$E$2,"")</f>
        <v/>
      </c>
    </row>
    <row r="1747" spans="2:10" ht="21.75">
      <c r="B1747" s="3143" t="s">
        <v>3654</v>
      </c>
      <c r="C1747" s="3143">
        <f t="shared" si="31"/>
        <v>402</v>
      </c>
      <c r="D1747" s="3143" t="str">
        <f ca="1">IFERROR(INDEX('Production cost'!$A:$AU,MATCH($C1747,'Production cost'!$AU:$AU,0),6),"")</f>
        <v/>
      </c>
      <c r="E1747" s="3143" t="str">
        <f ca="1">IFERROR(INDEX('Production cost'!$A:$AU,MATCH($C1747,'Production cost'!$AU:$AU,0),3),"")</f>
        <v/>
      </c>
      <c r="G1747" s="3153" t="str">
        <f ca="1">IFERROR(INDEX('Production cost'!$A:$AU,MATCH($C1747,'Production cost'!$AU:$AU,0),9),"")</f>
        <v/>
      </c>
      <c r="H1747" s="3599" t="str">
        <f ca="1">IFERROR(IFERROR(INDEX('Production cost'!$A:$AU,MATCH($C1747,'Production cost'!$AU:$AU,0),11),"")+IFERROR(INDEX('Production cost'!$A:$AU,MATCH($C1747,'Production cost'!$AU:$AU,0),12),""),"")</f>
        <v/>
      </c>
      <c r="I1747" s="3153" t="str">
        <f ca="1">IFERROR(INDEX('Production cost'!$A:$AU,MATCH($C1747,'Production cost'!$AU:$AU,0),28)/'Production cost'!$E$2,"")</f>
        <v/>
      </c>
      <c r="J1747" s="3153" t="str">
        <f ca="1">IFERROR(INDEX('Production cost'!$A:$AU,MATCH($C1747,'Production cost'!$AU:$AU,0),28)/'Production cost'!$E$2,"")</f>
        <v/>
      </c>
    </row>
    <row r="1748" spans="2:10" ht="21.75">
      <c r="B1748" s="3143" t="s">
        <v>3654</v>
      </c>
      <c r="C1748" s="3143">
        <f t="shared" si="31"/>
        <v>403</v>
      </c>
      <c r="D1748" s="3143" t="str">
        <f ca="1">IFERROR(INDEX('Production cost'!$A:$AU,MATCH($C1748,'Production cost'!$AU:$AU,0),6),"")</f>
        <v/>
      </c>
      <c r="E1748" s="3143" t="str">
        <f ca="1">IFERROR(INDEX('Production cost'!$A:$AU,MATCH($C1748,'Production cost'!$AU:$AU,0),3),"")</f>
        <v/>
      </c>
      <c r="G1748" s="3153" t="str">
        <f ca="1">IFERROR(INDEX('Production cost'!$A:$AU,MATCH($C1748,'Production cost'!$AU:$AU,0),9),"")</f>
        <v/>
      </c>
      <c r="H1748" s="3599" t="str">
        <f ca="1">IFERROR(IFERROR(INDEX('Production cost'!$A:$AU,MATCH($C1748,'Production cost'!$AU:$AU,0),11),"")+IFERROR(INDEX('Production cost'!$A:$AU,MATCH($C1748,'Production cost'!$AU:$AU,0),12),""),"")</f>
        <v/>
      </c>
      <c r="I1748" s="3153" t="str">
        <f ca="1">IFERROR(INDEX('Production cost'!$A:$AU,MATCH($C1748,'Production cost'!$AU:$AU,0),28)/'Production cost'!$E$2,"")</f>
        <v/>
      </c>
      <c r="J1748" s="3153" t="str">
        <f ca="1">IFERROR(INDEX('Production cost'!$A:$AU,MATCH($C1748,'Production cost'!$AU:$AU,0),28)/'Production cost'!$E$2,"")</f>
        <v/>
      </c>
    </row>
    <row r="1749" spans="2:10" ht="21.75">
      <c r="B1749" s="3143" t="s">
        <v>3654</v>
      </c>
      <c r="C1749" s="3143">
        <f t="shared" si="31"/>
        <v>404</v>
      </c>
      <c r="D1749" s="3143" t="str">
        <f ca="1">IFERROR(INDEX('Production cost'!$A:$AU,MATCH($C1749,'Production cost'!$AU:$AU,0),6),"")</f>
        <v/>
      </c>
      <c r="E1749" s="3143" t="str">
        <f ca="1">IFERROR(INDEX('Production cost'!$A:$AU,MATCH($C1749,'Production cost'!$AU:$AU,0),3),"")</f>
        <v/>
      </c>
      <c r="G1749" s="3153" t="str">
        <f ca="1">IFERROR(INDEX('Production cost'!$A:$AU,MATCH($C1749,'Production cost'!$AU:$AU,0),9),"")</f>
        <v/>
      </c>
      <c r="H1749" s="3599" t="str">
        <f ca="1">IFERROR(IFERROR(INDEX('Production cost'!$A:$AU,MATCH($C1749,'Production cost'!$AU:$AU,0),11),"")+IFERROR(INDEX('Production cost'!$A:$AU,MATCH($C1749,'Production cost'!$AU:$AU,0),12),""),"")</f>
        <v/>
      </c>
      <c r="I1749" s="3153" t="str">
        <f ca="1">IFERROR(INDEX('Production cost'!$A:$AU,MATCH($C1749,'Production cost'!$AU:$AU,0),28)/'Production cost'!$E$2,"")</f>
        <v/>
      </c>
      <c r="J1749" s="3153" t="str">
        <f ca="1">IFERROR(INDEX('Production cost'!$A:$AU,MATCH($C1749,'Production cost'!$AU:$AU,0),28)/'Production cost'!$E$2,"")</f>
        <v/>
      </c>
    </row>
    <row r="1750" spans="2:10" ht="21.75">
      <c r="B1750" s="3143" t="s">
        <v>3654</v>
      </c>
      <c r="C1750" s="3143">
        <f t="shared" si="31"/>
        <v>405</v>
      </c>
      <c r="D1750" s="3143" t="str">
        <f ca="1">IFERROR(INDEX('Production cost'!$A:$AU,MATCH($C1750,'Production cost'!$AU:$AU,0),6),"")</f>
        <v/>
      </c>
      <c r="E1750" s="3143" t="str">
        <f ca="1">IFERROR(INDEX('Production cost'!$A:$AU,MATCH($C1750,'Production cost'!$AU:$AU,0),3),"")</f>
        <v/>
      </c>
      <c r="G1750" s="3153" t="str">
        <f ca="1">IFERROR(INDEX('Production cost'!$A:$AU,MATCH($C1750,'Production cost'!$AU:$AU,0),9),"")</f>
        <v/>
      </c>
      <c r="H1750" s="3599" t="str">
        <f ca="1">IFERROR(IFERROR(INDEX('Production cost'!$A:$AU,MATCH($C1750,'Production cost'!$AU:$AU,0),11),"")+IFERROR(INDEX('Production cost'!$A:$AU,MATCH($C1750,'Production cost'!$AU:$AU,0),12),""),"")</f>
        <v/>
      </c>
      <c r="I1750" s="3153" t="str">
        <f ca="1">IFERROR(INDEX('Production cost'!$A:$AU,MATCH($C1750,'Production cost'!$AU:$AU,0),28)/'Production cost'!$E$2,"")</f>
        <v/>
      </c>
      <c r="J1750" s="3153" t="str">
        <f ca="1">IFERROR(INDEX('Production cost'!$A:$AU,MATCH($C1750,'Production cost'!$AU:$AU,0),28)/'Production cost'!$E$2,"")</f>
        <v/>
      </c>
    </row>
    <row r="1751" spans="2:10" ht="21.75">
      <c r="B1751" s="3143" t="s">
        <v>3654</v>
      </c>
      <c r="C1751" s="3143">
        <f t="shared" si="31"/>
        <v>406</v>
      </c>
      <c r="D1751" s="3143" t="str">
        <f ca="1">IFERROR(INDEX('Production cost'!$A:$AU,MATCH($C1751,'Production cost'!$AU:$AU,0),6),"")</f>
        <v/>
      </c>
      <c r="E1751" s="3143" t="str">
        <f ca="1">IFERROR(INDEX('Production cost'!$A:$AU,MATCH($C1751,'Production cost'!$AU:$AU,0),3),"")</f>
        <v/>
      </c>
      <c r="G1751" s="3153" t="str">
        <f ca="1">IFERROR(INDEX('Production cost'!$A:$AU,MATCH($C1751,'Production cost'!$AU:$AU,0),9),"")</f>
        <v/>
      </c>
      <c r="H1751" s="3599" t="str">
        <f ca="1">IFERROR(IFERROR(INDEX('Production cost'!$A:$AU,MATCH($C1751,'Production cost'!$AU:$AU,0),11),"")+IFERROR(INDEX('Production cost'!$A:$AU,MATCH($C1751,'Production cost'!$AU:$AU,0),12),""),"")</f>
        <v/>
      </c>
      <c r="I1751" s="3153" t="str">
        <f ca="1">IFERROR(INDEX('Production cost'!$A:$AU,MATCH($C1751,'Production cost'!$AU:$AU,0),28)/'Production cost'!$E$2,"")</f>
        <v/>
      </c>
      <c r="J1751" s="3153" t="str">
        <f ca="1">IFERROR(INDEX('Production cost'!$A:$AU,MATCH($C1751,'Production cost'!$AU:$AU,0),28)/'Production cost'!$E$2,"")</f>
        <v/>
      </c>
    </row>
    <row r="1752" spans="2:10" ht="21.75">
      <c r="B1752" s="3143" t="s">
        <v>3654</v>
      </c>
      <c r="C1752" s="3143">
        <f t="shared" si="31"/>
        <v>407</v>
      </c>
      <c r="D1752" s="3143" t="str">
        <f ca="1">IFERROR(INDEX('Production cost'!$A:$AU,MATCH($C1752,'Production cost'!$AU:$AU,0),6),"")</f>
        <v/>
      </c>
      <c r="E1752" s="3143" t="str">
        <f ca="1">IFERROR(INDEX('Production cost'!$A:$AU,MATCH($C1752,'Production cost'!$AU:$AU,0),3),"")</f>
        <v/>
      </c>
      <c r="G1752" s="3153" t="str">
        <f ca="1">IFERROR(INDEX('Production cost'!$A:$AU,MATCH($C1752,'Production cost'!$AU:$AU,0),9),"")</f>
        <v/>
      </c>
      <c r="H1752" s="3599" t="str">
        <f ca="1">IFERROR(IFERROR(INDEX('Production cost'!$A:$AU,MATCH($C1752,'Production cost'!$AU:$AU,0),11),"")+IFERROR(INDEX('Production cost'!$A:$AU,MATCH($C1752,'Production cost'!$AU:$AU,0),12),""),"")</f>
        <v/>
      </c>
      <c r="I1752" s="3153" t="str">
        <f ca="1">IFERROR(INDEX('Production cost'!$A:$AU,MATCH($C1752,'Production cost'!$AU:$AU,0),28)/'Production cost'!$E$2,"")</f>
        <v/>
      </c>
      <c r="J1752" s="3153" t="str">
        <f ca="1">IFERROR(INDEX('Production cost'!$A:$AU,MATCH($C1752,'Production cost'!$AU:$AU,0),28)/'Production cost'!$E$2,"")</f>
        <v/>
      </c>
    </row>
    <row r="1753" spans="2:10" ht="21.75">
      <c r="B1753" s="3143" t="s">
        <v>3654</v>
      </c>
      <c r="C1753" s="3143">
        <f t="shared" si="31"/>
        <v>408</v>
      </c>
      <c r="D1753" s="3143" t="str">
        <f ca="1">IFERROR(INDEX('Production cost'!$A:$AU,MATCH($C1753,'Production cost'!$AU:$AU,0),6),"")</f>
        <v/>
      </c>
      <c r="E1753" s="3143" t="str">
        <f ca="1">IFERROR(INDEX('Production cost'!$A:$AU,MATCH($C1753,'Production cost'!$AU:$AU,0),3),"")</f>
        <v/>
      </c>
      <c r="G1753" s="3153" t="str">
        <f ca="1">IFERROR(INDEX('Production cost'!$A:$AU,MATCH($C1753,'Production cost'!$AU:$AU,0),9),"")</f>
        <v/>
      </c>
      <c r="H1753" s="3599" t="str">
        <f ca="1">IFERROR(IFERROR(INDEX('Production cost'!$A:$AU,MATCH($C1753,'Production cost'!$AU:$AU,0),11),"")+IFERROR(INDEX('Production cost'!$A:$AU,MATCH($C1753,'Production cost'!$AU:$AU,0),12),""),"")</f>
        <v/>
      </c>
      <c r="I1753" s="3153" t="str">
        <f ca="1">IFERROR(INDEX('Production cost'!$A:$AU,MATCH($C1753,'Production cost'!$AU:$AU,0),28)/'Production cost'!$E$2,"")</f>
        <v/>
      </c>
      <c r="J1753" s="3153" t="str">
        <f ca="1">IFERROR(INDEX('Production cost'!$A:$AU,MATCH($C1753,'Production cost'!$AU:$AU,0),28)/'Production cost'!$E$2,"")</f>
        <v/>
      </c>
    </row>
    <row r="1754" spans="2:10" ht="21.75">
      <c r="B1754" s="3143" t="s">
        <v>3654</v>
      </c>
      <c r="C1754" s="3143">
        <f t="shared" si="31"/>
        <v>409</v>
      </c>
      <c r="D1754" s="3143" t="str">
        <f ca="1">IFERROR(INDEX('Production cost'!$A:$AU,MATCH($C1754,'Production cost'!$AU:$AU,0),6),"")</f>
        <v/>
      </c>
      <c r="E1754" s="3143" t="str">
        <f ca="1">IFERROR(INDEX('Production cost'!$A:$AU,MATCH($C1754,'Production cost'!$AU:$AU,0),3),"")</f>
        <v/>
      </c>
      <c r="G1754" s="3153" t="str">
        <f ca="1">IFERROR(INDEX('Production cost'!$A:$AU,MATCH($C1754,'Production cost'!$AU:$AU,0),9),"")</f>
        <v/>
      </c>
      <c r="H1754" s="3599" t="str">
        <f ca="1">IFERROR(IFERROR(INDEX('Production cost'!$A:$AU,MATCH($C1754,'Production cost'!$AU:$AU,0),11),"")+IFERROR(INDEX('Production cost'!$A:$AU,MATCH($C1754,'Production cost'!$AU:$AU,0),12),""),"")</f>
        <v/>
      </c>
      <c r="I1754" s="3153" t="str">
        <f ca="1">IFERROR(INDEX('Production cost'!$A:$AU,MATCH($C1754,'Production cost'!$AU:$AU,0),28)/'Production cost'!$E$2,"")</f>
        <v/>
      </c>
      <c r="J1754" s="3153" t="str">
        <f ca="1">IFERROR(INDEX('Production cost'!$A:$AU,MATCH($C1754,'Production cost'!$AU:$AU,0),28)/'Production cost'!$E$2,"")</f>
        <v/>
      </c>
    </row>
    <row r="1755" spans="2:10" ht="21.75">
      <c r="B1755" s="3143" t="s">
        <v>3654</v>
      </c>
      <c r="C1755" s="3143">
        <f t="shared" si="31"/>
        <v>410</v>
      </c>
      <c r="D1755" s="3143" t="str">
        <f ca="1">IFERROR(INDEX('Production cost'!$A:$AU,MATCH($C1755,'Production cost'!$AU:$AU,0),6),"")</f>
        <v/>
      </c>
      <c r="E1755" s="3143" t="str">
        <f ca="1">IFERROR(INDEX('Production cost'!$A:$AU,MATCH($C1755,'Production cost'!$AU:$AU,0),3),"")</f>
        <v/>
      </c>
      <c r="G1755" s="3153" t="str">
        <f ca="1">IFERROR(INDEX('Production cost'!$A:$AU,MATCH($C1755,'Production cost'!$AU:$AU,0),9),"")</f>
        <v/>
      </c>
      <c r="H1755" s="3599" t="str">
        <f ca="1">IFERROR(IFERROR(INDEX('Production cost'!$A:$AU,MATCH($C1755,'Production cost'!$AU:$AU,0),11),"")+IFERROR(INDEX('Production cost'!$A:$AU,MATCH($C1755,'Production cost'!$AU:$AU,0),12),""),"")</f>
        <v/>
      </c>
      <c r="I1755" s="3153" t="str">
        <f ca="1">IFERROR(INDEX('Production cost'!$A:$AU,MATCH($C1755,'Production cost'!$AU:$AU,0),28)/'Production cost'!$E$2,"")</f>
        <v/>
      </c>
      <c r="J1755" s="3153" t="str">
        <f ca="1">IFERROR(INDEX('Production cost'!$A:$AU,MATCH($C1755,'Production cost'!$AU:$AU,0),28)/'Production cost'!$E$2,"")</f>
        <v/>
      </c>
    </row>
    <row r="1756" spans="2:10" ht="21.75">
      <c r="B1756" s="3143" t="s">
        <v>3654</v>
      </c>
      <c r="C1756" s="3143">
        <f t="shared" si="31"/>
        <v>411</v>
      </c>
      <c r="D1756" s="3143" t="str">
        <f ca="1">IFERROR(INDEX('Production cost'!$A:$AU,MATCH($C1756,'Production cost'!$AU:$AU,0),6),"")</f>
        <v/>
      </c>
      <c r="E1756" s="3143" t="str">
        <f ca="1">IFERROR(INDEX('Production cost'!$A:$AU,MATCH($C1756,'Production cost'!$AU:$AU,0),3),"")</f>
        <v/>
      </c>
      <c r="G1756" s="3153" t="str">
        <f ca="1">IFERROR(INDEX('Production cost'!$A:$AU,MATCH($C1756,'Production cost'!$AU:$AU,0),9),"")</f>
        <v/>
      </c>
      <c r="H1756" s="3599" t="str">
        <f ca="1">IFERROR(IFERROR(INDEX('Production cost'!$A:$AU,MATCH($C1756,'Production cost'!$AU:$AU,0),11),"")+IFERROR(INDEX('Production cost'!$A:$AU,MATCH($C1756,'Production cost'!$AU:$AU,0),12),""),"")</f>
        <v/>
      </c>
      <c r="I1756" s="3153" t="str">
        <f ca="1">IFERROR(INDEX('Production cost'!$A:$AU,MATCH($C1756,'Production cost'!$AU:$AU,0),28)/'Production cost'!$E$2,"")</f>
        <v/>
      </c>
      <c r="J1756" s="3153" t="str">
        <f ca="1">IFERROR(INDEX('Production cost'!$A:$AU,MATCH($C1756,'Production cost'!$AU:$AU,0),28)/'Production cost'!$E$2,"")</f>
        <v/>
      </c>
    </row>
    <row r="1757" spans="2:10" ht="21.75">
      <c r="B1757" s="3143" t="s">
        <v>3654</v>
      </c>
      <c r="C1757" s="3143">
        <f t="shared" si="31"/>
        <v>412</v>
      </c>
      <c r="D1757" s="3143" t="str">
        <f ca="1">IFERROR(INDEX('Production cost'!$A:$AU,MATCH($C1757,'Production cost'!$AU:$AU,0),6),"")</f>
        <v/>
      </c>
      <c r="E1757" s="3143" t="str">
        <f ca="1">IFERROR(INDEX('Production cost'!$A:$AU,MATCH($C1757,'Production cost'!$AU:$AU,0),3),"")</f>
        <v/>
      </c>
      <c r="G1757" s="3153" t="str">
        <f ca="1">IFERROR(INDEX('Production cost'!$A:$AU,MATCH($C1757,'Production cost'!$AU:$AU,0),9),"")</f>
        <v/>
      </c>
      <c r="H1757" s="3599" t="str">
        <f ca="1">IFERROR(IFERROR(INDEX('Production cost'!$A:$AU,MATCH($C1757,'Production cost'!$AU:$AU,0),11),"")+IFERROR(INDEX('Production cost'!$A:$AU,MATCH($C1757,'Production cost'!$AU:$AU,0),12),""),"")</f>
        <v/>
      </c>
      <c r="I1757" s="3153" t="str">
        <f ca="1">IFERROR(INDEX('Production cost'!$A:$AU,MATCH($C1757,'Production cost'!$AU:$AU,0),28)/'Production cost'!$E$2,"")</f>
        <v/>
      </c>
      <c r="J1757" s="3153" t="str">
        <f ca="1">IFERROR(INDEX('Production cost'!$A:$AU,MATCH($C1757,'Production cost'!$AU:$AU,0),28)/'Production cost'!$E$2,"")</f>
        <v/>
      </c>
    </row>
    <row r="1758" spans="2:10" ht="21.75">
      <c r="B1758" s="3143" t="s">
        <v>3654</v>
      </c>
      <c r="C1758" s="3143">
        <f t="shared" si="31"/>
        <v>413</v>
      </c>
      <c r="D1758" s="3143" t="str">
        <f ca="1">IFERROR(INDEX('Production cost'!$A:$AU,MATCH($C1758,'Production cost'!$AU:$AU,0),6),"")</f>
        <v/>
      </c>
      <c r="E1758" s="3143" t="str">
        <f ca="1">IFERROR(INDEX('Production cost'!$A:$AU,MATCH($C1758,'Production cost'!$AU:$AU,0),3),"")</f>
        <v/>
      </c>
      <c r="G1758" s="3153" t="str">
        <f ca="1">IFERROR(INDEX('Production cost'!$A:$AU,MATCH($C1758,'Production cost'!$AU:$AU,0),9),"")</f>
        <v/>
      </c>
      <c r="H1758" s="3599" t="str">
        <f ca="1">IFERROR(IFERROR(INDEX('Production cost'!$A:$AU,MATCH($C1758,'Production cost'!$AU:$AU,0),11),"")+IFERROR(INDEX('Production cost'!$A:$AU,MATCH($C1758,'Production cost'!$AU:$AU,0),12),""),"")</f>
        <v/>
      </c>
      <c r="I1758" s="3153" t="str">
        <f ca="1">IFERROR(INDEX('Production cost'!$A:$AU,MATCH($C1758,'Production cost'!$AU:$AU,0),28)/'Production cost'!$E$2,"")</f>
        <v/>
      </c>
      <c r="J1758" s="3153" t="str">
        <f ca="1">IFERROR(INDEX('Production cost'!$A:$AU,MATCH($C1758,'Production cost'!$AU:$AU,0),28)/'Production cost'!$E$2,"")</f>
        <v/>
      </c>
    </row>
    <row r="1759" spans="2:10" ht="21.75">
      <c r="B1759" s="3143" t="s">
        <v>3654</v>
      </c>
      <c r="C1759" s="3143">
        <f t="shared" si="31"/>
        <v>414</v>
      </c>
      <c r="D1759" s="3143" t="str">
        <f ca="1">IFERROR(INDEX('Production cost'!$A:$AU,MATCH($C1759,'Production cost'!$AU:$AU,0),6),"")</f>
        <v/>
      </c>
      <c r="E1759" s="3143" t="str">
        <f ca="1">IFERROR(INDEX('Production cost'!$A:$AU,MATCH($C1759,'Production cost'!$AU:$AU,0),3),"")</f>
        <v/>
      </c>
      <c r="G1759" s="3153" t="str">
        <f ca="1">IFERROR(INDEX('Production cost'!$A:$AU,MATCH($C1759,'Production cost'!$AU:$AU,0),9),"")</f>
        <v/>
      </c>
      <c r="H1759" s="3599" t="str">
        <f ca="1">IFERROR(IFERROR(INDEX('Production cost'!$A:$AU,MATCH($C1759,'Production cost'!$AU:$AU,0),11),"")+IFERROR(INDEX('Production cost'!$A:$AU,MATCH($C1759,'Production cost'!$AU:$AU,0),12),""),"")</f>
        <v/>
      </c>
      <c r="I1759" s="3153" t="str">
        <f ca="1">IFERROR(INDEX('Production cost'!$A:$AU,MATCH($C1759,'Production cost'!$AU:$AU,0),28)/'Production cost'!$E$2,"")</f>
        <v/>
      </c>
      <c r="J1759" s="3153" t="str">
        <f ca="1">IFERROR(INDEX('Production cost'!$A:$AU,MATCH($C1759,'Production cost'!$AU:$AU,0),28)/'Production cost'!$E$2,"")</f>
        <v/>
      </c>
    </row>
    <row r="1760" spans="2:10" ht="21.75">
      <c r="B1760" s="3143" t="s">
        <v>3654</v>
      </c>
      <c r="C1760" s="3143">
        <f t="shared" si="31"/>
        <v>415</v>
      </c>
      <c r="D1760" s="3143" t="str">
        <f ca="1">IFERROR(INDEX('Production cost'!$A:$AU,MATCH($C1760,'Production cost'!$AU:$AU,0),6),"")</f>
        <v/>
      </c>
      <c r="E1760" s="3143" t="str">
        <f ca="1">IFERROR(INDEX('Production cost'!$A:$AU,MATCH($C1760,'Production cost'!$AU:$AU,0),3),"")</f>
        <v/>
      </c>
      <c r="G1760" s="3153" t="str">
        <f ca="1">IFERROR(INDEX('Production cost'!$A:$AU,MATCH($C1760,'Production cost'!$AU:$AU,0),9),"")</f>
        <v/>
      </c>
      <c r="H1760" s="3599" t="str">
        <f ca="1">IFERROR(IFERROR(INDEX('Production cost'!$A:$AU,MATCH($C1760,'Production cost'!$AU:$AU,0),11),"")+IFERROR(INDEX('Production cost'!$A:$AU,MATCH($C1760,'Production cost'!$AU:$AU,0),12),""),"")</f>
        <v/>
      </c>
      <c r="I1760" s="3153" t="str">
        <f ca="1">IFERROR(INDEX('Production cost'!$A:$AU,MATCH($C1760,'Production cost'!$AU:$AU,0),28)/'Production cost'!$E$2,"")</f>
        <v/>
      </c>
      <c r="J1760" s="3153" t="str">
        <f ca="1">IFERROR(INDEX('Production cost'!$A:$AU,MATCH($C1760,'Production cost'!$AU:$AU,0),28)/'Production cost'!$E$2,"")</f>
        <v/>
      </c>
    </row>
    <row r="1761" spans="2:10" ht="21.75">
      <c r="B1761" s="3143" t="s">
        <v>3654</v>
      </c>
      <c r="C1761" s="3143">
        <f t="shared" si="31"/>
        <v>416</v>
      </c>
      <c r="D1761" s="3143" t="str">
        <f ca="1">IFERROR(INDEX('Production cost'!$A:$AU,MATCH($C1761,'Production cost'!$AU:$AU,0),6),"")</f>
        <v/>
      </c>
      <c r="E1761" s="3143" t="str">
        <f ca="1">IFERROR(INDEX('Production cost'!$A:$AU,MATCH($C1761,'Production cost'!$AU:$AU,0),3),"")</f>
        <v/>
      </c>
      <c r="G1761" s="3153" t="str">
        <f ca="1">IFERROR(INDEX('Production cost'!$A:$AU,MATCH($C1761,'Production cost'!$AU:$AU,0),9),"")</f>
        <v/>
      </c>
      <c r="H1761" s="3599" t="str">
        <f ca="1">IFERROR(IFERROR(INDEX('Production cost'!$A:$AU,MATCH($C1761,'Production cost'!$AU:$AU,0),11),"")+IFERROR(INDEX('Production cost'!$A:$AU,MATCH($C1761,'Production cost'!$AU:$AU,0),12),""),"")</f>
        <v/>
      </c>
      <c r="I1761" s="3153" t="str">
        <f ca="1">IFERROR(INDEX('Production cost'!$A:$AU,MATCH($C1761,'Production cost'!$AU:$AU,0),28)/'Production cost'!$E$2,"")</f>
        <v/>
      </c>
      <c r="J1761" s="3153" t="str">
        <f ca="1">IFERROR(INDEX('Production cost'!$A:$AU,MATCH($C1761,'Production cost'!$AU:$AU,0),28)/'Production cost'!$E$2,"")</f>
        <v/>
      </c>
    </row>
    <row r="1762" spans="2:10" ht="21.75">
      <c r="B1762" s="3143" t="s">
        <v>3654</v>
      </c>
      <c r="C1762" s="3143">
        <f t="shared" si="31"/>
        <v>417</v>
      </c>
      <c r="D1762" s="3143" t="str">
        <f ca="1">IFERROR(INDEX('Production cost'!$A:$AU,MATCH($C1762,'Production cost'!$AU:$AU,0),6),"")</f>
        <v/>
      </c>
      <c r="E1762" s="3143" t="str">
        <f ca="1">IFERROR(INDEX('Production cost'!$A:$AU,MATCH($C1762,'Production cost'!$AU:$AU,0),3),"")</f>
        <v/>
      </c>
      <c r="G1762" s="3153" t="str">
        <f ca="1">IFERROR(INDEX('Production cost'!$A:$AU,MATCH($C1762,'Production cost'!$AU:$AU,0),9),"")</f>
        <v/>
      </c>
      <c r="H1762" s="3599" t="str">
        <f ca="1">IFERROR(IFERROR(INDEX('Production cost'!$A:$AU,MATCH($C1762,'Production cost'!$AU:$AU,0),11),"")+IFERROR(INDEX('Production cost'!$A:$AU,MATCH($C1762,'Production cost'!$AU:$AU,0),12),""),"")</f>
        <v/>
      </c>
      <c r="I1762" s="3153" t="str">
        <f ca="1">IFERROR(INDEX('Production cost'!$A:$AU,MATCH($C1762,'Production cost'!$AU:$AU,0),28)/'Production cost'!$E$2,"")</f>
        <v/>
      </c>
      <c r="J1762" s="3153" t="str">
        <f ca="1">IFERROR(INDEX('Production cost'!$A:$AU,MATCH($C1762,'Production cost'!$AU:$AU,0),28)/'Production cost'!$E$2,"")</f>
        <v/>
      </c>
    </row>
    <row r="1763" spans="2:10" ht="21.75">
      <c r="B1763" s="3143" t="s">
        <v>3654</v>
      </c>
      <c r="C1763" s="3143">
        <f t="shared" si="31"/>
        <v>418</v>
      </c>
      <c r="D1763" s="3143" t="str">
        <f ca="1">IFERROR(INDEX('Production cost'!$A:$AU,MATCH($C1763,'Production cost'!$AU:$AU,0),6),"")</f>
        <v/>
      </c>
      <c r="E1763" s="3143" t="str">
        <f ca="1">IFERROR(INDEX('Production cost'!$A:$AU,MATCH($C1763,'Production cost'!$AU:$AU,0),3),"")</f>
        <v/>
      </c>
      <c r="G1763" s="3153" t="str">
        <f ca="1">IFERROR(INDEX('Production cost'!$A:$AU,MATCH($C1763,'Production cost'!$AU:$AU,0),9),"")</f>
        <v/>
      </c>
      <c r="H1763" s="3599" t="str">
        <f ca="1">IFERROR(IFERROR(INDEX('Production cost'!$A:$AU,MATCH($C1763,'Production cost'!$AU:$AU,0),11),"")+IFERROR(INDEX('Production cost'!$A:$AU,MATCH($C1763,'Production cost'!$AU:$AU,0),12),""),"")</f>
        <v/>
      </c>
      <c r="I1763" s="3153" t="str">
        <f ca="1">IFERROR(INDEX('Production cost'!$A:$AU,MATCH($C1763,'Production cost'!$AU:$AU,0),28)/'Production cost'!$E$2,"")</f>
        <v/>
      </c>
      <c r="J1763" s="3153" t="str">
        <f ca="1">IFERROR(INDEX('Production cost'!$A:$AU,MATCH($C1763,'Production cost'!$AU:$AU,0),28)/'Production cost'!$E$2,"")</f>
        <v/>
      </c>
    </row>
    <row r="1764" spans="2:10" ht="21.75">
      <c r="B1764" s="3143" t="s">
        <v>3654</v>
      </c>
      <c r="C1764" s="3143">
        <f t="shared" si="31"/>
        <v>419</v>
      </c>
      <c r="D1764" s="3143" t="str">
        <f ca="1">IFERROR(INDEX('Production cost'!$A:$AU,MATCH($C1764,'Production cost'!$AU:$AU,0),6),"")</f>
        <v/>
      </c>
      <c r="E1764" s="3143" t="str">
        <f ca="1">IFERROR(INDEX('Production cost'!$A:$AU,MATCH($C1764,'Production cost'!$AU:$AU,0),3),"")</f>
        <v/>
      </c>
      <c r="G1764" s="3153" t="str">
        <f ca="1">IFERROR(INDEX('Production cost'!$A:$AU,MATCH($C1764,'Production cost'!$AU:$AU,0),9),"")</f>
        <v/>
      </c>
      <c r="H1764" s="3599" t="str">
        <f ca="1">IFERROR(IFERROR(INDEX('Production cost'!$A:$AU,MATCH($C1764,'Production cost'!$AU:$AU,0),11),"")+IFERROR(INDEX('Production cost'!$A:$AU,MATCH($C1764,'Production cost'!$AU:$AU,0),12),""),"")</f>
        <v/>
      </c>
      <c r="I1764" s="3153" t="str">
        <f ca="1">IFERROR(INDEX('Production cost'!$A:$AU,MATCH($C1764,'Production cost'!$AU:$AU,0),28)/'Production cost'!$E$2,"")</f>
        <v/>
      </c>
      <c r="J1764" s="3153" t="str">
        <f ca="1">IFERROR(INDEX('Production cost'!$A:$AU,MATCH($C1764,'Production cost'!$AU:$AU,0),28)/'Production cost'!$E$2,"")</f>
        <v/>
      </c>
    </row>
    <row r="1765" spans="2:10" ht="21.75">
      <c r="B1765" s="3143" t="s">
        <v>3654</v>
      </c>
      <c r="C1765" s="3143">
        <f t="shared" si="31"/>
        <v>420</v>
      </c>
      <c r="D1765" s="3143" t="str">
        <f ca="1">IFERROR(INDEX('Production cost'!$A:$AU,MATCH($C1765,'Production cost'!$AU:$AU,0),6),"")</f>
        <v/>
      </c>
      <c r="E1765" s="3143" t="str">
        <f ca="1">IFERROR(INDEX('Production cost'!$A:$AU,MATCH($C1765,'Production cost'!$AU:$AU,0),3),"")</f>
        <v/>
      </c>
      <c r="G1765" s="3153" t="str">
        <f ca="1">IFERROR(INDEX('Production cost'!$A:$AU,MATCH($C1765,'Production cost'!$AU:$AU,0),9),"")</f>
        <v/>
      </c>
      <c r="H1765" s="3599" t="str">
        <f ca="1">IFERROR(IFERROR(INDEX('Production cost'!$A:$AU,MATCH($C1765,'Production cost'!$AU:$AU,0),11),"")+IFERROR(INDEX('Production cost'!$A:$AU,MATCH($C1765,'Production cost'!$AU:$AU,0),12),""),"")</f>
        <v/>
      </c>
      <c r="I1765" s="3153" t="str">
        <f ca="1">IFERROR(INDEX('Production cost'!$A:$AU,MATCH($C1765,'Production cost'!$AU:$AU,0),28)/'Production cost'!$E$2,"")</f>
        <v/>
      </c>
      <c r="J1765" s="3153" t="str">
        <f ca="1">IFERROR(INDEX('Production cost'!$A:$AU,MATCH($C1765,'Production cost'!$AU:$AU,0),28)/'Production cost'!$E$2,"")</f>
        <v/>
      </c>
    </row>
    <row r="1766" spans="2:10" ht="21.75">
      <c r="B1766" s="3143" t="s">
        <v>3654</v>
      </c>
      <c r="C1766" s="3143">
        <f t="shared" si="31"/>
        <v>421</v>
      </c>
      <c r="D1766" s="3143" t="str">
        <f ca="1">IFERROR(INDEX('Production cost'!$A:$AU,MATCH($C1766,'Production cost'!$AU:$AU,0),6),"")</f>
        <v/>
      </c>
      <c r="E1766" s="3143" t="str">
        <f ca="1">IFERROR(INDEX('Production cost'!$A:$AU,MATCH($C1766,'Production cost'!$AU:$AU,0),3),"")</f>
        <v/>
      </c>
      <c r="G1766" s="3153" t="str">
        <f ca="1">IFERROR(INDEX('Production cost'!$A:$AU,MATCH($C1766,'Production cost'!$AU:$AU,0),9),"")</f>
        <v/>
      </c>
      <c r="H1766" s="3599" t="str">
        <f ca="1">IFERROR(IFERROR(INDEX('Production cost'!$A:$AU,MATCH($C1766,'Production cost'!$AU:$AU,0),11),"")+IFERROR(INDEX('Production cost'!$A:$AU,MATCH($C1766,'Production cost'!$AU:$AU,0),12),""),"")</f>
        <v/>
      </c>
      <c r="I1766" s="3153" t="str">
        <f ca="1">IFERROR(INDEX('Production cost'!$A:$AU,MATCH($C1766,'Production cost'!$AU:$AU,0),28)/'Production cost'!$E$2,"")</f>
        <v/>
      </c>
      <c r="J1766" s="3153" t="str">
        <f ca="1">IFERROR(INDEX('Production cost'!$A:$AU,MATCH($C1766,'Production cost'!$AU:$AU,0),28)/'Production cost'!$E$2,"")</f>
        <v/>
      </c>
    </row>
    <row r="1767" spans="2:10" ht="21.75">
      <c r="B1767" s="3143" t="s">
        <v>3654</v>
      </c>
      <c r="C1767" s="3143">
        <f t="shared" si="31"/>
        <v>422</v>
      </c>
      <c r="D1767" s="3143" t="str">
        <f ca="1">IFERROR(INDEX('Production cost'!$A:$AU,MATCH($C1767,'Production cost'!$AU:$AU,0),6),"")</f>
        <v/>
      </c>
      <c r="E1767" s="3143" t="str">
        <f ca="1">IFERROR(INDEX('Production cost'!$A:$AU,MATCH($C1767,'Production cost'!$AU:$AU,0),3),"")</f>
        <v/>
      </c>
      <c r="G1767" s="3153" t="str">
        <f ca="1">IFERROR(INDEX('Production cost'!$A:$AU,MATCH($C1767,'Production cost'!$AU:$AU,0),9),"")</f>
        <v/>
      </c>
      <c r="H1767" s="3599" t="str">
        <f ca="1">IFERROR(IFERROR(INDEX('Production cost'!$A:$AU,MATCH($C1767,'Production cost'!$AU:$AU,0),11),"")+IFERROR(INDEX('Production cost'!$A:$AU,MATCH($C1767,'Production cost'!$AU:$AU,0),12),""),"")</f>
        <v/>
      </c>
      <c r="I1767" s="3153" t="str">
        <f ca="1">IFERROR(INDEX('Production cost'!$A:$AU,MATCH($C1767,'Production cost'!$AU:$AU,0),28)/'Production cost'!$E$2,"")</f>
        <v/>
      </c>
      <c r="J1767" s="3153" t="str">
        <f ca="1">IFERROR(INDEX('Production cost'!$A:$AU,MATCH($C1767,'Production cost'!$AU:$AU,0),28)/'Production cost'!$E$2,"")</f>
        <v/>
      </c>
    </row>
  </sheetData>
  <autoFilter ref="B2:J1767" xr:uid="{64DD8468-CE90-4080-AED1-E7A9D45F574D}"/>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AU242"/>
  <sheetViews>
    <sheetView showGridLines="0" topLeftCell="A111" zoomScale="70" zoomScaleNormal="70" workbookViewId="0">
      <selection activeCell="C9" sqref="A9:H597"/>
    </sheetView>
  </sheetViews>
  <sheetFormatPr defaultColWidth="9" defaultRowHeight="19.5" customHeight="1" outlineLevelRow="1"/>
  <cols>
    <col min="1" max="1" width="10.5703125" style="136" customWidth="1"/>
    <col min="2" max="2" width="8.28515625" style="136" customWidth="1"/>
    <col min="3" max="3" width="16.85546875" style="136" customWidth="1"/>
    <col min="4" max="4" width="9.5703125" style="136" customWidth="1"/>
    <col min="5" max="5" width="15" style="136" customWidth="1"/>
    <col min="6" max="6" width="11.85546875" style="320" customWidth="1"/>
    <col min="7" max="7" width="13.85546875" style="136" customWidth="1"/>
    <col min="8" max="8" width="14" style="136" customWidth="1"/>
    <col min="9" max="9" width="10.5703125" style="313" customWidth="1"/>
    <col min="10" max="10" width="11.28515625" style="385" customWidth="1"/>
    <col min="11" max="23" width="9" style="136" customWidth="1"/>
    <col min="24" max="41" width="8.85546875" style="136" customWidth="1"/>
    <col min="42" max="16384" width="9" style="136"/>
  </cols>
  <sheetData>
    <row r="1" spans="1:47" ht="19.5" customHeight="1" thickBot="1"/>
    <row r="2" spans="1:47" ht="19.5" customHeight="1">
      <c r="B2" s="1724" t="s">
        <v>77</v>
      </c>
      <c r="C2" s="1725"/>
      <c r="D2" s="1726">
        <f>'Cost EST. GM target'!$L$6/(1+$F$3)</f>
        <v>5000</v>
      </c>
      <c r="E2" s="1725" t="s">
        <v>11</v>
      </c>
      <c r="F2" s="1725"/>
      <c r="G2" s="432"/>
      <c r="H2" s="791"/>
      <c r="I2" s="797"/>
      <c r="J2" s="791"/>
      <c r="M2" s="314"/>
      <c r="N2" s="194"/>
      <c r="Z2" s="319"/>
      <c r="AA2" s="333"/>
      <c r="AB2" s="333"/>
      <c r="AC2" s="333"/>
      <c r="AD2" s="319"/>
    </row>
    <row r="3" spans="1:47" ht="19.5" customHeight="1">
      <c r="B3" s="882" t="s">
        <v>1342</v>
      </c>
      <c r="D3" s="883">
        <f>D2*(1+$F$3)</f>
        <v>5000</v>
      </c>
      <c r="E3" s="791" t="s">
        <v>11</v>
      </c>
      <c r="F3" s="797">
        <f>'Cost EST. GM target'!$N$6</f>
        <v>0</v>
      </c>
      <c r="G3" s="884" t="s">
        <v>1094</v>
      </c>
      <c r="I3" s="797"/>
      <c r="J3" s="791"/>
      <c r="M3" s="314"/>
      <c r="N3" s="194"/>
      <c r="Z3" s="319"/>
      <c r="AA3" s="333"/>
      <c r="AB3" s="333"/>
      <c r="AC3" s="333"/>
      <c r="AD3" s="319"/>
    </row>
    <row r="4" spans="1:47" ht="19.5" customHeight="1" thickBot="1">
      <c r="B4" s="885" t="s">
        <v>1341</v>
      </c>
      <c r="C4" s="886"/>
      <c r="D4" s="887">
        <f>D3*(1+$F$4)</f>
        <v>5225</v>
      </c>
      <c r="E4" s="886" t="s">
        <v>11</v>
      </c>
      <c r="F4" s="888">
        <f>input!$D$4</f>
        <v>4.4999999999999998E-2</v>
      </c>
      <c r="G4" s="889" t="s">
        <v>78</v>
      </c>
      <c r="I4" s="797"/>
      <c r="J4" s="791"/>
      <c r="M4" s="314"/>
      <c r="N4" s="194"/>
      <c r="Z4" s="319"/>
      <c r="AA4" s="333"/>
      <c r="AB4" s="333"/>
      <c r="AC4" s="333"/>
      <c r="AD4" s="319"/>
    </row>
    <row r="5" spans="1:47" ht="15.75" customHeight="1">
      <c r="E5" s="383"/>
      <c r="F5" s="333"/>
      <c r="H5" s="333"/>
      <c r="I5" s="384"/>
      <c r="M5" s="319" t="s">
        <v>267</v>
      </c>
      <c r="N5" s="720">
        <v>0</v>
      </c>
      <c r="AB5" s="333"/>
      <c r="AC5" s="333"/>
      <c r="AD5" s="333"/>
    </row>
    <row r="6" spans="1:47" ht="19.5" customHeight="1">
      <c r="A6" s="333"/>
      <c r="B6" s="319" t="s">
        <v>1190</v>
      </c>
      <c r="D6" s="319"/>
      <c r="F6" s="136"/>
      <c r="H6" s="865"/>
      <c r="I6" s="865"/>
      <c r="J6" s="984" t="s">
        <v>21</v>
      </c>
      <c r="K6" s="985">
        <f ca="1">SUM($K$9:$K$167)</f>
        <v>4844158.979089791</v>
      </c>
      <c r="L6" s="984" t="s">
        <v>92</v>
      </c>
      <c r="M6" s="984" t="s">
        <v>1515</v>
      </c>
      <c r="N6" s="950">
        <f ca="1">SUM($N$9:$N$167)*(1+$N$5)</f>
        <v>48.441589790897908</v>
      </c>
      <c r="O6" s="950" t="s">
        <v>97</v>
      </c>
      <c r="AB6" s="384"/>
      <c r="AC6" s="384"/>
      <c r="AD6" s="384"/>
    </row>
    <row r="7" spans="1:47" ht="19.5" customHeight="1">
      <c r="A7" s="333"/>
      <c r="B7" s="319"/>
      <c r="D7" s="319"/>
      <c r="F7" s="136"/>
      <c r="H7" s="950"/>
      <c r="I7" s="2920"/>
      <c r="J7" s="2746"/>
      <c r="K7" s="984"/>
      <c r="L7" s="333" t="s">
        <v>1191</v>
      </c>
      <c r="M7" s="322" t="s">
        <v>2943</v>
      </c>
      <c r="N7" s="833"/>
      <c r="AB7" s="384"/>
      <c r="AC7" s="384"/>
      <c r="AD7" s="384"/>
      <c r="AT7" s="413"/>
      <c r="AU7" s="413"/>
    </row>
    <row r="8" spans="1:47" ht="19.5" customHeight="1">
      <c r="A8" s="333"/>
      <c r="B8" s="322" t="s">
        <v>750</v>
      </c>
      <c r="C8" s="322"/>
      <c r="D8" s="322"/>
      <c r="E8" s="322"/>
      <c r="F8" s="322"/>
      <c r="I8" s="986" t="s">
        <v>233</v>
      </c>
      <c r="J8" s="966" t="s">
        <v>1193</v>
      </c>
      <c r="K8" s="966" t="s">
        <v>232</v>
      </c>
      <c r="L8" s="987">
        <f>$D$2</f>
        <v>5000</v>
      </c>
      <c r="M8" s="988">
        <f>input!$D$1070</f>
        <v>100000</v>
      </c>
      <c r="N8" s="989" t="str">
        <f>input!$E$1070</f>
        <v>Regular</v>
      </c>
      <c r="O8" s="319">
        <f>input!F1070</f>
        <v>0</v>
      </c>
      <c r="P8" s="319" t="s">
        <v>2055</v>
      </c>
      <c r="R8" s="136" t="s">
        <v>1194</v>
      </c>
      <c r="AB8" s="384"/>
      <c r="AC8" s="384"/>
      <c r="AD8" s="384"/>
      <c r="AT8" s="413"/>
    </row>
    <row r="9" spans="1:47" ht="19.5" customHeight="1" outlineLevel="1">
      <c r="A9" s="319">
        <v>1</v>
      </c>
      <c r="B9" s="1416" t="str">
        <f ca="1">input!$C$1073</f>
        <v>Box</v>
      </c>
      <c r="C9" s="990" t="s">
        <v>1195</v>
      </c>
      <c r="D9" s="990" t="str">
        <f>input!$B1073</f>
        <v>Shts</v>
      </c>
      <c r="E9" s="990" t="str">
        <f>input!$D$1073</f>
        <v>E-Flute</v>
      </c>
      <c r="F9" s="1053" t="str">
        <f>input!$E$1073</f>
        <v>SPV</v>
      </c>
      <c r="I9" s="2602">
        <f ca="1">IF(B9="N",0,VLOOKUP(F9,Data!$L$1027:$M$1028,2,0))</f>
        <v>3000000</v>
      </c>
      <c r="J9" s="2603">
        <f ca="1">IF(B9="N",0,1)</f>
        <v>1</v>
      </c>
      <c r="K9" s="2607">
        <f ca="1">IF(B9="N",0,J9*I9+I10*J10+I11*J11)</f>
        <v>3000000</v>
      </c>
      <c r="L9" s="2608">
        <f ca="1">IF($B9="N",0,IF($M$8&gt;0,0,$K9/MAX($R9,$L$8)))</f>
        <v>0</v>
      </c>
      <c r="M9" s="2609">
        <f ca="1">IF($B9="N",0,IF($M$8&gt;0,$K9/MAX($R9,$M$8),0))</f>
        <v>30</v>
      </c>
      <c r="N9" s="1400">
        <f ca="1">IF(input!$H$1070="N",IF($M$8&gt;0,M9,L9)*IF($O$8="Reprint",0,1),12000*input!$I$5/43000000)</f>
        <v>30</v>
      </c>
      <c r="P9" s="833" t="str">
        <f ca="1">input!$J$1073</f>
        <v>Box</v>
      </c>
      <c r="R9" s="991">
        <f>input!$H$1073</f>
        <v>0</v>
      </c>
      <c r="S9" s="136" t="s">
        <v>287</v>
      </c>
      <c r="U9" s="319" t="s">
        <v>1615</v>
      </c>
      <c r="V9" s="319"/>
      <c r="W9" s="319"/>
      <c r="X9" s="319"/>
      <c r="Y9" s="319"/>
      <c r="Z9" s="319"/>
      <c r="AB9" s="384"/>
      <c r="AC9" s="384"/>
      <c r="AD9" s="384"/>
      <c r="AT9" s="413">
        <f ca="1">IF(ISNUMBER(N9),IF(N9&lt;&gt;0,IF(ISNUMBER(SEARCH("to",GL9)),0,1),0),"")</f>
        <v>1</v>
      </c>
      <c r="AU9" s="136">
        <f ca="1">COUNTIFS(AT$7:$AT9,1)</f>
        <v>1</v>
      </c>
    </row>
    <row r="10" spans="1:47" ht="18" customHeight="1" outlineLevel="1">
      <c r="A10" s="333"/>
      <c r="B10" s="1417"/>
      <c r="C10" s="990" t="s">
        <v>1166</v>
      </c>
      <c r="D10" s="990"/>
      <c r="E10" s="925"/>
      <c r="F10" s="925"/>
      <c r="I10" s="2604">
        <f ca="1">IF(B9="N",0,I9/3)</f>
        <v>1000000</v>
      </c>
      <c r="J10" s="2603">
        <f ca="1">IF($B9="N",0,(ROUNDUP(MAX($L$8:$M$8,$R9)*(1+$F$3)/IF($D9="Pcs",1,VLOOKUP($B9,Paper!$A$7:$AE$58,9,0))*VLOOKUP($B9,Paper!$A$7:$AE$58,11,0)*(1+VLOOKUP($B9,Paper!$A$7:$AE$58,12,0))/VLOOKUP($E9,Data!$L$1004:$O$1010,2,0),0)-($J9+$J11)))</f>
        <v>0</v>
      </c>
      <c r="K10" s="1421"/>
      <c r="L10" s="1419"/>
      <c r="M10" s="1420"/>
      <c r="N10" s="1004"/>
      <c r="R10" s="991"/>
      <c r="AD10" s="313"/>
      <c r="AT10" s="413" t="str">
        <f t="shared" ref="AT10:AT73" si="0">IF(ISNUMBER(N10),IF(N10&lt;&gt;0,IF(ISNUMBER(SEARCH("to",GL10)),0,1),0),"")</f>
        <v/>
      </c>
      <c r="AU10" s="136">
        <f ca="1">COUNTIFS(AT$7:$AT10,1)</f>
        <v>1</v>
      </c>
    </row>
    <row r="11" spans="1:47" ht="19.5" customHeight="1" outlineLevel="1">
      <c r="A11" s="333"/>
      <c r="B11" s="1418"/>
      <c r="C11" s="990" t="s">
        <v>1167</v>
      </c>
      <c r="D11" s="990"/>
      <c r="E11" s="925"/>
      <c r="F11" s="925"/>
      <c r="I11" s="2604">
        <f ca="1">IF(B9="N",0,I9)</f>
        <v>3000000</v>
      </c>
      <c r="J11" s="2603">
        <f ca="1">IF($B9="N",0,(ROUNDUP(MAX($L$8:$M$8,$R9)*(1+$F$3)/IF($D9="Pcs",1,VLOOKUP($B9,Paper!$A$7:$AE$58,9,0))*VLOOKUP($B9,Paper!$A$7:$AE$58,11,0)*(1+VLOOKUP($B9,Paper!$A$7:$AE$58,12,0))/VLOOKUP($E9,Data!$L$1004:$O$1010,4,0),0)-$J9))</f>
        <v>0</v>
      </c>
      <c r="K11" s="1422"/>
      <c r="L11" s="1414"/>
      <c r="M11" s="1415"/>
      <c r="N11" s="1004"/>
      <c r="R11" s="991"/>
      <c r="AC11" s="992"/>
      <c r="AD11" s="313"/>
      <c r="AT11" s="413" t="str">
        <f t="shared" si="0"/>
        <v/>
      </c>
      <c r="AU11" s="136">
        <f ca="1">COUNTIFS(AT$7:$AT11,1)</f>
        <v>1</v>
      </c>
    </row>
    <row r="12" spans="1:47" ht="19.5" customHeight="1" outlineLevel="1">
      <c r="A12" s="319">
        <v>2</v>
      </c>
      <c r="B12" s="1416" t="str">
        <f ca="1">input!$C$1074</f>
        <v>N</v>
      </c>
      <c r="C12" s="990" t="s">
        <v>1195</v>
      </c>
      <c r="D12" s="990" t="str">
        <f>input!$B1074</f>
        <v>Shts</v>
      </c>
      <c r="E12" s="990" t="str">
        <f>input!$D$1074</f>
        <v>Non Metalize</v>
      </c>
      <c r="F12" s="1053" t="str">
        <f>input!$E$1074</f>
        <v>SPV</v>
      </c>
      <c r="I12" s="2602">
        <f ca="1">IF(B12="N",0,VLOOKUP(F12,Data!$L$1027:$M$1028,2,0))</f>
        <v>0</v>
      </c>
      <c r="J12" s="2603">
        <f ca="1">IF(B12="N",0,1)</f>
        <v>0</v>
      </c>
      <c r="K12" s="2607">
        <f ca="1">IF(B12="N",0,J12*I12+I13*J13+I14*J14)</f>
        <v>0</v>
      </c>
      <c r="L12" s="2608">
        <f ca="1">IF($B12="N",0,IF($M$8&gt;0,0,$K12/MAX($R12,$L$8)))</f>
        <v>0</v>
      </c>
      <c r="M12" s="2609">
        <f ca="1">IF($B12="N",0,IF($M$8&gt;0,$K12/MAX($R12,$M$8),0))</f>
        <v>0</v>
      </c>
      <c r="N12" s="1400">
        <f ca="1">IF($M$8&gt;0,M12,L12)*IF($O$8="Reprint",0,1)</f>
        <v>0</v>
      </c>
      <c r="P12" s="833" t="str">
        <f ca="1">input!$J$1074</f>
        <v>N</v>
      </c>
      <c r="R12" s="991">
        <f>input!$H$1074</f>
        <v>0</v>
      </c>
      <c r="S12" s="136" t="s">
        <v>287</v>
      </c>
      <c r="AC12" s="992"/>
      <c r="AD12" s="313"/>
      <c r="AT12" s="413">
        <f t="shared" ca="1" si="0"/>
        <v>0</v>
      </c>
      <c r="AU12" s="136">
        <f ca="1">COUNTIFS(AT$7:$AT12,1)</f>
        <v>1</v>
      </c>
    </row>
    <row r="13" spans="1:47" ht="19.5" customHeight="1" outlineLevel="1">
      <c r="B13" s="1417"/>
      <c r="C13" s="990" t="s">
        <v>1166</v>
      </c>
      <c r="D13" s="990"/>
      <c r="E13" s="925"/>
      <c r="F13" s="925"/>
      <c r="I13" s="2604">
        <f ca="1">IF(B12="N",0,I12/3)</f>
        <v>0</v>
      </c>
      <c r="J13" s="2603">
        <f ca="1">IF($B12="N",0,(ROUNDUP(MAX($L$8:$M$8,$R12)*(1+$F$3)/IF($D12="Pcs",1,VLOOKUP($B12,Paper!$A$7:$AE$58,9,0))*VLOOKUP($B12,Paper!$A$7:$AE$58,11,0)*(1+VLOOKUP($B12,Paper!$A$7:$AE$58,12,0))/VLOOKUP($E12,Data!$L$1004:$O$1010,2,0),0)-($J12+$J14)))</f>
        <v>0</v>
      </c>
      <c r="K13" s="1421"/>
      <c r="L13" s="1419"/>
      <c r="M13" s="1420"/>
      <c r="N13" s="1004"/>
      <c r="P13" s="833"/>
      <c r="Q13" s="833"/>
      <c r="R13" s="991"/>
      <c r="AC13" s="992"/>
      <c r="AD13" s="313"/>
      <c r="AT13" s="413" t="str">
        <f t="shared" si="0"/>
        <v/>
      </c>
      <c r="AU13" s="136">
        <f ca="1">COUNTIFS(AT$7:$AT13,1)</f>
        <v>1</v>
      </c>
    </row>
    <row r="14" spans="1:47" ht="19.5" customHeight="1" outlineLevel="1">
      <c r="B14" s="1418"/>
      <c r="C14" s="990" t="s">
        <v>1167</v>
      </c>
      <c r="D14" s="990"/>
      <c r="E14" s="925"/>
      <c r="F14" s="925"/>
      <c r="I14" s="2604">
        <f ca="1">IF(B12="N",0,I12)</f>
        <v>0</v>
      </c>
      <c r="J14" s="2603">
        <f ca="1">IF($B12="N",0,(ROUNDUP(MAX($L$8:$M$8,$R12)*(1+$F$3)/IF($D12="Pcs",1,VLOOKUP($B12,Paper!$A$7:$AE$58,9,0))*VLOOKUP($B12,Paper!$A$7:$AE$58,11,0)*(1+VLOOKUP($B12,Paper!$A$7:$AE$58,12,0))/VLOOKUP($E12,Data!$L$1004:$O$1010,4,0),0)-$J12))</f>
        <v>0</v>
      </c>
      <c r="K14" s="1422"/>
      <c r="L14" s="1414"/>
      <c r="M14" s="1415"/>
      <c r="N14" s="1004"/>
      <c r="P14" s="833"/>
      <c r="Q14" s="833"/>
      <c r="R14" s="991"/>
      <c r="AC14" s="992"/>
      <c r="AD14" s="313"/>
      <c r="AT14" s="413" t="str">
        <f t="shared" si="0"/>
        <v/>
      </c>
      <c r="AU14" s="136">
        <f ca="1">COUNTIFS(AT$7:$AT14,1)</f>
        <v>1</v>
      </c>
    </row>
    <row r="15" spans="1:47" ht="19.5" customHeight="1" outlineLevel="1">
      <c r="A15" s="319">
        <v>3</v>
      </c>
      <c r="B15" s="1416" t="str">
        <f ca="1">input!$C$1075</f>
        <v>N</v>
      </c>
      <c r="C15" s="990" t="s">
        <v>1195</v>
      </c>
      <c r="D15" s="990" t="str">
        <f>input!$B1075</f>
        <v>Shts</v>
      </c>
      <c r="E15" s="990" t="str">
        <f>input!$D$1075</f>
        <v>Non Metalize</v>
      </c>
      <c r="F15" s="1053" t="str">
        <f>input!$E$1075</f>
        <v>SPV</v>
      </c>
      <c r="I15" s="2602">
        <f ca="1">IF(B15="N",0,VLOOKUP(F15,Data!$L$1027:$M$1028,2,0))</f>
        <v>0</v>
      </c>
      <c r="J15" s="2603">
        <f ca="1">IF(B15="N",0,1)</f>
        <v>0</v>
      </c>
      <c r="K15" s="2607">
        <f ca="1">IF(B15="N",0,J15*I15+I16*J16+I17*J17)</f>
        <v>0</v>
      </c>
      <c r="L15" s="2608">
        <f ca="1">IF($B15="N",0,IF($M$8&gt;0,0,$K15/MAX($R15,$L$8)))</f>
        <v>0</v>
      </c>
      <c r="M15" s="2609">
        <f ca="1">IF($B15="N",0,IF($M$8&gt;0,$K15/MAX($R15,$M$8),0))</f>
        <v>0</v>
      </c>
      <c r="N15" s="1400">
        <f ca="1">IF($M$8&gt;0,M15,L15)*IF($O$8="Reprint",0,1)</f>
        <v>0</v>
      </c>
      <c r="P15" s="833" t="str">
        <f ca="1">input!$J$1075</f>
        <v>N</v>
      </c>
      <c r="Q15" s="833"/>
      <c r="R15" s="991">
        <f>input!$H$1075</f>
        <v>0</v>
      </c>
      <c r="S15" s="136" t="s">
        <v>287</v>
      </c>
      <c r="AC15" s="992"/>
      <c r="AD15" s="313"/>
      <c r="AT15" s="413">
        <f t="shared" ca="1" si="0"/>
        <v>0</v>
      </c>
      <c r="AU15" s="136">
        <f ca="1">COUNTIFS(AT$7:$AT15,1)</f>
        <v>1</v>
      </c>
    </row>
    <row r="16" spans="1:47" ht="19.5" customHeight="1" outlineLevel="1">
      <c r="B16" s="1417"/>
      <c r="C16" s="990" t="s">
        <v>1166</v>
      </c>
      <c r="D16" s="990"/>
      <c r="E16" s="925"/>
      <c r="F16" s="925"/>
      <c r="I16" s="2604">
        <f ca="1">IF(B15="N",0,I15/3)</f>
        <v>0</v>
      </c>
      <c r="J16" s="2603">
        <f ca="1">IF($B15="N",0,(ROUNDUP(MAX($L$8:$M$8,$R15)*(1+$F$3)/IF($D15="Pcs",1,VLOOKUP($B15,Paper!$A$7:$AE$58,9,0))*VLOOKUP($B15,Paper!$A$7:$AE$58,11,0)*(1+VLOOKUP($B15,Paper!$A$7:$AE$58,12,0))/VLOOKUP($E15,Data!$L$1004:$O$1010,2,0),0)-($J15+$J17)))</f>
        <v>0</v>
      </c>
      <c r="K16" s="1421"/>
      <c r="L16" s="1419"/>
      <c r="M16" s="1420"/>
      <c r="N16" s="1004"/>
      <c r="P16" s="833"/>
      <c r="Q16" s="833"/>
      <c r="R16" s="991"/>
      <c r="AC16" s="992"/>
      <c r="AD16" s="313"/>
      <c r="AT16" s="413" t="str">
        <f t="shared" si="0"/>
        <v/>
      </c>
      <c r="AU16" s="136">
        <f ca="1">COUNTIFS(AT$7:$AT16,1)</f>
        <v>1</v>
      </c>
    </row>
    <row r="17" spans="1:47" ht="19.5" customHeight="1" outlineLevel="1">
      <c r="B17" s="1418"/>
      <c r="C17" s="990" t="s">
        <v>1167</v>
      </c>
      <c r="D17" s="990"/>
      <c r="E17" s="925"/>
      <c r="F17" s="925"/>
      <c r="I17" s="2604">
        <f ca="1">IF(B15="N",0,I15)</f>
        <v>0</v>
      </c>
      <c r="J17" s="2603">
        <f ca="1">IF($B15="N",0,(ROUNDUP(MAX($L$8:$M$8,$R15)*(1+$F$3)/IF($D15="Pcs",1,VLOOKUP($B15,Paper!$A$7:$AE$58,9,0))*VLOOKUP($B15,Paper!$A$7:$AE$58,11,0)*(1+VLOOKUP($B15,Paper!$A$7:$AE$58,12,0))/VLOOKUP($E15,Data!$L$1004:$O$1010,4,0),0)-$J15))</f>
        <v>0</v>
      </c>
      <c r="K17" s="1422"/>
      <c r="L17" s="1414"/>
      <c r="M17" s="1415"/>
      <c r="N17" s="1004"/>
      <c r="P17" s="833"/>
      <c r="Q17" s="833"/>
      <c r="R17" s="991"/>
      <c r="AC17" s="992"/>
      <c r="AD17" s="313"/>
      <c r="AT17" s="413" t="str">
        <f t="shared" si="0"/>
        <v/>
      </c>
      <c r="AU17" s="136">
        <f ca="1">COUNTIFS(AT$7:$AT17,1)</f>
        <v>1</v>
      </c>
    </row>
    <row r="18" spans="1:47" ht="19.5" customHeight="1" outlineLevel="1">
      <c r="A18" s="319">
        <v>4</v>
      </c>
      <c r="B18" s="1416" t="str">
        <f ca="1">input!$C$1076</f>
        <v>N</v>
      </c>
      <c r="C18" s="990" t="s">
        <v>1195</v>
      </c>
      <c r="D18" s="990" t="str">
        <f>input!$B1076</f>
        <v>Shts</v>
      </c>
      <c r="E18" s="990" t="str">
        <f>input!$D$1076</f>
        <v>Non Metalize</v>
      </c>
      <c r="F18" s="1053" t="str">
        <f>input!$E$1076</f>
        <v>SPV</v>
      </c>
      <c r="I18" s="2602">
        <f ca="1">IF(B18="N",0,VLOOKUP(F18,Data!$L$1027:$M$1028,2,0))</f>
        <v>0</v>
      </c>
      <c r="J18" s="2603">
        <f ca="1">IF(B18="N",0,1)</f>
        <v>0</v>
      </c>
      <c r="K18" s="2607">
        <f ca="1">IF(B18="N",0,J18*I18+I19*J19+I20*J20)</f>
        <v>0</v>
      </c>
      <c r="L18" s="2608">
        <f ca="1">IF($B18="N",0,IF($M$8&gt;0,0,$K18/MAX($R18,$L$8)))</f>
        <v>0</v>
      </c>
      <c r="M18" s="2609">
        <f ca="1">IF($B18="N",0,IF($M$8&gt;0,$K18/MAX($R18,$M$8),0))</f>
        <v>0</v>
      </c>
      <c r="N18" s="1400">
        <f ca="1">IF($M$8&gt;0,M18,L18)*IF($O$8="Reprint",0,1)</f>
        <v>0</v>
      </c>
      <c r="P18" s="833" t="str">
        <f ca="1">input!$J$1076</f>
        <v>N</v>
      </c>
      <c r="Q18" s="833"/>
      <c r="R18" s="991">
        <f>input!$H$1076</f>
        <v>0</v>
      </c>
      <c r="S18" s="136" t="s">
        <v>287</v>
      </c>
      <c r="AC18" s="992"/>
      <c r="AD18" s="313"/>
      <c r="AT18" s="413">
        <f t="shared" ca="1" si="0"/>
        <v>0</v>
      </c>
      <c r="AU18" s="136">
        <f ca="1">COUNTIFS(AT$7:$AT18,1)</f>
        <v>1</v>
      </c>
    </row>
    <row r="19" spans="1:47" ht="19.5" customHeight="1" outlineLevel="1">
      <c r="B19" s="1417"/>
      <c r="C19" s="990" t="s">
        <v>1166</v>
      </c>
      <c r="D19" s="990"/>
      <c r="E19" s="925"/>
      <c r="F19" s="925"/>
      <c r="I19" s="2604">
        <f ca="1">IF(B18="N",0,I18/3)</f>
        <v>0</v>
      </c>
      <c r="J19" s="2603">
        <f ca="1">IF($B18="N",0,(ROUNDUP(MAX($L$8:$M$8,$R18)*(1+$F$3)/IF($D18="Pcs",1,VLOOKUP($B18,Paper!$A$7:$AE$58,9,0))*VLOOKUP($B18,Paper!$A$7:$AE$58,11,0)*(1+VLOOKUP($B18,Paper!$A$7:$AE$58,12,0))/VLOOKUP($E18,Data!$L$1004:$O$1010,2,0),0)-($J18+$J20)))</f>
        <v>0</v>
      </c>
      <c r="K19" s="1421"/>
      <c r="L19" s="1419"/>
      <c r="M19" s="1420"/>
      <c r="N19" s="1004"/>
      <c r="P19" s="833"/>
      <c r="Q19" s="833"/>
      <c r="R19" s="991"/>
      <c r="AC19" s="992"/>
      <c r="AD19" s="313"/>
      <c r="AT19" s="413" t="str">
        <f t="shared" si="0"/>
        <v/>
      </c>
      <c r="AU19" s="136">
        <f ca="1">COUNTIFS(AT$7:$AT19,1)</f>
        <v>1</v>
      </c>
    </row>
    <row r="20" spans="1:47" ht="19.5" customHeight="1" outlineLevel="1">
      <c r="B20" s="1418"/>
      <c r="C20" s="990" t="s">
        <v>1167</v>
      </c>
      <c r="D20" s="990"/>
      <c r="E20" s="925"/>
      <c r="F20" s="925"/>
      <c r="I20" s="2604">
        <f ca="1">IF(B18="N",0,I18)</f>
        <v>0</v>
      </c>
      <c r="J20" s="2603">
        <f ca="1">IF($B18="N",0,(ROUNDUP(MAX($L$8:$M$8,$R18)*(1+$F$3)/IF($D18="Pcs",1,VLOOKUP($B18,Paper!$A$7:$AE$58,9,0))*VLOOKUP($B18,Paper!$A$7:$AE$58,11,0)*(1+VLOOKUP($B18,Paper!$A$7:$AE$58,12,0))/VLOOKUP($E18,Data!$L$1004:$O$1010,4,0),0)-$J18))</f>
        <v>0</v>
      </c>
      <c r="K20" s="1422"/>
      <c r="L20" s="1414"/>
      <c r="M20" s="1415"/>
      <c r="N20" s="1004"/>
      <c r="P20" s="833"/>
      <c r="Q20" s="833"/>
      <c r="R20" s="991"/>
      <c r="AC20" s="992"/>
      <c r="AD20" s="313"/>
      <c r="AT20" s="413" t="str">
        <f t="shared" si="0"/>
        <v/>
      </c>
      <c r="AU20" s="136">
        <f ca="1">COUNTIFS(AT$7:$AT20,1)</f>
        <v>1</v>
      </c>
    </row>
    <row r="21" spans="1:47" ht="19.5" customHeight="1" outlineLevel="1">
      <c r="A21" s="319">
        <v>5</v>
      </c>
      <c r="B21" s="1416" t="str">
        <f ca="1">input!$C$1077</f>
        <v>N</v>
      </c>
      <c r="C21" s="990" t="s">
        <v>1195</v>
      </c>
      <c r="D21" s="990" t="str">
        <f>input!$B1077</f>
        <v>Shts</v>
      </c>
      <c r="E21" s="990" t="str">
        <f>input!$D$1077</f>
        <v>Non Metalize</v>
      </c>
      <c r="F21" s="1053" t="str">
        <f>input!$E$1077</f>
        <v>SPV</v>
      </c>
      <c r="I21" s="2602">
        <f ca="1">IF(B21="N",0,VLOOKUP(F21,Data!$L$1027:$M$1028,2,0))</f>
        <v>0</v>
      </c>
      <c r="J21" s="2603">
        <f ca="1">IF(B21="N",0,1)</f>
        <v>0</v>
      </c>
      <c r="K21" s="2607">
        <f ca="1">IF(B21="N",0,J21*I21+I22*J22+I23*J23)</f>
        <v>0</v>
      </c>
      <c r="L21" s="2608">
        <f ca="1">IF($B21="N",0,IF($M$8&gt;0,0,$K21/MAX($R21,$L$8)))</f>
        <v>0</v>
      </c>
      <c r="M21" s="2609">
        <f ca="1">IF($B21="N",0,IF($M$8&gt;0,$K21/MAX($R21,$M$8),0))</f>
        <v>0</v>
      </c>
      <c r="N21" s="1400">
        <f ca="1">IF($M$8&gt;0,M21,L21)*IF($O$8="Reprint",0,1)</f>
        <v>0</v>
      </c>
      <c r="P21" s="833" t="str">
        <f ca="1">input!$J$1077</f>
        <v>N</v>
      </c>
      <c r="Q21" s="833"/>
      <c r="R21" s="991">
        <f>input!$H$1077</f>
        <v>0</v>
      </c>
      <c r="S21" s="136" t="s">
        <v>287</v>
      </c>
      <c r="AC21" s="992"/>
      <c r="AD21" s="313"/>
      <c r="AT21" s="413">
        <f t="shared" ca="1" si="0"/>
        <v>0</v>
      </c>
      <c r="AU21" s="136">
        <f ca="1">COUNTIFS(AT$7:$AT21,1)</f>
        <v>1</v>
      </c>
    </row>
    <row r="22" spans="1:47" ht="19.5" customHeight="1" outlineLevel="1">
      <c r="B22" s="1417"/>
      <c r="C22" s="990" t="s">
        <v>1166</v>
      </c>
      <c r="D22" s="990"/>
      <c r="E22" s="925"/>
      <c r="F22" s="925"/>
      <c r="I22" s="2604">
        <f ca="1">IF(B21="N",0,I21/3)</f>
        <v>0</v>
      </c>
      <c r="J22" s="2603">
        <f ca="1">IF($B21="N",0,(ROUNDUP(MAX($L$8:$M$8,$R21)*(1+$F$3)/IF($D21="Pcs",1,VLOOKUP($B21,Paper!$A$7:$AE$58,9,0))*VLOOKUP($B21,Paper!$A$7:$AE$58,11,0)*(1+VLOOKUP($B21,Paper!$A$7:$AE$58,12,0))/VLOOKUP($E21,Data!$L$1004:$O$1010,2,0),0)-($J21+$J23)))</f>
        <v>0</v>
      </c>
      <c r="K22" s="1421"/>
      <c r="L22" s="1419"/>
      <c r="M22" s="1420"/>
      <c r="N22" s="1004"/>
      <c r="P22" s="833"/>
      <c r="Q22" s="833"/>
      <c r="R22" s="991"/>
      <c r="AC22" s="992"/>
      <c r="AD22" s="313"/>
      <c r="AT22" s="413" t="str">
        <f t="shared" si="0"/>
        <v/>
      </c>
      <c r="AU22" s="136">
        <f ca="1">COUNTIFS(AT$7:$AT22,1)</f>
        <v>1</v>
      </c>
    </row>
    <row r="23" spans="1:47" ht="19.5" customHeight="1" outlineLevel="1">
      <c r="B23" s="1418"/>
      <c r="C23" s="990" t="s">
        <v>1167</v>
      </c>
      <c r="D23" s="990"/>
      <c r="E23" s="925"/>
      <c r="F23" s="925"/>
      <c r="I23" s="2604">
        <f ca="1">IF(B21="N",0,I21)</f>
        <v>0</v>
      </c>
      <c r="J23" s="2603">
        <f ca="1">IF($B21="N",0,(ROUNDUP(MAX($L$8:$M$8,$R21)*(1+$F$3)/IF($D21="Pcs",1,VLOOKUP($B21,Paper!$A$7:$AE$58,9,0))*VLOOKUP($B21,Paper!$A$7:$AE$58,11,0)*(1+VLOOKUP($B21,Paper!$A$7:$AE$58,12,0))/VLOOKUP($E21,Data!$L$1004:$O$1010,4,0),0)-$J21))</f>
        <v>0</v>
      </c>
      <c r="K23" s="1422"/>
      <c r="L23" s="1414"/>
      <c r="M23" s="1415"/>
      <c r="N23" s="1004"/>
      <c r="P23" s="833"/>
      <c r="Q23" s="833"/>
      <c r="R23" s="991"/>
      <c r="AC23" s="992"/>
      <c r="AD23" s="313"/>
      <c r="AT23" s="413" t="str">
        <f t="shared" si="0"/>
        <v/>
      </c>
      <c r="AU23" s="136">
        <f ca="1">COUNTIFS(AT$7:$AT23,1)</f>
        <v>1</v>
      </c>
    </row>
    <row r="24" spans="1:47" ht="19.5" customHeight="1" outlineLevel="1">
      <c r="A24" s="319">
        <v>6</v>
      </c>
      <c r="B24" s="1416" t="str">
        <f ca="1">input!$C$1078</f>
        <v>N</v>
      </c>
      <c r="C24" s="990" t="s">
        <v>1195</v>
      </c>
      <c r="D24" s="990" t="str">
        <f>input!$B1078</f>
        <v>Shts</v>
      </c>
      <c r="E24" s="990" t="str">
        <f>input!$D$1078</f>
        <v>Non Metalize</v>
      </c>
      <c r="F24" s="1053" t="str">
        <f>input!$E$1078</f>
        <v>SPV</v>
      </c>
      <c r="I24" s="2602">
        <f ca="1">IF(B24="N",0,VLOOKUP(F24,Data!$L$1027:$M$1028,2,0))</f>
        <v>0</v>
      </c>
      <c r="J24" s="2603">
        <f ca="1">IF(B24="N",0,1)</f>
        <v>0</v>
      </c>
      <c r="K24" s="2607">
        <f ca="1">IF(B24="N",0,J24*I24+I25*J25+I26*J26)</f>
        <v>0</v>
      </c>
      <c r="L24" s="2608">
        <f ca="1">IF($B24="N",0,IF($M$8&gt;0,0,$K24/MAX($R24,$L$8)))</f>
        <v>0</v>
      </c>
      <c r="M24" s="2609">
        <f ca="1">IF($B24="N",0,IF($M$8&gt;0,$K24/MAX($R24,$M$8),0))</f>
        <v>0</v>
      </c>
      <c r="N24" s="1400">
        <f ca="1">IF($M$8&gt;0,M24,L24)*IF($O$8="Reprint",0,1)</f>
        <v>0</v>
      </c>
      <c r="P24" s="833" t="str">
        <f ca="1">input!$J$1078</f>
        <v>N</v>
      </c>
      <c r="Q24" s="833"/>
      <c r="R24" s="991">
        <f>input!$H$1078</f>
        <v>0</v>
      </c>
      <c r="S24" s="136" t="s">
        <v>287</v>
      </c>
      <c r="AC24" s="992"/>
      <c r="AD24" s="313"/>
      <c r="AT24" s="413">
        <f t="shared" ca="1" si="0"/>
        <v>0</v>
      </c>
      <c r="AU24" s="136">
        <f ca="1">COUNTIFS(AT$7:$AT24,1)</f>
        <v>1</v>
      </c>
    </row>
    <row r="25" spans="1:47" ht="19.5" customHeight="1" outlineLevel="1">
      <c r="B25" s="1417"/>
      <c r="C25" s="990" t="s">
        <v>1166</v>
      </c>
      <c r="D25" s="990"/>
      <c r="E25" s="925"/>
      <c r="F25" s="925"/>
      <c r="I25" s="2604">
        <f ca="1">IF(B24="N",0,I24/3)</f>
        <v>0</v>
      </c>
      <c r="J25" s="2603">
        <f ca="1">IF($B24="N",0,(ROUNDUP(MAX($L$8:$M$8,$R24)*(1+$F$3)/IF($D24="Pcs",1,VLOOKUP($B24,Paper!$A$7:$AE$58,9,0))*VLOOKUP($B24,Paper!$A$7:$AE$58,11,0)*(1+VLOOKUP($B24,Paper!$A$7:$AE$58,12,0))/VLOOKUP($E24,Data!$L$1004:$O$1010,2,0),0)-($J24+$J26)))</f>
        <v>0</v>
      </c>
      <c r="K25" s="1421"/>
      <c r="L25" s="1419"/>
      <c r="M25" s="1420"/>
      <c r="N25" s="1004"/>
      <c r="P25" s="833"/>
      <c r="Q25" s="833"/>
      <c r="R25" s="991"/>
      <c r="AC25" s="992"/>
      <c r="AD25" s="313"/>
      <c r="AT25" s="413" t="str">
        <f t="shared" si="0"/>
        <v/>
      </c>
      <c r="AU25" s="136">
        <f ca="1">COUNTIFS(AT$7:$AT25,1)</f>
        <v>1</v>
      </c>
    </row>
    <row r="26" spans="1:47" ht="19.5" customHeight="1" outlineLevel="1">
      <c r="B26" s="1418"/>
      <c r="C26" s="990" t="s">
        <v>1167</v>
      </c>
      <c r="D26" s="990"/>
      <c r="E26" s="925"/>
      <c r="F26" s="925"/>
      <c r="I26" s="2604">
        <f ca="1">IF(B24="N",0,I24)</f>
        <v>0</v>
      </c>
      <c r="J26" s="2603">
        <f ca="1">IF($B24="N",0,(ROUNDUP(MAX($L$8:$M$8,$R24)*(1+$F$3)/IF($D24="Pcs",1,VLOOKUP($B24,Paper!$A$7:$AE$58,9,0))*VLOOKUP($B24,Paper!$A$7:$AE$58,11,0)*(1+VLOOKUP($B24,Paper!$A$7:$AE$58,12,0))/VLOOKUP($E24,Data!$L$1004:$O$1010,4,0),0)-$J24))</f>
        <v>0</v>
      </c>
      <c r="K26" s="1422"/>
      <c r="L26" s="1414"/>
      <c r="M26" s="1415"/>
      <c r="N26" s="1004"/>
      <c r="P26" s="833"/>
      <c r="Q26" s="833"/>
      <c r="R26" s="991"/>
      <c r="AC26" s="992"/>
      <c r="AD26" s="313"/>
      <c r="AT26" s="413" t="str">
        <f t="shared" si="0"/>
        <v/>
      </c>
      <c r="AU26" s="136">
        <f ca="1">COUNTIFS(AT$7:$AT26,1)</f>
        <v>1</v>
      </c>
    </row>
    <row r="27" spans="1:47" ht="19.5" customHeight="1" outlineLevel="1">
      <c r="A27" s="319">
        <v>7</v>
      </c>
      <c r="B27" s="1416" t="str">
        <f ca="1">input!$C$1079</f>
        <v>N</v>
      </c>
      <c r="C27" s="990" t="s">
        <v>1195</v>
      </c>
      <c r="D27" s="990" t="str">
        <f>input!$B1079</f>
        <v>Shts</v>
      </c>
      <c r="E27" s="990" t="str">
        <f>input!$D$1079</f>
        <v>Non Metalize</v>
      </c>
      <c r="F27" s="1053" t="str">
        <f>input!$E$1079</f>
        <v>SPV</v>
      </c>
      <c r="I27" s="2602">
        <f ca="1">IF(B27="N",0,VLOOKUP(F27,Data!$L$1027:$M$1028,2,0))</f>
        <v>0</v>
      </c>
      <c r="J27" s="2603">
        <f ca="1">IF(B27="N",0,1)</f>
        <v>0</v>
      </c>
      <c r="K27" s="2607">
        <f ca="1">IF(B27="N",0,J27*I27+I28*J28+I29*J29)</f>
        <v>0</v>
      </c>
      <c r="L27" s="2608">
        <f ca="1">IF($B27="N",0,IF($M$8&gt;0,0,$K27/MAX($R27,$L$8)))</f>
        <v>0</v>
      </c>
      <c r="M27" s="2609">
        <f ca="1">IF($B27="N",0,IF($M$8&gt;0,$K27/MAX($R27,$M$8),0))</f>
        <v>0</v>
      </c>
      <c r="N27" s="1400">
        <f ca="1">IF($M$8&gt;0,M27,L27)*IF($O$8="Reprint",0,1)</f>
        <v>0</v>
      </c>
      <c r="P27" s="833" t="str">
        <f ca="1">input!$J$1079</f>
        <v>N</v>
      </c>
      <c r="Q27" s="833"/>
      <c r="R27" s="991">
        <f>input!$H$1079</f>
        <v>0</v>
      </c>
      <c r="S27" s="136" t="s">
        <v>287</v>
      </c>
      <c r="AC27" s="992"/>
      <c r="AD27" s="313"/>
      <c r="AT27" s="413">
        <f t="shared" ca="1" si="0"/>
        <v>0</v>
      </c>
      <c r="AU27" s="136">
        <f ca="1">COUNTIFS(AT$7:$AT27,1)</f>
        <v>1</v>
      </c>
    </row>
    <row r="28" spans="1:47" ht="19.5" customHeight="1" outlineLevel="1">
      <c r="B28" s="1417"/>
      <c r="C28" s="990" t="s">
        <v>1166</v>
      </c>
      <c r="D28" s="990"/>
      <c r="E28" s="925"/>
      <c r="F28" s="925"/>
      <c r="I28" s="2604">
        <f ca="1">IF(B27="N",0,I27/3)</f>
        <v>0</v>
      </c>
      <c r="J28" s="2603">
        <f ca="1">IF($B27="N",0,(ROUNDUP(MAX($L$8:$M$8,$R27)*(1+$F$3)/IF($D27="Pcs",1,VLOOKUP($B27,Paper!$A$7:$AE$58,9,0))*VLOOKUP($B27,Paper!$A$7:$AE$58,11,0)*(1+VLOOKUP($B27,Paper!$A$7:$AE$58,12,0))/VLOOKUP($E27,Data!$L$1004:$O$1010,2,0),0)-($J27+$J29)))</f>
        <v>0</v>
      </c>
      <c r="K28" s="1421"/>
      <c r="L28" s="1419"/>
      <c r="M28" s="1420"/>
      <c r="N28" s="1004"/>
      <c r="P28" s="833"/>
      <c r="Q28" s="833"/>
      <c r="R28" s="991"/>
      <c r="AC28" s="992"/>
      <c r="AD28" s="313"/>
      <c r="AT28" s="413" t="str">
        <f t="shared" si="0"/>
        <v/>
      </c>
      <c r="AU28" s="136">
        <f ca="1">COUNTIFS(AT$7:$AT28,1)</f>
        <v>1</v>
      </c>
    </row>
    <row r="29" spans="1:47" ht="19.5" customHeight="1" outlineLevel="1">
      <c r="B29" s="1418"/>
      <c r="C29" s="990" t="s">
        <v>1167</v>
      </c>
      <c r="D29" s="990"/>
      <c r="E29" s="925"/>
      <c r="F29" s="925"/>
      <c r="I29" s="2604">
        <f ca="1">IF(B27="N",0,I27)</f>
        <v>0</v>
      </c>
      <c r="J29" s="2603">
        <f ca="1">IF($B27="N",0,(ROUNDUP(MAX($L$8:$M$8,$R27)*(1+$F$3)/IF($D27="Pcs",1,VLOOKUP($B27,Paper!$A$7:$AE$58,9,0))*VLOOKUP($B27,Paper!$A$7:$AE$58,11,0)*(1+VLOOKUP($B27,Paper!$A$7:$AE$58,12,0))/VLOOKUP($E27,Data!$L$1004:$O$1010,4,0),0)-$J27))</f>
        <v>0</v>
      </c>
      <c r="K29" s="1422"/>
      <c r="L29" s="1414"/>
      <c r="M29" s="1415"/>
      <c r="N29" s="1004"/>
      <c r="P29" s="833"/>
      <c r="Q29" s="833"/>
      <c r="R29" s="991"/>
      <c r="AC29" s="992"/>
      <c r="AD29" s="313"/>
      <c r="AT29" s="413" t="str">
        <f t="shared" si="0"/>
        <v/>
      </c>
      <c r="AU29" s="136">
        <f ca="1">COUNTIFS(AT$7:$AT29,1)</f>
        <v>1</v>
      </c>
    </row>
    <row r="30" spans="1:47" ht="19.5" customHeight="1" outlineLevel="1">
      <c r="A30" s="319">
        <v>8</v>
      </c>
      <c r="B30" s="1416" t="str">
        <f ca="1">input!$C$1080</f>
        <v>N</v>
      </c>
      <c r="C30" s="990" t="s">
        <v>1195</v>
      </c>
      <c r="D30" s="990" t="str">
        <f>input!$B1080</f>
        <v>Shts</v>
      </c>
      <c r="E30" s="990" t="str">
        <f>input!$D$1080</f>
        <v>Non Metalize</v>
      </c>
      <c r="F30" s="1053" t="str">
        <f>input!$E$1080</f>
        <v>SPV</v>
      </c>
      <c r="I30" s="2602">
        <f ca="1">IF(B30="N",0,VLOOKUP(F30,Data!$L$1027:$M$1028,2,0))</f>
        <v>0</v>
      </c>
      <c r="J30" s="2603">
        <f ca="1">IF(B30="N",0,1)</f>
        <v>0</v>
      </c>
      <c r="K30" s="2607">
        <f ca="1">IF(B30="N",0,J30*I30+I31*J31+I32*J32)</f>
        <v>0</v>
      </c>
      <c r="L30" s="2608">
        <f ca="1">IF($B30="N",0,IF($M$8&gt;0,0,$K30/MAX($R30,$L$8)))</f>
        <v>0</v>
      </c>
      <c r="M30" s="2609">
        <f ca="1">IF($B30="N",0,IF($M$8&gt;0,$K30/MAX($R30,$M$8),0))</f>
        <v>0</v>
      </c>
      <c r="N30" s="1400">
        <f ca="1">IF($M$8&gt;0,M30,L30)*IF($O$8="Reprint",0,1)</f>
        <v>0</v>
      </c>
      <c r="P30" s="833" t="str">
        <f ca="1">input!$J$1080</f>
        <v>N</v>
      </c>
      <c r="Q30" s="833"/>
      <c r="R30" s="991">
        <f>input!$H$1080</f>
        <v>0</v>
      </c>
      <c r="S30" s="136" t="s">
        <v>287</v>
      </c>
      <c r="AC30" s="992"/>
      <c r="AD30" s="313"/>
      <c r="AT30" s="413">
        <f t="shared" ca="1" si="0"/>
        <v>0</v>
      </c>
      <c r="AU30" s="136">
        <f ca="1">COUNTIFS(AT$7:$AT30,1)</f>
        <v>1</v>
      </c>
    </row>
    <row r="31" spans="1:47" ht="19.5" customHeight="1" outlineLevel="1">
      <c r="B31" s="1417"/>
      <c r="C31" s="990" t="s">
        <v>1166</v>
      </c>
      <c r="D31" s="990"/>
      <c r="E31" s="925"/>
      <c r="F31" s="925"/>
      <c r="I31" s="2604">
        <f ca="1">IF(B30="N",0,I30/3)</f>
        <v>0</v>
      </c>
      <c r="J31" s="2603">
        <f ca="1">IF($B30="N",0,(ROUNDUP(MAX($L$8:$M$8,$R30)*(1+$F$3)/IF($D30="Pcs",1,VLOOKUP($B30,Paper!$A$7:$AE$58,9,0))*VLOOKUP($B30,Paper!$A$7:$AE$58,11,0)*(1+VLOOKUP($B30,Paper!$A$7:$AE$58,12,0))/VLOOKUP($E30,Data!$L$1004:$O$1010,2,0),0)-($J30+$J32)))</f>
        <v>0</v>
      </c>
      <c r="K31" s="1421"/>
      <c r="L31" s="1419"/>
      <c r="M31" s="1420"/>
      <c r="N31" s="1004"/>
      <c r="P31" s="833"/>
      <c r="Q31" s="833"/>
      <c r="R31" s="991"/>
      <c r="AC31" s="992"/>
      <c r="AD31" s="313"/>
      <c r="AT31" s="413" t="str">
        <f t="shared" si="0"/>
        <v/>
      </c>
      <c r="AU31" s="136">
        <f ca="1">COUNTIFS(AT$7:$AT31,1)</f>
        <v>1</v>
      </c>
    </row>
    <row r="32" spans="1:47" ht="19.5" customHeight="1" outlineLevel="1">
      <c r="B32" s="1418"/>
      <c r="C32" s="990" t="s">
        <v>1167</v>
      </c>
      <c r="D32" s="990"/>
      <c r="E32" s="925"/>
      <c r="F32" s="925"/>
      <c r="I32" s="2604">
        <f ca="1">IF(B30="N",0,I30)</f>
        <v>0</v>
      </c>
      <c r="J32" s="2603">
        <f ca="1">IF($B30="N",0,(ROUNDUP(MAX($L$8:$M$8,$R30)*(1+$F$3)/IF($D30="Pcs",1,VLOOKUP($B30,Paper!$A$7:$AE$58,9,0))*VLOOKUP($B30,Paper!$A$7:$AE$58,11,0)*(1+VLOOKUP($B30,Paper!$A$7:$AE$58,12,0))/VLOOKUP($E30,Data!$L$1004:$O$1010,4,0),0)-$J30))</f>
        <v>0</v>
      </c>
      <c r="K32" s="1422"/>
      <c r="L32" s="1414"/>
      <c r="M32" s="1415"/>
      <c r="N32" s="1004"/>
      <c r="P32" s="833"/>
      <c r="Q32" s="833"/>
      <c r="R32" s="991"/>
      <c r="AC32" s="992"/>
      <c r="AD32" s="313"/>
      <c r="AT32" s="413" t="str">
        <f t="shared" si="0"/>
        <v/>
      </c>
      <c r="AU32" s="136">
        <f ca="1">COUNTIFS(AT$7:$AT32,1)</f>
        <v>1</v>
      </c>
    </row>
    <row r="33" spans="1:47" ht="19.5" customHeight="1" outlineLevel="1">
      <c r="A33" s="319">
        <v>9</v>
      </c>
      <c r="B33" s="1416" t="str">
        <f ca="1">input!$C$1081</f>
        <v>N</v>
      </c>
      <c r="C33" s="990" t="s">
        <v>1195</v>
      </c>
      <c r="D33" s="990" t="str">
        <f>input!$B1081</f>
        <v>Shts</v>
      </c>
      <c r="E33" s="990" t="str">
        <f>input!$D$1081</f>
        <v>Non Metalize</v>
      </c>
      <c r="F33" s="1053" t="str">
        <f>input!$E$1081</f>
        <v>SPV</v>
      </c>
      <c r="I33" s="2602">
        <f ca="1">IF(B33="N",0,VLOOKUP(F33,Data!$L$1027:$M$1028,2,0))</f>
        <v>0</v>
      </c>
      <c r="J33" s="2603">
        <f ca="1">IF(B33="N",0,1)</f>
        <v>0</v>
      </c>
      <c r="K33" s="2607">
        <f ca="1">IF(B33="N",0,J33*I33+I34*J34+I35*J35)</f>
        <v>0</v>
      </c>
      <c r="L33" s="2608">
        <f ca="1">IF($B33="N",0,IF($M$8&gt;0,0,$K33/MAX($R33,$L$8)))</f>
        <v>0</v>
      </c>
      <c r="M33" s="2609">
        <f ca="1">IF($B33="N",0,IF($M$8&gt;0,$K33/MAX($R33,$M$8),0))</f>
        <v>0</v>
      </c>
      <c r="N33" s="1400">
        <f ca="1">IF($M$8&gt;0,M33,L33)*IF($O$8="Reprint",0,1)</f>
        <v>0</v>
      </c>
      <c r="P33" s="833" t="str">
        <f ca="1">input!$J$1081</f>
        <v>N</v>
      </c>
      <c r="Q33" s="833"/>
      <c r="R33" s="991">
        <f>input!$H$1081</f>
        <v>0</v>
      </c>
      <c r="S33" s="136" t="s">
        <v>287</v>
      </c>
      <c r="AC33" s="992"/>
      <c r="AD33" s="313"/>
      <c r="AT33" s="413">
        <f t="shared" ca="1" si="0"/>
        <v>0</v>
      </c>
      <c r="AU33" s="136">
        <f ca="1">COUNTIFS(AT$7:$AT33,1)</f>
        <v>1</v>
      </c>
    </row>
    <row r="34" spans="1:47" ht="19.5" customHeight="1" outlineLevel="1">
      <c r="B34" s="1417"/>
      <c r="C34" s="990" t="s">
        <v>1166</v>
      </c>
      <c r="D34" s="990"/>
      <c r="E34" s="925"/>
      <c r="F34" s="925"/>
      <c r="I34" s="2604">
        <f ca="1">IF(B33="N",0,I33/3)</f>
        <v>0</v>
      </c>
      <c r="J34" s="2603">
        <f ca="1">IF($B33="N",0,(ROUNDUP(MAX($L$8:$M$8,$R33)*(1+$F$3)/IF($D33="Pcs",1,VLOOKUP($B33,Paper!$A$7:$AE$58,9,0))*VLOOKUP($B33,Paper!$A$7:$AE$58,11,0)*(1+VLOOKUP($B33,Paper!$A$7:$AE$58,12,0))/VLOOKUP($E33,Data!$L$1004:$O$1010,2,0),0)-($J33+$J35)))</f>
        <v>0</v>
      </c>
      <c r="K34" s="1421"/>
      <c r="L34" s="1419"/>
      <c r="M34" s="1420"/>
      <c r="N34" s="1004"/>
      <c r="P34" s="833"/>
      <c r="Q34" s="833"/>
      <c r="R34" s="991"/>
      <c r="AC34" s="992"/>
      <c r="AD34" s="313"/>
      <c r="AT34" s="413" t="str">
        <f t="shared" si="0"/>
        <v/>
      </c>
      <c r="AU34" s="136">
        <f ca="1">COUNTIFS(AT$7:$AT34,1)</f>
        <v>1</v>
      </c>
    </row>
    <row r="35" spans="1:47" ht="19.5" customHeight="1" outlineLevel="1">
      <c r="B35" s="1418"/>
      <c r="C35" s="990" t="s">
        <v>1167</v>
      </c>
      <c r="D35" s="990"/>
      <c r="E35" s="925"/>
      <c r="F35" s="925"/>
      <c r="I35" s="2604">
        <f ca="1">IF(B33="N",0,I33)</f>
        <v>0</v>
      </c>
      <c r="J35" s="2603">
        <f ca="1">IF($B33="N",0,(ROUNDUP(MAX($L$8:$M$8,$R33)*(1+$F$3)/IF($D33="Pcs",1,VLOOKUP($B33,Paper!$A$7:$AE$58,9,0))*VLOOKUP($B33,Paper!$A$7:$AE$58,11,0)*(1+VLOOKUP($B33,Paper!$A$7:$AE$58,12,0))/VLOOKUP($E33,Data!$L$1004:$O$1010,4,0),0)-$J33))</f>
        <v>0</v>
      </c>
      <c r="K35" s="1422"/>
      <c r="L35" s="1414"/>
      <c r="M35" s="1415"/>
      <c r="N35" s="1004"/>
      <c r="P35" s="833"/>
      <c r="Q35" s="833"/>
      <c r="R35" s="991"/>
      <c r="AC35" s="992"/>
      <c r="AD35" s="313"/>
      <c r="AT35" s="413" t="str">
        <f t="shared" si="0"/>
        <v/>
      </c>
      <c r="AU35" s="136">
        <f ca="1">COUNTIFS(AT$7:$AT35,1)</f>
        <v>1</v>
      </c>
    </row>
    <row r="36" spans="1:47" ht="19.5" customHeight="1" outlineLevel="1">
      <c r="A36" s="319">
        <v>10</v>
      </c>
      <c r="B36" s="1416" t="str">
        <f ca="1">input!$C$1082</f>
        <v>N</v>
      </c>
      <c r="C36" s="990" t="s">
        <v>1195</v>
      </c>
      <c r="D36" s="990" t="str">
        <f>input!$B1082</f>
        <v>Shts</v>
      </c>
      <c r="E36" s="990" t="str">
        <f>input!$D$1082</f>
        <v>Non Metalize</v>
      </c>
      <c r="F36" s="1053" t="str">
        <f>input!$E$1082</f>
        <v>SPV</v>
      </c>
      <c r="I36" s="2602">
        <f ca="1">IF(B36="N",0,VLOOKUP(F36,Data!$L$1027:$M$1028,2,0))</f>
        <v>0</v>
      </c>
      <c r="J36" s="2603">
        <f ca="1">IF(B36="N",0,1)</f>
        <v>0</v>
      </c>
      <c r="K36" s="2607">
        <f ca="1">IF(B36="N",0,J36*I36+I37*J37+I38*J38)</f>
        <v>0</v>
      </c>
      <c r="L36" s="2608">
        <f ca="1">IF($B36="N",0,IF($M$8&gt;0,0,$K36/MAX($R36,$L$8)))</f>
        <v>0</v>
      </c>
      <c r="M36" s="2609">
        <f ca="1">IF($B36="N",0,IF($M$8&gt;0,$K36/MAX($R36,$M$8),0))</f>
        <v>0</v>
      </c>
      <c r="N36" s="1400">
        <f ca="1">IF($M$8&gt;0,M36,L36)*IF($O$8="Reprint",0,1)</f>
        <v>0</v>
      </c>
      <c r="P36" s="833" t="str">
        <f ca="1">input!$J$1082</f>
        <v>N</v>
      </c>
      <c r="Q36" s="833"/>
      <c r="R36" s="991">
        <f>input!$H$1082</f>
        <v>0</v>
      </c>
      <c r="S36" s="136" t="s">
        <v>287</v>
      </c>
      <c r="AC36" s="992"/>
      <c r="AD36" s="313"/>
      <c r="AT36" s="413">
        <f t="shared" ca="1" si="0"/>
        <v>0</v>
      </c>
      <c r="AU36" s="136">
        <f ca="1">COUNTIFS(AT$7:$AT36,1)</f>
        <v>1</v>
      </c>
    </row>
    <row r="37" spans="1:47" ht="19.5" customHeight="1" outlineLevel="1">
      <c r="B37" s="1417"/>
      <c r="C37" s="990" t="s">
        <v>1166</v>
      </c>
      <c r="D37" s="990"/>
      <c r="E37" s="925"/>
      <c r="F37" s="925"/>
      <c r="I37" s="2604">
        <f ca="1">IF(B36="N",0,I36/3)</f>
        <v>0</v>
      </c>
      <c r="J37" s="2603">
        <f ca="1">IF($B36="N",0,(ROUNDUP(MAX($L$8:$M$8,$R36)*(1+$F$3)/IF($D36="Pcs",1,VLOOKUP($B36,Paper!$A$7:$AE$58,9,0))*VLOOKUP($B36,Paper!$A$7:$AE$58,11,0)*(1+VLOOKUP($B36,Paper!$A$7:$AE$58,12,0))/VLOOKUP($E36,Data!$L$1004:$O$1010,2,0),0)-($J36+$J38)))</f>
        <v>0</v>
      </c>
      <c r="K37" s="1421"/>
      <c r="L37" s="1419"/>
      <c r="M37" s="1420"/>
      <c r="N37" s="1004"/>
      <c r="P37" s="833"/>
      <c r="Q37" s="833"/>
      <c r="R37" s="991"/>
      <c r="AC37" s="992"/>
      <c r="AD37" s="313"/>
      <c r="AT37" s="413" t="str">
        <f t="shared" si="0"/>
        <v/>
      </c>
      <c r="AU37" s="136">
        <f ca="1">COUNTIFS(AT$7:$AT37,1)</f>
        <v>1</v>
      </c>
    </row>
    <row r="38" spans="1:47" ht="19.5" customHeight="1" outlineLevel="1">
      <c r="B38" s="1418"/>
      <c r="C38" s="990" t="s">
        <v>1167</v>
      </c>
      <c r="D38" s="990"/>
      <c r="E38" s="925"/>
      <c r="F38" s="925"/>
      <c r="I38" s="2604">
        <f ca="1">IF(B36="N",0,I36)</f>
        <v>0</v>
      </c>
      <c r="J38" s="2603">
        <f ca="1">IF($B36="N",0,(ROUNDUP(MAX($L$8:$M$8,$R36)*(1+$F$3)/IF($D36="Pcs",1,VLOOKUP($B36,Paper!$A$7:$AE$58,9,0))*VLOOKUP($B36,Paper!$A$7:$AE$58,11,0)*(1+VLOOKUP($B36,Paper!$A$7:$AE$58,12,0))/VLOOKUP($E36,Data!$L$1004:$O$1010,4,0),0)-$J36))</f>
        <v>0</v>
      </c>
      <c r="K38" s="1422"/>
      <c r="L38" s="1414"/>
      <c r="M38" s="1415"/>
      <c r="N38" s="1004"/>
      <c r="P38" s="833"/>
      <c r="Q38" s="833"/>
      <c r="R38" s="991"/>
      <c r="AC38" s="992"/>
      <c r="AD38" s="313"/>
      <c r="AT38" s="413" t="str">
        <f t="shared" si="0"/>
        <v/>
      </c>
      <c r="AU38" s="136">
        <f ca="1">COUNTIFS(AT$7:$AT38,1)</f>
        <v>1</v>
      </c>
    </row>
    <row r="39" spans="1:47" ht="19.5" customHeight="1" outlineLevel="1">
      <c r="A39" s="319">
        <v>11</v>
      </c>
      <c r="B39" s="1416" t="str">
        <f ca="1">input!$C$1083</f>
        <v>N</v>
      </c>
      <c r="C39" s="990" t="s">
        <v>1195</v>
      </c>
      <c r="D39" s="990" t="str">
        <f>input!$B1083</f>
        <v>Shts</v>
      </c>
      <c r="E39" s="990" t="str">
        <f>input!$D$1083</f>
        <v>CB 1.0mm</v>
      </c>
      <c r="F39" s="1053" t="str">
        <f>input!$E$1083</f>
        <v>SPV</v>
      </c>
      <c r="I39" s="2602">
        <f ca="1">IF(B39="N",0,VLOOKUP(F39,Data!$L$1027:$M$1028,2,0))</f>
        <v>0</v>
      </c>
      <c r="J39" s="2603">
        <f ca="1">IF(B39="N",0,1)</f>
        <v>0</v>
      </c>
      <c r="K39" s="2607">
        <f ca="1">IF(B39="N",0,J39*I39+I40*J40+I41*J41)</f>
        <v>0</v>
      </c>
      <c r="L39" s="2608">
        <f ca="1">IF($B39="N",0,IF($M$8&gt;0,0,$K39/MAX($R39,$L$8)))</f>
        <v>0</v>
      </c>
      <c r="M39" s="2609">
        <f ca="1">IF($B39="N",0,IF($M$8&gt;0,$K39/MAX($R39,$M$8),0))</f>
        <v>0</v>
      </c>
      <c r="N39" s="1400">
        <f ca="1">IF($M$8&gt;0,M39,L39)*IF($O$8="Reprint",0,1)</f>
        <v>0</v>
      </c>
      <c r="P39" s="833" t="str">
        <f ca="1">input!$J$1083</f>
        <v>N</v>
      </c>
      <c r="Q39" s="833"/>
      <c r="R39" s="991">
        <f>input!$H$1083</f>
        <v>0</v>
      </c>
      <c r="S39" s="136" t="s">
        <v>287</v>
      </c>
      <c r="AC39" s="992"/>
      <c r="AD39" s="313"/>
      <c r="AT39" s="413">
        <f t="shared" ca="1" si="0"/>
        <v>0</v>
      </c>
      <c r="AU39" s="136">
        <f ca="1">COUNTIFS(AT$7:$AT39,1)</f>
        <v>1</v>
      </c>
    </row>
    <row r="40" spans="1:47" ht="19.5" customHeight="1" outlineLevel="1">
      <c r="B40" s="1417"/>
      <c r="C40" s="990" t="s">
        <v>1166</v>
      </c>
      <c r="D40" s="990"/>
      <c r="E40" s="925"/>
      <c r="F40" s="925"/>
      <c r="I40" s="2604">
        <f ca="1">IF(B39="N",0,I39/3)</f>
        <v>0</v>
      </c>
      <c r="J40" s="2603">
        <f ca="1">IF($B39="N",0,(ROUNDUP(MAX($L$8:$M$8,$R39)*(1+$F$3)/IF($D39="Pcs",1,VLOOKUP($B39,Paper!$A$7:$AE$58,9,0))*VLOOKUP($B39,Paper!$A$7:$AE$58,11,0)*(1+VLOOKUP($B39,Paper!$A$7:$AE$58,12,0))/VLOOKUP($E39,Data!$L$1004:$O$1010,2,0),0)-($J39+$J41)))</f>
        <v>0</v>
      </c>
      <c r="K40" s="1421"/>
      <c r="L40" s="1419"/>
      <c r="M40" s="1420"/>
      <c r="N40" s="1004"/>
      <c r="P40" s="833"/>
      <c r="Q40" s="833"/>
      <c r="R40" s="991"/>
      <c r="AC40" s="992"/>
      <c r="AD40" s="313"/>
      <c r="AT40" s="413" t="str">
        <f t="shared" si="0"/>
        <v/>
      </c>
      <c r="AU40" s="136">
        <f ca="1">COUNTIFS(AT$7:$AT40,1)</f>
        <v>1</v>
      </c>
    </row>
    <row r="41" spans="1:47" ht="19.5" customHeight="1" outlineLevel="1">
      <c r="B41" s="1418"/>
      <c r="C41" s="990" t="s">
        <v>1167</v>
      </c>
      <c r="D41" s="990"/>
      <c r="E41" s="925"/>
      <c r="F41" s="925"/>
      <c r="I41" s="2604">
        <f ca="1">IF(B39="N",0,I39)</f>
        <v>0</v>
      </c>
      <c r="J41" s="2603">
        <f ca="1">IF($B39="N",0,(ROUNDUP(MAX($L$8:$M$8,$R39)*(1+$F$3)/IF($D39="Pcs",1,VLOOKUP($B39,Paper!$A$7:$AE$58,9,0))*VLOOKUP($B39,Paper!$A$7:$AE$58,11,0)*(1+VLOOKUP($B39,Paper!$A$7:$AE$58,12,0))/VLOOKUP($E39,Data!$L$1004:$O$1010,4,0),0)-$J39))</f>
        <v>0</v>
      </c>
      <c r="K41" s="1422"/>
      <c r="L41" s="1414"/>
      <c r="M41" s="1415"/>
      <c r="N41" s="1004"/>
      <c r="P41" s="833"/>
      <c r="Q41" s="833"/>
      <c r="R41" s="991"/>
      <c r="AC41" s="992"/>
      <c r="AD41" s="313"/>
      <c r="AT41" s="413" t="str">
        <f t="shared" si="0"/>
        <v/>
      </c>
      <c r="AU41" s="136">
        <f ca="1">COUNTIFS(AT$7:$AT41,1)</f>
        <v>1</v>
      </c>
    </row>
    <row r="42" spans="1:47" ht="19.5" customHeight="1" outlineLevel="1">
      <c r="A42" s="319">
        <v>12</v>
      </c>
      <c r="B42" s="1416" t="str">
        <f ca="1">input!$C$1084</f>
        <v>N</v>
      </c>
      <c r="C42" s="990" t="s">
        <v>1195</v>
      </c>
      <c r="D42" s="990" t="str">
        <f>input!$B1084</f>
        <v>Shts</v>
      </c>
      <c r="E42" s="990" t="str">
        <f>input!$D$1084</f>
        <v>CB 1.0mm</v>
      </c>
      <c r="F42" s="1053" t="str">
        <f>input!$E$1084</f>
        <v>SPV</v>
      </c>
      <c r="I42" s="2602">
        <f ca="1">IF(B42="N",0,VLOOKUP(F42,Data!$L$1027:$M$1028,2,0))</f>
        <v>0</v>
      </c>
      <c r="J42" s="2603">
        <f ca="1">IF(B42="N",0,1)</f>
        <v>0</v>
      </c>
      <c r="K42" s="2607">
        <f ca="1">IF(B42="N",0,J42*I42+I43*J43+I44*J44)</f>
        <v>0</v>
      </c>
      <c r="L42" s="2608">
        <f ca="1">IF($B42="N",0,IF($M$8&gt;0,0,$K42/MAX($R42,$L$8)))</f>
        <v>0</v>
      </c>
      <c r="M42" s="2609">
        <f ca="1">IF($B42="N",0,IF($M$8&gt;0,$K42/MAX($R42,$M$8),0))</f>
        <v>0</v>
      </c>
      <c r="N42" s="1400">
        <f ca="1">IF($M$8&gt;0,M42,L42)*IF($O$8="Reprint",0,1)</f>
        <v>0</v>
      </c>
      <c r="P42" s="833" t="str">
        <f ca="1">input!$J$1084</f>
        <v>N</v>
      </c>
      <c r="Q42" s="833"/>
      <c r="R42" s="991">
        <f>input!$H$1084</f>
        <v>0</v>
      </c>
      <c r="S42" s="136" t="s">
        <v>287</v>
      </c>
      <c r="AC42" s="992"/>
      <c r="AD42" s="313"/>
      <c r="AT42" s="413">
        <f t="shared" ca="1" si="0"/>
        <v>0</v>
      </c>
      <c r="AU42" s="136">
        <f ca="1">COUNTIFS(AT$7:$AT42,1)</f>
        <v>1</v>
      </c>
    </row>
    <row r="43" spans="1:47" ht="19.5" customHeight="1" outlineLevel="1">
      <c r="B43" s="1417"/>
      <c r="C43" s="990" t="s">
        <v>1166</v>
      </c>
      <c r="D43" s="990"/>
      <c r="E43" s="925"/>
      <c r="F43" s="925"/>
      <c r="I43" s="2604">
        <f ca="1">IF(B42="N",0,I42/3)</f>
        <v>0</v>
      </c>
      <c r="J43" s="2603">
        <f ca="1">IF($B42="N",0,(ROUNDUP(MAX($L$8:$M$8,$R42)*(1+$F$3)/IF($D42="Pcs",1,VLOOKUP($B42,Paper!$A$7:$AE$58,9,0))*VLOOKUP($B42,Paper!$A$7:$AE$58,11,0)*(1+VLOOKUP($B42,Paper!$A$7:$AE$58,12,0))/VLOOKUP($E42,Data!$L$1004:$O$1010,2,0),0)-($J42+$J44)))</f>
        <v>0</v>
      </c>
      <c r="K43" s="1421"/>
      <c r="L43" s="1419"/>
      <c r="M43" s="1420"/>
      <c r="N43" s="1004"/>
      <c r="P43" s="833"/>
      <c r="Q43" s="833"/>
      <c r="R43" s="991"/>
      <c r="AC43" s="992"/>
      <c r="AD43" s="313"/>
      <c r="AT43" s="413" t="str">
        <f t="shared" si="0"/>
        <v/>
      </c>
      <c r="AU43" s="136">
        <f ca="1">COUNTIFS(AT$7:$AT43,1)</f>
        <v>1</v>
      </c>
    </row>
    <row r="44" spans="1:47" ht="19.5" customHeight="1" outlineLevel="1">
      <c r="B44" s="1418"/>
      <c r="C44" s="990" t="s">
        <v>1167</v>
      </c>
      <c r="D44" s="990"/>
      <c r="E44" s="925"/>
      <c r="F44" s="925"/>
      <c r="I44" s="2604">
        <f ca="1">IF(B42="N",0,I42)</f>
        <v>0</v>
      </c>
      <c r="J44" s="2603">
        <f ca="1">IF($B42="N",0,(ROUNDUP(MAX($L$8:$M$8,$R42)*(1+$F$3)/IF($D42="Pcs",1,VLOOKUP($B42,Paper!$A$7:$AE$58,9,0))*VLOOKUP($B42,Paper!$A$7:$AE$58,11,0)*(1+VLOOKUP($B42,Paper!$A$7:$AE$58,12,0))/VLOOKUP($E42,Data!$L$1004:$O$1010,4,0),0)-$J42))</f>
        <v>0</v>
      </c>
      <c r="K44" s="1422"/>
      <c r="L44" s="1414"/>
      <c r="M44" s="1415"/>
      <c r="N44" s="1004"/>
      <c r="P44" s="833"/>
      <c r="Q44" s="833"/>
      <c r="R44" s="991"/>
      <c r="AC44" s="992"/>
      <c r="AD44" s="313"/>
      <c r="AT44" s="413" t="str">
        <f t="shared" si="0"/>
        <v/>
      </c>
      <c r="AU44" s="136">
        <f ca="1">COUNTIFS(AT$7:$AT44,1)</f>
        <v>1</v>
      </c>
    </row>
    <row r="45" spans="1:47" ht="19.5" customHeight="1" outlineLevel="1">
      <c r="A45" s="319">
        <v>13</v>
      </c>
      <c r="B45" s="1416" t="str">
        <f ca="1">input!$C$1085</f>
        <v>N</v>
      </c>
      <c r="C45" s="990" t="s">
        <v>1195</v>
      </c>
      <c r="D45" s="990" t="str">
        <f>input!$B1085</f>
        <v>Shts</v>
      </c>
      <c r="E45" s="990" t="str">
        <f>input!$D$1085</f>
        <v>CB 1.0mm</v>
      </c>
      <c r="F45" s="1053" t="str">
        <f>input!$E$1085</f>
        <v>SPV</v>
      </c>
      <c r="I45" s="2602">
        <f ca="1">IF(B45="N",0,VLOOKUP(F45,Data!$L$1027:$M$1028,2,0))</f>
        <v>0</v>
      </c>
      <c r="J45" s="2603">
        <f ca="1">IF(B45="N",0,1)</f>
        <v>0</v>
      </c>
      <c r="K45" s="2607">
        <f ca="1">IF(B45="N",0,J45*I45+I46*J46+I47*J47)</f>
        <v>0</v>
      </c>
      <c r="L45" s="2608">
        <f ca="1">IF($B45="N",0,IF($M$8&gt;0,0,$K45/MAX($R45,$L$8)))</f>
        <v>0</v>
      </c>
      <c r="M45" s="2609">
        <f ca="1">IF($B45="N",0,IF($M$8&gt;0,$K45/MAX($R45,$M$8),0))</f>
        <v>0</v>
      </c>
      <c r="N45" s="1400">
        <f ca="1">IF($M$8&gt;0,M45,L45)*IF($O$8="Reprint",0,1)</f>
        <v>0</v>
      </c>
      <c r="P45" s="833" t="str">
        <f ca="1">input!$J$1085</f>
        <v>N</v>
      </c>
      <c r="Q45" s="833"/>
      <c r="R45" s="991">
        <f>input!$H$1085</f>
        <v>0</v>
      </c>
      <c r="S45" s="136" t="s">
        <v>287</v>
      </c>
      <c r="AC45" s="992"/>
      <c r="AD45" s="313"/>
      <c r="AT45" s="413">
        <f t="shared" ca="1" si="0"/>
        <v>0</v>
      </c>
      <c r="AU45" s="136">
        <f ca="1">COUNTIFS(AT$7:$AT45,1)</f>
        <v>1</v>
      </c>
    </row>
    <row r="46" spans="1:47" ht="19.5" customHeight="1" outlineLevel="1">
      <c r="B46" s="1417"/>
      <c r="C46" s="990" t="s">
        <v>1166</v>
      </c>
      <c r="D46" s="990"/>
      <c r="E46" s="925"/>
      <c r="F46" s="925"/>
      <c r="I46" s="2604">
        <f ca="1">IF(B45="N",0,I45/3)</f>
        <v>0</v>
      </c>
      <c r="J46" s="2603">
        <f ca="1">IF($B45="N",0,(ROUNDUP(MAX($L$8:$M$8,$R45)*(1+$F$3)/IF($D45="Pcs",1,VLOOKUP($B45,Paper!$A$7:$AE$58,9,0))*VLOOKUP($B45,Paper!$A$7:$AE$58,11,0)*(1+VLOOKUP($B45,Paper!$A$7:$AE$58,12,0))/VLOOKUP($E45,Data!$L$1004:$O$1010,2,0),0)-($J45+$J47)))</f>
        <v>0</v>
      </c>
      <c r="K46" s="1421"/>
      <c r="L46" s="1419"/>
      <c r="M46" s="1420"/>
      <c r="N46" s="1004"/>
      <c r="P46" s="833"/>
      <c r="Q46" s="833"/>
      <c r="R46" s="991"/>
      <c r="AC46" s="992"/>
      <c r="AD46" s="313"/>
      <c r="AT46" s="413" t="str">
        <f t="shared" si="0"/>
        <v/>
      </c>
      <c r="AU46" s="136">
        <f ca="1">COUNTIFS(AT$7:$AT46,1)</f>
        <v>1</v>
      </c>
    </row>
    <row r="47" spans="1:47" ht="19.5" customHeight="1" outlineLevel="1">
      <c r="B47" s="1418"/>
      <c r="C47" s="990" t="s">
        <v>1167</v>
      </c>
      <c r="D47" s="990"/>
      <c r="E47" s="925"/>
      <c r="F47" s="925"/>
      <c r="I47" s="2604">
        <f ca="1">IF(B45="N",0,I45)</f>
        <v>0</v>
      </c>
      <c r="J47" s="2603">
        <f ca="1">IF($B45="N",0,(ROUNDUP(MAX($L$8:$M$8,$R45)*(1+$F$3)/IF($D45="Pcs",1,VLOOKUP($B45,Paper!$A$7:$AE$58,9,0))*VLOOKUP($B45,Paper!$A$7:$AE$58,11,0)*(1+VLOOKUP($B45,Paper!$A$7:$AE$58,12,0))/VLOOKUP($E45,Data!$L$1004:$O$1010,4,0),0)-$J45))</f>
        <v>0</v>
      </c>
      <c r="K47" s="1422"/>
      <c r="L47" s="1414"/>
      <c r="M47" s="1415"/>
      <c r="N47" s="1004"/>
      <c r="P47" s="833"/>
      <c r="Q47" s="833"/>
      <c r="R47" s="991"/>
      <c r="AC47" s="992"/>
      <c r="AD47" s="313"/>
      <c r="AT47" s="413" t="str">
        <f t="shared" si="0"/>
        <v/>
      </c>
      <c r="AU47" s="136">
        <f ca="1">COUNTIFS(AT$7:$AT47,1)</f>
        <v>1</v>
      </c>
    </row>
    <row r="48" spans="1:47" ht="19.5" customHeight="1" outlineLevel="1">
      <c r="A48" s="319">
        <v>14</v>
      </c>
      <c r="B48" s="1416" t="str">
        <f ca="1">input!$C$1086</f>
        <v>N</v>
      </c>
      <c r="C48" s="990" t="s">
        <v>1195</v>
      </c>
      <c r="D48" s="990" t="str">
        <f>input!$B1086</f>
        <v>Shts</v>
      </c>
      <c r="E48" s="990" t="str">
        <f>input!$D$1086</f>
        <v>CB 1.0mm</v>
      </c>
      <c r="F48" s="1053" t="str">
        <f>input!$E$1086</f>
        <v>SPV</v>
      </c>
      <c r="I48" s="2602">
        <f ca="1">IF(B48="N",0,VLOOKUP(F48,Data!$L$1027:$M$1028,2,0))</f>
        <v>0</v>
      </c>
      <c r="J48" s="2603">
        <f ca="1">IF(B48="N",0,1)</f>
        <v>0</v>
      </c>
      <c r="K48" s="2607">
        <f ca="1">IF(B48="N",0,J48*I48+I49*J49+I50*J50)</f>
        <v>0</v>
      </c>
      <c r="L48" s="2608">
        <f ca="1">IF($B48="N",0,IF($M$8&gt;0,0,$K48/MAX($R48,$L$8)))</f>
        <v>0</v>
      </c>
      <c r="M48" s="2609">
        <f ca="1">IF($B48="N",0,IF($M$8&gt;0,$K48/MAX($R48,$M$8),0))</f>
        <v>0</v>
      </c>
      <c r="N48" s="1400">
        <f ca="1">IF($M$8&gt;0,M48,L48)*IF($O$8="Reprint",0,1)</f>
        <v>0</v>
      </c>
      <c r="P48" s="833" t="str">
        <f ca="1">input!$J$1086</f>
        <v>N</v>
      </c>
      <c r="Q48" s="833"/>
      <c r="R48" s="991">
        <f>input!$H$1086</f>
        <v>0</v>
      </c>
      <c r="S48" s="136" t="s">
        <v>287</v>
      </c>
      <c r="AC48" s="992"/>
      <c r="AD48" s="313"/>
      <c r="AT48" s="413">
        <f t="shared" ca="1" si="0"/>
        <v>0</v>
      </c>
      <c r="AU48" s="136">
        <f ca="1">COUNTIFS(AT$7:$AT48,1)</f>
        <v>1</v>
      </c>
    </row>
    <row r="49" spans="1:47" ht="19.5" customHeight="1" outlineLevel="1">
      <c r="B49" s="1417"/>
      <c r="C49" s="990" t="s">
        <v>1166</v>
      </c>
      <c r="D49" s="990"/>
      <c r="E49" s="925"/>
      <c r="F49" s="925"/>
      <c r="I49" s="2604">
        <f ca="1">IF(B48="N",0,I48/3)</f>
        <v>0</v>
      </c>
      <c r="J49" s="2603">
        <f ca="1">IF($B48="N",0,(ROUNDUP(MAX($L$8:$M$8,$R48)*(1+$F$3)/IF($D48="Pcs",1,VLOOKUP($B48,Paper!$A$7:$AE$58,9,0))*VLOOKUP($B48,Paper!$A$7:$AE$58,11,0)*(1+VLOOKUP($B48,Paper!$A$7:$AE$58,12,0))/VLOOKUP($E48,Data!$L$1004:$O$1010,2,0),0)-($J48+$J50)))</f>
        <v>0</v>
      </c>
      <c r="K49" s="1421"/>
      <c r="L49" s="1419"/>
      <c r="M49" s="1420"/>
      <c r="N49" s="1004"/>
      <c r="P49" s="833"/>
      <c r="Q49" s="833"/>
      <c r="R49" s="991"/>
      <c r="AC49" s="992"/>
      <c r="AD49" s="313"/>
      <c r="AT49" s="413" t="str">
        <f t="shared" si="0"/>
        <v/>
      </c>
      <c r="AU49" s="136">
        <f ca="1">COUNTIFS(AT$7:$AT49,1)</f>
        <v>1</v>
      </c>
    </row>
    <row r="50" spans="1:47" ht="19.5" customHeight="1" outlineLevel="1">
      <c r="B50" s="1418"/>
      <c r="C50" s="990" t="s">
        <v>1167</v>
      </c>
      <c r="D50" s="990"/>
      <c r="E50" s="925"/>
      <c r="F50" s="925"/>
      <c r="I50" s="2604">
        <f ca="1">IF(B48="N",0,I48)</f>
        <v>0</v>
      </c>
      <c r="J50" s="2603">
        <f ca="1">IF($B48="N",0,(ROUNDUP(MAX($L$8:$M$8,$R48)*(1+$F$3)/IF($D48="Pcs",1,VLOOKUP($B48,Paper!$A$7:$AE$58,9,0))*VLOOKUP($B48,Paper!$A$7:$AE$58,11,0)*(1+VLOOKUP($B48,Paper!$A$7:$AE$58,12,0))/VLOOKUP($E48,Data!$L$1004:$O$1010,4,0),0)-$J48))</f>
        <v>0</v>
      </c>
      <c r="K50" s="1422"/>
      <c r="L50" s="1414"/>
      <c r="M50" s="1415"/>
      <c r="N50" s="1004"/>
      <c r="P50" s="833"/>
      <c r="Q50" s="833"/>
      <c r="R50" s="991"/>
      <c r="AC50" s="992"/>
      <c r="AD50" s="313"/>
      <c r="AT50" s="413" t="str">
        <f t="shared" si="0"/>
        <v/>
      </c>
      <c r="AU50" s="136">
        <f ca="1">COUNTIFS(AT$7:$AT50,1)</f>
        <v>1</v>
      </c>
    </row>
    <row r="51" spans="1:47" ht="19.5" customHeight="1" outlineLevel="1">
      <c r="A51" s="319">
        <v>15</v>
      </c>
      <c r="B51" s="1416" t="str">
        <f ca="1">input!$C$1087</f>
        <v>N</v>
      </c>
      <c r="C51" s="990" t="s">
        <v>1195</v>
      </c>
      <c r="D51" s="990" t="str">
        <f>input!$B1087</f>
        <v>Shts</v>
      </c>
      <c r="E51" s="990" t="str">
        <f>input!$D$1087</f>
        <v>CB 1.0mm</v>
      </c>
      <c r="F51" s="1053" t="str">
        <f>input!$E$1087</f>
        <v>SPV</v>
      </c>
      <c r="I51" s="2602">
        <f ca="1">IF(B51="N",0,VLOOKUP(F51,Data!$L$1027:$M$1028,2,0))</f>
        <v>0</v>
      </c>
      <c r="J51" s="2603">
        <f ca="1">IF(B51="N",0,1)</f>
        <v>0</v>
      </c>
      <c r="K51" s="2607">
        <f ca="1">IF(B51="N",0,J51*I51+I52*J52+I53*J53)</f>
        <v>0</v>
      </c>
      <c r="L51" s="2608">
        <f ca="1">IF($B51="N",0,IF($M$8&gt;0,0,$K51/MAX($R51,$L$8)))</f>
        <v>0</v>
      </c>
      <c r="M51" s="2609">
        <f ca="1">IF($B51="N",0,IF($M$8&gt;0,$K51/MAX($R51,$M$8),0))</f>
        <v>0</v>
      </c>
      <c r="N51" s="1400">
        <f ca="1">IF($M$8&gt;0,M51,L51)*IF($O$8="Reprint",0,1)</f>
        <v>0</v>
      </c>
      <c r="P51" s="833" t="str">
        <f ca="1">input!$J$1087</f>
        <v>N</v>
      </c>
      <c r="Q51" s="833"/>
      <c r="R51" s="991">
        <f>input!$H$1087</f>
        <v>0</v>
      </c>
      <c r="S51" s="136" t="s">
        <v>287</v>
      </c>
      <c r="AC51" s="992"/>
      <c r="AD51" s="313"/>
      <c r="AT51" s="413">
        <f t="shared" ca="1" si="0"/>
        <v>0</v>
      </c>
      <c r="AU51" s="136">
        <f ca="1">COUNTIFS(AT$7:$AT51,1)</f>
        <v>1</v>
      </c>
    </row>
    <row r="52" spans="1:47" ht="19.5" customHeight="1" outlineLevel="1">
      <c r="B52" s="1417"/>
      <c r="C52" s="990" t="s">
        <v>1166</v>
      </c>
      <c r="D52" s="990"/>
      <c r="E52" s="925"/>
      <c r="F52" s="925"/>
      <c r="I52" s="2604">
        <f ca="1">IF(B51="N",0,I51/3)</f>
        <v>0</v>
      </c>
      <c r="J52" s="2603">
        <f ca="1">IF($B51="N",0,(ROUNDUP(MAX($L$8:$M$8,$R51)*(1+$F$3)/IF($D51="Pcs",1,VLOOKUP($B51,Paper!$A$7:$AE$58,9,0))*VLOOKUP($B51,Paper!$A$7:$AE$58,11,0)*(1+VLOOKUP($B51,Paper!$A$7:$AE$58,12,0))/VLOOKUP($E51,Data!$L$1004:$O$1010,2,0),0)-($J51+$J53)))</f>
        <v>0</v>
      </c>
      <c r="K52" s="1421"/>
      <c r="L52" s="1419"/>
      <c r="M52" s="1420"/>
      <c r="N52" s="1004"/>
      <c r="P52" s="833"/>
      <c r="Q52" s="833"/>
      <c r="R52" s="991"/>
      <c r="AC52" s="992"/>
      <c r="AD52" s="313"/>
      <c r="AT52" s="413" t="str">
        <f t="shared" si="0"/>
        <v/>
      </c>
      <c r="AU52" s="136">
        <f ca="1">COUNTIFS(AT$7:$AT52,1)</f>
        <v>1</v>
      </c>
    </row>
    <row r="53" spans="1:47" ht="19.5" customHeight="1" outlineLevel="1">
      <c r="B53" s="1418"/>
      <c r="C53" s="990" t="s">
        <v>1167</v>
      </c>
      <c r="D53" s="990"/>
      <c r="E53" s="925"/>
      <c r="F53" s="925"/>
      <c r="I53" s="2604">
        <f ca="1">IF(B51="N",0,I51)</f>
        <v>0</v>
      </c>
      <c r="J53" s="2603">
        <f ca="1">IF($B51="N",0,(ROUNDUP(MAX($L$8:$M$8,$R51)*(1+$F$3)/IF($D51="Pcs",1,VLOOKUP($B51,Paper!$A$7:$AE$58,9,0))*VLOOKUP($B51,Paper!$A$7:$AE$58,11,0)*(1+VLOOKUP($B51,Paper!$A$7:$AE$58,12,0))/VLOOKUP($E51,Data!$L$1004:$O$1010,4,0),0)-$J51))</f>
        <v>0</v>
      </c>
      <c r="K53" s="1422"/>
      <c r="L53" s="1414"/>
      <c r="M53" s="1415"/>
      <c r="N53" s="1004"/>
      <c r="P53" s="833"/>
      <c r="Q53" s="833"/>
      <c r="R53" s="991"/>
      <c r="AC53" s="992"/>
      <c r="AD53" s="313"/>
      <c r="AT53" s="413" t="str">
        <f t="shared" si="0"/>
        <v/>
      </c>
      <c r="AU53" s="136">
        <f ca="1">COUNTIFS(AT$7:$AT53,1)</f>
        <v>1</v>
      </c>
    </row>
    <row r="54" spans="1:47" ht="19.5" customHeight="1" outlineLevel="1">
      <c r="A54" s="319">
        <v>16</v>
      </c>
      <c r="B54" s="1416" t="str">
        <f ca="1">input!$C$1088</f>
        <v>N</v>
      </c>
      <c r="C54" s="990" t="s">
        <v>1195</v>
      </c>
      <c r="D54" s="990" t="str">
        <f>input!$B1088</f>
        <v>Shts</v>
      </c>
      <c r="E54" s="990" t="str">
        <f>input!$D$1088</f>
        <v>CB 1.0mm</v>
      </c>
      <c r="F54" s="1053" t="str">
        <f>input!$E$1088</f>
        <v>SPV</v>
      </c>
      <c r="I54" s="2602">
        <f ca="1">IF(B54="N",0,VLOOKUP(F54,Data!$L$1027:$M$1028,2,0))</f>
        <v>0</v>
      </c>
      <c r="J54" s="2603">
        <f ca="1">IF(B54="N",0,1)</f>
        <v>0</v>
      </c>
      <c r="K54" s="2607">
        <f ca="1">IF(B54="N",0,J54*I54+I55*J55+I56*J56)</f>
        <v>0</v>
      </c>
      <c r="L54" s="2608">
        <f ca="1">IF($B54="N",0,IF($M$8&gt;0,0,$K54/MAX($R54,$L$8)))</f>
        <v>0</v>
      </c>
      <c r="M54" s="2609">
        <f ca="1">IF($B54="N",0,IF($M$8&gt;0,$K54/MAX($R54,$M$8),0))</f>
        <v>0</v>
      </c>
      <c r="N54" s="1400">
        <f ca="1">IF($M$8&gt;0,M54,L54)*IF($O$8="Reprint",0,1)</f>
        <v>0</v>
      </c>
      <c r="P54" s="833" t="str">
        <f ca="1">input!$J$1088</f>
        <v>N</v>
      </c>
      <c r="Q54" s="833"/>
      <c r="R54" s="991">
        <f>input!$H$1088</f>
        <v>0</v>
      </c>
      <c r="S54" s="136" t="s">
        <v>287</v>
      </c>
      <c r="AC54" s="992"/>
      <c r="AD54" s="313"/>
      <c r="AT54" s="413">
        <f t="shared" ca="1" si="0"/>
        <v>0</v>
      </c>
      <c r="AU54" s="136">
        <f ca="1">COUNTIFS(AT$7:$AT54,1)</f>
        <v>1</v>
      </c>
    </row>
    <row r="55" spans="1:47" ht="19.5" customHeight="1" outlineLevel="1">
      <c r="B55" s="1417"/>
      <c r="C55" s="990" t="s">
        <v>1166</v>
      </c>
      <c r="D55" s="990"/>
      <c r="E55" s="925"/>
      <c r="F55" s="925"/>
      <c r="I55" s="2604">
        <f ca="1">IF(B54="N",0,I54/3)</f>
        <v>0</v>
      </c>
      <c r="J55" s="2603">
        <f ca="1">IF($B54="N",0,(ROUNDUP(MAX($L$8:$M$8,$R54)*(1+$F$3)/IF($D54="Pcs",1,VLOOKUP($B54,Paper!$A$7:$AE$58,9,0))*VLOOKUP($B54,Paper!$A$7:$AE$58,11,0)*(1+VLOOKUP($B54,Paper!$A$7:$AE$58,12,0))/VLOOKUP($E54,Data!$L$1004:$O$1010,2,0),0)-($J54+$J56)))</f>
        <v>0</v>
      </c>
      <c r="K55" s="1421"/>
      <c r="L55" s="1419"/>
      <c r="M55" s="1420"/>
      <c r="N55" s="1004"/>
      <c r="P55" s="833"/>
      <c r="Q55" s="833"/>
      <c r="R55" s="991"/>
      <c r="AC55" s="992"/>
      <c r="AD55" s="313"/>
      <c r="AT55" s="413" t="str">
        <f t="shared" si="0"/>
        <v/>
      </c>
      <c r="AU55" s="136">
        <f ca="1">COUNTIFS(AT$7:$AT55,1)</f>
        <v>1</v>
      </c>
    </row>
    <row r="56" spans="1:47" ht="19.5" customHeight="1" outlineLevel="1">
      <c r="B56" s="1418"/>
      <c r="C56" s="990" t="s">
        <v>1167</v>
      </c>
      <c r="D56" s="990"/>
      <c r="E56" s="925"/>
      <c r="F56" s="925"/>
      <c r="I56" s="2604">
        <f ca="1">IF(B54="N",0,I54)</f>
        <v>0</v>
      </c>
      <c r="J56" s="2603">
        <f ca="1">IF($B54="N",0,(ROUNDUP(MAX($L$8:$M$8,$R54)*(1+$F$3)/IF($D54="Pcs",1,VLOOKUP($B54,Paper!$A$7:$AE$58,9,0))*VLOOKUP($B54,Paper!$A$7:$AE$58,11,0)*(1+VLOOKUP($B54,Paper!$A$7:$AE$58,12,0))/VLOOKUP($E54,Data!$L$1004:$O$1010,4,0),0)-$J54))</f>
        <v>0</v>
      </c>
      <c r="K56" s="1422"/>
      <c r="L56" s="1414"/>
      <c r="M56" s="1415"/>
      <c r="N56" s="1004"/>
      <c r="P56" s="833"/>
      <c r="Q56" s="833"/>
      <c r="R56" s="991"/>
      <c r="AC56" s="992"/>
      <c r="AD56" s="313"/>
      <c r="AT56" s="413" t="str">
        <f t="shared" si="0"/>
        <v/>
      </c>
      <c r="AU56" s="136">
        <f ca="1">COUNTIFS(AT$7:$AT56,1)</f>
        <v>1</v>
      </c>
    </row>
    <row r="57" spans="1:47" ht="19.5" customHeight="1" outlineLevel="1">
      <c r="A57" s="319">
        <v>17</v>
      </c>
      <c r="B57" s="1416" t="str">
        <f ca="1">input!$C$1089</f>
        <v>N</v>
      </c>
      <c r="C57" s="990" t="s">
        <v>1195</v>
      </c>
      <c r="D57" s="990" t="str">
        <f>input!$B1089</f>
        <v>Shts</v>
      </c>
      <c r="E57" s="990" t="str">
        <f>input!$D$1089</f>
        <v>CB 1.0mm</v>
      </c>
      <c r="F57" s="1053" t="str">
        <f>input!$E$1089</f>
        <v>SPV</v>
      </c>
      <c r="I57" s="2602">
        <f ca="1">IF(B57="N",0,VLOOKUP(F57,Data!$L$1027:$M$1028,2,0))</f>
        <v>0</v>
      </c>
      <c r="J57" s="2603">
        <f ca="1">IF(B57="N",0,1)</f>
        <v>0</v>
      </c>
      <c r="K57" s="2607">
        <f ca="1">IF(B57="N",0,J57*I57+I58*J58+I59*J59)</f>
        <v>0</v>
      </c>
      <c r="L57" s="2608">
        <f ca="1">IF($B57="N",0,IF($M$8&gt;0,0,$K57/MAX($R57,$L$8)))</f>
        <v>0</v>
      </c>
      <c r="M57" s="2609">
        <f ca="1">IF($B57="N",0,IF($M$8&gt;0,$K57/MAX($R57,$M$8),0))</f>
        <v>0</v>
      </c>
      <c r="N57" s="1400">
        <f ca="1">IF($M$8&gt;0,M57,L57)*IF($O$8="Reprint",0,1)</f>
        <v>0</v>
      </c>
      <c r="P57" s="833" t="str">
        <f ca="1">input!$J$1089</f>
        <v>N</v>
      </c>
      <c r="Q57" s="833"/>
      <c r="R57" s="991">
        <f>input!$H$1089</f>
        <v>0</v>
      </c>
      <c r="S57" s="136" t="s">
        <v>287</v>
      </c>
      <c r="AC57" s="992"/>
      <c r="AD57" s="313"/>
      <c r="AT57" s="413">
        <f t="shared" ca="1" si="0"/>
        <v>0</v>
      </c>
      <c r="AU57" s="136">
        <f ca="1">COUNTIFS(AT$7:$AT57,1)</f>
        <v>1</v>
      </c>
    </row>
    <row r="58" spans="1:47" ht="19.5" customHeight="1" outlineLevel="1">
      <c r="B58" s="1417"/>
      <c r="C58" s="990" t="s">
        <v>1166</v>
      </c>
      <c r="D58" s="990"/>
      <c r="E58" s="925"/>
      <c r="F58" s="925"/>
      <c r="I58" s="2604">
        <f ca="1">IF(B57="N",0,I57/3)</f>
        <v>0</v>
      </c>
      <c r="J58" s="2603">
        <f ca="1">IF($B57="N",0,(ROUNDUP(MAX($L$8:$M$8,$R57)*(1+$F$3)/IF($D57="Pcs",1,VLOOKUP($B57,Paper!$A$7:$AE$58,9,0))*VLOOKUP($B57,Paper!$A$7:$AE$58,11,0)*(1+VLOOKUP($B57,Paper!$A$7:$AE$58,12,0))/VLOOKUP($E57,Data!$L$1004:$O$1010,2,0),0)-($J57+$J59)))</f>
        <v>0</v>
      </c>
      <c r="K58" s="1421"/>
      <c r="L58" s="1419"/>
      <c r="M58" s="1420"/>
      <c r="N58" s="1004"/>
      <c r="P58" s="833"/>
      <c r="Q58" s="833"/>
      <c r="R58" s="991"/>
      <c r="AC58" s="992"/>
      <c r="AD58" s="313"/>
      <c r="AT58" s="413" t="str">
        <f t="shared" si="0"/>
        <v/>
      </c>
      <c r="AU58" s="136">
        <f ca="1">COUNTIFS(AT$7:$AT58,1)</f>
        <v>1</v>
      </c>
    </row>
    <row r="59" spans="1:47" ht="19.5" customHeight="1" outlineLevel="1">
      <c r="B59" s="1418"/>
      <c r="C59" s="990" t="s">
        <v>1167</v>
      </c>
      <c r="D59" s="990"/>
      <c r="E59" s="925"/>
      <c r="F59" s="925"/>
      <c r="I59" s="2604">
        <f ca="1">IF(B57="N",0,I57)</f>
        <v>0</v>
      </c>
      <c r="J59" s="2603">
        <f ca="1">IF($B57="N",0,(ROUNDUP(MAX($L$8:$M$8,$R57)*(1+$F$3)/IF($D57="Pcs",1,VLOOKUP($B57,Paper!$A$7:$AE$58,9,0))*VLOOKUP($B57,Paper!$A$7:$AE$58,11,0)*(1+VLOOKUP($B57,Paper!$A$7:$AE$58,12,0))/VLOOKUP($E57,Data!$L$1004:$O$1010,4,0),0)-$J57))</f>
        <v>0</v>
      </c>
      <c r="K59" s="1422"/>
      <c r="L59" s="1414"/>
      <c r="M59" s="1415"/>
      <c r="N59" s="1004"/>
      <c r="P59" s="833"/>
      <c r="Q59" s="833"/>
      <c r="R59" s="991"/>
      <c r="AC59" s="992"/>
      <c r="AD59" s="313"/>
      <c r="AT59" s="413" t="str">
        <f t="shared" si="0"/>
        <v/>
      </c>
      <c r="AU59" s="136">
        <f ca="1">COUNTIFS(AT$7:$AT59,1)</f>
        <v>1</v>
      </c>
    </row>
    <row r="60" spans="1:47" ht="19.5" customHeight="1" outlineLevel="1">
      <c r="A60" s="319">
        <v>18</v>
      </c>
      <c r="B60" s="1416" t="str">
        <f ca="1">input!$C$1090</f>
        <v>N</v>
      </c>
      <c r="C60" s="990" t="s">
        <v>1195</v>
      </c>
      <c r="D60" s="990" t="str">
        <f>input!$B1090</f>
        <v>Shts</v>
      </c>
      <c r="E60" s="990" t="str">
        <f>input!$D$1090</f>
        <v>CB 1.0mm</v>
      </c>
      <c r="F60" s="1053" t="str">
        <f>input!$E$1090</f>
        <v>SPV</v>
      </c>
      <c r="I60" s="2602">
        <f ca="1">IF(B60="N",0,VLOOKUP(F60,Data!$L$1027:$M$1028,2,0))</f>
        <v>0</v>
      </c>
      <c r="J60" s="2603">
        <f ca="1">IF(B60="N",0,1)</f>
        <v>0</v>
      </c>
      <c r="K60" s="2607">
        <f ca="1">IF(B60="N",0,J60*I60+I61*J61+I62*J62)</f>
        <v>0</v>
      </c>
      <c r="L60" s="2608">
        <f ca="1">IF($B60="N",0,IF($M$8&gt;0,0,$K60/MAX($R60,$L$8)))</f>
        <v>0</v>
      </c>
      <c r="M60" s="2609">
        <f ca="1">IF($B60="N",0,IF($M$8&gt;0,$K60/MAX($R60,$M$8),0))</f>
        <v>0</v>
      </c>
      <c r="N60" s="1400">
        <f ca="1">IF($M$8&gt;0,M60,L60)*IF($O$8="Reprint",0,1)</f>
        <v>0</v>
      </c>
      <c r="P60" s="833" t="str">
        <f ca="1">input!$J$1090</f>
        <v>N</v>
      </c>
      <c r="Q60" s="833"/>
      <c r="R60" s="991">
        <f>input!$H$1090</f>
        <v>0</v>
      </c>
      <c r="S60" s="136" t="s">
        <v>287</v>
      </c>
      <c r="AC60" s="992"/>
      <c r="AD60" s="313"/>
      <c r="AT60" s="413">
        <f t="shared" ca="1" si="0"/>
        <v>0</v>
      </c>
      <c r="AU60" s="136">
        <f ca="1">COUNTIFS(AT$7:$AT60,1)</f>
        <v>1</v>
      </c>
    </row>
    <row r="61" spans="1:47" ht="19.5" customHeight="1" outlineLevel="1">
      <c r="B61" s="1417"/>
      <c r="C61" s="990" t="s">
        <v>1166</v>
      </c>
      <c r="D61" s="990"/>
      <c r="E61" s="925"/>
      <c r="F61" s="925"/>
      <c r="I61" s="2604">
        <f ca="1">IF(B60="N",0,I60/3)</f>
        <v>0</v>
      </c>
      <c r="J61" s="2603">
        <f ca="1">IF($B60="N",0,(ROUNDUP(MAX($L$8:$M$8,$R60)*(1+$F$3)/IF($D60="Pcs",1,VLOOKUP($B60,Paper!$A$7:$AE$58,9,0))*VLOOKUP($B60,Paper!$A$7:$AE$58,11,0)*(1+VLOOKUP($B60,Paper!$A$7:$AE$58,12,0))/VLOOKUP($E60,Data!$L$1004:$O$1010,2,0),0)-($J60+$J62)))</f>
        <v>0</v>
      </c>
      <c r="K61" s="1421"/>
      <c r="L61" s="1419"/>
      <c r="M61" s="1420"/>
      <c r="N61" s="1004"/>
      <c r="P61" s="833"/>
      <c r="Q61" s="833"/>
      <c r="R61" s="991"/>
      <c r="AC61" s="992"/>
      <c r="AD61" s="313"/>
      <c r="AT61" s="413" t="str">
        <f t="shared" si="0"/>
        <v/>
      </c>
      <c r="AU61" s="136">
        <f ca="1">COUNTIFS(AT$7:$AT61,1)</f>
        <v>1</v>
      </c>
    </row>
    <row r="62" spans="1:47" ht="19.5" customHeight="1" outlineLevel="1">
      <c r="B62" s="1418"/>
      <c r="C62" s="990" t="s">
        <v>1167</v>
      </c>
      <c r="D62" s="990"/>
      <c r="E62" s="925"/>
      <c r="F62" s="925"/>
      <c r="I62" s="2604">
        <f ca="1">IF(B60="N",0,I60)</f>
        <v>0</v>
      </c>
      <c r="J62" s="2603">
        <f ca="1">IF($B60="N",0,(ROUNDUP(MAX($L$8:$M$8,$R60)*(1+$F$3)/IF($D60="Pcs",1,VLOOKUP($B60,Paper!$A$7:$AE$58,9,0))*VLOOKUP($B60,Paper!$A$7:$AE$58,11,0)*(1+VLOOKUP($B60,Paper!$A$7:$AE$58,12,0))/VLOOKUP($E60,Data!$L$1004:$O$1010,4,0),0)-$J60))</f>
        <v>0</v>
      </c>
      <c r="K62" s="1422"/>
      <c r="L62" s="1414"/>
      <c r="M62" s="1415"/>
      <c r="N62" s="1004"/>
      <c r="P62" s="833"/>
      <c r="Q62" s="833"/>
      <c r="R62" s="991"/>
      <c r="AC62" s="992"/>
      <c r="AD62" s="313"/>
      <c r="AT62" s="413" t="str">
        <f t="shared" si="0"/>
        <v/>
      </c>
      <c r="AU62" s="136">
        <f ca="1">COUNTIFS(AT$7:$AT62,1)</f>
        <v>1</v>
      </c>
    </row>
    <row r="63" spans="1:47" ht="19.5" customHeight="1" outlineLevel="1">
      <c r="A63" s="319">
        <v>19</v>
      </c>
      <c r="B63" s="1416" t="str">
        <f ca="1">input!$C$1091</f>
        <v>N</v>
      </c>
      <c r="C63" s="990" t="s">
        <v>1195</v>
      </c>
      <c r="D63" s="990" t="str">
        <f>input!$B1091</f>
        <v>Shts</v>
      </c>
      <c r="E63" s="990" t="str">
        <f>input!$D$1091</f>
        <v>CB 1.0mm</v>
      </c>
      <c r="F63" s="1053" t="str">
        <f>input!$E$1091</f>
        <v>SPV</v>
      </c>
      <c r="I63" s="2602">
        <f ca="1">IF(B63="N",0,VLOOKUP(F63,Data!$L$1027:$M$1028,2,0))</f>
        <v>0</v>
      </c>
      <c r="J63" s="2603">
        <f ca="1">IF(B63="N",0,1)</f>
        <v>0</v>
      </c>
      <c r="K63" s="2607">
        <f ca="1">IF(B63="N",0,J63*I63+I64*J64+I65*J65)</f>
        <v>0</v>
      </c>
      <c r="L63" s="2608">
        <f ca="1">IF($B63="N",0,IF($M$8&gt;0,0,$K63/MAX($R63,$L$8)))</f>
        <v>0</v>
      </c>
      <c r="M63" s="2609">
        <f ca="1">IF($B63="N",0,IF($M$8&gt;0,$K63/MAX($R63,$M$8),0))</f>
        <v>0</v>
      </c>
      <c r="N63" s="1400">
        <f ca="1">IF($M$8&gt;0,M63,L63)*IF($O$8="Reprint",0,1)</f>
        <v>0</v>
      </c>
      <c r="P63" s="833" t="str">
        <f ca="1">input!$J$1091</f>
        <v>N</v>
      </c>
      <c r="Q63" s="833"/>
      <c r="R63" s="991">
        <f>input!$H$1091</f>
        <v>0</v>
      </c>
      <c r="S63" s="136" t="s">
        <v>287</v>
      </c>
      <c r="AC63" s="992"/>
      <c r="AD63" s="313"/>
      <c r="AT63" s="413">
        <f t="shared" ca="1" si="0"/>
        <v>0</v>
      </c>
      <c r="AU63" s="136">
        <f ca="1">COUNTIFS(AT$7:$AT63,1)</f>
        <v>1</v>
      </c>
    </row>
    <row r="64" spans="1:47" ht="19.5" customHeight="1" outlineLevel="1">
      <c r="B64" s="1417"/>
      <c r="C64" s="990" t="s">
        <v>1166</v>
      </c>
      <c r="D64" s="990"/>
      <c r="E64" s="925"/>
      <c r="F64" s="925"/>
      <c r="I64" s="2604">
        <f ca="1">IF(B63="N",0,I63/3)</f>
        <v>0</v>
      </c>
      <c r="J64" s="2603">
        <f ca="1">IF($B63="N",0,(ROUNDUP(MAX($L$8:$M$8,$R63)*(1+$F$3)/IF($D63="Pcs",1,VLOOKUP($B63,Paper!$A$7:$AE$58,9,0))*VLOOKUP($B63,Paper!$A$7:$AE$58,11,0)*(1+VLOOKUP($B63,Paper!$A$7:$AE$58,12,0))/VLOOKUP($E63,Data!$L$1004:$O$1010,2,0),0)-($J63+$J65)))</f>
        <v>0</v>
      </c>
      <c r="K64" s="1421"/>
      <c r="L64" s="1419"/>
      <c r="M64" s="1420"/>
      <c r="N64" s="1004"/>
      <c r="P64" s="833"/>
      <c r="Q64" s="833"/>
      <c r="R64" s="991"/>
      <c r="AC64" s="992"/>
      <c r="AD64" s="313"/>
      <c r="AT64" s="413" t="str">
        <f t="shared" si="0"/>
        <v/>
      </c>
      <c r="AU64" s="136">
        <f ca="1">COUNTIFS(AT$7:$AT64,1)</f>
        <v>1</v>
      </c>
    </row>
    <row r="65" spans="1:47" ht="19.5" customHeight="1" outlineLevel="1">
      <c r="B65" s="1418"/>
      <c r="C65" s="990" t="s">
        <v>1167</v>
      </c>
      <c r="D65" s="990"/>
      <c r="E65" s="925"/>
      <c r="F65" s="925"/>
      <c r="I65" s="2604">
        <f ca="1">IF(B63="N",0,I63)</f>
        <v>0</v>
      </c>
      <c r="J65" s="2603">
        <f ca="1">IF($B63="N",0,(ROUNDUP(MAX($L$8:$M$8,$R63)*(1+$F$3)/IF($D63="Pcs",1,VLOOKUP($B63,Paper!$A$7:$AE$58,9,0))*VLOOKUP($B63,Paper!$A$7:$AE$58,11,0)*(1+VLOOKUP($B63,Paper!$A$7:$AE$58,12,0))/VLOOKUP($E63,Data!$L$1004:$O$1010,4,0),0)-$J63))</f>
        <v>0</v>
      </c>
      <c r="K65" s="1422"/>
      <c r="L65" s="1414"/>
      <c r="M65" s="1415"/>
      <c r="N65" s="1004"/>
      <c r="P65" s="833"/>
      <c r="Q65" s="833"/>
      <c r="R65" s="991"/>
      <c r="AC65" s="992"/>
      <c r="AD65" s="313"/>
      <c r="AT65" s="413" t="str">
        <f t="shared" si="0"/>
        <v/>
      </c>
      <c r="AU65" s="136">
        <f ca="1">COUNTIFS(AT$7:$AT65,1)</f>
        <v>1</v>
      </c>
    </row>
    <row r="66" spans="1:47" ht="19.5" customHeight="1" outlineLevel="1">
      <c r="A66" s="319">
        <v>20</v>
      </c>
      <c r="B66" s="1416" t="str">
        <f>input!$C$1092</f>
        <v>N</v>
      </c>
      <c r="C66" s="990" t="s">
        <v>1195</v>
      </c>
      <c r="D66" s="990" t="str">
        <f>input!$B1092</f>
        <v>Pcs</v>
      </c>
      <c r="E66" s="990" t="str">
        <f>input!$D$1092</f>
        <v>Metalize</v>
      </c>
      <c r="F66" s="1053" t="str">
        <f>input!$E$1092</f>
        <v>SPV</v>
      </c>
      <c r="I66" s="2602">
        <f>IF(B66="N",0,VLOOKUP(F66,Data!$L$1027:$M$1028,2,0))</f>
        <v>0</v>
      </c>
      <c r="J66" s="2603">
        <f>IF(B66="N",0,1)</f>
        <v>0</v>
      </c>
      <c r="K66" s="2607">
        <f>IF(B66="N",0,J66*I66+I67*J67+I68*J68)</f>
        <v>0</v>
      </c>
      <c r="L66" s="2608">
        <f>IF($B66="N",0,IF($M$8&gt;0,0,$K66/MAX($R66,$L$8)))</f>
        <v>0</v>
      </c>
      <c r="M66" s="2609">
        <f>IF($B66="N",0,IF($M$8&gt;0,$K66/MAX($R66,$M$8),0))</f>
        <v>0</v>
      </c>
      <c r="N66" s="1400">
        <f>IF($M$8&gt;0,M66,L66)*IF($O$8="Reprint",0,1)</f>
        <v>0</v>
      </c>
      <c r="P66" s="833" t="str">
        <f>input!$J$1092</f>
        <v>N</v>
      </c>
      <c r="R66" s="991">
        <f>input!$H$1092</f>
        <v>0</v>
      </c>
      <c r="S66" s="136" t="s">
        <v>287</v>
      </c>
      <c r="AC66" s="992"/>
      <c r="AD66" s="313"/>
      <c r="AT66" s="413">
        <f t="shared" si="0"/>
        <v>0</v>
      </c>
      <c r="AU66" s="136">
        <f ca="1">COUNTIFS(AT$7:$AT66,1)</f>
        <v>1</v>
      </c>
    </row>
    <row r="67" spans="1:47" ht="19.5" customHeight="1" outlineLevel="1">
      <c r="A67" s="314"/>
      <c r="B67" s="1417"/>
      <c r="C67" s="990" t="s">
        <v>1166</v>
      </c>
      <c r="D67" s="990"/>
      <c r="E67" s="925"/>
      <c r="F67" s="925"/>
      <c r="I67" s="2604">
        <f>IF(B66="N",0,I66/3)</f>
        <v>0</v>
      </c>
      <c r="J67" s="2603">
        <f>IF($B66="N",0,(ROUNDUP(MAX($L$8:$M$8,$R66)*(1+$F$3)/IF($D66="Pcs",1,VLOOKUP($B66,Paper!$A$7:$AE$58,9,0))*VLOOKUP($B66,Paper!$A$7:$AE$58,11,0)*(1+VLOOKUP($B66,Paper!$A$7:$AE$58,12,0))/VLOOKUP($E66,Data!$L$1004:$O$1010,2,0),0)-($J66+$J68)))</f>
        <v>0</v>
      </c>
      <c r="K67" s="1421"/>
      <c r="L67" s="1419"/>
      <c r="M67" s="1420"/>
      <c r="N67" s="1004"/>
      <c r="R67" s="991"/>
      <c r="AC67" s="992"/>
      <c r="AD67" s="313"/>
      <c r="AT67" s="413" t="str">
        <f t="shared" si="0"/>
        <v/>
      </c>
      <c r="AU67" s="136">
        <f ca="1">COUNTIFS(AT$7:$AT67,1)</f>
        <v>1</v>
      </c>
    </row>
    <row r="68" spans="1:47" ht="19.5" customHeight="1" outlineLevel="1">
      <c r="A68" s="322"/>
      <c r="B68" s="1418"/>
      <c r="C68" s="990" t="s">
        <v>1167</v>
      </c>
      <c r="D68" s="990"/>
      <c r="E68" s="925"/>
      <c r="F68" s="925"/>
      <c r="I68" s="2604">
        <f>IF(B66="N",0,I66)</f>
        <v>0</v>
      </c>
      <c r="J68" s="2603">
        <f>IF($B66="N",0,(ROUNDUP(MAX($L$8:$M$8,$R66)*(1+$F$3)/IF($D66="Pcs",1,VLOOKUP($B66,Paper!$A$7:$AE$58,9,0))*VLOOKUP($B66,Paper!$A$7:$AE$58,11,0)*(1+VLOOKUP($B66,Paper!$A$7:$AE$58,12,0))/VLOOKUP($E66,Data!$L$1004:$O$1010,4,0),0)-$J66))</f>
        <v>0</v>
      </c>
      <c r="K68" s="1422"/>
      <c r="L68" s="1414"/>
      <c r="M68" s="1415"/>
      <c r="N68" s="1004"/>
      <c r="R68" s="991"/>
      <c r="AC68" s="992"/>
      <c r="AD68" s="313"/>
      <c r="AT68" s="413" t="str">
        <f t="shared" si="0"/>
        <v/>
      </c>
      <c r="AU68" s="136">
        <f ca="1">COUNTIFS(AT$7:$AT68,1)</f>
        <v>1</v>
      </c>
    </row>
    <row r="69" spans="1:47" ht="19.5" customHeight="1" outlineLevel="1">
      <c r="A69" s="322"/>
      <c r="B69" s="333"/>
      <c r="E69" s="925"/>
      <c r="F69" s="993"/>
      <c r="I69" s="2605"/>
      <c r="J69" s="2606"/>
      <c r="K69" s="419"/>
      <c r="L69" s="1412"/>
      <c r="M69" s="1413"/>
      <c r="N69" s="1004"/>
      <c r="AC69" s="992"/>
      <c r="AD69" s="313"/>
      <c r="AT69" s="413" t="str">
        <f t="shared" si="0"/>
        <v/>
      </c>
      <c r="AU69" s="136">
        <f ca="1">COUNTIFS(AT$7:$AT69,1)</f>
        <v>1</v>
      </c>
    </row>
    <row r="70" spans="1:47" ht="19.5" customHeight="1" outlineLevel="1">
      <c r="A70" s="319" t="s">
        <v>2041</v>
      </c>
      <c r="B70" s="1416" t="str">
        <f>input!C1094</f>
        <v>N</v>
      </c>
      <c r="C70" s="990" t="s">
        <v>1195</v>
      </c>
      <c r="D70" s="990" t="str">
        <f>input!$B1094</f>
        <v>Shts</v>
      </c>
      <c r="E70" s="990" t="str">
        <f>input!$D1094</f>
        <v>PVC</v>
      </c>
      <c r="F70" s="1053" t="str">
        <f>input!E1094</f>
        <v>SPV</v>
      </c>
      <c r="I70" s="2604">
        <f>IF(B70="N",0,VLOOKUP(F70,Data!$L$1027:$M$1028,2,0))</f>
        <v>0</v>
      </c>
      <c r="J70" s="2603">
        <f>IF($B70="N",0,1)</f>
        <v>0</v>
      </c>
      <c r="K70" s="2607">
        <f>IF(B70="N",0,J70*I70+I71*J71+I72*J72)</f>
        <v>0</v>
      </c>
      <c r="L70" s="2608">
        <f>IF($B70="N",0,IF($M$8&gt;0,0,$K70/MAX($R70,$L$8)))</f>
        <v>0</v>
      </c>
      <c r="M70" s="2609">
        <f>IF($B70="N",0,IF($M$8&gt;0,$K70/MAX($R70,$M$8),0))</f>
        <v>0</v>
      </c>
      <c r="N70" s="1400">
        <f>IF($M$8&gt;0,M70,L70)*IF($O$8="Reprint",0,1)</f>
        <v>0</v>
      </c>
      <c r="P70" s="833" t="str">
        <f>input!$J$1094</f>
        <v>N</v>
      </c>
      <c r="R70" s="991">
        <f>input!$H1094</f>
        <v>0</v>
      </c>
      <c r="S70" s="136" t="s">
        <v>287</v>
      </c>
      <c r="AC70" s="992"/>
      <c r="AD70" s="313"/>
      <c r="AT70" s="413">
        <f t="shared" si="0"/>
        <v>0</v>
      </c>
      <c r="AU70" s="136">
        <f ca="1">COUNTIFS(AT$7:$AT70,1)</f>
        <v>1</v>
      </c>
    </row>
    <row r="71" spans="1:47" ht="19.5" customHeight="1" outlineLevel="1">
      <c r="B71" s="1417"/>
      <c r="C71" s="990" t="s">
        <v>1166</v>
      </c>
      <c r="D71" s="990"/>
      <c r="F71" s="925"/>
      <c r="I71" s="2604">
        <f>IF(A69="N",0,I70/3)</f>
        <v>0</v>
      </c>
      <c r="J71" s="2603">
        <f>IF($B70="N",0,(ROUNDUP(MAX($L$8:$M$8,$R70)*(1+$F$3)/IF($D70="Pcs",1,VLOOKUP($B70,'ACC &amp; Other Material '!$B$105:$H$113,6,0))*VLOOKUP($B70,'ACC &amp; Other Material '!$B$105:$H$113,5,0)*(1+5%)/VLOOKUP($E70,Data!$L$1011:$O$1013,2,0),0)-(J70+J72)))</f>
        <v>0</v>
      </c>
      <c r="K71" s="1421"/>
      <c r="L71" s="1419"/>
      <c r="M71" s="1420"/>
      <c r="N71" s="1004"/>
      <c r="R71" s="991"/>
      <c r="AC71" s="992"/>
      <c r="AD71" s="313"/>
      <c r="AT71" s="413" t="str">
        <f t="shared" si="0"/>
        <v/>
      </c>
      <c r="AU71" s="136">
        <f ca="1">COUNTIFS(AT$7:$AT71,1)</f>
        <v>1</v>
      </c>
    </row>
    <row r="72" spans="1:47" ht="19.5" customHeight="1" outlineLevel="1">
      <c r="B72" s="1418"/>
      <c r="C72" s="990" t="s">
        <v>1167</v>
      </c>
      <c r="D72" s="990"/>
      <c r="E72" s="925"/>
      <c r="F72" s="925"/>
      <c r="I72" s="2604">
        <f>IF(B70="N",0,I70)</f>
        <v>0</v>
      </c>
      <c r="J72" s="2603">
        <f>IF(B70="N",0,(ROUNDUP(MAX($L$8:$M$8,$R70)*(1+$F$3)/IF($D70="Pcs",1,VLOOKUP($B70,'ACC &amp; Other Material '!$B$105:$H$113,6,0))*VLOOKUP(B70,'ACC &amp; Other Material '!$B$105:$H$113,5,0)*(1+5%)/VLOOKUP(E70,Data!$L$1011:$O$1013,4,0),0)-J70))</f>
        <v>0</v>
      </c>
      <c r="K72" s="1422"/>
      <c r="L72" s="1414"/>
      <c r="M72" s="1415"/>
      <c r="N72" s="1004"/>
      <c r="P72" s="383"/>
      <c r="R72" s="991"/>
      <c r="AC72" s="992"/>
      <c r="AD72" s="313"/>
      <c r="AT72" s="413" t="str">
        <f t="shared" si="0"/>
        <v/>
      </c>
      <c r="AU72" s="136">
        <f ca="1">COUNTIFS(AT$7:$AT72,1)</f>
        <v>1</v>
      </c>
    </row>
    <row r="73" spans="1:47" ht="19.5" customHeight="1" outlineLevel="1">
      <c r="A73" s="319" t="s">
        <v>2042</v>
      </c>
      <c r="B73" s="1416" t="str">
        <f>input!C1095</f>
        <v>N</v>
      </c>
      <c r="C73" s="990" t="s">
        <v>1195</v>
      </c>
      <c r="D73" s="990" t="str">
        <f>input!$B1095</f>
        <v>Shts</v>
      </c>
      <c r="E73" s="990" t="str">
        <f>input!$D1095</f>
        <v>PVC</v>
      </c>
      <c r="F73" s="1053" t="str">
        <f>input!E1095</f>
        <v>SPV</v>
      </c>
      <c r="I73" s="2602">
        <f>IF(B73="N",0,VLOOKUP(F73,Data!$L$1027:$M$1028,2,0))</f>
        <v>0</v>
      </c>
      <c r="J73" s="2603">
        <f>IF($B73="N",0,1)</f>
        <v>0</v>
      </c>
      <c r="K73" s="2607">
        <f>IF(B73="N",0,J73*I73+I74*J74+I75*J75)</f>
        <v>0</v>
      </c>
      <c r="L73" s="2608">
        <f>IF($B73="N",0,IF($M$8&gt;0,0,$K73/MAX($R73,$L$8)))</f>
        <v>0</v>
      </c>
      <c r="M73" s="2609">
        <f>IF($B73="N",0,IF($M$8&gt;0,$K73/MAX($R73,$M$8),0))</f>
        <v>0</v>
      </c>
      <c r="N73" s="1400">
        <f>IF($M$8&gt;0,M73,L73)*IF($O$8="Reprint",0,1)</f>
        <v>0</v>
      </c>
      <c r="P73" s="833" t="str">
        <f>input!$J$1095</f>
        <v>N</v>
      </c>
      <c r="R73" s="991">
        <f>input!$H1095</f>
        <v>0</v>
      </c>
      <c r="S73" s="136" t="s">
        <v>287</v>
      </c>
      <c r="AC73" s="992"/>
      <c r="AD73" s="313"/>
      <c r="AT73" s="413">
        <f t="shared" si="0"/>
        <v>0</v>
      </c>
      <c r="AU73" s="136">
        <f ca="1">COUNTIFS(AT$7:$AT73,1)</f>
        <v>1</v>
      </c>
    </row>
    <row r="74" spans="1:47" ht="19.5" customHeight="1" outlineLevel="1">
      <c r="B74" s="1417"/>
      <c r="C74" s="990" t="s">
        <v>1166</v>
      </c>
      <c r="D74" s="990"/>
      <c r="F74" s="925"/>
      <c r="I74" s="2604">
        <f>IF(A72="N",0,I73/3)</f>
        <v>0</v>
      </c>
      <c r="J74" s="2603">
        <f>IF($B73="N",0,(ROUNDUP(MAX($L$8:$M$8,$R73)*(1+$F$3)/IF($D73="Pcs",1,VLOOKUP($B73,'ACC &amp; Other Material '!$B$105:$H$113,6,0))*VLOOKUP($B73,'ACC &amp; Other Material '!$B$105:$H$113,5,0)*(1+5%)/VLOOKUP($E73,Data!$L$1011:$O$1013,2,0),0)-(J73+J75)))</f>
        <v>0</v>
      </c>
      <c r="K74" s="1421"/>
      <c r="L74" s="1419"/>
      <c r="M74" s="1420"/>
      <c r="N74" s="1004"/>
      <c r="R74" s="991"/>
      <c r="AC74" s="992"/>
      <c r="AD74" s="313"/>
      <c r="AT74" s="413" t="str">
        <f t="shared" ref="AT74:AT137" si="1">IF(ISNUMBER(N74),IF(N74&lt;&gt;0,IF(ISNUMBER(SEARCH("to",GL74)),0,1),0),"")</f>
        <v/>
      </c>
      <c r="AU74" s="136">
        <f ca="1">COUNTIFS(AT$7:$AT74,1)</f>
        <v>1</v>
      </c>
    </row>
    <row r="75" spans="1:47" ht="19.5" customHeight="1" outlineLevel="1">
      <c r="B75" s="1418"/>
      <c r="C75" s="990" t="s">
        <v>1167</v>
      </c>
      <c r="D75" s="990"/>
      <c r="E75" s="925"/>
      <c r="F75" s="925"/>
      <c r="I75" s="2604">
        <f>IF(B73="N",0,I73)</f>
        <v>0</v>
      </c>
      <c r="J75" s="2603">
        <f>IF(B73="N",0,(ROUNDUP(MAX($L$8:$M$8,$R73)*(1+$F$3)/IF($D73="Pcs",1,VLOOKUP($B73,'ACC &amp; Other Material '!$B$105:$H$113,6,0))*VLOOKUP(B73,'ACC &amp; Other Material '!$B$105:$H$113,5,0)*(1+5%)/VLOOKUP(E73,Data!$L$1011:$O$1013,4,0),0)-J73))</f>
        <v>0</v>
      </c>
      <c r="K75" s="1422"/>
      <c r="L75" s="1414"/>
      <c r="M75" s="1415"/>
      <c r="N75" s="1004"/>
      <c r="R75" s="991"/>
      <c r="AC75" s="992"/>
      <c r="AD75" s="313"/>
      <c r="AT75" s="413" t="str">
        <f t="shared" si="1"/>
        <v/>
      </c>
      <c r="AU75" s="136">
        <f ca="1">COUNTIFS(AT$7:$AT75,1)</f>
        <v>1</v>
      </c>
    </row>
    <row r="76" spans="1:47" ht="19.5" customHeight="1" outlineLevel="1">
      <c r="A76" s="319" t="s">
        <v>2043</v>
      </c>
      <c r="B76" s="1416" t="str">
        <f>input!C1096</f>
        <v>N</v>
      </c>
      <c r="C76" s="990" t="s">
        <v>1195</v>
      </c>
      <c r="D76" s="990" t="str">
        <f>input!$B1096</f>
        <v>Shts</v>
      </c>
      <c r="E76" s="990" t="str">
        <f>input!$D1096</f>
        <v>PVC</v>
      </c>
      <c r="F76" s="1053" t="str">
        <f>input!E1096</f>
        <v>SPV</v>
      </c>
      <c r="I76" s="2602">
        <f>IF(B76="N",0,VLOOKUP(F76,Data!$L$1027:$M$1028,2,0))</f>
        <v>0</v>
      </c>
      <c r="J76" s="2603">
        <f>IF($B76="N",0,1)</f>
        <v>0</v>
      </c>
      <c r="K76" s="2607">
        <f>IF(B76="N",0,J76*I76+I77*J77+I78*J78)</f>
        <v>0</v>
      </c>
      <c r="L76" s="2608">
        <f>IF($B76="N",0,IF($M$8&gt;0,0,$K76/MAX($R76,$L$8)))</f>
        <v>0</v>
      </c>
      <c r="M76" s="2609">
        <f>IF($B76="N",0,IF($M$8&gt;0,$K76/MAX($R76,$M$8),0))</f>
        <v>0</v>
      </c>
      <c r="N76" s="1400">
        <f>IF($M$8&gt;0,M76,L76)*IF($O$8="Reprint",0,1)</f>
        <v>0</v>
      </c>
      <c r="P76" s="833" t="str">
        <f>input!$J$1096</f>
        <v>N</v>
      </c>
      <c r="R76" s="991">
        <f>input!$H1096</f>
        <v>0</v>
      </c>
      <c r="S76" s="136" t="s">
        <v>287</v>
      </c>
      <c r="AC76" s="992"/>
      <c r="AD76" s="313"/>
      <c r="AT76" s="413">
        <f t="shared" si="1"/>
        <v>0</v>
      </c>
      <c r="AU76" s="136">
        <f ca="1">COUNTIFS(AT$7:$AT76,1)</f>
        <v>1</v>
      </c>
    </row>
    <row r="77" spans="1:47" ht="19.5" customHeight="1" outlineLevel="1">
      <c r="B77" s="1417"/>
      <c r="C77" s="990" t="s">
        <v>1166</v>
      </c>
      <c r="D77" s="990"/>
      <c r="F77" s="925"/>
      <c r="I77" s="2604">
        <f>IF(A75="N",0,I76/3)</f>
        <v>0</v>
      </c>
      <c r="J77" s="2603">
        <f>IF($B76="N",0,(ROUNDUP(MAX($L$8:$M$8,$R76)*(1+$F$3)/IF($D76="Pcs",1,VLOOKUP($B76,'ACC &amp; Other Material '!$B$105:$H$113,6,0))*VLOOKUP($B76,'ACC &amp; Other Material '!$B$105:$H$113,5,0)*(1+5%)/VLOOKUP($E76,Data!$L$1011:$O$1013,2,0),0)-(J76+J78)))</f>
        <v>0</v>
      </c>
      <c r="K77" s="1421"/>
      <c r="L77" s="1419"/>
      <c r="M77" s="1420"/>
      <c r="N77" s="1004"/>
      <c r="R77" s="991"/>
      <c r="AC77" s="992"/>
      <c r="AD77" s="313"/>
      <c r="AT77" s="413" t="str">
        <f t="shared" si="1"/>
        <v/>
      </c>
      <c r="AU77" s="136">
        <f ca="1">COUNTIFS(AT$7:$AT77,1)</f>
        <v>1</v>
      </c>
    </row>
    <row r="78" spans="1:47" ht="19.5" customHeight="1" outlineLevel="1">
      <c r="B78" s="1418"/>
      <c r="C78" s="990" t="s">
        <v>1167</v>
      </c>
      <c r="D78" s="990"/>
      <c r="E78" s="925"/>
      <c r="F78" s="925"/>
      <c r="I78" s="2604">
        <f>IF(B76="N",0,I76)</f>
        <v>0</v>
      </c>
      <c r="J78" s="2603">
        <f>IF(B76="N",0,(ROUNDUP(MAX($L$8:$M$8,$R76)*(1+$F$3)/IF($D76="Pcs",1,VLOOKUP($B76,'ACC &amp; Other Material '!$B$105:$H$113,6,0))*VLOOKUP(B76,'ACC &amp; Other Material '!$B$105:$H$113,5,0)*(1+5%)/VLOOKUP(E76,Data!$L$1011:$O$1013,4,0),0)-J76))</f>
        <v>0</v>
      </c>
      <c r="K78" s="1422"/>
      <c r="L78" s="1414"/>
      <c r="M78" s="1415"/>
      <c r="N78" s="1004"/>
      <c r="R78" s="991"/>
      <c r="AC78" s="992"/>
      <c r="AD78" s="313"/>
      <c r="AT78" s="413" t="str">
        <f t="shared" si="1"/>
        <v/>
      </c>
      <c r="AU78" s="136">
        <f ca="1">COUNTIFS(AT$7:$AT78,1)</f>
        <v>1</v>
      </c>
    </row>
    <row r="79" spans="1:47" ht="19.5" customHeight="1" outlineLevel="1">
      <c r="A79" s="319" t="s">
        <v>2044</v>
      </c>
      <c r="B79" s="1416" t="str">
        <f>input!C1097</f>
        <v>N</v>
      </c>
      <c r="C79" s="990" t="s">
        <v>1195</v>
      </c>
      <c r="D79" s="990" t="str">
        <f>input!$B1097</f>
        <v>Shts</v>
      </c>
      <c r="E79" s="990" t="str">
        <f>input!$D1097</f>
        <v>PVC</v>
      </c>
      <c r="F79" s="1053" t="str">
        <f>input!E1097</f>
        <v>SPV</v>
      </c>
      <c r="I79" s="2602">
        <f>IF(B79="N",0,VLOOKUP(F79,Data!$L$1027:$M$1028,2,0))</f>
        <v>0</v>
      </c>
      <c r="J79" s="2603">
        <f>IF($B79="N",0,1)</f>
        <v>0</v>
      </c>
      <c r="K79" s="2607">
        <f>IF(B79="N",0,J79*I79+I80*J80+I81*J81)</f>
        <v>0</v>
      </c>
      <c r="L79" s="2608">
        <f>IF($B79="N",0,IF($M$8&gt;0,0,$K79/MAX($R79,$L$8)))</f>
        <v>0</v>
      </c>
      <c r="M79" s="2609">
        <f>IF($B79="N",0,IF($M$8&gt;0,$K79/MAX($R79,$M$8),0))</f>
        <v>0</v>
      </c>
      <c r="N79" s="1400">
        <f>IF($M$8&gt;0,M79,L79)*IF($O$8="Reprint",0,1)</f>
        <v>0</v>
      </c>
      <c r="P79" s="833" t="str">
        <f>input!$J$1097</f>
        <v>N</v>
      </c>
      <c r="R79" s="991">
        <f>input!$H1097</f>
        <v>0</v>
      </c>
      <c r="S79" s="136" t="s">
        <v>287</v>
      </c>
      <c r="AC79" s="992"/>
      <c r="AD79" s="313"/>
      <c r="AT79" s="413">
        <f t="shared" si="1"/>
        <v>0</v>
      </c>
      <c r="AU79" s="136">
        <f ca="1">COUNTIFS(AT$7:$AT79,1)</f>
        <v>1</v>
      </c>
    </row>
    <row r="80" spans="1:47" ht="19.5" customHeight="1" outlineLevel="1">
      <c r="B80" s="1417"/>
      <c r="C80" s="990" t="s">
        <v>1166</v>
      </c>
      <c r="D80" s="990"/>
      <c r="F80" s="925"/>
      <c r="I80" s="2604">
        <f>IF(A78="N",0,I79/3)</f>
        <v>0</v>
      </c>
      <c r="J80" s="2603">
        <f>IF($B79="N",0,(ROUNDUP(MAX($L$8:$M$8,$R79)*(1+$F$3)/IF($D79="Pcs",1,VLOOKUP($B79,'ACC &amp; Other Material '!$B$105:$H$113,6,0))*VLOOKUP($B79,'ACC &amp; Other Material '!$B$105:$H$113,5,0)*(1+5%)/VLOOKUP($E79,Data!$L$1011:$O$1013,2,0),0)-(J79+J81)))</f>
        <v>0</v>
      </c>
      <c r="K80" s="1421"/>
      <c r="L80" s="1419"/>
      <c r="M80" s="1420"/>
      <c r="N80" s="1004"/>
      <c r="R80" s="991"/>
      <c r="AC80" s="992"/>
      <c r="AD80" s="313"/>
      <c r="AT80" s="413" t="str">
        <f t="shared" si="1"/>
        <v/>
      </c>
      <c r="AU80" s="136">
        <f ca="1">COUNTIFS(AT$7:$AT80,1)</f>
        <v>1</v>
      </c>
    </row>
    <row r="81" spans="1:47" ht="19.5" customHeight="1" outlineLevel="1">
      <c r="B81" s="1418"/>
      <c r="C81" s="990" t="s">
        <v>1167</v>
      </c>
      <c r="D81" s="990"/>
      <c r="E81" s="925"/>
      <c r="F81" s="925"/>
      <c r="I81" s="2604">
        <f>IF(B79="N",0,I79)</f>
        <v>0</v>
      </c>
      <c r="J81" s="2603">
        <f>IF(B79="N",0,(ROUNDUP(MAX($L$8:$M$8,$R79)*(1+$F$3)/IF($D79="Pcs",1,VLOOKUP($B79,'ACC &amp; Other Material '!$B$105:$H$113,6,0))*VLOOKUP(B79,'ACC &amp; Other Material '!$B$105:$H$113,5,0)*(1+5%)/VLOOKUP(E79,Data!$L$1011:$O$1013,4,0),0)-J79))</f>
        <v>0</v>
      </c>
      <c r="K81" s="1422"/>
      <c r="L81" s="1414"/>
      <c r="M81" s="1415"/>
      <c r="N81" s="1004"/>
      <c r="R81" s="991"/>
      <c r="AC81" s="992"/>
      <c r="AD81" s="313"/>
      <c r="AT81" s="413" t="str">
        <f t="shared" si="1"/>
        <v/>
      </c>
      <c r="AU81" s="136">
        <f ca="1">COUNTIFS(AT$7:$AT81,1)</f>
        <v>1</v>
      </c>
    </row>
    <row r="82" spans="1:47" ht="19.5" customHeight="1" outlineLevel="1">
      <c r="A82" s="319" t="s">
        <v>2045</v>
      </c>
      <c r="B82" s="1416" t="str">
        <f>input!C1098</f>
        <v>N</v>
      </c>
      <c r="C82" s="990" t="s">
        <v>1195</v>
      </c>
      <c r="D82" s="990" t="str">
        <f>input!$B1098</f>
        <v>Shts</v>
      </c>
      <c r="E82" s="990" t="str">
        <f>input!$D1098</f>
        <v>PVC</v>
      </c>
      <c r="F82" s="1053" t="str">
        <f>input!E1098</f>
        <v>SPV</v>
      </c>
      <c r="I82" s="2602">
        <f>IF(B82="N",0,VLOOKUP(F82,Data!$L$1027:$M$1028,2,0))</f>
        <v>0</v>
      </c>
      <c r="J82" s="2603">
        <f>IF($B82="N",0,1)</f>
        <v>0</v>
      </c>
      <c r="K82" s="2607">
        <f>IF(B82="N",0,J82*I82+I83*J83+I84*J84)</f>
        <v>0</v>
      </c>
      <c r="L82" s="2608">
        <f>IF($B82="N",0,IF($M$8&gt;0,0,$K82/MAX($R82,$L$8)))</f>
        <v>0</v>
      </c>
      <c r="M82" s="2609">
        <f>IF($B82="N",0,IF($M$8&gt;0,$K82/MAX($R82,$M$8),0))</f>
        <v>0</v>
      </c>
      <c r="N82" s="1400">
        <f>IF($M$8&gt;0,M82,L82)*IF($O$8="Reprint",0,1)</f>
        <v>0</v>
      </c>
      <c r="P82" s="833" t="str">
        <f>input!$J$1098</f>
        <v>N</v>
      </c>
      <c r="R82" s="991">
        <f>input!$H1098</f>
        <v>0</v>
      </c>
      <c r="S82" s="136" t="s">
        <v>287</v>
      </c>
      <c r="AC82" s="992"/>
      <c r="AD82" s="313"/>
      <c r="AT82" s="413">
        <f t="shared" si="1"/>
        <v>0</v>
      </c>
      <c r="AU82" s="136">
        <f ca="1">COUNTIFS(AT$7:$AT82,1)</f>
        <v>1</v>
      </c>
    </row>
    <row r="83" spans="1:47" ht="19.5" customHeight="1" outlineLevel="1">
      <c r="B83" s="1417"/>
      <c r="C83" s="990" t="s">
        <v>1166</v>
      </c>
      <c r="D83" s="990"/>
      <c r="F83" s="925"/>
      <c r="I83" s="2604">
        <f>IF(A81="N",0,I82/3)</f>
        <v>0</v>
      </c>
      <c r="J83" s="2603">
        <f>IF($B82="N",0,(ROUNDUP(MAX($L$8:$M$8,$R82)*(1+$F$3)/IF($D82="Pcs",1,VLOOKUP($B82,'ACC &amp; Other Material '!$B$105:$H$113,6,0))*VLOOKUP($B82,'ACC &amp; Other Material '!$B$105:$H$113,5,0)*(1+5%)/VLOOKUP($E82,Data!$L$1011:$O$1013,2,0),0)-(J82+J84)))</f>
        <v>0</v>
      </c>
      <c r="K83" s="1421"/>
      <c r="L83" s="1419"/>
      <c r="M83" s="1420"/>
      <c r="N83" s="1004"/>
      <c r="R83" s="991"/>
      <c r="AC83" s="992"/>
      <c r="AD83" s="313"/>
      <c r="AT83" s="413" t="str">
        <f t="shared" si="1"/>
        <v/>
      </c>
      <c r="AU83" s="136">
        <f ca="1">COUNTIFS(AT$7:$AT83,1)</f>
        <v>1</v>
      </c>
    </row>
    <row r="84" spans="1:47" ht="19.5" customHeight="1" outlineLevel="1">
      <c r="B84" s="1418"/>
      <c r="C84" s="990" t="s">
        <v>1167</v>
      </c>
      <c r="D84" s="990"/>
      <c r="E84" s="925"/>
      <c r="F84" s="925"/>
      <c r="I84" s="2604">
        <f>IF(B82="N",0,I82)</f>
        <v>0</v>
      </c>
      <c r="J84" s="2603">
        <f>IF(B82="N",0,(ROUNDUP(MAX($L$8:$M$8,$R82)*(1+$F$3)/IF($D82="Pcs",1,VLOOKUP($B82,'ACC &amp; Other Material '!$B$105:$H$113,6,0))*VLOOKUP(B82,'ACC &amp; Other Material '!$B$105:$H$113,5,0)*(1+5%)/VLOOKUP(E82,Data!$L$1011:$O$1013,4,0),0)-J82))</f>
        <v>0</v>
      </c>
      <c r="K84" s="1422"/>
      <c r="L84" s="1414"/>
      <c r="M84" s="1415"/>
      <c r="N84" s="1004"/>
      <c r="R84" s="991"/>
      <c r="AC84" s="992"/>
      <c r="AD84" s="313"/>
      <c r="AT84" s="413" t="str">
        <f t="shared" si="1"/>
        <v/>
      </c>
      <c r="AU84" s="136">
        <f ca="1">COUNTIFS(AT$7:$AT84,1)</f>
        <v>1</v>
      </c>
    </row>
    <row r="85" spans="1:47" ht="19.5" customHeight="1" outlineLevel="1">
      <c r="A85" s="319" t="s">
        <v>2046</v>
      </c>
      <c r="B85" s="1416" t="str">
        <f>input!C1099</f>
        <v>N</v>
      </c>
      <c r="C85" s="990" t="s">
        <v>1195</v>
      </c>
      <c r="D85" s="990" t="str">
        <f>input!$B1099</f>
        <v>Shts</v>
      </c>
      <c r="E85" s="990" t="str">
        <f>input!$D1099</f>
        <v>PVC</v>
      </c>
      <c r="F85" s="1053" t="str">
        <f>input!E1099</f>
        <v>SPV</v>
      </c>
      <c r="I85" s="2602">
        <f>IF(B85="N",0,VLOOKUP(F85,Data!$L$1027:$M$1028,2,0))</f>
        <v>0</v>
      </c>
      <c r="J85" s="2603">
        <f>IF($B85="N",0,1)</f>
        <v>0</v>
      </c>
      <c r="K85" s="2607">
        <f>IF(B85="N",0,J85*I85+I86*J86+I87*J87)</f>
        <v>0</v>
      </c>
      <c r="L85" s="2608">
        <f>IF($B85="N",0,IF($M$8&gt;0,0,$K85/MAX($R85,$L$8)))</f>
        <v>0</v>
      </c>
      <c r="M85" s="2609">
        <f>IF($B85="N",0,IF($M$8&gt;0,$K85/MAX($R85,$M$8),0))</f>
        <v>0</v>
      </c>
      <c r="N85" s="1400">
        <f>IF($M$8&gt;0,M85,L85)*IF($O$8="Reprint",0,1)</f>
        <v>0</v>
      </c>
      <c r="P85" s="833" t="str">
        <f>input!$J$1099</f>
        <v>N</v>
      </c>
      <c r="R85" s="991">
        <f>input!$H1099</f>
        <v>0</v>
      </c>
      <c r="S85" s="136" t="s">
        <v>287</v>
      </c>
      <c r="AC85" s="992"/>
      <c r="AD85" s="313"/>
      <c r="AT85" s="413">
        <f t="shared" si="1"/>
        <v>0</v>
      </c>
      <c r="AU85" s="136">
        <f ca="1">COUNTIFS(AT$7:$AT85,1)</f>
        <v>1</v>
      </c>
    </row>
    <row r="86" spans="1:47" ht="19.5" customHeight="1" outlineLevel="1">
      <c r="A86" s="314"/>
      <c r="B86" s="1417"/>
      <c r="C86" s="990" t="s">
        <v>1166</v>
      </c>
      <c r="D86" s="990"/>
      <c r="F86" s="925"/>
      <c r="I86" s="2604">
        <f>IF(A72="N",0,I85/3)</f>
        <v>0</v>
      </c>
      <c r="J86" s="2603">
        <f>IF($B85="N",0,(ROUNDUP(MAX($L$8:$M$8,$R85)*(1+$F$3)/IF($D85="Pcs",1,VLOOKUP($B85,'ACC &amp; Other Material '!$B$105:$H$113,6,0))*VLOOKUP($B85,'ACC &amp; Other Material '!$B$105:$H$113,5,0)*(1+5%)/VLOOKUP($E85,Data!$L$1011:$O$1013,2,0),0)-(J85+J87)))</f>
        <v>0</v>
      </c>
      <c r="K86" s="1421"/>
      <c r="L86" s="1419"/>
      <c r="M86" s="1420"/>
      <c r="N86" s="1004"/>
      <c r="R86" s="991"/>
      <c r="AC86" s="992"/>
      <c r="AD86" s="313"/>
      <c r="AT86" s="413" t="str">
        <f t="shared" si="1"/>
        <v/>
      </c>
      <c r="AU86" s="136">
        <f ca="1">COUNTIFS(AT$7:$AT86,1)</f>
        <v>1</v>
      </c>
    </row>
    <row r="87" spans="1:47" ht="19.5" customHeight="1" outlineLevel="1">
      <c r="A87" s="322"/>
      <c r="B87" s="1418"/>
      <c r="C87" s="990" t="s">
        <v>1167</v>
      </c>
      <c r="D87" s="990"/>
      <c r="E87" s="925"/>
      <c r="F87" s="925"/>
      <c r="I87" s="2604">
        <f>IF(B85="N",0,I85)</f>
        <v>0</v>
      </c>
      <c r="J87" s="2603">
        <f>IF(B85="N",0,(ROUNDUP(MAX($L$8:$M$8,$R85)*(1+$F$3)/IF($D85="Pcs",1,VLOOKUP($B85,'ACC &amp; Other Material '!$B$105:$H$113,6,0))*VLOOKUP(B85,'ACC &amp; Other Material '!$B$105:$H$113,5,0)*(1+5%)/VLOOKUP(E85,Data!$L$1011:$O$1013,4,0),0)-J85))</f>
        <v>0</v>
      </c>
      <c r="K87" s="1422"/>
      <c r="L87" s="1414"/>
      <c r="M87" s="1415"/>
      <c r="N87" s="1004"/>
      <c r="R87" s="991"/>
      <c r="AC87" s="992"/>
      <c r="AD87" s="313"/>
      <c r="AT87" s="413" t="str">
        <f t="shared" si="1"/>
        <v/>
      </c>
      <c r="AU87" s="136">
        <f ca="1">COUNTIFS(AT$7:$AT87,1)</f>
        <v>1</v>
      </c>
    </row>
    <row r="88" spans="1:47" ht="19.5" customHeight="1" outlineLevel="1">
      <c r="A88" s="322"/>
      <c r="B88" s="333"/>
      <c r="E88" s="925"/>
      <c r="F88" s="925"/>
      <c r="I88" s="994"/>
      <c r="J88" s="1218"/>
      <c r="K88" s="419"/>
      <c r="L88" s="1412"/>
      <c r="M88" s="1413"/>
      <c r="N88" s="1004"/>
      <c r="AC88" s="992"/>
      <c r="AD88" s="313"/>
      <c r="AT88" s="413" t="str">
        <f t="shared" si="1"/>
        <v/>
      </c>
      <c r="AU88" s="136">
        <f ca="1">COUNTIFS(AT$7:$AT88,1)</f>
        <v>1</v>
      </c>
    </row>
    <row r="89" spans="1:47" ht="17.25" customHeight="1" outlineLevel="1">
      <c r="A89" s="333"/>
      <c r="B89" s="1053" t="str">
        <f>input!$C1101</f>
        <v>N</v>
      </c>
      <c r="C89" s="990" t="s">
        <v>1208</v>
      </c>
      <c r="D89" s="990" t="s">
        <v>183</v>
      </c>
      <c r="E89" s="1273">
        <f>input!D1101</f>
        <v>200</v>
      </c>
      <c r="F89" s="1274">
        <f>input!E1101</f>
        <v>200</v>
      </c>
      <c r="G89" s="1275">
        <f>input!F1101</f>
        <v>200</v>
      </c>
      <c r="H89" s="3182">
        <f>(E89*F89*G89+E89*F89*20+E89*F89*15+E89*F89*IF(G89-15&lt;15,15,G89-15)+E89*F89*20)/10^9*1250*115%*660000</f>
        <v>16697999.999999998</v>
      </c>
      <c r="I89" s="1277"/>
      <c r="J89" s="1278">
        <f>input!G1101</f>
        <v>1</v>
      </c>
      <c r="K89" s="2610">
        <f t="shared" ref="K89:K96" si="2">IF(B89="N",0,H89*J89)</f>
        <v>0</v>
      </c>
      <c r="L89" s="2608">
        <f>IF($B89="N",0,IF($M$8&gt;0,0,$K89/MAX($R89,$L$8)))</f>
        <v>0</v>
      </c>
      <c r="M89" s="2609">
        <f>IF($B89="N",0,IF($M$8&gt;0,$K89/MAX($R89,$M$8),0))</f>
        <v>0</v>
      </c>
      <c r="N89" s="1400">
        <f>IF($M$8&gt;0,M89,L89)*IF($O$8="Reprint",0,1)</f>
        <v>0</v>
      </c>
      <c r="P89" s="833" t="str">
        <f>input!$J$1101</f>
        <v>N</v>
      </c>
      <c r="R89" s="991">
        <f>input!H1101</f>
        <v>0</v>
      </c>
      <c r="S89" s="136" t="s">
        <v>287</v>
      </c>
      <c r="AC89" s="992"/>
      <c r="AD89" s="313"/>
      <c r="AF89" s="313"/>
      <c r="AT89" s="413">
        <f t="shared" si="1"/>
        <v>0</v>
      </c>
      <c r="AU89" s="136">
        <f ca="1">COUNTIFS(AT$7:$AT89,1)</f>
        <v>1</v>
      </c>
    </row>
    <row r="90" spans="1:47" ht="17.25" customHeight="1" outlineLevel="1">
      <c r="A90" s="333"/>
      <c r="B90" s="1053" t="str">
        <f>input!$C1102</f>
        <v>N</v>
      </c>
      <c r="C90" s="990" t="s">
        <v>1209</v>
      </c>
      <c r="D90" s="990" t="s">
        <v>183</v>
      </c>
      <c r="E90" s="1273">
        <f>input!D1102</f>
        <v>200</v>
      </c>
      <c r="F90" s="1274">
        <f>input!E1102</f>
        <v>200</v>
      </c>
      <c r="G90" s="1275">
        <f>input!F1102</f>
        <v>200</v>
      </c>
      <c r="H90" s="3182">
        <f>(E90*F90*20+E90*F90*15+E90*F90*IF(G90-15&lt;15,15,G90-15))/10^9*1250*115%*660000</f>
        <v>8348999.9999999991</v>
      </c>
      <c r="I90" s="1277"/>
      <c r="J90" s="1278">
        <f>input!G1102</f>
        <v>1</v>
      </c>
      <c r="K90" s="2610">
        <f t="shared" si="2"/>
        <v>0</v>
      </c>
      <c r="L90" s="2608">
        <f t="shared" ref="L90:L98" si="3">IF($B90="N",0,IF($M$8&gt;0,0,$K90/MAX($R90,$L$8)))</f>
        <v>0</v>
      </c>
      <c r="M90" s="2609">
        <f t="shared" ref="M90:M150" si="4">IF($B90="N",0,IF($M$8&gt;0,$K90/MAX($R90,$M$8),0))</f>
        <v>0</v>
      </c>
      <c r="N90" s="1400">
        <f>IF($M$8&gt;0,M90,L90)*IF($O$8="Reprint",0,1)</f>
        <v>0</v>
      </c>
      <c r="P90" s="833" t="str">
        <f>input!$J$1102</f>
        <v>N</v>
      </c>
      <c r="R90" s="991">
        <f>input!H1102</f>
        <v>0</v>
      </c>
      <c r="S90" s="136" t="s">
        <v>287</v>
      </c>
      <c r="AC90" s="992"/>
      <c r="AD90" s="313"/>
      <c r="AF90" s="313"/>
      <c r="AT90" s="413">
        <f t="shared" si="1"/>
        <v>0</v>
      </c>
      <c r="AU90" s="136">
        <f ca="1">COUNTIFS(AT$7:$AT90,1)</f>
        <v>1</v>
      </c>
    </row>
    <row r="91" spans="1:47" ht="17.25" customHeight="1" outlineLevel="1">
      <c r="A91" s="333"/>
      <c r="B91" s="1053" t="str">
        <f>input!$C1103</f>
        <v>N</v>
      </c>
      <c r="C91" s="990" t="s">
        <v>1210</v>
      </c>
      <c r="D91" s="990" t="s">
        <v>183</v>
      </c>
      <c r="E91" s="1273">
        <f>input!D1103</f>
        <v>200</v>
      </c>
      <c r="F91" s="1274">
        <f>input!E1103</f>
        <v>200</v>
      </c>
      <c r="G91" s="1275">
        <f>input!F1103</f>
        <v>200</v>
      </c>
      <c r="H91" s="3182">
        <f>(E91*F91*G91)/10^9*1250*115%*660000</f>
        <v>7590000</v>
      </c>
      <c r="I91" s="1277"/>
      <c r="J91" s="1278">
        <f>input!G1103</f>
        <v>1</v>
      </c>
      <c r="K91" s="2610">
        <f t="shared" si="2"/>
        <v>0</v>
      </c>
      <c r="L91" s="2608">
        <f t="shared" si="3"/>
        <v>0</v>
      </c>
      <c r="M91" s="2609">
        <f t="shared" si="4"/>
        <v>0</v>
      </c>
      <c r="N91" s="1400">
        <f>IF($M$8&gt;0,M91,L91)*IF($O$8="Reprint",0,1)</f>
        <v>0</v>
      </c>
      <c r="P91" s="833" t="str">
        <f>input!$J$1103</f>
        <v>N</v>
      </c>
      <c r="R91" s="991">
        <f>input!H1103</f>
        <v>0</v>
      </c>
      <c r="S91" s="136" t="s">
        <v>287</v>
      </c>
      <c r="AC91" s="992"/>
      <c r="AD91" s="313"/>
      <c r="AF91" s="313"/>
      <c r="AT91" s="413">
        <f t="shared" si="1"/>
        <v>0</v>
      </c>
      <c r="AU91" s="136">
        <f ca="1">COUNTIFS(AT$7:$AT91,1)</f>
        <v>1</v>
      </c>
    </row>
    <row r="92" spans="1:47" ht="17.25" customHeight="1" outlineLevel="1">
      <c r="A92" s="333"/>
      <c r="B92" s="1053" t="str">
        <f>input!$C1104</f>
        <v>N</v>
      </c>
      <c r="C92" s="990" t="s">
        <v>1197</v>
      </c>
      <c r="D92" s="990" t="s">
        <v>183</v>
      </c>
      <c r="E92" s="1273"/>
      <c r="F92" s="1274"/>
      <c r="G92" s="1275"/>
      <c r="H92" s="1276">
        <f>input!F1104</f>
        <v>300000</v>
      </c>
      <c r="I92" s="1277"/>
      <c r="J92" s="1278">
        <f>input!G1104</f>
        <v>1</v>
      </c>
      <c r="K92" s="2610">
        <f t="shared" si="2"/>
        <v>0</v>
      </c>
      <c r="L92" s="2608">
        <f t="shared" si="3"/>
        <v>0</v>
      </c>
      <c r="M92" s="2609">
        <f t="shared" si="4"/>
        <v>0</v>
      </c>
      <c r="N92" s="1400">
        <f t="shared" ref="N92:N98" si="5">IF($M$8&gt;0,M92,L92)*IF($O$8="Reprint",0,1)</f>
        <v>0</v>
      </c>
      <c r="P92" s="833" t="str">
        <f>input!$J$1104</f>
        <v>N</v>
      </c>
      <c r="R92" s="991">
        <f>input!H1104</f>
        <v>0</v>
      </c>
      <c r="S92" s="136" t="s">
        <v>287</v>
      </c>
      <c r="AC92" s="992"/>
      <c r="AD92" s="313"/>
      <c r="AF92" s="313"/>
      <c r="AT92" s="413">
        <f t="shared" si="1"/>
        <v>0</v>
      </c>
      <c r="AU92" s="136">
        <f ca="1">COUNTIFS(AT$7:$AT92,1)</f>
        <v>1</v>
      </c>
    </row>
    <row r="93" spans="1:47" ht="17.25" customHeight="1" outlineLevel="1">
      <c r="A93" s="333"/>
      <c r="B93" s="1053" t="str">
        <f>input!$C1105</f>
        <v>N</v>
      </c>
      <c r="C93" s="990" t="s">
        <v>1197</v>
      </c>
      <c r="D93" s="990" t="s">
        <v>183</v>
      </c>
      <c r="E93" s="1273"/>
      <c r="F93" s="1274"/>
      <c r="G93" s="1275"/>
      <c r="H93" s="1276">
        <f>input!F1105</f>
        <v>300000</v>
      </c>
      <c r="I93" s="1277"/>
      <c r="J93" s="1278">
        <f>input!G1105</f>
        <v>1</v>
      </c>
      <c r="K93" s="2610">
        <f t="shared" si="2"/>
        <v>0</v>
      </c>
      <c r="L93" s="2608">
        <f t="shared" si="3"/>
        <v>0</v>
      </c>
      <c r="M93" s="2609">
        <f t="shared" si="4"/>
        <v>0</v>
      </c>
      <c r="N93" s="1400">
        <f t="shared" si="5"/>
        <v>0</v>
      </c>
      <c r="P93" s="833" t="str">
        <f>input!$J$1105</f>
        <v>N</v>
      </c>
      <c r="R93" s="991">
        <f>input!H1105</f>
        <v>0</v>
      </c>
      <c r="S93" s="136" t="s">
        <v>287</v>
      </c>
      <c r="AC93" s="992"/>
      <c r="AD93" s="313"/>
      <c r="AF93" s="313"/>
      <c r="AT93" s="413">
        <f t="shared" si="1"/>
        <v>0</v>
      </c>
      <c r="AU93" s="136">
        <f ca="1">COUNTIFS(AT$7:$AT93,1)</f>
        <v>1</v>
      </c>
    </row>
    <row r="94" spans="1:47" ht="17.25" customHeight="1" outlineLevel="1">
      <c r="A94" s="333"/>
      <c r="B94" s="1053" t="str">
        <f>input!$C1106</f>
        <v>N</v>
      </c>
      <c r="C94" s="990" t="s">
        <v>1197</v>
      </c>
      <c r="D94" s="990" t="s">
        <v>183</v>
      </c>
      <c r="E94" s="1273"/>
      <c r="F94" s="1274"/>
      <c r="G94" s="1275"/>
      <c r="H94" s="1276">
        <f>input!F1106</f>
        <v>300000</v>
      </c>
      <c r="I94" s="1277"/>
      <c r="J94" s="1278">
        <f>input!G1106</f>
        <v>1</v>
      </c>
      <c r="K94" s="2610">
        <f t="shared" si="2"/>
        <v>0</v>
      </c>
      <c r="L94" s="2608">
        <f t="shared" si="3"/>
        <v>0</v>
      </c>
      <c r="M94" s="2609">
        <f t="shared" si="4"/>
        <v>0</v>
      </c>
      <c r="N94" s="1400">
        <f t="shared" si="5"/>
        <v>0</v>
      </c>
      <c r="P94" s="833" t="str">
        <f>input!$J$1106</f>
        <v>N</v>
      </c>
      <c r="R94" s="991">
        <f>input!H1106</f>
        <v>0</v>
      </c>
      <c r="S94" s="136" t="s">
        <v>287</v>
      </c>
      <c r="AC94" s="992"/>
      <c r="AD94" s="313"/>
      <c r="AF94" s="313"/>
      <c r="AT94" s="413">
        <f t="shared" si="1"/>
        <v>0</v>
      </c>
      <c r="AU94" s="136">
        <f ca="1">COUNTIFS(AT$7:$AT94,1)</f>
        <v>1</v>
      </c>
    </row>
    <row r="95" spans="1:47" ht="17.25" customHeight="1" outlineLevel="1">
      <c r="A95" s="333"/>
      <c r="B95" s="1053" t="str">
        <f>input!$C1107</f>
        <v>N</v>
      </c>
      <c r="C95" s="990" t="s">
        <v>1197</v>
      </c>
      <c r="D95" s="990" t="s">
        <v>183</v>
      </c>
      <c r="E95" s="1273"/>
      <c r="F95" s="1274"/>
      <c r="G95" s="1275"/>
      <c r="H95" s="1276">
        <f>input!F1107</f>
        <v>300000</v>
      </c>
      <c r="I95" s="1277"/>
      <c r="J95" s="1278">
        <f>input!G1107</f>
        <v>1</v>
      </c>
      <c r="K95" s="2610">
        <f t="shared" si="2"/>
        <v>0</v>
      </c>
      <c r="L95" s="2608">
        <f t="shared" si="3"/>
        <v>0</v>
      </c>
      <c r="M95" s="2609">
        <f t="shared" si="4"/>
        <v>0</v>
      </c>
      <c r="N95" s="1400">
        <f t="shared" si="5"/>
        <v>0</v>
      </c>
      <c r="P95" s="833" t="str">
        <f>input!$J$1107</f>
        <v>N</v>
      </c>
      <c r="R95" s="991">
        <f>input!H1107</f>
        <v>0</v>
      </c>
      <c r="S95" s="136" t="s">
        <v>287</v>
      </c>
      <c r="AC95" s="992"/>
      <c r="AD95" s="313"/>
      <c r="AF95" s="313"/>
      <c r="AT95" s="413">
        <f t="shared" si="1"/>
        <v>0</v>
      </c>
      <c r="AU95" s="136">
        <f ca="1">COUNTIFS(AT$7:$AT95,1)</f>
        <v>1</v>
      </c>
    </row>
    <row r="96" spans="1:47" ht="17.25" customHeight="1" outlineLevel="1">
      <c r="A96" s="333"/>
      <c r="B96" s="1053" t="str">
        <f>input!$C1108</f>
        <v>N</v>
      </c>
      <c r="C96" s="990" t="s">
        <v>1197</v>
      </c>
      <c r="D96" s="990" t="s">
        <v>183</v>
      </c>
      <c r="E96" s="1273"/>
      <c r="F96" s="1274"/>
      <c r="G96" s="1275"/>
      <c r="H96" s="1276">
        <f>input!F1108</f>
        <v>300000</v>
      </c>
      <c r="I96" s="1277"/>
      <c r="J96" s="1278">
        <f>input!G1108</f>
        <v>1</v>
      </c>
      <c r="K96" s="2610">
        <f t="shared" si="2"/>
        <v>0</v>
      </c>
      <c r="L96" s="2608">
        <f t="shared" si="3"/>
        <v>0</v>
      </c>
      <c r="M96" s="2609">
        <f t="shared" si="4"/>
        <v>0</v>
      </c>
      <c r="N96" s="1400">
        <f t="shared" si="5"/>
        <v>0</v>
      </c>
      <c r="P96" s="833" t="str">
        <f>input!$J$1108</f>
        <v>N</v>
      </c>
      <c r="R96" s="991">
        <f>input!H1108</f>
        <v>0</v>
      </c>
      <c r="S96" s="136" t="s">
        <v>287</v>
      </c>
      <c r="AC96" s="992"/>
      <c r="AD96" s="313"/>
      <c r="AF96" s="313"/>
      <c r="AT96" s="413">
        <f t="shared" si="1"/>
        <v>0</v>
      </c>
      <c r="AU96" s="136">
        <f ca="1">COUNTIFS(AT$7:$AT96,1)</f>
        <v>1</v>
      </c>
    </row>
    <row r="97" spans="1:47" ht="17.25" customHeight="1" outlineLevel="1">
      <c r="A97" s="333"/>
      <c r="B97" s="1053" t="str">
        <f>input!$C1109</f>
        <v>N</v>
      </c>
      <c r="C97" s="990" t="s">
        <v>1217</v>
      </c>
      <c r="D97" s="990" t="s">
        <v>183</v>
      </c>
      <c r="E97" s="1273">
        <f>input!D1109</f>
        <v>200</v>
      </c>
      <c r="F97" s="1274">
        <f>input!E1109</f>
        <v>200</v>
      </c>
      <c r="G97" s="1279" t="s">
        <v>1257</v>
      </c>
      <c r="H97" s="1280">
        <f>((E97+5)+(F97+10))*2</f>
        <v>830</v>
      </c>
      <c r="I97" s="1281">
        <f>18000*H97</f>
        <v>14940000</v>
      </c>
      <c r="J97" s="1278">
        <f>input!G1109</f>
        <v>1</v>
      </c>
      <c r="K97" s="2610">
        <f>IF(B97="N",0,I97*J97)</f>
        <v>0</v>
      </c>
      <c r="L97" s="2608">
        <f t="shared" si="3"/>
        <v>0</v>
      </c>
      <c r="M97" s="2609">
        <f t="shared" si="4"/>
        <v>0</v>
      </c>
      <c r="N97" s="1400">
        <f t="shared" si="5"/>
        <v>0</v>
      </c>
      <c r="P97" s="833" t="str">
        <f>input!$J$1109</f>
        <v>N</v>
      </c>
      <c r="R97" s="991">
        <f>input!H1109</f>
        <v>0</v>
      </c>
      <c r="S97" s="136" t="s">
        <v>287</v>
      </c>
      <c r="AC97" s="992"/>
      <c r="AD97" s="313"/>
      <c r="AF97" s="313"/>
      <c r="AT97" s="413">
        <f t="shared" si="1"/>
        <v>0</v>
      </c>
      <c r="AU97" s="136">
        <f ca="1">COUNTIFS(AT$7:$AT97,1)</f>
        <v>1</v>
      </c>
    </row>
    <row r="98" spans="1:47" ht="17.25" customHeight="1" outlineLevel="1">
      <c r="A98" s="333"/>
      <c r="B98" s="1053" t="str">
        <f>input!$C1110</f>
        <v>N</v>
      </c>
      <c r="C98" s="990" t="s">
        <v>1217</v>
      </c>
      <c r="D98" s="990" t="s">
        <v>183</v>
      </c>
      <c r="E98" s="1273">
        <f>input!D1110</f>
        <v>200</v>
      </c>
      <c r="F98" s="1274">
        <f>input!E1110</f>
        <v>200</v>
      </c>
      <c r="G98" s="1279" t="s">
        <v>1257</v>
      </c>
      <c r="H98" s="1280">
        <f>((E98+5)+(F98+10))*2</f>
        <v>830</v>
      </c>
      <c r="I98" s="1281">
        <f>18000*H98</f>
        <v>14940000</v>
      </c>
      <c r="J98" s="1278">
        <f>input!G1110</f>
        <v>1</v>
      </c>
      <c r="K98" s="2610">
        <f>IF(B98="N",0,I98*J98)</f>
        <v>0</v>
      </c>
      <c r="L98" s="2608">
        <f t="shared" si="3"/>
        <v>0</v>
      </c>
      <c r="M98" s="2609">
        <f t="shared" si="4"/>
        <v>0</v>
      </c>
      <c r="N98" s="1400">
        <f t="shared" si="5"/>
        <v>0</v>
      </c>
      <c r="P98" s="833" t="str">
        <f>input!$J$1110</f>
        <v>N</v>
      </c>
      <c r="R98" s="991">
        <f>input!H1110</f>
        <v>0</v>
      </c>
      <c r="S98" s="136" t="s">
        <v>287</v>
      </c>
      <c r="AC98" s="992"/>
      <c r="AD98" s="313"/>
      <c r="AF98" s="313"/>
      <c r="AT98" s="413">
        <f t="shared" si="1"/>
        <v>0</v>
      </c>
      <c r="AU98" s="136">
        <f ca="1">COUNTIFS(AT$7:$AT98,1)</f>
        <v>1</v>
      </c>
    </row>
    <row r="99" spans="1:47" ht="17.25" customHeight="1" outlineLevel="1">
      <c r="A99" s="333"/>
      <c r="B99" s="333"/>
      <c r="E99" s="1382"/>
      <c r="F99" s="1383"/>
      <c r="G99" s="314"/>
      <c r="H99" s="1384"/>
      <c r="I99" s="1385"/>
      <c r="J99" s="320"/>
      <c r="K99" s="419"/>
      <c r="L99" s="1412"/>
      <c r="M99" s="1413"/>
      <c r="N99" s="1004"/>
      <c r="P99" s="833"/>
      <c r="AC99" s="992"/>
      <c r="AD99" s="313"/>
      <c r="AF99" s="313"/>
      <c r="AT99" s="413" t="str">
        <f t="shared" si="1"/>
        <v/>
      </c>
      <c r="AU99" s="136">
        <f ca="1">COUNTIFS(AT$7:$AT99,1)</f>
        <v>1</v>
      </c>
    </row>
    <row r="100" spans="1:47" ht="17.25" customHeight="1" outlineLevel="1">
      <c r="B100" s="1386" t="str">
        <f>input!C1112</f>
        <v>N</v>
      </c>
      <c r="C100" s="1386" t="s">
        <v>1180</v>
      </c>
      <c r="D100" s="1387">
        <f>input!$D1112*input!$E1112</f>
        <v>10</v>
      </c>
      <c r="E100" s="1388" t="str">
        <f>input!K1112</f>
        <v>Kem</v>
      </c>
      <c r="F100" s="1388" t="str">
        <f>input!L1112</f>
        <v>1.5mm</v>
      </c>
      <c r="G100" s="986">
        <f>IF(AND($E100=Data!$L$1046,$F100=Data!$N$1044),IF($D100&lt;Data!$M$1045,Data!$N$1045,IF($D100&lt;Data!$M$1046,Data!$N$1046,IF($D100&lt;Data!$M$1047,Data!$N$1047,IF($D100&lt;Data!$M$1048,Data!$N$1048,IF($D100&lt;Data!$M$1049,Data!$N$1049,Data!$N$1050))))),IF(AND($E100=Data!$L$1046,$F100=Data!$O$1044),IF($D100&lt;Data!$M$1045,Data!$O$1045,IF($D100&lt;Data!$M$1046,Data!$O$1046,IF($D100&lt;Data!$M$1047,Data!$O$1047,IF($D100&lt;Data!$M$1048,Data!$O$1048,IF($D100&lt;Data!$M$1049,Data!$O$1049,Data!$O$1050))))),IF(AND($E100=Data!$L$1047,$F100=Data!$Q$1044),IF($D100&lt;Data!$P$1045,Data!$Q$1045,IF($D100&lt;Data!$P$1046,Data!$Q$1046,IF($D100&lt;Data!$P$1047,Data!$Q$1047,IF($D100&lt;Data!$P$1048,Data!$Q$1048,IF($D100&lt;Data!$P$1049,Data!$Q$1049,Data!$Q$1050))))),IF(AND($E100=Data!$L$1047,$F100=Data!$R$1044),IF($D100&lt;Data!$P$1045,Data!$R$1045,IF($D100&lt;Data!$P$1046,Data!$R$1046,IF($D100&lt;Data!$P$1047,Data!$R$1047,IF($D100&lt;Data!$P$1048,Data!$R$1048,IF($D100&lt;Data!$P$1049,Data!$R$1049,Data!$R$1050)))))))))</f>
        <v>60000</v>
      </c>
      <c r="H100" s="2892">
        <f>input!F1112</f>
        <v>0</v>
      </c>
      <c r="I100" s="1389">
        <f>SUMIFS(Paper!$J$6:$J$29,Paper!$A$6:$A$29,'Fix Cost'!$B100)</f>
        <v>0</v>
      </c>
      <c r="J100" s="2892">
        <f>IF($B100="N",0,ROUNDUP(MAX($M$8,$L$8,$R100)*(1+$F$3)/VLOOKUP($B100,Paper!$A$7:$AC$30,9,0)*VLOOKUP($B100,Paper!$A$7:$AC$30,11,0)*(1+VLOOKUP($B100,Paper!$A$7:$AC$30,12,0)*$I100)/Data!$M$1015,0))</f>
        <v>0</v>
      </c>
      <c r="K100" s="2611">
        <f>IF($B100="N",0,IF(D100&lt;Data!$M$1049,$G100,$G100*$D100)*$H100*$J100*$I100+IF($N$8="Regular",Data!$M$1036,0))</f>
        <v>0</v>
      </c>
      <c r="L100" s="2608">
        <f>IF($B100="N",0,IF($M$8&gt;0,0,$K100/MAX($R100,$L$8)))</f>
        <v>0</v>
      </c>
      <c r="M100" s="2609">
        <f t="shared" si="4"/>
        <v>0</v>
      </c>
      <c r="N100" s="1400">
        <f t="shared" ref="N100:N131" si="6">IF($M$8&gt;0,M100,L100)*IF($O$8="Reprint",0,1)</f>
        <v>0</v>
      </c>
      <c r="P100" s="833" t="str">
        <f>input!$J$1112</f>
        <v>N</v>
      </c>
      <c r="R100" s="991">
        <f>input!H1112</f>
        <v>0</v>
      </c>
      <c r="S100" s="136" t="s">
        <v>287</v>
      </c>
      <c r="AC100" s="992"/>
      <c r="AD100" s="313"/>
      <c r="AF100" s="313"/>
      <c r="AT100" s="413">
        <f t="shared" si="1"/>
        <v>0</v>
      </c>
      <c r="AU100" s="136">
        <f ca="1">COUNTIFS(AT$7:$AT100,1)</f>
        <v>1</v>
      </c>
    </row>
    <row r="101" spans="1:47" ht="17.25" customHeight="1" outlineLevel="1">
      <c r="B101" s="1386" t="str">
        <f>input!C1113</f>
        <v>N</v>
      </c>
      <c r="C101" s="1386" t="s">
        <v>1180</v>
      </c>
      <c r="D101" s="1387">
        <f>input!$D1113*input!$E1113</f>
        <v>60</v>
      </c>
      <c r="E101" s="1388" t="str">
        <f>input!K1113</f>
        <v>Kem</v>
      </c>
      <c r="F101" s="1388" t="str">
        <f>input!L1113</f>
        <v>1.5mm</v>
      </c>
      <c r="G101" s="986">
        <f>IF(AND($E101=Data!$L$1046,$F101=Data!$N$1044),IF($D101&lt;Data!$M$1045,Data!$N$1045,IF($D101&lt;Data!$M$1046,Data!$N$1046,IF($D101&lt;Data!$M$1047,Data!$N$1047,IF($D101&lt;Data!$M$1048,Data!$N$1048,IF($D101&lt;Data!$M$1049,Data!$N$1049,Data!$N$1050))))),IF(AND($E101=Data!$L$1046,$F101=Data!$O$1044),IF($D101&lt;Data!$M$1045,Data!$O$1045,IF($D101&lt;Data!$M$1046,Data!$O$1046,IF($D101&lt;Data!$M$1047,Data!$O$1047,IF($D101&lt;Data!$M$1048,Data!$O$1048,IF($D101&lt;Data!$M$1049,Data!$O$1049,Data!$O$1050))))),IF(AND($E101=Data!$L$1047,$F101=Data!$Q$1044),IF($D101&lt;Data!$P$1045,Data!$Q$1045,IF($D101&lt;Data!$P$1046,Data!$Q$1046,IF($D101&lt;Data!$P$1047,Data!$Q$1047,IF($D101&lt;Data!$P$1048,Data!$Q$1048,IF($D101&lt;Data!$P$1049,Data!$Q$1049,Data!$Q$1050))))),IF(AND($E101=Data!$L$1047,$F101=Data!$R$1044),IF($D101&lt;Data!$P$1045,Data!$R$1045,IF($D101&lt;Data!$P$1046,Data!$R$1046,IF($D101&lt;Data!$P$1047,Data!$R$1047,IF($D101&lt;Data!$P$1048,Data!$R$1048,IF($D101&lt;Data!$P$1049,Data!$R$1049,Data!$R$1050)))))))))</f>
        <v>1550</v>
      </c>
      <c r="H101" s="2892">
        <f>input!F1113</f>
        <v>0</v>
      </c>
      <c r="I101" s="1389">
        <f>SUMIFS(Paper!$J$6:$J$29,Paper!$A$6:$A$29,'Fix Cost'!$B101)</f>
        <v>0</v>
      </c>
      <c r="J101" s="2892">
        <f>IF($B101="N",0,ROUNDUP(MAX($M$8,$L$8,$R101)*(1+$F$3)/VLOOKUP($B101,Paper!$A$7:$AC$30,9,0)*VLOOKUP($B101,Paper!$A$7:$AC$30,11,0)*(1+VLOOKUP($B101,Paper!$A$7:$AC$30,12,0)*$I101)/Data!$M$1015,0))</f>
        <v>0</v>
      </c>
      <c r="K101" s="2611">
        <f>IF($B101="N",0,IF(D101&lt;Data!$M$1049,$G101,$G101*$D101)*$H101*$J101*$I101+IF($N$8="Regular",Data!$M$1036,0))</f>
        <v>0</v>
      </c>
      <c r="L101" s="2608">
        <f t="shared" ref="L101:L150" si="7">IF($B101="N",0,IF($M$8&gt;0,0,$K101/MAX($R101,$L$8)))</f>
        <v>0</v>
      </c>
      <c r="M101" s="2609">
        <f t="shared" si="4"/>
        <v>0</v>
      </c>
      <c r="N101" s="1400">
        <f t="shared" si="6"/>
        <v>0</v>
      </c>
      <c r="P101" s="833" t="str">
        <f>input!$J$1113</f>
        <v>N</v>
      </c>
      <c r="R101" s="991">
        <f>input!H1113</f>
        <v>0</v>
      </c>
      <c r="S101" s="136" t="s">
        <v>287</v>
      </c>
      <c r="AC101" s="992"/>
      <c r="AD101" s="313"/>
      <c r="AF101" s="313"/>
      <c r="AT101" s="413">
        <f t="shared" si="1"/>
        <v>0</v>
      </c>
      <c r="AU101" s="136">
        <f ca="1">COUNTIFS(AT$7:$AT101,1)</f>
        <v>1</v>
      </c>
    </row>
    <row r="102" spans="1:47" ht="17.25" customHeight="1" outlineLevel="1">
      <c r="B102" s="1386" t="str">
        <f>input!C1114</f>
        <v>N</v>
      </c>
      <c r="C102" s="1386" t="s">
        <v>1180</v>
      </c>
      <c r="D102" s="1387">
        <f>input!$D1114*input!$E1114</f>
        <v>60</v>
      </c>
      <c r="E102" s="1388" t="str">
        <f>input!K1114</f>
        <v>Kem</v>
      </c>
      <c r="F102" s="1388" t="str">
        <f>input!L1114</f>
        <v>1.5mm</v>
      </c>
      <c r="G102" s="986">
        <f>IF(AND($E102=Data!$L$1046,$F102=Data!$N$1044),IF($D102&lt;Data!$M$1045,Data!$N$1045,IF($D102&lt;Data!$M$1046,Data!$N$1046,IF($D102&lt;Data!$M$1047,Data!$N$1047,IF($D102&lt;Data!$M$1048,Data!$N$1048,IF($D102&lt;Data!$M$1049,Data!$N$1049,Data!$N$1050))))),IF(AND($E102=Data!$L$1046,$F102=Data!$O$1044),IF($D102&lt;Data!$M$1045,Data!$O$1045,IF($D102&lt;Data!$M$1046,Data!$O$1046,IF($D102&lt;Data!$M$1047,Data!$O$1047,IF($D102&lt;Data!$M$1048,Data!$O$1048,IF($D102&lt;Data!$M$1049,Data!$O$1049,Data!$O$1050))))),IF(AND($E102=Data!$L$1047,$F102=Data!$Q$1044),IF($D102&lt;Data!$P$1045,Data!$Q$1045,IF($D102&lt;Data!$P$1046,Data!$Q$1046,IF($D102&lt;Data!$P$1047,Data!$Q$1047,IF($D102&lt;Data!$P$1048,Data!$Q$1048,IF($D102&lt;Data!$P$1049,Data!$Q$1049,Data!$Q$1050))))),IF(AND($E102=Data!$L$1047,$F102=Data!$R$1044),IF($D102&lt;Data!$P$1045,Data!$R$1045,IF($D102&lt;Data!$P$1046,Data!$R$1046,IF($D102&lt;Data!$P$1047,Data!$R$1047,IF($D102&lt;Data!$P$1048,Data!$R$1048,IF($D102&lt;Data!$P$1049,Data!$R$1049,Data!$R$1050)))))))))</f>
        <v>1550</v>
      </c>
      <c r="H102" s="2892">
        <f>input!F1114</f>
        <v>0</v>
      </c>
      <c r="I102" s="1389">
        <f>SUMIFS(Paper!$J$6:$J$29,Paper!$A$6:$A$29,'Fix Cost'!$B102)</f>
        <v>0</v>
      </c>
      <c r="J102" s="2892">
        <f>IF($B102="N",0,ROUNDUP(MAX($M$8,$L$8,$R102)*(1+$F$3)/VLOOKUP($B102,Paper!$A$7:$AC$30,9,0)*VLOOKUP($B102,Paper!$A$7:$AC$30,11,0)*(1+VLOOKUP($B102,Paper!$A$7:$AC$30,12,0)*$I102)/Data!$M$1015,0))</f>
        <v>0</v>
      </c>
      <c r="K102" s="2611">
        <f>IF($B102="N",0,IF(D102&lt;Data!$M$1049,$G102,$G102*$D102)*$H102*$J102*$I102+IF($N$8="Regular",Data!$M$1036,0))</f>
        <v>0</v>
      </c>
      <c r="L102" s="2608">
        <f t="shared" si="7"/>
        <v>0</v>
      </c>
      <c r="M102" s="2609">
        <f t="shared" si="4"/>
        <v>0</v>
      </c>
      <c r="N102" s="1400">
        <f t="shared" si="6"/>
        <v>0</v>
      </c>
      <c r="P102" s="833" t="str">
        <f>input!$J$1114</f>
        <v>N</v>
      </c>
      <c r="R102" s="991">
        <f>input!H1114</f>
        <v>0</v>
      </c>
      <c r="S102" s="136" t="s">
        <v>287</v>
      </c>
      <c r="AC102" s="992"/>
      <c r="AD102" s="313"/>
      <c r="AF102" s="313"/>
      <c r="AT102" s="413">
        <f t="shared" si="1"/>
        <v>0</v>
      </c>
      <c r="AU102" s="136">
        <f ca="1">COUNTIFS(AT$7:$AT102,1)</f>
        <v>1</v>
      </c>
    </row>
    <row r="103" spans="1:47" ht="17.25" customHeight="1" outlineLevel="1">
      <c r="B103" s="1386" t="str">
        <f>input!C1115</f>
        <v>N</v>
      </c>
      <c r="C103" s="1386" t="s">
        <v>1180</v>
      </c>
      <c r="D103" s="1387">
        <f>input!$D1115*input!$E1115</f>
        <v>60</v>
      </c>
      <c r="E103" s="1388" t="str">
        <f>input!K1115</f>
        <v>Kem</v>
      </c>
      <c r="F103" s="1388" t="str">
        <f>input!L1115</f>
        <v>1.5mm</v>
      </c>
      <c r="G103" s="986">
        <f>IF(AND($E103=Data!$L$1046,$F103=Data!$N$1044),IF($D103&lt;Data!$M$1045,Data!$N$1045,IF($D103&lt;Data!$M$1046,Data!$N$1046,IF($D103&lt;Data!$M$1047,Data!$N$1047,IF($D103&lt;Data!$M$1048,Data!$N$1048,IF($D103&lt;Data!$M$1049,Data!$N$1049,Data!$N$1050))))),IF(AND($E103=Data!$L$1046,$F103=Data!$O$1044),IF($D103&lt;Data!$M$1045,Data!$O$1045,IF($D103&lt;Data!$M$1046,Data!$O$1046,IF($D103&lt;Data!$M$1047,Data!$O$1047,IF($D103&lt;Data!$M$1048,Data!$O$1048,IF($D103&lt;Data!$M$1049,Data!$O$1049,Data!$O$1050))))),IF(AND($E103=Data!$L$1047,$F103=Data!$Q$1044),IF($D103&lt;Data!$P$1045,Data!$Q$1045,IF($D103&lt;Data!$P$1046,Data!$Q$1046,IF($D103&lt;Data!$P$1047,Data!$Q$1047,IF($D103&lt;Data!$P$1048,Data!$Q$1048,IF($D103&lt;Data!$P$1049,Data!$Q$1049,Data!$Q$1050))))),IF(AND($E103=Data!$L$1047,$F103=Data!$R$1044),IF($D103&lt;Data!$P$1045,Data!$R$1045,IF($D103&lt;Data!$P$1046,Data!$R$1046,IF($D103&lt;Data!$P$1047,Data!$R$1047,IF($D103&lt;Data!$P$1048,Data!$R$1048,IF($D103&lt;Data!$P$1049,Data!$R$1049,Data!$R$1050)))))))))</f>
        <v>1550</v>
      </c>
      <c r="H103" s="2892">
        <f>input!F1115</f>
        <v>0</v>
      </c>
      <c r="I103" s="1389">
        <f>SUMIFS(Paper!$J$6:$J$29,Paper!$A$6:$A$29,'Fix Cost'!$B103)</f>
        <v>0</v>
      </c>
      <c r="J103" s="2892">
        <f>IF($B103="N",0,ROUNDUP(MAX($M$8,$L$8,$R103)*(1+$F$3)/VLOOKUP($B103,Paper!$A$7:$AC$30,9,0)*VLOOKUP($B103,Paper!$A$7:$AC$30,11,0)*(1+VLOOKUP($B103,Paper!$A$7:$AC$30,12,0)*$I103)/Data!$M$1015,0))</f>
        <v>0</v>
      </c>
      <c r="K103" s="2611">
        <f>IF($B103="N",0,IF(D103&lt;Data!$M$1049,$G103,$G103*$D103)*$H103*$J103*$I103+IF($N$8="Regular",Data!$M$1036,0))</f>
        <v>0</v>
      </c>
      <c r="L103" s="2608">
        <f t="shared" si="7"/>
        <v>0</v>
      </c>
      <c r="M103" s="2609">
        <f t="shared" si="4"/>
        <v>0</v>
      </c>
      <c r="N103" s="1400">
        <f t="shared" si="6"/>
        <v>0</v>
      </c>
      <c r="P103" s="833" t="str">
        <f>input!$J$1115</f>
        <v>N</v>
      </c>
      <c r="R103" s="991">
        <f>input!H1115</f>
        <v>0</v>
      </c>
      <c r="S103" s="136" t="s">
        <v>287</v>
      </c>
      <c r="AC103" s="992"/>
      <c r="AD103" s="313"/>
      <c r="AF103" s="313"/>
      <c r="AT103" s="413">
        <f t="shared" si="1"/>
        <v>0</v>
      </c>
      <c r="AU103" s="136">
        <f ca="1">COUNTIFS(AT$7:$AT103,1)</f>
        <v>1</v>
      </c>
    </row>
    <row r="104" spans="1:47" ht="17.25" customHeight="1" outlineLevel="1">
      <c r="B104" s="1386" t="str">
        <f>input!C1116</f>
        <v>N</v>
      </c>
      <c r="C104" s="1386" t="s">
        <v>1180</v>
      </c>
      <c r="D104" s="1387">
        <f>input!$D1116*input!$E1116</f>
        <v>60</v>
      </c>
      <c r="E104" s="1388" t="str">
        <f>input!K1116</f>
        <v>Kem</v>
      </c>
      <c r="F104" s="1388" t="str">
        <f>input!L1116</f>
        <v>1.5mm</v>
      </c>
      <c r="G104" s="986">
        <f>IF(AND($E104=Data!$L$1046,$F104=Data!$N$1044),IF($D104&lt;Data!$M$1045,Data!$N$1045,IF($D104&lt;Data!$M$1046,Data!$N$1046,IF($D104&lt;Data!$M$1047,Data!$N$1047,IF($D104&lt;Data!$M$1048,Data!$N$1048,IF($D104&lt;Data!$M$1049,Data!$N$1049,Data!$N$1050))))),IF(AND($E104=Data!$L$1046,$F104=Data!$O$1044),IF($D104&lt;Data!$M$1045,Data!$O$1045,IF($D104&lt;Data!$M$1046,Data!$O$1046,IF($D104&lt;Data!$M$1047,Data!$O$1047,IF($D104&lt;Data!$M$1048,Data!$O$1048,IF($D104&lt;Data!$M$1049,Data!$O$1049,Data!$O$1050))))),IF(AND($E104=Data!$L$1047,$F104=Data!$Q$1044),IF($D104&lt;Data!$P$1045,Data!$Q$1045,IF($D104&lt;Data!$P$1046,Data!$Q$1046,IF($D104&lt;Data!$P$1047,Data!$Q$1047,IF($D104&lt;Data!$P$1048,Data!$Q$1048,IF($D104&lt;Data!$P$1049,Data!$Q$1049,Data!$Q$1050))))),IF(AND($E104=Data!$L$1047,$F104=Data!$R$1044),IF($D104&lt;Data!$P$1045,Data!$R$1045,IF($D104&lt;Data!$P$1046,Data!$R$1046,IF($D104&lt;Data!$P$1047,Data!$R$1047,IF($D104&lt;Data!$P$1048,Data!$R$1048,IF($D104&lt;Data!$P$1049,Data!$R$1049,Data!$R$1050)))))))))</f>
        <v>1550</v>
      </c>
      <c r="H104" s="2892">
        <f>input!F1116</f>
        <v>0</v>
      </c>
      <c r="I104" s="1389">
        <f>SUMIFS(Paper!$J$6:$J$29,Paper!$A$6:$A$29,'Fix Cost'!$B104)</f>
        <v>0</v>
      </c>
      <c r="J104" s="2892">
        <f>IF($B104="N",0,ROUNDUP(MAX($M$8,$L$8,$R104)*(1+$F$3)/VLOOKUP($B104,Paper!$A$7:$AC$30,9,0)*VLOOKUP($B104,Paper!$A$7:$AC$30,11,0)*(1+VLOOKUP($B104,Paper!$A$7:$AC$30,12,0)*$I104)/Data!$M$1015,0))</f>
        <v>0</v>
      </c>
      <c r="K104" s="2611">
        <f>IF($B104="N",0,IF(D104&lt;Data!$M$1049,$G104,$G104*$D104)*$H104*$J104*$I104+IF($N$8="Regular",Data!$M$1036,0))</f>
        <v>0</v>
      </c>
      <c r="L104" s="2608">
        <f t="shared" si="7"/>
        <v>0</v>
      </c>
      <c r="M104" s="2609">
        <f t="shared" si="4"/>
        <v>0</v>
      </c>
      <c r="N104" s="1400">
        <f t="shared" si="6"/>
        <v>0</v>
      </c>
      <c r="P104" s="833" t="str">
        <f>input!$J$1116</f>
        <v>N</v>
      </c>
      <c r="R104" s="991">
        <f>input!H1116</f>
        <v>0</v>
      </c>
      <c r="S104" s="136" t="s">
        <v>287</v>
      </c>
      <c r="AC104" s="992"/>
      <c r="AD104" s="313"/>
      <c r="AF104" s="313"/>
      <c r="AT104" s="413">
        <f t="shared" si="1"/>
        <v>0</v>
      </c>
      <c r="AU104" s="136">
        <f ca="1">COUNTIFS(AT$7:$AT104,1)</f>
        <v>1</v>
      </c>
    </row>
    <row r="105" spans="1:47" ht="17.25" customHeight="1" outlineLevel="1">
      <c r="B105" s="1386" t="str">
        <f>input!C1117</f>
        <v>N</v>
      </c>
      <c r="C105" s="1386" t="s">
        <v>1180</v>
      </c>
      <c r="D105" s="1387">
        <f>input!$D1117*input!$E1117</f>
        <v>60</v>
      </c>
      <c r="E105" s="1388" t="str">
        <f>input!K1117</f>
        <v>Kem</v>
      </c>
      <c r="F105" s="1388" t="str">
        <f>input!L1117</f>
        <v>1.5mm</v>
      </c>
      <c r="G105" s="986">
        <f>IF(AND($E105=Data!$L$1046,$F105=Data!$N$1044),IF($D105&lt;Data!$M$1045,Data!$N$1045,IF($D105&lt;Data!$M$1046,Data!$N$1046,IF($D105&lt;Data!$M$1047,Data!$N$1047,IF($D105&lt;Data!$M$1048,Data!$N$1048,IF($D105&lt;Data!$M$1049,Data!$N$1049,Data!$N$1050))))),IF(AND($E105=Data!$L$1046,$F105=Data!$O$1044),IF($D105&lt;Data!$M$1045,Data!$O$1045,IF($D105&lt;Data!$M$1046,Data!$O$1046,IF($D105&lt;Data!$M$1047,Data!$O$1047,IF($D105&lt;Data!$M$1048,Data!$O$1048,IF($D105&lt;Data!$M$1049,Data!$O$1049,Data!$O$1050))))),IF(AND($E105=Data!$L$1047,$F105=Data!$Q$1044),IF($D105&lt;Data!$P$1045,Data!$Q$1045,IF($D105&lt;Data!$P$1046,Data!$Q$1046,IF($D105&lt;Data!$P$1047,Data!$Q$1047,IF($D105&lt;Data!$P$1048,Data!$Q$1048,IF($D105&lt;Data!$P$1049,Data!$Q$1049,Data!$Q$1050))))),IF(AND($E105=Data!$L$1047,$F105=Data!$R$1044),IF($D105&lt;Data!$P$1045,Data!$R$1045,IF($D105&lt;Data!$P$1046,Data!$R$1046,IF($D105&lt;Data!$P$1047,Data!$R$1047,IF($D105&lt;Data!$P$1048,Data!$R$1048,IF($D105&lt;Data!$P$1049,Data!$R$1049,Data!$R$1050)))))))))</f>
        <v>1550</v>
      </c>
      <c r="H105" s="2892">
        <f>input!F1117</f>
        <v>0</v>
      </c>
      <c r="I105" s="1389">
        <f>SUMIFS(Paper!$J$6:$J$29,Paper!$A$6:$A$29,'Fix Cost'!$B105)</f>
        <v>0</v>
      </c>
      <c r="J105" s="2892">
        <f>IF($B105="N",0,ROUNDUP(MAX($M$8,$L$8,$R105)*(1+$F$3)/VLOOKUP($B105,Paper!$A$7:$AC$30,9,0)*VLOOKUP($B105,Paper!$A$7:$AC$30,11,0)*(1+VLOOKUP($B105,Paper!$A$7:$AC$30,12,0)*$I105)/Data!$M$1015,0))</f>
        <v>0</v>
      </c>
      <c r="K105" s="2611">
        <f>IF($B105="N",0,IF(D105&lt;Data!$M$1049,$G105,$G105*$D105)*$H105*$J105*$I105+IF($N$8="Regular",Data!$M$1036,0))</f>
        <v>0</v>
      </c>
      <c r="L105" s="2608">
        <f t="shared" si="7"/>
        <v>0</v>
      </c>
      <c r="M105" s="2609">
        <f t="shared" si="4"/>
        <v>0</v>
      </c>
      <c r="N105" s="1400">
        <f t="shared" si="6"/>
        <v>0</v>
      </c>
      <c r="P105" s="833" t="str">
        <f>input!$J$1117</f>
        <v>N</v>
      </c>
      <c r="R105" s="991">
        <f>input!H1117</f>
        <v>0</v>
      </c>
      <c r="S105" s="136" t="s">
        <v>287</v>
      </c>
      <c r="AC105" s="992"/>
      <c r="AD105" s="313"/>
      <c r="AF105" s="313"/>
      <c r="AT105" s="413">
        <f t="shared" si="1"/>
        <v>0</v>
      </c>
      <c r="AU105" s="136">
        <f ca="1">COUNTIFS(AT$7:$AT105,1)</f>
        <v>1</v>
      </c>
    </row>
    <row r="106" spans="1:47" ht="17.25" customHeight="1" outlineLevel="1">
      <c r="B106" s="1386" t="str">
        <f>input!C1118</f>
        <v>N</v>
      </c>
      <c r="C106" s="1386" t="s">
        <v>1182</v>
      </c>
      <c r="D106" s="1387">
        <f>input!$D1118*input!$E1118</f>
        <v>72</v>
      </c>
      <c r="E106" s="1388" t="str">
        <f>input!K1118</f>
        <v>Kem</v>
      </c>
      <c r="F106" s="1388" t="str">
        <f>input!L1118</f>
        <v>1.5mm</v>
      </c>
      <c r="G106" s="986">
        <f>IF(AND($E106=Data!$L$1046,$F106=Data!$N$1044),IF($D106&lt;Data!$M$1045,Data!$N$1045,IF($D106&lt;Data!$M$1046,Data!$N$1046,IF($D106&lt;Data!$M$1047,Data!$N$1047,IF($D106&lt;Data!$M$1048,Data!$N$1048,IF($D106&lt;Data!$M$1049,Data!$N$1049,Data!$N$1050))))),IF(AND($E106=Data!$L$1046,$F106=Data!$O$1044),IF($D106&lt;Data!$M$1045,Data!$O$1045,IF($D106&lt;Data!$M$1046,Data!$O$1046,IF($D106&lt;Data!$M$1047,Data!$O$1047,IF($D106&lt;Data!$M$1048,Data!$O$1048,IF($D106&lt;Data!$M$1049,Data!$O$1049,Data!$O$1050))))),IF(AND($E106=Data!$L$1047,$F106=Data!$Q$1044),IF($D106&lt;Data!$P$1045,Data!$Q$1045,IF($D106&lt;Data!$P$1046,Data!$Q$1046,IF($D106&lt;Data!$P$1047,Data!$Q$1047,IF($D106&lt;Data!$P$1048,Data!$Q$1048,IF($D106&lt;Data!$P$1049,Data!$Q$1049,Data!$Q$1050))))),IF(AND($E106=Data!$L$1047,$F106=Data!$R$1044),IF($D106&lt;Data!$P$1045,Data!$R$1045,IF($D106&lt;Data!$P$1046,Data!$R$1046,IF($D106&lt;Data!$P$1047,Data!$R$1047,IF($D106&lt;Data!$P$1048,Data!$R$1048,IF($D106&lt;Data!$P$1049,Data!$R$1049,Data!$R$1050)))))))))</f>
        <v>1550</v>
      </c>
      <c r="H106" s="2892">
        <f>input!F1118</f>
        <v>0</v>
      </c>
      <c r="I106" s="1389">
        <f>SUMIFS(Paper!$J$6:$J$29,Paper!$A$6:$A$29,'Fix Cost'!$B106)</f>
        <v>0</v>
      </c>
      <c r="J106" s="2892">
        <f>IF($B106="N",0,ROUNDUP(MAX($M$8,$L$8,$R106)*(1+$F$3)/VLOOKUP($B106,Paper!$A$7:$AC$30,9,0)*VLOOKUP($B106,Paper!$A$7:$AC$30,11,0)*(1+VLOOKUP($B106,Paper!$A$7:$AC$30,12,0)*$I106)/Data!$M$1016,0))</f>
        <v>0</v>
      </c>
      <c r="K106" s="2611">
        <f>IF($B106="N",0,IF(D106&lt;Data!$M$1049,$G106,$G106*$D106)*$H106*$J106*$I106+IF($N$8="Regular",Data!$M$1036,0))</f>
        <v>0</v>
      </c>
      <c r="L106" s="2608">
        <f t="shared" si="7"/>
        <v>0</v>
      </c>
      <c r="M106" s="2609">
        <f t="shared" si="4"/>
        <v>0</v>
      </c>
      <c r="N106" s="1400">
        <f t="shared" si="6"/>
        <v>0</v>
      </c>
      <c r="P106" s="833" t="str">
        <f>input!$J$1118</f>
        <v>N</v>
      </c>
      <c r="R106" s="991">
        <f>input!H1118</f>
        <v>0</v>
      </c>
      <c r="S106" s="136" t="s">
        <v>287</v>
      </c>
      <c r="AC106" s="992"/>
      <c r="AD106" s="313"/>
      <c r="AF106" s="313"/>
      <c r="AT106" s="413">
        <f t="shared" si="1"/>
        <v>0</v>
      </c>
      <c r="AU106" s="136">
        <f ca="1">COUNTIFS(AT$7:$AT106,1)</f>
        <v>1</v>
      </c>
    </row>
    <row r="107" spans="1:47" ht="17.25" customHeight="1" outlineLevel="1">
      <c r="B107" s="1386" t="str">
        <f>input!C1119</f>
        <v>N</v>
      </c>
      <c r="C107" s="1386" t="s">
        <v>1182</v>
      </c>
      <c r="D107" s="1387">
        <f>input!$D1119*input!$E1119</f>
        <v>50</v>
      </c>
      <c r="E107" s="1388" t="str">
        <f>input!K1119</f>
        <v>Kem</v>
      </c>
      <c r="F107" s="1388" t="str">
        <f>input!L1119</f>
        <v>1.5mm</v>
      </c>
      <c r="G107" s="986">
        <f>IF(AND($E107=Data!$L$1046,$F107=Data!$N$1044),IF($D107&lt;Data!$M$1045,Data!$N$1045,IF($D107&lt;Data!$M$1046,Data!$N$1046,IF($D107&lt;Data!$M$1047,Data!$N$1047,IF($D107&lt;Data!$M$1048,Data!$N$1048,IF($D107&lt;Data!$M$1049,Data!$N$1049,Data!$N$1050))))),IF(AND($E107=Data!$L$1046,$F107=Data!$O$1044),IF($D107&lt;Data!$M$1045,Data!$O$1045,IF($D107&lt;Data!$M$1046,Data!$O$1046,IF($D107&lt;Data!$M$1047,Data!$O$1047,IF($D107&lt;Data!$M$1048,Data!$O$1048,IF($D107&lt;Data!$M$1049,Data!$O$1049,Data!$O$1050))))),IF(AND($E107=Data!$L$1047,$F107=Data!$Q$1044),IF($D107&lt;Data!$P$1045,Data!$Q$1045,IF($D107&lt;Data!$P$1046,Data!$Q$1046,IF($D107&lt;Data!$P$1047,Data!$Q$1047,IF($D107&lt;Data!$P$1048,Data!$Q$1048,IF($D107&lt;Data!$P$1049,Data!$Q$1049,Data!$Q$1050))))),IF(AND($E107=Data!$L$1047,$F107=Data!$R$1044),IF($D107&lt;Data!$P$1045,Data!$R$1045,IF($D107&lt;Data!$P$1046,Data!$R$1046,IF($D107&lt;Data!$P$1047,Data!$R$1047,IF($D107&lt;Data!$P$1048,Data!$R$1048,IF($D107&lt;Data!$P$1049,Data!$R$1049,Data!$R$1050)))))))))</f>
        <v>90000</v>
      </c>
      <c r="H107" s="2892">
        <f>input!F1119</f>
        <v>0</v>
      </c>
      <c r="I107" s="1389">
        <f>SUMIFS(Paper!$J$6:$J$29,Paper!$A$6:$A$29,'Fix Cost'!$B107)</f>
        <v>0</v>
      </c>
      <c r="J107" s="2892">
        <f>IF($B107="N",0,ROUNDUP(MAX($M$8,$L$8,$R107)*(1+$F$3)/VLOOKUP($B107,Paper!$A$7:$AC$30,9,0)*VLOOKUP($B107,Paper!$A$7:$AC$30,11,0)*(1+VLOOKUP($B107,Paper!$A$7:$AC$30,12,0)*$I107)/Data!$M$1016,0))</f>
        <v>0</v>
      </c>
      <c r="K107" s="2611">
        <f>IF($B107="N",0,IF(D107&lt;Data!$M$1049,$G107,$G107*$D107)*$H107*$J107*$I107+IF($N$8="Regular",Data!$M$1036,0))</f>
        <v>0</v>
      </c>
      <c r="L107" s="2608">
        <f t="shared" si="7"/>
        <v>0</v>
      </c>
      <c r="M107" s="2609">
        <f t="shared" si="4"/>
        <v>0</v>
      </c>
      <c r="N107" s="1400">
        <f t="shared" si="6"/>
        <v>0</v>
      </c>
      <c r="P107" s="833" t="str">
        <f>input!$J$1119</f>
        <v>N</v>
      </c>
      <c r="R107" s="991">
        <f>input!H1119</f>
        <v>0</v>
      </c>
      <c r="S107" s="136" t="s">
        <v>287</v>
      </c>
      <c r="AC107" s="992"/>
      <c r="AD107" s="313"/>
      <c r="AF107" s="313"/>
      <c r="AT107" s="413">
        <f t="shared" si="1"/>
        <v>0</v>
      </c>
      <c r="AU107" s="136">
        <f ca="1">COUNTIFS(AT$7:$AT107,1)</f>
        <v>1</v>
      </c>
    </row>
    <row r="108" spans="1:47" ht="17.25" customHeight="1" outlineLevel="1">
      <c r="B108" s="1386" t="str">
        <f>input!C1120</f>
        <v>N</v>
      </c>
      <c r="C108" s="1386" t="s">
        <v>1182</v>
      </c>
      <c r="D108" s="1387">
        <f>input!$D1120*input!$E1120</f>
        <v>50</v>
      </c>
      <c r="E108" s="1388" t="str">
        <f>input!K1120</f>
        <v>Kem</v>
      </c>
      <c r="F108" s="1388" t="str">
        <f>input!L1120</f>
        <v>1.5mm</v>
      </c>
      <c r="G108" s="986">
        <f>IF(AND($E108=Data!$L$1046,$F108=Data!$N$1044),IF($D108&lt;Data!$M$1045,Data!$N$1045,IF($D108&lt;Data!$M$1046,Data!$N$1046,IF($D108&lt;Data!$M$1047,Data!$N$1047,IF($D108&lt;Data!$M$1048,Data!$N$1048,IF($D108&lt;Data!$M$1049,Data!$N$1049,Data!$N$1050))))),IF(AND($E108=Data!$L$1046,$F108=Data!$O$1044),IF($D108&lt;Data!$M$1045,Data!$O$1045,IF($D108&lt;Data!$M$1046,Data!$O$1046,IF($D108&lt;Data!$M$1047,Data!$O$1047,IF($D108&lt;Data!$M$1048,Data!$O$1048,IF($D108&lt;Data!$M$1049,Data!$O$1049,Data!$O$1050))))),IF(AND($E108=Data!$L$1047,$F108=Data!$Q$1044),IF($D108&lt;Data!$P$1045,Data!$Q$1045,IF($D108&lt;Data!$P$1046,Data!$Q$1046,IF($D108&lt;Data!$P$1047,Data!$Q$1047,IF($D108&lt;Data!$P$1048,Data!$Q$1048,IF($D108&lt;Data!$P$1049,Data!$Q$1049,Data!$Q$1050))))),IF(AND($E108=Data!$L$1047,$F108=Data!$R$1044),IF($D108&lt;Data!$P$1045,Data!$R$1045,IF($D108&lt;Data!$P$1046,Data!$R$1046,IF($D108&lt;Data!$P$1047,Data!$R$1047,IF($D108&lt;Data!$P$1048,Data!$R$1048,IF($D108&lt;Data!$P$1049,Data!$R$1049,Data!$R$1050)))))))))</f>
        <v>90000</v>
      </c>
      <c r="H108" s="2892">
        <f>input!F1120</f>
        <v>0</v>
      </c>
      <c r="I108" s="1389">
        <f>SUMIFS(Paper!$J$6:$J$29,Paper!$A$6:$A$29,'Fix Cost'!$B108)</f>
        <v>0</v>
      </c>
      <c r="J108" s="2892">
        <f>IF($B108="N",0,ROUNDUP(MAX($M$8,$L$8,$R108)*(1+$F$3)/VLOOKUP($B108,Paper!$A$7:$AC$30,9,0)*VLOOKUP($B108,Paper!$A$7:$AC$30,11,0)*(1+VLOOKUP($B108,Paper!$A$7:$AC$30,12,0)*$I108)/Data!$M$1016,0))</f>
        <v>0</v>
      </c>
      <c r="K108" s="2611">
        <f>IF($B108="N",0,IF(D108&lt;Data!$M$1049,$G108,$G108*$D108)*$H108*$J108*$I108+IF($N$8="Regular",Data!$M$1036,0))</f>
        <v>0</v>
      </c>
      <c r="L108" s="2608">
        <f t="shared" si="7"/>
        <v>0</v>
      </c>
      <c r="M108" s="2609">
        <f t="shared" si="4"/>
        <v>0</v>
      </c>
      <c r="N108" s="1400">
        <f t="shared" si="6"/>
        <v>0</v>
      </c>
      <c r="P108" s="833" t="str">
        <f>input!$J$1120</f>
        <v>N</v>
      </c>
      <c r="R108" s="991">
        <f>input!H1120</f>
        <v>0</v>
      </c>
      <c r="S108" s="136" t="s">
        <v>287</v>
      </c>
      <c r="AC108" s="992"/>
      <c r="AD108" s="313"/>
      <c r="AF108" s="313"/>
      <c r="AT108" s="413">
        <f t="shared" si="1"/>
        <v>0</v>
      </c>
      <c r="AU108" s="136">
        <f ca="1">COUNTIFS(AT$7:$AT108,1)</f>
        <v>1</v>
      </c>
    </row>
    <row r="109" spans="1:47" ht="17.25" customHeight="1" outlineLevel="1">
      <c r="B109" s="1386" t="str">
        <f>input!C1121</f>
        <v>N</v>
      </c>
      <c r="C109" s="1386" t="s">
        <v>1182</v>
      </c>
      <c r="D109" s="1387">
        <f>input!$D1121*input!$E1121</f>
        <v>50</v>
      </c>
      <c r="E109" s="1388" t="str">
        <f>input!K1121</f>
        <v>Kem</v>
      </c>
      <c r="F109" s="1388" t="str">
        <f>input!L1121</f>
        <v>1.5mm</v>
      </c>
      <c r="G109" s="986">
        <f>IF(AND($E109=Data!$L$1046,$F109=Data!$N$1044),IF($D109&lt;Data!$M$1045,Data!$N$1045,IF($D109&lt;Data!$M$1046,Data!$N$1046,IF($D109&lt;Data!$M$1047,Data!$N$1047,IF($D109&lt;Data!$M$1048,Data!$N$1048,IF($D109&lt;Data!$M$1049,Data!$N$1049,Data!$N$1050))))),IF(AND($E109=Data!$L$1046,$F109=Data!$O$1044),IF($D109&lt;Data!$M$1045,Data!$O$1045,IF($D109&lt;Data!$M$1046,Data!$O$1046,IF($D109&lt;Data!$M$1047,Data!$O$1047,IF($D109&lt;Data!$M$1048,Data!$O$1048,IF($D109&lt;Data!$M$1049,Data!$O$1049,Data!$O$1050))))),IF(AND($E109=Data!$L$1047,$F109=Data!$Q$1044),IF($D109&lt;Data!$P$1045,Data!$Q$1045,IF($D109&lt;Data!$P$1046,Data!$Q$1046,IF($D109&lt;Data!$P$1047,Data!$Q$1047,IF($D109&lt;Data!$P$1048,Data!$Q$1048,IF($D109&lt;Data!$P$1049,Data!$Q$1049,Data!$Q$1050))))),IF(AND($E109=Data!$L$1047,$F109=Data!$R$1044),IF($D109&lt;Data!$P$1045,Data!$R$1045,IF($D109&lt;Data!$P$1046,Data!$R$1046,IF($D109&lt;Data!$P$1047,Data!$R$1047,IF($D109&lt;Data!$P$1048,Data!$R$1048,IF($D109&lt;Data!$P$1049,Data!$R$1049,Data!$R$1050)))))))))</f>
        <v>90000</v>
      </c>
      <c r="H109" s="2892">
        <f>input!F1121</f>
        <v>0</v>
      </c>
      <c r="I109" s="1389">
        <f>SUMIFS(Paper!$J$6:$J$29,Paper!$A$6:$A$29,'Fix Cost'!$B109)</f>
        <v>0</v>
      </c>
      <c r="J109" s="2892">
        <f>IF($B109="N",0,ROUNDUP(MAX($M$8,$L$8,$R109)*(1+$F$3)/VLOOKUP($B109,Paper!$A$7:$AC$30,9,0)*VLOOKUP($B109,Paper!$A$7:$AC$30,11,0)*(1+VLOOKUP($B109,Paper!$A$7:$AC$30,12,0)*$I109)/Data!$M$1016,0))</f>
        <v>0</v>
      </c>
      <c r="K109" s="2611">
        <f>IF($B109="N",0,IF(D109&lt;Data!$M$1049,$G109,$G109*$D109)*$H109*$J109*$I109+IF($N$8="Regular",Data!$M$1036,0))</f>
        <v>0</v>
      </c>
      <c r="L109" s="2608">
        <f t="shared" si="7"/>
        <v>0</v>
      </c>
      <c r="M109" s="2609">
        <f t="shared" si="4"/>
        <v>0</v>
      </c>
      <c r="N109" s="1400">
        <f t="shared" si="6"/>
        <v>0</v>
      </c>
      <c r="P109" s="833" t="str">
        <f>input!$J$1121</f>
        <v>N</v>
      </c>
      <c r="R109" s="991">
        <f>input!H1121</f>
        <v>0</v>
      </c>
      <c r="S109" s="136" t="s">
        <v>287</v>
      </c>
      <c r="AC109" s="992"/>
      <c r="AD109" s="313"/>
      <c r="AF109" s="313"/>
      <c r="AT109" s="413">
        <f t="shared" si="1"/>
        <v>0</v>
      </c>
      <c r="AU109" s="136">
        <f ca="1">COUNTIFS(AT$7:$AT109,1)</f>
        <v>1</v>
      </c>
    </row>
    <row r="110" spans="1:47" ht="17.25" customHeight="1" outlineLevel="1">
      <c r="B110" s="1386" t="str">
        <f>input!C1122</f>
        <v>N</v>
      </c>
      <c r="C110" s="1386" t="s">
        <v>1182</v>
      </c>
      <c r="D110" s="1387">
        <f>input!$D1122*input!$E1122</f>
        <v>50</v>
      </c>
      <c r="E110" s="1388" t="str">
        <f>input!K1122</f>
        <v>Kem</v>
      </c>
      <c r="F110" s="1388" t="str">
        <f>input!L1122</f>
        <v>1.5mm</v>
      </c>
      <c r="G110" s="986">
        <f>IF(AND($E110=Data!$L$1046,$F110=Data!$N$1044),IF($D110&lt;Data!$M$1045,Data!$N$1045,IF($D110&lt;Data!$M$1046,Data!$N$1046,IF($D110&lt;Data!$M$1047,Data!$N$1047,IF($D110&lt;Data!$M$1048,Data!$N$1048,IF($D110&lt;Data!$M$1049,Data!$N$1049,Data!$N$1050))))),IF(AND($E110=Data!$L$1046,$F110=Data!$O$1044),IF($D110&lt;Data!$M$1045,Data!$O$1045,IF($D110&lt;Data!$M$1046,Data!$O$1046,IF($D110&lt;Data!$M$1047,Data!$O$1047,IF($D110&lt;Data!$M$1048,Data!$O$1048,IF($D110&lt;Data!$M$1049,Data!$O$1049,Data!$O$1050))))),IF(AND($E110=Data!$L$1047,$F110=Data!$Q$1044),IF($D110&lt;Data!$P$1045,Data!$Q$1045,IF($D110&lt;Data!$P$1046,Data!$Q$1046,IF($D110&lt;Data!$P$1047,Data!$Q$1047,IF($D110&lt;Data!$P$1048,Data!$Q$1048,IF($D110&lt;Data!$P$1049,Data!$Q$1049,Data!$Q$1050))))),IF(AND($E110=Data!$L$1047,$F110=Data!$R$1044),IF($D110&lt;Data!$P$1045,Data!$R$1045,IF($D110&lt;Data!$P$1046,Data!$R$1046,IF($D110&lt;Data!$P$1047,Data!$R$1047,IF($D110&lt;Data!$P$1048,Data!$R$1048,IF($D110&lt;Data!$P$1049,Data!$R$1049,Data!$R$1050)))))))))</f>
        <v>90000</v>
      </c>
      <c r="H110" s="2892">
        <f>input!F1122</f>
        <v>0</v>
      </c>
      <c r="I110" s="1389">
        <f>SUMIFS(Paper!$J$6:$J$29,Paper!$A$6:$A$29,'Fix Cost'!$B110)</f>
        <v>0</v>
      </c>
      <c r="J110" s="2892">
        <f>IF($B110="N",0,ROUNDUP(MAX($M$8,$L$8,$R110)*(1+$F$3)/VLOOKUP($B110,Paper!$A$7:$AC$30,9,0)*VLOOKUP($B110,Paper!$A$7:$AC$30,11,0)*(1+VLOOKUP($B110,Paper!$A$7:$AC$30,12,0)*$I110)/Data!$M$1016,0))</f>
        <v>0</v>
      </c>
      <c r="K110" s="2611">
        <f>IF($B110="N",0,IF(D110&lt;Data!$M$1049,$G110,$G110*$D110)*$H110*$J110*$I110+IF($N$8="Regular",Data!$M$1036,0))</f>
        <v>0</v>
      </c>
      <c r="L110" s="2608">
        <f t="shared" si="7"/>
        <v>0</v>
      </c>
      <c r="M110" s="2609">
        <f t="shared" si="4"/>
        <v>0</v>
      </c>
      <c r="N110" s="1400">
        <f t="shared" si="6"/>
        <v>0</v>
      </c>
      <c r="P110" s="833" t="str">
        <f>input!$J$1122</f>
        <v>N</v>
      </c>
      <c r="R110" s="991">
        <f>input!H1122</f>
        <v>0</v>
      </c>
      <c r="S110" s="136" t="s">
        <v>287</v>
      </c>
      <c r="AC110" s="992"/>
      <c r="AD110" s="313"/>
      <c r="AF110" s="313"/>
      <c r="AT110" s="413">
        <f t="shared" si="1"/>
        <v>0</v>
      </c>
      <c r="AU110" s="136">
        <f ca="1">COUNTIFS(AT$7:$AT110,1)</f>
        <v>1</v>
      </c>
    </row>
    <row r="111" spans="1:47" ht="17.25" customHeight="1" outlineLevel="1">
      <c r="B111" s="1386" t="str">
        <f>input!C1123</f>
        <v>N</v>
      </c>
      <c r="C111" s="1386" t="s">
        <v>1182</v>
      </c>
      <c r="D111" s="1387">
        <f>input!$D1123*input!$E1123</f>
        <v>50</v>
      </c>
      <c r="E111" s="1388" t="str">
        <f>input!K1123</f>
        <v>Kem</v>
      </c>
      <c r="F111" s="1388" t="str">
        <f>input!L1123</f>
        <v>1.5mm</v>
      </c>
      <c r="G111" s="986">
        <f>IF(AND($E111=Data!$L$1046,$F111=Data!$N$1044),IF($D111&lt;Data!$M$1045,Data!$N$1045,IF($D111&lt;Data!$M$1046,Data!$N$1046,IF($D111&lt;Data!$M$1047,Data!$N$1047,IF($D111&lt;Data!$M$1048,Data!$N$1048,IF($D111&lt;Data!$M$1049,Data!$N$1049,Data!$N$1050))))),IF(AND($E111=Data!$L$1046,$F111=Data!$O$1044),IF($D111&lt;Data!$M$1045,Data!$O$1045,IF($D111&lt;Data!$M$1046,Data!$O$1046,IF($D111&lt;Data!$M$1047,Data!$O$1047,IF($D111&lt;Data!$M$1048,Data!$O$1048,IF($D111&lt;Data!$M$1049,Data!$O$1049,Data!$O$1050))))),IF(AND($E111=Data!$L$1047,$F111=Data!$Q$1044),IF($D111&lt;Data!$P$1045,Data!$Q$1045,IF($D111&lt;Data!$P$1046,Data!$Q$1046,IF($D111&lt;Data!$P$1047,Data!$Q$1047,IF($D111&lt;Data!$P$1048,Data!$Q$1048,IF($D111&lt;Data!$P$1049,Data!$Q$1049,Data!$Q$1050))))),IF(AND($E111=Data!$L$1047,$F111=Data!$R$1044),IF($D111&lt;Data!$P$1045,Data!$R$1045,IF($D111&lt;Data!$P$1046,Data!$R$1046,IF($D111&lt;Data!$P$1047,Data!$R$1047,IF($D111&lt;Data!$P$1048,Data!$R$1048,IF($D111&lt;Data!$P$1049,Data!$R$1049,Data!$R$1050)))))))))</f>
        <v>90000</v>
      </c>
      <c r="H111" s="2892">
        <f>input!F1123</f>
        <v>0</v>
      </c>
      <c r="I111" s="1389">
        <f>SUMIFS(Paper!$J$6:$J$29,Paper!$A$6:$A$29,'Fix Cost'!$B111)</f>
        <v>0</v>
      </c>
      <c r="J111" s="2892">
        <f>IF($B111="N",0,ROUNDUP(MAX($M$8,$L$8,$R111)*(1+$F$3)/VLOOKUP($B111,Paper!$A$7:$AC$30,9,0)*VLOOKUP($B111,Paper!$A$7:$AC$30,11,0)*(1+VLOOKUP($B111,Paper!$A$7:$AC$30,12,0)*$I111)/Data!$M$1016,0))</f>
        <v>0</v>
      </c>
      <c r="K111" s="2611">
        <f>IF($B111="N",0,IF(D111&lt;Data!$M$1049,$G111,$G111*$D111)*$H111*$J111*$I111+IF($N$8="Regular",Data!$M$1036,0))</f>
        <v>0</v>
      </c>
      <c r="L111" s="2608">
        <f t="shared" si="7"/>
        <v>0</v>
      </c>
      <c r="M111" s="2609">
        <f t="shared" si="4"/>
        <v>0</v>
      </c>
      <c r="N111" s="1400">
        <f t="shared" si="6"/>
        <v>0</v>
      </c>
      <c r="P111" s="833" t="str">
        <f>input!$J$1123</f>
        <v>N</v>
      </c>
      <c r="R111" s="991">
        <f>input!H1123</f>
        <v>0</v>
      </c>
      <c r="S111" s="136" t="s">
        <v>287</v>
      </c>
      <c r="AC111" s="992"/>
      <c r="AD111" s="313"/>
      <c r="AF111" s="313"/>
      <c r="AT111" s="413">
        <f t="shared" si="1"/>
        <v>0</v>
      </c>
      <c r="AU111" s="136">
        <f ca="1">COUNTIFS(AT$7:$AT111,1)</f>
        <v>1</v>
      </c>
    </row>
    <row r="112" spans="1:47" ht="17.25" customHeight="1" outlineLevel="1">
      <c r="B112" s="1386" t="str">
        <f>input!C1124</f>
        <v>N</v>
      </c>
      <c r="C112" s="1386" t="s">
        <v>137</v>
      </c>
      <c r="D112" s="966" t="str">
        <f>input!D1124</f>
        <v>Silkcreen UV on OPP, ink…</v>
      </c>
      <c r="E112" s="1390">
        <f>input!E1124</f>
        <v>740000</v>
      </c>
      <c r="F112" s="965">
        <f>IF(B112="N",0,1)</f>
        <v>0</v>
      </c>
      <c r="G112" s="966" t="s">
        <v>1200</v>
      </c>
      <c r="H112" s="1390">
        <v>320000</v>
      </c>
      <c r="I112" s="1389">
        <f>SUMIFS(Paper!$J$6:$J$29,Paper!$A$6:$A$29,'Fix Cost'!$B112)</f>
        <v>0</v>
      </c>
      <c r="J112" s="2892">
        <f>IF($B112="N",0,ROUNDUP(MAX($M$8,$L$8,$R112)*(1+$F$3)/VLOOKUP($B112,Paper!$A$7:$AC$30,9,0)*VLOOKUP($B112,Paper!$A$7:$AC$30,11,0)*(1+VLOOKUP($B112,Paper!$A$7:$AC$30,12,0)*$I112)/VLOOKUP($D112,Data!$L$1018:$N$1019,2),0))-$F112</f>
        <v>0</v>
      </c>
      <c r="K112" s="2611">
        <f>IF($B112="N",0,($E112*$F112+$H112*$J112)*I112)</f>
        <v>0</v>
      </c>
      <c r="L112" s="2608">
        <f t="shared" si="7"/>
        <v>0</v>
      </c>
      <c r="M112" s="2609">
        <f t="shared" si="4"/>
        <v>0</v>
      </c>
      <c r="N112" s="1400">
        <f t="shared" si="6"/>
        <v>0</v>
      </c>
      <c r="P112" s="833" t="str">
        <f>input!$J$1124</f>
        <v>N</v>
      </c>
      <c r="R112" s="991">
        <f>input!H1124</f>
        <v>0</v>
      </c>
      <c r="S112" s="136" t="s">
        <v>287</v>
      </c>
      <c r="AC112" s="992"/>
      <c r="AD112" s="313"/>
      <c r="AF112" s="313"/>
      <c r="AT112" s="413">
        <f t="shared" si="1"/>
        <v>0</v>
      </c>
      <c r="AU112" s="136">
        <f ca="1">COUNTIFS(AT$7:$AT112,1)</f>
        <v>1</v>
      </c>
    </row>
    <row r="113" spans="2:47" ht="17.25" customHeight="1" outlineLevel="1">
      <c r="B113" s="1386" t="str">
        <f>input!C1125</f>
        <v>N</v>
      </c>
      <c r="C113" s="1386" t="s">
        <v>137</v>
      </c>
      <c r="D113" s="966" t="str">
        <f>input!D1125</f>
        <v>Silkcreen UV on OPP, ink…</v>
      </c>
      <c r="E113" s="1390">
        <f>input!E1125</f>
        <v>740000</v>
      </c>
      <c r="F113" s="965">
        <f>IF(B113="N",0,1)</f>
        <v>0</v>
      </c>
      <c r="G113" s="966" t="s">
        <v>1200</v>
      </c>
      <c r="H113" s="1390">
        <v>320000</v>
      </c>
      <c r="I113" s="1389">
        <f>SUMIFS(Paper!$J$6:$J$29,Paper!$A$6:$A$29,'Fix Cost'!$B113)</f>
        <v>0</v>
      </c>
      <c r="J113" s="2892">
        <f>IF($B113="N",0,ROUNDUP(MAX($M$8,$L$8,$R113)*(1+$F$3)/VLOOKUP($B113,Paper!$A$7:$AC$30,9,0)*VLOOKUP($B113,Paper!$A$7:$AC$30,11,0)*(1+VLOOKUP($B113,Paper!$A$7:$AC$30,12,0)*$I113)/VLOOKUP($D113,Data!$L$1018:$N$1019,2),0))-$F113</f>
        <v>0</v>
      </c>
      <c r="K113" s="2611">
        <f>IF($B113="N",0,($E113*$F113+$H113*$J113)*I113)</f>
        <v>0</v>
      </c>
      <c r="L113" s="2608">
        <f t="shared" si="7"/>
        <v>0</v>
      </c>
      <c r="M113" s="2609">
        <f t="shared" si="4"/>
        <v>0</v>
      </c>
      <c r="N113" s="1400">
        <f t="shared" si="6"/>
        <v>0</v>
      </c>
      <c r="P113" s="833" t="str">
        <f>input!$J$1125</f>
        <v>N</v>
      </c>
      <c r="R113" s="991">
        <f>input!H1125</f>
        <v>0</v>
      </c>
      <c r="S113" s="136" t="s">
        <v>287</v>
      </c>
      <c r="AC113" s="992"/>
      <c r="AD113" s="313"/>
      <c r="AF113" s="313"/>
      <c r="AT113" s="413">
        <f t="shared" si="1"/>
        <v>0</v>
      </c>
      <c r="AU113" s="136">
        <f ca="1">COUNTIFS(AT$7:$AT113,1)</f>
        <v>1</v>
      </c>
    </row>
    <row r="114" spans="2:47" ht="17.25" customHeight="1" outlineLevel="1">
      <c r="B114" s="1386" t="str">
        <f>input!C1126</f>
        <v>N</v>
      </c>
      <c r="C114" s="1386" t="s">
        <v>137</v>
      </c>
      <c r="D114" s="966" t="str">
        <f>input!D1126</f>
        <v>Silkcreen UV on OPP, ink…</v>
      </c>
      <c r="E114" s="1390">
        <f>input!E1126</f>
        <v>740000</v>
      </c>
      <c r="F114" s="965">
        <f>IF(B114="N",0,1)</f>
        <v>0</v>
      </c>
      <c r="G114" s="966" t="s">
        <v>1200</v>
      </c>
      <c r="H114" s="1390">
        <v>320000</v>
      </c>
      <c r="I114" s="1389">
        <f>SUMIFS(Paper!$J$6:$J$29,Paper!$A$6:$A$29,'Fix Cost'!$B114)</f>
        <v>0</v>
      </c>
      <c r="J114" s="2892">
        <f>IF($B114="N",0,ROUNDUP(MAX($M$8,$L$8,$R114)*(1+$F$3)/VLOOKUP($B114,Paper!$A$7:$AC$30,9,0)*VLOOKUP($B114,Paper!$A$7:$AC$30,11,0)*(1+VLOOKUP($B114,Paper!$A$7:$AC$30,12,0)*$I114)/VLOOKUP($D114,Data!$L$1018:$N$1019,2),0))-$F114</f>
        <v>0</v>
      </c>
      <c r="K114" s="2611">
        <f>IF($B114="N",0,($E114*$F114+$H114*$J114)*I114)</f>
        <v>0</v>
      </c>
      <c r="L114" s="2608">
        <f t="shared" si="7"/>
        <v>0</v>
      </c>
      <c r="M114" s="2609">
        <f t="shared" si="4"/>
        <v>0</v>
      </c>
      <c r="N114" s="1400">
        <f t="shared" si="6"/>
        <v>0</v>
      </c>
      <c r="P114" s="833" t="str">
        <f>input!$J$1126</f>
        <v>N</v>
      </c>
      <c r="R114" s="991">
        <f>input!H1126</f>
        <v>0</v>
      </c>
      <c r="S114" s="136" t="s">
        <v>287</v>
      </c>
      <c r="AC114" s="992"/>
      <c r="AD114" s="313"/>
      <c r="AF114" s="313"/>
      <c r="AT114" s="413">
        <f t="shared" si="1"/>
        <v>0</v>
      </c>
      <c r="AU114" s="136">
        <f ca="1">COUNTIFS(AT$7:$AT114,1)</f>
        <v>1</v>
      </c>
    </row>
    <row r="115" spans="2:47" ht="17.25" customHeight="1" outlineLevel="1">
      <c r="B115" s="1386" t="str">
        <f>input!C1127</f>
        <v>N</v>
      </c>
      <c r="C115" s="1386" t="s">
        <v>137</v>
      </c>
      <c r="D115" s="966" t="str">
        <f>input!D1127</f>
        <v>Silkcreen UV on OPP, ink…</v>
      </c>
      <c r="E115" s="1390">
        <f>input!E1127</f>
        <v>740000</v>
      </c>
      <c r="F115" s="965">
        <f>IF(B115="N",0,1)</f>
        <v>0</v>
      </c>
      <c r="G115" s="966" t="s">
        <v>1200</v>
      </c>
      <c r="H115" s="1390">
        <v>320000</v>
      </c>
      <c r="I115" s="1389">
        <f>SUMIFS(Paper!$J$6:$J$29,Paper!$A$6:$A$29,'Fix Cost'!$B115)</f>
        <v>0</v>
      </c>
      <c r="J115" s="2892">
        <f>IF($B115="N",0,ROUNDUP(MAX($M$8,$L$8,$R115)*(1+$F$3)/VLOOKUP($B115,Paper!$A$7:$AC$30,9,0)*VLOOKUP($B115,Paper!$A$7:$AC$30,11,0)*(1+VLOOKUP($B115,Paper!$A$7:$AC$30,12,0)*$I115)/VLOOKUP($D115,Data!$L$1018:$N$1019,2),0))-$F115</f>
        <v>0</v>
      </c>
      <c r="K115" s="2611">
        <f>IF($B115="N",0,($E115*$F115+$H115*$J115)*I115)</f>
        <v>0</v>
      </c>
      <c r="L115" s="2608">
        <f t="shared" si="7"/>
        <v>0</v>
      </c>
      <c r="M115" s="2609">
        <f t="shared" si="4"/>
        <v>0</v>
      </c>
      <c r="N115" s="1400">
        <f t="shared" si="6"/>
        <v>0</v>
      </c>
      <c r="P115" s="833" t="str">
        <f>input!$J$1127</f>
        <v>N</v>
      </c>
      <c r="R115" s="991">
        <f>input!H1127</f>
        <v>0</v>
      </c>
      <c r="S115" s="136" t="s">
        <v>287</v>
      </c>
      <c r="AC115" s="992"/>
      <c r="AD115" s="313"/>
      <c r="AF115" s="313"/>
      <c r="AT115" s="413">
        <f t="shared" si="1"/>
        <v>0</v>
      </c>
      <c r="AU115" s="136">
        <f ca="1">COUNTIFS(AT$7:$AT115,1)</f>
        <v>1</v>
      </c>
    </row>
    <row r="116" spans="2:47" ht="17.25" customHeight="1" outlineLevel="1">
      <c r="B116" s="1386" t="str">
        <f>input!C1128</f>
        <v>N</v>
      </c>
      <c r="C116" s="1386" t="s">
        <v>137</v>
      </c>
      <c r="D116" s="966" t="str">
        <f>input!D1128</f>
        <v>Silkcreen UV on OPP, ink…</v>
      </c>
      <c r="E116" s="1390">
        <f>input!E1128</f>
        <v>740000</v>
      </c>
      <c r="F116" s="965">
        <f>IF(B116="N",0,1)</f>
        <v>0</v>
      </c>
      <c r="G116" s="966" t="s">
        <v>1200</v>
      </c>
      <c r="H116" s="1390">
        <v>320000</v>
      </c>
      <c r="I116" s="1389">
        <f>SUMIFS(Paper!$J$6:$J$29,Paper!$A$6:$A$29,'Fix Cost'!$B116)</f>
        <v>0</v>
      </c>
      <c r="J116" s="2892">
        <f>IF($B116="N",0,ROUNDUP(MAX($M$8,$L$8,$R116)*(1+$F$3)/VLOOKUP($B116,Paper!$A$7:$AC$30,9,0)*VLOOKUP($B116,Paper!$A$7:$AC$30,11,0)*(1+VLOOKUP($B116,Paper!$A$7:$AC$30,12,0)*$I116)/VLOOKUP($D116,Data!$L$1018:$N$1019,2),0))-$F116</f>
        <v>0</v>
      </c>
      <c r="K116" s="2611">
        <f>IF($B116="N",0,($E116*$F116+$H116*$J116)*I116)</f>
        <v>0</v>
      </c>
      <c r="L116" s="2608">
        <f t="shared" si="7"/>
        <v>0</v>
      </c>
      <c r="M116" s="2609">
        <f t="shared" si="4"/>
        <v>0</v>
      </c>
      <c r="N116" s="1400">
        <f t="shared" si="6"/>
        <v>0</v>
      </c>
      <c r="P116" s="833" t="str">
        <f>input!$J$1128</f>
        <v>N</v>
      </c>
      <c r="R116" s="991">
        <f>input!H1128</f>
        <v>0</v>
      </c>
      <c r="S116" s="136" t="s">
        <v>287</v>
      </c>
      <c r="AC116" s="992"/>
      <c r="AD116" s="313"/>
      <c r="AF116" s="313"/>
      <c r="AT116" s="413">
        <f t="shared" si="1"/>
        <v>0</v>
      </c>
      <c r="AU116" s="136">
        <f ca="1">COUNTIFS(AT$7:$AT116,1)</f>
        <v>1</v>
      </c>
    </row>
    <row r="117" spans="2:47" ht="17.25" customHeight="1" outlineLevel="1">
      <c r="B117" s="1386" t="str">
        <f>input!C1129</f>
        <v>N</v>
      </c>
      <c r="C117" s="1386" t="s">
        <v>1201</v>
      </c>
      <c r="D117" s="966" t="s">
        <v>151</v>
      </c>
      <c r="E117" s="1390">
        <v>2000000</v>
      </c>
      <c r="F117" s="966" t="s">
        <v>1202</v>
      </c>
      <c r="G117" s="1390">
        <v>2000000</v>
      </c>
      <c r="H117" s="966"/>
      <c r="I117" s="1389">
        <f>SUMIFS(Paper!$J$6:$J$29,Paper!$A$6:$A$29,'Fix Cost'!$B117)</f>
        <v>0</v>
      </c>
      <c r="J117" s="2892">
        <f>IF($B117="N",0,ROUNDUP(MAX($M$8,$L$8,$R117)*(1+input!$D$4)/VLOOKUP($B117,Paper!$A$7:$AC$30,9,0)*VLOOKUP($B117,Paper!$A$7:$AC$30,11,0)*(1+VLOOKUP($B117,Paper!$A$7:$AC$30,12,0)*$I117)/Data!$M$1017,0))</f>
        <v>0</v>
      </c>
      <c r="K117" s="2611">
        <f>IF($B117="N",0,($E117+$G117)*$J117*$I117)</f>
        <v>0</v>
      </c>
      <c r="L117" s="2608">
        <f t="shared" si="7"/>
        <v>0</v>
      </c>
      <c r="M117" s="2609">
        <f t="shared" si="4"/>
        <v>0</v>
      </c>
      <c r="N117" s="1400">
        <f t="shared" si="6"/>
        <v>0</v>
      </c>
      <c r="P117" s="833" t="str">
        <f>input!$J$1129</f>
        <v>N</v>
      </c>
      <c r="R117" s="991">
        <f>input!H1129</f>
        <v>0</v>
      </c>
      <c r="S117" s="136" t="s">
        <v>287</v>
      </c>
      <c r="AC117" s="992"/>
      <c r="AD117" s="313"/>
      <c r="AF117" s="313"/>
      <c r="AT117" s="413">
        <f t="shared" si="1"/>
        <v>0</v>
      </c>
      <c r="AU117" s="136">
        <f ca="1">COUNTIFS(AT$7:$AT117,1)</f>
        <v>1</v>
      </c>
    </row>
    <row r="118" spans="2:47" ht="17.25" customHeight="1" outlineLevel="1">
      <c r="B118" s="1386" t="str">
        <f>input!C1130</f>
        <v>N</v>
      </c>
      <c r="C118" s="1386" t="s">
        <v>1201</v>
      </c>
      <c r="D118" s="966" t="s">
        <v>151</v>
      </c>
      <c r="E118" s="1390">
        <v>2000000</v>
      </c>
      <c r="F118" s="966" t="s">
        <v>1202</v>
      </c>
      <c r="G118" s="1390">
        <v>2000000</v>
      </c>
      <c r="H118" s="966"/>
      <c r="I118" s="1389">
        <f>SUMIFS(Paper!$J$6:$J$29,Paper!$A$6:$A$29,'Fix Cost'!$B118)</f>
        <v>0</v>
      </c>
      <c r="J118" s="2892">
        <f>IF($B118="N",0,ROUNDUP(MAX($M$8,$L$8,$R118)*(1+input!$D$4)/VLOOKUP($B118,Paper!$A$7:$AC$30,9,0)*VLOOKUP($B118,Paper!$A$7:$AC$30,11,0)*(1+VLOOKUP($B118,Paper!$A$7:$AC$30,12,0)*$I118)/Data!$M$1017,0))</f>
        <v>0</v>
      </c>
      <c r="K118" s="2611">
        <f>IF($B118="N",0,($E118+$G118)*$J118*$I118)</f>
        <v>0</v>
      </c>
      <c r="L118" s="2608">
        <f t="shared" si="7"/>
        <v>0</v>
      </c>
      <c r="M118" s="2609">
        <f t="shared" si="4"/>
        <v>0</v>
      </c>
      <c r="N118" s="1400">
        <f t="shared" si="6"/>
        <v>0</v>
      </c>
      <c r="P118" s="833" t="str">
        <f>input!$J$1130</f>
        <v>N</v>
      </c>
      <c r="R118" s="991">
        <f>input!H1130</f>
        <v>0</v>
      </c>
      <c r="S118" s="136" t="s">
        <v>287</v>
      </c>
      <c r="AC118" s="992"/>
      <c r="AD118" s="313"/>
      <c r="AF118" s="313"/>
      <c r="AT118" s="413">
        <f t="shared" si="1"/>
        <v>0</v>
      </c>
      <c r="AU118" s="136">
        <f ca="1">COUNTIFS(AT$7:$AT118,1)</f>
        <v>1</v>
      </c>
    </row>
    <row r="119" spans="2:47" ht="17.25" customHeight="1" outlineLevel="1">
      <c r="B119" s="1386" t="str">
        <f>input!C1131</f>
        <v>N</v>
      </c>
      <c r="C119" s="1386" t="s">
        <v>1201</v>
      </c>
      <c r="D119" s="966" t="s">
        <v>151</v>
      </c>
      <c r="E119" s="1390">
        <v>2000000</v>
      </c>
      <c r="F119" s="966" t="s">
        <v>1202</v>
      </c>
      <c r="G119" s="1390">
        <v>2000000</v>
      </c>
      <c r="H119" s="966"/>
      <c r="I119" s="1389">
        <f>SUMIFS(Paper!$J$6:$J$29,Paper!$A$6:$A$29,'Fix Cost'!$B119)</f>
        <v>0</v>
      </c>
      <c r="J119" s="2892">
        <f>IF($B119="N",0,ROUNDUP(MAX($M$8,$L$8,$R119)*(1+input!$D$4)/VLOOKUP($B119,Paper!$A$7:$AC$30,9,0)*VLOOKUP($B119,Paper!$A$7:$AC$30,11,0)*(1+VLOOKUP($B119,Paper!$A$7:$AC$30,12,0)*$I119)/Data!$M$1017,0))</f>
        <v>0</v>
      </c>
      <c r="K119" s="2611">
        <f>IF($B119="N",0,($E119+$G119)*$J119*$I119)</f>
        <v>0</v>
      </c>
      <c r="L119" s="2608">
        <f t="shared" si="7"/>
        <v>0</v>
      </c>
      <c r="M119" s="2609">
        <f t="shared" si="4"/>
        <v>0</v>
      </c>
      <c r="N119" s="1400">
        <f t="shared" si="6"/>
        <v>0</v>
      </c>
      <c r="P119" s="833" t="str">
        <f>input!$J$1131</f>
        <v>N</v>
      </c>
      <c r="R119" s="991">
        <f>input!H1131</f>
        <v>0</v>
      </c>
      <c r="S119" s="136" t="s">
        <v>287</v>
      </c>
      <c r="AC119" s="992"/>
      <c r="AD119" s="313"/>
      <c r="AF119" s="313"/>
      <c r="AT119" s="413">
        <f t="shared" si="1"/>
        <v>0</v>
      </c>
      <c r="AU119" s="136">
        <f ca="1">COUNTIFS(AT$7:$AT119,1)</f>
        <v>1</v>
      </c>
    </row>
    <row r="120" spans="2:47" ht="17.25" customHeight="1" outlineLevel="1">
      <c r="B120" s="1386" t="str">
        <f>input!C1132</f>
        <v>N</v>
      </c>
      <c r="C120" s="1386" t="s">
        <v>1201</v>
      </c>
      <c r="D120" s="966" t="s">
        <v>151</v>
      </c>
      <c r="E120" s="1390">
        <v>2000000</v>
      </c>
      <c r="F120" s="966" t="s">
        <v>1202</v>
      </c>
      <c r="G120" s="1390">
        <v>2000000</v>
      </c>
      <c r="H120" s="966"/>
      <c r="I120" s="1389">
        <f>SUMIFS(Paper!$J$6:$J$29,Paper!$A$6:$A$29,'Fix Cost'!$B120)</f>
        <v>0</v>
      </c>
      <c r="J120" s="2892">
        <f>IF($B120="N",0,ROUNDUP(MAX($M$8,$L$8,$R120)*(1+input!$D$4)/VLOOKUP($B120,Paper!$A$7:$AC$30,9,0)*VLOOKUP($B120,Paper!$A$7:$AC$30,11,0)*(1+VLOOKUP($B120,Paper!$A$7:$AC$30,12,0)*$I120)/Data!$M$1017,0))</f>
        <v>0</v>
      </c>
      <c r="K120" s="2611">
        <f>IF($B120="N",0,($E120+$G120)*$J120*$I120)</f>
        <v>0</v>
      </c>
      <c r="L120" s="2608">
        <f t="shared" si="7"/>
        <v>0</v>
      </c>
      <c r="M120" s="2609">
        <f t="shared" si="4"/>
        <v>0</v>
      </c>
      <c r="N120" s="1400">
        <f t="shared" si="6"/>
        <v>0</v>
      </c>
      <c r="P120" s="833" t="str">
        <f>input!$J$1132</f>
        <v>N</v>
      </c>
      <c r="R120" s="991">
        <f>input!H1132</f>
        <v>0</v>
      </c>
      <c r="S120" s="136" t="s">
        <v>287</v>
      </c>
      <c r="AC120" s="992"/>
      <c r="AD120" s="313"/>
      <c r="AF120" s="313"/>
      <c r="AT120" s="413">
        <f t="shared" si="1"/>
        <v>0</v>
      </c>
      <c r="AU120" s="136">
        <f ca="1">COUNTIFS(AT$7:$AT120,1)</f>
        <v>1</v>
      </c>
    </row>
    <row r="121" spans="2:47" ht="17.25" customHeight="1" outlineLevel="1">
      <c r="B121" s="1386" t="str">
        <f>input!C1133</f>
        <v>N</v>
      </c>
      <c r="C121" s="1386" t="s">
        <v>1201</v>
      </c>
      <c r="D121" s="966" t="s">
        <v>151</v>
      </c>
      <c r="E121" s="1390">
        <v>2000000</v>
      </c>
      <c r="F121" s="966" t="s">
        <v>1202</v>
      </c>
      <c r="G121" s="1390">
        <v>2000000</v>
      </c>
      <c r="H121" s="966"/>
      <c r="I121" s="1389">
        <f>SUMIFS(Paper!$J$6:$J$29,Paper!$A$6:$A$29,'Fix Cost'!$B121)</f>
        <v>0</v>
      </c>
      <c r="J121" s="2892">
        <f>IF($B121="N",0,ROUNDUP(MAX($M$8,$L$8,$R121)*(1+input!$D$4)/VLOOKUP($B121,Paper!$A$7:$AC$30,9,0)*VLOOKUP($B121,Paper!$A$7:$AC$30,11,0)*(1+VLOOKUP($B121,Paper!$A$7:$AC$30,12,0)*$I121)/Data!$M$1017,0))</f>
        <v>0</v>
      </c>
      <c r="K121" s="2611">
        <f>IF($B121="N",0,($E121+$G121)*$J121*$I121)</f>
        <v>0</v>
      </c>
      <c r="L121" s="2608">
        <f t="shared" si="7"/>
        <v>0</v>
      </c>
      <c r="M121" s="2609">
        <f t="shared" si="4"/>
        <v>0</v>
      </c>
      <c r="N121" s="1400">
        <f t="shared" si="6"/>
        <v>0</v>
      </c>
      <c r="P121" s="833" t="str">
        <f>input!$J$1133</f>
        <v>N</v>
      </c>
      <c r="R121" s="991">
        <f>input!H1133</f>
        <v>0</v>
      </c>
      <c r="S121" s="136" t="s">
        <v>287</v>
      </c>
      <c r="AC121" s="992"/>
      <c r="AD121" s="313"/>
      <c r="AF121" s="313"/>
      <c r="AT121" s="413">
        <f t="shared" si="1"/>
        <v>0</v>
      </c>
      <c r="AU121" s="136">
        <f ca="1">COUNTIFS(AT$7:$AT121,1)</f>
        <v>1</v>
      </c>
    </row>
    <row r="122" spans="2:47" ht="19.5" customHeight="1" outlineLevel="1">
      <c r="B122" s="1386" t="str">
        <f>input!C1134</f>
        <v>N</v>
      </c>
      <c r="C122" s="965" t="s">
        <v>1203</v>
      </c>
      <c r="D122" s="966" t="s">
        <v>1185</v>
      </c>
      <c r="E122" s="966"/>
      <c r="F122" s="1391">
        <f>SUMIFS(Paper!$N$7:$N$30,Paper!$A$7:$A$30,'Fix Cost'!B122)/10</f>
        <v>0</v>
      </c>
      <c r="G122" s="1391">
        <f>SUMIFS(Paper!$O$7:$O$30,Paper!$A$7:$A$30,'Fix Cost'!B122)/10</f>
        <v>0</v>
      </c>
      <c r="H122" s="966"/>
      <c r="I122" s="1389">
        <f>input!F1134</f>
        <v>0</v>
      </c>
      <c r="J122" s="1392">
        <f>+Data!$B$1037</f>
        <v>30</v>
      </c>
      <c r="K122" s="2611">
        <f>IF($B122="N",0,$J122*$I122*$F122*$G122+300000)</f>
        <v>0</v>
      </c>
      <c r="L122" s="2608">
        <f t="shared" si="7"/>
        <v>0</v>
      </c>
      <c r="M122" s="2609">
        <f t="shared" si="4"/>
        <v>0</v>
      </c>
      <c r="N122" s="1400">
        <f t="shared" si="6"/>
        <v>0</v>
      </c>
      <c r="P122" s="833" t="str">
        <f>input!$J$1134</f>
        <v>N</v>
      </c>
      <c r="R122" s="991">
        <f>input!H1134</f>
        <v>0</v>
      </c>
      <c r="S122" s="136" t="s">
        <v>287</v>
      </c>
      <c r="AC122" s="992"/>
      <c r="AD122" s="313"/>
      <c r="AF122" s="313"/>
      <c r="AT122" s="413">
        <f t="shared" si="1"/>
        <v>0</v>
      </c>
      <c r="AU122" s="136">
        <f ca="1">COUNTIFS(AT$7:$AT122,1)</f>
        <v>1</v>
      </c>
    </row>
    <row r="123" spans="2:47" ht="19.5" customHeight="1" outlineLevel="1">
      <c r="B123" s="1386" t="str">
        <f>input!C1135</f>
        <v>N</v>
      </c>
      <c r="C123" s="965" t="s">
        <v>1203</v>
      </c>
      <c r="D123" s="966" t="s">
        <v>1185</v>
      </c>
      <c r="E123" s="966"/>
      <c r="F123" s="1391">
        <f>SUMIFS(Paper!$N$7:$N$30,Paper!$A$7:$A$30,'Fix Cost'!B123)/10</f>
        <v>0</v>
      </c>
      <c r="G123" s="1391">
        <f>SUMIFS(Paper!$O$7:$O$30,Paper!$A$7:$A$30,'Fix Cost'!B123)/10</f>
        <v>0</v>
      </c>
      <c r="H123" s="966"/>
      <c r="I123" s="1389">
        <f>input!F1135</f>
        <v>0</v>
      </c>
      <c r="J123" s="1392">
        <f>+Data!$B$1037</f>
        <v>30</v>
      </c>
      <c r="K123" s="2611">
        <f t="shared" ref="K123:K131" si="8">IF($B123="N",0,$J123*$I123*$F123*$G123+300000)</f>
        <v>0</v>
      </c>
      <c r="L123" s="2608">
        <f t="shared" si="7"/>
        <v>0</v>
      </c>
      <c r="M123" s="2609">
        <f t="shared" si="4"/>
        <v>0</v>
      </c>
      <c r="N123" s="1400">
        <f t="shared" si="6"/>
        <v>0</v>
      </c>
      <c r="P123" s="833" t="str">
        <f>input!$J$1135</f>
        <v>N</v>
      </c>
      <c r="R123" s="991">
        <f>input!H1135</f>
        <v>0</v>
      </c>
      <c r="S123" s="136" t="s">
        <v>287</v>
      </c>
      <c r="AC123" s="992"/>
      <c r="AD123" s="313"/>
      <c r="AF123" s="313"/>
      <c r="AT123" s="413">
        <f t="shared" si="1"/>
        <v>0</v>
      </c>
      <c r="AU123" s="136">
        <f ca="1">COUNTIFS(AT$7:$AT123,1)</f>
        <v>1</v>
      </c>
    </row>
    <row r="124" spans="2:47" ht="19.5" customHeight="1" outlineLevel="1">
      <c r="B124" s="1386" t="str">
        <f>input!C1136</f>
        <v>N</v>
      </c>
      <c r="C124" s="965" t="s">
        <v>1203</v>
      </c>
      <c r="D124" s="966" t="s">
        <v>1185</v>
      </c>
      <c r="E124" s="966"/>
      <c r="F124" s="1391">
        <f>SUMIFS(Paper!$N$7:$N$30,Paper!$A$7:$A$30,'Fix Cost'!B124)/10</f>
        <v>0</v>
      </c>
      <c r="G124" s="1391">
        <f>SUMIFS(Paper!$O$7:$O$30,Paper!$A$7:$A$30,'Fix Cost'!B124)/10</f>
        <v>0</v>
      </c>
      <c r="H124" s="966"/>
      <c r="I124" s="1389">
        <f>input!F1136</f>
        <v>0</v>
      </c>
      <c r="J124" s="1392">
        <f>+Data!$B$1037</f>
        <v>30</v>
      </c>
      <c r="K124" s="2611">
        <f t="shared" si="8"/>
        <v>0</v>
      </c>
      <c r="L124" s="2608">
        <f t="shared" si="7"/>
        <v>0</v>
      </c>
      <c r="M124" s="2609">
        <f t="shared" si="4"/>
        <v>0</v>
      </c>
      <c r="N124" s="1400">
        <f t="shared" si="6"/>
        <v>0</v>
      </c>
      <c r="P124" s="833" t="str">
        <f>input!$J$1136</f>
        <v>N</v>
      </c>
      <c r="R124" s="991">
        <f>input!H1136</f>
        <v>0</v>
      </c>
      <c r="S124" s="136" t="s">
        <v>287</v>
      </c>
      <c r="AC124" s="992"/>
      <c r="AD124" s="313"/>
      <c r="AF124" s="313"/>
      <c r="AT124" s="413">
        <f t="shared" si="1"/>
        <v>0</v>
      </c>
      <c r="AU124" s="136">
        <f ca="1">COUNTIFS(AT$7:$AT124,1)</f>
        <v>1</v>
      </c>
    </row>
    <row r="125" spans="2:47" ht="19.5" customHeight="1" outlineLevel="1">
      <c r="B125" s="1386" t="str">
        <f>input!C1137</f>
        <v>N</v>
      </c>
      <c r="C125" s="965" t="s">
        <v>1203</v>
      </c>
      <c r="D125" s="966" t="s">
        <v>1185</v>
      </c>
      <c r="E125" s="966"/>
      <c r="F125" s="1391">
        <f>SUMIFS(Paper!$N$7:$N$30,Paper!$A$7:$A$30,'Fix Cost'!B125)/10</f>
        <v>0</v>
      </c>
      <c r="G125" s="1391">
        <f>SUMIFS(Paper!$O$7:$O$30,Paper!$A$7:$A$30,'Fix Cost'!B125)/10</f>
        <v>0</v>
      </c>
      <c r="H125" s="966"/>
      <c r="I125" s="1389">
        <f>input!F1137</f>
        <v>0</v>
      </c>
      <c r="J125" s="1392">
        <f>+Data!$B$1037</f>
        <v>30</v>
      </c>
      <c r="K125" s="2611">
        <f t="shared" si="8"/>
        <v>0</v>
      </c>
      <c r="L125" s="2608">
        <f t="shared" si="7"/>
        <v>0</v>
      </c>
      <c r="M125" s="2609">
        <f t="shared" si="4"/>
        <v>0</v>
      </c>
      <c r="N125" s="1400">
        <f t="shared" si="6"/>
        <v>0</v>
      </c>
      <c r="P125" s="833" t="str">
        <f>input!$J$1137</f>
        <v>N</v>
      </c>
      <c r="R125" s="991">
        <f>input!H1137</f>
        <v>0</v>
      </c>
      <c r="S125" s="136" t="s">
        <v>287</v>
      </c>
      <c r="AC125" s="992"/>
      <c r="AD125" s="313"/>
      <c r="AF125" s="313"/>
      <c r="AT125" s="413">
        <f t="shared" si="1"/>
        <v>0</v>
      </c>
      <c r="AU125" s="136">
        <f ca="1">COUNTIFS(AT$7:$AT125,1)</f>
        <v>1</v>
      </c>
    </row>
    <row r="126" spans="2:47" ht="19.5" customHeight="1" outlineLevel="1">
      <c r="B126" s="1386" t="str">
        <f>input!C1138</f>
        <v>N</v>
      </c>
      <c r="C126" s="965" t="s">
        <v>1203</v>
      </c>
      <c r="D126" s="966" t="s">
        <v>1185</v>
      </c>
      <c r="E126" s="966"/>
      <c r="F126" s="1391">
        <f>SUMIFS(Paper!$N$7:$N$30,Paper!$A$7:$A$30,'Fix Cost'!B126)/10</f>
        <v>0</v>
      </c>
      <c r="G126" s="1391">
        <f>SUMIFS(Paper!$O$7:$O$30,Paper!$A$7:$A$30,'Fix Cost'!B126)/10</f>
        <v>0</v>
      </c>
      <c r="H126" s="966"/>
      <c r="I126" s="1389">
        <f>input!F1138</f>
        <v>0</v>
      </c>
      <c r="J126" s="1392">
        <f>+Data!$B$1037</f>
        <v>30</v>
      </c>
      <c r="K126" s="2611">
        <f t="shared" si="8"/>
        <v>0</v>
      </c>
      <c r="L126" s="2608">
        <f t="shared" si="7"/>
        <v>0</v>
      </c>
      <c r="M126" s="2609">
        <f t="shared" si="4"/>
        <v>0</v>
      </c>
      <c r="N126" s="1400">
        <f t="shared" si="6"/>
        <v>0</v>
      </c>
      <c r="P126" s="833" t="str">
        <f>input!$J$1138</f>
        <v>N</v>
      </c>
      <c r="R126" s="991">
        <f>input!H1138</f>
        <v>0</v>
      </c>
      <c r="S126" s="136" t="s">
        <v>287</v>
      </c>
      <c r="AC126" s="992"/>
      <c r="AD126" s="313"/>
      <c r="AF126" s="313"/>
      <c r="AT126" s="413">
        <f t="shared" si="1"/>
        <v>0</v>
      </c>
      <c r="AU126" s="136">
        <f ca="1">COUNTIFS(AT$7:$AT126,1)</f>
        <v>1</v>
      </c>
    </row>
    <row r="127" spans="2:47" ht="19.5" customHeight="1" outlineLevel="1">
      <c r="B127" s="1386" t="str">
        <f>input!C1139</f>
        <v>N</v>
      </c>
      <c r="C127" s="965" t="s">
        <v>1203</v>
      </c>
      <c r="D127" s="966" t="s">
        <v>1185</v>
      </c>
      <c r="E127" s="966"/>
      <c r="F127" s="1391">
        <f>SUMIFS(Paper!$N$7:$N$30,Paper!$A$7:$A$30,'Fix Cost'!B127)/10</f>
        <v>0</v>
      </c>
      <c r="G127" s="1391">
        <f>SUMIFS(Paper!$O$7:$O$30,Paper!$A$7:$A$30,'Fix Cost'!B127)/10</f>
        <v>0</v>
      </c>
      <c r="H127" s="966"/>
      <c r="I127" s="1389">
        <f>input!F1139</f>
        <v>0</v>
      </c>
      <c r="J127" s="1392">
        <f>+Data!$B$1037</f>
        <v>30</v>
      </c>
      <c r="K127" s="2611">
        <f t="shared" si="8"/>
        <v>0</v>
      </c>
      <c r="L127" s="2608">
        <f t="shared" si="7"/>
        <v>0</v>
      </c>
      <c r="M127" s="2609">
        <f t="shared" si="4"/>
        <v>0</v>
      </c>
      <c r="N127" s="1400">
        <f t="shared" si="6"/>
        <v>0</v>
      </c>
      <c r="P127" s="833" t="str">
        <f>input!$J$1139</f>
        <v>N</v>
      </c>
      <c r="R127" s="991">
        <f>input!H1139</f>
        <v>0</v>
      </c>
      <c r="S127" s="136" t="s">
        <v>287</v>
      </c>
      <c r="AC127" s="992"/>
      <c r="AD127" s="313"/>
      <c r="AF127" s="313"/>
      <c r="AT127" s="413">
        <f t="shared" si="1"/>
        <v>0</v>
      </c>
      <c r="AU127" s="136">
        <f ca="1">COUNTIFS(AT$7:$AT127,1)</f>
        <v>1</v>
      </c>
    </row>
    <row r="128" spans="2:47" ht="19.5" customHeight="1" outlineLevel="1">
      <c r="B128" s="1386" t="str">
        <f>input!C1140</f>
        <v>N</v>
      </c>
      <c r="C128" s="965" t="s">
        <v>1203</v>
      </c>
      <c r="D128" s="966" t="s">
        <v>1185</v>
      </c>
      <c r="E128" s="966"/>
      <c r="F128" s="1391">
        <f>SUMIFS(Paper!$N$7:$N$30,Paper!$A$7:$A$30,'Fix Cost'!B128)/10</f>
        <v>0</v>
      </c>
      <c r="G128" s="1391">
        <f>SUMIFS(Paper!$O$7:$O$30,Paper!$A$7:$A$30,'Fix Cost'!B128)/10</f>
        <v>0</v>
      </c>
      <c r="H128" s="966"/>
      <c r="I128" s="1389">
        <f>input!F1140</f>
        <v>0</v>
      </c>
      <c r="J128" s="1392">
        <f>+Data!$B$1037</f>
        <v>30</v>
      </c>
      <c r="K128" s="2611">
        <f t="shared" si="8"/>
        <v>0</v>
      </c>
      <c r="L128" s="2608">
        <f t="shared" si="7"/>
        <v>0</v>
      </c>
      <c r="M128" s="2609">
        <f t="shared" si="4"/>
        <v>0</v>
      </c>
      <c r="N128" s="1400">
        <f t="shared" si="6"/>
        <v>0</v>
      </c>
      <c r="P128" s="833" t="str">
        <f>input!$J$1140</f>
        <v>N</v>
      </c>
      <c r="R128" s="991">
        <f>input!H1140</f>
        <v>0</v>
      </c>
      <c r="S128" s="136" t="s">
        <v>287</v>
      </c>
      <c r="AC128" s="992"/>
      <c r="AD128" s="313"/>
      <c r="AF128" s="313"/>
      <c r="AT128" s="413">
        <f t="shared" si="1"/>
        <v>0</v>
      </c>
      <c r="AU128" s="136">
        <f ca="1">COUNTIFS(AT$7:$AT128,1)</f>
        <v>1</v>
      </c>
    </row>
    <row r="129" spans="1:47" ht="19.5" customHeight="1" outlineLevel="1">
      <c r="B129" s="1386" t="str">
        <f>input!C1141</f>
        <v>N</v>
      </c>
      <c r="C129" s="965" t="s">
        <v>1203</v>
      </c>
      <c r="D129" s="966" t="s">
        <v>1185</v>
      </c>
      <c r="E129" s="966"/>
      <c r="F129" s="1391">
        <f>SUMIFS(Paper!$N$7:$N$30,Paper!$A$7:$A$30,'Fix Cost'!B129)/10</f>
        <v>0</v>
      </c>
      <c r="G129" s="1391">
        <f>SUMIFS(Paper!$O$7:$O$30,Paper!$A$7:$A$30,'Fix Cost'!B129)/10</f>
        <v>0</v>
      </c>
      <c r="H129" s="966"/>
      <c r="I129" s="1389">
        <f>input!F1141</f>
        <v>0</v>
      </c>
      <c r="J129" s="1392">
        <f>+Data!$B$1037</f>
        <v>30</v>
      </c>
      <c r="K129" s="2611">
        <f t="shared" si="8"/>
        <v>0</v>
      </c>
      <c r="L129" s="2608">
        <f t="shared" si="7"/>
        <v>0</v>
      </c>
      <c r="M129" s="2609">
        <f t="shared" si="4"/>
        <v>0</v>
      </c>
      <c r="N129" s="1400">
        <f t="shared" si="6"/>
        <v>0</v>
      </c>
      <c r="P129" s="833" t="str">
        <f>input!$J$1141</f>
        <v>N</v>
      </c>
      <c r="R129" s="991">
        <f>input!H1141</f>
        <v>0</v>
      </c>
      <c r="S129" s="136" t="s">
        <v>287</v>
      </c>
      <c r="AC129" s="992"/>
      <c r="AD129" s="313"/>
      <c r="AF129" s="313"/>
      <c r="AT129" s="413">
        <f t="shared" si="1"/>
        <v>0</v>
      </c>
      <c r="AU129" s="136">
        <f ca="1">COUNTIFS(AT$7:$AT129,1)</f>
        <v>1</v>
      </c>
    </row>
    <row r="130" spans="1:47" ht="19.5" customHeight="1" outlineLevel="1">
      <c r="B130" s="1386" t="str">
        <f>input!C1142</f>
        <v>N</v>
      </c>
      <c r="C130" s="965" t="s">
        <v>1203</v>
      </c>
      <c r="D130" s="966" t="s">
        <v>1185</v>
      </c>
      <c r="E130" s="966"/>
      <c r="F130" s="1391">
        <f>SUMIFS(Paper!$N$7:$N$30,Paper!$A$7:$A$30,'Fix Cost'!B130)/10</f>
        <v>0</v>
      </c>
      <c r="G130" s="1391">
        <f>SUMIFS(Paper!$O$7:$O$30,Paper!$A$7:$A$30,'Fix Cost'!B130)/10</f>
        <v>0</v>
      </c>
      <c r="H130" s="966"/>
      <c r="I130" s="1389">
        <f>input!F1142</f>
        <v>0</v>
      </c>
      <c r="J130" s="1392">
        <f>+Data!$B$1037</f>
        <v>30</v>
      </c>
      <c r="K130" s="2611">
        <f t="shared" si="8"/>
        <v>0</v>
      </c>
      <c r="L130" s="2608">
        <f t="shared" si="7"/>
        <v>0</v>
      </c>
      <c r="M130" s="2609">
        <f t="shared" si="4"/>
        <v>0</v>
      </c>
      <c r="N130" s="1400">
        <f t="shared" si="6"/>
        <v>0</v>
      </c>
      <c r="P130" s="833" t="str">
        <f>input!$J$1142</f>
        <v>N</v>
      </c>
      <c r="R130" s="991">
        <f>input!H1142</f>
        <v>0</v>
      </c>
      <c r="S130" s="136" t="s">
        <v>287</v>
      </c>
      <c r="AC130" s="992"/>
      <c r="AD130" s="313"/>
      <c r="AF130" s="313"/>
      <c r="AT130" s="413">
        <f t="shared" si="1"/>
        <v>0</v>
      </c>
      <c r="AU130" s="136">
        <f ca="1">COUNTIFS(AT$7:$AT130,1)</f>
        <v>1</v>
      </c>
    </row>
    <row r="131" spans="1:47" ht="19.5" customHeight="1" outlineLevel="1">
      <c r="B131" s="1386" t="str">
        <f>input!C1143</f>
        <v>N</v>
      </c>
      <c r="C131" s="965" t="s">
        <v>1203</v>
      </c>
      <c r="D131" s="966" t="s">
        <v>1185</v>
      </c>
      <c r="E131" s="966"/>
      <c r="F131" s="1391">
        <f>SUMIFS(Paper!$N$7:$N$30,Paper!$A$7:$A$30,'Fix Cost'!B131)/10</f>
        <v>0</v>
      </c>
      <c r="G131" s="1391">
        <f>SUMIFS(Paper!$O$7:$O$30,Paper!$A$7:$A$30,'Fix Cost'!B131)/10</f>
        <v>0</v>
      </c>
      <c r="H131" s="966"/>
      <c r="I131" s="1389">
        <f>input!F1143</f>
        <v>0</v>
      </c>
      <c r="J131" s="1392">
        <f>+Data!$B$1037</f>
        <v>30</v>
      </c>
      <c r="K131" s="2611">
        <f t="shared" si="8"/>
        <v>0</v>
      </c>
      <c r="L131" s="2608">
        <f t="shared" si="7"/>
        <v>0</v>
      </c>
      <c r="M131" s="2609">
        <f t="shared" si="4"/>
        <v>0</v>
      </c>
      <c r="N131" s="1400">
        <f t="shared" si="6"/>
        <v>0</v>
      </c>
      <c r="P131" s="833" t="str">
        <f>input!$J$1143</f>
        <v>N</v>
      </c>
      <c r="R131" s="991">
        <f>input!H1143</f>
        <v>0</v>
      </c>
      <c r="S131" s="136" t="s">
        <v>287</v>
      </c>
      <c r="AD131" s="313"/>
      <c r="AF131" s="313"/>
      <c r="AT131" s="413">
        <f t="shared" si="1"/>
        <v>0</v>
      </c>
      <c r="AU131" s="136">
        <f ca="1">COUNTIFS(AT$7:$AT131,1)</f>
        <v>1</v>
      </c>
    </row>
    <row r="132" spans="1:47" ht="19.5" customHeight="1" outlineLevel="1">
      <c r="B132" s="1386" t="str">
        <f ca="1">input!C1144</f>
        <v>Box</v>
      </c>
      <c r="C132" s="965" t="s">
        <v>1205</v>
      </c>
      <c r="D132" s="966" t="s">
        <v>1206</v>
      </c>
      <c r="E132" s="966"/>
      <c r="F132" s="1393">
        <f ca="1">SUMIFS(Paper!$N$7:$N$30,Paper!$A$7:$A$30,'Fix Cost'!$B132)</f>
        <v>638</v>
      </c>
      <c r="G132" s="1393">
        <f ca="1">SUMIFS(Paper!$O$7:$O$30,Paper!$A$7:$A$30,'Fix Cost'!$B132)</f>
        <v>407</v>
      </c>
      <c r="H132" s="1394">
        <f ca="1">ROUNDUP(F132,-2)*ROUNDUP(G132,-2)/10^6*Data!$M$1032</f>
        <v>814158.97908979084</v>
      </c>
      <c r="I132" s="1389">
        <f ca="1">SUMIFS(Paper!$J$6:$J$29,Paper!$A$6:$A$29,'Fix Cost'!$B132)</f>
        <v>1</v>
      </c>
      <c r="J132" s="2891">
        <f ca="1">IF($B132="N",0,ROUNDUP((MAX($M$8,$L$8,$R132)*(1+$F$3)/VLOOKUP($B132,Paper!$A$7:$AB$30,9,0)*VLOOKUP($B132,Paper!$A$7:$AB$30,11,0)*(1+VLOOKUP($B132,Paper!$A$7:$AB$30,12,0)*$I132)+50*VLOOKUP($B132,Paper!$A$7:$AB$30,13,0)*$I132)/Data!$M$1023,0))</f>
        <v>1</v>
      </c>
      <c r="K132" s="2611">
        <f ca="1">IF($B132="N",0,$J132*$H132*$I132)</f>
        <v>814158.97908979084</v>
      </c>
      <c r="L132" s="2608">
        <f t="shared" ca="1" si="7"/>
        <v>0</v>
      </c>
      <c r="M132" s="2609">
        <f t="shared" ca="1" si="4"/>
        <v>8.1415897908979087</v>
      </c>
      <c r="N132" s="1400">
        <f ca="1">IF($M$8&gt;0,M132,L132)</f>
        <v>8.1415897908979087</v>
      </c>
      <c r="P132" s="833" t="str">
        <f ca="1">input!$J$1144</f>
        <v>Box</v>
      </c>
      <c r="R132" s="991">
        <f>input!H1144</f>
        <v>0</v>
      </c>
      <c r="S132" s="136" t="s">
        <v>287</v>
      </c>
      <c r="AB132" s="996"/>
      <c r="AC132" s="997"/>
      <c r="AD132" s="997"/>
      <c r="AE132" s="318"/>
      <c r="AF132" s="998"/>
      <c r="AT132" s="413">
        <f t="shared" ca="1" si="1"/>
        <v>1</v>
      </c>
      <c r="AU132" s="136">
        <f ca="1">COUNTIFS(AT$7:$AT132,1)</f>
        <v>2</v>
      </c>
    </row>
    <row r="133" spans="1:47" ht="19.5" customHeight="1" outlineLevel="1">
      <c r="B133" s="1386" t="str">
        <f ca="1">input!C1145</f>
        <v>N</v>
      </c>
      <c r="C133" s="965" t="s">
        <v>1205</v>
      </c>
      <c r="D133" s="966" t="s">
        <v>1206</v>
      </c>
      <c r="E133" s="966"/>
      <c r="F133" s="1393">
        <f ca="1">SUMIFS(Paper!$N$7:$N$30,Paper!$A$7:$A$30,'Fix Cost'!$B133)</f>
        <v>0</v>
      </c>
      <c r="G133" s="1393">
        <f ca="1">SUMIFS(Paper!$O$7:$O$30,Paper!$A$7:$A$30,'Fix Cost'!$B133)</f>
        <v>0</v>
      </c>
      <c r="H133" s="1394">
        <f ca="1">ROUNDUP(F133,-2)*ROUNDUP(G133,-2)/10^6*Data!$M$1032</f>
        <v>0</v>
      </c>
      <c r="I133" s="1389">
        <f ca="1">SUMIFS(Paper!$J$6:$J$29,Paper!$A$6:$A$29,'Fix Cost'!$B133)</f>
        <v>0</v>
      </c>
      <c r="J133" s="2891">
        <f ca="1">IF($B133="N",0,ROUNDUP((MAX($M$8,$L$8,$R133)*(1+$F$3)/VLOOKUP($B133,Paper!$A$7:$AB$30,9,0)*VLOOKUP($B133,Paper!$A$7:$AB$30,11,0)*(1+VLOOKUP($B133,Paper!$A$7:$AB$30,12,0)*$I133)+50*VLOOKUP($B133,Paper!$A$7:$AB$30,13,0)*$I133)/Data!$M$1023,0))</f>
        <v>0</v>
      </c>
      <c r="K133" s="2611">
        <f t="shared" ref="K133:K141" ca="1" si="9">IF($B133="N",0,$J133*$H133*$I133)</f>
        <v>0</v>
      </c>
      <c r="L133" s="2608">
        <f t="shared" ca="1" si="7"/>
        <v>0</v>
      </c>
      <c r="M133" s="2609">
        <f t="shared" ca="1" si="4"/>
        <v>0</v>
      </c>
      <c r="N133" s="1400">
        <f t="shared" ref="N133:N166" ca="1" si="10">IF($M$8&gt;0,M133,L133)</f>
        <v>0</v>
      </c>
      <c r="P133" s="833" t="str">
        <f ca="1">input!$J$1145</f>
        <v>N</v>
      </c>
      <c r="R133" s="991">
        <f>input!H1145</f>
        <v>0</v>
      </c>
      <c r="S133" s="136" t="s">
        <v>287</v>
      </c>
      <c r="AB133" s="996"/>
      <c r="AC133" s="997"/>
      <c r="AD133" s="997"/>
      <c r="AE133" s="318"/>
      <c r="AF133" s="998"/>
      <c r="AT133" s="413">
        <f t="shared" ca="1" si="1"/>
        <v>0</v>
      </c>
      <c r="AU133" s="136">
        <f ca="1">COUNTIFS(AT$7:$AT133,1)</f>
        <v>2</v>
      </c>
    </row>
    <row r="134" spans="1:47" ht="19.5" customHeight="1" outlineLevel="1">
      <c r="B134" s="1386" t="str">
        <f ca="1">input!C1146</f>
        <v>N</v>
      </c>
      <c r="C134" s="965" t="s">
        <v>1205</v>
      </c>
      <c r="D134" s="966" t="s">
        <v>1206</v>
      </c>
      <c r="E134" s="966"/>
      <c r="F134" s="1393">
        <f ca="1">SUMIFS(Paper!$N$7:$N$30,Paper!$A$7:$A$30,'Fix Cost'!$B134)</f>
        <v>0</v>
      </c>
      <c r="G134" s="1393">
        <f ca="1">SUMIFS(Paper!$O$7:$O$30,Paper!$A$7:$A$30,'Fix Cost'!$B134)</f>
        <v>0</v>
      </c>
      <c r="H134" s="1394">
        <f ca="1">ROUNDUP(F134,-2)*ROUNDUP(G134,-2)/10^6*Data!$M$1032</f>
        <v>0</v>
      </c>
      <c r="I134" s="1389">
        <f ca="1">SUMIFS(Paper!$J$6:$J$29,Paper!$A$6:$A$29,'Fix Cost'!$B134)</f>
        <v>0</v>
      </c>
      <c r="J134" s="2891">
        <f ca="1">IF($B134="N",0,ROUNDUP((MAX($M$8,$L$8,$R134)*(1+$F$3)/VLOOKUP($B134,Paper!$A$7:$AB$30,9,0)*VLOOKUP($B134,Paper!$A$7:$AB$30,11,0)*(1+VLOOKUP($B134,Paper!$A$7:$AB$30,12,0)*$I134)+50*VLOOKUP($B134,Paper!$A$7:$AB$30,13,0)*$I134)/Data!$M$1023,0))</f>
        <v>0</v>
      </c>
      <c r="K134" s="2611">
        <f t="shared" ca="1" si="9"/>
        <v>0</v>
      </c>
      <c r="L134" s="2608">
        <f t="shared" ca="1" si="7"/>
        <v>0</v>
      </c>
      <c r="M134" s="2609">
        <f t="shared" ca="1" si="4"/>
        <v>0</v>
      </c>
      <c r="N134" s="1400">
        <f t="shared" ca="1" si="10"/>
        <v>0</v>
      </c>
      <c r="P134" s="833" t="str">
        <f ca="1">input!$J$1146</f>
        <v>N</v>
      </c>
      <c r="R134" s="991">
        <f>input!H1146</f>
        <v>0</v>
      </c>
      <c r="S134" s="136" t="s">
        <v>287</v>
      </c>
      <c r="AB134" s="996"/>
      <c r="AC134" s="997"/>
      <c r="AD134" s="997"/>
      <c r="AE134" s="318"/>
      <c r="AF134" s="998"/>
      <c r="AT134" s="413">
        <f t="shared" ca="1" si="1"/>
        <v>0</v>
      </c>
      <c r="AU134" s="136">
        <f ca="1">COUNTIFS(AT$7:$AT134,1)</f>
        <v>2</v>
      </c>
    </row>
    <row r="135" spans="1:47" ht="19.5" customHeight="1" outlineLevel="1">
      <c r="B135" s="1386" t="str">
        <f ca="1">input!C1147</f>
        <v>N</v>
      </c>
      <c r="C135" s="965" t="s">
        <v>1205</v>
      </c>
      <c r="D135" s="966" t="s">
        <v>1206</v>
      </c>
      <c r="E135" s="966"/>
      <c r="F135" s="1393">
        <f ca="1">SUMIFS(Paper!$N$7:$N$30,Paper!$A$7:$A$30,'Fix Cost'!$B135)</f>
        <v>0</v>
      </c>
      <c r="G135" s="1393">
        <f ca="1">SUMIFS(Paper!$O$7:$O$30,Paper!$A$7:$A$30,'Fix Cost'!$B135)</f>
        <v>0</v>
      </c>
      <c r="H135" s="1394">
        <f ca="1">ROUNDUP(F135,-2)*ROUNDUP(G135,-2)/10^6*Data!$M$1032</f>
        <v>0</v>
      </c>
      <c r="I135" s="1389">
        <f ca="1">SUMIFS(Paper!$J$6:$J$29,Paper!$A$6:$A$29,'Fix Cost'!$B135)</f>
        <v>0</v>
      </c>
      <c r="J135" s="2891">
        <f ca="1">IF($B135="N",0,ROUNDUP((MAX($M$8,$L$8,$R135)*(1+$F$3)/VLOOKUP($B135,Paper!$A$7:$AB$30,9,0)*VLOOKUP($B135,Paper!$A$7:$AB$30,11,0)*(1+VLOOKUP($B135,Paper!$A$7:$AB$30,12,0)*$I135)+50*VLOOKUP($B135,Paper!$A$7:$AB$30,13,0)*$I135)/Data!$M$1023,0))</f>
        <v>0</v>
      </c>
      <c r="K135" s="2611">
        <f t="shared" ca="1" si="9"/>
        <v>0</v>
      </c>
      <c r="L135" s="2608">
        <f t="shared" ca="1" si="7"/>
        <v>0</v>
      </c>
      <c r="M135" s="2609">
        <f t="shared" ca="1" si="4"/>
        <v>0</v>
      </c>
      <c r="N135" s="1400">
        <f t="shared" ca="1" si="10"/>
        <v>0</v>
      </c>
      <c r="P135" s="833" t="str">
        <f ca="1">input!$J$1147</f>
        <v>N</v>
      </c>
      <c r="R135" s="991">
        <f>input!H1147</f>
        <v>0</v>
      </c>
      <c r="S135" s="136" t="s">
        <v>287</v>
      </c>
      <c r="AB135" s="996"/>
      <c r="AC135" s="997"/>
      <c r="AD135" s="997"/>
      <c r="AE135" s="318"/>
      <c r="AF135" s="998"/>
      <c r="AT135" s="413">
        <f t="shared" ca="1" si="1"/>
        <v>0</v>
      </c>
      <c r="AU135" s="136">
        <f ca="1">COUNTIFS(AT$7:$AT135,1)</f>
        <v>2</v>
      </c>
    </row>
    <row r="136" spans="1:47" ht="19.5" customHeight="1" outlineLevel="1">
      <c r="B136" s="1386" t="str">
        <f ca="1">input!C1148</f>
        <v>N</v>
      </c>
      <c r="C136" s="965" t="s">
        <v>1205</v>
      </c>
      <c r="D136" s="966" t="s">
        <v>1206</v>
      </c>
      <c r="E136" s="966"/>
      <c r="F136" s="1393">
        <f ca="1">SUMIFS(Paper!$N$7:$N$30,Paper!$A$7:$A$30,'Fix Cost'!$B136)</f>
        <v>0</v>
      </c>
      <c r="G136" s="1393">
        <f ca="1">SUMIFS(Paper!$O$7:$O$30,Paper!$A$7:$A$30,'Fix Cost'!$B136)</f>
        <v>0</v>
      </c>
      <c r="H136" s="1394">
        <f ca="1">ROUNDUP(F136,-2)*ROUNDUP(G136,-2)/10^6*Data!$M$1032</f>
        <v>0</v>
      </c>
      <c r="I136" s="1389">
        <f ca="1">SUMIFS(Paper!$J$6:$J$29,Paper!$A$6:$A$29,'Fix Cost'!$B136)</f>
        <v>0</v>
      </c>
      <c r="J136" s="2891">
        <f ca="1">IF($B136="N",0,ROUNDUP((MAX($M$8,$L$8,$R136)*(1+$F$3)/VLOOKUP($B136,Paper!$A$7:$AB$30,9,0)*VLOOKUP($B136,Paper!$A$7:$AB$30,11,0)*(1+VLOOKUP($B136,Paper!$A$7:$AB$30,12,0)*$I136)+50*VLOOKUP($B136,Paper!$A$7:$AB$30,13,0)*$I136)/Data!$M$1023,0))</f>
        <v>0</v>
      </c>
      <c r="K136" s="2611">
        <f t="shared" ca="1" si="9"/>
        <v>0</v>
      </c>
      <c r="L136" s="2608">
        <f t="shared" ca="1" si="7"/>
        <v>0</v>
      </c>
      <c r="M136" s="2609">
        <f t="shared" ca="1" si="4"/>
        <v>0</v>
      </c>
      <c r="N136" s="1400">
        <f t="shared" ca="1" si="10"/>
        <v>0</v>
      </c>
      <c r="P136" s="833" t="str">
        <f ca="1">input!$J$1148</f>
        <v>N</v>
      </c>
      <c r="R136" s="991">
        <f>input!H1148</f>
        <v>0</v>
      </c>
      <c r="S136" s="136" t="s">
        <v>287</v>
      </c>
      <c r="AB136" s="996"/>
      <c r="AC136" s="997"/>
      <c r="AD136" s="997"/>
      <c r="AE136" s="318"/>
      <c r="AF136" s="998"/>
      <c r="AT136" s="413">
        <f t="shared" ca="1" si="1"/>
        <v>0</v>
      </c>
      <c r="AU136" s="136">
        <f ca="1">COUNTIFS(AT$7:$AT136,1)</f>
        <v>2</v>
      </c>
    </row>
    <row r="137" spans="1:47" ht="19.5" customHeight="1" outlineLevel="1">
      <c r="B137" s="1386" t="str">
        <f ca="1">input!C1149</f>
        <v>N</v>
      </c>
      <c r="C137" s="965" t="s">
        <v>1205</v>
      </c>
      <c r="D137" s="966" t="s">
        <v>1206</v>
      </c>
      <c r="E137" s="966"/>
      <c r="F137" s="1393">
        <f ca="1">SUMIFS(Paper!$N$7:$N$30,Paper!$A$7:$A$30,'Fix Cost'!$B137)</f>
        <v>0</v>
      </c>
      <c r="G137" s="1393">
        <f ca="1">SUMIFS(Paper!$O$7:$O$30,Paper!$A$7:$A$30,'Fix Cost'!$B137)</f>
        <v>0</v>
      </c>
      <c r="H137" s="1394">
        <f ca="1">ROUNDUP(F137,-2)*ROUNDUP(G137,-2)/10^6*Data!$M$1032</f>
        <v>0</v>
      </c>
      <c r="I137" s="1389">
        <f ca="1">SUMIFS(Paper!$J$6:$J$29,Paper!$A$6:$A$29,'Fix Cost'!$B137)</f>
        <v>0</v>
      </c>
      <c r="J137" s="2891">
        <f ca="1">IF($B137="N",0,ROUNDUP((MAX($M$8,$L$8,$R137)*(1+$F$3)/VLOOKUP($B137,Paper!$A$7:$AB$30,9,0)*VLOOKUP($B137,Paper!$A$7:$AB$30,11,0)*(1+VLOOKUP($B137,Paper!$A$7:$AB$30,12,0)*$I137)+50*VLOOKUP($B137,Paper!$A$7:$AB$30,13,0)*$I137)/Data!$M$1023,0))</f>
        <v>0</v>
      </c>
      <c r="K137" s="2611">
        <f t="shared" ca="1" si="9"/>
        <v>0</v>
      </c>
      <c r="L137" s="2608">
        <f t="shared" ca="1" si="7"/>
        <v>0</v>
      </c>
      <c r="M137" s="2609">
        <f t="shared" ca="1" si="4"/>
        <v>0</v>
      </c>
      <c r="N137" s="1400">
        <f t="shared" ca="1" si="10"/>
        <v>0</v>
      </c>
      <c r="P137" s="833" t="str">
        <f ca="1">input!$J$1149</f>
        <v>N</v>
      </c>
      <c r="R137" s="991">
        <f>input!H1149</f>
        <v>0</v>
      </c>
      <c r="S137" s="136" t="s">
        <v>287</v>
      </c>
      <c r="AB137" s="996"/>
      <c r="AC137" s="997"/>
      <c r="AD137" s="997"/>
      <c r="AE137" s="318"/>
      <c r="AF137" s="998"/>
      <c r="AT137" s="413">
        <f t="shared" ca="1" si="1"/>
        <v>0</v>
      </c>
      <c r="AU137" s="136">
        <f ca="1">COUNTIFS(AT$7:$AT137,1)</f>
        <v>2</v>
      </c>
    </row>
    <row r="138" spans="1:47" ht="19.5" customHeight="1" outlineLevel="1">
      <c r="B138" s="1386" t="str">
        <f ca="1">input!C1150</f>
        <v>N</v>
      </c>
      <c r="C138" s="965" t="s">
        <v>1205</v>
      </c>
      <c r="D138" s="966" t="s">
        <v>1206</v>
      </c>
      <c r="E138" s="966"/>
      <c r="F138" s="1393">
        <f ca="1">SUMIFS(Paper!$N$7:$N$30,Paper!$A$7:$A$30,'Fix Cost'!$B138)</f>
        <v>0</v>
      </c>
      <c r="G138" s="1393">
        <f ca="1">SUMIFS(Paper!$O$7:$O$30,Paper!$A$7:$A$30,'Fix Cost'!$B138)</f>
        <v>0</v>
      </c>
      <c r="H138" s="1394">
        <f ca="1">ROUNDUP(F138,-2)*ROUNDUP(G138,-2)/10^6*Data!$M$1032</f>
        <v>0</v>
      </c>
      <c r="I138" s="1389">
        <f ca="1">SUMIFS(Paper!$J$6:$J$29,Paper!$A$6:$A$29,'Fix Cost'!$B138)</f>
        <v>0</v>
      </c>
      <c r="J138" s="2891">
        <f ca="1">IF($B138="N",0,ROUNDUP((MAX($M$8,$L$8,$R138)*(1+$F$3)/VLOOKUP($B138,Paper!$A$7:$AB$30,9,0)*VLOOKUP($B138,Paper!$A$7:$AB$30,11,0)*(1+VLOOKUP($B138,Paper!$A$7:$AB$30,12,0)*$I138)+50*VLOOKUP($B138,Paper!$A$7:$AB$30,13,0)*$I138)/Data!$M$1023,0))</f>
        <v>0</v>
      </c>
      <c r="K138" s="2611">
        <f t="shared" ca="1" si="9"/>
        <v>0</v>
      </c>
      <c r="L138" s="2608">
        <f t="shared" ca="1" si="7"/>
        <v>0</v>
      </c>
      <c r="M138" s="2609">
        <f t="shared" ca="1" si="4"/>
        <v>0</v>
      </c>
      <c r="N138" s="1400">
        <f t="shared" ca="1" si="10"/>
        <v>0</v>
      </c>
      <c r="P138" s="833" t="str">
        <f ca="1">input!$J$1150</f>
        <v>N</v>
      </c>
      <c r="R138" s="991">
        <f>input!H1150</f>
        <v>0</v>
      </c>
      <c r="S138" s="136" t="s">
        <v>287</v>
      </c>
      <c r="AB138" s="996"/>
      <c r="AC138" s="997"/>
      <c r="AD138" s="997"/>
      <c r="AE138" s="318"/>
      <c r="AF138" s="998"/>
      <c r="AT138" s="413">
        <f t="shared" ref="AT138:AT167" ca="1" si="11">IF(ISNUMBER(N138),IF(N138&lt;&gt;0,IF(ISNUMBER(SEARCH("to",GL138)),0,1),0),"")</f>
        <v>0</v>
      </c>
      <c r="AU138" s="136">
        <f ca="1">COUNTIFS(AT$7:$AT138,1)</f>
        <v>2</v>
      </c>
    </row>
    <row r="139" spans="1:47" ht="19.5" customHeight="1" outlineLevel="1">
      <c r="B139" s="1386" t="str">
        <f ca="1">input!C1151</f>
        <v>N</v>
      </c>
      <c r="C139" s="965" t="s">
        <v>1205</v>
      </c>
      <c r="D139" s="966" t="s">
        <v>1206</v>
      </c>
      <c r="E139" s="966"/>
      <c r="F139" s="1393">
        <f ca="1">SUMIFS(Paper!$N$7:$N$30,Paper!$A$7:$A$30,'Fix Cost'!$B139)</f>
        <v>0</v>
      </c>
      <c r="G139" s="1393">
        <f ca="1">SUMIFS(Paper!$O$7:$O$30,Paper!$A$7:$A$30,'Fix Cost'!$B139)</f>
        <v>0</v>
      </c>
      <c r="H139" s="1394">
        <f ca="1">ROUNDUP(F139,-2)*ROUNDUP(G139,-2)/10^6*Data!$M$1032</f>
        <v>0</v>
      </c>
      <c r="I139" s="1389">
        <f ca="1">SUMIFS(Paper!$J$6:$J$29,Paper!$A$6:$A$29,'Fix Cost'!$B139)</f>
        <v>0</v>
      </c>
      <c r="J139" s="2891">
        <f ca="1">IF($B139="N",0,ROUNDUP((MAX($M$8,$L$8,$R139)*(1+$F$3)/VLOOKUP($B139,Paper!$A$7:$AB$30,9,0)*VLOOKUP($B139,Paper!$A$7:$AB$30,11,0)*(1+VLOOKUP($B139,Paper!$A$7:$AB$30,12,0)*$I139)+50*VLOOKUP($B139,Paper!$A$7:$AB$30,13,0)*$I139)/Data!$M$1023,0))</f>
        <v>0</v>
      </c>
      <c r="K139" s="2611">
        <f t="shared" ca="1" si="9"/>
        <v>0</v>
      </c>
      <c r="L139" s="2608">
        <f t="shared" ca="1" si="7"/>
        <v>0</v>
      </c>
      <c r="M139" s="2609">
        <f t="shared" ca="1" si="4"/>
        <v>0</v>
      </c>
      <c r="N139" s="1400">
        <f t="shared" ca="1" si="10"/>
        <v>0</v>
      </c>
      <c r="P139" s="833" t="str">
        <f ca="1">input!$J$1151</f>
        <v>N</v>
      </c>
      <c r="R139" s="991">
        <f>input!H1151</f>
        <v>0</v>
      </c>
      <c r="S139" s="136" t="s">
        <v>287</v>
      </c>
      <c r="AB139" s="996"/>
      <c r="AC139" s="997"/>
      <c r="AD139" s="997"/>
      <c r="AE139" s="318"/>
      <c r="AF139" s="998"/>
      <c r="AT139" s="413">
        <f t="shared" ca="1" si="11"/>
        <v>0</v>
      </c>
      <c r="AU139" s="136">
        <f ca="1">COUNTIFS(AT$7:$AT139,1)</f>
        <v>2</v>
      </c>
    </row>
    <row r="140" spans="1:47" ht="19.5" customHeight="1" outlineLevel="1">
      <c r="B140" s="1386" t="str">
        <f ca="1">input!C1152</f>
        <v>N</v>
      </c>
      <c r="C140" s="965" t="s">
        <v>1205</v>
      </c>
      <c r="D140" s="966" t="s">
        <v>1206</v>
      </c>
      <c r="E140" s="966"/>
      <c r="F140" s="1393">
        <f ca="1">SUMIFS(Paper!$N$7:$N$30,Paper!$A$7:$A$30,'Fix Cost'!$B140)</f>
        <v>0</v>
      </c>
      <c r="G140" s="1393">
        <f ca="1">SUMIFS(Paper!$O$7:$O$30,Paper!$A$7:$A$30,'Fix Cost'!$B140)</f>
        <v>0</v>
      </c>
      <c r="H140" s="1394">
        <f ca="1">ROUNDUP(F140,-2)*ROUNDUP(G140,-2)/10^6*Data!$M$1032</f>
        <v>0</v>
      </c>
      <c r="I140" s="1389">
        <f ca="1">SUMIFS(Paper!$J$6:$J$29,Paper!$A$6:$A$29,'Fix Cost'!$B140)</f>
        <v>0</v>
      </c>
      <c r="J140" s="2891">
        <f ca="1">IF($B140="N",0,ROUNDUP((MAX($M$8,$L$8,$R140)*(1+$F$3)/VLOOKUP($B140,Paper!$A$7:$AB$30,9,0)*VLOOKUP($B140,Paper!$A$7:$AB$30,11,0)*(1+VLOOKUP($B140,Paper!$A$7:$AB$30,12,0)*$I140)+50*VLOOKUP($B140,Paper!$A$7:$AB$30,13,0)*$I140)/Data!$M$1023,0))</f>
        <v>0</v>
      </c>
      <c r="K140" s="2611">
        <f t="shared" ca="1" si="9"/>
        <v>0</v>
      </c>
      <c r="L140" s="2608">
        <f t="shared" ca="1" si="7"/>
        <v>0</v>
      </c>
      <c r="M140" s="2609">
        <f t="shared" ca="1" si="4"/>
        <v>0</v>
      </c>
      <c r="N140" s="1400">
        <f t="shared" ca="1" si="10"/>
        <v>0</v>
      </c>
      <c r="P140" s="833" t="str">
        <f ca="1">input!$J$1152</f>
        <v>N</v>
      </c>
      <c r="R140" s="991">
        <f>input!H1152</f>
        <v>0</v>
      </c>
      <c r="S140" s="136" t="s">
        <v>287</v>
      </c>
      <c r="AB140" s="996"/>
      <c r="AC140" s="997"/>
      <c r="AD140" s="997"/>
      <c r="AE140" s="318"/>
      <c r="AF140" s="998"/>
      <c r="AT140" s="413">
        <f t="shared" ca="1" si="11"/>
        <v>0</v>
      </c>
      <c r="AU140" s="136">
        <f ca="1">COUNTIFS(AT$7:$AT140,1)</f>
        <v>2</v>
      </c>
    </row>
    <row r="141" spans="1:47" ht="19.5" customHeight="1" outlineLevel="1">
      <c r="B141" s="1386" t="str">
        <f ca="1">input!C1153</f>
        <v>N</v>
      </c>
      <c r="C141" s="965" t="s">
        <v>1205</v>
      </c>
      <c r="D141" s="1395" t="s">
        <v>1206</v>
      </c>
      <c r="E141" s="1395"/>
      <c r="F141" s="1393">
        <f ca="1">SUMIFS(Paper!$N$7:$N$30,Paper!$A$7:$A$30,'Fix Cost'!$B141)</f>
        <v>0</v>
      </c>
      <c r="G141" s="1393">
        <f ca="1">SUMIFS(Paper!$O$7:$O$30,Paper!$A$7:$A$30,'Fix Cost'!$B141)</f>
        <v>0</v>
      </c>
      <c r="H141" s="1396">
        <f ca="1">ROUNDUP(F141,-2)*ROUNDUP(G141,-2)/10^6*Data!$M$1032</f>
        <v>0</v>
      </c>
      <c r="I141" s="1397">
        <f ca="1">SUMIFS(Paper!$J$6:$J$29,Paper!$A$6:$A$29,'Fix Cost'!$B141)</f>
        <v>0</v>
      </c>
      <c r="J141" s="2891">
        <f ca="1">IF($B141="N",0,ROUNDUP((MAX($M$8,$L$8,$R141)*(1+$F$3)/VLOOKUP($B141,Paper!$A$7:$AB$30,9,0)*VLOOKUP($B141,Paper!$A$7:$AB$30,11,0)*(1+VLOOKUP($B141,Paper!$A$7:$AB$30,12,0)*$I141)+50*VLOOKUP($B141,Paper!$A$7:$AB$30,13,0)*$I141)/Data!$M$1023,0))</f>
        <v>0</v>
      </c>
      <c r="K141" s="2612">
        <f t="shared" ca="1" si="9"/>
        <v>0</v>
      </c>
      <c r="L141" s="2608">
        <f t="shared" ca="1" si="7"/>
        <v>0</v>
      </c>
      <c r="M141" s="2609">
        <f t="shared" ca="1" si="4"/>
        <v>0</v>
      </c>
      <c r="N141" s="1400">
        <f t="shared" ca="1" si="10"/>
        <v>0</v>
      </c>
      <c r="P141" s="833" t="str">
        <f ca="1">input!$J$1153</f>
        <v>N</v>
      </c>
      <c r="R141" s="991">
        <f>input!H1153</f>
        <v>0</v>
      </c>
      <c r="S141" s="136" t="s">
        <v>287</v>
      </c>
      <c r="AB141" s="318"/>
      <c r="AC141" s="997"/>
      <c r="AD141" s="997"/>
      <c r="AE141" s="318"/>
      <c r="AF141" s="998"/>
      <c r="AG141" s="998"/>
      <c r="AH141" s="998"/>
      <c r="AI141" s="998"/>
      <c r="AJ141" s="998"/>
      <c r="AO141" s="998"/>
      <c r="AT141" s="413">
        <f t="shared" ca="1" si="11"/>
        <v>0</v>
      </c>
      <c r="AU141" s="136">
        <f ca="1">COUNTIFS(AT$7:$AT141,1)</f>
        <v>2</v>
      </c>
    </row>
    <row r="142" spans="1:47" ht="19.5" customHeight="1">
      <c r="B142" s="1402" t="str">
        <f ca="1">input!$C$1154</f>
        <v>N</v>
      </c>
      <c r="C142" s="1403" t="s">
        <v>1207</v>
      </c>
      <c r="D142" s="1401" t="s">
        <v>1175</v>
      </c>
      <c r="E142" s="990"/>
      <c r="F142" s="999">
        <f>Data!$M$1033</f>
        <v>1650000</v>
      </c>
      <c r="G142" s="999" t="s">
        <v>92</v>
      </c>
      <c r="H142" s="1398"/>
      <c r="I142" s="1399">
        <f ca="1">SUMIFS(Paper!$J$6:$J$29,Paper!$A$6:$A$29,'Fix Cost'!$B142)</f>
        <v>0</v>
      </c>
      <c r="J142" s="2610">
        <f ca="1">IF($B142="N",0,ROUNDUP(MAX($M$8,$L$8,$R142)*(1+$F$3)/VLOOKUP($B142,Paper!$A$7:$AB$30,9,0)*VLOOKUP($B142,Paper!$A$7:$AB$30,11,0)*(1+VLOOKUP($B142,Paper!$A$7:$AB$30,12,0))/Data!$M$1022,0))</f>
        <v>0</v>
      </c>
      <c r="K142" s="2613">
        <f ca="1">IF($B142="N",0,$J142*$F142*$I142)</f>
        <v>0</v>
      </c>
      <c r="L142" s="2608">
        <f t="shared" ca="1" si="7"/>
        <v>0</v>
      </c>
      <c r="M142" s="2609">
        <f t="shared" ca="1" si="4"/>
        <v>0</v>
      </c>
      <c r="N142" s="1400">
        <f t="shared" ca="1" si="10"/>
        <v>0</v>
      </c>
      <c r="P142" s="833" t="str">
        <f ca="1">input!$J$1154</f>
        <v>N</v>
      </c>
      <c r="R142" s="991">
        <f>input!$H$1154</f>
        <v>0</v>
      </c>
      <c r="S142" s="136" t="s">
        <v>287</v>
      </c>
      <c r="AB142" s="318"/>
      <c r="AC142" s="997"/>
      <c r="AD142" s="997"/>
      <c r="AE142" s="318"/>
      <c r="AF142" s="998"/>
      <c r="AG142" s="998"/>
      <c r="AH142" s="998"/>
      <c r="AI142" s="998"/>
      <c r="AJ142" s="998"/>
      <c r="AO142" s="998"/>
      <c r="AT142" s="413">
        <f t="shared" ca="1" si="11"/>
        <v>0</v>
      </c>
      <c r="AU142" s="136">
        <f ca="1">COUNTIFS(AT$7:$AT142,1)</f>
        <v>2</v>
      </c>
    </row>
    <row r="143" spans="1:47" ht="19.5" customHeight="1">
      <c r="A143" s="333"/>
      <c r="B143" s="1404"/>
      <c r="C143" s="1405"/>
      <c r="D143" s="1401" t="s">
        <v>1177</v>
      </c>
      <c r="E143" s="990"/>
      <c r="F143" s="999" t="e">
        <f ca="1">Data!$M$1034*SUMIF(Paper!$A$7:$A$29,'Fix Cost'!$B142,Paper!$AC$7:$AC$29)/$I143/Data!$M$1024</f>
        <v>#DIV/0!</v>
      </c>
      <c r="G143" s="999" t="s">
        <v>92</v>
      </c>
      <c r="H143" s="1398"/>
      <c r="I143" s="1399">
        <f ca="1">I142</f>
        <v>0</v>
      </c>
      <c r="J143" s="2597"/>
      <c r="K143" s="2613">
        <f ca="1">IF($B142="N",0,$F143*$I143)</f>
        <v>0</v>
      </c>
      <c r="L143" s="2620">
        <f ca="1">IF($B142="N",0,IF($M$8&gt;0,0,$K143/$D$2))</f>
        <v>0</v>
      </c>
      <c r="M143" s="2621">
        <f ca="1">IF($B142="N",0,IF($M$8&gt;0,$K143/$D$2,0))</f>
        <v>0</v>
      </c>
      <c r="N143" s="1400">
        <f t="shared" ca="1" si="10"/>
        <v>0</v>
      </c>
      <c r="P143" s="833" t="str">
        <f ca="1">$P$142</f>
        <v>N</v>
      </c>
      <c r="AB143" s="318"/>
      <c r="AC143" s="997"/>
      <c r="AD143" s="997"/>
      <c r="AE143" s="318"/>
      <c r="AF143" s="998"/>
      <c r="AG143" s="998"/>
      <c r="AH143" s="998"/>
      <c r="AI143" s="998"/>
      <c r="AJ143" s="998"/>
      <c r="AO143" s="998"/>
      <c r="AT143" s="413">
        <f t="shared" ca="1" si="11"/>
        <v>0</v>
      </c>
      <c r="AU143" s="136">
        <f ca="1">COUNTIFS(AT$7:$AT143,1)</f>
        <v>2</v>
      </c>
    </row>
    <row r="144" spans="1:47" ht="19.5" customHeight="1">
      <c r="A144" s="333"/>
      <c r="B144" s="1402" t="str">
        <f ca="1">input!$C$1155</f>
        <v>N</v>
      </c>
      <c r="C144" s="1403" t="s">
        <v>1207</v>
      </c>
      <c r="D144" s="1401" t="s">
        <v>1175</v>
      </c>
      <c r="E144" s="990"/>
      <c r="F144" s="999">
        <f>Data!$M$1033</f>
        <v>1650000</v>
      </c>
      <c r="G144" s="999" t="s">
        <v>92</v>
      </c>
      <c r="H144" s="1398"/>
      <c r="I144" s="1399">
        <f ca="1">SUMIFS(Paper!$J$6:$J$29,Paper!$A$6:$A$29,'Fix Cost'!$B144)</f>
        <v>0</v>
      </c>
      <c r="J144" s="2610">
        <f ca="1">IF($B144="N",0,ROUNDUP(MAX($M$8,$L$8,$R144)*(1+$F$3)/VLOOKUP($B144,Paper!$A$7:$AB$30,9,0)*VLOOKUP($B144,Paper!$A$7:$AB$30,11,0)*(1+VLOOKUP($B144,Paper!$A$7:$AB$30,12,0))/Data!$M$1022,0))</f>
        <v>0</v>
      </c>
      <c r="K144" s="2613">
        <f ca="1">IF($B144="N",0,$J144*$F144*$I144)</f>
        <v>0</v>
      </c>
      <c r="L144" s="2608">
        <f t="shared" ca="1" si="7"/>
        <v>0</v>
      </c>
      <c r="M144" s="2609">
        <f t="shared" ca="1" si="4"/>
        <v>0</v>
      </c>
      <c r="N144" s="1400">
        <f t="shared" ca="1" si="10"/>
        <v>0</v>
      </c>
      <c r="P144" s="833" t="str">
        <f ca="1">input!$J$1155</f>
        <v>N</v>
      </c>
      <c r="R144" s="991">
        <f>input!$H$1155</f>
        <v>0</v>
      </c>
      <c r="S144" s="136" t="s">
        <v>287</v>
      </c>
      <c r="AB144" s="318"/>
      <c r="AC144" s="997"/>
      <c r="AD144" s="997"/>
      <c r="AE144" s="318"/>
      <c r="AF144" s="998"/>
      <c r="AG144" s="998"/>
      <c r="AH144" s="998"/>
      <c r="AI144" s="998"/>
      <c r="AJ144" s="998"/>
      <c r="AO144" s="998"/>
      <c r="AT144" s="413">
        <f t="shared" ca="1" si="11"/>
        <v>0</v>
      </c>
      <c r="AU144" s="136">
        <f ca="1">COUNTIFS(AT$7:$AT144,1)</f>
        <v>2</v>
      </c>
    </row>
    <row r="145" spans="1:47" ht="19.5" customHeight="1">
      <c r="A145" s="333"/>
      <c r="B145" s="1404"/>
      <c r="C145" s="1405"/>
      <c r="D145" s="1401" t="s">
        <v>1177</v>
      </c>
      <c r="E145" s="990"/>
      <c r="F145" s="999" t="e">
        <f ca="1">Data!$M$1034*SUMIF(Paper!$A$7:$A$29,'Fix Cost'!$B144,Paper!$AC$7:$AC$29)/$I145/Data!$M$1024</f>
        <v>#DIV/0!</v>
      </c>
      <c r="G145" s="999" t="s">
        <v>92</v>
      </c>
      <c r="H145" s="1398"/>
      <c r="I145" s="1399">
        <f ca="1">I144</f>
        <v>0</v>
      </c>
      <c r="J145" s="2597"/>
      <c r="K145" s="2613">
        <f ca="1">IF($B144="N",0,$F145*$I145)</f>
        <v>0</v>
      </c>
      <c r="L145" s="2620">
        <f ca="1">IF($B144="N",0,IF($M$8&gt;0,0,$K145/$D$2))</f>
        <v>0</v>
      </c>
      <c r="M145" s="2621">
        <f ca="1">IF($B144="N",0,IF($M$8&gt;0,$K145/$D$2,0))</f>
        <v>0</v>
      </c>
      <c r="N145" s="1400">
        <f t="shared" ca="1" si="10"/>
        <v>0</v>
      </c>
      <c r="P145" s="833" t="str">
        <f ca="1">$P$144</f>
        <v>N</v>
      </c>
      <c r="AB145" s="318"/>
      <c r="AC145" s="997"/>
      <c r="AD145" s="997"/>
      <c r="AE145" s="318"/>
      <c r="AF145" s="998"/>
      <c r="AG145" s="998"/>
      <c r="AH145" s="998"/>
      <c r="AI145" s="998"/>
      <c r="AJ145" s="998"/>
      <c r="AO145" s="998"/>
      <c r="AT145" s="413">
        <f t="shared" ca="1" si="11"/>
        <v>0</v>
      </c>
      <c r="AU145" s="136">
        <f ca="1">COUNTIFS(AT$7:$AT145,1)</f>
        <v>2</v>
      </c>
    </row>
    <row r="146" spans="1:47" ht="19.5" customHeight="1">
      <c r="A146" s="333"/>
      <c r="B146" s="1402" t="str">
        <f ca="1">input!$C$1156</f>
        <v>N</v>
      </c>
      <c r="C146" s="1403" t="s">
        <v>1207</v>
      </c>
      <c r="D146" s="1401" t="s">
        <v>1175</v>
      </c>
      <c r="E146" s="990"/>
      <c r="F146" s="999">
        <f>Data!$M$1033</f>
        <v>1650000</v>
      </c>
      <c r="G146" s="999" t="s">
        <v>92</v>
      </c>
      <c r="H146" s="1398"/>
      <c r="I146" s="1399">
        <f ca="1">SUMIFS(Paper!$J$6:$J$29,Paper!$A$6:$A$29,'Fix Cost'!$B146)</f>
        <v>0</v>
      </c>
      <c r="J146" s="2610">
        <f ca="1">IF($B146="N",0,ROUNDUP(MAX($M$8,$L$8,$R146)*(1+$F$3)/VLOOKUP($B146,Paper!$A$7:$AB$30,9,0)*VLOOKUP($B146,Paper!$A$7:$AB$30,11,0)*(1+VLOOKUP($B146,Paper!$A$7:$AB$30,12,0))/Data!$M$1022,0))</f>
        <v>0</v>
      </c>
      <c r="K146" s="2613">
        <f ca="1">IF($B146="N",0,$J146*$F146*$I146)</f>
        <v>0</v>
      </c>
      <c r="L146" s="2608">
        <f t="shared" ca="1" si="7"/>
        <v>0</v>
      </c>
      <c r="M146" s="2609">
        <f t="shared" ca="1" si="4"/>
        <v>0</v>
      </c>
      <c r="N146" s="1400">
        <f t="shared" ca="1" si="10"/>
        <v>0</v>
      </c>
      <c r="P146" s="833" t="str">
        <f ca="1">input!$J$1156</f>
        <v>N</v>
      </c>
      <c r="R146" s="991">
        <f>input!$H$1156</f>
        <v>0</v>
      </c>
      <c r="S146" s="136" t="s">
        <v>287</v>
      </c>
      <c r="AB146" s="318"/>
      <c r="AC146" s="997"/>
      <c r="AD146" s="997"/>
      <c r="AE146" s="318"/>
      <c r="AF146" s="998"/>
      <c r="AG146" s="998"/>
      <c r="AH146" s="998"/>
      <c r="AI146" s="998"/>
      <c r="AJ146" s="998"/>
      <c r="AO146" s="998"/>
      <c r="AT146" s="413">
        <f t="shared" ca="1" si="11"/>
        <v>0</v>
      </c>
      <c r="AU146" s="136">
        <f ca="1">COUNTIFS(AT$7:$AT146,1)</f>
        <v>2</v>
      </c>
    </row>
    <row r="147" spans="1:47" ht="19.5" customHeight="1">
      <c r="A147" s="333"/>
      <c r="B147" s="1404"/>
      <c r="C147" s="1405"/>
      <c r="D147" s="1401" t="s">
        <v>1177</v>
      </c>
      <c r="E147" s="990"/>
      <c r="F147" s="999" t="e">
        <f ca="1">Data!$M$1034*SUMIF(Paper!$A$7:$A$29,'Fix Cost'!$B146,Paper!$AC$7:$AC$29)/$I147/Data!$M$1024</f>
        <v>#DIV/0!</v>
      </c>
      <c r="G147" s="999" t="s">
        <v>92</v>
      </c>
      <c r="H147" s="1398"/>
      <c r="I147" s="1399">
        <f ca="1">I146</f>
        <v>0</v>
      </c>
      <c r="J147" s="2597"/>
      <c r="K147" s="2613">
        <f ca="1">IF($B146="N",0,$F147*$I147)</f>
        <v>0</v>
      </c>
      <c r="L147" s="2620">
        <f ca="1">IF($B146="N",0,IF($M$8&gt;0,0,$K147/$D$2))</f>
        <v>0</v>
      </c>
      <c r="M147" s="2621">
        <f ca="1">IF($B146="N",0,IF($M$8&gt;0,$K147/$D$2,0))</f>
        <v>0</v>
      </c>
      <c r="N147" s="1400">
        <f t="shared" ca="1" si="10"/>
        <v>0</v>
      </c>
      <c r="P147" s="833" t="str">
        <f ca="1">$P$146</f>
        <v>N</v>
      </c>
      <c r="AB147" s="318"/>
      <c r="AC147" s="997"/>
      <c r="AD147" s="997"/>
      <c r="AE147" s="318"/>
      <c r="AF147" s="998"/>
      <c r="AG147" s="998"/>
      <c r="AH147" s="998"/>
      <c r="AI147" s="998"/>
      <c r="AJ147" s="998"/>
      <c r="AO147" s="998"/>
      <c r="AT147" s="413">
        <f t="shared" ca="1" si="11"/>
        <v>0</v>
      </c>
      <c r="AU147" s="136">
        <f ca="1">COUNTIFS(AT$7:$AT147,1)</f>
        <v>2</v>
      </c>
    </row>
    <row r="148" spans="1:47" ht="19.5" customHeight="1">
      <c r="A148" s="333"/>
      <c r="B148" s="1402" t="str">
        <f ca="1">input!$C$1157</f>
        <v>N</v>
      </c>
      <c r="C148" s="1403" t="s">
        <v>1207</v>
      </c>
      <c r="D148" s="1401" t="s">
        <v>1175</v>
      </c>
      <c r="E148" s="990"/>
      <c r="F148" s="999">
        <f>Data!$M$1033</f>
        <v>1650000</v>
      </c>
      <c r="G148" s="999" t="s">
        <v>92</v>
      </c>
      <c r="H148" s="1398"/>
      <c r="I148" s="1399">
        <f ca="1">SUMIFS(Paper!$J$6:$J$29,Paper!$A$6:$A$29,'Fix Cost'!$B148)</f>
        <v>0</v>
      </c>
      <c r="J148" s="2610">
        <f ca="1">IF($B148="N",0,ROUNDUP(MAX($M$8,$L$8,$R148)*(1+$F$3)/VLOOKUP($B148,Paper!$A$7:$AB$30,9,0)*VLOOKUP($B148,Paper!$A$7:$AB$30,11,0)*(1+VLOOKUP($B148,Paper!$A$7:$AB$30,12,0))/Data!$M$1022,0))</f>
        <v>0</v>
      </c>
      <c r="K148" s="2613">
        <f ca="1">IF($B148="N",0,$J148*$F148*$I148)</f>
        <v>0</v>
      </c>
      <c r="L148" s="2608">
        <f t="shared" ca="1" si="7"/>
        <v>0</v>
      </c>
      <c r="M148" s="2609">
        <f t="shared" ca="1" si="4"/>
        <v>0</v>
      </c>
      <c r="N148" s="1400">
        <f t="shared" ca="1" si="10"/>
        <v>0</v>
      </c>
      <c r="P148" s="833" t="str">
        <f ca="1">input!$J$1157</f>
        <v>N</v>
      </c>
      <c r="R148" s="991">
        <f>input!$H$1157</f>
        <v>0</v>
      </c>
      <c r="S148" s="136" t="s">
        <v>287</v>
      </c>
      <c r="AB148" s="318"/>
      <c r="AC148" s="997"/>
      <c r="AD148" s="997"/>
      <c r="AE148" s="318"/>
      <c r="AF148" s="998"/>
      <c r="AG148" s="998"/>
      <c r="AH148" s="998"/>
      <c r="AI148" s="998"/>
      <c r="AJ148" s="998"/>
      <c r="AO148" s="998"/>
      <c r="AT148" s="413">
        <f t="shared" ca="1" si="11"/>
        <v>0</v>
      </c>
      <c r="AU148" s="136">
        <f ca="1">COUNTIFS(AT$7:$AT148,1)</f>
        <v>2</v>
      </c>
    </row>
    <row r="149" spans="1:47" ht="19.5" customHeight="1">
      <c r="A149" s="333"/>
      <c r="B149" s="1404"/>
      <c r="C149" s="1405"/>
      <c r="D149" s="1401" t="s">
        <v>1177</v>
      </c>
      <c r="E149" s="990"/>
      <c r="F149" s="999" t="e">
        <f ca="1">Data!$M$1034*SUMIF(Paper!$A$7:$A$29,'Fix Cost'!$B148,Paper!$AC$7:$AC$29)/$I149/Data!$M$1024</f>
        <v>#DIV/0!</v>
      </c>
      <c r="G149" s="999" t="s">
        <v>92</v>
      </c>
      <c r="H149" s="1398"/>
      <c r="I149" s="1399">
        <f ca="1">I148</f>
        <v>0</v>
      </c>
      <c r="J149" s="2597"/>
      <c r="K149" s="2613">
        <f ca="1">IF($B148="N",0,$F149*$I149)</f>
        <v>0</v>
      </c>
      <c r="L149" s="2620">
        <f ca="1">IF($B148="N",0,IF($M$8&gt;0,0,$K149/$D$2))</f>
        <v>0</v>
      </c>
      <c r="M149" s="2621">
        <f ca="1">IF($B148="N",0,IF($M$8&gt;0,$K149/$D$2,0))</f>
        <v>0</v>
      </c>
      <c r="N149" s="1400">
        <f t="shared" ca="1" si="10"/>
        <v>0</v>
      </c>
      <c r="P149" s="833" t="str">
        <f ca="1">$P$148</f>
        <v>N</v>
      </c>
      <c r="AB149" s="318"/>
      <c r="AC149" s="997"/>
      <c r="AD149" s="997"/>
      <c r="AE149" s="318"/>
      <c r="AF149" s="998"/>
      <c r="AG149" s="998"/>
      <c r="AH149" s="998"/>
      <c r="AI149" s="998"/>
      <c r="AJ149" s="998"/>
      <c r="AO149" s="998"/>
      <c r="AT149" s="413">
        <f t="shared" ca="1" si="11"/>
        <v>0</v>
      </c>
      <c r="AU149" s="136">
        <f ca="1">COUNTIFS(AT$7:$AT149,1)</f>
        <v>2</v>
      </c>
    </row>
    <row r="150" spans="1:47" ht="19.5" customHeight="1">
      <c r="A150" s="333"/>
      <c r="B150" s="1402" t="str">
        <f ca="1">input!$C$1158</f>
        <v>N</v>
      </c>
      <c r="C150" s="1403" t="s">
        <v>1207</v>
      </c>
      <c r="D150" s="1401" t="s">
        <v>1175</v>
      </c>
      <c r="E150" s="990"/>
      <c r="F150" s="999">
        <f>Data!$M$1033</f>
        <v>1650000</v>
      </c>
      <c r="G150" s="999" t="s">
        <v>92</v>
      </c>
      <c r="H150" s="1398"/>
      <c r="I150" s="1399">
        <f ca="1">SUMIFS(Paper!$J$6:$J$29,Paper!$A$6:$A$29,'Fix Cost'!$B150)</f>
        <v>0</v>
      </c>
      <c r="J150" s="2610">
        <f ca="1">IF($B150="N",0,ROUNDUP(MAX($M$8,$L$8,$R150)*(1+$F$3)/VLOOKUP($B150,Paper!$A$7:$AB$30,9,0)*VLOOKUP($B150,Paper!$A$7:$AB$30,11,0)*(1+VLOOKUP($B150,Paper!$A$7:$AB$30,12,0))/Data!$M$1022,0))</f>
        <v>0</v>
      </c>
      <c r="K150" s="2613">
        <f ca="1">IF($B150="N",0,$J150*$F150*$I150)</f>
        <v>0</v>
      </c>
      <c r="L150" s="2608">
        <f t="shared" ca="1" si="7"/>
        <v>0</v>
      </c>
      <c r="M150" s="2609">
        <f t="shared" ca="1" si="4"/>
        <v>0</v>
      </c>
      <c r="N150" s="1400">
        <f t="shared" ca="1" si="10"/>
        <v>0</v>
      </c>
      <c r="P150" s="833" t="str">
        <f ca="1">input!$J$1158</f>
        <v>N</v>
      </c>
      <c r="R150" s="991">
        <f>input!$H$1158</f>
        <v>0</v>
      </c>
      <c r="S150" s="136" t="s">
        <v>287</v>
      </c>
      <c r="AB150" s="318"/>
      <c r="AC150" s="997"/>
      <c r="AD150" s="997"/>
      <c r="AE150" s="318"/>
      <c r="AF150" s="998"/>
      <c r="AG150" s="998"/>
      <c r="AH150" s="998"/>
      <c r="AI150" s="998"/>
      <c r="AJ150" s="998"/>
      <c r="AO150" s="998"/>
      <c r="AT150" s="413">
        <f t="shared" ca="1" si="11"/>
        <v>0</v>
      </c>
      <c r="AU150" s="136">
        <f ca="1">COUNTIFS(AT$7:$AT150,1)</f>
        <v>2</v>
      </c>
    </row>
    <row r="151" spans="1:47" ht="19.5" customHeight="1">
      <c r="A151" s="333"/>
      <c r="B151" s="1404"/>
      <c r="C151" s="1405"/>
      <c r="D151" s="1401" t="s">
        <v>1177</v>
      </c>
      <c r="E151" s="990"/>
      <c r="F151" s="999" t="e">
        <f ca="1">Data!$M$1034*SUMIF(Paper!$A$7:$A$29,'Fix Cost'!$B150,Paper!$AC$7:$AC$29)/$I151/Data!$M$1024</f>
        <v>#DIV/0!</v>
      </c>
      <c r="G151" s="999" t="s">
        <v>92</v>
      </c>
      <c r="H151" s="1398"/>
      <c r="I151" s="1399">
        <f ca="1">I150</f>
        <v>0</v>
      </c>
      <c r="J151" s="2597"/>
      <c r="K151" s="2613">
        <f ca="1">IF($B150="N",0,$F151*$I151)</f>
        <v>0</v>
      </c>
      <c r="L151" s="2620">
        <f ca="1">IF($B150="N",0,IF($M$8&gt;0,0,$K151/$D$2))</f>
        <v>0</v>
      </c>
      <c r="M151" s="2621">
        <f ca="1">IF($B150="N",0,IF($M$8&gt;0,$K151/$D$2,0))</f>
        <v>0</v>
      </c>
      <c r="N151" s="1400">
        <f t="shared" ca="1" si="10"/>
        <v>0</v>
      </c>
      <c r="P151" s="833" t="str">
        <f ca="1">$P$150</f>
        <v>N</v>
      </c>
      <c r="AB151" s="318"/>
      <c r="AC151" s="997"/>
      <c r="AD151" s="997"/>
      <c r="AE151" s="318"/>
      <c r="AF151" s="998"/>
      <c r="AG151" s="998"/>
      <c r="AH151" s="998"/>
      <c r="AI151" s="998"/>
      <c r="AJ151" s="998"/>
      <c r="AO151" s="998"/>
      <c r="AT151" s="413">
        <f t="shared" ca="1" si="11"/>
        <v>0</v>
      </c>
      <c r="AU151" s="136">
        <f ca="1">COUNTIFS(AT$7:$AT151,1)</f>
        <v>2</v>
      </c>
    </row>
    <row r="152" spans="1:47" ht="19.5" customHeight="1">
      <c r="A152" s="333"/>
      <c r="B152" s="320"/>
      <c r="C152" s="333"/>
      <c r="E152" s="316"/>
      <c r="F152" s="1000"/>
      <c r="G152" s="1000"/>
      <c r="H152" s="376"/>
      <c r="I152" s="383"/>
      <c r="J152" s="383"/>
      <c r="K152" s="995"/>
      <c r="L152" s="995"/>
      <c r="M152" s="995"/>
      <c r="N152" s="1001"/>
      <c r="P152" s="833"/>
      <c r="AB152" s="318"/>
      <c r="AC152" s="997"/>
      <c r="AD152" s="997"/>
      <c r="AE152" s="318"/>
      <c r="AF152" s="998"/>
      <c r="AG152" s="998"/>
      <c r="AH152" s="998"/>
      <c r="AI152" s="998"/>
      <c r="AJ152" s="998"/>
      <c r="AO152" s="998"/>
      <c r="AT152" s="413" t="str">
        <f t="shared" si="11"/>
        <v/>
      </c>
      <c r="AU152" s="136">
        <f ca="1">COUNTIFS(AT$7:$AT152,1)</f>
        <v>2</v>
      </c>
    </row>
    <row r="153" spans="1:47" ht="19.5" customHeight="1">
      <c r="A153" s="333"/>
      <c r="B153" s="1406" t="str">
        <f ca="1">input!C1160</f>
        <v>Box</v>
      </c>
      <c r="C153" s="1407" t="s">
        <v>1204</v>
      </c>
      <c r="D153" s="1408" t="s">
        <v>1161</v>
      </c>
      <c r="E153" s="1409"/>
      <c r="F153" s="1410">
        <f>VLOOKUP(D153,Data!$L$1027:$N$1041,2,0)</f>
        <v>103000</v>
      </c>
      <c r="G153" s="1410" t="s">
        <v>92</v>
      </c>
      <c r="H153" s="2890">
        <f ca="1">input!$E1160+input!$F1160</f>
        <v>1</v>
      </c>
      <c r="I153" s="2890">
        <f ca="1">IF($B153="N",0,ROUNDUP((MAX($M$8,$L$8)*(1+$F$3)/VLOOKUP($B153,Paper!$A$7:$AB$30,9,0)*VLOOKUP($B153,Paper!$A$7:$AB$30,11,0)*(1+VLOOKUP($B153,Paper!$A$7:$AB$30,12,0))+50*$H153)/$J153/VLOOKUP($B153,Paper!$A$7:$AC$30,28,0),0))</f>
        <v>10</v>
      </c>
      <c r="J153" s="1411">
        <f ca="1">VLOOKUP($B153,Paper!$A$7:$AB$30,10,0)</f>
        <v>1</v>
      </c>
      <c r="K153" s="2614">
        <f ca="1">IF($B153="N",0,$H153*$F153*$I153*$J153)</f>
        <v>1030000</v>
      </c>
      <c r="L153" s="2615">
        <f ca="1">IF($B153="N",0,IF($M$8&gt;0,0,$K153/$L$8))</f>
        <v>0</v>
      </c>
      <c r="M153" s="2616">
        <f ca="1">IF(B153="N",0,IF($M$8&gt;0,K153/$M$8,0))</f>
        <v>10.3</v>
      </c>
      <c r="N153" s="1400">
        <f t="shared" ca="1" si="10"/>
        <v>10.3</v>
      </c>
      <c r="P153" s="833" t="str">
        <f ca="1">input!$J$1160</f>
        <v>Box</v>
      </c>
      <c r="AB153" s="318"/>
      <c r="AC153" s="997"/>
      <c r="AD153" s="997"/>
      <c r="AE153" s="318"/>
      <c r="AF153" s="998"/>
      <c r="AG153" s="998"/>
      <c r="AH153" s="998"/>
      <c r="AI153" s="998"/>
      <c r="AJ153" s="998"/>
      <c r="AO153" s="998"/>
      <c r="AT153" s="413">
        <f t="shared" ca="1" si="11"/>
        <v>1</v>
      </c>
      <c r="AU153" s="136">
        <f ca="1">COUNTIFS(AT$7:$AT153,1)</f>
        <v>3</v>
      </c>
    </row>
    <row r="154" spans="1:47" ht="19.5" customHeight="1">
      <c r="A154" s="333"/>
      <c r="B154" s="1406" t="str">
        <f ca="1">input!C1161</f>
        <v>N</v>
      </c>
      <c r="C154" s="1407" t="s">
        <v>1204</v>
      </c>
      <c r="D154" s="1408" t="s">
        <v>1161</v>
      </c>
      <c r="E154" s="1409"/>
      <c r="F154" s="1410">
        <f>VLOOKUP(D154,Data!$L$1027:$N$1041,2,0)</f>
        <v>103000</v>
      </c>
      <c r="G154" s="1410" t="s">
        <v>92</v>
      </c>
      <c r="H154" s="2890">
        <f ca="1">input!$E1161+input!$F1161</f>
        <v>0</v>
      </c>
      <c r="I154" s="2890">
        <f ca="1">IF($B154="N",0,ROUNDUP((MAX($M$8,$L$8)*(1+$F$3)/VLOOKUP($B154,Paper!$A$7:$AB$30,9,0)*VLOOKUP($B154,Paper!$A$7:$AB$30,11,0)*(1+VLOOKUP($B154,Paper!$A$7:$AB$30,12,0))+50*$H154)/$J154/VLOOKUP($B154,Paper!$A$7:$AC$30,28,0),0))</f>
        <v>0</v>
      </c>
      <c r="J154" s="1411">
        <f ca="1">VLOOKUP($B154,Paper!$A$7:$AB$30,10,0)</f>
        <v>0</v>
      </c>
      <c r="K154" s="2614">
        <f t="shared" ref="K154:K167" ca="1" si="12">IF($B154="N",0,$H154*$F154*$I154*$J154)</f>
        <v>0</v>
      </c>
      <c r="L154" s="2615">
        <f t="shared" ref="L154:L167" ca="1" si="13">IF($B154="N",0,IF($M$8&gt;0,0,$K154/$L$8))</f>
        <v>0</v>
      </c>
      <c r="M154" s="2616">
        <f t="shared" ref="M154:M167" ca="1" si="14">IF(B154="N",0,IF($M$8&gt;0,K154/$M$8,0))</f>
        <v>0</v>
      </c>
      <c r="N154" s="1400">
        <f t="shared" ca="1" si="10"/>
        <v>0</v>
      </c>
      <c r="P154" s="833" t="str">
        <f ca="1">input!$J$1161</f>
        <v>N</v>
      </c>
      <c r="AB154" s="318"/>
      <c r="AC154" s="997"/>
      <c r="AD154" s="997"/>
      <c r="AE154" s="318"/>
      <c r="AF154" s="998"/>
      <c r="AG154" s="998"/>
      <c r="AH154" s="998"/>
      <c r="AI154" s="998"/>
      <c r="AJ154" s="998"/>
      <c r="AO154" s="998"/>
      <c r="AT154" s="413">
        <f t="shared" ca="1" si="11"/>
        <v>0</v>
      </c>
      <c r="AU154" s="136">
        <f ca="1">COUNTIFS(AT$7:$AT154,1)</f>
        <v>3</v>
      </c>
    </row>
    <row r="155" spans="1:47" ht="19.5" customHeight="1">
      <c r="A155" s="333"/>
      <c r="B155" s="1406" t="str">
        <f ca="1">input!C1162</f>
        <v>N</v>
      </c>
      <c r="C155" s="1407" t="s">
        <v>1204</v>
      </c>
      <c r="D155" s="1408" t="s">
        <v>1161</v>
      </c>
      <c r="E155" s="1409"/>
      <c r="F155" s="1410">
        <f>VLOOKUP(D155,Data!$L$1027:$N$1041,2,0)</f>
        <v>103000</v>
      </c>
      <c r="G155" s="1410" t="s">
        <v>92</v>
      </c>
      <c r="H155" s="2890">
        <f ca="1">input!$E1162+input!$F1162</f>
        <v>0</v>
      </c>
      <c r="I155" s="2890">
        <f ca="1">IF($B155="N",0,ROUNDUP((MAX($M$8,$L$8)*(1+$F$3)/VLOOKUP($B155,Paper!$A$7:$AB$30,9,0)*VLOOKUP($B155,Paper!$A$7:$AB$30,11,0)*(1+VLOOKUP($B155,Paper!$A$7:$AB$30,12,0))+50*$H155)/$J155/VLOOKUP($B155,Paper!$A$7:$AC$30,28,0),0))</f>
        <v>0</v>
      </c>
      <c r="J155" s="1411">
        <f ca="1">VLOOKUP($B155,Paper!$A$7:$AB$30,10,0)</f>
        <v>0</v>
      </c>
      <c r="K155" s="2614">
        <f t="shared" ca="1" si="12"/>
        <v>0</v>
      </c>
      <c r="L155" s="2615">
        <f t="shared" ca="1" si="13"/>
        <v>0</v>
      </c>
      <c r="M155" s="2616">
        <f t="shared" ca="1" si="14"/>
        <v>0</v>
      </c>
      <c r="N155" s="1400">
        <f t="shared" ca="1" si="10"/>
        <v>0</v>
      </c>
      <c r="P155" s="833" t="str">
        <f ca="1">input!$J$1162</f>
        <v>N</v>
      </c>
      <c r="AB155" s="318"/>
      <c r="AC155" s="997"/>
      <c r="AD155" s="997"/>
      <c r="AE155" s="318"/>
      <c r="AF155" s="998"/>
      <c r="AG155" s="998"/>
      <c r="AH155" s="998"/>
      <c r="AI155" s="998"/>
      <c r="AJ155" s="998"/>
      <c r="AO155" s="998"/>
      <c r="AT155" s="413">
        <f t="shared" ca="1" si="11"/>
        <v>0</v>
      </c>
      <c r="AU155" s="136">
        <f ca="1">COUNTIFS(AT$7:$AT155,1)</f>
        <v>3</v>
      </c>
    </row>
    <row r="156" spans="1:47" ht="19.5" customHeight="1">
      <c r="A156" s="333"/>
      <c r="B156" s="1406" t="str">
        <f ca="1">input!C1163</f>
        <v>N</v>
      </c>
      <c r="C156" s="1407" t="s">
        <v>1204</v>
      </c>
      <c r="D156" s="1408" t="s">
        <v>1161</v>
      </c>
      <c r="E156" s="1409"/>
      <c r="F156" s="1410">
        <f>VLOOKUP(D156,Data!$L$1027:$N$1041,2,0)</f>
        <v>103000</v>
      </c>
      <c r="G156" s="1410" t="s">
        <v>92</v>
      </c>
      <c r="H156" s="2890">
        <f ca="1">input!$E1163+input!$F1163</f>
        <v>0</v>
      </c>
      <c r="I156" s="2890">
        <f ca="1">IF($B156="N",0,ROUNDUP((MAX($M$8,$L$8)*(1+$F$3)/VLOOKUP($B156,Paper!$A$7:$AB$30,9,0)*VLOOKUP($B156,Paper!$A$7:$AB$30,11,0)*(1+VLOOKUP($B156,Paper!$A$7:$AB$30,12,0))+50*$H156)/$J156/VLOOKUP($B156,Paper!$A$7:$AC$30,28,0),0))</f>
        <v>0</v>
      </c>
      <c r="J156" s="1411">
        <f ca="1">VLOOKUP($B156,Paper!$A$7:$AB$30,10,0)</f>
        <v>0</v>
      </c>
      <c r="K156" s="2614">
        <f t="shared" ca="1" si="12"/>
        <v>0</v>
      </c>
      <c r="L156" s="2615">
        <f t="shared" ca="1" si="13"/>
        <v>0</v>
      </c>
      <c r="M156" s="2616">
        <f t="shared" ca="1" si="14"/>
        <v>0</v>
      </c>
      <c r="N156" s="1400">
        <f t="shared" ca="1" si="10"/>
        <v>0</v>
      </c>
      <c r="P156" s="833" t="str">
        <f ca="1">input!$J$1163</f>
        <v>N</v>
      </c>
      <c r="AB156" s="318"/>
      <c r="AC156" s="997"/>
      <c r="AD156" s="997"/>
      <c r="AE156" s="318"/>
      <c r="AF156" s="998"/>
      <c r="AG156" s="998"/>
      <c r="AH156" s="998"/>
      <c r="AI156" s="998"/>
      <c r="AJ156" s="998"/>
      <c r="AO156" s="998"/>
      <c r="AT156" s="413">
        <f t="shared" ca="1" si="11"/>
        <v>0</v>
      </c>
      <c r="AU156" s="136">
        <f ca="1">COUNTIFS(AT$7:$AT156,1)</f>
        <v>3</v>
      </c>
    </row>
    <row r="157" spans="1:47" ht="19.5" customHeight="1">
      <c r="A157" s="333"/>
      <c r="B157" s="1406" t="str">
        <f ca="1">input!C1164</f>
        <v>N</v>
      </c>
      <c r="C157" s="1407" t="s">
        <v>1204</v>
      </c>
      <c r="D157" s="1408" t="s">
        <v>1161</v>
      </c>
      <c r="E157" s="1409"/>
      <c r="F157" s="1410">
        <f>VLOOKUP(D157,Data!$L$1027:$N$1041,2,0)</f>
        <v>103000</v>
      </c>
      <c r="G157" s="1410" t="s">
        <v>92</v>
      </c>
      <c r="H157" s="2890">
        <f ca="1">input!$E1164+input!$F1164</f>
        <v>0</v>
      </c>
      <c r="I157" s="2890">
        <f ca="1">IF($B157="N",0,ROUNDUP((MAX($M$8,$L$8)*(1+$F$3)/VLOOKUP($B157,Paper!$A$7:$AB$30,9,0)*VLOOKUP($B157,Paper!$A$7:$AB$30,11,0)*(1+VLOOKUP($B157,Paper!$A$7:$AB$30,12,0))+50*$H157)/$J157/VLOOKUP($B157,Paper!$A$7:$AC$30,28,0),0))</f>
        <v>0</v>
      </c>
      <c r="J157" s="1411">
        <f ca="1">VLOOKUP($B157,Paper!$A$7:$AB$30,10,0)</f>
        <v>0</v>
      </c>
      <c r="K157" s="2614">
        <f t="shared" ca="1" si="12"/>
        <v>0</v>
      </c>
      <c r="L157" s="2615">
        <f t="shared" ca="1" si="13"/>
        <v>0</v>
      </c>
      <c r="M157" s="2616">
        <f t="shared" ca="1" si="14"/>
        <v>0</v>
      </c>
      <c r="N157" s="1400">
        <f t="shared" ca="1" si="10"/>
        <v>0</v>
      </c>
      <c r="P157" s="833" t="str">
        <f ca="1">input!$J$1164</f>
        <v>N</v>
      </c>
      <c r="AB157" s="318"/>
      <c r="AC157" s="997"/>
      <c r="AD157" s="997"/>
      <c r="AE157" s="318"/>
      <c r="AF157" s="998"/>
      <c r="AG157" s="998"/>
      <c r="AH157" s="998"/>
      <c r="AI157" s="998"/>
      <c r="AJ157" s="998"/>
      <c r="AO157" s="998"/>
      <c r="AT157" s="413">
        <f t="shared" ca="1" si="11"/>
        <v>0</v>
      </c>
      <c r="AU157" s="136">
        <f ca="1">COUNTIFS(AT$7:$AT157,1)</f>
        <v>3</v>
      </c>
    </row>
    <row r="158" spans="1:47" ht="19.5" customHeight="1">
      <c r="A158" s="333"/>
      <c r="B158" s="1406" t="str">
        <f ca="1">input!C1165</f>
        <v>N</v>
      </c>
      <c r="C158" s="1407" t="s">
        <v>1204</v>
      </c>
      <c r="D158" s="1408" t="s">
        <v>1161</v>
      </c>
      <c r="E158" s="1409"/>
      <c r="F158" s="1410">
        <f>VLOOKUP(D158,Data!$L$1027:$N$1041,2,0)</f>
        <v>103000</v>
      </c>
      <c r="G158" s="1410" t="s">
        <v>92</v>
      </c>
      <c r="H158" s="2890">
        <f ca="1">input!$E1165+input!$F1165</f>
        <v>0</v>
      </c>
      <c r="I158" s="2890">
        <f ca="1">IF($B158="N",0,ROUNDUP((MAX($M$8,$L$8)*(1+$F$3)/VLOOKUP($B158,Paper!$A$7:$AB$30,9,0)*VLOOKUP($B158,Paper!$A$7:$AB$30,11,0)*(1+VLOOKUP($B158,Paper!$A$7:$AB$30,12,0))+50*$H158)/$J158/VLOOKUP($B158,Paper!$A$7:$AC$30,28,0),0))</f>
        <v>0</v>
      </c>
      <c r="J158" s="1411">
        <f ca="1">VLOOKUP($B158,Paper!$A$7:$AB$30,10,0)</f>
        <v>0</v>
      </c>
      <c r="K158" s="2614">
        <f t="shared" ca="1" si="12"/>
        <v>0</v>
      </c>
      <c r="L158" s="2615">
        <f t="shared" ca="1" si="13"/>
        <v>0</v>
      </c>
      <c r="M158" s="2616">
        <f t="shared" ca="1" si="14"/>
        <v>0</v>
      </c>
      <c r="N158" s="1400">
        <f t="shared" ca="1" si="10"/>
        <v>0</v>
      </c>
      <c r="P158" s="833" t="str">
        <f ca="1">input!$J$1165</f>
        <v>N</v>
      </c>
      <c r="AB158" s="318"/>
      <c r="AC158" s="997"/>
      <c r="AD158" s="997"/>
      <c r="AE158" s="318"/>
      <c r="AF158" s="998"/>
      <c r="AG158" s="998"/>
      <c r="AH158" s="998"/>
      <c r="AI158" s="998"/>
      <c r="AJ158" s="998"/>
      <c r="AO158" s="998"/>
      <c r="AT158" s="413">
        <f t="shared" ca="1" si="11"/>
        <v>0</v>
      </c>
      <c r="AU158" s="136">
        <f ca="1">COUNTIFS(AT$7:$AT158,1)</f>
        <v>3</v>
      </c>
    </row>
    <row r="159" spans="1:47" ht="19.5" customHeight="1">
      <c r="A159" s="333"/>
      <c r="B159" s="1406" t="str">
        <f ca="1">input!C1166</f>
        <v>N</v>
      </c>
      <c r="C159" s="1407" t="s">
        <v>1204</v>
      </c>
      <c r="D159" s="1408" t="s">
        <v>1161</v>
      </c>
      <c r="E159" s="1409"/>
      <c r="F159" s="1410">
        <f>VLOOKUP(D159,Data!$L$1027:$N$1041,2,0)</f>
        <v>103000</v>
      </c>
      <c r="G159" s="1410" t="s">
        <v>92</v>
      </c>
      <c r="H159" s="2890">
        <f ca="1">input!$E1166+input!$F1166</f>
        <v>0</v>
      </c>
      <c r="I159" s="2890">
        <f ca="1">IF($B159="N",0,ROUNDUP((MAX($M$8,$L$8)*(1+$F$3)/VLOOKUP($B159,Paper!$A$7:$AB$30,9,0)*VLOOKUP($B159,Paper!$A$7:$AB$30,11,0)*(1+VLOOKUP($B159,Paper!$A$7:$AB$30,12,0))+50*$H159)/$J159/VLOOKUP($B159,Paper!$A$7:$AC$30,28,0),0))</f>
        <v>0</v>
      </c>
      <c r="J159" s="1411">
        <f ca="1">VLOOKUP($B159,Paper!$A$7:$AB$30,10,0)</f>
        <v>0</v>
      </c>
      <c r="K159" s="2614">
        <f t="shared" ca="1" si="12"/>
        <v>0</v>
      </c>
      <c r="L159" s="2615">
        <f t="shared" ca="1" si="13"/>
        <v>0</v>
      </c>
      <c r="M159" s="2616">
        <f t="shared" ca="1" si="14"/>
        <v>0</v>
      </c>
      <c r="N159" s="1400">
        <f t="shared" ca="1" si="10"/>
        <v>0</v>
      </c>
      <c r="P159" s="833" t="str">
        <f ca="1">input!$J$1166</f>
        <v>N</v>
      </c>
      <c r="AB159" s="318"/>
      <c r="AC159" s="997"/>
      <c r="AD159" s="997"/>
      <c r="AE159" s="318"/>
      <c r="AF159" s="998"/>
      <c r="AG159" s="998"/>
      <c r="AH159" s="998"/>
      <c r="AI159" s="998"/>
      <c r="AJ159" s="998"/>
      <c r="AO159" s="998"/>
      <c r="AT159" s="413">
        <f t="shared" ca="1" si="11"/>
        <v>0</v>
      </c>
      <c r="AU159" s="136">
        <f ca="1">COUNTIFS(AT$7:$AT159,1)</f>
        <v>3</v>
      </c>
    </row>
    <row r="160" spans="1:47" ht="19.5" customHeight="1">
      <c r="A160" s="333"/>
      <c r="B160" s="1406" t="str">
        <f ca="1">input!C1167</f>
        <v>N</v>
      </c>
      <c r="C160" s="1407" t="s">
        <v>1204</v>
      </c>
      <c r="D160" s="1408" t="s">
        <v>1161</v>
      </c>
      <c r="E160" s="1409"/>
      <c r="F160" s="1410">
        <f>VLOOKUP(D160,Data!$L$1027:$N$1041,2,0)</f>
        <v>103000</v>
      </c>
      <c r="G160" s="1410" t="s">
        <v>92</v>
      </c>
      <c r="H160" s="2890">
        <f ca="1">input!$E1167+input!$F1167</f>
        <v>0</v>
      </c>
      <c r="I160" s="2890">
        <f ca="1">IF($B160="N",0,ROUNDUP((MAX($M$8,$L$8)*(1+$F$3)/VLOOKUP($B160,Paper!$A$7:$AB$30,9,0)*VLOOKUP($B160,Paper!$A$7:$AB$30,11,0)*(1+VLOOKUP($B160,Paper!$A$7:$AB$30,12,0))+50*$H160)/$J160/VLOOKUP($B160,Paper!$A$7:$AC$30,28,0),0))</f>
        <v>0</v>
      </c>
      <c r="J160" s="1411">
        <f ca="1">VLOOKUP($B160,Paper!$A$7:$AB$30,10,0)</f>
        <v>0</v>
      </c>
      <c r="K160" s="2614">
        <f t="shared" ca="1" si="12"/>
        <v>0</v>
      </c>
      <c r="L160" s="2615">
        <f t="shared" ca="1" si="13"/>
        <v>0</v>
      </c>
      <c r="M160" s="2616">
        <f t="shared" ca="1" si="14"/>
        <v>0</v>
      </c>
      <c r="N160" s="1400">
        <f t="shared" ca="1" si="10"/>
        <v>0</v>
      </c>
      <c r="P160" s="833" t="str">
        <f ca="1">input!$J$1167</f>
        <v>N</v>
      </c>
      <c r="AB160" s="318"/>
      <c r="AC160" s="997"/>
      <c r="AD160" s="997"/>
      <c r="AE160" s="318"/>
      <c r="AF160" s="998"/>
      <c r="AG160" s="998"/>
      <c r="AH160" s="998"/>
      <c r="AI160" s="998"/>
      <c r="AJ160" s="998"/>
      <c r="AO160" s="998"/>
      <c r="AT160" s="413">
        <f t="shared" ca="1" si="11"/>
        <v>0</v>
      </c>
      <c r="AU160" s="136">
        <f ca="1">COUNTIFS(AT$7:$AT160,1)</f>
        <v>3</v>
      </c>
    </row>
    <row r="161" spans="1:47" ht="19.5" customHeight="1">
      <c r="A161" s="333"/>
      <c r="B161" s="1406" t="str">
        <f ca="1">input!C1168</f>
        <v>N</v>
      </c>
      <c r="C161" s="1407" t="s">
        <v>1204</v>
      </c>
      <c r="D161" s="1408" t="s">
        <v>1161</v>
      </c>
      <c r="E161" s="1409"/>
      <c r="F161" s="1410">
        <f>VLOOKUP(D161,Data!$L$1027:$N$1041,2,0)</f>
        <v>103000</v>
      </c>
      <c r="G161" s="1410" t="s">
        <v>92</v>
      </c>
      <c r="H161" s="2890">
        <f ca="1">input!$E1168+input!$F1168</f>
        <v>0</v>
      </c>
      <c r="I161" s="2890">
        <f ca="1">IF($B161="N",0,ROUNDUP((MAX($M$8,$L$8)*(1+$F$3)/VLOOKUP($B161,Paper!$A$7:$AB$30,9,0)*VLOOKUP($B161,Paper!$A$7:$AB$30,11,0)*(1+VLOOKUP($B161,Paper!$A$7:$AB$30,12,0))+50*$H161)/$J161/VLOOKUP($B161,Paper!$A$7:$AC$30,28,0),0))</f>
        <v>0</v>
      </c>
      <c r="J161" s="1411">
        <f ca="1">VLOOKUP($B161,Paper!$A$7:$AB$30,10,0)</f>
        <v>0</v>
      </c>
      <c r="K161" s="2614">
        <f t="shared" ca="1" si="12"/>
        <v>0</v>
      </c>
      <c r="L161" s="2615">
        <f t="shared" ca="1" si="13"/>
        <v>0</v>
      </c>
      <c r="M161" s="2616">
        <f t="shared" ca="1" si="14"/>
        <v>0</v>
      </c>
      <c r="N161" s="1400">
        <f t="shared" ca="1" si="10"/>
        <v>0</v>
      </c>
      <c r="P161" s="833" t="str">
        <f ca="1">input!$J$1168</f>
        <v>N</v>
      </c>
      <c r="AB161" s="318"/>
      <c r="AC161" s="997"/>
      <c r="AD161" s="997"/>
      <c r="AE161" s="318"/>
      <c r="AF161" s="998"/>
      <c r="AG161" s="998"/>
      <c r="AH161" s="998"/>
      <c r="AI161" s="998"/>
      <c r="AJ161" s="998"/>
      <c r="AO161" s="998"/>
      <c r="AT161" s="413">
        <f t="shared" ca="1" si="11"/>
        <v>0</v>
      </c>
      <c r="AU161" s="136">
        <f ca="1">COUNTIFS(AT$7:$AT161,1)</f>
        <v>3</v>
      </c>
    </row>
    <row r="162" spans="1:47" ht="19.5" customHeight="1">
      <c r="A162" s="333"/>
      <c r="B162" s="1406" t="str">
        <f ca="1">input!C1169</f>
        <v>N</v>
      </c>
      <c r="C162" s="1407" t="s">
        <v>1204</v>
      </c>
      <c r="D162" s="1408" t="s">
        <v>1161</v>
      </c>
      <c r="E162" s="1409"/>
      <c r="F162" s="1410">
        <f>VLOOKUP(D162,Data!$L$1027:$N$1041,2,0)</f>
        <v>103000</v>
      </c>
      <c r="G162" s="1410" t="s">
        <v>92</v>
      </c>
      <c r="H162" s="2890">
        <f ca="1">input!$E1169+input!$F1169</f>
        <v>0</v>
      </c>
      <c r="I162" s="2890">
        <f ca="1">IF($B162="N",0,ROUNDUP((MAX($M$8,$L$8)*(1+$F$3)/VLOOKUP($B162,Paper!$A$7:$AB$30,9,0)*VLOOKUP($B162,Paper!$A$7:$AB$30,11,0)*(1+VLOOKUP($B162,Paper!$A$7:$AB$30,12,0))+50*$H162)/$J162/VLOOKUP($B162,Paper!$A$7:$AC$30,28,0),0))</f>
        <v>0</v>
      </c>
      <c r="J162" s="1411">
        <f ca="1">VLOOKUP($B162,Paper!$A$7:$AB$30,10,0)</f>
        <v>0</v>
      </c>
      <c r="K162" s="2614">
        <f t="shared" ca="1" si="12"/>
        <v>0</v>
      </c>
      <c r="L162" s="2615">
        <f t="shared" ca="1" si="13"/>
        <v>0</v>
      </c>
      <c r="M162" s="2616">
        <f t="shared" ca="1" si="14"/>
        <v>0</v>
      </c>
      <c r="N162" s="1400">
        <f t="shared" ca="1" si="10"/>
        <v>0</v>
      </c>
      <c r="P162" s="833" t="str">
        <f ca="1">input!$J$1169</f>
        <v>N</v>
      </c>
      <c r="AB162" s="318"/>
      <c r="AC162" s="997"/>
      <c r="AD162" s="997"/>
      <c r="AE162" s="318"/>
      <c r="AF162" s="998"/>
      <c r="AG162" s="998"/>
      <c r="AH162" s="998"/>
      <c r="AI162" s="998"/>
      <c r="AJ162" s="998"/>
      <c r="AO162" s="998"/>
      <c r="AT162" s="413">
        <f t="shared" ca="1" si="11"/>
        <v>0</v>
      </c>
      <c r="AU162" s="136">
        <f ca="1">COUNTIFS(AT$7:$AT162,1)</f>
        <v>3</v>
      </c>
    </row>
    <row r="163" spans="1:47" ht="19.5" customHeight="1">
      <c r="A163" s="333"/>
      <c r="B163" s="1406" t="str">
        <f ca="1">input!C1170</f>
        <v>N</v>
      </c>
      <c r="C163" s="1407" t="s">
        <v>1204</v>
      </c>
      <c r="D163" s="1408" t="s">
        <v>1161</v>
      </c>
      <c r="E163" s="1409"/>
      <c r="F163" s="1410">
        <f>VLOOKUP(D163,Data!$L$1027:$N$1041,2,0)</f>
        <v>103000</v>
      </c>
      <c r="G163" s="1410" t="s">
        <v>92</v>
      </c>
      <c r="H163" s="2890">
        <f ca="1">input!$E1170+input!$F1170</f>
        <v>0</v>
      </c>
      <c r="I163" s="2890">
        <f ca="1">IF($B163="N",0,ROUNDUP((MAX($M$8,$L$8)*(1+$F$3)/VLOOKUP($B163,Paper!$A$7:$AB$30,9,0)*VLOOKUP($B163,Paper!$A$7:$AB$30,11,0)*(1+VLOOKUP($B163,Paper!$A$7:$AB$30,12,0))+50*$H163)/$J163/VLOOKUP($B163,Paper!$A$7:$AC$30,28,0),0))</f>
        <v>0</v>
      </c>
      <c r="J163" s="1411">
        <f ca="1">VLOOKUP($B163,Paper!$A$7:$AB$30,10,0)</f>
        <v>0</v>
      </c>
      <c r="K163" s="2614">
        <f t="shared" ca="1" si="12"/>
        <v>0</v>
      </c>
      <c r="L163" s="2615">
        <f t="shared" ca="1" si="13"/>
        <v>0</v>
      </c>
      <c r="M163" s="2616">
        <f t="shared" ca="1" si="14"/>
        <v>0</v>
      </c>
      <c r="N163" s="1400">
        <f t="shared" ca="1" si="10"/>
        <v>0</v>
      </c>
      <c r="P163" s="833" t="str">
        <f ca="1">input!$J$1170</f>
        <v>N</v>
      </c>
      <c r="AB163" s="318"/>
      <c r="AC163" s="997"/>
      <c r="AD163" s="997"/>
      <c r="AE163" s="318"/>
      <c r="AF163" s="998"/>
      <c r="AG163" s="998"/>
      <c r="AH163" s="998"/>
      <c r="AI163" s="998"/>
      <c r="AJ163" s="998"/>
      <c r="AO163" s="998"/>
      <c r="AT163" s="413">
        <f t="shared" ca="1" si="11"/>
        <v>0</v>
      </c>
      <c r="AU163" s="136">
        <f ca="1">COUNTIFS(AT$7:$AT163,1)</f>
        <v>3</v>
      </c>
    </row>
    <row r="164" spans="1:47" ht="19.5" customHeight="1">
      <c r="A164" s="333"/>
      <c r="B164" s="1406" t="str">
        <f ca="1">input!C1171</f>
        <v>N</v>
      </c>
      <c r="C164" s="1407" t="s">
        <v>1204</v>
      </c>
      <c r="D164" s="1408" t="s">
        <v>1161</v>
      </c>
      <c r="E164" s="1409"/>
      <c r="F164" s="1410">
        <f>VLOOKUP(D164,Data!$L$1027:$N$1041,2,0)</f>
        <v>103000</v>
      </c>
      <c r="G164" s="1410" t="s">
        <v>92</v>
      </c>
      <c r="H164" s="2890">
        <f ca="1">input!$E1171+input!$F1171</f>
        <v>0</v>
      </c>
      <c r="I164" s="2890">
        <f ca="1">IF($B164="N",0,ROUNDUP((MAX($M$8,$L$8)*(1+$F$3)/VLOOKUP($B164,Paper!$A$7:$AB$30,9,0)*VLOOKUP($B164,Paper!$A$7:$AB$30,11,0)*(1+VLOOKUP($B164,Paper!$A$7:$AB$30,12,0))+50*$H164)/$J164/VLOOKUP($B164,Paper!$A$7:$AC$30,28,0),0))</f>
        <v>0</v>
      </c>
      <c r="J164" s="1411">
        <f ca="1">VLOOKUP($B164,Paper!$A$7:$AB$30,10,0)</f>
        <v>0</v>
      </c>
      <c r="K164" s="2614">
        <f t="shared" ca="1" si="12"/>
        <v>0</v>
      </c>
      <c r="L164" s="2615">
        <f t="shared" ca="1" si="13"/>
        <v>0</v>
      </c>
      <c r="M164" s="2616">
        <f t="shared" ca="1" si="14"/>
        <v>0</v>
      </c>
      <c r="N164" s="1400">
        <f t="shared" ca="1" si="10"/>
        <v>0</v>
      </c>
      <c r="P164" s="833" t="str">
        <f ca="1">input!$J$1171</f>
        <v>N</v>
      </c>
      <c r="AB164" s="318"/>
      <c r="AC164" s="997"/>
      <c r="AD164" s="997"/>
      <c r="AE164" s="318"/>
      <c r="AF164" s="998"/>
      <c r="AG164" s="998"/>
      <c r="AH164" s="998"/>
      <c r="AI164" s="998"/>
      <c r="AJ164" s="998"/>
      <c r="AO164" s="998"/>
      <c r="AT164" s="413">
        <f t="shared" ca="1" si="11"/>
        <v>0</v>
      </c>
      <c r="AU164" s="136">
        <f ca="1">COUNTIFS(AT$7:$AT164,1)</f>
        <v>3</v>
      </c>
    </row>
    <row r="165" spans="1:47" ht="19.5" customHeight="1">
      <c r="A165" s="333"/>
      <c r="B165" s="1406" t="str">
        <f ca="1">input!C1172</f>
        <v>N</v>
      </c>
      <c r="C165" s="1407" t="s">
        <v>1204</v>
      </c>
      <c r="D165" s="1408" t="s">
        <v>1161</v>
      </c>
      <c r="E165" s="1409"/>
      <c r="F165" s="1410">
        <f>VLOOKUP(D165,Data!$L$1027:$N$1041,2,0)</f>
        <v>103000</v>
      </c>
      <c r="G165" s="1410" t="s">
        <v>92</v>
      </c>
      <c r="H165" s="2890">
        <f ca="1">input!$E1172+input!$F1172</f>
        <v>0</v>
      </c>
      <c r="I165" s="2890">
        <f ca="1">IF($B165="N",0,ROUNDUP((MAX($M$8,$L$8)*(1+$F$3)/VLOOKUP($B165,Paper!$A$7:$AB$30,9,0)*VLOOKUP($B165,Paper!$A$7:$AB$30,11,0)*(1+VLOOKUP($B165,Paper!$A$7:$AB$30,12,0))+50*$H165)/$J165/VLOOKUP($B165,Paper!$A$7:$AC$30,28,0),0))</f>
        <v>0</v>
      </c>
      <c r="J165" s="1411">
        <f ca="1">VLOOKUP($B165,Paper!$A$7:$AB$30,10,0)</f>
        <v>0</v>
      </c>
      <c r="K165" s="2614">
        <f t="shared" ca="1" si="12"/>
        <v>0</v>
      </c>
      <c r="L165" s="2615">
        <f t="shared" ca="1" si="13"/>
        <v>0</v>
      </c>
      <c r="M165" s="2616">
        <f t="shared" ca="1" si="14"/>
        <v>0</v>
      </c>
      <c r="N165" s="1400">
        <f t="shared" ca="1" si="10"/>
        <v>0</v>
      </c>
      <c r="P165" s="833" t="str">
        <f ca="1">input!$J$1172</f>
        <v>N</v>
      </c>
      <c r="AB165" s="318"/>
      <c r="AC165" s="997"/>
      <c r="AD165" s="997"/>
      <c r="AE165" s="318"/>
      <c r="AF165" s="998"/>
      <c r="AG165" s="998"/>
      <c r="AH165" s="998"/>
      <c r="AI165" s="998"/>
      <c r="AJ165" s="998"/>
      <c r="AO165" s="998"/>
      <c r="AT165" s="413">
        <f t="shared" ca="1" si="11"/>
        <v>0</v>
      </c>
      <c r="AU165" s="136">
        <f ca="1">COUNTIFS(AT$7:$AT165,1)</f>
        <v>3</v>
      </c>
    </row>
    <row r="166" spans="1:47" ht="19.5" customHeight="1">
      <c r="A166" s="333"/>
      <c r="B166" s="1406" t="str">
        <f>input!C1173</f>
        <v>N</v>
      </c>
      <c r="C166" s="1407" t="s">
        <v>1204</v>
      </c>
      <c r="D166" s="1408" t="s">
        <v>1161</v>
      </c>
      <c r="E166" s="1409"/>
      <c r="F166" s="1410">
        <f>VLOOKUP(D166,Data!$L$1027:$N$1041,2,0)</f>
        <v>103000</v>
      </c>
      <c r="G166" s="1410" t="s">
        <v>92</v>
      </c>
      <c r="H166" s="2890">
        <f ca="1">input!$E1173+input!$F1173</f>
        <v>0</v>
      </c>
      <c r="I166" s="2890">
        <f>IF($B166="N",0,ROUNDUP((MAX($M$8,$L$8)*(1+$F$3)/VLOOKUP($B166,Paper!$A$7:$AB$30,9,0)*VLOOKUP($B166,Paper!$A$7:$AB$30,11,0)*(1+VLOOKUP($B166,Paper!$A$7:$AB$30,12,0))+50*$H166)/$J166/VLOOKUP($B166,Paper!$A$7:$AC$30,28,0),0))</f>
        <v>0</v>
      </c>
      <c r="J166" s="1411">
        <f>VLOOKUP($B166,Paper!$A$7:$AB$30,10,0)</f>
        <v>0</v>
      </c>
      <c r="K166" s="2614">
        <f t="shared" si="12"/>
        <v>0</v>
      </c>
      <c r="L166" s="2615">
        <f>IF($B166="N",0,IF($M$8&gt;0,0,$K166/$L$8))</f>
        <v>0</v>
      </c>
      <c r="M166" s="2616">
        <f>IF(B166="N",0,IF($M$8&gt;0,K166/$M$8,0))</f>
        <v>0</v>
      </c>
      <c r="N166" s="1400">
        <f t="shared" si="10"/>
        <v>0</v>
      </c>
      <c r="P166" s="833" t="str">
        <f>input!$J$1173</f>
        <v>N</v>
      </c>
      <c r="AB166" s="318"/>
      <c r="AC166" s="997"/>
      <c r="AD166" s="997"/>
      <c r="AE166" s="318"/>
      <c r="AF166" s="998"/>
      <c r="AG166" s="998"/>
      <c r="AH166" s="998"/>
      <c r="AI166" s="998"/>
      <c r="AJ166" s="998"/>
      <c r="AO166" s="998"/>
      <c r="AT166" s="413">
        <f t="shared" si="11"/>
        <v>0</v>
      </c>
      <c r="AU166" s="136">
        <f ca="1">COUNTIFS(AT$7:$AT166,1)</f>
        <v>3</v>
      </c>
    </row>
    <row r="167" spans="1:47" ht="19.5" customHeight="1">
      <c r="A167" s="333"/>
      <c r="B167" s="1406" t="str">
        <f>input!C1174</f>
        <v>N</v>
      </c>
      <c r="C167" s="1407" t="s">
        <v>1204</v>
      </c>
      <c r="D167" s="1408" t="s">
        <v>1161</v>
      </c>
      <c r="E167" s="1409"/>
      <c r="F167" s="1410">
        <f>VLOOKUP(D167,Data!$L$1027:$N$1041,2,0)</f>
        <v>103000</v>
      </c>
      <c r="G167" s="1410" t="s">
        <v>92</v>
      </c>
      <c r="H167" s="2890">
        <f ca="1">input!$E1174+input!$F1174</f>
        <v>0</v>
      </c>
      <c r="I167" s="2890">
        <f>IF($B167="N",0,ROUNDUP((MAX($M$8,$L$8)*(1+$F$3)/VLOOKUP($B167,Paper!$A$7:$AB$30,9,0)*VLOOKUP($B167,Paper!$A$7:$AB$30,11,0)*(1+VLOOKUP($B167,Paper!$A$7:$AB$30,12,0))+50*$H167)/$J167/VLOOKUP($B167,Paper!$A$7:$AC$30,28,0),0))</f>
        <v>0</v>
      </c>
      <c r="J167" s="1411">
        <f>VLOOKUP($B167,Paper!$A$7:$AB$30,10,0)</f>
        <v>0</v>
      </c>
      <c r="K167" s="2614">
        <f t="shared" si="12"/>
        <v>0</v>
      </c>
      <c r="L167" s="2615">
        <f t="shared" si="13"/>
        <v>0</v>
      </c>
      <c r="M167" s="2616">
        <f t="shared" si="14"/>
        <v>0</v>
      </c>
      <c r="N167" s="1400">
        <f>IF($M$8&gt;0,M167,L167)</f>
        <v>0</v>
      </c>
      <c r="P167" s="833" t="str">
        <f>input!$J$1174</f>
        <v>N</v>
      </c>
      <c r="AB167" s="318"/>
      <c r="AC167" s="997"/>
      <c r="AD167" s="997"/>
      <c r="AE167" s="318"/>
      <c r="AF167" s="998"/>
      <c r="AG167" s="998"/>
      <c r="AH167" s="998"/>
      <c r="AI167" s="998"/>
      <c r="AJ167" s="998"/>
      <c r="AO167" s="998"/>
      <c r="AT167" s="413">
        <f t="shared" si="11"/>
        <v>0</v>
      </c>
      <c r="AU167" s="136">
        <f ca="1">COUNTIFS(AT$7:$AT167,1)</f>
        <v>3</v>
      </c>
    </row>
    <row r="168" spans="1:47" ht="19.5" customHeight="1">
      <c r="B168" s="333"/>
      <c r="C168" s="320"/>
      <c r="F168" s="1000"/>
      <c r="G168" s="1000"/>
      <c r="H168" s="320"/>
      <c r="I168" s="320"/>
      <c r="J168" s="1002"/>
      <c r="K168" s="995"/>
      <c r="L168" s="924"/>
      <c r="M168" s="1001"/>
      <c r="N168" s="1004"/>
      <c r="Y168" s="1003"/>
      <c r="AA168" s="1003"/>
      <c r="AB168" s="1003"/>
      <c r="AE168" s="1003"/>
      <c r="AF168" s="1003"/>
      <c r="AG168" s="318"/>
      <c r="AH168" s="318"/>
      <c r="AI168" s="318"/>
      <c r="AO168" s="318"/>
      <c r="AT168" s="413"/>
    </row>
    <row r="169" spans="1:47" ht="19.5" customHeight="1">
      <c r="B169" s="333"/>
      <c r="C169" s="320"/>
      <c r="F169" s="1000"/>
      <c r="G169" s="1000"/>
      <c r="H169" s="320"/>
      <c r="I169" s="320"/>
      <c r="J169" s="1002"/>
      <c r="K169" s="995"/>
      <c r="L169" s="924"/>
      <c r="M169" s="1001"/>
      <c r="N169" s="1004"/>
      <c r="Y169" s="1003"/>
      <c r="AA169" s="1003"/>
      <c r="AB169" s="1003"/>
      <c r="AE169" s="1003"/>
      <c r="AF169" s="1003"/>
      <c r="AG169" s="318"/>
      <c r="AH169" s="318"/>
      <c r="AI169" s="318"/>
      <c r="AO169" s="318"/>
      <c r="AT169" s="413"/>
    </row>
    <row r="170" spans="1:47" ht="19.5" customHeight="1">
      <c r="B170" s="333"/>
      <c r="C170" s="320"/>
      <c r="F170" s="1000"/>
      <c r="G170" s="1000"/>
      <c r="H170" s="320"/>
      <c r="I170" s="320"/>
      <c r="J170" s="1002"/>
      <c r="K170" s="995"/>
      <c r="L170" s="924"/>
      <c r="M170" s="1001"/>
      <c r="N170" s="1004"/>
      <c r="Y170" s="1003"/>
      <c r="AA170" s="1003"/>
      <c r="AB170" s="1003"/>
      <c r="AE170" s="1003"/>
      <c r="AF170" s="1003"/>
      <c r="AG170" s="318"/>
      <c r="AH170" s="318"/>
      <c r="AI170" s="318"/>
      <c r="AO170" s="318"/>
      <c r="AT170" s="413"/>
    </row>
    <row r="171" spans="1:47" ht="19.5" customHeight="1">
      <c r="B171" s="333"/>
      <c r="C171" s="320"/>
      <c r="F171" s="1000">
        <f ca="1">SUMIF(Paper!$A$7:$A$29,'Fix Cost'!$B142,Paper!$AC$7:$AC$29)</f>
        <v>0</v>
      </c>
      <c r="G171" s="1000"/>
      <c r="H171" s="320"/>
      <c r="I171" s="320"/>
      <c r="J171" s="1002"/>
      <c r="K171" s="995"/>
      <c r="L171" s="924"/>
      <c r="M171" s="1001"/>
      <c r="N171" s="1004"/>
      <c r="Y171" s="1003"/>
      <c r="AA171" s="1003"/>
      <c r="AB171" s="1003"/>
      <c r="AE171" s="1003"/>
      <c r="AF171" s="1003"/>
      <c r="AG171" s="318"/>
      <c r="AH171" s="318"/>
      <c r="AI171" s="318"/>
      <c r="AO171" s="318"/>
      <c r="AT171" s="413"/>
    </row>
    <row r="172" spans="1:47" ht="19.5" customHeight="1">
      <c r="F172" s="136"/>
      <c r="I172" s="136"/>
      <c r="J172" s="136"/>
      <c r="AF172" s="1003"/>
      <c r="AG172" s="318"/>
      <c r="AH172" s="318"/>
      <c r="AI172" s="318"/>
      <c r="AN172" s="318"/>
      <c r="AO172" s="318"/>
      <c r="AT172" s="413"/>
    </row>
    <row r="173" spans="1:47" ht="19.5" customHeight="1">
      <c r="A173" s="333"/>
      <c r="B173" s="319" t="s">
        <v>1460</v>
      </c>
      <c r="D173" s="720" t="str">
        <f>input!B5</f>
        <v>Simple pack</v>
      </c>
      <c r="F173" s="1272">
        <f ca="1">SUM(Paper!AC7:AC21,Paper!AC27:AC29,Paper!AC34:AC48,Paper!AC53:AC57)</f>
        <v>5450</v>
      </c>
      <c r="G173" s="1272" t="s">
        <v>5</v>
      </c>
      <c r="H173" s="1272"/>
      <c r="I173" s="1272"/>
      <c r="J173" s="1272"/>
      <c r="K173" s="1272"/>
      <c r="L173" s="3120">
        <f ca="1">'Production cost'!AB5</f>
        <v>4809040.7915724861</v>
      </c>
      <c r="M173" s="1272" t="s">
        <v>92</v>
      </c>
      <c r="N173" s="1005">
        <f ca="1">L173/$D$2</f>
        <v>961.80815831449718</v>
      </c>
      <c r="O173" s="136" t="s">
        <v>97</v>
      </c>
      <c r="AB173" s="384"/>
      <c r="AC173" s="384"/>
      <c r="AD173" s="384"/>
      <c r="AT173" s="413"/>
    </row>
    <row r="174" spans="1:47" ht="19.5" customHeight="1">
      <c r="A174" s="333"/>
      <c r="B174" s="319"/>
      <c r="D174" s="720"/>
      <c r="F174" s="950"/>
      <c r="G174" s="950"/>
      <c r="H174" s="950"/>
      <c r="I174" s="950"/>
      <c r="J174" s="950"/>
      <c r="K174" s="950"/>
      <c r="L174" s="950"/>
      <c r="M174" s="950"/>
      <c r="N174" s="1005"/>
      <c r="AB174" s="384"/>
      <c r="AC174" s="384"/>
      <c r="AD174" s="384"/>
      <c r="AT174" s="413"/>
    </row>
    <row r="175" spans="1:47" ht="19.5" customHeight="1">
      <c r="F175" s="136"/>
      <c r="I175" s="136"/>
      <c r="J175" s="136"/>
      <c r="AT175" s="413"/>
    </row>
    <row r="176" spans="1:47" ht="19.5" customHeight="1">
      <c r="A176" s="3109" t="s">
        <v>3166</v>
      </c>
      <c r="B176" s="3110" t="s">
        <v>3167</v>
      </c>
      <c r="C176" s="3110" t="s">
        <v>3168</v>
      </c>
      <c r="D176" s="3111" t="s">
        <v>267</v>
      </c>
      <c r="E176" s="3111" t="s">
        <v>78</v>
      </c>
      <c r="F176" s="3112"/>
      <c r="G176" s="3112" t="s">
        <v>2063</v>
      </c>
      <c r="H176" s="3111"/>
      <c r="K176" s="3107" t="s">
        <v>3169</v>
      </c>
      <c r="L176" s="3108" t="s">
        <v>3170</v>
      </c>
      <c r="M176" s="3108" t="s">
        <v>3171</v>
      </c>
      <c r="AT176" s="413"/>
    </row>
    <row r="177" spans="1:46" ht="19.5" customHeight="1">
      <c r="A177" s="136" t="s">
        <v>3172</v>
      </c>
      <c r="B177" s="2827">
        <v>0</v>
      </c>
      <c r="C177" s="2827">
        <v>0.1221997308599386</v>
      </c>
      <c r="D177" s="1039">
        <v>0.05</v>
      </c>
      <c r="K177" s="2974" t="s">
        <v>139</v>
      </c>
      <c r="L177" s="2977">
        <v>84211.577419609195</v>
      </c>
      <c r="M177" s="2977">
        <v>716285.31885375059</v>
      </c>
      <c r="AT177" s="413"/>
    </row>
    <row r="178" spans="1:46" ht="19.5" customHeight="1">
      <c r="A178" s="136" t="s">
        <v>3173</v>
      </c>
      <c r="B178" s="2827">
        <v>0</v>
      </c>
      <c r="C178" s="2827">
        <v>0</v>
      </c>
      <c r="D178" s="1039">
        <v>0.05</v>
      </c>
      <c r="F178" s="136"/>
      <c r="I178" s="136"/>
      <c r="J178" s="136"/>
      <c r="K178" s="2974" t="s">
        <v>3174</v>
      </c>
      <c r="L178" s="2977">
        <v>58449.923860467366</v>
      </c>
      <c r="M178" s="2977">
        <v>267411.04680782068</v>
      </c>
      <c r="AT178" s="413"/>
    </row>
    <row r="179" spans="1:46" ht="19.5" customHeight="1">
      <c r="A179" s="136" t="s">
        <v>3175</v>
      </c>
      <c r="B179" s="2827">
        <v>0</v>
      </c>
      <c r="C179" s="2827">
        <v>0</v>
      </c>
      <c r="D179" s="1039">
        <v>0.05</v>
      </c>
      <c r="K179" s="2974" t="s">
        <v>3176</v>
      </c>
      <c r="L179" s="2977">
        <v>32032.115313968527</v>
      </c>
      <c r="M179" s="2977">
        <v>267567.54920876794</v>
      </c>
      <c r="AT179" s="413"/>
    </row>
    <row r="180" spans="1:46" ht="19.5" customHeight="1">
      <c r="A180" s="136" t="s">
        <v>3246</v>
      </c>
      <c r="B180" s="2827">
        <v>0</v>
      </c>
      <c r="C180" s="2827">
        <v>0</v>
      </c>
      <c r="D180" s="1039">
        <v>0.05</v>
      </c>
      <c r="L180" s="316"/>
      <c r="M180" s="316"/>
      <c r="AT180" s="413"/>
    </row>
    <row r="181" spans="1:46" ht="19.5" customHeight="1">
      <c r="A181" s="136" t="s">
        <v>3177</v>
      </c>
      <c r="B181" s="2827">
        <v>0</v>
      </c>
      <c r="C181" s="2827">
        <v>0.10086763436833872</v>
      </c>
      <c r="D181" s="1039">
        <v>0.05</v>
      </c>
      <c r="K181" s="386"/>
      <c r="Q181" s="383"/>
      <c r="AT181" s="413"/>
    </row>
    <row r="182" spans="1:46" ht="19.5" customHeight="1">
      <c r="A182" s="136" t="s">
        <v>2228</v>
      </c>
      <c r="B182" s="2827">
        <v>0</v>
      </c>
      <c r="C182" s="2827">
        <v>0.18248913995411975</v>
      </c>
      <c r="D182" s="1039">
        <v>0.05</v>
      </c>
      <c r="K182" s="386"/>
      <c r="AT182" s="413"/>
    </row>
    <row r="183" spans="1:46" ht="19.5" customHeight="1">
      <c r="A183" s="136" t="s">
        <v>3178</v>
      </c>
      <c r="B183" s="2827">
        <v>0</v>
      </c>
      <c r="C183" s="2827">
        <v>0.1210903425392785</v>
      </c>
      <c r="D183" s="1039">
        <v>0.05</v>
      </c>
      <c r="K183" s="386"/>
      <c r="AT183" s="413"/>
    </row>
    <row r="184" spans="1:46" ht="19.5" customHeight="1">
      <c r="A184" s="136" t="s">
        <v>3179</v>
      </c>
      <c r="B184" s="2827">
        <v>0</v>
      </c>
      <c r="C184" s="2827">
        <v>0.11048586312086321</v>
      </c>
      <c r="D184" s="1039">
        <v>0.05</v>
      </c>
      <c r="G184" s="136" t="s">
        <v>2313</v>
      </c>
      <c r="H184" s="136">
        <v>200</v>
      </c>
      <c r="K184" s="386"/>
      <c r="T184" s="1006"/>
    </row>
    <row r="185" spans="1:46" ht="19.5" customHeight="1">
      <c r="A185" s="136" t="s">
        <v>3180</v>
      </c>
      <c r="B185" s="2827">
        <v>0</v>
      </c>
      <c r="C185" s="2827">
        <v>0.17395185870739568</v>
      </c>
      <c r="D185" s="1039">
        <v>0.05</v>
      </c>
      <c r="K185" s="386"/>
    </row>
    <row r="186" spans="1:46" ht="19.5" customHeight="1">
      <c r="A186" s="136" t="s">
        <v>3181</v>
      </c>
      <c r="B186" s="2827">
        <v>0</v>
      </c>
      <c r="C186" s="2827">
        <v>0.185006857256274</v>
      </c>
      <c r="D186" s="1039">
        <v>0.05</v>
      </c>
    </row>
    <row r="187" spans="1:46" ht="19.5" customHeight="1">
      <c r="A187" s="136" t="s">
        <v>3182</v>
      </c>
      <c r="B187" s="2827">
        <v>0.15898388329752258</v>
      </c>
      <c r="C187" s="2827">
        <v>0.20964603103046242</v>
      </c>
      <c r="D187" s="1039">
        <v>0.05</v>
      </c>
      <c r="G187" s="136" t="s">
        <v>3183</v>
      </c>
      <c r="H187" s="136">
        <v>200</v>
      </c>
    </row>
    <row r="188" spans="1:46" ht="19.5" customHeight="1">
      <c r="A188" s="136" t="s">
        <v>3184</v>
      </c>
      <c r="B188" s="2827">
        <v>0</v>
      </c>
      <c r="C188" s="2827">
        <v>0.24510312595116199</v>
      </c>
      <c r="D188" s="1039">
        <v>0.05</v>
      </c>
      <c r="U188" s="833"/>
      <c r="W188" s="833"/>
    </row>
    <row r="189" spans="1:46" ht="19.5" customHeight="1">
      <c r="A189" s="136" t="s">
        <v>3185</v>
      </c>
      <c r="B189" s="2827">
        <v>0</v>
      </c>
      <c r="C189" s="2827">
        <v>7.4497406384407772E-2</v>
      </c>
      <c r="D189" s="1039">
        <v>0.05</v>
      </c>
      <c r="U189" s="833"/>
      <c r="W189" s="833"/>
    </row>
    <row r="190" spans="1:46" ht="19.5" customHeight="1">
      <c r="A190" s="136" t="s">
        <v>3186</v>
      </c>
      <c r="B190" s="2827">
        <v>0.13101949634300866</v>
      </c>
      <c r="C190" s="2827">
        <v>0.20984298375401456</v>
      </c>
      <c r="D190" s="1039">
        <v>0.05</v>
      </c>
      <c r="E190" s="136" t="s">
        <v>3187</v>
      </c>
      <c r="F190" s="3127">
        <v>0.06</v>
      </c>
      <c r="U190" s="833"/>
      <c r="W190" s="833"/>
    </row>
    <row r="191" spans="1:46" ht="19.5" customHeight="1">
      <c r="A191" s="136" t="s">
        <v>3188</v>
      </c>
      <c r="B191" s="2827">
        <v>0.60447085046446281</v>
      </c>
      <c r="C191" s="2827">
        <v>0</v>
      </c>
      <c r="D191" s="1039">
        <v>0.05</v>
      </c>
      <c r="E191" s="136" t="s">
        <v>2314</v>
      </c>
      <c r="F191" s="3127">
        <v>0.06</v>
      </c>
      <c r="U191" s="833"/>
      <c r="W191" s="833"/>
    </row>
    <row r="192" spans="1:46" ht="19.5" customHeight="1">
      <c r="A192" s="136" t="s">
        <v>3189</v>
      </c>
      <c r="B192" s="2827">
        <v>0.34117390068143366</v>
      </c>
      <c r="C192" s="2827">
        <v>0.22066920492001274</v>
      </c>
      <c r="D192" s="1039">
        <v>0.05</v>
      </c>
      <c r="F192" s="3127"/>
      <c r="I192" s="136"/>
      <c r="J192" s="136"/>
    </row>
    <row r="193" spans="1:22" ht="19.5" customHeight="1">
      <c r="A193" s="136" t="s">
        <v>3190</v>
      </c>
      <c r="B193" s="2827">
        <v>0</v>
      </c>
      <c r="C193" s="2827">
        <v>0</v>
      </c>
      <c r="D193" s="1039">
        <v>0.05</v>
      </c>
      <c r="F193" s="3127"/>
      <c r="I193" s="136"/>
      <c r="J193" s="136"/>
      <c r="Q193" s="833"/>
    </row>
    <row r="194" spans="1:22" ht="19.5" customHeight="1">
      <c r="A194" s="136" t="s">
        <v>3191</v>
      </c>
      <c r="B194" s="2827">
        <v>0</v>
      </c>
      <c r="C194" s="2827">
        <v>0.46369907696889323</v>
      </c>
      <c r="D194" s="1039">
        <v>0.05</v>
      </c>
      <c r="F194" s="3127"/>
      <c r="I194" s="136"/>
      <c r="J194" s="136"/>
      <c r="Q194" s="383"/>
      <c r="V194" s="383"/>
    </row>
    <row r="195" spans="1:22" ht="19.5" customHeight="1">
      <c r="A195" s="136" t="s">
        <v>3192</v>
      </c>
      <c r="B195" s="2827">
        <v>0</v>
      </c>
      <c r="C195" s="2827">
        <v>6.577293794179874E-2</v>
      </c>
      <c r="D195" s="1039">
        <v>0.05</v>
      </c>
      <c r="F195" s="3127"/>
      <c r="I195" s="136"/>
      <c r="J195" s="136"/>
      <c r="V195" s="383"/>
    </row>
    <row r="196" spans="1:22" ht="19.5" customHeight="1">
      <c r="A196" s="136" t="s">
        <v>3193</v>
      </c>
      <c r="B196" s="2827">
        <v>0</v>
      </c>
      <c r="C196" s="2827">
        <v>0.10371344479948459</v>
      </c>
      <c r="D196" s="1039">
        <v>0.05</v>
      </c>
      <c r="F196" s="3127"/>
      <c r="I196" s="136"/>
      <c r="J196" s="136"/>
      <c r="V196" s="383"/>
    </row>
    <row r="197" spans="1:22" ht="19.5" customHeight="1">
      <c r="A197" s="136" t="s">
        <v>3194</v>
      </c>
      <c r="B197" s="2827">
        <v>0</v>
      </c>
      <c r="C197" s="2827">
        <v>0.21391928987035133</v>
      </c>
      <c r="D197" s="1039">
        <v>0.05</v>
      </c>
      <c r="F197" s="3127"/>
      <c r="I197" s="136"/>
      <c r="J197" s="136"/>
      <c r="V197" s="383"/>
    </row>
    <row r="198" spans="1:22" ht="19.5" customHeight="1">
      <c r="A198" s="136" t="s">
        <v>3195</v>
      </c>
      <c r="B198" s="3126">
        <v>0</v>
      </c>
      <c r="C198" s="2827">
        <v>0.16722233258211514</v>
      </c>
      <c r="D198" s="1039">
        <v>0.05</v>
      </c>
      <c r="F198" s="3127"/>
      <c r="I198" s="136"/>
      <c r="J198" s="136"/>
      <c r="V198" s="383"/>
    </row>
    <row r="199" spans="1:22" ht="19.5" customHeight="1">
      <c r="A199" s="136" t="s">
        <v>3196</v>
      </c>
      <c r="B199" s="2827">
        <v>0.16437032026221329</v>
      </c>
      <c r="C199" s="2827">
        <v>0</v>
      </c>
      <c r="D199" s="1039">
        <v>0.05</v>
      </c>
      <c r="F199" s="3127"/>
      <c r="I199" s="136"/>
      <c r="J199" s="136"/>
      <c r="V199" s="383"/>
    </row>
    <row r="200" spans="1:22" ht="19.5" customHeight="1">
      <c r="A200" s="136" t="s">
        <v>3197</v>
      </c>
      <c r="B200" s="2827">
        <v>0</v>
      </c>
      <c r="C200" s="2827">
        <v>0.16774492345824257</v>
      </c>
      <c r="D200" s="1039">
        <v>0.05</v>
      </c>
      <c r="F200" s="3127"/>
      <c r="I200" s="136"/>
      <c r="J200" s="136"/>
      <c r="V200" s="383"/>
    </row>
    <row r="201" spans="1:22" ht="19.5" customHeight="1">
      <c r="A201" s="136" t="s">
        <v>3198</v>
      </c>
      <c r="B201" s="2827">
        <v>0</v>
      </c>
      <c r="C201" s="2827">
        <v>0.13426860548334063</v>
      </c>
      <c r="D201" s="1039">
        <v>0.05</v>
      </c>
      <c r="F201" s="3127"/>
      <c r="I201" s="136"/>
      <c r="J201" s="136"/>
      <c r="V201" s="383"/>
    </row>
    <row r="202" spans="1:22" ht="19.5" customHeight="1">
      <c r="A202" s="136" t="s">
        <v>3199</v>
      </c>
      <c r="B202" s="2827">
        <v>0</v>
      </c>
      <c r="C202" s="2827">
        <v>0.19688949482904078</v>
      </c>
      <c r="D202" s="1039">
        <v>0.05</v>
      </c>
      <c r="F202" s="3127"/>
      <c r="I202" s="136"/>
      <c r="J202" s="136"/>
      <c r="V202" s="383"/>
    </row>
    <row r="203" spans="1:22" ht="19.5" customHeight="1">
      <c r="A203" s="136" t="s">
        <v>1719</v>
      </c>
      <c r="B203" s="2827">
        <v>0.23857833172744153</v>
      </c>
      <c r="C203" s="2827">
        <v>0.21036622916199815</v>
      </c>
      <c r="D203" s="1039">
        <v>0.05</v>
      </c>
      <c r="F203" s="3127"/>
      <c r="G203" s="136" t="s">
        <v>2316</v>
      </c>
      <c r="H203" s="136">
        <v>200</v>
      </c>
      <c r="I203" s="136"/>
      <c r="J203" s="136"/>
      <c r="V203" s="383"/>
    </row>
    <row r="204" spans="1:22" ht="19.5" customHeight="1">
      <c r="A204" s="136" t="s">
        <v>3200</v>
      </c>
      <c r="B204" s="2827">
        <v>0</v>
      </c>
      <c r="C204" s="2827">
        <v>5.2227420997260507E-2</v>
      </c>
      <c r="D204" s="1039">
        <v>0.05</v>
      </c>
      <c r="F204" s="3127"/>
      <c r="I204" s="136"/>
      <c r="J204" s="136"/>
    </row>
    <row r="205" spans="1:22" ht="19.5" customHeight="1">
      <c r="A205" s="136" t="s">
        <v>3201</v>
      </c>
      <c r="B205" s="2827">
        <v>0</v>
      </c>
      <c r="C205" s="2827">
        <v>0.13987417928792539</v>
      </c>
      <c r="D205" s="1039">
        <v>0.05</v>
      </c>
      <c r="F205" s="3127"/>
      <c r="I205" s="136"/>
      <c r="J205" s="136"/>
    </row>
    <row r="206" spans="1:22" ht="19.5" customHeight="1">
      <c r="A206" s="136" t="s">
        <v>3202</v>
      </c>
      <c r="B206" s="2827">
        <v>0</v>
      </c>
      <c r="C206" s="2827">
        <v>0.21595164250169449</v>
      </c>
      <c r="D206" s="1039">
        <v>0.05</v>
      </c>
      <c r="F206" s="3127"/>
      <c r="I206" s="136"/>
      <c r="J206" s="136"/>
    </row>
    <row r="207" spans="1:22" ht="19.5" customHeight="1">
      <c r="A207" s="136" t="s">
        <v>3203</v>
      </c>
      <c r="B207" s="2827">
        <v>0</v>
      </c>
      <c r="C207" s="2827">
        <v>8.6574811994916845E-2</v>
      </c>
      <c r="D207" s="1039">
        <v>0.05</v>
      </c>
      <c r="F207" s="3127"/>
      <c r="I207" s="136"/>
      <c r="J207" s="136"/>
    </row>
    <row r="208" spans="1:22" ht="19.5" customHeight="1">
      <c r="A208" s="136" t="s">
        <v>3204</v>
      </c>
      <c r="B208" s="2827">
        <v>0</v>
      </c>
      <c r="C208" s="2827">
        <v>0.12336894732333732</v>
      </c>
      <c r="D208" s="1039">
        <v>0.05</v>
      </c>
      <c r="F208" s="3127"/>
      <c r="I208" s="136"/>
      <c r="J208" s="136"/>
    </row>
    <row r="209" spans="1:16" ht="19.5" customHeight="1">
      <c r="A209" s="136" t="s">
        <v>3205</v>
      </c>
      <c r="B209" s="2827">
        <v>0</v>
      </c>
      <c r="C209" s="2827">
        <v>0.14746762134496585</v>
      </c>
      <c r="D209" s="1039">
        <v>0.05</v>
      </c>
      <c r="F209" s="3127"/>
      <c r="I209" s="136"/>
      <c r="J209" s="136"/>
    </row>
    <row r="210" spans="1:16" ht="19.5" customHeight="1">
      <c r="A210" s="136" t="s">
        <v>3206</v>
      </c>
      <c r="B210" s="2827">
        <v>0</v>
      </c>
      <c r="C210" s="2827">
        <v>0.20791792827760705</v>
      </c>
      <c r="D210" s="1039">
        <v>0.05</v>
      </c>
      <c r="F210" s="3127"/>
      <c r="I210" s="136"/>
      <c r="J210" s="136"/>
      <c r="O210" s="1001"/>
      <c r="P210" s="1007"/>
    </row>
    <row r="211" spans="1:16" ht="19.5" customHeight="1">
      <c r="A211" s="136" t="s">
        <v>3247</v>
      </c>
      <c r="B211" s="2827">
        <v>0.29457855099657732</v>
      </c>
      <c r="C211" s="2827">
        <v>0.10300029352850625</v>
      </c>
      <c r="D211" s="1039">
        <v>0.05</v>
      </c>
      <c r="E211" s="136" t="s">
        <v>2313</v>
      </c>
      <c r="F211" s="3127">
        <v>0.06</v>
      </c>
      <c r="I211" s="136"/>
      <c r="J211" s="136"/>
      <c r="O211" s="1001"/>
      <c r="P211" s="1007"/>
    </row>
    <row r="212" spans="1:16" ht="19.5" customHeight="1">
      <c r="A212" s="136" t="s">
        <v>3207</v>
      </c>
      <c r="B212" s="2827">
        <v>0</v>
      </c>
      <c r="C212" s="2827">
        <v>0.15731409012170983</v>
      </c>
      <c r="D212" s="1039">
        <v>0</v>
      </c>
      <c r="F212" s="3127"/>
      <c r="I212" s="136"/>
      <c r="J212" s="136"/>
      <c r="P212" s="1007"/>
    </row>
    <row r="213" spans="1:16" ht="19.5" customHeight="1">
      <c r="A213" s="136" t="s">
        <v>3208</v>
      </c>
      <c r="B213" s="2827">
        <v>0</v>
      </c>
      <c r="C213" s="2827">
        <v>8.7577876913766228E-2</v>
      </c>
      <c r="D213" s="1039">
        <v>0.05</v>
      </c>
      <c r="F213" s="3127"/>
      <c r="I213" s="136"/>
      <c r="J213" s="136"/>
    </row>
    <row r="214" spans="1:16" ht="19.5" customHeight="1">
      <c r="A214" s="136" t="s">
        <v>2001</v>
      </c>
      <c r="B214" s="2827">
        <v>0</v>
      </c>
      <c r="C214" s="2827">
        <v>0.10940811893860203</v>
      </c>
      <c r="D214" s="1039">
        <v>0.05</v>
      </c>
      <c r="F214" s="3127"/>
      <c r="I214" s="136"/>
      <c r="J214" s="136"/>
    </row>
    <row r="215" spans="1:16" ht="19.5" customHeight="1">
      <c r="A215" s="136" t="s">
        <v>3209</v>
      </c>
      <c r="B215" s="2827">
        <v>0</v>
      </c>
      <c r="C215" s="2827">
        <v>0.13510348705830719</v>
      </c>
      <c r="D215" s="1039">
        <v>0.05</v>
      </c>
      <c r="F215" s="3127"/>
      <c r="I215" s="136"/>
      <c r="J215" s="136"/>
    </row>
    <row r="216" spans="1:16" ht="19.5" customHeight="1">
      <c r="A216" s="136" t="s">
        <v>3210</v>
      </c>
      <c r="B216" s="2827">
        <v>0.25620149710539686</v>
      </c>
      <c r="C216" s="2827">
        <v>0</v>
      </c>
      <c r="D216" s="1039">
        <v>0.05</v>
      </c>
      <c r="F216" s="3127"/>
      <c r="I216" s="136"/>
      <c r="J216" s="136"/>
    </row>
    <row r="217" spans="1:16" ht="19.5" customHeight="1">
      <c r="A217" s="136" t="s">
        <v>3211</v>
      </c>
      <c r="B217" s="2827">
        <v>0</v>
      </c>
      <c r="C217" s="2827">
        <v>9.5690506498476213E-2</v>
      </c>
      <c r="D217" s="1039">
        <v>0.05</v>
      </c>
      <c r="F217" s="3127"/>
      <c r="I217" s="136"/>
      <c r="J217" s="136"/>
    </row>
    <row r="218" spans="1:16" ht="19.5" customHeight="1">
      <c r="A218" s="136" t="s">
        <v>3212</v>
      </c>
      <c r="B218" s="2827">
        <v>0</v>
      </c>
      <c r="C218" s="2827">
        <v>0.1438073077184541</v>
      </c>
      <c r="D218" s="1039">
        <v>0.05</v>
      </c>
      <c r="F218" s="3127"/>
      <c r="I218" s="136"/>
      <c r="J218" s="136"/>
    </row>
    <row r="219" spans="1:16" ht="19.5" customHeight="1">
      <c r="A219" s="136" t="s">
        <v>3213</v>
      </c>
      <c r="B219" s="2827">
        <v>0</v>
      </c>
      <c r="C219" s="2827">
        <v>0.10475524854756432</v>
      </c>
      <c r="D219" s="1039">
        <v>0.05</v>
      </c>
      <c r="F219" s="3127"/>
      <c r="I219" s="136"/>
      <c r="J219" s="136"/>
    </row>
    <row r="220" spans="1:16" ht="19.5" customHeight="1">
      <c r="A220" s="136" t="s">
        <v>3214</v>
      </c>
      <c r="B220" s="2827">
        <v>0.18786148074505532</v>
      </c>
      <c r="C220" s="2827"/>
      <c r="D220" s="1039">
        <v>0.05</v>
      </c>
      <c r="E220" s="136" t="s">
        <v>3187</v>
      </c>
      <c r="F220" s="3127">
        <v>0.06</v>
      </c>
      <c r="I220" s="136"/>
      <c r="J220" s="136"/>
    </row>
    <row r="221" spans="1:16" ht="19.5" customHeight="1">
      <c r="A221" s="136" t="s">
        <v>3215</v>
      </c>
      <c r="B221" s="2827">
        <v>0</v>
      </c>
      <c r="C221" s="2827">
        <v>0.1327879457801362</v>
      </c>
      <c r="D221" s="1039">
        <v>0.05</v>
      </c>
      <c r="F221" s="3127"/>
      <c r="I221" s="136"/>
      <c r="J221" s="136"/>
    </row>
    <row r="222" spans="1:16" ht="19.5" customHeight="1">
      <c r="A222" s="136" t="s">
        <v>3216</v>
      </c>
      <c r="B222" s="2827">
        <v>0</v>
      </c>
      <c r="C222" s="2827">
        <v>0.18937948861206189</v>
      </c>
      <c r="D222" s="1039">
        <v>0.05</v>
      </c>
      <c r="F222" s="3127"/>
      <c r="I222" s="136"/>
      <c r="J222" s="136"/>
    </row>
    <row r="223" spans="1:16" ht="19.5" customHeight="1">
      <c r="A223" s="136" t="s">
        <v>3217</v>
      </c>
      <c r="B223" s="2827">
        <v>0</v>
      </c>
      <c r="C223" s="2827">
        <v>2.3087667476766108E-2</v>
      </c>
      <c r="D223" s="1039">
        <v>0.05</v>
      </c>
      <c r="F223" s="3127"/>
      <c r="I223" s="136"/>
      <c r="J223" s="136"/>
    </row>
    <row r="224" spans="1:16" ht="19.5" customHeight="1">
      <c r="A224" s="136" t="s">
        <v>676</v>
      </c>
      <c r="B224" s="2827">
        <v>0</v>
      </c>
      <c r="C224" s="2827">
        <v>0.20624541974247362</v>
      </c>
      <c r="D224" s="1039">
        <v>0.05</v>
      </c>
      <c r="F224" s="3127"/>
      <c r="I224" s="136"/>
      <c r="J224" s="136"/>
    </row>
    <row r="225" spans="1:10" ht="19.5" customHeight="1">
      <c r="A225" s="136" t="s">
        <v>3218</v>
      </c>
      <c r="B225" s="2827">
        <v>0</v>
      </c>
      <c r="C225" s="2827">
        <v>7.9073343259833978E-2</v>
      </c>
      <c r="D225" s="1039">
        <v>0.05</v>
      </c>
      <c r="F225" s="3127"/>
      <c r="I225" s="136"/>
      <c r="J225" s="136"/>
    </row>
    <row r="226" spans="1:10" ht="19.5" customHeight="1">
      <c r="A226" s="136" t="s">
        <v>3219</v>
      </c>
      <c r="B226" s="2827">
        <v>0</v>
      </c>
      <c r="C226" s="2827">
        <v>6.4720275806570221E-2</v>
      </c>
      <c r="D226" s="1039">
        <v>0.05</v>
      </c>
      <c r="F226" s="3127"/>
      <c r="I226" s="136"/>
      <c r="J226" s="136"/>
    </row>
    <row r="227" spans="1:10" ht="19.5" customHeight="1">
      <c r="A227" s="136" t="s">
        <v>3220</v>
      </c>
      <c r="B227" s="2827"/>
      <c r="C227" s="2827">
        <v>0.13786119150291035</v>
      </c>
      <c r="D227" s="1039">
        <v>0.05</v>
      </c>
      <c r="E227" s="1266" t="s">
        <v>3221</v>
      </c>
      <c r="F227" s="3127">
        <v>0.06</v>
      </c>
      <c r="G227" s="136" t="s">
        <v>3222</v>
      </c>
      <c r="H227" s="136">
        <v>200</v>
      </c>
      <c r="I227" s="136"/>
      <c r="J227" s="136"/>
    </row>
    <row r="228" spans="1:10" ht="19.5" customHeight="1">
      <c r="A228" s="136" t="s">
        <v>3223</v>
      </c>
      <c r="B228" s="2827">
        <v>0</v>
      </c>
      <c r="C228" s="2827">
        <v>0</v>
      </c>
      <c r="D228" s="1039">
        <v>0.05</v>
      </c>
      <c r="E228" s="1266"/>
      <c r="F228" s="3127"/>
      <c r="I228" s="136"/>
      <c r="J228" s="136"/>
    </row>
    <row r="229" spans="1:10" ht="19.5" customHeight="1">
      <c r="A229" s="136" t="s">
        <v>3224</v>
      </c>
      <c r="B229" s="2827">
        <v>0</v>
      </c>
      <c r="C229" s="2827">
        <v>0.19528552293126852</v>
      </c>
      <c r="D229" s="1039">
        <v>0.05</v>
      </c>
      <c r="E229" s="136" t="s">
        <v>2315</v>
      </c>
      <c r="F229" s="3127">
        <v>0.06</v>
      </c>
      <c r="I229" s="136"/>
      <c r="J229" s="136"/>
    </row>
    <row r="230" spans="1:10" ht="19.5" customHeight="1">
      <c r="A230" s="136" t="s">
        <v>3225</v>
      </c>
      <c r="B230" s="2827">
        <v>0</v>
      </c>
      <c r="C230" s="2827">
        <v>0.17712602555518228</v>
      </c>
      <c r="D230" s="1039">
        <v>0.05</v>
      </c>
      <c r="F230" s="3127"/>
      <c r="I230" s="136"/>
      <c r="J230" s="136"/>
    </row>
    <row r="231" spans="1:10" ht="19.5" customHeight="1">
      <c r="A231" s="136" t="s">
        <v>3226</v>
      </c>
      <c r="B231" s="2827">
        <v>0</v>
      </c>
      <c r="C231" s="2827">
        <v>0.1467331918597248</v>
      </c>
      <c r="D231" s="1039">
        <v>0.05</v>
      </c>
      <c r="F231" s="3127"/>
      <c r="I231" s="136"/>
      <c r="J231" s="136"/>
    </row>
    <row r="232" spans="1:10" ht="19.5" customHeight="1">
      <c r="A232" s="136" t="s">
        <v>3227</v>
      </c>
      <c r="B232" s="1039">
        <v>0</v>
      </c>
      <c r="C232" s="1039">
        <v>0.11974139505504078</v>
      </c>
      <c r="D232" s="1039">
        <v>0.05</v>
      </c>
      <c r="F232" s="3127"/>
      <c r="I232" s="136"/>
      <c r="J232" s="136"/>
    </row>
    <row r="233" spans="1:10" ht="19.5" customHeight="1">
      <c r="A233" s="136" t="s">
        <v>3228</v>
      </c>
      <c r="B233" s="1039">
        <v>0</v>
      </c>
      <c r="C233" s="1039">
        <v>0.11885078953086434</v>
      </c>
      <c r="D233" s="1039">
        <v>0.05</v>
      </c>
      <c r="F233" s="3127"/>
      <c r="I233" s="136"/>
      <c r="J233" s="136"/>
    </row>
    <row r="234" spans="1:10" ht="19.5" customHeight="1">
      <c r="A234" s="136" t="s">
        <v>3243</v>
      </c>
      <c r="B234" s="1039">
        <v>0</v>
      </c>
      <c r="C234" s="1039">
        <v>0.12084108783758134</v>
      </c>
      <c r="D234" s="1039">
        <v>0</v>
      </c>
      <c r="F234" s="3127"/>
      <c r="I234" s="136"/>
      <c r="J234" s="136"/>
    </row>
    <row r="235" spans="1:10" ht="19.5" customHeight="1">
      <c r="A235" s="136" t="s">
        <v>3229</v>
      </c>
      <c r="B235" s="1039">
        <v>0</v>
      </c>
      <c r="C235" s="1039">
        <v>8.2287268398760577E-2</v>
      </c>
      <c r="D235" s="1039">
        <v>0.05</v>
      </c>
      <c r="F235" s="3127"/>
      <c r="I235" s="136"/>
      <c r="J235" s="136"/>
    </row>
    <row r="236" spans="1:10" ht="19.5" customHeight="1">
      <c r="A236" s="136" t="s">
        <v>3230</v>
      </c>
      <c r="B236" s="1039">
        <v>0</v>
      </c>
      <c r="C236" s="1039">
        <v>0.28526176380764079</v>
      </c>
      <c r="D236" s="1039">
        <v>0.05</v>
      </c>
      <c r="F236" s="3127"/>
    </row>
    <row r="237" spans="1:10" ht="19.5" customHeight="1">
      <c r="A237" s="136" t="s">
        <v>3231</v>
      </c>
      <c r="B237" s="1039">
        <v>0</v>
      </c>
      <c r="C237" s="1039">
        <v>0.2791416427500813</v>
      </c>
      <c r="D237" s="1039">
        <v>0.05</v>
      </c>
      <c r="F237" s="3127"/>
    </row>
    <row r="238" spans="1:10" ht="19.5" customHeight="1">
      <c r="A238" s="136" t="s">
        <v>3244</v>
      </c>
      <c r="B238" s="1039">
        <v>0.14300994531874137</v>
      </c>
      <c r="C238" s="1039">
        <v>0.22769786683281648</v>
      </c>
      <c r="D238" s="1039">
        <v>0.05</v>
      </c>
      <c r="E238" s="136" t="s">
        <v>2313</v>
      </c>
      <c r="F238" s="3127">
        <v>0.06</v>
      </c>
    </row>
    <row r="239" spans="1:10" ht="19.5" customHeight="1">
      <c r="A239" s="136" t="s">
        <v>3232</v>
      </c>
      <c r="B239" s="1039">
        <v>0.17676290691099536</v>
      </c>
      <c r="C239" s="1039">
        <v>8.9499673916300246E-2</v>
      </c>
      <c r="D239" s="1039">
        <v>0.05</v>
      </c>
      <c r="E239" s="136" t="s">
        <v>2318</v>
      </c>
      <c r="F239" s="3127" t="s">
        <v>2319</v>
      </c>
      <c r="G239" s="136" t="s">
        <v>2317</v>
      </c>
      <c r="H239" s="136">
        <v>100</v>
      </c>
    </row>
    <row r="240" spans="1:10" ht="19.5" customHeight="1">
      <c r="A240" s="136" t="s">
        <v>3233</v>
      </c>
      <c r="B240" s="1039">
        <v>0</v>
      </c>
      <c r="C240" s="1039">
        <v>0.18129606999001807</v>
      </c>
      <c r="D240" s="1039">
        <v>0.05</v>
      </c>
      <c r="F240" s="3127"/>
    </row>
    <row r="241" spans="1:6" ht="19.5" customHeight="1">
      <c r="A241" s="136" t="s">
        <v>3234</v>
      </c>
      <c r="B241" s="1039">
        <v>0</v>
      </c>
      <c r="C241" s="1039">
        <v>0</v>
      </c>
      <c r="D241" s="1039">
        <v>0.05</v>
      </c>
      <c r="F241" s="3127"/>
    </row>
    <row r="242" spans="1:6" ht="19.5" customHeight="1">
      <c r="F242" s="3128"/>
    </row>
  </sheetData>
  <autoFilter ref="A6:N167" xr:uid="{00000000-0009-0000-0000-000003000000}"/>
  <phoneticPr fontId="0" type="noConversion"/>
  <pageMargins left="0.39370078740157483" right="3.937007874015748E-2" top="0.59055118110236227" bottom="0.39370078740157483" header="0.51181102362204722" footer="0.51181102362204722"/>
  <pageSetup paperSize="9" scale="9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C000"/>
  </sheetPr>
  <dimension ref="A1:XFD1310"/>
  <sheetViews>
    <sheetView showGridLines="0" topLeftCell="A16" zoomScale="83" zoomScaleNormal="83" workbookViewId="0">
      <selection activeCell="B55" sqref="A55:XFD55"/>
    </sheetView>
  </sheetViews>
  <sheetFormatPr defaultColWidth="8.85546875" defaultRowHeight="14.25"/>
  <cols>
    <col min="1" max="1" width="29" style="2776" customWidth="1"/>
    <col min="2" max="2" width="33.42578125" style="2776" customWidth="1"/>
    <col min="3" max="3" width="20.5703125" style="2776" bestFit="1" customWidth="1"/>
    <col min="4" max="4" width="14.28515625" style="2776" bestFit="1" customWidth="1"/>
    <col min="5" max="5" width="28.85546875" style="2776" bestFit="1" customWidth="1"/>
    <col min="6" max="6" width="9.28515625" style="2776" bestFit="1" customWidth="1"/>
    <col min="7" max="7" width="10.28515625" style="2776" bestFit="1" customWidth="1"/>
    <col min="8" max="11" width="9.28515625" style="2776" bestFit="1" customWidth="1"/>
    <col min="12" max="12" width="16" style="136" customWidth="1"/>
    <col min="13" max="13" width="12" style="136" customWidth="1"/>
    <col min="14" max="14" width="22.42578125" style="136" customWidth="1"/>
    <col min="15" max="15" width="21.42578125" style="136" customWidth="1"/>
    <col min="16" max="16" width="34" style="136" customWidth="1"/>
    <col min="17" max="18" width="30.42578125" style="136" customWidth="1"/>
    <col min="19" max="20" width="8.85546875" style="136"/>
    <col min="21" max="21" width="8.85546875" style="136" customWidth="1"/>
    <col min="22" max="24" width="8.85546875" style="136"/>
    <col min="25" max="25" width="13.5703125" style="136" customWidth="1"/>
    <col min="26" max="26" width="8.85546875" style="136"/>
    <col min="27" max="27" width="33.28515625" style="136" bestFit="1" customWidth="1"/>
    <col min="28" max="28" width="8.85546875" style="136"/>
    <col min="29" max="29" width="16" style="136" customWidth="1"/>
    <col min="30" max="30" width="22" style="136" customWidth="1"/>
    <col min="31" max="33" width="8.85546875" style="136"/>
    <col min="34" max="34" width="9.28515625" style="136" customWidth="1"/>
    <col min="35" max="39" width="8.85546875" style="136"/>
    <col min="40" max="40" width="21.5703125" style="136" customWidth="1"/>
    <col min="41" max="16384" width="8.85546875" style="136"/>
  </cols>
  <sheetData>
    <row r="1" spans="1:34" ht="12.75">
      <c r="A1" s="250"/>
      <c r="B1" s="3406"/>
      <c r="C1" s="3406"/>
      <c r="D1" s="3406"/>
      <c r="E1" s="3406"/>
      <c r="F1" s="136"/>
      <c r="G1" s="136"/>
      <c r="H1" s="251"/>
      <c r="I1" s="252"/>
      <c r="J1" s="136"/>
      <c r="K1" s="1582"/>
      <c r="L1" s="251"/>
      <c r="M1" s="251"/>
      <c r="N1" s="252"/>
      <c r="O1" s="253" t="s">
        <v>209</v>
      </c>
      <c r="P1" s="254"/>
      <c r="Q1" s="251"/>
      <c r="R1" s="251"/>
      <c r="S1" s="251"/>
    </row>
    <row r="2" spans="1:34" ht="12.75">
      <c r="A2" s="251"/>
      <c r="B2" s="269" t="s">
        <v>3776</v>
      </c>
      <c r="C2" s="251"/>
      <c r="D2" s="251"/>
      <c r="E2" s="251"/>
      <c r="F2" s="136"/>
      <c r="G2" s="136"/>
      <c r="H2" s="251"/>
      <c r="I2" s="252"/>
      <c r="J2" s="136"/>
      <c r="K2" s="1582"/>
      <c r="L2" s="251"/>
      <c r="M2" s="251"/>
      <c r="N2" s="252"/>
      <c r="O2" s="253" t="s">
        <v>210</v>
      </c>
      <c r="P2" s="254"/>
      <c r="Q2" s="251"/>
      <c r="R2" s="255"/>
      <c r="S2" s="251"/>
    </row>
    <row r="3" spans="1:34" ht="12.75">
      <c r="A3" s="251"/>
      <c r="B3" s="3996" t="s">
        <v>87</v>
      </c>
      <c r="C3" s="3996" t="s">
        <v>2</v>
      </c>
      <c r="D3" s="3996" t="s">
        <v>3</v>
      </c>
      <c r="E3" s="3996" t="s">
        <v>100</v>
      </c>
      <c r="F3" s="136"/>
      <c r="G3" s="136"/>
      <c r="H3" s="2962"/>
      <c r="I3" s="257"/>
      <c r="J3" s="136"/>
      <c r="K3" s="1582"/>
      <c r="L3" s="251"/>
      <c r="M3" s="256"/>
      <c r="N3" s="257"/>
      <c r="O3" s="258" t="s">
        <v>732</v>
      </c>
      <c r="P3" s="259" t="s">
        <v>733</v>
      </c>
      <c r="Q3" s="260"/>
      <c r="R3" s="261"/>
      <c r="S3" s="262"/>
    </row>
    <row r="4" spans="1:34" ht="12.75">
      <c r="A4" s="2948" t="s">
        <v>238</v>
      </c>
      <c r="B4" s="3997">
        <v>1.4364174059991575E-2</v>
      </c>
      <c r="C4" s="3998">
        <v>3.2620581792910386E-2</v>
      </c>
      <c r="D4" s="3998">
        <v>4.5846112971348996E-2</v>
      </c>
      <c r="E4" s="3999">
        <v>3.8838316855558164E-2</v>
      </c>
      <c r="F4" s="136"/>
      <c r="G4" s="136"/>
      <c r="H4" s="136"/>
      <c r="I4" s="263"/>
      <c r="J4" s="136"/>
      <c r="K4" s="1582"/>
      <c r="N4" s="263"/>
      <c r="O4" s="258" t="s">
        <v>734</v>
      </c>
      <c r="P4" s="259" t="s">
        <v>735</v>
      </c>
      <c r="Q4" s="260"/>
      <c r="R4" s="261"/>
      <c r="S4" s="262"/>
    </row>
    <row r="5" spans="1:34" ht="12.75">
      <c r="A5" s="276"/>
      <c r="B5" s="4000">
        <v>23670</v>
      </c>
      <c r="C5" s="4000">
        <v>29756.98</v>
      </c>
      <c r="D5" s="4000">
        <v>25594.1</v>
      </c>
      <c r="E5" s="4001">
        <v>663.52</v>
      </c>
      <c r="F5" s="136"/>
      <c r="G5" s="136"/>
      <c r="H5" s="136"/>
      <c r="I5" s="136"/>
      <c r="J5" s="136"/>
      <c r="K5" s="1582"/>
      <c r="O5" s="258" t="s">
        <v>736</v>
      </c>
      <c r="P5" s="259" t="s">
        <v>737</v>
      </c>
      <c r="Q5" s="260"/>
      <c r="R5" s="261"/>
      <c r="S5" s="262"/>
    </row>
    <row r="6" spans="1:34" ht="12.75">
      <c r="A6" s="250"/>
      <c r="B6" s="3407"/>
      <c r="C6" s="3408"/>
      <c r="D6" s="3407"/>
      <c r="E6" s="3407"/>
      <c r="F6" s="136"/>
      <c r="G6" s="136"/>
      <c r="H6" s="250"/>
      <c r="I6" s="136"/>
      <c r="J6" s="136"/>
      <c r="K6" s="1582"/>
      <c r="L6" s="250"/>
      <c r="M6" s="250"/>
      <c r="O6" s="264"/>
      <c r="P6" s="265"/>
      <c r="Q6" s="266"/>
      <c r="R6" s="267"/>
      <c r="S6" s="262"/>
    </row>
    <row r="7" spans="1:34" ht="12.75">
      <c r="A7" s="250" t="s">
        <v>278</v>
      </c>
      <c r="B7" s="2963">
        <v>600000</v>
      </c>
      <c r="C7" s="2964" t="s">
        <v>275</v>
      </c>
      <c r="D7" s="136"/>
      <c r="E7" s="136"/>
      <c r="F7" s="136"/>
      <c r="G7" s="136"/>
      <c r="H7" s="136"/>
      <c r="I7" s="136"/>
      <c r="J7" s="136"/>
      <c r="K7" s="1582"/>
      <c r="L7" s="250" t="s">
        <v>278</v>
      </c>
      <c r="M7" s="2426">
        <f>B7</f>
        <v>600000</v>
      </c>
      <c r="N7" s="268" t="s">
        <v>275</v>
      </c>
      <c r="O7" s="251"/>
      <c r="P7" s="269" t="str">
        <f>+B2</f>
        <v>REF. Vietcom Bank Exchange Rate Dated : 15.08.2023</v>
      </c>
      <c r="Q7" s="251"/>
      <c r="R7" s="251"/>
      <c r="S7" s="251"/>
    </row>
    <row r="8" spans="1:34" ht="12.75">
      <c r="A8" s="250" t="s">
        <v>205</v>
      </c>
      <c r="B8" s="3132">
        <v>6.4999999999999997E-4</v>
      </c>
      <c r="C8" s="271"/>
      <c r="D8" s="136"/>
      <c r="E8" s="136"/>
      <c r="F8" s="136"/>
      <c r="G8" s="136"/>
      <c r="H8" s="136"/>
      <c r="I8" s="136"/>
      <c r="J8" s="136"/>
      <c r="K8" s="1582"/>
      <c r="L8" s="250" t="s">
        <v>205</v>
      </c>
      <c r="M8" s="3133">
        <f>B8</f>
        <v>6.4999999999999997E-4</v>
      </c>
      <c r="N8" s="271"/>
      <c r="O8" s="251"/>
      <c r="P8" s="272" t="s">
        <v>1</v>
      </c>
      <c r="Q8" s="272" t="s">
        <v>2</v>
      </c>
      <c r="R8" s="272" t="s">
        <v>3</v>
      </c>
      <c r="S8" s="272" t="s">
        <v>100</v>
      </c>
    </row>
    <row r="9" spans="1:34" ht="12.75">
      <c r="A9" s="136"/>
      <c r="B9" s="136"/>
      <c r="C9" s="136"/>
      <c r="D9" s="136"/>
      <c r="E9" s="136"/>
      <c r="F9" s="136"/>
      <c r="G9" s="136"/>
      <c r="H9" s="136"/>
      <c r="I9" s="136"/>
      <c r="J9" s="136"/>
      <c r="K9" s="1582"/>
      <c r="L9" s="250"/>
      <c r="M9" s="273"/>
      <c r="N9" s="271"/>
      <c r="O9" s="274" t="s">
        <v>238</v>
      </c>
      <c r="P9" s="275">
        <f>+B4</f>
        <v>1.4364174059991575E-2</v>
      </c>
      <c r="Q9" s="3740">
        <f>+C4</f>
        <v>3.2620581792910386E-2</v>
      </c>
      <c r="R9" s="3340">
        <f>+D4</f>
        <v>4.5846112971348996E-2</v>
      </c>
      <c r="S9" s="3741">
        <f>+E4</f>
        <v>3.8838316855558164E-2</v>
      </c>
    </row>
    <row r="10" spans="1:34" ht="12.75">
      <c r="A10" s="250" t="s">
        <v>265</v>
      </c>
      <c r="B10" s="2965">
        <v>8.0000000000000002E-3</v>
      </c>
      <c r="C10" s="688">
        <v>1</v>
      </c>
      <c r="D10" s="2628"/>
      <c r="E10" s="136"/>
      <c r="F10" s="136"/>
      <c r="G10" s="136"/>
      <c r="H10" s="136"/>
      <c r="I10" s="136"/>
      <c r="J10" s="136"/>
      <c r="K10" s="1582"/>
      <c r="L10" s="250" t="s">
        <v>265</v>
      </c>
      <c r="M10" s="270">
        <f>B10</f>
        <v>8.0000000000000002E-3</v>
      </c>
      <c r="N10" s="688">
        <v>1</v>
      </c>
      <c r="O10" s="276"/>
      <c r="P10" s="277">
        <f>input!I4</f>
        <v>23670</v>
      </c>
      <c r="Q10" s="277">
        <f>input!J4</f>
        <v>29756.98</v>
      </c>
      <c r="R10" s="277">
        <f>input!K4</f>
        <v>25594.1</v>
      </c>
      <c r="S10" s="277">
        <f>input!L4</f>
        <v>663.52</v>
      </c>
    </row>
    <row r="11" spans="1:34" ht="23.25">
      <c r="A11" s="4106" t="s">
        <v>3777</v>
      </c>
      <c r="B11" s="4106"/>
      <c r="C11" s="4106"/>
      <c r="D11" s="4106"/>
      <c r="E11" s="4106"/>
      <c r="F11" s="4106"/>
      <c r="G11" s="4106"/>
      <c r="H11" s="4106"/>
      <c r="I11" s="136"/>
      <c r="J11" s="136"/>
      <c r="K11" s="1582"/>
      <c r="L11" s="981"/>
      <c r="O11" s="279"/>
      <c r="P11" s="278">
        <f>P10+(P10*P9)</f>
        <v>24010</v>
      </c>
      <c r="Q11" s="278">
        <f>Q10+(Q10*Q9)</f>
        <v>30727.67</v>
      </c>
      <c r="R11" s="278">
        <f>R10+(R10*R9)</f>
        <v>26767.49</v>
      </c>
      <c r="S11" s="3367">
        <f>S10+(S10*S9)</f>
        <v>689.29</v>
      </c>
      <c r="U11" s="3209"/>
    </row>
    <row r="12" spans="1:34" ht="28.5" customHeight="1">
      <c r="A12" s="2197"/>
      <c r="B12" s="2198" t="s">
        <v>354</v>
      </c>
      <c r="C12" s="2198" t="s">
        <v>1748</v>
      </c>
      <c r="D12" s="2198" t="s">
        <v>1744</v>
      </c>
      <c r="E12" s="2198" t="s">
        <v>204</v>
      </c>
      <c r="F12" s="2198" t="s">
        <v>1745</v>
      </c>
      <c r="G12" s="2198" t="s">
        <v>2813</v>
      </c>
      <c r="H12" s="2198" t="s">
        <v>1099</v>
      </c>
      <c r="I12" s="2198" t="s">
        <v>2811</v>
      </c>
      <c r="J12" s="2198" t="s">
        <v>2253</v>
      </c>
      <c r="K12" s="284" t="s">
        <v>2812</v>
      </c>
      <c r="L12" s="1221" t="s">
        <v>1056</v>
      </c>
      <c r="M12" s="2624" t="s">
        <v>2811</v>
      </c>
      <c r="N12" s="1221" t="s">
        <v>963</v>
      </c>
      <c r="O12" s="1221" t="s">
        <v>204</v>
      </c>
      <c r="P12" s="1222" t="s">
        <v>126</v>
      </c>
      <c r="Q12" s="1223" t="s">
        <v>14</v>
      </c>
      <c r="R12" s="1221" t="s">
        <v>950</v>
      </c>
      <c r="S12" s="1224" t="s">
        <v>650</v>
      </c>
      <c r="T12" s="1222" t="s">
        <v>202</v>
      </c>
      <c r="U12" s="1222" t="s">
        <v>649</v>
      </c>
      <c r="V12" s="1222"/>
      <c r="W12" s="1222" t="s">
        <v>1058</v>
      </c>
      <c r="X12" s="1222" t="s">
        <v>1061</v>
      </c>
      <c r="Y12" s="1222" t="s">
        <v>2861</v>
      </c>
      <c r="Z12" s="1222" t="s">
        <v>1462</v>
      </c>
      <c r="AA12" s="1222" t="s">
        <v>1392</v>
      </c>
      <c r="AB12" s="1222" t="s">
        <v>1349</v>
      </c>
      <c r="AC12" s="949" t="s">
        <v>1401</v>
      </c>
      <c r="AD12" s="136" t="s">
        <v>2038</v>
      </c>
      <c r="AE12" s="136" t="s">
        <v>2039</v>
      </c>
      <c r="AF12" s="136" t="s">
        <v>2814</v>
      </c>
      <c r="AG12" s="136" t="s">
        <v>2862</v>
      </c>
      <c r="AH12" s="136" t="s">
        <v>3164</v>
      </c>
    </row>
    <row r="13" spans="1:34" ht="12.75">
      <c r="A13" s="2199">
        <f>ROW(A1)</f>
        <v>1</v>
      </c>
      <c r="B13" s="2200">
        <v>0</v>
      </c>
      <c r="C13" s="2743"/>
      <c r="D13" s="2743">
        <v>0</v>
      </c>
      <c r="E13" s="2949">
        <v>0</v>
      </c>
      <c r="F13" s="2200">
        <v>0</v>
      </c>
      <c r="G13" s="2200" t="s">
        <v>127</v>
      </c>
      <c r="H13" s="2200" t="s">
        <v>127</v>
      </c>
      <c r="I13" s="2742">
        <v>0</v>
      </c>
      <c r="J13" s="2742">
        <v>0</v>
      </c>
      <c r="K13" s="2752">
        <v>0</v>
      </c>
      <c r="L13" s="2745">
        <f t="shared" ref="L13:L76" si="0">$D13</f>
        <v>0</v>
      </c>
      <c r="M13" s="2745">
        <f>I13</f>
        <v>0</v>
      </c>
      <c r="N13" s="2745">
        <f>$F13</f>
        <v>0</v>
      </c>
      <c r="O13" s="1232">
        <f>$E13</f>
        <v>0</v>
      </c>
      <c r="P13" s="1225">
        <v>0</v>
      </c>
      <c r="Q13" s="1225">
        <v>0</v>
      </c>
      <c r="R13" s="1225">
        <v>0</v>
      </c>
      <c r="S13" s="2625">
        <f t="shared" ref="S13:S76" si="1">C13</f>
        <v>0</v>
      </c>
      <c r="T13" s="2625">
        <v>0</v>
      </c>
      <c r="U13" s="2625">
        <v>0</v>
      </c>
      <c r="V13" s="1231"/>
      <c r="W13" s="1231" t="str">
        <f t="shared" ref="W13:W76" si="2">H13</f>
        <v>None</v>
      </c>
      <c r="X13" s="1231">
        <v>0</v>
      </c>
      <c r="Y13" s="1231">
        <v>0</v>
      </c>
      <c r="AA13" s="1220" t="s">
        <v>8</v>
      </c>
      <c r="AB13" s="136">
        <v>0</v>
      </c>
      <c r="AC13" s="136">
        <v>0</v>
      </c>
      <c r="AD13" s="2746">
        <v>0</v>
      </c>
      <c r="AE13" s="2746">
        <v>0</v>
      </c>
      <c r="AF13" s="136">
        <v>0</v>
      </c>
      <c r="AG13" s="189">
        <v>0</v>
      </c>
    </row>
    <row r="14" spans="1:34" ht="12.75">
      <c r="A14" s="2199">
        <f t="shared" ref="A14:A77" si="3">ROW(A2)</f>
        <v>2</v>
      </c>
      <c r="B14" s="2200" t="s">
        <v>815</v>
      </c>
      <c r="C14" s="2743">
        <v>0</v>
      </c>
      <c r="D14" s="2743">
        <v>0</v>
      </c>
      <c r="E14" s="2949">
        <v>0</v>
      </c>
      <c r="F14" s="2200">
        <v>20</v>
      </c>
      <c r="G14" s="2200" t="s">
        <v>2038</v>
      </c>
      <c r="H14" s="2200" t="s">
        <v>1057</v>
      </c>
      <c r="I14" s="2742">
        <v>20</v>
      </c>
      <c r="J14" s="2742"/>
      <c r="K14" s="2752">
        <v>60</v>
      </c>
      <c r="L14" s="2745">
        <f t="shared" si="0"/>
        <v>0</v>
      </c>
      <c r="M14" s="2745">
        <f t="shared" ref="M14:M77" si="4">I14</f>
        <v>20</v>
      </c>
      <c r="N14" s="2745">
        <f t="shared" ref="N14:N77" si="5">$F14</f>
        <v>20</v>
      </c>
      <c r="O14" s="1232">
        <f t="shared" ref="O14:O77" si="6">$E14</f>
        <v>0</v>
      </c>
      <c r="P14" s="1227" t="str">
        <f t="shared" ref="P14:P77" si="7">R14&amp;"gsm "&amp;AB14&amp;" "&amp;AA14</f>
        <v>180gsm GB HANSOL</v>
      </c>
      <c r="Q14" s="254">
        <v>0.22500000000000001</v>
      </c>
      <c r="R14" s="1228" t="str">
        <f>LEFT(AC14,3)</f>
        <v>180</v>
      </c>
      <c r="S14" s="2625">
        <f t="shared" si="1"/>
        <v>0</v>
      </c>
      <c r="T14" s="2747">
        <f>IF(L14&gt;0,IF(input!$B$2=$O$1,(((L14+Y14/22)+(L14+Y14/22)*$AG14+$X14)*$P$11+$M$7)/1000,(((L14+Y14/22)+(L14+Y14/22)*O14+(L14+Y14/22)*$AG14+$X14)*$P$11+$M$7)/1000),0)</f>
        <v>0</v>
      </c>
      <c r="U14" s="2747">
        <f t="shared" ref="U14:U77" si="8">IF(S14&gt;0,(S14/1.08)+Z14,0)</f>
        <v>0</v>
      </c>
      <c r="V14" s="1229"/>
      <c r="W14" s="1231" t="str">
        <f t="shared" si="2"/>
        <v>CIF</v>
      </c>
      <c r="X14" s="1230">
        <f>IF(L14&gt;0,IF(OR(W14="CFR",W14="CRF",W14="CNF",W14="CPT"),1.1*$M$8*(L14+N14),IF(W14="FOB",1.1*$M$8*(L14+N14+Y14/22),0)),0)</f>
        <v>0</v>
      </c>
      <c r="Y14" s="2625">
        <f>J14</f>
        <v>0</v>
      </c>
      <c r="Z14" s="3208">
        <f>922000/1.1/1000</f>
        <v>838.18181818181813</v>
      </c>
      <c r="AA14" s="1220" t="s">
        <v>1350</v>
      </c>
      <c r="AB14" s="1220" t="s">
        <v>1393</v>
      </c>
      <c r="AC14" s="251" t="str">
        <f t="shared" ref="AC14:AC77" si="9">B14</f>
        <v>180gsm GB HANSOL</v>
      </c>
      <c r="AD14" s="2746">
        <f>IF(L14&gt;0,IF(input!$B$2=$O$1,(((M14)+(M14)*$M$10)*$P$11)/1000,(((M14)+(M14)*O14+(M14)*$M$10)*$P$11)/1000),0)</f>
        <v>0</v>
      </c>
      <c r="AE14" s="2746">
        <f>IF(L14&gt;0,IF(input!$B$2=$O$1,(((N14)+(N14)*$M$10)*$P$11)/1000,(((N14)+(N14)*O14+(N14)*$M$10)*$P$11)/1000),0)</f>
        <v>0</v>
      </c>
      <c r="AF14" s="136" t="str">
        <f>G14</f>
        <v>FSC</v>
      </c>
      <c r="AG14" s="2628">
        <f>K14*$M$10/30</f>
        <v>1.6E-2</v>
      </c>
      <c r="AH14" s="1266">
        <v>0.1</v>
      </c>
    </row>
    <row r="15" spans="1:34" ht="12.75">
      <c r="A15" s="2199">
        <f t="shared" si="3"/>
        <v>3</v>
      </c>
      <c r="B15" s="2200" t="s">
        <v>816</v>
      </c>
      <c r="C15" s="2743">
        <v>0</v>
      </c>
      <c r="D15" s="2743">
        <v>0</v>
      </c>
      <c r="E15" s="2949">
        <v>0</v>
      </c>
      <c r="F15" s="2200">
        <v>20</v>
      </c>
      <c r="G15" s="2200" t="s">
        <v>2038</v>
      </c>
      <c r="H15" s="2200" t="s">
        <v>1057</v>
      </c>
      <c r="I15" s="2742">
        <v>20</v>
      </c>
      <c r="J15" s="2742"/>
      <c r="K15" s="2752">
        <v>60</v>
      </c>
      <c r="L15" s="2745">
        <f t="shared" si="0"/>
        <v>0</v>
      </c>
      <c r="M15" s="2745">
        <f t="shared" si="4"/>
        <v>20</v>
      </c>
      <c r="N15" s="2745">
        <f t="shared" si="5"/>
        <v>20</v>
      </c>
      <c r="O15" s="1232">
        <f t="shared" si="6"/>
        <v>0</v>
      </c>
      <c r="P15" s="1227" t="str">
        <f t="shared" si="7"/>
        <v>200gsm GB HANSOL</v>
      </c>
      <c r="Q15" s="254">
        <v>0.25</v>
      </c>
      <c r="R15" s="1228" t="str">
        <f t="shared" ref="R15:R78" si="10">LEFT(AC15,3)</f>
        <v>200</v>
      </c>
      <c r="S15" s="2625">
        <f t="shared" si="1"/>
        <v>0</v>
      </c>
      <c r="T15" s="2747">
        <f>IF(L15&gt;0,IF(input!$B$2=$O$1,(((L15+Y15/22)+(L15+Y15/22)*$AG15+$X15)*$P$11+$M$7)/1000,(((L15+Y15/22)+(L15+Y15/22)*O15+(L15+Y15/22)*$AG15+$X15)*$P$11+$M$7)/1000),0)</f>
        <v>0</v>
      </c>
      <c r="U15" s="2747">
        <f t="shared" si="8"/>
        <v>0</v>
      </c>
      <c r="V15" s="1229"/>
      <c r="W15" s="1231" t="str">
        <f t="shared" si="2"/>
        <v>CIF</v>
      </c>
      <c r="X15" s="1230">
        <f>IF(L15&gt;0,IF(OR(W15="CFR",W15="CRF",W15="CNF",W15="CPT"),1.1*$M$8*(L15+N15),IF(W15="FOB",1.1*$M$8*(L15+N15+Y15/22),0)),0)</f>
        <v>0</v>
      </c>
      <c r="Y15" s="2625">
        <f t="shared" ref="Y15:Y78" si="11">J15</f>
        <v>0</v>
      </c>
      <c r="Z15" s="3208">
        <f t="shared" ref="Z15:Z78" si="12">922000/1.1/1000</f>
        <v>838.18181818181813</v>
      </c>
      <c r="AA15" s="1220" t="s">
        <v>1350</v>
      </c>
      <c r="AB15" s="1220" t="s">
        <v>1393</v>
      </c>
      <c r="AC15" s="251" t="str">
        <f t="shared" si="9"/>
        <v>200gsm GB HANSOL</v>
      </c>
      <c r="AD15" s="2746">
        <f>IF(L15&gt;0,IF(input!$B$2=$O$1,(((M15)+(M15)*$M$10)*$P$11)/1000,(((M15)+(M15)*O15+(M15)*$M$10)*$P$11)/1000),0)</f>
        <v>0</v>
      </c>
      <c r="AE15" s="2746">
        <f>IF(L15&gt;0,IF(input!$B$2=$O$1,(((N15)+(N15)*$M$10)*$P$11)/1000,(((N15)+(N15)*O15+(N15)*$M$10)*$P$11)/1000),0)</f>
        <v>0</v>
      </c>
      <c r="AF15" s="136" t="str">
        <f t="shared" ref="AF15:AF78" si="13">G15</f>
        <v>FSC</v>
      </c>
      <c r="AG15" s="2628">
        <f t="shared" ref="AG15:AG78" si="14">K15*$M$10/30</f>
        <v>1.6E-2</v>
      </c>
      <c r="AH15" s="1266">
        <v>0.1</v>
      </c>
    </row>
    <row r="16" spans="1:34" ht="12.75">
      <c r="A16" s="2199">
        <f t="shared" si="3"/>
        <v>4</v>
      </c>
      <c r="B16" s="2200" t="s">
        <v>817</v>
      </c>
      <c r="C16" s="2743">
        <v>0</v>
      </c>
      <c r="D16" s="2743">
        <v>0</v>
      </c>
      <c r="E16" s="2949">
        <v>0</v>
      </c>
      <c r="F16" s="2200">
        <v>20</v>
      </c>
      <c r="G16" s="2200" t="s">
        <v>2038</v>
      </c>
      <c r="H16" s="2200" t="s">
        <v>1057</v>
      </c>
      <c r="I16" s="2742">
        <v>20</v>
      </c>
      <c r="J16" s="2742"/>
      <c r="K16" s="2752">
        <v>60</v>
      </c>
      <c r="L16" s="2745">
        <f t="shared" si="0"/>
        <v>0</v>
      </c>
      <c r="M16" s="2745">
        <f t="shared" si="4"/>
        <v>20</v>
      </c>
      <c r="N16" s="2745">
        <f t="shared" si="5"/>
        <v>20</v>
      </c>
      <c r="O16" s="1232">
        <f t="shared" si="6"/>
        <v>0</v>
      </c>
      <c r="P16" s="1227" t="str">
        <f t="shared" si="7"/>
        <v>210gsm GB HANSOL</v>
      </c>
      <c r="Q16" s="254">
        <v>0.26500000000000001</v>
      </c>
      <c r="R16" s="1228" t="str">
        <f t="shared" si="10"/>
        <v>210</v>
      </c>
      <c r="S16" s="2625">
        <f t="shared" si="1"/>
        <v>0</v>
      </c>
      <c r="T16" s="2747">
        <f>IF(L16&gt;0,IF(input!$B$2=$O$1,(((L16+Y16/22)+(L16+Y16/22)*$AG16+$X16)*$P$11+$M$7)/1000,(((L16+Y16/22)+(L16+Y16/22)*O16+(L16+Y16/22)*$AG16+$X16)*$P$11+$M$7)/1000),0)</f>
        <v>0</v>
      </c>
      <c r="U16" s="2747">
        <f t="shared" si="8"/>
        <v>0</v>
      </c>
      <c r="V16" s="1229"/>
      <c r="W16" s="1231" t="str">
        <f t="shared" si="2"/>
        <v>CIF</v>
      </c>
      <c r="X16" s="1230">
        <f t="shared" ref="X16:X79" si="15">IF(L16&gt;0,IF(OR(W16="CFR",W16="CRF",W16="CNF",W16="CPT"),1.1*$M$8*(L16+N16),IF(W16="FOB",1.1*$M$8*(L16+N16+Y16/22),0)),0)</f>
        <v>0</v>
      </c>
      <c r="Y16" s="2625">
        <f t="shared" si="11"/>
        <v>0</v>
      </c>
      <c r="Z16" s="3208">
        <f t="shared" si="12"/>
        <v>838.18181818181813</v>
      </c>
      <c r="AA16" s="1220" t="s">
        <v>1350</v>
      </c>
      <c r="AB16" s="1220" t="s">
        <v>1393</v>
      </c>
      <c r="AC16" s="251" t="str">
        <f t="shared" si="9"/>
        <v>210gsm GB HANSOL</v>
      </c>
      <c r="AD16" s="2746">
        <f>IF(L16&gt;0,IF(input!$B$2=$O$1,(((M16)+(M16)*$M$10)*$P$11)/1000,(((M16)+(M16)*O16+(M16)*$M$10)*$P$11)/1000),0)</f>
        <v>0</v>
      </c>
      <c r="AE16" s="2746">
        <f>IF(L16&gt;0,IF(input!$B$2=$O$1,(((N16)+(N16)*$M$10)*$P$11)/1000,(((N16)+(N16)*O16+(N16)*$M$10)*$P$11)/1000),0)</f>
        <v>0</v>
      </c>
      <c r="AF16" s="136" t="str">
        <f t="shared" si="13"/>
        <v>FSC</v>
      </c>
      <c r="AG16" s="2628">
        <f t="shared" si="14"/>
        <v>1.6E-2</v>
      </c>
      <c r="AH16" s="1266">
        <v>0.1</v>
      </c>
    </row>
    <row r="17" spans="1:34" ht="12.75">
      <c r="A17" s="2199">
        <f t="shared" si="3"/>
        <v>5</v>
      </c>
      <c r="B17" s="2200" t="s">
        <v>818</v>
      </c>
      <c r="C17" s="2743">
        <v>0</v>
      </c>
      <c r="D17" s="2743">
        <v>0</v>
      </c>
      <c r="E17" s="2949">
        <v>0</v>
      </c>
      <c r="F17" s="2200">
        <v>20</v>
      </c>
      <c r="G17" s="2200" t="s">
        <v>2038</v>
      </c>
      <c r="H17" s="2200" t="s">
        <v>1057</v>
      </c>
      <c r="I17" s="2742">
        <v>20</v>
      </c>
      <c r="J17" s="2742"/>
      <c r="K17" s="2752">
        <v>60</v>
      </c>
      <c r="L17" s="2745">
        <f t="shared" si="0"/>
        <v>0</v>
      </c>
      <c r="M17" s="2745">
        <f t="shared" si="4"/>
        <v>20</v>
      </c>
      <c r="N17" s="2745">
        <f t="shared" si="5"/>
        <v>20</v>
      </c>
      <c r="O17" s="1232">
        <f t="shared" si="6"/>
        <v>0</v>
      </c>
      <c r="P17" s="1227" t="str">
        <f t="shared" si="7"/>
        <v>220gsm GB HANSOL</v>
      </c>
      <c r="Q17" s="254">
        <v>0.27500000000000002</v>
      </c>
      <c r="R17" s="1228" t="str">
        <f t="shared" si="10"/>
        <v>220</v>
      </c>
      <c r="S17" s="2625">
        <f t="shared" si="1"/>
        <v>0</v>
      </c>
      <c r="T17" s="2747">
        <f>IF(L17&gt;0,IF(input!$B$2=$O$1,(((L17+Y17/22)+(L17+Y17/22)*$AG17+$X17)*$P$11+$M$7)/1000,(((L17+Y17/22)+(L17+Y17/22)*O17+(L17+Y17/22)*$AG17+$X17)*$P$11+$M$7)/1000),0)</f>
        <v>0</v>
      </c>
      <c r="U17" s="2747">
        <f t="shared" si="8"/>
        <v>0</v>
      </c>
      <c r="V17" s="1229"/>
      <c r="W17" s="1231" t="str">
        <f t="shared" si="2"/>
        <v>CIF</v>
      </c>
      <c r="X17" s="1230">
        <f t="shared" si="15"/>
        <v>0</v>
      </c>
      <c r="Y17" s="2625">
        <f t="shared" si="11"/>
        <v>0</v>
      </c>
      <c r="Z17" s="3208">
        <f t="shared" si="12"/>
        <v>838.18181818181813</v>
      </c>
      <c r="AA17" s="1220" t="s">
        <v>1350</v>
      </c>
      <c r="AB17" s="1220" t="s">
        <v>1393</v>
      </c>
      <c r="AC17" s="251" t="str">
        <f t="shared" si="9"/>
        <v>220gsm GB HANSOL</v>
      </c>
      <c r="AD17" s="2746">
        <f>IF(L17&gt;0,IF(input!$B$2=$O$1,(((M17)+(M17)*$M$10)*$P$11)/1000,(((M17)+(M17)*O17+(M17)*$M$10)*$P$11)/1000),0)</f>
        <v>0</v>
      </c>
      <c r="AE17" s="2746">
        <f>IF(L17&gt;0,IF(input!$B$2=$O$1,(((N17)+(N17)*$M$10)*$P$11)/1000,(((N17)+(N17)*O17+(N17)*$M$10)*$P$11)/1000),0)</f>
        <v>0</v>
      </c>
      <c r="AF17" s="136" t="str">
        <f t="shared" si="13"/>
        <v>FSC</v>
      </c>
      <c r="AG17" s="2628">
        <f t="shared" si="14"/>
        <v>1.6E-2</v>
      </c>
      <c r="AH17" s="1266">
        <v>0.1</v>
      </c>
    </row>
    <row r="18" spans="1:34" ht="12.75">
      <c r="A18" s="2199">
        <f t="shared" si="3"/>
        <v>6</v>
      </c>
      <c r="B18" s="2200" t="s">
        <v>819</v>
      </c>
      <c r="C18" s="2743">
        <v>0</v>
      </c>
      <c r="D18" s="2743">
        <v>545</v>
      </c>
      <c r="E18" s="2949">
        <v>0</v>
      </c>
      <c r="F18" s="2200">
        <v>20</v>
      </c>
      <c r="G18" s="2200" t="s">
        <v>2038</v>
      </c>
      <c r="H18" s="2200" t="s">
        <v>1057</v>
      </c>
      <c r="I18" s="2742">
        <v>20</v>
      </c>
      <c r="J18" s="2742"/>
      <c r="K18" s="2752">
        <v>60</v>
      </c>
      <c r="L18" s="2745">
        <f t="shared" si="0"/>
        <v>545</v>
      </c>
      <c r="M18" s="2745">
        <f t="shared" si="4"/>
        <v>20</v>
      </c>
      <c r="N18" s="2745">
        <f t="shared" si="5"/>
        <v>20</v>
      </c>
      <c r="O18" s="1232">
        <f t="shared" si="6"/>
        <v>0</v>
      </c>
      <c r="P18" s="1227" t="str">
        <f t="shared" si="7"/>
        <v>230gsm GB HANSOL</v>
      </c>
      <c r="Q18" s="254">
        <v>0.28499999999999998</v>
      </c>
      <c r="R18" s="1228" t="str">
        <f t="shared" si="10"/>
        <v>230</v>
      </c>
      <c r="S18" s="2625">
        <f t="shared" si="1"/>
        <v>0</v>
      </c>
      <c r="T18" s="2747">
        <f>IF(L18&gt;0,IF(input!$B$2=$O$1,(((L18+Y18/22)+(L18+Y18/22)*$AG18+$X18)*$P$11+$M$7)/1000,(((L18+Y18/22)+(L18+Y18/22)*O18+(L18+Y18/22)*$AG18+$X18)*$P$11+$M$7)/1000),0)</f>
        <v>13894.817200000001</v>
      </c>
      <c r="U18" s="2747">
        <f t="shared" si="8"/>
        <v>0</v>
      </c>
      <c r="V18" s="1229"/>
      <c r="W18" s="1231" t="str">
        <f t="shared" si="2"/>
        <v>CIF</v>
      </c>
      <c r="X18" s="1230">
        <f t="shared" si="15"/>
        <v>0</v>
      </c>
      <c r="Y18" s="2625">
        <f t="shared" si="11"/>
        <v>0</v>
      </c>
      <c r="Z18" s="3208">
        <f t="shared" si="12"/>
        <v>838.18181818181813</v>
      </c>
      <c r="AA18" s="1220" t="s">
        <v>1350</v>
      </c>
      <c r="AB18" s="1220" t="s">
        <v>1393</v>
      </c>
      <c r="AC18" s="251" t="str">
        <f t="shared" si="9"/>
        <v>230gsm GB HANSOL</v>
      </c>
      <c r="AD18" s="2746">
        <f>IF(L18&gt;0,IF(input!$B$2=$O$1,(((M18)+(M18)*$M$10)*$P$11)/1000,(((M18)+(M18)*O18+(M18)*$M$10)*$P$11)/1000),0)</f>
        <v>484.04159999999996</v>
      </c>
      <c r="AE18" s="2746">
        <f>IF(L18&gt;0,IF(input!$B$2=$O$1,(((N18)+(N18)*$M$10)*$P$11)/1000,(((N18)+(N18)*O18+(N18)*$M$10)*$P$11)/1000),0)</f>
        <v>484.04159999999996</v>
      </c>
      <c r="AF18" s="136" t="str">
        <f t="shared" si="13"/>
        <v>FSC</v>
      </c>
      <c r="AG18" s="2628">
        <f t="shared" si="14"/>
        <v>1.6E-2</v>
      </c>
      <c r="AH18" s="1266">
        <v>0.1</v>
      </c>
    </row>
    <row r="19" spans="1:34" ht="12.75">
      <c r="A19" s="2199">
        <f t="shared" si="3"/>
        <v>7</v>
      </c>
      <c r="B19" s="2200" t="s">
        <v>820</v>
      </c>
      <c r="C19" s="2743">
        <v>0</v>
      </c>
      <c r="D19" s="2743">
        <v>0</v>
      </c>
      <c r="E19" s="2949">
        <v>0</v>
      </c>
      <c r="F19" s="2200">
        <v>20</v>
      </c>
      <c r="G19" s="2200" t="s">
        <v>2038</v>
      </c>
      <c r="H19" s="2200" t="s">
        <v>1057</v>
      </c>
      <c r="I19" s="2742">
        <v>20</v>
      </c>
      <c r="J19" s="2742"/>
      <c r="K19" s="2752">
        <v>60</v>
      </c>
      <c r="L19" s="2745">
        <f t="shared" si="0"/>
        <v>0</v>
      </c>
      <c r="M19" s="2745">
        <f t="shared" si="4"/>
        <v>20</v>
      </c>
      <c r="N19" s="2745">
        <f t="shared" si="5"/>
        <v>20</v>
      </c>
      <c r="O19" s="1232">
        <f t="shared" si="6"/>
        <v>0</v>
      </c>
      <c r="P19" s="1227" t="str">
        <f t="shared" si="7"/>
        <v>240gsm GB HANSOL</v>
      </c>
      <c r="Q19" s="254">
        <v>0.29499999999999998</v>
      </c>
      <c r="R19" s="1228" t="str">
        <f t="shared" si="10"/>
        <v>240</v>
      </c>
      <c r="S19" s="2625">
        <f t="shared" si="1"/>
        <v>0</v>
      </c>
      <c r="T19" s="2747">
        <f>IF(L19&gt;0,IF(input!$B$2=$O$1,(((L19+Y19/22)+(L19+Y19/22)*$AG19+$X19)*$P$11+$M$7)/1000,(((L19+Y19/22)+(L19+Y19/22)*O19+(L19+Y19/22)*$AG19+$X19)*$P$11+$M$7)/1000),0)</f>
        <v>0</v>
      </c>
      <c r="U19" s="2747">
        <f t="shared" si="8"/>
        <v>0</v>
      </c>
      <c r="V19" s="1229"/>
      <c r="W19" s="1231" t="str">
        <f t="shared" si="2"/>
        <v>CIF</v>
      </c>
      <c r="X19" s="1230">
        <f t="shared" si="15"/>
        <v>0</v>
      </c>
      <c r="Y19" s="2625">
        <f t="shared" si="11"/>
        <v>0</v>
      </c>
      <c r="Z19" s="3208">
        <f t="shared" si="12"/>
        <v>838.18181818181813</v>
      </c>
      <c r="AA19" s="1220" t="s">
        <v>1350</v>
      </c>
      <c r="AB19" s="1220" t="s">
        <v>1393</v>
      </c>
      <c r="AC19" s="251" t="str">
        <f t="shared" si="9"/>
        <v>240gsm GB HANSOL</v>
      </c>
      <c r="AD19" s="2746">
        <f>IF(L19&gt;0,IF(input!$B$2=$O$1,(((M19)+(M19)*$M$10)*$P$11)/1000,(((M19)+(M19)*O19+(M19)*$M$10)*$P$11)/1000),0)</f>
        <v>0</v>
      </c>
      <c r="AE19" s="2746">
        <f>IF(L19&gt;0,IF(input!$B$2=$O$1,(((N19)+(N19)*$M$10)*$P$11)/1000,(((N19)+(N19)*O19+(N19)*$M$10)*$P$11)/1000),0)</f>
        <v>0</v>
      </c>
      <c r="AF19" s="136" t="str">
        <f t="shared" si="13"/>
        <v>FSC</v>
      </c>
      <c r="AG19" s="2628">
        <f t="shared" si="14"/>
        <v>1.6E-2</v>
      </c>
      <c r="AH19" s="1266">
        <v>0.1</v>
      </c>
    </row>
    <row r="20" spans="1:34" ht="12.75">
      <c r="A20" s="2199">
        <f t="shared" si="3"/>
        <v>8</v>
      </c>
      <c r="B20" s="2200" t="s">
        <v>821</v>
      </c>
      <c r="C20" s="2743">
        <v>16500</v>
      </c>
      <c r="D20" s="2743">
        <v>525</v>
      </c>
      <c r="E20" s="2949">
        <v>0</v>
      </c>
      <c r="F20" s="2200">
        <v>20</v>
      </c>
      <c r="G20" s="2200" t="s">
        <v>2038</v>
      </c>
      <c r="H20" s="2200" t="s">
        <v>1057</v>
      </c>
      <c r="I20" s="2742">
        <v>20</v>
      </c>
      <c r="J20" s="2742"/>
      <c r="K20" s="2752">
        <v>60</v>
      </c>
      <c r="L20" s="2745">
        <f t="shared" si="0"/>
        <v>525</v>
      </c>
      <c r="M20" s="2745">
        <f t="shared" si="4"/>
        <v>20</v>
      </c>
      <c r="N20" s="2745">
        <f t="shared" si="5"/>
        <v>20</v>
      </c>
      <c r="O20" s="1232">
        <f t="shared" si="6"/>
        <v>0</v>
      </c>
      <c r="P20" s="1227" t="str">
        <f t="shared" si="7"/>
        <v>250gsm GB HANSOL</v>
      </c>
      <c r="Q20" s="254">
        <v>0.315</v>
      </c>
      <c r="R20" s="1228" t="str">
        <f t="shared" si="10"/>
        <v>250</v>
      </c>
      <c r="S20" s="2625">
        <f t="shared" si="1"/>
        <v>16500</v>
      </c>
      <c r="T20" s="2747">
        <f>IF(L20&gt;0,IF(input!$B$2=$O$1,(((L20+Y20/22)+(L20+Y20/22)*$AG20+$X20)*$P$11+$M$7)/1000,(((L20+Y20/22)+(L20+Y20/22)*O20+(L20+Y20/22)*$AG20+$X20)*$P$11+$M$7)/1000),0)</f>
        <v>13406.933999999999</v>
      </c>
      <c r="U20" s="2747">
        <f t="shared" si="8"/>
        <v>16115.959595959595</v>
      </c>
      <c r="V20" s="1229"/>
      <c r="W20" s="1231" t="str">
        <f t="shared" si="2"/>
        <v>CIF</v>
      </c>
      <c r="X20" s="1230">
        <f t="shared" si="15"/>
        <v>0</v>
      </c>
      <c r="Y20" s="2625">
        <f t="shared" si="11"/>
        <v>0</v>
      </c>
      <c r="Z20" s="3208">
        <f t="shared" si="12"/>
        <v>838.18181818181813</v>
      </c>
      <c r="AA20" s="1220" t="s">
        <v>1350</v>
      </c>
      <c r="AB20" s="1220" t="s">
        <v>1393</v>
      </c>
      <c r="AC20" s="251" t="str">
        <f t="shared" si="9"/>
        <v>250gsm GB HANSOL</v>
      </c>
      <c r="AD20" s="2746">
        <f>IF(L20&gt;0,IF(input!$B$2=$O$1,(((M20)+(M20)*$M$10)*$P$11)/1000,(((M20)+(M20)*O20+(M20)*$M$10)*$P$11)/1000),0)</f>
        <v>484.04159999999996</v>
      </c>
      <c r="AE20" s="2746">
        <f>IF(L20&gt;0,IF(input!$B$2=$O$1,(((N20)+(N20)*$M$10)*$P$11)/1000,(((N20)+(N20)*O20+(N20)*$M$10)*$P$11)/1000),0)</f>
        <v>484.04159999999996</v>
      </c>
      <c r="AF20" s="136" t="str">
        <f t="shared" si="13"/>
        <v>FSC</v>
      </c>
      <c r="AG20" s="2628">
        <f t="shared" si="14"/>
        <v>1.6E-2</v>
      </c>
      <c r="AH20" s="1266">
        <v>0.1</v>
      </c>
    </row>
    <row r="21" spans="1:34" ht="12.75">
      <c r="A21" s="2199">
        <f t="shared" si="3"/>
        <v>9</v>
      </c>
      <c r="B21" s="2200" t="s">
        <v>822</v>
      </c>
      <c r="C21" s="2743">
        <v>0</v>
      </c>
      <c r="D21" s="2743">
        <v>530</v>
      </c>
      <c r="E21" s="2949">
        <v>0</v>
      </c>
      <c r="F21" s="2200">
        <v>20</v>
      </c>
      <c r="G21" s="2200" t="s">
        <v>2038</v>
      </c>
      <c r="H21" s="2200" t="s">
        <v>1057</v>
      </c>
      <c r="I21" s="2742">
        <v>20</v>
      </c>
      <c r="J21" s="2742"/>
      <c r="K21" s="2752">
        <v>60</v>
      </c>
      <c r="L21" s="2745">
        <f t="shared" si="0"/>
        <v>530</v>
      </c>
      <c r="M21" s="2745">
        <f t="shared" si="4"/>
        <v>20</v>
      </c>
      <c r="N21" s="2745">
        <f t="shared" si="5"/>
        <v>20</v>
      </c>
      <c r="O21" s="1232">
        <f t="shared" si="6"/>
        <v>0</v>
      </c>
      <c r="P21" s="1227" t="str">
        <f t="shared" si="7"/>
        <v>260gsm GB HANSOL</v>
      </c>
      <c r="Q21" s="254">
        <v>0.33</v>
      </c>
      <c r="R21" s="1228" t="str">
        <f t="shared" si="10"/>
        <v>260</v>
      </c>
      <c r="S21" s="2625">
        <f t="shared" si="1"/>
        <v>0</v>
      </c>
      <c r="T21" s="2747">
        <f>IF(L21&gt;0,IF(input!$B$2=$O$1,(((L21+Y21/22)+(L21+Y21/22)*$AG21+$X21)*$P$11+$M$7)/1000,(((L21+Y21/22)+(L21+Y21/22)*O21+(L21+Y21/22)*$AG21+$X21)*$P$11+$M$7)/1000),0)</f>
        <v>13528.9048</v>
      </c>
      <c r="U21" s="2747">
        <f t="shared" si="8"/>
        <v>0</v>
      </c>
      <c r="V21" s="1229"/>
      <c r="W21" s="1231" t="str">
        <f t="shared" si="2"/>
        <v>CIF</v>
      </c>
      <c r="X21" s="1230">
        <f t="shared" si="15"/>
        <v>0</v>
      </c>
      <c r="Y21" s="2625">
        <f t="shared" si="11"/>
        <v>0</v>
      </c>
      <c r="Z21" s="3208">
        <f t="shared" si="12"/>
        <v>838.18181818181813</v>
      </c>
      <c r="AA21" s="1220" t="s">
        <v>1350</v>
      </c>
      <c r="AB21" s="1220" t="s">
        <v>1393</v>
      </c>
      <c r="AC21" s="251" t="str">
        <f t="shared" si="9"/>
        <v>260gsm GB HANSOL</v>
      </c>
      <c r="AD21" s="2746">
        <f>IF(L21&gt;0,IF(input!$B$2=$O$1,(((M21)+(M21)*$M$10)*$P$11)/1000,(((M21)+(M21)*O21+(M21)*$M$10)*$P$11)/1000),0)</f>
        <v>484.04159999999996</v>
      </c>
      <c r="AE21" s="2746">
        <f>IF(L21&gt;0,IF(input!$B$2=$O$1,(((N21)+(N21)*$M$10)*$P$11)/1000,(((N21)+(N21)*O21+(N21)*$M$10)*$P$11)/1000),0)</f>
        <v>484.04159999999996</v>
      </c>
      <c r="AF21" s="136" t="str">
        <f t="shared" si="13"/>
        <v>FSC</v>
      </c>
      <c r="AG21" s="2628">
        <f t="shared" si="14"/>
        <v>1.6E-2</v>
      </c>
      <c r="AH21" s="1266">
        <v>0.1</v>
      </c>
    </row>
    <row r="22" spans="1:34" ht="12.75">
      <c r="A22" s="2199">
        <f t="shared" si="3"/>
        <v>10</v>
      </c>
      <c r="B22" s="2200" t="s">
        <v>823</v>
      </c>
      <c r="C22" s="2743">
        <v>0</v>
      </c>
      <c r="D22" s="2743">
        <v>510</v>
      </c>
      <c r="E22" s="2949">
        <v>0</v>
      </c>
      <c r="F22" s="2200">
        <v>20</v>
      </c>
      <c r="G22" s="2200" t="s">
        <v>2038</v>
      </c>
      <c r="H22" s="2200" t="s">
        <v>1057</v>
      </c>
      <c r="I22" s="2742">
        <v>20</v>
      </c>
      <c r="J22" s="2742"/>
      <c r="K22" s="2752">
        <v>60</v>
      </c>
      <c r="L22" s="2745">
        <f t="shared" si="0"/>
        <v>510</v>
      </c>
      <c r="M22" s="2745">
        <f t="shared" si="4"/>
        <v>20</v>
      </c>
      <c r="N22" s="2745">
        <f t="shared" si="5"/>
        <v>20</v>
      </c>
      <c r="O22" s="1232">
        <f t="shared" si="6"/>
        <v>0</v>
      </c>
      <c r="P22" s="1227" t="str">
        <f t="shared" si="7"/>
        <v>280gsm GB HANSOL</v>
      </c>
      <c r="Q22" s="254">
        <v>0.35499999999999998</v>
      </c>
      <c r="R22" s="1228" t="str">
        <f t="shared" si="10"/>
        <v>280</v>
      </c>
      <c r="S22" s="2625">
        <f t="shared" si="1"/>
        <v>0</v>
      </c>
      <c r="T22" s="2747">
        <f>IF(L22&gt;0,IF(input!$B$2=$O$1,(((L22+Y22/22)+(L22+Y22/22)*$AG22+$X22)*$P$11+$M$7)/1000,(((L22+Y22/22)+(L22+Y22/22)*O22+(L22+Y22/22)*$AG22+$X22)*$P$11+$M$7)/1000),0)</f>
        <v>13041.0216</v>
      </c>
      <c r="U22" s="2747">
        <f t="shared" si="8"/>
        <v>0</v>
      </c>
      <c r="V22" s="1229"/>
      <c r="W22" s="1231" t="str">
        <f t="shared" si="2"/>
        <v>CIF</v>
      </c>
      <c r="X22" s="1230">
        <f t="shared" si="15"/>
        <v>0</v>
      </c>
      <c r="Y22" s="2625">
        <f t="shared" si="11"/>
        <v>0</v>
      </c>
      <c r="Z22" s="3208">
        <f t="shared" si="12"/>
        <v>838.18181818181813</v>
      </c>
      <c r="AA22" s="1220" t="s">
        <v>1350</v>
      </c>
      <c r="AB22" s="1220" t="s">
        <v>1393</v>
      </c>
      <c r="AC22" s="251" t="str">
        <f t="shared" si="9"/>
        <v>280gsm GB HANSOL</v>
      </c>
      <c r="AD22" s="2746">
        <f>IF(L22&gt;0,IF(input!$B$2=$O$1,(((M22)+(M22)*$M$10)*$P$11)/1000,(((M22)+(M22)*O22+(M22)*$M$10)*$P$11)/1000),0)</f>
        <v>484.04159999999996</v>
      </c>
      <c r="AE22" s="2746">
        <f>IF(L22&gt;0,IF(input!$B$2=$O$1,(((N22)+(N22)*$M$10)*$P$11)/1000,(((N22)+(N22)*O22+(N22)*$M$10)*$P$11)/1000),0)</f>
        <v>484.04159999999996</v>
      </c>
      <c r="AF22" s="136" t="str">
        <f t="shared" si="13"/>
        <v>FSC</v>
      </c>
      <c r="AG22" s="2628">
        <f t="shared" si="14"/>
        <v>1.6E-2</v>
      </c>
      <c r="AH22" s="1266">
        <v>0.1</v>
      </c>
    </row>
    <row r="23" spans="1:34" ht="12.75">
      <c r="A23" s="2199">
        <f t="shared" si="3"/>
        <v>11</v>
      </c>
      <c r="B23" s="2200" t="s">
        <v>824</v>
      </c>
      <c r="C23" s="2743">
        <v>15200</v>
      </c>
      <c r="D23" s="2743">
        <v>495</v>
      </c>
      <c r="E23" s="2949">
        <v>0</v>
      </c>
      <c r="F23" s="2200">
        <v>20</v>
      </c>
      <c r="G23" s="2200" t="s">
        <v>2038</v>
      </c>
      <c r="H23" s="2200" t="s">
        <v>1057</v>
      </c>
      <c r="I23" s="2742">
        <v>20</v>
      </c>
      <c r="J23" s="2742"/>
      <c r="K23" s="2752">
        <v>60</v>
      </c>
      <c r="L23" s="2745">
        <f t="shared" si="0"/>
        <v>495</v>
      </c>
      <c r="M23" s="2745">
        <f t="shared" si="4"/>
        <v>20</v>
      </c>
      <c r="N23" s="2745">
        <f t="shared" si="5"/>
        <v>20</v>
      </c>
      <c r="O23" s="1232">
        <f t="shared" si="6"/>
        <v>0</v>
      </c>
      <c r="P23" s="1227" t="str">
        <f t="shared" si="7"/>
        <v>300gsm GB HANSOL</v>
      </c>
      <c r="Q23" s="254">
        <v>0.38500000000000001</v>
      </c>
      <c r="R23" s="1228" t="str">
        <f t="shared" si="10"/>
        <v>300</v>
      </c>
      <c r="S23" s="2625">
        <f t="shared" si="1"/>
        <v>15200</v>
      </c>
      <c r="T23" s="2747">
        <f>IF(L23&gt;0,IF(input!$B$2=$O$1,(((L23+Y23/22)+(L23+Y23/22)*$AG23+$X23)*$P$11+$M$7)/1000,(((L23+Y23/22)+(L23+Y23/22)*O23+(L23+Y23/22)*$AG23+$X23)*$P$11+$M$7)/1000),0)</f>
        <v>12675.109200000001</v>
      </c>
      <c r="U23" s="2747">
        <f t="shared" si="8"/>
        <v>14912.255892255891</v>
      </c>
      <c r="V23" s="1229"/>
      <c r="W23" s="1231" t="str">
        <f t="shared" si="2"/>
        <v>CIF</v>
      </c>
      <c r="X23" s="1230">
        <f t="shared" si="15"/>
        <v>0</v>
      </c>
      <c r="Y23" s="2625">
        <f t="shared" si="11"/>
        <v>0</v>
      </c>
      <c r="Z23" s="3208">
        <f t="shared" si="12"/>
        <v>838.18181818181813</v>
      </c>
      <c r="AA23" s="1220" t="s">
        <v>1350</v>
      </c>
      <c r="AB23" s="1220" t="s">
        <v>1393</v>
      </c>
      <c r="AC23" s="251" t="str">
        <f t="shared" si="9"/>
        <v>300gsm GB HANSOL</v>
      </c>
      <c r="AD23" s="2746">
        <f>IF(L23&gt;0,IF(input!$B$2=$O$1,(((M23)+(M23)*$M$10)*$P$11)/1000,(((M23)+(M23)*O23+(M23)*$M$10)*$P$11)/1000),0)</f>
        <v>484.04159999999996</v>
      </c>
      <c r="AE23" s="2746">
        <f>IF(L23&gt;0,IF(input!$B$2=$O$1,(((N23)+(N23)*$M$10)*$P$11)/1000,(((N23)+(N23)*O23+(N23)*$M$10)*$P$11)/1000),0)</f>
        <v>484.04159999999996</v>
      </c>
      <c r="AF23" s="136" t="str">
        <f t="shared" si="13"/>
        <v>FSC</v>
      </c>
      <c r="AG23" s="2628">
        <f t="shared" si="14"/>
        <v>1.6E-2</v>
      </c>
      <c r="AH23" s="1266">
        <v>0.1</v>
      </c>
    </row>
    <row r="24" spans="1:34" ht="12.75">
      <c r="A24" s="2199">
        <f t="shared" si="3"/>
        <v>12</v>
      </c>
      <c r="B24" s="2200" t="s">
        <v>825</v>
      </c>
      <c r="C24" s="2743">
        <v>0</v>
      </c>
      <c r="D24" s="2743">
        <v>0</v>
      </c>
      <c r="E24" s="2949">
        <v>0</v>
      </c>
      <c r="F24" s="2200">
        <v>20</v>
      </c>
      <c r="G24" s="2200" t="s">
        <v>2038</v>
      </c>
      <c r="H24" s="2200" t="s">
        <v>1057</v>
      </c>
      <c r="I24" s="2742">
        <v>20</v>
      </c>
      <c r="J24" s="2742"/>
      <c r="K24" s="2752">
        <v>60</v>
      </c>
      <c r="L24" s="2745">
        <f t="shared" si="0"/>
        <v>0</v>
      </c>
      <c r="M24" s="2745">
        <f t="shared" si="4"/>
        <v>20</v>
      </c>
      <c r="N24" s="2745">
        <f t="shared" si="5"/>
        <v>20</v>
      </c>
      <c r="O24" s="1232">
        <f t="shared" si="6"/>
        <v>0</v>
      </c>
      <c r="P24" s="1227" t="str">
        <f t="shared" si="7"/>
        <v>310gsm GB HANSOL</v>
      </c>
      <c r="Q24" s="254">
        <v>0.39500000000000002</v>
      </c>
      <c r="R24" s="1228" t="str">
        <f t="shared" si="10"/>
        <v>310</v>
      </c>
      <c r="S24" s="2625">
        <f t="shared" si="1"/>
        <v>0</v>
      </c>
      <c r="T24" s="2747">
        <f>IF(L24&gt;0,IF(input!$B$2=$O$1,(((L24+Y24/22)+(L24+Y24/22)*$AG24+$X24)*$P$11+$M$7)/1000,(((L24+Y24/22)+(L24+Y24/22)*O24+(L24+Y24/22)*$AG24+$X24)*$P$11+$M$7)/1000),0)</f>
        <v>0</v>
      </c>
      <c r="U24" s="2747">
        <f t="shared" si="8"/>
        <v>0</v>
      </c>
      <c r="V24" s="1229"/>
      <c r="W24" s="1231" t="str">
        <f t="shared" si="2"/>
        <v>CIF</v>
      </c>
      <c r="X24" s="1230">
        <f t="shared" si="15"/>
        <v>0</v>
      </c>
      <c r="Y24" s="2625">
        <f t="shared" si="11"/>
        <v>0</v>
      </c>
      <c r="Z24" s="3208">
        <f t="shared" si="12"/>
        <v>838.18181818181813</v>
      </c>
      <c r="AA24" s="1220" t="s">
        <v>1350</v>
      </c>
      <c r="AB24" s="1220" t="s">
        <v>1393</v>
      </c>
      <c r="AC24" s="251" t="str">
        <f t="shared" si="9"/>
        <v>310gsm GB HANSOL</v>
      </c>
      <c r="AD24" s="2746">
        <f>IF(L24&gt;0,IF(input!$B$2=$O$1,(((M24)+(M24)*$M$10)*$P$11)/1000,(((M24)+(M24)*O24+(M24)*$M$10)*$P$11)/1000),0)</f>
        <v>0</v>
      </c>
      <c r="AE24" s="2746">
        <f>IF(L24&gt;0,IF(input!$B$2=$O$1,(((N24)+(N24)*$M$10)*$P$11)/1000,(((N24)+(N24)*O24+(N24)*$M$10)*$P$11)/1000),0)</f>
        <v>0</v>
      </c>
      <c r="AF24" s="136" t="str">
        <f t="shared" si="13"/>
        <v>FSC</v>
      </c>
      <c r="AG24" s="2628">
        <f t="shared" si="14"/>
        <v>1.6E-2</v>
      </c>
      <c r="AH24" s="1266">
        <v>0.1</v>
      </c>
    </row>
    <row r="25" spans="1:34" ht="12.75">
      <c r="A25" s="2199">
        <f t="shared" si="3"/>
        <v>13</v>
      </c>
      <c r="B25" s="2200" t="s">
        <v>826</v>
      </c>
      <c r="C25" s="2743">
        <v>0</v>
      </c>
      <c r="D25" s="2743">
        <v>0</v>
      </c>
      <c r="E25" s="2949">
        <v>0</v>
      </c>
      <c r="F25" s="2200">
        <v>20</v>
      </c>
      <c r="G25" s="2200" t="s">
        <v>2038</v>
      </c>
      <c r="H25" s="2200" t="s">
        <v>1057</v>
      </c>
      <c r="I25" s="2742">
        <v>20</v>
      </c>
      <c r="J25" s="2742"/>
      <c r="K25" s="2752">
        <v>60</v>
      </c>
      <c r="L25" s="2745">
        <f t="shared" si="0"/>
        <v>0</v>
      </c>
      <c r="M25" s="2745">
        <f t="shared" si="4"/>
        <v>20</v>
      </c>
      <c r="N25" s="2745">
        <f t="shared" si="5"/>
        <v>20</v>
      </c>
      <c r="O25" s="1232">
        <f t="shared" si="6"/>
        <v>0</v>
      </c>
      <c r="P25" s="1227" t="str">
        <f t="shared" si="7"/>
        <v>330gsm GB HANSOL</v>
      </c>
      <c r="Q25" s="254">
        <v>0.42499999999999999</v>
      </c>
      <c r="R25" s="1228" t="str">
        <f t="shared" si="10"/>
        <v>330</v>
      </c>
      <c r="S25" s="2625">
        <f t="shared" si="1"/>
        <v>0</v>
      </c>
      <c r="T25" s="2747">
        <f>IF(L25&gt;0,IF(input!$B$2=$O$1,(((L25+Y25/22)+(L25+Y25/22)*$AG25+$X25)*$P$11+$M$7)/1000,(((L25+Y25/22)+(L25+Y25/22)*O25+(L25+Y25/22)*$AG25+$X25)*$P$11+$M$7)/1000),0)</f>
        <v>0</v>
      </c>
      <c r="U25" s="2747">
        <f t="shared" si="8"/>
        <v>0</v>
      </c>
      <c r="V25" s="1229"/>
      <c r="W25" s="1231" t="str">
        <f t="shared" si="2"/>
        <v>CIF</v>
      </c>
      <c r="X25" s="1230">
        <f t="shared" si="15"/>
        <v>0</v>
      </c>
      <c r="Y25" s="2625">
        <f t="shared" si="11"/>
        <v>0</v>
      </c>
      <c r="Z25" s="3208">
        <f t="shared" si="12"/>
        <v>838.18181818181813</v>
      </c>
      <c r="AA25" s="1220" t="s">
        <v>1350</v>
      </c>
      <c r="AB25" s="1220" t="s">
        <v>1393</v>
      </c>
      <c r="AC25" s="251" t="str">
        <f t="shared" si="9"/>
        <v>330gsm GB HANSOL</v>
      </c>
      <c r="AD25" s="2746">
        <f>IF(L25&gt;0,IF(input!$B$2=$O$1,(((M25)+(M25)*$M$10)*$P$11)/1000,(((M25)+(M25)*O25+(M25)*$M$10)*$P$11)/1000),0)</f>
        <v>0</v>
      </c>
      <c r="AE25" s="2746">
        <f>IF(L25&gt;0,IF(input!$B$2=$O$1,(((N25)+(N25)*$M$10)*$P$11)/1000,(((N25)+(N25)*O25+(N25)*$M$10)*$P$11)/1000),0)</f>
        <v>0</v>
      </c>
      <c r="AF25" s="136" t="str">
        <f t="shared" si="13"/>
        <v>FSC</v>
      </c>
      <c r="AG25" s="2628">
        <f t="shared" si="14"/>
        <v>1.6E-2</v>
      </c>
      <c r="AH25" s="1266">
        <v>0.1</v>
      </c>
    </row>
    <row r="26" spans="1:34" ht="12.75">
      <c r="A26" s="2199">
        <f t="shared" si="3"/>
        <v>14</v>
      </c>
      <c r="B26" s="2200" t="s">
        <v>827</v>
      </c>
      <c r="C26" s="2743">
        <v>14700</v>
      </c>
      <c r="D26" s="2743">
        <v>480</v>
      </c>
      <c r="E26" s="2949">
        <v>0</v>
      </c>
      <c r="F26" s="2200">
        <v>20</v>
      </c>
      <c r="G26" s="2200" t="s">
        <v>2038</v>
      </c>
      <c r="H26" s="2200" t="s">
        <v>1057</v>
      </c>
      <c r="I26" s="2742">
        <v>20</v>
      </c>
      <c r="J26" s="2742"/>
      <c r="K26" s="2752">
        <v>60</v>
      </c>
      <c r="L26" s="2745">
        <f t="shared" si="0"/>
        <v>480</v>
      </c>
      <c r="M26" s="2745">
        <f t="shared" si="4"/>
        <v>20</v>
      </c>
      <c r="N26" s="2745">
        <f t="shared" si="5"/>
        <v>20</v>
      </c>
      <c r="O26" s="1232">
        <f t="shared" si="6"/>
        <v>0</v>
      </c>
      <c r="P26" s="1227" t="str">
        <f t="shared" si="7"/>
        <v>350gsm GB HANSOL</v>
      </c>
      <c r="Q26" s="254">
        <v>0.45500000000000002</v>
      </c>
      <c r="R26" s="1228" t="str">
        <f t="shared" si="10"/>
        <v>350</v>
      </c>
      <c r="S26" s="2625">
        <f t="shared" si="1"/>
        <v>14700</v>
      </c>
      <c r="T26" s="2747">
        <f>IF(L26&gt;0,IF(input!$B$2=$O$1,(((L26+Y26/22)+(L26+Y26/22)*$AG26+$X26)*$P$11+$M$7)/1000,(((L26+Y26/22)+(L26+Y26/22)*O26+(L26+Y26/22)*$AG26+$X26)*$P$11+$M$7)/1000),0)</f>
        <v>12309.196800000002</v>
      </c>
      <c r="U26" s="2747">
        <f t="shared" si="8"/>
        <v>14449.292929292928</v>
      </c>
      <c r="V26" s="1229"/>
      <c r="W26" s="1231" t="str">
        <f t="shared" si="2"/>
        <v>CIF</v>
      </c>
      <c r="X26" s="1230">
        <f t="shared" si="15"/>
        <v>0</v>
      </c>
      <c r="Y26" s="2625">
        <f t="shared" si="11"/>
        <v>0</v>
      </c>
      <c r="Z26" s="3208">
        <f t="shared" si="12"/>
        <v>838.18181818181813</v>
      </c>
      <c r="AA26" s="1220" t="s">
        <v>1350</v>
      </c>
      <c r="AB26" s="1220" t="s">
        <v>1393</v>
      </c>
      <c r="AC26" s="251" t="str">
        <f t="shared" si="9"/>
        <v>350gsm GB HANSOL</v>
      </c>
      <c r="AD26" s="2746">
        <f>IF(L26&gt;0,IF(input!$B$2=$O$1,(((M26)+(M26)*$M$10)*$P$11)/1000,(((M26)+(M26)*O26+(M26)*$M$10)*$P$11)/1000),0)</f>
        <v>484.04159999999996</v>
      </c>
      <c r="AE26" s="2746">
        <f>IF(L26&gt;0,IF(input!$B$2=$O$1,(((N26)+(N26)*$M$10)*$P$11)/1000,(((N26)+(N26)*O26+(N26)*$M$10)*$P$11)/1000),0)</f>
        <v>484.04159999999996</v>
      </c>
      <c r="AF26" s="136" t="str">
        <f t="shared" si="13"/>
        <v>FSC</v>
      </c>
      <c r="AG26" s="2628">
        <f t="shared" si="14"/>
        <v>1.6E-2</v>
      </c>
      <c r="AH26" s="1266">
        <v>0.1</v>
      </c>
    </row>
    <row r="27" spans="1:34" ht="12.75">
      <c r="A27" s="2199">
        <f t="shared" si="3"/>
        <v>15</v>
      </c>
      <c r="B27" s="2200" t="s">
        <v>828</v>
      </c>
      <c r="C27" s="2743">
        <v>0</v>
      </c>
      <c r="D27" s="2743">
        <v>0</v>
      </c>
      <c r="E27" s="2949">
        <v>0</v>
      </c>
      <c r="F27" s="2200">
        <v>20</v>
      </c>
      <c r="G27" s="2200" t="s">
        <v>2038</v>
      </c>
      <c r="H27" s="2200" t="s">
        <v>1057</v>
      </c>
      <c r="I27" s="2742">
        <v>20</v>
      </c>
      <c r="J27" s="2742"/>
      <c r="K27" s="2752">
        <v>60</v>
      </c>
      <c r="L27" s="2745">
        <f t="shared" si="0"/>
        <v>0</v>
      </c>
      <c r="M27" s="2745">
        <f t="shared" si="4"/>
        <v>20</v>
      </c>
      <c r="N27" s="2745">
        <f t="shared" si="5"/>
        <v>20</v>
      </c>
      <c r="O27" s="1232">
        <f t="shared" si="6"/>
        <v>0</v>
      </c>
      <c r="P27" s="1227" t="str">
        <f t="shared" si="7"/>
        <v>370gsm GB HANSOL</v>
      </c>
      <c r="Q27" s="254">
        <v>0.48</v>
      </c>
      <c r="R27" s="1228" t="str">
        <f t="shared" si="10"/>
        <v>370</v>
      </c>
      <c r="S27" s="2625">
        <f t="shared" si="1"/>
        <v>0</v>
      </c>
      <c r="T27" s="2747">
        <f>IF(L27&gt;0,IF(input!$B$2=$O$1,(((L27+Y27/22)+(L27+Y27/22)*$AG27+$X27)*$P$11+$M$7)/1000,(((L27+Y27/22)+(L27+Y27/22)*O27+(L27+Y27/22)*$AG27+$X27)*$P$11+$M$7)/1000),0)</f>
        <v>0</v>
      </c>
      <c r="U27" s="2747">
        <f t="shared" si="8"/>
        <v>0</v>
      </c>
      <c r="V27" s="1229"/>
      <c r="W27" s="1231" t="str">
        <f t="shared" si="2"/>
        <v>CIF</v>
      </c>
      <c r="X27" s="1230">
        <f t="shared" si="15"/>
        <v>0</v>
      </c>
      <c r="Y27" s="2625">
        <f t="shared" si="11"/>
        <v>0</v>
      </c>
      <c r="Z27" s="3208">
        <f t="shared" si="12"/>
        <v>838.18181818181813</v>
      </c>
      <c r="AA27" s="1220" t="s">
        <v>1350</v>
      </c>
      <c r="AB27" s="1220" t="s">
        <v>1393</v>
      </c>
      <c r="AC27" s="251" t="str">
        <f t="shared" si="9"/>
        <v>370gsm GB HANSOL</v>
      </c>
      <c r="AD27" s="2746">
        <f>IF(L27&gt;0,IF(input!$B$2=$O$1,(((M27)+(M27)*$M$10)*$P$11)/1000,(((M27)+(M27)*O27+(M27)*$M$10)*$P$11)/1000),0)</f>
        <v>0</v>
      </c>
      <c r="AE27" s="2746">
        <f>IF(L27&gt;0,IF(input!$B$2=$O$1,(((N27)+(N27)*$M$10)*$P$11)/1000,(((N27)+(N27)*O27+(N27)*$M$10)*$P$11)/1000),0)</f>
        <v>0</v>
      </c>
      <c r="AF27" s="136" t="str">
        <f t="shared" si="13"/>
        <v>FSC</v>
      </c>
      <c r="AG27" s="2628">
        <f t="shared" si="14"/>
        <v>1.6E-2</v>
      </c>
      <c r="AH27" s="1266">
        <v>0.1</v>
      </c>
    </row>
    <row r="28" spans="1:34" ht="12.75">
      <c r="A28" s="2199">
        <f t="shared" si="3"/>
        <v>16</v>
      </c>
      <c r="B28" s="2200" t="s">
        <v>829</v>
      </c>
      <c r="C28" s="2743">
        <v>14700</v>
      </c>
      <c r="D28" s="2743">
        <v>480</v>
      </c>
      <c r="E28" s="2949">
        <v>0</v>
      </c>
      <c r="F28" s="2200">
        <v>20</v>
      </c>
      <c r="G28" s="2200" t="s">
        <v>2038</v>
      </c>
      <c r="H28" s="2200" t="s">
        <v>1057</v>
      </c>
      <c r="I28" s="2742">
        <v>20</v>
      </c>
      <c r="J28" s="2742"/>
      <c r="K28" s="2752">
        <v>60</v>
      </c>
      <c r="L28" s="2745">
        <f t="shared" si="0"/>
        <v>480</v>
      </c>
      <c r="M28" s="2745">
        <f t="shared" si="4"/>
        <v>20</v>
      </c>
      <c r="N28" s="2745">
        <f t="shared" si="5"/>
        <v>20</v>
      </c>
      <c r="O28" s="1232">
        <f t="shared" si="6"/>
        <v>0</v>
      </c>
      <c r="P28" s="1227" t="str">
        <f t="shared" si="7"/>
        <v>400gsm GB HANSOL</v>
      </c>
      <c r="Q28" s="254">
        <v>0.52</v>
      </c>
      <c r="R28" s="1228" t="str">
        <f t="shared" si="10"/>
        <v>400</v>
      </c>
      <c r="S28" s="2625">
        <f t="shared" si="1"/>
        <v>14700</v>
      </c>
      <c r="T28" s="2747">
        <f>IF(L28&gt;0,IF(input!$B$2=$O$1,(((L28+Y28/22)+(L28+Y28/22)*$AG28+$X28)*$P$11+$M$7)/1000,(((L28+Y28/22)+(L28+Y28/22)*O28+(L28+Y28/22)*$AG28+$X28)*$P$11+$M$7)/1000),0)</f>
        <v>12309.196800000002</v>
      </c>
      <c r="U28" s="2747">
        <f t="shared" si="8"/>
        <v>14449.292929292928</v>
      </c>
      <c r="V28" s="1229"/>
      <c r="W28" s="1231" t="str">
        <f t="shared" si="2"/>
        <v>CIF</v>
      </c>
      <c r="X28" s="1230">
        <f t="shared" si="15"/>
        <v>0</v>
      </c>
      <c r="Y28" s="2625">
        <f t="shared" si="11"/>
        <v>0</v>
      </c>
      <c r="Z28" s="3208">
        <f t="shared" si="12"/>
        <v>838.18181818181813</v>
      </c>
      <c r="AA28" s="1220" t="s">
        <v>1350</v>
      </c>
      <c r="AB28" s="1220" t="s">
        <v>1393</v>
      </c>
      <c r="AC28" s="251" t="str">
        <f t="shared" si="9"/>
        <v>400gsm GB HANSOL</v>
      </c>
      <c r="AD28" s="2746">
        <f>IF(L28&gt;0,IF(input!$B$2=$O$1,(((M28)+(M28)*$M$10)*$P$11)/1000,(((M28)+(M28)*O28+(M28)*$M$10)*$P$11)/1000),0)</f>
        <v>484.04159999999996</v>
      </c>
      <c r="AE28" s="2746">
        <f>IF(L28&gt;0,IF(input!$B$2=$O$1,(((N28)+(N28)*$M$10)*$P$11)/1000,(((N28)+(N28)*O28+(N28)*$M$10)*$P$11)/1000),0)</f>
        <v>484.04159999999996</v>
      </c>
      <c r="AF28" s="136" t="str">
        <f t="shared" si="13"/>
        <v>FSC</v>
      </c>
      <c r="AG28" s="2628">
        <f t="shared" si="14"/>
        <v>1.6E-2</v>
      </c>
      <c r="AH28" s="1266">
        <v>0.1</v>
      </c>
    </row>
    <row r="29" spans="1:34" ht="12.75">
      <c r="A29" s="2199">
        <f t="shared" si="3"/>
        <v>17</v>
      </c>
      <c r="B29" s="2200" t="s">
        <v>830</v>
      </c>
      <c r="C29" s="2743">
        <v>14700</v>
      </c>
      <c r="D29" s="2743">
        <v>0</v>
      </c>
      <c r="E29" s="2949">
        <v>0</v>
      </c>
      <c r="F29" s="2200">
        <v>20</v>
      </c>
      <c r="G29" s="2200" t="s">
        <v>2038</v>
      </c>
      <c r="H29" s="2200" t="s">
        <v>1057</v>
      </c>
      <c r="I29" s="2742">
        <v>20</v>
      </c>
      <c r="J29" s="2742"/>
      <c r="K29" s="2752">
        <v>60</v>
      </c>
      <c r="L29" s="2745">
        <f t="shared" si="0"/>
        <v>0</v>
      </c>
      <c r="M29" s="2745">
        <f t="shared" si="4"/>
        <v>20</v>
      </c>
      <c r="N29" s="2745">
        <f t="shared" si="5"/>
        <v>20</v>
      </c>
      <c r="O29" s="1232">
        <f t="shared" si="6"/>
        <v>0</v>
      </c>
      <c r="P29" s="1227" t="str">
        <f t="shared" si="7"/>
        <v>450gsm GB HANSOL</v>
      </c>
      <c r="Q29" s="254">
        <v>0.59</v>
      </c>
      <c r="R29" s="1228" t="str">
        <f t="shared" si="10"/>
        <v>450</v>
      </c>
      <c r="S29" s="2625">
        <f t="shared" si="1"/>
        <v>14700</v>
      </c>
      <c r="T29" s="2747">
        <f>IF(L29&gt;0,IF(input!$B$2=$O$1,(((L29+Y29/22)+(L29+Y29/22)*$AG29+$X29)*$P$11+$M$7)/1000,(((L29+Y29/22)+(L29+Y29/22)*O29+(L29+Y29/22)*$AG29+$X29)*$P$11+$M$7)/1000),0)</f>
        <v>0</v>
      </c>
      <c r="U29" s="2747">
        <f t="shared" si="8"/>
        <v>14449.292929292928</v>
      </c>
      <c r="V29" s="1229"/>
      <c r="W29" s="1231" t="str">
        <f t="shared" si="2"/>
        <v>CIF</v>
      </c>
      <c r="X29" s="1230">
        <f t="shared" si="15"/>
        <v>0</v>
      </c>
      <c r="Y29" s="2625">
        <f t="shared" si="11"/>
        <v>0</v>
      </c>
      <c r="Z29" s="3208">
        <f t="shared" si="12"/>
        <v>838.18181818181813</v>
      </c>
      <c r="AA29" s="1220" t="s">
        <v>1350</v>
      </c>
      <c r="AB29" s="1220" t="s">
        <v>1393</v>
      </c>
      <c r="AC29" s="251" t="str">
        <f t="shared" si="9"/>
        <v>450gsm GB HANSOL</v>
      </c>
      <c r="AD29" s="2746">
        <f>IF(L29&gt;0,IF(input!$B$2=$O$1,(((M29)+(M29)*$M$10)*$P$11)/1000,(((M29)+(M29)*O29+(M29)*$M$10)*$P$11)/1000),0)</f>
        <v>0</v>
      </c>
      <c r="AE29" s="2746">
        <f>IF(L29&gt;0,IF(input!$B$2=$O$1,(((N29)+(N29)*$M$10)*$P$11)/1000,(((N29)+(N29)*O29+(N29)*$M$10)*$P$11)/1000),0)</f>
        <v>0</v>
      </c>
      <c r="AF29" s="136" t="str">
        <f t="shared" si="13"/>
        <v>FSC</v>
      </c>
      <c r="AG29" s="2628">
        <f t="shared" si="14"/>
        <v>1.6E-2</v>
      </c>
      <c r="AH29" s="1266">
        <v>0.1</v>
      </c>
    </row>
    <row r="30" spans="1:34" ht="12.75">
      <c r="A30" s="2199">
        <f t="shared" si="3"/>
        <v>18</v>
      </c>
      <c r="B30" s="2200" t="s">
        <v>831</v>
      </c>
      <c r="C30" s="2743">
        <v>0</v>
      </c>
      <c r="D30" s="2743">
        <v>0</v>
      </c>
      <c r="E30" s="2949">
        <v>0</v>
      </c>
      <c r="F30" s="2200">
        <v>20</v>
      </c>
      <c r="G30" s="2200" t="s">
        <v>2038</v>
      </c>
      <c r="H30" s="2200" t="s">
        <v>1057</v>
      </c>
      <c r="I30" s="2742">
        <v>20</v>
      </c>
      <c r="J30" s="2742"/>
      <c r="K30" s="2752">
        <v>60</v>
      </c>
      <c r="L30" s="2745">
        <f t="shared" si="0"/>
        <v>0</v>
      </c>
      <c r="M30" s="2745">
        <f t="shared" si="4"/>
        <v>20</v>
      </c>
      <c r="N30" s="2745">
        <f t="shared" si="5"/>
        <v>20</v>
      </c>
      <c r="O30" s="1232">
        <f t="shared" si="6"/>
        <v>0</v>
      </c>
      <c r="P30" s="1227" t="str">
        <f t="shared" si="7"/>
        <v>480gsm GB HANSOL</v>
      </c>
      <c r="Q30" s="254">
        <v>0.62</v>
      </c>
      <c r="R30" s="1228" t="str">
        <f t="shared" si="10"/>
        <v>480</v>
      </c>
      <c r="S30" s="2625">
        <f t="shared" si="1"/>
        <v>0</v>
      </c>
      <c r="T30" s="2747">
        <f>IF(L30&gt;0,IF(input!$B$2=$O$1,(((L30+Y30/22)+(L30+Y30/22)*$AG30+$X30)*$P$11+$M$7)/1000,(((L30+Y30/22)+(L30+Y30/22)*O30+(L30+Y30/22)*$AG30+$X30)*$P$11+$M$7)/1000),0)</f>
        <v>0</v>
      </c>
      <c r="U30" s="2747">
        <f t="shared" si="8"/>
        <v>0</v>
      </c>
      <c r="V30" s="1229"/>
      <c r="W30" s="1231" t="str">
        <f t="shared" si="2"/>
        <v>CIF</v>
      </c>
      <c r="X30" s="1230">
        <f t="shared" si="15"/>
        <v>0</v>
      </c>
      <c r="Y30" s="2625">
        <f t="shared" si="11"/>
        <v>0</v>
      </c>
      <c r="Z30" s="3208">
        <f t="shared" si="12"/>
        <v>838.18181818181813</v>
      </c>
      <c r="AA30" s="1220" t="s">
        <v>1350</v>
      </c>
      <c r="AB30" s="1220" t="s">
        <v>1393</v>
      </c>
      <c r="AC30" s="251" t="str">
        <f t="shared" si="9"/>
        <v>480gsm GB HANSOL</v>
      </c>
      <c r="AD30" s="2746">
        <f>IF(L30&gt;0,IF(input!$B$2=$O$1,(((M30)+(M30)*$M$10)*$P$11)/1000,(((M30)+(M30)*O30+(M30)*$M$10)*$P$11)/1000),0)</f>
        <v>0</v>
      </c>
      <c r="AE30" s="2746">
        <f>IF(L30&gt;0,IF(input!$B$2=$O$1,(((N30)+(N30)*$M$10)*$P$11)/1000,(((N30)+(N30)*O30+(N30)*$M$10)*$P$11)/1000),0)</f>
        <v>0</v>
      </c>
      <c r="AF30" s="136" t="str">
        <f t="shared" si="13"/>
        <v>FSC</v>
      </c>
      <c r="AG30" s="2628">
        <f t="shared" si="14"/>
        <v>1.6E-2</v>
      </c>
      <c r="AH30" s="1266">
        <v>0.1</v>
      </c>
    </row>
    <row r="31" spans="1:34" ht="12.75">
      <c r="A31" s="2199">
        <f t="shared" si="3"/>
        <v>19</v>
      </c>
      <c r="B31" s="2200" t="s">
        <v>832</v>
      </c>
      <c r="C31" s="2743">
        <v>0</v>
      </c>
      <c r="D31" s="2743">
        <v>480</v>
      </c>
      <c r="E31" s="2949">
        <v>0</v>
      </c>
      <c r="F31" s="2200">
        <v>20</v>
      </c>
      <c r="G31" s="2200" t="s">
        <v>2038</v>
      </c>
      <c r="H31" s="2200" t="s">
        <v>1057</v>
      </c>
      <c r="I31" s="2742">
        <v>20</v>
      </c>
      <c r="J31" s="2742"/>
      <c r="K31" s="2752">
        <v>60</v>
      </c>
      <c r="L31" s="2745">
        <f t="shared" si="0"/>
        <v>480</v>
      </c>
      <c r="M31" s="2745">
        <f t="shared" si="4"/>
        <v>20</v>
      </c>
      <c r="N31" s="2745">
        <f t="shared" si="5"/>
        <v>20</v>
      </c>
      <c r="O31" s="1232">
        <f t="shared" si="6"/>
        <v>0</v>
      </c>
      <c r="P31" s="1227" t="str">
        <f t="shared" si="7"/>
        <v>500gsm GB HANSOL</v>
      </c>
      <c r="Q31" s="254">
        <v>0.66</v>
      </c>
      <c r="R31" s="1228" t="str">
        <f t="shared" si="10"/>
        <v>500</v>
      </c>
      <c r="S31" s="2625">
        <f t="shared" si="1"/>
        <v>0</v>
      </c>
      <c r="T31" s="2747">
        <f>IF(L31&gt;0,IF(input!$B$2=$O$1,(((L31+Y31/22)+(L31+Y31/22)*$AG31+$X31)*$P$11+$M$7)/1000,(((L31+Y31/22)+(L31+Y31/22)*O31+(L31+Y31/22)*$AG31+$X31)*$P$11+$M$7)/1000),0)</f>
        <v>12309.196800000002</v>
      </c>
      <c r="U31" s="2747">
        <f t="shared" si="8"/>
        <v>0</v>
      </c>
      <c r="V31" s="1229"/>
      <c r="W31" s="1231" t="str">
        <f t="shared" si="2"/>
        <v>CIF</v>
      </c>
      <c r="X31" s="1230">
        <f t="shared" si="15"/>
        <v>0</v>
      </c>
      <c r="Y31" s="2625">
        <f t="shared" si="11"/>
        <v>0</v>
      </c>
      <c r="Z31" s="3208">
        <f t="shared" si="12"/>
        <v>838.18181818181813</v>
      </c>
      <c r="AA31" s="1220" t="s">
        <v>1350</v>
      </c>
      <c r="AB31" s="1220" t="s">
        <v>1393</v>
      </c>
      <c r="AC31" s="251" t="str">
        <f t="shared" si="9"/>
        <v>500gsm GB HANSOL</v>
      </c>
      <c r="AD31" s="2746">
        <f>IF(L31&gt;0,IF(input!$B$2=$O$1,(((M31)+(M31)*$M$10)*$P$11)/1000,(((M31)+(M31)*O31+(M31)*$M$10)*$P$11)/1000),0)</f>
        <v>484.04159999999996</v>
      </c>
      <c r="AE31" s="2746">
        <f>IF(L31&gt;0,IF(input!$B$2=$O$1,(((N31)+(N31)*$M$10)*$P$11)/1000,(((N31)+(N31)*O31+(N31)*$M$10)*$P$11)/1000),0)</f>
        <v>484.04159999999996</v>
      </c>
      <c r="AF31" s="136" t="str">
        <f t="shared" si="13"/>
        <v>FSC</v>
      </c>
      <c r="AG31" s="2628">
        <f t="shared" si="14"/>
        <v>1.6E-2</v>
      </c>
      <c r="AH31" s="1266">
        <v>0.1</v>
      </c>
    </row>
    <row r="32" spans="1:34" ht="12.75">
      <c r="A32" s="2199">
        <f t="shared" si="3"/>
        <v>20</v>
      </c>
      <c r="B32" s="2200" t="s">
        <v>833</v>
      </c>
      <c r="C32" s="2743">
        <v>0</v>
      </c>
      <c r="D32" s="2743">
        <v>0</v>
      </c>
      <c r="E32" s="2949">
        <v>0</v>
      </c>
      <c r="F32" s="2200">
        <v>20</v>
      </c>
      <c r="G32" s="2200" t="s">
        <v>2038</v>
      </c>
      <c r="H32" s="2200" t="s">
        <v>1057</v>
      </c>
      <c r="I32" s="2742">
        <v>20</v>
      </c>
      <c r="J32" s="2742"/>
      <c r="K32" s="2752">
        <v>60</v>
      </c>
      <c r="L32" s="2745">
        <f t="shared" si="0"/>
        <v>0</v>
      </c>
      <c r="M32" s="2745">
        <f t="shared" si="4"/>
        <v>20</v>
      </c>
      <c r="N32" s="2745">
        <f t="shared" si="5"/>
        <v>20</v>
      </c>
      <c r="O32" s="1232">
        <f t="shared" si="6"/>
        <v>0</v>
      </c>
      <c r="P32" s="1227" t="str">
        <f t="shared" si="7"/>
        <v>550gsm GB HANSOL</v>
      </c>
      <c r="Q32" s="254">
        <v>0.7</v>
      </c>
      <c r="R32" s="1228" t="str">
        <f t="shared" si="10"/>
        <v>550</v>
      </c>
      <c r="S32" s="2625">
        <f t="shared" si="1"/>
        <v>0</v>
      </c>
      <c r="T32" s="2747">
        <f>IF(L32&gt;0,IF(input!$B$2=$O$1,(((L32+Y32/22)+(L32+Y32/22)*$AG32+$X32)*$P$11+$M$7)/1000,(((L32+Y32/22)+(L32+Y32/22)*O32+(L32+Y32/22)*$AG32+$X32)*$P$11+$M$7)/1000),0)</f>
        <v>0</v>
      </c>
      <c r="U32" s="2747">
        <f t="shared" si="8"/>
        <v>0</v>
      </c>
      <c r="V32" s="1229"/>
      <c r="W32" s="1231" t="str">
        <f t="shared" si="2"/>
        <v>CIF</v>
      </c>
      <c r="X32" s="1230">
        <f t="shared" si="15"/>
        <v>0</v>
      </c>
      <c r="Y32" s="2625">
        <f t="shared" si="11"/>
        <v>0</v>
      </c>
      <c r="Z32" s="3208">
        <f t="shared" si="12"/>
        <v>838.18181818181813</v>
      </c>
      <c r="AA32" s="1220" t="s">
        <v>1350</v>
      </c>
      <c r="AB32" s="1220" t="s">
        <v>1393</v>
      </c>
      <c r="AC32" s="251" t="str">
        <f t="shared" si="9"/>
        <v>550gsm GB HANSOL</v>
      </c>
      <c r="AD32" s="2746">
        <f>IF(L32&gt;0,IF(input!$B$2=$O$1,(((M32)+(M32)*$M$10)*$P$11)/1000,(((M32)+(M32)*O32+(M32)*$M$10)*$P$11)/1000),0)</f>
        <v>0</v>
      </c>
      <c r="AE32" s="2746">
        <f>IF(L32&gt;0,IF(input!$B$2=$O$1,(((N32)+(N32)*$M$10)*$P$11)/1000,(((N32)+(N32)*O32+(N32)*$M$10)*$P$11)/1000),0)</f>
        <v>0</v>
      </c>
      <c r="AF32" s="136" t="str">
        <f t="shared" si="13"/>
        <v>FSC</v>
      </c>
      <c r="AG32" s="2628">
        <f t="shared" si="14"/>
        <v>1.6E-2</v>
      </c>
      <c r="AH32" s="1266">
        <v>0.1</v>
      </c>
    </row>
    <row r="33" spans="1:34" ht="12.75">
      <c r="A33" s="2199">
        <f t="shared" si="3"/>
        <v>21</v>
      </c>
      <c r="B33" s="2200" t="s">
        <v>834</v>
      </c>
      <c r="C33" s="2743">
        <v>0</v>
      </c>
      <c r="D33" s="2743">
        <v>0</v>
      </c>
      <c r="E33" s="2949">
        <v>0.1</v>
      </c>
      <c r="F33" s="2200">
        <v>25</v>
      </c>
      <c r="G33" s="2200" t="s">
        <v>2038</v>
      </c>
      <c r="H33" s="2200" t="s">
        <v>1057</v>
      </c>
      <c r="I33" s="2742">
        <v>30</v>
      </c>
      <c r="J33" s="2742"/>
      <c r="K33" s="2752">
        <v>75</v>
      </c>
      <c r="L33" s="2745">
        <f t="shared" si="0"/>
        <v>0</v>
      </c>
      <c r="M33" s="2745">
        <f t="shared" si="4"/>
        <v>30</v>
      </c>
      <c r="N33" s="2745">
        <f t="shared" si="5"/>
        <v>25</v>
      </c>
      <c r="O33" s="1232">
        <f t="shared" si="6"/>
        <v>0.1</v>
      </c>
      <c r="P33" s="1227" t="str">
        <f t="shared" si="7"/>
        <v>270gsm GB KUAN YUAN</v>
      </c>
      <c r="Q33" s="254">
        <v>0.33</v>
      </c>
      <c r="R33" s="1228" t="str">
        <f t="shared" si="10"/>
        <v>270</v>
      </c>
      <c r="S33" s="2625">
        <f t="shared" si="1"/>
        <v>0</v>
      </c>
      <c r="T33" s="2747">
        <f>IF(L33&gt;0,IF(input!$B$2=$O$1,(((L33+Y33/22)+(L33+Y33/22)*$AG33+$X33)*$P$11+$M$7)/1000,(((L33+Y33/22)+(L33+Y33/22)*O33+(L33+Y33/22)*$AG33+$X33)*$P$11+$M$7)/1000),0)</f>
        <v>0</v>
      </c>
      <c r="U33" s="2747">
        <f t="shared" si="8"/>
        <v>0</v>
      </c>
      <c r="V33" s="1229"/>
      <c r="W33" s="1231" t="str">
        <f t="shared" si="2"/>
        <v>CIF</v>
      </c>
      <c r="X33" s="1230">
        <f t="shared" si="15"/>
        <v>0</v>
      </c>
      <c r="Y33" s="2625">
        <f t="shared" si="11"/>
        <v>0</v>
      </c>
      <c r="Z33" s="3208">
        <f t="shared" si="12"/>
        <v>838.18181818181813</v>
      </c>
      <c r="AA33" s="1220" t="s">
        <v>1354</v>
      </c>
      <c r="AB33" s="1220" t="s">
        <v>1393</v>
      </c>
      <c r="AC33" s="251" t="str">
        <f t="shared" si="9"/>
        <v>270gsm GB KUAN YUAN</v>
      </c>
      <c r="AD33" s="2746">
        <f>IF(L33&gt;0,IF(input!$B$2=$O$1,(((M33)+(M33)*$M$10)*$P$11)/1000,(((M33)+(M33)*O33+(M33)*$M$10)*$P$11)/1000),0)</f>
        <v>0</v>
      </c>
      <c r="AE33" s="2746">
        <f>IF(L33&gt;0,IF(input!$B$2=$O$1,(((N33)+(N33)*$M$10)*$P$11)/1000,(((N33)+(N33)*O33+(N33)*$M$10)*$P$11)/1000),0)</f>
        <v>0</v>
      </c>
      <c r="AF33" s="136" t="str">
        <f t="shared" si="13"/>
        <v>FSC</v>
      </c>
      <c r="AG33" s="2628">
        <f t="shared" si="14"/>
        <v>0.02</v>
      </c>
      <c r="AH33" s="1266">
        <v>0.1</v>
      </c>
    </row>
    <row r="34" spans="1:34" ht="12.75" collapsed="1">
      <c r="A34" s="2199">
        <f t="shared" si="3"/>
        <v>22</v>
      </c>
      <c r="B34" s="2200" t="s">
        <v>835</v>
      </c>
      <c r="C34" s="2743">
        <v>0</v>
      </c>
      <c r="D34" s="2743">
        <v>0</v>
      </c>
      <c r="E34" s="2949">
        <v>0.1</v>
      </c>
      <c r="F34" s="2200">
        <v>25</v>
      </c>
      <c r="G34" s="2200" t="s">
        <v>2038</v>
      </c>
      <c r="H34" s="2200" t="s">
        <v>1057</v>
      </c>
      <c r="I34" s="2742">
        <v>30</v>
      </c>
      <c r="J34" s="2742"/>
      <c r="K34" s="2752">
        <v>75</v>
      </c>
      <c r="L34" s="2745">
        <f t="shared" si="0"/>
        <v>0</v>
      </c>
      <c r="M34" s="2745">
        <f t="shared" si="4"/>
        <v>30</v>
      </c>
      <c r="N34" s="2745">
        <f t="shared" si="5"/>
        <v>25</v>
      </c>
      <c r="O34" s="1232">
        <f t="shared" si="6"/>
        <v>0.1</v>
      </c>
      <c r="P34" s="1227" t="str">
        <f t="shared" si="7"/>
        <v>300gsm GB KUAN YUAN</v>
      </c>
      <c r="Q34" s="254">
        <v>0.37</v>
      </c>
      <c r="R34" s="1228" t="str">
        <f t="shared" si="10"/>
        <v>300</v>
      </c>
      <c r="S34" s="2625">
        <f t="shared" si="1"/>
        <v>0</v>
      </c>
      <c r="T34" s="2747">
        <f>IF(L34&gt;0,IF(input!$B$2=$O$1,(((L34+Y34/22)+(L34+Y34/22)*$AG34+$X34)*$P$11+$M$7)/1000,(((L34+Y34/22)+(L34+Y34/22)*O34+(L34+Y34/22)*$AG34+$X34)*$P$11+$M$7)/1000),0)</f>
        <v>0</v>
      </c>
      <c r="U34" s="2747">
        <f t="shared" si="8"/>
        <v>0</v>
      </c>
      <c r="V34" s="1229"/>
      <c r="W34" s="1231" t="str">
        <f t="shared" si="2"/>
        <v>CIF</v>
      </c>
      <c r="X34" s="1230">
        <f t="shared" si="15"/>
        <v>0</v>
      </c>
      <c r="Y34" s="2625">
        <f t="shared" si="11"/>
        <v>0</v>
      </c>
      <c r="Z34" s="3208">
        <f t="shared" si="12"/>
        <v>838.18181818181813</v>
      </c>
      <c r="AA34" s="1220" t="s">
        <v>1354</v>
      </c>
      <c r="AB34" s="1220" t="s">
        <v>1393</v>
      </c>
      <c r="AC34" s="251" t="str">
        <f t="shared" si="9"/>
        <v>300gsm GB KUAN YUAN</v>
      </c>
      <c r="AD34" s="2746">
        <f>IF(L34&gt;0,IF(input!$B$2=$O$1,(((M34)+(M34)*$M$10)*$P$11)/1000,(((M34)+(M34)*O34+(M34)*$M$10)*$P$11)/1000),0)</f>
        <v>0</v>
      </c>
      <c r="AE34" s="2746">
        <f>IF(L34&gt;0,IF(input!$B$2=$O$1,(((N34)+(N34)*$M$10)*$P$11)/1000,(((N34)+(N34)*O34+(N34)*$M$10)*$P$11)/1000),0)</f>
        <v>0</v>
      </c>
      <c r="AF34" s="136" t="str">
        <f t="shared" si="13"/>
        <v>FSC</v>
      </c>
      <c r="AG34" s="2628">
        <f t="shared" si="14"/>
        <v>0.02</v>
      </c>
      <c r="AH34" s="1266">
        <v>0.1</v>
      </c>
    </row>
    <row r="35" spans="1:34" ht="12.75">
      <c r="A35" s="2199">
        <f t="shared" si="3"/>
        <v>23</v>
      </c>
      <c r="B35" s="2200" t="s">
        <v>836</v>
      </c>
      <c r="C35" s="2743">
        <v>0</v>
      </c>
      <c r="D35" s="2743">
        <v>0</v>
      </c>
      <c r="E35" s="2949">
        <v>0.1</v>
      </c>
      <c r="F35" s="2200">
        <v>25</v>
      </c>
      <c r="G35" s="2200" t="s">
        <v>2038</v>
      </c>
      <c r="H35" s="2200" t="s">
        <v>1057</v>
      </c>
      <c r="I35" s="2742">
        <v>30</v>
      </c>
      <c r="J35" s="2742"/>
      <c r="K35" s="2752">
        <v>75</v>
      </c>
      <c r="L35" s="2745">
        <f t="shared" si="0"/>
        <v>0</v>
      </c>
      <c r="M35" s="2745">
        <f t="shared" si="4"/>
        <v>30</v>
      </c>
      <c r="N35" s="2745">
        <f t="shared" si="5"/>
        <v>25</v>
      </c>
      <c r="O35" s="1232">
        <f t="shared" si="6"/>
        <v>0.1</v>
      </c>
      <c r="P35" s="1227" t="str">
        <f t="shared" si="7"/>
        <v>350gsm GB KUAN YUAN</v>
      </c>
      <c r="Q35" s="254">
        <v>0.44</v>
      </c>
      <c r="R35" s="1228" t="str">
        <f t="shared" si="10"/>
        <v>350</v>
      </c>
      <c r="S35" s="2625">
        <f t="shared" si="1"/>
        <v>0</v>
      </c>
      <c r="T35" s="2747">
        <f>IF(L35&gt;0,IF(input!$B$2=$O$1,(((L35+Y35/22)+(L35+Y35/22)*$AG35+$X35)*$P$11+$M$7)/1000,(((L35+Y35/22)+(L35+Y35/22)*O35+(L35+Y35/22)*$AG35+$X35)*$P$11+$M$7)/1000),0)</f>
        <v>0</v>
      </c>
      <c r="U35" s="2747">
        <f t="shared" si="8"/>
        <v>0</v>
      </c>
      <c r="V35" s="1229"/>
      <c r="W35" s="1231" t="str">
        <f t="shared" si="2"/>
        <v>CIF</v>
      </c>
      <c r="X35" s="1230">
        <f t="shared" si="15"/>
        <v>0</v>
      </c>
      <c r="Y35" s="2625">
        <f t="shared" si="11"/>
        <v>0</v>
      </c>
      <c r="Z35" s="3208">
        <f t="shared" si="12"/>
        <v>838.18181818181813</v>
      </c>
      <c r="AA35" s="1220" t="s">
        <v>1354</v>
      </c>
      <c r="AB35" s="1220" t="s">
        <v>1393</v>
      </c>
      <c r="AC35" s="251" t="str">
        <f t="shared" si="9"/>
        <v>350gsm GB KUAN YUAN</v>
      </c>
      <c r="AD35" s="2746">
        <f>IF(L35&gt;0,IF(input!$B$2=$O$1,(((M35)+(M35)*$M$10)*$P$11)/1000,(((M35)+(M35)*O35+(M35)*$M$10)*$P$11)/1000),0)</f>
        <v>0</v>
      </c>
      <c r="AE35" s="2746">
        <f>IF(L35&gt;0,IF(input!$B$2=$O$1,(((N35)+(N35)*$M$10)*$P$11)/1000,(((N35)+(N35)*O35+(N35)*$M$10)*$P$11)/1000),0)</f>
        <v>0</v>
      </c>
      <c r="AF35" s="136" t="str">
        <f t="shared" si="13"/>
        <v>FSC</v>
      </c>
      <c r="AG35" s="2628">
        <f t="shared" si="14"/>
        <v>0.02</v>
      </c>
      <c r="AH35" s="1266">
        <v>0.1</v>
      </c>
    </row>
    <row r="36" spans="1:34" ht="12.75">
      <c r="A36" s="2199">
        <f t="shared" si="3"/>
        <v>24</v>
      </c>
      <c r="B36" s="2200" t="s">
        <v>837</v>
      </c>
      <c r="C36" s="2743">
        <v>0</v>
      </c>
      <c r="D36" s="2743">
        <v>0</v>
      </c>
      <c r="E36" s="2949">
        <v>0.1</v>
      </c>
      <c r="F36" s="2200">
        <v>25</v>
      </c>
      <c r="G36" s="2200" t="s">
        <v>2038</v>
      </c>
      <c r="H36" s="2200" t="s">
        <v>1057</v>
      </c>
      <c r="I36" s="2742">
        <v>30</v>
      </c>
      <c r="J36" s="2742"/>
      <c r="K36" s="2752">
        <v>75</v>
      </c>
      <c r="L36" s="2745">
        <f t="shared" si="0"/>
        <v>0</v>
      </c>
      <c r="M36" s="2745">
        <f t="shared" si="4"/>
        <v>30</v>
      </c>
      <c r="N36" s="2745">
        <f t="shared" si="5"/>
        <v>25</v>
      </c>
      <c r="O36" s="1232">
        <f t="shared" si="6"/>
        <v>0.1</v>
      </c>
      <c r="P36" s="1227" t="str">
        <f t="shared" si="7"/>
        <v>400gsm GB KUAN YUAN</v>
      </c>
      <c r="Q36" s="254">
        <v>0.51</v>
      </c>
      <c r="R36" s="1228" t="str">
        <f t="shared" si="10"/>
        <v>400</v>
      </c>
      <c r="S36" s="2625">
        <f t="shared" si="1"/>
        <v>0</v>
      </c>
      <c r="T36" s="2747">
        <f>IF(L36&gt;0,IF(input!$B$2=$O$1,(((L36+Y36/22)+(L36+Y36/22)*$AG36+$X36)*$P$11+$M$7)/1000,(((L36+Y36/22)+(L36+Y36/22)*O36+(L36+Y36/22)*$AG36+$X36)*$P$11+$M$7)/1000),0)</f>
        <v>0</v>
      </c>
      <c r="U36" s="2747">
        <f t="shared" si="8"/>
        <v>0</v>
      </c>
      <c r="V36" s="1229"/>
      <c r="W36" s="1231" t="str">
        <f t="shared" si="2"/>
        <v>CIF</v>
      </c>
      <c r="X36" s="1230">
        <f t="shared" si="15"/>
        <v>0</v>
      </c>
      <c r="Y36" s="2625">
        <f t="shared" si="11"/>
        <v>0</v>
      </c>
      <c r="Z36" s="3208">
        <f t="shared" si="12"/>
        <v>838.18181818181813</v>
      </c>
      <c r="AA36" s="1220" t="s">
        <v>1354</v>
      </c>
      <c r="AB36" s="1220" t="s">
        <v>1393</v>
      </c>
      <c r="AC36" s="251" t="str">
        <f t="shared" si="9"/>
        <v>400gsm GB KUAN YUAN</v>
      </c>
      <c r="AD36" s="2746">
        <f>IF(L36&gt;0,IF(input!$B$2=$O$1,(((M36)+(M36)*$M$10)*$P$11)/1000,(((M36)+(M36)*O36+(M36)*$M$10)*$P$11)/1000),0)</f>
        <v>0</v>
      </c>
      <c r="AE36" s="2746">
        <f>IF(L36&gt;0,IF(input!$B$2=$O$1,(((N36)+(N36)*$M$10)*$P$11)/1000,(((N36)+(N36)*O36+(N36)*$M$10)*$P$11)/1000),0)</f>
        <v>0</v>
      </c>
      <c r="AF36" s="136" t="str">
        <f t="shared" si="13"/>
        <v>FSC</v>
      </c>
      <c r="AG36" s="2628">
        <f t="shared" si="14"/>
        <v>0.02</v>
      </c>
      <c r="AH36" s="1266">
        <v>0.1</v>
      </c>
    </row>
    <row r="37" spans="1:34" ht="12.75">
      <c r="A37" s="2199">
        <f t="shared" si="3"/>
        <v>25</v>
      </c>
      <c r="B37" s="2200" t="s">
        <v>838</v>
      </c>
      <c r="C37" s="2743">
        <v>0</v>
      </c>
      <c r="D37" s="2743">
        <v>0</v>
      </c>
      <c r="E37" s="2949">
        <v>0.1</v>
      </c>
      <c r="F37" s="2200">
        <v>25</v>
      </c>
      <c r="G37" s="2200" t="s">
        <v>2038</v>
      </c>
      <c r="H37" s="2200" t="s">
        <v>1057</v>
      </c>
      <c r="I37" s="2742">
        <v>30</v>
      </c>
      <c r="J37" s="2742"/>
      <c r="K37" s="2752">
        <v>75</v>
      </c>
      <c r="L37" s="2745">
        <f t="shared" si="0"/>
        <v>0</v>
      </c>
      <c r="M37" s="2745">
        <f t="shared" si="4"/>
        <v>30</v>
      </c>
      <c r="N37" s="2745">
        <f t="shared" si="5"/>
        <v>25</v>
      </c>
      <c r="O37" s="1232">
        <f t="shared" si="6"/>
        <v>0.1</v>
      </c>
      <c r="P37" s="1227" t="str">
        <f t="shared" si="7"/>
        <v>450gsm GB KUAN YUAN</v>
      </c>
      <c r="Q37" s="254">
        <v>0.59</v>
      </c>
      <c r="R37" s="1228" t="str">
        <f t="shared" si="10"/>
        <v>450</v>
      </c>
      <c r="S37" s="2625">
        <f t="shared" si="1"/>
        <v>0</v>
      </c>
      <c r="T37" s="2747">
        <f>IF(L37&gt;0,IF(input!$B$2=$O$1,(((L37+Y37/22)+(L37+Y37/22)*$AG37+$X37)*$P$11+$M$7)/1000,(((L37+Y37/22)+(L37+Y37/22)*O37+(L37+Y37/22)*$AG37+$X37)*$P$11+$M$7)/1000),0)</f>
        <v>0</v>
      </c>
      <c r="U37" s="2747">
        <f t="shared" si="8"/>
        <v>0</v>
      </c>
      <c r="V37" s="1229"/>
      <c r="W37" s="1231" t="str">
        <f t="shared" si="2"/>
        <v>CIF</v>
      </c>
      <c r="X37" s="1230">
        <f t="shared" si="15"/>
        <v>0</v>
      </c>
      <c r="Y37" s="2625">
        <f t="shared" si="11"/>
        <v>0</v>
      </c>
      <c r="Z37" s="3208">
        <f t="shared" si="12"/>
        <v>838.18181818181813</v>
      </c>
      <c r="AA37" s="1220" t="s">
        <v>1354</v>
      </c>
      <c r="AB37" s="1220" t="s">
        <v>1393</v>
      </c>
      <c r="AC37" s="251" t="str">
        <f t="shared" si="9"/>
        <v>450gsm GB KUAN YUAN</v>
      </c>
      <c r="AD37" s="2746">
        <f>IF(L37&gt;0,IF(input!$B$2=$O$1,(((M37)+(M37)*$M$10)*$P$11)/1000,(((M37)+(M37)*O37+(M37)*$M$10)*$P$11)/1000),0)</f>
        <v>0</v>
      </c>
      <c r="AE37" s="2746">
        <f>IF(L37&gt;0,IF(input!$B$2=$O$1,(((N37)+(N37)*$M$10)*$P$11)/1000,(((N37)+(N37)*O37+(N37)*$M$10)*$P$11)/1000),0)</f>
        <v>0</v>
      </c>
      <c r="AF37" s="136" t="str">
        <f t="shared" si="13"/>
        <v>FSC</v>
      </c>
      <c r="AG37" s="2628">
        <f t="shared" si="14"/>
        <v>0.02</v>
      </c>
      <c r="AH37" s="1266">
        <v>0.1</v>
      </c>
    </row>
    <row r="38" spans="1:34" ht="12.75">
      <c r="A38" s="2199">
        <f t="shared" si="3"/>
        <v>26</v>
      </c>
      <c r="B38" s="2200" t="s">
        <v>839</v>
      </c>
      <c r="C38" s="2743">
        <v>0</v>
      </c>
      <c r="D38" s="2743">
        <v>0</v>
      </c>
      <c r="E38" s="2949">
        <v>0.1</v>
      </c>
      <c r="F38" s="2200">
        <v>25</v>
      </c>
      <c r="G38" s="2200" t="s">
        <v>2038</v>
      </c>
      <c r="H38" s="2200" t="s">
        <v>1057</v>
      </c>
      <c r="I38" s="2742">
        <v>30</v>
      </c>
      <c r="J38" s="2742"/>
      <c r="K38" s="2752">
        <v>75</v>
      </c>
      <c r="L38" s="2745">
        <f t="shared" si="0"/>
        <v>0</v>
      </c>
      <c r="M38" s="2745">
        <f t="shared" si="4"/>
        <v>30</v>
      </c>
      <c r="N38" s="2745">
        <f t="shared" si="5"/>
        <v>25</v>
      </c>
      <c r="O38" s="1232">
        <f t="shared" si="6"/>
        <v>0.1</v>
      </c>
      <c r="P38" s="1227" t="str">
        <f t="shared" si="7"/>
        <v>500gsm GB KUAN YUAN</v>
      </c>
      <c r="Q38" s="254">
        <v>0.65</v>
      </c>
      <c r="R38" s="1228" t="str">
        <f t="shared" si="10"/>
        <v>500</v>
      </c>
      <c r="S38" s="2625">
        <f t="shared" si="1"/>
        <v>0</v>
      </c>
      <c r="T38" s="2747">
        <f>IF(L38&gt;0,IF(input!$B$2=$O$1,(((L38+Y38/22)+(L38+Y38/22)*$AG38+$X38)*$P$11+$M$7)/1000,(((L38+Y38/22)+(L38+Y38/22)*O38+(L38+Y38/22)*$AG38+$X38)*$P$11+$M$7)/1000),0)</f>
        <v>0</v>
      </c>
      <c r="U38" s="2747">
        <f t="shared" si="8"/>
        <v>0</v>
      </c>
      <c r="V38" s="1229"/>
      <c r="W38" s="1231" t="str">
        <f t="shared" si="2"/>
        <v>CIF</v>
      </c>
      <c r="X38" s="1230">
        <f t="shared" si="15"/>
        <v>0</v>
      </c>
      <c r="Y38" s="2625">
        <f t="shared" si="11"/>
        <v>0</v>
      </c>
      <c r="Z38" s="3208">
        <f t="shared" si="12"/>
        <v>838.18181818181813</v>
      </c>
      <c r="AA38" s="1220" t="s">
        <v>1354</v>
      </c>
      <c r="AB38" s="1220" t="s">
        <v>1393</v>
      </c>
      <c r="AC38" s="251" t="str">
        <f t="shared" si="9"/>
        <v>500gsm GB KUAN YUAN</v>
      </c>
      <c r="AD38" s="2746">
        <f>IF(L38&gt;0,IF(input!$B$2=$O$1,(((M38)+(M38)*$M$10)*$P$11)/1000,(((M38)+(M38)*O38+(M38)*$M$10)*$P$11)/1000),0)</f>
        <v>0</v>
      </c>
      <c r="AE38" s="2746">
        <f>IF(L38&gt;0,IF(input!$B$2=$O$1,(((N38)+(N38)*$M$10)*$P$11)/1000,(((N38)+(N38)*O38+(N38)*$M$10)*$P$11)/1000),0)</f>
        <v>0</v>
      </c>
      <c r="AF38" s="136" t="str">
        <f t="shared" si="13"/>
        <v>FSC</v>
      </c>
      <c r="AG38" s="2628">
        <f t="shared" si="14"/>
        <v>0.02</v>
      </c>
      <c r="AH38" s="1266">
        <v>0.1</v>
      </c>
    </row>
    <row r="39" spans="1:34" ht="12.75">
      <c r="A39" s="2199">
        <f t="shared" si="3"/>
        <v>27</v>
      </c>
      <c r="B39" s="2200" t="s">
        <v>840</v>
      </c>
      <c r="C39" s="2743">
        <v>0</v>
      </c>
      <c r="D39" s="2743">
        <v>0</v>
      </c>
      <c r="E39" s="2949">
        <v>0.1</v>
      </c>
      <c r="F39" s="2200">
        <v>25</v>
      </c>
      <c r="G39" s="2200" t="s">
        <v>2038</v>
      </c>
      <c r="H39" s="2200" t="s">
        <v>1057</v>
      </c>
      <c r="I39" s="2742">
        <v>30</v>
      </c>
      <c r="J39" s="2742"/>
      <c r="K39" s="2752">
        <v>75</v>
      </c>
      <c r="L39" s="2745">
        <f t="shared" si="0"/>
        <v>0</v>
      </c>
      <c r="M39" s="2745">
        <f t="shared" si="4"/>
        <v>30</v>
      </c>
      <c r="N39" s="2745">
        <f t="shared" si="5"/>
        <v>25</v>
      </c>
      <c r="O39" s="1232">
        <f t="shared" si="6"/>
        <v>0.1</v>
      </c>
      <c r="P39" s="1227" t="str">
        <f t="shared" si="7"/>
        <v>550gsm GB KUAN YUAN</v>
      </c>
      <c r="Q39" s="254">
        <v>0.72</v>
      </c>
      <c r="R39" s="1228" t="str">
        <f t="shared" si="10"/>
        <v>550</v>
      </c>
      <c r="S39" s="2625">
        <f t="shared" si="1"/>
        <v>0</v>
      </c>
      <c r="T39" s="2747">
        <f>IF(L39&gt;0,IF(input!$B$2=$O$1,(((L39+Y39/22)+(L39+Y39/22)*$AG39+$X39)*$P$11+$M$7)/1000,(((L39+Y39/22)+(L39+Y39/22)*O39+(L39+Y39/22)*$AG39+$X39)*$P$11+$M$7)/1000),0)</f>
        <v>0</v>
      </c>
      <c r="U39" s="2747">
        <f t="shared" si="8"/>
        <v>0</v>
      </c>
      <c r="V39" s="1229"/>
      <c r="W39" s="1231" t="str">
        <f t="shared" si="2"/>
        <v>CIF</v>
      </c>
      <c r="X39" s="1230">
        <f t="shared" si="15"/>
        <v>0</v>
      </c>
      <c r="Y39" s="2625">
        <f t="shared" si="11"/>
        <v>0</v>
      </c>
      <c r="Z39" s="3208">
        <f t="shared" si="12"/>
        <v>838.18181818181813</v>
      </c>
      <c r="AA39" s="1220" t="s">
        <v>1354</v>
      </c>
      <c r="AB39" s="1220" t="s">
        <v>1393</v>
      </c>
      <c r="AC39" s="251" t="str">
        <f t="shared" si="9"/>
        <v>550gsm GB KUAN YUAN</v>
      </c>
      <c r="AD39" s="2746">
        <f>IF(L39&gt;0,IF(input!$B$2=$O$1,(((M39)+(M39)*$M$10)*$P$11)/1000,(((M39)+(M39)*O39+(M39)*$M$10)*$P$11)/1000),0)</f>
        <v>0</v>
      </c>
      <c r="AE39" s="2746">
        <f>IF(L39&gt;0,IF(input!$B$2=$O$1,(((N39)+(N39)*$M$10)*$P$11)/1000,(((N39)+(N39)*O39+(N39)*$M$10)*$P$11)/1000),0)</f>
        <v>0</v>
      </c>
      <c r="AF39" s="136" t="str">
        <f t="shared" si="13"/>
        <v>FSC</v>
      </c>
      <c r="AG39" s="2628">
        <f t="shared" si="14"/>
        <v>0.02</v>
      </c>
      <c r="AH39" s="1266">
        <v>0.1</v>
      </c>
    </row>
    <row r="40" spans="1:34" ht="12.75">
      <c r="A40" s="2199">
        <f t="shared" si="3"/>
        <v>28</v>
      </c>
      <c r="B40" s="2200" t="s">
        <v>862</v>
      </c>
      <c r="C40" s="2743">
        <v>0</v>
      </c>
      <c r="D40" s="2743">
        <v>0</v>
      </c>
      <c r="E40" s="2949">
        <v>0</v>
      </c>
      <c r="F40" s="2200">
        <v>0</v>
      </c>
      <c r="G40" s="2200" t="s">
        <v>2038</v>
      </c>
      <c r="H40" s="2200" t="s">
        <v>1057</v>
      </c>
      <c r="I40" s="2742">
        <v>0</v>
      </c>
      <c r="J40" s="2742"/>
      <c r="K40" s="2752">
        <v>60</v>
      </c>
      <c r="L40" s="2745">
        <f t="shared" si="0"/>
        <v>0</v>
      </c>
      <c r="M40" s="2745">
        <f t="shared" si="4"/>
        <v>0</v>
      </c>
      <c r="N40" s="2745">
        <f t="shared" si="5"/>
        <v>0</v>
      </c>
      <c r="O40" s="1232">
        <f t="shared" si="6"/>
        <v>0</v>
      </c>
      <c r="P40" s="1227" t="str">
        <f t="shared" si="7"/>
        <v>180gsm GB DEA HAN</v>
      </c>
      <c r="Q40" s="254">
        <v>0.20499999999999999</v>
      </c>
      <c r="R40" s="1228" t="str">
        <f t="shared" si="10"/>
        <v>180</v>
      </c>
      <c r="S40" s="2625">
        <f t="shared" si="1"/>
        <v>0</v>
      </c>
      <c r="T40" s="2747">
        <f>IF(L40&gt;0,IF(input!$B$2=$O$1,(((L40+Y40/22)+(L40+Y40/22)*$AG40+$X40)*$P$11+$M$7)/1000,(((L40+Y40/22)+(L40+Y40/22)*O40+(L40+Y40/22)*$AG40+$X40)*$P$11+$M$7)/1000),0)</f>
        <v>0</v>
      </c>
      <c r="U40" s="2747">
        <f t="shared" si="8"/>
        <v>0</v>
      </c>
      <c r="V40" s="1229"/>
      <c r="W40" s="1231" t="str">
        <f t="shared" si="2"/>
        <v>CIF</v>
      </c>
      <c r="X40" s="1230">
        <f t="shared" si="15"/>
        <v>0</v>
      </c>
      <c r="Y40" s="2625">
        <f t="shared" si="11"/>
        <v>0</v>
      </c>
      <c r="Z40" s="3208">
        <f t="shared" si="12"/>
        <v>838.18181818181813</v>
      </c>
      <c r="AA40" s="1220" t="s">
        <v>1351</v>
      </c>
      <c r="AB40" s="1220" t="s">
        <v>1393</v>
      </c>
      <c r="AC40" s="251" t="str">
        <f t="shared" si="9"/>
        <v>180gsm GB DEA HAN</v>
      </c>
      <c r="AD40" s="2746">
        <f>IF(L40&gt;0,IF(input!$B$2=$O$1,(((M40)+(M40)*$M$10)*$P$11)/1000,(((M40)+(M40)*O40+(M40)*$M$10)*$P$11)/1000),0)</f>
        <v>0</v>
      </c>
      <c r="AE40" s="2746">
        <f>IF(L40&gt;0,IF(input!$B$2=$O$1,(((N40)+(N40)*$M$10)*$P$11)/1000,(((N40)+(N40)*O40+(N40)*$M$10)*$P$11)/1000),0)</f>
        <v>0</v>
      </c>
      <c r="AF40" s="136" t="str">
        <f t="shared" si="13"/>
        <v>FSC</v>
      </c>
      <c r="AG40" s="2628">
        <f t="shared" si="14"/>
        <v>1.6E-2</v>
      </c>
      <c r="AH40" s="1266">
        <v>0.1</v>
      </c>
    </row>
    <row r="41" spans="1:34" ht="12.75" collapsed="1">
      <c r="A41" s="2199">
        <f t="shared" si="3"/>
        <v>29</v>
      </c>
      <c r="B41" s="2200" t="s">
        <v>863</v>
      </c>
      <c r="C41" s="2743">
        <v>0</v>
      </c>
      <c r="D41" s="2743">
        <v>0</v>
      </c>
      <c r="E41" s="2949">
        <v>0</v>
      </c>
      <c r="F41" s="2200">
        <v>0</v>
      </c>
      <c r="G41" s="2200" t="s">
        <v>2038</v>
      </c>
      <c r="H41" s="2200" t="s">
        <v>1057</v>
      </c>
      <c r="I41" s="2742">
        <v>0</v>
      </c>
      <c r="J41" s="2742"/>
      <c r="K41" s="2752">
        <v>60</v>
      </c>
      <c r="L41" s="2745">
        <f t="shared" si="0"/>
        <v>0</v>
      </c>
      <c r="M41" s="2745">
        <f t="shared" si="4"/>
        <v>0</v>
      </c>
      <c r="N41" s="2745">
        <f t="shared" si="5"/>
        <v>0</v>
      </c>
      <c r="O41" s="1232">
        <f t="shared" si="6"/>
        <v>0</v>
      </c>
      <c r="P41" s="1227" t="str">
        <f t="shared" si="7"/>
        <v>200gsm GB DEA HAN</v>
      </c>
      <c r="Q41" s="254">
        <v>0.23</v>
      </c>
      <c r="R41" s="1228" t="str">
        <f t="shared" si="10"/>
        <v>200</v>
      </c>
      <c r="S41" s="2625">
        <f t="shared" si="1"/>
        <v>0</v>
      </c>
      <c r="T41" s="2747">
        <f>IF(L41&gt;0,IF(input!$B$2=$O$1,(((L41+Y41/22)+(L41+Y41/22)*$AG41+$X41)*$P$11+$M$7)/1000,(((L41+Y41/22)+(L41+Y41/22)*O41+(L41+Y41/22)*$AG41+$X41)*$P$11+$M$7)/1000),0)</f>
        <v>0</v>
      </c>
      <c r="U41" s="2747">
        <f t="shared" si="8"/>
        <v>0</v>
      </c>
      <c r="V41" s="1229"/>
      <c r="W41" s="1231" t="str">
        <f t="shared" si="2"/>
        <v>CIF</v>
      </c>
      <c r="X41" s="1230">
        <f t="shared" si="15"/>
        <v>0</v>
      </c>
      <c r="Y41" s="2625">
        <f t="shared" si="11"/>
        <v>0</v>
      </c>
      <c r="Z41" s="3208">
        <f t="shared" si="12"/>
        <v>838.18181818181813</v>
      </c>
      <c r="AA41" s="1220" t="s">
        <v>1351</v>
      </c>
      <c r="AB41" s="1220" t="s">
        <v>1393</v>
      </c>
      <c r="AC41" s="251" t="str">
        <f t="shared" si="9"/>
        <v>200gsm GB DEA HAN</v>
      </c>
      <c r="AD41" s="2746">
        <f>IF(L41&gt;0,IF(input!$B$2=$O$1,(((M41)+(M41)*$M$10)*$P$11)/1000,(((M41)+(M41)*O41+(M41)*$M$10)*$P$11)/1000),0)</f>
        <v>0</v>
      </c>
      <c r="AE41" s="2746">
        <f>IF(L41&gt;0,IF(input!$B$2=$O$1,(((N41)+(N41)*$M$10)*$P$11)/1000,(((N41)+(N41)*O41+(N41)*$M$10)*$P$11)/1000),0)</f>
        <v>0</v>
      </c>
      <c r="AF41" s="136" t="str">
        <f t="shared" si="13"/>
        <v>FSC</v>
      </c>
      <c r="AG41" s="2628">
        <f t="shared" si="14"/>
        <v>1.6E-2</v>
      </c>
      <c r="AH41" s="1266">
        <v>0.1</v>
      </c>
    </row>
    <row r="42" spans="1:34" ht="12.75">
      <c r="A42" s="2199">
        <f t="shared" si="3"/>
        <v>30</v>
      </c>
      <c r="B42" s="2200" t="s">
        <v>864</v>
      </c>
      <c r="C42" s="2743">
        <v>0</v>
      </c>
      <c r="D42" s="2743">
        <v>0</v>
      </c>
      <c r="E42" s="2949">
        <v>0</v>
      </c>
      <c r="F42" s="2200">
        <v>0</v>
      </c>
      <c r="G42" s="2200" t="s">
        <v>2038</v>
      </c>
      <c r="H42" s="2200" t="s">
        <v>1057</v>
      </c>
      <c r="I42" s="2742">
        <v>0</v>
      </c>
      <c r="J42" s="2742"/>
      <c r="K42" s="2752">
        <v>60</v>
      </c>
      <c r="L42" s="2745">
        <f t="shared" si="0"/>
        <v>0</v>
      </c>
      <c r="M42" s="2745">
        <f t="shared" si="4"/>
        <v>0</v>
      </c>
      <c r="N42" s="2745">
        <f t="shared" si="5"/>
        <v>0</v>
      </c>
      <c r="O42" s="1232">
        <f t="shared" si="6"/>
        <v>0</v>
      </c>
      <c r="P42" s="1227" t="str">
        <f t="shared" si="7"/>
        <v>220gsm GB DEA HAN</v>
      </c>
      <c r="Q42" s="254">
        <v>0.255</v>
      </c>
      <c r="R42" s="1228" t="str">
        <f t="shared" si="10"/>
        <v>220</v>
      </c>
      <c r="S42" s="2625">
        <f t="shared" si="1"/>
        <v>0</v>
      </c>
      <c r="T42" s="2747">
        <f>IF(L42&gt;0,IF(input!$B$2=$O$1,(((L42+Y42/22)+(L42+Y42/22)*$AG42+$X42)*$P$11+$M$7)/1000,(((L42+Y42/22)+(L42+Y42/22)*O42+(L42+Y42/22)*$AG42+$X42)*$P$11+$M$7)/1000),0)</f>
        <v>0</v>
      </c>
      <c r="U42" s="2747">
        <f t="shared" si="8"/>
        <v>0</v>
      </c>
      <c r="V42" s="1229"/>
      <c r="W42" s="1231" t="str">
        <f t="shared" si="2"/>
        <v>CIF</v>
      </c>
      <c r="X42" s="1230">
        <f t="shared" si="15"/>
        <v>0</v>
      </c>
      <c r="Y42" s="2625">
        <f t="shared" si="11"/>
        <v>0</v>
      </c>
      <c r="Z42" s="3208">
        <f t="shared" si="12"/>
        <v>838.18181818181813</v>
      </c>
      <c r="AA42" s="1220" t="s">
        <v>1351</v>
      </c>
      <c r="AB42" s="1220" t="s">
        <v>1393</v>
      </c>
      <c r="AC42" s="251" t="str">
        <f t="shared" si="9"/>
        <v>220gsm GB DEA HAN</v>
      </c>
      <c r="AD42" s="2746">
        <f>IF(L42&gt;0,IF(input!$B$2=$O$1,(((M42)+(M42)*$M$10)*$P$11)/1000,(((M42)+(M42)*O42+(M42)*$M$10)*$P$11)/1000),0)</f>
        <v>0</v>
      </c>
      <c r="AE42" s="2746">
        <f>IF(L42&gt;0,IF(input!$B$2=$O$1,(((N42)+(N42)*$M$10)*$P$11)/1000,(((N42)+(N42)*O42+(N42)*$M$10)*$P$11)/1000),0)</f>
        <v>0</v>
      </c>
      <c r="AF42" s="136" t="str">
        <f t="shared" si="13"/>
        <v>FSC</v>
      </c>
      <c r="AG42" s="2628">
        <f t="shared" si="14"/>
        <v>1.6E-2</v>
      </c>
      <c r="AH42" s="1266">
        <v>0.1</v>
      </c>
    </row>
    <row r="43" spans="1:34" ht="12.75">
      <c r="A43" s="2199">
        <f t="shared" si="3"/>
        <v>31</v>
      </c>
      <c r="B43" s="2200" t="s">
        <v>865</v>
      </c>
      <c r="C43" s="2743">
        <v>0</v>
      </c>
      <c r="D43" s="2743">
        <v>555</v>
      </c>
      <c r="E43" s="2949">
        <v>0</v>
      </c>
      <c r="F43" s="2200">
        <v>0</v>
      </c>
      <c r="G43" s="2200" t="s">
        <v>2038</v>
      </c>
      <c r="H43" s="2200" t="s">
        <v>1057</v>
      </c>
      <c r="I43" s="2742">
        <v>0</v>
      </c>
      <c r="J43" s="2742"/>
      <c r="K43" s="2752">
        <v>60</v>
      </c>
      <c r="L43" s="2745">
        <f t="shared" si="0"/>
        <v>555</v>
      </c>
      <c r="M43" s="2745">
        <f t="shared" si="4"/>
        <v>0</v>
      </c>
      <c r="N43" s="2745">
        <f t="shared" si="5"/>
        <v>0</v>
      </c>
      <c r="O43" s="1232">
        <f t="shared" si="6"/>
        <v>0</v>
      </c>
      <c r="P43" s="1227" t="str">
        <f t="shared" si="7"/>
        <v>230gsm GB DEA HAN</v>
      </c>
      <c r="Q43" s="254">
        <v>0.26500000000000001</v>
      </c>
      <c r="R43" s="1228" t="str">
        <f t="shared" si="10"/>
        <v>230</v>
      </c>
      <c r="S43" s="2625">
        <f t="shared" si="1"/>
        <v>0</v>
      </c>
      <c r="T43" s="2747">
        <f>IF(L43&gt;0,IF(input!$B$2=$O$1,(((L43+Y43/22)+(L43+Y43/22)*$AG43+$X43)*$P$11+$M$7)/1000,(((L43+Y43/22)+(L43+Y43/22)*O43+(L43+Y43/22)*$AG43+$X43)*$P$11+$M$7)/1000),0)</f>
        <v>14138.758800000001</v>
      </c>
      <c r="U43" s="2747">
        <f t="shared" si="8"/>
        <v>0</v>
      </c>
      <c r="V43" s="1229"/>
      <c r="W43" s="1231" t="str">
        <f t="shared" si="2"/>
        <v>CIF</v>
      </c>
      <c r="X43" s="1230">
        <f t="shared" si="15"/>
        <v>0</v>
      </c>
      <c r="Y43" s="2625">
        <f t="shared" si="11"/>
        <v>0</v>
      </c>
      <c r="Z43" s="3208">
        <f t="shared" si="12"/>
        <v>838.18181818181813</v>
      </c>
      <c r="AA43" s="1220" t="s">
        <v>1351</v>
      </c>
      <c r="AB43" s="1220" t="s">
        <v>1393</v>
      </c>
      <c r="AC43" s="251" t="str">
        <f t="shared" si="9"/>
        <v>230gsm GB DEA HAN</v>
      </c>
      <c r="AD43" s="2746">
        <f>IF(L43&gt;0,IF(input!$B$2=$O$1,(((M43)+(M43)*$M$10)*$P$11)/1000,(((M43)+(M43)*O43+(M43)*$M$10)*$P$11)/1000),0)</f>
        <v>0</v>
      </c>
      <c r="AE43" s="2746">
        <f>IF(L43&gt;0,IF(input!$B$2=$O$1,(((N43)+(N43)*$M$10)*$P$11)/1000,(((N43)+(N43)*O43+(N43)*$M$10)*$P$11)/1000),0)</f>
        <v>0</v>
      </c>
      <c r="AF43" s="136" t="str">
        <f t="shared" si="13"/>
        <v>FSC</v>
      </c>
      <c r="AG43" s="2628">
        <f t="shared" si="14"/>
        <v>1.6E-2</v>
      </c>
      <c r="AH43" s="1266">
        <v>0.1</v>
      </c>
    </row>
    <row r="44" spans="1:34" ht="12.75">
      <c r="A44" s="2199">
        <f t="shared" si="3"/>
        <v>32</v>
      </c>
      <c r="B44" s="2200" t="s">
        <v>866</v>
      </c>
      <c r="C44" s="2743">
        <v>0</v>
      </c>
      <c r="D44" s="2743">
        <v>0</v>
      </c>
      <c r="E44" s="2949">
        <v>0</v>
      </c>
      <c r="F44" s="2200">
        <v>0</v>
      </c>
      <c r="G44" s="2200" t="s">
        <v>2038</v>
      </c>
      <c r="H44" s="2200" t="s">
        <v>1057</v>
      </c>
      <c r="I44" s="2742">
        <v>0</v>
      </c>
      <c r="J44" s="2742"/>
      <c r="K44" s="2752">
        <v>60</v>
      </c>
      <c r="L44" s="2745">
        <f t="shared" si="0"/>
        <v>0</v>
      </c>
      <c r="M44" s="2745">
        <f t="shared" si="4"/>
        <v>0</v>
      </c>
      <c r="N44" s="2745">
        <f t="shared" si="5"/>
        <v>0</v>
      </c>
      <c r="O44" s="1232">
        <f t="shared" si="6"/>
        <v>0</v>
      </c>
      <c r="P44" s="1227" t="str">
        <f t="shared" si="7"/>
        <v>240gsm GB DEA HAN</v>
      </c>
      <c r="Q44" s="254">
        <v>0.28000000000000003</v>
      </c>
      <c r="R44" s="1228" t="str">
        <f t="shared" si="10"/>
        <v>240</v>
      </c>
      <c r="S44" s="2625">
        <f t="shared" si="1"/>
        <v>0</v>
      </c>
      <c r="T44" s="2747">
        <f>IF(L44&gt;0,IF(input!$B$2=$O$1,(((L44+Y44/22)+(L44+Y44/22)*$AG44+$X44)*$P$11+$M$7)/1000,(((L44+Y44/22)+(L44+Y44/22)*O44+(L44+Y44/22)*$AG44+$X44)*$P$11+$M$7)/1000),0)</f>
        <v>0</v>
      </c>
      <c r="U44" s="2747">
        <f t="shared" si="8"/>
        <v>0</v>
      </c>
      <c r="V44" s="1229"/>
      <c r="W44" s="1231" t="str">
        <f t="shared" si="2"/>
        <v>CIF</v>
      </c>
      <c r="X44" s="1230">
        <f t="shared" si="15"/>
        <v>0</v>
      </c>
      <c r="Y44" s="2625">
        <f t="shared" si="11"/>
        <v>0</v>
      </c>
      <c r="Z44" s="3208">
        <f t="shared" si="12"/>
        <v>838.18181818181813</v>
      </c>
      <c r="AA44" s="1220" t="s">
        <v>1351</v>
      </c>
      <c r="AB44" s="1220" t="s">
        <v>1393</v>
      </c>
      <c r="AC44" s="251" t="str">
        <f t="shared" si="9"/>
        <v>240gsm GB DEA HAN</v>
      </c>
      <c r="AD44" s="2746">
        <f>IF(L44&gt;0,IF(input!$B$2=$O$1,(((M44)+(M44)*$M$10)*$P$11)/1000,(((M44)+(M44)*O44+(M44)*$M$10)*$P$11)/1000),0)</f>
        <v>0</v>
      </c>
      <c r="AE44" s="2746">
        <f>IF(L44&gt;0,IF(input!$B$2=$O$1,(((N44)+(N44)*$M$10)*$P$11)/1000,(((N44)+(N44)*O44+(N44)*$M$10)*$P$11)/1000),0)</f>
        <v>0</v>
      </c>
      <c r="AF44" s="136" t="str">
        <f t="shared" si="13"/>
        <v>FSC</v>
      </c>
      <c r="AG44" s="2628">
        <f t="shared" si="14"/>
        <v>1.6E-2</v>
      </c>
      <c r="AH44" s="1266">
        <v>0.1</v>
      </c>
    </row>
    <row r="45" spans="1:34" ht="12.75">
      <c r="A45" s="2199">
        <f t="shared" si="3"/>
        <v>33</v>
      </c>
      <c r="B45" s="2200" t="s">
        <v>867</v>
      </c>
      <c r="C45" s="2743">
        <v>18300</v>
      </c>
      <c r="D45" s="2743">
        <v>535</v>
      </c>
      <c r="E45" s="2949">
        <v>0</v>
      </c>
      <c r="F45" s="2200">
        <v>0</v>
      </c>
      <c r="G45" s="2200" t="s">
        <v>2038</v>
      </c>
      <c r="H45" s="2200" t="s">
        <v>1057</v>
      </c>
      <c r="I45" s="2742">
        <v>0</v>
      </c>
      <c r="J45" s="2742"/>
      <c r="K45" s="2752">
        <v>60</v>
      </c>
      <c r="L45" s="2745">
        <f t="shared" si="0"/>
        <v>535</v>
      </c>
      <c r="M45" s="2745">
        <f t="shared" si="4"/>
        <v>0</v>
      </c>
      <c r="N45" s="2745">
        <f t="shared" si="5"/>
        <v>0</v>
      </c>
      <c r="O45" s="1232">
        <f t="shared" si="6"/>
        <v>0</v>
      </c>
      <c r="P45" s="1227" t="str">
        <f t="shared" si="7"/>
        <v>250gsm GB DEA HAN</v>
      </c>
      <c r="Q45" s="254">
        <v>0.3</v>
      </c>
      <c r="R45" s="1228" t="str">
        <f t="shared" si="10"/>
        <v>250</v>
      </c>
      <c r="S45" s="2625">
        <f t="shared" si="1"/>
        <v>18300</v>
      </c>
      <c r="T45" s="2747">
        <f>IF(L45&gt;0,IF(input!$B$2=$O$1,(((L45+Y45/22)+(L45+Y45/22)*$AG45+$X45)*$P$11+$M$7)/1000,(((L45+Y45/22)+(L45+Y45/22)*O45+(L45+Y45/22)*$AG45+$X45)*$P$11+$M$7)/1000),0)</f>
        <v>13650.875599999998</v>
      </c>
      <c r="U45" s="2747">
        <f t="shared" si="8"/>
        <v>17782.626262626261</v>
      </c>
      <c r="V45" s="1229"/>
      <c r="W45" s="1231" t="str">
        <f t="shared" si="2"/>
        <v>CIF</v>
      </c>
      <c r="X45" s="1230">
        <f t="shared" si="15"/>
        <v>0</v>
      </c>
      <c r="Y45" s="2625">
        <f t="shared" si="11"/>
        <v>0</v>
      </c>
      <c r="Z45" s="3208">
        <f t="shared" si="12"/>
        <v>838.18181818181813</v>
      </c>
      <c r="AA45" s="1220" t="s">
        <v>1351</v>
      </c>
      <c r="AB45" s="1220" t="s">
        <v>1393</v>
      </c>
      <c r="AC45" s="251" t="str">
        <f t="shared" si="9"/>
        <v>250gsm GB DEA HAN</v>
      </c>
      <c r="AD45" s="2746">
        <f>IF(L45&gt;0,IF(input!$B$2=$O$1,(((M45)+(M45)*$M$10)*$P$11)/1000,(((M45)+(M45)*O45+(M45)*$M$10)*$P$11)/1000),0)</f>
        <v>0</v>
      </c>
      <c r="AE45" s="2746">
        <f>IF(L45&gt;0,IF(input!$B$2=$O$1,(((N45)+(N45)*$M$10)*$P$11)/1000,(((N45)+(N45)*O45+(N45)*$M$10)*$P$11)/1000),0)</f>
        <v>0</v>
      </c>
      <c r="AF45" s="136" t="str">
        <f t="shared" si="13"/>
        <v>FSC</v>
      </c>
      <c r="AG45" s="2628">
        <f t="shared" si="14"/>
        <v>1.6E-2</v>
      </c>
      <c r="AH45" s="1266">
        <v>0.1</v>
      </c>
    </row>
    <row r="46" spans="1:34" ht="12.75">
      <c r="A46" s="2199">
        <f t="shared" si="3"/>
        <v>34</v>
      </c>
      <c r="B46" s="2200" t="s">
        <v>868</v>
      </c>
      <c r="C46" s="2743">
        <v>0</v>
      </c>
      <c r="D46" s="2743">
        <v>535</v>
      </c>
      <c r="E46" s="2949">
        <v>0</v>
      </c>
      <c r="F46" s="2200">
        <v>0</v>
      </c>
      <c r="G46" s="2200" t="s">
        <v>2038</v>
      </c>
      <c r="H46" s="2200" t="s">
        <v>1057</v>
      </c>
      <c r="I46" s="2742">
        <v>0</v>
      </c>
      <c r="J46" s="2742"/>
      <c r="K46" s="2752">
        <v>60</v>
      </c>
      <c r="L46" s="2745">
        <f t="shared" si="0"/>
        <v>535</v>
      </c>
      <c r="M46" s="2745">
        <f t="shared" si="4"/>
        <v>0</v>
      </c>
      <c r="N46" s="2745">
        <f t="shared" si="5"/>
        <v>0</v>
      </c>
      <c r="O46" s="1232">
        <f t="shared" si="6"/>
        <v>0</v>
      </c>
      <c r="P46" s="1227" t="str">
        <f t="shared" si="7"/>
        <v>260gsm GB DEA HAN</v>
      </c>
      <c r="Q46" s="254">
        <v>0.31</v>
      </c>
      <c r="R46" s="1228" t="str">
        <f t="shared" si="10"/>
        <v>260</v>
      </c>
      <c r="S46" s="2625">
        <f t="shared" si="1"/>
        <v>0</v>
      </c>
      <c r="T46" s="2747">
        <f>IF(L46&gt;0,IF(input!$B$2=$O$1,(((L46+Y46/22)+(L46+Y46/22)*$AG46+$X46)*$P$11+$M$7)/1000,(((L46+Y46/22)+(L46+Y46/22)*O46+(L46+Y46/22)*$AG46+$X46)*$P$11+$M$7)/1000),0)</f>
        <v>13650.875599999998</v>
      </c>
      <c r="U46" s="2747">
        <f t="shared" si="8"/>
        <v>0</v>
      </c>
      <c r="V46" s="1229"/>
      <c r="W46" s="1231" t="str">
        <f t="shared" si="2"/>
        <v>CIF</v>
      </c>
      <c r="X46" s="1230">
        <f t="shared" si="15"/>
        <v>0</v>
      </c>
      <c r="Y46" s="2625">
        <f t="shared" si="11"/>
        <v>0</v>
      </c>
      <c r="Z46" s="3208">
        <f t="shared" si="12"/>
        <v>838.18181818181813</v>
      </c>
      <c r="AA46" s="1220" t="s">
        <v>1351</v>
      </c>
      <c r="AB46" s="1220" t="s">
        <v>1393</v>
      </c>
      <c r="AC46" s="251" t="str">
        <f t="shared" si="9"/>
        <v>260gsm GB DEA HAN</v>
      </c>
      <c r="AD46" s="2746">
        <f>IF(L46&gt;0,IF(input!$B$2=$O$1,(((M46)+(M46)*$M$10)*$P$11)/1000,(((M46)+(M46)*O46+(M46)*$M$10)*$P$11)/1000),0)</f>
        <v>0</v>
      </c>
      <c r="AE46" s="2746">
        <f>IF(L46&gt;0,IF(input!$B$2=$O$1,(((N46)+(N46)*$M$10)*$P$11)/1000,(((N46)+(N46)*O46+(N46)*$M$10)*$P$11)/1000),0)</f>
        <v>0</v>
      </c>
      <c r="AF46" s="136" t="str">
        <f t="shared" si="13"/>
        <v>FSC</v>
      </c>
      <c r="AG46" s="2628">
        <f t="shared" si="14"/>
        <v>1.6E-2</v>
      </c>
      <c r="AH46" s="1266">
        <v>0.1</v>
      </c>
    </row>
    <row r="47" spans="1:34" ht="12.75">
      <c r="A47" s="2199">
        <f t="shared" si="3"/>
        <v>35</v>
      </c>
      <c r="B47" s="2200" t="s">
        <v>869</v>
      </c>
      <c r="C47" s="2743">
        <v>0</v>
      </c>
      <c r="D47" s="2743">
        <v>535</v>
      </c>
      <c r="E47" s="2949">
        <v>0</v>
      </c>
      <c r="F47" s="2200">
        <v>0</v>
      </c>
      <c r="G47" s="2200" t="s">
        <v>2038</v>
      </c>
      <c r="H47" s="2200" t="s">
        <v>1057</v>
      </c>
      <c r="I47" s="2742">
        <v>0</v>
      </c>
      <c r="J47" s="2742"/>
      <c r="K47" s="2752">
        <v>60</v>
      </c>
      <c r="L47" s="2745">
        <f t="shared" si="0"/>
        <v>535</v>
      </c>
      <c r="M47" s="2745">
        <f t="shared" si="4"/>
        <v>0</v>
      </c>
      <c r="N47" s="2745">
        <f t="shared" si="5"/>
        <v>0</v>
      </c>
      <c r="O47" s="1232">
        <f t="shared" si="6"/>
        <v>0</v>
      </c>
      <c r="P47" s="1227" t="str">
        <f t="shared" si="7"/>
        <v>270gsm GB DEA HAN</v>
      </c>
      <c r="Q47" s="254">
        <v>0.33</v>
      </c>
      <c r="R47" s="1228" t="str">
        <f t="shared" si="10"/>
        <v>270</v>
      </c>
      <c r="S47" s="2625">
        <f t="shared" si="1"/>
        <v>0</v>
      </c>
      <c r="T47" s="2747">
        <f>IF(L47&gt;0,IF(input!$B$2=$O$1,(((L47+Y47/22)+(L47+Y47/22)*$AG47+$X47)*$P$11+$M$7)/1000,(((L47+Y47/22)+(L47+Y47/22)*O47+(L47+Y47/22)*$AG47+$X47)*$P$11+$M$7)/1000),0)</f>
        <v>13650.875599999998</v>
      </c>
      <c r="U47" s="2747">
        <f t="shared" si="8"/>
        <v>0</v>
      </c>
      <c r="V47" s="1229"/>
      <c r="W47" s="1231" t="str">
        <f t="shared" si="2"/>
        <v>CIF</v>
      </c>
      <c r="X47" s="1230">
        <f t="shared" si="15"/>
        <v>0</v>
      </c>
      <c r="Y47" s="2625">
        <f t="shared" si="11"/>
        <v>0</v>
      </c>
      <c r="Z47" s="3208">
        <f t="shared" si="12"/>
        <v>838.18181818181813</v>
      </c>
      <c r="AA47" s="1220" t="s">
        <v>1351</v>
      </c>
      <c r="AB47" s="1220" t="s">
        <v>1393</v>
      </c>
      <c r="AC47" s="251" t="str">
        <f t="shared" si="9"/>
        <v>270gsm GB DEA HAN</v>
      </c>
      <c r="AD47" s="2746">
        <f>IF(L47&gt;0,IF(input!$B$2=$O$1,(((M47)+(M47)*$M$10)*$P$11)/1000,(((M47)+(M47)*O47+(M47)*$M$10)*$P$11)/1000),0)</f>
        <v>0</v>
      </c>
      <c r="AE47" s="2746">
        <f>IF(L47&gt;0,IF(input!$B$2=$O$1,(((N47)+(N47)*$M$10)*$P$11)/1000,(((N47)+(N47)*O47+(N47)*$M$10)*$P$11)/1000),0)</f>
        <v>0</v>
      </c>
      <c r="AF47" s="136" t="str">
        <f t="shared" si="13"/>
        <v>FSC</v>
      </c>
      <c r="AG47" s="2628">
        <f t="shared" si="14"/>
        <v>1.6E-2</v>
      </c>
      <c r="AH47" s="1266">
        <v>0.1</v>
      </c>
    </row>
    <row r="48" spans="1:34" ht="12.75">
      <c r="A48" s="2199">
        <f t="shared" si="3"/>
        <v>36</v>
      </c>
      <c r="B48" s="2200" t="s">
        <v>870</v>
      </c>
      <c r="C48" s="2743">
        <v>0</v>
      </c>
      <c r="D48" s="2743">
        <v>515</v>
      </c>
      <c r="E48" s="2949">
        <v>0</v>
      </c>
      <c r="F48" s="2200">
        <v>0</v>
      </c>
      <c r="G48" s="2200" t="s">
        <v>2038</v>
      </c>
      <c r="H48" s="2200" t="s">
        <v>1057</v>
      </c>
      <c r="I48" s="2742">
        <v>0</v>
      </c>
      <c r="J48" s="2742"/>
      <c r="K48" s="2752">
        <v>60</v>
      </c>
      <c r="L48" s="2745">
        <f t="shared" si="0"/>
        <v>515</v>
      </c>
      <c r="M48" s="2745">
        <f t="shared" si="4"/>
        <v>0</v>
      </c>
      <c r="N48" s="2745">
        <f t="shared" si="5"/>
        <v>0</v>
      </c>
      <c r="O48" s="1232">
        <f t="shared" si="6"/>
        <v>0</v>
      </c>
      <c r="P48" s="1227" t="str">
        <f t="shared" si="7"/>
        <v>280gsm GB DEA HAN</v>
      </c>
      <c r="Q48" s="254">
        <v>0.33500000000000002</v>
      </c>
      <c r="R48" s="1228" t="str">
        <f t="shared" si="10"/>
        <v>280</v>
      </c>
      <c r="S48" s="2625">
        <f t="shared" si="1"/>
        <v>0</v>
      </c>
      <c r="T48" s="2747">
        <f>IF(L48&gt;0,IF(input!$B$2=$O$1,(((L48+Y48/22)+(L48+Y48/22)*$AG48+$X48)*$P$11+$M$7)/1000,(((L48+Y48/22)+(L48+Y48/22)*O48+(L48+Y48/22)*$AG48+$X48)*$P$11+$M$7)/1000),0)</f>
        <v>13162.992400000001</v>
      </c>
      <c r="U48" s="2747">
        <f t="shared" si="8"/>
        <v>0</v>
      </c>
      <c r="V48" s="1229"/>
      <c r="W48" s="1231" t="str">
        <f t="shared" si="2"/>
        <v>CIF</v>
      </c>
      <c r="X48" s="1230">
        <f t="shared" si="15"/>
        <v>0</v>
      </c>
      <c r="Y48" s="2625">
        <f t="shared" si="11"/>
        <v>0</v>
      </c>
      <c r="Z48" s="3208">
        <f t="shared" si="12"/>
        <v>838.18181818181813</v>
      </c>
      <c r="AA48" s="1220" t="s">
        <v>1351</v>
      </c>
      <c r="AB48" s="1220" t="s">
        <v>1393</v>
      </c>
      <c r="AC48" s="251" t="str">
        <f t="shared" si="9"/>
        <v>280gsm GB DEA HAN</v>
      </c>
      <c r="AD48" s="2746">
        <f>IF(L48&gt;0,IF(input!$B$2=$O$1,(((M48)+(M48)*$M$10)*$P$11)/1000,(((M48)+(M48)*O48+(M48)*$M$10)*$P$11)/1000),0)</f>
        <v>0</v>
      </c>
      <c r="AE48" s="2746">
        <f>IF(L48&gt;0,IF(input!$B$2=$O$1,(((N48)+(N48)*$M$10)*$P$11)/1000,(((N48)+(N48)*O48+(N48)*$M$10)*$P$11)/1000),0)</f>
        <v>0</v>
      </c>
      <c r="AF48" s="136" t="str">
        <f t="shared" si="13"/>
        <v>FSC</v>
      </c>
      <c r="AG48" s="2628">
        <f t="shared" si="14"/>
        <v>1.6E-2</v>
      </c>
      <c r="AH48" s="1266">
        <v>0.1</v>
      </c>
    </row>
    <row r="49" spans="1:16384" ht="12.75">
      <c r="A49" s="2199">
        <f t="shared" si="3"/>
        <v>37</v>
      </c>
      <c r="B49" s="2200" t="s">
        <v>871</v>
      </c>
      <c r="C49" s="2743">
        <v>0</v>
      </c>
      <c r="D49" s="2743">
        <v>0</v>
      </c>
      <c r="E49" s="2949">
        <v>0</v>
      </c>
      <c r="F49" s="2200">
        <v>0</v>
      </c>
      <c r="G49" s="2200" t="s">
        <v>2038</v>
      </c>
      <c r="H49" s="2200" t="s">
        <v>1057</v>
      </c>
      <c r="I49" s="2742">
        <v>0</v>
      </c>
      <c r="J49" s="2742"/>
      <c r="K49" s="2752">
        <v>60</v>
      </c>
      <c r="L49" s="2745">
        <f t="shared" si="0"/>
        <v>0</v>
      </c>
      <c r="M49" s="2745">
        <f t="shared" si="4"/>
        <v>0</v>
      </c>
      <c r="N49" s="2745">
        <f t="shared" si="5"/>
        <v>0</v>
      </c>
      <c r="O49" s="1232">
        <f t="shared" si="6"/>
        <v>0</v>
      </c>
      <c r="P49" s="1227" t="str">
        <f t="shared" si="7"/>
        <v>290gsm GB DEA HAN</v>
      </c>
      <c r="Q49" s="254">
        <v>0.36</v>
      </c>
      <c r="R49" s="1228" t="str">
        <f t="shared" si="10"/>
        <v>290</v>
      </c>
      <c r="S49" s="2625">
        <f t="shared" si="1"/>
        <v>0</v>
      </c>
      <c r="T49" s="2747">
        <f>IF(L49&gt;0,IF(input!$B$2=$O$1,(((L49+Y49/22)+(L49+Y49/22)*$AG49+$X49)*$P$11+$M$7)/1000,(((L49+Y49/22)+(L49+Y49/22)*O49+(L49+Y49/22)*$AG49+$X49)*$P$11+$M$7)/1000),0)</f>
        <v>0</v>
      </c>
      <c r="U49" s="2747">
        <f t="shared" si="8"/>
        <v>0</v>
      </c>
      <c r="V49" s="1229"/>
      <c r="W49" s="1231" t="str">
        <f t="shared" si="2"/>
        <v>CIF</v>
      </c>
      <c r="X49" s="1230">
        <f t="shared" si="15"/>
        <v>0</v>
      </c>
      <c r="Y49" s="2625">
        <f t="shared" si="11"/>
        <v>0</v>
      </c>
      <c r="Z49" s="3208">
        <f t="shared" si="12"/>
        <v>838.18181818181813</v>
      </c>
      <c r="AA49" s="1220" t="s">
        <v>1351</v>
      </c>
      <c r="AB49" s="1220" t="s">
        <v>1393</v>
      </c>
      <c r="AC49" s="251" t="str">
        <f t="shared" si="9"/>
        <v>290gsm GB DEA HAN</v>
      </c>
      <c r="AD49" s="2746">
        <f>IF(L49&gt;0,IF(input!$B$2=$O$1,(((M49)+(M49)*$M$10)*$P$11)/1000,(((M49)+(M49)*O49+(M49)*$M$10)*$P$11)/1000),0)</f>
        <v>0</v>
      </c>
      <c r="AE49" s="2746">
        <f>IF(L49&gt;0,IF(input!$B$2=$O$1,(((N49)+(N49)*$M$10)*$P$11)/1000,(((N49)+(N49)*O49+(N49)*$M$10)*$P$11)/1000),0)</f>
        <v>0</v>
      </c>
      <c r="AF49" s="136" t="str">
        <f t="shared" si="13"/>
        <v>FSC</v>
      </c>
      <c r="AG49" s="2628">
        <f t="shared" si="14"/>
        <v>1.6E-2</v>
      </c>
      <c r="AH49" s="1266">
        <v>0.1</v>
      </c>
    </row>
    <row r="50" spans="1:16384" ht="12.75">
      <c r="A50" s="2199">
        <f t="shared" si="3"/>
        <v>38</v>
      </c>
      <c r="B50" s="2200" t="s">
        <v>872</v>
      </c>
      <c r="C50" s="2743">
        <v>17500</v>
      </c>
      <c r="D50" s="2743">
        <v>505</v>
      </c>
      <c r="E50" s="2949">
        <v>0</v>
      </c>
      <c r="F50" s="2200">
        <v>0</v>
      </c>
      <c r="G50" s="2200" t="s">
        <v>2038</v>
      </c>
      <c r="H50" s="2200" t="s">
        <v>1057</v>
      </c>
      <c r="I50" s="2742">
        <v>0</v>
      </c>
      <c r="J50" s="2742"/>
      <c r="K50" s="2752">
        <v>60</v>
      </c>
      <c r="L50" s="2745">
        <f t="shared" si="0"/>
        <v>505</v>
      </c>
      <c r="M50" s="2745">
        <f t="shared" si="4"/>
        <v>0</v>
      </c>
      <c r="N50" s="2745">
        <f t="shared" si="5"/>
        <v>0</v>
      </c>
      <c r="O50" s="1232">
        <f t="shared" si="6"/>
        <v>0</v>
      </c>
      <c r="P50" s="1227" t="str">
        <f t="shared" si="7"/>
        <v>300gsm GB DEA HAN</v>
      </c>
      <c r="Q50" s="254">
        <v>0.37</v>
      </c>
      <c r="R50" s="1228" t="str">
        <f t="shared" si="10"/>
        <v>300</v>
      </c>
      <c r="S50" s="2625">
        <f t="shared" si="1"/>
        <v>17500</v>
      </c>
      <c r="T50" s="2747">
        <f>IF(L50&gt;0,IF(input!$B$2=$O$1,(((L50+Y50/22)+(L50+Y50/22)*$AG50+$X50)*$P$11+$M$7)/1000,(((L50+Y50/22)+(L50+Y50/22)*O50+(L50+Y50/22)*$AG50+$X50)*$P$11+$M$7)/1000),0)</f>
        <v>12919.050800000001</v>
      </c>
      <c r="U50" s="2747">
        <f t="shared" si="8"/>
        <v>17041.885521885521</v>
      </c>
      <c r="V50" s="1229"/>
      <c r="W50" s="1231" t="str">
        <f t="shared" si="2"/>
        <v>CIF</v>
      </c>
      <c r="X50" s="1230">
        <f t="shared" si="15"/>
        <v>0</v>
      </c>
      <c r="Y50" s="2625">
        <f t="shared" si="11"/>
        <v>0</v>
      </c>
      <c r="Z50" s="3208">
        <f t="shared" si="12"/>
        <v>838.18181818181813</v>
      </c>
      <c r="AA50" s="1220" t="s">
        <v>1351</v>
      </c>
      <c r="AB50" s="1220" t="s">
        <v>1393</v>
      </c>
      <c r="AC50" s="251" t="str">
        <f t="shared" si="9"/>
        <v>300gsm GB DEA HAN</v>
      </c>
      <c r="AD50" s="2746">
        <f>IF(L50&gt;0,IF(input!$B$2=$O$1,(((M50)+(M50)*$M$10)*$P$11)/1000,(((M50)+(M50)*O50+(M50)*$M$10)*$P$11)/1000),0)</f>
        <v>0</v>
      </c>
      <c r="AE50" s="2746">
        <f>IF(L50&gt;0,IF(input!$B$2=$O$1,(((N50)+(N50)*$M$10)*$P$11)/1000,(((N50)+(N50)*O50+(N50)*$M$10)*$P$11)/1000),0)</f>
        <v>0</v>
      </c>
      <c r="AF50" s="136" t="str">
        <f t="shared" si="13"/>
        <v>FSC</v>
      </c>
      <c r="AG50" s="2628">
        <f t="shared" si="14"/>
        <v>1.6E-2</v>
      </c>
      <c r="AH50" s="1266">
        <v>0.1</v>
      </c>
    </row>
    <row r="51" spans="1:16384" ht="12.75">
      <c r="A51" s="2199">
        <f t="shared" si="3"/>
        <v>39</v>
      </c>
      <c r="B51" s="2200" t="s">
        <v>873</v>
      </c>
      <c r="C51" s="2743">
        <v>0</v>
      </c>
      <c r="D51" s="2743">
        <v>0</v>
      </c>
      <c r="E51" s="2949">
        <v>0</v>
      </c>
      <c r="F51" s="2200">
        <v>0</v>
      </c>
      <c r="G51" s="2200" t="s">
        <v>2038</v>
      </c>
      <c r="H51" s="2200" t="s">
        <v>1057</v>
      </c>
      <c r="I51" s="2742">
        <v>0</v>
      </c>
      <c r="J51" s="2742"/>
      <c r="K51" s="2752">
        <v>60</v>
      </c>
      <c r="L51" s="2745">
        <f t="shared" si="0"/>
        <v>0</v>
      </c>
      <c r="M51" s="2745">
        <f t="shared" si="4"/>
        <v>0</v>
      </c>
      <c r="N51" s="2745">
        <f t="shared" si="5"/>
        <v>0</v>
      </c>
      <c r="O51" s="1232">
        <f t="shared" si="6"/>
        <v>0</v>
      </c>
      <c r="P51" s="1227" t="str">
        <f t="shared" si="7"/>
        <v>310gsm GB DEA HAN</v>
      </c>
      <c r="Q51" s="254">
        <v>0.38500000000000001</v>
      </c>
      <c r="R51" s="1228" t="str">
        <f t="shared" si="10"/>
        <v>310</v>
      </c>
      <c r="S51" s="2625">
        <f t="shared" si="1"/>
        <v>0</v>
      </c>
      <c r="T51" s="2747">
        <f>IF(L51&gt;0,IF(input!$B$2=$O$1,(((L51+Y51/22)+(L51+Y51/22)*$AG51+$X51)*$P$11+$M$7)/1000,(((L51+Y51/22)+(L51+Y51/22)*O51+(L51+Y51/22)*$AG51+$X51)*$P$11+$M$7)/1000),0)</f>
        <v>0</v>
      </c>
      <c r="U51" s="2747">
        <f t="shared" si="8"/>
        <v>0</v>
      </c>
      <c r="V51" s="1229"/>
      <c r="W51" s="1231" t="str">
        <f t="shared" si="2"/>
        <v>CIF</v>
      </c>
      <c r="X51" s="1230">
        <f t="shared" si="15"/>
        <v>0</v>
      </c>
      <c r="Y51" s="2625">
        <f t="shared" si="11"/>
        <v>0</v>
      </c>
      <c r="Z51" s="3208">
        <f t="shared" si="12"/>
        <v>838.18181818181813</v>
      </c>
      <c r="AA51" s="1220" t="s">
        <v>1351</v>
      </c>
      <c r="AB51" s="1220" t="s">
        <v>1393</v>
      </c>
      <c r="AC51" s="251" t="str">
        <f t="shared" si="9"/>
        <v>310gsm GB DEA HAN</v>
      </c>
      <c r="AD51" s="2746">
        <f>IF(L51&gt;0,IF(input!$B$2=$O$1,(((M51)+(M51)*$M$10)*$P$11)/1000,(((M51)+(M51)*O51+(M51)*$M$10)*$P$11)/1000),0)</f>
        <v>0</v>
      </c>
      <c r="AE51" s="2746">
        <f>IF(L51&gt;0,IF(input!$B$2=$O$1,(((N51)+(N51)*$M$10)*$P$11)/1000,(((N51)+(N51)*O51+(N51)*$M$10)*$P$11)/1000),0)</f>
        <v>0</v>
      </c>
      <c r="AF51" s="136" t="str">
        <f t="shared" si="13"/>
        <v>FSC</v>
      </c>
      <c r="AG51" s="2628">
        <f t="shared" si="14"/>
        <v>1.6E-2</v>
      </c>
      <c r="AH51" s="1266">
        <v>0.1</v>
      </c>
    </row>
    <row r="52" spans="1:16384" ht="12.75">
      <c r="A52" s="2199">
        <f t="shared" si="3"/>
        <v>40</v>
      </c>
      <c r="B52" s="2200" t="s">
        <v>874</v>
      </c>
      <c r="C52" s="2743">
        <v>0</v>
      </c>
      <c r="D52" s="2743">
        <v>0</v>
      </c>
      <c r="E52" s="2949">
        <v>0</v>
      </c>
      <c r="F52" s="2200">
        <v>0</v>
      </c>
      <c r="G52" s="2200" t="s">
        <v>2038</v>
      </c>
      <c r="H52" s="2200" t="s">
        <v>1057</v>
      </c>
      <c r="I52" s="2742">
        <v>0</v>
      </c>
      <c r="J52" s="2742"/>
      <c r="K52" s="2752">
        <v>60</v>
      </c>
      <c r="L52" s="2745">
        <f t="shared" si="0"/>
        <v>0</v>
      </c>
      <c r="M52" s="2745">
        <f t="shared" si="4"/>
        <v>0</v>
      </c>
      <c r="N52" s="2745">
        <f t="shared" si="5"/>
        <v>0</v>
      </c>
      <c r="O52" s="1232">
        <f t="shared" si="6"/>
        <v>0</v>
      </c>
      <c r="P52" s="1227" t="str">
        <f t="shared" si="7"/>
        <v>320gsm GB DEA HAN</v>
      </c>
      <c r="Q52" s="254">
        <v>0.41</v>
      </c>
      <c r="R52" s="1228" t="str">
        <f t="shared" si="10"/>
        <v>320</v>
      </c>
      <c r="S52" s="2625">
        <f t="shared" si="1"/>
        <v>0</v>
      </c>
      <c r="T52" s="2747">
        <f>IF(L52&gt;0,IF(input!$B$2=$O$1,(((L52+Y52/22)+(L52+Y52/22)*$AG52+$X52)*$P$11+$M$7)/1000,(((L52+Y52/22)+(L52+Y52/22)*O52+(L52+Y52/22)*$AG52+$X52)*$P$11+$M$7)/1000),0)</f>
        <v>0</v>
      </c>
      <c r="U52" s="2747">
        <f t="shared" si="8"/>
        <v>0</v>
      </c>
      <c r="V52" s="1229"/>
      <c r="W52" s="1231" t="str">
        <f t="shared" si="2"/>
        <v>CIF</v>
      </c>
      <c r="X52" s="1230">
        <f t="shared" si="15"/>
        <v>0</v>
      </c>
      <c r="Y52" s="2625">
        <f t="shared" si="11"/>
        <v>0</v>
      </c>
      <c r="Z52" s="3208">
        <f t="shared" si="12"/>
        <v>838.18181818181813</v>
      </c>
      <c r="AA52" s="1220" t="s">
        <v>1351</v>
      </c>
      <c r="AB52" s="1220" t="s">
        <v>1393</v>
      </c>
      <c r="AC52" s="251" t="str">
        <f t="shared" si="9"/>
        <v>320gsm GB DEA HAN</v>
      </c>
      <c r="AD52" s="2746">
        <f>IF(L52&gt;0,IF(input!$B$2=$O$1,(((M52)+(M52)*$M$10)*$P$11)/1000,(((M52)+(M52)*O52+(M52)*$M$10)*$P$11)/1000),0)</f>
        <v>0</v>
      </c>
      <c r="AE52" s="2746">
        <f>IF(L52&gt;0,IF(input!$B$2=$O$1,(((N52)+(N52)*$M$10)*$P$11)/1000,(((N52)+(N52)*O52+(N52)*$M$10)*$P$11)/1000),0)</f>
        <v>0</v>
      </c>
      <c r="AF52" s="136" t="str">
        <f t="shared" si="13"/>
        <v>FSC</v>
      </c>
      <c r="AG52" s="2628">
        <f t="shared" si="14"/>
        <v>1.6E-2</v>
      </c>
      <c r="AH52" s="1266">
        <v>0.1</v>
      </c>
    </row>
    <row r="53" spans="1:16384" ht="12.75">
      <c r="A53" s="2199">
        <f t="shared" si="3"/>
        <v>41</v>
      </c>
      <c r="B53" s="2200" t="s">
        <v>875</v>
      </c>
      <c r="C53" s="2743">
        <v>0</v>
      </c>
      <c r="D53" s="2743">
        <v>0</v>
      </c>
      <c r="E53" s="2949">
        <v>0</v>
      </c>
      <c r="F53" s="2200">
        <v>0</v>
      </c>
      <c r="G53" s="2200" t="s">
        <v>2038</v>
      </c>
      <c r="H53" s="2200" t="s">
        <v>1057</v>
      </c>
      <c r="I53" s="2742">
        <v>0</v>
      </c>
      <c r="J53" s="2742"/>
      <c r="K53" s="2752">
        <v>60</v>
      </c>
      <c r="L53" s="2745">
        <f t="shared" si="0"/>
        <v>0</v>
      </c>
      <c r="M53" s="2745">
        <f t="shared" si="4"/>
        <v>0</v>
      </c>
      <c r="N53" s="2745">
        <f t="shared" si="5"/>
        <v>0</v>
      </c>
      <c r="O53" s="1232">
        <f t="shared" si="6"/>
        <v>0</v>
      </c>
      <c r="P53" s="1227" t="str">
        <f t="shared" si="7"/>
        <v>330gsm GB DEA HAN</v>
      </c>
      <c r="Q53" s="254">
        <v>0.42</v>
      </c>
      <c r="R53" s="1228" t="str">
        <f t="shared" si="10"/>
        <v>330</v>
      </c>
      <c r="S53" s="2625">
        <f t="shared" si="1"/>
        <v>0</v>
      </c>
      <c r="T53" s="2747">
        <f>IF(L53&gt;0,IF(input!$B$2=$O$1,(((L53+Y53/22)+(L53+Y53/22)*$AG53+$X53)*$P$11+$M$7)/1000,(((L53+Y53/22)+(L53+Y53/22)*O53+(L53+Y53/22)*$AG53+$X53)*$P$11+$M$7)/1000),0)</f>
        <v>0</v>
      </c>
      <c r="U53" s="2747">
        <f t="shared" si="8"/>
        <v>0</v>
      </c>
      <c r="V53" s="1229"/>
      <c r="W53" s="1231" t="str">
        <f t="shared" si="2"/>
        <v>CIF</v>
      </c>
      <c r="X53" s="1230">
        <f t="shared" si="15"/>
        <v>0</v>
      </c>
      <c r="Y53" s="2625">
        <f t="shared" si="11"/>
        <v>0</v>
      </c>
      <c r="Z53" s="3208">
        <f t="shared" si="12"/>
        <v>838.18181818181813</v>
      </c>
      <c r="AA53" s="1220" t="s">
        <v>1351</v>
      </c>
      <c r="AB53" s="1220" t="s">
        <v>1393</v>
      </c>
      <c r="AC53" s="251" t="str">
        <f t="shared" si="9"/>
        <v>330gsm GB DEA HAN</v>
      </c>
      <c r="AD53" s="2746">
        <f>IF(L53&gt;0,IF(input!$B$2=$O$1,(((M53)+(M53)*$M$10)*$P$11)/1000,(((M53)+(M53)*O53+(M53)*$M$10)*$P$11)/1000),0)</f>
        <v>0</v>
      </c>
      <c r="AE53" s="2746">
        <f>IF(L53&gt;0,IF(input!$B$2=$O$1,(((N53)+(N53)*$M$10)*$P$11)/1000,(((N53)+(N53)*O53+(N53)*$M$10)*$P$11)/1000),0)</f>
        <v>0</v>
      </c>
      <c r="AF53" s="136" t="str">
        <f t="shared" si="13"/>
        <v>FSC</v>
      </c>
      <c r="AG53" s="2628">
        <f t="shared" si="14"/>
        <v>1.6E-2</v>
      </c>
      <c r="AH53" s="1266">
        <v>0.1</v>
      </c>
    </row>
    <row r="54" spans="1:16384" ht="12.75">
      <c r="A54" s="2199">
        <f t="shared" si="3"/>
        <v>42</v>
      </c>
      <c r="B54" s="2200" t="s">
        <v>876</v>
      </c>
      <c r="C54" s="2743">
        <v>0</v>
      </c>
      <c r="D54" s="2743">
        <v>0</v>
      </c>
      <c r="E54" s="2949">
        <v>0</v>
      </c>
      <c r="F54" s="2200">
        <v>0</v>
      </c>
      <c r="G54" s="2200" t="s">
        <v>2038</v>
      </c>
      <c r="H54" s="2200" t="s">
        <v>1057</v>
      </c>
      <c r="I54" s="2742">
        <v>0</v>
      </c>
      <c r="J54" s="2742"/>
      <c r="K54" s="2752">
        <v>60</v>
      </c>
      <c r="L54" s="2745">
        <f t="shared" si="0"/>
        <v>0</v>
      </c>
      <c r="M54" s="2745">
        <f t="shared" si="4"/>
        <v>0</v>
      </c>
      <c r="N54" s="2745">
        <f t="shared" si="5"/>
        <v>0</v>
      </c>
      <c r="O54" s="1232">
        <f t="shared" si="6"/>
        <v>0</v>
      </c>
      <c r="P54" s="1227" t="str">
        <f t="shared" si="7"/>
        <v>340gsm GB DEA HAN</v>
      </c>
      <c r="Q54" s="254">
        <v>0.435</v>
      </c>
      <c r="R54" s="1228" t="str">
        <f t="shared" si="10"/>
        <v>340</v>
      </c>
      <c r="S54" s="2625">
        <f t="shared" si="1"/>
        <v>0</v>
      </c>
      <c r="T54" s="2747">
        <f>IF(L54&gt;0,IF(input!$B$2=$O$1,(((L54+Y54/22)+(L54+Y54/22)*$AG54+$X54)*$P$11+$M$7)/1000,(((L54+Y54/22)+(L54+Y54/22)*O54+(L54+Y54/22)*$AG54+$X54)*$P$11+$M$7)/1000),0)</f>
        <v>0</v>
      </c>
      <c r="U54" s="2747">
        <f t="shared" si="8"/>
        <v>0</v>
      </c>
      <c r="V54" s="1229"/>
      <c r="W54" s="1231" t="str">
        <f t="shared" si="2"/>
        <v>CIF</v>
      </c>
      <c r="X54" s="1230">
        <f t="shared" si="15"/>
        <v>0</v>
      </c>
      <c r="Y54" s="2625">
        <f t="shared" si="11"/>
        <v>0</v>
      </c>
      <c r="Z54" s="3208">
        <f t="shared" si="12"/>
        <v>838.18181818181813</v>
      </c>
      <c r="AA54" s="1220" t="s">
        <v>1351</v>
      </c>
      <c r="AB54" s="1220" t="s">
        <v>1393</v>
      </c>
      <c r="AC54" s="251" t="str">
        <f t="shared" si="9"/>
        <v>340gsm GB DEA HAN</v>
      </c>
      <c r="AD54" s="2746">
        <f>IF(L54&gt;0,IF(input!$B$2=$O$1,(((M54)+(M54)*$M$10)*$P$11)/1000,(((M54)+(M54)*O54+(M54)*$M$10)*$P$11)/1000),0)</f>
        <v>0</v>
      </c>
      <c r="AE54" s="2746">
        <f>IF(L54&gt;0,IF(input!$B$2=$O$1,(((N54)+(N54)*$M$10)*$P$11)/1000,(((N54)+(N54)*O54+(N54)*$M$10)*$P$11)/1000),0)</f>
        <v>0</v>
      </c>
      <c r="AF54" s="136" t="str">
        <f t="shared" si="13"/>
        <v>FSC</v>
      </c>
      <c r="AG54" s="2628">
        <f t="shared" si="14"/>
        <v>1.6E-2</v>
      </c>
      <c r="AH54" s="1266">
        <v>0.1</v>
      </c>
    </row>
    <row r="55" spans="1:16384" ht="12.75">
      <c r="A55" s="2199">
        <f t="shared" si="3"/>
        <v>43</v>
      </c>
      <c r="B55" s="2200" t="s">
        <v>877</v>
      </c>
      <c r="C55" s="2743">
        <v>17500</v>
      </c>
      <c r="D55" s="2743">
        <v>490</v>
      </c>
      <c r="E55" s="2949">
        <v>0</v>
      </c>
      <c r="F55" s="2200">
        <v>0</v>
      </c>
      <c r="G55" s="2200" t="s">
        <v>2038</v>
      </c>
      <c r="H55" s="2200" t="s">
        <v>1057</v>
      </c>
      <c r="I55" s="2742">
        <v>0</v>
      </c>
      <c r="J55" s="2742"/>
      <c r="K55" s="2752">
        <v>60</v>
      </c>
      <c r="L55" s="2745">
        <f t="shared" si="0"/>
        <v>490</v>
      </c>
      <c r="M55" s="2745">
        <f t="shared" si="4"/>
        <v>0</v>
      </c>
      <c r="N55" s="2745">
        <f t="shared" si="5"/>
        <v>0</v>
      </c>
      <c r="O55" s="1232">
        <f t="shared" si="6"/>
        <v>0</v>
      </c>
      <c r="P55" s="1227" t="str">
        <f t="shared" si="7"/>
        <v>350gsm GB DEA HAN</v>
      </c>
      <c r="Q55" s="254">
        <v>0.44</v>
      </c>
      <c r="R55" s="1228" t="str">
        <f t="shared" si="10"/>
        <v>350</v>
      </c>
      <c r="S55" s="2625">
        <f t="shared" si="1"/>
        <v>17500</v>
      </c>
      <c r="T55" s="2747">
        <f>IF(L55&gt;0,IF(input!$B$2=$O$1,(((L55+Y55/22)+(L55+Y55/22)*$AG55+$X55)*$P$11+$M$7)/1000,(((L55+Y55/22)+(L55+Y55/22)*O55+(L55+Y55/22)*$AG55+$X55)*$P$11+$M$7)/1000),0)</f>
        <v>12553.138399999998</v>
      </c>
      <c r="U55" s="2747">
        <f t="shared" si="8"/>
        <v>17041.885521885521</v>
      </c>
      <c r="V55" s="1229"/>
      <c r="W55" s="1231" t="str">
        <f t="shared" si="2"/>
        <v>CIF</v>
      </c>
      <c r="X55" s="1230">
        <f t="shared" si="15"/>
        <v>0</v>
      </c>
      <c r="Y55" s="2625">
        <f t="shared" si="11"/>
        <v>0</v>
      </c>
      <c r="Z55" s="3208">
        <f t="shared" si="12"/>
        <v>838.18181818181813</v>
      </c>
      <c r="AA55" s="1220" t="s">
        <v>1351</v>
      </c>
      <c r="AB55" s="1220" t="s">
        <v>1393</v>
      </c>
      <c r="AC55" s="251" t="str">
        <f t="shared" si="9"/>
        <v>350gsm GB DEA HAN</v>
      </c>
      <c r="AD55" s="2746">
        <f>IF(L55&gt;0,IF(input!$B$2=$O$1,(((M55)+(M55)*$M$10)*$P$11)/1000,(((M55)+(M55)*O55+(M55)*$M$10)*$P$11)/1000),0)</f>
        <v>0</v>
      </c>
      <c r="AE55" s="2746">
        <f>IF(L55&gt;0,IF(input!$B$2=$O$1,(((N55)+(N55)*$M$10)*$P$11)/1000,(((N55)+(N55)*O55+(N55)*$M$10)*$P$11)/1000),0)</f>
        <v>0</v>
      </c>
      <c r="AF55" s="136" t="str">
        <f t="shared" si="13"/>
        <v>FSC</v>
      </c>
      <c r="AG55" s="2628">
        <f t="shared" si="14"/>
        <v>1.6E-2</v>
      </c>
      <c r="AH55" s="1266">
        <v>0.1</v>
      </c>
    </row>
    <row r="56" spans="1:16384" ht="12.75">
      <c r="A56" s="2199">
        <f t="shared" si="3"/>
        <v>44</v>
      </c>
      <c r="B56" s="2200" t="s">
        <v>878</v>
      </c>
      <c r="C56" s="2743">
        <v>0</v>
      </c>
      <c r="D56" s="2743">
        <v>0</v>
      </c>
      <c r="E56" s="2949">
        <v>0</v>
      </c>
      <c r="F56" s="2200">
        <v>0</v>
      </c>
      <c r="G56" s="2200" t="s">
        <v>2038</v>
      </c>
      <c r="H56" s="2200" t="s">
        <v>1057</v>
      </c>
      <c r="I56" s="2742">
        <v>0</v>
      </c>
      <c r="J56" s="2742"/>
      <c r="K56" s="2752">
        <v>60</v>
      </c>
      <c r="L56" s="2745">
        <f t="shared" si="0"/>
        <v>0</v>
      </c>
      <c r="M56" s="2745">
        <f t="shared" si="4"/>
        <v>0</v>
      </c>
      <c r="N56" s="2745">
        <f t="shared" si="5"/>
        <v>0</v>
      </c>
      <c r="O56" s="1232">
        <f t="shared" si="6"/>
        <v>0</v>
      </c>
      <c r="P56" s="1227" t="str">
        <f t="shared" si="7"/>
        <v>360gsm GB DEA HAN</v>
      </c>
      <c r="Q56" s="254">
        <v>0.46</v>
      </c>
      <c r="R56" s="1228" t="str">
        <f t="shared" si="10"/>
        <v>360</v>
      </c>
      <c r="S56" s="2625">
        <f t="shared" si="1"/>
        <v>0</v>
      </c>
      <c r="T56" s="2747">
        <f>IF(L56&gt;0,IF(input!$B$2=$O$1,(((L56+Y56/22)+(L56+Y56/22)*$AG56+$X56)*$P$11+$M$7)/1000,(((L56+Y56/22)+(L56+Y56/22)*O56+(L56+Y56/22)*$AG56+$X56)*$P$11+$M$7)/1000),0)</f>
        <v>0</v>
      </c>
      <c r="U56" s="2747">
        <f t="shared" si="8"/>
        <v>0</v>
      </c>
      <c r="V56" s="1229"/>
      <c r="W56" s="1231" t="str">
        <f t="shared" si="2"/>
        <v>CIF</v>
      </c>
      <c r="X56" s="1230">
        <f t="shared" si="15"/>
        <v>0</v>
      </c>
      <c r="Y56" s="2625">
        <f t="shared" si="11"/>
        <v>0</v>
      </c>
      <c r="Z56" s="3208">
        <f t="shared" si="12"/>
        <v>838.18181818181813</v>
      </c>
      <c r="AA56" s="1220" t="s">
        <v>1351</v>
      </c>
      <c r="AB56" s="1220" t="s">
        <v>1393</v>
      </c>
      <c r="AC56" s="251" t="str">
        <f t="shared" si="9"/>
        <v>360gsm GB DEA HAN</v>
      </c>
      <c r="AD56" s="2746">
        <f>IF(L56&gt;0,IF(input!$B$2=$O$1,(((M56)+(M56)*$M$10)*$P$11)/1000,(((M56)+(M56)*O56+(M56)*$M$10)*$P$11)/1000),0)</f>
        <v>0</v>
      </c>
      <c r="AE56" s="2746">
        <f>IF(L56&gt;0,IF(input!$B$2=$O$1,(((N56)+(N56)*$M$10)*$P$11)/1000,(((N56)+(N56)*O56+(N56)*$M$10)*$P$11)/1000),0)</f>
        <v>0</v>
      </c>
      <c r="AF56" s="136" t="str">
        <f t="shared" si="13"/>
        <v>FSC</v>
      </c>
      <c r="AG56" s="2628">
        <f t="shared" si="14"/>
        <v>1.6E-2</v>
      </c>
      <c r="AH56" s="1266">
        <v>0.1</v>
      </c>
    </row>
    <row r="57" spans="1:16384" ht="12.75">
      <c r="A57" s="2199">
        <f t="shared" si="3"/>
        <v>45</v>
      </c>
      <c r="B57" s="2200" t="s">
        <v>879</v>
      </c>
      <c r="C57" s="2743">
        <v>0</v>
      </c>
      <c r="D57" s="2743">
        <v>0</v>
      </c>
      <c r="E57" s="2949">
        <v>0</v>
      </c>
      <c r="F57" s="2200">
        <v>0</v>
      </c>
      <c r="G57" s="2200" t="s">
        <v>2038</v>
      </c>
      <c r="H57" s="2200" t="s">
        <v>1057</v>
      </c>
      <c r="I57" s="2742">
        <v>0</v>
      </c>
      <c r="J57" s="2742"/>
      <c r="K57" s="2752">
        <v>60</v>
      </c>
      <c r="L57" s="2745">
        <f t="shared" si="0"/>
        <v>0</v>
      </c>
      <c r="M57" s="2745">
        <f t="shared" si="4"/>
        <v>0</v>
      </c>
      <c r="N57" s="2745">
        <f t="shared" si="5"/>
        <v>0</v>
      </c>
      <c r="O57" s="1232">
        <f t="shared" si="6"/>
        <v>0</v>
      </c>
      <c r="P57" s="1227" t="str">
        <f t="shared" si="7"/>
        <v>370gsm GB DEA HAN</v>
      </c>
      <c r="Q57" s="254">
        <v>0.47499999999999998</v>
      </c>
      <c r="R57" s="1228" t="str">
        <f t="shared" si="10"/>
        <v>370</v>
      </c>
      <c r="S57" s="2625">
        <f t="shared" si="1"/>
        <v>0</v>
      </c>
      <c r="T57" s="2747">
        <f>IF(L57&gt;0,IF(input!$B$2=$O$1,(((L57+Y57/22)+(L57+Y57/22)*$AG57+$X57)*$P$11+$M$7)/1000,(((L57+Y57/22)+(L57+Y57/22)*O57+(L57+Y57/22)*$AG57+$X57)*$P$11+$M$7)/1000),0)</f>
        <v>0</v>
      </c>
      <c r="U57" s="2747">
        <f t="shared" si="8"/>
        <v>0</v>
      </c>
      <c r="V57" s="1229"/>
      <c r="W57" s="1231" t="str">
        <f t="shared" si="2"/>
        <v>CIF</v>
      </c>
      <c r="X57" s="1230">
        <f t="shared" si="15"/>
        <v>0</v>
      </c>
      <c r="Y57" s="2625">
        <f t="shared" si="11"/>
        <v>0</v>
      </c>
      <c r="Z57" s="3208">
        <f t="shared" si="12"/>
        <v>838.18181818181813</v>
      </c>
      <c r="AA57" s="1220" t="s">
        <v>1351</v>
      </c>
      <c r="AB57" s="1220" t="s">
        <v>1393</v>
      </c>
      <c r="AC57" s="251" t="str">
        <f t="shared" si="9"/>
        <v>370gsm GB DEA HAN</v>
      </c>
      <c r="AD57" s="2746">
        <f>IF(L57&gt;0,IF(input!$B$2=$O$1,(((M57)+(M57)*$M$10)*$P$11)/1000,(((M57)+(M57)*O57+(M57)*$M$10)*$P$11)/1000),0)</f>
        <v>0</v>
      </c>
      <c r="AE57" s="2746">
        <f>IF(L57&gt;0,IF(input!$B$2=$O$1,(((N57)+(N57)*$M$10)*$P$11)/1000,(((N57)+(N57)*O57+(N57)*$M$10)*$P$11)/1000),0)</f>
        <v>0</v>
      </c>
      <c r="AF57" s="136" t="str">
        <f t="shared" si="13"/>
        <v>FSC</v>
      </c>
      <c r="AG57" s="2628">
        <f t="shared" si="14"/>
        <v>1.6E-2</v>
      </c>
      <c r="AH57" s="1266">
        <v>0.1</v>
      </c>
    </row>
    <row r="58" spans="1:16384" ht="12.75">
      <c r="A58" s="2199">
        <f t="shared" si="3"/>
        <v>46</v>
      </c>
      <c r="B58" s="2200" t="s">
        <v>880</v>
      </c>
      <c r="C58" s="2743">
        <v>0</v>
      </c>
      <c r="D58" s="2743">
        <v>0</v>
      </c>
      <c r="E58" s="2949">
        <v>0</v>
      </c>
      <c r="F58" s="2200">
        <v>0</v>
      </c>
      <c r="G58" s="2200" t="s">
        <v>2038</v>
      </c>
      <c r="H58" s="2200" t="s">
        <v>1057</v>
      </c>
      <c r="I58" s="2742">
        <v>0</v>
      </c>
      <c r="J58" s="2742"/>
      <c r="K58" s="2752">
        <v>60</v>
      </c>
      <c r="L58" s="2745">
        <f t="shared" si="0"/>
        <v>0</v>
      </c>
      <c r="M58" s="2745">
        <f t="shared" si="4"/>
        <v>0</v>
      </c>
      <c r="N58" s="2745">
        <f t="shared" si="5"/>
        <v>0</v>
      </c>
      <c r="O58" s="1232">
        <f t="shared" si="6"/>
        <v>0</v>
      </c>
      <c r="P58" s="1227" t="str">
        <f t="shared" si="7"/>
        <v>380gsm GB DEA HAN</v>
      </c>
      <c r="Q58" s="254">
        <v>0.48499999999999999</v>
      </c>
      <c r="R58" s="1228" t="str">
        <f t="shared" si="10"/>
        <v>380</v>
      </c>
      <c r="S58" s="2625">
        <f t="shared" si="1"/>
        <v>0</v>
      </c>
      <c r="T58" s="2747">
        <f>IF(L58&gt;0,IF(input!$B$2=$O$1,(((L58+Y58/22)+(L58+Y58/22)*$AG58+$X58)*$P$11+$M$7)/1000,(((L58+Y58/22)+(L58+Y58/22)*O58+(L58+Y58/22)*$AG58+$X58)*$P$11+$M$7)/1000),0)</f>
        <v>0</v>
      </c>
      <c r="U58" s="2747">
        <f t="shared" si="8"/>
        <v>0</v>
      </c>
      <c r="V58" s="1229"/>
      <c r="W58" s="1231" t="str">
        <f t="shared" si="2"/>
        <v>CIF</v>
      </c>
      <c r="X58" s="1230">
        <f t="shared" si="15"/>
        <v>0</v>
      </c>
      <c r="Y58" s="2625">
        <f t="shared" si="11"/>
        <v>0</v>
      </c>
      <c r="Z58" s="3208">
        <f t="shared" si="12"/>
        <v>838.18181818181813</v>
      </c>
      <c r="AA58" s="1220" t="s">
        <v>1351</v>
      </c>
      <c r="AB58" s="1220" t="s">
        <v>1393</v>
      </c>
      <c r="AC58" s="251" t="str">
        <f t="shared" si="9"/>
        <v>380gsm GB DEA HAN</v>
      </c>
      <c r="AD58" s="2746">
        <f>IF(L58&gt;0,IF(input!$B$2=$O$1,(((M58)+(M58)*$M$10)*$P$11)/1000,(((M58)+(M58)*O58+(M58)*$M$10)*$P$11)/1000),0)</f>
        <v>0</v>
      </c>
      <c r="AE58" s="2746">
        <f>IF(L58&gt;0,IF(input!$B$2=$O$1,(((N58)+(N58)*$M$10)*$P$11)/1000,(((N58)+(N58)*O58+(N58)*$M$10)*$P$11)/1000),0)</f>
        <v>0</v>
      </c>
      <c r="AF58" s="136" t="str">
        <f t="shared" si="13"/>
        <v>FSC</v>
      </c>
      <c r="AG58" s="2628">
        <f t="shared" si="14"/>
        <v>1.6E-2</v>
      </c>
      <c r="AH58" s="1266">
        <v>0.1</v>
      </c>
    </row>
    <row r="59" spans="1:16384" ht="12.75">
      <c r="A59" s="2199">
        <f t="shared" si="3"/>
        <v>47</v>
      </c>
      <c r="B59" s="2200" t="s">
        <v>881</v>
      </c>
      <c r="C59" s="2743">
        <v>0</v>
      </c>
      <c r="D59" s="2743">
        <v>0</v>
      </c>
      <c r="E59" s="2949">
        <v>0</v>
      </c>
      <c r="F59" s="2200">
        <v>0</v>
      </c>
      <c r="G59" s="2200" t="s">
        <v>2038</v>
      </c>
      <c r="H59" s="2200" t="s">
        <v>1057</v>
      </c>
      <c r="I59" s="2742">
        <v>0</v>
      </c>
      <c r="J59" s="2742"/>
      <c r="K59" s="2752">
        <v>60</v>
      </c>
      <c r="L59" s="2745">
        <f t="shared" si="0"/>
        <v>0</v>
      </c>
      <c r="M59" s="2745">
        <f t="shared" si="4"/>
        <v>0</v>
      </c>
      <c r="N59" s="2745">
        <f t="shared" si="5"/>
        <v>0</v>
      </c>
      <c r="O59" s="1232">
        <f t="shared" si="6"/>
        <v>0</v>
      </c>
      <c r="P59" s="1227" t="str">
        <f t="shared" si="7"/>
        <v>390gsm GB DEA HAN</v>
      </c>
      <c r="Q59" s="254">
        <v>0.5</v>
      </c>
      <c r="R59" s="1228" t="str">
        <f t="shared" si="10"/>
        <v>390</v>
      </c>
      <c r="S59" s="2625">
        <f t="shared" si="1"/>
        <v>0</v>
      </c>
      <c r="T59" s="2747">
        <f>IF(L59&gt;0,IF(input!$B$2=$O$1,(((L59+Y59/22)+(L59+Y59/22)*$AG59+$X59)*$P$11+$M$7)/1000,(((L59+Y59/22)+(L59+Y59/22)*O59+(L59+Y59/22)*$AG59+$X59)*$P$11+$M$7)/1000),0)</f>
        <v>0</v>
      </c>
      <c r="U59" s="2747">
        <f t="shared" si="8"/>
        <v>0</v>
      </c>
      <c r="V59" s="1229"/>
      <c r="W59" s="1231" t="str">
        <f t="shared" si="2"/>
        <v>CIF</v>
      </c>
      <c r="X59" s="1230">
        <f t="shared" si="15"/>
        <v>0</v>
      </c>
      <c r="Y59" s="2625">
        <f t="shared" si="11"/>
        <v>0</v>
      </c>
      <c r="Z59" s="3208">
        <f t="shared" si="12"/>
        <v>838.18181818181813</v>
      </c>
      <c r="AA59" s="1220" t="s">
        <v>1351</v>
      </c>
      <c r="AB59" s="1220" t="s">
        <v>1393</v>
      </c>
      <c r="AC59" s="251" t="str">
        <f t="shared" si="9"/>
        <v>390gsm GB DEA HAN</v>
      </c>
      <c r="AD59" s="2746">
        <f>IF(L59&gt;0,IF(input!$B$2=$O$1,(((M59)+(M59)*$M$10)*$P$11)/1000,(((M59)+(M59)*O59+(M59)*$M$10)*$P$11)/1000),0)</f>
        <v>0</v>
      </c>
      <c r="AE59" s="2746">
        <f>IF(L59&gt;0,IF(input!$B$2=$O$1,(((N59)+(N59)*$M$10)*$P$11)/1000,(((N59)+(N59)*O59+(N59)*$M$10)*$P$11)/1000),0)</f>
        <v>0</v>
      </c>
      <c r="AF59" s="136" t="str">
        <f t="shared" si="13"/>
        <v>FSC</v>
      </c>
      <c r="AG59" s="2628">
        <f t="shared" si="14"/>
        <v>1.6E-2</v>
      </c>
      <c r="AH59" s="1266">
        <v>0.1</v>
      </c>
    </row>
    <row r="60" spans="1:16384" s="280" customFormat="1" ht="12.75">
      <c r="A60" s="2199">
        <f t="shared" si="3"/>
        <v>48</v>
      </c>
      <c r="B60" s="2200" t="s">
        <v>882</v>
      </c>
      <c r="C60" s="2743">
        <v>17000</v>
      </c>
      <c r="D60" s="2743">
        <v>490</v>
      </c>
      <c r="E60" s="2949">
        <v>0</v>
      </c>
      <c r="F60" s="2200">
        <v>0</v>
      </c>
      <c r="G60" s="2200" t="s">
        <v>2038</v>
      </c>
      <c r="H60" s="2200" t="s">
        <v>1057</v>
      </c>
      <c r="I60" s="2742">
        <v>0</v>
      </c>
      <c r="J60" s="2742"/>
      <c r="K60" s="2752">
        <v>60</v>
      </c>
      <c r="L60" s="2745">
        <f t="shared" si="0"/>
        <v>490</v>
      </c>
      <c r="M60" s="2745">
        <f t="shared" si="4"/>
        <v>0</v>
      </c>
      <c r="N60" s="2745">
        <f t="shared" si="5"/>
        <v>0</v>
      </c>
      <c r="O60" s="1232">
        <f t="shared" si="6"/>
        <v>0</v>
      </c>
      <c r="P60" s="1227" t="str">
        <f t="shared" si="7"/>
        <v>400gsm GB DEA HAN</v>
      </c>
      <c r="Q60" s="254">
        <v>0.505</v>
      </c>
      <c r="R60" s="1228" t="str">
        <f t="shared" si="10"/>
        <v>400</v>
      </c>
      <c r="S60" s="2625">
        <f t="shared" si="1"/>
        <v>17000</v>
      </c>
      <c r="T60" s="2747">
        <f>IF(L60&gt;0,IF(input!$B$2=$O$1,(((L60+Y60/22)+(L60+Y60/22)*$AG60+$X60)*$P$11+$M$7)/1000,(((L60+Y60/22)+(L60+Y60/22)*O60+(L60+Y60/22)*$AG60+$X60)*$P$11+$M$7)/1000),0)</f>
        <v>12553.138399999998</v>
      </c>
      <c r="U60" s="2747">
        <f t="shared" si="8"/>
        <v>16578.922558922557</v>
      </c>
      <c r="V60" s="1229"/>
      <c r="W60" s="1231" t="str">
        <f t="shared" si="2"/>
        <v>CIF</v>
      </c>
      <c r="X60" s="1230">
        <f t="shared" si="15"/>
        <v>0</v>
      </c>
      <c r="Y60" s="2625">
        <f t="shared" si="11"/>
        <v>0</v>
      </c>
      <c r="Z60" s="3208">
        <f t="shared" si="12"/>
        <v>838.18181818181813</v>
      </c>
      <c r="AA60" s="1220" t="s">
        <v>1351</v>
      </c>
      <c r="AB60" s="1220" t="s">
        <v>1393</v>
      </c>
      <c r="AC60" s="251" t="str">
        <f t="shared" si="9"/>
        <v>400gsm GB DEA HAN</v>
      </c>
      <c r="AD60" s="2746">
        <f>IF(L60&gt;0,IF(input!$B$2=$O$1,(((M60)+(M60)*$M$10)*$P$11)/1000,(((M60)+(M60)*O60+(M60)*$M$10)*$P$11)/1000),0)</f>
        <v>0</v>
      </c>
      <c r="AE60" s="2746">
        <f>IF(L60&gt;0,IF(input!$B$2=$O$1,(((N60)+(N60)*$M$10)*$P$11)/1000,(((N60)+(N60)*O60+(N60)*$M$10)*$P$11)/1000),0)</f>
        <v>0</v>
      </c>
      <c r="AF60" s="136" t="str">
        <f t="shared" si="13"/>
        <v>FSC</v>
      </c>
      <c r="AG60" s="2628">
        <f t="shared" si="14"/>
        <v>1.6E-2</v>
      </c>
      <c r="AH60" s="1266">
        <v>0.1</v>
      </c>
      <c r="AI60" s="136"/>
      <c r="AJ60" s="136"/>
      <c r="AK60" s="136"/>
      <c r="BG60" s="280">
        <v>0</v>
      </c>
      <c r="BH60" s="280">
        <v>0</v>
      </c>
      <c r="BI60" s="280">
        <v>0</v>
      </c>
      <c r="BJ60" s="280">
        <v>0</v>
      </c>
      <c r="BK60" s="280">
        <v>0</v>
      </c>
      <c r="BL60" s="280">
        <v>0</v>
      </c>
      <c r="BM60" s="280">
        <v>0</v>
      </c>
      <c r="BN60" s="280">
        <v>0</v>
      </c>
      <c r="BO60" s="280">
        <v>0</v>
      </c>
      <c r="BP60" s="280">
        <v>0</v>
      </c>
      <c r="BQ60" s="280">
        <v>0</v>
      </c>
      <c r="BR60" s="280">
        <v>0</v>
      </c>
      <c r="BS60" s="280">
        <v>0</v>
      </c>
      <c r="BT60" s="280">
        <v>0</v>
      </c>
      <c r="BU60" s="280">
        <v>0</v>
      </c>
      <c r="BV60" s="280">
        <v>0</v>
      </c>
      <c r="BW60" s="280">
        <v>0</v>
      </c>
      <c r="BX60" s="280">
        <v>0</v>
      </c>
      <c r="BY60" s="280">
        <v>0</v>
      </c>
      <c r="BZ60" s="280">
        <v>0</v>
      </c>
      <c r="CA60" s="280">
        <v>0</v>
      </c>
      <c r="CB60" s="280">
        <v>0</v>
      </c>
      <c r="CC60" s="280">
        <v>0</v>
      </c>
      <c r="CD60" s="280">
        <v>0</v>
      </c>
      <c r="CE60" s="280">
        <v>0</v>
      </c>
      <c r="CF60" s="280">
        <v>0</v>
      </c>
      <c r="CG60" s="280">
        <v>0</v>
      </c>
      <c r="CH60" s="280">
        <v>0</v>
      </c>
      <c r="CI60" s="280">
        <v>0</v>
      </c>
      <c r="CJ60" s="280">
        <v>0</v>
      </c>
      <c r="CK60" s="280">
        <v>0</v>
      </c>
      <c r="CL60" s="280">
        <v>0</v>
      </c>
      <c r="CM60" s="280">
        <v>0</v>
      </c>
      <c r="CN60" s="280">
        <v>0</v>
      </c>
      <c r="CO60" s="280">
        <v>0</v>
      </c>
      <c r="CP60" s="280">
        <v>0</v>
      </c>
      <c r="CQ60" s="280">
        <v>0</v>
      </c>
      <c r="CR60" s="280">
        <v>0</v>
      </c>
      <c r="CS60" s="280">
        <v>0</v>
      </c>
      <c r="CT60" s="280">
        <v>0</v>
      </c>
      <c r="CU60" s="280">
        <v>0</v>
      </c>
      <c r="CV60" s="280">
        <v>0</v>
      </c>
      <c r="CW60" s="280">
        <v>0</v>
      </c>
      <c r="CX60" s="280">
        <v>0</v>
      </c>
      <c r="CY60" s="280">
        <v>0</v>
      </c>
      <c r="CZ60" s="280">
        <v>0</v>
      </c>
      <c r="DA60" s="280">
        <v>0</v>
      </c>
      <c r="DB60" s="280">
        <v>0</v>
      </c>
      <c r="DC60" s="280">
        <v>0</v>
      </c>
      <c r="DD60" s="280">
        <v>0</v>
      </c>
      <c r="DE60" s="280">
        <v>0</v>
      </c>
      <c r="DF60" s="280">
        <v>0</v>
      </c>
      <c r="DG60" s="280">
        <v>0</v>
      </c>
      <c r="DH60" s="280">
        <v>0</v>
      </c>
      <c r="DI60" s="280">
        <v>0</v>
      </c>
      <c r="DJ60" s="280">
        <v>0</v>
      </c>
      <c r="DK60" s="280">
        <v>0</v>
      </c>
      <c r="DL60" s="280">
        <v>0</v>
      </c>
      <c r="DM60" s="280">
        <v>0</v>
      </c>
      <c r="DN60" s="280">
        <v>0</v>
      </c>
      <c r="DO60" s="280">
        <v>0</v>
      </c>
      <c r="DP60" s="280">
        <v>0</v>
      </c>
      <c r="DQ60" s="280">
        <v>0</v>
      </c>
      <c r="DR60" s="280">
        <v>0</v>
      </c>
      <c r="DS60" s="280">
        <v>0</v>
      </c>
      <c r="DT60" s="280">
        <v>0</v>
      </c>
      <c r="DU60" s="280">
        <v>0</v>
      </c>
      <c r="DV60" s="280">
        <v>0</v>
      </c>
      <c r="DW60" s="280">
        <v>0</v>
      </c>
      <c r="DX60" s="280">
        <v>0</v>
      </c>
      <c r="DY60" s="280">
        <v>0</v>
      </c>
      <c r="DZ60" s="280">
        <v>0</v>
      </c>
      <c r="EA60" s="280">
        <v>0</v>
      </c>
      <c r="EB60" s="280">
        <v>0</v>
      </c>
      <c r="EC60" s="280">
        <v>0</v>
      </c>
      <c r="ED60" s="280">
        <v>0</v>
      </c>
      <c r="EE60" s="280">
        <v>0</v>
      </c>
      <c r="EF60" s="280">
        <v>0</v>
      </c>
      <c r="EG60" s="280">
        <v>0</v>
      </c>
      <c r="EH60" s="280">
        <v>0</v>
      </c>
      <c r="EI60" s="280">
        <v>0</v>
      </c>
      <c r="EJ60" s="280">
        <v>0</v>
      </c>
      <c r="EK60" s="280">
        <v>0</v>
      </c>
      <c r="EL60" s="280">
        <v>0</v>
      </c>
      <c r="EM60" s="280">
        <v>0</v>
      </c>
      <c r="EN60" s="280">
        <v>0</v>
      </c>
      <c r="EO60" s="280">
        <v>0</v>
      </c>
      <c r="EP60" s="280">
        <v>0</v>
      </c>
      <c r="EQ60" s="280">
        <v>0</v>
      </c>
      <c r="ER60" s="280">
        <v>0</v>
      </c>
      <c r="ES60" s="280">
        <v>0</v>
      </c>
      <c r="ET60" s="280">
        <v>0</v>
      </c>
      <c r="EU60" s="280">
        <v>0</v>
      </c>
      <c r="EV60" s="280">
        <v>0</v>
      </c>
      <c r="EW60" s="280">
        <v>0</v>
      </c>
      <c r="EX60" s="280">
        <v>0</v>
      </c>
      <c r="EY60" s="280">
        <v>0</v>
      </c>
      <c r="EZ60" s="280">
        <v>0</v>
      </c>
      <c r="FA60" s="280">
        <v>0</v>
      </c>
      <c r="FB60" s="280">
        <v>0</v>
      </c>
      <c r="FC60" s="280">
        <v>0</v>
      </c>
      <c r="FD60" s="280">
        <v>0</v>
      </c>
      <c r="FE60" s="280">
        <v>0</v>
      </c>
      <c r="FF60" s="280">
        <v>0</v>
      </c>
      <c r="FG60" s="280">
        <v>0</v>
      </c>
      <c r="FH60" s="280">
        <v>0</v>
      </c>
      <c r="FI60" s="280">
        <v>0</v>
      </c>
      <c r="FJ60" s="280">
        <v>0</v>
      </c>
      <c r="FK60" s="280">
        <v>0</v>
      </c>
      <c r="FL60" s="280">
        <v>0</v>
      </c>
      <c r="FM60" s="280">
        <v>0</v>
      </c>
      <c r="FN60" s="280">
        <v>0</v>
      </c>
      <c r="FO60" s="280">
        <v>0</v>
      </c>
      <c r="FP60" s="280">
        <v>0</v>
      </c>
      <c r="FQ60" s="280">
        <v>0</v>
      </c>
      <c r="FR60" s="280">
        <v>0</v>
      </c>
      <c r="FS60" s="280">
        <v>0</v>
      </c>
      <c r="FT60" s="280">
        <v>0</v>
      </c>
      <c r="FU60" s="280">
        <v>0</v>
      </c>
      <c r="FV60" s="280">
        <v>0</v>
      </c>
      <c r="FW60" s="280">
        <v>0</v>
      </c>
      <c r="FX60" s="280">
        <v>0</v>
      </c>
      <c r="FY60" s="280">
        <v>0</v>
      </c>
      <c r="FZ60" s="280">
        <v>0</v>
      </c>
      <c r="GA60" s="280">
        <v>0</v>
      </c>
      <c r="GB60" s="280">
        <v>0</v>
      </c>
      <c r="GC60" s="280">
        <v>0</v>
      </c>
      <c r="GD60" s="280">
        <v>0</v>
      </c>
      <c r="GE60" s="280">
        <v>0</v>
      </c>
      <c r="GF60" s="280">
        <v>0</v>
      </c>
      <c r="GG60" s="280">
        <v>0</v>
      </c>
      <c r="GH60" s="280">
        <v>0</v>
      </c>
      <c r="GI60" s="280">
        <v>0</v>
      </c>
      <c r="GJ60" s="280">
        <v>0</v>
      </c>
      <c r="GK60" s="280">
        <v>0</v>
      </c>
      <c r="GL60" s="280">
        <v>0</v>
      </c>
      <c r="GM60" s="280">
        <v>0</v>
      </c>
      <c r="GN60" s="280">
        <v>0</v>
      </c>
      <c r="GO60" s="280">
        <v>0</v>
      </c>
      <c r="GP60" s="280">
        <v>0</v>
      </c>
      <c r="GQ60" s="280">
        <v>0</v>
      </c>
      <c r="GR60" s="280">
        <v>0</v>
      </c>
      <c r="GS60" s="280">
        <v>0</v>
      </c>
      <c r="GT60" s="280">
        <v>0</v>
      </c>
      <c r="GU60" s="280">
        <v>0</v>
      </c>
      <c r="GV60" s="280">
        <v>0</v>
      </c>
      <c r="GW60" s="280">
        <v>0</v>
      </c>
      <c r="GX60" s="280">
        <v>0</v>
      </c>
      <c r="GY60" s="280">
        <v>0</v>
      </c>
      <c r="GZ60" s="280">
        <v>0</v>
      </c>
      <c r="HA60" s="280">
        <v>0</v>
      </c>
      <c r="HB60" s="280">
        <v>0</v>
      </c>
      <c r="HC60" s="280">
        <v>0</v>
      </c>
      <c r="HD60" s="280">
        <v>0</v>
      </c>
      <c r="HE60" s="280">
        <v>0</v>
      </c>
      <c r="HF60" s="280">
        <v>0</v>
      </c>
      <c r="HG60" s="280">
        <v>0</v>
      </c>
      <c r="HH60" s="280">
        <v>0</v>
      </c>
      <c r="HI60" s="280">
        <v>0</v>
      </c>
      <c r="HJ60" s="280">
        <v>0</v>
      </c>
      <c r="HK60" s="280">
        <v>0</v>
      </c>
      <c r="HL60" s="280">
        <v>0</v>
      </c>
      <c r="HM60" s="280">
        <v>0</v>
      </c>
      <c r="HN60" s="280">
        <v>0</v>
      </c>
      <c r="HO60" s="280">
        <v>0</v>
      </c>
      <c r="HP60" s="280">
        <v>0</v>
      </c>
      <c r="HQ60" s="280">
        <v>0</v>
      </c>
      <c r="HR60" s="280">
        <v>0</v>
      </c>
      <c r="HS60" s="280">
        <v>0</v>
      </c>
      <c r="HT60" s="280">
        <v>0</v>
      </c>
      <c r="HU60" s="280">
        <v>0</v>
      </c>
      <c r="HV60" s="280">
        <v>0</v>
      </c>
      <c r="HW60" s="280">
        <v>0</v>
      </c>
      <c r="HX60" s="280">
        <v>0</v>
      </c>
      <c r="HY60" s="280">
        <v>0</v>
      </c>
      <c r="HZ60" s="280">
        <v>0</v>
      </c>
      <c r="IA60" s="280">
        <v>0</v>
      </c>
      <c r="IB60" s="280">
        <v>0</v>
      </c>
      <c r="IC60" s="280">
        <v>0</v>
      </c>
      <c r="ID60" s="280">
        <v>0</v>
      </c>
      <c r="IE60" s="280">
        <v>0</v>
      </c>
      <c r="IF60" s="280">
        <v>0</v>
      </c>
      <c r="IG60" s="280">
        <v>0</v>
      </c>
      <c r="IH60" s="280">
        <v>0</v>
      </c>
      <c r="II60" s="280">
        <v>0</v>
      </c>
      <c r="IJ60" s="280">
        <v>0</v>
      </c>
      <c r="IK60" s="280">
        <v>0</v>
      </c>
      <c r="IL60" s="280">
        <v>0</v>
      </c>
      <c r="IM60" s="280">
        <v>0</v>
      </c>
      <c r="IN60" s="280">
        <v>0</v>
      </c>
      <c r="IO60" s="280">
        <v>0</v>
      </c>
      <c r="IP60" s="280">
        <v>0</v>
      </c>
      <c r="IQ60" s="280">
        <v>0</v>
      </c>
      <c r="IR60" s="280">
        <v>0</v>
      </c>
      <c r="IS60" s="280">
        <v>0</v>
      </c>
      <c r="IT60" s="280">
        <v>0</v>
      </c>
      <c r="IU60" s="280">
        <v>0</v>
      </c>
      <c r="IV60" s="280">
        <v>0</v>
      </c>
      <c r="IW60" s="280">
        <v>0</v>
      </c>
      <c r="IX60" s="280">
        <v>0</v>
      </c>
      <c r="IY60" s="280">
        <v>0</v>
      </c>
      <c r="IZ60" s="280">
        <v>0</v>
      </c>
      <c r="JA60" s="280">
        <v>0</v>
      </c>
      <c r="JB60" s="280">
        <v>0</v>
      </c>
      <c r="JC60" s="280">
        <v>0</v>
      </c>
      <c r="JD60" s="280">
        <v>0</v>
      </c>
      <c r="JE60" s="280">
        <v>0</v>
      </c>
      <c r="JF60" s="280">
        <v>0</v>
      </c>
      <c r="JG60" s="280">
        <v>0</v>
      </c>
      <c r="JH60" s="280">
        <v>0</v>
      </c>
      <c r="JI60" s="280">
        <v>0</v>
      </c>
      <c r="JJ60" s="280">
        <v>0</v>
      </c>
      <c r="JK60" s="280">
        <v>0</v>
      </c>
      <c r="JL60" s="280">
        <v>0</v>
      </c>
      <c r="JM60" s="280">
        <v>0</v>
      </c>
      <c r="JN60" s="280">
        <v>0</v>
      </c>
      <c r="JO60" s="280">
        <v>0</v>
      </c>
      <c r="JP60" s="280">
        <v>0</v>
      </c>
      <c r="JQ60" s="280">
        <v>0</v>
      </c>
      <c r="JR60" s="280">
        <v>0</v>
      </c>
      <c r="JS60" s="280">
        <v>0</v>
      </c>
      <c r="JT60" s="280">
        <v>0</v>
      </c>
      <c r="JU60" s="280">
        <v>0</v>
      </c>
      <c r="JV60" s="280">
        <v>0</v>
      </c>
      <c r="JW60" s="280">
        <v>0</v>
      </c>
      <c r="JX60" s="280">
        <v>0</v>
      </c>
      <c r="JY60" s="280">
        <v>0</v>
      </c>
      <c r="JZ60" s="280">
        <v>0</v>
      </c>
      <c r="KA60" s="280">
        <v>0</v>
      </c>
      <c r="KB60" s="280">
        <v>0</v>
      </c>
      <c r="KC60" s="280">
        <v>0</v>
      </c>
      <c r="KD60" s="280">
        <v>0</v>
      </c>
      <c r="KE60" s="280">
        <v>0</v>
      </c>
      <c r="KF60" s="280">
        <v>0</v>
      </c>
      <c r="KG60" s="280">
        <v>0</v>
      </c>
      <c r="KH60" s="280">
        <v>0</v>
      </c>
      <c r="KI60" s="280">
        <v>0</v>
      </c>
      <c r="KJ60" s="280">
        <v>0</v>
      </c>
      <c r="KK60" s="280">
        <v>0</v>
      </c>
      <c r="KL60" s="280">
        <v>0</v>
      </c>
      <c r="KM60" s="280">
        <v>0</v>
      </c>
      <c r="KN60" s="280">
        <v>0</v>
      </c>
      <c r="KO60" s="280">
        <v>0</v>
      </c>
      <c r="KP60" s="280">
        <v>0</v>
      </c>
      <c r="KQ60" s="280">
        <v>0</v>
      </c>
      <c r="KR60" s="280">
        <v>0</v>
      </c>
      <c r="KS60" s="280">
        <v>0</v>
      </c>
      <c r="KT60" s="280">
        <v>0</v>
      </c>
      <c r="KU60" s="280">
        <v>0</v>
      </c>
      <c r="KV60" s="280">
        <v>0</v>
      </c>
      <c r="KW60" s="280">
        <v>0</v>
      </c>
      <c r="KX60" s="280">
        <v>0</v>
      </c>
      <c r="KY60" s="280">
        <v>0</v>
      </c>
      <c r="KZ60" s="280">
        <v>0</v>
      </c>
      <c r="LA60" s="280">
        <v>0</v>
      </c>
      <c r="LB60" s="280">
        <v>0</v>
      </c>
      <c r="LC60" s="280">
        <v>0</v>
      </c>
      <c r="LD60" s="280">
        <v>0</v>
      </c>
      <c r="LE60" s="280">
        <v>0</v>
      </c>
      <c r="LF60" s="280">
        <v>0</v>
      </c>
      <c r="LG60" s="280">
        <v>0</v>
      </c>
      <c r="LH60" s="280">
        <v>0</v>
      </c>
      <c r="LI60" s="280">
        <v>0</v>
      </c>
      <c r="LJ60" s="280">
        <v>0</v>
      </c>
      <c r="LK60" s="280">
        <v>0</v>
      </c>
      <c r="LL60" s="280">
        <v>0</v>
      </c>
      <c r="LM60" s="280">
        <v>0</v>
      </c>
      <c r="LN60" s="280">
        <v>0</v>
      </c>
      <c r="LO60" s="280">
        <v>0</v>
      </c>
      <c r="LP60" s="280">
        <v>0</v>
      </c>
      <c r="LQ60" s="280">
        <v>0</v>
      </c>
      <c r="LR60" s="280">
        <v>0</v>
      </c>
      <c r="LS60" s="280">
        <v>0</v>
      </c>
      <c r="LT60" s="280">
        <v>0</v>
      </c>
      <c r="LU60" s="280">
        <v>0</v>
      </c>
      <c r="LV60" s="280">
        <v>0</v>
      </c>
      <c r="LW60" s="280">
        <v>0</v>
      </c>
      <c r="LX60" s="280">
        <v>0</v>
      </c>
      <c r="LY60" s="280">
        <v>0</v>
      </c>
      <c r="LZ60" s="280">
        <v>0</v>
      </c>
      <c r="MA60" s="280">
        <v>0</v>
      </c>
      <c r="MB60" s="280">
        <v>0</v>
      </c>
      <c r="MC60" s="280">
        <v>0</v>
      </c>
      <c r="MD60" s="280">
        <v>0</v>
      </c>
      <c r="ME60" s="280">
        <v>0</v>
      </c>
      <c r="MF60" s="280">
        <v>0</v>
      </c>
      <c r="MG60" s="280">
        <v>0</v>
      </c>
      <c r="MH60" s="280">
        <v>0</v>
      </c>
      <c r="MI60" s="280">
        <v>0</v>
      </c>
      <c r="MJ60" s="280">
        <v>0</v>
      </c>
      <c r="MK60" s="280">
        <v>0</v>
      </c>
      <c r="ML60" s="280">
        <v>0</v>
      </c>
      <c r="MM60" s="280">
        <v>0</v>
      </c>
      <c r="MN60" s="280">
        <v>0</v>
      </c>
      <c r="MO60" s="280">
        <v>0</v>
      </c>
      <c r="MP60" s="280">
        <v>0</v>
      </c>
      <c r="MQ60" s="280">
        <v>0</v>
      </c>
      <c r="MR60" s="280">
        <v>0</v>
      </c>
      <c r="MS60" s="280">
        <v>0</v>
      </c>
      <c r="MT60" s="280">
        <v>0</v>
      </c>
      <c r="MU60" s="280">
        <v>0</v>
      </c>
      <c r="MV60" s="280">
        <v>0</v>
      </c>
      <c r="MW60" s="280">
        <v>0</v>
      </c>
      <c r="MX60" s="280">
        <v>0</v>
      </c>
      <c r="MY60" s="280">
        <v>0</v>
      </c>
      <c r="MZ60" s="280">
        <v>0</v>
      </c>
      <c r="NA60" s="280">
        <v>0</v>
      </c>
      <c r="NB60" s="280">
        <v>0</v>
      </c>
      <c r="NC60" s="280">
        <v>0</v>
      </c>
      <c r="ND60" s="280">
        <v>0</v>
      </c>
      <c r="NE60" s="280">
        <v>0</v>
      </c>
      <c r="NF60" s="280">
        <v>0</v>
      </c>
      <c r="NG60" s="280">
        <v>0</v>
      </c>
      <c r="NH60" s="280">
        <v>0</v>
      </c>
      <c r="NI60" s="280">
        <v>0</v>
      </c>
      <c r="NJ60" s="280">
        <v>0</v>
      </c>
      <c r="NK60" s="280">
        <v>0</v>
      </c>
      <c r="NL60" s="280">
        <v>0</v>
      </c>
      <c r="NM60" s="280">
        <v>0</v>
      </c>
      <c r="NN60" s="280">
        <v>0</v>
      </c>
      <c r="NO60" s="280">
        <v>0</v>
      </c>
      <c r="NP60" s="280">
        <v>0</v>
      </c>
      <c r="NQ60" s="280">
        <v>0</v>
      </c>
      <c r="NR60" s="280">
        <v>0</v>
      </c>
      <c r="NS60" s="280">
        <v>0</v>
      </c>
      <c r="NT60" s="280">
        <v>0</v>
      </c>
      <c r="NU60" s="280">
        <v>0</v>
      </c>
      <c r="NV60" s="280">
        <v>0</v>
      </c>
      <c r="NW60" s="280">
        <v>0</v>
      </c>
      <c r="NX60" s="280">
        <v>0</v>
      </c>
      <c r="NY60" s="280">
        <v>0</v>
      </c>
      <c r="NZ60" s="280">
        <v>0</v>
      </c>
      <c r="OA60" s="280">
        <v>0</v>
      </c>
      <c r="OB60" s="280">
        <v>0</v>
      </c>
      <c r="OC60" s="280">
        <v>0</v>
      </c>
      <c r="OD60" s="280">
        <v>0</v>
      </c>
      <c r="OE60" s="280">
        <v>0</v>
      </c>
      <c r="OF60" s="280">
        <v>0</v>
      </c>
      <c r="OG60" s="280">
        <v>0</v>
      </c>
      <c r="OH60" s="280">
        <v>0</v>
      </c>
      <c r="OI60" s="280">
        <v>0</v>
      </c>
      <c r="OJ60" s="280">
        <v>0</v>
      </c>
      <c r="OK60" s="280">
        <v>0</v>
      </c>
      <c r="OL60" s="280">
        <v>0</v>
      </c>
      <c r="OM60" s="280">
        <v>0</v>
      </c>
      <c r="ON60" s="280">
        <v>0</v>
      </c>
      <c r="OO60" s="280">
        <v>0</v>
      </c>
      <c r="OP60" s="280">
        <v>0</v>
      </c>
      <c r="OQ60" s="280">
        <v>0</v>
      </c>
      <c r="OR60" s="280">
        <v>0</v>
      </c>
      <c r="OS60" s="280">
        <v>0</v>
      </c>
      <c r="OT60" s="280">
        <v>0</v>
      </c>
      <c r="OU60" s="280">
        <v>0</v>
      </c>
      <c r="OV60" s="280">
        <v>0</v>
      </c>
      <c r="OW60" s="280">
        <v>0</v>
      </c>
      <c r="OX60" s="280">
        <v>0</v>
      </c>
      <c r="OY60" s="280">
        <v>0</v>
      </c>
      <c r="OZ60" s="280">
        <v>0</v>
      </c>
      <c r="PA60" s="280">
        <v>0</v>
      </c>
      <c r="PB60" s="280">
        <v>0</v>
      </c>
      <c r="PC60" s="280">
        <v>0</v>
      </c>
      <c r="PD60" s="280">
        <v>0</v>
      </c>
      <c r="PE60" s="280">
        <v>0</v>
      </c>
      <c r="PF60" s="280">
        <v>0</v>
      </c>
      <c r="PG60" s="280">
        <v>0</v>
      </c>
      <c r="PH60" s="280">
        <v>0</v>
      </c>
      <c r="PI60" s="280">
        <v>0</v>
      </c>
      <c r="PJ60" s="280">
        <v>0</v>
      </c>
      <c r="PK60" s="280">
        <v>0</v>
      </c>
      <c r="PL60" s="280">
        <v>0</v>
      </c>
      <c r="PM60" s="280">
        <v>0</v>
      </c>
      <c r="PN60" s="280">
        <v>0</v>
      </c>
      <c r="PO60" s="280">
        <v>0</v>
      </c>
      <c r="PP60" s="280">
        <v>0</v>
      </c>
      <c r="PQ60" s="280">
        <v>0</v>
      </c>
      <c r="PR60" s="280">
        <v>0</v>
      </c>
      <c r="PS60" s="280">
        <v>0</v>
      </c>
      <c r="PT60" s="280">
        <v>0</v>
      </c>
      <c r="PU60" s="280">
        <v>0</v>
      </c>
      <c r="PV60" s="280">
        <v>0</v>
      </c>
      <c r="PW60" s="280">
        <v>0</v>
      </c>
      <c r="PX60" s="280">
        <v>0</v>
      </c>
      <c r="PY60" s="280">
        <v>0</v>
      </c>
      <c r="PZ60" s="280">
        <v>0</v>
      </c>
      <c r="QA60" s="280">
        <v>0</v>
      </c>
      <c r="QB60" s="280">
        <v>0</v>
      </c>
      <c r="QC60" s="280">
        <v>0</v>
      </c>
      <c r="QD60" s="280">
        <v>0</v>
      </c>
      <c r="QE60" s="280">
        <v>0</v>
      </c>
      <c r="QF60" s="280">
        <v>0</v>
      </c>
      <c r="QG60" s="280">
        <v>0</v>
      </c>
      <c r="QH60" s="280">
        <v>0</v>
      </c>
      <c r="QI60" s="280">
        <v>0</v>
      </c>
      <c r="QJ60" s="280">
        <v>0</v>
      </c>
      <c r="QK60" s="280">
        <v>0</v>
      </c>
      <c r="QL60" s="280">
        <v>0</v>
      </c>
      <c r="QM60" s="280">
        <v>0</v>
      </c>
      <c r="QN60" s="280">
        <v>0</v>
      </c>
      <c r="QO60" s="280">
        <v>0</v>
      </c>
      <c r="QP60" s="280">
        <v>0</v>
      </c>
      <c r="QQ60" s="280">
        <v>0</v>
      </c>
      <c r="QR60" s="280">
        <v>0</v>
      </c>
      <c r="QS60" s="280">
        <v>0</v>
      </c>
      <c r="QT60" s="280">
        <v>0</v>
      </c>
      <c r="QU60" s="280">
        <v>0</v>
      </c>
      <c r="QV60" s="280">
        <v>0</v>
      </c>
      <c r="QW60" s="280">
        <v>0</v>
      </c>
      <c r="QX60" s="280">
        <v>0</v>
      </c>
      <c r="QY60" s="280">
        <v>0</v>
      </c>
      <c r="QZ60" s="280">
        <v>0</v>
      </c>
      <c r="RA60" s="280">
        <v>0</v>
      </c>
      <c r="RB60" s="280">
        <v>0</v>
      </c>
      <c r="RC60" s="280">
        <v>0</v>
      </c>
      <c r="RD60" s="280">
        <v>0</v>
      </c>
      <c r="RE60" s="280">
        <v>0</v>
      </c>
      <c r="RF60" s="280">
        <v>0</v>
      </c>
      <c r="RG60" s="280">
        <v>0</v>
      </c>
      <c r="RH60" s="280">
        <v>0</v>
      </c>
      <c r="RI60" s="280">
        <v>0</v>
      </c>
      <c r="RJ60" s="280">
        <v>0</v>
      </c>
      <c r="RK60" s="280">
        <v>0</v>
      </c>
      <c r="RL60" s="280">
        <v>0</v>
      </c>
      <c r="RM60" s="280">
        <v>0</v>
      </c>
      <c r="RN60" s="280">
        <v>0</v>
      </c>
      <c r="RO60" s="280">
        <v>0</v>
      </c>
      <c r="RP60" s="280">
        <v>0</v>
      </c>
      <c r="RQ60" s="280">
        <v>0</v>
      </c>
      <c r="RR60" s="280">
        <v>0</v>
      </c>
      <c r="RS60" s="280">
        <v>0</v>
      </c>
      <c r="RT60" s="280">
        <v>0</v>
      </c>
      <c r="RU60" s="280">
        <v>0</v>
      </c>
      <c r="RV60" s="280">
        <v>0</v>
      </c>
      <c r="RW60" s="280">
        <v>0</v>
      </c>
      <c r="RX60" s="280">
        <v>0</v>
      </c>
      <c r="RY60" s="280">
        <v>0</v>
      </c>
      <c r="RZ60" s="280">
        <v>0</v>
      </c>
      <c r="SA60" s="280">
        <v>0</v>
      </c>
      <c r="SB60" s="280">
        <v>0</v>
      </c>
      <c r="SC60" s="280">
        <v>0</v>
      </c>
      <c r="SD60" s="280">
        <v>0</v>
      </c>
      <c r="SE60" s="280">
        <v>0</v>
      </c>
      <c r="SF60" s="280">
        <v>0</v>
      </c>
      <c r="SG60" s="280">
        <v>0</v>
      </c>
      <c r="SH60" s="280">
        <v>0</v>
      </c>
      <c r="SI60" s="280">
        <v>0</v>
      </c>
      <c r="SJ60" s="280">
        <v>0</v>
      </c>
      <c r="SK60" s="280">
        <v>0</v>
      </c>
      <c r="SL60" s="280">
        <v>0</v>
      </c>
      <c r="SM60" s="280">
        <v>0</v>
      </c>
      <c r="SN60" s="280">
        <v>0</v>
      </c>
      <c r="SO60" s="280">
        <v>0</v>
      </c>
      <c r="SP60" s="280">
        <v>0</v>
      </c>
      <c r="SQ60" s="280">
        <v>0</v>
      </c>
      <c r="SR60" s="280">
        <v>0</v>
      </c>
      <c r="SS60" s="280">
        <v>0</v>
      </c>
      <c r="ST60" s="280">
        <v>0</v>
      </c>
      <c r="SU60" s="280">
        <v>0</v>
      </c>
      <c r="SV60" s="280">
        <v>0</v>
      </c>
      <c r="SW60" s="280">
        <v>0</v>
      </c>
      <c r="SX60" s="280">
        <v>0</v>
      </c>
      <c r="SY60" s="280">
        <v>0</v>
      </c>
      <c r="SZ60" s="280">
        <v>0</v>
      </c>
      <c r="TA60" s="280">
        <v>0</v>
      </c>
      <c r="TB60" s="280">
        <v>0</v>
      </c>
      <c r="TC60" s="280">
        <v>0</v>
      </c>
      <c r="TD60" s="280">
        <v>0</v>
      </c>
      <c r="TE60" s="280">
        <v>0</v>
      </c>
      <c r="TF60" s="280">
        <v>0</v>
      </c>
      <c r="TG60" s="280">
        <v>0</v>
      </c>
      <c r="TH60" s="280">
        <v>0</v>
      </c>
      <c r="TI60" s="280">
        <v>0</v>
      </c>
      <c r="TJ60" s="280">
        <v>0</v>
      </c>
      <c r="TK60" s="280">
        <v>0</v>
      </c>
      <c r="TL60" s="280">
        <v>0</v>
      </c>
      <c r="TM60" s="280">
        <v>0</v>
      </c>
      <c r="TN60" s="280">
        <v>0</v>
      </c>
      <c r="TO60" s="280">
        <v>0</v>
      </c>
      <c r="TP60" s="280">
        <v>0</v>
      </c>
      <c r="TQ60" s="280">
        <v>0</v>
      </c>
      <c r="TR60" s="280">
        <v>0</v>
      </c>
      <c r="TS60" s="280">
        <v>0</v>
      </c>
      <c r="TT60" s="280">
        <v>0</v>
      </c>
      <c r="TU60" s="280">
        <v>0</v>
      </c>
      <c r="TV60" s="280">
        <v>0</v>
      </c>
      <c r="TW60" s="280">
        <v>0</v>
      </c>
      <c r="TX60" s="280">
        <v>0</v>
      </c>
      <c r="TY60" s="280">
        <v>0</v>
      </c>
      <c r="TZ60" s="280">
        <v>0</v>
      </c>
      <c r="UA60" s="280">
        <v>0</v>
      </c>
      <c r="UB60" s="280">
        <v>0</v>
      </c>
      <c r="UC60" s="280">
        <v>0</v>
      </c>
      <c r="UD60" s="280">
        <v>0</v>
      </c>
      <c r="UE60" s="280">
        <v>0</v>
      </c>
      <c r="UF60" s="280">
        <v>0</v>
      </c>
      <c r="UG60" s="280">
        <v>0</v>
      </c>
      <c r="UH60" s="280">
        <v>0</v>
      </c>
      <c r="UI60" s="280">
        <v>0</v>
      </c>
      <c r="UJ60" s="280">
        <v>0</v>
      </c>
      <c r="UK60" s="280">
        <v>0</v>
      </c>
      <c r="UL60" s="280">
        <v>0</v>
      </c>
      <c r="UM60" s="280">
        <v>0</v>
      </c>
      <c r="UN60" s="280">
        <v>0</v>
      </c>
      <c r="UO60" s="280">
        <v>0</v>
      </c>
      <c r="UP60" s="280">
        <v>0</v>
      </c>
      <c r="UQ60" s="280">
        <v>0</v>
      </c>
      <c r="UR60" s="280">
        <v>0</v>
      </c>
      <c r="US60" s="280">
        <v>0</v>
      </c>
      <c r="UT60" s="280">
        <v>0</v>
      </c>
      <c r="UU60" s="280">
        <v>0</v>
      </c>
      <c r="UV60" s="280">
        <v>0</v>
      </c>
      <c r="UW60" s="280">
        <v>0</v>
      </c>
      <c r="UX60" s="280">
        <v>0</v>
      </c>
      <c r="UY60" s="280">
        <v>0</v>
      </c>
      <c r="UZ60" s="280">
        <v>0</v>
      </c>
      <c r="VA60" s="280">
        <v>0</v>
      </c>
      <c r="VB60" s="280">
        <v>0</v>
      </c>
      <c r="VC60" s="280">
        <v>0</v>
      </c>
      <c r="VD60" s="280">
        <v>0</v>
      </c>
      <c r="VE60" s="280">
        <v>0</v>
      </c>
      <c r="VF60" s="280">
        <v>0</v>
      </c>
      <c r="VG60" s="280">
        <v>0</v>
      </c>
      <c r="VH60" s="280">
        <v>0</v>
      </c>
      <c r="VI60" s="280">
        <v>0</v>
      </c>
      <c r="VJ60" s="280">
        <v>0</v>
      </c>
      <c r="VK60" s="280">
        <v>0</v>
      </c>
      <c r="VL60" s="280">
        <v>0</v>
      </c>
      <c r="VM60" s="280">
        <v>0</v>
      </c>
      <c r="VN60" s="280">
        <v>0</v>
      </c>
      <c r="VO60" s="280">
        <v>0</v>
      </c>
      <c r="VP60" s="280">
        <v>0</v>
      </c>
      <c r="VQ60" s="280">
        <v>0</v>
      </c>
      <c r="VR60" s="280">
        <v>0</v>
      </c>
      <c r="VS60" s="280">
        <v>0</v>
      </c>
      <c r="VT60" s="280">
        <v>0</v>
      </c>
      <c r="VU60" s="280">
        <v>0</v>
      </c>
      <c r="VV60" s="280">
        <v>0</v>
      </c>
      <c r="VW60" s="280">
        <v>0</v>
      </c>
      <c r="VX60" s="280">
        <v>0</v>
      </c>
      <c r="VY60" s="280">
        <v>0</v>
      </c>
      <c r="VZ60" s="280">
        <v>0</v>
      </c>
      <c r="WA60" s="280">
        <v>0</v>
      </c>
      <c r="WB60" s="280">
        <v>0</v>
      </c>
      <c r="WC60" s="280">
        <v>0</v>
      </c>
      <c r="WD60" s="280">
        <v>0</v>
      </c>
      <c r="WE60" s="280">
        <v>0</v>
      </c>
      <c r="WF60" s="280">
        <v>0</v>
      </c>
      <c r="WG60" s="280">
        <v>0</v>
      </c>
      <c r="WH60" s="280">
        <v>0</v>
      </c>
      <c r="WI60" s="280">
        <v>0</v>
      </c>
      <c r="WJ60" s="280">
        <v>0</v>
      </c>
      <c r="WK60" s="280">
        <v>0</v>
      </c>
      <c r="WL60" s="280">
        <v>0</v>
      </c>
      <c r="WM60" s="280">
        <v>0</v>
      </c>
      <c r="WN60" s="280">
        <v>0</v>
      </c>
      <c r="WO60" s="280">
        <v>0</v>
      </c>
      <c r="WP60" s="280">
        <v>0</v>
      </c>
      <c r="WQ60" s="280">
        <v>0</v>
      </c>
      <c r="WR60" s="280">
        <v>0</v>
      </c>
      <c r="WS60" s="280">
        <v>0</v>
      </c>
      <c r="WT60" s="280">
        <v>0</v>
      </c>
      <c r="WU60" s="280">
        <v>0</v>
      </c>
      <c r="WV60" s="280">
        <v>0</v>
      </c>
      <c r="WW60" s="280">
        <v>0</v>
      </c>
      <c r="WX60" s="280">
        <v>0</v>
      </c>
      <c r="WY60" s="280">
        <v>0</v>
      </c>
      <c r="WZ60" s="280">
        <v>0</v>
      </c>
      <c r="XA60" s="280">
        <v>0</v>
      </c>
      <c r="XB60" s="280">
        <v>0</v>
      </c>
      <c r="XC60" s="280">
        <v>0</v>
      </c>
      <c r="XD60" s="280">
        <v>0</v>
      </c>
      <c r="XE60" s="280">
        <v>0</v>
      </c>
      <c r="XF60" s="280">
        <v>0</v>
      </c>
      <c r="XG60" s="280">
        <v>0</v>
      </c>
      <c r="XH60" s="280">
        <v>0</v>
      </c>
      <c r="XI60" s="280">
        <v>0</v>
      </c>
      <c r="XJ60" s="280">
        <v>0</v>
      </c>
      <c r="XK60" s="280">
        <v>0</v>
      </c>
      <c r="XL60" s="280">
        <v>0</v>
      </c>
      <c r="XM60" s="280">
        <v>0</v>
      </c>
      <c r="XN60" s="280">
        <v>0</v>
      </c>
      <c r="XO60" s="280">
        <v>0</v>
      </c>
      <c r="XP60" s="280">
        <v>0</v>
      </c>
      <c r="XQ60" s="280">
        <v>0</v>
      </c>
      <c r="XR60" s="280">
        <v>0</v>
      </c>
      <c r="XS60" s="280">
        <v>0</v>
      </c>
      <c r="XT60" s="280">
        <v>0</v>
      </c>
      <c r="XU60" s="280">
        <v>0</v>
      </c>
      <c r="XV60" s="280">
        <v>0</v>
      </c>
      <c r="XW60" s="280">
        <v>0</v>
      </c>
      <c r="XX60" s="280">
        <v>0</v>
      </c>
      <c r="XY60" s="280">
        <v>0</v>
      </c>
      <c r="XZ60" s="280">
        <v>0</v>
      </c>
      <c r="YA60" s="280">
        <v>0</v>
      </c>
      <c r="YB60" s="280">
        <v>0</v>
      </c>
      <c r="YC60" s="280">
        <v>0</v>
      </c>
      <c r="YD60" s="280">
        <v>0</v>
      </c>
      <c r="YE60" s="280">
        <v>0</v>
      </c>
      <c r="YF60" s="280">
        <v>0</v>
      </c>
      <c r="YG60" s="280">
        <v>0</v>
      </c>
      <c r="YH60" s="280">
        <v>0</v>
      </c>
      <c r="YI60" s="280">
        <v>0</v>
      </c>
      <c r="YJ60" s="280">
        <v>0</v>
      </c>
      <c r="YK60" s="280">
        <v>0</v>
      </c>
      <c r="YL60" s="280">
        <v>0</v>
      </c>
      <c r="YM60" s="280">
        <v>0</v>
      </c>
      <c r="YN60" s="280">
        <v>0</v>
      </c>
      <c r="YO60" s="280">
        <v>0</v>
      </c>
      <c r="YP60" s="280">
        <v>0</v>
      </c>
      <c r="YQ60" s="280">
        <v>0</v>
      </c>
      <c r="YR60" s="280">
        <v>0</v>
      </c>
      <c r="YS60" s="280">
        <v>0</v>
      </c>
      <c r="YT60" s="280">
        <v>0</v>
      </c>
      <c r="YU60" s="280">
        <v>0</v>
      </c>
      <c r="YV60" s="280">
        <v>0</v>
      </c>
      <c r="YW60" s="280">
        <v>0</v>
      </c>
      <c r="YX60" s="280">
        <v>0</v>
      </c>
      <c r="YY60" s="280">
        <v>0</v>
      </c>
      <c r="YZ60" s="280">
        <v>0</v>
      </c>
      <c r="ZA60" s="280">
        <v>0</v>
      </c>
      <c r="ZB60" s="280">
        <v>0</v>
      </c>
      <c r="ZC60" s="280">
        <v>0</v>
      </c>
      <c r="ZD60" s="280">
        <v>0</v>
      </c>
      <c r="ZE60" s="280">
        <v>0</v>
      </c>
      <c r="ZF60" s="280">
        <v>0</v>
      </c>
      <c r="ZG60" s="280">
        <v>0</v>
      </c>
      <c r="ZH60" s="280">
        <v>0</v>
      </c>
      <c r="ZI60" s="280">
        <v>0</v>
      </c>
      <c r="ZJ60" s="280">
        <v>0</v>
      </c>
      <c r="ZK60" s="280">
        <v>0</v>
      </c>
      <c r="ZL60" s="280">
        <v>0</v>
      </c>
      <c r="ZM60" s="280">
        <v>0</v>
      </c>
      <c r="ZN60" s="280">
        <v>0</v>
      </c>
      <c r="ZO60" s="280">
        <v>0</v>
      </c>
      <c r="ZP60" s="280">
        <v>0</v>
      </c>
      <c r="ZQ60" s="280">
        <v>0</v>
      </c>
      <c r="ZR60" s="280">
        <v>0</v>
      </c>
      <c r="ZS60" s="280">
        <v>0</v>
      </c>
      <c r="ZT60" s="280">
        <v>0</v>
      </c>
      <c r="ZU60" s="280">
        <v>0</v>
      </c>
      <c r="ZV60" s="280">
        <v>0</v>
      </c>
      <c r="ZW60" s="280">
        <v>0</v>
      </c>
      <c r="ZX60" s="280">
        <v>0</v>
      </c>
      <c r="ZY60" s="280">
        <v>0</v>
      </c>
      <c r="ZZ60" s="280">
        <v>0</v>
      </c>
      <c r="AAA60" s="280">
        <v>0</v>
      </c>
      <c r="AAB60" s="280">
        <v>0</v>
      </c>
      <c r="AAC60" s="280">
        <v>0</v>
      </c>
      <c r="AAD60" s="280">
        <v>0</v>
      </c>
      <c r="AAE60" s="280">
        <v>0</v>
      </c>
      <c r="AAF60" s="280">
        <v>0</v>
      </c>
      <c r="AAG60" s="280">
        <v>0</v>
      </c>
      <c r="AAH60" s="280">
        <v>0</v>
      </c>
      <c r="AAI60" s="280">
        <v>0</v>
      </c>
      <c r="AAJ60" s="280">
        <v>0</v>
      </c>
      <c r="AAK60" s="280">
        <v>0</v>
      </c>
      <c r="AAL60" s="280">
        <v>0</v>
      </c>
      <c r="AAM60" s="280">
        <v>0</v>
      </c>
      <c r="AAN60" s="280">
        <v>0</v>
      </c>
      <c r="AAO60" s="280">
        <v>0</v>
      </c>
      <c r="AAP60" s="280">
        <v>0</v>
      </c>
      <c r="AAQ60" s="280">
        <v>0</v>
      </c>
      <c r="AAR60" s="280">
        <v>0</v>
      </c>
      <c r="AAS60" s="280">
        <v>0</v>
      </c>
      <c r="AAT60" s="280">
        <v>0</v>
      </c>
      <c r="AAU60" s="280">
        <v>0</v>
      </c>
      <c r="AAV60" s="280">
        <v>0</v>
      </c>
      <c r="AAW60" s="280">
        <v>0</v>
      </c>
      <c r="AAX60" s="280">
        <v>0</v>
      </c>
      <c r="AAY60" s="280">
        <v>0</v>
      </c>
      <c r="AAZ60" s="280">
        <v>0</v>
      </c>
      <c r="ABA60" s="280">
        <v>0</v>
      </c>
      <c r="ABB60" s="280">
        <v>0</v>
      </c>
      <c r="ABC60" s="280">
        <v>0</v>
      </c>
      <c r="ABD60" s="280">
        <v>0</v>
      </c>
      <c r="ABE60" s="280">
        <v>0</v>
      </c>
      <c r="ABF60" s="280">
        <v>0</v>
      </c>
      <c r="ABG60" s="280">
        <v>0</v>
      </c>
      <c r="ABH60" s="280">
        <v>0</v>
      </c>
      <c r="ABI60" s="280">
        <v>0</v>
      </c>
      <c r="ABJ60" s="280">
        <v>0</v>
      </c>
      <c r="ABK60" s="280">
        <v>0</v>
      </c>
      <c r="ABL60" s="280">
        <v>0</v>
      </c>
      <c r="ABM60" s="280">
        <v>0</v>
      </c>
      <c r="ABN60" s="280">
        <v>0</v>
      </c>
      <c r="ABO60" s="280">
        <v>0</v>
      </c>
      <c r="ABP60" s="280">
        <v>0</v>
      </c>
      <c r="ABQ60" s="280">
        <v>0</v>
      </c>
      <c r="ABR60" s="280">
        <v>0</v>
      </c>
      <c r="ABS60" s="280">
        <v>0</v>
      </c>
      <c r="ABT60" s="280">
        <v>0</v>
      </c>
      <c r="ABU60" s="280">
        <v>0</v>
      </c>
      <c r="ABV60" s="280">
        <v>0</v>
      </c>
      <c r="ABW60" s="280">
        <v>0</v>
      </c>
      <c r="ABX60" s="280">
        <v>0</v>
      </c>
      <c r="ABY60" s="280">
        <v>0</v>
      </c>
      <c r="ABZ60" s="280">
        <v>0</v>
      </c>
      <c r="ACA60" s="280">
        <v>0</v>
      </c>
      <c r="ACB60" s="280">
        <v>0</v>
      </c>
      <c r="ACC60" s="280">
        <v>0</v>
      </c>
      <c r="ACD60" s="280">
        <v>0</v>
      </c>
      <c r="ACE60" s="280">
        <v>0</v>
      </c>
      <c r="ACF60" s="280">
        <v>0</v>
      </c>
      <c r="ACG60" s="280">
        <v>0</v>
      </c>
      <c r="ACH60" s="280">
        <v>0</v>
      </c>
      <c r="ACI60" s="280">
        <v>0</v>
      </c>
      <c r="ACJ60" s="280">
        <v>0</v>
      </c>
      <c r="ACK60" s="280">
        <v>0</v>
      </c>
      <c r="ACL60" s="280">
        <v>0</v>
      </c>
      <c r="ACM60" s="280">
        <v>0</v>
      </c>
      <c r="ACN60" s="280">
        <v>0</v>
      </c>
      <c r="ACO60" s="280">
        <v>0</v>
      </c>
      <c r="ACP60" s="280">
        <v>0</v>
      </c>
      <c r="ACQ60" s="280">
        <v>0</v>
      </c>
      <c r="ACR60" s="280">
        <v>0</v>
      </c>
      <c r="ACS60" s="280">
        <v>0</v>
      </c>
      <c r="ACT60" s="280">
        <v>0</v>
      </c>
      <c r="ACU60" s="280">
        <v>0</v>
      </c>
      <c r="ACV60" s="280">
        <v>0</v>
      </c>
      <c r="ACW60" s="280">
        <v>0</v>
      </c>
      <c r="ACX60" s="280">
        <v>0</v>
      </c>
      <c r="ACY60" s="280">
        <v>0</v>
      </c>
      <c r="ACZ60" s="280">
        <v>0</v>
      </c>
      <c r="ADA60" s="280">
        <v>0</v>
      </c>
      <c r="ADB60" s="280">
        <v>0</v>
      </c>
      <c r="ADC60" s="280">
        <v>0</v>
      </c>
      <c r="ADD60" s="280">
        <v>0</v>
      </c>
      <c r="ADE60" s="280">
        <v>0</v>
      </c>
      <c r="ADF60" s="280">
        <v>0</v>
      </c>
      <c r="ADG60" s="280">
        <v>0</v>
      </c>
      <c r="ADH60" s="280">
        <v>0</v>
      </c>
      <c r="ADI60" s="280">
        <v>0</v>
      </c>
      <c r="ADJ60" s="280">
        <v>0</v>
      </c>
      <c r="ADK60" s="280">
        <v>0</v>
      </c>
      <c r="ADL60" s="280">
        <v>0</v>
      </c>
      <c r="ADM60" s="280">
        <v>0</v>
      </c>
      <c r="ADN60" s="280">
        <v>0</v>
      </c>
      <c r="ADO60" s="280">
        <v>0</v>
      </c>
      <c r="ADP60" s="280">
        <v>0</v>
      </c>
      <c r="ADQ60" s="280">
        <v>0</v>
      </c>
      <c r="ADR60" s="280">
        <v>0</v>
      </c>
      <c r="ADS60" s="280">
        <v>0</v>
      </c>
      <c r="ADT60" s="280">
        <v>0</v>
      </c>
      <c r="ADU60" s="280">
        <v>0</v>
      </c>
      <c r="ADV60" s="280">
        <v>0</v>
      </c>
      <c r="ADW60" s="280">
        <v>0</v>
      </c>
      <c r="ADX60" s="280">
        <v>0</v>
      </c>
      <c r="ADY60" s="280">
        <v>0</v>
      </c>
      <c r="ADZ60" s="280">
        <v>0</v>
      </c>
      <c r="AEA60" s="280">
        <v>0</v>
      </c>
      <c r="AEB60" s="280">
        <v>0</v>
      </c>
      <c r="AEC60" s="280">
        <v>0</v>
      </c>
      <c r="AED60" s="280">
        <v>0</v>
      </c>
      <c r="AEE60" s="280">
        <v>0</v>
      </c>
      <c r="AEF60" s="280">
        <v>0</v>
      </c>
      <c r="AEG60" s="280">
        <v>0</v>
      </c>
      <c r="AEH60" s="280">
        <v>0</v>
      </c>
      <c r="AEI60" s="280">
        <v>0</v>
      </c>
      <c r="AEJ60" s="280">
        <v>0</v>
      </c>
      <c r="AEK60" s="280">
        <v>0</v>
      </c>
      <c r="AEL60" s="280">
        <v>0</v>
      </c>
      <c r="AEM60" s="280">
        <v>0</v>
      </c>
      <c r="AEN60" s="280">
        <v>0</v>
      </c>
      <c r="AEO60" s="280">
        <v>0</v>
      </c>
      <c r="AEP60" s="280">
        <v>0</v>
      </c>
      <c r="AEQ60" s="280">
        <v>0</v>
      </c>
      <c r="AER60" s="280">
        <v>0</v>
      </c>
      <c r="AES60" s="280">
        <v>0</v>
      </c>
      <c r="AET60" s="280">
        <v>0</v>
      </c>
      <c r="AEU60" s="280">
        <v>0</v>
      </c>
      <c r="AEV60" s="280">
        <v>0</v>
      </c>
      <c r="AEW60" s="280">
        <v>0</v>
      </c>
      <c r="AEX60" s="280">
        <v>0</v>
      </c>
      <c r="AEY60" s="280">
        <v>0</v>
      </c>
      <c r="AEZ60" s="280">
        <v>0</v>
      </c>
      <c r="AFA60" s="280">
        <v>0</v>
      </c>
      <c r="AFB60" s="280">
        <v>0</v>
      </c>
      <c r="AFC60" s="280">
        <v>0</v>
      </c>
      <c r="AFD60" s="280">
        <v>0</v>
      </c>
      <c r="AFE60" s="280">
        <v>0</v>
      </c>
      <c r="AFF60" s="280">
        <v>0</v>
      </c>
      <c r="AFG60" s="280">
        <v>0</v>
      </c>
      <c r="AFH60" s="280">
        <v>0</v>
      </c>
      <c r="AFI60" s="280">
        <v>0</v>
      </c>
      <c r="AFJ60" s="280">
        <v>0</v>
      </c>
      <c r="AFK60" s="280">
        <v>0</v>
      </c>
      <c r="AFL60" s="280">
        <v>0</v>
      </c>
      <c r="AFM60" s="280">
        <v>0</v>
      </c>
      <c r="AFN60" s="280">
        <v>0</v>
      </c>
      <c r="AFO60" s="280">
        <v>0</v>
      </c>
      <c r="AFP60" s="280">
        <v>0</v>
      </c>
      <c r="AFQ60" s="280">
        <v>0</v>
      </c>
      <c r="AFR60" s="280">
        <v>0</v>
      </c>
      <c r="AFS60" s="280">
        <v>0</v>
      </c>
      <c r="AFT60" s="280">
        <v>0</v>
      </c>
      <c r="AFU60" s="280">
        <v>0</v>
      </c>
      <c r="AFV60" s="280">
        <v>0</v>
      </c>
      <c r="AFW60" s="280">
        <v>0</v>
      </c>
      <c r="AFX60" s="280">
        <v>0</v>
      </c>
      <c r="AFY60" s="280">
        <v>0</v>
      </c>
      <c r="AFZ60" s="280">
        <v>0</v>
      </c>
      <c r="AGA60" s="280">
        <v>0</v>
      </c>
      <c r="AGB60" s="280">
        <v>0</v>
      </c>
      <c r="AGC60" s="280">
        <v>0</v>
      </c>
      <c r="AGD60" s="280">
        <v>0</v>
      </c>
      <c r="AGE60" s="280">
        <v>0</v>
      </c>
      <c r="AGF60" s="280">
        <v>0</v>
      </c>
      <c r="AGG60" s="280">
        <v>0</v>
      </c>
      <c r="AGH60" s="280">
        <v>0</v>
      </c>
      <c r="AGI60" s="280">
        <v>0</v>
      </c>
      <c r="AGJ60" s="280">
        <v>0</v>
      </c>
      <c r="AGK60" s="280">
        <v>0</v>
      </c>
      <c r="AGL60" s="280">
        <v>0</v>
      </c>
      <c r="AGM60" s="280">
        <v>0</v>
      </c>
      <c r="AGN60" s="280">
        <v>0</v>
      </c>
      <c r="AGO60" s="280">
        <v>0</v>
      </c>
      <c r="AGP60" s="280">
        <v>0</v>
      </c>
      <c r="AGQ60" s="280">
        <v>0</v>
      </c>
      <c r="AGR60" s="280">
        <v>0</v>
      </c>
      <c r="AGS60" s="280">
        <v>0</v>
      </c>
      <c r="AGT60" s="280">
        <v>0</v>
      </c>
      <c r="AGU60" s="280">
        <v>0</v>
      </c>
      <c r="AGV60" s="280">
        <v>0</v>
      </c>
      <c r="AGW60" s="280">
        <v>0</v>
      </c>
      <c r="AGX60" s="280">
        <v>0</v>
      </c>
      <c r="AGY60" s="280">
        <v>0</v>
      </c>
      <c r="AGZ60" s="280">
        <v>0</v>
      </c>
      <c r="AHA60" s="280">
        <v>0</v>
      </c>
      <c r="AHB60" s="280">
        <v>0</v>
      </c>
      <c r="AHC60" s="280">
        <v>0</v>
      </c>
      <c r="AHD60" s="280">
        <v>0</v>
      </c>
      <c r="AHE60" s="280">
        <v>0</v>
      </c>
      <c r="AHF60" s="280">
        <v>0</v>
      </c>
      <c r="AHG60" s="280">
        <v>0</v>
      </c>
      <c r="AHH60" s="280">
        <v>0</v>
      </c>
      <c r="AHI60" s="280">
        <v>0</v>
      </c>
      <c r="AHJ60" s="280">
        <v>0</v>
      </c>
      <c r="AHK60" s="280">
        <v>0</v>
      </c>
      <c r="AHL60" s="280">
        <v>0</v>
      </c>
      <c r="AHM60" s="280">
        <v>0</v>
      </c>
      <c r="AHN60" s="280">
        <v>0</v>
      </c>
      <c r="AHO60" s="280">
        <v>0</v>
      </c>
      <c r="AHP60" s="280">
        <v>0</v>
      </c>
      <c r="AHQ60" s="280">
        <v>0</v>
      </c>
      <c r="AHR60" s="280">
        <v>0</v>
      </c>
      <c r="AHS60" s="280">
        <v>0</v>
      </c>
      <c r="AHT60" s="280">
        <v>0</v>
      </c>
      <c r="AHU60" s="280">
        <v>0</v>
      </c>
      <c r="AHV60" s="280">
        <v>0</v>
      </c>
      <c r="AHW60" s="280">
        <v>0</v>
      </c>
      <c r="AHX60" s="280">
        <v>0</v>
      </c>
      <c r="AHY60" s="280">
        <v>0</v>
      </c>
      <c r="AHZ60" s="280">
        <v>0</v>
      </c>
      <c r="AIA60" s="280">
        <v>0</v>
      </c>
      <c r="AIB60" s="280">
        <v>0</v>
      </c>
      <c r="AIC60" s="280">
        <v>0</v>
      </c>
      <c r="AID60" s="280">
        <v>0</v>
      </c>
      <c r="AIE60" s="280">
        <v>0</v>
      </c>
      <c r="AIF60" s="280">
        <v>0</v>
      </c>
      <c r="AIG60" s="280">
        <v>0</v>
      </c>
      <c r="AIH60" s="280">
        <v>0</v>
      </c>
      <c r="AII60" s="280">
        <v>0</v>
      </c>
      <c r="AIJ60" s="280">
        <v>0</v>
      </c>
      <c r="AIK60" s="280">
        <v>0</v>
      </c>
      <c r="AIL60" s="280">
        <v>0</v>
      </c>
      <c r="AIM60" s="280">
        <v>0</v>
      </c>
      <c r="AIN60" s="280">
        <v>0</v>
      </c>
      <c r="AIO60" s="280">
        <v>0</v>
      </c>
      <c r="AIP60" s="280">
        <v>0</v>
      </c>
      <c r="AIQ60" s="280">
        <v>0</v>
      </c>
      <c r="AIR60" s="280">
        <v>0</v>
      </c>
      <c r="AIS60" s="280">
        <v>0</v>
      </c>
      <c r="AIT60" s="280">
        <v>0</v>
      </c>
      <c r="AIU60" s="280">
        <v>0</v>
      </c>
      <c r="AIV60" s="280">
        <v>0</v>
      </c>
      <c r="AIW60" s="280">
        <v>0</v>
      </c>
      <c r="AIX60" s="280">
        <v>0</v>
      </c>
      <c r="AIY60" s="280">
        <v>0</v>
      </c>
      <c r="AIZ60" s="280">
        <v>0</v>
      </c>
      <c r="AJA60" s="280">
        <v>0</v>
      </c>
      <c r="AJB60" s="280">
        <v>0</v>
      </c>
      <c r="AJC60" s="280">
        <v>0</v>
      </c>
      <c r="AJD60" s="280">
        <v>0</v>
      </c>
      <c r="AJE60" s="280">
        <v>0</v>
      </c>
      <c r="AJF60" s="280">
        <v>0</v>
      </c>
      <c r="AJG60" s="280">
        <v>0</v>
      </c>
      <c r="AJH60" s="280">
        <v>0</v>
      </c>
      <c r="AJI60" s="280">
        <v>0</v>
      </c>
      <c r="AJJ60" s="280">
        <v>0</v>
      </c>
      <c r="AJK60" s="280">
        <v>0</v>
      </c>
      <c r="AJL60" s="280">
        <v>0</v>
      </c>
      <c r="AJM60" s="280">
        <v>0</v>
      </c>
      <c r="AJN60" s="280">
        <v>0</v>
      </c>
      <c r="AJO60" s="280">
        <v>0</v>
      </c>
      <c r="AJP60" s="280">
        <v>0</v>
      </c>
      <c r="AJQ60" s="280">
        <v>0</v>
      </c>
      <c r="AJR60" s="280">
        <v>0</v>
      </c>
      <c r="AJS60" s="280">
        <v>0</v>
      </c>
      <c r="AJT60" s="280">
        <v>0</v>
      </c>
      <c r="AJU60" s="280">
        <v>0</v>
      </c>
      <c r="AJV60" s="280">
        <v>0</v>
      </c>
      <c r="AJW60" s="280">
        <v>0</v>
      </c>
      <c r="AJX60" s="280">
        <v>0</v>
      </c>
      <c r="AJY60" s="280">
        <v>0</v>
      </c>
      <c r="AJZ60" s="280">
        <v>0</v>
      </c>
      <c r="AKA60" s="280">
        <v>0</v>
      </c>
      <c r="AKB60" s="280">
        <v>0</v>
      </c>
      <c r="AKC60" s="280">
        <v>0</v>
      </c>
      <c r="AKD60" s="280">
        <v>0</v>
      </c>
      <c r="AKE60" s="280">
        <v>0</v>
      </c>
      <c r="AKF60" s="280">
        <v>0</v>
      </c>
      <c r="AKG60" s="280">
        <v>0</v>
      </c>
      <c r="AKH60" s="280">
        <v>0</v>
      </c>
      <c r="AKI60" s="280">
        <v>0</v>
      </c>
      <c r="AKJ60" s="280">
        <v>0</v>
      </c>
      <c r="AKK60" s="280">
        <v>0</v>
      </c>
      <c r="AKL60" s="280">
        <v>0</v>
      </c>
      <c r="AKM60" s="280">
        <v>0</v>
      </c>
      <c r="AKN60" s="280">
        <v>0</v>
      </c>
      <c r="AKO60" s="280">
        <v>0</v>
      </c>
      <c r="AKP60" s="280">
        <v>0</v>
      </c>
      <c r="AKQ60" s="280">
        <v>0</v>
      </c>
      <c r="AKR60" s="280">
        <v>0</v>
      </c>
      <c r="AKS60" s="280">
        <v>0</v>
      </c>
      <c r="AKT60" s="280">
        <v>0</v>
      </c>
      <c r="AKU60" s="280">
        <v>0</v>
      </c>
      <c r="AKV60" s="280">
        <v>0</v>
      </c>
      <c r="AKW60" s="280">
        <v>0</v>
      </c>
      <c r="AKX60" s="280">
        <v>0</v>
      </c>
      <c r="AKY60" s="280">
        <v>0</v>
      </c>
      <c r="AKZ60" s="280">
        <v>0</v>
      </c>
      <c r="ALA60" s="280">
        <v>0</v>
      </c>
      <c r="ALB60" s="280">
        <v>0</v>
      </c>
      <c r="ALC60" s="280">
        <v>0</v>
      </c>
      <c r="ALD60" s="280">
        <v>0</v>
      </c>
      <c r="ALE60" s="280">
        <v>0</v>
      </c>
      <c r="ALF60" s="280">
        <v>0</v>
      </c>
      <c r="ALG60" s="280">
        <v>0</v>
      </c>
      <c r="ALH60" s="280">
        <v>0</v>
      </c>
      <c r="ALI60" s="280">
        <v>0</v>
      </c>
      <c r="ALJ60" s="280">
        <v>0</v>
      </c>
      <c r="ALK60" s="280">
        <v>0</v>
      </c>
      <c r="ALL60" s="280">
        <v>0</v>
      </c>
      <c r="ALM60" s="280">
        <v>0</v>
      </c>
      <c r="ALN60" s="280">
        <v>0</v>
      </c>
      <c r="ALO60" s="280">
        <v>0</v>
      </c>
      <c r="ALP60" s="280">
        <v>0</v>
      </c>
      <c r="ALQ60" s="280">
        <v>0</v>
      </c>
      <c r="ALR60" s="280">
        <v>0</v>
      </c>
      <c r="ALS60" s="280">
        <v>0</v>
      </c>
      <c r="ALT60" s="280">
        <v>0</v>
      </c>
      <c r="ALU60" s="280">
        <v>0</v>
      </c>
      <c r="ALV60" s="280">
        <v>0</v>
      </c>
      <c r="ALW60" s="280">
        <v>0</v>
      </c>
      <c r="ALX60" s="280">
        <v>0</v>
      </c>
      <c r="ALY60" s="280">
        <v>0</v>
      </c>
      <c r="ALZ60" s="280">
        <v>0</v>
      </c>
      <c r="AMA60" s="280">
        <v>0</v>
      </c>
      <c r="AMB60" s="280">
        <v>0</v>
      </c>
      <c r="AMC60" s="280">
        <v>0</v>
      </c>
      <c r="AMD60" s="280">
        <v>0</v>
      </c>
      <c r="AME60" s="280">
        <v>0</v>
      </c>
      <c r="AMF60" s="280">
        <v>0</v>
      </c>
      <c r="AMG60" s="280">
        <v>0</v>
      </c>
      <c r="AMH60" s="280">
        <v>0</v>
      </c>
      <c r="AMI60" s="280">
        <v>0</v>
      </c>
      <c r="AMJ60" s="280">
        <v>0</v>
      </c>
      <c r="AMK60" s="280">
        <v>0</v>
      </c>
      <c r="AML60" s="280">
        <v>0</v>
      </c>
      <c r="AMM60" s="280">
        <v>0</v>
      </c>
      <c r="AMN60" s="280">
        <v>0</v>
      </c>
      <c r="AMO60" s="280">
        <v>0</v>
      </c>
      <c r="AMP60" s="280">
        <v>0</v>
      </c>
      <c r="AMQ60" s="280">
        <v>0</v>
      </c>
      <c r="AMR60" s="280">
        <v>0</v>
      </c>
      <c r="AMS60" s="280">
        <v>0</v>
      </c>
      <c r="AMT60" s="280">
        <v>0</v>
      </c>
      <c r="AMU60" s="280">
        <v>0</v>
      </c>
      <c r="AMV60" s="280">
        <v>0</v>
      </c>
      <c r="AMW60" s="280">
        <v>0</v>
      </c>
      <c r="AMX60" s="280">
        <v>0</v>
      </c>
      <c r="AMY60" s="280">
        <v>0</v>
      </c>
      <c r="AMZ60" s="280">
        <v>0</v>
      </c>
      <c r="ANA60" s="280">
        <v>0</v>
      </c>
      <c r="ANB60" s="280">
        <v>0</v>
      </c>
      <c r="ANC60" s="280">
        <v>0</v>
      </c>
      <c r="AND60" s="280">
        <v>0</v>
      </c>
      <c r="ANE60" s="280">
        <v>0</v>
      </c>
      <c r="ANF60" s="280">
        <v>0</v>
      </c>
      <c r="ANG60" s="280">
        <v>0</v>
      </c>
      <c r="ANH60" s="280">
        <v>0</v>
      </c>
      <c r="ANI60" s="280">
        <v>0</v>
      </c>
      <c r="ANJ60" s="280">
        <v>0</v>
      </c>
      <c r="ANK60" s="280">
        <v>0</v>
      </c>
      <c r="ANL60" s="280">
        <v>0</v>
      </c>
      <c r="ANM60" s="280">
        <v>0</v>
      </c>
      <c r="ANN60" s="280">
        <v>0</v>
      </c>
      <c r="ANO60" s="280">
        <v>0</v>
      </c>
      <c r="ANP60" s="280">
        <v>0</v>
      </c>
      <c r="ANQ60" s="280">
        <v>0</v>
      </c>
      <c r="ANR60" s="280">
        <v>0</v>
      </c>
      <c r="ANS60" s="280">
        <v>0</v>
      </c>
      <c r="ANT60" s="280">
        <v>0</v>
      </c>
      <c r="ANU60" s="280">
        <v>0</v>
      </c>
      <c r="ANV60" s="280">
        <v>0</v>
      </c>
      <c r="ANW60" s="280">
        <v>0</v>
      </c>
      <c r="ANX60" s="280">
        <v>0</v>
      </c>
      <c r="ANY60" s="280">
        <v>0</v>
      </c>
      <c r="ANZ60" s="280">
        <v>0</v>
      </c>
      <c r="AOA60" s="280">
        <v>0</v>
      </c>
      <c r="AOB60" s="280">
        <v>0</v>
      </c>
      <c r="AOC60" s="280">
        <v>0</v>
      </c>
      <c r="AOD60" s="280">
        <v>0</v>
      </c>
      <c r="AOE60" s="280">
        <v>0</v>
      </c>
      <c r="AOF60" s="280">
        <v>0</v>
      </c>
      <c r="AOG60" s="280">
        <v>0</v>
      </c>
      <c r="AOH60" s="280">
        <v>0</v>
      </c>
      <c r="AOI60" s="280">
        <v>0</v>
      </c>
      <c r="AOJ60" s="280">
        <v>0</v>
      </c>
      <c r="AOK60" s="280">
        <v>0</v>
      </c>
      <c r="AOL60" s="280">
        <v>0</v>
      </c>
      <c r="AOM60" s="280">
        <v>0</v>
      </c>
      <c r="AON60" s="280">
        <v>0</v>
      </c>
      <c r="AOO60" s="280">
        <v>0</v>
      </c>
      <c r="AOP60" s="280">
        <v>0</v>
      </c>
      <c r="AOQ60" s="280">
        <v>0</v>
      </c>
      <c r="AOR60" s="280">
        <v>0</v>
      </c>
      <c r="AOS60" s="280">
        <v>0</v>
      </c>
      <c r="AOT60" s="280">
        <v>0</v>
      </c>
      <c r="AOU60" s="280">
        <v>0</v>
      </c>
      <c r="AOV60" s="280">
        <v>0</v>
      </c>
      <c r="AOW60" s="280">
        <v>0</v>
      </c>
      <c r="AOX60" s="280">
        <v>0</v>
      </c>
      <c r="AOY60" s="280">
        <v>0</v>
      </c>
      <c r="AOZ60" s="280">
        <v>0</v>
      </c>
      <c r="APA60" s="280">
        <v>0</v>
      </c>
      <c r="APB60" s="280">
        <v>0</v>
      </c>
      <c r="APC60" s="280">
        <v>0</v>
      </c>
      <c r="APD60" s="280">
        <v>0</v>
      </c>
      <c r="APE60" s="280">
        <v>0</v>
      </c>
      <c r="APF60" s="280">
        <v>0</v>
      </c>
      <c r="APG60" s="280">
        <v>0</v>
      </c>
      <c r="APH60" s="280">
        <v>0</v>
      </c>
      <c r="API60" s="280">
        <v>0</v>
      </c>
      <c r="APJ60" s="280">
        <v>0</v>
      </c>
      <c r="APK60" s="280">
        <v>0</v>
      </c>
      <c r="APL60" s="280">
        <v>0</v>
      </c>
      <c r="APM60" s="280">
        <v>0</v>
      </c>
      <c r="APN60" s="280">
        <v>0</v>
      </c>
      <c r="APO60" s="280">
        <v>0</v>
      </c>
      <c r="APP60" s="280">
        <v>0</v>
      </c>
      <c r="APQ60" s="280">
        <v>0</v>
      </c>
      <c r="APR60" s="280">
        <v>0</v>
      </c>
      <c r="APS60" s="280">
        <v>0</v>
      </c>
      <c r="APT60" s="280">
        <v>0</v>
      </c>
      <c r="APU60" s="280">
        <v>0</v>
      </c>
      <c r="APV60" s="280">
        <v>0</v>
      </c>
      <c r="APW60" s="280">
        <v>0</v>
      </c>
      <c r="APX60" s="280">
        <v>0</v>
      </c>
      <c r="APY60" s="280">
        <v>0</v>
      </c>
      <c r="APZ60" s="280">
        <v>0</v>
      </c>
      <c r="AQA60" s="280">
        <v>0</v>
      </c>
      <c r="AQB60" s="280">
        <v>0</v>
      </c>
      <c r="AQC60" s="280">
        <v>0</v>
      </c>
      <c r="AQD60" s="280">
        <v>0</v>
      </c>
      <c r="AQE60" s="280">
        <v>0</v>
      </c>
      <c r="AQF60" s="280">
        <v>0</v>
      </c>
      <c r="AQG60" s="280">
        <v>0</v>
      </c>
      <c r="AQH60" s="280">
        <v>0</v>
      </c>
      <c r="AQI60" s="280">
        <v>0</v>
      </c>
      <c r="AQJ60" s="280">
        <v>0</v>
      </c>
      <c r="AQK60" s="280">
        <v>0</v>
      </c>
      <c r="AQL60" s="280">
        <v>0</v>
      </c>
      <c r="AQM60" s="280">
        <v>0</v>
      </c>
      <c r="AQN60" s="280">
        <v>0</v>
      </c>
      <c r="AQO60" s="280">
        <v>0</v>
      </c>
      <c r="AQP60" s="280">
        <v>0</v>
      </c>
      <c r="AQQ60" s="280">
        <v>0</v>
      </c>
      <c r="AQR60" s="280">
        <v>0</v>
      </c>
      <c r="AQS60" s="280">
        <v>0</v>
      </c>
      <c r="AQT60" s="280">
        <v>0</v>
      </c>
      <c r="AQU60" s="280">
        <v>0</v>
      </c>
      <c r="AQV60" s="280">
        <v>0</v>
      </c>
      <c r="AQW60" s="280">
        <v>0</v>
      </c>
      <c r="AQX60" s="280">
        <v>0</v>
      </c>
      <c r="AQY60" s="280">
        <v>0</v>
      </c>
      <c r="AQZ60" s="280">
        <v>0</v>
      </c>
      <c r="ARA60" s="280">
        <v>0</v>
      </c>
      <c r="ARB60" s="280">
        <v>0</v>
      </c>
      <c r="ARC60" s="280">
        <v>0</v>
      </c>
      <c r="ARD60" s="280">
        <v>0</v>
      </c>
      <c r="ARE60" s="280">
        <v>0</v>
      </c>
      <c r="ARF60" s="280">
        <v>0</v>
      </c>
      <c r="ARG60" s="280">
        <v>0</v>
      </c>
      <c r="ARH60" s="280">
        <v>0</v>
      </c>
      <c r="ARI60" s="280">
        <v>0</v>
      </c>
      <c r="ARJ60" s="280">
        <v>0</v>
      </c>
      <c r="ARK60" s="280">
        <v>0</v>
      </c>
      <c r="ARL60" s="280">
        <v>0</v>
      </c>
      <c r="ARM60" s="280">
        <v>0</v>
      </c>
      <c r="ARN60" s="280">
        <v>0</v>
      </c>
      <c r="ARO60" s="280">
        <v>0</v>
      </c>
      <c r="ARP60" s="280">
        <v>0</v>
      </c>
      <c r="ARQ60" s="280">
        <v>0</v>
      </c>
      <c r="ARR60" s="280">
        <v>0</v>
      </c>
      <c r="ARS60" s="280">
        <v>0</v>
      </c>
      <c r="ART60" s="280">
        <v>0</v>
      </c>
      <c r="ARU60" s="280">
        <v>0</v>
      </c>
      <c r="ARV60" s="280">
        <v>0</v>
      </c>
      <c r="ARW60" s="280">
        <v>0</v>
      </c>
      <c r="ARX60" s="280">
        <v>0</v>
      </c>
      <c r="ARY60" s="280">
        <v>0</v>
      </c>
      <c r="ARZ60" s="280">
        <v>0</v>
      </c>
      <c r="ASA60" s="280">
        <v>0</v>
      </c>
      <c r="ASB60" s="280">
        <v>0</v>
      </c>
      <c r="ASC60" s="280">
        <v>0</v>
      </c>
      <c r="ASD60" s="280">
        <v>0</v>
      </c>
      <c r="ASE60" s="280">
        <v>0</v>
      </c>
      <c r="ASF60" s="280">
        <v>0</v>
      </c>
      <c r="ASG60" s="280">
        <v>0</v>
      </c>
      <c r="ASH60" s="280">
        <v>0</v>
      </c>
      <c r="ASI60" s="280">
        <v>0</v>
      </c>
      <c r="ASJ60" s="280">
        <v>0</v>
      </c>
      <c r="ASK60" s="280">
        <v>0</v>
      </c>
      <c r="ASL60" s="280">
        <v>0</v>
      </c>
      <c r="ASM60" s="280">
        <v>0</v>
      </c>
      <c r="ASN60" s="280">
        <v>0</v>
      </c>
      <c r="ASO60" s="280">
        <v>0</v>
      </c>
      <c r="ASP60" s="280">
        <v>0</v>
      </c>
      <c r="ASQ60" s="280">
        <v>0</v>
      </c>
      <c r="ASR60" s="280">
        <v>0</v>
      </c>
      <c r="ASS60" s="280">
        <v>0</v>
      </c>
      <c r="AST60" s="280">
        <v>0</v>
      </c>
      <c r="ASU60" s="280">
        <v>0</v>
      </c>
      <c r="ASV60" s="280">
        <v>0</v>
      </c>
      <c r="ASW60" s="280">
        <v>0</v>
      </c>
      <c r="ASX60" s="280">
        <v>0</v>
      </c>
      <c r="ASY60" s="280">
        <v>0</v>
      </c>
      <c r="ASZ60" s="280">
        <v>0</v>
      </c>
      <c r="ATA60" s="280">
        <v>0</v>
      </c>
      <c r="ATB60" s="280">
        <v>0</v>
      </c>
      <c r="ATC60" s="280">
        <v>0</v>
      </c>
      <c r="ATD60" s="280">
        <v>0</v>
      </c>
      <c r="ATE60" s="280">
        <v>0</v>
      </c>
      <c r="ATF60" s="280">
        <v>0</v>
      </c>
      <c r="ATG60" s="280">
        <v>0</v>
      </c>
      <c r="ATH60" s="280">
        <v>0</v>
      </c>
      <c r="ATI60" s="280">
        <v>0</v>
      </c>
      <c r="ATJ60" s="280">
        <v>0</v>
      </c>
      <c r="ATK60" s="280">
        <v>0</v>
      </c>
      <c r="ATL60" s="280">
        <v>0</v>
      </c>
      <c r="ATM60" s="280">
        <v>0</v>
      </c>
      <c r="ATN60" s="280">
        <v>0</v>
      </c>
      <c r="ATO60" s="280">
        <v>0</v>
      </c>
      <c r="ATP60" s="280">
        <v>0</v>
      </c>
      <c r="ATQ60" s="280">
        <v>0</v>
      </c>
      <c r="ATR60" s="280">
        <v>0</v>
      </c>
      <c r="ATS60" s="280">
        <v>0</v>
      </c>
      <c r="ATT60" s="280">
        <v>0</v>
      </c>
      <c r="ATU60" s="280">
        <v>0</v>
      </c>
      <c r="ATV60" s="280">
        <v>0</v>
      </c>
      <c r="ATW60" s="280">
        <v>0</v>
      </c>
      <c r="ATX60" s="280">
        <v>0</v>
      </c>
      <c r="ATY60" s="280">
        <v>0</v>
      </c>
      <c r="ATZ60" s="280">
        <v>0</v>
      </c>
      <c r="AUA60" s="280">
        <v>0</v>
      </c>
      <c r="AUB60" s="280">
        <v>0</v>
      </c>
      <c r="AUC60" s="280">
        <v>0</v>
      </c>
      <c r="AUD60" s="280">
        <v>0</v>
      </c>
      <c r="AUE60" s="280">
        <v>0</v>
      </c>
      <c r="AUF60" s="280">
        <v>0</v>
      </c>
      <c r="AUG60" s="280">
        <v>0</v>
      </c>
      <c r="AUH60" s="280">
        <v>0</v>
      </c>
      <c r="AUI60" s="280">
        <v>0</v>
      </c>
      <c r="AUJ60" s="280">
        <v>0</v>
      </c>
      <c r="AUK60" s="280">
        <v>0</v>
      </c>
      <c r="AUL60" s="280">
        <v>0</v>
      </c>
      <c r="AUM60" s="280">
        <v>0</v>
      </c>
      <c r="AUN60" s="280">
        <v>0</v>
      </c>
      <c r="AUO60" s="280">
        <v>0</v>
      </c>
      <c r="AUP60" s="280">
        <v>0</v>
      </c>
      <c r="AUQ60" s="280">
        <v>0</v>
      </c>
      <c r="AUR60" s="280">
        <v>0</v>
      </c>
      <c r="AUS60" s="280">
        <v>0</v>
      </c>
      <c r="AUT60" s="280">
        <v>0</v>
      </c>
      <c r="AUU60" s="280">
        <v>0</v>
      </c>
      <c r="AUV60" s="280">
        <v>0</v>
      </c>
      <c r="AUW60" s="280">
        <v>0</v>
      </c>
      <c r="AUX60" s="280">
        <v>0</v>
      </c>
      <c r="AUY60" s="280">
        <v>0</v>
      </c>
      <c r="AUZ60" s="280">
        <v>0</v>
      </c>
      <c r="AVA60" s="280">
        <v>0</v>
      </c>
      <c r="AVB60" s="280">
        <v>0</v>
      </c>
      <c r="AVC60" s="280">
        <v>0</v>
      </c>
      <c r="AVD60" s="280">
        <v>0</v>
      </c>
      <c r="AVE60" s="280">
        <v>0</v>
      </c>
      <c r="AVF60" s="280">
        <v>0</v>
      </c>
      <c r="AVG60" s="280">
        <v>0</v>
      </c>
      <c r="AVH60" s="280">
        <v>0</v>
      </c>
      <c r="AVI60" s="280">
        <v>0</v>
      </c>
      <c r="AVJ60" s="280">
        <v>0</v>
      </c>
      <c r="AVK60" s="280">
        <v>0</v>
      </c>
      <c r="AVL60" s="280">
        <v>0</v>
      </c>
      <c r="AVM60" s="280">
        <v>0</v>
      </c>
      <c r="AVN60" s="280">
        <v>0</v>
      </c>
      <c r="AVO60" s="280">
        <v>0</v>
      </c>
      <c r="AVP60" s="280">
        <v>0</v>
      </c>
      <c r="AVQ60" s="280">
        <v>0</v>
      </c>
      <c r="AVR60" s="280">
        <v>0</v>
      </c>
      <c r="AVS60" s="280">
        <v>0</v>
      </c>
      <c r="AVT60" s="280">
        <v>0</v>
      </c>
      <c r="AVU60" s="280">
        <v>0</v>
      </c>
      <c r="AVV60" s="280">
        <v>0</v>
      </c>
      <c r="AVW60" s="280">
        <v>0</v>
      </c>
      <c r="AVX60" s="280">
        <v>0</v>
      </c>
      <c r="AVY60" s="280">
        <v>0</v>
      </c>
      <c r="AVZ60" s="280">
        <v>0</v>
      </c>
      <c r="AWA60" s="280">
        <v>0</v>
      </c>
      <c r="AWB60" s="280">
        <v>0</v>
      </c>
      <c r="AWC60" s="280">
        <v>0</v>
      </c>
      <c r="AWD60" s="280">
        <v>0</v>
      </c>
      <c r="AWE60" s="280">
        <v>0</v>
      </c>
      <c r="AWF60" s="280">
        <v>0</v>
      </c>
      <c r="AWG60" s="280">
        <v>0</v>
      </c>
      <c r="AWH60" s="280">
        <v>0</v>
      </c>
      <c r="AWI60" s="280">
        <v>0</v>
      </c>
      <c r="AWJ60" s="280">
        <v>0</v>
      </c>
      <c r="AWK60" s="280">
        <v>0</v>
      </c>
      <c r="AWL60" s="280">
        <v>0</v>
      </c>
      <c r="AWM60" s="280">
        <v>0</v>
      </c>
      <c r="AWN60" s="280">
        <v>0</v>
      </c>
      <c r="AWO60" s="280">
        <v>0</v>
      </c>
      <c r="AWP60" s="280">
        <v>0</v>
      </c>
      <c r="AWQ60" s="280">
        <v>0</v>
      </c>
      <c r="AWR60" s="280">
        <v>0</v>
      </c>
      <c r="AWS60" s="280">
        <v>0</v>
      </c>
      <c r="AWT60" s="280">
        <v>0</v>
      </c>
      <c r="AWU60" s="280">
        <v>0</v>
      </c>
      <c r="AWV60" s="280">
        <v>0</v>
      </c>
      <c r="AWW60" s="280">
        <v>0</v>
      </c>
      <c r="AWX60" s="280">
        <v>0</v>
      </c>
      <c r="AWY60" s="280">
        <v>0</v>
      </c>
      <c r="AWZ60" s="280">
        <v>0</v>
      </c>
      <c r="AXA60" s="280">
        <v>0</v>
      </c>
      <c r="AXB60" s="280">
        <v>0</v>
      </c>
      <c r="AXC60" s="280">
        <v>0</v>
      </c>
      <c r="AXD60" s="280">
        <v>0</v>
      </c>
      <c r="AXE60" s="280">
        <v>0</v>
      </c>
      <c r="AXF60" s="280">
        <v>0</v>
      </c>
      <c r="AXG60" s="280">
        <v>0</v>
      </c>
      <c r="AXH60" s="280">
        <v>0</v>
      </c>
      <c r="AXI60" s="280">
        <v>0</v>
      </c>
      <c r="AXJ60" s="280">
        <v>0</v>
      </c>
      <c r="AXK60" s="280">
        <v>0</v>
      </c>
      <c r="AXL60" s="280">
        <v>0</v>
      </c>
      <c r="AXM60" s="280">
        <v>0</v>
      </c>
      <c r="AXN60" s="280">
        <v>0</v>
      </c>
      <c r="AXO60" s="280">
        <v>0</v>
      </c>
      <c r="AXP60" s="280">
        <v>0</v>
      </c>
      <c r="AXQ60" s="280">
        <v>0</v>
      </c>
      <c r="AXR60" s="280">
        <v>0</v>
      </c>
      <c r="AXS60" s="280">
        <v>0</v>
      </c>
      <c r="AXT60" s="280">
        <v>0</v>
      </c>
      <c r="AXU60" s="280">
        <v>0</v>
      </c>
      <c r="AXV60" s="280">
        <v>0</v>
      </c>
      <c r="AXW60" s="280">
        <v>0</v>
      </c>
      <c r="AXX60" s="280">
        <v>0</v>
      </c>
      <c r="AXY60" s="280">
        <v>0</v>
      </c>
      <c r="AXZ60" s="280">
        <v>0</v>
      </c>
      <c r="AYA60" s="280">
        <v>0</v>
      </c>
      <c r="AYB60" s="280">
        <v>0</v>
      </c>
      <c r="AYC60" s="280">
        <v>0</v>
      </c>
      <c r="AYD60" s="280">
        <v>0</v>
      </c>
      <c r="AYE60" s="280">
        <v>0</v>
      </c>
      <c r="AYF60" s="280">
        <v>0</v>
      </c>
      <c r="AYG60" s="280">
        <v>0</v>
      </c>
      <c r="AYH60" s="280">
        <v>0</v>
      </c>
      <c r="AYI60" s="280">
        <v>0</v>
      </c>
      <c r="AYJ60" s="280">
        <v>0</v>
      </c>
      <c r="AYK60" s="280">
        <v>0</v>
      </c>
      <c r="AYL60" s="280">
        <v>0</v>
      </c>
      <c r="AYM60" s="280">
        <v>0</v>
      </c>
      <c r="AYN60" s="280">
        <v>0</v>
      </c>
      <c r="AYO60" s="280">
        <v>0</v>
      </c>
      <c r="AYP60" s="280">
        <v>0</v>
      </c>
      <c r="AYQ60" s="280">
        <v>0</v>
      </c>
      <c r="AYR60" s="280">
        <v>0</v>
      </c>
      <c r="AYS60" s="280">
        <v>0</v>
      </c>
      <c r="AYT60" s="280">
        <v>0</v>
      </c>
      <c r="AYU60" s="280">
        <v>0</v>
      </c>
      <c r="AYV60" s="280">
        <v>0</v>
      </c>
      <c r="AYW60" s="280">
        <v>0</v>
      </c>
      <c r="AYX60" s="280">
        <v>0</v>
      </c>
      <c r="AYY60" s="280">
        <v>0</v>
      </c>
      <c r="AYZ60" s="280">
        <v>0</v>
      </c>
      <c r="AZA60" s="280">
        <v>0</v>
      </c>
      <c r="AZB60" s="280">
        <v>0</v>
      </c>
      <c r="AZC60" s="280">
        <v>0</v>
      </c>
      <c r="AZD60" s="280">
        <v>0</v>
      </c>
      <c r="AZE60" s="280">
        <v>0</v>
      </c>
      <c r="AZF60" s="280">
        <v>0</v>
      </c>
      <c r="AZG60" s="280">
        <v>0</v>
      </c>
      <c r="AZH60" s="280">
        <v>0</v>
      </c>
      <c r="AZI60" s="280">
        <v>0</v>
      </c>
      <c r="AZJ60" s="280">
        <v>0</v>
      </c>
      <c r="AZK60" s="280">
        <v>0</v>
      </c>
      <c r="AZL60" s="280">
        <v>0</v>
      </c>
      <c r="AZM60" s="280">
        <v>0</v>
      </c>
      <c r="AZN60" s="280">
        <v>0</v>
      </c>
      <c r="AZO60" s="280">
        <v>0</v>
      </c>
      <c r="AZP60" s="280">
        <v>0</v>
      </c>
      <c r="AZQ60" s="280">
        <v>0</v>
      </c>
      <c r="AZR60" s="280">
        <v>0</v>
      </c>
      <c r="AZS60" s="280">
        <v>0</v>
      </c>
      <c r="AZT60" s="280">
        <v>0</v>
      </c>
      <c r="AZU60" s="280">
        <v>0</v>
      </c>
      <c r="AZV60" s="280">
        <v>0</v>
      </c>
      <c r="AZW60" s="280">
        <v>0</v>
      </c>
      <c r="AZX60" s="280">
        <v>0</v>
      </c>
      <c r="AZY60" s="280">
        <v>0</v>
      </c>
      <c r="AZZ60" s="280">
        <v>0</v>
      </c>
      <c r="BAA60" s="280">
        <v>0</v>
      </c>
      <c r="BAB60" s="280">
        <v>0</v>
      </c>
      <c r="BAC60" s="280">
        <v>0</v>
      </c>
      <c r="BAD60" s="280">
        <v>0</v>
      </c>
      <c r="BAE60" s="280">
        <v>0</v>
      </c>
      <c r="BAF60" s="280">
        <v>0</v>
      </c>
      <c r="BAG60" s="280">
        <v>0</v>
      </c>
      <c r="BAH60" s="280">
        <v>0</v>
      </c>
      <c r="BAI60" s="280">
        <v>0</v>
      </c>
      <c r="BAJ60" s="280">
        <v>0</v>
      </c>
      <c r="BAK60" s="280">
        <v>0</v>
      </c>
      <c r="BAL60" s="280">
        <v>0</v>
      </c>
      <c r="BAM60" s="280">
        <v>0</v>
      </c>
      <c r="BAN60" s="280">
        <v>0</v>
      </c>
      <c r="BAO60" s="280">
        <v>0</v>
      </c>
      <c r="BAP60" s="280">
        <v>0</v>
      </c>
      <c r="BAQ60" s="280">
        <v>0</v>
      </c>
      <c r="BAR60" s="280">
        <v>0</v>
      </c>
      <c r="BAS60" s="280">
        <v>0</v>
      </c>
      <c r="BAT60" s="280">
        <v>0</v>
      </c>
      <c r="BAU60" s="280">
        <v>0</v>
      </c>
      <c r="BAV60" s="280">
        <v>0</v>
      </c>
      <c r="BAW60" s="280">
        <v>0</v>
      </c>
      <c r="BAX60" s="280">
        <v>0</v>
      </c>
      <c r="BAY60" s="280">
        <v>0</v>
      </c>
      <c r="BAZ60" s="280">
        <v>0</v>
      </c>
      <c r="BBA60" s="280">
        <v>0</v>
      </c>
      <c r="BBB60" s="280">
        <v>0</v>
      </c>
      <c r="BBC60" s="280">
        <v>0</v>
      </c>
      <c r="BBD60" s="280">
        <v>0</v>
      </c>
      <c r="BBE60" s="280">
        <v>0</v>
      </c>
      <c r="BBF60" s="280">
        <v>0</v>
      </c>
      <c r="BBG60" s="280">
        <v>0</v>
      </c>
      <c r="BBH60" s="280">
        <v>0</v>
      </c>
      <c r="BBI60" s="280">
        <v>0</v>
      </c>
      <c r="BBJ60" s="280">
        <v>0</v>
      </c>
      <c r="BBK60" s="280">
        <v>0</v>
      </c>
      <c r="BBL60" s="280">
        <v>0</v>
      </c>
      <c r="BBM60" s="280">
        <v>0</v>
      </c>
      <c r="BBN60" s="280">
        <v>0</v>
      </c>
      <c r="BBO60" s="280">
        <v>0</v>
      </c>
      <c r="BBP60" s="280">
        <v>0</v>
      </c>
      <c r="BBQ60" s="280">
        <v>0</v>
      </c>
      <c r="BBR60" s="280">
        <v>0</v>
      </c>
      <c r="BBS60" s="280">
        <v>0</v>
      </c>
      <c r="BBT60" s="280">
        <v>0</v>
      </c>
      <c r="BBU60" s="280">
        <v>0</v>
      </c>
      <c r="BBV60" s="280">
        <v>0</v>
      </c>
      <c r="BBW60" s="280">
        <v>0</v>
      </c>
      <c r="BBX60" s="280">
        <v>0</v>
      </c>
      <c r="BBY60" s="280">
        <v>0</v>
      </c>
      <c r="BBZ60" s="280">
        <v>0</v>
      </c>
      <c r="BCA60" s="280">
        <v>0</v>
      </c>
      <c r="BCB60" s="280">
        <v>0</v>
      </c>
      <c r="BCC60" s="280">
        <v>0</v>
      </c>
      <c r="BCD60" s="280">
        <v>0</v>
      </c>
      <c r="BCE60" s="280">
        <v>0</v>
      </c>
      <c r="BCF60" s="280">
        <v>0</v>
      </c>
      <c r="BCG60" s="280">
        <v>0</v>
      </c>
      <c r="BCH60" s="280">
        <v>0</v>
      </c>
      <c r="BCI60" s="280">
        <v>0</v>
      </c>
      <c r="BCJ60" s="280">
        <v>0</v>
      </c>
      <c r="BCK60" s="280">
        <v>0</v>
      </c>
      <c r="BCL60" s="280">
        <v>0</v>
      </c>
      <c r="BCM60" s="280">
        <v>0</v>
      </c>
      <c r="BCN60" s="280">
        <v>0</v>
      </c>
      <c r="BCO60" s="280">
        <v>0</v>
      </c>
      <c r="BCP60" s="280">
        <v>0</v>
      </c>
      <c r="BCQ60" s="280">
        <v>0</v>
      </c>
      <c r="BCR60" s="280">
        <v>0</v>
      </c>
      <c r="BCS60" s="280">
        <v>0</v>
      </c>
      <c r="BCT60" s="280">
        <v>0</v>
      </c>
      <c r="BCU60" s="280">
        <v>0</v>
      </c>
      <c r="BCV60" s="280">
        <v>0</v>
      </c>
      <c r="BCW60" s="280">
        <v>0</v>
      </c>
      <c r="BCX60" s="280">
        <v>0</v>
      </c>
      <c r="BCY60" s="280">
        <v>0</v>
      </c>
      <c r="BCZ60" s="280">
        <v>0</v>
      </c>
      <c r="BDA60" s="280">
        <v>0</v>
      </c>
      <c r="BDB60" s="280">
        <v>0</v>
      </c>
      <c r="BDC60" s="280">
        <v>0</v>
      </c>
      <c r="BDD60" s="280">
        <v>0</v>
      </c>
      <c r="BDE60" s="280">
        <v>0</v>
      </c>
      <c r="BDF60" s="280">
        <v>0</v>
      </c>
      <c r="BDG60" s="280">
        <v>0</v>
      </c>
      <c r="BDH60" s="280">
        <v>0</v>
      </c>
      <c r="BDI60" s="280">
        <v>0</v>
      </c>
      <c r="BDJ60" s="280">
        <v>0</v>
      </c>
      <c r="BDK60" s="280">
        <v>0</v>
      </c>
      <c r="BDL60" s="280">
        <v>0</v>
      </c>
      <c r="BDM60" s="280">
        <v>0</v>
      </c>
      <c r="BDN60" s="280">
        <v>0</v>
      </c>
      <c r="BDO60" s="280">
        <v>0</v>
      </c>
      <c r="BDP60" s="280">
        <v>0</v>
      </c>
      <c r="BDQ60" s="280">
        <v>0</v>
      </c>
      <c r="BDR60" s="280">
        <v>0</v>
      </c>
      <c r="BDS60" s="280">
        <v>0</v>
      </c>
      <c r="BDT60" s="280">
        <v>0</v>
      </c>
      <c r="BDU60" s="280">
        <v>0</v>
      </c>
      <c r="BDV60" s="280">
        <v>0</v>
      </c>
      <c r="BDW60" s="280">
        <v>0</v>
      </c>
      <c r="BDX60" s="280">
        <v>0</v>
      </c>
      <c r="BDY60" s="280">
        <v>0</v>
      </c>
      <c r="BDZ60" s="280">
        <v>0</v>
      </c>
      <c r="BEA60" s="280">
        <v>0</v>
      </c>
      <c r="BEB60" s="280">
        <v>0</v>
      </c>
      <c r="BEC60" s="280">
        <v>0</v>
      </c>
      <c r="BED60" s="280">
        <v>0</v>
      </c>
      <c r="BEE60" s="280">
        <v>0</v>
      </c>
      <c r="BEF60" s="280">
        <v>0</v>
      </c>
      <c r="BEG60" s="280">
        <v>0</v>
      </c>
      <c r="BEH60" s="280">
        <v>0</v>
      </c>
      <c r="BEI60" s="280">
        <v>0</v>
      </c>
      <c r="BEJ60" s="280">
        <v>0</v>
      </c>
      <c r="BEK60" s="280">
        <v>0</v>
      </c>
      <c r="BEL60" s="280">
        <v>0</v>
      </c>
      <c r="BEM60" s="280">
        <v>0</v>
      </c>
      <c r="BEN60" s="280">
        <v>0</v>
      </c>
      <c r="BEO60" s="280">
        <v>0</v>
      </c>
      <c r="BEP60" s="280">
        <v>0</v>
      </c>
      <c r="BEQ60" s="280">
        <v>0</v>
      </c>
      <c r="BER60" s="280">
        <v>0</v>
      </c>
      <c r="BES60" s="280">
        <v>0</v>
      </c>
      <c r="BET60" s="280">
        <v>0</v>
      </c>
      <c r="BEU60" s="280">
        <v>0</v>
      </c>
      <c r="BEV60" s="280">
        <v>0</v>
      </c>
      <c r="BEW60" s="280">
        <v>0</v>
      </c>
      <c r="BEX60" s="280">
        <v>0</v>
      </c>
      <c r="BEY60" s="280">
        <v>0</v>
      </c>
      <c r="BEZ60" s="280">
        <v>0</v>
      </c>
      <c r="BFA60" s="280">
        <v>0</v>
      </c>
      <c r="BFB60" s="280">
        <v>0</v>
      </c>
      <c r="BFC60" s="280">
        <v>0</v>
      </c>
      <c r="BFD60" s="280">
        <v>0</v>
      </c>
      <c r="BFE60" s="280">
        <v>0</v>
      </c>
      <c r="BFF60" s="280">
        <v>0</v>
      </c>
      <c r="BFG60" s="280">
        <v>0</v>
      </c>
      <c r="BFH60" s="280">
        <v>0</v>
      </c>
      <c r="BFI60" s="280">
        <v>0</v>
      </c>
      <c r="BFJ60" s="280">
        <v>0</v>
      </c>
      <c r="BFK60" s="280">
        <v>0</v>
      </c>
      <c r="BFL60" s="280">
        <v>0</v>
      </c>
      <c r="BFM60" s="280">
        <v>0</v>
      </c>
      <c r="BFN60" s="280">
        <v>0</v>
      </c>
      <c r="BFO60" s="280">
        <v>0</v>
      </c>
      <c r="BFP60" s="280">
        <v>0</v>
      </c>
      <c r="BFQ60" s="280">
        <v>0</v>
      </c>
      <c r="BFR60" s="280">
        <v>0</v>
      </c>
      <c r="BFS60" s="280">
        <v>0</v>
      </c>
      <c r="BFT60" s="280">
        <v>0</v>
      </c>
      <c r="BFU60" s="280">
        <v>0</v>
      </c>
      <c r="BFV60" s="280">
        <v>0</v>
      </c>
      <c r="BFW60" s="280">
        <v>0</v>
      </c>
      <c r="BFX60" s="280">
        <v>0</v>
      </c>
      <c r="BFY60" s="280">
        <v>0</v>
      </c>
      <c r="BFZ60" s="280">
        <v>0</v>
      </c>
      <c r="BGA60" s="280">
        <v>0</v>
      </c>
      <c r="BGB60" s="280">
        <v>0</v>
      </c>
      <c r="BGC60" s="280">
        <v>0</v>
      </c>
      <c r="BGD60" s="280">
        <v>0</v>
      </c>
      <c r="BGE60" s="280">
        <v>0</v>
      </c>
      <c r="BGF60" s="280">
        <v>0</v>
      </c>
      <c r="BGG60" s="280">
        <v>0</v>
      </c>
      <c r="BGH60" s="280">
        <v>0</v>
      </c>
      <c r="BGI60" s="280">
        <v>0</v>
      </c>
      <c r="BGJ60" s="280">
        <v>0</v>
      </c>
      <c r="BGK60" s="280">
        <v>0</v>
      </c>
      <c r="BGL60" s="280">
        <v>0</v>
      </c>
      <c r="BGM60" s="280">
        <v>0</v>
      </c>
      <c r="BGN60" s="280">
        <v>0</v>
      </c>
      <c r="BGO60" s="280">
        <v>0</v>
      </c>
      <c r="BGP60" s="280">
        <v>0</v>
      </c>
      <c r="BGQ60" s="280">
        <v>0</v>
      </c>
      <c r="BGR60" s="280">
        <v>0</v>
      </c>
      <c r="BGS60" s="280">
        <v>0</v>
      </c>
      <c r="BGT60" s="280">
        <v>0</v>
      </c>
      <c r="BGU60" s="280">
        <v>0</v>
      </c>
      <c r="BGV60" s="280">
        <v>0</v>
      </c>
      <c r="BGW60" s="280">
        <v>0</v>
      </c>
      <c r="BGX60" s="280">
        <v>0</v>
      </c>
      <c r="BGY60" s="280">
        <v>0</v>
      </c>
      <c r="BGZ60" s="280">
        <v>0</v>
      </c>
      <c r="BHA60" s="280">
        <v>0</v>
      </c>
      <c r="BHB60" s="280">
        <v>0</v>
      </c>
      <c r="BHC60" s="280">
        <v>0</v>
      </c>
      <c r="BHD60" s="280">
        <v>0</v>
      </c>
      <c r="BHE60" s="280">
        <v>0</v>
      </c>
      <c r="BHF60" s="280">
        <v>0</v>
      </c>
      <c r="BHG60" s="280">
        <v>0</v>
      </c>
      <c r="BHH60" s="280">
        <v>0</v>
      </c>
      <c r="BHI60" s="280">
        <v>0</v>
      </c>
      <c r="BHJ60" s="280">
        <v>0</v>
      </c>
      <c r="BHK60" s="280">
        <v>0</v>
      </c>
      <c r="BHL60" s="280">
        <v>0</v>
      </c>
      <c r="BHM60" s="280">
        <v>0</v>
      </c>
      <c r="BHN60" s="280">
        <v>0</v>
      </c>
      <c r="BHO60" s="280">
        <v>0</v>
      </c>
      <c r="BHP60" s="280">
        <v>0</v>
      </c>
      <c r="BHQ60" s="280">
        <v>0</v>
      </c>
      <c r="BHR60" s="280">
        <v>0</v>
      </c>
      <c r="BHS60" s="280">
        <v>0</v>
      </c>
      <c r="BHT60" s="280">
        <v>0</v>
      </c>
      <c r="BHU60" s="280">
        <v>0</v>
      </c>
      <c r="BHV60" s="280">
        <v>0</v>
      </c>
      <c r="BHW60" s="280">
        <v>0</v>
      </c>
      <c r="BHX60" s="280">
        <v>0</v>
      </c>
      <c r="BHY60" s="280">
        <v>0</v>
      </c>
      <c r="BHZ60" s="280">
        <v>0</v>
      </c>
      <c r="BIA60" s="280">
        <v>0</v>
      </c>
      <c r="BIB60" s="280">
        <v>0</v>
      </c>
      <c r="BIC60" s="280">
        <v>0</v>
      </c>
      <c r="BID60" s="280">
        <v>0</v>
      </c>
      <c r="BIE60" s="280">
        <v>0</v>
      </c>
      <c r="BIF60" s="280">
        <v>0</v>
      </c>
      <c r="BIG60" s="280">
        <v>0</v>
      </c>
      <c r="BIH60" s="280">
        <v>0</v>
      </c>
      <c r="BII60" s="280">
        <v>0</v>
      </c>
      <c r="BIJ60" s="280">
        <v>0</v>
      </c>
      <c r="BIK60" s="280">
        <v>0</v>
      </c>
      <c r="BIL60" s="280">
        <v>0</v>
      </c>
      <c r="BIM60" s="280">
        <v>0</v>
      </c>
      <c r="BIN60" s="280">
        <v>0</v>
      </c>
      <c r="BIO60" s="280">
        <v>0</v>
      </c>
      <c r="BIP60" s="280">
        <v>0</v>
      </c>
      <c r="BIQ60" s="280">
        <v>0</v>
      </c>
      <c r="BIR60" s="280">
        <v>0</v>
      </c>
      <c r="BIS60" s="280">
        <v>0</v>
      </c>
      <c r="BIT60" s="280">
        <v>0</v>
      </c>
      <c r="BIU60" s="280">
        <v>0</v>
      </c>
      <c r="BIV60" s="280">
        <v>0</v>
      </c>
      <c r="BIW60" s="280">
        <v>0</v>
      </c>
      <c r="BIX60" s="280">
        <v>0</v>
      </c>
      <c r="BIY60" s="280">
        <v>0</v>
      </c>
      <c r="BIZ60" s="280">
        <v>0</v>
      </c>
      <c r="BJA60" s="280">
        <v>0</v>
      </c>
      <c r="BJB60" s="280">
        <v>0</v>
      </c>
      <c r="BJC60" s="280">
        <v>0</v>
      </c>
      <c r="BJD60" s="280">
        <v>0</v>
      </c>
      <c r="BJE60" s="280">
        <v>0</v>
      </c>
      <c r="BJF60" s="280">
        <v>0</v>
      </c>
      <c r="BJG60" s="280">
        <v>0</v>
      </c>
      <c r="BJH60" s="280">
        <v>0</v>
      </c>
      <c r="BJI60" s="280">
        <v>0</v>
      </c>
      <c r="BJJ60" s="280">
        <v>0</v>
      </c>
      <c r="BJK60" s="280">
        <v>0</v>
      </c>
      <c r="BJL60" s="280">
        <v>0</v>
      </c>
      <c r="BJM60" s="280">
        <v>0</v>
      </c>
      <c r="BJN60" s="280">
        <v>0</v>
      </c>
      <c r="BJO60" s="280">
        <v>0</v>
      </c>
      <c r="BJP60" s="280">
        <v>0</v>
      </c>
      <c r="BJQ60" s="280">
        <v>0</v>
      </c>
      <c r="BJR60" s="280">
        <v>0</v>
      </c>
      <c r="BJS60" s="280">
        <v>0</v>
      </c>
      <c r="BJT60" s="280">
        <v>0</v>
      </c>
      <c r="BJU60" s="280">
        <v>0</v>
      </c>
      <c r="BJV60" s="280">
        <v>0</v>
      </c>
      <c r="BJW60" s="280">
        <v>0</v>
      </c>
      <c r="BJX60" s="280">
        <v>0</v>
      </c>
      <c r="BJY60" s="280">
        <v>0</v>
      </c>
      <c r="BJZ60" s="280">
        <v>0</v>
      </c>
      <c r="BKA60" s="280">
        <v>0</v>
      </c>
      <c r="BKB60" s="280">
        <v>0</v>
      </c>
      <c r="BKC60" s="280">
        <v>0</v>
      </c>
      <c r="BKD60" s="280">
        <v>0</v>
      </c>
      <c r="BKE60" s="280">
        <v>0</v>
      </c>
      <c r="BKF60" s="280">
        <v>0</v>
      </c>
      <c r="BKG60" s="280">
        <v>0</v>
      </c>
      <c r="BKH60" s="280">
        <v>0</v>
      </c>
      <c r="BKI60" s="280">
        <v>0</v>
      </c>
      <c r="BKJ60" s="280">
        <v>0</v>
      </c>
      <c r="BKK60" s="280">
        <v>0</v>
      </c>
      <c r="BKL60" s="280">
        <v>0</v>
      </c>
      <c r="BKM60" s="280">
        <v>0</v>
      </c>
      <c r="BKN60" s="280">
        <v>0</v>
      </c>
      <c r="BKO60" s="280">
        <v>0</v>
      </c>
      <c r="BKP60" s="280">
        <v>0</v>
      </c>
      <c r="BKQ60" s="280">
        <v>0</v>
      </c>
      <c r="BKR60" s="280">
        <v>0</v>
      </c>
      <c r="BKS60" s="280">
        <v>0</v>
      </c>
      <c r="BKT60" s="280">
        <v>0</v>
      </c>
      <c r="BKU60" s="280">
        <v>0</v>
      </c>
      <c r="BKV60" s="280">
        <v>0</v>
      </c>
      <c r="BKW60" s="280">
        <v>0</v>
      </c>
      <c r="BKX60" s="280">
        <v>0</v>
      </c>
      <c r="BKY60" s="280">
        <v>0</v>
      </c>
      <c r="BKZ60" s="280">
        <v>0</v>
      </c>
      <c r="BLA60" s="280">
        <v>0</v>
      </c>
      <c r="BLB60" s="280">
        <v>0</v>
      </c>
      <c r="BLC60" s="280">
        <v>0</v>
      </c>
      <c r="BLD60" s="280">
        <v>0</v>
      </c>
      <c r="BLE60" s="280">
        <v>0</v>
      </c>
      <c r="BLF60" s="280">
        <v>0</v>
      </c>
      <c r="BLG60" s="280">
        <v>0</v>
      </c>
      <c r="BLH60" s="280">
        <v>0</v>
      </c>
      <c r="BLI60" s="280">
        <v>0</v>
      </c>
      <c r="BLJ60" s="280">
        <v>0</v>
      </c>
      <c r="BLK60" s="280">
        <v>0</v>
      </c>
      <c r="BLL60" s="280">
        <v>0</v>
      </c>
      <c r="BLM60" s="280">
        <v>0</v>
      </c>
      <c r="BLN60" s="280">
        <v>0</v>
      </c>
      <c r="BLO60" s="280">
        <v>0</v>
      </c>
      <c r="BLP60" s="280">
        <v>0</v>
      </c>
      <c r="BLQ60" s="280">
        <v>0</v>
      </c>
      <c r="BLR60" s="280">
        <v>0</v>
      </c>
      <c r="BLS60" s="280">
        <v>0</v>
      </c>
      <c r="BLT60" s="280">
        <v>0</v>
      </c>
      <c r="BLU60" s="280">
        <v>0</v>
      </c>
      <c r="BLV60" s="280">
        <v>0</v>
      </c>
      <c r="BLW60" s="280">
        <v>0</v>
      </c>
      <c r="BLX60" s="280">
        <v>0</v>
      </c>
      <c r="BLY60" s="280">
        <v>0</v>
      </c>
      <c r="BLZ60" s="280">
        <v>0</v>
      </c>
      <c r="BMA60" s="280">
        <v>0</v>
      </c>
      <c r="BMB60" s="280">
        <v>0</v>
      </c>
      <c r="BMC60" s="280">
        <v>0</v>
      </c>
      <c r="BMD60" s="280">
        <v>0</v>
      </c>
      <c r="BME60" s="280">
        <v>0</v>
      </c>
      <c r="BMF60" s="280">
        <v>0</v>
      </c>
      <c r="BMG60" s="280">
        <v>0</v>
      </c>
      <c r="BMH60" s="280">
        <v>0</v>
      </c>
      <c r="BMI60" s="280">
        <v>0</v>
      </c>
      <c r="BMJ60" s="280">
        <v>0</v>
      </c>
      <c r="BMK60" s="280">
        <v>0</v>
      </c>
      <c r="BML60" s="280">
        <v>0</v>
      </c>
      <c r="BMM60" s="280">
        <v>0</v>
      </c>
      <c r="BMN60" s="280">
        <v>0</v>
      </c>
      <c r="BMO60" s="280">
        <v>0</v>
      </c>
      <c r="BMP60" s="280">
        <v>0</v>
      </c>
      <c r="BMQ60" s="280">
        <v>0</v>
      </c>
      <c r="BMR60" s="280">
        <v>0</v>
      </c>
      <c r="BMS60" s="280">
        <v>0</v>
      </c>
      <c r="BMT60" s="280">
        <v>0</v>
      </c>
      <c r="BMU60" s="280">
        <v>0</v>
      </c>
      <c r="BMV60" s="280">
        <v>0</v>
      </c>
      <c r="BMW60" s="280">
        <v>0</v>
      </c>
      <c r="BMX60" s="280">
        <v>0</v>
      </c>
      <c r="BMY60" s="280">
        <v>0</v>
      </c>
      <c r="BMZ60" s="280">
        <v>0</v>
      </c>
      <c r="BNA60" s="280">
        <v>0</v>
      </c>
      <c r="BNB60" s="280">
        <v>0</v>
      </c>
      <c r="BNC60" s="280">
        <v>0</v>
      </c>
      <c r="BND60" s="280">
        <v>0</v>
      </c>
      <c r="BNE60" s="280">
        <v>0</v>
      </c>
      <c r="BNF60" s="280">
        <v>0</v>
      </c>
      <c r="BNG60" s="280">
        <v>0</v>
      </c>
      <c r="BNH60" s="280">
        <v>0</v>
      </c>
      <c r="BNI60" s="280">
        <v>0</v>
      </c>
      <c r="BNJ60" s="280">
        <v>0</v>
      </c>
      <c r="BNK60" s="280">
        <v>0</v>
      </c>
      <c r="BNL60" s="280">
        <v>0</v>
      </c>
      <c r="BNM60" s="280">
        <v>0</v>
      </c>
      <c r="BNN60" s="280">
        <v>0</v>
      </c>
      <c r="BNO60" s="280">
        <v>0</v>
      </c>
      <c r="BNP60" s="280">
        <v>0</v>
      </c>
      <c r="BNQ60" s="280">
        <v>0</v>
      </c>
      <c r="BNR60" s="280">
        <v>0</v>
      </c>
      <c r="BNS60" s="280">
        <v>0</v>
      </c>
      <c r="BNT60" s="280">
        <v>0</v>
      </c>
      <c r="BNU60" s="280">
        <v>0</v>
      </c>
      <c r="BNV60" s="280">
        <v>0</v>
      </c>
      <c r="BNW60" s="280">
        <v>0</v>
      </c>
      <c r="BNX60" s="280">
        <v>0</v>
      </c>
      <c r="BNY60" s="280">
        <v>0</v>
      </c>
      <c r="BNZ60" s="280">
        <v>0</v>
      </c>
      <c r="BOA60" s="280">
        <v>0</v>
      </c>
      <c r="BOB60" s="280">
        <v>0</v>
      </c>
      <c r="BOC60" s="280">
        <v>0</v>
      </c>
      <c r="BOD60" s="280">
        <v>0</v>
      </c>
      <c r="BOE60" s="280">
        <v>0</v>
      </c>
      <c r="BOF60" s="280">
        <v>0</v>
      </c>
      <c r="BOG60" s="280">
        <v>0</v>
      </c>
      <c r="BOH60" s="280">
        <v>0</v>
      </c>
      <c r="BOI60" s="280">
        <v>0</v>
      </c>
      <c r="BOJ60" s="280">
        <v>0</v>
      </c>
      <c r="BOK60" s="280">
        <v>0</v>
      </c>
      <c r="BOL60" s="280">
        <v>0</v>
      </c>
      <c r="BOM60" s="280">
        <v>0</v>
      </c>
      <c r="BON60" s="280">
        <v>0</v>
      </c>
      <c r="BOO60" s="280">
        <v>0</v>
      </c>
      <c r="BOP60" s="280">
        <v>0</v>
      </c>
      <c r="BOQ60" s="280">
        <v>0</v>
      </c>
      <c r="BOR60" s="280">
        <v>0</v>
      </c>
      <c r="BOS60" s="280">
        <v>0</v>
      </c>
      <c r="BOT60" s="280">
        <v>0</v>
      </c>
      <c r="BOU60" s="280">
        <v>0</v>
      </c>
      <c r="BOV60" s="280">
        <v>0</v>
      </c>
      <c r="BOW60" s="280">
        <v>0</v>
      </c>
      <c r="BOX60" s="280">
        <v>0</v>
      </c>
      <c r="BOY60" s="280">
        <v>0</v>
      </c>
      <c r="BOZ60" s="280">
        <v>0</v>
      </c>
      <c r="BPA60" s="280">
        <v>0</v>
      </c>
      <c r="BPB60" s="280">
        <v>0</v>
      </c>
      <c r="BPC60" s="280">
        <v>0</v>
      </c>
      <c r="BPD60" s="280">
        <v>0</v>
      </c>
      <c r="BPE60" s="280">
        <v>0</v>
      </c>
      <c r="BPF60" s="280">
        <v>0</v>
      </c>
      <c r="BPG60" s="280">
        <v>0</v>
      </c>
      <c r="BPH60" s="280">
        <v>0</v>
      </c>
      <c r="BPI60" s="280">
        <v>0</v>
      </c>
      <c r="BPJ60" s="280">
        <v>0</v>
      </c>
      <c r="BPK60" s="280">
        <v>0</v>
      </c>
      <c r="BPL60" s="280">
        <v>0</v>
      </c>
      <c r="BPM60" s="280">
        <v>0</v>
      </c>
      <c r="BPN60" s="280">
        <v>0</v>
      </c>
      <c r="BPO60" s="280">
        <v>0</v>
      </c>
      <c r="BPP60" s="280">
        <v>0</v>
      </c>
      <c r="BPQ60" s="280">
        <v>0</v>
      </c>
      <c r="BPR60" s="280">
        <v>0</v>
      </c>
      <c r="BPS60" s="280">
        <v>0</v>
      </c>
      <c r="BPT60" s="280">
        <v>0</v>
      </c>
      <c r="BPU60" s="280">
        <v>0</v>
      </c>
      <c r="BPV60" s="280">
        <v>0</v>
      </c>
      <c r="BPW60" s="280">
        <v>0</v>
      </c>
      <c r="BPX60" s="280">
        <v>0</v>
      </c>
      <c r="BPY60" s="280">
        <v>0</v>
      </c>
      <c r="BPZ60" s="280">
        <v>0</v>
      </c>
      <c r="BQA60" s="280">
        <v>0</v>
      </c>
      <c r="BQB60" s="280">
        <v>0</v>
      </c>
      <c r="BQC60" s="280">
        <v>0</v>
      </c>
      <c r="BQD60" s="280">
        <v>0</v>
      </c>
      <c r="BQE60" s="280">
        <v>0</v>
      </c>
      <c r="BQF60" s="280">
        <v>0</v>
      </c>
      <c r="BQG60" s="280">
        <v>0</v>
      </c>
      <c r="BQH60" s="280">
        <v>0</v>
      </c>
      <c r="BQI60" s="280">
        <v>0</v>
      </c>
      <c r="BQJ60" s="280">
        <v>0</v>
      </c>
      <c r="BQK60" s="280">
        <v>0</v>
      </c>
      <c r="BQL60" s="280">
        <v>0</v>
      </c>
      <c r="BQM60" s="280">
        <v>0</v>
      </c>
      <c r="BQN60" s="280">
        <v>0</v>
      </c>
      <c r="BQO60" s="280">
        <v>0</v>
      </c>
      <c r="BQP60" s="280">
        <v>0</v>
      </c>
      <c r="BQQ60" s="280">
        <v>0</v>
      </c>
      <c r="BQR60" s="280">
        <v>0</v>
      </c>
      <c r="BQS60" s="280">
        <v>0</v>
      </c>
      <c r="BQT60" s="280">
        <v>0</v>
      </c>
      <c r="BQU60" s="280">
        <v>0</v>
      </c>
      <c r="BQV60" s="280">
        <v>0</v>
      </c>
      <c r="BQW60" s="280">
        <v>0</v>
      </c>
      <c r="BQX60" s="280">
        <v>0</v>
      </c>
      <c r="BQY60" s="280">
        <v>0</v>
      </c>
      <c r="BQZ60" s="280">
        <v>0</v>
      </c>
      <c r="BRA60" s="280">
        <v>0</v>
      </c>
      <c r="BRB60" s="280">
        <v>0</v>
      </c>
      <c r="BRC60" s="280">
        <v>0</v>
      </c>
      <c r="BRD60" s="280">
        <v>0</v>
      </c>
      <c r="BRE60" s="280">
        <v>0</v>
      </c>
      <c r="BRF60" s="280">
        <v>0</v>
      </c>
      <c r="BRG60" s="280">
        <v>0</v>
      </c>
      <c r="BRH60" s="280">
        <v>0</v>
      </c>
      <c r="BRI60" s="280">
        <v>0</v>
      </c>
      <c r="BRJ60" s="280">
        <v>0</v>
      </c>
      <c r="BRK60" s="280">
        <v>0</v>
      </c>
      <c r="BRL60" s="280">
        <v>0</v>
      </c>
      <c r="BRM60" s="280">
        <v>0</v>
      </c>
      <c r="BRN60" s="280">
        <v>0</v>
      </c>
      <c r="BRO60" s="280">
        <v>0</v>
      </c>
      <c r="BRP60" s="280">
        <v>0</v>
      </c>
      <c r="BRQ60" s="280">
        <v>0</v>
      </c>
      <c r="BRR60" s="280">
        <v>0</v>
      </c>
      <c r="BRS60" s="280">
        <v>0</v>
      </c>
      <c r="BRT60" s="280">
        <v>0</v>
      </c>
      <c r="BRU60" s="280">
        <v>0</v>
      </c>
      <c r="BRV60" s="280">
        <v>0</v>
      </c>
      <c r="BRW60" s="280">
        <v>0</v>
      </c>
      <c r="BRX60" s="280">
        <v>0</v>
      </c>
      <c r="BRY60" s="280">
        <v>0</v>
      </c>
      <c r="BRZ60" s="280">
        <v>0</v>
      </c>
      <c r="BSA60" s="280">
        <v>0</v>
      </c>
      <c r="BSB60" s="280">
        <v>0</v>
      </c>
      <c r="BSC60" s="280">
        <v>0</v>
      </c>
      <c r="BSD60" s="280">
        <v>0</v>
      </c>
      <c r="BSE60" s="280">
        <v>0</v>
      </c>
      <c r="BSF60" s="280">
        <v>0</v>
      </c>
      <c r="BSG60" s="280">
        <v>0</v>
      </c>
      <c r="BSH60" s="280">
        <v>0</v>
      </c>
      <c r="BSI60" s="280">
        <v>0</v>
      </c>
      <c r="BSJ60" s="280">
        <v>0</v>
      </c>
      <c r="BSK60" s="280">
        <v>0</v>
      </c>
      <c r="BSL60" s="280">
        <v>0</v>
      </c>
      <c r="BSM60" s="280">
        <v>0</v>
      </c>
      <c r="BSN60" s="280">
        <v>0</v>
      </c>
      <c r="BSO60" s="280">
        <v>0</v>
      </c>
      <c r="BSP60" s="280">
        <v>0</v>
      </c>
      <c r="BSQ60" s="280">
        <v>0</v>
      </c>
      <c r="BSR60" s="280">
        <v>0</v>
      </c>
      <c r="BSS60" s="280">
        <v>0</v>
      </c>
      <c r="BST60" s="280">
        <v>0</v>
      </c>
      <c r="BSU60" s="280">
        <v>0</v>
      </c>
      <c r="BSV60" s="280">
        <v>0</v>
      </c>
      <c r="BSW60" s="280">
        <v>0</v>
      </c>
      <c r="BSX60" s="280">
        <v>0</v>
      </c>
      <c r="BSY60" s="280">
        <v>0</v>
      </c>
      <c r="BSZ60" s="280">
        <v>0</v>
      </c>
      <c r="BTA60" s="280">
        <v>0</v>
      </c>
      <c r="BTB60" s="280">
        <v>0</v>
      </c>
      <c r="BTC60" s="280">
        <v>0</v>
      </c>
      <c r="BTD60" s="280">
        <v>0</v>
      </c>
      <c r="BTE60" s="280">
        <v>0</v>
      </c>
      <c r="BTF60" s="280">
        <v>0</v>
      </c>
      <c r="BTG60" s="280">
        <v>0</v>
      </c>
      <c r="BTH60" s="280">
        <v>0</v>
      </c>
      <c r="BTI60" s="280">
        <v>0</v>
      </c>
      <c r="BTJ60" s="280">
        <v>0</v>
      </c>
      <c r="BTK60" s="280">
        <v>0</v>
      </c>
      <c r="BTL60" s="280">
        <v>0</v>
      </c>
      <c r="BTM60" s="280">
        <v>0</v>
      </c>
      <c r="BTN60" s="280">
        <v>0</v>
      </c>
      <c r="BTO60" s="280">
        <v>0</v>
      </c>
      <c r="BTP60" s="280">
        <v>0</v>
      </c>
      <c r="BTQ60" s="280">
        <v>0</v>
      </c>
      <c r="BTR60" s="280">
        <v>0</v>
      </c>
      <c r="BTS60" s="280">
        <v>0</v>
      </c>
      <c r="BTT60" s="280">
        <v>0</v>
      </c>
      <c r="BTU60" s="280">
        <v>0</v>
      </c>
      <c r="BTV60" s="280">
        <v>0</v>
      </c>
      <c r="BTW60" s="280">
        <v>0</v>
      </c>
      <c r="BTX60" s="280">
        <v>0</v>
      </c>
      <c r="BTY60" s="280">
        <v>0</v>
      </c>
      <c r="BTZ60" s="280">
        <v>0</v>
      </c>
      <c r="BUA60" s="280">
        <v>0</v>
      </c>
      <c r="BUB60" s="280">
        <v>0</v>
      </c>
      <c r="BUC60" s="280">
        <v>0</v>
      </c>
      <c r="BUD60" s="280">
        <v>0</v>
      </c>
      <c r="BUE60" s="280">
        <v>0</v>
      </c>
      <c r="BUF60" s="280">
        <v>0</v>
      </c>
      <c r="BUG60" s="280">
        <v>0</v>
      </c>
      <c r="BUH60" s="280">
        <v>0</v>
      </c>
      <c r="BUI60" s="280">
        <v>0</v>
      </c>
      <c r="BUJ60" s="280">
        <v>0</v>
      </c>
      <c r="BUK60" s="280">
        <v>0</v>
      </c>
      <c r="BUL60" s="280">
        <v>0</v>
      </c>
      <c r="BUM60" s="280">
        <v>0</v>
      </c>
      <c r="BUN60" s="280">
        <v>0</v>
      </c>
      <c r="BUO60" s="280">
        <v>0</v>
      </c>
      <c r="BUP60" s="280">
        <v>0</v>
      </c>
      <c r="BUQ60" s="280">
        <v>0</v>
      </c>
      <c r="BUR60" s="280">
        <v>0</v>
      </c>
      <c r="BUS60" s="280">
        <v>0</v>
      </c>
      <c r="BUT60" s="280">
        <v>0</v>
      </c>
      <c r="BUU60" s="280">
        <v>0</v>
      </c>
      <c r="BUV60" s="280">
        <v>0</v>
      </c>
      <c r="BUW60" s="280">
        <v>0</v>
      </c>
      <c r="BUX60" s="280">
        <v>0</v>
      </c>
      <c r="BUY60" s="280">
        <v>0</v>
      </c>
      <c r="BUZ60" s="280">
        <v>0</v>
      </c>
      <c r="BVA60" s="280">
        <v>0</v>
      </c>
      <c r="BVB60" s="280">
        <v>0</v>
      </c>
      <c r="BVC60" s="280">
        <v>0</v>
      </c>
      <c r="BVD60" s="280">
        <v>0</v>
      </c>
      <c r="BVE60" s="280">
        <v>0</v>
      </c>
      <c r="BVF60" s="280">
        <v>0</v>
      </c>
      <c r="BVG60" s="280">
        <v>0</v>
      </c>
      <c r="BVH60" s="280">
        <v>0</v>
      </c>
      <c r="BVI60" s="280">
        <v>0</v>
      </c>
      <c r="BVJ60" s="280">
        <v>0</v>
      </c>
      <c r="BVK60" s="280">
        <v>0</v>
      </c>
      <c r="BVL60" s="280">
        <v>0</v>
      </c>
      <c r="BVM60" s="280">
        <v>0</v>
      </c>
      <c r="BVN60" s="280">
        <v>0</v>
      </c>
      <c r="BVO60" s="280">
        <v>0</v>
      </c>
      <c r="BVP60" s="280">
        <v>0</v>
      </c>
      <c r="BVQ60" s="280">
        <v>0</v>
      </c>
      <c r="BVR60" s="280">
        <v>0</v>
      </c>
      <c r="BVS60" s="280">
        <v>0</v>
      </c>
      <c r="BVT60" s="280">
        <v>0</v>
      </c>
      <c r="BVU60" s="280">
        <v>0</v>
      </c>
      <c r="BVV60" s="280">
        <v>0</v>
      </c>
      <c r="BVW60" s="280">
        <v>0</v>
      </c>
      <c r="BVX60" s="280">
        <v>0</v>
      </c>
      <c r="BVY60" s="280">
        <v>0</v>
      </c>
      <c r="BVZ60" s="280">
        <v>0</v>
      </c>
      <c r="BWA60" s="280">
        <v>0</v>
      </c>
      <c r="BWB60" s="280">
        <v>0</v>
      </c>
      <c r="BWC60" s="280">
        <v>0</v>
      </c>
      <c r="BWD60" s="280">
        <v>0</v>
      </c>
      <c r="BWE60" s="280">
        <v>0</v>
      </c>
      <c r="BWF60" s="280">
        <v>0</v>
      </c>
      <c r="BWG60" s="280">
        <v>0</v>
      </c>
      <c r="BWH60" s="280">
        <v>0</v>
      </c>
      <c r="BWI60" s="280">
        <v>0</v>
      </c>
      <c r="BWJ60" s="280">
        <v>0</v>
      </c>
      <c r="BWK60" s="280">
        <v>0</v>
      </c>
      <c r="BWL60" s="280">
        <v>0</v>
      </c>
      <c r="BWM60" s="280">
        <v>0</v>
      </c>
      <c r="BWN60" s="280">
        <v>0</v>
      </c>
      <c r="BWO60" s="280">
        <v>0</v>
      </c>
      <c r="BWP60" s="280">
        <v>0</v>
      </c>
      <c r="BWQ60" s="280">
        <v>0</v>
      </c>
      <c r="BWR60" s="280">
        <v>0</v>
      </c>
      <c r="BWS60" s="280">
        <v>0</v>
      </c>
      <c r="BWT60" s="280">
        <v>0</v>
      </c>
      <c r="BWU60" s="280">
        <v>0</v>
      </c>
      <c r="BWV60" s="280">
        <v>0</v>
      </c>
      <c r="BWW60" s="280">
        <v>0</v>
      </c>
      <c r="BWX60" s="280">
        <v>0</v>
      </c>
      <c r="BWY60" s="280">
        <v>0</v>
      </c>
      <c r="BWZ60" s="280">
        <v>0</v>
      </c>
      <c r="BXA60" s="280">
        <v>0</v>
      </c>
      <c r="BXB60" s="280">
        <v>0</v>
      </c>
      <c r="BXC60" s="280">
        <v>0</v>
      </c>
      <c r="BXD60" s="280">
        <v>0</v>
      </c>
      <c r="BXE60" s="280">
        <v>0</v>
      </c>
      <c r="BXF60" s="280">
        <v>0</v>
      </c>
      <c r="BXG60" s="280">
        <v>0</v>
      </c>
      <c r="BXH60" s="280">
        <v>0</v>
      </c>
      <c r="BXI60" s="280">
        <v>0</v>
      </c>
      <c r="BXJ60" s="280">
        <v>0</v>
      </c>
      <c r="BXK60" s="280">
        <v>0</v>
      </c>
      <c r="BXL60" s="280">
        <v>0</v>
      </c>
      <c r="BXM60" s="280">
        <v>0</v>
      </c>
      <c r="BXN60" s="280">
        <v>0</v>
      </c>
      <c r="BXO60" s="280">
        <v>0</v>
      </c>
      <c r="BXP60" s="280">
        <v>0</v>
      </c>
      <c r="BXQ60" s="280">
        <v>0</v>
      </c>
      <c r="BXR60" s="280">
        <v>0</v>
      </c>
      <c r="BXS60" s="280">
        <v>0</v>
      </c>
      <c r="BXT60" s="280">
        <v>0</v>
      </c>
      <c r="BXU60" s="280">
        <v>0</v>
      </c>
      <c r="BXV60" s="280">
        <v>0</v>
      </c>
      <c r="BXW60" s="280">
        <v>0</v>
      </c>
      <c r="BXX60" s="280">
        <v>0</v>
      </c>
      <c r="BXY60" s="280">
        <v>0</v>
      </c>
      <c r="BXZ60" s="280">
        <v>0</v>
      </c>
      <c r="BYA60" s="280">
        <v>0</v>
      </c>
      <c r="BYB60" s="280">
        <v>0</v>
      </c>
      <c r="BYC60" s="280">
        <v>0</v>
      </c>
      <c r="BYD60" s="280">
        <v>0</v>
      </c>
      <c r="BYE60" s="280">
        <v>0</v>
      </c>
      <c r="BYF60" s="280">
        <v>0</v>
      </c>
      <c r="BYG60" s="280">
        <v>0</v>
      </c>
      <c r="BYH60" s="280">
        <v>0</v>
      </c>
      <c r="BYI60" s="280">
        <v>0</v>
      </c>
      <c r="BYJ60" s="280">
        <v>0</v>
      </c>
      <c r="BYK60" s="280">
        <v>0</v>
      </c>
      <c r="BYL60" s="280">
        <v>0</v>
      </c>
      <c r="BYM60" s="280">
        <v>0</v>
      </c>
      <c r="BYN60" s="280">
        <v>0</v>
      </c>
      <c r="BYO60" s="280">
        <v>0</v>
      </c>
      <c r="BYP60" s="280">
        <v>0</v>
      </c>
      <c r="BYQ60" s="280">
        <v>0</v>
      </c>
      <c r="BYR60" s="280">
        <v>0</v>
      </c>
      <c r="BYS60" s="280">
        <v>0</v>
      </c>
      <c r="BYT60" s="280">
        <v>0</v>
      </c>
      <c r="BYU60" s="280">
        <v>0</v>
      </c>
      <c r="BYV60" s="280">
        <v>0</v>
      </c>
      <c r="BYW60" s="280">
        <v>0</v>
      </c>
      <c r="BYX60" s="280">
        <v>0</v>
      </c>
      <c r="BYY60" s="280">
        <v>0</v>
      </c>
      <c r="BYZ60" s="280">
        <v>0</v>
      </c>
      <c r="BZA60" s="280">
        <v>0</v>
      </c>
      <c r="BZB60" s="280">
        <v>0</v>
      </c>
      <c r="BZC60" s="280">
        <v>0</v>
      </c>
      <c r="BZD60" s="280">
        <v>0</v>
      </c>
      <c r="BZE60" s="280">
        <v>0</v>
      </c>
      <c r="BZF60" s="280">
        <v>0</v>
      </c>
      <c r="BZG60" s="280">
        <v>0</v>
      </c>
      <c r="BZH60" s="280">
        <v>0</v>
      </c>
      <c r="BZI60" s="280">
        <v>0</v>
      </c>
      <c r="BZJ60" s="280">
        <v>0</v>
      </c>
      <c r="BZK60" s="280">
        <v>0</v>
      </c>
      <c r="BZL60" s="280">
        <v>0</v>
      </c>
      <c r="BZM60" s="280">
        <v>0</v>
      </c>
      <c r="BZN60" s="280">
        <v>0</v>
      </c>
      <c r="BZO60" s="280">
        <v>0</v>
      </c>
      <c r="BZP60" s="280">
        <v>0</v>
      </c>
      <c r="BZQ60" s="280">
        <v>0</v>
      </c>
      <c r="BZR60" s="280">
        <v>0</v>
      </c>
      <c r="BZS60" s="280">
        <v>0</v>
      </c>
      <c r="BZT60" s="280">
        <v>0</v>
      </c>
      <c r="BZU60" s="280">
        <v>0</v>
      </c>
      <c r="BZV60" s="280">
        <v>0</v>
      </c>
      <c r="BZW60" s="280">
        <v>0</v>
      </c>
      <c r="BZX60" s="280">
        <v>0</v>
      </c>
      <c r="BZY60" s="280">
        <v>0</v>
      </c>
      <c r="BZZ60" s="280">
        <v>0</v>
      </c>
      <c r="CAA60" s="280">
        <v>0</v>
      </c>
      <c r="CAB60" s="280">
        <v>0</v>
      </c>
      <c r="CAC60" s="280">
        <v>0</v>
      </c>
      <c r="CAD60" s="280">
        <v>0</v>
      </c>
      <c r="CAE60" s="280">
        <v>0</v>
      </c>
      <c r="CAF60" s="280">
        <v>0</v>
      </c>
      <c r="CAG60" s="280">
        <v>0</v>
      </c>
      <c r="CAH60" s="280">
        <v>0</v>
      </c>
      <c r="CAI60" s="280">
        <v>0</v>
      </c>
      <c r="CAJ60" s="280">
        <v>0</v>
      </c>
      <c r="CAK60" s="280">
        <v>0</v>
      </c>
      <c r="CAL60" s="280">
        <v>0</v>
      </c>
      <c r="CAM60" s="280">
        <v>0</v>
      </c>
      <c r="CAN60" s="280">
        <v>0</v>
      </c>
      <c r="CAO60" s="280">
        <v>0</v>
      </c>
      <c r="CAP60" s="280">
        <v>0</v>
      </c>
      <c r="CAQ60" s="280">
        <v>0</v>
      </c>
      <c r="CAR60" s="280">
        <v>0</v>
      </c>
      <c r="CAS60" s="280">
        <v>0</v>
      </c>
      <c r="CAT60" s="280">
        <v>0</v>
      </c>
      <c r="CAU60" s="280">
        <v>0</v>
      </c>
      <c r="CAV60" s="280">
        <v>0</v>
      </c>
      <c r="CAW60" s="280">
        <v>0</v>
      </c>
      <c r="CAX60" s="280">
        <v>0</v>
      </c>
      <c r="CAY60" s="280">
        <v>0</v>
      </c>
      <c r="CAZ60" s="280">
        <v>0</v>
      </c>
      <c r="CBA60" s="280">
        <v>0</v>
      </c>
      <c r="CBB60" s="280">
        <v>0</v>
      </c>
      <c r="CBC60" s="280">
        <v>0</v>
      </c>
      <c r="CBD60" s="280">
        <v>0</v>
      </c>
      <c r="CBE60" s="280">
        <v>0</v>
      </c>
      <c r="CBF60" s="280">
        <v>0</v>
      </c>
      <c r="CBG60" s="280">
        <v>0</v>
      </c>
      <c r="CBH60" s="280">
        <v>0</v>
      </c>
      <c r="CBI60" s="280">
        <v>0</v>
      </c>
      <c r="CBJ60" s="280">
        <v>0</v>
      </c>
      <c r="CBK60" s="280">
        <v>0</v>
      </c>
      <c r="CBL60" s="280">
        <v>0</v>
      </c>
      <c r="CBM60" s="280">
        <v>0</v>
      </c>
      <c r="CBN60" s="280">
        <v>0</v>
      </c>
      <c r="CBO60" s="280">
        <v>0</v>
      </c>
      <c r="CBP60" s="280">
        <v>0</v>
      </c>
      <c r="CBQ60" s="280">
        <v>0</v>
      </c>
      <c r="CBR60" s="280">
        <v>0</v>
      </c>
      <c r="CBS60" s="280">
        <v>0</v>
      </c>
      <c r="CBT60" s="280">
        <v>0</v>
      </c>
      <c r="CBU60" s="280">
        <v>0</v>
      </c>
      <c r="CBV60" s="280">
        <v>0</v>
      </c>
      <c r="CBW60" s="280">
        <v>0</v>
      </c>
      <c r="CBX60" s="280">
        <v>0</v>
      </c>
      <c r="CBY60" s="280">
        <v>0</v>
      </c>
      <c r="CBZ60" s="280">
        <v>0</v>
      </c>
      <c r="CCA60" s="280">
        <v>0</v>
      </c>
      <c r="CCB60" s="280">
        <v>0</v>
      </c>
      <c r="CCC60" s="280">
        <v>0</v>
      </c>
      <c r="CCD60" s="280">
        <v>0</v>
      </c>
      <c r="CCE60" s="280">
        <v>0</v>
      </c>
      <c r="CCF60" s="280">
        <v>0</v>
      </c>
      <c r="CCG60" s="280">
        <v>0</v>
      </c>
      <c r="CCH60" s="280">
        <v>0</v>
      </c>
      <c r="CCI60" s="280">
        <v>0</v>
      </c>
      <c r="CCJ60" s="280">
        <v>0</v>
      </c>
      <c r="CCK60" s="280">
        <v>0</v>
      </c>
      <c r="CCL60" s="280">
        <v>0</v>
      </c>
      <c r="CCM60" s="280">
        <v>0</v>
      </c>
      <c r="CCN60" s="280">
        <v>0</v>
      </c>
      <c r="CCO60" s="280">
        <v>0</v>
      </c>
      <c r="CCP60" s="280">
        <v>0</v>
      </c>
      <c r="CCQ60" s="280">
        <v>0</v>
      </c>
      <c r="CCR60" s="280">
        <v>0</v>
      </c>
      <c r="CCS60" s="280">
        <v>0</v>
      </c>
      <c r="CCT60" s="280">
        <v>0</v>
      </c>
      <c r="CCU60" s="280">
        <v>0</v>
      </c>
      <c r="CCV60" s="280">
        <v>0</v>
      </c>
      <c r="CCW60" s="280">
        <v>0</v>
      </c>
      <c r="CCX60" s="280">
        <v>0</v>
      </c>
      <c r="CCY60" s="280">
        <v>0</v>
      </c>
      <c r="CCZ60" s="280">
        <v>0</v>
      </c>
      <c r="CDA60" s="280">
        <v>0</v>
      </c>
      <c r="CDB60" s="280">
        <v>0</v>
      </c>
      <c r="CDC60" s="280">
        <v>0</v>
      </c>
      <c r="CDD60" s="280">
        <v>0</v>
      </c>
      <c r="CDE60" s="280">
        <v>0</v>
      </c>
      <c r="CDF60" s="280">
        <v>0</v>
      </c>
      <c r="CDG60" s="280">
        <v>0</v>
      </c>
      <c r="CDH60" s="280">
        <v>0</v>
      </c>
      <c r="CDI60" s="280">
        <v>0</v>
      </c>
      <c r="CDJ60" s="280">
        <v>0</v>
      </c>
      <c r="CDK60" s="280">
        <v>0</v>
      </c>
      <c r="CDL60" s="280">
        <v>0</v>
      </c>
      <c r="CDM60" s="280">
        <v>0</v>
      </c>
      <c r="CDN60" s="280">
        <v>0</v>
      </c>
      <c r="CDO60" s="280">
        <v>0</v>
      </c>
      <c r="CDP60" s="280">
        <v>0</v>
      </c>
      <c r="CDQ60" s="280">
        <v>0</v>
      </c>
      <c r="CDR60" s="280">
        <v>0</v>
      </c>
      <c r="CDS60" s="280">
        <v>0</v>
      </c>
      <c r="CDT60" s="280">
        <v>0</v>
      </c>
      <c r="CDU60" s="280">
        <v>0</v>
      </c>
      <c r="CDV60" s="280">
        <v>0</v>
      </c>
      <c r="CDW60" s="280">
        <v>0</v>
      </c>
      <c r="CDX60" s="280">
        <v>0</v>
      </c>
      <c r="CDY60" s="280">
        <v>0</v>
      </c>
      <c r="CDZ60" s="280">
        <v>0</v>
      </c>
      <c r="CEA60" s="280">
        <v>0</v>
      </c>
      <c r="CEB60" s="280">
        <v>0</v>
      </c>
      <c r="CEC60" s="280">
        <v>0</v>
      </c>
      <c r="CED60" s="280">
        <v>0</v>
      </c>
      <c r="CEE60" s="280">
        <v>0</v>
      </c>
      <c r="CEF60" s="280">
        <v>0</v>
      </c>
      <c r="CEG60" s="280">
        <v>0</v>
      </c>
      <c r="CEH60" s="280">
        <v>0</v>
      </c>
      <c r="CEI60" s="280">
        <v>0</v>
      </c>
      <c r="CEJ60" s="280">
        <v>0</v>
      </c>
      <c r="CEK60" s="280">
        <v>0</v>
      </c>
      <c r="CEL60" s="280">
        <v>0</v>
      </c>
      <c r="CEM60" s="280">
        <v>0</v>
      </c>
      <c r="CEN60" s="280">
        <v>0</v>
      </c>
      <c r="CEO60" s="280">
        <v>0</v>
      </c>
      <c r="CEP60" s="280">
        <v>0</v>
      </c>
      <c r="CEQ60" s="280">
        <v>0</v>
      </c>
      <c r="CER60" s="280">
        <v>0</v>
      </c>
      <c r="CES60" s="280">
        <v>0</v>
      </c>
      <c r="CET60" s="280">
        <v>0</v>
      </c>
      <c r="CEU60" s="280">
        <v>0</v>
      </c>
      <c r="CEV60" s="280">
        <v>0</v>
      </c>
      <c r="CEW60" s="280">
        <v>0</v>
      </c>
      <c r="CEX60" s="280">
        <v>0</v>
      </c>
      <c r="CEY60" s="280">
        <v>0</v>
      </c>
      <c r="CEZ60" s="280">
        <v>0</v>
      </c>
      <c r="CFA60" s="280">
        <v>0</v>
      </c>
      <c r="CFB60" s="280">
        <v>0</v>
      </c>
      <c r="CFC60" s="280">
        <v>0</v>
      </c>
      <c r="CFD60" s="280">
        <v>0</v>
      </c>
      <c r="CFE60" s="280">
        <v>0</v>
      </c>
      <c r="CFF60" s="280">
        <v>0</v>
      </c>
      <c r="CFG60" s="280">
        <v>0</v>
      </c>
      <c r="CFH60" s="280">
        <v>0</v>
      </c>
      <c r="CFI60" s="280">
        <v>0</v>
      </c>
      <c r="CFJ60" s="280">
        <v>0</v>
      </c>
      <c r="CFK60" s="280">
        <v>0</v>
      </c>
      <c r="CFL60" s="280">
        <v>0</v>
      </c>
      <c r="CFM60" s="280">
        <v>0</v>
      </c>
      <c r="CFN60" s="280">
        <v>0</v>
      </c>
      <c r="CFO60" s="280">
        <v>0</v>
      </c>
      <c r="CFP60" s="280">
        <v>0</v>
      </c>
      <c r="CFQ60" s="280">
        <v>0</v>
      </c>
      <c r="CFR60" s="280">
        <v>0</v>
      </c>
      <c r="CFS60" s="280">
        <v>0</v>
      </c>
      <c r="CFT60" s="280">
        <v>0</v>
      </c>
      <c r="CFU60" s="280">
        <v>0</v>
      </c>
      <c r="CFV60" s="280">
        <v>0</v>
      </c>
      <c r="CFW60" s="280">
        <v>0</v>
      </c>
      <c r="CFX60" s="280">
        <v>0</v>
      </c>
      <c r="CFY60" s="280">
        <v>0</v>
      </c>
      <c r="CFZ60" s="280">
        <v>0</v>
      </c>
      <c r="CGA60" s="280">
        <v>0</v>
      </c>
      <c r="CGB60" s="280">
        <v>0</v>
      </c>
      <c r="CGC60" s="280">
        <v>0</v>
      </c>
      <c r="CGD60" s="280">
        <v>0</v>
      </c>
      <c r="CGE60" s="280">
        <v>0</v>
      </c>
      <c r="CGF60" s="280">
        <v>0</v>
      </c>
      <c r="CGG60" s="280">
        <v>0</v>
      </c>
      <c r="CGH60" s="280">
        <v>0</v>
      </c>
      <c r="CGI60" s="280">
        <v>0</v>
      </c>
      <c r="CGJ60" s="280">
        <v>0</v>
      </c>
      <c r="CGK60" s="280">
        <v>0</v>
      </c>
      <c r="CGL60" s="280">
        <v>0</v>
      </c>
      <c r="CGM60" s="280">
        <v>0</v>
      </c>
      <c r="CGN60" s="280">
        <v>0</v>
      </c>
      <c r="CGO60" s="280">
        <v>0</v>
      </c>
      <c r="CGP60" s="280">
        <v>0</v>
      </c>
      <c r="CGQ60" s="280">
        <v>0</v>
      </c>
      <c r="CGR60" s="280">
        <v>0</v>
      </c>
      <c r="CGS60" s="280">
        <v>0</v>
      </c>
      <c r="CGT60" s="280">
        <v>0</v>
      </c>
      <c r="CGU60" s="280">
        <v>0</v>
      </c>
      <c r="CGV60" s="280">
        <v>0</v>
      </c>
      <c r="CGW60" s="280">
        <v>0</v>
      </c>
      <c r="CGX60" s="280">
        <v>0</v>
      </c>
      <c r="CGY60" s="280">
        <v>0</v>
      </c>
      <c r="CGZ60" s="280">
        <v>0</v>
      </c>
      <c r="CHA60" s="280">
        <v>0</v>
      </c>
      <c r="CHB60" s="280">
        <v>0</v>
      </c>
      <c r="CHC60" s="280">
        <v>0</v>
      </c>
      <c r="CHD60" s="280">
        <v>0</v>
      </c>
      <c r="CHE60" s="280">
        <v>0</v>
      </c>
      <c r="CHF60" s="280">
        <v>0</v>
      </c>
      <c r="CHG60" s="280">
        <v>0</v>
      </c>
      <c r="CHH60" s="280">
        <v>0</v>
      </c>
      <c r="CHI60" s="280">
        <v>0</v>
      </c>
      <c r="CHJ60" s="280">
        <v>0</v>
      </c>
      <c r="CHK60" s="280">
        <v>0</v>
      </c>
      <c r="CHL60" s="280">
        <v>0</v>
      </c>
      <c r="CHM60" s="280">
        <v>0</v>
      </c>
      <c r="CHN60" s="280">
        <v>0</v>
      </c>
      <c r="CHO60" s="280">
        <v>0</v>
      </c>
      <c r="CHP60" s="280">
        <v>0</v>
      </c>
      <c r="CHQ60" s="280">
        <v>0</v>
      </c>
      <c r="CHR60" s="280">
        <v>0</v>
      </c>
      <c r="CHS60" s="280">
        <v>0</v>
      </c>
      <c r="CHT60" s="280">
        <v>0</v>
      </c>
      <c r="CHU60" s="280">
        <v>0</v>
      </c>
      <c r="CHV60" s="280">
        <v>0</v>
      </c>
      <c r="CHW60" s="280">
        <v>0</v>
      </c>
      <c r="CHX60" s="280">
        <v>0</v>
      </c>
      <c r="CHY60" s="280">
        <v>0</v>
      </c>
      <c r="CHZ60" s="280">
        <v>0</v>
      </c>
      <c r="CIA60" s="280">
        <v>0</v>
      </c>
      <c r="CIB60" s="280">
        <v>0</v>
      </c>
      <c r="CIC60" s="280">
        <v>0</v>
      </c>
      <c r="CID60" s="280">
        <v>0</v>
      </c>
      <c r="CIE60" s="280">
        <v>0</v>
      </c>
      <c r="CIF60" s="280">
        <v>0</v>
      </c>
      <c r="CIG60" s="280">
        <v>0</v>
      </c>
      <c r="CIH60" s="280">
        <v>0</v>
      </c>
      <c r="CII60" s="280">
        <v>0</v>
      </c>
      <c r="CIJ60" s="280">
        <v>0</v>
      </c>
      <c r="CIK60" s="280">
        <v>0</v>
      </c>
      <c r="CIL60" s="280">
        <v>0</v>
      </c>
      <c r="CIM60" s="280">
        <v>0</v>
      </c>
      <c r="CIN60" s="280">
        <v>0</v>
      </c>
      <c r="CIO60" s="280">
        <v>0</v>
      </c>
      <c r="CIP60" s="280">
        <v>0</v>
      </c>
      <c r="CIQ60" s="280">
        <v>0</v>
      </c>
      <c r="CIR60" s="280">
        <v>0</v>
      </c>
      <c r="CIS60" s="280">
        <v>0</v>
      </c>
      <c r="CIT60" s="280">
        <v>0</v>
      </c>
      <c r="CIU60" s="280">
        <v>0</v>
      </c>
      <c r="CIV60" s="280">
        <v>0</v>
      </c>
      <c r="CIW60" s="280">
        <v>0</v>
      </c>
      <c r="CIX60" s="280">
        <v>0</v>
      </c>
      <c r="CIY60" s="280">
        <v>0</v>
      </c>
      <c r="CIZ60" s="280">
        <v>0</v>
      </c>
      <c r="CJA60" s="280">
        <v>0</v>
      </c>
      <c r="CJB60" s="280">
        <v>0</v>
      </c>
      <c r="CJC60" s="280">
        <v>0</v>
      </c>
      <c r="CJD60" s="280">
        <v>0</v>
      </c>
      <c r="CJE60" s="280">
        <v>0</v>
      </c>
      <c r="CJF60" s="280">
        <v>0</v>
      </c>
      <c r="CJG60" s="280">
        <v>0</v>
      </c>
      <c r="CJH60" s="280">
        <v>0</v>
      </c>
      <c r="CJI60" s="280">
        <v>0</v>
      </c>
      <c r="CJJ60" s="280">
        <v>0</v>
      </c>
      <c r="CJK60" s="280">
        <v>0</v>
      </c>
      <c r="CJL60" s="280">
        <v>0</v>
      </c>
      <c r="CJM60" s="280">
        <v>0</v>
      </c>
      <c r="CJN60" s="280">
        <v>0</v>
      </c>
      <c r="CJO60" s="280">
        <v>0</v>
      </c>
      <c r="CJP60" s="280">
        <v>0</v>
      </c>
      <c r="CJQ60" s="280">
        <v>0</v>
      </c>
      <c r="CJR60" s="280">
        <v>0</v>
      </c>
      <c r="CJS60" s="280">
        <v>0</v>
      </c>
      <c r="CJT60" s="280">
        <v>0</v>
      </c>
      <c r="CJU60" s="280">
        <v>0</v>
      </c>
      <c r="CJV60" s="280">
        <v>0</v>
      </c>
      <c r="CJW60" s="280">
        <v>0</v>
      </c>
      <c r="CJX60" s="280">
        <v>0</v>
      </c>
      <c r="CJY60" s="280">
        <v>0</v>
      </c>
      <c r="CJZ60" s="280">
        <v>0</v>
      </c>
      <c r="CKA60" s="280">
        <v>0</v>
      </c>
      <c r="CKB60" s="280">
        <v>0</v>
      </c>
      <c r="CKC60" s="280">
        <v>0</v>
      </c>
      <c r="CKD60" s="280">
        <v>0</v>
      </c>
      <c r="CKE60" s="280">
        <v>0</v>
      </c>
      <c r="CKF60" s="280">
        <v>0</v>
      </c>
      <c r="CKG60" s="280">
        <v>0</v>
      </c>
      <c r="CKH60" s="280">
        <v>0</v>
      </c>
      <c r="CKI60" s="280">
        <v>0</v>
      </c>
      <c r="CKJ60" s="280">
        <v>0</v>
      </c>
      <c r="CKK60" s="280">
        <v>0</v>
      </c>
      <c r="CKL60" s="280">
        <v>0</v>
      </c>
      <c r="CKM60" s="280">
        <v>0</v>
      </c>
      <c r="CKN60" s="280">
        <v>0</v>
      </c>
      <c r="CKO60" s="280">
        <v>0</v>
      </c>
      <c r="CKP60" s="280">
        <v>0</v>
      </c>
      <c r="CKQ60" s="280">
        <v>0</v>
      </c>
      <c r="CKR60" s="280">
        <v>0</v>
      </c>
      <c r="CKS60" s="280">
        <v>0</v>
      </c>
      <c r="CKT60" s="280">
        <v>0</v>
      </c>
      <c r="CKU60" s="280">
        <v>0</v>
      </c>
      <c r="CKV60" s="280">
        <v>0</v>
      </c>
      <c r="CKW60" s="280">
        <v>0</v>
      </c>
      <c r="CKX60" s="280">
        <v>0</v>
      </c>
      <c r="CKY60" s="280">
        <v>0</v>
      </c>
      <c r="CKZ60" s="280">
        <v>0</v>
      </c>
      <c r="CLA60" s="280">
        <v>0</v>
      </c>
      <c r="CLB60" s="280">
        <v>0</v>
      </c>
      <c r="CLC60" s="280">
        <v>0</v>
      </c>
      <c r="CLD60" s="280">
        <v>0</v>
      </c>
      <c r="CLE60" s="280">
        <v>0</v>
      </c>
      <c r="CLF60" s="280">
        <v>0</v>
      </c>
      <c r="CLG60" s="280">
        <v>0</v>
      </c>
      <c r="CLH60" s="280">
        <v>0</v>
      </c>
      <c r="CLI60" s="280">
        <v>0</v>
      </c>
      <c r="CLJ60" s="280">
        <v>0</v>
      </c>
      <c r="CLK60" s="280">
        <v>0</v>
      </c>
      <c r="CLL60" s="280">
        <v>0</v>
      </c>
      <c r="CLM60" s="280">
        <v>0</v>
      </c>
      <c r="CLN60" s="280">
        <v>0</v>
      </c>
      <c r="CLO60" s="280">
        <v>0</v>
      </c>
      <c r="CLP60" s="280">
        <v>0</v>
      </c>
      <c r="CLQ60" s="280">
        <v>0</v>
      </c>
      <c r="CLR60" s="280">
        <v>0</v>
      </c>
      <c r="CLS60" s="280">
        <v>0</v>
      </c>
      <c r="CLT60" s="280">
        <v>0</v>
      </c>
      <c r="CLU60" s="280">
        <v>0</v>
      </c>
      <c r="CLV60" s="280">
        <v>0</v>
      </c>
      <c r="CLW60" s="280">
        <v>0</v>
      </c>
      <c r="CLX60" s="280">
        <v>0</v>
      </c>
      <c r="CLY60" s="280">
        <v>0</v>
      </c>
      <c r="CLZ60" s="280">
        <v>0</v>
      </c>
      <c r="CMA60" s="280">
        <v>0</v>
      </c>
      <c r="CMB60" s="280">
        <v>0</v>
      </c>
      <c r="CMC60" s="280">
        <v>0</v>
      </c>
      <c r="CMD60" s="280">
        <v>0</v>
      </c>
      <c r="CME60" s="280">
        <v>0</v>
      </c>
      <c r="CMF60" s="280">
        <v>0</v>
      </c>
      <c r="CMG60" s="280">
        <v>0</v>
      </c>
      <c r="CMH60" s="280">
        <v>0</v>
      </c>
      <c r="CMI60" s="280">
        <v>0</v>
      </c>
      <c r="CMJ60" s="280">
        <v>0</v>
      </c>
      <c r="CMK60" s="280">
        <v>0</v>
      </c>
      <c r="CML60" s="280">
        <v>0</v>
      </c>
      <c r="CMM60" s="280">
        <v>0</v>
      </c>
      <c r="CMN60" s="280">
        <v>0</v>
      </c>
      <c r="CMO60" s="280">
        <v>0</v>
      </c>
      <c r="CMP60" s="280">
        <v>0</v>
      </c>
      <c r="CMQ60" s="280">
        <v>0</v>
      </c>
      <c r="CMR60" s="280">
        <v>0</v>
      </c>
      <c r="CMS60" s="280">
        <v>0</v>
      </c>
      <c r="CMT60" s="280">
        <v>0</v>
      </c>
      <c r="CMU60" s="280">
        <v>0</v>
      </c>
      <c r="CMV60" s="280">
        <v>0</v>
      </c>
      <c r="CMW60" s="280">
        <v>0</v>
      </c>
      <c r="CMX60" s="280">
        <v>0</v>
      </c>
      <c r="CMY60" s="280">
        <v>0</v>
      </c>
      <c r="CMZ60" s="280">
        <v>0</v>
      </c>
      <c r="CNA60" s="280">
        <v>0</v>
      </c>
      <c r="CNB60" s="280">
        <v>0</v>
      </c>
      <c r="CNC60" s="280">
        <v>0</v>
      </c>
      <c r="CND60" s="280">
        <v>0</v>
      </c>
      <c r="CNE60" s="280">
        <v>0</v>
      </c>
      <c r="CNF60" s="280">
        <v>0</v>
      </c>
      <c r="CNG60" s="280">
        <v>0</v>
      </c>
      <c r="CNH60" s="280">
        <v>0</v>
      </c>
      <c r="CNI60" s="280">
        <v>0</v>
      </c>
      <c r="CNJ60" s="280">
        <v>0</v>
      </c>
      <c r="CNK60" s="280">
        <v>0</v>
      </c>
      <c r="CNL60" s="280">
        <v>0</v>
      </c>
      <c r="CNM60" s="280">
        <v>0</v>
      </c>
      <c r="CNN60" s="280">
        <v>0</v>
      </c>
      <c r="CNO60" s="280">
        <v>0</v>
      </c>
      <c r="CNP60" s="280">
        <v>0</v>
      </c>
      <c r="CNQ60" s="280">
        <v>0</v>
      </c>
      <c r="CNR60" s="280">
        <v>0</v>
      </c>
      <c r="CNS60" s="280">
        <v>0</v>
      </c>
      <c r="CNT60" s="280">
        <v>0</v>
      </c>
      <c r="CNU60" s="280">
        <v>0</v>
      </c>
      <c r="CNV60" s="280">
        <v>0</v>
      </c>
      <c r="CNW60" s="280">
        <v>0</v>
      </c>
      <c r="CNX60" s="280">
        <v>0</v>
      </c>
      <c r="CNY60" s="280">
        <v>0</v>
      </c>
      <c r="CNZ60" s="280">
        <v>0</v>
      </c>
      <c r="COA60" s="280">
        <v>0</v>
      </c>
      <c r="COB60" s="280">
        <v>0</v>
      </c>
      <c r="COC60" s="280">
        <v>0</v>
      </c>
      <c r="COD60" s="280">
        <v>0</v>
      </c>
      <c r="COE60" s="280">
        <v>0</v>
      </c>
      <c r="COF60" s="280">
        <v>0</v>
      </c>
      <c r="COG60" s="280">
        <v>0</v>
      </c>
      <c r="COH60" s="280">
        <v>0</v>
      </c>
      <c r="COI60" s="280">
        <v>0</v>
      </c>
      <c r="COJ60" s="280">
        <v>0</v>
      </c>
      <c r="COK60" s="280">
        <v>0</v>
      </c>
      <c r="COL60" s="280">
        <v>0</v>
      </c>
      <c r="COM60" s="280">
        <v>0</v>
      </c>
      <c r="CON60" s="280">
        <v>0</v>
      </c>
      <c r="COO60" s="280">
        <v>0</v>
      </c>
      <c r="COP60" s="280">
        <v>0</v>
      </c>
      <c r="COQ60" s="280">
        <v>0</v>
      </c>
      <c r="COR60" s="280">
        <v>0</v>
      </c>
      <c r="COS60" s="280">
        <v>0</v>
      </c>
      <c r="COT60" s="280">
        <v>0</v>
      </c>
      <c r="COU60" s="280">
        <v>0</v>
      </c>
      <c r="COV60" s="280">
        <v>0</v>
      </c>
      <c r="COW60" s="280">
        <v>0</v>
      </c>
      <c r="COX60" s="280">
        <v>0</v>
      </c>
      <c r="COY60" s="280">
        <v>0</v>
      </c>
      <c r="COZ60" s="280">
        <v>0</v>
      </c>
      <c r="CPA60" s="280">
        <v>0</v>
      </c>
      <c r="CPB60" s="280">
        <v>0</v>
      </c>
      <c r="CPC60" s="280">
        <v>0</v>
      </c>
      <c r="CPD60" s="280">
        <v>0</v>
      </c>
      <c r="CPE60" s="280">
        <v>0</v>
      </c>
      <c r="CPF60" s="280">
        <v>0</v>
      </c>
      <c r="CPG60" s="280">
        <v>0</v>
      </c>
      <c r="CPH60" s="280">
        <v>0</v>
      </c>
      <c r="CPI60" s="280">
        <v>0</v>
      </c>
      <c r="CPJ60" s="280">
        <v>0</v>
      </c>
      <c r="CPK60" s="280">
        <v>0</v>
      </c>
      <c r="CPL60" s="280">
        <v>0</v>
      </c>
      <c r="CPM60" s="280">
        <v>0</v>
      </c>
      <c r="CPN60" s="280">
        <v>0</v>
      </c>
      <c r="CPO60" s="280">
        <v>0</v>
      </c>
      <c r="CPP60" s="280">
        <v>0</v>
      </c>
      <c r="CPQ60" s="280">
        <v>0</v>
      </c>
      <c r="CPR60" s="280">
        <v>0</v>
      </c>
      <c r="CPS60" s="280">
        <v>0</v>
      </c>
      <c r="CPT60" s="280">
        <v>0</v>
      </c>
      <c r="CPU60" s="280">
        <v>0</v>
      </c>
      <c r="CPV60" s="280">
        <v>0</v>
      </c>
      <c r="CPW60" s="280">
        <v>0</v>
      </c>
      <c r="CPX60" s="280">
        <v>0</v>
      </c>
      <c r="CPY60" s="280">
        <v>0</v>
      </c>
      <c r="CPZ60" s="280">
        <v>0</v>
      </c>
      <c r="CQA60" s="280">
        <v>0</v>
      </c>
      <c r="CQB60" s="280">
        <v>0</v>
      </c>
      <c r="CQC60" s="280">
        <v>0</v>
      </c>
      <c r="CQD60" s="280">
        <v>0</v>
      </c>
      <c r="CQE60" s="280">
        <v>0</v>
      </c>
      <c r="CQF60" s="280">
        <v>0</v>
      </c>
      <c r="CQG60" s="280">
        <v>0</v>
      </c>
      <c r="CQH60" s="280">
        <v>0</v>
      </c>
      <c r="CQI60" s="280">
        <v>0</v>
      </c>
      <c r="CQJ60" s="280">
        <v>0</v>
      </c>
      <c r="CQK60" s="280">
        <v>0</v>
      </c>
      <c r="CQL60" s="280">
        <v>0</v>
      </c>
      <c r="CQM60" s="280">
        <v>0</v>
      </c>
      <c r="CQN60" s="280">
        <v>0</v>
      </c>
      <c r="CQO60" s="280">
        <v>0</v>
      </c>
      <c r="CQP60" s="280">
        <v>0</v>
      </c>
      <c r="CQQ60" s="280">
        <v>0</v>
      </c>
      <c r="CQR60" s="280">
        <v>0</v>
      </c>
      <c r="CQS60" s="280">
        <v>0</v>
      </c>
      <c r="CQT60" s="280">
        <v>0</v>
      </c>
      <c r="CQU60" s="280">
        <v>0</v>
      </c>
      <c r="CQV60" s="280">
        <v>0</v>
      </c>
      <c r="CQW60" s="280">
        <v>0</v>
      </c>
      <c r="CQX60" s="280">
        <v>0</v>
      </c>
      <c r="CQY60" s="280">
        <v>0</v>
      </c>
      <c r="CQZ60" s="280">
        <v>0</v>
      </c>
      <c r="CRA60" s="280">
        <v>0</v>
      </c>
      <c r="CRB60" s="280">
        <v>0</v>
      </c>
      <c r="CRC60" s="280">
        <v>0</v>
      </c>
      <c r="CRD60" s="280">
        <v>0</v>
      </c>
      <c r="CRE60" s="280">
        <v>0</v>
      </c>
      <c r="CRF60" s="280">
        <v>0</v>
      </c>
      <c r="CRG60" s="280">
        <v>0</v>
      </c>
      <c r="CRH60" s="280">
        <v>0</v>
      </c>
      <c r="CRI60" s="280">
        <v>0</v>
      </c>
      <c r="CRJ60" s="280">
        <v>0</v>
      </c>
      <c r="CRK60" s="280">
        <v>0</v>
      </c>
      <c r="CRL60" s="280">
        <v>0</v>
      </c>
      <c r="CRM60" s="280">
        <v>0</v>
      </c>
      <c r="CRN60" s="280">
        <v>0</v>
      </c>
      <c r="CRO60" s="280">
        <v>0</v>
      </c>
      <c r="CRP60" s="280">
        <v>0</v>
      </c>
      <c r="CRQ60" s="280">
        <v>0</v>
      </c>
      <c r="CRR60" s="280">
        <v>0</v>
      </c>
      <c r="CRS60" s="280">
        <v>0</v>
      </c>
      <c r="CRT60" s="280">
        <v>0</v>
      </c>
      <c r="CRU60" s="280">
        <v>0</v>
      </c>
      <c r="CRV60" s="280">
        <v>0</v>
      </c>
      <c r="CRW60" s="280">
        <v>0</v>
      </c>
      <c r="CRX60" s="280">
        <v>0</v>
      </c>
      <c r="CRY60" s="280">
        <v>0</v>
      </c>
      <c r="CRZ60" s="280">
        <v>0</v>
      </c>
      <c r="CSA60" s="280">
        <v>0</v>
      </c>
      <c r="CSB60" s="280">
        <v>0</v>
      </c>
      <c r="CSC60" s="280">
        <v>0</v>
      </c>
      <c r="CSD60" s="280">
        <v>0</v>
      </c>
      <c r="CSE60" s="280">
        <v>0</v>
      </c>
      <c r="CSF60" s="280">
        <v>0</v>
      </c>
      <c r="CSG60" s="280">
        <v>0</v>
      </c>
      <c r="CSH60" s="280">
        <v>0</v>
      </c>
      <c r="CSI60" s="280">
        <v>0</v>
      </c>
      <c r="CSJ60" s="280">
        <v>0</v>
      </c>
      <c r="CSK60" s="280">
        <v>0</v>
      </c>
      <c r="CSL60" s="280">
        <v>0</v>
      </c>
      <c r="CSM60" s="280">
        <v>0</v>
      </c>
      <c r="CSN60" s="280">
        <v>0</v>
      </c>
      <c r="CSO60" s="280">
        <v>0</v>
      </c>
      <c r="CSP60" s="280">
        <v>0</v>
      </c>
      <c r="CSQ60" s="280">
        <v>0</v>
      </c>
      <c r="CSR60" s="280">
        <v>0</v>
      </c>
      <c r="CSS60" s="280">
        <v>0</v>
      </c>
      <c r="CST60" s="280">
        <v>0</v>
      </c>
      <c r="CSU60" s="280">
        <v>0</v>
      </c>
      <c r="CSV60" s="280">
        <v>0</v>
      </c>
      <c r="CSW60" s="280">
        <v>0</v>
      </c>
      <c r="CSX60" s="280">
        <v>0</v>
      </c>
      <c r="CSY60" s="280">
        <v>0</v>
      </c>
      <c r="CSZ60" s="280">
        <v>0</v>
      </c>
      <c r="CTA60" s="280">
        <v>0</v>
      </c>
      <c r="CTB60" s="280">
        <v>0</v>
      </c>
      <c r="CTC60" s="280">
        <v>0</v>
      </c>
      <c r="CTD60" s="280">
        <v>0</v>
      </c>
      <c r="CTE60" s="280">
        <v>0</v>
      </c>
      <c r="CTF60" s="280">
        <v>0</v>
      </c>
      <c r="CTG60" s="280">
        <v>0</v>
      </c>
      <c r="CTH60" s="280">
        <v>0</v>
      </c>
      <c r="CTI60" s="280">
        <v>0</v>
      </c>
      <c r="CTJ60" s="280">
        <v>0</v>
      </c>
      <c r="CTK60" s="280">
        <v>0</v>
      </c>
      <c r="CTL60" s="280">
        <v>0</v>
      </c>
      <c r="CTM60" s="280">
        <v>0</v>
      </c>
      <c r="CTN60" s="280">
        <v>0</v>
      </c>
      <c r="CTO60" s="280">
        <v>0</v>
      </c>
      <c r="CTP60" s="280">
        <v>0</v>
      </c>
      <c r="CTQ60" s="280">
        <v>0</v>
      </c>
      <c r="CTR60" s="280">
        <v>0</v>
      </c>
      <c r="CTS60" s="280">
        <v>0</v>
      </c>
      <c r="CTT60" s="280">
        <v>0</v>
      </c>
      <c r="CTU60" s="280">
        <v>0</v>
      </c>
      <c r="CTV60" s="280">
        <v>0</v>
      </c>
      <c r="CTW60" s="280">
        <v>0</v>
      </c>
      <c r="CTX60" s="280">
        <v>0</v>
      </c>
      <c r="CTY60" s="280">
        <v>0</v>
      </c>
      <c r="CTZ60" s="280">
        <v>0</v>
      </c>
      <c r="CUA60" s="280">
        <v>0</v>
      </c>
      <c r="CUB60" s="280">
        <v>0</v>
      </c>
      <c r="CUC60" s="280">
        <v>0</v>
      </c>
      <c r="CUD60" s="280">
        <v>0</v>
      </c>
      <c r="CUE60" s="280">
        <v>0</v>
      </c>
      <c r="CUF60" s="280">
        <v>0</v>
      </c>
      <c r="CUG60" s="280">
        <v>0</v>
      </c>
      <c r="CUH60" s="280">
        <v>0</v>
      </c>
      <c r="CUI60" s="280">
        <v>0</v>
      </c>
      <c r="CUJ60" s="280">
        <v>0</v>
      </c>
      <c r="CUK60" s="280">
        <v>0</v>
      </c>
      <c r="CUL60" s="280">
        <v>0</v>
      </c>
      <c r="CUM60" s="280">
        <v>0</v>
      </c>
      <c r="CUN60" s="280">
        <v>0</v>
      </c>
      <c r="CUO60" s="280">
        <v>0</v>
      </c>
      <c r="CUP60" s="280">
        <v>0</v>
      </c>
      <c r="CUQ60" s="280">
        <v>0</v>
      </c>
      <c r="CUR60" s="280">
        <v>0</v>
      </c>
      <c r="CUS60" s="280">
        <v>0</v>
      </c>
      <c r="CUT60" s="280">
        <v>0</v>
      </c>
      <c r="CUU60" s="280">
        <v>0</v>
      </c>
      <c r="CUV60" s="280">
        <v>0</v>
      </c>
      <c r="CUW60" s="280">
        <v>0</v>
      </c>
      <c r="CUX60" s="280">
        <v>0</v>
      </c>
      <c r="CUY60" s="280">
        <v>0</v>
      </c>
      <c r="CUZ60" s="280">
        <v>0</v>
      </c>
      <c r="CVA60" s="280">
        <v>0</v>
      </c>
      <c r="CVB60" s="280">
        <v>0</v>
      </c>
      <c r="CVC60" s="280">
        <v>0</v>
      </c>
      <c r="CVD60" s="280">
        <v>0</v>
      </c>
      <c r="CVE60" s="280">
        <v>0</v>
      </c>
      <c r="CVF60" s="280">
        <v>0</v>
      </c>
      <c r="CVG60" s="280">
        <v>0</v>
      </c>
      <c r="CVH60" s="280">
        <v>0</v>
      </c>
      <c r="CVI60" s="280">
        <v>0</v>
      </c>
      <c r="CVJ60" s="280">
        <v>0</v>
      </c>
      <c r="CVK60" s="280">
        <v>0</v>
      </c>
      <c r="CVL60" s="280">
        <v>0</v>
      </c>
      <c r="CVM60" s="280">
        <v>0</v>
      </c>
      <c r="CVN60" s="280">
        <v>0</v>
      </c>
      <c r="CVO60" s="280">
        <v>0</v>
      </c>
      <c r="CVP60" s="280">
        <v>0</v>
      </c>
      <c r="CVQ60" s="280">
        <v>0</v>
      </c>
      <c r="CVR60" s="280">
        <v>0</v>
      </c>
      <c r="CVS60" s="280">
        <v>0</v>
      </c>
      <c r="CVT60" s="280">
        <v>0</v>
      </c>
      <c r="CVU60" s="280">
        <v>0</v>
      </c>
      <c r="CVV60" s="280">
        <v>0</v>
      </c>
      <c r="CVW60" s="280">
        <v>0</v>
      </c>
      <c r="CVX60" s="280">
        <v>0</v>
      </c>
      <c r="CVY60" s="280">
        <v>0</v>
      </c>
      <c r="CVZ60" s="280">
        <v>0</v>
      </c>
      <c r="CWA60" s="280">
        <v>0</v>
      </c>
      <c r="CWB60" s="280">
        <v>0</v>
      </c>
      <c r="CWC60" s="280">
        <v>0</v>
      </c>
      <c r="CWD60" s="280">
        <v>0</v>
      </c>
      <c r="CWE60" s="280">
        <v>0</v>
      </c>
      <c r="CWF60" s="280">
        <v>0</v>
      </c>
      <c r="CWG60" s="280">
        <v>0</v>
      </c>
      <c r="CWH60" s="280">
        <v>0</v>
      </c>
      <c r="CWI60" s="280">
        <v>0</v>
      </c>
      <c r="CWJ60" s="280">
        <v>0</v>
      </c>
      <c r="CWK60" s="280">
        <v>0</v>
      </c>
      <c r="CWL60" s="280">
        <v>0</v>
      </c>
      <c r="CWM60" s="280">
        <v>0</v>
      </c>
      <c r="CWN60" s="280">
        <v>0</v>
      </c>
      <c r="CWO60" s="280">
        <v>0</v>
      </c>
      <c r="CWP60" s="280">
        <v>0</v>
      </c>
      <c r="CWQ60" s="280">
        <v>0</v>
      </c>
      <c r="CWR60" s="280">
        <v>0</v>
      </c>
      <c r="CWS60" s="280">
        <v>0</v>
      </c>
      <c r="CWT60" s="280">
        <v>0</v>
      </c>
      <c r="CWU60" s="280">
        <v>0</v>
      </c>
      <c r="CWV60" s="280">
        <v>0</v>
      </c>
      <c r="CWW60" s="280">
        <v>0</v>
      </c>
      <c r="CWX60" s="280">
        <v>0</v>
      </c>
      <c r="CWY60" s="280">
        <v>0</v>
      </c>
      <c r="CWZ60" s="280">
        <v>0</v>
      </c>
      <c r="CXA60" s="280">
        <v>0</v>
      </c>
      <c r="CXB60" s="280">
        <v>0</v>
      </c>
      <c r="CXC60" s="280">
        <v>0</v>
      </c>
      <c r="CXD60" s="280">
        <v>0</v>
      </c>
      <c r="CXE60" s="280">
        <v>0</v>
      </c>
      <c r="CXF60" s="280">
        <v>0</v>
      </c>
      <c r="CXG60" s="280">
        <v>0</v>
      </c>
      <c r="CXH60" s="280">
        <v>0</v>
      </c>
      <c r="CXI60" s="280">
        <v>0</v>
      </c>
      <c r="CXJ60" s="280">
        <v>0</v>
      </c>
      <c r="CXK60" s="280">
        <v>0</v>
      </c>
      <c r="CXL60" s="280">
        <v>0</v>
      </c>
      <c r="CXM60" s="280">
        <v>0</v>
      </c>
      <c r="CXN60" s="280">
        <v>0</v>
      </c>
      <c r="CXO60" s="280">
        <v>0</v>
      </c>
      <c r="CXP60" s="280">
        <v>0</v>
      </c>
      <c r="CXQ60" s="280">
        <v>0</v>
      </c>
      <c r="CXR60" s="280">
        <v>0</v>
      </c>
      <c r="CXS60" s="280">
        <v>0</v>
      </c>
      <c r="CXT60" s="280">
        <v>0</v>
      </c>
      <c r="CXU60" s="280">
        <v>0</v>
      </c>
      <c r="CXV60" s="280">
        <v>0</v>
      </c>
      <c r="CXW60" s="280">
        <v>0</v>
      </c>
      <c r="CXX60" s="280">
        <v>0</v>
      </c>
      <c r="CXY60" s="280">
        <v>0</v>
      </c>
      <c r="CXZ60" s="280">
        <v>0</v>
      </c>
      <c r="CYA60" s="280">
        <v>0</v>
      </c>
      <c r="CYB60" s="280">
        <v>0</v>
      </c>
      <c r="CYC60" s="280">
        <v>0</v>
      </c>
      <c r="CYD60" s="280">
        <v>0</v>
      </c>
      <c r="CYE60" s="280">
        <v>0</v>
      </c>
      <c r="CYF60" s="280">
        <v>0</v>
      </c>
      <c r="CYG60" s="280">
        <v>0</v>
      </c>
      <c r="CYH60" s="280">
        <v>0</v>
      </c>
      <c r="CYI60" s="280">
        <v>0</v>
      </c>
      <c r="CYJ60" s="280">
        <v>0</v>
      </c>
      <c r="CYK60" s="280">
        <v>0</v>
      </c>
      <c r="CYL60" s="280">
        <v>0</v>
      </c>
      <c r="CYM60" s="280">
        <v>0</v>
      </c>
      <c r="CYN60" s="280">
        <v>0</v>
      </c>
      <c r="CYO60" s="280">
        <v>0</v>
      </c>
      <c r="CYP60" s="280">
        <v>0</v>
      </c>
      <c r="CYQ60" s="280">
        <v>0</v>
      </c>
      <c r="CYR60" s="280">
        <v>0</v>
      </c>
      <c r="CYS60" s="280">
        <v>0</v>
      </c>
      <c r="CYT60" s="280">
        <v>0</v>
      </c>
      <c r="CYU60" s="280">
        <v>0</v>
      </c>
      <c r="CYV60" s="280">
        <v>0</v>
      </c>
      <c r="CYW60" s="280">
        <v>0</v>
      </c>
      <c r="CYX60" s="280">
        <v>0</v>
      </c>
      <c r="CYY60" s="280">
        <v>0</v>
      </c>
      <c r="CYZ60" s="280">
        <v>0</v>
      </c>
      <c r="CZA60" s="280">
        <v>0</v>
      </c>
      <c r="CZB60" s="280">
        <v>0</v>
      </c>
      <c r="CZC60" s="280">
        <v>0</v>
      </c>
      <c r="CZD60" s="280">
        <v>0</v>
      </c>
      <c r="CZE60" s="280">
        <v>0</v>
      </c>
      <c r="CZF60" s="280">
        <v>0</v>
      </c>
      <c r="CZG60" s="280">
        <v>0</v>
      </c>
      <c r="CZH60" s="280">
        <v>0</v>
      </c>
      <c r="CZI60" s="280">
        <v>0</v>
      </c>
      <c r="CZJ60" s="280">
        <v>0</v>
      </c>
      <c r="CZK60" s="280">
        <v>0</v>
      </c>
      <c r="CZL60" s="280">
        <v>0</v>
      </c>
      <c r="CZM60" s="280">
        <v>0</v>
      </c>
      <c r="CZN60" s="280">
        <v>0</v>
      </c>
      <c r="CZO60" s="280">
        <v>0</v>
      </c>
      <c r="CZP60" s="280">
        <v>0</v>
      </c>
      <c r="CZQ60" s="280">
        <v>0</v>
      </c>
      <c r="CZR60" s="280">
        <v>0</v>
      </c>
      <c r="CZS60" s="280">
        <v>0</v>
      </c>
      <c r="CZT60" s="280">
        <v>0</v>
      </c>
      <c r="CZU60" s="280">
        <v>0</v>
      </c>
      <c r="CZV60" s="280">
        <v>0</v>
      </c>
      <c r="CZW60" s="280">
        <v>0</v>
      </c>
      <c r="CZX60" s="280">
        <v>0</v>
      </c>
      <c r="CZY60" s="280">
        <v>0</v>
      </c>
      <c r="CZZ60" s="280">
        <v>0</v>
      </c>
      <c r="DAA60" s="280">
        <v>0</v>
      </c>
      <c r="DAB60" s="280">
        <v>0</v>
      </c>
      <c r="DAC60" s="280">
        <v>0</v>
      </c>
      <c r="DAD60" s="280">
        <v>0</v>
      </c>
      <c r="DAE60" s="280">
        <v>0</v>
      </c>
      <c r="DAF60" s="280">
        <v>0</v>
      </c>
      <c r="DAG60" s="280">
        <v>0</v>
      </c>
      <c r="DAH60" s="280">
        <v>0</v>
      </c>
      <c r="DAI60" s="280">
        <v>0</v>
      </c>
      <c r="DAJ60" s="280">
        <v>0</v>
      </c>
      <c r="DAK60" s="280">
        <v>0</v>
      </c>
      <c r="DAL60" s="280">
        <v>0</v>
      </c>
      <c r="DAM60" s="280">
        <v>0</v>
      </c>
      <c r="DAN60" s="280">
        <v>0</v>
      </c>
      <c r="DAO60" s="280">
        <v>0</v>
      </c>
      <c r="DAP60" s="280">
        <v>0</v>
      </c>
      <c r="DAQ60" s="280">
        <v>0</v>
      </c>
      <c r="DAR60" s="280">
        <v>0</v>
      </c>
      <c r="DAS60" s="280">
        <v>0</v>
      </c>
      <c r="DAT60" s="280">
        <v>0</v>
      </c>
      <c r="DAU60" s="280">
        <v>0</v>
      </c>
      <c r="DAV60" s="280">
        <v>0</v>
      </c>
      <c r="DAW60" s="280">
        <v>0</v>
      </c>
      <c r="DAX60" s="280">
        <v>0</v>
      </c>
      <c r="DAY60" s="280">
        <v>0</v>
      </c>
      <c r="DAZ60" s="280">
        <v>0</v>
      </c>
      <c r="DBA60" s="280">
        <v>0</v>
      </c>
      <c r="DBB60" s="280">
        <v>0</v>
      </c>
      <c r="DBC60" s="280">
        <v>0</v>
      </c>
      <c r="DBD60" s="280">
        <v>0</v>
      </c>
      <c r="DBE60" s="280">
        <v>0</v>
      </c>
      <c r="DBF60" s="280">
        <v>0</v>
      </c>
      <c r="DBG60" s="280">
        <v>0</v>
      </c>
      <c r="DBH60" s="280">
        <v>0</v>
      </c>
      <c r="DBI60" s="280">
        <v>0</v>
      </c>
      <c r="DBJ60" s="280">
        <v>0</v>
      </c>
      <c r="DBK60" s="280">
        <v>0</v>
      </c>
      <c r="DBL60" s="280">
        <v>0</v>
      </c>
      <c r="DBM60" s="280">
        <v>0</v>
      </c>
      <c r="DBN60" s="280">
        <v>0</v>
      </c>
      <c r="DBO60" s="280">
        <v>0</v>
      </c>
      <c r="DBP60" s="280">
        <v>0</v>
      </c>
      <c r="DBQ60" s="280">
        <v>0</v>
      </c>
      <c r="DBR60" s="280">
        <v>0</v>
      </c>
      <c r="DBS60" s="280">
        <v>0</v>
      </c>
      <c r="DBT60" s="280">
        <v>0</v>
      </c>
      <c r="DBU60" s="280">
        <v>0</v>
      </c>
      <c r="DBV60" s="280">
        <v>0</v>
      </c>
      <c r="DBW60" s="280">
        <v>0</v>
      </c>
      <c r="DBX60" s="280">
        <v>0</v>
      </c>
      <c r="DBY60" s="280">
        <v>0</v>
      </c>
      <c r="DBZ60" s="280">
        <v>0</v>
      </c>
      <c r="DCA60" s="280">
        <v>0</v>
      </c>
      <c r="DCB60" s="280">
        <v>0</v>
      </c>
      <c r="DCC60" s="280">
        <v>0</v>
      </c>
      <c r="DCD60" s="280">
        <v>0</v>
      </c>
      <c r="DCE60" s="280">
        <v>0</v>
      </c>
      <c r="DCF60" s="280">
        <v>0</v>
      </c>
      <c r="DCG60" s="280">
        <v>0</v>
      </c>
      <c r="DCH60" s="280">
        <v>0</v>
      </c>
      <c r="DCI60" s="280">
        <v>0</v>
      </c>
      <c r="DCJ60" s="280">
        <v>0</v>
      </c>
      <c r="DCK60" s="280">
        <v>0</v>
      </c>
      <c r="DCL60" s="280">
        <v>0</v>
      </c>
      <c r="DCM60" s="280">
        <v>0</v>
      </c>
      <c r="DCN60" s="280">
        <v>0</v>
      </c>
      <c r="DCO60" s="280">
        <v>0</v>
      </c>
      <c r="DCP60" s="280">
        <v>0</v>
      </c>
      <c r="DCQ60" s="280">
        <v>0</v>
      </c>
      <c r="DCR60" s="280">
        <v>0</v>
      </c>
      <c r="DCS60" s="280">
        <v>0</v>
      </c>
      <c r="DCT60" s="280">
        <v>0</v>
      </c>
      <c r="DCU60" s="280">
        <v>0</v>
      </c>
      <c r="DCV60" s="280">
        <v>0</v>
      </c>
      <c r="DCW60" s="280">
        <v>0</v>
      </c>
      <c r="DCX60" s="280">
        <v>0</v>
      </c>
      <c r="DCY60" s="280">
        <v>0</v>
      </c>
      <c r="DCZ60" s="280">
        <v>0</v>
      </c>
      <c r="DDA60" s="280">
        <v>0</v>
      </c>
      <c r="DDB60" s="280">
        <v>0</v>
      </c>
      <c r="DDC60" s="280">
        <v>0</v>
      </c>
      <c r="DDD60" s="280">
        <v>0</v>
      </c>
      <c r="DDE60" s="280">
        <v>0</v>
      </c>
      <c r="DDF60" s="280">
        <v>0</v>
      </c>
      <c r="DDG60" s="280">
        <v>0</v>
      </c>
      <c r="DDH60" s="280">
        <v>0</v>
      </c>
      <c r="DDI60" s="280">
        <v>0</v>
      </c>
      <c r="DDJ60" s="280">
        <v>0</v>
      </c>
      <c r="DDK60" s="280">
        <v>0</v>
      </c>
      <c r="DDL60" s="280">
        <v>0</v>
      </c>
      <c r="DDM60" s="280">
        <v>0</v>
      </c>
      <c r="DDN60" s="280">
        <v>0</v>
      </c>
      <c r="DDO60" s="280">
        <v>0</v>
      </c>
      <c r="DDP60" s="280">
        <v>0</v>
      </c>
      <c r="DDQ60" s="280">
        <v>0</v>
      </c>
      <c r="DDR60" s="280">
        <v>0</v>
      </c>
      <c r="DDS60" s="280">
        <v>0</v>
      </c>
      <c r="DDT60" s="280">
        <v>0</v>
      </c>
      <c r="DDU60" s="280">
        <v>0</v>
      </c>
      <c r="DDV60" s="280">
        <v>0</v>
      </c>
      <c r="DDW60" s="280">
        <v>0</v>
      </c>
      <c r="DDX60" s="280">
        <v>0</v>
      </c>
      <c r="DDY60" s="280">
        <v>0</v>
      </c>
      <c r="DDZ60" s="280">
        <v>0</v>
      </c>
      <c r="DEA60" s="280">
        <v>0</v>
      </c>
      <c r="DEB60" s="280">
        <v>0</v>
      </c>
      <c r="DEC60" s="280">
        <v>0</v>
      </c>
      <c r="DED60" s="280">
        <v>0</v>
      </c>
      <c r="DEE60" s="280">
        <v>0</v>
      </c>
      <c r="DEF60" s="280">
        <v>0</v>
      </c>
      <c r="DEG60" s="280">
        <v>0</v>
      </c>
      <c r="DEH60" s="280">
        <v>0</v>
      </c>
      <c r="DEI60" s="280">
        <v>0</v>
      </c>
      <c r="DEJ60" s="280">
        <v>0</v>
      </c>
      <c r="DEK60" s="280">
        <v>0</v>
      </c>
      <c r="DEL60" s="280">
        <v>0</v>
      </c>
      <c r="DEM60" s="280">
        <v>0</v>
      </c>
      <c r="DEN60" s="280">
        <v>0</v>
      </c>
      <c r="DEO60" s="280">
        <v>0</v>
      </c>
      <c r="DEP60" s="280">
        <v>0</v>
      </c>
      <c r="DEQ60" s="280">
        <v>0</v>
      </c>
      <c r="DER60" s="280">
        <v>0</v>
      </c>
      <c r="DES60" s="280">
        <v>0</v>
      </c>
      <c r="DET60" s="280">
        <v>0</v>
      </c>
      <c r="DEU60" s="280">
        <v>0</v>
      </c>
      <c r="DEV60" s="280">
        <v>0</v>
      </c>
      <c r="DEW60" s="280">
        <v>0</v>
      </c>
      <c r="DEX60" s="280">
        <v>0</v>
      </c>
      <c r="DEY60" s="280">
        <v>0</v>
      </c>
      <c r="DEZ60" s="280">
        <v>0</v>
      </c>
      <c r="DFA60" s="280">
        <v>0</v>
      </c>
      <c r="DFB60" s="280">
        <v>0</v>
      </c>
      <c r="DFC60" s="280">
        <v>0</v>
      </c>
      <c r="DFD60" s="280">
        <v>0</v>
      </c>
      <c r="DFE60" s="280">
        <v>0</v>
      </c>
      <c r="DFF60" s="280">
        <v>0</v>
      </c>
      <c r="DFG60" s="280">
        <v>0</v>
      </c>
      <c r="DFH60" s="280">
        <v>0</v>
      </c>
      <c r="DFI60" s="280">
        <v>0</v>
      </c>
      <c r="DFJ60" s="280">
        <v>0</v>
      </c>
      <c r="DFK60" s="280">
        <v>0</v>
      </c>
      <c r="DFL60" s="280">
        <v>0</v>
      </c>
      <c r="DFM60" s="280">
        <v>0</v>
      </c>
      <c r="DFN60" s="280">
        <v>0</v>
      </c>
      <c r="DFO60" s="280">
        <v>0</v>
      </c>
      <c r="DFP60" s="280">
        <v>0</v>
      </c>
      <c r="DFQ60" s="280">
        <v>0</v>
      </c>
      <c r="DFR60" s="280">
        <v>0</v>
      </c>
      <c r="DFS60" s="280">
        <v>0</v>
      </c>
      <c r="DFT60" s="280">
        <v>0</v>
      </c>
      <c r="DFU60" s="280">
        <v>0</v>
      </c>
      <c r="DFV60" s="280">
        <v>0</v>
      </c>
      <c r="DFW60" s="280">
        <v>0</v>
      </c>
      <c r="DFX60" s="280">
        <v>0</v>
      </c>
      <c r="DFY60" s="280">
        <v>0</v>
      </c>
      <c r="DFZ60" s="280">
        <v>0</v>
      </c>
      <c r="DGA60" s="280">
        <v>0</v>
      </c>
      <c r="DGB60" s="280">
        <v>0</v>
      </c>
      <c r="DGC60" s="280">
        <v>0</v>
      </c>
      <c r="DGD60" s="280">
        <v>0</v>
      </c>
      <c r="DGE60" s="280">
        <v>0</v>
      </c>
      <c r="DGF60" s="280">
        <v>0</v>
      </c>
      <c r="DGG60" s="280">
        <v>0</v>
      </c>
      <c r="DGH60" s="280">
        <v>0</v>
      </c>
      <c r="DGI60" s="280">
        <v>0</v>
      </c>
      <c r="DGJ60" s="280">
        <v>0</v>
      </c>
      <c r="DGK60" s="280">
        <v>0</v>
      </c>
      <c r="DGL60" s="280">
        <v>0</v>
      </c>
      <c r="DGM60" s="280">
        <v>0</v>
      </c>
      <c r="DGN60" s="280">
        <v>0</v>
      </c>
      <c r="DGO60" s="280">
        <v>0</v>
      </c>
      <c r="DGP60" s="280">
        <v>0</v>
      </c>
      <c r="DGQ60" s="280">
        <v>0</v>
      </c>
      <c r="DGR60" s="280">
        <v>0</v>
      </c>
      <c r="DGS60" s="280">
        <v>0</v>
      </c>
      <c r="DGT60" s="280">
        <v>0</v>
      </c>
      <c r="DGU60" s="280">
        <v>0</v>
      </c>
      <c r="DGV60" s="280">
        <v>0</v>
      </c>
      <c r="DGW60" s="280">
        <v>0</v>
      </c>
      <c r="DGX60" s="280">
        <v>0</v>
      </c>
      <c r="DGY60" s="280">
        <v>0</v>
      </c>
      <c r="DGZ60" s="280">
        <v>0</v>
      </c>
      <c r="DHA60" s="280">
        <v>0</v>
      </c>
      <c r="DHB60" s="280">
        <v>0</v>
      </c>
      <c r="DHC60" s="280">
        <v>0</v>
      </c>
      <c r="DHD60" s="280">
        <v>0</v>
      </c>
      <c r="DHE60" s="280">
        <v>0</v>
      </c>
      <c r="DHF60" s="280">
        <v>0</v>
      </c>
      <c r="DHG60" s="280">
        <v>0</v>
      </c>
      <c r="DHH60" s="280">
        <v>0</v>
      </c>
      <c r="DHI60" s="280">
        <v>0</v>
      </c>
      <c r="DHJ60" s="280">
        <v>0</v>
      </c>
      <c r="DHK60" s="280">
        <v>0</v>
      </c>
      <c r="DHL60" s="280">
        <v>0</v>
      </c>
      <c r="DHM60" s="280">
        <v>0</v>
      </c>
      <c r="DHN60" s="280">
        <v>0</v>
      </c>
      <c r="DHO60" s="280">
        <v>0</v>
      </c>
      <c r="DHP60" s="280">
        <v>0</v>
      </c>
      <c r="DHQ60" s="280">
        <v>0</v>
      </c>
      <c r="DHR60" s="280">
        <v>0</v>
      </c>
      <c r="DHS60" s="280">
        <v>0</v>
      </c>
      <c r="DHT60" s="280">
        <v>0</v>
      </c>
      <c r="DHU60" s="280">
        <v>0</v>
      </c>
      <c r="DHV60" s="280">
        <v>0</v>
      </c>
      <c r="DHW60" s="280">
        <v>0</v>
      </c>
      <c r="DHX60" s="280">
        <v>0</v>
      </c>
      <c r="DHY60" s="280">
        <v>0</v>
      </c>
      <c r="DHZ60" s="280">
        <v>0</v>
      </c>
      <c r="DIA60" s="280">
        <v>0</v>
      </c>
      <c r="DIB60" s="280">
        <v>0</v>
      </c>
      <c r="DIC60" s="280">
        <v>0</v>
      </c>
      <c r="DID60" s="280">
        <v>0</v>
      </c>
      <c r="DIE60" s="280">
        <v>0</v>
      </c>
      <c r="DIF60" s="280">
        <v>0</v>
      </c>
      <c r="DIG60" s="280">
        <v>0</v>
      </c>
      <c r="DIH60" s="280">
        <v>0</v>
      </c>
      <c r="DII60" s="280">
        <v>0</v>
      </c>
      <c r="DIJ60" s="280">
        <v>0</v>
      </c>
      <c r="DIK60" s="280">
        <v>0</v>
      </c>
      <c r="DIL60" s="280">
        <v>0</v>
      </c>
      <c r="DIM60" s="280">
        <v>0</v>
      </c>
      <c r="DIN60" s="280">
        <v>0</v>
      </c>
      <c r="DIO60" s="280">
        <v>0</v>
      </c>
      <c r="DIP60" s="280">
        <v>0</v>
      </c>
      <c r="DIQ60" s="280">
        <v>0</v>
      </c>
      <c r="DIR60" s="280">
        <v>0</v>
      </c>
      <c r="DIS60" s="280">
        <v>0</v>
      </c>
      <c r="DIT60" s="280">
        <v>0</v>
      </c>
      <c r="DIU60" s="280">
        <v>0</v>
      </c>
      <c r="DIV60" s="280">
        <v>0</v>
      </c>
      <c r="DIW60" s="280">
        <v>0</v>
      </c>
      <c r="DIX60" s="280">
        <v>0</v>
      </c>
      <c r="DIY60" s="280">
        <v>0</v>
      </c>
      <c r="DIZ60" s="280">
        <v>0</v>
      </c>
      <c r="DJA60" s="280">
        <v>0</v>
      </c>
      <c r="DJB60" s="280">
        <v>0</v>
      </c>
      <c r="DJC60" s="280">
        <v>0</v>
      </c>
      <c r="DJD60" s="280">
        <v>0</v>
      </c>
      <c r="DJE60" s="280">
        <v>0</v>
      </c>
      <c r="DJF60" s="280">
        <v>0</v>
      </c>
      <c r="DJG60" s="280">
        <v>0</v>
      </c>
      <c r="DJH60" s="280">
        <v>0</v>
      </c>
      <c r="DJI60" s="280">
        <v>0</v>
      </c>
      <c r="DJJ60" s="280">
        <v>0</v>
      </c>
      <c r="DJK60" s="280">
        <v>0</v>
      </c>
      <c r="DJL60" s="280">
        <v>0</v>
      </c>
      <c r="DJM60" s="280">
        <v>0</v>
      </c>
      <c r="DJN60" s="280">
        <v>0</v>
      </c>
      <c r="DJO60" s="280">
        <v>0</v>
      </c>
      <c r="DJP60" s="280">
        <v>0</v>
      </c>
      <c r="DJQ60" s="280">
        <v>0</v>
      </c>
      <c r="DJR60" s="280">
        <v>0</v>
      </c>
      <c r="DJS60" s="280">
        <v>0</v>
      </c>
      <c r="DJT60" s="280">
        <v>0</v>
      </c>
      <c r="DJU60" s="280">
        <v>0</v>
      </c>
      <c r="DJV60" s="280">
        <v>0</v>
      </c>
      <c r="DJW60" s="280">
        <v>0</v>
      </c>
      <c r="DJX60" s="280">
        <v>0</v>
      </c>
      <c r="DJY60" s="280">
        <v>0</v>
      </c>
      <c r="DJZ60" s="280">
        <v>0</v>
      </c>
      <c r="DKA60" s="280">
        <v>0</v>
      </c>
      <c r="DKB60" s="280">
        <v>0</v>
      </c>
      <c r="DKC60" s="280">
        <v>0</v>
      </c>
      <c r="DKD60" s="280">
        <v>0</v>
      </c>
      <c r="DKE60" s="280">
        <v>0</v>
      </c>
      <c r="DKF60" s="280">
        <v>0</v>
      </c>
      <c r="DKG60" s="280">
        <v>0</v>
      </c>
      <c r="DKH60" s="280">
        <v>0</v>
      </c>
      <c r="DKI60" s="280">
        <v>0</v>
      </c>
      <c r="DKJ60" s="280">
        <v>0</v>
      </c>
      <c r="DKK60" s="280">
        <v>0</v>
      </c>
      <c r="DKL60" s="280">
        <v>0</v>
      </c>
      <c r="DKM60" s="280">
        <v>0</v>
      </c>
      <c r="DKN60" s="280">
        <v>0</v>
      </c>
      <c r="DKO60" s="280">
        <v>0</v>
      </c>
      <c r="DKP60" s="280">
        <v>0</v>
      </c>
      <c r="DKQ60" s="280">
        <v>0</v>
      </c>
      <c r="DKR60" s="280">
        <v>0</v>
      </c>
      <c r="DKS60" s="280">
        <v>0</v>
      </c>
      <c r="DKT60" s="280">
        <v>0</v>
      </c>
      <c r="DKU60" s="280">
        <v>0</v>
      </c>
      <c r="DKV60" s="280">
        <v>0</v>
      </c>
      <c r="DKW60" s="280">
        <v>0</v>
      </c>
      <c r="DKX60" s="280">
        <v>0</v>
      </c>
      <c r="DKY60" s="280">
        <v>0</v>
      </c>
      <c r="DKZ60" s="280">
        <v>0</v>
      </c>
      <c r="DLA60" s="280">
        <v>0</v>
      </c>
      <c r="DLB60" s="280">
        <v>0</v>
      </c>
      <c r="DLC60" s="280">
        <v>0</v>
      </c>
      <c r="DLD60" s="280">
        <v>0</v>
      </c>
      <c r="DLE60" s="280">
        <v>0</v>
      </c>
      <c r="DLF60" s="280">
        <v>0</v>
      </c>
      <c r="DLG60" s="280">
        <v>0</v>
      </c>
      <c r="DLH60" s="280">
        <v>0</v>
      </c>
      <c r="DLI60" s="280">
        <v>0</v>
      </c>
      <c r="DLJ60" s="280">
        <v>0</v>
      </c>
      <c r="DLK60" s="280">
        <v>0</v>
      </c>
      <c r="DLL60" s="280">
        <v>0</v>
      </c>
      <c r="DLM60" s="280">
        <v>0</v>
      </c>
      <c r="DLN60" s="280">
        <v>0</v>
      </c>
      <c r="DLO60" s="280">
        <v>0</v>
      </c>
      <c r="DLP60" s="280">
        <v>0</v>
      </c>
      <c r="DLQ60" s="280">
        <v>0</v>
      </c>
      <c r="DLR60" s="280">
        <v>0</v>
      </c>
      <c r="DLS60" s="280">
        <v>0</v>
      </c>
      <c r="DLT60" s="280">
        <v>0</v>
      </c>
      <c r="DLU60" s="280">
        <v>0</v>
      </c>
      <c r="DLV60" s="280">
        <v>0</v>
      </c>
      <c r="DLW60" s="280">
        <v>0</v>
      </c>
      <c r="DLX60" s="280">
        <v>0</v>
      </c>
      <c r="DLY60" s="280">
        <v>0</v>
      </c>
      <c r="DLZ60" s="280">
        <v>0</v>
      </c>
      <c r="DMA60" s="280">
        <v>0</v>
      </c>
      <c r="DMB60" s="280">
        <v>0</v>
      </c>
      <c r="DMC60" s="280">
        <v>0</v>
      </c>
      <c r="DMD60" s="280">
        <v>0</v>
      </c>
      <c r="DME60" s="280">
        <v>0</v>
      </c>
      <c r="DMF60" s="280">
        <v>0</v>
      </c>
      <c r="DMG60" s="280">
        <v>0</v>
      </c>
      <c r="DMH60" s="280">
        <v>0</v>
      </c>
      <c r="DMI60" s="280">
        <v>0</v>
      </c>
      <c r="DMJ60" s="280">
        <v>0</v>
      </c>
      <c r="DMK60" s="280">
        <v>0</v>
      </c>
      <c r="DML60" s="280">
        <v>0</v>
      </c>
      <c r="DMM60" s="280">
        <v>0</v>
      </c>
      <c r="DMN60" s="280">
        <v>0</v>
      </c>
      <c r="DMO60" s="280">
        <v>0</v>
      </c>
      <c r="DMP60" s="280">
        <v>0</v>
      </c>
      <c r="DMQ60" s="280">
        <v>0</v>
      </c>
      <c r="DMR60" s="280">
        <v>0</v>
      </c>
      <c r="DMS60" s="280">
        <v>0</v>
      </c>
      <c r="DMT60" s="280">
        <v>0</v>
      </c>
      <c r="DMU60" s="280">
        <v>0</v>
      </c>
      <c r="DMV60" s="280">
        <v>0</v>
      </c>
      <c r="DMW60" s="280">
        <v>0</v>
      </c>
      <c r="DMX60" s="280">
        <v>0</v>
      </c>
      <c r="DMY60" s="280">
        <v>0</v>
      </c>
      <c r="DMZ60" s="280">
        <v>0</v>
      </c>
      <c r="DNA60" s="280">
        <v>0</v>
      </c>
      <c r="DNB60" s="280">
        <v>0</v>
      </c>
      <c r="DNC60" s="280">
        <v>0</v>
      </c>
      <c r="DND60" s="280">
        <v>0</v>
      </c>
      <c r="DNE60" s="280">
        <v>0</v>
      </c>
      <c r="DNF60" s="280">
        <v>0</v>
      </c>
      <c r="DNG60" s="280">
        <v>0</v>
      </c>
      <c r="DNH60" s="280">
        <v>0</v>
      </c>
      <c r="DNI60" s="280">
        <v>0</v>
      </c>
      <c r="DNJ60" s="280">
        <v>0</v>
      </c>
      <c r="DNK60" s="280">
        <v>0</v>
      </c>
      <c r="DNL60" s="280">
        <v>0</v>
      </c>
      <c r="DNM60" s="280">
        <v>0</v>
      </c>
      <c r="DNN60" s="280">
        <v>0</v>
      </c>
      <c r="DNO60" s="280">
        <v>0</v>
      </c>
      <c r="DNP60" s="280">
        <v>0</v>
      </c>
      <c r="DNQ60" s="280">
        <v>0</v>
      </c>
      <c r="DNR60" s="280">
        <v>0</v>
      </c>
      <c r="DNS60" s="280">
        <v>0</v>
      </c>
      <c r="DNT60" s="280">
        <v>0</v>
      </c>
      <c r="DNU60" s="280">
        <v>0</v>
      </c>
      <c r="DNV60" s="280">
        <v>0</v>
      </c>
      <c r="DNW60" s="280">
        <v>0</v>
      </c>
      <c r="DNX60" s="280">
        <v>0</v>
      </c>
      <c r="DNY60" s="280">
        <v>0</v>
      </c>
      <c r="DNZ60" s="280">
        <v>0</v>
      </c>
      <c r="DOA60" s="280">
        <v>0</v>
      </c>
      <c r="DOB60" s="280">
        <v>0</v>
      </c>
      <c r="DOC60" s="280">
        <v>0</v>
      </c>
      <c r="DOD60" s="280">
        <v>0</v>
      </c>
      <c r="DOE60" s="280">
        <v>0</v>
      </c>
      <c r="DOF60" s="280">
        <v>0</v>
      </c>
      <c r="DOG60" s="280">
        <v>0</v>
      </c>
      <c r="DOH60" s="280">
        <v>0</v>
      </c>
      <c r="DOI60" s="280">
        <v>0</v>
      </c>
      <c r="DOJ60" s="280">
        <v>0</v>
      </c>
      <c r="DOK60" s="280">
        <v>0</v>
      </c>
      <c r="DOL60" s="280">
        <v>0</v>
      </c>
      <c r="DOM60" s="280">
        <v>0</v>
      </c>
      <c r="DON60" s="280">
        <v>0</v>
      </c>
      <c r="DOO60" s="280">
        <v>0</v>
      </c>
      <c r="DOP60" s="280">
        <v>0</v>
      </c>
      <c r="DOQ60" s="280">
        <v>0</v>
      </c>
      <c r="DOR60" s="280">
        <v>0</v>
      </c>
      <c r="DOS60" s="280">
        <v>0</v>
      </c>
      <c r="DOT60" s="280">
        <v>0</v>
      </c>
      <c r="DOU60" s="280">
        <v>0</v>
      </c>
      <c r="DOV60" s="280">
        <v>0</v>
      </c>
      <c r="DOW60" s="280">
        <v>0</v>
      </c>
      <c r="DOX60" s="280">
        <v>0</v>
      </c>
      <c r="DOY60" s="280">
        <v>0</v>
      </c>
      <c r="DOZ60" s="280">
        <v>0</v>
      </c>
      <c r="DPA60" s="280">
        <v>0</v>
      </c>
      <c r="DPB60" s="280">
        <v>0</v>
      </c>
      <c r="DPC60" s="280">
        <v>0</v>
      </c>
      <c r="DPD60" s="280">
        <v>0</v>
      </c>
      <c r="DPE60" s="280">
        <v>0</v>
      </c>
      <c r="DPF60" s="280">
        <v>0</v>
      </c>
      <c r="DPG60" s="280">
        <v>0</v>
      </c>
      <c r="DPH60" s="280">
        <v>0</v>
      </c>
      <c r="DPI60" s="280">
        <v>0</v>
      </c>
      <c r="DPJ60" s="280">
        <v>0</v>
      </c>
      <c r="DPK60" s="280">
        <v>0</v>
      </c>
      <c r="DPL60" s="280">
        <v>0</v>
      </c>
      <c r="DPM60" s="280">
        <v>0</v>
      </c>
      <c r="DPN60" s="280">
        <v>0</v>
      </c>
      <c r="DPO60" s="280">
        <v>0</v>
      </c>
      <c r="DPP60" s="280">
        <v>0</v>
      </c>
      <c r="DPQ60" s="280">
        <v>0</v>
      </c>
      <c r="DPR60" s="280">
        <v>0</v>
      </c>
      <c r="DPS60" s="280">
        <v>0</v>
      </c>
      <c r="DPT60" s="280">
        <v>0</v>
      </c>
      <c r="DPU60" s="280">
        <v>0</v>
      </c>
      <c r="DPV60" s="280">
        <v>0</v>
      </c>
      <c r="DPW60" s="280">
        <v>0</v>
      </c>
      <c r="DPX60" s="280">
        <v>0</v>
      </c>
      <c r="DPY60" s="280">
        <v>0</v>
      </c>
      <c r="DPZ60" s="280">
        <v>0</v>
      </c>
      <c r="DQA60" s="280">
        <v>0</v>
      </c>
      <c r="DQB60" s="280">
        <v>0</v>
      </c>
      <c r="DQC60" s="280">
        <v>0</v>
      </c>
      <c r="DQD60" s="280">
        <v>0</v>
      </c>
      <c r="DQE60" s="280">
        <v>0</v>
      </c>
      <c r="DQF60" s="280">
        <v>0</v>
      </c>
      <c r="DQG60" s="280">
        <v>0</v>
      </c>
      <c r="DQH60" s="280">
        <v>0</v>
      </c>
      <c r="DQI60" s="280">
        <v>0</v>
      </c>
      <c r="DQJ60" s="280">
        <v>0</v>
      </c>
      <c r="DQK60" s="280">
        <v>0</v>
      </c>
      <c r="DQL60" s="280">
        <v>0</v>
      </c>
      <c r="DQM60" s="280">
        <v>0</v>
      </c>
      <c r="DQN60" s="280">
        <v>0</v>
      </c>
      <c r="DQO60" s="280">
        <v>0</v>
      </c>
      <c r="DQP60" s="280">
        <v>0</v>
      </c>
      <c r="DQQ60" s="280">
        <v>0</v>
      </c>
      <c r="DQR60" s="280">
        <v>0</v>
      </c>
      <c r="DQS60" s="280">
        <v>0</v>
      </c>
      <c r="DQT60" s="280">
        <v>0</v>
      </c>
      <c r="DQU60" s="280">
        <v>0</v>
      </c>
      <c r="DQV60" s="280">
        <v>0</v>
      </c>
      <c r="DQW60" s="280">
        <v>0</v>
      </c>
      <c r="DQX60" s="280">
        <v>0</v>
      </c>
      <c r="DQY60" s="280">
        <v>0</v>
      </c>
      <c r="DQZ60" s="280">
        <v>0</v>
      </c>
      <c r="DRA60" s="280">
        <v>0</v>
      </c>
      <c r="DRB60" s="280">
        <v>0</v>
      </c>
      <c r="DRC60" s="280">
        <v>0</v>
      </c>
      <c r="DRD60" s="280">
        <v>0</v>
      </c>
      <c r="DRE60" s="280">
        <v>0</v>
      </c>
      <c r="DRF60" s="280">
        <v>0</v>
      </c>
      <c r="DRG60" s="280">
        <v>0</v>
      </c>
      <c r="DRH60" s="280">
        <v>0</v>
      </c>
      <c r="DRI60" s="280">
        <v>0</v>
      </c>
      <c r="DRJ60" s="280">
        <v>0</v>
      </c>
      <c r="DRK60" s="280">
        <v>0</v>
      </c>
      <c r="DRL60" s="280">
        <v>0</v>
      </c>
      <c r="DRM60" s="280">
        <v>0</v>
      </c>
      <c r="DRN60" s="280">
        <v>0</v>
      </c>
      <c r="DRO60" s="280">
        <v>0</v>
      </c>
      <c r="DRP60" s="280">
        <v>0</v>
      </c>
      <c r="DRQ60" s="280">
        <v>0</v>
      </c>
      <c r="DRR60" s="280">
        <v>0</v>
      </c>
      <c r="DRS60" s="280">
        <v>0</v>
      </c>
      <c r="DRT60" s="280">
        <v>0</v>
      </c>
      <c r="DRU60" s="280">
        <v>0</v>
      </c>
      <c r="DRV60" s="280">
        <v>0</v>
      </c>
      <c r="DRW60" s="280">
        <v>0</v>
      </c>
      <c r="DRX60" s="280">
        <v>0</v>
      </c>
      <c r="DRY60" s="280">
        <v>0</v>
      </c>
      <c r="DRZ60" s="280">
        <v>0</v>
      </c>
      <c r="DSA60" s="280">
        <v>0</v>
      </c>
      <c r="DSB60" s="280">
        <v>0</v>
      </c>
      <c r="DSC60" s="280">
        <v>0</v>
      </c>
      <c r="DSD60" s="280">
        <v>0</v>
      </c>
      <c r="DSE60" s="280">
        <v>0</v>
      </c>
      <c r="DSF60" s="280">
        <v>0</v>
      </c>
      <c r="DSG60" s="280">
        <v>0</v>
      </c>
      <c r="DSH60" s="280">
        <v>0</v>
      </c>
      <c r="DSI60" s="280">
        <v>0</v>
      </c>
      <c r="DSJ60" s="280">
        <v>0</v>
      </c>
      <c r="DSK60" s="280">
        <v>0</v>
      </c>
      <c r="DSL60" s="280">
        <v>0</v>
      </c>
      <c r="DSM60" s="280">
        <v>0</v>
      </c>
      <c r="DSN60" s="280">
        <v>0</v>
      </c>
      <c r="DSO60" s="280">
        <v>0</v>
      </c>
      <c r="DSP60" s="280">
        <v>0</v>
      </c>
      <c r="DSQ60" s="280">
        <v>0</v>
      </c>
      <c r="DSR60" s="280">
        <v>0</v>
      </c>
      <c r="DSS60" s="280">
        <v>0</v>
      </c>
      <c r="DST60" s="280">
        <v>0</v>
      </c>
      <c r="DSU60" s="280">
        <v>0</v>
      </c>
      <c r="DSV60" s="280">
        <v>0</v>
      </c>
      <c r="DSW60" s="280">
        <v>0</v>
      </c>
      <c r="DSX60" s="280">
        <v>0</v>
      </c>
      <c r="DSY60" s="280">
        <v>0</v>
      </c>
      <c r="DSZ60" s="280">
        <v>0</v>
      </c>
      <c r="DTA60" s="280">
        <v>0</v>
      </c>
      <c r="DTB60" s="280">
        <v>0</v>
      </c>
      <c r="DTC60" s="280">
        <v>0</v>
      </c>
      <c r="DTD60" s="280">
        <v>0</v>
      </c>
      <c r="DTE60" s="280">
        <v>0</v>
      </c>
      <c r="DTF60" s="280">
        <v>0</v>
      </c>
      <c r="DTG60" s="280">
        <v>0</v>
      </c>
      <c r="DTH60" s="280">
        <v>0</v>
      </c>
      <c r="DTI60" s="280">
        <v>0</v>
      </c>
      <c r="DTJ60" s="280">
        <v>0</v>
      </c>
      <c r="DTK60" s="280">
        <v>0</v>
      </c>
      <c r="DTL60" s="280">
        <v>0</v>
      </c>
      <c r="DTM60" s="280">
        <v>0</v>
      </c>
      <c r="DTN60" s="280">
        <v>0</v>
      </c>
      <c r="DTO60" s="280">
        <v>0</v>
      </c>
      <c r="DTP60" s="280">
        <v>0</v>
      </c>
      <c r="DTQ60" s="280">
        <v>0</v>
      </c>
      <c r="DTR60" s="280">
        <v>0</v>
      </c>
      <c r="DTS60" s="280">
        <v>0</v>
      </c>
      <c r="DTT60" s="280">
        <v>0</v>
      </c>
      <c r="DTU60" s="280">
        <v>0</v>
      </c>
      <c r="DTV60" s="280">
        <v>0</v>
      </c>
      <c r="DTW60" s="280">
        <v>0</v>
      </c>
      <c r="DTX60" s="280">
        <v>0</v>
      </c>
      <c r="DTY60" s="280">
        <v>0</v>
      </c>
      <c r="DTZ60" s="280">
        <v>0</v>
      </c>
      <c r="DUA60" s="280">
        <v>0</v>
      </c>
      <c r="DUB60" s="280">
        <v>0</v>
      </c>
      <c r="DUC60" s="280">
        <v>0</v>
      </c>
      <c r="DUD60" s="280">
        <v>0</v>
      </c>
      <c r="DUE60" s="280">
        <v>0</v>
      </c>
      <c r="DUF60" s="280">
        <v>0</v>
      </c>
      <c r="DUG60" s="280">
        <v>0</v>
      </c>
      <c r="DUH60" s="280">
        <v>0</v>
      </c>
      <c r="DUI60" s="280">
        <v>0</v>
      </c>
      <c r="DUJ60" s="280">
        <v>0</v>
      </c>
      <c r="DUK60" s="280">
        <v>0</v>
      </c>
      <c r="DUL60" s="280">
        <v>0</v>
      </c>
      <c r="DUM60" s="280">
        <v>0</v>
      </c>
      <c r="DUN60" s="280">
        <v>0</v>
      </c>
      <c r="DUO60" s="280">
        <v>0</v>
      </c>
      <c r="DUP60" s="280">
        <v>0</v>
      </c>
      <c r="DUQ60" s="280">
        <v>0</v>
      </c>
      <c r="DUR60" s="280">
        <v>0</v>
      </c>
      <c r="DUS60" s="280">
        <v>0</v>
      </c>
      <c r="DUT60" s="280">
        <v>0</v>
      </c>
      <c r="DUU60" s="280">
        <v>0</v>
      </c>
      <c r="DUV60" s="280">
        <v>0</v>
      </c>
      <c r="DUW60" s="280">
        <v>0</v>
      </c>
      <c r="DUX60" s="280">
        <v>0</v>
      </c>
      <c r="DUY60" s="280">
        <v>0</v>
      </c>
      <c r="DUZ60" s="280">
        <v>0</v>
      </c>
      <c r="DVA60" s="280">
        <v>0</v>
      </c>
      <c r="DVB60" s="280">
        <v>0</v>
      </c>
      <c r="DVC60" s="280">
        <v>0</v>
      </c>
      <c r="DVD60" s="280">
        <v>0</v>
      </c>
      <c r="DVE60" s="280">
        <v>0</v>
      </c>
      <c r="DVF60" s="280">
        <v>0</v>
      </c>
      <c r="DVG60" s="280">
        <v>0</v>
      </c>
      <c r="DVH60" s="280">
        <v>0</v>
      </c>
      <c r="DVI60" s="280">
        <v>0</v>
      </c>
      <c r="DVJ60" s="280">
        <v>0</v>
      </c>
      <c r="DVK60" s="280">
        <v>0</v>
      </c>
      <c r="DVL60" s="280">
        <v>0</v>
      </c>
      <c r="DVM60" s="280">
        <v>0</v>
      </c>
      <c r="DVN60" s="280">
        <v>0</v>
      </c>
      <c r="DVO60" s="280">
        <v>0</v>
      </c>
      <c r="DVP60" s="280">
        <v>0</v>
      </c>
      <c r="DVQ60" s="280">
        <v>0</v>
      </c>
      <c r="DVR60" s="280">
        <v>0</v>
      </c>
      <c r="DVS60" s="280">
        <v>0</v>
      </c>
      <c r="DVT60" s="280">
        <v>0</v>
      </c>
      <c r="DVU60" s="280">
        <v>0</v>
      </c>
      <c r="DVV60" s="280">
        <v>0</v>
      </c>
      <c r="DVW60" s="280">
        <v>0</v>
      </c>
      <c r="DVX60" s="280">
        <v>0</v>
      </c>
      <c r="DVY60" s="280">
        <v>0</v>
      </c>
      <c r="DVZ60" s="280">
        <v>0</v>
      </c>
      <c r="DWA60" s="280">
        <v>0</v>
      </c>
      <c r="DWB60" s="280">
        <v>0</v>
      </c>
      <c r="DWC60" s="280">
        <v>0</v>
      </c>
      <c r="DWD60" s="280">
        <v>0</v>
      </c>
      <c r="DWE60" s="280">
        <v>0</v>
      </c>
      <c r="DWF60" s="280">
        <v>0</v>
      </c>
      <c r="DWG60" s="280">
        <v>0</v>
      </c>
      <c r="DWH60" s="280">
        <v>0</v>
      </c>
      <c r="DWI60" s="280">
        <v>0</v>
      </c>
      <c r="DWJ60" s="280">
        <v>0</v>
      </c>
      <c r="DWK60" s="280">
        <v>0</v>
      </c>
      <c r="DWL60" s="280">
        <v>0</v>
      </c>
      <c r="DWM60" s="280">
        <v>0</v>
      </c>
      <c r="DWN60" s="280">
        <v>0</v>
      </c>
      <c r="DWO60" s="280">
        <v>0</v>
      </c>
      <c r="DWP60" s="280">
        <v>0</v>
      </c>
      <c r="DWQ60" s="280">
        <v>0</v>
      </c>
      <c r="DWR60" s="280">
        <v>0</v>
      </c>
      <c r="DWS60" s="280">
        <v>0</v>
      </c>
      <c r="DWT60" s="280">
        <v>0</v>
      </c>
      <c r="DWU60" s="280">
        <v>0</v>
      </c>
      <c r="DWV60" s="280">
        <v>0</v>
      </c>
      <c r="DWW60" s="280">
        <v>0</v>
      </c>
      <c r="DWX60" s="280">
        <v>0</v>
      </c>
      <c r="DWY60" s="280">
        <v>0</v>
      </c>
      <c r="DWZ60" s="280">
        <v>0</v>
      </c>
      <c r="DXA60" s="280">
        <v>0</v>
      </c>
      <c r="DXB60" s="280">
        <v>0</v>
      </c>
      <c r="DXC60" s="280">
        <v>0</v>
      </c>
      <c r="DXD60" s="280">
        <v>0</v>
      </c>
      <c r="DXE60" s="280">
        <v>0</v>
      </c>
      <c r="DXF60" s="280">
        <v>0</v>
      </c>
      <c r="DXG60" s="280">
        <v>0</v>
      </c>
      <c r="DXH60" s="280">
        <v>0</v>
      </c>
      <c r="DXI60" s="280">
        <v>0</v>
      </c>
      <c r="DXJ60" s="280">
        <v>0</v>
      </c>
      <c r="DXK60" s="280">
        <v>0</v>
      </c>
      <c r="DXL60" s="280">
        <v>0</v>
      </c>
      <c r="DXM60" s="280">
        <v>0</v>
      </c>
      <c r="DXN60" s="280">
        <v>0</v>
      </c>
      <c r="DXO60" s="280">
        <v>0</v>
      </c>
      <c r="DXP60" s="280">
        <v>0</v>
      </c>
      <c r="DXQ60" s="280">
        <v>0</v>
      </c>
      <c r="DXR60" s="280">
        <v>0</v>
      </c>
      <c r="DXS60" s="280">
        <v>0</v>
      </c>
      <c r="DXT60" s="280">
        <v>0</v>
      </c>
      <c r="DXU60" s="280">
        <v>0</v>
      </c>
      <c r="DXV60" s="280">
        <v>0</v>
      </c>
      <c r="DXW60" s="280">
        <v>0</v>
      </c>
      <c r="DXX60" s="280">
        <v>0</v>
      </c>
      <c r="DXY60" s="280">
        <v>0</v>
      </c>
      <c r="DXZ60" s="280">
        <v>0</v>
      </c>
      <c r="DYA60" s="280">
        <v>0</v>
      </c>
      <c r="DYB60" s="280">
        <v>0</v>
      </c>
      <c r="DYC60" s="280">
        <v>0</v>
      </c>
      <c r="DYD60" s="280">
        <v>0</v>
      </c>
      <c r="DYE60" s="280">
        <v>0</v>
      </c>
      <c r="DYF60" s="280">
        <v>0</v>
      </c>
      <c r="DYG60" s="280">
        <v>0</v>
      </c>
      <c r="DYH60" s="280">
        <v>0</v>
      </c>
      <c r="DYI60" s="280">
        <v>0</v>
      </c>
      <c r="DYJ60" s="280">
        <v>0</v>
      </c>
      <c r="DYK60" s="280">
        <v>0</v>
      </c>
      <c r="DYL60" s="280">
        <v>0</v>
      </c>
      <c r="DYM60" s="280">
        <v>0</v>
      </c>
      <c r="DYN60" s="280">
        <v>0</v>
      </c>
      <c r="DYO60" s="280">
        <v>0</v>
      </c>
      <c r="DYP60" s="280">
        <v>0</v>
      </c>
      <c r="DYQ60" s="280">
        <v>0</v>
      </c>
      <c r="DYR60" s="280">
        <v>0</v>
      </c>
      <c r="DYS60" s="280">
        <v>0</v>
      </c>
      <c r="DYT60" s="280">
        <v>0</v>
      </c>
      <c r="DYU60" s="280">
        <v>0</v>
      </c>
      <c r="DYV60" s="280">
        <v>0</v>
      </c>
      <c r="DYW60" s="280">
        <v>0</v>
      </c>
      <c r="DYX60" s="280">
        <v>0</v>
      </c>
      <c r="DYY60" s="280">
        <v>0</v>
      </c>
      <c r="DYZ60" s="280">
        <v>0</v>
      </c>
      <c r="DZA60" s="280">
        <v>0</v>
      </c>
      <c r="DZB60" s="280">
        <v>0</v>
      </c>
      <c r="DZC60" s="280">
        <v>0</v>
      </c>
      <c r="DZD60" s="280">
        <v>0</v>
      </c>
      <c r="DZE60" s="280">
        <v>0</v>
      </c>
      <c r="DZF60" s="280">
        <v>0</v>
      </c>
      <c r="DZG60" s="280">
        <v>0</v>
      </c>
      <c r="DZH60" s="280">
        <v>0</v>
      </c>
      <c r="DZI60" s="280">
        <v>0</v>
      </c>
      <c r="DZJ60" s="280">
        <v>0</v>
      </c>
      <c r="DZK60" s="280">
        <v>0</v>
      </c>
      <c r="DZL60" s="280">
        <v>0</v>
      </c>
      <c r="DZM60" s="280">
        <v>0</v>
      </c>
      <c r="DZN60" s="280">
        <v>0</v>
      </c>
      <c r="DZO60" s="280">
        <v>0</v>
      </c>
      <c r="DZP60" s="280">
        <v>0</v>
      </c>
      <c r="DZQ60" s="280">
        <v>0</v>
      </c>
      <c r="DZR60" s="280">
        <v>0</v>
      </c>
      <c r="DZS60" s="280">
        <v>0</v>
      </c>
      <c r="DZT60" s="280">
        <v>0</v>
      </c>
      <c r="DZU60" s="280">
        <v>0</v>
      </c>
      <c r="DZV60" s="280">
        <v>0</v>
      </c>
      <c r="DZW60" s="280">
        <v>0</v>
      </c>
      <c r="DZX60" s="280">
        <v>0</v>
      </c>
      <c r="DZY60" s="280">
        <v>0</v>
      </c>
      <c r="DZZ60" s="280">
        <v>0</v>
      </c>
      <c r="EAA60" s="280">
        <v>0</v>
      </c>
      <c r="EAB60" s="280">
        <v>0</v>
      </c>
      <c r="EAC60" s="280">
        <v>0</v>
      </c>
      <c r="EAD60" s="280">
        <v>0</v>
      </c>
      <c r="EAE60" s="280">
        <v>0</v>
      </c>
      <c r="EAF60" s="280">
        <v>0</v>
      </c>
      <c r="EAG60" s="280">
        <v>0</v>
      </c>
      <c r="EAH60" s="280">
        <v>0</v>
      </c>
      <c r="EAI60" s="280">
        <v>0</v>
      </c>
      <c r="EAJ60" s="280">
        <v>0</v>
      </c>
      <c r="EAK60" s="280">
        <v>0</v>
      </c>
      <c r="EAL60" s="280">
        <v>0</v>
      </c>
      <c r="EAM60" s="280">
        <v>0</v>
      </c>
      <c r="EAN60" s="280">
        <v>0</v>
      </c>
      <c r="EAO60" s="280">
        <v>0</v>
      </c>
      <c r="EAP60" s="280">
        <v>0</v>
      </c>
      <c r="EAQ60" s="280">
        <v>0</v>
      </c>
      <c r="EAR60" s="280">
        <v>0</v>
      </c>
      <c r="EAS60" s="280">
        <v>0</v>
      </c>
      <c r="EAT60" s="280">
        <v>0</v>
      </c>
      <c r="EAU60" s="280">
        <v>0</v>
      </c>
      <c r="EAV60" s="280">
        <v>0</v>
      </c>
      <c r="EAW60" s="280">
        <v>0</v>
      </c>
      <c r="EAX60" s="280">
        <v>0</v>
      </c>
      <c r="EAY60" s="280">
        <v>0</v>
      </c>
      <c r="EAZ60" s="280">
        <v>0</v>
      </c>
      <c r="EBA60" s="280">
        <v>0</v>
      </c>
      <c r="EBB60" s="280">
        <v>0</v>
      </c>
      <c r="EBC60" s="280">
        <v>0</v>
      </c>
      <c r="EBD60" s="280">
        <v>0</v>
      </c>
      <c r="EBE60" s="280">
        <v>0</v>
      </c>
      <c r="EBF60" s="280">
        <v>0</v>
      </c>
      <c r="EBG60" s="280">
        <v>0</v>
      </c>
      <c r="EBH60" s="280">
        <v>0</v>
      </c>
      <c r="EBI60" s="280">
        <v>0</v>
      </c>
      <c r="EBJ60" s="280">
        <v>0</v>
      </c>
      <c r="EBK60" s="280">
        <v>0</v>
      </c>
      <c r="EBL60" s="280">
        <v>0</v>
      </c>
      <c r="EBM60" s="280">
        <v>0</v>
      </c>
      <c r="EBN60" s="280">
        <v>0</v>
      </c>
      <c r="EBO60" s="280">
        <v>0</v>
      </c>
      <c r="EBP60" s="280">
        <v>0</v>
      </c>
      <c r="EBQ60" s="280">
        <v>0</v>
      </c>
      <c r="EBR60" s="280">
        <v>0</v>
      </c>
      <c r="EBS60" s="280">
        <v>0</v>
      </c>
      <c r="EBT60" s="280">
        <v>0</v>
      </c>
      <c r="EBU60" s="280">
        <v>0</v>
      </c>
      <c r="EBV60" s="280">
        <v>0</v>
      </c>
      <c r="EBW60" s="280">
        <v>0</v>
      </c>
      <c r="EBX60" s="280">
        <v>0</v>
      </c>
      <c r="EBY60" s="280">
        <v>0</v>
      </c>
      <c r="EBZ60" s="280">
        <v>0</v>
      </c>
      <c r="ECA60" s="280">
        <v>0</v>
      </c>
      <c r="ECB60" s="280">
        <v>0</v>
      </c>
      <c r="ECC60" s="280">
        <v>0</v>
      </c>
      <c r="ECD60" s="280">
        <v>0</v>
      </c>
      <c r="ECE60" s="280">
        <v>0</v>
      </c>
      <c r="ECF60" s="280">
        <v>0</v>
      </c>
      <c r="ECG60" s="280">
        <v>0</v>
      </c>
      <c r="ECH60" s="280">
        <v>0</v>
      </c>
      <c r="ECI60" s="280">
        <v>0</v>
      </c>
      <c r="ECJ60" s="280">
        <v>0</v>
      </c>
      <c r="ECK60" s="280">
        <v>0</v>
      </c>
      <c r="ECL60" s="280">
        <v>0</v>
      </c>
      <c r="ECM60" s="280">
        <v>0</v>
      </c>
      <c r="ECN60" s="280">
        <v>0</v>
      </c>
      <c r="ECO60" s="280">
        <v>0</v>
      </c>
      <c r="ECP60" s="280">
        <v>0</v>
      </c>
      <c r="ECQ60" s="280">
        <v>0</v>
      </c>
      <c r="ECR60" s="280">
        <v>0</v>
      </c>
      <c r="ECS60" s="280">
        <v>0</v>
      </c>
      <c r="ECT60" s="280">
        <v>0</v>
      </c>
      <c r="ECU60" s="280">
        <v>0</v>
      </c>
      <c r="ECV60" s="280">
        <v>0</v>
      </c>
      <c r="ECW60" s="280">
        <v>0</v>
      </c>
      <c r="ECX60" s="280">
        <v>0</v>
      </c>
      <c r="ECY60" s="280">
        <v>0</v>
      </c>
      <c r="ECZ60" s="280">
        <v>0</v>
      </c>
      <c r="EDA60" s="280">
        <v>0</v>
      </c>
      <c r="EDB60" s="280">
        <v>0</v>
      </c>
      <c r="EDC60" s="280">
        <v>0</v>
      </c>
      <c r="EDD60" s="280">
        <v>0</v>
      </c>
      <c r="EDE60" s="280">
        <v>0</v>
      </c>
      <c r="EDF60" s="280">
        <v>0</v>
      </c>
      <c r="EDG60" s="280">
        <v>0</v>
      </c>
      <c r="EDH60" s="280">
        <v>0</v>
      </c>
      <c r="EDI60" s="280">
        <v>0</v>
      </c>
      <c r="EDJ60" s="280">
        <v>0</v>
      </c>
      <c r="EDK60" s="280">
        <v>0</v>
      </c>
      <c r="EDL60" s="280">
        <v>0</v>
      </c>
      <c r="EDM60" s="280">
        <v>0</v>
      </c>
      <c r="EDN60" s="280">
        <v>0</v>
      </c>
      <c r="EDO60" s="280">
        <v>0</v>
      </c>
      <c r="EDP60" s="280">
        <v>0</v>
      </c>
      <c r="EDQ60" s="280">
        <v>0</v>
      </c>
      <c r="EDR60" s="280">
        <v>0</v>
      </c>
      <c r="EDS60" s="280">
        <v>0</v>
      </c>
      <c r="EDT60" s="280">
        <v>0</v>
      </c>
      <c r="EDU60" s="280">
        <v>0</v>
      </c>
      <c r="EDV60" s="280">
        <v>0</v>
      </c>
      <c r="EDW60" s="280">
        <v>0</v>
      </c>
      <c r="EDX60" s="280">
        <v>0</v>
      </c>
      <c r="EDY60" s="280">
        <v>0</v>
      </c>
      <c r="EDZ60" s="280">
        <v>0</v>
      </c>
      <c r="EEA60" s="280">
        <v>0</v>
      </c>
      <c r="EEB60" s="280">
        <v>0</v>
      </c>
      <c r="EEC60" s="280">
        <v>0</v>
      </c>
      <c r="EED60" s="280">
        <v>0</v>
      </c>
      <c r="EEE60" s="280">
        <v>0</v>
      </c>
      <c r="EEF60" s="280">
        <v>0</v>
      </c>
      <c r="EEG60" s="280">
        <v>0</v>
      </c>
      <c r="EEH60" s="280">
        <v>0</v>
      </c>
      <c r="EEI60" s="280">
        <v>0</v>
      </c>
      <c r="EEJ60" s="280">
        <v>0</v>
      </c>
      <c r="EEK60" s="280">
        <v>0</v>
      </c>
      <c r="EEL60" s="280">
        <v>0</v>
      </c>
      <c r="EEM60" s="280">
        <v>0</v>
      </c>
      <c r="EEN60" s="280">
        <v>0</v>
      </c>
      <c r="EEO60" s="280">
        <v>0</v>
      </c>
      <c r="EEP60" s="280">
        <v>0</v>
      </c>
      <c r="EEQ60" s="280">
        <v>0</v>
      </c>
      <c r="EER60" s="280">
        <v>0</v>
      </c>
      <c r="EES60" s="280">
        <v>0</v>
      </c>
      <c r="EET60" s="280">
        <v>0</v>
      </c>
      <c r="EEU60" s="280">
        <v>0</v>
      </c>
      <c r="EEV60" s="280">
        <v>0</v>
      </c>
      <c r="EEW60" s="280">
        <v>0</v>
      </c>
      <c r="EEX60" s="280">
        <v>0</v>
      </c>
      <c r="EEY60" s="280">
        <v>0</v>
      </c>
      <c r="EEZ60" s="280">
        <v>0</v>
      </c>
      <c r="EFA60" s="280">
        <v>0</v>
      </c>
      <c r="EFB60" s="280">
        <v>0</v>
      </c>
      <c r="EFC60" s="280">
        <v>0</v>
      </c>
      <c r="EFD60" s="280">
        <v>0</v>
      </c>
      <c r="EFE60" s="280">
        <v>0</v>
      </c>
      <c r="EFF60" s="280">
        <v>0</v>
      </c>
      <c r="EFG60" s="280">
        <v>0</v>
      </c>
      <c r="EFH60" s="280">
        <v>0</v>
      </c>
      <c r="EFI60" s="280">
        <v>0</v>
      </c>
      <c r="EFJ60" s="280">
        <v>0</v>
      </c>
      <c r="EFK60" s="280">
        <v>0</v>
      </c>
      <c r="EFL60" s="280">
        <v>0</v>
      </c>
      <c r="EFM60" s="280">
        <v>0</v>
      </c>
      <c r="EFN60" s="280">
        <v>0</v>
      </c>
      <c r="EFO60" s="280">
        <v>0</v>
      </c>
      <c r="EFP60" s="280">
        <v>0</v>
      </c>
      <c r="EFQ60" s="280">
        <v>0</v>
      </c>
      <c r="EFR60" s="280">
        <v>0</v>
      </c>
      <c r="EFS60" s="280">
        <v>0</v>
      </c>
      <c r="EFT60" s="280">
        <v>0</v>
      </c>
      <c r="EFU60" s="280">
        <v>0</v>
      </c>
      <c r="EFV60" s="280">
        <v>0</v>
      </c>
      <c r="EFW60" s="280">
        <v>0</v>
      </c>
      <c r="EFX60" s="280">
        <v>0</v>
      </c>
      <c r="EFY60" s="280">
        <v>0</v>
      </c>
      <c r="EFZ60" s="280">
        <v>0</v>
      </c>
      <c r="EGA60" s="280">
        <v>0</v>
      </c>
      <c r="EGB60" s="280">
        <v>0</v>
      </c>
      <c r="EGC60" s="280">
        <v>0</v>
      </c>
      <c r="EGD60" s="280">
        <v>0</v>
      </c>
      <c r="EGE60" s="280">
        <v>0</v>
      </c>
      <c r="EGF60" s="280">
        <v>0</v>
      </c>
      <c r="EGG60" s="280">
        <v>0</v>
      </c>
      <c r="EGH60" s="280">
        <v>0</v>
      </c>
      <c r="EGI60" s="280">
        <v>0</v>
      </c>
      <c r="EGJ60" s="280">
        <v>0</v>
      </c>
      <c r="EGK60" s="280">
        <v>0</v>
      </c>
      <c r="EGL60" s="280">
        <v>0</v>
      </c>
      <c r="EGM60" s="280">
        <v>0</v>
      </c>
      <c r="EGN60" s="280">
        <v>0</v>
      </c>
      <c r="EGO60" s="280">
        <v>0</v>
      </c>
      <c r="EGP60" s="280">
        <v>0</v>
      </c>
      <c r="EGQ60" s="280">
        <v>0</v>
      </c>
      <c r="EGR60" s="280">
        <v>0</v>
      </c>
      <c r="EGS60" s="280">
        <v>0</v>
      </c>
      <c r="EGT60" s="280">
        <v>0</v>
      </c>
      <c r="EGU60" s="280">
        <v>0</v>
      </c>
      <c r="EGV60" s="280">
        <v>0</v>
      </c>
      <c r="EGW60" s="280">
        <v>0</v>
      </c>
      <c r="EGX60" s="280">
        <v>0</v>
      </c>
      <c r="EGY60" s="280">
        <v>0</v>
      </c>
      <c r="EGZ60" s="280">
        <v>0</v>
      </c>
      <c r="EHA60" s="280">
        <v>0</v>
      </c>
      <c r="EHB60" s="280">
        <v>0</v>
      </c>
      <c r="EHC60" s="280">
        <v>0</v>
      </c>
      <c r="EHD60" s="280">
        <v>0</v>
      </c>
      <c r="EHE60" s="280">
        <v>0</v>
      </c>
      <c r="EHF60" s="280">
        <v>0</v>
      </c>
      <c r="EHG60" s="280">
        <v>0</v>
      </c>
      <c r="EHH60" s="280">
        <v>0</v>
      </c>
      <c r="EHI60" s="280">
        <v>0</v>
      </c>
      <c r="EHJ60" s="280">
        <v>0</v>
      </c>
      <c r="EHK60" s="280">
        <v>0</v>
      </c>
      <c r="EHL60" s="280">
        <v>0</v>
      </c>
      <c r="EHM60" s="280">
        <v>0</v>
      </c>
      <c r="EHN60" s="280">
        <v>0</v>
      </c>
      <c r="EHO60" s="280">
        <v>0</v>
      </c>
      <c r="EHP60" s="280">
        <v>0</v>
      </c>
      <c r="EHQ60" s="280">
        <v>0</v>
      </c>
      <c r="EHR60" s="280">
        <v>0</v>
      </c>
      <c r="EHS60" s="280">
        <v>0</v>
      </c>
      <c r="EHT60" s="280">
        <v>0</v>
      </c>
      <c r="EHU60" s="280">
        <v>0</v>
      </c>
      <c r="EHV60" s="280">
        <v>0</v>
      </c>
      <c r="EHW60" s="280">
        <v>0</v>
      </c>
      <c r="EHX60" s="280">
        <v>0</v>
      </c>
      <c r="EHY60" s="280">
        <v>0</v>
      </c>
      <c r="EHZ60" s="280">
        <v>0</v>
      </c>
      <c r="EIA60" s="280">
        <v>0</v>
      </c>
      <c r="EIB60" s="280">
        <v>0</v>
      </c>
      <c r="EIC60" s="280">
        <v>0</v>
      </c>
      <c r="EID60" s="280">
        <v>0</v>
      </c>
      <c r="EIE60" s="280">
        <v>0</v>
      </c>
      <c r="EIF60" s="280">
        <v>0</v>
      </c>
      <c r="EIG60" s="280">
        <v>0</v>
      </c>
      <c r="EIH60" s="280">
        <v>0</v>
      </c>
      <c r="EII60" s="280">
        <v>0</v>
      </c>
      <c r="EIJ60" s="280">
        <v>0</v>
      </c>
      <c r="EIK60" s="280">
        <v>0</v>
      </c>
      <c r="EIL60" s="280">
        <v>0</v>
      </c>
      <c r="EIM60" s="280">
        <v>0</v>
      </c>
      <c r="EIN60" s="280">
        <v>0</v>
      </c>
      <c r="EIO60" s="280">
        <v>0</v>
      </c>
      <c r="EIP60" s="280">
        <v>0</v>
      </c>
      <c r="EIQ60" s="280">
        <v>0</v>
      </c>
      <c r="EIR60" s="280">
        <v>0</v>
      </c>
      <c r="EIS60" s="280">
        <v>0</v>
      </c>
      <c r="EIT60" s="280">
        <v>0</v>
      </c>
      <c r="EIU60" s="280">
        <v>0</v>
      </c>
      <c r="EIV60" s="280">
        <v>0</v>
      </c>
      <c r="EIW60" s="280">
        <v>0</v>
      </c>
      <c r="EIX60" s="280">
        <v>0</v>
      </c>
      <c r="EIY60" s="280">
        <v>0</v>
      </c>
      <c r="EIZ60" s="280">
        <v>0</v>
      </c>
      <c r="EJA60" s="280">
        <v>0</v>
      </c>
      <c r="EJB60" s="280">
        <v>0</v>
      </c>
      <c r="EJC60" s="280">
        <v>0</v>
      </c>
      <c r="EJD60" s="280">
        <v>0</v>
      </c>
      <c r="EJE60" s="280">
        <v>0</v>
      </c>
      <c r="EJF60" s="280">
        <v>0</v>
      </c>
      <c r="EJG60" s="280">
        <v>0</v>
      </c>
      <c r="EJH60" s="280">
        <v>0</v>
      </c>
      <c r="EJI60" s="280">
        <v>0</v>
      </c>
      <c r="EJJ60" s="280">
        <v>0</v>
      </c>
      <c r="EJK60" s="280">
        <v>0</v>
      </c>
      <c r="EJL60" s="280">
        <v>0</v>
      </c>
      <c r="EJM60" s="280">
        <v>0</v>
      </c>
      <c r="EJN60" s="280">
        <v>0</v>
      </c>
      <c r="EJO60" s="280">
        <v>0</v>
      </c>
      <c r="EJP60" s="280">
        <v>0</v>
      </c>
      <c r="EJQ60" s="280">
        <v>0</v>
      </c>
      <c r="EJR60" s="280">
        <v>0</v>
      </c>
      <c r="EJS60" s="280">
        <v>0</v>
      </c>
      <c r="EJT60" s="280">
        <v>0</v>
      </c>
      <c r="EJU60" s="280">
        <v>0</v>
      </c>
      <c r="EJV60" s="280">
        <v>0</v>
      </c>
      <c r="EJW60" s="280">
        <v>0</v>
      </c>
      <c r="EJX60" s="280">
        <v>0</v>
      </c>
      <c r="EJY60" s="280">
        <v>0</v>
      </c>
      <c r="EJZ60" s="280">
        <v>0</v>
      </c>
      <c r="EKA60" s="280">
        <v>0</v>
      </c>
      <c r="EKB60" s="280">
        <v>0</v>
      </c>
      <c r="EKC60" s="280">
        <v>0</v>
      </c>
      <c r="EKD60" s="280">
        <v>0</v>
      </c>
      <c r="EKE60" s="280">
        <v>0</v>
      </c>
      <c r="EKF60" s="280">
        <v>0</v>
      </c>
      <c r="EKG60" s="280">
        <v>0</v>
      </c>
      <c r="EKH60" s="280">
        <v>0</v>
      </c>
      <c r="EKI60" s="280">
        <v>0</v>
      </c>
      <c r="EKJ60" s="280">
        <v>0</v>
      </c>
      <c r="EKK60" s="280">
        <v>0</v>
      </c>
      <c r="EKL60" s="280">
        <v>0</v>
      </c>
      <c r="EKM60" s="280">
        <v>0</v>
      </c>
      <c r="EKN60" s="280">
        <v>0</v>
      </c>
      <c r="EKO60" s="280">
        <v>0</v>
      </c>
      <c r="EKP60" s="280">
        <v>0</v>
      </c>
      <c r="EKQ60" s="280">
        <v>0</v>
      </c>
      <c r="EKR60" s="280">
        <v>0</v>
      </c>
      <c r="EKS60" s="280">
        <v>0</v>
      </c>
      <c r="EKT60" s="280">
        <v>0</v>
      </c>
      <c r="EKU60" s="280">
        <v>0</v>
      </c>
      <c r="EKV60" s="280">
        <v>0</v>
      </c>
      <c r="EKW60" s="280">
        <v>0</v>
      </c>
      <c r="EKX60" s="280">
        <v>0</v>
      </c>
      <c r="EKY60" s="280">
        <v>0</v>
      </c>
      <c r="EKZ60" s="280">
        <v>0</v>
      </c>
      <c r="ELA60" s="280">
        <v>0</v>
      </c>
      <c r="ELB60" s="280">
        <v>0</v>
      </c>
      <c r="ELC60" s="280">
        <v>0</v>
      </c>
      <c r="ELD60" s="280">
        <v>0</v>
      </c>
      <c r="ELE60" s="280">
        <v>0</v>
      </c>
      <c r="ELF60" s="280">
        <v>0</v>
      </c>
      <c r="ELG60" s="280">
        <v>0</v>
      </c>
      <c r="ELH60" s="280">
        <v>0</v>
      </c>
      <c r="ELI60" s="280">
        <v>0</v>
      </c>
      <c r="ELJ60" s="280">
        <v>0</v>
      </c>
      <c r="ELK60" s="280">
        <v>0</v>
      </c>
      <c r="ELL60" s="280">
        <v>0</v>
      </c>
      <c r="ELM60" s="280">
        <v>0</v>
      </c>
      <c r="ELN60" s="280">
        <v>0</v>
      </c>
      <c r="ELO60" s="280">
        <v>0</v>
      </c>
      <c r="ELP60" s="280">
        <v>0</v>
      </c>
      <c r="ELQ60" s="280">
        <v>0</v>
      </c>
      <c r="ELR60" s="280">
        <v>0</v>
      </c>
      <c r="ELS60" s="280">
        <v>0</v>
      </c>
      <c r="ELT60" s="280">
        <v>0</v>
      </c>
      <c r="ELU60" s="280">
        <v>0</v>
      </c>
      <c r="ELV60" s="280">
        <v>0</v>
      </c>
      <c r="ELW60" s="280">
        <v>0</v>
      </c>
      <c r="ELX60" s="280">
        <v>0</v>
      </c>
      <c r="ELY60" s="280">
        <v>0</v>
      </c>
      <c r="ELZ60" s="280">
        <v>0</v>
      </c>
      <c r="EMA60" s="280">
        <v>0</v>
      </c>
      <c r="EMB60" s="280">
        <v>0</v>
      </c>
      <c r="EMC60" s="280">
        <v>0</v>
      </c>
      <c r="EMD60" s="280">
        <v>0</v>
      </c>
      <c r="EME60" s="280">
        <v>0</v>
      </c>
      <c r="EMF60" s="280">
        <v>0</v>
      </c>
      <c r="EMG60" s="280">
        <v>0</v>
      </c>
      <c r="EMH60" s="280">
        <v>0</v>
      </c>
      <c r="EMI60" s="280">
        <v>0</v>
      </c>
      <c r="EMJ60" s="280">
        <v>0</v>
      </c>
      <c r="EMK60" s="280">
        <v>0</v>
      </c>
      <c r="EML60" s="280">
        <v>0</v>
      </c>
      <c r="EMM60" s="280">
        <v>0</v>
      </c>
      <c r="EMN60" s="280">
        <v>0</v>
      </c>
      <c r="EMO60" s="280">
        <v>0</v>
      </c>
      <c r="EMP60" s="280">
        <v>0</v>
      </c>
      <c r="EMQ60" s="280">
        <v>0</v>
      </c>
      <c r="EMR60" s="280">
        <v>0</v>
      </c>
      <c r="EMS60" s="280">
        <v>0</v>
      </c>
      <c r="EMT60" s="280">
        <v>0</v>
      </c>
      <c r="EMU60" s="280">
        <v>0</v>
      </c>
      <c r="EMV60" s="280">
        <v>0</v>
      </c>
      <c r="EMW60" s="280">
        <v>0</v>
      </c>
      <c r="EMX60" s="280">
        <v>0</v>
      </c>
      <c r="EMY60" s="280">
        <v>0</v>
      </c>
      <c r="EMZ60" s="280">
        <v>0</v>
      </c>
      <c r="ENA60" s="280">
        <v>0</v>
      </c>
      <c r="ENB60" s="280">
        <v>0</v>
      </c>
      <c r="ENC60" s="280">
        <v>0</v>
      </c>
      <c r="END60" s="280">
        <v>0</v>
      </c>
      <c r="ENE60" s="280">
        <v>0</v>
      </c>
      <c r="ENF60" s="280">
        <v>0</v>
      </c>
      <c r="ENG60" s="280">
        <v>0</v>
      </c>
      <c r="ENH60" s="280">
        <v>0</v>
      </c>
      <c r="ENI60" s="280">
        <v>0</v>
      </c>
      <c r="ENJ60" s="280">
        <v>0</v>
      </c>
      <c r="ENK60" s="280">
        <v>0</v>
      </c>
      <c r="ENL60" s="280">
        <v>0</v>
      </c>
      <c r="ENM60" s="280">
        <v>0</v>
      </c>
      <c r="ENN60" s="280">
        <v>0</v>
      </c>
      <c r="ENO60" s="280">
        <v>0</v>
      </c>
      <c r="ENP60" s="280">
        <v>0</v>
      </c>
      <c r="ENQ60" s="280">
        <v>0</v>
      </c>
      <c r="ENR60" s="280">
        <v>0</v>
      </c>
      <c r="ENS60" s="280">
        <v>0</v>
      </c>
      <c r="ENT60" s="280">
        <v>0</v>
      </c>
      <c r="ENU60" s="280">
        <v>0</v>
      </c>
      <c r="ENV60" s="280">
        <v>0</v>
      </c>
      <c r="ENW60" s="280">
        <v>0</v>
      </c>
      <c r="ENX60" s="280">
        <v>0</v>
      </c>
      <c r="ENY60" s="280">
        <v>0</v>
      </c>
      <c r="ENZ60" s="280">
        <v>0</v>
      </c>
      <c r="EOA60" s="280">
        <v>0</v>
      </c>
      <c r="EOB60" s="280">
        <v>0</v>
      </c>
      <c r="EOC60" s="280">
        <v>0</v>
      </c>
      <c r="EOD60" s="280">
        <v>0</v>
      </c>
      <c r="EOE60" s="280">
        <v>0</v>
      </c>
      <c r="EOF60" s="280">
        <v>0</v>
      </c>
      <c r="EOG60" s="280">
        <v>0</v>
      </c>
      <c r="EOH60" s="280">
        <v>0</v>
      </c>
      <c r="EOI60" s="280">
        <v>0</v>
      </c>
      <c r="EOJ60" s="280">
        <v>0</v>
      </c>
      <c r="EOK60" s="280">
        <v>0</v>
      </c>
      <c r="EOL60" s="280">
        <v>0</v>
      </c>
      <c r="EOM60" s="280">
        <v>0</v>
      </c>
      <c r="EON60" s="280">
        <v>0</v>
      </c>
      <c r="EOO60" s="280">
        <v>0</v>
      </c>
      <c r="EOP60" s="280">
        <v>0</v>
      </c>
      <c r="EOQ60" s="280">
        <v>0</v>
      </c>
      <c r="EOR60" s="280">
        <v>0</v>
      </c>
      <c r="EOS60" s="280">
        <v>0</v>
      </c>
      <c r="EOT60" s="280">
        <v>0</v>
      </c>
      <c r="EOU60" s="280">
        <v>0</v>
      </c>
      <c r="EOV60" s="280">
        <v>0</v>
      </c>
      <c r="EOW60" s="280">
        <v>0</v>
      </c>
      <c r="EOX60" s="280">
        <v>0</v>
      </c>
      <c r="EOY60" s="280">
        <v>0</v>
      </c>
      <c r="EOZ60" s="280">
        <v>0</v>
      </c>
      <c r="EPA60" s="280">
        <v>0</v>
      </c>
      <c r="EPB60" s="280">
        <v>0</v>
      </c>
      <c r="EPC60" s="280">
        <v>0</v>
      </c>
      <c r="EPD60" s="280">
        <v>0</v>
      </c>
      <c r="EPE60" s="280">
        <v>0</v>
      </c>
      <c r="EPF60" s="280">
        <v>0</v>
      </c>
      <c r="EPG60" s="280">
        <v>0</v>
      </c>
      <c r="EPH60" s="280">
        <v>0</v>
      </c>
      <c r="EPI60" s="280">
        <v>0</v>
      </c>
      <c r="EPJ60" s="280">
        <v>0</v>
      </c>
      <c r="EPK60" s="280">
        <v>0</v>
      </c>
      <c r="EPL60" s="280">
        <v>0</v>
      </c>
      <c r="EPM60" s="280">
        <v>0</v>
      </c>
      <c r="EPN60" s="280">
        <v>0</v>
      </c>
      <c r="EPO60" s="280">
        <v>0</v>
      </c>
      <c r="EPP60" s="280">
        <v>0</v>
      </c>
      <c r="EPQ60" s="280">
        <v>0</v>
      </c>
      <c r="EPR60" s="280">
        <v>0</v>
      </c>
      <c r="EPS60" s="280">
        <v>0</v>
      </c>
      <c r="EPT60" s="280">
        <v>0</v>
      </c>
      <c r="EPU60" s="280">
        <v>0</v>
      </c>
      <c r="EPV60" s="280">
        <v>0</v>
      </c>
      <c r="EPW60" s="280">
        <v>0</v>
      </c>
      <c r="EPX60" s="280">
        <v>0</v>
      </c>
      <c r="EPY60" s="280">
        <v>0</v>
      </c>
      <c r="EPZ60" s="280">
        <v>0</v>
      </c>
      <c r="EQA60" s="280">
        <v>0</v>
      </c>
      <c r="EQB60" s="280">
        <v>0</v>
      </c>
      <c r="EQC60" s="280">
        <v>0</v>
      </c>
      <c r="EQD60" s="280">
        <v>0</v>
      </c>
      <c r="EQE60" s="280">
        <v>0</v>
      </c>
      <c r="EQF60" s="280">
        <v>0</v>
      </c>
      <c r="EQG60" s="280">
        <v>0</v>
      </c>
      <c r="EQH60" s="280">
        <v>0</v>
      </c>
      <c r="EQI60" s="280">
        <v>0</v>
      </c>
      <c r="EQJ60" s="280">
        <v>0</v>
      </c>
      <c r="EQK60" s="280">
        <v>0</v>
      </c>
      <c r="EQL60" s="280">
        <v>0</v>
      </c>
      <c r="EQM60" s="280">
        <v>0</v>
      </c>
      <c r="EQN60" s="280">
        <v>0</v>
      </c>
      <c r="EQO60" s="280">
        <v>0</v>
      </c>
      <c r="EQP60" s="280">
        <v>0</v>
      </c>
      <c r="EQQ60" s="280">
        <v>0</v>
      </c>
      <c r="EQR60" s="280">
        <v>0</v>
      </c>
      <c r="EQS60" s="280">
        <v>0</v>
      </c>
      <c r="EQT60" s="280">
        <v>0</v>
      </c>
      <c r="EQU60" s="280">
        <v>0</v>
      </c>
      <c r="EQV60" s="280">
        <v>0</v>
      </c>
      <c r="EQW60" s="280">
        <v>0</v>
      </c>
      <c r="EQX60" s="280">
        <v>0</v>
      </c>
      <c r="EQY60" s="280">
        <v>0</v>
      </c>
      <c r="EQZ60" s="280">
        <v>0</v>
      </c>
      <c r="ERA60" s="280">
        <v>0</v>
      </c>
      <c r="ERB60" s="280">
        <v>0</v>
      </c>
      <c r="ERC60" s="280">
        <v>0</v>
      </c>
      <c r="ERD60" s="280">
        <v>0</v>
      </c>
      <c r="ERE60" s="280">
        <v>0</v>
      </c>
      <c r="ERF60" s="280">
        <v>0</v>
      </c>
      <c r="ERG60" s="280">
        <v>0</v>
      </c>
      <c r="ERH60" s="280">
        <v>0</v>
      </c>
      <c r="ERI60" s="280">
        <v>0</v>
      </c>
      <c r="ERJ60" s="280">
        <v>0</v>
      </c>
      <c r="ERK60" s="280">
        <v>0</v>
      </c>
      <c r="ERL60" s="280">
        <v>0</v>
      </c>
      <c r="ERM60" s="280">
        <v>0</v>
      </c>
      <c r="ERN60" s="280">
        <v>0</v>
      </c>
      <c r="ERO60" s="280">
        <v>0</v>
      </c>
      <c r="ERP60" s="280">
        <v>0</v>
      </c>
      <c r="ERQ60" s="280">
        <v>0</v>
      </c>
      <c r="ERR60" s="280">
        <v>0</v>
      </c>
      <c r="ERS60" s="280">
        <v>0</v>
      </c>
      <c r="ERT60" s="280">
        <v>0</v>
      </c>
      <c r="ERU60" s="280">
        <v>0</v>
      </c>
      <c r="ERV60" s="280">
        <v>0</v>
      </c>
      <c r="ERW60" s="280">
        <v>0</v>
      </c>
      <c r="ERX60" s="280">
        <v>0</v>
      </c>
      <c r="ERY60" s="280">
        <v>0</v>
      </c>
      <c r="ERZ60" s="280">
        <v>0</v>
      </c>
      <c r="ESA60" s="280">
        <v>0</v>
      </c>
      <c r="ESB60" s="280">
        <v>0</v>
      </c>
      <c r="ESC60" s="280">
        <v>0</v>
      </c>
      <c r="ESD60" s="280">
        <v>0</v>
      </c>
      <c r="ESE60" s="280">
        <v>0</v>
      </c>
      <c r="ESF60" s="280">
        <v>0</v>
      </c>
      <c r="ESG60" s="280">
        <v>0</v>
      </c>
      <c r="ESH60" s="280">
        <v>0</v>
      </c>
      <c r="ESI60" s="280">
        <v>0</v>
      </c>
      <c r="ESJ60" s="280">
        <v>0</v>
      </c>
      <c r="ESK60" s="280">
        <v>0</v>
      </c>
      <c r="ESL60" s="280">
        <v>0</v>
      </c>
      <c r="ESM60" s="280">
        <v>0</v>
      </c>
      <c r="ESN60" s="280">
        <v>0</v>
      </c>
      <c r="ESO60" s="280">
        <v>0</v>
      </c>
      <c r="ESP60" s="280">
        <v>0</v>
      </c>
      <c r="ESQ60" s="280">
        <v>0</v>
      </c>
      <c r="ESR60" s="280">
        <v>0</v>
      </c>
      <c r="ESS60" s="280">
        <v>0</v>
      </c>
      <c r="EST60" s="280">
        <v>0</v>
      </c>
      <c r="ESU60" s="280">
        <v>0</v>
      </c>
      <c r="ESV60" s="280">
        <v>0</v>
      </c>
      <c r="ESW60" s="280">
        <v>0</v>
      </c>
      <c r="ESX60" s="280">
        <v>0</v>
      </c>
      <c r="ESY60" s="280">
        <v>0</v>
      </c>
      <c r="ESZ60" s="280">
        <v>0</v>
      </c>
      <c r="ETA60" s="280">
        <v>0</v>
      </c>
      <c r="ETB60" s="280">
        <v>0</v>
      </c>
      <c r="ETC60" s="280">
        <v>0</v>
      </c>
      <c r="ETD60" s="280">
        <v>0</v>
      </c>
      <c r="ETE60" s="280">
        <v>0</v>
      </c>
      <c r="ETF60" s="280">
        <v>0</v>
      </c>
      <c r="ETG60" s="280">
        <v>0</v>
      </c>
      <c r="ETH60" s="280">
        <v>0</v>
      </c>
      <c r="ETI60" s="280">
        <v>0</v>
      </c>
      <c r="ETJ60" s="280">
        <v>0</v>
      </c>
      <c r="ETK60" s="280">
        <v>0</v>
      </c>
      <c r="ETL60" s="280">
        <v>0</v>
      </c>
      <c r="ETM60" s="280">
        <v>0</v>
      </c>
      <c r="ETN60" s="280">
        <v>0</v>
      </c>
      <c r="ETO60" s="280">
        <v>0</v>
      </c>
      <c r="ETP60" s="280">
        <v>0</v>
      </c>
      <c r="ETQ60" s="280">
        <v>0</v>
      </c>
      <c r="ETR60" s="280">
        <v>0</v>
      </c>
      <c r="ETS60" s="280">
        <v>0</v>
      </c>
      <c r="ETT60" s="280">
        <v>0</v>
      </c>
      <c r="ETU60" s="280">
        <v>0</v>
      </c>
      <c r="ETV60" s="280">
        <v>0</v>
      </c>
      <c r="ETW60" s="280">
        <v>0</v>
      </c>
      <c r="ETX60" s="280">
        <v>0</v>
      </c>
      <c r="ETY60" s="280">
        <v>0</v>
      </c>
      <c r="ETZ60" s="280">
        <v>0</v>
      </c>
      <c r="EUA60" s="280">
        <v>0</v>
      </c>
      <c r="EUB60" s="280">
        <v>0</v>
      </c>
      <c r="EUC60" s="280">
        <v>0</v>
      </c>
      <c r="EUD60" s="280">
        <v>0</v>
      </c>
      <c r="EUE60" s="280">
        <v>0</v>
      </c>
      <c r="EUF60" s="280">
        <v>0</v>
      </c>
      <c r="EUG60" s="280">
        <v>0</v>
      </c>
      <c r="EUH60" s="280">
        <v>0</v>
      </c>
      <c r="EUI60" s="280">
        <v>0</v>
      </c>
      <c r="EUJ60" s="280">
        <v>0</v>
      </c>
      <c r="EUK60" s="280">
        <v>0</v>
      </c>
      <c r="EUL60" s="280">
        <v>0</v>
      </c>
      <c r="EUM60" s="280">
        <v>0</v>
      </c>
      <c r="EUN60" s="280">
        <v>0</v>
      </c>
      <c r="EUO60" s="280">
        <v>0</v>
      </c>
      <c r="EUP60" s="280">
        <v>0</v>
      </c>
      <c r="EUQ60" s="280">
        <v>0</v>
      </c>
      <c r="EUR60" s="280">
        <v>0</v>
      </c>
      <c r="EUS60" s="280">
        <v>0</v>
      </c>
      <c r="EUT60" s="280">
        <v>0</v>
      </c>
      <c r="EUU60" s="280">
        <v>0</v>
      </c>
      <c r="EUV60" s="280">
        <v>0</v>
      </c>
      <c r="EUW60" s="280">
        <v>0</v>
      </c>
      <c r="EUX60" s="280">
        <v>0</v>
      </c>
      <c r="EUY60" s="280">
        <v>0</v>
      </c>
      <c r="EUZ60" s="280">
        <v>0</v>
      </c>
      <c r="EVA60" s="280">
        <v>0</v>
      </c>
      <c r="EVB60" s="280">
        <v>0</v>
      </c>
      <c r="EVC60" s="280">
        <v>0</v>
      </c>
      <c r="EVD60" s="280">
        <v>0</v>
      </c>
      <c r="EVE60" s="280">
        <v>0</v>
      </c>
      <c r="EVF60" s="280">
        <v>0</v>
      </c>
      <c r="EVG60" s="280">
        <v>0</v>
      </c>
      <c r="EVH60" s="280">
        <v>0</v>
      </c>
      <c r="EVI60" s="280">
        <v>0</v>
      </c>
      <c r="EVJ60" s="280">
        <v>0</v>
      </c>
      <c r="EVK60" s="280">
        <v>0</v>
      </c>
      <c r="EVL60" s="280">
        <v>0</v>
      </c>
      <c r="EVM60" s="280">
        <v>0</v>
      </c>
      <c r="EVN60" s="280">
        <v>0</v>
      </c>
      <c r="EVO60" s="280">
        <v>0</v>
      </c>
      <c r="EVP60" s="280">
        <v>0</v>
      </c>
      <c r="EVQ60" s="280">
        <v>0</v>
      </c>
      <c r="EVR60" s="280">
        <v>0</v>
      </c>
      <c r="EVS60" s="280">
        <v>0</v>
      </c>
      <c r="EVT60" s="280">
        <v>0</v>
      </c>
      <c r="EVU60" s="280">
        <v>0</v>
      </c>
      <c r="EVV60" s="280">
        <v>0</v>
      </c>
      <c r="EVW60" s="280">
        <v>0</v>
      </c>
      <c r="EVX60" s="280">
        <v>0</v>
      </c>
      <c r="EVY60" s="280">
        <v>0</v>
      </c>
      <c r="EVZ60" s="280">
        <v>0</v>
      </c>
      <c r="EWA60" s="280">
        <v>0</v>
      </c>
      <c r="EWB60" s="280">
        <v>0</v>
      </c>
      <c r="EWC60" s="280">
        <v>0</v>
      </c>
      <c r="EWD60" s="280">
        <v>0</v>
      </c>
      <c r="EWE60" s="280">
        <v>0</v>
      </c>
      <c r="EWF60" s="280">
        <v>0</v>
      </c>
      <c r="EWG60" s="280">
        <v>0</v>
      </c>
      <c r="EWH60" s="280">
        <v>0</v>
      </c>
      <c r="EWI60" s="280">
        <v>0</v>
      </c>
      <c r="EWJ60" s="280">
        <v>0</v>
      </c>
      <c r="EWK60" s="280">
        <v>0</v>
      </c>
      <c r="EWL60" s="280">
        <v>0</v>
      </c>
      <c r="EWM60" s="280">
        <v>0</v>
      </c>
      <c r="EWN60" s="280">
        <v>0</v>
      </c>
      <c r="EWO60" s="280">
        <v>0</v>
      </c>
      <c r="EWP60" s="280">
        <v>0</v>
      </c>
      <c r="EWQ60" s="280">
        <v>0</v>
      </c>
      <c r="EWR60" s="280">
        <v>0</v>
      </c>
      <c r="EWS60" s="280">
        <v>0</v>
      </c>
      <c r="EWT60" s="280">
        <v>0</v>
      </c>
      <c r="EWU60" s="280">
        <v>0</v>
      </c>
      <c r="EWV60" s="280">
        <v>0</v>
      </c>
      <c r="EWW60" s="280">
        <v>0</v>
      </c>
      <c r="EWX60" s="280">
        <v>0</v>
      </c>
      <c r="EWY60" s="280">
        <v>0</v>
      </c>
      <c r="EWZ60" s="280">
        <v>0</v>
      </c>
      <c r="EXA60" s="280">
        <v>0</v>
      </c>
      <c r="EXB60" s="280">
        <v>0</v>
      </c>
      <c r="EXC60" s="280">
        <v>0</v>
      </c>
      <c r="EXD60" s="280">
        <v>0</v>
      </c>
      <c r="EXE60" s="280">
        <v>0</v>
      </c>
      <c r="EXF60" s="280">
        <v>0</v>
      </c>
      <c r="EXG60" s="280">
        <v>0</v>
      </c>
      <c r="EXH60" s="280">
        <v>0</v>
      </c>
      <c r="EXI60" s="280">
        <v>0</v>
      </c>
      <c r="EXJ60" s="280">
        <v>0</v>
      </c>
      <c r="EXK60" s="280">
        <v>0</v>
      </c>
      <c r="EXL60" s="280">
        <v>0</v>
      </c>
      <c r="EXM60" s="280">
        <v>0</v>
      </c>
      <c r="EXN60" s="280">
        <v>0</v>
      </c>
      <c r="EXO60" s="280">
        <v>0</v>
      </c>
      <c r="EXP60" s="280">
        <v>0</v>
      </c>
      <c r="EXQ60" s="280">
        <v>0</v>
      </c>
      <c r="EXR60" s="280">
        <v>0</v>
      </c>
      <c r="EXS60" s="280">
        <v>0</v>
      </c>
      <c r="EXT60" s="280">
        <v>0</v>
      </c>
      <c r="EXU60" s="280">
        <v>0</v>
      </c>
      <c r="EXV60" s="280">
        <v>0</v>
      </c>
      <c r="EXW60" s="280">
        <v>0</v>
      </c>
      <c r="EXX60" s="280">
        <v>0</v>
      </c>
      <c r="EXY60" s="280">
        <v>0</v>
      </c>
      <c r="EXZ60" s="280">
        <v>0</v>
      </c>
      <c r="EYA60" s="280">
        <v>0</v>
      </c>
      <c r="EYB60" s="280">
        <v>0</v>
      </c>
      <c r="EYC60" s="280">
        <v>0</v>
      </c>
      <c r="EYD60" s="280">
        <v>0</v>
      </c>
      <c r="EYE60" s="280">
        <v>0</v>
      </c>
      <c r="EYF60" s="280">
        <v>0</v>
      </c>
      <c r="EYG60" s="280">
        <v>0</v>
      </c>
      <c r="EYH60" s="280">
        <v>0</v>
      </c>
      <c r="EYI60" s="280">
        <v>0</v>
      </c>
      <c r="EYJ60" s="280">
        <v>0</v>
      </c>
      <c r="EYK60" s="280">
        <v>0</v>
      </c>
      <c r="EYL60" s="280">
        <v>0</v>
      </c>
      <c r="EYM60" s="280">
        <v>0</v>
      </c>
      <c r="EYN60" s="280">
        <v>0</v>
      </c>
      <c r="EYO60" s="280">
        <v>0</v>
      </c>
      <c r="EYP60" s="280">
        <v>0</v>
      </c>
      <c r="EYQ60" s="280">
        <v>0</v>
      </c>
      <c r="EYR60" s="280">
        <v>0</v>
      </c>
      <c r="EYS60" s="280">
        <v>0</v>
      </c>
      <c r="EYT60" s="280">
        <v>0</v>
      </c>
      <c r="EYU60" s="280">
        <v>0</v>
      </c>
      <c r="EYV60" s="280">
        <v>0</v>
      </c>
      <c r="EYW60" s="280">
        <v>0</v>
      </c>
      <c r="EYX60" s="280">
        <v>0</v>
      </c>
      <c r="EYY60" s="280">
        <v>0</v>
      </c>
      <c r="EYZ60" s="280">
        <v>0</v>
      </c>
      <c r="EZA60" s="280">
        <v>0</v>
      </c>
      <c r="EZB60" s="280">
        <v>0</v>
      </c>
      <c r="EZC60" s="280">
        <v>0</v>
      </c>
      <c r="EZD60" s="280">
        <v>0</v>
      </c>
      <c r="EZE60" s="280">
        <v>0</v>
      </c>
      <c r="EZF60" s="280">
        <v>0</v>
      </c>
      <c r="EZG60" s="280">
        <v>0</v>
      </c>
      <c r="EZH60" s="280">
        <v>0</v>
      </c>
      <c r="EZI60" s="280">
        <v>0</v>
      </c>
      <c r="EZJ60" s="280">
        <v>0</v>
      </c>
      <c r="EZK60" s="280">
        <v>0</v>
      </c>
      <c r="EZL60" s="280">
        <v>0</v>
      </c>
      <c r="EZM60" s="280">
        <v>0</v>
      </c>
      <c r="EZN60" s="280">
        <v>0</v>
      </c>
      <c r="EZO60" s="280">
        <v>0</v>
      </c>
      <c r="EZP60" s="280">
        <v>0</v>
      </c>
      <c r="EZQ60" s="280">
        <v>0</v>
      </c>
      <c r="EZR60" s="280">
        <v>0</v>
      </c>
      <c r="EZS60" s="280">
        <v>0</v>
      </c>
      <c r="EZT60" s="280">
        <v>0</v>
      </c>
      <c r="EZU60" s="280">
        <v>0</v>
      </c>
      <c r="EZV60" s="280">
        <v>0</v>
      </c>
      <c r="EZW60" s="280">
        <v>0</v>
      </c>
      <c r="EZX60" s="280">
        <v>0</v>
      </c>
      <c r="EZY60" s="280">
        <v>0</v>
      </c>
      <c r="EZZ60" s="280">
        <v>0</v>
      </c>
      <c r="FAA60" s="280">
        <v>0</v>
      </c>
      <c r="FAB60" s="280">
        <v>0</v>
      </c>
      <c r="FAC60" s="280">
        <v>0</v>
      </c>
      <c r="FAD60" s="280">
        <v>0</v>
      </c>
      <c r="FAE60" s="280">
        <v>0</v>
      </c>
      <c r="FAF60" s="280">
        <v>0</v>
      </c>
      <c r="FAG60" s="280">
        <v>0</v>
      </c>
      <c r="FAH60" s="280">
        <v>0</v>
      </c>
      <c r="FAI60" s="280">
        <v>0</v>
      </c>
      <c r="FAJ60" s="280">
        <v>0</v>
      </c>
      <c r="FAK60" s="280">
        <v>0</v>
      </c>
      <c r="FAL60" s="280">
        <v>0</v>
      </c>
      <c r="FAM60" s="280">
        <v>0</v>
      </c>
      <c r="FAN60" s="280">
        <v>0</v>
      </c>
      <c r="FAO60" s="280">
        <v>0</v>
      </c>
      <c r="FAP60" s="280">
        <v>0</v>
      </c>
      <c r="FAQ60" s="280">
        <v>0</v>
      </c>
      <c r="FAR60" s="280">
        <v>0</v>
      </c>
      <c r="FAS60" s="280">
        <v>0</v>
      </c>
      <c r="FAT60" s="280">
        <v>0</v>
      </c>
      <c r="FAU60" s="280">
        <v>0</v>
      </c>
      <c r="FAV60" s="280">
        <v>0</v>
      </c>
      <c r="FAW60" s="280">
        <v>0</v>
      </c>
      <c r="FAX60" s="280">
        <v>0</v>
      </c>
      <c r="FAY60" s="280">
        <v>0</v>
      </c>
      <c r="FAZ60" s="280">
        <v>0</v>
      </c>
      <c r="FBA60" s="280">
        <v>0</v>
      </c>
      <c r="FBB60" s="280">
        <v>0</v>
      </c>
      <c r="FBC60" s="280">
        <v>0</v>
      </c>
      <c r="FBD60" s="280">
        <v>0</v>
      </c>
      <c r="FBE60" s="280">
        <v>0</v>
      </c>
      <c r="FBF60" s="280">
        <v>0</v>
      </c>
      <c r="FBG60" s="280">
        <v>0</v>
      </c>
      <c r="FBH60" s="280">
        <v>0</v>
      </c>
      <c r="FBI60" s="280">
        <v>0</v>
      </c>
      <c r="FBJ60" s="280">
        <v>0</v>
      </c>
      <c r="FBK60" s="280">
        <v>0</v>
      </c>
      <c r="FBL60" s="280">
        <v>0</v>
      </c>
      <c r="FBM60" s="280">
        <v>0</v>
      </c>
      <c r="FBN60" s="280">
        <v>0</v>
      </c>
      <c r="FBO60" s="280">
        <v>0</v>
      </c>
      <c r="FBP60" s="280">
        <v>0</v>
      </c>
      <c r="FBQ60" s="280">
        <v>0</v>
      </c>
      <c r="FBR60" s="280">
        <v>0</v>
      </c>
      <c r="FBS60" s="280">
        <v>0</v>
      </c>
      <c r="FBT60" s="280">
        <v>0</v>
      </c>
      <c r="FBU60" s="280">
        <v>0</v>
      </c>
      <c r="FBV60" s="280">
        <v>0</v>
      </c>
      <c r="FBW60" s="280">
        <v>0</v>
      </c>
      <c r="FBX60" s="280">
        <v>0</v>
      </c>
      <c r="FBY60" s="280">
        <v>0</v>
      </c>
      <c r="FBZ60" s="280">
        <v>0</v>
      </c>
      <c r="FCA60" s="280">
        <v>0</v>
      </c>
      <c r="FCB60" s="280">
        <v>0</v>
      </c>
      <c r="FCC60" s="280">
        <v>0</v>
      </c>
      <c r="FCD60" s="280">
        <v>0</v>
      </c>
      <c r="FCE60" s="280">
        <v>0</v>
      </c>
      <c r="FCF60" s="280">
        <v>0</v>
      </c>
      <c r="FCG60" s="280">
        <v>0</v>
      </c>
      <c r="FCH60" s="280">
        <v>0</v>
      </c>
      <c r="FCI60" s="280">
        <v>0</v>
      </c>
      <c r="FCJ60" s="280">
        <v>0</v>
      </c>
      <c r="FCK60" s="280">
        <v>0</v>
      </c>
      <c r="FCL60" s="280">
        <v>0</v>
      </c>
      <c r="FCM60" s="280">
        <v>0</v>
      </c>
      <c r="FCN60" s="280">
        <v>0</v>
      </c>
      <c r="FCO60" s="280">
        <v>0</v>
      </c>
      <c r="FCP60" s="280">
        <v>0</v>
      </c>
      <c r="FCQ60" s="280">
        <v>0</v>
      </c>
      <c r="FCR60" s="280">
        <v>0</v>
      </c>
      <c r="FCS60" s="280">
        <v>0</v>
      </c>
      <c r="FCT60" s="280">
        <v>0</v>
      </c>
      <c r="FCU60" s="280">
        <v>0</v>
      </c>
      <c r="FCV60" s="280">
        <v>0</v>
      </c>
      <c r="FCW60" s="280">
        <v>0</v>
      </c>
      <c r="FCX60" s="280">
        <v>0</v>
      </c>
      <c r="FCY60" s="280">
        <v>0</v>
      </c>
      <c r="FCZ60" s="280">
        <v>0</v>
      </c>
      <c r="FDA60" s="280">
        <v>0</v>
      </c>
      <c r="FDB60" s="280">
        <v>0</v>
      </c>
      <c r="FDC60" s="280">
        <v>0</v>
      </c>
      <c r="FDD60" s="280">
        <v>0</v>
      </c>
      <c r="FDE60" s="280">
        <v>0</v>
      </c>
      <c r="FDF60" s="280">
        <v>0</v>
      </c>
      <c r="FDG60" s="280">
        <v>0</v>
      </c>
      <c r="FDH60" s="280">
        <v>0</v>
      </c>
      <c r="FDI60" s="280">
        <v>0</v>
      </c>
      <c r="FDJ60" s="280">
        <v>0</v>
      </c>
      <c r="FDK60" s="280">
        <v>0</v>
      </c>
      <c r="FDL60" s="280">
        <v>0</v>
      </c>
      <c r="FDM60" s="280">
        <v>0</v>
      </c>
      <c r="FDN60" s="280">
        <v>0</v>
      </c>
      <c r="FDO60" s="280">
        <v>0</v>
      </c>
      <c r="FDP60" s="280">
        <v>0</v>
      </c>
      <c r="FDQ60" s="280">
        <v>0</v>
      </c>
      <c r="FDR60" s="280">
        <v>0</v>
      </c>
      <c r="FDS60" s="280">
        <v>0</v>
      </c>
      <c r="FDT60" s="280">
        <v>0</v>
      </c>
      <c r="FDU60" s="280">
        <v>0</v>
      </c>
      <c r="FDV60" s="280">
        <v>0</v>
      </c>
      <c r="FDW60" s="280">
        <v>0</v>
      </c>
      <c r="FDX60" s="280">
        <v>0</v>
      </c>
      <c r="FDY60" s="280">
        <v>0</v>
      </c>
      <c r="FDZ60" s="280">
        <v>0</v>
      </c>
      <c r="FEA60" s="280">
        <v>0</v>
      </c>
      <c r="FEB60" s="280">
        <v>0</v>
      </c>
      <c r="FEC60" s="280">
        <v>0</v>
      </c>
      <c r="FED60" s="280">
        <v>0</v>
      </c>
      <c r="FEE60" s="280">
        <v>0</v>
      </c>
      <c r="FEF60" s="280">
        <v>0</v>
      </c>
      <c r="FEG60" s="280">
        <v>0</v>
      </c>
      <c r="FEH60" s="280">
        <v>0</v>
      </c>
      <c r="FEI60" s="280">
        <v>0</v>
      </c>
      <c r="FEJ60" s="280">
        <v>0</v>
      </c>
      <c r="FEK60" s="280">
        <v>0</v>
      </c>
      <c r="FEL60" s="280">
        <v>0</v>
      </c>
      <c r="FEM60" s="280">
        <v>0</v>
      </c>
      <c r="FEN60" s="280">
        <v>0</v>
      </c>
      <c r="FEO60" s="280">
        <v>0</v>
      </c>
      <c r="FEP60" s="280">
        <v>0</v>
      </c>
      <c r="FEQ60" s="280">
        <v>0</v>
      </c>
      <c r="FER60" s="280">
        <v>0</v>
      </c>
      <c r="FES60" s="280">
        <v>0</v>
      </c>
      <c r="FET60" s="280">
        <v>0</v>
      </c>
      <c r="FEU60" s="280">
        <v>0</v>
      </c>
      <c r="FEV60" s="280">
        <v>0</v>
      </c>
      <c r="FEW60" s="280">
        <v>0</v>
      </c>
      <c r="FEX60" s="280">
        <v>0</v>
      </c>
      <c r="FEY60" s="280">
        <v>0</v>
      </c>
      <c r="FEZ60" s="280">
        <v>0</v>
      </c>
      <c r="FFA60" s="280">
        <v>0</v>
      </c>
      <c r="FFB60" s="280">
        <v>0</v>
      </c>
      <c r="FFC60" s="280">
        <v>0</v>
      </c>
      <c r="FFD60" s="280">
        <v>0</v>
      </c>
      <c r="FFE60" s="280">
        <v>0</v>
      </c>
      <c r="FFF60" s="280">
        <v>0</v>
      </c>
      <c r="FFG60" s="280">
        <v>0</v>
      </c>
      <c r="FFH60" s="280">
        <v>0</v>
      </c>
      <c r="FFI60" s="280">
        <v>0</v>
      </c>
      <c r="FFJ60" s="280">
        <v>0</v>
      </c>
      <c r="FFK60" s="280">
        <v>0</v>
      </c>
      <c r="FFL60" s="280">
        <v>0</v>
      </c>
      <c r="FFM60" s="280">
        <v>0</v>
      </c>
      <c r="FFN60" s="280">
        <v>0</v>
      </c>
      <c r="FFO60" s="280">
        <v>0</v>
      </c>
      <c r="FFP60" s="280">
        <v>0</v>
      </c>
      <c r="FFQ60" s="280">
        <v>0</v>
      </c>
      <c r="FFR60" s="280">
        <v>0</v>
      </c>
      <c r="FFS60" s="280">
        <v>0</v>
      </c>
      <c r="FFT60" s="280">
        <v>0</v>
      </c>
      <c r="FFU60" s="280">
        <v>0</v>
      </c>
      <c r="FFV60" s="280">
        <v>0</v>
      </c>
      <c r="FFW60" s="280">
        <v>0</v>
      </c>
      <c r="FFX60" s="280">
        <v>0</v>
      </c>
      <c r="FFY60" s="280">
        <v>0</v>
      </c>
      <c r="FFZ60" s="280">
        <v>0</v>
      </c>
      <c r="FGA60" s="280">
        <v>0</v>
      </c>
      <c r="FGB60" s="280">
        <v>0</v>
      </c>
      <c r="FGC60" s="280">
        <v>0</v>
      </c>
      <c r="FGD60" s="280">
        <v>0</v>
      </c>
      <c r="FGE60" s="280">
        <v>0</v>
      </c>
      <c r="FGF60" s="280">
        <v>0</v>
      </c>
      <c r="FGG60" s="280">
        <v>0</v>
      </c>
      <c r="FGH60" s="280">
        <v>0</v>
      </c>
      <c r="FGI60" s="280">
        <v>0</v>
      </c>
      <c r="FGJ60" s="280">
        <v>0</v>
      </c>
      <c r="FGK60" s="280">
        <v>0</v>
      </c>
      <c r="FGL60" s="280">
        <v>0</v>
      </c>
      <c r="FGM60" s="280">
        <v>0</v>
      </c>
      <c r="FGN60" s="280">
        <v>0</v>
      </c>
      <c r="FGO60" s="280">
        <v>0</v>
      </c>
      <c r="FGP60" s="280">
        <v>0</v>
      </c>
      <c r="FGQ60" s="280">
        <v>0</v>
      </c>
      <c r="FGR60" s="280">
        <v>0</v>
      </c>
      <c r="FGS60" s="280">
        <v>0</v>
      </c>
      <c r="FGT60" s="280">
        <v>0</v>
      </c>
      <c r="FGU60" s="280">
        <v>0</v>
      </c>
      <c r="FGV60" s="280">
        <v>0</v>
      </c>
      <c r="FGW60" s="280">
        <v>0</v>
      </c>
      <c r="FGX60" s="280">
        <v>0</v>
      </c>
      <c r="FGY60" s="280">
        <v>0</v>
      </c>
      <c r="FGZ60" s="280">
        <v>0</v>
      </c>
      <c r="FHA60" s="280">
        <v>0</v>
      </c>
      <c r="FHB60" s="280">
        <v>0</v>
      </c>
      <c r="FHC60" s="280">
        <v>0</v>
      </c>
      <c r="FHD60" s="280">
        <v>0</v>
      </c>
      <c r="FHE60" s="280">
        <v>0</v>
      </c>
      <c r="FHF60" s="280">
        <v>0</v>
      </c>
      <c r="FHG60" s="280">
        <v>0</v>
      </c>
      <c r="FHH60" s="280">
        <v>0</v>
      </c>
      <c r="FHI60" s="280">
        <v>0</v>
      </c>
      <c r="FHJ60" s="280">
        <v>0</v>
      </c>
      <c r="FHK60" s="280">
        <v>0</v>
      </c>
      <c r="FHL60" s="280">
        <v>0</v>
      </c>
      <c r="FHM60" s="280">
        <v>0</v>
      </c>
      <c r="FHN60" s="280">
        <v>0</v>
      </c>
      <c r="FHO60" s="280">
        <v>0</v>
      </c>
      <c r="FHP60" s="280">
        <v>0</v>
      </c>
      <c r="FHQ60" s="280">
        <v>0</v>
      </c>
      <c r="FHR60" s="280">
        <v>0</v>
      </c>
      <c r="FHS60" s="280">
        <v>0</v>
      </c>
      <c r="FHT60" s="280">
        <v>0</v>
      </c>
      <c r="FHU60" s="280">
        <v>0</v>
      </c>
      <c r="FHV60" s="280">
        <v>0</v>
      </c>
      <c r="FHW60" s="280">
        <v>0</v>
      </c>
      <c r="FHX60" s="280">
        <v>0</v>
      </c>
      <c r="FHY60" s="280">
        <v>0</v>
      </c>
      <c r="FHZ60" s="280">
        <v>0</v>
      </c>
      <c r="FIA60" s="280">
        <v>0</v>
      </c>
      <c r="FIB60" s="280">
        <v>0</v>
      </c>
      <c r="FIC60" s="280">
        <v>0</v>
      </c>
      <c r="FID60" s="280">
        <v>0</v>
      </c>
      <c r="FIE60" s="280">
        <v>0</v>
      </c>
      <c r="FIF60" s="280">
        <v>0</v>
      </c>
      <c r="FIG60" s="280">
        <v>0</v>
      </c>
      <c r="FIH60" s="280">
        <v>0</v>
      </c>
      <c r="FII60" s="280">
        <v>0</v>
      </c>
      <c r="FIJ60" s="280">
        <v>0</v>
      </c>
      <c r="FIK60" s="280">
        <v>0</v>
      </c>
      <c r="FIL60" s="280">
        <v>0</v>
      </c>
      <c r="FIM60" s="280">
        <v>0</v>
      </c>
      <c r="FIN60" s="280">
        <v>0</v>
      </c>
      <c r="FIO60" s="280">
        <v>0</v>
      </c>
      <c r="FIP60" s="280">
        <v>0</v>
      </c>
      <c r="FIQ60" s="280">
        <v>0</v>
      </c>
      <c r="FIR60" s="280">
        <v>0</v>
      </c>
      <c r="FIS60" s="280">
        <v>0</v>
      </c>
      <c r="FIT60" s="280">
        <v>0</v>
      </c>
      <c r="FIU60" s="280">
        <v>0</v>
      </c>
      <c r="FIV60" s="280">
        <v>0</v>
      </c>
      <c r="FIW60" s="280">
        <v>0</v>
      </c>
      <c r="FIX60" s="280">
        <v>0</v>
      </c>
      <c r="FIY60" s="280">
        <v>0</v>
      </c>
      <c r="FIZ60" s="280">
        <v>0</v>
      </c>
      <c r="FJA60" s="280">
        <v>0</v>
      </c>
      <c r="FJB60" s="280">
        <v>0</v>
      </c>
      <c r="FJC60" s="280">
        <v>0</v>
      </c>
      <c r="FJD60" s="280">
        <v>0</v>
      </c>
      <c r="FJE60" s="280">
        <v>0</v>
      </c>
      <c r="FJF60" s="280">
        <v>0</v>
      </c>
      <c r="FJG60" s="280">
        <v>0</v>
      </c>
      <c r="FJH60" s="280">
        <v>0</v>
      </c>
      <c r="FJI60" s="280">
        <v>0</v>
      </c>
      <c r="FJJ60" s="280">
        <v>0</v>
      </c>
      <c r="FJK60" s="280">
        <v>0</v>
      </c>
      <c r="FJL60" s="280">
        <v>0</v>
      </c>
      <c r="FJM60" s="280">
        <v>0</v>
      </c>
      <c r="FJN60" s="280">
        <v>0</v>
      </c>
      <c r="FJO60" s="280">
        <v>0</v>
      </c>
      <c r="FJP60" s="280">
        <v>0</v>
      </c>
      <c r="FJQ60" s="280">
        <v>0</v>
      </c>
      <c r="FJR60" s="280">
        <v>0</v>
      </c>
      <c r="FJS60" s="280">
        <v>0</v>
      </c>
      <c r="FJT60" s="280">
        <v>0</v>
      </c>
      <c r="FJU60" s="280">
        <v>0</v>
      </c>
      <c r="FJV60" s="280">
        <v>0</v>
      </c>
      <c r="FJW60" s="280">
        <v>0</v>
      </c>
      <c r="FJX60" s="280">
        <v>0</v>
      </c>
      <c r="FJY60" s="280">
        <v>0</v>
      </c>
      <c r="FJZ60" s="280">
        <v>0</v>
      </c>
      <c r="FKA60" s="280">
        <v>0</v>
      </c>
      <c r="FKB60" s="280">
        <v>0</v>
      </c>
      <c r="FKC60" s="280">
        <v>0</v>
      </c>
      <c r="FKD60" s="280">
        <v>0</v>
      </c>
      <c r="FKE60" s="280">
        <v>0</v>
      </c>
      <c r="FKF60" s="280">
        <v>0</v>
      </c>
      <c r="FKG60" s="280">
        <v>0</v>
      </c>
      <c r="FKH60" s="280">
        <v>0</v>
      </c>
      <c r="FKI60" s="280">
        <v>0</v>
      </c>
      <c r="FKJ60" s="280">
        <v>0</v>
      </c>
      <c r="FKK60" s="280">
        <v>0</v>
      </c>
      <c r="FKL60" s="280">
        <v>0</v>
      </c>
      <c r="FKM60" s="280">
        <v>0</v>
      </c>
      <c r="FKN60" s="280">
        <v>0</v>
      </c>
      <c r="FKO60" s="280">
        <v>0</v>
      </c>
      <c r="FKP60" s="280">
        <v>0</v>
      </c>
      <c r="FKQ60" s="280">
        <v>0</v>
      </c>
      <c r="FKR60" s="280">
        <v>0</v>
      </c>
      <c r="FKS60" s="280">
        <v>0</v>
      </c>
      <c r="FKT60" s="280">
        <v>0</v>
      </c>
      <c r="FKU60" s="280">
        <v>0</v>
      </c>
      <c r="FKV60" s="280">
        <v>0</v>
      </c>
      <c r="FKW60" s="280">
        <v>0</v>
      </c>
      <c r="FKX60" s="280">
        <v>0</v>
      </c>
      <c r="FKY60" s="280">
        <v>0</v>
      </c>
      <c r="FKZ60" s="280">
        <v>0</v>
      </c>
      <c r="FLA60" s="280">
        <v>0</v>
      </c>
      <c r="FLB60" s="280">
        <v>0</v>
      </c>
      <c r="FLC60" s="280">
        <v>0</v>
      </c>
      <c r="FLD60" s="280">
        <v>0</v>
      </c>
      <c r="FLE60" s="280">
        <v>0</v>
      </c>
      <c r="FLF60" s="280">
        <v>0</v>
      </c>
      <c r="FLG60" s="280">
        <v>0</v>
      </c>
      <c r="FLH60" s="280">
        <v>0</v>
      </c>
      <c r="FLI60" s="280">
        <v>0</v>
      </c>
      <c r="FLJ60" s="280">
        <v>0</v>
      </c>
      <c r="FLK60" s="280">
        <v>0</v>
      </c>
      <c r="FLL60" s="280">
        <v>0</v>
      </c>
      <c r="FLM60" s="280">
        <v>0</v>
      </c>
      <c r="FLN60" s="280">
        <v>0</v>
      </c>
      <c r="FLO60" s="280">
        <v>0</v>
      </c>
      <c r="FLP60" s="280">
        <v>0</v>
      </c>
      <c r="FLQ60" s="280">
        <v>0</v>
      </c>
      <c r="FLR60" s="280">
        <v>0</v>
      </c>
      <c r="FLS60" s="280">
        <v>0</v>
      </c>
      <c r="FLT60" s="280">
        <v>0</v>
      </c>
      <c r="FLU60" s="280">
        <v>0</v>
      </c>
      <c r="FLV60" s="280">
        <v>0</v>
      </c>
      <c r="FLW60" s="280">
        <v>0</v>
      </c>
      <c r="FLX60" s="280">
        <v>0</v>
      </c>
      <c r="FLY60" s="280">
        <v>0</v>
      </c>
      <c r="FLZ60" s="280">
        <v>0</v>
      </c>
      <c r="FMA60" s="280">
        <v>0</v>
      </c>
      <c r="FMB60" s="280">
        <v>0</v>
      </c>
      <c r="FMC60" s="280">
        <v>0</v>
      </c>
      <c r="FMD60" s="280">
        <v>0</v>
      </c>
      <c r="FME60" s="280">
        <v>0</v>
      </c>
      <c r="FMF60" s="280">
        <v>0</v>
      </c>
      <c r="FMG60" s="280">
        <v>0</v>
      </c>
      <c r="FMH60" s="280">
        <v>0</v>
      </c>
      <c r="FMI60" s="280">
        <v>0</v>
      </c>
      <c r="FMJ60" s="280">
        <v>0</v>
      </c>
      <c r="FMK60" s="280">
        <v>0</v>
      </c>
      <c r="FML60" s="280">
        <v>0</v>
      </c>
      <c r="FMM60" s="280">
        <v>0</v>
      </c>
      <c r="FMN60" s="280">
        <v>0</v>
      </c>
      <c r="FMO60" s="280">
        <v>0</v>
      </c>
      <c r="FMP60" s="280">
        <v>0</v>
      </c>
      <c r="FMQ60" s="280">
        <v>0</v>
      </c>
      <c r="FMR60" s="280">
        <v>0</v>
      </c>
      <c r="FMS60" s="280">
        <v>0</v>
      </c>
      <c r="FMT60" s="280">
        <v>0</v>
      </c>
      <c r="FMU60" s="280">
        <v>0</v>
      </c>
      <c r="FMV60" s="280">
        <v>0</v>
      </c>
      <c r="FMW60" s="280">
        <v>0</v>
      </c>
      <c r="FMX60" s="280">
        <v>0</v>
      </c>
      <c r="FMY60" s="280">
        <v>0</v>
      </c>
      <c r="FMZ60" s="280">
        <v>0</v>
      </c>
      <c r="FNA60" s="280">
        <v>0</v>
      </c>
      <c r="FNB60" s="280">
        <v>0</v>
      </c>
      <c r="FNC60" s="280">
        <v>0</v>
      </c>
      <c r="FND60" s="280">
        <v>0</v>
      </c>
      <c r="FNE60" s="280">
        <v>0</v>
      </c>
      <c r="FNF60" s="280">
        <v>0</v>
      </c>
      <c r="FNG60" s="280">
        <v>0</v>
      </c>
      <c r="FNH60" s="280">
        <v>0</v>
      </c>
      <c r="FNI60" s="280">
        <v>0</v>
      </c>
      <c r="FNJ60" s="280">
        <v>0</v>
      </c>
      <c r="FNK60" s="280">
        <v>0</v>
      </c>
      <c r="FNL60" s="280">
        <v>0</v>
      </c>
      <c r="FNM60" s="280">
        <v>0</v>
      </c>
      <c r="FNN60" s="280">
        <v>0</v>
      </c>
      <c r="FNO60" s="280">
        <v>0</v>
      </c>
      <c r="FNP60" s="280">
        <v>0</v>
      </c>
      <c r="FNQ60" s="280">
        <v>0</v>
      </c>
      <c r="FNR60" s="280">
        <v>0</v>
      </c>
      <c r="FNS60" s="280">
        <v>0</v>
      </c>
      <c r="FNT60" s="280">
        <v>0</v>
      </c>
      <c r="FNU60" s="280">
        <v>0</v>
      </c>
      <c r="FNV60" s="280">
        <v>0</v>
      </c>
      <c r="FNW60" s="280">
        <v>0</v>
      </c>
      <c r="FNX60" s="280">
        <v>0</v>
      </c>
      <c r="FNY60" s="280">
        <v>0</v>
      </c>
      <c r="FNZ60" s="280">
        <v>0</v>
      </c>
      <c r="FOA60" s="280">
        <v>0</v>
      </c>
      <c r="FOB60" s="280">
        <v>0</v>
      </c>
      <c r="FOC60" s="280">
        <v>0</v>
      </c>
      <c r="FOD60" s="280">
        <v>0</v>
      </c>
      <c r="FOE60" s="280">
        <v>0</v>
      </c>
      <c r="FOF60" s="280">
        <v>0</v>
      </c>
      <c r="FOG60" s="280">
        <v>0</v>
      </c>
      <c r="FOH60" s="280">
        <v>0</v>
      </c>
      <c r="FOI60" s="280">
        <v>0</v>
      </c>
      <c r="FOJ60" s="280">
        <v>0</v>
      </c>
      <c r="FOK60" s="280">
        <v>0</v>
      </c>
      <c r="FOL60" s="280">
        <v>0</v>
      </c>
      <c r="FOM60" s="280">
        <v>0</v>
      </c>
      <c r="FON60" s="280">
        <v>0</v>
      </c>
      <c r="FOO60" s="280">
        <v>0</v>
      </c>
      <c r="FOP60" s="280">
        <v>0</v>
      </c>
      <c r="FOQ60" s="280">
        <v>0</v>
      </c>
      <c r="FOR60" s="280">
        <v>0</v>
      </c>
      <c r="FOS60" s="280">
        <v>0</v>
      </c>
      <c r="FOT60" s="280">
        <v>0</v>
      </c>
      <c r="FOU60" s="280">
        <v>0</v>
      </c>
      <c r="FOV60" s="280">
        <v>0</v>
      </c>
      <c r="FOW60" s="280">
        <v>0</v>
      </c>
      <c r="FOX60" s="280">
        <v>0</v>
      </c>
      <c r="FOY60" s="280">
        <v>0</v>
      </c>
      <c r="FOZ60" s="280">
        <v>0</v>
      </c>
      <c r="FPA60" s="280">
        <v>0</v>
      </c>
      <c r="FPB60" s="280">
        <v>0</v>
      </c>
      <c r="FPC60" s="280">
        <v>0</v>
      </c>
      <c r="FPD60" s="280">
        <v>0</v>
      </c>
      <c r="FPE60" s="280">
        <v>0</v>
      </c>
      <c r="FPF60" s="280">
        <v>0</v>
      </c>
      <c r="FPG60" s="280">
        <v>0</v>
      </c>
      <c r="FPH60" s="280">
        <v>0</v>
      </c>
      <c r="FPI60" s="280">
        <v>0</v>
      </c>
      <c r="FPJ60" s="280">
        <v>0</v>
      </c>
      <c r="FPK60" s="280">
        <v>0</v>
      </c>
      <c r="FPL60" s="280">
        <v>0</v>
      </c>
      <c r="FPM60" s="280">
        <v>0</v>
      </c>
      <c r="FPN60" s="280">
        <v>0</v>
      </c>
      <c r="FPO60" s="280">
        <v>0</v>
      </c>
      <c r="FPP60" s="280">
        <v>0</v>
      </c>
      <c r="FPQ60" s="280">
        <v>0</v>
      </c>
      <c r="FPR60" s="280">
        <v>0</v>
      </c>
      <c r="FPS60" s="280">
        <v>0</v>
      </c>
      <c r="FPT60" s="280">
        <v>0</v>
      </c>
      <c r="FPU60" s="280">
        <v>0</v>
      </c>
      <c r="FPV60" s="280">
        <v>0</v>
      </c>
      <c r="FPW60" s="280">
        <v>0</v>
      </c>
      <c r="FPX60" s="280">
        <v>0</v>
      </c>
      <c r="FPY60" s="280">
        <v>0</v>
      </c>
      <c r="FPZ60" s="280">
        <v>0</v>
      </c>
      <c r="FQA60" s="280">
        <v>0</v>
      </c>
      <c r="FQB60" s="280">
        <v>0</v>
      </c>
      <c r="FQC60" s="280">
        <v>0</v>
      </c>
      <c r="FQD60" s="280">
        <v>0</v>
      </c>
      <c r="FQE60" s="280">
        <v>0</v>
      </c>
      <c r="FQF60" s="280">
        <v>0</v>
      </c>
      <c r="FQG60" s="280">
        <v>0</v>
      </c>
      <c r="FQH60" s="280">
        <v>0</v>
      </c>
      <c r="FQI60" s="280">
        <v>0</v>
      </c>
      <c r="FQJ60" s="280">
        <v>0</v>
      </c>
      <c r="FQK60" s="280">
        <v>0</v>
      </c>
      <c r="FQL60" s="280">
        <v>0</v>
      </c>
      <c r="FQM60" s="280">
        <v>0</v>
      </c>
      <c r="FQN60" s="280">
        <v>0</v>
      </c>
      <c r="FQO60" s="280">
        <v>0</v>
      </c>
      <c r="FQP60" s="280">
        <v>0</v>
      </c>
      <c r="FQQ60" s="280">
        <v>0</v>
      </c>
      <c r="FQR60" s="280">
        <v>0</v>
      </c>
      <c r="FQS60" s="280">
        <v>0</v>
      </c>
      <c r="FQT60" s="280">
        <v>0</v>
      </c>
      <c r="FQU60" s="280">
        <v>0</v>
      </c>
      <c r="FQV60" s="280">
        <v>0</v>
      </c>
      <c r="FQW60" s="280">
        <v>0</v>
      </c>
      <c r="FQX60" s="280">
        <v>0</v>
      </c>
      <c r="FQY60" s="280">
        <v>0</v>
      </c>
      <c r="FQZ60" s="280">
        <v>0</v>
      </c>
      <c r="FRA60" s="280">
        <v>0</v>
      </c>
      <c r="FRB60" s="280">
        <v>0</v>
      </c>
      <c r="FRC60" s="280">
        <v>0</v>
      </c>
      <c r="FRD60" s="280">
        <v>0</v>
      </c>
      <c r="FRE60" s="280">
        <v>0</v>
      </c>
      <c r="FRF60" s="280">
        <v>0</v>
      </c>
      <c r="FRG60" s="280">
        <v>0</v>
      </c>
      <c r="FRH60" s="280">
        <v>0</v>
      </c>
      <c r="FRI60" s="280">
        <v>0</v>
      </c>
      <c r="FRJ60" s="280">
        <v>0</v>
      </c>
      <c r="FRK60" s="280">
        <v>0</v>
      </c>
      <c r="FRL60" s="280">
        <v>0</v>
      </c>
      <c r="FRM60" s="280">
        <v>0</v>
      </c>
      <c r="FRN60" s="280">
        <v>0</v>
      </c>
      <c r="FRO60" s="280">
        <v>0</v>
      </c>
      <c r="FRP60" s="280">
        <v>0</v>
      </c>
      <c r="FRQ60" s="280">
        <v>0</v>
      </c>
      <c r="FRR60" s="280">
        <v>0</v>
      </c>
      <c r="FRS60" s="280">
        <v>0</v>
      </c>
      <c r="FRT60" s="280">
        <v>0</v>
      </c>
      <c r="FRU60" s="280">
        <v>0</v>
      </c>
      <c r="FRV60" s="280">
        <v>0</v>
      </c>
      <c r="FRW60" s="280">
        <v>0</v>
      </c>
      <c r="FRX60" s="280">
        <v>0</v>
      </c>
      <c r="FRY60" s="280">
        <v>0</v>
      </c>
      <c r="FRZ60" s="280">
        <v>0</v>
      </c>
      <c r="FSA60" s="280">
        <v>0</v>
      </c>
      <c r="FSB60" s="280">
        <v>0</v>
      </c>
      <c r="FSC60" s="280">
        <v>0</v>
      </c>
      <c r="FSD60" s="280">
        <v>0</v>
      </c>
      <c r="FSE60" s="280">
        <v>0</v>
      </c>
      <c r="FSF60" s="280">
        <v>0</v>
      </c>
      <c r="FSG60" s="280">
        <v>0</v>
      </c>
      <c r="FSH60" s="280">
        <v>0</v>
      </c>
      <c r="FSI60" s="280">
        <v>0</v>
      </c>
      <c r="FSJ60" s="280">
        <v>0</v>
      </c>
      <c r="FSK60" s="280">
        <v>0</v>
      </c>
      <c r="FSL60" s="280">
        <v>0</v>
      </c>
      <c r="FSM60" s="280">
        <v>0</v>
      </c>
      <c r="FSN60" s="280">
        <v>0</v>
      </c>
      <c r="FSO60" s="280">
        <v>0</v>
      </c>
      <c r="FSP60" s="280">
        <v>0</v>
      </c>
      <c r="FSQ60" s="280">
        <v>0</v>
      </c>
      <c r="FSR60" s="280">
        <v>0</v>
      </c>
      <c r="FSS60" s="280">
        <v>0</v>
      </c>
      <c r="FST60" s="280">
        <v>0</v>
      </c>
      <c r="FSU60" s="280">
        <v>0</v>
      </c>
      <c r="FSV60" s="280">
        <v>0</v>
      </c>
      <c r="FSW60" s="280">
        <v>0</v>
      </c>
      <c r="FSX60" s="280">
        <v>0</v>
      </c>
      <c r="FSY60" s="280">
        <v>0</v>
      </c>
      <c r="FSZ60" s="280">
        <v>0</v>
      </c>
      <c r="FTA60" s="280">
        <v>0</v>
      </c>
      <c r="FTB60" s="280">
        <v>0</v>
      </c>
      <c r="FTC60" s="280">
        <v>0</v>
      </c>
      <c r="FTD60" s="280">
        <v>0</v>
      </c>
      <c r="FTE60" s="280">
        <v>0</v>
      </c>
      <c r="FTF60" s="280">
        <v>0</v>
      </c>
      <c r="FTG60" s="280">
        <v>0</v>
      </c>
      <c r="FTH60" s="280">
        <v>0</v>
      </c>
      <c r="FTI60" s="280">
        <v>0</v>
      </c>
      <c r="FTJ60" s="280">
        <v>0</v>
      </c>
      <c r="FTK60" s="280">
        <v>0</v>
      </c>
      <c r="FTL60" s="280">
        <v>0</v>
      </c>
      <c r="FTM60" s="280">
        <v>0</v>
      </c>
      <c r="FTN60" s="280">
        <v>0</v>
      </c>
      <c r="FTO60" s="280">
        <v>0</v>
      </c>
      <c r="FTP60" s="280">
        <v>0</v>
      </c>
      <c r="FTQ60" s="280">
        <v>0</v>
      </c>
      <c r="FTR60" s="280">
        <v>0</v>
      </c>
      <c r="FTS60" s="280">
        <v>0</v>
      </c>
      <c r="FTT60" s="280">
        <v>0</v>
      </c>
      <c r="FTU60" s="280">
        <v>0</v>
      </c>
      <c r="FTV60" s="280">
        <v>0</v>
      </c>
      <c r="FTW60" s="280">
        <v>0</v>
      </c>
      <c r="FTX60" s="280">
        <v>0</v>
      </c>
      <c r="FTY60" s="280">
        <v>0</v>
      </c>
      <c r="FTZ60" s="280">
        <v>0</v>
      </c>
      <c r="FUA60" s="280">
        <v>0</v>
      </c>
      <c r="FUB60" s="280">
        <v>0</v>
      </c>
      <c r="FUC60" s="280">
        <v>0</v>
      </c>
      <c r="FUD60" s="280">
        <v>0</v>
      </c>
      <c r="FUE60" s="280">
        <v>0</v>
      </c>
      <c r="FUF60" s="280">
        <v>0</v>
      </c>
      <c r="FUG60" s="280">
        <v>0</v>
      </c>
      <c r="FUH60" s="280">
        <v>0</v>
      </c>
      <c r="FUI60" s="280">
        <v>0</v>
      </c>
      <c r="FUJ60" s="280">
        <v>0</v>
      </c>
      <c r="FUK60" s="280">
        <v>0</v>
      </c>
      <c r="FUL60" s="280">
        <v>0</v>
      </c>
      <c r="FUM60" s="280">
        <v>0</v>
      </c>
      <c r="FUN60" s="280">
        <v>0</v>
      </c>
      <c r="FUO60" s="280">
        <v>0</v>
      </c>
      <c r="FUP60" s="280">
        <v>0</v>
      </c>
      <c r="FUQ60" s="280">
        <v>0</v>
      </c>
      <c r="FUR60" s="280">
        <v>0</v>
      </c>
      <c r="FUS60" s="280">
        <v>0</v>
      </c>
      <c r="FUT60" s="280">
        <v>0</v>
      </c>
      <c r="FUU60" s="280">
        <v>0</v>
      </c>
      <c r="FUV60" s="280">
        <v>0</v>
      </c>
      <c r="FUW60" s="280">
        <v>0</v>
      </c>
      <c r="FUX60" s="280">
        <v>0</v>
      </c>
      <c r="FUY60" s="280">
        <v>0</v>
      </c>
      <c r="FUZ60" s="280">
        <v>0</v>
      </c>
      <c r="FVA60" s="280">
        <v>0</v>
      </c>
      <c r="FVB60" s="280">
        <v>0</v>
      </c>
      <c r="FVC60" s="280">
        <v>0</v>
      </c>
      <c r="FVD60" s="280">
        <v>0</v>
      </c>
      <c r="FVE60" s="280">
        <v>0</v>
      </c>
      <c r="FVF60" s="280">
        <v>0</v>
      </c>
      <c r="FVG60" s="280">
        <v>0</v>
      </c>
      <c r="FVH60" s="280">
        <v>0</v>
      </c>
      <c r="FVI60" s="280">
        <v>0</v>
      </c>
      <c r="FVJ60" s="280">
        <v>0</v>
      </c>
      <c r="FVK60" s="280">
        <v>0</v>
      </c>
      <c r="FVL60" s="280">
        <v>0</v>
      </c>
      <c r="FVM60" s="280">
        <v>0</v>
      </c>
      <c r="FVN60" s="280">
        <v>0</v>
      </c>
      <c r="FVO60" s="280">
        <v>0</v>
      </c>
      <c r="FVP60" s="280">
        <v>0</v>
      </c>
      <c r="FVQ60" s="280">
        <v>0</v>
      </c>
      <c r="FVR60" s="280">
        <v>0</v>
      </c>
      <c r="FVS60" s="280">
        <v>0</v>
      </c>
      <c r="FVT60" s="280">
        <v>0</v>
      </c>
      <c r="FVU60" s="280">
        <v>0</v>
      </c>
      <c r="FVV60" s="280">
        <v>0</v>
      </c>
      <c r="FVW60" s="280">
        <v>0</v>
      </c>
      <c r="FVX60" s="280">
        <v>0</v>
      </c>
      <c r="FVY60" s="280">
        <v>0</v>
      </c>
      <c r="FVZ60" s="280">
        <v>0</v>
      </c>
      <c r="FWA60" s="280">
        <v>0</v>
      </c>
      <c r="FWB60" s="280">
        <v>0</v>
      </c>
      <c r="FWC60" s="280">
        <v>0</v>
      </c>
      <c r="FWD60" s="280">
        <v>0</v>
      </c>
      <c r="FWE60" s="280">
        <v>0</v>
      </c>
      <c r="FWF60" s="280">
        <v>0</v>
      </c>
      <c r="FWG60" s="280">
        <v>0</v>
      </c>
      <c r="FWH60" s="280">
        <v>0</v>
      </c>
      <c r="FWI60" s="280">
        <v>0</v>
      </c>
      <c r="FWJ60" s="280">
        <v>0</v>
      </c>
      <c r="FWK60" s="280">
        <v>0</v>
      </c>
      <c r="FWL60" s="280">
        <v>0</v>
      </c>
      <c r="FWM60" s="280">
        <v>0</v>
      </c>
      <c r="FWN60" s="280">
        <v>0</v>
      </c>
      <c r="FWO60" s="280">
        <v>0</v>
      </c>
      <c r="FWP60" s="280">
        <v>0</v>
      </c>
      <c r="FWQ60" s="280">
        <v>0</v>
      </c>
      <c r="FWR60" s="280">
        <v>0</v>
      </c>
      <c r="FWS60" s="280">
        <v>0</v>
      </c>
      <c r="FWT60" s="280">
        <v>0</v>
      </c>
      <c r="FWU60" s="280">
        <v>0</v>
      </c>
      <c r="FWV60" s="280">
        <v>0</v>
      </c>
      <c r="FWW60" s="280">
        <v>0</v>
      </c>
      <c r="FWX60" s="280">
        <v>0</v>
      </c>
      <c r="FWY60" s="280">
        <v>0</v>
      </c>
      <c r="FWZ60" s="280">
        <v>0</v>
      </c>
      <c r="FXA60" s="280">
        <v>0</v>
      </c>
      <c r="FXB60" s="280">
        <v>0</v>
      </c>
      <c r="FXC60" s="280">
        <v>0</v>
      </c>
      <c r="FXD60" s="280">
        <v>0</v>
      </c>
      <c r="FXE60" s="280">
        <v>0</v>
      </c>
      <c r="FXF60" s="280">
        <v>0</v>
      </c>
      <c r="FXG60" s="280">
        <v>0</v>
      </c>
      <c r="FXH60" s="280">
        <v>0</v>
      </c>
      <c r="FXI60" s="280">
        <v>0</v>
      </c>
      <c r="FXJ60" s="280">
        <v>0</v>
      </c>
      <c r="FXK60" s="280">
        <v>0</v>
      </c>
      <c r="FXL60" s="280">
        <v>0</v>
      </c>
      <c r="FXM60" s="280">
        <v>0</v>
      </c>
      <c r="FXN60" s="280">
        <v>0</v>
      </c>
      <c r="FXO60" s="280">
        <v>0</v>
      </c>
      <c r="FXP60" s="280">
        <v>0</v>
      </c>
      <c r="FXQ60" s="280">
        <v>0</v>
      </c>
      <c r="FXR60" s="280">
        <v>0</v>
      </c>
      <c r="FXS60" s="280">
        <v>0</v>
      </c>
      <c r="FXT60" s="280">
        <v>0</v>
      </c>
      <c r="FXU60" s="280">
        <v>0</v>
      </c>
      <c r="FXV60" s="280">
        <v>0</v>
      </c>
      <c r="FXW60" s="280">
        <v>0</v>
      </c>
      <c r="FXX60" s="280">
        <v>0</v>
      </c>
      <c r="FXY60" s="280">
        <v>0</v>
      </c>
      <c r="FXZ60" s="280">
        <v>0</v>
      </c>
      <c r="FYA60" s="280">
        <v>0</v>
      </c>
      <c r="FYB60" s="280">
        <v>0</v>
      </c>
      <c r="FYC60" s="280">
        <v>0</v>
      </c>
      <c r="FYD60" s="280">
        <v>0</v>
      </c>
      <c r="FYE60" s="280">
        <v>0</v>
      </c>
      <c r="FYF60" s="280">
        <v>0</v>
      </c>
      <c r="FYG60" s="280">
        <v>0</v>
      </c>
      <c r="FYH60" s="280">
        <v>0</v>
      </c>
      <c r="FYI60" s="280">
        <v>0</v>
      </c>
      <c r="FYJ60" s="280">
        <v>0</v>
      </c>
      <c r="FYK60" s="280">
        <v>0</v>
      </c>
      <c r="FYL60" s="280">
        <v>0</v>
      </c>
      <c r="FYM60" s="280">
        <v>0</v>
      </c>
      <c r="FYN60" s="280">
        <v>0</v>
      </c>
      <c r="FYO60" s="280">
        <v>0</v>
      </c>
      <c r="FYP60" s="280">
        <v>0</v>
      </c>
      <c r="FYQ60" s="280">
        <v>0</v>
      </c>
      <c r="FYR60" s="280">
        <v>0</v>
      </c>
      <c r="FYS60" s="280">
        <v>0</v>
      </c>
      <c r="FYT60" s="280">
        <v>0</v>
      </c>
      <c r="FYU60" s="280">
        <v>0</v>
      </c>
      <c r="FYV60" s="280">
        <v>0</v>
      </c>
      <c r="FYW60" s="280">
        <v>0</v>
      </c>
      <c r="FYX60" s="280">
        <v>0</v>
      </c>
      <c r="FYY60" s="280">
        <v>0</v>
      </c>
      <c r="FYZ60" s="280">
        <v>0</v>
      </c>
      <c r="FZA60" s="280">
        <v>0</v>
      </c>
      <c r="FZB60" s="280">
        <v>0</v>
      </c>
      <c r="FZC60" s="280">
        <v>0</v>
      </c>
      <c r="FZD60" s="280">
        <v>0</v>
      </c>
      <c r="FZE60" s="280">
        <v>0</v>
      </c>
      <c r="FZF60" s="280">
        <v>0</v>
      </c>
      <c r="FZG60" s="280">
        <v>0</v>
      </c>
      <c r="FZH60" s="280">
        <v>0</v>
      </c>
      <c r="FZI60" s="280">
        <v>0</v>
      </c>
      <c r="FZJ60" s="280">
        <v>0</v>
      </c>
      <c r="FZK60" s="280">
        <v>0</v>
      </c>
      <c r="FZL60" s="280">
        <v>0</v>
      </c>
      <c r="FZM60" s="280">
        <v>0</v>
      </c>
      <c r="FZN60" s="280">
        <v>0</v>
      </c>
      <c r="FZO60" s="280">
        <v>0</v>
      </c>
      <c r="FZP60" s="280">
        <v>0</v>
      </c>
      <c r="FZQ60" s="280">
        <v>0</v>
      </c>
      <c r="FZR60" s="280">
        <v>0</v>
      </c>
      <c r="FZS60" s="280">
        <v>0</v>
      </c>
      <c r="FZT60" s="280">
        <v>0</v>
      </c>
      <c r="FZU60" s="280">
        <v>0</v>
      </c>
      <c r="FZV60" s="280">
        <v>0</v>
      </c>
      <c r="FZW60" s="280">
        <v>0</v>
      </c>
      <c r="FZX60" s="280">
        <v>0</v>
      </c>
      <c r="FZY60" s="280">
        <v>0</v>
      </c>
      <c r="FZZ60" s="280">
        <v>0</v>
      </c>
      <c r="GAA60" s="280">
        <v>0</v>
      </c>
      <c r="GAB60" s="280">
        <v>0</v>
      </c>
      <c r="GAC60" s="280">
        <v>0</v>
      </c>
      <c r="GAD60" s="280">
        <v>0</v>
      </c>
      <c r="GAE60" s="280">
        <v>0</v>
      </c>
      <c r="GAF60" s="280">
        <v>0</v>
      </c>
      <c r="GAG60" s="280">
        <v>0</v>
      </c>
      <c r="GAH60" s="280">
        <v>0</v>
      </c>
      <c r="GAI60" s="280">
        <v>0</v>
      </c>
      <c r="GAJ60" s="280">
        <v>0</v>
      </c>
      <c r="GAK60" s="280">
        <v>0</v>
      </c>
      <c r="GAL60" s="280">
        <v>0</v>
      </c>
      <c r="GAM60" s="280">
        <v>0</v>
      </c>
      <c r="GAN60" s="280">
        <v>0</v>
      </c>
      <c r="GAO60" s="280">
        <v>0</v>
      </c>
      <c r="GAP60" s="280">
        <v>0</v>
      </c>
      <c r="GAQ60" s="280">
        <v>0</v>
      </c>
      <c r="GAR60" s="280">
        <v>0</v>
      </c>
      <c r="GAS60" s="280">
        <v>0</v>
      </c>
      <c r="GAT60" s="280">
        <v>0</v>
      </c>
      <c r="GAU60" s="280">
        <v>0</v>
      </c>
      <c r="GAV60" s="280">
        <v>0</v>
      </c>
      <c r="GAW60" s="280">
        <v>0</v>
      </c>
      <c r="GAX60" s="280">
        <v>0</v>
      </c>
      <c r="GAY60" s="280">
        <v>0</v>
      </c>
      <c r="GAZ60" s="280">
        <v>0</v>
      </c>
      <c r="GBA60" s="280">
        <v>0</v>
      </c>
      <c r="GBB60" s="280">
        <v>0</v>
      </c>
      <c r="GBC60" s="280">
        <v>0</v>
      </c>
      <c r="GBD60" s="280">
        <v>0</v>
      </c>
      <c r="GBE60" s="280">
        <v>0</v>
      </c>
      <c r="GBF60" s="280">
        <v>0</v>
      </c>
      <c r="GBG60" s="280">
        <v>0</v>
      </c>
      <c r="GBH60" s="280">
        <v>0</v>
      </c>
      <c r="GBI60" s="280">
        <v>0</v>
      </c>
      <c r="GBJ60" s="280">
        <v>0</v>
      </c>
      <c r="GBK60" s="280">
        <v>0</v>
      </c>
      <c r="GBL60" s="280">
        <v>0</v>
      </c>
      <c r="GBM60" s="280">
        <v>0</v>
      </c>
      <c r="GBN60" s="280">
        <v>0</v>
      </c>
      <c r="GBO60" s="280">
        <v>0</v>
      </c>
      <c r="GBP60" s="280">
        <v>0</v>
      </c>
      <c r="GBQ60" s="280">
        <v>0</v>
      </c>
      <c r="GBR60" s="280">
        <v>0</v>
      </c>
      <c r="GBS60" s="280">
        <v>0</v>
      </c>
      <c r="GBT60" s="280">
        <v>0</v>
      </c>
      <c r="GBU60" s="280">
        <v>0</v>
      </c>
      <c r="GBV60" s="280">
        <v>0</v>
      </c>
      <c r="GBW60" s="280">
        <v>0</v>
      </c>
      <c r="GBX60" s="280">
        <v>0</v>
      </c>
      <c r="GBY60" s="280">
        <v>0</v>
      </c>
      <c r="GBZ60" s="280">
        <v>0</v>
      </c>
      <c r="GCA60" s="280">
        <v>0</v>
      </c>
      <c r="GCB60" s="280">
        <v>0</v>
      </c>
      <c r="GCC60" s="280">
        <v>0</v>
      </c>
      <c r="GCD60" s="280">
        <v>0</v>
      </c>
      <c r="GCE60" s="280">
        <v>0</v>
      </c>
      <c r="GCF60" s="280">
        <v>0</v>
      </c>
      <c r="GCG60" s="280">
        <v>0</v>
      </c>
      <c r="GCH60" s="280">
        <v>0</v>
      </c>
      <c r="GCI60" s="280">
        <v>0</v>
      </c>
      <c r="GCJ60" s="280">
        <v>0</v>
      </c>
      <c r="GCK60" s="280">
        <v>0</v>
      </c>
      <c r="GCL60" s="280">
        <v>0</v>
      </c>
      <c r="GCM60" s="280">
        <v>0</v>
      </c>
      <c r="GCN60" s="280">
        <v>0</v>
      </c>
      <c r="GCO60" s="280">
        <v>0</v>
      </c>
      <c r="GCP60" s="280">
        <v>0</v>
      </c>
      <c r="GCQ60" s="280">
        <v>0</v>
      </c>
      <c r="GCR60" s="280">
        <v>0</v>
      </c>
      <c r="GCS60" s="280">
        <v>0</v>
      </c>
      <c r="GCT60" s="280">
        <v>0</v>
      </c>
      <c r="GCU60" s="280">
        <v>0</v>
      </c>
      <c r="GCV60" s="280">
        <v>0</v>
      </c>
      <c r="GCW60" s="280">
        <v>0</v>
      </c>
      <c r="GCX60" s="280">
        <v>0</v>
      </c>
      <c r="GCY60" s="280">
        <v>0</v>
      </c>
      <c r="GCZ60" s="280">
        <v>0</v>
      </c>
      <c r="GDA60" s="280">
        <v>0</v>
      </c>
      <c r="GDB60" s="280">
        <v>0</v>
      </c>
      <c r="GDC60" s="280">
        <v>0</v>
      </c>
      <c r="GDD60" s="280">
        <v>0</v>
      </c>
      <c r="GDE60" s="280">
        <v>0</v>
      </c>
      <c r="GDF60" s="280">
        <v>0</v>
      </c>
      <c r="GDG60" s="280">
        <v>0</v>
      </c>
      <c r="GDH60" s="280">
        <v>0</v>
      </c>
      <c r="GDI60" s="280">
        <v>0</v>
      </c>
      <c r="GDJ60" s="280">
        <v>0</v>
      </c>
      <c r="GDK60" s="280">
        <v>0</v>
      </c>
      <c r="GDL60" s="280">
        <v>0</v>
      </c>
      <c r="GDM60" s="280">
        <v>0</v>
      </c>
      <c r="GDN60" s="280">
        <v>0</v>
      </c>
      <c r="GDO60" s="280">
        <v>0</v>
      </c>
      <c r="GDP60" s="280">
        <v>0</v>
      </c>
      <c r="GDQ60" s="280">
        <v>0</v>
      </c>
      <c r="GDR60" s="280">
        <v>0</v>
      </c>
      <c r="GDS60" s="280">
        <v>0</v>
      </c>
      <c r="GDT60" s="280">
        <v>0</v>
      </c>
      <c r="GDU60" s="280">
        <v>0</v>
      </c>
      <c r="GDV60" s="280">
        <v>0</v>
      </c>
      <c r="GDW60" s="280">
        <v>0</v>
      </c>
      <c r="GDX60" s="280">
        <v>0</v>
      </c>
      <c r="GDY60" s="280">
        <v>0</v>
      </c>
      <c r="GDZ60" s="280">
        <v>0</v>
      </c>
      <c r="GEA60" s="280">
        <v>0</v>
      </c>
      <c r="GEB60" s="280">
        <v>0</v>
      </c>
      <c r="GEC60" s="280">
        <v>0</v>
      </c>
      <c r="GED60" s="280">
        <v>0</v>
      </c>
      <c r="GEE60" s="280">
        <v>0</v>
      </c>
      <c r="GEF60" s="280">
        <v>0</v>
      </c>
      <c r="GEG60" s="280">
        <v>0</v>
      </c>
      <c r="GEH60" s="280">
        <v>0</v>
      </c>
      <c r="GEI60" s="280">
        <v>0</v>
      </c>
      <c r="GEJ60" s="280">
        <v>0</v>
      </c>
      <c r="GEK60" s="280">
        <v>0</v>
      </c>
      <c r="GEL60" s="280">
        <v>0</v>
      </c>
      <c r="GEM60" s="280">
        <v>0</v>
      </c>
      <c r="GEN60" s="280">
        <v>0</v>
      </c>
      <c r="GEO60" s="280">
        <v>0</v>
      </c>
      <c r="GEP60" s="280">
        <v>0</v>
      </c>
      <c r="GEQ60" s="280">
        <v>0</v>
      </c>
      <c r="GER60" s="280">
        <v>0</v>
      </c>
      <c r="GES60" s="280">
        <v>0</v>
      </c>
      <c r="GET60" s="280">
        <v>0</v>
      </c>
      <c r="GEU60" s="280">
        <v>0</v>
      </c>
      <c r="GEV60" s="280">
        <v>0</v>
      </c>
      <c r="GEW60" s="280">
        <v>0</v>
      </c>
      <c r="GEX60" s="280">
        <v>0</v>
      </c>
      <c r="GEY60" s="280">
        <v>0</v>
      </c>
      <c r="GEZ60" s="280">
        <v>0</v>
      </c>
      <c r="GFA60" s="280">
        <v>0</v>
      </c>
      <c r="GFB60" s="280">
        <v>0</v>
      </c>
      <c r="GFC60" s="280">
        <v>0</v>
      </c>
      <c r="GFD60" s="280">
        <v>0</v>
      </c>
      <c r="GFE60" s="280">
        <v>0</v>
      </c>
      <c r="GFF60" s="280">
        <v>0</v>
      </c>
      <c r="GFG60" s="280">
        <v>0</v>
      </c>
      <c r="GFH60" s="280">
        <v>0</v>
      </c>
      <c r="GFI60" s="280">
        <v>0</v>
      </c>
      <c r="GFJ60" s="280">
        <v>0</v>
      </c>
      <c r="GFK60" s="280">
        <v>0</v>
      </c>
      <c r="GFL60" s="280">
        <v>0</v>
      </c>
      <c r="GFM60" s="280">
        <v>0</v>
      </c>
      <c r="GFN60" s="280">
        <v>0</v>
      </c>
      <c r="GFO60" s="280">
        <v>0</v>
      </c>
      <c r="GFP60" s="280">
        <v>0</v>
      </c>
      <c r="GFQ60" s="280">
        <v>0</v>
      </c>
      <c r="GFR60" s="280">
        <v>0</v>
      </c>
      <c r="GFS60" s="280">
        <v>0</v>
      </c>
      <c r="GFT60" s="280">
        <v>0</v>
      </c>
      <c r="GFU60" s="280">
        <v>0</v>
      </c>
      <c r="GFV60" s="280">
        <v>0</v>
      </c>
      <c r="GFW60" s="280">
        <v>0</v>
      </c>
      <c r="GFX60" s="280">
        <v>0</v>
      </c>
      <c r="GFY60" s="280">
        <v>0</v>
      </c>
      <c r="GFZ60" s="280">
        <v>0</v>
      </c>
      <c r="GGA60" s="280">
        <v>0</v>
      </c>
      <c r="GGB60" s="280">
        <v>0</v>
      </c>
      <c r="GGC60" s="280">
        <v>0</v>
      </c>
      <c r="GGD60" s="280">
        <v>0</v>
      </c>
      <c r="GGE60" s="280">
        <v>0</v>
      </c>
      <c r="GGF60" s="280">
        <v>0</v>
      </c>
      <c r="GGG60" s="280">
        <v>0</v>
      </c>
      <c r="GGH60" s="280">
        <v>0</v>
      </c>
      <c r="GGI60" s="280">
        <v>0</v>
      </c>
      <c r="GGJ60" s="280">
        <v>0</v>
      </c>
      <c r="GGK60" s="280">
        <v>0</v>
      </c>
      <c r="GGL60" s="280">
        <v>0</v>
      </c>
      <c r="GGM60" s="280">
        <v>0</v>
      </c>
      <c r="GGN60" s="280">
        <v>0</v>
      </c>
      <c r="GGO60" s="280">
        <v>0</v>
      </c>
      <c r="GGP60" s="280">
        <v>0</v>
      </c>
      <c r="GGQ60" s="280">
        <v>0</v>
      </c>
      <c r="GGR60" s="280">
        <v>0</v>
      </c>
      <c r="GGS60" s="280">
        <v>0</v>
      </c>
      <c r="GGT60" s="280">
        <v>0</v>
      </c>
      <c r="GGU60" s="280">
        <v>0</v>
      </c>
      <c r="GGV60" s="280">
        <v>0</v>
      </c>
      <c r="GGW60" s="280">
        <v>0</v>
      </c>
      <c r="GGX60" s="280">
        <v>0</v>
      </c>
      <c r="GGY60" s="280">
        <v>0</v>
      </c>
      <c r="GGZ60" s="280">
        <v>0</v>
      </c>
      <c r="GHA60" s="280">
        <v>0</v>
      </c>
      <c r="GHB60" s="280">
        <v>0</v>
      </c>
      <c r="GHC60" s="280">
        <v>0</v>
      </c>
      <c r="GHD60" s="280">
        <v>0</v>
      </c>
      <c r="GHE60" s="280">
        <v>0</v>
      </c>
      <c r="GHF60" s="280">
        <v>0</v>
      </c>
      <c r="GHG60" s="280">
        <v>0</v>
      </c>
      <c r="GHH60" s="280">
        <v>0</v>
      </c>
      <c r="GHI60" s="280">
        <v>0</v>
      </c>
      <c r="GHJ60" s="280">
        <v>0</v>
      </c>
      <c r="GHK60" s="280">
        <v>0</v>
      </c>
      <c r="GHL60" s="280">
        <v>0</v>
      </c>
      <c r="GHM60" s="280">
        <v>0</v>
      </c>
      <c r="GHN60" s="280">
        <v>0</v>
      </c>
      <c r="GHO60" s="280">
        <v>0</v>
      </c>
      <c r="GHP60" s="280">
        <v>0</v>
      </c>
      <c r="GHQ60" s="280">
        <v>0</v>
      </c>
      <c r="GHR60" s="280">
        <v>0</v>
      </c>
      <c r="GHS60" s="280">
        <v>0</v>
      </c>
      <c r="GHT60" s="280">
        <v>0</v>
      </c>
      <c r="GHU60" s="280">
        <v>0</v>
      </c>
      <c r="GHV60" s="280">
        <v>0</v>
      </c>
      <c r="GHW60" s="280">
        <v>0</v>
      </c>
      <c r="GHX60" s="280">
        <v>0</v>
      </c>
      <c r="GHY60" s="280">
        <v>0</v>
      </c>
      <c r="GHZ60" s="280">
        <v>0</v>
      </c>
      <c r="GIA60" s="280">
        <v>0</v>
      </c>
      <c r="GIB60" s="280">
        <v>0</v>
      </c>
      <c r="GIC60" s="280">
        <v>0</v>
      </c>
      <c r="GID60" s="280">
        <v>0</v>
      </c>
      <c r="GIE60" s="280">
        <v>0</v>
      </c>
      <c r="GIF60" s="280">
        <v>0</v>
      </c>
      <c r="GIG60" s="280">
        <v>0</v>
      </c>
      <c r="GIH60" s="280">
        <v>0</v>
      </c>
      <c r="GII60" s="280">
        <v>0</v>
      </c>
      <c r="GIJ60" s="280">
        <v>0</v>
      </c>
      <c r="GIK60" s="280">
        <v>0</v>
      </c>
      <c r="GIL60" s="280">
        <v>0</v>
      </c>
      <c r="GIM60" s="280">
        <v>0</v>
      </c>
      <c r="GIN60" s="280">
        <v>0</v>
      </c>
      <c r="GIO60" s="280">
        <v>0</v>
      </c>
      <c r="GIP60" s="280">
        <v>0</v>
      </c>
      <c r="GIQ60" s="280">
        <v>0</v>
      </c>
      <c r="GIR60" s="280">
        <v>0</v>
      </c>
      <c r="GIS60" s="280">
        <v>0</v>
      </c>
      <c r="GIT60" s="280">
        <v>0</v>
      </c>
      <c r="GIU60" s="280">
        <v>0</v>
      </c>
      <c r="GIV60" s="280">
        <v>0</v>
      </c>
      <c r="GIW60" s="280">
        <v>0</v>
      </c>
      <c r="GIX60" s="280">
        <v>0</v>
      </c>
      <c r="GIY60" s="280">
        <v>0</v>
      </c>
      <c r="GIZ60" s="280">
        <v>0</v>
      </c>
      <c r="GJA60" s="280">
        <v>0</v>
      </c>
      <c r="GJB60" s="280">
        <v>0</v>
      </c>
      <c r="GJC60" s="280">
        <v>0</v>
      </c>
      <c r="GJD60" s="280">
        <v>0</v>
      </c>
      <c r="GJE60" s="280">
        <v>0</v>
      </c>
      <c r="GJF60" s="280">
        <v>0</v>
      </c>
      <c r="GJG60" s="280">
        <v>0</v>
      </c>
      <c r="GJH60" s="280">
        <v>0</v>
      </c>
      <c r="GJI60" s="280">
        <v>0</v>
      </c>
      <c r="GJJ60" s="280">
        <v>0</v>
      </c>
      <c r="GJK60" s="280">
        <v>0</v>
      </c>
      <c r="GJL60" s="280">
        <v>0</v>
      </c>
      <c r="GJM60" s="280">
        <v>0</v>
      </c>
      <c r="GJN60" s="280">
        <v>0</v>
      </c>
      <c r="GJO60" s="280">
        <v>0</v>
      </c>
      <c r="GJP60" s="280">
        <v>0</v>
      </c>
      <c r="GJQ60" s="280">
        <v>0</v>
      </c>
      <c r="GJR60" s="280">
        <v>0</v>
      </c>
      <c r="GJS60" s="280">
        <v>0</v>
      </c>
      <c r="GJT60" s="280">
        <v>0</v>
      </c>
      <c r="GJU60" s="280">
        <v>0</v>
      </c>
      <c r="GJV60" s="280">
        <v>0</v>
      </c>
      <c r="GJW60" s="280">
        <v>0</v>
      </c>
      <c r="GJX60" s="280">
        <v>0</v>
      </c>
      <c r="GJY60" s="280">
        <v>0</v>
      </c>
      <c r="GJZ60" s="280">
        <v>0</v>
      </c>
      <c r="GKA60" s="280">
        <v>0</v>
      </c>
      <c r="GKB60" s="280">
        <v>0</v>
      </c>
      <c r="GKC60" s="280">
        <v>0</v>
      </c>
      <c r="GKD60" s="280">
        <v>0</v>
      </c>
      <c r="GKE60" s="280">
        <v>0</v>
      </c>
      <c r="GKF60" s="280">
        <v>0</v>
      </c>
      <c r="GKG60" s="280">
        <v>0</v>
      </c>
      <c r="GKH60" s="280">
        <v>0</v>
      </c>
      <c r="GKI60" s="280">
        <v>0</v>
      </c>
      <c r="GKJ60" s="280">
        <v>0</v>
      </c>
      <c r="GKK60" s="280">
        <v>0</v>
      </c>
      <c r="GKL60" s="280">
        <v>0</v>
      </c>
      <c r="GKM60" s="280">
        <v>0</v>
      </c>
      <c r="GKN60" s="280">
        <v>0</v>
      </c>
      <c r="GKO60" s="280">
        <v>0</v>
      </c>
      <c r="GKP60" s="280">
        <v>0</v>
      </c>
      <c r="GKQ60" s="280">
        <v>0</v>
      </c>
      <c r="GKR60" s="280">
        <v>0</v>
      </c>
      <c r="GKS60" s="280">
        <v>0</v>
      </c>
      <c r="GKT60" s="280">
        <v>0</v>
      </c>
      <c r="GKU60" s="280">
        <v>0</v>
      </c>
      <c r="GKV60" s="280">
        <v>0</v>
      </c>
      <c r="GKW60" s="280">
        <v>0</v>
      </c>
      <c r="GKX60" s="280">
        <v>0</v>
      </c>
      <c r="GKY60" s="280">
        <v>0</v>
      </c>
      <c r="GKZ60" s="280">
        <v>0</v>
      </c>
      <c r="GLA60" s="280">
        <v>0</v>
      </c>
      <c r="GLB60" s="280">
        <v>0</v>
      </c>
      <c r="GLC60" s="280">
        <v>0</v>
      </c>
      <c r="GLD60" s="280">
        <v>0</v>
      </c>
      <c r="GLE60" s="280">
        <v>0</v>
      </c>
      <c r="GLF60" s="280">
        <v>0</v>
      </c>
      <c r="GLG60" s="280">
        <v>0</v>
      </c>
      <c r="GLH60" s="280">
        <v>0</v>
      </c>
      <c r="GLI60" s="280">
        <v>0</v>
      </c>
      <c r="GLJ60" s="280">
        <v>0</v>
      </c>
      <c r="GLK60" s="280">
        <v>0</v>
      </c>
      <c r="GLL60" s="280">
        <v>0</v>
      </c>
      <c r="GLM60" s="280">
        <v>0</v>
      </c>
      <c r="GLN60" s="280">
        <v>0</v>
      </c>
      <c r="GLO60" s="280">
        <v>0</v>
      </c>
      <c r="GLP60" s="280">
        <v>0</v>
      </c>
      <c r="GLQ60" s="280">
        <v>0</v>
      </c>
      <c r="GLR60" s="280">
        <v>0</v>
      </c>
      <c r="GLS60" s="280">
        <v>0</v>
      </c>
      <c r="GLT60" s="280">
        <v>0</v>
      </c>
      <c r="GLU60" s="280">
        <v>0</v>
      </c>
      <c r="GLV60" s="280">
        <v>0</v>
      </c>
      <c r="GLW60" s="280">
        <v>0</v>
      </c>
      <c r="GLX60" s="280">
        <v>0</v>
      </c>
      <c r="GLY60" s="280">
        <v>0</v>
      </c>
      <c r="GLZ60" s="280">
        <v>0</v>
      </c>
      <c r="GMA60" s="280">
        <v>0</v>
      </c>
      <c r="GMB60" s="280">
        <v>0</v>
      </c>
      <c r="GMC60" s="280">
        <v>0</v>
      </c>
      <c r="GMD60" s="280">
        <v>0</v>
      </c>
      <c r="GME60" s="280">
        <v>0</v>
      </c>
      <c r="GMF60" s="280">
        <v>0</v>
      </c>
      <c r="GMG60" s="280">
        <v>0</v>
      </c>
      <c r="GMH60" s="280">
        <v>0</v>
      </c>
      <c r="GMI60" s="280">
        <v>0</v>
      </c>
      <c r="GMJ60" s="280">
        <v>0</v>
      </c>
      <c r="GMK60" s="280">
        <v>0</v>
      </c>
      <c r="GML60" s="280">
        <v>0</v>
      </c>
      <c r="GMM60" s="280">
        <v>0</v>
      </c>
      <c r="GMN60" s="280">
        <v>0</v>
      </c>
      <c r="GMO60" s="280">
        <v>0</v>
      </c>
      <c r="GMP60" s="280">
        <v>0</v>
      </c>
      <c r="GMQ60" s="280">
        <v>0</v>
      </c>
      <c r="GMR60" s="280">
        <v>0</v>
      </c>
      <c r="GMS60" s="280">
        <v>0</v>
      </c>
      <c r="GMT60" s="280">
        <v>0</v>
      </c>
      <c r="GMU60" s="280">
        <v>0</v>
      </c>
      <c r="GMV60" s="280">
        <v>0</v>
      </c>
      <c r="GMW60" s="280">
        <v>0</v>
      </c>
      <c r="GMX60" s="280">
        <v>0</v>
      </c>
      <c r="GMY60" s="280">
        <v>0</v>
      </c>
      <c r="GMZ60" s="280">
        <v>0</v>
      </c>
      <c r="GNA60" s="280">
        <v>0</v>
      </c>
      <c r="GNB60" s="280">
        <v>0</v>
      </c>
      <c r="GNC60" s="280">
        <v>0</v>
      </c>
      <c r="GND60" s="280">
        <v>0</v>
      </c>
      <c r="GNE60" s="280">
        <v>0</v>
      </c>
      <c r="GNF60" s="280">
        <v>0</v>
      </c>
      <c r="GNG60" s="280">
        <v>0</v>
      </c>
      <c r="GNH60" s="280">
        <v>0</v>
      </c>
      <c r="GNI60" s="280">
        <v>0</v>
      </c>
      <c r="GNJ60" s="280">
        <v>0</v>
      </c>
      <c r="GNK60" s="280">
        <v>0</v>
      </c>
      <c r="GNL60" s="280">
        <v>0</v>
      </c>
      <c r="GNM60" s="280">
        <v>0</v>
      </c>
      <c r="GNN60" s="280">
        <v>0</v>
      </c>
      <c r="GNO60" s="280">
        <v>0</v>
      </c>
      <c r="GNP60" s="280">
        <v>0</v>
      </c>
      <c r="GNQ60" s="280">
        <v>0</v>
      </c>
      <c r="GNR60" s="280">
        <v>0</v>
      </c>
      <c r="GNS60" s="280">
        <v>0</v>
      </c>
      <c r="GNT60" s="280">
        <v>0</v>
      </c>
      <c r="GNU60" s="280">
        <v>0</v>
      </c>
      <c r="GNV60" s="280">
        <v>0</v>
      </c>
      <c r="GNW60" s="280">
        <v>0</v>
      </c>
      <c r="GNX60" s="280">
        <v>0</v>
      </c>
      <c r="GNY60" s="280">
        <v>0</v>
      </c>
      <c r="GNZ60" s="280">
        <v>0</v>
      </c>
      <c r="GOA60" s="280">
        <v>0</v>
      </c>
      <c r="GOB60" s="280">
        <v>0</v>
      </c>
      <c r="GOC60" s="280">
        <v>0</v>
      </c>
      <c r="GOD60" s="280">
        <v>0</v>
      </c>
      <c r="GOE60" s="280">
        <v>0</v>
      </c>
      <c r="GOF60" s="280">
        <v>0</v>
      </c>
      <c r="GOG60" s="280">
        <v>0</v>
      </c>
      <c r="GOH60" s="280">
        <v>0</v>
      </c>
      <c r="GOI60" s="280">
        <v>0</v>
      </c>
      <c r="GOJ60" s="280">
        <v>0</v>
      </c>
      <c r="GOK60" s="280">
        <v>0</v>
      </c>
      <c r="GOL60" s="280">
        <v>0</v>
      </c>
      <c r="GOM60" s="280">
        <v>0</v>
      </c>
      <c r="GON60" s="280">
        <v>0</v>
      </c>
      <c r="GOO60" s="280">
        <v>0</v>
      </c>
      <c r="GOP60" s="280">
        <v>0</v>
      </c>
      <c r="GOQ60" s="280">
        <v>0</v>
      </c>
      <c r="GOR60" s="280">
        <v>0</v>
      </c>
      <c r="GOS60" s="280">
        <v>0</v>
      </c>
      <c r="GOT60" s="280">
        <v>0</v>
      </c>
      <c r="GOU60" s="280">
        <v>0</v>
      </c>
      <c r="GOV60" s="280">
        <v>0</v>
      </c>
      <c r="GOW60" s="280">
        <v>0</v>
      </c>
      <c r="GOX60" s="280">
        <v>0</v>
      </c>
      <c r="GOY60" s="280">
        <v>0</v>
      </c>
      <c r="GOZ60" s="280">
        <v>0</v>
      </c>
      <c r="GPA60" s="280">
        <v>0</v>
      </c>
      <c r="GPB60" s="280">
        <v>0</v>
      </c>
      <c r="GPC60" s="280">
        <v>0</v>
      </c>
      <c r="GPD60" s="280">
        <v>0</v>
      </c>
      <c r="GPE60" s="280">
        <v>0</v>
      </c>
      <c r="GPF60" s="280">
        <v>0</v>
      </c>
      <c r="GPG60" s="280">
        <v>0</v>
      </c>
      <c r="GPH60" s="280">
        <v>0</v>
      </c>
      <c r="GPI60" s="280">
        <v>0</v>
      </c>
      <c r="GPJ60" s="280">
        <v>0</v>
      </c>
      <c r="GPK60" s="280">
        <v>0</v>
      </c>
      <c r="GPL60" s="280">
        <v>0</v>
      </c>
      <c r="GPM60" s="280">
        <v>0</v>
      </c>
      <c r="GPN60" s="280">
        <v>0</v>
      </c>
      <c r="GPO60" s="280">
        <v>0</v>
      </c>
      <c r="GPP60" s="280">
        <v>0</v>
      </c>
      <c r="GPQ60" s="280">
        <v>0</v>
      </c>
      <c r="GPR60" s="280">
        <v>0</v>
      </c>
      <c r="GPS60" s="280">
        <v>0</v>
      </c>
      <c r="GPT60" s="280">
        <v>0</v>
      </c>
      <c r="GPU60" s="280">
        <v>0</v>
      </c>
      <c r="GPV60" s="280">
        <v>0</v>
      </c>
      <c r="GPW60" s="280">
        <v>0</v>
      </c>
      <c r="GPX60" s="280">
        <v>0</v>
      </c>
      <c r="GPY60" s="280">
        <v>0</v>
      </c>
      <c r="GPZ60" s="280">
        <v>0</v>
      </c>
      <c r="GQA60" s="280">
        <v>0</v>
      </c>
      <c r="GQB60" s="280">
        <v>0</v>
      </c>
      <c r="GQC60" s="280">
        <v>0</v>
      </c>
      <c r="GQD60" s="280">
        <v>0</v>
      </c>
      <c r="GQE60" s="280">
        <v>0</v>
      </c>
      <c r="GQF60" s="280">
        <v>0</v>
      </c>
      <c r="GQG60" s="280">
        <v>0</v>
      </c>
      <c r="GQH60" s="280">
        <v>0</v>
      </c>
      <c r="GQI60" s="280">
        <v>0</v>
      </c>
      <c r="GQJ60" s="280">
        <v>0</v>
      </c>
      <c r="GQK60" s="280">
        <v>0</v>
      </c>
      <c r="GQL60" s="280">
        <v>0</v>
      </c>
      <c r="GQM60" s="280">
        <v>0</v>
      </c>
      <c r="GQN60" s="280">
        <v>0</v>
      </c>
      <c r="GQO60" s="280">
        <v>0</v>
      </c>
      <c r="GQP60" s="280">
        <v>0</v>
      </c>
      <c r="GQQ60" s="280">
        <v>0</v>
      </c>
      <c r="GQR60" s="280">
        <v>0</v>
      </c>
      <c r="GQS60" s="280">
        <v>0</v>
      </c>
      <c r="GQT60" s="280">
        <v>0</v>
      </c>
      <c r="GQU60" s="280">
        <v>0</v>
      </c>
      <c r="GQV60" s="280">
        <v>0</v>
      </c>
      <c r="GQW60" s="280">
        <v>0</v>
      </c>
      <c r="GQX60" s="280">
        <v>0</v>
      </c>
      <c r="GQY60" s="280">
        <v>0</v>
      </c>
      <c r="GQZ60" s="280">
        <v>0</v>
      </c>
      <c r="GRA60" s="280">
        <v>0</v>
      </c>
      <c r="GRB60" s="280">
        <v>0</v>
      </c>
      <c r="GRC60" s="280">
        <v>0</v>
      </c>
      <c r="GRD60" s="280">
        <v>0</v>
      </c>
      <c r="GRE60" s="280">
        <v>0</v>
      </c>
      <c r="GRF60" s="280">
        <v>0</v>
      </c>
      <c r="GRG60" s="280">
        <v>0</v>
      </c>
      <c r="GRH60" s="280">
        <v>0</v>
      </c>
      <c r="GRI60" s="280">
        <v>0</v>
      </c>
      <c r="GRJ60" s="280">
        <v>0</v>
      </c>
      <c r="GRK60" s="280">
        <v>0</v>
      </c>
      <c r="GRL60" s="280">
        <v>0</v>
      </c>
      <c r="GRM60" s="280">
        <v>0</v>
      </c>
      <c r="GRN60" s="280">
        <v>0</v>
      </c>
      <c r="GRO60" s="280">
        <v>0</v>
      </c>
      <c r="GRP60" s="280">
        <v>0</v>
      </c>
      <c r="GRQ60" s="280">
        <v>0</v>
      </c>
      <c r="GRR60" s="280">
        <v>0</v>
      </c>
      <c r="GRS60" s="280">
        <v>0</v>
      </c>
      <c r="GRT60" s="280">
        <v>0</v>
      </c>
      <c r="GRU60" s="280">
        <v>0</v>
      </c>
      <c r="GRV60" s="280">
        <v>0</v>
      </c>
      <c r="GRW60" s="280">
        <v>0</v>
      </c>
      <c r="GRX60" s="280">
        <v>0</v>
      </c>
      <c r="GRY60" s="280">
        <v>0</v>
      </c>
      <c r="GRZ60" s="280">
        <v>0</v>
      </c>
      <c r="GSA60" s="280">
        <v>0</v>
      </c>
      <c r="GSB60" s="280">
        <v>0</v>
      </c>
      <c r="GSC60" s="280">
        <v>0</v>
      </c>
      <c r="GSD60" s="280">
        <v>0</v>
      </c>
      <c r="GSE60" s="280">
        <v>0</v>
      </c>
      <c r="GSF60" s="280">
        <v>0</v>
      </c>
      <c r="GSG60" s="280">
        <v>0</v>
      </c>
      <c r="GSH60" s="280">
        <v>0</v>
      </c>
      <c r="GSI60" s="280">
        <v>0</v>
      </c>
      <c r="GSJ60" s="280">
        <v>0</v>
      </c>
      <c r="GSK60" s="280">
        <v>0</v>
      </c>
      <c r="GSL60" s="280">
        <v>0</v>
      </c>
      <c r="GSM60" s="280">
        <v>0</v>
      </c>
      <c r="GSN60" s="280">
        <v>0</v>
      </c>
      <c r="GSO60" s="280">
        <v>0</v>
      </c>
      <c r="GSP60" s="280">
        <v>0</v>
      </c>
      <c r="GSQ60" s="280">
        <v>0</v>
      </c>
      <c r="GSR60" s="280">
        <v>0</v>
      </c>
      <c r="GSS60" s="280">
        <v>0</v>
      </c>
      <c r="GST60" s="280">
        <v>0</v>
      </c>
      <c r="GSU60" s="280">
        <v>0</v>
      </c>
      <c r="GSV60" s="280">
        <v>0</v>
      </c>
      <c r="GSW60" s="280">
        <v>0</v>
      </c>
      <c r="GSX60" s="280">
        <v>0</v>
      </c>
      <c r="GSY60" s="280">
        <v>0</v>
      </c>
      <c r="GSZ60" s="280">
        <v>0</v>
      </c>
      <c r="GTA60" s="280">
        <v>0</v>
      </c>
      <c r="GTB60" s="280">
        <v>0</v>
      </c>
      <c r="GTC60" s="280">
        <v>0</v>
      </c>
      <c r="GTD60" s="280">
        <v>0</v>
      </c>
      <c r="GTE60" s="280">
        <v>0</v>
      </c>
      <c r="GTF60" s="280">
        <v>0</v>
      </c>
      <c r="GTG60" s="280">
        <v>0</v>
      </c>
      <c r="GTH60" s="280">
        <v>0</v>
      </c>
      <c r="GTI60" s="280">
        <v>0</v>
      </c>
      <c r="GTJ60" s="280">
        <v>0</v>
      </c>
      <c r="GTK60" s="280">
        <v>0</v>
      </c>
      <c r="GTL60" s="280">
        <v>0</v>
      </c>
      <c r="GTM60" s="280">
        <v>0</v>
      </c>
      <c r="GTN60" s="280">
        <v>0</v>
      </c>
      <c r="GTO60" s="280">
        <v>0</v>
      </c>
      <c r="GTP60" s="280">
        <v>0</v>
      </c>
      <c r="GTQ60" s="280">
        <v>0</v>
      </c>
      <c r="GTR60" s="280">
        <v>0</v>
      </c>
      <c r="GTS60" s="280">
        <v>0</v>
      </c>
      <c r="GTT60" s="280">
        <v>0</v>
      </c>
      <c r="GTU60" s="280">
        <v>0</v>
      </c>
      <c r="GTV60" s="280">
        <v>0</v>
      </c>
      <c r="GTW60" s="280">
        <v>0</v>
      </c>
      <c r="GTX60" s="280">
        <v>0</v>
      </c>
      <c r="GTY60" s="280">
        <v>0</v>
      </c>
      <c r="GTZ60" s="280">
        <v>0</v>
      </c>
      <c r="GUA60" s="280">
        <v>0</v>
      </c>
      <c r="GUB60" s="280">
        <v>0</v>
      </c>
      <c r="GUC60" s="280">
        <v>0</v>
      </c>
      <c r="GUD60" s="280">
        <v>0</v>
      </c>
      <c r="GUE60" s="280">
        <v>0</v>
      </c>
      <c r="GUF60" s="280">
        <v>0</v>
      </c>
      <c r="GUG60" s="280">
        <v>0</v>
      </c>
      <c r="GUH60" s="280">
        <v>0</v>
      </c>
      <c r="GUI60" s="280">
        <v>0</v>
      </c>
      <c r="GUJ60" s="280">
        <v>0</v>
      </c>
      <c r="GUK60" s="280">
        <v>0</v>
      </c>
      <c r="GUL60" s="280">
        <v>0</v>
      </c>
      <c r="GUM60" s="280">
        <v>0</v>
      </c>
      <c r="GUN60" s="280">
        <v>0</v>
      </c>
      <c r="GUO60" s="280">
        <v>0</v>
      </c>
      <c r="GUP60" s="280">
        <v>0</v>
      </c>
      <c r="GUQ60" s="280">
        <v>0</v>
      </c>
      <c r="GUR60" s="280">
        <v>0</v>
      </c>
      <c r="GUS60" s="280">
        <v>0</v>
      </c>
      <c r="GUT60" s="280">
        <v>0</v>
      </c>
      <c r="GUU60" s="280">
        <v>0</v>
      </c>
      <c r="GUV60" s="280">
        <v>0</v>
      </c>
      <c r="GUW60" s="280">
        <v>0</v>
      </c>
      <c r="GUX60" s="280">
        <v>0</v>
      </c>
      <c r="GUY60" s="280">
        <v>0</v>
      </c>
      <c r="GUZ60" s="280">
        <v>0</v>
      </c>
      <c r="GVA60" s="280">
        <v>0</v>
      </c>
      <c r="GVB60" s="280">
        <v>0</v>
      </c>
      <c r="GVC60" s="280">
        <v>0</v>
      </c>
      <c r="GVD60" s="280">
        <v>0</v>
      </c>
      <c r="GVE60" s="280">
        <v>0</v>
      </c>
      <c r="GVF60" s="280">
        <v>0</v>
      </c>
      <c r="GVG60" s="280">
        <v>0</v>
      </c>
      <c r="GVH60" s="280">
        <v>0</v>
      </c>
      <c r="GVI60" s="280">
        <v>0</v>
      </c>
      <c r="GVJ60" s="280">
        <v>0</v>
      </c>
      <c r="GVK60" s="280">
        <v>0</v>
      </c>
      <c r="GVL60" s="280">
        <v>0</v>
      </c>
      <c r="GVM60" s="280">
        <v>0</v>
      </c>
      <c r="GVN60" s="280">
        <v>0</v>
      </c>
      <c r="GVO60" s="280">
        <v>0</v>
      </c>
      <c r="GVP60" s="280">
        <v>0</v>
      </c>
      <c r="GVQ60" s="280">
        <v>0</v>
      </c>
      <c r="GVR60" s="280">
        <v>0</v>
      </c>
      <c r="GVS60" s="280">
        <v>0</v>
      </c>
      <c r="GVT60" s="280">
        <v>0</v>
      </c>
      <c r="GVU60" s="280">
        <v>0</v>
      </c>
      <c r="GVV60" s="280">
        <v>0</v>
      </c>
      <c r="GVW60" s="280">
        <v>0</v>
      </c>
      <c r="GVX60" s="280">
        <v>0</v>
      </c>
      <c r="GVY60" s="280">
        <v>0</v>
      </c>
      <c r="GVZ60" s="280">
        <v>0</v>
      </c>
      <c r="GWA60" s="280">
        <v>0</v>
      </c>
      <c r="GWB60" s="280">
        <v>0</v>
      </c>
      <c r="GWC60" s="280">
        <v>0</v>
      </c>
      <c r="GWD60" s="280">
        <v>0</v>
      </c>
      <c r="GWE60" s="280">
        <v>0</v>
      </c>
      <c r="GWF60" s="280">
        <v>0</v>
      </c>
      <c r="GWG60" s="280">
        <v>0</v>
      </c>
      <c r="GWH60" s="280">
        <v>0</v>
      </c>
      <c r="GWI60" s="280">
        <v>0</v>
      </c>
      <c r="GWJ60" s="280">
        <v>0</v>
      </c>
      <c r="GWK60" s="280">
        <v>0</v>
      </c>
      <c r="GWL60" s="280">
        <v>0</v>
      </c>
      <c r="GWM60" s="280">
        <v>0</v>
      </c>
      <c r="GWN60" s="280">
        <v>0</v>
      </c>
      <c r="GWO60" s="280">
        <v>0</v>
      </c>
      <c r="GWP60" s="280">
        <v>0</v>
      </c>
      <c r="GWQ60" s="280">
        <v>0</v>
      </c>
      <c r="GWR60" s="280">
        <v>0</v>
      </c>
      <c r="GWS60" s="280">
        <v>0</v>
      </c>
      <c r="GWT60" s="280">
        <v>0</v>
      </c>
      <c r="GWU60" s="280">
        <v>0</v>
      </c>
      <c r="GWV60" s="280">
        <v>0</v>
      </c>
      <c r="GWW60" s="280">
        <v>0</v>
      </c>
      <c r="GWX60" s="280">
        <v>0</v>
      </c>
      <c r="GWY60" s="280">
        <v>0</v>
      </c>
      <c r="GWZ60" s="280">
        <v>0</v>
      </c>
      <c r="GXA60" s="280">
        <v>0</v>
      </c>
      <c r="GXB60" s="280">
        <v>0</v>
      </c>
      <c r="GXC60" s="280">
        <v>0</v>
      </c>
      <c r="GXD60" s="280">
        <v>0</v>
      </c>
      <c r="GXE60" s="280">
        <v>0</v>
      </c>
      <c r="GXF60" s="280">
        <v>0</v>
      </c>
      <c r="GXG60" s="280">
        <v>0</v>
      </c>
      <c r="GXH60" s="280">
        <v>0</v>
      </c>
      <c r="GXI60" s="280">
        <v>0</v>
      </c>
      <c r="GXJ60" s="280">
        <v>0</v>
      </c>
      <c r="GXK60" s="280">
        <v>0</v>
      </c>
      <c r="GXL60" s="280">
        <v>0</v>
      </c>
      <c r="GXM60" s="280">
        <v>0</v>
      </c>
      <c r="GXN60" s="280">
        <v>0</v>
      </c>
      <c r="GXO60" s="280">
        <v>0</v>
      </c>
      <c r="GXP60" s="280">
        <v>0</v>
      </c>
      <c r="GXQ60" s="280">
        <v>0</v>
      </c>
      <c r="GXR60" s="280">
        <v>0</v>
      </c>
      <c r="GXS60" s="280">
        <v>0</v>
      </c>
      <c r="GXT60" s="280">
        <v>0</v>
      </c>
      <c r="GXU60" s="280">
        <v>0</v>
      </c>
      <c r="GXV60" s="280">
        <v>0</v>
      </c>
      <c r="GXW60" s="280">
        <v>0</v>
      </c>
      <c r="GXX60" s="280">
        <v>0</v>
      </c>
      <c r="GXY60" s="280">
        <v>0</v>
      </c>
      <c r="GXZ60" s="280">
        <v>0</v>
      </c>
      <c r="GYA60" s="280">
        <v>0</v>
      </c>
      <c r="GYB60" s="280">
        <v>0</v>
      </c>
      <c r="GYC60" s="280">
        <v>0</v>
      </c>
      <c r="GYD60" s="280">
        <v>0</v>
      </c>
      <c r="GYE60" s="280">
        <v>0</v>
      </c>
      <c r="GYF60" s="280">
        <v>0</v>
      </c>
      <c r="GYG60" s="280">
        <v>0</v>
      </c>
      <c r="GYH60" s="280">
        <v>0</v>
      </c>
      <c r="GYI60" s="280">
        <v>0</v>
      </c>
      <c r="GYJ60" s="280">
        <v>0</v>
      </c>
      <c r="GYK60" s="280">
        <v>0</v>
      </c>
      <c r="GYL60" s="280">
        <v>0</v>
      </c>
      <c r="GYM60" s="280">
        <v>0</v>
      </c>
      <c r="GYN60" s="280">
        <v>0</v>
      </c>
      <c r="GYO60" s="280">
        <v>0</v>
      </c>
      <c r="GYP60" s="280">
        <v>0</v>
      </c>
      <c r="GYQ60" s="280">
        <v>0</v>
      </c>
      <c r="GYR60" s="280">
        <v>0</v>
      </c>
      <c r="GYS60" s="280">
        <v>0</v>
      </c>
      <c r="GYT60" s="280">
        <v>0</v>
      </c>
      <c r="GYU60" s="280">
        <v>0</v>
      </c>
      <c r="GYV60" s="280">
        <v>0</v>
      </c>
      <c r="GYW60" s="280">
        <v>0</v>
      </c>
      <c r="GYX60" s="280">
        <v>0</v>
      </c>
      <c r="GYY60" s="280">
        <v>0</v>
      </c>
      <c r="GYZ60" s="280">
        <v>0</v>
      </c>
      <c r="GZA60" s="280">
        <v>0</v>
      </c>
      <c r="GZB60" s="280">
        <v>0</v>
      </c>
      <c r="GZC60" s="280">
        <v>0</v>
      </c>
      <c r="GZD60" s="280">
        <v>0</v>
      </c>
      <c r="GZE60" s="280">
        <v>0</v>
      </c>
      <c r="GZF60" s="280">
        <v>0</v>
      </c>
      <c r="GZG60" s="280">
        <v>0</v>
      </c>
      <c r="GZH60" s="280">
        <v>0</v>
      </c>
      <c r="GZI60" s="280">
        <v>0</v>
      </c>
      <c r="GZJ60" s="280">
        <v>0</v>
      </c>
      <c r="GZK60" s="280">
        <v>0</v>
      </c>
      <c r="GZL60" s="280">
        <v>0</v>
      </c>
      <c r="GZM60" s="280">
        <v>0</v>
      </c>
      <c r="GZN60" s="280">
        <v>0</v>
      </c>
      <c r="GZO60" s="280">
        <v>0</v>
      </c>
      <c r="GZP60" s="280">
        <v>0</v>
      </c>
      <c r="GZQ60" s="280">
        <v>0</v>
      </c>
      <c r="GZR60" s="280">
        <v>0</v>
      </c>
      <c r="GZS60" s="280">
        <v>0</v>
      </c>
      <c r="GZT60" s="280">
        <v>0</v>
      </c>
      <c r="GZU60" s="280">
        <v>0</v>
      </c>
      <c r="GZV60" s="280">
        <v>0</v>
      </c>
      <c r="GZW60" s="280">
        <v>0</v>
      </c>
      <c r="GZX60" s="280">
        <v>0</v>
      </c>
      <c r="GZY60" s="280">
        <v>0</v>
      </c>
      <c r="GZZ60" s="280">
        <v>0</v>
      </c>
      <c r="HAA60" s="280">
        <v>0</v>
      </c>
      <c r="HAB60" s="280">
        <v>0</v>
      </c>
      <c r="HAC60" s="280">
        <v>0</v>
      </c>
      <c r="HAD60" s="280">
        <v>0</v>
      </c>
      <c r="HAE60" s="280">
        <v>0</v>
      </c>
      <c r="HAF60" s="280">
        <v>0</v>
      </c>
      <c r="HAG60" s="280">
        <v>0</v>
      </c>
      <c r="HAH60" s="280">
        <v>0</v>
      </c>
      <c r="HAI60" s="280">
        <v>0</v>
      </c>
      <c r="HAJ60" s="280">
        <v>0</v>
      </c>
      <c r="HAK60" s="280">
        <v>0</v>
      </c>
      <c r="HAL60" s="280">
        <v>0</v>
      </c>
      <c r="HAM60" s="280">
        <v>0</v>
      </c>
      <c r="HAN60" s="280">
        <v>0</v>
      </c>
      <c r="HAO60" s="280">
        <v>0</v>
      </c>
      <c r="HAP60" s="280">
        <v>0</v>
      </c>
      <c r="HAQ60" s="280">
        <v>0</v>
      </c>
      <c r="HAR60" s="280">
        <v>0</v>
      </c>
      <c r="HAS60" s="280">
        <v>0</v>
      </c>
      <c r="HAT60" s="280">
        <v>0</v>
      </c>
      <c r="HAU60" s="280">
        <v>0</v>
      </c>
      <c r="HAV60" s="280">
        <v>0</v>
      </c>
      <c r="HAW60" s="280">
        <v>0</v>
      </c>
      <c r="HAX60" s="280">
        <v>0</v>
      </c>
      <c r="HAY60" s="280">
        <v>0</v>
      </c>
      <c r="HAZ60" s="280">
        <v>0</v>
      </c>
      <c r="HBA60" s="280">
        <v>0</v>
      </c>
      <c r="HBB60" s="280">
        <v>0</v>
      </c>
      <c r="HBC60" s="280">
        <v>0</v>
      </c>
      <c r="HBD60" s="280">
        <v>0</v>
      </c>
      <c r="HBE60" s="280">
        <v>0</v>
      </c>
      <c r="HBF60" s="280">
        <v>0</v>
      </c>
      <c r="HBG60" s="280">
        <v>0</v>
      </c>
      <c r="HBH60" s="280">
        <v>0</v>
      </c>
      <c r="HBI60" s="280">
        <v>0</v>
      </c>
      <c r="HBJ60" s="280">
        <v>0</v>
      </c>
      <c r="HBK60" s="280">
        <v>0</v>
      </c>
      <c r="HBL60" s="280">
        <v>0</v>
      </c>
      <c r="HBM60" s="280">
        <v>0</v>
      </c>
      <c r="HBN60" s="280">
        <v>0</v>
      </c>
      <c r="HBO60" s="280">
        <v>0</v>
      </c>
      <c r="HBP60" s="280">
        <v>0</v>
      </c>
      <c r="HBQ60" s="280">
        <v>0</v>
      </c>
      <c r="HBR60" s="280">
        <v>0</v>
      </c>
      <c r="HBS60" s="280">
        <v>0</v>
      </c>
      <c r="HBT60" s="280">
        <v>0</v>
      </c>
      <c r="HBU60" s="280">
        <v>0</v>
      </c>
      <c r="HBV60" s="280">
        <v>0</v>
      </c>
      <c r="HBW60" s="280">
        <v>0</v>
      </c>
      <c r="HBX60" s="280">
        <v>0</v>
      </c>
      <c r="HBY60" s="280">
        <v>0</v>
      </c>
      <c r="HBZ60" s="280">
        <v>0</v>
      </c>
      <c r="HCA60" s="280">
        <v>0</v>
      </c>
      <c r="HCB60" s="280">
        <v>0</v>
      </c>
      <c r="HCC60" s="280">
        <v>0</v>
      </c>
      <c r="HCD60" s="280">
        <v>0</v>
      </c>
      <c r="HCE60" s="280">
        <v>0</v>
      </c>
      <c r="HCF60" s="280">
        <v>0</v>
      </c>
      <c r="HCG60" s="280">
        <v>0</v>
      </c>
      <c r="HCH60" s="280">
        <v>0</v>
      </c>
      <c r="HCI60" s="280">
        <v>0</v>
      </c>
      <c r="HCJ60" s="280">
        <v>0</v>
      </c>
      <c r="HCK60" s="280">
        <v>0</v>
      </c>
      <c r="HCL60" s="280">
        <v>0</v>
      </c>
      <c r="HCM60" s="280">
        <v>0</v>
      </c>
      <c r="HCN60" s="280">
        <v>0</v>
      </c>
      <c r="HCO60" s="280">
        <v>0</v>
      </c>
      <c r="HCP60" s="280">
        <v>0</v>
      </c>
      <c r="HCQ60" s="280">
        <v>0</v>
      </c>
      <c r="HCR60" s="280">
        <v>0</v>
      </c>
      <c r="HCS60" s="280">
        <v>0</v>
      </c>
      <c r="HCT60" s="280">
        <v>0</v>
      </c>
      <c r="HCU60" s="280">
        <v>0</v>
      </c>
      <c r="HCV60" s="280">
        <v>0</v>
      </c>
      <c r="HCW60" s="280">
        <v>0</v>
      </c>
      <c r="HCX60" s="280">
        <v>0</v>
      </c>
      <c r="HCY60" s="280">
        <v>0</v>
      </c>
      <c r="HCZ60" s="280">
        <v>0</v>
      </c>
      <c r="HDA60" s="280">
        <v>0</v>
      </c>
      <c r="HDB60" s="280">
        <v>0</v>
      </c>
      <c r="HDC60" s="280">
        <v>0</v>
      </c>
      <c r="HDD60" s="280">
        <v>0</v>
      </c>
      <c r="HDE60" s="280">
        <v>0</v>
      </c>
      <c r="HDF60" s="280">
        <v>0</v>
      </c>
      <c r="HDG60" s="280">
        <v>0</v>
      </c>
      <c r="HDH60" s="280">
        <v>0</v>
      </c>
      <c r="HDI60" s="280">
        <v>0</v>
      </c>
      <c r="HDJ60" s="280">
        <v>0</v>
      </c>
      <c r="HDK60" s="280">
        <v>0</v>
      </c>
      <c r="HDL60" s="280">
        <v>0</v>
      </c>
      <c r="HDM60" s="280">
        <v>0</v>
      </c>
      <c r="HDN60" s="280">
        <v>0</v>
      </c>
      <c r="HDO60" s="280">
        <v>0</v>
      </c>
      <c r="HDP60" s="280">
        <v>0</v>
      </c>
      <c r="HDQ60" s="280">
        <v>0</v>
      </c>
      <c r="HDR60" s="280">
        <v>0</v>
      </c>
      <c r="HDS60" s="280">
        <v>0</v>
      </c>
      <c r="HDT60" s="280">
        <v>0</v>
      </c>
      <c r="HDU60" s="280">
        <v>0</v>
      </c>
      <c r="HDV60" s="280">
        <v>0</v>
      </c>
      <c r="HDW60" s="280">
        <v>0</v>
      </c>
      <c r="HDX60" s="280">
        <v>0</v>
      </c>
      <c r="HDY60" s="280">
        <v>0</v>
      </c>
      <c r="HDZ60" s="280">
        <v>0</v>
      </c>
      <c r="HEA60" s="280">
        <v>0</v>
      </c>
      <c r="HEB60" s="280">
        <v>0</v>
      </c>
      <c r="HEC60" s="280">
        <v>0</v>
      </c>
      <c r="HED60" s="280">
        <v>0</v>
      </c>
      <c r="HEE60" s="280">
        <v>0</v>
      </c>
      <c r="HEF60" s="280">
        <v>0</v>
      </c>
      <c r="HEG60" s="280">
        <v>0</v>
      </c>
      <c r="HEH60" s="280">
        <v>0</v>
      </c>
      <c r="HEI60" s="280">
        <v>0</v>
      </c>
      <c r="HEJ60" s="280">
        <v>0</v>
      </c>
      <c r="HEK60" s="280">
        <v>0</v>
      </c>
      <c r="HEL60" s="280">
        <v>0</v>
      </c>
      <c r="HEM60" s="280">
        <v>0</v>
      </c>
      <c r="HEN60" s="280">
        <v>0</v>
      </c>
      <c r="HEO60" s="280">
        <v>0</v>
      </c>
      <c r="HEP60" s="280">
        <v>0</v>
      </c>
      <c r="HEQ60" s="280">
        <v>0</v>
      </c>
      <c r="HER60" s="280">
        <v>0</v>
      </c>
      <c r="HES60" s="280">
        <v>0</v>
      </c>
      <c r="HET60" s="280">
        <v>0</v>
      </c>
      <c r="HEU60" s="280">
        <v>0</v>
      </c>
      <c r="HEV60" s="280">
        <v>0</v>
      </c>
      <c r="HEW60" s="280">
        <v>0</v>
      </c>
      <c r="HEX60" s="280">
        <v>0</v>
      </c>
      <c r="HEY60" s="280">
        <v>0</v>
      </c>
      <c r="HEZ60" s="280">
        <v>0</v>
      </c>
      <c r="HFA60" s="280">
        <v>0</v>
      </c>
      <c r="HFB60" s="280">
        <v>0</v>
      </c>
      <c r="HFC60" s="280">
        <v>0</v>
      </c>
      <c r="HFD60" s="280">
        <v>0</v>
      </c>
      <c r="HFE60" s="280">
        <v>0</v>
      </c>
      <c r="HFF60" s="280">
        <v>0</v>
      </c>
      <c r="HFG60" s="280">
        <v>0</v>
      </c>
      <c r="HFH60" s="280">
        <v>0</v>
      </c>
      <c r="HFI60" s="280">
        <v>0</v>
      </c>
      <c r="HFJ60" s="280">
        <v>0</v>
      </c>
      <c r="HFK60" s="280">
        <v>0</v>
      </c>
      <c r="HFL60" s="280">
        <v>0</v>
      </c>
      <c r="HFM60" s="280">
        <v>0</v>
      </c>
      <c r="HFN60" s="280">
        <v>0</v>
      </c>
      <c r="HFO60" s="280">
        <v>0</v>
      </c>
      <c r="HFP60" s="280">
        <v>0</v>
      </c>
      <c r="HFQ60" s="280">
        <v>0</v>
      </c>
      <c r="HFR60" s="280">
        <v>0</v>
      </c>
      <c r="HFS60" s="280">
        <v>0</v>
      </c>
      <c r="HFT60" s="280">
        <v>0</v>
      </c>
      <c r="HFU60" s="280">
        <v>0</v>
      </c>
      <c r="HFV60" s="280">
        <v>0</v>
      </c>
      <c r="HFW60" s="280">
        <v>0</v>
      </c>
      <c r="HFX60" s="280">
        <v>0</v>
      </c>
      <c r="HFY60" s="280">
        <v>0</v>
      </c>
      <c r="HFZ60" s="280">
        <v>0</v>
      </c>
      <c r="HGA60" s="280">
        <v>0</v>
      </c>
      <c r="HGB60" s="280">
        <v>0</v>
      </c>
      <c r="HGC60" s="280">
        <v>0</v>
      </c>
      <c r="HGD60" s="280">
        <v>0</v>
      </c>
      <c r="HGE60" s="280">
        <v>0</v>
      </c>
      <c r="HGF60" s="280">
        <v>0</v>
      </c>
      <c r="HGG60" s="280">
        <v>0</v>
      </c>
      <c r="HGH60" s="280">
        <v>0</v>
      </c>
      <c r="HGI60" s="280">
        <v>0</v>
      </c>
      <c r="HGJ60" s="280">
        <v>0</v>
      </c>
      <c r="HGK60" s="280">
        <v>0</v>
      </c>
      <c r="HGL60" s="280">
        <v>0</v>
      </c>
      <c r="HGM60" s="280">
        <v>0</v>
      </c>
      <c r="HGN60" s="280">
        <v>0</v>
      </c>
      <c r="HGO60" s="280">
        <v>0</v>
      </c>
      <c r="HGP60" s="280">
        <v>0</v>
      </c>
      <c r="HGQ60" s="280">
        <v>0</v>
      </c>
      <c r="HGR60" s="280">
        <v>0</v>
      </c>
      <c r="HGS60" s="280">
        <v>0</v>
      </c>
      <c r="HGT60" s="280">
        <v>0</v>
      </c>
      <c r="HGU60" s="280">
        <v>0</v>
      </c>
      <c r="HGV60" s="280">
        <v>0</v>
      </c>
      <c r="HGW60" s="280">
        <v>0</v>
      </c>
      <c r="HGX60" s="280">
        <v>0</v>
      </c>
      <c r="HGY60" s="280">
        <v>0</v>
      </c>
      <c r="HGZ60" s="280">
        <v>0</v>
      </c>
      <c r="HHA60" s="280">
        <v>0</v>
      </c>
      <c r="HHB60" s="280">
        <v>0</v>
      </c>
      <c r="HHC60" s="280">
        <v>0</v>
      </c>
      <c r="HHD60" s="280">
        <v>0</v>
      </c>
      <c r="HHE60" s="280">
        <v>0</v>
      </c>
      <c r="HHF60" s="280">
        <v>0</v>
      </c>
      <c r="HHG60" s="280">
        <v>0</v>
      </c>
      <c r="HHH60" s="280">
        <v>0</v>
      </c>
      <c r="HHI60" s="280">
        <v>0</v>
      </c>
      <c r="HHJ60" s="280">
        <v>0</v>
      </c>
      <c r="HHK60" s="280">
        <v>0</v>
      </c>
      <c r="HHL60" s="280">
        <v>0</v>
      </c>
      <c r="HHM60" s="280">
        <v>0</v>
      </c>
      <c r="HHN60" s="280">
        <v>0</v>
      </c>
      <c r="HHO60" s="280">
        <v>0</v>
      </c>
      <c r="HHP60" s="280">
        <v>0</v>
      </c>
      <c r="HHQ60" s="280">
        <v>0</v>
      </c>
      <c r="HHR60" s="280">
        <v>0</v>
      </c>
      <c r="HHS60" s="280">
        <v>0</v>
      </c>
      <c r="HHT60" s="280">
        <v>0</v>
      </c>
      <c r="HHU60" s="280">
        <v>0</v>
      </c>
      <c r="HHV60" s="280">
        <v>0</v>
      </c>
      <c r="HHW60" s="280">
        <v>0</v>
      </c>
      <c r="HHX60" s="280">
        <v>0</v>
      </c>
      <c r="HHY60" s="280">
        <v>0</v>
      </c>
      <c r="HHZ60" s="280">
        <v>0</v>
      </c>
      <c r="HIA60" s="280">
        <v>0</v>
      </c>
      <c r="HIB60" s="280">
        <v>0</v>
      </c>
      <c r="HIC60" s="280">
        <v>0</v>
      </c>
      <c r="HID60" s="280">
        <v>0</v>
      </c>
      <c r="HIE60" s="280">
        <v>0</v>
      </c>
      <c r="HIF60" s="280">
        <v>0</v>
      </c>
      <c r="HIG60" s="280">
        <v>0</v>
      </c>
      <c r="HIH60" s="280">
        <v>0</v>
      </c>
      <c r="HII60" s="280">
        <v>0</v>
      </c>
      <c r="HIJ60" s="280">
        <v>0</v>
      </c>
      <c r="HIK60" s="280">
        <v>0</v>
      </c>
      <c r="HIL60" s="280">
        <v>0</v>
      </c>
      <c r="HIM60" s="280">
        <v>0</v>
      </c>
      <c r="HIN60" s="280">
        <v>0</v>
      </c>
      <c r="HIO60" s="280">
        <v>0</v>
      </c>
      <c r="HIP60" s="280">
        <v>0</v>
      </c>
      <c r="HIQ60" s="280">
        <v>0</v>
      </c>
      <c r="HIR60" s="280">
        <v>0</v>
      </c>
      <c r="HIS60" s="280">
        <v>0</v>
      </c>
      <c r="HIT60" s="280">
        <v>0</v>
      </c>
      <c r="HIU60" s="280">
        <v>0</v>
      </c>
      <c r="HIV60" s="280">
        <v>0</v>
      </c>
      <c r="HIW60" s="280">
        <v>0</v>
      </c>
      <c r="HIX60" s="280">
        <v>0</v>
      </c>
      <c r="HIY60" s="280">
        <v>0</v>
      </c>
      <c r="HIZ60" s="280">
        <v>0</v>
      </c>
      <c r="HJA60" s="280">
        <v>0</v>
      </c>
      <c r="HJB60" s="280">
        <v>0</v>
      </c>
      <c r="HJC60" s="280">
        <v>0</v>
      </c>
      <c r="HJD60" s="280">
        <v>0</v>
      </c>
      <c r="HJE60" s="280">
        <v>0</v>
      </c>
      <c r="HJF60" s="280">
        <v>0</v>
      </c>
      <c r="HJG60" s="280">
        <v>0</v>
      </c>
      <c r="HJH60" s="280">
        <v>0</v>
      </c>
      <c r="HJI60" s="280">
        <v>0</v>
      </c>
      <c r="HJJ60" s="280">
        <v>0</v>
      </c>
      <c r="HJK60" s="280">
        <v>0</v>
      </c>
      <c r="HJL60" s="280">
        <v>0</v>
      </c>
      <c r="HJM60" s="280">
        <v>0</v>
      </c>
      <c r="HJN60" s="280">
        <v>0</v>
      </c>
      <c r="HJO60" s="280">
        <v>0</v>
      </c>
      <c r="HJP60" s="280">
        <v>0</v>
      </c>
      <c r="HJQ60" s="280">
        <v>0</v>
      </c>
      <c r="HJR60" s="280">
        <v>0</v>
      </c>
      <c r="HJS60" s="280">
        <v>0</v>
      </c>
      <c r="HJT60" s="280">
        <v>0</v>
      </c>
      <c r="HJU60" s="280">
        <v>0</v>
      </c>
      <c r="HJV60" s="280">
        <v>0</v>
      </c>
      <c r="HJW60" s="280">
        <v>0</v>
      </c>
      <c r="HJX60" s="280">
        <v>0</v>
      </c>
      <c r="HJY60" s="280">
        <v>0</v>
      </c>
      <c r="HJZ60" s="280">
        <v>0</v>
      </c>
      <c r="HKA60" s="280">
        <v>0</v>
      </c>
      <c r="HKB60" s="280">
        <v>0</v>
      </c>
      <c r="HKC60" s="280">
        <v>0</v>
      </c>
      <c r="HKD60" s="280">
        <v>0</v>
      </c>
      <c r="HKE60" s="280">
        <v>0</v>
      </c>
      <c r="HKF60" s="280">
        <v>0</v>
      </c>
      <c r="HKG60" s="280">
        <v>0</v>
      </c>
      <c r="HKH60" s="280">
        <v>0</v>
      </c>
      <c r="HKI60" s="280">
        <v>0</v>
      </c>
      <c r="HKJ60" s="280">
        <v>0</v>
      </c>
      <c r="HKK60" s="280">
        <v>0</v>
      </c>
      <c r="HKL60" s="280">
        <v>0</v>
      </c>
      <c r="HKM60" s="280">
        <v>0</v>
      </c>
      <c r="HKN60" s="280">
        <v>0</v>
      </c>
      <c r="HKO60" s="280">
        <v>0</v>
      </c>
      <c r="HKP60" s="280">
        <v>0</v>
      </c>
      <c r="HKQ60" s="280">
        <v>0</v>
      </c>
      <c r="HKR60" s="280">
        <v>0</v>
      </c>
      <c r="HKS60" s="280">
        <v>0</v>
      </c>
      <c r="HKT60" s="280">
        <v>0</v>
      </c>
      <c r="HKU60" s="280">
        <v>0</v>
      </c>
      <c r="HKV60" s="280">
        <v>0</v>
      </c>
      <c r="HKW60" s="280">
        <v>0</v>
      </c>
      <c r="HKX60" s="280">
        <v>0</v>
      </c>
      <c r="HKY60" s="280">
        <v>0</v>
      </c>
      <c r="HKZ60" s="280">
        <v>0</v>
      </c>
      <c r="HLA60" s="280">
        <v>0</v>
      </c>
      <c r="HLB60" s="280">
        <v>0</v>
      </c>
      <c r="HLC60" s="280">
        <v>0</v>
      </c>
      <c r="HLD60" s="280">
        <v>0</v>
      </c>
      <c r="HLE60" s="280">
        <v>0</v>
      </c>
      <c r="HLF60" s="280">
        <v>0</v>
      </c>
      <c r="HLG60" s="280">
        <v>0</v>
      </c>
      <c r="HLH60" s="280">
        <v>0</v>
      </c>
      <c r="HLI60" s="280">
        <v>0</v>
      </c>
      <c r="HLJ60" s="280">
        <v>0</v>
      </c>
      <c r="HLK60" s="280">
        <v>0</v>
      </c>
      <c r="HLL60" s="280">
        <v>0</v>
      </c>
      <c r="HLM60" s="280">
        <v>0</v>
      </c>
      <c r="HLN60" s="280">
        <v>0</v>
      </c>
      <c r="HLO60" s="280">
        <v>0</v>
      </c>
      <c r="HLP60" s="280">
        <v>0</v>
      </c>
      <c r="HLQ60" s="280">
        <v>0</v>
      </c>
      <c r="HLR60" s="280">
        <v>0</v>
      </c>
      <c r="HLS60" s="280">
        <v>0</v>
      </c>
      <c r="HLT60" s="280">
        <v>0</v>
      </c>
      <c r="HLU60" s="280">
        <v>0</v>
      </c>
      <c r="HLV60" s="280">
        <v>0</v>
      </c>
      <c r="HLW60" s="280">
        <v>0</v>
      </c>
      <c r="HLX60" s="280">
        <v>0</v>
      </c>
      <c r="HLY60" s="280">
        <v>0</v>
      </c>
      <c r="HLZ60" s="280">
        <v>0</v>
      </c>
      <c r="HMA60" s="280">
        <v>0</v>
      </c>
      <c r="HMB60" s="280">
        <v>0</v>
      </c>
      <c r="HMC60" s="280">
        <v>0</v>
      </c>
      <c r="HMD60" s="280">
        <v>0</v>
      </c>
      <c r="HME60" s="280">
        <v>0</v>
      </c>
      <c r="HMF60" s="280">
        <v>0</v>
      </c>
      <c r="HMG60" s="280">
        <v>0</v>
      </c>
      <c r="HMH60" s="280">
        <v>0</v>
      </c>
      <c r="HMI60" s="280">
        <v>0</v>
      </c>
      <c r="HMJ60" s="280">
        <v>0</v>
      </c>
      <c r="HMK60" s="280">
        <v>0</v>
      </c>
      <c r="HML60" s="280">
        <v>0</v>
      </c>
      <c r="HMM60" s="280">
        <v>0</v>
      </c>
      <c r="HMN60" s="280">
        <v>0</v>
      </c>
      <c r="HMO60" s="280">
        <v>0</v>
      </c>
      <c r="HMP60" s="280">
        <v>0</v>
      </c>
      <c r="HMQ60" s="280">
        <v>0</v>
      </c>
      <c r="HMR60" s="280">
        <v>0</v>
      </c>
      <c r="HMS60" s="280">
        <v>0</v>
      </c>
      <c r="HMT60" s="280">
        <v>0</v>
      </c>
      <c r="HMU60" s="280">
        <v>0</v>
      </c>
      <c r="HMV60" s="280">
        <v>0</v>
      </c>
      <c r="HMW60" s="280">
        <v>0</v>
      </c>
      <c r="HMX60" s="280">
        <v>0</v>
      </c>
      <c r="HMY60" s="280">
        <v>0</v>
      </c>
      <c r="HMZ60" s="280">
        <v>0</v>
      </c>
      <c r="HNA60" s="280">
        <v>0</v>
      </c>
      <c r="HNB60" s="280">
        <v>0</v>
      </c>
      <c r="HNC60" s="280">
        <v>0</v>
      </c>
      <c r="HND60" s="280">
        <v>0</v>
      </c>
      <c r="HNE60" s="280">
        <v>0</v>
      </c>
      <c r="HNF60" s="280">
        <v>0</v>
      </c>
      <c r="HNG60" s="280">
        <v>0</v>
      </c>
      <c r="HNH60" s="280">
        <v>0</v>
      </c>
      <c r="HNI60" s="280">
        <v>0</v>
      </c>
      <c r="HNJ60" s="280">
        <v>0</v>
      </c>
      <c r="HNK60" s="280">
        <v>0</v>
      </c>
      <c r="HNL60" s="280">
        <v>0</v>
      </c>
      <c r="HNM60" s="280">
        <v>0</v>
      </c>
      <c r="HNN60" s="280">
        <v>0</v>
      </c>
      <c r="HNO60" s="280">
        <v>0</v>
      </c>
      <c r="HNP60" s="280">
        <v>0</v>
      </c>
      <c r="HNQ60" s="280">
        <v>0</v>
      </c>
      <c r="HNR60" s="280">
        <v>0</v>
      </c>
      <c r="HNS60" s="280">
        <v>0</v>
      </c>
      <c r="HNT60" s="280">
        <v>0</v>
      </c>
      <c r="HNU60" s="280">
        <v>0</v>
      </c>
      <c r="HNV60" s="280">
        <v>0</v>
      </c>
      <c r="HNW60" s="280">
        <v>0</v>
      </c>
      <c r="HNX60" s="280">
        <v>0</v>
      </c>
      <c r="HNY60" s="280">
        <v>0</v>
      </c>
      <c r="HNZ60" s="280">
        <v>0</v>
      </c>
      <c r="HOA60" s="280">
        <v>0</v>
      </c>
      <c r="HOB60" s="280">
        <v>0</v>
      </c>
      <c r="HOC60" s="280">
        <v>0</v>
      </c>
      <c r="HOD60" s="280">
        <v>0</v>
      </c>
      <c r="HOE60" s="280">
        <v>0</v>
      </c>
      <c r="HOF60" s="280">
        <v>0</v>
      </c>
      <c r="HOG60" s="280">
        <v>0</v>
      </c>
      <c r="HOH60" s="280">
        <v>0</v>
      </c>
      <c r="HOI60" s="280">
        <v>0</v>
      </c>
      <c r="HOJ60" s="280">
        <v>0</v>
      </c>
      <c r="HOK60" s="280">
        <v>0</v>
      </c>
      <c r="HOL60" s="280">
        <v>0</v>
      </c>
      <c r="HOM60" s="280">
        <v>0</v>
      </c>
      <c r="HON60" s="280">
        <v>0</v>
      </c>
      <c r="HOO60" s="280">
        <v>0</v>
      </c>
      <c r="HOP60" s="280">
        <v>0</v>
      </c>
      <c r="HOQ60" s="280">
        <v>0</v>
      </c>
      <c r="HOR60" s="280">
        <v>0</v>
      </c>
      <c r="HOS60" s="280">
        <v>0</v>
      </c>
      <c r="HOT60" s="280">
        <v>0</v>
      </c>
      <c r="HOU60" s="280">
        <v>0</v>
      </c>
      <c r="HOV60" s="280">
        <v>0</v>
      </c>
      <c r="HOW60" s="280">
        <v>0</v>
      </c>
      <c r="HOX60" s="280">
        <v>0</v>
      </c>
      <c r="HOY60" s="280">
        <v>0</v>
      </c>
      <c r="HOZ60" s="280">
        <v>0</v>
      </c>
      <c r="HPA60" s="280">
        <v>0</v>
      </c>
      <c r="HPB60" s="280">
        <v>0</v>
      </c>
      <c r="HPC60" s="280">
        <v>0</v>
      </c>
      <c r="HPD60" s="280">
        <v>0</v>
      </c>
      <c r="HPE60" s="280">
        <v>0</v>
      </c>
      <c r="HPF60" s="280">
        <v>0</v>
      </c>
      <c r="HPG60" s="280">
        <v>0</v>
      </c>
      <c r="HPH60" s="280">
        <v>0</v>
      </c>
      <c r="HPI60" s="280">
        <v>0</v>
      </c>
      <c r="HPJ60" s="280">
        <v>0</v>
      </c>
      <c r="HPK60" s="280">
        <v>0</v>
      </c>
      <c r="HPL60" s="280">
        <v>0</v>
      </c>
      <c r="HPM60" s="280">
        <v>0</v>
      </c>
      <c r="HPN60" s="280">
        <v>0</v>
      </c>
      <c r="HPO60" s="280">
        <v>0</v>
      </c>
      <c r="HPP60" s="280">
        <v>0</v>
      </c>
      <c r="HPQ60" s="280">
        <v>0</v>
      </c>
      <c r="HPR60" s="280">
        <v>0</v>
      </c>
      <c r="HPS60" s="280">
        <v>0</v>
      </c>
      <c r="HPT60" s="280">
        <v>0</v>
      </c>
      <c r="HPU60" s="280">
        <v>0</v>
      </c>
      <c r="HPV60" s="280">
        <v>0</v>
      </c>
      <c r="HPW60" s="280">
        <v>0</v>
      </c>
      <c r="HPX60" s="280">
        <v>0</v>
      </c>
      <c r="HPY60" s="280">
        <v>0</v>
      </c>
      <c r="HPZ60" s="280">
        <v>0</v>
      </c>
      <c r="HQA60" s="280">
        <v>0</v>
      </c>
      <c r="HQB60" s="280">
        <v>0</v>
      </c>
      <c r="HQC60" s="280">
        <v>0</v>
      </c>
      <c r="HQD60" s="280">
        <v>0</v>
      </c>
      <c r="HQE60" s="280">
        <v>0</v>
      </c>
      <c r="HQF60" s="280">
        <v>0</v>
      </c>
      <c r="HQG60" s="280">
        <v>0</v>
      </c>
      <c r="HQH60" s="280">
        <v>0</v>
      </c>
      <c r="HQI60" s="280">
        <v>0</v>
      </c>
      <c r="HQJ60" s="280">
        <v>0</v>
      </c>
      <c r="HQK60" s="280">
        <v>0</v>
      </c>
      <c r="HQL60" s="280">
        <v>0</v>
      </c>
      <c r="HQM60" s="280">
        <v>0</v>
      </c>
      <c r="HQN60" s="280">
        <v>0</v>
      </c>
      <c r="HQO60" s="280">
        <v>0</v>
      </c>
      <c r="HQP60" s="280">
        <v>0</v>
      </c>
      <c r="HQQ60" s="280">
        <v>0</v>
      </c>
      <c r="HQR60" s="280">
        <v>0</v>
      </c>
      <c r="HQS60" s="280">
        <v>0</v>
      </c>
      <c r="HQT60" s="280">
        <v>0</v>
      </c>
      <c r="HQU60" s="280">
        <v>0</v>
      </c>
      <c r="HQV60" s="280">
        <v>0</v>
      </c>
      <c r="HQW60" s="280">
        <v>0</v>
      </c>
      <c r="HQX60" s="280">
        <v>0</v>
      </c>
      <c r="HQY60" s="280">
        <v>0</v>
      </c>
      <c r="HQZ60" s="280">
        <v>0</v>
      </c>
      <c r="HRA60" s="280">
        <v>0</v>
      </c>
      <c r="HRB60" s="280">
        <v>0</v>
      </c>
      <c r="HRC60" s="280">
        <v>0</v>
      </c>
      <c r="HRD60" s="280">
        <v>0</v>
      </c>
      <c r="HRE60" s="280">
        <v>0</v>
      </c>
      <c r="HRF60" s="280">
        <v>0</v>
      </c>
      <c r="HRG60" s="280">
        <v>0</v>
      </c>
      <c r="HRH60" s="280">
        <v>0</v>
      </c>
      <c r="HRI60" s="280">
        <v>0</v>
      </c>
      <c r="HRJ60" s="280">
        <v>0</v>
      </c>
      <c r="HRK60" s="280">
        <v>0</v>
      </c>
      <c r="HRL60" s="280">
        <v>0</v>
      </c>
      <c r="HRM60" s="280">
        <v>0</v>
      </c>
      <c r="HRN60" s="280">
        <v>0</v>
      </c>
      <c r="HRO60" s="280">
        <v>0</v>
      </c>
      <c r="HRP60" s="280">
        <v>0</v>
      </c>
      <c r="HRQ60" s="280">
        <v>0</v>
      </c>
      <c r="HRR60" s="280">
        <v>0</v>
      </c>
      <c r="HRS60" s="280">
        <v>0</v>
      </c>
      <c r="HRT60" s="280">
        <v>0</v>
      </c>
      <c r="HRU60" s="280">
        <v>0</v>
      </c>
      <c r="HRV60" s="280">
        <v>0</v>
      </c>
      <c r="HRW60" s="280">
        <v>0</v>
      </c>
      <c r="HRX60" s="280">
        <v>0</v>
      </c>
      <c r="HRY60" s="280">
        <v>0</v>
      </c>
      <c r="HRZ60" s="280">
        <v>0</v>
      </c>
      <c r="HSA60" s="280">
        <v>0</v>
      </c>
      <c r="HSB60" s="280">
        <v>0</v>
      </c>
      <c r="HSC60" s="280">
        <v>0</v>
      </c>
      <c r="HSD60" s="280">
        <v>0</v>
      </c>
      <c r="HSE60" s="280">
        <v>0</v>
      </c>
      <c r="HSF60" s="280">
        <v>0</v>
      </c>
      <c r="HSG60" s="280">
        <v>0</v>
      </c>
      <c r="HSH60" s="280">
        <v>0</v>
      </c>
      <c r="HSI60" s="280">
        <v>0</v>
      </c>
      <c r="HSJ60" s="280">
        <v>0</v>
      </c>
      <c r="HSK60" s="280">
        <v>0</v>
      </c>
      <c r="HSL60" s="280">
        <v>0</v>
      </c>
      <c r="HSM60" s="280">
        <v>0</v>
      </c>
      <c r="HSN60" s="280">
        <v>0</v>
      </c>
      <c r="HSO60" s="280">
        <v>0</v>
      </c>
      <c r="HSP60" s="280">
        <v>0</v>
      </c>
      <c r="HSQ60" s="280">
        <v>0</v>
      </c>
      <c r="HSR60" s="280">
        <v>0</v>
      </c>
      <c r="HSS60" s="280">
        <v>0</v>
      </c>
      <c r="HST60" s="280">
        <v>0</v>
      </c>
      <c r="HSU60" s="280">
        <v>0</v>
      </c>
      <c r="HSV60" s="280">
        <v>0</v>
      </c>
      <c r="HSW60" s="280">
        <v>0</v>
      </c>
      <c r="HSX60" s="280">
        <v>0</v>
      </c>
      <c r="HSY60" s="280">
        <v>0</v>
      </c>
      <c r="HSZ60" s="280">
        <v>0</v>
      </c>
      <c r="HTA60" s="280">
        <v>0</v>
      </c>
      <c r="HTB60" s="280">
        <v>0</v>
      </c>
      <c r="HTC60" s="280">
        <v>0</v>
      </c>
      <c r="HTD60" s="280">
        <v>0</v>
      </c>
      <c r="HTE60" s="280">
        <v>0</v>
      </c>
      <c r="HTF60" s="280">
        <v>0</v>
      </c>
      <c r="HTG60" s="280">
        <v>0</v>
      </c>
      <c r="HTH60" s="280">
        <v>0</v>
      </c>
      <c r="HTI60" s="280">
        <v>0</v>
      </c>
      <c r="HTJ60" s="280">
        <v>0</v>
      </c>
      <c r="HTK60" s="280">
        <v>0</v>
      </c>
      <c r="HTL60" s="280">
        <v>0</v>
      </c>
      <c r="HTM60" s="280">
        <v>0</v>
      </c>
      <c r="HTN60" s="280">
        <v>0</v>
      </c>
      <c r="HTO60" s="280">
        <v>0</v>
      </c>
      <c r="HTP60" s="280">
        <v>0</v>
      </c>
      <c r="HTQ60" s="280">
        <v>0</v>
      </c>
      <c r="HTR60" s="280">
        <v>0</v>
      </c>
      <c r="HTS60" s="280">
        <v>0</v>
      </c>
      <c r="HTT60" s="280">
        <v>0</v>
      </c>
      <c r="HTU60" s="280">
        <v>0</v>
      </c>
      <c r="HTV60" s="280">
        <v>0</v>
      </c>
      <c r="HTW60" s="280">
        <v>0</v>
      </c>
      <c r="HTX60" s="280">
        <v>0</v>
      </c>
      <c r="HTY60" s="280">
        <v>0</v>
      </c>
      <c r="HTZ60" s="280">
        <v>0</v>
      </c>
      <c r="HUA60" s="280">
        <v>0</v>
      </c>
      <c r="HUB60" s="280">
        <v>0</v>
      </c>
      <c r="HUC60" s="280">
        <v>0</v>
      </c>
      <c r="HUD60" s="280">
        <v>0</v>
      </c>
      <c r="HUE60" s="280">
        <v>0</v>
      </c>
      <c r="HUF60" s="280">
        <v>0</v>
      </c>
      <c r="HUG60" s="280">
        <v>0</v>
      </c>
      <c r="HUH60" s="280">
        <v>0</v>
      </c>
      <c r="HUI60" s="280">
        <v>0</v>
      </c>
      <c r="HUJ60" s="280">
        <v>0</v>
      </c>
      <c r="HUK60" s="280">
        <v>0</v>
      </c>
      <c r="HUL60" s="280">
        <v>0</v>
      </c>
      <c r="HUM60" s="280">
        <v>0</v>
      </c>
      <c r="HUN60" s="280">
        <v>0</v>
      </c>
      <c r="HUO60" s="280">
        <v>0</v>
      </c>
      <c r="HUP60" s="280">
        <v>0</v>
      </c>
      <c r="HUQ60" s="280">
        <v>0</v>
      </c>
      <c r="HUR60" s="280">
        <v>0</v>
      </c>
      <c r="HUS60" s="280">
        <v>0</v>
      </c>
      <c r="HUT60" s="280">
        <v>0</v>
      </c>
      <c r="HUU60" s="280">
        <v>0</v>
      </c>
      <c r="HUV60" s="280">
        <v>0</v>
      </c>
      <c r="HUW60" s="280">
        <v>0</v>
      </c>
      <c r="HUX60" s="280">
        <v>0</v>
      </c>
      <c r="HUY60" s="280">
        <v>0</v>
      </c>
      <c r="HUZ60" s="280">
        <v>0</v>
      </c>
      <c r="HVA60" s="280">
        <v>0</v>
      </c>
      <c r="HVB60" s="280">
        <v>0</v>
      </c>
      <c r="HVC60" s="280">
        <v>0</v>
      </c>
      <c r="HVD60" s="280">
        <v>0</v>
      </c>
      <c r="HVE60" s="280">
        <v>0</v>
      </c>
      <c r="HVF60" s="280">
        <v>0</v>
      </c>
      <c r="HVG60" s="280">
        <v>0</v>
      </c>
      <c r="HVH60" s="280">
        <v>0</v>
      </c>
      <c r="HVI60" s="280">
        <v>0</v>
      </c>
      <c r="HVJ60" s="280">
        <v>0</v>
      </c>
      <c r="HVK60" s="280">
        <v>0</v>
      </c>
      <c r="HVL60" s="280">
        <v>0</v>
      </c>
      <c r="HVM60" s="280">
        <v>0</v>
      </c>
      <c r="HVN60" s="280">
        <v>0</v>
      </c>
      <c r="HVO60" s="280">
        <v>0</v>
      </c>
      <c r="HVP60" s="280">
        <v>0</v>
      </c>
      <c r="HVQ60" s="280">
        <v>0</v>
      </c>
      <c r="HVR60" s="280">
        <v>0</v>
      </c>
      <c r="HVS60" s="280">
        <v>0</v>
      </c>
      <c r="HVT60" s="280">
        <v>0</v>
      </c>
      <c r="HVU60" s="280">
        <v>0</v>
      </c>
      <c r="HVV60" s="280">
        <v>0</v>
      </c>
      <c r="HVW60" s="280">
        <v>0</v>
      </c>
      <c r="HVX60" s="280">
        <v>0</v>
      </c>
      <c r="HVY60" s="280">
        <v>0</v>
      </c>
      <c r="HVZ60" s="280">
        <v>0</v>
      </c>
      <c r="HWA60" s="280">
        <v>0</v>
      </c>
      <c r="HWB60" s="280">
        <v>0</v>
      </c>
      <c r="HWC60" s="280">
        <v>0</v>
      </c>
      <c r="HWD60" s="280">
        <v>0</v>
      </c>
      <c r="HWE60" s="280">
        <v>0</v>
      </c>
      <c r="HWF60" s="280">
        <v>0</v>
      </c>
      <c r="HWG60" s="280">
        <v>0</v>
      </c>
      <c r="HWH60" s="280">
        <v>0</v>
      </c>
      <c r="HWI60" s="280">
        <v>0</v>
      </c>
      <c r="HWJ60" s="280">
        <v>0</v>
      </c>
      <c r="HWK60" s="280">
        <v>0</v>
      </c>
      <c r="HWL60" s="280">
        <v>0</v>
      </c>
      <c r="HWM60" s="280">
        <v>0</v>
      </c>
      <c r="HWN60" s="280">
        <v>0</v>
      </c>
      <c r="HWO60" s="280">
        <v>0</v>
      </c>
      <c r="HWP60" s="280">
        <v>0</v>
      </c>
      <c r="HWQ60" s="280">
        <v>0</v>
      </c>
      <c r="HWR60" s="280">
        <v>0</v>
      </c>
      <c r="HWS60" s="280">
        <v>0</v>
      </c>
      <c r="HWT60" s="280">
        <v>0</v>
      </c>
      <c r="HWU60" s="280">
        <v>0</v>
      </c>
      <c r="HWV60" s="280">
        <v>0</v>
      </c>
      <c r="HWW60" s="280">
        <v>0</v>
      </c>
      <c r="HWX60" s="280">
        <v>0</v>
      </c>
      <c r="HWY60" s="280">
        <v>0</v>
      </c>
      <c r="HWZ60" s="280">
        <v>0</v>
      </c>
      <c r="HXA60" s="280">
        <v>0</v>
      </c>
      <c r="HXB60" s="280">
        <v>0</v>
      </c>
      <c r="HXC60" s="280">
        <v>0</v>
      </c>
      <c r="HXD60" s="280">
        <v>0</v>
      </c>
      <c r="HXE60" s="280">
        <v>0</v>
      </c>
      <c r="HXF60" s="280">
        <v>0</v>
      </c>
      <c r="HXG60" s="280">
        <v>0</v>
      </c>
      <c r="HXH60" s="280">
        <v>0</v>
      </c>
      <c r="HXI60" s="280">
        <v>0</v>
      </c>
      <c r="HXJ60" s="280">
        <v>0</v>
      </c>
      <c r="HXK60" s="280">
        <v>0</v>
      </c>
      <c r="HXL60" s="280">
        <v>0</v>
      </c>
      <c r="HXM60" s="280">
        <v>0</v>
      </c>
      <c r="HXN60" s="280">
        <v>0</v>
      </c>
      <c r="HXO60" s="280">
        <v>0</v>
      </c>
      <c r="HXP60" s="280">
        <v>0</v>
      </c>
      <c r="HXQ60" s="280">
        <v>0</v>
      </c>
      <c r="HXR60" s="280">
        <v>0</v>
      </c>
      <c r="HXS60" s="280">
        <v>0</v>
      </c>
      <c r="HXT60" s="280">
        <v>0</v>
      </c>
      <c r="HXU60" s="280">
        <v>0</v>
      </c>
      <c r="HXV60" s="280">
        <v>0</v>
      </c>
      <c r="HXW60" s="280">
        <v>0</v>
      </c>
      <c r="HXX60" s="280">
        <v>0</v>
      </c>
      <c r="HXY60" s="280">
        <v>0</v>
      </c>
      <c r="HXZ60" s="280">
        <v>0</v>
      </c>
      <c r="HYA60" s="280">
        <v>0</v>
      </c>
      <c r="HYB60" s="280">
        <v>0</v>
      </c>
      <c r="HYC60" s="280">
        <v>0</v>
      </c>
      <c r="HYD60" s="280">
        <v>0</v>
      </c>
      <c r="HYE60" s="280">
        <v>0</v>
      </c>
      <c r="HYF60" s="280">
        <v>0</v>
      </c>
      <c r="HYG60" s="280">
        <v>0</v>
      </c>
      <c r="HYH60" s="280">
        <v>0</v>
      </c>
      <c r="HYI60" s="280">
        <v>0</v>
      </c>
      <c r="HYJ60" s="280">
        <v>0</v>
      </c>
      <c r="HYK60" s="280">
        <v>0</v>
      </c>
      <c r="HYL60" s="280">
        <v>0</v>
      </c>
      <c r="HYM60" s="280">
        <v>0</v>
      </c>
      <c r="HYN60" s="280">
        <v>0</v>
      </c>
      <c r="HYO60" s="280">
        <v>0</v>
      </c>
      <c r="HYP60" s="280">
        <v>0</v>
      </c>
      <c r="HYQ60" s="280">
        <v>0</v>
      </c>
      <c r="HYR60" s="280">
        <v>0</v>
      </c>
      <c r="HYS60" s="280">
        <v>0</v>
      </c>
      <c r="HYT60" s="280">
        <v>0</v>
      </c>
      <c r="HYU60" s="280">
        <v>0</v>
      </c>
      <c r="HYV60" s="280">
        <v>0</v>
      </c>
      <c r="HYW60" s="280">
        <v>0</v>
      </c>
      <c r="HYX60" s="280">
        <v>0</v>
      </c>
      <c r="HYY60" s="280">
        <v>0</v>
      </c>
      <c r="HYZ60" s="280">
        <v>0</v>
      </c>
      <c r="HZA60" s="280">
        <v>0</v>
      </c>
      <c r="HZB60" s="280">
        <v>0</v>
      </c>
      <c r="HZC60" s="280">
        <v>0</v>
      </c>
      <c r="HZD60" s="280">
        <v>0</v>
      </c>
      <c r="HZE60" s="280">
        <v>0</v>
      </c>
      <c r="HZF60" s="280">
        <v>0</v>
      </c>
      <c r="HZG60" s="280">
        <v>0</v>
      </c>
      <c r="HZH60" s="280">
        <v>0</v>
      </c>
      <c r="HZI60" s="280">
        <v>0</v>
      </c>
      <c r="HZJ60" s="280">
        <v>0</v>
      </c>
      <c r="HZK60" s="280">
        <v>0</v>
      </c>
      <c r="HZL60" s="280">
        <v>0</v>
      </c>
      <c r="HZM60" s="280">
        <v>0</v>
      </c>
      <c r="HZN60" s="280">
        <v>0</v>
      </c>
      <c r="HZO60" s="280">
        <v>0</v>
      </c>
      <c r="HZP60" s="280">
        <v>0</v>
      </c>
      <c r="HZQ60" s="280">
        <v>0</v>
      </c>
      <c r="HZR60" s="280">
        <v>0</v>
      </c>
      <c r="HZS60" s="280">
        <v>0</v>
      </c>
      <c r="HZT60" s="280">
        <v>0</v>
      </c>
      <c r="HZU60" s="280">
        <v>0</v>
      </c>
      <c r="HZV60" s="280">
        <v>0</v>
      </c>
      <c r="HZW60" s="280">
        <v>0</v>
      </c>
      <c r="HZX60" s="280">
        <v>0</v>
      </c>
      <c r="HZY60" s="280">
        <v>0</v>
      </c>
      <c r="HZZ60" s="280">
        <v>0</v>
      </c>
      <c r="IAA60" s="280">
        <v>0</v>
      </c>
      <c r="IAB60" s="280">
        <v>0</v>
      </c>
      <c r="IAC60" s="280">
        <v>0</v>
      </c>
      <c r="IAD60" s="280">
        <v>0</v>
      </c>
      <c r="IAE60" s="280">
        <v>0</v>
      </c>
      <c r="IAF60" s="280">
        <v>0</v>
      </c>
      <c r="IAG60" s="280">
        <v>0</v>
      </c>
      <c r="IAH60" s="280">
        <v>0</v>
      </c>
      <c r="IAI60" s="280">
        <v>0</v>
      </c>
      <c r="IAJ60" s="280">
        <v>0</v>
      </c>
      <c r="IAK60" s="280">
        <v>0</v>
      </c>
      <c r="IAL60" s="280">
        <v>0</v>
      </c>
      <c r="IAM60" s="280">
        <v>0</v>
      </c>
      <c r="IAN60" s="280">
        <v>0</v>
      </c>
      <c r="IAO60" s="280">
        <v>0</v>
      </c>
      <c r="IAP60" s="280">
        <v>0</v>
      </c>
      <c r="IAQ60" s="280">
        <v>0</v>
      </c>
      <c r="IAR60" s="280">
        <v>0</v>
      </c>
      <c r="IAS60" s="280">
        <v>0</v>
      </c>
      <c r="IAT60" s="280">
        <v>0</v>
      </c>
      <c r="IAU60" s="280">
        <v>0</v>
      </c>
      <c r="IAV60" s="280">
        <v>0</v>
      </c>
      <c r="IAW60" s="280">
        <v>0</v>
      </c>
      <c r="IAX60" s="280">
        <v>0</v>
      </c>
      <c r="IAY60" s="280">
        <v>0</v>
      </c>
      <c r="IAZ60" s="280">
        <v>0</v>
      </c>
      <c r="IBA60" s="280">
        <v>0</v>
      </c>
      <c r="IBB60" s="280">
        <v>0</v>
      </c>
      <c r="IBC60" s="280">
        <v>0</v>
      </c>
      <c r="IBD60" s="280">
        <v>0</v>
      </c>
      <c r="IBE60" s="280">
        <v>0</v>
      </c>
      <c r="IBF60" s="280">
        <v>0</v>
      </c>
      <c r="IBG60" s="280">
        <v>0</v>
      </c>
      <c r="IBH60" s="280">
        <v>0</v>
      </c>
      <c r="IBI60" s="280">
        <v>0</v>
      </c>
      <c r="IBJ60" s="280">
        <v>0</v>
      </c>
      <c r="IBK60" s="280">
        <v>0</v>
      </c>
      <c r="IBL60" s="280">
        <v>0</v>
      </c>
      <c r="IBM60" s="280">
        <v>0</v>
      </c>
      <c r="IBN60" s="280">
        <v>0</v>
      </c>
      <c r="IBO60" s="280">
        <v>0</v>
      </c>
      <c r="IBP60" s="280">
        <v>0</v>
      </c>
      <c r="IBQ60" s="280">
        <v>0</v>
      </c>
      <c r="IBR60" s="280">
        <v>0</v>
      </c>
      <c r="IBS60" s="280">
        <v>0</v>
      </c>
      <c r="IBT60" s="280">
        <v>0</v>
      </c>
      <c r="IBU60" s="280">
        <v>0</v>
      </c>
      <c r="IBV60" s="280">
        <v>0</v>
      </c>
      <c r="IBW60" s="280">
        <v>0</v>
      </c>
      <c r="IBX60" s="280">
        <v>0</v>
      </c>
      <c r="IBY60" s="280">
        <v>0</v>
      </c>
      <c r="IBZ60" s="280">
        <v>0</v>
      </c>
      <c r="ICA60" s="280">
        <v>0</v>
      </c>
      <c r="ICB60" s="280">
        <v>0</v>
      </c>
      <c r="ICC60" s="280">
        <v>0</v>
      </c>
      <c r="ICD60" s="280">
        <v>0</v>
      </c>
      <c r="ICE60" s="280">
        <v>0</v>
      </c>
      <c r="ICF60" s="280">
        <v>0</v>
      </c>
      <c r="ICG60" s="280">
        <v>0</v>
      </c>
      <c r="ICH60" s="280">
        <v>0</v>
      </c>
      <c r="ICI60" s="280">
        <v>0</v>
      </c>
      <c r="ICJ60" s="280">
        <v>0</v>
      </c>
      <c r="ICK60" s="280">
        <v>0</v>
      </c>
      <c r="ICL60" s="280">
        <v>0</v>
      </c>
      <c r="ICM60" s="280">
        <v>0</v>
      </c>
      <c r="ICN60" s="280">
        <v>0</v>
      </c>
      <c r="ICO60" s="280">
        <v>0</v>
      </c>
      <c r="ICP60" s="280">
        <v>0</v>
      </c>
      <c r="ICQ60" s="280">
        <v>0</v>
      </c>
      <c r="ICR60" s="280">
        <v>0</v>
      </c>
      <c r="ICS60" s="280">
        <v>0</v>
      </c>
      <c r="ICT60" s="280">
        <v>0</v>
      </c>
      <c r="ICU60" s="280">
        <v>0</v>
      </c>
      <c r="ICV60" s="280">
        <v>0</v>
      </c>
      <c r="ICW60" s="280">
        <v>0</v>
      </c>
      <c r="ICX60" s="280">
        <v>0</v>
      </c>
      <c r="ICY60" s="280">
        <v>0</v>
      </c>
      <c r="ICZ60" s="280">
        <v>0</v>
      </c>
      <c r="IDA60" s="280">
        <v>0</v>
      </c>
      <c r="IDB60" s="280">
        <v>0</v>
      </c>
      <c r="IDC60" s="280">
        <v>0</v>
      </c>
      <c r="IDD60" s="280">
        <v>0</v>
      </c>
      <c r="IDE60" s="280">
        <v>0</v>
      </c>
      <c r="IDF60" s="280">
        <v>0</v>
      </c>
      <c r="IDG60" s="280">
        <v>0</v>
      </c>
      <c r="IDH60" s="280">
        <v>0</v>
      </c>
      <c r="IDI60" s="280">
        <v>0</v>
      </c>
      <c r="IDJ60" s="280">
        <v>0</v>
      </c>
      <c r="IDK60" s="280">
        <v>0</v>
      </c>
      <c r="IDL60" s="280">
        <v>0</v>
      </c>
      <c r="IDM60" s="280">
        <v>0</v>
      </c>
      <c r="IDN60" s="280">
        <v>0</v>
      </c>
      <c r="IDO60" s="280">
        <v>0</v>
      </c>
      <c r="IDP60" s="280">
        <v>0</v>
      </c>
      <c r="IDQ60" s="280">
        <v>0</v>
      </c>
      <c r="IDR60" s="280">
        <v>0</v>
      </c>
      <c r="IDS60" s="280">
        <v>0</v>
      </c>
      <c r="IDT60" s="280">
        <v>0</v>
      </c>
      <c r="IDU60" s="280">
        <v>0</v>
      </c>
      <c r="IDV60" s="280">
        <v>0</v>
      </c>
      <c r="IDW60" s="280">
        <v>0</v>
      </c>
      <c r="IDX60" s="280">
        <v>0</v>
      </c>
      <c r="IDY60" s="280">
        <v>0</v>
      </c>
      <c r="IDZ60" s="280">
        <v>0</v>
      </c>
      <c r="IEA60" s="280">
        <v>0</v>
      </c>
      <c r="IEB60" s="280">
        <v>0</v>
      </c>
      <c r="IEC60" s="280">
        <v>0</v>
      </c>
      <c r="IED60" s="280">
        <v>0</v>
      </c>
      <c r="IEE60" s="280">
        <v>0</v>
      </c>
      <c r="IEF60" s="280">
        <v>0</v>
      </c>
      <c r="IEG60" s="280">
        <v>0</v>
      </c>
      <c r="IEH60" s="280">
        <v>0</v>
      </c>
      <c r="IEI60" s="280">
        <v>0</v>
      </c>
      <c r="IEJ60" s="280">
        <v>0</v>
      </c>
      <c r="IEK60" s="280">
        <v>0</v>
      </c>
      <c r="IEL60" s="280">
        <v>0</v>
      </c>
      <c r="IEM60" s="280">
        <v>0</v>
      </c>
      <c r="IEN60" s="280">
        <v>0</v>
      </c>
      <c r="IEO60" s="280">
        <v>0</v>
      </c>
      <c r="IEP60" s="280">
        <v>0</v>
      </c>
      <c r="IEQ60" s="280">
        <v>0</v>
      </c>
      <c r="IER60" s="280">
        <v>0</v>
      </c>
      <c r="IES60" s="280">
        <v>0</v>
      </c>
      <c r="IET60" s="280">
        <v>0</v>
      </c>
      <c r="IEU60" s="280">
        <v>0</v>
      </c>
      <c r="IEV60" s="280">
        <v>0</v>
      </c>
      <c r="IEW60" s="280">
        <v>0</v>
      </c>
      <c r="IEX60" s="280">
        <v>0</v>
      </c>
      <c r="IEY60" s="280">
        <v>0</v>
      </c>
      <c r="IEZ60" s="280">
        <v>0</v>
      </c>
      <c r="IFA60" s="280">
        <v>0</v>
      </c>
      <c r="IFB60" s="280">
        <v>0</v>
      </c>
      <c r="IFC60" s="280">
        <v>0</v>
      </c>
      <c r="IFD60" s="280">
        <v>0</v>
      </c>
      <c r="IFE60" s="280">
        <v>0</v>
      </c>
      <c r="IFF60" s="280">
        <v>0</v>
      </c>
      <c r="IFG60" s="280">
        <v>0</v>
      </c>
      <c r="IFH60" s="280">
        <v>0</v>
      </c>
      <c r="IFI60" s="280">
        <v>0</v>
      </c>
      <c r="IFJ60" s="280">
        <v>0</v>
      </c>
      <c r="IFK60" s="280">
        <v>0</v>
      </c>
      <c r="IFL60" s="280">
        <v>0</v>
      </c>
      <c r="IFM60" s="280">
        <v>0</v>
      </c>
      <c r="IFN60" s="280">
        <v>0</v>
      </c>
      <c r="IFO60" s="280">
        <v>0</v>
      </c>
      <c r="IFP60" s="280">
        <v>0</v>
      </c>
      <c r="IFQ60" s="280">
        <v>0</v>
      </c>
      <c r="IFR60" s="280">
        <v>0</v>
      </c>
      <c r="IFS60" s="280">
        <v>0</v>
      </c>
      <c r="IFT60" s="280">
        <v>0</v>
      </c>
      <c r="IFU60" s="280">
        <v>0</v>
      </c>
      <c r="IFV60" s="280">
        <v>0</v>
      </c>
      <c r="IFW60" s="280">
        <v>0</v>
      </c>
      <c r="IFX60" s="280">
        <v>0</v>
      </c>
      <c r="IFY60" s="280">
        <v>0</v>
      </c>
      <c r="IFZ60" s="280">
        <v>0</v>
      </c>
      <c r="IGA60" s="280">
        <v>0</v>
      </c>
      <c r="IGB60" s="280">
        <v>0</v>
      </c>
      <c r="IGC60" s="280">
        <v>0</v>
      </c>
      <c r="IGD60" s="280">
        <v>0</v>
      </c>
      <c r="IGE60" s="280">
        <v>0</v>
      </c>
      <c r="IGF60" s="280">
        <v>0</v>
      </c>
      <c r="IGG60" s="280">
        <v>0</v>
      </c>
      <c r="IGH60" s="280">
        <v>0</v>
      </c>
      <c r="IGI60" s="280">
        <v>0</v>
      </c>
      <c r="IGJ60" s="280">
        <v>0</v>
      </c>
      <c r="IGK60" s="280">
        <v>0</v>
      </c>
      <c r="IGL60" s="280">
        <v>0</v>
      </c>
      <c r="IGM60" s="280">
        <v>0</v>
      </c>
      <c r="IGN60" s="280">
        <v>0</v>
      </c>
      <c r="IGO60" s="280">
        <v>0</v>
      </c>
      <c r="IGP60" s="280">
        <v>0</v>
      </c>
      <c r="IGQ60" s="280">
        <v>0</v>
      </c>
      <c r="IGR60" s="280">
        <v>0</v>
      </c>
      <c r="IGS60" s="280">
        <v>0</v>
      </c>
      <c r="IGT60" s="280">
        <v>0</v>
      </c>
      <c r="IGU60" s="280">
        <v>0</v>
      </c>
      <c r="IGV60" s="280">
        <v>0</v>
      </c>
      <c r="IGW60" s="280">
        <v>0</v>
      </c>
      <c r="IGX60" s="280">
        <v>0</v>
      </c>
      <c r="IGY60" s="280">
        <v>0</v>
      </c>
      <c r="IGZ60" s="280">
        <v>0</v>
      </c>
      <c r="IHA60" s="280">
        <v>0</v>
      </c>
      <c r="IHB60" s="280">
        <v>0</v>
      </c>
      <c r="IHC60" s="280">
        <v>0</v>
      </c>
      <c r="IHD60" s="280">
        <v>0</v>
      </c>
      <c r="IHE60" s="280">
        <v>0</v>
      </c>
      <c r="IHF60" s="280">
        <v>0</v>
      </c>
      <c r="IHG60" s="280">
        <v>0</v>
      </c>
      <c r="IHH60" s="280">
        <v>0</v>
      </c>
      <c r="IHI60" s="280">
        <v>0</v>
      </c>
      <c r="IHJ60" s="280">
        <v>0</v>
      </c>
      <c r="IHK60" s="280">
        <v>0</v>
      </c>
      <c r="IHL60" s="280">
        <v>0</v>
      </c>
      <c r="IHM60" s="280">
        <v>0</v>
      </c>
      <c r="IHN60" s="280">
        <v>0</v>
      </c>
      <c r="IHO60" s="280">
        <v>0</v>
      </c>
      <c r="IHP60" s="280">
        <v>0</v>
      </c>
      <c r="IHQ60" s="280">
        <v>0</v>
      </c>
      <c r="IHR60" s="280">
        <v>0</v>
      </c>
      <c r="IHS60" s="280">
        <v>0</v>
      </c>
      <c r="IHT60" s="280">
        <v>0</v>
      </c>
      <c r="IHU60" s="280">
        <v>0</v>
      </c>
      <c r="IHV60" s="280">
        <v>0</v>
      </c>
      <c r="IHW60" s="280">
        <v>0</v>
      </c>
      <c r="IHX60" s="280">
        <v>0</v>
      </c>
      <c r="IHY60" s="280">
        <v>0</v>
      </c>
      <c r="IHZ60" s="280">
        <v>0</v>
      </c>
      <c r="IIA60" s="280">
        <v>0</v>
      </c>
      <c r="IIB60" s="280">
        <v>0</v>
      </c>
      <c r="IIC60" s="280">
        <v>0</v>
      </c>
      <c r="IID60" s="280">
        <v>0</v>
      </c>
      <c r="IIE60" s="280">
        <v>0</v>
      </c>
      <c r="IIF60" s="280">
        <v>0</v>
      </c>
      <c r="IIG60" s="280">
        <v>0</v>
      </c>
      <c r="IIH60" s="280">
        <v>0</v>
      </c>
      <c r="III60" s="280">
        <v>0</v>
      </c>
      <c r="IIJ60" s="280">
        <v>0</v>
      </c>
      <c r="IIK60" s="280">
        <v>0</v>
      </c>
      <c r="IIL60" s="280">
        <v>0</v>
      </c>
      <c r="IIM60" s="280">
        <v>0</v>
      </c>
      <c r="IIN60" s="280">
        <v>0</v>
      </c>
      <c r="IIO60" s="280">
        <v>0</v>
      </c>
      <c r="IIP60" s="280">
        <v>0</v>
      </c>
      <c r="IIQ60" s="280">
        <v>0</v>
      </c>
      <c r="IIR60" s="280">
        <v>0</v>
      </c>
      <c r="IIS60" s="280">
        <v>0</v>
      </c>
      <c r="IIT60" s="280">
        <v>0</v>
      </c>
      <c r="IIU60" s="280">
        <v>0</v>
      </c>
      <c r="IIV60" s="280">
        <v>0</v>
      </c>
      <c r="IIW60" s="280">
        <v>0</v>
      </c>
      <c r="IIX60" s="280">
        <v>0</v>
      </c>
      <c r="IIY60" s="280">
        <v>0</v>
      </c>
      <c r="IIZ60" s="280">
        <v>0</v>
      </c>
      <c r="IJA60" s="280">
        <v>0</v>
      </c>
      <c r="IJB60" s="280">
        <v>0</v>
      </c>
      <c r="IJC60" s="280">
        <v>0</v>
      </c>
      <c r="IJD60" s="280">
        <v>0</v>
      </c>
      <c r="IJE60" s="280">
        <v>0</v>
      </c>
      <c r="IJF60" s="280">
        <v>0</v>
      </c>
      <c r="IJG60" s="280">
        <v>0</v>
      </c>
      <c r="IJH60" s="280">
        <v>0</v>
      </c>
      <c r="IJI60" s="280">
        <v>0</v>
      </c>
      <c r="IJJ60" s="280">
        <v>0</v>
      </c>
      <c r="IJK60" s="280">
        <v>0</v>
      </c>
      <c r="IJL60" s="280">
        <v>0</v>
      </c>
      <c r="IJM60" s="280">
        <v>0</v>
      </c>
      <c r="IJN60" s="280">
        <v>0</v>
      </c>
      <c r="IJO60" s="280">
        <v>0</v>
      </c>
      <c r="IJP60" s="280">
        <v>0</v>
      </c>
      <c r="IJQ60" s="280">
        <v>0</v>
      </c>
      <c r="IJR60" s="280">
        <v>0</v>
      </c>
      <c r="IJS60" s="280">
        <v>0</v>
      </c>
      <c r="IJT60" s="280">
        <v>0</v>
      </c>
      <c r="IJU60" s="280">
        <v>0</v>
      </c>
      <c r="IJV60" s="280">
        <v>0</v>
      </c>
      <c r="IJW60" s="280">
        <v>0</v>
      </c>
      <c r="IJX60" s="280">
        <v>0</v>
      </c>
      <c r="IJY60" s="280">
        <v>0</v>
      </c>
      <c r="IJZ60" s="280">
        <v>0</v>
      </c>
      <c r="IKA60" s="280">
        <v>0</v>
      </c>
      <c r="IKB60" s="280">
        <v>0</v>
      </c>
      <c r="IKC60" s="280">
        <v>0</v>
      </c>
      <c r="IKD60" s="280">
        <v>0</v>
      </c>
      <c r="IKE60" s="280">
        <v>0</v>
      </c>
      <c r="IKF60" s="280">
        <v>0</v>
      </c>
      <c r="IKG60" s="280">
        <v>0</v>
      </c>
      <c r="IKH60" s="280">
        <v>0</v>
      </c>
      <c r="IKI60" s="280">
        <v>0</v>
      </c>
      <c r="IKJ60" s="280">
        <v>0</v>
      </c>
      <c r="IKK60" s="280">
        <v>0</v>
      </c>
      <c r="IKL60" s="280">
        <v>0</v>
      </c>
      <c r="IKM60" s="280">
        <v>0</v>
      </c>
      <c r="IKN60" s="280">
        <v>0</v>
      </c>
      <c r="IKO60" s="280">
        <v>0</v>
      </c>
      <c r="IKP60" s="280">
        <v>0</v>
      </c>
      <c r="IKQ60" s="280">
        <v>0</v>
      </c>
      <c r="IKR60" s="280">
        <v>0</v>
      </c>
      <c r="IKS60" s="280">
        <v>0</v>
      </c>
      <c r="IKT60" s="280">
        <v>0</v>
      </c>
      <c r="IKU60" s="280">
        <v>0</v>
      </c>
      <c r="IKV60" s="280">
        <v>0</v>
      </c>
      <c r="IKW60" s="280">
        <v>0</v>
      </c>
      <c r="IKX60" s="280">
        <v>0</v>
      </c>
      <c r="IKY60" s="280">
        <v>0</v>
      </c>
      <c r="IKZ60" s="280">
        <v>0</v>
      </c>
      <c r="ILA60" s="280">
        <v>0</v>
      </c>
      <c r="ILB60" s="280">
        <v>0</v>
      </c>
      <c r="ILC60" s="280">
        <v>0</v>
      </c>
      <c r="ILD60" s="280">
        <v>0</v>
      </c>
      <c r="ILE60" s="280">
        <v>0</v>
      </c>
      <c r="ILF60" s="280">
        <v>0</v>
      </c>
      <c r="ILG60" s="280">
        <v>0</v>
      </c>
      <c r="ILH60" s="280">
        <v>0</v>
      </c>
      <c r="ILI60" s="280">
        <v>0</v>
      </c>
      <c r="ILJ60" s="280">
        <v>0</v>
      </c>
      <c r="ILK60" s="280">
        <v>0</v>
      </c>
      <c r="ILL60" s="280">
        <v>0</v>
      </c>
      <c r="ILM60" s="280">
        <v>0</v>
      </c>
      <c r="ILN60" s="280">
        <v>0</v>
      </c>
      <c r="ILO60" s="280">
        <v>0</v>
      </c>
      <c r="ILP60" s="280">
        <v>0</v>
      </c>
      <c r="ILQ60" s="280">
        <v>0</v>
      </c>
      <c r="ILR60" s="280">
        <v>0</v>
      </c>
      <c r="ILS60" s="280">
        <v>0</v>
      </c>
      <c r="ILT60" s="280">
        <v>0</v>
      </c>
      <c r="ILU60" s="280">
        <v>0</v>
      </c>
      <c r="ILV60" s="280">
        <v>0</v>
      </c>
      <c r="ILW60" s="280">
        <v>0</v>
      </c>
      <c r="ILX60" s="280">
        <v>0</v>
      </c>
      <c r="ILY60" s="280">
        <v>0</v>
      </c>
      <c r="ILZ60" s="280">
        <v>0</v>
      </c>
      <c r="IMA60" s="280">
        <v>0</v>
      </c>
      <c r="IMB60" s="280">
        <v>0</v>
      </c>
      <c r="IMC60" s="280">
        <v>0</v>
      </c>
      <c r="IMD60" s="280">
        <v>0</v>
      </c>
      <c r="IME60" s="280">
        <v>0</v>
      </c>
      <c r="IMF60" s="280">
        <v>0</v>
      </c>
      <c r="IMG60" s="280">
        <v>0</v>
      </c>
      <c r="IMH60" s="280">
        <v>0</v>
      </c>
      <c r="IMI60" s="280">
        <v>0</v>
      </c>
      <c r="IMJ60" s="280">
        <v>0</v>
      </c>
      <c r="IMK60" s="280">
        <v>0</v>
      </c>
      <c r="IML60" s="280">
        <v>0</v>
      </c>
      <c r="IMM60" s="280">
        <v>0</v>
      </c>
      <c r="IMN60" s="280">
        <v>0</v>
      </c>
      <c r="IMO60" s="280">
        <v>0</v>
      </c>
      <c r="IMP60" s="280">
        <v>0</v>
      </c>
      <c r="IMQ60" s="280">
        <v>0</v>
      </c>
      <c r="IMR60" s="280">
        <v>0</v>
      </c>
      <c r="IMS60" s="280">
        <v>0</v>
      </c>
      <c r="IMT60" s="280">
        <v>0</v>
      </c>
      <c r="IMU60" s="280">
        <v>0</v>
      </c>
      <c r="IMV60" s="280">
        <v>0</v>
      </c>
      <c r="IMW60" s="280">
        <v>0</v>
      </c>
      <c r="IMX60" s="280">
        <v>0</v>
      </c>
      <c r="IMY60" s="280">
        <v>0</v>
      </c>
      <c r="IMZ60" s="280">
        <v>0</v>
      </c>
      <c r="INA60" s="280">
        <v>0</v>
      </c>
      <c r="INB60" s="280">
        <v>0</v>
      </c>
      <c r="INC60" s="280">
        <v>0</v>
      </c>
      <c r="IND60" s="280">
        <v>0</v>
      </c>
      <c r="INE60" s="280">
        <v>0</v>
      </c>
      <c r="INF60" s="280">
        <v>0</v>
      </c>
      <c r="ING60" s="280">
        <v>0</v>
      </c>
      <c r="INH60" s="280">
        <v>0</v>
      </c>
      <c r="INI60" s="280">
        <v>0</v>
      </c>
      <c r="INJ60" s="280">
        <v>0</v>
      </c>
      <c r="INK60" s="280">
        <v>0</v>
      </c>
      <c r="INL60" s="280">
        <v>0</v>
      </c>
      <c r="INM60" s="280">
        <v>0</v>
      </c>
      <c r="INN60" s="280">
        <v>0</v>
      </c>
      <c r="INO60" s="280">
        <v>0</v>
      </c>
      <c r="INP60" s="280">
        <v>0</v>
      </c>
      <c r="INQ60" s="280">
        <v>0</v>
      </c>
      <c r="INR60" s="280">
        <v>0</v>
      </c>
      <c r="INS60" s="280">
        <v>0</v>
      </c>
      <c r="INT60" s="280">
        <v>0</v>
      </c>
      <c r="INU60" s="280">
        <v>0</v>
      </c>
      <c r="INV60" s="280">
        <v>0</v>
      </c>
      <c r="INW60" s="280">
        <v>0</v>
      </c>
      <c r="INX60" s="280">
        <v>0</v>
      </c>
      <c r="INY60" s="280">
        <v>0</v>
      </c>
      <c r="INZ60" s="280">
        <v>0</v>
      </c>
      <c r="IOA60" s="280">
        <v>0</v>
      </c>
      <c r="IOB60" s="280">
        <v>0</v>
      </c>
      <c r="IOC60" s="280">
        <v>0</v>
      </c>
      <c r="IOD60" s="280">
        <v>0</v>
      </c>
      <c r="IOE60" s="280">
        <v>0</v>
      </c>
      <c r="IOF60" s="280">
        <v>0</v>
      </c>
      <c r="IOG60" s="280">
        <v>0</v>
      </c>
      <c r="IOH60" s="280">
        <v>0</v>
      </c>
      <c r="IOI60" s="280">
        <v>0</v>
      </c>
      <c r="IOJ60" s="280">
        <v>0</v>
      </c>
      <c r="IOK60" s="280">
        <v>0</v>
      </c>
      <c r="IOL60" s="280">
        <v>0</v>
      </c>
      <c r="IOM60" s="280">
        <v>0</v>
      </c>
      <c r="ION60" s="280">
        <v>0</v>
      </c>
      <c r="IOO60" s="280">
        <v>0</v>
      </c>
      <c r="IOP60" s="280">
        <v>0</v>
      </c>
      <c r="IOQ60" s="280">
        <v>0</v>
      </c>
      <c r="IOR60" s="280">
        <v>0</v>
      </c>
      <c r="IOS60" s="280">
        <v>0</v>
      </c>
      <c r="IOT60" s="280">
        <v>0</v>
      </c>
      <c r="IOU60" s="280">
        <v>0</v>
      </c>
      <c r="IOV60" s="280">
        <v>0</v>
      </c>
      <c r="IOW60" s="280">
        <v>0</v>
      </c>
      <c r="IOX60" s="280">
        <v>0</v>
      </c>
      <c r="IOY60" s="280">
        <v>0</v>
      </c>
      <c r="IOZ60" s="280">
        <v>0</v>
      </c>
      <c r="IPA60" s="280">
        <v>0</v>
      </c>
      <c r="IPB60" s="280">
        <v>0</v>
      </c>
      <c r="IPC60" s="280">
        <v>0</v>
      </c>
      <c r="IPD60" s="280">
        <v>0</v>
      </c>
      <c r="IPE60" s="280">
        <v>0</v>
      </c>
      <c r="IPF60" s="280">
        <v>0</v>
      </c>
      <c r="IPG60" s="280">
        <v>0</v>
      </c>
      <c r="IPH60" s="280">
        <v>0</v>
      </c>
      <c r="IPI60" s="280">
        <v>0</v>
      </c>
      <c r="IPJ60" s="280">
        <v>0</v>
      </c>
      <c r="IPK60" s="280">
        <v>0</v>
      </c>
      <c r="IPL60" s="280">
        <v>0</v>
      </c>
      <c r="IPM60" s="280">
        <v>0</v>
      </c>
      <c r="IPN60" s="280">
        <v>0</v>
      </c>
      <c r="IPO60" s="280">
        <v>0</v>
      </c>
      <c r="IPP60" s="280">
        <v>0</v>
      </c>
      <c r="IPQ60" s="280">
        <v>0</v>
      </c>
      <c r="IPR60" s="280">
        <v>0</v>
      </c>
      <c r="IPS60" s="280">
        <v>0</v>
      </c>
      <c r="IPT60" s="280">
        <v>0</v>
      </c>
      <c r="IPU60" s="280">
        <v>0</v>
      </c>
      <c r="IPV60" s="280">
        <v>0</v>
      </c>
      <c r="IPW60" s="280">
        <v>0</v>
      </c>
      <c r="IPX60" s="280">
        <v>0</v>
      </c>
      <c r="IPY60" s="280">
        <v>0</v>
      </c>
      <c r="IPZ60" s="280">
        <v>0</v>
      </c>
      <c r="IQA60" s="280">
        <v>0</v>
      </c>
      <c r="IQB60" s="280">
        <v>0</v>
      </c>
      <c r="IQC60" s="280">
        <v>0</v>
      </c>
      <c r="IQD60" s="280">
        <v>0</v>
      </c>
      <c r="IQE60" s="280">
        <v>0</v>
      </c>
      <c r="IQF60" s="280">
        <v>0</v>
      </c>
      <c r="IQG60" s="280">
        <v>0</v>
      </c>
      <c r="IQH60" s="280">
        <v>0</v>
      </c>
      <c r="IQI60" s="280">
        <v>0</v>
      </c>
      <c r="IQJ60" s="280">
        <v>0</v>
      </c>
      <c r="IQK60" s="280">
        <v>0</v>
      </c>
      <c r="IQL60" s="280">
        <v>0</v>
      </c>
      <c r="IQM60" s="280">
        <v>0</v>
      </c>
      <c r="IQN60" s="280">
        <v>0</v>
      </c>
      <c r="IQO60" s="280">
        <v>0</v>
      </c>
      <c r="IQP60" s="280">
        <v>0</v>
      </c>
      <c r="IQQ60" s="280">
        <v>0</v>
      </c>
      <c r="IQR60" s="280">
        <v>0</v>
      </c>
      <c r="IQS60" s="280">
        <v>0</v>
      </c>
      <c r="IQT60" s="280">
        <v>0</v>
      </c>
      <c r="IQU60" s="280">
        <v>0</v>
      </c>
      <c r="IQV60" s="280">
        <v>0</v>
      </c>
      <c r="IQW60" s="280">
        <v>0</v>
      </c>
      <c r="IQX60" s="280">
        <v>0</v>
      </c>
      <c r="IQY60" s="280">
        <v>0</v>
      </c>
      <c r="IQZ60" s="280">
        <v>0</v>
      </c>
      <c r="IRA60" s="280">
        <v>0</v>
      </c>
      <c r="IRB60" s="280">
        <v>0</v>
      </c>
      <c r="IRC60" s="280">
        <v>0</v>
      </c>
      <c r="IRD60" s="280">
        <v>0</v>
      </c>
      <c r="IRE60" s="280">
        <v>0</v>
      </c>
      <c r="IRF60" s="280">
        <v>0</v>
      </c>
      <c r="IRG60" s="280">
        <v>0</v>
      </c>
      <c r="IRH60" s="280">
        <v>0</v>
      </c>
      <c r="IRI60" s="280">
        <v>0</v>
      </c>
      <c r="IRJ60" s="280">
        <v>0</v>
      </c>
      <c r="IRK60" s="280">
        <v>0</v>
      </c>
      <c r="IRL60" s="280">
        <v>0</v>
      </c>
      <c r="IRM60" s="280">
        <v>0</v>
      </c>
      <c r="IRN60" s="280">
        <v>0</v>
      </c>
      <c r="IRO60" s="280">
        <v>0</v>
      </c>
      <c r="IRP60" s="280">
        <v>0</v>
      </c>
      <c r="IRQ60" s="280">
        <v>0</v>
      </c>
      <c r="IRR60" s="280">
        <v>0</v>
      </c>
      <c r="IRS60" s="280">
        <v>0</v>
      </c>
      <c r="IRT60" s="280">
        <v>0</v>
      </c>
      <c r="IRU60" s="280">
        <v>0</v>
      </c>
      <c r="IRV60" s="280">
        <v>0</v>
      </c>
      <c r="IRW60" s="280">
        <v>0</v>
      </c>
      <c r="IRX60" s="280">
        <v>0</v>
      </c>
      <c r="IRY60" s="280">
        <v>0</v>
      </c>
      <c r="IRZ60" s="280">
        <v>0</v>
      </c>
      <c r="ISA60" s="280">
        <v>0</v>
      </c>
      <c r="ISB60" s="280">
        <v>0</v>
      </c>
      <c r="ISC60" s="280">
        <v>0</v>
      </c>
      <c r="ISD60" s="280">
        <v>0</v>
      </c>
      <c r="ISE60" s="280">
        <v>0</v>
      </c>
      <c r="ISF60" s="280">
        <v>0</v>
      </c>
      <c r="ISG60" s="280">
        <v>0</v>
      </c>
      <c r="ISH60" s="280">
        <v>0</v>
      </c>
      <c r="ISI60" s="280">
        <v>0</v>
      </c>
      <c r="ISJ60" s="280">
        <v>0</v>
      </c>
      <c r="ISK60" s="280">
        <v>0</v>
      </c>
      <c r="ISL60" s="280">
        <v>0</v>
      </c>
      <c r="ISM60" s="280">
        <v>0</v>
      </c>
      <c r="ISN60" s="280">
        <v>0</v>
      </c>
      <c r="ISO60" s="280">
        <v>0</v>
      </c>
      <c r="ISP60" s="280">
        <v>0</v>
      </c>
      <c r="ISQ60" s="280">
        <v>0</v>
      </c>
      <c r="ISR60" s="280">
        <v>0</v>
      </c>
      <c r="ISS60" s="280">
        <v>0</v>
      </c>
      <c r="IST60" s="280">
        <v>0</v>
      </c>
      <c r="ISU60" s="280">
        <v>0</v>
      </c>
      <c r="ISV60" s="280">
        <v>0</v>
      </c>
      <c r="ISW60" s="280">
        <v>0</v>
      </c>
      <c r="ISX60" s="280">
        <v>0</v>
      </c>
      <c r="ISY60" s="280">
        <v>0</v>
      </c>
      <c r="ISZ60" s="280">
        <v>0</v>
      </c>
      <c r="ITA60" s="280">
        <v>0</v>
      </c>
      <c r="ITB60" s="280">
        <v>0</v>
      </c>
      <c r="ITC60" s="280">
        <v>0</v>
      </c>
      <c r="ITD60" s="280">
        <v>0</v>
      </c>
      <c r="ITE60" s="280">
        <v>0</v>
      </c>
      <c r="ITF60" s="280">
        <v>0</v>
      </c>
      <c r="ITG60" s="280">
        <v>0</v>
      </c>
      <c r="ITH60" s="280">
        <v>0</v>
      </c>
      <c r="ITI60" s="280">
        <v>0</v>
      </c>
      <c r="ITJ60" s="280">
        <v>0</v>
      </c>
      <c r="ITK60" s="280">
        <v>0</v>
      </c>
      <c r="ITL60" s="280">
        <v>0</v>
      </c>
      <c r="ITM60" s="280">
        <v>0</v>
      </c>
      <c r="ITN60" s="280">
        <v>0</v>
      </c>
      <c r="ITO60" s="280">
        <v>0</v>
      </c>
      <c r="ITP60" s="280">
        <v>0</v>
      </c>
      <c r="ITQ60" s="280">
        <v>0</v>
      </c>
      <c r="ITR60" s="280">
        <v>0</v>
      </c>
      <c r="ITS60" s="280">
        <v>0</v>
      </c>
      <c r="ITT60" s="280">
        <v>0</v>
      </c>
      <c r="ITU60" s="280">
        <v>0</v>
      </c>
      <c r="ITV60" s="280">
        <v>0</v>
      </c>
      <c r="ITW60" s="280">
        <v>0</v>
      </c>
      <c r="ITX60" s="280">
        <v>0</v>
      </c>
      <c r="ITY60" s="280">
        <v>0</v>
      </c>
      <c r="ITZ60" s="280">
        <v>0</v>
      </c>
      <c r="IUA60" s="280">
        <v>0</v>
      </c>
      <c r="IUB60" s="280">
        <v>0</v>
      </c>
      <c r="IUC60" s="280">
        <v>0</v>
      </c>
      <c r="IUD60" s="280">
        <v>0</v>
      </c>
      <c r="IUE60" s="280">
        <v>0</v>
      </c>
      <c r="IUF60" s="280">
        <v>0</v>
      </c>
      <c r="IUG60" s="280">
        <v>0</v>
      </c>
      <c r="IUH60" s="280">
        <v>0</v>
      </c>
      <c r="IUI60" s="280">
        <v>0</v>
      </c>
      <c r="IUJ60" s="280">
        <v>0</v>
      </c>
      <c r="IUK60" s="280">
        <v>0</v>
      </c>
      <c r="IUL60" s="280">
        <v>0</v>
      </c>
      <c r="IUM60" s="280">
        <v>0</v>
      </c>
      <c r="IUN60" s="280">
        <v>0</v>
      </c>
      <c r="IUO60" s="280">
        <v>0</v>
      </c>
      <c r="IUP60" s="280">
        <v>0</v>
      </c>
      <c r="IUQ60" s="280">
        <v>0</v>
      </c>
      <c r="IUR60" s="280">
        <v>0</v>
      </c>
      <c r="IUS60" s="280">
        <v>0</v>
      </c>
      <c r="IUT60" s="280">
        <v>0</v>
      </c>
      <c r="IUU60" s="280">
        <v>0</v>
      </c>
      <c r="IUV60" s="280">
        <v>0</v>
      </c>
      <c r="IUW60" s="280">
        <v>0</v>
      </c>
      <c r="IUX60" s="280">
        <v>0</v>
      </c>
      <c r="IUY60" s="280">
        <v>0</v>
      </c>
      <c r="IUZ60" s="280">
        <v>0</v>
      </c>
      <c r="IVA60" s="280">
        <v>0</v>
      </c>
      <c r="IVB60" s="280">
        <v>0</v>
      </c>
      <c r="IVC60" s="280">
        <v>0</v>
      </c>
      <c r="IVD60" s="280">
        <v>0</v>
      </c>
      <c r="IVE60" s="280">
        <v>0</v>
      </c>
      <c r="IVF60" s="280">
        <v>0</v>
      </c>
      <c r="IVG60" s="280">
        <v>0</v>
      </c>
      <c r="IVH60" s="280">
        <v>0</v>
      </c>
      <c r="IVI60" s="280">
        <v>0</v>
      </c>
      <c r="IVJ60" s="280">
        <v>0</v>
      </c>
      <c r="IVK60" s="280">
        <v>0</v>
      </c>
      <c r="IVL60" s="280">
        <v>0</v>
      </c>
      <c r="IVM60" s="280">
        <v>0</v>
      </c>
      <c r="IVN60" s="280">
        <v>0</v>
      </c>
      <c r="IVO60" s="280">
        <v>0</v>
      </c>
      <c r="IVP60" s="280">
        <v>0</v>
      </c>
      <c r="IVQ60" s="280">
        <v>0</v>
      </c>
      <c r="IVR60" s="280">
        <v>0</v>
      </c>
      <c r="IVS60" s="280">
        <v>0</v>
      </c>
      <c r="IVT60" s="280">
        <v>0</v>
      </c>
      <c r="IVU60" s="280">
        <v>0</v>
      </c>
      <c r="IVV60" s="280">
        <v>0</v>
      </c>
      <c r="IVW60" s="280">
        <v>0</v>
      </c>
      <c r="IVX60" s="280">
        <v>0</v>
      </c>
      <c r="IVY60" s="280">
        <v>0</v>
      </c>
      <c r="IVZ60" s="280">
        <v>0</v>
      </c>
      <c r="IWA60" s="280">
        <v>0</v>
      </c>
      <c r="IWB60" s="280">
        <v>0</v>
      </c>
      <c r="IWC60" s="280">
        <v>0</v>
      </c>
      <c r="IWD60" s="280">
        <v>0</v>
      </c>
      <c r="IWE60" s="280">
        <v>0</v>
      </c>
      <c r="IWF60" s="280">
        <v>0</v>
      </c>
      <c r="IWG60" s="280">
        <v>0</v>
      </c>
      <c r="IWH60" s="280">
        <v>0</v>
      </c>
      <c r="IWI60" s="280">
        <v>0</v>
      </c>
      <c r="IWJ60" s="280">
        <v>0</v>
      </c>
      <c r="IWK60" s="280">
        <v>0</v>
      </c>
      <c r="IWL60" s="280">
        <v>0</v>
      </c>
      <c r="IWM60" s="280">
        <v>0</v>
      </c>
      <c r="IWN60" s="280">
        <v>0</v>
      </c>
      <c r="IWO60" s="280">
        <v>0</v>
      </c>
      <c r="IWP60" s="280">
        <v>0</v>
      </c>
      <c r="IWQ60" s="280">
        <v>0</v>
      </c>
      <c r="IWR60" s="280">
        <v>0</v>
      </c>
      <c r="IWS60" s="280">
        <v>0</v>
      </c>
      <c r="IWT60" s="280">
        <v>0</v>
      </c>
      <c r="IWU60" s="280">
        <v>0</v>
      </c>
      <c r="IWV60" s="280">
        <v>0</v>
      </c>
      <c r="IWW60" s="280">
        <v>0</v>
      </c>
      <c r="IWX60" s="280">
        <v>0</v>
      </c>
      <c r="IWY60" s="280">
        <v>0</v>
      </c>
      <c r="IWZ60" s="280">
        <v>0</v>
      </c>
      <c r="IXA60" s="280">
        <v>0</v>
      </c>
      <c r="IXB60" s="280">
        <v>0</v>
      </c>
      <c r="IXC60" s="280">
        <v>0</v>
      </c>
      <c r="IXD60" s="280">
        <v>0</v>
      </c>
      <c r="IXE60" s="280">
        <v>0</v>
      </c>
      <c r="IXF60" s="280">
        <v>0</v>
      </c>
      <c r="IXG60" s="280">
        <v>0</v>
      </c>
      <c r="IXH60" s="280">
        <v>0</v>
      </c>
      <c r="IXI60" s="280">
        <v>0</v>
      </c>
      <c r="IXJ60" s="280">
        <v>0</v>
      </c>
      <c r="IXK60" s="280">
        <v>0</v>
      </c>
      <c r="IXL60" s="280">
        <v>0</v>
      </c>
      <c r="IXM60" s="280">
        <v>0</v>
      </c>
      <c r="IXN60" s="280">
        <v>0</v>
      </c>
      <c r="IXO60" s="280">
        <v>0</v>
      </c>
      <c r="IXP60" s="280">
        <v>0</v>
      </c>
      <c r="IXQ60" s="280">
        <v>0</v>
      </c>
      <c r="IXR60" s="280">
        <v>0</v>
      </c>
      <c r="IXS60" s="280">
        <v>0</v>
      </c>
      <c r="IXT60" s="280">
        <v>0</v>
      </c>
      <c r="IXU60" s="280">
        <v>0</v>
      </c>
      <c r="IXV60" s="280">
        <v>0</v>
      </c>
      <c r="IXW60" s="280">
        <v>0</v>
      </c>
      <c r="IXX60" s="280">
        <v>0</v>
      </c>
      <c r="IXY60" s="280">
        <v>0</v>
      </c>
      <c r="IXZ60" s="280">
        <v>0</v>
      </c>
      <c r="IYA60" s="280">
        <v>0</v>
      </c>
      <c r="IYB60" s="280">
        <v>0</v>
      </c>
      <c r="IYC60" s="280">
        <v>0</v>
      </c>
      <c r="IYD60" s="280">
        <v>0</v>
      </c>
      <c r="IYE60" s="280">
        <v>0</v>
      </c>
      <c r="IYF60" s="280">
        <v>0</v>
      </c>
      <c r="IYG60" s="280">
        <v>0</v>
      </c>
      <c r="IYH60" s="280">
        <v>0</v>
      </c>
      <c r="IYI60" s="280">
        <v>0</v>
      </c>
      <c r="IYJ60" s="280">
        <v>0</v>
      </c>
      <c r="IYK60" s="280">
        <v>0</v>
      </c>
      <c r="IYL60" s="280">
        <v>0</v>
      </c>
      <c r="IYM60" s="280">
        <v>0</v>
      </c>
      <c r="IYN60" s="280">
        <v>0</v>
      </c>
      <c r="IYO60" s="280">
        <v>0</v>
      </c>
      <c r="IYP60" s="280">
        <v>0</v>
      </c>
      <c r="IYQ60" s="280">
        <v>0</v>
      </c>
      <c r="IYR60" s="280">
        <v>0</v>
      </c>
      <c r="IYS60" s="280">
        <v>0</v>
      </c>
      <c r="IYT60" s="280">
        <v>0</v>
      </c>
      <c r="IYU60" s="280">
        <v>0</v>
      </c>
      <c r="IYV60" s="280">
        <v>0</v>
      </c>
      <c r="IYW60" s="280">
        <v>0</v>
      </c>
      <c r="IYX60" s="280">
        <v>0</v>
      </c>
      <c r="IYY60" s="280">
        <v>0</v>
      </c>
      <c r="IYZ60" s="280">
        <v>0</v>
      </c>
      <c r="IZA60" s="280">
        <v>0</v>
      </c>
      <c r="IZB60" s="280">
        <v>0</v>
      </c>
      <c r="IZC60" s="280">
        <v>0</v>
      </c>
      <c r="IZD60" s="280">
        <v>0</v>
      </c>
      <c r="IZE60" s="280">
        <v>0</v>
      </c>
      <c r="IZF60" s="280">
        <v>0</v>
      </c>
      <c r="IZG60" s="280">
        <v>0</v>
      </c>
      <c r="IZH60" s="280">
        <v>0</v>
      </c>
      <c r="IZI60" s="280">
        <v>0</v>
      </c>
      <c r="IZJ60" s="280">
        <v>0</v>
      </c>
      <c r="IZK60" s="280">
        <v>0</v>
      </c>
      <c r="IZL60" s="280">
        <v>0</v>
      </c>
      <c r="IZM60" s="280">
        <v>0</v>
      </c>
      <c r="IZN60" s="280">
        <v>0</v>
      </c>
      <c r="IZO60" s="280">
        <v>0</v>
      </c>
      <c r="IZP60" s="280">
        <v>0</v>
      </c>
      <c r="IZQ60" s="280">
        <v>0</v>
      </c>
      <c r="IZR60" s="280">
        <v>0</v>
      </c>
      <c r="IZS60" s="280">
        <v>0</v>
      </c>
      <c r="IZT60" s="280">
        <v>0</v>
      </c>
      <c r="IZU60" s="280">
        <v>0</v>
      </c>
      <c r="IZV60" s="280">
        <v>0</v>
      </c>
      <c r="IZW60" s="280">
        <v>0</v>
      </c>
      <c r="IZX60" s="280">
        <v>0</v>
      </c>
      <c r="IZY60" s="280">
        <v>0</v>
      </c>
      <c r="IZZ60" s="280">
        <v>0</v>
      </c>
      <c r="JAA60" s="280">
        <v>0</v>
      </c>
      <c r="JAB60" s="280">
        <v>0</v>
      </c>
      <c r="JAC60" s="280">
        <v>0</v>
      </c>
      <c r="JAD60" s="280">
        <v>0</v>
      </c>
      <c r="JAE60" s="280">
        <v>0</v>
      </c>
      <c r="JAF60" s="280">
        <v>0</v>
      </c>
      <c r="JAG60" s="280">
        <v>0</v>
      </c>
      <c r="JAH60" s="280">
        <v>0</v>
      </c>
      <c r="JAI60" s="280">
        <v>0</v>
      </c>
      <c r="JAJ60" s="280">
        <v>0</v>
      </c>
      <c r="JAK60" s="280">
        <v>0</v>
      </c>
      <c r="JAL60" s="280">
        <v>0</v>
      </c>
      <c r="JAM60" s="280">
        <v>0</v>
      </c>
      <c r="JAN60" s="280">
        <v>0</v>
      </c>
      <c r="JAO60" s="280">
        <v>0</v>
      </c>
      <c r="JAP60" s="280">
        <v>0</v>
      </c>
      <c r="JAQ60" s="280">
        <v>0</v>
      </c>
      <c r="JAR60" s="280">
        <v>0</v>
      </c>
      <c r="JAS60" s="280">
        <v>0</v>
      </c>
      <c r="JAT60" s="280">
        <v>0</v>
      </c>
      <c r="JAU60" s="280">
        <v>0</v>
      </c>
      <c r="JAV60" s="280">
        <v>0</v>
      </c>
      <c r="JAW60" s="280">
        <v>0</v>
      </c>
      <c r="JAX60" s="280">
        <v>0</v>
      </c>
      <c r="JAY60" s="280">
        <v>0</v>
      </c>
      <c r="JAZ60" s="280">
        <v>0</v>
      </c>
      <c r="JBA60" s="280">
        <v>0</v>
      </c>
      <c r="JBB60" s="280">
        <v>0</v>
      </c>
      <c r="JBC60" s="280">
        <v>0</v>
      </c>
      <c r="JBD60" s="280">
        <v>0</v>
      </c>
      <c r="JBE60" s="280">
        <v>0</v>
      </c>
      <c r="JBF60" s="280">
        <v>0</v>
      </c>
      <c r="JBG60" s="280">
        <v>0</v>
      </c>
      <c r="JBH60" s="280">
        <v>0</v>
      </c>
      <c r="JBI60" s="280">
        <v>0</v>
      </c>
      <c r="JBJ60" s="280">
        <v>0</v>
      </c>
      <c r="JBK60" s="280">
        <v>0</v>
      </c>
      <c r="JBL60" s="280">
        <v>0</v>
      </c>
      <c r="JBM60" s="280">
        <v>0</v>
      </c>
      <c r="JBN60" s="280">
        <v>0</v>
      </c>
      <c r="JBO60" s="280">
        <v>0</v>
      </c>
      <c r="JBP60" s="280">
        <v>0</v>
      </c>
      <c r="JBQ60" s="280">
        <v>0</v>
      </c>
      <c r="JBR60" s="280">
        <v>0</v>
      </c>
      <c r="JBS60" s="280">
        <v>0</v>
      </c>
      <c r="JBT60" s="280">
        <v>0</v>
      </c>
      <c r="JBU60" s="280">
        <v>0</v>
      </c>
      <c r="JBV60" s="280">
        <v>0</v>
      </c>
      <c r="JBW60" s="280">
        <v>0</v>
      </c>
      <c r="JBX60" s="280">
        <v>0</v>
      </c>
      <c r="JBY60" s="280">
        <v>0</v>
      </c>
      <c r="JBZ60" s="280">
        <v>0</v>
      </c>
      <c r="JCA60" s="280">
        <v>0</v>
      </c>
      <c r="JCB60" s="280">
        <v>0</v>
      </c>
      <c r="JCC60" s="280">
        <v>0</v>
      </c>
      <c r="JCD60" s="280">
        <v>0</v>
      </c>
      <c r="JCE60" s="280">
        <v>0</v>
      </c>
      <c r="JCF60" s="280">
        <v>0</v>
      </c>
      <c r="JCG60" s="280">
        <v>0</v>
      </c>
      <c r="JCH60" s="280">
        <v>0</v>
      </c>
      <c r="JCI60" s="280">
        <v>0</v>
      </c>
      <c r="JCJ60" s="280">
        <v>0</v>
      </c>
      <c r="JCK60" s="280">
        <v>0</v>
      </c>
      <c r="JCL60" s="280">
        <v>0</v>
      </c>
      <c r="JCM60" s="280">
        <v>0</v>
      </c>
      <c r="JCN60" s="280">
        <v>0</v>
      </c>
      <c r="JCO60" s="280">
        <v>0</v>
      </c>
      <c r="JCP60" s="280">
        <v>0</v>
      </c>
      <c r="JCQ60" s="280">
        <v>0</v>
      </c>
      <c r="JCR60" s="280">
        <v>0</v>
      </c>
      <c r="JCS60" s="280">
        <v>0</v>
      </c>
      <c r="JCT60" s="280">
        <v>0</v>
      </c>
      <c r="JCU60" s="280">
        <v>0</v>
      </c>
      <c r="JCV60" s="280">
        <v>0</v>
      </c>
      <c r="JCW60" s="280">
        <v>0</v>
      </c>
      <c r="JCX60" s="280">
        <v>0</v>
      </c>
      <c r="JCY60" s="280">
        <v>0</v>
      </c>
      <c r="JCZ60" s="280">
        <v>0</v>
      </c>
      <c r="JDA60" s="280">
        <v>0</v>
      </c>
      <c r="JDB60" s="280">
        <v>0</v>
      </c>
      <c r="JDC60" s="280">
        <v>0</v>
      </c>
      <c r="JDD60" s="280">
        <v>0</v>
      </c>
      <c r="JDE60" s="280">
        <v>0</v>
      </c>
      <c r="JDF60" s="280">
        <v>0</v>
      </c>
      <c r="JDG60" s="280">
        <v>0</v>
      </c>
      <c r="JDH60" s="280">
        <v>0</v>
      </c>
      <c r="JDI60" s="280">
        <v>0</v>
      </c>
      <c r="JDJ60" s="280">
        <v>0</v>
      </c>
      <c r="JDK60" s="280">
        <v>0</v>
      </c>
      <c r="JDL60" s="280">
        <v>0</v>
      </c>
      <c r="JDM60" s="280">
        <v>0</v>
      </c>
      <c r="JDN60" s="280">
        <v>0</v>
      </c>
      <c r="JDO60" s="280">
        <v>0</v>
      </c>
      <c r="JDP60" s="280">
        <v>0</v>
      </c>
      <c r="JDQ60" s="280">
        <v>0</v>
      </c>
      <c r="JDR60" s="280">
        <v>0</v>
      </c>
      <c r="JDS60" s="280">
        <v>0</v>
      </c>
      <c r="JDT60" s="280">
        <v>0</v>
      </c>
      <c r="JDU60" s="280">
        <v>0</v>
      </c>
      <c r="JDV60" s="280">
        <v>0</v>
      </c>
      <c r="JDW60" s="280">
        <v>0</v>
      </c>
      <c r="JDX60" s="280">
        <v>0</v>
      </c>
      <c r="JDY60" s="280">
        <v>0</v>
      </c>
      <c r="JDZ60" s="280">
        <v>0</v>
      </c>
      <c r="JEA60" s="280">
        <v>0</v>
      </c>
      <c r="JEB60" s="280">
        <v>0</v>
      </c>
      <c r="JEC60" s="280">
        <v>0</v>
      </c>
      <c r="JED60" s="280">
        <v>0</v>
      </c>
      <c r="JEE60" s="280">
        <v>0</v>
      </c>
      <c r="JEF60" s="280">
        <v>0</v>
      </c>
      <c r="JEG60" s="280">
        <v>0</v>
      </c>
      <c r="JEH60" s="280">
        <v>0</v>
      </c>
      <c r="JEI60" s="280">
        <v>0</v>
      </c>
      <c r="JEJ60" s="280">
        <v>0</v>
      </c>
      <c r="JEK60" s="280">
        <v>0</v>
      </c>
      <c r="JEL60" s="280">
        <v>0</v>
      </c>
      <c r="JEM60" s="280">
        <v>0</v>
      </c>
      <c r="JEN60" s="280">
        <v>0</v>
      </c>
      <c r="JEO60" s="280">
        <v>0</v>
      </c>
      <c r="JEP60" s="280">
        <v>0</v>
      </c>
      <c r="JEQ60" s="280">
        <v>0</v>
      </c>
      <c r="JER60" s="280">
        <v>0</v>
      </c>
      <c r="JES60" s="280">
        <v>0</v>
      </c>
      <c r="JET60" s="280">
        <v>0</v>
      </c>
      <c r="JEU60" s="280">
        <v>0</v>
      </c>
      <c r="JEV60" s="280">
        <v>0</v>
      </c>
      <c r="JEW60" s="280">
        <v>0</v>
      </c>
      <c r="JEX60" s="280">
        <v>0</v>
      </c>
      <c r="JEY60" s="280">
        <v>0</v>
      </c>
      <c r="JEZ60" s="280">
        <v>0</v>
      </c>
      <c r="JFA60" s="280">
        <v>0</v>
      </c>
      <c r="JFB60" s="280">
        <v>0</v>
      </c>
      <c r="JFC60" s="280">
        <v>0</v>
      </c>
      <c r="JFD60" s="280">
        <v>0</v>
      </c>
      <c r="JFE60" s="280">
        <v>0</v>
      </c>
      <c r="JFF60" s="280">
        <v>0</v>
      </c>
      <c r="JFG60" s="280">
        <v>0</v>
      </c>
      <c r="JFH60" s="280">
        <v>0</v>
      </c>
      <c r="JFI60" s="280">
        <v>0</v>
      </c>
      <c r="JFJ60" s="280">
        <v>0</v>
      </c>
      <c r="JFK60" s="280">
        <v>0</v>
      </c>
      <c r="JFL60" s="280">
        <v>0</v>
      </c>
      <c r="JFM60" s="280">
        <v>0</v>
      </c>
      <c r="JFN60" s="280">
        <v>0</v>
      </c>
      <c r="JFO60" s="280">
        <v>0</v>
      </c>
      <c r="JFP60" s="280">
        <v>0</v>
      </c>
      <c r="JFQ60" s="280">
        <v>0</v>
      </c>
      <c r="JFR60" s="280">
        <v>0</v>
      </c>
      <c r="JFS60" s="280">
        <v>0</v>
      </c>
      <c r="JFT60" s="280">
        <v>0</v>
      </c>
      <c r="JFU60" s="280">
        <v>0</v>
      </c>
      <c r="JFV60" s="280">
        <v>0</v>
      </c>
      <c r="JFW60" s="280">
        <v>0</v>
      </c>
      <c r="JFX60" s="280">
        <v>0</v>
      </c>
      <c r="JFY60" s="280">
        <v>0</v>
      </c>
      <c r="JFZ60" s="280">
        <v>0</v>
      </c>
      <c r="JGA60" s="280">
        <v>0</v>
      </c>
      <c r="JGB60" s="280">
        <v>0</v>
      </c>
      <c r="JGC60" s="280">
        <v>0</v>
      </c>
      <c r="JGD60" s="280">
        <v>0</v>
      </c>
      <c r="JGE60" s="280">
        <v>0</v>
      </c>
      <c r="JGF60" s="280">
        <v>0</v>
      </c>
      <c r="JGG60" s="280">
        <v>0</v>
      </c>
      <c r="JGH60" s="280">
        <v>0</v>
      </c>
      <c r="JGI60" s="280">
        <v>0</v>
      </c>
      <c r="JGJ60" s="280">
        <v>0</v>
      </c>
      <c r="JGK60" s="280">
        <v>0</v>
      </c>
      <c r="JGL60" s="280">
        <v>0</v>
      </c>
      <c r="JGM60" s="280">
        <v>0</v>
      </c>
      <c r="JGN60" s="280">
        <v>0</v>
      </c>
      <c r="JGO60" s="280">
        <v>0</v>
      </c>
      <c r="JGP60" s="280">
        <v>0</v>
      </c>
      <c r="JGQ60" s="280">
        <v>0</v>
      </c>
      <c r="JGR60" s="280">
        <v>0</v>
      </c>
      <c r="JGS60" s="280">
        <v>0</v>
      </c>
      <c r="JGT60" s="280">
        <v>0</v>
      </c>
      <c r="JGU60" s="280">
        <v>0</v>
      </c>
      <c r="JGV60" s="280">
        <v>0</v>
      </c>
      <c r="JGW60" s="280">
        <v>0</v>
      </c>
      <c r="JGX60" s="280">
        <v>0</v>
      </c>
      <c r="JGY60" s="280">
        <v>0</v>
      </c>
      <c r="JGZ60" s="280">
        <v>0</v>
      </c>
      <c r="JHA60" s="280">
        <v>0</v>
      </c>
      <c r="JHB60" s="280">
        <v>0</v>
      </c>
      <c r="JHC60" s="280">
        <v>0</v>
      </c>
      <c r="JHD60" s="280">
        <v>0</v>
      </c>
      <c r="JHE60" s="280">
        <v>0</v>
      </c>
      <c r="JHF60" s="280">
        <v>0</v>
      </c>
      <c r="JHG60" s="280">
        <v>0</v>
      </c>
      <c r="JHH60" s="280">
        <v>0</v>
      </c>
      <c r="JHI60" s="280">
        <v>0</v>
      </c>
      <c r="JHJ60" s="280">
        <v>0</v>
      </c>
      <c r="JHK60" s="280">
        <v>0</v>
      </c>
      <c r="JHL60" s="280">
        <v>0</v>
      </c>
      <c r="JHM60" s="280">
        <v>0</v>
      </c>
      <c r="JHN60" s="280">
        <v>0</v>
      </c>
      <c r="JHO60" s="280">
        <v>0</v>
      </c>
      <c r="JHP60" s="280">
        <v>0</v>
      </c>
      <c r="JHQ60" s="280">
        <v>0</v>
      </c>
      <c r="JHR60" s="280">
        <v>0</v>
      </c>
      <c r="JHS60" s="280">
        <v>0</v>
      </c>
      <c r="JHT60" s="280">
        <v>0</v>
      </c>
      <c r="JHU60" s="280">
        <v>0</v>
      </c>
      <c r="JHV60" s="280">
        <v>0</v>
      </c>
      <c r="JHW60" s="280">
        <v>0</v>
      </c>
      <c r="JHX60" s="280">
        <v>0</v>
      </c>
      <c r="JHY60" s="280">
        <v>0</v>
      </c>
      <c r="JHZ60" s="280">
        <v>0</v>
      </c>
      <c r="JIA60" s="280">
        <v>0</v>
      </c>
      <c r="JIB60" s="280">
        <v>0</v>
      </c>
      <c r="JIC60" s="280">
        <v>0</v>
      </c>
      <c r="JID60" s="280">
        <v>0</v>
      </c>
      <c r="JIE60" s="280">
        <v>0</v>
      </c>
      <c r="JIF60" s="280">
        <v>0</v>
      </c>
      <c r="JIG60" s="280">
        <v>0</v>
      </c>
      <c r="JIH60" s="280">
        <v>0</v>
      </c>
      <c r="JII60" s="280">
        <v>0</v>
      </c>
      <c r="JIJ60" s="280">
        <v>0</v>
      </c>
      <c r="JIK60" s="280">
        <v>0</v>
      </c>
      <c r="JIL60" s="280">
        <v>0</v>
      </c>
      <c r="JIM60" s="280">
        <v>0</v>
      </c>
      <c r="JIN60" s="280">
        <v>0</v>
      </c>
      <c r="JIO60" s="280">
        <v>0</v>
      </c>
      <c r="JIP60" s="280">
        <v>0</v>
      </c>
      <c r="JIQ60" s="280">
        <v>0</v>
      </c>
      <c r="JIR60" s="280">
        <v>0</v>
      </c>
      <c r="JIS60" s="280">
        <v>0</v>
      </c>
      <c r="JIT60" s="280">
        <v>0</v>
      </c>
      <c r="JIU60" s="280">
        <v>0</v>
      </c>
      <c r="JIV60" s="280">
        <v>0</v>
      </c>
      <c r="JIW60" s="280">
        <v>0</v>
      </c>
      <c r="JIX60" s="280">
        <v>0</v>
      </c>
      <c r="JIY60" s="280">
        <v>0</v>
      </c>
      <c r="JIZ60" s="280">
        <v>0</v>
      </c>
      <c r="JJA60" s="280">
        <v>0</v>
      </c>
      <c r="JJB60" s="280">
        <v>0</v>
      </c>
      <c r="JJC60" s="280">
        <v>0</v>
      </c>
      <c r="JJD60" s="280">
        <v>0</v>
      </c>
      <c r="JJE60" s="280">
        <v>0</v>
      </c>
      <c r="JJF60" s="280">
        <v>0</v>
      </c>
      <c r="JJG60" s="280">
        <v>0</v>
      </c>
      <c r="JJH60" s="280">
        <v>0</v>
      </c>
      <c r="JJI60" s="280">
        <v>0</v>
      </c>
      <c r="JJJ60" s="280">
        <v>0</v>
      </c>
      <c r="JJK60" s="280">
        <v>0</v>
      </c>
      <c r="JJL60" s="280">
        <v>0</v>
      </c>
      <c r="JJM60" s="280">
        <v>0</v>
      </c>
      <c r="JJN60" s="280">
        <v>0</v>
      </c>
      <c r="JJO60" s="280">
        <v>0</v>
      </c>
      <c r="JJP60" s="280">
        <v>0</v>
      </c>
      <c r="JJQ60" s="280">
        <v>0</v>
      </c>
      <c r="JJR60" s="280">
        <v>0</v>
      </c>
      <c r="JJS60" s="280">
        <v>0</v>
      </c>
      <c r="JJT60" s="280">
        <v>0</v>
      </c>
      <c r="JJU60" s="280">
        <v>0</v>
      </c>
      <c r="JJV60" s="280">
        <v>0</v>
      </c>
      <c r="JJW60" s="280">
        <v>0</v>
      </c>
      <c r="JJX60" s="280">
        <v>0</v>
      </c>
      <c r="JJY60" s="280">
        <v>0</v>
      </c>
      <c r="JJZ60" s="280">
        <v>0</v>
      </c>
      <c r="JKA60" s="280">
        <v>0</v>
      </c>
      <c r="JKB60" s="280">
        <v>0</v>
      </c>
      <c r="JKC60" s="280">
        <v>0</v>
      </c>
      <c r="JKD60" s="280">
        <v>0</v>
      </c>
      <c r="JKE60" s="280">
        <v>0</v>
      </c>
      <c r="JKF60" s="280">
        <v>0</v>
      </c>
      <c r="JKG60" s="280">
        <v>0</v>
      </c>
      <c r="JKH60" s="280">
        <v>0</v>
      </c>
      <c r="JKI60" s="280">
        <v>0</v>
      </c>
      <c r="JKJ60" s="280">
        <v>0</v>
      </c>
      <c r="JKK60" s="280">
        <v>0</v>
      </c>
      <c r="JKL60" s="280">
        <v>0</v>
      </c>
      <c r="JKM60" s="280">
        <v>0</v>
      </c>
      <c r="JKN60" s="280">
        <v>0</v>
      </c>
      <c r="JKO60" s="280">
        <v>0</v>
      </c>
      <c r="JKP60" s="280">
        <v>0</v>
      </c>
      <c r="JKQ60" s="280">
        <v>0</v>
      </c>
      <c r="JKR60" s="280">
        <v>0</v>
      </c>
      <c r="JKS60" s="280">
        <v>0</v>
      </c>
      <c r="JKT60" s="280">
        <v>0</v>
      </c>
      <c r="JKU60" s="280">
        <v>0</v>
      </c>
      <c r="JKV60" s="280">
        <v>0</v>
      </c>
      <c r="JKW60" s="280">
        <v>0</v>
      </c>
      <c r="JKX60" s="280">
        <v>0</v>
      </c>
      <c r="JKY60" s="280">
        <v>0</v>
      </c>
      <c r="JKZ60" s="280">
        <v>0</v>
      </c>
      <c r="JLA60" s="280">
        <v>0</v>
      </c>
      <c r="JLB60" s="280">
        <v>0</v>
      </c>
      <c r="JLC60" s="280">
        <v>0</v>
      </c>
      <c r="JLD60" s="280">
        <v>0</v>
      </c>
      <c r="JLE60" s="280">
        <v>0</v>
      </c>
      <c r="JLF60" s="280">
        <v>0</v>
      </c>
      <c r="JLG60" s="280">
        <v>0</v>
      </c>
      <c r="JLH60" s="280">
        <v>0</v>
      </c>
      <c r="JLI60" s="280">
        <v>0</v>
      </c>
      <c r="JLJ60" s="280">
        <v>0</v>
      </c>
      <c r="JLK60" s="280">
        <v>0</v>
      </c>
      <c r="JLL60" s="280">
        <v>0</v>
      </c>
      <c r="JLM60" s="280">
        <v>0</v>
      </c>
      <c r="JLN60" s="280">
        <v>0</v>
      </c>
      <c r="JLO60" s="280">
        <v>0</v>
      </c>
      <c r="JLP60" s="280">
        <v>0</v>
      </c>
      <c r="JLQ60" s="280">
        <v>0</v>
      </c>
      <c r="JLR60" s="280">
        <v>0</v>
      </c>
      <c r="JLS60" s="280">
        <v>0</v>
      </c>
      <c r="JLT60" s="280">
        <v>0</v>
      </c>
      <c r="JLU60" s="280">
        <v>0</v>
      </c>
      <c r="JLV60" s="280">
        <v>0</v>
      </c>
      <c r="JLW60" s="280">
        <v>0</v>
      </c>
      <c r="JLX60" s="280">
        <v>0</v>
      </c>
      <c r="JLY60" s="280">
        <v>0</v>
      </c>
      <c r="JLZ60" s="280">
        <v>0</v>
      </c>
      <c r="JMA60" s="280">
        <v>0</v>
      </c>
      <c r="JMB60" s="280">
        <v>0</v>
      </c>
      <c r="JMC60" s="280">
        <v>0</v>
      </c>
      <c r="JMD60" s="280">
        <v>0</v>
      </c>
      <c r="JME60" s="280">
        <v>0</v>
      </c>
      <c r="JMF60" s="280">
        <v>0</v>
      </c>
      <c r="JMG60" s="280">
        <v>0</v>
      </c>
      <c r="JMH60" s="280">
        <v>0</v>
      </c>
      <c r="JMI60" s="280">
        <v>0</v>
      </c>
      <c r="JMJ60" s="280">
        <v>0</v>
      </c>
      <c r="JMK60" s="280">
        <v>0</v>
      </c>
      <c r="JML60" s="280">
        <v>0</v>
      </c>
      <c r="JMM60" s="280">
        <v>0</v>
      </c>
      <c r="JMN60" s="280">
        <v>0</v>
      </c>
      <c r="JMO60" s="280">
        <v>0</v>
      </c>
      <c r="JMP60" s="280">
        <v>0</v>
      </c>
      <c r="JMQ60" s="280">
        <v>0</v>
      </c>
      <c r="JMR60" s="280">
        <v>0</v>
      </c>
      <c r="JMS60" s="280">
        <v>0</v>
      </c>
      <c r="JMT60" s="280">
        <v>0</v>
      </c>
      <c r="JMU60" s="280">
        <v>0</v>
      </c>
      <c r="JMV60" s="280">
        <v>0</v>
      </c>
      <c r="JMW60" s="280">
        <v>0</v>
      </c>
      <c r="JMX60" s="280">
        <v>0</v>
      </c>
      <c r="JMY60" s="280">
        <v>0</v>
      </c>
      <c r="JMZ60" s="280">
        <v>0</v>
      </c>
      <c r="JNA60" s="280">
        <v>0</v>
      </c>
      <c r="JNB60" s="280">
        <v>0</v>
      </c>
      <c r="JNC60" s="280">
        <v>0</v>
      </c>
      <c r="JND60" s="280">
        <v>0</v>
      </c>
      <c r="JNE60" s="280">
        <v>0</v>
      </c>
      <c r="JNF60" s="280">
        <v>0</v>
      </c>
      <c r="JNG60" s="280">
        <v>0</v>
      </c>
      <c r="JNH60" s="280">
        <v>0</v>
      </c>
      <c r="JNI60" s="280">
        <v>0</v>
      </c>
      <c r="JNJ60" s="280">
        <v>0</v>
      </c>
      <c r="JNK60" s="280">
        <v>0</v>
      </c>
      <c r="JNL60" s="280">
        <v>0</v>
      </c>
      <c r="JNM60" s="280">
        <v>0</v>
      </c>
      <c r="JNN60" s="280">
        <v>0</v>
      </c>
      <c r="JNO60" s="280">
        <v>0</v>
      </c>
      <c r="JNP60" s="280">
        <v>0</v>
      </c>
      <c r="JNQ60" s="280">
        <v>0</v>
      </c>
      <c r="JNR60" s="280">
        <v>0</v>
      </c>
      <c r="JNS60" s="280">
        <v>0</v>
      </c>
      <c r="JNT60" s="280">
        <v>0</v>
      </c>
      <c r="JNU60" s="280">
        <v>0</v>
      </c>
      <c r="JNV60" s="280">
        <v>0</v>
      </c>
      <c r="JNW60" s="280">
        <v>0</v>
      </c>
      <c r="JNX60" s="280">
        <v>0</v>
      </c>
      <c r="JNY60" s="280">
        <v>0</v>
      </c>
      <c r="JNZ60" s="280">
        <v>0</v>
      </c>
      <c r="JOA60" s="280">
        <v>0</v>
      </c>
      <c r="JOB60" s="280">
        <v>0</v>
      </c>
      <c r="JOC60" s="280">
        <v>0</v>
      </c>
      <c r="JOD60" s="280">
        <v>0</v>
      </c>
      <c r="JOE60" s="280">
        <v>0</v>
      </c>
      <c r="JOF60" s="280">
        <v>0</v>
      </c>
      <c r="JOG60" s="280">
        <v>0</v>
      </c>
      <c r="JOH60" s="280">
        <v>0</v>
      </c>
      <c r="JOI60" s="280">
        <v>0</v>
      </c>
      <c r="JOJ60" s="280">
        <v>0</v>
      </c>
      <c r="JOK60" s="280">
        <v>0</v>
      </c>
      <c r="JOL60" s="280">
        <v>0</v>
      </c>
      <c r="JOM60" s="280">
        <v>0</v>
      </c>
      <c r="JON60" s="280">
        <v>0</v>
      </c>
      <c r="JOO60" s="280">
        <v>0</v>
      </c>
      <c r="JOP60" s="280">
        <v>0</v>
      </c>
      <c r="JOQ60" s="280">
        <v>0</v>
      </c>
      <c r="JOR60" s="280">
        <v>0</v>
      </c>
      <c r="JOS60" s="280">
        <v>0</v>
      </c>
      <c r="JOT60" s="280">
        <v>0</v>
      </c>
      <c r="JOU60" s="280">
        <v>0</v>
      </c>
      <c r="JOV60" s="280">
        <v>0</v>
      </c>
      <c r="JOW60" s="280">
        <v>0</v>
      </c>
      <c r="JOX60" s="280">
        <v>0</v>
      </c>
      <c r="JOY60" s="280">
        <v>0</v>
      </c>
      <c r="JOZ60" s="280">
        <v>0</v>
      </c>
      <c r="JPA60" s="280">
        <v>0</v>
      </c>
      <c r="JPB60" s="280">
        <v>0</v>
      </c>
      <c r="JPC60" s="280">
        <v>0</v>
      </c>
      <c r="JPD60" s="280">
        <v>0</v>
      </c>
      <c r="JPE60" s="280">
        <v>0</v>
      </c>
      <c r="JPF60" s="280">
        <v>0</v>
      </c>
      <c r="JPG60" s="280">
        <v>0</v>
      </c>
      <c r="JPH60" s="280">
        <v>0</v>
      </c>
      <c r="JPI60" s="280">
        <v>0</v>
      </c>
      <c r="JPJ60" s="280">
        <v>0</v>
      </c>
      <c r="JPK60" s="280">
        <v>0</v>
      </c>
      <c r="JPL60" s="280">
        <v>0</v>
      </c>
      <c r="JPM60" s="280">
        <v>0</v>
      </c>
      <c r="JPN60" s="280">
        <v>0</v>
      </c>
      <c r="JPO60" s="280">
        <v>0</v>
      </c>
      <c r="JPP60" s="280">
        <v>0</v>
      </c>
      <c r="JPQ60" s="280">
        <v>0</v>
      </c>
      <c r="JPR60" s="280">
        <v>0</v>
      </c>
      <c r="JPS60" s="280">
        <v>0</v>
      </c>
      <c r="JPT60" s="280">
        <v>0</v>
      </c>
      <c r="JPU60" s="280">
        <v>0</v>
      </c>
      <c r="JPV60" s="280">
        <v>0</v>
      </c>
      <c r="JPW60" s="280">
        <v>0</v>
      </c>
      <c r="JPX60" s="280">
        <v>0</v>
      </c>
      <c r="JPY60" s="280">
        <v>0</v>
      </c>
      <c r="JPZ60" s="280">
        <v>0</v>
      </c>
      <c r="JQA60" s="280">
        <v>0</v>
      </c>
      <c r="JQB60" s="280">
        <v>0</v>
      </c>
      <c r="JQC60" s="280">
        <v>0</v>
      </c>
      <c r="JQD60" s="280">
        <v>0</v>
      </c>
      <c r="JQE60" s="280">
        <v>0</v>
      </c>
      <c r="JQF60" s="280">
        <v>0</v>
      </c>
      <c r="JQG60" s="280">
        <v>0</v>
      </c>
      <c r="JQH60" s="280">
        <v>0</v>
      </c>
      <c r="JQI60" s="280">
        <v>0</v>
      </c>
      <c r="JQJ60" s="280">
        <v>0</v>
      </c>
      <c r="JQK60" s="280">
        <v>0</v>
      </c>
      <c r="JQL60" s="280">
        <v>0</v>
      </c>
      <c r="JQM60" s="280">
        <v>0</v>
      </c>
      <c r="JQN60" s="280">
        <v>0</v>
      </c>
      <c r="JQO60" s="280">
        <v>0</v>
      </c>
      <c r="JQP60" s="280">
        <v>0</v>
      </c>
      <c r="JQQ60" s="280">
        <v>0</v>
      </c>
      <c r="JQR60" s="280">
        <v>0</v>
      </c>
      <c r="JQS60" s="280">
        <v>0</v>
      </c>
      <c r="JQT60" s="280">
        <v>0</v>
      </c>
      <c r="JQU60" s="280">
        <v>0</v>
      </c>
      <c r="JQV60" s="280">
        <v>0</v>
      </c>
      <c r="JQW60" s="280">
        <v>0</v>
      </c>
      <c r="JQX60" s="280">
        <v>0</v>
      </c>
      <c r="JQY60" s="280">
        <v>0</v>
      </c>
      <c r="JQZ60" s="280">
        <v>0</v>
      </c>
      <c r="JRA60" s="280">
        <v>0</v>
      </c>
      <c r="JRB60" s="280">
        <v>0</v>
      </c>
      <c r="JRC60" s="280">
        <v>0</v>
      </c>
      <c r="JRD60" s="280">
        <v>0</v>
      </c>
      <c r="JRE60" s="280">
        <v>0</v>
      </c>
      <c r="JRF60" s="280">
        <v>0</v>
      </c>
      <c r="JRG60" s="280">
        <v>0</v>
      </c>
      <c r="JRH60" s="280">
        <v>0</v>
      </c>
      <c r="JRI60" s="280">
        <v>0</v>
      </c>
      <c r="JRJ60" s="280">
        <v>0</v>
      </c>
      <c r="JRK60" s="280">
        <v>0</v>
      </c>
      <c r="JRL60" s="280">
        <v>0</v>
      </c>
      <c r="JRM60" s="280">
        <v>0</v>
      </c>
      <c r="JRN60" s="280">
        <v>0</v>
      </c>
      <c r="JRO60" s="280">
        <v>0</v>
      </c>
      <c r="JRP60" s="280">
        <v>0</v>
      </c>
      <c r="JRQ60" s="280">
        <v>0</v>
      </c>
      <c r="JRR60" s="280">
        <v>0</v>
      </c>
      <c r="JRS60" s="280">
        <v>0</v>
      </c>
      <c r="JRT60" s="280">
        <v>0</v>
      </c>
      <c r="JRU60" s="280">
        <v>0</v>
      </c>
      <c r="JRV60" s="280">
        <v>0</v>
      </c>
      <c r="JRW60" s="280">
        <v>0</v>
      </c>
      <c r="JRX60" s="280">
        <v>0</v>
      </c>
      <c r="JRY60" s="280">
        <v>0</v>
      </c>
      <c r="JRZ60" s="280">
        <v>0</v>
      </c>
      <c r="JSA60" s="280">
        <v>0</v>
      </c>
      <c r="JSB60" s="280">
        <v>0</v>
      </c>
      <c r="JSC60" s="280">
        <v>0</v>
      </c>
      <c r="JSD60" s="280">
        <v>0</v>
      </c>
      <c r="JSE60" s="280">
        <v>0</v>
      </c>
      <c r="JSF60" s="280">
        <v>0</v>
      </c>
      <c r="JSG60" s="280">
        <v>0</v>
      </c>
      <c r="JSH60" s="280">
        <v>0</v>
      </c>
      <c r="JSI60" s="280">
        <v>0</v>
      </c>
      <c r="JSJ60" s="280">
        <v>0</v>
      </c>
      <c r="JSK60" s="280">
        <v>0</v>
      </c>
      <c r="JSL60" s="280">
        <v>0</v>
      </c>
      <c r="JSM60" s="280">
        <v>0</v>
      </c>
      <c r="JSN60" s="280">
        <v>0</v>
      </c>
      <c r="JSO60" s="280">
        <v>0</v>
      </c>
      <c r="JSP60" s="280">
        <v>0</v>
      </c>
      <c r="JSQ60" s="280">
        <v>0</v>
      </c>
      <c r="JSR60" s="280">
        <v>0</v>
      </c>
      <c r="JSS60" s="280">
        <v>0</v>
      </c>
      <c r="JST60" s="280">
        <v>0</v>
      </c>
      <c r="JSU60" s="280">
        <v>0</v>
      </c>
      <c r="JSV60" s="280">
        <v>0</v>
      </c>
      <c r="JSW60" s="280">
        <v>0</v>
      </c>
      <c r="JSX60" s="280">
        <v>0</v>
      </c>
      <c r="JSY60" s="280">
        <v>0</v>
      </c>
      <c r="JSZ60" s="280">
        <v>0</v>
      </c>
      <c r="JTA60" s="280">
        <v>0</v>
      </c>
      <c r="JTB60" s="280">
        <v>0</v>
      </c>
      <c r="JTC60" s="280">
        <v>0</v>
      </c>
      <c r="JTD60" s="280">
        <v>0</v>
      </c>
      <c r="JTE60" s="280">
        <v>0</v>
      </c>
      <c r="JTF60" s="280">
        <v>0</v>
      </c>
      <c r="JTG60" s="280">
        <v>0</v>
      </c>
      <c r="JTH60" s="280">
        <v>0</v>
      </c>
      <c r="JTI60" s="280">
        <v>0</v>
      </c>
      <c r="JTJ60" s="280">
        <v>0</v>
      </c>
      <c r="JTK60" s="280">
        <v>0</v>
      </c>
      <c r="JTL60" s="280">
        <v>0</v>
      </c>
      <c r="JTM60" s="280">
        <v>0</v>
      </c>
      <c r="JTN60" s="280">
        <v>0</v>
      </c>
      <c r="JTO60" s="280">
        <v>0</v>
      </c>
      <c r="JTP60" s="280">
        <v>0</v>
      </c>
      <c r="JTQ60" s="280">
        <v>0</v>
      </c>
      <c r="JTR60" s="280">
        <v>0</v>
      </c>
      <c r="JTS60" s="280">
        <v>0</v>
      </c>
      <c r="JTT60" s="280">
        <v>0</v>
      </c>
      <c r="JTU60" s="280">
        <v>0</v>
      </c>
      <c r="JTV60" s="280">
        <v>0</v>
      </c>
      <c r="JTW60" s="280">
        <v>0</v>
      </c>
      <c r="JTX60" s="280">
        <v>0</v>
      </c>
      <c r="JTY60" s="280">
        <v>0</v>
      </c>
      <c r="JTZ60" s="280">
        <v>0</v>
      </c>
      <c r="JUA60" s="280">
        <v>0</v>
      </c>
      <c r="JUB60" s="280">
        <v>0</v>
      </c>
      <c r="JUC60" s="280">
        <v>0</v>
      </c>
      <c r="JUD60" s="280">
        <v>0</v>
      </c>
      <c r="JUE60" s="280">
        <v>0</v>
      </c>
      <c r="JUF60" s="280">
        <v>0</v>
      </c>
      <c r="JUG60" s="280">
        <v>0</v>
      </c>
      <c r="JUH60" s="280">
        <v>0</v>
      </c>
      <c r="JUI60" s="280">
        <v>0</v>
      </c>
      <c r="JUJ60" s="280">
        <v>0</v>
      </c>
      <c r="JUK60" s="280">
        <v>0</v>
      </c>
      <c r="JUL60" s="280">
        <v>0</v>
      </c>
      <c r="JUM60" s="280">
        <v>0</v>
      </c>
      <c r="JUN60" s="280">
        <v>0</v>
      </c>
      <c r="JUO60" s="280">
        <v>0</v>
      </c>
      <c r="JUP60" s="280">
        <v>0</v>
      </c>
      <c r="JUQ60" s="280">
        <v>0</v>
      </c>
      <c r="JUR60" s="280">
        <v>0</v>
      </c>
      <c r="JUS60" s="280">
        <v>0</v>
      </c>
      <c r="JUT60" s="280">
        <v>0</v>
      </c>
      <c r="JUU60" s="280">
        <v>0</v>
      </c>
      <c r="JUV60" s="280">
        <v>0</v>
      </c>
      <c r="JUW60" s="280">
        <v>0</v>
      </c>
      <c r="JUX60" s="280">
        <v>0</v>
      </c>
      <c r="JUY60" s="280">
        <v>0</v>
      </c>
      <c r="JUZ60" s="280">
        <v>0</v>
      </c>
      <c r="JVA60" s="280">
        <v>0</v>
      </c>
      <c r="JVB60" s="280">
        <v>0</v>
      </c>
      <c r="JVC60" s="280">
        <v>0</v>
      </c>
      <c r="JVD60" s="280">
        <v>0</v>
      </c>
      <c r="JVE60" s="280">
        <v>0</v>
      </c>
      <c r="JVF60" s="280">
        <v>0</v>
      </c>
      <c r="JVG60" s="280">
        <v>0</v>
      </c>
      <c r="JVH60" s="280">
        <v>0</v>
      </c>
      <c r="JVI60" s="280">
        <v>0</v>
      </c>
      <c r="JVJ60" s="280">
        <v>0</v>
      </c>
      <c r="JVK60" s="280">
        <v>0</v>
      </c>
      <c r="JVL60" s="280">
        <v>0</v>
      </c>
      <c r="JVM60" s="280">
        <v>0</v>
      </c>
      <c r="JVN60" s="280">
        <v>0</v>
      </c>
      <c r="JVO60" s="280">
        <v>0</v>
      </c>
      <c r="JVP60" s="280">
        <v>0</v>
      </c>
      <c r="JVQ60" s="280">
        <v>0</v>
      </c>
      <c r="JVR60" s="280">
        <v>0</v>
      </c>
      <c r="JVS60" s="280">
        <v>0</v>
      </c>
      <c r="JVT60" s="280">
        <v>0</v>
      </c>
      <c r="JVU60" s="280">
        <v>0</v>
      </c>
      <c r="JVV60" s="280">
        <v>0</v>
      </c>
      <c r="JVW60" s="280">
        <v>0</v>
      </c>
      <c r="JVX60" s="280">
        <v>0</v>
      </c>
      <c r="JVY60" s="280">
        <v>0</v>
      </c>
      <c r="JVZ60" s="280">
        <v>0</v>
      </c>
      <c r="JWA60" s="280">
        <v>0</v>
      </c>
      <c r="JWB60" s="280">
        <v>0</v>
      </c>
      <c r="JWC60" s="280">
        <v>0</v>
      </c>
      <c r="JWD60" s="280">
        <v>0</v>
      </c>
      <c r="JWE60" s="280">
        <v>0</v>
      </c>
      <c r="JWF60" s="280">
        <v>0</v>
      </c>
      <c r="JWG60" s="280">
        <v>0</v>
      </c>
      <c r="JWH60" s="280">
        <v>0</v>
      </c>
      <c r="JWI60" s="280">
        <v>0</v>
      </c>
      <c r="JWJ60" s="280">
        <v>0</v>
      </c>
      <c r="JWK60" s="280">
        <v>0</v>
      </c>
      <c r="JWL60" s="280">
        <v>0</v>
      </c>
      <c r="JWM60" s="280">
        <v>0</v>
      </c>
      <c r="JWN60" s="280">
        <v>0</v>
      </c>
      <c r="JWO60" s="280">
        <v>0</v>
      </c>
      <c r="JWP60" s="280">
        <v>0</v>
      </c>
      <c r="JWQ60" s="280">
        <v>0</v>
      </c>
      <c r="JWR60" s="280">
        <v>0</v>
      </c>
      <c r="JWS60" s="280">
        <v>0</v>
      </c>
      <c r="JWT60" s="280">
        <v>0</v>
      </c>
      <c r="JWU60" s="280">
        <v>0</v>
      </c>
      <c r="JWV60" s="280">
        <v>0</v>
      </c>
      <c r="JWW60" s="280">
        <v>0</v>
      </c>
      <c r="JWX60" s="280">
        <v>0</v>
      </c>
      <c r="JWY60" s="280">
        <v>0</v>
      </c>
      <c r="JWZ60" s="280">
        <v>0</v>
      </c>
      <c r="JXA60" s="280">
        <v>0</v>
      </c>
      <c r="JXB60" s="280">
        <v>0</v>
      </c>
      <c r="JXC60" s="280">
        <v>0</v>
      </c>
      <c r="JXD60" s="280">
        <v>0</v>
      </c>
      <c r="JXE60" s="280">
        <v>0</v>
      </c>
      <c r="JXF60" s="280">
        <v>0</v>
      </c>
      <c r="JXG60" s="280">
        <v>0</v>
      </c>
      <c r="JXH60" s="280">
        <v>0</v>
      </c>
      <c r="JXI60" s="280">
        <v>0</v>
      </c>
      <c r="JXJ60" s="280">
        <v>0</v>
      </c>
      <c r="JXK60" s="280">
        <v>0</v>
      </c>
      <c r="JXL60" s="280">
        <v>0</v>
      </c>
      <c r="JXM60" s="280">
        <v>0</v>
      </c>
      <c r="JXN60" s="280">
        <v>0</v>
      </c>
      <c r="JXO60" s="280">
        <v>0</v>
      </c>
      <c r="JXP60" s="280">
        <v>0</v>
      </c>
      <c r="JXQ60" s="280">
        <v>0</v>
      </c>
      <c r="JXR60" s="280">
        <v>0</v>
      </c>
      <c r="JXS60" s="280">
        <v>0</v>
      </c>
      <c r="JXT60" s="280">
        <v>0</v>
      </c>
      <c r="JXU60" s="280">
        <v>0</v>
      </c>
      <c r="JXV60" s="280">
        <v>0</v>
      </c>
      <c r="JXW60" s="280">
        <v>0</v>
      </c>
      <c r="JXX60" s="280">
        <v>0</v>
      </c>
      <c r="JXY60" s="280">
        <v>0</v>
      </c>
      <c r="JXZ60" s="280">
        <v>0</v>
      </c>
      <c r="JYA60" s="280">
        <v>0</v>
      </c>
      <c r="JYB60" s="280">
        <v>0</v>
      </c>
      <c r="JYC60" s="280">
        <v>0</v>
      </c>
      <c r="JYD60" s="280">
        <v>0</v>
      </c>
      <c r="JYE60" s="280">
        <v>0</v>
      </c>
      <c r="JYF60" s="280">
        <v>0</v>
      </c>
      <c r="JYG60" s="280">
        <v>0</v>
      </c>
      <c r="JYH60" s="280">
        <v>0</v>
      </c>
      <c r="JYI60" s="280">
        <v>0</v>
      </c>
      <c r="JYJ60" s="280">
        <v>0</v>
      </c>
      <c r="JYK60" s="280">
        <v>0</v>
      </c>
      <c r="JYL60" s="280">
        <v>0</v>
      </c>
      <c r="JYM60" s="280">
        <v>0</v>
      </c>
      <c r="JYN60" s="280">
        <v>0</v>
      </c>
      <c r="JYO60" s="280">
        <v>0</v>
      </c>
      <c r="JYP60" s="280">
        <v>0</v>
      </c>
      <c r="JYQ60" s="280">
        <v>0</v>
      </c>
      <c r="JYR60" s="280">
        <v>0</v>
      </c>
      <c r="JYS60" s="280">
        <v>0</v>
      </c>
      <c r="JYT60" s="280">
        <v>0</v>
      </c>
      <c r="JYU60" s="280">
        <v>0</v>
      </c>
      <c r="JYV60" s="280">
        <v>0</v>
      </c>
      <c r="JYW60" s="280">
        <v>0</v>
      </c>
      <c r="JYX60" s="280">
        <v>0</v>
      </c>
      <c r="JYY60" s="280">
        <v>0</v>
      </c>
      <c r="JYZ60" s="280">
        <v>0</v>
      </c>
      <c r="JZA60" s="280">
        <v>0</v>
      </c>
      <c r="JZB60" s="280">
        <v>0</v>
      </c>
      <c r="JZC60" s="280">
        <v>0</v>
      </c>
      <c r="JZD60" s="280">
        <v>0</v>
      </c>
      <c r="JZE60" s="280">
        <v>0</v>
      </c>
      <c r="JZF60" s="280">
        <v>0</v>
      </c>
      <c r="JZG60" s="280">
        <v>0</v>
      </c>
      <c r="JZH60" s="280">
        <v>0</v>
      </c>
      <c r="JZI60" s="280">
        <v>0</v>
      </c>
      <c r="JZJ60" s="280">
        <v>0</v>
      </c>
      <c r="JZK60" s="280">
        <v>0</v>
      </c>
      <c r="JZL60" s="280">
        <v>0</v>
      </c>
      <c r="JZM60" s="280">
        <v>0</v>
      </c>
      <c r="JZN60" s="280">
        <v>0</v>
      </c>
      <c r="JZO60" s="280">
        <v>0</v>
      </c>
      <c r="JZP60" s="280">
        <v>0</v>
      </c>
      <c r="JZQ60" s="280">
        <v>0</v>
      </c>
      <c r="JZR60" s="280">
        <v>0</v>
      </c>
      <c r="JZS60" s="280">
        <v>0</v>
      </c>
      <c r="JZT60" s="280">
        <v>0</v>
      </c>
      <c r="JZU60" s="280">
        <v>0</v>
      </c>
      <c r="JZV60" s="280">
        <v>0</v>
      </c>
      <c r="JZW60" s="280">
        <v>0</v>
      </c>
      <c r="JZX60" s="280">
        <v>0</v>
      </c>
      <c r="JZY60" s="280">
        <v>0</v>
      </c>
      <c r="JZZ60" s="280">
        <v>0</v>
      </c>
      <c r="KAA60" s="280">
        <v>0</v>
      </c>
      <c r="KAB60" s="280">
        <v>0</v>
      </c>
      <c r="KAC60" s="280">
        <v>0</v>
      </c>
      <c r="KAD60" s="280">
        <v>0</v>
      </c>
      <c r="KAE60" s="280">
        <v>0</v>
      </c>
      <c r="KAF60" s="280">
        <v>0</v>
      </c>
      <c r="KAG60" s="280">
        <v>0</v>
      </c>
      <c r="KAH60" s="280">
        <v>0</v>
      </c>
      <c r="KAI60" s="280">
        <v>0</v>
      </c>
      <c r="KAJ60" s="280">
        <v>0</v>
      </c>
      <c r="KAK60" s="280">
        <v>0</v>
      </c>
      <c r="KAL60" s="280">
        <v>0</v>
      </c>
      <c r="KAM60" s="280">
        <v>0</v>
      </c>
      <c r="KAN60" s="280">
        <v>0</v>
      </c>
      <c r="KAO60" s="280">
        <v>0</v>
      </c>
      <c r="KAP60" s="280">
        <v>0</v>
      </c>
      <c r="KAQ60" s="280">
        <v>0</v>
      </c>
      <c r="KAR60" s="280">
        <v>0</v>
      </c>
      <c r="KAS60" s="280">
        <v>0</v>
      </c>
      <c r="KAT60" s="280">
        <v>0</v>
      </c>
      <c r="KAU60" s="280">
        <v>0</v>
      </c>
      <c r="KAV60" s="280">
        <v>0</v>
      </c>
      <c r="KAW60" s="280">
        <v>0</v>
      </c>
      <c r="KAX60" s="280">
        <v>0</v>
      </c>
      <c r="KAY60" s="280">
        <v>0</v>
      </c>
      <c r="KAZ60" s="280">
        <v>0</v>
      </c>
      <c r="KBA60" s="280">
        <v>0</v>
      </c>
      <c r="KBB60" s="280">
        <v>0</v>
      </c>
      <c r="KBC60" s="280">
        <v>0</v>
      </c>
      <c r="KBD60" s="280">
        <v>0</v>
      </c>
      <c r="KBE60" s="280">
        <v>0</v>
      </c>
      <c r="KBF60" s="280">
        <v>0</v>
      </c>
      <c r="KBG60" s="280">
        <v>0</v>
      </c>
      <c r="KBH60" s="280">
        <v>0</v>
      </c>
      <c r="KBI60" s="280">
        <v>0</v>
      </c>
      <c r="KBJ60" s="280">
        <v>0</v>
      </c>
      <c r="KBK60" s="280">
        <v>0</v>
      </c>
      <c r="KBL60" s="280">
        <v>0</v>
      </c>
      <c r="KBM60" s="280">
        <v>0</v>
      </c>
      <c r="KBN60" s="280">
        <v>0</v>
      </c>
      <c r="KBO60" s="280">
        <v>0</v>
      </c>
      <c r="KBP60" s="280">
        <v>0</v>
      </c>
      <c r="KBQ60" s="280">
        <v>0</v>
      </c>
      <c r="KBR60" s="280">
        <v>0</v>
      </c>
      <c r="KBS60" s="280">
        <v>0</v>
      </c>
      <c r="KBT60" s="280">
        <v>0</v>
      </c>
      <c r="KBU60" s="280">
        <v>0</v>
      </c>
      <c r="KBV60" s="280">
        <v>0</v>
      </c>
      <c r="KBW60" s="280">
        <v>0</v>
      </c>
      <c r="KBX60" s="280">
        <v>0</v>
      </c>
      <c r="KBY60" s="280">
        <v>0</v>
      </c>
      <c r="KBZ60" s="280">
        <v>0</v>
      </c>
      <c r="KCA60" s="280">
        <v>0</v>
      </c>
      <c r="KCB60" s="280">
        <v>0</v>
      </c>
      <c r="KCC60" s="280">
        <v>0</v>
      </c>
      <c r="KCD60" s="280">
        <v>0</v>
      </c>
      <c r="KCE60" s="280">
        <v>0</v>
      </c>
      <c r="KCF60" s="280">
        <v>0</v>
      </c>
      <c r="KCG60" s="280">
        <v>0</v>
      </c>
      <c r="KCH60" s="280">
        <v>0</v>
      </c>
      <c r="KCI60" s="280">
        <v>0</v>
      </c>
      <c r="KCJ60" s="280">
        <v>0</v>
      </c>
      <c r="KCK60" s="280">
        <v>0</v>
      </c>
      <c r="KCL60" s="280">
        <v>0</v>
      </c>
      <c r="KCM60" s="280">
        <v>0</v>
      </c>
      <c r="KCN60" s="280">
        <v>0</v>
      </c>
      <c r="KCO60" s="280">
        <v>0</v>
      </c>
      <c r="KCP60" s="280">
        <v>0</v>
      </c>
      <c r="KCQ60" s="280">
        <v>0</v>
      </c>
      <c r="KCR60" s="280">
        <v>0</v>
      </c>
      <c r="KCS60" s="280">
        <v>0</v>
      </c>
      <c r="KCT60" s="280">
        <v>0</v>
      </c>
      <c r="KCU60" s="280">
        <v>0</v>
      </c>
      <c r="KCV60" s="280">
        <v>0</v>
      </c>
      <c r="KCW60" s="280">
        <v>0</v>
      </c>
      <c r="KCX60" s="280">
        <v>0</v>
      </c>
      <c r="KCY60" s="280">
        <v>0</v>
      </c>
      <c r="KCZ60" s="280">
        <v>0</v>
      </c>
      <c r="KDA60" s="280">
        <v>0</v>
      </c>
      <c r="KDB60" s="280">
        <v>0</v>
      </c>
      <c r="KDC60" s="280">
        <v>0</v>
      </c>
      <c r="KDD60" s="280">
        <v>0</v>
      </c>
      <c r="KDE60" s="280">
        <v>0</v>
      </c>
      <c r="KDF60" s="280">
        <v>0</v>
      </c>
      <c r="KDG60" s="280">
        <v>0</v>
      </c>
      <c r="KDH60" s="280">
        <v>0</v>
      </c>
      <c r="KDI60" s="280">
        <v>0</v>
      </c>
      <c r="KDJ60" s="280">
        <v>0</v>
      </c>
      <c r="KDK60" s="280">
        <v>0</v>
      </c>
      <c r="KDL60" s="280">
        <v>0</v>
      </c>
      <c r="KDM60" s="280">
        <v>0</v>
      </c>
      <c r="KDN60" s="280">
        <v>0</v>
      </c>
      <c r="KDO60" s="280">
        <v>0</v>
      </c>
      <c r="KDP60" s="280">
        <v>0</v>
      </c>
      <c r="KDQ60" s="280">
        <v>0</v>
      </c>
      <c r="KDR60" s="280">
        <v>0</v>
      </c>
      <c r="KDS60" s="280">
        <v>0</v>
      </c>
      <c r="KDT60" s="280">
        <v>0</v>
      </c>
      <c r="KDU60" s="280">
        <v>0</v>
      </c>
      <c r="KDV60" s="280">
        <v>0</v>
      </c>
      <c r="KDW60" s="280">
        <v>0</v>
      </c>
      <c r="KDX60" s="280">
        <v>0</v>
      </c>
      <c r="KDY60" s="280">
        <v>0</v>
      </c>
      <c r="KDZ60" s="280">
        <v>0</v>
      </c>
      <c r="KEA60" s="280">
        <v>0</v>
      </c>
      <c r="KEB60" s="280">
        <v>0</v>
      </c>
      <c r="KEC60" s="280">
        <v>0</v>
      </c>
      <c r="KED60" s="280">
        <v>0</v>
      </c>
      <c r="KEE60" s="280">
        <v>0</v>
      </c>
      <c r="KEF60" s="280">
        <v>0</v>
      </c>
      <c r="KEG60" s="280">
        <v>0</v>
      </c>
      <c r="KEH60" s="280">
        <v>0</v>
      </c>
      <c r="KEI60" s="280">
        <v>0</v>
      </c>
      <c r="KEJ60" s="280">
        <v>0</v>
      </c>
      <c r="KEK60" s="280">
        <v>0</v>
      </c>
      <c r="KEL60" s="280">
        <v>0</v>
      </c>
      <c r="KEM60" s="280">
        <v>0</v>
      </c>
      <c r="KEN60" s="280">
        <v>0</v>
      </c>
      <c r="KEO60" s="280">
        <v>0</v>
      </c>
      <c r="KEP60" s="280">
        <v>0</v>
      </c>
      <c r="KEQ60" s="280">
        <v>0</v>
      </c>
      <c r="KER60" s="280">
        <v>0</v>
      </c>
      <c r="KES60" s="280">
        <v>0</v>
      </c>
      <c r="KET60" s="280">
        <v>0</v>
      </c>
      <c r="KEU60" s="280">
        <v>0</v>
      </c>
      <c r="KEV60" s="280">
        <v>0</v>
      </c>
      <c r="KEW60" s="280">
        <v>0</v>
      </c>
      <c r="KEX60" s="280">
        <v>0</v>
      </c>
      <c r="KEY60" s="280">
        <v>0</v>
      </c>
      <c r="KEZ60" s="280">
        <v>0</v>
      </c>
      <c r="KFA60" s="280">
        <v>0</v>
      </c>
      <c r="KFB60" s="280">
        <v>0</v>
      </c>
      <c r="KFC60" s="280">
        <v>0</v>
      </c>
      <c r="KFD60" s="280">
        <v>0</v>
      </c>
      <c r="KFE60" s="280">
        <v>0</v>
      </c>
      <c r="KFF60" s="280">
        <v>0</v>
      </c>
      <c r="KFG60" s="280">
        <v>0</v>
      </c>
      <c r="KFH60" s="280">
        <v>0</v>
      </c>
      <c r="KFI60" s="280">
        <v>0</v>
      </c>
      <c r="KFJ60" s="280">
        <v>0</v>
      </c>
      <c r="KFK60" s="280">
        <v>0</v>
      </c>
      <c r="KFL60" s="280">
        <v>0</v>
      </c>
      <c r="KFM60" s="280">
        <v>0</v>
      </c>
      <c r="KFN60" s="280">
        <v>0</v>
      </c>
      <c r="KFO60" s="280">
        <v>0</v>
      </c>
      <c r="KFP60" s="280">
        <v>0</v>
      </c>
      <c r="KFQ60" s="280">
        <v>0</v>
      </c>
      <c r="KFR60" s="280">
        <v>0</v>
      </c>
      <c r="KFS60" s="280">
        <v>0</v>
      </c>
      <c r="KFT60" s="280">
        <v>0</v>
      </c>
      <c r="KFU60" s="280">
        <v>0</v>
      </c>
      <c r="KFV60" s="280">
        <v>0</v>
      </c>
      <c r="KFW60" s="280">
        <v>0</v>
      </c>
      <c r="KFX60" s="280">
        <v>0</v>
      </c>
      <c r="KFY60" s="280">
        <v>0</v>
      </c>
      <c r="KFZ60" s="280">
        <v>0</v>
      </c>
      <c r="KGA60" s="280">
        <v>0</v>
      </c>
      <c r="KGB60" s="280">
        <v>0</v>
      </c>
      <c r="KGC60" s="280">
        <v>0</v>
      </c>
      <c r="KGD60" s="280">
        <v>0</v>
      </c>
      <c r="KGE60" s="280">
        <v>0</v>
      </c>
      <c r="KGF60" s="280">
        <v>0</v>
      </c>
      <c r="KGG60" s="280">
        <v>0</v>
      </c>
      <c r="KGH60" s="280">
        <v>0</v>
      </c>
      <c r="KGI60" s="280">
        <v>0</v>
      </c>
      <c r="KGJ60" s="280">
        <v>0</v>
      </c>
      <c r="KGK60" s="280">
        <v>0</v>
      </c>
      <c r="KGL60" s="280">
        <v>0</v>
      </c>
      <c r="KGM60" s="280">
        <v>0</v>
      </c>
      <c r="KGN60" s="280">
        <v>0</v>
      </c>
      <c r="KGO60" s="280">
        <v>0</v>
      </c>
      <c r="KGP60" s="280">
        <v>0</v>
      </c>
      <c r="KGQ60" s="280">
        <v>0</v>
      </c>
      <c r="KGR60" s="280">
        <v>0</v>
      </c>
      <c r="KGS60" s="280">
        <v>0</v>
      </c>
      <c r="KGT60" s="280">
        <v>0</v>
      </c>
      <c r="KGU60" s="280">
        <v>0</v>
      </c>
      <c r="KGV60" s="280">
        <v>0</v>
      </c>
      <c r="KGW60" s="280">
        <v>0</v>
      </c>
      <c r="KGX60" s="280">
        <v>0</v>
      </c>
      <c r="KGY60" s="280">
        <v>0</v>
      </c>
      <c r="KGZ60" s="280">
        <v>0</v>
      </c>
      <c r="KHA60" s="280">
        <v>0</v>
      </c>
      <c r="KHB60" s="280">
        <v>0</v>
      </c>
      <c r="KHC60" s="280">
        <v>0</v>
      </c>
      <c r="KHD60" s="280">
        <v>0</v>
      </c>
      <c r="KHE60" s="280">
        <v>0</v>
      </c>
      <c r="KHF60" s="280">
        <v>0</v>
      </c>
      <c r="KHG60" s="280">
        <v>0</v>
      </c>
      <c r="KHH60" s="280">
        <v>0</v>
      </c>
      <c r="KHI60" s="280">
        <v>0</v>
      </c>
      <c r="KHJ60" s="280">
        <v>0</v>
      </c>
      <c r="KHK60" s="280">
        <v>0</v>
      </c>
      <c r="KHL60" s="280">
        <v>0</v>
      </c>
      <c r="KHM60" s="280">
        <v>0</v>
      </c>
      <c r="KHN60" s="280">
        <v>0</v>
      </c>
      <c r="KHO60" s="280">
        <v>0</v>
      </c>
      <c r="KHP60" s="280">
        <v>0</v>
      </c>
      <c r="KHQ60" s="280">
        <v>0</v>
      </c>
      <c r="KHR60" s="280">
        <v>0</v>
      </c>
      <c r="KHS60" s="280">
        <v>0</v>
      </c>
      <c r="KHT60" s="280">
        <v>0</v>
      </c>
      <c r="KHU60" s="280">
        <v>0</v>
      </c>
      <c r="KHV60" s="280">
        <v>0</v>
      </c>
      <c r="KHW60" s="280">
        <v>0</v>
      </c>
      <c r="KHX60" s="280">
        <v>0</v>
      </c>
      <c r="KHY60" s="280">
        <v>0</v>
      </c>
      <c r="KHZ60" s="280">
        <v>0</v>
      </c>
      <c r="KIA60" s="280">
        <v>0</v>
      </c>
      <c r="KIB60" s="280">
        <v>0</v>
      </c>
      <c r="KIC60" s="280">
        <v>0</v>
      </c>
      <c r="KID60" s="280">
        <v>0</v>
      </c>
      <c r="KIE60" s="280">
        <v>0</v>
      </c>
      <c r="KIF60" s="280">
        <v>0</v>
      </c>
      <c r="KIG60" s="280">
        <v>0</v>
      </c>
      <c r="KIH60" s="280">
        <v>0</v>
      </c>
      <c r="KII60" s="280">
        <v>0</v>
      </c>
      <c r="KIJ60" s="280">
        <v>0</v>
      </c>
      <c r="KIK60" s="280">
        <v>0</v>
      </c>
      <c r="KIL60" s="280">
        <v>0</v>
      </c>
      <c r="KIM60" s="280">
        <v>0</v>
      </c>
      <c r="KIN60" s="280">
        <v>0</v>
      </c>
      <c r="KIO60" s="280">
        <v>0</v>
      </c>
      <c r="KIP60" s="280">
        <v>0</v>
      </c>
      <c r="KIQ60" s="280">
        <v>0</v>
      </c>
      <c r="KIR60" s="280">
        <v>0</v>
      </c>
      <c r="KIS60" s="280">
        <v>0</v>
      </c>
      <c r="KIT60" s="280">
        <v>0</v>
      </c>
      <c r="KIU60" s="280">
        <v>0</v>
      </c>
      <c r="KIV60" s="280">
        <v>0</v>
      </c>
      <c r="KIW60" s="280">
        <v>0</v>
      </c>
      <c r="KIX60" s="280">
        <v>0</v>
      </c>
      <c r="KIY60" s="280">
        <v>0</v>
      </c>
      <c r="KIZ60" s="280">
        <v>0</v>
      </c>
      <c r="KJA60" s="280">
        <v>0</v>
      </c>
      <c r="KJB60" s="280">
        <v>0</v>
      </c>
      <c r="KJC60" s="280">
        <v>0</v>
      </c>
      <c r="KJD60" s="280">
        <v>0</v>
      </c>
      <c r="KJE60" s="280">
        <v>0</v>
      </c>
      <c r="KJF60" s="280">
        <v>0</v>
      </c>
      <c r="KJG60" s="280">
        <v>0</v>
      </c>
      <c r="KJH60" s="280">
        <v>0</v>
      </c>
      <c r="KJI60" s="280">
        <v>0</v>
      </c>
      <c r="KJJ60" s="280">
        <v>0</v>
      </c>
      <c r="KJK60" s="280">
        <v>0</v>
      </c>
      <c r="KJL60" s="280">
        <v>0</v>
      </c>
      <c r="KJM60" s="280">
        <v>0</v>
      </c>
      <c r="KJN60" s="280">
        <v>0</v>
      </c>
      <c r="KJO60" s="280">
        <v>0</v>
      </c>
      <c r="KJP60" s="280">
        <v>0</v>
      </c>
      <c r="KJQ60" s="280">
        <v>0</v>
      </c>
      <c r="KJR60" s="280">
        <v>0</v>
      </c>
      <c r="KJS60" s="280">
        <v>0</v>
      </c>
      <c r="KJT60" s="280">
        <v>0</v>
      </c>
      <c r="KJU60" s="280">
        <v>0</v>
      </c>
      <c r="KJV60" s="280">
        <v>0</v>
      </c>
      <c r="KJW60" s="280">
        <v>0</v>
      </c>
      <c r="KJX60" s="280">
        <v>0</v>
      </c>
      <c r="KJY60" s="280">
        <v>0</v>
      </c>
      <c r="KJZ60" s="280">
        <v>0</v>
      </c>
      <c r="KKA60" s="280">
        <v>0</v>
      </c>
      <c r="KKB60" s="280">
        <v>0</v>
      </c>
      <c r="KKC60" s="280">
        <v>0</v>
      </c>
      <c r="KKD60" s="280">
        <v>0</v>
      </c>
      <c r="KKE60" s="280">
        <v>0</v>
      </c>
      <c r="KKF60" s="280">
        <v>0</v>
      </c>
      <c r="KKG60" s="280">
        <v>0</v>
      </c>
      <c r="KKH60" s="280">
        <v>0</v>
      </c>
      <c r="KKI60" s="280">
        <v>0</v>
      </c>
      <c r="KKJ60" s="280">
        <v>0</v>
      </c>
      <c r="KKK60" s="280">
        <v>0</v>
      </c>
      <c r="KKL60" s="280">
        <v>0</v>
      </c>
      <c r="KKM60" s="280">
        <v>0</v>
      </c>
      <c r="KKN60" s="280">
        <v>0</v>
      </c>
      <c r="KKO60" s="280">
        <v>0</v>
      </c>
      <c r="KKP60" s="280">
        <v>0</v>
      </c>
      <c r="KKQ60" s="280">
        <v>0</v>
      </c>
      <c r="KKR60" s="280">
        <v>0</v>
      </c>
      <c r="KKS60" s="280">
        <v>0</v>
      </c>
      <c r="KKT60" s="280">
        <v>0</v>
      </c>
      <c r="KKU60" s="280">
        <v>0</v>
      </c>
      <c r="KKV60" s="280">
        <v>0</v>
      </c>
      <c r="KKW60" s="280">
        <v>0</v>
      </c>
      <c r="KKX60" s="280">
        <v>0</v>
      </c>
      <c r="KKY60" s="280">
        <v>0</v>
      </c>
      <c r="KKZ60" s="280">
        <v>0</v>
      </c>
      <c r="KLA60" s="280">
        <v>0</v>
      </c>
      <c r="KLB60" s="280">
        <v>0</v>
      </c>
      <c r="KLC60" s="280">
        <v>0</v>
      </c>
      <c r="KLD60" s="280">
        <v>0</v>
      </c>
      <c r="KLE60" s="280">
        <v>0</v>
      </c>
      <c r="KLF60" s="280">
        <v>0</v>
      </c>
      <c r="KLG60" s="280">
        <v>0</v>
      </c>
      <c r="KLH60" s="280">
        <v>0</v>
      </c>
      <c r="KLI60" s="280">
        <v>0</v>
      </c>
      <c r="KLJ60" s="280">
        <v>0</v>
      </c>
      <c r="KLK60" s="280">
        <v>0</v>
      </c>
      <c r="KLL60" s="280">
        <v>0</v>
      </c>
      <c r="KLM60" s="280">
        <v>0</v>
      </c>
      <c r="KLN60" s="280">
        <v>0</v>
      </c>
      <c r="KLO60" s="280">
        <v>0</v>
      </c>
      <c r="KLP60" s="280">
        <v>0</v>
      </c>
      <c r="KLQ60" s="280">
        <v>0</v>
      </c>
      <c r="KLR60" s="280">
        <v>0</v>
      </c>
      <c r="KLS60" s="280">
        <v>0</v>
      </c>
      <c r="KLT60" s="280">
        <v>0</v>
      </c>
      <c r="KLU60" s="280">
        <v>0</v>
      </c>
      <c r="KLV60" s="280">
        <v>0</v>
      </c>
      <c r="KLW60" s="280">
        <v>0</v>
      </c>
      <c r="KLX60" s="280">
        <v>0</v>
      </c>
      <c r="KLY60" s="280">
        <v>0</v>
      </c>
      <c r="KLZ60" s="280">
        <v>0</v>
      </c>
      <c r="KMA60" s="280">
        <v>0</v>
      </c>
      <c r="KMB60" s="280">
        <v>0</v>
      </c>
      <c r="KMC60" s="280">
        <v>0</v>
      </c>
      <c r="KMD60" s="280">
        <v>0</v>
      </c>
      <c r="KME60" s="280">
        <v>0</v>
      </c>
      <c r="KMF60" s="280">
        <v>0</v>
      </c>
      <c r="KMG60" s="280">
        <v>0</v>
      </c>
      <c r="KMH60" s="280">
        <v>0</v>
      </c>
      <c r="KMI60" s="280">
        <v>0</v>
      </c>
      <c r="KMJ60" s="280">
        <v>0</v>
      </c>
      <c r="KMK60" s="280">
        <v>0</v>
      </c>
      <c r="KML60" s="280">
        <v>0</v>
      </c>
      <c r="KMM60" s="280">
        <v>0</v>
      </c>
      <c r="KMN60" s="280">
        <v>0</v>
      </c>
      <c r="KMO60" s="280">
        <v>0</v>
      </c>
      <c r="KMP60" s="280">
        <v>0</v>
      </c>
      <c r="KMQ60" s="280">
        <v>0</v>
      </c>
      <c r="KMR60" s="280">
        <v>0</v>
      </c>
      <c r="KMS60" s="280">
        <v>0</v>
      </c>
      <c r="KMT60" s="280">
        <v>0</v>
      </c>
      <c r="KMU60" s="280">
        <v>0</v>
      </c>
      <c r="KMV60" s="280">
        <v>0</v>
      </c>
      <c r="KMW60" s="280">
        <v>0</v>
      </c>
      <c r="KMX60" s="280">
        <v>0</v>
      </c>
      <c r="KMY60" s="280">
        <v>0</v>
      </c>
      <c r="KMZ60" s="280">
        <v>0</v>
      </c>
      <c r="KNA60" s="280">
        <v>0</v>
      </c>
      <c r="KNB60" s="280">
        <v>0</v>
      </c>
      <c r="KNC60" s="280">
        <v>0</v>
      </c>
      <c r="KND60" s="280">
        <v>0</v>
      </c>
      <c r="KNE60" s="280">
        <v>0</v>
      </c>
      <c r="KNF60" s="280">
        <v>0</v>
      </c>
      <c r="KNG60" s="280">
        <v>0</v>
      </c>
      <c r="KNH60" s="280">
        <v>0</v>
      </c>
      <c r="KNI60" s="280">
        <v>0</v>
      </c>
      <c r="KNJ60" s="280">
        <v>0</v>
      </c>
      <c r="KNK60" s="280">
        <v>0</v>
      </c>
      <c r="KNL60" s="280">
        <v>0</v>
      </c>
      <c r="KNM60" s="280">
        <v>0</v>
      </c>
      <c r="KNN60" s="280">
        <v>0</v>
      </c>
      <c r="KNO60" s="280">
        <v>0</v>
      </c>
      <c r="KNP60" s="280">
        <v>0</v>
      </c>
      <c r="KNQ60" s="280">
        <v>0</v>
      </c>
      <c r="KNR60" s="280">
        <v>0</v>
      </c>
      <c r="KNS60" s="280">
        <v>0</v>
      </c>
      <c r="KNT60" s="280">
        <v>0</v>
      </c>
      <c r="KNU60" s="280">
        <v>0</v>
      </c>
      <c r="KNV60" s="280">
        <v>0</v>
      </c>
      <c r="KNW60" s="280">
        <v>0</v>
      </c>
      <c r="KNX60" s="280">
        <v>0</v>
      </c>
      <c r="KNY60" s="280">
        <v>0</v>
      </c>
      <c r="KNZ60" s="280">
        <v>0</v>
      </c>
      <c r="KOA60" s="280">
        <v>0</v>
      </c>
      <c r="KOB60" s="280">
        <v>0</v>
      </c>
      <c r="KOC60" s="280">
        <v>0</v>
      </c>
      <c r="KOD60" s="280">
        <v>0</v>
      </c>
      <c r="KOE60" s="280">
        <v>0</v>
      </c>
      <c r="KOF60" s="280">
        <v>0</v>
      </c>
      <c r="KOG60" s="280">
        <v>0</v>
      </c>
      <c r="KOH60" s="280">
        <v>0</v>
      </c>
      <c r="KOI60" s="280">
        <v>0</v>
      </c>
      <c r="KOJ60" s="280">
        <v>0</v>
      </c>
      <c r="KOK60" s="280">
        <v>0</v>
      </c>
      <c r="KOL60" s="280">
        <v>0</v>
      </c>
      <c r="KOM60" s="280">
        <v>0</v>
      </c>
      <c r="KON60" s="280">
        <v>0</v>
      </c>
      <c r="KOO60" s="280">
        <v>0</v>
      </c>
      <c r="KOP60" s="280">
        <v>0</v>
      </c>
      <c r="KOQ60" s="280">
        <v>0</v>
      </c>
      <c r="KOR60" s="280">
        <v>0</v>
      </c>
      <c r="KOS60" s="280">
        <v>0</v>
      </c>
      <c r="KOT60" s="280">
        <v>0</v>
      </c>
      <c r="KOU60" s="280">
        <v>0</v>
      </c>
      <c r="KOV60" s="280">
        <v>0</v>
      </c>
      <c r="KOW60" s="280">
        <v>0</v>
      </c>
      <c r="KOX60" s="280">
        <v>0</v>
      </c>
      <c r="KOY60" s="280">
        <v>0</v>
      </c>
      <c r="KOZ60" s="280">
        <v>0</v>
      </c>
      <c r="KPA60" s="280">
        <v>0</v>
      </c>
      <c r="KPB60" s="280">
        <v>0</v>
      </c>
      <c r="KPC60" s="280">
        <v>0</v>
      </c>
      <c r="KPD60" s="280">
        <v>0</v>
      </c>
      <c r="KPE60" s="280">
        <v>0</v>
      </c>
      <c r="KPF60" s="280">
        <v>0</v>
      </c>
      <c r="KPG60" s="280">
        <v>0</v>
      </c>
      <c r="KPH60" s="280">
        <v>0</v>
      </c>
      <c r="KPI60" s="280">
        <v>0</v>
      </c>
      <c r="KPJ60" s="280">
        <v>0</v>
      </c>
      <c r="KPK60" s="280">
        <v>0</v>
      </c>
      <c r="KPL60" s="280">
        <v>0</v>
      </c>
      <c r="KPM60" s="280">
        <v>0</v>
      </c>
      <c r="KPN60" s="280">
        <v>0</v>
      </c>
      <c r="KPO60" s="280">
        <v>0</v>
      </c>
      <c r="KPP60" s="280">
        <v>0</v>
      </c>
      <c r="KPQ60" s="280">
        <v>0</v>
      </c>
      <c r="KPR60" s="280">
        <v>0</v>
      </c>
      <c r="KPS60" s="280">
        <v>0</v>
      </c>
      <c r="KPT60" s="280">
        <v>0</v>
      </c>
      <c r="KPU60" s="280">
        <v>0</v>
      </c>
      <c r="KPV60" s="280">
        <v>0</v>
      </c>
      <c r="KPW60" s="280">
        <v>0</v>
      </c>
      <c r="KPX60" s="280">
        <v>0</v>
      </c>
      <c r="KPY60" s="280">
        <v>0</v>
      </c>
      <c r="KPZ60" s="280">
        <v>0</v>
      </c>
      <c r="KQA60" s="280">
        <v>0</v>
      </c>
      <c r="KQB60" s="280">
        <v>0</v>
      </c>
      <c r="KQC60" s="280">
        <v>0</v>
      </c>
      <c r="KQD60" s="280">
        <v>0</v>
      </c>
      <c r="KQE60" s="280">
        <v>0</v>
      </c>
      <c r="KQF60" s="280">
        <v>0</v>
      </c>
      <c r="KQG60" s="280">
        <v>0</v>
      </c>
      <c r="KQH60" s="280">
        <v>0</v>
      </c>
      <c r="KQI60" s="280">
        <v>0</v>
      </c>
      <c r="KQJ60" s="280">
        <v>0</v>
      </c>
      <c r="KQK60" s="280">
        <v>0</v>
      </c>
      <c r="KQL60" s="280">
        <v>0</v>
      </c>
      <c r="KQM60" s="280">
        <v>0</v>
      </c>
      <c r="KQN60" s="280">
        <v>0</v>
      </c>
      <c r="KQO60" s="280">
        <v>0</v>
      </c>
      <c r="KQP60" s="280">
        <v>0</v>
      </c>
      <c r="KQQ60" s="280">
        <v>0</v>
      </c>
      <c r="KQR60" s="280">
        <v>0</v>
      </c>
      <c r="KQS60" s="280">
        <v>0</v>
      </c>
      <c r="KQT60" s="280">
        <v>0</v>
      </c>
      <c r="KQU60" s="280">
        <v>0</v>
      </c>
      <c r="KQV60" s="280">
        <v>0</v>
      </c>
      <c r="KQW60" s="280">
        <v>0</v>
      </c>
      <c r="KQX60" s="280">
        <v>0</v>
      </c>
      <c r="KQY60" s="280">
        <v>0</v>
      </c>
      <c r="KQZ60" s="280">
        <v>0</v>
      </c>
      <c r="KRA60" s="280">
        <v>0</v>
      </c>
      <c r="KRB60" s="280">
        <v>0</v>
      </c>
      <c r="KRC60" s="280">
        <v>0</v>
      </c>
      <c r="KRD60" s="280">
        <v>0</v>
      </c>
      <c r="KRE60" s="280">
        <v>0</v>
      </c>
      <c r="KRF60" s="280">
        <v>0</v>
      </c>
      <c r="KRG60" s="280">
        <v>0</v>
      </c>
      <c r="KRH60" s="280">
        <v>0</v>
      </c>
      <c r="KRI60" s="280">
        <v>0</v>
      </c>
      <c r="KRJ60" s="280">
        <v>0</v>
      </c>
      <c r="KRK60" s="280">
        <v>0</v>
      </c>
      <c r="KRL60" s="280">
        <v>0</v>
      </c>
      <c r="KRM60" s="280">
        <v>0</v>
      </c>
      <c r="KRN60" s="280">
        <v>0</v>
      </c>
      <c r="KRO60" s="280">
        <v>0</v>
      </c>
      <c r="KRP60" s="280">
        <v>0</v>
      </c>
      <c r="KRQ60" s="280">
        <v>0</v>
      </c>
      <c r="KRR60" s="280">
        <v>0</v>
      </c>
      <c r="KRS60" s="280">
        <v>0</v>
      </c>
      <c r="KRT60" s="280">
        <v>0</v>
      </c>
      <c r="KRU60" s="280">
        <v>0</v>
      </c>
      <c r="KRV60" s="280">
        <v>0</v>
      </c>
      <c r="KRW60" s="280">
        <v>0</v>
      </c>
      <c r="KRX60" s="280">
        <v>0</v>
      </c>
      <c r="KRY60" s="280">
        <v>0</v>
      </c>
      <c r="KRZ60" s="280">
        <v>0</v>
      </c>
      <c r="KSA60" s="280">
        <v>0</v>
      </c>
      <c r="KSB60" s="280">
        <v>0</v>
      </c>
      <c r="KSC60" s="280">
        <v>0</v>
      </c>
      <c r="KSD60" s="280">
        <v>0</v>
      </c>
      <c r="KSE60" s="280">
        <v>0</v>
      </c>
      <c r="KSF60" s="280">
        <v>0</v>
      </c>
      <c r="KSG60" s="280">
        <v>0</v>
      </c>
      <c r="KSH60" s="280">
        <v>0</v>
      </c>
      <c r="KSI60" s="280">
        <v>0</v>
      </c>
      <c r="KSJ60" s="280">
        <v>0</v>
      </c>
      <c r="KSK60" s="280">
        <v>0</v>
      </c>
      <c r="KSL60" s="280">
        <v>0</v>
      </c>
      <c r="KSM60" s="280">
        <v>0</v>
      </c>
      <c r="KSN60" s="280">
        <v>0</v>
      </c>
      <c r="KSO60" s="280">
        <v>0</v>
      </c>
      <c r="KSP60" s="280">
        <v>0</v>
      </c>
      <c r="KSQ60" s="280">
        <v>0</v>
      </c>
      <c r="KSR60" s="280">
        <v>0</v>
      </c>
      <c r="KSS60" s="280">
        <v>0</v>
      </c>
      <c r="KST60" s="280">
        <v>0</v>
      </c>
      <c r="KSU60" s="280">
        <v>0</v>
      </c>
      <c r="KSV60" s="280">
        <v>0</v>
      </c>
      <c r="KSW60" s="280">
        <v>0</v>
      </c>
      <c r="KSX60" s="280">
        <v>0</v>
      </c>
      <c r="KSY60" s="280">
        <v>0</v>
      </c>
      <c r="KSZ60" s="280">
        <v>0</v>
      </c>
      <c r="KTA60" s="280">
        <v>0</v>
      </c>
      <c r="KTB60" s="280">
        <v>0</v>
      </c>
      <c r="KTC60" s="280">
        <v>0</v>
      </c>
      <c r="KTD60" s="280">
        <v>0</v>
      </c>
      <c r="KTE60" s="280">
        <v>0</v>
      </c>
      <c r="KTF60" s="280">
        <v>0</v>
      </c>
      <c r="KTG60" s="280">
        <v>0</v>
      </c>
      <c r="KTH60" s="280">
        <v>0</v>
      </c>
      <c r="KTI60" s="280">
        <v>0</v>
      </c>
      <c r="KTJ60" s="280">
        <v>0</v>
      </c>
      <c r="KTK60" s="280">
        <v>0</v>
      </c>
      <c r="KTL60" s="280">
        <v>0</v>
      </c>
      <c r="KTM60" s="280">
        <v>0</v>
      </c>
      <c r="KTN60" s="280">
        <v>0</v>
      </c>
      <c r="KTO60" s="280">
        <v>0</v>
      </c>
      <c r="KTP60" s="280">
        <v>0</v>
      </c>
      <c r="KTQ60" s="280">
        <v>0</v>
      </c>
      <c r="KTR60" s="280">
        <v>0</v>
      </c>
      <c r="KTS60" s="280">
        <v>0</v>
      </c>
      <c r="KTT60" s="280">
        <v>0</v>
      </c>
      <c r="KTU60" s="280">
        <v>0</v>
      </c>
      <c r="KTV60" s="280">
        <v>0</v>
      </c>
      <c r="KTW60" s="280">
        <v>0</v>
      </c>
      <c r="KTX60" s="280">
        <v>0</v>
      </c>
      <c r="KTY60" s="280">
        <v>0</v>
      </c>
      <c r="KTZ60" s="280">
        <v>0</v>
      </c>
      <c r="KUA60" s="280">
        <v>0</v>
      </c>
      <c r="KUB60" s="280">
        <v>0</v>
      </c>
      <c r="KUC60" s="280">
        <v>0</v>
      </c>
      <c r="KUD60" s="280">
        <v>0</v>
      </c>
      <c r="KUE60" s="280">
        <v>0</v>
      </c>
      <c r="KUF60" s="280">
        <v>0</v>
      </c>
      <c r="KUG60" s="280">
        <v>0</v>
      </c>
      <c r="KUH60" s="280">
        <v>0</v>
      </c>
      <c r="KUI60" s="280">
        <v>0</v>
      </c>
      <c r="KUJ60" s="280">
        <v>0</v>
      </c>
      <c r="KUK60" s="280">
        <v>0</v>
      </c>
      <c r="KUL60" s="280">
        <v>0</v>
      </c>
      <c r="KUM60" s="280">
        <v>0</v>
      </c>
      <c r="KUN60" s="280">
        <v>0</v>
      </c>
      <c r="KUO60" s="280">
        <v>0</v>
      </c>
      <c r="KUP60" s="280">
        <v>0</v>
      </c>
      <c r="KUQ60" s="280">
        <v>0</v>
      </c>
      <c r="KUR60" s="280">
        <v>0</v>
      </c>
      <c r="KUS60" s="280">
        <v>0</v>
      </c>
      <c r="KUT60" s="280">
        <v>0</v>
      </c>
      <c r="KUU60" s="280">
        <v>0</v>
      </c>
      <c r="KUV60" s="280">
        <v>0</v>
      </c>
      <c r="KUW60" s="280">
        <v>0</v>
      </c>
      <c r="KUX60" s="280">
        <v>0</v>
      </c>
      <c r="KUY60" s="280">
        <v>0</v>
      </c>
      <c r="KUZ60" s="280">
        <v>0</v>
      </c>
      <c r="KVA60" s="280">
        <v>0</v>
      </c>
      <c r="KVB60" s="280">
        <v>0</v>
      </c>
      <c r="KVC60" s="280">
        <v>0</v>
      </c>
      <c r="KVD60" s="280">
        <v>0</v>
      </c>
      <c r="KVE60" s="280">
        <v>0</v>
      </c>
      <c r="KVF60" s="280">
        <v>0</v>
      </c>
      <c r="KVG60" s="280">
        <v>0</v>
      </c>
      <c r="KVH60" s="280">
        <v>0</v>
      </c>
      <c r="KVI60" s="280">
        <v>0</v>
      </c>
      <c r="KVJ60" s="280">
        <v>0</v>
      </c>
      <c r="KVK60" s="280">
        <v>0</v>
      </c>
      <c r="KVL60" s="280">
        <v>0</v>
      </c>
      <c r="KVM60" s="280">
        <v>0</v>
      </c>
      <c r="KVN60" s="280">
        <v>0</v>
      </c>
      <c r="KVO60" s="280">
        <v>0</v>
      </c>
      <c r="KVP60" s="280">
        <v>0</v>
      </c>
      <c r="KVQ60" s="280">
        <v>0</v>
      </c>
      <c r="KVR60" s="280">
        <v>0</v>
      </c>
      <c r="KVS60" s="280">
        <v>0</v>
      </c>
      <c r="KVT60" s="280">
        <v>0</v>
      </c>
      <c r="KVU60" s="280">
        <v>0</v>
      </c>
      <c r="KVV60" s="280">
        <v>0</v>
      </c>
      <c r="KVW60" s="280">
        <v>0</v>
      </c>
      <c r="KVX60" s="280">
        <v>0</v>
      </c>
      <c r="KVY60" s="280">
        <v>0</v>
      </c>
      <c r="KVZ60" s="280">
        <v>0</v>
      </c>
      <c r="KWA60" s="280">
        <v>0</v>
      </c>
      <c r="KWB60" s="280">
        <v>0</v>
      </c>
      <c r="KWC60" s="280">
        <v>0</v>
      </c>
      <c r="KWD60" s="280">
        <v>0</v>
      </c>
      <c r="KWE60" s="280">
        <v>0</v>
      </c>
      <c r="KWF60" s="280">
        <v>0</v>
      </c>
      <c r="KWG60" s="280">
        <v>0</v>
      </c>
      <c r="KWH60" s="280">
        <v>0</v>
      </c>
      <c r="KWI60" s="280">
        <v>0</v>
      </c>
      <c r="KWJ60" s="280">
        <v>0</v>
      </c>
      <c r="KWK60" s="280">
        <v>0</v>
      </c>
      <c r="KWL60" s="280">
        <v>0</v>
      </c>
      <c r="KWM60" s="280">
        <v>0</v>
      </c>
      <c r="KWN60" s="280">
        <v>0</v>
      </c>
      <c r="KWO60" s="280">
        <v>0</v>
      </c>
      <c r="KWP60" s="280">
        <v>0</v>
      </c>
      <c r="KWQ60" s="280">
        <v>0</v>
      </c>
      <c r="KWR60" s="280">
        <v>0</v>
      </c>
      <c r="KWS60" s="280">
        <v>0</v>
      </c>
      <c r="KWT60" s="280">
        <v>0</v>
      </c>
      <c r="KWU60" s="280">
        <v>0</v>
      </c>
      <c r="KWV60" s="280">
        <v>0</v>
      </c>
      <c r="KWW60" s="280">
        <v>0</v>
      </c>
      <c r="KWX60" s="280">
        <v>0</v>
      </c>
      <c r="KWY60" s="280">
        <v>0</v>
      </c>
      <c r="KWZ60" s="280">
        <v>0</v>
      </c>
      <c r="KXA60" s="280">
        <v>0</v>
      </c>
      <c r="KXB60" s="280">
        <v>0</v>
      </c>
      <c r="KXC60" s="280">
        <v>0</v>
      </c>
      <c r="KXD60" s="280">
        <v>0</v>
      </c>
      <c r="KXE60" s="280">
        <v>0</v>
      </c>
      <c r="KXF60" s="280">
        <v>0</v>
      </c>
      <c r="KXG60" s="280">
        <v>0</v>
      </c>
      <c r="KXH60" s="280">
        <v>0</v>
      </c>
      <c r="KXI60" s="280">
        <v>0</v>
      </c>
      <c r="KXJ60" s="280">
        <v>0</v>
      </c>
      <c r="KXK60" s="280">
        <v>0</v>
      </c>
      <c r="KXL60" s="280">
        <v>0</v>
      </c>
      <c r="KXM60" s="280">
        <v>0</v>
      </c>
      <c r="KXN60" s="280">
        <v>0</v>
      </c>
      <c r="KXO60" s="280">
        <v>0</v>
      </c>
      <c r="KXP60" s="280">
        <v>0</v>
      </c>
      <c r="KXQ60" s="280">
        <v>0</v>
      </c>
      <c r="KXR60" s="280">
        <v>0</v>
      </c>
      <c r="KXS60" s="280">
        <v>0</v>
      </c>
      <c r="KXT60" s="280">
        <v>0</v>
      </c>
      <c r="KXU60" s="280">
        <v>0</v>
      </c>
      <c r="KXV60" s="280">
        <v>0</v>
      </c>
      <c r="KXW60" s="280">
        <v>0</v>
      </c>
      <c r="KXX60" s="280">
        <v>0</v>
      </c>
      <c r="KXY60" s="280">
        <v>0</v>
      </c>
      <c r="KXZ60" s="280">
        <v>0</v>
      </c>
      <c r="KYA60" s="280">
        <v>0</v>
      </c>
      <c r="KYB60" s="280">
        <v>0</v>
      </c>
      <c r="KYC60" s="280">
        <v>0</v>
      </c>
      <c r="KYD60" s="280">
        <v>0</v>
      </c>
      <c r="KYE60" s="280">
        <v>0</v>
      </c>
      <c r="KYF60" s="280">
        <v>0</v>
      </c>
      <c r="KYG60" s="280">
        <v>0</v>
      </c>
      <c r="KYH60" s="280">
        <v>0</v>
      </c>
      <c r="KYI60" s="280">
        <v>0</v>
      </c>
      <c r="KYJ60" s="280">
        <v>0</v>
      </c>
      <c r="KYK60" s="280">
        <v>0</v>
      </c>
      <c r="KYL60" s="280">
        <v>0</v>
      </c>
      <c r="KYM60" s="280">
        <v>0</v>
      </c>
      <c r="KYN60" s="280">
        <v>0</v>
      </c>
      <c r="KYO60" s="280">
        <v>0</v>
      </c>
      <c r="KYP60" s="280">
        <v>0</v>
      </c>
      <c r="KYQ60" s="280">
        <v>0</v>
      </c>
      <c r="KYR60" s="280">
        <v>0</v>
      </c>
      <c r="KYS60" s="280">
        <v>0</v>
      </c>
      <c r="KYT60" s="280">
        <v>0</v>
      </c>
      <c r="KYU60" s="280">
        <v>0</v>
      </c>
      <c r="KYV60" s="280">
        <v>0</v>
      </c>
      <c r="KYW60" s="280">
        <v>0</v>
      </c>
      <c r="KYX60" s="280">
        <v>0</v>
      </c>
      <c r="KYY60" s="280">
        <v>0</v>
      </c>
      <c r="KYZ60" s="280">
        <v>0</v>
      </c>
      <c r="KZA60" s="280">
        <v>0</v>
      </c>
      <c r="KZB60" s="280">
        <v>0</v>
      </c>
      <c r="KZC60" s="280">
        <v>0</v>
      </c>
      <c r="KZD60" s="280">
        <v>0</v>
      </c>
      <c r="KZE60" s="280">
        <v>0</v>
      </c>
      <c r="KZF60" s="280">
        <v>0</v>
      </c>
      <c r="KZG60" s="280">
        <v>0</v>
      </c>
      <c r="KZH60" s="280">
        <v>0</v>
      </c>
      <c r="KZI60" s="280">
        <v>0</v>
      </c>
      <c r="KZJ60" s="280">
        <v>0</v>
      </c>
      <c r="KZK60" s="280">
        <v>0</v>
      </c>
      <c r="KZL60" s="280">
        <v>0</v>
      </c>
      <c r="KZM60" s="280">
        <v>0</v>
      </c>
      <c r="KZN60" s="280">
        <v>0</v>
      </c>
      <c r="KZO60" s="280">
        <v>0</v>
      </c>
      <c r="KZP60" s="280">
        <v>0</v>
      </c>
      <c r="KZQ60" s="280">
        <v>0</v>
      </c>
      <c r="KZR60" s="280">
        <v>0</v>
      </c>
      <c r="KZS60" s="280">
        <v>0</v>
      </c>
      <c r="KZT60" s="280">
        <v>0</v>
      </c>
      <c r="KZU60" s="280">
        <v>0</v>
      </c>
      <c r="KZV60" s="280">
        <v>0</v>
      </c>
      <c r="KZW60" s="280">
        <v>0</v>
      </c>
      <c r="KZX60" s="280">
        <v>0</v>
      </c>
      <c r="KZY60" s="280">
        <v>0</v>
      </c>
      <c r="KZZ60" s="280">
        <v>0</v>
      </c>
      <c r="LAA60" s="280">
        <v>0</v>
      </c>
      <c r="LAB60" s="280">
        <v>0</v>
      </c>
      <c r="LAC60" s="280">
        <v>0</v>
      </c>
      <c r="LAD60" s="280">
        <v>0</v>
      </c>
      <c r="LAE60" s="280">
        <v>0</v>
      </c>
      <c r="LAF60" s="280">
        <v>0</v>
      </c>
      <c r="LAG60" s="280">
        <v>0</v>
      </c>
      <c r="LAH60" s="280">
        <v>0</v>
      </c>
      <c r="LAI60" s="280">
        <v>0</v>
      </c>
      <c r="LAJ60" s="280">
        <v>0</v>
      </c>
      <c r="LAK60" s="280">
        <v>0</v>
      </c>
      <c r="LAL60" s="280">
        <v>0</v>
      </c>
      <c r="LAM60" s="280">
        <v>0</v>
      </c>
      <c r="LAN60" s="280">
        <v>0</v>
      </c>
      <c r="LAO60" s="280">
        <v>0</v>
      </c>
      <c r="LAP60" s="280">
        <v>0</v>
      </c>
      <c r="LAQ60" s="280">
        <v>0</v>
      </c>
      <c r="LAR60" s="280">
        <v>0</v>
      </c>
      <c r="LAS60" s="280">
        <v>0</v>
      </c>
      <c r="LAT60" s="280">
        <v>0</v>
      </c>
      <c r="LAU60" s="280">
        <v>0</v>
      </c>
      <c r="LAV60" s="280">
        <v>0</v>
      </c>
      <c r="LAW60" s="280">
        <v>0</v>
      </c>
      <c r="LAX60" s="280">
        <v>0</v>
      </c>
      <c r="LAY60" s="280">
        <v>0</v>
      </c>
      <c r="LAZ60" s="280">
        <v>0</v>
      </c>
      <c r="LBA60" s="280">
        <v>0</v>
      </c>
      <c r="LBB60" s="280">
        <v>0</v>
      </c>
      <c r="LBC60" s="280">
        <v>0</v>
      </c>
      <c r="LBD60" s="280">
        <v>0</v>
      </c>
      <c r="LBE60" s="280">
        <v>0</v>
      </c>
      <c r="LBF60" s="280">
        <v>0</v>
      </c>
      <c r="LBG60" s="280">
        <v>0</v>
      </c>
      <c r="LBH60" s="280">
        <v>0</v>
      </c>
      <c r="LBI60" s="280">
        <v>0</v>
      </c>
      <c r="LBJ60" s="280">
        <v>0</v>
      </c>
      <c r="LBK60" s="280">
        <v>0</v>
      </c>
      <c r="LBL60" s="280">
        <v>0</v>
      </c>
      <c r="LBM60" s="280">
        <v>0</v>
      </c>
      <c r="LBN60" s="280">
        <v>0</v>
      </c>
      <c r="LBO60" s="280">
        <v>0</v>
      </c>
      <c r="LBP60" s="280">
        <v>0</v>
      </c>
      <c r="LBQ60" s="280">
        <v>0</v>
      </c>
      <c r="LBR60" s="280">
        <v>0</v>
      </c>
      <c r="LBS60" s="280">
        <v>0</v>
      </c>
      <c r="LBT60" s="280">
        <v>0</v>
      </c>
      <c r="LBU60" s="280">
        <v>0</v>
      </c>
      <c r="LBV60" s="280">
        <v>0</v>
      </c>
      <c r="LBW60" s="280">
        <v>0</v>
      </c>
      <c r="LBX60" s="280">
        <v>0</v>
      </c>
      <c r="LBY60" s="280">
        <v>0</v>
      </c>
      <c r="LBZ60" s="280">
        <v>0</v>
      </c>
      <c r="LCA60" s="280">
        <v>0</v>
      </c>
      <c r="LCB60" s="280">
        <v>0</v>
      </c>
      <c r="LCC60" s="280">
        <v>0</v>
      </c>
      <c r="LCD60" s="280">
        <v>0</v>
      </c>
      <c r="LCE60" s="280">
        <v>0</v>
      </c>
      <c r="LCF60" s="280">
        <v>0</v>
      </c>
      <c r="LCG60" s="280">
        <v>0</v>
      </c>
      <c r="LCH60" s="280">
        <v>0</v>
      </c>
      <c r="LCI60" s="280">
        <v>0</v>
      </c>
      <c r="LCJ60" s="280">
        <v>0</v>
      </c>
      <c r="LCK60" s="280">
        <v>0</v>
      </c>
      <c r="LCL60" s="280">
        <v>0</v>
      </c>
      <c r="LCM60" s="280">
        <v>0</v>
      </c>
      <c r="LCN60" s="280">
        <v>0</v>
      </c>
      <c r="LCO60" s="280">
        <v>0</v>
      </c>
      <c r="LCP60" s="280">
        <v>0</v>
      </c>
      <c r="LCQ60" s="280">
        <v>0</v>
      </c>
      <c r="LCR60" s="280">
        <v>0</v>
      </c>
      <c r="LCS60" s="280">
        <v>0</v>
      </c>
      <c r="LCT60" s="280">
        <v>0</v>
      </c>
      <c r="LCU60" s="280">
        <v>0</v>
      </c>
      <c r="LCV60" s="280">
        <v>0</v>
      </c>
      <c r="LCW60" s="280">
        <v>0</v>
      </c>
      <c r="LCX60" s="280">
        <v>0</v>
      </c>
      <c r="LCY60" s="280">
        <v>0</v>
      </c>
      <c r="LCZ60" s="280">
        <v>0</v>
      </c>
      <c r="LDA60" s="280">
        <v>0</v>
      </c>
      <c r="LDB60" s="280">
        <v>0</v>
      </c>
      <c r="LDC60" s="280">
        <v>0</v>
      </c>
      <c r="LDD60" s="280">
        <v>0</v>
      </c>
      <c r="LDE60" s="280">
        <v>0</v>
      </c>
      <c r="LDF60" s="280">
        <v>0</v>
      </c>
      <c r="LDG60" s="280">
        <v>0</v>
      </c>
      <c r="LDH60" s="280">
        <v>0</v>
      </c>
      <c r="LDI60" s="280">
        <v>0</v>
      </c>
      <c r="LDJ60" s="280">
        <v>0</v>
      </c>
      <c r="LDK60" s="280">
        <v>0</v>
      </c>
      <c r="LDL60" s="280">
        <v>0</v>
      </c>
      <c r="LDM60" s="280">
        <v>0</v>
      </c>
      <c r="LDN60" s="280">
        <v>0</v>
      </c>
      <c r="LDO60" s="280">
        <v>0</v>
      </c>
      <c r="LDP60" s="280">
        <v>0</v>
      </c>
      <c r="LDQ60" s="280">
        <v>0</v>
      </c>
      <c r="LDR60" s="280">
        <v>0</v>
      </c>
      <c r="LDS60" s="280">
        <v>0</v>
      </c>
      <c r="LDT60" s="280">
        <v>0</v>
      </c>
      <c r="LDU60" s="280">
        <v>0</v>
      </c>
      <c r="LDV60" s="280">
        <v>0</v>
      </c>
      <c r="LDW60" s="280">
        <v>0</v>
      </c>
      <c r="LDX60" s="280">
        <v>0</v>
      </c>
      <c r="LDY60" s="280">
        <v>0</v>
      </c>
      <c r="LDZ60" s="280">
        <v>0</v>
      </c>
      <c r="LEA60" s="280">
        <v>0</v>
      </c>
      <c r="LEB60" s="280">
        <v>0</v>
      </c>
      <c r="LEC60" s="280">
        <v>0</v>
      </c>
      <c r="LED60" s="280">
        <v>0</v>
      </c>
      <c r="LEE60" s="280">
        <v>0</v>
      </c>
      <c r="LEF60" s="280">
        <v>0</v>
      </c>
      <c r="LEG60" s="280">
        <v>0</v>
      </c>
      <c r="LEH60" s="280">
        <v>0</v>
      </c>
      <c r="LEI60" s="280">
        <v>0</v>
      </c>
      <c r="LEJ60" s="280">
        <v>0</v>
      </c>
      <c r="LEK60" s="280">
        <v>0</v>
      </c>
      <c r="LEL60" s="280">
        <v>0</v>
      </c>
      <c r="LEM60" s="280">
        <v>0</v>
      </c>
      <c r="LEN60" s="280">
        <v>0</v>
      </c>
      <c r="LEO60" s="280">
        <v>0</v>
      </c>
      <c r="LEP60" s="280">
        <v>0</v>
      </c>
      <c r="LEQ60" s="280">
        <v>0</v>
      </c>
      <c r="LER60" s="280">
        <v>0</v>
      </c>
      <c r="LES60" s="280">
        <v>0</v>
      </c>
      <c r="LET60" s="280">
        <v>0</v>
      </c>
      <c r="LEU60" s="280">
        <v>0</v>
      </c>
      <c r="LEV60" s="280">
        <v>0</v>
      </c>
      <c r="LEW60" s="280">
        <v>0</v>
      </c>
      <c r="LEX60" s="280">
        <v>0</v>
      </c>
      <c r="LEY60" s="280">
        <v>0</v>
      </c>
      <c r="LEZ60" s="280">
        <v>0</v>
      </c>
      <c r="LFA60" s="280">
        <v>0</v>
      </c>
      <c r="LFB60" s="280">
        <v>0</v>
      </c>
      <c r="LFC60" s="280">
        <v>0</v>
      </c>
      <c r="LFD60" s="280">
        <v>0</v>
      </c>
      <c r="LFE60" s="280">
        <v>0</v>
      </c>
      <c r="LFF60" s="280">
        <v>0</v>
      </c>
      <c r="LFG60" s="280">
        <v>0</v>
      </c>
      <c r="LFH60" s="280">
        <v>0</v>
      </c>
      <c r="LFI60" s="280">
        <v>0</v>
      </c>
      <c r="LFJ60" s="280">
        <v>0</v>
      </c>
      <c r="LFK60" s="280">
        <v>0</v>
      </c>
      <c r="LFL60" s="280">
        <v>0</v>
      </c>
      <c r="LFM60" s="280">
        <v>0</v>
      </c>
      <c r="LFN60" s="280">
        <v>0</v>
      </c>
      <c r="LFO60" s="280">
        <v>0</v>
      </c>
      <c r="LFP60" s="280">
        <v>0</v>
      </c>
      <c r="LFQ60" s="280">
        <v>0</v>
      </c>
      <c r="LFR60" s="280">
        <v>0</v>
      </c>
      <c r="LFS60" s="280">
        <v>0</v>
      </c>
      <c r="LFT60" s="280">
        <v>0</v>
      </c>
      <c r="LFU60" s="280">
        <v>0</v>
      </c>
      <c r="LFV60" s="280">
        <v>0</v>
      </c>
      <c r="LFW60" s="280">
        <v>0</v>
      </c>
      <c r="LFX60" s="280">
        <v>0</v>
      </c>
      <c r="LFY60" s="280">
        <v>0</v>
      </c>
      <c r="LFZ60" s="280">
        <v>0</v>
      </c>
      <c r="LGA60" s="280">
        <v>0</v>
      </c>
      <c r="LGB60" s="280">
        <v>0</v>
      </c>
      <c r="LGC60" s="280">
        <v>0</v>
      </c>
      <c r="LGD60" s="280">
        <v>0</v>
      </c>
      <c r="LGE60" s="280">
        <v>0</v>
      </c>
      <c r="LGF60" s="280">
        <v>0</v>
      </c>
      <c r="LGG60" s="280">
        <v>0</v>
      </c>
      <c r="LGH60" s="280">
        <v>0</v>
      </c>
      <c r="LGI60" s="280">
        <v>0</v>
      </c>
      <c r="LGJ60" s="280">
        <v>0</v>
      </c>
      <c r="LGK60" s="280">
        <v>0</v>
      </c>
      <c r="LGL60" s="280">
        <v>0</v>
      </c>
      <c r="LGM60" s="280">
        <v>0</v>
      </c>
      <c r="LGN60" s="280">
        <v>0</v>
      </c>
      <c r="LGO60" s="280">
        <v>0</v>
      </c>
      <c r="LGP60" s="280">
        <v>0</v>
      </c>
      <c r="LGQ60" s="280">
        <v>0</v>
      </c>
      <c r="LGR60" s="280">
        <v>0</v>
      </c>
      <c r="LGS60" s="280">
        <v>0</v>
      </c>
      <c r="LGT60" s="280">
        <v>0</v>
      </c>
      <c r="LGU60" s="280">
        <v>0</v>
      </c>
      <c r="LGV60" s="280">
        <v>0</v>
      </c>
      <c r="LGW60" s="280">
        <v>0</v>
      </c>
      <c r="LGX60" s="280">
        <v>0</v>
      </c>
      <c r="LGY60" s="280">
        <v>0</v>
      </c>
      <c r="LGZ60" s="280">
        <v>0</v>
      </c>
      <c r="LHA60" s="280">
        <v>0</v>
      </c>
      <c r="LHB60" s="280">
        <v>0</v>
      </c>
      <c r="LHC60" s="280">
        <v>0</v>
      </c>
      <c r="LHD60" s="280">
        <v>0</v>
      </c>
      <c r="LHE60" s="280">
        <v>0</v>
      </c>
      <c r="LHF60" s="280">
        <v>0</v>
      </c>
      <c r="LHG60" s="280">
        <v>0</v>
      </c>
      <c r="LHH60" s="280">
        <v>0</v>
      </c>
      <c r="LHI60" s="280">
        <v>0</v>
      </c>
      <c r="LHJ60" s="280">
        <v>0</v>
      </c>
      <c r="LHK60" s="280">
        <v>0</v>
      </c>
      <c r="LHL60" s="280">
        <v>0</v>
      </c>
      <c r="LHM60" s="280">
        <v>0</v>
      </c>
      <c r="LHN60" s="280">
        <v>0</v>
      </c>
      <c r="LHO60" s="280">
        <v>0</v>
      </c>
      <c r="LHP60" s="280">
        <v>0</v>
      </c>
      <c r="LHQ60" s="280">
        <v>0</v>
      </c>
      <c r="LHR60" s="280">
        <v>0</v>
      </c>
      <c r="LHS60" s="280">
        <v>0</v>
      </c>
      <c r="LHT60" s="280">
        <v>0</v>
      </c>
      <c r="LHU60" s="280">
        <v>0</v>
      </c>
      <c r="LHV60" s="280">
        <v>0</v>
      </c>
      <c r="LHW60" s="280">
        <v>0</v>
      </c>
      <c r="LHX60" s="280">
        <v>0</v>
      </c>
      <c r="LHY60" s="280">
        <v>0</v>
      </c>
      <c r="LHZ60" s="280">
        <v>0</v>
      </c>
      <c r="LIA60" s="280">
        <v>0</v>
      </c>
      <c r="LIB60" s="280">
        <v>0</v>
      </c>
      <c r="LIC60" s="280">
        <v>0</v>
      </c>
      <c r="LID60" s="280">
        <v>0</v>
      </c>
      <c r="LIE60" s="280">
        <v>0</v>
      </c>
      <c r="LIF60" s="280">
        <v>0</v>
      </c>
      <c r="LIG60" s="280">
        <v>0</v>
      </c>
      <c r="LIH60" s="280">
        <v>0</v>
      </c>
      <c r="LII60" s="280">
        <v>0</v>
      </c>
      <c r="LIJ60" s="280">
        <v>0</v>
      </c>
      <c r="LIK60" s="280">
        <v>0</v>
      </c>
      <c r="LIL60" s="280">
        <v>0</v>
      </c>
      <c r="LIM60" s="280">
        <v>0</v>
      </c>
      <c r="LIN60" s="280">
        <v>0</v>
      </c>
      <c r="LIO60" s="280">
        <v>0</v>
      </c>
      <c r="LIP60" s="280">
        <v>0</v>
      </c>
      <c r="LIQ60" s="280">
        <v>0</v>
      </c>
      <c r="LIR60" s="280">
        <v>0</v>
      </c>
      <c r="LIS60" s="280">
        <v>0</v>
      </c>
      <c r="LIT60" s="280">
        <v>0</v>
      </c>
      <c r="LIU60" s="280">
        <v>0</v>
      </c>
      <c r="LIV60" s="280">
        <v>0</v>
      </c>
      <c r="LIW60" s="280">
        <v>0</v>
      </c>
      <c r="LIX60" s="280">
        <v>0</v>
      </c>
      <c r="LIY60" s="280">
        <v>0</v>
      </c>
      <c r="LIZ60" s="280">
        <v>0</v>
      </c>
      <c r="LJA60" s="280">
        <v>0</v>
      </c>
      <c r="LJB60" s="280">
        <v>0</v>
      </c>
      <c r="LJC60" s="280">
        <v>0</v>
      </c>
      <c r="LJD60" s="280">
        <v>0</v>
      </c>
      <c r="LJE60" s="280">
        <v>0</v>
      </c>
      <c r="LJF60" s="280">
        <v>0</v>
      </c>
      <c r="LJG60" s="280">
        <v>0</v>
      </c>
      <c r="LJH60" s="280">
        <v>0</v>
      </c>
      <c r="LJI60" s="280">
        <v>0</v>
      </c>
      <c r="LJJ60" s="280">
        <v>0</v>
      </c>
      <c r="LJK60" s="280">
        <v>0</v>
      </c>
      <c r="LJL60" s="280">
        <v>0</v>
      </c>
      <c r="LJM60" s="280">
        <v>0</v>
      </c>
      <c r="LJN60" s="280">
        <v>0</v>
      </c>
      <c r="LJO60" s="280">
        <v>0</v>
      </c>
      <c r="LJP60" s="280">
        <v>0</v>
      </c>
      <c r="LJQ60" s="280">
        <v>0</v>
      </c>
      <c r="LJR60" s="280">
        <v>0</v>
      </c>
      <c r="LJS60" s="280">
        <v>0</v>
      </c>
      <c r="LJT60" s="280">
        <v>0</v>
      </c>
      <c r="LJU60" s="280">
        <v>0</v>
      </c>
      <c r="LJV60" s="280">
        <v>0</v>
      </c>
      <c r="LJW60" s="280">
        <v>0</v>
      </c>
      <c r="LJX60" s="280">
        <v>0</v>
      </c>
      <c r="LJY60" s="280">
        <v>0</v>
      </c>
      <c r="LJZ60" s="280">
        <v>0</v>
      </c>
      <c r="LKA60" s="280">
        <v>0</v>
      </c>
      <c r="LKB60" s="280">
        <v>0</v>
      </c>
      <c r="LKC60" s="280">
        <v>0</v>
      </c>
      <c r="LKD60" s="280">
        <v>0</v>
      </c>
      <c r="LKE60" s="280">
        <v>0</v>
      </c>
      <c r="LKF60" s="280">
        <v>0</v>
      </c>
      <c r="LKG60" s="280">
        <v>0</v>
      </c>
      <c r="LKH60" s="280">
        <v>0</v>
      </c>
      <c r="LKI60" s="280">
        <v>0</v>
      </c>
      <c r="LKJ60" s="280">
        <v>0</v>
      </c>
      <c r="LKK60" s="280">
        <v>0</v>
      </c>
      <c r="LKL60" s="280">
        <v>0</v>
      </c>
      <c r="LKM60" s="280">
        <v>0</v>
      </c>
      <c r="LKN60" s="280">
        <v>0</v>
      </c>
      <c r="LKO60" s="280">
        <v>0</v>
      </c>
      <c r="LKP60" s="280">
        <v>0</v>
      </c>
      <c r="LKQ60" s="280">
        <v>0</v>
      </c>
      <c r="LKR60" s="280">
        <v>0</v>
      </c>
      <c r="LKS60" s="280">
        <v>0</v>
      </c>
      <c r="LKT60" s="280">
        <v>0</v>
      </c>
      <c r="LKU60" s="280">
        <v>0</v>
      </c>
      <c r="LKV60" s="280">
        <v>0</v>
      </c>
      <c r="LKW60" s="280">
        <v>0</v>
      </c>
      <c r="LKX60" s="280">
        <v>0</v>
      </c>
      <c r="LKY60" s="280">
        <v>0</v>
      </c>
      <c r="LKZ60" s="280">
        <v>0</v>
      </c>
      <c r="LLA60" s="280">
        <v>0</v>
      </c>
      <c r="LLB60" s="280">
        <v>0</v>
      </c>
      <c r="LLC60" s="280">
        <v>0</v>
      </c>
      <c r="LLD60" s="280">
        <v>0</v>
      </c>
      <c r="LLE60" s="280">
        <v>0</v>
      </c>
      <c r="LLF60" s="280">
        <v>0</v>
      </c>
      <c r="LLG60" s="280">
        <v>0</v>
      </c>
      <c r="LLH60" s="280">
        <v>0</v>
      </c>
      <c r="LLI60" s="280">
        <v>0</v>
      </c>
      <c r="LLJ60" s="280">
        <v>0</v>
      </c>
      <c r="LLK60" s="280">
        <v>0</v>
      </c>
      <c r="LLL60" s="280">
        <v>0</v>
      </c>
      <c r="LLM60" s="280">
        <v>0</v>
      </c>
      <c r="LLN60" s="280">
        <v>0</v>
      </c>
      <c r="LLO60" s="280">
        <v>0</v>
      </c>
      <c r="LLP60" s="280">
        <v>0</v>
      </c>
      <c r="LLQ60" s="280">
        <v>0</v>
      </c>
      <c r="LLR60" s="280">
        <v>0</v>
      </c>
      <c r="LLS60" s="280">
        <v>0</v>
      </c>
      <c r="LLT60" s="280">
        <v>0</v>
      </c>
      <c r="LLU60" s="280">
        <v>0</v>
      </c>
      <c r="LLV60" s="280">
        <v>0</v>
      </c>
      <c r="LLW60" s="280">
        <v>0</v>
      </c>
      <c r="LLX60" s="280">
        <v>0</v>
      </c>
      <c r="LLY60" s="280">
        <v>0</v>
      </c>
      <c r="LLZ60" s="280">
        <v>0</v>
      </c>
      <c r="LMA60" s="280">
        <v>0</v>
      </c>
      <c r="LMB60" s="280">
        <v>0</v>
      </c>
      <c r="LMC60" s="280">
        <v>0</v>
      </c>
      <c r="LMD60" s="280">
        <v>0</v>
      </c>
      <c r="LME60" s="280">
        <v>0</v>
      </c>
      <c r="LMF60" s="280">
        <v>0</v>
      </c>
      <c r="LMG60" s="280">
        <v>0</v>
      </c>
      <c r="LMH60" s="280">
        <v>0</v>
      </c>
      <c r="LMI60" s="280">
        <v>0</v>
      </c>
      <c r="LMJ60" s="280">
        <v>0</v>
      </c>
      <c r="LMK60" s="280">
        <v>0</v>
      </c>
      <c r="LML60" s="280">
        <v>0</v>
      </c>
      <c r="LMM60" s="280">
        <v>0</v>
      </c>
      <c r="LMN60" s="280">
        <v>0</v>
      </c>
      <c r="LMO60" s="280">
        <v>0</v>
      </c>
      <c r="LMP60" s="280">
        <v>0</v>
      </c>
      <c r="LMQ60" s="280">
        <v>0</v>
      </c>
      <c r="LMR60" s="280">
        <v>0</v>
      </c>
      <c r="LMS60" s="280">
        <v>0</v>
      </c>
      <c r="LMT60" s="280">
        <v>0</v>
      </c>
      <c r="LMU60" s="280">
        <v>0</v>
      </c>
      <c r="LMV60" s="280">
        <v>0</v>
      </c>
      <c r="LMW60" s="280">
        <v>0</v>
      </c>
      <c r="LMX60" s="280">
        <v>0</v>
      </c>
      <c r="LMY60" s="280">
        <v>0</v>
      </c>
      <c r="LMZ60" s="280">
        <v>0</v>
      </c>
      <c r="LNA60" s="280">
        <v>0</v>
      </c>
      <c r="LNB60" s="280">
        <v>0</v>
      </c>
      <c r="LNC60" s="280">
        <v>0</v>
      </c>
      <c r="LND60" s="280">
        <v>0</v>
      </c>
      <c r="LNE60" s="280">
        <v>0</v>
      </c>
      <c r="LNF60" s="280">
        <v>0</v>
      </c>
      <c r="LNG60" s="280">
        <v>0</v>
      </c>
      <c r="LNH60" s="280">
        <v>0</v>
      </c>
      <c r="LNI60" s="280">
        <v>0</v>
      </c>
      <c r="LNJ60" s="280">
        <v>0</v>
      </c>
      <c r="LNK60" s="280">
        <v>0</v>
      </c>
      <c r="LNL60" s="280">
        <v>0</v>
      </c>
      <c r="LNM60" s="280">
        <v>0</v>
      </c>
      <c r="LNN60" s="280">
        <v>0</v>
      </c>
      <c r="LNO60" s="280">
        <v>0</v>
      </c>
      <c r="LNP60" s="280">
        <v>0</v>
      </c>
      <c r="LNQ60" s="280">
        <v>0</v>
      </c>
      <c r="LNR60" s="280">
        <v>0</v>
      </c>
      <c r="LNS60" s="280">
        <v>0</v>
      </c>
      <c r="LNT60" s="280">
        <v>0</v>
      </c>
      <c r="LNU60" s="280">
        <v>0</v>
      </c>
      <c r="LNV60" s="280">
        <v>0</v>
      </c>
      <c r="LNW60" s="280">
        <v>0</v>
      </c>
      <c r="LNX60" s="280">
        <v>0</v>
      </c>
      <c r="LNY60" s="280">
        <v>0</v>
      </c>
      <c r="LNZ60" s="280">
        <v>0</v>
      </c>
      <c r="LOA60" s="280">
        <v>0</v>
      </c>
      <c r="LOB60" s="280">
        <v>0</v>
      </c>
      <c r="LOC60" s="280">
        <v>0</v>
      </c>
      <c r="LOD60" s="280">
        <v>0</v>
      </c>
      <c r="LOE60" s="280">
        <v>0</v>
      </c>
      <c r="LOF60" s="280">
        <v>0</v>
      </c>
      <c r="LOG60" s="280">
        <v>0</v>
      </c>
      <c r="LOH60" s="280">
        <v>0</v>
      </c>
      <c r="LOI60" s="280">
        <v>0</v>
      </c>
      <c r="LOJ60" s="280">
        <v>0</v>
      </c>
      <c r="LOK60" s="280">
        <v>0</v>
      </c>
      <c r="LOL60" s="280">
        <v>0</v>
      </c>
      <c r="LOM60" s="280">
        <v>0</v>
      </c>
      <c r="LON60" s="280">
        <v>0</v>
      </c>
      <c r="LOO60" s="280">
        <v>0</v>
      </c>
      <c r="LOP60" s="280">
        <v>0</v>
      </c>
      <c r="LOQ60" s="280">
        <v>0</v>
      </c>
      <c r="LOR60" s="280">
        <v>0</v>
      </c>
      <c r="LOS60" s="280">
        <v>0</v>
      </c>
      <c r="LOT60" s="280">
        <v>0</v>
      </c>
      <c r="LOU60" s="280">
        <v>0</v>
      </c>
      <c r="LOV60" s="280">
        <v>0</v>
      </c>
      <c r="LOW60" s="280">
        <v>0</v>
      </c>
      <c r="LOX60" s="280">
        <v>0</v>
      </c>
      <c r="LOY60" s="280">
        <v>0</v>
      </c>
      <c r="LOZ60" s="280">
        <v>0</v>
      </c>
      <c r="LPA60" s="280">
        <v>0</v>
      </c>
      <c r="LPB60" s="280">
        <v>0</v>
      </c>
      <c r="LPC60" s="280">
        <v>0</v>
      </c>
      <c r="LPD60" s="280">
        <v>0</v>
      </c>
      <c r="LPE60" s="280">
        <v>0</v>
      </c>
      <c r="LPF60" s="280">
        <v>0</v>
      </c>
      <c r="LPG60" s="280">
        <v>0</v>
      </c>
      <c r="LPH60" s="280">
        <v>0</v>
      </c>
      <c r="LPI60" s="280">
        <v>0</v>
      </c>
      <c r="LPJ60" s="280">
        <v>0</v>
      </c>
      <c r="LPK60" s="280">
        <v>0</v>
      </c>
      <c r="LPL60" s="280">
        <v>0</v>
      </c>
      <c r="LPM60" s="280">
        <v>0</v>
      </c>
      <c r="LPN60" s="280">
        <v>0</v>
      </c>
      <c r="LPO60" s="280">
        <v>0</v>
      </c>
      <c r="LPP60" s="280">
        <v>0</v>
      </c>
      <c r="LPQ60" s="280">
        <v>0</v>
      </c>
      <c r="LPR60" s="280">
        <v>0</v>
      </c>
      <c r="LPS60" s="280">
        <v>0</v>
      </c>
      <c r="LPT60" s="280">
        <v>0</v>
      </c>
      <c r="LPU60" s="280">
        <v>0</v>
      </c>
      <c r="LPV60" s="280">
        <v>0</v>
      </c>
      <c r="LPW60" s="280">
        <v>0</v>
      </c>
      <c r="LPX60" s="280">
        <v>0</v>
      </c>
      <c r="LPY60" s="280">
        <v>0</v>
      </c>
      <c r="LPZ60" s="280">
        <v>0</v>
      </c>
      <c r="LQA60" s="280">
        <v>0</v>
      </c>
      <c r="LQB60" s="280">
        <v>0</v>
      </c>
      <c r="LQC60" s="280">
        <v>0</v>
      </c>
      <c r="LQD60" s="280">
        <v>0</v>
      </c>
      <c r="LQE60" s="280">
        <v>0</v>
      </c>
      <c r="LQF60" s="280">
        <v>0</v>
      </c>
      <c r="LQG60" s="280">
        <v>0</v>
      </c>
      <c r="LQH60" s="280">
        <v>0</v>
      </c>
      <c r="LQI60" s="280">
        <v>0</v>
      </c>
      <c r="LQJ60" s="280">
        <v>0</v>
      </c>
      <c r="LQK60" s="280">
        <v>0</v>
      </c>
      <c r="LQL60" s="280">
        <v>0</v>
      </c>
      <c r="LQM60" s="280">
        <v>0</v>
      </c>
      <c r="LQN60" s="280">
        <v>0</v>
      </c>
      <c r="LQO60" s="280">
        <v>0</v>
      </c>
      <c r="LQP60" s="280">
        <v>0</v>
      </c>
      <c r="LQQ60" s="280">
        <v>0</v>
      </c>
      <c r="LQR60" s="280">
        <v>0</v>
      </c>
      <c r="LQS60" s="280">
        <v>0</v>
      </c>
      <c r="LQT60" s="280">
        <v>0</v>
      </c>
      <c r="LQU60" s="280">
        <v>0</v>
      </c>
      <c r="LQV60" s="280">
        <v>0</v>
      </c>
      <c r="LQW60" s="280">
        <v>0</v>
      </c>
      <c r="LQX60" s="280">
        <v>0</v>
      </c>
      <c r="LQY60" s="280">
        <v>0</v>
      </c>
      <c r="LQZ60" s="280">
        <v>0</v>
      </c>
      <c r="LRA60" s="280">
        <v>0</v>
      </c>
      <c r="LRB60" s="280">
        <v>0</v>
      </c>
      <c r="LRC60" s="280">
        <v>0</v>
      </c>
      <c r="LRD60" s="280">
        <v>0</v>
      </c>
      <c r="LRE60" s="280">
        <v>0</v>
      </c>
      <c r="LRF60" s="280">
        <v>0</v>
      </c>
      <c r="LRG60" s="280">
        <v>0</v>
      </c>
      <c r="LRH60" s="280">
        <v>0</v>
      </c>
      <c r="LRI60" s="280">
        <v>0</v>
      </c>
      <c r="LRJ60" s="280">
        <v>0</v>
      </c>
      <c r="LRK60" s="280">
        <v>0</v>
      </c>
      <c r="LRL60" s="280">
        <v>0</v>
      </c>
      <c r="LRM60" s="280">
        <v>0</v>
      </c>
      <c r="LRN60" s="280">
        <v>0</v>
      </c>
      <c r="LRO60" s="280">
        <v>0</v>
      </c>
      <c r="LRP60" s="280">
        <v>0</v>
      </c>
      <c r="LRQ60" s="280">
        <v>0</v>
      </c>
      <c r="LRR60" s="280">
        <v>0</v>
      </c>
      <c r="LRS60" s="280">
        <v>0</v>
      </c>
      <c r="LRT60" s="280">
        <v>0</v>
      </c>
      <c r="LRU60" s="280">
        <v>0</v>
      </c>
      <c r="LRV60" s="280">
        <v>0</v>
      </c>
      <c r="LRW60" s="280">
        <v>0</v>
      </c>
      <c r="LRX60" s="280">
        <v>0</v>
      </c>
      <c r="LRY60" s="280">
        <v>0</v>
      </c>
      <c r="LRZ60" s="280">
        <v>0</v>
      </c>
      <c r="LSA60" s="280">
        <v>0</v>
      </c>
      <c r="LSB60" s="280">
        <v>0</v>
      </c>
      <c r="LSC60" s="280">
        <v>0</v>
      </c>
      <c r="LSD60" s="280">
        <v>0</v>
      </c>
      <c r="LSE60" s="280">
        <v>0</v>
      </c>
      <c r="LSF60" s="280">
        <v>0</v>
      </c>
      <c r="LSG60" s="280">
        <v>0</v>
      </c>
      <c r="LSH60" s="280">
        <v>0</v>
      </c>
      <c r="LSI60" s="280">
        <v>0</v>
      </c>
      <c r="LSJ60" s="280">
        <v>0</v>
      </c>
      <c r="LSK60" s="280">
        <v>0</v>
      </c>
      <c r="LSL60" s="280">
        <v>0</v>
      </c>
      <c r="LSM60" s="280">
        <v>0</v>
      </c>
      <c r="LSN60" s="280">
        <v>0</v>
      </c>
      <c r="LSO60" s="280">
        <v>0</v>
      </c>
      <c r="LSP60" s="280">
        <v>0</v>
      </c>
      <c r="LSQ60" s="280">
        <v>0</v>
      </c>
      <c r="LSR60" s="280">
        <v>0</v>
      </c>
      <c r="LSS60" s="280">
        <v>0</v>
      </c>
      <c r="LST60" s="280">
        <v>0</v>
      </c>
      <c r="LSU60" s="280">
        <v>0</v>
      </c>
      <c r="LSV60" s="280">
        <v>0</v>
      </c>
      <c r="LSW60" s="280">
        <v>0</v>
      </c>
      <c r="LSX60" s="280">
        <v>0</v>
      </c>
      <c r="LSY60" s="280">
        <v>0</v>
      </c>
      <c r="LSZ60" s="280">
        <v>0</v>
      </c>
      <c r="LTA60" s="280">
        <v>0</v>
      </c>
      <c r="LTB60" s="280">
        <v>0</v>
      </c>
      <c r="LTC60" s="280">
        <v>0</v>
      </c>
      <c r="LTD60" s="280">
        <v>0</v>
      </c>
      <c r="LTE60" s="280">
        <v>0</v>
      </c>
      <c r="LTF60" s="280">
        <v>0</v>
      </c>
      <c r="LTG60" s="280">
        <v>0</v>
      </c>
      <c r="LTH60" s="280">
        <v>0</v>
      </c>
      <c r="LTI60" s="280">
        <v>0</v>
      </c>
      <c r="LTJ60" s="280">
        <v>0</v>
      </c>
      <c r="LTK60" s="280">
        <v>0</v>
      </c>
      <c r="LTL60" s="280">
        <v>0</v>
      </c>
      <c r="LTM60" s="280">
        <v>0</v>
      </c>
      <c r="LTN60" s="280">
        <v>0</v>
      </c>
      <c r="LTO60" s="280">
        <v>0</v>
      </c>
      <c r="LTP60" s="280">
        <v>0</v>
      </c>
      <c r="LTQ60" s="280">
        <v>0</v>
      </c>
      <c r="LTR60" s="280">
        <v>0</v>
      </c>
      <c r="LTS60" s="280">
        <v>0</v>
      </c>
      <c r="LTT60" s="280">
        <v>0</v>
      </c>
      <c r="LTU60" s="280">
        <v>0</v>
      </c>
      <c r="LTV60" s="280">
        <v>0</v>
      </c>
      <c r="LTW60" s="280">
        <v>0</v>
      </c>
      <c r="LTX60" s="280">
        <v>0</v>
      </c>
      <c r="LTY60" s="280">
        <v>0</v>
      </c>
      <c r="LTZ60" s="280">
        <v>0</v>
      </c>
      <c r="LUA60" s="280">
        <v>0</v>
      </c>
      <c r="LUB60" s="280">
        <v>0</v>
      </c>
      <c r="LUC60" s="280">
        <v>0</v>
      </c>
      <c r="LUD60" s="280">
        <v>0</v>
      </c>
      <c r="LUE60" s="280">
        <v>0</v>
      </c>
      <c r="LUF60" s="280">
        <v>0</v>
      </c>
      <c r="LUG60" s="280">
        <v>0</v>
      </c>
      <c r="LUH60" s="280">
        <v>0</v>
      </c>
      <c r="LUI60" s="280">
        <v>0</v>
      </c>
      <c r="LUJ60" s="280">
        <v>0</v>
      </c>
      <c r="LUK60" s="280">
        <v>0</v>
      </c>
      <c r="LUL60" s="280">
        <v>0</v>
      </c>
      <c r="LUM60" s="280">
        <v>0</v>
      </c>
      <c r="LUN60" s="280">
        <v>0</v>
      </c>
      <c r="LUO60" s="280">
        <v>0</v>
      </c>
      <c r="LUP60" s="280">
        <v>0</v>
      </c>
      <c r="LUQ60" s="280">
        <v>0</v>
      </c>
      <c r="LUR60" s="280">
        <v>0</v>
      </c>
      <c r="LUS60" s="280">
        <v>0</v>
      </c>
      <c r="LUT60" s="280">
        <v>0</v>
      </c>
      <c r="LUU60" s="280">
        <v>0</v>
      </c>
      <c r="LUV60" s="280">
        <v>0</v>
      </c>
      <c r="LUW60" s="280">
        <v>0</v>
      </c>
      <c r="LUX60" s="280">
        <v>0</v>
      </c>
      <c r="LUY60" s="280">
        <v>0</v>
      </c>
      <c r="LUZ60" s="280">
        <v>0</v>
      </c>
      <c r="LVA60" s="280">
        <v>0</v>
      </c>
      <c r="LVB60" s="280">
        <v>0</v>
      </c>
      <c r="LVC60" s="280">
        <v>0</v>
      </c>
      <c r="LVD60" s="280">
        <v>0</v>
      </c>
      <c r="LVE60" s="280">
        <v>0</v>
      </c>
      <c r="LVF60" s="280">
        <v>0</v>
      </c>
      <c r="LVG60" s="280">
        <v>0</v>
      </c>
      <c r="LVH60" s="280">
        <v>0</v>
      </c>
      <c r="LVI60" s="280">
        <v>0</v>
      </c>
      <c r="LVJ60" s="280">
        <v>0</v>
      </c>
      <c r="LVK60" s="280">
        <v>0</v>
      </c>
      <c r="LVL60" s="280">
        <v>0</v>
      </c>
      <c r="LVM60" s="280">
        <v>0</v>
      </c>
      <c r="LVN60" s="280">
        <v>0</v>
      </c>
      <c r="LVO60" s="280">
        <v>0</v>
      </c>
      <c r="LVP60" s="280">
        <v>0</v>
      </c>
      <c r="LVQ60" s="280">
        <v>0</v>
      </c>
      <c r="LVR60" s="280">
        <v>0</v>
      </c>
      <c r="LVS60" s="280">
        <v>0</v>
      </c>
      <c r="LVT60" s="280">
        <v>0</v>
      </c>
      <c r="LVU60" s="280">
        <v>0</v>
      </c>
      <c r="LVV60" s="280">
        <v>0</v>
      </c>
      <c r="LVW60" s="280">
        <v>0</v>
      </c>
      <c r="LVX60" s="280">
        <v>0</v>
      </c>
      <c r="LVY60" s="280">
        <v>0</v>
      </c>
      <c r="LVZ60" s="280">
        <v>0</v>
      </c>
      <c r="LWA60" s="280">
        <v>0</v>
      </c>
      <c r="LWB60" s="280">
        <v>0</v>
      </c>
      <c r="LWC60" s="280">
        <v>0</v>
      </c>
      <c r="LWD60" s="280">
        <v>0</v>
      </c>
      <c r="LWE60" s="280">
        <v>0</v>
      </c>
      <c r="LWF60" s="280">
        <v>0</v>
      </c>
      <c r="LWG60" s="280">
        <v>0</v>
      </c>
      <c r="LWH60" s="280">
        <v>0</v>
      </c>
      <c r="LWI60" s="280">
        <v>0</v>
      </c>
      <c r="LWJ60" s="280">
        <v>0</v>
      </c>
      <c r="LWK60" s="280">
        <v>0</v>
      </c>
      <c r="LWL60" s="280">
        <v>0</v>
      </c>
      <c r="LWM60" s="280">
        <v>0</v>
      </c>
      <c r="LWN60" s="280">
        <v>0</v>
      </c>
      <c r="LWO60" s="280">
        <v>0</v>
      </c>
      <c r="LWP60" s="280">
        <v>0</v>
      </c>
      <c r="LWQ60" s="280">
        <v>0</v>
      </c>
      <c r="LWR60" s="280">
        <v>0</v>
      </c>
      <c r="LWS60" s="280">
        <v>0</v>
      </c>
      <c r="LWT60" s="280">
        <v>0</v>
      </c>
      <c r="LWU60" s="280">
        <v>0</v>
      </c>
      <c r="LWV60" s="280">
        <v>0</v>
      </c>
      <c r="LWW60" s="280">
        <v>0</v>
      </c>
      <c r="LWX60" s="280">
        <v>0</v>
      </c>
      <c r="LWY60" s="280">
        <v>0</v>
      </c>
      <c r="LWZ60" s="280">
        <v>0</v>
      </c>
      <c r="LXA60" s="280">
        <v>0</v>
      </c>
      <c r="LXB60" s="280">
        <v>0</v>
      </c>
      <c r="LXC60" s="280">
        <v>0</v>
      </c>
      <c r="LXD60" s="280">
        <v>0</v>
      </c>
      <c r="LXE60" s="280">
        <v>0</v>
      </c>
      <c r="LXF60" s="280">
        <v>0</v>
      </c>
      <c r="LXG60" s="280">
        <v>0</v>
      </c>
      <c r="LXH60" s="280">
        <v>0</v>
      </c>
      <c r="LXI60" s="280">
        <v>0</v>
      </c>
      <c r="LXJ60" s="280">
        <v>0</v>
      </c>
      <c r="LXK60" s="280">
        <v>0</v>
      </c>
      <c r="LXL60" s="280">
        <v>0</v>
      </c>
      <c r="LXM60" s="280">
        <v>0</v>
      </c>
      <c r="LXN60" s="280">
        <v>0</v>
      </c>
      <c r="LXO60" s="280">
        <v>0</v>
      </c>
      <c r="LXP60" s="280">
        <v>0</v>
      </c>
      <c r="LXQ60" s="280">
        <v>0</v>
      </c>
      <c r="LXR60" s="280">
        <v>0</v>
      </c>
      <c r="LXS60" s="280">
        <v>0</v>
      </c>
      <c r="LXT60" s="280">
        <v>0</v>
      </c>
      <c r="LXU60" s="280">
        <v>0</v>
      </c>
      <c r="LXV60" s="280">
        <v>0</v>
      </c>
      <c r="LXW60" s="280">
        <v>0</v>
      </c>
      <c r="LXX60" s="280">
        <v>0</v>
      </c>
      <c r="LXY60" s="280">
        <v>0</v>
      </c>
      <c r="LXZ60" s="280">
        <v>0</v>
      </c>
      <c r="LYA60" s="280">
        <v>0</v>
      </c>
      <c r="LYB60" s="280">
        <v>0</v>
      </c>
      <c r="LYC60" s="280">
        <v>0</v>
      </c>
      <c r="LYD60" s="280">
        <v>0</v>
      </c>
      <c r="LYE60" s="280">
        <v>0</v>
      </c>
      <c r="LYF60" s="280">
        <v>0</v>
      </c>
      <c r="LYG60" s="280">
        <v>0</v>
      </c>
      <c r="LYH60" s="280">
        <v>0</v>
      </c>
      <c r="LYI60" s="280">
        <v>0</v>
      </c>
      <c r="LYJ60" s="280">
        <v>0</v>
      </c>
      <c r="LYK60" s="280">
        <v>0</v>
      </c>
      <c r="LYL60" s="280">
        <v>0</v>
      </c>
      <c r="LYM60" s="280">
        <v>0</v>
      </c>
      <c r="LYN60" s="280">
        <v>0</v>
      </c>
      <c r="LYO60" s="280">
        <v>0</v>
      </c>
      <c r="LYP60" s="280">
        <v>0</v>
      </c>
      <c r="LYQ60" s="280">
        <v>0</v>
      </c>
      <c r="LYR60" s="280">
        <v>0</v>
      </c>
      <c r="LYS60" s="280">
        <v>0</v>
      </c>
      <c r="LYT60" s="280">
        <v>0</v>
      </c>
      <c r="LYU60" s="280">
        <v>0</v>
      </c>
      <c r="LYV60" s="280">
        <v>0</v>
      </c>
      <c r="LYW60" s="280">
        <v>0</v>
      </c>
      <c r="LYX60" s="280">
        <v>0</v>
      </c>
      <c r="LYY60" s="280">
        <v>0</v>
      </c>
      <c r="LYZ60" s="280">
        <v>0</v>
      </c>
      <c r="LZA60" s="280">
        <v>0</v>
      </c>
      <c r="LZB60" s="280">
        <v>0</v>
      </c>
      <c r="LZC60" s="280">
        <v>0</v>
      </c>
      <c r="LZD60" s="280">
        <v>0</v>
      </c>
      <c r="LZE60" s="280">
        <v>0</v>
      </c>
      <c r="LZF60" s="280">
        <v>0</v>
      </c>
      <c r="LZG60" s="280">
        <v>0</v>
      </c>
      <c r="LZH60" s="280">
        <v>0</v>
      </c>
      <c r="LZI60" s="280">
        <v>0</v>
      </c>
      <c r="LZJ60" s="280">
        <v>0</v>
      </c>
      <c r="LZK60" s="280">
        <v>0</v>
      </c>
      <c r="LZL60" s="280">
        <v>0</v>
      </c>
      <c r="LZM60" s="280">
        <v>0</v>
      </c>
      <c r="LZN60" s="280">
        <v>0</v>
      </c>
      <c r="LZO60" s="280">
        <v>0</v>
      </c>
      <c r="LZP60" s="280">
        <v>0</v>
      </c>
      <c r="LZQ60" s="280">
        <v>0</v>
      </c>
      <c r="LZR60" s="280">
        <v>0</v>
      </c>
      <c r="LZS60" s="280">
        <v>0</v>
      </c>
      <c r="LZT60" s="280">
        <v>0</v>
      </c>
      <c r="LZU60" s="280">
        <v>0</v>
      </c>
      <c r="LZV60" s="280">
        <v>0</v>
      </c>
      <c r="LZW60" s="280">
        <v>0</v>
      </c>
      <c r="LZX60" s="280">
        <v>0</v>
      </c>
      <c r="LZY60" s="280">
        <v>0</v>
      </c>
      <c r="LZZ60" s="280">
        <v>0</v>
      </c>
      <c r="MAA60" s="280">
        <v>0</v>
      </c>
      <c r="MAB60" s="280">
        <v>0</v>
      </c>
      <c r="MAC60" s="280">
        <v>0</v>
      </c>
      <c r="MAD60" s="280">
        <v>0</v>
      </c>
      <c r="MAE60" s="280">
        <v>0</v>
      </c>
      <c r="MAF60" s="280">
        <v>0</v>
      </c>
      <c r="MAG60" s="280">
        <v>0</v>
      </c>
      <c r="MAH60" s="280">
        <v>0</v>
      </c>
      <c r="MAI60" s="280">
        <v>0</v>
      </c>
      <c r="MAJ60" s="280">
        <v>0</v>
      </c>
      <c r="MAK60" s="280">
        <v>0</v>
      </c>
      <c r="MAL60" s="280">
        <v>0</v>
      </c>
      <c r="MAM60" s="280">
        <v>0</v>
      </c>
      <c r="MAN60" s="280">
        <v>0</v>
      </c>
      <c r="MAO60" s="280">
        <v>0</v>
      </c>
      <c r="MAP60" s="280">
        <v>0</v>
      </c>
      <c r="MAQ60" s="280">
        <v>0</v>
      </c>
      <c r="MAR60" s="280">
        <v>0</v>
      </c>
      <c r="MAS60" s="280">
        <v>0</v>
      </c>
      <c r="MAT60" s="280">
        <v>0</v>
      </c>
      <c r="MAU60" s="280">
        <v>0</v>
      </c>
      <c r="MAV60" s="280">
        <v>0</v>
      </c>
      <c r="MAW60" s="280">
        <v>0</v>
      </c>
      <c r="MAX60" s="280">
        <v>0</v>
      </c>
      <c r="MAY60" s="280">
        <v>0</v>
      </c>
      <c r="MAZ60" s="280">
        <v>0</v>
      </c>
      <c r="MBA60" s="280">
        <v>0</v>
      </c>
      <c r="MBB60" s="280">
        <v>0</v>
      </c>
      <c r="MBC60" s="280">
        <v>0</v>
      </c>
      <c r="MBD60" s="280">
        <v>0</v>
      </c>
      <c r="MBE60" s="280">
        <v>0</v>
      </c>
      <c r="MBF60" s="280">
        <v>0</v>
      </c>
      <c r="MBG60" s="280">
        <v>0</v>
      </c>
      <c r="MBH60" s="280">
        <v>0</v>
      </c>
      <c r="MBI60" s="280">
        <v>0</v>
      </c>
      <c r="MBJ60" s="280">
        <v>0</v>
      </c>
      <c r="MBK60" s="280">
        <v>0</v>
      </c>
      <c r="MBL60" s="280">
        <v>0</v>
      </c>
      <c r="MBM60" s="280">
        <v>0</v>
      </c>
      <c r="MBN60" s="280">
        <v>0</v>
      </c>
      <c r="MBO60" s="280">
        <v>0</v>
      </c>
      <c r="MBP60" s="280">
        <v>0</v>
      </c>
      <c r="MBQ60" s="280">
        <v>0</v>
      </c>
      <c r="MBR60" s="280">
        <v>0</v>
      </c>
      <c r="MBS60" s="280">
        <v>0</v>
      </c>
      <c r="MBT60" s="280">
        <v>0</v>
      </c>
      <c r="MBU60" s="280">
        <v>0</v>
      </c>
      <c r="MBV60" s="280">
        <v>0</v>
      </c>
      <c r="MBW60" s="280">
        <v>0</v>
      </c>
      <c r="MBX60" s="280">
        <v>0</v>
      </c>
      <c r="MBY60" s="280">
        <v>0</v>
      </c>
      <c r="MBZ60" s="280">
        <v>0</v>
      </c>
      <c r="MCA60" s="280">
        <v>0</v>
      </c>
      <c r="MCB60" s="280">
        <v>0</v>
      </c>
      <c r="MCC60" s="280">
        <v>0</v>
      </c>
      <c r="MCD60" s="280">
        <v>0</v>
      </c>
      <c r="MCE60" s="280">
        <v>0</v>
      </c>
      <c r="MCF60" s="280">
        <v>0</v>
      </c>
      <c r="MCG60" s="280">
        <v>0</v>
      </c>
      <c r="MCH60" s="280">
        <v>0</v>
      </c>
      <c r="MCI60" s="280">
        <v>0</v>
      </c>
      <c r="MCJ60" s="280">
        <v>0</v>
      </c>
      <c r="MCK60" s="280">
        <v>0</v>
      </c>
      <c r="MCL60" s="280">
        <v>0</v>
      </c>
      <c r="MCM60" s="280">
        <v>0</v>
      </c>
      <c r="MCN60" s="280">
        <v>0</v>
      </c>
      <c r="MCO60" s="280">
        <v>0</v>
      </c>
      <c r="MCP60" s="280">
        <v>0</v>
      </c>
      <c r="MCQ60" s="280">
        <v>0</v>
      </c>
      <c r="MCR60" s="280">
        <v>0</v>
      </c>
      <c r="MCS60" s="280">
        <v>0</v>
      </c>
      <c r="MCT60" s="280">
        <v>0</v>
      </c>
      <c r="MCU60" s="280">
        <v>0</v>
      </c>
      <c r="MCV60" s="280">
        <v>0</v>
      </c>
      <c r="MCW60" s="280">
        <v>0</v>
      </c>
      <c r="MCX60" s="280">
        <v>0</v>
      </c>
      <c r="MCY60" s="280">
        <v>0</v>
      </c>
      <c r="MCZ60" s="280">
        <v>0</v>
      </c>
      <c r="MDA60" s="280">
        <v>0</v>
      </c>
      <c r="MDB60" s="280">
        <v>0</v>
      </c>
      <c r="MDC60" s="280">
        <v>0</v>
      </c>
      <c r="MDD60" s="280">
        <v>0</v>
      </c>
      <c r="MDE60" s="280">
        <v>0</v>
      </c>
      <c r="MDF60" s="280">
        <v>0</v>
      </c>
      <c r="MDG60" s="280">
        <v>0</v>
      </c>
      <c r="MDH60" s="280">
        <v>0</v>
      </c>
      <c r="MDI60" s="280">
        <v>0</v>
      </c>
      <c r="MDJ60" s="280">
        <v>0</v>
      </c>
      <c r="MDK60" s="280">
        <v>0</v>
      </c>
      <c r="MDL60" s="280">
        <v>0</v>
      </c>
      <c r="MDM60" s="280">
        <v>0</v>
      </c>
      <c r="MDN60" s="280">
        <v>0</v>
      </c>
      <c r="MDO60" s="280">
        <v>0</v>
      </c>
      <c r="MDP60" s="280">
        <v>0</v>
      </c>
      <c r="MDQ60" s="280">
        <v>0</v>
      </c>
      <c r="MDR60" s="280">
        <v>0</v>
      </c>
      <c r="MDS60" s="280">
        <v>0</v>
      </c>
      <c r="MDT60" s="280">
        <v>0</v>
      </c>
      <c r="MDU60" s="280">
        <v>0</v>
      </c>
      <c r="MDV60" s="280">
        <v>0</v>
      </c>
      <c r="MDW60" s="280">
        <v>0</v>
      </c>
      <c r="MDX60" s="280">
        <v>0</v>
      </c>
      <c r="MDY60" s="280">
        <v>0</v>
      </c>
      <c r="MDZ60" s="280">
        <v>0</v>
      </c>
      <c r="MEA60" s="280">
        <v>0</v>
      </c>
      <c r="MEB60" s="280">
        <v>0</v>
      </c>
      <c r="MEC60" s="280">
        <v>0</v>
      </c>
      <c r="MED60" s="280">
        <v>0</v>
      </c>
      <c r="MEE60" s="280">
        <v>0</v>
      </c>
      <c r="MEF60" s="280">
        <v>0</v>
      </c>
      <c r="MEG60" s="280">
        <v>0</v>
      </c>
      <c r="MEH60" s="280">
        <v>0</v>
      </c>
      <c r="MEI60" s="280">
        <v>0</v>
      </c>
      <c r="MEJ60" s="280">
        <v>0</v>
      </c>
      <c r="MEK60" s="280">
        <v>0</v>
      </c>
      <c r="MEL60" s="280">
        <v>0</v>
      </c>
      <c r="MEM60" s="280">
        <v>0</v>
      </c>
      <c r="MEN60" s="280">
        <v>0</v>
      </c>
      <c r="MEO60" s="280">
        <v>0</v>
      </c>
      <c r="MEP60" s="280">
        <v>0</v>
      </c>
      <c r="MEQ60" s="280">
        <v>0</v>
      </c>
      <c r="MER60" s="280">
        <v>0</v>
      </c>
      <c r="MES60" s="280">
        <v>0</v>
      </c>
      <c r="MET60" s="280">
        <v>0</v>
      </c>
      <c r="MEU60" s="280">
        <v>0</v>
      </c>
      <c r="MEV60" s="280">
        <v>0</v>
      </c>
      <c r="MEW60" s="280">
        <v>0</v>
      </c>
      <c r="MEX60" s="280">
        <v>0</v>
      </c>
      <c r="MEY60" s="280">
        <v>0</v>
      </c>
      <c r="MEZ60" s="280">
        <v>0</v>
      </c>
      <c r="MFA60" s="280">
        <v>0</v>
      </c>
      <c r="MFB60" s="280">
        <v>0</v>
      </c>
      <c r="MFC60" s="280">
        <v>0</v>
      </c>
      <c r="MFD60" s="280">
        <v>0</v>
      </c>
      <c r="MFE60" s="280">
        <v>0</v>
      </c>
      <c r="MFF60" s="280">
        <v>0</v>
      </c>
      <c r="MFG60" s="280">
        <v>0</v>
      </c>
      <c r="MFH60" s="280">
        <v>0</v>
      </c>
      <c r="MFI60" s="280">
        <v>0</v>
      </c>
      <c r="MFJ60" s="280">
        <v>0</v>
      </c>
      <c r="MFK60" s="280">
        <v>0</v>
      </c>
      <c r="MFL60" s="280">
        <v>0</v>
      </c>
      <c r="MFM60" s="280">
        <v>0</v>
      </c>
      <c r="MFN60" s="280">
        <v>0</v>
      </c>
      <c r="MFO60" s="280">
        <v>0</v>
      </c>
      <c r="MFP60" s="280">
        <v>0</v>
      </c>
      <c r="MFQ60" s="280">
        <v>0</v>
      </c>
      <c r="MFR60" s="280">
        <v>0</v>
      </c>
      <c r="MFS60" s="280">
        <v>0</v>
      </c>
      <c r="MFT60" s="280">
        <v>0</v>
      </c>
      <c r="MFU60" s="280">
        <v>0</v>
      </c>
      <c r="MFV60" s="280">
        <v>0</v>
      </c>
      <c r="MFW60" s="280">
        <v>0</v>
      </c>
      <c r="MFX60" s="280">
        <v>0</v>
      </c>
      <c r="MFY60" s="280">
        <v>0</v>
      </c>
      <c r="MFZ60" s="280">
        <v>0</v>
      </c>
      <c r="MGA60" s="280">
        <v>0</v>
      </c>
      <c r="MGB60" s="280">
        <v>0</v>
      </c>
      <c r="MGC60" s="280">
        <v>0</v>
      </c>
      <c r="MGD60" s="280">
        <v>0</v>
      </c>
      <c r="MGE60" s="280">
        <v>0</v>
      </c>
      <c r="MGF60" s="280">
        <v>0</v>
      </c>
      <c r="MGG60" s="280">
        <v>0</v>
      </c>
      <c r="MGH60" s="280">
        <v>0</v>
      </c>
      <c r="MGI60" s="280">
        <v>0</v>
      </c>
      <c r="MGJ60" s="280">
        <v>0</v>
      </c>
      <c r="MGK60" s="280">
        <v>0</v>
      </c>
      <c r="MGL60" s="280">
        <v>0</v>
      </c>
      <c r="MGM60" s="280">
        <v>0</v>
      </c>
      <c r="MGN60" s="280">
        <v>0</v>
      </c>
      <c r="MGO60" s="280">
        <v>0</v>
      </c>
      <c r="MGP60" s="280">
        <v>0</v>
      </c>
      <c r="MGQ60" s="280">
        <v>0</v>
      </c>
      <c r="MGR60" s="280">
        <v>0</v>
      </c>
      <c r="MGS60" s="280">
        <v>0</v>
      </c>
      <c r="MGT60" s="280">
        <v>0</v>
      </c>
      <c r="MGU60" s="280">
        <v>0</v>
      </c>
      <c r="MGV60" s="280">
        <v>0</v>
      </c>
      <c r="MGW60" s="280">
        <v>0</v>
      </c>
      <c r="MGX60" s="280">
        <v>0</v>
      </c>
      <c r="MGY60" s="280">
        <v>0</v>
      </c>
      <c r="MGZ60" s="280">
        <v>0</v>
      </c>
      <c r="MHA60" s="280">
        <v>0</v>
      </c>
      <c r="MHB60" s="280">
        <v>0</v>
      </c>
      <c r="MHC60" s="280">
        <v>0</v>
      </c>
      <c r="MHD60" s="280">
        <v>0</v>
      </c>
      <c r="MHE60" s="280">
        <v>0</v>
      </c>
      <c r="MHF60" s="280">
        <v>0</v>
      </c>
      <c r="MHG60" s="280">
        <v>0</v>
      </c>
      <c r="MHH60" s="280">
        <v>0</v>
      </c>
      <c r="MHI60" s="280">
        <v>0</v>
      </c>
      <c r="MHJ60" s="280">
        <v>0</v>
      </c>
      <c r="MHK60" s="280">
        <v>0</v>
      </c>
      <c r="MHL60" s="280">
        <v>0</v>
      </c>
      <c r="MHM60" s="280">
        <v>0</v>
      </c>
      <c r="MHN60" s="280">
        <v>0</v>
      </c>
      <c r="MHO60" s="280">
        <v>0</v>
      </c>
      <c r="MHP60" s="280">
        <v>0</v>
      </c>
      <c r="MHQ60" s="280">
        <v>0</v>
      </c>
      <c r="MHR60" s="280">
        <v>0</v>
      </c>
      <c r="MHS60" s="280">
        <v>0</v>
      </c>
      <c r="MHT60" s="280">
        <v>0</v>
      </c>
      <c r="MHU60" s="280">
        <v>0</v>
      </c>
      <c r="MHV60" s="280">
        <v>0</v>
      </c>
      <c r="MHW60" s="280">
        <v>0</v>
      </c>
      <c r="MHX60" s="280">
        <v>0</v>
      </c>
      <c r="MHY60" s="280">
        <v>0</v>
      </c>
      <c r="MHZ60" s="280">
        <v>0</v>
      </c>
      <c r="MIA60" s="280">
        <v>0</v>
      </c>
      <c r="MIB60" s="280">
        <v>0</v>
      </c>
      <c r="MIC60" s="280">
        <v>0</v>
      </c>
      <c r="MID60" s="280">
        <v>0</v>
      </c>
      <c r="MIE60" s="280">
        <v>0</v>
      </c>
      <c r="MIF60" s="280">
        <v>0</v>
      </c>
      <c r="MIG60" s="280">
        <v>0</v>
      </c>
      <c r="MIH60" s="280">
        <v>0</v>
      </c>
      <c r="MII60" s="280">
        <v>0</v>
      </c>
      <c r="MIJ60" s="280">
        <v>0</v>
      </c>
      <c r="MIK60" s="280">
        <v>0</v>
      </c>
      <c r="MIL60" s="280">
        <v>0</v>
      </c>
      <c r="MIM60" s="280">
        <v>0</v>
      </c>
      <c r="MIN60" s="280">
        <v>0</v>
      </c>
      <c r="MIO60" s="280">
        <v>0</v>
      </c>
      <c r="MIP60" s="280">
        <v>0</v>
      </c>
      <c r="MIQ60" s="280">
        <v>0</v>
      </c>
      <c r="MIR60" s="280">
        <v>0</v>
      </c>
      <c r="MIS60" s="280">
        <v>0</v>
      </c>
      <c r="MIT60" s="280">
        <v>0</v>
      </c>
      <c r="MIU60" s="280">
        <v>0</v>
      </c>
      <c r="MIV60" s="280">
        <v>0</v>
      </c>
      <c r="MIW60" s="280">
        <v>0</v>
      </c>
      <c r="MIX60" s="280">
        <v>0</v>
      </c>
      <c r="MIY60" s="280">
        <v>0</v>
      </c>
      <c r="MIZ60" s="280">
        <v>0</v>
      </c>
      <c r="MJA60" s="280">
        <v>0</v>
      </c>
      <c r="MJB60" s="280">
        <v>0</v>
      </c>
      <c r="MJC60" s="280">
        <v>0</v>
      </c>
      <c r="MJD60" s="280">
        <v>0</v>
      </c>
      <c r="MJE60" s="280">
        <v>0</v>
      </c>
      <c r="MJF60" s="280">
        <v>0</v>
      </c>
      <c r="MJG60" s="280">
        <v>0</v>
      </c>
      <c r="MJH60" s="280">
        <v>0</v>
      </c>
      <c r="MJI60" s="280">
        <v>0</v>
      </c>
      <c r="MJJ60" s="280">
        <v>0</v>
      </c>
      <c r="MJK60" s="280">
        <v>0</v>
      </c>
      <c r="MJL60" s="280">
        <v>0</v>
      </c>
      <c r="MJM60" s="280">
        <v>0</v>
      </c>
      <c r="MJN60" s="280">
        <v>0</v>
      </c>
      <c r="MJO60" s="280">
        <v>0</v>
      </c>
      <c r="MJP60" s="280">
        <v>0</v>
      </c>
      <c r="MJQ60" s="280">
        <v>0</v>
      </c>
      <c r="MJR60" s="280">
        <v>0</v>
      </c>
      <c r="MJS60" s="280">
        <v>0</v>
      </c>
      <c r="MJT60" s="280">
        <v>0</v>
      </c>
      <c r="MJU60" s="280">
        <v>0</v>
      </c>
      <c r="MJV60" s="280">
        <v>0</v>
      </c>
      <c r="MJW60" s="280">
        <v>0</v>
      </c>
      <c r="MJX60" s="280">
        <v>0</v>
      </c>
      <c r="MJY60" s="280">
        <v>0</v>
      </c>
      <c r="MJZ60" s="280">
        <v>0</v>
      </c>
      <c r="MKA60" s="280">
        <v>0</v>
      </c>
      <c r="MKB60" s="280">
        <v>0</v>
      </c>
      <c r="MKC60" s="280">
        <v>0</v>
      </c>
      <c r="MKD60" s="280">
        <v>0</v>
      </c>
      <c r="MKE60" s="280">
        <v>0</v>
      </c>
      <c r="MKF60" s="280">
        <v>0</v>
      </c>
      <c r="MKG60" s="280">
        <v>0</v>
      </c>
      <c r="MKH60" s="280">
        <v>0</v>
      </c>
      <c r="MKI60" s="280">
        <v>0</v>
      </c>
      <c r="MKJ60" s="280">
        <v>0</v>
      </c>
      <c r="MKK60" s="280">
        <v>0</v>
      </c>
      <c r="MKL60" s="280">
        <v>0</v>
      </c>
      <c r="MKM60" s="280">
        <v>0</v>
      </c>
      <c r="MKN60" s="280">
        <v>0</v>
      </c>
      <c r="MKO60" s="280">
        <v>0</v>
      </c>
      <c r="MKP60" s="280">
        <v>0</v>
      </c>
      <c r="MKQ60" s="280">
        <v>0</v>
      </c>
      <c r="MKR60" s="280">
        <v>0</v>
      </c>
      <c r="MKS60" s="280">
        <v>0</v>
      </c>
      <c r="MKT60" s="280">
        <v>0</v>
      </c>
      <c r="MKU60" s="280">
        <v>0</v>
      </c>
      <c r="MKV60" s="280">
        <v>0</v>
      </c>
      <c r="MKW60" s="280">
        <v>0</v>
      </c>
      <c r="MKX60" s="280">
        <v>0</v>
      </c>
      <c r="MKY60" s="280">
        <v>0</v>
      </c>
      <c r="MKZ60" s="280">
        <v>0</v>
      </c>
      <c r="MLA60" s="280">
        <v>0</v>
      </c>
      <c r="MLB60" s="280">
        <v>0</v>
      </c>
      <c r="MLC60" s="280">
        <v>0</v>
      </c>
      <c r="MLD60" s="280">
        <v>0</v>
      </c>
      <c r="MLE60" s="280">
        <v>0</v>
      </c>
      <c r="MLF60" s="280">
        <v>0</v>
      </c>
      <c r="MLG60" s="280">
        <v>0</v>
      </c>
      <c r="MLH60" s="280">
        <v>0</v>
      </c>
      <c r="MLI60" s="280">
        <v>0</v>
      </c>
      <c r="MLJ60" s="280">
        <v>0</v>
      </c>
      <c r="MLK60" s="280">
        <v>0</v>
      </c>
      <c r="MLL60" s="280">
        <v>0</v>
      </c>
      <c r="MLM60" s="280">
        <v>0</v>
      </c>
      <c r="MLN60" s="280">
        <v>0</v>
      </c>
      <c r="MLO60" s="280">
        <v>0</v>
      </c>
      <c r="MLP60" s="280">
        <v>0</v>
      </c>
      <c r="MLQ60" s="280">
        <v>0</v>
      </c>
      <c r="MLR60" s="280">
        <v>0</v>
      </c>
      <c r="MLS60" s="280">
        <v>0</v>
      </c>
      <c r="MLT60" s="280">
        <v>0</v>
      </c>
      <c r="MLU60" s="280">
        <v>0</v>
      </c>
      <c r="MLV60" s="280">
        <v>0</v>
      </c>
      <c r="MLW60" s="280">
        <v>0</v>
      </c>
      <c r="MLX60" s="280">
        <v>0</v>
      </c>
      <c r="MLY60" s="280">
        <v>0</v>
      </c>
      <c r="MLZ60" s="280">
        <v>0</v>
      </c>
      <c r="MMA60" s="280">
        <v>0</v>
      </c>
      <c r="MMB60" s="280">
        <v>0</v>
      </c>
      <c r="MMC60" s="280">
        <v>0</v>
      </c>
      <c r="MMD60" s="280">
        <v>0</v>
      </c>
      <c r="MME60" s="280">
        <v>0</v>
      </c>
      <c r="MMF60" s="280">
        <v>0</v>
      </c>
      <c r="MMG60" s="280">
        <v>0</v>
      </c>
      <c r="MMH60" s="280">
        <v>0</v>
      </c>
      <c r="MMI60" s="280">
        <v>0</v>
      </c>
      <c r="MMJ60" s="280">
        <v>0</v>
      </c>
      <c r="MMK60" s="280">
        <v>0</v>
      </c>
      <c r="MML60" s="280">
        <v>0</v>
      </c>
      <c r="MMM60" s="280">
        <v>0</v>
      </c>
      <c r="MMN60" s="280">
        <v>0</v>
      </c>
      <c r="MMO60" s="280">
        <v>0</v>
      </c>
      <c r="MMP60" s="280">
        <v>0</v>
      </c>
      <c r="MMQ60" s="280">
        <v>0</v>
      </c>
      <c r="MMR60" s="280">
        <v>0</v>
      </c>
      <c r="MMS60" s="280">
        <v>0</v>
      </c>
      <c r="MMT60" s="280">
        <v>0</v>
      </c>
      <c r="MMU60" s="280">
        <v>0</v>
      </c>
      <c r="MMV60" s="280">
        <v>0</v>
      </c>
      <c r="MMW60" s="280">
        <v>0</v>
      </c>
      <c r="MMX60" s="280">
        <v>0</v>
      </c>
      <c r="MMY60" s="280">
        <v>0</v>
      </c>
      <c r="MMZ60" s="280">
        <v>0</v>
      </c>
      <c r="MNA60" s="280">
        <v>0</v>
      </c>
      <c r="MNB60" s="280">
        <v>0</v>
      </c>
      <c r="MNC60" s="280">
        <v>0</v>
      </c>
      <c r="MND60" s="280">
        <v>0</v>
      </c>
      <c r="MNE60" s="280">
        <v>0</v>
      </c>
      <c r="MNF60" s="280">
        <v>0</v>
      </c>
      <c r="MNG60" s="280">
        <v>0</v>
      </c>
      <c r="MNH60" s="280">
        <v>0</v>
      </c>
      <c r="MNI60" s="280">
        <v>0</v>
      </c>
      <c r="MNJ60" s="280">
        <v>0</v>
      </c>
      <c r="MNK60" s="280">
        <v>0</v>
      </c>
      <c r="MNL60" s="280">
        <v>0</v>
      </c>
      <c r="MNM60" s="280">
        <v>0</v>
      </c>
      <c r="MNN60" s="280">
        <v>0</v>
      </c>
      <c r="MNO60" s="280">
        <v>0</v>
      </c>
      <c r="MNP60" s="280">
        <v>0</v>
      </c>
      <c r="MNQ60" s="280">
        <v>0</v>
      </c>
      <c r="MNR60" s="280">
        <v>0</v>
      </c>
      <c r="MNS60" s="280">
        <v>0</v>
      </c>
      <c r="MNT60" s="280">
        <v>0</v>
      </c>
      <c r="MNU60" s="280">
        <v>0</v>
      </c>
      <c r="MNV60" s="280">
        <v>0</v>
      </c>
      <c r="MNW60" s="280">
        <v>0</v>
      </c>
      <c r="MNX60" s="280">
        <v>0</v>
      </c>
      <c r="MNY60" s="280">
        <v>0</v>
      </c>
      <c r="MNZ60" s="280">
        <v>0</v>
      </c>
      <c r="MOA60" s="280">
        <v>0</v>
      </c>
      <c r="MOB60" s="280">
        <v>0</v>
      </c>
      <c r="MOC60" s="280">
        <v>0</v>
      </c>
      <c r="MOD60" s="280">
        <v>0</v>
      </c>
      <c r="MOE60" s="280">
        <v>0</v>
      </c>
      <c r="MOF60" s="280">
        <v>0</v>
      </c>
      <c r="MOG60" s="280">
        <v>0</v>
      </c>
      <c r="MOH60" s="280">
        <v>0</v>
      </c>
      <c r="MOI60" s="280">
        <v>0</v>
      </c>
      <c r="MOJ60" s="280">
        <v>0</v>
      </c>
      <c r="MOK60" s="280">
        <v>0</v>
      </c>
      <c r="MOL60" s="280">
        <v>0</v>
      </c>
      <c r="MOM60" s="280">
        <v>0</v>
      </c>
      <c r="MON60" s="280">
        <v>0</v>
      </c>
      <c r="MOO60" s="280">
        <v>0</v>
      </c>
      <c r="MOP60" s="280">
        <v>0</v>
      </c>
      <c r="MOQ60" s="280">
        <v>0</v>
      </c>
      <c r="MOR60" s="280">
        <v>0</v>
      </c>
      <c r="MOS60" s="280">
        <v>0</v>
      </c>
      <c r="MOT60" s="280">
        <v>0</v>
      </c>
      <c r="MOU60" s="280">
        <v>0</v>
      </c>
      <c r="MOV60" s="280">
        <v>0</v>
      </c>
      <c r="MOW60" s="280">
        <v>0</v>
      </c>
      <c r="MOX60" s="280">
        <v>0</v>
      </c>
      <c r="MOY60" s="280">
        <v>0</v>
      </c>
      <c r="MOZ60" s="280">
        <v>0</v>
      </c>
      <c r="MPA60" s="280">
        <v>0</v>
      </c>
      <c r="MPB60" s="280">
        <v>0</v>
      </c>
      <c r="MPC60" s="280">
        <v>0</v>
      </c>
      <c r="MPD60" s="280">
        <v>0</v>
      </c>
      <c r="MPE60" s="280">
        <v>0</v>
      </c>
      <c r="MPF60" s="280">
        <v>0</v>
      </c>
      <c r="MPG60" s="280">
        <v>0</v>
      </c>
      <c r="MPH60" s="280">
        <v>0</v>
      </c>
      <c r="MPI60" s="280">
        <v>0</v>
      </c>
      <c r="MPJ60" s="280">
        <v>0</v>
      </c>
      <c r="MPK60" s="280">
        <v>0</v>
      </c>
      <c r="MPL60" s="280">
        <v>0</v>
      </c>
      <c r="MPM60" s="280">
        <v>0</v>
      </c>
      <c r="MPN60" s="280">
        <v>0</v>
      </c>
      <c r="MPO60" s="280">
        <v>0</v>
      </c>
      <c r="MPP60" s="280">
        <v>0</v>
      </c>
      <c r="MPQ60" s="280">
        <v>0</v>
      </c>
      <c r="MPR60" s="280">
        <v>0</v>
      </c>
      <c r="MPS60" s="280">
        <v>0</v>
      </c>
      <c r="MPT60" s="280">
        <v>0</v>
      </c>
      <c r="MPU60" s="280">
        <v>0</v>
      </c>
      <c r="MPV60" s="280">
        <v>0</v>
      </c>
      <c r="MPW60" s="280">
        <v>0</v>
      </c>
      <c r="MPX60" s="280">
        <v>0</v>
      </c>
      <c r="MPY60" s="280">
        <v>0</v>
      </c>
      <c r="MPZ60" s="280">
        <v>0</v>
      </c>
      <c r="MQA60" s="280">
        <v>0</v>
      </c>
      <c r="MQB60" s="280">
        <v>0</v>
      </c>
      <c r="MQC60" s="280">
        <v>0</v>
      </c>
      <c r="MQD60" s="280">
        <v>0</v>
      </c>
      <c r="MQE60" s="280">
        <v>0</v>
      </c>
      <c r="MQF60" s="280">
        <v>0</v>
      </c>
      <c r="MQG60" s="280">
        <v>0</v>
      </c>
      <c r="MQH60" s="280">
        <v>0</v>
      </c>
      <c r="MQI60" s="280">
        <v>0</v>
      </c>
      <c r="MQJ60" s="280">
        <v>0</v>
      </c>
      <c r="MQK60" s="280">
        <v>0</v>
      </c>
      <c r="MQL60" s="280">
        <v>0</v>
      </c>
      <c r="MQM60" s="280">
        <v>0</v>
      </c>
      <c r="MQN60" s="280">
        <v>0</v>
      </c>
      <c r="MQO60" s="280">
        <v>0</v>
      </c>
      <c r="MQP60" s="280">
        <v>0</v>
      </c>
      <c r="MQQ60" s="280">
        <v>0</v>
      </c>
      <c r="MQR60" s="280">
        <v>0</v>
      </c>
      <c r="MQS60" s="280">
        <v>0</v>
      </c>
      <c r="MQT60" s="280">
        <v>0</v>
      </c>
      <c r="MQU60" s="280">
        <v>0</v>
      </c>
      <c r="MQV60" s="280">
        <v>0</v>
      </c>
      <c r="MQW60" s="280">
        <v>0</v>
      </c>
      <c r="MQX60" s="280">
        <v>0</v>
      </c>
      <c r="MQY60" s="280">
        <v>0</v>
      </c>
      <c r="MQZ60" s="280">
        <v>0</v>
      </c>
      <c r="MRA60" s="280">
        <v>0</v>
      </c>
      <c r="MRB60" s="280">
        <v>0</v>
      </c>
      <c r="MRC60" s="280">
        <v>0</v>
      </c>
      <c r="MRD60" s="280">
        <v>0</v>
      </c>
      <c r="MRE60" s="280">
        <v>0</v>
      </c>
      <c r="MRF60" s="280">
        <v>0</v>
      </c>
      <c r="MRG60" s="280">
        <v>0</v>
      </c>
      <c r="MRH60" s="280">
        <v>0</v>
      </c>
      <c r="MRI60" s="280">
        <v>0</v>
      </c>
      <c r="MRJ60" s="280">
        <v>0</v>
      </c>
      <c r="MRK60" s="280">
        <v>0</v>
      </c>
      <c r="MRL60" s="280">
        <v>0</v>
      </c>
      <c r="MRM60" s="280">
        <v>0</v>
      </c>
      <c r="MRN60" s="280">
        <v>0</v>
      </c>
      <c r="MRO60" s="280">
        <v>0</v>
      </c>
      <c r="MRP60" s="280">
        <v>0</v>
      </c>
      <c r="MRQ60" s="280">
        <v>0</v>
      </c>
      <c r="MRR60" s="280">
        <v>0</v>
      </c>
      <c r="MRS60" s="280">
        <v>0</v>
      </c>
      <c r="MRT60" s="280">
        <v>0</v>
      </c>
      <c r="MRU60" s="280">
        <v>0</v>
      </c>
      <c r="MRV60" s="280">
        <v>0</v>
      </c>
      <c r="MRW60" s="280">
        <v>0</v>
      </c>
      <c r="MRX60" s="280">
        <v>0</v>
      </c>
      <c r="MRY60" s="280">
        <v>0</v>
      </c>
      <c r="MRZ60" s="280">
        <v>0</v>
      </c>
      <c r="MSA60" s="280">
        <v>0</v>
      </c>
      <c r="MSB60" s="280">
        <v>0</v>
      </c>
      <c r="MSC60" s="280">
        <v>0</v>
      </c>
      <c r="MSD60" s="280">
        <v>0</v>
      </c>
      <c r="MSE60" s="280">
        <v>0</v>
      </c>
      <c r="MSF60" s="280">
        <v>0</v>
      </c>
      <c r="MSG60" s="280">
        <v>0</v>
      </c>
      <c r="MSH60" s="280">
        <v>0</v>
      </c>
      <c r="MSI60" s="280">
        <v>0</v>
      </c>
      <c r="MSJ60" s="280">
        <v>0</v>
      </c>
      <c r="MSK60" s="280">
        <v>0</v>
      </c>
      <c r="MSL60" s="280">
        <v>0</v>
      </c>
      <c r="MSM60" s="280">
        <v>0</v>
      </c>
      <c r="MSN60" s="280">
        <v>0</v>
      </c>
      <c r="MSO60" s="280">
        <v>0</v>
      </c>
      <c r="MSP60" s="280">
        <v>0</v>
      </c>
      <c r="MSQ60" s="280">
        <v>0</v>
      </c>
      <c r="MSR60" s="280">
        <v>0</v>
      </c>
      <c r="MSS60" s="280">
        <v>0</v>
      </c>
      <c r="MST60" s="280">
        <v>0</v>
      </c>
      <c r="MSU60" s="280">
        <v>0</v>
      </c>
      <c r="MSV60" s="280">
        <v>0</v>
      </c>
      <c r="MSW60" s="280">
        <v>0</v>
      </c>
      <c r="MSX60" s="280">
        <v>0</v>
      </c>
      <c r="MSY60" s="280">
        <v>0</v>
      </c>
      <c r="MSZ60" s="280">
        <v>0</v>
      </c>
      <c r="MTA60" s="280">
        <v>0</v>
      </c>
      <c r="MTB60" s="280">
        <v>0</v>
      </c>
      <c r="MTC60" s="280">
        <v>0</v>
      </c>
      <c r="MTD60" s="280">
        <v>0</v>
      </c>
      <c r="MTE60" s="280">
        <v>0</v>
      </c>
      <c r="MTF60" s="280">
        <v>0</v>
      </c>
      <c r="MTG60" s="280">
        <v>0</v>
      </c>
      <c r="MTH60" s="280">
        <v>0</v>
      </c>
      <c r="MTI60" s="280">
        <v>0</v>
      </c>
      <c r="MTJ60" s="280">
        <v>0</v>
      </c>
      <c r="MTK60" s="280">
        <v>0</v>
      </c>
      <c r="MTL60" s="280">
        <v>0</v>
      </c>
      <c r="MTM60" s="280">
        <v>0</v>
      </c>
      <c r="MTN60" s="280">
        <v>0</v>
      </c>
      <c r="MTO60" s="280">
        <v>0</v>
      </c>
      <c r="MTP60" s="280">
        <v>0</v>
      </c>
      <c r="MTQ60" s="280">
        <v>0</v>
      </c>
      <c r="MTR60" s="280">
        <v>0</v>
      </c>
      <c r="MTS60" s="280">
        <v>0</v>
      </c>
      <c r="MTT60" s="280">
        <v>0</v>
      </c>
      <c r="MTU60" s="280">
        <v>0</v>
      </c>
      <c r="MTV60" s="280">
        <v>0</v>
      </c>
      <c r="MTW60" s="280">
        <v>0</v>
      </c>
      <c r="MTX60" s="280">
        <v>0</v>
      </c>
      <c r="MTY60" s="280">
        <v>0</v>
      </c>
      <c r="MTZ60" s="280">
        <v>0</v>
      </c>
      <c r="MUA60" s="280">
        <v>0</v>
      </c>
      <c r="MUB60" s="280">
        <v>0</v>
      </c>
      <c r="MUC60" s="280">
        <v>0</v>
      </c>
      <c r="MUD60" s="280">
        <v>0</v>
      </c>
      <c r="MUE60" s="280">
        <v>0</v>
      </c>
      <c r="MUF60" s="280">
        <v>0</v>
      </c>
      <c r="MUG60" s="280">
        <v>0</v>
      </c>
      <c r="MUH60" s="280">
        <v>0</v>
      </c>
      <c r="MUI60" s="280">
        <v>0</v>
      </c>
      <c r="MUJ60" s="280">
        <v>0</v>
      </c>
      <c r="MUK60" s="280">
        <v>0</v>
      </c>
      <c r="MUL60" s="280">
        <v>0</v>
      </c>
      <c r="MUM60" s="280">
        <v>0</v>
      </c>
      <c r="MUN60" s="280">
        <v>0</v>
      </c>
      <c r="MUO60" s="280">
        <v>0</v>
      </c>
      <c r="MUP60" s="280">
        <v>0</v>
      </c>
      <c r="MUQ60" s="280">
        <v>0</v>
      </c>
      <c r="MUR60" s="280">
        <v>0</v>
      </c>
      <c r="MUS60" s="280">
        <v>0</v>
      </c>
      <c r="MUT60" s="280">
        <v>0</v>
      </c>
      <c r="MUU60" s="280">
        <v>0</v>
      </c>
      <c r="MUV60" s="280">
        <v>0</v>
      </c>
      <c r="MUW60" s="280">
        <v>0</v>
      </c>
      <c r="MUX60" s="280">
        <v>0</v>
      </c>
      <c r="MUY60" s="280">
        <v>0</v>
      </c>
      <c r="MUZ60" s="280">
        <v>0</v>
      </c>
      <c r="MVA60" s="280">
        <v>0</v>
      </c>
      <c r="MVB60" s="280">
        <v>0</v>
      </c>
      <c r="MVC60" s="280">
        <v>0</v>
      </c>
      <c r="MVD60" s="280">
        <v>0</v>
      </c>
      <c r="MVE60" s="280">
        <v>0</v>
      </c>
      <c r="MVF60" s="280">
        <v>0</v>
      </c>
      <c r="MVG60" s="280">
        <v>0</v>
      </c>
      <c r="MVH60" s="280">
        <v>0</v>
      </c>
      <c r="MVI60" s="280">
        <v>0</v>
      </c>
      <c r="MVJ60" s="280">
        <v>0</v>
      </c>
      <c r="MVK60" s="280">
        <v>0</v>
      </c>
      <c r="MVL60" s="280">
        <v>0</v>
      </c>
      <c r="MVM60" s="280">
        <v>0</v>
      </c>
      <c r="MVN60" s="280">
        <v>0</v>
      </c>
      <c r="MVO60" s="280">
        <v>0</v>
      </c>
      <c r="MVP60" s="280">
        <v>0</v>
      </c>
      <c r="MVQ60" s="280">
        <v>0</v>
      </c>
      <c r="MVR60" s="280">
        <v>0</v>
      </c>
      <c r="MVS60" s="280">
        <v>0</v>
      </c>
      <c r="MVT60" s="280">
        <v>0</v>
      </c>
      <c r="MVU60" s="280">
        <v>0</v>
      </c>
      <c r="MVV60" s="280">
        <v>0</v>
      </c>
      <c r="MVW60" s="280">
        <v>0</v>
      </c>
      <c r="MVX60" s="280">
        <v>0</v>
      </c>
      <c r="MVY60" s="280">
        <v>0</v>
      </c>
      <c r="MVZ60" s="280">
        <v>0</v>
      </c>
      <c r="MWA60" s="280">
        <v>0</v>
      </c>
      <c r="MWB60" s="280">
        <v>0</v>
      </c>
      <c r="MWC60" s="280">
        <v>0</v>
      </c>
      <c r="MWD60" s="280">
        <v>0</v>
      </c>
      <c r="MWE60" s="280">
        <v>0</v>
      </c>
      <c r="MWF60" s="280">
        <v>0</v>
      </c>
      <c r="MWG60" s="280">
        <v>0</v>
      </c>
      <c r="MWH60" s="280">
        <v>0</v>
      </c>
      <c r="MWI60" s="280">
        <v>0</v>
      </c>
      <c r="MWJ60" s="280">
        <v>0</v>
      </c>
      <c r="MWK60" s="280">
        <v>0</v>
      </c>
      <c r="MWL60" s="280">
        <v>0</v>
      </c>
      <c r="MWM60" s="280">
        <v>0</v>
      </c>
      <c r="MWN60" s="280">
        <v>0</v>
      </c>
      <c r="MWO60" s="280">
        <v>0</v>
      </c>
      <c r="MWP60" s="280">
        <v>0</v>
      </c>
      <c r="MWQ60" s="280">
        <v>0</v>
      </c>
      <c r="MWR60" s="280">
        <v>0</v>
      </c>
      <c r="MWS60" s="280">
        <v>0</v>
      </c>
      <c r="MWT60" s="280">
        <v>0</v>
      </c>
      <c r="MWU60" s="280">
        <v>0</v>
      </c>
      <c r="MWV60" s="280">
        <v>0</v>
      </c>
      <c r="MWW60" s="280">
        <v>0</v>
      </c>
      <c r="MWX60" s="280">
        <v>0</v>
      </c>
      <c r="MWY60" s="280">
        <v>0</v>
      </c>
      <c r="MWZ60" s="280">
        <v>0</v>
      </c>
      <c r="MXA60" s="280">
        <v>0</v>
      </c>
      <c r="MXB60" s="280">
        <v>0</v>
      </c>
      <c r="MXC60" s="280">
        <v>0</v>
      </c>
      <c r="MXD60" s="280">
        <v>0</v>
      </c>
      <c r="MXE60" s="280">
        <v>0</v>
      </c>
      <c r="MXF60" s="280">
        <v>0</v>
      </c>
      <c r="MXG60" s="280">
        <v>0</v>
      </c>
      <c r="MXH60" s="280">
        <v>0</v>
      </c>
      <c r="MXI60" s="280">
        <v>0</v>
      </c>
      <c r="MXJ60" s="280">
        <v>0</v>
      </c>
      <c r="MXK60" s="280">
        <v>0</v>
      </c>
      <c r="MXL60" s="280">
        <v>0</v>
      </c>
      <c r="MXM60" s="280">
        <v>0</v>
      </c>
      <c r="MXN60" s="280">
        <v>0</v>
      </c>
      <c r="MXO60" s="280">
        <v>0</v>
      </c>
      <c r="MXP60" s="280">
        <v>0</v>
      </c>
      <c r="MXQ60" s="280">
        <v>0</v>
      </c>
      <c r="MXR60" s="280">
        <v>0</v>
      </c>
      <c r="MXS60" s="280">
        <v>0</v>
      </c>
      <c r="MXT60" s="280">
        <v>0</v>
      </c>
      <c r="MXU60" s="280">
        <v>0</v>
      </c>
      <c r="MXV60" s="280">
        <v>0</v>
      </c>
      <c r="MXW60" s="280">
        <v>0</v>
      </c>
      <c r="MXX60" s="280">
        <v>0</v>
      </c>
      <c r="MXY60" s="280">
        <v>0</v>
      </c>
      <c r="MXZ60" s="280">
        <v>0</v>
      </c>
      <c r="MYA60" s="280">
        <v>0</v>
      </c>
      <c r="MYB60" s="280">
        <v>0</v>
      </c>
      <c r="MYC60" s="280">
        <v>0</v>
      </c>
      <c r="MYD60" s="280">
        <v>0</v>
      </c>
      <c r="MYE60" s="280">
        <v>0</v>
      </c>
      <c r="MYF60" s="280">
        <v>0</v>
      </c>
      <c r="MYG60" s="280">
        <v>0</v>
      </c>
      <c r="MYH60" s="280">
        <v>0</v>
      </c>
      <c r="MYI60" s="280">
        <v>0</v>
      </c>
      <c r="MYJ60" s="280">
        <v>0</v>
      </c>
      <c r="MYK60" s="280">
        <v>0</v>
      </c>
      <c r="MYL60" s="280">
        <v>0</v>
      </c>
      <c r="MYM60" s="280">
        <v>0</v>
      </c>
      <c r="MYN60" s="280">
        <v>0</v>
      </c>
      <c r="MYO60" s="280">
        <v>0</v>
      </c>
      <c r="MYP60" s="280">
        <v>0</v>
      </c>
      <c r="MYQ60" s="280">
        <v>0</v>
      </c>
      <c r="MYR60" s="280">
        <v>0</v>
      </c>
      <c r="MYS60" s="280">
        <v>0</v>
      </c>
      <c r="MYT60" s="280">
        <v>0</v>
      </c>
      <c r="MYU60" s="280">
        <v>0</v>
      </c>
      <c r="MYV60" s="280">
        <v>0</v>
      </c>
      <c r="MYW60" s="280">
        <v>0</v>
      </c>
      <c r="MYX60" s="280">
        <v>0</v>
      </c>
      <c r="MYY60" s="280">
        <v>0</v>
      </c>
      <c r="MYZ60" s="280">
        <v>0</v>
      </c>
      <c r="MZA60" s="280">
        <v>0</v>
      </c>
      <c r="MZB60" s="280">
        <v>0</v>
      </c>
      <c r="MZC60" s="280">
        <v>0</v>
      </c>
      <c r="MZD60" s="280">
        <v>0</v>
      </c>
      <c r="MZE60" s="280">
        <v>0</v>
      </c>
      <c r="MZF60" s="280">
        <v>0</v>
      </c>
      <c r="MZG60" s="280">
        <v>0</v>
      </c>
      <c r="MZH60" s="280">
        <v>0</v>
      </c>
      <c r="MZI60" s="280">
        <v>0</v>
      </c>
      <c r="MZJ60" s="280">
        <v>0</v>
      </c>
      <c r="MZK60" s="280">
        <v>0</v>
      </c>
      <c r="MZL60" s="280">
        <v>0</v>
      </c>
      <c r="MZM60" s="280">
        <v>0</v>
      </c>
      <c r="MZN60" s="280">
        <v>0</v>
      </c>
      <c r="MZO60" s="280">
        <v>0</v>
      </c>
      <c r="MZP60" s="280">
        <v>0</v>
      </c>
      <c r="MZQ60" s="280">
        <v>0</v>
      </c>
      <c r="MZR60" s="280">
        <v>0</v>
      </c>
      <c r="MZS60" s="280">
        <v>0</v>
      </c>
      <c r="MZT60" s="280">
        <v>0</v>
      </c>
      <c r="MZU60" s="280">
        <v>0</v>
      </c>
      <c r="MZV60" s="280">
        <v>0</v>
      </c>
      <c r="MZW60" s="280">
        <v>0</v>
      </c>
      <c r="MZX60" s="280">
        <v>0</v>
      </c>
      <c r="MZY60" s="280">
        <v>0</v>
      </c>
      <c r="MZZ60" s="280">
        <v>0</v>
      </c>
      <c r="NAA60" s="280">
        <v>0</v>
      </c>
      <c r="NAB60" s="280">
        <v>0</v>
      </c>
      <c r="NAC60" s="280">
        <v>0</v>
      </c>
      <c r="NAD60" s="280">
        <v>0</v>
      </c>
      <c r="NAE60" s="280">
        <v>0</v>
      </c>
      <c r="NAF60" s="280">
        <v>0</v>
      </c>
      <c r="NAG60" s="280">
        <v>0</v>
      </c>
      <c r="NAH60" s="280">
        <v>0</v>
      </c>
      <c r="NAI60" s="280">
        <v>0</v>
      </c>
      <c r="NAJ60" s="280">
        <v>0</v>
      </c>
      <c r="NAK60" s="280">
        <v>0</v>
      </c>
      <c r="NAL60" s="280">
        <v>0</v>
      </c>
      <c r="NAM60" s="280">
        <v>0</v>
      </c>
      <c r="NAN60" s="280">
        <v>0</v>
      </c>
      <c r="NAO60" s="280">
        <v>0</v>
      </c>
      <c r="NAP60" s="280">
        <v>0</v>
      </c>
      <c r="NAQ60" s="280">
        <v>0</v>
      </c>
      <c r="NAR60" s="280">
        <v>0</v>
      </c>
      <c r="NAS60" s="280">
        <v>0</v>
      </c>
      <c r="NAT60" s="280">
        <v>0</v>
      </c>
      <c r="NAU60" s="280">
        <v>0</v>
      </c>
      <c r="NAV60" s="280">
        <v>0</v>
      </c>
      <c r="NAW60" s="280">
        <v>0</v>
      </c>
      <c r="NAX60" s="280">
        <v>0</v>
      </c>
      <c r="NAY60" s="280">
        <v>0</v>
      </c>
      <c r="NAZ60" s="280">
        <v>0</v>
      </c>
      <c r="NBA60" s="280">
        <v>0</v>
      </c>
      <c r="NBB60" s="280">
        <v>0</v>
      </c>
      <c r="NBC60" s="280">
        <v>0</v>
      </c>
      <c r="NBD60" s="280">
        <v>0</v>
      </c>
      <c r="NBE60" s="280">
        <v>0</v>
      </c>
      <c r="NBF60" s="280">
        <v>0</v>
      </c>
      <c r="NBG60" s="280">
        <v>0</v>
      </c>
      <c r="NBH60" s="280">
        <v>0</v>
      </c>
      <c r="NBI60" s="280">
        <v>0</v>
      </c>
      <c r="NBJ60" s="280">
        <v>0</v>
      </c>
      <c r="NBK60" s="280">
        <v>0</v>
      </c>
      <c r="NBL60" s="280">
        <v>0</v>
      </c>
      <c r="NBM60" s="280">
        <v>0</v>
      </c>
      <c r="NBN60" s="280">
        <v>0</v>
      </c>
      <c r="NBO60" s="280">
        <v>0</v>
      </c>
      <c r="NBP60" s="280">
        <v>0</v>
      </c>
      <c r="NBQ60" s="280">
        <v>0</v>
      </c>
      <c r="NBR60" s="280">
        <v>0</v>
      </c>
      <c r="NBS60" s="280">
        <v>0</v>
      </c>
      <c r="NBT60" s="280">
        <v>0</v>
      </c>
      <c r="NBU60" s="280">
        <v>0</v>
      </c>
      <c r="NBV60" s="280">
        <v>0</v>
      </c>
      <c r="NBW60" s="280">
        <v>0</v>
      </c>
      <c r="NBX60" s="280">
        <v>0</v>
      </c>
      <c r="NBY60" s="280">
        <v>0</v>
      </c>
      <c r="NBZ60" s="280">
        <v>0</v>
      </c>
      <c r="NCA60" s="280">
        <v>0</v>
      </c>
      <c r="NCB60" s="280">
        <v>0</v>
      </c>
      <c r="NCC60" s="280">
        <v>0</v>
      </c>
      <c r="NCD60" s="280">
        <v>0</v>
      </c>
      <c r="NCE60" s="280">
        <v>0</v>
      </c>
      <c r="NCF60" s="280">
        <v>0</v>
      </c>
      <c r="NCG60" s="280">
        <v>0</v>
      </c>
      <c r="NCH60" s="280">
        <v>0</v>
      </c>
      <c r="NCI60" s="280">
        <v>0</v>
      </c>
      <c r="NCJ60" s="280">
        <v>0</v>
      </c>
      <c r="NCK60" s="280">
        <v>0</v>
      </c>
      <c r="NCL60" s="280">
        <v>0</v>
      </c>
      <c r="NCM60" s="280">
        <v>0</v>
      </c>
      <c r="NCN60" s="280">
        <v>0</v>
      </c>
      <c r="NCO60" s="280">
        <v>0</v>
      </c>
      <c r="NCP60" s="280">
        <v>0</v>
      </c>
      <c r="NCQ60" s="280">
        <v>0</v>
      </c>
      <c r="NCR60" s="280">
        <v>0</v>
      </c>
      <c r="NCS60" s="280">
        <v>0</v>
      </c>
      <c r="NCT60" s="280">
        <v>0</v>
      </c>
      <c r="NCU60" s="280">
        <v>0</v>
      </c>
      <c r="NCV60" s="280">
        <v>0</v>
      </c>
      <c r="NCW60" s="280">
        <v>0</v>
      </c>
      <c r="NCX60" s="280">
        <v>0</v>
      </c>
      <c r="NCY60" s="280">
        <v>0</v>
      </c>
      <c r="NCZ60" s="280">
        <v>0</v>
      </c>
      <c r="NDA60" s="280">
        <v>0</v>
      </c>
      <c r="NDB60" s="280">
        <v>0</v>
      </c>
      <c r="NDC60" s="280">
        <v>0</v>
      </c>
      <c r="NDD60" s="280">
        <v>0</v>
      </c>
      <c r="NDE60" s="280">
        <v>0</v>
      </c>
      <c r="NDF60" s="280">
        <v>0</v>
      </c>
      <c r="NDG60" s="280">
        <v>0</v>
      </c>
      <c r="NDH60" s="280">
        <v>0</v>
      </c>
      <c r="NDI60" s="280">
        <v>0</v>
      </c>
      <c r="NDJ60" s="280">
        <v>0</v>
      </c>
      <c r="NDK60" s="280">
        <v>0</v>
      </c>
      <c r="NDL60" s="280">
        <v>0</v>
      </c>
      <c r="NDM60" s="280">
        <v>0</v>
      </c>
      <c r="NDN60" s="280">
        <v>0</v>
      </c>
      <c r="NDO60" s="280">
        <v>0</v>
      </c>
      <c r="NDP60" s="280">
        <v>0</v>
      </c>
      <c r="NDQ60" s="280">
        <v>0</v>
      </c>
      <c r="NDR60" s="280">
        <v>0</v>
      </c>
      <c r="NDS60" s="280">
        <v>0</v>
      </c>
      <c r="NDT60" s="280">
        <v>0</v>
      </c>
      <c r="NDU60" s="280">
        <v>0</v>
      </c>
      <c r="NDV60" s="280">
        <v>0</v>
      </c>
      <c r="NDW60" s="280">
        <v>0</v>
      </c>
      <c r="NDX60" s="280">
        <v>0</v>
      </c>
      <c r="NDY60" s="280">
        <v>0</v>
      </c>
      <c r="NDZ60" s="280">
        <v>0</v>
      </c>
      <c r="NEA60" s="280">
        <v>0</v>
      </c>
      <c r="NEB60" s="280">
        <v>0</v>
      </c>
      <c r="NEC60" s="280">
        <v>0</v>
      </c>
      <c r="NED60" s="280">
        <v>0</v>
      </c>
      <c r="NEE60" s="280">
        <v>0</v>
      </c>
      <c r="NEF60" s="280">
        <v>0</v>
      </c>
      <c r="NEG60" s="280">
        <v>0</v>
      </c>
      <c r="NEH60" s="280">
        <v>0</v>
      </c>
      <c r="NEI60" s="280">
        <v>0</v>
      </c>
      <c r="NEJ60" s="280">
        <v>0</v>
      </c>
      <c r="NEK60" s="280">
        <v>0</v>
      </c>
      <c r="NEL60" s="280">
        <v>0</v>
      </c>
      <c r="NEM60" s="280">
        <v>0</v>
      </c>
      <c r="NEN60" s="280">
        <v>0</v>
      </c>
      <c r="NEO60" s="280">
        <v>0</v>
      </c>
      <c r="NEP60" s="280">
        <v>0</v>
      </c>
      <c r="NEQ60" s="280">
        <v>0</v>
      </c>
      <c r="NER60" s="280">
        <v>0</v>
      </c>
      <c r="NES60" s="280">
        <v>0</v>
      </c>
      <c r="NET60" s="280">
        <v>0</v>
      </c>
      <c r="NEU60" s="280">
        <v>0</v>
      </c>
      <c r="NEV60" s="280">
        <v>0</v>
      </c>
      <c r="NEW60" s="280">
        <v>0</v>
      </c>
      <c r="NEX60" s="280">
        <v>0</v>
      </c>
      <c r="NEY60" s="280">
        <v>0</v>
      </c>
      <c r="NEZ60" s="280">
        <v>0</v>
      </c>
      <c r="NFA60" s="280">
        <v>0</v>
      </c>
      <c r="NFB60" s="280">
        <v>0</v>
      </c>
      <c r="NFC60" s="280">
        <v>0</v>
      </c>
      <c r="NFD60" s="280">
        <v>0</v>
      </c>
      <c r="NFE60" s="280">
        <v>0</v>
      </c>
      <c r="NFF60" s="280">
        <v>0</v>
      </c>
      <c r="NFG60" s="280">
        <v>0</v>
      </c>
      <c r="NFH60" s="280">
        <v>0</v>
      </c>
      <c r="NFI60" s="280">
        <v>0</v>
      </c>
      <c r="NFJ60" s="280">
        <v>0</v>
      </c>
      <c r="NFK60" s="280">
        <v>0</v>
      </c>
      <c r="NFL60" s="280">
        <v>0</v>
      </c>
      <c r="NFM60" s="280">
        <v>0</v>
      </c>
      <c r="NFN60" s="280">
        <v>0</v>
      </c>
      <c r="NFO60" s="280">
        <v>0</v>
      </c>
      <c r="NFP60" s="280">
        <v>0</v>
      </c>
      <c r="NFQ60" s="280">
        <v>0</v>
      </c>
      <c r="NFR60" s="280">
        <v>0</v>
      </c>
      <c r="NFS60" s="280">
        <v>0</v>
      </c>
      <c r="NFT60" s="280">
        <v>0</v>
      </c>
      <c r="NFU60" s="280">
        <v>0</v>
      </c>
      <c r="NFV60" s="280">
        <v>0</v>
      </c>
      <c r="NFW60" s="280">
        <v>0</v>
      </c>
      <c r="NFX60" s="280">
        <v>0</v>
      </c>
      <c r="NFY60" s="280">
        <v>0</v>
      </c>
      <c r="NFZ60" s="280">
        <v>0</v>
      </c>
      <c r="NGA60" s="280">
        <v>0</v>
      </c>
      <c r="NGB60" s="280">
        <v>0</v>
      </c>
      <c r="NGC60" s="280">
        <v>0</v>
      </c>
      <c r="NGD60" s="280">
        <v>0</v>
      </c>
      <c r="NGE60" s="280">
        <v>0</v>
      </c>
      <c r="NGF60" s="280">
        <v>0</v>
      </c>
      <c r="NGG60" s="280">
        <v>0</v>
      </c>
      <c r="NGH60" s="280">
        <v>0</v>
      </c>
      <c r="NGI60" s="280">
        <v>0</v>
      </c>
      <c r="NGJ60" s="280">
        <v>0</v>
      </c>
      <c r="NGK60" s="280">
        <v>0</v>
      </c>
      <c r="NGL60" s="280">
        <v>0</v>
      </c>
      <c r="NGM60" s="280">
        <v>0</v>
      </c>
      <c r="NGN60" s="280">
        <v>0</v>
      </c>
      <c r="NGO60" s="280">
        <v>0</v>
      </c>
      <c r="NGP60" s="280">
        <v>0</v>
      </c>
      <c r="NGQ60" s="280">
        <v>0</v>
      </c>
      <c r="NGR60" s="280">
        <v>0</v>
      </c>
      <c r="NGS60" s="280">
        <v>0</v>
      </c>
      <c r="NGT60" s="280">
        <v>0</v>
      </c>
      <c r="NGU60" s="280">
        <v>0</v>
      </c>
      <c r="NGV60" s="280">
        <v>0</v>
      </c>
      <c r="NGW60" s="280">
        <v>0</v>
      </c>
      <c r="NGX60" s="280">
        <v>0</v>
      </c>
      <c r="NGY60" s="280">
        <v>0</v>
      </c>
      <c r="NGZ60" s="280">
        <v>0</v>
      </c>
      <c r="NHA60" s="280">
        <v>0</v>
      </c>
      <c r="NHB60" s="280">
        <v>0</v>
      </c>
      <c r="NHC60" s="280">
        <v>0</v>
      </c>
      <c r="NHD60" s="280">
        <v>0</v>
      </c>
      <c r="NHE60" s="280">
        <v>0</v>
      </c>
      <c r="NHF60" s="280">
        <v>0</v>
      </c>
      <c r="NHG60" s="280">
        <v>0</v>
      </c>
      <c r="NHH60" s="280">
        <v>0</v>
      </c>
      <c r="NHI60" s="280">
        <v>0</v>
      </c>
      <c r="NHJ60" s="280">
        <v>0</v>
      </c>
      <c r="NHK60" s="280">
        <v>0</v>
      </c>
      <c r="NHL60" s="280">
        <v>0</v>
      </c>
      <c r="NHM60" s="280">
        <v>0</v>
      </c>
      <c r="NHN60" s="280">
        <v>0</v>
      </c>
      <c r="NHO60" s="280">
        <v>0</v>
      </c>
      <c r="NHP60" s="280">
        <v>0</v>
      </c>
      <c r="NHQ60" s="280">
        <v>0</v>
      </c>
      <c r="NHR60" s="280">
        <v>0</v>
      </c>
      <c r="NHS60" s="280">
        <v>0</v>
      </c>
      <c r="NHT60" s="280">
        <v>0</v>
      </c>
      <c r="NHU60" s="280">
        <v>0</v>
      </c>
      <c r="NHV60" s="280">
        <v>0</v>
      </c>
      <c r="NHW60" s="280">
        <v>0</v>
      </c>
      <c r="NHX60" s="280">
        <v>0</v>
      </c>
      <c r="NHY60" s="280">
        <v>0</v>
      </c>
      <c r="NHZ60" s="280">
        <v>0</v>
      </c>
      <c r="NIA60" s="280">
        <v>0</v>
      </c>
      <c r="NIB60" s="280">
        <v>0</v>
      </c>
      <c r="NIC60" s="280">
        <v>0</v>
      </c>
      <c r="NID60" s="280">
        <v>0</v>
      </c>
      <c r="NIE60" s="280">
        <v>0</v>
      </c>
      <c r="NIF60" s="280">
        <v>0</v>
      </c>
      <c r="NIG60" s="280">
        <v>0</v>
      </c>
      <c r="NIH60" s="280">
        <v>0</v>
      </c>
      <c r="NII60" s="280">
        <v>0</v>
      </c>
      <c r="NIJ60" s="280">
        <v>0</v>
      </c>
      <c r="NIK60" s="280">
        <v>0</v>
      </c>
      <c r="NIL60" s="280">
        <v>0</v>
      </c>
      <c r="NIM60" s="280">
        <v>0</v>
      </c>
      <c r="NIN60" s="280">
        <v>0</v>
      </c>
      <c r="NIO60" s="280">
        <v>0</v>
      </c>
      <c r="NIP60" s="280">
        <v>0</v>
      </c>
      <c r="NIQ60" s="280">
        <v>0</v>
      </c>
      <c r="NIR60" s="280">
        <v>0</v>
      </c>
      <c r="NIS60" s="280">
        <v>0</v>
      </c>
      <c r="NIT60" s="280">
        <v>0</v>
      </c>
      <c r="NIU60" s="280">
        <v>0</v>
      </c>
      <c r="NIV60" s="280">
        <v>0</v>
      </c>
      <c r="NIW60" s="280">
        <v>0</v>
      </c>
      <c r="NIX60" s="280">
        <v>0</v>
      </c>
      <c r="NIY60" s="280">
        <v>0</v>
      </c>
      <c r="NIZ60" s="280">
        <v>0</v>
      </c>
      <c r="NJA60" s="280">
        <v>0</v>
      </c>
      <c r="NJB60" s="280">
        <v>0</v>
      </c>
      <c r="NJC60" s="280">
        <v>0</v>
      </c>
      <c r="NJD60" s="280">
        <v>0</v>
      </c>
      <c r="NJE60" s="280">
        <v>0</v>
      </c>
      <c r="NJF60" s="280">
        <v>0</v>
      </c>
      <c r="NJG60" s="280">
        <v>0</v>
      </c>
      <c r="NJH60" s="280">
        <v>0</v>
      </c>
      <c r="NJI60" s="280">
        <v>0</v>
      </c>
      <c r="NJJ60" s="280">
        <v>0</v>
      </c>
      <c r="NJK60" s="280">
        <v>0</v>
      </c>
      <c r="NJL60" s="280">
        <v>0</v>
      </c>
      <c r="NJM60" s="280">
        <v>0</v>
      </c>
      <c r="NJN60" s="280">
        <v>0</v>
      </c>
      <c r="NJO60" s="280">
        <v>0</v>
      </c>
      <c r="NJP60" s="280">
        <v>0</v>
      </c>
      <c r="NJQ60" s="280">
        <v>0</v>
      </c>
      <c r="NJR60" s="280">
        <v>0</v>
      </c>
      <c r="NJS60" s="280">
        <v>0</v>
      </c>
      <c r="NJT60" s="280">
        <v>0</v>
      </c>
      <c r="NJU60" s="280">
        <v>0</v>
      </c>
      <c r="NJV60" s="280">
        <v>0</v>
      </c>
      <c r="NJW60" s="280">
        <v>0</v>
      </c>
      <c r="NJX60" s="280">
        <v>0</v>
      </c>
      <c r="NJY60" s="280">
        <v>0</v>
      </c>
      <c r="NJZ60" s="280">
        <v>0</v>
      </c>
      <c r="NKA60" s="280">
        <v>0</v>
      </c>
      <c r="NKB60" s="280">
        <v>0</v>
      </c>
      <c r="NKC60" s="280">
        <v>0</v>
      </c>
      <c r="NKD60" s="280">
        <v>0</v>
      </c>
      <c r="NKE60" s="280">
        <v>0</v>
      </c>
      <c r="NKF60" s="280">
        <v>0</v>
      </c>
      <c r="NKG60" s="280">
        <v>0</v>
      </c>
      <c r="NKH60" s="280">
        <v>0</v>
      </c>
      <c r="NKI60" s="280">
        <v>0</v>
      </c>
      <c r="NKJ60" s="280">
        <v>0</v>
      </c>
      <c r="NKK60" s="280">
        <v>0</v>
      </c>
      <c r="NKL60" s="280">
        <v>0</v>
      </c>
      <c r="NKM60" s="280">
        <v>0</v>
      </c>
      <c r="NKN60" s="280">
        <v>0</v>
      </c>
      <c r="NKO60" s="280">
        <v>0</v>
      </c>
      <c r="NKP60" s="280">
        <v>0</v>
      </c>
      <c r="NKQ60" s="280">
        <v>0</v>
      </c>
      <c r="NKR60" s="280">
        <v>0</v>
      </c>
      <c r="NKS60" s="280">
        <v>0</v>
      </c>
      <c r="NKT60" s="280">
        <v>0</v>
      </c>
      <c r="NKU60" s="280">
        <v>0</v>
      </c>
      <c r="NKV60" s="280">
        <v>0</v>
      </c>
      <c r="NKW60" s="280">
        <v>0</v>
      </c>
      <c r="NKX60" s="280">
        <v>0</v>
      </c>
      <c r="NKY60" s="280">
        <v>0</v>
      </c>
      <c r="NKZ60" s="280">
        <v>0</v>
      </c>
      <c r="NLA60" s="280">
        <v>0</v>
      </c>
      <c r="NLB60" s="280">
        <v>0</v>
      </c>
      <c r="NLC60" s="280">
        <v>0</v>
      </c>
      <c r="NLD60" s="280">
        <v>0</v>
      </c>
      <c r="NLE60" s="280">
        <v>0</v>
      </c>
      <c r="NLF60" s="280">
        <v>0</v>
      </c>
      <c r="NLG60" s="280">
        <v>0</v>
      </c>
      <c r="NLH60" s="280">
        <v>0</v>
      </c>
      <c r="NLI60" s="280">
        <v>0</v>
      </c>
      <c r="NLJ60" s="280">
        <v>0</v>
      </c>
      <c r="NLK60" s="280">
        <v>0</v>
      </c>
      <c r="NLL60" s="280">
        <v>0</v>
      </c>
      <c r="NLM60" s="280">
        <v>0</v>
      </c>
      <c r="NLN60" s="280">
        <v>0</v>
      </c>
      <c r="NLO60" s="280">
        <v>0</v>
      </c>
      <c r="NLP60" s="280">
        <v>0</v>
      </c>
      <c r="NLQ60" s="280">
        <v>0</v>
      </c>
      <c r="NLR60" s="280">
        <v>0</v>
      </c>
      <c r="NLS60" s="280">
        <v>0</v>
      </c>
      <c r="NLT60" s="280">
        <v>0</v>
      </c>
      <c r="NLU60" s="280">
        <v>0</v>
      </c>
      <c r="NLV60" s="280">
        <v>0</v>
      </c>
      <c r="NLW60" s="280">
        <v>0</v>
      </c>
      <c r="NLX60" s="280">
        <v>0</v>
      </c>
      <c r="NLY60" s="280">
        <v>0</v>
      </c>
      <c r="NLZ60" s="280">
        <v>0</v>
      </c>
      <c r="NMA60" s="280">
        <v>0</v>
      </c>
      <c r="NMB60" s="280">
        <v>0</v>
      </c>
      <c r="NMC60" s="280">
        <v>0</v>
      </c>
      <c r="NMD60" s="280">
        <v>0</v>
      </c>
      <c r="NME60" s="280">
        <v>0</v>
      </c>
      <c r="NMF60" s="280">
        <v>0</v>
      </c>
      <c r="NMG60" s="280">
        <v>0</v>
      </c>
      <c r="NMH60" s="280">
        <v>0</v>
      </c>
      <c r="NMI60" s="280">
        <v>0</v>
      </c>
      <c r="NMJ60" s="280">
        <v>0</v>
      </c>
      <c r="NMK60" s="280">
        <v>0</v>
      </c>
      <c r="NML60" s="280">
        <v>0</v>
      </c>
      <c r="NMM60" s="280">
        <v>0</v>
      </c>
      <c r="NMN60" s="280">
        <v>0</v>
      </c>
      <c r="NMO60" s="280">
        <v>0</v>
      </c>
      <c r="NMP60" s="280">
        <v>0</v>
      </c>
      <c r="NMQ60" s="280">
        <v>0</v>
      </c>
      <c r="NMR60" s="280">
        <v>0</v>
      </c>
      <c r="NMS60" s="280">
        <v>0</v>
      </c>
      <c r="NMT60" s="280">
        <v>0</v>
      </c>
      <c r="NMU60" s="280">
        <v>0</v>
      </c>
      <c r="NMV60" s="280">
        <v>0</v>
      </c>
      <c r="NMW60" s="280">
        <v>0</v>
      </c>
      <c r="NMX60" s="280">
        <v>0</v>
      </c>
      <c r="NMY60" s="280">
        <v>0</v>
      </c>
      <c r="NMZ60" s="280">
        <v>0</v>
      </c>
      <c r="NNA60" s="280">
        <v>0</v>
      </c>
      <c r="NNB60" s="280">
        <v>0</v>
      </c>
      <c r="NNC60" s="280">
        <v>0</v>
      </c>
      <c r="NND60" s="280">
        <v>0</v>
      </c>
      <c r="NNE60" s="280">
        <v>0</v>
      </c>
      <c r="NNF60" s="280">
        <v>0</v>
      </c>
      <c r="NNG60" s="280">
        <v>0</v>
      </c>
      <c r="NNH60" s="280">
        <v>0</v>
      </c>
      <c r="NNI60" s="280">
        <v>0</v>
      </c>
      <c r="NNJ60" s="280">
        <v>0</v>
      </c>
      <c r="NNK60" s="280">
        <v>0</v>
      </c>
      <c r="NNL60" s="280">
        <v>0</v>
      </c>
      <c r="NNM60" s="280">
        <v>0</v>
      </c>
      <c r="NNN60" s="280">
        <v>0</v>
      </c>
      <c r="NNO60" s="280">
        <v>0</v>
      </c>
      <c r="NNP60" s="280">
        <v>0</v>
      </c>
      <c r="NNQ60" s="280">
        <v>0</v>
      </c>
      <c r="NNR60" s="280">
        <v>0</v>
      </c>
      <c r="NNS60" s="280">
        <v>0</v>
      </c>
      <c r="NNT60" s="280">
        <v>0</v>
      </c>
      <c r="NNU60" s="280">
        <v>0</v>
      </c>
      <c r="NNV60" s="280">
        <v>0</v>
      </c>
      <c r="NNW60" s="280">
        <v>0</v>
      </c>
      <c r="NNX60" s="280">
        <v>0</v>
      </c>
      <c r="NNY60" s="280">
        <v>0</v>
      </c>
      <c r="NNZ60" s="280">
        <v>0</v>
      </c>
      <c r="NOA60" s="280">
        <v>0</v>
      </c>
      <c r="NOB60" s="280">
        <v>0</v>
      </c>
      <c r="NOC60" s="280">
        <v>0</v>
      </c>
      <c r="NOD60" s="280">
        <v>0</v>
      </c>
      <c r="NOE60" s="280">
        <v>0</v>
      </c>
      <c r="NOF60" s="280">
        <v>0</v>
      </c>
      <c r="NOG60" s="280">
        <v>0</v>
      </c>
      <c r="NOH60" s="280">
        <v>0</v>
      </c>
      <c r="NOI60" s="280">
        <v>0</v>
      </c>
      <c r="NOJ60" s="280">
        <v>0</v>
      </c>
      <c r="NOK60" s="280">
        <v>0</v>
      </c>
      <c r="NOL60" s="280">
        <v>0</v>
      </c>
      <c r="NOM60" s="280">
        <v>0</v>
      </c>
      <c r="NON60" s="280">
        <v>0</v>
      </c>
      <c r="NOO60" s="280">
        <v>0</v>
      </c>
      <c r="NOP60" s="280">
        <v>0</v>
      </c>
      <c r="NOQ60" s="280">
        <v>0</v>
      </c>
      <c r="NOR60" s="280">
        <v>0</v>
      </c>
      <c r="NOS60" s="280">
        <v>0</v>
      </c>
      <c r="NOT60" s="280">
        <v>0</v>
      </c>
      <c r="NOU60" s="280">
        <v>0</v>
      </c>
      <c r="NOV60" s="280">
        <v>0</v>
      </c>
      <c r="NOW60" s="280">
        <v>0</v>
      </c>
      <c r="NOX60" s="280">
        <v>0</v>
      </c>
      <c r="NOY60" s="280">
        <v>0</v>
      </c>
      <c r="NOZ60" s="280">
        <v>0</v>
      </c>
      <c r="NPA60" s="280">
        <v>0</v>
      </c>
      <c r="NPB60" s="280">
        <v>0</v>
      </c>
      <c r="NPC60" s="280">
        <v>0</v>
      </c>
      <c r="NPD60" s="280">
        <v>0</v>
      </c>
      <c r="NPE60" s="280">
        <v>0</v>
      </c>
      <c r="NPF60" s="280">
        <v>0</v>
      </c>
      <c r="NPG60" s="280">
        <v>0</v>
      </c>
      <c r="NPH60" s="280">
        <v>0</v>
      </c>
      <c r="NPI60" s="280">
        <v>0</v>
      </c>
      <c r="NPJ60" s="280">
        <v>0</v>
      </c>
      <c r="NPK60" s="280">
        <v>0</v>
      </c>
      <c r="NPL60" s="280">
        <v>0</v>
      </c>
      <c r="NPM60" s="280">
        <v>0</v>
      </c>
      <c r="NPN60" s="280">
        <v>0</v>
      </c>
      <c r="NPO60" s="280">
        <v>0</v>
      </c>
      <c r="NPP60" s="280">
        <v>0</v>
      </c>
      <c r="NPQ60" s="280">
        <v>0</v>
      </c>
      <c r="NPR60" s="280">
        <v>0</v>
      </c>
      <c r="NPS60" s="280">
        <v>0</v>
      </c>
      <c r="NPT60" s="280">
        <v>0</v>
      </c>
      <c r="NPU60" s="280">
        <v>0</v>
      </c>
      <c r="NPV60" s="280">
        <v>0</v>
      </c>
      <c r="NPW60" s="280">
        <v>0</v>
      </c>
      <c r="NPX60" s="280">
        <v>0</v>
      </c>
      <c r="NPY60" s="280">
        <v>0</v>
      </c>
      <c r="NPZ60" s="280">
        <v>0</v>
      </c>
      <c r="NQA60" s="280">
        <v>0</v>
      </c>
      <c r="NQB60" s="280">
        <v>0</v>
      </c>
      <c r="NQC60" s="280">
        <v>0</v>
      </c>
      <c r="NQD60" s="280">
        <v>0</v>
      </c>
      <c r="NQE60" s="280">
        <v>0</v>
      </c>
      <c r="NQF60" s="280">
        <v>0</v>
      </c>
      <c r="NQG60" s="280">
        <v>0</v>
      </c>
      <c r="NQH60" s="280">
        <v>0</v>
      </c>
      <c r="NQI60" s="280">
        <v>0</v>
      </c>
      <c r="NQJ60" s="280">
        <v>0</v>
      </c>
      <c r="NQK60" s="280">
        <v>0</v>
      </c>
      <c r="NQL60" s="280">
        <v>0</v>
      </c>
      <c r="NQM60" s="280">
        <v>0</v>
      </c>
      <c r="NQN60" s="280">
        <v>0</v>
      </c>
      <c r="NQO60" s="280">
        <v>0</v>
      </c>
      <c r="NQP60" s="280">
        <v>0</v>
      </c>
      <c r="NQQ60" s="280">
        <v>0</v>
      </c>
      <c r="NQR60" s="280">
        <v>0</v>
      </c>
      <c r="NQS60" s="280">
        <v>0</v>
      </c>
      <c r="NQT60" s="280">
        <v>0</v>
      </c>
      <c r="NQU60" s="280">
        <v>0</v>
      </c>
      <c r="NQV60" s="280">
        <v>0</v>
      </c>
      <c r="NQW60" s="280">
        <v>0</v>
      </c>
      <c r="NQX60" s="280">
        <v>0</v>
      </c>
      <c r="NQY60" s="280">
        <v>0</v>
      </c>
      <c r="NQZ60" s="280">
        <v>0</v>
      </c>
      <c r="NRA60" s="280">
        <v>0</v>
      </c>
      <c r="NRB60" s="280">
        <v>0</v>
      </c>
      <c r="NRC60" s="280">
        <v>0</v>
      </c>
      <c r="NRD60" s="280">
        <v>0</v>
      </c>
      <c r="NRE60" s="280">
        <v>0</v>
      </c>
      <c r="NRF60" s="280">
        <v>0</v>
      </c>
      <c r="NRG60" s="280">
        <v>0</v>
      </c>
      <c r="NRH60" s="280">
        <v>0</v>
      </c>
      <c r="NRI60" s="280">
        <v>0</v>
      </c>
      <c r="NRJ60" s="280">
        <v>0</v>
      </c>
      <c r="NRK60" s="280">
        <v>0</v>
      </c>
      <c r="NRL60" s="280">
        <v>0</v>
      </c>
      <c r="NRM60" s="280">
        <v>0</v>
      </c>
      <c r="NRN60" s="280">
        <v>0</v>
      </c>
      <c r="NRO60" s="280">
        <v>0</v>
      </c>
      <c r="NRP60" s="280">
        <v>0</v>
      </c>
      <c r="NRQ60" s="280">
        <v>0</v>
      </c>
      <c r="NRR60" s="280">
        <v>0</v>
      </c>
      <c r="NRS60" s="280">
        <v>0</v>
      </c>
      <c r="NRT60" s="280">
        <v>0</v>
      </c>
      <c r="NRU60" s="280">
        <v>0</v>
      </c>
      <c r="NRV60" s="280">
        <v>0</v>
      </c>
      <c r="NRW60" s="280">
        <v>0</v>
      </c>
      <c r="NRX60" s="280">
        <v>0</v>
      </c>
      <c r="NRY60" s="280">
        <v>0</v>
      </c>
      <c r="NRZ60" s="280">
        <v>0</v>
      </c>
      <c r="NSA60" s="280">
        <v>0</v>
      </c>
      <c r="NSB60" s="280">
        <v>0</v>
      </c>
      <c r="NSC60" s="280">
        <v>0</v>
      </c>
      <c r="NSD60" s="280">
        <v>0</v>
      </c>
      <c r="NSE60" s="280">
        <v>0</v>
      </c>
      <c r="NSF60" s="280">
        <v>0</v>
      </c>
      <c r="NSG60" s="280">
        <v>0</v>
      </c>
      <c r="NSH60" s="280">
        <v>0</v>
      </c>
      <c r="NSI60" s="280">
        <v>0</v>
      </c>
      <c r="NSJ60" s="280">
        <v>0</v>
      </c>
      <c r="NSK60" s="280">
        <v>0</v>
      </c>
      <c r="NSL60" s="280">
        <v>0</v>
      </c>
      <c r="NSM60" s="280">
        <v>0</v>
      </c>
      <c r="NSN60" s="280">
        <v>0</v>
      </c>
      <c r="NSO60" s="280">
        <v>0</v>
      </c>
      <c r="NSP60" s="280">
        <v>0</v>
      </c>
      <c r="NSQ60" s="280">
        <v>0</v>
      </c>
      <c r="NSR60" s="280">
        <v>0</v>
      </c>
      <c r="NSS60" s="280">
        <v>0</v>
      </c>
      <c r="NST60" s="280">
        <v>0</v>
      </c>
      <c r="NSU60" s="280">
        <v>0</v>
      </c>
      <c r="NSV60" s="280">
        <v>0</v>
      </c>
      <c r="NSW60" s="280">
        <v>0</v>
      </c>
      <c r="NSX60" s="280">
        <v>0</v>
      </c>
      <c r="NSY60" s="280">
        <v>0</v>
      </c>
      <c r="NSZ60" s="280">
        <v>0</v>
      </c>
      <c r="NTA60" s="280">
        <v>0</v>
      </c>
      <c r="NTB60" s="280">
        <v>0</v>
      </c>
      <c r="NTC60" s="280">
        <v>0</v>
      </c>
      <c r="NTD60" s="280">
        <v>0</v>
      </c>
      <c r="NTE60" s="280">
        <v>0</v>
      </c>
      <c r="NTF60" s="280">
        <v>0</v>
      </c>
      <c r="NTG60" s="280">
        <v>0</v>
      </c>
      <c r="NTH60" s="280">
        <v>0</v>
      </c>
      <c r="NTI60" s="280">
        <v>0</v>
      </c>
      <c r="NTJ60" s="280">
        <v>0</v>
      </c>
      <c r="NTK60" s="280">
        <v>0</v>
      </c>
      <c r="NTL60" s="280">
        <v>0</v>
      </c>
      <c r="NTM60" s="280">
        <v>0</v>
      </c>
      <c r="NTN60" s="280">
        <v>0</v>
      </c>
      <c r="NTO60" s="280">
        <v>0</v>
      </c>
      <c r="NTP60" s="280">
        <v>0</v>
      </c>
      <c r="NTQ60" s="280">
        <v>0</v>
      </c>
      <c r="NTR60" s="280">
        <v>0</v>
      </c>
      <c r="NTS60" s="280">
        <v>0</v>
      </c>
      <c r="NTT60" s="280">
        <v>0</v>
      </c>
      <c r="NTU60" s="280">
        <v>0</v>
      </c>
      <c r="NTV60" s="280">
        <v>0</v>
      </c>
      <c r="NTW60" s="280">
        <v>0</v>
      </c>
      <c r="NTX60" s="280">
        <v>0</v>
      </c>
      <c r="NTY60" s="280">
        <v>0</v>
      </c>
      <c r="NTZ60" s="280">
        <v>0</v>
      </c>
      <c r="NUA60" s="280">
        <v>0</v>
      </c>
      <c r="NUB60" s="280">
        <v>0</v>
      </c>
      <c r="NUC60" s="280">
        <v>0</v>
      </c>
      <c r="NUD60" s="280">
        <v>0</v>
      </c>
      <c r="NUE60" s="280">
        <v>0</v>
      </c>
      <c r="NUF60" s="280">
        <v>0</v>
      </c>
      <c r="NUG60" s="280">
        <v>0</v>
      </c>
      <c r="NUH60" s="280">
        <v>0</v>
      </c>
      <c r="NUI60" s="280">
        <v>0</v>
      </c>
      <c r="NUJ60" s="280">
        <v>0</v>
      </c>
      <c r="NUK60" s="280">
        <v>0</v>
      </c>
      <c r="NUL60" s="280">
        <v>0</v>
      </c>
      <c r="NUM60" s="280">
        <v>0</v>
      </c>
      <c r="NUN60" s="280">
        <v>0</v>
      </c>
      <c r="NUO60" s="280">
        <v>0</v>
      </c>
      <c r="NUP60" s="280">
        <v>0</v>
      </c>
      <c r="NUQ60" s="280">
        <v>0</v>
      </c>
      <c r="NUR60" s="280">
        <v>0</v>
      </c>
      <c r="NUS60" s="280">
        <v>0</v>
      </c>
      <c r="NUT60" s="280">
        <v>0</v>
      </c>
      <c r="NUU60" s="280">
        <v>0</v>
      </c>
      <c r="NUV60" s="280">
        <v>0</v>
      </c>
      <c r="NUW60" s="280">
        <v>0</v>
      </c>
      <c r="NUX60" s="280">
        <v>0</v>
      </c>
      <c r="NUY60" s="280">
        <v>0</v>
      </c>
      <c r="NUZ60" s="280">
        <v>0</v>
      </c>
      <c r="NVA60" s="280">
        <v>0</v>
      </c>
      <c r="NVB60" s="280">
        <v>0</v>
      </c>
      <c r="NVC60" s="280">
        <v>0</v>
      </c>
      <c r="NVD60" s="280">
        <v>0</v>
      </c>
      <c r="NVE60" s="280">
        <v>0</v>
      </c>
      <c r="NVF60" s="280">
        <v>0</v>
      </c>
      <c r="NVG60" s="280">
        <v>0</v>
      </c>
      <c r="NVH60" s="280">
        <v>0</v>
      </c>
      <c r="NVI60" s="280">
        <v>0</v>
      </c>
      <c r="NVJ60" s="280">
        <v>0</v>
      </c>
      <c r="NVK60" s="280">
        <v>0</v>
      </c>
      <c r="NVL60" s="280">
        <v>0</v>
      </c>
      <c r="NVM60" s="280">
        <v>0</v>
      </c>
      <c r="NVN60" s="280">
        <v>0</v>
      </c>
      <c r="NVO60" s="280">
        <v>0</v>
      </c>
      <c r="NVP60" s="280">
        <v>0</v>
      </c>
      <c r="NVQ60" s="280">
        <v>0</v>
      </c>
      <c r="NVR60" s="280">
        <v>0</v>
      </c>
      <c r="NVS60" s="280">
        <v>0</v>
      </c>
      <c r="NVT60" s="280">
        <v>0</v>
      </c>
      <c r="NVU60" s="280">
        <v>0</v>
      </c>
      <c r="NVV60" s="280">
        <v>0</v>
      </c>
      <c r="NVW60" s="280">
        <v>0</v>
      </c>
      <c r="NVX60" s="280">
        <v>0</v>
      </c>
      <c r="NVY60" s="280">
        <v>0</v>
      </c>
      <c r="NVZ60" s="280">
        <v>0</v>
      </c>
      <c r="NWA60" s="280">
        <v>0</v>
      </c>
      <c r="NWB60" s="280">
        <v>0</v>
      </c>
      <c r="NWC60" s="280">
        <v>0</v>
      </c>
      <c r="NWD60" s="280">
        <v>0</v>
      </c>
      <c r="NWE60" s="280">
        <v>0</v>
      </c>
      <c r="NWF60" s="280">
        <v>0</v>
      </c>
      <c r="NWG60" s="280">
        <v>0</v>
      </c>
      <c r="NWH60" s="280">
        <v>0</v>
      </c>
      <c r="NWI60" s="280">
        <v>0</v>
      </c>
      <c r="NWJ60" s="280">
        <v>0</v>
      </c>
      <c r="NWK60" s="280">
        <v>0</v>
      </c>
      <c r="NWL60" s="280">
        <v>0</v>
      </c>
      <c r="NWM60" s="280">
        <v>0</v>
      </c>
      <c r="NWN60" s="280">
        <v>0</v>
      </c>
      <c r="NWO60" s="280">
        <v>0</v>
      </c>
      <c r="NWP60" s="280">
        <v>0</v>
      </c>
      <c r="NWQ60" s="280">
        <v>0</v>
      </c>
      <c r="NWR60" s="280">
        <v>0</v>
      </c>
      <c r="NWS60" s="280">
        <v>0</v>
      </c>
      <c r="NWT60" s="280">
        <v>0</v>
      </c>
      <c r="NWU60" s="280">
        <v>0</v>
      </c>
      <c r="NWV60" s="280">
        <v>0</v>
      </c>
      <c r="NWW60" s="280">
        <v>0</v>
      </c>
      <c r="NWX60" s="280">
        <v>0</v>
      </c>
      <c r="NWY60" s="280">
        <v>0</v>
      </c>
      <c r="NWZ60" s="280">
        <v>0</v>
      </c>
      <c r="NXA60" s="280">
        <v>0</v>
      </c>
      <c r="NXB60" s="280">
        <v>0</v>
      </c>
      <c r="NXC60" s="280">
        <v>0</v>
      </c>
      <c r="NXD60" s="280">
        <v>0</v>
      </c>
      <c r="NXE60" s="280">
        <v>0</v>
      </c>
      <c r="NXF60" s="280">
        <v>0</v>
      </c>
      <c r="NXG60" s="280">
        <v>0</v>
      </c>
      <c r="NXH60" s="280">
        <v>0</v>
      </c>
      <c r="NXI60" s="280">
        <v>0</v>
      </c>
      <c r="NXJ60" s="280">
        <v>0</v>
      </c>
      <c r="NXK60" s="280">
        <v>0</v>
      </c>
      <c r="NXL60" s="280">
        <v>0</v>
      </c>
      <c r="NXM60" s="280">
        <v>0</v>
      </c>
      <c r="NXN60" s="280">
        <v>0</v>
      </c>
      <c r="NXO60" s="280">
        <v>0</v>
      </c>
      <c r="NXP60" s="280">
        <v>0</v>
      </c>
      <c r="NXQ60" s="280">
        <v>0</v>
      </c>
      <c r="NXR60" s="280">
        <v>0</v>
      </c>
      <c r="NXS60" s="280">
        <v>0</v>
      </c>
      <c r="NXT60" s="280">
        <v>0</v>
      </c>
      <c r="NXU60" s="280">
        <v>0</v>
      </c>
      <c r="NXV60" s="280">
        <v>0</v>
      </c>
      <c r="NXW60" s="280">
        <v>0</v>
      </c>
      <c r="NXX60" s="280">
        <v>0</v>
      </c>
      <c r="NXY60" s="280">
        <v>0</v>
      </c>
      <c r="NXZ60" s="280">
        <v>0</v>
      </c>
      <c r="NYA60" s="280">
        <v>0</v>
      </c>
      <c r="NYB60" s="280">
        <v>0</v>
      </c>
      <c r="NYC60" s="280">
        <v>0</v>
      </c>
      <c r="NYD60" s="280">
        <v>0</v>
      </c>
      <c r="NYE60" s="280">
        <v>0</v>
      </c>
      <c r="NYF60" s="280">
        <v>0</v>
      </c>
      <c r="NYG60" s="280">
        <v>0</v>
      </c>
      <c r="NYH60" s="280">
        <v>0</v>
      </c>
      <c r="NYI60" s="280">
        <v>0</v>
      </c>
      <c r="NYJ60" s="280">
        <v>0</v>
      </c>
      <c r="NYK60" s="280">
        <v>0</v>
      </c>
      <c r="NYL60" s="280">
        <v>0</v>
      </c>
      <c r="NYM60" s="280">
        <v>0</v>
      </c>
      <c r="NYN60" s="280">
        <v>0</v>
      </c>
      <c r="NYO60" s="280">
        <v>0</v>
      </c>
      <c r="NYP60" s="280">
        <v>0</v>
      </c>
      <c r="NYQ60" s="280">
        <v>0</v>
      </c>
      <c r="NYR60" s="280">
        <v>0</v>
      </c>
      <c r="NYS60" s="280">
        <v>0</v>
      </c>
      <c r="NYT60" s="280">
        <v>0</v>
      </c>
      <c r="NYU60" s="280">
        <v>0</v>
      </c>
      <c r="NYV60" s="280">
        <v>0</v>
      </c>
      <c r="NYW60" s="280">
        <v>0</v>
      </c>
      <c r="NYX60" s="280">
        <v>0</v>
      </c>
      <c r="NYY60" s="280">
        <v>0</v>
      </c>
      <c r="NYZ60" s="280">
        <v>0</v>
      </c>
      <c r="NZA60" s="280">
        <v>0</v>
      </c>
      <c r="NZB60" s="280">
        <v>0</v>
      </c>
      <c r="NZC60" s="280">
        <v>0</v>
      </c>
      <c r="NZD60" s="280">
        <v>0</v>
      </c>
      <c r="NZE60" s="280">
        <v>0</v>
      </c>
      <c r="NZF60" s="280">
        <v>0</v>
      </c>
      <c r="NZG60" s="280">
        <v>0</v>
      </c>
      <c r="NZH60" s="280">
        <v>0</v>
      </c>
      <c r="NZI60" s="280">
        <v>0</v>
      </c>
      <c r="NZJ60" s="280">
        <v>0</v>
      </c>
      <c r="NZK60" s="280">
        <v>0</v>
      </c>
      <c r="NZL60" s="280">
        <v>0</v>
      </c>
      <c r="NZM60" s="280">
        <v>0</v>
      </c>
      <c r="NZN60" s="280">
        <v>0</v>
      </c>
      <c r="NZO60" s="280">
        <v>0</v>
      </c>
      <c r="NZP60" s="280">
        <v>0</v>
      </c>
      <c r="NZQ60" s="280">
        <v>0</v>
      </c>
      <c r="NZR60" s="280">
        <v>0</v>
      </c>
      <c r="NZS60" s="280">
        <v>0</v>
      </c>
      <c r="NZT60" s="280">
        <v>0</v>
      </c>
      <c r="NZU60" s="280">
        <v>0</v>
      </c>
      <c r="NZV60" s="280">
        <v>0</v>
      </c>
      <c r="NZW60" s="280">
        <v>0</v>
      </c>
      <c r="NZX60" s="280">
        <v>0</v>
      </c>
      <c r="NZY60" s="280">
        <v>0</v>
      </c>
      <c r="NZZ60" s="280">
        <v>0</v>
      </c>
      <c r="OAA60" s="280">
        <v>0</v>
      </c>
      <c r="OAB60" s="280">
        <v>0</v>
      </c>
      <c r="OAC60" s="280">
        <v>0</v>
      </c>
      <c r="OAD60" s="280">
        <v>0</v>
      </c>
      <c r="OAE60" s="280">
        <v>0</v>
      </c>
      <c r="OAF60" s="280">
        <v>0</v>
      </c>
      <c r="OAG60" s="280">
        <v>0</v>
      </c>
      <c r="OAH60" s="280">
        <v>0</v>
      </c>
      <c r="OAI60" s="280">
        <v>0</v>
      </c>
      <c r="OAJ60" s="280">
        <v>0</v>
      </c>
      <c r="OAK60" s="280">
        <v>0</v>
      </c>
      <c r="OAL60" s="280">
        <v>0</v>
      </c>
      <c r="OAM60" s="280">
        <v>0</v>
      </c>
      <c r="OAN60" s="280">
        <v>0</v>
      </c>
      <c r="OAO60" s="280">
        <v>0</v>
      </c>
      <c r="OAP60" s="280">
        <v>0</v>
      </c>
      <c r="OAQ60" s="280">
        <v>0</v>
      </c>
      <c r="OAR60" s="280">
        <v>0</v>
      </c>
      <c r="OAS60" s="280">
        <v>0</v>
      </c>
      <c r="OAT60" s="280">
        <v>0</v>
      </c>
      <c r="OAU60" s="280">
        <v>0</v>
      </c>
      <c r="OAV60" s="280">
        <v>0</v>
      </c>
      <c r="OAW60" s="280">
        <v>0</v>
      </c>
      <c r="OAX60" s="280">
        <v>0</v>
      </c>
      <c r="OAY60" s="280">
        <v>0</v>
      </c>
      <c r="OAZ60" s="280">
        <v>0</v>
      </c>
      <c r="OBA60" s="280">
        <v>0</v>
      </c>
      <c r="OBB60" s="280">
        <v>0</v>
      </c>
      <c r="OBC60" s="280">
        <v>0</v>
      </c>
      <c r="OBD60" s="280">
        <v>0</v>
      </c>
      <c r="OBE60" s="280">
        <v>0</v>
      </c>
      <c r="OBF60" s="280">
        <v>0</v>
      </c>
      <c r="OBG60" s="280">
        <v>0</v>
      </c>
      <c r="OBH60" s="280">
        <v>0</v>
      </c>
      <c r="OBI60" s="280">
        <v>0</v>
      </c>
      <c r="OBJ60" s="280">
        <v>0</v>
      </c>
      <c r="OBK60" s="280">
        <v>0</v>
      </c>
      <c r="OBL60" s="280">
        <v>0</v>
      </c>
      <c r="OBM60" s="280">
        <v>0</v>
      </c>
      <c r="OBN60" s="280">
        <v>0</v>
      </c>
      <c r="OBO60" s="280">
        <v>0</v>
      </c>
      <c r="OBP60" s="280">
        <v>0</v>
      </c>
      <c r="OBQ60" s="280">
        <v>0</v>
      </c>
      <c r="OBR60" s="280">
        <v>0</v>
      </c>
      <c r="OBS60" s="280">
        <v>0</v>
      </c>
      <c r="OBT60" s="280">
        <v>0</v>
      </c>
      <c r="OBU60" s="280">
        <v>0</v>
      </c>
      <c r="OBV60" s="280">
        <v>0</v>
      </c>
      <c r="OBW60" s="280">
        <v>0</v>
      </c>
      <c r="OBX60" s="280">
        <v>0</v>
      </c>
      <c r="OBY60" s="280">
        <v>0</v>
      </c>
      <c r="OBZ60" s="280">
        <v>0</v>
      </c>
      <c r="OCA60" s="280">
        <v>0</v>
      </c>
      <c r="OCB60" s="280">
        <v>0</v>
      </c>
      <c r="OCC60" s="280">
        <v>0</v>
      </c>
      <c r="OCD60" s="280">
        <v>0</v>
      </c>
      <c r="OCE60" s="280">
        <v>0</v>
      </c>
      <c r="OCF60" s="280">
        <v>0</v>
      </c>
      <c r="OCG60" s="280">
        <v>0</v>
      </c>
      <c r="OCH60" s="280">
        <v>0</v>
      </c>
      <c r="OCI60" s="280">
        <v>0</v>
      </c>
      <c r="OCJ60" s="280">
        <v>0</v>
      </c>
      <c r="OCK60" s="280">
        <v>0</v>
      </c>
      <c r="OCL60" s="280">
        <v>0</v>
      </c>
      <c r="OCM60" s="280">
        <v>0</v>
      </c>
      <c r="OCN60" s="280">
        <v>0</v>
      </c>
      <c r="OCO60" s="280">
        <v>0</v>
      </c>
      <c r="OCP60" s="280">
        <v>0</v>
      </c>
      <c r="OCQ60" s="280">
        <v>0</v>
      </c>
      <c r="OCR60" s="280">
        <v>0</v>
      </c>
      <c r="OCS60" s="280">
        <v>0</v>
      </c>
      <c r="OCT60" s="280">
        <v>0</v>
      </c>
      <c r="OCU60" s="280">
        <v>0</v>
      </c>
      <c r="OCV60" s="280">
        <v>0</v>
      </c>
      <c r="OCW60" s="280">
        <v>0</v>
      </c>
      <c r="OCX60" s="280">
        <v>0</v>
      </c>
      <c r="OCY60" s="280">
        <v>0</v>
      </c>
      <c r="OCZ60" s="280">
        <v>0</v>
      </c>
      <c r="ODA60" s="280">
        <v>0</v>
      </c>
      <c r="ODB60" s="280">
        <v>0</v>
      </c>
      <c r="ODC60" s="280">
        <v>0</v>
      </c>
      <c r="ODD60" s="280">
        <v>0</v>
      </c>
      <c r="ODE60" s="280">
        <v>0</v>
      </c>
      <c r="ODF60" s="280">
        <v>0</v>
      </c>
      <c r="ODG60" s="280">
        <v>0</v>
      </c>
      <c r="ODH60" s="280">
        <v>0</v>
      </c>
      <c r="ODI60" s="280">
        <v>0</v>
      </c>
      <c r="ODJ60" s="280">
        <v>0</v>
      </c>
      <c r="ODK60" s="280">
        <v>0</v>
      </c>
      <c r="ODL60" s="280">
        <v>0</v>
      </c>
      <c r="ODM60" s="280">
        <v>0</v>
      </c>
      <c r="ODN60" s="280">
        <v>0</v>
      </c>
      <c r="ODO60" s="280">
        <v>0</v>
      </c>
      <c r="ODP60" s="280">
        <v>0</v>
      </c>
      <c r="ODQ60" s="280">
        <v>0</v>
      </c>
      <c r="ODR60" s="280">
        <v>0</v>
      </c>
      <c r="ODS60" s="280">
        <v>0</v>
      </c>
      <c r="ODT60" s="280">
        <v>0</v>
      </c>
      <c r="ODU60" s="280">
        <v>0</v>
      </c>
      <c r="ODV60" s="280">
        <v>0</v>
      </c>
      <c r="ODW60" s="280">
        <v>0</v>
      </c>
      <c r="ODX60" s="280">
        <v>0</v>
      </c>
      <c r="ODY60" s="280">
        <v>0</v>
      </c>
      <c r="ODZ60" s="280">
        <v>0</v>
      </c>
      <c r="OEA60" s="280">
        <v>0</v>
      </c>
      <c r="OEB60" s="280">
        <v>0</v>
      </c>
      <c r="OEC60" s="280">
        <v>0</v>
      </c>
      <c r="OED60" s="280">
        <v>0</v>
      </c>
      <c r="OEE60" s="280">
        <v>0</v>
      </c>
      <c r="OEF60" s="280">
        <v>0</v>
      </c>
      <c r="OEG60" s="280">
        <v>0</v>
      </c>
      <c r="OEH60" s="280">
        <v>0</v>
      </c>
      <c r="OEI60" s="280">
        <v>0</v>
      </c>
      <c r="OEJ60" s="280">
        <v>0</v>
      </c>
      <c r="OEK60" s="280">
        <v>0</v>
      </c>
      <c r="OEL60" s="280">
        <v>0</v>
      </c>
      <c r="OEM60" s="280">
        <v>0</v>
      </c>
      <c r="OEN60" s="280">
        <v>0</v>
      </c>
      <c r="OEO60" s="280">
        <v>0</v>
      </c>
      <c r="OEP60" s="280">
        <v>0</v>
      </c>
      <c r="OEQ60" s="280">
        <v>0</v>
      </c>
      <c r="OER60" s="280">
        <v>0</v>
      </c>
      <c r="OES60" s="280">
        <v>0</v>
      </c>
      <c r="OET60" s="280">
        <v>0</v>
      </c>
      <c r="OEU60" s="280">
        <v>0</v>
      </c>
      <c r="OEV60" s="280">
        <v>0</v>
      </c>
      <c r="OEW60" s="280">
        <v>0</v>
      </c>
      <c r="OEX60" s="280">
        <v>0</v>
      </c>
      <c r="OEY60" s="280">
        <v>0</v>
      </c>
      <c r="OEZ60" s="280">
        <v>0</v>
      </c>
      <c r="OFA60" s="280">
        <v>0</v>
      </c>
      <c r="OFB60" s="280">
        <v>0</v>
      </c>
      <c r="OFC60" s="280">
        <v>0</v>
      </c>
      <c r="OFD60" s="280">
        <v>0</v>
      </c>
      <c r="OFE60" s="280">
        <v>0</v>
      </c>
      <c r="OFF60" s="280">
        <v>0</v>
      </c>
      <c r="OFG60" s="280">
        <v>0</v>
      </c>
      <c r="OFH60" s="280">
        <v>0</v>
      </c>
      <c r="OFI60" s="280">
        <v>0</v>
      </c>
      <c r="OFJ60" s="280">
        <v>0</v>
      </c>
      <c r="OFK60" s="280">
        <v>0</v>
      </c>
      <c r="OFL60" s="280">
        <v>0</v>
      </c>
      <c r="OFM60" s="280">
        <v>0</v>
      </c>
      <c r="OFN60" s="280">
        <v>0</v>
      </c>
      <c r="OFO60" s="280">
        <v>0</v>
      </c>
      <c r="OFP60" s="280">
        <v>0</v>
      </c>
      <c r="OFQ60" s="280">
        <v>0</v>
      </c>
      <c r="OFR60" s="280">
        <v>0</v>
      </c>
      <c r="OFS60" s="280">
        <v>0</v>
      </c>
      <c r="OFT60" s="280">
        <v>0</v>
      </c>
      <c r="OFU60" s="280">
        <v>0</v>
      </c>
      <c r="OFV60" s="280">
        <v>0</v>
      </c>
      <c r="OFW60" s="280">
        <v>0</v>
      </c>
      <c r="OFX60" s="280">
        <v>0</v>
      </c>
      <c r="OFY60" s="280">
        <v>0</v>
      </c>
      <c r="OFZ60" s="280">
        <v>0</v>
      </c>
      <c r="OGA60" s="280">
        <v>0</v>
      </c>
      <c r="OGB60" s="280">
        <v>0</v>
      </c>
      <c r="OGC60" s="280">
        <v>0</v>
      </c>
      <c r="OGD60" s="280">
        <v>0</v>
      </c>
      <c r="OGE60" s="280">
        <v>0</v>
      </c>
      <c r="OGF60" s="280">
        <v>0</v>
      </c>
      <c r="OGG60" s="280">
        <v>0</v>
      </c>
      <c r="OGH60" s="280">
        <v>0</v>
      </c>
      <c r="OGI60" s="280">
        <v>0</v>
      </c>
      <c r="OGJ60" s="280">
        <v>0</v>
      </c>
      <c r="OGK60" s="280">
        <v>0</v>
      </c>
      <c r="OGL60" s="280">
        <v>0</v>
      </c>
      <c r="OGM60" s="280">
        <v>0</v>
      </c>
      <c r="OGN60" s="280">
        <v>0</v>
      </c>
      <c r="OGO60" s="280">
        <v>0</v>
      </c>
      <c r="OGP60" s="280">
        <v>0</v>
      </c>
      <c r="OGQ60" s="280">
        <v>0</v>
      </c>
      <c r="OGR60" s="280">
        <v>0</v>
      </c>
      <c r="OGS60" s="280">
        <v>0</v>
      </c>
      <c r="OGT60" s="280">
        <v>0</v>
      </c>
      <c r="OGU60" s="280">
        <v>0</v>
      </c>
      <c r="OGV60" s="280">
        <v>0</v>
      </c>
      <c r="OGW60" s="280">
        <v>0</v>
      </c>
      <c r="OGX60" s="280">
        <v>0</v>
      </c>
      <c r="OGY60" s="280">
        <v>0</v>
      </c>
      <c r="OGZ60" s="280">
        <v>0</v>
      </c>
      <c r="OHA60" s="280">
        <v>0</v>
      </c>
      <c r="OHB60" s="280">
        <v>0</v>
      </c>
      <c r="OHC60" s="280">
        <v>0</v>
      </c>
      <c r="OHD60" s="280">
        <v>0</v>
      </c>
      <c r="OHE60" s="280">
        <v>0</v>
      </c>
      <c r="OHF60" s="280">
        <v>0</v>
      </c>
      <c r="OHG60" s="280">
        <v>0</v>
      </c>
      <c r="OHH60" s="280">
        <v>0</v>
      </c>
      <c r="OHI60" s="280">
        <v>0</v>
      </c>
      <c r="OHJ60" s="280">
        <v>0</v>
      </c>
      <c r="OHK60" s="280">
        <v>0</v>
      </c>
      <c r="OHL60" s="280">
        <v>0</v>
      </c>
      <c r="OHM60" s="280">
        <v>0</v>
      </c>
      <c r="OHN60" s="280">
        <v>0</v>
      </c>
      <c r="OHO60" s="280">
        <v>0</v>
      </c>
      <c r="OHP60" s="280">
        <v>0</v>
      </c>
      <c r="OHQ60" s="280">
        <v>0</v>
      </c>
      <c r="OHR60" s="280">
        <v>0</v>
      </c>
      <c r="OHS60" s="280">
        <v>0</v>
      </c>
      <c r="OHT60" s="280">
        <v>0</v>
      </c>
      <c r="OHU60" s="280">
        <v>0</v>
      </c>
      <c r="OHV60" s="280">
        <v>0</v>
      </c>
      <c r="OHW60" s="280">
        <v>0</v>
      </c>
      <c r="OHX60" s="280">
        <v>0</v>
      </c>
      <c r="OHY60" s="280">
        <v>0</v>
      </c>
      <c r="OHZ60" s="280">
        <v>0</v>
      </c>
      <c r="OIA60" s="280">
        <v>0</v>
      </c>
      <c r="OIB60" s="280">
        <v>0</v>
      </c>
      <c r="OIC60" s="280">
        <v>0</v>
      </c>
      <c r="OID60" s="280">
        <v>0</v>
      </c>
      <c r="OIE60" s="280">
        <v>0</v>
      </c>
      <c r="OIF60" s="280">
        <v>0</v>
      </c>
      <c r="OIG60" s="280">
        <v>0</v>
      </c>
      <c r="OIH60" s="280">
        <v>0</v>
      </c>
      <c r="OII60" s="280">
        <v>0</v>
      </c>
      <c r="OIJ60" s="280">
        <v>0</v>
      </c>
      <c r="OIK60" s="280">
        <v>0</v>
      </c>
      <c r="OIL60" s="280">
        <v>0</v>
      </c>
      <c r="OIM60" s="280">
        <v>0</v>
      </c>
      <c r="OIN60" s="280">
        <v>0</v>
      </c>
      <c r="OIO60" s="280">
        <v>0</v>
      </c>
      <c r="OIP60" s="280">
        <v>0</v>
      </c>
      <c r="OIQ60" s="280">
        <v>0</v>
      </c>
      <c r="OIR60" s="280">
        <v>0</v>
      </c>
      <c r="OIS60" s="280">
        <v>0</v>
      </c>
      <c r="OIT60" s="280">
        <v>0</v>
      </c>
      <c r="OIU60" s="280">
        <v>0</v>
      </c>
      <c r="OIV60" s="280">
        <v>0</v>
      </c>
      <c r="OIW60" s="280">
        <v>0</v>
      </c>
      <c r="OIX60" s="280">
        <v>0</v>
      </c>
      <c r="OIY60" s="280">
        <v>0</v>
      </c>
      <c r="OIZ60" s="280">
        <v>0</v>
      </c>
      <c r="OJA60" s="280">
        <v>0</v>
      </c>
      <c r="OJB60" s="280">
        <v>0</v>
      </c>
      <c r="OJC60" s="280">
        <v>0</v>
      </c>
      <c r="OJD60" s="280">
        <v>0</v>
      </c>
      <c r="OJE60" s="280">
        <v>0</v>
      </c>
      <c r="OJF60" s="280">
        <v>0</v>
      </c>
      <c r="OJG60" s="280">
        <v>0</v>
      </c>
      <c r="OJH60" s="280">
        <v>0</v>
      </c>
      <c r="OJI60" s="280">
        <v>0</v>
      </c>
      <c r="OJJ60" s="280">
        <v>0</v>
      </c>
      <c r="OJK60" s="280">
        <v>0</v>
      </c>
      <c r="OJL60" s="280">
        <v>0</v>
      </c>
      <c r="OJM60" s="280">
        <v>0</v>
      </c>
      <c r="OJN60" s="280">
        <v>0</v>
      </c>
      <c r="OJO60" s="280">
        <v>0</v>
      </c>
      <c r="OJP60" s="280">
        <v>0</v>
      </c>
      <c r="OJQ60" s="280">
        <v>0</v>
      </c>
      <c r="OJR60" s="280">
        <v>0</v>
      </c>
      <c r="OJS60" s="280">
        <v>0</v>
      </c>
      <c r="OJT60" s="280">
        <v>0</v>
      </c>
      <c r="OJU60" s="280">
        <v>0</v>
      </c>
      <c r="OJV60" s="280">
        <v>0</v>
      </c>
      <c r="OJW60" s="280">
        <v>0</v>
      </c>
      <c r="OJX60" s="280">
        <v>0</v>
      </c>
      <c r="OJY60" s="280">
        <v>0</v>
      </c>
      <c r="OJZ60" s="280">
        <v>0</v>
      </c>
      <c r="OKA60" s="280">
        <v>0</v>
      </c>
      <c r="OKB60" s="280">
        <v>0</v>
      </c>
      <c r="OKC60" s="280">
        <v>0</v>
      </c>
      <c r="OKD60" s="280">
        <v>0</v>
      </c>
      <c r="OKE60" s="280">
        <v>0</v>
      </c>
      <c r="OKF60" s="280">
        <v>0</v>
      </c>
      <c r="OKG60" s="280">
        <v>0</v>
      </c>
      <c r="OKH60" s="280">
        <v>0</v>
      </c>
      <c r="OKI60" s="280">
        <v>0</v>
      </c>
      <c r="OKJ60" s="280">
        <v>0</v>
      </c>
      <c r="OKK60" s="280">
        <v>0</v>
      </c>
      <c r="OKL60" s="280">
        <v>0</v>
      </c>
      <c r="OKM60" s="280">
        <v>0</v>
      </c>
      <c r="OKN60" s="280">
        <v>0</v>
      </c>
      <c r="OKO60" s="280">
        <v>0</v>
      </c>
      <c r="OKP60" s="280">
        <v>0</v>
      </c>
      <c r="OKQ60" s="280">
        <v>0</v>
      </c>
      <c r="OKR60" s="280">
        <v>0</v>
      </c>
      <c r="OKS60" s="280">
        <v>0</v>
      </c>
      <c r="OKT60" s="280">
        <v>0</v>
      </c>
      <c r="OKU60" s="280">
        <v>0</v>
      </c>
      <c r="OKV60" s="280">
        <v>0</v>
      </c>
      <c r="OKW60" s="280">
        <v>0</v>
      </c>
      <c r="OKX60" s="280">
        <v>0</v>
      </c>
      <c r="OKY60" s="280">
        <v>0</v>
      </c>
      <c r="OKZ60" s="280">
        <v>0</v>
      </c>
      <c r="OLA60" s="280">
        <v>0</v>
      </c>
      <c r="OLB60" s="280">
        <v>0</v>
      </c>
      <c r="OLC60" s="280">
        <v>0</v>
      </c>
      <c r="OLD60" s="280">
        <v>0</v>
      </c>
      <c r="OLE60" s="280">
        <v>0</v>
      </c>
      <c r="OLF60" s="280">
        <v>0</v>
      </c>
      <c r="OLG60" s="280">
        <v>0</v>
      </c>
      <c r="OLH60" s="280">
        <v>0</v>
      </c>
      <c r="OLI60" s="280">
        <v>0</v>
      </c>
      <c r="OLJ60" s="280">
        <v>0</v>
      </c>
      <c r="OLK60" s="280">
        <v>0</v>
      </c>
      <c r="OLL60" s="280">
        <v>0</v>
      </c>
      <c r="OLM60" s="280">
        <v>0</v>
      </c>
      <c r="OLN60" s="280">
        <v>0</v>
      </c>
      <c r="OLO60" s="280">
        <v>0</v>
      </c>
      <c r="OLP60" s="280">
        <v>0</v>
      </c>
      <c r="OLQ60" s="280">
        <v>0</v>
      </c>
      <c r="OLR60" s="280">
        <v>0</v>
      </c>
      <c r="OLS60" s="280">
        <v>0</v>
      </c>
      <c r="OLT60" s="280">
        <v>0</v>
      </c>
      <c r="OLU60" s="280">
        <v>0</v>
      </c>
      <c r="OLV60" s="280">
        <v>0</v>
      </c>
      <c r="OLW60" s="280">
        <v>0</v>
      </c>
      <c r="OLX60" s="280">
        <v>0</v>
      </c>
      <c r="OLY60" s="280">
        <v>0</v>
      </c>
      <c r="OLZ60" s="280">
        <v>0</v>
      </c>
      <c r="OMA60" s="280">
        <v>0</v>
      </c>
      <c r="OMB60" s="280">
        <v>0</v>
      </c>
      <c r="OMC60" s="280">
        <v>0</v>
      </c>
      <c r="OMD60" s="280">
        <v>0</v>
      </c>
      <c r="OME60" s="280">
        <v>0</v>
      </c>
      <c r="OMF60" s="280">
        <v>0</v>
      </c>
      <c r="OMG60" s="280">
        <v>0</v>
      </c>
      <c r="OMH60" s="280">
        <v>0</v>
      </c>
      <c r="OMI60" s="280">
        <v>0</v>
      </c>
      <c r="OMJ60" s="280">
        <v>0</v>
      </c>
      <c r="OMK60" s="280">
        <v>0</v>
      </c>
      <c r="OML60" s="280">
        <v>0</v>
      </c>
      <c r="OMM60" s="280">
        <v>0</v>
      </c>
      <c r="OMN60" s="280">
        <v>0</v>
      </c>
      <c r="OMO60" s="280">
        <v>0</v>
      </c>
      <c r="OMP60" s="280">
        <v>0</v>
      </c>
      <c r="OMQ60" s="280">
        <v>0</v>
      </c>
      <c r="OMR60" s="280">
        <v>0</v>
      </c>
      <c r="OMS60" s="280">
        <v>0</v>
      </c>
      <c r="OMT60" s="280">
        <v>0</v>
      </c>
      <c r="OMU60" s="280">
        <v>0</v>
      </c>
      <c r="OMV60" s="280">
        <v>0</v>
      </c>
      <c r="OMW60" s="280">
        <v>0</v>
      </c>
      <c r="OMX60" s="280">
        <v>0</v>
      </c>
      <c r="OMY60" s="280">
        <v>0</v>
      </c>
      <c r="OMZ60" s="280">
        <v>0</v>
      </c>
      <c r="ONA60" s="280">
        <v>0</v>
      </c>
      <c r="ONB60" s="280">
        <v>0</v>
      </c>
      <c r="ONC60" s="280">
        <v>0</v>
      </c>
      <c r="OND60" s="280">
        <v>0</v>
      </c>
      <c r="ONE60" s="280">
        <v>0</v>
      </c>
      <c r="ONF60" s="280">
        <v>0</v>
      </c>
      <c r="ONG60" s="280">
        <v>0</v>
      </c>
      <c r="ONH60" s="280">
        <v>0</v>
      </c>
      <c r="ONI60" s="280">
        <v>0</v>
      </c>
      <c r="ONJ60" s="280">
        <v>0</v>
      </c>
      <c r="ONK60" s="280">
        <v>0</v>
      </c>
      <c r="ONL60" s="280">
        <v>0</v>
      </c>
      <c r="ONM60" s="280">
        <v>0</v>
      </c>
      <c r="ONN60" s="280">
        <v>0</v>
      </c>
      <c r="ONO60" s="280">
        <v>0</v>
      </c>
      <c r="ONP60" s="280">
        <v>0</v>
      </c>
      <c r="ONQ60" s="280">
        <v>0</v>
      </c>
      <c r="ONR60" s="280">
        <v>0</v>
      </c>
      <c r="ONS60" s="280">
        <v>0</v>
      </c>
      <c r="ONT60" s="280">
        <v>0</v>
      </c>
      <c r="ONU60" s="280">
        <v>0</v>
      </c>
      <c r="ONV60" s="280">
        <v>0</v>
      </c>
      <c r="ONW60" s="280">
        <v>0</v>
      </c>
      <c r="ONX60" s="280">
        <v>0</v>
      </c>
      <c r="ONY60" s="280">
        <v>0</v>
      </c>
      <c r="ONZ60" s="280">
        <v>0</v>
      </c>
      <c r="OOA60" s="280">
        <v>0</v>
      </c>
      <c r="OOB60" s="280">
        <v>0</v>
      </c>
      <c r="OOC60" s="280">
        <v>0</v>
      </c>
      <c r="OOD60" s="280">
        <v>0</v>
      </c>
      <c r="OOE60" s="280">
        <v>0</v>
      </c>
      <c r="OOF60" s="280">
        <v>0</v>
      </c>
      <c r="OOG60" s="280">
        <v>0</v>
      </c>
      <c r="OOH60" s="280">
        <v>0</v>
      </c>
      <c r="OOI60" s="280">
        <v>0</v>
      </c>
      <c r="OOJ60" s="280">
        <v>0</v>
      </c>
      <c r="OOK60" s="280">
        <v>0</v>
      </c>
      <c r="OOL60" s="280">
        <v>0</v>
      </c>
      <c r="OOM60" s="280">
        <v>0</v>
      </c>
      <c r="OON60" s="280">
        <v>0</v>
      </c>
      <c r="OOO60" s="280">
        <v>0</v>
      </c>
      <c r="OOP60" s="280">
        <v>0</v>
      </c>
      <c r="OOQ60" s="280">
        <v>0</v>
      </c>
      <c r="OOR60" s="280">
        <v>0</v>
      </c>
      <c r="OOS60" s="280">
        <v>0</v>
      </c>
      <c r="OOT60" s="280">
        <v>0</v>
      </c>
      <c r="OOU60" s="280">
        <v>0</v>
      </c>
      <c r="OOV60" s="280">
        <v>0</v>
      </c>
      <c r="OOW60" s="280">
        <v>0</v>
      </c>
      <c r="OOX60" s="280">
        <v>0</v>
      </c>
      <c r="OOY60" s="280">
        <v>0</v>
      </c>
      <c r="OOZ60" s="280">
        <v>0</v>
      </c>
      <c r="OPA60" s="280">
        <v>0</v>
      </c>
      <c r="OPB60" s="280">
        <v>0</v>
      </c>
      <c r="OPC60" s="280">
        <v>0</v>
      </c>
      <c r="OPD60" s="280">
        <v>0</v>
      </c>
      <c r="OPE60" s="280">
        <v>0</v>
      </c>
      <c r="OPF60" s="280">
        <v>0</v>
      </c>
      <c r="OPG60" s="280">
        <v>0</v>
      </c>
      <c r="OPH60" s="280">
        <v>0</v>
      </c>
      <c r="OPI60" s="280">
        <v>0</v>
      </c>
      <c r="OPJ60" s="280">
        <v>0</v>
      </c>
      <c r="OPK60" s="280">
        <v>0</v>
      </c>
      <c r="OPL60" s="280">
        <v>0</v>
      </c>
      <c r="OPM60" s="280">
        <v>0</v>
      </c>
      <c r="OPN60" s="280">
        <v>0</v>
      </c>
      <c r="OPO60" s="280">
        <v>0</v>
      </c>
      <c r="OPP60" s="280">
        <v>0</v>
      </c>
      <c r="OPQ60" s="280">
        <v>0</v>
      </c>
      <c r="OPR60" s="280">
        <v>0</v>
      </c>
      <c r="OPS60" s="280">
        <v>0</v>
      </c>
      <c r="OPT60" s="280">
        <v>0</v>
      </c>
      <c r="OPU60" s="280">
        <v>0</v>
      </c>
      <c r="OPV60" s="280">
        <v>0</v>
      </c>
      <c r="OPW60" s="280">
        <v>0</v>
      </c>
      <c r="OPX60" s="280">
        <v>0</v>
      </c>
      <c r="OPY60" s="280">
        <v>0</v>
      </c>
      <c r="OPZ60" s="280">
        <v>0</v>
      </c>
      <c r="OQA60" s="280">
        <v>0</v>
      </c>
      <c r="OQB60" s="280">
        <v>0</v>
      </c>
      <c r="OQC60" s="280">
        <v>0</v>
      </c>
      <c r="OQD60" s="280">
        <v>0</v>
      </c>
      <c r="OQE60" s="280">
        <v>0</v>
      </c>
      <c r="OQF60" s="280">
        <v>0</v>
      </c>
      <c r="OQG60" s="280">
        <v>0</v>
      </c>
      <c r="OQH60" s="280">
        <v>0</v>
      </c>
      <c r="OQI60" s="280">
        <v>0</v>
      </c>
      <c r="OQJ60" s="280">
        <v>0</v>
      </c>
      <c r="OQK60" s="280">
        <v>0</v>
      </c>
      <c r="OQL60" s="280">
        <v>0</v>
      </c>
      <c r="OQM60" s="280">
        <v>0</v>
      </c>
      <c r="OQN60" s="280">
        <v>0</v>
      </c>
      <c r="OQO60" s="280">
        <v>0</v>
      </c>
      <c r="OQP60" s="280">
        <v>0</v>
      </c>
      <c r="OQQ60" s="280">
        <v>0</v>
      </c>
      <c r="OQR60" s="280">
        <v>0</v>
      </c>
      <c r="OQS60" s="280">
        <v>0</v>
      </c>
      <c r="OQT60" s="280">
        <v>0</v>
      </c>
      <c r="OQU60" s="280">
        <v>0</v>
      </c>
      <c r="OQV60" s="280">
        <v>0</v>
      </c>
      <c r="OQW60" s="280">
        <v>0</v>
      </c>
      <c r="OQX60" s="280">
        <v>0</v>
      </c>
      <c r="OQY60" s="280">
        <v>0</v>
      </c>
      <c r="OQZ60" s="280">
        <v>0</v>
      </c>
      <c r="ORA60" s="280">
        <v>0</v>
      </c>
      <c r="ORB60" s="280">
        <v>0</v>
      </c>
      <c r="ORC60" s="280">
        <v>0</v>
      </c>
      <c r="ORD60" s="280">
        <v>0</v>
      </c>
      <c r="ORE60" s="280">
        <v>0</v>
      </c>
      <c r="ORF60" s="280">
        <v>0</v>
      </c>
      <c r="ORG60" s="280">
        <v>0</v>
      </c>
      <c r="ORH60" s="280">
        <v>0</v>
      </c>
      <c r="ORI60" s="280">
        <v>0</v>
      </c>
      <c r="ORJ60" s="280">
        <v>0</v>
      </c>
      <c r="ORK60" s="280">
        <v>0</v>
      </c>
      <c r="ORL60" s="280">
        <v>0</v>
      </c>
      <c r="ORM60" s="280">
        <v>0</v>
      </c>
      <c r="ORN60" s="280">
        <v>0</v>
      </c>
      <c r="ORO60" s="280">
        <v>0</v>
      </c>
      <c r="ORP60" s="280">
        <v>0</v>
      </c>
      <c r="ORQ60" s="280">
        <v>0</v>
      </c>
      <c r="ORR60" s="280">
        <v>0</v>
      </c>
      <c r="ORS60" s="280">
        <v>0</v>
      </c>
      <c r="ORT60" s="280">
        <v>0</v>
      </c>
      <c r="ORU60" s="280">
        <v>0</v>
      </c>
      <c r="ORV60" s="280">
        <v>0</v>
      </c>
      <c r="ORW60" s="280">
        <v>0</v>
      </c>
      <c r="ORX60" s="280">
        <v>0</v>
      </c>
      <c r="ORY60" s="280">
        <v>0</v>
      </c>
      <c r="ORZ60" s="280">
        <v>0</v>
      </c>
      <c r="OSA60" s="280">
        <v>0</v>
      </c>
      <c r="OSB60" s="280">
        <v>0</v>
      </c>
      <c r="OSC60" s="280">
        <v>0</v>
      </c>
      <c r="OSD60" s="280">
        <v>0</v>
      </c>
      <c r="OSE60" s="280">
        <v>0</v>
      </c>
      <c r="OSF60" s="280">
        <v>0</v>
      </c>
      <c r="OSG60" s="280">
        <v>0</v>
      </c>
      <c r="OSH60" s="280">
        <v>0</v>
      </c>
      <c r="OSI60" s="280">
        <v>0</v>
      </c>
      <c r="OSJ60" s="280">
        <v>0</v>
      </c>
      <c r="OSK60" s="280">
        <v>0</v>
      </c>
      <c r="OSL60" s="280">
        <v>0</v>
      </c>
      <c r="OSM60" s="280">
        <v>0</v>
      </c>
      <c r="OSN60" s="280">
        <v>0</v>
      </c>
      <c r="OSO60" s="280">
        <v>0</v>
      </c>
      <c r="OSP60" s="280">
        <v>0</v>
      </c>
      <c r="OSQ60" s="280">
        <v>0</v>
      </c>
      <c r="OSR60" s="280">
        <v>0</v>
      </c>
      <c r="OSS60" s="280">
        <v>0</v>
      </c>
      <c r="OST60" s="280">
        <v>0</v>
      </c>
      <c r="OSU60" s="280">
        <v>0</v>
      </c>
      <c r="OSV60" s="280">
        <v>0</v>
      </c>
      <c r="OSW60" s="280">
        <v>0</v>
      </c>
      <c r="OSX60" s="280">
        <v>0</v>
      </c>
      <c r="OSY60" s="280">
        <v>0</v>
      </c>
      <c r="OSZ60" s="280">
        <v>0</v>
      </c>
      <c r="OTA60" s="280">
        <v>0</v>
      </c>
      <c r="OTB60" s="280">
        <v>0</v>
      </c>
      <c r="OTC60" s="280">
        <v>0</v>
      </c>
      <c r="OTD60" s="280">
        <v>0</v>
      </c>
      <c r="OTE60" s="280">
        <v>0</v>
      </c>
      <c r="OTF60" s="280">
        <v>0</v>
      </c>
      <c r="OTG60" s="280">
        <v>0</v>
      </c>
      <c r="OTH60" s="280">
        <v>0</v>
      </c>
      <c r="OTI60" s="280">
        <v>0</v>
      </c>
      <c r="OTJ60" s="280">
        <v>0</v>
      </c>
      <c r="OTK60" s="280">
        <v>0</v>
      </c>
      <c r="OTL60" s="280">
        <v>0</v>
      </c>
      <c r="OTM60" s="280">
        <v>0</v>
      </c>
      <c r="OTN60" s="280">
        <v>0</v>
      </c>
      <c r="OTO60" s="280">
        <v>0</v>
      </c>
      <c r="OTP60" s="280">
        <v>0</v>
      </c>
      <c r="OTQ60" s="280">
        <v>0</v>
      </c>
      <c r="OTR60" s="280">
        <v>0</v>
      </c>
      <c r="OTS60" s="280">
        <v>0</v>
      </c>
      <c r="OTT60" s="280">
        <v>0</v>
      </c>
      <c r="OTU60" s="280">
        <v>0</v>
      </c>
      <c r="OTV60" s="280">
        <v>0</v>
      </c>
      <c r="OTW60" s="280">
        <v>0</v>
      </c>
      <c r="OTX60" s="280">
        <v>0</v>
      </c>
      <c r="OTY60" s="280">
        <v>0</v>
      </c>
      <c r="OTZ60" s="280">
        <v>0</v>
      </c>
      <c r="OUA60" s="280">
        <v>0</v>
      </c>
      <c r="OUB60" s="280">
        <v>0</v>
      </c>
      <c r="OUC60" s="280">
        <v>0</v>
      </c>
      <c r="OUD60" s="280">
        <v>0</v>
      </c>
      <c r="OUE60" s="280">
        <v>0</v>
      </c>
      <c r="OUF60" s="280">
        <v>0</v>
      </c>
      <c r="OUG60" s="280">
        <v>0</v>
      </c>
      <c r="OUH60" s="280">
        <v>0</v>
      </c>
      <c r="OUI60" s="280">
        <v>0</v>
      </c>
      <c r="OUJ60" s="280">
        <v>0</v>
      </c>
      <c r="OUK60" s="280">
        <v>0</v>
      </c>
      <c r="OUL60" s="280">
        <v>0</v>
      </c>
      <c r="OUM60" s="280">
        <v>0</v>
      </c>
      <c r="OUN60" s="280">
        <v>0</v>
      </c>
      <c r="OUO60" s="280">
        <v>0</v>
      </c>
      <c r="OUP60" s="280">
        <v>0</v>
      </c>
      <c r="OUQ60" s="280">
        <v>0</v>
      </c>
      <c r="OUR60" s="280">
        <v>0</v>
      </c>
      <c r="OUS60" s="280">
        <v>0</v>
      </c>
      <c r="OUT60" s="280">
        <v>0</v>
      </c>
      <c r="OUU60" s="280">
        <v>0</v>
      </c>
      <c r="OUV60" s="280">
        <v>0</v>
      </c>
      <c r="OUW60" s="280">
        <v>0</v>
      </c>
      <c r="OUX60" s="280">
        <v>0</v>
      </c>
      <c r="OUY60" s="280">
        <v>0</v>
      </c>
      <c r="OUZ60" s="280">
        <v>0</v>
      </c>
      <c r="OVA60" s="280">
        <v>0</v>
      </c>
      <c r="OVB60" s="280">
        <v>0</v>
      </c>
      <c r="OVC60" s="280">
        <v>0</v>
      </c>
      <c r="OVD60" s="280">
        <v>0</v>
      </c>
      <c r="OVE60" s="280">
        <v>0</v>
      </c>
      <c r="OVF60" s="280">
        <v>0</v>
      </c>
      <c r="OVG60" s="280">
        <v>0</v>
      </c>
      <c r="OVH60" s="280">
        <v>0</v>
      </c>
      <c r="OVI60" s="280">
        <v>0</v>
      </c>
      <c r="OVJ60" s="280">
        <v>0</v>
      </c>
      <c r="OVK60" s="280">
        <v>0</v>
      </c>
      <c r="OVL60" s="280">
        <v>0</v>
      </c>
      <c r="OVM60" s="280">
        <v>0</v>
      </c>
      <c r="OVN60" s="280">
        <v>0</v>
      </c>
      <c r="OVO60" s="280">
        <v>0</v>
      </c>
      <c r="OVP60" s="280">
        <v>0</v>
      </c>
      <c r="OVQ60" s="280">
        <v>0</v>
      </c>
      <c r="OVR60" s="280">
        <v>0</v>
      </c>
      <c r="OVS60" s="280">
        <v>0</v>
      </c>
      <c r="OVT60" s="280">
        <v>0</v>
      </c>
      <c r="OVU60" s="280">
        <v>0</v>
      </c>
      <c r="OVV60" s="280">
        <v>0</v>
      </c>
      <c r="OVW60" s="280">
        <v>0</v>
      </c>
      <c r="OVX60" s="280">
        <v>0</v>
      </c>
      <c r="OVY60" s="280">
        <v>0</v>
      </c>
      <c r="OVZ60" s="280">
        <v>0</v>
      </c>
      <c r="OWA60" s="280">
        <v>0</v>
      </c>
      <c r="OWB60" s="280">
        <v>0</v>
      </c>
      <c r="OWC60" s="280">
        <v>0</v>
      </c>
      <c r="OWD60" s="280">
        <v>0</v>
      </c>
      <c r="OWE60" s="280">
        <v>0</v>
      </c>
      <c r="OWF60" s="280">
        <v>0</v>
      </c>
      <c r="OWG60" s="280">
        <v>0</v>
      </c>
      <c r="OWH60" s="280">
        <v>0</v>
      </c>
      <c r="OWI60" s="280">
        <v>0</v>
      </c>
      <c r="OWJ60" s="280">
        <v>0</v>
      </c>
      <c r="OWK60" s="280">
        <v>0</v>
      </c>
      <c r="OWL60" s="280">
        <v>0</v>
      </c>
      <c r="OWM60" s="280">
        <v>0</v>
      </c>
      <c r="OWN60" s="280">
        <v>0</v>
      </c>
      <c r="OWO60" s="280">
        <v>0</v>
      </c>
      <c r="OWP60" s="280">
        <v>0</v>
      </c>
      <c r="OWQ60" s="280">
        <v>0</v>
      </c>
      <c r="OWR60" s="280">
        <v>0</v>
      </c>
      <c r="OWS60" s="280">
        <v>0</v>
      </c>
      <c r="OWT60" s="280">
        <v>0</v>
      </c>
      <c r="OWU60" s="280">
        <v>0</v>
      </c>
      <c r="OWV60" s="280">
        <v>0</v>
      </c>
      <c r="OWW60" s="280">
        <v>0</v>
      </c>
      <c r="OWX60" s="280">
        <v>0</v>
      </c>
      <c r="OWY60" s="280">
        <v>0</v>
      </c>
      <c r="OWZ60" s="280">
        <v>0</v>
      </c>
      <c r="OXA60" s="280">
        <v>0</v>
      </c>
      <c r="OXB60" s="280">
        <v>0</v>
      </c>
      <c r="OXC60" s="280">
        <v>0</v>
      </c>
      <c r="OXD60" s="280">
        <v>0</v>
      </c>
      <c r="OXE60" s="280">
        <v>0</v>
      </c>
      <c r="OXF60" s="280">
        <v>0</v>
      </c>
      <c r="OXG60" s="280">
        <v>0</v>
      </c>
      <c r="OXH60" s="280">
        <v>0</v>
      </c>
      <c r="OXI60" s="280">
        <v>0</v>
      </c>
      <c r="OXJ60" s="280">
        <v>0</v>
      </c>
      <c r="OXK60" s="280">
        <v>0</v>
      </c>
      <c r="OXL60" s="280">
        <v>0</v>
      </c>
      <c r="OXM60" s="280">
        <v>0</v>
      </c>
      <c r="OXN60" s="280">
        <v>0</v>
      </c>
      <c r="OXO60" s="280">
        <v>0</v>
      </c>
      <c r="OXP60" s="280">
        <v>0</v>
      </c>
      <c r="OXQ60" s="280">
        <v>0</v>
      </c>
      <c r="OXR60" s="280">
        <v>0</v>
      </c>
      <c r="OXS60" s="280">
        <v>0</v>
      </c>
      <c r="OXT60" s="280">
        <v>0</v>
      </c>
      <c r="OXU60" s="280">
        <v>0</v>
      </c>
      <c r="OXV60" s="280">
        <v>0</v>
      </c>
      <c r="OXW60" s="280">
        <v>0</v>
      </c>
      <c r="OXX60" s="280">
        <v>0</v>
      </c>
      <c r="OXY60" s="280">
        <v>0</v>
      </c>
      <c r="OXZ60" s="280">
        <v>0</v>
      </c>
      <c r="OYA60" s="280">
        <v>0</v>
      </c>
      <c r="OYB60" s="280">
        <v>0</v>
      </c>
      <c r="OYC60" s="280">
        <v>0</v>
      </c>
      <c r="OYD60" s="280">
        <v>0</v>
      </c>
      <c r="OYE60" s="280">
        <v>0</v>
      </c>
      <c r="OYF60" s="280">
        <v>0</v>
      </c>
      <c r="OYG60" s="280">
        <v>0</v>
      </c>
      <c r="OYH60" s="280">
        <v>0</v>
      </c>
      <c r="OYI60" s="280">
        <v>0</v>
      </c>
      <c r="OYJ60" s="280">
        <v>0</v>
      </c>
      <c r="OYK60" s="280">
        <v>0</v>
      </c>
      <c r="OYL60" s="280">
        <v>0</v>
      </c>
      <c r="OYM60" s="280">
        <v>0</v>
      </c>
      <c r="OYN60" s="280">
        <v>0</v>
      </c>
      <c r="OYO60" s="280">
        <v>0</v>
      </c>
      <c r="OYP60" s="280">
        <v>0</v>
      </c>
      <c r="OYQ60" s="280">
        <v>0</v>
      </c>
      <c r="OYR60" s="280">
        <v>0</v>
      </c>
      <c r="OYS60" s="280">
        <v>0</v>
      </c>
      <c r="OYT60" s="280">
        <v>0</v>
      </c>
      <c r="OYU60" s="280">
        <v>0</v>
      </c>
      <c r="OYV60" s="280">
        <v>0</v>
      </c>
      <c r="OYW60" s="280">
        <v>0</v>
      </c>
      <c r="OYX60" s="280">
        <v>0</v>
      </c>
      <c r="OYY60" s="280">
        <v>0</v>
      </c>
      <c r="OYZ60" s="280">
        <v>0</v>
      </c>
      <c r="OZA60" s="280">
        <v>0</v>
      </c>
      <c r="OZB60" s="280">
        <v>0</v>
      </c>
      <c r="OZC60" s="280">
        <v>0</v>
      </c>
      <c r="OZD60" s="280">
        <v>0</v>
      </c>
      <c r="OZE60" s="280">
        <v>0</v>
      </c>
      <c r="OZF60" s="280">
        <v>0</v>
      </c>
      <c r="OZG60" s="280">
        <v>0</v>
      </c>
      <c r="OZH60" s="280">
        <v>0</v>
      </c>
      <c r="OZI60" s="280">
        <v>0</v>
      </c>
      <c r="OZJ60" s="280">
        <v>0</v>
      </c>
      <c r="OZK60" s="280">
        <v>0</v>
      </c>
      <c r="OZL60" s="280">
        <v>0</v>
      </c>
      <c r="OZM60" s="280">
        <v>0</v>
      </c>
      <c r="OZN60" s="280">
        <v>0</v>
      </c>
      <c r="OZO60" s="280">
        <v>0</v>
      </c>
      <c r="OZP60" s="280">
        <v>0</v>
      </c>
      <c r="OZQ60" s="280">
        <v>0</v>
      </c>
      <c r="OZR60" s="280">
        <v>0</v>
      </c>
      <c r="OZS60" s="280">
        <v>0</v>
      </c>
      <c r="OZT60" s="280">
        <v>0</v>
      </c>
      <c r="OZU60" s="280">
        <v>0</v>
      </c>
      <c r="OZV60" s="280">
        <v>0</v>
      </c>
      <c r="OZW60" s="280">
        <v>0</v>
      </c>
      <c r="OZX60" s="280">
        <v>0</v>
      </c>
      <c r="OZY60" s="280">
        <v>0</v>
      </c>
      <c r="OZZ60" s="280">
        <v>0</v>
      </c>
      <c r="PAA60" s="280">
        <v>0</v>
      </c>
      <c r="PAB60" s="280">
        <v>0</v>
      </c>
      <c r="PAC60" s="280">
        <v>0</v>
      </c>
      <c r="PAD60" s="280">
        <v>0</v>
      </c>
      <c r="PAE60" s="280">
        <v>0</v>
      </c>
      <c r="PAF60" s="280">
        <v>0</v>
      </c>
      <c r="PAG60" s="280">
        <v>0</v>
      </c>
      <c r="PAH60" s="280">
        <v>0</v>
      </c>
      <c r="PAI60" s="280">
        <v>0</v>
      </c>
      <c r="PAJ60" s="280">
        <v>0</v>
      </c>
      <c r="PAK60" s="280">
        <v>0</v>
      </c>
      <c r="PAL60" s="280">
        <v>0</v>
      </c>
      <c r="PAM60" s="280">
        <v>0</v>
      </c>
      <c r="PAN60" s="280">
        <v>0</v>
      </c>
      <c r="PAO60" s="280">
        <v>0</v>
      </c>
      <c r="PAP60" s="280">
        <v>0</v>
      </c>
      <c r="PAQ60" s="280">
        <v>0</v>
      </c>
      <c r="PAR60" s="280">
        <v>0</v>
      </c>
      <c r="PAS60" s="280">
        <v>0</v>
      </c>
      <c r="PAT60" s="280">
        <v>0</v>
      </c>
      <c r="PAU60" s="280">
        <v>0</v>
      </c>
      <c r="PAV60" s="280">
        <v>0</v>
      </c>
      <c r="PAW60" s="280">
        <v>0</v>
      </c>
      <c r="PAX60" s="280">
        <v>0</v>
      </c>
      <c r="PAY60" s="280">
        <v>0</v>
      </c>
      <c r="PAZ60" s="280">
        <v>0</v>
      </c>
      <c r="PBA60" s="280">
        <v>0</v>
      </c>
      <c r="PBB60" s="280">
        <v>0</v>
      </c>
      <c r="PBC60" s="280">
        <v>0</v>
      </c>
      <c r="PBD60" s="280">
        <v>0</v>
      </c>
      <c r="PBE60" s="280">
        <v>0</v>
      </c>
      <c r="PBF60" s="280">
        <v>0</v>
      </c>
      <c r="PBG60" s="280">
        <v>0</v>
      </c>
      <c r="PBH60" s="280">
        <v>0</v>
      </c>
      <c r="PBI60" s="280">
        <v>0</v>
      </c>
      <c r="PBJ60" s="280">
        <v>0</v>
      </c>
      <c r="PBK60" s="280">
        <v>0</v>
      </c>
      <c r="PBL60" s="280">
        <v>0</v>
      </c>
      <c r="PBM60" s="280">
        <v>0</v>
      </c>
      <c r="PBN60" s="280">
        <v>0</v>
      </c>
      <c r="PBO60" s="280">
        <v>0</v>
      </c>
      <c r="PBP60" s="280">
        <v>0</v>
      </c>
      <c r="PBQ60" s="280">
        <v>0</v>
      </c>
      <c r="PBR60" s="280">
        <v>0</v>
      </c>
      <c r="PBS60" s="280">
        <v>0</v>
      </c>
      <c r="PBT60" s="280">
        <v>0</v>
      </c>
      <c r="PBU60" s="280">
        <v>0</v>
      </c>
      <c r="PBV60" s="280">
        <v>0</v>
      </c>
      <c r="PBW60" s="280">
        <v>0</v>
      </c>
      <c r="PBX60" s="280">
        <v>0</v>
      </c>
      <c r="PBY60" s="280">
        <v>0</v>
      </c>
      <c r="PBZ60" s="280">
        <v>0</v>
      </c>
      <c r="PCA60" s="280">
        <v>0</v>
      </c>
      <c r="PCB60" s="280">
        <v>0</v>
      </c>
      <c r="PCC60" s="280">
        <v>0</v>
      </c>
      <c r="PCD60" s="280">
        <v>0</v>
      </c>
      <c r="PCE60" s="280">
        <v>0</v>
      </c>
      <c r="PCF60" s="280">
        <v>0</v>
      </c>
      <c r="PCG60" s="280">
        <v>0</v>
      </c>
      <c r="PCH60" s="280">
        <v>0</v>
      </c>
      <c r="PCI60" s="280">
        <v>0</v>
      </c>
      <c r="PCJ60" s="280">
        <v>0</v>
      </c>
      <c r="PCK60" s="280">
        <v>0</v>
      </c>
      <c r="PCL60" s="280">
        <v>0</v>
      </c>
      <c r="PCM60" s="280">
        <v>0</v>
      </c>
      <c r="PCN60" s="280">
        <v>0</v>
      </c>
      <c r="PCO60" s="280">
        <v>0</v>
      </c>
      <c r="PCP60" s="280">
        <v>0</v>
      </c>
      <c r="PCQ60" s="280">
        <v>0</v>
      </c>
      <c r="PCR60" s="280">
        <v>0</v>
      </c>
      <c r="PCS60" s="280">
        <v>0</v>
      </c>
      <c r="PCT60" s="280">
        <v>0</v>
      </c>
      <c r="PCU60" s="280">
        <v>0</v>
      </c>
      <c r="PCV60" s="280">
        <v>0</v>
      </c>
      <c r="PCW60" s="280">
        <v>0</v>
      </c>
      <c r="PCX60" s="280">
        <v>0</v>
      </c>
      <c r="PCY60" s="280">
        <v>0</v>
      </c>
      <c r="PCZ60" s="280">
        <v>0</v>
      </c>
      <c r="PDA60" s="280">
        <v>0</v>
      </c>
      <c r="PDB60" s="280">
        <v>0</v>
      </c>
      <c r="PDC60" s="280">
        <v>0</v>
      </c>
      <c r="PDD60" s="280">
        <v>0</v>
      </c>
      <c r="PDE60" s="280">
        <v>0</v>
      </c>
      <c r="PDF60" s="280">
        <v>0</v>
      </c>
      <c r="PDG60" s="280">
        <v>0</v>
      </c>
      <c r="PDH60" s="280">
        <v>0</v>
      </c>
      <c r="PDI60" s="280">
        <v>0</v>
      </c>
      <c r="PDJ60" s="280">
        <v>0</v>
      </c>
      <c r="PDK60" s="280">
        <v>0</v>
      </c>
      <c r="PDL60" s="280">
        <v>0</v>
      </c>
      <c r="PDM60" s="280">
        <v>0</v>
      </c>
      <c r="PDN60" s="280">
        <v>0</v>
      </c>
      <c r="PDO60" s="280">
        <v>0</v>
      </c>
      <c r="PDP60" s="280">
        <v>0</v>
      </c>
      <c r="PDQ60" s="280">
        <v>0</v>
      </c>
      <c r="PDR60" s="280">
        <v>0</v>
      </c>
      <c r="PDS60" s="280">
        <v>0</v>
      </c>
      <c r="PDT60" s="280">
        <v>0</v>
      </c>
      <c r="PDU60" s="280">
        <v>0</v>
      </c>
      <c r="PDV60" s="280">
        <v>0</v>
      </c>
      <c r="PDW60" s="280">
        <v>0</v>
      </c>
      <c r="PDX60" s="280">
        <v>0</v>
      </c>
      <c r="PDY60" s="280">
        <v>0</v>
      </c>
      <c r="PDZ60" s="280">
        <v>0</v>
      </c>
      <c r="PEA60" s="280">
        <v>0</v>
      </c>
      <c r="PEB60" s="280">
        <v>0</v>
      </c>
      <c r="PEC60" s="280">
        <v>0</v>
      </c>
      <c r="PED60" s="280">
        <v>0</v>
      </c>
      <c r="PEE60" s="280">
        <v>0</v>
      </c>
      <c r="PEF60" s="280">
        <v>0</v>
      </c>
      <c r="PEG60" s="280">
        <v>0</v>
      </c>
      <c r="PEH60" s="280">
        <v>0</v>
      </c>
      <c r="PEI60" s="280">
        <v>0</v>
      </c>
      <c r="PEJ60" s="280">
        <v>0</v>
      </c>
      <c r="PEK60" s="280">
        <v>0</v>
      </c>
      <c r="PEL60" s="280">
        <v>0</v>
      </c>
      <c r="PEM60" s="280">
        <v>0</v>
      </c>
      <c r="PEN60" s="280">
        <v>0</v>
      </c>
      <c r="PEO60" s="280">
        <v>0</v>
      </c>
      <c r="PEP60" s="280">
        <v>0</v>
      </c>
      <c r="PEQ60" s="280">
        <v>0</v>
      </c>
      <c r="PER60" s="280">
        <v>0</v>
      </c>
      <c r="PES60" s="280">
        <v>0</v>
      </c>
      <c r="PET60" s="280">
        <v>0</v>
      </c>
      <c r="PEU60" s="280">
        <v>0</v>
      </c>
      <c r="PEV60" s="280">
        <v>0</v>
      </c>
      <c r="PEW60" s="280">
        <v>0</v>
      </c>
      <c r="PEX60" s="280">
        <v>0</v>
      </c>
      <c r="PEY60" s="280">
        <v>0</v>
      </c>
      <c r="PEZ60" s="280">
        <v>0</v>
      </c>
      <c r="PFA60" s="280">
        <v>0</v>
      </c>
      <c r="PFB60" s="280">
        <v>0</v>
      </c>
      <c r="PFC60" s="280">
        <v>0</v>
      </c>
      <c r="PFD60" s="280">
        <v>0</v>
      </c>
      <c r="PFE60" s="280">
        <v>0</v>
      </c>
      <c r="PFF60" s="280">
        <v>0</v>
      </c>
      <c r="PFG60" s="280">
        <v>0</v>
      </c>
      <c r="PFH60" s="280">
        <v>0</v>
      </c>
      <c r="PFI60" s="280">
        <v>0</v>
      </c>
      <c r="PFJ60" s="280">
        <v>0</v>
      </c>
      <c r="PFK60" s="280">
        <v>0</v>
      </c>
      <c r="PFL60" s="280">
        <v>0</v>
      </c>
      <c r="PFM60" s="280">
        <v>0</v>
      </c>
      <c r="PFN60" s="280">
        <v>0</v>
      </c>
      <c r="PFO60" s="280">
        <v>0</v>
      </c>
      <c r="PFP60" s="280">
        <v>0</v>
      </c>
      <c r="PFQ60" s="280">
        <v>0</v>
      </c>
      <c r="PFR60" s="280">
        <v>0</v>
      </c>
      <c r="PFS60" s="280">
        <v>0</v>
      </c>
      <c r="PFT60" s="280">
        <v>0</v>
      </c>
      <c r="PFU60" s="280">
        <v>0</v>
      </c>
      <c r="PFV60" s="280">
        <v>0</v>
      </c>
      <c r="PFW60" s="280">
        <v>0</v>
      </c>
      <c r="PFX60" s="280">
        <v>0</v>
      </c>
      <c r="PFY60" s="280">
        <v>0</v>
      </c>
      <c r="PFZ60" s="280">
        <v>0</v>
      </c>
      <c r="PGA60" s="280">
        <v>0</v>
      </c>
      <c r="PGB60" s="280">
        <v>0</v>
      </c>
      <c r="PGC60" s="280">
        <v>0</v>
      </c>
      <c r="PGD60" s="280">
        <v>0</v>
      </c>
      <c r="PGE60" s="280">
        <v>0</v>
      </c>
      <c r="PGF60" s="280">
        <v>0</v>
      </c>
      <c r="PGG60" s="280">
        <v>0</v>
      </c>
      <c r="PGH60" s="280">
        <v>0</v>
      </c>
      <c r="PGI60" s="280">
        <v>0</v>
      </c>
      <c r="PGJ60" s="280">
        <v>0</v>
      </c>
      <c r="PGK60" s="280">
        <v>0</v>
      </c>
      <c r="PGL60" s="280">
        <v>0</v>
      </c>
      <c r="PGM60" s="280">
        <v>0</v>
      </c>
      <c r="PGN60" s="280">
        <v>0</v>
      </c>
      <c r="PGO60" s="280">
        <v>0</v>
      </c>
      <c r="PGP60" s="280">
        <v>0</v>
      </c>
      <c r="PGQ60" s="280">
        <v>0</v>
      </c>
      <c r="PGR60" s="280">
        <v>0</v>
      </c>
      <c r="PGS60" s="280">
        <v>0</v>
      </c>
      <c r="PGT60" s="280">
        <v>0</v>
      </c>
      <c r="PGU60" s="280">
        <v>0</v>
      </c>
      <c r="PGV60" s="280">
        <v>0</v>
      </c>
      <c r="PGW60" s="280">
        <v>0</v>
      </c>
      <c r="PGX60" s="280">
        <v>0</v>
      </c>
      <c r="PGY60" s="280">
        <v>0</v>
      </c>
      <c r="PGZ60" s="280">
        <v>0</v>
      </c>
      <c r="PHA60" s="280">
        <v>0</v>
      </c>
      <c r="PHB60" s="280">
        <v>0</v>
      </c>
      <c r="PHC60" s="280">
        <v>0</v>
      </c>
      <c r="PHD60" s="280">
        <v>0</v>
      </c>
      <c r="PHE60" s="280">
        <v>0</v>
      </c>
      <c r="PHF60" s="280">
        <v>0</v>
      </c>
      <c r="PHG60" s="280">
        <v>0</v>
      </c>
      <c r="PHH60" s="280">
        <v>0</v>
      </c>
      <c r="PHI60" s="280">
        <v>0</v>
      </c>
      <c r="PHJ60" s="280">
        <v>0</v>
      </c>
      <c r="PHK60" s="280">
        <v>0</v>
      </c>
      <c r="PHL60" s="280">
        <v>0</v>
      </c>
      <c r="PHM60" s="280">
        <v>0</v>
      </c>
      <c r="PHN60" s="280">
        <v>0</v>
      </c>
      <c r="PHO60" s="280">
        <v>0</v>
      </c>
      <c r="PHP60" s="280">
        <v>0</v>
      </c>
      <c r="PHQ60" s="280">
        <v>0</v>
      </c>
      <c r="PHR60" s="280">
        <v>0</v>
      </c>
      <c r="PHS60" s="280">
        <v>0</v>
      </c>
      <c r="PHT60" s="280">
        <v>0</v>
      </c>
      <c r="PHU60" s="280">
        <v>0</v>
      </c>
      <c r="PHV60" s="280">
        <v>0</v>
      </c>
      <c r="PHW60" s="280">
        <v>0</v>
      </c>
      <c r="PHX60" s="280">
        <v>0</v>
      </c>
      <c r="PHY60" s="280">
        <v>0</v>
      </c>
      <c r="PHZ60" s="280">
        <v>0</v>
      </c>
      <c r="PIA60" s="280">
        <v>0</v>
      </c>
      <c r="PIB60" s="280">
        <v>0</v>
      </c>
      <c r="PIC60" s="280">
        <v>0</v>
      </c>
      <c r="PID60" s="280">
        <v>0</v>
      </c>
      <c r="PIE60" s="280">
        <v>0</v>
      </c>
      <c r="PIF60" s="280">
        <v>0</v>
      </c>
      <c r="PIG60" s="280">
        <v>0</v>
      </c>
      <c r="PIH60" s="280">
        <v>0</v>
      </c>
      <c r="PII60" s="280">
        <v>0</v>
      </c>
      <c r="PIJ60" s="280">
        <v>0</v>
      </c>
      <c r="PIK60" s="280">
        <v>0</v>
      </c>
      <c r="PIL60" s="280">
        <v>0</v>
      </c>
      <c r="PIM60" s="280">
        <v>0</v>
      </c>
      <c r="PIN60" s="280">
        <v>0</v>
      </c>
      <c r="PIO60" s="280">
        <v>0</v>
      </c>
      <c r="PIP60" s="280">
        <v>0</v>
      </c>
      <c r="PIQ60" s="280">
        <v>0</v>
      </c>
      <c r="PIR60" s="280">
        <v>0</v>
      </c>
      <c r="PIS60" s="280">
        <v>0</v>
      </c>
      <c r="PIT60" s="280">
        <v>0</v>
      </c>
      <c r="PIU60" s="280">
        <v>0</v>
      </c>
      <c r="PIV60" s="280">
        <v>0</v>
      </c>
      <c r="PIW60" s="280">
        <v>0</v>
      </c>
      <c r="PIX60" s="280">
        <v>0</v>
      </c>
      <c r="PIY60" s="280">
        <v>0</v>
      </c>
      <c r="PIZ60" s="280">
        <v>0</v>
      </c>
      <c r="PJA60" s="280">
        <v>0</v>
      </c>
      <c r="PJB60" s="280">
        <v>0</v>
      </c>
      <c r="PJC60" s="280">
        <v>0</v>
      </c>
      <c r="PJD60" s="280">
        <v>0</v>
      </c>
      <c r="PJE60" s="280">
        <v>0</v>
      </c>
      <c r="PJF60" s="280">
        <v>0</v>
      </c>
      <c r="PJG60" s="280">
        <v>0</v>
      </c>
      <c r="PJH60" s="280">
        <v>0</v>
      </c>
      <c r="PJI60" s="280">
        <v>0</v>
      </c>
      <c r="PJJ60" s="280">
        <v>0</v>
      </c>
      <c r="PJK60" s="280">
        <v>0</v>
      </c>
      <c r="PJL60" s="280">
        <v>0</v>
      </c>
      <c r="PJM60" s="280">
        <v>0</v>
      </c>
      <c r="PJN60" s="280">
        <v>0</v>
      </c>
      <c r="PJO60" s="280">
        <v>0</v>
      </c>
      <c r="PJP60" s="280">
        <v>0</v>
      </c>
      <c r="PJQ60" s="280">
        <v>0</v>
      </c>
      <c r="PJR60" s="280">
        <v>0</v>
      </c>
      <c r="PJS60" s="280">
        <v>0</v>
      </c>
      <c r="PJT60" s="280">
        <v>0</v>
      </c>
      <c r="PJU60" s="280">
        <v>0</v>
      </c>
      <c r="PJV60" s="280">
        <v>0</v>
      </c>
      <c r="PJW60" s="280">
        <v>0</v>
      </c>
      <c r="PJX60" s="280">
        <v>0</v>
      </c>
      <c r="PJY60" s="280">
        <v>0</v>
      </c>
      <c r="PJZ60" s="280">
        <v>0</v>
      </c>
      <c r="PKA60" s="280">
        <v>0</v>
      </c>
      <c r="PKB60" s="280">
        <v>0</v>
      </c>
      <c r="PKC60" s="280">
        <v>0</v>
      </c>
      <c r="PKD60" s="280">
        <v>0</v>
      </c>
      <c r="PKE60" s="280">
        <v>0</v>
      </c>
      <c r="PKF60" s="280">
        <v>0</v>
      </c>
      <c r="PKG60" s="280">
        <v>0</v>
      </c>
      <c r="PKH60" s="280">
        <v>0</v>
      </c>
      <c r="PKI60" s="280">
        <v>0</v>
      </c>
      <c r="PKJ60" s="280">
        <v>0</v>
      </c>
      <c r="PKK60" s="280">
        <v>0</v>
      </c>
      <c r="PKL60" s="280">
        <v>0</v>
      </c>
      <c r="PKM60" s="280">
        <v>0</v>
      </c>
      <c r="PKN60" s="280">
        <v>0</v>
      </c>
      <c r="PKO60" s="280">
        <v>0</v>
      </c>
      <c r="PKP60" s="280">
        <v>0</v>
      </c>
      <c r="PKQ60" s="280">
        <v>0</v>
      </c>
      <c r="PKR60" s="280">
        <v>0</v>
      </c>
      <c r="PKS60" s="280">
        <v>0</v>
      </c>
      <c r="PKT60" s="280">
        <v>0</v>
      </c>
      <c r="PKU60" s="280">
        <v>0</v>
      </c>
      <c r="PKV60" s="280">
        <v>0</v>
      </c>
      <c r="PKW60" s="280">
        <v>0</v>
      </c>
      <c r="PKX60" s="280">
        <v>0</v>
      </c>
      <c r="PKY60" s="280">
        <v>0</v>
      </c>
      <c r="PKZ60" s="280">
        <v>0</v>
      </c>
      <c r="PLA60" s="280">
        <v>0</v>
      </c>
      <c r="PLB60" s="280">
        <v>0</v>
      </c>
      <c r="PLC60" s="280">
        <v>0</v>
      </c>
      <c r="PLD60" s="280">
        <v>0</v>
      </c>
      <c r="PLE60" s="280">
        <v>0</v>
      </c>
      <c r="PLF60" s="280">
        <v>0</v>
      </c>
      <c r="PLG60" s="280">
        <v>0</v>
      </c>
      <c r="PLH60" s="280">
        <v>0</v>
      </c>
      <c r="PLI60" s="280">
        <v>0</v>
      </c>
      <c r="PLJ60" s="280">
        <v>0</v>
      </c>
      <c r="PLK60" s="280">
        <v>0</v>
      </c>
      <c r="PLL60" s="280">
        <v>0</v>
      </c>
      <c r="PLM60" s="280">
        <v>0</v>
      </c>
      <c r="PLN60" s="280">
        <v>0</v>
      </c>
      <c r="PLO60" s="280">
        <v>0</v>
      </c>
      <c r="PLP60" s="280">
        <v>0</v>
      </c>
      <c r="PLQ60" s="280">
        <v>0</v>
      </c>
      <c r="PLR60" s="280">
        <v>0</v>
      </c>
      <c r="PLS60" s="280">
        <v>0</v>
      </c>
      <c r="PLT60" s="280">
        <v>0</v>
      </c>
      <c r="PLU60" s="280">
        <v>0</v>
      </c>
      <c r="PLV60" s="280">
        <v>0</v>
      </c>
      <c r="PLW60" s="280">
        <v>0</v>
      </c>
      <c r="PLX60" s="280">
        <v>0</v>
      </c>
      <c r="PLY60" s="280">
        <v>0</v>
      </c>
      <c r="PLZ60" s="280">
        <v>0</v>
      </c>
      <c r="PMA60" s="280">
        <v>0</v>
      </c>
      <c r="PMB60" s="280">
        <v>0</v>
      </c>
      <c r="PMC60" s="280">
        <v>0</v>
      </c>
      <c r="PMD60" s="280">
        <v>0</v>
      </c>
      <c r="PME60" s="280">
        <v>0</v>
      </c>
      <c r="PMF60" s="280">
        <v>0</v>
      </c>
      <c r="PMG60" s="280">
        <v>0</v>
      </c>
      <c r="PMH60" s="280">
        <v>0</v>
      </c>
      <c r="PMI60" s="280">
        <v>0</v>
      </c>
      <c r="PMJ60" s="280">
        <v>0</v>
      </c>
      <c r="PMK60" s="280">
        <v>0</v>
      </c>
      <c r="PML60" s="280">
        <v>0</v>
      </c>
      <c r="PMM60" s="280">
        <v>0</v>
      </c>
      <c r="PMN60" s="280">
        <v>0</v>
      </c>
      <c r="PMO60" s="280">
        <v>0</v>
      </c>
      <c r="PMP60" s="280">
        <v>0</v>
      </c>
      <c r="PMQ60" s="280">
        <v>0</v>
      </c>
      <c r="PMR60" s="280">
        <v>0</v>
      </c>
      <c r="PMS60" s="280">
        <v>0</v>
      </c>
      <c r="PMT60" s="280">
        <v>0</v>
      </c>
      <c r="PMU60" s="280">
        <v>0</v>
      </c>
      <c r="PMV60" s="280">
        <v>0</v>
      </c>
      <c r="PMW60" s="280">
        <v>0</v>
      </c>
      <c r="PMX60" s="280">
        <v>0</v>
      </c>
      <c r="PMY60" s="280">
        <v>0</v>
      </c>
      <c r="PMZ60" s="280">
        <v>0</v>
      </c>
      <c r="PNA60" s="280">
        <v>0</v>
      </c>
      <c r="PNB60" s="280">
        <v>0</v>
      </c>
      <c r="PNC60" s="280">
        <v>0</v>
      </c>
      <c r="PND60" s="280">
        <v>0</v>
      </c>
      <c r="PNE60" s="280">
        <v>0</v>
      </c>
      <c r="PNF60" s="280">
        <v>0</v>
      </c>
      <c r="PNG60" s="280">
        <v>0</v>
      </c>
      <c r="PNH60" s="280">
        <v>0</v>
      </c>
      <c r="PNI60" s="280">
        <v>0</v>
      </c>
      <c r="PNJ60" s="280">
        <v>0</v>
      </c>
      <c r="PNK60" s="280">
        <v>0</v>
      </c>
      <c r="PNL60" s="280">
        <v>0</v>
      </c>
      <c r="PNM60" s="280">
        <v>0</v>
      </c>
      <c r="PNN60" s="280">
        <v>0</v>
      </c>
      <c r="PNO60" s="280">
        <v>0</v>
      </c>
      <c r="PNP60" s="280">
        <v>0</v>
      </c>
      <c r="PNQ60" s="280">
        <v>0</v>
      </c>
      <c r="PNR60" s="280">
        <v>0</v>
      </c>
      <c r="PNS60" s="280">
        <v>0</v>
      </c>
      <c r="PNT60" s="280">
        <v>0</v>
      </c>
      <c r="PNU60" s="280">
        <v>0</v>
      </c>
      <c r="PNV60" s="280">
        <v>0</v>
      </c>
      <c r="PNW60" s="280">
        <v>0</v>
      </c>
      <c r="PNX60" s="280">
        <v>0</v>
      </c>
      <c r="PNY60" s="280">
        <v>0</v>
      </c>
      <c r="PNZ60" s="280">
        <v>0</v>
      </c>
      <c r="POA60" s="280">
        <v>0</v>
      </c>
      <c r="POB60" s="280">
        <v>0</v>
      </c>
      <c r="POC60" s="280">
        <v>0</v>
      </c>
      <c r="POD60" s="280">
        <v>0</v>
      </c>
      <c r="POE60" s="280">
        <v>0</v>
      </c>
      <c r="POF60" s="280">
        <v>0</v>
      </c>
      <c r="POG60" s="280">
        <v>0</v>
      </c>
      <c r="POH60" s="280">
        <v>0</v>
      </c>
      <c r="POI60" s="280">
        <v>0</v>
      </c>
      <c r="POJ60" s="280">
        <v>0</v>
      </c>
      <c r="POK60" s="280">
        <v>0</v>
      </c>
      <c r="POL60" s="280">
        <v>0</v>
      </c>
      <c r="POM60" s="280">
        <v>0</v>
      </c>
      <c r="PON60" s="280">
        <v>0</v>
      </c>
      <c r="POO60" s="280">
        <v>0</v>
      </c>
      <c r="POP60" s="280">
        <v>0</v>
      </c>
      <c r="POQ60" s="280">
        <v>0</v>
      </c>
      <c r="POR60" s="280">
        <v>0</v>
      </c>
      <c r="POS60" s="280">
        <v>0</v>
      </c>
      <c r="POT60" s="280">
        <v>0</v>
      </c>
      <c r="POU60" s="280">
        <v>0</v>
      </c>
      <c r="POV60" s="280">
        <v>0</v>
      </c>
      <c r="POW60" s="280">
        <v>0</v>
      </c>
      <c r="POX60" s="280">
        <v>0</v>
      </c>
      <c r="POY60" s="280">
        <v>0</v>
      </c>
      <c r="POZ60" s="280">
        <v>0</v>
      </c>
      <c r="PPA60" s="280">
        <v>0</v>
      </c>
      <c r="PPB60" s="280">
        <v>0</v>
      </c>
      <c r="PPC60" s="280">
        <v>0</v>
      </c>
      <c r="PPD60" s="280">
        <v>0</v>
      </c>
      <c r="PPE60" s="280">
        <v>0</v>
      </c>
      <c r="PPF60" s="280">
        <v>0</v>
      </c>
      <c r="PPG60" s="280">
        <v>0</v>
      </c>
      <c r="PPH60" s="280">
        <v>0</v>
      </c>
      <c r="PPI60" s="280">
        <v>0</v>
      </c>
      <c r="PPJ60" s="280">
        <v>0</v>
      </c>
      <c r="PPK60" s="280">
        <v>0</v>
      </c>
      <c r="PPL60" s="280">
        <v>0</v>
      </c>
      <c r="PPM60" s="280">
        <v>0</v>
      </c>
      <c r="PPN60" s="280">
        <v>0</v>
      </c>
      <c r="PPO60" s="280">
        <v>0</v>
      </c>
      <c r="PPP60" s="280">
        <v>0</v>
      </c>
      <c r="PPQ60" s="280">
        <v>0</v>
      </c>
      <c r="PPR60" s="280">
        <v>0</v>
      </c>
      <c r="PPS60" s="280">
        <v>0</v>
      </c>
      <c r="PPT60" s="280">
        <v>0</v>
      </c>
      <c r="PPU60" s="280">
        <v>0</v>
      </c>
      <c r="PPV60" s="280">
        <v>0</v>
      </c>
      <c r="PPW60" s="280">
        <v>0</v>
      </c>
      <c r="PPX60" s="280">
        <v>0</v>
      </c>
      <c r="PPY60" s="280">
        <v>0</v>
      </c>
      <c r="PPZ60" s="280">
        <v>0</v>
      </c>
      <c r="PQA60" s="280">
        <v>0</v>
      </c>
      <c r="PQB60" s="280">
        <v>0</v>
      </c>
      <c r="PQC60" s="280">
        <v>0</v>
      </c>
      <c r="PQD60" s="280">
        <v>0</v>
      </c>
      <c r="PQE60" s="280">
        <v>0</v>
      </c>
      <c r="PQF60" s="280">
        <v>0</v>
      </c>
      <c r="PQG60" s="280">
        <v>0</v>
      </c>
      <c r="PQH60" s="280">
        <v>0</v>
      </c>
      <c r="PQI60" s="280">
        <v>0</v>
      </c>
      <c r="PQJ60" s="280">
        <v>0</v>
      </c>
      <c r="PQK60" s="280">
        <v>0</v>
      </c>
      <c r="PQL60" s="280">
        <v>0</v>
      </c>
      <c r="PQM60" s="280">
        <v>0</v>
      </c>
      <c r="PQN60" s="280">
        <v>0</v>
      </c>
      <c r="PQO60" s="280">
        <v>0</v>
      </c>
      <c r="PQP60" s="280">
        <v>0</v>
      </c>
      <c r="PQQ60" s="280">
        <v>0</v>
      </c>
      <c r="PQR60" s="280">
        <v>0</v>
      </c>
      <c r="PQS60" s="280">
        <v>0</v>
      </c>
      <c r="PQT60" s="280">
        <v>0</v>
      </c>
      <c r="PQU60" s="280">
        <v>0</v>
      </c>
      <c r="PQV60" s="280">
        <v>0</v>
      </c>
      <c r="PQW60" s="280">
        <v>0</v>
      </c>
      <c r="PQX60" s="280">
        <v>0</v>
      </c>
      <c r="PQY60" s="280">
        <v>0</v>
      </c>
      <c r="PQZ60" s="280">
        <v>0</v>
      </c>
      <c r="PRA60" s="280">
        <v>0</v>
      </c>
      <c r="PRB60" s="280">
        <v>0</v>
      </c>
      <c r="PRC60" s="280">
        <v>0</v>
      </c>
      <c r="PRD60" s="280">
        <v>0</v>
      </c>
      <c r="PRE60" s="280">
        <v>0</v>
      </c>
      <c r="PRF60" s="280">
        <v>0</v>
      </c>
      <c r="PRG60" s="280">
        <v>0</v>
      </c>
      <c r="PRH60" s="280">
        <v>0</v>
      </c>
      <c r="PRI60" s="280">
        <v>0</v>
      </c>
      <c r="PRJ60" s="280">
        <v>0</v>
      </c>
      <c r="PRK60" s="280">
        <v>0</v>
      </c>
      <c r="PRL60" s="280">
        <v>0</v>
      </c>
      <c r="PRM60" s="280">
        <v>0</v>
      </c>
      <c r="PRN60" s="280">
        <v>0</v>
      </c>
      <c r="PRO60" s="280">
        <v>0</v>
      </c>
      <c r="PRP60" s="280">
        <v>0</v>
      </c>
      <c r="PRQ60" s="280">
        <v>0</v>
      </c>
      <c r="PRR60" s="280">
        <v>0</v>
      </c>
      <c r="PRS60" s="280">
        <v>0</v>
      </c>
      <c r="PRT60" s="280">
        <v>0</v>
      </c>
      <c r="PRU60" s="280">
        <v>0</v>
      </c>
      <c r="PRV60" s="280">
        <v>0</v>
      </c>
      <c r="PRW60" s="280">
        <v>0</v>
      </c>
      <c r="PRX60" s="280">
        <v>0</v>
      </c>
      <c r="PRY60" s="280">
        <v>0</v>
      </c>
      <c r="PRZ60" s="280">
        <v>0</v>
      </c>
      <c r="PSA60" s="280">
        <v>0</v>
      </c>
      <c r="PSB60" s="280">
        <v>0</v>
      </c>
      <c r="PSC60" s="280">
        <v>0</v>
      </c>
      <c r="PSD60" s="280">
        <v>0</v>
      </c>
      <c r="PSE60" s="280">
        <v>0</v>
      </c>
      <c r="PSF60" s="280">
        <v>0</v>
      </c>
      <c r="PSG60" s="280">
        <v>0</v>
      </c>
      <c r="PSH60" s="280">
        <v>0</v>
      </c>
      <c r="PSI60" s="280">
        <v>0</v>
      </c>
      <c r="PSJ60" s="280">
        <v>0</v>
      </c>
      <c r="PSK60" s="280">
        <v>0</v>
      </c>
      <c r="PSL60" s="280">
        <v>0</v>
      </c>
      <c r="PSM60" s="280">
        <v>0</v>
      </c>
      <c r="PSN60" s="280">
        <v>0</v>
      </c>
      <c r="PSO60" s="280">
        <v>0</v>
      </c>
      <c r="PSP60" s="280">
        <v>0</v>
      </c>
      <c r="PSQ60" s="280">
        <v>0</v>
      </c>
      <c r="PSR60" s="280">
        <v>0</v>
      </c>
      <c r="PSS60" s="280">
        <v>0</v>
      </c>
      <c r="PST60" s="280">
        <v>0</v>
      </c>
      <c r="PSU60" s="280">
        <v>0</v>
      </c>
      <c r="PSV60" s="280">
        <v>0</v>
      </c>
      <c r="PSW60" s="280">
        <v>0</v>
      </c>
      <c r="PSX60" s="280">
        <v>0</v>
      </c>
      <c r="PSY60" s="280">
        <v>0</v>
      </c>
      <c r="PSZ60" s="280">
        <v>0</v>
      </c>
      <c r="PTA60" s="280">
        <v>0</v>
      </c>
      <c r="PTB60" s="280">
        <v>0</v>
      </c>
      <c r="PTC60" s="280">
        <v>0</v>
      </c>
      <c r="PTD60" s="280">
        <v>0</v>
      </c>
      <c r="PTE60" s="280">
        <v>0</v>
      </c>
      <c r="PTF60" s="280">
        <v>0</v>
      </c>
      <c r="PTG60" s="280">
        <v>0</v>
      </c>
      <c r="PTH60" s="280">
        <v>0</v>
      </c>
      <c r="PTI60" s="280">
        <v>0</v>
      </c>
      <c r="PTJ60" s="280">
        <v>0</v>
      </c>
      <c r="PTK60" s="280">
        <v>0</v>
      </c>
      <c r="PTL60" s="280">
        <v>0</v>
      </c>
      <c r="PTM60" s="280">
        <v>0</v>
      </c>
      <c r="PTN60" s="280">
        <v>0</v>
      </c>
      <c r="PTO60" s="280">
        <v>0</v>
      </c>
      <c r="PTP60" s="280">
        <v>0</v>
      </c>
      <c r="PTQ60" s="280">
        <v>0</v>
      </c>
      <c r="PTR60" s="280">
        <v>0</v>
      </c>
      <c r="PTS60" s="280">
        <v>0</v>
      </c>
      <c r="PTT60" s="280">
        <v>0</v>
      </c>
      <c r="PTU60" s="280">
        <v>0</v>
      </c>
      <c r="PTV60" s="280">
        <v>0</v>
      </c>
      <c r="PTW60" s="280">
        <v>0</v>
      </c>
      <c r="PTX60" s="280">
        <v>0</v>
      </c>
      <c r="PTY60" s="280">
        <v>0</v>
      </c>
      <c r="PTZ60" s="280">
        <v>0</v>
      </c>
      <c r="PUA60" s="280">
        <v>0</v>
      </c>
      <c r="PUB60" s="280">
        <v>0</v>
      </c>
      <c r="PUC60" s="280">
        <v>0</v>
      </c>
      <c r="PUD60" s="280">
        <v>0</v>
      </c>
      <c r="PUE60" s="280">
        <v>0</v>
      </c>
      <c r="PUF60" s="280">
        <v>0</v>
      </c>
      <c r="PUG60" s="280">
        <v>0</v>
      </c>
      <c r="PUH60" s="280">
        <v>0</v>
      </c>
      <c r="PUI60" s="280">
        <v>0</v>
      </c>
      <c r="PUJ60" s="280">
        <v>0</v>
      </c>
      <c r="PUK60" s="280">
        <v>0</v>
      </c>
      <c r="PUL60" s="280">
        <v>0</v>
      </c>
      <c r="PUM60" s="280">
        <v>0</v>
      </c>
      <c r="PUN60" s="280">
        <v>0</v>
      </c>
      <c r="PUO60" s="280">
        <v>0</v>
      </c>
      <c r="PUP60" s="280">
        <v>0</v>
      </c>
      <c r="PUQ60" s="280">
        <v>0</v>
      </c>
      <c r="PUR60" s="280">
        <v>0</v>
      </c>
      <c r="PUS60" s="280">
        <v>0</v>
      </c>
      <c r="PUT60" s="280">
        <v>0</v>
      </c>
      <c r="PUU60" s="280">
        <v>0</v>
      </c>
      <c r="PUV60" s="280">
        <v>0</v>
      </c>
      <c r="PUW60" s="280">
        <v>0</v>
      </c>
      <c r="PUX60" s="280">
        <v>0</v>
      </c>
      <c r="PUY60" s="280">
        <v>0</v>
      </c>
      <c r="PUZ60" s="280">
        <v>0</v>
      </c>
      <c r="PVA60" s="280">
        <v>0</v>
      </c>
      <c r="PVB60" s="280">
        <v>0</v>
      </c>
      <c r="PVC60" s="280">
        <v>0</v>
      </c>
      <c r="PVD60" s="280">
        <v>0</v>
      </c>
      <c r="PVE60" s="280">
        <v>0</v>
      </c>
      <c r="PVF60" s="280">
        <v>0</v>
      </c>
      <c r="PVG60" s="280">
        <v>0</v>
      </c>
      <c r="PVH60" s="280">
        <v>0</v>
      </c>
      <c r="PVI60" s="280">
        <v>0</v>
      </c>
      <c r="PVJ60" s="280">
        <v>0</v>
      </c>
      <c r="PVK60" s="280">
        <v>0</v>
      </c>
      <c r="PVL60" s="280">
        <v>0</v>
      </c>
      <c r="PVM60" s="280">
        <v>0</v>
      </c>
      <c r="PVN60" s="280">
        <v>0</v>
      </c>
      <c r="PVO60" s="280">
        <v>0</v>
      </c>
      <c r="PVP60" s="280">
        <v>0</v>
      </c>
      <c r="PVQ60" s="280">
        <v>0</v>
      </c>
      <c r="PVR60" s="280">
        <v>0</v>
      </c>
      <c r="PVS60" s="280">
        <v>0</v>
      </c>
      <c r="PVT60" s="280">
        <v>0</v>
      </c>
      <c r="PVU60" s="280">
        <v>0</v>
      </c>
      <c r="PVV60" s="280">
        <v>0</v>
      </c>
      <c r="PVW60" s="280">
        <v>0</v>
      </c>
      <c r="PVX60" s="280">
        <v>0</v>
      </c>
      <c r="PVY60" s="280">
        <v>0</v>
      </c>
      <c r="PVZ60" s="280">
        <v>0</v>
      </c>
      <c r="PWA60" s="280">
        <v>0</v>
      </c>
      <c r="PWB60" s="280">
        <v>0</v>
      </c>
      <c r="PWC60" s="280">
        <v>0</v>
      </c>
      <c r="PWD60" s="280">
        <v>0</v>
      </c>
      <c r="PWE60" s="280">
        <v>0</v>
      </c>
      <c r="PWF60" s="280">
        <v>0</v>
      </c>
      <c r="PWG60" s="280">
        <v>0</v>
      </c>
      <c r="PWH60" s="280">
        <v>0</v>
      </c>
      <c r="PWI60" s="280">
        <v>0</v>
      </c>
      <c r="PWJ60" s="280">
        <v>0</v>
      </c>
      <c r="PWK60" s="280">
        <v>0</v>
      </c>
      <c r="PWL60" s="280">
        <v>0</v>
      </c>
      <c r="PWM60" s="280">
        <v>0</v>
      </c>
      <c r="PWN60" s="280">
        <v>0</v>
      </c>
      <c r="PWO60" s="280">
        <v>0</v>
      </c>
      <c r="PWP60" s="280">
        <v>0</v>
      </c>
      <c r="PWQ60" s="280">
        <v>0</v>
      </c>
      <c r="PWR60" s="280">
        <v>0</v>
      </c>
      <c r="PWS60" s="280">
        <v>0</v>
      </c>
      <c r="PWT60" s="280">
        <v>0</v>
      </c>
      <c r="PWU60" s="280">
        <v>0</v>
      </c>
      <c r="PWV60" s="280">
        <v>0</v>
      </c>
      <c r="PWW60" s="280">
        <v>0</v>
      </c>
      <c r="PWX60" s="280">
        <v>0</v>
      </c>
      <c r="PWY60" s="280">
        <v>0</v>
      </c>
      <c r="PWZ60" s="280">
        <v>0</v>
      </c>
      <c r="PXA60" s="280">
        <v>0</v>
      </c>
      <c r="PXB60" s="280">
        <v>0</v>
      </c>
      <c r="PXC60" s="280">
        <v>0</v>
      </c>
      <c r="PXD60" s="280">
        <v>0</v>
      </c>
      <c r="PXE60" s="280">
        <v>0</v>
      </c>
      <c r="PXF60" s="280">
        <v>0</v>
      </c>
      <c r="PXG60" s="280">
        <v>0</v>
      </c>
      <c r="PXH60" s="280">
        <v>0</v>
      </c>
      <c r="PXI60" s="280">
        <v>0</v>
      </c>
      <c r="PXJ60" s="280">
        <v>0</v>
      </c>
      <c r="PXK60" s="280">
        <v>0</v>
      </c>
      <c r="PXL60" s="280">
        <v>0</v>
      </c>
      <c r="PXM60" s="280">
        <v>0</v>
      </c>
      <c r="PXN60" s="280">
        <v>0</v>
      </c>
      <c r="PXO60" s="280">
        <v>0</v>
      </c>
      <c r="PXP60" s="280">
        <v>0</v>
      </c>
      <c r="PXQ60" s="280">
        <v>0</v>
      </c>
      <c r="PXR60" s="280">
        <v>0</v>
      </c>
      <c r="PXS60" s="280">
        <v>0</v>
      </c>
      <c r="PXT60" s="280">
        <v>0</v>
      </c>
      <c r="PXU60" s="280">
        <v>0</v>
      </c>
      <c r="PXV60" s="280">
        <v>0</v>
      </c>
      <c r="PXW60" s="280">
        <v>0</v>
      </c>
      <c r="PXX60" s="280">
        <v>0</v>
      </c>
      <c r="PXY60" s="280">
        <v>0</v>
      </c>
      <c r="PXZ60" s="280">
        <v>0</v>
      </c>
      <c r="PYA60" s="280">
        <v>0</v>
      </c>
      <c r="PYB60" s="280">
        <v>0</v>
      </c>
      <c r="PYC60" s="280">
        <v>0</v>
      </c>
      <c r="PYD60" s="280">
        <v>0</v>
      </c>
      <c r="PYE60" s="280">
        <v>0</v>
      </c>
      <c r="PYF60" s="280">
        <v>0</v>
      </c>
      <c r="PYG60" s="280">
        <v>0</v>
      </c>
      <c r="PYH60" s="280">
        <v>0</v>
      </c>
      <c r="PYI60" s="280">
        <v>0</v>
      </c>
      <c r="PYJ60" s="280">
        <v>0</v>
      </c>
      <c r="PYK60" s="280">
        <v>0</v>
      </c>
      <c r="PYL60" s="280">
        <v>0</v>
      </c>
      <c r="PYM60" s="280">
        <v>0</v>
      </c>
      <c r="PYN60" s="280">
        <v>0</v>
      </c>
      <c r="PYO60" s="280">
        <v>0</v>
      </c>
      <c r="PYP60" s="280">
        <v>0</v>
      </c>
      <c r="PYQ60" s="280">
        <v>0</v>
      </c>
      <c r="PYR60" s="280">
        <v>0</v>
      </c>
      <c r="PYS60" s="280">
        <v>0</v>
      </c>
      <c r="PYT60" s="280">
        <v>0</v>
      </c>
      <c r="PYU60" s="280">
        <v>0</v>
      </c>
      <c r="PYV60" s="280">
        <v>0</v>
      </c>
      <c r="PYW60" s="280">
        <v>0</v>
      </c>
      <c r="PYX60" s="280">
        <v>0</v>
      </c>
      <c r="PYY60" s="280">
        <v>0</v>
      </c>
      <c r="PYZ60" s="280">
        <v>0</v>
      </c>
      <c r="PZA60" s="280">
        <v>0</v>
      </c>
      <c r="PZB60" s="280">
        <v>0</v>
      </c>
      <c r="PZC60" s="280">
        <v>0</v>
      </c>
      <c r="PZD60" s="280">
        <v>0</v>
      </c>
      <c r="PZE60" s="280">
        <v>0</v>
      </c>
      <c r="PZF60" s="280">
        <v>0</v>
      </c>
      <c r="PZG60" s="280">
        <v>0</v>
      </c>
      <c r="PZH60" s="280">
        <v>0</v>
      </c>
      <c r="PZI60" s="280">
        <v>0</v>
      </c>
      <c r="PZJ60" s="280">
        <v>0</v>
      </c>
      <c r="PZK60" s="280">
        <v>0</v>
      </c>
      <c r="PZL60" s="280">
        <v>0</v>
      </c>
      <c r="PZM60" s="280">
        <v>0</v>
      </c>
      <c r="PZN60" s="280">
        <v>0</v>
      </c>
      <c r="PZO60" s="280">
        <v>0</v>
      </c>
      <c r="PZP60" s="280">
        <v>0</v>
      </c>
      <c r="PZQ60" s="280">
        <v>0</v>
      </c>
      <c r="PZR60" s="280">
        <v>0</v>
      </c>
      <c r="PZS60" s="280">
        <v>0</v>
      </c>
      <c r="PZT60" s="280">
        <v>0</v>
      </c>
      <c r="PZU60" s="280">
        <v>0</v>
      </c>
      <c r="PZV60" s="280">
        <v>0</v>
      </c>
      <c r="PZW60" s="280">
        <v>0</v>
      </c>
      <c r="PZX60" s="280">
        <v>0</v>
      </c>
      <c r="PZY60" s="280">
        <v>0</v>
      </c>
      <c r="PZZ60" s="280">
        <v>0</v>
      </c>
      <c r="QAA60" s="280">
        <v>0</v>
      </c>
      <c r="QAB60" s="280">
        <v>0</v>
      </c>
      <c r="QAC60" s="280">
        <v>0</v>
      </c>
      <c r="QAD60" s="280">
        <v>0</v>
      </c>
      <c r="QAE60" s="280">
        <v>0</v>
      </c>
      <c r="QAF60" s="280">
        <v>0</v>
      </c>
      <c r="QAG60" s="280">
        <v>0</v>
      </c>
      <c r="QAH60" s="280">
        <v>0</v>
      </c>
      <c r="QAI60" s="280">
        <v>0</v>
      </c>
      <c r="QAJ60" s="280">
        <v>0</v>
      </c>
      <c r="QAK60" s="280">
        <v>0</v>
      </c>
      <c r="QAL60" s="280">
        <v>0</v>
      </c>
      <c r="QAM60" s="280">
        <v>0</v>
      </c>
      <c r="QAN60" s="280">
        <v>0</v>
      </c>
      <c r="QAO60" s="280">
        <v>0</v>
      </c>
      <c r="QAP60" s="280">
        <v>0</v>
      </c>
      <c r="QAQ60" s="280">
        <v>0</v>
      </c>
      <c r="QAR60" s="280">
        <v>0</v>
      </c>
      <c r="QAS60" s="280">
        <v>0</v>
      </c>
      <c r="QAT60" s="280">
        <v>0</v>
      </c>
      <c r="QAU60" s="280">
        <v>0</v>
      </c>
      <c r="QAV60" s="280">
        <v>0</v>
      </c>
      <c r="QAW60" s="280">
        <v>0</v>
      </c>
      <c r="QAX60" s="280">
        <v>0</v>
      </c>
      <c r="QAY60" s="280">
        <v>0</v>
      </c>
      <c r="QAZ60" s="280">
        <v>0</v>
      </c>
      <c r="QBA60" s="280">
        <v>0</v>
      </c>
      <c r="QBB60" s="280">
        <v>0</v>
      </c>
      <c r="QBC60" s="280">
        <v>0</v>
      </c>
      <c r="QBD60" s="280">
        <v>0</v>
      </c>
      <c r="QBE60" s="280">
        <v>0</v>
      </c>
      <c r="QBF60" s="280">
        <v>0</v>
      </c>
      <c r="QBG60" s="280">
        <v>0</v>
      </c>
      <c r="QBH60" s="280">
        <v>0</v>
      </c>
      <c r="QBI60" s="280">
        <v>0</v>
      </c>
      <c r="QBJ60" s="280">
        <v>0</v>
      </c>
      <c r="QBK60" s="280">
        <v>0</v>
      </c>
      <c r="QBL60" s="280">
        <v>0</v>
      </c>
      <c r="QBM60" s="280">
        <v>0</v>
      </c>
      <c r="QBN60" s="280">
        <v>0</v>
      </c>
      <c r="QBO60" s="280">
        <v>0</v>
      </c>
      <c r="QBP60" s="280">
        <v>0</v>
      </c>
      <c r="QBQ60" s="280">
        <v>0</v>
      </c>
      <c r="QBR60" s="280">
        <v>0</v>
      </c>
      <c r="QBS60" s="280">
        <v>0</v>
      </c>
      <c r="QBT60" s="280">
        <v>0</v>
      </c>
      <c r="QBU60" s="280">
        <v>0</v>
      </c>
      <c r="QBV60" s="280">
        <v>0</v>
      </c>
      <c r="QBW60" s="280">
        <v>0</v>
      </c>
      <c r="QBX60" s="280">
        <v>0</v>
      </c>
      <c r="QBY60" s="280">
        <v>0</v>
      </c>
      <c r="QBZ60" s="280">
        <v>0</v>
      </c>
      <c r="QCA60" s="280">
        <v>0</v>
      </c>
      <c r="QCB60" s="280">
        <v>0</v>
      </c>
      <c r="QCC60" s="280">
        <v>0</v>
      </c>
      <c r="QCD60" s="280">
        <v>0</v>
      </c>
      <c r="QCE60" s="280">
        <v>0</v>
      </c>
      <c r="QCF60" s="280">
        <v>0</v>
      </c>
      <c r="QCG60" s="280">
        <v>0</v>
      </c>
      <c r="QCH60" s="280">
        <v>0</v>
      </c>
      <c r="QCI60" s="280">
        <v>0</v>
      </c>
      <c r="QCJ60" s="280">
        <v>0</v>
      </c>
      <c r="QCK60" s="280">
        <v>0</v>
      </c>
      <c r="QCL60" s="280">
        <v>0</v>
      </c>
      <c r="QCM60" s="280">
        <v>0</v>
      </c>
      <c r="QCN60" s="280">
        <v>0</v>
      </c>
      <c r="QCO60" s="280">
        <v>0</v>
      </c>
      <c r="QCP60" s="280">
        <v>0</v>
      </c>
      <c r="QCQ60" s="280">
        <v>0</v>
      </c>
      <c r="QCR60" s="280">
        <v>0</v>
      </c>
      <c r="QCS60" s="280">
        <v>0</v>
      </c>
      <c r="QCT60" s="280">
        <v>0</v>
      </c>
      <c r="QCU60" s="280">
        <v>0</v>
      </c>
      <c r="QCV60" s="280">
        <v>0</v>
      </c>
      <c r="QCW60" s="280">
        <v>0</v>
      </c>
      <c r="QCX60" s="280">
        <v>0</v>
      </c>
      <c r="QCY60" s="280">
        <v>0</v>
      </c>
      <c r="QCZ60" s="280">
        <v>0</v>
      </c>
      <c r="QDA60" s="280">
        <v>0</v>
      </c>
      <c r="QDB60" s="280">
        <v>0</v>
      </c>
      <c r="QDC60" s="280">
        <v>0</v>
      </c>
      <c r="QDD60" s="280">
        <v>0</v>
      </c>
      <c r="QDE60" s="280">
        <v>0</v>
      </c>
      <c r="QDF60" s="280">
        <v>0</v>
      </c>
      <c r="QDG60" s="280">
        <v>0</v>
      </c>
      <c r="QDH60" s="280">
        <v>0</v>
      </c>
      <c r="QDI60" s="280">
        <v>0</v>
      </c>
      <c r="QDJ60" s="280">
        <v>0</v>
      </c>
      <c r="QDK60" s="280">
        <v>0</v>
      </c>
      <c r="QDL60" s="280">
        <v>0</v>
      </c>
      <c r="QDM60" s="280">
        <v>0</v>
      </c>
      <c r="QDN60" s="280">
        <v>0</v>
      </c>
      <c r="QDO60" s="280">
        <v>0</v>
      </c>
      <c r="QDP60" s="280">
        <v>0</v>
      </c>
      <c r="QDQ60" s="280">
        <v>0</v>
      </c>
      <c r="QDR60" s="280">
        <v>0</v>
      </c>
      <c r="QDS60" s="280">
        <v>0</v>
      </c>
      <c r="QDT60" s="280">
        <v>0</v>
      </c>
      <c r="QDU60" s="280">
        <v>0</v>
      </c>
      <c r="QDV60" s="280">
        <v>0</v>
      </c>
      <c r="QDW60" s="280">
        <v>0</v>
      </c>
      <c r="QDX60" s="280">
        <v>0</v>
      </c>
      <c r="QDY60" s="280">
        <v>0</v>
      </c>
      <c r="QDZ60" s="280">
        <v>0</v>
      </c>
      <c r="QEA60" s="280">
        <v>0</v>
      </c>
      <c r="QEB60" s="280">
        <v>0</v>
      </c>
      <c r="QEC60" s="280">
        <v>0</v>
      </c>
      <c r="QED60" s="280">
        <v>0</v>
      </c>
      <c r="QEE60" s="280">
        <v>0</v>
      </c>
      <c r="QEF60" s="280">
        <v>0</v>
      </c>
      <c r="QEG60" s="280">
        <v>0</v>
      </c>
      <c r="QEH60" s="280">
        <v>0</v>
      </c>
      <c r="QEI60" s="280">
        <v>0</v>
      </c>
      <c r="QEJ60" s="280">
        <v>0</v>
      </c>
      <c r="QEK60" s="280">
        <v>0</v>
      </c>
      <c r="QEL60" s="280">
        <v>0</v>
      </c>
      <c r="QEM60" s="280">
        <v>0</v>
      </c>
      <c r="QEN60" s="280">
        <v>0</v>
      </c>
      <c r="QEO60" s="280">
        <v>0</v>
      </c>
      <c r="QEP60" s="280">
        <v>0</v>
      </c>
      <c r="QEQ60" s="280">
        <v>0</v>
      </c>
      <c r="QER60" s="280">
        <v>0</v>
      </c>
      <c r="QES60" s="280">
        <v>0</v>
      </c>
      <c r="QET60" s="280">
        <v>0</v>
      </c>
      <c r="QEU60" s="280">
        <v>0</v>
      </c>
      <c r="QEV60" s="280">
        <v>0</v>
      </c>
      <c r="QEW60" s="280">
        <v>0</v>
      </c>
      <c r="QEX60" s="280">
        <v>0</v>
      </c>
      <c r="QEY60" s="280">
        <v>0</v>
      </c>
      <c r="QEZ60" s="280">
        <v>0</v>
      </c>
      <c r="QFA60" s="280">
        <v>0</v>
      </c>
      <c r="QFB60" s="280">
        <v>0</v>
      </c>
      <c r="QFC60" s="280">
        <v>0</v>
      </c>
      <c r="QFD60" s="280">
        <v>0</v>
      </c>
      <c r="QFE60" s="280">
        <v>0</v>
      </c>
      <c r="QFF60" s="280">
        <v>0</v>
      </c>
      <c r="QFG60" s="280">
        <v>0</v>
      </c>
      <c r="QFH60" s="280">
        <v>0</v>
      </c>
      <c r="QFI60" s="280">
        <v>0</v>
      </c>
      <c r="QFJ60" s="280">
        <v>0</v>
      </c>
      <c r="QFK60" s="280">
        <v>0</v>
      </c>
      <c r="QFL60" s="280">
        <v>0</v>
      </c>
      <c r="QFM60" s="280">
        <v>0</v>
      </c>
      <c r="QFN60" s="280">
        <v>0</v>
      </c>
      <c r="QFO60" s="280">
        <v>0</v>
      </c>
      <c r="QFP60" s="280">
        <v>0</v>
      </c>
      <c r="QFQ60" s="280">
        <v>0</v>
      </c>
      <c r="QFR60" s="280">
        <v>0</v>
      </c>
      <c r="QFS60" s="280">
        <v>0</v>
      </c>
      <c r="QFT60" s="280">
        <v>0</v>
      </c>
      <c r="QFU60" s="280">
        <v>0</v>
      </c>
      <c r="QFV60" s="280">
        <v>0</v>
      </c>
      <c r="QFW60" s="280">
        <v>0</v>
      </c>
      <c r="QFX60" s="280">
        <v>0</v>
      </c>
      <c r="QFY60" s="280">
        <v>0</v>
      </c>
      <c r="QFZ60" s="280">
        <v>0</v>
      </c>
      <c r="QGA60" s="280">
        <v>0</v>
      </c>
      <c r="QGB60" s="280">
        <v>0</v>
      </c>
      <c r="QGC60" s="280">
        <v>0</v>
      </c>
      <c r="QGD60" s="280">
        <v>0</v>
      </c>
      <c r="QGE60" s="280">
        <v>0</v>
      </c>
      <c r="QGF60" s="280">
        <v>0</v>
      </c>
      <c r="QGG60" s="280">
        <v>0</v>
      </c>
      <c r="QGH60" s="280">
        <v>0</v>
      </c>
      <c r="QGI60" s="280">
        <v>0</v>
      </c>
      <c r="QGJ60" s="280">
        <v>0</v>
      </c>
      <c r="QGK60" s="280">
        <v>0</v>
      </c>
      <c r="QGL60" s="280">
        <v>0</v>
      </c>
      <c r="QGM60" s="280">
        <v>0</v>
      </c>
      <c r="QGN60" s="280">
        <v>0</v>
      </c>
      <c r="QGO60" s="280">
        <v>0</v>
      </c>
      <c r="QGP60" s="280">
        <v>0</v>
      </c>
      <c r="QGQ60" s="280">
        <v>0</v>
      </c>
      <c r="QGR60" s="280">
        <v>0</v>
      </c>
      <c r="QGS60" s="280">
        <v>0</v>
      </c>
      <c r="QGT60" s="280">
        <v>0</v>
      </c>
      <c r="QGU60" s="280">
        <v>0</v>
      </c>
      <c r="QGV60" s="280">
        <v>0</v>
      </c>
      <c r="QGW60" s="280">
        <v>0</v>
      </c>
      <c r="QGX60" s="280">
        <v>0</v>
      </c>
      <c r="QGY60" s="280">
        <v>0</v>
      </c>
      <c r="QGZ60" s="280">
        <v>0</v>
      </c>
      <c r="QHA60" s="280">
        <v>0</v>
      </c>
      <c r="QHB60" s="280">
        <v>0</v>
      </c>
      <c r="QHC60" s="280">
        <v>0</v>
      </c>
      <c r="QHD60" s="280">
        <v>0</v>
      </c>
      <c r="QHE60" s="280">
        <v>0</v>
      </c>
      <c r="QHF60" s="280">
        <v>0</v>
      </c>
      <c r="QHG60" s="280">
        <v>0</v>
      </c>
      <c r="QHH60" s="280">
        <v>0</v>
      </c>
      <c r="QHI60" s="280">
        <v>0</v>
      </c>
      <c r="QHJ60" s="280">
        <v>0</v>
      </c>
      <c r="QHK60" s="280">
        <v>0</v>
      </c>
      <c r="QHL60" s="280">
        <v>0</v>
      </c>
      <c r="QHM60" s="280">
        <v>0</v>
      </c>
      <c r="QHN60" s="280">
        <v>0</v>
      </c>
      <c r="QHO60" s="280">
        <v>0</v>
      </c>
      <c r="QHP60" s="280">
        <v>0</v>
      </c>
      <c r="QHQ60" s="280">
        <v>0</v>
      </c>
      <c r="QHR60" s="280">
        <v>0</v>
      </c>
      <c r="QHS60" s="280">
        <v>0</v>
      </c>
      <c r="QHT60" s="280">
        <v>0</v>
      </c>
      <c r="QHU60" s="280">
        <v>0</v>
      </c>
      <c r="QHV60" s="280">
        <v>0</v>
      </c>
      <c r="QHW60" s="280">
        <v>0</v>
      </c>
      <c r="QHX60" s="280">
        <v>0</v>
      </c>
      <c r="QHY60" s="280">
        <v>0</v>
      </c>
      <c r="QHZ60" s="280">
        <v>0</v>
      </c>
      <c r="QIA60" s="280">
        <v>0</v>
      </c>
      <c r="QIB60" s="280">
        <v>0</v>
      </c>
      <c r="QIC60" s="280">
        <v>0</v>
      </c>
      <c r="QID60" s="280">
        <v>0</v>
      </c>
      <c r="QIE60" s="280">
        <v>0</v>
      </c>
      <c r="QIF60" s="280">
        <v>0</v>
      </c>
      <c r="QIG60" s="280">
        <v>0</v>
      </c>
      <c r="QIH60" s="280">
        <v>0</v>
      </c>
      <c r="QII60" s="280">
        <v>0</v>
      </c>
      <c r="QIJ60" s="280">
        <v>0</v>
      </c>
      <c r="QIK60" s="280">
        <v>0</v>
      </c>
      <c r="QIL60" s="280">
        <v>0</v>
      </c>
      <c r="QIM60" s="280">
        <v>0</v>
      </c>
      <c r="QIN60" s="280">
        <v>0</v>
      </c>
      <c r="QIO60" s="280">
        <v>0</v>
      </c>
      <c r="QIP60" s="280">
        <v>0</v>
      </c>
      <c r="QIQ60" s="280">
        <v>0</v>
      </c>
      <c r="QIR60" s="280">
        <v>0</v>
      </c>
      <c r="QIS60" s="280">
        <v>0</v>
      </c>
      <c r="QIT60" s="280">
        <v>0</v>
      </c>
      <c r="QIU60" s="280">
        <v>0</v>
      </c>
      <c r="QIV60" s="280">
        <v>0</v>
      </c>
      <c r="QIW60" s="280">
        <v>0</v>
      </c>
      <c r="QIX60" s="280">
        <v>0</v>
      </c>
      <c r="QIY60" s="280">
        <v>0</v>
      </c>
      <c r="QIZ60" s="280">
        <v>0</v>
      </c>
      <c r="QJA60" s="280">
        <v>0</v>
      </c>
      <c r="QJB60" s="280">
        <v>0</v>
      </c>
      <c r="QJC60" s="280">
        <v>0</v>
      </c>
      <c r="QJD60" s="280">
        <v>0</v>
      </c>
      <c r="QJE60" s="280">
        <v>0</v>
      </c>
      <c r="QJF60" s="280">
        <v>0</v>
      </c>
      <c r="QJG60" s="280">
        <v>0</v>
      </c>
      <c r="QJH60" s="280">
        <v>0</v>
      </c>
      <c r="QJI60" s="280">
        <v>0</v>
      </c>
      <c r="QJJ60" s="280">
        <v>0</v>
      </c>
      <c r="QJK60" s="280">
        <v>0</v>
      </c>
      <c r="QJL60" s="280">
        <v>0</v>
      </c>
      <c r="QJM60" s="280">
        <v>0</v>
      </c>
      <c r="QJN60" s="280">
        <v>0</v>
      </c>
      <c r="QJO60" s="280">
        <v>0</v>
      </c>
      <c r="QJP60" s="280">
        <v>0</v>
      </c>
      <c r="QJQ60" s="280">
        <v>0</v>
      </c>
      <c r="QJR60" s="280">
        <v>0</v>
      </c>
      <c r="QJS60" s="280">
        <v>0</v>
      </c>
      <c r="QJT60" s="280">
        <v>0</v>
      </c>
      <c r="QJU60" s="280">
        <v>0</v>
      </c>
      <c r="QJV60" s="280">
        <v>0</v>
      </c>
      <c r="QJW60" s="280">
        <v>0</v>
      </c>
      <c r="QJX60" s="280">
        <v>0</v>
      </c>
      <c r="QJY60" s="280">
        <v>0</v>
      </c>
      <c r="QJZ60" s="280">
        <v>0</v>
      </c>
      <c r="QKA60" s="280">
        <v>0</v>
      </c>
      <c r="QKB60" s="280">
        <v>0</v>
      </c>
      <c r="QKC60" s="280">
        <v>0</v>
      </c>
      <c r="QKD60" s="280">
        <v>0</v>
      </c>
      <c r="QKE60" s="280">
        <v>0</v>
      </c>
      <c r="QKF60" s="280">
        <v>0</v>
      </c>
      <c r="QKG60" s="280">
        <v>0</v>
      </c>
      <c r="QKH60" s="280">
        <v>0</v>
      </c>
      <c r="QKI60" s="280">
        <v>0</v>
      </c>
      <c r="QKJ60" s="280">
        <v>0</v>
      </c>
      <c r="QKK60" s="280">
        <v>0</v>
      </c>
      <c r="QKL60" s="280">
        <v>0</v>
      </c>
      <c r="QKM60" s="280">
        <v>0</v>
      </c>
      <c r="QKN60" s="280">
        <v>0</v>
      </c>
      <c r="QKO60" s="280">
        <v>0</v>
      </c>
      <c r="QKP60" s="280">
        <v>0</v>
      </c>
      <c r="QKQ60" s="280">
        <v>0</v>
      </c>
      <c r="QKR60" s="280">
        <v>0</v>
      </c>
      <c r="QKS60" s="280">
        <v>0</v>
      </c>
      <c r="QKT60" s="280">
        <v>0</v>
      </c>
      <c r="QKU60" s="280">
        <v>0</v>
      </c>
      <c r="QKV60" s="280">
        <v>0</v>
      </c>
      <c r="QKW60" s="280">
        <v>0</v>
      </c>
      <c r="QKX60" s="280">
        <v>0</v>
      </c>
      <c r="QKY60" s="280">
        <v>0</v>
      </c>
      <c r="QKZ60" s="280">
        <v>0</v>
      </c>
      <c r="QLA60" s="280">
        <v>0</v>
      </c>
      <c r="QLB60" s="280">
        <v>0</v>
      </c>
      <c r="QLC60" s="280">
        <v>0</v>
      </c>
      <c r="QLD60" s="280">
        <v>0</v>
      </c>
      <c r="QLE60" s="280">
        <v>0</v>
      </c>
      <c r="QLF60" s="280">
        <v>0</v>
      </c>
      <c r="QLG60" s="280">
        <v>0</v>
      </c>
      <c r="QLH60" s="280">
        <v>0</v>
      </c>
      <c r="QLI60" s="280">
        <v>0</v>
      </c>
      <c r="QLJ60" s="280">
        <v>0</v>
      </c>
      <c r="QLK60" s="280">
        <v>0</v>
      </c>
      <c r="QLL60" s="280">
        <v>0</v>
      </c>
      <c r="QLM60" s="280">
        <v>0</v>
      </c>
      <c r="QLN60" s="280">
        <v>0</v>
      </c>
      <c r="QLO60" s="280">
        <v>0</v>
      </c>
      <c r="QLP60" s="280">
        <v>0</v>
      </c>
      <c r="QLQ60" s="280">
        <v>0</v>
      </c>
      <c r="QLR60" s="280">
        <v>0</v>
      </c>
      <c r="QLS60" s="280">
        <v>0</v>
      </c>
      <c r="QLT60" s="280">
        <v>0</v>
      </c>
      <c r="QLU60" s="280">
        <v>0</v>
      </c>
      <c r="QLV60" s="280">
        <v>0</v>
      </c>
      <c r="QLW60" s="280">
        <v>0</v>
      </c>
      <c r="QLX60" s="280">
        <v>0</v>
      </c>
      <c r="QLY60" s="280">
        <v>0</v>
      </c>
      <c r="QLZ60" s="280">
        <v>0</v>
      </c>
      <c r="QMA60" s="280">
        <v>0</v>
      </c>
      <c r="QMB60" s="280">
        <v>0</v>
      </c>
      <c r="QMC60" s="280">
        <v>0</v>
      </c>
      <c r="QMD60" s="280">
        <v>0</v>
      </c>
      <c r="QME60" s="280">
        <v>0</v>
      </c>
      <c r="QMF60" s="280">
        <v>0</v>
      </c>
      <c r="QMG60" s="280">
        <v>0</v>
      </c>
      <c r="QMH60" s="280">
        <v>0</v>
      </c>
      <c r="QMI60" s="280">
        <v>0</v>
      </c>
      <c r="QMJ60" s="280">
        <v>0</v>
      </c>
      <c r="QMK60" s="280">
        <v>0</v>
      </c>
      <c r="QML60" s="280">
        <v>0</v>
      </c>
      <c r="QMM60" s="280">
        <v>0</v>
      </c>
      <c r="QMN60" s="280">
        <v>0</v>
      </c>
      <c r="QMO60" s="280">
        <v>0</v>
      </c>
      <c r="QMP60" s="280">
        <v>0</v>
      </c>
      <c r="QMQ60" s="280">
        <v>0</v>
      </c>
      <c r="QMR60" s="280">
        <v>0</v>
      </c>
      <c r="QMS60" s="280">
        <v>0</v>
      </c>
      <c r="QMT60" s="280">
        <v>0</v>
      </c>
      <c r="QMU60" s="280">
        <v>0</v>
      </c>
      <c r="QMV60" s="280">
        <v>0</v>
      </c>
      <c r="QMW60" s="280">
        <v>0</v>
      </c>
      <c r="QMX60" s="280">
        <v>0</v>
      </c>
      <c r="QMY60" s="280">
        <v>0</v>
      </c>
      <c r="QMZ60" s="280">
        <v>0</v>
      </c>
      <c r="QNA60" s="280">
        <v>0</v>
      </c>
      <c r="QNB60" s="280">
        <v>0</v>
      </c>
      <c r="QNC60" s="280">
        <v>0</v>
      </c>
      <c r="QND60" s="280">
        <v>0</v>
      </c>
      <c r="QNE60" s="280">
        <v>0</v>
      </c>
      <c r="QNF60" s="280">
        <v>0</v>
      </c>
      <c r="QNG60" s="280">
        <v>0</v>
      </c>
      <c r="QNH60" s="280">
        <v>0</v>
      </c>
      <c r="QNI60" s="280">
        <v>0</v>
      </c>
      <c r="QNJ60" s="280">
        <v>0</v>
      </c>
      <c r="QNK60" s="280">
        <v>0</v>
      </c>
      <c r="QNL60" s="280">
        <v>0</v>
      </c>
      <c r="QNM60" s="280">
        <v>0</v>
      </c>
      <c r="QNN60" s="280">
        <v>0</v>
      </c>
      <c r="QNO60" s="280">
        <v>0</v>
      </c>
      <c r="QNP60" s="280">
        <v>0</v>
      </c>
      <c r="QNQ60" s="280">
        <v>0</v>
      </c>
      <c r="QNR60" s="280">
        <v>0</v>
      </c>
      <c r="QNS60" s="280">
        <v>0</v>
      </c>
      <c r="QNT60" s="280">
        <v>0</v>
      </c>
      <c r="QNU60" s="280">
        <v>0</v>
      </c>
      <c r="QNV60" s="280">
        <v>0</v>
      </c>
      <c r="QNW60" s="280">
        <v>0</v>
      </c>
      <c r="QNX60" s="280">
        <v>0</v>
      </c>
      <c r="QNY60" s="280">
        <v>0</v>
      </c>
      <c r="QNZ60" s="280">
        <v>0</v>
      </c>
      <c r="QOA60" s="280">
        <v>0</v>
      </c>
      <c r="QOB60" s="280">
        <v>0</v>
      </c>
      <c r="QOC60" s="280">
        <v>0</v>
      </c>
      <c r="QOD60" s="280">
        <v>0</v>
      </c>
      <c r="QOE60" s="280">
        <v>0</v>
      </c>
      <c r="QOF60" s="280">
        <v>0</v>
      </c>
      <c r="QOG60" s="280">
        <v>0</v>
      </c>
      <c r="QOH60" s="280">
        <v>0</v>
      </c>
      <c r="QOI60" s="280">
        <v>0</v>
      </c>
      <c r="QOJ60" s="280">
        <v>0</v>
      </c>
      <c r="QOK60" s="280">
        <v>0</v>
      </c>
      <c r="QOL60" s="280">
        <v>0</v>
      </c>
      <c r="QOM60" s="280">
        <v>0</v>
      </c>
      <c r="QON60" s="280">
        <v>0</v>
      </c>
      <c r="QOO60" s="280">
        <v>0</v>
      </c>
      <c r="QOP60" s="280">
        <v>0</v>
      </c>
      <c r="QOQ60" s="280">
        <v>0</v>
      </c>
      <c r="QOR60" s="280">
        <v>0</v>
      </c>
      <c r="QOS60" s="280">
        <v>0</v>
      </c>
      <c r="QOT60" s="280">
        <v>0</v>
      </c>
      <c r="QOU60" s="280">
        <v>0</v>
      </c>
      <c r="QOV60" s="280">
        <v>0</v>
      </c>
      <c r="QOW60" s="280">
        <v>0</v>
      </c>
      <c r="QOX60" s="280">
        <v>0</v>
      </c>
      <c r="QOY60" s="280">
        <v>0</v>
      </c>
      <c r="QOZ60" s="280">
        <v>0</v>
      </c>
      <c r="QPA60" s="280">
        <v>0</v>
      </c>
      <c r="QPB60" s="280">
        <v>0</v>
      </c>
      <c r="QPC60" s="280">
        <v>0</v>
      </c>
      <c r="QPD60" s="280">
        <v>0</v>
      </c>
      <c r="QPE60" s="280">
        <v>0</v>
      </c>
      <c r="QPF60" s="280">
        <v>0</v>
      </c>
      <c r="QPG60" s="280">
        <v>0</v>
      </c>
      <c r="QPH60" s="280">
        <v>0</v>
      </c>
      <c r="QPI60" s="280">
        <v>0</v>
      </c>
      <c r="QPJ60" s="280">
        <v>0</v>
      </c>
      <c r="QPK60" s="280">
        <v>0</v>
      </c>
      <c r="QPL60" s="280">
        <v>0</v>
      </c>
      <c r="QPM60" s="280">
        <v>0</v>
      </c>
      <c r="QPN60" s="280">
        <v>0</v>
      </c>
      <c r="QPO60" s="280">
        <v>0</v>
      </c>
      <c r="QPP60" s="280">
        <v>0</v>
      </c>
      <c r="QPQ60" s="280">
        <v>0</v>
      </c>
      <c r="QPR60" s="280">
        <v>0</v>
      </c>
      <c r="QPS60" s="280">
        <v>0</v>
      </c>
      <c r="QPT60" s="280">
        <v>0</v>
      </c>
      <c r="QPU60" s="280">
        <v>0</v>
      </c>
      <c r="QPV60" s="280">
        <v>0</v>
      </c>
      <c r="QPW60" s="280">
        <v>0</v>
      </c>
      <c r="QPX60" s="280">
        <v>0</v>
      </c>
      <c r="QPY60" s="280">
        <v>0</v>
      </c>
      <c r="QPZ60" s="280">
        <v>0</v>
      </c>
      <c r="QQA60" s="280">
        <v>0</v>
      </c>
      <c r="QQB60" s="280">
        <v>0</v>
      </c>
      <c r="QQC60" s="280">
        <v>0</v>
      </c>
      <c r="QQD60" s="280">
        <v>0</v>
      </c>
      <c r="QQE60" s="280">
        <v>0</v>
      </c>
      <c r="QQF60" s="280">
        <v>0</v>
      </c>
      <c r="QQG60" s="280">
        <v>0</v>
      </c>
      <c r="QQH60" s="280">
        <v>0</v>
      </c>
      <c r="QQI60" s="280">
        <v>0</v>
      </c>
      <c r="QQJ60" s="280">
        <v>0</v>
      </c>
      <c r="QQK60" s="280">
        <v>0</v>
      </c>
      <c r="QQL60" s="280">
        <v>0</v>
      </c>
      <c r="QQM60" s="280">
        <v>0</v>
      </c>
      <c r="QQN60" s="280">
        <v>0</v>
      </c>
      <c r="QQO60" s="280">
        <v>0</v>
      </c>
      <c r="QQP60" s="280">
        <v>0</v>
      </c>
      <c r="QQQ60" s="280">
        <v>0</v>
      </c>
      <c r="QQR60" s="280">
        <v>0</v>
      </c>
      <c r="QQS60" s="280">
        <v>0</v>
      </c>
      <c r="QQT60" s="280">
        <v>0</v>
      </c>
      <c r="QQU60" s="280">
        <v>0</v>
      </c>
      <c r="QQV60" s="280">
        <v>0</v>
      </c>
      <c r="QQW60" s="280">
        <v>0</v>
      </c>
      <c r="QQX60" s="280">
        <v>0</v>
      </c>
      <c r="QQY60" s="280">
        <v>0</v>
      </c>
      <c r="QQZ60" s="280">
        <v>0</v>
      </c>
      <c r="QRA60" s="280">
        <v>0</v>
      </c>
      <c r="QRB60" s="280">
        <v>0</v>
      </c>
      <c r="QRC60" s="280">
        <v>0</v>
      </c>
      <c r="QRD60" s="280">
        <v>0</v>
      </c>
      <c r="QRE60" s="280">
        <v>0</v>
      </c>
      <c r="QRF60" s="280">
        <v>0</v>
      </c>
      <c r="QRG60" s="280">
        <v>0</v>
      </c>
      <c r="QRH60" s="280">
        <v>0</v>
      </c>
      <c r="QRI60" s="280">
        <v>0</v>
      </c>
      <c r="QRJ60" s="280">
        <v>0</v>
      </c>
      <c r="QRK60" s="280">
        <v>0</v>
      </c>
      <c r="QRL60" s="280">
        <v>0</v>
      </c>
      <c r="QRM60" s="280">
        <v>0</v>
      </c>
      <c r="QRN60" s="280">
        <v>0</v>
      </c>
      <c r="QRO60" s="280">
        <v>0</v>
      </c>
      <c r="QRP60" s="280">
        <v>0</v>
      </c>
      <c r="QRQ60" s="280">
        <v>0</v>
      </c>
      <c r="QRR60" s="280">
        <v>0</v>
      </c>
      <c r="QRS60" s="280">
        <v>0</v>
      </c>
      <c r="QRT60" s="280">
        <v>0</v>
      </c>
      <c r="QRU60" s="280">
        <v>0</v>
      </c>
      <c r="QRV60" s="280">
        <v>0</v>
      </c>
      <c r="QRW60" s="280">
        <v>0</v>
      </c>
      <c r="QRX60" s="280">
        <v>0</v>
      </c>
      <c r="QRY60" s="280">
        <v>0</v>
      </c>
      <c r="QRZ60" s="280">
        <v>0</v>
      </c>
      <c r="QSA60" s="280">
        <v>0</v>
      </c>
      <c r="QSB60" s="280">
        <v>0</v>
      </c>
      <c r="QSC60" s="280">
        <v>0</v>
      </c>
      <c r="QSD60" s="280">
        <v>0</v>
      </c>
      <c r="QSE60" s="280">
        <v>0</v>
      </c>
      <c r="QSF60" s="280">
        <v>0</v>
      </c>
      <c r="QSG60" s="280">
        <v>0</v>
      </c>
      <c r="QSH60" s="280">
        <v>0</v>
      </c>
      <c r="QSI60" s="280">
        <v>0</v>
      </c>
      <c r="QSJ60" s="280">
        <v>0</v>
      </c>
      <c r="QSK60" s="280">
        <v>0</v>
      </c>
      <c r="QSL60" s="280">
        <v>0</v>
      </c>
      <c r="QSM60" s="280">
        <v>0</v>
      </c>
      <c r="QSN60" s="280">
        <v>0</v>
      </c>
      <c r="QSO60" s="280">
        <v>0</v>
      </c>
      <c r="QSP60" s="280">
        <v>0</v>
      </c>
      <c r="QSQ60" s="280">
        <v>0</v>
      </c>
      <c r="QSR60" s="280">
        <v>0</v>
      </c>
      <c r="QSS60" s="280">
        <v>0</v>
      </c>
      <c r="QST60" s="280">
        <v>0</v>
      </c>
      <c r="QSU60" s="280">
        <v>0</v>
      </c>
      <c r="QSV60" s="280">
        <v>0</v>
      </c>
      <c r="QSW60" s="280">
        <v>0</v>
      </c>
      <c r="QSX60" s="280">
        <v>0</v>
      </c>
      <c r="QSY60" s="280">
        <v>0</v>
      </c>
      <c r="QSZ60" s="280">
        <v>0</v>
      </c>
      <c r="QTA60" s="280">
        <v>0</v>
      </c>
      <c r="QTB60" s="280">
        <v>0</v>
      </c>
      <c r="QTC60" s="280">
        <v>0</v>
      </c>
      <c r="QTD60" s="280">
        <v>0</v>
      </c>
      <c r="QTE60" s="280">
        <v>0</v>
      </c>
      <c r="QTF60" s="280">
        <v>0</v>
      </c>
      <c r="QTG60" s="280">
        <v>0</v>
      </c>
      <c r="QTH60" s="280">
        <v>0</v>
      </c>
      <c r="QTI60" s="280">
        <v>0</v>
      </c>
      <c r="QTJ60" s="280">
        <v>0</v>
      </c>
      <c r="QTK60" s="280">
        <v>0</v>
      </c>
      <c r="QTL60" s="280">
        <v>0</v>
      </c>
      <c r="QTM60" s="280">
        <v>0</v>
      </c>
      <c r="QTN60" s="280">
        <v>0</v>
      </c>
      <c r="QTO60" s="280">
        <v>0</v>
      </c>
      <c r="QTP60" s="280">
        <v>0</v>
      </c>
      <c r="QTQ60" s="280">
        <v>0</v>
      </c>
      <c r="QTR60" s="280">
        <v>0</v>
      </c>
      <c r="QTS60" s="280">
        <v>0</v>
      </c>
      <c r="QTT60" s="280">
        <v>0</v>
      </c>
      <c r="QTU60" s="280">
        <v>0</v>
      </c>
      <c r="QTV60" s="280">
        <v>0</v>
      </c>
      <c r="QTW60" s="280">
        <v>0</v>
      </c>
      <c r="QTX60" s="280">
        <v>0</v>
      </c>
      <c r="QTY60" s="280">
        <v>0</v>
      </c>
      <c r="QTZ60" s="280">
        <v>0</v>
      </c>
      <c r="QUA60" s="280">
        <v>0</v>
      </c>
      <c r="QUB60" s="280">
        <v>0</v>
      </c>
      <c r="QUC60" s="280">
        <v>0</v>
      </c>
      <c r="QUD60" s="280">
        <v>0</v>
      </c>
      <c r="QUE60" s="280">
        <v>0</v>
      </c>
      <c r="QUF60" s="280">
        <v>0</v>
      </c>
      <c r="QUG60" s="280">
        <v>0</v>
      </c>
      <c r="QUH60" s="280">
        <v>0</v>
      </c>
      <c r="QUI60" s="280">
        <v>0</v>
      </c>
      <c r="QUJ60" s="280">
        <v>0</v>
      </c>
      <c r="QUK60" s="280">
        <v>0</v>
      </c>
      <c r="QUL60" s="280">
        <v>0</v>
      </c>
      <c r="QUM60" s="280">
        <v>0</v>
      </c>
      <c r="QUN60" s="280">
        <v>0</v>
      </c>
      <c r="QUO60" s="280">
        <v>0</v>
      </c>
      <c r="QUP60" s="280">
        <v>0</v>
      </c>
      <c r="QUQ60" s="280">
        <v>0</v>
      </c>
      <c r="QUR60" s="280">
        <v>0</v>
      </c>
      <c r="QUS60" s="280">
        <v>0</v>
      </c>
      <c r="QUT60" s="280">
        <v>0</v>
      </c>
      <c r="QUU60" s="280">
        <v>0</v>
      </c>
      <c r="QUV60" s="280">
        <v>0</v>
      </c>
      <c r="QUW60" s="280">
        <v>0</v>
      </c>
      <c r="QUX60" s="280">
        <v>0</v>
      </c>
      <c r="QUY60" s="280">
        <v>0</v>
      </c>
      <c r="QUZ60" s="280">
        <v>0</v>
      </c>
      <c r="QVA60" s="280">
        <v>0</v>
      </c>
      <c r="QVB60" s="280">
        <v>0</v>
      </c>
      <c r="QVC60" s="280">
        <v>0</v>
      </c>
      <c r="QVD60" s="280">
        <v>0</v>
      </c>
      <c r="QVE60" s="280">
        <v>0</v>
      </c>
      <c r="QVF60" s="280">
        <v>0</v>
      </c>
      <c r="QVG60" s="280">
        <v>0</v>
      </c>
      <c r="QVH60" s="280">
        <v>0</v>
      </c>
      <c r="QVI60" s="280">
        <v>0</v>
      </c>
      <c r="QVJ60" s="280">
        <v>0</v>
      </c>
      <c r="QVK60" s="280">
        <v>0</v>
      </c>
      <c r="QVL60" s="280">
        <v>0</v>
      </c>
      <c r="QVM60" s="280">
        <v>0</v>
      </c>
      <c r="QVN60" s="280">
        <v>0</v>
      </c>
      <c r="QVO60" s="280">
        <v>0</v>
      </c>
      <c r="QVP60" s="280">
        <v>0</v>
      </c>
      <c r="QVQ60" s="280">
        <v>0</v>
      </c>
      <c r="QVR60" s="280">
        <v>0</v>
      </c>
      <c r="QVS60" s="280">
        <v>0</v>
      </c>
      <c r="QVT60" s="280">
        <v>0</v>
      </c>
      <c r="QVU60" s="280">
        <v>0</v>
      </c>
      <c r="QVV60" s="280">
        <v>0</v>
      </c>
      <c r="QVW60" s="280">
        <v>0</v>
      </c>
      <c r="QVX60" s="280">
        <v>0</v>
      </c>
      <c r="QVY60" s="280">
        <v>0</v>
      </c>
      <c r="QVZ60" s="280">
        <v>0</v>
      </c>
      <c r="QWA60" s="280">
        <v>0</v>
      </c>
      <c r="QWB60" s="280">
        <v>0</v>
      </c>
      <c r="QWC60" s="280">
        <v>0</v>
      </c>
      <c r="QWD60" s="280">
        <v>0</v>
      </c>
      <c r="QWE60" s="280">
        <v>0</v>
      </c>
      <c r="QWF60" s="280">
        <v>0</v>
      </c>
      <c r="QWG60" s="280">
        <v>0</v>
      </c>
      <c r="QWH60" s="280">
        <v>0</v>
      </c>
      <c r="QWI60" s="280">
        <v>0</v>
      </c>
      <c r="QWJ60" s="280">
        <v>0</v>
      </c>
      <c r="QWK60" s="280">
        <v>0</v>
      </c>
      <c r="QWL60" s="280">
        <v>0</v>
      </c>
      <c r="QWM60" s="280">
        <v>0</v>
      </c>
      <c r="QWN60" s="280">
        <v>0</v>
      </c>
      <c r="QWO60" s="280">
        <v>0</v>
      </c>
      <c r="QWP60" s="280">
        <v>0</v>
      </c>
      <c r="QWQ60" s="280">
        <v>0</v>
      </c>
      <c r="QWR60" s="280">
        <v>0</v>
      </c>
      <c r="QWS60" s="280">
        <v>0</v>
      </c>
      <c r="QWT60" s="280">
        <v>0</v>
      </c>
      <c r="QWU60" s="280">
        <v>0</v>
      </c>
      <c r="QWV60" s="280">
        <v>0</v>
      </c>
      <c r="QWW60" s="280">
        <v>0</v>
      </c>
      <c r="QWX60" s="280">
        <v>0</v>
      </c>
      <c r="QWY60" s="280">
        <v>0</v>
      </c>
      <c r="QWZ60" s="280">
        <v>0</v>
      </c>
      <c r="QXA60" s="280">
        <v>0</v>
      </c>
      <c r="QXB60" s="280">
        <v>0</v>
      </c>
      <c r="QXC60" s="280">
        <v>0</v>
      </c>
      <c r="QXD60" s="280">
        <v>0</v>
      </c>
      <c r="QXE60" s="280">
        <v>0</v>
      </c>
      <c r="QXF60" s="280">
        <v>0</v>
      </c>
      <c r="QXG60" s="280">
        <v>0</v>
      </c>
      <c r="QXH60" s="280">
        <v>0</v>
      </c>
      <c r="QXI60" s="280">
        <v>0</v>
      </c>
      <c r="QXJ60" s="280">
        <v>0</v>
      </c>
      <c r="QXK60" s="280">
        <v>0</v>
      </c>
      <c r="QXL60" s="280">
        <v>0</v>
      </c>
      <c r="QXM60" s="280">
        <v>0</v>
      </c>
      <c r="QXN60" s="280">
        <v>0</v>
      </c>
      <c r="QXO60" s="280">
        <v>0</v>
      </c>
      <c r="QXP60" s="280">
        <v>0</v>
      </c>
      <c r="QXQ60" s="280">
        <v>0</v>
      </c>
      <c r="QXR60" s="280">
        <v>0</v>
      </c>
      <c r="QXS60" s="280">
        <v>0</v>
      </c>
      <c r="QXT60" s="280">
        <v>0</v>
      </c>
      <c r="QXU60" s="280">
        <v>0</v>
      </c>
      <c r="QXV60" s="280">
        <v>0</v>
      </c>
      <c r="QXW60" s="280">
        <v>0</v>
      </c>
      <c r="QXX60" s="280">
        <v>0</v>
      </c>
      <c r="QXY60" s="280">
        <v>0</v>
      </c>
      <c r="QXZ60" s="280">
        <v>0</v>
      </c>
      <c r="QYA60" s="280">
        <v>0</v>
      </c>
      <c r="QYB60" s="280">
        <v>0</v>
      </c>
      <c r="QYC60" s="280">
        <v>0</v>
      </c>
      <c r="QYD60" s="280">
        <v>0</v>
      </c>
      <c r="QYE60" s="280">
        <v>0</v>
      </c>
      <c r="QYF60" s="280">
        <v>0</v>
      </c>
      <c r="QYG60" s="280">
        <v>0</v>
      </c>
      <c r="QYH60" s="280">
        <v>0</v>
      </c>
      <c r="QYI60" s="280">
        <v>0</v>
      </c>
      <c r="QYJ60" s="280">
        <v>0</v>
      </c>
      <c r="QYK60" s="280">
        <v>0</v>
      </c>
      <c r="QYL60" s="280">
        <v>0</v>
      </c>
      <c r="QYM60" s="280">
        <v>0</v>
      </c>
      <c r="QYN60" s="280">
        <v>0</v>
      </c>
      <c r="QYO60" s="280">
        <v>0</v>
      </c>
      <c r="QYP60" s="280">
        <v>0</v>
      </c>
      <c r="QYQ60" s="280">
        <v>0</v>
      </c>
      <c r="QYR60" s="280">
        <v>0</v>
      </c>
      <c r="QYS60" s="280">
        <v>0</v>
      </c>
      <c r="QYT60" s="280">
        <v>0</v>
      </c>
      <c r="QYU60" s="280">
        <v>0</v>
      </c>
      <c r="QYV60" s="280">
        <v>0</v>
      </c>
      <c r="QYW60" s="280">
        <v>0</v>
      </c>
      <c r="QYX60" s="280">
        <v>0</v>
      </c>
      <c r="QYY60" s="280">
        <v>0</v>
      </c>
      <c r="QYZ60" s="280">
        <v>0</v>
      </c>
      <c r="QZA60" s="280">
        <v>0</v>
      </c>
      <c r="QZB60" s="280">
        <v>0</v>
      </c>
      <c r="QZC60" s="280">
        <v>0</v>
      </c>
      <c r="QZD60" s="280">
        <v>0</v>
      </c>
      <c r="QZE60" s="280">
        <v>0</v>
      </c>
      <c r="QZF60" s="280">
        <v>0</v>
      </c>
      <c r="QZG60" s="280">
        <v>0</v>
      </c>
      <c r="QZH60" s="280">
        <v>0</v>
      </c>
      <c r="QZI60" s="280">
        <v>0</v>
      </c>
      <c r="QZJ60" s="280">
        <v>0</v>
      </c>
      <c r="QZK60" s="280">
        <v>0</v>
      </c>
      <c r="QZL60" s="280">
        <v>0</v>
      </c>
      <c r="QZM60" s="280">
        <v>0</v>
      </c>
      <c r="QZN60" s="280">
        <v>0</v>
      </c>
      <c r="QZO60" s="280">
        <v>0</v>
      </c>
      <c r="QZP60" s="280">
        <v>0</v>
      </c>
      <c r="QZQ60" s="280">
        <v>0</v>
      </c>
      <c r="QZR60" s="280">
        <v>0</v>
      </c>
      <c r="QZS60" s="280">
        <v>0</v>
      </c>
      <c r="QZT60" s="280">
        <v>0</v>
      </c>
      <c r="QZU60" s="280">
        <v>0</v>
      </c>
      <c r="QZV60" s="280">
        <v>0</v>
      </c>
      <c r="QZW60" s="280">
        <v>0</v>
      </c>
      <c r="QZX60" s="280">
        <v>0</v>
      </c>
      <c r="QZY60" s="280">
        <v>0</v>
      </c>
      <c r="QZZ60" s="280">
        <v>0</v>
      </c>
      <c r="RAA60" s="280">
        <v>0</v>
      </c>
      <c r="RAB60" s="280">
        <v>0</v>
      </c>
      <c r="RAC60" s="280">
        <v>0</v>
      </c>
      <c r="RAD60" s="280">
        <v>0</v>
      </c>
      <c r="RAE60" s="280">
        <v>0</v>
      </c>
      <c r="RAF60" s="280">
        <v>0</v>
      </c>
      <c r="RAG60" s="280">
        <v>0</v>
      </c>
      <c r="RAH60" s="280">
        <v>0</v>
      </c>
      <c r="RAI60" s="280">
        <v>0</v>
      </c>
      <c r="RAJ60" s="280">
        <v>0</v>
      </c>
      <c r="RAK60" s="280">
        <v>0</v>
      </c>
      <c r="RAL60" s="280">
        <v>0</v>
      </c>
      <c r="RAM60" s="280">
        <v>0</v>
      </c>
      <c r="RAN60" s="280">
        <v>0</v>
      </c>
      <c r="RAO60" s="280">
        <v>0</v>
      </c>
      <c r="RAP60" s="280">
        <v>0</v>
      </c>
      <c r="RAQ60" s="280">
        <v>0</v>
      </c>
      <c r="RAR60" s="280">
        <v>0</v>
      </c>
      <c r="RAS60" s="280">
        <v>0</v>
      </c>
      <c r="RAT60" s="280">
        <v>0</v>
      </c>
      <c r="RAU60" s="280">
        <v>0</v>
      </c>
      <c r="RAV60" s="280">
        <v>0</v>
      </c>
      <c r="RAW60" s="280">
        <v>0</v>
      </c>
      <c r="RAX60" s="280">
        <v>0</v>
      </c>
      <c r="RAY60" s="280">
        <v>0</v>
      </c>
      <c r="RAZ60" s="280">
        <v>0</v>
      </c>
      <c r="RBA60" s="280">
        <v>0</v>
      </c>
      <c r="RBB60" s="280">
        <v>0</v>
      </c>
      <c r="RBC60" s="280">
        <v>0</v>
      </c>
      <c r="RBD60" s="280">
        <v>0</v>
      </c>
      <c r="RBE60" s="280">
        <v>0</v>
      </c>
      <c r="RBF60" s="280">
        <v>0</v>
      </c>
      <c r="RBG60" s="280">
        <v>0</v>
      </c>
      <c r="RBH60" s="280">
        <v>0</v>
      </c>
      <c r="RBI60" s="280">
        <v>0</v>
      </c>
      <c r="RBJ60" s="280">
        <v>0</v>
      </c>
      <c r="RBK60" s="280">
        <v>0</v>
      </c>
      <c r="RBL60" s="280">
        <v>0</v>
      </c>
      <c r="RBM60" s="280">
        <v>0</v>
      </c>
      <c r="RBN60" s="280">
        <v>0</v>
      </c>
      <c r="RBO60" s="280">
        <v>0</v>
      </c>
      <c r="RBP60" s="280">
        <v>0</v>
      </c>
      <c r="RBQ60" s="280">
        <v>0</v>
      </c>
      <c r="RBR60" s="280">
        <v>0</v>
      </c>
      <c r="RBS60" s="280">
        <v>0</v>
      </c>
      <c r="RBT60" s="280">
        <v>0</v>
      </c>
      <c r="RBU60" s="280">
        <v>0</v>
      </c>
      <c r="RBV60" s="280">
        <v>0</v>
      </c>
      <c r="RBW60" s="280">
        <v>0</v>
      </c>
      <c r="RBX60" s="280">
        <v>0</v>
      </c>
      <c r="RBY60" s="280">
        <v>0</v>
      </c>
      <c r="RBZ60" s="280">
        <v>0</v>
      </c>
      <c r="RCA60" s="280">
        <v>0</v>
      </c>
      <c r="RCB60" s="280">
        <v>0</v>
      </c>
      <c r="RCC60" s="280">
        <v>0</v>
      </c>
      <c r="RCD60" s="280">
        <v>0</v>
      </c>
      <c r="RCE60" s="280">
        <v>0</v>
      </c>
      <c r="RCF60" s="280">
        <v>0</v>
      </c>
      <c r="RCG60" s="280">
        <v>0</v>
      </c>
      <c r="RCH60" s="280">
        <v>0</v>
      </c>
      <c r="RCI60" s="280">
        <v>0</v>
      </c>
      <c r="RCJ60" s="280">
        <v>0</v>
      </c>
      <c r="RCK60" s="280">
        <v>0</v>
      </c>
      <c r="RCL60" s="280">
        <v>0</v>
      </c>
      <c r="RCM60" s="280">
        <v>0</v>
      </c>
      <c r="RCN60" s="280">
        <v>0</v>
      </c>
      <c r="RCO60" s="280">
        <v>0</v>
      </c>
      <c r="RCP60" s="280">
        <v>0</v>
      </c>
      <c r="RCQ60" s="280">
        <v>0</v>
      </c>
      <c r="RCR60" s="280">
        <v>0</v>
      </c>
      <c r="RCS60" s="280">
        <v>0</v>
      </c>
      <c r="RCT60" s="280">
        <v>0</v>
      </c>
      <c r="RCU60" s="280">
        <v>0</v>
      </c>
      <c r="RCV60" s="280">
        <v>0</v>
      </c>
      <c r="RCW60" s="280">
        <v>0</v>
      </c>
      <c r="RCX60" s="280">
        <v>0</v>
      </c>
      <c r="RCY60" s="280">
        <v>0</v>
      </c>
      <c r="RCZ60" s="280">
        <v>0</v>
      </c>
      <c r="RDA60" s="280">
        <v>0</v>
      </c>
      <c r="RDB60" s="280">
        <v>0</v>
      </c>
      <c r="RDC60" s="280">
        <v>0</v>
      </c>
      <c r="RDD60" s="280">
        <v>0</v>
      </c>
      <c r="RDE60" s="280">
        <v>0</v>
      </c>
      <c r="RDF60" s="280">
        <v>0</v>
      </c>
      <c r="RDG60" s="280">
        <v>0</v>
      </c>
      <c r="RDH60" s="280">
        <v>0</v>
      </c>
      <c r="RDI60" s="280">
        <v>0</v>
      </c>
      <c r="RDJ60" s="280">
        <v>0</v>
      </c>
      <c r="RDK60" s="280">
        <v>0</v>
      </c>
      <c r="RDL60" s="280">
        <v>0</v>
      </c>
      <c r="RDM60" s="280">
        <v>0</v>
      </c>
      <c r="RDN60" s="280">
        <v>0</v>
      </c>
      <c r="RDO60" s="280">
        <v>0</v>
      </c>
      <c r="RDP60" s="280">
        <v>0</v>
      </c>
      <c r="RDQ60" s="280">
        <v>0</v>
      </c>
      <c r="RDR60" s="280">
        <v>0</v>
      </c>
      <c r="RDS60" s="280">
        <v>0</v>
      </c>
      <c r="RDT60" s="280">
        <v>0</v>
      </c>
      <c r="RDU60" s="280">
        <v>0</v>
      </c>
      <c r="RDV60" s="280">
        <v>0</v>
      </c>
      <c r="RDW60" s="280">
        <v>0</v>
      </c>
      <c r="RDX60" s="280">
        <v>0</v>
      </c>
      <c r="RDY60" s="280">
        <v>0</v>
      </c>
      <c r="RDZ60" s="280">
        <v>0</v>
      </c>
      <c r="REA60" s="280">
        <v>0</v>
      </c>
      <c r="REB60" s="280">
        <v>0</v>
      </c>
      <c r="REC60" s="280">
        <v>0</v>
      </c>
      <c r="RED60" s="280">
        <v>0</v>
      </c>
      <c r="REE60" s="280">
        <v>0</v>
      </c>
      <c r="REF60" s="280">
        <v>0</v>
      </c>
      <c r="REG60" s="280">
        <v>0</v>
      </c>
      <c r="REH60" s="280">
        <v>0</v>
      </c>
      <c r="REI60" s="280">
        <v>0</v>
      </c>
      <c r="REJ60" s="280">
        <v>0</v>
      </c>
      <c r="REK60" s="280">
        <v>0</v>
      </c>
      <c r="REL60" s="280">
        <v>0</v>
      </c>
      <c r="REM60" s="280">
        <v>0</v>
      </c>
      <c r="REN60" s="280">
        <v>0</v>
      </c>
      <c r="REO60" s="280">
        <v>0</v>
      </c>
      <c r="REP60" s="280">
        <v>0</v>
      </c>
      <c r="REQ60" s="280">
        <v>0</v>
      </c>
      <c r="RER60" s="280">
        <v>0</v>
      </c>
      <c r="RES60" s="280">
        <v>0</v>
      </c>
      <c r="RET60" s="280">
        <v>0</v>
      </c>
      <c r="REU60" s="280">
        <v>0</v>
      </c>
      <c r="REV60" s="280">
        <v>0</v>
      </c>
      <c r="REW60" s="280">
        <v>0</v>
      </c>
      <c r="REX60" s="280">
        <v>0</v>
      </c>
      <c r="REY60" s="280">
        <v>0</v>
      </c>
      <c r="REZ60" s="280">
        <v>0</v>
      </c>
      <c r="RFA60" s="280">
        <v>0</v>
      </c>
      <c r="RFB60" s="280">
        <v>0</v>
      </c>
      <c r="RFC60" s="280">
        <v>0</v>
      </c>
      <c r="RFD60" s="280">
        <v>0</v>
      </c>
      <c r="RFE60" s="280">
        <v>0</v>
      </c>
      <c r="RFF60" s="280">
        <v>0</v>
      </c>
      <c r="RFG60" s="280">
        <v>0</v>
      </c>
      <c r="RFH60" s="280">
        <v>0</v>
      </c>
      <c r="RFI60" s="280">
        <v>0</v>
      </c>
      <c r="RFJ60" s="280">
        <v>0</v>
      </c>
      <c r="RFK60" s="280">
        <v>0</v>
      </c>
      <c r="RFL60" s="280">
        <v>0</v>
      </c>
      <c r="RFM60" s="280">
        <v>0</v>
      </c>
      <c r="RFN60" s="280">
        <v>0</v>
      </c>
      <c r="RFO60" s="280">
        <v>0</v>
      </c>
      <c r="RFP60" s="280">
        <v>0</v>
      </c>
      <c r="RFQ60" s="280">
        <v>0</v>
      </c>
      <c r="RFR60" s="280">
        <v>0</v>
      </c>
      <c r="RFS60" s="280">
        <v>0</v>
      </c>
      <c r="RFT60" s="280">
        <v>0</v>
      </c>
      <c r="RFU60" s="280">
        <v>0</v>
      </c>
      <c r="RFV60" s="280">
        <v>0</v>
      </c>
      <c r="RFW60" s="280">
        <v>0</v>
      </c>
      <c r="RFX60" s="280">
        <v>0</v>
      </c>
      <c r="RFY60" s="280">
        <v>0</v>
      </c>
      <c r="RFZ60" s="280">
        <v>0</v>
      </c>
      <c r="RGA60" s="280">
        <v>0</v>
      </c>
      <c r="RGB60" s="280">
        <v>0</v>
      </c>
      <c r="RGC60" s="280">
        <v>0</v>
      </c>
      <c r="RGD60" s="280">
        <v>0</v>
      </c>
      <c r="RGE60" s="280">
        <v>0</v>
      </c>
      <c r="RGF60" s="280">
        <v>0</v>
      </c>
      <c r="RGG60" s="280">
        <v>0</v>
      </c>
      <c r="RGH60" s="280">
        <v>0</v>
      </c>
      <c r="RGI60" s="280">
        <v>0</v>
      </c>
      <c r="RGJ60" s="280">
        <v>0</v>
      </c>
      <c r="RGK60" s="280">
        <v>0</v>
      </c>
      <c r="RGL60" s="280">
        <v>0</v>
      </c>
      <c r="RGM60" s="280">
        <v>0</v>
      </c>
      <c r="RGN60" s="280">
        <v>0</v>
      </c>
      <c r="RGO60" s="280">
        <v>0</v>
      </c>
      <c r="RGP60" s="280">
        <v>0</v>
      </c>
      <c r="RGQ60" s="280">
        <v>0</v>
      </c>
      <c r="RGR60" s="280">
        <v>0</v>
      </c>
      <c r="RGS60" s="280">
        <v>0</v>
      </c>
      <c r="RGT60" s="280">
        <v>0</v>
      </c>
      <c r="RGU60" s="280">
        <v>0</v>
      </c>
      <c r="RGV60" s="280">
        <v>0</v>
      </c>
      <c r="RGW60" s="280">
        <v>0</v>
      </c>
      <c r="RGX60" s="280">
        <v>0</v>
      </c>
      <c r="RGY60" s="280">
        <v>0</v>
      </c>
      <c r="RGZ60" s="280">
        <v>0</v>
      </c>
      <c r="RHA60" s="280">
        <v>0</v>
      </c>
      <c r="RHB60" s="280">
        <v>0</v>
      </c>
      <c r="RHC60" s="280">
        <v>0</v>
      </c>
      <c r="RHD60" s="280">
        <v>0</v>
      </c>
      <c r="RHE60" s="280">
        <v>0</v>
      </c>
      <c r="RHF60" s="280">
        <v>0</v>
      </c>
      <c r="RHG60" s="280">
        <v>0</v>
      </c>
      <c r="RHH60" s="280">
        <v>0</v>
      </c>
      <c r="RHI60" s="280">
        <v>0</v>
      </c>
      <c r="RHJ60" s="280">
        <v>0</v>
      </c>
      <c r="RHK60" s="280">
        <v>0</v>
      </c>
      <c r="RHL60" s="280">
        <v>0</v>
      </c>
      <c r="RHM60" s="280">
        <v>0</v>
      </c>
      <c r="RHN60" s="280">
        <v>0</v>
      </c>
      <c r="RHO60" s="280">
        <v>0</v>
      </c>
      <c r="RHP60" s="280">
        <v>0</v>
      </c>
      <c r="RHQ60" s="280">
        <v>0</v>
      </c>
      <c r="RHR60" s="280">
        <v>0</v>
      </c>
      <c r="RHS60" s="280">
        <v>0</v>
      </c>
      <c r="RHT60" s="280">
        <v>0</v>
      </c>
      <c r="RHU60" s="280">
        <v>0</v>
      </c>
      <c r="RHV60" s="280">
        <v>0</v>
      </c>
      <c r="RHW60" s="280">
        <v>0</v>
      </c>
      <c r="RHX60" s="280">
        <v>0</v>
      </c>
      <c r="RHY60" s="280">
        <v>0</v>
      </c>
      <c r="RHZ60" s="280">
        <v>0</v>
      </c>
      <c r="RIA60" s="280">
        <v>0</v>
      </c>
      <c r="RIB60" s="280">
        <v>0</v>
      </c>
      <c r="RIC60" s="280">
        <v>0</v>
      </c>
      <c r="RID60" s="280">
        <v>0</v>
      </c>
      <c r="RIE60" s="280">
        <v>0</v>
      </c>
      <c r="RIF60" s="280">
        <v>0</v>
      </c>
      <c r="RIG60" s="280">
        <v>0</v>
      </c>
      <c r="RIH60" s="280">
        <v>0</v>
      </c>
      <c r="RII60" s="280">
        <v>0</v>
      </c>
      <c r="RIJ60" s="280">
        <v>0</v>
      </c>
      <c r="RIK60" s="280">
        <v>0</v>
      </c>
      <c r="RIL60" s="280">
        <v>0</v>
      </c>
      <c r="RIM60" s="280">
        <v>0</v>
      </c>
      <c r="RIN60" s="280">
        <v>0</v>
      </c>
      <c r="RIO60" s="280">
        <v>0</v>
      </c>
      <c r="RIP60" s="280">
        <v>0</v>
      </c>
      <c r="RIQ60" s="280">
        <v>0</v>
      </c>
      <c r="RIR60" s="280">
        <v>0</v>
      </c>
      <c r="RIS60" s="280">
        <v>0</v>
      </c>
      <c r="RIT60" s="280">
        <v>0</v>
      </c>
      <c r="RIU60" s="280">
        <v>0</v>
      </c>
      <c r="RIV60" s="280">
        <v>0</v>
      </c>
      <c r="RIW60" s="280">
        <v>0</v>
      </c>
      <c r="RIX60" s="280">
        <v>0</v>
      </c>
      <c r="RIY60" s="280">
        <v>0</v>
      </c>
      <c r="RIZ60" s="280">
        <v>0</v>
      </c>
      <c r="RJA60" s="280">
        <v>0</v>
      </c>
      <c r="RJB60" s="280">
        <v>0</v>
      </c>
      <c r="RJC60" s="280">
        <v>0</v>
      </c>
      <c r="RJD60" s="280">
        <v>0</v>
      </c>
      <c r="RJE60" s="280">
        <v>0</v>
      </c>
      <c r="RJF60" s="280">
        <v>0</v>
      </c>
      <c r="RJG60" s="280">
        <v>0</v>
      </c>
      <c r="RJH60" s="280">
        <v>0</v>
      </c>
      <c r="RJI60" s="280">
        <v>0</v>
      </c>
      <c r="RJJ60" s="280">
        <v>0</v>
      </c>
      <c r="RJK60" s="280">
        <v>0</v>
      </c>
      <c r="RJL60" s="280">
        <v>0</v>
      </c>
      <c r="RJM60" s="280">
        <v>0</v>
      </c>
      <c r="RJN60" s="280">
        <v>0</v>
      </c>
      <c r="RJO60" s="280">
        <v>0</v>
      </c>
      <c r="RJP60" s="280">
        <v>0</v>
      </c>
      <c r="RJQ60" s="280">
        <v>0</v>
      </c>
      <c r="RJR60" s="280">
        <v>0</v>
      </c>
      <c r="RJS60" s="280">
        <v>0</v>
      </c>
      <c r="RJT60" s="280">
        <v>0</v>
      </c>
      <c r="RJU60" s="280">
        <v>0</v>
      </c>
      <c r="RJV60" s="280">
        <v>0</v>
      </c>
      <c r="RJW60" s="280">
        <v>0</v>
      </c>
      <c r="RJX60" s="280">
        <v>0</v>
      </c>
      <c r="RJY60" s="280">
        <v>0</v>
      </c>
      <c r="RJZ60" s="280">
        <v>0</v>
      </c>
      <c r="RKA60" s="280">
        <v>0</v>
      </c>
      <c r="RKB60" s="280">
        <v>0</v>
      </c>
      <c r="RKC60" s="280">
        <v>0</v>
      </c>
      <c r="RKD60" s="280">
        <v>0</v>
      </c>
      <c r="RKE60" s="280">
        <v>0</v>
      </c>
      <c r="RKF60" s="280">
        <v>0</v>
      </c>
      <c r="RKG60" s="280">
        <v>0</v>
      </c>
      <c r="RKH60" s="280">
        <v>0</v>
      </c>
      <c r="RKI60" s="280">
        <v>0</v>
      </c>
      <c r="RKJ60" s="280">
        <v>0</v>
      </c>
      <c r="RKK60" s="280">
        <v>0</v>
      </c>
      <c r="RKL60" s="280">
        <v>0</v>
      </c>
      <c r="RKM60" s="280">
        <v>0</v>
      </c>
      <c r="RKN60" s="280">
        <v>0</v>
      </c>
      <c r="RKO60" s="280">
        <v>0</v>
      </c>
      <c r="RKP60" s="280">
        <v>0</v>
      </c>
      <c r="RKQ60" s="280">
        <v>0</v>
      </c>
      <c r="RKR60" s="280">
        <v>0</v>
      </c>
      <c r="RKS60" s="280">
        <v>0</v>
      </c>
      <c r="RKT60" s="280">
        <v>0</v>
      </c>
      <c r="RKU60" s="280">
        <v>0</v>
      </c>
      <c r="RKV60" s="280">
        <v>0</v>
      </c>
      <c r="RKW60" s="280">
        <v>0</v>
      </c>
      <c r="RKX60" s="280">
        <v>0</v>
      </c>
      <c r="RKY60" s="280">
        <v>0</v>
      </c>
      <c r="RKZ60" s="280">
        <v>0</v>
      </c>
      <c r="RLA60" s="280">
        <v>0</v>
      </c>
      <c r="RLB60" s="280">
        <v>0</v>
      </c>
      <c r="RLC60" s="280">
        <v>0</v>
      </c>
      <c r="RLD60" s="280">
        <v>0</v>
      </c>
      <c r="RLE60" s="280">
        <v>0</v>
      </c>
      <c r="RLF60" s="280">
        <v>0</v>
      </c>
      <c r="RLG60" s="280">
        <v>0</v>
      </c>
      <c r="RLH60" s="280">
        <v>0</v>
      </c>
      <c r="RLI60" s="280">
        <v>0</v>
      </c>
      <c r="RLJ60" s="280">
        <v>0</v>
      </c>
      <c r="RLK60" s="280">
        <v>0</v>
      </c>
      <c r="RLL60" s="280">
        <v>0</v>
      </c>
      <c r="RLM60" s="280">
        <v>0</v>
      </c>
      <c r="RLN60" s="280">
        <v>0</v>
      </c>
      <c r="RLO60" s="280">
        <v>0</v>
      </c>
      <c r="RLP60" s="280">
        <v>0</v>
      </c>
      <c r="RLQ60" s="280">
        <v>0</v>
      </c>
      <c r="RLR60" s="280">
        <v>0</v>
      </c>
      <c r="RLS60" s="280">
        <v>0</v>
      </c>
      <c r="RLT60" s="280">
        <v>0</v>
      </c>
      <c r="RLU60" s="280">
        <v>0</v>
      </c>
      <c r="RLV60" s="280">
        <v>0</v>
      </c>
      <c r="RLW60" s="280">
        <v>0</v>
      </c>
      <c r="RLX60" s="280">
        <v>0</v>
      </c>
      <c r="RLY60" s="280">
        <v>0</v>
      </c>
      <c r="RLZ60" s="280">
        <v>0</v>
      </c>
      <c r="RMA60" s="280">
        <v>0</v>
      </c>
      <c r="RMB60" s="280">
        <v>0</v>
      </c>
      <c r="RMC60" s="280">
        <v>0</v>
      </c>
      <c r="RMD60" s="280">
        <v>0</v>
      </c>
      <c r="RME60" s="280">
        <v>0</v>
      </c>
      <c r="RMF60" s="280">
        <v>0</v>
      </c>
      <c r="RMG60" s="280">
        <v>0</v>
      </c>
      <c r="RMH60" s="280">
        <v>0</v>
      </c>
      <c r="RMI60" s="280">
        <v>0</v>
      </c>
      <c r="RMJ60" s="280">
        <v>0</v>
      </c>
      <c r="RMK60" s="280">
        <v>0</v>
      </c>
      <c r="RML60" s="280">
        <v>0</v>
      </c>
      <c r="RMM60" s="280">
        <v>0</v>
      </c>
      <c r="RMN60" s="280">
        <v>0</v>
      </c>
      <c r="RMO60" s="280">
        <v>0</v>
      </c>
      <c r="RMP60" s="280">
        <v>0</v>
      </c>
      <c r="RMQ60" s="280">
        <v>0</v>
      </c>
      <c r="RMR60" s="280">
        <v>0</v>
      </c>
      <c r="RMS60" s="280">
        <v>0</v>
      </c>
      <c r="RMT60" s="280">
        <v>0</v>
      </c>
      <c r="RMU60" s="280">
        <v>0</v>
      </c>
      <c r="RMV60" s="280">
        <v>0</v>
      </c>
      <c r="RMW60" s="280">
        <v>0</v>
      </c>
      <c r="RMX60" s="280">
        <v>0</v>
      </c>
      <c r="RMY60" s="280">
        <v>0</v>
      </c>
      <c r="RMZ60" s="280">
        <v>0</v>
      </c>
      <c r="RNA60" s="280">
        <v>0</v>
      </c>
      <c r="RNB60" s="280">
        <v>0</v>
      </c>
      <c r="RNC60" s="280">
        <v>0</v>
      </c>
      <c r="RND60" s="280">
        <v>0</v>
      </c>
      <c r="RNE60" s="280">
        <v>0</v>
      </c>
      <c r="RNF60" s="280">
        <v>0</v>
      </c>
      <c r="RNG60" s="280">
        <v>0</v>
      </c>
      <c r="RNH60" s="280">
        <v>0</v>
      </c>
      <c r="RNI60" s="280">
        <v>0</v>
      </c>
      <c r="RNJ60" s="280">
        <v>0</v>
      </c>
      <c r="RNK60" s="280">
        <v>0</v>
      </c>
      <c r="RNL60" s="280">
        <v>0</v>
      </c>
      <c r="RNM60" s="280">
        <v>0</v>
      </c>
      <c r="RNN60" s="280">
        <v>0</v>
      </c>
      <c r="RNO60" s="280">
        <v>0</v>
      </c>
      <c r="RNP60" s="280">
        <v>0</v>
      </c>
      <c r="RNQ60" s="280">
        <v>0</v>
      </c>
      <c r="RNR60" s="280">
        <v>0</v>
      </c>
      <c r="RNS60" s="280">
        <v>0</v>
      </c>
      <c r="RNT60" s="280">
        <v>0</v>
      </c>
      <c r="RNU60" s="280">
        <v>0</v>
      </c>
      <c r="RNV60" s="280">
        <v>0</v>
      </c>
      <c r="RNW60" s="280">
        <v>0</v>
      </c>
      <c r="RNX60" s="280">
        <v>0</v>
      </c>
      <c r="RNY60" s="280">
        <v>0</v>
      </c>
      <c r="RNZ60" s="280">
        <v>0</v>
      </c>
      <c r="ROA60" s="280">
        <v>0</v>
      </c>
      <c r="ROB60" s="280">
        <v>0</v>
      </c>
      <c r="ROC60" s="280">
        <v>0</v>
      </c>
      <c r="ROD60" s="280">
        <v>0</v>
      </c>
      <c r="ROE60" s="280">
        <v>0</v>
      </c>
      <c r="ROF60" s="280">
        <v>0</v>
      </c>
      <c r="ROG60" s="280">
        <v>0</v>
      </c>
      <c r="ROH60" s="280">
        <v>0</v>
      </c>
      <c r="ROI60" s="280">
        <v>0</v>
      </c>
      <c r="ROJ60" s="280">
        <v>0</v>
      </c>
      <c r="ROK60" s="280">
        <v>0</v>
      </c>
      <c r="ROL60" s="280">
        <v>0</v>
      </c>
      <c r="ROM60" s="280">
        <v>0</v>
      </c>
      <c r="RON60" s="280">
        <v>0</v>
      </c>
      <c r="ROO60" s="280">
        <v>0</v>
      </c>
      <c r="ROP60" s="280">
        <v>0</v>
      </c>
      <c r="ROQ60" s="280">
        <v>0</v>
      </c>
      <c r="ROR60" s="280">
        <v>0</v>
      </c>
      <c r="ROS60" s="280">
        <v>0</v>
      </c>
      <c r="ROT60" s="280">
        <v>0</v>
      </c>
      <c r="ROU60" s="280">
        <v>0</v>
      </c>
      <c r="ROV60" s="280">
        <v>0</v>
      </c>
      <c r="ROW60" s="280">
        <v>0</v>
      </c>
      <c r="ROX60" s="280">
        <v>0</v>
      </c>
      <c r="ROY60" s="280">
        <v>0</v>
      </c>
      <c r="ROZ60" s="280">
        <v>0</v>
      </c>
      <c r="RPA60" s="280">
        <v>0</v>
      </c>
      <c r="RPB60" s="280">
        <v>0</v>
      </c>
      <c r="RPC60" s="280">
        <v>0</v>
      </c>
      <c r="RPD60" s="280">
        <v>0</v>
      </c>
      <c r="RPE60" s="280">
        <v>0</v>
      </c>
      <c r="RPF60" s="280">
        <v>0</v>
      </c>
      <c r="RPG60" s="280">
        <v>0</v>
      </c>
      <c r="RPH60" s="280">
        <v>0</v>
      </c>
      <c r="RPI60" s="280">
        <v>0</v>
      </c>
      <c r="RPJ60" s="280">
        <v>0</v>
      </c>
      <c r="RPK60" s="280">
        <v>0</v>
      </c>
      <c r="RPL60" s="280">
        <v>0</v>
      </c>
      <c r="RPM60" s="280">
        <v>0</v>
      </c>
      <c r="RPN60" s="280">
        <v>0</v>
      </c>
      <c r="RPO60" s="280">
        <v>0</v>
      </c>
      <c r="RPP60" s="280">
        <v>0</v>
      </c>
      <c r="RPQ60" s="280">
        <v>0</v>
      </c>
      <c r="RPR60" s="280">
        <v>0</v>
      </c>
      <c r="RPS60" s="280">
        <v>0</v>
      </c>
      <c r="RPT60" s="280">
        <v>0</v>
      </c>
      <c r="RPU60" s="280">
        <v>0</v>
      </c>
      <c r="RPV60" s="280">
        <v>0</v>
      </c>
      <c r="RPW60" s="280">
        <v>0</v>
      </c>
      <c r="RPX60" s="280">
        <v>0</v>
      </c>
      <c r="RPY60" s="280">
        <v>0</v>
      </c>
      <c r="RPZ60" s="280">
        <v>0</v>
      </c>
      <c r="RQA60" s="280">
        <v>0</v>
      </c>
      <c r="RQB60" s="280">
        <v>0</v>
      </c>
      <c r="RQC60" s="280">
        <v>0</v>
      </c>
      <c r="RQD60" s="280">
        <v>0</v>
      </c>
      <c r="RQE60" s="280">
        <v>0</v>
      </c>
      <c r="RQF60" s="280">
        <v>0</v>
      </c>
      <c r="RQG60" s="280">
        <v>0</v>
      </c>
      <c r="RQH60" s="280">
        <v>0</v>
      </c>
      <c r="RQI60" s="280">
        <v>0</v>
      </c>
      <c r="RQJ60" s="280">
        <v>0</v>
      </c>
      <c r="RQK60" s="280">
        <v>0</v>
      </c>
      <c r="RQL60" s="280">
        <v>0</v>
      </c>
      <c r="RQM60" s="280">
        <v>0</v>
      </c>
      <c r="RQN60" s="280">
        <v>0</v>
      </c>
      <c r="RQO60" s="280">
        <v>0</v>
      </c>
      <c r="RQP60" s="280">
        <v>0</v>
      </c>
      <c r="RQQ60" s="280">
        <v>0</v>
      </c>
      <c r="RQR60" s="280">
        <v>0</v>
      </c>
      <c r="RQS60" s="280">
        <v>0</v>
      </c>
      <c r="RQT60" s="280">
        <v>0</v>
      </c>
      <c r="RQU60" s="280">
        <v>0</v>
      </c>
      <c r="RQV60" s="280">
        <v>0</v>
      </c>
      <c r="RQW60" s="280">
        <v>0</v>
      </c>
      <c r="RQX60" s="280">
        <v>0</v>
      </c>
      <c r="RQY60" s="280">
        <v>0</v>
      </c>
      <c r="RQZ60" s="280">
        <v>0</v>
      </c>
      <c r="RRA60" s="280">
        <v>0</v>
      </c>
      <c r="RRB60" s="280">
        <v>0</v>
      </c>
      <c r="RRC60" s="280">
        <v>0</v>
      </c>
      <c r="RRD60" s="280">
        <v>0</v>
      </c>
      <c r="RRE60" s="280">
        <v>0</v>
      </c>
      <c r="RRF60" s="280">
        <v>0</v>
      </c>
      <c r="RRG60" s="280">
        <v>0</v>
      </c>
      <c r="RRH60" s="280">
        <v>0</v>
      </c>
      <c r="RRI60" s="280">
        <v>0</v>
      </c>
      <c r="RRJ60" s="280">
        <v>0</v>
      </c>
      <c r="RRK60" s="280">
        <v>0</v>
      </c>
      <c r="RRL60" s="280">
        <v>0</v>
      </c>
      <c r="RRM60" s="280">
        <v>0</v>
      </c>
      <c r="RRN60" s="280">
        <v>0</v>
      </c>
      <c r="RRO60" s="280">
        <v>0</v>
      </c>
      <c r="RRP60" s="280">
        <v>0</v>
      </c>
      <c r="RRQ60" s="280">
        <v>0</v>
      </c>
      <c r="RRR60" s="280">
        <v>0</v>
      </c>
      <c r="RRS60" s="280">
        <v>0</v>
      </c>
      <c r="RRT60" s="280">
        <v>0</v>
      </c>
      <c r="RRU60" s="280">
        <v>0</v>
      </c>
      <c r="RRV60" s="280">
        <v>0</v>
      </c>
      <c r="RRW60" s="280">
        <v>0</v>
      </c>
      <c r="RRX60" s="280">
        <v>0</v>
      </c>
      <c r="RRY60" s="280">
        <v>0</v>
      </c>
      <c r="RRZ60" s="280">
        <v>0</v>
      </c>
      <c r="RSA60" s="280">
        <v>0</v>
      </c>
      <c r="RSB60" s="280">
        <v>0</v>
      </c>
      <c r="RSC60" s="280">
        <v>0</v>
      </c>
      <c r="RSD60" s="280">
        <v>0</v>
      </c>
      <c r="RSE60" s="280">
        <v>0</v>
      </c>
      <c r="RSF60" s="280">
        <v>0</v>
      </c>
      <c r="RSG60" s="280">
        <v>0</v>
      </c>
      <c r="RSH60" s="280">
        <v>0</v>
      </c>
      <c r="RSI60" s="280">
        <v>0</v>
      </c>
      <c r="RSJ60" s="280">
        <v>0</v>
      </c>
      <c r="RSK60" s="280">
        <v>0</v>
      </c>
      <c r="RSL60" s="280">
        <v>0</v>
      </c>
      <c r="RSM60" s="280">
        <v>0</v>
      </c>
      <c r="RSN60" s="280">
        <v>0</v>
      </c>
      <c r="RSO60" s="280">
        <v>0</v>
      </c>
      <c r="RSP60" s="280">
        <v>0</v>
      </c>
      <c r="RSQ60" s="280">
        <v>0</v>
      </c>
      <c r="RSR60" s="280">
        <v>0</v>
      </c>
      <c r="RSS60" s="280">
        <v>0</v>
      </c>
      <c r="RST60" s="280">
        <v>0</v>
      </c>
      <c r="RSU60" s="280">
        <v>0</v>
      </c>
      <c r="RSV60" s="280">
        <v>0</v>
      </c>
      <c r="RSW60" s="280">
        <v>0</v>
      </c>
      <c r="RSX60" s="280">
        <v>0</v>
      </c>
      <c r="RSY60" s="280">
        <v>0</v>
      </c>
      <c r="RSZ60" s="280">
        <v>0</v>
      </c>
      <c r="RTA60" s="280">
        <v>0</v>
      </c>
      <c r="RTB60" s="280">
        <v>0</v>
      </c>
      <c r="RTC60" s="280">
        <v>0</v>
      </c>
      <c r="RTD60" s="280">
        <v>0</v>
      </c>
      <c r="RTE60" s="280">
        <v>0</v>
      </c>
      <c r="RTF60" s="280">
        <v>0</v>
      </c>
      <c r="RTG60" s="280">
        <v>0</v>
      </c>
      <c r="RTH60" s="280">
        <v>0</v>
      </c>
      <c r="RTI60" s="280">
        <v>0</v>
      </c>
      <c r="RTJ60" s="280">
        <v>0</v>
      </c>
      <c r="RTK60" s="280">
        <v>0</v>
      </c>
      <c r="RTL60" s="280">
        <v>0</v>
      </c>
      <c r="RTM60" s="280">
        <v>0</v>
      </c>
      <c r="RTN60" s="280">
        <v>0</v>
      </c>
      <c r="RTO60" s="280">
        <v>0</v>
      </c>
      <c r="RTP60" s="280">
        <v>0</v>
      </c>
      <c r="RTQ60" s="280">
        <v>0</v>
      </c>
      <c r="RTR60" s="280">
        <v>0</v>
      </c>
      <c r="RTS60" s="280">
        <v>0</v>
      </c>
      <c r="RTT60" s="280">
        <v>0</v>
      </c>
      <c r="RTU60" s="280">
        <v>0</v>
      </c>
      <c r="RTV60" s="280">
        <v>0</v>
      </c>
      <c r="RTW60" s="280">
        <v>0</v>
      </c>
      <c r="RTX60" s="280">
        <v>0</v>
      </c>
      <c r="RTY60" s="280">
        <v>0</v>
      </c>
      <c r="RTZ60" s="280">
        <v>0</v>
      </c>
      <c r="RUA60" s="280">
        <v>0</v>
      </c>
      <c r="RUB60" s="280">
        <v>0</v>
      </c>
      <c r="RUC60" s="280">
        <v>0</v>
      </c>
      <c r="RUD60" s="280">
        <v>0</v>
      </c>
      <c r="RUE60" s="280">
        <v>0</v>
      </c>
      <c r="RUF60" s="280">
        <v>0</v>
      </c>
      <c r="RUG60" s="280">
        <v>0</v>
      </c>
      <c r="RUH60" s="280">
        <v>0</v>
      </c>
      <c r="RUI60" s="280">
        <v>0</v>
      </c>
      <c r="RUJ60" s="280">
        <v>0</v>
      </c>
      <c r="RUK60" s="280">
        <v>0</v>
      </c>
      <c r="RUL60" s="280">
        <v>0</v>
      </c>
      <c r="RUM60" s="280">
        <v>0</v>
      </c>
      <c r="RUN60" s="280">
        <v>0</v>
      </c>
      <c r="RUO60" s="280">
        <v>0</v>
      </c>
      <c r="RUP60" s="280">
        <v>0</v>
      </c>
      <c r="RUQ60" s="280">
        <v>0</v>
      </c>
      <c r="RUR60" s="280">
        <v>0</v>
      </c>
      <c r="RUS60" s="280">
        <v>0</v>
      </c>
      <c r="RUT60" s="280">
        <v>0</v>
      </c>
      <c r="RUU60" s="280">
        <v>0</v>
      </c>
      <c r="RUV60" s="280">
        <v>0</v>
      </c>
      <c r="RUW60" s="280">
        <v>0</v>
      </c>
      <c r="RUX60" s="280">
        <v>0</v>
      </c>
      <c r="RUY60" s="280">
        <v>0</v>
      </c>
      <c r="RUZ60" s="280">
        <v>0</v>
      </c>
      <c r="RVA60" s="280">
        <v>0</v>
      </c>
      <c r="RVB60" s="280">
        <v>0</v>
      </c>
      <c r="RVC60" s="280">
        <v>0</v>
      </c>
      <c r="RVD60" s="280">
        <v>0</v>
      </c>
      <c r="RVE60" s="280">
        <v>0</v>
      </c>
      <c r="RVF60" s="280">
        <v>0</v>
      </c>
      <c r="RVG60" s="280">
        <v>0</v>
      </c>
      <c r="RVH60" s="280">
        <v>0</v>
      </c>
      <c r="RVI60" s="280">
        <v>0</v>
      </c>
      <c r="RVJ60" s="280">
        <v>0</v>
      </c>
      <c r="RVK60" s="280">
        <v>0</v>
      </c>
      <c r="RVL60" s="280">
        <v>0</v>
      </c>
      <c r="RVM60" s="280">
        <v>0</v>
      </c>
      <c r="RVN60" s="280">
        <v>0</v>
      </c>
      <c r="RVO60" s="280">
        <v>0</v>
      </c>
      <c r="RVP60" s="280">
        <v>0</v>
      </c>
      <c r="RVQ60" s="280">
        <v>0</v>
      </c>
      <c r="RVR60" s="280">
        <v>0</v>
      </c>
      <c r="RVS60" s="280">
        <v>0</v>
      </c>
      <c r="RVT60" s="280">
        <v>0</v>
      </c>
      <c r="RVU60" s="280">
        <v>0</v>
      </c>
      <c r="RVV60" s="280">
        <v>0</v>
      </c>
      <c r="RVW60" s="280">
        <v>0</v>
      </c>
      <c r="RVX60" s="280">
        <v>0</v>
      </c>
      <c r="RVY60" s="280">
        <v>0</v>
      </c>
      <c r="RVZ60" s="280">
        <v>0</v>
      </c>
      <c r="RWA60" s="280">
        <v>0</v>
      </c>
      <c r="RWB60" s="280">
        <v>0</v>
      </c>
      <c r="RWC60" s="280">
        <v>0</v>
      </c>
      <c r="RWD60" s="280">
        <v>0</v>
      </c>
      <c r="RWE60" s="280">
        <v>0</v>
      </c>
      <c r="RWF60" s="280">
        <v>0</v>
      </c>
      <c r="RWG60" s="280">
        <v>0</v>
      </c>
      <c r="RWH60" s="280">
        <v>0</v>
      </c>
      <c r="RWI60" s="280">
        <v>0</v>
      </c>
      <c r="RWJ60" s="280">
        <v>0</v>
      </c>
      <c r="RWK60" s="280">
        <v>0</v>
      </c>
      <c r="RWL60" s="280">
        <v>0</v>
      </c>
      <c r="RWM60" s="280">
        <v>0</v>
      </c>
      <c r="RWN60" s="280">
        <v>0</v>
      </c>
      <c r="RWO60" s="280">
        <v>0</v>
      </c>
      <c r="RWP60" s="280">
        <v>0</v>
      </c>
      <c r="RWQ60" s="280">
        <v>0</v>
      </c>
      <c r="RWR60" s="280">
        <v>0</v>
      </c>
      <c r="RWS60" s="280">
        <v>0</v>
      </c>
      <c r="RWT60" s="280">
        <v>0</v>
      </c>
      <c r="RWU60" s="280">
        <v>0</v>
      </c>
      <c r="RWV60" s="280">
        <v>0</v>
      </c>
      <c r="RWW60" s="280">
        <v>0</v>
      </c>
      <c r="RWX60" s="280">
        <v>0</v>
      </c>
      <c r="RWY60" s="280">
        <v>0</v>
      </c>
      <c r="RWZ60" s="280">
        <v>0</v>
      </c>
      <c r="RXA60" s="280">
        <v>0</v>
      </c>
      <c r="RXB60" s="280">
        <v>0</v>
      </c>
      <c r="RXC60" s="280">
        <v>0</v>
      </c>
      <c r="RXD60" s="280">
        <v>0</v>
      </c>
      <c r="RXE60" s="280">
        <v>0</v>
      </c>
      <c r="RXF60" s="280">
        <v>0</v>
      </c>
      <c r="RXG60" s="280">
        <v>0</v>
      </c>
      <c r="RXH60" s="280">
        <v>0</v>
      </c>
      <c r="RXI60" s="280">
        <v>0</v>
      </c>
      <c r="RXJ60" s="280">
        <v>0</v>
      </c>
      <c r="RXK60" s="280">
        <v>0</v>
      </c>
      <c r="RXL60" s="280">
        <v>0</v>
      </c>
      <c r="RXM60" s="280">
        <v>0</v>
      </c>
      <c r="RXN60" s="280">
        <v>0</v>
      </c>
      <c r="RXO60" s="280">
        <v>0</v>
      </c>
      <c r="RXP60" s="280">
        <v>0</v>
      </c>
      <c r="RXQ60" s="280">
        <v>0</v>
      </c>
      <c r="RXR60" s="280">
        <v>0</v>
      </c>
      <c r="RXS60" s="280">
        <v>0</v>
      </c>
      <c r="RXT60" s="280">
        <v>0</v>
      </c>
      <c r="RXU60" s="280">
        <v>0</v>
      </c>
      <c r="RXV60" s="280">
        <v>0</v>
      </c>
      <c r="RXW60" s="280">
        <v>0</v>
      </c>
      <c r="RXX60" s="280">
        <v>0</v>
      </c>
      <c r="RXY60" s="280">
        <v>0</v>
      </c>
      <c r="RXZ60" s="280">
        <v>0</v>
      </c>
      <c r="RYA60" s="280">
        <v>0</v>
      </c>
      <c r="RYB60" s="280">
        <v>0</v>
      </c>
      <c r="RYC60" s="280">
        <v>0</v>
      </c>
      <c r="RYD60" s="280">
        <v>0</v>
      </c>
      <c r="RYE60" s="280">
        <v>0</v>
      </c>
      <c r="RYF60" s="280">
        <v>0</v>
      </c>
      <c r="RYG60" s="280">
        <v>0</v>
      </c>
      <c r="RYH60" s="280">
        <v>0</v>
      </c>
      <c r="RYI60" s="280">
        <v>0</v>
      </c>
      <c r="RYJ60" s="280">
        <v>0</v>
      </c>
      <c r="RYK60" s="280">
        <v>0</v>
      </c>
      <c r="RYL60" s="280">
        <v>0</v>
      </c>
      <c r="RYM60" s="280">
        <v>0</v>
      </c>
      <c r="RYN60" s="280">
        <v>0</v>
      </c>
      <c r="RYO60" s="280">
        <v>0</v>
      </c>
      <c r="RYP60" s="280">
        <v>0</v>
      </c>
      <c r="RYQ60" s="280">
        <v>0</v>
      </c>
      <c r="RYR60" s="280">
        <v>0</v>
      </c>
      <c r="RYS60" s="280">
        <v>0</v>
      </c>
      <c r="RYT60" s="280">
        <v>0</v>
      </c>
      <c r="RYU60" s="280">
        <v>0</v>
      </c>
      <c r="RYV60" s="280">
        <v>0</v>
      </c>
      <c r="RYW60" s="280">
        <v>0</v>
      </c>
      <c r="RYX60" s="280">
        <v>0</v>
      </c>
      <c r="RYY60" s="280">
        <v>0</v>
      </c>
      <c r="RYZ60" s="280">
        <v>0</v>
      </c>
      <c r="RZA60" s="280">
        <v>0</v>
      </c>
      <c r="RZB60" s="280">
        <v>0</v>
      </c>
      <c r="RZC60" s="280">
        <v>0</v>
      </c>
      <c r="RZD60" s="280">
        <v>0</v>
      </c>
      <c r="RZE60" s="280">
        <v>0</v>
      </c>
      <c r="RZF60" s="280">
        <v>0</v>
      </c>
      <c r="RZG60" s="280">
        <v>0</v>
      </c>
      <c r="RZH60" s="280">
        <v>0</v>
      </c>
      <c r="RZI60" s="280">
        <v>0</v>
      </c>
      <c r="RZJ60" s="280">
        <v>0</v>
      </c>
      <c r="RZK60" s="280">
        <v>0</v>
      </c>
      <c r="RZL60" s="280">
        <v>0</v>
      </c>
      <c r="RZM60" s="280">
        <v>0</v>
      </c>
      <c r="RZN60" s="280">
        <v>0</v>
      </c>
      <c r="RZO60" s="280">
        <v>0</v>
      </c>
      <c r="RZP60" s="280">
        <v>0</v>
      </c>
      <c r="RZQ60" s="280">
        <v>0</v>
      </c>
      <c r="RZR60" s="280">
        <v>0</v>
      </c>
      <c r="RZS60" s="280">
        <v>0</v>
      </c>
      <c r="RZT60" s="280">
        <v>0</v>
      </c>
      <c r="RZU60" s="280">
        <v>0</v>
      </c>
      <c r="RZV60" s="280">
        <v>0</v>
      </c>
      <c r="RZW60" s="280">
        <v>0</v>
      </c>
      <c r="RZX60" s="280">
        <v>0</v>
      </c>
      <c r="RZY60" s="280">
        <v>0</v>
      </c>
      <c r="RZZ60" s="280">
        <v>0</v>
      </c>
      <c r="SAA60" s="280">
        <v>0</v>
      </c>
      <c r="SAB60" s="280">
        <v>0</v>
      </c>
      <c r="SAC60" s="280">
        <v>0</v>
      </c>
      <c r="SAD60" s="280">
        <v>0</v>
      </c>
      <c r="SAE60" s="280">
        <v>0</v>
      </c>
      <c r="SAF60" s="280">
        <v>0</v>
      </c>
      <c r="SAG60" s="280">
        <v>0</v>
      </c>
      <c r="SAH60" s="280">
        <v>0</v>
      </c>
      <c r="SAI60" s="280">
        <v>0</v>
      </c>
      <c r="SAJ60" s="280">
        <v>0</v>
      </c>
      <c r="SAK60" s="280">
        <v>0</v>
      </c>
      <c r="SAL60" s="280">
        <v>0</v>
      </c>
      <c r="SAM60" s="280">
        <v>0</v>
      </c>
      <c r="SAN60" s="280">
        <v>0</v>
      </c>
      <c r="SAO60" s="280">
        <v>0</v>
      </c>
      <c r="SAP60" s="280">
        <v>0</v>
      </c>
      <c r="SAQ60" s="280">
        <v>0</v>
      </c>
      <c r="SAR60" s="280">
        <v>0</v>
      </c>
      <c r="SAS60" s="280">
        <v>0</v>
      </c>
      <c r="SAT60" s="280">
        <v>0</v>
      </c>
      <c r="SAU60" s="280">
        <v>0</v>
      </c>
      <c r="SAV60" s="280">
        <v>0</v>
      </c>
      <c r="SAW60" s="280">
        <v>0</v>
      </c>
      <c r="SAX60" s="280">
        <v>0</v>
      </c>
      <c r="SAY60" s="280">
        <v>0</v>
      </c>
      <c r="SAZ60" s="280">
        <v>0</v>
      </c>
      <c r="SBA60" s="280">
        <v>0</v>
      </c>
      <c r="SBB60" s="280">
        <v>0</v>
      </c>
      <c r="SBC60" s="280">
        <v>0</v>
      </c>
      <c r="SBD60" s="280">
        <v>0</v>
      </c>
      <c r="SBE60" s="280">
        <v>0</v>
      </c>
      <c r="SBF60" s="280">
        <v>0</v>
      </c>
      <c r="SBG60" s="280">
        <v>0</v>
      </c>
      <c r="SBH60" s="280">
        <v>0</v>
      </c>
      <c r="SBI60" s="280">
        <v>0</v>
      </c>
      <c r="SBJ60" s="280">
        <v>0</v>
      </c>
      <c r="SBK60" s="280">
        <v>0</v>
      </c>
      <c r="SBL60" s="280">
        <v>0</v>
      </c>
      <c r="SBM60" s="280">
        <v>0</v>
      </c>
      <c r="SBN60" s="280">
        <v>0</v>
      </c>
      <c r="SBO60" s="280">
        <v>0</v>
      </c>
      <c r="SBP60" s="280">
        <v>0</v>
      </c>
      <c r="SBQ60" s="280">
        <v>0</v>
      </c>
      <c r="SBR60" s="280">
        <v>0</v>
      </c>
      <c r="SBS60" s="280">
        <v>0</v>
      </c>
      <c r="SBT60" s="280">
        <v>0</v>
      </c>
      <c r="SBU60" s="280">
        <v>0</v>
      </c>
      <c r="SBV60" s="280">
        <v>0</v>
      </c>
      <c r="SBW60" s="280">
        <v>0</v>
      </c>
      <c r="SBX60" s="280">
        <v>0</v>
      </c>
      <c r="SBY60" s="280">
        <v>0</v>
      </c>
      <c r="SBZ60" s="280">
        <v>0</v>
      </c>
      <c r="SCA60" s="280">
        <v>0</v>
      </c>
      <c r="SCB60" s="280">
        <v>0</v>
      </c>
      <c r="SCC60" s="280">
        <v>0</v>
      </c>
      <c r="SCD60" s="280">
        <v>0</v>
      </c>
      <c r="SCE60" s="280">
        <v>0</v>
      </c>
      <c r="SCF60" s="280">
        <v>0</v>
      </c>
      <c r="SCG60" s="280">
        <v>0</v>
      </c>
      <c r="SCH60" s="280">
        <v>0</v>
      </c>
      <c r="SCI60" s="280">
        <v>0</v>
      </c>
      <c r="SCJ60" s="280">
        <v>0</v>
      </c>
      <c r="SCK60" s="280">
        <v>0</v>
      </c>
      <c r="SCL60" s="280">
        <v>0</v>
      </c>
      <c r="SCM60" s="280">
        <v>0</v>
      </c>
      <c r="SCN60" s="280">
        <v>0</v>
      </c>
      <c r="SCO60" s="280">
        <v>0</v>
      </c>
      <c r="SCP60" s="280">
        <v>0</v>
      </c>
      <c r="SCQ60" s="280">
        <v>0</v>
      </c>
      <c r="SCR60" s="280">
        <v>0</v>
      </c>
      <c r="SCS60" s="280">
        <v>0</v>
      </c>
      <c r="SCT60" s="280">
        <v>0</v>
      </c>
      <c r="SCU60" s="280">
        <v>0</v>
      </c>
      <c r="SCV60" s="280">
        <v>0</v>
      </c>
      <c r="SCW60" s="280">
        <v>0</v>
      </c>
      <c r="SCX60" s="280">
        <v>0</v>
      </c>
      <c r="SCY60" s="280">
        <v>0</v>
      </c>
      <c r="SCZ60" s="280">
        <v>0</v>
      </c>
      <c r="SDA60" s="280">
        <v>0</v>
      </c>
      <c r="SDB60" s="280">
        <v>0</v>
      </c>
      <c r="SDC60" s="280">
        <v>0</v>
      </c>
      <c r="SDD60" s="280">
        <v>0</v>
      </c>
      <c r="SDE60" s="280">
        <v>0</v>
      </c>
      <c r="SDF60" s="280">
        <v>0</v>
      </c>
      <c r="SDG60" s="280">
        <v>0</v>
      </c>
      <c r="SDH60" s="280">
        <v>0</v>
      </c>
      <c r="SDI60" s="280">
        <v>0</v>
      </c>
      <c r="SDJ60" s="280">
        <v>0</v>
      </c>
      <c r="SDK60" s="280">
        <v>0</v>
      </c>
      <c r="SDL60" s="280">
        <v>0</v>
      </c>
      <c r="SDM60" s="280">
        <v>0</v>
      </c>
      <c r="SDN60" s="280">
        <v>0</v>
      </c>
      <c r="SDO60" s="280">
        <v>0</v>
      </c>
      <c r="SDP60" s="280">
        <v>0</v>
      </c>
      <c r="SDQ60" s="280">
        <v>0</v>
      </c>
      <c r="SDR60" s="280">
        <v>0</v>
      </c>
      <c r="SDS60" s="280">
        <v>0</v>
      </c>
      <c r="SDT60" s="280">
        <v>0</v>
      </c>
      <c r="SDU60" s="280">
        <v>0</v>
      </c>
      <c r="SDV60" s="280">
        <v>0</v>
      </c>
      <c r="SDW60" s="280">
        <v>0</v>
      </c>
      <c r="SDX60" s="280">
        <v>0</v>
      </c>
      <c r="SDY60" s="280">
        <v>0</v>
      </c>
      <c r="SDZ60" s="280">
        <v>0</v>
      </c>
      <c r="SEA60" s="280">
        <v>0</v>
      </c>
      <c r="SEB60" s="280">
        <v>0</v>
      </c>
      <c r="SEC60" s="280">
        <v>0</v>
      </c>
      <c r="SED60" s="280">
        <v>0</v>
      </c>
      <c r="SEE60" s="280">
        <v>0</v>
      </c>
      <c r="SEF60" s="280">
        <v>0</v>
      </c>
      <c r="SEG60" s="280">
        <v>0</v>
      </c>
      <c r="SEH60" s="280">
        <v>0</v>
      </c>
      <c r="SEI60" s="280">
        <v>0</v>
      </c>
      <c r="SEJ60" s="280">
        <v>0</v>
      </c>
      <c r="SEK60" s="280">
        <v>0</v>
      </c>
      <c r="SEL60" s="280">
        <v>0</v>
      </c>
      <c r="SEM60" s="280">
        <v>0</v>
      </c>
      <c r="SEN60" s="280">
        <v>0</v>
      </c>
      <c r="SEO60" s="280">
        <v>0</v>
      </c>
      <c r="SEP60" s="280">
        <v>0</v>
      </c>
      <c r="SEQ60" s="280">
        <v>0</v>
      </c>
      <c r="SER60" s="280">
        <v>0</v>
      </c>
      <c r="SES60" s="280">
        <v>0</v>
      </c>
      <c r="SET60" s="280">
        <v>0</v>
      </c>
      <c r="SEU60" s="280">
        <v>0</v>
      </c>
      <c r="SEV60" s="280">
        <v>0</v>
      </c>
      <c r="SEW60" s="280">
        <v>0</v>
      </c>
      <c r="SEX60" s="280">
        <v>0</v>
      </c>
      <c r="SEY60" s="280">
        <v>0</v>
      </c>
      <c r="SEZ60" s="280">
        <v>0</v>
      </c>
      <c r="SFA60" s="280">
        <v>0</v>
      </c>
      <c r="SFB60" s="280">
        <v>0</v>
      </c>
      <c r="SFC60" s="280">
        <v>0</v>
      </c>
      <c r="SFD60" s="280">
        <v>0</v>
      </c>
      <c r="SFE60" s="280">
        <v>0</v>
      </c>
      <c r="SFF60" s="280">
        <v>0</v>
      </c>
      <c r="SFG60" s="280">
        <v>0</v>
      </c>
      <c r="SFH60" s="280">
        <v>0</v>
      </c>
      <c r="SFI60" s="280">
        <v>0</v>
      </c>
      <c r="SFJ60" s="280">
        <v>0</v>
      </c>
      <c r="SFK60" s="280">
        <v>0</v>
      </c>
      <c r="SFL60" s="280">
        <v>0</v>
      </c>
      <c r="SFM60" s="280">
        <v>0</v>
      </c>
      <c r="SFN60" s="280">
        <v>0</v>
      </c>
      <c r="SFO60" s="280">
        <v>0</v>
      </c>
      <c r="SFP60" s="280">
        <v>0</v>
      </c>
      <c r="SFQ60" s="280">
        <v>0</v>
      </c>
      <c r="SFR60" s="280">
        <v>0</v>
      </c>
      <c r="SFS60" s="280">
        <v>0</v>
      </c>
      <c r="SFT60" s="280">
        <v>0</v>
      </c>
      <c r="SFU60" s="280">
        <v>0</v>
      </c>
      <c r="SFV60" s="280">
        <v>0</v>
      </c>
      <c r="SFW60" s="280">
        <v>0</v>
      </c>
      <c r="SFX60" s="280">
        <v>0</v>
      </c>
      <c r="SFY60" s="280">
        <v>0</v>
      </c>
      <c r="SFZ60" s="280">
        <v>0</v>
      </c>
      <c r="SGA60" s="280">
        <v>0</v>
      </c>
      <c r="SGB60" s="280">
        <v>0</v>
      </c>
      <c r="SGC60" s="280">
        <v>0</v>
      </c>
      <c r="SGD60" s="280">
        <v>0</v>
      </c>
      <c r="SGE60" s="280">
        <v>0</v>
      </c>
      <c r="SGF60" s="280">
        <v>0</v>
      </c>
      <c r="SGG60" s="280">
        <v>0</v>
      </c>
      <c r="SGH60" s="280">
        <v>0</v>
      </c>
      <c r="SGI60" s="280">
        <v>0</v>
      </c>
      <c r="SGJ60" s="280">
        <v>0</v>
      </c>
      <c r="SGK60" s="280">
        <v>0</v>
      </c>
      <c r="SGL60" s="280">
        <v>0</v>
      </c>
      <c r="SGM60" s="280">
        <v>0</v>
      </c>
      <c r="SGN60" s="280">
        <v>0</v>
      </c>
      <c r="SGO60" s="280">
        <v>0</v>
      </c>
      <c r="SGP60" s="280">
        <v>0</v>
      </c>
      <c r="SGQ60" s="280">
        <v>0</v>
      </c>
      <c r="SGR60" s="280">
        <v>0</v>
      </c>
      <c r="SGS60" s="280">
        <v>0</v>
      </c>
      <c r="SGT60" s="280">
        <v>0</v>
      </c>
      <c r="SGU60" s="280">
        <v>0</v>
      </c>
      <c r="SGV60" s="280">
        <v>0</v>
      </c>
      <c r="SGW60" s="280">
        <v>0</v>
      </c>
      <c r="SGX60" s="280">
        <v>0</v>
      </c>
      <c r="SGY60" s="280">
        <v>0</v>
      </c>
      <c r="SGZ60" s="280">
        <v>0</v>
      </c>
      <c r="SHA60" s="280">
        <v>0</v>
      </c>
      <c r="SHB60" s="280">
        <v>0</v>
      </c>
      <c r="SHC60" s="280">
        <v>0</v>
      </c>
      <c r="SHD60" s="280">
        <v>0</v>
      </c>
      <c r="SHE60" s="280">
        <v>0</v>
      </c>
      <c r="SHF60" s="280">
        <v>0</v>
      </c>
      <c r="SHG60" s="280">
        <v>0</v>
      </c>
      <c r="SHH60" s="280">
        <v>0</v>
      </c>
      <c r="SHI60" s="280">
        <v>0</v>
      </c>
      <c r="SHJ60" s="280">
        <v>0</v>
      </c>
      <c r="SHK60" s="280">
        <v>0</v>
      </c>
      <c r="SHL60" s="280">
        <v>0</v>
      </c>
      <c r="SHM60" s="280">
        <v>0</v>
      </c>
      <c r="SHN60" s="280">
        <v>0</v>
      </c>
      <c r="SHO60" s="280">
        <v>0</v>
      </c>
      <c r="SHP60" s="280">
        <v>0</v>
      </c>
      <c r="SHQ60" s="280">
        <v>0</v>
      </c>
      <c r="SHR60" s="280">
        <v>0</v>
      </c>
      <c r="SHS60" s="280">
        <v>0</v>
      </c>
      <c r="SHT60" s="280">
        <v>0</v>
      </c>
      <c r="SHU60" s="280">
        <v>0</v>
      </c>
      <c r="SHV60" s="280">
        <v>0</v>
      </c>
      <c r="SHW60" s="280">
        <v>0</v>
      </c>
      <c r="SHX60" s="280">
        <v>0</v>
      </c>
      <c r="SHY60" s="280">
        <v>0</v>
      </c>
      <c r="SHZ60" s="280">
        <v>0</v>
      </c>
      <c r="SIA60" s="280">
        <v>0</v>
      </c>
      <c r="SIB60" s="280">
        <v>0</v>
      </c>
      <c r="SIC60" s="280">
        <v>0</v>
      </c>
      <c r="SID60" s="280">
        <v>0</v>
      </c>
      <c r="SIE60" s="280">
        <v>0</v>
      </c>
      <c r="SIF60" s="280">
        <v>0</v>
      </c>
      <c r="SIG60" s="280">
        <v>0</v>
      </c>
      <c r="SIH60" s="280">
        <v>0</v>
      </c>
      <c r="SII60" s="280">
        <v>0</v>
      </c>
      <c r="SIJ60" s="280">
        <v>0</v>
      </c>
      <c r="SIK60" s="280">
        <v>0</v>
      </c>
      <c r="SIL60" s="280">
        <v>0</v>
      </c>
      <c r="SIM60" s="280">
        <v>0</v>
      </c>
      <c r="SIN60" s="280">
        <v>0</v>
      </c>
      <c r="SIO60" s="280">
        <v>0</v>
      </c>
      <c r="SIP60" s="280">
        <v>0</v>
      </c>
      <c r="SIQ60" s="280">
        <v>0</v>
      </c>
      <c r="SIR60" s="280">
        <v>0</v>
      </c>
      <c r="SIS60" s="280">
        <v>0</v>
      </c>
      <c r="SIT60" s="280">
        <v>0</v>
      </c>
      <c r="SIU60" s="280">
        <v>0</v>
      </c>
      <c r="SIV60" s="280">
        <v>0</v>
      </c>
      <c r="SIW60" s="280">
        <v>0</v>
      </c>
      <c r="SIX60" s="280">
        <v>0</v>
      </c>
      <c r="SIY60" s="280">
        <v>0</v>
      </c>
      <c r="SIZ60" s="280">
        <v>0</v>
      </c>
      <c r="SJA60" s="280">
        <v>0</v>
      </c>
      <c r="SJB60" s="280">
        <v>0</v>
      </c>
      <c r="SJC60" s="280">
        <v>0</v>
      </c>
      <c r="SJD60" s="280">
        <v>0</v>
      </c>
      <c r="SJE60" s="280">
        <v>0</v>
      </c>
      <c r="SJF60" s="280">
        <v>0</v>
      </c>
      <c r="SJG60" s="280">
        <v>0</v>
      </c>
      <c r="SJH60" s="280">
        <v>0</v>
      </c>
      <c r="SJI60" s="280">
        <v>0</v>
      </c>
      <c r="SJJ60" s="280">
        <v>0</v>
      </c>
      <c r="SJK60" s="280">
        <v>0</v>
      </c>
      <c r="SJL60" s="280">
        <v>0</v>
      </c>
      <c r="SJM60" s="280">
        <v>0</v>
      </c>
      <c r="SJN60" s="280">
        <v>0</v>
      </c>
      <c r="SJO60" s="280">
        <v>0</v>
      </c>
      <c r="SJP60" s="280">
        <v>0</v>
      </c>
      <c r="SJQ60" s="280">
        <v>0</v>
      </c>
      <c r="SJR60" s="280">
        <v>0</v>
      </c>
      <c r="SJS60" s="280">
        <v>0</v>
      </c>
      <c r="SJT60" s="280">
        <v>0</v>
      </c>
      <c r="SJU60" s="280">
        <v>0</v>
      </c>
      <c r="SJV60" s="280">
        <v>0</v>
      </c>
      <c r="SJW60" s="280">
        <v>0</v>
      </c>
      <c r="SJX60" s="280">
        <v>0</v>
      </c>
      <c r="SJY60" s="280">
        <v>0</v>
      </c>
      <c r="SJZ60" s="280">
        <v>0</v>
      </c>
      <c r="SKA60" s="280">
        <v>0</v>
      </c>
      <c r="SKB60" s="280">
        <v>0</v>
      </c>
      <c r="SKC60" s="280">
        <v>0</v>
      </c>
      <c r="SKD60" s="280">
        <v>0</v>
      </c>
      <c r="SKE60" s="280">
        <v>0</v>
      </c>
      <c r="SKF60" s="280">
        <v>0</v>
      </c>
      <c r="SKG60" s="280">
        <v>0</v>
      </c>
      <c r="SKH60" s="280">
        <v>0</v>
      </c>
      <c r="SKI60" s="280">
        <v>0</v>
      </c>
      <c r="SKJ60" s="280">
        <v>0</v>
      </c>
      <c r="SKK60" s="280">
        <v>0</v>
      </c>
      <c r="SKL60" s="280">
        <v>0</v>
      </c>
      <c r="SKM60" s="280">
        <v>0</v>
      </c>
      <c r="SKN60" s="280">
        <v>0</v>
      </c>
      <c r="SKO60" s="280">
        <v>0</v>
      </c>
      <c r="SKP60" s="280">
        <v>0</v>
      </c>
      <c r="SKQ60" s="280">
        <v>0</v>
      </c>
      <c r="SKR60" s="280">
        <v>0</v>
      </c>
      <c r="SKS60" s="280">
        <v>0</v>
      </c>
      <c r="SKT60" s="280">
        <v>0</v>
      </c>
      <c r="SKU60" s="280">
        <v>0</v>
      </c>
      <c r="SKV60" s="280">
        <v>0</v>
      </c>
      <c r="SKW60" s="280">
        <v>0</v>
      </c>
      <c r="SKX60" s="280">
        <v>0</v>
      </c>
      <c r="SKY60" s="280">
        <v>0</v>
      </c>
      <c r="SKZ60" s="280">
        <v>0</v>
      </c>
      <c r="SLA60" s="280">
        <v>0</v>
      </c>
      <c r="SLB60" s="280">
        <v>0</v>
      </c>
      <c r="SLC60" s="280">
        <v>0</v>
      </c>
      <c r="SLD60" s="280">
        <v>0</v>
      </c>
      <c r="SLE60" s="280">
        <v>0</v>
      </c>
      <c r="SLF60" s="280">
        <v>0</v>
      </c>
      <c r="SLG60" s="280">
        <v>0</v>
      </c>
      <c r="SLH60" s="280">
        <v>0</v>
      </c>
      <c r="SLI60" s="280">
        <v>0</v>
      </c>
      <c r="SLJ60" s="280">
        <v>0</v>
      </c>
      <c r="SLK60" s="280">
        <v>0</v>
      </c>
      <c r="SLL60" s="280">
        <v>0</v>
      </c>
      <c r="SLM60" s="280">
        <v>0</v>
      </c>
      <c r="SLN60" s="280">
        <v>0</v>
      </c>
      <c r="SLO60" s="280">
        <v>0</v>
      </c>
      <c r="SLP60" s="280">
        <v>0</v>
      </c>
      <c r="SLQ60" s="280">
        <v>0</v>
      </c>
      <c r="SLR60" s="280">
        <v>0</v>
      </c>
      <c r="SLS60" s="280">
        <v>0</v>
      </c>
      <c r="SLT60" s="280">
        <v>0</v>
      </c>
      <c r="SLU60" s="280">
        <v>0</v>
      </c>
      <c r="SLV60" s="280">
        <v>0</v>
      </c>
      <c r="SLW60" s="280">
        <v>0</v>
      </c>
      <c r="SLX60" s="280">
        <v>0</v>
      </c>
      <c r="SLY60" s="280">
        <v>0</v>
      </c>
      <c r="SLZ60" s="280">
        <v>0</v>
      </c>
      <c r="SMA60" s="280">
        <v>0</v>
      </c>
      <c r="SMB60" s="280">
        <v>0</v>
      </c>
      <c r="SMC60" s="280">
        <v>0</v>
      </c>
      <c r="SMD60" s="280">
        <v>0</v>
      </c>
      <c r="SME60" s="280">
        <v>0</v>
      </c>
      <c r="SMF60" s="280">
        <v>0</v>
      </c>
      <c r="SMG60" s="280">
        <v>0</v>
      </c>
      <c r="SMH60" s="280">
        <v>0</v>
      </c>
      <c r="SMI60" s="280">
        <v>0</v>
      </c>
      <c r="SMJ60" s="280">
        <v>0</v>
      </c>
      <c r="SMK60" s="280">
        <v>0</v>
      </c>
      <c r="SML60" s="280">
        <v>0</v>
      </c>
      <c r="SMM60" s="280">
        <v>0</v>
      </c>
      <c r="SMN60" s="280">
        <v>0</v>
      </c>
      <c r="SMO60" s="280">
        <v>0</v>
      </c>
      <c r="SMP60" s="280">
        <v>0</v>
      </c>
      <c r="SMQ60" s="280">
        <v>0</v>
      </c>
      <c r="SMR60" s="280">
        <v>0</v>
      </c>
      <c r="SMS60" s="280">
        <v>0</v>
      </c>
      <c r="SMT60" s="280">
        <v>0</v>
      </c>
      <c r="SMU60" s="280">
        <v>0</v>
      </c>
      <c r="SMV60" s="280">
        <v>0</v>
      </c>
      <c r="SMW60" s="280">
        <v>0</v>
      </c>
      <c r="SMX60" s="280">
        <v>0</v>
      </c>
      <c r="SMY60" s="280">
        <v>0</v>
      </c>
      <c r="SMZ60" s="280">
        <v>0</v>
      </c>
      <c r="SNA60" s="280">
        <v>0</v>
      </c>
      <c r="SNB60" s="280">
        <v>0</v>
      </c>
      <c r="SNC60" s="280">
        <v>0</v>
      </c>
      <c r="SND60" s="280">
        <v>0</v>
      </c>
      <c r="SNE60" s="280">
        <v>0</v>
      </c>
      <c r="SNF60" s="280">
        <v>0</v>
      </c>
      <c r="SNG60" s="280">
        <v>0</v>
      </c>
      <c r="SNH60" s="280">
        <v>0</v>
      </c>
      <c r="SNI60" s="280">
        <v>0</v>
      </c>
      <c r="SNJ60" s="280">
        <v>0</v>
      </c>
      <c r="SNK60" s="280">
        <v>0</v>
      </c>
      <c r="SNL60" s="280">
        <v>0</v>
      </c>
      <c r="SNM60" s="280">
        <v>0</v>
      </c>
      <c r="SNN60" s="280">
        <v>0</v>
      </c>
      <c r="SNO60" s="280">
        <v>0</v>
      </c>
      <c r="SNP60" s="280">
        <v>0</v>
      </c>
      <c r="SNQ60" s="280">
        <v>0</v>
      </c>
      <c r="SNR60" s="280">
        <v>0</v>
      </c>
      <c r="SNS60" s="280">
        <v>0</v>
      </c>
      <c r="SNT60" s="280">
        <v>0</v>
      </c>
      <c r="SNU60" s="280">
        <v>0</v>
      </c>
      <c r="SNV60" s="280">
        <v>0</v>
      </c>
      <c r="SNW60" s="280">
        <v>0</v>
      </c>
      <c r="SNX60" s="280">
        <v>0</v>
      </c>
      <c r="SNY60" s="280">
        <v>0</v>
      </c>
      <c r="SNZ60" s="280">
        <v>0</v>
      </c>
      <c r="SOA60" s="280">
        <v>0</v>
      </c>
      <c r="SOB60" s="280">
        <v>0</v>
      </c>
      <c r="SOC60" s="280">
        <v>0</v>
      </c>
      <c r="SOD60" s="280">
        <v>0</v>
      </c>
      <c r="SOE60" s="280">
        <v>0</v>
      </c>
      <c r="SOF60" s="280">
        <v>0</v>
      </c>
      <c r="SOG60" s="280">
        <v>0</v>
      </c>
      <c r="SOH60" s="280">
        <v>0</v>
      </c>
      <c r="SOI60" s="280">
        <v>0</v>
      </c>
      <c r="SOJ60" s="280">
        <v>0</v>
      </c>
      <c r="SOK60" s="280">
        <v>0</v>
      </c>
      <c r="SOL60" s="280">
        <v>0</v>
      </c>
      <c r="SOM60" s="280">
        <v>0</v>
      </c>
      <c r="SON60" s="280">
        <v>0</v>
      </c>
      <c r="SOO60" s="280">
        <v>0</v>
      </c>
      <c r="SOP60" s="280">
        <v>0</v>
      </c>
      <c r="SOQ60" s="280">
        <v>0</v>
      </c>
      <c r="SOR60" s="280">
        <v>0</v>
      </c>
      <c r="SOS60" s="280">
        <v>0</v>
      </c>
      <c r="SOT60" s="280">
        <v>0</v>
      </c>
      <c r="SOU60" s="280">
        <v>0</v>
      </c>
      <c r="SOV60" s="280">
        <v>0</v>
      </c>
      <c r="SOW60" s="280">
        <v>0</v>
      </c>
      <c r="SOX60" s="280">
        <v>0</v>
      </c>
      <c r="SOY60" s="280">
        <v>0</v>
      </c>
      <c r="SOZ60" s="280">
        <v>0</v>
      </c>
      <c r="SPA60" s="280">
        <v>0</v>
      </c>
      <c r="SPB60" s="280">
        <v>0</v>
      </c>
      <c r="SPC60" s="280">
        <v>0</v>
      </c>
      <c r="SPD60" s="280">
        <v>0</v>
      </c>
      <c r="SPE60" s="280">
        <v>0</v>
      </c>
      <c r="SPF60" s="280">
        <v>0</v>
      </c>
      <c r="SPG60" s="280">
        <v>0</v>
      </c>
      <c r="SPH60" s="280">
        <v>0</v>
      </c>
      <c r="SPI60" s="280">
        <v>0</v>
      </c>
      <c r="SPJ60" s="280">
        <v>0</v>
      </c>
      <c r="SPK60" s="280">
        <v>0</v>
      </c>
      <c r="SPL60" s="280">
        <v>0</v>
      </c>
      <c r="SPM60" s="280">
        <v>0</v>
      </c>
      <c r="SPN60" s="280">
        <v>0</v>
      </c>
      <c r="SPO60" s="280">
        <v>0</v>
      </c>
      <c r="SPP60" s="280">
        <v>0</v>
      </c>
      <c r="SPQ60" s="280">
        <v>0</v>
      </c>
      <c r="SPR60" s="280">
        <v>0</v>
      </c>
      <c r="SPS60" s="280">
        <v>0</v>
      </c>
      <c r="SPT60" s="280">
        <v>0</v>
      </c>
      <c r="SPU60" s="280">
        <v>0</v>
      </c>
      <c r="SPV60" s="280">
        <v>0</v>
      </c>
      <c r="SPW60" s="280">
        <v>0</v>
      </c>
      <c r="SPX60" s="280">
        <v>0</v>
      </c>
      <c r="SPY60" s="280">
        <v>0</v>
      </c>
      <c r="SPZ60" s="280">
        <v>0</v>
      </c>
      <c r="SQA60" s="280">
        <v>0</v>
      </c>
      <c r="SQB60" s="280">
        <v>0</v>
      </c>
      <c r="SQC60" s="280">
        <v>0</v>
      </c>
      <c r="SQD60" s="280">
        <v>0</v>
      </c>
      <c r="SQE60" s="280">
        <v>0</v>
      </c>
      <c r="SQF60" s="280">
        <v>0</v>
      </c>
      <c r="SQG60" s="280">
        <v>0</v>
      </c>
      <c r="SQH60" s="280">
        <v>0</v>
      </c>
      <c r="SQI60" s="280">
        <v>0</v>
      </c>
      <c r="SQJ60" s="280">
        <v>0</v>
      </c>
      <c r="SQK60" s="280">
        <v>0</v>
      </c>
      <c r="SQL60" s="280">
        <v>0</v>
      </c>
      <c r="SQM60" s="280">
        <v>0</v>
      </c>
      <c r="SQN60" s="280">
        <v>0</v>
      </c>
      <c r="SQO60" s="280">
        <v>0</v>
      </c>
      <c r="SQP60" s="280">
        <v>0</v>
      </c>
      <c r="SQQ60" s="280">
        <v>0</v>
      </c>
      <c r="SQR60" s="280">
        <v>0</v>
      </c>
      <c r="SQS60" s="280">
        <v>0</v>
      </c>
      <c r="SQT60" s="280">
        <v>0</v>
      </c>
      <c r="SQU60" s="280">
        <v>0</v>
      </c>
      <c r="SQV60" s="280">
        <v>0</v>
      </c>
      <c r="SQW60" s="280">
        <v>0</v>
      </c>
      <c r="SQX60" s="280">
        <v>0</v>
      </c>
      <c r="SQY60" s="280">
        <v>0</v>
      </c>
      <c r="SQZ60" s="280">
        <v>0</v>
      </c>
      <c r="SRA60" s="280">
        <v>0</v>
      </c>
      <c r="SRB60" s="280">
        <v>0</v>
      </c>
      <c r="SRC60" s="280">
        <v>0</v>
      </c>
      <c r="SRD60" s="280">
        <v>0</v>
      </c>
      <c r="SRE60" s="280">
        <v>0</v>
      </c>
      <c r="SRF60" s="280">
        <v>0</v>
      </c>
      <c r="SRG60" s="280">
        <v>0</v>
      </c>
      <c r="SRH60" s="280">
        <v>0</v>
      </c>
      <c r="SRI60" s="280">
        <v>0</v>
      </c>
      <c r="SRJ60" s="280">
        <v>0</v>
      </c>
      <c r="SRK60" s="280">
        <v>0</v>
      </c>
      <c r="SRL60" s="280">
        <v>0</v>
      </c>
      <c r="SRM60" s="280">
        <v>0</v>
      </c>
      <c r="SRN60" s="280">
        <v>0</v>
      </c>
      <c r="SRO60" s="280">
        <v>0</v>
      </c>
      <c r="SRP60" s="280">
        <v>0</v>
      </c>
      <c r="SRQ60" s="280">
        <v>0</v>
      </c>
      <c r="SRR60" s="280">
        <v>0</v>
      </c>
      <c r="SRS60" s="280">
        <v>0</v>
      </c>
      <c r="SRT60" s="280">
        <v>0</v>
      </c>
      <c r="SRU60" s="280">
        <v>0</v>
      </c>
      <c r="SRV60" s="280">
        <v>0</v>
      </c>
      <c r="SRW60" s="280">
        <v>0</v>
      </c>
      <c r="SRX60" s="280">
        <v>0</v>
      </c>
      <c r="SRY60" s="280">
        <v>0</v>
      </c>
      <c r="SRZ60" s="280">
        <v>0</v>
      </c>
      <c r="SSA60" s="280">
        <v>0</v>
      </c>
      <c r="SSB60" s="280">
        <v>0</v>
      </c>
      <c r="SSC60" s="280">
        <v>0</v>
      </c>
      <c r="SSD60" s="280">
        <v>0</v>
      </c>
      <c r="SSE60" s="280">
        <v>0</v>
      </c>
      <c r="SSF60" s="280">
        <v>0</v>
      </c>
      <c r="SSG60" s="280">
        <v>0</v>
      </c>
      <c r="SSH60" s="280">
        <v>0</v>
      </c>
      <c r="SSI60" s="280">
        <v>0</v>
      </c>
      <c r="SSJ60" s="280">
        <v>0</v>
      </c>
      <c r="SSK60" s="280">
        <v>0</v>
      </c>
      <c r="SSL60" s="280">
        <v>0</v>
      </c>
      <c r="SSM60" s="280">
        <v>0</v>
      </c>
      <c r="SSN60" s="280">
        <v>0</v>
      </c>
      <c r="SSO60" s="280">
        <v>0</v>
      </c>
      <c r="SSP60" s="280">
        <v>0</v>
      </c>
      <c r="SSQ60" s="280">
        <v>0</v>
      </c>
      <c r="SSR60" s="280">
        <v>0</v>
      </c>
      <c r="SSS60" s="280">
        <v>0</v>
      </c>
      <c r="SST60" s="280">
        <v>0</v>
      </c>
      <c r="SSU60" s="280">
        <v>0</v>
      </c>
      <c r="SSV60" s="280">
        <v>0</v>
      </c>
      <c r="SSW60" s="280">
        <v>0</v>
      </c>
      <c r="SSX60" s="280">
        <v>0</v>
      </c>
      <c r="SSY60" s="280">
        <v>0</v>
      </c>
      <c r="SSZ60" s="280">
        <v>0</v>
      </c>
      <c r="STA60" s="280">
        <v>0</v>
      </c>
      <c r="STB60" s="280">
        <v>0</v>
      </c>
      <c r="STC60" s="280">
        <v>0</v>
      </c>
      <c r="STD60" s="280">
        <v>0</v>
      </c>
      <c r="STE60" s="280">
        <v>0</v>
      </c>
      <c r="STF60" s="280">
        <v>0</v>
      </c>
      <c r="STG60" s="280">
        <v>0</v>
      </c>
      <c r="STH60" s="280">
        <v>0</v>
      </c>
      <c r="STI60" s="280">
        <v>0</v>
      </c>
      <c r="STJ60" s="280">
        <v>0</v>
      </c>
      <c r="STK60" s="280">
        <v>0</v>
      </c>
      <c r="STL60" s="280">
        <v>0</v>
      </c>
      <c r="STM60" s="280">
        <v>0</v>
      </c>
      <c r="STN60" s="280">
        <v>0</v>
      </c>
      <c r="STO60" s="280">
        <v>0</v>
      </c>
      <c r="STP60" s="280">
        <v>0</v>
      </c>
      <c r="STQ60" s="280">
        <v>0</v>
      </c>
      <c r="STR60" s="280">
        <v>0</v>
      </c>
      <c r="STS60" s="280">
        <v>0</v>
      </c>
      <c r="STT60" s="280">
        <v>0</v>
      </c>
      <c r="STU60" s="280">
        <v>0</v>
      </c>
      <c r="STV60" s="280">
        <v>0</v>
      </c>
      <c r="STW60" s="280">
        <v>0</v>
      </c>
      <c r="STX60" s="280">
        <v>0</v>
      </c>
      <c r="STY60" s="280">
        <v>0</v>
      </c>
      <c r="STZ60" s="280">
        <v>0</v>
      </c>
      <c r="SUA60" s="280">
        <v>0</v>
      </c>
      <c r="SUB60" s="280">
        <v>0</v>
      </c>
      <c r="SUC60" s="280">
        <v>0</v>
      </c>
      <c r="SUD60" s="280">
        <v>0</v>
      </c>
      <c r="SUE60" s="280">
        <v>0</v>
      </c>
      <c r="SUF60" s="280">
        <v>0</v>
      </c>
      <c r="SUG60" s="280">
        <v>0</v>
      </c>
      <c r="SUH60" s="280">
        <v>0</v>
      </c>
      <c r="SUI60" s="280">
        <v>0</v>
      </c>
      <c r="SUJ60" s="280">
        <v>0</v>
      </c>
      <c r="SUK60" s="280">
        <v>0</v>
      </c>
      <c r="SUL60" s="280">
        <v>0</v>
      </c>
      <c r="SUM60" s="280">
        <v>0</v>
      </c>
      <c r="SUN60" s="280">
        <v>0</v>
      </c>
      <c r="SUO60" s="280">
        <v>0</v>
      </c>
      <c r="SUP60" s="280">
        <v>0</v>
      </c>
      <c r="SUQ60" s="280">
        <v>0</v>
      </c>
      <c r="SUR60" s="280">
        <v>0</v>
      </c>
      <c r="SUS60" s="280">
        <v>0</v>
      </c>
      <c r="SUT60" s="280">
        <v>0</v>
      </c>
      <c r="SUU60" s="280">
        <v>0</v>
      </c>
      <c r="SUV60" s="280">
        <v>0</v>
      </c>
      <c r="SUW60" s="280">
        <v>0</v>
      </c>
      <c r="SUX60" s="280">
        <v>0</v>
      </c>
      <c r="SUY60" s="280">
        <v>0</v>
      </c>
      <c r="SUZ60" s="280">
        <v>0</v>
      </c>
      <c r="SVA60" s="280">
        <v>0</v>
      </c>
      <c r="SVB60" s="280">
        <v>0</v>
      </c>
      <c r="SVC60" s="280">
        <v>0</v>
      </c>
      <c r="SVD60" s="280">
        <v>0</v>
      </c>
      <c r="SVE60" s="280">
        <v>0</v>
      </c>
      <c r="SVF60" s="280">
        <v>0</v>
      </c>
      <c r="SVG60" s="280">
        <v>0</v>
      </c>
      <c r="SVH60" s="280">
        <v>0</v>
      </c>
      <c r="SVI60" s="280">
        <v>0</v>
      </c>
      <c r="SVJ60" s="280">
        <v>0</v>
      </c>
      <c r="SVK60" s="280">
        <v>0</v>
      </c>
      <c r="SVL60" s="280">
        <v>0</v>
      </c>
      <c r="SVM60" s="280">
        <v>0</v>
      </c>
      <c r="SVN60" s="280">
        <v>0</v>
      </c>
      <c r="SVO60" s="280">
        <v>0</v>
      </c>
      <c r="SVP60" s="280">
        <v>0</v>
      </c>
      <c r="SVQ60" s="280">
        <v>0</v>
      </c>
      <c r="SVR60" s="280">
        <v>0</v>
      </c>
      <c r="SVS60" s="280">
        <v>0</v>
      </c>
      <c r="SVT60" s="280">
        <v>0</v>
      </c>
      <c r="SVU60" s="280">
        <v>0</v>
      </c>
      <c r="SVV60" s="280">
        <v>0</v>
      </c>
      <c r="SVW60" s="280">
        <v>0</v>
      </c>
      <c r="SVX60" s="280">
        <v>0</v>
      </c>
      <c r="SVY60" s="280">
        <v>0</v>
      </c>
      <c r="SVZ60" s="280">
        <v>0</v>
      </c>
      <c r="SWA60" s="280">
        <v>0</v>
      </c>
      <c r="SWB60" s="280">
        <v>0</v>
      </c>
      <c r="SWC60" s="280">
        <v>0</v>
      </c>
      <c r="SWD60" s="280">
        <v>0</v>
      </c>
      <c r="SWE60" s="280">
        <v>0</v>
      </c>
      <c r="SWF60" s="280">
        <v>0</v>
      </c>
      <c r="SWG60" s="280">
        <v>0</v>
      </c>
      <c r="SWH60" s="280">
        <v>0</v>
      </c>
      <c r="SWI60" s="280">
        <v>0</v>
      </c>
      <c r="SWJ60" s="280">
        <v>0</v>
      </c>
      <c r="SWK60" s="280">
        <v>0</v>
      </c>
      <c r="SWL60" s="280">
        <v>0</v>
      </c>
      <c r="SWM60" s="280">
        <v>0</v>
      </c>
      <c r="SWN60" s="280">
        <v>0</v>
      </c>
      <c r="SWO60" s="280">
        <v>0</v>
      </c>
      <c r="SWP60" s="280">
        <v>0</v>
      </c>
      <c r="SWQ60" s="280">
        <v>0</v>
      </c>
      <c r="SWR60" s="280">
        <v>0</v>
      </c>
      <c r="SWS60" s="280">
        <v>0</v>
      </c>
      <c r="SWT60" s="280">
        <v>0</v>
      </c>
      <c r="SWU60" s="280">
        <v>0</v>
      </c>
      <c r="SWV60" s="280">
        <v>0</v>
      </c>
      <c r="SWW60" s="280">
        <v>0</v>
      </c>
      <c r="SWX60" s="280">
        <v>0</v>
      </c>
      <c r="SWY60" s="280">
        <v>0</v>
      </c>
      <c r="SWZ60" s="280">
        <v>0</v>
      </c>
      <c r="SXA60" s="280">
        <v>0</v>
      </c>
      <c r="SXB60" s="280">
        <v>0</v>
      </c>
      <c r="SXC60" s="280">
        <v>0</v>
      </c>
      <c r="SXD60" s="280">
        <v>0</v>
      </c>
      <c r="SXE60" s="280">
        <v>0</v>
      </c>
      <c r="SXF60" s="280">
        <v>0</v>
      </c>
      <c r="SXG60" s="280">
        <v>0</v>
      </c>
      <c r="SXH60" s="280">
        <v>0</v>
      </c>
      <c r="SXI60" s="280">
        <v>0</v>
      </c>
      <c r="SXJ60" s="280">
        <v>0</v>
      </c>
      <c r="SXK60" s="280">
        <v>0</v>
      </c>
      <c r="SXL60" s="280">
        <v>0</v>
      </c>
      <c r="SXM60" s="280">
        <v>0</v>
      </c>
      <c r="SXN60" s="280">
        <v>0</v>
      </c>
      <c r="SXO60" s="280">
        <v>0</v>
      </c>
      <c r="SXP60" s="280">
        <v>0</v>
      </c>
      <c r="SXQ60" s="280">
        <v>0</v>
      </c>
      <c r="SXR60" s="280">
        <v>0</v>
      </c>
      <c r="SXS60" s="280">
        <v>0</v>
      </c>
      <c r="SXT60" s="280">
        <v>0</v>
      </c>
      <c r="SXU60" s="280">
        <v>0</v>
      </c>
      <c r="SXV60" s="280">
        <v>0</v>
      </c>
      <c r="SXW60" s="280">
        <v>0</v>
      </c>
      <c r="SXX60" s="280">
        <v>0</v>
      </c>
      <c r="SXY60" s="280">
        <v>0</v>
      </c>
      <c r="SXZ60" s="280">
        <v>0</v>
      </c>
      <c r="SYA60" s="280">
        <v>0</v>
      </c>
      <c r="SYB60" s="280">
        <v>0</v>
      </c>
      <c r="SYC60" s="280">
        <v>0</v>
      </c>
      <c r="SYD60" s="280">
        <v>0</v>
      </c>
      <c r="SYE60" s="280">
        <v>0</v>
      </c>
      <c r="SYF60" s="280">
        <v>0</v>
      </c>
      <c r="SYG60" s="280">
        <v>0</v>
      </c>
      <c r="SYH60" s="280">
        <v>0</v>
      </c>
      <c r="SYI60" s="280">
        <v>0</v>
      </c>
      <c r="SYJ60" s="280">
        <v>0</v>
      </c>
      <c r="SYK60" s="280">
        <v>0</v>
      </c>
      <c r="SYL60" s="280">
        <v>0</v>
      </c>
      <c r="SYM60" s="280">
        <v>0</v>
      </c>
      <c r="SYN60" s="280">
        <v>0</v>
      </c>
      <c r="SYO60" s="280">
        <v>0</v>
      </c>
      <c r="SYP60" s="280">
        <v>0</v>
      </c>
      <c r="SYQ60" s="280">
        <v>0</v>
      </c>
      <c r="SYR60" s="280">
        <v>0</v>
      </c>
      <c r="SYS60" s="280">
        <v>0</v>
      </c>
      <c r="SYT60" s="280">
        <v>0</v>
      </c>
      <c r="SYU60" s="280">
        <v>0</v>
      </c>
      <c r="SYV60" s="280">
        <v>0</v>
      </c>
      <c r="SYW60" s="280">
        <v>0</v>
      </c>
      <c r="SYX60" s="280">
        <v>0</v>
      </c>
      <c r="SYY60" s="280">
        <v>0</v>
      </c>
      <c r="SYZ60" s="280">
        <v>0</v>
      </c>
      <c r="SZA60" s="280">
        <v>0</v>
      </c>
      <c r="SZB60" s="280">
        <v>0</v>
      </c>
      <c r="SZC60" s="280">
        <v>0</v>
      </c>
      <c r="SZD60" s="280">
        <v>0</v>
      </c>
      <c r="SZE60" s="280">
        <v>0</v>
      </c>
      <c r="SZF60" s="280">
        <v>0</v>
      </c>
      <c r="SZG60" s="280">
        <v>0</v>
      </c>
      <c r="SZH60" s="280">
        <v>0</v>
      </c>
      <c r="SZI60" s="280">
        <v>0</v>
      </c>
      <c r="SZJ60" s="280">
        <v>0</v>
      </c>
      <c r="SZK60" s="280">
        <v>0</v>
      </c>
      <c r="SZL60" s="280">
        <v>0</v>
      </c>
      <c r="SZM60" s="280">
        <v>0</v>
      </c>
      <c r="SZN60" s="280">
        <v>0</v>
      </c>
      <c r="SZO60" s="280">
        <v>0</v>
      </c>
      <c r="SZP60" s="280">
        <v>0</v>
      </c>
      <c r="SZQ60" s="280">
        <v>0</v>
      </c>
      <c r="SZR60" s="280">
        <v>0</v>
      </c>
      <c r="SZS60" s="280">
        <v>0</v>
      </c>
      <c r="SZT60" s="280">
        <v>0</v>
      </c>
      <c r="SZU60" s="280">
        <v>0</v>
      </c>
      <c r="SZV60" s="280">
        <v>0</v>
      </c>
      <c r="SZW60" s="280">
        <v>0</v>
      </c>
      <c r="SZX60" s="280">
        <v>0</v>
      </c>
      <c r="SZY60" s="280">
        <v>0</v>
      </c>
      <c r="SZZ60" s="280">
        <v>0</v>
      </c>
      <c r="TAA60" s="280">
        <v>0</v>
      </c>
      <c r="TAB60" s="280">
        <v>0</v>
      </c>
      <c r="TAC60" s="280">
        <v>0</v>
      </c>
      <c r="TAD60" s="280">
        <v>0</v>
      </c>
      <c r="TAE60" s="280">
        <v>0</v>
      </c>
      <c r="TAF60" s="280">
        <v>0</v>
      </c>
      <c r="TAG60" s="280">
        <v>0</v>
      </c>
      <c r="TAH60" s="280">
        <v>0</v>
      </c>
      <c r="TAI60" s="280">
        <v>0</v>
      </c>
      <c r="TAJ60" s="280">
        <v>0</v>
      </c>
      <c r="TAK60" s="280">
        <v>0</v>
      </c>
      <c r="TAL60" s="280">
        <v>0</v>
      </c>
      <c r="TAM60" s="280">
        <v>0</v>
      </c>
      <c r="TAN60" s="280">
        <v>0</v>
      </c>
      <c r="TAO60" s="280">
        <v>0</v>
      </c>
      <c r="TAP60" s="280">
        <v>0</v>
      </c>
      <c r="TAQ60" s="280">
        <v>0</v>
      </c>
      <c r="TAR60" s="280">
        <v>0</v>
      </c>
      <c r="TAS60" s="280">
        <v>0</v>
      </c>
      <c r="TAT60" s="280">
        <v>0</v>
      </c>
      <c r="TAU60" s="280">
        <v>0</v>
      </c>
      <c r="TAV60" s="280">
        <v>0</v>
      </c>
      <c r="TAW60" s="280">
        <v>0</v>
      </c>
      <c r="TAX60" s="280">
        <v>0</v>
      </c>
      <c r="TAY60" s="280">
        <v>0</v>
      </c>
      <c r="TAZ60" s="280">
        <v>0</v>
      </c>
      <c r="TBA60" s="280">
        <v>0</v>
      </c>
      <c r="TBB60" s="280">
        <v>0</v>
      </c>
      <c r="TBC60" s="280">
        <v>0</v>
      </c>
      <c r="TBD60" s="280">
        <v>0</v>
      </c>
      <c r="TBE60" s="280">
        <v>0</v>
      </c>
      <c r="TBF60" s="280">
        <v>0</v>
      </c>
      <c r="TBG60" s="280">
        <v>0</v>
      </c>
      <c r="TBH60" s="280">
        <v>0</v>
      </c>
      <c r="TBI60" s="280">
        <v>0</v>
      </c>
      <c r="TBJ60" s="280">
        <v>0</v>
      </c>
      <c r="TBK60" s="280">
        <v>0</v>
      </c>
      <c r="TBL60" s="280">
        <v>0</v>
      </c>
      <c r="TBM60" s="280">
        <v>0</v>
      </c>
      <c r="TBN60" s="280">
        <v>0</v>
      </c>
      <c r="TBO60" s="280">
        <v>0</v>
      </c>
      <c r="TBP60" s="280">
        <v>0</v>
      </c>
      <c r="TBQ60" s="280">
        <v>0</v>
      </c>
      <c r="TBR60" s="280">
        <v>0</v>
      </c>
      <c r="TBS60" s="280">
        <v>0</v>
      </c>
      <c r="TBT60" s="280">
        <v>0</v>
      </c>
      <c r="TBU60" s="280">
        <v>0</v>
      </c>
      <c r="TBV60" s="280">
        <v>0</v>
      </c>
      <c r="TBW60" s="280">
        <v>0</v>
      </c>
      <c r="TBX60" s="280">
        <v>0</v>
      </c>
      <c r="TBY60" s="280">
        <v>0</v>
      </c>
      <c r="TBZ60" s="280">
        <v>0</v>
      </c>
      <c r="TCA60" s="280">
        <v>0</v>
      </c>
      <c r="TCB60" s="280">
        <v>0</v>
      </c>
      <c r="TCC60" s="280">
        <v>0</v>
      </c>
      <c r="TCD60" s="280">
        <v>0</v>
      </c>
      <c r="TCE60" s="280">
        <v>0</v>
      </c>
      <c r="TCF60" s="280">
        <v>0</v>
      </c>
      <c r="TCG60" s="280">
        <v>0</v>
      </c>
      <c r="TCH60" s="280">
        <v>0</v>
      </c>
      <c r="TCI60" s="280">
        <v>0</v>
      </c>
      <c r="TCJ60" s="280">
        <v>0</v>
      </c>
      <c r="TCK60" s="280">
        <v>0</v>
      </c>
      <c r="TCL60" s="280">
        <v>0</v>
      </c>
      <c r="TCM60" s="280">
        <v>0</v>
      </c>
      <c r="TCN60" s="280">
        <v>0</v>
      </c>
      <c r="TCO60" s="280">
        <v>0</v>
      </c>
      <c r="TCP60" s="280">
        <v>0</v>
      </c>
      <c r="TCQ60" s="280">
        <v>0</v>
      </c>
      <c r="TCR60" s="280">
        <v>0</v>
      </c>
      <c r="TCS60" s="280">
        <v>0</v>
      </c>
      <c r="TCT60" s="280">
        <v>0</v>
      </c>
      <c r="TCU60" s="280">
        <v>0</v>
      </c>
      <c r="TCV60" s="280">
        <v>0</v>
      </c>
      <c r="TCW60" s="280">
        <v>0</v>
      </c>
      <c r="TCX60" s="280">
        <v>0</v>
      </c>
      <c r="TCY60" s="280">
        <v>0</v>
      </c>
      <c r="TCZ60" s="280">
        <v>0</v>
      </c>
      <c r="TDA60" s="280">
        <v>0</v>
      </c>
      <c r="TDB60" s="280">
        <v>0</v>
      </c>
      <c r="TDC60" s="280">
        <v>0</v>
      </c>
      <c r="TDD60" s="280">
        <v>0</v>
      </c>
      <c r="TDE60" s="280">
        <v>0</v>
      </c>
      <c r="TDF60" s="280">
        <v>0</v>
      </c>
      <c r="TDG60" s="280">
        <v>0</v>
      </c>
      <c r="TDH60" s="280">
        <v>0</v>
      </c>
      <c r="TDI60" s="280">
        <v>0</v>
      </c>
      <c r="TDJ60" s="280">
        <v>0</v>
      </c>
      <c r="TDK60" s="280">
        <v>0</v>
      </c>
      <c r="TDL60" s="280">
        <v>0</v>
      </c>
      <c r="TDM60" s="280">
        <v>0</v>
      </c>
      <c r="TDN60" s="280">
        <v>0</v>
      </c>
      <c r="TDO60" s="280">
        <v>0</v>
      </c>
      <c r="TDP60" s="280">
        <v>0</v>
      </c>
      <c r="TDQ60" s="280">
        <v>0</v>
      </c>
      <c r="TDR60" s="280">
        <v>0</v>
      </c>
      <c r="TDS60" s="280">
        <v>0</v>
      </c>
      <c r="TDT60" s="280">
        <v>0</v>
      </c>
      <c r="TDU60" s="280">
        <v>0</v>
      </c>
      <c r="TDV60" s="280">
        <v>0</v>
      </c>
      <c r="TDW60" s="280">
        <v>0</v>
      </c>
      <c r="TDX60" s="280">
        <v>0</v>
      </c>
      <c r="TDY60" s="280">
        <v>0</v>
      </c>
      <c r="TDZ60" s="280">
        <v>0</v>
      </c>
      <c r="TEA60" s="280">
        <v>0</v>
      </c>
      <c r="TEB60" s="280">
        <v>0</v>
      </c>
      <c r="TEC60" s="280">
        <v>0</v>
      </c>
      <c r="TED60" s="280">
        <v>0</v>
      </c>
      <c r="TEE60" s="280">
        <v>0</v>
      </c>
      <c r="TEF60" s="280">
        <v>0</v>
      </c>
      <c r="TEG60" s="280">
        <v>0</v>
      </c>
      <c r="TEH60" s="280">
        <v>0</v>
      </c>
      <c r="TEI60" s="280">
        <v>0</v>
      </c>
      <c r="TEJ60" s="280">
        <v>0</v>
      </c>
      <c r="TEK60" s="280">
        <v>0</v>
      </c>
      <c r="TEL60" s="280">
        <v>0</v>
      </c>
      <c r="TEM60" s="280">
        <v>0</v>
      </c>
      <c r="TEN60" s="280">
        <v>0</v>
      </c>
      <c r="TEO60" s="280">
        <v>0</v>
      </c>
      <c r="TEP60" s="280">
        <v>0</v>
      </c>
      <c r="TEQ60" s="280">
        <v>0</v>
      </c>
      <c r="TER60" s="280">
        <v>0</v>
      </c>
      <c r="TES60" s="280">
        <v>0</v>
      </c>
      <c r="TET60" s="280">
        <v>0</v>
      </c>
      <c r="TEU60" s="280">
        <v>0</v>
      </c>
      <c r="TEV60" s="280">
        <v>0</v>
      </c>
      <c r="TEW60" s="280">
        <v>0</v>
      </c>
      <c r="TEX60" s="280">
        <v>0</v>
      </c>
      <c r="TEY60" s="280">
        <v>0</v>
      </c>
      <c r="TEZ60" s="280">
        <v>0</v>
      </c>
      <c r="TFA60" s="280">
        <v>0</v>
      </c>
      <c r="TFB60" s="280">
        <v>0</v>
      </c>
      <c r="TFC60" s="280">
        <v>0</v>
      </c>
      <c r="TFD60" s="280">
        <v>0</v>
      </c>
      <c r="TFE60" s="280">
        <v>0</v>
      </c>
      <c r="TFF60" s="280">
        <v>0</v>
      </c>
      <c r="TFG60" s="280">
        <v>0</v>
      </c>
      <c r="TFH60" s="280">
        <v>0</v>
      </c>
      <c r="TFI60" s="280">
        <v>0</v>
      </c>
      <c r="TFJ60" s="280">
        <v>0</v>
      </c>
      <c r="TFK60" s="280">
        <v>0</v>
      </c>
      <c r="TFL60" s="280">
        <v>0</v>
      </c>
      <c r="TFM60" s="280">
        <v>0</v>
      </c>
      <c r="TFN60" s="280">
        <v>0</v>
      </c>
      <c r="TFO60" s="280">
        <v>0</v>
      </c>
      <c r="TFP60" s="280">
        <v>0</v>
      </c>
      <c r="TFQ60" s="280">
        <v>0</v>
      </c>
      <c r="TFR60" s="280">
        <v>0</v>
      </c>
      <c r="TFS60" s="280">
        <v>0</v>
      </c>
      <c r="TFT60" s="280">
        <v>0</v>
      </c>
      <c r="TFU60" s="280">
        <v>0</v>
      </c>
      <c r="TFV60" s="280">
        <v>0</v>
      </c>
      <c r="TFW60" s="280">
        <v>0</v>
      </c>
      <c r="TFX60" s="280">
        <v>0</v>
      </c>
      <c r="TFY60" s="280">
        <v>0</v>
      </c>
      <c r="TFZ60" s="280">
        <v>0</v>
      </c>
      <c r="TGA60" s="280">
        <v>0</v>
      </c>
      <c r="TGB60" s="280">
        <v>0</v>
      </c>
      <c r="TGC60" s="280">
        <v>0</v>
      </c>
      <c r="TGD60" s="280">
        <v>0</v>
      </c>
      <c r="TGE60" s="280">
        <v>0</v>
      </c>
      <c r="TGF60" s="280">
        <v>0</v>
      </c>
      <c r="TGG60" s="280">
        <v>0</v>
      </c>
      <c r="TGH60" s="280">
        <v>0</v>
      </c>
      <c r="TGI60" s="280">
        <v>0</v>
      </c>
      <c r="TGJ60" s="280">
        <v>0</v>
      </c>
      <c r="TGK60" s="280">
        <v>0</v>
      </c>
      <c r="TGL60" s="280">
        <v>0</v>
      </c>
      <c r="TGM60" s="280">
        <v>0</v>
      </c>
      <c r="TGN60" s="280">
        <v>0</v>
      </c>
      <c r="TGO60" s="280">
        <v>0</v>
      </c>
      <c r="TGP60" s="280">
        <v>0</v>
      </c>
      <c r="TGQ60" s="280">
        <v>0</v>
      </c>
      <c r="TGR60" s="280">
        <v>0</v>
      </c>
      <c r="TGS60" s="280">
        <v>0</v>
      </c>
      <c r="TGT60" s="280">
        <v>0</v>
      </c>
      <c r="TGU60" s="280">
        <v>0</v>
      </c>
      <c r="TGV60" s="280">
        <v>0</v>
      </c>
      <c r="TGW60" s="280">
        <v>0</v>
      </c>
      <c r="TGX60" s="280">
        <v>0</v>
      </c>
      <c r="TGY60" s="280">
        <v>0</v>
      </c>
      <c r="TGZ60" s="280">
        <v>0</v>
      </c>
      <c r="THA60" s="280">
        <v>0</v>
      </c>
      <c r="THB60" s="280">
        <v>0</v>
      </c>
      <c r="THC60" s="280">
        <v>0</v>
      </c>
      <c r="THD60" s="280">
        <v>0</v>
      </c>
      <c r="THE60" s="280">
        <v>0</v>
      </c>
      <c r="THF60" s="280">
        <v>0</v>
      </c>
      <c r="THG60" s="280">
        <v>0</v>
      </c>
      <c r="THH60" s="280">
        <v>0</v>
      </c>
      <c r="THI60" s="280">
        <v>0</v>
      </c>
      <c r="THJ60" s="280">
        <v>0</v>
      </c>
      <c r="THK60" s="280">
        <v>0</v>
      </c>
      <c r="THL60" s="280">
        <v>0</v>
      </c>
      <c r="THM60" s="280">
        <v>0</v>
      </c>
      <c r="THN60" s="280">
        <v>0</v>
      </c>
      <c r="THO60" s="280">
        <v>0</v>
      </c>
      <c r="THP60" s="280">
        <v>0</v>
      </c>
      <c r="THQ60" s="280">
        <v>0</v>
      </c>
      <c r="THR60" s="280">
        <v>0</v>
      </c>
      <c r="THS60" s="280">
        <v>0</v>
      </c>
      <c r="THT60" s="280">
        <v>0</v>
      </c>
      <c r="THU60" s="280">
        <v>0</v>
      </c>
      <c r="THV60" s="280">
        <v>0</v>
      </c>
      <c r="THW60" s="280">
        <v>0</v>
      </c>
      <c r="THX60" s="280">
        <v>0</v>
      </c>
      <c r="THY60" s="280">
        <v>0</v>
      </c>
      <c r="THZ60" s="280">
        <v>0</v>
      </c>
      <c r="TIA60" s="280">
        <v>0</v>
      </c>
      <c r="TIB60" s="280">
        <v>0</v>
      </c>
      <c r="TIC60" s="280">
        <v>0</v>
      </c>
      <c r="TID60" s="280">
        <v>0</v>
      </c>
      <c r="TIE60" s="280">
        <v>0</v>
      </c>
      <c r="TIF60" s="280">
        <v>0</v>
      </c>
      <c r="TIG60" s="280">
        <v>0</v>
      </c>
      <c r="TIH60" s="280">
        <v>0</v>
      </c>
      <c r="TII60" s="280">
        <v>0</v>
      </c>
      <c r="TIJ60" s="280">
        <v>0</v>
      </c>
      <c r="TIK60" s="280">
        <v>0</v>
      </c>
      <c r="TIL60" s="280">
        <v>0</v>
      </c>
      <c r="TIM60" s="280">
        <v>0</v>
      </c>
      <c r="TIN60" s="280">
        <v>0</v>
      </c>
      <c r="TIO60" s="280">
        <v>0</v>
      </c>
      <c r="TIP60" s="280">
        <v>0</v>
      </c>
      <c r="TIQ60" s="280">
        <v>0</v>
      </c>
      <c r="TIR60" s="280">
        <v>0</v>
      </c>
      <c r="TIS60" s="280">
        <v>0</v>
      </c>
      <c r="TIT60" s="280">
        <v>0</v>
      </c>
      <c r="TIU60" s="280">
        <v>0</v>
      </c>
      <c r="TIV60" s="280">
        <v>0</v>
      </c>
      <c r="TIW60" s="280">
        <v>0</v>
      </c>
      <c r="TIX60" s="280">
        <v>0</v>
      </c>
      <c r="TIY60" s="280">
        <v>0</v>
      </c>
      <c r="TIZ60" s="280">
        <v>0</v>
      </c>
      <c r="TJA60" s="280">
        <v>0</v>
      </c>
      <c r="TJB60" s="280">
        <v>0</v>
      </c>
      <c r="TJC60" s="280">
        <v>0</v>
      </c>
      <c r="TJD60" s="280">
        <v>0</v>
      </c>
      <c r="TJE60" s="280">
        <v>0</v>
      </c>
      <c r="TJF60" s="280">
        <v>0</v>
      </c>
      <c r="TJG60" s="280">
        <v>0</v>
      </c>
      <c r="TJH60" s="280">
        <v>0</v>
      </c>
      <c r="TJI60" s="280">
        <v>0</v>
      </c>
      <c r="TJJ60" s="280">
        <v>0</v>
      </c>
      <c r="TJK60" s="280">
        <v>0</v>
      </c>
      <c r="TJL60" s="280">
        <v>0</v>
      </c>
      <c r="TJM60" s="280">
        <v>0</v>
      </c>
      <c r="TJN60" s="280">
        <v>0</v>
      </c>
      <c r="TJO60" s="280">
        <v>0</v>
      </c>
      <c r="TJP60" s="280">
        <v>0</v>
      </c>
      <c r="TJQ60" s="280">
        <v>0</v>
      </c>
      <c r="TJR60" s="280">
        <v>0</v>
      </c>
      <c r="TJS60" s="280">
        <v>0</v>
      </c>
      <c r="TJT60" s="280">
        <v>0</v>
      </c>
      <c r="TJU60" s="280">
        <v>0</v>
      </c>
      <c r="TJV60" s="280">
        <v>0</v>
      </c>
      <c r="TJW60" s="280">
        <v>0</v>
      </c>
      <c r="TJX60" s="280">
        <v>0</v>
      </c>
      <c r="TJY60" s="280">
        <v>0</v>
      </c>
      <c r="TJZ60" s="280">
        <v>0</v>
      </c>
      <c r="TKA60" s="280">
        <v>0</v>
      </c>
      <c r="TKB60" s="280">
        <v>0</v>
      </c>
      <c r="TKC60" s="280">
        <v>0</v>
      </c>
      <c r="TKD60" s="280">
        <v>0</v>
      </c>
      <c r="TKE60" s="280">
        <v>0</v>
      </c>
      <c r="TKF60" s="280">
        <v>0</v>
      </c>
      <c r="TKG60" s="280">
        <v>0</v>
      </c>
      <c r="TKH60" s="280">
        <v>0</v>
      </c>
      <c r="TKI60" s="280">
        <v>0</v>
      </c>
      <c r="TKJ60" s="280">
        <v>0</v>
      </c>
      <c r="TKK60" s="280">
        <v>0</v>
      </c>
      <c r="TKL60" s="280">
        <v>0</v>
      </c>
      <c r="TKM60" s="280">
        <v>0</v>
      </c>
      <c r="TKN60" s="280">
        <v>0</v>
      </c>
      <c r="TKO60" s="280">
        <v>0</v>
      </c>
      <c r="TKP60" s="280">
        <v>0</v>
      </c>
      <c r="TKQ60" s="280">
        <v>0</v>
      </c>
      <c r="TKR60" s="280">
        <v>0</v>
      </c>
      <c r="TKS60" s="280">
        <v>0</v>
      </c>
      <c r="TKT60" s="280">
        <v>0</v>
      </c>
      <c r="TKU60" s="280">
        <v>0</v>
      </c>
      <c r="TKV60" s="280">
        <v>0</v>
      </c>
      <c r="TKW60" s="280">
        <v>0</v>
      </c>
      <c r="TKX60" s="280">
        <v>0</v>
      </c>
      <c r="TKY60" s="280">
        <v>0</v>
      </c>
      <c r="TKZ60" s="280">
        <v>0</v>
      </c>
      <c r="TLA60" s="280">
        <v>0</v>
      </c>
      <c r="TLB60" s="280">
        <v>0</v>
      </c>
      <c r="TLC60" s="280">
        <v>0</v>
      </c>
      <c r="TLD60" s="280">
        <v>0</v>
      </c>
      <c r="TLE60" s="280">
        <v>0</v>
      </c>
      <c r="TLF60" s="280">
        <v>0</v>
      </c>
      <c r="TLG60" s="280">
        <v>0</v>
      </c>
      <c r="TLH60" s="280">
        <v>0</v>
      </c>
      <c r="TLI60" s="280">
        <v>0</v>
      </c>
      <c r="TLJ60" s="280">
        <v>0</v>
      </c>
      <c r="TLK60" s="280">
        <v>0</v>
      </c>
      <c r="TLL60" s="280">
        <v>0</v>
      </c>
      <c r="TLM60" s="280">
        <v>0</v>
      </c>
      <c r="TLN60" s="280">
        <v>0</v>
      </c>
      <c r="TLO60" s="280">
        <v>0</v>
      </c>
      <c r="TLP60" s="280">
        <v>0</v>
      </c>
      <c r="TLQ60" s="280">
        <v>0</v>
      </c>
      <c r="TLR60" s="280">
        <v>0</v>
      </c>
      <c r="TLS60" s="280">
        <v>0</v>
      </c>
      <c r="TLT60" s="280">
        <v>0</v>
      </c>
      <c r="TLU60" s="280">
        <v>0</v>
      </c>
      <c r="TLV60" s="280">
        <v>0</v>
      </c>
      <c r="TLW60" s="280">
        <v>0</v>
      </c>
      <c r="TLX60" s="280">
        <v>0</v>
      </c>
      <c r="TLY60" s="280">
        <v>0</v>
      </c>
      <c r="TLZ60" s="280">
        <v>0</v>
      </c>
      <c r="TMA60" s="280">
        <v>0</v>
      </c>
      <c r="TMB60" s="280">
        <v>0</v>
      </c>
      <c r="TMC60" s="280">
        <v>0</v>
      </c>
      <c r="TMD60" s="280">
        <v>0</v>
      </c>
      <c r="TME60" s="280">
        <v>0</v>
      </c>
      <c r="TMF60" s="280">
        <v>0</v>
      </c>
      <c r="TMG60" s="280">
        <v>0</v>
      </c>
      <c r="TMH60" s="280">
        <v>0</v>
      </c>
      <c r="TMI60" s="280">
        <v>0</v>
      </c>
      <c r="TMJ60" s="280">
        <v>0</v>
      </c>
      <c r="TMK60" s="280">
        <v>0</v>
      </c>
      <c r="TML60" s="280">
        <v>0</v>
      </c>
      <c r="TMM60" s="280">
        <v>0</v>
      </c>
      <c r="TMN60" s="280">
        <v>0</v>
      </c>
      <c r="TMO60" s="280">
        <v>0</v>
      </c>
      <c r="TMP60" s="280">
        <v>0</v>
      </c>
      <c r="TMQ60" s="280">
        <v>0</v>
      </c>
      <c r="TMR60" s="280">
        <v>0</v>
      </c>
      <c r="TMS60" s="280">
        <v>0</v>
      </c>
      <c r="TMT60" s="280">
        <v>0</v>
      </c>
      <c r="TMU60" s="280">
        <v>0</v>
      </c>
      <c r="TMV60" s="280">
        <v>0</v>
      </c>
      <c r="TMW60" s="280">
        <v>0</v>
      </c>
      <c r="TMX60" s="280">
        <v>0</v>
      </c>
      <c r="TMY60" s="280">
        <v>0</v>
      </c>
      <c r="TMZ60" s="280">
        <v>0</v>
      </c>
      <c r="TNA60" s="280">
        <v>0</v>
      </c>
      <c r="TNB60" s="280">
        <v>0</v>
      </c>
      <c r="TNC60" s="280">
        <v>0</v>
      </c>
      <c r="TND60" s="280">
        <v>0</v>
      </c>
      <c r="TNE60" s="280">
        <v>0</v>
      </c>
      <c r="TNF60" s="280">
        <v>0</v>
      </c>
      <c r="TNG60" s="280">
        <v>0</v>
      </c>
      <c r="TNH60" s="280">
        <v>0</v>
      </c>
      <c r="TNI60" s="280">
        <v>0</v>
      </c>
      <c r="TNJ60" s="280">
        <v>0</v>
      </c>
      <c r="TNK60" s="280">
        <v>0</v>
      </c>
      <c r="TNL60" s="280">
        <v>0</v>
      </c>
      <c r="TNM60" s="280">
        <v>0</v>
      </c>
      <c r="TNN60" s="280">
        <v>0</v>
      </c>
      <c r="TNO60" s="280">
        <v>0</v>
      </c>
      <c r="TNP60" s="280">
        <v>0</v>
      </c>
      <c r="TNQ60" s="280">
        <v>0</v>
      </c>
      <c r="TNR60" s="280">
        <v>0</v>
      </c>
      <c r="TNS60" s="280">
        <v>0</v>
      </c>
      <c r="TNT60" s="280">
        <v>0</v>
      </c>
      <c r="TNU60" s="280">
        <v>0</v>
      </c>
      <c r="TNV60" s="280">
        <v>0</v>
      </c>
      <c r="TNW60" s="280">
        <v>0</v>
      </c>
      <c r="TNX60" s="280">
        <v>0</v>
      </c>
      <c r="TNY60" s="280">
        <v>0</v>
      </c>
      <c r="TNZ60" s="280">
        <v>0</v>
      </c>
      <c r="TOA60" s="280">
        <v>0</v>
      </c>
      <c r="TOB60" s="280">
        <v>0</v>
      </c>
      <c r="TOC60" s="280">
        <v>0</v>
      </c>
      <c r="TOD60" s="280">
        <v>0</v>
      </c>
      <c r="TOE60" s="280">
        <v>0</v>
      </c>
      <c r="TOF60" s="280">
        <v>0</v>
      </c>
      <c r="TOG60" s="280">
        <v>0</v>
      </c>
      <c r="TOH60" s="280">
        <v>0</v>
      </c>
      <c r="TOI60" s="280">
        <v>0</v>
      </c>
      <c r="TOJ60" s="280">
        <v>0</v>
      </c>
      <c r="TOK60" s="280">
        <v>0</v>
      </c>
      <c r="TOL60" s="280">
        <v>0</v>
      </c>
      <c r="TOM60" s="280">
        <v>0</v>
      </c>
      <c r="TON60" s="280">
        <v>0</v>
      </c>
      <c r="TOO60" s="280">
        <v>0</v>
      </c>
      <c r="TOP60" s="280">
        <v>0</v>
      </c>
      <c r="TOQ60" s="280">
        <v>0</v>
      </c>
      <c r="TOR60" s="280">
        <v>0</v>
      </c>
      <c r="TOS60" s="280">
        <v>0</v>
      </c>
      <c r="TOT60" s="280">
        <v>0</v>
      </c>
      <c r="TOU60" s="280">
        <v>0</v>
      </c>
      <c r="TOV60" s="280">
        <v>0</v>
      </c>
      <c r="TOW60" s="280">
        <v>0</v>
      </c>
      <c r="TOX60" s="280">
        <v>0</v>
      </c>
      <c r="TOY60" s="280">
        <v>0</v>
      </c>
      <c r="TOZ60" s="280">
        <v>0</v>
      </c>
      <c r="TPA60" s="280">
        <v>0</v>
      </c>
      <c r="TPB60" s="280">
        <v>0</v>
      </c>
      <c r="TPC60" s="280">
        <v>0</v>
      </c>
      <c r="TPD60" s="280">
        <v>0</v>
      </c>
      <c r="TPE60" s="280">
        <v>0</v>
      </c>
      <c r="TPF60" s="280">
        <v>0</v>
      </c>
      <c r="TPG60" s="280">
        <v>0</v>
      </c>
      <c r="TPH60" s="280">
        <v>0</v>
      </c>
      <c r="TPI60" s="280">
        <v>0</v>
      </c>
      <c r="TPJ60" s="280">
        <v>0</v>
      </c>
      <c r="TPK60" s="280">
        <v>0</v>
      </c>
      <c r="TPL60" s="280">
        <v>0</v>
      </c>
      <c r="TPM60" s="280">
        <v>0</v>
      </c>
      <c r="TPN60" s="280">
        <v>0</v>
      </c>
      <c r="TPO60" s="280">
        <v>0</v>
      </c>
      <c r="TPP60" s="280">
        <v>0</v>
      </c>
      <c r="TPQ60" s="280">
        <v>0</v>
      </c>
      <c r="TPR60" s="280">
        <v>0</v>
      </c>
      <c r="TPS60" s="280">
        <v>0</v>
      </c>
      <c r="TPT60" s="280">
        <v>0</v>
      </c>
      <c r="TPU60" s="280">
        <v>0</v>
      </c>
      <c r="TPV60" s="280">
        <v>0</v>
      </c>
      <c r="TPW60" s="280">
        <v>0</v>
      </c>
      <c r="TPX60" s="280">
        <v>0</v>
      </c>
      <c r="TPY60" s="280">
        <v>0</v>
      </c>
      <c r="TPZ60" s="280">
        <v>0</v>
      </c>
      <c r="TQA60" s="280">
        <v>0</v>
      </c>
      <c r="TQB60" s="280">
        <v>0</v>
      </c>
      <c r="TQC60" s="280">
        <v>0</v>
      </c>
      <c r="TQD60" s="280">
        <v>0</v>
      </c>
      <c r="TQE60" s="280">
        <v>0</v>
      </c>
      <c r="TQF60" s="280">
        <v>0</v>
      </c>
      <c r="TQG60" s="280">
        <v>0</v>
      </c>
      <c r="TQH60" s="280">
        <v>0</v>
      </c>
      <c r="TQI60" s="280">
        <v>0</v>
      </c>
      <c r="TQJ60" s="280">
        <v>0</v>
      </c>
      <c r="TQK60" s="280">
        <v>0</v>
      </c>
      <c r="TQL60" s="280">
        <v>0</v>
      </c>
      <c r="TQM60" s="280">
        <v>0</v>
      </c>
      <c r="TQN60" s="280">
        <v>0</v>
      </c>
      <c r="TQO60" s="280">
        <v>0</v>
      </c>
      <c r="TQP60" s="280">
        <v>0</v>
      </c>
      <c r="TQQ60" s="280">
        <v>0</v>
      </c>
      <c r="TQR60" s="280">
        <v>0</v>
      </c>
      <c r="TQS60" s="280">
        <v>0</v>
      </c>
      <c r="TQT60" s="280">
        <v>0</v>
      </c>
      <c r="TQU60" s="280">
        <v>0</v>
      </c>
      <c r="TQV60" s="280">
        <v>0</v>
      </c>
      <c r="TQW60" s="280">
        <v>0</v>
      </c>
      <c r="TQX60" s="280">
        <v>0</v>
      </c>
      <c r="TQY60" s="280">
        <v>0</v>
      </c>
      <c r="TQZ60" s="280">
        <v>0</v>
      </c>
      <c r="TRA60" s="280">
        <v>0</v>
      </c>
      <c r="TRB60" s="280">
        <v>0</v>
      </c>
      <c r="TRC60" s="280">
        <v>0</v>
      </c>
      <c r="TRD60" s="280">
        <v>0</v>
      </c>
      <c r="TRE60" s="280">
        <v>0</v>
      </c>
      <c r="TRF60" s="280">
        <v>0</v>
      </c>
      <c r="TRG60" s="280">
        <v>0</v>
      </c>
      <c r="TRH60" s="280">
        <v>0</v>
      </c>
      <c r="TRI60" s="280">
        <v>0</v>
      </c>
      <c r="TRJ60" s="280">
        <v>0</v>
      </c>
      <c r="TRK60" s="280">
        <v>0</v>
      </c>
      <c r="TRL60" s="280">
        <v>0</v>
      </c>
      <c r="TRM60" s="280">
        <v>0</v>
      </c>
      <c r="TRN60" s="280">
        <v>0</v>
      </c>
      <c r="TRO60" s="280">
        <v>0</v>
      </c>
      <c r="TRP60" s="280">
        <v>0</v>
      </c>
      <c r="TRQ60" s="280">
        <v>0</v>
      </c>
      <c r="TRR60" s="280">
        <v>0</v>
      </c>
      <c r="TRS60" s="280">
        <v>0</v>
      </c>
      <c r="TRT60" s="280">
        <v>0</v>
      </c>
      <c r="TRU60" s="280">
        <v>0</v>
      </c>
      <c r="TRV60" s="280">
        <v>0</v>
      </c>
      <c r="TRW60" s="280">
        <v>0</v>
      </c>
      <c r="TRX60" s="280">
        <v>0</v>
      </c>
      <c r="TRY60" s="280">
        <v>0</v>
      </c>
      <c r="TRZ60" s="280">
        <v>0</v>
      </c>
      <c r="TSA60" s="280">
        <v>0</v>
      </c>
      <c r="TSB60" s="280">
        <v>0</v>
      </c>
      <c r="TSC60" s="280">
        <v>0</v>
      </c>
      <c r="TSD60" s="280">
        <v>0</v>
      </c>
      <c r="TSE60" s="280">
        <v>0</v>
      </c>
      <c r="TSF60" s="280">
        <v>0</v>
      </c>
      <c r="TSG60" s="280">
        <v>0</v>
      </c>
      <c r="TSH60" s="280">
        <v>0</v>
      </c>
      <c r="TSI60" s="280">
        <v>0</v>
      </c>
      <c r="TSJ60" s="280">
        <v>0</v>
      </c>
      <c r="TSK60" s="280">
        <v>0</v>
      </c>
      <c r="TSL60" s="280">
        <v>0</v>
      </c>
      <c r="TSM60" s="280">
        <v>0</v>
      </c>
      <c r="TSN60" s="280">
        <v>0</v>
      </c>
      <c r="TSO60" s="280">
        <v>0</v>
      </c>
      <c r="TSP60" s="280">
        <v>0</v>
      </c>
      <c r="TSQ60" s="280">
        <v>0</v>
      </c>
      <c r="TSR60" s="280">
        <v>0</v>
      </c>
      <c r="TSS60" s="280">
        <v>0</v>
      </c>
      <c r="TST60" s="280">
        <v>0</v>
      </c>
      <c r="TSU60" s="280">
        <v>0</v>
      </c>
      <c r="TSV60" s="280">
        <v>0</v>
      </c>
      <c r="TSW60" s="280">
        <v>0</v>
      </c>
      <c r="TSX60" s="280">
        <v>0</v>
      </c>
      <c r="TSY60" s="280">
        <v>0</v>
      </c>
      <c r="TSZ60" s="280">
        <v>0</v>
      </c>
      <c r="TTA60" s="280">
        <v>0</v>
      </c>
      <c r="TTB60" s="280">
        <v>0</v>
      </c>
      <c r="TTC60" s="280">
        <v>0</v>
      </c>
      <c r="TTD60" s="280">
        <v>0</v>
      </c>
      <c r="TTE60" s="280">
        <v>0</v>
      </c>
      <c r="TTF60" s="280">
        <v>0</v>
      </c>
      <c r="TTG60" s="280">
        <v>0</v>
      </c>
      <c r="TTH60" s="280">
        <v>0</v>
      </c>
      <c r="TTI60" s="280">
        <v>0</v>
      </c>
      <c r="TTJ60" s="280">
        <v>0</v>
      </c>
      <c r="TTK60" s="280">
        <v>0</v>
      </c>
      <c r="TTL60" s="280">
        <v>0</v>
      </c>
      <c r="TTM60" s="280">
        <v>0</v>
      </c>
      <c r="TTN60" s="280">
        <v>0</v>
      </c>
      <c r="TTO60" s="280">
        <v>0</v>
      </c>
      <c r="TTP60" s="280">
        <v>0</v>
      </c>
      <c r="TTQ60" s="280">
        <v>0</v>
      </c>
      <c r="TTR60" s="280">
        <v>0</v>
      </c>
      <c r="TTS60" s="280">
        <v>0</v>
      </c>
      <c r="TTT60" s="280">
        <v>0</v>
      </c>
      <c r="TTU60" s="280">
        <v>0</v>
      </c>
      <c r="TTV60" s="280">
        <v>0</v>
      </c>
      <c r="TTW60" s="280">
        <v>0</v>
      </c>
      <c r="TTX60" s="280">
        <v>0</v>
      </c>
      <c r="TTY60" s="280">
        <v>0</v>
      </c>
      <c r="TTZ60" s="280">
        <v>0</v>
      </c>
      <c r="TUA60" s="280">
        <v>0</v>
      </c>
      <c r="TUB60" s="280">
        <v>0</v>
      </c>
      <c r="TUC60" s="280">
        <v>0</v>
      </c>
      <c r="TUD60" s="280">
        <v>0</v>
      </c>
      <c r="TUE60" s="280">
        <v>0</v>
      </c>
      <c r="TUF60" s="280">
        <v>0</v>
      </c>
      <c r="TUG60" s="280">
        <v>0</v>
      </c>
      <c r="TUH60" s="280">
        <v>0</v>
      </c>
      <c r="TUI60" s="280">
        <v>0</v>
      </c>
      <c r="TUJ60" s="280">
        <v>0</v>
      </c>
      <c r="TUK60" s="280">
        <v>0</v>
      </c>
      <c r="TUL60" s="280">
        <v>0</v>
      </c>
      <c r="TUM60" s="280">
        <v>0</v>
      </c>
      <c r="TUN60" s="280">
        <v>0</v>
      </c>
      <c r="TUO60" s="280">
        <v>0</v>
      </c>
      <c r="TUP60" s="280">
        <v>0</v>
      </c>
      <c r="TUQ60" s="280">
        <v>0</v>
      </c>
      <c r="TUR60" s="280">
        <v>0</v>
      </c>
      <c r="TUS60" s="280">
        <v>0</v>
      </c>
      <c r="TUT60" s="280">
        <v>0</v>
      </c>
      <c r="TUU60" s="280">
        <v>0</v>
      </c>
      <c r="TUV60" s="280">
        <v>0</v>
      </c>
      <c r="TUW60" s="280">
        <v>0</v>
      </c>
      <c r="TUX60" s="280">
        <v>0</v>
      </c>
      <c r="TUY60" s="280">
        <v>0</v>
      </c>
      <c r="TUZ60" s="280">
        <v>0</v>
      </c>
      <c r="TVA60" s="280">
        <v>0</v>
      </c>
      <c r="TVB60" s="280">
        <v>0</v>
      </c>
      <c r="TVC60" s="280">
        <v>0</v>
      </c>
      <c r="TVD60" s="280">
        <v>0</v>
      </c>
      <c r="TVE60" s="280">
        <v>0</v>
      </c>
      <c r="TVF60" s="280">
        <v>0</v>
      </c>
      <c r="TVG60" s="280">
        <v>0</v>
      </c>
      <c r="TVH60" s="280">
        <v>0</v>
      </c>
      <c r="TVI60" s="280">
        <v>0</v>
      </c>
      <c r="TVJ60" s="280">
        <v>0</v>
      </c>
      <c r="TVK60" s="280">
        <v>0</v>
      </c>
      <c r="TVL60" s="280">
        <v>0</v>
      </c>
      <c r="TVM60" s="280">
        <v>0</v>
      </c>
      <c r="TVN60" s="280">
        <v>0</v>
      </c>
      <c r="TVO60" s="280">
        <v>0</v>
      </c>
      <c r="TVP60" s="280">
        <v>0</v>
      </c>
      <c r="TVQ60" s="280">
        <v>0</v>
      </c>
      <c r="TVR60" s="280">
        <v>0</v>
      </c>
      <c r="TVS60" s="280">
        <v>0</v>
      </c>
      <c r="TVT60" s="280">
        <v>0</v>
      </c>
      <c r="TVU60" s="280">
        <v>0</v>
      </c>
      <c r="TVV60" s="280">
        <v>0</v>
      </c>
      <c r="TVW60" s="280">
        <v>0</v>
      </c>
      <c r="TVX60" s="280">
        <v>0</v>
      </c>
      <c r="TVY60" s="280">
        <v>0</v>
      </c>
      <c r="TVZ60" s="280">
        <v>0</v>
      </c>
      <c r="TWA60" s="280">
        <v>0</v>
      </c>
      <c r="TWB60" s="280">
        <v>0</v>
      </c>
      <c r="TWC60" s="280">
        <v>0</v>
      </c>
      <c r="TWD60" s="280">
        <v>0</v>
      </c>
      <c r="TWE60" s="280">
        <v>0</v>
      </c>
      <c r="TWF60" s="280">
        <v>0</v>
      </c>
      <c r="TWG60" s="280">
        <v>0</v>
      </c>
      <c r="TWH60" s="280">
        <v>0</v>
      </c>
      <c r="TWI60" s="280">
        <v>0</v>
      </c>
      <c r="TWJ60" s="280">
        <v>0</v>
      </c>
      <c r="TWK60" s="280">
        <v>0</v>
      </c>
      <c r="TWL60" s="280">
        <v>0</v>
      </c>
      <c r="TWM60" s="280">
        <v>0</v>
      </c>
      <c r="TWN60" s="280">
        <v>0</v>
      </c>
      <c r="TWO60" s="280">
        <v>0</v>
      </c>
      <c r="TWP60" s="280">
        <v>0</v>
      </c>
      <c r="TWQ60" s="280">
        <v>0</v>
      </c>
      <c r="TWR60" s="280">
        <v>0</v>
      </c>
      <c r="TWS60" s="280">
        <v>0</v>
      </c>
      <c r="TWT60" s="280">
        <v>0</v>
      </c>
      <c r="TWU60" s="280">
        <v>0</v>
      </c>
      <c r="TWV60" s="280">
        <v>0</v>
      </c>
      <c r="TWW60" s="280">
        <v>0</v>
      </c>
      <c r="TWX60" s="280">
        <v>0</v>
      </c>
      <c r="TWY60" s="280">
        <v>0</v>
      </c>
      <c r="TWZ60" s="280">
        <v>0</v>
      </c>
      <c r="TXA60" s="280">
        <v>0</v>
      </c>
      <c r="TXB60" s="280">
        <v>0</v>
      </c>
      <c r="TXC60" s="280">
        <v>0</v>
      </c>
      <c r="TXD60" s="280">
        <v>0</v>
      </c>
      <c r="TXE60" s="280">
        <v>0</v>
      </c>
      <c r="TXF60" s="280">
        <v>0</v>
      </c>
      <c r="TXG60" s="280">
        <v>0</v>
      </c>
      <c r="TXH60" s="280">
        <v>0</v>
      </c>
      <c r="TXI60" s="280">
        <v>0</v>
      </c>
      <c r="TXJ60" s="280">
        <v>0</v>
      </c>
      <c r="TXK60" s="280">
        <v>0</v>
      </c>
      <c r="TXL60" s="280">
        <v>0</v>
      </c>
      <c r="TXM60" s="280">
        <v>0</v>
      </c>
      <c r="TXN60" s="280">
        <v>0</v>
      </c>
      <c r="TXO60" s="280">
        <v>0</v>
      </c>
      <c r="TXP60" s="280">
        <v>0</v>
      </c>
      <c r="TXQ60" s="280">
        <v>0</v>
      </c>
      <c r="TXR60" s="280">
        <v>0</v>
      </c>
      <c r="TXS60" s="280">
        <v>0</v>
      </c>
      <c r="TXT60" s="280">
        <v>0</v>
      </c>
      <c r="TXU60" s="280">
        <v>0</v>
      </c>
      <c r="TXV60" s="280">
        <v>0</v>
      </c>
      <c r="TXW60" s="280">
        <v>0</v>
      </c>
      <c r="TXX60" s="280">
        <v>0</v>
      </c>
      <c r="TXY60" s="280">
        <v>0</v>
      </c>
      <c r="TXZ60" s="280">
        <v>0</v>
      </c>
      <c r="TYA60" s="280">
        <v>0</v>
      </c>
      <c r="TYB60" s="280">
        <v>0</v>
      </c>
      <c r="TYC60" s="280">
        <v>0</v>
      </c>
      <c r="TYD60" s="280">
        <v>0</v>
      </c>
      <c r="TYE60" s="280">
        <v>0</v>
      </c>
      <c r="TYF60" s="280">
        <v>0</v>
      </c>
      <c r="TYG60" s="280">
        <v>0</v>
      </c>
      <c r="TYH60" s="280">
        <v>0</v>
      </c>
      <c r="TYI60" s="280">
        <v>0</v>
      </c>
      <c r="TYJ60" s="280">
        <v>0</v>
      </c>
      <c r="TYK60" s="280">
        <v>0</v>
      </c>
      <c r="TYL60" s="280">
        <v>0</v>
      </c>
      <c r="TYM60" s="280">
        <v>0</v>
      </c>
      <c r="TYN60" s="280">
        <v>0</v>
      </c>
      <c r="TYO60" s="280">
        <v>0</v>
      </c>
      <c r="TYP60" s="280">
        <v>0</v>
      </c>
      <c r="TYQ60" s="280">
        <v>0</v>
      </c>
      <c r="TYR60" s="280">
        <v>0</v>
      </c>
      <c r="TYS60" s="280">
        <v>0</v>
      </c>
      <c r="TYT60" s="280">
        <v>0</v>
      </c>
      <c r="TYU60" s="280">
        <v>0</v>
      </c>
      <c r="TYV60" s="280">
        <v>0</v>
      </c>
      <c r="TYW60" s="280">
        <v>0</v>
      </c>
      <c r="TYX60" s="280">
        <v>0</v>
      </c>
      <c r="TYY60" s="280">
        <v>0</v>
      </c>
      <c r="TYZ60" s="280">
        <v>0</v>
      </c>
      <c r="TZA60" s="280">
        <v>0</v>
      </c>
      <c r="TZB60" s="280">
        <v>0</v>
      </c>
      <c r="TZC60" s="280">
        <v>0</v>
      </c>
      <c r="TZD60" s="280">
        <v>0</v>
      </c>
      <c r="TZE60" s="280">
        <v>0</v>
      </c>
      <c r="TZF60" s="280">
        <v>0</v>
      </c>
      <c r="TZG60" s="280">
        <v>0</v>
      </c>
      <c r="TZH60" s="280">
        <v>0</v>
      </c>
      <c r="TZI60" s="280">
        <v>0</v>
      </c>
      <c r="TZJ60" s="280">
        <v>0</v>
      </c>
      <c r="TZK60" s="280">
        <v>0</v>
      </c>
      <c r="TZL60" s="280">
        <v>0</v>
      </c>
      <c r="TZM60" s="280">
        <v>0</v>
      </c>
      <c r="TZN60" s="280">
        <v>0</v>
      </c>
      <c r="TZO60" s="280">
        <v>0</v>
      </c>
      <c r="TZP60" s="280">
        <v>0</v>
      </c>
      <c r="TZQ60" s="280">
        <v>0</v>
      </c>
      <c r="TZR60" s="280">
        <v>0</v>
      </c>
      <c r="TZS60" s="280">
        <v>0</v>
      </c>
      <c r="TZT60" s="280">
        <v>0</v>
      </c>
      <c r="TZU60" s="280">
        <v>0</v>
      </c>
      <c r="TZV60" s="280">
        <v>0</v>
      </c>
      <c r="TZW60" s="280">
        <v>0</v>
      </c>
      <c r="TZX60" s="280">
        <v>0</v>
      </c>
      <c r="TZY60" s="280">
        <v>0</v>
      </c>
      <c r="TZZ60" s="280">
        <v>0</v>
      </c>
      <c r="UAA60" s="280">
        <v>0</v>
      </c>
      <c r="UAB60" s="280">
        <v>0</v>
      </c>
      <c r="UAC60" s="280">
        <v>0</v>
      </c>
      <c r="UAD60" s="280">
        <v>0</v>
      </c>
      <c r="UAE60" s="280">
        <v>0</v>
      </c>
      <c r="UAF60" s="280">
        <v>0</v>
      </c>
      <c r="UAG60" s="280">
        <v>0</v>
      </c>
      <c r="UAH60" s="280">
        <v>0</v>
      </c>
      <c r="UAI60" s="280">
        <v>0</v>
      </c>
      <c r="UAJ60" s="280">
        <v>0</v>
      </c>
      <c r="UAK60" s="280">
        <v>0</v>
      </c>
      <c r="UAL60" s="280">
        <v>0</v>
      </c>
      <c r="UAM60" s="280">
        <v>0</v>
      </c>
      <c r="UAN60" s="280">
        <v>0</v>
      </c>
      <c r="UAO60" s="280">
        <v>0</v>
      </c>
      <c r="UAP60" s="280">
        <v>0</v>
      </c>
      <c r="UAQ60" s="280">
        <v>0</v>
      </c>
      <c r="UAR60" s="280">
        <v>0</v>
      </c>
      <c r="UAS60" s="280">
        <v>0</v>
      </c>
      <c r="UAT60" s="280">
        <v>0</v>
      </c>
      <c r="UAU60" s="280">
        <v>0</v>
      </c>
      <c r="UAV60" s="280">
        <v>0</v>
      </c>
      <c r="UAW60" s="280">
        <v>0</v>
      </c>
      <c r="UAX60" s="280">
        <v>0</v>
      </c>
      <c r="UAY60" s="280">
        <v>0</v>
      </c>
      <c r="UAZ60" s="280">
        <v>0</v>
      </c>
      <c r="UBA60" s="280">
        <v>0</v>
      </c>
      <c r="UBB60" s="280">
        <v>0</v>
      </c>
      <c r="UBC60" s="280">
        <v>0</v>
      </c>
      <c r="UBD60" s="280">
        <v>0</v>
      </c>
      <c r="UBE60" s="280">
        <v>0</v>
      </c>
      <c r="UBF60" s="280">
        <v>0</v>
      </c>
      <c r="UBG60" s="280">
        <v>0</v>
      </c>
      <c r="UBH60" s="280">
        <v>0</v>
      </c>
      <c r="UBI60" s="280">
        <v>0</v>
      </c>
      <c r="UBJ60" s="280">
        <v>0</v>
      </c>
      <c r="UBK60" s="280">
        <v>0</v>
      </c>
      <c r="UBL60" s="280">
        <v>0</v>
      </c>
      <c r="UBM60" s="280">
        <v>0</v>
      </c>
      <c r="UBN60" s="280">
        <v>0</v>
      </c>
      <c r="UBO60" s="280">
        <v>0</v>
      </c>
      <c r="UBP60" s="280">
        <v>0</v>
      </c>
      <c r="UBQ60" s="280">
        <v>0</v>
      </c>
      <c r="UBR60" s="280">
        <v>0</v>
      </c>
      <c r="UBS60" s="280">
        <v>0</v>
      </c>
      <c r="UBT60" s="280">
        <v>0</v>
      </c>
      <c r="UBU60" s="280">
        <v>0</v>
      </c>
      <c r="UBV60" s="280">
        <v>0</v>
      </c>
      <c r="UBW60" s="280">
        <v>0</v>
      </c>
      <c r="UBX60" s="280">
        <v>0</v>
      </c>
      <c r="UBY60" s="280">
        <v>0</v>
      </c>
      <c r="UBZ60" s="280">
        <v>0</v>
      </c>
      <c r="UCA60" s="280">
        <v>0</v>
      </c>
      <c r="UCB60" s="280">
        <v>0</v>
      </c>
      <c r="UCC60" s="280">
        <v>0</v>
      </c>
      <c r="UCD60" s="280">
        <v>0</v>
      </c>
      <c r="UCE60" s="280">
        <v>0</v>
      </c>
      <c r="UCF60" s="280">
        <v>0</v>
      </c>
      <c r="UCG60" s="280">
        <v>0</v>
      </c>
      <c r="UCH60" s="280">
        <v>0</v>
      </c>
      <c r="UCI60" s="280">
        <v>0</v>
      </c>
      <c r="UCJ60" s="280">
        <v>0</v>
      </c>
      <c r="UCK60" s="280">
        <v>0</v>
      </c>
      <c r="UCL60" s="280">
        <v>0</v>
      </c>
      <c r="UCM60" s="280">
        <v>0</v>
      </c>
      <c r="UCN60" s="280">
        <v>0</v>
      </c>
      <c r="UCO60" s="280">
        <v>0</v>
      </c>
      <c r="UCP60" s="280">
        <v>0</v>
      </c>
      <c r="UCQ60" s="280">
        <v>0</v>
      </c>
      <c r="UCR60" s="280">
        <v>0</v>
      </c>
      <c r="UCS60" s="280">
        <v>0</v>
      </c>
      <c r="UCT60" s="280">
        <v>0</v>
      </c>
      <c r="UCU60" s="280">
        <v>0</v>
      </c>
      <c r="UCV60" s="280">
        <v>0</v>
      </c>
      <c r="UCW60" s="280">
        <v>0</v>
      </c>
      <c r="UCX60" s="280">
        <v>0</v>
      </c>
      <c r="UCY60" s="280">
        <v>0</v>
      </c>
      <c r="UCZ60" s="280">
        <v>0</v>
      </c>
      <c r="UDA60" s="280">
        <v>0</v>
      </c>
      <c r="UDB60" s="280">
        <v>0</v>
      </c>
      <c r="UDC60" s="280">
        <v>0</v>
      </c>
      <c r="UDD60" s="280">
        <v>0</v>
      </c>
      <c r="UDE60" s="280">
        <v>0</v>
      </c>
      <c r="UDF60" s="280">
        <v>0</v>
      </c>
      <c r="UDG60" s="280">
        <v>0</v>
      </c>
      <c r="UDH60" s="280">
        <v>0</v>
      </c>
      <c r="UDI60" s="280">
        <v>0</v>
      </c>
      <c r="UDJ60" s="280">
        <v>0</v>
      </c>
      <c r="UDK60" s="280">
        <v>0</v>
      </c>
      <c r="UDL60" s="280">
        <v>0</v>
      </c>
      <c r="UDM60" s="280">
        <v>0</v>
      </c>
      <c r="UDN60" s="280">
        <v>0</v>
      </c>
      <c r="UDO60" s="280">
        <v>0</v>
      </c>
      <c r="UDP60" s="280">
        <v>0</v>
      </c>
      <c r="UDQ60" s="280">
        <v>0</v>
      </c>
      <c r="UDR60" s="280">
        <v>0</v>
      </c>
      <c r="UDS60" s="280">
        <v>0</v>
      </c>
      <c r="UDT60" s="280">
        <v>0</v>
      </c>
      <c r="UDU60" s="280">
        <v>0</v>
      </c>
      <c r="UDV60" s="280">
        <v>0</v>
      </c>
      <c r="UDW60" s="280">
        <v>0</v>
      </c>
      <c r="UDX60" s="280">
        <v>0</v>
      </c>
      <c r="UDY60" s="280">
        <v>0</v>
      </c>
      <c r="UDZ60" s="280">
        <v>0</v>
      </c>
      <c r="UEA60" s="280">
        <v>0</v>
      </c>
      <c r="UEB60" s="280">
        <v>0</v>
      </c>
      <c r="UEC60" s="280">
        <v>0</v>
      </c>
      <c r="UED60" s="280">
        <v>0</v>
      </c>
      <c r="UEE60" s="280">
        <v>0</v>
      </c>
      <c r="UEF60" s="280">
        <v>0</v>
      </c>
      <c r="UEG60" s="280">
        <v>0</v>
      </c>
      <c r="UEH60" s="280">
        <v>0</v>
      </c>
      <c r="UEI60" s="280">
        <v>0</v>
      </c>
      <c r="UEJ60" s="280">
        <v>0</v>
      </c>
      <c r="UEK60" s="280">
        <v>0</v>
      </c>
      <c r="UEL60" s="280">
        <v>0</v>
      </c>
      <c r="UEM60" s="280">
        <v>0</v>
      </c>
      <c r="UEN60" s="280">
        <v>0</v>
      </c>
      <c r="UEO60" s="280">
        <v>0</v>
      </c>
      <c r="UEP60" s="280">
        <v>0</v>
      </c>
      <c r="UEQ60" s="280">
        <v>0</v>
      </c>
      <c r="UER60" s="280">
        <v>0</v>
      </c>
      <c r="UES60" s="280">
        <v>0</v>
      </c>
      <c r="UET60" s="280">
        <v>0</v>
      </c>
      <c r="UEU60" s="280">
        <v>0</v>
      </c>
      <c r="UEV60" s="280">
        <v>0</v>
      </c>
      <c r="UEW60" s="280">
        <v>0</v>
      </c>
      <c r="UEX60" s="280">
        <v>0</v>
      </c>
      <c r="UEY60" s="280">
        <v>0</v>
      </c>
      <c r="UEZ60" s="280">
        <v>0</v>
      </c>
      <c r="UFA60" s="280">
        <v>0</v>
      </c>
      <c r="UFB60" s="280">
        <v>0</v>
      </c>
      <c r="UFC60" s="280">
        <v>0</v>
      </c>
      <c r="UFD60" s="280">
        <v>0</v>
      </c>
      <c r="UFE60" s="280">
        <v>0</v>
      </c>
      <c r="UFF60" s="280">
        <v>0</v>
      </c>
      <c r="UFG60" s="280">
        <v>0</v>
      </c>
      <c r="UFH60" s="280">
        <v>0</v>
      </c>
      <c r="UFI60" s="280">
        <v>0</v>
      </c>
      <c r="UFJ60" s="280">
        <v>0</v>
      </c>
      <c r="UFK60" s="280">
        <v>0</v>
      </c>
      <c r="UFL60" s="280">
        <v>0</v>
      </c>
      <c r="UFM60" s="280">
        <v>0</v>
      </c>
      <c r="UFN60" s="280">
        <v>0</v>
      </c>
      <c r="UFO60" s="280">
        <v>0</v>
      </c>
      <c r="UFP60" s="280">
        <v>0</v>
      </c>
      <c r="UFQ60" s="280">
        <v>0</v>
      </c>
      <c r="UFR60" s="280">
        <v>0</v>
      </c>
      <c r="UFS60" s="280">
        <v>0</v>
      </c>
      <c r="UFT60" s="280">
        <v>0</v>
      </c>
      <c r="UFU60" s="280">
        <v>0</v>
      </c>
      <c r="UFV60" s="280">
        <v>0</v>
      </c>
      <c r="UFW60" s="280">
        <v>0</v>
      </c>
      <c r="UFX60" s="280">
        <v>0</v>
      </c>
      <c r="UFY60" s="280">
        <v>0</v>
      </c>
      <c r="UFZ60" s="280">
        <v>0</v>
      </c>
      <c r="UGA60" s="280">
        <v>0</v>
      </c>
      <c r="UGB60" s="280">
        <v>0</v>
      </c>
      <c r="UGC60" s="280">
        <v>0</v>
      </c>
      <c r="UGD60" s="280">
        <v>0</v>
      </c>
      <c r="UGE60" s="280">
        <v>0</v>
      </c>
      <c r="UGF60" s="280">
        <v>0</v>
      </c>
      <c r="UGG60" s="280">
        <v>0</v>
      </c>
      <c r="UGH60" s="280">
        <v>0</v>
      </c>
      <c r="UGI60" s="280">
        <v>0</v>
      </c>
      <c r="UGJ60" s="280">
        <v>0</v>
      </c>
      <c r="UGK60" s="280">
        <v>0</v>
      </c>
      <c r="UGL60" s="280">
        <v>0</v>
      </c>
      <c r="UGM60" s="280">
        <v>0</v>
      </c>
      <c r="UGN60" s="280">
        <v>0</v>
      </c>
      <c r="UGO60" s="280">
        <v>0</v>
      </c>
      <c r="UGP60" s="280">
        <v>0</v>
      </c>
      <c r="UGQ60" s="280">
        <v>0</v>
      </c>
      <c r="UGR60" s="280">
        <v>0</v>
      </c>
      <c r="UGS60" s="280">
        <v>0</v>
      </c>
      <c r="UGT60" s="280">
        <v>0</v>
      </c>
      <c r="UGU60" s="280">
        <v>0</v>
      </c>
      <c r="UGV60" s="280">
        <v>0</v>
      </c>
      <c r="UGW60" s="280">
        <v>0</v>
      </c>
      <c r="UGX60" s="280">
        <v>0</v>
      </c>
      <c r="UGY60" s="280">
        <v>0</v>
      </c>
      <c r="UGZ60" s="280">
        <v>0</v>
      </c>
      <c r="UHA60" s="280">
        <v>0</v>
      </c>
      <c r="UHB60" s="280">
        <v>0</v>
      </c>
      <c r="UHC60" s="280">
        <v>0</v>
      </c>
      <c r="UHD60" s="280">
        <v>0</v>
      </c>
      <c r="UHE60" s="280">
        <v>0</v>
      </c>
      <c r="UHF60" s="280">
        <v>0</v>
      </c>
      <c r="UHG60" s="280">
        <v>0</v>
      </c>
      <c r="UHH60" s="280">
        <v>0</v>
      </c>
      <c r="UHI60" s="280">
        <v>0</v>
      </c>
      <c r="UHJ60" s="280">
        <v>0</v>
      </c>
      <c r="UHK60" s="280">
        <v>0</v>
      </c>
      <c r="UHL60" s="280">
        <v>0</v>
      </c>
      <c r="UHM60" s="280">
        <v>0</v>
      </c>
      <c r="UHN60" s="280">
        <v>0</v>
      </c>
      <c r="UHO60" s="280">
        <v>0</v>
      </c>
      <c r="UHP60" s="280">
        <v>0</v>
      </c>
      <c r="UHQ60" s="280">
        <v>0</v>
      </c>
      <c r="UHR60" s="280">
        <v>0</v>
      </c>
      <c r="UHS60" s="280">
        <v>0</v>
      </c>
      <c r="UHT60" s="280">
        <v>0</v>
      </c>
      <c r="UHU60" s="280">
        <v>0</v>
      </c>
      <c r="UHV60" s="280">
        <v>0</v>
      </c>
      <c r="UHW60" s="280">
        <v>0</v>
      </c>
      <c r="UHX60" s="280">
        <v>0</v>
      </c>
      <c r="UHY60" s="280">
        <v>0</v>
      </c>
      <c r="UHZ60" s="280">
        <v>0</v>
      </c>
      <c r="UIA60" s="280">
        <v>0</v>
      </c>
      <c r="UIB60" s="280">
        <v>0</v>
      </c>
      <c r="UIC60" s="280">
        <v>0</v>
      </c>
      <c r="UID60" s="280">
        <v>0</v>
      </c>
      <c r="UIE60" s="280">
        <v>0</v>
      </c>
      <c r="UIF60" s="280">
        <v>0</v>
      </c>
      <c r="UIG60" s="280">
        <v>0</v>
      </c>
      <c r="UIH60" s="280">
        <v>0</v>
      </c>
      <c r="UII60" s="280">
        <v>0</v>
      </c>
      <c r="UIJ60" s="280">
        <v>0</v>
      </c>
      <c r="UIK60" s="280">
        <v>0</v>
      </c>
      <c r="UIL60" s="280">
        <v>0</v>
      </c>
      <c r="UIM60" s="280">
        <v>0</v>
      </c>
      <c r="UIN60" s="280">
        <v>0</v>
      </c>
      <c r="UIO60" s="280">
        <v>0</v>
      </c>
      <c r="UIP60" s="280">
        <v>0</v>
      </c>
      <c r="UIQ60" s="280">
        <v>0</v>
      </c>
      <c r="UIR60" s="280">
        <v>0</v>
      </c>
      <c r="UIS60" s="280">
        <v>0</v>
      </c>
      <c r="UIT60" s="280">
        <v>0</v>
      </c>
      <c r="UIU60" s="280">
        <v>0</v>
      </c>
      <c r="UIV60" s="280">
        <v>0</v>
      </c>
      <c r="UIW60" s="280">
        <v>0</v>
      </c>
      <c r="UIX60" s="280">
        <v>0</v>
      </c>
      <c r="UIY60" s="280">
        <v>0</v>
      </c>
      <c r="UIZ60" s="280">
        <v>0</v>
      </c>
      <c r="UJA60" s="280">
        <v>0</v>
      </c>
      <c r="UJB60" s="280">
        <v>0</v>
      </c>
      <c r="UJC60" s="280">
        <v>0</v>
      </c>
      <c r="UJD60" s="280">
        <v>0</v>
      </c>
      <c r="UJE60" s="280">
        <v>0</v>
      </c>
      <c r="UJF60" s="280">
        <v>0</v>
      </c>
      <c r="UJG60" s="280">
        <v>0</v>
      </c>
      <c r="UJH60" s="280">
        <v>0</v>
      </c>
      <c r="UJI60" s="280">
        <v>0</v>
      </c>
      <c r="UJJ60" s="280">
        <v>0</v>
      </c>
      <c r="UJK60" s="280">
        <v>0</v>
      </c>
      <c r="UJL60" s="280">
        <v>0</v>
      </c>
      <c r="UJM60" s="280">
        <v>0</v>
      </c>
      <c r="UJN60" s="280">
        <v>0</v>
      </c>
      <c r="UJO60" s="280">
        <v>0</v>
      </c>
      <c r="UJP60" s="280">
        <v>0</v>
      </c>
      <c r="UJQ60" s="280">
        <v>0</v>
      </c>
      <c r="UJR60" s="280">
        <v>0</v>
      </c>
      <c r="UJS60" s="280">
        <v>0</v>
      </c>
      <c r="UJT60" s="280">
        <v>0</v>
      </c>
      <c r="UJU60" s="280">
        <v>0</v>
      </c>
      <c r="UJV60" s="280">
        <v>0</v>
      </c>
      <c r="UJW60" s="280">
        <v>0</v>
      </c>
      <c r="UJX60" s="280">
        <v>0</v>
      </c>
      <c r="UJY60" s="280">
        <v>0</v>
      </c>
      <c r="UJZ60" s="280">
        <v>0</v>
      </c>
      <c r="UKA60" s="280">
        <v>0</v>
      </c>
      <c r="UKB60" s="280">
        <v>0</v>
      </c>
      <c r="UKC60" s="280">
        <v>0</v>
      </c>
      <c r="UKD60" s="280">
        <v>0</v>
      </c>
      <c r="UKE60" s="280">
        <v>0</v>
      </c>
      <c r="UKF60" s="280">
        <v>0</v>
      </c>
      <c r="UKG60" s="280">
        <v>0</v>
      </c>
      <c r="UKH60" s="280">
        <v>0</v>
      </c>
      <c r="UKI60" s="280">
        <v>0</v>
      </c>
      <c r="UKJ60" s="280">
        <v>0</v>
      </c>
      <c r="UKK60" s="280">
        <v>0</v>
      </c>
      <c r="UKL60" s="280">
        <v>0</v>
      </c>
      <c r="UKM60" s="280">
        <v>0</v>
      </c>
      <c r="UKN60" s="280">
        <v>0</v>
      </c>
      <c r="UKO60" s="280">
        <v>0</v>
      </c>
      <c r="UKP60" s="280">
        <v>0</v>
      </c>
      <c r="UKQ60" s="280">
        <v>0</v>
      </c>
      <c r="UKR60" s="280">
        <v>0</v>
      </c>
      <c r="UKS60" s="280">
        <v>0</v>
      </c>
      <c r="UKT60" s="280">
        <v>0</v>
      </c>
      <c r="UKU60" s="280">
        <v>0</v>
      </c>
      <c r="UKV60" s="280">
        <v>0</v>
      </c>
      <c r="UKW60" s="280">
        <v>0</v>
      </c>
      <c r="UKX60" s="280">
        <v>0</v>
      </c>
      <c r="UKY60" s="280">
        <v>0</v>
      </c>
      <c r="UKZ60" s="280">
        <v>0</v>
      </c>
      <c r="ULA60" s="280">
        <v>0</v>
      </c>
      <c r="ULB60" s="280">
        <v>0</v>
      </c>
      <c r="ULC60" s="280">
        <v>0</v>
      </c>
      <c r="ULD60" s="280">
        <v>0</v>
      </c>
      <c r="ULE60" s="280">
        <v>0</v>
      </c>
      <c r="ULF60" s="280">
        <v>0</v>
      </c>
      <c r="ULG60" s="280">
        <v>0</v>
      </c>
      <c r="ULH60" s="280">
        <v>0</v>
      </c>
      <c r="ULI60" s="280">
        <v>0</v>
      </c>
      <c r="ULJ60" s="280">
        <v>0</v>
      </c>
      <c r="ULK60" s="280">
        <v>0</v>
      </c>
      <c r="ULL60" s="280">
        <v>0</v>
      </c>
      <c r="ULM60" s="280">
        <v>0</v>
      </c>
      <c r="ULN60" s="280">
        <v>0</v>
      </c>
      <c r="ULO60" s="280">
        <v>0</v>
      </c>
      <c r="ULP60" s="280">
        <v>0</v>
      </c>
      <c r="ULQ60" s="280">
        <v>0</v>
      </c>
      <c r="ULR60" s="280">
        <v>0</v>
      </c>
      <c r="ULS60" s="280">
        <v>0</v>
      </c>
      <c r="ULT60" s="280">
        <v>0</v>
      </c>
      <c r="ULU60" s="280">
        <v>0</v>
      </c>
      <c r="ULV60" s="280">
        <v>0</v>
      </c>
      <c r="ULW60" s="280">
        <v>0</v>
      </c>
      <c r="ULX60" s="280">
        <v>0</v>
      </c>
      <c r="ULY60" s="280">
        <v>0</v>
      </c>
      <c r="ULZ60" s="280">
        <v>0</v>
      </c>
      <c r="UMA60" s="280">
        <v>0</v>
      </c>
      <c r="UMB60" s="280">
        <v>0</v>
      </c>
      <c r="UMC60" s="280">
        <v>0</v>
      </c>
      <c r="UMD60" s="280">
        <v>0</v>
      </c>
      <c r="UME60" s="280">
        <v>0</v>
      </c>
      <c r="UMF60" s="280">
        <v>0</v>
      </c>
      <c r="UMG60" s="280">
        <v>0</v>
      </c>
      <c r="UMH60" s="280">
        <v>0</v>
      </c>
      <c r="UMI60" s="280">
        <v>0</v>
      </c>
      <c r="UMJ60" s="280">
        <v>0</v>
      </c>
      <c r="UMK60" s="280">
        <v>0</v>
      </c>
      <c r="UML60" s="280">
        <v>0</v>
      </c>
      <c r="UMM60" s="280">
        <v>0</v>
      </c>
      <c r="UMN60" s="280">
        <v>0</v>
      </c>
      <c r="UMO60" s="280">
        <v>0</v>
      </c>
      <c r="UMP60" s="280">
        <v>0</v>
      </c>
      <c r="UMQ60" s="280">
        <v>0</v>
      </c>
      <c r="UMR60" s="280">
        <v>0</v>
      </c>
      <c r="UMS60" s="280">
        <v>0</v>
      </c>
      <c r="UMT60" s="280">
        <v>0</v>
      </c>
      <c r="UMU60" s="280">
        <v>0</v>
      </c>
      <c r="UMV60" s="280">
        <v>0</v>
      </c>
      <c r="UMW60" s="280">
        <v>0</v>
      </c>
      <c r="UMX60" s="280">
        <v>0</v>
      </c>
      <c r="UMY60" s="280">
        <v>0</v>
      </c>
      <c r="UMZ60" s="280">
        <v>0</v>
      </c>
      <c r="UNA60" s="280">
        <v>0</v>
      </c>
      <c r="UNB60" s="280">
        <v>0</v>
      </c>
      <c r="UNC60" s="280">
        <v>0</v>
      </c>
      <c r="UND60" s="280">
        <v>0</v>
      </c>
      <c r="UNE60" s="280">
        <v>0</v>
      </c>
      <c r="UNF60" s="280">
        <v>0</v>
      </c>
      <c r="UNG60" s="280">
        <v>0</v>
      </c>
      <c r="UNH60" s="280">
        <v>0</v>
      </c>
      <c r="UNI60" s="280">
        <v>0</v>
      </c>
      <c r="UNJ60" s="280">
        <v>0</v>
      </c>
      <c r="UNK60" s="280">
        <v>0</v>
      </c>
      <c r="UNL60" s="280">
        <v>0</v>
      </c>
      <c r="UNM60" s="280">
        <v>0</v>
      </c>
      <c r="UNN60" s="280">
        <v>0</v>
      </c>
      <c r="UNO60" s="280">
        <v>0</v>
      </c>
      <c r="UNP60" s="280">
        <v>0</v>
      </c>
      <c r="UNQ60" s="280">
        <v>0</v>
      </c>
      <c r="UNR60" s="280">
        <v>0</v>
      </c>
      <c r="UNS60" s="280">
        <v>0</v>
      </c>
      <c r="UNT60" s="280">
        <v>0</v>
      </c>
      <c r="UNU60" s="280">
        <v>0</v>
      </c>
      <c r="UNV60" s="280">
        <v>0</v>
      </c>
      <c r="UNW60" s="280">
        <v>0</v>
      </c>
      <c r="UNX60" s="280">
        <v>0</v>
      </c>
      <c r="UNY60" s="280">
        <v>0</v>
      </c>
      <c r="UNZ60" s="280">
        <v>0</v>
      </c>
      <c r="UOA60" s="280">
        <v>0</v>
      </c>
      <c r="UOB60" s="280">
        <v>0</v>
      </c>
      <c r="UOC60" s="280">
        <v>0</v>
      </c>
      <c r="UOD60" s="280">
        <v>0</v>
      </c>
      <c r="UOE60" s="280">
        <v>0</v>
      </c>
      <c r="UOF60" s="280">
        <v>0</v>
      </c>
      <c r="UOG60" s="280">
        <v>0</v>
      </c>
      <c r="UOH60" s="280">
        <v>0</v>
      </c>
      <c r="UOI60" s="280">
        <v>0</v>
      </c>
      <c r="UOJ60" s="280">
        <v>0</v>
      </c>
      <c r="UOK60" s="280">
        <v>0</v>
      </c>
      <c r="UOL60" s="280">
        <v>0</v>
      </c>
      <c r="UOM60" s="280">
        <v>0</v>
      </c>
      <c r="UON60" s="280">
        <v>0</v>
      </c>
      <c r="UOO60" s="280">
        <v>0</v>
      </c>
      <c r="UOP60" s="280">
        <v>0</v>
      </c>
      <c r="UOQ60" s="280">
        <v>0</v>
      </c>
      <c r="UOR60" s="280">
        <v>0</v>
      </c>
      <c r="UOS60" s="280">
        <v>0</v>
      </c>
      <c r="UOT60" s="280">
        <v>0</v>
      </c>
      <c r="UOU60" s="280">
        <v>0</v>
      </c>
      <c r="UOV60" s="280">
        <v>0</v>
      </c>
      <c r="UOW60" s="280">
        <v>0</v>
      </c>
      <c r="UOX60" s="280">
        <v>0</v>
      </c>
      <c r="UOY60" s="280">
        <v>0</v>
      </c>
      <c r="UOZ60" s="280">
        <v>0</v>
      </c>
      <c r="UPA60" s="280">
        <v>0</v>
      </c>
      <c r="UPB60" s="280">
        <v>0</v>
      </c>
      <c r="UPC60" s="280">
        <v>0</v>
      </c>
      <c r="UPD60" s="280">
        <v>0</v>
      </c>
      <c r="UPE60" s="280">
        <v>0</v>
      </c>
      <c r="UPF60" s="280">
        <v>0</v>
      </c>
      <c r="UPG60" s="280">
        <v>0</v>
      </c>
      <c r="UPH60" s="280">
        <v>0</v>
      </c>
      <c r="UPI60" s="280">
        <v>0</v>
      </c>
      <c r="UPJ60" s="280">
        <v>0</v>
      </c>
      <c r="UPK60" s="280">
        <v>0</v>
      </c>
      <c r="UPL60" s="280">
        <v>0</v>
      </c>
      <c r="UPM60" s="280">
        <v>0</v>
      </c>
      <c r="UPN60" s="280">
        <v>0</v>
      </c>
      <c r="UPO60" s="280">
        <v>0</v>
      </c>
      <c r="UPP60" s="280">
        <v>0</v>
      </c>
      <c r="UPQ60" s="280">
        <v>0</v>
      </c>
      <c r="UPR60" s="280">
        <v>0</v>
      </c>
      <c r="UPS60" s="280">
        <v>0</v>
      </c>
      <c r="UPT60" s="280">
        <v>0</v>
      </c>
      <c r="UPU60" s="280">
        <v>0</v>
      </c>
      <c r="UPV60" s="280">
        <v>0</v>
      </c>
      <c r="UPW60" s="280">
        <v>0</v>
      </c>
      <c r="UPX60" s="280">
        <v>0</v>
      </c>
      <c r="UPY60" s="280">
        <v>0</v>
      </c>
      <c r="UPZ60" s="280">
        <v>0</v>
      </c>
      <c r="UQA60" s="280">
        <v>0</v>
      </c>
      <c r="UQB60" s="280">
        <v>0</v>
      </c>
      <c r="UQC60" s="280">
        <v>0</v>
      </c>
      <c r="UQD60" s="280">
        <v>0</v>
      </c>
      <c r="UQE60" s="280">
        <v>0</v>
      </c>
      <c r="UQF60" s="280">
        <v>0</v>
      </c>
      <c r="UQG60" s="280">
        <v>0</v>
      </c>
      <c r="UQH60" s="280">
        <v>0</v>
      </c>
      <c r="UQI60" s="280">
        <v>0</v>
      </c>
      <c r="UQJ60" s="280">
        <v>0</v>
      </c>
      <c r="UQK60" s="280">
        <v>0</v>
      </c>
      <c r="UQL60" s="280">
        <v>0</v>
      </c>
      <c r="UQM60" s="280">
        <v>0</v>
      </c>
      <c r="UQN60" s="280">
        <v>0</v>
      </c>
      <c r="UQO60" s="280">
        <v>0</v>
      </c>
      <c r="UQP60" s="280">
        <v>0</v>
      </c>
      <c r="UQQ60" s="280">
        <v>0</v>
      </c>
      <c r="UQR60" s="280">
        <v>0</v>
      </c>
      <c r="UQS60" s="280">
        <v>0</v>
      </c>
      <c r="UQT60" s="280">
        <v>0</v>
      </c>
      <c r="UQU60" s="280">
        <v>0</v>
      </c>
      <c r="UQV60" s="280">
        <v>0</v>
      </c>
      <c r="UQW60" s="280">
        <v>0</v>
      </c>
      <c r="UQX60" s="280">
        <v>0</v>
      </c>
      <c r="UQY60" s="280">
        <v>0</v>
      </c>
      <c r="UQZ60" s="280">
        <v>0</v>
      </c>
      <c r="URA60" s="280">
        <v>0</v>
      </c>
      <c r="URB60" s="280">
        <v>0</v>
      </c>
      <c r="URC60" s="280">
        <v>0</v>
      </c>
      <c r="URD60" s="280">
        <v>0</v>
      </c>
      <c r="URE60" s="280">
        <v>0</v>
      </c>
      <c r="URF60" s="280">
        <v>0</v>
      </c>
      <c r="URG60" s="280">
        <v>0</v>
      </c>
      <c r="URH60" s="280">
        <v>0</v>
      </c>
      <c r="URI60" s="280">
        <v>0</v>
      </c>
      <c r="URJ60" s="280">
        <v>0</v>
      </c>
      <c r="URK60" s="280">
        <v>0</v>
      </c>
      <c r="URL60" s="280">
        <v>0</v>
      </c>
      <c r="URM60" s="280">
        <v>0</v>
      </c>
      <c r="URN60" s="280">
        <v>0</v>
      </c>
      <c r="URO60" s="280">
        <v>0</v>
      </c>
      <c r="URP60" s="280">
        <v>0</v>
      </c>
      <c r="URQ60" s="280">
        <v>0</v>
      </c>
      <c r="URR60" s="280">
        <v>0</v>
      </c>
      <c r="URS60" s="280">
        <v>0</v>
      </c>
      <c r="URT60" s="280">
        <v>0</v>
      </c>
      <c r="URU60" s="280">
        <v>0</v>
      </c>
      <c r="URV60" s="280">
        <v>0</v>
      </c>
      <c r="URW60" s="280">
        <v>0</v>
      </c>
      <c r="URX60" s="280">
        <v>0</v>
      </c>
      <c r="URY60" s="280">
        <v>0</v>
      </c>
      <c r="URZ60" s="280">
        <v>0</v>
      </c>
      <c r="USA60" s="280">
        <v>0</v>
      </c>
      <c r="USB60" s="280">
        <v>0</v>
      </c>
      <c r="USC60" s="280">
        <v>0</v>
      </c>
      <c r="USD60" s="280">
        <v>0</v>
      </c>
      <c r="USE60" s="280">
        <v>0</v>
      </c>
      <c r="USF60" s="280">
        <v>0</v>
      </c>
      <c r="USG60" s="280">
        <v>0</v>
      </c>
      <c r="USH60" s="280">
        <v>0</v>
      </c>
      <c r="USI60" s="280">
        <v>0</v>
      </c>
      <c r="USJ60" s="280">
        <v>0</v>
      </c>
      <c r="USK60" s="280">
        <v>0</v>
      </c>
      <c r="USL60" s="280">
        <v>0</v>
      </c>
      <c r="USM60" s="280">
        <v>0</v>
      </c>
      <c r="USN60" s="280">
        <v>0</v>
      </c>
      <c r="USO60" s="280">
        <v>0</v>
      </c>
      <c r="USP60" s="280">
        <v>0</v>
      </c>
      <c r="USQ60" s="280">
        <v>0</v>
      </c>
      <c r="USR60" s="280">
        <v>0</v>
      </c>
      <c r="USS60" s="280">
        <v>0</v>
      </c>
      <c r="UST60" s="280">
        <v>0</v>
      </c>
      <c r="USU60" s="280">
        <v>0</v>
      </c>
      <c r="USV60" s="280">
        <v>0</v>
      </c>
      <c r="USW60" s="280">
        <v>0</v>
      </c>
      <c r="USX60" s="280">
        <v>0</v>
      </c>
      <c r="USY60" s="280">
        <v>0</v>
      </c>
      <c r="USZ60" s="280">
        <v>0</v>
      </c>
      <c r="UTA60" s="280">
        <v>0</v>
      </c>
      <c r="UTB60" s="280">
        <v>0</v>
      </c>
      <c r="UTC60" s="280">
        <v>0</v>
      </c>
      <c r="UTD60" s="280">
        <v>0</v>
      </c>
      <c r="UTE60" s="280">
        <v>0</v>
      </c>
      <c r="UTF60" s="280">
        <v>0</v>
      </c>
      <c r="UTG60" s="280">
        <v>0</v>
      </c>
      <c r="UTH60" s="280">
        <v>0</v>
      </c>
      <c r="UTI60" s="280">
        <v>0</v>
      </c>
      <c r="UTJ60" s="280">
        <v>0</v>
      </c>
      <c r="UTK60" s="280">
        <v>0</v>
      </c>
      <c r="UTL60" s="280">
        <v>0</v>
      </c>
      <c r="UTM60" s="280">
        <v>0</v>
      </c>
      <c r="UTN60" s="280">
        <v>0</v>
      </c>
      <c r="UTO60" s="280">
        <v>0</v>
      </c>
      <c r="UTP60" s="280">
        <v>0</v>
      </c>
      <c r="UTQ60" s="280">
        <v>0</v>
      </c>
      <c r="UTR60" s="280">
        <v>0</v>
      </c>
      <c r="UTS60" s="280">
        <v>0</v>
      </c>
      <c r="UTT60" s="280">
        <v>0</v>
      </c>
      <c r="UTU60" s="280">
        <v>0</v>
      </c>
      <c r="UTV60" s="280">
        <v>0</v>
      </c>
      <c r="UTW60" s="280">
        <v>0</v>
      </c>
      <c r="UTX60" s="280">
        <v>0</v>
      </c>
      <c r="UTY60" s="280">
        <v>0</v>
      </c>
      <c r="UTZ60" s="280">
        <v>0</v>
      </c>
      <c r="UUA60" s="280">
        <v>0</v>
      </c>
      <c r="UUB60" s="280">
        <v>0</v>
      </c>
      <c r="UUC60" s="280">
        <v>0</v>
      </c>
      <c r="UUD60" s="280">
        <v>0</v>
      </c>
      <c r="UUE60" s="280">
        <v>0</v>
      </c>
      <c r="UUF60" s="280">
        <v>0</v>
      </c>
      <c r="UUG60" s="280">
        <v>0</v>
      </c>
      <c r="UUH60" s="280">
        <v>0</v>
      </c>
      <c r="UUI60" s="280">
        <v>0</v>
      </c>
      <c r="UUJ60" s="280">
        <v>0</v>
      </c>
      <c r="UUK60" s="280">
        <v>0</v>
      </c>
      <c r="UUL60" s="280">
        <v>0</v>
      </c>
      <c r="UUM60" s="280">
        <v>0</v>
      </c>
      <c r="UUN60" s="280">
        <v>0</v>
      </c>
      <c r="UUO60" s="280">
        <v>0</v>
      </c>
      <c r="UUP60" s="280">
        <v>0</v>
      </c>
      <c r="UUQ60" s="280">
        <v>0</v>
      </c>
      <c r="UUR60" s="280">
        <v>0</v>
      </c>
      <c r="UUS60" s="280">
        <v>0</v>
      </c>
      <c r="UUT60" s="280">
        <v>0</v>
      </c>
      <c r="UUU60" s="280">
        <v>0</v>
      </c>
      <c r="UUV60" s="280">
        <v>0</v>
      </c>
      <c r="UUW60" s="280">
        <v>0</v>
      </c>
      <c r="UUX60" s="280">
        <v>0</v>
      </c>
      <c r="UUY60" s="280">
        <v>0</v>
      </c>
      <c r="UUZ60" s="280">
        <v>0</v>
      </c>
      <c r="UVA60" s="280">
        <v>0</v>
      </c>
      <c r="UVB60" s="280">
        <v>0</v>
      </c>
      <c r="UVC60" s="280">
        <v>0</v>
      </c>
      <c r="UVD60" s="280">
        <v>0</v>
      </c>
      <c r="UVE60" s="280">
        <v>0</v>
      </c>
      <c r="UVF60" s="280">
        <v>0</v>
      </c>
      <c r="UVG60" s="280">
        <v>0</v>
      </c>
      <c r="UVH60" s="280">
        <v>0</v>
      </c>
      <c r="UVI60" s="280">
        <v>0</v>
      </c>
      <c r="UVJ60" s="280">
        <v>0</v>
      </c>
      <c r="UVK60" s="280">
        <v>0</v>
      </c>
      <c r="UVL60" s="280">
        <v>0</v>
      </c>
      <c r="UVM60" s="280">
        <v>0</v>
      </c>
      <c r="UVN60" s="280">
        <v>0</v>
      </c>
      <c r="UVO60" s="280">
        <v>0</v>
      </c>
      <c r="UVP60" s="280">
        <v>0</v>
      </c>
      <c r="UVQ60" s="280">
        <v>0</v>
      </c>
      <c r="UVR60" s="280">
        <v>0</v>
      </c>
      <c r="UVS60" s="280">
        <v>0</v>
      </c>
      <c r="UVT60" s="280">
        <v>0</v>
      </c>
      <c r="UVU60" s="280">
        <v>0</v>
      </c>
      <c r="UVV60" s="280">
        <v>0</v>
      </c>
      <c r="UVW60" s="280">
        <v>0</v>
      </c>
      <c r="UVX60" s="280">
        <v>0</v>
      </c>
      <c r="UVY60" s="280">
        <v>0</v>
      </c>
      <c r="UVZ60" s="280">
        <v>0</v>
      </c>
      <c r="UWA60" s="280">
        <v>0</v>
      </c>
      <c r="UWB60" s="280">
        <v>0</v>
      </c>
      <c r="UWC60" s="280">
        <v>0</v>
      </c>
      <c r="UWD60" s="280">
        <v>0</v>
      </c>
      <c r="UWE60" s="280">
        <v>0</v>
      </c>
      <c r="UWF60" s="280">
        <v>0</v>
      </c>
      <c r="UWG60" s="280">
        <v>0</v>
      </c>
      <c r="UWH60" s="280">
        <v>0</v>
      </c>
      <c r="UWI60" s="280">
        <v>0</v>
      </c>
      <c r="UWJ60" s="280">
        <v>0</v>
      </c>
      <c r="UWK60" s="280">
        <v>0</v>
      </c>
      <c r="UWL60" s="280">
        <v>0</v>
      </c>
      <c r="UWM60" s="280">
        <v>0</v>
      </c>
      <c r="UWN60" s="280">
        <v>0</v>
      </c>
      <c r="UWO60" s="280">
        <v>0</v>
      </c>
      <c r="UWP60" s="280">
        <v>0</v>
      </c>
      <c r="UWQ60" s="280">
        <v>0</v>
      </c>
      <c r="UWR60" s="280">
        <v>0</v>
      </c>
      <c r="UWS60" s="280">
        <v>0</v>
      </c>
      <c r="UWT60" s="280">
        <v>0</v>
      </c>
      <c r="UWU60" s="280">
        <v>0</v>
      </c>
      <c r="UWV60" s="280">
        <v>0</v>
      </c>
      <c r="UWW60" s="280">
        <v>0</v>
      </c>
      <c r="UWX60" s="280">
        <v>0</v>
      </c>
      <c r="UWY60" s="280">
        <v>0</v>
      </c>
      <c r="UWZ60" s="280">
        <v>0</v>
      </c>
      <c r="UXA60" s="280">
        <v>0</v>
      </c>
      <c r="UXB60" s="280">
        <v>0</v>
      </c>
      <c r="UXC60" s="280">
        <v>0</v>
      </c>
      <c r="UXD60" s="280">
        <v>0</v>
      </c>
      <c r="UXE60" s="280">
        <v>0</v>
      </c>
      <c r="UXF60" s="280">
        <v>0</v>
      </c>
      <c r="UXG60" s="280">
        <v>0</v>
      </c>
      <c r="UXH60" s="280">
        <v>0</v>
      </c>
      <c r="UXI60" s="280">
        <v>0</v>
      </c>
      <c r="UXJ60" s="280">
        <v>0</v>
      </c>
      <c r="UXK60" s="280">
        <v>0</v>
      </c>
      <c r="UXL60" s="280">
        <v>0</v>
      </c>
      <c r="UXM60" s="280">
        <v>0</v>
      </c>
      <c r="UXN60" s="280">
        <v>0</v>
      </c>
      <c r="UXO60" s="280">
        <v>0</v>
      </c>
      <c r="UXP60" s="280">
        <v>0</v>
      </c>
      <c r="UXQ60" s="280">
        <v>0</v>
      </c>
      <c r="UXR60" s="280">
        <v>0</v>
      </c>
      <c r="UXS60" s="280">
        <v>0</v>
      </c>
      <c r="UXT60" s="280">
        <v>0</v>
      </c>
      <c r="UXU60" s="280">
        <v>0</v>
      </c>
      <c r="UXV60" s="280">
        <v>0</v>
      </c>
      <c r="UXW60" s="280">
        <v>0</v>
      </c>
      <c r="UXX60" s="280">
        <v>0</v>
      </c>
      <c r="UXY60" s="280">
        <v>0</v>
      </c>
      <c r="UXZ60" s="280">
        <v>0</v>
      </c>
      <c r="UYA60" s="280">
        <v>0</v>
      </c>
      <c r="UYB60" s="280">
        <v>0</v>
      </c>
      <c r="UYC60" s="280">
        <v>0</v>
      </c>
      <c r="UYD60" s="280">
        <v>0</v>
      </c>
      <c r="UYE60" s="280">
        <v>0</v>
      </c>
      <c r="UYF60" s="280">
        <v>0</v>
      </c>
      <c r="UYG60" s="280">
        <v>0</v>
      </c>
      <c r="UYH60" s="280">
        <v>0</v>
      </c>
      <c r="UYI60" s="280">
        <v>0</v>
      </c>
      <c r="UYJ60" s="280">
        <v>0</v>
      </c>
      <c r="UYK60" s="280">
        <v>0</v>
      </c>
      <c r="UYL60" s="280">
        <v>0</v>
      </c>
      <c r="UYM60" s="280">
        <v>0</v>
      </c>
      <c r="UYN60" s="280">
        <v>0</v>
      </c>
      <c r="UYO60" s="280">
        <v>0</v>
      </c>
      <c r="UYP60" s="280">
        <v>0</v>
      </c>
      <c r="UYQ60" s="280">
        <v>0</v>
      </c>
      <c r="UYR60" s="280">
        <v>0</v>
      </c>
      <c r="UYS60" s="280">
        <v>0</v>
      </c>
      <c r="UYT60" s="280">
        <v>0</v>
      </c>
      <c r="UYU60" s="280">
        <v>0</v>
      </c>
      <c r="UYV60" s="280">
        <v>0</v>
      </c>
      <c r="UYW60" s="280">
        <v>0</v>
      </c>
      <c r="UYX60" s="280">
        <v>0</v>
      </c>
      <c r="UYY60" s="280">
        <v>0</v>
      </c>
      <c r="UYZ60" s="280">
        <v>0</v>
      </c>
      <c r="UZA60" s="280">
        <v>0</v>
      </c>
      <c r="UZB60" s="280">
        <v>0</v>
      </c>
      <c r="UZC60" s="280">
        <v>0</v>
      </c>
      <c r="UZD60" s="280">
        <v>0</v>
      </c>
      <c r="UZE60" s="280">
        <v>0</v>
      </c>
      <c r="UZF60" s="280">
        <v>0</v>
      </c>
      <c r="UZG60" s="280">
        <v>0</v>
      </c>
      <c r="UZH60" s="280">
        <v>0</v>
      </c>
      <c r="UZI60" s="280">
        <v>0</v>
      </c>
      <c r="UZJ60" s="280">
        <v>0</v>
      </c>
      <c r="UZK60" s="280">
        <v>0</v>
      </c>
      <c r="UZL60" s="280">
        <v>0</v>
      </c>
      <c r="UZM60" s="280">
        <v>0</v>
      </c>
      <c r="UZN60" s="280">
        <v>0</v>
      </c>
      <c r="UZO60" s="280">
        <v>0</v>
      </c>
      <c r="UZP60" s="280">
        <v>0</v>
      </c>
      <c r="UZQ60" s="280">
        <v>0</v>
      </c>
      <c r="UZR60" s="280">
        <v>0</v>
      </c>
      <c r="UZS60" s="280">
        <v>0</v>
      </c>
      <c r="UZT60" s="280">
        <v>0</v>
      </c>
      <c r="UZU60" s="280">
        <v>0</v>
      </c>
      <c r="UZV60" s="280">
        <v>0</v>
      </c>
      <c r="UZW60" s="280">
        <v>0</v>
      </c>
      <c r="UZX60" s="280">
        <v>0</v>
      </c>
      <c r="UZY60" s="280">
        <v>0</v>
      </c>
      <c r="UZZ60" s="280">
        <v>0</v>
      </c>
      <c r="VAA60" s="280">
        <v>0</v>
      </c>
      <c r="VAB60" s="280">
        <v>0</v>
      </c>
      <c r="VAC60" s="280">
        <v>0</v>
      </c>
      <c r="VAD60" s="280">
        <v>0</v>
      </c>
      <c r="VAE60" s="280">
        <v>0</v>
      </c>
      <c r="VAF60" s="280">
        <v>0</v>
      </c>
      <c r="VAG60" s="280">
        <v>0</v>
      </c>
      <c r="VAH60" s="280">
        <v>0</v>
      </c>
      <c r="VAI60" s="280">
        <v>0</v>
      </c>
      <c r="VAJ60" s="280">
        <v>0</v>
      </c>
      <c r="VAK60" s="280">
        <v>0</v>
      </c>
      <c r="VAL60" s="280">
        <v>0</v>
      </c>
      <c r="VAM60" s="280">
        <v>0</v>
      </c>
      <c r="VAN60" s="280">
        <v>0</v>
      </c>
      <c r="VAO60" s="280">
        <v>0</v>
      </c>
      <c r="VAP60" s="280">
        <v>0</v>
      </c>
      <c r="VAQ60" s="280">
        <v>0</v>
      </c>
      <c r="VAR60" s="280">
        <v>0</v>
      </c>
      <c r="VAS60" s="280">
        <v>0</v>
      </c>
      <c r="VAT60" s="280">
        <v>0</v>
      </c>
      <c r="VAU60" s="280">
        <v>0</v>
      </c>
      <c r="VAV60" s="280">
        <v>0</v>
      </c>
      <c r="VAW60" s="280">
        <v>0</v>
      </c>
      <c r="VAX60" s="280">
        <v>0</v>
      </c>
      <c r="VAY60" s="280">
        <v>0</v>
      </c>
      <c r="VAZ60" s="280">
        <v>0</v>
      </c>
      <c r="VBA60" s="280">
        <v>0</v>
      </c>
      <c r="VBB60" s="280">
        <v>0</v>
      </c>
      <c r="VBC60" s="280">
        <v>0</v>
      </c>
      <c r="VBD60" s="280">
        <v>0</v>
      </c>
      <c r="VBE60" s="280">
        <v>0</v>
      </c>
      <c r="VBF60" s="280">
        <v>0</v>
      </c>
      <c r="VBG60" s="280">
        <v>0</v>
      </c>
      <c r="VBH60" s="280">
        <v>0</v>
      </c>
      <c r="VBI60" s="280">
        <v>0</v>
      </c>
      <c r="VBJ60" s="280">
        <v>0</v>
      </c>
      <c r="VBK60" s="280">
        <v>0</v>
      </c>
      <c r="VBL60" s="280">
        <v>0</v>
      </c>
      <c r="VBM60" s="280">
        <v>0</v>
      </c>
      <c r="VBN60" s="280">
        <v>0</v>
      </c>
      <c r="VBO60" s="280">
        <v>0</v>
      </c>
      <c r="VBP60" s="280">
        <v>0</v>
      </c>
      <c r="VBQ60" s="280">
        <v>0</v>
      </c>
      <c r="VBR60" s="280">
        <v>0</v>
      </c>
      <c r="VBS60" s="280">
        <v>0</v>
      </c>
      <c r="VBT60" s="280">
        <v>0</v>
      </c>
      <c r="VBU60" s="280">
        <v>0</v>
      </c>
      <c r="VBV60" s="280">
        <v>0</v>
      </c>
      <c r="VBW60" s="280">
        <v>0</v>
      </c>
      <c r="VBX60" s="280">
        <v>0</v>
      </c>
      <c r="VBY60" s="280">
        <v>0</v>
      </c>
      <c r="VBZ60" s="280">
        <v>0</v>
      </c>
      <c r="VCA60" s="280">
        <v>0</v>
      </c>
      <c r="VCB60" s="280">
        <v>0</v>
      </c>
      <c r="VCC60" s="280">
        <v>0</v>
      </c>
      <c r="VCD60" s="280">
        <v>0</v>
      </c>
      <c r="VCE60" s="280">
        <v>0</v>
      </c>
      <c r="VCF60" s="280">
        <v>0</v>
      </c>
      <c r="VCG60" s="280">
        <v>0</v>
      </c>
      <c r="VCH60" s="280">
        <v>0</v>
      </c>
      <c r="VCI60" s="280">
        <v>0</v>
      </c>
      <c r="VCJ60" s="280">
        <v>0</v>
      </c>
      <c r="VCK60" s="280">
        <v>0</v>
      </c>
      <c r="VCL60" s="280">
        <v>0</v>
      </c>
      <c r="VCM60" s="280">
        <v>0</v>
      </c>
      <c r="VCN60" s="280">
        <v>0</v>
      </c>
      <c r="VCO60" s="280">
        <v>0</v>
      </c>
      <c r="VCP60" s="280">
        <v>0</v>
      </c>
      <c r="VCQ60" s="280">
        <v>0</v>
      </c>
      <c r="VCR60" s="280">
        <v>0</v>
      </c>
      <c r="VCS60" s="280">
        <v>0</v>
      </c>
      <c r="VCT60" s="280">
        <v>0</v>
      </c>
      <c r="VCU60" s="280">
        <v>0</v>
      </c>
      <c r="VCV60" s="280">
        <v>0</v>
      </c>
      <c r="VCW60" s="280">
        <v>0</v>
      </c>
      <c r="VCX60" s="280">
        <v>0</v>
      </c>
      <c r="VCY60" s="280">
        <v>0</v>
      </c>
      <c r="VCZ60" s="280">
        <v>0</v>
      </c>
      <c r="VDA60" s="280">
        <v>0</v>
      </c>
      <c r="VDB60" s="280">
        <v>0</v>
      </c>
      <c r="VDC60" s="280">
        <v>0</v>
      </c>
      <c r="VDD60" s="280">
        <v>0</v>
      </c>
      <c r="VDE60" s="280">
        <v>0</v>
      </c>
      <c r="VDF60" s="280">
        <v>0</v>
      </c>
      <c r="VDG60" s="280">
        <v>0</v>
      </c>
      <c r="VDH60" s="280">
        <v>0</v>
      </c>
      <c r="VDI60" s="280">
        <v>0</v>
      </c>
      <c r="VDJ60" s="280">
        <v>0</v>
      </c>
      <c r="VDK60" s="280">
        <v>0</v>
      </c>
      <c r="VDL60" s="280">
        <v>0</v>
      </c>
      <c r="VDM60" s="280">
        <v>0</v>
      </c>
      <c r="VDN60" s="280">
        <v>0</v>
      </c>
      <c r="VDO60" s="280">
        <v>0</v>
      </c>
      <c r="VDP60" s="280">
        <v>0</v>
      </c>
      <c r="VDQ60" s="280">
        <v>0</v>
      </c>
      <c r="VDR60" s="280">
        <v>0</v>
      </c>
      <c r="VDS60" s="280">
        <v>0</v>
      </c>
      <c r="VDT60" s="280">
        <v>0</v>
      </c>
      <c r="VDU60" s="280">
        <v>0</v>
      </c>
      <c r="VDV60" s="280">
        <v>0</v>
      </c>
      <c r="VDW60" s="280">
        <v>0</v>
      </c>
      <c r="VDX60" s="280">
        <v>0</v>
      </c>
      <c r="VDY60" s="280">
        <v>0</v>
      </c>
      <c r="VDZ60" s="280">
        <v>0</v>
      </c>
      <c r="VEA60" s="280">
        <v>0</v>
      </c>
      <c r="VEB60" s="280">
        <v>0</v>
      </c>
      <c r="VEC60" s="280">
        <v>0</v>
      </c>
      <c r="VED60" s="280">
        <v>0</v>
      </c>
      <c r="VEE60" s="280">
        <v>0</v>
      </c>
      <c r="VEF60" s="280">
        <v>0</v>
      </c>
      <c r="VEG60" s="280">
        <v>0</v>
      </c>
      <c r="VEH60" s="280">
        <v>0</v>
      </c>
      <c r="VEI60" s="280">
        <v>0</v>
      </c>
      <c r="VEJ60" s="280">
        <v>0</v>
      </c>
      <c r="VEK60" s="280">
        <v>0</v>
      </c>
      <c r="VEL60" s="280">
        <v>0</v>
      </c>
      <c r="VEM60" s="280">
        <v>0</v>
      </c>
      <c r="VEN60" s="280">
        <v>0</v>
      </c>
      <c r="VEO60" s="280">
        <v>0</v>
      </c>
      <c r="VEP60" s="280">
        <v>0</v>
      </c>
      <c r="VEQ60" s="280">
        <v>0</v>
      </c>
      <c r="VER60" s="280">
        <v>0</v>
      </c>
      <c r="VES60" s="280">
        <v>0</v>
      </c>
      <c r="VET60" s="280">
        <v>0</v>
      </c>
      <c r="VEU60" s="280">
        <v>0</v>
      </c>
      <c r="VEV60" s="280">
        <v>0</v>
      </c>
      <c r="VEW60" s="280">
        <v>0</v>
      </c>
      <c r="VEX60" s="280">
        <v>0</v>
      </c>
      <c r="VEY60" s="280">
        <v>0</v>
      </c>
      <c r="VEZ60" s="280">
        <v>0</v>
      </c>
      <c r="VFA60" s="280">
        <v>0</v>
      </c>
      <c r="VFB60" s="280">
        <v>0</v>
      </c>
      <c r="VFC60" s="280">
        <v>0</v>
      </c>
      <c r="VFD60" s="280">
        <v>0</v>
      </c>
      <c r="VFE60" s="280">
        <v>0</v>
      </c>
      <c r="VFF60" s="280">
        <v>0</v>
      </c>
      <c r="VFG60" s="280">
        <v>0</v>
      </c>
      <c r="VFH60" s="280">
        <v>0</v>
      </c>
      <c r="VFI60" s="280">
        <v>0</v>
      </c>
      <c r="VFJ60" s="280">
        <v>0</v>
      </c>
      <c r="VFK60" s="280">
        <v>0</v>
      </c>
      <c r="VFL60" s="280">
        <v>0</v>
      </c>
      <c r="VFM60" s="280">
        <v>0</v>
      </c>
      <c r="VFN60" s="280">
        <v>0</v>
      </c>
      <c r="VFO60" s="280">
        <v>0</v>
      </c>
      <c r="VFP60" s="280">
        <v>0</v>
      </c>
      <c r="VFQ60" s="280">
        <v>0</v>
      </c>
      <c r="VFR60" s="280">
        <v>0</v>
      </c>
      <c r="VFS60" s="280">
        <v>0</v>
      </c>
      <c r="VFT60" s="280">
        <v>0</v>
      </c>
      <c r="VFU60" s="280">
        <v>0</v>
      </c>
      <c r="VFV60" s="280">
        <v>0</v>
      </c>
      <c r="VFW60" s="280">
        <v>0</v>
      </c>
      <c r="VFX60" s="280">
        <v>0</v>
      </c>
      <c r="VFY60" s="280">
        <v>0</v>
      </c>
      <c r="VFZ60" s="280">
        <v>0</v>
      </c>
      <c r="VGA60" s="280">
        <v>0</v>
      </c>
      <c r="VGB60" s="280">
        <v>0</v>
      </c>
      <c r="VGC60" s="280">
        <v>0</v>
      </c>
      <c r="VGD60" s="280">
        <v>0</v>
      </c>
      <c r="VGE60" s="280">
        <v>0</v>
      </c>
      <c r="VGF60" s="280">
        <v>0</v>
      </c>
      <c r="VGG60" s="280">
        <v>0</v>
      </c>
      <c r="VGH60" s="280">
        <v>0</v>
      </c>
      <c r="VGI60" s="280">
        <v>0</v>
      </c>
      <c r="VGJ60" s="280">
        <v>0</v>
      </c>
      <c r="VGK60" s="280">
        <v>0</v>
      </c>
      <c r="VGL60" s="280">
        <v>0</v>
      </c>
      <c r="VGM60" s="280">
        <v>0</v>
      </c>
      <c r="VGN60" s="280">
        <v>0</v>
      </c>
      <c r="VGO60" s="280">
        <v>0</v>
      </c>
      <c r="VGP60" s="280">
        <v>0</v>
      </c>
      <c r="VGQ60" s="280">
        <v>0</v>
      </c>
      <c r="VGR60" s="280">
        <v>0</v>
      </c>
      <c r="VGS60" s="280">
        <v>0</v>
      </c>
      <c r="VGT60" s="280">
        <v>0</v>
      </c>
      <c r="VGU60" s="280">
        <v>0</v>
      </c>
      <c r="VGV60" s="280">
        <v>0</v>
      </c>
      <c r="VGW60" s="280">
        <v>0</v>
      </c>
      <c r="VGX60" s="280">
        <v>0</v>
      </c>
      <c r="VGY60" s="280">
        <v>0</v>
      </c>
      <c r="VGZ60" s="280">
        <v>0</v>
      </c>
      <c r="VHA60" s="280">
        <v>0</v>
      </c>
      <c r="VHB60" s="280">
        <v>0</v>
      </c>
      <c r="VHC60" s="280">
        <v>0</v>
      </c>
      <c r="VHD60" s="280">
        <v>0</v>
      </c>
      <c r="VHE60" s="280">
        <v>0</v>
      </c>
      <c r="VHF60" s="280">
        <v>0</v>
      </c>
      <c r="VHG60" s="280">
        <v>0</v>
      </c>
      <c r="VHH60" s="280">
        <v>0</v>
      </c>
      <c r="VHI60" s="280">
        <v>0</v>
      </c>
      <c r="VHJ60" s="280">
        <v>0</v>
      </c>
      <c r="VHK60" s="280">
        <v>0</v>
      </c>
      <c r="VHL60" s="280">
        <v>0</v>
      </c>
      <c r="VHM60" s="280">
        <v>0</v>
      </c>
      <c r="VHN60" s="280">
        <v>0</v>
      </c>
      <c r="VHO60" s="280">
        <v>0</v>
      </c>
      <c r="VHP60" s="280">
        <v>0</v>
      </c>
      <c r="VHQ60" s="280">
        <v>0</v>
      </c>
      <c r="VHR60" s="280">
        <v>0</v>
      </c>
      <c r="VHS60" s="280">
        <v>0</v>
      </c>
      <c r="VHT60" s="280">
        <v>0</v>
      </c>
      <c r="VHU60" s="280">
        <v>0</v>
      </c>
      <c r="VHV60" s="280">
        <v>0</v>
      </c>
      <c r="VHW60" s="280">
        <v>0</v>
      </c>
      <c r="VHX60" s="280">
        <v>0</v>
      </c>
      <c r="VHY60" s="280">
        <v>0</v>
      </c>
      <c r="VHZ60" s="280">
        <v>0</v>
      </c>
      <c r="VIA60" s="280">
        <v>0</v>
      </c>
      <c r="VIB60" s="280">
        <v>0</v>
      </c>
      <c r="VIC60" s="280">
        <v>0</v>
      </c>
      <c r="VID60" s="280">
        <v>0</v>
      </c>
      <c r="VIE60" s="280">
        <v>0</v>
      </c>
      <c r="VIF60" s="280">
        <v>0</v>
      </c>
      <c r="VIG60" s="280">
        <v>0</v>
      </c>
      <c r="VIH60" s="280">
        <v>0</v>
      </c>
      <c r="VII60" s="280">
        <v>0</v>
      </c>
      <c r="VIJ60" s="280">
        <v>0</v>
      </c>
      <c r="VIK60" s="280">
        <v>0</v>
      </c>
      <c r="VIL60" s="280">
        <v>0</v>
      </c>
      <c r="VIM60" s="280">
        <v>0</v>
      </c>
      <c r="VIN60" s="280">
        <v>0</v>
      </c>
      <c r="VIO60" s="280">
        <v>0</v>
      </c>
      <c r="VIP60" s="280">
        <v>0</v>
      </c>
      <c r="VIQ60" s="280">
        <v>0</v>
      </c>
      <c r="VIR60" s="280">
        <v>0</v>
      </c>
      <c r="VIS60" s="280">
        <v>0</v>
      </c>
      <c r="VIT60" s="280">
        <v>0</v>
      </c>
      <c r="VIU60" s="280">
        <v>0</v>
      </c>
      <c r="VIV60" s="280">
        <v>0</v>
      </c>
      <c r="VIW60" s="280">
        <v>0</v>
      </c>
      <c r="VIX60" s="280">
        <v>0</v>
      </c>
      <c r="VIY60" s="280">
        <v>0</v>
      </c>
      <c r="VIZ60" s="280">
        <v>0</v>
      </c>
      <c r="VJA60" s="280">
        <v>0</v>
      </c>
      <c r="VJB60" s="280">
        <v>0</v>
      </c>
      <c r="VJC60" s="280">
        <v>0</v>
      </c>
      <c r="VJD60" s="280">
        <v>0</v>
      </c>
      <c r="VJE60" s="280">
        <v>0</v>
      </c>
      <c r="VJF60" s="280">
        <v>0</v>
      </c>
      <c r="VJG60" s="280">
        <v>0</v>
      </c>
      <c r="VJH60" s="280">
        <v>0</v>
      </c>
      <c r="VJI60" s="280">
        <v>0</v>
      </c>
      <c r="VJJ60" s="280">
        <v>0</v>
      </c>
      <c r="VJK60" s="280">
        <v>0</v>
      </c>
      <c r="VJL60" s="280">
        <v>0</v>
      </c>
      <c r="VJM60" s="280">
        <v>0</v>
      </c>
      <c r="VJN60" s="280">
        <v>0</v>
      </c>
      <c r="VJO60" s="280">
        <v>0</v>
      </c>
      <c r="VJP60" s="280">
        <v>0</v>
      </c>
      <c r="VJQ60" s="280">
        <v>0</v>
      </c>
      <c r="VJR60" s="280">
        <v>0</v>
      </c>
      <c r="VJS60" s="280">
        <v>0</v>
      </c>
      <c r="VJT60" s="280">
        <v>0</v>
      </c>
      <c r="VJU60" s="280">
        <v>0</v>
      </c>
      <c r="VJV60" s="280">
        <v>0</v>
      </c>
      <c r="VJW60" s="280">
        <v>0</v>
      </c>
      <c r="VJX60" s="280">
        <v>0</v>
      </c>
      <c r="VJY60" s="280">
        <v>0</v>
      </c>
      <c r="VJZ60" s="280">
        <v>0</v>
      </c>
      <c r="VKA60" s="280">
        <v>0</v>
      </c>
      <c r="VKB60" s="280">
        <v>0</v>
      </c>
      <c r="VKC60" s="280">
        <v>0</v>
      </c>
      <c r="VKD60" s="280">
        <v>0</v>
      </c>
      <c r="VKE60" s="280">
        <v>0</v>
      </c>
      <c r="VKF60" s="280">
        <v>0</v>
      </c>
      <c r="VKG60" s="280">
        <v>0</v>
      </c>
      <c r="VKH60" s="280">
        <v>0</v>
      </c>
      <c r="VKI60" s="280">
        <v>0</v>
      </c>
      <c r="VKJ60" s="280">
        <v>0</v>
      </c>
      <c r="VKK60" s="280">
        <v>0</v>
      </c>
      <c r="VKL60" s="280">
        <v>0</v>
      </c>
      <c r="VKM60" s="280">
        <v>0</v>
      </c>
      <c r="VKN60" s="280">
        <v>0</v>
      </c>
      <c r="VKO60" s="280">
        <v>0</v>
      </c>
      <c r="VKP60" s="280">
        <v>0</v>
      </c>
      <c r="VKQ60" s="280">
        <v>0</v>
      </c>
      <c r="VKR60" s="280">
        <v>0</v>
      </c>
      <c r="VKS60" s="280">
        <v>0</v>
      </c>
      <c r="VKT60" s="280">
        <v>0</v>
      </c>
      <c r="VKU60" s="280">
        <v>0</v>
      </c>
      <c r="VKV60" s="280">
        <v>0</v>
      </c>
      <c r="VKW60" s="280">
        <v>0</v>
      </c>
      <c r="VKX60" s="280">
        <v>0</v>
      </c>
      <c r="VKY60" s="280">
        <v>0</v>
      </c>
      <c r="VKZ60" s="280">
        <v>0</v>
      </c>
      <c r="VLA60" s="280">
        <v>0</v>
      </c>
      <c r="VLB60" s="280">
        <v>0</v>
      </c>
      <c r="VLC60" s="280">
        <v>0</v>
      </c>
      <c r="VLD60" s="280">
        <v>0</v>
      </c>
      <c r="VLE60" s="280">
        <v>0</v>
      </c>
      <c r="VLF60" s="280">
        <v>0</v>
      </c>
      <c r="VLG60" s="280">
        <v>0</v>
      </c>
      <c r="VLH60" s="280">
        <v>0</v>
      </c>
      <c r="VLI60" s="280">
        <v>0</v>
      </c>
      <c r="VLJ60" s="280">
        <v>0</v>
      </c>
      <c r="VLK60" s="280">
        <v>0</v>
      </c>
      <c r="VLL60" s="280">
        <v>0</v>
      </c>
      <c r="VLM60" s="280">
        <v>0</v>
      </c>
      <c r="VLN60" s="280">
        <v>0</v>
      </c>
      <c r="VLO60" s="280">
        <v>0</v>
      </c>
      <c r="VLP60" s="280">
        <v>0</v>
      </c>
      <c r="VLQ60" s="280">
        <v>0</v>
      </c>
      <c r="VLR60" s="280">
        <v>0</v>
      </c>
      <c r="VLS60" s="280">
        <v>0</v>
      </c>
      <c r="VLT60" s="280">
        <v>0</v>
      </c>
      <c r="VLU60" s="280">
        <v>0</v>
      </c>
      <c r="VLV60" s="280">
        <v>0</v>
      </c>
      <c r="VLW60" s="280">
        <v>0</v>
      </c>
      <c r="VLX60" s="280">
        <v>0</v>
      </c>
      <c r="VLY60" s="280">
        <v>0</v>
      </c>
      <c r="VLZ60" s="280">
        <v>0</v>
      </c>
      <c r="VMA60" s="280">
        <v>0</v>
      </c>
      <c r="VMB60" s="280">
        <v>0</v>
      </c>
      <c r="VMC60" s="280">
        <v>0</v>
      </c>
      <c r="VMD60" s="280">
        <v>0</v>
      </c>
      <c r="VME60" s="280">
        <v>0</v>
      </c>
      <c r="VMF60" s="280">
        <v>0</v>
      </c>
      <c r="VMG60" s="280">
        <v>0</v>
      </c>
      <c r="VMH60" s="280">
        <v>0</v>
      </c>
      <c r="VMI60" s="280">
        <v>0</v>
      </c>
      <c r="VMJ60" s="280">
        <v>0</v>
      </c>
      <c r="VMK60" s="280">
        <v>0</v>
      </c>
      <c r="VML60" s="280">
        <v>0</v>
      </c>
      <c r="VMM60" s="280">
        <v>0</v>
      </c>
      <c r="VMN60" s="280">
        <v>0</v>
      </c>
      <c r="VMO60" s="280">
        <v>0</v>
      </c>
      <c r="VMP60" s="280">
        <v>0</v>
      </c>
      <c r="VMQ60" s="280">
        <v>0</v>
      </c>
      <c r="VMR60" s="280">
        <v>0</v>
      </c>
      <c r="VMS60" s="280">
        <v>0</v>
      </c>
      <c r="VMT60" s="280">
        <v>0</v>
      </c>
      <c r="VMU60" s="280">
        <v>0</v>
      </c>
      <c r="VMV60" s="280">
        <v>0</v>
      </c>
      <c r="VMW60" s="280">
        <v>0</v>
      </c>
      <c r="VMX60" s="280">
        <v>0</v>
      </c>
      <c r="VMY60" s="280">
        <v>0</v>
      </c>
      <c r="VMZ60" s="280">
        <v>0</v>
      </c>
      <c r="VNA60" s="280">
        <v>0</v>
      </c>
      <c r="VNB60" s="280">
        <v>0</v>
      </c>
      <c r="VNC60" s="280">
        <v>0</v>
      </c>
      <c r="VND60" s="280">
        <v>0</v>
      </c>
      <c r="VNE60" s="280">
        <v>0</v>
      </c>
      <c r="VNF60" s="280">
        <v>0</v>
      </c>
      <c r="VNG60" s="280">
        <v>0</v>
      </c>
      <c r="VNH60" s="280">
        <v>0</v>
      </c>
      <c r="VNI60" s="280">
        <v>0</v>
      </c>
      <c r="VNJ60" s="280">
        <v>0</v>
      </c>
      <c r="VNK60" s="280">
        <v>0</v>
      </c>
      <c r="VNL60" s="280">
        <v>0</v>
      </c>
      <c r="VNM60" s="280">
        <v>0</v>
      </c>
      <c r="VNN60" s="280">
        <v>0</v>
      </c>
      <c r="VNO60" s="280">
        <v>0</v>
      </c>
      <c r="VNP60" s="280">
        <v>0</v>
      </c>
      <c r="VNQ60" s="280">
        <v>0</v>
      </c>
      <c r="VNR60" s="280">
        <v>0</v>
      </c>
      <c r="VNS60" s="280">
        <v>0</v>
      </c>
      <c r="VNT60" s="280">
        <v>0</v>
      </c>
      <c r="VNU60" s="280">
        <v>0</v>
      </c>
      <c r="VNV60" s="280">
        <v>0</v>
      </c>
      <c r="VNW60" s="280">
        <v>0</v>
      </c>
      <c r="VNX60" s="280">
        <v>0</v>
      </c>
      <c r="VNY60" s="280">
        <v>0</v>
      </c>
      <c r="VNZ60" s="280">
        <v>0</v>
      </c>
      <c r="VOA60" s="280">
        <v>0</v>
      </c>
      <c r="VOB60" s="280">
        <v>0</v>
      </c>
      <c r="VOC60" s="280">
        <v>0</v>
      </c>
      <c r="VOD60" s="280">
        <v>0</v>
      </c>
      <c r="VOE60" s="280">
        <v>0</v>
      </c>
      <c r="VOF60" s="280">
        <v>0</v>
      </c>
      <c r="VOG60" s="280">
        <v>0</v>
      </c>
      <c r="VOH60" s="280">
        <v>0</v>
      </c>
      <c r="VOI60" s="280">
        <v>0</v>
      </c>
      <c r="VOJ60" s="280">
        <v>0</v>
      </c>
      <c r="VOK60" s="280">
        <v>0</v>
      </c>
      <c r="VOL60" s="280">
        <v>0</v>
      </c>
      <c r="VOM60" s="280">
        <v>0</v>
      </c>
      <c r="VON60" s="280">
        <v>0</v>
      </c>
      <c r="VOO60" s="280">
        <v>0</v>
      </c>
      <c r="VOP60" s="280">
        <v>0</v>
      </c>
      <c r="VOQ60" s="280">
        <v>0</v>
      </c>
      <c r="VOR60" s="280">
        <v>0</v>
      </c>
      <c r="VOS60" s="280">
        <v>0</v>
      </c>
      <c r="VOT60" s="280">
        <v>0</v>
      </c>
      <c r="VOU60" s="280">
        <v>0</v>
      </c>
      <c r="VOV60" s="280">
        <v>0</v>
      </c>
      <c r="VOW60" s="280">
        <v>0</v>
      </c>
      <c r="VOX60" s="280">
        <v>0</v>
      </c>
      <c r="VOY60" s="280">
        <v>0</v>
      </c>
      <c r="VOZ60" s="280">
        <v>0</v>
      </c>
      <c r="VPA60" s="280">
        <v>0</v>
      </c>
      <c r="VPB60" s="280">
        <v>0</v>
      </c>
      <c r="VPC60" s="280">
        <v>0</v>
      </c>
      <c r="VPD60" s="280">
        <v>0</v>
      </c>
      <c r="VPE60" s="280">
        <v>0</v>
      </c>
      <c r="VPF60" s="280">
        <v>0</v>
      </c>
      <c r="VPG60" s="280">
        <v>0</v>
      </c>
      <c r="VPH60" s="280">
        <v>0</v>
      </c>
      <c r="VPI60" s="280">
        <v>0</v>
      </c>
      <c r="VPJ60" s="280">
        <v>0</v>
      </c>
      <c r="VPK60" s="280">
        <v>0</v>
      </c>
      <c r="VPL60" s="280">
        <v>0</v>
      </c>
      <c r="VPM60" s="280">
        <v>0</v>
      </c>
      <c r="VPN60" s="280">
        <v>0</v>
      </c>
      <c r="VPO60" s="280">
        <v>0</v>
      </c>
      <c r="VPP60" s="280">
        <v>0</v>
      </c>
      <c r="VPQ60" s="280">
        <v>0</v>
      </c>
      <c r="VPR60" s="280">
        <v>0</v>
      </c>
      <c r="VPS60" s="280">
        <v>0</v>
      </c>
      <c r="VPT60" s="280">
        <v>0</v>
      </c>
      <c r="VPU60" s="280">
        <v>0</v>
      </c>
      <c r="VPV60" s="280">
        <v>0</v>
      </c>
      <c r="VPW60" s="280">
        <v>0</v>
      </c>
      <c r="VPX60" s="280">
        <v>0</v>
      </c>
      <c r="VPY60" s="280">
        <v>0</v>
      </c>
      <c r="VPZ60" s="280">
        <v>0</v>
      </c>
      <c r="VQA60" s="280">
        <v>0</v>
      </c>
      <c r="VQB60" s="280">
        <v>0</v>
      </c>
      <c r="VQC60" s="280">
        <v>0</v>
      </c>
      <c r="VQD60" s="280">
        <v>0</v>
      </c>
      <c r="VQE60" s="280">
        <v>0</v>
      </c>
      <c r="VQF60" s="280">
        <v>0</v>
      </c>
      <c r="VQG60" s="280">
        <v>0</v>
      </c>
      <c r="VQH60" s="280">
        <v>0</v>
      </c>
      <c r="VQI60" s="280">
        <v>0</v>
      </c>
      <c r="VQJ60" s="280">
        <v>0</v>
      </c>
      <c r="VQK60" s="280">
        <v>0</v>
      </c>
      <c r="VQL60" s="280">
        <v>0</v>
      </c>
      <c r="VQM60" s="280">
        <v>0</v>
      </c>
      <c r="VQN60" s="280">
        <v>0</v>
      </c>
      <c r="VQO60" s="280">
        <v>0</v>
      </c>
      <c r="VQP60" s="280">
        <v>0</v>
      </c>
      <c r="VQQ60" s="280">
        <v>0</v>
      </c>
      <c r="VQR60" s="280">
        <v>0</v>
      </c>
      <c r="VQS60" s="280">
        <v>0</v>
      </c>
      <c r="VQT60" s="280">
        <v>0</v>
      </c>
      <c r="VQU60" s="280">
        <v>0</v>
      </c>
      <c r="VQV60" s="280">
        <v>0</v>
      </c>
      <c r="VQW60" s="280">
        <v>0</v>
      </c>
      <c r="VQX60" s="280">
        <v>0</v>
      </c>
      <c r="VQY60" s="280">
        <v>0</v>
      </c>
      <c r="VQZ60" s="280">
        <v>0</v>
      </c>
      <c r="VRA60" s="280">
        <v>0</v>
      </c>
      <c r="VRB60" s="280">
        <v>0</v>
      </c>
      <c r="VRC60" s="280">
        <v>0</v>
      </c>
      <c r="VRD60" s="280">
        <v>0</v>
      </c>
      <c r="VRE60" s="280">
        <v>0</v>
      </c>
      <c r="VRF60" s="280">
        <v>0</v>
      </c>
      <c r="VRG60" s="280">
        <v>0</v>
      </c>
      <c r="VRH60" s="280">
        <v>0</v>
      </c>
      <c r="VRI60" s="280">
        <v>0</v>
      </c>
      <c r="VRJ60" s="280">
        <v>0</v>
      </c>
      <c r="VRK60" s="280">
        <v>0</v>
      </c>
      <c r="VRL60" s="280">
        <v>0</v>
      </c>
      <c r="VRM60" s="280">
        <v>0</v>
      </c>
      <c r="VRN60" s="280">
        <v>0</v>
      </c>
      <c r="VRO60" s="280">
        <v>0</v>
      </c>
      <c r="VRP60" s="280">
        <v>0</v>
      </c>
      <c r="VRQ60" s="280">
        <v>0</v>
      </c>
      <c r="VRR60" s="280">
        <v>0</v>
      </c>
      <c r="VRS60" s="280">
        <v>0</v>
      </c>
      <c r="VRT60" s="280">
        <v>0</v>
      </c>
      <c r="VRU60" s="280">
        <v>0</v>
      </c>
      <c r="VRV60" s="280">
        <v>0</v>
      </c>
      <c r="VRW60" s="280">
        <v>0</v>
      </c>
      <c r="VRX60" s="280">
        <v>0</v>
      </c>
      <c r="VRY60" s="280">
        <v>0</v>
      </c>
      <c r="VRZ60" s="280">
        <v>0</v>
      </c>
      <c r="VSA60" s="280">
        <v>0</v>
      </c>
      <c r="VSB60" s="280">
        <v>0</v>
      </c>
      <c r="VSC60" s="280">
        <v>0</v>
      </c>
      <c r="VSD60" s="280">
        <v>0</v>
      </c>
      <c r="VSE60" s="280">
        <v>0</v>
      </c>
      <c r="VSF60" s="280">
        <v>0</v>
      </c>
      <c r="VSG60" s="280">
        <v>0</v>
      </c>
      <c r="VSH60" s="280">
        <v>0</v>
      </c>
      <c r="VSI60" s="280">
        <v>0</v>
      </c>
      <c r="VSJ60" s="280">
        <v>0</v>
      </c>
      <c r="VSK60" s="280">
        <v>0</v>
      </c>
      <c r="VSL60" s="280">
        <v>0</v>
      </c>
      <c r="VSM60" s="280">
        <v>0</v>
      </c>
      <c r="VSN60" s="280">
        <v>0</v>
      </c>
      <c r="VSO60" s="280">
        <v>0</v>
      </c>
      <c r="VSP60" s="280">
        <v>0</v>
      </c>
      <c r="VSQ60" s="280">
        <v>0</v>
      </c>
      <c r="VSR60" s="280">
        <v>0</v>
      </c>
      <c r="VSS60" s="280">
        <v>0</v>
      </c>
      <c r="VST60" s="280">
        <v>0</v>
      </c>
      <c r="VSU60" s="280">
        <v>0</v>
      </c>
      <c r="VSV60" s="280">
        <v>0</v>
      </c>
      <c r="VSW60" s="280">
        <v>0</v>
      </c>
      <c r="VSX60" s="280">
        <v>0</v>
      </c>
      <c r="VSY60" s="280">
        <v>0</v>
      </c>
      <c r="VSZ60" s="280">
        <v>0</v>
      </c>
      <c r="VTA60" s="280">
        <v>0</v>
      </c>
      <c r="VTB60" s="280">
        <v>0</v>
      </c>
      <c r="VTC60" s="280">
        <v>0</v>
      </c>
      <c r="VTD60" s="280">
        <v>0</v>
      </c>
      <c r="VTE60" s="280">
        <v>0</v>
      </c>
      <c r="VTF60" s="280">
        <v>0</v>
      </c>
      <c r="VTG60" s="280">
        <v>0</v>
      </c>
      <c r="VTH60" s="280">
        <v>0</v>
      </c>
      <c r="VTI60" s="280">
        <v>0</v>
      </c>
      <c r="VTJ60" s="280">
        <v>0</v>
      </c>
      <c r="VTK60" s="280">
        <v>0</v>
      </c>
      <c r="VTL60" s="280">
        <v>0</v>
      </c>
      <c r="VTM60" s="280">
        <v>0</v>
      </c>
      <c r="VTN60" s="280">
        <v>0</v>
      </c>
      <c r="VTO60" s="280">
        <v>0</v>
      </c>
      <c r="VTP60" s="280">
        <v>0</v>
      </c>
      <c r="VTQ60" s="280">
        <v>0</v>
      </c>
      <c r="VTR60" s="280">
        <v>0</v>
      </c>
      <c r="VTS60" s="280">
        <v>0</v>
      </c>
      <c r="VTT60" s="280">
        <v>0</v>
      </c>
      <c r="VTU60" s="280">
        <v>0</v>
      </c>
      <c r="VTV60" s="280">
        <v>0</v>
      </c>
      <c r="VTW60" s="280">
        <v>0</v>
      </c>
      <c r="VTX60" s="280">
        <v>0</v>
      </c>
      <c r="VTY60" s="280">
        <v>0</v>
      </c>
      <c r="VTZ60" s="280">
        <v>0</v>
      </c>
      <c r="VUA60" s="280">
        <v>0</v>
      </c>
      <c r="VUB60" s="280">
        <v>0</v>
      </c>
      <c r="VUC60" s="280">
        <v>0</v>
      </c>
      <c r="VUD60" s="280">
        <v>0</v>
      </c>
      <c r="VUE60" s="280">
        <v>0</v>
      </c>
      <c r="VUF60" s="280">
        <v>0</v>
      </c>
      <c r="VUG60" s="280">
        <v>0</v>
      </c>
      <c r="VUH60" s="280">
        <v>0</v>
      </c>
      <c r="VUI60" s="280">
        <v>0</v>
      </c>
      <c r="VUJ60" s="280">
        <v>0</v>
      </c>
      <c r="VUK60" s="280">
        <v>0</v>
      </c>
      <c r="VUL60" s="280">
        <v>0</v>
      </c>
      <c r="VUM60" s="280">
        <v>0</v>
      </c>
      <c r="VUN60" s="280">
        <v>0</v>
      </c>
      <c r="VUO60" s="280">
        <v>0</v>
      </c>
      <c r="VUP60" s="280">
        <v>0</v>
      </c>
      <c r="VUQ60" s="280">
        <v>0</v>
      </c>
      <c r="VUR60" s="280">
        <v>0</v>
      </c>
      <c r="VUS60" s="280">
        <v>0</v>
      </c>
      <c r="VUT60" s="280">
        <v>0</v>
      </c>
      <c r="VUU60" s="280">
        <v>0</v>
      </c>
      <c r="VUV60" s="280">
        <v>0</v>
      </c>
      <c r="VUW60" s="280">
        <v>0</v>
      </c>
      <c r="VUX60" s="280">
        <v>0</v>
      </c>
      <c r="VUY60" s="280">
        <v>0</v>
      </c>
      <c r="VUZ60" s="280">
        <v>0</v>
      </c>
      <c r="VVA60" s="280">
        <v>0</v>
      </c>
      <c r="VVB60" s="280">
        <v>0</v>
      </c>
      <c r="VVC60" s="280">
        <v>0</v>
      </c>
      <c r="VVD60" s="280">
        <v>0</v>
      </c>
      <c r="VVE60" s="280">
        <v>0</v>
      </c>
      <c r="VVF60" s="280">
        <v>0</v>
      </c>
      <c r="VVG60" s="280">
        <v>0</v>
      </c>
      <c r="VVH60" s="280">
        <v>0</v>
      </c>
      <c r="VVI60" s="280">
        <v>0</v>
      </c>
      <c r="VVJ60" s="280">
        <v>0</v>
      </c>
      <c r="VVK60" s="280">
        <v>0</v>
      </c>
      <c r="VVL60" s="280">
        <v>0</v>
      </c>
      <c r="VVM60" s="280">
        <v>0</v>
      </c>
      <c r="VVN60" s="280">
        <v>0</v>
      </c>
      <c r="VVO60" s="280">
        <v>0</v>
      </c>
      <c r="VVP60" s="280">
        <v>0</v>
      </c>
      <c r="VVQ60" s="280">
        <v>0</v>
      </c>
      <c r="VVR60" s="280">
        <v>0</v>
      </c>
      <c r="VVS60" s="280">
        <v>0</v>
      </c>
      <c r="VVT60" s="280">
        <v>0</v>
      </c>
      <c r="VVU60" s="280">
        <v>0</v>
      </c>
      <c r="VVV60" s="280">
        <v>0</v>
      </c>
      <c r="VVW60" s="280">
        <v>0</v>
      </c>
      <c r="VVX60" s="280">
        <v>0</v>
      </c>
      <c r="VVY60" s="280">
        <v>0</v>
      </c>
      <c r="VVZ60" s="280">
        <v>0</v>
      </c>
      <c r="VWA60" s="280">
        <v>0</v>
      </c>
      <c r="VWB60" s="280">
        <v>0</v>
      </c>
      <c r="VWC60" s="280">
        <v>0</v>
      </c>
      <c r="VWD60" s="280">
        <v>0</v>
      </c>
      <c r="VWE60" s="280">
        <v>0</v>
      </c>
      <c r="VWF60" s="280">
        <v>0</v>
      </c>
      <c r="VWG60" s="280">
        <v>0</v>
      </c>
      <c r="VWH60" s="280">
        <v>0</v>
      </c>
      <c r="VWI60" s="280">
        <v>0</v>
      </c>
      <c r="VWJ60" s="280">
        <v>0</v>
      </c>
      <c r="VWK60" s="280">
        <v>0</v>
      </c>
      <c r="VWL60" s="280">
        <v>0</v>
      </c>
      <c r="VWM60" s="280">
        <v>0</v>
      </c>
      <c r="VWN60" s="280">
        <v>0</v>
      </c>
      <c r="VWO60" s="280">
        <v>0</v>
      </c>
      <c r="VWP60" s="280">
        <v>0</v>
      </c>
      <c r="VWQ60" s="280">
        <v>0</v>
      </c>
      <c r="VWR60" s="280">
        <v>0</v>
      </c>
      <c r="VWS60" s="280">
        <v>0</v>
      </c>
      <c r="VWT60" s="280">
        <v>0</v>
      </c>
      <c r="VWU60" s="280">
        <v>0</v>
      </c>
      <c r="VWV60" s="280">
        <v>0</v>
      </c>
      <c r="VWW60" s="280">
        <v>0</v>
      </c>
      <c r="VWX60" s="280">
        <v>0</v>
      </c>
      <c r="VWY60" s="280">
        <v>0</v>
      </c>
      <c r="VWZ60" s="280">
        <v>0</v>
      </c>
      <c r="VXA60" s="280">
        <v>0</v>
      </c>
      <c r="VXB60" s="280">
        <v>0</v>
      </c>
      <c r="VXC60" s="280">
        <v>0</v>
      </c>
      <c r="VXD60" s="280">
        <v>0</v>
      </c>
      <c r="VXE60" s="280">
        <v>0</v>
      </c>
      <c r="VXF60" s="280">
        <v>0</v>
      </c>
      <c r="VXG60" s="280">
        <v>0</v>
      </c>
      <c r="VXH60" s="280">
        <v>0</v>
      </c>
      <c r="VXI60" s="280">
        <v>0</v>
      </c>
      <c r="VXJ60" s="280">
        <v>0</v>
      </c>
      <c r="VXK60" s="280">
        <v>0</v>
      </c>
      <c r="VXL60" s="280">
        <v>0</v>
      </c>
      <c r="VXM60" s="280">
        <v>0</v>
      </c>
      <c r="VXN60" s="280">
        <v>0</v>
      </c>
      <c r="VXO60" s="280">
        <v>0</v>
      </c>
      <c r="VXP60" s="280">
        <v>0</v>
      </c>
      <c r="VXQ60" s="280">
        <v>0</v>
      </c>
      <c r="VXR60" s="280">
        <v>0</v>
      </c>
      <c r="VXS60" s="280">
        <v>0</v>
      </c>
      <c r="VXT60" s="280">
        <v>0</v>
      </c>
      <c r="VXU60" s="280">
        <v>0</v>
      </c>
      <c r="VXV60" s="280">
        <v>0</v>
      </c>
      <c r="VXW60" s="280">
        <v>0</v>
      </c>
      <c r="VXX60" s="280">
        <v>0</v>
      </c>
      <c r="VXY60" s="280">
        <v>0</v>
      </c>
      <c r="VXZ60" s="280">
        <v>0</v>
      </c>
      <c r="VYA60" s="280">
        <v>0</v>
      </c>
      <c r="VYB60" s="280">
        <v>0</v>
      </c>
      <c r="VYC60" s="280">
        <v>0</v>
      </c>
      <c r="VYD60" s="280">
        <v>0</v>
      </c>
      <c r="VYE60" s="280">
        <v>0</v>
      </c>
      <c r="VYF60" s="280">
        <v>0</v>
      </c>
      <c r="VYG60" s="280">
        <v>0</v>
      </c>
      <c r="VYH60" s="280">
        <v>0</v>
      </c>
      <c r="VYI60" s="280">
        <v>0</v>
      </c>
      <c r="VYJ60" s="280">
        <v>0</v>
      </c>
      <c r="VYK60" s="280">
        <v>0</v>
      </c>
      <c r="VYL60" s="280">
        <v>0</v>
      </c>
      <c r="VYM60" s="280">
        <v>0</v>
      </c>
      <c r="VYN60" s="280">
        <v>0</v>
      </c>
      <c r="VYO60" s="280">
        <v>0</v>
      </c>
      <c r="VYP60" s="280">
        <v>0</v>
      </c>
      <c r="VYQ60" s="280">
        <v>0</v>
      </c>
      <c r="VYR60" s="280">
        <v>0</v>
      </c>
      <c r="VYS60" s="280">
        <v>0</v>
      </c>
      <c r="VYT60" s="280">
        <v>0</v>
      </c>
      <c r="VYU60" s="280">
        <v>0</v>
      </c>
      <c r="VYV60" s="280">
        <v>0</v>
      </c>
      <c r="VYW60" s="280">
        <v>0</v>
      </c>
      <c r="VYX60" s="280">
        <v>0</v>
      </c>
      <c r="VYY60" s="280">
        <v>0</v>
      </c>
      <c r="VYZ60" s="280">
        <v>0</v>
      </c>
      <c r="VZA60" s="280">
        <v>0</v>
      </c>
      <c r="VZB60" s="280">
        <v>0</v>
      </c>
      <c r="VZC60" s="280">
        <v>0</v>
      </c>
      <c r="VZD60" s="280">
        <v>0</v>
      </c>
      <c r="VZE60" s="280">
        <v>0</v>
      </c>
      <c r="VZF60" s="280">
        <v>0</v>
      </c>
      <c r="VZG60" s="280">
        <v>0</v>
      </c>
      <c r="VZH60" s="280">
        <v>0</v>
      </c>
      <c r="VZI60" s="280">
        <v>0</v>
      </c>
      <c r="VZJ60" s="280">
        <v>0</v>
      </c>
      <c r="VZK60" s="280">
        <v>0</v>
      </c>
      <c r="VZL60" s="280">
        <v>0</v>
      </c>
      <c r="VZM60" s="280">
        <v>0</v>
      </c>
      <c r="VZN60" s="280">
        <v>0</v>
      </c>
      <c r="VZO60" s="280">
        <v>0</v>
      </c>
      <c r="VZP60" s="280">
        <v>0</v>
      </c>
      <c r="VZQ60" s="280">
        <v>0</v>
      </c>
      <c r="VZR60" s="280">
        <v>0</v>
      </c>
      <c r="VZS60" s="280">
        <v>0</v>
      </c>
      <c r="VZT60" s="280">
        <v>0</v>
      </c>
      <c r="VZU60" s="280">
        <v>0</v>
      </c>
      <c r="VZV60" s="280">
        <v>0</v>
      </c>
      <c r="VZW60" s="280">
        <v>0</v>
      </c>
      <c r="VZX60" s="280">
        <v>0</v>
      </c>
      <c r="VZY60" s="280">
        <v>0</v>
      </c>
      <c r="VZZ60" s="280">
        <v>0</v>
      </c>
      <c r="WAA60" s="280">
        <v>0</v>
      </c>
      <c r="WAB60" s="280">
        <v>0</v>
      </c>
      <c r="WAC60" s="280">
        <v>0</v>
      </c>
      <c r="WAD60" s="280">
        <v>0</v>
      </c>
      <c r="WAE60" s="280">
        <v>0</v>
      </c>
      <c r="WAF60" s="280">
        <v>0</v>
      </c>
      <c r="WAG60" s="280">
        <v>0</v>
      </c>
      <c r="WAH60" s="280">
        <v>0</v>
      </c>
      <c r="WAI60" s="280">
        <v>0</v>
      </c>
      <c r="WAJ60" s="280">
        <v>0</v>
      </c>
      <c r="WAK60" s="280">
        <v>0</v>
      </c>
      <c r="WAL60" s="280">
        <v>0</v>
      </c>
      <c r="WAM60" s="280">
        <v>0</v>
      </c>
      <c r="WAN60" s="280">
        <v>0</v>
      </c>
      <c r="WAO60" s="280">
        <v>0</v>
      </c>
      <c r="WAP60" s="280">
        <v>0</v>
      </c>
      <c r="WAQ60" s="280">
        <v>0</v>
      </c>
      <c r="WAR60" s="280">
        <v>0</v>
      </c>
      <c r="WAS60" s="280">
        <v>0</v>
      </c>
      <c r="WAT60" s="280">
        <v>0</v>
      </c>
      <c r="WAU60" s="280">
        <v>0</v>
      </c>
      <c r="WAV60" s="280">
        <v>0</v>
      </c>
      <c r="WAW60" s="280">
        <v>0</v>
      </c>
      <c r="WAX60" s="280">
        <v>0</v>
      </c>
      <c r="WAY60" s="280">
        <v>0</v>
      </c>
      <c r="WAZ60" s="280">
        <v>0</v>
      </c>
      <c r="WBA60" s="280">
        <v>0</v>
      </c>
      <c r="WBB60" s="280">
        <v>0</v>
      </c>
      <c r="WBC60" s="280">
        <v>0</v>
      </c>
      <c r="WBD60" s="280">
        <v>0</v>
      </c>
      <c r="WBE60" s="280">
        <v>0</v>
      </c>
      <c r="WBF60" s="280">
        <v>0</v>
      </c>
      <c r="WBG60" s="280">
        <v>0</v>
      </c>
      <c r="WBH60" s="280">
        <v>0</v>
      </c>
      <c r="WBI60" s="280">
        <v>0</v>
      </c>
      <c r="WBJ60" s="280">
        <v>0</v>
      </c>
      <c r="WBK60" s="280">
        <v>0</v>
      </c>
      <c r="WBL60" s="280">
        <v>0</v>
      </c>
      <c r="WBM60" s="280">
        <v>0</v>
      </c>
      <c r="WBN60" s="280">
        <v>0</v>
      </c>
      <c r="WBO60" s="280">
        <v>0</v>
      </c>
      <c r="WBP60" s="280">
        <v>0</v>
      </c>
      <c r="WBQ60" s="280">
        <v>0</v>
      </c>
      <c r="WBR60" s="280">
        <v>0</v>
      </c>
      <c r="WBS60" s="280">
        <v>0</v>
      </c>
      <c r="WBT60" s="280">
        <v>0</v>
      </c>
      <c r="WBU60" s="280">
        <v>0</v>
      </c>
      <c r="WBV60" s="280">
        <v>0</v>
      </c>
      <c r="WBW60" s="280">
        <v>0</v>
      </c>
      <c r="WBX60" s="280">
        <v>0</v>
      </c>
      <c r="WBY60" s="280">
        <v>0</v>
      </c>
      <c r="WBZ60" s="280">
        <v>0</v>
      </c>
      <c r="WCA60" s="280">
        <v>0</v>
      </c>
      <c r="WCB60" s="280">
        <v>0</v>
      </c>
      <c r="WCC60" s="280">
        <v>0</v>
      </c>
      <c r="WCD60" s="280">
        <v>0</v>
      </c>
      <c r="WCE60" s="280">
        <v>0</v>
      </c>
      <c r="WCF60" s="280">
        <v>0</v>
      </c>
      <c r="WCG60" s="280">
        <v>0</v>
      </c>
      <c r="WCH60" s="280">
        <v>0</v>
      </c>
      <c r="WCI60" s="280">
        <v>0</v>
      </c>
      <c r="WCJ60" s="280">
        <v>0</v>
      </c>
      <c r="WCK60" s="280">
        <v>0</v>
      </c>
      <c r="WCL60" s="280">
        <v>0</v>
      </c>
      <c r="WCM60" s="280">
        <v>0</v>
      </c>
      <c r="WCN60" s="280">
        <v>0</v>
      </c>
      <c r="WCO60" s="280">
        <v>0</v>
      </c>
      <c r="WCP60" s="280">
        <v>0</v>
      </c>
      <c r="WCQ60" s="280">
        <v>0</v>
      </c>
      <c r="WCR60" s="280">
        <v>0</v>
      </c>
      <c r="WCS60" s="280">
        <v>0</v>
      </c>
      <c r="WCT60" s="280">
        <v>0</v>
      </c>
      <c r="WCU60" s="280">
        <v>0</v>
      </c>
      <c r="WCV60" s="280">
        <v>0</v>
      </c>
      <c r="WCW60" s="280">
        <v>0</v>
      </c>
      <c r="WCX60" s="280">
        <v>0</v>
      </c>
      <c r="WCY60" s="280">
        <v>0</v>
      </c>
      <c r="WCZ60" s="280">
        <v>0</v>
      </c>
      <c r="WDA60" s="280">
        <v>0</v>
      </c>
      <c r="WDB60" s="280">
        <v>0</v>
      </c>
      <c r="WDC60" s="280">
        <v>0</v>
      </c>
      <c r="WDD60" s="280">
        <v>0</v>
      </c>
      <c r="WDE60" s="280">
        <v>0</v>
      </c>
      <c r="WDF60" s="280">
        <v>0</v>
      </c>
      <c r="WDG60" s="280">
        <v>0</v>
      </c>
      <c r="WDH60" s="280">
        <v>0</v>
      </c>
      <c r="WDI60" s="280">
        <v>0</v>
      </c>
      <c r="WDJ60" s="280">
        <v>0</v>
      </c>
      <c r="WDK60" s="280">
        <v>0</v>
      </c>
      <c r="WDL60" s="280">
        <v>0</v>
      </c>
      <c r="WDM60" s="280">
        <v>0</v>
      </c>
      <c r="WDN60" s="280">
        <v>0</v>
      </c>
      <c r="WDO60" s="280">
        <v>0</v>
      </c>
      <c r="WDP60" s="280">
        <v>0</v>
      </c>
      <c r="WDQ60" s="280">
        <v>0</v>
      </c>
      <c r="WDR60" s="280">
        <v>0</v>
      </c>
      <c r="WDS60" s="280">
        <v>0</v>
      </c>
      <c r="WDT60" s="280">
        <v>0</v>
      </c>
      <c r="WDU60" s="280">
        <v>0</v>
      </c>
      <c r="WDV60" s="280">
        <v>0</v>
      </c>
      <c r="WDW60" s="280">
        <v>0</v>
      </c>
      <c r="WDX60" s="280">
        <v>0</v>
      </c>
      <c r="WDY60" s="280">
        <v>0</v>
      </c>
      <c r="WDZ60" s="280">
        <v>0</v>
      </c>
      <c r="WEA60" s="280">
        <v>0</v>
      </c>
      <c r="WEB60" s="280">
        <v>0</v>
      </c>
      <c r="WEC60" s="280">
        <v>0</v>
      </c>
      <c r="WED60" s="280">
        <v>0</v>
      </c>
      <c r="WEE60" s="280">
        <v>0</v>
      </c>
      <c r="WEF60" s="280">
        <v>0</v>
      </c>
      <c r="WEG60" s="280">
        <v>0</v>
      </c>
      <c r="WEH60" s="280">
        <v>0</v>
      </c>
      <c r="WEI60" s="280">
        <v>0</v>
      </c>
      <c r="WEJ60" s="280">
        <v>0</v>
      </c>
      <c r="WEK60" s="280">
        <v>0</v>
      </c>
      <c r="WEL60" s="280">
        <v>0</v>
      </c>
      <c r="WEM60" s="280">
        <v>0</v>
      </c>
      <c r="WEN60" s="280">
        <v>0</v>
      </c>
      <c r="WEO60" s="280">
        <v>0</v>
      </c>
      <c r="WEP60" s="280">
        <v>0</v>
      </c>
      <c r="WEQ60" s="280">
        <v>0</v>
      </c>
      <c r="WER60" s="280">
        <v>0</v>
      </c>
      <c r="WES60" s="280">
        <v>0</v>
      </c>
      <c r="WET60" s="280">
        <v>0</v>
      </c>
      <c r="WEU60" s="280">
        <v>0</v>
      </c>
      <c r="WEV60" s="280">
        <v>0</v>
      </c>
      <c r="WEW60" s="280">
        <v>0</v>
      </c>
      <c r="WEX60" s="280">
        <v>0</v>
      </c>
      <c r="WEY60" s="280">
        <v>0</v>
      </c>
      <c r="WEZ60" s="280">
        <v>0</v>
      </c>
      <c r="WFA60" s="280">
        <v>0</v>
      </c>
      <c r="WFB60" s="280">
        <v>0</v>
      </c>
      <c r="WFC60" s="280">
        <v>0</v>
      </c>
      <c r="WFD60" s="280">
        <v>0</v>
      </c>
      <c r="WFE60" s="280">
        <v>0</v>
      </c>
      <c r="WFF60" s="280">
        <v>0</v>
      </c>
      <c r="WFG60" s="280">
        <v>0</v>
      </c>
      <c r="WFH60" s="280">
        <v>0</v>
      </c>
      <c r="WFI60" s="280">
        <v>0</v>
      </c>
      <c r="WFJ60" s="280">
        <v>0</v>
      </c>
      <c r="WFK60" s="280">
        <v>0</v>
      </c>
      <c r="WFL60" s="280">
        <v>0</v>
      </c>
      <c r="WFM60" s="280">
        <v>0</v>
      </c>
      <c r="WFN60" s="280">
        <v>0</v>
      </c>
      <c r="WFO60" s="280">
        <v>0</v>
      </c>
      <c r="WFP60" s="280">
        <v>0</v>
      </c>
      <c r="WFQ60" s="280">
        <v>0</v>
      </c>
      <c r="WFR60" s="280">
        <v>0</v>
      </c>
      <c r="WFS60" s="280">
        <v>0</v>
      </c>
      <c r="WFT60" s="280">
        <v>0</v>
      </c>
      <c r="WFU60" s="280">
        <v>0</v>
      </c>
      <c r="WFV60" s="280">
        <v>0</v>
      </c>
      <c r="WFW60" s="280">
        <v>0</v>
      </c>
      <c r="WFX60" s="280">
        <v>0</v>
      </c>
      <c r="WFY60" s="280">
        <v>0</v>
      </c>
      <c r="WFZ60" s="280">
        <v>0</v>
      </c>
      <c r="WGA60" s="280">
        <v>0</v>
      </c>
      <c r="WGB60" s="280">
        <v>0</v>
      </c>
      <c r="WGC60" s="280">
        <v>0</v>
      </c>
      <c r="WGD60" s="280">
        <v>0</v>
      </c>
      <c r="WGE60" s="280">
        <v>0</v>
      </c>
      <c r="WGF60" s="280">
        <v>0</v>
      </c>
      <c r="WGG60" s="280">
        <v>0</v>
      </c>
      <c r="WGH60" s="280">
        <v>0</v>
      </c>
      <c r="WGI60" s="280">
        <v>0</v>
      </c>
      <c r="WGJ60" s="280">
        <v>0</v>
      </c>
      <c r="WGK60" s="280">
        <v>0</v>
      </c>
      <c r="WGL60" s="280">
        <v>0</v>
      </c>
      <c r="WGM60" s="280">
        <v>0</v>
      </c>
      <c r="WGN60" s="280">
        <v>0</v>
      </c>
      <c r="WGO60" s="280">
        <v>0</v>
      </c>
      <c r="WGP60" s="280">
        <v>0</v>
      </c>
      <c r="WGQ60" s="280">
        <v>0</v>
      </c>
      <c r="WGR60" s="280">
        <v>0</v>
      </c>
      <c r="WGS60" s="280">
        <v>0</v>
      </c>
      <c r="WGT60" s="280">
        <v>0</v>
      </c>
      <c r="WGU60" s="280">
        <v>0</v>
      </c>
      <c r="WGV60" s="280">
        <v>0</v>
      </c>
      <c r="WGW60" s="280">
        <v>0</v>
      </c>
      <c r="WGX60" s="280">
        <v>0</v>
      </c>
      <c r="WGY60" s="280">
        <v>0</v>
      </c>
      <c r="WGZ60" s="280">
        <v>0</v>
      </c>
      <c r="WHA60" s="280">
        <v>0</v>
      </c>
      <c r="WHB60" s="280">
        <v>0</v>
      </c>
      <c r="WHC60" s="280">
        <v>0</v>
      </c>
      <c r="WHD60" s="280">
        <v>0</v>
      </c>
      <c r="WHE60" s="280">
        <v>0</v>
      </c>
      <c r="WHF60" s="280">
        <v>0</v>
      </c>
      <c r="WHG60" s="280">
        <v>0</v>
      </c>
      <c r="WHH60" s="280">
        <v>0</v>
      </c>
      <c r="WHI60" s="280">
        <v>0</v>
      </c>
      <c r="WHJ60" s="280">
        <v>0</v>
      </c>
      <c r="WHK60" s="280">
        <v>0</v>
      </c>
      <c r="WHL60" s="280">
        <v>0</v>
      </c>
      <c r="WHM60" s="280">
        <v>0</v>
      </c>
      <c r="WHN60" s="280">
        <v>0</v>
      </c>
      <c r="WHO60" s="280">
        <v>0</v>
      </c>
      <c r="WHP60" s="280">
        <v>0</v>
      </c>
      <c r="WHQ60" s="280">
        <v>0</v>
      </c>
      <c r="WHR60" s="280">
        <v>0</v>
      </c>
      <c r="WHS60" s="280">
        <v>0</v>
      </c>
      <c r="WHT60" s="280">
        <v>0</v>
      </c>
      <c r="WHU60" s="280">
        <v>0</v>
      </c>
      <c r="WHV60" s="280">
        <v>0</v>
      </c>
      <c r="WHW60" s="280">
        <v>0</v>
      </c>
      <c r="WHX60" s="280">
        <v>0</v>
      </c>
      <c r="WHY60" s="280">
        <v>0</v>
      </c>
      <c r="WHZ60" s="280">
        <v>0</v>
      </c>
      <c r="WIA60" s="280">
        <v>0</v>
      </c>
      <c r="WIB60" s="280">
        <v>0</v>
      </c>
      <c r="WIC60" s="280">
        <v>0</v>
      </c>
      <c r="WID60" s="280">
        <v>0</v>
      </c>
      <c r="WIE60" s="280">
        <v>0</v>
      </c>
      <c r="WIF60" s="280">
        <v>0</v>
      </c>
      <c r="WIG60" s="280">
        <v>0</v>
      </c>
      <c r="WIH60" s="280">
        <v>0</v>
      </c>
      <c r="WII60" s="280">
        <v>0</v>
      </c>
      <c r="WIJ60" s="280">
        <v>0</v>
      </c>
      <c r="WIK60" s="280">
        <v>0</v>
      </c>
      <c r="WIL60" s="280">
        <v>0</v>
      </c>
      <c r="WIM60" s="280">
        <v>0</v>
      </c>
      <c r="WIN60" s="280">
        <v>0</v>
      </c>
      <c r="WIO60" s="280">
        <v>0</v>
      </c>
      <c r="WIP60" s="280">
        <v>0</v>
      </c>
      <c r="WIQ60" s="280">
        <v>0</v>
      </c>
      <c r="WIR60" s="280">
        <v>0</v>
      </c>
      <c r="WIS60" s="280">
        <v>0</v>
      </c>
      <c r="WIT60" s="280">
        <v>0</v>
      </c>
      <c r="WIU60" s="280">
        <v>0</v>
      </c>
      <c r="WIV60" s="280">
        <v>0</v>
      </c>
      <c r="WIW60" s="280">
        <v>0</v>
      </c>
      <c r="WIX60" s="280">
        <v>0</v>
      </c>
      <c r="WIY60" s="280">
        <v>0</v>
      </c>
      <c r="WIZ60" s="280">
        <v>0</v>
      </c>
      <c r="WJA60" s="280">
        <v>0</v>
      </c>
      <c r="WJB60" s="280">
        <v>0</v>
      </c>
      <c r="WJC60" s="280">
        <v>0</v>
      </c>
      <c r="WJD60" s="280">
        <v>0</v>
      </c>
      <c r="WJE60" s="280">
        <v>0</v>
      </c>
      <c r="WJF60" s="280">
        <v>0</v>
      </c>
      <c r="WJG60" s="280">
        <v>0</v>
      </c>
      <c r="WJH60" s="280">
        <v>0</v>
      </c>
      <c r="WJI60" s="280">
        <v>0</v>
      </c>
      <c r="WJJ60" s="280">
        <v>0</v>
      </c>
      <c r="WJK60" s="280">
        <v>0</v>
      </c>
      <c r="WJL60" s="280">
        <v>0</v>
      </c>
      <c r="WJM60" s="280">
        <v>0</v>
      </c>
      <c r="WJN60" s="280">
        <v>0</v>
      </c>
      <c r="WJO60" s="280">
        <v>0</v>
      </c>
      <c r="WJP60" s="280">
        <v>0</v>
      </c>
      <c r="WJQ60" s="280">
        <v>0</v>
      </c>
      <c r="WJR60" s="280">
        <v>0</v>
      </c>
      <c r="WJS60" s="280">
        <v>0</v>
      </c>
      <c r="WJT60" s="280">
        <v>0</v>
      </c>
      <c r="WJU60" s="280">
        <v>0</v>
      </c>
      <c r="WJV60" s="280">
        <v>0</v>
      </c>
      <c r="WJW60" s="280">
        <v>0</v>
      </c>
      <c r="WJX60" s="280">
        <v>0</v>
      </c>
      <c r="WJY60" s="280">
        <v>0</v>
      </c>
      <c r="WJZ60" s="280">
        <v>0</v>
      </c>
      <c r="WKA60" s="280">
        <v>0</v>
      </c>
      <c r="WKB60" s="280">
        <v>0</v>
      </c>
      <c r="WKC60" s="280">
        <v>0</v>
      </c>
      <c r="WKD60" s="280">
        <v>0</v>
      </c>
      <c r="WKE60" s="280">
        <v>0</v>
      </c>
      <c r="WKF60" s="280">
        <v>0</v>
      </c>
      <c r="WKG60" s="280">
        <v>0</v>
      </c>
      <c r="WKH60" s="280">
        <v>0</v>
      </c>
      <c r="WKI60" s="280">
        <v>0</v>
      </c>
      <c r="WKJ60" s="280">
        <v>0</v>
      </c>
      <c r="WKK60" s="280">
        <v>0</v>
      </c>
      <c r="WKL60" s="280">
        <v>0</v>
      </c>
      <c r="WKM60" s="280">
        <v>0</v>
      </c>
      <c r="WKN60" s="280">
        <v>0</v>
      </c>
      <c r="WKO60" s="280">
        <v>0</v>
      </c>
      <c r="WKP60" s="280">
        <v>0</v>
      </c>
      <c r="WKQ60" s="280">
        <v>0</v>
      </c>
      <c r="WKR60" s="280">
        <v>0</v>
      </c>
      <c r="WKS60" s="280">
        <v>0</v>
      </c>
      <c r="WKT60" s="280">
        <v>0</v>
      </c>
      <c r="WKU60" s="280">
        <v>0</v>
      </c>
      <c r="WKV60" s="280">
        <v>0</v>
      </c>
      <c r="WKW60" s="280">
        <v>0</v>
      </c>
      <c r="WKX60" s="280">
        <v>0</v>
      </c>
      <c r="WKY60" s="280">
        <v>0</v>
      </c>
      <c r="WKZ60" s="280">
        <v>0</v>
      </c>
      <c r="WLA60" s="280">
        <v>0</v>
      </c>
      <c r="WLB60" s="280">
        <v>0</v>
      </c>
      <c r="WLC60" s="280">
        <v>0</v>
      </c>
      <c r="WLD60" s="280">
        <v>0</v>
      </c>
      <c r="WLE60" s="280">
        <v>0</v>
      </c>
      <c r="WLF60" s="280">
        <v>0</v>
      </c>
      <c r="WLG60" s="280">
        <v>0</v>
      </c>
      <c r="WLH60" s="280">
        <v>0</v>
      </c>
      <c r="WLI60" s="280">
        <v>0</v>
      </c>
      <c r="WLJ60" s="280">
        <v>0</v>
      </c>
      <c r="WLK60" s="280">
        <v>0</v>
      </c>
      <c r="WLL60" s="280">
        <v>0</v>
      </c>
      <c r="WLM60" s="280">
        <v>0</v>
      </c>
      <c r="WLN60" s="280">
        <v>0</v>
      </c>
      <c r="WLO60" s="280">
        <v>0</v>
      </c>
      <c r="WLP60" s="280">
        <v>0</v>
      </c>
      <c r="WLQ60" s="280">
        <v>0</v>
      </c>
      <c r="WLR60" s="280">
        <v>0</v>
      </c>
      <c r="WLS60" s="280">
        <v>0</v>
      </c>
      <c r="WLT60" s="280">
        <v>0</v>
      </c>
      <c r="WLU60" s="280">
        <v>0</v>
      </c>
      <c r="WLV60" s="280">
        <v>0</v>
      </c>
      <c r="WLW60" s="280">
        <v>0</v>
      </c>
      <c r="WLX60" s="280">
        <v>0</v>
      </c>
      <c r="WLY60" s="280">
        <v>0</v>
      </c>
      <c r="WLZ60" s="280">
        <v>0</v>
      </c>
      <c r="WMA60" s="280">
        <v>0</v>
      </c>
      <c r="WMB60" s="280">
        <v>0</v>
      </c>
      <c r="WMC60" s="280">
        <v>0</v>
      </c>
      <c r="WMD60" s="280">
        <v>0</v>
      </c>
      <c r="WME60" s="280">
        <v>0</v>
      </c>
      <c r="WMF60" s="280">
        <v>0</v>
      </c>
      <c r="WMG60" s="280">
        <v>0</v>
      </c>
      <c r="WMH60" s="280">
        <v>0</v>
      </c>
      <c r="WMI60" s="280">
        <v>0</v>
      </c>
      <c r="WMJ60" s="280">
        <v>0</v>
      </c>
      <c r="WMK60" s="280">
        <v>0</v>
      </c>
      <c r="WML60" s="280">
        <v>0</v>
      </c>
      <c r="WMM60" s="280">
        <v>0</v>
      </c>
      <c r="WMN60" s="280">
        <v>0</v>
      </c>
      <c r="WMO60" s="280">
        <v>0</v>
      </c>
      <c r="WMP60" s="280">
        <v>0</v>
      </c>
      <c r="WMQ60" s="280">
        <v>0</v>
      </c>
      <c r="WMR60" s="280">
        <v>0</v>
      </c>
      <c r="WMS60" s="280">
        <v>0</v>
      </c>
      <c r="WMT60" s="280">
        <v>0</v>
      </c>
      <c r="WMU60" s="280">
        <v>0</v>
      </c>
      <c r="WMV60" s="280">
        <v>0</v>
      </c>
      <c r="WMW60" s="280">
        <v>0</v>
      </c>
      <c r="WMX60" s="280">
        <v>0</v>
      </c>
      <c r="WMY60" s="280">
        <v>0</v>
      </c>
      <c r="WMZ60" s="280">
        <v>0</v>
      </c>
      <c r="WNA60" s="280">
        <v>0</v>
      </c>
      <c r="WNB60" s="280">
        <v>0</v>
      </c>
      <c r="WNC60" s="280">
        <v>0</v>
      </c>
      <c r="WND60" s="280">
        <v>0</v>
      </c>
      <c r="WNE60" s="280">
        <v>0</v>
      </c>
      <c r="WNF60" s="280">
        <v>0</v>
      </c>
      <c r="WNG60" s="280">
        <v>0</v>
      </c>
      <c r="WNH60" s="280">
        <v>0</v>
      </c>
      <c r="WNI60" s="280">
        <v>0</v>
      </c>
      <c r="WNJ60" s="280">
        <v>0</v>
      </c>
      <c r="WNK60" s="280">
        <v>0</v>
      </c>
      <c r="WNL60" s="280">
        <v>0</v>
      </c>
      <c r="WNM60" s="280">
        <v>0</v>
      </c>
      <c r="WNN60" s="280">
        <v>0</v>
      </c>
      <c r="WNO60" s="280">
        <v>0</v>
      </c>
      <c r="WNP60" s="280">
        <v>0</v>
      </c>
      <c r="WNQ60" s="280">
        <v>0</v>
      </c>
      <c r="WNR60" s="280">
        <v>0</v>
      </c>
      <c r="WNS60" s="280">
        <v>0</v>
      </c>
      <c r="WNT60" s="280">
        <v>0</v>
      </c>
      <c r="WNU60" s="280">
        <v>0</v>
      </c>
      <c r="WNV60" s="280">
        <v>0</v>
      </c>
      <c r="WNW60" s="280">
        <v>0</v>
      </c>
      <c r="WNX60" s="280">
        <v>0</v>
      </c>
      <c r="WNY60" s="280">
        <v>0</v>
      </c>
      <c r="WNZ60" s="280">
        <v>0</v>
      </c>
      <c r="WOA60" s="280">
        <v>0</v>
      </c>
      <c r="WOB60" s="280">
        <v>0</v>
      </c>
      <c r="WOC60" s="280">
        <v>0</v>
      </c>
      <c r="WOD60" s="280">
        <v>0</v>
      </c>
      <c r="WOE60" s="280">
        <v>0</v>
      </c>
      <c r="WOF60" s="280">
        <v>0</v>
      </c>
      <c r="WOG60" s="280">
        <v>0</v>
      </c>
      <c r="WOH60" s="280">
        <v>0</v>
      </c>
      <c r="WOI60" s="280">
        <v>0</v>
      </c>
      <c r="WOJ60" s="280">
        <v>0</v>
      </c>
      <c r="WOK60" s="280">
        <v>0</v>
      </c>
      <c r="WOL60" s="280">
        <v>0</v>
      </c>
      <c r="WOM60" s="280">
        <v>0</v>
      </c>
      <c r="WON60" s="280">
        <v>0</v>
      </c>
      <c r="WOO60" s="280">
        <v>0</v>
      </c>
      <c r="WOP60" s="280">
        <v>0</v>
      </c>
      <c r="WOQ60" s="280">
        <v>0</v>
      </c>
      <c r="WOR60" s="280">
        <v>0</v>
      </c>
      <c r="WOS60" s="280">
        <v>0</v>
      </c>
      <c r="WOT60" s="280">
        <v>0</v>
      </c>
      <c r="WOU60" s="280">
        <v>0</v>
      </c>
      <c r="WOV60" s="280">
        <v>0</v>
      </c>
      <c r="WOW60" s="280">
        <v>0</v>
      </c>
      <c r="WOX60" s="280">
        <v>0</v>
      </c>
      <c r="WOY60" s="280">
        <v>0</v>
      </c>
      <c r="WOZ60" s="280">
        <v>0</v>
      </c>
      <c r="WPA60" s="280">
        <v>0</v>
      </c>
      <c r="WPB60" s="280">
        <v>0</v>
      </c>
      <c r="WPC60" s="280">
        <v>0</v>
      </c>
      <c r="WPD60" s="280">
        <v>0</v>
      </c>
      <c r="WPE60" s="280">
        <v>0</v>
      </c>
      <c r="WPF60" s="280">
        <v>0</v>
      </c>
      <c r="WPG60" s="280">
        <v>0</v>
      </c>
      <c r="WPH60" s="280">
        <v>0</v>
      </c>
      <c r="WPI60" s="280">
        <v>0</v>
      </c>
      <c r="WPJ60" s="280">
        <v>0</v>
      </c>
      <c r="WPK60" s="280">
        <v>0</v>
      </c>
      <c r="WPL60" s="280">
        <v>0</v>
      </c>
      <c r="WPM60" s="280">
        <v>0</v>
      </c>
      <c r="WPN60" s="280">
        <v>0</v>
      </c>
      <c r="WPO60" s="280">
        <v>0</v>
      </c>
      <c r="WPP60" s="280">
        <v>0</v>
      </c>
      <c r="WPQ60" s="280">
        <v>0</v>
      </c>
      <c r="WPR60" s="280">
        <v>0</v>
      </c>
      <c r="WPS60" s="280">
        <v>0</v>
      </c>
      <c r="WPT60" s="280">
        <v>0</v>
      </c>
      <c r="WPU60" s="280">
        <v>0</v>
      </c>
      <c r="WPV60" s="280">
        <v>0</v>
      </c>
      <c r="WPW60" s="280">
        <v>0</v>
      </c>
      <c r="WPX60" s="280">
        <v>0</v>
      </c>
      <c r="WPY60" s="280">
        <v>0</v>
      </c>
      <c r="WPZ60" s="280">
        <v>0</v>
      </c>
      <c r="WQA60" s="280">
        <v>0</v>
      </c>
      <c r="WQB60" s="280">
        <v>0</v>
      </c>
      <c r="WQC60" s="280">
        <v>0</v>
      </c>
      <c r="WQD60" s="280">
        <v>0</v>
      </c>
      <c r="WQE60" s="280">
        <v>0</v>
      </c>
      <c r="WQF60" s="280">
        <v>0</v>
      </c>
      <c r="WQG60" s="280">
        <v>0</v>
      </c>
      <c r="WQH60" s="280">
        <v>0</v>
      </c>
      <c r="WQI60" s="280">
        <v>0</v>
      </c>
      <c r="WQJ60" s="280">
        <v>0</v>
      </c>
      <c r="WQK60" s="280">
        <v>0</v>
      </c>
      <c r="WQL60" s="280">
        <v>0</v>
      </c>
      <c r="WQM60" s="280">
        <v>0</v>
      </c>
      <c r="WQN60" s="280">
        <v>0</v>
      </c>
      <c r="WQO60" s="280">
        <v>0</v>
      </c>
      <c r="WQP60" s="280">
        <v>0</v>
      </c>
      <c r="WQQ60" s="280">
        <v>0</v>
      </c>
      <c r="WQR60" s="280">
        <v>0</v>
      </c>
      <c r="WQS60" s="280">
        <v>0</v>
      </c>
      <c r="WQT60" s="280">
        <v>0</v>
      </c>
      <c r="WQU60" s="280">
        <v>0</v>
      </c>
      <c r="WQV60" s="280">
        <v>0</v>
      </c>
      <c r="WQW60" s="280">
        <v>0</v>
      </c>
      <c r="WQX60" s="280">
        <v>0</v>
      </c>
      <c r="WQY60" s="280">
        <v>0</v>
      </c>
      <c r="WQZ60" s="280">
        <v>0</v>
      </c>
      <c r="WRA60" s="280">
        <v>0</v>
      </c>
      <c r="WRB60" s="280">
        <v>0</v>
      </c>
      <c r="WRC60" s="280">
        <v>0</v>
      </c>
      <c r="WRD60" s="280">
        <v>0</v>
      </c>
      <c r="WRE60" s="280">
        <v>0</v>
      </c>
      <c r="WRF60" s="280">
        <v>0</v>
      </c>
      <c r="WRG60" s="280">
        <v>0</v>
      </c>
      <c r="WRH60" s="280">
        <v>0</v>
      </c>
      <c r="WRI60" s="280">
        <v>0</v>
      </c>
      <c r="WRJ60" s="280">
        <v>0</v>
      </c>
      <c r="WRK60" s="280">
        <v>0</v>
      </c>
      <c r="WRL60" s="280">
        <v>0</v>
      </c>
      <c r="WRM60" s="280">
        <v>0</v>
      </c>
      <c r="WRN60" s="280">
        <v>0</v>
      </c>
      <c r="WRO60" s="280">
        <v>0</v>
      </c>
      <c r="WRP60" s="280">
        <v>0</v>
      </c>
      <c r="WRQ60" s="280">
        <v>0</v>
      </c>
      <c r="WRR60" s="280">
        <v>0</v>
      </c>
      <c r="WRS60" s="280">
        <v>0</v>
      </c>
      <c r="WRT60" s="280">
        <v>0</v>
      </c>
      <c r="WRU60" s="280">
        <v>0</v>
      </c>
      <c r="WRV60" s="280">
        <v>0</v>
      </c>
      <c r="WRW60" s="280">
        <v>0</v>
      </c>
      <c r="WRX60" s="280">
        <v>0</v>
      </c>
      <c r="WRY60" s="280">
        <v>0</v>
      </c>
      <c r="WRZ60" s="280">
        <v>0</v>
      </c>
      <c r="WSA60" s="280">
        <v>0</v>
      </c>
      <c r="WSB60" s="280">
        <v>0</v>
      </c>
      <c r="WSC60" s="280">
        <v>0</v>
      </c>
      <c r="WSD60" s="280">
        <v>0</v>
      </c>
      <c r="WSE60" s="280">
        <v>0</v>
      </c>
      <c r="WSF60" s="280">
        <v>0</v>
      </c>
      <c r="WSG60" s="280">
        <v>0</v>
      </c>
      <c r="WSH60" s="280">
        <v>0</v>
      </c>
      <c r="WSI60" s="280">
        <v>0</v>
      </c>
      <c r="WSJ60" s="280">
        <v>0</v>
      </c>
      <c r="WSK60" s="280">
        <v>0</v>
      </c>
      <c r="WSL60" s="280">
        <v>0</v>
      </c>
      <c r="WSM60" s="280">
        <v>0</v>
      </c>
      <c r="WSN60" s="280">
        <v>0</v>
      </c>
      <c r="WSO60" s="280">
        <v>0</v>
      </c>
      <c r="WSP60" s="280">
        <v>0</v>
      </c>
      <c r="WSQ60" s="280">
        <v>0</v>
      </c>
      <c r="WSR60" s="280">
        <v>0</v>
      </c>
      <c r="WSS60" s="280">
        <v>0</v>
      </c>
      <c r="WST60" s="280">
        <v>0</v>
      </c>
      <c r="WSU60" s="280">
        <v>0</v>
      </c>
      <c r="WSV60" s="280">
        <v>0</v>
      </c>
      <c r="WSW60" s="280">
        <v>0</v>
      </c>
      <c r="WSX60" s="280">
        <v>0</v>
      </c>
      <c r="WSY60" s="280">
        <v>0</v>
      </c>
      <c r="WSZ60" s="280">
        <v>0</v>
      </c>
      <c r="WTA60" s="280">
        <v>0</v>
      </c>
      <c r="WTB60" s="280">
        <v>0</v>
      </c>
      <c r="WTC60" s="280">
        <v>0</v>
      </c>
      <c r="WTD60" s="280">
        <v>0</v>
      </c>
      <c r="WTE60" s="280">
        <v>0</v>
      </c>
      <c r="WTF60" s="280">
        <v>0</v>
      </c>
      <c r="WTG60" s="280">
        <v>0</v>
      </c>
      <c r="WTH60" s="280">
        <v>0</v>
      </c>
      <c r="WTI60" s="280">
        <v>0</v>
      </c>
      <c r="WTJ60" s="280">
        <v>0</v>
      </c>
      <c r="WTK60" s="280">
        <v>0</v>
      </c>
      <c r="WTL60" s="280">
        <v>0</v>
      </c>
      <c r="WTM60" s="280">
        <v>0</v>
      </c>
      <c r="WTN60" s="280">
        <v>0</v>
      </c>
      <c r="WTO60" s="280">
        <v>0</v>
      </c>
      <c r="WTP60" s="280">
        <v>0</v>
      </c>
      <c r="WTQ60" s="280">
        <v>0</v>
      </c>
      <c r="WTR60" s="280">
        <v>0</v>
      </c>
      <c r="WTS60" s="280">
        <v>0</v>
      </c>
      <c r="WTT60" s="280">
        <v>0</v>
      </c>
      <c r="WTU60" s="280">
        <v>0</v>
      </c>
      <c r="WTV60" s="280">
        <v>0</v>
      </c>
      <c r="WTW60" s="280">
        <v>0</v>
      </c>
      <c r="WTX60" s="280">
        <v>0</v>
      </c>
      <c r="WTY60" s="280">
        <v>0</v>
      </c>
      <c r="WTZ60" s="280">
        <v>0</v>
      </c>
      <c r="WUA60" s="280">
        <v>0</v>
      </c>
      <c r="WUB60" s="280">
        <v>0</v>
      </c>
      <c r="WUC60" s="280">
        <v>0</v>
      </c>
      <c r="WUD60" s="280">
        <v>0</v>
      </c>
      <c r="WUE60" s="280">
        <v>0</v>
      </c>
      <c r="WUF60" s="280">
        <v>0</v>
      </c>
      <c r="WUG60" s="280">
        <v>0</v>
      </c>
      <c r="WUH60" s="280">
        <v>0</v>
      </c>
      <c r="WUI60" s="280">
        <v>0</v>
      </c>
      <c r="WUJ60" s="280">
        <v>0</v>
      </c>
      <c r="WUK60" s="280">
        <v>0</v>
      </c>
      <c r="WUL60" s="280">
        <v>0</v>
      </c>
      <c r="WUM60" s="280">
        <v>0</v>
      </c>
      <c r="WUN60" s="280">
        <v>0</v>
      </c>
      <c r="WUO60" s="280">
        <v>0</v>
      </c>
      <c r="WUP60" s="280">
        <v>0</v>
      </c>
      <c r="WUQ60" s="280">
        <v>0</v>
      </c>
      <c r="WUR60" s="280">
        <v>0</v>
      </c>
      <c r="WUS60" s="280">
        <v>0</v>
      </c>
      <c r="WUT60" s="280">
        <v>0</v>
      </c>
      <c r="WUU60" s="280">
        <v>0</v>
      </c>
      <c r="WUV60" s="280">
        <v>0</v>
      </c>
      <c r="WUW60" s="280">
        <v>0</v>
      </c>
      <c r="WUX60" s="280">
        <v>0</v>
      </c>
      <c r="WUY60" s="280">
        <v>0</v>
      </c>
      <c r="WUZ60" s="280">
        <v>0</v>
      </c>
      <c r="WVA60" s="280">
        <v>0</v>
      </c>
      <c r="WVB60" s="280">
        <v>0</v>
      </c>
      <c r="WVC60" s="280">
        <v>0</v>
      </c>
      <c r="WVD60" s="280">
        <v>0</v>
      </c>
      <c r="WVE60" s="280">
        <v>0</v>
      </c>
      <c r="WVF60" s="280">
        <v>0</v>
      </c>
      <c r="WVG60" s="280">
        <v>0</v>
      </c>
      <c r="WVH60" s="280">
        <v>0</v>
      </c>
      <c r="WVI60" s="280">
        <v>0</v>
      </c>
      <c r="WVJ60" s="280">
        <v>0</v>
      </c>
      <c r="WVK60" s="280">
        <v>0</v>
      </c>
      <c r="WVL60" s="280">
        <v>0</v>
      </c>
      <c r="WVM60" s="280">
        <v>0</v>
      </c>
      <c r="WVN60" s="280">
        <v>0</v>
      </c>
      <c r="WVO60" s="280">
        <v>0</v>
      </c>
      <c r="WVP60" s="280">
        <v>0</v>
      </c>
      <c r="WVQ60" s="280">
        <v>0</v>
      </c>
      <c r="WVR60" s="280">
        <v>0</v>
      </c>
      <c r="WVS60" s="280">
        <v>0</v>
      </c>
      <c r="WVT60" s="280">
        <v>0</v>
      </c>
      <c r="WVU60" s="280">
        <v>0</v>
      </c>
      <c r="WVV60" s="280">
        <v>0</v>
      </c>
      <c r="WVW60" s="280">
        <v>0</v>
      </c>
      <c r="WVX60" s="280">
        <v>0</v>
      </c>
      <c r="WVY60" s="280">
        <v>0</v>
      </c>
      <c r="WVZ60" s="280">
        <v>0</v>
      </c>
      <c r="WWA60" s="280">
        <v>0</v>
      </c>
      <c r="WWB60" s="280">
        <v>0</v>
      </c>
      <c r="WWC60" s="280">
        <v>0</v>
      </c>
      <c r="WWD60" s="280">
        <v>0</v>
      </c>
      <c r="WWE60" s="280">
        <v>0</v>
      </c>
      <c r="WWF60" s="280">
        <v>0</v>
      </c>
      <c r="WWG60" s="280">
        <v>0</v>
      </c>
      <c r="WWH60" s="280">
        <v>0</v>
      </c>
      <c r="WWI60" s="280">
        <v>0</v>
      </c>
      <c r="WWJ60" s="280">
        <v>0</v>
      </c>
      <c r="WWK60" s="280">
        <v>0</v>
      </c>
      <c r="WWL60" s="280">
        <v>0</v>
      </c>
      <c r="WWM60" s="280">
        <v>0</v>
      </c>
      <c r="WWN60" s="280">
        <v>0</v>
      </c>
      <c r="WWO60" s="280">
        <v>0</v>
      </c>
      <c r="WWP60" s="280">
        <v>0</v>
      </c>
      <c r="WWQ60" s="280">
        <v>0</v>
      </c>
      <c r="WWR60" s="280">
        <v>0</v>
      </c>
      <c r="WWS60" s="280">
        <v>0</v>
      </c>
      <c r="WWT60" s="280">
        <v>0</v>
      </c>
      <c r="WWU60" s="280">
        <v>0</v>
      </c>
      <c r="WWV60" s="280">
        <v>0</v>
      </c>
      <c r="WWW60" s="280">
        <v>0</v>
      </c>
      <c r="WWX60" s="280">
        <v>0</v>
      </c>
      <c r="WWY60" s="280">
        <v>0</v>
      </c>
      <c r="WWZ60" s="280">
        <v>0</v>
      </c>
      <c r="WXA60" s="280">
        <v>0</v>
      </c>
      <c r="WXB60" s="280">
        <v>0</v>
      </c>
      <c r="WXC60" s="280">
        <v>0</v>
      </c>
      <c r="WXD60" s="280">
        <v>0</v>
      </c>
      <c r="WXE60" s="280">
        <v>0</v>
      </c>
      <c r="WXF60" s="280">
        <v>0</v>
      </c>
      <c r="WXG60" s="280">
        <v>0</v>
      </c>
      <c r="WXH60" s="280">
        <v>0</v>
      </c>
      <c r="WXI60" s="280">
        <v>0</v>
      </c>
      <c r="WXJ60" s="280">
        <v>0</v>
      </c>
      <c r="WXK60" s="280">
        <v>0</v>
      </c>
      <c r="WXL60" s="280">
        <v>0</v>
      </c>
      <c r="WXM60" s="280">
        <v>0</v>
      </c>
      <c r="WXN60" s="280">
        <v>0</v>
      </c>
      <c r="WXO60" s="280">
        <v>0</v>
      </c>
      <c r="WXP60" s="280">
        <v>0</v>
      </c>
      <c r="WXQ60" s="280">
        <v>0</v>
      </c>
      <c r="WXR60" s="280">
        <v>0</v>
      </c>
      <c r="WXS60" s="280">
        <v>0</v>
      </c>
      <c r="WXT60" s="280">
        <v>0</v>
      </c>
      <c r="WXU60" s="280">
        <v>0</v>
      </c>
      <c r="WXV60" s="280">
        <v>0</v>
      </c>
      <c r="WXW60" s="280">
        <v>0</v>
      </c>
      <c r="WXX60" s="280">
        <v>0</v>
      </c>
      <c r="WXY60" s="280">
        <v>0</v>
      </c>
      <c r="WXZ60" s="280">
        <v>0</v>
      </c>
      <c r="WYA60" s="280">
        <v>0</v>
      </c>
      <c r="WYB60" s="280">
        <v>0</v>
      </c>
      <c r="WYC60" s="280">
        <v>0</v>
      </c>
      <c r="WYD60" s="280">
        <v>0</v>
      </c>
      <c r="WYE60" s="280">
        <v>0</v>
      </c>
      <c r="WYF60" s="280">
        <v>0</v>
      </c>
      <c r="WYG60" s="280">
        <v>0</v>
      </c>
      <c r="WYH60" s="280">
        <v>0</v>
      </c>
      <c r="WYI60" s="280">
        <v>0</v>
      </c>
      <c r="WYJ60" s="280">
        <v>0</v>
      </c>
      <c r="WYK60" s="280">
        <v>0</v>
      </c>
      <c r="WYL60" s="280">
        <v>0</v>
      </c>
      <c r="WYM60" s="280">
        <v>0</v>
      </c>
      <c r="WYN60" s="280">
        <v>0</v>
      </c>
      <c r="WYO60" s="280">
        <v>0</v>
      </c>
      <c r="WYP60" s="280">
        <v>0</v>
      </c>
      <c r="WYQ60" s="280">
        <v>0</v>
      </c>
      <c r="WYR60" s="280">
        <v>0</v>
      </c>
      <c r="WYS60" s="280">
        <v>0</v>
      </c>
      <c r="WYT60" s="280">
        <v>0</v>
      </c>
      <c r="WYU60" s="280">
        <v>0</v>
      </c>
      <c r="WYV60" s="280">
        <v>0</v>
      </c>
      <c r="WYW60" s="280">
        <v>0</v>
      </c>
      <c r="WYX60" s="280">
        <v>0</v>
      </c>
      <c r="WYY60" s="280">
        <v>0</v>
      </c>
      <c r="WYZ60" s="280">
        <v>0</v>
      </c>
      <c r="WZA60" s="280">
        <v>0</v>
      </c>
      <c r="WZB60" s="280">
        <v>0</v>
      </c>
      <c r="WZC60" s="280">
        <v>0</v>
      </c>
      <c r="WZD60" s="280">
        <v>0</v>
      </c>
      <c r="WZE60" s="280">
        <v>0</v>
      </c>
      <c r="WZF60" s="280">
        <v>0</v>
      </c>
      <c r="WZG60" s="280">
        <v>0</v>
      </c>
      <c r="WZH60" s="280">
        <v>0</v>
      </c>
      <c r="WZI60" s="280">
        <v>0</v>
      </c>
      <c r="WZJ60" s="280">
        <v>0</v>
      </c>
      <c r="WZK60" s="280">
        <v>0</v>
      </c>
      <c r="WZL60" s="280">
        <v>0</v>
      </c>
      <c r="WZM60" s="280">
        <v>0</v>
      </c>
      <c r="WZN60" s="280">
        <v>0</v>
      </c>
      <c r="WZO60" s="280">
        <v>0</v>
      </c>
      <c r="WZP60" s="280">
        <v>0</v>
      </c>
      <c r="WZQ60" s="280">
        <v>0</v>
      </c>
      <c r="WZR60" s="280">
        <v>0</v>
      </c>
      <c r="WZS60" s="280">
        <v>0</v>
      </c>
      <c r="WZT60" s="280">
        <v>0</v>
      </c>
      <c r="WZU60" s="280">
        <v>0</v>
      </c>
      <c r="WZV60" s="280">
        <v>0</v>
      </c>
      <c r="WZW60" s="280">
        <v>0</v>
      </c>
      <c r="WZX60" s="280">
        <v>0</v>
      </c>
      <c r="WZY60" s="280">
        <v>0</v>
      </c>
      <c r="WZZ60" s="280">
        <v>0</v>
      </c>
      <c r="XAA60" s="280">
        <v>0</v>
      </c>
      <c r="XAB60" s="280">
        <v>0</v>
      </c>
      <c r="XAC60" s="280">
        <v>0</v>
      </c>
      <c r="XAD60" s="280">
        <v>0</v>
      </c>
      <c r="XAE60" s="280">
        <v>0</v>
      </c>
      <c r="XAF60" s="280">
        <v>0</v>
      </c>
      <c r="XAG60" s="280">
        <v>0</v>
      </c>
      <c r="XAH60" s="280">
        <v>0</v>
      </c>
      <c r="XAI60" s="280">
        <v>0</v>
      </c>
      <c r="XAJ60" s="280">
        <v>0</v>
      </c>
      <c r="XAK60" s="280">
        <v>0</v>
      </c>
      <c r="XAL60" s="280">
        <v>0</v>
      </c>
      <c r="XAM60" s="280">
        <v>0</v>
      </c>
      <c r="XAN60" s="280">
        <v>0</v>
      </c>
      <c r="XAO60" s="280">
        <v>0</v>
      </c>
      <c r="XAP60" s="280">
        <v>0</v>
      </c>
      <c r="XAQ60" s="280">
        <v>0</v>
      </c>
      <c r="XAR60" s="280">
        <v>0</v>
      </c>
      <c r="XAS60" s="280">
        <v>0</v>
      </c>
      <c r="XAT60" s="280">
        <v>0</v>
      </c>
      <c r="XAU60" s="280">
        <v>0</v>
      </c>
      <c r="XAV60" s="280">
        <v>0</v>
      </c>
      <c r="XAW60" s="280">
        <v>0</v>
      </c>
      <c r="XAX60" s="280">
        <v>0</v>
      </c>
      <c r="XAY60" s="280">
        <v>0</v>
      </c>
      <c r="XAZ60" s="280">
        <v>0</v>
      </c>
      <c r="XBA60" s="280">
        <v>0</v>
      </c>
      <c r="XBB60" s="280">
        <v>0</v>
      </c>
      <c r="XBC60" s="280">
        <v>0</v>
      </c>
      <c r="XBD60" s="280">
        <v>0</v>
      </c>
      <c r="XBE60" s="280">
        <v>0</v>
      </c>
      <c r="XBF60" s="280">
        <v>0</v>
      </c>
      <c r="XBG60" s="280">
        <v>0</v>
      </c>
      <c r="XBH60" s="280">
        <v>0</v>
      </c>
      <c r="XBI60" s="280">
        <v>0</v>
      </c>
      <c r="XBJ60" s="280">
        <v>0</v>
      </c>
      <c r="XBK60" s="280">
        <v>0</v>
      </c>
      <c r="XBL60" s="280">
        <v>0</v>
      </c>
      <c r="XBM60" s="280">
        <v>0</v>
      </c>
      <c r="XBN60" s="280">
        <v>0</v>
      </c>
      <c r="XBO60" s="280">
        <v>0</v>
      </c>
      <c r="XBP60" s="280">
        <v>0</v>
      </c>
      <c r="XBQ60" s="280">
        <v>0</v>
      </c>
      <c r="XBR60" s="280">
        <v>0</v>
      </c>
      <c r="XBS60" s="280">
        <v>0</v>
      </c>
      <c r="XBT60" s="280">
        <v>0</v>
      </c>
      <c r="XBU60" s="280">
        <v>0</v>
      </c>
      <c r="XBV60" s="280">
        <v>0</v>
      </c>
      <c r="XBW60" s="280">
        <v>0</v>
      </c>
      <c r="XBX60" s="280">
        <v>0</v>
      </c>
      <c r="XBY60" s="280">
        <v>0</v>
      </c>
      <c r="XBZ60" s="280">
        <v>0</v>
      </c>
      <c r="XCA60" s="280">
        <v>0</v>
      </c>
      <c r="XCB60" s="280">
        <v>0</v>
      </c>
      <c r="XCC60" s="280">
        <v>0</v>
      </c>
      <c r="XCD60" s="280">
        <v>0</v>
      </c>
      <c r="XCE60" s="280">
        <v>0</v>
      </c>
      <c r="XCF60" s="280">
        <v>0</v>
      </c>
      <c r="XCG60" s="280">
        <v>0</v>
      </c>
      <c r="XCH60" s="280">
        <v>0</v>
      </c>
      <c r="XCI60" s="280">
        <v>0</v>
      </c>
      <c r="XCJ60" s="280">
        <v>0</v>
      </c>
      <c r="XCK60" s="280">
        <v>0</v>
      </c>
      <c r="XCL60" s="280">
        <v>0</v>
      </c>
      <c r="XCM60" s="280">
        <v>0</v>
      </c>
      <c r="XCN60" s="280">
        <v>0</v>
      </c>
      <c r="XCO60" s="280">
        <v>0</v>
      </c>
      <c r="XCP60" s="280">
        <v>0</v>
      </c>
      <c r="XCQ60" s="280">
        <v>0</v>
      </c>
      <c r="XCR60" s="280">
        <v>0</v>
      </c>
      <c r="XCS60" s="280">
        <v>0</v>
      </c>
      <c r="XCT60" s="280">
        <v>0</v>
      </c>
      <c r="XCU60" s="280">
        <v>0</v>
      </c>
      <c r="XCV60" s="280">
        <v>0</v>
      </c>
      <c r="XCW60" s="280">
        <v>0</v>
      </c>
      <c r="XCX60" s="280">
        <v>0</v>
      </c>
      <c r="XCY60" s="280">
        <v>0</v>
      </c>
      <c r="XCZ60" s="280">
        <v>0</v>
      </c>
      <c r="XDA60" s="280">
        <v>0</v>
      </c>
      <c r="XDB60" s="280">
        <v>0</v>
      </c>
      <c r="XDC60" s="280">
        <v>0</v>
      </c>
      <c r="XDD60" s="280">
        <v>0</v>
      </c>
      <c r="XDE60" s="280">
        <v>0</v>
      </c>
      <c r="XDF60" s="280">
        <v>0</v>
      </c>
      <c r="XDG60" s="280">
        <v>0</v>
      </c>
      <c r="XDH60" s="280">
        <v>0</v>
      </c>
      <c r="XDI60" s="280">
        <v>0</v>
      </c>
      <c r="XDJ60" s="280">
        <v>0</v>
      </c>
      <c r="XDK60" s="280">
        <v>0</v>
      </c>
      <c r="XDL60" s="280">
        <v>0</v>
      </c>
      <c r="XDM60" s="280">
        <v>0</v>
      </c>
      <c r="XDN60" s="280">
        <v>0</v>
      </c>
      <c r="XDO60" s="280">
        <v>0</v>
      </c>
      <c r="XDP60" s="280">
        <v>0</v>
      </c>
      <c r="XDQ60" s="280">
        <v>0</v>
      </c>
      <c r="XDR60" s="280">
        <v>0</v>
      </c>
      <c r="XDS60" s="280">
        <v>0</v>
      </c>
      <c r="XDT60" s="280">
        <v>0</v>
      </c>
      <c r="XDU60" s="280">
        <v>0</v>
      </c>
      <c r="XDV60" s="280">
        <v>0</v>
      </c>
      <c r="XDW60" s="280">
        <v>0</v>
      </c>
      <c r="XDX60" s="280">
        <v>0</v>
      </c>
      <c r="XDY60" s="280">
        <v>0</v>
      </c>
      <c r="XDZ60" s="280">
        <v>0</v>
      </c>
      <c r="XEA60" s="280">
        <v>0</v>
      </c>
      <c r="XEB60" s="280">
        <v>0</v>
      </c>
      <c r="XEC60" s="280">
        <v>0</v>
      </c>
      <c r="XED60" s="280">
        <v>0</v>
      </c>
      <c r="XEE60" s="280">
        <v>0</v>
      </c>
      <c r="XEF60" s="280">
        <v>0</v>
      </c>
      <c r="XEG60" s="280">
        <v>0</v>
      </c>
      <c r="XEH60" s="280">
        <v>0</v>
      </c>
      <c r="XEI60" s="280">
        <v>0</v>
      </c>
      <c r="XEJ60" s="280">
        <v>0</v>
      </c>
      <c r="XEK60" s="280">
        <v>0</v>
      </c>
      <c r="XEL60" s="280">
        <v>0</v>
      </c>
      <c r="XEM60" s="280">
        <v>0</v>
      </c>
      <c r="XEN60" s="280">
        <v>0</v>
      </c>
      <c r="XEO60" s="280">
        <v>0</v>
      </c>
      <c r="XEP60" s="280">
        <v>0</v>
      </c>
      <c r="XEQ60" s="280">
        <v>0</v>
      </c>
      <c r="XER60" s="280">
        <v>0</v>
      </c>
      <c r="XES60" s="280">
        <v>0</v>
      </c>
      <c r="XET60" s="280">
        <v>0</v>
      </c>
      <c r="XEU60" s="280">
        <v>0</v>
      </c>
      <c r="XEV60" s="280">
        <v>0</v>
      </c>
      <c r="XEW60" s="280">
        <v>0</v>
      </c>
      <c r="XEX60" s="280">
        <v>0</v>
      </c>
      <c r="XEY60" s="280">
        <v>0</v>
      </c>
      <c r="XEZ60" s="280">
        <v>0</v>
      </c>
      <c r="XFA60" s="280">
        <v>0</v>
      </c>
      <c r="XFB60" s="280">
        <v>0</v>
      </c>
      <c r="XFC60" s="280">
        <v>0</v>
      </c>
      <c r="XFD60" s="280">
        <v>0</v>
      </c>
    </row>
    <row r="61" spans="1:16384" ht="12.75">
      <c r="A61" s="2199">
        <f t="shared" si="3"/>
        <v>49</v>
      </c>
      <c r="B61" s="2200" t="s">
        <v>883</v>
      </c>
      <c r="C61" s="2743">
        <v>0</v>
      </c>
      <c r="D61" s="2743">
        <v>0</v>
      </c>
      <c r="E61" s="2949">
        <v>0</v>
      </c>
      <c r="F61" s="2200">
        <v>0</v>
      </c>
      <c r="G61" s="2200" t="s">
        <v>2038</v>
      </c>
      <c r="H61" s="2200" t="s">
        <v>1057</v>
      </c>
      <c r="I61" s="2742">
        <v>0</v>
      </c>
      <c r="J61" s="2742"/>
      <c r="K61" s="2752">
        <v>60</v>
      </c>
      <c r="L61" s="2745">
        <f t="shared" si="0"/>
        <v>0</v>
      </c>
      <c r="M61" s="2745">
        <f t="shared" si="4"/>
        <v>0</v>
      </c>
      <c r="N61" s="2745">
        <f t="shared" si="5"/>
        <v>0</v>
      </c>
      <c r="O61" s="1232">
        <f t="shared" si="6"/>
        <v>0</v>
      </c>
      <c r="P61" s="1227" t="str">
        <f t="shared" si="7"/>
        <v>410gsm GB DEA HAN</v>
      </c>
      <c r="Q61" s="254">
        <v>0.52500000000000002</v>
      </c>
      <c r="R61" s="1228" t="str">
        <f t="shared" si="10"/>
        <v>410</v>
      </c>
      <c r="S61" s="2625">
        <f t="shared" si="1"/>
        <v>0</v>
      </c>
      <c r="T61" s="2747">
        <f>IF(L61&gt;0,IF(input!$B$2=$O$1,(((L61+Y61/22)+(L61+Y61/22)*$AG61+$X61)*$P$11+$M$7)/1000,(((L61+Y61/22)+(L61+Y61/22)*O61+(L61+Y61/22)*$AG61+$X61)*$P$11+$M$7)/1000),0)</f>
        <v>0</v>
      </c>
      <c r="U61" s="2747">
        <f t="shared" si="8"/>
        <v>0</v>
      </c>
      <c r="V61" s="1229"/>
      <c r="W61" s="1231" t="str">
        <f t="shared" si="2"/>
        <v>CIF</v>
      </c>
      <c r="X61" s="1230">
        <f t="shared" si="15"/>
        <v>0</v>
      </c>
      <c r="Y61" s="2625">
        <f t="shared" si="11"/>
        <v>0</v>
      </c>
      <c r="Z61" s="3208">
        <f t="shared" si="12"/>
        <v>838.18181818181813</v>
      </c>
      <c r="AA61" s="1220" t="s">
        <v>1351</v>
      </c>
      <c r="AB61" s="1220" t="s">
        <v>1393</v>
      </c>
      <c r="AC61" s="251" t="str">
        <f t="shared" si="9"/>
        <v>410gsm GB DEA HAN</v>
      </c>
      <c r="AD61" s="2746">
        <f>IF(L61&gt;0,IF(input!$B$2=$O$1,(((M61)+(M61)*$M$10)*$P$11)/1000,(((M61)+(M61)*O61+(M61)*$M$10)*$P$11)/1000),0)</f>
        <v>0</v>
      </c>
      <c r="AE61" s="2746">
        <f>IF(L61&gt;0,IF(input!$B$2=$O$1,(((N61)+(N61)*$M$10)*$P$11)/1000,(((N61)+(N61)*O61+(N61)*$M$10)*$P$11)/1000),0)</f>
        <v>0</v>
      </c>
      <c r="AF61" s="136" t="str">
        <f t="shared" si="13"/>
        <v>FSC</v>
      </c>
      <c r="AG61" s="2628">
        <f t="shared" si="14"/>
        <v>1.6E-2</v>
      </c>
      <c r="AH61" s="1266">
        <v>0.1</v>
      </c>
    </row>
    <row r="62" spans="1:16384" ht="12.75">
      <c r="A62" s="2199">
        <f t="shared" si="3"/>
        <v>50</v>
      </c>
      <c r="B62" s="2200" t="s">
        <v>884</v>
      </c>
      <c r="C62" s="2743">
        <v>0</v>
      </c>
      <c r="D62" s="2743">
        <v>0</v>
      </c>
      <c r="E62" s="2949">
        <v>0</v>
      </c>
      <c r="F62" s="2200">
        <v>0</v>
      </c>
      <c r="G62" s="2200" t="s">
        <v>2038</v>
      </c>
      <c r="H62" s="2200" t="s">
        <v>1057</v>
      </c>
      <c r="I62" s="2742">
        <v>0</v>
      </c>
      <c r="J62" s="2742"/>
      <c r="K62" s="2752">
        <v>60</v>
      </c>
      <c r="L62" s="2745">
        <f t="shared" si="0"/>
        <v>0</v>
      </c>
      <c r="M62" s="2745">
        <f t="shared" si="4"/>
        <v>0</v>
      </c>
      <c r="N62" s="2745">
        <f t="shared" si="5"/>
        <v>0</v>
      </c>
      <c r="O62" s="1232">
        <f t="shared" si="6"/>
        <v>0</v>
      </c>
      <c r="P62" s="1227" t="str">
        <f t="shared" si="7"/>
        <v>420gsm GB DEA HAN</v>
      </c>
      <c r="Q62" s="254">
        <v>0.53500000000000003</v>
      </c>
      <c r="R62" s="1228" t="str">
        <f t="shared" si="10"/>
        <v>420</v>
      </c>
      <c r="S62" s="2625">
        <f t="shared" si="1"/>
        <v>0</v>
      </c>
      <c r="T62" s="2747">
        <f>IF(L62&gt;0,IF(input!$B$2=$O$1,(((L62+Y62/22)+(L62+Y62/22)*$AG62+$X62)*$P$11+$M$7)/1000,(((L62+Y62/22)+(L62+Y62/22)*O62+(L62+Y62/22)*$AG62+$X62)*$P$11+$M$7)/1000),0)</f>
        <v>0</v>
      </c>
      <c r="U62" s="2747">
        <f t="shared" si="8"/>
        <v>0</v>
      </c>
      <c r="V62" s="1229"/>
      <c r="W62" s="1231" t="str">
        <f t="shared" si="2"/>
        <v>CIF</v>
      </c>
      <c r="X62" s="1230">
        <f t="shared" si="15"/>
        <v>0</v>
      </c>
      <c r="Y62" s="2625">
        <f t="shared" si="11"/>
        <v>0</v>
      </c>
      <c r="Z62" s="3208">
        <f t="shared" si="12"/>
        <v>838.18181818181813</v>
      </c>
      <c r="AA62" s="1220" t="s">
        <v>1351</v>
      </c>
      <c r="AB62" s="1220" t="s">
        <v>1393</v>
      </c>
      <c r="AC62" s="251" t="str">
        <f t="shared" si="9"/>
        <v>420gsm GB DEA HAN</v>
      </c>
      <c r="AD62" s="2746">
        <f>IF(L62&gt;0,IF(input!$B$2=$O$1,(((M62)+(M62)*$M$10)*$P$11)/1000,(((M62)+(M62)*O62+(M62)*$M$10)*$P$11)/1000),0)</f>
        <v>0</v>
      </c>
      <c r="AE62" s="2746">
        <f>IF(L62&gt;0,IF(input!$B$2=$O$1,(((N62)+(N62)*$M$10)*$P$11)/1000,(((N62)+(N62)*O62+(N62)*$M$10)*$P$11)/1000),0)</f>
        <v>0</v>
      </c>
      <c r="AF62" s="136" t="str">
        <f t="shared" si="13"/>
        <v>FSC</v>
      </c>
      <c r="AG62" s="2628">
        <f t="shared" si="14"/>
        <v>1.6E-2</v>
      </c>
      <c r="AH62" s="1266">
        <v>0.1</v>
      </c>
    </row>
    <row r="63" spans="1:16384" ht="12.75">
      <c r="A63" s="2199">
        <f t="shared" si="3"/>
        <v>51</v>
      </c>
      <c r="B63" s="2200" t="s">
        <v>885</v>
      </c>
      <c r="C63" s="2743">
        <v>0</v>
      </c>
      <c r="D63" s="2743">
        <v>0</v>
      </c>
      <c r="E63" s="2949">
        <v>0</v>
      </c>
      <c r="F63" s="2200">
        <v>0</v>
      </c>
      <c r="G63" s="2200" t="s">
        <v>2038</v>
      </c>
      <c r="H63" s="2200" t="s">
        <v>1057</v>
      </c>
      <c r="I63" s="2742">
        <v>0</v>
      </c>
      <c r="J63" s="2742"/>
      <c r="K63" s="2752">
        <v>60</v>
      </c>
      <c r="L63" s="2745">
        <f t="shared" si="0"/>
        <v>0</v>
      </c>
      <c r="M63" s="2745">
        <f t="shared" si="4"/>
        <v>0</v>
      </c>
      <c r="N63" s="2745">
        <f t="shared" si="5"/>
        <v>0</v>
      </c>
      <c r="O63" s="1232">
        <f t="shared" si="6"/>
        <v>0</v>
      </c>
      <c r="P63" s="1227" t="str">
        <f t="shared" si="7"/>
        <v>430gsm GB DEA HAN</v>
      </c>
      <c r="Q63" s="254">
        <v>0.54500000000000004</v>
      </c>
      <c r="R63" s="1228" t="str">
        <f t="shared" si="10"/>
        <v>430</v>
      </c>
      <c r="S63" s="2625">
        <f t="shared" si="1"/>
        <v>0</v>
      </c>
      <c r="T63" s="2747">
        <f>IF(L63&gt;0,IF(input!$B$2=$O$1,(((L63+Y63/22)+(L63+Y63/22)*$AG63+$X63)*$P$11+$M$7)/1000,(((L63+Y63/22)+(L63+Y63/22)*O63+(L63+Y63/22)*$AG63+$X63)*$P$11+$M$7)/1000),0)</f>
        <v>0</v>
      </c>
      <c r="U63" s="2747">
        <f t="shared" si="8"/>
        <v>0</v>
      </c>
      <c r="V63" s="1229"/>
      <c r="W63" s="1231" t="str">
        <f t="shared" si="2"/>
        <v>CIF</v>
      </c>
      <c r="X63" s="1230">
        <f t="shared" si="15"/>
        <v>0</v>
      </c>
      <c r="Y63" s="2625">
        <f t="shared" si="11"/>
        <v>0</v>
      </c>
      <c r="Z63" s="3208">
        <f t="shared" si="12"/>
        <v>838.18181818181813</v>
      </c>
      <c r="AA63" s="1220" t="s">
        <v>1351</v>
      </c>
      <c r="AB63" s="1220" t="s">
        <v>1393</v>
      </c>
      <c r="AC63" s="251" t="str">
        <f t="shared" si="9"/>
        <v>430gsm GB DEA HAN</v>
      </c>
      <c r="AD63" s="2746">
        <f>IF(L63&gt;0,IF(input!$B$2=$O$1,(((M63)+(M63)*$M$10)*$P$11)/1000,(((M63)+(M63)*O63+(M63)*$M$10)*$P$11)/1000),0)</f>
        <v>0</v>
      </c>
      <c r="AE63" s="2746">
        <f>IF(L63&gt;0,IF(input!$B$2=$O$1,(((N63)+(N63)*$M$10)*$P$11)/1000,(((N63)+(N63)*O63+(N63)*$M$10)*$P$11)/1000),0)</f>
        <v>0</v>
      </c>
      <c r="AF63" s="136" t="str">
        <f t="shared" si="13"/>
        <v>FSC</v>
      </c>
      <c r="AG63" s="2628">
        <f t="shared" si="14"/>
        <v>1.6E-2</v>
      </c>
      <c r="AH63" s="1266">
        <v>0.1</v>
      </c>
    </row>
    <row r="64" spans="1:16384" ht="12.75">
      <c r="A64" s="2199">
        <f t="shared" si="3"/>
        <v>52</v>
      </c>
      <c r="B64" s="2200" t="s">
        <v>886</v>
      </c>
      <c r="C64" s="2743">
        <v>0</v>
      </c>
      <c r="D64" s="2743">
        <v>0</v>
      </c>
      <c r="E64" s="2949">
        <v>0</v>
      </c>
      <c r="F64" s="2200">
        <v>0</v>
      </c>
      <c r="G64" s="2200" t="s">
        <v>2038</v>
      </c>
      <c r="H64" s="2200" t="s">
        <v>1057</v>
      </c>
      <c r="I64" s="2742">
        <v>0</v>
      </c>
      <c r="J64" s="2742"/>
      <c r="K64" s="2752">
        <v>60</v>
      </c>
      <c r="L64" s="2745">
        <f t="shared" si="0"/>
        <v>0</v>
      </c>
      <c r="M64" s="2745">
        <f t="shared" si="4"/>
        <v>0</v>
      </c>
      <c r="N64" s="2745">
        <f t="shared" si="5"/>
        <v>0</v>
      </c>
      <c r="O64" s="1232">
        <f t="shared" si="6"/>
        <v>0</v>
      </c>
      <c r="P64" s="1227" t="str">
        <f t="shared" si="7"/>
        <v>440gsm GB DEA HAN</v>
      </c>
      <c r="Q64" s="254">
        <v>0.55500000000000005</v>
      </c>
      <c r="R64" s="1228" t="str">
        <f t="shared" si="10"/>
        <v>440</v>
      </c>
      <c r="S64" s="2625">
        <f t="shared" si="1"/>
        <v>0</v>
      </c>
      <c r="T64" s="2747">
        <f>IF(L64&gt;0,IF(input!$B$2=$O$1,(((L64+Y64/22)+(L64+Y64/22)*$AG64+$X64)*$P$11+$M$7)/1000,(((L64+Y64/22)+(L64+Y64/22)*O64+(L64+Y64/22)*$AG64+$X64)*$P$11+$M$7)/1000),0)</f>
        <v>0</v>
      </c>
      <c r="U64" s="2747">
        <f t="shared" si="8"/>
        <v>0</v>
      </c>
      <c r="V64" s="1229"/>
      <c r="W64" s="1231" t="str">
        <f t="shared" si="2"/>
        <v>CIF</v>
      </c>
      <c r="X64" s="1230">
        <f t="shared" si="15"/>
        <v>0</v>
      </c>
      <c r="Y64" s="2625">
        <f t="shared" si="11"/>
        <v>0</v>
      </c>
      <c r="Z64" s="3208">
        <f t="shared" si="12"/>
        <v>838.18181818181813</v>
      </c>
      <c r="AA64" s="1220" t="s">
        <v>1351</v>
      </c>
      <c r="AB64" s="1220" t="s">
        <v>1393</v>
      </c>
      <c r="AC64" s="251" t="str">
        <f t="shared" si="9"/>
        <v>440gsm GB DEA HAN</v>
      </c>
      <c r="AD64" s="2746">
        <f>IF(L64&gt;0,IF(input!$B$2=$O$1,(((M64)+(M64)*$M$10)*$P$11)/1000,(((M64)+(M64)*O64+(M64)*$M$10)*$P$11)/1000),0)</f>
        <v>0</v>
      </c>
      <c r="AE64" s="2746">
        <f>IF(L64&gt;0,IF(input!$B$2=$O$1,(((N64)+(N64)*$M$10)*$P$11)/1000,(((N64)+(N64)*O64+(N64)*$M$10)*$P$11)/1000),0)</f>
        <v>0</v>
      </c>
      <c r="AF64" s="136" t="str">
        <f t="shared" si="13"/>
        <v>FSC</v>
      </c>
      <c r="AG64" s="2628">
        <f t="shared" si="14"/>
        <v>1.6E-2</v>
      </c>
      <c r="AH64" s="1266">
        <v>0.1</v>
      </c>
    </row>
    <row r="65" spans="1:34" ht="12.75">
      <c r="A65" s="2199">
        <f t="shared" si="3"/>
        <v>53</v>
      </c>
      <c r="B65" s="2200" t="s">
        <v>887</v>
      </c>
      <c r="C65" s="2743">
        <v>17000</v>
      </c>
      <c r="D65" s="2743">
        <v>490</v>
      </c>
      <c r="E65" s="2949">
        <v>0</v>
      </c>
      <c r="F65" s="2200">
        <v>0</v>
      </c>
      <c r="G65" s="2200" t="s">
        <v>2038</v>
      </c>
      <c r="H65" s="2200" t="s">
        <v>1057</v>
      </c>
      <c r="I65" s="2742">
        <v>0</v>
      </c>
      <c r="J65" s="2742"/>
      <c r="K65" s="2752">
        <v>60</v>
      </c>
      <c r="L65" s="2745">
        <f t="shared" si="0"/>
        <v>490</v>
      </c>
      <c r="M65" s="2745">
        <f t="shared" si="4"/>
        <v>0</v>
      </c>
      <c r="N65" s="2745">
        <f t="shared" si="5"/>
        <v>0</v>
      </c>
      <c r="O65" s="1232">
        <f t="shared" si="6"/>
        <v>0</v>
      </c>
      <c r="P65" s="1227" t="str">
        <f t="shared" si="7"/>
        <v>450gsm GB DEA HAN</v>
      </c>
      <c r="Q65" s="254">
        <v>0.56499999999999995</v>
      </c>
      <c r="R65" s="1228" t="str">
        <f t="shared" si="10"/>
        <v>450</v>
      </c>
      <c r="S65" s="2625">
        <f t="shared" si="1"/>
        <v>17000</v>
      </c>
      <c r="T65" s="2747">
        <f>IF(L65&gt;0,IF(input!$B$2=$O$1,(((L65+Y65/22)+(L65+Y65/22)*$AG65+$X65)*$P$11+$M$7)/1000,(((L65+Y65/22)+(L65+Y65/22)*O65+(L65+Y65/22)*$AG65+$X65)*$P$11+$M$7)/1000),0)</f>
        <v>12553.138399999998</v>
      </c>
      <c r="U65" s="2747">
        <f t="shared" si="8"/>
        <v>16578.922558922557</v>
      </c>
      <c r="V65" s="1229"/>
      <c r="W65" s="1231" t="str">
        <f t="shared" si="2"/>
        <v>CIF</v>
      </c>
      <c r="X65" s="1230">
        <f t="shared" si="15"/>
        <v>0</v>
      </c>
      <c r="Y65" s="2625">
        <f t="shared" si="11"/>
        <v>0</v>
      </c>
      <c r="Z65" s="3208">
        <f t="shared" si="12"/>
        <v>838.18181818181813</v>
      </c>
      <c r="AA65" s="1220" t="s">
        <v>1351</v>
      </c>
      <c r="AB65" s="1220" t="s">
        <v>1393</v>
      </c>
      <c r="AC65" s="251" t="str">
        <f t="shared" si="9"/>
        <v>450gsm GB DEA HAN</v>
      </c>
      <c r="AD65" s="2746">
        <f>IF(L65&gt;0,IF(input!$B$2=$O$1,(((M65)+(M65)*$M$10)*$P$11)/1000,(((M65)+(M65)*O65+(M65)*$M$10)*$P$11)/1000),0)</f>
        <v>0</v>
      </c>
      <c r="AE65" s="2746">
        <f>IF(L65&gt;0,IF(input!$B$2=$O$1,(((N65)+(N65)*$M$10)*$P$11)/1000,(((N65)+(N65)*O65+(N65)*$M$10)*$P$11)/1000),0)</f>
        <v>0</v>
      </c>
      <c r="AF65" s="136" t="str">
        <f t="shared" si="13"/>
        <v>FSC</v>
      </c>
      <c r="AG65" s="2628">
        <f t="shared" si="14"/>
        <v>1.6E-2</v>
      </c>
      <c r="AH65" s="1266">
        <v>0.1</v>
      </c>
    </row>
    <row r="66" spans="1:34" ht="12.75">
      <c r="A66" s="2199">
        <f t="shared" si="3"/>
        <v>54</v>
      </c>
      <c r="B66" s="2200" t="s">
        <v>888</v>
      </c>
      <c r="C66" s="2743">
        <v>0</v>
      </c>
      <c r="D66" s="2743">
        <v>0</v>
      </c>
      <c r="E66" s="2949">
        <v>0</v>
      </c>
      <c r="F66" s="2200">
        <v>0</v>
      </c>
      <c r="G66" s="2200" t="s">
        <v>2038</v>
      </c>
      <c r="H66" s="2200" t="s">
        <v>1057</v>
      </c>
      <c r="I66" s="2742">
        <v>0</v>
      </c>
      <c r="J66" s="2742"/>
      <c r="K66" s="2752">
        <v>60</v>
      </c>
      <c r="L66" s="2745">
        <f t="shared" si="0"/>
        <v>0</v>
      </c>
      <c r="M66" s="2745">
        <f t="shared" si="4"/>
        <v>0</v>
      </c>
      <c r="N66" s="2745">
        <f t="shared" si="5"/>
        <v>0</v>
      </c>
      <c r="O66" s="1232">
        <f t="shared" si="6"/>
        <v>0</v>
      </c>
      <c r="P66" s="1227" t="str">
        <f t="shared" si="7"/>
        <v>460gsm GB DEA HAN</v>
      </c>
      <c r="Q66" s="254">
        <v>0.57999999999999996</v>
      </c>
      <c r="R66" s="1228" t="str">
        <f t="shared" si="10"/>
        <v>460</v>
      </c>
      <c r="S66" s="2625">
        <f t="shared" si="1"/>
        <v>0</v>
      </c>
      <c r="T66" s="2747">
        <f>IF(L66&gt;0,IF(input!$B$2=$O$1,(((L66+Y66/22)+(L66+Y66/22)*$AG66+$X66)*$P$11+$M$7)/1000,(((L66+Y66/22)+(L66+Y66/22)*O66+(L66+Y66/22)*$AG66+$X66)*$P$11+$M$7)/1000),0)</f>
        <v>0</v>
      </c>
      <c r="U66" s="2747">
        <f t="shared" si="8"/>
        <v>0</v>
      </c>
      <c r="V66" s="1229"/>
      <c r="W66" s="1231" t="str">
        <f t="shared" si="2"/>
        <v>CIF</v>
      </c>
      <c r="X66" s="1230">
        <f t="shared" si="15"/>
        <v>0</v>
      </c>
      <c r="Y66" s="2625">
        <f t="shared" si="11"/>
        <v>0</v>
      </c>
      <c r="Z66" s="3208">
        <f t="shared" si="12"/>
        <v>838.18181818181813</v>
      </c>
      <c r="AA66" s="1220" t="s">
        <v>1351</v>
      </c>
      <c r="AB66" s="1220" t="s">
        <v>1393</v>
      </c>
      <c r="AC66" s="251" t="str">
        <f t="shared" si="9"/>
        <v>460gsm GB DEA HAN</v>
      </c>
      <c r="AD66" s="2746">
        <f>IF(L66&gt;0,IF(input!$B$2=$O$1,(((M66)+(M66)*$M$10)*$P$11)/1000,(((M66)+(M66)*O66+(M66)*$M$10)*$P$11)/1000),0)</f>
        <v>0</v>
      </c>
      <c r="AE66" s="2746">
        <f>IF(L66&gt;0,IF(input!$B$2=$O$1,(((N66)+(N66)*$M$10)*$P$11)/1000,(((N66)+(N66)*O66+(N66)*$M$10)*$P$11)/1000),0)</f>
        <v>0</v>
      </c>
      <c r="AF66" s="136" t="str">
        <f t="shared" si="13"/>
        <v>FSC</v>
      </c>
      <c r="AG66" s="2628">
        <f t="shared" si="14"/>
        <v>1.6E-2</v>
      </c>
      <c r="AH66" s="1266">
        <v>0.1</v>
      </c>
    </row>
    <row r="67" spans="1:34" ht="12.75">
      <c r="A67" s="2199">
        <f t="shared" si="3"/>
        <v>55</v>
      </c>
      <c r="B67" s="2200" t="s">
        <v>889</v>
      </c>
      <c r="C67" s="2743">
        <v>0</v>
      </c>
      <c r="D67" s="2743">
        <v>0</v>
      </c>
      <c r="E67" s="2949">
        <v>0</v>
      </c>
      <c r="F67" s="2200">
        <v>0</v>
      </c>
      <c r="G67" s="2200" t="s">
        <v>2038</v>
      </c>
      <c r="H67" s="2200" t="s">
        <v>1057</v>
      </c>
      <c r="I67" s="2742">
        <v>0</v>
      </c>
      <c r="J67" s="2742"/>
      <c r="K67" s="2752">
        <v>60</v>
      </c>
      <c r="L67" s="2745">
        <f t="shared" si="0"/>
        <v>0</v>
      </c>
      <c r="M67" s="2745">
        <f t="shared" si="4"/>
        <v>0</v>
      </c>
      <c r="N67" s="2745">
        <f t="shared" si="5"/>
        <v>0</v>
      </c>
      <c r="O67" s="1232">
        <f t="shared" si="6"/>
        <v>0</v>
      </c>
      <c r="P67" s="1227" t="str">
        <f t="shared" si="7"/>
        <v>470gsm GB DEA HAN</v>
      </c>
      <c r="Q67" s="254">
        <v>0.60499999999999998</v>
      </c>
      <c r="R67" s="1228" t="str">
        <f t="shared" si="10"/>
        <v>470</v>
      </c>
      <c r="S67" s="2625">
        <f t="shared" si="1"/>
        <v>0</v>
      </c>
      <c r="T67" s="2747">
        <f>IF(L67&gt;0,IF(input!$B$2=$O$1,(((L67+Y67/22)+(L67+Y67/22)*$AG67+$X67)*$P$11+$M$7)/1000,(((L67+Y67/22)+(L67+Y67/22)*O67+(L67+Y67/22)*$AG67+$X67)*$P$11+$M$7)/1000),0)</f>
        <v>0</v>
      </c>
      <c r="U67" s="2747">
        <f t="shared" si="8"/>
        <v>0</v>
      </c>
      <c r="V67" s="1229"/>
      <c r="W67" s="1231" t="str">
        <f t="shared" si="2"/>
        <v>CIF</v>
      </c>
      <c r="X67" s="1230">
        <f t="shared" si="15"/>
        <v>0</v>
      </c>
      <c r="Y67" s="2625">
        <f t="shared" si="11"/>
        <v>0</v>
      </c>
      <c r="Z67" s="3208">
        <f t="shared" si="12"/>
        <v>838.18181818181813</v>
      </c>
      <c r="AA67" s="1220" t="s">
        <v>1351</v>
      </c>
      <c r="AB67" s="1220" t="s">
        <v>1393</v>
      </c>
      <c r="AC67" s="251" t="str">
        <f t="shared" si="9"/>
        <v>470gsm GB DEA HAN</v>
      </c>
      <c r="AD67" s="2746">
        <f>IF(L67&gt;0,IF(input!$B$2=$O$1,(((M67)+(M67)*$M$10)*$P$11)/1000,(((M67)+(M67)*O67+(M67)*$M$10)*$P$11)/1000),0)</f>
        <v>0</v>
      </c>
      <c r="AE67" s="2746">
        <f>IF(L67&gt;0,IF(input!$B$2=$O$1,(((N67)+(N67)*$M$10)*$P$11)/1000,(((N67)+(N67)*O67+(N67)*$M$10)*$P$11)/1000),0)</f>
        <v>0</v>
      </c>
      <c r="AF67" s="136" t="str">
        <f t="shared" si="13"/>
        <v>FSC</v>
      </c>
      <c r="AG67" s="2628">
        <f t="shared" si="14"/>
        <v>1.6E-2</v>
      </c>
      <c r="AH67" s="1266">
        <v>0.1</v>
      </c>
    </row>
    <row r="68" spans="1:34" ht="12.75">
      <c r="A68" s="2199">
        <f t="shared" si="3"/>
        <v>56</v>
      </c>
      <c r="B68" s="2200" t="s">
        <v>890</v>
      </c>
      <c r="C68" s="2743">
        <v>0</v>
      </c>
      <c r="D68" s="2743">
        <v>0</v>
      </c>
      <c r="E68" s="2949">
        <v>0</v>
      </c>
      <c r="F68" s="2200">
        <v>0</v>
      </c>
      <c r="G68" s="2200" t="s">
        <v>2038</v>
      </c>
      <c r="H68" s="2200" t="s">
        <v>1057</v>
      </c>
      <c r="I68" s="2742">
        <v>0</v>
      </c>
      <c r="J68" s="2742"/>
      <c r="K68" s="2752">
        <v>60</v>
      </c>
      <c r="L68" s="2745">
        <f t="shared" si="0"/>
        <v>0</v>
      </c>
      <c r="M68" s="2745">
        <f t="shared" si="4"/>
        <v>0</v>
      </c>
      <c r="N68" s="2745">
        <f t="shared" si="5"/>
        <v>0</v>
      </c>
      <c r="O68" s="1232">
        <f t="shared" si="6"/>
        <v>0</v>
      </c>
      <c r="P68" s="1227" t="str">
        <f t="shared" si="7"/>
        <v>480gsm GB DEA HAN</v>
      </c>
      <c r="Q68" s="254">
        <v>0.62</v>
      </c>
      <c r="R68" s="1228" t="str">
        <f t="shared" si="10"/>
        <v>480</v>
      </c>
      <c r="S68" s="2625">
        <f t="shared" si="1"/>
        <v>0</v>
      </c>
      <c r="T68" s="2747">
        <f>IF(L68&gt;0,IF(input!$B$2=$O$1,(((L68+Y68/22)+(L68+Y68/22)*$AG68+$X68)*$P$11+$M$7)/1000,(((L68+Y68/22)+(L68+Y68/22)*O68+(L68+Y68/22)*$AG68+$X68)*$P$11+$M$7)/1000),0)</f>
        <v>0</v>
      </c>
      <c r="U68" s="2747">
        <f t="shared" si="8"/>
        <v>0</v>
      </c>
      <c r="V68" s="1229"/>
      <c r="W68" s="1231" t="str">
        <f t="shared" si="2"/>
        <v>CIF</v>
      </c>
      <c r="X68" s="1230">
        <f t="shared" si="15"/>
        <v>0</v>
      </c>
      <c r="Y68" s="2625">
        <f t="shared" si="11"/>
        <v>0</v>
      </c>
      <c r="Z68" s="3208">
        <f t="shared" si="12"/>
        <v>838.18181818181813</v>
      </c>
      <c r="AA68" s="1220" t="s">
        <v>1351</v>
      </c>
      <c r="AB68" s="1220" t="s">
        <v>1393</v>
      </c>
      <c r="AC68" s="251" t="str">
        <f t="shared" si="9"/>
        <v>480gsm GB DEA HAN</v>
      </c>
      <c r="AD68" s="2746">
        <f>IF(L68&gt;0,IF(input!$B$2=$O$1,(((M68)+(M68)*$M$10)*$P$11)/1000,(((M68)+(M68)*O68+(M68)*$M$10)*$P$11)/1000),0)</f>
        <v>0</v>
      </c>
      <c r="AE68" s="2746">
        <f>IF(L68&gt;0,IF(input!$B$2=$O$1,(((N68)+(N68)*$M$10)*$P$11)/1000,(((N68)+(N68)*O68+(N68)*$M$10)*$P$11)/1000),0)</f>
        <v>0</v>
      </c>
      <c r="AF68" s="136" t="str">
        <f t="shared" si="13"/>
        <v>FSC</v>
      </c>
      <c r="AG68" s="2628">
        <f t="shared" si="14"/>
        <v>1.6E-2</v>
      </c>
      <c r="AH68" s="1266">
        <v>0.1</v>
      </c>
    </row>
    <row r="69" spans="1:34" ht="12.75">
      <c r="A69" s="2199">
        <f t="shared" si="3"/>
        <v>57</v>
      </c>
      <c r="B69" s="2200" t="s">
        <v>891</v>
      </c>
      <c r="C69" s="2743">
        <v>0</v>
      </c>
      <c r="D69" s="2743">
        <v>0</v>
      </c>
      <c r="E69" s="2949">
        <v>0</v>
      </c>
      <c r="F69" s="2200">
        <v>0</v>
      </c>
      <c r="G69" s="2200" t="s">
        <v>2038</v>
      </c>
      <c r="H69" s="2200" t="s">
        <v>1057</v>
      </c>
      <c r="I69" s="2742">
        <v>0</v>
      </c>
      <c r="J69" s="2742"/>
      <c r="K69" s="2752">
        <v>60</v>
      </c>
      <c r="L69" s="2745">
        <f t="shared" si="0"/>
        <v>0</v>
      </c>
      <c r="M69" s="2745">
        <f t="shared" si="4"/>
        <v>0</v>
      </c>
      <c r="N69" s="2745">
        <f t="shared" si="5"/>
        <v>0</v>
      </c>
      <c r="O69" s="1232">
        <f t="shared" si="6"/>
        <v>0</v>
      </c>
      <c r="P69" s="1227" t="str">
        <f t="shared" si="7"/>
        <v>490gsm GB DEA HAN</v>
      </c>
      <c r="Q69" s="254">
        <v>0.63</v>
      </c>
      <c r="R69" s="1228" t="str">
        <f t="shared" si="10"/>
        <v>490</v>
      </c>
      <c r="S69" s="2625">
        <f t="shared" si="1"/>
        <v>0</v>
      </c>
      <c r="T69" s="2747">
        <f>IF(L69&gt;0,IF(input!$B$2=$O$1,(((L69+Y69/22)+(L69+Y69/22)*$AG69+$X69)*$P$11+$M$7)/1000,(((L69+Y69/22)+(L69+Y69/22)*O69+(L69+Y69/22)*$AG69+$X69)*$P$11+$M$7)/1000),0)</f>
        <v>0</v>
      </c>
      <c r="U69" s="2747">
        <f t="shared" si="8"/>
        <v>0</v>
      </c>
      <c r="V69" s="1229"/>
      <c r="W69" s="1231" t="str">
        <f t="shared" si="2"/>
        <v>CIF</v>
      </c>
      <c r="X69" s="1230">
        <f t="shared" si="15"/>
        <v>0</v>
      </c>
      <c r="Y69" s="2625">
        <f t="shared" si="11"/>
        <v>0</v>
      </c>
      <c r="Z69" s="3208">
        <f t="shared" si="12"/>
        <v>838.18181818181813</v>
      </c>
      <c r="AA69" s="1220" t="s">
        <v>1351</v>
      </c>
      <c r="AB69" s="1220" t="s">
        <v>1393</v>
      </c>
      <c r="AC69" s="251" t="str">
        <f t="shared" si="9"/>
        <v>490gsm GB DEA HAN</v>
      </c>
      <c r="AD69" s="2746">
        <f>IF(L69&gt;0,IF(input!$B$2=$O$1,(((M69)+(M69)*$M$10)*$P$11)/1000,(((M69)+(M69)*O69+(M69)*$M$10)*$P$11)/1000),0)</f>
        <v>0</v>
      </c>
      <c r="AE69" s="2746">
        <f>IF(L69&gt;0,IF(input!$B$2=$O$1,(((N69)+(N69)*$M$10)*$P$11)/1000,(((N69)+(N69)*O69+(N69)*$M$10)*$P$11)/1000),0)</f>
        <v>0</v>
      </c>
      <c r="AF69" s="136" t="str">
        <f t="shared" si="13"/>
        <v>FSC</v>
      </c>
      <c r="AG69" s="2628">
        <f t="shared" si="14"/>
        <v>1.6E-2</v>
      </c>
      <c r="AH69" s="1266">
        <v>0.1</v>
      </c>
    </row>
    <row r="70" spans="1:34" ht="12.75">
      <c r="A70" s="2199">
        <f t="shared" si="3"/>
        <v>58</v>
      </c>
      <c r="B70" s="2200" t="s">
        <v>892</v>
      </c>
      <c r="C70" s="2743">
        <v>17000</v>
      </c>
      <c r="D70" s="2743">
        <v>490</v>
      </c>
      <c r="E70" s="2949">
        <v>0</v>
      </c>
      <c r="F70" s="2200">
        <v>0</v>
      </c>
      <c r="G70" s="2200" t="s">
        <v>2038</v>
      </c>
      <c r="H70" s="2200" t="s">
        <v>1057</v>
      </c>
      <c r="I70" s="2742">
        <v>0</v>
      </c>
      <c r="J70" s="2742"/>
      <c r="K70" s="2752">
        <v>60</v>
      </c>
      <c r="L70" s="2745">
        <f t="shared" si="0"/>
        <v>490</v>
      </c>
      <c r="M70" s="2745">
        <f t="shared" si="4"/>
        <v>0</v>
      </c>
      <c r="N70" s="2745">
        <f t="shared" si="5"/>
        <v>0</v>
      </c>
      <c r="O70" s="1232">
        <f t="shared" si="6"/>
        <v>0</v>
      </c>
      <c r="P70" s="1227" t="str">
        <f t="shared" si="7"/>
        <v>500gsm GB DEA HAN</v>
      </c>
      <c r="Q70" s="254">
        <v>0.64</v>
      </c>
      <c r="R70" s="1228" t="str">
        <f t="shared" si="10"/>
        <v>500</v>
      </c>
      <c r="S70" s="2625">
        <f t="shared" si="1"/>
        <v>17000</v>
      </c>
      <c r="T70" s="2747">
        <f>IF(L70&gt;0,IF(input!$B$2=$O$1,(((L70+Y70/22)+(L70+Y70/22)*$AG70+$X70)*$P$11+$M$7)/1000,(((L70+Y70/22)+(L70+Y70/22)*O70+(L70+Y70/22)*$AG70+$X70)*$P$11+$M$7)/1000),0)</f>
        <v>12553.138399999998</v>
      </c>
      <c r="U70" s="2747">
        <f t="shared" si="8"/>
        <v>16578.922558922557</v>
      </c>
      <c r="V70" s="1229"/>
      <c r="W70" s="1231" t="str">
        <f t="shared" si="2"/>
        <v>CIF</v>
      </c>
      <c r="X70" s="1230">
        <f t="shared" si="15"/>
        <v>0</v>
      </c>
      <c r="Y70" s="2625">
        <f t="shared" si="11"/>
        <v>0</v>
      </c>
      <c r="Z70" s="3208">
        <f t="shared" si="12"/>
        <v>838.18181818181813</v>
      </c>
      <c r="AA70" s="1220" t="s">
        <v>1351</v>
      </c>
      <c r="AB70" s="1220" t="s">
        <v>1393</v>
      </c>
      <c r="AC70" s="251" t="str">
        <f t="shared" si="9"/>
        <v>500gsm GB DEA HAN</v>
      </c>
      <c r="AD70" s="2746">
        <f>IF(L70&gt;0,IF(input!$B$2=$O$1,(((M70)+(M70)*$M$10)*$P$11)/1000,(((M70)+(M70)*O70+(M70)*$M$10)*$P$11)/1000),0)</f>
        <v>0</v>
      </c>
      <c r="AE70" s="2746">
        <f>IF(L70&gt;0,IF(input!$B$2=$O$1,(((N70)+(N70)*$M$10)*$P$11)/1000,(((N70)+(N70)*O70+(N70)*$M$10)*$P$11)/1000),0)</f>
        <v>0</v>
      </c>
      <c r="AF70" s="136" t="str">
        <f t="shared" si="13"/>
        <v>FSC</v>
      </c>
      <c r="AG70" s="2628">
        <f t="shared" si="14"/>
        <v>1.6E-2</v>
      </c>
      <c r="AH70" s="1266">
        <v>0.1</v>
      </c>
    </row>
    <row r="71" spans="1:34" ht="12.75">
      <c r="A71" s="2199">
        <f t="shared" si="3"/>
        <v>59</v>
      </c>
      <c r="B71" s="2200" t="s">
        <v>893</v>
      </c>
      <c r="C71" s="2743">
        <v>0</v>
      </c>
      <c r="D71" s="2743">
        <v>0</v>
      </c>
      <c r="E71" s="2949">
        <v>0</v>
      </c>
      <c r="F71" s="2200">
        <v>0</v>
      </c>
      <c r="G71" s="2200" t="s">
        <v>2038</v>
      </c>
      <c r="H71" s="2200" t="s">
        <v>1057</v>
      </c>
      <c r="I71" s="2742">
        <v>0</v>
      </c>
      <c r="J71" s="2742"/>
      <c r="K71" s="2752">
        <v>60</v>
      </c>
      <c r="L71" s="2745">
        <f t="shared" si="0"/>
        <v>0</v>
      </c>
      <c r="M71" s="2745">
        <f t="shared" si="4"/>
        <v>0</v>
      </c>
      <c r="N71" s="2745">
        <f t="shared" si="5"/>
        <v>0</v>
      </c>
      <c r="O71" s="1232">
        <f t="shared" si="6"/>
        <v>0</v>
      </c>
      <c r="P71" s="1227" t="str">
        <f t="shared" si="7"/>
        <v>550gsm GB DEA HAN</v>
      </c>
      <c r="Q71" s="254">
        <v>0.71</v>
      </c>
      <c r="R71" s="1228" t="str">
        <f t="shared" si="10"/>
        <v>550</v>
      </c>
      <c r="S71" s="2625">
        <f t="shared" si="1"/>
        <v>0</v>
      </c>
      <c r="T71" s="2747">
        <f>IF(L71&gt;0,IF(input!$B$2=$O$1,(((L71+Y71/22)+(L71+Y71/22)*$AG71+$X71)*$P$11+$M$7)/1000,(((L71+Y71/22)+(L71+Y71/22)*O71+(L71+Y71/22)*$AG71+$X71)*$P$11+$M$7)/1000),0)</f>
        <v>0</v>
      </c>
      <c r="U71" s="2747">
        <f t="shared" si="8"/>
        <v>0</v>
      </c>
      <c r="V71" s="1229"/>
      <c r="W71" s="1231" t="str">
        <f t="shared" si="2"/>
        <v>CIF</v>
      </c>
      <c r="X71" s="1230">
        <f t="shared" si="15"/>
        <v>0</v>
      </c>
      <c r="Y71" s="2625">
        <f t="shared" si="11"/>
        <v>0</v>
      </c>
      <c r="Z71" s="3208">
        <f t="shared" si="12"/>
        <v>838.18181818181813</v>
      </c>
      <c r="AA71" s="1220" t="s">
        <v>1351</v>
      </c>
      <c r="AB71" s="1220" t="s">
        <v>1393</v>
      </c>
      <c r="AC71" s="251" t="str">
        <f t="shared" si="9"/>
        <v>550gsm GB DEA HAN</v>
      </c>
      <c r="AD71" s="2746">
        <f>IF(L71&gt;0,IF(input!$B$2=$O$1,(((M71)+(M71)*$M$10)*$P$11)/1000,(((M71)+(M71)*O71+(M71)*$M$10)*$P$11)/1000),0)</f>
        <v>0</v>
      </c>
      <c r="AE71" s="2746">
        <f>IF(L71&gt;0,IF(input!$B$2=$O$1,(((N71)+(N71)*$M$10)*$P$11)/1000,(((N71)+(N71)*O71+(N71)*$M$10)*$P$11)/1000),0)</f>
        <v>0</v>
      </c>
      <c r="AF71" s="136" t="str">
        <f t="shared" si="13"/>
        <v>FSC</v>
      </c>
      <c r="AG71" s="2628">
        <f t="shared" si="14"/>
        <v>1.6E-2</v>
      </c>
      <c r="AH71" s="1266">
        <v>0.1</v>
      </c>
    </row>
    <row r="72" spans="1:34" ht="12.75">
      <c r="A72" s="2199">
        <f t="shared" si="3"/>
        <v>60</v>
      </c>
      <c r="B72" s="3200" t="s">
        <v>3326</v>
      </c>
      <c r="C72" s="2743">
        <v>0</v>
      </c>
      <c r="D72" s="2743">
        <v>525</v>
      </c>
      <c r="E72" s="2949">
        <v>0</v>
      </c>
      <c r="F72" s="2200">
        <v>10</v>
      </c>
      <c r="G72" s="2200" t="s">
        <v>2038</v>
      </c>
      <c r="H72" s="2200" t="s">
        <v>1057</v>
      </c>
      <c r="I72" s="2742">
        <v>20</v>
      </c>
      <c r="J72" s="2742"/>
      <c r="K72" s="2752">
        <v>60</v>
      </c>
      <c r="L72" s="2745">
        <f t="shared" si="0"/>
        <v>525</v>
      </c>
      <c r="M72" s="2745">
        <f t="shared" si="4"/>
        <v>20</v>
      </c>
      <c r="N72" s="2745">
        <f t="shared" si="5"/>
        <v>10</v>
      </c>
      <c r="O72" s="1232">
        <f t="shared" si="6"/>
        <v>0</v>
      </c>
      <c r="P72" s="1227" t="str">
        <f t="shared" si="7"/>
        <v>230gsm GB HANCHANG</v>
      </c>
      <c r="Q72" s="254">
        <v>0.27500000000000002</v>
      </c>
      <c r="R72" s="1228" t="str">
        <f t="shared" si="10"/>
        <v>230</v>
      </c>
      <c r="S72" s="2625">
        <f t="shared" si="1"/>
        <v>0</v>
      </c>
      <c r="T72" s="2747">
        <f>IF(L72&gt;0,IF(input!$B$2=$O$1,(((L72+Y72/22)+(L72+Y72/22)*$AG72+$X72)*$P$11+$M$7)/1000,(((L72+Y72/22)+(L72+Y72/22)*O72+(L72+Y72/22)*$AG72+$X72)*$P$11+$M$7)/1000),0)</f>
        <v>13406.933999999999</v>
      </c>
      <c r="U72" s="2747">
        <f t="shared" si="8"/>
        <v>0</v>
      </c>
      <c r="V72" s="1229"/>
      <c r="W72" s="1231" t="str">
        <f t="shared" si="2"/>
        <v>CIF</v>
      </c>
      <c r="X72" s="1230">
        <f t="shared" si="15"/>
        <v>0</v>
      </c>
      <c r="Y72" s="2625">
        <f t="shared" si="11"/>
        <v>0</v>
      </c>
      <c r="Z72" s="3208">
        <f t="shared" si="12"/>
        <v>838.18181818181813</v>
      </c>
      <c r="AA72" s="1220" t="s">
        <v>3347</v>
      </c>
      <c r="AB72" s="1220" t="s">
        <v>1393</v>
      </c>
      <c r="AC72" s="251" t="str">
        <f t="shared" si="9"/>
        <v>230gsm GB HANCHANG</v>
      </c>
      <c r="AD72" s="2746">
        <f>IF(L72&gt;0,IF(input!$B$2=$O$1,(((M72)+(M72)*$M$10)*$P$11)/1000,(((M72)+(M72)*O72+(M72)*$M$10)*$P$11)/1000),0)</f>
        <v>484.04159999999996</v>
      </c>
      <c r="AE72" s="2746">
        <f>IF(L72&gt;0,IF(input!$B$2=$O$1,(((N72)+(N72)*$M$10)*$P$11)/1000,(((N72)+(N72)*O72+(N72)*$M$10)*$P$11)/1000),0)</f>
        <v>242.02079999999998</v>
      </c>
      <c r="AF72" s="136" t="str">
        <f t="shared" si="13"/>
        <v>FSC</v>
      </c>
      <c r="AG72" s="2628">
        <f t="shared" si="14"/>
        <v>1.6E-2</v>
      </c>
      <c r="AH72" s="1266">
        <v>0.1</v>
      </c>
    </row>
    <row r="73" spans="1:34" ht="12.75">
      <c r="A73" s="2199">
        <f t="shared" si="3"/>
        <v>61</v>
      </c>
      <c r="B73" s="3200" t="s">
        <v>3327</v>
      </c>
      <c r="C73" s="2743">
        <v>0</v>
      </c>
      <c r="D73" s="2743">
        <v>0</v>
      </c>
      <c r="E73" s="2949">
        <v>0</v>
      </c>
      <c r="F73" s="2200">
        <v>10</v>
      </c>
      <c r="G73" s="2200" t="s">
        <v>2038</v>
      </c>
      <c r="H73" s="2200" t="s">
        <v>1057</v>
      </c>
      <c r="I73" s="2742">
        <v>20</v>
      </c>
      <c r="J73" s="2742"/>
      <c r="K73" s="2752">
        <v>60</v>
      </c>
      <c r="L73" s="2745">
        <f t="shared" si="0"/>
        <v>0</v>
      </c>
      <c r="M73" s="2745">
        <f t="shared" si="4"/>
        <v>20</v>
      </c>
      <c r="N73" s="2745">
        <f t="shared" si="5"/>
        <v>10</v>
      </c>
      <c r="O73" s="1232">
        <f t="shared" si="6"/>
        <v>0</v>
      </c>
      <c r="P73" s="1227" t="str">
        <f t="shared" si="7"/>
        <v>240gsm GB HANCHANG</v>
      </c>
      <c r="Q73" s="254">
        <v>0.28499999999999998</v>
      </c>
      <c r="R73" s="1228" t="str">
        <f t="shared" si="10"/>
        <v>240</v>
      </c>
      <c r="S73" s="2625">
        <f t="shared" si="1"/>
        <v>0</v>
      </c>
      <c r="T73" s="2747">
        <f>IF(L73&gt;0,IF(input!$B$2=$O$1,(((L73+Y73/22)+(L73+Y73/22)*$AG73+$X73)*$P$11+$M$7)/1000,(((L73+Y73/22)+(L73+Y73/22)*O73+(L73+Y73/22)*$AG73+$X73)*$P$11+$M$7)/1000),0)</f>
        <v>0</v>
      </c>
      <c r="U73" s="2747">
        <f t="shared" si="8"/>
        <v>0</v>
      </c>
      <c r="V73" s="1229"/>
      <c r="W73" s="1231" t="str">
        <f t="shared" si="2"/>
        <v>CIF</v>
      </c>
      <c r="X73" s="1230">
        <f t="shared" si="15"/>
        <v>0</v>
      </c>
      <c r="Y73" s="2625">
        <f t="shared" si="11"/>
        <v>0</v>
      </c>
      <c r="Z73" s="3208">
        <f t="shared" si="12"/>
        <v>838.18181818181813</v>
      </c>
      <c r="AA73" s="1220" t="s">
        <v>3347</v>
      </c>
      <c r="AB73" s="1220" t="s">
        <v>1393</v>
      </c>
      <c r="AC73" s="251" t="str">
        <f t="shared" si="9"/>
        <v>240gsm GB HANCHANG</v>
      </c>
      <c r="AD73" s="2746">
        <f>IF(L73&gt;0,IF(input!$B$2=$O$1,(((M73)+(M73)*$M$10)*$P$11)/1000,(((M73)+(M73)*O73+(M73)*$M$10)*$P$11)/1000),0)</f>
        <v>0</v>
      </c>
      <c r="AE73" s="2746">
        <f>IF(L73&gt;0,IF(input!$B$2=$O$1,(((N73)+(N73)*$M$10)*$P$11)/1000,(((N73)+(N73)*O73+(N73)*$M$10)*$P$11)/1000),0)</f>
        <v>0</v>
      </c>
      <c r="AF73" s="136" t="str">
        <f t="shared" si="13"/>
        <v>FSC</v>
      </c>
      <c r="AG73" s="2628">
        <f t="shared" si="14"/>
        <v>1.6E-2</v>
      </c>
      <c r="AH73" s="1266">
        <v>0.1</v>
      </c>
    </row>
    <row r="74" spans="1:34" ht="12.75" collapsed="1">
      <c r="A74" s="2199">
        <f t="shared" si="3"/>
        <v>62</v>
      </c>
      <c r="B74" s="3200" t="s">
        <v>3328</v>
      </c>
      <c r="C74" s="2743">
        <v>0</v>
      </c>
      <c r="D74" s="2743">
        <v>505</v>
      </c>
      <c r="E74" s="2949">
        <v>0</v>
      </c>
      <c r="F74" s="2200">
        <v>10</v>
      </c>
      <c r="G74" s="2200" t="s">
        <v>2038</v>
      </c>
      <c r="H74" s="2200" t="s">
        <v>1057</v>
      </c>
      <c r="I74" s="2742">
        <v>20</v>
      </c>
      <c r="J74" s="2742"/>
      <c r="K74" s="2752">
        <v>60</v>
      </c>
      <c r="L74" s="2745">
        <f t="shared" si="0"/>
        <v>505</v>
      </c>
      <c r="M74" s="2745">
        <f t="shared" si="4"/>
        <v>20</v>
      </c>
      <c r="N74" s="2745">
        <f t="shared" si="5"/>
        <v>10</v>
      </c>
      <c r="O74" s="1232">
        <f t="shared" si="6"/>
        <v>0</v>
      </c>
      <c r="P74" s="1227" t="str">
        <f t="shared" si="7"/>
        <v>250gsm GB HANCHANG</v>
      </c>
      <c r="Q74" s="254">
        <v>0.30499999999999999</v>
      </c>
      <c r="R74" s="1228" t="str">
        <f t="shared" si="10"/>
        <v>250</v>
      </c>
      <c r="S74" s="2625">
        <f t="shared" si="1"/>
        <v>0</v>
      </c>
      <c r="T74" s="2747">
        <f>IF(L74&gt;0,IF(input!$B$2=$O$1,(((L74+Y74/22)+(L74+Y74/22)*$AG74+$X74)*$P$11+$M$7)/1000,(((L74+Y74/22)+(L74+Y74/22)*O74+(L74+Y74/22)*$AG74+$X74)*$P$11+$M$7)/1000),0)</f>
        <v>12919.050800000001</v>
      </c>
      <c r="U74" s="2747">
        <f t="shared" si="8"/>
        <v>0</v>
      </c>
      <c r="V74" s="1229"/>
      <c r="W74" s="1231" t="str">
        <f t="shared" si="2"/>
        <v>CIF</v>
      </c>
      <c r="X74" s="1230">
        <f t="shared" si="15"/>
        <v>0</v>
      </c>
      <c r="Y74" s="2625">
        <f t="shared" si="11"/>
        <v>0</v>
      </c>
      <c r="Z74" s="3208">
        <f t="shared" si="12"/>
        <v>838.18181818181813</v>
      </c>
      <c r="AA74" s="1220" t="s">
        <v>3347</v>
      </c>
      <c r="AB74" s="1220" t="s">
        <v>1393</v>
      </c>
      <c r="AC74" s="251" t="str">
        <f t="shared" si="9"/>
        <v>250gsm GB HANCHANG</v>
      </c>
      <c r="AD74" s="2746">
        <f>IF(L74&gt;0,IF(input!$B$2=$O$1,(((M74)+(M74)*$M$10)*$P$11)/1000,(((M74)+(M74)*O74+(M74)*$M$10)*$P$11)/1000),0)</f>
        <v>484.04159999999996</v>
      </c>
      <c r="AE74" s="2746">
        <f>IF(L74&gt;0,IF(input!$B$2=$O$1,(((N74)+(N74)*$M$10)*$P$11)/1000,(((N74)+(N74)*O74+(N74)*$M$10)*$P$11)/1000),0)</f>
        <v>242.02079999999998</v>
      </c>
      <c r="AF74" s="136" t="str">
        <f t="shared" si="13"/>
        <v>FSC</v>
      </c>
      <c r="AG74" s="2628">
        <f t="shared" si="14"/>
        <v>1.6E-2</v>
      </c>
      <c r="AH74" s="1266">
        <v>0.1</v>
      </c>
    </row>
    <row r="75" spans="1:34" ht="12.75">
      <c r="A75" s="2199">
        <f t="shared" si="3"/>
        <v>63</v>
      </c>
      <c r="B75" s="3200" t="s">
        <v>3329</v>
      </c>
      <c r="C75" s="2743">
        <v>0</v>
      </c>
      <c r="D75" s="2743">
        <v>0</v>
      </c>
      <c r="E75" s="2949">
        <v>0</v>
      </c>
      <c r="F75" s="2200">
        <v>10</v>
      </c>
      <c r="G75" s="2200" t="s">
        <v>2038</v>
      </c>
      <c r="H75" s="2200" t="s">
        <v>1057</v>
      </c>
      <c r="I75" s="2742">
        <v>20</v>
      </c>
      <c r="J75" s="2742"/>
      <c r="K75" s="2752">
        <v>60</v>
      </c>
      <c r="L75" s="2745">
        <f t="shared" si="0"/>
        <v>0</v>
      </c>
      <c r="M75" s="2745">
        <f t="shared" si="4"/>
        <v>20</v>
      </c>
      <c r="N75" s="2745">
        <f t="shared" si="5"/>
        <v>10</v>
      </c>
      <c r="O75" s="1232">
        <f t="shared" si="6"/>
        <v>0</v>
      </c>
      <c r="P75" s="1227" t="str">
        <f t="shared" si="7"/>
        <v>260gsm GB HANCHANG</v>
      </c>
      <c r="Q75" s="254">
        <v>0.315</v>
      </c>
      <c r="R75" s="1228" t="str">
        <f t="shared" si="10"/>
        <v>260</v>
      </c>
      <c r="S75" s="2625">
        <f t="shared" si="1"/>
        <v>0</v>
      </c>
      <c r="T75" s="2747">
        <f>IF(L75&gt;0,IF(input!$B$2=$O$1,(((L75+Y75/22)+(L75+Y75/22)*$AG75+$X75)*$P$11+$M$7)/1000,(((L75+Y75/22)+(L75+Y75/22)*O75+(L75+Y75/22)*$AG75+$X75)*$P$11+$M$7)/1000),0)</f>
        <v>0</v>
      </c>
      <c r="U75" s="2747">
        <f t="shared" si="8"/>
        <v>0</v>
      </c>
      <c r="V75" s="1229"/>
      <c r="W75" s="1231" t="str">
        <f t="shared" si="2"/>
        <v>CIF</v>
      </c>
      <c r="X75" s="1230">
        <f t="shared" si="15"/>
        <v>0</v>
      </c>
      <c r="Y75" s="2625">
        <f t="shared" si="11"/>
        <v>0</v>
      </c>
      <c r="Z75" s="3208">
        <f t="shared" si="12"/>
        <v>838.18181818181813</v>
      </c>
      <c r="AA75" s="1220" t="s">
        <v>3347</v>
      </c>
      <c r="AB75" s="1220" t="s">
        <v>1393</v>
      </c>
      <c r="AC75" s="251" t="str">
        <f t="shared" si="9"/>
        <v>260gsm GB HANCHANG</v>
      </c>
      <c r="AD75" s="2746">
        <f>IF(L75&gt;0,IF(input!$B$2=$O$1,(((M75)+(M75)*$M$10)*$P$11)/1000,(((M75)+(M75)*O75+(M75)*$M$10)*$P$11)/1000),0)</f>
        <v>0</v>
      </c>
      <c r="AE75" s="2746">
        <f>IF(L75&gt;0,IF(input!$B$2=$O$1,(((N75)+(N75)*$M$10)*$P$11)/1000,(((N75)+(N75)*O75+(N75)*$M$10)*$P$11)/1000),0)</f>
        <v>0</v>
      </c>
      <c r="AF75" s="136" t="str">
        <f t="shared" si="13"/>
        <v>FSC</v>
      </c>
      <c r="AG75" s="2628">
        <f t="shared" si="14"/>
        <v>1.6E-2</v>
      </c>
      <c r="AH75" s="1266">
        <v>0.1</v>
      </c>
    </row>
    <row r="76" spans="1:34" ht="12.75">
      <c r="A76" s="2199">
        <f t="shared" si="3"/>
        <v>64</v>
      </c>
      <c r="B76" s="3200" t="s">
        <v>3330</v>
      </c>
      <c r="C76" s="2743">
        <v>0</v>
      </c>
      <c r="D76" s="2743">
        <v>490</v>
      </c>
      <c r="E76" s="2949">
        <v>0</v>
      </c>
      <c r="F76" s="2200">
        <v>10</v>
      </c>
      <c r="G76" s="2200" t="s">
        <v>2038</v>
      </c>
      <c r="H76" s="2200" t="s">
        <v>1057</v>
      </c>
      <c r="I76" s="2742">
        <v>20</v>
      </c>
      <c r="J76" s="2742"/>
      <c r="K76" s="2752">
        <v>60</v>
      </c>
      <c r="L76" s="2745">
        <f t="shared" si="0"/>
        <v>490</v>
      </c>
      <c r="M76" s="2745">
        <f t="shared" si="4"/>
        <v>20</v>
      </c>
      <c r="N76" s="2745">
        <f t="shared" si="5"/>
        <v>10</v>
      </c>
      <c r="O76" s="1232">
        <f t="shared" si="6"/>
        <v>0</v>
      </c>
      <c r="P76" s="1227" t="str">
        <f t="shared" si="7"/>
        <v>280gsm GB HANCHANG</v>
      </c>
      <c r="Q76" s="254">
        <v>0.35499999999999998</v>
      </c>
      <c r="R76" s="1228" t="str">
        <f t="shared" si="10"/>
        <v>280</v>
      </c>
      <c r="S76" s="2625">
        <f t="shared" si="1"/>
        <v>0</v>
      </c>
      <c r="T76" s="2747">
        <f>IF(L76&gt;0,IF(input!$B$2=$O$1,(((L76+Y76/22)+(L76+Y76/22)*$AG76+$X76)*$P$11+$M$7)/1000,(((L76+Y76/22)+(L76+Y76/22)*O76+(L76+Y76/22)*$AG76+$X76)*$P$11+$M$7)/1000),0)</f>
        <v>12553.138399999998</v>
      </c>
      <c r="U76" s="2747">
        <f t="shared" si="8"/>
        <v>0</v>
      </c>
      <c r="V76" s="1229"/>
      <c r="W76" s="1231" t="str">
        <f t="shared" si="2"/>
        <v>CIF</v>
      </c>
      <c r="X76" s="1230">
        <f t="shared" si="15"/>
        <v>0</v>
      </c>
      <c r="Y76" s="2625">
        <f t="shared" si="11"/>
        <v>0</v>
      </c>
      <c r="Z76" s="3208">
        <f t="shared" si="12"/>
        <v>838.18181818181813</v>
      </c>
      <c r="AA76" s="1220" t="s">
        <v>3347</v>
      </c>
      <c r="AB76" s="1220" t="s">
        <v>1393</v>
      </c>
      <c r="AC76" s="251" t="str">
        <f t="shared" si="9"/>
        <v>280gsm GB HANCHANG</v>
      </c>
      <c r="AD76" s="2746">
        <f>IF(L76&gt;0,IF(input!$B$2=$O$1,(((M76)+(M76)*$M$10)*$P$11)/1000,(((M76)+(M76)*O76+(M76)*$M$10)*$P$11)/1000),0)</f>
        <v>484.04159999999996</v>
      </c>
      <c r="AE76" s="2746">
        <f>IF(L76&gt;0,IF(input!$B$2=$O$1,(((N76)+(N76)*$M$10)*$P$11)/1000,(((N76)+(N76)*O76+(N76)*$M$10)*$P$11)/1000),0)</f>
        <v>242.02079999999998</v>
      </c>
      <c r="AF76" s="136" t="str">
        <f t="shared" si="13"/>
        <v>FSC</v>
      </c>
      <c r="AG76" s="2628">
        <f t="shared" si="14"/>
        <v>1.6E-2</v>
      </c>
      <c r="AH76" s="1266">
        <v>0.1</v>
      </c>
    </row>
    <row r="77" spans="1:34" ht="12.75">
      <c r="A77" s="2199">
        <f t="shared" si="3"/>
        <v>65</v>
      </c>
      <c r="B77" s="3200" t="s">
        <v>3331</v>
      </c>
      <c r="C77" s="2743">
        <v>0</v>
      </c>
      <c r="D77" s="2743">
        <v>475</v>
      </c>
      <c r="E77" s="2949">
        <v>0</v>
      </c>
      <c r="F77" s="2200">
        <v>10</v>
      </c>
      <c r="G77" s="2200" t="s">
        <v>2038</v>
      </c>
      <c r="H77" s="2200" t="s">
        <v>1057</v>
      </c>
      <c r="I77" s="2742">
        <v>20</v>
      </c>
      <c r="J77" s="2742"/>
      <c r="K77" s="2752">
        <v>60</v>
      </c>
      <c r="L77" s="2745">
        <f t="shared" ref="L77:L141" si="16">$D77</f>
        <v>475</v>
      </c>
      <c r="M77" s="2745">
        <f t="shared" si="4"/>
        <v>20</v>
      </c>
      <c r="N77" s="2745">
        <f t="shared" si="5"/>
        <v>10</v>
      </c>
      <c r="O77" s="1232">
        <f t="shared" si="6"/>
        <v>0</v>
      </c>
      <c r="P77" s="1227" t="str">
        <f t="shared" si="7"/>
        <v>300gsm GB HANCHANG</v>
      </c>
      <c r="Q77" s="254">
        <v>0.38500000000000001</v>
      </c>
      <c r="R77" s="1228" t="str">
        <f t="shared" si="10"/>
        <v>300</v>
      </c>
      <c r="S77" s="2625">
        <f t="shared" ref="S77:S141" si="17">C77</f>
        <v>0</v>
      </c>
      <c r="T77" s="2747">
        <f>IF(L77&gt;0,IF(input!$B$2=$O$1,(((L77+Y77/22)+(L77+Y77/22)*$AG77+$X77)*$P$11+$M$7)/1000,(((L77+Y77/22)+(L77+Y77/22)*O77+(L77+Y77/22)*$AG77+$X77)*$P$11+$M$7)/1000),0)</f>
        <v>12187.226000000001</v>
      </c>
      <c r="U77" s="2747">
        <f t="shared" si="8"/>
        <v>0</v>
      </c>
      <c r="V77" s="1229"/>
      <c r="W77" s="1231" t="str">
        <f t="shared" ref="W77:W141" si="18">H77</f>
        <v>CIF</v>
      </c>
      <c r="X77" s="1230">
        <f t="shared" si="15"/>
        <v>0</v>
      </c>
      <c r="Y77" s="2625">
        <f t="shared" si="11"/>
        <v>0</v>
      </c>
      <c r="Z77" s="3208">
        <f t="shared" si="12"/>
        <v>838.18181818181813</v>
      </c>
      <c r="AA77" s="1220" t="s">
        <v>3347</v>
      </c>
      <c r="AB77" s="1220" t="s">
        <v>1393</v>
      </c>
      <c r="AC77" s="251" t="str">
        <f t="shared" si="9"/>
        <v>300gsm GB HANCHANG</v>
      </c>
      <c r="AD77" s="2746">
        <f>IF(L77&gt;0,IF(input!$B$2=$O$1,(((M77)+(M77)*$M$10)*$P$11)/1000,(((M77)+(M77)*O77+(M77)*$M$10)*$P$11)/1000),0)</f>
        <v>484.04159999999996</v>
      </c>
      <c r="AE77" s="2746">
        <f>IF(L77&gt;0,IF(input!$B$2=$O$1,(((N77)+(N77)*$M$10)*$P$11)/1000,(((N77)+(N77)*O77+(N77)*$M$10)*$P$11)/1000),0)</f>
        <v>242.02079999999998</v>
      </c>
      <c r="AF77" s="136" t="str">
        <f t="shared" si="13"/>
        <v>FSC</v>
      </c>
      <c r="AG77" s="2628">
        <f t="shared" si="14"/>
        <v>1.6E-2</v>
      </c>
      <c r="AH77" s="1266">
        <v>0.1</v>
      </c>
    </row>
    <row r="78" spans="1:34" ht="12.75">
      <c r="A78" s="2199">
        <f t="shared" ref="A78:A141" si="19">ROW(A66)</f>
        <v>66</v>
      </c>
      <c r="B78" s="3200" t="s">
        <v>3332</v>
      </c>
      <c r="C78" s="2743">
        <v>0</v>
      </c>
      <c r="D78" s="2743">
        <v>0</v>
      </c>
      <c r="E78" s="2949">
        <v>0</v>
      </c>
      <c r="F78" s="2200">
        <v>10</v>
      </c>
      <c r="G78" s="2200" t="s">
        <v>2038</v>
      </c>
      <c r="H78" s="2200" t="s">
        <v>1057</v>
      </c>
      <c r="I78" s="2742">
        <v>20</v>
      </c>
      <c r="J78" s="2742"/>
      <c r="K78" s="2752">
        <v>60</v>
      </c>
      <c r="L78" s="2745">
        <f t="shared" si="16"/>
        <v>0</v>
      </c>
      <c r="M78" s="2745">
        <f t="shared" ref="M78:M142" si="20">I78</f>
        <v>20</v>
      </c>
      <c r="N78" s="2745">
        <f t="shared" ref="N78:N142" si="21">$F78</f>
        <v>10</v>
      </c>
      <c r="O78" s="1232">
        <f t="shared" ref="O78:O142" si="22">$E78</f>
        <v>0</v>
      </c>
      <c r="P78" s="1227" t="str">
        <f t="shared" ref="P78:P142" si="23">R78&amp;"gsm "&amp;AB78&amp;" "&amp;AA78</f>
        <v>330gsm GB HANCHANG</v>
      </c>
      <c r="Q78" s="254">
        <v>0.42499999999999999</v>
      </c>
      <c r="R78" s="1228" t="str">
        <f t="shared" si="10"/>
        <v>330</v>
      </c>
      <c r="S78" s="2625">
        <f t="shared" si="17"/>
        <v>0</v>
      </c>
      <c r="T78" s="2747">
        <f>IF(L78&gt;0,IF(input!$B$2=$O$1,(((L78+Y78/22)+(L78+Y78/22)*$AG78+$X78)*$P$11+$M$7)/1000,(((L78+Y78/22)+(L78+Y78/22)*O78+(L78+Y78/22)*$AG78+$X78)*$P$11+$M$7)/1000),0)</f>
        <v>0</v>
      </c>
      <c r="U78" s="2747">
        <f t="shared" ref="U78:U141" si="24">IF(S78&gt;0,(S78/1.08)+Z78,0)</f>
        <v>0</v>
      </c>
      <c r="V78" s="1229"/>
      <c r="W78" s="1231" t="str">
        <f t="shared" si="18"/>
        <v>CIF</v>
      </c>
      <c r="X78" s="1230">
        <f t="shared" si="15"/>
        <v>0</v>
      </c>
      <c r="Y78" s="2625">
        <f t="shared" si="11"/>
        <v>0</v>
      </c>
      <c r="Z78" s="3208">
        <f t="shared" si="12"/>
        <v>838.18181818181813</v>
      </c>
      <c r="AA78" s="1220" t="s">
        <v>3347</v>
      </c>
      <c r="AB78" s="1220" t="s">
        <v>1393</v>
      </c>
      <c r="AC78" s="251" t="str">
        <f t="shared" ref="AC78:AC142" si="25">B78</f>
        <v>330gsm GB HANCHANG</v>
      </c>
      <c r="AD78" s="2746">
        <f>IF(L78&gt;0,IF(input!$B$2=$O$1,(((M78)+(M78)*$M$10)*$P$11)/1000,(((M78)+(M78)*O78+(M78)*$M$10)*$P$11)/1000),0)</f>
        <v>0</v>
      </c>
      <c r="AE78" s="2746">
        <f>IF(L78&gt;0,IF(input!$B$2=$O$1,(((N78)+(N78)*$M$10)*$P$11)/1000,(((N78)+(N78)*O78+(N78)*$M$10)*$P$11)/1000),0)</f>
        <v>0</v>
      </c>
      <c r="AF78" s="136" t="str">
        <f t="shared" si="13"/>
        <v>FSC</v>
      </c>
      <c r="AG78" s="2628">
        <f t="shared" si="14"/>
        <v>1.6E-2</v>
      </c>
      <c r="AH78" s="1266">
        <v>0.1</v>
      </c>
    </row>
    <row r="79" spans="1:34" ht="12.75">
      <c r="A79" s="2199">
        <f t="shared" si="19"/>
        <v>67</v>
      </c>
      <c r="B79" s="3200" t="s">
        <v>3333</v>
      </c>
      <c r="C79" s="2743">
        <v>0</v>
      </c>
      <c r="D79" s="2743">
        <v>460</v>
      </c>
      <c r="E79" s="2949">
        <v>0</v>
      </c>
      <c r="F79" s="2200">
        <v>10</v>
      </c>
      <c r="G79" s="2200" t="s">
        <v>2038</v>
      </c>
      <c r="H79" s="2200" t="s">
        <v>1057</v>
      </c>
      <c r="I79" s="2742">
        <v>20</v>
      </c>
      <c r="J79" s="2742"/>
      <c r="K79" s="2752">
        <v>60</v>
      </c>
      <c r="L79" s="2745">
        <f t="shared" si="16"/>
        <v>460</v>
      </c>
      <c r="M79" s="2745">
        <f t="shared" si="20"/>
        <v>20</v>
      </c>
      <c r="N79" s="2745">
        <f t="shared" si="21"/>
        <v>10</v>
      </c>
      <c r="O79" s="1232">
        <f t="shared" si="22"/>
        <v>0</v>
      </c>
      <c r="P79" s="1227" t="str">
        <f t="shared" si="23"/>
        <v>350gsm GB HANCHANG</v>
      </c>
      <c r="Q79" s="254">
        <v>0.45500000000000002</v>
      </c>
      <c r="R79" s="1228" t="str">
        <f t="shared" ref="R79:R142" si="26">LEFT(AC79,3)</f>
        <v>350</v>
      </c>
      <c r="S79" s="2625">
        <f t="shared" si="17"/>
        <v>0</v>
      </c>
      <c r="T79" s="2747">
        <f>IF(L79&gt;0,IF(input!$B$2=$O$1,(((L79+Y79/22)+(L79+Y79/22)*$AG79+$X79)*$P$11+$M$7)/1000,(((L79+Y79/22)+(L79+Y79/22)*O79+(L79+Y79/22)*$AG79+$X79)*$P$11+$M$7)/1000),0)</f>
        <v>11821.313599999999</v>
      </c>
      <c r="U79" s="2747">
        <f t="shared" si="24"/>
        <v>0</v>
      </c>
      <c r="V79" s="1229"/>
      <c r="W79" s="1231" t="str">
        <f t="shared" si="18"/>
        <v>CIF</v>
      </c>
      <c r="X79" s="1230">
        <f t="shared" si="15"/>
        <v>0</v>
      </c>
      <c r="Y79" s="2625">
        <f t="shared" ref="Y79:Y143" si="27">J79</f>
        <v>0</v>
      </c>
      <c r="Z79" s="3208">
        <f t="shared" ref="Z79:Z142" si="28">922000/1.1/1000</f>
        <v>838.18181818181813</v>
      </c>
      <c r="AA79" s="1220" t="s">
        <v>3347</v>
      </c>
      <c r="AB79" s="1220" t="s">
        <v>1393</v>
      </c>
      <c r="AC79" s="251" t="str">
        <f t="shared" si="25"/>
        <v>350gsm GB HANCHANG</v>
      </c>
      <c r="AD79" s="2746">
        <f>IF(L79&gt;0,IF(input!$B$2=$O$1,(((M79)+(M79)*$M$10)*$P$11)/1000,(((M79)+(M79)*O79+(M79)*$M$10)*$P$11)/1000),0)</f>
        <v>484.04159999999996</v>
      </c>
      <c r="AE79" s="2746">
        <f>IF(L79&gt;0,IF(input!$B$2=$O$1,(((N79)+(N79)*$M$10)*$P$11)/1000,(((N79)+(N79)*O79+(N79)*$M$10)*$P$11)/1000),0)</f>
        <v>242.02079999999998</v>
      </c>
      <c r="AF79" s="136" t="str">
        <f t="shared" ref="AF79:AF143" si="29">G79</f>
        <v>FSC</v>
      </c>
      <c r="AG79" s="2628">
        <f t="shared" ref="AG79:AG143" si="30">K79*$M$10/30</f>
        <v>1.6E-2</v>
      </c>
      <c r="AH79" s="1266">
        <v>0.1</v>
      </c>
    </row>
    <row r="80" spans="1:34" ht="12.75">
      <c r="A80" s="2199">
        <f t="shared" si="19"/>
        <v>68</v>
      </c>
      <c r="B80" s="3200" t="s">
        <v>3334</v>
      </c>
      <c r="C80" s="2743">
        <v>0</v>
      </c>
      <c r="D80" s="2743">
        <v>460</v>
      </c>
      <c r="E80" s="2949">
        <v>0</v>
      </c>
      <c r="F80" s="2200">
        <v>10</v>
      </c>
      <c r="G80" s="2200" t="s">
        <v>2038</v>
      </c>
      <c r="H80" s="2200" t="s">
        <v>1057</v>
      </c>
      <c r="I80" s="2742">
        <v>20</v>
      </c>
      <c r="J80" s="2742"/>
      <c r="K80" s="2752">
        <v>60</v>
      </c>
      <c r="L80" s="2745">
        <f t="shared" si="16"/>
        <v>460</v>
      </c>
      <c r="M80" s="2745">
        <f t="shared" si="20"/>
        <v>20</v>
      </c>
      <c r="N80" s="2745">
        <f t="shared" si="21"/>
        <v>10</v>
      </c>
      <c r="O80" s="1232">
        <f t="shared" si="22"/>
        <v>0</v>
      </c>
      <c r="P80" s="1227" t="str">
        <f t="shared" si="23"/>
        <v>400gsm GB HANCHANG</v>
      </c>
      <c r="Q80" s="254">
        <v>0.52</v>
      </c>
      <c r="R80" s="1228" t="str">
        <f t="shared" si="26"/>
        <v>400</v>
      </c>
      <c r="S80" s="2625">
        <f t="shared" si="17"/>
        <v>0</v>
      </c>
      <c r="T80" s="2747">
        <f>IF(L80&gt;0,IF(input!$B$2=$O$1,(((L80+Y80/22)+(L80+Y80/22)*$AG80+$X80)*$P$11+$M$7)/1000,(((L80+Y80/22)+(L80+Y80/22)*O80+(L80+Y80/22)*$AG80+$X80)*$P$11+$M$7)/1000),0)</f>
        <v>11821.313599999999</v>
      </c>
      <c r="U80" s="2747">
        <f t="shared" si="24"/>
        <v>0</v>
      </c>
      <c r="V80" s="1229"/>
      <c r="W80" s="1231" t="str">
        <f t="shared" si="18"/>
        <v>CIF</v>
      </c>
      <c r="X80" s="1230">
        <f t="shared" ref="X80:X144" si="31">IF(L80&gt;0,IF(OR(W80="CFR",W80="CRF",W80="CNF",W80="CPT"),1.1*$M$8*(L80+N80),IF(W80="FOB",1.1*$M$8*(L80+N80+Y80/22),0)),0)</f>
        <v>0</v>
      </c>
      <c r="Y80" s="2625">
        <f t="shared" si="27"/>
        <v>0</v>
      </c>
      <c r="Z80" s="3208">
        <f t="shared" si="28"/>
        <v>838.18181818181813</v>
      </c>
      <c r="AA80" s="1220" t="s">
        <v>3347</v>
      </c>
      <c r="AB80" s="1220" t="s">
        <v>1393</v>
      </c>
      <c r="AC80" s="251" t="str">
        <f t="shared" si="25"/>
        <v>400gsm GB HANCHANG</v>
      </c>
      <c r="AD80" s="2746">
        <f>IF(L80&gt;0,IF(input!$B$2=$O$1,(((M80)+(M80)*$M$10)*$P$11)/1000,(((M80)+(M80)*O80+(M80)*$M$10)*$P$11)/1000),0)</f>
        <v>484.04159999999996</v>
      </c>
      <c r="AE80" s="2746">
        <f>IF(L80&gt;0,IF(input!$B$2=$O$1,(((N80)+(N80)*$M$10)*$P$11)/1000,(((N80)+(N80)*O80+(N80)*$M$10)*$P$11)/1000),0)</f>
        <v>242.02079999999998</v>
      </c>
      <c r="AF80" s="136" t="str">
        <f t="shared" si="29"/>
        <v>FSC</v>
      </c>
      <c r="AG80" s="2628">
        <f t="shared" si="30"/>
        <v>1.6E-2</v>
      </c>
      <c r="AH80" s="1266">
        <v>0.1</v>
      </c>
    </row>
    <row r="81" spans="1:34" ht="12.75">
      <c r="A81" s="2199">
        <f t="shared" si="19"/>
        <v>69</v>
      </c>
      <c r="B81" s="3200" t="s">
        <v>3335</v>
      </c>
      <c r="C81" s="2743">
        <v>0</v>
      </c>
      <c r="D81" s="2743">
        <v>460</v>
      </c>
      <c r="E81" s="2949">
        <v>0</v>
      </c>
      <c r="F81" s="2200">
        <v>10</v>
      </c>
      <c r="G81" s="2200" t="s">
        <v>2038</v>
      </c>
      <c r="H81" s="2200" t="s">
        <v>1057</v>
      </c>
      <c r="I81" s="2742">
        <v>20</v>
      </c>
      <c r="J81" s="2742"/>
      <c r="K81" s="2752">
        <v>60</v>
      </c>
      <c r="L81" s="2745">
        <f t="shared" si="16"/>
        <v>460</v>
      </c>
      <c r="M81" s="2745">
        <f t="shared" si="20"/>
        <v>20</v>
      </c>
      <c r="N81" s="2745">
        <f t="shared" si="21"/>
        <v>10</v>
      </c>
      <c r="O81" s="1232">
        <f t="shared" si="22"/>
        <v>0</v>
      </c>
      <c r="P81" s="1227" t="str">
        <f t="shared" si="23"/>
        <v>450gsm GB HANCHANG</v>
      </c>
      <c r="Q81" s="254">
        <v>0.59</v>
      </c>
      <c r="R81" s="1228" t="str">
        <f t="shared" si="26"/>
        <v>450</v>
      </c>
      <c r="S81" s="2625">
        <f t="shared" si="17"/>
        <v>0</v>
      </c>
      <c r="T81" s="2747">
        <f>IF(L81&gt;0,IF(input!$B$2=$O$1,(((L81+Y81/22)+(L81+Y81/22)*$AG81+$X81)*$P$11+$M$7)/1000,(((L81+Y81/22)+(L81+Y81/22)*O81+(L81+Y81/22)*$AG81+$X81)*$P$11+$M$7)/1000),0)</f>
        <v>11821.313599999999</v>
      </c>
      <c r="U81" s="2747">
        <f t="shared" si="24"/>
        <v>0</v>
      </c>
      <c r="V81" s="1229"/>
      <c r="W81" s="1231" t="str">
        <f t="shared" si="18"/>
        <v>CIF</v>
      </c>
      <c r="X81" s="1230">
        <f t="shared" si="31"/>
        <v>0</v>
      </c>
      <c r="Y81" s="2625">
        <f t="shared" si="27"/>
        <v>0</v>
      </c>
      <c r="Z81" s="3208">
        <f t="shared" si="28"/>
        <v>838.18181818181813</v>
      </c>
      <c r="AA81" s="1220" t="s">
        <v>3347</v>
      </c>
      <c r="AB81" s="1220" t="s">
        <v>1393</v>
      </c>
      <c r="AC81" s="251" t="str">
        <f t="shared" si="25"/>
        <v>450gsm GB HANCHANG</v>
      </c>
      <c r="AD81" s="2746">
        <f>IF(L81&gt;0,IF(input!$B$2=$O$1,(((M81)+(M81)*$M$10)*$P$11)/1000,(((M81)+(M81)*O81+(M81)*$M$10)*$P$11)/1000),0)</f>
        <v>484.04159999999996</v>
      </c>
      <c r="AE81" s="2746">
        <f>IF(L81&gt;0,IF(input!$B$2=$O$1,(((N81)+(N81)*$M$10)*$P$11)/1000,(((N81)+(N81)*O81+(N81)*$M$10)*$P$11)/1000),0)</f>
        <v>242.02079999999998</v>
      </c>
      <c r="AF81" s="136" t="str">
        <f t="shared" si="29"/>
        <v>FSC</v>
      </c>
      <c r="AG81" s="2628">
        <f t="shared" si="30"/>
        <v>1.6E-2</v>
      </c>
      <c r="AH81" s="1266">
        <v>0.1</v>
      </c>
    </row>
    <row r="82" spans="1:34" ht="12.75">
      <c r="A82" s="2199">
        <f t="shared" si="19"/>
        <v>70</v>
      </c>
      <c r="B82" s="3200" t="s">
        <v>3336</v>
      </c>
      <c r="C82" s="2743">
        <v>0</v>
      </c>
      <c r="D82" s="2743">
        <v>0</v>
      </c>
      <c r="E82" s="2949">
        <v>0</v>
      </c>
      <c r="F82" s="2200">
        <v>10</v>
      </c>
      <c r="G82" s="2200" t="s">
        <v>2038</v>
      </c>
      <c r="H82" s="2200" t="s">
        <v>1057</v>
      </c>
      <c r="I82" s="2742">
        <v>20</v>
      </c>
      <c r="J82" s="2742"/>
      <c r="K82" s="2752">
        <v>60</v>
      </c>
      <c r="L82" s="2745">
        <f t="shared" si="16"/>
        <v>0</v>
      </c>
      <c r="M82" s="2745">
        <f>I82</f>
        <v>20</v>
      </c>
      <c r="N82" s="2745">
        <f t="shared" si="21"/>
        <v>10</v>
      </c>
      <c r="O82" s="1232">
        <f t="shared" si="22"/>
        <v>0</v>
      </c>
      <c r="P82" s="1227" t="str">
        <f>R82&amp;"gsm "&amp;AB82&amp;" "&amp;AA82</f>
        <v>500gsm GB HANCHANG</v>
      </c>
      <c r="Q82" s="254">
        <v>0.66</v>
      </c>
      <c r="R82" s="1228" t="str">
        <f t="shared" si="26"/>
        <v>500</v>
      </c>
      <c r="S82" s="2625">
        <f>C82</f>
        <v>0</v>
      </c>
      <c r="T82" s="2747">
        <f>IF(L82&gt;0,IF(input!$B$2=$O$1,(((L82+Y82/22)+(L82+Y82/22)*$AG82+$X82)*$P$11+$M$7)/1000,(((L82+Y82/22)+(L82+Y82/22)*O82+(L82+Y82/22)*$AG82+$X82)*$P$11+$M$7)/1000),0)</f>
        <v>0</v>
      </c>
      <c r="U82" s="2747">
        <f t="shared" si="24"/>
        <v>0</v>
      </c>
      <c r="V82" s="1229"/>
      <c r="W82" s="1231" t="str">
        <f>H82</f>
        <v>CIF</v>
      </c>
      <c r="X82" s="1230">
        <f>IF(L82&gt;0,IF(OR(W82="CFR",W82="CRF",W82="CNF",W82="CPT"),1.1*$M$8*(L82+N82),IF(W82="FOB",1.1*$M$8*(L82+N82+Y82/22),0)),0)</f>
        <v>0</v>
      </c>
      <c r="Y82" s="2625">
        <f>J82</f>
        <v>0</v>
      </c>
      <c r="Z82" s="3208">
        <f t="shared" si="28"/>
        <v>838.18181818181813</v>
      </c>
      <c r="AA82" s="1220" t="s">
        <v>3347</v>
      </c>
      <c r="AB82" s="1220" t="s">
        <v>1393</v>
      </c>
      <c r="AC82" s="251" t="str">
        <f>B82</f>
        <v>500gsm GB HANCHANG</v>
      </c>
      <c r="AD82" s="2746">
        <f>IF(L82&gt;0,IF(input!$B$2=$O$1,(((M82)+(M82)*$M$10)*$P$11)/1000,(((M82)+(M82)*O82+(M82)*$M$10)*$P$11)/1000),0)</f>
        <v>0</v>
      </c>
      <c r="AE82" s="2746">
        <f>IF(L82&gt;0,IF(input!$B$2=$O$1,(((N82)+(N82)*$M$10)*$P$11)/1000,(((N82)+(N82)*O82+(N82)*$M$10)*$P$11)/1000),0)</f>
        <v>0</v>
      </c>
      <c r="AF82" s="136" t="str">
        <f>G82</f>
        <v>FSC</v>
      </c>
      <c r="AG82" s="2628">
        <f>K82*$M$10/30</f>
        <v>1.6E-2</v>
      </c>
      <c r="AH82" s="1266">
        <v>0.1</v>
      </c>
    </row>
    <row r="83" spans="1:34" ht="12.75">
      <c r="A83" s="2199">
        <f t="shared" si="19"/>
        <v>71</v>
      </c>
      <c r="B83" s="2200" t="s">
        <v>971</v>
      </c>
      <c r="C83" s="2743">
        <v>0</v>
      </c>
      <c r="D83" s="2743">
        <v>0</v>
      </c>
      <c r="E83" s="2949">
        <v>0</v>
      </c>
      <c r="F83" s="2200">
        <v>0</v>
      </c>
      <c r="G83" s="2200" t="s">
        <v>127</v>
      </c>
      <c r="H83" s="2200" t="s">
        <v>1057</v>
      </c>
      <c r="I83" s="2742">
        <v>0</v>
      </c>
      <c r="J83" s="2742"/>
      <c r="K83" s="2752">
        <v>45</v>
      </c>
      <c r="L83" s="2745">
        <f t="shared" si="16"/>
        <v>0</v>
      </c>
      <c r="M83" s="2745">
        <f t="shared" si="20"/>
        <v>0</v>
      </c>
      <c r="N83" s="2745">
        <f t="shared" si="21"/>
        <v>0</v>
      </c>
      <c r="O83" s="1232">
        <f t="shared" si="22"/>
        <v>0</v>
      </c>
      <c r="P83" s="1227" t="str">
        <f t="shared" si="23"/>
        <v>250gsm GB PAKERIN - INDO</v>
      </c>
      <c r="Q83" s="254">
        <v>0.315</v>
      </c>
      <c r="R83" s="1228" t="str">
        <f t="shared" si="26"/>
        <v>250</v>
      </c>
      <c r="S83" s="2625">
        <f t="shared" si="17"/>
        <v>0</v>
      </c>
      <c r="T83" s="2747">
        <f>IF(L83&gt;0,IF(input!$B$2=$O$1,(((L83+Y83/22)+(L83+Y83/22)*$AG83+$X83)*$P$11+$M$7)/1000,(((L83+Y83/22)+(L83+Y83/22)*O83+(L83+Y83/22)*$AG83+$X83)*$P$11+$M$7)/1000),0)</f>
        <v>0</v>
      </c>
      <c r="U83" s="2747">
        <f t="shared" si="24"/>
        <v>0</v>
      </c>
      <c r="V83" s="1229"/>
      <c r="W83" s="1231" t="str">
        <f t="shared" si="18"/>
        <v>CIF</v>
      </c>
      <c r="X83" s="1230">
        <f t="shared" si="31"/>
        <v>0</v>
      </c>
      <c r="Y83" s="2625">
        <f t="shared" si="27"/>
        <v>0</v>
      </c>
      <c r="Z83" s="3208">
        <f t="shared" si="28"/>
        <v>838.18181818181813</v>
      </c>
      <c r="AA83" s="1220" t="s">
        <v>1355</v>
      </c>
      <c r="AB83" s="1220" t="s">
        <v>1393</v>
      </c>
      <c r="AC83" s="251" t="str">
        <f t="shared" si="25"/>
        <v>250gsm GB PAKERIN - INDO</v>
      </c>
      <c r="AD83" s="2746">
        <f>IF(L83&gt;0,IF(input!$B$2=$O$1,(((M83)+(M83)*$M$10)*$P$11)/1000,(((M83)+(M83)*O83+(M83)*$M$10)*$P$11)/1000),0)</f>
        <v>0</v>
      </c>
      <c r="AE83" s="2746">
        <f>IF(L83&gt;0,IF(input!$B$2=$O$1,(((N83)+(N83)*$M$10)*$P$11)/1000,(((N83)+(N83)*O83+(N83)*$M$10)*$P$11)/1000),0)</f>
        <v>0</v>
      </c>
      <c r="AF83" s="136" t="str">
        <f t="shared" si="29"/>
        <v>None</v>
      </c>
      <c r="AG83" s="2628">
        <f t="shared" si="30"/>
        <v>1.2E-2</v>
      </c>
      <c r="AH83" s="1266">
        <v>0.1</v>
      </c>
    </row>
    <row r="84" spans="1:34" ht="12.75">
      <c r="A84" s="2199">
        <f t="shared" si="19"/>
        <v>72</v>
      </c>
      <c r="B84" s="2200" t="s">
        <v>972</v>
      </c>
      <c r="C84" s="2743">
        <v>0</v>
      </c>
      <c r="D84" s="2743">
        <v>0</v>
      </c>
      <c r="E84" s="2949">
        <v>0</v>
      </c>
      <c r="F84" s="2200">
        <v>0</v>
      </c>
      <c r="G84" s="2200" t="s">
        <v>127</v>
      </c>
      <c r="H84" s="2200" t="s">
        <v>1057</v>
      </c>
      <c r="I84" s="2742">
        <v>0</v>
      </c>
      <c r="J84" s="2742"/>
      <c r="K84" s="2752">
        <v>45</v>
      </c>
      <c r="L84" s="2745">
        <f t="shared" si="16"/>
        <v>0</v>
      </c>
      <c r="M84" s="2745">
        <f t="shared" si="20"/>
        <v>0</v>
      </c>
      <c r="N84" s="2745">
        <f t="shared" si="21"/>
        <v>0</v>
      </c>
      <c r="O84" s="1232">
        <f t="shared" si="22"/>
        <v>0</v>
      </c>
      <c r="P84" s="1227" t="str">
        <f t="shared" si="23"/>
        <v>270gsm GB PAKERIN - INDO</v>
      </c>
      <c r="Q84" s="254">
        <v>0.34499999999999997</v>
      </c>
      <c r="R84" s="1228" t="str">
        <f t="shared" si="26"/>
        <v>270</v>
      </c>
      <c r="S84" s="2625">
        <f t="shared" si="17"/>
        <v>0</v>
      </c>
      <c r="T84" s="2747">
        <f>IF(L84&gt;0,IF(input!$B$2=$O$1,(((L84+Y84/22)+(L84+Y84/22)*$AG84+$X84)*$P$11+$M$7)/1000,(((L84+Y84/22)+(L84+Y84/22)*O84+(L84+Y84/22)*$AG84+$X84)*$P$11+$M$7)/1000),0)</f>
        <v>0</v>
      </c>
      <c r="U84" s="2747">
        <f t="shared" si="24"/>
        <v>0</v>
      </c>
      <c r="V84" s="1229"/>
      <c r="W84" s="1231" t="str">
        <f t="shared" si="18"/>
        <v>CIF</v>
      </c>
      <c r="X84" s="1230">
        <f t="shared" si="31"/>
        <v>0</v>
      </c>
      <c r="Y84" s="2625">
        <f t="shared" si="27"/>
        <v>0</v>
      </c>
      <c r="Z84" s="3208">
        <f t="shared" si="28"/>
        <v>838.18181818181813</v>
      </c>
      <c r="AA84" s="1220" t="s">
        <v>1355</v>
      </c>
      <c r="AB84" s="1220" t="s">
        <v>1393</v>
      </c>
      <c r="AC84" s="251" t="str">
        <f t="shared" si="25"/>
        <v>270gsm GB PAKERIN - INDO</v>
      </c>
      <c r="AD84" s="2746">
        <f>IF(L84&gt;0,IF(input!$B$2=$O$1,(((M84)+(M84)*$M$10)*$P$11)/1000,(((M84)+(M84)*O84+(M84)*$M$10)*$P$11)/1000),0)</f>
        <v>0</v>
      </c>
      <c r="AE84" s="2746">
        <f>IF(L84&gt;0,IF(input!$B$2=$O$1,(((N84)+(N84)*$M$10)*$P$11)/1000,(((N84)+(N84)*O84+(N84)*$M$10)*$P$11)/1000),0)</f>
        <v>0</v>
      </c>
      <c r="AF84" s="136" t="str">
        <f t="shared" si="29"/>
        <v>None</v>
      </c>
      <c r="AG84" s="2628">
        <f t="shared" si="30"/>
        <v>1.2E-2</v>
      </c>
      <c r="AH84" s="1266">
        <v>0.1</v>
      </c>
    </row>
    <row r="85" spans="1:34" ht="12.75">
      <c r="A85" s="2199">
        <f t="shared" si="19"/>
        <v>73</v>
      </c>
      <c r="B85" s="2200" t="s">
        <v>973</v>
      </c>
      <c r="C85" s="2743">
        <v>0</v>
      </c>
      <c r="D85" s="2743">
        <v>0</v>
      </c>
      <c r="E85" s="2949">
        <v>0</v>
      </c>
      <c r="F85" s="2200">
        <v>0</v>
      </c>
      <c r="G85" s="2200" t="s">
        <v>127</v>
      </c>
      <c r="H85" s="2200" t="s">
        <v>1057</v>
      </c>
      <c r="I85" s="2742">
        <v>0</v>
      </c>
      <c r="J85" s="2742"/>
      <c r="K85" s="2752">
        <v>45</v>
      </c>
      <c r="L85" s="2745">
        <f t="shared" si="16"/>
        <v>0</v>
      </c>
      <c r="M85" s="2745">
        <f t="shared" si="20"/>
        <v>0</v>
      </c>
      <c r="N85" s="2745">
        <f t="shared" si="21"/>
        <v>0</v>
      </c>
      <c r="O85" s="1232">
        <f t="shared" si="22"/>
        <v>0</v>
      </c>
      <c r="P85" s="1227" t="str">
        <f t="shared" si="23"/>
        <v>300gsm GB PAKERIN - INDO</v>
      </c>
      <c r="Q85" s="254">
        <v>0.38500000000000001</v>
      </c>
      <c r="R85" s="1228" t="str">
        <f t="shared" si="26"/>
        <v>300</v>
      </c>
      <c r="S85" s="2625">
        <f t="shared" si="17"/>
        <v>0</v>
      </c>
      <c r="T85" s="2747">
        <f>IF(L85&gt;0,IF(input!$B$2=$O$1,(((L85+Y85/22)+(L85+Y85/22)*$AG85+$X85)*$P$11+$M$7)/1000,(((L85+Y85/22)+(L85+Y85/22)*O85+(L85+Y85/22)*$AG85+$X85)*$P$11+$M$7)/1000),0)</f>
        <v>0</v>
      </c>
      <c r="U85" s="2747">
        <f t="shared" si="24"/>
        <v>0</v>
      </c>
      <c r="V85" s="1229"/>
      <c r="W85" s="1231" t="str">
        <f t="shared" si="18"/>
        <v>CIF</v>
      </c>
      <c r="X85" s="1230">
        <f t="shared" si="31"/>
        <v>0</v>
      </c>
      <c r="Y85" s="2625">
        <f t="shared" si="27"/>
        <v>0</v>
      </c>
      <c r="Z85" s="3208">
        <f t="shared" si="28"/>
        <v>838.18181818181813</v>
      </c>
      <c r="AA85" s="1220" t="s">
        <v>1355</v>
      </c>
      <c r="AB85" s="1220" t="s">
        <v>1393</v>
      </c>
      <c r="AC85" s="251" t="str">
        <f t="shared" si="25"/>
        <v>300gsm GB PAKERIN - INDO</v>
      </c>
      <c r="AD85" s="2746">
        <f>IF(L85&gt;0,IF(input!$B$2=$O$1,(((M85)+(M85)*$M$10)*$P$11)/1000,(((M85)+(M85)*O85+(M85)*$M$10)*$P$11)/1000),0)</f>
        <v>0</v>
      </c>
      <c r="AE85" s="2746">
        <f>IF(L85&gt;0,IF(input!$B$2=$O$1,(((N85)+(N85)*$M$10)*$P$11)/1000,(((N85)+(N85)*O85+(N85)*$M$10)*$P$11)/1000),0)</f>
        <v>0</v>
      </c>
      <c r="AF85" s="136" t="str">
        <f t="shared" si="29"/>
        <v>None</v>
      </c>
      <c r="AG85" s="2628">
        <f t="shared" si="30"/>
        <v>1.2E-2</v>
      </c>
      <c r="AH85" s="1266">
        <v>0.1</v>
      </c>
    </row>
    <row r="86" spans="1:34" ht="12.75">
      <c r="A86" s="2199">
        <f t="shared" si="19"/>
        <v>74</v>
      </c>
      <c r="B86" s="2200" t="s">
        <v>974</v>
      </c>
      <c r="C86" s="2743">
        <v>0</v>
      </c>
      <c r="D86" s="2743">
        <v>0</v>
      </c>
      <c r="E86" s="2949">
        <v>0</v>
      </c>
      <c r="F86" s="2200">
        <v>0</v>
      </c>
      <c r="G86" s="2200" t="s">
        <v>127</v>
      </c>
      <c r="H86" s="2200" t="s">
        <v>1057</v>
      </c>
      <c r="I86" s="2742">
        <v>0</v>
      </c>
      <c r="J86" s="2742"/>
      <c r="K86" s="2752">
        <v>45</v>
      </c>
      <c r="L86" s="2745">
        <f t="shared" si="16"/>
        <v>0</v>
      </c>
      <c r="M86" s="2745">
        <f t="shared" si="20"/>
        <v>0</v>
      </c>
      <c r="N86" s="2745">
        <f t="shared" si="21"/>
        <v>0</v>
      </c>
      <c r="O86" s="1232">
        <f t="shared" si="22"/>
        <v>0</v>
      </c>
      <c r="P86" s="1227" t="str">
        <f t="shared" si="23"/>
        <v>310gsm GB PAKERIN - INDO</v>
      </c>
      <c r="Q86" s="254">
        <v>0.39500000000000002</v>
      </c>
      <c r="R86" s="1228" t="str">
        <f t="shared" si="26"/>
        <v>310</v>
      </c>
      <c r="S86" s="2625">
        <f t="shared" si="17"/>
        <v>0</v>
      </c>
      <c r="T86" s="2747">
        <f>IF(L86&gt;0,IF(input!$B$2=$O$1,(((L86+Y86/22)+(L86+Y86/22)*$AG86+$X86)*$P$11+$M$7)/1000,(((L86+Y86/22)+(L86+Y86/22)*O86+(L86+Y86/22)*$AG86+$X86)*$P$11+$M$7)/1000),0)</f>
        <v>0</v>
      </c>
      <c r="U86" s="2747">
        <f t="shared" si="24"/>
        <v>0</v>
      </c>
      <c r="V86" s="1229"/>
      <c r="W86" s="1231" t="str">
        <f t="shared" si="18"/>
        <v>CIF</v>
      </c>
      <c r="X86" s="1230">
        <f t="shared" si="31"/>
        <v>0</v>
      </c>
      <c r="Y86" s="2625">
        <f t="shared" si="27"/>
        <v>0</v>
      </c>
      <c r="Z86" s="3208">
        <f t="shared" si="28"/>
        <v>838.18181818181813</v>
      </c>
      <c r="AA86" s="1220" t="s">
        <v>1355</v>
      </c>
      <c r="AB86" s="1220" t="s">
        <v>1393</v>
      </c>
      <c r="AC86" s="251" t="str">
        <f t="shared" si="25"/>
        <v>310gsm GB PAKERIN - INDO</v>
      </c>
      <c r="AD86" s="2746">
        <f>IF(L86&gt;0,IF(input!$B$2=$O$1,(((M86)+(M86)*$M$10)*$P$11)/1000,(((M86)+(M86)*O86+(M86)*$M$10)*$P$11)/1000),0)</f>
        <v>0</v>
      </c>
      <c r="AE86" s="2746">
        <f>IF(L86&gt;0,IF(input!$B$2=$O$1,(((N86)+(N86)*$M$10)*$P$11)/1000,(((N86)+(N86)*O86+(N86)*$M$10)*$P$11)/1000),0)</f>
        <v>0</v>
      </c>
      <c r="AF86" s="136" t="str">
        <f t="shared" si="29"/>
        <v>None</v>
      </c>
      <c r="AG86" s="2628">
        <f t="shared" si="30"/>
        <v>1.2E-2</v>
      </c>
      <c r="AH86" s="1266">
        <v>0.1</v>
      </c>
    </row>
    <row r="87" spans="1:34" ht="12.75">
      <c r="A87" s="2199">
        <f t="shared" si="19"/>
        <v>75</v>
      </c>
      <c r="B87" s="2200" t="s">
        <v>975</v>
      </c>
      <c r="C87" s="2743">
        <v>0</v>
      </c>
      <c r="D87" s="2743">
        <v>0</v>
      </c>
      <c r="E87" s="2949">
        <v>0</v>
      </c>
      <c r="F87" s="2200">
        <v>0</v>
      </c>
      <c r="G87" s="2200" t="s">
        <v>127</v>
      </c>
      <c r="H87" s="2200" t="s">
        <v>1057</v>
      </c>
      <c r="I87" s="2742">
        <v>0</v>
      </c>
      <c r="J87" s="2742"/>
      <c r="K87" s="2752">
        <v>45</v>
      </c>
      <c r="L87" s="2745">
        <f t="shared" si="16"/>
        <v>0</v>
      </c>
      <c r="M87" s="2745">
        <f t="shared" si="20"/>
        <v>0</v>
      </c>
      <c r="N87" s="2745">
        <f t="shared" si="21"/>
        <v>0</v>
      </c>
      <c r="O87" s="1232">
        <f t="shared" si="22"/>
        <v>0</v>
      </c>
      <c r="P87" s="1227" t="str">
        <f t="shared" si="23"/>
        <v>350gsm GB PAKERIN - INDO</v>
      </c>
      <c r="Q87" s="254">
        <v>0.44500000000000001</v>
      </c>
      <c r="R87" s="1228" t="str">
        <f t="shared" si="26"/>
        <v>350</v>
      </c>
      <c r="S87" s="2625">
        <f t="shared" si="17"/>
        <v>0</v>
      </c>
      <c r="T87" s="2747">
        <f>IF(L87&gt;0,IF(input!$B$2=$O$1,(((L87+Y87/22)+(L87+Y87/22)*$AG87+$X87)*$P$11+$M$7)/1000,(((L87+Y87/22)+(L87+Y87/22)*O87+(L87+Y87/22)*$AG87+$X87)*$P$11+$M$7)/1000),0)</f>
        <v>0</v>
      </c>
      <c r="U87" s="2747">
        <f t="shared" si="24"/>
        <v>0</v>
      </c>
      <c r="V87" s="1229"/>
      <c r="W87" s="1231" t="str">
        <f t="shared" si="18"/>
        <v>CIF</v>
      </c>
      <c r="X87" s="1230">
        <f t="shared" si="31"/>
        <v>0</v>
      </c>
      <c r="Y87" s="2625">
        <f t="shared" si="27"/>
        <v>0</v>
      </c>
      <c r="Z87" s="3208">
        <f t="shared" si="28"/>
        <v>838.18181818181813</v>
      </c>
      <c r="AA87" s="1220" t="s">
        <v>1355</v>
      </c>
      <c r="AB87" s="1220" t="s">
        <v>1393</v>
      </c>
      <c r="AC87" s="251" t="str">
        <f t="shared" si="25"/>
        <v>350gsm GB PAKERIN - INDO</v>
      </c>
      <c r="AD87" s="2746">
        <f>IF(L87&gt;0,IF(input!$B$2=$O$1,(((M87)+(M87)*$M$10)*$P$11)/1000,(((M87)+(M87)*O87+(M87)*$M$10)*$P$11)/1000),0)</f>
        <v>0</v>
      </c>
      <c r="AE87" s="2746">
        <f>IF(L87&gt;0,IF(input!$B$2=$O$1,(((N87)+(N87)*$M$10)*$P$11)/1000,(((N87)+(N87)*O87+(N87)*$M$10)*$P$11)/1000),0)</f>
        <v>0</v>
      </c>
      <c r="AF87" s="136" t="str">
        <f t="shared" si="29"/>
        <v>None</v>
      </c>
      <c r="AG87" s="2628">
        <f t="shared" si="30"/>
        <v>1.2E-2</v>
      </c>
      <c r="AH87" s="1266">
        <v>0.1</v>
      </c>
    </row>
    <row r="88" spans="1:34" ht="12.75">
      <c r="A88" s="2199">
        <f t="shared" si="19"/>
        <v>76</v>
      </c>
      <c r="B88" s="2200" t="s">
        <v>976</v>
      </c>
      <c r="C88" s="2743">
        <v>0</v>
      </c>
      <c r="D88" s="2743">
        <v>0</v>
      </c>
      <c r="E88" s="2949">
        <v>0</v>
      </c>
      <c r="F88" s="2200">
        <v>0</v>
      </c>
      <c r="G88" s="2200" t="s">
        <v>127</v>
      </c>
      <c r="H88" s="2200" t="s">
        <v>1057</v>
      </c>
      <c r="I88" s="2742">
        <v>0</v>
      </c>
      <c r="J88" s="2742"/>
      <c r="K88" s="2752">
        <v>45</v>
      </c>
      <c r="L88" s="2745">
        <f t="shared" si="16"/>
        <v>0</v>
      </c>
      <c r="M88" s="2745">
        <f t="shared" si="20"/>
        <v>0</v>
      </c>
      <c r="N88" s="2745">
        <f t="shared" si="21"/>
        <v>0</v>
      </c>
      <c r="O88" s="1232">
        <f t="shared" si="22"/>
        <v>0</v>
      </c>
      <c r="P88" s="1227" t="str">
        <f t="shared" si="23"/>
        <v>400gsm GB PAKERIN - INDO</v>
      </c>
      <c r="Q88" s="254">
        <v>0.51</v>
      </c>
      <c r="R88" s="1228" t="str">
        <f t="shared" si="26"/>
        <v>400</v>
      </c>
      <c r="S88" s="2625">
        <f t="shared" si="17"/>
        <v>0</v>
      </c>
      <c r="T88" s="2747">
        <f>IF(L88&gt;0,IF(input!$B$2=$O$1,(((L88+Y88/22)+(L88+Y88/22)*$AG88+$X88)*$P$11+$M$7)/1000,(((L88+Y88/22)+(L88+Y88/22)*O88+(L88+Y88/22)*$AG88+$X88)*$P$11+$M$7)/1000),0)</f>
        <v>0</v>
      </c>
      <c r="U88" s="2747">
        <f t="shared" si="24"/>
        <v>0</v>
      </c>
      <c r="V88" s="1229"/>
      <c r="W88" s="1231" t="str">
        <f t="shared" si="18"/>
        <v>CIF</v>
      </c>
      <c r="X88" s="1230">
        <f t="shared" si="31"/>
        <v>0</v>
      </c>
      <c r="Y88" s="2625">
        <f t="shared" si="27"/>
        <v>0</v>
      </c>
      <c r="Z88" s="3208">
        <f t="shared" si="28"/>
        <v>838.18181818181813</v>
      </c>
      <c r="AA88" s="1220" t="s">
        <v>1355</v>
      </c>
      <c r="AB88" s="1220" t="s">
        <v>1393</v>
      </c>
      <c r="AC88" s="251" t="str">
        <f t="shared" si="25"/>
        <v>400gsm GB PAKERIN - INDO</v>
      </c>
      <c r="AD88" s="2746">
        <f>IF(L88&gt;0,IF(input!$B$2=$O$1,(((M88)+(M88)*$M$10)*$P$11)/1000,(((M88)+(M88)*O88+(M88)*$M$10)*$P$11)/1000),0)</f>
        <v>0</v>
      </c>
      <c r="AE88" s="2746">
        <f>IF(L88&gt;0,IF(input!$B$2=$O$1,(((N88)+(N88)*$M$10)*$P$11)/1000,(((N88)+(N88)*O88+(N88)*$M$10)*$P$11)/1000),0)</f>
        <v>0</v>
      </c>
      <c r="AF88" s="136" t="str">
        <f t="shared" si="29"/>
        <v>None</v>
      </c>
      <c r="AG88" s="2628">
        <f t="shared" si="30"/>
        <v>1.2E-2</v>
      </c>
      <c r="AH88" s="1266">
        <v>0.1</v>
      </c>
    </row>
    <row r="89" spans="1:34" ht="12.75">
      <c r="A89" s="2199">
        <f t="shared" si="19"/>
        <v>77</v>
      </c>
      <c r="B89" s="2200" t="s">
        <v>977</v>
      </c>
      <c r="C89" s="2743">
        <v>0</v>
      </c>
      <c r="D89" s="2743">
        <v>0</v>
      </c>
      <c r="E89" s="2949">
        <v>0</v>
      </c>
      <c r="F89" s="2200">
        <v>0</v>
      </c>
      <c r="G89" s="2200" t="s">
        <v>127</v>
      </c>
      <c r="H89" s="2200" t="s">
        <v>1057</v>
      </c>
      <c r="I89" s="2742">
        <v>0</v>
      </c>
      <c r="J89" s="2742"/>
      <c r="K89" s="2752">
        <v>45</v>
      </c>
      <c r="L89" s="2745">
        <f t="shared" si="16"/>
        <v>0</v>
      </c>
      <c r="M89" s="2745">
        <f t="shared" si="20"/>
        <v>0</v>
      </c>
      <c r="N89" s="2745">
        <f t="shared" si="21"/>
        <v>0</v>
      </c>
      <c r="O89" s="1232">
        <f t="shared" si="22"/>
        <v>0</v>
      </c>
      <c r="P89" s="1227" t="str">
        <f t="shared" si="23"/>
        <v>450gsm GB PAKERIN - INDO</v>
      </c>
      <c r="Q89" s="254">
        <v>0.56999999999999995</v>
      </c>
      <c r="R89" s="1228" t="str">
        <f t="shared" si="26"/>
        <v>450</v>
      </c>
      <c r="S89" s="2625">
        <f t="shared" si="17"/>
        <v>0</v>
      </c>
      <c r="T89" s="2747">
        <f>IF(L89&gt;0,IF(input!$B$2=$O$1,(((L89+Y89/22)+(L89+Y89/22)*$AG89+$X89)*$P$11+$M$7)/1000,(((L89+Y89/22)+(L89+Y89/22)*O89+(L89+Y89/22)*$AG89+$X89)*$P$11+$M$7)/1000),0)</f>
        <v>0</v>
      </c>
      <c r="U89" s="2747">
        <f t="shared" si="24"/>
        <v>0</v>
      </c>
      <c r="V89" s="1229"/>
      <c r="W89" s="1231" t="str">
        <f t="shared" si="18"/>
        <v>CIF</v>
      </c>
      <c r="X89" s="1230">
        <f t="shared" si="31"/>
        <v>0</v>
      </c>
      <c r="Y89" s="2625">
        <f t="shared" si="27"/>
        <v>0</v>
      </c>
      <c r="Z89" s="3208">
        <f t="shared" si="28"/>
        <v>838.18181818181813</v>
      </c>
      <c r="AA89" s="1220" t="s">
        <v>1355</v>
      </c>
      <c r="AB89" s="1220" t="s">
        <v>1393</v>
      </c>
      <c r="AC89" s="251" t="str">
        <f t="shared" si="25"/>
        <v>450gsm GB PAKERIN - INDO</v>
      </c>
      <c r="AD89" s="2746">
        <f>IF(L89&gt;0,IF(input!$B$2=$O$1,(((M89)+(M89)*$M$10)*$P$11)/1000,(((M89)+(M89)*O89+(M89)*$M$10)*$P$11)/1000),0)</f>
        <v>0</v>
      </c>
      <c r="AE89" s="2746">
        <f>IF(L89&gt;0,IF(input!$B$2=$O$1,(((N89)+(N89)*$M$10)*$P$11)/1000,(((N89)+(N89)*O89+(N89)*$M$10)*$P$11)/1000),0)</f>
        <v>0</v>
      </c>
      <c r="AF89" s="136" t="str">
        <f t="shared" si="29"/>
        <v>None</v>
      </c>
      <c r="AG89" s="2628">
        <f t="shared" si="30"/>
        <v>1.2E-2</v>
      </c>
      <c r="AH89" s="1266">
        <v>0.1</v>
      </c>
    </row>
    <row r="90" spans="1:34" ht="12.75">
      <c r="A90" s="2199">
        <f t="shared" si="19"/>
        <v>78</v>
      </c>
      <c r="B90" s="2200" t="s">
        <v>978</v>
      </c>
      <c r="C90" s="2743">
        <v>0</v>
      </c>
      <c r="D90" s="2743">
        <v>0</v>
      </c>
      <c r="E90" s="2949">
        <v>0</v>
      </c>
      <c r="F90" s="2200">
        <v>0</v>
      </c>
      <c r="G90" s="2200" t="s">
        <v>127</v>
      </c>
      <c r="H90" s="2200" t="s">
        <v>1057</v>
      </c>
      <c r="I90" s="2742">
        <v>0</v>
      </c>
      <c r="J90" s="2742"/>
      <c r="K90" s="2752">
        <v>45</v>
      </c>
      <c r="L90" s="2745">
        <f t="shared" si="16"/>
        <v>0</v>
      </c>
      <c r="M90" s="2745">
        <f t="shared" si="20"/>
        <v>0</v>
      </c>
      <c r="N90" s="2745">
        <f t="shared" si="21"/>
        <v>0</v>
      </c>
      <c r="O90" s="1232">
        <f t="shared" si="22"/>
        <v>0</v>
      </c>
      <c r="P90" s="1227" t="str">
        <f t="shared" si="23"/>
        <v>500gsm GB PAKERIN - INDO</v>
      </c>
      <c r="Q90" s="254">
        <v>0.63500000000000001</v>
      </c>
      <c r="R90" s="1228" t="str">
        <f t="shared" si="26"/>
        <v>500</v>
      </c>
      <c r="S90" s="2625">
        <f t="shared" si="17"/>
        <v>0</v>
      </c>
      <c r="T90" s="2747">
        <f>IF(L90&gt;0,IF(input!$B$2=$O$1,(((L90+Y90/22)+(L90+Y90/22)*$AG90+$X90)*$P$11+$M$7)/1000,(((L90+Y90/22)+(L90+Y90/22)*O90+(L90+Y90/22)*$AG90+$X90)*$P$11+$M$7)/1000),0)</f>
        <v>0</v>
      </c>
      <c r="U90" s="2747">
        <f t="shared" si="24"/>
        <v>0</v>
      </c>
      <c r="V90" s="1229"/>
      <c r="W90" s="1231" t="str">
        <f t="shared" si="18"/>
        <v>CIF</v>
      </c>
      <c r="X90" s="1230">
        <f t="shared" si="31"/>
        <v>0</v>
      </c>
      <c r="Y90" s="2625">
        <f t="shared" si="27"/>
        <v>0</v>
      </c>
      <c r="Z90" s="3208">
        <f t="shared" si="28"/>
        <v>838.18181818181813</v>
      </c>
      <c r="AA90" s="1220" t="s">
        <v>1355</v>
      </c>
      <c r="AB90" s="1220" t="s">
        <v>1393</v>
      </c>
      <c r="AC90" s="251" t="str">
        <f t="shared" si="25"/>
        <v>500gsm GB PAKERIN - INDO</v>
      </c>
      <c r="AD90" s="2746">
        <f>IF(L90&gt;0,IF(input!$B$2=$O$1,(((M90)+(M90)*$M$10)*$P$11)/1000,(((M90)+(M90)*O90+(M90)*$M$10)*$P$11)/1000),0)</f>
        <v>0</v>
      </c>
      <c r="AE90" s="2746">
        <f>IF(L90&gt;0,IF(input!$B$2=$O$1,(((N90)+(N90)*$M$10)*$P$11)/1000,(((N90)+(N90)*O90+(N90)*$M$10)*$P$11)/1000),0)</f>
        <v>0</v>
      </c>
      <c r="AF90" s="136" t="str">
        <f t="shared" si="29"/>
        <v>None</v>
      </c>
      <c r="AG90" s="2628">
        <f t="shared" si="30"/>
        <v>1.2E-2</v>
      </c>
      <c r="AH90" s="1266">
        <v>0.1</v>
      </c>
    </row>
    <row r="91" spans="1:34" ht="12.75">
      <c r="A91" s="2199">
        <f t="shared" si="19"/>
        <v>79</v>
      </c>
      <c r="B91" s="2200" t="s">
        <v>979</v>
      </c>
      <c r="C91" s="2743">
        <v>0</v>
      </c>
      <c r="D91" s="2743">
        <v>0</v>
      </c>
      <c r="E91" s="2949">
        <v>0</v>
      </c>
      <c r="F91" s="2200">
        <v>20</v>
      </c>
      <c r="G91" s="2200" t="s">
        <v>2395</v>
      </c>
      <c r="H91" s="2200" t="s">
        <v>1057</v>
      </c>
      <c r="I91" s="2742">
        <v>30</v>
      </c>
      <c r="J91" s="2742"/>
      <c r="K91" s="2752">
        <v>45</v>
      </c>
      <c r="L91" s="2745">
        <f t="shared" si="16"/>
        <v>0</v>
      </c>
      <c r="M91" s="2745">
        <f t="shared" si="20"/>
        <v>30</v>
      </c>
      <c r="N91" s="2745">
        <f t="shared" si="21"/>
        <v>20</v>
      </c>
      <c r="O91" s="1232">
        <f t="shared" si="22"/>
        <v>0</v>
      </c>
      <c r="P91" s="1227" t="str">
        <f t="shared" si="23"/>
        <v>230gsm GB APP - INDO DA HOA LAN</v>
      </c>
      <c r="Q91" s="254">
        <v>0.28499999999999998</v>
      </c>
      <c r="R91" s="1228" t="str">
        <f t="shared" si="26"/>
        <v>230</v>
      </c>
      <c r="S91" s="2625">
        <f t="shared" si="17"/>
        <v>0</v>
      </c>
      <c r="T91" s="2747">
        <f>IF(L91&gt;0,IF(input!$B$2=$O$1,(((L91+Y91/22)+(L91+Y91/22)*$AG91+$X91)*$P$11+$M$7)/1000,(((L91+Y91/22)+(L91+Y91/22)*O91+(L91+Y91/22)*$AG91+$X91)*$P$11+$M$7)/1000),0)</f>
        <v>0</v>
      </c>
      <c r="U91" s="2747">
        <f t="shared" si="24"/>
        <v>0</v>
      </c>
      <c r="V91" s="1229"/>
      <c r="W91" s="1231" t="str">
        <f t="shared" si="18"/>
        <v>CIF</v>
      </c>
      <c r="X91" s="1230">
        <f t="shared" si="31"/>
        <v>0</v>
      </c>
      <c r="Y91" s="2625">
        <f t="shared" si="27"/>
        <v>0</v>
      </c>
      <c r="Z91" s="3208">
        <f t="shared" si="28"/>
        <v>838.18181818181813</v>
      </c>
      <c r="AA91" s="1220" t="s">
        <v>1356</v>
      </c>
      <c r="AB91" s="1220" t="s">
        <v>1393</v>
      </c>
      <c r="AC91" s="251" t="str">
        <f t="shared" si="25"/>
        <v>230gsm GB APP - INDO DA HOA LAN</v>
      </c>
      <c r="AD91" s="2746">
        <f>IF(L91&gt;0,IF(input!$B$2=$O$1,(((M91)+(M91)*$M$10)*$P$11)/1000,(((M91)+(M91)*O91+(M91)*$M$10)*$P$11)/1000),0)</f>
        <v>0</v>
      </c>
      <c r="AE91" s="2746">
        <f>IF(L91&gt;0,IF(input!$B$2=$O$1,(((N91)+(N91)*$M$10)*$P$11)/1000,(((N91)+(N91)*O91+(N91)*$M$10)*$P$11)/1000),0)</f>
        <v>0</v>
      </c>
      <c r="AF91" s="136" t="str">
        <f t="shared" si="29"/>
        <v>PEFC</v>
      </c>
      <c r="AG91" s="2628">
        <f t="shared" si="30"/>
        <v>1.2E-2</v>
      </c>
      <c r="AH91" s="1266">
        <v>0.1</v>
      </c>
    </row>
    <row r="92" spans="1:34" ht="12.75">
      <c r="A92" s="2199">
        <f t="shared" si="19"/>
        <v>80</v>
      </c>
      <c r="B92" s="2200" t="s">
        <v>980</v>
      </c>
      <c r="C92" s="2743">
        <v>0</v>
      </c>
      <c r="D92" s="2743">
        <v>0</v>
      </c>
      <c r="E92" s="2949">
        <v>0</v>
      </c>
      <c r="F92" s="2200">
        <v>20</v>
      </c>
      <c r="G92" s="2200" t="s">
        <v>2395</v>
      </c>
      <c r="H92" s="2200" t="s">
        <v>1057</v>
      </c>
      <c r="I92" s="2742">
        <v>30</v>
      </c>
      <c r="J92" s="2742"/>
      <c r="K92" s="2752">
        <v>45</v>
      </c>
      <c r="L92" s="2745">
        <f t="shared" si="16"/>
        <v>0</v>
      </c>
      <c r="M92" s="2745">
        <f t="shared" si="20"/>
        <v>30</v>
      </c>
      <c r="N92" s="2745">
        <f t="shared" si="21"/>
        <v>20</v>
      </c>
      <c r="O92" s="1232">
        <f t="shared" si="22"/>
        <v>0</v>
      </c>
      <c r="P92" s="1227" t="str">
        <f t="shared" si="23"/>
        <v>250gsm GB APP - INDO DA HOA LAN</v>
      </c>
      <c r="Q92" s="254">
        <v>0.31</v>
      </c>
      <c r="R92" s="1228" t="str">
        <f t="shared" si="26"/>
        <v>250</v>
      </c>
      <c r="S92" s="2625">
        <f t="shared" si="17"/>
        <v>0</v>
      </c>
      <c r="T92" s="2747">
        <f>IF(L92&gt;0,IF(input!$B$2=$O$1,(((L92+Y92/22)+(L92+Y92/22)*$AG92+$X92)*$P$11+$M$7)/1000,(((L92+Y92/22)+(L92+Y92/22)*O92+(L92+Y92/22)*$AG92+$X92)*$P$11+$M$7)/1000),0)</f>
        <v>0</v>
      </c>
      <c r="U92" s="2747">
        <f t="shared" si="24"/>
        <v>0</v>
      </c>
      <c r="V92" s="1229"/>
      <c r="W92" s="1231" t="str">
        <f t="shared" si="18"/>
        <v>CIF</v>
      </c>
      <c r="X92" s="1230">
        <f t="shared" si="31"/>
        <v>0</v>
      </c>
      <c r="Y92" s="2625">
        <f t="shared" si="27"/>
        <v>0</v>
      </c>
      <c r="Z92" s="3208">
        <f t="shared" si="28"/>
        <v>838.18181818181813</v>
      </c>
      <c r="AA92" s="1220" t="s">
        <v>1356</v>
      </c>
      <c r="AB92" s="1220" t="s">
        <v>1393</v>
      </c>
      <c r="AC92" s="251" t="str">
        <f t="shared" si="25"/>
        <v>250gsm GB APP - INDO DA HOA LAN</v>
      </c>
      <c r="AD92" s="2746">
        <f>IF(L92&gt;0,IF(input!$B$2=$O$1,(((M92)+(M92)*$M$10)*$P$11)/1000,(((M92)+(M92)*O92+(M92)*$M$10)*$P$11)/1000),0)</f>
        <v>0</v>
      </c>
      <c r="AE92" s="2746">
        <f>IF(L92&gt;0,IF(input!$B$2=$O$1,(((N92)+(N92)*$M$10)*$P$11)/1000,(((N92)+(N92)*O92+(N92)*$M$10)*$P$11)/1000),0)</f>
        <v>0</v>
      </c>
      <c r="AF92" s="136" t="str">
        <f t="shared" si="29"/>
        <v>PEFC</v>
      </c>
      <c r="AG92" s="2628">
        <f t="shared" si="30"/>
        <v>1.2E-2</v>
      </c>
      <c r="AH92" s="1266">
        <v>0.1</v>
      </c>
    </row>
    <row r="93" spans="1:34" ht="12.75">
      <c r="A93" s="2199">
        <f t="shared" si="19"/>
        <v>81</v>
      </c>
      <c r="B93" s="2200" t="s">
        <v>981</v>
      </c>
      <c r="C93" s="2743">
        <v>0</v>
      </c>
      <c r="D93" s="2743">
        <v>0</v>
      </c>
      <c r="E93" s="2949">
        <v>0</v>
      </c>
      <c r="F93" s="2200">
        <v>20</v>
      </c>
      <c r="G93" s="2200" t="s">
        <v>2395</v>
      </c>
      <c r="H93" s="2200" t="s">
        <v>1057</v>
      </c>
      <c r="I93" s="2742">
        <v>30</v>
      </c>
      <c r="J93" s="2742"/>
      <c r="K93" s="2752">
        <v>45</v>
      </c>
      <c r="L93" s="2745">
        <f t="shared" si="16"/>
        <v>0</v>
      </c>
      <c r="M93" s="2745">
        <f t="shared" si="20"/>
        <v>30</v>
      </c>
      <c r="N93" s="2745">
        <f t="shared" si="21"/>
        <v>20</v>
      </c>
      <c r="O93" s="1232">
        <f t="shared" si="22"/>
        <v>0</v>
      </c>
      <c r="P93" s="1227" t="str">
        <f t="shared" si="23"/>
        <v>270gsm GB APP - INDO DA HOA LAN</v>
      </c>
      <c r="Q93" s="254">
        <v>0.34</v>
      </c>
      <c r="R93" s="1228" t="str">
        <f t="shared" si="26"/>
        <v>270</v>
      </c>
      <c r="S93" s="2625">
        <f t="shared" si="17"/>
        <v>0</v>
      </c>
      <c r="T93" s="2747">
        <f>IF(L93&gt;0,IF(input!$B$2=$O$1,(((L93+Y93/22)+(L93+Y93/22)*$AG93+$X93)*$P$11+$M$7)/1000,(((L93+Y93/22)+(L93+Y93/22)*O93+(L93+Y93/22)*$AG93+$X93)*$P$11+$M$7)/1000),0)</f>
        <v>0</v>
      </c>
      <c r="U93" s="2747">
        <f t="shared" si="24"/>
        <v>0</v>
      </c>
      <c r="V93" s="1229"/>
      <c r="W93" s="1231" t="str">
        <f t="shared" si="18"/>
        <v>CIF</v>
      </c>
      <c r="X93" s="1230">
        <f t="shared" si="31"/>
        <v>0</v>
      </c>
      <c r="Y93" s="2625">
        <f t="shared" si="27"/>
        <v>0</v>
      </c>
      <c r="Z93" s="3208">
        <f t="shared" si="28"/>
        <v>838.18181818181813</v>
      </c>
      <c r="AA93" s="1220" t="s">
        <v>1356</v>
      </c>
      <c r="AB93" s="1220" t="s">
        <v>1393</v>
      </c>
      <c r="AC93" s="251" t="str">
        <f t="shared" si="25"/>
        <v>270gsm GB APP - INDO DA HOA LAN</v>
      </c>
      <c r="AD93" s="2746">
        <f>IF(L93&gt;0,IF(input!$B$2=$O$1,(((M93)+(M93)*$M$10)*$P$11)/1000,(((M93)+(M93)*O93+(M93)*$M$10)*$P$11)/1000),0)</f>
        <v>0</v>
      </c>
      <c r="AE93" s="2746">
        <f>IF(L93&gt;0,IF(input!$B$2=$O$1,(((N93)+(N93)*$M$10)*$P$11)/1000,(((N93)+(N93)*O93+(N93)*$M$10)*$P$11)/1000),0)</f>
        <v>0</v>
      </c>
      <c r="AF93" s="136" t="str">
        <f t="shared" si="29"/>
        <v>PEFC</v>
      </c>
      <c r="AG93" s="2628">
        <f t="shared" si="30"/>
        <v>1.2E-2</v>
      </c>
      <c r="AH93" s="1266">
        <v>0.1</v>
      </c>
    </row>
    <row r="94" spans="1:34" ht="12.75">
      <c r="A94" s="2199">
        <f t="shared" si="19"/>
        <v>82</v>
      </c>
      <c r="B94" s="2200" t="s">
        <v>982</v>
      </c>
      <c r="C94" s="2743">
        <v>0</v>
      </c>
      <c r="D94" s="2743">
        <v>0</v>
      </c>
      <c r="E94" s="2949">
        <v>0</v>
      </c>
      <c r="F94" s="2200">
        <v>20</v>
      </c>
      <c r="G94" s="2200" t="s">
        <v>2395</v>
      </c>
      <c r="H94" s="2200" t="s">
        <v>1057</v>
      </c>
      <c r="I94" s="2742">
        <v>30</v>
      </c>
      <c r="J94" s="2742"/>
      <c r="K94" s="2752">
        <v>45</v>
      </c>
      <c r="L94" s="2745">
        <f t="shared" si="16"/>
        <v>0</v>
      </c>
      <c r="M94" s="2745">
        <f t="shared" si="20"/>
        <v>30</v>
      </c>
      <c r="N94" s="2745">
        <f t="shared" si="21"/>
        <v>20</v>
      </c>
      <c r="O94" s="1232">
        <f t="shared" si="22"/>
        <v>0</v>
      </c>
      <c r="P94" s="1227" t="str">
        <f t="shared" si="23"/>
        <v>310gsm GB APP - INDO DA HOA LAN</v>
      </c>
      <c r="Q94" s="254">
        <v>0.39500000000000002</v>
      </c>
      <c r="R94" s="1228" t="str">
        <f t="shared" si="26"/>
        <v>310</v>
      </c>
      <c r="S94" s="2625">
        <f t="shared" si="17"/>
        <v>0</v>
      </c>
      <c r="T94" s="2747">
        <f>IF(L94&gt;0,IF(input!$B$2=$O$1,(((L94+Y94/22)+(L94+Y94/22)*$AG94+$X94)*$P$11+$M$7)/1000,(((L94+Y94/22)+(L94+Y94/22)*O94+(L94+Y94/22)*$AG94+$X94)*$P$11+$M$7)/1000),0)</f>
        <v>0</v>
      </c>
      <c r="U94" s="2747">
        <f t="shared" si="24"/>
        <v>0</v>
      </c>
      <c r="V94" s="1229"/>
      <c r="W94" s="1231" t="str">
        <f t="shared" si="18"/>
        <v>CIF</v>
      </c>
      <c r="X94" s="1230">
        <f t="shared" si="31"/>
        <v>0</v>
      </c>
      <c r="Y94" s="2625">
        <f t="shared" si="27"/>
        <v>0</v>
      </c>
      <c r="Z94" s="3208">
        <f t="shared" si="28"/>
        <v>838.18181818181813</v>
      </c>
      <c r="AA94" s="1220" t="s">
        <v>1356</v>
      </c>
      <c r="AB94" s="1220" t="s">
        <v>1393</v>
      </c>
      <c r="AC94" s="251" t="str">
        <f t="shared" si="25"/>
        <v>310gsm GB APP - INDO DA HOA LAN</v>
      </c>
      <c r="AD94" s="2746">
        <f>IF(L94&gt;0,IF(input!$B$2=$O$1,(((M94)+(M94)*$M$10)*$P$11)/1000,(((M94)+(M94)*O94+(M94)*$M$10)*$P$11)/1000),0)</f>
        <v>0</v>
      </c>
      <c r="AE94" s="2746">
        <f>IF(L94&gt;0,IF(input!$B$2=$O$1,(((N94)+(N94)*$M$10)*$P$11)/1000,(((N94)+(N94)*O94+(N94)*$M$10)*$P$11)/1000),0)</f>
        <v>0</v>
      </c>
      <c r="AF94" s="136" t="str">
        <f t="shared" si="29"/>
        <v>PEFC</v>
      </c>
      <c r="AG94" s="2628">
        <f t="shared" si="30"/>
        <v>1.2E-2</v>
      </c>
      <c r="AH94" s="1266">
        <v>0.1</v>
      </c>
    </row>
    <row r="95" spans="1:34" ht="12.75">
      <c r="A95" s="2199">
        <f t="shared" si="19"/>
        <v>83</v>
      </c>
      <c r="B95" s="2200" t="s">
        <v>983</v>
      </c>
      <c r="C95" s="2743">
        <v>0</v>
      </c>
      <c r="D95" s="2743">
        <v>0</v>
      </c>
      <c r="E95" s="2949">
        <v>0</v>
      </c>
      <c r="F95" s="2200">
        <v>20</v>
      </c>
      <c r="G95" s="2200" t="s">
        <v>2395</v>
      </c>
      <c r="H95" s="2200" t="s">
        <v>1057</v>
      </c>
      <c r="I95" s="2742">
        <v>30</v>
      </c>
      <c r="J95" s="2742"/>
      <c r="K95" s="2752">
        <v>45</v>
      </c>
      <c r="L95" s="2745">
        <f t="shared" si="16"/>
        <v>0</v>
      </c>
      <c r="M95" s="2745">
        <f t="shared" si="20"/>
        <v>30</v>
      </c>
      <c r="N95" s="2745">
        <f t="shared" si="21"/>
        <v>20</v>
      </c>
      <c r="O95" s="1232">
        <f t="shared" si="22"/>
        <v>0</v>
      </c>
      <c r="P95" s="1227" t="str">
        <f t="shared" si="23"/>
        <v>350gsm GB APP - INDO DA HOA LAN</v>
      </c>
      <c r="Q95" s="254">
        <v>0.45</v>
      </c>
      <c r="R95" s="1228" t="str">
        <f t="shared" si="26"/>
        <v>350</v>
      </c>
      <c r="S95" s="2625">
        <f t="shared" si="17"/>
        <v>0</v>
      </c>
      <c r="T95" s="2747">
        <f>IF(L95&gt;0,IF(input!$B$2=$O$1,(((L95+Y95/22)+(L95+Y95/22)*$AG95+$X95)*$P$11+$M$7)/1000,(((L95+Y95/22)+(L95+Y95/22)*O95+(L95+Y95/22)*$AG95+$X95)*$P$11+$M$7)/1000),0)</f>
        <v>0</v>
      </c>
      <c r="U95" s="2747">
        <f t="shared" si="24"/>
        <v>0</v>
      </c>
      <c r="V95" s="1229"/>
      <c r="W95" s="1231" t="str">
        <f t="shared" si="18"/>
        <v>CIF</v>
      </c>
      <c r="X95" s="1230">
        <f t="shared" si="31"/>
        <v>0</v>
      </c>
      <c r="Y95" s="2625">
        <f t="shared" si="27"/>
        <v>0</v>
      </c>
      <c r="Z95" s="3208">
        <f t="shared" si="28"/>
        <v>838.18181818181813</v>
      </c>
      <c r="AA95" s="1220" t="s">
        <v>1356</v>
      </c>
      <c r="AB95" s="1220" t="s">
        <v>1393</v>
      </c>
      <c r="AC95" s="251" t="str">
        <f t="shared" si="25"/>
        <v>350gsm GB APP - INDO DA HOA LAN</v>
      </c>
      <c r="AD95" s="2746">
        <f>IF(L95&gt;0,IF(input!$B$2=$O$1,(((M95)+(M95)*$M$10)*$P$11)/1000,(((M95)+(M95)*O95+(M95)*$M$10)*$P$11)/1000),0)</f>
        <v>0</v>
      </c>
      <c r="AE95" s="2746">
        <f>IF(L95&gt;0,IF(input!$B$2=$O$1,(((N95)+(N95)*$M$10)*$P$11)/1000,(((N95)+(N95)*O95+(N95)*$M$10)*$P$11)/1000),0)</f>
        <v>0</v>
      </c>
      <c r="AF95" s="136" t="str">
        <f t="shared" si="29"/>
        <v>PEFC</v>
      </c>
      <c r="AG95" s="2628">
        <f t="shared" si="30"/>
        <v>1.2E-2</v>
      </c>
      <c r="AH95" s="1266">
        <v>0.1</v>
      </c>
    </row>
    <row r="96" spans="1:34" ht="12.75">
      <c r="A96" s="2199">
        <f t="shared" si="19"/>
        <v>84</v>
      </c>
      <c r="B96" s="2200" t="s">
        <v>984</v>
      </c>
      <c r="C96" s="2743">
        <v>0</v>
      </c>
      <c r="D96" s="2743">
        <v>0</v>
      </c>
      <c r="E96" s="2949">
        <v>0</v>
      </c>
      <c r="F96" s="2200">
        <v>20</v>
      </c>
      <c r="G96" s="2200" t="s">
        <v>2395</v>
      </c>
      <c r="H96" s="2200" t="s">
        <v>1057</v>
      </c>
      <c r="I96" s="2742">
        <v>30</v>
      </c>
      <c r="J96" s="2742"/>
      <c r="K96" s="2752">
        <v>45</v>
      </c>
      <c r="L96" s="2745">
        <f t="shared" si="16"/>
        <v>0</v>
      </c>
      <c r="M96" s="2745">
        <f t="shared" si="20"/>
        <v>30</v>
      </c>
      <c r="N96" s="2745">
        <f t="shared" si="21"/>
        <v>20</v>
      </c>
      <c r="O96" s="1232">
        <f t="shared" si="22"/>
        <v>0</v>
      </c>
      <c r="P96" s="1227" t="str">
        <f t="shared" si="23"/>
        <v>400gsm GB APP - INDO DA HOA LAN</v>
      </c>
      <c r="Q96" s="254">
        <v>0.52</v>
      </c>
      <c r="R96" s="1228" t="str">
        <f t="shared" si="26"/>
        <v>400</v>
      </c>
      <c r="S96" s="2625">
        <f t="shared" si="17"/>
        <v>0</v>
      </c>
      <c r="T96" s="2747">
        <f>IF(L96&gt;0,IF(input!$B$2=$O$1,(((L96+Y96/22)+(L96+Y96/22)*$AG96+$X96)*$P$11+$M$7)/1000,(((L96+Y96/22)+(L96+Y96/22)*O96+(L96+Y96/22)*$AG96+$X96)*$P$11+$M$7)/1000),0)</f>
        <v>0</v>
      </c>
      <c r="U96" s="2747">
        <f t="shared" si="24"/>
        <v>0</v>
      </c>
      <c r="V96" s="1229"/>
      <c r="W96" s="1231" t="str">
        <f t="shared" si="18"/>
        <v>CIF</v>
      </c>
      <c r="X96" s="1230">
        <f t="shared" si="31"/>
        <v>0</v>
      </c>
      <c r="Y96" s="2625">
        <f t="shared" si="27"/>
        <v>0</v>
      </c>
      <c r="Z96" s="3208">
        <f t="shared" si="28"/>
        <v>838.18181818181813</v>
      </c>
      <c r="AA96" s="1220" t="s">
        <v>1356</v>
      </c>
      <c r="AB96" s="1220" t="s">
        <v>1393</v>
      </c>
      <c r="AC96" s="251" t="str">
        <f t="shared" si="25"/>
        <v>400gsm GB APP - INDO DA HOA LAN</v>
      </c>
      <c r="AD96" s="2746">
        <f>IF(L96&gt;0,IF(input!$B$2=$O$1,(((M96)+(M96)*$M$10)*$P$11)/1000,(((M96)+(M96)*O96+(M96)*$M$10)*$P$11)/1000),0)</f>
        <v>0</v>
      </c>
      <c r="AE96" s="2746">
        <f>IF(L96&gt;0,IF(input!$B$2=$O$1,(((N96)+(N96)*$M$10)*$P$11)/1000,(((N96)+(N96)*O96+(N96)*$M$10)*$P$11)/1000),0)</f>
        <v>0</v>
      </c>
      <c r="AF96" s="136" t="str">
        <f t="shared" si="29"/>
        <v>PEFC</v>
      </c>
      <c r="AG96" s="2628">
        <f t="shared" si="30"/>
        <v>1.2E-2</v>
      </c>
      <c r="AH96" s="1266">
        <v>0.1</v>
      </c>
    </row>
    <row r="97" spans="1:34" ht="12.75">
      <c r="A97" s="2199">
        <f t="shared" si="19"/>
        <v>85</v>
      </c>
      <c r="B97" s="2200" t="s">
        <v>985</v>
      </c>
      <c r="C97" s="2743">
        <v>0</v>
      </c>
      <c r="D97" s="2743">
        <v>0</v>
      </c>
      <c r="E97" s="2949">
        <v>0</v>
      </c>
      <c r="F97" s="2200">
        <v>20</v>
      </c>
      <c r="G97" s="2200" t="s">
        <v>2395</v>
      </c>
      <c r="H97" s="2200" t="s">
        <v>1057</v>
      </c>
      <c r="I97" s="2742">
        <v>30</v>
      </c>
      <c r="J97" s="2742"/>
      <c r="K97" s="2752">
        <v>45</v>
      </c>
      <c r="L97" s="2745">
        <f t="shared" si="16"/>
        <v>0</v>
      </c>
      <c r="M97" s="2745">
        <f t="shared" si="20"/>
        <v>30</v>
      </c>
      <c r="N97" s="2745">
        <f t="shared" si="21"/>
        <v>20</v>
      </c>
      <c r="O97" s="1232">
        <f t="shared" si="22"/>
        <v>0</v>
      </c>
      <c r="P97" s="1227" t="str">
        <f t="shared" si="23"/>
        <v>450gsm GB APP - INDO DA HOA LAN</v>
      </c>
      <c r="Q97" s="254">
        <v>0.59</v>
      </c>
      <c r="R97" s="1228" t="str">
        <f t="shared" si="26"/>
        <v>450</v>
      </c>
      <c r="S97" s="2625">
        <f t="shared" si="17"/>
        <v>0</v>
      </c>
      <c r="T97" s="2747">
        <f>IF(L97&gt;0,IF(input!$B$2=$O$1,(((L97+Y97/22)+(L97+Y97/22)*$AG97+$X97)*$P$11+$M$7)/1000,(((L97+Y97/22)+(L97+Y97/22)*O97+(L97+Y97/22)*$AG97+$X97)*$P$11+$M$7)/1000),0)</f>
        <v>0</v>
      </c>
      <c r="U97" s="2747">
        <f t="shared" si="24"/>
        <v>0</v>
      </c>
      <c r="V97" s="1229"/>
      <c r="W97" s="1231" t="str">
        <f t="shared" si="18"/>
        <v>CIF</v>
      </c>
      <c r="X97" s="1230">
        <f t="shared" si="31"/>
        <v>0</v>
      </c>
      <c r="Y97" s="2625">
        <f t="shared" si="27"/>
        <v>0</v>
      </c>
      <c r="Z97" s="3208">
        <f t="shared" si="28"/>
        <v>838.18181818181813</v>
      </c>
      <c r="AA97" s="1220" t="s">
        <v>1356</v>
      </c>
      <c r="AB97" s="1220" t="s">
        <v>1393</v>
      </c>
      <c r="AC97" s="251" t="str">
        <f t="shared" si="25"/>
        <v>450gsm GB APP - INDO DA HOA LAN</v>
      </c>
      <c r="AD97" s="2746">
        <f>IF(L97&gt;0,IF(input!$B$2=$O$1,(((M97)+(M97)*$M$10)*$P$11)/1000,(((M97)+(M97)*O97+(M97)*$M$10)*$P$11)/1000),0)</f>
        <v>0</v>
      </c>
      <c r="AE97" s="2746">
        <f>IF(L97&gt;0,IF(input!$B$2=$O$1,(((N97)+(N97)*$M$10)*$P$11)/1000,(((N97)+(N97)*O97+(N97)*$M$10)*$P$11)/1000),0)</f>
        <v>0</v>
      </c>
      <c r="AF97" s="136" t="str">
        <f t="shared" si="29"/>
        <v>PEFC</v>
      </c>
      <c r="AG97" s="2628">
        <f t="shared" si="30"/>
        <v>1.2E-2</v>
      </c>
      <c r="AH97" s="1266">
        <v>0.1</v>
      </c>
    </row>
    <row r="98" spans="1:34" ht="12.75">
      <c r="A98" s="2199">
        <f t="shared" si="19"/>
        <v>86</v>
      </c>
      <c r="B98" s="2200" t="s">
        <v>986</v>
      </c>
      <c r="C98" s="2743">
        <v>0</v>
      </c>
      <c r="D98" s="2743">
        <v>0</v>
      </c>
      <c r="E98" s="2949">
        <v>0</v>
      </c>
      <c r="F98" s="2200">
        <v>20</v>
      </c>
      <c r="G98" s="2200" t="s">
        <v>2395</v>
      </c>
      <c r="H98" s="2200" t="s">
        <v>1057</v>
      </c>
      <c r="I98" s="2742">
        <v>30</v>
      </c>
      <c r="J98" s="2742"/>
      <c r="K98" s="2752">
        <v>45</v>
      </c>
      <c r="L98" s="2745">
        <f t="shared" si="16"/>
        <v>0</v>
      </c>
      <c r="M98" s="2745">
        <f t="shared" si="20"/>
        <v>30</v>
      </c>
      <c r="N98" s="2745">
        <f t="shared" si="21"/>
        <v>20</v>
      </c>
      <c r="O98" s="1232">
        <f t="shared" si="22"/>
        <v>0</v>
      </c>
      <c r="P98" s="1227" t="str">
        <f t="shared" si="23"/>
        <v>250gsm GB APP - INDO DP HOA LAN</v>
      </c>
      <c r="Q98" s="254">
        <v>0.28999999999999998</v>
      </c>
      <c r="R98" s="1228" t="str">
        <f t="shared" si="26"/>
        <v>250</v>
      </c>
      <c r="S98" s="2625">
        <f t="shared" si="17"/>
        <v>0</v>
      </c>
      <c r="T98" s="2747">
        <f>IF(L98&gt;0,IF(input!$B$2=$O$1,(((L98+Y98/22)+(L98+Y98/22)*$AG98+$X98)*$P$11+$M$7)/1000,(((L98+Y98/22)+(L98+Y98/22)*O98+(L98+Y98/22)*$AG98+$X98)*$P$11+$M$7)/1000),0)</f>
        <v>0</v>
      </c>
      <c r="U98" s="2747">
        <f t="shared" si="24"/>
        <v>0</v>
      </c>
      <c r="V98" s="1229"/>
      <c r="W98" s="1231" t="str">
        <f t="shared" si="18"/>
        <v>CIF</v>
      </c>
      <c r="X98" s="1230">
        <f t="shared" si="31"/>
        <v>0</v>
      </c>
      <c r="Y98" s="2625">
        <f t="shared" si="27"/>
        <v>0</v>
      </c>
      <c r="Z98" s="3208">
        <f t="shared" si="28"/>
        <v>838.18181818181813</v>
      </c>
      <c r="AA98" s="1220" t="s">
        <v>1357</v>
      </c>
      <c r="AB98" s="1220" t="s">
        <v>1393</v>
      </c>
      <c r="AC98" s="251" t="str">
        <f t="shared" si="25"/>
        <v>250gsm GB APP - INDO DP HOA LAN</v>
      </c>
      <c r="AD98" s="2746">
        <f>IF(L98&gt;0,IF(input!$B$2=$O$1,(((M98)+(M98)*$M$10)*$P$11)/1000,(((M98)+(M98)*O98+(M98)*$M$10)*$P$11)/1000),0)</f>
        <v>0</v>
      </c>
      <c r="AE98" s="2746">
        <f>IF(L98&gt;0,IF(input!$B$2=$O$1,(((N98)+(N98)*$M$10)*$P$11)/1000,(((N98)+(N98)*O98+(N98)*$M$10)*$P$11)/1000),0)</f>
        <v>0</v>
      </c>
      <c r="AF98" s="136" t="str">
        <f t="shared" si="29"/>
        <v>PEFC</v>
      </c>
      <c r="AG98" s="2628">
        <f t="shared" si="30"/>
        <v>1.2E-2</v>
      </c>
      <c r="AH98" s="1266">
        <v>0.1</v>
      </c>
    </row>
    <row r="99" spans="1:34" ht="12.75">
      <c r="A99" s="2199">
        <f t="shared" si="19"/>
        <v>87</v>
      </c>
      <c r="B99" s="2200" t="s">
        <v>987</v>
      </c>
      <c r="C99" s="2743">
        <v>0</v>
      </c>
      <c r="D99" s="2743">
        <v>0</v>
      </c>
      <c r="E99" s="2949">
        <v>0</v>
      </c>
      <c r="F99" s="2200">
        <v>20</v>
      </c>
      <c r="G99" s="2200" t="s">
        <v>2395</v>
      </c>
      <c r="H99" s="2200" t="s">
        <v>1057</v>
      </c>
      <c r="I99" s="2742">
        <v>30</v>
      </c>
      <c r="J99" s="2742"/>
      <c r="K99" s="2752">
        <v>45</v>
      </c>
      <c r="L99" s="2745">
        <f t="shared" si="16"/>
        <v>0</v>
      </c>
      <c r="M99" s="2745">
        <f t="shared" si="20"/>
        <v>30</v>
      </c>
      <c r="N99" s="2745">
        <f t="shared" si="21"/>
        <v>20</v>
      </c>
      <c r="O99" s="1232">
        <f t="shared" si="22"/>
        <v>0</v>
      </c>
      <c r="P99" s="1227" t="str">
        <f t="shared" si="23"/>
        <v>270gsm GB APP - INDO DP HOA LAN</v>
      </c>
      <c r="Q99" s="254">
        <v>0.32</v>
      </c>
      <c r="R99" s="1228" t="str">
        <f t="shared" si="26"/>
        <v>270</v>
      </c>
      <c r="S99" s="2625">
        <f t="shared" si="17"/>
        <v>0</v>
      </c>
      <c r="T99" s="2747">
        <f>IF(L99&gt;0,IF(input!$B$2=$O$1,(((L99+Y99/22)+(L99+Y99/22)*$AG99+$X99)*$P$11+$M$7)/1000,(((L99+Y99/22)+(L99+Y99/22)*O99+(L99+Y99/22)*$AG99+$X99)*$P$11+$M$7)/1000),0)</f>
        <v>0</v>
      </c>
      <c r="U99" s="2747">
        <f t="shared" si="24"/>
        <v>0</v>
      </c>
      <c r="V99" s="1229"/>
      <c r="W99" s="1231" t="str">
        <f t="shared" si="18"/>
        <v>CIF</v>
      </c>
      <c r="X99" s="1230">
        <f t="shared" si="31"/>
        <v>0</v>
      </c>
      <c r="Y99" s="2625">
        <f t="shared" si="27"/>
        <v>0</v>
      </c>
      <c r="Z99" s="3208">
        <f t="shared" si="28"/>
        <v>838.18181818181813</v>
      </c>
      <c r="AA99" s="1220" t="s">
        <v>1357</v>
      </c>
      <c r="AB99" s="1220" t="s">
        <v>1393</v>
      </c>
      <c r="AC99" s="251" t="str">
        <f t="shared" si="25"/>
        <v>270gsm GB APP - INDO DP HOA LAN</v>
      </c>
      <c r="AD99" s="2746">
        <f>IF(L99&gt;0,IF(input!$B$2=$O$1,(((M99)+(M99)*$M$10)*$P$11)/1000,(((M99)+(M99)*O99+(M99)*$M$10)*$P$11)/1000),0)</f>
        <v>0</v>
      </c>
      <c r="AE99" s="2746">
        <f>IF(L99&gt;0,IF(input!$B$2=$O$1,(((N99)+(N99)*$M$10)*$P$11)/1000,(((N99)+(N99)*O99+(N99)*$M$10)*$P$11)/1000),0)</f>
        <v>0</v>
      </c>
      <c r="AF99" s="136" t="str">
        <f t="shared" si="29"/>
        <v>PEFC</v>
      </c>
      <c r="AG99" s="2628">
        <f t="shared" si="30"/>
        <v>1.2E-2</v>
      </c>
      <c r="AH99" s="1266">
        <v>0.1</v>
      </c>
    </row>
    <row r="100" spans="1:34" ht="12.75">
      <c r="A100" s="2199">
        <f t="shared" si="19"/>
        <v>88</v>
      </c>
      <c r="B100" s="2200" t="s">
        <v>988</v>
      </c>
      <c r="C100" s="2743">
        <v>0</v>
      </c>
      <c r="D100" s="2743">
        <v>0</v>
      </c>
      <c r="E100" s="2949">
        <v>0</v>
      </c>
      <c r="F100" s="2200">
        <v>20</v>
      </c>
      <c r="G100" s="2200" t="s">
        <v>2395</v>
      </c>
      <c r="H100" s="2200" t="s">
        <v>1057</v>
      </c>
      <c r="I100" s="2742">
        <v>30</v>
      </c>
      <c r="J100" s="2742"/>
      <c r="K100" s="2752">
        <v>45</v>
      </c>
      <c r="L100" s="2745">
        <f t="shared" si="16"/>
        <v>0</v>
      </c>
      <c r="M100" s="2745">
        <f t="shared" si="20"/>
        <v>30</v>
      </c>
      <c r="N100" s="2745">
        <f t="shared" si="21"/>
        <v>20</v>
      </c>
      <c r="O100" s="1232">
        <f t="shared" si="22"/>
        <v>0</v>
      </c>
      <c r="P100" s="1227" t="str">
        <f t="shared" si="23"/>
        <v>300gsm GB APP - INDO DP HOA LAN</v>
      </c>
      <c r="Q100" s="254">
        <v>0.36499999999999999</v>
      </c>
      <c r="R100" s="1228" t="str">
        <f t="shared" si="26"/>
        <v>300</v>
      </c>
      <c r="S100" s="2625">
        <f t="shared" si="17"/>
        <v>0</v>
      </c>
      <c r="T100" s="2747">
        <f>IF(L100&gt;0,IF(input!$B$2=$O$1,(((L100+Y100/22)+(L100+Y100/22)*$AG100+$X100)*$P$11+$M$7)/1000,(((L100+Y100/22)+(L100+Y100/22)*O100+(L100+Y100/22)*$AG100+$X100)*$P$11+$M$7)/1000),0)</f>
        <v>0</v>
      </c>
      <c r="U100" s="2747">
        <f t="shared" si="24"/>
        <v>0</v>
      </c>
      <c r="V100" s="1229"/>
      <c r="W100" s="1231" t="str">
        <f t="shared" si="18"/>
        <v>CIF</v>
      </c>
      <c r="X100" s="1230">
        <f t="shared" si="31"/>
        <v>0</v>
      </c>
      <c r="Y100" s="2625">
        <f t="shared" si="27"/>
        <v>0</v>
      </c>
      <c r="Z100" s="3208">
        <f t="shared" si="28"/>
        <v>838.18181818181813</v>
      </c>
      <c r="AA100" s="1220" t="s">
        <v>1357</v>
      </c>
      <c r="AB100" s="1220" t="s">
        <v>1393</v>
      </c>
      <c r="AC100" s="251" t="str">
        <f t="shared" si="25"/>
        <v>300gsm GB APP - INDO DP HOA LAN</v>
      </c>
      <c r="AD100" s="2746">
        <f>IF(L100&gt;0,IF(input!$B$2=$O$1,(((M100)+(M100)*$M$10)*$P$11)/1000,(((M100)+(M100)*O100+(M100)*$M$10)*$P$11)/1000),0)</f>
        <v>0</v>
      </c>
      <c r="AE100" s="2746">
        <f>IF(L100&gt;0,IF(input!$B$2=$O$1,(((N100)+(N100)*$M$10)*$P$11)/1000,(((N100)+(N100)*O100+(N100)*$M$10)*$P$11)/1000),0)</f>
        <v>0</v>
      </c>
      <c r="AF100" s="136" t="str">
        <f t="shared" si="29"/>
        <v>PEFC</v>
      </c>
      <c r="AG100" s="2628">
        <f t="shared" si="30"/>
        <v>1.2E-2</v>
      </c>
      <c r="AH100" s="1266">
        <v>0.1</v>
      </c>
    </row>
    <row r="101" spans="1:34" ht="12.75">
      <c r="A101" s="2199">
        <f t="shared" si="19"/>
        <v>89</v>
      </c>
      <c r="B101" s="2200" t="s">
        <v>989</v>
      </c>
      <c r="C101" s="2743">
        <v>0</v>
      </c>
      <c r="D101" s="2743">
        <v>0</v>
      </c>
      <c r="E101" s="2949">
        <v>0</v>
      </c>
      <c r="F101" s="2200">
        <v>20</v>
      </c>
      <c r="G101" s="2200" t="s">
        <v>2395</v>
      </c>
      <c r="H101" s="2200" t="s">
        <v>1057</v>
      </c>
      <c r="I101" s="2742">
        <v>30</v>
      </c>
      <c r="J101" s="2742"/>
      <c r="K101" s="2752">
        <v>45</v>
      </c>
      <c r="L101" s="2745">
        <f t="shared" si="16"/>
        <v>0</v>
      </c>
      <c r="M101" s="2745">
        <f t="shared" si="20"/>
        <v>30</v>
      </c>
      <c r="N101" s="2745">
        <f t="shared" si="21"/>
        <v>20</v>
      </c>
      <c r="O101" s="1232">
        <f t="shared" si="22"/>
        <v>0</v>
      </c>
      <c r="P101" s="1227" t="str">
        <f t="shared" si="23"/>
        <v>310gsm GB APP - INDO DP HOA LAN</v>
      </c>
      <c r="Q101" s="254">
        <v>0.38500000000000001</v>
      </c>
      <c r="R101" s="1228" t="str">
        <f t="shared" si="26"/>
        <v>310</v>
      </c>
      <c r="S101" s="2625">
        <f t="shared" si="17"/>
        <v>0</v>
      </c>
      <c r="T101" s="2747">
        <f>IF(L101&gt;0,IF(input!$B$2=$O$1,(((L101+Y101/22)+(L101+Y101/22)*$AG101+$X101)*$P$11+$M$7)/1000,(((L101+Y101/22)+(L101+Y101/22)*O101+(L101+Y101/22)*$AG101+$X101)*$P$11+$M$7)/1000),0)</f>
        <v>0</v>
      </c>
      <c r="U101" s="2747">
        <f t="shared" si="24"/>
        <v>0</v>
      </c>
      <c r="V101" s="1229"/>
      <c r="W101" s="1231" t="str">
        <f t="shared" si="18"/>
        <v>CIF</v>
      </c>
      <c r="X101" s="1230">
        <f t="shared" si="31"/>
        <v>0</v>
      </c>
      <c r="Y101" s="2625">
        <f t="shared" si="27"/>
        <v>0</v>
      </c>
      <c r="Z101" s="3208">
        <f t="shared" si="28"/>
        <v>838.18181818181813</v>
      </c>
      <c r="AA101" s="1220" t="s">
        <v>1357</v>
      </c>
      <c r="AB101" s="1220" t="s">
        <v>1393</v>
      </c>
      <c r="AC101" s="251" t="str">
        <f t="shared" si="25"/>
        <v>310gsm GB APP - INDO DP HOA LAN</v>
      </c>
      <c r="AD101" s="2746">
        <f>IF(L101&gt;0,IF(input!$B$2=$O$1,(((M101)+(M101)*$M$10)*$P$11)/1000,(((M101)+(M101)*O101+(M101)*$M$10)*$P$11)/1000),0)</f>
        <v>0</v>
      </c>
      <c r="AE101" s="2746">
        <f>IF(L101&gt;0,IF(input!$B$2=$O$1,(((N101)+(N101)*$M$10)*$P$11)/1000,(((N101)+(N101)*O101+(N101)*$M$10)*$P$11)/1000),0)</f>
        <v>0</v>
      </c>
      <c r="AF101" s="136" t="str">
        <f t="shared" si="29"/>
        <v>PEFC</v>
      </c>
      <c r="AG101" s="2628">
        <f t="shared" si="30"/>
        <v>1.2E-2</v>
      </c>
      <c r="AH101" s="1266">
        <v>0.1</v>
      </c>
    </row>
    <row r="102" spans="1:34" ht="12.75">
      <c r="A102" s="2199">
        <f t="shared" si="19"/>
        <v>90</v>
      </c>
      <c r="B102" s="2200" t="s">
        <v>990</v>
      </c>
      <c r="C102" s="2743">
        <v>0</v>
      </c>
      <c r="D102" s="2743">
        <v>0</v>
      </c>
      <c r="E102" s="2949">
        <v>0</v>
      </c>
      <c r="F102" s="2200">
        <v>20</v>
      </c>
      <c r="G102" s="2200" t="s">
        <v>2395</v>
      </c>
      <c r="H102" s="2200" t="s">
        <v>1057</v>
      </c>
      <c r="I102" s="2742">
        <v>30</v>
      </c>
      <c r="J102" s="2742"/>
      <c r="K102" s="2752">
        <v>45</v>
      </c>
      <c r="L102" s="2745">
        <f t="shared" si="16"/>
        <v>0</v>
      </c>
      <c r="M102" s="2745">
        <f t="shared" si="20"/>
        <v>30</v>
      </c>
      <c r="N102" s="2745">
        <f t="shared" si="21"/>
        <v>20</v>
      </c>
      <c r="O102" s="1232">
        <f t="shared" si="22"/>
        <v>0</v>
      </c>
      <c r="P102" s="1227" t="str">
        <f t="shared" si="23"/>
        <v>350gsm GB APP - INDO DP HOA LAN</v>
      </c>
      <c r="Q102" s="254">
        <v>0.435</v>
      </c>
      <c r="R102" s="1228" t="str">
        <f t="shared" si="26"/>
        <v>350</v>
      </c>
      <c r="S102" s="2625">
        <f t="shared" si="17"/>
        <v>0</v>
      </c>
      <c r="T102" s="2747">
        <f>IF(L102&gt;0,IF(input!$B$2=$O$1,(((L102+Y102/22)+(L102+Y102/22)*$AG102+$X102)*$P$11+$M$7)/1000,(((L102+Y102/22)+(L102+Y102/22)*O102+(L102+Y102/22)*$AG102+$X102)*$P$11+$M$7)/1000),0)</f>
        <v>0</v>
      </c>
      <c r="U102" s="2747">
        <f t="shared" si="24"/>
        <v>0</v>
      </c>
      <c r="V102" s="1229"/>
      <c r="W102" s="1231" t="str">
        <f t="shared" si="18"/>
        <v>CIF</v>
      </c>
      <c r="X102" s="1230">
        <f t="shared" si="31"/>
        <v>0</v>
      </c>
      <c r="Y102" s="2625">
        <f t="shared" si="27"/>
        <v>0</v>
      </c>
      <c r="Z102" s="3208">
        <f t="shared" si="28"/>
        <v>838.18181818181813</v>
      </c>
      <c r="AA102" s="1220" t="s">
        <v>1357</v>
      </c>
      <c r="AB102" s="1220" t="s">
        <v>1393</v>
      </c>
      <c r="AC102" s="251" t="str">
        <f t="shared" si="25"/>
        <v>350gsm GB APP - INDO DP HOA LAN</v>
      </c>
      <c r="AD102" s="2746">
        <f>IF(L102&gt;0,IF(input!$B$2=$O$1,(((M102)+(M102)*$M$10)*$P$11)/1000,(((M102)+(M102)*O102+(M102)*$M$10)*$P$11)/1000),0)</f>
        <v>0</v>
      </c>
      <c r="AE102" s="2746">
        <f>IF(L102&gt;0,IF(input!$B$2=$O$1,(((N102)+(N102)*$M$10)*$P$11)/1000,(((N102)+(N102)*O102+(N102)*$M$10)*$P$11)/1000),0)</f>
        <v>0</v>
      </c>
      <c r="AF102" s="136" t="str">
        <f t="shared" si="29"/>
        <v>PEFC</v>
      </c>
      <c r="AG102" s="2628">
        <f t="shared" si="30"/>
        <v>1.2E-2</v>
      </c>
      <c r="AH102" s="1266">
        <v>0.1</v>
      </c>
    </row>
    <row r="103" spans="1:34" ht="12.75">
      <c r="A103" s="2199">
        <f t="shared" si="19"/>
        <v>91</v>
      </c>
      <c r="B103" s="2200" t="s">
        <v>855</v>
      </c>
      <c r="C103" s="2743">
        <v>0</v>
      </c>
      <c r="D103" s="2743">
        <v>0</v>
      </c>
      <c r="E103" s="2949">
        <v>0</v>
      </c>
      <c r="F103" s="2200" t="s">
        <v>2313</v>
      </c>
      <c r="G103" s="2200" t="s">
        <v>127</v>
      </c>
      <c r="H103" s="2200" t="s">
        <v>1057</v>
      </c>
      <c r="I103" s="2742">
        <v>0</v>
      </c>
      <c r="J103" s="2742"/>
      <c r="K103" s="2752">
        <v>60</v>
      </c>
      <c r="L103" s="2745">
        <f t="shared" si="16"/>
        <v>0</v>
      </c>
      <c r="M103" s="2745">
        <f t="shared" si="20"/>
        <v>0</v>
      </c>
      <c r="N103" s="2745" t="str">
        <f t="shared" si="21"/>
        <v>check</v>
      </c>
      <c r="O103" s="1232">
        <f t="shared" si="22"/>
        <v>0</v>
      </c>
      <c r="P103" s="1227" t="str">
        <f t="shared" si="23"/>
        <v>230gsm GB SHINPOONG - KOREA</v>
      </c>
      <c r="Q103" s="254">
        <v>0.27500000000000002</v>
      </c>
      <c r="R103" s="1228" t="str">
        <f t="shared" si="26"/>
        <v>230</v>
      </c>
      <c r="S103" s="2625">
        <f t="shared" si="17"/>
        <v>0</v>
      </c>
      <c r="T103" s="2747">
        <f>IF(L103&gt;0,IF(input!$B$2=$O$1,(((L103+Y103/22)+(L103+Y103/22)*$AG103+$X103)*$P$11+$M$7)/1000,(((L103+Y103/22)+(L103+Y103/22)*O103+(L103+Y103/22)*$AG103+$X103)*$P$11+$M$7)/1000),0)</f>
        <v>0</v>
      </c>
      <c r="U103" s="2747">
        <f t="shared" si="24"/>
        <v>0</v>
      </c>
      <c r="V103" s="1229"/>
      <c r="W103" s="1231" t="str">
        <f t="shared" si="18"/>
        <v>CIF</v>
      </c>
      <c r="X103" s="1230">
        <f t="shared" si="31"/>
        <v>0</v>
      </c>
      <c r="Y103" s="2625">
        <f t="shared" si="27"/>
        <v>0</v>
      </c>
      <c r="Z103" s="3208">
        <f t="shared" si="28"/>
        <v>838.18181818181813</v>
      </c>
      <c r="AA103" s="1220" t="s">
        <v>1358</v>
      </c>
      <c r="AB103" s="1220" t="s">
        <v>1393</v>
      </c>
      <c r="AC103" s="251" t="str">
        <f t="shared" si="25"/>
        <v>230gsm GB SHINPOONG - KOREA</v>
      </c>
      <c r="AD103" s="2746">
        <f>IF(L103&gt;0,IF(input!$B$2=$O$1,(((M103)+(M103)*$M$10)*$P$11)/1000,(((M103)+(M103)*O103+(M103)*$M$10)*$P$11)/1000),0)</f>
        <v>0</v>
      </c>
      <c r="AE103" s="2746">
        <f>IF(L103&gt;0,IF(input!$B$2=$O$1,(((N103)+(N103)*$M$10)*$P$11)/1000,(((N103)+(N103)*O103+(N103)*$M$10)*$P$11)/1000),0)</f>
        <v>0</v>
      </c>
      <c r="AF103" s="136" t="str">
        <f t="shared" si="29"/>
        <v>None</v>
      </c>
      <c r="AG103" s="2628">
        <f t="shared" si="30"/>
        <v>1.6E-2</v>
      </c>
      <c r="AH103" s="1266">
        <v>0.1</v>
      </c>
    </row>
    <row r="104" spans="1:34" ht="12.75">
      <c r="A104" s="2199">
        <f t="shared" si="19"/>
        <v>92</v>
      </c>
      <c r="B104" s="2200" t="s">
        <v>856</v>
      </c>
      <c r="C104" s="2743">
        <v>0</v>
      </c>
      <c r="D104" s="2743">
        <v>0</v>
      </c>
      <c r="E104" s="2949">
        <v>0</v>
      </c>
      <c r="F104" s="2200" t="s">
        <v>2313</v>
      </c>
      <c r="G104" s="2200" t="s">
        <v>127</v>
      </c>
      <c r="H104" s="2200" t="s">
        <v>1057</v>
      </c>
      <c r="I104" s="2742">
        <v>0</v>
      </c>
      <c r="J104" s="2742"/>
      <c r="K104" s="2752">
        <v>60</v>
      </c>
      <c r="L104" s="2745">
        <f t="shared" si="16"/>
        <v>0</v>
      </c>
      <c r="M104" s="2745">
        <f t="shared" si="20"/>
        <v>0</v>
      </c>
      <c r="N104" s="2745" t="str">
        <f t="shared" si="21"/>
        <v>check</v>
      </c>
      <c r="O104" s="1232">
        <f t="shared" si="22"/>
        <v>0</v>
      </c>
      <c r="P104" s="1227" t="str">
        <f t="shared" si="23"/>
        <v>250gsm GB SHINPOONG - KOREA</v>
      </c>
      <c r="Q104" s="254">
        <v>0.30499999999999999</v>
      </c>
      <c r="R104" s="1228" t="str">
        <f t="shared" si="26"/>
        <v>250</v>
      </c>
      <c r="S104" s="2625">
        <f t="shared" si="17"/>
        <v>0</v>
      </c>
      <c r="T104" s="2747">
        <f>IF(L104&gt;0,IF(input!$B$2=$O$1,(((L104+Y104/22)+(L104+Y104/22)*$AG104+$X104)*$P$11+$M$7)/1000,(((L104+Y104/22)+(L104+Y104/22)*O104+(L104+Y104/22)*$AG104+$X104)*$P$11+$M$7)/1000),0)</f>
        <v>0</v>
      </c>
      <c r="U104" s="2747">
        <f t="shared" si="24"/>
        <v>0</v>
      </c>
      <c r="V104" s="1229"/>
      <c r="W104" s="1231" t="str">
        <f t="shared" si="18"/>
        <v>CIF</v>
      </c>
      <c r="X104" s="1230">
        <f t="shared" si="31"/>
        <v>0</v>
      </c>
      <c r="Y104" s="2625">
        <f t="shared" si="27"/>
        <v>0</v>
      </c>
      <c r="Z104" s="3208">
        <f t="shared" si="28"/>
        <v>838.18181818181813</v>
      </c>
      <c r="AA104" s="1220" t="s">
        <v>1358</v>
      </c>
      <c r="AB104" s="1220" t="s">
        <v>1393</v>
      </c>
      <c r="AC104" s="251" t="str">
        <f t="shared" si="25"/>
        <v>250gsm GB SHINPOONG - KOREA</v>
      </c>
      <c r="AD104" s="2746">
        <f>IF(L104&gt;0,IF(input!$B$2=$O$1,(((M104)+(M104)*$M$10)*$P$11)/1000,(((M104)+(M104)*O104+(M104)*$M$10)*$P$11)/1000),0)</f>
        <v>0</v>
      </c>
      <c r="AE104" s="2746">
        <f>IF(L104&gt;0,IF(input!$B$2=$O$1,(((N104)+(N104)*$M$10)*$P$11)/1000,(((N104)+(N104)*O104+(N104)*$M$10)*$P$11)/1000),0)</f>
        <v>0</v>
      </c>
      <c r="AF104" s="136" t="str">
        <f t="shared" si="29"/>
        <v>None</v>
      </c>
      <c r="AG104" s="2628">
        <f t="shared" si="30"/>
        <v>1.6E-2</v>
      </c>
      <c r="AH104" s="1266">
        <v>0.1</v>
      </c>
    </row>
    <row r="105" spans="1:34" ht="12.75">
      <c r="A105" s="2199">
        <f t="shared" si="19"/>
        <v>93</v>
      </c>
      <c r="B105" s="2200" t="s">
        <v>857</v>
      </c>
      <c r="C105" s="2743">
        <v>0</v>
      </c>
      <c r="D105" s="2743">
        <v>0</v>
      </c>
      <c r="E105" s="2949">
        <v>0</v>
      </c>
      <c r="F105" s="2200" t="s">
        <v>2313</v>
      </c>
      <c r="G105" s="2200" t="s">
        <v>127</v>
      </c>
      <c r="H105" s="2200" t="s">
        <v>1057</v>
      </c>
      <c r="I105" s="2742">
        <v>0</v>
      </c>
      <c r="J105" s="2742"/>
      <c r="K105" s="2752">
        <v>60</v>
      </c>
      <c r="L105" s="2745">
        <f t="shared" si="16"/>
        <v>0</v>
      </c>
      <c r="M105" s="2745">
        <f t="shared" si="20"/>
        <v>0</v>
      </c>
      <c r="N105" s="2745" t="str">
        <f t="shared" si="21"/>
        <v>check</v>
      </c>
      <c r="O105" s="1232">
        <f t="shared" si="22"/>
        <v>0</v>
      </c>
      <c r="P105" s="1227" t="str">
        <f t="shared" si="23"/>
        <v>280gsm GB SHINPOONG - KOREA</v>
      </c>
      <c r="Q105" s="254">
        <v>0.34499999999999997</v>
      </c>
      <c r="R105" s="1228" t="str">
        <f t="shared" si="26"/>
        <v>280</v>
      </c>
      <c r="S105" s="2625">
        <f t="shared" si="17"/>
        <v>0</v>
      </c>
      <c r="T105" s="2747">
        <f>IF(L105&gt;0,IF(input!$B$2=$O$1,(((L105+Y105/22)+(L105+Y105/22)*$AG105+$X105)*$P$11+$M$7)/1000,(((L105+Y105/22)+(L105+Y105/22)*O105+(L105+Y105/22)*$AG105+$X105)*$P$11+$M$7)/1000),0)</f>
        <v>0</v>
      </c>
      <c r="U105" s="2747">
        <f t="shared" si="24"/>
        <v>0</v>
      </c>
      <c r="V105" s="1229"/>
      <c r="W105" s="1231" t="str">
        <f t="shared" si="18"/>
        <v>CIF</v>
      </c>
      <c r="X105" s="1230">
        <f t="shared" si="31"/>
        <v>0</v>
      </c>
      <c r="Y105" s="2625">
        <f t="shared" si="27"/>
        <v>0</v>
      </c>
      <c r="Z105" s="3208">
        <f t="shared" si="28"/>
        <v>838.18181818181813</v>
      </c>
      <c r="AA105" s="1220" t="s">
        <v>1358</v>
      </c>
      <c r="AB105" s="1220" t="s">
        <v>1393</v>
      </c>
      <c r="AC105" s="251" t="str">
        <f t="shared" si="25"/>
        <v>280gsm GB SHINPOONG - KOREA</v>
      </c>
      <c r="AD105" s="2746">
        <f>IF(L105&gt;0,IF(input!$B$2=$O$1,(((M105)+(M105)*$M$10)*$P$11)/1000,(((M105)+(M105)*O105+(M105)*$M$10)*$P$11)/1000),0)</f>
        <v>0</v>
      </c>
      <c r="AE105" s="2746">
        <f>IF(L105&gt;0,IF(input!$B$2=$O$1,(((N105)+(N105)*$M$10)*$P$11)/1000,(((N105)+(N105)*O105+(N105)*$M$10)*$P$11)/1000),0)</f>
        <v>0</v>
      </c>
      <c r="AF105" s="136" t="str">
        <f t="shared" si="29"/>
        <v>None</v>
      </c>
      <c r="AG105" s="2628">
        <f t="shared" si="30"/>
        <v>1.6E-2</v>
      </c>
      <c r="AH105" s="1266">
        <v>0.1</v>
      </c>
    </row>
    <row r="106" spans="1:34" ht="12.75">
      <c r="A106" s="2199">
        <f t="shared" si="19"/>
        <v>94</v>
      </c>
      <c r="B106" s="2200" t="s">
        <v>858</v>
      </c>
      <c r="C106" s="2743">
        <v>0</v>
      </c>
      <c r="D106" s="2743">
        <v>0</v>
      </c>
      <c r="E106" s="2949">
        <v>0</v>
      </c>
      <c r="F106" s="2200" t="s">
        <v>2313</v>
      </c>
      <c r="G106" s="2200" t="s">
        <v>127</v>
      </c>
      <c r="H106" s="2200" t="s">
        <v>1057</v>
      </c>
      <c r="I106" s="2742">
        <v>0</v>
      </c>
      <c r="J106" s="2742"/>
      <c r="K106" s="2752">
        <v>60</v>
      </c>
      <c r="L106" s="2745">
        <f t="shared" si="16"/>
        <v>0</v>
      </c>
      <c r="M106" s="2745">
        <f t="shared" si="20"/>
        <v>0</v>
      </c>
      <c r="N106" s="2745" t="str">
        <f t="shared" si="21"/>
        <v>check</v>
      </c>
      <c r="O106" s="1232">
        <f t="shared" si="22"/>
        <v>0</v>
      </c>
      <c r="P106" s="1227" t="str">
        <f t="shared" si="23"/>
        <v>300gsm GB SHINPOONG - KOREA</v>
      </c>
      <c r="Q106" s="254">
        <v>0.375</v>
      </c>
      <c r="R106" s="1228" t="str">
        <f t="shared" si="26"/>
        <v>300</v>
      </c>
      <c r="S106" s="2625">
        <f t="shared" si="17"/>
        <v>0</v>
      </c>
      <c r="T106" s="2747">
        <f>IF(L106&gt;0,IF(input!$B$2=$O$1,(((L106+Y106/22)+(L106+Y106/22)*$AG106+$X106)*$P$11+$M$7)/1000,(((L106+Y106/22)+(L106+Y106/22)*O106+(L106+Y106/22)*$AG106+$X106)*$P$11+$M$7)/1000),0)</f>
        <v>0</v>
      </c>
      <c r="U106" s="2747">
        <f t="shared" si="24"/>
        <v>0</v>
      </c>
      <c r="V106" s="1229"/>
      <c r="W106" s="1231" t="str">
        <f t="shared" si="18"/>
        <v>CIF</v>
      </c>
      <c r="X106" s="1230">
        <f t="shared" si="31"/>
        <v>0</v>
      </c>
      <c r="Y106" s="2625">
        <f t="shared" si="27"/>
        <v>0</v>
      </c>
      <c r="Z106" s="3208">
        <f t="shared" si="28"/>
        <v>838.18181818181813</v>
      </c>
      <c r="AA106" s="1220" t="s">
        <v>1358</v>
      </c>
      <c r="AB106" s="1220" t="s">
        <v>1393</v>
      </c>
      <c r="AC106" s="251" t="str">
        <f t="shared" si="25"/>
        <v>300gsm GB SHINPOONG - KOREA</v>
      </c>
      <c r="AD106" s="2746">
        <f>IF(L106&gt;0,IF(input!$B$2=$O$1,(((M106)+(M106)*$M$10)*$P$11)/1000,(((M106)+(M106)*O106+(M106)*$M$10)*$P$11)/1000),0)</f>
        <v>0</v>
      </c>
      <c r="AE106" s="2746">
        <f>IF(L106&gt;0,IF(input!$B$2=$O$1,(((N106)+(N106)*$M$10)*$P$11)/1000,(((N106)+(N106)*O106+(N106)*$M$10)*$P$11)/1000),0)</f>
        <v>0</v>
      </c>
      <c r="AF106" s="136" t="str">
        <f t="shared" si="29"/>
        <v>None</v>
      </c>
      <c r="AG106" s="2628">
        <f t="shared" si="30"/>
        <v>1.6E-2</v>
      </c>
      <c r="AH106" s="1266">
        <v>0.1</v>
      </c>
    </row>
    <row r="107" spans="1:34" ht="12.75">
      <c r="A107" s="2199">
        <f t="shared" si="19"/>
        <v>95</v>
      </c>
      <c r="B107" s="2200" t="s">
        <v>859</v>
      </c>
      <c r="C107" s="2743">
        <v>0</v>
      </c>
      <c r="D107" s="2743">
        <v>0</v>
      </c>
      <c r="E107" s="2949">
        <v>0</v>
      </c>
      <c r="F107" s="2200" t="s">
        <v>2313</v>
      </c>
      <c r="G107" s="2200" t="s">
        <v>127</v>
      </c>
      <c r="H107" s="2200" t="s">
        <v>1057</v>
      </c>
      <c r="I107" s="2742">
        <v>0</v>
      </c>
      <c r="J107" s="2742"/>
      <c r="K107" s="2752">
        <v>60</v>
      </c>
      <c r="L107" s="2745">
        <f t="shared" si="16"/>
        <v>0</v>
      </c>
      <c r="M107" s="2745">
        <f t="shared" si="20"/>
        <v>0</v>
      </c>
      <c r="N107" s="2745" t="str">
        <f t="shared" si="21"/>
        <v>check</v>
      </c>
      <c r="O107" s="1232">
        <f t="shared" si="22"/>
        <v>0</v>
      </c>
      <c r="P107" s="1227" t="str">
        <f t="shared" si="23"/>
        <v>350gsm GB SHINPOONG - KOREA</v>
      </c>
      <c r="Q107" s="254">
        <v>0.45</v>
      </c>
      <c r="R107" s="1228" t="str">
        <f t="shared" si="26"/>
        <v>350</v>
      </c>
      <c r="S107" s="2625">
        <f t="shared" si="17"/>
        <v>0</v>
      </c>
      <c r="T107" s="2747">
        <f>IF(L107&gt;0,IF(input!$B$2=$O$1,(((L107+Y107/22)+(L107+Y107/22)*$AG107+$X107)*$P$11+$M$7)/1000,(((L107+Y107/22)+(L107+Y107/22)*O107+(L107+Y107/22)*$AG107+$X107)*$P$11+$M$7)/1000),0)</f>
        <v>0</v>
      </c>
      <c r="U107" s="2747">
        <f t="shared" si="24"/>
        <v>0</v>
      </c>
      <c r="V107" s="1229"/>
      <c r="W107" s="1231" t="str">
        <f t="shared" si="18"/>
        <v>CIF</v>
      </c>
      <c r="X107" s="1230">
        <f t="shared" si="31"/>
        <v>0</v>
      </c>
      <c r="Y107" s="2625">
        <f t="shared" si="27"/>
        <v>0</v>
      </c>
      <c r="Z107" s="3208">
        <f t="shared" si="28"/>
        <v>838.18181818181813</v>
      </c>
      <c r="AA107" s="1220" t="s">
        <v>1358</v>
      </c>
      <c r="AB107" s="1220" t="s">
        <v>1393</v>
      </c>
      <c r="AC107" s="251" t="str">
        <f t="shared" si="25"/>
        <v>350gsm GB SHINPOONG - KOREA</v>
      </c>
      <c r="AD107" s="2746">
        <f>IF(L107&gt;0,IF(input!$B$2=$O$1,(((M107)+(M107)*$M$10)*$P$11)/1000,(((M107)+(M107)*O107+(M107)*$M$10)*$P$11)/1000),0)</f>
        <v>0</v>
      </c>
      <c r="AE107" s="2746">
        <f>IF(L107&gt;0,IF(input!$B$2=$O$1,(((N107)+(N107)*$M$10)*$P$11)/1000,(((N107)+(N107)*O107+(N107)*$M$10)*$P$11)/1000),0)</f>
        <v>0</v>
      </c>
      <c r="AF107" s="136" t="str">
        <f t="shared" si="29"/>
        <v>None</v>
      </c>
      <c r="AG107" s="2628">
        <f t="shared" si="30"/>
        <v>1.6E-2</v>
      </c>
      <c r="AH107" s="1266">
        <v>0.1</v>
      </c>
    </row>
    <row r="108" spans="1:34" ht="12.75">
      <c r="A108" s="2199">
        <f t="shared" si="19"/>
        <v>96</v>
      </c>
      <c r="B108" s="2200" t="s">
        <v>860</v>
      </c>
      <c r="C108" s="2743">
        <v>0</v>
      </c>
      <c r="D108" s="2743">
        <v>0</v>
      </c>
      <c r="E108" s="2949">
        <v>0</v>
      </c>
      <c r="F108" s="2200" t="s">
        <v>2313</v>
      </c>
      <c r="G108" s="2200" t="s">
        <v>127</v>
      </c>
      <c r="H108" s="2200" t="s">
        <v>1057</v>
      </c>
      <c r="I108" s="2742">
        <v>0</v>
      </c>
      <c r="J108" s="2742"/>
      <c r="K108" s="2752">
        <v>60</v>
      </c>
      <c r="L108" s="2745">
        <f t="shared" si="16"/>
        <v>0</v>
      </c>
      <c r="M108" s="2745">
        <f t="shared" si="20"/>
        <v>0</v>
      </c>
      <c r="N108" s="2745" t="str">
        <f t="shared" si="21"/>
        <v>check</v>
      </c>
      <c r="O108" s="1232">
        <f t="shared" si="22"/>
        <v>0</v>
      </c>
      <c r="P108" s="1227" t="str">
        <f t="shared" si="23"/>
        <v>400gsm GB SHINPOONG - KOREA</v>
      </c>
      <c r="Q108" s="254">
        <v>0.52</v>
      </c>
      <c r="R108" s="1228" t="str">
        <f t="shared" si="26"/>
        <v>400</v>
      </c>
      <c r="S108" s="2625">
        <f t="shared" si="17"/>
        <v>0</v>
      </c>
      <c r="T108" s="2747">
        <f>IF(L108&gt;0,IF(input!$B$2=$O$1,(((L108+Y108/22)+(L108+Y108/22)*$AG108+$X108)*$P$11+$M$7)/1000,(((L108+Y108/22)+(L108+Y108/22)*O108+(L108+Y108/22)*$AG108+$X108)*$P$11+$M$7)/1000),0)</f>
        <v>0</v>
      </c>
      <c r="U108" s="2747">
        <f t="shared" si="24"/>
        <v>0</v>
      </c>
      <c r="V108" s="1229"/>
      <c r="W108" s="1231" t="str">
        <f t="shared" si="18"/>
        <v>CIF</v>
      </c>
      <c r="X108" s="1230">
        <f t="shared" si="31"/>
        <v>0</v>
      </c>
      <c r="Y108" s="2625">
        <f t="shared" si="27"/>
        <v>0</v>
      </c>
      <c r="Z108" s="3208">
        <f t="shared" si="28"/>
        <v>838.18181818181813</v>
      </c>
      <c r="AA108" s="1220" t="s">
        <v>1358</v>
      </c>
      <c r="AB108" s="1220" t="s">
        <v>1393</v>
      </c>
      <c r="AC108" s="251" t="str">
        <f t="shared" si="25"/>
        <v>400gsm GB SHINPOONG - KOREA</v>
      </c>
      <c r="AD108" s="2746">
        <f>IF(L108&gt;0,IF(input!$B$2=$O$1,(((M108)+(M108)*$M$10)*$P$11)/1000,(((M108)+(M108)*O108+(M108)*$M$10)*$P$11)/1000),0)</f>
        <v>0</v>
      </c>
      <c r="AE108" s="2746">
        <f>IF(L108&gt;0,IF(input!$B$2=$O$1,(((N108)+(N108)*$M$10)*$P$11)/1000,(((N108)+(N108)*O108+(N108)*$M$10)*$P$11)/1000),0)</f>
        <v>0</v>
      </c>
      <c r="AF108" s="136" t="str">
        <f t="shared" si="29"/>
        <v>None</v>
      </c>
      <c r="AG108" s="2628">
        <f t="shared" si="30"/>
        <v>1.6E-2</v>
      </c>
      <c r="AH108" s="1266">
        <v>0.1</v>
      </c>
    </row>
    <row r="109" spans="1:34" ht="12.75">
      <c r="A109" s="2199">
        <f t="shared" si="19"/>
        <v>97</v>
      </c>
      <c r="B109" s="2200" t="s">
        <v>861</v>
      </c>
      <c r="C109" s="2743">
        <v>0</v>
      </c>
      <c r="D109" s="2743">
        <v>0</v>
      </c>
      <c r="E109" s="2949">
        <v>0</v>
      </c>
      <c r="F109" s="2200" t="s">
        <v>2313</v>
      </c>
      <c r="G109" s="2200" t="s">
        <v>127</v>
      </c>
      <c r="H109" s="2200" t="s">
        <v>1057</v>
      </c>
      <c r="I109" s="2742">
        <v>0</v>
      </c>
      <c r="J109" s="2742"/>
      <c r="K109" s="2752">
        <v>60</v>
      </c>
      <c r="L109" s="2745">
        <f t="shared" si="16"/>
        <v>0</v>
      </c>
      <c r="M109" s="2745">
        <f t="shared" si="20"/>
        <v>0</v>
      </c>
      <c r="N109" s="2745" t="str">
        <f t="shared" si="21"/>
        <v>check</v>
      </c>
      <c r="O109" s="1232">
        <f t="shared" si="22"/>
        <v>0</v>
      </c>
      <c r="P109" s="1227" t="str">
        <f t="shared" si="23"/>
        <v>450gsm GB SHINPOONG - KOREA</v>
      </c>
      <c r="Q109" s="254">
        <v>0.57499999999999996</v>
      </c>
      <c r="R109" s="1228" t="str">
        <f t="shared" si="26"/>
        <v>450</v>
      </c>
      <c r="S109" s="2625">
        <f t="shared" si="17"/>
        <v>0</v>
      </c>
      <c r="T109" s="2747">
        <f>IF(L109&gt;0,IF(input!$B$2=$O$1,(((L109+Y109/22)+(L109+Y109/22)*$AG109+$X109)*$P$11+$M$7)/1000,(((L109+Y109/22)+(L109+Y109/22)*O109+(L109+Y109/22)*$AG109+$X109)*$P$11+$M$7)/1000),0)</f>
        <v>0</v>
      </c>
      <c r="U109" s="2747">
        <f t="shared" si="24"/>
        <v>0</v>
      </c>
      <c r="V109" s="1229"/>
      <c r="W109" s="1231" t="str">
        <f t="shared" si="18"/>
        <v>CIF</v>
      </c>
      <c r="X109" s="1230">
        <f t="shared" si="31"/>
        <v>0</v>
      </c>
      <c r="Y109" s="2625">
        <f t="shared" si="27"/>
        <v>0</v>
      </c>
      <c r="Z109" s="3208">
        <f t="shared" si="28"/>
        <v>838.18181818181813</v>
      </c>
      <c r="AA109" s="1220" t="s">
        <v>1358</v>
      </c>
      <c r="AB109" s="1220" t="s">
        <v>1393</v>
      </c>
      <c r="AC109" s="251" t="str">
        <f t="shared" si="25"/>
        <v>450gsm GB SHINPOONG - KOREA</v>
      </c>
      <c r="AD109" s="2746">
        <f>IF(L109&gt;0,IF(input!$B$2=$O$1,(((M109)+(M109)*$M$10)*$P$11)/1000,(((M109)+(M109)*O109+(M109)*$M$10)*$P$11)/1000),0)</f>
        <v>0</v>
      </c>
      <c r="AE109" s="2746">
        <f>IF(L109&gt;0,IF(input!$B$2=$O$1,(((N109)+(N109)*$M$10)*$P$11)/1000,(((N109)+(N109)*O109+(N109)*$M$10)*$P$11)/1000),0)</f>
        <v>0</v>
      </c>
      <c r="AF109" s="136" t="str">
        <f t="shared" si="29"/>
        <v>None</v>
      </c>
      <c r="AG109" s="2628">
        <f t="shared" si="30"/>
        <v>1.6E-2</v>
      </c>
      <c r="AH109" s="1266">
        <v>0.1</v>
      </c>
    </row>
    <row r="110" spans="1:34" ht="12.75">
      <c r="A110" s="2199">
        <f t="shared" si="19"/>
        <v>98</v>
      </c>
      <c r="B110" s="2200" t="s">
        <v>2396</v>
      </c>
      <c r="C110" s="2743">
        <v>0</v>
      </c>
      <c r="D110" s="2743">
        <v>0</v>
      </c>
      <c r="E110" s="2949">
        <v>0</v>
      </c>
      <c r="F110" s="2200">
        <v>20</v>
      </c>
      <c r="G110" s="2200" t="s">
        <v>2038</v>
      </c>
      <c r="H110" s="2200" t="s">
        <v>1057</v>
      </c>
      <c r="I110" s="2742">
        <v>25</v>
      </c>
      <c r="J110" s="2742"/>
      <c r="K110" s="2752">
        <v>55</v>
      </c>
      <c r="L110" s="2745">
        <f t="shared" si="16"/>
        <v>0</v>
      </c>
      <c r="M110" s="2745">
        <f t="shared" si="20"/>
        <v>25</v>
      </c>
      <c r="N110" s="2745">
        <f t="shared" si="21"/>
        <v>20</v>
      </c>
      <c r="O110" s="1232">
        <f t="shared" si="22"/>
        <v>0</v>
      </c>
      <c r="P110" s="1227" t="str">
        <f t="shared" si="23"/>
        <v>230gsm GB MEHALI ECO GREEN - INDIA</v>
      </c>
      <c r="Q110" s="254">
        <v>0.29199999999999998</v>
      </c>
      <c r="R110" s="1228" t="str">
        <f t="shared" si="26"/>
        <v>230</v>
      </c>
      <c r="S110" s="2625">
        <f t="shared" si="17"/>
        <v>0</v>
      </c>
      <c r="T110" s="2747">
        <f>IF(L110&gt;0,IF(input!$B$2=$O$1,(((L110+Y110/22)+(L110+Y110/22)*$AG110+$X110)*$P$11+$M$7)/1000,(((L110+Y110/22)+(L110+Y110/22)*O110+(L110+Y110/22)*$AG110+$X110)*$P$11+$M$7)/1000),0)</f>
        <v>0</v>
      </c>
      <c r="U110" s="2747">
        <f t="shared" si="24"/>
        <v>0</v>
      </c>
      <c r="V110" s="1229"/>
      <c r="W110" s="1231" t="str">
        <f t="shared" si="18"/>
        <v>CIF</v>
      </c>
      <c r="X110" s="1230">
        <f t="shared" si="31"/>
        <v>0</v>
      </c>
      <c r="Y110" s="2625">
        <f t="shared" si="27"/>
        <v>0</v>
      </c>
      <c r="Z110" s="3208">
        <f t="shared" si="28"/>
        <v>838.18181818181813</v>
      </c>
      <c r="AA110" s="1220" t="s">
        <v>2815</v>
      </c>
      <c r="AB110" s="1220" t="s">
        <v>1393</v>
      </c>
      <c r="AC110" s="251" t="str">
        <f t="shared" si="25"/>
        <v>230gsm GB MEHALI ECO GREEN - INDIA</v>
      </c>
      <c r="AD110" s="2746">
        <f>IF(L110&gt;0,IF(input!$B$2=$O$1,(((M110)+(M110)*$M$10)*$P$11)/1000,(((M110)+(M110)*O110+(M110)*$M$10)*$P$11)/1000),0)</f>
        <v>0</v>
      </c>
      <c r="AE110" s="2746">
        <f>IF(L110&gt;0,IF(input!$B$2=$O$1,(((N110)+(N110)*$M$10)*$P$11)/1000,(((N110)+(N110)*O110+(N110)*$M$10)*$P$11)/1000),0)</f>
        <v>0</v>
      </c>
      <c r="AF110" s="136" t="str">
        <f t="shared" si="29"/>
        <v>FSC</v>
      </c>
      <c r="AG110" s="2628">
        <f t="shared" si="30"/>
        <v>1.4666666666666666E-2</v>
      </c>
      <c r="AH110" s="1266">
        <v>0.1</v>
      </c>
    </row>
    <row r="111" spans="1:34" ht="12.75">
      <c r="A111" s="2199">
        <f t="shared" si="19"/>
        <v>99</v>
      </c>
      <c r="B111" s="2200" t="s">
        <v>2397</v>
      </c>
      <c r="C111" s="2743">
        <v>0</v>
      </c>
      <c r="D111" s="2743">
        <v>0</v>
      </c>
      <c r="E111" s="2949">
        <v>0</v>
      </c>
      <c r="F111" s="2200">
        <v>20</v>
      </c>
      <c r="G111" s="2200" t="s">
        <v>2038</v>
      </c>
      <c r="H111" s="2200" t="s">
        <v>1057</v>
      </c>
      <c r="I111" s="2742">
        <v>25</v>
      </c>
      <c r="J111" s="2742"/>
      <c r="K111" s="2752">
        <v>55</v>
      </c>
      <c r="L111" s="2745">
        <f t="shared" si="16"/>
        <v>0</v>
      </c>
      <c r="M111" s="2745">
        <f t="shared" si="20"/>
        <v>25</v>
      </c>
      <c r="N111" s="2745">
        <f t="shared" si="21"/>
        <v>20</v>
      </c>
      <c r="O111" s="1232">
        <f t="shared" si="22"/>
        <v>0</v>
      </c>
      <c r="P111" s="1227" t="str">
        <f t="shared" si="23"/>
        <v>250gsm GB MEHALI ECO GREEN - INDIA</v>
      </c>
      <c r="Q111" s="254">
        <v>0.318</v>
      </c>
      <c r="R111" s="1228" t="str">
        <f t="shared" si="26"/>
        <v>250</v>
      </c>
      <c r="S111" s="2625">
        <f t="shared" si="17"/>
        <v>0</v>
      </c>
      <c r="T111" s="2747">
        <f>IF(L111&gt;0,IF(input!$B$2=$O$1,(((L111+Y111/22)+(L111+Y111/22)*$AG111+$X111)*$P$11+$M$7)/1000,(((L111+Y111/22)+(L111+Y111/22)*O111+(L111+Y111/22)*$AG111+$X111)*$P$11+$M$7)/1000),0)</f>
        <v>0</v>
      </c>
      <c r="U111" s="2747">
        <f t="shared" si="24"/>
        <v>0</v>
      </c>
      <c r="V111" s="1229"/>
      <c r="W111" s="1231" t="str">
        <f t="shared" si="18"/>
        <v>CIF</v>
      </c>
      <c r="X111" s="1230">
        <f t="shared" si="31"/>
        <v>0</v>
      </c>
      <c r="Y111" s="2625">
        <f t="shared" si="27"/>
        <v>0</v>
      </c>
      <c r="Z111" s="3208">
        <f t="shared" si="28"/>
        <v>838.18181818181813</v>
      </c>
      <c r="AA111" s="1220" t="s">
        <v>2815</v>
      </c>
      <c r="AB111" s="1220" t="s">
        <v>1393</v>
      </c>
      <c r="AC111" s="251" t="str">
        <f t="shared" si="25"/>
        <v>250gsm GB MEHALI ECO GREEN - INDIA</v>
      </c>
      <c r="AD111" s="2746">
        <f>IF(L111&gt;0,IF(input!$B$2=$O$1,(((M111)+(M111)*$M$10)*$P$11)/1000,(((M111)+(M111)*O111+(M111)*$M$10)*$P$11)/1000),0)</f>
        <v>0</v>
      </c>
      <c r="AE111" s="2746">
        <f>IF(L111&gt;0,IF(input!$B$2=$O$1,(((N111)+(N111)*$M$10)*$P$11)/1000,(((N111)+(N111)*O111+(N111)*$M$10)*$P$11)/1000),0)</f>
        <v>0</v>
      </c>
      <c r="AF111" s="136" t="str">
        <f t="shared" si="29"/>
        <v>FSC</v>
      </c>
      <c r="AG111" s="2628">
        <f t="shared" si="30"/>
        <v>1.4666666666666666E-2</v>
      </c>
      <c r="AH111" s="1266">
        <v>0.1</v>
      </c>
    </row>
    <row r="112" spans="1:34" ht="12.75">
      <c r="A112" s="2199">
        <f t="shared" si="19"/>
        <v>100</v>
      </c>
      <c r="B112" s="2200" t="s">
        <v>2398</v>
      </c>
      <c r="C112" s="2743">
        <v>0</v>
      </c>
      <c r="D112" s="2743">
        <v>0</v>
      </c>
      <c r="E112" s="2949">
        <v>0</v>
      </c>
      <c r="F112" s="2200">
        <v>20</v>
      </c>
      <c r="G112" s="2200" t="s">
        <v>2038</v>
      </c>
      <c r="H112" s="2200" t="s">
        <v>1057</v>
      </c>
      <c r="I112" s="2742">
        <v>25</v>
      </c>
      <c r="J112" s="2742"/>
      <c r="K112" s="2752">
        <v>55</v>
      </c>
      <c r="L112" s="2745">
        <f t="shared" si="16"/>
        <v>0</v>
      </c>
      <c r="M112" s="2745">
        <f t="shared" si="20"/>
        <v>25</v>
      </c>
      <c r="N112" s="2745">
        <f t="shared" si="21"/>
        <v>20</v>
      </c>
      <c r="O112" s="1232">
        <f t="shared" si="22"/>
        <v>0</v>
      </c>
      <c r="P112" s="1227" t="str">
        <f t="shared" si="23"/>
        <v>260gsm GB MEHALI ECO GREEN - INDIA</v>
      </c>
      <c r="Q112" s="254">
        <v>0.33300000000000002</v>
      </c>
      <c r="R112" s="1228" t="str">
        <f t="shared" si="26"/>
        <v>260</v>
      </c>
      <c r="S112" s="2625">
        <f t="shared" si="17"/>
        <v>0</v>
      </c>
      <c r="T112" s="2747">
        <f>IF(L112&gt;0,IF(input!$B$2=$O$1,(((L112+Y112/22)+(L112+Y112/22)*$AG112+$X112)*$P$11+$M$7)/1000,(((L112+Y112/22)+(L112+Y112/22)*O112+(L112+Y112/22)*$AG112+$X112)*$P$11+$M$7)/1000),0)</f>
        <v>0</v>
      </c>
      <c r="U112" s="2747">
        <f t="shared" si="24"/>
        <v>0</v>
      </c>
      <c r="V112" s="1229"/>
      <c r="W112" s="1231" t="str">
        <f t="shared" si="18"/>
        <v>CIF</v>
      </c>
      <c r="X112" s="1230">
        <f t="shared" si="31"/>
        <v>0</v>
      </c>
      <c r="Y112" s="2625">
        <f t="shared" si="27"/>
        <v>0</v>
      </c>
      <c r="Z112" s="3208">
        <f t="shared" si="28"/>
        <v>838.18181818181813</v>
      </c>
      <c r="AA112" s="1220" t="s">
        <v>2815</v>
      </c>
      <c r="AB112" s="1220" t="s">
        <v>1393</v>
      </c>
      <c r="AC112" s="251" t="str">
        <f t="shared" si="25"/>
        <v>260gsm GB MEHALI ECO GREEN - INDIA</v>
      </c>
      <c r="AD112" s="2746">
        <f>IF(L112&gt;0,IF(input!$B$2=$O$1,(((M112)+(M112)*$M$10)*$P$11)/1000,(((M112)+(M112)*O112+(M112)*$M$10)*$P$11)/1000),0)</f>
        <v>0</v>
      </c>
      <c r="AE112" s="2746">
        <f>IF(L112&gt;0,IF(input!$B$2=$O$1,(((N112)+(N112)*$M$10)*$P$11)/1000,(((N112)+(N112)*O112+(N112)*$M$10)*$P$11)/1000),0)</f>
        <v>0</v>
      </c>
      <c r="AF112" s="136" t="str">
        <f t="shared" si="29"/>
        <v>FSC</v>
      </c>
      <c r="AG112" s="2628">
        <f t="shared" si="30"/>
        <v>1.4666666666666666E-2</v>
      </c>
      <c r="AH112" s="1266">
        <v>0.1</v>
      </c>
    </row>
    <row r="113" spans="1:34" ht="12.75">
      <c r="A113" s="2199">
        <f t="shared" si="19"/>
        <v>101</v>
      </c>
      <c r="B113" s="2200" t="s">
        <v>2399</v>
      </c>
      <c r="C113" s="2743">
        <v>0</v>
      </c>
      <c r="D113" s="2743">
        <v>0</v>
      </c>
      <c r="E113" s="2949">
        <v>0</v>
      </c>
      <c r="F113" s="2200">
        <v>20</v>
      </c>
      <c r="G113" s="2200" t="s">
        <v>2038</v>
      </c>
      <c r="H113" s="2200" t="s">
        <v>1057</v>
      </c>
      <c r="I113" s="2742">
        <v>25</v>
      </c>
      <c r="J113" s="2742"/>
      <c r="K113" s="2752">
        <v>55</v>
      </c>
      <c r="L113" s="2745">
        <f t="shared" si="16"/>
        <v>0</v>
      </c>
      <c r="M113" s="2745">
        <f t="shared" si="20"/>
        <v>25</v>
      </c>
      <c r="N113" s="2745">
        <f t="shared" si="21"/>
        <v>20</v>
      </c>
      <c r="O113" s="1232">
        <f t="shared" si="22"/>
        <v>0</v>
      </c>
      <c r="P113" s="1227" t="str">
        <f t="shared" si="23"/>
        <v>270gsm GB MEHALI ECO GREEN - INDIA</v>
      </c>
      <c r="Q113" s="254">
        <v>0.34599999999999997</v>
      </c>
      <c r="R113" s="1228" t="str">
        <f t="shared" si="26"/>
        <v>270</v>
      </c>
      <c r="S113" s="2625">
        <f t="shared" si="17"/>
        <v>0</v>
      </c>
      <c r="T113" s="2747">
        <f>IF(L113&gt;0,IF(input!$B$2=$O$1,(((L113+Y113/22)+(L113+Y113/22)*$AG113+$X113)*$P$11+$M$7)/1000,(((L113+Y113/22)+(L113+Y113/22)*O113+(L113+Y113/22)*$AG113+$X113)*$P$11+$M$7)/1000),0)</f>
        <v>0</v>
      </c>
      <c r="U113" s="2747">
        <f t="shared" si="24"/>
        <v>0</v>
      </c>
      <c r="V113" s="1229"/>
      <c r="W113" s="1231" t="str">
        <f t="shared" si="18"/>
        <v>CIF</v>
      </c>
      <c r="X113" s="1230">
        <f t="shared" si="31"/>
        <v>0</v>
      </c>
      <c r="Y113" s="2625">
        <f t="shared" si="27"/>
        <v>0</v>
      </c>
      <c r="Z113" s="3208">
        <f t="shared" si="28"/>
        <v>838.18181818181813</v>
      </c>
      <c r="AA113" s="1220" t="s">
        <v>2815</v>
      </c>
      <c r="AB113" s="1220" t="s">
        <v>1393</v>
      </c>
      <c r="AC113" s="251" t="str">
        <f t="shared" si="25"/>
        <v>270gsm GB MEHALI ECO GREEN - INDIA</v>
      </c>
      <c r="AD113" s="2746">
        <f>IF(L113&gt;0,IF(input!$B$2=$O$1,(((M113)+(M113)*$M$10)*$P$11)/1000,(((M113)+(M113)*O113+(M113)*$M$10)*$P$11)/1000),0)</f>
        <v>0</v>
      </c>
      <c r="AE113" s="2746">
        <f>IF(L113&gt;0,IF(input!$B$2=$O$1,(((N113)+(N113)*$M$10)*$P$11)/1000,(((N113)+(N113)*O113+(N113)*$M$10)*$P$11)/1000),0)</f>
        <v>0</v>
      </c>
      <c r="AF113" s="136" t="str">
        <f t="shared" si="29"/>
        <v>FSC</v>
      </c>
      <c r="AG113" s="2628">
        <f t="shared" si="30"/>
        <v>1.4666666666666666E-2</v>
      </c>
      <c r="AH113" s="1266">
        <v>0.1</v>
      </c>
    </row>
    <row r="114" spans="1:34" ht="12.75">
      <c r="A114" s="2199">
        <f t="shared" si="19"/>
        <v>102</v>
      </c>
      <c r="B114" s="2200" t="s">
        <v>2400</v>
      </c>
      <c r="C114" s="2743">
        <v>0</v>
      </c>
      <c r="D114" s="2743">
        <v>0</v>
      </c>
      <c r="E114" s="2949">
        <v>0</v>
      </c>
      <c r="F114" s="2200">
        <v>20</v>
      </c>
      <c r="G114" s="2200" t="s">
        <v>2038</v>
      </c>
      <c r="H114" s="2200" t="s">
        <v>1057</v>
      </c>
      <c r="I114" s="2742">
        <v>25</v>
      </c>
      <c r="J114" s="2742"/>
      <c r="K114" s="2752">
        <v>55</v>
      </c>
      <c r="L114" s="2745">
        <f t="shared" si="16"/>
        <v>0</v>
      </c>
      <c r="M114" s="2745">
        <f t="shared" si="20"/>
        <v>25</v>
      </c>
      <c r="N114" s="2745">
        <f t="shared" si="21"/>
        <v>20</v>
      </c>
      <c r="O114" s="1232">
        <f t="shared" si="22"/>
        <v>0</v>
      </c>
      <c r="P114" s="1227" t="str">
        <f t="shared" si="23"/>
        <v>280gsm GB MEHALI ECO GREEN - INDIA</v>
      </c>
      <c r="Q114" s="254">
        <v>0.36099999999999999</v>
      </c>
      <c r="R114" s="1228" t="str">
        <f t="shared" si="26"/>
        <v>280</v>
      </c>
      <c r="S114" s="2625">
        <f t="shared" si="17"/>
        <v>0</v>
      </c>
      <c r="T114" s="2747">
        <f>IF(L114&gt;0,IF(input!$B$2=$O$1,(((L114+Y114/22)+(L114+Y114/22)*$AG114+$X114)*$P$11+$M$7)/1000,(((L114+Y114/22)+(L114+Y114/22)*O114+(L114+Y114/22)*$AG114+$X114)*$P$11+$M$7)/1000),0)</f>
        <v>0</v>
      </c>
      <c r="U114" s="2747">
        <f t="shared" si="24"/>
        <v>0</v>
      </c>
      <c r="V114" s="1229"/>
      <c r="W114" s="1231" t="str">
        <f t="shared" si="18"/>
        <v>CIF</v>
      </c>
      <c r="X114" s="1230">
        <f t="shared" si="31"/>
        <v>0</v>
      </c>
      <c r="Y114" s="2625">
        <f t="shared" si="27"/>
        <v>0</v>
      </c>
      <c r="Z114" s="3208">
        <f t="shared" si="28"/>
        <v>838.18181818181813</v>
      </c>
      <c r="AA114" s="1220" t="s">
        <v>2815</v>
      </c>
      <c r="AB114" s="1220" t="s">
        <v>1393</v>
      </c>
      <c r="AC114" s="251" t="str">
        <f t="shared" si="25"/>
        <v>280gsm GB MEHALI ECO GREEN - INDIA</v>
      </c>
      <c r="AD114" s="2746">
        <f>IF(L114&gt;0,IF(input!$B$2=$O$1,(((M114)+(M114)*$M$10)*$P$11)/1000,(((M114)+(M114)*O114+(M114)*$M$10)*$P$11)/1000),0)</f>
        <v>0</v>
      </c>
      <c r="AE114" s="2746">
        <f>IF(L114&gt;0,IF(input!$B$2=$O$1,(((N114)+(N114)*$M$10)*$P$11)/1000,(((N114)+(N114)*O114+(N114)*$M$10)*$P$11)/1000),0)</f>
        <v>0</v>
      </c>
      <c r="AF114" s="136" t="str">
        <f t="shared" si="29"/>
        <v>FSC</v>
      </c>
      <c r="AG114" s="2628">
        <f t="shared" si="30"/>
        <v>1.4666666666666666E-2</v>
      </c>
      <c r="AH114" s="1266">
        <v>0.1</v>
      </c>
    </row>
    <row r="115" spans="1:34" ht="12.75">
      <c r="A115" s="2199">
        <f t="shared" si="19"/>
        <v>103</v>
      </c>
      <c r="B115" s="2200" t="s">
        <v>2401</v>
      </c>
      <c r="C115" s="2743">
        <v>0</v>
      </c>
      <c r="D115" s="2743">
        <v>0</v>
      </c>
      <c r="E115" s="2949">
        <v>0</v>
      </c>
      <c r="F115" s="2200">
        <v>20</v>
      </c>
      <c r="G115" s="2200" t="s">
        <v>2038</v>
      </c>
      <c r="H115" s="2200" t="s">
        <v>1057</v>
      </c>
      <c r="I115" s="2742">
        <v>25</v>
      </c>
      <c r="J115" s="2742"/>
      <c r="K115" s="2752">
        <v>55</v>
      </c>
      <c r="L115" s="2745">
        <f t="shared" si="16"/>
        <v>0</v>
      </c>
      <c r="M115" s="2745">
        <f t="shared" si="20"/>
        <v>25</v>
      </c>
      <c r="N115" s="2745">
        <f t="shared" si="21"/>
        <v>20</v>
      </c>
      <c r="O115" s="1232">
        <f t="shared" si="22"/>
        <v>0</v>
      </c>
      <c r="P115" s="1227" t="str">
        <f t="shared" si="23"/>
        <v>290gsm GB MEHALI ECO GREEN - INDIA</v>
      </c>
      <c r="Q115" s="254">
        <v>0.38</v>
      </c>
      <c r="R115" s="1228" t="str">
        <f t="shared" si="26"/>
        <v>290</v>
      </c>
      <c r="S115" s="2625">
        <f t="shared" si="17"/>
        <v>0</v>
      </c>
      <c r="T115" s="2747">
        <f>IF(L115&gt;0,IF(input!$B$2=$O$1,(((L115+Y115/22)+(L115+Y115/22)*$AG115+$X115)*$P$11+$M$7)/1000,(((L115+Y115/22)+(L115+Y115/22)*O115+(L115+Y115/22)*$AG115+$X115)*$P$11+$M$7)/1000),0)</f>
        <v>0</v>
      </c>
      <c r="U115" s="2747">
        <f t="shared" si="24"/>
        <v>0</v>
      </c>
      <c r="V115" s="1229"/>
      <c r="W115" s="1231" t="str">
        <f t="shared" si="18"/>
        <v>CIF</v>
      </c>
      <c r="X115" s="1230">
        <f t="shared" si="31"/>
        <v>0</v>
      </c>
      <c r="Y115" s="2625">
        <f t="shared" si="27"/>
        <v>0</v>
      </c>
      <c r="Z115" s="3208">
        <f t="shared" si="28"/>
        <v>838.18181818181813</v>
      </c>
      <c r="AA115" s="1220" t="s">
        <v>2815</v>
      </c>
      <c r="AB115" s="1220" t="s">
        <v>1393</v>
      </c>
      <c r="AC115" s="251" t="str">
        <f t="shared" si="25"/>
        <v>290gsm GB MEHALI ECO GREEN - INDIA</v>
      </c>
      <c r="AD115" s="2746">
        <f>IF(L115&gt;0,IF(input!$B$2=$O$1,(((M115)+(M115)*$M$10)*$P$11)/1000,(((M115)+(M115)*O115+(M115)*$M$10)*$P$11)/1000),0)</f>
        <v>0</v>
      </c>
      <c r="AE115" s="2746">
        <f>IF(L115&gt;0,IF(input!$B$2=$O$1,(((N115)+(N115)*$M$10)*$P$11)/1000,(((N115)+(N115)*O115+(N115)*$M$10)*$P$11)/1000),0)</f>
        <v>0</v>
      </c>
      <c r="AF115" s="136" t="str">
        <f t="shared" si="29"/>
        <v>FSC</v>
      </c>
      <c r="AG115" s="2628">
        <f t="shared" si="30"/>
        <v>1.4666666666666666E-2</v>
      </c>
      <c r="AH115" s="1266">
        <v>0.1</v>
      </c>
    </row>
    <row r="116" spans="1:34" ht="12.75">
      <c r="A116" s="2199">
        <f t="shared" si="19"/>
        <v>104</v>
      </c>
      <c r="B116" s="2200" t="s">
        <v>2402</v>
      </c>
      <c r="C116" s="2743">
        <v>0</v>
      </c>
      <c r="D116" s="2743">
        <v>0</v>
      </c>
      <c r="E116" s="2949">
        <v>0</v>
      </c>
      <c r="F116" s="2200">
        <v>20</v>
      </c>
      <c r="G116" s="2200" t="s">
        <v>2038</v>
      </c>
      <c r="H116" s="2200" t="s">
        <v>1057</v>
      </c>
      <c r="I116" s="2742">
        <v>25</v>
      </c>
      <c r="J116" s="2742"/>
      <c r="K116" s="2752">
        <v>55</v>
      </c>
      <c r="L116" s="2745">
        <f t="shared" si="16"/>
        <v>0</v>
      </c>
      <c r="M116" s="2745">
        <f t="shared" si="20"/>
        <v>25</v>
      </c>
      <c r="N116" s="2745">
        <f t="shared" si="21"/>
        <v>20</v>
      </c>
      <c r="O116" s="1232">
        <f t="shared" si="22"/>
        <v>0</v>
      </c>
      <c r="P116" s="1227" t="str">
        <f t="shared" si="23"/>
        <v>300gsm GB MEHALI ECO GREEN - INDIA</v>
      </c>
      <c r="Q116" s="254">
        <v>0.39300000000000002</v>
      </c>
      <c r="R116" s="1228" t="str">
        <f t="shared" si="26"/>
        <v>300</v>
      </c>
      <c r="S116" s="2625">
        <f t="shared" si="17"/>
        <v>0</v>
      </c>
      <c r="T116" s="2747">
        <f>IF(L116&gt;0,IF(input!$B$2=$O$1,(((L116+Y116/22)+(L116+Y116/22)*$AG116+$X116)*$P$11+$M$7)/1000,(((L116+Y116/22)+(L116+Y116/22)*O116+(L116+Y116/22)*$AG116+$X116)*$P$11+$M$7)/1000),0)</f>
        <v>0</v>
      </c>
      <c r="U116" s="2747">
        <f t="shared" si="24"/>
        <v>0</v>
      </c>
      <c r="V116" s="1229"/>
      <c r="W116" s="1231" t="str">
        <f t="shared" si="18"/>
        <v>CIF</v>
      </c>
      <c r="X116" s="1230">
        <f t="shared" si="31"/>
        <v>0</v>
      </c>
      <c r="Y116" s="2625">
        <f t="shared" si="27"/>
        <v>0</v>
      </c>
      <c r="Z116" s="3208">
        <f t="shared" si="28"/>
        <v>838.18181818181813</v>
      </c>
      <c r="AA116" s="1220" t="s">
        <v>2815</v>
      </c>
      <c r="AB116" s="1220" t="s">
        <v>1393</v>
      </c>
      <c r="AC116" s="251" t="str">
        <f t="shared" si="25"/>
        <v>300gsm GB MEHALI ECO GREEN - INDIA</v>
      </c>
      <c r="AD116" s="2746">
        <f>IF(L116&gt;0,IF(input!$B$2=$O$1,(((M116)+(M116)*$M$10)*$P$11)/1000,(((M116)+(M116)*O116+(M116)*$M$10)*$P$11)/1000),0)</f>
        <v>0</v>
      </c>
      <c r="AE116" s="2746">
        <f>IF(L116&gt;0,IF(input!$B$2=$O$1,(((N116)+(N116)*$M$10)*$P$11)/1000,(((N116)+(N116)*O116+(N116)*$M$10)*$P$11)/1000),0)</f>
        <v>0</v>
      </c>
      <c r="AF116" s="136" t="str">
        <f t="shared" si="29"/>
        <v>FSC</v>
      </c>
      <c r="AG116" s="2628">
        <f t="shared" si="30"/>
        <v>1.4666666666666666E-2</v>
      </c>
      <c r="AH116" s="1266">
        <v>0.1</v>
      </c>
    </row>
    <row r="117" spans="1:34" ht="12.75">
      <c r="A117" s="2199">
        <f t="shared" si="19"/>
        <v>105</v>
      </c>
      <c r="B117" s="2200" t="s">
        <v>2403</v>
      </c>
      <c r="C117" s="2743">
        <v>0</v>
      </c>
      <c r="D117" s="2743">
        <v>0</v>
      </c>
      <c r="E117" s="2949">
        <v>0</v>
      </c>
      <c r="F117" s="2200">
        <v>20</v>
      </c>
      <c r="G117" s="2200" t="s">
        <v>2038</v>
      </c>
      <c r="H117" s="2200" t="s">
        <v>1057</v>
      </c>
      <c r="I117" s="2742">
        <v>25</v>
      </c>
      <c r="J117" s="2742"/>
      <c r="K117" s="2752">
        <v>55</v>
      </c>
      <c r="L117" s="2745">
        <f t="shared" si="16"/>
        <v>0</v>
      </c>
      <c r="M117" s="2745">
        <f t="shared" si="20"/>
        <v>25</v>
      </c>
      <c r="N117" s="2745">
        <f t="shared" si="21"/>
        <v>20</v>
      </c>
      <c r="O117" s="1232">
        <f t="shared" si="22"/>
        <v>0</v>
      </c>
      <c r="P117" s="1227" t="str">
        <f t="shared" si="23"/>
        <v>320gsm GB MEHALI ECO GREEN - INDIA</v>
      </c>
      <c r="Q117" s="254">
        <v>0.42199999999999999</v>
      </c>
      <c r="R117" s="1228" t="str">
        <f t="shared" si="26"/>
        <v>320</v>
      </c>
      <c r="S117" s="2625">
        <f t="shared" si="17"/>
        <v>0</v>
      </c>
      <c r="T117" s="2747">
        <f>IF(L117&gt;0,IF(input!$B$2=$O$1,(((L117+Y117/22)+(L117+Y117/22)*$AG117+$X117)*$P$11+$M$7)/1000,(((L117+Y117/22)+(L117+Y117/22)*O117+(L117+Y117/22)*$AG117+$X117)*$P$11+$M$7)/1000),0)</f>
        <v>0</v>
      </c>
      <c r="U117" s="2747">
        <f t="shared" si="24"/>
        <v>0</v>
      </c>
      <c r="V117" s="1229"/>
      <c r="W117" s="1231" t="str">
        <f t="shared" si="18"/>
        <v>CIF</v>
      </c>
      <c r="X117" s="1230">
        <f t="shared" si="31"/>
        <v>0</v>
      </c>
      <c r="Y117" s="2625">
        <f t="shared" si="27"/>
        <v>0</v>
      </c>
      <c r="Z117" s="3208">
        <f t="shared" si="28"/>
        <v>838.18181818181813</v>
      </c>
      <c r="AA117" s="1220" t="s">
        <v>2815</v>
      </c>
      <c r="AB117" s="1220" t="s">
        <v>1393</v>
      </c>
      <c r="AC117" s="251" t="str">
        <f t="shared" si="25"/>
        <v>320gsm GB MEHALI ECO GREEN - INDIA</v>
      </c>
      <c r="AD117" s="2746">
        <f>IF(L117&gt;0,IF(input!$B$2=$O$1,(((M117)+(M117)*$M$10)*$P$11)/1000,(((M117)+(M117)*O117+(M117)*$M$10)*$P$11)/1000),0)</f>
        <v>0</v>
      </c>
      <c r="AE117" s="2746">
        <f>IF(L117&gt;0,IF(input!$B$2=$O$1,(((N117)+(N117)*$M$10)*$P$11)/1000,(((N117)+(N117)*O117+(N117)*$M$10)*$P$11)/1000),0)</f>
        <v>0</v>
      </c>
      <c r="AF117" s="136" t="str">
        <f t="shared" si="29"/>
        <v>FSC</v>
      </c>
      <c r="AG117" s="2628">
        <f t="shared" si="30"/>
        <v>1.4666666666666666E-2</v>
      </c>
      <c r="AH117" s="1266">
        <v>0.1</v>
      </c>
    </row>
    <row r="118" spans="1:34" ht="12.75">
      <c r="A118" s="2199">
        <f t="shared" si="19"/>
        <v>106</v>
      </c>
      <c r="B118" s="2200" t="s">
        <v>2404</v>
      </c>
      <c r="C118" s="2743">
        <v>0</v>
      </c>
      <c r="D118" s="2743">
        <v>0</v>
      </c>
      <c r="E118" s="2949">
        <v>0</v>
      </c>
      <c r="F118" s="2200">
        <v>20</v>
      </c>
      <c r="G118" s="2200" t="s">
        <v>2038</v>
      </c>
      <c r="H118" s="2200" t="s">
        <v>1057</v>
      </c>
      <c r="I118" s="2742">
        <v>25</v>
      </c>
      <c r="J118" s="2742"/>
      <c r="K118" s="2752">
        <v>55</v>
      </c>
      <c r="L118" s="2745">
        <f t="shared" si="16"/>
        <v>0</v>
      </c>
      <c r="M118" s="2745">
        <f t="shared" si="20"/>
        <v>25</v>
      </c>
      <c r="N118" s="2745">
        <f t="shared" si="21"/>
        <v>20</v>
      </c>
      <c r="O118" s="1232">
        <f t="shared" si="22"/>
        <v>0</v>
      </c>
      <c r="P118" s="1227" t="str">
        <f t="shared" si="23"/>
        <v>330gsm GB MEHALI ECO GREEN - INDIA</v>
      </c>
      <c r="Q118" s="254">
        <v>0.439</v>
      </c>
      <c r="R118" s="1228" t="str">
        <f t="shared" si="26"/>
        <v>330</v>
      </c>
      <c r="S118" s="2625">
        <f t="shared" si="17"/>
        <v>0</v>
      </c>
      <c r="T118" s="2747">
        <f>IF(L118&gt;0,IF(input!$B$2=$O$1,(((L118+Y118/22)+(L118+Y118/22)*$AG118+$X118)*$P$11+$M$7)/1000,(((L118+Y118/22)+(L118+Y118/22)*O118+(L118+Y118/22)*$AG118+$X118)*$P$11+$M$7)/1000),0)</f>
        <v>0</v>
      </c>
      <c r="U118" s="2747">
        <f t="shared" si="24"/>
        <v>0</v>
      </c>
      <c r="V118" s="1229"/>
      <c r="W118" s="1231" t="str">
        <f t="shared" si="18"/>
        <v>CIF</v>
      </c>
      <c r="X118" s="1230">
        <f t="shared" si="31"/>
        <v>0</v>
      </c>
      <c r="Y118" s="2625">
        <f t="shared" si="27"/>
        <v>0</v>
      </c>
      <c r="Z118" s="3208">
        <f t="shared" si="28"/>
        <v>838.18181818181813</v>
      </c>
      <c r="AA118" s="1220" t="s">
        <v>2815</v>
      </c>
      <c r="AB118" s="1220" t="s">
        <v>1393</v>
      </c>
      <c r="AC118" s="251" t="str">
        <f t="shared" si="25"/>
        <v>330gsm GB MEHALI ECO GREEN - INDIA</v>
      </c>
      <c r="AD118" s="2746">
        <f>IF(L118&gt;0,IF(input!$B$2=$O$1,(((M118)+(M118)*$M$10)*$P$11)/1000,(((M118)+(M118)*O118+(M118)*$M$10)*$P$11)/1000),0)</f>
        <v>0</v>
      </c>
      <c r="AE118" s="2746">
        <f>IF(L118&gt;0,IF(input!$B$2=$O$1,(((N118)+(N118)*$M$10)*$P$11)/1000,(((N118)+(N118)*O118+(N118)*$M$10)*$P$11)/1000),0)</f>
        <v>0</v>
      </c>
      <c r="AF118" s="136" t="str">
        <f t="shared" si="29"/>
        <v>FSC</v>
      </c>
      <c r="AG118" s="2628">
        <f t="shared" si="30"/>
        <v>1.4666666666666666E-2</v>
      </c>
      <c r="AH118" s="1266">
        <v>0.1</v>
      </c>
    </row>
    <row r="119" spans="1:34" ht="12.75">
      <c r="A119" s="2199">
        <f t="shared" si="19"/>
        <v>107</v>
      </c>
      <c r="B119" s="2200" t="s">
        <v>2405</v>
      </c>
      <c r="C119" s="2743">
        <v>0</v>
      </c>
      <c r="D119" s="2743">
        <v>0</v>
      </c>
      <c r="E119" s="2949">
        <v>0</v>
      </c>
      <c r="F119" s="2200">
        <v>20</v>
      </c>
      <c r="G119" s="2200" t="s">
        <v>2038</v>
      </c>
      <c r="H119" s="2200" t="s">
        <v>1057</v>
      </c>
      <c r="I119" s="2742">
        <v>25</v>
      </c>
      <c r="J119" s="2742"/>
      <c r="K119" s="2752">
        <v>55</v>
      </c>
      <c r="L119" s="2745">
        <f t="shared" si="16"/>
        <v>0</v>
      </c>
      <c r="M119" s="2745">
        <f t="shared" si="20"/>
        <v>25</v>
      </c>
      <c r="N119" s="2745">
        <f t="shared" si="21"/>
        <v>20</v>
      </c>
      <c r="O119" s="1232">
        <f t="shared" si="22"/>
        <v>0</v>
      </c>
      <c r="P119" s="1227" t="str">
        <f t="shared" si="23"/>
        <v>340gsm GB MEHALI ECO GREEN - INDIA</v>
      </c>
      <c r="Q119" s="254">
        <v>0.45200000000000001</v>
      </c>
      <c r="R119" s="1228" t="str">
        <f t="shared" si="26"/>
        <v>340</v>
      </c>
      <c r="S119" s="2625">
        <f t="shared" si="17"/>
        <v>0</v>
      </c>
      <c r="T119" s="2747">
        <f>IF(L119&gt;0,IF(input!$B$2=$O$1,(((L119+Y119/22)+(L119+Y119/22)*$AG119+$X119)*$P$11+$M$7)/1000,(((L119+Y119/22)+(L119+Y119/22)*O119+(L119+Y119/22)*$AG119+$X119)*$P$11+$M$7)/1000),0)</f>
        <v>0</v>
      </c>
      <c r="U119" s="2747">
        <f t="shared" si="24"/>
        <v>0</v>
      </c>
      <c r="V119" s="1229"/>
      <c r="W119" s="1231" t="str">
        <f t="shared" si="18"/>
        <v>CIF</v>
      </c>
      <c r="X119" s="1230">
        <f t="shared" si="31"/>
        <v>0</v>
      </c>
      <c r="Y119" s="2625">
        <f t="shared" si="27"/>
        <v>0</v>
      </c>
      <c r="Z119" s="3208">
        <f t="shared" si="28"/>
        <v>838.18181818181813</v>
      </c>
      <c r="AA119" s="1220" t="s">
        <v>2815</v>
      </c>
      <c r="AB119" s="1220" t="s">
        <v>1393</v>
      </c>
      <c r="AC119" s="251" t="str">
        <f t="shared" si="25"/>
        <v>340gsm GB MEHALI ECO GREEN - INDIA</v>
      </c>
      <c r="AD119" s="2746">
        <f>IF(L119&gt;0,IF(input!$B$2=$O$1,(((M119)+(M119)*$M$10)*$P$11)/1000,(((M119)+(M119)*O119+(M119)*$M$10)*$P$11)/1000),0)</f>
        <v>0</v>
      </c>
      <c r="AE119" s="2746">
        <f>IF(L119&gt;0,IF(input!$B$2=$O$1,(((N119)+(N119)*$M$10)*$P$11)/1000,(((N119)+(N119)*O119+(N119)*$M$10)*$P$11)/1000),0)</f>
        <v>0</v>
      </c>
      <c r="AF119" s="136" t="str">
        <f t="shared" si="29"/>
        <v>FSC</v>
      </c>
      <c r="AG119" s="2628">
        <f t="shared" si="30"/>
        <v>1.4666666666666666E-2</v>
      </c>
      <c r="AH119" s="1266">
        <v>0.1</v>
      </c>
    </row>
    <row r="120" spans="1:34" ht="12.75">
      <c r="A120" s="2199">
        <f t="shared" si="19"/>
        <v>108</v>
      </c>
      <c r="B120" s="2200" t="s">
        <v>2406</v>
      </c>
      <c r="C120" s="2743">
        <v>0</v>
      </c>
      <c r="D120" s="2743">
        <v>0</v>
      </c>
      <c r="E120" s="2949">
        <v>0</v>
      </c>
      <c r="F120" s="2200">
        <v>20</v>
      </c>
      <c r="G120" s="2200" t="s">
        <v>2038</v>
      </c>
      <c r="H120" s="2200" t="s">
        <v>1057</v>
      </c>
      <c r="I120" s="2742">
        <v>25</v>
      </c>
      <c r="J120" s="2742"/>
      <c r="K120" s="2752">
        <v>55</v>
      </c>
      <c r="L120" s="2745">
        <f t="shared" si="16"/>
        <v>0</v>
      </c>
      <c r="M120" s="2745">
        <f t="shared" si="20"/>
        <v>25</v>
      </c>
      <c r="N120" s="2745">
        <f t="shared" si="21"/>
        <v>20</v>
      </c>
      <c r="O120" s="1232">
        <f t="shared" si="22"/>
        <v>0</v>
      </c>
      <c r="P120" s="1227" t="str">
        <f t="shared" si="23"/>
        <v>350gsm GB MEHALI ECO GREEN - INDIA</v>
      </c>
      <c r="Q120" s="254">
        <v>0.46600000000000003</v>
      </c>
      <c r="R120" s="1228" t="str">
        <f t="shared" si="26"/>
        <v>350</v>
      </c>
      <c r="S120" s="2625">
        <f t="shared" si="17"/>
        <v>0</v>
      </c>
      <c r="T120" s="2747">
        <f>IF(L120&gt;0,IF(input!$B$2=$O$1,(((L120+Y120/22)+(L120+Y120/22)*$AG120+$X120)*$P$11+$M$7)/1000,(((L120+Y120/22)+(L120+Y120/22)*O120+(L120+Y120/22)*$AG120+$X120)*$P$11+$M$7)/1000),0)</f>
        <v>0</v>
      </c>
      <c r="U120" s="2747">
        <f t="shared" si="24"/>
        <v>0</v>
      </c>
      <c r="V120" s="1229"/>
      <c r="W120" s="1231" t="str">
        <f t="shared" si="18"/>
        <v>CIF</v>
      </c>
      <c r="X120" s="1230">
        <f t="shared" si="31"/>
        <v>0</v>
      </c>
      <c r="Y120" s="2625">
        <f t="shared" si="27"/>
        <v>0</v>
      </c>
      <c r="Z120" s="3208">
        <f t="shared" si="28"/>
        <v>838.18181818181813</v>
      </c>
      <c r="AA120" s="1220" t="s">
        <v>2815</v>
      </c>
      <c r="AB120" s="1220" t="s">
        <v>1393</v>
      </c>
      <c r="AC120" s="251" t="str">
        <f t="shared" si="25"/>
        <v>350gsm GB MEHALI ECO GREEN - INDIA</v>
      </c>
      <c r="AD120" s="2746">
        <f>IF(L120&gt;0,IF(input!$B$2=$O$1,(((M120)+(M120)*$M$10)*$P$11)/1000,(((M120)+(M120)*O120+(M120)*$M$10)*$P$11)/1000),0)</f>
        <v>0</v>
      </c>
      <c r="AE120" s="2746">
        <f>IF(L120&gt;0,IF(input!$B$2=$O$1,(((N120)+(N120)*$M$10)*$P$11)/1000,(((N120)+(N120)*O120+(N120)*$M$10)*$P$11)/1000),0)</f>
        <v>0</v>
      </c>
      <c r="AF120" s="136" t="str">
        <f t="shared" si="29"/>
        <v>FSC</v>
      </c>
      <c r="AG120" s="2628">
        <f t="shared" si="30"/>
        <v>1.4666666666666666E-2</v>
      </c>
      <c r="AH120" s="1266">
        <v>0.1</v>
      </c>
    </row>
    <row r="121" spans="1:34" ht="12.75">
      <c r="A121" s="2199">
        <f t="shared" si="19"/>
        <v>109</v>
      </c>
      <c r="B121" s="2200" t="s">
        <v>2407</v>
      </c>
      <c r="C121" s="2743">
        <v>0</v>
      </c>
      <c r="D121" s="2743">
        <v>0</v>
      </c>
      <c r="E121" s="2949">
        <v>0</v>
      </c>
      <c r="F121" s="2200">
        <v>20</v>
      </c>
      <c r="G121" s="2200" t="s">
        <v>2038</v>
      </c>
      <c r="H121" s="2200" t="s">
        <v>1057</v>
      </c>
      <c r="I121" s="2742">
        <v>25</v>
      </c>
      <c r="J121" s="2742"/>
      <c r="K121" s="2752">
        <v>55</v>
      </c>
      <c r="L121" s="2745">
        <f t="shared" si="16"/>
        <v>0</v>
      </c>
      <c r="M121" s="2745">
        <f t="shared" si="20"/>
        <v>25</v>
      </c>
      <c r="N121" s="2745">
        <f t="shared" si="21"/>
        <v>20</v>
      </c>
      <c r="O121" s="1232">
        <f t="shared" si="22"/>
        <v>0</v>
      </c>
      <c r="P121" s="1227" t="str">
        <f t="shared" si="23"/>
        <v>360gsm GB MEHALI ECO GREEN - INDIA</v>
      </c>
      <c r="Q121" s="254">
        <v>0.48199999999999998</v>
      </c>
      <c r="R121" s="1228" t="str">
        <f t="shared" si="26"/>
        <v>360</v>
      </c>
      <c r="S121" s="2625">
        <f t="shared" si="17"/>
        <v>0</v>
      </c>
      <c r="T121" s="2747">
        <f>IF(L121&gt;0,IF(input!$B$2=$O$1,(((L121+Y121/22)+(L121+Y121/22)*$AG121+$X121)*$P$11+$M$7)/1000,(((L121+Y121/22)+(L121+Y121/22)*O121+(L121+Y121/22)*$AG121+$X121)*$P$11+$M$7)/1000),0)</f>
        <v>0</v>
      </c>
      <c r="U121" s="2747">
        <f t="shared" si="24"/>
        <v>0</v>
      </c>
      <c r="V121" s="1229"/>
      <c r="W121" s="1231" t="str">
        <f t="shared" si="18"/>
        <v>CIF</v>
      </c>
      <c r="X121" s="1230">
        <f t="shared" si="31"/>
        <v>0</v>
      </c>
      <c r="Y121" s="2625">
        <f t="shared" si="27"/>
        <v>0</v>
      </c>
      <c r="Z121" s="3208">
        <f t="shared" si="28"/>
        <v>838.18181818181813</v>
      </c>
      <c r="AA121" s="1220" t="s">
        <v>2815</v>
      </c>
      <c r="AB121" s="1220" t="s">
        <v>1393</v>
      </c>
      <c r="AC121" s="251" t="str">
        <f t="shared" si="25"/>
        <v>360gsm GB MEHALI ECO GREEN - INDIA</v>
      </c>
      <c r="AD121" s="2746">
        <f>IF(L121&gt;0,IF(input!$B$2=$O$1,(((M121)+(M121)*$M$10)*$P$11)/1000,(((M121)+(M121)*O121+(M121)*$M$10)*$P$11)/1000),0)</f>
        <v>0</v>
      </c>
      <c r="AE121" s="2746">
        <f>IF(L121&gt;0,IF(input!$B$2=$O$1,(((N121)+(N121)*$M$10)*$P$11)/1000,(((N121)+(N121)*O121+(N121)*$M$10)*$P$11)/1000),0)</f>
        <v>0</v>
      </c>
      <c r="AF121" s="136" t="str">
        <f t="shared" si="29"/>
        <v>FSC</v>
      </c>
      <c r="AG121" s="2628">
        <f t="shared" si="30"/>
        <v>1.4666666666666666E-2</v>
      </c>
      <c r="AH121" s="1266">
        <v>0.1</v>
      </c>
    </row>
    <row r="122" spans="1:34" ht="12.75">
      <c r="A122" s="2199">
        <f t="shared" si="19"/>
        <v>110</v>
      </c>
      <c r="B122" s="2200" t="s">
        <v>2408</v>
      </c>
      <c r="C122" s="2743">
        <v>0</v>
      </c>
      <c r="D122" s="2743">
        <v>0</v>
      </c>
      <c r="E122" s="2949">
        <v>0</v>
      </c>
      <c r="F122" s="2200">
        <v>20</v>
      </c>
      <c r="G122" s="2200" t="s">
        <v>2038</v>
      </c>
      <c r="H122" s="2200" t="s">
        <v>1057</v>
      </c>
      <c r="I122" s="2742">
        <v>25</v>
      </c>
      <c r="J122" s="2742"/>
      <c r="K122" s="2752">
        <v>55</v>
      </c>
      <c r="L122" s="2745">
        <f t="shared" si="16"/>
        <v>0</v>
      </c>
      <c r="M122" s="2745">
        <f t="shared" si="20"/>
        <v>25</v>
      </c>
      <c r="N122" s="2745">
        <f t="shared" si="21"/>
        <v>20</v>
      </c>
      <c r="O122" s="1232">
        <f t="shared" si="22"/>
        <v>0</v>
      </c>
      <c r="P122" s="1227" t="str">
        <f t="shared" si="23"/>
        <v>370gsm GB MEHALI ECO GREEN - INDIA</v>
      </c>
      <c r="Q122" s="254">
        <v>0.496</v>
      </c>
      <c r="R122" s="1228" t="str">
        <f t="shared" si="26"/>
        <v>370</v>
      </c>
      <c r="S122" s="2625">
        <f t="shared" si="17"/>
        <v>0</v>
      </c>
      <c r="T122" s="2747">
        <f>IF(L122&gt;0,IF(input!$B$2=$O$1,(((L122+Y122/22)+(L122+Y122/22)*$AG122+$X122)*$P$11+$M$7)/1000,(((L122+Y122/22)+(L122+Y122/22)*O122+(L122+Y122/22)*$AG122+$X122)*$P$11+$M$7)/1000),0)</f>
        <v>0</v>
      </c>
      <c r="U122" s="2747">
        <f t="shared" si="24"/>
        <v>0</v>
      </c>
      <c r="V122" s="1229"/>
      <c r="W122" s="1231" t="str">
        <f t="shared" si="18"/>
        <v>CIF</v>
      </c>
      <c r="X122" s="1230">
        <f t="shared" si="31"/>
        <v>0</v>
      </c>
      <c r="Y122" s="2625">
        <f t="shared" si="27"/>
        <v>0</v>
      </c>
      <c r="Z122" s="3208">
        <f t="shared" si="28"/>
        <v>838.18181818181813</v>
      </c>
      <c r="AA122" s="1220" t="s">
        <v>2815</v>
      </c>
      <c r="AB122" s="1220" t="s">
        <v>1393</v>
      </c>
      <c r="AC122" s="251" t="str">
        <f t="shared" si="25"/>
        <v>370gsm GB MEHALI ECO GREEN - INDIA</v>
      </c>
      <c r="AD122" s="2746">
        <f>IF(L122&gt;0,IF(input!$B$2=$O$1,(((M122)+(M122)*$M$10)*$P$11)/1000,(((M122)+(M122)*O122+(M122)*$M$10)*$P$11)/1000),0)</f>
        <v>0</v>
      </c>
      <c r="AE122" s="2746">
        <f>IF(L122&gt;0,IF(input!$B$2=$O$1,(((N122)+(N122)*$M$10)*$P$11)/1000,(((N122)+(N122)*O122+(N122)*$M$10)*$P$11)/1000),0)</f>
        <v>0</v>
      </c>
      <c r="AF122" s="136" t="str">
        <f t="shared" si="29"/>
        <v>FSC</v>
      </c>
      <c r="AG122" s="2628">
        <f t="shared" si="30"/>
        <v>1.4666666666666666E-2</v>
      </c>
      <c r="AH122" s="1266">
        <v>0.1</v>
      </c>
    </row>
    <row r="123" spans="1:34" ht="12.75">
      <c r="A123" s="2199">
        <f t="shared" si="19"/>
        <v>111</v>
      </c>
      <c r="B123" s="2200" t="s">
        <v>2409</v>
      </c>
      <c r="C123" s="2743">
        <v>0</v>
      </c>
      <c r="D123" s="2743">
        <v>0</v>
      </c>
      <c r="E123" s="2949">
        <v>0</v>
      </c>
      <c r="F123" s="2200">
        <v>20</v>
      </c>
      <c r="G123" s="2200" t="s">
        <v>2038</v>
      </c>
      <c r="H123" s="2200" t="s">
        <v>1057</v>
      </c>
      <c r="I123" s="2742">
        <v>25</v>
      </c>
      <c r="J123" s="2742"/>
      <c r="K123" s="2752">
        <v>55</v>
      </c>
      <c r="L123" s="2745">
        <f t="shared" si="16"/>
        <v>0</v>
      </c>
      <c r="M123" s="2745">
        <f t="shared" si="20"/>
        <v>25</v>
      </c>
      <c r="N123" s="2745">
        <f t="shared" si="21"/>
        <v>20</v>
      </c>
      <c r="O123" s="1232">
        <f t="shared" si="22"/>
        <v>0</v>
      </c>
      <c r="P123" s="1227" t="str">
        <f t="shared" si="23"/>
        <v>380gsm GB MEHALI ECO GREEN - INDIA</v>
      </c>
      <c r="Q123" s="254">
        <v>0.51300000000000001</v>
      </c>
      <c r="R123" s="1228" t="str">
        <f t="shared" si="26"/>
        <v>380</v>
      </c>
      <c r="S123" s="2625">
        <f t="shared" si="17"/>
        <v>0</v>
      </c>
      <c r="T123" s="2747">
        <f>IF(L123&gt;0,IF(input!$B$2=$O$1,(((L123+Y123/22)+(L123+Y123/22)*$AG123+$X123)*$P$11+$M$7)/1000,(((L123+Y123/22)+(L123+Y123/22)*O123+(L123+Y123/22)*$AG123+$X123)*$P$11+$M$7)/1000),0)</f>
        <v>0</v>
      </c>
      <c r="U123" s="2747">
        <f t="shared" si="24"/>
        <v>0</v>
      </c>
      <c r="V123" s="1229"/>
      <c r="W123" s="1231" t="str">
        <f t="shared" si="18"/>
        <v>CIF</v>
      </c>
      <c r="X123" s="1230">
        <f t="shared" si="31"/>
        <v>0</v>
      </c>
      <c r="Y123" s="2625">
        <f t="shared" si="27"/>
        <v>0</v>
      </c>
      <c r="Z123" s="3208">
        <f t="shared" si="28"/>
        <v>838.18181818181813</v>
      </c>
      <c r="AA123" s="1220" t="s">
        <v>2815</v>
      </c>
      <c r="AB123" s="1220" t="s">
        <v>1393</v>
      </c>
      <c r="AC123" s="251" t="str">
        <f t="shared" si="25"/>
        <v>380gsm GB MEHALI ECO GREEN - INDIA</v>
      </c>
      <c r="AD123" s="2746">
        <f>IF(L123&gt;0,IF(input!$B$2=$O$1,(((M123)+(M123)*$M$10)*$P$11)/1000,(((M123)+(M123)*O123+(M123)*$M$10)*$P$11)/1000),0)</f>
        <v>0</v>
      </c>
      <c r="AE123" s="2746">
        <f>IF(L123&gt;0,IF(input!$B$2=$O$1,(((N123)+(N123)*$M$10)*$P$11)/1000,(((N123)+(N123)*O123+(N123)*$M$10)*$P$11)/1000),0)</f>
        <v>0</v>
      </c>
      <c r="AF123" s="136" t="str">
        <f t="shared" si="29"/>
        <v>FSC</v>
      </c>
      <c r="AG123" s="2628">
        <f t="shared" si="30"/>
        <v>1.4666666666666666E-2</v>
      </c>
      <c r="AH123" s="1266">
        <v>0.1</v>
      </c>
    </row>
    <row r="124" spans="1:34" ht="12.75">
      <c r="A124" s="2199">
        <f t="shared" si="19"/>
        <v>112</v>
      </c>
      <c r="B124" s="2200" t="s">
        <v>2410</v>
      </c>
      <c r="C124" s="2743">
        <v>0</v>
      </c>
      <c r="D124" s="2743">
        <v>0</v>
      </c>
      <c r="E124" s="2949">
        <v>0</v>
      </c>
      <c r="F124" s="2200">
        <v>20</v>
      </c>
      <c r="G124" s="2200" t="s">
        <v>2038</v>
      </c>
      <c r="H124" s="2200" t="s">
        <v>1057</v>
      </c>
      <c r="I124" s="2742">
        <v>25</v>
      </c>
      <c r="J124" s="2742"/>
      <c r="K124" s="2752">
        <v>55</v>
      </c>
      <c r="L124" s="2745">
        <f t="shared" si="16"/>
        <v>0</v>
      </c>
      <c r="M124" s="2745">
        <f t="shared" si="20"/>
        <v>25</v>
      </c>
      <c r="N124" s="2745">
        <f t="shared" si="21"/>
        <v>20</v>
      </c>
      <c r="O124" s="1232">
        <f t="shared" si="22"/>
        <v>0</v>
      </c>
      <c r="P124" s="1227" t="str">
        <f t="shared" si="23"/>
        <v>390gsm GB MEHALI ECO GREEN - INDIA</v>
      </c>
      <c r="Q124" s="254">
        <v>0.52700000000000002</v>
      </c>
      <c r="R124" s="1228" t="str">
        <f t="shared" si="26"/>
        <v>390</v>
      </c>
      <c r="S124" s="2625">
        <f t="shared" si="17"/>
        <v>0</v>
      </c>
      <c r="T124" s="2747">
        <f>IF(L124&gt;0,IF(input!$B$2=$O$1,(((L124+Y124/22)+(L124+Y124/22)*$AG124+$X124)*$P$11+$M$7)/1000,(((L124+Y124/22)+(L124+Y124/22)*O124+(L124+Y124/22)*$AG124+$X124)*$P$11+$M$7)/1000),0)</f>
        <v>0</v>
      </c>
      <c r="U124" s="2747">
        <f t="shared" si="24"/>
        <v>0</v>
      </c>
      <c r="V124" s="1229"/>
      <c r="W124" s="1231" t="str">
        <f t="shared" si="18"/>
        <v>CIF</v>
      </c>
      <c r="X124" s="1230">
        <f t="shared" si="31"/>
        <v>0</v>
      </c>
      <c r="Y124" s="2625">
        <f t="shared" si="27"/>
        <v>0</v>
      </c>
      <c r="Z124" s="3208">
        <f t="shared" si="28"/>
        <v>838.18181818181813</v>
      </c>
      <c r="AA124" s="1220" t="s">
        <v>2815</v>
      </c>
      <c r="AB124" s="1220" t="s">
        <v>1393</v>
      </c>
      <c r="AC124" s="251" t="str">
        <f t="shared" si="25"/>
        <v>390gsm GB MEHALI ECO GREEN - INDIA</v>
      </c>
      <c r="AD124" s="2746">
        <f>IF(L124&gt;0,IF(input!$B$2=$O$1,(((M124)+(M124)*$M$10)*$P$11)/1000,(((M124)+(M124)*O124+(M124)*$M$10)*$P$11)/1000),0)</f>
        <v>0</v>
      </c>
      <c r="AE124" s="2746">
        <f>IF(L124&gt;0,IF(input!$B$2=$O$1,(((N124)+(N124)*$M$10)*$P$11)/1000,(((N124)+(N124)*O124+(N124)*$M$10)*$P$11)/1000),0)</f>
        <v>0</v>
      </c>
      <c r="AF124" s="136" t="str">
        <f t="shared" si="29"/>
        <v>FSC</v>
      </c>
      <c r="AG124" s="2628">
        <f t="shared" si="30"/>
        <v>1.4666666666666666E-2</v>
      </c>
      <c r="AH124" s="1266">
        <v>0.1</v>
      </c>
    </row>
    <row r="125" spans="1:34" ht="12.75">
      <c r="A125" s="2199">
        <f t="shared" si="19"/>
        <v>113</v>
      </c>
      <c r="B125" s="2200" t="s">
        <v>2411</v>
      </c>
      <c r="C125" s="2743">
        <v>0</v>
      </c>
      <c r="D125" s="2743">
        <v>0</v>
      </c>
      <c r="E125" s="2949">
        <v>0</v>
      </c>
      <c r="F125" s="2200">
        <v>20</v>
      </c>
      <c r="G125" s="2200" t="s">
        <v>2038</v>
      </c>
      <c r="H125" s="2200" t="s">
        <v>1057</v>
      </c>
      <c r="I125" s="2742">
        <v>25</v>
      </c>
      <c r="J125" s="2742"/>
      <c r="K125" s="2752">
        <v>55</v>
      </c>
      <c r="L125" s="2745">
        <f t="shared" si="16"/>
        <v>0</v>
      </c>
      <c r="M125" s="2745">
        <f t="shared" si="20"/>
        <v>25</v>
      </c>
      <c r="N125" s="2745">
        <f t="shared" si="21"/>
        <v>20</v>
      </c>
      <c r="O125" s="1232">
        <f t="shared" si="22"/>
        <v>0</v>
      </c>
      <c r="P125" s="1227" t="str">
        <f t="shared" si="23"/>
        <v>400gsm GB MEHALI ECO GREEN - INDIA</v>
      </c>
      <c r="Q125" s="254">
        <v>0.54</v>
      </c>
      <c r="R125" s="1228" t="str">
        <f t="shared" si="26"/>
        <v>400</v>
      </c>
      <c r="S125" s="2625">
        <f t="shared" si="17"/>
        <v>0</v>
      </c>
      <c r="T125" s="2747">
        <f>IF(L125&gt;0,IF(input!$B$2=$O$1,(((L125+Y125/22)+(L125+Y125/22)*$AG125+$X125)*$P$11+$M$7)/1000,(((L125+Y125/22)+(L125+Y125/22)*O125+(L125+Y125/22)*$AG125+$X125)*$P$11+$M$7)/1000),0)</f>
        <v>0</v>
      </c>
      <c r="U125" s="2747">
        <f t="shared" si="24"/>
        <v>0</v>
      </c>
      <c r="V125" s="1229"/>
      <c r="W125" s="1231" t="str">
        <f t="shared" si="18"/>
        <v>CIF</v>
      </c>
      <c r="X125" s="1230">
        <f t="shared" si="31"/>
        <v>0</v>
      </c>
      <c r="Y125" s="2625">
        <f t="shared" si="27"/>
        <v>0</v>
      </c>
      <c r="Z125" s="3208">
        <f t="shared" si="28"/>
        <v>838.18181818181813</v>
      </c>
      <c r="AA125" s="1220" t="s">
        <v>2815</v>
      </c>
      <c r="AB125" s="1220" t="s">
        <v>1393</v>
      </c>
      <c r="AC125" s="251" t="str">
        <f t="shared" si="25"/>
        <v>400gsm GB MEHALI ECO GREEN - INDIA</v>
      </c>
      <c r="AD125" s="2746">
        <f>IF(L125&gt;0,IF(input!$B$2=$O$1,(((M125)+(M125)*$M$10)*$P$11)/1000,(((M125)+(M125)*O125+(M125)*$M$10)*$P$11)/1000),0)</f>
        <v>0</v>
      </c>
      <c r="AE125" s="2746">
        <f>IF(L125&gt;0,IF(input!$B$2=$O$1,(((N125)+(N125)*$M$10)*$P$11)/1000,(((N125)+(N125)*O125+(N125)*$M$10)*$P$11)/1000),0)</f>
        <v>0</v>
      </c>
      <c r="AF125" s="136" t="str">
        <f t="shared" si="29"/>
        <v>FSC</v>
      </c>
      <c r="AG125" s="2628">
        <f t="shared" si="30"/>
        <v>1.4666666666666666E-2</v>
      </c>
      <c r="AH125" s="1266">
        <v>0.1</v>
      </c>
    </row>
    <row r="126" spans="1:34" ht="12.75">
      <c r="A126" s="2199">
        <f t="shared" si="19"/>
        <v>114</v>
      </c>
      <c r="B126" s="2200" t="s">
        <v>2412</v>
      </c>
      <c r="C126" s="2743">
        <v>0</v>
      </c>
      <c r="D126" s="2743">
        <v>0</v>
      </c>
      <c r="E126" s="2949">
        <v>0</v>
      </c>
      <c r="F126" s="2200">
        <v>20</v>
      </c>
      <c r="G126" s="2200" t="s">
        <v>2038</v>
      </c>
      <c r="H126" s="2200" t="s">
        <v>1057</v>
      </c>
      <c r="I126" s="2742">
        <v>25</v>
      </c>
      <c r="J126" s="2742"/>
      <c r="K126" s="2752">
        <v>55</v>
      </c>
      <c r="L126" s="2745">
        <f t="shared" si="16"/>
        <v>0</v>
      </c>
      <c r="M126" s="2745">
        <f t="shared" si="20"/>
        <v>25</v>
      </c>
      <c r="N126" s="2745">
        <f t="shared" si="21"/>
        <v>20</v>
      </c>
      <c r="O126" s="1232">
        <f t="shared" si="22"/>
        <v>0</v>
      </c>
      <c r="P126" s="1227" t="str">
        <f t="shared" si="23"/>
        <v>420gsm GB MEHALI ECO GREEN - INDIA</v>
      </c>
      <c r="Q126" s="254">
        <v>0.57099999999999995</v>
      </c>
      <c r="R126" s="1228" t="str">
        <f t="shared" si="26"/>
        <v>420</v>
      </c>
      <c r="S126" s="2625">
        <f t="shared" si="17"/>
        <v>0</v>
      </c>
      <c r="T126" s="2747">
        <f>IF(L126&gt;0,IF(input!$B$2=$O$1,(((L126+Y126/22)+(L126+Y126/22)*$AG126+$X126)*$P$11+$M$7)/1000,(((L126+Y126/22)+(L126+Y126/22)*O126+(L126+Y126/22)*$AG126+$X126)*$P$11+$M$7)/1000),0)</f>
        <v>0</v>
      </c>
      <c r="U126" s="2747">
        <f t="shared" si="24"/>
        <v>0</v>
      </c>
      <c r="V126" s="1229"/>
      <c r="W126" s="1231" t="str">
        <f t="shared" si="18"/>
        <v>CIF</v>
      </c>
      <c r="X126" s="1230">
        <f t="shared" si="31"/>
        <v>0</v>
      </c>
      <c r="Y126" s="2625">
        <f t="shared" si="27"/>
        <v>0</v>
      </c>
      <c r="Z126" s="3208">
        <f t="shared" si="28"/>
        <v>838.18181818181813</v>
      </c>
      <c r="AA126" s="1220" t="s">
        <v>2815</v>
      </c>
      <c r="AB126" s="1220" t="s">
        <v>1393</v>
      </c>
      <c r="AC126" s="251" t="str">
        <f t="shared" si="25"/>
        <v>420gsm GB MEHALI ECO GREEN - INDIA</v>
      </c>
      <c r="AD126" s="2746">
        <f>IF(L126&gt;0,IF(input!$B$2=$O$1,(((M126)+(M126)*$M$10)*$P$11)/1000,(((M126)+(M126)*O126+(M126)*$M$10)*$P$11)/1000),0)</f>
        <v>0</v>
      </c>
      <c r="AE126" s="2746">
        <f>IF(L126&gt;0,IF(input!$B$2=$O$1,(((N126)+(N126)*$M$10)*$P$11)/1000,(((N126)+(N126)*O126+(N126)*$M$10)*$P$11)/1000),0)</f>
        <v>0</v>
      </c>
      <c r="AF126" s="136" t="str">
        <f t="shared" si="29"/>
        <v>FSC</v>
      </c>
      <c r="AG126" s="2628">
        <f t="shared" si="30"/>
        <v>1.4666666666666666E-2</v>
      </c>
      <c r="AH126" s="1266">
        <v>0.1</v>
      </c>
    </row>
    <row r="127" spans="1:34" ht="12.75">
      <c r="A127" s="2199">
        <f t="shared" si="19"/>
        <v>115</v>
      </c>
      <c r="B127" s="2200" t="s">
        <v>2413</v>
      </c>
      <c r="C127" s="2743">
        <v>0</v>
      </c>
      <c r="D127" s="2743">
        <v>0</v>
      </c>
      <c r="E127" s="2949">
        <v>0</v>
      </c>
      <c r="F127" s="2200">
        <v>20</v>
      </c>
      <c r="G127" s="2200" t="s">
        <v>2038</v>
      </c>
      <c r="H127" s="2200" t="s">
        <v>1057</v>
      </c>
      <c r="I127" s="2742">
        <v>25</v>
      </c>
      <c r="J127" s="2742"/>
      <c r="K127" s="2752">
        <v>55</v>
      </c>
      <c r="L127" s="2745">
        <f t="shared" si="16"/>
        <v>0</v>
      </c>
      <c r="M127" s="2745">
        <f t="shared" si="20"/>
        <v>25</v>
      </c>
      <c r="N127" s="2745">
        <f t="shared" si="21"/>
        <v>20</v>
      </c>
      <c r="O127" s="1232">
        <f t="shared" si="22"/>
        <v>0</v>
      </c>
      <c r="P127" s="1227" t="str">
        <f t="shared" si="23"/>
        <v>430gsm GB MEHALI ECO GREEN - INDIA</v>
      </c>
      <c r="Q127" s="254">
        <v>0.58499999999999996</v>
      </c>
      <c r="R127" s="1228" t="str">
        <f t="shared" si="26"/>
        <v>430</v>
      </c>
      <c r="S127" s="2625">
        <f t="shared" si="17"/>
        <v>0</v>
      </c>
      <c r="T127" s="2747">
        <f>IF(L127&gt;0,IF(input!$B$2=$O$1,(((L127+Y127/22)+(L127+Y127/22)*$AG127+$X127)*$P$11+$M$7)/1000,(((L127+Y127/22)+(L127+Y127/22)*O127+(L127+Y127/22)*$AG127+$X127)*$P$11+$M$7)/1000),0)</f>
        <v>0</v>
      </c>
      <c r="U127" s="2747">
        <f t="shared" si="24"/>
        <v>0</v>
      </c>
      <c r="V127" s="1229"/>
      <c r="W127" s="1231" t="str">
        <f t="shared" si="18"/>
        <v>CIF</v>
      </c>
      <c r="X127" s="1230">
        <f t="shared" si="31"/>
        <v>0</v>
      </c>
      <c r="Y127" s="2625">
        <f t="shared" si="27"/>
        <v>0</v>
      </c>
      <c r="Z127" s="3208">
        <f t="shared" si="28"/>
        <v>838.18181818181813</v>
      </c>
      <c r="AA127" s="1220" t="s">
        <v>2815</v>
      </c>
      <c r="AB127" s="1220" t="s">
        <v>1393</v>
      </c>
      <c r="AC127" s="251" t="str">
        <f t="shared" si="25"/>
        <v>430gsm GB MEHALI ECO GREEN - INDIA</v>
      </c>
      <c r="AD127" s="2746">
        <f>IF(L127&gt;0,IF(input!$B$2=$O$1,(((M127)+(M127)*$M$10)*$P$11)/1000,(((M127)+(M127)*O127+(M127)*$M$10)*$P$11)/1000),0)</f>
        <v>0</v>
      </c>
      <c r="AE127" s="2746">
        <f>IF(L127&gt;0,IF(input!$B$2=$O$1,(((N127)+(N127)*$M$10)*$P$11)/1000,(((N127)+(N127)*O127+(N127)*$M$10)*$P$11)/1000),0)</f>
        <v>0</v>
      </c>
      <c r="AF127" s="136" t="str">
        <f t="shared" si="29"/>
        <v>FSC</v>
      </c>
      <c r="AG127" s="2628">
        <f t="shared" si="30"/>
        <v>1.4666666666666666E-2</v>
      </c>
      <c r="AH127" s="1266">
        <v>0.1</v>
      </c>
    </row>
    <row r="128" spans="1:34" ht="12.75" collapsed="1">
      <c r="A128" s="2199">
        <f t="shared" si="19"/>
        <v>116</v>
      </c>
      <c r="B128" s="2200" t="s">
        <v>2414</v>
      </c>
      <c r="C128" s="2743">
        <v>0</v>
      </c>
      <c r="D128" s="2743">
        <v>0</v>
      </c>
      <c r="E128" s="2949">
        <v>0</v>
      </c>
      <c r="F128" s="2200">
        <v>20</v>
      </c>
      <c r="G128" s="2200" t="s">
        <v>2038</v>
      </c>
      <c r="H128" s="2200" t="s">
        <v>1057</v>
      </c>
      <c r="I128" s="2742">
        <v>25</v>
      </c>
      <c r="J128" s="2742"/>
      <c r="K128" s="2752">
        <v>55</v>
      </c>
      <c r="L128" s="2745">
        <f t="shared" si="16"/>
        <v>0</v>
      </c>
      <c r="M128" s="2745">
        <f t="shared" si="20"/>
        <v>25</v>
      </c>
      <c r="N128" s="2745">
        <f t="shared" si="21"/>
        <v>20</v>
      </c>
      <c r="O128" s="1232">
        <f t="shared" si="22"/>
        <v>0</v>
      </c>
      <c r="P128" s="1227" t="str">
        <f t="shared" si="23"/>
        <v>450gsm GB MEHALI ECO GREEN - INDIA</v>
      </c>
      <c r="Q128" s="254">
        <v>0.61199999999999999</v>
      </c>
      <c r="R128" s="1228" t="str">
        <f t="shared" si="26"/>
        <v>450</v>
      </c>
      <c r="S128" s="2625">
        <f t="shared" si="17"/>
        <v>0</v>
      </c>
      <c r="T128" s="2747">
        <f>IF(L128&gt;0,IF(input!$B$2=$O$1,(((L128+Y128/22)+(L128+Y128/22)*$AG128+$X128)*$P$11+$M$7)/1000,(((L128+Y128/22)+(L128+Y128/22)*O128+(L128+Y128/22)*$AG128+$X128)*$P$11+$M$7)/1000),0)</f>
        <v>0</v>
      </c>
      <c r="U128" s="2747">
        <f t="shared" si="24"/>
        <v>0</v>
      </c>
      <c r="V128" s="1229"/>
      <c r="W128" s="1231" t="str">
        <f t="shared" si="18"/>
        <v>CIF</v>
      </c>
      <c r="X128" s="1230">
        <f t="shared" si="31"/>
        <v>0</v>
      </c>
      <c r="Y128" s="2625">
        <f t="shared" si="27"/>
        <v>0</v>
      </c>
      <c r="Z128" s="3208">
        <f t="shared" si="28"/>
        <v>838.18181818181813</v>
      </c>
      <c r="AA128" s="1220" t="s">
        <v>2815</v>
      </c>
      <c r="AB128" s="1220" t="s">
        <v>1393</v>
      </c>
      <c r="AC128" s="251" t="str">
        <f t="shared" si="25"/>
        <v>450gsm GB MEHALI ECO GREEN - INDIA</v>
      </c>
      <c r="AD128" s="2746">
        <f>IF(L128&gt;0,IF(input!$B$2=$O$1,(((M128)+(M128)*$M$10)*$P$11)/1000,(((M128)+(M128)*O128+(M128)*$M$10)*$P$11)/1000),0)</f>
        <v>0</v>
      </c>
      <c r="AE128" s="2746">
        <f>IF(L128&gt;0,IF(input!$B$2=$O$1,(((N128)+(N128)*$M$10)*$P$11)/1000,(((N128)+(N128)*O128+(N128)*$M$10)*$P$11)/1000),0)</f>
        <v>0</v>
      </c>
      <c r="AF128" s="136" t="str">
        <f t="shared" si="29"/>
        <v>FSC</v>
      </c>
      <c r="AG128" s="2628">
        <f t="shared" si="30"/>
        <v>1.4666666666666666E-2</v>
      </c>
      <c r="AH128" s="1266">
        <v>0.1</v>
      </c>
    </row>
    <row r="129" spans="1:34" ht="12.75">
      <c r="A129" s="2199">
        <f t="shared" si="19"/>
        <v>117</v>
      </c>
      <c r="B129" s="2200" t="s">
        <v>2415</v>
      </c>
      <c r="C129" s="2743">
        <v>0</v>
      </c>
      <c r="D129" s="2743">
        <v>0</v>
      </c>
      <c r="E129" s="2949" t="s">
        <v>2313</v>
      </c>
      <c r="F129" s="2200">
        <v>0</v>
      </c>
      <c r="G129" s="2200" t="s">
        <v>2038</v>
      </c>
      <c r="H129" s="2200" t="s">
        <v>1057</v>
      </c>
      <c r="I129" s="2742">
        <v>20</v>
      </c>
      <c r="J129" s="2742"/>
      <c r="K129" s="2752">
        <v>70</v>
      </c>
      <c r="L129" s="2745">
        <f t="shared" si="16"/>
        <v>0</v>
      </c>
      <c r="M129" s="2745">
        <f t="shared" si="20"/>
        <v>20</v>
      </c>
      <c r="N129" s="2745">
        <f t="shared" si="21"/>
        <v>0</v>
      </c>
      <c r="O129" s="1232" t="str">
        <f t="shared" si="22"/>
        <v>check</v>
      </c>
      <c r="P129" s="1227" t="str">
        <f t="shared" si="23"/>
        <v>230gsm GB GAYATRISHAKTI - INDIA</v>
      </c>
      <c r="Q129" s="254">
        <v>0.27100000000000002</v>
      </c>
      <c r="R129" s="1228" t="str">
        <f t="shared" si="26"/>
        <v>230</v>
      </c>
      <c r="S129" s="2625">
        <f t="shared" si="17"/>
        <v>0</v>
      </c>
      <c r="T129" s="2747">
        <f>IF(L129&gt;0,IF(input!$B$2=$O$1,(((L129+Y129/22)+(L129+Y129/22)*$AG129+$X129)*$P$11+$M$7)/1000,(((L129+Y129/22)+(L129+Y129/22)*O129+(L129+Y129/22)*$AG129+$X129)*$P$11+$M$7)/1000),0)</f>
        <v>0</v>
      </c>
      <c r="U129" s="2747">
        <f t="shared" si="24"/>
        <v>0</v>
      </c>
      <c r="V129" s="1229"/>
      <c r="W129" s="1231" t="str">
        <f t="shared" si="18"/>
        <v>CIF</v>
      </c>
      <c r="X129" s="1230">
        <f t="shared" si="31"/>
        <v>0</v>
      </c>
      <c r="Y129" s="2625">
        <f t="shared" si="27"/>
        <v>0</v>
      </c>
      <c r="Z129" s="3208">
        <f t="shared" si="28"/>
        <v>838.18181818181813</v>
      </c>
      <c r="AA129" s="1220" t="s">
        <v>2816</v>
      </c>
      <c r="AB129" s="1220" t="s">
        <v>1393</v>
      </c>
      <c r="AC129" s="251" t="str">
        <f t="shared" si="25"/>
        <v>230gsm GB GAYATRISHAKTI - INDIA</v>
      </c>
      <c r="AD129" s="2746">
        <f>IF(L129&gt;0,IF(input!$B$2=$O$1,(((M129)+(M129)*$M$10)*$P$11)/1000,(((M129)+(M129)*O129+(M129)*$M$10)*$P$11)/1000),0)</f>
        <v>0</v>
      </c>
      <c r="AE129" s="2746">
        <f>IF(L129&gt;0,IF(input!$B$2=$O$1,(((N129)+(N129)*$M$10)*$P$11)/1000,(((N129)+(N129)*O129+(N129)*$M$10)*$P$11)/1000),0)</f>
        <v>0</v>
      </c>
      <c r="AF129" s="136" t="str">
        <f t="shared" si="29"/>
        <v>FSC</v>
      </c>
      <c r="AG129" s="2628">
        <f t="shared" si="30"/>
        <v>1.8666666666666668E-2</v>
      </c>
      <c r="AH129" s="1266">
        <v>0.1</v>
      </c>
    </row>
    <row r="130" spans="1:34" ht="12.75">
      <c r="A130" s="2199">
        <f t="shared" si="19"/>
        <v>118</v>
      </c>
      <c r="B130" s="2200" t="s">
        <v>2416</v>
      </c>
      <c r="C130" s="2743">
        <v>0</v>
      </c>
      <c r="D130" s="2743">
        <v>0</v>
      </c>
      <c r="E130" s="2949" t="s">
        <v>2313</v>
      </c>
      <c r="F130" s="2200">
        <v>0</v>
      </c>
      <c r="G130" s="2200" t="s">
        <v>2038</v>
      </c>
      <c r="H130" s="2200" t="s">
        <v>1057</v>
      </c>
      <c r="I130" s="2742">
        <v>20</v>
      </c>
      <c r="J130" s="2742"/>
      <c r="K130" s="2752">
        <v>70</v>
      </c>
      <c r="L130" s="2745">
        <f t="shared" si="16"/>
        <v>0</v>
      </c>
      <c r="M130" s="2745">
        <f t="shared" si="20"/>
        <v>20</v>
      </c>
      <c r="N130" s="2745">
        <f t="shared" si="21"/>
        <v>0</v>
      </c>
      <c r="O130" s="1232" t="str">
        <f t="shared" si="22"/>
        <v>check</v>
      </c>
      <c r="P130" s="1227" t="str">
        <f t="shared" si="23"/>
        <v>250gsm GB GAYATRISHAKTI - INDIA</v>
      </c>
      <c r="Q130" s="254">
        <v>0.29499999999999998</v>
      </c>
      <c r="R130" s="1228" t="str">
        <f t="shared" si="26"/>
        <v>250</v>
      </c>
      <c r="S130" s="2625">
        <f t="shared" si="17"/>
        <v>0</v>
      </c>
      <c r="T130" s="2747">
        <f>IF(L130&gt;0,IF(input!$B$2=$O$1,(((L130+Y130/22)+(L130+Y130/22)*$AG130+$X130)*$P$11+$M$7)/1000,(((L130+Y130/22)+(L130+Y130/22)*O130+(L130+Y130/22)*$AG130+$X130)*$P$11+$M$7)/1000),0)</f>
        <v>0</v>
      </c>
      <c r="U130" s="2747">
        <f t="shared" si="24"/>
        <v>0</v>
      </c>
      <c r="V130" s="1229"/>
      <c r="W130" s="1231" t="str">
        <f t="shared" si="18"/>
        <v>CIF</v>
      </c>
      <c r="X130" s="1230">
        <f t="shared" si="31"/>
        <v>0</v>
      </c>
      <c r="Y130" s="2625">
        <f t="shared" si="27"/>
        <v>0</v>
      </c>
      <c r="Z130" s="3208">
        <f t="shared" si="28"/>
        <v>838.18181818181813</v>
      </c>
      <c r="AA130" s="1220" t="s">
        <v>2816</v>
      </c>
      <c r="AB130" s="1220" t="s">
        <v>1393</v>
      </c>
      <c r="AC130" s="251" t="str">
        <f t="shared" si="25"/>
        <v>250gsm GB GAYATRISHAKTI - INDIA</v>
      </c>
      <c r="AD130" s="2746">
        <f>IF(L130&gt;0,IF(input!$B$2=$O$1,(((M130)+(M130)*$M$10)*$P$11)/1000,(((M130)+(M130)*O130+(M130)*$M$10)*$P$11)/1000),0)</f>
        <v>0</v>
      </c>
      <c r="AE130" s="2746">
        <f>IF(L130&gt;0,IF(input!$B$2=$O$1,(((N130)+(N130)*$M$10)*$P$11)/1000,(((N130)+(N130)*O130+(N130)*$M$10)*$P$11)/1000),0)</f>
        <v>0</v>
      </c>
      <c r="AF130" s="136" t="str">
        <f t="shared" si="29"/>
        <v>FSC</v>
      </c>
      <c r="AG130" s="2628">
        <f t="shared" si="30"/>
        <v>1.8666666666666668E-2</v>
      </c>
      <c r="AH130" s="1266">
        <v>0.1</v>
      </c>
    </row>
    <row r="131" spans="1:34" ht="12.75">
      <c r="A131" s="2199">
        <f t="shared" si="19"/>
        <v>119</v>
      </c>
      <c r="B131" s="2200" t="s">
        <v>2417</v>
      </c>
      <c r="C131" s="2743">
        <v>0</v>
      </c>
      <c r="D131" s="2743">
        <v>0</v>
      </c>
      <c r="E131" s="2949" t="s">
        <v>2313</v>
      </c>
      <c r="F131" s="2200">
        <v>0</v>
      </c>
      <c r="G131" s="2200" t="s">
        <v>2038</v>
      </c>
      <c r="H131" s="2200" t="s">
        <v>1057</v>
      </c>
      <c r="I131" s="2742">
        <v>20</v>
      </c>
      <c r="J131" s="2742"/>
      <c r="K131" s="2752">
        <v>70</v>
      </c>
      <c r="L131" s="2745">
        <f t="shared" si="16"/>
        <v>0</v>
      </c>
      <c r="M131" s="2745">
        <f t="shared" si="20"/>
        <v>20</v>
      </c>
      <c r="N131" s="2745">
        <f t="shared" si="21"/>
        <v>0</v>
      </c>
      <c r="O131" s="1232" t="str">
        <f t="shared" si="22"/>
        <v>check</v>
      </c>
      <c r="P131" s="1227" t="str">
        <f t="shared" si="23"/>
        <v>260gsm GB GAYATRISHAKTI - INDIA</v>
      </c>
      <c r="Q131" s="254">
        <v>0.30599999999999999</v>
      </c>
      <c r="R131" s="1228" t="str">
        <f t="shared" si="26"/>
        <v>260</v>
      </c>
      <c r="S131" s="2625">
        <f t="shared" si="17"/>
        <v>0</v>
      </c>
      <c r="T131" s="2747">
        <f>IF(L131&gt;0,IF(input!$B$2=$O$1,(((L131+Y131/22)+(L131+Y131/22)*$AG131+$X131)*$P$11+$M$7)/1000,(((L131+Y131/22)+(L131+Y131/22)*O131+(L131+Y131/22)*$AG131+$X131)*$P$11+$M$7)/1000),0)</f>
        <v>0</v>
      </c>
      <c r="U131" s="2747">
        <f t="shared" si="24"/>
        <v>0</v>
      </c>
      <c r="V131" s="1229"/>
      <c r="W131" s="1231" t="str">
        <f t="shared" si="18"/>
        <v>CIF</v>
      </c>
      <c r="X131" s="1230">
        <f t="shared" si="31"/>
        <v>0</v>
      </c>
      <c r="Y131" s="2625">
        <f t="shared" si="27"/>
        <v>0</v>
      </c>
      <c r="Z131" s="3208">
        <f t="shared" si="28"/>
        <v>838.18181818181813</v>
      </c>
      <c r="AA131" s="1220" t="s">
        <v>2816</v>
      </c>
      <c r="AB131" s="1220" t="s">
        <v>1393</v>
      </c>
      <c r="AC131" s="251" t="str">
        <f t="shared" si="25"/>
        <v>260gsm GB GAYATRISHAKTI - INDIA</v>
      </c>
      <c r="AD131" s="2746">
        <f>IF(L131&gt;0,IF(input!$B$2=$O$1,(((M131)+(M131)*$M$10)*$P$11)/1000,(((M131)+(M131)*O131+(M131)*$M$10)*$P$11)/1000),0)</f>
        <v>0</v>
      </c>
      <c r="AE131" s="2746">
        <f>IF(L131&gt;0,IF(input!$B$2=$O$1,(((N131)+(N131)*$M$10)*$P$11)/1000,(((N131)+(N131)*O131+(N131)*$M$10)*$P$11)/1000),0)</f>
        <v>0</v>
      </c>
      <c r="AF131" s="136" t="str">
        <f t="shared" si="29"/>
        <v>FSC</v>
      </c>
      <c r="AG131" s="2628">
        <f t="shared" si="30"/>
        <v>1.8666666666666668E-2</v>
      </c>
      <c r="AH131" s="1266">
        <v>0.1</v>
      </c>
    </row>
    <row r="132" spans="1:34" ht="12.75">
      <c r="A132" s="2199">
        <f t="shared" si="19"/>
        <v>120</v>
      </c>
      <c r="B132" s="2200" t="s">
        <v>2418</v>
      </c>
      <c r="C132" s="2743">
        <v>0</v>
      </c>
      <c r="D132" s="2743">
        <v>0</v>
      </c>
      <c r="E132" s="2949" t="s">
        <v>2313</v>
      </c>
      <c r="F132" s="2200">
        <v>0</v>
      </c>
      <c r="G132" s="2200" t="s">
        <v>2038</v>
      </c>
      <c r="H132" s="2200" t="s">
        <v>1057</v>
      </c>
      <c r="I132" s="2742">
        <v>20</v>
      </c>
      <c r="J132" s="2742"/>
      <c r="K132" s="2752">
        <v>70</v>
      </c>
      <c r="L132" s="2745">
        <f t="shared" si="16"/>
        <v>0</v>
      </c>
      <c r="M132" s="2745">
        <f t="shared" si="20"/>
        <v>20</v>
      </c>
      <c r="N132" s="2745">
        <f t="shared" si="21"/>
        <v>0</v>
      </c>
      <c r="O132" s="1232" t="str">
        <f t="shared" si="22"/>
        <v>check</v>
      </c>
      <c r="P132" s="1227" t="str">
        <f t="shared" si="23"/>
        <v>285gsm GB GAYATRISHAKTI - INDIA</v>
      </c>
      <c r="Q132" s="254">
        <v>0.34200000000000003</v>
      </c>
      <c r="R132" s="1228" t="str">
        <f t="shared" si="26"/>
        <v>285</v>
      </c>
      <c r="S132" s="2625">
        <f t="shared" si="17"/>
        <v>0</v>
      </c>
      <c r="T132" s="2747">
        <f>IF(L132&gt;0,IF(input!$B$2=$O$1,(((L132+Y132/22)+(L132+Y132/22)*$AG132+$X132)*$P$11+$M$7)/1000,(((L132+Y132/22)+(L132+Y132/22)*O132+(L132+Y132/22)*$AG132+$X132)*$P$11+$M$7)/1000),0)</f>
        <v>0</v>
      </c>
      <c r="U132" s="2747">
        <f t="shared" si="24"/>
        <v>0</v>
      </c>
      <c r="V132" s="1229"/>
      <c r="W132" s="1231" t="str">
        <f t="shared" si="18"/>
        <v>CIF</v>
      </c>
      <c r="X132" s="1230">
        <f t="shared" si="31"/>
        <v>0</v>
      </c>
      <c r="Y132" s="2625">
        <f t="shared" si="27"/>
        <v>0</v>
      </c>
      <c r="Z132" s="3208">
        <f t="shared" si="28"/>
        <v>838.18181818181813</v>
      </c>
      <c r="AA132" s="1220" t="s">
        <v>2816</v>
      </c>
      <c r="AB132" s="1220" t="s">
        <v>1393</v>
      </c>
      <c r="AC132" s="251" t="str">
        <f t="shared" si="25"/>
        <v>285gsm GB GAYATRISHAKTI - INDIA</v>
      </c>
      <c r="AD132" s="2746">
        <f>IF(L132&gt;0,IF(input!$B$2=$O$1,(((M132)+(M132)*$M$10)*$P$11)/1000,(((M132)+(M132)*O132+(M132)*$M$10)*$P$11)/1000),0)</f>
        <v>0</v>
      </c>
      <c r="AE132" s="2746">
        <f>IF(L132&gt;0,IF(input!$B$2=$O$1,(((N132)+(N132)*$M$10)*$P$11)/1000,(((N132)+(N132)*O132+(N132)*$M$10)*$P$11)/1000),0)</f>
        <v>0</v>
      </c>
      <c r="AF132" s="136" t="str">
        <f t="shared" si="29"/>
        <v>FSC</v>
      </c>
      <c r="AG132" s="2628">
        <f t="shared" si="30"/>
        <v>1.8666666666666668E-2</v>
      </c>
      <c r="AH132" s="1266">
        <v>0.1</v>
      </c>
    </row>
    <row r="133" spans="1:34" ht="12.75">
      <c r="A133" s="2199">
        <f t="shared" si="19"/>
        <v>121</v>
      </c>
      <c r="B133" s="2200" t="s">
        <v>2419</v>
      </c>
      <c r="C133" s="2743">
        <v>0</v>
      </c>
      <c r="D133" s="2743">
        <v>0</v>
      </c>
      <c r="E133" s="2949" t="s">
        <v>2313</v>
      </c>
      <c r="F133" s="2200">
        <v>0</v>
      </c>
      <c r="G133" s="2200" t="s">
        <v>2038</v>
      </c>
      <c r="H133" s="2200" t="s">
        <v>1057</v>
      </c>
      <c r="I133" s="2742">
        <v>20</v>
      </c>
      <c r="J133" s="2742"/>
      <c r="K133" s="2752">
        <v>70</v>
      </c>
      <c r="L133" s="2745">
        <f t="shared" si="16"/>
        <v>0</v>
      </c>
      <c r="M133" s="2745">
        <f t="shared" si="20"/>
        <v>20</v>
      </c>
      <c r="N133" s="2745">
        <f t="shared" si="21"/>
        <v>0</v>
      </c>
      <c r="O133" s="1232" t="str">
        <f t="shared" si="22"/>
        <v>check</v>
      </c>
      <c r="P133" s="1227" t="str">
        <f t="shared" si="23"/>
        <v>300gsm GB GAYATRISHAKTI - INDIA</v>
      </c>
      <c r="Q133" s="254">
        <v>0.36599999999999999</v>
      </c>
      <c r="R133" s="1228" t="str">
        <f t="shared" si="26"/>
        <v>300</v>
      </c>
      <c r="S133" s="2625">
        <f t="shared" si="17"/>
        <v>0</v>
      </c>
      <c r="T133" s="2747">
        <f>IF(L133&gt;0,IF(input!$B$2=$O$1,(((L133+Y133/22)+(L133+Y133/22)*$AG133+$X133)*$P$11+$M$7)/1000,(((L133+Y133/22)+(L133+Y133/22)*O133+(L133+Y133/22)*$AG133+$X133)*$P$11+$M$7)/1000),0)</f>
        <v>0</v>
      </c>
      <c r="U133" s="2747">
        <f t="shared" si="24"/>
        <v>0</v>
      </c>
      <c r="V133" s="1229"/>
      <c r="W133" s="1231" t="str">
        <f t="shared" si="18"/>
        <v>CIF</v>
      </c>
      <c r="X133" s="1230">
        <f t="shared" si="31"/>
        <v>0</v>
      </c>
      <c r="Y133" s="2625">
        <f t="shared" si="27"/>
        <v>0</v>
      </c>
      <c r="Z133" s="3208">
        <f t="shared" si="28"/>
        <v>838.18181818181813</v>
      </c>
      <c r="AA133" s="1220" t="s">
        <v>2816</v>
      </c>
      <c r="AB133" s="1220" t="s">
        <v>1393</v>
      </c>
      <c r="AC133" s="251" t="str">
        <f t="shared" si="25"/>
        <v>300gsm GB GAYATRISHAKTI - INDIA</v>
      </c>
      <c r="AD133" s="2746">
        <f>IF(L133&gt;0,IF(input!$B$2=$O$1,(((M133)+(M133)*$M$10)*$P$11)/1000,(((M133)+(M133)*O133+(M133)*$M$10)*$P$11)/1000),0)</f>
        <v>0</v>
      </c>
      <c r="AE133" s="2746">
        <f>IF(L133&gt;0,IF(input!$B$2=$O$1,(((N133)+(N133)*$M$10)*$P$11)/1000,(((N133)+(N133)*O133+(N133)*$M$10)*$P$11)/1000),0)</f>
        <v>0</v>
      </c>
      <c r="AF133" s="136" t="str">
        <f t="shared" si="29"/>
        <v>FSC</v>
      </c>
      <c r="AG133" s="2628">
        <f t="shared" si="30"/>
        <v>1.8666666666666668E-2</v>
      </c>
      <c r="AH133" s="1266">
        <v>0.1</v>
      </c>
    </row>
    <row r="134" spans="1:34" ht="12.75">
      <c r="A134" s="2199">
        <f t="shared" si="19"/>
        <v>122</v>
      </c>
      <c r="B134" s="2200" t="s">
        <v>2420</v>
      </c>
      <c r="C134" s="2743">
        <v>0</v>
      </c>
      <c r="D134" s="2743">
        <v>0</v>
      </c>
      <c r="E134" s="2949" t="s">
        <v>2313</v>
      </c>
      <c r="F134" s="2200">
        <v>0</v>
      </c>
      <c r="G134" s="2200" t="s">
        <v>2038</v>
      </c>
      <c r="H134" s="2200" t="s">
        <v>1057</v>
      </c>
      <c r="I134" s="2742">
        <v>20</v>
      </c>
      <c r="J134" s="2742"/>
      <c r="K134" s="2752">
        <v>70</v>
      </c>
      <c r="L134" s="2745">
        <f t="shared" si="16"/>
        <v>0</v>
      </c>
      <c r="M134" s="2745">
        <f t="shared" si="20"/>
        <v>20</v>
      </c>
      <c r="N134" s="2745">
        <f t="shared" si="21"/>
        <v>0</v>
      </c>
      <c r="O134" s="1232" t="str">
        <f t="shared" si="22"/>
        <v>check</v>
      </c>
      <c r="P134" s="1227" t="str">
        <f t="shared" si="23"/>
        <v>310gsm GB GAYATRISHAKTI - INDIA</v>
      </c>
      <c r="Q134" s="254">
        <v>0.378</v>
      </c>
      <c r="R134" s="1228" t="str">
        <f t="shared" si="26"/>
        <v>310</v>
      </c>
      <c r="S134" s="2625">
        <f t="shared" si="17"/>
        <v>0</v>
      </c>
      <c r="T134" s="2747">
        <f>IF(L134&gt;0,IF(input!$B$2=$O$1,(((L134+Y134/22)+(L134+Y134/22)*$AG134+$X134)*$P$11+$M$7)/1000,(((L134+Y134/22)+(L134+Y134/22)*O134+(L134+Y134/22)*$AG134+$X134)*$P$11+$M$7)/1000),0)</f>
        <v>0</v>
      </c>
      <c r="U134" s="2747">
        <f t="shared" si="24"/>
        <v>0</v>
      </c>
      <c r="V134" s="1229"/>
      <c r="W134" s="1231" t="str">
        <f t="shared" si="18"/>
        <v>CIF</v>
      </c>
      <c r="X134" s="1230">
        <f t="shared" si="31"/>
        <v>0</v>
      </c>
      <c r="Y134" s="2625">
        <f t="shared" si="27"/>
        <v>0</v>
      </c>
      <c r="Z134" s="3208">
        <f t="shared" si="28"/>
        <v>838.18181818181813</v>
      </c>
      <c r="AA134" s="1220" t="s">
        <v>2816</v>
      </c>
      <c r="AB134" s="1220" t="s">
        <v>1393</v>
      </c>
      <c r="AC134" s="251" t="str">
        <f t="shared" si="25"/>
        <v>310gsm GB GAYATRISHAKTI - INDIA</v>
      </c>
      <c r="AD134" s="2746">
        <f>IF(L134&gt;0,IF(input!$B$2=$O$1,(((M134)+(M134)*$M$10)*$P$11)/1000,(((M134)+(M134)*O134+(M134)*$M$10)*$P$11)/1000),0)</f>
        <v>0</v>
      </c>
      <c r="AE134" s="2746">
        <f>IF(L134&gt;0,IF(input!$B$2=$O$1,(((N134)+(N134)*$M$10)*$P$11)/1000,(((N134)+(N134)*O134+(N134)*$M$10)*$P$11)/1000),0)</f>
        <v>0</v>
      </c>
      <c r="AF134" s="136" t="str">
        <f t="shared" si="29"/>
        <v>FSC</v>
      </c>
      <c r="AG134" s="2628">
        <f t="shared" si="30"/>
        <v>1.8666666666666668E-2</v>
      </c>
      <c r="AH134" s="1266">
        <v>0.1</v>
      </c>
    </row>
    <row r="135" spans="1:34" ht="12.75" collapsed="1">
      <c r="A135" s="2199">
        <f t="shared" si="19"/>
        <v>123</v>
      </c>
      <c r="B135" s="2200" t="s">
        <v>2421</v>
      </c>
      <c r="C135" s="2743">
        <v>0</v>
      </c>
      <c r="D135" s="2743">
        <v>0</v>
      </c>
      <c r="E135" s="2949" t="s">
        <v>2313</v>
      </c>
      <c r="F135" s="2200">
        <v>0</v>
      </c>
      <c r="G135" s="2200" t="s">
        <v>2038</v>
      </c>
      <c r="H135" s="2200" t="s">
        <v>1057</v>
      </c>
      <c r="I135" s="2742">
        <v>20</v>
      </c>
      <c r="J135" s="2742"/>
      <c r="K135" s="2752">
        <v>70</v>
      </c>
      <c r="L135" s="2745">
        <f t="shared" si="16"/>
        <v>0</v>
      </c>
      <c r="M135" s="2745">
        <f t="shared" si="20"/>
        <v>20</v>
      </c>
      <c r="N135" s="2745">
        <f t="shared" si="21"/>
        <v>0</v>
      </c>
      <c r="O135" s="1232" t="str">
        <f t="shared" si="22"/>
        <v>check</v>
      </c>
      <c r="P135" s="1227" t="str">
        <f t="shared" si="23"/>
        <v>320gsm GB GAYATRISHAKTI - INDIA</v>
      </c>
      <c r="Q135" s="254">
        <v>0.39</v>
      </c>
      <c r="R135" s="1228" t="str">
        <f t="shared" si="26"/>
        <v>320</v>
      </c>
      <c r="S135" s="2625">
        <f t="shared" si="17"/>
        <v>0</v>
      </c>
      <c r="T135" s="2747">
        <f>IF(L135&gt;0,IF(input!$B$2=$O$1,(((L135+Y135/22)+(L135+Y135/22)*$AG135+$X135)*$P$11+$M$7)/1000,(((L135+Y135/22)+(L135+Y135/22)*O135+(L135+Y135/22)*$AG135+$X135)*$P$11+$M$7)/1000),0)</f>
        <v>0</v>
      </c>
      <c r="U135" s="2747">
        <f t="shared" si="24"/>
        <v>0</v>
      </c>
      <c r="V135" s="1229"/>
      <c r="W135" s="1231" t="str">
        <f t="shared" si="18"/>
        <v>CIF</v>
      </c>
      <c r="X135" s="1230">
        <f t="shared" si="31"/>
        <v>0</v>
      </c>
      <c r="Y135" s="2625">
        <f t="shared" si="27"/>
        <v>0</v>
      </c>
      <c r="Z135" s="3208">
        <f t="shared" si="28"/>
        <v>838.18181818181813</v>
      </c>
      <c r="AA135" s="1220" t="s">
        <v>2816</v>
      </c>
      <c r="AB135" s="1220" t="s">
        <v>1393</v>
      </c>
      <c r="AC135" s="251" t="str">
        <f t="shared" si="25"/>
        <v>320gsm GB GAYATRISHAKTI - INDIA</v>
      </c>
      <c r="AD135" s="2746">
        <f>IF(L135&gt;0,IF(input!$B$2=$O$1,(((M135)+(M135)*$M$10)*$P$11)/1000,(((M135)+(M135)*O135+(M135)*$M$10)*$P$11)/1000),0)</f>
        <v>0</v>
      </c>
      <c r="AE135" s="2746">
        <f>IF(L135&gt;0,IF(input!$B$2=$O$1,(((N135)+(N135)*$M$10)*$P$11)/1000,(((N135)+(N135)*O135+(N135)*$M$10)*$P$11)/1000),0)</f>
        <v>0</v>
      </c>
      <c r="AF135" s="136" t="str">
        <f t="shared" si="29"/>
        <v>FSC</v>
      </c>
      <c r="AG135" s="2628">
        <f t="shared" si="30"/>
        <v>1.8666666666666668E-2</v>
      </c>
      <c r="AH135" s="1266">
        <v>0.1</v>
      </c>
    </row>
    <row r="136" spans="1:34" ht="12.75">
      <c r="A136" s="2199">
        <f t="shared" si="19"/>
        <v>124</v>
      </c>
      <c r="B136" s="2200" t="s">
        <v>2422</v>
      </c>
      <c r="C136" s="2743">
        <v>0</v>
      </c>
      <c r="D136" s="2743">
        <v>0</v>
      </c>
      <c r="E136" s="2949" t="s">
        <v>2313</v>
      </c>
      <c r="F136" s="2200">
        <v>0</v>
      </c>
      <c r="G136" s="2200" t="s">
        <v>2038</v>
      </c>
      <c r="H136" s="2200" t="s">
        <v>1057</v>
      </c>
      <c r="I136" s="2742">
        <v>20</v>
      </c>
      <c r="J136" s="2742"/>
      <c r="K136" s="2752">
        <v>70</v>
      </c>
      <c r="L136" s="2745">
        <f t="shared" si="16"/>
        <v>0</v>
      </c>
      <c r="M136" s="2745">
        <f t="shared" si="20"/>
        <v>20</v>
      </c>
      <c r="N136" s="2745">
        <f t="shared" si="21"/>
        <v>0</v>
      </c>
      <c r="O136" s="1232" t="str">
        <f t="shared" si="22"/>
        <v>check</v>
      </c>
      <c r="P136" s="1227" t="str">
        <f t="shared" si="23"/>
        <v>330gsm GB GAYATRISHAKTI - INDIA</v>
      </c>
      <c r="Q136" s="254">
        <v>0.40660000000000002</v>
      </c>
      <c r="R136" s="1228" t="str">
        <f t="shared" si="26"/>
        <v>330</v>
      </c>
      <c r="S136" s="2625">
        <f t="shared" si="17"/>
        <v>0</v>
      </c>
      <c r="T136" s="2747">
        <f>IF(L136&gt;0,IF(input!$B$2=$O$1,(((L136+Y136/22)+(L136+Y136/22)*$AG136+$X136)*$P$11+$M$7)/1000,(((L136+Y136/22)+(L136+Y136/22)*O136+(L136+Y136/22)*$AG136+$X136)*$P$11+$M$7)/1000),0)</f>
        <v>0</v>
      </c>
      <c r="U136" s="2747">
        <f t="shared" si="24"/>
        <v>0</v>
      </c>
      <c r="V136" s="1229"/>
      <c r="W136" s="1231" t="str">
        <f t="shared" si="18"/>
        <v>CIF</v>
      </c>
      <c r="X136" s="1230">
        <f t="shared" si="31"/>
        <v>0</v>
      </c>
      <c r="Y136" s="2625">
        <f t="shared" si="27"/>
        <v>0</v>
      </c>
      <c r="Z136" s="3208">
        <f t="shared" si="28"/>
        <v>838.18181818181813</v>
      </c>
      <c r="AA136" s="1220" t="s">
        <v>2816</v>
      </c>
      <c r="AB136" s="1220" t="s">
        <v>1393</v>
      </c>
      <c r="AC136" s="251" t="str">
        <f t="shared" si="25"/>
        <v>330gsm GB GAYATRISHAKTI - INDIA</v>
      </c>
      <c r="AD136" s="2746">
        <f>IF(L136&gt;0,IF(input!$B$2=$O$1,(((M136)+(M136)*$M$10)*$P$11)/1000,(((M136)+(M136)*O136+(M136)*$M$10)*$P$11)/1000),0)</f>
        <v>0</v>
      </c>
      <c r="AE136" s="2746">
        <f>IF(L136&gt;0,IF(input!$B$2=$O$1,(((N136)+(N136)*$M$10)*$P$11)/1000,(((N136)+(N136)*O136+(N136)*$M$10)*$P$11)/1000),0)</f>
        <v>0</v>
      </c>
      <c r="AF136" s="136" t="str">
        <f t="shared" si="29"/>
        <v>FSC</v>
      </c>
      <c r="AG136" s="2628">
        <f t="shared" si="30"/>
        <v>1.8666666666666668E-2</v>
      </c>
      <c r="AH136" s="1266">
        <v>0.1</v>
      </c>
    </row>
    <row r="137" spans="1:34" ht="12.75">
      <c r="A137" s="2199">
        <f t="shared" si="19"/>
        <v>125</v>
      </c>
      <c r="B137" s="2200" t="s">
        <v>2423</v>
      </c>
      <c r="C137" s="2743">
        <v>0</v>
      </c>
      <c r="D137" s="2743">
        <v>0</v>
      </c>
      <c r="E137" s="2949" t="s">
        <v>2313</v>
      </c>
      <c r="F137" s="2200">
        <v>0</v>
      </c>
      <c r="G137" s="2200" t="s">
        <v>2038</v>
      </c>
      <c r="H137" s="2200" t="s">
        <v>1057</v>
      </c>
      <c r="I137" s="2742">
        <v>20</v>
      </c>
      <c r="J137" s="2742"/>
      <c r="K137" s="2752">
        <v>70</v>
      </c>
      <c r="L137" s="2745">
        <f t="shared" si="16"/>
        <v>0</v>
      </c>
      <c r="M137" s="2745">
        <f t="shared" si="20"/>
        <v>20</v>
      </c>
      <c r="N137" s="2745">
        <f t="shared" si="21"/>
        <v>0</v>
      </c>
      <c r="O137" s="1232" t="str">
        <f t="shared" si="22"/>
        <v>check</v>
      </c>
      <c r="P137" s="1227" t="str">
        <f t="shared" si="23"/>
        <v>350gsm GB GAYATRISHAKTI - INDIA</v>
      </c>
      <c r="Q137" s="254">
        <v>0.43</v>
      </c>
      <c r="R137" s="1228" t="str">
        <f t="shared" si="26"/>
        <v>350</v>
      </c>
      <c r="S137" s="2625">
        <f t="shared" si="17"/>
        <v>0</v>
      </c>
      <c r="T137" s="2747">
        <f>IF(L137&gt;0,IF(input!$B$2=$O$1,(((L137+Y137/22)+(L137+Y137/22)*$AG137+$X137)*$P$11+$M$7)/1000,(((L137+Y137/22)+(L137+Y137/22)*O137+(L137+Y137/22)*$AG137+$X137)*$P$11+$M$7)/1000),0)</f>
        <v>0</v>
      </c>
      <c r="U137" s="2747">
        <f t="shared" si="24"/>
        <v>0</v>
      </c>
      <c r="V137" s="1229"/>
      <c r="W137" s="1231" t="str">
        <f t="shared" si="18"/>
        <v>CIF</v>
      </c>
      <c r="X137" s="1230">
        <f t="shared" si="31"/>
        <v>0</v>
      </c>
      <c r="Y137" s="2625">
        <f t="shared" si="27"/>
        <v>0</v>
      </c>
      <c r="Z137" s="3208">
        <f t="shared" si="28"/>
        <v>838.18181818181813</v>
      </c>
      <c r="AA137" s="1220" t="s">
        <v>2816</v>
      </c>
      <c r="AB137" s="1220" t="s">
        <v>1393</v>
      </c>
      <c r="AC137" s="251" t="str">
        <f t="shared" si="25"/>
        <v>350gsm GB GAYATRISHAKTI - INDIA</v>
      </c>
      <c r="AD137" s="2746">
        <f>IF(L137&gt;0,IF(input!$B$2=$O$1,(((M137)+(M137)*$M$10)*$P$11)/1000,(((M137)+(M137)*O137+(M137)*$M$10)*$P$11)/1000),0)</f>
        <v>0</v>
      </c>
      <c r="AE137" s="2746">
        <f>IF(L137&gt;0,IF(input!$B$2=$O$1,(((N137)+(N137)*$M$10)*$P$11)/1000,(((N137)+(N137)*O137+(N137)*$M$10)*$P$11)/1000),0)</f>
        <v>0</v>
      </c>
      <c r="AF137" s="136" t="str">
        <f t="shared" si="29"/>
        <v>FSC</v>
      </c>
      <c r="AG137" s="2628">
        <f t="shared" si="30"/>
        <v>1.8666666666666668E-2</v>
      </c>
      <c r="AH137" s="1266">
        <v>0.1</v>
      </c>
    </row>
    <row r="138" spans="1:34" ht="12.75">
      <c r="A138" s="2199">
        <f t="shared" si="19"/>
        <v>126</v>
      </c>
      <c r="B138" s="2200" t="s">
        <v>2424</v>
      </c>
      <c r="C138" s="2743">
        <v>0</v>
      </c>
      <c r="D138" s="2743">
        <v>0</v>
      </c>
      <c r="E138" s="2949" t="s">
        <v>2313</v>
      </c>
      <c r="F138" s="2200">
        <v>0</v>
      </c>
      <c r="G138" s="2200" t="s">
        <v>2038</v>
      </c>
      <c r="H138" s="2200" t="s">
        <v>1057</v>
      </c>
      <c r="I138" s="2742">
        <v>20</v>
      </c>
      <c r="J138" s="2742"/>
      <c r="K138" s="2752">
        <v>70</v>
      </c>
      <c r="L138" s="2745">
        <f t="shared" si="16"/>
        <v>0</v>
      </c>
      <c r="M138" s="2745">
        <f t="shared" si="20"/>
        <v>20</v>
      </c>
      <c r="N138" s="2745">
        <f t="shared" si="21"/>
        <v>0</v>
      </c>
      <c r="O138" s="1232" t="str">
        <f t="shared" si="22"/>
        <v>check</v>
      </c>
      <c r="P138" s="1227" t="str">
        <f t="shared" si="23"/>
        <v>360gsm GB GAYATRISHAKTI - INDIA</v>
      </c>
      <c r="Q138" s="254">
        <v>0.44600000000000001</v>
      </c>
      <c r="R138" s="1228" t="str">
        <f t="shared" si="26"/>
        <v>360</v>
      </c>
      <c r="S138" s="2625">
        <f t="shared" si="17"/>
        <v>0</v>
      </c>
      <c r="T138" s="2747">
        <f>IF(L138&gt;0,IF(input!$B$2=$O$1,(((L138+Y138/22)+(L138+Y138/22)*$AG138+$X138)*$P$11+$M$7)/1000,(((L138+Y138/22)+(L138+Y138/22)*O138+(L138+Y138/22)*$AG138+$X138)*$P$11+$M$7)/1000),0)</f>
        <v>0</v>
      </c>
      <c r="U138" s="2747">
        <f t="shared" si="24"/>
        <v>0</v>
      </c>
      <c r="V138" s="1229"/>
      <c r="W138" s="1231" t="str">
        <f t="shared" si="18"/>
        <v>CIF</v>
      </c>
      <c r="X138" s="1230">
        <f t="shared" si="31"/>
        <v>0</v>
      </c>
      <c r="Y138" s="2625">
        <f t="shared" si="27"/>
        <v>0</v>
      </c>
      <c r="Z138" s="3208">
        <f t="shared" si="28"/>
        <v>838.18181818181813</v>
      </c>
      <c r="AA138" s="1220" t="s">
        <v>2816</v>
      </c>
      <c r="AB138" s="1220" t="s">
        <v>1393</v>
      </c>
      <c r="AC138" s="251" t="str">
        <f t="shared" si="25"/>
        <v>360gsm GB GAYATRISHAKTI - INDIA</v>
      </c>
      <c r="AD138" s="2746">
        <f>IF(L138&gt;0,IF(input!$B$2=$O$1,(((M138)+(M138)*$M$10)*$P$11)/1000,(((M138)+(M138)*O138+(M138)*$M$10)*$P$11)/1000),0)</f>
        <v>0</v>
      </c>
      <c r="AE138" s="2746">
        <f>IF(L138&gt;0,IF(input!$B$2=$O$1,(((N138)+(N138)*$M$10)*$P$11)/1000,(((N138)+(N138)*O138+(N138)*$M$10)*$P$11)/1000),0)</f>
        <v>0</v>
      </c>
      <c r="AF138" s="136" t="str">
        <f t="shared" si="29"/>
        <v>FSC</v>
      </c>
      <c r="AG138" s="2628">
        <f t="shared" si="30"/>
        <v>1.8666666666666668E-2</v>
      </c>
      <c r="AH138" s="1266">
        <v>0.1</v>
      </c>
    </row>
    <row r="139" spans="1:34" ht="12.75">
      <c r="A139" s="2199">
        <f t="shared" si="19"/>
        <v>127</v>
      </c>
      <c r="B139" s="2200" t="s">
        <v>2425</v>
      </c>
      <c r="C139" s="2743">
        <v>0</v>
      </c>
      <c r="D139" s="2743">
        <v>0</v>
      </c>
      <c r="E139" s="2949" t="s">
        <v>2313</v>
      </c>
      <c r="F139" s="2200">
        <v>0</v>
      </c>
      <c r="G139" s="2200" t="s">
        <v>2038</v>
      </c>
      <c r="H139" s="2200" t="s">
        <v>1057</v>
      </c>
      <c r="I139" s="2742">
        <v>20</v>
      </c>
      <c r="J139" s="2742"/>
      <c r="K139" s="2752">
        <v>70</v>
      </c>
      <c r="L139" s="2745">
        <f t="shared" si="16"/>
        <v>0</v>
      </c>
      <c r="M139" s="2745">
        <f t="shared" si="20"/>
        <v>20</v>
      </c>
      <c r="N139" s="2745">
        <f t="shared" si="21"/>
        <v>0</v>
      </c>
      <c r="O139" s="1232" t="str">
        <f t="shared" si="22"/>
        <v>check</v>
      </c>
      <c r="P139" s="1227" t="str">
        <f t="shared" si="23"/>
        <v>380gsm GB GAYATRISHAKTI - INDIA</v>
      </c>
      <c r="Q139" s="254">
        <v>0.47099999999999997</v>
      </c>
      <c r="R139" s="1228" t="str">
        <f t="shared" si="26"/>
        <v>380</v>
      </c>
      <c r="S139" s="2625">
        <f t="shared" si="17"/>
        <v>0</v>
      </c>
      <c r="T139" s="2747">
        <f>IF(L139&gt;0,IF(input!$B$2=$O$1,(((L139+Y139/22)+(L139+Y139/22)*$AG139+$X139)*$P$11+$M$7)/1000,(((L139+Y139/22)+(L139+Y139/22)*O139+(L139+Y139/22)*$AG139+$X139)*$P$11+$M$7)/1000),0)</f>
        <v>0</v>
      </c>
      <c r="U139" s="2747">
        <f t="shared" si="24"/>
        <v>0</v>
      </c>
      <c r="V139" s="1229"/>
      <c r="W139" s="1231" t="str">
        <f t="shared" si="18"/>
        <v>CIF</v>
      </c>
      <c r="X139" s="1230">
        <f t="shared" si="31"/>
        <v>0</v>
      </c>
      <c r="Y139" s="2625">
        <f t="shared" si="27"/>
        <v>0</v>
      </c>
      <c r="Z139" s="3208">
        <f t="shared" si="28"/>
        <v>838.18181818181813</v>
      </c>
      <c r="AA139" s="1220" t="s">
        <v>2816</v>
      </c>
      <c r="AB139" s="1220" t="s">
        <v>1393</v>
      </c>
      <c r="AC139" s="251" t="str">
        <f t="shared" si="25"/>
        <v>380gsm GB GAYATRISHAKTI - INDIA</v>
      </c>
      <c r="AD139" s="2746">
        <f>IF(L139&gt;0,IF(input!$B$2=$O$1,(((M139)+(M139)*$M$10)*$P$11)/1000,(((M139)+(M139)*O139+(M139)*$M$10)*$P$11)/1000),0)</f>
        <v>0</v>
      </c>
      <c r="AE139" s="2746">
        <f>IF(L139&gt;0,IF(input!$B$2=$O$1,(((N139)+(N139)*$M$10)*$P$11)/1000,(((N139)+(N139)*O139+(N139)*$M$10)*$P$11)/1000),0)</f>
        <v>0</v>
      </c>
      <c r="AF139" s="136" t="str">
        <f t="shared" si="29"/>
        <v>FSC</v>
      </c>
      <c r="AG139" s="2628">
        <f t="shared" si="30"/>
        <v>1.8666666666666668E-2</v>
      </c>
      <c r="AH139" s="1266">
        <v>0.1</v>
      </c>
    </row>
    <row r="140" spans="1:34" ht="12.75">
      <c r="A140" s="2199">
        <f t="shared" si="19"/>
        <v>128</v>
      </c>
      <c r="B140" s="2200" t="s">
        <v>2426</v>
      </c>
      <c r="C140" s="2743">
        <v>0</v>
      </c>
      <c r="D140" s="2743">
        <v>0</v>
      </c>
      <c r="E140" s="2949" t="s">
        <v>2313</v>
      </c>
      <c r="F140" s="2200">
        <v>0</v>
      </c>
      <c r="G140" s="2200" t="s">
        <v>2038</v>
      </c>
      <c r="H140" s="2200" t="s">
        <v>1057</v>
      </c>
      <c r="I140" s="2742">
        <v>20</v>
      </c>
      <c r="J140" s="2742"/>
      <c r="K140" s="2752">
        <v>70</v>
      </c>
      <c r="L140" s="2745">
        <f t="shared" si="16"/>
        <v>0</v>
      </c>
      <c r="M140" s="2745">
        <f t="shared" si="20"/>
        <v>20</v>
      </c>
      <c r="N140" s="2745">
        <f t="shared" si="21"/>
        <v>0</v>
      </c>
      <c r="O140" s="1232" t="str">
        <f t="shared" si="22"/>
        <v>check</v>
      </c>
      <c r="P140" s="1227" t="str">
        <f t="shared" si="23"/>
        <v>400gsm GB GAYATRISHAKTI - INDIA</v>
      </c>
      <c r="Q140" s="254">
        <v>0.5</v>
      </c>
      <c r="R140" s="1228" t="str">
        <f t="shared" si="26"/>
        <v>400</v>
      </c>
      <c r="S140" s="2625">
        <f t="shared" si="17"/>
        <v>0</v>
      </c>
      <c r="T140" s="2747">
        <f>IF(L140&gt;0,IF(input!$B$2=$O$1,(((L140+Y140/22)+(L140+Y140/22)*$AG140+$X140)*$P$11+$M$7)/1000,(((L140+Y140/22)+(L140+Y140/22)*O140+(L140+Y140/22)*$AG140+$X140)*$P$11+$M$7)/1000),0)</f>
        <v>0</v>
      </c>
      <c r="U140" s="2747">
        <f t="shared" si="24"/>
        <v>0</v>
      </c>
      <c r="V140" s="1229"/>
      <c r="W140" s="1231" t="str">
        <f t="shared" si="18"/>
        <v>CIF</v>
      </c>
      <c r="X140" s="1230">
        <f t="shared" si="31"/>
        <v>0</v>
      </c>
      <c r="Y140" s="2625">
        <f t="shared" si="27"/>
        <v>0</v>
      </c>
      <c r="Z140" s="3208">
        <f t="shared" si="28"/>
        <v>838.18181818181813</v>
      </c>
      <c r="AA140" s="1220" t="s">
        <v>2816</v>
      </c>
      <c r="AB140" s="1220" t="s">
        <v>1393</v>
      </c>
      <c r="AC140" s="251" t="str">
        <f t="shared" si="25"/>
        <v>400gsm GB GAYATRISHAKTI - INDIA</v>
      </c>
      <c r="AD140" s="2746">
        <f>IF(L140&gt;0,IF(input!$B$2=$O$1,(((M140)+(M140)*$M$10)*$P$11)/1000,(((M140)+(M140)*O140+(M140)*$M$10)*$P$11)/1000),0)</f>
        <v>0</v>
      </c>
      <c r="AE140" s="2746">
        <f>IF(L140&gt;0,IF(input!$B$2=$O$1,(((N140)+(N140)*$M$10)*$P$11)/1000,(((N140)+(N140)*O140+(N140)*$M$10)*$P$11)/1000),0)</f>
        <v>0</v>
      </c>
      <c r="AF140" s="136" t="str">
        <f t="shared" si="29"/>
        <v>FSC</v>
      </c>
      <c r="AG140" s="2628">
        <f t="shared" si="30"/>
        <v>1.8666666666666668E-2</v>
      </c>
      <c r="AH140" s="1266">
        <v>0.1</v>
      </c>
    </row>
    <row r="141" spans="1:34" ht="12.75">
      <c r="A141" s="2199">
        <f t="shared" si="19"/>
        <v>129</v>
      </c>
      <c r="B141" s="2200" t="s">
        <v>2427</v>
      </c>
      <c r="C141" s="2743">
        <v>0</v>
      </c>
      <c r="D141" s="2743">
        <v>0</v>
      </c>
      <c r="E141" s="2949" t="s">
        <v>2313</v>
      </c>
      <c r="F141" s="2200">
        <v>0</v>
      </c>
      <c r="G141" s="2200" t="s">
        <v>2038</v>
      </c>
      <c r="H141" s="2200" t="s">
        <v>1057</v>
      </c>
      <c r="I141" s="2742">
        <v>20</v>
      </c>
      <c r="J141" s="2742"/>
      <c r="K141" s="2752">
        <v>70</v>
      </c>
      <c r="L141" s="2745">
        <f t="shared" si="16"/>
        <v>0</v>
      </c>
      <c r="M141" s="2745">
        <f t="shared" si="20"/>
        <v>20</v>
      </c>
      <c r="N141" s="2745">
        <f t="shared" si="21"/>
        <v>0</v>
      </c>
      <c r="O141" s="1232" t="str">
        <f t="shared" si="22"/>
        <v>check</v>
      </c>
      <c r="P141" s="1227" t="str">
        <f t="shared" si="23"/>
        <v>420gsm GB GAYATRISHAKTI - INDIA</v>
      </c>
      <c r="Q141" s="254">
        <v>0.52500000000000002</v>
      </c>
      <c r="R141" s="1228" t="str">
        <f t="shared" si="26"/>
        <v>420</v>
      </c>
      <c r="S141" s="2625">
        <f t="shared" si="17"/>
        <v>0</v>
      </c>
      <c r="T141" s="2747">
        <f>IF(L141&gt;0,IF(input!$B$2=$O$1,(((L141+Y141/22)+(L141+Y141/22)*$AG141+$X141)*$P$11+$M$7)/1000,(((L141+Y141/22)+(L141+Y141/22)*O141+(L141+Y141/22)*$AG141+$X141)*$P$11+$M$7)/1000),0)</f>
        <v>0</v>
      </c>
      <c r="U141" s="2747">
        <f t="shared" si="24"/>
        <v>0</v>
      </c>
      <c r="V141" s="1229"/>
      <c r="W141" s="1231" t="str">
        <f t="shared" si="18"/>
        <v>CIF</v>
      </c>
      <c r="X141" s="1230">
        <f t="shared" si="31"/>
        <v>0</v>
      </c>
      <c r="Y141" s="2625">
        <f t="shared" si="27"/>
        <v>0</v>
      </c>
      <c r="Z141" s="3208">
        <f t="shared" si="28"/>
        <v>838.18181818181813</v>
      </c>
      <c r="AA141" s="1220" t="s">
        <v>2816</v>
      </c>
      <c r="AB141" s="1220" t="s">
        <v>1393</v>
      </c>
      <c r="AC141" s="251" t="str">
        <f t="shared" si="25"/>
        <v>420gsm GB GAYATRISHAKTI - INDIA</v>
      </c>
      <c r="AD141" s="2746">
        <f>IF(L141&gt;0,IF(input!$B$2=$O$1,(((M141)+(M141)*$M$10)*$P$11)/1000,(((M141)+(M141)*O141+(M141)*$M$10)*$P$11)/1000),0)</f>
        <v>0</v>
      </c>
      <c r="AE141" s="2746">
        <f>IF(L141&gt;0,IF(input!$B$2=$O$1,(((N141)+(N141)*$M$10)*$P$11)/1000,(((N141)+(N141)*O141+(N141)*$M$10)*$P$11)/1000),0)</f>
        <v>0</v>
      </c>
      <c r="AF141" s="136" t="str">
        <f t="shared" si="29"/>
        <v>FSC</v>
      </c>
      <c r="AG141" s="2628">
        <f t="shared" si="30"/>
        <v>1.8666666666666668E-2</v>
      </c>
      <c r="AH141" s="1266">
        <v>0.1</v>
      </c>
    </row>
    <row r="142" spans="1:34" ht="12.75">
      <c r="A142" s="2199">
        <f t="shared" ref="A142:A205" si="32">ROW(A130)</f>
        <v>130</v>
      </c>
      <c r="B142" s="2200" t="s">
        <v>2428</v>
      </c>
      <c r="C142" s="2743">
        <v>0</v>
      </c>
      <c r="D142" s="2743">
        <v>0</v>
      </c>
      <c r="E142" s="2949" t="s">
        <v>2313</v>
      </c>
      <c r="F142" s="2200">
        <v>0</v>
      </c>
      <c r="G142" s="2200" t="s">
        <v>2038</v>
      </c>
      <c r="H142" s="2200" t="s">
        <v>1057</v>
      </c>
      <c r="I142" s="2742">
        <v>20</v>
      </c>
      <c r="J142" s="2742"/>
      <c r="K142" s="2752">
        <v>70</v>
      </c>
      <c r="L142" s="2745">
        <f t="shared" ref="L142:L205" si="33">$D142</f>
        <v>0</v>
      </c>
      <c r="M142" s="2745">
        <f t="shared" si="20"/>
        <v>20</v>
      </c>
      <c r="N142" s="2745">
        <f t="shared" si="21"/>
        <v>0</v>
      </c>
      <c r="O142" s="1232" t="str">
        <f t="shared" si="22"/>
        <v>check</v>
      </c>
      <c r="P142" s="1227" t="str">
        <f t="shared" si="23"/>
        <v>450gsm GB GAYATRISHAKTI - INDIA</v>
      </c>
      <c r="Q142" s="254">
        <v>0.56200000000000006</v>
      </c>
      <c r="R142" s="1228" t="str">
        <f t="shared" si="26"/>
        <v>450</v>
      </c>
      <c r="S142" s="2625">
        <f t="shared" ref="S142:S205" si="34">C142</f>
        <v>0</v>
      </c>
      <c r="T142" s="2747">
        <f>IF(L142&gt;0,IF(input!$B$2=$O$1,(((L142+Y142/22)+(L142+Y142/22)*$AG142+$X142)*$P$11+$M$7)/1000,(((L142+Y142/22)+(L142+Y142/22)*O142+(L142+Y142/22)*$AG142+$X142)*$P$11+$M$7)/1000),0)</f>
        <v>0</v>
      </c>
      <c r="U142" s="2747">
        <f t="shared" ref="U142:U205" si="35">IF(S142&gt;0,(S142/1.08)+Z142,0)</f>
        <v>0</v>
      </c>
      <c r="V142" s="1229"/>
      <c r="W142" s="1231" t="str">
        <f t="shared" ref="W142:W205" si="36">H142</f>
        <v>CIF</v>
      </c>
      <c r="X142" s="1230">
        <f t="shared" si="31"/>
        <v>0</v>
      </c>
      <c r="Y142" s="2625">
        <f t="shared" si="27"/>
        <v>0</v>
      </c>
      <c r="Z142" s="3208">
        <f t="shared" si="28"/>
        <v>838.18181818181813</v>
      </c>
      <c r="AA142" s="1220" t="s">
        <v>2816</v>
      </c>
      <c r="AB142" s="1220" t="s">
        <v>1393</v>
      </c>
      <c r="AC142" s="251" t="str">
        <f t="shared" si="25"/>
        <v>450gsm GB GAYATRISHAKTI - INDIA</v>
      </c>
      <c r="AD142" s="2746">
        <f>IF(L142&gt;0,IF(input!$B$2=$O$1,(((M142)+(M142)*$M$10)*$P$11)/1000,(((M142)+(M142)*O142+(M142)*$M$10)*$P$11)/1000),0)</f>
        <v>0</v>
      </c>
      <c r="AE142" s="2746">
        <f>IF(L142&gt;0,IF(input!$B$2=$O$1,(((N142)+(N142)*$M$10)*$P$11)/1000,(((N142)+(N142)*O142+(N142)*$M$10)*$P$11)/1000),0)</f>
        <v>0</v>
      </c>
      <c r="AF142" s="136" t="str">
        <f t="shared" si="29"/>
        <v>FSC</v>
      </c>
      <c r="AG142" s="2628">
        <f t="shared" si="30"/>
        <v>1.8666666666666668E-2</v>
      </c>
      <c r="AH142" s="1266">
        <v>0.1</v>
      </c>
    </row>
    <row r="143" spans="1:34" ht="12.75">
      <c r="A143" s="2199">
        <f t="shared" si="32"/>
        <v>131</v>
      </c>
      <c r="B143" s="2200" t="s">
        <v>2429</v>
      </c>
      <c r="C143" s="2743">
        <v>0</v>
      </c>
      <c r="D143" s="2743">
        <v>0</v>
      </c>
      <c r="E143" s="2949" t="s">
        <v>2313</v>
      </c>
      <c r="F143" s="2200" t="s">
        <v>2313</v>
      </c>
      <c r="G143" s="2200" t="s">
        <v>127</v>
      </c>
      <c r="H143" s="2200" t="s">
        <v>1057</v>
      </c>
      <c r="I143" s="2742">
        <v>0</v>
      </c>
      <c r="J143" s="2742"/>
      <c r="K143" s="2752">
        <v>70</v>
      </c>
      <c r="L143" s="2745">
        <f t="shared" si="33"/>
        <v>0</v>
      </c>
      <c r="M143" s="2745">
        <f t="shared" ref="M143:M206" si="37">I143</f>
        <v>0</v>
      </c>
      <c r="N143" s="2745" t="str">
        <f t="shared" ref="N143:N206" si="38">$F143</f>
        <v>check</v>
      </c>
      <c r="O143" s="1232" t="str">
        <f t="shared" ref="O143:O206" si="39">$E143</f>
        <v>check</v>
      </c>
      <c r="P143" s="1227" t="str">
        <f t="shared" ref="P143:P206" si="40">R143&amp;"gsm "&amp;AB143&amp;" "&amp;AA143</f>
        <v>270gsm GB OJI - JAPAN</v>
      </c>
      <c r="Q143" s="254">
        <v>0.34799999999999998</v>
      </c>
      <c r="R143" s="1228" t="str">
        <f t="shared" ref="R143:R206" si="41">LEFT(AC143,3)</f>
        <v>270</v>
      </c>
      <c r="S143" s="2625">
        <f t="shared" si="34"/>
        <v>0</v>
      </c>
      <c r="T143" s="2747">
        <f>IF(L143&gt;0,IF(input!$B$2=$O$1,(((L143+Y143/22)+(L143+Y143/22)*$AG143+$X143)*$P$11+$M$7)/1000,(((L143+Y143/22)+(L143+Y143/22)*O143+(L143+Y143/22)*$AG143+$X143)*$P$11+$M$7)/1000),0)</f>
        <v>0</v>
      </c>
      <c r="U143" s="2747">
        <f t="shared" si="35"/>
        <v>0</v>
      </c>
      <c r="V143" s="1229"/>
      <c r="W143" s="1231" t="str">
        <f t="shared" si="36"/>
        <v>CIF</v>
      </c>
      <c r="X143" s="1230">
        <f t="shared" si="31"/>
        <v>0</v>
      </c>
      <c r="Y143" s="2625">
        <f t="shared" si="27"/>
        <v>0</v>
      </c>
      <c r="Z143" s="3208">
        <f t="shared" ref="Z143:Z206" si="42">922000/1.1/1000</f>
        <v>838.18181818181813</v>
      </c>
      <c r="AA143" s="1220" t="s">
        <v>2817</v>
      </c>
      <c r="AB143" s="1220" t="s">
        <v>1393</v>
      </c>
      <c r="AC143" s="251" t="str">
        <f t="shared" ref="AC143:AC206" si="43">B143</f>
        <v>270gsm GB OJI - JAPAN</v>
      </c>
      <c r="AD143" s="2746">
        <f>IF(L143&gt;0,IF(input!$B$2=$O$1,(((M143)+(M143)*$M$10)*$P$11)/1000,(((M143)+(M143)*O143+(M143)*$M$10)*$P$11)/1000),0)</f>
        <v>0</v>
      </c>
      <c r="AE143" s="2746">
        <f>IF(L143&gt;0,IF(input!$B$2=$O$1,(((N143)+(N143)*$M$10)*$P$11)/1000,(((N143)+(N143)*O143+(N143)*$M$10)*$P$11)/1000),0)</f>
        <v>0</v>
      </c>
      <c r="AF143" s="136" t="str">
        <f t="shared" si="29"/>
        <v>None</v>
      </c>
      <c r="AG143" s="2628">
        <f t="shared" si="30"/>
        <v>1.8666666666666668E-2</v>
      </c>
      <c r="AH143" s="1266">
        <v>0.1</v>
      </c>
    </row>
    <row r="144" spans="1:34" ht="12.75">
      <c r="A144" s="2199">
        <f t="shared" si="32"/>
        <v>132</v>
      </c>
      <c r="B144" s="2200" t="s">
        <v>2430</v>
      </c>
      <c r="C144" s="2743">
        <v>0</v>
      </c>
      <c r="D144" s="2743">
        <v>0</v>
      </c>
      <c r="E144" s="2949" t="s">
        <v>2313</v>
      </c>
      <c r="F144" s="2200" t="s">
        <v>2313</v>
      </c>
      <c r="G144" s="2200" t="s">
        <v>127</v>
      </c>
      <c r="H144" s="2200" t="s">
        <v>1057</v>
      </c>
      <c r="I144" s="2742">
        <v>0</v>
      </c>
      <c r="J144" s="2742"/>
      <c r="K144" s="2752">
        <v>70</v>
      </c>
      <c r="L144" s="2745">
        <f t="shared" si="33"/>
        <v>0</v>
      </c>
      <c r="M144" s="2745">
        <f t="shared" si="37"/>
        <v>0</v>
      </c>
      <c r="N144" s="2745" t="str">
        <f t="shared" si="38"/>
        <v>check</v>
      </c>
      <c r="O144" s="1232" t="str">
        <f t="shared" si="39"/>
        <v>check</v>
      </c>
      <c r="P144" s="1227" t="str">
        <f t="shared" si="40"/>
        <v>310gsm GB OJI - JAPAN</v>
      </c>
      <c r="Q144" s="254">
        <v>0.40300000000000002</v>
      </c>
      <c r="R144" s="1228" t="str">
        <f t="shared" si="41"/>
        <v>310</v>
      </c>
      <c r="S144" s="2625">
        <f t="shared" si="34"/>
        <v>0</v>
      </c>
      <c r="T144" s="2747">
        <f>IF(L144&gt;0,IF(input!$B$2=$O$1,(((L144+Y144/22)+(L144+Y144/22)*$AG144+$X144)*$P$11+$M$7)/1000,(((L144+Y144/22)+(L144+Y144/22)*O144+(L144+Y144/22)*$AG144+$X144)*$P$11+$M$7)/1000),0)</f>
        <v>0</v>
      </c>
      <c r="U144" s="2747">
        <f t="shared" si="35"/>
        <v>0</v>
      </c>
      <c r="V144" s="1229"/>
      <c r="W144" s="1231" t="str">
        <f t="shared" si="36"/>
        <v>CIF</v>
      </c>
      <c r="X144" s="1230">
        <f t="shared" si="31"/>
        <v>0</v>
      </c>
      <c r="Y144" s="2625">
        <f t="shared" ref="Y144:Y207" si="44">J144</f>
        <v>0</v>
      </c>
      <c r="Z144" s="3208">
        <f t="shared" si="42"/>
        <v>838.18181818181813</v>
      </c>
      <c r="AA144" s="1220" t="s">
        <v>2817</v>
      </c>
      <c r="AB144" s="1220" t="s">
        <v>1393</v>
      </c>
      <c r="AC144" s="251" t="str">
        <f t="shared" si="43"/>
        <v>310gsm GB OJI - JAPAN</v>
      </c>
      <c r="AD144" s="2746">
        <f>IF(L144&gt;0,IF(input!$B$2=$O$1,(((M144)+(M144)*$M$10)*$P$11)/1000,(((M144)+(M144)*O144+(M144)*$M$10)*$P$11)/1000),0)</f>
        <v>0</v>
      </c>
      <c r="AE144" s="2746">
        <f>IF(L144&gt;0,IF(input!$B$2=$O$1,(((N144)+(N144)*$M$10)*$P$11)/1000,(((N144)+(N144)*O144+(N144)*$M$10)*$P$11)/1000),0)</f>
        <v>0</v>
      </c>
      <c r="AF144" s="136" t="str">
        <f t="shared" ref="AF144:AF207" si="45">G144</f>
        <v>None</v>
      </c>
      <c r="AG144" s="2628">
        <f t="shared" ref="AG144:AG207" si="46">K144*$M$10/30</f>
        <v>1.8666666666666668E-2</v>
      </c>
      <c r="AH144" s="1266">
        <v>0.1</v>
      </c>
    </row>
    <row r="145" spans="1:34" ht="12.75">
      <c r="A145" s="2199">
        <f t="shared" si="32"/>
        <v>133</v>
      </c>
      <c r="B145" s="2200" t="s">
        <v>2431</v>
      </c>
      <c r="C145" s="2743">
        <v>0</v>
      </c>
      <c r="D145" s="2743">
        <v>0</v>
      </c>
      <c r="E145" s="2949" t="s">
        <v>2313</v>
      </c>
      <c r="F145" s="2200" t="s">
        <v>2313</v>
      </c>
      <c r="G145" s="2200" t="s">
        <v>127</v>
      </c>
      <c r="H145" s="2200" t="s">
        <v>1057</v>
      </c>
      <c r="I145" s="2742">
        <v>0</v>
      </c>
      <c r="J145" s="2742"/>
      <c r="K145" s="2752">
        <v>70</v>
      </c>
      <c r="L145" s="2745">
        <f t="shared" si="33"/>
        <v>0</v>
      </c>
      <c r="M145" s="2745">
        <f t="shared" si="37"/>
        <v>0</v>
      </c>
      <c r="N145" s="2745" t="str">
        <f t="shared" si="38"/>
        <v>check</v>
      </c>
      <c r="O145" s="1232" t="str">
        <f t="shared" si="39"/>
        <v>check</v>
      </c>
      <c r="P145" s="1227" t="str">
        <f t="shared" si="40"/>
        <v>350gsm GB OJI - JAPAN</v>
      </c>
      <c r="Q145" s="254">
        <v>0.45200000000000001</v>
      </c>
      <c r="R145" s="1228" t="str">
        <f t="shared" si="41"/>
        <v>350</v>
      </c>
      <c r="S145" s="2625">
        <f t="shared" si="34"/>
        <v>0</v>
      </c>
      <c r="T145" s="2747">
        <f>IF(L145&gt;0,IF(input!$B$2=$O$1,(((L145+Y145/22)+(L145+Y145/22)*$AG145+$X145)*$P$11+$M$7)/1000,(((L145+Y145/22)+(L145+Y145/22)*O145+(L145+Y145/22)*$AG145+$X145)*$P$11+$M$7)/1000),0)</f>
        <v>0</v>
      </c>
      <c r="U145" s="2747">
        <f t="shared" si="35"/>
        <v>0</v>
      </c>
      <c r="V145" s="1229"/>
      <c r="W145" s="1231" t="str">
        <f t="shared" si="36"/>
        <v>CIF</v>
      </c>
      <c r="X145" s="1230">
        <f t="shared" ref="X145:X208" si="47">IF(L145&gt;0,IF(OR(W145="CFR",W145="CRF",W145="CNF",W145="CPT"),1.1*$M$8*(L145+N145),IF(W145="FOB",1.1*$M$8*(L145+N145+Y145/22),0)),0)</f>
        <v>0</v>
      </c>
      <c r="Y145" s="2625">
        <f t="shared" si="44"/>
        <v>0</v>
      </c>
      <c r="Z145" s="3208">
        <f t="shared" si="42"/>
        <v>838.18181818181813</v>
      </c>
      <c r="AA145" s="1220" t="s">
        <v>2817</v>
      </c>
      <c r="AB145" s="1220" t="s">
        <v>1393</v>
      </c>
      <c r="AC145" s="251" t="str">
        <f t="shared" si="43"/>
        <v>350gsm GB OJI - JAPAN</v>
      </c>
      <c r="AD145" s="2746">
        <f>IF(L145&gt;0,IF(input!$B$2=$O$1,(((M145)+(M145)*$M$10)*$P$11)/1000,(((M145)+(M145)*O145+(M145)*$M$10)*$P$11)/1000),0)</f>
        <v>0</v>
      </c>
      <c r="AE145" s="2746">
        <f>IF(L145&gt;0,IF(input!$B$2=$O$1,(((N145)+(N145)*$M$10)*$P$11)/1000,(((N145)+(N145)*O145+(N145)*$M$10)*$P$11)/1000),0)</f>
        <v>0</v>
      </c>
      <c r="AF145" s="136" t="str">
        <f t="shared" si="45"/>
        <v>None</v>
      </c>
      <c r="AG145" s="2628">
        <f t="shared" si="46"/>
        <v>1.8666666666666668E-2</v>
      </c>
      <c r="AH145" s="1266">
        <v>0.1</v>
      </c>
    </row>
    <row r="146" spans="1:34" ht="12.75">
      <c r="A146" s="2199">
        <f t="shared" si="32"/>
        <v>134</v>
      </c>
      <c r="B146" s="2200" t="s">
        <v>2432</v>
      </c>
      <c r="C146" s="2743">
        <v>0</v>
      </c>
      <c r="D146" s="2743">
        <v>0</v>
      </c>
      <c r="E146" s="2949" t="s">
        <v>2313</v>
      </c>
      <c r="F146" s="2200" t="s">
        <v>2313</v>
      </c>
      <c r="G146" s="2200" t="s">
        <v>127</v>
      </c>
      <c r="H146" s="2200" t="s">
        <v>1057</v>
      </c>
      <c r="I146" s="2742">
        <v>0</v>
      </c>
      <c r="J146" s="2742"/>
      <c r="K146" s="2752">
        <v>70</v>
      </c>
      <c r="L146" s="2745">
        <f t="shared" si="33"/>
        <v>0</v>
      </c>
      <c r="M146" s="2745">
        <f t="shared" si="37"/>
        <v>0</v>
      </c>
      <c r="N146" s="2745" t="str">
        <f t="shared" si="38"/>
        <v>check</v>
      </c>
      <c r="O146" s="1232" t="str">
        <f t="shared" si="39"/>
        <v>check</v>
      </c>
      <c r="P146" s="1227" t="str">
        <f t="shared" si="40"/>
        <v>400gsm GB OJI - JAPAN</v>
      </c>
      <c r="Q146" s="254">
        <v>0.51700000000000002</v>
      </c>
      <c r="R146" s="1228" t="str">
        <f t="shared" si="41"/>
        <v>400</v>
      </c>
      <c r="S146" s="2625">
        <f t="shared" si="34"/>
        <v>0</v>
      </c>
      <c r="T146" s="2747">
        <f>IF(L146&gt;0,IF(input!$B$2=$O$1,(((L146+Y146/22)+(L146+Y146/22)*$AG146+$X146)*$P$11+$M$7)/1000,(((L146+Y146/22)+(L146+Y146/22)*O146+(L146+Y146/22)*$AG146+$X146)*$P$11+$M$7)/1000),0)</f>
        <v>0</v>
      </c>
      <c r="U146" s="2747">
        <f t="shared" si="35"/>
        <v>0</v>
      </c>
      <c r="V146" s="1229"/>
      <c r="W146" s="1231" t="str">
        <f t="shared" si="36"/>
        <v>CIF</v>
      </c>
      <c r="X146" s="1230">
        <f t="shared" si="47"/>
        <v>0</v>
      </c>
      <c r="Y146" s="2625">
        <f t="shared" si="44"/>
        <v>0</v>
      </c>
      <c r="Z146" s="3208">
        <f t="shared" si="42"/>
        <v>838.18181818181813</v>
      </c>
      <c r="AA146" s="1220" t="s">
        <v>2817</v>
      </c>
      <c r="AB146" s="1220" t="s">
        <v>1393</v>
      </c>
      <c r="AC146" s="251" t="str">
        <f t="shared" si="43"/>
        <v>400gsm GB OJI - JAPAN</v>
      </c>
      <c r="AD146" s="2746">
        <f>IF(L146&gt;0,IF(input!$B$2=$O$1,(((M146)+(M146)*$M$10)*$P$11)/1000,(((M146)+(M146)*O146+(M146)*$M$10)*$P$11)/1000),0)</f>
        <v>0</v>
      </c>
      <c r="AE146" s="2746">
        <f>IF(L146&gt;0,IF(input!$B$2=$O$1,(((N146)+(N146)*$M$10)*$P$11)/1000,(((N146)+(N146)*O146+(N146)*$M$10)*$P$11)/1000),0)</f>
        <v>0</v>
      </c>
      <c r="AF146" s="136" t="str">
        <f t="shared" si="45"/>
        <v>None</v>
      </c>
      <c r="AG146" s="2628">
        <f t="shared" si="46"/>
        <v>1.8666666666666668E-2</v>
      </c>
      <c r="AH146" s="1266">
        <v>0.1</v>
      </c>
    </row>
    <row r="147" spans="1:34" ht="12.75">
      <c r="A147" s="2199">
        <f t="shared" si="32"/>
        <v>135</v>
      </c>
      <c r="B147" s="2200" t="s">
        <v>2433</v>
      </c>
      <c r="C147" s="2743">
        <v>0</v>
      </c>
      <c r="D147" s="2743">
        <v>0</v>
      </c>
      <c r="E147" s="2949" t="s">
        <v>2313</v>
      </c>
      <c r="F147" s="2200" t="s">
        <v>2313</v>
      </c>
      <c r="G147" s="2200" t="s">
        <v>127</v>
      </c>
      <c r="H147" s="2200" t="s">
        <v>1057</v>
      </c>
      <c r="I147" s="2742">
        <v>0</v>
      </c>
      <c r="J147" s="2742"/>
      <c r="K147" s="2752">
        <v>70</v>
      </c>
      <c r="L147" s="2745">
        <f t="shared" si="33"/>
        <v>0</v>
      </c>
      <c r="M147" s="2745">
        <f t="shared" si="37"/>
        <v>0</v>
      </c>
      <c r="N147" s="2745" t="str">
        <f t="shared" si="38"/>
        <v>check</v>
      </c>
      <c r="O147" s="1232" t="str">
        <f t="shared" si="39"/>
        <v>check</v>
      </c>
      <c r="P147" s="1227" t="str">
        <f t="shared" si="40"/>
        <v>450gsm GB OJI - JAPAN</v>
      </c>
      <c r="Q147" s="254">
        <v>0.58399999999999996</v>
      </c>
      <c r="R147" s="1228" t="str">
        <f t="shared" si="41"/>
        <v>450</v>
      </c>
      <c r="S147" s="2625">
        <f t="shared" si="34"/>
        <v>0</v>
      </c>
      <c r="T147" s="2747">
        <f>IF(L147&gt;0,IF(input!$B$2=$O$1,(((L147+Y147/22)+(L147+Y147/22)*$AG147+$X147)*$P$11+$M$7)/1000,(((L147+Y147/22)+(L147+Y147/22)*O147+(L147+Y147/22)*$AG147+$X147)*$P$11+$M$7)/1000),0)</f>
        <v>0</v>
      </c>
      <c r="U147" s="2747">
        <f t="shared" si="35"/>
        <v>0</v>
      </c>
      <c r="V147" s="1229"/>
      <c r="W147" s="1231" t="str">
        <f t="shared" si="36"/>
        <v>CIF</v>
      </c>
      <c r="X147" s="1230">
        <f t="shared" si="47"/>
        <v>0</v>
      </c>
      <c r="Y147" s="2625">
        <f t="shared" si="44"/>
        <v>0</v>
      </c>
      <c r="Z147" s="3208">
        <f t="shared" si="42"/>
        <v>838.18181818181813</v>
      </c>
      <c r="AA147" s="1220" t="s">
        <v>2817</v>
      </c>
      <c r="AB147" s="1220" t="s">
        <v>1393</v>
      </c>
      <c r="AC147" s="251" t="str">
        <f t="shared" si="43"/>
        <v>450gsm GB OJI - JAPAN</v>
      </c>
      <c r="AD147" s="2746">
        <f>IF(L147&gt;0,IF(input!$B$2=$O$1,(((M147)+(M147)*$M$10)*$P$11)/1000,(((M147)+(M147)*O147+(M147)*$M$10)*$P$11)/1000),0)</f>
        <v>0</v>
      </c>
      <c r="AE147" s="2746">
        <f>IF(L147&gt;0,IF(input!$B$2=$O$1,(((N147)+(N147)*$M$10)*$P$11)/1000,(((N147)+(N147)*O147+(N147)*$M$10)*$P$11)/1000),0)</f>
        <v>0</v>
      </c>
      <c r="AF147" s="136" t="str">
        <f t="shared" si="45"/>
        <v>None</v>
      </c>
      <c r="AG147" s="2628">
        <f t="shared" si="46"/>
        <v>1.8666666666666668E-2</v>
      </c>
      <c r="AH147" s="1266">
        <v>0.1</v>
      </c>
    </row>
    <row r="148" spans="1:34" ht="12.75">
      <c r="A148" s="2199">
        <f t="shared" si="32"/>
        <v>136</v>
      </c>
      <c r="B148" s="2200" t="s">
        <v>991</v>
      </c>
      <c r="C148" s="2743">
        <v>0</v>
      </c>
      <c r="D148" s="2743">
        <v>0</v>
      </c>
      <c r="E148" s="2949" t="s">
        <v>2313</v>
      </c>
      <c r="F148" s="2200" t="s">
        <v>2313</v>
      </c>
      <c r="G148" s="2200" t="s">
        <v>127</v>
      </c>
      <c r="H148" s="2200" t="s">
        <v>1057</v>
      </c>
      <c r="I148" s="2742">
        <v>0</v>
      </c>
      <c r="J148" s="2742"/>
      <c r="K148" s="2752">
        <v>52</v>
      </c>
      <c r="L148" s="2745">
        <f t="shared" si="33"/>
        <v>0</v>
      </c>
      <c r="M148" s="2745">
        <f t="shared" si="37"/>
        <v>0</v>
      </c>
      <c r="N148" s="2745" t="str">
        <f t="shared" si="38"/>
        <v>check</v>
      </c>
      <c r="O148" s="1232" t="str">
        <f t="shared" si="39"/>
        <v>check</v>
      </c>
      <c r="P148" s="1227" t="str">
        <f t="shared" si="40"/>
        <v>250gsm GB Siamkraft - SCG Thailand</v>
      </c>
      <c r="Q148" s="254">
        <v>0.27500000000000002</v>
      </c>
      <c r="R148" s="1228" t="str">
        <f t="shared" si="41"/>
        <v>250</v>
      </c>
      <c r="S148" s="2625">
        <f t="shared" si="34"/>
        <v>0</v>
      </c>
      <c r="T148" s="2747">
        <f>IF(L148&gt;0,IF(input!$B$2=$O$1,(((L148+Y148/22)+(L148+Y148/22)*$AG148+$X148)*$P$11+$M$7)/1000,(((L148+Y148/22)+(L148+Y148/22)*O148+(L148+Y148/22)*$AG148+$X148)*$P$11+$M$7)/1000),0)</f>
        <v>0</v>
      </c>
      <c r="U148" s="2747">
        <f t="shared" si="35"/>
        <v>0</v>
      </c>
      <c r="V148" s="1229"/>
      <c r="W148" s="1231" t="str">
        <f t="shared" si="36"/>
        <v>CIF</v>
      </c>
      <c r="X148" s="1230">
        <f t="shared" si="47"/>
        <v>0</v>
      </c>
      <c r="Y148" s="2625">
        <f t="shared" si="44"/>
        <v>0</v>
      </c>
      <c r="Z148" s="3208">
        <f t="shared" si="42"/>
        <v>838.18181818181813</v>
      </c>
      <c r="AA148" s="1220" t="s">
        <v>1373</v>
      </c>
      <c r="AB148" s="1220" t="s">
        <v>1393</v>
      </c>
      <c r="AC148" s="251" t="str">
        <f t="shared" si="43"/>
        <v>250gsm GB Siamkraft - SCG Thailand</v>
      </c>
      <c r="AD148" s="2746">
        <f>IF(L148&gt;0,IF(input!$B$2=$O$1,(((M148)+(M148)*$M$10)*$P$11)/1000,(((M148)+(M148)*O148+(M148)*$M$10)*$P$11)/1000),0)</f>
        <v>0</v>
      </c>
      <c r="AE148" s="2746">
        <f>IF(L148&gt;0,IF(input!$B$2=$O$1,(((N148)+(N148)*$M$10)*$P$11)/1000,(((N148)+(N148)*O148+(N148)*$M$10)*$P$11)/1000),0)</f>
        <v>0</v>
      </c>
      <c r="AF148" s="136" t="str">
        <f t="shared" si="45"/>
        <v>None</v>
      </c>
      <c r="AG148" s="2628">
        <f t="shared" si="46"/>
        <v>1.3866666666666668E-2</v>
      </c>
      <c r="AH148" s="1266">
        <v>0.1</v>
      </c>
    </row>
    <row r="149" spans="1:34" ht="12.75">
      <c r="A149" s="2199">
        <f t="shared" si="32"/>
        <v>137</v>
      </c>
      <c r="B149" s="2200" t="s">
        <v>992</v>
      </c>
      <c r="C149" s="2743">
        <v>0</v>
      </c>
      <c r="D149" s="2743">
        <v>0</v>
      </c>
      <c r="E149" s="2949" t="s">
        <v>2313</v>
      </c>
      <c r="F149" s="2200" t="s">
        <v>2313</v>
      </c>
      <c r="G149" s="2200" t="s">
        <v>127</v>
      </c>
      <c r="H149" s="2200" t="s">
        <v>1057</v>
      </c>
      <c r="I149" s="2742">
        <v>0</v>
      </c>
      <c r="J149" s="2742"/>
      <c r="K149" s="2752">
        <v>52</v>
      </c>
      <c r="L149" s="2745">
        <f t="shared" si="33"/>
        <v>0</v>
      </c>
      <c r="M149" s="2745">
        <f t="shared" si="37"/>
        <v>0</v>
      </c>
      <c r="N149" s="2745" t="str">
        <f t="shared" si="38"/>
        <v>check</v>
      </c>
      <c r="O149" s="1232" t="str">
        <f t="shared" si="39"/>
        <v>check</v>
      </c>
      <c r="P149" s="1227" t="str">
        <f t="shared" si="40"/>
        <v>270gsm GB Siamkraft - SCG Thailand</v>
      </c>
      <c r="Q149" s="254">
        <v>0.315</v>
      </c>
      <c r="R149" s="1228" t="str">
        <f t="shared" si="41"/>
        <v>270</v>
      </c>
      <c r="S149" s="2625">
        <f t="shared" si="34"/>
        <v>0</v>
      </c>
      <c r="T149" s="2747">
        <f>IF(L149&gt;0,IF(input!$B$2=$O$1,(((L149+Y149/22)+(L149+Y149/22)*$AG149+$X149)*$P$11+$M$7)/1000,(((L149+Y149/22)+(L149+Y149/22)*O149+(L149+Y149/22)*$AG149+$X149)*$P$11+$M$7)/1000),0)</f>
        <v>0</v>
      </c>
      <c r="U149" s="2747">
        <f t="shared" si="35"/>
        <v>0</v>
      </c>
      <c r="V149" s="1229"/>
      <c r="W149" s="1231" t="str">
        <f t="shared" si="36"/>
        <v>CIF</v>
      </c>
      <c r="X149" s="1230">
        <f t="shared" si="47"/>
        <v>0</v>
      </c>
      <c r="Y149" s="2625">
        <f t="shared" si="44"/>
        <v>0</v>
      </c>
      <c r="Z149" s="3208">
        <f t="shared" si="42"/>
        <v>838.18181818181813</v>
      </c>
      <c r="AA149" s="1220" t="s">
        <v>1373</v>
      </c>
      <c r="AB149" s="1220" t="s">
        <v>1393</v>
      </c>
      <c r="AC149" s="251" t="str">
        <f t="shared" si="43"/>
        <v>270gsm GB Siamkraft - SCG Thailand</v>
      </c>
      <c r="AD149" s="2746">
        <f>IF(L149&gt;0,IF(input!$B$2=$O$1,(((M149)+(M149)*$M$10)*$P$11)/1000,(((M149)+(M149)*O149+(M149)*$M$10)*$P$11)/1000),0)</f>
        <v>0</v>
      </c>
      <c r="AE149" s="2746">
        <f>IF(L149&gt;0,IF(input!$B$2=$O$1,(((N149)+(N149)*$M$10)*$P$11)/1000,(((N149)+(N149)*O149+(N149)*$M$10)*$P$11)/1000),0)</f>
        <v>0</v>
      </c>
      <c r="AF149" s="136" t="str">
        <f t="shared" si="45"/>
        <v>None</v>
      </c>
      <c r="AG149" s="2628">
        <f t="shared" si="46"/>
        <v>1.3866666666666668E-2</v>
      </c>
      <c r="AH149" s="1266">
        <v>0.1</v>
      </c>
    </row>
    <row r="150" spans="1:34" ht="12.75">
      <c r="A150" s="2199">
        <f t="shared" si="32"/>
        <v>138</v>
      </c>
      <c r="B150" s="2200" t="s">
        <v>993</v>
      </c>
      <c r="C150" s="2743">
        <v>0</v>
      </c>
      <c r="D150" s="2743">
        <v>0</v>
      </c>
      <c r="E150" s="2949" t="s">
        <v>2313</v>
      </c>
      <c r="F150" s="2200" t="s">
        <v>2313</v>
      </c>
      <c r="G150" s="2200" t="s">
        <v>127</v>
      </c>
      <c r="H150" s="2200" t="s">
        <v>1057</v>
      </c>
      <c r="I150" s="2742">
        <v>0</v>
      </c>
      <c r="J150" s="2742"/>
      <c r="K150" s="2752">
        <v>52</v>
      </c>
      <c r="L150" s="2745">
        <f t="shared" si="33"/>
        <v>0</v>
      </c>
      <c r="M150" s="2745">
        <f t="shared" si="37"/>
        <v>0</v>
      </c>
      <c r="N150" s="2745" t="str">
        <f t="shared" si="38"/>
        <v>check</v>
      </c>
      <c r="O150" s="1232" t="str">
        <f t="shared" si="39"/>
        <v>check</v>
      </c>
      <c r="P150" s="1227" t="str">
        <f t="shared" si="40"/>
        <v>300gsm GB Siamkraft - SCG Thailand</v>
      </c>
      <c r="Q150" s="254">
        <v>0.34250000000000003</v>
      </c>
      <c r="R150" s="1228" t="str">
        <f t="shared" si="41"/>
        <v>300</v>
      </c>
      <c r="S150" s="2625">
        <f t="shared" si="34"/>
        <v>0</v>
      </c>
      <c r="T150" s="2747">
        <f>IF(L150&gt;0,IF(input!$B$2=$O$1,(((L150+Y150/22)+(L150+Y150/22)*$AG150+$X150)*$P$11+$M$7)/1000,(((L150+Y150/22)+(L150+Y150/22)*O150+(L150+Y150/22)*$AG150+$X150)*$P$11+$M$7)/1000),0)</f>
        <v>0</v>
      </c>
      <c r="U150" s="2747">
        <f t="shared" si="35"/>
        <v>0</v>
      </c>
      <c r="V150" s="1229"/>
      <c r="W150" s="1231" t="str">
        <f t="shared" si="36"/>
        <v>CIF</v>
      </c>
      <c r="X150" s="1230">
        <f t="shared" si="47"/>
        <v>0</v>
      </c>
      <c r="Y150" s="2625">
        <f t="shared" si="44"/>
        <v>0</v>
      </c>
      <c r="Z150" s="3208">
        <f t="shared" si="42"/>
        <v>838.18181818181813</v>
      </c>
      <c r="AA150" s="1220" t="s">
        <v>1373</v>
      </c>
      <c r="AB150" s="1220" t="s">
        <v>1393</v>
      </c>
      <c r="AC150" s="251" t="str">
        <f t="shared" si="43"/>
        <v>300gsm GB Siamkraft - SCG Thailand</v>
      </c>
      <c r="AD150" s="2746">
        <f>IF(L150&gt;0,IF(input!$B$2=$O$1,(((M150)+(M150)*$M$10)*$P$11)/1000,(((M150)+(M150)*O150+(M150)*$M$10)*$P$11)/1000),0)</f>
        <v>0</v>
      </c>
      <c r="AE150" s="2746">
        <f>IF(L150&gt;0,IF(input!$B$2=$O$1,(((N150)+(N150)*$M$10)*$P$11)/1000,(((N150)+(N150)*O150+(N150)*$M$10)*$P$11)/1000),0)</f>
        <v>0</v>
      </c>
      <c r="AF150" s="136" t="str">
        <f t="shared" si="45"/>
        <v>None</v>
      </c>
      <c r="AG150" s="2628">
        <f t="shared" si="46"/>
        <v>1.3866666666666668E-2</v>
      </c>
      <c r="AH150" s="1266">
        <v>0.1</v>
      </c>
    </row>
    <row r="151" spans="1:34" ht="12.75">
      <c r="A151" s="2199">
        <f t="shared" si="32"/>
        <v>139</v>
      </c>
      <c r="B151" s="2200" t="s">
        <v>994</v>
      </c>
      <c r="C151" s="2743">
        <v>0</v>
      </c>
      <c r="D151" s="2743">
        <v>0</v>
      </c>
      <c r="E151" s="2949" t="s">
        <v>2313</v>
      </c>
      <c r="F151" s="2200" t="s">
        <v>2313</v>
      </c>
      <c r="G151" s="2200" t="s">
        <v>127</v>
      </c>
      <c r="H151" s="2200" t="s">
        <v>1057</v>
      </c>
      <c r="I151" s="2742">
        <v>0</v>
      </c>
      <c r="J151" s="2742"/>
      <c r="K151" s="2752">
        <v>52</v>
      </c>
      <c r="L151" s="2745">
        <f t="shared" si="33"/>
        <v>0</v>
      </c>
      <c r="M151" s="2745">
        <f t="shared" si="37"/>
        <v>0</v>
      </c>
      <c r="N151" s="2745" t="str">
        <f t="shared" si="38"/>
        <v>check</v>
      </c>
      <c r="O151" s="1232" t="str">
        <f t="shared" si="39"/>
        <v>check</v>
      </c>
      <c r="P151" s="1227" t="str">
        <f t="shared" si="40"/>
        <v>350gsm GB Siamkraft - SCG Thailand</v>
      </c>
      <c r="Q151" s="254">
        <v>0.42499999999999999</v>
      </c>
      <c r="R151" s="1228" t="str">
        <f t="shared" si="41"/>
        <v>350</v>
      </c>
      <c r="S151" s="2625">
        <f t="shared" si="34"/>
        <v>0</v>
      </c>
      <c r="T151" s="2747">
        <f>IF(L151&gt;0,IF(input!$B$2=$O$1,(((L151+Y151/22)+(L151+Y151/22)*$AG151+$X151)*$P$11+$M$7)/1000,(((L151+Y151/22)+(L151+Y151/22)*O151+(L151+Y151/22)*$AG151+$X151)*$P$11+$M$7)/1000),0)</f>
        <v>0</v>
      </c>
      <c r="U151" s="2747">
        <f t="shared" si="35"/>
        <v>0</v>
      </c>
      <c r="V151" s="1229"/>
      <c r="W151" s="1231" t="str">
        <f t="shared" si="36"/>
        <v>CIF</v>
      </c>
      <c r="X151" s="1230">
        <f t="shared" si="47"/>
        <v>0</v>
      </c>
      <c r="Y151" s="2625">
        <f t="shared" si="44"/>
        <v>0</v>
      </c>
      <c r="Z151" s="3208">
        <f t="shared" si="42"/>
        <v>838.18181818181813</v>
      </c>
      <c r="AA151" s="1220" t="s">
        <v>1373</v>
      </c>
      <c r="AB151" s="1220" t="s">
        <v>1393</v>
      </c>
      <c r="AC151" s="251" t="str">
        <f t="shared" si="43"/>
        <v>350gsm GB Siamkraft - SCG Thailand</v>
      </c>
      <c r="AD151" s="2746">
        <f>IF(L151&gt;0,IF(input!$B$2=$O$1,(((M151)+(M151)*$M$10)*$P$11)/1000,(((M151)+(M151)*O151+(M151)*$M$10)*$P$11)/1000),0)</f>
        <v>0</v>
      </c>
      <c r="AE151" s="2746">
        <f>IF(L151&gt;0,IF(input!$B$2=$O$1,(((N151)+(N151)*$M$10)*$P$11)/1000,(((N151)+(N151)*O151+(N151)*$M$10)*$P$11)/1000),0)</f>
        <v>0</v>
      </c>
      <c r="AF151" s="136" t="str">
        <f t="shared" si="45"/>
        <v>None</v>
      </c>
      <c r="AG151" s="2628">
        <f t="shared" si="46"/>
        <v>1.3866666666666668E-2</v>
      </c>
      <c r="AH151" s="1266">
        <v>0.1</v>
      </c>
    </row>
    <row r="152" spans="1:34" ht="12.75">
      <c r="A152" s="2199">
        <f t="shared" si="32"/>
        <v>140</v>
      </c>
      <c r="B152" s="2200" t="s">
        <v>995</v>
      </c>
      <c r="C152" s="2743">
        <v>0</v>
      </c>
      <c r="D152" s="2743">
        <v>0</v>
      </c>
      <c r="E152" s="2949" t="s">
        <v>2313</v>
      </c>
      <c r="F152" s="2200" t="s">
        <v>2313</v>
      </c>
      <c r="G152" s="2200" t="s">
        <v>127</v>
      </c>
      <c r="H152" s="2200" t="s">
        <v>1057</v>
      </c>
      <c r="I152" s="2742">
        <v>0</v>
      </c>
      <c r="J152" s="2742"/>
      <c r="K152" s="2752">
        <v>52</v>
      </c>
      <c r="L152" s="2745">
        <f t="shared" si="33"/>
        <v>0</v>
      </c>
      <c r="M152" s="2745">
        <f t="shared" si="37"/>
        <v>0</v>
      </c>
      <c r="N152" s="2745" t="str">
        <f t="shared" si="38"/>
        <v>check</v>
      </c>
      <c r="O152" s="1232" t="str">
        <f t="shared" si="39"/>
        <v>check</v>
      </c>
      <c r="P152" s="1227" t="str">
        <f t="shared" si="40"/>
        <v>400gsm GB Siamkraft - SCG Thailand</v>
      </c>
      <c r="Q152" s="254">
        <v>0.49</v>
      </c>
      <c r="R152" s="1228" t="str">
        <f t="shared" si="41"/>
        <v>400</v>
      </c>
      <c r="S152" s="2625">
        <f t="shared" si="34"/>
        <v>0</v>
      </c>
      <c r="T152" s="2747">
        <f>IF(L152&gt;0,IF(input!$B$2=$O$1,(((L152+Y152/22)+(L152+Y152/22)*$AG152+$X152)*$P$11+$M$7)/1000,(((L152+Y152/22)+(L152+Y152/22)*O152+(L152+Y152/22)*$AG152+$X152)*$P$11+$M$7)/1000),0)</f>
        <v>0</v>
      </c>
      <c r="U152" s="2747">
        <f t="shared" si="35"/>
        <v>0</v>
      </c>
      <c r="V152" s="1229"/>
      <c r="W152" s="1231" t="str">
        <f t="shared" si="36"/>
        <v>CIF</v>
      </c>
      <c r="X152" s="1230">
        <f t="shared" si="47"/>
        <v>0</v>
      </c>
      <c r="Y152" s="2625">
        <f t="shared" si="44"/>
        <v>0</v>
      </c>
      <c r="Z152" s="3208">
        <f t="shared" si="42"/>
        <v>838.18181818181813</v>
      </c>
      <c r="AA152" s="1220" t="s">
        <v>1373</v>
      </c>
      <c r="AB152" s="1220" t="s">
        <v>1393</v>
      </c>
      <c r="AC152" s="251" t="str">
        <f t="shared" si="43"/>
        <v>400gsm GB Siamkraft - SCG Thailand</v>
      </c>
      <c r="AD152" s="2746">
        <f>IF(L152&gt;0,IF(input!$B$2=$O$1,(((M152)+(M152)*$M$10)*$P$11)/1000,(((M152)+(M152)*O152+(M152)*$M$10)*$P$11)/1000),0)</f>
        <v>0</v>
      </c>
      <c r="AE152" s="2746">
        <f>IF(L152&gt;0,IF(input!$B$2=$O$1,(((N152)+(N152)*$M$10)*$P$11)/1000,(((N152)+(N152)*O152+(N152)*$M$10)*$P$11)/1000),0)</f>
        <v>0</v>
      </c>
      <c r="AF152" s="136" t="str">
        <f t="shared" si="45"/>
        <v>None</v>
      </c>
      <c r="AG152" s="2628">
        <f t="shared" si="46"/>
        <v>1.3866666666666668E-2</v>
      </c>
      <c r="AH152" s="1266">
        <v>0.1</v>
      </c>
    </row>
    <row r="153" spans="1:34" ht="12.75">
      <c r="A153" s="2199">
        <f t="shared" si="32"/>
        <v>141</v>
      </c>
      <c r="B153" s="2200" t="s">
        <v>996</v>
      </c>
      <c r="C153" s="2743">
        <v>0</v>
      </c>
      <c r="D153" s="2743">
        <v>0</v>
      </c>
      <c r="E153" s="2949" t="s">
        <v>2313</v>
      </c>
      <c r="F153" s="2200" t="s">
        <v>2313</v>
      </c>
      <c r="G153" s="2200" t="s">
        <v>127</v>
      </c>
      <c r="H153" s="2200" t="s">
        <v>1057</v>
      </c>
      <c r="I153" s="2742">
        <v>0</v>
      </c>
      <c r="J153" s="2742"/>
      <c r="K153" s="2752">
        <v>52</v>
      </c>
      <c r="L153" s="2745">
        <f t="shared" si="33"/>
        <v>0</v>
      </c>
      <c r="M153" s="2745">
        <f t="shared" si="37"/>
        <v>0</v>
      </c>
      <c r="N153" s="2745" t="str">
        <f t="shared" si="38"/>
        <v>check</v>
      </c>
      <c r="O153" s="1232" t="str">
        <f t="shared" si="39"/>
        <v>check</v>
      </c>
      <c r="P153" s="1227" t="str">
        <f t="shared" si="40"/>
        <v>450gsm GB Siamkraft - SCG Thailand</v>
      </c>
      <c r="Q153" s="254">
        <v>0.55499999999999994</v>
      </c>
      <c r="R153" s="1228" t="str">
        <f t="shared" si="41"/>
        <v>450</v>
      </c>
      <c r="S153" s="2625">
        <f t="shared" si="34"/>
        <v>0</v>
      </c>
      <c r="T153" s="2747">
        <f>IF(L153&gt;0,IF(input!$B$2=$O$1,(((L153+Y153/22)+(L153+Y153/22)*$AG153+$X153)*$P$11+$M$7)/1000,(((L153+Y153/22)+(L153+Y153/22)*O153+(L153+Y153/22)*$AG153+$X153)*$P$11+$M$7)/1000),0)</f>
        <v>0</v>
      </c>
      <c r="U153" s="2747">
        <f t="shared" si="35"/>
        <v>0</v>
      </c>
      <c r="V153" s="1229"/>
      <c r="W153" s="1231" t="str">
        <f t="shared" si="36"/>
        <v>CIF</v>
      </c>
      <c r="X153" s="1230">
        <f t="shared" si="47"/>
        <v>0</v>
      </c>
      <c r="Y153" s="2625">
        <f t="shared" si="44"/>
        <v>0</v>
      </c>
      <c r="Z153" s="3208">
        <f t="shared" si="42"/>
        <v>838.18181818181813</v>
      </c>
      <c r="AA153" s="1220" t="s">
        <v>1373</v>
      </c>
      <c r="AB153" s="1220" t="s">
        <v>1393</v>
      </c>
      <c r="AC153" s="251" t="str">
        <f t="shared" si="43"/>
        <v>450gsm GB Siamkraft - SCG Thailand</v>
      </c>
      <c r="AD153" s="2746">
        <f>IF(L153&gt;0,IF(input!$B$2=$O$1,(((M153)+(M153)*$M$10)*$P$11)/1000,(((M153)+(M153)*O153+(M153)*$M$10)*$P$11)/1000),0)</f>
        <v>0</v>
      </c>
      <c r="AE153" s="2746">
        <f>IF(L153&gt;0,IF(input!$B$2=$O$1,(((N153)+(N153)*$M$10)*$P$11)/1000,(((N153)+(N153)*O153+(N153)*$M$10)*$P$11)/1000),0)</f>
        <v>0</v>
      </c>
      <c r="AF153" s="136" t="str">
        <f t="shared" si="45"/>
        <v>None</v>
      </c>
      <c r="AG153" s="2628">
        <f t="shared" si="46"/>
        <v>1.3866666666666668E-2</v>
      </c>
      <c r="AH153" s="1266">
        <v>0.1</v>
      </c>
    </row>
    <row r="154" spans="1:34" ht="12.75">
      <c r="A154" s="2199">
        <f t="shared" si="32"/>
        <v>142</v>
      </c>
      <c r="B154" s="2200" t="s">
        <v>997</v>
      </c>
      <c r="C154" s="2743">
        <v>0</v>
      </c>
      <c r="D154" s="2743">
        <v>0</v>
      </c>
      <c r="E154" s="2949" t="s">
        <v>2313</v>
      </c>
      <c r="F154" s="2200" t="s">
        <v>2313</v>
      </c>
      <c r="G154" s="2200" t="s">
        <v>127</v>
      </c>
      <c r="H154" s="2200" t="s">
        <v>1057</v>
      </c>
      <c r="I154" s="2742">
        <v>0</v>
      </c>
      <c r="J154" s="2742"/>
      <c r="K154" s="2752">
        <v>52</v>
      </c>
      <c r="L154" s="2745">
        <f t="shared" si="33"/>
        <v>0</v>
      </c>
      <c r="M154" s="2745">
        <f t="shared" si="37"/>
        <v>0</v>
      </c>
      <c r="N154" s="2745" t="str">
        <f t="shared" si="38"/>
        <v>check</v>
      </c>
      <c r="O154" s="1232" t="str">
        <f t="shared" si="39"/>
        <v>check</v>
      </c>
      <c r="P154" s="1227" t="str">
        <f t="shared" si="40"/>
        <v>500gsm GB Siamkraft - SCG Thailand</v>
      </c>
      <c r="Q154" s="254">
        <v>0.625</v>
      </c>
      <c r="R154" s="1228" t="str">
        <f t="shared" si="41"/>
        <v>500</v>
      </c>
      <c r="S154" s="2625">
        <f t="shared" si="34"/>
        <v>0</v>
      </c>
      <c r="T154" s="2747">
        <f>IF(L154&gt;0,IF(input!$B$2=$O$1,(((L154+Y154/22)+(L154+Y154/22)*$AG154+$X154)*$P$11+$M$7)/1000,(((L154+Y154/22)+(L154+Y154/22)*O154+(L154+Y154/22)*$AG154+$X154)*$P$11+$M$7)/1000),0)</f>
        <v>0</v>
      </c>
      <c r="U154" s="2747">
        <f t="shared" si="35"/>
        <v>0</v>
      </c>
      <c r="V154" s="1229"/>
      <c r="W154" s="1231" t="str">
        <f t="shared" si="36"/>
        <v>CIF</v>
      </c>
      <c r="X154" s="1230">
        <f t="shared" si="47"/>
        <v>0</v>
      </c>
      <c r="Y154" s="2625">
        <f t="shared" si="44"/>
        <v>0</v>
      </c>
      <c r="Z154" s="3208">
        <f t="shared" si="42"/>
        <v>838.18181818181813</v>
      </c>
      <c r="AA154" s="1220" t="s">
        <v>1373</v>
      </c>
      <c r="AB154" s="1220" t="s">
        <v>1393</v>
      </c>
      <c r="AC154" s="251" t="str">
        <f t="shared" si="43"/>
        <v>500gsm GB Siamkraft - SCG Thailand</v>
      </c>
      <c r="AD154" s="2746">
        <f>IF(L154&gt;0,IF(input!$B$2=$O$1,(((M154)+(M154)*$M$10)*$P$11)/1000,(((M154)+(M154)*O154+(M154)*$M$10)*$P$11)/1000),0)</f>
        <v>0</v>
      </c>
      <c r="AE154" s="2746">
        <f>IF(L154&gt;0,IF(input!$B$2=$O$1,(((N154)+(N154)*$M$10)*$P$11)/1000,(((N154)+(N154)*O154+(N154)*$M$10)*$P$11)/1000),0)</f>
        <v>0</v>
      </c>
      <c r="AF154" s="136" t="str">
        <f t="shared" si="45"/>
        <v>None</v>
      </c>
      <c r="AG154" s="2628">
        <f t="shared" si="46"/>
        <v>1.3866666666666668E-2</v>
      </c>
      <c r="AH154" s="1266">
        <v>0.1</v>
      </c>
    </row>
    <row r="155" spans="1:34" ht="12.75">
      <c r="A155" s="2199">
        <f t="shared" si="32"/>
        <v>143</v>
      </c>
      <c r="B155" s="2200" t="s">
        <v>2070</v>
      </c>
      <c r="C155" s="2743">
        <v>0</v>
      </c>
      <c r="D155" s="2743">
        <v>0</v>
      </c>
      <c r="E155" s="2949">
        <v>0</v>
      </c>
      <c r="F155" s="2200">
        <v>10</v>
      </c>
      <c r="G155" s="2200" t="s">
        <v>2038</v>
      </c>
      <c r="H155" s="2200" t="s">
        <v>1057</v>
      </c>
      <c r="I155" s="2742">
        <v>0</v>
      </c>
      <c r="J155" s="2742"/>
      <c r="K155" s="2752">
        <v>70</v>
      </c>
      <c r="L155" s="2745">
        <f t="shared" si="33"/>
        <v>0</v>
      </c>
      <c r="M155" s="2745">
        <f t="shared" si="37"/>
        <v>0</v>
      </c>
      <c r="N155" s="2745">
        <f t="shared" si="38"/>
        <v>10</v>
      </c>
      <c r="O155" s="1232">
        <f t="shared" si="39"/>
        <v>0</v>
      </c>
      <c r="P155" s="1227" t="str">
        <f t="shared" si="40"/>
        <v>200gsm GB EMAMI (ECO STRONG BOARD-CGT)</v>
      </c>
      <c r="Q155" s="254">
        <v>0.20499999999999999</v>
      </c>
      <c r="R155" s="1228" t="str">
        <f t="shared" si="41"/>
        <v>200</v>
      </c>
      <c r="S155" s="2625">
        <f t="shared" si="34"/>
        <v>0</v>
      </c>
      <c r="T155" s="2747">
        <f>IF(L155&gt;0,IF(input!$B$2=$O$1,(((L155+Y155/22)+(L155+Y155/22)*$AG155+$X155)*$P$11+$M$7)/1000,(((L155+Y155/22)+(L155+Y155/22)*O155+(L155+Y155/22)*$AG155+$X155)*$P$11+$M$7)/1000),0)</f>
        <v>0</v>
      </c>
      <c r="U155" s="2747">
        <f t="shared" si="35"/>
        <v>0</v>
      </c>
      <c r="V155" s="1229"/>
      <c r="W155" s="1231" t="str">
        <f t="shared" si="36"/>
        <v>CIF</v>
      </c>
      <c r="X155" s="1230">
        <f t="shared" si="47"/>
        <v>0</v>
      </c>
      <c r="Y155" s="2625">
        <f t="shared" si="44"/>
        <v>0</v>
      </c>
      <c r="Z155" s="3208">
        <f t="shared" si="42"/>
        <v>838.18181818181813</v>
      </c>
      <c r="AA155" s="1220" t="s">
        <v>2126</v>
      </c>
      <c r="AB155" s="1220" t="s">
        <v>1393</v>
      </c>
      <c r="AC155" s="251" t="str">
        <f t="shared" si="43"/>
        <v>200gsm GB EMAMI (ECO STRONG BOARD-CGT)</v>
      </c>
      <c r="AD155" s="2746">
        <f>IF(L155&gt;0,IF(input!$B$2=$O$1,(((M155)+(M155)*$M$10)*$P$11)/1000,(((M155)+(M155)*O155+(M155)*$M$10)*$P$11)/1000),0)</f>
        <v>0</v>
      </c>
      <c r="AE155" s="2746">
        <f>IF(L155&gt;0,IF(input!$B$2=$O$1,(((N155)+(N155)*$M$10)*$P$11)/1000,(((N155)+(N155)*O155+(N155)*$M$10)*$P$11)/1000),0)</f>
        <v>0</v>
      </c>
      <c r="AF155" s="136" t="str">
        <f t="shared" si="45"/>
        <v>FSC</v>
      </c>
      <c r="AG155" s="2628">
        <f t="shared" si="46"/>
        <v>1.8666666666666668E-2</v>
      </c>
      <c r="AH155" s="1266">
        <v>0.1</v>
      </c>
    </row>
    <row r="156" spans="1:34" ht="12.75">
      <c r="A156" s="2199">
        <f t="shared" si="32"/>
        <v>144</v>
      </c>
      <c r="B156" s="2200" t="s">
        <v>2071</v>
      </c>
      <c r="C156" s="2743">
        <v>0</v>
      </c>
      <c r="D156" s="2743">
        <v>0</v>
      </c>
      <c r="E156" s="2949">
        <v>0</v>
      </c>
      <c r="F156" s="2200">
        <v>10</v>
      </c>
      <c r="G156" s="2200" t="s">
        <v>2038</v>
      </c>
      <c r="H156" s="2200" t="s">
        <v>1057</v>
      </c>
      <c r="I156" s="2742">
        <v>0</v>
      </c>
      <c r="J156" s="2742"/>
      <c r="K156" s="2752">
        <v>70</v>
      </c>
      <c r="L156" s="2745">
        <f t="shared" si="33"/>
        <v>0</v>
      </c>
      <c r="M156" s="2745">
        <f t="shared" si="37"/>
        <v>0</v>
      </c>
      <c r="N156" s="2745">
        <f t="shared" si="38"/>
        <v>10</v>
      </c>
      <c r="O156" s="1232">
        <f t="shared" si="39"/>
        <v>0</v>
      </c>
      <c r="P156" s="1227" t="str">
        <f t="shared" si="40"/>
        <v>210gsm GB EMAMI (ECO STRONG BOARD-CGT)</v>
      </c>
      <c r="Q156" s="254">
        <v>0.23</v>
      </c>
      <c r="R156" s="1228" t="str">
        <f t="shared" si="41"/>
        <v>210</v>
      </c>
      <c r="S156" s="2625">
        <f t="shared" si="34"/>
        <v>0</v>
      </c>
      <c r="T156" s="2747">
        <f>IF(L156&gt;0,IF(input!$B$2=$O$1,(((L156+Y156/22)+(L156+Y156/22)*$AG156+$X156)*$P$11+$M$7)/1000,(((L156+Y156/22)+(L156+Y156/22)*O156+(L156+Y156/22)*$AG156+$X156)*$P$11+$M$7)/1000),0)</f>
        <v>0</v>
      </c>
      <c r="U156" s="2747">
        <f t="shared" si="35"/>
        <v>0</v>
      </c>
      <c r="V156" s="1229"/>
      <c r="W156" s="1231" t="str">
        <f t="shared" si="36"/>
        <v>CIF</v>
      </c>
      <c r="X156" s="1230">
        <f t="shared" si="47"/>
        <v>0</v>
      </c>
      <c r="Y156" s="2625">
        <f t="shared" si="44"/>
        <v>0</v>
      </c>
      <c r="Z156" s="3208">
        <f t="shared" si="42"/>
        <v>838.18181818181813</v>
      </c>
      <c r="AA156" s="1220" t="s">
        <v>2126</v>
      </c>
      <c r="AB156" s="1220" t="s">
        <v>1393</v>
      </c>
      <c r="AC156" s="251" t="str">
        <f t="shared" si="43"/>
        <v>210gsm GB EMAMI (ECO STRONG BOARD-CGT)</v>
      </c>
      <c r="AD156" s="2746">
        <f>IF(L156&gt;0,IF(input!$B$2=$O$1,(((M156)+(M156)*$M$10)*$P$11)/1000,(((M156)+(M156)*O156+(M156)*$M$10)*$P$11)/1000),0)</f>
        <v>0</v>
      </c>
      <c r="AE156" s="2746">
        <f>IF(L156&gt;0,IF(input!$B$2=$O$1,(((N156)+(N156)*$M$10)*$P$11)/1000,(((N156)+(N156)*O156+(N156)*$M$10)*$P$11)/1000),0)</f>
        <v>0</v>
      </c>
      <c r="AF156" s="136" t="str">
        <f t="shared" si="45"/>
        <v>FSC</v>
      </c>
      <c r="AG156" s="2628">
        <f t="shared" si="46"/>
        <v>1.8666666666666668E-2</v>
      </c>
      <c r="AH156" s="1266">
        <v>0.1</v>
      </c>
    </row>
    <row r="157" spans="1:34" ht="12.75">
      <c r="A157" s="2199">
        <f t="shared" si="32"/>
        <v>145</v>
      </c>
      <c r="B157" s="2200" t="s">
        <v>2072</v>
      </c>
      <c r="C157" s="2743">
        <v>0</v>
      </c>
      <c r="D157" s="2743">
        <v>0</v>
      </c>
      <c r="E157" s="2949">
        <v>0</v>
      </c>
      <c r="F157" s="2200">
        <v>10</v>
      </c>
      <c r="G157" s="2200" t="s">
        <v>2038</v>
      </c>
      <c r="H157" s="2200" t="s">
        <v>1057</v>
      </c>
      <c r="I157" s="2742">
        <v>0</v>
      </c>
      <c r="J157" s="2742"/>
      <c r="K157" s="2752">
        <v>70</v>
      </c>
      <c r="L157" s="2745">
        <f t="shared" si="33"/>
        <v>0</v>
      </c>
      <c r="M157" s="2745">
        <f t="shared" si="37"/>
        <v>0</v>
      </c>
      <c r="N157" s="2745">
        <f t="shared" si="38"/>
        <v>10</v>
      </c>
      <c r="O157" s="1232">
        <f t="shared" si="39"/>
        <v>0</v>
      </c>
      <c r="P157" s="1227" t="str">
        <f t="shared" si="40"/>
        <v>220gsm GB EMAMI (ECO STRONG BOARD-CGT)</v>
      </c>
      <c r="Q157" s="254">
        <v>0.255</v>
      </c>
      <c r="R157" s="1228" t="str">
        <f t="shared" si="41"/>
        <v>220</v>
      </c>
      <c r="S157" s="2625">
        <f t="shared" si="34"/>
        <v>0</v>
      </c>
      <c r="T157" s="2747">
        <f>IF(L157&gt;0,IF(input!$B$2=$O$1,(((L157+Y157/22)+(L157+Y157/22)*$AG157+$X157)*$P$11+$M$7)/1000,(((L157+Y157/22)+(L157+Y157/22)*O157+(L157+Y157/22)*$AG157+$X157)*$P$11+$M$7)/1000),0)</f>
        <v>0</v>
      </c>
      <c r="U157" s="2747">
        <f t="shared" si="35"/>
        <v>0</v>
      </c>
      <c r="V157" s="1229"/>
      <c r="W157" s="1231" t="str">
        <f t="shared" si="36"/>
        <v>CIF</v>
      </c>
      <c r="X157" s="1230">
        <f t="shared" si="47"/>
        <v>0</v>
      </c>
      <c r="Y157" s="2625">
        <f t="shared" si="44"/>
        <v>0</v>
      </c>
      <c r="Z157" s="3208">
        <f t="shared" si="42"/>
        <v>838.18181818181813</v>
      </c>
      <c r="AA157" s="1220" t="s">
        <v>2126</v>
      </c>
      <c r="AB157" s="1220" t="s">
        <v>1393</v>
      </c>
      <c r="AC157" s="251" t="str">
        <f t="shared" si="43"/>
        <v>220gsm GB EMAMI (ECO STRONG BOARD-CGT)</v>
      </c>
      <c r="AD157" s="2746">
        <f>IF(L157&gt;0,IF(input!$B$2=$O$1,(((M157)+(M157)*$M$10)*$P$11)/1000,(((M157)+(M157)*O157+(M157)*$M$10)*$P$11)/1000),0)</f>
        <v>0</v>
      </c>
      <c r="AE157" s="2746">
        <f>IF(L157&gt;0,IF(input!$B$2=$O$1,(((N157)+(N157)*$M$10)*$P$11)/1000,(((N157)+(N157)*O157+(N157)*$M$10)*$P$11)/1000),0)</f>
        <v>0</v>
      </c>
      <c r="AF157" s="136" t="str">
        <f t="shared" si="45"/>
        <v>FSC</v>
      </c>
      <c r="AG157" s="2628">
        <f t="shared" si="46"/>
        <v>1.8666666666666668E-2</v>
      </c>
      <c r="AH157" s="1266">
        <v>0.1</v>
      </c>
    </row>
    <row r="158" spans="1:34" ht="12.75">
      <c r="A158" s="2199">
        <f t="shared" si="32"/>
        <v>146</v>
      </c>
      <c r="B158" s="2200" t="s">
        <v>2073</v>
      </c>
      <c r="C158" s="2743">
        <v>0</v>
      </c>
      <c r="D158" s="2743">
        <v>680</v>
      </c>
      <c r="E158" s="2949">
        <v>0</v>
      </c>
      <c r="F158" s="2200">
        <v>10</v>
      </c>
      <c r="G158" s="2200" t="s">
        <v>2038</v>
      </c>
      <c r="H158" s="2200" t="s">
        <v>1057</v>
      </c>
      <c r="I158" s="2742">
        <v>0</v>
      </c>
      <c r="J158" s="2742"/>
      <c r="K158" s="2752">
        <v>70</v>
      </c>
      <c r="L158" s="2745">
        <f t="shared" si="33"/>
        <v>680</v>
      </c>
      <c r="M158" s="2745">
        <f t="shared" si="37"/>
        <v>0</v>
      </c>
      <c r="N158" s="2745">
        <f t="shared" si="38"/>
        <v>10</v>
      </c>
      <c r="O158" s="1232">
        <f t="shared" si="39"/>
        <v>0</v>
      </c>
      <c r="P158" s="1227" t="str">
        <f t="shared" si="40"/>
        <v>230gsm GB EMAMI (ECO STRONG BOARD-CGT)</v>
      </c>
      <c r="Q158" s="254">
        <v>0.29899999999999999</v>
      </c>
      <c r="R158" s="1228" t="str">
        <f t="shared" si="41"/>
        <v>230</v>
      </c>
      <c r="S158" s="2625">
        <f t="shared" si="34"/>
        <v>0</v>
      </c>
      <c r="T158" s="2747">
        <f>IF(L158&gt;0,IF(input!$B$2=$O$1,(((L158+Y158/22)+(L158+Y158/22)*$AG158+$X158)*$P$11+$M$7)/1000,(((L158+Y158/22)+(L158+Y158/22)*O158+(L158+Y158/22)*$AG158+$X158)*$P$11+$M$7)/1000),0)</f>
        <v>17231.566933333339</v>
      </c>
      <c r="U158" s="2747">
        <f t="shared" si="35"/>
        <v>0</v>
      </c>
      <c r="V158" s="1229"/>
      <c r="W158" s="1231" t="str">
        <f t="shared" si="36"/>
        <v>CIF</v>
      </c>
      <c r="X158" s="1230">
        <f t="shared" si="47"/>
        <v>0</v>
      </c>
      <c r="Y158" s="2625">
        <f t="shared" si="44"/>
        <v>0</v>
      </c>
      <c r="Z158" s="3208">
        <f t="shared" si="42"/>
        <v>838.18181818181813</v>
      </c>
      <c r="AA158" s="1220" t="s">
        <v>2126</v>
      </c>
      <c r="AB158" s="1220" t="s">
        <v>1393</v>
      </c>
      <c r="AC158" s="251" t="str">
        <f t="shared" si="43"/>
        <v>230gsm GB EMAMI (ECO STRONG BOARD-CGT)</v>
      </c>
      <c r="AD158" s="2746">
        <f>IF(L158&gt;0,IF(input!$B$2=$O$1,(((M158)+(M158)*$M$10)*$P$11)/1000,(((M158)+(M158)*O158+(M158)*$M$10)*$P$11)/1000),0)</f>
        <v>0</v>
      </c>
      <c r="AE158" s="2746">
        <f>IF(L158&gt;0,IF(input!$B$2=$O$1,(((N158)+(N158)*$M$10)*$P$11)/1000,(((N158)+(N158)*O158+(N158)*$M$10)*$P$11)/1000),0)</f>
        <v>242.02079999999998</v>
      </c>
      <c r="AF158" s="136" t="str">
        <f t="shared" si="45"/>
        <v>FSC</v>
      </c>
      <c r="AG158" s="2628">
        <f t="shared" si="46"/>
        <v>1.8666666666666668E-2</v>
      </c>
      <c r="AH158" s="1266">
        <v>0.1</v>
      </c>
    </row>
    <row r="159" spans="1:34" ht="12.75">
      <c r="A159" s="2199">
        <f t="shared" si="32"/>
        <v>147</v>
      </c>
      <c r="B159" s="2200" t="s">
        <v>2074</v>
      </c>
      <c r="C159" s="2743">
        <v>0</v>
      </c>
      <c r="D159" s="2743">
        <v>670</v>
      </c>
      <c r="E159" s="2949">
        <v>0</v>
      </c>
      <c r="F159" s="2200">
        <v>10</v>
      </c>
      <c r="G159" s="2200" t="s">
        <v>2038</v>
      </c>
      <c r="H159" s="2200" t="s">
        <v>1057</v>
      </c>
      <c r="I159" s="2742">
        <v>0</v>
      </c>
      <c r="J159" s="2742"/>
      <c r="K159" s="2752">
        <v>70</v>
      </c>
      <c r="L159" s="2745">
        <f t="shared" si="33"/>
        <v>670</v>
      </c>
      <c r="M159" s="2745">
        <f t="shared" si="37"/>
        <v>0</v>
      </c>
      <c r="N159" s="2745">
        <f t="shared" si="38"/>
        <v>10</v>
      </c>
      <c r="O159" s="1232">
        <f t="shared" si="39"/>
        <v>0</v>
      </c>
      <c r="P159" s="1227" t="str">
        <f t="shared" si="40"/>
        <v>250gsm GB EMAMI (ECO STRONG BOARD-CGT)</v>
      </c>
      <c r="Q159" s="254">
        <v>0.32500000000000001</v>
      </c>
      <c r="R159" s="1228" t="str">
        <f t="shared" si="41"/>
        <v>250</v>
      </c>
      <c r="S159" s="2625">
        <f t="shared" si="34"/>
        <v>0</v>
      </c>
      <c r="T159" s="2747">
        <f>IF(L159&gt;0,IF(input!$B$2=$O$1,(((L159+Y159/22)+(L159+Y159/22)*$AG159+$X159)*$P$11+$M$7)/1000,(((L159+Y159/22)+(L159+Y159/22)*O159+(L159+Y159/22)*$AG159+$X159)*$P$11+$M$7)/1000),0)</f>
        <v>16986.985066666668</v>
      </c>
      <c r="U159" s="2747">
        <f t="shared" si="35"/>
        <v>0</v>
      </c>
      <c r="V159" s="1229"/>
      <c r="W159" s="1231" t="str">
        <f t="shared" si="36"/>
        <v>CIF</v>
      </c>
      <c r="X159" s="1230">
        <f t="shared" si="47"/>
        <v>0</v>
      </c>
      <c r="Y159" s="2625">
        <f t="shared" si="44"/>
        <v>0</v>
      </c>
      <c r="Z159" s="3208">
        <f t="shared" si="42"/>
        <v>838.18181818181813</v>
      </c>
      <c r="AA159" s="1220" t="s">
        <v>2126</v>
      </c>
      <c r="AB159" s="1220" t="s">
        <v>1393</v>
      </c>
      <c r="AC159" s="251" t="str">
        <f t="shared" si="43"/>
        <v>250gsm GB EMAMI (ECO STRONG BOARD-CGT)</v>
      </c>
      <c r="AD159" s="2746">
        <f>IF(L159&gt;0,IF(input!$B$2=$O$1,(((M159)+(M159)*$M$10)*$P$11)/1000,(((M159)+(M159)*O159+(M159)*$M$10)*$P$11)/1000),0)</f>
        <v>0</v>
      </c>
      <c r="AE159" s="2746">
        <f>IF(L159&gt;0,IF(input!$B$2=$O$1,(((N159)+(N159)*$M$10)*$P$11)/1000,(((N159)+(N159)*O159+(N159)*$M$10)*$P$11)/1000),0)</f>
        <v>242.02079999999998</v>
      </c>
      <c r="AF159" s="136" t="str">
        <f t="shared" si="45"/>
        <v>FSC</v>
      </c>
      <c r="AG159" s="2628">
        <f t="shared" si="46"/>
        <v>1.8666666666666668E-2</v>
      </c>
      <c r="AH159" s="1266">
        <v>0.1</v>
      </c>
    </row>
    <row r="160" spans="1:34" ht="12.75">
      <c r="A160" s="2199">
        <f t="shared" si="32"/>
        <v>148</v>
      </c>
      <c r="B160" s="2200" t="s">
        <v>2075</v>
      </c>
      <c r="C160" s="2743">
        <v>0</v>
      </c>
      <c r="D160" s="2743">
        <v>0</v>
      </c>
      <c r="E160" s="2949">
        <v>0</v>
      </c>
      <c r="F160" s="2200">
        <v>10</v>
      </c>
      <c r="G160" s="2200" t="s">
        <v>2038</v>
      </c>
      <c r="H160" s="2200" t="s">
        <v>1057</v>
      </c>
      <c r="I160" s="2742">
        <v>0</v>
      </c>
      <c r="J160" s="2742"/>
      <c r="K160" s="2752">
        <v>70</v>
      </c>
      <c r="L160" s="2745">
        <f t="shared" si="33"/>
        <v>0</v>
      </c>
      <c r="M160" s="2745">
        <f t="shared" si="37"/>
        <v>0</v>
      </c>
      <c r="N160" s="2745">
        <f t="shared" si="38"/>
        <v>10</v>
      </c>
      <c r="O160" s="1232">
        <f t="shared" si="39"/>
        <v>0</v>
      </c>
      <c r="P160" s="1227" t="str">
        <f t="shared" si="40"/>
        <v>270gsm GB EMAMI (ECO STRONG BOARD-CGT)</v>
      </c>
      <c r="Q160" s="254">
        <v>0.3</v>
      </c>
      <c r="R160" s="1228" t="str">
        <f t="shared" si="41"/>
        <v>270</v>
      </c>
      <c r="S160" s="2625">
        <f t="shared" si="34"/>
        <v>0</v>
      </c>
      <c r="T160" s="2747">
        <f>IF(L160&gt;0,IF(input!$B$2=$O$1,(((L160+Y160/22)+(L160+Y160/22)*$AG160+$X160)*$P$11+$M$7)/1000,(((L160+Y160/22)+(L160+Y160/22)*O160+(L160+Y160/22)*$AG160+$X160)*$P$11+$M$7)/1000),0)</f>
        <v>0</v>
      </c>
      <c r="U160" s="2747">
        <f t="shared" si="35"/>
        <v>0</v>
      </c>
      <c r="V160" s="1229"/>
      <c r="W160" s="1231" t="str">
        <f t="shared" si="36"/>
        <v>CIF</v>
      </c>
      <c r="X160" s="1230">
        <f t="shared" si="47"/>
        <v>0</v>
      </c>
      <c r="Y160" s="2625">
        <f t="shared" si="44"/>
        <v>0</v>
      </c>
      <c r="Z160" s="3208">
        <f t="shared" si="42"/>
        <v>838.18181818181813</v>
      </c>
      <c r="AA160" s="1220" t="s">
        <v>2126</v>
      </c>
      <c r="AB160" s="1220" t="s">
        <v>1393</v>
      </c>
      <c r="AC160" s="251" t="str">
        <f t="shared" si="43"/>
        <v>270gsm GB EMAMI (ECO STRONG BOARD-CGT)</v>
      </c>
      <c r="AD160" s="2746">
        <f>IF(L160&gt;0,IF(input!$B$2=$O$1,(((M160)+(M160)*$M$10)*$P$11)/1000,(((M160)+(M160)*O160+(M160)*$M$10)*$P$11)/1000),0)</f>
        <v>0</v>
      </c>
      <c r="AE160" s="2746">
        <f>IF(L160&gt;0,IF(input!$B$2=$O$1,(((N160)+(N160)*$M$10)*$P$11)/1000,(((N160)+(N160)*O160+(N160)*$M$10)*$P$11)/1000),0)</f>
        <v>0</v>
      </c>
      <c r="AF160" s="136" t="str">
        <f t="shared" si="45"/>
        <v>FSC</v>
      </c>
      <c r="AG160" s="2628">
        <f t="shared" si="46"/>
        <v>1.8666666666666668E-2</v>
      </c>
      <c r="AH160" s="1266">
        <v>0.1</v>
      </c>
    </row>
    <row r="161" spans="1:34" ht="12.75">
      <c r="A161" s="2199">
        <f t="shared" si="32"/>
        <v>149</v>
      </c>
      <c r="B161" s="2200" t="s">
        <v>2076</v>
      </c>
      <c r="C161" s="2743">
        <v>0</v>
      </c>
      <c r="D161" s="2743">
        <v>650</v>
      </c>
      <c r="E161" s="2949">
        <v>0</v>
      </c>
      <c r="F161" s="2200">
        <v>10</v>
      </c>
      <c r="G161" s="2200" t="s">
        <v>2038</v>
      </c>
      <c r="H161" s="2200" t="s">
        <v>1057</v>
      </c>
      <c r="I161" s="2742">
        <v>0</v>
      </c>
      <c r="J161" s="2742"/>
      <c r="K161" s="2752">
        <v>70</v>
      </c>
      <c r="L161" s="2745">
        <f t="shared" si="33"/>
        <v>650</v>
      </c>
      <c r="M161" s="2745">
        <f t="shared" si="37"/>
        <v>0</v>
      </c>
      <c r="N161" s="2745">
        <f t="shared" si="38"/>
        <v>10</v>
      </c>
      <c r="O161" s="1232">
        <f t="shared" si="39"/>
        <v>0</v>
      </c>
      <c r="P161" s="1227" t="str">
        <f t="shared" si="40"/>
        <v>280gsm GB EMAMI (ECO STRONG BOARD-CGT)</v>
      </c>
      <c r="Q161" s="254">
        <v>0.36399999999999999</v>
      </c>
      <c r="R161" s="1228" t="str">
        <f t="shared" si="41"/>
        <v>280</v>
      </c>
      <c r="S161" s="2625">
        <f t="shared" si="34"/>
        <v>0</v>
      </c>
      <c r="T161" s="2747">
        <f>IF(L161&gt;0,IF(input!$B$2=$O$1,(((L161+Y161/22)+(L161+Y161/22)*$AG161+$X161)*$P$11+$M$7)/1000,(((L161+Y161/22)+(L161+Y161/22)*O161+(L161+Y161/22)*$AG161+$X161)*$P$11+$M$7)/1000),0)</f>
        <v>16497.821333333333</v>
      </c>
      <c r="U161" s="2747">
        <f t="shared" si="35"/>
        <v>0</v>
      </c>
      <c r="V161" s="1229"/>
      <c r="W161" s="1231" t="str">
        <f t="shared" si="36"/>
        <v>CIF</v>
      </c>
      <c r="X161" s="1230">
        <f t="shared" si="47"/>
        <v>0</v>
      </c>
      <c r="Y161" s="2625">
        <f t="shared" si="44"/>
        <v>0</v>
      </c>
      <c r="Z161" s="3208">
        <f t="shared" si="42"/>
        <v>838.18181818181813</v>
      </c>
      <c r="AA161" s="1220" t="s">
        <v>2126</v>
      </c>
      <c r="AB161" s="1220" t="s">
        <v>1393</v>
      </c>
      <c r="AC161" s="251" t="str">
        <f t="shared" si="43"/>
        <v>280gsm GB EMAMI (ECO STRONG BOARD-CGT)</v>
      </c>
      <c r="AD161" s="2746">
        <f>IF(L161&gt;0,IF(input!$B$2=$O$1,(((M161)+(M161)*$M$10)*$P$11)/1000,(((M161)+(M161)*O161+(M161)*$M$10)*$P$11)/1000),0)</f>
        <v>0</v>
      </c>
      <c r="AE161" s="2746">
        <f>IF(L161&gt;0,IF(input!$B$2=$O$1,(((N161)+(N161)*$M$10)*$P$11)/1000,(((N161)+(N161)*O161+(N161)*$M$10)*$P$11)/1000),0)</f>
        <v>242.02079999999998</v>
      </c>
      <c r="AF161" s="136" t="str">
        <f t="shared" si="45"/>
        <v>FSC</v>
      </c>
      <c r="AG161" s="2628">
        <f t="shared" si="46"/>
        <v>1.8666666666666668E-2</v>
      </c>
      <c r="AH161" s="1266">
        <v>0.1</v>
      </c>
    </row>
    <row r="162" spans="1:34" ht="12.75">
      <c r="A162" s="2199">
        <f t="shared" si="32"/>
        <v>150</v>
      </c>
      <c r="B162" s="2200" t="s">
        <v>2077</v>
      </c>
      <c r="C162" s="2743">
        <v>0</v>
      </c>
      <c r="D162" s="2743">
        <v>0</v>
      </c>
      <c r="E162" s="2949">
        <v>0</v>
      </c>
      <c r="F162" s="2200">
        <v>10</v>
      </c>
      <c r="G162" s="2200" t="s">
        <v>2038</v>
      </c>
      <c r="H162" s="2200" t="s">
        <v>1057</v>
      </c>
      <c r="I162" s="2742">
        <v>0</v>
      </c>
      <c r="J162" s="2742"/>
      <c r="K162" s="2752">
        <v>70</v>
      </c>
      <c r="L162" s="2745">
        <f t="shared" si="33"/>
        <v>0</v>
      </c>
      <c r="M162" s="2745">
        <f t="shared" si="37"/>
        <v>0</v>
      </c>
      <c r="N162" s="2745">
        <f t="shared" si="38"/>
        <v>10</v>
      </c>
      <c r="O162" s="1232">
        <f t="shared" si="39"/>
        <v>0</v>
      </c>
      <c r="P162" s="1227" t="str">
        <f t="shared" si="40"/>
        <v>285gsm GB EMAMI (ECO STRONG BOARD-CGT)</v>
      </c>
      <c r="Q162" s="254">
        <v>0.33</v>
      </c>
      <c r="R162" s="1228" t="str">
        <f t="shared" si="41"/>
        <v>285</v>
      </c>
      <c r="S162" s="2625">
        <f t="shared" si="34"/>
        <v>0</v>
      </c>
      <c r="T162" s="2747">
        <f>IF(L162&gt;0,IF(input!$B$2=$O$1,(((L162+Y162/22)+(L162+Y162/22)*$AG162+$X162)*$P$11+$M$7)/1000,(((L162+Y162/22)+(L162+Y162/22)*O162+(L162+Y162/22)*$AG162+$X162)*$P$11+$M$7)/1000),0)</f>
        <v>0</v>
      </c>
      <c r="U162" s="2747">
        <f t="shared" si="35"/>
        <v>0</v>
      </c>
      <c r="V162" s="1229"/>
      <c r="W162" s="1231" t="str">
        <f t="shared" si="36"/>
        <v>CIF</v>
      </c>
      <c r="X162" s="1230">
        <f t="shared" si="47"/>
        <v>0</v>
      </c>
      <c r="Y162" s="2625">
        <f t="shared" si="44"/>
        <v>0</v>
      </c>
      <c r="Z162" s="3208">
        <f t="shared" si="42"/>
        <v>838.18181818181813</v>
      </c>
      <c r="AA162" s="1220" t="s">
        <v>2126</v>
      </c>
      <c r="AB162" s="1220" t="s">
        <v>1393</v>
      </c>
      <c r="AC162" s="251" t="str">
        <f t="shared" si="43"/>
        <v>285gsm GB EMAMI (ECO STRONG BOARD-CGT)</v>
      </c>
      <c r="AD162" s="2746">
        <f>IF(L162&gt;0,IF(input!$B$2=$O$1,(((M162)+(M162)*$M$10)*$P$11)/1000,(((M162)+(M162)*O162+(M162)*$M$10)*$P$11)/1000),0)</f>
        <v>0</v>
      </c>
      <c r="AE162" s="2746">
        <f>IF(L162&gt;0,IF(input!$B$2=$O$1,(((N162)+(N162)*$M$10)*$P$11)/1000,(((N162)+(N162)*O162+(N162)*$M$10)*$P$11)/1000),0)</f>
        <v>0</v>
      </c>
      <c r="AF162" s="136" t="str">
        <f t="shared" si="45"/>
        <v>FSC</v>
      </c>
      <c r="AG162" s="2628">
        <f t="shared" si="46"/>
        <v>1.8666666666666668E-2</v>
      </c>
      <c r="AH162" s="1266">
        <v>0.1</v>
      </c>
    </row>
    <row r="163" spans="1:34" ht="12.75">
      <c r="A163" s="2199">
        <f t="shared" si="32"/>
        <v>151</v>
      </c>
      <c r="B163" s="2200" t="s">
        <v>2078</v>
      </c>
      <c r="C163" s="2743">
        <v>0</v>
      </c>
      <c r="D163" s="2743">
        <v>0</v>
      </c>
      <c r="E163" s="2949">
        <v>0</v>
      </c>
      <c r="F163" s="2200">
        <v>10</v>
      </c>
      <c r="G163" s="2200" t="s">
        <v>2038</v>
      </c>
      <c r="H163" s="2200" t="s">
        <v>1057</v>
      </c>
      <c r="I163" s="2742">
        <v>0</v>
      </c>
      <c r="J163" s="2742"/>
      <c r="K163" s="2752">
        <v>70</v>
      </c>
      <c r="L163" s="2745">
        <f t="shared" si="33"/>
        <v>0</v>
      </c>
      <c r="M163" s="2745">
        <f t="shared" si="37"/>
        <v>0</v>
      </c>
      <c r="N163" s="2745">
        <f t="shared" si="38"/>
        <v>10</v>
      </c>
      <c r="O163" s="1232">
        <f t="shared" si="39"/>
        <v>0</v>
      </c>
      <c r="P163" s="1227" t="str">
        <f t="shared" si="40"/>
        <v>290gsm GB EMAMI (ECO STRONG BOARD-CGT)</v>
      </c>
      <c r="Q163" s="254">
        <v>0.33500000000000002</v>
      </c>
      <c r="R163" s="1228" t="str">
        <f t="shared" si="41"/>
        <v>290</v>
      </c>
      <c r="S163" s="2625">
        <f t="shared" si="34"/>
        <v>0</v>
      </c>
      <c r="T163" s="2747">
        <f>IF(L163&gt;0,IF(input!$B$2=$O$1,(((L163+Y163/22)+(L163+Y163/22)*$AG163+$X163)*$P$11+$M$7)/1000,(((L163+Y163/22)+(L163+Y163/22)*O163+(L163+Y163/22)*$AG163+$X163)*$P$11+$M$7)/1000),0)</f>
        <v>0</v>
      </c>
      <c r="U163" s="2747">
        <f t="shared" si="35"/>
        <v>0</v>
      </c>
      <c r="V163" s="1229"/>
      <c r="W163" s="1231" t="str">
        <f t="shared" si="36"/>
        <v>CIF</v>
      </c>
      <c r="X163" s="1230">
        <f t="shared" si="47"/>
        <v>0</v>
      </c>
      <c r="Y163" s="2625">
        <f t="shared" si="44"/>
        <v>0</v>
      </c>
      <c r="Z163" s="3208">
        <f t="shared" si="42"/>
        <v>838.18181818181813</v>
      </c>
      <c r="AA163" s="1220" t="s">
        <v>2126</v>
      </c>
      <c r="AB163" s="1220" t="s">
        <v>1393</v>
      </c>
      <c r="AC163" s="251" t="str">
        <f t="shared" si="43"/>
        <v>290gsm GB EMAMI (ECO STRONG BOARD-CGT)</v>
      </c>
      <c r="AD163" s="2746">
        <f>IF(L163&gt;0,IF(input!$B$2=$O$1,(((M163)+(M163)*$M$10)*$P$11)/1000,(((M163)+(M163)*O163+(M163)*$M$10)*$P$11)/1000),0)</f>
        <v>0</v>
      </c>
      <c r="AE163" s="2746">
        <f>IF(L163&gt;0,IF(input!$B$2=$O$1,(((N163)+(N163)*$M$10)*$P$11)/1000,(((N163)+(N163)*O163+(N163)*$M$10)*$P$11)/1000),0)</f>
        <v>0</v>
      </c>
      <c r="AF163" s="136" t="str">
        <f t="shared" si="45"/>
        <v>FSC</v>
      </c>
      <c r="AG163" s="2628">
        <f t="shared" si="46"/>
        <v>1.8666666666666668E-2</v>
      </c>
      <c r="AH163" s="1266">
        <v>0.1</v>
      </c>
    </row>
    <row r="164" spans="1:34" ht="12.75">
      <c r="A164" s="2199">
        <f t="shared" si="32"/>
        <v>152</v>
      </c>
      <c r="B164" s="2200" t="s">
        <v>2079</v>
      </c>
      <c r="C164" s="2743">
        <v>0</v>
      </c>
      <c r="D164" s="2743">
        <v>650</v>
      </c>
      <c r="E164" s="2949">
        <v>0</v>
      </c>
      <c r="F164" s="2200">
        <v>10</v>
      </c>
      <c r="G164" s="2200" t="s">
        <v>2038</v>
      </c>
      <c r="H164" s="2200" t="s">
        <v>1057</v>
      </c>
      <c r="I164" s="2742">
        <v>0</v>
      </c>
      <c r="J164" s="2742"/>
      <c r="K164" s="2752">
        <v>70</v>
      </c>
      <c r="L164" s="2745">
        <f t="shared" si="33"/>
        <v>650</v>
      </c>
      <c r="M164" s="2745">
        <f t="shared" si="37"/>
        <v>0</v>
      </c>
      <c r="N164" s="2745">
        <f t="shared" si="38"/>
        <v>10</v>
      </c>
      <c r="O164" s="1232">
        <f t="shared" si="39"/>
        <v>0</v>
      </c>
      <c r="P164" s="1227" t="str">
        <f t="shared" si="40"/>
        <v>300gsm GB EMAMI (ECO STRONG BOARD-CGT)</v>
      </c>
      <c r="Q164" s="254">
        <v>0.39600000000000002</v>
      </c>
      <c r="R164" s="1228" t="str">
        <f t="shared" si="41"/>
        <v>300</v>
      </c>
      <c r="S164" s="2625">
        <f t="shared" si="34"/>
        <v>0</v>
      </c>
      <c r="T164" s="2747">
        <f>IF(L164&gt;0,IF(input!$B$2=$O$1,(((L164+Y164/22)+(L164+Y164/22)*$AG164+$X164)*$P$11+$M$7)/1000,(((L164+Y164/22)+(L164+Y164/22)*O164+(L164+Y164/22)*$AG164+$X164)*$P$11+$M$7)/1000),0)</f>
        <v>16497.821333333333</v>
      </c>
      <c r="U164" s="2747">
        <f t="shared" si="35"/>
        <v>0</v>
      </c>
      <c r="V164" s="1229"/>
      <c r="W164" s="1231" t="str">
        <f t="shared" si="36"/>
        <v>CIF</v>
      </c>
      <c r="X164" s="1230">
        <f t="shared" si="47"/>
        <v>0</v>
      </c>
      <c r="Y164" s="2625">
        <f t="shared" si="44"/>
        <v>0</v>
      </c>
      <c r="Z164" s="3208">
        <f t="shared" si="42"/>
        <v>838.18181818181813</v>
      </c>
      <c r="AA164" s="1220" t="s">
        <v>2126</v>
      </c>
      <c r="AB164" s="1220" t="s">
        <v>1393</v>
      </c>
      <c r="AC164" s="251" t="str">
        <f t="shared" si="43"/>
        <v>300gsm GB EMAMI (ECO STRONG BOARD-CGT)</v>
      </c>
      <c r="AD164" s="2746">
        <f>IF(L164&gt;0,IF(input!$B$2=$O$1,(((M164)+(M164)*$M$10)*$P$11)/1000,(((M164)+(M164)*O164+(M164)*$M$10)*$P$11)/1000),0)</f>
        <v>0</v>
      </c>
      <c r="AE164" s="2746">
        <f>IF(L164&gt;0,IF(input!$B$2=$O$1,(((N164)+(N164)*$M$10)*$P$11)/1000,(((N164)+(N164)*O164+(N164)*$M$10)*$P$11)/1000),0)</f>
        <v>242.02079999999998</v>
      </c>
      <c r="AF164" s="136" t="str">
        <f t="shared" si="45"/>
        <v>FSC</v>
      </c>
      <c r="AG164" s="2628">
        <f t="shared" si="46"/>
        <v>1.8666666666666668E-2</v>
      </c>
      <c r="AH164" s="1266">
        <v>0.1</v>
      </c>
    </row>
    <row r="165" spans="1:34" ht="12.75">
      <c r="A165" s="2199">
        <f t="shared" si="32"/>
        <v>153</v>
      </c>
      <c r="B165" s="2200" t="s">
        <v>2080</v>
      </c>
      <c r="C165" s="2743">
        <v>0</v>
      </c>
      <c r="D165" s="2743">
        <v>0</v>
      </c>
      <c r="E165" s="2949">
        <v>0</v>
      </c>
      <c r="F165" s="2200">
        <v>10</v>
      </c>
      <c r="G165" s="2200" t="s">
        <v>2038</v>
      </c>
      <c r="H165" s="2200" t="s">
        <v>1057</v>
      </c>
      <c r="I165" s="2742">
        <v>0</v>
      </c>
      <c r="J165" s="2742"/>
      <c r="K165" s="2752">
        <v>70</v>
      </c>
      <c r="L165" s="2745">
        <f t="shared" si="33"/>
        <v>0</v>
      </c>
      <c r="M165" s="2745">
        <f t="shared" si="37"/>
        <v>0</v>
      </c>
      <c r="N165" s="2745">
        <f t="shared" si="38"/>
        <v>10</v>
      </c>
      <c r="O165" s="1232">
        <f t="shared" si="39"/>
        <v>0</v>
      </c>
      <c r="P165" s="1227" t="str">
        <f t="shared" si="40"/>
        <v>310gsm GB EMAMI (ECO STRONG BOARD-CGT)</v>
      </c>
      <c r="Q165" s="254">
        <v>0.37</v>
      </c>
      <c r="R165" s="1228" t="str">
        <f t="shared" si="41"/>
        <v>310</v>
      </c>
      <c r="S165" s="2625">
        <f t="shared" si="34"/>
        <v>0</v>
      </c>
      <c r="T165" s="2747">
        <f>IF(L165&gt;0,IF(input!$B$2=$O$1,(((L165+Y165/22)+(L165+Y165/22)*$AG165+$X165)*$P$11+$M$7)/1000,(((L165+Y165/22)+(L165+Y165/22)*O165+(L165+Y165/22)*$AG165+$X165)*$P$11+$M$7)/1000),0)</f>
        <v>0</v>
      </c>
      <c r="U165" s="2747">
        <f t="shared" si="35"/>
        <v>0</v>
      </c>
      <c r="V165" s="1229"/>
      <c r="W165" s="1231" t="str">
        <f t="shared" si="36"/>
        <v>CIF</v>
      </c>
      <c r="X165" s="1230">
        <f t="shared" si="47"/>
        <v>0</v>
      </c>
      <c r="Y165" s="2625">
        <f t="shared" si="44"/>
        <v>0</v>
      </c>
      <c r="Z165" s="3208">
        <f t="shared" si="42"/>
        <v>838.18181818181813</v>
      </c>
      <c r="AA165" s="1220" t="s">
        <v>2126</v>
      </c>
      <c r="AB165" s="1220" t="s">
        <v>1393</v>
      </c>
      <c r="AC165" s="251" t="str">
        <f t="shared" si="43"/>
        <v>310gsm GB EMAMI (ECO STRONG BOARD-CGT)</v>
      </c>
      <c r="AD165" s="2746">
        <f>IF(L165&gt;0,IF(input!$B$2=$O$1,(((M165)+(M165)*$M$10)*$P$11)/1000,(((M165)+(M165)*O165+(M165)*$M$10)*$P$11)/1000),0)</f>
        <v>0</v>
      </c>
      <c r="AE165" s="2746">
        <f>IF(L165&gt;0,IF(input!$B$2=$O$1,(((N165)+(N165)*$M$10)*$P$11)/1000,(((N165)+(N165)*O165+(N165)*$M$10)*$P$11)/1000),0)</f>
        <v>0</v>
      </c>
      <c r="AF165" s="136" t="str">
        <f t="shared" si="45"/>
        <v>FSC</v>
      </c>
      <c r="AG165" s="2628">
        <f t="shared" si="46"/>
        <v>1.8666666666666668E-2</v>
      </c>
      <c r="AH165" s="1266">
        <v>0.1</v>
      </c>
    </row>
    <row r="166" spans="1:34" ht="12.75">
      <c r="A166" s="2199">
        <f t="shared" si="32"/>
        <v>154</v>
      </c>
      <c r="B166" s="2200" t="s">
        <v>2081</v>
      </c>
      <c r="C166" s="2743">
        <v>0</v>
      </c>
      <c r="D166" s="2743">
        <v>0</v>
      </c>
      <c r="E166" s="2949">
        <v>0</v>
      </c>
      <c r="F166" s="2200">
        <v>10</v>
      </c>
      <c r="G166" s="2200" t="s">
        <v>2038</v>
      </c>
      <c r="H166" s="2200" t="s">
        <v>1057</v>
      </c>
      <c r="I166" s="2742">
        <v>0</v>
      </c>
      <c r="J166" s="2742"/>
      <c r="K166" s="2752">
        <v>70</v>
      </c>
      <c r="L166" s="2745">
        <f t="shared" si="33"/>
        <v>0</v>
      </c>
      <c r="M166" s="2745">
        <f t="shared" si="37"/>
        <v>0</v>
      </c>
      <c r="N166" s="2745">
        <f t="shared" si="38"/>
        <v>10</v>
      </c>
      <c r="O166" s="1232">
        <f t="shared" si="39"/>
        <v>0</v>
      </c>
      <c r="P166" s="1227" t="str">
        <f t="shared" si="40"/>
        <v>320gsm GB EMAMI (ECO STRONG BOARD-CGT)</v>
      </c>
      <c r="Q166" s="254">
        <v>0.38500000000000001</v>
      </c>
      <c r="R166" s="1228" t="str">
        <f t="shared" si="41"/>
        <v>320</v>
      </c>
      <c r="S166" s="2625">
        <f t="shared" si="34"/>
        <v>0</v>
      </c>
      <c r="T166" s="2747">
        <f>IF(L166&gt;0,IF(input!$B$2=$O$1,(((L166+Y166/22)+(L166+Y166/22)*$AG166+$X166)*$P$11+$M$7)/1000,(((L166+Y166/22)+(L166+Y166/22)*O166+(L166+Y166/22)*$AG166+$X166)*$P$11+$M$7)/1000),0)</f>
        <v>0</v>
      </c>
      <c r="U166" s="2747">
        <f t="shared" si="35"/>
        <v>0</v>
      </c>
      <c r="V166" s="1229"/>
      <c r="W166" s="1231" t="str">
        <f t="shared" si="36"/>
        <v>CIF</v>
      </c>
      <c r="X166" s="1230">
        <f t="shared" si="47"/>
        <v>0</v>
      </c>
      <c r="Y166" s="2625">
        <f t="shared" si="44"/>
        <v>0</v>
      </c>
      <c r="Z166" s="3208">
        <f t="shared" si="42"/>
        <v>838.18181818181813</v>
      </c>
      <c r="AA166" s="1220" t="s">
        <v>2126</v>
      </c>
      <c r="AB166" s="1220" t="s">
        <v>1393</v>
      </c>
      <c r="AC166" s="251" t="str">
        <f t="shared" si="43"/>
        <v>320gsm GB EMAMI (ECO STRONG BOARD-CGT)</v>
      </c>
      <c r="AD166" s="2746">
        <f>IF(L166&gt;0,IF(input!$B$2=$O$1,(((M166)+(M166)*$M$10)*$P$11)/1000,(((M166)+(M166)*O166+(M166)*$M$10)*$P$11)/1000),0)</f>
        <v>0</v>
      </c>
      <c r="AE166" s="2746">
        <f>IF(L166&gt;0,IF(input!$B$2=$O$1,(((N166)+(N166)*$M$10)*$P$11)/1000,(((N166)+(N166)*O166+(N166)*$M$10)*$P$11)/1000),0)</f>
        <v>0</v>
      </c>
      <c r="AF166" s="136" t="str">
        <f t="shared" si="45"/>
        <v>FSC</v>
      </c>
      <c r="AG166" s="2628">
        <f t="shared" si="46"/>
        <v>1.8666666666666668E-2</v>
      </c>
      <c r="AH166" s="1266">
        <v>0.1</v>
      </c>
    </row>
    <row r="167" spans="1:34" ht="12.75">
      <c r="A167" s="2199">
        <f t="shared" si="32"/>
        <v>155</v>
      </c>
      <c r="B167" s="2200" t="s">
        <v>2082</v>
      </c>
      <c r="C167" s="2743">
        <v>0</v>
      </c>
      <c r="D167" s="2743">
        <v>0</v>
      </c>
      <c r="E167" s="2949">
        <v>0</v>
      </c>
      <c r="F167" s="2200">
        <v>10</v>
      </c>
      <c r="G167" s="2200" t="s">
        <v>2038</v>
      </c>
      <c r="H167" s="2200" t="s">
        <v>1057</v>
      </c>
      <c r="I167" s="2742">
        <v>0</v>
      </c>
      <c r="J167" s="2742"/>
      <c r="K167" s="2752">
        <v>70</v>
      </c>
      <c r="L167" s="2745">
        <f t="shared" si="33"/>
        <v>0</v>
      </c>
      <c r="M167" s="2745">
        <f t="shared" si="37"/>
        <v>0</v>
      </c>
      <c r="N167" s="2745">
        <f t="shared" si="38"/>
        <v>10</v>
      </c>
      <c r="O167" s="1232">
        <f t="shared" si="39"/>
        <v>0</v>
      </c>
      <c r="P167" s="1227" t="str">
        <f t="shared" si="40"/>
        <v>330gsm GB EMAMI (ECO STRONG BOARD-CGT)</v>
      </c>
      <c r="Q167" s="254">
        <v>0.41</v>
      </c>
      <c r="R167" s="1228" t="str">
        <f t="shared" si="41"/>
        <v>330</v>
      </c>
      <c r="S167" s="2625">
        <f t="shared" si="34"/>
        <v>0</v>
      </c>
      <c r="T167" s="2747">
        <f>IF(L167&gt;0,IF(input!$B$2=$O$1,(((L167+Y167/22)+(L167+Y167/22)*$AG167+$X167)*$P$11+$M$7)/1000,(((L167+Y167/22)+(L167+Y167/22)*O167+(L167+Y167/22)*$AG167+$X167)*$P$11+$M$7)/1000),0)</f>
        <v>0</v>
      </c>
      <c r="U167" s="2747">
        <f t="shared" si="35"/>
        <v>0</v>
      </c>
      <c r="V167" s="1229"/>
      <c r="W167" s="1231" t="str">
        <f t="shared" si="36"/>
        <v>CIF</v>
      </c>
      <c r="X167" s="1230">
        <f t="shared" si="47"/>
        <v>0</v>
      </c>
      <c r="Y167" s="2625">
        <f t="shared" si="44"/>
        <v>0</v>
      </c>
      <c r="Z167" s="3208">
        <f t="shared" si="42"/>
        <v>838.18181818181813</v>
      </c>
      <c r="AA167" s="1220" t="s">
        <v>2126</v>
      </c>
      <c r="AB167" s="1220" t="s">
        <v>1393</v>
      </c>
      <c r="AC167" s="251" t="str">
        <f t="shared" si="43"/>
        <v>330gsm GB EMAMI (ECO STRONG BOARD-CGT)</v>
      </c>
      <c r="AD167" s="2746">
        <f>IF(L167&gt;0,IF(input!$B$2=$O$1,(((M167)+(M167)*$M$10)*$P$11)/1000,(((M167)+(M167)*O167+(M167)*$M$10)*$P$11)/1000),0)</f>
        <v>0</v>
      </c>
      <c r="AE167" s="2746">
        <f>IF(L167&gt;0,IF(input!$B$2=$O$1,(((N167)+(N167)*$M$10)*$P$11)/1000,(((N167)+(N167)*O167+(N167)*$M$10)*$P$11)/1000),0)</f>
        <v>0</v>
      </c>
      <c r="AF167" s="136" t="str">
        <f t="shared" si="45"/>
        <v>FSC</v>
      </c>
      <c r="AG167" s="2628">
        <f t="shared" si="46"/>
        <v>1.8666666666666668E-2</v>
      </c>
      <c r="AH167" s="1266">
        <v>0.1</v>
      </c>
    </row>
    <row r="168" spans="1:34" ht="12.75">
      <c r="A168" s="2199">
        <f t="shared" si="32"/>
        <v>156</v>
      </c>
      <c r="B168" s="2200" t="s">
        <v>2083</v>
      </c>
      <c r="C168" s="2743">
        <v>0</v>
      </c>
      <c r="D168" s="2743">
        <v>0</v>
      </c>
      <c r="E168" s="2949">
        <v>0</v>
      </c>
      <c r="F168" s="2200">
        <v>10</v>
      </c>
      <c r="G168" s="2200" t="s">
        <v>2038</v>
      </c>
      <c r="H168" s="2200" t="s">
        <v>1057</v>
      </c>
      <c r="I168" s="2742">
        <v>0</v>
      </c>
      <c r="J168" s="2742"/>
      <c r="K168" s="2752">
        <v>70</v>
      </c>
      <c r="L168" s="2745">
        <f t="shared" si="33"/>
        <v>0</v>
      </c>
      <c r="M168" s="2745">
        <f t="shared" si="37"/>
        <v>0</v>
      </c>
      <c r="N168" s="2745">
        <f t="shared" si="38"/>
        <v>10</v>
      </c>
      <c r="O168" s="1232">
        <f t="shared" si="39"/>
        <v>0</v>
      </c>
      <c r="P168" s="1227" t="str">
        <f t="shared" si="40"/>
        <v>340gsm GB EMAMI (ECO STRONG BOARD-CGT)</v>
      </c>
      <c r="Q168" s="254">
        <v>0.42</v>
      </c>
      <c r="R168" s="1228" t="str">
        <f t="shared" si="41"/>
        <v>340</v>
      </c>
      <c r="S168" s="2625">
        <f t="shared" si="34"/>
        <v>0</v>
      </c>
      <c r="T168" s="2747">
        <f>IF(L168&gt;0,IF(input!$B$2=$O$1,(((L168+Y168/22)+(L168+Y168/22)*$AG168+$X168)*$P$11+$M$7)/1000,(((L168+Y168/22)+(L168+Y168/22)*O168+(L168+Y168/22)*$AG168+$X168)*$P$11+$M$7)/1000),0)</f>
        <v>0</v>
      </c>
      <c r="U168" s="2747">
        <f t="shared" si="35"/>
        <v>0</v>
      </c>
      <c r="V168" s="1229"/>
      <c r="W168" s="1231" t="str">
        <f t="shared" si="36"/>
        <v>CIF</v>
      </c>
      <c r="X168" s="1230">
        <f t="shared" si="47"/>
        <v>0</v>
      </c>
      <c r="Y168" s="2625">
        <f t="shared" si="44"/>
        <v>0</v>
      </c>
      <c r="Z168" s="3208">
        <f t="shared" si="42"/>
        <v>838.18181818181813</v>
      </c>
      <c r="AA168" s="1220" t="s">
        <v>2126</v>
      </c>
      <c r="AB168" s="1220" t="s">
        <v>1393</v>
      </c>
      <c r="AC168" s="251" t="str">
        <f t="shared" si="43"/>
        <v>340gsm GB EMAMI (ECO STRONG BOARD-CGT)</v>
      </c>
      <c r="AD168" s="2746">
        <f>IF(L168&gt;0,IF(input!$B$2=$O$1,(((M168)+(M168)*$M$10)*$P$11)/1000,(((M168)+(M168)*O168+(M168)*$M$10)*$P$11)/1000),0)</f>
        <v>0</v>
      </c>
      <c r="AE168" s="2746">
        <f>IF(L168&gt;0,IF(input!$B$2=$O$1,(((N168)+(N168)*$M$10)*$P$11)/1000,(((N168)+(N168)*O168+(N168)*$M$10)*$P$11)/1000),0)</f>
        <v>0</v>
      </c>
      <c r="AF168" s="136" t="str">
        <f t="shared" si="45"/>
        <v>FSC</v>
      </c>
      <c r="AG168" s="2628">
        <f t="shared" si="46"/>
        <v>1.8666666666666668E-2</v>
      </c>
      <c r="AH168" s="1266">
        <v>0.1</v>
      </c>
    </row>
    <row r="169" spans="1:34" ht="12.75">
      <c r="A169" s="2199">
        <f t="shared" si="32"/>
        <v>157</v>
      </c>
      <c r="B169" s="2200" t="s">
        <v>2084</v>
      </c>
      <c r="C169" s="2743">
        <v>0</v>
      </c>
      <c r="D169" s="2743">
        <v>650</v>
      </c>
      <c r="E169" s="2949">
        <v>0</v>
      </c>
      <c r="F169" s="2200">
        <v>10</v>
      </c>
      <c r="G169" s="2200" t="s">
        <v>2038</v>
      </c>
      <c r="H169" s="2200" t="s">
        <v>1057</v>
      </c>
      <c r="I169" s="2742">
        <v>0</v>
      </c>
      <c r="J169" s="2742"/>
      <c r="K169" s="2752">
        <v>70</v>
      </c>
      <c r="L169" s="2745">
        <f t="shared" si="33"/>
        <v>650</v>
      </c>
      <c r="M169" s="2745">
        <f t="shared" si="37"/>
        <v>0</v>
      </c>
      <c r="N169" s="2745">
        <f t="shared" si="38"/>
        <v>10</v>
      </c>
      <c r="O169" s="1232">
        <f t="shared" si="39"/>
        <v>0</v>
      </c>
      <c r="P169" s="1227" t="str">
        <f t="shared" si="40"/>
        <v>350gsm GB EMAMI (ECO STRONG BOARD-CGT)</v>
      </c>
      <c r="Q169" s="254">
        <v>0.47299999999999998</v>
      </c>
      <c r="R169" s="1228" t="str">
        <f t="shared" si="41"/>
        <v>350</v>
      </c>
      <c r="S169" s="2625">
        <f t="shared" si="34"/>
        <v>0</v>
      </c>
      <c r="T169" s="2747">
        <f>IF(L169&gt;0,IF(input!$B$2=$O$1,(((L169+Y169/22)+(L169+Y169/22)*$AG169+$X169)*$P$11+$M$7)/1000,(((L169+Y169/22)+(L169+Y169/22)*O169+(L169+Y169/22)*$AG169+$X169)*$P$11+$M$7)/1000),0)</f>
        <v>16497.821333333333</v>
      </c>
      <c r="U169" s="2747">
        <f t="shared" si="35"/>
        <v>0</v>
      </c>
      <c r="V169" s="1229"/>
      <c r="W169" s="1231" t="str">
        <f t="shared" si="36"/>
        <v>CIF</v>
      </c>
      <c r="X169" s="1230">
        <f t="shared" si="47"/>
        <v>0</v>
      </c>
      <c r="Y169" s="2625">
        <f t="shared" si="44"/>
        <v>0</v>
      </c>
      <c r="Z169" s="3208">
        <f t="shared" si="42"/>
        <v>838.18181818181813</v>
      </c>
      <c r="AA169" s="1220" t="s">
        <v>2126</v>
      </c>
      <c r="AB169" s="1220" t="s">
        <v>1393</v>
      </c>
      <c r="AC169" s="251" t="str">
        <f t="shared" si="43"/>
        <v>350gsm GB EMAMI (ECO STRONG BOARD-CGT)</v>
      </c>
      <c r="AD169" s="2746">
        <f>IF(L169&gt;0,IF(input!$B$2=$O$1,(((M169)+(M169)*$M$10)*$P$11)/1000,(((M169)+(M169)*O169+(M169)*$M$10)*$P$11)/1000),0)</f>
        <v>0</v>
      </c>
      <c r="AE169" s="2746">
        <f>IF(L169&gt;0,IF(input!$B$2=$O$1,(((N169)+(N169)*$M$10)*$P$11)/1000,(((N169)+(N169)*O169+(N169)*$M$10)*$P$11)/1000),0)</f>
        <v>242.02079999999998</v>
      </c>
      <c r="AF169" s="136" t="str">
        <f t="shared" si="45"/>
        <v>FSC</v>
      </c>
      <c r="AG169" s="2628">
        <f t="shared" si="46"/>
        <v>1.8666666666666668E-2</v>
      </c>
      <c r="AH169" s="1266">
        <v>0.1</v>
      </c>
    </row>
    <row r="170" spans="1:34" ht="12.75">
      <c r="A170" s="2199">
        <f t="shared" si="32"/>
        <v>158</v>
      </c>
      <c r="B170" s="2200" t="s">
        <v>2085</v>
      </c>
      <c r="C170" s="2743">
        <v>0</v>
      </c>
      <c r="D170" s="2743">
        <v>0</v>
      </c>
      <c r="E170" s="2949">
        <v>0</v>
      </c>
      <c r="F170" s="2200">
        <v>10</v>
      </c>
      <c r="G170" s="2200" t="s">
        <v>2038</v>
      </c>
      <c r="H170" s="2200" t="s">
        <v>1057</v>
      </c>
      <c r="I170" s="2742">
        <v>0</v>
      </c>
      <c r="J170" s="2742"/>
      <c r="K170" s="2752">
        <v>70</v>
      </c>
      <c r="L170" s="2745">
        <f t="shared" si="33"/>
        <v>0</v>
      </c>
      <c r="M170" s="2745">
        <f t="shared" si="37"/>
        <v>0</v>
      </c>
      <c r="N170" s="2745">
        <f t="shared" si="38"/>
        <v>10</v>
      </c>
      <c r="O170" s="1232">
        <f t="shared" si="39"/>
        <v>0</v>
      </c>
      <c r="P170" s="1227" t="str">
        <f t="shared" si="40"/>
        <v>360gsm GB EMAMI (ECO STRONG BOARD-CGT)</v>
      </c>
      <c r="Q170" s="254">
        <v>0.44</v>
      </c>
      <c r="R170" s="1228" t="str">
        <f t="shared" si="41"/>
        <v>360</v>
      </c>
      <c r="S170" s="2625">
        <f t="shared" si="34"/>
        <v>0</v>
      </c>
      <c r="T170" s="2747">
        <f>IF(L170&gt;0,IF(input!$B$2=$O$1,(((L170+Y170/22)+(L170+Y170/22)*$AG170+$X170)*$P$11+$M$7)/1000,(((L170+Y170/22)+(L170+Y170/22)*O170+(L170+Y170/22)*$AG170+$X170)*$P$11+$M$7)/1000),0)</f>
        <v>0</v>
      </c>
      <c r="U170" s="2747">
        <f t="shared" si="35"/>
        <v>0</v>
      </c>
      <c r="V170" s="1229"/>
      <c r="W170" s="1231" t="str">
        <f t="shared" si="36"/>
        <v>CIF</v>
      </c>
      <c r="X170" s="1230">
        <f t="shared" si="47"/>
        <v>0</v>
      </c>
      <c r="Y170" s="2625">
        <f t="shared" si="44"/>
        <v>0</v>
      </c>
      <c r="Z170" s="3208">
        <f t="shared" si="42"/>
        <v>838.18181818181813</v>
      </c>
      <c r="AA170" s="1220" t="s">
        <v>2126</v>
      </c>
      <c r="AB170" s="1220" t="s">
        <v>1393</v>
      </c>
      <c r="AC170" s="251" t="str">
        <f t="shared" si="43"/>
        <v>360gsm GB EMAMI (ECO STRONG BOARD-CGT)</v>
      </c>
      <c r="AD170" s="2746">
        <f>IF(L170&gt;0,IF(input!$B$2=$O$1,(((M170)+(M170)*$M$10)*$P$11)/1000,(((M170)+(M170)*O170+(M170)*$M$10)*$P$11)/1000),0)</f>
        <v>0</v>
      </c>
      <c r="AE170" s="2746">
        <f>IF(L170&gt;0,IF(input!$B$2=$O$1,(((N170)+(N170)*$M$10)*$P$11)/1000,(((N170)+(N170)*O170+(N170)*$M$10)*$P$11)/1000),0)</f>
        <v>0</v>
      </c>
      <c r="AF170" s="136" t="str">
        <f t="shared" si="45"/>
        <v>FSC</v>
      </c>
      <c r="AG170" s="2628">
        <f t="shared" si="46"/>
        <v>1.8666666666666668E-2</v>
      </c>
      <c r="AH170" s="1266">
        <v>0.1</v>
      </c>
    </row>
    <row r="171" spans="1:34" ht="12.75">
      <c r="A171" s="2199">
        <f t="shared" si="32"/>
        <v>159</v>
      </c>
      <c r="B171" s="2200" t="s">
        <v>2086</v>
      </c>
      <c r="C171" s="2743">
        <v>0</v>
      </c>
      <c r="D171" s="2743">
        <v>0</v>
      </c>
      <c r="E171" s="2949">
        <v>0</v>
      </c>
      <c r="F171" s="2200">
        <v>10</v>
      </c>
      <c r="G171" s="2200" t="s">
        <v>2038</v>
      </c>
      <c r="H171" s="2200" t="s">
        <v>1057</v>
      </c>
      <c r="I171" s="2742">
        <v>0</v>
      </c>
      <c r="J171" s="2742"/>
      <c r="K171" s="2752">
        <v>70</v>
      </c>
      <c r="L171" s="2745">
        <f t="shared" si="33"/>
        <v>0</v>
      </c>
      <c r="M171" s="2745">
        <f t="shared" si="37"/>
        <v>0</v>
      </c>
      <c r="N171" s="2745">
        <f t="shared" si="38"/>
        <v>10</v>
      </c>
      <c r="O171" s="1232">
        <f t="shared" si="39"/>
        <v>0</v>
      </c>
      <c r="P171" s="1227" t="str">
        <f t="shared" si="40"/>
        <v>370gsm GB EMAMI (ECO STRONG BOARD-CGT)</v>
      </c>
      <c r="Q171" s="254">
        <v>0.46</v>
      </c>
      <c r="R171" s="1228" t="str">
        <f t="shared" si="41"/>
        <v>370</v>
      </c>
      <c r="S171" s="2625">
        <f t="shared" si="34"/>
        <v>0</v>
      </c>
      <c r="T171" s="2747">
        <f>IF(L171&gt;0,IF(input!$B$2=$O$1,(((L171+Y171/22)+(L171+Y171/22)*$AG171+$X171)*$P$11+$M$7)/1000,(((L171+Y171/22)+(L171+Y171/22)*O171+(L171+Y171/22)*$AG171+$X171)*$P$11+$M$7)/1000),0)</f>
        <v>0</v>
      </c>
      <c r="U171" s="2747">
        <f t="shared" si="35"/>
        <v>0</v>
      </c>
      <c r="V171" s="1229"/>
      <c r="W171" s="1231" t="str">
        <f t="shared" si="36"/>
        <v>CIF</v>
      </c>
      <c r="X171" s="1230">
        <f t="shared" si="47"/>
        <v>0</v>
      </c>
      <c r="Y171" s="2625">
        <f t="shared" si="44"/>
        <v>0</v>
      </c>
      <c r="Z171" s="3208">
        <f t="shared" si="42"/>
        <v>838.18181818181813</v>
      </c>
      <c r="AA171" s="1220" t="s">
        <v>2126</v>
      </c>
      <c r="AB171" s="1220" t="s">
        <v>1393</v>
      </c>
      <c r="AC171" s="251" t="str">
        <f t="shared" si="43"/>
        <v>370gsm GB EMAMI (ECO STRONG BOARD-CGT)</v>
      </c>
      <c r="AD171" s="2746">
        <f>IF(L171&gt;0,IF(input!$B$2=$O$1,(((M171)+(M171)*$M$10)*$P$11)/1000,(((M171)+(M171)*O171+(M171)*$M$10)*$P$11)/1000),0)</f>
        <v>0</v>
      </c>
      <c r="AE171" s="2746">
        <f>IF(L171&gt;0,IF(input!$B$2=$O$1,(((N171)+(N171)*$M$10)*$P$11)/1000,(((N171)+(N171)*O171+(N171)*$M$10)*$P$11)/1000),0)</f>
        <v>0</v>
      </c>
      <c r="AF171" s="136" t="str">
        <f t="shared" si="45"/>
        <v>FSC</v>
      </c>
      <c r="AG171" s="2628">
        <f t="shared" si="46"/>
        <v>1.8666666666666668E-2</v>
      </c>
      <c r="AH171" s="1266">
        <v>0.1</v>
      </c>
    </row>
    <row r="172" spans="1:34" ht="12.75">
      <c r="A172" s="2199">
        <f t="shared" si="32"/>
        <v>160</v>
      </c>
      <c r="B172" s="2200" t="s">
        <v>2087</v>
      </c>
      <c r="C172" s="2743">
        <v>0</v>
      </c>
      <c r="D172" s="2743">
        <v>0</v>
      </c>
      <c r="E172" s="2949">
        <v>0</v>
      </c>
      <c r="F172" s="2200">
        <v>10</v>
      </c>
      <c r="G172" s="2200" t="s">
        <v>2038</v>
      </c>
      <c r="H172" s="2200" t="s">
        <v>1057</v>
      </c>
      <c r="I172" s="2742">
        <v>0</v>
      </c>
      <c r="J172" s="2742"/>
      <c r="K172" s="2752">
        <v>70</v>
      </c>
      <c r="L172" s="2745">
        <f t="shared" si="33"/>
        <v>0</v>
      </c>
      <c r="M172" s="2745">
        <f t="shared" si="37"/>
        <v>0</v>
      </c>
      <c r="N172" s="2745">
        <f t="shared" si="38"/>
        <v>10</v>
      </c>
      <c r="O172" s="1232">
        <f t="shared" si="39"/>
        <v>0</v>
      </c>
      <c r="P172" s="1227" t="str">
        <f t="shared" si="40"/>
        <v>380gsm GB EMAMI (ECO STRONG BOARD-CGT)</v>
      </c>
      <c r="Q172" s="254">
        <v>0.47499999999999998</v>
      </c>
      <c r="R172" s="1228" t="str">
        <f t="shared" si="41"/>
        <v>380</v>
      </c>
      <c r="S172" s="2625">
        <f t="shared" si="34"/>
        <v>0</v>
      </c>
      <c r="T172" s="2747">
        <f>IF(L172&gt;0,IF(input!$B$2=$O$1,(((L172+Y172/22)+(L172+Y172/22)*$AG172+$X172)*$P$11+$M$7)/1000,(((L172+Y172/22)+(L172+Y172/22)*O172+(L172+Y172/22)*$AG172+$X172)*$P$11+$M$7)/1000),0)</f>
        <v>0</v>
      </c>
      <c r="U172" s="2747">
        <f t="shared" si="35"/>
        <v>0</v>
      </c>
      <c r="V172" s="1229"/>
      <c r="W172" s="1231" t="str">
        <f t="shared" si="36"/>
        <v>CIF</v>
      </c>
      <c r="X172" s="1230">
        <f t="shared" si="47"/>
        <v>0</v>
      </c>
      <c r="Y172" s="2625">
        <f t="shared" si="44"/>
        <v>0</v>
      </c>
      <c r="Z172" s="3208">
        <f t="shared" si="42"/>
        <v>838.18181818181813</v>
      </c>
      <c r="AA172" s="1220" t="s">
        <v>2126</v>
      </c>
      <c r="AB172" s="1220" t="s">
        <v>1393</v>
      </c>
      <c r="AC172" s="251" t="str">
        <f t="shared" si="43"/>
        <v>380gsm GB EMAMI (ECO STRONG BOARD-CGT)</v>
      </c>
      <c r="AD172" s="2746">
        <f>IF(L172&gt;0,IF(input!$B$2=$O$1,(((M172)+(M172)*$M$10)*$P$11)/1000,(((M172)+(M172)*O172+(M172)*$M$10)*$P$11)/1000),0)</f>
        <v>0</v>
      </c>
      <c r="AE172" s="2746">
        <f>IF(L172&gt;0,IF(input!$B$2=$O$1,(((N172)+(N172)*$M$10)*$P$11)/1000,(((N172)+(N172)*O172+(N172)*$M$10)*$P$11)/1000),0)</f>
        <v>0</v>
      </c>
      <c r="AF172" s="136" t="str">
        <f t="shared" si="45"/>
        <v>FSC</v>
      </c>
      <c r="AG172" s="2628">
        <f t="shared" si="46"/>
        <v>1.8666666666666668E-2</v>
      </c>
      <c r="AH172" s="1266">
        <v>0.1</v>
      </c>
    </row>
    <row r="173" spans="1:34" ht="12.75">
      <c r="A173" s="2199">
        <f t="shared" si="32"/>
        <v>161</v>
      </c>
      <c r="B173" s="2200" t="s">
        <v>2088</v>
      </c>
      <c r="C173" s="2743">
        <v>0</v>
      </c>
      <c r="D173" s="2743">
        <v>0</v>
      </c>
      <c r="E173" s="2949">
        <v>0</v>
      </c>
      <c r="F173" s="2200">
        <v>10</v>
      </c>
      <c r="G173" s="2200" t="s">
        <v>2038</v>
      </c>
      <c r="H173" s="2200" t="s">
        <v>1057</v>
      </c>
      <c r="I173" s="2742">
        <v>0</v>
      </c>
      <c r="J173" s="2742"/>
      <c r="K173" s="2752">
        <v>70</v>
      </c>
      <c r="L173" s="2745">
        <f t="shared" si="33"/>
        <v>0</v>
      </c>
      <c r="M173" s="2745">
        <f t="shared" si="37"/>
        <v>0</v>
      </c>
      <c r="N173" s="2745">
        <f t="shared" si="38"/>
        <v>10</v>
      </c>
      <c r="O173" s="1232">
        <f t="shared" si="39"/>
        <v>0</v>
      </c>
      <c r="P173" s="1227" t="str">
        <f t="shared" si="40"/>
        <v>390gsm GB EMAMI (ECO STRONG BOARD-CGT)</v>
      </c>
      <c r="Q173" s="254">
        <v>0.48499999999999999</v>
      </c>
      <c r="R173" s="1228" t="str">
        <f t="shared" si="41"/>
        <v>390</v>
      </c>
      <c r="S173" s="2625">
        <f t="shared" si="34"/>
        <v>0</v>
      </c>
      <c r="T173" s="2747">
        <f>IF(L173&gt;0,IF(input!$B$2=$O$1,(((L173+Y173/22)+(L173+Y173/22)*$AG173+$X173)*$P$11+$M$7)/1000,(((L173+Y173/22)+(L173+Y173/22)*O173+(L173+Y173/22)*$AG173+$X173)*$P$11+$M$7)/1000),0)</f>
        <v>0</v>
      </c>
      <c r="U173" s="2747">
        <f t="shared" si="35"/>
        <v>0</v>
      </c>
      <c r="V173" s="1229"/>
      <c r="W173" s="1231" t="str">
        <f t="shared" si="36"/>
        <v>CIF</v>
      </c>
      <c r="X173" s="1230">
        <f t="shared" si="47"/>
        <v>0</v>
      </c>
      <c r="Y173" s="2625">
        <f t="shared" si="44"/>
        <v>0</v>
      </c>
      <c r="Z173" s="3208">
        <f t="shared" si="42"/>
        <v>838.18181818181813</v>
      </c>
      <c r="AA173" s="1220" t="s">
        <v>2126</v>
      </c>
      <c r="AB173" s="1220" t="s">
        <v>1393</v>
      </c>
      <c r="AC173" s="251" t="str">
        <f t="shared" si="43"/>
        <v>390gsm GB EMAMI (ECO STRONG BOARD-CGT)</v>
      </c>
      <c r="AD173" s="2746">
        <f>IF(L173&gt;0,IF(input!$B$2=$O$1,(((M173)+(M173)*$M$10)*$P$11)/1000,(((M173)+(M173)*O173+(M173)*$M$10)*$P$11)/1000),0)</f>
        <v>0</v>
      </c>
      <c r="AE173" s="2746">
        <f>IF(L173&gt;0,IF(input!$B$2=$O$1,(((N173)+(N173)*$M$10)*$P$11)/1000,(((N173)+(N173)*O173+(N173)*$M$10)*$P$11)/1000),0)</f>
        <v>0</v>
      </c>
      <c r="AF173" s="136" t="str">
        <f t="shared" si="45"/>
        <v>FSC</v>
      </c>
      <c r="AG173" s="2628">
        <f t="shared" si="46"/>
        <v>1.8666666666666668E-2</v>
      </c>
      <c r="AH173" s="1266">
        <v>0.1</v>
      </c>
    </row>
    <row r="174" spans="1:34" ht="12.75">
      <c r="A174" s="2199">
        <f t="shared" si="32"/>
        <v>162</v>
      </c>
      <c r="B174" s="2200" t="s">
        <v>2089</v>
      </c>
      <c r="C174" s="2743">
        <v>0</v>
      </c>
      <c r="D174" s="2743">
        <v>650</v>
      </c>
      <c r="E174" s="2949">
        <v>0</v>
      </c>
      <c r="F174" s="2200">
        <v>10</v>
      </c>
      <c r="G174" s="2200" t="s">
        <v>2038</v>
      </c>
      <c r="H174" s="2200" t="s">
        <v>1057</v>
      </c>
      <c r="I174" s="2742">
        <v>0</v>
      </c>
      <c r="J174" s="2742"/>
      <c r="K174" s="2752">
        <v>70</v>
      </c>
      <c r="L174" s="2745">
        <f t="shared" si="33"/>
        <v>650</v>
      </c>
      <c r="M174" s="2745">
        <f t="shared" si="37"/>
        <v>0</v>
      </c>
      <c r="N174" s="2745">
        <f t="shared" si="38"/>
        <v>10</v>
      </c>
      <c r="O174" s="1232">
        <f t="shared" si="39"/>
        <v>0</v>
      </c>
      <c r="P174" s="1227" t="str">
        <f t="shared" si="40"/>
        <v>400gsm GB EMAMI (ECO STRONG BOARD-CGT)</v>
      </c>
      <c r="Q174" s="254">
        <v>0.54</v>
      </c>
      <c r="R174" s="1228" t="str">
        <f t="shared" si="41"/>
        <v>400</v>
      </c>
      <c r="S174" s="2625">
        <f t="shared" si="34"/>
        <v>0</v>
      </c>
      <c r="T174" s="2747">
        <f>IF(L174&gt;0,IF(input!$B$2=$O$1,(((L174+Y174/22)+(L174+Y174/22)*$AG174+$X174)*$P$11+$M$7)/1000,(((L174+Y174/22)+(L174+Y174/22)*O174+(L174+Y174/22)*$AG174+$X174)*$P$11+$M$7)/1000),0)</f>
        <v>16497.821333333333</v>
      </c>
      <c r="U174" s="2747">
        <f t="shared" si="35"/>
        <v>0</v>
      </c>
      <c r="V174" s="1229"/>
      <c r="W174" s="1231" t="str">
        <f t="shared" si="36"/>
        <v>CIF</v>
      </c>
      <c r="X174" s="1230">
        <f t="shared" si="47"/>
        <v>0</v>
      </c>
      <c r="Y174" s="2625">
        <f t="shared" si="44"/>
        <v>0</v>
      </c>
      <c r="Z174" s="3208">
        <f t="shared" si="42"/>
        <v>838.18181818181813</v>
      </c>
      <c r="AA174" s="1220" t="s">
        <v>2126</v>
      </c>
      <c r="AB174" s="1220" t="s">
        <v>1393</v>
      </c>
      <c r="AC174" s="251" t="str">
        <f t="shared" si="43"/>
        <v>400gsm GB EMAMI (ECO STRONG BOARD-CGT)</v>
      </c>
      <c r="AD174" s="2746">
        <f>IF(L174&gt;0,IF(input!$B$2=$O$1,(((M174)+(M174)*$M$10)*$P$11)/1000,(((M174)+(M174)*O174+(M174)*$M$10)*$P$11)/1000),0)</f>
        <v>0</v>
      </c>
      <c r="AE174" s="2746">
        <f>IF(L174&gt;0,IF(input!$B$2=$O$1,(((N174)+(N174)*$M$10)*$P$11)/1000,(((N174)+(N174)*O174+(N174)*$M$10)*$P$11)/1000),0)</f>
        <v>242.02079999999998</v>
      </c>
      <c r="AF174" s="136" t="str">
        <f t="shared" si="45"/>
        <v>FSC</v>
      </c>
      <c r="AG174" s="2628">
        <f t="shared" si="46"/>
        <v>1.8666666666666668E-2</v>
      </c>
      <c r="AH174" s="1266">
        <v>0.1</v>
      </c>
    </row>
    <row r="175" spans="1:34" ht="12.75">
      <c r="A175" s="2199">
        <f t="shared" si="32"/>
        <v>163</v>
      </c>
      <c r="B175" s="2200" t="s">
        <v>2090</v>
      </c>
      <c r="C175" s="2743">
        <v>0</v>
      </c>
      <c r="D175" s="2743">
        <v>0</v>
      </c>
      <c r="E175" s="2949">
        <v>0</v>
      </c>
      <c r="F175" s="2200">
        <v>10</v>
      </c>
      <c r="G175" s="2200" t="s">
        <v>2038</v>
      </c>
      <c r="H175" s="2200" t="s">
        <v>1057</v>
      </c>
      <c r="I175" s="2742">
        <v>0</v>
      </c>
      <c r="J175" s="2742"/>
      <c r="K175" s="2752">
        <v>70</v>
      </c>
      <c r="L175" s="2745">
        <f t="shared" si="33"/>
        <v>0</v>
      </c>
      <c r="M175" s="2745">
        <f t="shared" si="37"/>
        <v>0</v>
      </c>
      <c r="N175" s="2745">
        <f t="shared" si="38"/>
        <v>10</v>
      </c>
      <c r="O175" s="1232">
        <f t="shared" si="39"/>
        <v>0</v>
      </c>
      <c r="P175" s="1227" t="str">
        <f t="shared" si="40"/>
        <v>420gsm GB EMAMI (ECO STRONG BOARD-CGT)</v>
      </c>
      <c r="Q175" s="254">
        <v>0.505</v>
      </c>
      <c r="R175" s="1228" t="str">
        <f t="shared" si="41"/>
        <v>420</v>
      </c>
      <c r="S175" s="2625">
        <f t="shared" si="34"/>
        <v>0</v>
      </c>
      <c r="T175" s="2747">
        <f>IF(L175&gt;0,IF(input!$B$2=$O$1,(((L175+Y175/22)+(L175+Y175/22)*$AG175+$X175)*$P$11+$M$7)/1000,(((L175+Y175/22)+(L175+Y175/22)*O175+(L175+Y175/22)*$AG175+$X175)*$P$11+$M$7)/1000),0)</f>
        <v>0</v>
      </c>
      <c r="U175" s="2747">
        <f t="shared" si="35"/>
        <v>0</v>
      </c>
      <c r="V175" s="1229"/>
      <c r="W175" s="1231" t="str">
        <f t="shared" si="36"/>
        <v>CIF</v>
      </c>
      <c r="X175" s="1230">
        <f t="shared" si="47"/>
        <v>0</v>
      </c>
      <c r="Y175" s="2625">
        <f t="shared" si="44"/>
        <v>0</v>
      </c>
      <c r="Z175" s="3208">
        <f t="shared" si="42"/>
        <v>838.18181818181813</v>
      </c>
      <c r="AA175" s="1220" t="s">
        <v>2126</v>
      </c>
      <c r="AB175" s="1220" t="s">
        <v>1393</v>
      </c>
      <c r="AC175" s="251" t="str">
        <f t="shared" si="43"/>
        <v>420gsm GB EMAMI (ECO STRONG BOARD-CGT)</v>
      </c>
      <c r="AD175" s="2746">
        <f>IF(L175&gt;0,IF(input!$B$2=$O$1,(((M175)+(M175)*$M$10)*$P$11)/1000,(((M175)+(M175)*O175+(M175)*$M$10)*$P$11)/1000),0)</f>
        <v>0</v>
      </c>
      <c r="AE175" s="2746">
        <f>IF(L175&gt;0,IF(input!$B$2=$O$1,(((N175)+(N175)*$M$10)*$P$11)/1000,(((N175)+(N175)*O175+(N175)*$M$10)*$P$11)/1000),0)</f>
        <v>0</v>
      </c>
      <c r="AF175" s="136" t="str">
        <f t="shared" si="45"/>
        <v>FSC</v>
      </c>
      <c r="AG175" s="2628">
        <f t="shared" si="46"/>
        <v>1.8666666666666668E-2</v>
      </c>
      <c r="AH175" s="1266">
        <v>0.1</v>
      </c>
    </row>
    <row r="176" spans="1:34" ht="12.75">
      <c r="A176" s="2199">
        <f t="shared" si="32"/>
        <v>164</v>
      </c>
      <c r="B176" s="2200" t="s">
        <v>2091</v>
      </c>
      <c r="C176" s="2743">
        <v>0</v>
      </c>
      <c r="D176" s="2743">
        <v>0</v>
      </c>
      <c r="E176" s="2949">
        <v>0</v>
      </c>
      <c r="F176" s="2200">
        <v>10</v>
      </c>
      <c r="G176" s="2200" t="s">
        <v>2038</v>
      </c>
      <c r="H176" s="2200" t="s">
        <v>1057</v>
      </c>
      <c r="I176" s="2742">
        <v>0</v>
      </c>
      <c r="J176" s="2742"/>
      <c r="K176" s="2752">
        <v>70</v>
      </c>
      <c r="L176" s="2745">
        <f t="shared" si="33"/>
        <v>0</v>
      </c>
      <c r="M176" s="2745">
        <f t="shared" si="37"/>
        <v>0</v>
      </c>
      <c r="N176" s="2745">
        <f t="shared" si="38"/>
        <v>10</v>
      </c>
      <c r="O176" s="1232">
        <f t="shared" si="39"/>
        <v>0</v>
      </c>
      <c r="P176" s="1227" t="str">
        <f t="shared" si="40"/>
        <v>430gsm GB EMAMI (ECO STRONG BOARD-CGT)</v>
      </c>
      <c r="Q176" s="254">
        <v>0.52500000000000002</v>
      </c>
      <c r="R176" s="1228" t="str">
        <f t="shared" si="41"/>
        <v>430</v>
      </c>
      <c r="S176" s="2625">
        <f t="shared" si="34"/>
        <v>0</v>
      </c>
      <c r="T176" s="2747">
        <f>IF(L176&gt;0,IF(input!$B$2=$O$1,(((L176+Y176/22)+(L176+Y176/22)*$AG176+$X176)*$P$11+$M$7)/1000,(((L176+Y176/22)+(L176+Y176/22)*O176+(L176+Y176/22)*$AG176+$X176)*$P$11+$M$7)/1000),0)</f>
        <v>0</v>
      </c>
      <c r="U176" s="2747">
        <f t="shared" si="35"/>
        <v>0</v>
      </c>
      <c r="V176" s="1229"/>
      <c r="W176" s="1231" t="str">
        <f t="shared" si="36"/>
        <v>CIF</v>
      </c>
      <c r="X176" s="1230">
        <f t="shared" si="47"/>
        <v>0</v>
      </c>
      <c r="Y176" s="2625">
        <f t="shared" si="44"/>
        <v>0</v>
      </c>
      <c r="Z176" s="3208">
        <f t="shared" si="42"/>
        <v>838.18181818181813</v>
      </c>
      <c r="AA176" s="1220" t="s">
        <v>2126</v>
      </c>
      <c r="AB176" s="1220" t="s">
        <v>1393</v>
      </c>
      <c r="AC176" s="251" t="str">
        <f t="shared" si="43"/>
        <v>430gsm GB EMAMI (ECO STRONG BOARD-CGT)</v>
      </c>
      <c r="AD176" s="2746">
        <f>IF(L176&gt;0,IF(input!$B$2=$O$1,(((M176)+(M176)*$M$10)*$P$11)/1000,(((M176)+(M176)*O176+(M176)*$M$10)*$P$11)/1000),0)</f>
        <v>0</v>
      </c>
      <c r="AE176" s="2746">
        <f>IF(L176&gt;0,IF(input!$B$2=$O$1,(((N176)+(N176)*$M$10)*$P$11)/1000,(((N176)+(N176)*O176+(N176)*$M$10)*$P$11)/1000),0)</f>
        <v>0</v>
      </c>
      <c r="AF176" s="136" t="str">
        <f t="shared" si="45"/>
        <v>FSC</v>
      </c>
      <c r="AG176" s="2628">
        <f t="shared" si="46"/>
        <v>1.8666666666666668E-2</v>
      </c>
      <c r="AH176" s="1266">
        <v>0.1</v>
      </c>
    </row>
    <row r="177" spans="1:34" ht="12.75">
      <c r="A177" s="2199">
        <f t="shared" si="32"/>
        <v>165</v>
      </c>
      <c r="B177" s="2200" t="s">
        <v>2092</v>
      </c>
      <c r="C177" s="2743">
        <v>0</v>
      </c>
      <c r="D177" s="2743">
        <v>0</v>
      </c>
      <c r="E177" s="2949">
        <v>0</v>
      </c>
      <c r="F177" s="2200">
        <v>10</v>
      </c>
      <c r="G177" s="2200" t="s">
        <v>2038</v>
      </c>
      <c r="H177" s="2200" t="s">
        <v>1057</v>
      </c>
      <c r="I177" s="2742">
        <v>0</v>
      </c>
      <c r="J177" s="2742"/>
      <c r="K177" s="2752">
        <v>70</v>
      </c>
      <c r="L177" s="2745">
        <f t="shared" si="33"/>
        <v>0</v>
      </c>
      <c r="M177" s="2745">
        <f t="shared" si="37"/>
        <v>0</v>
      </c>
      <c r="N177" s="2745">
        <f t="shared" si="38"/>
        <v>10</v>
      </c>
      <c r="O177" s="1232">
        <f t="shared" si="39"/>
        <v>0</v>
      </c>
      <c r="P177" s="1227" t="str">
        <f t="shared" si="40"/>
        <v>440gsm GB EMAMI (ECO STRONG BOARD-CGT)</v>
      </c>
      <c r="Q177" s="254">
        <v>0.53500000000000003</v>
      </c>
      <c r="R177" s="1228" t="str">
        <f t="shared" si="41"/>
        <v>440</v>
      </c>
      <c r="S177" s="2625">
        <f t="shared" si="34"/>
        <v>0</v>
      </c>
      <c r="T177" s="2747">
        <f>IF(L177&gt;0,IF(input!$B$2=$O$1,(((L177+Y177/22)+(L177+Y177/22)*$AG177+$X177)*$P$11+$M$7)/1000,(((L177+Y177/22)+(L177+Y177/22)*O177+(L177+Y177/22)*$AG177+$X177)*$P$11+$M$7)/1000),0)</f>
        <v>0</v>
      </c>
      <c r="U177" s="2747">
        <f t="shared" si="35"/>
        <v>0</v>
      </c>
      <c r="V177" s="1229"/>
      <c r="W177" s="1231" t="str">
        <f t="shared" si="36"/>
        <v>CIF</v>
      </c>
      <c r="X177" s="1230">
        <f t="shared" si="47"/>
        <v>0</v>
      </c>
      <c r="Y177" s="2625">
        <f t="shared" si="44"/>
        <v>0</v>
      </c>
      <c r="Z177" s="3208">
        <f t="shared" si="42"/>
        <v>838.18181818181813</v>
      </c>
      <c r="AA177" s="1220" t="s">
        <v>2126</v>
      </c>
      <c r="AB177" s="1220" t="s">
        <v>1393</v>
      </c>
      <c r="AC177" s="251" t="str">
        <f t="shared" si="43"/>
        <v>440gsm GB EMAMI (ECO STRONG BOARD-CGT)</v>
      </c>
      <c r="AD177" s="2746">
        <f>IF(L177&gt;0,IF(input!$B$2=$O$1,(((M177)+(M177)*$M$10)*$P$11)/1000,(((M177)+(M177)*O177+(M177)*$M$10)*$P$11)/1000),0)</f>
        <v>0</v>
      </c>
      <c r="AE177" s="2746">
        <f>IF(L177&gt;0,IF(input!$B$2=$O$1,(((N177)+(N177)*$M$10)*$P$11)/1000,(((N177)+(N177)*O177+(N177)*$M$10)*$P$11)/1000),0)</f>
        <v>0</v>
      </c>
      <c r="AF177" s="136" t="str">
        <f t="shared" si="45"/>
        <v>FSC</v>
      </c>
      <c r="AG177" s="2628">
        <f t="shared" si="46"/>
        <v>1.8666666666666668E-2</v>
      </c>
      <c r="AH177" s="1266">
        <v>0.1</v>
      </c>
    </row>
    <row r="178" spans="1:34" ht="12.75">
      <c r="A178" s="2199">
        <f t="shared" si="32"/>
        <v>166</v>
      </c>
      <c r="B178" s="2200" t="s">
        <v>2093</v>
      </c>
      <c r="C178" s="2743">
        <v>0</v>
      </c>
      <c r="D178" s="2743">
        <v>650</v>
      </c>
      <c r="E178" s="2949">
        <v>0</v>
      </c>
      <c r="F178" s="2200">
        <v>10</v>
      </c>
      <c r="G178" s="2200" t="s">
        <v>2038</v>
      </c>
      <c r="H178" s="2200" t="s">
        <v>1057</v>
      </c>
      <c r="I178" s="2742">
        <v>0</v>
      </c>
      <c r="J178" s="2742"/>
      <c r="K178" s="2752">
        <v>70</v>
      </c>
      <c r="L178" s="2745">
        <f t="shared" si="33"/>
        <v>650</v>
      </c>
      <c r="M178" s="2745">
        <f t="shared" si="37"/>
        <v>0</v>
      </c>
      <c r="N178" s="2745">
        <f t="shared" si="38"/>
        <v>10</v>
      </c>
      <c r="O178" s="1232">
        <f t="shared" si="39"/>
        <v>0</v>
      </c>
      <c r="P178" s="1227" t="str">
        <f t="shared" si="40"/>
        <v>450gsm GB EMAMI (ECO STRONG BOARD-CGT)</v>
      </c>
      <c r="Q178" s="254">
        <v>0.60799999999999998</v>
      </c>
      <c r="R178" s="1228" t="str">
        <f t="shared" si="41"/>
        <v>450</v>
      </c>
      <c r="S178" s="2625">
        <f t="shared" si="34"/>
        <v>0</v>
      </c>
      <c r="T178" s="2747">
        <f>IF(L178&gt;0,IF(input!$B$2=$O$1,(((L178+Y178/22)+(L178+Y178/22)*$AG178+$X178)*$P$11+$M$7)/1000,(((L178+Y178/22)+(L178+Y178/22)*O178+(L178+Y178/22)*$AG178+$X178)*$P$11+$M$7)/1000),0)</f>
        <v>16497.821333333333</v>
      </c>
      <c r="U178" s="2747">
        <f t="shared" si="35"/>
        <v>0</v>
      </c>
      <c r="V178" s="1229"/>
      <c r="W178" s="1231" t="str">
        <f t="shared" si="36"/>
        <v>CIF</v>
      </c>
      <c r="X178" s="1230">
        <f t="shared" si="47"/>
        <v>0</v>
      </c>
      <c r="Y178" s="2625">
        <f t="shared" si="44"/>
        <v>0</v>
      </c>
      <c r="Z178" s="3208">
        <f t="shared" si="42"/>
        <v>838.18181818181813</v>
      </c>
      <c r="AA178" s="1220" t="s">
        <v>2126</v>
      </c>
      <c r="AB178" s="1220" t="s">
        <v>1393</v>
      </c>
      <c r="AC178" s="251" t="str">
        <f t="shared" si="43"/>
        <v>450gsm GB EMAMI (ECO STRONG BOARD-CGT)</v>
      </c>
      <c r="AD178" s="2746">
        <f>IF(L178&gt;0,IF(input!$B$2=$O$1,(((M178)+(M178)*$M$10)*$P$11)/1000,(((M178)+(M178)*O178+(M178)*$M$10)*$P$11)/1000),0)</f>
        <v>0</v>
      </c>
      <c r="AE178" s="2746">
        <f>IF(L178&gt;0,IF(input!$B$2=$O$1,(((N178)+(N178)*$M$10)*$P$11)/1000,(((N178)+(N178)*O178+(N178)*$M$10)*$P$11)/1000),0)</f>
        <v>242.02079999999998</v>
      </c>
      <c r="AF178" s="136" t="str">
        <f t="shared" si="45"/>
        <v>FSC</v>
      </c>
      <c r="AG178" s="2628">
        <f t="shared" si="46"/>
        <v>1.8666666666666668E-2</v>
      </c>
      <c r="AH178" s="1266">
        <v>0.1</v>
      </c>
    </row>
    <row r="179" spans="1:34" ht="12.75">
      <c r="A179" s="2199">
        <f t="shared" si="32"/>
        <v>167</v>
      </c>
      <c r="B179" s="2200" t="s">
        <v>2959</v>
      </c>
      <c r="C179" s="2743">
        <v>0</v>
      </c>
      <c r="D179" s="2743">
        <v>0</v>
      </c>
      <c r="E179" s="2949">
        <v>0</v>
      </c>
      <c r="F179" s="2200">
        <v>10</v>
      </c>
      <c r="G179" s="2200" t="s">
        <v>2038</v>
      </c>
      <c r="H179" s="2200" t="s">
        <v>1057</v>
      </c>
      <c r="I179" s="2742">
        <v>0</v>
      </c>
      <c r="J179" s="2742"/>
      <c r="K179" s="2752">
        <v>70</v>
      </c>
      <c r="L179" s="2745">
        <f t="shared" si="33"/>
        <v>0</v>
      </c>
      <c r="M179" s="2745">
        <f t="shared" si="37"/>
        <v>0</v>
      </c>
      <c r="N179" s="2745">
        <f t="shared" si="38"/>
        <v>10</v>
      </c>
      <c r="O179" s="1232">
        <f t="shared" si="39"/>
        <v>0</v>
      </c>
      <c r="P179" s="1227" t="str">
        <f t="shared" si="40"/>
        <v>250gsm GB KHANNA - DIAMOND GRAPHIC</v>
      </c>
      <c r="Q179" s="254">
        <v>0.33</v>
      </c>
      <c r="R179" s="1228" t="str">
        <f t="shared" si="41"/>
        <v>250</v>
      </c>
      <c r="S179" s="2625">
        <f t="shared" si="34"/>
        <v>0</v>
      </c>
      <c r="T179" s="2747">
        <f>IF(L179&gt;0,IF(input!$B$2=$O$1,(((L179+Y179/22)+(L179+Y179/22)*$AG179+$X179)*$P$11+$M$7)/1000,(((L179+Y179/22)+(L179+Y179/22)*O179+(L179+Y179/22)*$AG179+$X179)*$P$11+$M$7)/1000),0)</f>
        <v>0</v>
      </c>
      <c r="U179" s="2747">
        <f t="shared" si="35"/>
        <v>0</v>
      </c>
      <c r="V179" s="1229"/>
      <c r="W179" s="1231" t="str">
        <f t="shared" si="36"/>
        <v>CIF</v>
      </c>
      <c r="X179" s="1230">
        <f t="shared" si="47"/>
        <v>0</v>
      </c>
      <c r="Y179" s="2625">
        <f t="shared" si="44"/>
        <v>0</v>
      </c>
      <c r="Z179" s="3208">
        <f t="shared" si="42"/>
        <v>838.18181818181813</v>
      </c>
      <c r="AA179" s="136" t="s">
        <v>2988</v>
      </c>
      <c r="AB179" s="1220" t="s">
        <v>1393</v>
      </c>
      <c r="AC179" s="251" t="str">
        <f t="shared" si="43"/>
        <v>250gsm GB KHANNA - DIAMOND GRAPHIC</v>
      </c>
      <c r="AD179" s="2746">
        <f>IF(L179&gt;0,IF(input!$B$2=$O$1,(((M179)+(M179)*$M$10)*$P$11)/1000,(((M179)+(M179)*O179+(M179)*$M$10)*$P$11)/1000),0)</f>
        <v>0</v>
      </c>
      <c r="AE179" s="2746">
        <f>IF(L179&gt;0,IF(input!$B$2=$O$1,(((N179)+(N179)*$M$10)*$P$11)/1000,(((N179)+(N179)*O179+(N179)*$M$10)*$P$11)/1000),0)</f>
        <v>0</v>
      </c>
      <c r="AF179" s="136" t="str">
        <f t="shared" si="45"/>
        <v>FSC</v>
      </c>
      <c r="AG179" s="2628">
        <f t="shared" si="46"/>
        <v>1.8666666666666668E-2</v>
      </c>
      <c r="AH179" s="1266">
        <v>0.1</v>
      </c>
    </row>
    <row r="180" spans="1:34" ht="12.75">
      <c r="A180" s="2199">
        <f t="shared" si="32"/>
        <v>168</v>
      </c>
      <c r="B180" s="2200" t="s">
        <v>2960</v>
      </c>
      <c r="C180" s="2743">
        <v>0</v>
      </c>
      <c r="D180" s="2743">
        <v>0</v>
      </c>
      <c r="E180" s="2949">
        <v>0</v>
      </c>
      <c r="F180" s="2200">
        <v>10</v>
      </c>
      <c r="G180" s="2200" t="s">
        <v>2038</v>
      </c>
      <c r="H180" s="2200" t="s">
        <v>1057</v>
      </c>
      <c r="I180" s="2742">
        <v>0</v>
      </c>
      <c r="J180" s="2742"/>
      <c r="K180" s="2752">
        <v>70</v>
      </c>
      <c r="L180" s="2745">
        <f t="shared" si="33"/>
        <v>0</v>
      </c>
      <c r="M180" s="2745">
        <f t="shared" si="37"/>
        <v>0</v>
      </c>
      <c r="N180" s="2745">
        <f t="shared" si="38"/>
        <v>10</v>
      </c>
      <c r="O180" s="1232">
        <f t="shared" si="39"/>
        <v>0</v>
      </c>
      <c r="P180" s="1227" t="str">
        <f t="shared" si="40"/>
        <v>260gsm GB KHANNA - DIAMOND GRAPHIC</v>
      </c>
      <c r="Q180" s="254">
        <v>0.34300000000000003</v>
      </c>
      <c r="R180" s="1228" t="str">
        <f t="shared" si="41"/>
        <v>260</v>
      </c>
      <c r="S180" s="2625">
        <f t="shared" si="34"/>
        <v>0</v>
      </c>
      <c r="T180" s="2747">
        <f>IF(L180&gt;0,IF(input!$B$2=$O$1,(((L180+Y180/22)+(L180+Y180/22)*$AG180+$X180)*$P$11+$M$7)/1000,(((L180+Y180/22)+(L180+Y180/22)*O180+(L180+Y180/22)*$AG180+$X180)*$P$11+$M$7)/1000),0)</f>
        <v>0</v>
      </c>
      <c r="U180" s="2747">
        <f t="shared" si="35"/>
        <v>0</v>
      </c>
      <c r="V180" s="1229"/>
      <c r="W180" s="1231" t="str">
        <f t="shared" si="36"/>
        <v>CIF</v>
      </c>
      <c r="X180" s="1230">
        <f t="shared" si="47"/>
        <v>0</v>
      </c>
      <c r="Y180" s="2625">
        <f t="shared" si="44"/>
        <v>0</v>
      </c>
      <c r="Z180" s="3208">
        <f t="shared" si="42"/>
        <v>838.18181818181813</v>
      </c>
      <c r="AA180" s="136" t="s">
        <v>2988</v>
      </c>
      <c r="AB180" s="1220" t="s">
        <v>1393</v>
      </c>
      <c r="AC180" s="251" t="str">
        <f t="shared" si="43"/>
        <v>260gsm GB KHANNA - DIAMOND GRAPHIC</v>
      </c>
      <c r="AD180" s="2746">
        <f>IF(L180&gt;0,IF(input!$B$2=$O$1,(((M180)+(M180)*$M$10)*$P$11)/1000,(((M180)+(M180)*O180+(M180)*$M$10)*$P$11)/1000),0)</f>
        <v>0</v>
      </c>
      <c r="AE180" s="2746">
        <f>IF(L180&gt;0,IF(input!$B$2=$O$1,(((N180)+(N180)*$M$10)*$P$11)/1000,(((N180)+(N180)*O180+(N180)*$M$10)*$P$11)/1000),0)</f>
        <v>0</v>
      </c>
      <c r="AF180" s="136" t="str">
        <f t="shared" si="45"/>
        <v>FSC</v>
      </c>
      <c r="AG180" s="2628">
        <f t="shared" si="46"/>
        <v>1.8666666666666668E-2</v>
      </c>
      <c r="AH180" s="1266">
        <v>0.1</v>
      </c>
    </row>
    <row r="181" spans="1:34" ht="12.75">
      <c r="A181" s="2199">
        <f t="shared" si="32"/>
        <v>169</v>
      </c>
      <c r="B181" s="2200" t="s">
        <v>2961</v>
      </c>
      <c r="C181" s="2743">
        <v>0</v>
      </c>
      <c r="D181" s="2743">
        <v>0</v>
      </c>
      <c r="E181" s="2949">
        <v>0</v>
      </c>
      <c r="F181" s="2200">
        <v>10</v>
      </c>
      <c r="G181" s="2200" t="s">
        <v>2038</v>
      </c>
      <c r="H181" s="2200" t="s">
        <v>1057</v>
      </c>
      <c r="I181" s="2742">
        <v>0</v>
      </c>
      <c r="J181" s="2742"/>
      <c r="K181" s="2752">
        <v>70</v>
      </c>
      <c r="L181" s="2745">
        <f t="shared" si="33"/>
        <v>0</v>
      </c>
      <c r="M181" s="2745">
        <f t="shared" si="37"/>
        <v>0</v>
      </c>
      <c r="N181" s="2745">
        <f t="shared" si="38"/>
        <v>10</v>
      </c>
      <c r="O181" s="1232">
        <f t="shared" si="39"/>
        <v>0</v>
      </c>
      <c r="P181" s="1227" t="str">
        <f t="shared" si="40"/>
        <v>270gsm GB KHANNA - DIAMOND GRAPHIC</v>
      </c>
      <c r="Q181" s="254">
        <v>0.35599999999999998</v>
      </c>
      <c r="R181" s="1228" t="str">
        <f t="shared" si="41"/>
        <v>270</v>
      </c>
      <c r="S181" s="2625">
        <f t="shared" si="34"/>
        <v>0</v>
      </c>
      <c r="T181" s="2747">
        <f>IF(L181&gt;0,IF(input!$B$2=$O$1,(((L181+Y181/22)+(L181+Y181/22)*$AG181+$X181)*$P$11+$M$7)/1000,(((L181+Y181/22)+(L181+Y181/22)*O181+(L181+Y181/22)*$AG181+$X181)*$P$11+$M$7)/1000),0)</f>
        <v>0</v>
      </c>
      <c r="U181" s="2747">
        <f t="shared" si="35"/>
        <v>0</v>
      </c>
      <c r="V181" s="1229"/>
      <c r="W181" s="1231" t="str">
        <f t="shared" si="36"/>
        <v>CIF</v>
      </c>
      <c r="X181" s="1230">
        <f t="shared" si="47"/>
        <v>0</v>
      </c>
      <c r="Y181" s="2625">
        <f t="shared" si="44"/>
        <v>0</v>
      </c>
      <c r="Z181" s="3208">
        <f t="shared" si="42"/>
        <v>838.18181818181813</v>
      </c>
      <c r="AA181" s="136" t="s">
        <v>2988</v>
      </c>
      <c r="AB181" s="1220" t="s">
        <v>1393</v>
      </c>
      <c r="AC181" s="251" t="str">
        <f t="shared" si="43"/>
        <v>270gsm GB KHANNA - DIAMOND GRAPHIC</v>
      </c>
      <c r="AD181" s="2746">
        <f>IF(L181&gt;0,IF(input!$B$2=$O$1,(((M181)+(M181)*$M$10)*$P$11)/1000,(((M181)+(M181)*O181+(M181)*$M$10)*$P$11)/1000),0)</f>
        <v>0</v>
      </c>
      <c r="AE181" s="2746">
        <f>IF(L181&gt;0,IF(input!$B$2=$O$1,(((N181)+(N181)*$M$10)*$P$11)/1000,(((N181)+(N181)*O181+(N181)*$M$10)*$P$11)/1000),0)</f>
        <v>0</v>
      </c>
      <c r="AF181" s="136" t="str">
        <f t="shared" si="45"/>
        <v>FSC</v>
      </c>
      <c r="AG181" s="2628">
        <f t="shared" si="46"/>
        <v>1.8666666666666668E-2</v>
      </c>
      <c r="AH181" s="1266">
        <v>0.1</v>
      </c>
    </row>
    <row r="182" spans="1:34" ht="12.75">
      <c r="A182" s="2199">
        <f t="shared" si="32"/>
        <v>170</v>
      </c>
      <c r="B182" s="2200" t="s">
        <v>2962</v>
      </c>
      <c r="C182" s="2743">
        <v>0</v>
      </c>
      <c r="D182" s="2743">
        <v>0</v>
      </c>
      <c r="E182" s="2949">
        <v>0</v>
      </c>
      <c r="F182" s="2200">
        <v>10</v>
      </c>
      <c r="G182" s="2200" t="s">
        <v>2038</v>
      </c>
      <c r="H182" s="2200" t="s">
        <v>1057</v>
      </c>
      <c r="I182" s="2742">
        <v>0</v>
      </c>
      <c r="J182" s="2742"/>
      <c r="K182" s="2752">
        <v>70</v>
      </c>
      <c r="L182" s="2745">
        <f t="shared" si="33"/>
        <v>0</v>
      </c>
      <c r="M182" s="2745">
        <f t="shared" si="37"/>
        <v>0</v>
      </c>
      <c r="N182" s="2745">
        <f t="shared" si="38"/>
        <v>10</v>
      </c>
      <c r="O182" s="1232">
        <f t="shared" si="39"/>
        <v>0</v>
      </c>
      <c r="P182" s="1227" t="str">
        <f t="shared" si="40"/>
        <v>285gsm GB KHANNA - DIAMOND GRAPHIC</v>
      </c>
      <c r="Q182" s="254">
        <v>0.376</v>
      </c>
      <c r="R182" s="1228" t="str">
        <f t="shared" si="41"/>
        <v>285</v>
      </c>
      <c r="S182" s="2625">
        <f t="shared" si="34"/>
        <v>0</v>
      </c>
      <c r="T182" s="2747">
        <f>IF(L182&gt;0,IF(input!$B$2=$O$1,(((L182+Y182/22)+(L182+Y182/22)*$AG182+$X182)*$P$11+$M$7)/1000,(((L182+Y182/22)+(L182+Y182/22)*O182+(L182+Y182/22)*$AG182+$X182)*$P$11+$M$7)/1000),0)</f>
        <v>0</v>
      </c>
      <c r="U182" s="2747">
        <f t="shared" si="35"/>
        <v>0</v>
      </c>
      <c r="V182" s="1229"/>
      <c r="W182" s="1231" t="str">
        <f t="shared" si="36"/>
        <v>CIF</v>
      </c>
      <c r="X182" s="1230">
        <f t="shared" si="47"/>
        <v>0</v>
      </c>
      <c r="Y182" s="2625">
        <f t="shared" si="44"/>
        <v>0</v>
      </c>
      <c r="Z182" s="3208">
        <f t="shared" si="42"/>
        <v>838.18181818181813</v>
      </c>
      <c r="AA182" s="136" t="s">
        <v>2988</v>
      </c>
      <c r="AB182" s="1220" t="s">
        <v>1393</v>
      </c>
      <c r="AC182" s="251" t="str">
        <f t="shared" si="43"/>
        <v>285gsm GB KHANNA - DIAMOND GRAPHIC</v>
      </c>
      <c r="AD182" s="2746">
        <f>IF(L182&gt;0,IF(input!$B$2=$O$1,(((M182)+(M182)*$M$10)*$P$11)/1000,(((M182)+(M182)*O182+(M182)*$M$10)*$P$11)/1000),0)</f>
        <v>0</v>
      </c>
      <c r="AE182" s="2746">
        <f>IF(L182&gt;0,IF(input!$B$2=$O$1,(((N182)+(N182)*$M$10)*$P$11)/1000,(((N182)+(N182)*O182+(N182)*$M$10)*$P$11)/1000),0)</f>
        <v>0</v>
      </c>
      <c r="AF182" s="136" t="str">
        <f t="shared" si="45"/>
        <v>FSC</v>
      </c>
      <c r="AG182" s="2628">
        <f t="shared" si="46"/>
        <v>1.8666666666666668E-2</v>
      </c>
      <c r="AH182" s="1266">
        <v>0.1</v>
      </c>
    </row>
    <row r="183" spans="1:34" ht="12.75">
      <c r="A183" s="2199">
        <f t="shared" si="32"/>
        <v>171</v>
      </c>
      <c r="B183" s="2200" t="s">
        <v>2963</v>
      </c>
      <c r="C183" s="2743">
        <v>0</v>
      </c>
      <c r="D183" s="2743">
        <v>0</v>
      </c>
      <c r="E183" s="2949">
        <v>0</v>
      </c>
      <c r="F183" s="2200">
        <v>10</v>
      </c>
      <c r="G183" s="2200" t="s">
        <v>2038</v>
      </c>
      <c r="H183" s="2200" t="s">
        <v>1057</v>
      </c>
      <c r="I183" s="2742">
        <v>0</v>
      </c>
      <c r="J183" s="2742"/>
      <c r="K183" s="2752">
        <v>70</v>
      </c>
      <c r="L183" s="2745">
        <f t="shared" si="33"/>
        <v>0</v>
      </c>
      <c r="M183" s="2745">
        <f t="shared" si="37"/>
        <v>0</v>
      </c>
      <c r="N183" s="2745">
        <f t="shared" si="38"/>
        <v>10</v>
      </c>
      <c r="O183" s="1232">
        <f t="shared" si="39"/>
        <v>0</v>
      </c>
      <c r="P183" s="1227" t="str">
        <f t="shared" si="40"/>
        <v>300gsm GB KHANNA - DIAMOND GRAPHIC</v>
      </c>
      <c r="Q183" s="254">
        <v>0.39600000000000002</v>
      </c>
      <c r="R183" s="1228" t="str">
        <f t="shared" si="41"/>
        <v>300</v>
      </c>
      <c r="S183" s="2625">
        <f t="shared" si="34"/>
        <v>0</v>
      </c>
      <c r="T183" s="2747">
        <f>IF(L183&gt;0,IF(input!$B$2=$O$1,(((L183+Y183/22)+(L183+Y183/22)*$AG183+$X183)*$P$11+$M$7)/1000,(((L183+Y183/22)+(L183+Y183/22)*O183+(L183+Y183/22)*$AG183+$X183)*$P$11+$M$7)/1000),0)</f>
        <v>0</v>
      </c>
      <c r="U183" s="2747">
        <f t="shared" si="35"/>
        <v>0</v>
      </c>
      <c r="V183" s="1229"/>
      <c r="W183" s="1231" t="str">
        <f t="shared" si="36"/>
        <v>CIF</v>
      </c>
      <c r="X183" s="1230">
        <f t="shared" si="47"/>
        <v>0</v>
      </c>
      <c r="Y183" s="2625">
        <f t="shared" si="44"/>
        <v>0</v>
      </c>
      <c r="Z183" s="3208">
        <f t="shared" si="42"/>
        <v>838.18181818181813</v>
      </c>
      <c r="AA183" s="136" t="s">
        <v>2988</v>
      </c>
      <c r="AB183" s="1220" t="s">
        <v>1393</v>
      </c>
      <c r="AC183" s="251" t="str">
        <f t="shared" si="43"/>
        <v>300gsm GB KHANNA - DIAMOND GRAPHIC</v>
      </c>
      <c r="AD183" s="2746">
        <f>IF(L183&gt;0,IF(input!$B$2=$O$1,(((M183)+(M183)*$M$10)*$P$11)/1000,(((M183)+(M183)*O183+(M183)*$M$10)*$P$11)/1000),0)</f>
        <v>0</v>
      </c>
      <c r="AE183" s="2746">
        <f>IF(L183&gt;0,IF(input!$B$2=$O$1,(((N183)+(N183)*$M$10)*$P$11)/1000,(((N183)+(N183)*O183+(N183)*$M$10)*$P$11)/1000),0)</f>
        <v>0</v>
      </c>
      <c r="AF183" s="136" t="str">
        <f t="shared" si="45"/>
        <v>FSC</v>
      </c>
      <c r="AG183" s="2628">
        <f t="shared" si="46"/>
        <v>1.8666666666666668E-2</v>
      </c>
      <c r="AH183" s="1266">
        <v>0.1</v>
      </c>
    </row>
    <row r="184" spans="1:34" ht="12.75">
      <c r="A184" s="2199">
        <f t="shared" si="32"/>
        <v>172</v>
      </c>
      <c r="B184" s="2200" t="s">
        <v>2964</v>
      </c>
      <c r="C184" s="2743">
        <v>0</v>
      </c>
      <c r="D184" s="2743">
        <v>0</v>
      </c>
      <c r="E184" s="2949">
        <v>0</v>
      </c>
      <c r="F184" s="2200">
        <v>10</v>
      </c>
      <c r="G184" s="2200" t="s">
        <v>2038</v>
      </c>
      <c r="H184" s="2200" t="s">
        <v>1057</v>
      </c>
      <c r="I184" s="2742">
        <v>0</v>
      </c>
      <c r="J184" s="2742"/>
      <c r="K184" s="2752">
        <v>70</v>
      </c>
      <c r="L184" s="2745">
        <f t="shared" si="33"/>
        <v>0</v>
      </c>
      <c r="M184" s="2745">
        <f t="shared" si="37"/>
        <v>0</v>
      </c>
      <c r="N184" s="2745">
        <f t="shared" si="38"/>
        <v>10</v>
      </c>
      <c r="O184" s="1232">
        <f t="shared" si="39"/>
        <v>0</v>
      </c>
      <c r="P184" s="1227" t="str">
        <f t="shared" si="40"/>
        <v>320gsm GB KHANNA - DIAMOND GRAPHIC</v>
      </c>
      <c r="Q184" s="254">
        <v>0.432</v>
      </c>
      <c r="R184" s="1228" t="str">
        <f t="shared" si="41"/>
        <v>320</v>
      </c>
      <c r="S184" s="2625">
        <f t="shared" si="34"/>
        <v>0</v>
      </c>
      <c r="T184" s="2747">
        <f>IF(L184&gt;0,IF(input!$B$2=$O$1,(((L184+Y184/22)+(L184+Y184/22)*$AG184+$X184)*$P$11+$M$7)/1000,(((L184+Y184/22)+(L184+Y184/22)*O184+(L184+Y184/22)*$AG184+$X184)*$P$11+$M$7)/1000),0)</f>
        <v>0</v>
      </c>
      <c r="U184" s="2747">
        <f t="shared" si="35"/>
        <v>0</v>
      </c>
      <c r="V184" s="1229"/>
      <c r="W184" s="1231" t="str">
        <f t="shared" si="36"/>
        <v>CIF</v>
      </c>
      <c r="X184" s="1230">
        <f t="shared" si="47"/>
        <v>0</v>
      </c>
      <c r="Y184" s="2625">
        <f t="shared" si="44"/>
        <v>0</v>
      </c>
      <c r="Z184" s="3208">
        <f t="shared" si="42"/>
        <v>838.18181818181813</v>
      </c>
      <c r="AA184" s="136" t="s">
        <v>2988</v>
      </c>
      <c r="AB184" s="1220" t="s">
        <v>1393</v>
      </c>
      <c r="AC184" s="251" t="str">
        <f t="shared" si="43"/>
        <v>320gsm GB KHANNA - DIAMOND GRAPHIC</v>
      </c>
      <c r="AD184" s="2746">
        <f>IF(L184&gt;0,IF(input!$B$2=$O$1,(((M184)+(M184)*$M$10)*$P$11)/1000,(((M184)+(M184)*O184+(M184)*$M$10)*$P$11)/1000),0)</f>
        <v>0</v>
      </c>
      <c r="AE184" s="2746">
        <f>IF(L184&gt;0,IF(input!$B$2=$O$1,(((N184)+(N184)*$M$10)*$P$11)/1000,(((N184)+(N184)*O184+(N184)*$M$10)*$P$11)/1000),0)</f>
        <v>0</v>
      </c>
      <c r="AF184" s="136" t="str">
        <f t="shared" si="45"/>
        <v>FSC</v>
      </c>
      <c r="AG184" s="2628">
        <f t="shared" si="46"/>
        <v>1.8666666666666668E-2</v>
      </c>
      <c r="AH184" s="1266">
        <v>0.1</v>
      </c>
    </row>
    <row r="185" spans="1:34" ht="12.75">
      <c r="A185" s="2199">
        <f t="shared" si="32"/>
        <v>173</v>
      </c>
      <c r="B185" s="2200" t="s">
        <v>2965</v>
      </c>
      <c r="C185" s="2743">
        <v>0</v>
      </c>
      <c r="D185" s="2743">
        <v>0</v>
      </c>
      <c r="E185" s="2949">
        <v>0</v>
      </c>
      <c r="F185" s="2200">
        <v>10</v>
      </c>
      <c r="G185" s="2200" t="s">
        <v>2038</v>
      </c>
      <c r="H185" s="2200" t="s">
        <v>1057</v>
      </c>
      <c r="I185" s="2742">
        <v>0</v>
      </c>
      <c r="J185" s="2742"/>
      <c r="K185" s="2752">
        <v>70</v>
      </c>
      <c r="L185" s="2745">
        <f t="shared" si="33"/>
        <v>0</v>
      </c>
      <c r="M185" s="2745">
        <f t="shared" si="37"/>
        <v>0</v>
      </c>
      <c r="N185" s="2745">
        <f t="shared" si="38"/>
        <v>10</v>
      </c>
      <c r="O185" s="1232">
        <f t="shared" si="39"/>
        <v>0</v>
      </c>
      <c r="P185" s="1227" t="str">
        <f t="shared" si="40"/>
        <v>330gsm GB KHANNA - DIAMOND GRAPHIC</v>
      </c>
      <c r="Q185" s="254">
        <v>0.44600000000000001</v>
      </c>
      <c r="R185" s="1228" t="str">
        <f t="shared" si="41"/>
        <v>330</v>
      </c>
      <c r="S185" s="2625">
        <f t="shared" si="34"/>
        <v>0</v>
      </c>
      <c r="T185" s="2747">
        <f>IF(L185&gt;0,IF(input!$B$2=$O$1,(((L185+Y185/22)+(L185+Y185/22)*$AG185+$X185)*$P$11+$M$7)/1000,(((L185+Y185/22)+(L185+Y185/22)*O185+(L185+Y185/22)*$AG185+$X185)*$P$11+$M$7)/1000),0)</f>
        <v>0</v>
      </c>
      <c r="U185" s="2747">
        <f t="shared" si="35"/>
        <v>0</v>
      </c>
      <c r="V185" s="1229"/>
      <c r="W185" s="1231" t="str">
        <f t="shared" si="36"/>
        <v>CIF</v>
      </c>
      <c r="X185" s="1230">
        <f t="shared" si="47"/>
        <v>0</v>
      </c>
      <c r="Y185" s="2625">
        <f t="shared" si="44"/>
        <v>0</v>
      </c>
      <c r="Z185" s="3208">
        <f t="shared" si="42"/>
        <v>838.18181818181813</v>
      </c>
      <c r="AA185" s="136" t="s">
        <v>2988</v>
      </c>
      <c r="AB185" s="1220" t="s">
        <v>1393</v>
      </c>
      <c r="AC185" s="251" t="str">
        <f t="shared" si="43"/>
        <v>330gsm GB KHANNA - DIAMOND GRAPHIC</v>
      </c>
      <c r="AD185" s="2746">
        <f>IF(L185&gt;0,IF(input!$B$2=$O$1,(((M185)+(M185)*$M$10)*$P$11)/1000,(((M185)+(M185)*O185+(M185)*$M$10)*$P$11)/1000),0)</f>
        <v>0</v>
      </c>
      <c r="AE185" s="2746">
        <f>IF(L185&gt;0,IF(input!$B$2=$O$1,(((N185)+(N185)*$M$10)*$P$11)/1000,(((N185)+(N185)*O185+(N185)*$M$10)*$P$11)/1000),0)</f>
        <v>0</v>
      </c>
      <c r="AF185" s="136" t="str">
        <f t="shared" si="45"/>
        <v>FSC</v>
      </c>
      <c r="AG185" s="2628">
        <f t="shared" si="46"/>
        <v>1.8666666666666668E-2</v>
      </c>
      <c r="AH185" s="1266">
        <v>0.1</v>
      </c>
    </row>
    <row r="186" spans="1:34" ht="12.75">
      <c r="A186" s="2199">
        <f t="shared" si="32"/>
        <v>174</v>
      </c>
      <c r="B186" s="2200" t="s">
        <v>2966</v>
      </c>
      <c r="C186" s="2743">
        <v>0</v>
      </c>
      <c r="D186" s="2743">
        <v>0</v>
      </c>
      <c r="E186" s="2949">
        <v>0</v>
      </c>
      <c r="F186" s="2200">
        <v>10</v>
      </c>
      <c r="G186" s="2200" t="s">
        <v>2038</v>
      </c>
      <c r="H186" s="2200" t="s">
        <v>1057</v>
      </c>
      <c r="I186" s="2742">
        <v>0</v>
      </c>
      <c r="J186" s="2742"/>
      <c r="K186" s="2752">
        <v>70</v>
      </c>
      <c r="L186" s="2745">
        <f t="shared" si="33"/>
        <v>0</v>
      </c>
      <c r="M186" s="2745">
        <f t="shared" si="37"/>
        <v>0</v>
      </c>
      <c r="N186" s="2745">
        <f t="shared" si="38"/>
        <v>10</v>
      </c>
      <c r="O186" s="1232">
        <f t="shared" si="39"/>
        <v>0</v>
      </c>
      <c r="P186" s="1227" t="str">
        <f t="shared" si="40"/>
        <v>340gsm GB KHANNA - DIAMOND GRAPHIC</v>
      </c>
      <c r="Q186" s="254">
        <v>0.45900000000000002</v>
      </c>
      <c r="R186" s="1228" t="str">
        <f t="shared" si="41"/>
        <v>340</v>
      </c>
      <c r="S186" s="2625">
        <f t="shared" si="34"/>
        <v>0</v>
      </c>
      <c r="T186" s="2747">
        <f>IF(L186&gt;0,IF(input!$B$2=$O$1,(((L186+Y186/22)+(L186+Y186/22)*$AG186+$X186)*$P$11+$M$7)/1000,(((L186+Y186/22)+(L186+Y186/22)*O186+(L186+Y186/22)*$AG186+$X186)*$P$11+$M$7)/1000),0)</f>
        <v>0</v>
      </c>
      <c r="U186" s="2747">
        <f t="shared" si="35"/>
        <v>0</v>
      </c>
      <c r="V186" s="1229"/>
      <c r="W186" s="1231" t="str">
        <f t="shared" si="36"/>
        <v>CIF</v>
      </c>
      <c r="X186" s="1230">
        <f t="shared" si="47"/>
        <v>0</v>
      </c>
      <c r="Y186" s="2625">
        <f t="shared" si="44"/>
        <v>0</v>
      </c>
      <c r="Z186" s="3208">
        <f t="shared" si="42"/>
        <v>838.18181818181813</v>
      </c>
      <c r="AA186" s="136" t="s">
        <v>2988</v>
      </c>
      <c r="AB186" s="1220" t="s">
        <v>1393</v>
      </c>
      <c r="AC186" s="251" t="str">
        <f t="shared" si="43"/>
        <v>340gsm GB KHANNA - DIAMOND GRAPHIC</v>
      </c>
      <c r="AD186" s="2746">
        <f>IF(L186&gt;0,IF(input!$B$2=$O$1,(((M186)+(M186)*$M$10)*$P$11)/1000,(((M186)+(M186)*O186+(M186)*$M$10)*$P$11)/1000),0)</f>
        <v>0</v>
      </c>
      <c r="AE186" s="2746">
        <f>IF(L186&gt;0,IF(input!$B$2=$O$1,(((N186)+(N186)*$M$10)*$P$11)/1000,(((N186)+(N186)*O186+(N186)*$M$10)*$P$11)/1000),0)</f>
        <v>0</v>
      </c>
      <c r="AF186" s="136" t="str">
        <f t="shared" si="45"/>
        <v>FSC</v>
      </c>
      <c r="AG186" s="2628">
        <f t="shared" si="46"/>
        <v>1.8666666666666668E-2</v>
      </c>
      <c r="AH186" s="1266">
        <v>0.1</v>
      </c>
    </row>
    <row r="187" spans="1:34" ht="12.75">
      <c r="A187" s="2199">
        <f t="shared" si="32"/>
        <v>175</v>
      </c>
      <c r="B187" s="2200" t="s">
        <v>2967</v>
      </c>
      <c r="C187" s="2743">
        <v>0</v>
      </c>
      <c r="D187" s="2743">
        <v>0</v>
      </c>
      <c r="E187" s="2949">
        <v>0</v>
      </c>
      <c r="F187" s="2200">
        <v>10</v>
      </c>
      <c r="G187" s="2200" t="s">
        <v>2038</v>
      </c>
      <c r="H187" s="2200" t="s">
        <v>1057</v>
      </c>
      <c r="I187" s="2742">
        <v>0</v>
      </c>
      <c r="J187" s="2742"/>
      <c r="K187" s="2752">
        <v>70</v>
      </c>
      <c r="L187" s="2745">
        <f t="shared" si="33"/>
        <v>0</v>
      </c>
      <c r="M187" s="2745">
        <f t="shared" si="37"/>
        <v>0</v>
      </c>
      <c r="N187" s="2745">
        <f t="shared" si="38"/>
        <v>10</v>
      </c>
      <c r="O187" s="1232">
        <f t="shared" si="39"/>
        <v>0</v>
      </c>
      <c r="P187" s="1227" t="str">
        <f t="shared" si="40"/>
        <v>350gsm GB KHANNA - DIAMOND GRAPHIC</v>
      </c>
      <c r="Q187" s="254">
        <v>0.47299999999999998</v>
      </c>
      <c r="R187" s="1228" t="str">
        <f t="shared" si="41"/>
        <v>350</v>
      </c>
      <c r="S187" s="2625">
        <f t="shared" si="34"/>
        <v>0</v>
      </c>
      <c r="T187" s="2747">
        <f>IF(L187&gt;0,IF(input!$B$2=$O$1,(((L187+Y187/22)+(L187+Y187/22)*$AG187+$X187)*$P$11+$M$7)/1000,(((L187+Y187/22)+(L187+Y187/22)*O187+(L187+Y187/22)*$AG187+$X187)*$P$11+$M$7)/1000),0)</f>
        <v>0</v>
      </c>
      <c r="U187" s="2747">
        <f t="shared" si="35"/>
        <v>0</v>
      </c>
      <c r="V187" s="1229"/>
      <c r="W187" s="1231" t="str">
        <f t="shared" si="36"/>
        <v>CIF</v>
      </c>
      <c r="X187" s="1230">
        <f t="shared" si="47"/>
        <v>0</v>
      </c>
      <c r="Y187" s="2625">
        <f t="shared" si="44"/>
        <v>0</v>
      </c>
      <c r="Z187" s="3208">
        <f t="shared" si="42"/>
        <v>838.18181818181813</v>
      </c>
      <c r="AA187" s="136" t="s">
        <v>2988</v>
      </c>
      <c r="AB187" s="1220" t="s">
        <v>1393</v>
      </c>
      <c r="AC187" s="251" t="str">
        <f t="shared" si="43"/>
        <v>350gsm GB KHANNA - DIAMOND GRAPHIC</v>
      </c>
      <c r="AD187" s="2746">
        <f>IF(L187&gt;0,IF(input!$B$2=$O$1,(((M187)+(M187)*$M$10)*$P$11)/1000,(((M187)+(M187)*O187+(M187)*$M$10)*$P$11)/1000),0)</f>
        <v>0</v>
      </c>
      <c r="AE187" s="2746">
        <f>IF(L187&gt;0,IF(input!$B$2=$O$1,(((N187)+(N187)*$M$10)*$P$11)/1000,(((N187)+(N187)*O187+(N187)*$M$10)*$P$11)/1000),0)</f>
        <v>0</v>
      </c>
      <c r="AF187" s="136" t="str">
        <f t="shared" si="45"/>
        <v>FSC</v>
      </c>
      <c r="AG187" s="2628">
        <f t="shared" si="46"/>
        <v>1.8666666666666668E-2</v>
      </c>
      <c r="AH187" s="1266">
        <v>0.1</v>
      </c>
    </row>
    <row r="188" spans="1:34" ht="12.75">
      <c r="A188" s="2199">
        <f t="shared" si="32"/>
        <v>176</v>
      </c>
      <c r="B188" s="2200" t="s">
        <v>2968</v>
      </c>
      <c r="C188" s="2743">
        <v>0</v>
      </c>
      <c r="D188" s="2743">
        <v>0</v>
      </c>
      <c r="E188" s="2949">
        <v>0</v>
      </c>
      <c r="F188" s="2200">
        <v>10</v>
      </c>
      <c r="G188" s="2200" t="s">
        <v>2038</v>
      </c>
      <c r="H188" s="2200" t="s">
        <v>1057</v>
      </c>
      <c r="I188" s="2742">
        <v>0</v>
      </c>
      <c r="J188" s="2742"/>
      <c r="K188" s="2752">
        <v>70</v>
      </c>
      <c r="L188" s="2745">
        <f t="shared" si="33"/>
        <v>0</v>
      </c>
      <c r="M188" s="2745">
        <f t="shared" si="37"/>
        <v>0</v>
      </c>
      <c r="N188" s="2745">
        <f t="shared" si="38"/>
        <v>10</v>
      </c>
      <c r="O188" s="1232">
        <f t="shared" si="39"/>
        <v>0</v>
      </c>
      <c r="P188" s="1227" t="str">
        <f t="shared" si="40"/>
        <v>360gsm GB KHANNA - DIAMOND GRAPHIC</v>
      </c>
      <c r="Q188" s="254">
        <v>0.497</v>
      </c>
      <c r="R188" s="1228" t="str">
        <f t="shared" si="41"/>
        <v>360</v>
      </c>
      <c r="S188" s="2625">
        <f t="shared" si="34"/>
        <v>0</v>
      </c>
      <c r="T188" s="2747">
        <f>IF(L188&gt;0,IF(input!$B$2=$O$1,(((L188+Y188/22)+(L188+Y188/22)*$AG188+$X188)*$P$11+$M$7)/1000,(((L188+Y188/22)+(L188+Y188/22)*O188+(L188+Y188/22)*$AG188+$X188)*$P$11+$M$7)/1000),0)</f>
        <v>0</v>
      </c>
      <c r="U188" s="2747">
        <f t="shared" si="35"/>
        <v>0</v>
      </c>
      <c r="V188" s="1229"/>
      <c r="W188" s="1231" t="str">
        <f t="shared" si="36"/>
        <v>CIF</v>
      </c>
      <c r="X188" s="1230">
        <f t="shared" si="47"/>
        <v>0</v>
      </c>
      <c r="Y188" s="2625">
        <f t="shared" si="44"/>
        <v>0</v>
      </c>
      <c r="Z188" s="3208">
        <f t="shared" si="42"/>
        <v>838.18181818181813</v>
      </c>
      <c r="AA188" s="136" t="s">
        <v>2988</v>
      </c>
      <c r="AB188" s="1220" t="s">
        <v>1393</v>
      </c>
      <c r="AC188" s="251" t="str">
        <f t="shared" si="43"/>
        <v>360gsm GB KHANNA - DIAMOND GRAPHIC</v>
      </c>
      <c r="AD188" s="2746">
        <f>IF(L188&gt;0,IF(input!$B$2=$O$1,(((M188)+(M188)*$M$10)*$P$11)/1000,(((M188)+(M188)*O188+(M188)*$M$10)*$P$11)/1000),0)</f>
        <v>0</v>
      </c>
      <c r="AE188" s="2746">
        <f>IF(L188&gt;0,IF(input!$B$2=$O$1,(((N188)+(N188)*$M$10)*$P$11)/1000,(((N188)+(N188)*O188+(N188)*$M$10)*$P$11)/1000),0)</f>
        <v>0</v>
      </c>
      <c r="AF188" s="136" t="str">
        <f t="shared" si="45"/>
        <v>FSC</v>
      </c>
      <c r="AG188" s="2628">
        <f t="shared" si="46"/>
        <v>1.8666666666666668E-2</v>
      </c>
      <c r="AH188" s="1266">
        <v>0.1</v>
      </c>
    </row>
    <row r="189" spans="1:34" ht="12.75">
      <c r="A189" s="2199">
        <f t="shared" si="32"/>
        <v>177</v>
      </c>
      <c r="B189" s="2200" t="s">
        <v>2969</v>
      </c>
      <c r="C189" s="2743">
        <v>0</v>
      </c>
      <c r="D189" s="2743">
        <v>0</v>
      </c>
      <c r="E189" s="2949">
        <v>0</v>
      </c>
      <c r="F189" s="2200">
        <v>10</v>
      </c>
      <c r="G189" s="2200" t="s">
        <v>2038</v>
      </c>
      <c r="H189" s="2200" t="s">
        <v>1057</v>
      </c>
      <c r="I189" s="2742">
        <v>0</v>
      </c>
      <c r="J189" s="2742"/>
      <c r="K189" s="2752">
        <v>70</v>
      </c>
      <c r="L189" s="2745">
        <f t="shared" si="33"/>
        <v>0</v>
      </c>
      <c r="M189" s="2745">
        <f t="shared" si="37"/>
        <v>0</v>
      </c>
      <c r="N189" s="2745">
        <f t="shared" si="38"/>
        <v>10</v>
      </c>
      <c r="O189" s="1232">
        <f t="shared" si="39"/>
        <v>0</v>
      </c>
      <c r="P189" s="1227" t="str">
        <f t="shared" si="40"/>
        <v>370gsm GB KHANNA - DIAMOND GRAPHIC</v>
      </c>
      <c r="Q189" s="254">
        <v>0.51100000000000001</v>
      </c>
      <c r="R189" s="1228" t="str">
        <f t="shared" si="41"/>
        <v>370</v>
      </c>
      <c r="S189" s="2625">
        <f t="shared" si="34"/>
        <v>0</v>
      </c>
      <c r="T189" s="2747">
        <f>IF(L189&gt;0,IF(input!$B$2=$O$1,(((L189+Y189/22)+(L189+Y189/22)*$AG189+$X189)*$P$11+$M$7)/1000,(((L189+Y189/22)+(L189+Y189/22)*O189+(L189+Y189/22)*$AG189+$X189)*$P$11+$M$7)/1000),0)</f>
        <v>0</v>
      </c>
      <c r="U189" s="2747">
        <f t="shared" si="35"/>
        <v>0</v>
      </c>
      <c r="V189" s="1229"/>
      <c r="W189" s="1231" t="str">
        <f t="shared" si="36"/>
        <v>CIF</v>
      </c>
      <c r="X189" s="1230">
        <f t="shared" si="47"/>
        <v>0</v>
      </c>
      <c r="Y189" s="2625">
        <f t="shared" si="44"/>
        <v>0</v>
      </c>
      <c r="Z189" s="3208">
        <f t="shared" si="42"/>
        <v>838.18181818181813</v>
      </c>
      <c r="AA189" s="136" t="s">
        <v>2988</v>
      </c>
      <c r="AB189" s="1220" t="s">
        <v>1393</v>
      </c>
      <c r="AC189" s="251" t="str">
        <f t="shared" si="43"/>
        <v>370gsm GB KHANNA - DIAMOND GRAPHIC</v>
      </c>
      <c r="AD189" s="2746">
        <f>IF(L189&gt;0,IF(input!$B$2=$O$1,(((M189)+(M189)*$M$10)*$P$11)/1000,(((M189)+(M189)*O189+(M189)*$M$10)*$P$11)/1000),0)</f>
        <v>0</v>
      </c>
      <c r="AE189" s="2746">
        <f>IF(L189&gt;0,IF(input!$B$2=$O$1,(((N189)+(N189)*$M$10)*$P$11)/1000,(((N189)+(N189)*O189+(N189)*$M$10)*$P$11)/1000),0)</f>
        <v>0</v>
      </c>
      <c r="AF189" s="136" t="str">
        <f t="shared" si="45"/>
        <v>FSC</v>
      </c>
      <c r="AG189" s="2628">
        <f t="shared" si="46"/>
        <v>1.8666666666666668E-2</v>
      </c>
      <c r="AH189" s="1266">
        <v>0.1</v>
      </c>
    </row>
    <row r="190" spans="1:34" ht="12.75" collapsed="1">
      <c r="A190" s="2199">
        <f t="shared" si="32"/>
        <v>178</v>
      </c>
      <c r="B190" s="2200" t="s">
        <v>2970</v>
      </c>
      <c r="C190" s="2743">
        <v>0</v>
      </c>
      <c r="D190" s="2743">
        <v>0</v>
      </c>
      <c r="E190" s="2949">
        <v>0</v>
      </c>
      <c r="F190" s="2200">
        <v>10</v>
      </c>
      <c r="G190" s="2200" t="s">
        <v>2038</v>
      </c>
      <c r="H190" s="2200" t="s">
        <v>1057</v>
      </c>
      <c r="I190" s="2742">
        <v>0</v>
      </c>
      <c r="J190" s="2742"/>
      <c r="K190" s="2752">
        <v>70</v>
      </c>
      <c r="L190" s="2745">
        <f t="shared" si="33"/>
        <v>0</v>
      </c>
      <c r="M190" s="2745">
        <f t="shared" si="37"/>
        <v>0</v>
      </c>
      <c r="N190" s="2745">
        <f t="shared" si="38"/>
        <v>10</v>
      </c>
      <c r="O190" s="1232">
        <f t="shared" si="39"/>
        <v>0</v>
      </c>
      <c r="P190" s="1227" t="str">
        <f t="shared" si="40"/>
        <v>400gsm GB KHANNA - DIAMOND GRAPHIC</v>
      </c>
      <c r="Q190" s="254">
        <v>0.55200000000000005</v>
      </c>
      <c r="R190" s="1228" t="str">
        <f t="shared" si="41"/>
        <v>400</v>
      </c>
      <c r="S190" s="2625">
        <f t="shared" si="34"/>
        <v>0</v>
      </c>
      <c r="T190" s="2747">
        <f>IF(L190&gt;0,IF(input!$B$2=$O$1,(((L190+Y190/22)+(L190+Y190/22)*$AG190+$X190)*$P$11+$M$7)/1000,(((L190+Y190/22)+(L190+Y190/22)*O190+(L190+Y190/22)*$AG190+$X190)*$P$11+$M$7)/1000),0)</f>
        <v>0</v>
      </c>
      <c r="U190" s="2747">
        <f t="shared" si="35"/>
        <v>0</v>
      </c>
      <c r="V190" s="1229"/>
      <c r="W190" s="1231" t="str">
        <f t="shared" si="36"/>
        <v>CIF</v>
      </c>
      <c r="X190" s="1230">
        <f t="shared" si="47"/>
        <v>0</v>
      </c>
      <c r="Y190" s="2625">
        <f t="shared" si="44"/>
        <v>0</v>
      </c>
      <c r="Z190" s="3208">
        <f t="shared" si="42"/>
        <v>838.18181818181813</v>
      </c>
      <c r="AA190" s="136" t="s">
        <v>2988</v>
      </c>
      <c r="AB190" s="1220" t="s">
        <v>1393</v>
      </c>
      <c r="AC190" s="251" t="str">
        <f t="shared" si="43"/>
        <v>400gsm GB KHANNA - DIAMOND GRAPHIC</v>
      </c>
      <c r="AD190" s="2746">
        <f>IF(L190&gt;0,IF(input!$B$2=$O$1,(((M190)+(M190)*$M$10)*$P$11)/1000,(((M190)+(M190)*O190+(M190)*$M$10)*$P$11)/1000),0)</f>
        <v>0</v>
      </c>
      <c r="AE190" s="2746">
        <f>IF(L190&gt;0,IF(input!$B$2=$O$1,(((N190)+(N190)*$M$10)*$P$11)/1000,(((N190)+(N190)*O190+(N190)*$M$10)*$P$11)/1000),0)</f>
        <v>0</v>
      </c>
      <c r="AF190" s="136" t="str">
        <f t="shared" si="45"/>
        <v>FSC</v>
      </c>
      <c r="AG190" s="2628">
        <f t="shared" si="46"/>
        <v>1.8666666666666668E-2</v>
      </c>
      <c r="AH190" s="1266">
        <v>0.1</v>
      </c>
    </row>
    <row r="191" spans="1:34" ht="12.75">
      <c r="A191" s="2199">
        <f t="shared" si="32"/>
        <v>179</v>
      </c>
      <c r="B191" s="2200" t="s">
        <v>2971</v>
      </c>
      <c r="C191" s="2743">
        <v>0</v>
      </c>
      <c r="D191" s="2743">
        <v>0</v>
      </c>
      <c r="E191" s="2949">
        <v>0</v>
      </c>
      <c r="F191" s="2200">
        <v>10</v>
      </c>
      <c r="G191" s="2200" t="s">
        <v>2038</v>
      </c>
      <c r="H191" s="2200" t="s">
        <v>1057</v>
      </c>
      <c r="I191" s="2742">
        <v>0</v>
      </c>
      <c r="J191" s="2742"/>
      <c r="K191" s="2752">
        <v>70</v>
      </c>
      <c r="L191" s="2745">
        <f t="shared" si="33"/>
        <v>0</v>
      </c>
      <c r="M191" s="2745">
        <f t="shared" si="37"/>
        <v>0</v>
      </c>
      <c r="N191" s="2745">
        <f t="shared" si="38"/>
        <v>10</v>
      </c>
      <c r="O191" s="1232">
        <f t="shared" si="39"/>
        <v>0</v>
      </c>
      <c r="P191" s="1227" t="str">
        <f t="shared" si="40"/>
        <v>420gsm GB KHANNA - DIAMOND GRAPHIC</v>
      </c>
      <c r="Q191" s="254">
        <v>0.57999999999999996</v>
      </c>
      <c r="R191" s="1228" t="str">
        <f t="shared" si="41"/>
        <v>420</v>
      </c>
      <c r="S191" s="2625">
        <f t="shared" si="34"/>
        <v>0</v>
      </c>
      <c r="T191" s="2747">
        <f>IF(L191&gt;0,IF(input!$B$2=$O$1,(((L191+Y191/22)+(L191+Y191/22)*$AG191+$X191)*$P$11+$M$7)/1000,(((L191+Y191/22)+(L191+Y191/22)*O191+(L191+Y191/22)*$AG191+$X191)*$P$11+$M$7)/1000),0)</f>
        <v>0</v>
      </c>
      <c r="U191" s="2747">
        <f t="shared" si="35"/>
        <v>0</v>
      </c>
      <c r="V191" s="1229"/>
      <c r="W191" s="1231" t="str">
        <f t="shared" si="36"/>
        <v>CIF</v>
      </c>
      <c r="X191" s="1230">
        <f t="shared" si="47"/>
        <v>0</v>
      </c>
      <c r="Y191" s="2625">
        <f t="shared" si="44"/>
        <v>0</v>
      </c>
      <c r="Z191" s="3208">
        <f t="shared" si="42"/>
        <v>838.18181818181813</v>
      </c>
      <c r="AA191" s="136" t="s">
        <v>2988</v>
      </c>
      <c r="AB191" s="1220" t="s">
        <v>1393</v>
      </c>
      <c r="AC191" s="251" t="str">
        <f t="shared" si="43"/>
        <v>420gsm GB KHANNA - DIAMOND GRAPHIC</v>
      </c>
      <c r="AD191" s="2746">
        <f>IF(L191&gt;0,IF(input!$B$2=$O$1,(((M191)+(M191)*$M$10)*$P$11)/1000,(((M191)+(M191)*O191+(M191)*$M$10)*$P$11)/1000),0)</f>
        <v>0</v>
      </c>
      <c r="AE191" s="2746">
        <f>IF(L191&gt;0,IF(input!$B$2=$O$1,(((N191)+(N191)*$M$10)*$P$11)/1000,(((N191)+(N191)*O191+(N191)*$M$10)*$P$11)/1000),0)</f>
        <v>0</v>
      </c>
      <c r="AF191" s="136" t="str">
        <f t="shared" si="45"/>
        <v>FSC</v>
      </c>
      <c r="AG191" s="2628">
        <f t="shared" si="46"/>
        <v>1.8666666666666668E-2</v>
      </c>
      <c r="AH191" s="1266">
        <v>0.1</v>
      </c>
    </row>
    <row r="192" spans="1:34" ht="12.75">
      <c r="A192" s="2199">
        <f t="shared" si="32"/>
        <v>180</v>
      </c>
      <c r="B192" s="2200" t="s">
        <v>2972</v>
      </c>
      <c r="C192" s="2743">
        <v>0</v>
      </c>
      <c r="D192" s="2743">
        <v>0</v>
      </c>
      <c r="E192" s="2949">
        <v>0</v>
      </c>
      <c r="F192" s="2200">
        <v>10</v>
      </c>
      <c r="G192" s="2200" t="s">
        <v>2038</v>
      </c>
      <c r="H192" s="2200" t="s">
        <v>1057</v>
      </c>
      <c r="I192" s="2742">
        <v>0</v>
      </c>
      <c r="J192" s="2742"/>
      <c r="K192" s="2752">
        <v>70</v>
      </c>
      <c r="L192" s="2745">
        <f t="shared" si="33"/>
        <v>0</v>
      </c>
      <c r="M192" s="2745">
        <f t="shared" si="37"/>
        <v>0</v>
      </c>
      <c r="N192" s="2745">
        <f t="shared" si="38"/>
        <v>10</v>
      </c>
      <c r="O192" s="1232">
        <f t="shared" si="39"/>
        <v>0</v>
      </c>
      <c r="P192" s="1227" t="str">
        <f t="shared" si="40"/>
        <v>450gsm GB KHANNA - DIAMOND GRAPHIC</v>
      </c>
      <c r="Q192" s="254">
        <v>0.621</v>
      </c>
      <c r="R192" s="1228" t="str">
        <f t="shared" si="41"/>
        <v>450</v>
      </c>
      <c r="S192" s="2625">
        <f t="shared" si="34"/>
        <v>0</v>
      </c>
      <c r="T192" s="2747">
        <f>IF(L192&gt;0,IF(input!$B$2=$O$1,(((L192+Y192/22)+(L192+Y192/22)*$AG192+$X192)*$P$11+$M$7)/1000,(((L192+Y192/22)+(L192+Y192/22)*O192+(L192+Y192/22)*$AG192+$X192)*$P$11+$M$7)/1000),0)</f>
        <v>0</v>
      </c>
      <c r="U192" s="2747">
        <f t="shared" si="35"/>
        <v>0</v>
      </c>
      <c r="V192" s="1229"/>
      <c r="W192" s="1231" t="str">
        <f t="shared" si="36"/>
        <v>CIF</v>
      </c>
      <c r="X192" s="1230">
        <f t="shared" si="47"/>
        <v>0</v>
      </c>
      <c r="Y192" s="2625">
        <f t="shared" si="44"/>
        <v>0</v>
      </c>
      <c r="Z192" s="3208">
        <f t="shared" si="42"/>
        <v>838.18181818181813</v>
      </c>
      <c r="AA192" s="136" t="s">
        <v>2988</v>
      </c>
      <c r="AB192" s="1220" t="s">
        <v>1393</v>
      </c>
      <c r="AC192" s="251" t="str">
        <f t="shared" si="43"/>
        <v>450gsm GB KHANNA - DIAMOND GRAPHIC</v>
      </c>
      <c r="AD192" s="2746">
        <f>IF(L192&gt;0,IF(input!$B$2=$O$1,(((M192)+(M192)*$M$10)*$P$11)/1000,(((M192)+(M192)*O192+(M192)*$M$10)*$P$11)/1000),0)</f>
        <v>0</v>
      </c>
      <c r="AE192" s="2746">
        <f>IF(L192&gt;0,IF(input!$B$2=$O$1,(((N192)+(N192)*$M$10)*$P$11)/1000,(((N192)+(N192)*O192+(N192)*$M$10)*$P$11)/1000),0)</f>
        <v>0</v>
      </c>
      <c r="AF192" s="136" t="str">
        <f t="shared" si="45"/>
        <v>FSC</v>
      </c>
      <c r="AG192" s="2628">
        <f t="shared" si="46"/>
        <v>1.8666666666666668E-2</v>
      </c>
      <c r="AH192" s="1266">
        <v>0.1</v>
      </c>
    </row>
    <row r="193" spans="1:34" ht="12.75">
      <c r="A193" s="2199">
        <f t="shared" si="32"/>
        <v>181</v>
      </c>
      <c r="B193" s="2200" t="s">
        <v>2973</v>
      </c>
      <c r="C193" s="2743">
        <v>0</v>
      </c>
      <c r="D193" s="2743">
        <v>0</v>
      </c>
      <c r="E193" s="2949">
        <v>0</v>
      </c>
      <c r="F193" s="2200">
        <v>10</v>
      </c>
      <c r="G193" s="2200" t="s">
        <v>2038</v>
      </c>
      <c r="H193" s="2200" t="s">
        <v>1057</v>
      </c>
      <c r="I193" s="2742">
        <v>20</v>
      </c>
      <c r="J193" s="2742"/>
      <c r="K193" s="2752">
        <v>70</v>
      </c>
      <c r="L193" s="2745">
        <f t="shared" si="33"/>
        <v>0</v>
      </c>
      <c r="M193" s="2745">
        <f t="shared" si="37"/>
        <v>20</v>
      </c>
      <c r="N193" s="2745">
        <f t="shared" si="38"/>
        <v>10</v>
      </c>
      <c r="O193" s="1232">
        <f t="shared" si="39"/>
        <v>0</v>
      </c>
      <c r="P193" s="1227" t="str">
        <f t="shared" si="40"/>
        <v>250gsm GB KHANNA - OPTIC GRAPHIC</v>
      </c>
      <c r="Q193" s="254">
        <v>0.28799999999999998</v>
      </c>
      <c r="R193" s="1228" t="str">
        <f t="shared" si="41"/>
        <v>250</v>
      </c>
      <c r="S193" s="2625">
        <f t="shared" si="34"/>
        <v>0</v>
      </c>
      <c r="T193" s="2747">
        <f>IF(L193&gt;0,IF(input!$B$2=$O$1,(((L193+Y193/22)+(L193+Y193/22)*$AG193+$X193)*$P$11+$M$7)/1000,(((L193+Y193/22)+(L193+Y193/22)*O193+(L193+Y193/22)*$AG193+$X193)*$P$11+$M$7)/1000),0)</f>
        <v>0</v>
      </c>
      <c r="U193" s="2747">
        <f t="shared" si="35"/>
        <v>0</v>
      </c>
      <c r="V193" s="1229"/>
      <c r="W193" s="1231" t="str">
        <f t="shared" si="36"/>
        <v>CIF</v>
      </c>
      <c r="X193" s="1230">
        <f t="shared" si="47"/>
        <v>0</v>
      </c>
      <c r="Y193" s="2625">
        <f t="shared" si="44"/>
        <v>0</v>
      </c>
      <c r="Z193" s="3208">
        <f t="shared" si="42"/>
        <v>838.18181818181813</v>
      </c>
      <c r="AA193" s="136" t="s">
        <v>2987</v>
      </c>
      <c r="AB193" s="1220" t="s">
        <v>1393</v>
      </c>
      <c r="AC193" s="251" t="str">
        <f t="shared" si="43"/>
        <v>250gsm GB KHANNA - OPTIC GRAPHIC</v>
      </c>
      <c r="AD193" s="2746">
        <f>IF(L193&gt;0,IF(input!$B$2=$O$1,(((M193)+(M193)*$M$10)*$P$11)/1000,(((M193)+(M193)*O193+(M193)*$M$10)*$P$11)/1000),0)</f>
        <v>0</v>
      </c>
      <c r="AE193" s="2746">
        <f>IF(L193&gt;0,IF(input!$B$2=$O$1,(((N193)+(N193)*$M$10)*$P$11)/1000,(((N193)+(N193)*O193+(N193)*$M$10)*$P$11)/1000),0)</f>
        <v>0</v>
      </c>
      <c r="AF193" s="136" t="str">
        <f t="shared" si="45"/>
        <v>FSC</v>
      </c>
      <c r="AG193" s="2628">
        <f t="shared" si="46"/>
        <v>1.8666666666666668E-2</v>
      </c>
      <c r="AH193" s="1266">
        <v>0.1</v>
      </c>
    </row>
    <row r="194" spans="1:34" ht="12.75">
      <c r="A194" s="2199">
        <f t="shared" si="32"/>
        <v>182</v>
      </c>
      <c r="B194" s="2200" t="s">
        <v>2974</v>
      </c>
      <c r="C194" s="2743">
        <v>0</v>
      </c>
      <c r="D194" s="2743">
        <v>0</v>
      </c>
      <c r="E194" s="2949">
        <v>0</v>
      </c>
      <c r="F194" s="2200">
        <v>10</v>
      </c>
      <c r="G194" s="2200" t="s">
        <v>2038</v>
      </c>
      <c r="H194" s="2200" t="s">
        <v>1057</v>
      </c>
      <c r="I194" s="2742">
        <v>20</v>
      </c>
      <c r="J194" s="2742"/>
      <c r="K194" s="2752">
        <v>70</v>
      </c>
      <c r="L194" s="2745">
        <f t="shared" si="33"/>
        <v>0</v>
      </c>
      <c r="M194" s="2745">
        <f t="shared" si="37"/>
        <v>20</v>
      </c>
      <c r="N194" s="2745">
        <f t="shared" si="38"/>
        <v>10</v>
      </c>
      <c r="O194" s="1232">
        <f t="shared" si="39"/>
        <v>0</v>
      </c>
      <c r="P194" s="1227" t="str">
        <f t="shared" si="40"/>
        <v>260gsm GB KHANNA - OPTIC GRAPHIC</v>
      </c>
      <c r="Q194" s="254">
        <v>0.3</v>
      </c>
      <c r="R194" s="1228" t="str">
        <f t="shared" si="41"/>
        <v>260</v>
      </c>
      <c r="S194" s="2625">
        <f t="shared" si="34"/>
        <v>0</v>
      </c>
      <c r="T194" s="2747">
        <f>IF(L194&gt;0,IF(input!$B$2=$O$1,(((L194+Y194/22)+(L194+Y194/22)*$AG194+$X194)*$P$11+$M$7)/1000,(((L194+Y194/22)+(L194+Y194/22)*O194+(L194+Y194/22)*$AG194+$X194)*$P$11+$M$7)/1000),0)</f>
        <v>0</v>
      </c>
      <c r="U194" s="2747">
        <f t="shared" si="35"/>
        <v>0</v>
      </c>
      <c r="V194" s="1229"/>
      <c r="W194" s="1231" t="str">
        <f t="shared" si="36"/>
        <v>CIF</v>
      </c>
      <c r="X194" s="1230">
        <f t="shared" si="47"/>
        <v>0</v>
      </c>
      <c r="Y194" s="2625">
        <f t="shared" si="44"/>
        <v>0</v>
      </c>
      <c r="Z194" s="3208">
        <f t="shared" si="42"/>
        <v>838.18181818181813</v>
      </c>
      <c r="AA194" s="136" t="s">
        <v>2987</v>
      </c>
      <c r="AB194" s="1220" t="s">
        <v>1393</v>
      </c>
      <c r="AC194" s="251" t="str">
        <f t="shared" si="43"/>
        <v>260gsm GB KHANNA - OPTIC GRAPHIC</v>
      </c>
      <c r="AD194" s="2746">
        <f>IF(L194&gt;0,IF(input!$B$2=$O$1,(((M194)+(M194)*$M$10)*$P$11)/1000,(((M194)+(M194)*O194+(M194)*$M$10)*$P$11)/1000),0)</f>
        <v>0</v>
      </c>
      <c r="AE194" s="2746">
        <f>IF(L194&gt;0,IF(input!$B$2=$O$1,(((N194)+(N194)*$M$10)*$P$11)/1000,(((N194)+(N194)*O194+(N194)*$M$10)*$P$11)/1000),0)</f>
        <v>0</v>
      </c>
      <c r="AF194" s="136" t="str">
        <f t="shared" si="45"/>
        <v>FSC</v>
      </c>
      <c r="AG194" s="2628">
        <f t="shared" si="46"/>
        <v>1.8666666666666668E-2</v>
      </c>
      <c r="AH194" s="1266">
        <v>0.1</v>
      </c>
    </row>
    <row r="195" spans="1:34" ht="12.75">
      <c r="A195" s="2199">
        <f t="shared" si="32"/>
        <v>183</v>
      </c>
      <c r="B195" s="2200" t="s">
        <v>2975</v>
      </c>
      <c r="C195" s="2743">
        <v>0</v>
      </c>
      <c r="D195" s="2743">
        <v>0</v>
      </c>
      <c r="E195" s="2949">
        <v>0</v>
      </c>
      <c r="F195" s="2200">
        <v>10</v>
      </c>
      <c r="G195" s="2200" t="s">
        <v>2038</v>
      </c>
      <c r="H195" s="2200" t="s">
        <v>1057</v>
      </c>
      <c r="I195" s="2742">
        <v>20</v>
      </c>
      <c r="J195" s="2742"/>
      <c r="K195" s="2752">
        <v>70</v>
      </c>
      <c r="L195" s="2745">
        <f t="shared" si="33"/>
        <v>0</v>
      </c>
      <c r="M195" s="2745">
        <f t="shared" si="37"/>
        <v>20</v>
      </c>
      <c r="N195" s="2745">
        <f t="shared" si="38"/>
        <v>10</v>
      </c>
      <c r="O195" s="1232">
        <f t="shared" si="39"/>
        <v>0</v>
      </c>
      <c r="P195" s="1227" t="str">
        <f t="shared" si="40"/>
        <v>270gsm GB KHANNA - OPTIC GRAPHIC</v>
      </c>
      <c r="Q195" s="254">
        <v>0.318</v>
      </c>
      <c r="R195" s="1228" t="str">
        <f t="shared" si="41"/>
        <v>270</v>
      </c>
      <c r="S195" s="2625">
        <f t="shared" si="34"/>
        <v>0</v>
      </c>
      <c r="T195" s="2747">
        <f>IF(L195&gt;0,IF(input!$B$2=$O$1,(((L195+Y195/22)+(L195+Y195/22)*$AG195+$X195)*$P$11+$M$7)/1000,(((L195+Y195/22)+(L195+Y195/22)*O195+(L195+Y195/22)*$AG195+$X195)*$P$11+$M$7)/1000),0)</f>
        <v>0</v>
      </c>
      <c r="U195" s="2747">
        <f t="shared" si="35"/>
        <v>0</v>
      </c>
      <c r="V195" s="1229"/>
      <c r="W195" s="1231" t="str">
        <f t="shared" si="36"/>
        <v>CIF</v>
      </c>
      <c r="X195" s="1230">
        <f t="shared" si="47"/>
        <v>0</v>
      </c>
      <c r="Y195" s="2625">
        <f t="shared" si="44"/>
        <v>0</v>
      </c>
      <c r="Z195" s="3208">
        <f t="shared" si="42"/>
        <v>838.18181818181813</v>
      </c>
      <c r="AA195" s="136" t="s">
        <v>2987</v>
      </c>
      <c r="AB195" s="1220" t="s">
        <v>1393</v>
      </c>
      <c r="AC195" s="251" t="str">
        <f t="shared" si="43"/>
        <v>270gsm GB KHANNA - OPTIC GRAPHIC</v>
      </c>
      <c r="AD195" s="2746">
        <f>IF(L195&gt;0,IF(input!$B$2=$O$1,(((M195)+(M195)*$M$10)*$P$11)/1000,(((M195)+(M195)*O195+(M195)*$M$10)*$P$11)/1000),0)</f>
        <v>0</v>
      </c>
      <c r="AE195" s="2746">
        <f>IF(L195&gt;0,IF(input!$B$2=$O$1,(((N195)+(N195)*$M$10)*$P$11)/1000,(((N195)+(N195)*O195+(N195)*$M$10)*$P$11)/1000),0)</f>
        <v>0</v>
      </c>
      <c r="AF195" s="136" t="str">
        <f t="shared" si="45"/>
        <v>FSC</v>
      </c>
      <c r="AG195" s="2628">
        <f t="shared" si="46"/>
        <v>1.8666666666666668E-2</v>
      </c>
      <c r="AH195" s="1266">
        <v>0.1</v>
      </c>
    </row>
    <row r="196" spans="1:34" ht="12.75">
      <c r="A196" s="2199">
        <f t="shared" si="32"/>
        <v>184</v>
      </c>
      <c r="B196" s="2200" t="s">
        <v>2976</v>
      </c>
      <c r="C196" s="2743">
        <v>0</v>
      </c>
      <c r="D196" s="2743">
        <v>0</v>
      </c>
      <c r="E196" s="2949">
        <v>0</v>
      </c>
      <c r="F196" s="2200">
        <v>10</v>
      </c>
      <c r="G196" s="2200" t="s">
        <v>2038</v>
      </c>
      <c r="H196" s="2200" t="s">
        <v>1057</v>
      </c>
      <c r="I196" s="2742">
        <v>20</v>
      </c>
      <c r="J196" s="2742"/>
      <c r="K196" s="2752">
        <v>70</v>
      </c>
      <c r="L196" s="2745">
        <f t="shared" si="33"/>
        <v>0</v>
      </c>
      <c r="M196" s="2745">
        <f t="shared" si="37"/>
        <v>20</v>
      </c>
      <c r="N196" s="2745">
        <f t="shared" si="38"/>
        <v>10</v>
      </c>
      <c r="O196" s="1232">
        <f t="shared" si="39"/>
        <v>0</v>
      </c>
      <c r="P196" s="1227" t="str">
        <f t="shared" si="40"/>
        <v>285gsm GB KHANNA - OPTIC GRAPHIC</v>
      </c>
      <c r="Q196" s="254">
        <v>0.33600000000000002</v>
      </c>
      <c r="R196" s="1228" t="str">
        <f t="shared" si="41"/>
        <v>285</v>
      </c>
      <c r="S196" s="2625">
        <f t="shared" si="34"/>
        <v>0</v>
      </c>
      <c r="T196" s="2747">
        <f>IF(L196&gt;0,IF(input!$B$2=$O$1,(((L196+Y196/22)+(L196+Y196/22)*$AG196+$X196)*$P$11+$M$7)/1000,(((L196+Y196/22)+(L196+Y196/22)*O196+(L196+Y196/22)*$AG196+$X196)*$P$11+$M$7)/1000),0)</f>
        <v>0</v>
      </c>
      <c r="U196" s="2747">
        <f t="shared" si="35"/>
        <v>0</v>
      </c>
      <c r="V196" s="1229"/>
      <c r="W196" s="1231" t="str">
        <f t="shared" si="36"/>
        <v>CIF</v>
      </c>
      <c r="X196" s="1230">
        <f t="shared" si="47"/>
        <v>0</v>
      </c>
      <c r="Y196" s="2625">
        <f t="shared" si="44"/>
        <v>0</v>
      </c>
      <c r="Z196" s="3208">
        <f t="shared" si="42"/>
        <v>838.18181818181813</v>
      </c>
      <c r="AA196" s="136" t="s">
        <v>2987</v>
      </c>
      <c r="AB196" s="1220" t="s">
        <v>1393</v>
      </c>
      <c r="AC196" s="251" t="str">
        <f t="shared" si="43"/>
        <v>285gsm GB KHANNA - OPTIC GRAPHIC</v>
      </c>
      <c r="AD196" s="2746">
        <f>IF(L196&gt;0,IF(input!$B$2=$O$1,(((M196)+(M196)*$M$10)*$P$11)/1000,(((M196)+(M196)*O196+(M196)*$M$10)*$P$11)/1000),0)</f>
        <v>0</v>
      </c>
      <c r="AE196" s="2746">
        <f>IF(L196&gt;0,IF(input!$B$2=$O$1,(((N196)+(N196)*$M$10)*$P$11)/1000,(((N196)+(N196)*O196+(N196)*$M$10)*$P$11)/1000),0)</f>
        <v>0</v>
      </c>
      <c r="AF196" s="136" t="str">
        <f t="shared" si="45"/>
        <v>FSC</v>
      </c>
      <c r="AG196" s="2628">
        <f t="shared" si="46"/>
        <v>1.8666666666666668E-2</v>
      </c>
      <c r="AH196" s="1266">
        <v>0.1</v>
      </c>
    </row>
    <row r="197" spans="1:34" ht="12.75">
      <c r="A197" s="2199">
        <f t="shared" si="32"/>
        <v>185</v>
      </c>
      <c r="B197" s="2200" t="s">
        <v>2977</v>
      </c>
      <c r="C197" s="2743">
        <v>0</v>
      </c>
      <c r="D197" s="2743">
        <v>0</v>
      </c>
      <c r="E197" s="2949">
        <v>0</v>
      </c>
      <c r="F197" s="2200">
        <v>10</v>
      </c>
      <c r="G197" s="2200" t="s">
        <v>2038</v>
      </c>
      <c r="H197" s="2200" t="s">
        <v>1057</v>
      </c>
      <c r="I197" s="2742">
        <v>20</v>
      </c>
      <c r="J197" s="2742"/>
      <c r="K197" s="2752">
        <v>70</v>
      </c>
      <c r="L197" s="2745">
        <f t="shared" si="33"/>
        <v>0</v>
      </c>
      <c r="M197" s="2745">
        <f t="shared" si="37"/>
        <v>20</v>
      </c>
      <c r="N197" s="2745">
        <f t="shared" si="38"/>
        <v>10</v>
      </c>
      <c r="O197" s="1232">
        <f t="shared" si="39"/>
        <v>0</v>
      </c>
      <c r="P197" s="1227" t="str">
        <f t="shared" si="40"/>
        <v>300gsm GB KHANNA - OPTIC GRAPHIC</v>
      </c>
      <c r="Q197" s="254">
        <v>0.36</v>
      </c>
      <c r="R197" s="1228" t="str">
        <f t="shared" si="41"/>
        <v>300</v>
      </c>
      <c r="S197" s="2625">
        <f t="shared" si="34"/>
        <v>0</v>
      </c>
      <c r="T197" s="2747">
        <f>IF(L197&gt;0,IF(input!$B$2=$O$1,(((L197+Y197/22)+(L197+Y197/22)*$AG197+$X197)*$P$11+$M$7)/1000,(((L197+Y197/22)+(L197+Y197/22)*O197+(L197+Y197/22)*$AG197+$X197)*$P$11+$M$7)/1000),0)</f>
        <v>0</v>
      </c>
      <c r="U197" s="2747">
        <f t="shared" si="35"/>
        <v>0</v>
      </c>
      <c r="V197" s="1229"/>
      <c r="W197" s="1231" t="str">
        <f t="shared" si="36"/>
        <v>CIF</v>
      </c>
      <c r="X197" s="1230">
        <f t="shared" si="47"/>
        <v>0</v>
      </c>
      <c r="Y197" s="2625">
        <f t="shared" si="44"/>
        <v>0</v>
      </c>
      <c r="Z197" s="3208">
        <f t="shared" si="42"/>
        <v>838.18181818181813</v>
      </c>
      <c r="AA197" s="136" t="s">
        <v>2987</v>
      </c>
      <c r="AB197" s="1220" t="s">
        <v>1393</v>
      </c>
      <c r="AC197" s="251" t="str">
        <f t="shared" si="43"/>
        <v>300gsm GB KHANNA - OPTIC GRAPHIC</v>
      </c>
      <c r="AD197" s="2746">
        <f>IF(L197&gt;0,IF(input!$B$2=$O$1,(((M197)+(M197)*$M$10)*$P$11)/1000,(((M197)+(M197)*O197+(M197)*$M$10)*$P$11)/1000),0)</f>
        <v>0</v>
      </c>
      <c r="AE197" s="2746">
        <f>IF(L197&gt;0,IF(input!$B$2=$O$1,(((N197)+(N197)*$M$10)*$P$11)/1000,(((N197)+(N197)*O197+(N197)*$M$10)*$P$11)/1000),0)</f>
        <v>0</v>
      </c>
      <c r="AF197" s="136" t="str">
        <f t="shared" si="45"/>
        <v>FSC</v>
      </c>
      <c r="AG197" s="2628">
        <f t="shared" si="46"/>
        <v>1.8666666666666668E-2</v>
      </c>
      <c r="AH197" s="1266">
        <v>0.1</v>
      </c>
    </row>
    <row r="198" spans="1:34" ht="12.75">
      <c r="A198" s="2199">
        <f t="shared" si="32"/>
        <v>186</v>
      </c>
      <c r="B198" s="2200" t="s">
        <v>2978</v>
      </c>
      <c r="C198" s="2743">
        <v>0</v>
      </c>
      <c r="D198" s="2743">
        <v>0</v>
      </c>
      <c r="E198" s="2949">
        <v>0</v>
      </c>
      <c r="F198" s="2200">
        <v>10</v>
      </c>
      <c r="G198" s="2200" t="s">
        <v>2038</v>
      </c>
      <c r="H198" s="2200" t="s">
        <v>1057</v>
      </c>
      <c r="I198" s="2742">
        <v>20</v>
      </c>
      <c r="J198" s="2742"/>
      <c r="K198" s="2752">
        <v>70</v>
      </c>
      <c r="L198" s="2745">
        <f t="shared" si="33"/>
        <v>0</v>
      </c>
      <c r="M198" s="2745">
        <f t="shared" si="37"/>
        <v>20</v>
      </c>
      <c r="N198" s="2745">
        <f t="shared" si="38"/>
        <v>10</v>
      </c>
      <c r="O198" s="1232">
        <f t="shared" si="39"/>
        <v>0</v>
      </c>
      <c r="P198" s="1227" t="str">
        <f t="shared" si="40"/>
        <v>320gsm GB KHANNA - OPTIC GRAPHIC</v>
      </c>
      <c r="Q198" s="254">
        <v>0.39</v>
      </c>
      <c r="R198" s="1228" t="str">
        <f t="shared" si="41"/>
        <v>320</v>
      </c>
      <c r="S198" s="2625">
        <f t="shared" si="34"/>
        <v>0</v>
      </c>
      <c r="T198" s="2747">
        <f>IF(L198&gt;0,IF(input!$B$2=$O$1,(((L198+Y198/22)+(L198+Y198/22)*$AG198+$X198)*$P$11+$M$7)/1000,(((L198+Y198/22)+(L198+Y198/22)*O198+(L198+Y198/22)*$AG198+$X198)*$P$11+$M$7)/1000),0)</f>
        <v>0</v>
      </c>
      <c r="U198" s="2747">
        <f t="shared" si="35"/>
        <v>0</v>
      </c>
      <c r="V198" s="1229"/>
      <c r="W198" s="1231" t="str">
        <f t="shared" si="36"/>
        <v>CIF</v>
      </c>
      <c r="X198" s="1230">
        <f t="shared" si="47"/>
        <v>0</v>
      </c>
      <c r="Y198" s="2625">
        <f t="shared" si="44"/>
        <v>0</v>
      </c>
      <c r="Z198" s="3208">
        <f t="shared" si="42"/>
        <v>838.18181818181813</v>
      </c>
      <c r="AA198" s="136" t="s">
        <v>2987</v>
      </c>
      <c r="AB198" s="1220" t="s">
        <v>1393</v>
      </c>
      <c r="AC198" s="251" t="str">
        <f t="shared" si="43"/>
        <v>320gsm GB KHANNA - OPTIC GRAPHIC</v>
      </c>
      <c r="AD198" s="2746">
        <f>IF(L198&gt;0,IF(input!$B$2=$O$1,(((M198)+(M198)*$M$10)*$P$11)/1000,(((M198)+(M198)*O198+(M198)*$M$10)*$P$11)/1000),0)</f>
        <v>0</v>
      </c>
      <c r="AE198" s="2746">
        <f>IF(L198&gt;0,IF(input!$B$2=$O$1,(((N198)+(N198)*$M$10)*$P$11)/1000,(((N198)+(N198)*O198+(N198)*$M$10)*$P$11)/1000),0)</f>
        <v>0</v>
      </c>
      <c r="AF198" s="136" t="str">
        <f t="shared" si="45"/>
        <v>FSC</v>
      </c>
      <c r="AG198" s="2628">
        <f t="shared" si="46"/>
        <v>1.8666666666666668E-2</v>
      </c>
      <c r="AH198" s="1266">
        <v>0.1</v>
      </c>
    </row>
    <row r="199" spans="1:34" ht="12.75">
      <c r="A199" s="2199">
        <f t="shared" si="32"/>
        <v>187</v>
      </c>
      <c r="B199" s="2200" t="s">
        <v>2979</v>
      </c>
      <c r="C199" s="2743">
        <v>0</v>
      </c>
      <c r="D199" s="2743">
        <v>0</v>
      </c>
      <c r="E199" s="2949">
        <v>0</v>
      </c>
      <c r="F199" s="2200">
        <v>10</v>
      </c>
      <c r="G199" s="2200" t="s">
        <v>2038</v>
      </c>
      <c r="H199" s="2200" t="s">
        <v>1057</v>
      </c>
      <c r="I199" s="2742">
        <v>20</v>
      </c>
      <c r="J199" s="2742"/>
      <c r="K199" s="2752">
        <v>70</v>
      </c>
      <c r="L199" s="2745">
        <f t="shared" si="33"/>
        <v>0</v>
      </c>
      <c r="M199" s="2745">
        <f t="shared" si="37"/>
        <v>20</v>
      </c>
      <c r="N199" s="2745">
        <f t="shared" si="38"/>
        <v>10</v>
      </c>
      <c r="O199" s="1232">
        <f t="shared" si="39"/>
        <v>0</v>
      </c>
      <c r="P199" s="1227" t="str">
        <f t="shared" si="40"/>
        <v>330gsm GB KHANNA - OPTIC GRAPHIC</v>
      </c>
      <c r="Q199" s="254">
        <v>0.40300000000000002</v>
      </c>
      <c r="R199" s="1228" t="str">
        <f t="shared" si="41"/>
        <v>330</v>
      </c>
      <c r="S199" s="2625">
        <f t="shared" si="34"/>
        <v>0</v>
      </c>
      <c r="T199" s="2747">
        <f>IF(L199&gt;0,IF(input!$B$2=$O$1,(((L199+Y199/22)+(L199+Y199/22)*$AG199+$X199)*$P$11+$M$7)/1000,(((L199+Y199/22)+(L199+Y199/22)*O199+(L199+Y199/22)*$AG199+$X199)*$P$11+$M$7)/1000),0)</f>
        <v>0</v>
      </c>
      <c r="U199" s="2747">
        <f t="shared" si="35"/>
        <v>0</v>
      </c>
      <c r="V199" s="1229"/>
      <c r="W199" s="1231" t="str">
        <f t="shared" si="36"/>
        <v>CIF</v>
      </c>
      <c r="X199" s="1230">
        <f t="shared" si="47"/>
        <v>0</v>
      </c>
      <c r="Y199" s="2625">
        <f t="shared" si="44"/>
        <v>0</v>
      </c>
      <c r="Z199" s="3208">
        <f t="shared" si="42"/>
        <v>838.18181818181813</v>
      </c>
      <c r="AA199" s="136" t="s">
        <v>2987</v>
      </c>
      <c r="AB199" s="1220" t="s">
        <v>1393</v>
      </c>
      <c r="AC199" s="251" t="str">
        <f t="shared" si="43"/>
        <v>330gsm GB KHANNA - OPTIC GRAPHIC</v>
      </c>
      <c r="AD199" s="2746">
        <f>IF(L199&gt;0,IF(input!$B$2=$O$1,(((M199)+(M199)*$M$10)*$P$11)/1000,(((M199)+(M199)*O199+(M199)*$M$10)*$P$11)/1000),0)</f>
        <v>0</v>
      </c>
      <c r="AE199" s="2746">
        <f>IF(L199&gt;0,IF(input!$B$2=$O$1,(((N199)+(N199)*$M$10)*$P$11)/1000,(((N199)+(N199)*O199+(N199)*$M$10)*$P$11)/1000),0)</f>
        <v>0</v>
      </c>
      <c r="AF199" s="136" t="str">
        <f t="shared" si="45"/>
        <v>FSC</v>
      </c>
      <c r="AG199" s="2628">
        <f t="shared" si="46"/>
        <v>1.8666666666666668E-2</v>
      </c>
      <c r="AH199" s="1266">
        <v>0.1</v>
      </c>
    </row>
    <row r="200" spans="1:34" ht="12.75">
      <c r="A200" s="2199">
        <f t="shared" si="32"/>
        <v>188</v>
      </c>
      <c r="B200" s="2200" t="s">
        <v>2980</v>
      </c>
      <c r="C200" s="2743">
        <v>0</v>
      </c>
      <c r="D200" s="2743">
        <v>0</v>
      </c>
      <c r="E200" s="2949">
        <v>0</v>
      </c>
      <c r="F200" s="2200">
        <v>10</v>
      </c>
      <c r="G200" s="2200" t="s">
        <v>2038</v>
      </c>
      <c r="H200" s="2200" t="s">
        <v>1057</v>
      </c>
      <c r="I200" s="2742">
        <v>20</v>
      </c>
      <c r="J200" s="2742"/>
      <c r="K200" s="2752">
        <v>70</v>
      </c>
      <c r="L200" s="2745">
        <f t="shared" si="33"/>
        <v>0</v>
      </c>
      <c r="M200" s="2745">
        <f t="shared" si="37"/>
        <v>20</v>
      </c>
      <c r="N200" s="2745">
        <f t="shared" si="38"/>
        <v>10</v>
      </c>
      <c r="O200" s="1232">
        <f t="shared" si="39"/>
        <v>0</v>
      </c>
      <c r="P200" s="1227" t="str">
        <f t="shared" si="40"/>
        <v>340gsm GB KHANNA - OPTIC GRAPHIC</v>
      </c>
      <c r="Q200" s="254">
        <v>0.42499999999999999</v>
      </c>
      <c r="R200" s="1228" t="str">
        <f t="shared" si="41"/>
        <v>340</v>
      </c>
      <c r="S200" s="2625">
        <f t="shared" si="34"/>
        <v>0</v>
      </c>
      <c r="T200" s="2747">
        <f>IF(L200&gt;0,IF(input!$B$2=$O$1,(((L200+Y200/22)+(L200+Y200/22)*$AG200+$X200)*$P$11+$M$7)/1000,(((L200+Y200/22)+(L200+Y200/22)*O200+(L200+Y200/22)*$AG200+$X200)*$P$11+$M$7)/1000),0)</f>
        <v>0</v>
      </c>
      <c r="U200" s="2747">
        <f t="shared" si="35"/>
        <v>0</v>
      </c>
      <c r="V200" s="1229"/>
      <c r="W200" s="1231" t="str">
        <f t="shared" si="36"/>
        <v>CIF</v>
      </c>
      <c r="X200" s="1230">
        <f t="shared" si="47"/>
        <v>0</v>
      </c>
      <c r="Y200" s="2625">
        <f t="shared" si="44"/>
        <v>0</v>
      </c>
      <c r="Z200" s="3208">
        <f t="shared" si="42"/>
        <v>838.18181818181813</v>
      </c>
      <c r="AA200" s="136" t="s">
        <v>2987</v>
      </c>
      <c r="AB200" s="1220" t="s">
        <v>1393</v>
      </c>
      <c r="AC200" s="251" t="str">
        <f t="shared" si="43"/>
        <v>340gsm GB KHANNA - OPTIC GRAPHIC</v>
      </c>
      <c r="AD200" s="2746">
        <f>IF(L200&gt;0,IF(input!$B$2=$O$1,(((M200)+(M200)*$M$10)*$P$11)/1000,(((M200)+(M200)*O200+(M200)*$M$10)*$P$11)/1000),0)</f>
        <v>0</v>
      </c>
      <c r="AE200" s="2746">
        <f>IF(L200&gt;0,IF(input!$B$2=$O$1,(((N200)+(N200)*$M$10)*$P$11)/1000,(((N200)+(N200)*O200+(N200)*$M$10)*$P$11)/1000),0)</f>
        <v>0</v>
      </c>
      <c r="AF200" s="136" t="str">
        <f t="shared" si="45"/>
        <v>FSC</v>
      </c>
      <c r="AG200" s="2628">
        <f t="shared" si="46"/>
        <v>1.8666666666666668E-2</v>
      </c>
      <c r="AH200" s="1266">
        <v>0.1</v>
      </c>
    </row>
    <row r="201" spans="1:34" ht="12.75">
      <c r="A201" s="2199">
        <f t="shared" si="32"/>
        <v>189</v>
      </c>
      <c r="B201" s="2200" t="s">
        <v>2981</v>
      </c>
      <c r="C201" s="2743">
        <v>0</v>
      </c>
      <c r="D201" s="2743">
        <v>0</v>
      </c>
      <c r="E201" s="2949">
        <v>0</v>
      </c>
      <c r="F201" s="2200">
        <v>10</v>
      </c>
      <c r="G201" s="2200" t="s">
        <v>2038</v>
      </c>
      <c r="H201" s="2200" t="s">
        <v>1057</v>
      </c>
      <c r="I201" s="2742">
        <v>20</v>
      </c>
      <c r="J201" s="2742"/>
      <c r="K201" s="2752">
        <v>70</v>
      </c>
      <c r="L201" s="2745">
        <f t="shared" si="33"/>
        <v>0</v>
      </c>
      <c r="M201" s="2745">
        <f t="shared" si="37"/>
        <v>20</v>
      </c>
      <c r="N201" s="2745">
        <f t="shared" si="38"/>
        <v>10</v>
      </c>
      <c r="O201" s="1232">
        <f t="shared" si="39"/>
        <v>0</v>
      </c>
      <c r="P201" s="1227" t="str">
        <f t="shared" si="40"/>
        <v>350gsm GB KHANNA - OPTIC GRAPHIC</v>
      </c>
      <c r="Q201" s="254">
        <v>0.437</v>
      </c>
      <c r="R201" s="1228" t="str">
        <f t="shared" si="41"/>
        <v>350</v>
      </c>
      <c r="S201" s="2625">
        <f t="shared" si="34"/>
        <v>0</v>
      </c>
      <c r="T201" s="2747">
        <f>IF(L201&gt;0,IF(input!$B$2=$O$1,(((L201+Y201/22)+(L201+Y201/22)*$AG201+$X201)*$P$11+$M$7)/1000,(((L201+Y201/22)+(L201+Y201/22)*O201+(L201+Y201/22)*$AG201+$X201)*$P$11+$M$7)/1000),0)</f>
        <v>0</v>
      </c>
      <c r="U201" s="2747">
        <f t="shared" si="35"/>
        <v>0</v>
      </c>
      <c r="V201" s="1229"/>
      <c r="W201" s="1231" t="str">
        <f t="shared" si="36"/>
        <v>CIF</v>
      </c>
      <c r="X201" s="1230">
        <f t="shared" si="47"/>
        <v>0</v>
      </c>
      <c r="Y201" s="2625">
        <f t="shared" si="44"/>
        <v>0</v>
      </c>
      <c r="Z201" s="3208">
        <f t="shared" si="42"/>
        <v>838.18181818181813</v>
      </c>
      <c r="AA201" s="136" t="s">
        <v>2987</v>
      </c>
      <c r="AB201" s="1220" t="s">
        <v>1393</v>
      </c>
      <c r="AC201" s="251" t="str">
        <f t="shared" si="43"/>
        <v>350gsm GB KHANNA - OPTIC GRAPHIC</v>
      </c>
      <c r="AD201" s="2746">
        <f>IF(L201&gt;0,IF(input!$B$2=$O$1,(((M201)+(M201)*$M$10)*$P$11)/1000,(((M201)+(M201)*O201+(M201)*$M$10)*$P$11)/1000),0)</f>
        <v>0</v>
      </c>
      <c r="AE201" s="2746">
        <f>IF(L201&gt;0,IF(input!$B$2=$O$1,(((N201)+(N201)*$M$10)*$P$11)/1000,(((N201)+(N201)*O201+(N201)*$M$10)*$P$11)/1000),0)</f>
        <v>0</v>
      </c>
      <c r="AF201" s="136" t="str">
        <f t="shared" si="45"/>
        <v>FSC</v>
      </c>
      <c r="AG201" s="2628">
        <f t="shared" si="46"/>
        <v>1.8666666666666668E-2</v>
      </c>
      <c r="AH201" s="1266">
        <v>0.1</v>
      </c>
    </row>
    <row r="202" spans="1:34" ht="12.75">
      <c r="A202" s="2199">
        <f t="shared" si="32"/>
        <v>190</v>
      </c>
      <c r="B202" s="2200" t="s">
        <v>2982</v>
      </c>
      <c r="C202" s="2743">
        <v>0</v>
      </c>
      <c r="D202" s="2743">
        <v>0</v>
      </c>
      <c r="E202" s="2949">
        <v>0</v>
      </c>
      <c r="F202" s="2200">
        <v>10</v>
      </c>
      <c r="G202" s="2200" t="s">
        <v>2038</v>
      </c>
      <c r="H202" s="2200" t="s">
        <v>1057</v>
      </c>
      <c r="I202" s="2742">
        <v>20</v>
      </c>
      <c r="J202" s="2742"/>
      <c r="K202" s="2752">
        <v>70</v>
      </c>
      <c r="L202" s="2745">
        <f t="shared" si="33"/>
        <v>0</v>
      </c>
      <c r="M202" s="2745">
        <f t="shared" si="37"/>
        <v>20</v>
      </c>
      <c r="N202" s="2745">
        <f t="shared" si="38"/>
        <v>10</v>
      </c>
      <c r="O202" s="1232">
        <f t="shared" si="39"/>
        <v>0</v>
      </c>
      <c r="P202" s="1227" t="str">
        <f t="shared" si="40"/>
        <v>360gsm GB KHANNA - OPTIC GRAPHIC</v>
      </c>
      <c r="Q202" s="254">
        <v>0.45</v>
      </c>
      <c r="R202" s="1228" t="str">
        <f t="shared" si="41"/>
        <v>360</v>
      </c>
      <c r="S202" s="2625">
        <f t="shared" si="34"/>
        <v>0</v>
      </c>
      <c r="T202" s="2747">
        <f>IF(L202&gt;0,IF(input!$B$2=$O$1,(((L202+Y202/22)+(L202+Y202/22)*$AG202+$X202)*$P$11+$M$7)/1000,(((L202+Y202/22)+(L202+Y202/22)*O202+(L202+Y202/22)*$AG202+$X202)*$P$11+$M$7)/1000),0)</f>
        <v>0</v>
      </c>
      <c r="U202" s="2747">
        <f t="shared" si="35"/>
        <v>0</v>
      </c>
      <c r="V202" s="1229"/>
      <c r="W202" s="1231" t="str">
        <f t="shared" si="36"/>
        <v>CIF</v>
      </c>
      <c r="X202" s="1230">
        <f t="shared" si="47"/>
        <v>0</v>
      </c>
      <c r="Y202" s="2625">
        <f t="shared" si="44"/>
        <v>0</v>
      </c>
      <c r="Z202" s="3208">
        <f t="shared" si="42"/>
        <v>838.18181818181813</v>
      </c>
      <c r="AA202" s="136" t="s">
        <v>2987</v>
      </c>
      <c r="AB202" s="1220" t="s">
        <v>1393</v>
      </c>
      <c r="AC202" s="251" t="str">
        <f t="shared" si="43"/>
        <v>360gsm GB KHANNA - OPTIC GRAPHIC</v>
      </c>
      <c r="AD202" s="2746">
        <f>IF(L202&gt;0,IF(input!$B$2=$O$1,(((M202)+(M202)*$M$10)*$P$11)/1000,(((M202)+(M202)*O202+(M202)*$M$10)*$P$11)/1000),0)</f>
        <v>0</v>
      </c>
      <c r="AE202" s="2746">
        <f>IF(L202&gt;0,IF(input!$B$2=$O$1,(((N202)+(N202)*$M$10)*$P$11)/1000,(((N202)+(N202)*O202+(N202)*$M$10)*$P$11)/1000),0)</f>
        <v>0</v>
      </c>
      <c r="AF202" s="136" t="str">
        <f t="shared" si="45"/>
        <v>FSC</v>
      </c>
      <c r="AG202" s="2628">
        <f t="shared" si="46"/>
        <v>1.8666666666666668E-2</v>
      </c>
      <c r="AH202" s="1266">
        <v>0.1</v>
      </c>
    </row>
    <row r="203" spans="1:34" ht="12.75">
      <c r="A203" s="2199">
        <f t="shared" si="32"/>
        <v>191</v>
      </c>
      <c r="B203" s="2200" t="s">
        <v>2983</v>
      </c>
      <c r="C203" s="2743">
        <v>0</v>
      </c>
      <c r="D203" s="2743">
        <v>0</v>
      </c>
      <c r="E203" s="2949">
        <v>0</v>
      </c>
      <c r="F203" s="2200">
        <v>10</v>
      </c>
      <c r="G203" s="2200" t="s">
        <v>2038</v>
      </c>
      <c r="H203" s="2200" t="s">
        <v>1057</v>
      </c>
      <c r="I203" s="2742">
        <v>20</v>
      </c>
      <c r="J203" s="2742"/>
      <c r="K203" s="2752">
        <v>70</v>
      </c>
      <c r="L203" s="2745">
        <f t="shared" si="33"/>
        <v>0</v>
      </c>
      <c r="M203" s="2745">
        <f t="shared" si="37"/>
        <v>20</v>
      </c>
      <c r="N203" s="2745">
        <f t="shared" si="38"/>
        <v>10</v>
      </c>
      <c r="O203" s="1232">
        <f t="shared" si="39"/>
        <v>0</v>
      </c>
      <c r="P203" s="1227" t="str">
        <f t="shared" si="40"/>
        <v>370gsm GB KHANNA - OPTIC GRAPHIC</v>
      </c>
      <c r="Q203" s="254">
        <v>0.47</v>
      </c>
      <c r="R203" s="1228" t="str">
        <f t="shared" si="41"/>
        <v>370</v>
      </c>
      <c r="S203" s="2625">
        <f t="shared" si="34"/>
        <v>0</v>
      </c>
      <c r="T203" s="2747">
        <f>IF(L203&gt;0,IF(input!$B$2=$O$1,(((L203+Y203/22)+(L203+Y203/22)*$AG203+$X203)*$P$11+$M$7)/1000,(((L203+Y203/22)+(L203+Y203/22)*O203+(L203+Y203/22)*$AG203+$X203)*$P$11+$M$7)/1000),0)</f>
        <v>0</v>
      </c>
      <c r="U203" s="2747">
        <f t="shared" si="35"/>
        <v>0</v>
      </c>
      <c r="V203" s="1229"/>
      <c r="W203" s="1231" t="str">
        <f t="shared" si="36"/>
        <v>CIF</v>
      </c>
      <c r="X203" s="1230">
        <f t="shared" si="47"/>
        <v>0</v>
      </c>
      <c r="Y203" s="2625">
        <f t="shared" si="44"/>
        <v>0</v>
      </c>
      <c r="Z203" s="3208">
        <f t="shared" si="42"/>
        <v>838.18181818181813</v>
      </c>
      <c r="AA203" s="136" t="s">
        <v>2987</v>
      </c>
      <c r="AB203" s="1220" t="s">
        <v>1393</v>
      </c>
      <c r="AC203" s="251" t="str">
        <f t="shared" si="43"/>
        <v>370gsm GB KHANNA - OPTIC GRAPHIC</v>
      </c>
      <c r="AD203" s="2746">
        <f>IF(L203&gt;0,IF(input!$B$2=$O$1,(((M203)+(M203)*$M$10)*$P$11)/1000,(((M203)+(M203)*O203+(M203)*$M$10)*$P$11)/1000),0)</f>
        <v>0</v>
      </c>
      <c r="AE203" s="2746">
        <f>IF(L203&gt;0,IF(input!$B$2=$O$1,(((N203)+(N203)*$M$10)*$P$11)/1000,(((N203)+(N203)*O203+(N203)*$M$10)*$P$11)/1000),0)</f>
        <v>0</v>
      </c>
      <c r="AF203" s="136" t="str">
        <f t="shared" si="45"/>
        <v>FSC</v>
      </c>
      <c r="AG203" s="2628">
        <f t="shared" si="46"/>
        <v>1.8666666666666668E-2</v>
      </c>
      <c r="AH203" s="1266">
        <v>0.1</v>
      </c>
    </row>
    <row r="204" spans="1:34" ht="12.75">
      <c r="A204" s="2199">
        <f t="shared" si="32"/>
        <v>192</v>
      </c>
      <c r="B204" s="2200" t="s">
        <v>2984</v>
      </c>
      <c r="C204" s="2743">
        <v>0</v>
      </c>
      <c r="D204" s="2743">
        <v>0</v>
      </c>
      <c r="E204" s="2949">
        <v>0</v>
      </c>
      <c r="F204" s="2200">
        <v>10</v>
      </c>
      <c r="G204" s="2200" t="s">
        <v>2038</v>
      </c>
      <c r="H204" s="2200" t="s">
        <v>1057</v>
      </c>
      <c r="I204" s="2742">
        <v>20</v>
      </c>
      <c r="J204" s="2742"/>
      <c r="K204" s="2752">
        <v>70</v>
      </c>
      <c r="L204" s="2745">
        <f t="shared" si="33"/>
        <v>0</v>
      </c>
      <c r="M204" s="2745">
        <f t="shared" si="37"/>
        <v>20</v>
      </c>
      <c r="N204" s="2745">
        <f t="shared" si="38"/>
        <v>10</v>
      </c>
      <c r="O204" s="1232">
        <f t="shared" si="39"/>
        <v>0</v>
      </c>
      <c r="P204" s="1227" t="str">
        <f t="shared" si="40"/>
        <v>400gsm GB KHANNA - OPTIC GRAPHIC</v>
      </c>
      <c r="Q204" s="254">
        <v>0.52</v>
      </c>
      <c r="R204" s="1228" t="str">
        <f t="shared" si="41"/>
        <v>400</v>
      </c>
      <c r="S204" s="2625">
        <f t="shared" si="34"/>
        <v>0</v>
      </c>
      <c r="T204" s="2747">
        <f>IF(L204&gt;0,IF(input!$B$2=$O$1,(((L204+Y204/22)+(L204+Y204/22)*$AG204+$X204)*$P$11+$M$7)/1000,(((L204+Y204/22)+(L204+Y204/22)*O204+(L204+Y204/22)*$AG204+$X204)*$P$11+$M$7)/1000),0)</f>
        <v>0</v>
      </c>
      <c r="U204" s="2747">
        <f t="shared" si="35"/>
        <v>0</v>
      </c>
      <c r="V204" s="1229"/>
      <c r="W204" s="1231" t="str">
        <f t="shared" si="36"/>
        <v>CIF</v>
      </c>
      <c r="X204" s="1230">
        <f t="shared" si="47"/>
        <v>0</v>
      </c>
      <c r="Y204" s="2625">
        <f t="shared" si="44"/>
        <v>0</v>
      </c>
      <c r="Z204" s="3208">
        <f t="shared" si="42"/>
        <v>838.18181818181813</v>
      </c>
      <c r="AA204" s="136" t="s">
        <v>2987</v>
      </c>
      <c r="AB204" s="1220" t="s">
        <v>1393</v>
      </c>
      <c r="AC204" s="251" t="str">
        <f t="shared" si="43"/>
        <v>400gsm GB KHANNA - OPTIC GRAPHIC</v>
      </c>
      <c r="AD204" s="2746">
        <f>IF(L204&gt;0,IF(input!$B$2=$O$1,(((M204)+(M204)*$M$10)*$P$11)/1000,(((M204)+(M204)*O204+(M204)*$M$10)*$P$11)/1000),0)</f>
        <v>0</v>
      </c>
      <c r="AE204" s="2746">
        <f>IF(L204&gt;0,IF(input!$B$2=$O$1,(((N204)+(N204)*$M$10)*$P$11)/1000,(((N204)+(N204)*O204+(N204)*$M$10)*$P$11)/1000),0)</f>
        <v>0</v>
      </c>
      <c r="AF204" s="136" t="str">
        <f t="shared" si="45"/>
        <v>FSC</v>
      </c>
      <c r="AG204" s="2628">
        <f t="shared" si="46"/>
        <v>1.8666666666666668E-2</v>
      </c>
      <c r="AH204" s="1266">
        <v>0.1</v>
      </c>
    </row>
    <row r="205" spans="1:34" ht="12.75">
      <c r="A205" s="2199">
        <f t="shared" si="32"/>
        <v>193</v>
      </c>
      <c r="B205" s="2200" t="s">
        <v>2985</v>
      </c>
      <c r="C205" s="2743">
        <v>0</v>
      </c>
      <c r="D205" s="2743">
        <v>0</v>
      </c>
      <c r="E205" s="2949">
        <v>0</v>
      </c>
      <c r="F205" s="2200">
        <v>10</v>
      </c>
      <c r="G205" s="2200" t="s">
        <v>2038</v>
      </c>
      <c r="H205" s="2200" t="s">
        <v>1057</v>
      </c>
      <c r="I205" s="2742">
        <v>20</v>
      </c>
      <c r="J205" s="2742"/>
      <c r="K205" s="2752">
        <v>70</v>
      </c>
      <c r="L205" s="2745">
        <f t="shared" si="33"/>
        <v>0</v>
      </c>
      <c r="M205" s="2745">
        <f t="shared" si="37"/>
        <v>20</v>
      </c>
      <c r="N205" s="2745">
        <f t="shared" si="38"/>
        <v>10</v>
      </c>
      <c r="O205" s="1232">
        <f t="shared" si="39"/>
        <v>0</v>
      </c>
      <c r="P205" s="1227" t="str">
        <f t="shared" si="40"/>
        <v>420gsm GB KHANNA - OPTIC GRAPHIC</v>
      </c>
      <c r="Q205" s="254">
        <v>0.54600000000000004</v>
      </c>
      <c r="R205" s="1228" t="str">
        <f t="shared" si="41"/>
        <v>420</v>
      </c>
      <c r="S205" s="2625">
        <f t="shared" si="34"/>
        <v>0</v>
      </c>
      <c r="T205" s="2747">
        <f>IF(L205&gt;0,IF(input!$B$2=$O$1,(((L205+Y205/22)+(L205+Y205/22)*$AG205+$X205)*$P$11+$M$7)/1000,(((L205+Y205/22)+(L205+Y205/22)*O205+(L205+Y205/22)*$AG205+$X205)*$P$11+$M$7)/1000),0)</f>
        <v>0</v>
      </c>
      <c r="U205" s="2747">
        <f t="shared" si="35"/>
        <v>0</v>
      </c>
      <c r="V205" s="1229"/>
      <c r="W205" s="1231" t="str">
        <f t="shared" si="36"/>
        <v>CIF</v>
      </c>
      <c r="X205" s="1230">
        <f t="shared" si="47"/>
        <v>0</v>
      </c>
      <c r="Y205" s="2625">
        <f t="shared" si="44"/>
        <v>0</v>
      </c>
      <c r="Z205" s="3208">
        <f t="shared" si="42"/>
        <v>838.18181818181813</v>
      </c>
      <c r="AA205" s="136" t="s">
        <v>2987</v>
      </c>
      <c r="AB205" s="1220" t="s">
        <v>1393</v>
      </c>
      <c r="AC205" s="251" t="str">
        <f t="shared" si="43"/>
        <v>420gsm GB KHANNA - OPTIC GRAPHIC</v>
      </c>
      <c r="AD205" s="2746">
        <f>IF(L205&gt;0,IF(input!$B$2=$O$1,(((M205)+(M205)*$M$10)*$P$11)/1000,(((M205)+(M205)*O205+(M205)*$M$10)*$P$11)/1000),0)</f>
        <v>0</v>
      </c>
      <c r="AE205" s="2746">
        <f>IF(L205&gt;0,IF(input!$B$2=$O$1,(((N205)+(N205)*$M$10)*$P$11)/1000,(((N205)+(N205)*O205+(N205)*$M$10)*$P$11)/1000),0)</f>
        <v>0</v>
      </c>
      <c r="AF205" s="136" t="str">
        <f t="shared" si="45"/>
        <v>FSC</v>
      </c>
      <c r="AG205" s="2628">
        <f t="shared" si="46"/>
        <v>1.8666666666666668E-2</v>
      </c>
      <c r="AH205" s="1266">
        <v>0.1</v>
      </c>
    </row>
    <row r="206" spans="1:34" ht="12.75">
      <c r="A206" s="2199">
        <f t="shared" ref="A206:A269" si="48">ROW(A194)</f>
        <v>194</v>
      </c>
      <c r="B206" s="2200" t="s">
        <v>2986</v>
      </c>
      <c r="C206" s="2743">
        <v>0</v>
      </c>
      <c r="D206" s="2743">
        <v>0</v>
      </c>
      <c r="E206" s="2949">
        <v>0</v>
      </c>
      <c r="F206" s="2200">
        <v>10</v>
      </c>
      <c r="G206" s="2200" t="s">
        <v>2038</v>
      </c>
      <c r="H206" s="2200" t="s">
        <v>1057</v>
      </c>
      <c r="I206" s="2742">
        <v>20</v>
      </c>
      <c r="J206" s="2742"/>
      <c r="K206" s="2752">
        <v>70</v>
      </c>
      <c r="L206" s="2745">
        <f t="shared" ref="L206:L269" si="49">$D206</f>
        <v>0</v>
      </c>
      <c r="M206" s="2745">
        <f t="shared" si="37"/>
        <v>20</v>
      </c>
      <c r="N206" s="2745">
        <f t="shared" si="38"/>
        <v>10</v>
      </c>
      <c r="O206" s="1232">
        <f t="shared" si="39"/>
        <v>0</v>
      </c>
      <c r="P206" s="1227" t="str">
        <f t="shared" si="40"/>
        <v>450gsm GB KHANNA - OPTIC GRAPHIC</v>
      </c>
      <c r="Q206" s="254">
        <v>0.59399999999999997</v>
      </c>
      <c r="R206" s="1228" t="str">
        <f t="shared" si="41"/>
        <v>450</v>
      </c>
      <c r="S206" s="2625">
        <f t="shared" ref="S206:S269" si="50">C206</f>
        <v>0</v>
      </c>
      <c r="T206" s="2747">
        <f>IF(L206&gt;0,IF(input!$B$2=$O$1,(((L206+Y206/22)+(L206+Y206/22)*$AG206+$X206)*$P$11+$M$7)/1000,(((L206+Y206/22)+(L206+Y206/22)*O206+(L206+Y206/22)*$AG206+$X206)*$P$11+$M$7)/1000),0)</f>
        <v>0</v>
      </c>
      <c r="U206" s="2747">
        <f t="shared" ref="U206:U269" si="51">IF(S206&gt;0,(S206/1.08)+Z206,0)</f>
        <v>0</v>
      </c>
      <c r="V206" s="1229"/>
      <c r="W206" s="1231" t="str">
        <f t="shared" ref="W206:W278" si="52">H206</f>
        <v>CIF</v>
      </c>
      <c r="X206" s="1230">
        <f t="shared" si="47"/>
        <v>0</v>
      </c>
      <c r="Y206" s="2625">
        <f t="shared" si="44"/>
        <v>0</v>
      </c>
      <c r="Z206" s="3208">
        <f t="shared" si="42"/>
        <v>838.18181818181813</v>
      </c>
      <c r="AA206" s="136" t="s">
        <v>2987</v>
      </c>
      <c r="AB206" s="1220" t="s">
        <v>1393</v>
      </c>
      <c r="AC206" s="251" t="str">
        <f t="shared" si="43"/>
        <v>450gsm GB KHANNA - OPTIC GRAPHIC</v>
      </c>
      <c r="AD206" s="2746">
        <f>IF(L206&gt;0,IF(input!$B$2=$O$1,(((M206)+(M206)*$M$10)*$P$11)/1000,(((M206)+(M206)*O206+(M206)*$M$10)*$P$11)/1000),0)</f>
        <v>0</v>
      </c>
      <c r="AE206" s="2746">
        <f>IF(L206&gt;0,IF(input!$B$2=$O$1,(((N206)+(N206)*$M$10)*$P$11)/1000,(((N206)+(N206)*O206+(N206)*$M$10)*$P$11)/1000),0)</f>
        <v>0</v>
      </c>
      <c r="AF206" s="136" t="str">
        <f t="shared" si="45"/>
        <v>FSC</v>
      </c>
      <c r="AG206" s="2628">
        <f t="shared" si="46"/>
        <v>1.8666666666666668E-2</v>
      </c>
      <c r="AH206" s="1266">
        <v>0.1</v>
      </c>
    </row>
    <row r="207" spans="1:34" ht="12.75">
      <c r="A207" s="2199">
        <f t="shared" si="48"/>
        <v>195</v>
      </c>
      <c r="B207" s="2200" t="s">
        <v>841</v>
      </c>
      <c r="C207" s="2743">
        <v>0</v>
      </c>
      <c r="D207" s="2743">
        <v>0</v>
      </c>
      <c r="E207" s="2949">
        <v>0</v>
      </c>
      <c r="F207" s="2200">
        <v>20</v>
      </c>
      <c r="G207" s="2200" t="s">
        <v>2038</v>
      </c>
      <c r="H207" s="2200" t="s">
        <v>1057</v>
      </c>
      <c r="I207" s="2742">
        <v>30</v>
      </c>
      <c r="J207" s="2742"/>
      <c r="K207" s="2752">
        <v>60</v>
      </c>
      <c r="L207" s="2745">
        <f t="shared" si="49"/>
        <v>0</v>
      </c>
      <c r="M207" s="2745">
        <f t="shared" ref="M207:M279" si="53">I207</f>
        <v>30</v>
      </c>
      <c r="N207" s="2745">
        <f t="shared" ref="N207:N279" si="54">$F207</f>
        <v>20</v>
      </c>
      <c r="O207" s="1232">
        <f t="shared" ref="O207:O279" si="55">$E207</f>
        <v>0</v>
      </c>
      <c r="P207" s="1227" t="str">
        <f t="shared" ref="P207:P279" si="56">R207&amp;"gsm "&amp;AB207&amp;" "&amp;AA207</f>
        <v>180gsm WBB HANSOL</v>
      </c>
      <c r="Q207" s="254">
        <v>0.23499999999999999</v>
      </c>
      <c r="R207" s="1228" t="str">
        <f t="shared" ref="R207:R270" si="57">LEFT(AC207,3)</f>
        <v>180</v>
      </c>
      <c r="S207" s="2625">
        <f t="shared" si="50"/>
        <v>0</v>
      </c>
      <c r="T207" s="2747">
        <f>IF(L207&gt;0,IF(input!$B$2=$O$1,(((L207+Y207/22)+(L207+Y207/22)*$AG207+$X207)*$P$11+$M$7)/1000,(((L207+Y207/22)+(L207+Y207/22)*O207+(L207+Y207/22)*$AG207+$X207)*$P$11+$M$7)/1000),0)</f>
        <v>0</v>
      </c>
      <c r="U207" s="2747">
        <f t="shared" si="51"/>
        <v>0</v>
      </c>
      <c r="V207" s="1229"/>
      <c r="W207" s="1231" t="str">
        <f t="shared" si="52"/>
        <v>CIF</v>
      </c>
      <c r="X207" s="1230">
        <f t="shared" si="47"/>
        <v>0</v>
      </c>
      <c r="Y207" s="2625">
        <f t="shared" si="44"/>
        <v>0</v>
      </c>
      <c r="Z207" s="3208">
        <f t="shared" ref="Z207:Z270" si="58">922000/1.1/1000</f>
        <v>838.18181818181813</v>
      </c>
      <c r="AA207" s="1220" t="s">
        <v>1350</v>
      </c>
      <c r="AB207" s="1220" t="s">
        <v>1394</v>
      </c>
      <c r="AC207" s="251" t="str">
        <f t="shared" ref="AC207:AC270" si="59">B207</f>
        <v>180gsm WBB HANSOL</v>
      </c>
      <c r="AD207" s="2746">
        <f>IF(L207&gt;0,IF(input!$B$2=$O$1,(((M207)+(M207)*$M$10)*$P$11)/1000,(((M207)+(M207)*O207+(M207)*$M$10)*$P$11)/1000),0)</f>
        <v>0</v>
      </c>
      <c r="AE207" s="2746">
        <f>IF(L207&gt;0,IF(input!$B$2=$O$1,(((N207)+(N207)*$M$10)*$P$11)/1000,(((N207)+(N207)*O207+(N207)*$M$10)*$P$11)/1000),0)</f>
        <v>0</v>
      </c>
      <c r="AF207" s="136" t="str">
        <f t="shared" si="45"/>
        <v>FSC</v>
      </c>
      <c r="AG207" s="2628">
        <f t="shared" si="46"/>
        <v>1.6E-2</v>
      </c>
      <c r="AH207" s="1266">
        <v>0.1</v>
      </c>
    </row>
    <row r="208" spans="1:34" ht="12.75">
      <c r="A208" s="2199">
        <f t="shared" si="48"/>
        <v>196</v>
      </c>
      <c r="B208" s="2200" t="s">
        <v>842</v>
      </c>
      <c r="C208" s="2743">
        <v>0</v>
      </c>
      <c r="D208" s="2743">
        <v>0</v>
      </c>
      <c r="E208" s="2949">
        <v>0</v>
      </c>
      <c r="F208" s="2200">
        <v>20</v>
      </c>
      <c r="G208" s="2200" t="s">
        <v>2038</v>
      </c>
      <c r="H208" s="2200" t="s">
        <v>1057</v>
      </c>
      <c r="I208" s="2742">
        <v>30</v>
      </c>
      <c r="J208" s="2742"/>
      <c r="K208" s="2752">
        <v>60</v>
      </c>
      <c r="L208" s="2745">
        <f t="shared" si="49"/>
        <v>0</v>
      </c>
      <c r="M208" s="2745">
        <f t="shared" si="53"/>
        <v>30</v>
      </c>
      <c r="N208" s="2745">
        <f t="shared" si="54"/>
        <v>20</v>
      </c>
      <c r="O208" s="1232">
        <f t="shared" si="55"/>
        <v>0</v>
      </c>
      <c r="P208" s="1227" t="str">
        <f t="shared" si="56"/>
        <v>210gsm WBB HANSOL</v>
      </c>
      <c r="Q208" s="254">
        <v>0.26</v>
      </c>
      <c r="R208" s="1228" t="str">
        <f t="shared" si="57"/>
        <v>210</v>
      </c>
      <c r="S208" s="2625">
        <f t="shared" si="50"/>
        <v>0</v>
      </c>
      <c r="T208" s="2747">
        <f>IF(L208&gt;0,IF(input!$B$2=$O$1,(((L208+Y208/22)+(L208+Y208/22)*$AG208+$X208)*$P$11+$M$7)/1000,(((L208+Y208/22)+(L208+Y208/22)*O208+(L208+Y208/22)*$AG208+$X208)*$P$11+$M$7)/1000),0)</f>
        <v>0</v>
      </c>
      <c r="U208" s="2747">
        <f t="shared" si="51"/>
        <v>0</v>
      </c>
      <c r="V208" s="1229"/>
      <c r="W208" s="1231" t="str">
        <f t="shared" si="52"/>
        <v>CIF</v>
      </c>
      <c r="X208" s="1230">
        <f t="shared" si="47"/>
        <v>0</v>
      </c>
      <c r="Y208" s="2625">
        <f t="shared" ref="Y208:Y280" si="60">J208</f>
        <v>0</v>
      </c>
      <c r="Z208" s="3208">
        <f t="shared" si="58"/>
        <v>838.18181818181813</v>
      </c>
      <c r="AA208" s="1220" t="s">
        <v>1350</v>
      </c>
      <c r="AB208" s="1220" t="s">
        <v>1394</v>
      </c>
      <c r="AC208" s="251" t="str">
        <f t="shared" si="59"/>
        <v>210gsm WBB HANSOL</v>
      </c>
      <c r="AD208" s="2746">
        <f>IF(L208&gt;0,IF(input!$B$2=$O$1,(((M208)+(M208)*$M$10)*$P$11)/1000,(((M208)+(M208)*O208+(M208)*$M$10)*$P$11)/1000),0)</f>
        <v>0</v>
      </c>
      <c r="AE208" s="2746">
        <f>IF(L208&gt;0,IF(input!$B$2=$O$1,(((N208)+(N208)*$M$10)*$P$11)/1000,(((N208)+(N208)*O208+(N208)*$M$10)*$P$11)/1000),0)</f>
        <v>0</v>
      </c>
      <c r="AF208" s="136" t="str">
        <f t="shared" ref="AF208:AF280" si="61">G208</f>
        <v>FSC</v>
      </c>
      <c r="AG208" s="2628">
        <f t="shared" ref="AG208:AG280" si="62">K208*$M$10/30</f>
        <v>1.6E-2</v>
      </c>
      <c r="AH208" s="1266">
        <v>0.1</v>
      </c>
    </row>
    <row r="209" spans="1:34" ht="12.75">
      <c r="A209" s="2199">
        <f t="shared" si="48"/>
        <v>197</v>
      </c>
      <c r="B209" s="2200" t="s">
        <v>843</v>
      </c>
      <c r="C209" s="2743">
        <v>0</v>
      </c>
      <c r="D209" s="2743">
        <v>0</v>
      </c>
      <c r="E209" s="2949">
        <v>0</v>
      </c>
      <c r="F209" s="2200">
        <v>20</v>
      </c>
      <c r="G209" s="2200" t="s">
        <v>2038</v>
      </c>
      <c r="H209" s="2200" t="s">
        <v>1057</v>
      </c>
      <c r="I209" s="2742">
        <v>30</v>
      </c>
      <c r="J209" s="2742"/>
      <c r="K209" s="2752">
        <v>60</v>
      </c>
      <c r="L209" s="2745">
        <f t="shared" si="49"/>
        <v>0</v>
      </c>
      <c r="M209" s="2745">
        <f t="shared" si="53"/>
        <v>30</v>
      </c>
      <c r="N209" s="2745">
        <f t="shared" si="54"/>
        <v>20</v>
      </c>
      <c r="O209" s="1232">
        <f t="shared" si="55"/>
        <v>0</v>
      </c>
      <c r="P209" s="1227" t="str">
        <f t="shared" si="56"/>
        <v>220gsm WBB HANSOL</v>
      </c>
      <c r="Q209" s="254">
        <v>0.27</v>
      </c>
      <c r="R209" s="1228" t="str">
        <f t="shared" si="57"/>
        <v>220</v>
      </c>
      <c r="S209" s="2625">
        <f t="shared" si="50"/>
        <v>0</v>
      </c>
      <c r="T209" s="2747">
        <f>IF(L209&gt;0,IF(input!$B$2=$O$1,(((L209+Y209/22)+(L209+Y209/22)*$AG209+$X209)*$P$11+$M$7)/1000,(((L209+Y209/22)+(L209+Y209/22)*O209+(L209+Y209/22)*$AG209+$X209)*$P$11+$M$7)/1000),0)</f>
        <v>0</v>
      </c>
      <c r="U209" s="2747">
        <f t="shared" si="51"/>
        <v>0</v>
      </c>
      <c r="V209" s="1229"/>
      <c r="W209" s="1231" t="str">
        <f t="shared" si="52"/>
        <v>CIF</v>
      </c>
      <c r="X209" s="1230">
        <f t="shared" ref="X209:X272" si="63">IF(L209&gt;0,IF(OR(W209="CFR",W209="CRF",W209="CNF",W209="CPT"),1.1*$M$8*(L209+N209),IF(W209="FOB",1.1*$M$8*(L209+N209+Y209/22),0)),0)</f>
        <v>0</v>
      </c>
      <c r="Y209" s="2625">
        <f t="shared" si="60"/>
        <v>0</v>
      </c>
      <c r="Z209" s="3208">
        <f t="shared" si="58"/>
        <v>838.18181818181813</v>
      </c>
      <c r="AA209" s="1220" t="s">
        <v>1350</v>
      </c>
      <c r="AB209" s="1220" t="s">
        <v>1394</v>
      </c>
      <c r="AC209" s="251" t="str">
        <f t="shared" si="59"/>
        <v>220gsm WBB HANSOL</v>
      </c>
      <c r="AD209" s="2746">
        <f>IF(L209&gt;0,IF(input!$B$2=$O$1,(((M209)+(M209)*$M$10)*$P$11)/1000,(((M209)+(M209)*O209+(M209)*$M$10)*$P$11)/1000),0)</f>
        <v>0</v>
      </c>
      <c r="AE209" s="2746">
        <f>IF(L209&gt;0,IF(input!$B$2=$O$1,(((N209)+(N209)*$M$10)*$P$11)/1000,(((N209)+(N209)*O209+(N209)*$M$10)*$P$11)/1000),0)</f>
        <v>0</v>
      </c>
      <c r="AF209" s="136" t="str">
        <f t="shared" si="61"/>
        <v>FSC</v>
      </c>
      <c r="AG209" s="2628">
        <f t="shared" si="62"/>
        <v>1.6E-2</v>
      </c>
      <c r="AH209" s="1266">
        <v>0.1</v>
      </c>
    </row>
    <row r="210" spans="1:34" ht="12.75">
      <c r="A210" s="2199">
        <f t="shared" si="48"/>
        <v>198</v>
      </c>
      <c r="B210" s="2200" t="s">
        <v>844</v>
      </c>
      <c r="C210" s="2743">
        <v>0</v>
      </c>
      <c r="D210" s="3097">
        <v>645</v>
      </c>
      <c r="E210" s="2949">
        <v>0</v>
      </c>
      <c r="F210" s="2200">
        <v>20</v>
      </c>
      <c r="G210" s="2200" t="s">
        <v>2038</v>
      </c>
      <c r="H210" s="2200" t="s">
        <v>1057</v>
      </c>
      <c r="I210" s="2742">
        <v>30</v>
      </c>
      <c r="J210" s="2742"/>
      <c r="K210" s="2752">
        <v>60</v>
      </c>
      <c r="L210" s="2745">
        <f t="shared" si="49"/>
        <v>645</v>
      </c>
      <c r="M210" s="2745">
        <f t="shared" si="53"/>
        <v>30</v>
      </c>
      <c r="N210" s="2745">
        <f t="shared" si="54"/>
        <v>20</v>
      </c>
      <c r="O210" s="1232">
        <f t="shared" si="55"/>
        <v>0</v>
      </c>
      <c r="P210" s="1227" t="str">
        <f t="shared" si="56"/>
        <v>230gsm WBB HANSOL</v>
      </c>
      <c r="Q210" s="254">
        <v>0.28000000000000003</v>
      </c>
      <c r="R210" s="1228" t="str">
        <f t="shared" si="57"/>
        <v>230</v>
      </c>
      <c r="S210" s="2625">
        <f t="shared" si="50"/>
        <v>0</v>
      </c>
      <c r="T210" s="2747">
        <f>IF(L210&gt;0,IF(input!$B$2=$O$1,(((L210+Y210/22)+(L210+Y210/22)*$AG210+$X210)*$P$11+$M$7)/1000,(((L210+Y210/22)+(L210+Y210/22)*O210+(L210+Y210/22)*$AG210+$X210)*$P$11+$M$7)/1000),0)</f>
        <v>16334.233200000001</v>
      </c>
      <c r="U210" s="2747">
        <f t="shared" si="51"/>
        <v>0</v>
      </c>
      <c r="V210" s="1229"/>
      <c r="W210" s="1231" t="str">
        <f t="shared" si="52"/>
        <v>CIF</v>
      </c>
      <c r="X210" s="1230">
        <f t="shared" si="63"/>
        <v>0</v>
      </c>
      <c r="Y210" s="2625">
        <f t="shared" si="60"/>
        <v>0</v>
      </c>
      <c r="Z210" s="3208">
        <f t="shared" si="58"/>
        <v>838.18181818181813</v>
      </c>
      <c r="AA210" s="1220" t="s">
        <v>1350</v>
      </c>
      <c r="AB210" s="1220" t="s">
        <v>1394</v>
      </c>
      <c r="AC210" s="251" t="str">
        <f t="shared" si="59"/>
        <v>230gsm WBB HANSOL</v>
      </c>
      <c r="AD210" s="2746">
        <f>IF(L210&gt;0,IF(input!$B$2=$O$1,(((M210)+(M210)*$M$10)*$P$11)/1000,(((M210)+(M210)*O210+(M210)*$M$10)*$P$11)/1000),0)</f>
        <v>726.06239999999991</v>
      </c>
      <c r="AE210" s="2746">
        <f>IF(L210&gt;0,IF(input!$B$2=$O$1,(((N210)+(N210)*$M$10)*$P$11)/1000,(((N210)+(N210)*O210+(N210)*$M$10)*$P$11)/1000),0)</f>
        <v>484.04159999999996</v>
      </c>
      <c r="AF210" s="136" t="str">
        <f t="shared" si="61"/>
        <v>FSC</v>
      </c>
      <c r="AG210" s="2628">
        <f t="shared" si="62"/>
        <v>1.6E-2</v>
      </c>
      <c r="AH210" s="1266">
        <v>0.1</v>
      </c>
    </row>
    <row r="211" spans="1:34" ht="12.75">
      <c r="A211" s="2199">
        <f t="shared" si="48"/>
        <v>199</v>
      </c>
      <c r="B211" s="2200" t="s">
        <v>845</v>
      </c>
      <c r="C211" s="2743">
        <v>0</v>
      </c>
      <c r="D211" s="3097">
        <v>0</v>
      </c>
      <c r="E211" s="2949">
        <v>0</v>
      </c>
      <c r="F211" s="2200">
        <v>20</v>
      </c>
      <c r="G211" s="2200" t="s">
        <v>2038</v>
      </c>
      <c r="H211" s="2200" t="s">
        <v>1057</v>
      </c>
      <c r="I211" s="2742">
        <v>30</v>
      </c>
      <c r="J211" s="2742"/>
      <c r="K211" s="2752">
        <v>60</v>
      </c>
      <c r="L211" s="2745">
        <f t="shared" si="49"/>
        <v>0</v>
      </c>
      <c r="M211" s="2745">
        <f t="shared" si="53"/>
        <v>30</v>
      </c>
      <c r="N211" s="2745">
        <f t="shared" si="54"/>
        <v>20</v>
      </c>
      <c r="O211" s="1232">
        <f t="shared" si="55"/>
        <v>0</v>
      </c>
      <c r="P211" s="1227" t="str">
        <f t="shared" si="56"/>
        <v>240gsm WBB HANSOL</v>
      </c>
      <c r="Q211" s="254">
        <v>0.29499999999999998</v>
      </c>
      <c r="R211" s="1228" t="str">
        <f t="shared" si="57"/>
        <v>240</v>
      </c>
      <c r="S211" s="2625">
        <f t="shared" si="50"/>
        <v>0</v>
      </c>
      <c r="T211" s="2747">
        <f>IF(L211&gt;0,IF(input!$B$2=$O$1,(((L211+Y211/22)+(L211+Y211/22)*$AG211+$X211)*$P$11+$M$7)/1000,(((L211+Y211/22)+(L211+Y211/22)*O211+(L211+Y211/22)*$AG211+$X211)*$P$11+$M$7)/1000),0)</f>
        <v>0</v>
      </c>
      <c r="U211" s="2747">
        <f t="shared" si="51"/>
        <v>0</v>
      </c>
      <c r="V211" s="1229"/>
      <c r="W211" s="1231" t="str">
        <f t="shared" si="52"/>
        <v>CIF</v>
      </c>
      <c r="X211" s="1230">
        <f t="shared" si="63"/>
        <v>0</v>
      </c>
      <c r="Y211" s="2625">
        <f t="shared" si="60"/>
        <v>0</v>
      </c>
      <c r="Z211" s="3208">
        <f t="shared" si="58"/>
        <v>838.18181818181813</v>
      </c>
      <c r="AA211" s="1220" t="s">
        <v>1350</v>
      </c>
      <c r="AB211" s="1220" t="s">
        <v>1394</v>
      </c>
      <c r="AC211" s="251" t="str">
        <f t="shared" si="59"/>
        <v>240gsm WBB HANSOL</v>
      </c>
      <c r="AD211" s="2746">
        <f>IF(L211&gt;0,IF(input!$B$2=$O$1,(((M211)+(M211)*$M$10)*$P$11)/1000,(((M211)+(M211)*O211+(M211)*$M$10)*$P$11)/1000),0)</f>
        <v>0</v>
      </c>
      <c r="AE211" s="2746">
        <f>IF(L211&gt;0,IF(input!$B$2=$O$1,(((N211)+(N211)*$M$10)*$P$11)/1000,(((N211)+(N211)*O211+(N211)*$M$10)*$P$11)/1000),0)</f>
        <v>0</v>
      </c>
      <c r="AF211" s="136" t="str">
        <f t="shared" si="61"/>
        <v>FSC</v>
      </c>
      <c r="AG211" s="2628">
        <f t="shared" si="62"/>
        <v>1.6E-2</v>
      </c>
      <c r="AH211" s="1266">
        <v>0.1</v>
      </c>
    </row>
    <row r="212" spans="1:34" ht="12.75">
      <c r="A212" s="2199">
        <f t="shared" si="48"/>
        <v>200</v>
      </c>
      <c r="B212" s="2200" t="s">
        <v>846</v>
      </c>
      <c r="C212" s="2743">
        <v>0</v>
      </c>
      <c r="D212" s="3097">
        <v>625</v>
      </c>
      <c r="E212" s="2949">
        <v>0</v>
      </c>
      <c r="F212" s="2200">
        <v>20</v>
      </c>
      <c r="G212" s="2200" t="s">
        <v>2038</v>
      </c>
      <c r="H212" s="2200" t="s">
        <v>1057</v>
      </c>
      <c r="I212" s="2742">
        <v>30</v>
      </c>
      <c r="J212" s="2742"/>
      <c r="K212" s="2752">
        <v>60</v>
      </c>
      <c r="L212" s="2745">
        <f t="shared" si="49"/>
        <v>625</v>
      </c>
      <c r="M212" s="2745">
        <f t="shared" si="53"/>
        <v>30</v>
      </c>
      <c r="N212" s="2745">
        <f t="shared" si="54"/>
        <v>20</v>
      </c>
      <c r="O212" s="1232">
        <f t="shared" si="55"/>
        <v>0</v>
      </c>
      <c r="P212" s="1227" t="str">
        <f t="shared" si="56"/>
        <v>250gsm WBB HANSOL</v>
      </c>
      <c r="Q212" s="254">
        <v>0.31</v>
      </c>
      <c r="R212" s="1228" t="str">
        <f t="shared" si="57"/>
        <v>250</v>
      </c>
      <c r="S212" s="2625">
        <f t="shared" si="50"/>
        <v>0</v>
      </c>
      <c r="T212" s="2747">
        <f>IF(L212&gt;0,IF(input!$B$2=$O$1,(((L212+Y212/22)+(L212+Y212/22)*$AG212+$X212)*$P$11+$M$7)/1000,(((L212+Y212/22)+(L212+Y212/22)*O212+(L212+Y212/22)*$AG212+$X212)*$P$11+$M$7)/1000),0)</f>
        <v>15846.35</v>
      </c>
      <c r="U212" s="2747">
        <f t="shared" si="51"/>
        <v>0</v>
      </c>
      <c r="V212" s="1229"/>
      <c r="W212" s="1231" t="str">
        <f t="shared" si="52"/>
        <v>CIF</v>
      </c>
      <c r="X212" s="1230">
        <f t="shared" si="63"/>
        <v>0</v>
      </c>
      <c r="Y212" s="2625">
        <f t="shared" si="60"/>
        <v>0</v>
      </c>
      <c r="Z212" s="3208">
        <f t="shared" si="58"/>
        <v>838.18181818181813</v>
      </c>
      <c r="AA212" s="1220" t="s">
        <v>1350</v>
      </c>
      <c r="AB212" s="1220" t="s">
        <v>1394</v>
      </c>
      <c r="AC212" s="251" t="str">
        <f t="shared" si="59"/>
        <v>250gsm WBB HANSOL</v>
      </c>
      <c r="AD212" s="2746">
        <f>IF(L212&gt;0,IF(input!$B$2=$O$1,(((M212)+(M212)*$M$10)*$P$11)/1000,(((M212)+(M212)*O212+(M212)*$M$10)*$P$11)/1000),0)</f>
        <v>726.06239999999991</v>
      </c>
      <c r="AE212" s="2746">
        <f>IF(L212&gt;0,IF(input!$B$2=$O$1,(((N212)+(N212)*$M$10)*$P$11)/1000,(((N212)+(N212)*O212+(N212)*$M$10)*$P$11)/1000),0)</f>
        <v>484.04159999999996</v>
      </c>
      <c r="AF212" s="136" t="str">
        <f t="shared" si="61"/>
        <v>FSC</v>
      </c>
      <c r="AG212" s="2628">
        <f t="shared" si="62"/>
        <v>1.6E-2</v>
      </c>
      <c r="AH212" s="1266">
        <v>0.1</v>
      </c>
    </row>
    <row r="213" spans="1:34" ht="12.75">
      <c r="A213" s="2199">
        <f t="shared" si="48"/>
        <v>201</v>
      </c>
      <c r="B213" s="2200" t="s">
        <v>847</v>
      </c>
      <c r="C213" s="2743">
        <v>0</v>
      </c>
      <c r="D213" s="3097">
        <v>630</v>
      </c>
      <c r="E213" s="2949">
        <v>0</v>
      </c>
      <c r="F213" s="2200">
        <v>20</v>
      </c>
      <c r="G213" s="2200" t="s">
        <v>2038</v>
      </c>
      <c r="H213" s="2200" t="s">
        <v>1057</v>
      </c>
      <c r="I213" s="2742">
        <v>30</v>
      </c>
      <c r="J213" s="2742"/>
      <c r="K213" s="2752">
        <v>60</v>
      </c>
      <c r="L213" s="2745">
        <f t="shared" si="49"/>
        <v>630</v>
      </c>
      <c r="M213" s="2745">
        <f t="shared" si="53"/>
        <v>30</v>
      </c>
      <c r="N213" s="2745">
        <f t="shared" si="54"/>
        <v>20</v>
      </c>
      <c r="O213" s="1232">
        <f t="shared" si="55"/>
        <v>0</v>
      </c>
      <c r="P213" s="1227" t="str">
        <f t="shared" si="56"/>
        <v>260gsm WBB HANSOL</v>
      </c>
      <c r="Q213" s="254">
        <v>0.32500000000000001</v>
      </c>
      <c r="R213" s="1228" t="str">
        <f t="shared" si="57"/>
        <v>260</v>
      </c>
      <c r="S213" s="2625">
        <f t="shared" si="50"/>
        <v>0</v>
      </c>
      <c r="T213" s="2747">
        <f>IF(L213&gt;0,IF(input!$B$2=$O$1,(((L213+Y213/22)+(L213+Y213/22)*$AG213+$X213)*$P$11+$M$7)/1000,(((L213+Y213/22)+(L213+Y213/22)*O213+(L213+Y213/22)*$AG213+$X213)*$P$11+$M$7)/1000),0)</f>
        <v>15968.320800000001</v>
      </c>
      <c r="U213" s="2747">
        <f t="shared" si="51"/>
        <v>0</v>
      </c>
      <c r="V213" s="1229"/>
      <c r="W213" s="1231" t="str">
        <f t="shared" si="52"/>
        <v>CIF</v>
      </c>
      <c r="X213" s="1230">
        <f t="shared" si="63"/>
        <v>0</v>
      </c>
      <c r="Y213" s="2625">
        <f t="shared" si="60"/>
        <v>0</v>
      </c>
      <c r="Z213" s="3208">
        <f t="shared" si="58"/>
        <v>838.18181818181813</v>
      </c>
      <c r="AA213" s="1220" t="s">
        <v>1350</v>
      </c>
      <c r="AB213" s="1220" t="s">
        <v>1394</v>
      </c>
      <c r="AC213" s="251" t="str">
        <f t="shared" si="59"/>
        <v>260gsm WBB HANSOL</v>
      </c>
      <c r="AD213" s="2746">
        <f>IF(L213&gt;0,IF(input!$B$2=$O$1,(((M213)+(M213)*$M$10)*$P$11)/1000,(((M213)+(M213)*O213+(M213)*$M$10)*$P$11)/1000),0)</f>
        <v>726.06239999999991</v>
      </c>
      <c r="AE213" s="2746">
        <f>IF(L213&gt;0,IF(input!$B$2=$O$1,(((N213)+(N213)*$M$10)*$P$11)/1000,(((N213)+(N213)*O213+(N213)*$M$10)*$P$11)/1000),0)</f>
        <v>484.04159999999996</v>
      </c>
      <c r="AF213" s="136" t="str">
        <f t="shared" si="61"/>
        <v>FSC</v>
      </c>
      <c r="AG213" s="2628">
        <f t="shared" si="62"/>
        <v>1.6E-2</v>
      </c>
      <c r="AH213" s="1266">
        <v>0.1</v>
      </c>
    </row>
    <row r="214" spans="1:34" ht="12.75">
      <c r="A214" s="2199">
        <f t="shared" si="48"/>
        <v>202</v>
      </c>
      <c r="B214" s="2200" t="s">
        <v>848</v>
      </c>
      <c r="C214" s="2743">
        <v>0</v>
      </c>
      <c r="D214" s="3097">
        <v>610</v>
      </c>
      <c r="E214" s="2949">
        <v>0</v>
      </c>
      <c r="F214" s="2200">
        <v>20</v>
      </c>
      <c r="G214" s="2200" t="s">
        <v>2038</v>
      </c>
      <c r="H214" s="2200" t="s">
        <v>1057</v>
      </c>
      <c r="I214" s="2742">
        <v>30</v>
      </c>
      <c r="J214" s="2742"/>
      <c r="K214" s="2752">
        <v>60</v>
      </c>
      <c r="L214" s="2745">
        <f t="shared" si="49"/>
        <v>610</v>
      </c>
      <c r="M214" s="2745">
        <f t="shared" si="53"/>
        <v>30</v>
      </c>
      <c r="N214" s="2745">
        <f t="shared" si="54"/>
        <v>20</v>
      </c>
      <c r="O214" s="1232">
        <f t="shared" si="55"/>
        <v>0</v>
      </c>
      <c r="P214" s="1227" t="str">
        <f t="shared" si="56"/>
        <v>280gsm WBB HANSOL</v>
      </c>
      <c r="Q214" s="254">
        <v>0.35</v>
      </c>
      <c r="R214" s="1228" t="str">
        <f t="shared" si="57"/>
        <v>280</v>
      </c>
      <c r="S214" s="2625">
        <f t="shared" si="50"/>
        <v>0</v>
      </c>
      <c r="T214" s="2747">
        <f>IF(L214&gt;0,IF(input!$B$2=$O$1,(((L214+Y214/22)+(L214+Y214/22)*$AG214+$X214)*$P$11+$M$7)/1000,(((L214+Y214/22)+(L214+Y214/22)*O214+(L214+Y214/22)*$AG214+$X214)*$P$11+$M$7)/1000),0)</f>
        <v>15480.437599999999</v>
      </c>
      <c r="U214" s="2747">
        <f t="shared" si="51"/>
        <v>0</v>
      </c>
      <c r="V214" s="1229"/>
      <c r="W214" s="1231" t="str">
        <f t="shared" si="52"/>
        <v>CIF</v>
      </c>
      <c r="X214" s="1230">
        <f t="shared" si="63"/>
        <v>0</v>
      </c>
      <c r="Y214" s="2625">
        <f t="shared" si="60"/>
        <v>0</v>
      </c>
      <c r="Z214" s="3208">
        <f t="shared" si="58"/>
        <v>838.18181818181813</v>
      </c>
      <c r="AA214" s="1220" t="s">
        <v>1350</v>
      </c>
      <c r="AB214" s="1220" t="s">
        <v>1394</v>
      </c>
      <c r="AC214" s="251" t="str">
        <f t="shared" si="59"/>
        <v>280gsm WBB HANSOL</v>
      </c>
      <c r="AD214" s="2746">
        <f>IF(L214&gt;0,IF(input!$B$2=$O$1,(((M214)+(M214)*$M$10)*$P$11)/1000,(((M214)+(M214)*O214+(M214)*$M$10)*$P$11)/1000),0)</f>
        <v>726.06239999999991</v>
      </c>
      <c r="AE214" s="2746">
        <f>IF(L214&gt;0,IF(input!$B$2=$O$1,(((N214)+(N214)*$M$10)*$P$11)/1000,(((N214)+(N214)*O214+(N214)*$M$10)*$P$11)/1000),0)</f>
        <v>484.04159999999996</v>
      </c>
      <c r="AF214" s="136" t="str">
        <f t="shared" si="61"/>
        <v>FSC</v>
      </c>
      <c r="AG214" s="2628">
        <f t="shared" si="62"/>
        <v>1.6E-2</v>
      </c>
      <c r="AH214" s="1266">
        <v>0.1</v>
      </c>
    </row>
    <row r="215" spans="1:34" ht="12.75">
      <c r="A215" s="2199">
        <f t="shared" si="48"/>
        <v>203</v>
      </c>
      <c r="B215" s="2200" t="s">
        <v>849</v>
      </c>
      <c r="C215" s="2743">
        <v>18500</v>
      </c>
      <c r="D215" s="3097">
        <v>595</v>
      </c>
      <c r="E215" s="2949">
        <v>0</v>
      </c>
      <c r="F215" s="2200">
        <v>20</v>
      </c>
      <c r="G215" s="2200" t="s">
        <v>2038</v>
      </c>
      <c r="H215" s="2200" t="s">
        <v>1057</v>
      </c>
      <c r="I215" s="2742">
        <v>30</v>
      </c>
      <c r="J215" s="2742"/>
      <c r="K215" s="2752">
        <v>60</v>
      </c>
      <c r="L215" s="2745">
        <f t="shared" si="49"/>
        <v>595</v>
      </c>
      <c r="M215" s="2745">
        <f t="shared" si="53"/>
        <v>30</v>
      </c>
      <c r="N215" s="2745">
        <f t="shared" si="54"/>
        <v>20</v>
      </c>
      <c r="O215" s="1232">
        <f t="shared" si="55"/>
        <v>0</v>
      </c>
      <c r="P215" s="1227" t="str">
        <f t="shared" si="56"/>
        <v>300gsm WBB HANSOL</v>
      </c>
      <c r="Q215" s="254">
        <v>0.38</v>
      </c>
      <c r="R215" s="1228" t="str">
        <f t="shared" si="57"/>
        <v>300</v>
      </c>
      <c r="S215" s="2625">
        <f t="shared" si="50"/>
        <v>18500</v>
      </c>
      <c r="T215" s="2747">
        <f>IF(L215&gt;0,IF(input!$B$2=$O$1,(((L215+Y215/22)+(L215+Y215/22)*$AG215+$X215)*$P$11+$M$7)/1000,(((L215+Y215/22)+(L215+Y215/22)*O215+(L215+Y215/22)*$AG215+$X215)*$P$11+$M$7)/1000),0)</f>
        <v>15114.5252</v>
      </c>
      <c r="U215" s="2747">
        <f t="shared" si="51"/>
        <v>17967.811447811448</v>
      </c>
      <c r="V215" s="1229"/>
      <c r="W215" s="1231" t="str">
        <f t="shared" si="52"/>
        <v>CIF</v>
      </c>
      <c r="X215" s="1230">
        <f t="shared" si="63"/>
        <v>0</v>
      </c>
      <c r="Y215" s="2625">
        <f t="shared" si="60"/>
        <v>0</v>
      </c>
      <c r="Z215" s="3208">
        <f t="shared" si="58"/>
        <v>838.18181818181813</v>
      </c>
      <c r="AA215" s="1220" t="s">
        <v>1350</v>
      </c>
      <c r="AB215" s="1220" t="s">
        <v>1394</v>
      </c>
      <c r="AC215" s="251" t="str">
        <f t="shared" si="59"/>
        <v>300gsm WBB HANSOL</v>
      </c>
      <c r="AD215" s="2746">
        <f>IF(L215&gt;0,IF(input!$B$2=$O$1,(((M215)+(M215)*$M$10)*$P$11)/1000,(((M215)+(M215)*O215+(M215)*$M$10)*$P$11)/1000),0)</f>
        <v>726.06239999999991</v>
      </c>
      <c r="AE215" s="2746">
        <f>IF(L215&gt;0,IF(input!$B$2=$O$1,(((N215)+(N215)*$M$10)*$P$11)/1000,(((N215)+(N215)*O215+(N215)*$M$10)*$P$11)/1000),0)</f>
        <v>484.04159999999996</v>
      </c>
      <c r="AF215" s="136" t="str">
        <f t="shared" si="61"/>
        <v>FSC</v>
      </c>
      <c r="AG215" s="2628">
        <f t="shared" si="62"/>
        <v>1.6E-2</v>
      </c>
      <c r="AH215" s="1266">
        <v>0.1</v>
      </c>
    </row>
    <row r="216" spans="1:34" ht="12.75">
      <c r="A216" s="2199">
        <f t="shared" si="48"/>
        <v>204</v>
      </c>
      <c r="B216" s="2200" t="s">
        <v>850</v>
      </c>
      <c r="C216" s="2743">
        <v>0</v>
      </c>
      <c r="D216" s="3097">
        <v>0</v>
      </c>
      <c r="E216" s="2949">
        <v>0</v>
      </c>
      <c r="F216" s="2200">
        <v>20</v>
      </c>
      <c r="G216" s="2200" t="s">
        <v>2038</v>
      </c>
      <c r="H216" s="2200" t="s">
        <v>1057</v>
      </c>
      <c r="I216" s="2742">
        <v>30</v>
      </c>
      <c r="J216" s="2742"/>
      <c r="K216" s="2752">
        <v>60</v>
      </c>
      <c r="L216" s="2745">
        <f t="shared" si="49"/>
        <v>0</v>
      </c>
      <c r="M216" s="2745">
        <f t="shared" si="53"/>
        <v>30</v>
      </c>
      <c r="N216" s="2745">
        <f t="shared" si="54"/>
        <v>20</v>
      </c>
      <c r="O216" s="1232">
        <f t="shared" si="55"/>
        <v>0</v>
      </c>
      <c r="P216" s="1227" t="str">
        <f t="shared" si="56"/>
        <v>310gsm WBB HANSOL</v>
      </c>
      <c r="Q216" s="254">
        <v>0.4</v>
      </c>
      <c r="R216" s="1228" t="str">
        <f t="shared" si="57"/>
        <v>310</v>
      </c>
      <c r="S216" s="2625">
        <f t="shared" si="50"/>
        <v>0</v>
      </c>
      <c r="T216" s="2747">
        <f>IF(L216&gt;0,IF(input!$B$2=$O$1,(((L216+Y216/22)+(L216+Y216/22)*$AG216+$X216)*$P$11+$M$7)/1000,(((L216+Y216/22)+(L216+Y216/22)*O216+(L216+Y216/22)*$AG216+$X216)*$P$11+$M$7)/1000),0)</f>
        <v>0</v>
      </c>
      <c r="U216" s="2747">
        <f t="shared" si="51"/>
        <v>0</v>
      </c>
      <c r="V216" s="1229"/>
      <c r="W216" s="1231" t="str">
        <f t="shared" si="52"/>
        <v>CIF</v>
      </c>
      <c r="X216" s="1230">
        <f t="shared" si="63"/>
        <v>0</v>
      </c>
      <c r="Y216" s="2625">
        <f t="shared" si="60"/>
        <v>0</v>
      </c>
      <c r="Z216" s="3208">
        <f t="shared" si="58"/>
        <v>838.18181818181813</v>
      </c>
      <c r="AA216" s="1220" t="s">
        <v>1350</v>
      </c>
      <c r="AB216" s="1220" t="s">
        <v>1394</v>
      </c>
      <c r="AC216" s="251" t="str">
        <f t="shared" si="59"/>
        <v>310gsm WBB HANSOL</v>
      </c>
      <c r="AD216" s="2746">
        <f>IF(L216&gt;0,IF(input!$B$2=$O$1,(((M216)+(M216)*$M$10)*$P$11)/1000,(((M216)+(M216)*O216+(M216)*$M$10)*$P$11)/1000),0)</f>
        <v>0</v>
      </c>
      <c r="AE216" s="2746">
        <f>IF(L216&gt;0,IF(input!$B$2=$O$1,(((N216)+(N216)*$M$10)*$P$11)/1000,(((N216)+(N216)*O216+(N216)*$M$10)*$P$11)/1000),0)</f>
        <v>0</v>
      </c>
      <c r="AF216" s="136" t="str">
        <f t="shared" si="61"/>
        <v>FSC</v>
      </c>
      <c r="AG216" s="2628">
        <f t="shared" si="62"/>
        <v>1.6E-2</v>
      </c>
      <c r="AH216" s="1266">
        <v>0.1</v>
      </c>
    </row>
    <row r="217" spans="1:34" ht="12.75">
      <c r="A217" s="2199">
        <f t="shared" si="48"/>
        <v>205</v>
      </c>
      <c r="B217" s="2200" t="s">
        <v>851</v>
      </c>
      <c r="C217" s="2743">
        <v>18000</v>
      </c>
      <c r="D217" s="3097">
        <v>580</v>
      </c>
      <c r="E217" s="2949">
        <v>0</v>
      </c>
      <c r="F217" s="2200">
        <v>20</v>
      </c>
      <c r="G217" s="2200" t="s">
        <v>2038</v>
      </c>
      <c r="H217" s="2200" t="s">
        <v>1057</v>
      </c>
      <c r="I217" s="2742">
        <v>30</v>
      </c>
      <c r="J217" s="2742"/>
      <c r="K217" s="2752">
        <v>60</v>
      </c>
      <c r="L217" s="2745">
        <f t="shared" si="49"/>
        <v>580</v>
      </c>
      <c r="M217" s="2745">
        <f t="shared" si="53"/>
        <v>30</v>
      </c>
      <c r="N217" s="2745">
        <f t="shared" si="54"/>
        <v>20</v>
      </c>
      <c r="O217" s="1232">
        <f t="shared" si="55"/>
        <v>0</v>
      </c>
      <c r="P217" s="1227" t="str">
        <f t="shared" si="56"/>
        <v>350gsm WBB HANSOL</v>
      </c>
      <c r="Q217" s="254">
        <v>0.45</v>
      </c>
      <c r="R217" s="1228" t="str">
        <f t="shared" si="57"/>
        <v>350</v>
      </c>
      <c r="S217" s="2625">
        <f t="shared" si="50"/>
        <v>18000</v>
      </c>
      <c r="T217" s="2747">
        <f>IF(L217&gt;0,IF(input!$B$2=$O$1,(((L217+Y217/22)+(L217+Y217/22)*$AG217+$X217)*$P$11+$M$7)/1000,(((L217+Y217/22)+(L217+Y217/22)*O217+(L217+Y217/22)*$AG217+$X217)*$P$11+$M$7)/1000),0)</f>
        <v>14748.612799999999</v>
      </c>
      <c r="U217" s="2747">
        <f t="shared" si="51"/>
        <v>17504.848484848484</v>
      </c>
      <c r="V217" s="1229"/>
      <c r="W217" s="1231" t="str">
        <f t="shared" si="52"/>
        <v>CIF</v>
      </c>
      <c r="X217" s="1230">
        <f t="shared" si="63"/>
        <v>0</v>
      </c>
      <c r="Y217" s="2625">
        <f t="shared" si="60"/>
        <v>0</v>
      </c>
      <c r="Z217" s="3208">
        <f t="shared" si="58"/>
        <v>838.18181818181813</v>
      </c>
      <c r="AA217" s="1220" t="s">
        <v>1350</v>
      </c>
      <c r="AB217" s="1220" t="s">
        <v>1394</v>
      </c>
      <c r="AC217" s="251" t="str">
        <f t="shared" si="59"/>
        <v>350gsm WBB HANSOL</v>
      </c>
      <c r="AD217" s="2746">
        <f>IF(L217&gt;0,IF(input!$B$2=$O$1,(((M217)+(M217)*$M$10)*$P$11)/1000,(((M217)+(M217)*O217+(M217)*$M$10)*$P$11)/1000),0)</f>
        <v>726.06239999999991</v>
      </c>
      <c r="AE217" s="2746">
        <f>IF(L217&gt;0,IF(input!$B$2=$O$1,(((N217)+(N217)*$M$10)*$P$11)/1000,(((N217)+(N217)*O217+(N217)*$M$10)*$P$11)/1000),0)</f>
        <v>484.04159999999996</v>
      </c>
      <c r="AF217" s="136" t="str">
        <f t="shared" si="61"/>
        <v>FSC</v>
      </c>
      <c r="AG217" s="2628">
        <f t="shared" si="62"/>
        <v>1.6E-2</v>
      </c>
      <c r="AH217" s="1266">
        <v>0.1</v>
      </c>
    </row>
    <row r="218" spans="1:34" ht="12.75">
      <c r="A218" s="2199">
        <f t="shared" si="48"/>
        <v>206</v>
      </c>
      <c r="B218" s="2200" t="s">
        <v>852</v>
      </c>
      <c r="C218" s="2743">
        <v>18000</v>
      </c>
      <c r="D218" s="3097">
        <v>580</v>
      </c>
      <c r="E218" s="2949">
        <v>0</v>
      </c>
      <c r="F218" s="2200">
        <v>20</v>
      </c>
      <c r="G218" s="2200" t="s">
        <v>2038</v>
      </c>
      <c r="H218" s="2200" t="s">
        <v>1057</v>
      </c>
      <c r="I218" s="2742">
        <v>30</v>
      </c>
      <c r="J218" s="2742"/>
      <c r="K218" s="2752">
        <v>60</v>
      </c>
      <c r="L218" s="2745">
        <f t="shared" si="49"/>
        <v>580</v>
      </c>
      <c r="M218" s="2745">
        <f t="shared" si="53"/>
        <v>30</v>
      </c>
      <c r="N218" s="2745">
        <f t="shared" si="54"/>
        <v>20</v>
      </c>
      <c r="O218" s="1232">
        <f t="shared" si="55"/>
        <v>0</v>
      </c>
      <c r="P218" s="1227" t="str">
        <f t="shared" si="56"/>
        <v>400gsm WBB HANSOL</v>
      </c>
      <c r="Q218" s="254">
        <v>0.51</v>
      </c>
      <c r="R218" s="1228" t="str">
        <f t="shared" si="57"/>
        <v>400</v>
      </c>
      <c r="S218" s="2625">
        <f t="shared" si="50"/>
        <v>18000</v>
      </c>
      <c r="T218" s="2747">
        <f>IF(L218&gt;0,IF(input!$B$2=$O$1,(((L218+Y218/22)+(L218+Y218/22)*$AG218+$X218)*$P$11+$M$7)/1000,(((L218+Y218/22)+(L218+Y218/22)*O218+(L218+Y218/22)*$AG218+$X218)*$P$11+$M$7)/1000),0)</f>
        <v>14748.612799999999</v>
      </c>
      <c r="U218" s="2747">
        <f t="shared" si="51"/>
        <v>17504.848484848484</v>
      </c>
      <c r="V218" s="1229"/>
      <c r="W218" s="1231" t="str">
        <f t="shared" si="52"/>
        <v>CIF</v>
      </c>
      <c r="X218" s="1230">
        <f t="shared" si="63"/>
        <v>0</v>
      </c>
      <c r="Y218" s="2625">
        <f t="shared" si="60"/>
        <v>0</v>
      </c>
      <c r="Z218" s="3208">
        <f t="shared" si="58"/>
        <v>838.18181818181813</v>
      </c>
      <c r="AA218" s="1220" t="s">
        <v>1350</v>
      </c>
      <c r="AB218" s="1220" t="s">
        <v>1394</v>
      </c>
      <c r="AC218" s="251" t="str">
        <f t="shared" si="59"/>
        <v>400gsm WBB HANSOL</v>
      </c>
      <c r="AD218" s="2746">
        <f>IF(L218&gt;0,IF(input!$B$2=$O$1,(((M218)+(M218)*$M$10)*$P$11)/1000,(((M218)+(M218)*O218+(M218)*$M$10)*$P$11)/1000),0)</f>
        <v>726.06239999999991</v>
      </c>
      <c r="AE218" s="2746">
        <f>IF(L218&gt;0,IF(input!$B$2=$O$1,(((N218)+(N218)*$M$10)*$P$11)/1000,(((N218)+(N218)*O218+(N218)*$M$10)*$P$11)/1000),0)</f>
        <v>484.04159999999996</v>
      </c>
      <c r="AF218" s="136" t="str">
        <f t="shared" si="61"/>
        <v>FSC</v>
      </c>
      <c r="AG218" s="2628">
        <f t="shared" si="62"/>
        <v>1.6E-2</v>
      </c>
      <c r="AH218" s="1266">
        <v>0.1</v>
      </c>
    </row>
    <row r="219" spans="1:34" ht="12.75">
      <c r="A219" s="2199">
        <f t="shared" si="48"/>
        <v>207</v>
      </c>
      <c r="B219" s="2200" t="s">
        <v>853</v>
      </c>
      <c r="C219" s="2743">
        <v>18000</v>
      </c>
      <c r="D219" s="3097">
        <v>580</v>
      </c>
      <c r="E219" s="2949">
        <v>0</v>
      </c>
      <c r="F219" s="2200">
        <v>20</v>
      </c>
      <c r="G219" s="2200" t="s">
        <v>2038</v>
      </c>
      <c r="H219" s="2200" t="s">
        <v>1057</v>
      </c>
      <c r="I219" s="2742">
        <v>30</v>
      </c>
      <c r="J219" s="2742"/>
      <c r="K219" s="2752">
        <v>60</v>
      </c>
      <c r="L219" s="2745">
        <f t="shared" si="49"/>
        <v>580</v>
      </c>
      <c r="M219" s="2745">
        <f t="shared" si="53"/>
        <v>30</v>
      </c>
      <c r="N219" s="2745">
        <f t="shared" si="54"/>
        <v>20</v>
      </c>
      <c r="O219" s="1232">
        <f t="shared" si="55"/>
        <v>0</v>
      </c>
      <c r="P219" s="1227" t="str">
        <f t="shared" si="56"/>
        <v>450gsm WBB HANSOL</v>
      </c>
      <c r="Q219" s="254">
        <v>0.57999999999999996</v>
      </c>
      <c r="R219" s="1228" t="str">
        <f t="shared" si="57"/>
        <v>450</v>
      </c>
      <c r="S219" s="2625">
        <f t="shared" si="50"/>
        <v>18000</v>
      </c>
      <c r="T219" s="2747">
        <f>IF(L219&gt;0,IF(input!$B$2=$O$1,(((L219+Y219/22)+(L219+Y219/22)*$AG219+$X219)*$P$11+$M$7)/1000,(((L219+Y219/22)+(L219+Y219/22)*O219+(L219+Y219/22)*$AG219+$X219)*$P$11+$M$7)/1000),0)</f>
        <v>14748.612799999999</v>
      </c>
      <c r="U219" s="2747">
        <f t="shared" si="51"/>
        <v>17504.848484848484</v>
      </c>
      <c r="V219" s="1229"/>
      <c r="W219" s="1231" t="str">
        <f t="shared" si="52"/>
        <v>CIF</v>
      </c>
      <c r="X219" s="1230">
        <f t="shared" si="63"/>
        <v>0</v>
      </c>
      <c r="Y219" s="2625">
        <f t="shared" si="60"/>
        <v>0</v>
      </c>
      <c r="Z219" s="3208">
        <f t="shared" si="58"/>
        <v>838.18181818181813</v>
      </c>
      <c r="AA219" s="1220" t="s">
        <v>1350</v>
      </c>
      <c r="AB219" s="1220" t="s">
        <v>1394</v>
      </c>
      <c r="AC219" s="251" t="str">
        <f t="shared" si="59"/>
        <v>450gsm WBB HANSOL</v>
      </c>
      <c r="AD219" s="2746">
        <f>IF(L219&gt;0,IF(input!$B$2=$O$1,(((M219)+(M219)*$M$10)*$P$11)/1000,(((M219)+(M219)*O219+(M219)*$M$10)*$P$11)/1000),0)</f>
        <v>726.06239999999991</v>
      </c>
      <c r="AE219" s="2746">
        <f>IF(L219&gt;0,IF(input!$B$2=$O$1,(((N219)+(N219)*$M$10)*$P$11)/1000,(((N219)+(N219)*O219+(N219)*$M$10)*$P$11)/1000),0)</f>
        <v>484.04159999999996</v>
      </c>
      <c r="AF219" s="136" t="str">
        <f t="shared" si="61"/>
        <v>FSC</v>
      </c>
      <c r="AG219" s="2628">
        <f t="shared" si="62"/>
        <v>1.6E-2</v>
      </c>
      <c r="AH219" s="1266">
        <v>0.1</v>
      </c>
    </row>
    <row r="220" spans="1:34" ht="12.75">
      <c r="A220" s="2199">
        <f t="shared" si="48"/>
        <v>208</v>
      </c>
      <c r="B220" s="2200" t="s">
        <v>854</v>
      </c>
      <c r="C220" s="2743">
        <v>0</v>
      </c>
      <c r="D220" s="2743">
        <v>0</v>
      </c>
      <c r="E220" s="2949">
        <v>0</v>
      </c>
      <c r="F220" s="2200">
        <v>20</v>
      </c>
      <c r="G220" s="2200" t="s">
        <v>2038</v>
      </c>
      <c r="H220" s="2200" t="s">
        <v>1057</v>
      </c>
      <c r="I220" s="2742">
        <v>30</v>
      </c>
      <c r="J220" s="2742"/>
      <c r="K220" s="2752">
        <v>60</v>
      </c>
      <c r="L220" s="2745">
        <f t="shared" si="49"/>
        <v>0</v>
      </c>
      <c r="M220" s="2745">
        <f t="shared" si="53"/>
        <v>30</v>
      </c>
      <c r="N220" s="2745">
        <f t="shared" si="54"/>
        <v>20</v>
      </c>
      <c r="O220" s="1232">
        <f t="shared" si="55"/>
        <v>0</v>
      </c>
      <c r="P220" s="1227" t="str">
        <f t="shared" si="56"/>
        <v>500gsm WBB HANSOL</v>
      </c>
      <c r="Q220" s="254">
        <v>0.66</v>
      </c>
      <c r="R220" s="1228" t="str">
        <f t="shared" si="57"/>
        <v>500</v>
      </c>
      <c r="S220" s="2625">
        <f t="shared" si="50"/>
        <v>0</v>
      </c>
      <c r="T220" s="2747">
        <f>IF(L220&gt;0,IF(input!$B$2=$O$1,(((L220+Y220/22)+(L220+Y220/22)*$AG220+$X220)*$P$11+$M$7)/1000,(((L220+Y220/22)+(L220+Y220/22)*O220+(L220+Y220/22)*$AG220+$X220)*$P$11+$M$7)/1000),0)</f>
        <v>0</v>
      </c>
      <c r="U220" s="2747">
        <f t="shared" si="51"/>
        <v>0</v>
      </c>
      <c r="V220" s="1229"/>
      <c r="W220" s="1231" t="str">
        <f t="shared" si="52"/>
        <v>CIF</v>
      </c>
      <c r="X220" s="1230">
        <f t="shared" si="63"/>
        <v>0</v>
      </c>
      <c r="Y220" s="2625">
        <f t="shared" si="60"/>
        <v>0</v>
      </c>
      <c r="Z220" s="3208">
        <f t="shared" si="58"/>
        <v>838.18181818181813</v>
      </c>
      <c r="AA220" s="1220" t="s">
        <v>1350</v>
      </c>
      <c r="AB220" s="1220" t="s">
        <v>1394</v>
      </c>
      <c r="AC220" s="251" t="str">
        <f t="shared" si="59"/>
        <v>500gsm WBB HANSOL</v>
      </c>
      <c r="AD220" s="2746">
        <f>IF(L220&gt;0,IF(input!$B$2=$O$1,(((M220)+(M220)*$M$10)*$P$11)/1000,(((M220)+(M220)*O220+(M220)*$M$10)*$P$11)/1000),0)</f>
        <v>0</v>
      </c>
      <c r="AE220" s="2746">
        <f>IF(L220&gt;0,IF(input!$B$2=$O$1,(((N220)+(N220)*$M$10)*$P$11)/1000,(((N220)+(N220)*O220+(N220)*$M$10)*$P$11)/1000),0)</f>
        <v>0</v>
      </c>
      <c r="AF220" s="136" t="str">
        <f t="shared" si="61"/>
        <v>FSC</v>
      </c>
      <c r="AG220" s="2628">
        <f t="shared" si="62"/>
        <v>1.6E-2</v>
      </c>
      <c r="AH220" s="1266">
        <v>0.1</v>
      </c>
    </row>
    <row r="221" spans="1:34" ht="12.75">
      <c r="A221" s="2199">
        <f t="shared" si="48"/>
        <v>209</v>
      </c>
      <c r="B221" s="2200" t="s">
        <v>998</v>
      </c>
      <c r="C221" s="2743">
        <v>0</v>
      </c>
      <c r="D221" s="2743">
        <v>0</v>
      </c>
      <c r="E221" s="2949">
        <v>0</v>
      </c>
      <c r="F221" s="2200">
        <v>0</v>
      </c>
      <c r="G221" s="2200" t="s">
        <v>2038</v>
      </c>
      <c r="H221" s="2200" t="s">
        <v>1057</v>
      </c>
      <c r="I221" s="2742">
        <v>20</v>
      </c>
      <c r="J221" s="2742"/>
      <c r="K221" s="2752">
        <v>45</v>
      </c>
      <c r="L221" s="2745">
        <f t="shared" si="49"/>
        <v>0</v>
      </c>
      <c r="M221" s="2745">
        <f t="shared" si="53"/>
        <v>20</v>
      </c>
      <c r="N221" s="2745">
        <f t="shared" si="54"/>
        <v>0</v>
      </c>
      <c r="O221" s="1232">
        <f t="shared" si="55"/>
        <v>0</v>
      </c>
      <c r="P221" s="1227" t="str">
        <f t="shared" si="56"/>
        <v>200gsm WBB DEA HAN</v>
      </c>
      <c r="Q221" s="254">
        <v>0.23</v>
      </c>
      <c r="R221" s="1228" t="str">
        <f t="shared" si="57"/>
        <v>200</v>
      </c>
      <c r="S221" s="2625">
        <f t="shared" si="50"/>
        <v>0</v>
      </c>
      <c r="T221" s="2747">
        <f>IF(L221&gt;0,IF(input!$B$2=$O$1,(((L221+Y221/22)+(L221+Y221/22)*$AG221+$X221)*$P$11+$M$7)/1000,(((L221+Y221/22)+(L221+Y221/22)*O221+(L221+Y221/22)*$AG221+$X221)*$P$11+$M$7)/1000),0)</f>
        <v>0</v>
      </c>
      <c r="U221" s="2747">
        <f t="shared" si="51"/>
        <v>0</v>
      </c>
      <c r="V221" s="1229"/>
      <c r="W221" s="1231" t="str">
        <f t="shared" si="52"/>
        <v>CIF</v>
      </c>
      <c r="X221" s="1230">
        <f t="shared" si="63"/>
        <v>0</v>
      </c>
      <c r="Y221" s="2625">
        <f t="shared" si="60"/>
        <v>0</v>
      </c>
      <c r="Z221" s="3208">
        <f t="shared" si="58"/>
        <v>838.18181818181813</v>
      </c>
      <c r="AA221" s="1220" t="s">
        <v>1351</v>
      </c>
      <c r="AB221" s="1220" t="s">
        <v>1394</v>
      </c>
      <c r="AC221" s="251" t="str">
        <f t="shared" si="59"/>
        <v>200gsm WBB DEA HAN</v>
      </c>
      <c r="AD221" s="2746">
        <f>IF(L221&gt;0,IF(input!$B$2=$O$1,(((M221)+(M221)*$M$10)*$P$11)/1000,(((M221)+(M221)*O221+(M221)*$M$10)*$P$11)/1000),0)</f>
        <v>0</v>
      </c>
      <c r="AE221" s="2746">
        <f>IF(L221&gt;0,IF(input!$B$2=$O$1,(((N221)+(N221)*$M$10)*$P$11)/1000,(((N221)+(N221)*O221+(N221)*$M$10)*$P$11)/1000),0)</f>
        <v>0</v>
      </c>
      <c r="AF221" s="136" t="str">
        <f t="shared" si="61"/>
        <v>FSC</v>
      </c>
      <c r="AG221" s="2628">
        <f t="shared" si="62"/>
        <v>1.2E-2</v>
      </c>
      <c r="AH221" s="1266">
        <v>0.1</v>
      </c>
    </row>
    <row r="222" spans="1:34" ht="12.75">
      <c r="A222" s="2199">
        <f t="shared" si="48"/>
        <v>210</v>
      </c>
      <c r="B222" s="2200" t="s">
        <v>999</v>
      </c>
      <c r="C222" s="2743">
        <v>0</v>
      </c>
      <c r="D222" s="2743">
        <v>0</v>
      </c>
      <c r="E222" s="2949">
        <v>0</v>
      </c>
      <c r="F222" s="2200">
        <v>0</v>
      </c>
      <c r="G222" s="2200" t="s">
        <v>2038</v>
      </c>
      <c r="H222" s="2200" t="s">
        <v>1057</v>
      </c>
      <c r="I222" s="2742">
        <v>20</v>
      </c>
      <c r="J222" s="2742"/>
      <c r="K222" s="2752">
        <v>45</v>
      </c>
      <c r="L222" s="2745">
        <f t="shared" si="49"/>
        <v>0</v>
      </c>
      <c r="M222" s="2745">
        <f t="shared" si="53"/>
        <v>20</v>
      </c>
      <c r="N222" s="2745">
        <f t="shared" si="54"/>
        <v>0</v>
      </c>
      <c r="O222" s="1232">
        <f t="shared" si="55"/>
        <v>0</v>
      </c>
      <c r="P222" s="1227" t="str">
        <f t="shared" si="56"/>
        <v>220gsm WBB DEA HAN</v>
      </c>
      <c r="Q222" s="254">
        <v>0.25</v>
      </c>
      <c r="R222" s="1228" t="str">
        <f t="shared" si="57"/>
        <v>220</v>
      </c>
      <c r="S222" s="2625">
        <f t="shared" si="50"/>
        <v>0</v>
      </c>
      <c r="T222" s="2747">
        <f>IF(L222&gt;0,IF(input!$B$2=$O$1,(((L222+Y222/22)+(L222+Y222/22)*$AG222+$X222)*$P$11+$M$7)/1000,(((L222+Y222/22)+(L222+Y222/22)*O222+(L222+Y222/22)*$AG222+$X222)*$P$11+$M$7)/1000),0)</f>
        <v>0</v>
      </c>
      <c r="U222" s="2747">
        <f t="shared" si="51"/>
        <v>0</v>
      </c>
      <c r="V222" s="1229"/>
      <c r="W222" s="1231" t="str">
        <f t="shared" si="52"/>
        <v>CIF</v>
      </c>
      <c r="X222" s="1230">
        <f t="shared" si="63"/>
        <v>0</v>
      </c>
      <c r="Y222" s="2625">
        <f t="shared" si="60"/>
        <v>0</v>
      </c>
      <c r="Z222" s="3208">
        <f t="shared" si="58"/>
        <v>838.18181818181813</v>
      </c>
      <c r="AA222" s="1220" t="s">
        <v>1351</v>
      </c>
      <c r="AB222" s="1220" t="s">
        <v>1394</v>
      </c>
      <c r="AC222" s="251" t="str">
        <f t="shared" si="59"/>
        <v>220gsm WBB DEA HAN</v>
      </c>
      <c r="AD222" s="2746">
        <f>IF(L222&gt;0,IF(input!$B$2=$O$1,(((M222)+(M222)*$M$10)*$P$11)/1000,(((M222)+(M222)*O222+(M222)*$M$10)*$P$11)/1000),0)</f>
        <v>0</v>
      </c>
      <c r="AE222" s="2746">
        <f>IF(L222&gt;0,IF(input!$B$2=$O$1,(((N222)+(N222)*$M$10)*$P$11)/1000,(((N222)+(N222)*O222+(N222)*$M$10)*$P$11)/1000),0)</f>
        <v>0</v>
      </c>
      <c r="AF222" s="136" t="str">
        <f t="shared" si="61"/>
        <v>FSC</v>
      </c>
      <c r="AG222" s="2628">
        <f t="shared" si="62"/>
        <v>1.2E-2</v>
      </c>
      <c r="AH222" s="1266">
        <v>0.1</v>
      </c>
    </row>
    <row r="223" spans="1:34" ht="12.75">
      <c r="A223" s="2199">
        <f t="shared" si="48"/>
        <v>211</v>
      </c>
      <c r="B223" s="2200" t="s">
        <v>1000</v>
      </c>
      <c r="C223" s="2743">
        <v>0</v>
      </c>
      <c r="D223" s="2743">
        <v>0</v>
      </c>
      <c r="E223" s="2949">
        <v>0</v>
      </c>
      <c r="F223" s="2200">
        <v>0</v>
      </c>
      <c r="G223" s="2200" t="s">
        <v>2038</v>
      </c>
      <c r="H223" s="2200" t="s">
        <v>1057</v>
      </c>
      <c r="I223" s="2742">
        <v>20</v>
      </c>
      <c r="J223" s="2742"/>
      <c r="K223" s="2752">
        <v>45</v>
      </c>
      <c r="L223" s="2745">
        <f t="shared" si="49"/>
        <v>0</v>
      </c>
      <c r="M223" s="2745">
        <f t="shared" si="53"/>
        <v>20</v>
      </c>
      <c r="N223" s="2745">
        <f t="shared" si="54"/>
        <v>0</v>
      </c>
      <c r="O223" s="1232">
        <f t="shared" si="55"/>
        <v>0</v>
      </c>
      <c r="P223" s="1227" t="str">
        <f t="shared" si="56"/>
        <v>230gsm WBB DEA HAN</v>
      </c>
      <c r="Q223" s="254">
        <v>0.26</v>
      </c>
      <c r="R223" s="1228" t="str">
        <f t="shared" si="57"/>
        <v>230</v>
      </c>
      <c r="S223" s="2625">
        <f t="shared" si="50"/>
        <v>0</v>
      </c>
      <c r="T223" s="2747">
        <f>IF(L223&gt;0,IF(input!$B$2=$O$1,(((L223+Y223/22)+(L223+Y223/22)*$AG223+$X223)*$P$11+$M$7)/1000,(((L223+Y223/22)+(L223+Y223/22)*O223+(L223+Y223/22)*$AG223+$X223)*$P$11+$M$7)/1000),0)</f>
        <v>0</v>
      </c>
      <c r="U223" s="2747">
        <f t="shared" si="51"/>
        <v>0</v>
      </c>
      <c r="V223" s="1229"/>
      <c r="W223" s="1231" t="str">
        <f t="shared" si="52"/>
        <v>CIF</v>
      </c>
      <c r="X223" s="1230">
        <f t="shared" si="63"/>
        <v>0</v>
      </c>
      <c r="Y223" s="2625">
        <f t="shared" si="60"/>
        <v>0</v>
      </c>
      <c r="Z223" s="3208">
        <f t="shared" si="58"/>
        <v>838.18181818181813</v>
      </c>
      <c r="AA223" s="1220" t="s">
        <v>1351</v>
      </c>
      <c r="AB223" s="1220" t="s">
        <v>1394</v>
      </c>
      <c r="AC223" s="251" t="str">
        <f t="shared" si="59"/>
        <v>230gsm WBB DEA HAN</v>
      </c>
      <c r="AD223" s="2746">
        <f>IF(L223&gt;0,IF(input!$B$2=$O$1,(((M223)+(M223)*$M$10)*$P$11)/1000,(((M223)+(M223)*O223+(M223)*$M$10)*$P$11)/1000),0)</f>
        <v>0</v>
      </c>
      <c r="AE223" s="2746">
        <f>IF(L223&gt;0,IF(input!$B$2=$O$1,(((N223)+(N223)*$M$10)*$P$11)/1000,(((N223)+(N223)*O223+(N223)*$M$10)*$P$11)/1000),0)</f>
        <v>0</v>
      </c>
      <c r="AF223" s="136" t="str">
        <f t="shared" si="61"/>
        <v>FSC</v>
      </c>
      <c r="AG223" s="2628">
        <f t="shared" si="62"/>
        <v>1.2E-2</v>
      </c>
      <c r="AH223" s="1266">
        <v>0.1</v>
      </c>
    </row>
    <row r="224" spans="1:34" ht="12.75">
      <c r="A224" s="2199">
        <f t="shared" si="48"/>
        <v>212</v>
      </c>
      <c r="B224" s="2200" t="s">
        <v>1001</v>
      </c>
      <c r="C224" s="2743">
        <v>0</v>
      </c>
      <c r="D224" s="2743">
        <v>0</v>
      </c>
      <c r="E224" s="2949">
        <v>0</v>
      </c>
      <c r="F224" s="2200">
        <v>0</v>
      </c>
      <c r="G224" s="2200" t="s">
        <v>2038</v>
      </c>
      <c r="H224" s="2200" t="s">
        <v>1057</v>
      </c>
      <c r="I224" s="2742">
        <v>20</v>
      </c>
      <c r="J224" s="2742"/>
      <c r="K224" s="2752">
        <v>45</v>
      </c>
      <c r="L224" s="2745">
        <f t="shared" si="49"/>
        <v>0</v>
      </c>
      <c r="M224" s="2745">
        <f t="shared" si="53"/>
        <v>20</v>
      </c>
      <c r="N224" s="2745">
        <f t="shared" si="54"/>
        <v>0</v>
      </c>
      <c r="O224" s="1232">
        <f t="shared" si="55"/>
        <v>0</v>
      </c>
      <c r="P224" s="1227" t="str">
        <f t="shared" si="56"/>
        <v>240gsm WBB DEA HAN</v>
      </c>
      <c r="Q224" s="254">
        <v>0.27</v>
      </c>
      <c r="R224" s="1228" t="str">
        <f t="shared" si="57"/>
        <v>240</v>
      </c>
      <c r="S224" s="2625">
        <f t="shared" si="50"/>
        <v>0</v>
      </c>
      <c r="T224" s="2747">
        <f>IF(L224&gt;0,IF(input!$B$2=$O$1,(((L224+Y224/22)+(L224+Y224/22)*$AG224+$X224)*$P$11+$M$7)/1000,(((L224+Y224/22)+(L224+Y224/22)*O224+(L224+Y224/22)*$AG224+$X224)*$P$11+$M$7)/1000),0)</f>
        <v>0</v>
      </c>
      <c r="U224" s="2747">
        <f t="shared" si="51"/>
        <v>0</v>
      </c>
      <c r="V224" s="1229"/>
      <c r="W224" s="1231" t="str">
        <f t="shared" si="52"/>
        <v>CIF</v>
      </c>
      <c r="X224" s="1230">
        <f t="shared" si="63"/>
        <v>0</v>
      </c>
      <c r="Y224" s="2625">
        <f t="shared" si="60"/>
        <v>0</v>
      </c>
      <c r="Z224" s="3208">
        <f t="shared" si="58"/>
        <v>838.18181818181813</v>
      </c>
      <c r="AA224" s="1220" t="s">
        <v>1351</v>
      </c>
      <c r="AB224" s="1220" t="s">
        <v>1394</v>
      </c>
      <c r="AC224" s="251" t="str">
        <f t="shared" si="59"/>
        <v>240gsm WBB DEA HAN</v>
      </c>
      <c r="AD224" s="2746">
        <f>IF(L224&gt;0,IF(input!$B$2=$O$1,(((M224)+(M224)*$M$10)*$P$11)/1000,(((M224)+(M224)*O224+(M224)*$M$10)*$P$11)/1000),0)</f>
        <v>0</v>
      </c>
      <c r="AE224" s="2746">
        <f>IF(L224&gt;0,IF(input!$B$2=$O$1,(((N224)+(N224)*$M$10)*$P$11)/1000,(((N224)+(N224)*O224+(N224)*$M$10)*$P$11)/1000),0)</f>
        <v>0</v>
      </c>
      <c r="AF224" s="136" t="str">
        <f t="shared" si="61"/>
        <v>FSC</v>
      </c>
      <c r="AG224" s="2628">
        <f t="shared" si="62"/>
        <v>1.2E-2</v>
      </c>
      <c r="AH224" s="1266">
        <v>0.1</v>
      </c>
    </row>
    <row r="225" spans="1:34" ht="12.75">
      <c r="A225" s="2199">
        <f t="shared" si="48"/>
        <v>213</v>
      </c>
      <c r="B225" s="2200" t="s">
        <v>1002</v>
      </c>
      <c r="C225" s="2743">
        <v>0</v>
      </c>
      <c r="D225" s="2743">
        <v>0</v>
      </c>
      <c r="E225" s="2949">
        <v>0</v>
      </c>
      <c r="F225" s="2200">
        <v>0</v>
      </c>
      <c r="G225" s="2200" t="s">
        <v>2038</v>
      </c>
      <c r="H225" s="2200" t="s">
        <v>1057</v>
      </c>
      <c r="I225" s="2742">
        <v>20</v>
      </c>
      <c r="J225" s="2742"/>
      <c r="K225" s="2752">
        <v>45</v>
      </c>
      <c r="L225" s="2745">
        <f t="shared" si="49"/>
        <v>0</v>
      </c>
      <c r="M225" s="2745">
        <f t="shared" si="53"/>
        <v>20</v>
      </c>
      <c r="N225" s="2745">
        <f t="shared" si="54"/>
        <v>0</v>
      </c>
      <c r="O225" s="1232">
        <f t="shared" si="55"/>
        <v>0</v>
      </c>
      <c r="P225" s="1227" t="str">
        <f t="shared" si="56"/>
        <v>250gsm WBB DEA HAN</v>
      </c>
      <c r="Q225" s="254">
        <v>0.28999999999999998</v>
      </c>
      <c r="R225" s="1228" t="str">
        <f t="shared" si="57"/>
        <v>250</v>
      </c>
      <c r="S225" s="2625">
        <f t="shared" si="50"/>
        <v>0</v>
      </c>
      <c r="T225" s="2747">
        <f>IF(L225&gt;0,IF(input!$B$2=$O$1,(((L225+Y225/22)+(L225+Y225/22)*$AG225+$X225)*$P$11+$M$7)/1000,(((L225+Y225/22)+(L225+Y225/22)*O225+(L225+Y225/22)*$AG225+$X225)*$P$11+$M$7)/1000),0)</f>
        <v>0</v>
      </c>
      <c r="U225" s="2747">
        <f t="shared" si="51"/>
        <v>0</v>
      </c>
      <c r="V225" s="1229"/>
      <c r="W225" s="1231" t="str">
        <f t="shared" si="52"/>
        <v>CIF</v>
      </c>
      <c r="X225" s="1230">
        <f t="shared" si="63"/>
        <v>0</v>
      </c>
      <c r="Y225" s="2625">
        <f t="shared" si="60"/>
        <v>0</v>
      </c>
      <c r="Z225" s="3208">
        <f t="shared" si="58"/>
        <v>838.18181818181813</v>
      </c>
      <c r="AA225" s="1220" t="s">
        <v>1351</v>
      </c>
      <c r="AB225" s="1220" t="s">
        <v>1394</v>
      </c>
      <c r="AC225" s="251" t="str">
        <f t="shared" si="59"/>
        <v>250gsm WBB DEA HAN</v>
      </c>
      <c r="AD225" s="2746">
        <f>IF(L225&gt;0,IF(input!$B$2=$O$1,(((M225)+(M225)*$M$10)*$P$11)/1000,(((M225)+(M225)*O225+(M225)*$M$10)*$P$11)/1000),0)</f>
        <v>0</v>
      </c>
      <c r="AE225" s="2746">
        <f>IF(L225&gt;0,IF(input!$B$2=$O$1,(((N225)+(N225)*$M$10)*$P$11)/1000,(((N225)+(N225)*O225+(N225)*$M$10)*$P$11)/1000),0)</f>
        <v>0</v>
      </c>
      <c r="AF225" s="136" t="str">
        <f t="shared" si="61"/>
        <v>FSC</v>
      </c>
      <c r="AG225" s="2628">
        <f t="shared" si="62"/>
        <v>1.2E-2</v>
      </c>
      <c r="AH225" s="1266">
        <v>0.1</v>
      </c>
    </row>
    <row r="226" spans="1:34" ht="12.75">
      <c r="A226" s="2199">
        <f t="shared" si="48"/>
        <v>214</v>
      </c>
      <c r="B226" s="2200" t="s">
        <v>1003</v>
      </c>
      <c r="C226" s="2743">
        <v>0</v>
      </c>
      <c r="D226" s="2743">
        <v>0</v>
      </c>
      <c r="E226" s="2949">
        <v>0</v>
      </c>
      <c r="F226" s="2200">
        <v>0</v>
      </c>
      <c r="G226" s="2200" t="s">
        <v>2038</v>
      </c>
      <c r="H226" s="2200" t="s">
        <v>1057</v>
      </c>
      <c r="I226" s="2742">
        <v>20</v>
      </c>
      <c r="J226" s="2742"/>
      <c r="K226" s="2752">
        <v>45</v>
      </c>
      <c r="L226" s="2745">
        <f t="shared" si="49"/>
        <v>0</v>
      </c>
      <c r="M226" s="2745">
        <f t="shared" si="53"/>
        <v>20</v>
      </c>
      <c r="N226" s="2745">
        <f t="shared" si="54"/>
        <v>0</v>
      </c>
      <c r="O226" s="1232">
        <f t="shared" si="55"/>
        <v>0</v>
      </c>
      <c r="P226" s="1227" t="str">
        <f t="shared" si="56"/>
        <v>260gsm WBB DEA HAN</v>
      </c>
      <c r="Q226" s="254">
        <v>0.3</v>
      </c>
      <c r="R226" s="1228" t="str">
        <f t="shared" si="57"/>
        <v>260</v>
      </c>
      <c r="S226" s="2625">
        <f t="shared" si="50"/>
        <v>0</v>
      </c>
      <c r="T226" s="2747">
        <f>IF(L226&gt;0,IF(input!$B$2=$O$1,(((L226+Y226/22)+(L226+Y226/22)*$AG226+$X226)*$P$11+$M$7)/1000,(((L226+Y226/22)+(L226+Y226/22)*O226+(L226+Y226/22)*$AG226+$X226)*$P$11+$M$7)/1000),0)</f>
        <v>0</v>
      </c>
      <c r="U226" s="2747">
        <f t="shared" si="51"/>
        <v>0</v>
      </c>
      <c r="V226" s="1229"/>
      <c r="W226" s="1231" t="str">
        <f t="shared" si="52"/>
        <v>CIF</v>
      </c>
      <c r="X226" s="1230">
        <f t="shared" si="63"/>
        <v>0</v>
      </c>
      <c r="Y226" s="2625">
        <f t="shared" si="60"/>
        <v>0</v>
      </c>
      <c r="Z226" s="3208">
        <f t="shared" si="58"/>
        <v>838.18181818181813</v>
      </c>
      <c r="AA226" s="1220" t="s">
        <v>1351</v>
      </c>
      <c r="AB226" s="1220" t="s">
        <v>1394</v>
      </c>
      <c r="AC226" s="251" t="str">
        <f t="shared" si="59"/>
        <v>260gsm WBB DEA HAN</v>
      </c>
      <c r="AD226" s="2746">
        <f>IF(L226&gt;0,IF(input!$B$2=$O$1,(((M226)+(M226)*$M$10)*$P$11)/1000,(((M226)+(M226)*O226+(M226)*$M$10)*$P$11)/1000),0)</f>
        <v>0</v>
      </c>
      <c r="AE226" s="2746">
        <f>IF(L226&gt;0,IF(input!$B$2=$O$1,(((N226)+(N226)*$M$10)*$P$11)/1000,(((N226)+(N226)*O226+(N226)*$M$10)*$P$11)/1000),0)</f>
        <v>0</v>
      </c>
      <c r="AF226" s="136" t="str">
        <f t="shared" si="61"/>
        <v>FSC</v>
      </c>
      <c r="AG226" s="2628">
        <f t="shared" si="62"/>
        <v>1.2E-2</v>
      </c>
      <c r="AH226" s="1266">
        <v>0.1</v>
      </c>
    </row>
    <row r="227" spans="1:34" ht="12.75">
      <c r="A227" s="2199">
        <f t="shared" si="48"/>
        <v>215</v>
      </c>
      <c r="B227" s="2200" t="s">
        <v>1004</v>
      </c>
      <c r="C227" s="2743">
        <v>0</v>
      </c>
      <c r="D227" s="2743">
        <v>0</v>
      </c>
      <c r="E227" s="2949">
        <v>0</v>
      </c>
      <c r="F227" s="2200">
        <v>0</v>
      </c>
      <c r="G227" s="2200" t="s">
        <v>2038</v>
      </c>
      <c r="H227" s="2200" t="s">
        <v>1057</v>
      </c>
      <c r="I227" s="2742">
        <v>20</v>
      </c>
      <c r="J227" s="2742"/>
      <c r="K227" s="2752">
        <v>45</v>
      </c>
      <c r="L227" s="2745">
        <f t="shared" si="49"/>
        <v>0</v>
      </c>
      <c r="M227" s="2745">
        <f t="shared" si="53"/>
        <v>20</v>
      </c>
      <c r="N227" s="2745">
        <f t="shared" si="54"/>
        <v>0</v>
      </c>
      <c r="O227" s="1232">
        <f t="shared" si="55"/>
        <v>0</v>
      </c>
      <c r="P227" s="1227" t="str">
        <f t="shared" si="56"/>
        <v>280gsm WBB DEA HAN</v>
      </c>
      <c r="Q227" s="254">
        <v>0.33</v>
      </c>
      <c r="R227" s="1228" t="str">
        <f t="shared" si="57"/>
        <v>280</v>
      </c>
      <c r="S227" s="2625">
        <f t="shared" si="50"/>
        <v>0</v>
      </c>
      <c r="T227" s="2747">
        <f>IF(L227&gt;0,IF(input!$B$2=$O$1,(((L227+Y227/22)+(L227+Y227/22)*$AG227+$X227)*$P$11+$M$7)/1000,(((L227+Y227/22)+(L227+Y227/22)*O227+(L227+Y227/22)*$AG227+$X227)*$P$11+$M$7)/1000),0)</f>
        <v>0</v>
      </c>
      <c r="U227" s="2747">
        <f t="shared" si="51"/>
        <v>0</v>
      </c>
      <c r="V227" s="1229"/>
      <c r="W227" s="1231" t="str">
        <f t="shared" si="52"/>
        <v>CIF</v>
      </c>
      <c r="X227" s="1230">
        <f t="shared" si="63"/>
        <v>0</v>
      </c>
      <c r="Y227" s="2625">
        <f t="shared" si="60"/>
        <v>0</v>
      </c>
      <c r="Z227" s="3208">
        <f t="shared" si="58"/>
        <v>838.18181818181813</v>
      </c>
      <c r="AA227" s="1220" t="s">
        <v>1351</v>
      </c>
      <c r="AB227" s="1220" t="s">
        <v>1394</v>
      </c>
      <c r="AC227" s="251" t="str">
        <f t="shared" si="59"/>
        <v>280gsm WBB DEA HAN</v>
      </c>
      <c r="AD227" s="2746">
        <f>IF(L227&gt;0,IF(input!$B$2=$O$1,(((M227)+(M227)*$M$10)*$P$11)/1000,(((M227)+(M227)*O227+(M227)*$M$10)*$P$11)/1000),0)</f>
        <v>0</v>
      </c>
      <c r="AE227" s="2746">
        <f>IF(L227&gt;0,IF(input!$B$2=$O$1,(((N227)+(N227)*$M$10)*$P$11)/1000,(((N227)+(N227)*O227+(N227)*$M$10)*$P$11)/1000),0)</f>
        <v>0</v>
      </c>
      <c r="AF227" s="136" t="str">
        <f t="shared" si="61"/>
        <v>FSC</v>
      </c>
      <c r="AG227" s="2628">
        <f t="shared" si="62"/>
        <v>1.2E-2</v>
      </c>
      <c r="AH227" s="1266">
        <v>0.1</v>
      </c>
    </row>
    <row r="228" spans="1:34" ht="12.75">
      <c r="A228" s="2199">
        <f t="shared" si="48"/>
        <v>216</v>
      </c>
      <c r="B228" s="2200" t="s">
        <v>1005</v>
      </c>
      <c r="C228" s="2743">
        <v>0</v>
      </c>
      <c r="D228" s="2743">
        <v>0</v>
      </c>
      <c r="E228" s="2949">
        <v>0</v>
      </c>
      <c r="F228" s="2200">
        <v>0</v>
      </c>
      <c r="G228" s="2200" t="s">
        <v>2038</v>
      </c>
      <c r="H228" s="2200" t="s">
        <v>1057</v>
      </c>
      <c r="I228" s="2742">
        <v>20</v>
      </c>
      <c r="J228" s="2742"/>
      <c r="K228" s="2752">
        <v>45</v>
      </c>
      <c r="L228" s="2745">
        <f t="shared" si="49"/>
        <v>0</v>
      </c>
      <c r="M228" s="2745">
        <f t="shared" si="53"/>
        <v>20</v>
      </c>
      <c r="N228" s="2745">
        <f t="shared" si="54"/>
        <v>0</v>
      </c>
      <c r="O228" s="1232">
        <f t="shared" si="55"/>
        <v>0</v>
      </c>
      <c r="P228" s="1227" t="str">
        <f t="shared" si="56"/>
        <v>300gsm WBB DEA HAN</v>
      </c>
      <c r="Q228" s="254">
        <v>0.35499999999999998</v>
      </c>
      <c r="R228" s="1228" t="str">
        <f t="shared" si="57"/>
        <v>300</v>
      </c>
      <c r="S228" s="2625">
        <f t="shared" si="50"/>
        <v>0</v>
      </c>
      <c r="T228" s="2747">
        <f>IF(L228&gt;0,IF(input!$B$2=$O$1,(((L228+Y228/22)+(L228+Y228/22)*$AG228+$X228)*$P$11+$M$7)/1000,(((L228+Y228/22)+(L228+Y228/22)*O228+(L228+Y228/22)*$AG228+$X228)*$P$11+$M$7)/1000),0)</f>
        <v>0</v>
      </c>
      <c r="U228" s="2747">
        <f t="shared" si="51"/>
        <v>0</v>
      </c>
      <c r="V228" s="1229"/>
      <c r="W228" s="1231" t="str">
        <f t="shared" si="52"/>
        <v>CIF</v>
      </c>
      <c r="X228" s="1230">
        <f t="shared" si="63"/>
        <v>0</v>
      </c>
      <c r="Y228" s="2625">
        <f t="shared" si="60"/>
        <v>0</v>
      </c>
      <c r="Z228" s="3208">
        <f t="shared" si="58"/>
        <v>838.18181818181813</v>
      </c>
      <c r="AA228" s="1220" t="s">
        <v>1351</v>
      </c>
      <c r="AB228" s="1220" t="s">
        <v>1394</v>
      </c>
      <c r="AC228" s="251" t="str">
        <f t="shared" si="59"/>
        <v>300gsm WBB DEA HAN</v>
      </c>
      <c r="AD228" s="2746">
        <f>IF(L228&gt;0,IF(input!$B$2=$O$1,(((M228)+(M228)*$M$10)*$P$11)/1000,(((M228)+(M228)*O228+(M228)*$M$10)*$P$11)/1000),0)</f>
        <v>0</v>
      </c>
      <c r="AE228" s="2746">
        <f>IF(L228&gt;0,IF(input!$B$2=$O$1,(((N228)+(N228)*$M$10)*$P$11)/1000,(((N228)+(N228)*O228+(N228)*$M$10)*$P$11)/1000),0)</f>
        <v>0</v>
      </c>
      <c r="AF228" s="136" t="str">
        <f t="shared" si="61"/>
        <v>FSC</v>
      </c>
      <c r="AG228" s="2628">
        <f t="shared" si="62"/>
        <v>1.2E-2</v>
      </c>
      <c r="AH228" s="1266">
        <v>0.1</v>
      </c>
    </row>
    <row r="229" spans="1:34" ht="12.75">
      <c r="A229" s="2199">
        <f t="shared" si="48"/>
        <v>217</v>
      </c>
      <c r="B229" s="2200" t="s">
        <v>1006</v>
      </c>
      <c r="C229" s="2743">
        <v>18200</v>
      </c>
      <c r="D229" s="2743">
        <v>0</v>
      </c>
      <c r="E229" s="2949">
        <v>0</v>
      </c>
      <c r="F229" s="2200">
        <v>0</v>
      </c>
      <c r="G229" s="2200" t="s">
        <v>2038</v>
      </c>
      <c r="H229" s="2200" t="s">
        <v>1057</v>
      </c>
      <c r="I229" s="2742">
        <v>20</v>
      </c>
      <c r="J229" s="2742"/>
      <c r="K229" s="2752">
        <v>45</v>
      </c>
      <c r="L229" s="2745">
        <f t="shared" si="49"/>
        <v>0</v>
      </c>
      <c r="M229" s="2745">
        <f t="shared" si="53"/>
        <v>20</v>
      </c>
      <c r="N229" s="2745">
        <f t="shared" si="54"/>
        <v>0</v>
      </c>
      <c r="O229" s="1232">
        <f t="shared" si="55"/>
        <v>0</v>
      </c>
      <c r="P229" s="1227" t="str">
        <f t="shared" si="56"/>
        <v>350gsm WBB DEA HAN</v>
      </c>
      <c r="Q229" s="254">
        <v>0.42</v>
      </c>
      <c r="R229" s="1228" t="str">
        <f t="shared" si="57"/>
        <v>350</v>
      </c>
      <c r="S229" s="2625">
        <f t="shared" si="50"/>
        <v>18200</v>
      </c>
      <c r="T229" s="2747">
        <f>IF(L229&gt;0,IF(input!$B$2=$O$1,(((L229+Y229/22)+(L229+Y229/22)*$AG229+$X229)*$P$11+$M$7)/1000,(((L229+Y229/22)+(L229+Y229/22)*O229+(L229+Y229/22)*$AG229+$X229)*$P$11+$M$7)/1000),0)</f>
        <v>0</v>
      </c>
      <c r="U229" s="2747">
        <f t="shared" si="51"/>
        <v>17690.03367003367</v>
      </c>
      <c r="V229" s="1229"/>
      <c r="W229" s="1231" t="str">
        <f t="shared" si="52"/>
        <v>CIF</v>
      </c>
      <c r="X229" s="1230">
        <f t="shared" si="63"/>
        <v>0</v>
      </c>
      <c r="Y229" s="2625">
        <f t="shared" si="60"/>
        <v>0</v>
      </c>
      <c r="Z229" s="3208">
        <f t="shared" si="58"/>
        <v>838.18181818181813</v>
      </c>
      <c r="AA229" s="1220" t="s">
        <v>1351</v>
      </c>
      <c r="AB229" s="1220" t="s">
        <v>1394</v>
      </c>
      <c r="AC229" s="251" t="str">
        <f t="shared" si="59"/>
        <v>350gsm WBB DEA HAN</v>
      </c>
      <c r="AD229" s="2746">
        <f>IF(L229&gt;0,IF(input!$B$2=$O$1,(((M229)+(M229)*$M$10)*$P$11)/1000,(((M229)+(M229)*O229+(M229)*$M$10)*$P$11)/1000),0)</f>
        <v>0</v>
      </c>
      <c r="AE229" s="2746">
        <f>IF(L229&gt;0,IF(input!$B$2=$O$1,(((N229)+(N229)*$M$10)*$P$11)/1000,(((N229)+(N229)*O229+(N229)*$M$10)*$P$11)/1000),0)</f>
        <v>0</v>
      </c>
      <c r="AF229" s="136" t="str">
        <f t="shared" si="61"/>
        <v>FSC</v>
      </c>
      <c r="AG229" s="2628">
        <f t="shared" si="62"/>
        <v>1.2E-2</v>
      </c>
      <c r="AH229" s="1266">
        <v>0.1</v>
      </c>
    </row>
    <row r="230" spans="1:34" ht="12.75">
      <c r="A230" s="2199">
        <f t="shared" si="48"/>
        <v>218</v>
      </c>
      <c r="B230" s="2200" t="s">
        <v>1007</v>
      </c>
      <c r="C230" s="2743">
        <v>18200</v>
      </c>
      <c r="D230" s="2743">
        <v>0</v>
      </c>
      <c r="E230" s="2949">
        <v>0</v>
      </c>
      <c r="F230" s="2200">
        <v>0</v>
      </c>
      <c r="G230" s="2200" t="s">
        <v>2038</v>
      </c>
      <c r="H230" s="2200" t="s">
        <v>1057</v>
      </c>
      <c r="I230" s="2742">
        <v>20</v>
      </c>
      <c r="J230" s="2742"/>
      <c r="K230" s="2752">
        <v>45</v>
      </c>
      <c r="L230" s="2745">
        <f t="shared" si="49"/>
        <v>0</v>
      </c>
      <c r="M230" s="2745">
        <f t="shared" si="53"/>
        <v>20</v>
      </c>
      <c r="N230" s="2745">
        <f t="shared" si="54"/>
        <v>0</v>
      </c>
      <c r="O230" s="1232">
        <f t="shared" si="55"/>
        <v>0</v>
      </c>
      <c r="P230" s="1227" t="str">
        <f t="shared" si="56"/>
        <v>360gsm WBB DEA HAN</v>
      </c>
      <c r="Q230" s="254">
        <v>0.435</v>
      </c>
      <c r="R230" s="1228" t="str">
        <f t="shared" si="57"/>
        <v>360</v>
      </c>
      <c r="S230" s="2625">
        <f t="shared" si="50"/>
        <v>18200</v>
      </c>
      <c r="T230" s="2747">
        <f>IF(L230&gt;0,IF(input!$B$2=$O$1,(((L230+Y230/22)+(L230+Y230/22)*$AG230+$X230)*$P$11+$M$7)/1000,(((L230+Y230/22)+(L230+Y230/22)*O230+(L230+Y230/22)*$AG230+$X230)*$P$11+$M$7)/1000),0)</f>
        <v>0</v>
      </c>
      <c r="U230" s="2747">
        <f t="shared" si="51"/>
        <v>17690.03367003367</v>
      </c>
      <c r="V230" s="1229"/>
      <c r="W230" s="1231" t="str">
        <f t="shared" si="52"/>
        <v>CIF</v>
      </c>
      <c r="X230" s="1230">
        <f t="shared" si="63"/>
        <v>0</v>
      </c>
      <c r="Y230" s="2625">
        <f t="shared" si="60"/>
        <v>0</v>
      </c>
      <c r="Z230" s="3208">
        <f t="shared" si="58"/>
        <v>838.18181818181813</v>
      </c>
      <c r="AA230" s="1220" t="s">
        <v>1351</v>
      </c>
      <c r="AB230" s="1220" t="s">
        <v>1394</v>
      </c>
      <c r="AC230" s="251" t="str">
        <f t="shared" si="59"/>
        <v>360gsm WBB DEA HAN</v>
      </c>
      <c r="AD230" s="2746">
        <f>IF(L230&gt;0,IF(input!$B$2=$O$1,(((M230)+(M230)*$M$10)*$P$11)/1000,(((M230)+(M230)*O230+(M230)*$M$10)*$P$11)/1000),0)</f>
        <v>0</v>
      </c>
      <c r="AE230" s="2746">
        <f>IF(L230&gt;0,IF(input!$B$2=$O$1,(((N230)+(N230)*$M$10)*$P$11)/1000,(((N230)+(N230)*O230+(N230)*$M$10)*$P$11)/1000),0)</f>
        <v>0</v>
      </c>
      <c r="AF230" s="136" t="str">
        <f t="shared" si="61"/>
        <v>FSC</v>
      </c>
      <c r="AG230" s="2628">
        <f t="shared" si="62"/>
        <v>1.2E-2</v>
      </c>
      <c r="AH230" s="1266">
        <v>0.1</v>
      </c>
    </row>
    <row r="231" spans="1:34" ht="12.75">
      <c r="A231" s="2199">
        <f t="shared" si="48"/>
        <v>219</v>
      </c>
      <c r="B231" s="2200" t="s">
        <v>1008</v>
      </c>
      <c r="C231" s="2743">
        <v>0</v>
      </c>
      <c r="D231" s="2743">
        <v>0</v>
      </c>
      <c r="E231" s="2949">
        <v>0</v>
      </c>
      <c r="F231" s="2200">
        <v>0</v>
      </c>
      <c r="G231" s="2200" t="s">
        <v>2038</v>
      </c>
      <c r="H231" s="2200" t="s">
        <v>1057</v>
      </c>
      <c r="I231" s="2742">
        <v>20</v>
      </c>
      <c r="J231" s="2742"/>
      <c r="K231" s="2752">
        <v>45</v>
      </c>
      <c r="L231" s="2745">
        <f t="shared" si="49"/>
        <v>0</v>
      </c>
      <c r="M231" s="2745">
        <f t="shared" si="53"/>
        <v>20</v>
      </c>
      <c r="N231" s="2745">
        <f t="shared" si="54"/>
        <v>0</v>
      </c>
      <c r="O231" s="1232">
        <f t="shared" si="55"/>
        <v>0</v>
      </c>
      <c r="P231" s="1227" t="str">
        <f t="shared" si="56"/>
        <v>380gsm WBB DEA HAN</v>
      </c>
      <c r="Q231" s="254">
        <v>0.46</v>
      </c>
      <c r="R231" s="1228" t="str">
        <f t="shared" si="57"/>
        <v>380</v>
      </c>
      <c r="S231" s="2625">
        <f t="shared" si="50"/>
        <v>0</v>
      </c>
      <c r="T231" s="2747">
        <f>IF(L231&gt;0,IF(input!$B$2=$O$1,(((L231+Y231/22)+(L231+Y231/22)*$AG231+$X231)*$P$11+$M$7)/1000,(((L231+Y231/22)+(L231+Y231/22)*O231+(L231+Y231/22)*$AG231+$X231)*$P$11+$M$7)/1000),0)</f>
        <v>0</v>
      </c>
      <c r="U231" s="2747">
        <f t="shared" si="51"/>
        <v>0</v>
      </c>
      <c r="V231" s="1229"/>
      <c r="W231" s="1231" t="str">
        <f t="shared" si="52"/>
        <v>CIF</v>
      </c>
      <c r="X231" s="1230">
        <f t="shared" si="63"/>
        <v>0</v>
      </c>
      <c r="Y231" s="2625">
        <f t="shared" si="60"/>
        <v>0</v>
      </c>
      <c r="Z231" s="3208">
        <f t="shared" si="58"/>
        <v>838.18181818181813</v>
      </c>
      <c r="AA231" s="1220" t="s">
        <v>1351</v>
      </c>
      <c r="AB231" s="1220" t="s">
        <v>1394</v>
      </c>
      <c r="AC231" s="251" t="str">
        <f t="shared" si="59"/>
        <v>380gsm WBB DEA HAN</v>
      </c>
      <c r="AD231" s="2746">
        <f>IF(L231&gt;0,IF(input!$B$2=$O$1,(((M231)+(M231)*$M$10)*$P$11)/1000,(((M231)+(M231)*O231+(M231)*$M$10)*$P$11)/1000),0)</f>
        <v>0</v>
      </c>
      <c r="AE231" s="2746">
        <f>IF(L231&gt;0,IF(input!$B$2=$O$1,(((N231)+(N231)*$M$10)*$P$11)/1000,(((N231)+(N231)*O231+(N231)*$M$10)*$P$11)/1000),0)</f>
        <v>0</v>
      </c>
      <c r="AF231" s="136" t="str">
        <f t="shared" si="61"/>
        <v>FSC</v>
      </c>
      <c r="AG231" s="2628">
        <f t="shared" si="62"/>
        <v>1.2E-2</v>
      </c>
      <c r="AH231" s="1266">
        <v>0.1</v>
      </c>
    </row>
    <row r="232" spans="1:34" ht="12.75">
      <c r="A232" s="2199">
        <f t="shared" si="48"/>
        <v>220</v>
      </c>
      <c r="B232" s="2200" t="s">
        <v>1009</v>
      </c>
      <c r="C232" s="2743">
        <v>0</v>
      </c>
      <c r="D232" s="2743">
        <v>0</v>
      </c>
      <c r="E232" s="2949">
        <v>0</v>
      </c>
      <c r="F232" s="2200">
        <v>0</v>
      </c>
      <c r="G232" s="2200" t="s">
        <v>2038</v>
      </c>
      <c r="H232" s="2200" t="s">
        <v>1057</v>
      </c>
      <c r="I232" s="2742">
        <v>20</v>
      </c>
      <c r="J232" s="2742"/>
      <c r="K232" s="2752">
        <v>45</v>
      </c>
      <c r="L232" s="2745">
        <f t="shared" si="49"/>
        <v>0</v>
      </c>
      <c r="M232" s="2745">
        <f t="shared" si="53"/>
        <v>20</v>
      </c>
      <c r="N232" s="2745">
        <f t="shared" si="54"/>
        <v>0</v>
      </c>
      <c r="O232" s="1232">
        <f t="shared" si="55"/>
        <v>0</v>
      </c>
      <c r="P232" s="1227" t="str">
        <f t="shared" si="56"/>
        <v>390gsm WBB DEA HAN</v>
      </c>
      <c r="Q232" s="254">
        <v>0.47499999999999998</v>
      </c>
      <c r="R232" s="1228" t="str">
        <f t="shared" si="57"/>
        <v>390</v>
      </c>
      <c r="S232" s="2625">
        <f t="shared" si="50"/>
        <v>0</v>
      </c>
      <c r="T232" s="2747">
        <f>IF(L232&gt;0,IF(input!$B$2=$O$1,(((L232+Y232/22)+(L232+Y232/22)*$AG232+$X232)*$P$11+$M$7)/1000,(((L232+Y232/22)+(L232+Y232/22)*O232+(L232+Y232/22)*$AG232+$X232)*$P$11+$M$7)/1000),0)</f>
        <v>0</v>
      </c>
      <c r="U232" s="2747">
        <f t="shared" si="51"/>
        <v>0</v>
      </c>
      <c r="V232" s="1229"/>
      <c r="W232" s="1231" t="str">
        <f t="shared" si="52"/>
        <v>CIF</v>
      </c>
      <c r="X232" s="1230">
        <f t="shared" si="63"/>
        <v>0</v>
      </c>
      <c r="Y232" s="2625">
        <f t="shared" si="60"/>
        <v>0</v>
      </c>
      <c r="Z232" s="3208">
        <f t="shared" si="58"/>
        <v>838.18181818181813</v>
      </c>
      <c r="AA232" s="1220" t="s">
        <v>1351</v>
      </c>
      <c r="AB232" s="1220" t="s">
        <v>1394</v>
      </c>
      <c r="AC232" s="251" t="str">
        <f t="shared" si="59"/>
        <v>390gsm WBB DEA HAN</v>
      </c>
      <c r="AD232" s="2746">
        <f>IF(L232&gt;0,IF(input!$B$2=$O$1,(((M232)+(M232)*$M$10)*$P$11)/1000,(((M232)+(M232)*O232+(M232)*$M$10)*$P$11)/1000),0)</f>
        <v>0</v>
      </c>
      <c r="AE232" s="2746">
        <f>IF(L232&gt;0,IF(input!$B$2=$O$1,(((N232)+(N232)*$M$10)*$P$11)/1000,(((N232)+(N232)*O232+(N232)*$M$10)*$P$11)/1000),0)</f>
        <v>0</v>
      </c>
      <c r="AF232" s="136" t="str">
        <f t="shared" si="61"/>
        <v>FSC</v>
      </c>
      <c r="AG232" s="2628">
        <f t="shared" si="62"/>
        <v>1.2E-2</v>
      </c>
      <c r="AH232" s="1266">
        <v>0.1</v>
      </c>
    </row>
    <row r="233" spans="1:34" ht="12.75">
      <c r="A233" s="2199">
        <f t="shared" si="48"/>
        <v>221</v>
      </c>
      <c r="B233" s="2200" t="s">
        <v>1010</v>
      </c>
      <c r="C233" s="2743">
        <v>18200</v>
      </c>
      <c r="D233" s="2743">
        <v>0</v>
      </c>
      <c r="E233" s="2949">
        <v>0</v>
      </c>
      <c r="F233" s="2200">
        <v>0</v>
      </c>
      <c r="G233" s="2200" t="s">
        <v>2038</v>
      </c>
      <c r="H233" s="2200" t="s">
        <v>1057</v>
      </c>
      <c r="I233" s="2742">
        <v>20</v>
      </c>
      <c r="J233" s="2742"/>
      <c r="K233" s="2752">
        <v>45</v>
      </c>
      <c r="L233" s="2745">
        <f t="shared" si="49"/>
        <v>0</v>
      </c>
      <c r="M233" s="2745">
        <f t="shared" si="53"/>
        <v>20</v>
      </c>
      <c r="N233" s="2745">
        <f t="shared" si="54"/>
        <v>0</v>
      </c>
      <c r="O233" s="1232">
        <f t="shared" si="55"/>
        <v>0</v>
      </c>
      <c r="P233" s="1227" t="str">
        <f t="shared" si="56"/>
        <v>400gsm WBB DEA HAN</v>
      </c>
      <c r="Q233" s="254">
        <v>0.48</v>
      </c>
      <c r="R233" s="1228" t="str">
        <f t="shared" si="57"/>
        <v>400</v>
      </c>
      <c r="S233" s="2625">
        <f t="shared" si="50"/>
        <v>18200</v>
      </c>
      <c r="T233" s="2747">
        <f>IF(L233&gt;0,IF(input!$B$2=$O$1,(((L233+Y233/22)+(L233+Y233/22)*$AG233+$X233)*$P$11+$M$7)/1000,(((L233+Y233/22)+(L233+Y233/22)*O233+(L233+Y233/22)*$AG233+$X233)*$P$11+$M$7)/1000),0)</f>
        <v>0</v>
      </c>
      <c r="U233" s="2747">
        <f t="shared" si="51"/>
        <v>17690.03367003367</v>
      </c>
      <c r="V233" s="1229"/>
      <c r="W233" s="1231" t="str">
        <f t="shared" si="52"/>
        <v>CIF</v>
      </c>
      <c r="X233" s="1230">
        <f t="shared" si="63"/>
        <v>0</v>
      </c>
      <c r="Y233" s="2625">
        <f t="shared" si="60"/>
        <v>0</v>
      </c>
      <c r="Z233" s="3208">
        <f t="shared" si="58"/>
        <v>838.18181818181813</v>
      </c>
      <c r="AA233" s="1220" t="s">
        <v>1351</v>
      </c>
      <c r="AB233" s="1220" t="s">
        <v>1394</v>
      </c>
      <c r="AC233" s="251" t="str">
        <f t="shared" si="59"/>
        <v>400gsm WBB DEA HAN</v>
      </c>
      <c r="AD233" s="2746">
        <f>IF(L233&gt;0,IF(input!$B$2=$O$1,(((M233)+(M233)*$M$10)*$P$11)/1000,(((M233)+(M233)*O233+(M233)*$M$10)*$P$11)/1000),0)</f>
        <v>0</v>
      </c>
      <c r="AE233" s="2746">
        <f>IF(L233&gt;0,IF(input!$B$2=$O$1,(((N233)+(N233)*$M$10)*$P$11)/1000,(((N233)+(N233)*O233+(N233)*$M$10)*$P$11)/1000),0)</f>
        <v>0</v>
      </c>
      <c r="AF233" s="136" t="str">
        <f t="shared" si="61"/>
        <v>FSC</v>
      </c>
      <c r="AG233" s="2628">
        <f t="shared" si="62"/>
        <v>1.2E-2</v>
      </c>
      <c r="AH233" s="1266">
        <v>0.1</v>
      </c>
    </row>
    <row r="234" spans="1:34" ht="12.75">
      <c r="A234" s="2199">
        <f t="shared" si="48"/>
        <v>222</v>
      </c>
      <c r="B234" s="2200" t="s">
        <v>1011</v>
      </c>
      <c r="C234" s="2743">
        <v>18200</v>
      </c>
      <c r="D234" s="2743">
        <v>0</v>
      </c>
      <c r="E234" s="2949">
        <v>0</v>
      </c>
      <c r="F234" s="2200">
        <v>0</v>
      </c>
      <c r="G234" s="2200" t="s">
        <v>2038</v>
      </c>
      <c r="H234" s="2200" t="s">
        <v>1057</v>
      </c>
      <c r="I234" s="2742">
        <v>20</v>
      </c>
      <c r="J234" s="2742"/>
      <c r="K234" s="2752">
        <v>45</v>
      </c>
      <c r="L234" s="2745">
        <f t="shared" si="49"/>
        <v>0</v>
      </c>
      <c r="M234" s="2745">
        <f t="shared" si="53"/>
        <v>20</v>
      </c>
      <c r="N234" s="2745">
        <f t="shared" si="54"/>
        <v>0</v>
      </c>
      <c r="O234" s="1232">
        <f t="shared" si="55"/>
        <v>0</v>
      </c>
      <c r="P234" s="1227" t="str">
        <f t="shared" si="56"/>
        <v>450gsm WBB DEA HAN</v>
      </c>
      <c r="Q234" s="254">
        <v>0.54500000000000004</v>
      </c>
      <c r="R234" s="1228" t="str">
        <f t="shared" si="57"/>
        <v>450</v>
      </c>
      <c r="S234" s="2625">
        <f t="shared" si="50"/>
        <v>18200</v>
      </c>
      <c r="T234" s="2747">
        <f>IF(L234&gt;0,IF(input!$B$2=$O$1,(((L234+Y234/22)+(L234+Y234/22)*$AG234+$X234)*$P$11+$M$7)/1000,(((L234+Y234/22)+(L234+Y234/22)*O234+(L234+Y234/22)*$AG234+$X234)*$P$11+$M$7)/1000),0)</f>
        <v>0</v>
      </c>
      <c r="U234" s="2747">
        <f t="shared" si="51"/>
        <v>17690.03367003367</v>
      </c>
      <c r="V234" s="1229"/>
      <c r="W234" s="1231" t="str">
        <f t="shared" si="52"/>
        <v>CIF</v>
      </c>
      <c r="X234" s="1230">
        <f t="shared" si="63"/>
        <v>0</v>
      </c>
      <c r="Y234" s="2625">
        <f t="shared" si="60"/>
        <v>0</v>
      </c>
      <c r="Z234" s="3208">
        <f t="shared" si="58"/>
        <v>838.18181818181813</v>
      </c>
      <c r="AA234" s="1220" t="s">
        <v>1351</v>
      </c>
      <c r="AB234" s="1220" t="s">
        <v>1394</v>
      </c>
      <c r="AC234" s="251" t="str">
        <f t="shared" si="59"/>
        <v>450gsm WBB DEA HAN</v>
      </c>
      <c r="AD234" s="2746">
        <f>IF(L234&gt;0,IF(input!$B$2=$O$1,(((M234)+(M234)*$M$10)*$P$11)/1000,(((M234)+(M234)*O234+(M234)*$M$10)*$P$11)/1000),0)</f>
        <v>0</v>
      </c>
      <c r="AE234" s="2746">
        <f>IF(L234&gt;0,IF(input!$B$2=$O$1,(((N234)+(N234)*$M$10)*$P$11)/1000,(((N234)+(N234)*O234+(N234)*$M$10)*$P$11)/1000),0)</f>
        <v>0</v>
      </c>
      <c r="AF234" s="136" t="str">
        <f t="shared" si="61"/>
        <v>FSC</v>
      </c>
      <c r="AG234" s="2628">
        <f t="shared" si="62"/>
        <v>1.2E-2</v>
      </c>
      <c r="AH234" s="1266">
        <v>0.1</v>
      </c>
    </row>
    <row r="235" spans="1:34" ht="12.75">
      <c r="A235" s="2199">
        <f t="shared" si="48"/>
        <v>223</v>
      </c>
      <c r="B235" s="2200" t="s">
        <v>1012</v>
      </c>
      <c r="C235" s="2743">
        <v>0</v>
      </c>
      <c r="D235" s="2743">
        <v>0</v>
      </c>
      <c r="E235" s="2949">
        <v>0</v>
      </c>
      <c r="F235" s="2200">
        <v>0</v>
      </c>
      <c r="G235" s="2200" t="s">
        <v>2038</v>
      </c>
      <c r="H235" s="2200" t="s">
        <v>1057</v>
      </c>
      <c r="I235" s="2742">
        <v>20</v>
      </c>
      <c r="J235" s="2742"/>
      <c r="K235" s="2752">
        <v>45</v>
      </c>
      <c r="L235" s="2745">
        <f t="shared" si="49"/>
        <v>0</v>
      </c>
      <c r="M235" s="2745">
        <f t="shared" si="53"/>
        <v>20</v>
      </c>
      <c r="N235" s="2745">
        <f t="shared" si="54"/>
        <v>0</v>
      </c>
      <c r="O235" s="1232">
        <f t="shared" si="55"/>
        <v>0</v>
      </c>
      <c r="P235" s="1227" t="str">
        <f t="shared" si="56"/>
        <v>500gsm WBB DEA HAN</v>
      </c>
      <c r="Q235" s="254">
        <v>0.61499999999999999</v>
      </c>
      <c r="R235" s="1228" t="str">
        <f t="shared" si="57"/>
        <v>500</v>
      </c>
      <c r="S235" s="2625">
        <f t="shared" si="50"/>
        <v>0</v>
      </c>
      <c r="T235" s="2747">
        <f>IF(L235&gt;0,IF(input!$B$2=$O$1,(((L235+Y235/22)+(L235+Y235/22)*$AG235+$X235)*$P$11+$M$7)/1000,(((L235+Y235/22)+(L235+Y235/22)*O235+(L235+Y235/22)*$AG235+$X235)*$P$11+$M$7)/1000),0)</f>
        <v>0</v>
      </c>
      <c r="U235" s="2747">
        <f t="shared" si="51"/>
        <v>0</v>
      </c>
      <c r="V235" s="1229"/>
      <c r="W235" s="1231" t="str">
        <f t="shared" si="52"/>
        <v>CIF</v>
      </c>
      <c r="X235" s="1230">
        <f t="shared" si="63"/>
        <v>0</v>
      </c>
      <c r="Y235" s="2625">
        <f t="shared" si="60"/>
        <v>0</v>
      </c>
      <c r="Z235" s="3208">
        <f t="shared" si="58"/>
        <v>838.18181818181813</v>
      </c>
      <c r="AA235" s="1220" t="s">
        <v>1351</v>
      </c>
      <c r="AB235" s="1220" t="s">
        <v>1394</v>
      </c>
      <c r="AC235" s="251" t="str">
        <f t="shared" si="59"/>
        <v>500gsm WBB DEA HAN</v>
      </c>
      <c r="AD235" s="2746">
        <f>IF(L235&gt;0,IF(input!$B$2=$O$1,(((M235)+(M235)*$M$10)*$P$11)/1000,(((M235)+(M235)*O235+(M235)*$M$10)*$P$11)/1000),0)</f>
        <v>0</v>
      </c>
      <c r="AE235" s="2746">
        <f>IF(L235&gt;0,IF(input!$B$2=$O$1,(((N235)+(N235)*$M$10)*$P$11)/1000,(((N235)+(N235)*O235+(N235)*$M$10)*$P$11)/1000),0)</f>
        <v>0</v>
      </c>
      <c r="AF235" s="136" t="str">
        <f t="shared" si="61"/>
        <v>FSC</v>
      </c>
      <c r="AG235" s="2628">
        <f t="shared" si="62"/>
        <v>1.2E-2</v>
      </c>
      <c r="AH235" s="1266">
        <v>0.1</v>
      </c>
    </row>
    <row r="236" spans="1:34" ht="12.75">
      <c r="A236" s="2199">
        <f t="shared" si="48"/>
        <v>224</v>
      </c>
      <c r="B236" s="2200" t="s">
        <v>1013</v>
      </c>
      <c r="C236" s="2743">
        <v>0</v>
      </c>
      <c r="D236" s="2743">
        <v>0</v>
      </c>
      <c r="E236" s="2949">
        <v>0</v>
      </c>
      <c r="F236" s="2200">
        <v>0</v>
      </c>
      <c r="G236" s="2200" t="s">
        <v>2038</v>
      </c>
      <c r="H236" s="2200" t="s">
        <v>1057</v>
      </c>
      <c r="I236" s="2742">
        <v>20</v>
      </c>
      <c r="J236" s="2742"/>
      <c r="K236" s="2752">
        <v>45</v>
      </c>
      <c r="L236" s="2745">
        <f t="shared" si="49"/>
        <v>0</v>
      </c>
      <c r="M236" s="2745">
        <f t="shared" si="53"/>
        <v>20</v>
      </c>
      <c r="N236" s="2745">
        <f t="shared" si="54"/>
        <v>0</v>
      </c>
      <c r="O236" s="1232">
        <f t="shared" si="55"/>
        <v>0</v>
      </c>
      <c r="P236" s="1227" t="str">
        <f t="shared" si="56"/>
        <v>550gsm WBB DEA HAN</v>
      </c>
      <c r="Q236" s="254">
        <v>0.68500000000000005</v>
      </c>
      <c r="R236" s="1228" t="str">
        <f t="shared" si="57"/>
        <v>550</v>
      </c>
      <c r="S236" s="2625">
        <f t="shared" si="50"/>
        <v>0</v>
      </c>
      <c r="T236" s="2747">
        <f>IF(L236&gt;0,IF(input!$B$2=$O$1,(((L236+Y236/22)+(L236+Y236/22)*$AG236+$X236)*$P$11+$M$7)/1000,(((L236+Y236/22)+(L236+Y236/22)*O236+(L236+Y236/22)*$AG236+$X236)*$P$11+$M$7)/1000),0)</f>
        <v>0</v>
      </c>
      <c r="U236" s="2747">
        <f t="shared" si="51"/>
        <v>0</v>
      </c>
      <c r="V236" s="1229"/>
      <c r="W236" s="1231" t="str">
        <f t="shared" si="52"/>
        <v>CIF</v>
      </c>
      <c r="X236" s="1230">
        <f t="shared" si="63"/>
        <v>0</v>
      </c>
      <c r="Y236" s="2625">
        <f t="shared" si="60"/>
        <v>0</v>
      </c>
      <c r="Z236" s="3208">
        <f t="shared" si="58"/>
        <v>838.18181818181813</v>
      </c>
      <c r="AA236" s="1220" t="s">
        <v>1351</v>
      </c>
      <c r="AB236" s="1220" t="s">
        <v>1394</v>
      </c>
      <c r="AC236" s="251" t="str">
        <f t="shared" si="59"/>
        <v>550gsm WBB DEA HAN</v>
      </c>
      <c r="AD236" s="2746">
        <f>IF(L236&gt;0,IF(input!$B$2=$O$1,(((M236)+(M236)*$M$10)*$P$11)/1000,(((M236)+(M236)*O236+(M236)*$M$10)*$P$11)/1000),0)</f>
        <v>0</v>
      </c>
      <c r="AE236" s="2746">
        <f>IF(L236&gt;0,IF(input!$B$2=$O$1,(((N236)+(N236)*$M$10)*$P$11)/1000,(((N236)+(N236)*O236+(N236)*$M$10)*$P$11)/1000),0)</f>
        <v>0</v>
      </c>
      <c r="AF236" s="136" t="str">
        <f t="shared" si="61"/>
        <v>FSC</v>
      </c>
      <c r="AG236" s="2628">
        <f t="shared" si="62"/>
        <v>1.2E-2</v>
      </c>
      <c r="AH236" s="1266">
        <v>0.1</v>
      </c>
    </row>
    <row r="237" spans="1:34" ht="12.75">
      <c r="A237" s="2199">
        <f t="shared" si="48"/>
        <v>225</v>
      </c>
      <c r="B237" s="2200" t="s">
        <v>894</v>
      </c>
      <c r="C237" s="2743">
        <v>0</v>
      </c>
      <c r="D237" s="2743">
        <v>0</v>
      </c>
      <c r="E237" s="2949">
        <v>0</v>
      </c>
      <c r="F237" s="2200">
        <v>25</v>
      </c>
      <c r="G237" s="2200" t="s">
        <v>2038</v>
      </c>
      <c r="H237" s="2200" t="s">
        <v>1057</v>
      </c>
      <c r="I237" s="2742">
        <v>30</v>
      </c>
      <c r="J237" s="2742"/>
      <c r="K237" s="2752">
        <v>75</v>
      </c>
      <c r="L237" s="2745">
        <f t="shared" si="49"/>
        <v>0</v>
      </c>
      <c r="M237" s="2745">
        <f t="shared" si="53"/>
        <v>30</v>
      </c>
      <c r="N237" s="2745">
        <f t="shared" si="54"/>
        <v>25</v>
      </c>
      <c r="O237" s="1232">
        <f t="shared" si="55"/>
        <v>0</v>
      </c>
      <c r="P237" s="1227" t="str">
        <f t="shared" si="56"/>
        <v>170gsm IVORY SURYA PAMENANG - ESPRIME</v>
      </c>
      <c r="Q237" s="254">
        <v>0.19</v>
      </c>
      <c r="R237" s="1228" t="str">
        <f t="shared" si="57"/>
        <v>170</v>
      </c>
      <c r="S237" s="2625">
        <f t="shared" si="50"/>
        <v>0</v>
      </c>
      <c r="T237" s="2747">
        <f>IF(L237&gt;0,IF(input!$B$2=$O$1,(((L237+Y237/22)+(L237+Y237/22)*$AG237+$X237)*$P$11+$M$7)/1000,(((L237+Y237/22)+(L237+Y237/22)*O237+(L237+Y237/22)*$AG237+$X237)*$P$11+$M$7)/1000),0)</f>
        <v>0</v>
      </c>
      <c r="U237" s="2747">
        <f t="shared" si="51"/>
        <v>0</v>
      </c>
      <c r="V237" s="1229"/>
      <c r="W237" s="1231" t="str">
        <f t="shared" si="52"/>
        <v>CIF</v>
      </c>
      <c r="X237" s="1230">
        <f t="shared" si="63"/>
        <v>0</v>
      </c>
      <c r="Y237" s="2625">
        <f t="shared" si="60"/>
        <v>0</v>
      </c>
      <c r="Z237" s="3208">
        <f t="shared" si="58"/>
        <v>838.18181818181813</v>
      </c>
      <c r="AA237" s="1220" t="s">
        <v>1364</v>
      </c>
      <c r="AB237" s="1220" t="s">
        <v>1395</v>
      </c>
      <c r="AC237" s="251" t="str">
        <f t="shared" si="59"/>
        <v>170gsm IVORY SURYA PAMENANG - ESPRIME</v>
      </c>
      <c r="AD237" s="2746">
        <f>IF(L237&gt;0,IF(input!$B$2=$O$1,(((M237)+(M237)*$M$10)*$P$11)/1000,(((M237)+(M237)*O237+(M237)*$M$10)*$P$11)/1000),0)</f>
        <v>0</v>
      </c>
      <c r="AE237" s="2746">
        <f>IF(L237&gt;0,IF(input!$B$2=$O$1,(((N237)+(N237)*$M$10)*$P$11)/1000,(((N237)+(N237)*O237+(N237)*$M$10)*$P$11)/1000),0)</f>
        <v>0</v>
      </c>
      <c r="AF237" s="136" t="str">
        <f t="shared" si="61"/>
        <v>FSC</v>
      </c>
      <c r="AG237" s="2628">
        <f t="shared" si="62"/>
        <v>0.02</v>
      </c>
      <c r="AH237" s="1266">
        <v>0.1</v>
      </c>
    </row>
    <row r="238" spans="1:34" ht="12.75">
      <c r="A238" s="2199">
        <f t="shared" si="48"/>
        <v>226</v>
      </c>
      <c r="B238" s="2200" t="s">
        <v>895</v>
      </c>
      <c r="C238" s="2743">
        <v>0</v>
      </c>
      <c r="D238" s="2743">
        <v>0</v>
      </c>
      <c r="E238" s="2949">
        <v>0</v>
      </c>
      <c r="F238" s="2200">
        <v>25</v>
      </c>
      <c r="G238" s="2200" t="s">
        <v>2038</v>
      </c>
      <c r="H238" s="2200" t="s">
        <v>1057</v>
      </c>
      <c r="I238" s="2742">
        <v>30</v>
      </c>
      <c r="J238" s="2742"/>
      <c r="K238" s="2752">
        <v>75</v>
      </c>
      <c r="L238" s="2745">
        <f t="shared" si="49"/>
        <v>0</v>
      </c>
      <c r="M238" s="2745">
        <f t="shared" si="53"/>
        <v>30</v>
      </c>
      <c r="N238" s="2745">
        <f t="shared" si="54"/>
        <v>25</v>
      </c>
      <c r="O238" s="1232">
        <f t="shared" si="55"/>
        <v>0</v>
      </c>
      <c r="P238" s="1227" t="str">
        <f t="shared" si="56"/>
        <v>190gsm IVORY SURYA PAMENANG - ESPRIME</v>
      </c>
      <c r="Q238" s="254">
        <v>0.245</v>
      </c>
      <c r="R238" s="1228" t="str">
        <f t="shared" si="57"/>
        <v>190</v>
      </c>
      <c r="S238" s="2625">
        <f t="shared" si="50"/>
        <v>0</v>
      </c>
      <c r="T238" s="2747">
        <f>IF(L238&gt;0,IF(input!$B$2=$O$1,(((L238+Y238/22)+(L238+Y238/22)*$AG238+$X238)*$P$11+$M$7)/1000,(((L238+Y238/22)+(L238+Y238/22)*O238+(L238+Y238/22)*$AG238+$X238)*$P$11+$M$7)/1000),0)</f>
        <v>0</v>
      </c>
      <c r="U238" s="2747">
        <f t="shared" si="51"/>
        <v>0</v>
      </c>
      <c r="V238" s="1229"/>
      <c r="W238" s="1231" t="str">
        <f t="shared" si="52"/>
        <v>CIF</v>
      </c>
      <c r="X238" s="1230">
        <f t="shared" si="63"/>
        <v>0</v>
      </c>
      <c r="Y238" s="2625">
        <f t="shared" si="60"/>
        <v>0</v>
      </c>
      <c r="Z238" s="3208">
        <f t="shared" si="58"/>
        <v>838.18181818181813</v>
      </c>
      <c r="AA238" s="1220" t="s">
        <v>1364</v>
      </c>
      <c r="AB238" s="1220" t="s">
        <v>1395</v>
      </c>
      <c r="AC238" s="251" t="str">
        <f t="shared" si="59"/>
        <v>190gsm IVORY SURYA PAMENANG - ESPRIME</v>
      </c>
      <c r="AD238" s="2746">
        <f>IF(L238&gt;0,IF(input!$B$2=$O$1,(((M238)+(M238)*$M$10)*$P$11)/1000,(((M238)+(M238)*O238+(M238)*$M$10)*$P$11)/1000),0)</f>
        <v>0</v>
      </c>
      <c r="AE238" s="2746">
        <f>IF(L238&gt;0,IF(input!$B$2=$O$1,(((N238)+(N238)*$M$10)*$P$11)/1000,(((N238)+(N238)*O238+(N238)*$M$10)*$P$11)/1000),0)</f>
        <v>0</v>
      </c>
      <c r="AF238" s="136" t="str">
        <f t="shared" si="61"/>
        <v>FSC</v>
      </c>
      <c r="AG238" s="2628">
        <f t="shared" si="62"/>
        <v>0.02</v>
      </c>
      <c r="AH238" s="1266">
        <v>0.1</v>
      </c>
    </row>
    <row r="239" spans="1:34" ht="12.75" collapsed="1">
      <c r="A239" s="2199">
        <f t="shared" si="48"/>
        <v>227</v>
      </c>
      <c r="B239" s="2200" t="s">
        <v>896</v>
      </c>
      <c r="C239" s="2743">
        <v>0</v>
      </c>
      <c r="D239" s="2743">
        <v>885</v>
      </c>
      <c r="E239" s="2949">
        <v>0</v>
      </c>
      <c r="F239" s="2200">
        <v>25</v>
      </c>
      <c r="G239" s="2200" t="s">
        <v>2038</v>
      </c>
      <c r="H239" s="2200" t="s">
        <v>1057</v>
      </c>
      <c r="I239" s="2742">
        <v>30</v>
      </c>
      <c r="J239" s="2742"/>
      <c r="K239" s="2752">
        <v>75</v>
      </c>
      <c r="L239" s="2745">
        <f t="shared" si="49"/>
        <v>885</v>
      </c>
      <c r="M239" s="2745">
        <f t="shared" si="53"/>
        <v>30</v>
      </c>
      <c r="N239" s="2745">
        <f t="shared" si="54"/>
        <v>25</v>
      </c>
      <c r="O239" s="1232">
        <f t="shared" si="55"/>
        <v>0</v>
      </c>
      <c r="P239" s="1227" t="str">
        <f t="shared" si="56"/>
        <v>210gsm IVORY SURYA PAMENANG - ESPRIME</v>
      </c>
      <c r="Q239" s="254">
        <v>0.28499999999999998</v>
      </c>
      <c r="R239" s="1228" t="str">
        <f t="shared" si="57"/>
        <v>210</v>
      </c>
      <c r="S239" s="2625">
        <f t="shared" si="50"/>
        <v>0</v>
      </c>
      <c r="T239" s="2747">
        <f>IF(L239&gt;0,IF(input!$B$2=$O$1,(((L239+Y239/22)+(L239+Y239/22)*$AG239+$X239)*$P$11+$M$7)/1000,(((L239+Y239/22)+(L239+Y239/22)*O239+(L239+Y239/22)*$AG239+$X239)*$P$11+$M$7)/1000),0)</f>
        <v>22273.827000000001</v>
      </c>
      <c r="U239" s="2747">
        <f t="shared" si="51"/>
        <v>0</v>
      </c>
      <c r="V239" s="1229"/>
      <c r="W239" s="1231" t="str">
        <f t="shared" si="52"/>
        <v>CIF</v>
      </c>
      <c r="X239" s="1230">
        <f t="shared" si="63"/>
        <v>0</v>
      </c>
      <c r="Y239" s="2625">
        <f t="shared" si="60"/>
        <v>0</v>
      </c>
      <c r="Z239" s="3208">
        <f t="shared" si="58"/>
        <v>838.18181818181813</v>
      </c>
      <c r="AA239" s="1220" t="s">
        <v>1364</v>
      </c>
      <c r="AB239" s="1220" t="s">
        <v>1395</v>
      </c>
      <c r="AC239" s="251" t="str">
        <f t="shared" si="59"/>
        <v>210gsm IVORY SURYA PAMENANG - ESPRIME</v>
      </c>
      <c r="AD239" s="2746">
        <f>IF(L239&gt;0,IF(input!$B$2=$O$1,(((M239)+(M239)*$M$10)*$P$11)/1000,(((M239)+(M239)*O239+(M239)*$M$10)*$P$11)/1000),0)</f>
        <v>726.06239999999991</v>
      </c>
      <c r="AE239" s="2746">
        <f>IF(L239&gt;0,IF(input!$B$2=$O$1,(((N239)+(N239)*$M$10)*$P$11)/1000,(((N239)+(N239)*O239+(N239)*$M$10)*$P$11)/1000),0)</f>
        <v>605.05200000000002</v>
      </c>
      <c r="AF239" s="136" t="str">
        <f t="shared" si="61"/>
        <v>FSC</v>
      </c>
      <c r="AG239" s="2628">
        <f t="shared" si="62"/>
        <v>0.02</v>
      </c>
      <c r="AH239" s="1266">
        <v>0.1</v>
      </c>
    </row>
    <row r="240" spans="1:34" ht="12.75">
      <c r="A240" s="2199">
        <f t="shared" si="48"/>
        <v>228</v>
      </c>
      <c r="B240" s="2200" t="s">
        <v>897</v>
      </c>
      <c r="C240" s="2743">
        <v>0</v>
      </c>
      <c r="D240" s="2743">
        <v>885</v>
      </c>
      <c r="E240" s="2949">
        <v>0</v>
      </c>
      <c r="F240" s="2200">
        <v>25</v>
      </c>
      <c r="G240" s="2200" t="s">
        <v>2038</v>
      </c>
      <c r="H240" s="2200" t="s">
        <v>1057</v>
      </c>
      <c r="I240" s="2742">
        <v>30</v>
      </c>
      <c r="J240" s="2742"/>
      <c r="K240" s="2752">
        <v>75</v>
      </c>
      <c r="L240" s="2745">
        <f t="shared" si="49"/>
        <v>885</v>
      </c>
      <c r="M240" s="2745">
        <f t="shared" si="53"/>
        <v>30</v>
      </c>
      <c r="N240" s="2745">
        <f t="shared" si="54"/>
        <v>25</v>
      </c>
      <c r="O240" s="1232">
        <f t="shared" si="55"/>
        <v>0</v>
      </c>
      <c r="P240" s="1227" t="str">
        <f t="shared" si="56"/>
        <v>220gsm IVORY SURYA PAMENANG - ESPRIME</v>
      </c>
      <c r="Q240" s="254">
        <v>0.29499999999999998</v>
      </c>
      <c r="R240" s="1228" t="str">
        <f t="shared" si="57"/>
        <v>220</v>
      </c>
      <c r="S240" s="2625">
        <f t="shared" si="50"/>
        <v>0</v>
      </c>
      <c r="T240" s="2747">
        <f>IF(L240&gt;0,IF(input!$B$2=$O$1,(((L240+Y240/22)+(L240+Y240/22)*$AG240+$X240)*$P$11+$M$7)/1000,(((L240+Y240/22)+(L240+Y240/22)*O240+(L240+Y240/22)*$AG240+$X240)*$P$11+$M$7)/1000),0)</f>
        <v>22273.827000000001</v>
      </c>
      <c r="U240" s="2747">
        <f t="shared" si="51"/>
        <v>0</v>
      </c>
      <c r="V240" s="1229"/>
      <c r="W240" s="1231" t="str">
        <f t="shared" si="52"/>
        <v>CIF</v>
      </c>
      <c r="X240" s="1230">
        <f t="shared" si="63"/>
        <v>0</v>
      </c>
      <c r="Y240" s="2625">
        <f t="shared" si="60"/>
        <v>0</v>
      </c>
      <c r="Z240" s="3208">
        <f t="shared" si="58"/>
        <v>838.18181818181813</v>
      </c>
      <c r="AA240" s="1220" t="s">
        <v>1364</v>
      </c>
      <c r="AB240" s="1220" t="s">
        <v>1395</v>
      </c>
      <c r="AC240" s="251" t="str">
        <f t="shared" si="59"/>
        <v>220gsm IVORY SURYA PAMENANG - ESPRIME</v>
      </c>
      <c r="AD240" s="2746">
        <f>IF(L240&gt;0,IF(input!$B$2=$O$1,(((M240)+(M240)*$M$10)*$P$11)/1000,(((M240)+(M240)*O240+(M240)*$M$10)*$P$11)/1000),0)</f>
        <v>726.06239999999991</v>
      </c>
      <c r="AE240" s="2746">
        <f>IF(L240&gt;0,IF(input!$B$2=$O$1,(((N240)+(N240)*$M$10)*$P$11)/1000,(((N240)+(N240)*O240+(N240)*$M$10)*$P$11)/1000),0)</f>
        <v>605.05200000000002</v>
      </c>
      <c r="AF240" s="136" t="str">
        <f t="shared" si="61"/>
        <v>FSC</v>
      </c>
      <c r="AG240" s="2628">
        <f t="shared" si="62"/>
        <v>0.02</v>
      </c>
      <c r="AH240" s="1266">
        <v>0.1</v>
      </c>
    </row>
    <row r="241" spans="1:34" ht="12.75">
      <c r="A241" s="2199">
        <f t="shared" si="48"/>
        <v>229</v>
      </c>
      <c r="B241" s="2200" t="s">
        <v>898</v>
      </c>
      <c r="C241" s="2743">
        <v>0</v>
      </c>
      <c r="D241" s="2743">
        <v>885</v>
      </c>
      <c r="E241" s="2949">
        <v>0</v>
      </c>
      <c r="F241" s="2200">
        <v>25</v>
      </c>
      <c r="G241" s="2200" t="s">
        <v>2038</v>
      </c>
      <c r="H241" s="2200" t="s">
        <v>1057</v>
      </c>
      <c r="I241" s="2742">
        <v>30</v>
      </c>
      <c r="J241" s="2742"/>
      <c r="K241" s="2752">
        <v>75</v>
      </c>
      <c r="L241" s="2745">
        <f t="shared" si="49"/>
        <v>885</v>
      </c>
      <c r="M241" s="2745">
        <f t="shared" si="53"/>
        <v>30</v>
      </c>
      <c r="N241" s="2745">
        <f t="shared" si="54"/>
        <v>25</v>
      </c>
      <c r="O241" s="1232">
        <f t="shared" si="55"/>
        <v>0</v>
      </c>
      <c r="P241" s="1227" t="str">
        <f t="shared" si="56"/>
        <v>230gsm IVORY SURYA PAMENANG - ESPRIME</v>
      </c>
      <c r="Q241" s="254">
        <v>0.315</v>
      </c>
      <c r="R241" s="1228" t="str">
        <f t="shared" si="57"/>
        <v>230</v>
      </c>
      <c r="S241" s="2625">
        <f t="shared" si="50"/>
        <v>0</v>
      </c>
      <c r="T241" s="2747">
        <f>IF(L241&gt;0,IF(input!$B$2=$O$1,(((L241+Y241/22)+(L241+Y241/22)*$AG241+$X241)*$P$11+$M$7)/1000,(((L241+Y241/22)+(L241+Y241/22)*O241+(L241+Y241/22)*$AG241+$X241)*$P$11+$M$7)/1000),0)</f>
        <v>22273.827000000001</v>
      </c>
      <c r="U241" s="2747">
        <f t="shared" si="51"/>
        <v>0</v>
      </c>
      <c r="V241" s="1229"/>
      <c r="W241" s="1231" t="str">
        <f t="shared" si="52"/>
        <v>CIF</v>
      </c>
      <c r="X241" s="1230">
        <f t="shared" si="63"/>
        <v>0</v>
      </c>
      <c r="Y241" s="2625">
        <f t="shared" si="60"/>
        <v>0</v>
      </c>
      <c r="Z241" s="3208">
        <f t="shared" si="58"/>
        <v>838.18181818181813</v>
      </c>
      <c r="AA241" s="1220" t="s">
        <v>1364</v>
      </c>
      <c r="AB241" s="1220" t="s">
        <v>1395</v>
      </c>
      <c r="AC241" s="251" t="str">
        <f t="shared" si="59"/>
        <v>230gsm IVORY SURYA PAMENANG - ESPRIME</v>
      </c>
      <c r="AD241" s="2746">
        <f>IF(L241&gt;0,IF(input!$B$2=$O$1,(((M241)+(M241)*$M$10)*$P$11)/1000,(((M241)+(M241)*O241+(M241)*$M$10)*$P$11)/1000),0)</f>
        <v>726.06239999999991</v>
      </c>
      <c r="AE241" s="2746">
        <f>IF(L241&gt;0,IF(input!$B$2=$O$1,(((N241)+(N241)*$M$10)*$P$11)/1000,(((N241)+(N241)*O241+(N241)*$M$10)*$P$11)/1000),0)</f>
        <v>605.05200000000002</v>
      </c>
      <c r="AF241" s="136" t="str">
        <f t="shared" si="61"/>
        <v>FSC</v>
      </c>
      <c r="AG241" s="2628">
        <f t="shared" si="62"/>
        <v>0.02</v>
      </c>
      <c r="AH241" s="1266">
        <v>0.1</v>
      </c>
    </row>
    <row r="242" spans="1:34" ht="12.75">
      <c r="A242" s="2199">
        <f t="shared" si="48"/>
        <v>230</v>
      </c>
      <c r="B242" s="2200" t="s">
        <v>899</v>
      </c>
      <c r="C242" s="2743">
        <v>0</v>
      </c>
      <c r="D242" s="2743">
        <v>885</v>
      </c>
      <c r="E242" s="2949">
        <v>0</v>
      </c>
      <c r="F242" s="2200">
        <v>25</v>
      </c>
      <c r="G242" s="2200" t="s">
        <v>2038</v>
      </c>
      <c r="H242" s="2200" t="s">
        <v>1057</v>
      </c>
      <c r="I242" s="2742">
        <v>30</v>
      </c>
      <c r="J242" s="2742"/>
      <c r="K242" s="2752">
        <v>75</v>
      </c>
      <c r="L242" s="2745">
        <f t="shared" si="49"/>
        <v>885</v>
      </c>
      <c r="M242" s="2745">
        <f t="shared" si="53"/>
        <v>30</v>
      </c>
      <c r="N242" s="2745">
        <f t="shared" si="54"/>
        <v>25</v>
      </c>
      <c r="O242" s="1232">
        <f t="shared" si="55"/>
        <v>0</v>
      </c>
      <c r="P242" s="1227" t="str">
        <f t="shared" si="56"/>
        <v>250gsm IVORY SURYA PAMENANG - ESPRIME</v>
      </c>
      <c r="Q242" s="254">
        <v>0.34499999999999997</v>
      </c>
      <c r="R242" s="1228" t="str">
        <f t="shared" si="57"/>
        <v>250</v>
      </c>
      <c r="S242" s="2625">
        <f t="shared" si="50"/>
        <v>0</v>
      </c>
      <c r="T242" s="2747">
        <f>IF(L242&gt;0,IF(input!$B$2=$O$1,(((L242+Y242/22)+(L242+Y242/22)*$AG242+$X242)*$P$11+$M$7)/1000,(((L242+Y242/22)+(L242+Y242/22)*O242+(L242+Y242/22)*$AG242+$X242)*$P$11+$M$7)/1000),0)</f>
        <v>22273.827000000001</v>
      </c>
      <c r="U242" s="2747">
        <f t="shared" si="51"/>
        <v>0</v>
      </c>
      <c r="V242" s="1229"/>
      <c r="W242" s="1231" t="str">
        <f t="shared" si="52"/>
        <v>CIF</v>
      </c>
      <c r="X242" s="1230">
        <f t="shared" si="63"/>
        <v>0</v>
      </c>
      <c r="Y242" s="2625">
        <f t="shared" si="60"/>
        <v>0</v>
      </c>
      <c r="Z242" s="3208">
        <f t="shared" si="58"/>
        <v>838.18181818181813</v>
      </c>
      <c r="AA242" s="1220" t="s">
        <v>1364</v>
      </c>
      <c r="AB242" s="1220" t="s">
        <v>1395</v>
      </c>
      <c r="AC242" s="251" t="str">
        <f t="shared" si="59"/>
        <v>250gsm IVORY SURYA PAMENANG - ESPRIME</v>
      </c>
      <c r="AD242" s="2746">
        <f>IF(L242&gt;0,IF(input!$B$2=$O$1,(((M242)+(M242)*$M$10)*$P$11)/1000,(((M242)+(M242)*O242+(M242)*$M$10)*$P$11)/1000),0)</f>
        <v>726.06239999999991</v>
      </c>
      <c r="AE242" s="2746">
        <f>IF(L242&gt;0,IF(input!$B$2=$O$1,(((N242)+(N242)*$M$10)*$P$11)/1000,(((N242)+(N242)*O242+(N242)*$M$10)*$P$11)/1000),0)</f>
        <v>605.05200000000002</v>
      </c>
      <c r="AF242" s="136" t="str">
        <f t="shared" si="61"/>
        <v>FSC</v>
      </c>
      <c r="AG242" s="2628">
        <f t="shared" si="62"/>
        <v>0.02</v>
      </c>
      <c r="AH242" s="1266">
        <v>0.1</v>
      </c>
    </row>
    <row r="243" spans="1:34" ht="12.75">
      <c r="A243" s="2199">
        <f t="shared" si="48"/>
        <v>231</v>
      </c>
      <c r="B243" s="2200" t="s">
        <v>900</v>
      </c>
      <c r="C243" s="2743">
        <v>0</v>
      </c>
      <c r="D243" s="2743">
        <v>885</v>
      </c>
      <c r="E243" s="2949">
        <v>0</v>
      </c>
      <c r="F243" s="2200">
        <v>25</v>
      </c>
      <c r="G243" s="2200" t="s">
        <v>2038</v>
      </c>
      <c r="H243" s="2200" t="s">
        <v>1057</v>
      </c>
      <c r="I243" s="2742">
        <v>30</v>
      </c>
      <c r="J243" s="2742"/>
      <c r="K243" s="2752">
        <v>75</v>
      </c>
      <c r="L243" s="2745">
        <f t="shared" si="49"/>
        <v>885</v>
      </c>
      <c r="M243" s="2745">
        <f t="shared" si="53"/>
        <v>30</v>
      </c>
      <c r="N243" s="2745">
        <f t="shared" si="54"/>
        <v>25</v>
      </c>
      <c r="O243" s="1232">
        <f t="shared" si="55"/>
        <v>0</v>
      </c>
      <c r="P243" s="1227" t="str">
        <f t="shared" si="56"/>
        <v>270gsm IVORY SURYA PAMENANG - ESPRIME</v>
      </c>
      <c r="Q243" s="254">
        <v>0.37</v>
      </c>
      <c r="R243" s="1228" t="str">
        <f t="shared" si="57"/>
        <v>270</v>
      </c>
      <c r="S243" s="2625">
        <f t="shared" si="50"/>
        <v>0</v>
      </c>
      <c r="T243" s="2747">
        <f>IF(L243&gt;0,IF(input!$B$2=$O$1,(((L243+Y243/22)+(L243+Y243/22)*$AG243+$X243)*$P$11+$M$7)/1000,(((L243+Y243/22)+(L243+Y243/22)*O243+(L243+Y243/22)*$AG243+$X243)*$P$11+$M$7)/1000),0)</f>
        <v>22273.827000000001</v>
      </c>
      <c r="U243" s="2747">
        <f t="shared" si="51"/>
        <v>0</v>
      </c>
      <c r="V243" s="1229"/>
      <c r="W243" s="1231" t="str">
        <f t="shared" si="52"/>
        <v>CIF</v>
      </c>
      <c r="X243" s="1230">
        <f t="shared" si="63"/>
        <v>0</v>
      </c>
      <c r="Y243" s="2625">
        <f t="shared" si="60"/>
        <v>0</v>
      </c>
      <c r="Z243" s="3208">
        <f t="shared" si="58"/>
        <v>838.18181818181813</v>
      </c>
      <c r="AA243" s="1220" t="s">
        <v>1364</v>
      </c>
      <c r="AB243" s="1220" t="s">
        <v>1395</v>
      </c>
      <c r="AC243" s="251" t="str">
        <f t="shared" si="59"/>
        <v>270gsm IVORY SURYA PAMENANG - ESPRIME</v>
      </c>
      <c r="AD243" s="2746">
        <f>IF(L243&gt;0,IF(input!$B$2=$O$1,(((M243)+(M243)*$M$10)*$P$11)/1000,(((M243)+(M243)*O243+(M243)*$M$10)*$P$11)/1000),0)</f>
        <v>726.06239999999991</v>
      </c>
      <c r="AE243" s="2746">
        <f>IF(L243&gt;0,IF(input!$B$2=$O$1,(((N243)+(N243)*$M$10)*$P$11)/1000,(((N243)+(N243)*O243+(N243)*$M$10)*$P$11)/1000),0)</f>
        <v>605.05200000000002</v>
      </c>
      <c r="AF243" s="136" t="str">
        <f t="shared" si="61"/>
        <v>FSC</v>
      </c>
      <c r="AG243" s="2628">
        <f t="shared" si="62"/>
        <v>0.02</v>
      </c>
      <c r="AH243" s="1266">
        <v>0.1</v>
      </c>
    </row>
    <row r="244" spans="1:34" ht="12.75">
      <c r="A244" s="2199">
        <f t="shared" si="48"/>
        <v>232</v>
      </c>
      <c r="B244" s="2200" t="s">
        <v>901</v>
      </c>
      <c r="C244" s="2743">
        <v>0</v>
      </c>
      <c r="D244" s="2743">
        <v>885</v>
      </c>
      <c r="E244" s="2949">
        <v>0</v>
      </c>
      <c r="F244" s="2200">
        <v>25</v>
      </c>
      <c r="G244" s="2200" t="s">
        <v>2038</v>
      </c>
      <c r="H244" s="2200" t="s">
        <v>1057</v>
      </c>
      <c r="I244" s="2742">
        <v>30</v>
      </c>
      <c r="J244" s="2742"/>
      <c r="K244" s="2752">
        <v>75</v>
      </c>
      <c r="L244" s="2745">
        <f t="shared" si="49"/>
        <v>885</v>
      </c>
      <c r="M244" s="2745">
        <f t="shared" si="53"/>
        <v>30</v>
      </c>
      <c r="N244" s="2745">
        <f t="shared" si="54"/>
        <v>25</v>
      </c>
      <c r="O244" s="1232">
        <f t="shared" si="55"/>
        <v>0</v>
      </c>
      <c r="P244" s="1227" t="str">
        <f t="shared" si="56"/>
        <v>300gsm IVORY SURYA PAMENANG - ESPRIME</v>
      </c>
      <c r="Q244" s="254">
        <v>0.41499999999999998</v>
      </c>
      <c r="R244" s="1228" t="str">
        <f t="shared" si="57"/>
        <v>300</v>
      </c>
      <c r="S244" s="2625">
        <f t="shared" si="50"/>
        <v>0</v>
      </c>
      <c r="T244" s="2747">
        <f>IF(L244&gt;0,IF(input!$B$2=$O$1,(((L244+Y244/22)+(L244+Y244/22)*$AG244+$X244)*$P$11+$M$7)/1000,(((L244+Y244/22)+(L244+Y244/22)*O244+(L244+Y244/22)*$AG244+$X244)*$P$11+$M$7)/1000),0)</f>
        <v>22273.827000000001</v>
      </c>
      <c r="U244" s="2747">
        <f t="shared" si="51"/>
        <v>0</v>
      </c>
      <c r="V244" s="1229"/>
      <c r="W244" s="1231" t="str">
        <f t="shared" si="52"/>
        <v>CIF</v>
      </c>
      <c r="X244" s="1230">
        <f t="shared" si="63"/>
        <v>0</v>
      </c>
      <c r="Y244" s="2625">
        <f t="shared" si="60"/>
        <v>0</v>
      </c>
      <c r="Z244" s="3208">
        <f t="shared" si="58"/>
        <v>838.18181818181813</v>
      </c>
      <c r="AA244" s="1220" t="s">
        <v>1364</v>
      </c>
      <c r="AB244" s="1220" t="s">
        <v>1395</v>
      </c>
      <c r="AC244" s="251" t="str">
        <f t="shared" si="59"/>
        <v>300gsm IVORY SURYA PAMENANG - ESPRIME</v>
      </c>
      <c r="AD244" s="2746">
        <f>IF(L244&gt;0,IF(input!$B$2=$O$1,(((M244)+(M244)*$M$10)*$P$11)/1000,(((M244)+(M244)*O244+(M244)*$M$10)*$P$11)/1000),0)</f>
        <v>726.06239999999991</v>
      </c>
      <c r="AE244" s="2746">
        <f>IF(L244&gt;0,IF(input!$B$2=$O$1,(((N244)+(N244)*$M$10)*$P$11)/1000,(((N244)+(N244)*O244+(N244)*$M$10)*$P$11)/1000),0)</f>
        <v>605.05200000000002</v>
      </c>
      <c r="AF244" s="136" t="str">
        <f t="shared" si="61"/>
        <v>FSC</v>
      </c>
      <c r="AG244" s="2628">
        <f t="shared" si="62"/>
        <v>0.02</v>
      </c>
      <c r="AH244" s="1266">
        <v>0.1</v>
      </c>
    </row>
    <row r="245" spans="1:34" ht="12.75">
      <c r="A245" s="2199">
        <f t="shared" si="48"/>
        <v>233</v>
      </c>
      <c r="B245" s="2200" t="s">
        <v>902</v>
      </c>
      <c r="C245" s="2743">
        <v>0</v>
      </c>
      <c r="D245" s="2743">
        <v>885</v>
      </c>
      <c r="E245" s="2949">
        <v>0</v>
      </c>
      <c r="F245" s="2200">
        <v>25</v>
      </c>
      <c r="G245" s="2200" t="s">
        <v>2038</v>
      </c>
      <c r="H245" s="2200" t="s">
        <v>1057</v>
      </c>
      <c r="I245" s="2742">
        <v>30</v>
      </c>
      <c r="J245" s="2742"/>
      <c r="K245" s="2752">
        <v>75</v>
      </c>
      <c r="L245" s="2745">
        <f t="shared" si="49"/>
        <v>885</v>
      </c>
      <c r="M245" s="2745">
        <f t="shared" si="53"/>
        <v>30</v>
      </c>
      <c r="N245" s="2745">
        <f t="shared" si="54"/>
        <v>25</v>
      </c>
      <c r="O245" s="1232">
        <f t="shared" si="55"/>
        <v>0</v>
      </c>
      <c r="P245" s="1227" t="str">
        <f t="shared" si="56"/>
        <v>350gsm IVORY SURYA PAMENANG - ESPRIME</v>
      </c>
      <c r="Q245" s="254">
        <v>0.5</v>
      </c>
      <c r="R245" s="1228" t="str">
        <f t="shared" si="57"/>
        <v>350</v>
      </c>
      <c r="S245" s="2625">
        <f t="shared" si="50"/>
        <v>0</v>
      </c>
      <c r="T245" s="2747">
        <f>IF(L245&gt;0,IF(input!$B$2=$O$1,(((L245+Y245/22)+(L245+Y245/22)*$AG245+$X245)*$P$11+$M$7)/1000,(((L245+Y245/22)+(L245+Y245/22)*O245+(L245+Y245/22)*$AG245+$X245)*$P$11+$M$7)/1000),0)</f>
        <v>22273.827000000001</v>
      </c>
      <c r="U245" s="2747">
        <f t="shared" si="51"/>
        <v>0</v>
      </c>
      <c r="V245" s="1229"/>
      <c r="W245" s="1231" t="str">
        <f t="shared" si="52"/>
        <v>CIF</v>
      </c>
      <c r="X245" s="1230">
        <f t="shared" si="63"/>
        <v>0</v>
      </c>
      <c r="Y245" s="2625">
        <f t="shared" si="60"/>
        <v>0</v>
      </c>
      <c r="Z245" s="3208">
        <f t="shared" si="58"/>
        <v>838.18181818181813</v>
      </c>
      <c r="AA245" s="1220" t="s">
        <v>1364</v>
      </c>
      <c r="AB245" s="1220" t="s">
        <v>1395</v>
      </c>
      <c r="AC245" s="251" t="str">
        <f t="shared" si="59"/>
        <v>350gsm IVORY SURYA PAMENANG - ESPRIME</v>
      </c>
      <c r="AD245" s="2746">
        <f>IF(L245&gt;0,IF(input!$B$2=$O$1,(((M245)+(M245)*$M$10)*$P$11)/1000,(((M245)+(M245)*O245+(M245)*$M$10)*$P$11)/1000),0)</f>
        <v>726.06239999999991</v>
      </c>
      <c r="AE245" s="2746">
        <f>IF(L245&gt;0,IF(input!$B$2=$O$1,(((N245)+(N245)*$M$10)*$P$11)/1000,(((N245)+(N245)*O245+(N245)*$M$10)*$P$11)/1000),0)</f>
        <v>605.05200000000002</v>
      </c>
      <c r="AF245" s="136" t="str">
        <f t="shared" si="61"/>
        <v>FSC</v>
      </c>
      <c r="AG245" s="2628">
        <f t="shared" si="62"/>
        <v>0.02</v>
      </c>
      <c r="AH245" s="1266">
        <v>0.1</v>
      </c>
    </row>
    <row r="246" spans="1:34" ht="12.75">
      <c r="A246" s="2199">
        <f t="shared" si="48"/>
        <v>234</v>
      </c>
      <c r="B246" s="2200" t="s">
        <v>903</v>
      </c>
      <c r="C246" s="2743">
        <v>0</v>
      </c>
      <c r="D246" s="2743">
        <v>885</v>
      </c>
      <c r="E246" s="2949">
        <v>0</v>
      </c>
      <c r="F246" s="2200">
        <v>25</v>
      </c>
      <c r="G246" s="2200" t="s">
        <v>2038</v>
      </c>
      <c r="H246" s="2200" t="s">
        <v>1057</v>
      </c>
      <c r="I246" s="2742">
        <v>30</v>
      </c>
      <c r="J246" s="2742"/>
      <c r="K246" s="2752">
        <v>75</v>
      </c>
      <c r="L246" s="2745">
        <f t="shared" si="49"/>
        <v>885</v>
      </c>
      <c r="M246" s="2745">
        <f t="shared" si="53"/>
        <v>30</v>
      </c>
      <c r="N246" s="2745">
        <f t="shared" si="54"/>
        <v>25</v>
      </c>
      <c r="O246" s="1232">
        <f t="shared" si="55"/>
        <v>0</v>
      </c>
      <c r="P246" s="1227" t="str">
        <f t="shared" si="56"/>
        <v>390gsm IVORY SURYA PAMENANG - ESPRIME</v>
      </c>
      <c r="Q246" s="254">
        <v>0.56000000000000005</v>
      </c>
      <c r="R246" s="1228" t="str">
        <f t="shared" si="57"/>
        <v>390</v>
      </c>
      <c r="S246" s="2625">
        <f t="shared" si="50"/>
        <v>0</v>
      </c>
      <c r="T246" s="2747">
        <f>IF(L246&gt;0,IF(input!$B$2=$O$1,(((L246+Y246/22)+(L246+Y246/22)*$AG246+$X246)*$P$11+$M$7)/1000,(((L246+Y246/22)+(L246+Y246/22)*O246+(L246+Y246/22)*$AG246+$X246)*$P$11+$M$7)/1000),0)</f>
        <v>22273.827000000001</v>
      </c>
      <c r="U246" s="2747">
        <f t="shared" si="51"/>
        <v>0</v>
      </c>
      <c r="V246" s="1229"/>
      <c r="W246" s="1231" t="str">
        <f t="shared" si="52"/>
        <v>CIF</v>
      </c>
      <c r="X246" s="1230">
        <f t="shared" si="63"/>
        <v>0</v>
      </c>
      <c r="Y246" s="2625">
        <f t="shared" si="60"/>
        <v>0</v>
      </c>
      <c r="Z246" s="3208">
        <f t="shared" si="58"/>
        <v>838.18181818181813</v>
      </c>
      <c r="AA246" s="1220" t="s">
        <v>1364</v>
      </c>
      <c r="AB246" s="1220" t="s">
        <v>1395</v>
      </c>
      <c r="AC246" s="251" t="str">
        <f t="shared" si="59"/>
        <v>390gsm IVORY SURYA PAMENANG - ESPRIME</v>
      </c>
      <c r="AD246" s="2746">
        <f>IF(L246&gt;0,IF(input!$B$2=$O$1,(((M246)+(M246)*$M$10)*$P$11)/1000,(((M246)+(M246)*O246+(M246)*$M$10)*$P$11)/1000),0)</f>
        <v>726.06239999999991</v>
      </c>
      <c r="AE246" s="2746">
        <f>IF(L246&gt;0,IF(input!$B$2=$O$1,(((N246)+(N246)*$M$10)*$P$11)/1000,(((N246)+(N246)*O246+(N246)*$M$10)*$P$11)/1000),0)</f>
        <v>605.05200000000002</v>
      </c>
      <c r="AF246" s="136" t="str">
        <f t="shared" si="61"/>
        <v>FSC</v>
      </c>
      <c r="AG246" s="2628">
        <f t="shared" si="62"/>
        <v>0.02</v>
      </c>
      <c r="AH246" s="1266">
        <v>0.1</v>
      </c>
    </row>
    <row r="247" spans="1:34" ht="12.75">
      <c r="A247" s="2199">
        <f t="shared" si="48"/>
        <v>235</v>
      </c>
      <c r="B247" s="2200" t="s">
        <v>904</v>
      </c>
      <c r="C247" s="2743">
        <v>0</v>
      </c>
      <c r="D247" s="2743">
        <v>885</v>
      </c>
      <c r="E247" s="2949">
        <v>0</v>
      </c>
      <c r="F247" s="2200">
        <v>25</v>
      </c>
      <c r="G247" s="2200" t="s">
        <v>2038</v>
      </c>
      <c r="H247" s="2200" t="s">
        <v>1057</v>
      </c>
      <c r="I247" s="2742">
        <v>30</v>
      </c>
      <c r="J247" s="2742"/>
      <c r="K247" s="2752">
        <v>75</v>
      </c>
      <c r="L247" s="2745">
        <f t="shared" si="49"/>
        <v>885</v>
      </c>
      <c r="M247" s="2745">
        <f t="shared" si="53"/>
        <v>30</v>
      </c>
      <c r="N247" s="2745">
        <f t="shared" si="54"/>
        <v>25</v>
      </c>
      <c r="O247" s="1232">
        <f t="shared" si="55"/>
        <v>0</v>
      </c>
      <c r="P247" s="1227" t="str">
        <f t="shared" si="56"/>
        <v>400gsm IVORY SURYA PAMENANG - ESPRIME</v>
      </c>
      <c r="Q247" s="254">
        <v>0.56000000000000005</v>
      </c>
      <c r="R247" s="1228" t="str">
        <f t="shared" si="57"/>
        <v>400</v>
      </c>
      <c r="S247" s="2625">
        <f t="shared" si="50"/>
        <v>0</v>
      </c>
      <c r="T247" s="2747">
        <f>IF(L247&gt;0,IF(input!$B$2=$O$1,(((L247+Y247/22)+(L247+Y247/22)*$AG247+$X247)*$P$11+$M$7)/1000,(((L247+Y247/22)+(L247+Y247/22)*O247+(L247+Y247/22)*$AG247+$X247)*$P$11+$M$7)/1000),0)</f>
        <v>22273.827000000001</v>
      </c>
      <c r="U247" s="2747">
        <f t="shared" si="51"/>
        <v>0</v>
      </c>
      <c r="V247" s="1229"/>
      <c r="W247" s="1231" t="str">
        <f t="shared" si="52"/>
        <v>CIF</v>
      </c>
      <c r="X247" s="1230">
        <f t="shared" si="63"/>
        <v>0</v>
      </c>
      <c r="Y247" s="2625">
        <f t="shared" si="60"/>
        <v>0</v>
      </c>
      <c r="Z247" s="3208">
        <f t="shared" si="58"/>
        <v>838.18181818181813</v>
      </c>
      <c r="AA247" s="1220" t="s">
        <v>1364</v>
      </c>
      <c r="AB247" s="1220" t="s">
        <v>1395</v>
      </c>
      <c r="AC247" s="251" t="str">
        <f t="shared" si="59"/>
        <v>400gsm IVORY SURYA PAMENANG - ESPRIME</v>
      </c>
      <c r="AD247" s="2746">
        <f>IF(L247&gt;0,IF(input!$B$2=$O$1,(((M247)+(M247)*$M$10)*$P$11)/1000,(((M247)+(M247)*O247+(M247)*$M$10)*$P$11)/1000),0)</f>
        <v>726.06239999999991</v>
      </c>
      <c r="AE247" s="2746">
        <f>IF(L247&gt;0,IF(input!$B$2=$O$1,(((N247)+(N247)*$M$10)*$P$11)/1000,(((N247)+(N247)*O247+(N247)*$M$10)*$P$11)/1000),0)</f>
        <v>605.05200000000002</v>
      </c>
      <c r="AF247" s="136" t="str">
        <f t="shared" si="61"/>
        <v>FSC</v>
      </c>
      <c r="AG247" s="2628">
        <f t="shared" si="62"/>
        <v>0.02</v>
      </c>
      <c r="AH247" s="1266">
        <v>0.1</v>
      </c>
    </row>
    <row r="248" spans="1:34" ht="12.75">
      <c r="A248" s="2199">
        <f t="shared" si="48"/>
        <v>236</v>
      </c>
      <c r="B248" s="2200" t="s">
        <v>905</v>
      </c>
      <c r="C248" s="2743">
        <v>0</v>
      </c>
      <c r="D248" s="2743">
        <v>0</v>
      </c>
      <c r="E248" s="2949">
        <v>0</v>
      </c>
      <c r="F248" s="2200">
        <v>25</v>
      </c>
      <c r="G248" s="2200" t="s">
        <v>2038</v>
      </c>
      <c r="H248" s="2200" t="s">
        <v>1057</v>
      </c>
      <c r="I248" s="2742">
        <v>30</v>
      </c>
      <c r="J248" s="2742"/>
      <c r="K248" s="2752">
        <v>45</v>
      </c>
      <c r="L248" s="2745">
        <f t="shared" si="49"/>
        <v>0</v>
      </c>
      <c r="M248" s="2745">
        <f t="shared" si="53"/>
        <v>30</v>
      </c>
      <c r="N248" s="2745">
        <f t="shared" si="54"/>
        <v>25</v>
      </c>
      <c r="O248" s="1232">
        <f t="shared" si="55"/>
        <v>0</v>
      </c>
      <c r="P248" s="1227" t="str">
        <f t="shared" si="56"/>
        <v>210gsm IVORY SURYA PAMENANG - ESPACK</v>
      </c>
      <c r="Q248" s="254">
        <v>0.27</v>
      </c>
      <c r="R248" s="1228" t="str">
        <f t="shared" si="57"/>
        <v>210</v>
      </c>
      <c r="S248" s="2625">
        <f t="shared" si="50"/>
        <v>0</v>
      </c>
      <c r="T248" s="2747">
        <f>IF(L248&gt;0,IF(input!$B$2=$O$1,(((L248+Y248/22)+(L248+Y248/22)*$AG248+$X248)*$P$11+$M$7)/1000,(((L248+Y248/22)+(L248+Y248/22)*O248+(L248+Y248/22)*$AG248+$X248)*$P$11+$M$7)/1000),0)</f>
        <v>0</v>
      </c>
      <c r="U248" s="2747">
        <f t="shared" si="51"/>
        <v>0</v>
      </c>
      <c r="V248" s="1229"/>
      <c r="W248" s="1231" t="str">
        <f t="shared" si="52"/>
        <v>CIF</v>
      </c>
      <c r="X248" s="1230">
        <f t="shared" si="63"/>
        <v>0</v>
      </c>
      <c r="Y248" s="2625">
        <f t="shared" si="60"/>
        <v>0</v>
      </c>
      <c r="Z248" s="3208">
        <f t="shared" si="58"/>
        <v>838.18181818181813</v>
      </c>
      <c r="AA248" s="1220" t="s">
        <v>1365</v>
      </c>
      <c r="AB248" s="1220" t="s">
        <v>1395</v>
      </c>
      <c r="AC248" s="251" t="str">
        <f t="shared" si="59"/>
        <v>210gsm IVORY SURYA PAMENANG - ESPACK</v>
      </c>
      <c r="AD248" s="2746">
        <f>IF(L248&gt;0,IF(input!$B$2=$O$1,(((M248)+(M248)*$M$10)*$P$11)/1000,(((M248)+(M248)*O248+(M248)*$M$10)*$P$11)/1000),0)</f>
        <v>0</v>
      </c>
      <c r="AE248" s="2746">
        <f>IF(L248&gt;0,IF(input!$B$2=$O$1,(((N248)+(N248)*$M$10)*$P$11)/1000,(((N248)+(N248)*O248+(N248)*$M$10)*$P$11)/1000),0)</f>
        <v>0</v>
      </c>
      <c r="AF248" s="136" t="str">
        <f t="shared" si="61"/>
        <v>FSC</v>
      </c>
      <c r="AG248" s="2628">
        <f t="shared" si="62"/>
        <v>1.2E-2</v>
      </c>
      <c r="AH248" s="1266">
        <v>0.1</v>
      </c>
    </row>
    <row r="249" spans="1:34" ht="12.75">
      <c r="A249" s="2199">
        <f t="shared" si="48"/>
        <v>237</v>
      </c>
      <c r="B249" s="2200" t="s">
        <v>906</v>
      </c>
      <c r="C249" s="2743">
        <v>0</v>
      </c>
      <c r="D249" s="2743">
        <v>0</v>
      </c>
      <c r="E249" s="2949">
        <v>0</v>
      </c>
      <c r="F249" s="2200">
        <v>25</v>
      </c>
      <c r="G249" s="2200" t="s">
        <v>2038</v>
      </c>
      <c r="H249" s="2200" t="s">
        <v>1057</v>
      </c>
      <c r="I249" s="2742">
        <v>30</v>
      </c>
      <c r="J249" s="2742"/>
      <c r="K249" s="2752">
        <v>45</v>
      </c>
      <c r="L249" s="2745">
        <f t="shared" si="49"/>
        <v>0</v>
      </c>
      <c r="M249" s="2745">
        <f t="shared" si="53"/>
        <v>30</v>
      </c>
      <c r="N249" s="2745">
        <f t="shared" si="54"/>
        <v>25</v>
      </c>
      <c r="O249" s="1232">
        <f t="shared" si="55"/>
        <v>0</v>
      </c>
      <c r="P249" s="1227" t="str">
        <f t="shared" si="56"/>
        <v>230gsm IVORY SURYA PAMENANG - ESPACK</v>
      </c>
      <c r="Q249" s="254">
        <v>0.315</v>
      </c>
      <c r="R249" s="1228" t="str">
        <f t="shared" si="57"/>
        <v>230</v>
      </c>
      <c r="S249" s="2625">
        <f t="shared" si="50"/>
        <v>0</v>
      </c>
      <c r="T249" s="2747">
        <f>IF(L249&gt;0,IF(input!$B$2=$O$1,(((L249+Y249/22)+(L249+Y249/22)*$AG249+$X249)*$P$11+$M$7)/1000,(((L249+Y249/22)+(L249+Y249/22)*O249+(L249+Y249/22)*$AG249+$X249)*$P$11+$M$7)/1000),0)</f>
        <v>0</v>
      </c>
      <c r="U249" s="2747">
        <f t="shared" si="51"/>
        <v>0</v>
      </c>
      <c r="V249" s="1229"/>
      <c r="W249" s="1231" t="str">
        <f t="shared" si="52"/>
        <v>CIF</v>
      </c>
      <c r="X249" s="1230">
        <f t="shared" si="63"/>
        <v>0</v>
      </c>
      <c r="Y249" s="2625">
        <f t="shared" si="60"/>
        <v>0</v>
      </c>
      <c r="Z249" s="3208">
        <f t="shared" si="58"/>
        <v>838.18181818181813</v>
      </c>
      <c r="AA249" s="1220" t="s">
        <v>1365</v>
      </c>
      <c r="AB249" s="1220" t="s">
        <v>1395</v>
      </c>
      <c r="AC249" s="251" t="str">
        <f t="shared" si="59"/>
        <v>230gsm IVORY SURYA PAMENANG - ESPACK</v>
      </c>
      <c r="AD249" s="2746">
        <f>IF(L249&gt;0,IF(input!$B$2=$O$1,(((M249)+(M249)*$M$10)*$P$11)/1000,(((M249)+(M249)*O249+(M249)*$M$10)*$P$11)/1000),0)</f>
        <v>0</v>
      </c>
      <c r="AE249" s="2746">
        <f>IF(L249&gt;0,IF(input!$B$2=$O$1,(((N249)+(N249)*$M$10)*$P$11)/1000,(((N249)+(N249)*O249+(N249)*$M$10)*$P$11)/1000),0)</f>
        <v>0</v>
      </c>
      <c r="AF249" s="136" t="str">
        <f t="shared" si="61"/>
        <v>FSC</v>
      </c>
      <c r="AG249" s="2628">
        <f t="shared" si="62"/>
        <v>1.2E-2</v>
      </c>
      <c r="AH249" s="1266">
        <v>0.1</v>
      </c>
    </row>
    <row r="250" spans="1:34" ht="12.75">
      <c r="A250" s="2199">
        <f t="shared" si="48"/>
        <v>238</v>
      </c>
      <c r="B250" s="2200" t="s">
        <v>907</v>
      </c>
      <c r="C250" s="2743">
        <v>0</v>
      </c>
      <c r="D250" s="2743">
        <v>0</v>
      </c>
      <c r="E250" s="2949">
        <v>0</v>
      </c>
      <c r="F250" s="2200">
        <v>25</v>
      </c>
      <c r="G250" s="2200" t="s">
        <v>2038</v>
      </c>
      <c r="H250" s="2200" t="s">
        <v>1057</v>
      </c>
      <c r="I250" s="2742">
        <v>30</v>
      </c>
      <c r="J250" s="2742"/>
      <c r="K250" s="2752">
        <v>45</v>
      </c>
      <c r="L250" s="2745">
        <f t="shared" si="49"/>
        <v>0</v>
      </c>
      <c r="M250" s="2745">
        <f t="shared" si="53"/>
        <v>30</v>
      </c>
      <c r="N250" s="2745">
        <f t="shared" si="54"/>
        <v>25</v>
      </c>
      <c r="O250" s="1232">
        <f t="shared" si="55"/>
        <v>0</v>
      </c>
      <c r="P250" s="1227" t="str">
        <f t="shared" si="56"/>
        <v>250gsm IVORY SURYA PAMENANG - ESPACK</v>
      </c>
      <c r="Q250" s="254">
        <v>0.34499999999999997</v>
      </c>
      <c r="R250" s="1228" t="str">
        <f t="shared" si="57"/>
        <v>250</v>
      </c>
      <c r="S250" s="2625">
        <f t="shared" si="50"/>
        <v>0</v>
      </c>
      <c r="T250" s="2747">
        <f>IF(L250&gt;0,IF(input!$B$2=$O$1,(((L250+Y250/22)+(L250+Y250/22)*$AG250+$X250)*$P$11+$M$7)/1000,(((L250+Y250/22)+(L250+Y250/22)*O250+(L250+Y250/22)*$AG250+$X250)*$P$11+$M$7)/1000),0)</f>
        <v>0</v>
      </c>
      <c r="U250" s="2747">
        <f t="shared" si="51"/>
        <v>0</v>
      </c>
      <c r="V250" s="1229"/>
      <c r="W250" s="1231" t="str">
        <f t="shared" si="52"/>
        <v>CIF</v>
      </c>
      <c r="X250" s="1230">
        <f t="shared" si="63"/>
        <v>0</v>
      </c>
      <c r="Y250" s="2625">
        <f t="shared" si="60"/>
        <v>0</v>
      </c>
      <c r="Z250" s="3208">
        <f t="shared" si="58"/>
        <v>838.18181818181813</v>
      </c>
      <c r="AA250" s="1220" t="s">
        <v>1365</v>
      </c>
      <c r="AB250" s="1220" t="s">
        <v>1395</v>
      </c>
      <c r="AC250" s="251" t="str">
        <f t="shared" si="59"/>
        <v>250gsm IVORY SURYA PAMENANG - ESPACK</v>
      </c>
      <c r="AD250" s="2746">
        <f>IF(L250&gt;0,IF(input!$B$2=$O$1,(((M250)+(M250)*$M$10)*$P$11)/1000,(((M250)+(M250)*O250+(M250)*$M$10)*$P$11)/1000),0)</f>
        <v>0</v>
      </c>
      <c r="AE250" s="2746">
        <f>IF(L250&gt;0,IF(input!$B$2=$O$1,(((N250)+(N250)*$M$10)*$P$11)/1000,(((N250)+(N250)*O250+(N250)*$M$10)*$P$11)/1000),0)</f>
        <v>0</v>
      </c>
      <c r="AF250" s="136" t="str">
        <f t="shared" si="61"/>
        <v>FSC</v>
      </c>
      <c r="AG250" s="2628">
        <f t="shared" si="62"/>
        <v>1.2E-2</v>
      </c>
      <c r="AH250" s="1266">
        <v>0.1</v>
      </c>
    </row>
    <row r="251" spans="1:34" ht="12.75">
      <c r="A251" s="2199">
        <f t="shared" si="48"/>
        <v>239</v>
      </c>
      <c r="B251" s="2200" t="s">
        <v>908</v>
      </c>
      <c r="C251" s="2743">
        <v>0</v>
      </c>
      <c r="D251" s="2743">
        <v>0</v>
      </c>
      <c r="E251" s="2949">
        <v>0</v>
      </c>
      <c r="F251" s="2200">
        <v>25</v>
      </c>
      <c r="G251" s="2200" t="s">
        <v>2038</v>
      </c>
      <c r="H251" s="2200" t="s">
        <v>1057</v>
      </c>
      <c r="I251" s="2742">
        <v>30</v>
      </c>
      <c r="J251" s="2742"/>
      <c r="K251" s="2752">
        <v>45</v>
      </c>
      <c r="L251" s="2745">
        <f t="shared" si="49"/>
        <v>0</v>
      </c>
      <c r="M251" s="2745">
        <f t="shared" si="53"/>
        <v>30</v>
      </c>
      <c r="N251" s="2745">
        <f t="shared" si="54"/>
        <v>25</v>
      </c>
      <c r="O251" s="1232">
        <f t="shared" si="55"/>
        <v>0</v>
      </c>
      <c r="P251" s="1227" t="str">
        <f t="shared" si="56"/>
        <v>270gsm IVORY SURYA PAMENANG - ESPACK</v>
      </c>
      <c r="Q251" s="254">
        <v>0.37</v>
      </c>
      <c r="R251" s="1228" t="str">
        <f t="shared" si="57"/>
        <v>270</v>
      </c>
      <c r="S251" s="2625">
        <f t="shared" si="50"/>
        <v>0</v>
      </c>
      <c r="T251" s="2747">
        <f>IF(L251&gt;0,IF(input!$B$2=$O$1,(((L251+Y251/22)+(L251+Y251/22)*$AG251+$X251)*$P$11+$M$7)/1000,(((L251+Y251/22)+(L251+Y251/22)*O251+(L251+Y251/22)*$AG251+$X251)*$P$11+$M$7)/1000),0)</f>
        <v>0</v>
      </c>
      <c r="U251" s="2747">
        <f t="shared" si="51"/>
        <v>0</v>
      </c>
      <c r="V251" s="1229"/>
      <c r="W251" s="1231" t="str">
        <f t="shared" si="52"/>
        <v>CIF</v>
      </c>
      <c r="X251" s="1230">
        <f t="shared" si="63"/>
        <v>0</v>
      </c>
      <c r="Y251" s="2625">
        <f t="shared" si="60"/>
        <v>0</v>
      </c>
      <c r="Z251" s="3208">
        <f t="shared" si="58"/>
        <v>838.18181818181813</v>
      </c>
      <c r="AA251" s="1220" t="s">
        <v>1365</v>
      </c>
      <c r="AB251" s="1220" t="s">
        <v>1395</v>
      </c>
      <c r="AC251" s="251" t="str">
        <f t="shared" si="59"/>
        <v>270gsm IVORY SURYA PAMENANG - ESPACK</v>
      </c>
      <c r="AD251" s="2746">
        <f>IF(L251&gt;0,IF(input!$B$2=$O$1,(((M251)+(M251)*$M$10)*$P$11)/1000,(((M251)+(M251)*O251+(M251)*$M$10)*$P$11)/1000),0)</f>
        <v>0</v>
      </c>
      <c r="AE251" s="2746">
        <f>IF(L251&gt;0,IF(input!$B$2=$O$1,(((N251)+(N251)*$M$10)*$P$11)/1000,(((N251)+(N251)*O251+(N251)*$M$10)*$P$11)/1000),0)</f>
        <v>0</v>
      </c>
      <c r="AF251" s="136" t="str">
        <f t="shared" si="61"/>
        <v>FSC</v>
      </c>
      <c r="AG251" s="2628">
        <f t="shared" si="62"/>
        <v>1.2E-2</v>
      </c>
      <c r="AH251" s="1266">
        <v>0.1</v>
      </c>
    </row>
    <row r="252" spans="1:34" ht="12.75">
      <c r="A252" s="2199">
        <f t="shared" si="48"/>
        <v>240</v>
      </c>
      <c r="B252" s="2200" t="s">
        <v>909</v>
      </c>
      <c r="C252" s="2743">
        <v>0</v>
      </c>
      <c r="D252" s="2743">
        <v>0</v>
      </c>
      <c r="E252" s="2949">
        <v>0</v>
      </c>
      <c r="F252" s="2200">
        <v>25</v>
      </c>
      <c r="G252" s="2200" t="s">
        <v>2038</v>
      </c>
      <c r="H252" s="2200" t="s">
        <v>1057</v>
      </c>
      <c r="I252" s="2742">
        <v>30</v>
      </c>
      <c r="J252" s="2742"/>
      <c r="K252" s="2752">
        <v>45</v>
      </c>
      <c r="L252" s="2745">
        <f t="shared" si="49"/>
        <v>0</v>
      </c>
      <c r="M252" s="2745">
        <f t="shared" si="53"/>
        <v>30</v>
      </c>
      <c r="N252" s="2745">
        <f t="shared" si="54"/>
        <v>25</v>
      </c>
      <c r="O252" s="1232">
        <f t="shared" si="55"/>
        <v>0</v>
      </c>
      <c r="P252" s="1227" t="str">
        <f t="shared" si="56"/>
        <v>300gsm IVORY SURYA PAMENANG - ESPACK</v>
      </c>
      <c r="Q252" s="254">
        <v>0.4</v>
      </c>
      <c r="R252" s="1228" t="str">
        <f t="shared" si="57"/>
        <v>300</v>
      </c>
      <c r="S252" s="2625">
        <f t="shared" si="50"/>
        <v>0</v>
      </c>
      <c r="T252" s="2747">
        <f>IF(L252&gt;0,IF(input!$B$2=$O$1,(((L252+Y252/22)+(L252+Y252/22)*$AG252+$X252)*$P$11+$M$7)/1000,(((L252+Y252/22)+(L252+Y252/22)*O252+(L252+Y252/22)*$AG252+$X252)*$P$11+$M$7)/1000),0)</f>
        <v>0</v>
      </c>
      <c r="U252" s="2747">
        <f t="shared" si="51"/>
        <v>0</v>
      </c>
      <c r="V252" s="1229"/>
      <c r="W252" s="1231" t="str">
        <f t="shared" si="52"/>
        <v>CIF</v>
      </c>
      <c r="X252" s="1230">
        <f t="shared" si="63"/>
        <v>0</v>
      </c>
      <c r="Y252" s="2625">
        <f t="shared" si="60"/>
        <v>0</v>
      </c>
      <c r="Z252" s="3208">
        <f t="shared" si="58"/>
        <v>838.18181818181813</v>
      </c>
      <c r="AA252" s="1220" t="s">
        <v>1365</v>
      </c>
      <c r="AB252" s="1220" t="s">
        <v>1395</v>
      </c>
      <c r="AC252" s="251" t="str">
        <f t="shared" si="59"/>
        <v>300gsm IVORY SURYA PAMENANG - ESPACK</v>
      </c>
      <c r="AD252" s="2746">
        <f>IF(L252&gt;0,IF(input!$B$2=$O$1,(((M252)+(M252)*$M$10)*$P$11)/1000,(((M252)+(M252)*O252+(M252)*$M$10)*$P$11)/1000),0)</f>
        <v>0</v>
      </c>
      <c r="AE252" s="2746">
        <f>IF(L252&gt;0,IF(input!$B$2=$O$1,(((N252)+(N252)*$M$10)*$P$11)/1000,(((N252)+(N252)*O252+(N252)*$M$10)*$P$11)/1000),0)</f>
        <v>0</v>
      </c>
      <c r="AF252" s="136" t="str">
        <f t="shared" si="61"/>
        <v>FSC</v>
      </c>
      <c r="AG252" s="2628">
        <f t="shared" si="62"/>
        <v>1.2E-2</v>
      </c>
      <c r="AH252" s="1266">
        <v>0.1</v>
      </c>
    </row>
    <row r="253" spans="1:34" ht="12.75">
      <c r="A253" s="2199">
        <f t="shared" si="48"/>
        <v>241</v>
      </c>
      <c r="B253" s="2200" t="s">
        <v>910</v>
      </c>
      <c r="C253" s="2743">
        <v>0</v>
      </c>
      <c r="D253" s="2743">
        <v>0</v>
      </c>
      <c r="E253" s="2949">
        <v>0</v>
      </c>
      <c r="F253" s="2200">
        <v>25</v>
      </c>
      <c r="G253" s="2200" t="s">
        <v>2038</v>
      </c>
      <c r="H253" s="2200" t="s">
        <v>1057</v>
      </c>
      <c r="I253" s="2742">
        <v>30</v>
      </c>
      <c r="J253" s="2742"/>
      <c r="K253" s="2752">
        <v>45</v>
      </c>
      <c r="L253" s="2745">
        <f t="shared" si="49"/>
        <v>0</v>
      </c>
      <c r="M253" s="2745">
        <f t="shared" si="53"/>
        <v>30</v>
      </c>
      <c r="N253" s="2745">
        <f t="shared" si="54"/>
        <v>25</v>
      </c>
      <c r="O253" s="1232">
        <f t="shared" si="55"/>
        <v>0</v>
      </c>
      <c r="P253" s="1227" t="str">
        <f t="shared" si="56"/>
        <v>350gsm IVORY SURYA PAMENANG - ESPACK</v>
      </c>
      <c r="Q253" s="254">
        <v>0.48</v>
      </c>
      <c r="R253" s="1228" t="str">
        <f t="shared" si="57"/>
        <v>350</v>
      </c>
      <c r="S253" s="2625">
        <f t="shared" si="50"/>
        <v>0</v>
      </c>
      <c r="T253" s="2747">
        <f>IF(L253&gt;0,IF(input!$B$2=$O$1,(((L253+Y253/22)+(L253+Y253/22)*$AG253+$X253)*$P$11+$M$7)/1000,(((L253+Y253/22)+(L253+Y253/22)*O253+(L253+Y253/22)*$AG253+$X253)*$P$11+$M$7)/1000),0)</f>
        <v>0</v>
      </c>
      <c r="U253" s="2747">
        <f t="shared" si="51"/>
        <v>0</v>
      </c>
      <c r="V253" s="1229"/>
      <c r="W253" s="1231" t="str">
        <f t="shared" si="52"/>
        <v>CIF</v>
      </c>
      <c r="X253" s="1230">
        <f t="shared" si="63"/>
        <v>0</v>
      </c>
      <c r="Y253" s="2625">
        <f t="shared" si="60"/>
        <v>0</v>
      </c>
      <c r="Z253" s="3208">
        <f t="shared" si="58"/>
        <v>838.18181818181813</v>
      </c>
      <c r="AA253" s="1220" t="s">
        <v>1365</v>
      </c>
      <c r="AB253" s="1220" t="s">
        <v>1395</v>
      </c>
      <c r="AC253" s="251" t="str">
        <f t="shared" si="59"/>
        <v>350gsm IVORY SURYA PAMENANG - ESPACK</v>
      </c>
      <c r="AD253" s="2746">
        <f>IF(L253&gt;0,IF(input!$B$2=$O$1,(((M253)+(M253)*$M$10)*$P$11)/1000,(((M253)+(M253)*O253+(M253)*$M$10)*$P$11)/1000),0)</f>
        <v>0</v>
      </c>
      <c r="AE253" s="2746">
        <f>IF(L253&gt;0,IF(input!$B$2=$O$1,(((N253)+(N253)*$M$10)*$P$11)/1000,(((N253)+(N253)*O253+(N253)*$M$10)*$P$11)/1000),0)</f>
        <v>0</v>
      </c>
      <c r="AF253" s="136" t="str">
        <f t="shared" si="61"/>
        <v>FSC</v>
      </c>
      <c r="AG253" s="2628">
        <f t="shared" si="62"/>
        <v>1.2E-2</v>
      </c>
      <c r="AH253" s="1266">
        <v>0.1</v>
      </c>
    </row>
    <row r="254" spans="1:34" ht="12.75">
      <c r="A254" s="2199">
        <f t="shared" si="48"/>
        <v>242</v>
      </c>
      <c r="B254" s="2200" t="s">
        <v>911</v>
      </c>
      <c r="C254" s="2743">
        <v>0</v>
      </c>
      <c r="D254" s="2743">
        <v>0</v>
      </c>
      <c r="E254" s="2949">
        <v>0</v>
      </c>
      <c r="F254" s="2200">
        <v>25</v>
      </c>
      <c r="G254" s="2200" t="s">
        <v>2038</v>
      </c>
      <c r="H254" s="2200" t="s">
        <v>1057</v>
      </c>
      <c r="I254" s="2742">
        <v>30</v>
      </c>
      <c r="J254" s="2742"/>
      <c r="K254" s="2752">
        <v>45</v>
      </c>
      <c r="L254" s="2745">
        <f t="shared" si="49"/>
        <v>0</v>
      </c>
      <c r="M254" s="2745">
        <f t="shared" si="53"/>
        <v>30</v>
      </c>
      <c r="N254" s="2745">
        <f t="shared" si="54"/>
        <v>25</v>
      </c>
      <c r="O254" s="1232">
        <f t="shared" si="55"/>
        <v>0</v>
      </c>
      <c r="P254" s="1227" t="str">
        <f t="shared" si="56"/>
        <v>400gsm IVORY SURYA PAMENANG - ESPACK</v>
      </c>
      <c r="Q254" s="254">
        <v>0.56999999999999995</v>
      </c>
      <c r="R254" s="1228" t="str">
        <f t="shared" si="57"/>
        <v>400</v>
      </c>
      <c r="S254" s="2625">
        <f t="shared" si="50"/>
        <v>0</v>
      </c>
      <c r="T254" s="2747">
        <f>IF(L254&gt;0,IF(input!$B$2=$O$1,(((L254+Y254/22)+(L254+Y254/22)*$AG254+$X254)*$P$11+$M$7)/1000,(((L254+Y254/22)+(L254+Y254/22)*O254+(L254+Y254/22)*$AG254+$X254)*$P$11+$M$7)/1000),0)</f>
        <v>0</v>
      </c>
      <c r="U254" s="2747">
        <f t="shared" si="51"/>
        <v>0</v>
      </c>
      <c r="V254" s="1229"/>
      <c r="W254" s="1231" t="str">
        <f t="shared" si="52"/>
        <v>CIF</v>
      </c>
      <c r="X254" s="1230">
        <f t="shared" si="63"/>
        <v>0</v>
      </c>
      <c r="Y254" s="2625">
        <f t="shared" si="60"/>
        <v>0</v>
      </c>
      <c r="Z254" s="3208">
        <f t="shared" si="58"/>
        <v>838.18181818181813</v>
      </c>
      <c r="AA254" s="1220" t="s">
        <v>1365</v>
      </c>
      <c r="AB254" s="1220" t="s">
        <v>1395</v>
      </c>
      <c r="AC254" s="251" t="str">
        <f t="shared" si="59"/>
        <v>400gsm IVORY SURYA PAMENANG - ESPACK</v>
      </c>
      <c r="AD254" s="2746">
        <f>IF(L254&gt;0,IF(input!$B$2=$O$1,(((M254)+(M254)*$M$10)*$P$11)/1000,(((M254)+(M254)*O254+(M254)*$M$10)*$P$11)/1000),0)</f>
        <v>0</v>
      </c>
      <c r="AE254" s="2746">
        <f>IF(L254&gt;0,IF(input!$B$2=$O$1,(((N254)+(N254)*$M$10)*$P$11)/1000,(((N254)+(N254)*O254+(N254)*$M$10)*$P$11)/1000),0)</f>
        <v>0</v>
      </c>
      <c r="AF254" s="136" t="str">
        <f t="shared" si="61"/>
        <v>FSC</v>
      </c>
      <c r="AG254" s="2628">
        <f t="shared" si="62"/>
        <v>1.2E-2</v>
      </c>
      <c r="AH254" s="1266">
        <v>0.1</v>
      </c>
    </row>
    <row r="255" spans="1:34" ht="12.75">
      <c r="A255" s="2199">
        <f t="shared" si="48"/>
        <v>243</v>
      </c>
      <c r="B255" s="2200" t="s">
        <v>2094</v>
      </c>
      <c r="C255" s="2743">
        <v>0</v>
      </c>
      <c r="D255" s="2743">
        <v>0</v>
      </c>
      <c r="E255" s="2949">
        <v>0.1</v>
      </c>
      <c r="F255" s="2200">
        <v>20</v>
      </c>
      <c r="G255" s="2200" t="s">
        <v>2395</v>
      </c>
      <c r="H255" s="2200" t="s">
        <v>1057</v>
      </c>
      <c r="I255" s="2742">
        <v>30</v>
      </c>
      <c r="J255" s="2742"/>
      <c r="K255" s="2752">
        <v>45</v>
      </c>
      <c r="L255" s="2745">
        <f t="shared" si="49"/>
        <v>0</v>
      </c>
      <c r="M255" s="2745">
        <f t="shared" si="53"/>
        <v>30</v>
      </c>
      <c r="N255" s="2745">
        <f t="shared" si="54"/>
        <v>20</v>
      </c>
      <c r="O255" s="1232">
        <f t="shared" si="55"/>
        <v>0.1</v>
      </c>
      <c r="P255" s="1227" t="str">
        <f t="shared" si="56"/>
        <v>170gsm IVORY NINGBO FOLD</v>
      </c>
      <c r="Q255" s="254">
        <v>0.20499999999999999</v>
      </c>
      <c r="R255" s="1228" t="str">
        <f t="shared" si="57"/>
        <v>170</v>
      </c>
      <c r="S255" s="2625">
        <f t="shared" si="50"/>
        <v>0</v>
      </c>
      <c r="T255" s="2747">
        <f>IF(L255&gt;0,IF(input!$B$2=$O$1,(((L255+Y255/22)+(L255+Y255/22)*$AG255+$X255)*$P$11+$M$7)/1000,(((L255+Y255/22)+(L255+Y255/22)*O255+(L255+Y255/22)*$AG255+$X255)*$P$11+$M$7)/1000),0)</f>
        <v>0</v>
      </c>
      <c r="U255" s="2747">
        <f t="shared" si="51"/>
        <v>0</v>
      </c>
      <c r="V255" s="1229"/>
      <c r="W255" s="1231" t="str">
        <f t="shared" si="52"/>
        <v>CIF</v>
      </c>
      <c r="X255" s="1230">
        <f t="shared" si="63"/>
        <v>0</v>
      </c>
      <c r="Y255" s="2625">
        <f t="shared" si="60"/>
        <v>0</v>
      </c>
      <c r="Z255" s="3208">
        <f t="shared" si="58"/>
        <v>838.18181818181813</v>
      </c>
      <c r="AA255" s="1220" t="s">
        <v>2127</v>
      </c>
      <c r="AB255" s="1220" t="s">
        <v>1395</v>
      </c>
      <c r="AC255" s="251" t="str">
        <f t="shared" si="59"/>
        <v>170gsm IVORY NINGBO FOLD</v>
      </c>
      <c r="AD255" s="2746">
        <f>IF(L255&gt;0,IF(input!$B$2=$O$1,(((M255)+(M255)*$M$10)*$P$11)/1000,(((M255)+(M255)*O255+(M255)*$M$10)*$P$11)/1000),0)</f>
        <v>0</v>
      </c>
      <c r="AE255" s="2746">
        <f>IF(L255&gt;0,IF(input!$B$2=$O$1,(((N255)+(N255)*$M$10)*$P$11)/1000,(((N255)+(N255)*O255+(N255)*$M$10)*$P$11)/1000),0)</f>
        <v>0</v>
      </c>
      <c r="AF255" s="136" t="str">
        <f t="shared" si="61"/>
        <v>PEFC</v>
      </c>
      <c r="AG255" s="2628">
        <f t="shared" si="62"/>
        <v>1.2E-2</v>
      </c>
      <c r="AH255" s="1266">
        <v>0.1</v>
      </c>
    </row>
    <row r="256" spans="1:34" ht="12.75">
      <c r="A256" s="2199">
        <f t="shared" si="48"/>
        <v>244</v>
      </c>
      <c r="B256" s="2200" t="s">
        <v>2095</v>
      </c>
      <c r="C256" s="2743">
        <v>0</v>
      </c>
      <c r="D256" s="2743">
        <v>0</v>
      </c>
      <c r="E256" s="2949">
        <v>0.1</v>
      </c>
      <c r="F256" s="2200">
        <v>20</v>
      </c>
      <c r="G256" s="2200" t="s">
        <v>2395</v>
      </c>
      <c r="H256" s="2200" t="s">
        <v>1057</v>
      </c>
      <c r="I256" s="2742">
        <v>30</v>
      </c>
      <c r="J256" s="2742"/>
      <c r="K256" s="2752">
        <v>45</v>
      </c>
      <c r="L256" s="2745">
        <f t="shared" si="49"/>
        <v>0</v>
      </c>
      <c r="M256" s="2745">
        <f t="shared" si="53"/>
        <v>30</v>
      </c>
      <c r="N256" s="2745">
        <f t="shared" si="54"/>
        <v>20</v>
      </c>
      <c r="O256" s="1232">
        <f t="shared" si="55"/>
        <v>0.1</v>
      </c>
      <c r="P256" s="1227" t="str">
        <f t="shared" si="56"/>
        <v>190gsm IVORY NINGBO FOLD</v>
      </c>
      <c r="Q256" s="254">
        <v>0.245</v>
      </c>
      <c r="R256" s="1228" t="str">
        <f t="shared" si="57"/>
        <v>190</v>
      </c>
      <c r="S256" s="2625">
        <f t="shared" si="50"/>
        <v>0</v>
      </c>
      <c r="T256" s="2747">
        <f>IF(L256&gt;0,IF(input!$B$2=$O$1,(((L256+Y256/22)+(L256+Y256/22)*$AG256+$X256)*$P$11+$M$7)/1000,(((L256+Y256/22)+(L256+Y256/22)*O256+(L256+Y256/22)*$AG256+$X256)*$P$11+$M$7)/1000),0)</f>
        <v>0</v>
      </c>
      <c r="U256" s="2747">
        <f t="shared" si="51"/>
        <v>0</v>
      </c>
      <c r="V256" s="1229"/>
      <c r="W256" s="1231" t="str">
        <f t="shared" si="52"/>
        <v>CIF</v>
      </c>
      <c r="X256" s="1230">
        <f t="shared" si="63"/>
        <v>0</v>
      </c>
      <c r="Y256" s="2625">
        <f t="shared" si="60"/>
        <v>0</v>
      </c>
      <c r="Z256" s="3208">
        <f t="shared" si="58"/>
        <v>838.18181818181813</v>
      </c>
      <c r="AA256" s="1220" t="s">
        <v>2127</v>
      </c>
      <c r="AB256" s="1220" t="s">
        <v>1395</v>
      </c>
      <c r="AC256" s="251" t="str">
        <f t="shared" si="59"/>
        <v>190gsm IVORY NINGBO FOLD</v>
      </c>
      <c r="AD256" s="2746">
        <f>IF(L256&gt;0,IF(input!$B$2=$O$1,(((M256)+(M256)*$M$10)*$P$11)/1000,(((M256)+(M256)*O256+(M256)*$M$10)*$P$11)/1000),0)</f>
        <v>0</v>
      </c>
      <c r="AE256" s="2746">
        <f>IF(L256&gt;0,IF(input!$B$2=$O$1,(((N256)+(N256)*$M$10)*$P$11)/1000,(((N256)+(N256)*O256+(N256)*$M$10)*$P$11)/1000),0)</f>
        <v>0</v>
      </c>
      <c r="AF256" s="136" t="str">
        <f t="shared" si="61"/>
        <v>PEFC</v>
      </c>
      <c r="AG256" s="2628">
        <f t="shared" si="62"/>
        <v>1.2E-2</v>
      </c>
      <c r="AH256" s="1266">
        <v>0.1</v>
      </c>
    </row>
    <row r="257" spans="1:34" ht="12.75">
      <c r="A257" s="2199">
        <f t="shared" si="48"/>
        <v>245</v>
      </c>
      <c r="B257" s="2200" t="s">
        <v>2096</v>
      </c>
      <c r="C257" s="2743">
        <v>0</v>
      </c>
      <c r="D257" s="2743">
        <v>0</v>
      </c>
      <c r="E257" s="2949">
        <v>0.1</v>
      </c>
      <c r="F257" s="2200">
        <v>20</v>
      </c>
      <c r="G257" s="2200" t="s">
        <v>2395</v>
      </c>
      <c r="H257" s="2200" t="s">
        <v>1057</v>
      </c>
      <c r="I257" s="2742">
        <v>30</v>
      </c>
      <c r="J257" s="2742"/>
      <c r="K257" s="2752">
        <v>45</v>
      </c>
      <c r="L257" s="2745">
        <f t="shared" si="49"/>
        <v>0</v>
      </c>
      <c r="M257" s="2745">
        <f t="shared" si="53"/>
        <v>30</v>
      </c>
      <c r="N257" s="2745">
        <f t="shared" si="54"/>
        <v>20</v>
      </c>
      <c r="O257" s="1232">
        <f t="shared" si="55"/>
        <v>0.1</v>
      </c>
      <c r="P257" s="1227" t="str">
        <f t="shared" si="56"/>
        <v>200gsm IVORY NINGBO FOLD</v>
      </c>
      <c r="Q257" s="254">
        <v>0.26</v>
      </c>
      <c r="R257" s="1228" t="str">
        <f t="shared" si="57"/>
        <v>200</v>
      </c>
      <c r="S257" s="2625">
        <f t="shared" si="50"/>
        <v>0</v>
      </c>
      <c r="T257" s="2747">
        <f>IF(L257&gt;0,IF(input!$B$2=$O$1,(((L257+Y257/22)+(L257+Y257/22)*$AG257+$X257)*$P$11+$M$7)/1000,(((L257+Y257/22)+(L257+Y257/22)*O257+(L257+Y257/22)*$AG257+$X257)*$P$11+$M$7)/1000),0)</f>
        <v>0</v>
      </c>
      <c r="U257" s="2747">
        <f t="shared" si="51"/>
        <v>0</v>
      </c>
      <c r="V257" s="1229"/>
      <c r="W257" s="1231" t="str">
        <f t="shared" si="52"/>
        <v>CIF</v>
      </c>
      <c r="X257" s="1230">
        <f t="shared" si="63"/>
        <v>0</v>
      </c>
      <c r="Y257" s="2625">
        <f t="shared" si="60"/>
        <v>0</v>
      </c>
      <c r="Z257" s="3208">
        <f t="shared" si="58"/>
        <v>838.18181818181813</v>
      </c>
      <c r="AA257" s="1220" t="s">
        <v>2127</v>
      </c>
      <c r="AB257" s="1220" t="s">
        <v>1395</v>
      </c>
      <c r="AC257" s="251" t="str">
        <f t="shared" si="59"/>
        <v>200gsm IVORY NINGBO FOLD</v>
      </c>
      <c r="AD257" s="2746">
        <f>IF(L257&gt;0,IF(input!$B$2=$O$1,(((M257)+(M257)*$M$10)*$P$11)/1000,(((M257)+(M257)*O257+(M257)*$M$10)*$P$11)/1000),0)</f>
        <v>0</v>
      </c>
      <c r="AE257" s="2746">
        <f>IF(L257&gt;0,IF(input!$B$2=$O$1,(((N257)+(N257)*$M$10)*$P$11)/1000,(((N257)+(N257)*O257+(N257)*$M$10)*$P$11)/1000),0)</f>
        <v>0</v>
      </c>
      <c r="AF257" s="136" t="str">
        <f t="shared" si="61"/>
        <v>PEFC</v>
      </c>
      <c r="AG257" s="2628">
        <f t="shared" si="62"/>
        <v>1.2E-2</v>
      </c>
      <c r="AH257" s="1266">
        <v>0.1</v>
      </c>
    </row>
    <row r="258" spans="1:34" ht="12.75">
      <c r="A258" s="2199">
        <f t="shared" si="48"/>
        <v>246</v>
      </c>
      <c r="B258" s="2200" t="s">
        <v>2097</v>
      </c>
      <c r="C258" s="2743">
        <v>19100</v>
      </c>
      <c r="D258" s="2743">
        <v>720</v>
      </c>
      <c r="E258" s="2949">
        <v>0.1</v>
      </c>
      <c r="F258" s="2200">
        <v>20</v>
      </c>
      <c r="G258" s="2200" t="s">
        <v>2395</v>
      </c>
      <c r="H258" s="2200" t="s">
        <v>1057</v>
      </c>
      <c r="I258" s="2742">
        <v>30</v>
      </c>
      <c r="J258" s="2742"/>
      <c r="K258" s="2752">
        <v>45</v>
      </c>
      <c r="L258" s="2745">
        <f t="shared" si="49"/>
        <v>720</v>
      </c>
      <c r="M258" s="2745">
        <f t="shared" si="53"/>
        <v>30</v>
      </c>
      <c r="N258" s="2745">
        <f t="shared" si="54"/>
        <v>20</v>
      </c>
      <c r="O258" s="1232">
        <f t="shared" si="55"/>
        <v>0.1</v>
      </c>
      <c r="P258" s="1227" t="str">
        <f t="shared" si="56"/>
        <v>210gsm IVORY NINGBO FOLD</v>
      </c>
      <c r="Q258" s="254">
        <v>0.27500000000000002</v>
      </c>
      <c r="R258" s="1228" t="str">
        <f t="shared" si="57"/>
        <v>210</v>
      </c>
      <c r="S258" s="2625">
        <f t="shared" si="50"/>
        <v>19100</v>
      </c>
      <c r="T258" s="2747">
        <f>IF(L258&gt;0,IF(input!$B$2=$O$1,(((L258+Y258/22)+(L258+Y258/22)*$AG258+$X258)*$P$11+$M$7)/1000,(((L258+Y258/22)+(L258+Y258/22)*O258+(L258+Y258/22)*$AG258+$X258)*$P$11+$M$7)/1000),0)</f>
        <v>19823.366399999999</v>
      </c>
      <c r="U258" s="2747">
        <f t="shared" si="51"/>
        <v>18523.367003367002</v>
      </c>
      <c r="V258" s="1229"/>
      <c r="W258" s="1231" t="str">
        <f t="shared" si="52"/>
        <v>CIF</v>
      </c>
      <c r="X258" s="1230">
        <f t="shared" si="63"/>
        <v>0</v>
      </c>
      <c r="Y258" s="2625">
        <f t="shared" si="60"/>
        <v>0</v>
      </c>
      <c r="Z258" s="3208">
        <f t="shared" si="58"/>
        <v>838.18181818181813</v>
      </c>
      <c r="AA258" s="1220" t="s">
        <v>2127</v>
      </c>
      <c r="AB258" s="1220" t="s">
        <v>1395</v>
      </c>
      <c r="AC258" s="251" t="str">
        <f t="shared" si="59"/>
        <v>210gsm IVORY NINGBO FOLD</v>
      </c>
      <c r="AD258" s="2746">
        <f>IF(L258&gt;0,IF(input!$B$2=$O$1,(((M258)+(M258)*$M$10)*$P$11)/1000,(((M258)+(M258)*O258+(M258)*$M$10)*$P$11)/1000),0)</f>
        <v>798.0924</v>
      </c>
      <c r="AE258" s="2746">
        <f>IF(L258&gt;0,IF(input!$B$2=$O$1,(((N258)+(N258)*$M$10)*$P$11)/1000,(((N258)+(N258)*O258+(N258)*$M$10)*$P$11)/1000),0)</f>
        <v>532.0616</v>
      </c>
      <c r="AF258" s="136" t="str">
        <f t="shared" si="61"/>
        <v>PEFC</v>
      </c>
      <c r="AG258" s="2628">
        <f t="shared" si="62"/>
        <v>1.2E-2</v>
      </c>
      <c r="AH258" s="1266">
        <v>0.1</v>
      </c>
    </row>
    <row r="259" spans="1:34" ht="12.75">
      <c r="A259" s="2199">
        <f t="shared" si="48"/>
        <v>247</v>
      </c>
      <c r="B259" s="2200" t="s">
        <v>2098</v>
      </c>
      <c r="C259" s="2743">
        <v>18500</v>
      </c>
      <c r="D259" s="2743">
        <v>700</v>
      </c>
      <c r="E259" s="2949">
        <v>0.1</v>
      </c>
      <c r="F259" s="2200">
        <v>20</v>
      </c>
      <c r="G259" s="2200" t="s">
        <v>2395</v>
      </c>
      <c r="H259" s="2200" t="s">
        <v>1057</v>
      </c>
      <c r="I259" s="2742">
        <v>30</v>
      </c>
      <c r="J259" s="2742"/>
      <c r="K259" s="2752">
        <v>45</v>
      </c>
      <c r="L259" s="2745">
        <f t="shared" si="49"/>
        <v>700</v>
      </c>
      <c r="M259" s="2745">
        <f t="shared" si="53"/>
        <v>30</v>
      </c>
      <c r="N259" s="2745">
        <f t="shared" si="54"/>
        <v>20</v>
      </c>
      <c r="O259" s="1232">
        <f t="shared" si="55"/>
        <v>0.1</v>
      </c>
      <c r="P259" s="1227" t="str">
        <f t="shared" si="56"/>
        <v>230gsm IVORY NINGBO FOLD</v>
      </c>
      <c r="Q259" s="254">
        <v>0.31</v>
      </c>
      <c r="R259" s="1228" t="str">
        <f t="shared" si="57"/>
        <v>230</v>
      </c>
      <c r="S259" s="2625">
        <f t="shared" si="50"/>
        <v>18500</v>
      </c>
      <c r="T259" s="2747">
        <f>IF(L259&gt;0,IF(input!$B$2=$O$1,(((L259+Y259/22)+(L259+Y259/22)*$AG259+$X259)*$P$11+$M$7)/1000,(((L259+Y259/22)+(L259+Y259/22)*O259+(L259+Y259/22)*$AG259+$X259)*$P$11+$M$7)/1000),0)</f>
        <v>19289.383999999998</v>
      </c>
      <c r="U259" s="2747">
        <f t="shared" si="51"/>
        <v>17967.811447811448</v>
      </c>
      <c r="V259" s="1229"/>
      <c r="W259" s="1231" t="str">
        <f t="shared" si="52"/>
        <v>CIF</v>
      </c>
      <c r="X259" s="1230">
        <f t="shared" si="63"/>
        <v>0</v>
      </c>
      <c r="Y259" s="2625">
        <f t="shared" si="60"/>
        <v>0</v>
      </c>
      <c r="Z259" s="3208">
        <f t="shared" si="58"/>
        <v>838.18181818181813</v>
      </c>
      <c r="AA259" s="1220" t="s">
        <v>2127</v>
      </c>
      <c r="AB259" s="1220" t="s">
        <v>1395</v>
      </c>
      <c r="AC259" s="251" t="str">
        <f t="shared" si="59"/>
        <v>230gsm IVORY NINGBO FOLD</v>
      </c>
      <c r="AD259" s="2746">
        <f>IF(L259&gt;0,IF(input!$B$2=$O$1,(((M259)+(M259)*$M$10)*$P$11)/1000,(((M259)+(M259)*O259+(M259)*$M$10)*$P$11)/1000),0)</f>
        <v>798.0924</v>
      </c>
      <c r="AE259" s="2746">
        <f>IF(L259&gt;0,IF(input!$B$2=$O$1,(((N259)+(N259)*$M$10)*$P$11)/1000,(((N259)+(N259)*O259+(N259)*$M$10)*$P$11)/1000),0)</f>
        <v>532.0616</v>
      </c>
      <c r="AF259" s="136" t="str">
        <f t="shared" si="61"/>
        <v>PEFC</v>
      </c>
      <c r="AG259" s="2628">
        <f t="shared" si="62"/>
        <v>1.2E-2</v>
      </c>
      <c r="AH259" s="1266">
        <v>0.1</v>
      </c>
    </row>
    <row r="260" spans="1:34" ht="12.75">
      <c r="A260" s="2199">
        <f t="shared" si="48"/>
        <v>248</v>
      </c>
      <c r="B260" s="2200" t="s">
        <v>2099</v>
      </c>
      <c r="C260" s="2743">
        <v>18700</v>
      </c>
      <c r="D260" s="2743">
        <v>690</v>
      </c>
      <c r="E260" s="2949">
        <v>0.1</v>
      </c>
      <c r="F260" s="2200">
        <v>20</v>
      </c>
      <c r="G260" s="2200" t="s">
        <v>2395</v>
      </c>
      <c r="H260" s="2200" t="s">
        <v>1057</v>
      </c>
      <c r="I260" s="2742">
        <v>30</v>
      </c>
      <c r="J260" s="2742"/>
      <c r="K260" s="2752">
        <v>45</v>
      </c>
      <c r="L260" s="2745">
        <f t="shared" si="49"/>
        <v>690</v>
      </c>
      <c r="M260" s="2745">
        <f t="shared" si="53"/>
        <v>30</v>
      </c>
      <c r="N260" s="2745">
        <f t="shared" si="54"/>
        <v>20</v>
      </c>
      <c r="O260" s="1232">
        <f t="shared" si="55"/>
        <v>0.1</v>
      </c>
      <c r="P260" s="1227" t="str">
        <f t="shared" si="56"/>
        <v>250gsm IVORY NINGBO FOLD</v>
      </c>
      <c r="Q260" s="254">
        <v>0.34</v>
      </c>
      <c r="R260" s="1228" t="str">
        <f t="shared" si="57"/>
        <v>250</v>
      </c>
      <c r="S260" s="2625">
        <f t="shared" si="50"/>
        <v>18700</v>
      </c>
      <c r="T260" s="2747">
        <f>IF(L260&gt;0,IF(input!$B$2=$O$1,(((L260+Y260/22)+(L260+Y260/22)*$AG260+$X260)*$P$11+$M$7)/1000,(((L260+Y260/22)+(L260+Y260/22)*O260+(L260+Y260/22)*$AG260+$X260)*$P$11+$M$7)/1000),0)</f>
        <v>19022.392800000001</v>
      </c>
      <c r="U260" s="2747">
        <f t="shared" si="51"/>
        <v>18152.996632996634</v>
      </c>
      <c r="V260" s="1229"/>
      <c r="W260" s="1231" t="str">
        <f t="shared" si="52"/>
        <v>CIF</v>
      </c>
      <c r="X260" s="1230">
        <f t="shared" si="63"/>
        <v>0</v>
      </c>
      <c r="Y260" s="2625">
        <f t="shared" si="60"/>
        <v>0</v>
      </c>
      <c r="Z260" s="3208">
        <f t="shared" si="58"/>
        <v>838.18181818181813</v>
      </c>
      <c r="AA260" s="1220" t="s">
        <v>2127</v>
      </c>
      <c r="AB260" s="1220" t="s">
        <v>1395</v>
      </c>
      <c r="AC260" s="251" t="str">
        <f t="shared" si="59"/>
        <v>250gsm IVORY NINGBO FOLD</v>
      </c>
      <c r="AD260" s="2746">
        <f>IF(L260&gt;0,IF(input!$B$2=$O$1,(((M260)+(M260)*$M$10)*$P$11)/1000,(((M260)+(M260)*O260+(M260)*$M$10)*$P$11)/1000),0)</f>
        <v>798.0924</v>
      </c>
      <c r="AE260" s="2746">
        <f>IF(L260&gt;0,IF(input!$B$2=$O$1,(((N260)+(N260)*$M$10)*$P$11)/1000,(((N260)+(N260)*O260+(N260)*$M$10)*$P$11)/1000),0)</f>
        <v>532.0616</v>
      </c>
      <c r="AF260" s="136" t="str">
        <f t="shared" si="61"/>
        <v>PEFC</v>
      </c>
      <c r="AG260" s="2628">
        <f t="shared" si="62"/>
        <v>1.2E-2</v>
      </c>
      <c r="AH260" s="1266">
        <v>0.1</v>
      </c>
    </row>
    <row r="261" spans="1:34" ht="12.75">
      <c r="A261" s="2199">
        <f t="shared" si="48"/>
        <v>249</v>
      </c>
      <c r="B261" s="2200" t="s">
        <v>2100</v>
      </c>
      <c r="C261" s="2743">
        <v>18700</v>
      </c>
      <c r="D261" s="2743">
        <v>690</v>
      </c>
      <c r="E261" s="2949">
        <v>0.1</v>
      </c>
      <c r="F261" s="2200">
        <v>20</v>
      </c>
      <c r="G261" s="2200" t="s">
        <v>2395</v>
      </c>
      <c r="H261" s="2200" t="s">
        <v>1057</v>
      </c>
      <c r="I261" s="2742">
        <v>30</v>
      </c>
      <c r="J261" s="2742"/>
      <c r="K261" s="2752">
        <v>45</v>
      </c>
      <c r="L261" s="2745">
        <f t="shared" si="49"/>
        <v>690</v>
      </c>
      <c r="M261" s="2745">
        <f t="shared" si="53"/>
        <v>30</v>
      </c>
      <c r="N261" s="2745">
        <f t="shared" si="54"/>
        <v>20</v>
      </c>
      <c r="O261" s="1232">
        <f t="shared" si="55"/>
        <v>0.1</v>
      </c>
      <c r="P261" s="1227" t="str">
        <f t="shared" si="56"/>
        <v>270gsm IVORY NINGBO FOLD</v>
      </c>
      <c r="Q261" s="254">
        <v>0.37</v>
      </c>
      <c r="R261" s="1228" t="str">
        <f t="shared" si="57"/>
        <v>270</v>
      </c>
      <c r="S261" s="2625">
        <f t="shared" si="50"/>
        <v>18700</v>
      </c>
      <c r="T261" s="2747">
        <f>IF(L261&gt;0,IF(input!$B$2=$O$1,(((L261+Y261/22)+(L261+Y261/22)*$AG261+$X261)*$P$11+$M$7)/1000,(((L261+Y261/22)+(L261+Y261/22)*O261+(L261+Y261/22)*$AG261+$X261)*$P$11+$M$7)/1000),0)</f>
        <v>19022.392800000001</v>
      </c>
      <c r="U261" s="2747">
        <f t="shared" si="51"/>
        <v>18152.996632996634</v>
      </c>
      <c r="V261" s="1229"/>
      <c r="W261" s="1231" t="str">
        <f t="shared" si="52"/>
        <v>CIF</v>
      </c>
      <c r="X261" s="1230">
        <f t="shared" si="63"/>
        <v>0</v>
      </c>
      <c r="Y261" s="2625">
        <f t="shared" si="60"/>
        <v>0</v>
      </c>
      <c r="Z261" s="3208">
        <f t="shared" si="58"/>
        <v>838.18181818181813</v>
      </c>
      <c r="AA261" s="1220" t="s">
        <v>2127</v>
      </c>
      <c r="AB261" s="1220" t="s">
        <v>1395</v>
      </c>
      <c r="AC261" s="251" t="str">
        <f t="shared" si="59"/>
        <v>270gsm IVORY NINGBO FOLD</v>
      </c>
      <c r="AD261" s="2746">
        <f>IF(L261&gt;0,IF(input!$B$2=$O$1,(((M261)+(M261)*$M$10)*$P$11)/1000,(((M261)+(M261)*O261+(M261)*$M$10)*$P$11)/1000),0)</f>
        <v>798.0924</v>
      </c>
      <c r="AE261" s="2746">
        <f>IF(L261&gt;0,IF(input!$B$2=$O$1,(((N261)+(N261)*$M$10)*$P$11)/1000,(((N261)+(N261)*O261+(N261)*$M$10)*$P$11)/1000),0)</f>
        <v>532.0616</v>
      </c>
      <c r="AF261" s="136" t="str">
        <f t="shared" si="61"/>
        <v>PEFC</v>
      </c>
      <c r="AG261" s="2628">
        <f t="shared" si="62"/>
        <v>1.2E-2</v>
      </c>
      <c r="AH261" s="1266">
        <v>0.1</v>
      </c>
    </row>
    <row r="262" spans="1:34" ht="12.75">
      <c r="A262" s="2199">
        <f t="shared" si="48"/>
        <v>250</v>
      </c>
      <c r="B262" s="2200" t="s">
        <v>2101</v>
      </c>
      <c r="C262" s="2743">
        <v>18700</v>
      </c>
      <c r="D262" s="2743">
        <v>690</v>
      </c>
      <c r="E262" s="2949">
        <v>0.1</v>
      </c>
      <c r="F262" s="2200">
        <v>20</v>
      </c>
      <c r="G262" s="2200" t="s">
        <v>2395</v>
      </c>
      <c r="H262" s="2200" t="s">
        <v>1057</v>
      </c>
      <c r="I262" s="2742">
        <v>30</v>
      </c>
      <c r="J262" s="2742"/>
      <c r="K262" s="2752">
        <v>45</v>
      </c>
      <c r="L262" s="2745">
        <f t="shared" si="49"/>
        <v>690</v>
      </c>
      <c r="M262" s="2745">
        <f t="shared" si="53"/>
        <v>30</v>
      </c>
      <c r="N262" s="2745">
        <f t="shared" si="54"/>
        <v>20</v>
      </c>
      <c r="O262" s="1232">
        <f t="shared" si="55"/>
        <v>0.1</v>
      </c>
      <c r="P262" s="1227" t="str">
        <f t="shared" si="56"/>
        <v>300gsm IVORY NINGBO FOLD</v>
      </c>
      <c r="Q262" s="254">
        <v>0.41499999999999998</v>
      </c>
      <c r="R262" s="1228" t="str">
        <f t="shared" si="57"/>
        <v>300</v>
      </c>
      <c r="S262" s="2625">
        <f t="shared" si="50"/>
        <v>18700</v>
      </c>
      <c r="T262" s="2747">
        <f>IF(L262&gt;0,IF(input!$B$2=$O$1,(((L262+Y262/22)+(L262+Y262/22)*$AG262+$X262)*$P$11+$M$7)/1000,(((L262+Y262/22)+(L262+Y262/22)*O262+(L262+Y262/22)*$AG262+$X262)*$P$11+$M$7)/1000),0)</f>
        <v>19022.392800000001</v>
      </c>
      <c r="U262" s="2747">
        <f t="shared" si="51"/>
        <v>18152.996632996634</v>
      </c>
      <c r="V262" s="1229"/>
      <c r="W262" s="1231" t="str">
        <f t="shared" si="52"/>
        <v>CIF</v>
      </c>
      <c r="X262" s="1230">
        <f t="shared" si="63"/>
        <v>0</v>
      </c>
      <c r="Y262" s="2625">
        <f t="shared" si="60"/>
        <v>0</v>
      </c>
      <c r="Z262" s="3208">
        <f t="shared" si="58"/>
        <v>838.18181818181813</v>
      </c>
      <c r="AA262" s="1220" t="s">
        <v>2127</v>
      </c>
      <c r="AB262" s="1220" t="s">
        <v>1395</v>
      </c>
      <c r="AC262" s="251" t="str">
        <f t="shared" si="59"/>
        <v>300gsm IVORY NINGBO FOLD</v>
      </c>
      <c r="AD262" s="2746">
        <f>IF(L262&gt;0,IF(input!$B$2=$O$1,(((M262)+(M262)*$M$10)*$P$11)/1000,(((M262)+(M262)*O262+(M262)*$M$10)*$P$11)/1000),0)</f>
        <v>798.0924</v>
      </c>
      <c r="AE262" s="2746">
        <f>IF(L262&gt;0,IF(input!$B$2=$O$1,(((N262)+(N262)*$M$10)*$P$11)/1000,(((N262)+(N262)*O262+(N262)*$M$10)*$P$11)/1000),0)</f>
        <v>532.0616</v>
      </c>
      <c r="AF262" s="136" t="str">
        <f t="shared" si="61"/>
        <v>PEFC</v>
      </c>
      <c r="AG262" s="2628">
        <f t="shared" si="62"/>
        <v>1.2E-2</v>
      </c>
      <c r="AH262" s="1266">
        <v>0.1</v>
      </c>
    </row>
    <row r="263" spans="1:34" ht="12.75">
      <c r="A263" s="2199">
        <f t="shared" si="48"/>
        <v>251</v>
      </c>
      <c r="B263" s="2200" t="s">
        <v>2102</v>
      </c>
      <c r="C263" s="2743">
        <v>18700</v>
      </c>
      <c r="D263" s="2743">
        <v>690</v>
      </c>
      <c r="E263" s="2949">
        <v>0.1</v>
      </c>
      <c r="F263" s="2200">
        <v>20</v>
      </c>
      <c r="G263" s="2200" t="s">
        <v>2395</v>
      </c>
      <c r="H263" s="2200" t="s">
        <v>1057</v>
      </c>
      <c r="I263" s="2742">
        <v>30</v>
      </c>
      <c r="J263" s="2742"/>
      <c r="K263" s="2752">
        <v>45</v>
      </c>
      <c r="L263" s="2745">
        <f t="shared" si="49"/>
        <v>690</v>
      </c>
      <c r="M263" s="2745">
        <f t="shared" si="53"/>
        <v>30</v>
      </c>
      <c r="N263" s="2745">
        <f t="shared" si="54"/>
        <v>20</v>
      </c>
      <c r="O263" s="1232">
        <f t="shared" si="55"/>
        <v>0.1</v>
      </c>
      <c r="P263" s="1227" t="str">
        <f t="shared" si="56"/>
        <v>350gsm IVORY NINGBO FOLD</v>
      </c>
      <c r="Q263" s="254">
        <v>0.49</v>
      </c>
      <c r="R263" s="1228" t="str">
        <f t="shared" si="57"/>
        <v>350</v>
      </c>
      <c r="S263" s="2625">
        <f t="shared" si="50"/>
        <v>18700</v>
      </c>
      <c r="T263" s="2747">
        <f>IF(L263&gt;0,IF(input!$B$2=$O$1,(((L263+Y263/22)+(L263+Y263/22)*$AG263+$X263)*$P$11+$M$7)/1000,(((L263+Y263/22)+(L263+Y263/22)*O263+(L263+Y263/22)*$AG263+$X263)*$P$11+$M$7)/1000),0)</f>
        <v>19022.392800000001</v>
      </c>
      <c r="U263" s="2747">
        <f t="shared" si="51"/>
        <v>18152.996632996634</v>
      </c>
      <c r="V263" s="1229"/>
      <c r="W263" s="1231" t="str">
        <f t="shared" si="52"/>
        <v>CIF</v>
      </c>
      <c r="X263" s="1230">
        <f t="shared" si="63"/>
        <v>0</v>
      </c>
      <c r="Y263" s="2625">
        <f t="shared" si="60"/>
        <v>0</v>
      </c>
      <c r="Z263" s="3208">
        <f t="shared" si="58"/>
        <v>838.18181818181813</v>
      </c>
      <c r="AA263" s="1220" t="s">
        <v>2127</v>
      </c>
      <c r="AB263" s="1220" t="s">
        <v>1395</v>
      </c>
      <c r="AC263" s="251" t="str">
        <f t="shared" si="59"/>
        <v>350gsm IVORY NINGBO FOLD</v>
      </c>
      <c r="AD263" s="2746">
        <f>IF(L263&gt;0,IF(input!$B$2=$O$1,(((M263)+(M263)*$M$10)*$P$11)/1000,(((M263)+(M263)*O263+(M263)*$M$10)*$P$11)/1000),0)</f>
        <v>798.0924</v>
      </c>
      <c r="AE263" s="2746">
        <f>IF(L263&gt;0,IF(input!$B$2=$O$1,(((N263)+(N263)*$M$10)*$P$11)/1000,(((N263)+(N263)*O263+(N263)*$M$10)*$P$11)/1000),0)</f>
        <v>532.0616</v>
      </c>
      <c r="AF263" s="136" t="str">
        <f t="shared" si="61"/>
        <v>PEFC</v>
      </c>
      <c r="AG263" s="2628">
        <f t="shared" si="62"/>
        <v>1.2E-2</v>
      </c>
      <c r="AH263" s="1266">
        <v>0.1</v>
      </c>
    </row>
    <row r="264" spans="1:34" ht="12.75">
      <c r="A264" s="2199">
        <f t="shared" si="48"/>
        <v>252</v>
      </c>
      <c r="B264" s="2200" t="s">
        <v>2103</v>
      </c>
      <c r="C264" s="2743">
        <v>18700</v>
      </c>
      <c r="D264" s="2743">
        <v>690</v>
      </c>
      <c r="E264" s="2949">
        <v>0.1</v>
      </c>
      <c r="F264" s="2200">
        <v>20</v>
      </c>
      <c r="G264" s="2200" t="s">
        <v>2395</v>
      </c>
      <c r="H264" s="2200" t="s">
        <v>1057</v>
      </c>
      <c r="I264" s="2742">
        <v>30</v>
      </c>
      <c r="J264" s="2742"/>
      <c r="K264" s="2752">
        <v>45</v>
      </c>
      <c r="L264" s="2745">
        <f t="shared" si="49"/>
        <v>690</v>
      </c>
      <c r="M264" s="2745">
        <f>I264</f>
        <v>30</v>
      </c>
      <c r="N264" s="2745">
        <f t="shared" si="54"/>
        <v>20</v>
      </c>
      <c r="O264" s="1232">
        <f t="shared" si="55"/>
        <v>0.1</v>
      </c>
      <c r="P264" s="1227" t="str">
        <f>R264&amp;"gsm "&amp;AB264&amp;" "&amp;AA264</f>
        <v>400gsm IVORY NINGBO FOLD</v>
      </c>
      <c r="Q264" s="254">
        <v>0.55500000000000005</v>
      </c>
      <c r="R264" s="1228" t="str">
        <f t="shared" si="57"/>
        <v>400</v>
      </c>
      <c r="S264" s="2625">
        <f t="shared" si="50"/>
        <v>18700</v>
      </c>
      <c r="T264" s="2747">
        <f>IF(L264&gt;0,IF(input!$B$2=$O$1,(((L264+Y264/22)+(L264+Y264/22)*$AG264+$X264)*$P$11+$M$7)/1000,(((L264+Y264/22)+(L264+Y264/22)*O264+(L264+Y264/22)*$AG264+$X264)*$P$11+$M$7)/1000),0)</f>
        <v>19022.392800000001</v>
      </c>
      <c r="U264" s="2747">
        <f t="shared" si="51"/>
        <v>18152.996632996634</v>
      </c>
      <c r="V264" s="1229"/>
      <c r="W264" s="1231" t="str">
        <f>H264</f>
        <v>CIF</v>
      </c>
      <c r="X264" s="1230">
        <f t="shared" si="63"/>
        <v>0</v>
      </c>
      <c r="Y264" s="2625">
        <f>J264</f>
        <v>0</v>
      </c>
      <c r="Z264" s="3208">
        <f t="shared" si="58"/>
        <v>838.18181818181813</v>
      </c>
      <c r="AA264" s="1220" t="s">
        <v>2127</v>
      </c>
      <c r="AB264" s="1220" t="s">
        <v>1395</v>
      </c>
      <c r="AC264" s="251" t="str">
        <f t="shared" si="59"/>
        <v>400gsm IVORY NINGBO FOLD</v>
      </c>
      <c r="AD264" s="2746">
        <f>IF(L264&gt;0,IF(input!$B$2=$O$1,(((M264)+(M264)*$M$10)*$P$11)/1000,(((M264)+(M264)*O264+(M264)*$M$10)*$P$11)/1000),0)</f>
        <v>798.0924</v>
      </c>
      <c r="AE264" s="2746">
        <f>IF(L264&gt;0,IF(input!$B$2=$O$1,(((N264)+(N264)*$M$10)*$P$11)/1000,(((N264)+(N264)*O264+(N264)*$M$10)*$P$11)/1000),0)</f>
        <v>532.0616</v>
      </c>
      <c r="AF264" s="136" t="str">
        <f>G264</f>
        <v>PEFC</v>
      </c>
      <c r="AG264" s="2628">
        <f>K264*$M$10/30</f>
        <v>1.2E-2</v>
      </c>
      <c r="AH264" s="1266">
        <v>0.1</v>
      </c>
    </row>
    <row r="265" spans="1:34" ht="12.75">
      <c r="A265" s="2199">
        <f t="shared" si="48"/>
        <v>253</v>
      </c>
      <c r="B265" s="2200" t="s">
        <v>3337</v>
      </c>
      <c r="C265" s="2743">
        <v>0</v>
      </c>
      <c r="D265" s="2743">
        <v>820</v>
      </c>
      <c r="E265" s="2949">
        <v>0.1</v>
      </c>
      <c r="F265" s="2200">
        <v>20</v>
      </c>
      <c r="G265" s="2200" t="s">
        <v>2395</v>
      </c>
      <c r="H265" s="2200" t="s">
        <v>1057</v>
      </c>
      <c r="I265" s="2742">
        <v>30</v>
      </c>
      <c r="J265" s="2742"/>
      <c r="K265" s="2752">
        <v>45</v>
      </c>
      <c r="L265" s="2745">
        <f t="shared" si="49"/>
        <v>820</v>
      </c>
      <c r="M265" s="2745">
        <f t="shared" ref="M265:M273" si="64">I265</f>
        <v>30</v>
      </c>
      <c r="N265" s="2745">
        <f t="shared" si="54"/>
        <v>20</v>
      </c>
      <c r="O265" s="1232">
        <f t="shared" si="55"/>
        <v>0.1</v>
      </c>
      <c r="P265" s="1227" t="str">
        <f t="shared" ref="P265:P273" si="65">R265&amp;"gsm "&amp;AB265&amp;" "&amp;AA265</f>
        <v>215gsm IVORY ZENITH GC1</v>
      </c>
      <c r="Q265" s="254">
        <v>0.30499999999999999</v>
      </c>
      <c r="R265" s="1228" t="str">
        <f t="shared" si="57"/>
        <v>215</v>
      </c>
      <c r="S265" s="2625">
        <f t="shared" si="50"/>
        <v>0</v>
      </c>
      <c r="T265" s="2747">
        <f>IF(L265&gt;0,IF(input!$B$2=$O$1,(((L265+Y265/22)+(L265+Y265/22)*$AG265+$X265)*$P$11+$M$7)/1000,(((L265+Y265/22)+(L265+Y265/22)*O265+(L265+Y265/22)*$AG265+$X265)*$P$11+$M$7)/1000),0)</f>
        <v>22493.278400000003</v>
      </c>
      <c r="U265" s="2747">
        <f t="shared" si="51"/>
        <v>0</v>
      </c>
      <c r="V265" s="1229"/>
      <c r="W265" s="1231" t="str">
        <f t="shared" ref="W265:W273" si="66">H265</f>
        <v>CIF</v>
      </c>
      <c r="X265" s="1230">
        <f t="shared" si="63"/>
        <v>0</v>
      </c>
      <c r="Y265" s="2625">
        <f t="shared" ref="Y265:Y273" si="67">J265</f>
        <v>0</v>
      </c>
      <c r="Z265" s="3208">
        <f t="shared" si="58"/>
        <v>838.18181818181813</v>
      </c>
      <c r="AA265" s="1220" t="s">
        <v>3353</v>
      </c>
      <c r="AB265" s="1220" t="s">
        <v>1395</v>
      </c>
      <c r="AC265" s="251" t="str">
        <f t="shared" si="59"/>
        <v>215gsm IVORY ZENITH GC1</v>
      </c>
      <c r="AD265" s="2746">
        <f>IF(L265&gt;0,IF(input!$B$2=$O$1,(((M265)+(M265)*$M$10)*$P$11)/1000,(((M265)+(M265)*O265+(M265)*$M$10)*$P$11)/1000),0)</f>
        <v>798.0924</v>
      </c>
      <c r="AE265" s="2746">
        <f>IF(L265&gt;0,IF(input!$B$2=$O$1,(((N265)+(N265)*$M$10)*$P$11)/1000,(((N265)+(N265)*O265+(N265)*$M$10)*$P$11)/1000),0)</f>
        <v>532.0616</v>
      </c>
      <c r="AF265" s="136" t="str">
        <f t="shared" ref="AF265:AF273" si="68">G265</f>
        <v>PEFC</v>
      </c>
      <c r="AG265" s="2628">
        <f t="shared" ref="AG265:AG273" si="69">K265*$M$10/30</f>
        <v>1.2E-2</v>
      </c>
      <c r="AH265" s="1266">
        <v>0.1</v>
      </c>
    </row>
    <row r="266" spans="1:34" ht="12.75">
      <c r="A266" s="2199">
        <f t="shared" si="48"/>
        <v>254</v>
      </c>
      <c r="B266" s="2200" t="s">
        <v>3338</v>
      </c>
      <c r="C266" s="2743">
        <v>0</v>
      </c>
      <c r="D266" s="2743">
        <v>820</v>
      </c>
      <c r="E266" s="2949">
        <v>0.1</v>
      </c>
      <c r="F266" s="2200">
        <v>20</v>
      </c>
      <c r="G266" s="2200" t="s">
        <v>2395</v>
      </c>
      <c r="H266" s="2200" t="s">
        <v>1057</v>
      </c>
      <c r="I266" s="2742">
        <v>30</v>
      </c>
      <c r="J266" s="2742"/>
      <c r="K266" s="2752">
        <v>45</v>
      </c>
      <c r="L266" s="2745">
        <f t="shared" si="49"/>
        <v>820</v>
      </c>
      <c r="M266" s="2745">
        <f t="shared" si="64"/>
        <v>30</v>
      </c>
      <c r="N266" s="2745">
        <f t="shared" si="54"/>
        <v>20</v>
      </c>
      <c r="O266" s="1232">
        <f t="shared" si="55"/>
        <v>0.1</v>
      </c>
      <c r="P266" s="1227" t="str">
        <f t="shared" si="65"/>
        <v>220gsm IVORY ZENITH GC1</v>
      </c>
      <c r="Q266" s="254">
        <v>0.30499999999999999</v>
      </c>
      <c r="R266" s="1228" t="str">
        <f t="shared" si="57"/>
        <v>220</v>
      </c>
      <c r="S266" s="2625">
        <f t="shared" si="50"/>
        <v>0</v>
      </c>
      <c r="T266" s="2747">
        <f>IF(L266&gt;0,IF(input!$B$2=$O$1,(((L266+Y266/22)+(L266+Y266/22)*$AG266+$X266)*$P$11+$M$7)/1000,(((L266+Y266/22)+(L266+Y266/22)*O266+(L266+Y266/22)*$AG266+$X266)*$P$11+$M$7)/1000),0)</f>
        <v>22493.278400000003</v>
      </c>
      <c r="U266" s="2747">
        <f t="shared" si="51"/>
        <v>0</v>
      </c>
      <c r="V266" s="1229"/>
      <c r="W266" s="1231" t="str">
        <f t="shared" si="66"/>
        <v>CIF</v>
      </c>
      <c r="X266" s="1230">
        <f t="shared" si="63"/>
        <v>0</v>
      </c>
      <c r="Y266" s="2625">
        <f t="shared" si="67"/>
        <v>0</v>
      </c>
      <c r="Z266" s="3208">
        <f t="shared" si="58"/>
        <v>838.18181818181813</v>
      </c>
      <c r="AA266" s="1220" t="s">
        <v>3353</v>
      </c>
      <c r="AB266" s="1220" t="s">
        <v>1395</v>
      </c>
      <c r="AC266" s="251" t="str">
        <f t="shared" si="59"/>
        <v>220gsm IVORY ZENITH GC1</v>
      </c>
      <c r="AD266" s="2746">
        <f>IF(L266&gt;0,IF(input!$B$2=$O$1,(((M266)+(M266)*$M$10)*$P$11)/1000,(((M266)+(M266)*O266+(M266)*$M$10)*$P$11)/1000),0)</f>
        <v>798.0924</v>
      </c>
      <c r="AE266" s="2746">
        <f>IF(L266&gt;0,IF(input!$B$2=$O$1,(((N266)+(N266)*$M$10)*$P$11)/1000,(((N266)+(N266)*O266+(N266)*$M$10)*$P$11)/1000),0)</f>
        <v>532.0616</v>
      </c>
      <c r="AF266" s="136" t="str">
        <f t="shared" si="68"/>
        <v>PEFC</v>
      </c>
      <c r="AG266" s="2628">
        <f t="shared" si="69"/>
        <v>1.2E-2</v>
      </c>
      <c r="AH266" s="1266">
        <v>0.1</v>
      </c>
    </row>
    <row r="267" spans="1:34" ht="12.75">
      <c r="A267" s="2199">
        <f t="shared" si="48"/>
        <v>255</v>
      </c>
      <c r="B267" s="2200" t="s">
        <v>3339</v>
      </c>
      <c r="C267" s="2743">
        <v>0</v>
      </c>
      <c r="D267" s="2743">
        <v>820</v>
      </c>
      <c r="E267" s="2949">
        <v>0.1</v>
      </c>
      <c r="F267" s="2200">
        <v>20</v>
      </c>
      <c r="G267" s="2200" t="s">
        <v>2395</v>
      </c>
      <c r="H267" s="2200" t="s">
        <v>1057</v>
      </c>
      <c r="I267" s="2742">
        <v>30</v>
      </c>
      <c r="J267" s="2742"/>
      <c r="K267" s="2752">
        <v>45</v>
      </c>
      <c r="L267" s="2745">
        <f t="shared" si="49"/>
        <v>820</v>
      </c>
      <c r="M267" s="2745">
        <f t="shared" si="64"/>
        <v>30</v>
      </c>
      <c r="N267" s="2745">
        <f t="shared" si="54"/>
        <v>20</v>
      </c>
      <c r="O267" s="1232">
        <f t="shared" si="55"/>
        <v>0.1</v>
      </c>
      <c r="P267" s="1227" t="str">
        <f t="shared" si="65"/>
        <v>235gsm IVORY ZENITH GC1</v>
      </c>
      <c r="Q267" s="254">
        <v>0.35499999999999998</v>
      </c>
      <c r="R267" s="1228" t="str">
        <f t="shared" si="57"/>
        <v>235</v>
      </c>
      <c r="S267" s="2625">
        <f t="shared" si="50"/>
        <v>0</v>
      </c>
      <c r="T267" s="2747">
        <f>IF(L267&gt;0,IF(input!$B$2=$O$1,(((L267+Y267/22)+(L267+Y267/22)*$AG267+$X267)*$P$11+$M$7)/1000,(((L267+Y267/22)+(L267+Y267/22)*O267+(L267+Y267/22)*$AG267+$X267)*$P$11+$M$7)/1000),0)</f>
        <v>22493.278400000003</v>
      </c>
      <c r="U267" s="2747">
        <f t="shared" si="51"/>
        <v>0</v>
      </c>
      <c r="V267" s="1229"/>
      <c r="W267" s="1231" t="str">
        <f t="shared" si="66"/>
        <v>CIF</v>
      </c>
      <c r="X267" s="1230">
        <f t="shared" si="63"/>
        <v>0</v>
      </c>
      <c r="Y267" s="2625">
        <f t="shared" si="67"/>
        <v>0</v>
      </c>
      <c r="Z267" s="3208">
        <f t="shared" si="58"/>
        <v>838.18181818181813</v>
      </c>
      <c r="AA267" s="1220" t="s">
        <v>3353</v>
      </c>
      <c r="AB267" s="1220" t="s">
        <v>1395</v>
      </c>
      <c r="AC267" s="251" t="str">
        <f t="shared" si="59"/>
        <v>235gsm IVORY ZENITH GC1</v>
      </c>
      <c r="AD267" s="2746">
        <f>IF(L267&gt;0,IF(input!$B$2=$O$1,(((M267)+(M267)*$M$10)*$P$11)/1000,(((M267)+(M267)*O267+(M267)*$M$10)*$P$11)/1000),0)</f>
        <v>798.0924</v>
      </c>
      <c r="AE267" s="2746">
        <f>IF(L267&gt;0,IF(input!$B$2=$O$1,(((N267)+(N267)*$M$10)*$P$11)/1000,(((N267)+(N267)*O267+(N267)*$M$10)*$P$11)/1000),0)</f>
        <v>532.0616</v>
      </c>
      <c r="AF267" s="136" t="str">
        <f t="shared" si="68"/>
        <v>PEFC</v>
      </c>
      <c r="AG267" s="2628">
        <f t="shared" si="69"/>
        <v>1.2E-2</v>
      </c>
      <c r="AH267" s="1266">
        <v>0.1</v>
      </c>
    </row>
    <row r="268" spans="1:34" ht="12.75">
      <c r="A268" s="2199">
        <f t="shared" si="48"/>
        <v>256</v>
      </c>
      <c r="B268" s="2200" t="s">
        <v>3340</v>
      </c>
      <c r="C268" s="2743">
        <v>0</v>
      </c>
      <c r="D268" s="2743">
        <v>820</v>
      </c>
      <c r="E268" s="2949">
        <v>0.1</v>
      </c>
      <c r="F268" s="2200">
        <v>20</v>
      </c>
      <c r="G268" s="2200" t="s">
        <v>2395</v>
      </c>
      <c r="H268" s="2200" t="s">
        <v>1057</v>
      </c>
      <c r="I268" s="2742">
        <v>30</v>
      </c>
      <c r="J268" s="2742"/>
      <c r="K268" s="2752">
        <v>45</v>
      </c>
      <c r="L268" s="2745">
        <f t="shared" si="49"/>
        <v>820</v>
      </c>
      <c r="M268" s="2745">
        <f t="shared" si="64"/>
        <v>30</v>
      </c>
      <c r="N268" s="2745">
        <f t="shared" si="54"/>
        <v>20</v>
      </c>
      <c r="O268" s="1232">
        <f t="shared" si="55"/>
        <v>0.1</v>
      </c>
      <c r="P268" s="1227" t="str">
        <f t="shared" si="65"/>
        <v>250gsm IVORY ZENITH GC1</v>
      </c>
      <c r="Q268" s="254">
        <v>0.38</v>
      </c>
      <c r="R268" s="1228" t="str">
        <f t="shared" si="57"/>
        <v>250</v>
      </c>
      <c r="S268" s="2625">
        <f t="shared" si="50"/>
        <v>0</v>
      </c>
      <c r="T268" s="2747">
        <f>IF(L268&gt;0,IF(input!$B$2=$O$1,(((L268+Y268/22)+(L268+Y268/22)*$AG268+$X268)*$P$11+$M$7)/1000,(((L268+Y268/22)+(L268+Y268/22)*O268+(L268+Y268/22)*$AG268+$X268)*$P$11+$M$7)/1000),0)</f>
        <v>22493.278400000003</v>
      </c>
      <c r="U268" s="2747">
        <f t="shared" si="51"/>
        <v>0</v>
      </c>
      <c r="V268" s="1229"/>
      <c r="W268" s="1231" t="str">
        <f t="shared" si="66"/>
        <v>CIF</v>
      </c>
      <c r="X268" s="1230">
        <f t="shared" si="63"/>
        <v>0</v>
      </c>
      <c r="Y268" s="2625">
        <f t="shared" si="67"/>
        <v>0</v>
      </c>
      <c r="Z268" s="3208">
        <f t="shared" si="58"/>
        <v>838.18181818181813</v>
      </c>
      <c r="AA268" s="1220" t="s">
        <v>3353</v>
      </c>
      <c r="AB268" s="1220" t="s">
        <v>1395</v>
      </c>
      <c r="AC268" s="251" t="str">
        <f t="shared" si="59"/>
        <v>250gsm IVORY ZENITH GC1</v>
      </c>
      <c r="AD268" s="2746">
        <f>IF(L268&gt;0,IF(input!$B$2=$O$1,(((M268)+(M268)*$M$10)*$P$11)/1000,(((M268)+(M268)*O268+(M268)*$M$10)*$P$11)/1000),0)</f>
        <v>798.0924</v>
      </c>
      <c r="AE268" s="2746">
        <f>IF(L268&gt;0,IF(input!$B$2=$O$1,(((N268)+(N268)*$M$10)*$P$11)/1000,(((N268)+(N268)*O268+(N268)*$M$10)*$P$11)/1000),0)</f>
        <v>532.0616</v>
      </c>
      <c r="AF268" s="136" t="str">
        <f t="shared" si="68"/>
        <v>PEFC</v>
      </c>
      <c r="AG268" s="2628">
        <f t="shared" si="69"/>
        <v>1.2E-2</v>
      </c>
      <c r="AH268" s="1266">
        <v>0.1</v>
      </c>
    </row>
    <row r="269" spans="1:34" ht="12.75">
      <c r="A269" s="2199">
        <f t="shared" si="48"/>
        <v>257</v>
      </c>
      <c r="B269" s="2200" t="s">
        <v>3341</v>
      </c>
      <c r="C269" s="2743">
        <v>0</v>
      </c>
      <c r="D269" s="2743">
        <v>820</v>
      </c>
      <c r="E269" s="2949">
        <v>0.1</v>
      </c>
      <c r="F269" s="2200">
        <v>20</v>
      </c>
      <c r="G269" s="2200" t="s">
        <v>2395</v>
      </c>
      <c r="H269" s="2200" t="s">
        <v>1057</v>
      </c>
      <c r="I269" s="2742">
        <v>30</v>
      </c>
      <c r="J269" s="2742"/>
      <c r="K269" s="2752">
        <v>45</v>
      </c>
      <c r="L269" s="2745">
        <f t="shared" si="49"/>
        <v>820</v>
      </c>
      <c r="M269" s="2745">
        <f t="shared" si="64"/>
        <v>30</v>
      </c>
      <c r="N269" s="2745">
        <f t="shared" si="54"/>
        <v>20</v>
      </c>
      <c r="O269" s="1232">
        <f t="shared" si="55"/>
        <v>0.1</v>
      </c>
      <c r="P269" s="1227" t="str">
        <f t="shared" si="65"/>
        <v>270gsm IVORY ZENITH GC1</v>
      </c>
      <c r="Q269" s="254">
        <v>0.41</v>
      </c>
      <c r="R269" s="1228" t="str">
        <f t="shared" si="57"/>
        <v>270</v>
      </c>
      <c r="S269" s="2625">
        <f t="shared" si="50"/>
        <v>0</v>
      </c>
      <c r="T269" s="2747">
        <f>IF(L269&gt;0,IF(input!$B$2=$O$1,(((L269+Y269/22)+(L269+Y269/22)*$AG269+$X269)*$P$11+$M$7)/1000,(((L269+Y269/22)+(L269+Y269/22)*O269+(L269+Y269/22)*$AG269+$X269)*$P$11+$M$7)/1000),0)</f>
        <v>22493.278400000003</v>
      </c>
      <c r="U269" s="2747">
        <f t="shared" si="51"/>
        <v>0</v>
      </c>
      <c r="V269" s="1229"/>
      <c r="W269" s="1231" t="str">
        <f t="shared" si="66"/>
        <v>CIF</v>
      </c>
      <c r="X269" s="1230">
        <f t="shared" si="63"/>
        <v>0</v>
      </c>
      <c r="Y269" s="2625">
        <f t="shared" si="67"/>
        <v>0</v>
      </c>
      <c r="Z269" s="3208">
        <f t="shared" si="58"/>
        <v>838.18181818181813</v>
      </c>
      <c r="AA269" s="1220" t="s">
        <v>3353</v>
      </c>
      <c r="AB269" s="1220" t="s">
        <v>1395</v>
      </c>
      <c r="AC269" s="251" t="str">
        <f t="shared" si="59"/>
        <v>270gsm IVORY ZENITH GC1</v>
      </c>
      <c r="AD269" s="2746">
        <f>IF(L269&gt;0,IF(input!$B$2=$O$1,(((M269)+(M269)*$M$10)*$P$11)/1000,(((M269)+(M269)*O269+(M269)*$M$10)*$P$11)/1000),0)</f>
        <v>798.0924</v>
      </c>
      <c r="AE269" s="2746">
        <f>IF(L269&gt;0,IF(input!$B$2=$O$1,(((N269)+(N269)*$M$10)*$P$11)/1000,(((N269)+(N269)*O269+(N269)*$M$10)*$P$11)/1000),0)</f>
        <v>532.0616</v>
      </c>
      <c r="AF269" s="136" t="str">
        <f t="shared" si="68"/>
        <v>PEFC</v>
      </c>
      <c r="AG269" s="2628">
        <f t="shared" si="69"/>
        <v>1.2E-2</v>
      </c>
      <c r="AH269" s="1266">
        <v>0.1</v>
      </c>
    </row>
    <row r="270" spans="1:34" ht="12.75">
      <c r="A270" s="2199">
        <f t="shared" ref="A270:A333" si="70">ROW(A258)</f>
        <v>258</v>
      </c>
      <c r="B270" s="2200" t="s">
        <v>3342</v>
      </c>
      <c r="C270" s="2743">
        <v>0</v>
      </c>
      <c r="D270" s="2743">
        <v>820</v>
      </c>
      <c r="E270" s="2949">
        <v>0.1</v>
      </c>
      <c r="F270" s="2200">
        <v>20</v>
      </c>
      <c r="G270" s="2200" t="s">
        <v>2395</v>
      </c>
      <c r="H270" s="2200" t="s">
        <v>1057</v>
      </c>
      <c r="I270" s="2742">
        <v>30</v>
      </c>
      <c r="J270" s="2742"/>
      <c r="K270" s="2752">
        <v>45</v>
      </c>
      <c r="L270" s="2745">
        <f t="shared" ref="L270:L333" si="71">$D270</f>
        <v>820</v>
      </c>
      <c r="M270" s="2745">
        <f t="shared" si="64"/>
        <v>30</v>
      </c>
      <c r="N270" s="2745">
        <f t="shared" si="54"/>
        <v>20</v>
      </c>
      <c r="O270" s="1232">
        <f t="shared" si="55"/>
        <v>0.1</v>
      </c>
      <c r="P270" s="1227" t="str">
        <f t="shared" si="65"/>
        <v>295gsm IVORY ZENITH GC1</v>
      </c>
      <c r="Q270" s="254">
        <v>0.46</v>
      </c>
      <c r="R270" s="1228" t="str">
        <f t="shared" si="57"/>
        <v>295</v>
      </c>
      <c r="S270" s="2625">
        <f t="shared" ref="S270:S333" si="72">C270</f>
        <v>0</v>
      </c>
      <c r="T270" s="2747">
        <f>IF(L270&gt;0,IF(input!$B$2=$O$1,(((L270+Y270/22)+(L270+Y270/22)*$AG270+$X270)*$P$11+$M$7)/1000,(((L270+Y270/22)+(L270+Y270/22)*O270+(L270+Y270/22)*$AG270+$X270)*$P$11+$M$7)/1000),0)</f>
        <v>22493.278400000003</v>
      </c>
      <c r="U270" s="2747">
        <f t="shared" ref="U270:U333" si="73">IF(S270&gt;0,(S270/1.08)+Z270,0)</f>
        <v>0</v>
      </c>
      <c r="V270" s="1229"/>
      <c r="W270" s="1231" t="str">
        <f t="shared" si="66"/>
        <v>CIF</v>
      </c>
      <c r="X270" s="1230">
        <f t="shared" si="63"/>
        <v>0</v>
      </c>
      <c r="Y270" s="2625">
        <f t="shared" si="67"/>
        <v>0</v>
      </c>
      <c r="Z270" s="3208">
        <f t="shared" si="58"/>
        <v>838.18181818181813</v>
      </c>
      <c r="AA270" s="1220" t="s">
        <v>3353</v>
      </c>
      <c r="AB270" s="1220" t="s">
        <v>1395</v>
      </c>
      <c r="AC270" s="251" t="str">
        <f t="shared" si="59"/>
        <v>295gsm IVORY ZENITH GC1</v>
      </c>
      <c r="AD270" s="2746">
        <f>IF(L270&gt;0,IF(input!$B$2=$O$1,(((M270)+(M270)*$M$10)*$P$11)/1000,(((M270)+(M270)*O270+(M270)*$M$10)*$P$11)/1000),0)</f>
        <v>798.0924</v>
      </c>
      <c r="AE270" s="2746">
        <f>IF(L270&gt;0,IF(input!$B$2=$O$1,(((N270)+(N270)*$M$10)*$P$11)/1000,(((N270)+(N270)*O270+(N270)*$M$10)*$P$11)/1000),0)</f>
        <v>532.0616</v>
      </c>
      <c r="AF270" s="136" t="str">
        <f t="shared" si="68"/>
        <v>PEFC</v>
      </c>
      <c r="AG270" s="2628">
        <f t="shared" si="69"/>
        <v>1.2E-2</v>
      </c>
      <c r="AH270" s="1266">
        <v>0.1</v>
      </c>
    </row>
    <row r="271" spans="1:34" ht="12.75">
      <c r="A271" s="2199">
        <f t="shared" si="70"/>
        <v>259</v>
      </c>
      <c r="B271" s="2200" t="s">
        <v>3343</v>
      </c>
      <c r="C271" s="2743">
        <v>0</v>
      </c>
      <c r="D271" s="2743">
        <v>820</v>
      </c>
      <c r="E271" s="2949">
        <v>0.1</v>
      </c>
      <c r="F271" s="2200">
        <v>20</v>
      </c>
      <c r="G271" s="2200" t="s">
        <v>2395</v>
      </c>
      <c r="H271" s="2200" t="s">
        <v>1057</v>
      </c>
      <c r="I271" s="2742">
        <v>30</v>
      </c>
      <c r="J271" s="2742"/>
      <c r="K271" s="2752">
        <v>45</v>
      </c>
      <c r="L271" s="2745">
        <f t="shared" si="71"/>
        <v>820</v>
      </c>
      <c r="M271" s="2745">
        <f t="shared" si="64"/>
        <v>30</v>
      </c>
      <c r="N271" s="2745">
        <f t="shared" si="54"/>
        <v>20</v>
      </c>
      <c r="O271" s="1232">
        <f t="shared" si="55"/>
        <v>0.1</v>
      </c>
      <c r="P271" s="1227" t="str">
        <f t="shared" si="65"/>
        <v>325gsm IVORY ZENITH GC1</v>
      </c>
      <c r="Q271" s="254">
        <v>0.51</v>
      </c>
      <c r="R271" s="1228" t="str">
        <f t="shared" ref="R271:R334" si="74">LEFT(AC271,3)</f>
        <v>325</v>
      </c>
      <c r="S271" s="2625">
        <f t="shared" si="72"/>
        <v>0</v>
      </c>
      <c r="T271" s="2747">
        <f>IF(L271&gt;0,IF(input!$B$2=$O$1,(((L271+Y271/22)+(L271+Y271/22)*$AG271+$X271)*$P$11+$M$7)/1000,(((L271+Y271/22)+(L271+Y271/22)*O271+(L271+Y271/22)*$AG271+$X271)*$P$11+$M$7)/1000),0)</f>
        <v>22493.278400000003</v>
      </c>
      <c r="U271" s="2747">
        <f t="shared" si="73"/>
        <v>0</v>
      </c>
      <c r="V271" s="1229"/>
      <c r="W271" s="1231" t="str">
        <f t="shared" si="66"/>
        <v>CIF</v>
      </c>
      <c r="X271" s="1230">
        <f t="shared" si="63"/>
        <v>0</v>
      </c>
      <c r="Y271" s="2625">
        <f t="shared" si="67"/>
        <v>0</v>
      </c>
      <c r="Z271" s="3208">
        <f t="shared" ref="Z271:Z334" si="75">922000/1.1/1000</f>
        <v>838.18181818181813</v>
      </c>
      <c r="AA271" s="1220" t="s">
        <v>3353</v>
      </c>
      <c r="AB271" s="1220" t="s">
        <v>1395</v>
      </c>
      <c r="AC271" s="251" t="str">
        <f t="shared" ref="AC271:AC334" si="76">B271</f>
        <v>325gsm IVORY ZENITH GC1</v>
      </c>
      <c r="AD271" s="2746">
        <f>IF(L271&gt;0,IF(input!$B$2=$O$1,(((M271)+(M271)*$M$10)*$P$11)/1000,(((M271)+(M271)*O271+(M271)*$M$10)*$P$11)/1000),0)</f>
        <v>798.0924</v>
      </c>
      <c r="AE271" s="2746">
        <f>IF(L271&gt;0,IF(input!$B$2=$O$1,(((N271)+(N271)*$M$10)*$P$11)/1000,(((N271)+(N271)*O271+(N271)*$M$10)*$P$11)/1000),0)</f>
        <v>532.0616</v>
      </c>
      <c r="AF271" s="136" t="str">
        <f t="shared" si="68"/>
        <v>PEFC</v>
      </c>
      <c r="AG271" s="2628">
        <f t="shared" si="69"/>
        <v>1.2E-2</v>
      </c>
      <c r="AH271" s="1266">
        <v>0.1</v>
      </c>
    </row>
    <row r="272" spans="1:34" ht="12.75">
      <c r="A272" s="2199">
        <f t="shared" si="70"/>
        <v>260</v>
      </c>
      <c r="B272" s="2200" t="s">
        <v>3344</v>
      </c>
      <c r="C272" s="2743">
        <v>0</v>
      </c>
      <c r="D272" s="2743">
        <v>820</v>
      </c>
      <c r="E272" s="2949">
        <v>0.1</v>
      </c>
      <c r="F272" s="2200">
        <v>20</v>
      </c>
      <c r="G272" s="2200" t="s">
        <v>2395</v>
      </c>
      <c r="H272" s="2200" t="s">
        <v>1057</v>
      </c>
      <c r="I272" s="2742">
        <v>30</v>
      </c>
      <c r="J272" s="2742"/>
      <c r="K272" s="2752">
        <v>45</v>
      </c>
      <c r="L272" s="2745">
        <f t="shared" si="71"/>
        <v>820</v>
      </c>
      <c r="M272" s="2745">
        <f t="shared" si="64"/>
        <v>30</v>
      </c>
      <c r="N272" s="2745">
        <f t="shared" si="54"/>
        <v>20</v>
      </c>
      <c r="O272" s="1232">
        <f t="shared" si="55"/>
        <v>0.1</v>
      </c>
      <c r="P272" s="1227" t="str">
        <f t="shared" si="65"/>
        <v>350gsm IVORY ZENITH GC1</v>
      </c>
      <c r="Q272" s="254">
        <v>0.56000000000000005</v>
      </c>
      <c r="R272" s="1228" t="str">
        <f t="shared" si="74"/>
        <v>350</v>
      </c>
      <c r="S272" s="2625">
        <f t="shared" si="72"/>
        <v>0</v>
      </c>
      <c r="T272" s="2747">
        <f>IF(L272&gt;0,IF(input!$B$2=$O$1,(((L272+Y272/22)+(L272+Y272/22)*$AG272+$X272)*$P$11+$M$7)/1000,(((L272+Y272/22)+(L272+Y272/22)*O272+(L272+Y272/22)*$AG272+$X272)*$P$11+$M$7)/1000),0)</f>
        <v>22493.278400000003</v>
      </c>
      <c r="U272" s="2747">
        <f t="shared" si="73"/>
        <v>0</v>
      </c>
      <c r="V272" s="1229"/>
      <c r="W272" s="1231" t="str">
        <f t="shared" si="66"/>
        <v>CIF</v>
      </c>
      <c r="X272" s="1230">
        <f t="shared" si="63"/>
        <v>0</v>
      </c>
      <c r="Y272" s="2625">
        <f t="shared" si="67"/>
        <v>0</v>
      </c>
      <c r="Z272" s="3208">
        <f t="shared" si="75"/>
        <v>838.18181818181813</v>
      </c>
      <c r="AA272" s="1220" t="s">
        <v>3353</v>
      </c>
      <c r="AB272" s="1220" t="s">
        <v>1395</v>
      </c>
      <c r="AC272" s="251" t="str">
        <f t="shared" si="76"/>
        <v>350gsm IVORY ZENITH GC1</v>
      </c>
      <c r="AD272" s="2746">
        <f>IF(L272&gt;0,IF(input!$B$2=$O$1,(((M272)+(M272)*$M$10)*$P$11)/1000,(((M272)+(M272)*O272+(M272)*$M$10)*$P$11)/1000),0)</f>
        <v>798.0924</v>
      </c>
      <c r="AE272" s="2746">
        <f>IF(L272&gt;0,IF(input!$B$2=$O$1,(((N272)+(N272)*$M$10)*$P$11)/1000,(((N272)+(N272)*O272+(N272)*$M$10)*$P$11)/1000),0)</f>
        <v>532.0616</v>
      </c>
      <c r="AF272" s="136" t="str">
        <f t="shared" si="68"/>
        <v>PEFC</v>
      </c>
      <c r="AG272" s="2628">
        <f t="shared" si="69"/>
        <v>1.2E-2</v>
      </c>
      <c r="AH272" s="1266">
        <v>0.1</v>
      </c>
    </row>
    <row r="273" spans="1:34" ht="12.75">
      <c r="A273" s="2199">
        <f t="shared" si="70"/>
        <v>261</v>
      </c>
      <c r="B273" s="2200" t="s">
        <v>3345</v>
      </c>
      <c r="C273" s="2743">
        <v>0</v>
      </c>
      <c r="D273" s="2743">
        <v>820</v>
      </c>
      <c r="E273" s="2949">
        <v>0.1</v>
      </c>
      <c r="F273" s="2200">
        <v>20</v>
      </c>
      <c r="G273" s="2200" t="s">
        <v>2395</v>
      </c>
      <c r="H273" s="2200" t="s">
        <v>1057</v>
      </c>
      <c r="I273" s="2742">
        <v>30</v>
      </c>
      <c r="J273" s="2742"/>
      <c r="K273" s="2752">
        <v>45</v>
      </c>
      <c r="L273" s="2745">
        <f t="shared" si="71"/>
        <v>820</v>
      </c>
      <c r="M273" s="2745">
        <f t="shared" si="64"/>
        <v>30</v>
      </c>
      <c r="N273" s="2745">
        <f t="shared" si="54"/>
        <v>20</v>
      </c>
      <c r="O273" s="1232">
        <f t="shared" si="55"/>
        <v>0.1</v>
      </c>
      <c r="P273" s="1227" t="str">
        <f t="shared" si="65"/>
        <v>380gsm IVORY ZENITH GC1</v>
      </c>
      <c r="Q273" s="254">
        <v>0.61</v>
      </c>
      <c r="R273" s="1228" t="str">
        <f t="shared" si="74"/>
        <v>380</v>
      </c>
      <c r="S273" s="2625">
        <f t="shared" si="72"/>
        <v>0</v>
      </c>
      <c r="T273" s="2747">
        <f>IF(L273&gt;0,IF(input!$B$2=$O$1,(((L273+Y273/22)+(L273+Y273/22)*$AG273+$X273)*$P$11+$M$7)/1000,(((L273+Y273/22)+(L273+Y273/22)*O273+(L273+Y273/22)*$AG273+$X273)*$P$11+$M$7)/1000),0)</f>
        <v>22493.278400000003</v>
      </c>
      <c r="U273" s="2747">
        <f t="shared" si="73"/>
        <v>0</v>
      </c>
      <c r="V273" s="1229"/>
      <c r="W273" s="1231" t="str">
        <f t="shared" si="66"/>
        <v>CIF</v>
      </c>
      <c r="X273" s="1230">
        <f t="shared" ref="X273:X336" si="77">IF(L273&gt;0,IF(OR(W273="CFR",W273="CRF",W273="CNF",W273="CPT"),1.1*$M$8*(L273+N273),IF(W273="FOB",1.1*$M$8*(L273+N273+Y273/22),0)),0)</f>
        <v>0</v>
      </c>
      <c r="Y273" s="2625">
        <f t="shared" si="67"/>
        <v>0</v>
      </c>
      <c r="Z273" s="3208">
        <f t="shared" si="75"/>
        <v>838.18181818181813</v>
      </c>
      <c r="AA273" s="1220" t="s">
        <v>3353</v>
      </c>
      <c r="AB273" s="1220" t="s">
        <v>1395</v>
      </c>
      <c r="AC273" s="251" t="str">
        <f t="shared" si="76"/>
        <v>380gsm IVORY ZENITH GC1</v>
      </c>
      <c r="AD273" s="2746">
        <f>IF(L273&gt;0,IF(input!$B$2=$O$1,(((M273)+(M273)*$M$10)*$P$11)/1000,(((M273)+(M273)*O273+(M273)*$M$10)*$P$11)/1000),0)</f>
        <v>798.0924</v>
      </c>
      <c r="AE273" s="2746">
        <f>IF(L273&gt;0,IF(input!$B$2=$O$1,(((N273)+(N273)*$M$10)*$P$11)/1000,(((N273)+(N273)*O273+(N273)*$M$10)*$P$11)/1000),0)</f>
        <v>532.0616</v>
      </c>
      <c r="AF273" s="136" t="str">
        <f t="shared" si="68"/>
        <v>PEFC</v>
      </c>
      <c r="AG273" s="2628">
        <f t="shared" si="69"/>
        <v>1.2E-2</v>
      </c>
      <c r="AH273" s="1266">
        <v>0.1</v>
      </c>
    </row>
    <row r="274" spans="1:34" ht="12.75">
      <c r="A274" s="2199">
        <f t="shared" si="70"/>
        <v>262</v>
      </c>
      <c r="B274" s="2200" t="s">
        <v>912</v>
      </c>
      <c r="C274" s="2743">
        <v>0</v>
      </c>
      <c r="D274" s="2743">
        <v>0</v>
      </c>
      <c r="E274" s="2949">
        <v>0.1</v>
      </c>
      <c r="F274" s="2200">
        <v>30</v>
      </c>
      <c r="G274" s="2200" t="s">
        <v>2038</v>
      </c>
      <c r="H274" s="2200" t="s">
        <v>1057</v>
      </c>
      <c r="I274" s="2742">
        <v>25</v>
      </c>
      <c r="J274" s="2742"/>
      <c r="K274" s="2752">
        <v>70</v>
      </c>
      <c r="L274" s="2745">
        <f t="shared" si="71"/>
        <v>0</v>
      </c>
      <c r="M274" s="2745">
        <f t="shared" si="53"/>
        <v>25</v>
      </c>
      <c r="N274" s="2745">
        <f t="shared" si="54"/>
        <v>30</v>
      </c>
      <c r="O274" s="1232">
        <f t="shared" si="55"/>
        <v>0.1</v>
      </c>
      <c r="P274" s="1227" t="str">
        <f t="shared" si="56"/>
        <v>200gsm IVORY ITC - INDIA GC1 - BXHS</v>
      </c>
      <c r="Q274" s="254">
        <v>0.31</v>
      </c>
      <c r="R274" s="1228" t="str">
        <f t="shared" si="74"/>
        <v>200</v>
      </c>
      <c r="S274" s="2625">
        <f t="shared" si="72"/>
        <v>0</v>
      </c>
      <c r="T274" s="2747">
        <f>IF(L274&gt;0,IF(input!$B$2=$O$1,(((L274+Y274/22)+(L274+Y274/22)*$AG274+$X274)*$P$11+$M$7)/1000,(((L274+Y274/22)+(L274+Y274/22)*O274+(L274+Y274/22)*$AG274+$X274)*$P$11+$M$7)/1000),0)</f>
        <v>0</v>
      </c>
      <c r="U274" s="2747">
        <f t="shared" si="73"/>
        <v>0</v>
      </c>
      <c r="V274" s="1229"/>
      <c r="W274" s="1231" t="str">
        <f t="shared" si="52"/>
        <v>CIF</v>
      </c>
      <c r="X274" s="1230">
        <f t="shared" si="77"/>
        <v>0</v>
      </c>
      <c r="Y274" s="2625">
        <f t="shared" si="60"/>
        <v>0</v>
      </c>
      <c r="Z274" s="3208">
        <f t="shared" si="75"/>
        <v>838.18181818181813</v>
      </c>
      <c r="AA274" s="1220" t="s">
        <v>1383</v>
      </c>
      <c r="AB274" s="1220" t="s">
        <v>1395</v>
      </c>
      <c r="AC274" s="251" t="str">
        <f t="shared" si="76"/>
        <v>200gsm IVORY ITC - INDIA GC1 - BXHS</v>
      </c>
      <c r="AD274" s="2746">
        <f>IF(L274&gt;0,IF(input!$B$2=$O$1,(((M274)+(M274)*$M$10)*$P$11)/1000,(((M274)+(M274)*O274+(M274)*$M$10)*$P$11)/1000),0)</f>
        <v>0</v>
      </c>
      <c r="AE274" s="2746">
        <f>IF(L274&gt;0,IF(input!$B$2=$O$1,(((N274)+(N274)*$M$10)*$P$11)/1000,(((N274)+(N274)*O274+(N274)*$M$10)*$P$11)/1000),0)</f>
        <v>0</v>
      </c>
      <c r="AF274" s="136" t="str">
        <f t="shared" si="61"/>
        <v>FSC</v>
      </c>
      <c r="AG274" s="2628">
        <f t="shared" si="62"/>
        <v>1.8666666666666668E-2</v>
      </c>
      <c r="AH274" s="1266">
        <v>0.1</v>
      </c>
    </row>
    <row r="275" spans="1:34" ht="12.75">
      <c r="A275" s="2199">
        <f t="shared" si="70"/>
        <v>263</v>
      </c>
      <c r="B275" s="2200" t="s">
        <v>913</v>
      </c>
      <c r="C275" s="2743">
        <v>0</v>
      </c>
      <c r="D275" s="2743">
        <v>0</v>
      </c>
      <c r="E275" s="2949">
        <v>0.1</v>
      </c>
      <c r="F275" s="2200">
        <v>30</v>
      </c>
      <c r="G275" s="2200" t="s">
        <v>2038</v>
      </c>
      <c r="H275" s="2200" t="s">
        <v>1057</v>
      </c>
      <c r="I275" s="2742">
        <v>25</v>
      </c>
      <c r="J275" s="2742"/>
      <c r="K275" s="2752">
        <v>70</v>
      </c>
      <c r="L275" s="2745">
        <f t="shared" si="71"/>
        <v>0</v>
      </c>
      <c r="M275" s="2745">
        <f t="shared" si="53"/>
        <v>25</v>
      </c>
      <c r="N275" s="2745">
        <f t="shared" si="54"/>
        <v>30</v>
      </c>
      <c r="O275" s="1232">
        <f t="shared" si="55"/>
        <v>0.1</v>
      </c>
      <c r="P275" s="1227" t="str">
        <f t="shared" si="56"/>
        <v>210gsm IVORY ITC - INDIA GC1 - BXHS</v>
      </c>
      <c r="Q275" s="254">
        <v>0.32600000000000001</v>
      </c>
      <c r="R275" s="1228" t="str">
        <f t="shared" si="74"/>
        <v>210</v>
      </c>
      <c r="S275" s="2625">
        <f t="shared" si="72"/>
        <v>0</v>
      </c>
      <c r="T275" s="2747">
        <f>IF(L275&gt;0,IF(input!$B$2=$O$1,(((L275+Y275/22)+(L275+Y275/22)*$AG275+$X275)*$P$11+$M$7)/1000,(((L275+Y275/22)+(L275+Y275/22)*O275+(L275+Y275/22)*$AG275+$X275)*$P$11+$M$7)/1000),0)</f>
        <v>0</v>
      </c>
      <c r="U275" s="2747">
        <f t="shared" si="73"/>
        <v>0</v>
      </c>
      <c r="V275" s="1229"/>
      <c r="W275" s="1231" t="str">
        <f t="shared" si="52"/>
        <v>CIF</v>
      </c>
      <c r="X275" s="1230">
        <f t="shared" si="77"/>
        <v>0</v>
      </c>
      <c r="Y275" s="2625">
        <f t="shared" si="60"/>
        <v>0</v>
      </c>
      <c r="Z275" s="3208">
        <f t="shared" si="75"/>
        <v>838.18181818181813</v>
      </c>
      <c r="AA275" s="1220" t="s">
        <v>1383</v>
      </c>
      <c r="AB275" s="1220" t="s">
        <v>1395</v>
      </c>
      <c r="AC275" s="251" t="str">
        <f t="shared" si="76"/>
        <v>210gsm IVORY ITC - INDIA GC1 - BXHS</v>
      </c>
      <c r="AD275" s="2746">
        <f>IF(L275&gt;0,IF(input!$B$2=$O$1,(((M275)+(M275)*$M$10)*$P$11)/1000,(((M275)+(M275)*O275+(M275)*$M$10)*$P$11)/1000),0)</f>
        <v>0</v>
      </c>
      <c r="AE275" s="2746">
        <f>IF(L275&gt;0,IF(input!$B$2=$O$1,(((N275)+(N275)*$M$10)*$P$11)/1000,(((N275)+(N275)*O275+(N275)*$M$10)*$P$11)/1000),0)</f>
        <v>0</v>
      </c>
      <c r="AF275" s="136" t="str">
        <f t="shared" si="61"/>
        <v>FSC</v>
      </c>
      <c r="AG275" s="2628">
        <f t="shared" si="62"/>
        <v>1.8666666666666668E-2</v>
      </c>
      <c r="AH275" s="1266">
        <v>0.1</v>
      </c>
    </row>
    <row r="276" spans="1:34" ht="12.75">
      <c r="A276" s="2199">
        <f t="shared" si="70"/>
        <v>264</v>
      </c>
      <c r="B276" s="2200" t="s">
        <v>914</v>
      </c>
      <c r="C276" s="2743">
        <v>0</v>
      </c>
      <c r="D276" s="2743">
        <v>0</v>
      </c>
      <c r="E276" s="2949">
        <v>0.1</v>
      </c>
      <c r="F276" s="2200">
        <v>30</v>
      </c>
      <c r="G276" s="2200" t="s">
        <v>2038</v>
      </c>
      <c r="H276" s="2200" t="s">
        <v>1057</v>
      </c>
      <c r="I276" s="2742">
        <v>25</v>
      </c>
      <c r="J276" s="2742"/>
      <c r="K276" s="2752">
        <v>70</v>
      </c>
      <c r="L276" s="2745">
        <f t="shared" si="71"/>
        <v>0</v>
      </c>
      <c r="M276" s="2745">
        <f t="shared" si="53"/>
        <v>25</v>
      </c>
      <c r="N276" s="2745">
        <f t="shared" si="54"/>
        <v>30</v>
      </c>
      <c r="O276" s="1232">
        <f t="shared" si="55"/>
        <v>0.1</v>
      </c>
      <c r="P276" s="1227" t="str">
        <f t="shared" si="56"/>
        <v>220gsm IVORY ITC - INDIA GC1 - BXHS</v>
      </c>
      <c r="Q276" s="254">
        <v>0.34100000000000003</v>
      </c>
      <c r="R276" s="1228" t="str">
        <f t="shared" si="74"/>
        <v>220</v>
      </c>
      <c r="S276" s="2625">
        <f t="shared" si="72"/>
        <v>0</v>
      </c>
      <c r="T276" s="2747">
        <f>IF(L276&gt;0,IF(input!$B$2=$O$1,(((L276+Y276/22)+(L276+Y276/22)*$AG276+$X276)*$P$11+$M$7)/1000,(((L276+Y276/22)+(L276+Y276/22)*O276+(L276+Y276/22)*$AG276+$X276)*$P$11+$M$7)/1000),0)</f>
        <v>0</v>
      </c>
      <c r="U276" s="2747">
        <f t="shared" si="73"/>
        <v>0</v>
      </c>
      <c r="V276" s="1229"/>
      <c r="W276" s="1231" t="str">
        <f t="shared" si="52"/>
        <v>CIF</v>
      </c>
      <c r="X276" s="1230">
        <f t="shared" si="77"/>
        <v>0</v>
      </c>
      <c r="Y276" s="2625">
        <f t="shared" si="60"/>
        <v>0</v>
      </c>
      <c r="Z276" s="3208">
        <f t="shared" si="75"/>
        <v>838.18181818181813</v>
      </c>
      <c r="AA276" s="1220" t="s">
        <v>1383</v>
      </c>
      <c r="AB276" s="1220" t="s">
        <v>1395</v>
      </c>
      <c r="AC276" s="251" t="str">
        <f t="shared" si="76"/>
        <v>220gsm IVORY ITC - INDIA GC1 - BXHS</v>
      </c>
      <c r="AD276" s="2746">
        <f>IF(L276&gt;0,IF(input!$B$2=$O$1,(((M276)+(M276)*$M$10)*$P$11)/1000,(((M276)+(M276)*O276+(M276)*$M$10)*$P$11)/1000),0)</f>
        <v>0</v>
      </c>
      <c r="AE276" s="2746">
        <f>IF(L276&gt;0,IF(input!$B$2=$O$1,(((N276)+(N276)*$M$10)*$P$11)/1000,(((N276)+(N276)*O276+(N276)*$M$10)*$P$11)/1000),0)</f>
        <v>0</v>
      </c>
      <c r="AF276" s="136" t="str">
        <f t="shared" si="61"/>
        <v>FSC</v>
      </c>
      <c r="AG276" s="2628">
        <f t="shared" si="62"/>
        <v>1.8666666666666668E-2</v>
      </c>
      <c r="AH276" s="1266">
        <v>0.1</v>
      </c>
    </row>
    <row r="277" spans="1:34" ht="12.75">
      <c r="A277" s="2199">
        <f t="shared" si="70"/>
        <v>265</v>
      </c>
      <c r="B277" s="2200" t="s">
        <v>915</v>
      </c>
      <c r="C277" s="2743">
        <v>0</v>
      </c>
      <c r="D277" s="2743">
        <v>0</v>
      </c>
      <c r="E277" s="2949">
        <v>0.1</v>
      </c>
      <c r="F277" s="2200">
        <v>30</v>
      </c>
      <c r="G277" s="2200" t="s">
        <v>2038</v>
      </c>
      <c r="H277" s="2200" t="s">
        <v>1057</v>
      </c>
      <c r="I277" s="2742">
        <v>25</v>
      </c>
      <c r="J277" s="2742"/>
      <c r="K277" s="2752">
        <v>70</v>
      </c>
      <c r="L277" s="2745">
        <f t="shared" si="71"/>
        <v>0</v>
      </c>
      <c r="M277" s="2745">
        <f t="shared" si="53"/>
        <v>25</v>
      </c>
      <c r="N277" s="2745">
        <f t="shared" si="54"/>
        <v>30</v>
      </c>
      <c r="O277" s="1232">
        <f t="shared" si="55"/>
        <v>0.1</v>
      </c>
      <c r="P277" s="1227" t="str">
        <f t="shared" si="56"/>
        <v>230gsm IVORY ITC - INDIA GC1 - BXHS</v>
      </c>
      <c r="Q277" s="254">
        <v>0.35699999999999998</v>
      </c>
      <c r="R277" s="1228" t="str">
        <f t="shared" si="74"/>
        <v>230</v>
      </c>
      <c r="S277" s="2625">
        <f t="shared" si="72"/>
        <v>0</v>
      </c>
      <c r="T277" s="2747">
        <f>IF(L277&gt;0,IF(input!$B$2=$O$1,(((L277+Y277/22)+(L277+Y277/22)*$AG277+$X277)*$P$11+$M$7)/1000,(((L277+Y277/22)+(L277+Y277/22)*O277+(L277+Y277/22)*$AG277+$X277)*$P$11+$M$7)/1000),0)</f>
        <v>0</v>
      </c>
      <c r="U277" s="2747">
        <f t="shared" si="73"/>
        <v>0</v>
      </c>
      <c r="V277" s="1229"/>
      <c r="W277" s="1231" t="str">
        <f t="shared" si="52"/>
        <v>CIF</v>
      </c>
      <c r="X277" s="1230">
        <f t="shared" si="77"/>
        <v>0</v>
      </c>
      <c r="Y277" s="2625">
        <f t="shared" si="60"/>
        <v>0</v>
      </c>
      <c r="Z277" s="3208">
        <f t="shared" si="75"/>
        <v>838.18181818181813</v>
      </c>
      <c r="AA277" s="1220" t="s">
        <v>1383</v>
      </c>
      <c r="AB277" s="1220" t="s">
        <v>1395</v>
      </c>
      <c r="AC277" s="251" t="str">
        <f t="shared" si="76"/>
        <v>230gsm IVORY ITC - INDIA GC1 - BXHS</v>
      </c>
      <c r="AD277" s="2746">
        <f>IF(L277&gt;0,IF(input!$B$2=$O$1,(((M277)+(M277)*$M$10)*$P$11)/1000,(((M277)+(M277)*O277+(M277)*$M$10)*$P$11)/1000),0)</f>
        <v>0</v>
      </c>
      <c r="AE277" s="2746">
        <f>IF(L277&gt;0,IF(input!$B$2=$O$1,(((N277)+(N277)*$M$10)*$P$11)/1000,(((N277)+(N277)*O277+(N277)*$M$10)*$P$11)/1000),0)</f>
        <v>0</v>
      </c>
      <c r="AF277" s="136" t="str">
        <f t="shared" si="61"/>
        <v>FSC</v>
      </c>
      <c r="AG277" s="2628">
        <f t="shared" si="62"/>
        <v>1.8666666666666668E-2</v>
      </c>
      <c r="AH277" s="1266">
        <v>0.1</v>
      </c>
    </row>
    <row r="278" spans="1:34" ht="12.75">
      <c r="A278" s="2199">
        <f t="shared" si="70"/>
        <v>266</v>
      </c>
      <c r="B278" s="2200" t="s">
        <v>916</v>
      </c>
      <c r="C278" s="2743">
        <v>0</v>
      </c>
      <c r="D278" s="2743">
        <v>0</v>
      </c>
      <c r="E278" s="2949">
        <v>0.1</v>
      </c>
      <c r="F278" s="2200">
        <v>30</v>
      </c>
      <c r="G278" s="2200" t="s">
        <v>2038</v>
      </c>
      <c r="H278" s="2200" t="s">
        <v>1057</v>
      </c>
      <c r="I278" s="2742">
        <v>25</v>
      </c>
      <c r="J278" s="2742"/>
      <c r="K278" s="2752">
        <v>70</v>
      </c>
      <c r="L278" s="2745">
        <f t="shared" si="71"/>
        <v>0</v>
      </c>
      <c r="M278" s="2745">
        <f t="shared" si="53"/>
        <v>25</v>
      </c>
      <c r="N278" s="2745">
        <f t="shared" si="54"/>
        <v>30</v>
      </c>
      <c r="O278" s="1232">
        <f t="shared" si="55"/>
        <v>0.1</v>
      </c>
      <c r="P278" s="1227" t="str">
        <f t="shared" si="56"/>
        <v>240gsm IVORY ITC - INDIA GC1 - BXHS</v>
      </c>
      <c r="Q278" s="254">
        <v>0.372</v>
      </c>
      <c r="R278" s="1228" t="str">
        <f t="shared" si="74"/>
        <v>240</v>
      </c>
      <c r="S278" s="2625">
        <f t="shared" si="72"/>
        <v>0</v>
      </c>
      <c r="T278" s="2747">
        <f>IF(L278&gt;0,IF(input!$B$2=$O$1,(((L278+Y278/22)+(L278+Y278/22)*$AG278+$X278)*$P$11+$M$7)/1000,(((L278+Y278/22)+(L278+Y278/22)*O278+(L278+Y278/22)*$AG278+$X278)*$P$11+$M$7)/1000),0)</f>
        <v>0</v>
      </c>
      <c r="U278" s="2747">
        <f t="shared" si="73"/>
        <v>0</v>
      </c>
      <c r="V278" s="1229"/>
      <c r="W278" s="1231" t="str">
        <f t="shared" si="52"/>
        <v>CIF</v>
      </c>
      <c r="X278" s="1230">
        <f t="shared" si="77"/>
        <v>0</v>
      </c>
      <c r="Y278" s="2625">
        <f t="shared" si="60"/>
        <v>0</v>
      </c>
      <c r="Z278" s="3208">
        <f t="shared" si="75"/>
        <v>838.18181818181813</v>
      </c>
      <c r="AA278" s="1220" t="s">
        <v>1383</v>
      </c>
      <c r="AB278" s="1220" t="s">
        <v>1395</v>
      </c>
      <c r="AC278" s="251" t="str">
        <f t="shared" si="76"/>
        <v>240gsm IVORY ITC - INDIA GC1 - BXHS</v>
      </c>
      <c r="AD278" s="2746">
        <f>IF(L278&gt;0,IF(input!$B$2=$O$1,(((M278)+(M278)*$M$10)*$P$11)/1000,(((M278)+(M278)*O278+(M278)*$M$10)*$P$11)/1000),0)</f>
        <v>0</v>
      </c>
      <c r="AE278" s="2746">
        <f>IF(L278&gt;0,IF(input!$B$2=$O$1,(((N278)+(N278)*$M$10)*$P$11)/1000,(((N278)+(N278)*O278+(N278)*$M$10)*$P$11)/1000),0)</f>
        <v>0</v>
      </c>
      <c r="AF278" s="136" t="str">
        <f t="shared" si="61"/>
        <v>FSC</v>
      </c>
      <c r="AG278" s="2628">
        <f t="shared" si="62"/>
        <v>1.8666666666666668E-2</v>
      </c>
      <c r="AH278" s="1266">
        <v>0.1</v>
      </c>
    </row>
    <row r="279" spans="1:34" ht="12.75">
      <c r="A279" s="2199">
        <f t="shared" si="70"/>
        <v>267</v>
      </c>
      <c r="B279" s="2200" t="s">
        <v>917</v>
      </c>
      <c r="C279" s="2743">
        <v>0</v>
      </c>
      <c r="D279" s="2743">
        <v>0</v>
      </c>
      <c r="E279" s="2949">
        <v>0.1</v>
      </c>
      <c r="F279" s="2200">
        <v>30</v>
      </c>
      <c r="G279" s="2200" t="s">
        <v>2038</v>
      </c>
      <c r="H279" s="2200" t="s">
        <v>1057</v>
      </c>
      <c r="I279" s="2742">
        <v>25</v>
      </c>
      <c r="J279" s="2742"/>
      <c r="K279" s="2752">
        <v>70</v>
      </c>
      <c r="L279" s="2745">
        <f t="shared" si="71"/>
        <v>0</v>
      </c>
      <c r="M279" s="2745">
        <f t="shared" si="53"/>
        <v>25</v>
      </c>
      <c r="N279" s="2745">
        <f t="shared" si="54"/>
        <v>30</v>
      </c>
      <c r="O279" s="1232">
        <f t="shared" si="55"/>
        <v>0.1</v>
      </c>
      <c r="P279" s="1227" t="str">
        <f t="shared" si="56"/>
        <v>250gsm IVORY ITC - INDIA GC1 - BXHS</v>
      </c>
      <c r="Q279" s="254">
        <v>0.38800000000000001</v>
      </c>
      <c r="R279" s="1228" t="str">
        <f t="shared" si="74"/>
        <v>250</v>
      </c>
      <c r="S279" s="2625">
        <f t="shared" si="72"/>
        <v>0</v>
      </c>
      <c r="T279" s="2747">
        <f>IF(L279&gt;0,IF(input!$B$2=$O$1,(((L279+Y279/22)+(L279+Y279/22)*$AG279+$X279)*$P$11+$M$7)/1000,(((L279+Y279/22)+(L279+Y279/22)*O279+(L279+Y279/22)*$AG279+$X279)*$P$11+$M$7)/1000),0)</f>
        <v>0</v>
      </c>
      <c r="U279" s="2747">
        <f t="shared" si="73"/>
        <v>0</v>
      </c>
      <c r="V279" s="1229"/>
      <c r="W279" s="1231" t="str">
        <f t="shared" ref="W279:W342" si="78">H279</f>
        <v>CIF</v>
      </c>
      <c r="X279" s="1230">
        <f t="shared" si="77"/>
        <v>0</v>
      </c>
      <c r="Y279" s="2625">
        <f t="shared" si="60"/>
        <v>0</v>
      </c>
      <c r="Z279" s="3208">
        <f t="shared" si="75"/>
        <v>838.18181818181813</v>
      </c>
      <c r="AA279" s="1220" t="s">
        <v>1383</v>
      </c>
      <c r="AB279" s="1220" t="s">
        <v>1395</v>
      </c>
      <c r="AC279" s="251" t="str">
        <f t="shared" si="76"/>
        <v>250gsm IVORY ITC - INDIA GC1 - BXHS</v>
      </c>
      <c r="AD279" s="2746">
        <f>IF(L279&gt;0,IF(input!$B$2=$O$1,(((M279)+(M279)*$M$10)*$P$11)/1000,(((M279)+(M279)*O279+(M279)*$M$10)*$P$11)/1000),0)</f>
        <v>0</v>
      </c>
      <c r="AE279" s="2746">
        <f>IF(L279&gt;0,IF(input!$B$2=$O$1,(((N279)+(N279)*$M$10)*$P$11)/1000,(((N279)+(N279)*O279+(N279)*$M$10)*$P$11)/1000),0)</f>
        <v>0</v>
      </c>
      <c r="AF279" s="136" t="str">
        <f t="shared" si="61"/>
        <v>FSC</v>
      </c>
      <c r="AG279" s="2628">
        <f t="shared" si="62"/>
        <v>1.8666666666666668E-2</v>
      </c>
      <c r="AH279" s="1266">
        <v>0.1</v>
      </c>
    </row>
    <row r="280" spans="1:34" ht="12.75">
      <c r="A280" s="2199">
        <f t="shared" si="70"/>
        <v>268</v>
      </c>
      <c r="B280" s="2200" t="s">
        <v>918</v>
      </c>
      <c r="C280" s="2743">
        <v>0</v>
      </c>
      <c r="D280" s="2743">
        <v>0</v>
      </c>
      <c r="E280" s="2949">
        <v>0.1</v>
      </c>
      <c r="F280" s="2200">
        <v>30</v>
      </c>
      <c r="G280" s="2200" t="s">
        <v>2038</v>
      </c>
      <c r="H280" s="2200" t="s">
        <v>1057</v>
      </c>
      <c r="I280" s="2742">
        <v>25</v>
      </c>
      <c r="J280" s="2742"/>
      <c r="K280" s="2752">
        <v>70</v>
      </c>
      <c r="L280" s="2745">
        <f t="shared" si="71"/>
        <v>0</v>
      </c>
      <c r="M280" s="2745">
        <f t="shared" ref="M280:M343" si="79">I280</f>
        <v>25</v>
      </c>
      <c r="N280" s="2745">
        <f t="shared" ref="N280:N343" si="80">$F280</f>
        <v>30</v>
      </c>
      <c r="O280" s="1232">
        <f t="shared" ref="O280:O343" si="81">$E280</f>
        <v>0.1</v>
      </c>
      <c r="P280" s="1227" t="str">
        <f t="shared" ref="P280:P287" si="82">R280&amp;"gsm "&amp;AB280&amp;" "&amp;AA280</f>
        <v>260gsm IVORY ITC - INDIA GC1 - BXHS</v>
      </c>
      <c r="Q280" s="254">
        <v>0.40300000000000002</v>
      </c>
      <c r="R280" s="1228" t="str">
        <f t="shared" si="74"/>
        <v>260</v>
      </c>
      <c r="S280" s="2625">
        <f t="shared" si="72"/>
        <v>0</v>
      </c>
      <c r="T280" s="2747">
        <f>IF(L280&gt;0,IF(input!$B$2=$O$1,(((L280+Y280/22)+(L280+Y280/22)*$AG280+$X280)*$P$11+$M$7)/1000,(((L280+Y280/22)+(L280+Y280/22)*O280+(L280+Y280/22)*$AG280+$X280)*$P$11+$M$7)/1000),0)</f>
        <v>0</v>
      </c>
      <c r="U280" s="2747">
        <f t="shared" si="73"/>
        <v>0</v>
      </c>
      <c r="V280" s="1229"/>
      <c r="W280" s="1231" t="str">
        <f t="shared" si="78"/>
        <v>CIF</v>
      </c>
      <c r="X280" s="1230">
        <f t="shared" si="77"/>
        <v>0</v>
      </c>
      <c r="Y280" s="2625">
        <f t="shared" si="60"/>
        <v>0</v>
      </c>
      <c r="Z280" s="3208">
        <f t="shared" si="75"/>
        <v>838.18181818181813</v>
      </c>
      <c r="AA280" s="1220" t="s">
        <v>1383</v>
      </c>
      <c r="AB280" s="1220" t="s">
        <v>1395</v>
      </c>
      <c r="AC280" s="251" t="str">
        <f t="shared" si="76"/>
        <v>260gsm IVORY ITC - INDIA GC1 - BXHS</v>
      </c>
      <c r="AD280" s="2746">
        <f>IF(L280&gt;0,IF(input!$B$2=$O$1,(((M280)+(M280)*$M$10)*$P$11)/1000,(((M280)+(M280)*O280+(M280)*$M$10)*$P$11)/1000),0)</f>
        <v>0</v>
      </c>
      <c r="AE280" s="2746">
        <f>IF(L280&gt;0,IF(input!$B$2=$O$1,(((N280)+(N280)*$M$10)*$P$11)/1000,(((N280)+(N280)*O280+(N280)*$M$10)*$P$11)/1000),0)</f>
        <v>0</v>
      </c>
      <c r="AF280" s="136" t="str">
        <f t="shared" si="61"/>
        <v>FSC</v>
      </c>
      <c r="AG280" s="2628">
        <f t="shared" si="62"/>
        <v>1.8666666666666668E-2</v>
      </c>
      <c r="AH280" s="1266">
        <v>0.1</v>
      </c>
    </row>
    <row r="281" spans="1:34" ht="12.75">
      <c r="A281" s="2199">
        <f t="shared" si="70"/>
        <v>269</v>
      </c>
      <c r="B281" s="2200" t="s">
        <v>919</v>
      </c>
      <c r="C281" s="2743">
        <v>0</v>
      </c>
      <c r="D281" s="2743">
        <v>0</v>
      </c>
      <c r="E281" s="2949">
        <v>0.1</v>
      </c>
      <c r="F281" s="2200">
        <v>30</v>
      </c>
      <c r="G281" s="2200" t="s">
        <v>2038</v>
      </c>
      <c r="H281" s="2200" t="s">
        <v>1057</v>
      </c>
      <c r="I281" s="2742">
        <v>25</v>
      </c>
      <c r="J281" s="2742"/>
      <c r="K281" s="2752">
        <v>70</v>
      </c>
      <c r="L281" s="2745">
        <f t="shared" si="71"/>
        <v>0</v>
      </c>
      <c r="M281" s="2745">
        <f t="shared" si="79"/>
        <v>25</v>
      </c>
      <c r="N281" s="2745">
        <f t="shared" si="80"/>
        <v>30</v>
      </c>
      <c r="O281" s="1232">
        <f t="shared" si="81"/>
        <v>0.1</v>
      </c>
      <c r="P281" s="1227" t="str">
        <f t="shared" si="82"/>
        <v>270gsm IVORY ITC - INDIA GC1 - BXHS</v>
      </c>
      <c r="Q281" s="254">
        <v>0.432</v>
      </c>
      <c r="R281" s="1228" t="str">
        <f t="shared" si="74"/>
        <v>270</v>
      </c>
      <c r="S281" s="2625">
        <f t="shared" si="72"/>
        <v>0</v>
      </c>
      <c r="T281" s="2747">
        <f>IF(L281&gt;0,IF(input!$B$2=$O$1,(((L281+Y281/22)+(L281+Y281/22)*$AG281+$X281)*$P$11+$M$7)/1000,(((L281+Y281/22)+(L281+Y281/22)*O281+(L281+Y281/22)*$AG281+$X281)*$P$11+$M$7)/1000),0)</f>
        <v>0</v>
      </c>
      <c r="U281" s="2747">
        <f t="shared" si="73"/>
        <v>0</v>
      </c>
      <c r="V281" s="1229"/>
      <c r="W281" s="1231" t="str">
        <f t="shared" si="78"/>
        <v>CIF</v>
      </c>
      <c r="X281" s="1230">
        <f t="shared" si="77"/>
        <v>0</v>
      </c>
      <c r="Y281" s="2625">
        <f t="shared" ref="Y281:Y344" si="83">J281</f>
        <v>0</v>
      </c>
      <c r="Z281" s="3208">
        <f t="shared" si="75"/>
        <v>838.18181818181813</v>
      </c>
      <c r="AA281" s="1220" t="s">
        <v>1383</v>
      </c>
      <c r="AB281" s="1220" t="s">
        <v>1395</v>
      </c>
      <c r="AC281" s="251" t="str">
        <f t="shared" si="76"/>
        <v>270gsm IVORY ITC - INDIA GC1 - BXHS</v>
      </c>
      <c r="AD281" s="2746">
        <f>IF(L281&gt;0,IF(input!$B$2=$O$1,(((M281)+(M281)*$M$10)*$P$11)/1000,(((M281)+(M281)*O281+(M281)*$M$10)*$P$11)/1000),0)</f>
        <v>0</v>
      </c>
      <c r="AE281" s="2746">
        <f>IF(L281&gt;0,IF(input!$B$2=$O$1,(((N281)+(N281)*$M$10)*$P$11)/1000,(((N281)+(N281)*O281+(N281)*$M$10)*$P$11)/1000),0)</f>
        <v>0</v>
      </c>
      <c r="AF281" s="136" t="str">
        <f t="shared" ref="AF281:AF344" si="84">G281</f>
        <v>FSC</v>
      </c>
      <c r="AG281" s="2628">
        <f t="shared" ref="AG281:AG344" si="85">K281*$M$10/30</f>
        <v>1.8666666666666668E-2</v>
      </c>
      <c r="AH281" s="1266">
        <v>0.1</v>
      </c>
    </row>
    <row r="282" spans="1:34" ht="12.75">
      <c r="A282" s="2199">
        <f t="shared" si="70"/>
        <v>270</v>
      </c>
      <c r="B282" s="2200" t="s">
        <v>920</v>
      </c>
      <c r="C282" s="2743">
        <v>0</v>
      </c>
      <c r="D282" s="2743">
        <v>0</v>
      </c>
      <c r="E282" s="2949">
        <v>0.1</v>
      </c>
      <c r="F282" s="2200">
        <v>30</v>
      </c>
      <c r="G282" s="2200" t="s">
        <v>2038</v>
      </c>
      <c r="H282" s="2200" t="s">
        <v>1057</v>
      </c>
      <c r="I282" s="2742">
        <v>25</v>
      </c>
      <c r="J282" s="2742"/>
      <c r="K282" s="2752">
        <v>70</v>
      </c>
      <c r="L282" s="2745">
        <f t="shared" si="71"/>
        <v>0</v>
      </c>
      <c r="M282" s="2745">
        <f t="shared" si="79"/>
        <v>25</v>
      </c>
      <c r="N282" s="2745">
        <f t="shared" si="80"/>
        <v>30</v>
      </c>
      <c r="O282" s="1232">
        <f t="shared" si="81"/>
        <v>0.1</v>
      </c>
      <c r="P282" s="1227" t="str">
        <f t="shared" si="82"/>
        <v>280gsm IVORY ITC - INDIA GC1 - BXHS</v>
      </c>
      <c r="Q282" s="254">
        <v>0.44800000000000001</v>
      </c>
      <c r="R282" s="1228" t="str">
        <f t="shared" si="74"/>
        <v>280</v>
      </c>
      <c r="S282" s="2625">
        <f t="shared" si="72"/>
        <v>0</v>
      </c>
      <c r="T282" s="2747">
        <f>IF(L282&gt;0,IF(input!$B$2=$O$1,(((L282+Y282/22)+(L282+Y282/22)*$AG282+$X282)*$P$11+$M$7)/1000,(((L282+Y282/22)+(L282+Y282/22)*O282+(L282+Y282/22)*$AG282+$X282)*$P$11+$M$7)/1000),0)</f>
        <v>0</v>
      </c>
      <c r="U282" s="2747">
        <f t="shared" si="73"/>
        <v>0</v>
      </c>
      <c r="V282" s="1229"/>
      <c r="W282" s="1231" t="str">
        <f t="shared" si="78"/>
        <v>CIF</v>
      </c>
      <c r="X282" s="1230">
        <f t="shared" si="77"/>
        <v>0</v>
      </c>
      <c r="Y282" s="2625">
        <f t="shared" si="83"/>
        <v>0</v>
      </c>
      <c r="Z282" s="3208">
        <f t="shared" si="75"/>
        <v>838.18181818181813</v>
      </c>
      <c r="AA282" s="1220" t="s">
        <v>1383</v>
      </c>
      <c r="AB282" s="1220" t="s">
        <v>1395</v>
      </c>
      <c r="AC282" s="251" t="str">
        <f t="shared" si="76"/>
        <v>280gsm IVORY ITC - INDIA GC1 - BXHS</v>
      </c>
      <c r="AD282" s="2746">
        <f>IF(L282&gt;0,IF(input!$B$2=$O$1,(((M282)+(M282)*$M$10)*$P$11)/1000,(((M282)+(M282)*O282+(M282)*$M$10)*$P$11)/1000),0)</f>
        <v>0</v>
      </c>
      <c r="AE282" s="2746">
        <f>IF(L282&gt;0,IF(input!$B$2=$O$1,(((N282)+(N282)*$M$10)*$P$11)/1000,(((N282)+(N282)*O282+(N282)*$M$10)*$P$11)/1000),0)</f>
        <v>0</v>
      </c>
      <c r="AF282" s="136" t="str">
        <f t="shared" si="84"/>
        <v>FSC</v>
      </c>
      <c r="AG282" s="2628">
        <f t="shared" si="85"/>
        <v>1.8666666666666668E-2</v>
      </c>
      <c r="AH282" s="1266">
        <v>0.1</v>
      </c>
    </row>
    <row r="283" spans="1:34" ht="12.75">
      <c r="A283" s="2199">
        <f t="shared" si="70"/>
        <v>271</v>
      </c>
      <c r="B283" s="2200" t="s">
        <v>921</v>
      </c>
      <c r="C283" s="2743">
        <v>0</v>
      </c>
      <c r="D283" s="2743">
        <v>0</v>
      </c>
      <c r="E283" s="2949">
        <v>0.1</v>
      </c>
      <c r="F283" s="2200">
        <v>30</v>
      </c>
      <c r="G283" s="2200" t="s">
        <v>2038</v>
      </c>
      <c r="H283" s="2200" t="s">
        <v>1057</v>
      </c>
      <c r="I283" s="2742">
        <v>25</v>
      </c>
      <c r="J283" s="2742"/>
      <c r="K283" s="2752">
        <v>70</v>
      </c>
      <c r="L283" s="2745">
        <f t="shared" si="71"/>
        <v>0</v>
      </c>
      <c r="M283" s="2745">
        <f t="shared" si="79"/>
        <v>25</v>
      </c>
      <c r="N283" s="2745">
        <f t="shared" si="80"/>
        <v>30</v>
      </c>
      <c r="O283" s="1232">
        <f t="shared" si="81"/>
        <v>0.1</v>
      </c>
      <c r="P283" s="1227" t="str">
        <f t="shared" si="82"/>
        <v>285gsm IVORY ITC - INDIA GC1 - BXHS</v>
      </c>
      <c r="Q283" s="254">
        <v>0.45600000000000002</v>
      </c>
      <c r="R283" s="1228" t="str">
        <f t="shared" si="74"/>
        <v>285</v>
      </c>
      <c r="S283" s="2625">
        <f t="shared" si="72"/>
        <v>0</v>
      </c>
      <c r="T283" s="2747">
        <f>IF(L283&gt;0,IF(input!$B$2=$O$1,(((L283+Y283/22)+(L283+Y283/22)*$AG283+$X283)*$P$11+$M$7)/1000,(((L283+Y283/22)+(L283+Y283/22)*O283+(L283+Y283/22)*$AG283+$X283)*$P$11+$M$7)/1000),0)</f>
        <v>0</v>
      </c>
      <c r="U283" s="2747">
        <f t="shared" si="73"/>
        <v>0</v>
      </c>
      <c r="V283" s="1229"/>
      <c r="W283" s="1231" t="str">
        <f t="shared" si="78"/>
        <v>CIF</v>
      </c>
      <c r="X283" s="1230">
        <f t="shared" si="77"/>
        <v>0</v>
      </c>
      <c r="Y283" s="2625">
        <f t="shared" si="83"/>
        <v>0</v>
      </c>
      <c r="Z283" s="3208">
        <f t="shared" si="75"/>
        <v>838.18181818181813</v>
      </c>
      <c r="AA283" s="1220" t="s">
        <v>1383</v>
      </c>
      <c r="AB283" s="1220" t="s">
        <v>1395</v>
      </c>
      <c r="AC283" s="251" t="str">
        <f t="shared" si="76"/>
        <v>285gsm IVORY ITC - INDIA GC1 - BXHS</v>
      </c>
      <c r="AD283" s="2746">
        <f>IF(L283&gt;0,IF(input!$B$2=$O$1,(((M283)+(M283)*$M$10)*$P$11)/1000,(((M283)+(M283)*O283+(M283)*$M$10)*$P$11)/1000),0)</f>
        <v>0</v>
      </c>
      <c r="AE283" s="2746">
        <f>IF(L283&gt;0,IF(input!$B$2=$O$1,(((N283)+(N283)*$M$10)*$P$11)/1000,(((N283)+(N283)*O283+(N283)*$M$10)*$P$11)/1000),0)</f>
        <v>0</v>
      </c>
      <c r="AF283" s="136" t="str">
        <f t="shared" si="84"/>
        <v>FSC</v>
      </c>
      <c r="AG283" s="2628">
        <f t="shared" si="85"/>
        <v>1.8666666666666668E-2</v>
      </c>
      <c r="AH283" s="1266">
        <v>0.1</v>
      </c>
    </row>
    <row r="284" spans="1:34" ht="12.75">
      <c r="A284" s="2199">
        <f t="shared" si="70"/>
        <v>272</v>
      </c>
      <c r="B284" s="2200" t="s">
        <v>922</v>
      </c>
      <c r="C284" s="2743">
        <v>0</v>
      </c>
      <c r="D284" s="2743">
        <v>0</v>
      </c>
      <c r="E284" s="2949">
        <v>0.1</v>
      </c>
      <c r="F284" s="2200">
        <v>30</v>
      </c>
      <c r="G284" s="2200" t="s">
        <v>2038</v>
      </c>
      <c r="H284" s="2200" t="s">
        <v>1057</v>
      </c>
      <c r="I284" s="2742">
        <v>25</v>
      </c>
      <c r="J284" s="2742"/>
      <c r="K284" s="2752">
        <v>70</v>
      </c>
      <c r="L284" s="2745">
        <f t="shared" si="71"/>
        <v>0</v>
      </c>
      <c r="M284" s="2745">
        <f t="shared" si="79"/>
        <v>25</v>
      </c>
      <c r="N284" s="2745">
        <f t="shared" si="80"/>
        <v>30</v>
      </c>
      <c r="O284" s="1232">
        <f t="shared" si="81"/>
        <v>0.1</v>
      </c>
      <c r="P284" s="1227" t="str">
        <f t="shared" si="82"/>
        <v>290gsm IVORY ITC - INDIA GC1 - BXHS</v>
      </c>
      <c r="Q284" s="254">
        <v>0.46400000000000002</v>
      </c>
      <c r="R284" s="1228" t="str">
        <f t="shared" si="74"/>
        <v>290</v>
      </c>
      <c r="S284" s="2625">
        <f t="shared" si="72"/>
        <v>0</v>
      </c>
      <c r="T284" s="2747">
        <f>IF(L284&gt;0,IF(input!$B$2=$O$1,(((L284+Y284/22)+(L284+Y284/22)*$AG284+$X284)*$P$11+$M$7)/1000,(((L284+Y284/22)+(L284+Y284/22)*O284+(L284+Y284/22)*$AG284+$X284)*$P$11+$M$7)/1000),0)</f>
        <v>0</v>
      </c>
      <c r="U284" s="2747">
        <f t="shared" si="73"/>
        <v>0</v>
      </c>
      <c r="V284" s="1229"/>
      <c r="W284" s="1231" t="str">
        <f t="shared" si="78"/>
        <v>CIF</v>
      </c>
      <c r="X284" s="1230">
        <f t="shared" si="77"/>
        <v>0</v>
      </c>
      <c r="Y284" s="2625">
        <f t="shared" si="83"/>
        <v>0</v>
      </c>
      <c r="Z284" s="3208">
        <f t="shared" si="75"/>
        <v>838.18181818181813</v>
      </c>
      <c r="AA284" s="1220" t="s">
        <v>1383</v>
      </c>
      <c r="AB284" s="1220" t="s">
        <v>1395</v>
      </c>
      <c r="AC284" s="251" t="str">
        <f t="shared" si="76"/>
        <v>290gsm IVORY ITC - INDIA GC1 - BXHS</v>
      </c>
      <c r="AD284" s="2746">
        <f>IF(L284&gt;0,IF(input!$B$2=$O$1,(((M284)+(M284)*$M$10)*$P$11)/1000,(((M284)+(M284)*O284+(M284)*$M$10)*$P$11)/1000),0)</f>
        <v>0</v>
      </c>
      <c r="AE284" s="2746">
        <f>IF(L284&gt;0,IF(input!$B$2=$O$1,(((N284)+(N284)*$M$10)*$P$11)/1000,(((N284)+(N284)*O284+(N284)*$M$10)*$P$11)/1000),0)</f>
        <v>0</v>
      </c>
      <c r="AF284" s="136" t="str">
        <f t="shared" si="84"/>
        <v>FSC</v>
      </c>
      <c r="AG284" s="2628">
        <f t="shared" si="85"/>
        <v>1.8666666666666668E-2</v>
      </c>
      <c r="AH284" s="1266">
        <v>0.1</v>
      </c>
    </row>
    <row r="285" spans="1:34" ht="12.75">
      <c r="A285" s="2199">
        <f t="shared" si="70"/>
        <v>273</v>
      </c>
      <c r="B285" s="2200" t="s">
        <v>923</v>
      </c>
      <c r="C285" s="2743">
        <v>0</v>
      </c>
      <c r="D285" s="2743">
        <v>0</v>
      </c>
      <c r="E285" s="2949">
        <v>0.1</v>
      </c>
      <c r="F285" s="2200">
        <v>30</v>
      </c>
      <c r="G285" s="2200" t="s">
        <v>2038</v>
      </c>
      <c r="H285" s="2200" t="s">
        <v>1057</v>
      </c>
      <c r="I285" s="2742">
        <v>25</v>
      </c>
      <c r="J285" s="2742"/>
      <c r="K285" s="2752">
        <v>70</v>
      </c>
      <c r="L285" s="2745">
        <f t="shared" si="71"/>
        <v>0</v>
      </c>
      <c r="M285" s="2745">
        <f t="shared" si="79"/>
        <v>25</v>
      </c>
      <c r="N285" s="2745">
        <f t="shared" si="80"/>
        <v>30</v>
      </c>
      <c r="O285" s="1232">
        <f t="shared" si="81"/>
        <v>0.1</v>
      </c>
      <c r="P285" s="1227" t="str">
        <f t="shared" si="82"/>
        <v>300gsm IVORY ITC - INDIA GC1 - BXHS</v>
      </c>
      <c r="Q285" s="254">
        <v>0.48</v>
      </c>
      <c r="R285" s="1228" t="str">
        <f t="shared" si="74"/>
        <v>300</v>
      </c>
      <c r="S285" s="2625">
        <f t="shared" si="72"/>
        <v>0</v>
      </c>
      <c r="T285" s="2747">
        <f>IF(L285&gt;0,IF(input!$B$2=$O$1,(((L285+Y285/22)+(L285+Y285/22)*$AG285+$X285)*$P$11+$M$7)/1000,(((L285+Y285/22)+(L285+Y285/22)*O285+(L285+Y285/22)*$AG285+$X285)*$P$11+$M$7)/1000),0)</f>
        <v>0</v>
      </c>
      <c r="U285" s="2747">
        <f t="shared" si="73"/>
        <v>0</v>
      </c>
      <c r="V285" s="1229"/>
      <c r="W285" s="1231" t="str">
        <f t="shared" si="78"/>
        <v>CIF</v>
      </c>
      <c r="X285" s="1230">
        <f t="shared" si="77"/>
        <v>0</v>
      </c>
      <c r="Y285" s="2625">
        <f t="shared" si="83"/>
        <v>0</v>
      </c>
      <c r="Z285" s="3208">
        <f t="shared" si="75"/>
        <v>838.18181818181813</v>
      </c>
      <c r="AA285" s="1220" t="s">
        <v>1383</v>
      </c>
      <c r="AB285" s="1220" t="s">
        <v>1395</v>
      </c>
      <c r="AC285" s="251" t="str">
        <f t="shared" si="76"/>
        <v>300gsm IVORY ITC - INDIA GC1 - BXHS</v>
      </c>
      <c r="AD285" s="2746">
        <f>IF(L285&gt;0,IF(input!$B$2=$O$1,(((M285)+(M285)*$M$10)*$P$11)/1000,(((M285)+(M285)*O285+(M285)*$M$10)*$P$11)/1000),0)</f>
        <v>0</v>
      </c>
      <c r="AE285" s="2746">
        <f>IF(L285&gt;0,IF(input!$B$2=$O$1,(((N285)+(N285)*$M$10)*$P$11)/1000,(((N285)+(N285)*O285+(N285)*$M$10)*$P$11)/1000),0)</f>
        <v>0</v>
      </c>
      <c r="AF285" s="136" t="str">
        <f t="shared" si="84"/>
        <v>FSC</v>
      </c>
      <c r="AG285" s="2628">
        <f t="shared" si="85"/>
        <v>1.8666666666666668E-2</v>
      </c>
      <c r="AH285" s="1266">
        <v>0.1</v>
      </c>
    </row>
    <row r="286" spans="1:34" ht="12.75">
      <c r="A286" s="2199">
        <f t="shared" si="70"/>
        <v>274</v>
      </c>
      <c r="B286" s="2200" t="s">
        <v>924</v>
      </c>
      <c r="C286" s="2743">
        <v>0</v>
      </c>
      <c r="D286" s="2743">
        <v>0</v>
      </c>
      <c r="E286" s="2949">
        <v>0.1</v>
      </c>
      <c r="F286" s="2200">
        <v>30</v>
      </c>
      <c r="G286" s="2200" t="s">
        <v>2038</v>
      </c>
      <c r="H286" s="2200" t="s">
        <v>1057</v>
      </c>
      <c r="I286" s="2742">
        <v>25</v>
      </c>
      <c r="J286" s="2742"/>
      <c r="K286" s="2752">
        <v>70</v>
      </c>
      <c r="L286" s="2745">
        <f t="shared" si="71"/>
        <v>0</v>
      </c>
      <c r="M286" s="2745">
        <f t="shared" si="79"/>
        <v>25</v>
      </c>
      <c r="N286" s="2745">
        <f t="shared" si="80"/>
        <v>30</v>
      </c>
      <c r="O286" s="1232">
        <f t="shared" si="81"/>
        <v>0.1</v>
      </c>
      <c r="P286" s="1227" t="str">
        <f t="shared" si="82"/>
        <v>320gsm IVORY ITC - INDIA GC1 - BXHS</v>
      </c>
      <c r="Q286" s="254">
        <v>0.51200000000000001</v>
      </c>
      <c r="R286" s="1228" t="str">
        <f t="shared" si="74"/>
        <v>320</v>
      </c>
      <c r="S286" s="2625">
        <f t="shared" si="72"/>
        <v>0</v>
      </c>
      <c r="T286" s="2747">
        <f>IF(L286&gt;0,IF(input!$B$2=$O$1,(((L286+Y286/22)+(L286+Y286/22)*$AG286+$X286)*$P$11+$M$7)/1000,(((L286+Y286/22)+(L286+Y286/22)*O286+(L286+Y286/22)*$AG286+$X286)*$P$11+$M$7)/1000),0)</f>
        <v>0</v>
      </c>
      <c r="U286" s="2747">
        <f t="shared" si="73"/>
        <v>0</v>
      </c>
      <c r="V286" s="1229"/>
      <c r="W286" s="1231" t="str">
        <f t="shared" si="78"/>
        <v>CIF</v>
      </c>
      <c r="X286" s="1230">
        <f t="shared" si="77"/>
        <v>0</v>
      </c>
      <c r="Y286" s="2625">
        <f t="shared" si="83"/>
        <v>0</v>
      </c>
      <c r="Z286" s="3208">
        <f t="shared" si="75"/>
        <v>838.18181818181813</v>
      </c>
      <c r="AA286" s="1220" t="s">
        <v>1383</v>
      </c>
      <c r="AB286" s="1220" t="s">
        <v>1395</v>
      </c>
      <c r="AC286" s="251" t="str">
        <f t="shared" si="76"/>
        <v>320gsm IVORY ITC - INDIA GC1 - BXHS</v>
      </c>
      <c r="AD286" s="2746">
        <f>IF(L286&gt;0,IF(input!$B$2=$O$1,(((M286)+(M286)*$M$10)*$P$11)/1000,(((M286)+(M286)*O286+(M286)*$M$10)*$P$11)/1000),0)</f>
        <v>0</v>
      </c>
      <c r="AE286" s="2746">
        <f>IF(L286&gt;0,IF(input!$B$2=$O$1,(((N286)+(N286)*$M$10)*$P$11)/1000,(((N286)+(N286)*O286+(N286)*$M$10)*$P$11)/1000),0)</f>
        <v>0</v>
      </c>
      <c r="AF286" s="136" t="str">
        <f t="shared" si="84"/>
        <v>FSC</v>
      </c>
      <c r="AG286" s="2628">
        <f t="shared" si="85"/>
        <v>1.8666666666666668E-2</v>
      </c>
      <c r="AH286" s="1266">
        <v>0.1</v>
      </c>
    </row>
    <row r="287" spans="1:34" ht="12.75">
      <c r="A287" s="2199">
        <f t="shared" si="70"/>
        <v>275</v>
      </c>
      <c r="B287" s="2200" t="s">
        <v>925</v>
      </c>
      <c r="C287" s="2743">
        <v>0</v>
      </c>
      <c r="D287" s="2743">
        <v>0</v>
      </c>
      <c r="E287" s="2949">
        <v>0.1</v>
      </c>
      <c r="F287" s="2200">
        <v>30</v>
      </c>
      <c r="G287" s="2200" t="s">
        <v>2038</v>
      </c>
      <c r="H287" s="2200" t="s">
        <v>1057</v>
      </c>
      <c r="I287" s="2742">
        <v>25</v>
      </c>
      <c r="J287" s="2742"/>
      <c r="K287" s="2752">
        <v>70</v>
      </c>
      <c r="L287" s="2745">
        <f t="shared" si="71"/>
        <v>0</v>
      </c>
      <c r="M287" s="2745">
        <f t="shared" si="79"/>
        <v>25</v>
      </c>
      <c r="N287" s="2745">
        <f t="shared" si="80"/>
        <v>30</v>
      </c>
      <c r="O287" s="1232">
        <f t="shared" si="81"/>
        <v>0.1</v>
      </c>
      <c r="P287" s="1227" t="str">
        <f t="shared" si="82"/>
        <v>330gsm IVORY ITC - INDIA GC1 - BXHS</v>
      </c>
      <c r="Q287" s="254">
        <v>0.52800000000000002</v>
      </c>
      <c r="R287" s="1228" t="str">
        <f t="shared" si="74"/>
        <v>330</v>
      </c>
      <c r="S287" s="2625">
        <f t="shared" si="72"/>
        <v>0</v>
      </c>
      <c r="T287" s="2747">
        <f>IF(L287&gt;0,IF(input!$B$2=$O$1,(((L287+Y287/22)+(L287+Y287/22)*$AG287+$X287)*$P$11+$M$7)/1000,(((L287+Y287/22)+(L287+Y287/22)*O287+(L287+Y287/22)*$AG287+$X287)*$P$11+$M$7)/1000),0)</f>
        <v>0</v>
      </c>
      <c r="U287" s="2747">
        <f t="shared" si="73"/>
        <v>0</v>
      </c>
      <c r="V287" s="1229"/>
      <c r="W287" s="1231" t="str">
        <f t="shared" si="78"/>
        <v>CIF</v>
      </c>
      <c r="X287" s="1230">
        <f t="shared" si="77"/>
        <v>0</v>
      </c>
      <c r="Y287" s="2625">
        <f t="shared" si="83"/>
        <v>0</v>
      </c>
      <c r="Z287" s="3208">
        <f t="shared" si="75"/>
        <v>838.18181818181813</v>
      </c>
      <c r="AA287" s="1220" t="s">
        <v>1383</v>
      </c>
      <c r="AB287" s="1220" t="s">
        <v>1395</v>
      </c>
      <c r="AC287" s="251" t="str">
        <f t="shared" si="76"/>
        <v>330gsm IVORY ITC - INDIA GC1 - BXHS</v>
      </c>
      <c r="AD287" s="2746">
        <f>IF(L287&gt;0,IF(input!$B$2=$O$1,(((M287)+(M287)*$M$10)*$P$11)/1000,(((M287)+(M287)*O287+(M287)*$M$10)*$P$11)/1000),0)</f>
        <v>0</v>
      </c>
      <c r="AE287" s="2746">
        <f>IF(L287&gt;0,IF(input!$B$2=$O$1,(((N287)+(N287)*$M$10)*$P$11)/1000,(((N287)+(N287)*O287+(N287)*$M$10)*$P$11)/1000),0)</f>
        <v>0</v>
      </c>
      <c r="AF287" s="136" t="str">
        <f t="shared" si="84"/>
        <v>FSC</v>
      </c>
      <c r="AG287" s="2628">
        <f t="shared" si="85"/>
        <v>1.8666666666666668E-2</v>
      </c>
      <c r="AH287" s="1266">
        <v>0.1</v>
      </c>
    </row>
    <row r="288" spans="1:34" ht="12.75">
      <c r="A288" s="2199">
        <f t="shared" si="70"/>
        <v>276</v>
      </c>
      <c r="B288" s="2200" t="s">
        <v>926</v>
      </c>
      <c r="C288" s="2743">
        <v>0</v>
      </c>
      <c r="D288" s="2743">
        <v>0</v>
      </c>
      <c r="E288" s="2949">
        <v>0.1</v>
      </c>
      <c r="F288" s="2200">
        <v>30</v>
      </c>
      <c r="G288" s="2200" t="s">
        <v>2038</v>
      </c>
      <c r="H288" s="2200" t="s">
        <v>1057</v>
      </c>
      <c r="I288" s="2742">
        <v>25</v>
      </c>
      <c r="J288" s="2742"/>
      <c r="K288" s="2752">
        <v>70</v>
      </c>
      <c r="L288" s="2745">
        <f t="shared" si="71"/>
        <v>0</v>
      </c>
      <c r="M288" s="2745">
        <f t="shared" si="79"/>
        <v>25</v>
      </c>
      <c r="N288" s="2745">
        <f t="shared" si="80"/>
        <v>30</v>
      </c>
      <c r="O288" s="1232">
        <f t="shared" si="81"/>
        <v>0.1</v>
      </c>
      <c r="P288" s="1227" t="str">
        <f t="shared" ref="P288:P351" si="86">R288&amp;"gsm "&amp;AB288&amp;" "&amp;AA288</f>
        <v>340gsm IVORY ITC - INDIA GC1 - BXHS</v>
      </c>
      <c r="Q288" s="254">
        <v>0.54400000000000004</v>
      </c>
      <c r="R288" s="1228" t="str">
        <f t="shared" si="74"/>
        <v>340</v>
      </c>
      <c r="S288" s="2625">
        <f t="shared" si="72"/>
        <v>0</v>
      </c>
      <c r="T288" s="2747">
        <f>IF(L288&gt;0,IF(input!$B$2=$O$1,(((L288+Y288/22)+(L288+Y288/22)*$AG288+$X288)*$P$11+$M$7)/1000,(((L288+Y288/22)+(L288+Y288/22)*O288+(L288+Y288/22)*$AG288+$X288)*$P$11+$M$7)/1000),0)</f>
        <v>0</v>
      </c>
      <c r="U288" s="2747">
        <f t="shared" si="73"/>
        <v>0</v>
      </c>
      <c r="V288" s="1229"/>
      <c r="W288" s="1231" t="str">
        <f t="shared" si="78"/>
        <v>CIF</v>
      </c>
      <c r="X288" s="1230">
        <f t="shared" si="77"/>
        <v>0</v>
      </c>
      <c r="Y288" s="2625">
        <f t="shared" si="83"/>
        <v>0</v>
      </c>
      <c r="Z288" s="3208">
        <f t="shared" si="75"/>
        <v>838.18181818181813</v>
      </c>
      <c r="AA288" s="1220" t="s">
        <v>1383</v>
      </c>
      <c r="AB288" s="1220" t="s">
        <v>1395</v>
      </c>
      <c r="AC288" s="251" t="str">
        <f t="shared" si="76"/>
        <v>340gsm IVORY ITC - INDIA GC1 - BXHS</v>
      </c>
      <c r="AD288" s="2746">
        <f>IF(L288&gt;0,IF(input!$B$2=$O$1,(((M288)+(M288)*$M$10)*$P$11)/1000,(((M288)+(M288)*O288+(M288)*$M$10)*$P$11)/1000),0)</f>
        <v>0</v>
      </c>
      <c r="AE288" s="2746">
        <f>IF(L288&gt;0,IF(input!$B$2=$O$1,(((N288)+(N288)*$M$10)*$P$11)/1000,(((N288)+(N288)*O288+(N288)*$M$10)*$P$11)/1000),0)</f>
        <v>0</v>
      </c>
      <c r="AF288" s="136" t="str">
        <f t="shared" si="84"/>
        <v>FSC</v>
      </c>
      <c r="AG288" s="2628">
        <f t="shared" si="85"/>
        <v>1.8666666666666668E-2</v>
      </c>
      <c r="AH288" s="1266">
        <v>0.1</v>
      </c>
    </row>
    <row r="289" spans="1:34" ht="12.75">
      <c r="A289" s="2199">
        <f t="shared" si="70"/>
        <v>277</v>
      </c>
      <c r="B289" s="2200" t="s">
        <v>927</v>
      </c>
      <c r="C289" s="2743">
        <v>0</v>
      </c>
      <c r="D289" s="2743">
        <v>0</v>
      </c>
      <c r="E289" s="2949">
        <v>0.1</v>
      </c>
      <c r="F289" s="2200">
        <v>30</v>
      </c>
      <c r="G289" s="2200" t="s">
        <v>2038</v>
      </c>
      <c r="H289" s="2200" t="s">
        <v>1057</v>
      </c>
      <c r="I289" s="2742">
        <v>25</v>
      </c>
      <c r="J289" s="2742"/>
      <c r="K289" s="2752">
        <v>70</v>
      </c>
      <c r="L289" s="2745">
        <f t="shared" si="71"/>
        <v>0</v>
      </c>
      <c r="M289" s="2745">
        <f t="shared" si="79"/>
        <v>25</v>
      </c>
      <c r="N289" s="2745">
        <f t="shared" si="80"/>
        <v>30</v>
      </c>
      <c r="O289" s="1232">
        <f t="shared" si="81"/>
        <v>0.1</v>
      </c>
      <c r="P289" s="1227" t="str">
        <f t="shared" si="86"/>
        <v>350gsm IVORY ITC - INDIA GC1 - BXHS</v>
      </c>
      <c r="Q289" s="254">
        <v>0.56000000000000005</v>
      </c>
      <c r="R289" s="1228" t="str">
        <f t="shared" si="74"/>
        <v>350</v>
      </c>
      <c r="S289" s="2625">
        <f t="shared" si="72"/>
        <v>0</v>
      </c>
      <c r="T289" s="2747">
        <f>IF(L289&gt;0,IF(input!$B$2=$O$1,(((L289+Y289/22)+(L289+Y289/22)*$AG289+$X289)*$P$11+$M$7)/1000,(((L289+Y289/22)+(L289+Y289/22)*O289+(L289+Y289/22)*$AG289+$X289)*$P$11+$M$7)/1000),0)</f>
        <v>0</v>
      </c>
      <c r="U289" s="2747">
        <f t="shared" si="73"/>
        <v>0</v>
      </c>
      <c r="V289" s="1229"/>
      <c r="W289" s="1231" t="str">
        <f t="shared" si="78"/>
        <v>CIF</v>
      </c>
      <c r="X289" s="1230">
        <f t="shared" si="77"/>
        <v>0</v>
      </c>
      <c r="Y289" s="2625">
        <f t="shared" si="83"/>
        <v>0</v>
      </c>
      <c r="Z289" s="3208">
        <f t="shared" si="75"/>
        <v>838.18181818181813</v>
      </c>
      <c r="AA289" s="1220" t="s">
        <v>1383</v>
      </c>
      <c r="AB289" s="1220" t="s">
        <v>1395</v>
      </c>
      <c r="AC289" s="251" t="str">
        <f t="shared" si="76"/>
        <v>350gsm IVORY ITC - INDIA GC1 - BXHS</v>
      </c>
      <c r="AD289" s="2746">
        <f>IF(L289&gt;0,IF(input!$B$2=$O$1,(((M289)+(M289)*$M$10)*$P$11)/1000,(((M289)+(M289)*O289+(M289)*$M$10)*$P$11)/1000),0)</f>
        <v>0</v>
      </c>
      <c r="AE289" s="2746">
        <f>IF(L289&gt;0,IF(input!$B$2=$O$1,(((N289)+(N289)*$M$10)*$P$11)/1000,(((N289)+(N289)*O289+(N289)*$M$10)*$P$11)/1000),0)</f>
        <v>0</v>
      </c>
      <c r="AF289" s="136" t="str">
        <f t="shared" si="84"/>
        <v>FSC</v>
      </c>
      <c r="AG289" s="2628">
        <f t="shared" si="85"/>
        <v>1.8666666666666668E-2</v>
      </c>
      <c r="AH289" s="1266">
        <v>0.1</v>
      </c>
    </row>
    <row r="290" spans="1:34" ht="12.75">
      <c r="A290" s="2199">
        <f t="shared" si="70"/>
        <v>278</v>
      </c>
      <c r="B290" s="2200" t="s">
        <v>928</v>
      </c>
      <c r="C290" s="2743">
        <v>0</v>
      </c>
      <c r="D290" s="2743">
        <v>0</v>
      </c>
      <c r="E290" s="2949">
        <v>0.1</v>
      </c>
      <c r="F290" s="2200">
        <v>30</v>
      </c>
      <c r="G290" s="2200" t="s">
        <v>2038</v>
      </c>
      <c r="H290" s="2200" t="s">
        <v>1057</v>
      </c>
      <c r="I290" s="2742">
        <v>25</v>
      </c>
      <c r="J290" s="2742"/>
      <c r="K290" s="2752">
        <v>70</v>
      </c>
      <c r="L290" s="2745">
        <f t="shared" si="71"/>
        <v>0</v>
      </c>
      <c r="M290" s="2745">
        <f t="shared" si="79"/>
        <v>25</v>
      </c>
      <c r="N290" s="2745">
        <f t="shared" si="80"/>
        <v>30</v>
      </c>
      <c r="O290" s="1232">
        <f t="shared" si="81"/>
        <v>0.1</v>
      </c>
      <c r="P290" s="1227" t="str">
        <f t="shared" si="86"/>
        <v>360gsm IVORY ITC - INDIA GC1 - BXHS</v>
      </c>
      <c r="Q290" s="254">
        <v>0.57599999999999996</v>
      </c>
      <c r="R290" s="1228" t="str">
        <f t="shared" si="74"/>
        <v>360</v>
      </c>
      <c r="S290" s="2625">
        <f t="shared" si="72"/>
        <v>0</v>
      </c>
      <c r="T290" s="2747">
        <f>IF(L290&gt;0,IF(input!$B$2=$O$1,(((L290+Y290/22)+(L290+Y290/22)*$AG290+$X290)*$P$11+$M$7)/1000,(((L290+Y290/22)+(L290+Y290/22)*O290+(L290+Y290/22)*$AG290+$X290)*$P$11+$M$7)/1000),0)</f>
        <v>0</v>
      </c>
      <c r="U290" s="2747">
        <f t="shared" si="73"/>
        <v>0</v>
      </c>
      <c r="V290" s="1229"/>
      <c r="W290" s="1231" t="str">
        <f t="shared" si="78"/>
        <v>CIF</v>
      </c>
      <c r="X290" s="1230">
        <f t="shared" si="77"/>
        <v>0</v>
      </c>
      <c r="Y290" s="2625">
        <f t="shared" si="83"/>
        <v>0</v>
      </c>
      <c r="Z290" s="3208">
        <f t="shared" si="75"/>
        <v>838.18181818181813</v>
      </c>
      <c r="AA290" s="1220" t="s">
        <v>1383</v>
      </c>
      <c r="AB290" s="1220" t="s">
        <v>1395</v>
      </c>
      <c r="AC290" s="251" t="str">
        <f t="shared" si="76"/>
        <v>360gsm IVORY ITC - INDIA GC1 - BXHS</v>
      </c>
      <c r="AD290" s="2746">
        <f>IF(L290&gt;0,IF(input!$B$2=$O$1,(((M290)+(M290)*$M$10)*$P$11)/1000,(((M290)+(M290)*O290+(M290)*$M$10)*$P$11)/1000),0)</f>
        <v>0</v>
      </c>
      <c r="AE290" s="2746">
        <f>IF(L290&gt;0,IF(input!$B$2=$O$1,(((N290)+(N290)*$M$10)*$P$11)/1000,(((N290)+(N290)*O290+(N290)*$M$10)*$P$11)/1000),0)</f>
        <v>0</v>
      </c>
      <c r="AF290" s="136" t="str">
        <f t="shared" si="84"/>
        <v>FSC</v>
      </c>
      <c r="AG290" s="2628">
        <f t="shared" si="85"/>
        <v>1.8666666666666668E-2</v>
      </c>
      <c r="AH290" s="1266">
        <v>0.1</v>
      </c>
    </row>
    <row r="291" spans="1:34" ht="12.75" collapsed="1">
      <c r="A291" s="2199">
        <f t="shared" si="70"/>
        <v>279</v>
      </c>
      <c r="B291" s="2200" t="s">
        <v>929</v>
      </c>
      <c r="C291" s="2743">
        <v>0</v>
      </c>
      <c r="D291" s="2743">
        <v>0</v>
      </c>
      <c r="E291" s="2949">
        <v>0.1</v>
      </c>
      <c r="F291" s="2200">
        <v>30</v>
      </c>
      <c r="G291" s="2200" t="s">
        <v>2038</v>
      </c>
      <c r="H291" s="2200" t="s">
        <v>1057</v>
      </c>
      <c r="I291" s="2742">
        <v>25</v>
      </c>
      <c r="J291" s="2742"/>
      <c r="K291" s="2752">
        <v>70</v>
      </c>
      <c r="L291" s="2745">
        <f t="shared" si="71"/>
        <v>0</v>
      </c>
      <c r="M291" s="2745">
        <f t="shared" si="79"/>
        <v>25</v>
      </c>
      <c r="N291" s="2745">
        <f t="shared" si="80"/>
        <v>30</v>
      </c>
      <c r="O291" s="1232">
        <f t="shared" si="81"/>
        <v>0.1</v>
      </c>
      <c r="P291" s="1227" t="str">
        <f t="shared" si="86"/>
        <v>370gsm IVORY ITC - INDIA GC1 - BXHS</v>
      </c>
      <c r="Q291" s="254">
        <v>0.59199999999999997</v>
      </c>
      <c r="R291" s="1228" t="str">
        <f t="shared" si="74"/>
        <v>370</v>
      </c>
      <c r="S291" s="2625">
        <f t="shared" si="72"/>
        <v>0</v>
      </c>
      <c r="T291" s="2747">
        <f>IF(L291&gt;0,IF(input!$B$2=$O$1,(((L291+Y291/22)+(L291+Y291/22)*$AG291+$X291)*$P$11+$M$7)/1000,(((L291+Y291/22)+(L291+Y291/22)*O291+(L291+Y291/22)*$AG291+$X291)*$P$11+$M$7)/1000),0)</f>
        <v>0</v>
      </c>
      <c r="U291" s="2747">
        <f t="shared" si="73"/>
        <v>0</v>
      </c>
      <c r="V291" s="1229"/>
      <c r="W291" s="1231" t="str">
        <f t="shared" si="78"/>
        <v>CIF</v>
      </c>
      <c r="X291" s="1230">
        <f t="shared" si="77"/>
        <v>0</v>
      </c>
      <c r="Y291" s="2625">
        <f t="shared" si="83"/>
        <v>0</v>
      </c>
      <c r="Z291" s="3208">
        <f t="shared" si="75"/>
        <v>838.18181818181813</v>
      </c>
      <c r="AA291" s="1220" t="s">
        <v>1383</v>
      </c>
      <c r="AB291" s="1220" t="s">
        <v>1395</v>
      </c>
      <c r="AC291" s="251" t="str">
        <f t="shared" si="76"/>
        <v>370gsm IVORY ITC - INDIA GC1 - BXHS</v>
      </c>
      <c r="AD291" s="2746">
        <f>IF(L291&gt;0,IF(input!$B$2=$O$1,(((M291)+(M291)*$M$10)*$P$11)/1000,(((M291)+(M291)*O291+(M291)*$M$10)*$P$11)/1000),0)</f>
        <v>0</v>
      </c>
      <c r="AE291" s="2746">
        <f>IF(L291&gt;0,IF(input!$B$2=$O$1,(((N291)+(N291)*$M$10)*$P$11)/1000,(((N291)+(N291)*O291+(N291)*$M$10)*$P$11)/1000),0)</f>
        <v>0</v>
      </c>
      <c r="AF291" s="136" t="str">
        <f t="shared" si="84"/>
        <v>FSC</v>
      </c>
      <c r="AG291" s="2628">
        <f t="shared" si="85"/>
        <v>1.8666666666666668E-2</v>
      </c>
      <c r="AH291" s="1266">
        <v>0.1</v>
      </c>
    </row>
    <row r="292" spans="1:34" ht="12.75">
      <c r="A292" s="2199">
        <f t="shared" si="70"/>
        <v>280</v>
      </c>
      <c r="B292" s="2200" t="s">
        <v>930</v>
      </c>
      <c r="C292" s="2743">
        <v>0</v>
      </c>
      <c r="D292" s="2743">
        <v>0</v>
      </c>
      <c r="E292" s="2949">
        <v>0.1</v>
      </c>
      <c r="F292" s="2200">
        <v>30</v>
      </c>
      <c r="G292" s="2200" t="s">
        <v>2038</v>
      </c>
      <c r="H292" s="2200" t="s">
        <v>1057</v>
      </c>
      <c r="I292" s="2742">
        <v>25</v>
      </c>
      <c r="J292" s="2742"/>
      <c r="K292" s="2752">
        <v>70</v>
      </c>
      <c r="L292" s="2745">
        <f t="shared" si="71"/>
        <v>0</v>
      </c>
      <c r="M292" s="2745">
        <f t="shared" si="79"/>
        <v>25</v>
      </c>
      <c r="N292" s="2745">
        <f t="shared" si="80"/>
        <v>30</v>
      </c>
      <c r="O292" s="1232">
        <f t="shared" si="81"/>
        <v>0.1</v>
      </c>
      <c r="P292" s="1227" t="str">
        <f t="shared" si="86"/>
        <v>380gsm IVORY ITC - INDIA GC1 - BXHS</v>
      </c>
      <c r="Q292" s="254">
        <v>0.60799999999999998</v>
      </c>
      <c r="R292" s="1228" t="str">
        <f t="shared" si="74"/>
        <v>380</v>
      </c>
      <c r="S292" s="2625">
        <f t="shared" si="72"/>
        <v>0</v>
      </c>
      <c r="T292" s="2747">
        <f>IF(L292&gt;0,IF(input!$B$2=$O$1,(((L292+Y292/22)+(L292+Y292/22)*$AG292+$X292)*$P$11+$M$7)/1000,(((L292+Y292/22)+(L292+Y292/22)*O292+(L292+Y292/22)*$AG292+$X292)*$P$11+$M$7)/1000),0)</f>
        <v>0</v>
      </c>
      <c r="U292" s="2747">
        <f t="shared" si="73"/>
        <v>0</v>
      </c>
      <c r="V292" s="1229"/>
      <c r="W292" s="1231" t="str">
        <f t="shared" si="78"/>
        <v>CIF</v>
      </c>
      <c r="X292" s="1230">
        <f t="shared" si="77"/>
        <v>0</v>
      </c>
      <c r="Y292" s="2625">
        <f t="shared" si="83"/>
        <v>0</v>
      </c>
      <c r="Z292" s="3208">
        <f t="shared" si="75"/>
        <v>838.18181818181813</v>
      </c>
      <c r="AA292" s="1220" t="s">
        <v>1383</v>
      </c>
      <c r="AB292" s="1220" t="s">
        <v>1395</v>
      </c>
      <c r="AC292" s="251" t="str">
        <f t="shared" si="76"/>
        <v>380gsm IVORY ITC - INDIA GC1 - BXHS</v>
      </c>
      <c r="AD292" s="2746">
        <f>IF(L292&gt;0,IF(input!$B$2=$O$1,(((M292)+(M292)*$M$10)*$P$11)/1000,(((M292)+(M292)*O292+(M292)*$M$10)*$P$11)/1000),0)</f>
        <v>0</v>
      </c>
      <c r="AE292" s="2746">
        <f>IF(L292&gt;0,IF(input!$B$2=$O$1,(((N292)+(N292)*$M$10)*$P$11)/1000,(((N292)+(N292)*O292+(N292)*$M$10)*$P$11)/1000),0)</f>
        <v>0</v>
      </c>
      <c r="AF292" s="136" t="str">
        <f t="shared" si="84"/>
        <v>FSC</v>
      </c>
      <c r="AG292" s="2628">
        <f t="shared" si="85"/>
        <v>1.8666666666666668E-2</v>
      </c>
      <c r="AH292" s="1266">
        <v>0.1</v>
      </c>
    </row>
    <row r="293" spans="1:34" ht="12.75">
      <c r="A293" s="2199">
        <f t="shared" si="70"/>
        <v>281</v>
      </c>
      <c r="B293" s="2200" t="s">
        <v>931</v>
      </c>
      <c r="C293" s="2743">
        <v>0</v>
      </c>
      <c r="D293" s="2743">
        <v>0</v>
      </c>
      <c r="E293" s="2949">
        <v>0.1</v>
      </c>
      <c r="F293" s="2200">
        <v>30</v>
      </c>
      <c r="G293" s="2200" t="s">
        <v>2038</v>
      </c>
      <c r="H293" s="2200" t="s">
        <v>1057</v>
      </c>
      <c r="I293" s="2742">
        <v>25</v>
      </c>
      <c r="J293" s="2742"/>
      <c r="K293" s="2752">
        <v>70</v>
      </c>
      <c r="L293" s="2745">
        <f t="shared" si="71"/>
        <v>0</v>
      </c>
      <c r="M293" s="2745">
        <f t="shared" si="79"/>
        <v>25</v>
      </c>
      <c r="N293" s="2745">
        <f t="shared" si="80"/>
        <v>30</v>
      </c>
      <c r="O293" s="1232">
        <f t="shared" si="81"/>
        <v>0.1</v>
      </c>
      <c r="P293" s="1227" t="str">
        <f t="shared" si="86"/>
        <v>390gsm IVORY ITC - INDIA GC1 - BXHS</v>
      </c>
      <c r="Q293" s="254">
        <v>0.624</v>
      </c>
      <c r="R293" s="1228" t="str">
        <f t="shared" si="74"/>
        <v>390</v>
      </c>
      <c r="S293" s="2625">
        <f t="shared" si="72"/>
        <v>0</v>
      </c>
      <c r="T293" s="2747">
        <f>IF(L293&gt;0,IF(input!$B$2=$O$1,(((L293+Y293/22)+(L293+Y293/22)*$AG293+$X293)*$P$11+$M$7)/1000,(((L293+Y293/22)+(L293+Y293/22)*O293+(L293+Y293/22)*$AG293+$X293)*$P$11+$M$7)/1000),0)</f>
        <v>0</v>
      </c>
      <c r="U293" s="2747">
        <f t="shared" si="73"/>
        <v>0</v>
      </c>
      <c r="V293" s="1229"/>
      <c r="W293" s="1231" t="str">
        <f t="shared" si="78"/>
        <v>CIF</v>
      </c>
      <c r="X293" s="1230">
        <f t="shared" si="77"/>
        <v>0</v>
      </c>
      <c r="Y293" s="2625">
        <f t="shared" si="83"/>
        <v>0</v>
      </c>
      <c r="Z293" s="3208">
        <f t="shared" si="75"/>
        <v>838.18181818181813</v>
      </c>
      <c r="AA293" s="1220" t="s">
        <v>1383</v>
      </c>
      <c r="AB293" s="1220" t="s">
        <v>1395</v>
      </c>
      <c r="AC293" s="251" t="str">
        <f t="shared" si="76"/>
        <v>390gsm IVORY ITC - INDIA GC1 - BXHS</v>
      </c>
      <c r="AD293" s="2746">
        <f>IF(L293&gt;0,IF(input!$B$2=$O$1,(((M293)+(M293)*$M$10)*$P$11)/1000,(((M293)+(M293)*O293+(M293)*$M$10)*$P$11)/1000),0)</f>
        <v>0</v>
      </c>
      <c r="AE293" s="2746">
        <f>IF(L293&gt;0,IF(input!$B$2=$O$1,(((N293)+(N293)*$M$10)*$P$11)/1000,(((N293)+(N293)*O293+(N293)*$M$10)*$P$11)/1000),0)</f>
        <v>0</v>
      </c>
      <c r="AF293" s="136" t="str">
        <f t="shared" si="84"/>
        <v>FSC</v>
      </c>
      <c r="AG293" s="2628">
        <f t="shared" si="85"/>
        <v>1.8666666666666668E-2</v>
      </c>
      <c r="AH293" s="1266">
        <v>0.1</v>
      </c>
    </row>
    <row r="294" spans="1:34" ht="12.75">
      <c r="A294" s="2199">
        <f t="shared" si="70"/>
        <v>282</v>
      </c>
      <c r="B294" s="2200" t="s">
        <v>932</v>
      </c>
      <c r="C294" s="2743">
        <v>0</v>
      </c>
      <c r="D294" s="2743">
        <v>0</v>
      </c>
      <c r="E294" s="2949">
        <v>0.1</v>
      </c>
      <c r="F294" s="2200">
        <v>30</v>
      </c>
      <c r="G294" s="2200" t="s">
        <v>2038</v>
      </c>
      <c r="H294" s="2200" t="s">
        <v>1057</v>
      </c>
      <c r="I294" s="2742">
        <v>25</v>
      </c>
      <c r="J294" s="2742"/>
      <c r="K294" s="2752">
        <v>70</v>
      </c>
      <c r="L294" s="2745">
        <f t="shared" si="71"/>
        <v>0</v>
      </c>
      <c r="M294" s="2745">
        <f t="shared" si="79"/>
        <v>25</v>
      </c>
      <c r="N294" s="2745">
        <f t="shared" si="80"/>
        <v>30</v>
      </c>
      <c r="O294" s="1232">
        <f t="shared" si="81"/>
        <v>0.1</v>
      </c>
      <c r="P294" s="1227" t="str">
        <f t="shared" si="86"/>
        <v>400gsm IVORY ITC - INDIA GC1 - BXHS</v>
      </c>
      <c r="Q294" s="254">
        <v>0.64</v>
      </c>
      <c r="R294" s="1228" t="str">
        <f t="shared" si="74"/>
        <v>400</v>
      </c>
      <c r="S294" s="2625">
        <f t="shared" si="72"/>
        <v>0</v>
      </c>
      <c r="T294" s="2747">
        <f>IF(L294&gt;0,IF(input!$B$2=$O$1,(((L294+Y294/22)+(L294+Y294/22)*$AG294+$X294)*$P$11+$M$7)/1000,(((L294+Y294/22)+(L294+Y294/22)*O294+(L294+Y294/22)*$AG294+$X294)*$P$11+$M$7)/1000),0)</f>
        <v>0</v>
      </c>
      <c r="U294" s="2747">
        <f t="shared" si="73"/>
        <v>0</v>
      </c>
      <c r="V294" s="1229"/>
      <c r="W294" s="1231" t="str">
        <f t="shared" si="78"/>
        <v>CIF</v>
      </c>
      <c r="X294" s="1230">
        <f t="shared" si="77"/>
        <v>0</v>
      </c>
      <c r="Y294" s="2625">
        <f t="shared" si="83"/>
        <v>0</v>
      </c>
      <c r="Z294" s="3208">
        <f t="shared" si="75"/>
        <v>838.18181818181813</v>
      </c>
      <c r="AA294" s="1220" t="s">
        <v>1383</v>
      </c>
      <c r="AB294" s="1220" t="s">
        <v>1395</v>
      </c>
      <c r="AC294" s="251" t="str">
        <f t="shared" si="76"/>
        <v>400gsm IVORY ITC - INDIA GC1 - BXHS</v>
      </c>
      <c r="AD294" s="2746">
        <f>IF(L294&gt;0,IF(input!$B$2=$O$1,(((M294)+(M294)*$M$10)*$P$11)/1000,(((M294)+(M294)*O294+(M294)*$M$10)*$P$11)/1000),0)</f>
        <v>0</v>
      </c>
      <c r="AE294" s="2746">
        <f>IF(L294&gt;0,IF(input!$B$2=$O$1,(((N294)+(N294)*$M$10)*$P$11)/1000,(((N294)+(N294)*O294+(N294)*$M$10)*$P$11)/1000),0)</f>
        <v>0</v>
      </c>
      <c r="AF294" s="136" t="str">
        <f t="shared" si="84"/>
        <v>FSC</v>
      </c>
      <c r="AG294" s="2628">
        <f t="shared" si="85"/>
        <v>1.8666666666666668E-2</v>
      </c>
      <c r="AH294" s="1266">
        <v>0.1</v>
      </c>
    </row>
    <row r="295" spans="1:34" ht="12.75">
      <c r="A295" s="2199">
        <f t="shared" si="70"/>
        <v>283</v>
      </c>
      <c r="B295" s="2200" t="s">
        <v>933</v>
      </c>
      <c r="C295" s="2743">
        <v>0</v>
      </c>
      <c r="D295" s="2743">
        <v>0</v>
      </c>
      <c r="E295" s="2949">
        <v>0.1</v>
      </c>
      <c r="F295" s="2200">
        <v>30</v>
      </c>
      <c r="G295" s="2200" t="s">
        <v>2038</v>
      </c>
      <c r="H295" s="2200" t="s">
        <v>1057</v>
      </c>
      <c r="I295" s="2742">
        <v>25</v>
      </c>
      <c r="J295" s="2742"/>
      <c r="K295" s="2752">
        <v>70</v>
      </c>
      <c r="L295" s="2745">
        <f t="shared" si="71"/>
        <v>0</v>
      </c>
      <c r="M295" s="2745">
        <f t="shared" si="79"/>
        <v>25</v>
      </c>
      <c r="N295" s="2745">
        <f t="shared" si="80"/>
        <v>30</v>
      </c>
      <c r="O295" s="1232">
        <f t="shared" si="81"/>
        <v>0.1</v>
      </c>
      <c r="P295" s="1227" t="str">
        <f t="shared" si="86"/>
        <v>410gsm IVORY ITC - INDIA GC1 - BXHS</v>
      </c>
      <c r="Q295" s="254">
        <v>0.65600000000000003</v>
      </c>
      <c r="R295" s="1228" t="str">
        <f t="shared" si="74"/>
        <v>410</v>
      </c>
      <c r="S295" s="2625">
        <f t="shared" si="72"/>
        <v>0</v>
      </c>
      <c r="T295" s="2747">
        <f>IF(L295&gt;0,IF(input!$B$2=$O$1,(((L295+Y295/22)+(L295+Y295/22)*$AG295+$X295)*$P$11+$M$7)/1000,(((L295+Y295/22)+(L295+Y295/22)*O295+(L295+Y295/22)*$AG295+$X295)*$P$11+$M$7)/1000),0)</f>
        <v>0</v>
      </c>
      <c r="U295" s="2747">
        <f t="shared" si="73"/>
        <v>0</v>
      </c>
      <c r="V295" s="1229"/>
      <c r="W295" s="1231" t="str">
        <f t="shared" si="78"/>
        <v>CIF</v>
      </c>
      <c r="X295" s="1230">
        <f t="shared" si="77"/>
        <v>0</v>
      </c>
      <c r="Y295" s="2625">
        <f t="shared" si="83"/>
        <v>0</v>
      </c>
      <c r="Z295" s="3208">
        <f t="shared" si="75"/>
        <v>838.18181818181813</v>
      </c>
      <c r="AA295" s="1220" t="s">
        <v>1383</v>
      </c>
      <c r="AB295" s="1220" t="s">
        <v>1395</v>
      </c>
      <c r="AC295" s="251" t="str">
        <f t="shared" si="76"/>
        <v>410gsm IVORY ITC - INDIA GC1 - BXHS</v>
      </c>
      <c r="AD295" s="2746">
        <f>IF(L295&gt;0,IF(input!$B$2=$O$1,(((M295)+(M295)*$M$10)*$P$11)/1000,(((M295)+(M295)*O295+(M295)*$M$10)*$P$11)/1000),0)</f>
        <v>0</v>
      </c>
      <c r="AE295" s="2746">
        <f>IF(L295&gt;0,IF(input!$B$2=$O$1,(((N295)+(N295)*$M$10)*$P$11)/1000,(((N295)+(N295)*O295+(N295)*$M$10)*$P$11)/1000),0)</f>
        <v>0</v>
      </c>
      <c r="AF295" s="136" t="str">
        <f t="shared" si="84"/>
        <v>FSC</v>
      </c>
      <c r="AG295" s="2628">
        <f t="shared" si="85"/>
        <v>1.8666666666666668E-2</v>
      </c>
      <c r="AH295" s="1266">
        <v>0.1</v>
      </c>
    </row>
    <row r="296" spans="1:34" ht="12.75">
      <c r="A296" s="2199">
        <f t="shared" si="70"/>
        <v>284</v>
      </c>
      <c r="B296" s="2200" t="s">
        <v>934</v>
      </c>
      <c r="C296" s="2743">
        <v>0</v>
      </c>
      <c r="D296" s="2743">
        <v>0</v>
      </c>
      <c r="E296" s="2949">
        <v>0.1</v>
      </c>
      <c r="F296" s="2200">
        <v>30</v>
      </c>
      <c r="G296" s="2200" t="s">
        <v>2038</v>
      </c>
      <c r="H296" s="2200" t="s">
        <v>1057</v>
      </c>
      <c r="I296" s="2742">
        <v>25</v>
      </c>
      <c r="J296" s="2742"/>
      <c r="K296" s="2752">
        <v>70</v>
      </c>
      <c r="L296" s="2745">
        <f t="shared" si="71"/>
        <v>0</v>
      </c>
      <c r="M296" s="2745">
        <f t="shared" si="79"/>
        <v>25</v>
      </c>
      <c r="N296" s="2745">
        <f t="shared" si="80"/>
        <v>30</v>
      </c>
      <c r="O296" s="1232">
        <f t="shared" si="81"/>
        <v>0.1</v>
      </c>
      <c r="P296" s="1227" t="str">
        <f t="shared" si="86"/>
        <v>420gsm IVORY ITC - INDIA GC1 - BXHS</v>
      </c>
      <c r="Q296" s="254">
        <v>0.67200000000000004</v>
      </c>
      <c r="R296" s="1228" t="str">
        <f t="shared" si="74"/>
        <v>420</v>
      </c>
      <c r="S296" s="2625">
        <f t="shared" si="72"/>
        <v>0</v>
      </c>
      <c r="T296" s="2747">
        <f>IF(L296&gt;0,IF(input!$B$2=$O$1,(((L296+Y296/22)+(L296+Y296/22)*$AG296+$X296)*$P$11+$M$7)/1000,(((L296+Y296/22)+(L296+Y296/22)*O296+(L296+Y296/22)*$AG296+$X296)*$P$11+$M$7)/1000),0)</f>
        <v>0</v>
      </c>
      <c r="U296" s="2747">
        <f t="shared" si="73"/>
        <v>0</v>
      </c>
      <c r="V296" s="1229"/>
      <c r="W296" s="1231" t="str">
        <f t="shared" si="78"/>
        <v>CIF</v>
      </c>
      <c r="X296" s="1230">
        <f t="shared" si="77"/>
        <v>0</v>
      </c>
      <c r="Y296" s="2625">
        <f t="shared" si="83"/>
        <v>0</v>
      </c>
      <c r="Z296" s="3208">
        <f t="shared" si="75"/>
        <v>838.18181818181813</v>
      </c>
      <c r="AA296" s="1220" t="s">
        <v>1383</v>
      </c>
      <c r="AB296" s="1220" t="s">
        <v>1395</v>
      </c>
      <c r="AC296" s="251" t="str">
        <f t="shared" si="76"/>
        <v>420gsm IVORY ITC - INDIA GC1 - BXHS</v>
      </c>
      <c r="AD296" s="2746">
        <f>IF(L296&gt;0,IF(input!$B$2=$O$1,(((M296)+(M296)*$M$10)*$P$11)/1000,(((M296)+(M296)*O296+(M296)*$M$10)*$P$11)/1000),0)</f>
        <v>0</v>
      </c>
      <c r="AE296" s="2746">
        <f>IF(L296&gt;0,IF(input!$B$2=$O$1,(((N296)+(N296)*$M$10)*$P$11)/1000,(((N296)+(N296)*O296+(N296)*$M$10)*$P$11)/1000),0)</f>
        <v>0</v>
      </c>
      <c r="AF296" s="136" t="str">
        <f t="shared" si="84"/>
        <v>FSC</v>
      </c>
      <c r="AG296" s="2628">
        <f t="shared" si="85"/>
        <v>1.8666666666666668E-2</v>
      </c>
      <c r="AH296" s="1266">
        <v>0.1</v>
      </c>
    </row>
    <row r="297" spans="1:34" ht="12.75">
      <c r="A297" s="2199">
        <f t="shared" si="70"/>
        <v>285</v>
      </c>
      <c r="B297" s="2200" t="s">
        <v>935</v>
      </c>
      <c r="C297" s="2743">
        <v>0</v>
      </c>
      <c r="D297" s="2743">
        <v>0</v>
      </c>
      <c r="E297" s="2949">
        <v>0.1</v>
      </c>
      <c r="F297" s="2200">
        <v>30</v>
      </c>
      <c r="G297" s="2200" t="s">
        <v>2038</v>
      </c>
      <c r="H297" s="2200" t="s">
        <v>1057</v>
      </c>
      <c r="I297" s="2742">
        <v>25</v>
      </c>
      <c r="J297" s="2742"/>
      <c r="K297" s="2752">
        <v>70</v>
      </c>
      <c r="L297" s="2745">
        <f t="shared" si="71"/>
        <v>0</v>
      </c>
      <c r="M297" s="2745">
        <f t="shared" si="79"/>
        <v>25</v>
      </c>
      <c r="N297" s="2745">
        <f t="shared" si="80"/>
        <v>30</v>
      </c>
      <c r="O297" s="1232">
        <f t="shared" si="81"/>
        <v>0.1</v>
      </c>
      <c r="P297" s="1227" t="str">
        <f t="shared" si="86"/>
        <v>430gsm IVORY ITC - INDIA GC1 - BXHS</v>
      </c>
      <c r="Q297" s="254">
        <v>0.68799999999999994</v>
      </c>
      <c r="R297" s="1228" t="str">
        <f t="shared" si="74"/>
        <v>430</v>
      </c>
      <c r="S297" s="2625">
        <f t="shared" si="72"/>
        <v>0</v>
      </c>
      <c r="T297" s="2747">
        <f>IF(L297&gt;0,IF(input!$B$2=$O$1,(((L297+Y297/22)+(L297+Y297/22)*$AG297+$X297)*$P$11+$M$7)/1000,(((L297+Y297/22)+(L297+Y297/22)*O297+(L297+Y297/22)*$AG297+$X297)*$P$11+$M$7)/1000),0)</f>
        <v>0</v>
      </c>
      <c r="U297" s="2747">
        <f t="shared" si="73"/>
        <v>0</v>
      </c>
      <c r="V297" s="1229"/>
      <c r="W297" s="1231" t="str">
        <f t="shared" si="78"/>
        <v>CIF</v>
      </c>
      <c r="X297" s="1230">
        <f t="shared" si="77"/>
        <v>0</v>
      </c>
      <c r="Y297" s="2625">
        <f t="shared" si="83"/>
        <v>0</v>
      </c>
      <c r="Z297" s="3208">
        <f t="shared" si="75"/>
        <v>838.18181818181813</v>
      </c>
      <c r="AA297" s="1220" t="s">
        <v>1383</v>
      </c>
      <c r="AB297" s="1220" t="s">
        <v>1395</v>
      </c>
      <c r="AC297" s="251" t="str">
        <f t="shared" si="76"/>
        <v>430gsm IVORY ITC - INDIA GC1 - BXHS</v>
      </c>
      <c r="AD297" s="2746">
        <f>IF(L297&gt;0,IF(input!$B$2=$O$1,(((M297)+(M297)*$M$10)*$P$11)/1000,(((M297)+(M297)*O297+(M297)*$M$10)*$P$11)/1000),0)</f>
        <v>0</v>
      </c>
      <c r="AE297" s="2746">
        <f>IF(L297&gt;0,IF(input!$B$2=$O$1,(((N297)+(N297)*$M$10)*$P$11)/1000,(((N297)+(N297)*O297+(N297)*$M$10)*$P$11)/1000),0)</f>
        <v>0</v>
      </c>
      <c r="AF297" s="136" t="str">
        <f t="shared" si="84"/>
        <v>FSC</v>
      </c>
      <c r="AG297" s="2628">
        <f t="shared" si="85"/>
        <v>1.8666666666666668E-2</v>
      </c>
      <c r="AH297" s="1266">
        <v>0.1</v>
      </c>
    </row>
    <row r="298" spans="1:34" ht="12.75">
      <c r="A298" s="2199">
        <f t="shared" si="70"/>
        <v>286</v>
      </c>
      <c r="B298" s="2200" t="s">
        <v>936</v>
      </c>
      <c r="C298" s="2743">
        <v>0</v>
      </c>
      <c r="D298" s="2743">
        <v>0</v>
      </c>
      <c r="E298" s="2949">
        <v>0.1</v>
      </c>
      <c r="F298" s="2200">
        <v>30</v>
      </c>
      <c r="G298" s="2200" t="s">
        <v>2038</v>
      </c>
      <c r="H298" s="2200" t="s">
        <v>1057</v>
      </c>
      <c r="I298" s="2742">
        <v>25</v>
      </c>
      <c r="J298" s="2742"/>
      <c r="K298" s="2752">
        <v>70</v>
      </c>
      <c r="L298" s="2745">
        <f t="shared" si="71"/>
        <v>0</v>
      </c>
      <c r="M298" s="2745">
        <f t="shared" si="79"/>
        <v>25</v>
      </c>
      <c r="N298" s="2745">
        <f t="shared" si="80"/>
        <v>30</v>
      </c>
      <c r="O298" s="1232">
        <f t="shared" si="81"/>
        <v>0.1</v>
      </c>
      <c r="P298" s="1227" t="str">
        <f t="shared" si="86"/>
        <v>440gsm IVORY ITC - INDIA GC1 - BXHS</v>
      </c>
      <c r="Q298" s="254">
        <v>0.70399999999999996</v>
      </c>
      <c r="R298" s="1228" t="str">
        <f t="shared" si="74"/>
        <v>440</v>
      </c>
      <c r="S298" s="2625">
        <f t="shared" si="72"/>
        <v>0</v>
      </c>
      <c r="T298" s="2747">
        <f>IF(L298&gt;0,IF(input!$B$2=$O$1,(((L298+Y298/22)+(L298+Y298/22)*$AG298+$X298)*$P$11+$M$7)/1000,(((L298+Y298/22)+(L298+Y298/22)*O298+(L298+Y298/22)*$AG298+$X298)*$P$11+$M$7)/1000),0)</f>
        <v>0</v>
      </c>
      <c r="U298" s="2747">
        <f t="shared" si="73"/>
        <v>0</v>
      </c>
      <c r="V298" s="1229"/>
      <c r="W298" s="1231" t="str">
        <f t="shared" si="78"/>
        <v>CIF</v>
      </c>
      <c r="X298" s="1230">
        <f t="shared" si="77"/>
        <v>0</v>
      </c>
      <c r="Y298" s="2625">
        <f t="shared" si="83"/>
        <v>0</v>
      </c>
      <c r="Z298" s="3208">
        <f t="shared" si="75"/>
        <v>838.18181818181813</v>
      </c>
      <c r="AA298" s="1220" t="s">
        <v>1383</v>
      </c>
      <c r="AB298" s="1220" t="s">
        <v>1395</v>
      </c>
      <c r="AC298" s="251" t="str">
        <f t="shared" si="76"/>
        <v>440gsm IVORY ITC - INDIA GC1 - BXHS</v>
      </c>
      <c r="AD298" s="2746">
        <f>IF(L298&gt;0,IF(input!$B$2=$O$1,(((M298)+(M298)*$M$10)*$P$11)/1000,(((M298)+(M298)*O298+(M298)*$M$10)*$P$11)/1000),0)</f>
        <v>0</v>
      </c>
      <c r="AE298" s="2746">
        <f>IF(L298&gt;0,IF(input!$B$2=$O$1,(((N298)+(N298)*$M$10)*$P$11)/1000,(((N298)+(N298)*O298+(N298)*$M$10)*$P$11)/1000),0)</f>
        <v>0</v>
      </c>
      <c r="AF298" s="136" t="str">
        <f t="shared" si="84"/>
        <v>FSC</v>
      </c>
      <c r="AG298" s="2628">
        <f t="shared" si="85"/>
        <v>1.8666666666666668E-2</v>
      </c>
      <c r="AH298" s="1266">
        <v>0.1</v>
      </c>
    </row>
    <row r="299" spans="1:34" ht="12.75">
      <c r="A299" s="2199">
        <f t="shared" si="70"/>
        <v>287</v>
      </c>
      <c r="B299" s="2200" t="s">
        <v>937</v>
      </c>
      <c r="C299" s="2743">
        <v>0</v>
      </c>
      <c r="D299" s="2743">
        <v>0</v>
      </c>
      <c r="E299" s="2949">
        <v>0.1</v>
      </c>
      <c r="F299" s="2200">
        <v>30</v>
      </c>
      <c r="G299" s="2200" t="s">
        <v>2038</v>
      </c>
      <c r="H299" s="2200" t="s">
        <v>1057</v>
      </c>
      <c r="I299" s="2742">
        <v>25</v>
      </c>
      <c r="J299" s="2742"/>
      <c r="K299" s="2752">
        <v>70</v>
      </c>
      <c r="L299" s="2745">
        <f t="shared" si="71"/>
        <v>0</v>
      </c>
      <c r="M299" s="2745">
        <f t="shared" si="79"/>
        <v>25</v>
      </c>
      <c r="N299" s="2745">
        <f t="shared" si="80"/>
        <v>30</v>
      </c>
      <c r="O299" s="1232">
        <f t="shared" si="81"/>
        <v>0.1</v>
      </c>
      <c r="P299" s="1227" t="str">
        <f t="shared" si="86"/>
        <v>450gsm IVORY ITC - INDIA GC1 - BXHS</v>
      </c>
      <c r="Q299" s="254">
        <v>0.72</v>
      </c>
      <c r="R299" s="1228" t="str">
        <f t="shared" si="74"/>
        <v>450</v>
      </c>
      <c r="S299" s="2625">
        <f t="shared" si="72"/>
        <v>0</v>
      </c>
      <c r="T299" s="2747">
        <f>IF(L299&gt;0,IF(input!$B$2=$O$1,(((L299+Y299/22)+(L299+Y299/22)*$AG299+$X299)*$P$11+$M$7)/1000,(((L299+Y299/22)+(L299+Y299/22)*O299+(L299+Y299/22)*$AG299+$X299)*$P$11+$M$7)/1000),0)</f>
        <v>0</v>
      </c>
      <c r="U299" s="2747">
        <f t="shared" si="73"/>
        <v>0</v>
      </c>
      <c r="V299" s="1229"/>
      <c r="W299" s="1231" t="str">
        <f t="shared" si="78"/>
        <v>CIF</v>
      </c>
      <c r="X299" s="1230">
        <f t="shared" si="77"/>
        <v>0</v>
      </c>
      <c r="Y299" s="2625">
        <f t="shared" si="83"/>
        <v>0</v>
      </c>
      <c r="Z299" s="3208">
        <f t="shared" si="75"/>
        <v>838.18181818181813</v>
      </c>
      <c r="AA299" s="1220" t="s">
        <v>1383</v>
      </c>
      <c r="AB299" s="1220" t="s">
        <v>1395</v>
      </c>
      <c r="AC299" s="251" t="str">
        <f t="shared" si="76"/>
        <v>450gsm IVORY ITC - INDIA GC1 - BXHS</v>
      </c>
      <c r="AD299" s="2746">
        <f>IF(L299&gt;0,IF(input!$B$2=$O$1,(((M299)+(M299)*$M$10)*$P$11)/1000,(((M299)+(M299)*O299+(M299)*$M$10)*$P$11)/1000),0)</f>
        <v>0</v>
      </c>
      <c r="AE299" s="2746">
        <f>IF(L299&gt;0,IF(input!$B$2=$O$1,(((N299)+(N299)*$M$10)*$P$11)/1000,(((N299)+(N299)*O299+(N299)*$M$10)*$P$11)/1000),0)</f>
        <v>0</v>
      </c>
      <c r="AF299" s="136" t="str">
        <f t="shared" si="84"/>
        <v>FSC</v>
      </c>
      <c r="AG299" s="2628">
        <f t="shared" si="85"/>
        <v>1.8666666666666668E-2</v>
      </c>
      <c r="AH299" s="1266">
        <v>0.1</v>
      </c>
    </row>
    <row r="300" spans="1:34" ht="12.75">
      <c r="A300" s="2199">
        <f t="shared" si="70"/>
        <v>288</v>
      </c>
      <c r="B300" s="2200" t="s">
        <v>2434</v>
      </c>
      <c r="C300" s="2743">
        <v>0</v>
      </c>
      <c r="D300" s="2743">
        <v>0</v>
      </c>
      <c r="E300" s="2949">
        <v>0.1</v>
      </c>
      <c r="F300" s="2200">
        <v>20</v>
      </c>
      <c r="G300" s="2200" t="s">
        <v>2038</v>
      </c>
      <c r="H300" s="2200" t="s">
        <v>1057</v>
      </c>
      <c r="I300" s="2742">
        <v>20</v>
      </c>
      <c r="J300" s="2742"/>
      <c r="K300" s="2752">
        <v>45</v>
      </c>
      <c r="L300" s="2745">
        <f t="shared" si="71"/>
        <v>0</v>
      </c>
      <c r="M300" s="2745">
        <f t="shared" si="79"/>
        <v>20</v>
      </c>
      <c r="N300" s="2745">
        <f t="shared" si="80"/>
        <v>20</v>
      </c>
      <c r="O300" s="1232">
        <f t="shared" si="81"/>
        <v>0.1</v>
      </c>
      <c r="P300" s="1227" t="str">
        <f t="shared" si="86"/>
        <v>170gsm IVORY CHENMING EUCA C1S</v>
      </c>
      <c r="Q300" s="254">
        <v>0.215</v>
      </c>
      <c r="R300" s="1228" t="str">
        <f t="shared" si="74"/>
        <v>170</v>
      </c>
      <c r="S300" s="2625">
        <f t="shared" si="72"/>
        <v>0</v>
      </c>
      <c r="T300" s="2747">
        <f>IF(L300&gt;0,IF(input!$B$2=$O$1,(((L300+Y300/22)+(L300+Y300/22)*$AG300+$X300)*$P$11+$M$7)/1000,(((L300+Y300/22)+(L300+Y300/22)*O300+(L300+Y300/22)*$AG300+$X300)*$P$11+$M$7)/1000),0)</f>
        <v>0</v>
      </c>
      <c r="U300" s="2747">
        <f t="shared" si="73"/>
        <v>0</v>
      </c>
      <c r="V300" s="1229"/>
      <c r="W300" s="1231" t="str">
        <f t="shared" si="78"/>
        <v>CIF</v>
      </c>
      <c r="X300" s="1230">
        <f t="shared" si="77"/>
        <v>0</v>
      </c>
      <c r="Y300" s="2625">
        <f t="shared" si="83"/>
        <v>0</v>
      </c>
      <c r="Z300" s="3208">
        <f t="shared" si="75"/>
        <v>838.18181818181813</v>
      </c>
      <c r="AA300" s="1220" t="s">
        <v>2818</v>
      </c>
      <c r="AB300" s="1220" t="s">
        <v>1395</v>
      </c>
      <c r="AC300" s="251" t="str">
        <f t="shared" si="76"/>
        <v>170gsm IVORY CHENMING EUCA C1S</v>
      </c>
      <c r="AD300" s="2746">
        <f>IF(L300&gt;0,IF(input!$B$2=$O$1,(((M300)+(M300)*$M$10)*$P$11)/1000,(((M300)+(M300)*O300+(M300)*$M$10)*$P$11)/1000),0)</f>
        <v>0</v>
      </c>
      <c r="AE300" s="2746">
        <f>IF(L300&gt;0,IF(input!$B$2=$O$1,(((N300)+(N300)*$M$10)*$P$11)/1000,(((N300)+(N300)*O300+(N300)*$M$10)*$P$11)/1000),0)</f>
        <v>0</v>
      </c>
      <c r="AF300" s="136" t="str">
        <f t="shared" si="84"/>
        <v>FSC</v>
      </c>
      <c r="AG300" s="2628">
        <f t="shared" si="85"/>
        <v>1.2E-2</v>
      </c>
      <c r="AH300" s="1266">
        <v>0.1</v>
      </c>
    </row>
    <row r="301" spans="1:34" ht="12.75">
      <c r="A301" s="2199">
        <f t="shared" si="70"/>
        <v>289</v>
      </c>
      <c r="B301" s="2200" t="s">
        <v>2435</v>
      </c>
      <c r="C301" s="2743">
        <v>0</v>
      </c>
      <c r="D301" s="2743">
        <v>0</v>
      </c>
      <c r="E301" s="2949">
        <v>0.1</v>
      </c>
      <c r="F301" s="2200">
        <v>20</v>
      </c>
      <c r="G301" s="2200" t="s">
        <v>2038</v>
      </c>
      <c r="H301" s="2200" t="s">
        <v>1057</v>
      </c>
      <c r="I301" s="2742">
        <v>20</v>
      </c>
      <c r="J301" s="2742"/>
      <c r="K301" s="2752">
        <v>45</v>
      </c>
      <c r="L301" s="2745">
        <f t="shared" si="71"/>
        <v>0</v>
      </c>
      <c r="M301" s="2745">
        <f t="shared" si="79"/>
        <v>20</v>
      </c>
      <c r="N301" s="2745">
        <f t="shared" si="80"/>
        <v>20</v>
      </c>
      <c r="O301" s="1232">
        <f t="shared" si="81"/>
        <v>0.1</v>
      </c>
      <c r="P301" s="1227" t="str">
        <f t="shared" si="86"/>
        <v>180gsm IVORY CHENMING EUCA C1S</v>
      </c>
      <c r="Q301" s="254">
        <v>0.23</v>
      </c>
      <c r="R301" s="1228" t="str">
        <f t="shared" si="74"/>
        <v>180</v>
      </c>
      <c r="S301" s="2625">
        <f t="shared" si="72"/>
        <v>0</v>
      </c>
      <c r="T301" s="2747">
        <f>IF(L301&gt;0,IF(input!$B$2=$O$1,(((L301+Y301/22)+(L301+Y301/22)*$AG301+$X301)*$P$11+$M$7)/1000,(((L301+Y301/22)+(L301+Y301/22)*O301+(L301+Y301/22)*$AG301+$X301)*$P$11+$M$7)/1000),0)</f>
        <v>0</v>
      </c>
      <c r="U301" s="2747">
        <f t="shared" si="73"/>
        <v>0</v>
      </c>
      <c r="V301" s="1229"/>
      <c r="W301" s="1231" t="str">
        <f t="shared" si="78"/>
        <v>CIF</v>
      </c>
      <c r="X301" s="1230">
        <f t="shared" si="77"/>
        <v>0</v>
      </c>
      <c r="Y301" s="2625">
        <f t="shared" si="83"/>
        <v>0</v>
      </c>
      <c r="Z301" s="3208">
        <f t="shared" si="75"/>
        <v>838.18181818181813</v>
      </c>
      <c r="AA301" s="1220" t="s">
        <v>2818</v>
      </c>
      <c r="AB301" s="1220" t="s">
        <v>1395</v>
      </c>
      <c r="AC301" s="251" t="str">
        <f t="shared" si="76"/>
        <v>180gsm IVORY CHENMING EUCA C1S</v>
      </c>
      <c r="AD301" s="2746">
        <f>IF(L301&gt;0,IF(input!$B$2=$O$1,(((M301)+(M301)*$M$10)*$P$11)/1000,(((M301)+(M301)*O301+(M301)*$M$10)*$P$11)/1000),0)</f>
        <v>0</v>
      </c>
      <c r="AE301" s="2746">
        <f>IF(L301&gt;0,IF(input!$B$2=$O$1,(((N301)+(N301)*$M$10)*$P$11)/1000,(((N301)+(N301)*O301+(N301)*$M$10)*$P$11)/1000),0)</f>
        <v>0</v>
      </c>
      <c r="AF301" s="136" t="str">
        <f t="shared" si="84"/>
        <v>FSC</v>
      </c>
      <c r="AG301" s="2628">
        <f t="shared" si="85"/>
        <v>1.2E-2</v>
      </c>
      <c r="AH301" s="1266">
        <v>0.1</v>
      </c>
    </row>
    <row r="302" spans="1:34" ht="12.75">
      <c r="A302" s="2199">
        <f t="shared" si="70"/>
        <v>290</v>
      </c>
      <c r="B302" s="2200" t="s">
        <v>2436</v>
      </c>
      <c r="C302" s="2743">
        <v>0</v>
      </c>
      <c r="D302" s="2743">
        <v>0</v>
      </c>
      <c r="E302" s="2949">
        <v>0.1</v>
      </c>
      <c r="F302" s="2200">
        <v>20</v>
      </c>
      <c r="G302" s="2200" t="s">
        <v>2038</v>
      </c>
      <c r="H302" s="2200" t="s">
        <v>1057</v>
      </c>
      <c r="I302" s="2742">
        <v>20</v>
      </c>
      <c r="J302" s="2742"/>
      <c r="K302" s="2752">
        <v>45</v>
      </c>
      <c r="L302" s="2745">
        <f t="shared" si="71"/>
        <v>0</v>
      </c>
      <c r="M302" s="2745">
        <f t="shared" si="79"/>
        <v>20</v>
      </c>
      <c r="N302" s="2745">
        <f t="shared" si="80"/>
        <v>20</v>
      </c>
      <c r="O302" s="1232">
        <f t="shared" si="81"/>
        <v>0.1</v>
      </c>
      <c r="P302" s="1227" t="str">
        <f t="shared" si="86"/>
        <v>190gsm IVORY CHENMING EUCA C1S</v>
      </c>
      <c r="Q302" s="254">
        <v>0.245</v>
      </c>
      <c r="R302" s="1228" t="str">
        <f t="shared" si="74"/>
        <v>190</v>
      </c>
      <c r="S302" s="2625">
        <f t="shared" si="72"/>
        <v>0</v>
      </c>
      <c r="T302" s="2747">
        <f>IF(L302&gt;0,IF(input!$B$2=$O$1,(((L302+Y302/22)+(L302+Y302/22)*$AG302+$X302)*$P$11+$M$7)/1000,(((L302+Y302/22)+(L302+Y302/22)*O302+(L302+Y302/22)*$AG302+$X302)*$P$11+$M$7)/1000),0)</f>
        <v>0</v>
      </c>
      <c r="U302" s="2747">
        <f t="shared" si="73"/>
        <v>0</v>
      </c>
      <c r="V302" s="1229"/>
      <c r="W302" s="1231" t="str">
        <f t="shared" si="78"/>
        <v>CIF</v>
      </c>
      <c r="X302" s="1230">
        <f t="shared" si="77"/>
        <v>0</v>
      </c>
      <c r="Y302" s="2625">
        <f t="shared" si="83"/>
        <v>0</v>
      </c>
      <c r="Z302" s="3208">
        <f t="shared" si="75"/>
        <v>838.18181818181813</v>
      </c>
      <c r="AA302" s="1220" t="s">
        <v>2818</v>
      </c>
      <c r="AB302" s="1220" t="s">
        <v>1395</v>
      </c>
      <c r="AC302" s="251" t="str">
        <f t="shared" si="76"/>
        <v>190gsm IVORY CHENMING EUCA C1S</v>
      </c>
      <c r="AD302" s="2746">
        <f>IF(L302&gt;0,IF(input!$B$2=$O$1,(((M302)+(M302)*$M$10)*$P$11)/1000,(((M302)+(M302)*O302+(M302)*$M$10)*$P$11)/1000),0)</f>
        <v>0</v>
      </c>
      <c r="AE302" s="2746">
        <f>IF(L302&gt;0,IF(input!$B$2=$O$1,(((N302)+(N302)*$M$10)*$P$11)/1000,(((N302)+(N302)*O302+(N302)*$M$10)*$P$11)/1000),0)</f>
        <v>0</v>
      </c>
      <c r="AF302" s="136" t="str">
        <f t="shared" si="84"/>
        <v>FSC</v>
      </c>
      <c r="AG302" s="2628">
        <f t="shared" si="85"/>
        <v>1.2E-2</v>
      </c>
      <c r="AH302" s="1266">
        <v>0.1</v>
      </c>
    </row>
    <row r="303" spans="1:34" ht="12.75">
      <c r="A303" s="2199">
        <f t="shared" si="70"/>
        <v>291</v>
      </c>
      <c r="B303" s="2200" t="s">
        <v>2437</v>
      </c>
      <c r="C303" s="2743">
        <v>0</v>
      </c>
      <c r="D303" s="2743">
        <v>0</v>
      </c>
      <c r="E303" s="2949">
        <v>0.1</v>
      </c>
      <c r="F303" s="2200">
        <v>20</v>
      </c>
      <c r="G303" s="2200" t="s">
        <v>2038</v>
      </c>
      <c r="H303" s="2200" t="s">
        <v>1057</v>
      </c>
      <c r="I303" s="2742">
        <v>20</v>
      </c>
      <c r="J303" s="2742"/>
      <c r="K303" s="2752">
        <v>45</v>
      </c>
      <c r="L303" s="2745">
        <f t="shared" si="71"/>
        <v>0</v>
      </c>
      <c r="M303" s="2745">
        <f t="shared" si="79"/>
        <v>20</v>
      </c>
      <c r="N303" s="2745">
        <f t="shared" si="80"/>
        <v>20</v>
      </c>
      <c r="O303" s="1232">
        <f t="shared" si="81"/>
        <v>0.1</v>
      </c>
      <c r="P303" s="1227" t="str">
        <f t="shared" si="86"/>
        <v>210gsm IVORY CHENMING EUCA C1S</v>
      </c>
      <c r="Q303" s="254">
        <v>0.27500000000000002</v>
      </c>
      <c r="R303" s="1228" t="str">
        <f t="shared" si="74"/>
        <v>210</v>
      </c>
      <c r="S303" s="2625">
        <f t="shared" si="72"/>
        <v>0</v>
      </c>
      <c r="T303" s="2747">
        <f>IF(L303&gt;0,IF(input!$B$2=$O$1,(((L303+Y303/22)+(L303+Y303/22)*$AG303+$X303)*$P$11+$M$7)/1000,(((L303+Y303/22)+(L303+Y303/22)*O303+(L303+Y303/22)*$AG303+$X303)*$P$11+$M$7)/1000),0)</f>
        <v>0</v>
      </c>
      <c r="U303" s="2747">
        <f t="shared" si="73"/>
        <v>0</v>
      </c>
      <c r="V303" s="1229"/>
      <c r="W303" s="1231" t="str">
        <f t="shared" si="78"/>
        <v>CIF</v>
      </c>
      <c r="X303" s="1230">
        <f t="shared" si="77"/>
        <v>0</v>
      </c>
      <c r="Y303" s="2625">
        <f t="shared" si="83"/>
        <v>0</v>
      </c>
      <c r="Z303" s="3208">
        <f t="shared" si="75"/>
        <v>838.18181818181813</v>
      </c>
      <c r="AA303" s="1220" t="s">
        <v>2818</v>
      </c>
      <c r="AB303" s="1220" t="s">
        <v>1395</v>
      </c>
      <c r="AC303" s="251" t="str">
        <f t="shared" si="76"/>
        <v>210gsm IVORY CHENMING EUCA C1S</v>
      </c>
      <c r="AD303" s="2746">
        <f>IF(L303&gt;0,IF(input!$B$2=$O$1,(((M303)+(M303)*$M$10)*$P$11)/1000,(((M303)+(M303)*O303+(M303)*$M$10)*$P$11)/1000),0)</f>
        <v>0</v>
      </c>
      <c r="AE303" s="2746">
        <f>IF(L303&gt;0,IF(input!$B$2=$O$1,(((N303)+(N303)*$M$10)*$P$11)/1000,(((N303)+(N303)*O303+(N303)*$M$10)*$P$11)/1000),0)</f>
        <v>0</v>
      </c>
      <c r="AF303" s="136" t="str">
        <f t="shared" si="84"/>
        <v>FSC</v>
      </c>
      <c r="AG303" s="2628">
        <f t="shared" si="85"/>
        <v>1.2E-2</v>
      </c>
      <c r="AH303" s="1266">
        <v>0.1</v>
      </c>
    </row>
    <row r="304" spans="1:34" ht="12.75">
      <c r="A304" s="2199">
        <f t="shared" si="70"/>
        <v>292</v>
      </c>
      <c r="B304" s="2200" t="s">
        <v>2438</v>
      </c>
      <c r="C304" s="2743">
        <v>0</v>
      </c>
      <c r="D304" s="2743">
        <v>0</v>
      </c>
      <c r="E304" s="2949">
        <v>0.1</v>
      </c>
      <c r="F304" s="2200">
        <v>20</v>
      </c>
      <c r="G304" s="2200" t="s">
        <v>2038</v>
      </c>
      <c r="H304" s="2200" t="s">
        <v>1057</v>
      </c>
      <c r="I304" s="2742">
        <v>20</v>
      </c>
      <c r="J304" s="2742"/>
      <c r="K304" s="2752">
        <v>45</v>
      </c>
      <c r="L304" s="2745">
        <f t="shared" si="71"/>
        <v>0</v>
      </c>
      <c r="M304" s="2745">
        <f t="shared" si="79"/>
        <v>20</v>
      </c>
      <c r="N304" s="2745">
        <f t="shared" si="80"/>
        <v>20</v>
      </c>
      <c r="O304" s="1232">
        <f t="shared" si="81"/>
        <v>0.1</v>
      </c>
      <c r="P304" s="1227" t="str">
        <f t="shared" si="86"/>
        <v>230gsm IVORY CHENMING EUCA C1S</v>
      </c>
      <c r="Q304" s="254">
        <v>0.31</v>
      </c>
      <c r="R304" s="1228" t="str">
        <f t="shared" si="74"/>
        <v>230</v>
      </c>
      <c r="S304" s="2625">
        <f t="shared" si="72"/>
        <v>0</v>
      </c>
      <c r="T304" s="2747">
        <f>IF(L304&gt;0,IF(input!$B$2=$O$1,(((L304+Y304/22)+(L304+Y304/22)*$AG304+$X304)*$P$11+$M$7)/1000,(((L304+Y304/22)+(L304+Y304/22)*O304+(L304+Y304/22)*$AG304+$X304)*$P$11+$M$7)/1000),0)</f>
        <v>0</v>
      </c>
      <c r="U304" s="2747">
        <f t="shared" si="73"/>
        <v>0</v>
      </c>
      <c r="V304" s="1229"/>
      <c r="W304" s="1231" t="str">
        <f t="shared" si="78"/>
        <v>CIF</v>
      </c>
      <c r="X304" s="1230">
        <f t="shared" si="77"/>
        <v>0</v>
      </c>
      <c r="Y304" s="2625">
        <f t="shared" si="83"/>
        <v>0</v>
      </c>
      <c r="Z304" s="3208">
        <f t="shared" si="75"/>
        <v>838.18181818181813</v>
      </c>
      <c r="AA304" s="1220" t="s">
        <v>2818</v>
      </c>
      <c r="AB304" s="1220" t="s">
        <v>1395</v>
      </c>
      <c r="AC304" s="251" t="str">
        <f t="shared" si="76"/>
        <v>230gsm IVORY CHENMING EUCA C1S</v>
      </c>
      <c r="AD304" s="2746">
        <f>IF(L304&gt;0,IF(input!$B$2=$O$1,(((M304)+(M304)*$M$10)*$P$11)/1000,(((M304)+(M304)*O304+(M304)*$M$10)*$P$11)/1000),0)</f>
        <v>0</v>
      </c>
      <c r="AE304" s="2746">
        <f>IF(L304&gt;0,IF(input!$B$2=$O$1,(((N304)+(N304)*$M$10)*$P$11)/1000,(((N304)+(N304)*O304+(N304)*$M$10)*$P$11)/1000),0)</f>
        <v>0</v>
      </c>
      <c r="AF304" s="136" t="str">
        <f t="shared" si="84"/>
        <v>FSC</v>
      </c>
      <c r="AG304" s="2628">
        <f t="shared" si="85"/>
        <v>1.2E-2</v>
      </c>
      <c r="AH304" s="1266">
        <v>0.1</v>
      </c>
    </row>
    <row r="305" spans="1:34" ht="12.75">
      <c r="A305" s="2199">
        <f t="shared" si="70"/>
        <v>293</v>
      </c>
      <c r="B305" s="2200" t="s">
        <v>2439</v>
      </c>
      <c r="C305" s="2743">
        <v>0</v>
      </c>
      <c r="D305" s="2743">
        <v>0</v>
      </c>
      <c r="E305" s="2949">
        <v>0.1</v>
      </c>
      <c r="F305" s="2200">
        <v>20</v>
      </c>
      <c r="G305" s="2200" t="s">
        <v>2038</v>
      </c>
      <c r="H305" s="2200" t="s">
        <v>1057</v>
      </c>
      <c r="I305" s="2742">
        <v>20</v>
      </c>
      <c r="J305" s="2742"/>
      <c r="K305" s="2752">
        <v>45</v>
      </c>
      <c r="L305" s="2745">
        <f t="shared" si="71"/>
        <v>0</v>
      </c>
      <c r="M305" s="2745">
        <f t="shared" si="79"/>
        <v>20</v>
      </c>
      <c r="N305" s="2745">
        <f t="shared" si="80"/>
        <v>20</v>
      </c>
      <c r="O305" s="1232">
        <f t="shared" si="81"/>
        <v>0.1</v>
      </c>
      <c r="P305" s="1227" t="str">
        <f t="shared" si="86"/>
        <v>250gsm IVORY CHENMING EUCA C1S</v>
      </c>
      <c r="Q305" s="254">
        <v>0.34499999999999997</v>
      </c>
      <c r="R305" s="1228" t="str">
        <f t="shared" si="74"/>
        <v>250</v>
      </c>
      <c r="S305" s="2625">
        <f t="shared" si="72"/>
        <v>0</v>
      </c>
      <c r="T305" s="2747">
        <f>IF(L305&gt;0,IF(input!$B$2=$O$1,(((L305+Y305/22)+(L305+Y305/22)*$AG305+$X305)*$P$11+$M$7)/1000,(((L305+Y305/22)+(L305+Y305/22)*O305+(L305+Y305/22)*$AG305+$X305)*$P$11+$M$7)/1000),0)</f>
        <v>0</v>
      </c>
      <c r="U305" s="2747">
        <f t="shared" si="73"/>
        <v>0</v>
      </c>
      <c r="V305" s="1229"/>
      <c r="W305" s="1231" t="str">
        <f t="shared" si="78"/>
        <v>CIF</v>
      </c>
      <c r="X305" s="1230">
        <f t="shared" si="77"/>
        <v>0</v>
      </c>
      <c r="Y305" s="2625">
        <f t="shared" si="83"/>
        <v>0</v>
      </c>
      <c r="Z305" s="3208">
        <f t="shared" si="75"/>
        <v>838.18181818181813</v>
      </c>
      <c r="AA305" s="1220" t="s">
        <v>2818</v>
      </c>
      <c r="AB305" s="1220" t="s">
        <v>1395</v>
      </c>
      <c r="AC305" s="251" t="str">
        <f t="shared" si="76"/>
        <v>250gsm IVORY CHENMING EUCA C1S</v>
      </c>
      <c r="AD305" s="2746">
        <f>IF(L305&gt;0,IF(input!$B$2=$O$1,(((M305)+(M305)*$M$10)*$P$11)/1000,(((M305)+(M305)*O305+(M305)*$M$10)*$P$11)/1000),0)</f>
        <v>0</v>
      </c>
      <c r="AE305" s="2746">
        <f>IF(L305&gt;0,IF(input!$B$2=$O$1,(((N305)+(N305)*$M$10)*$P$11)/1000,(((N305)+(N305)*O305+(N305)*$M$10)*$P$11)/1000),0)</f>
        <v>0</v>
      </c>
      <c r="AF305" s="136" t="str">
        <f t="shared" si="84"/>
        <v>FSC</v>
      </c>
      <c r="AG305" s="2628">
        <f t="shared" si="85"/>
        <v>1.2E-2</v>
      </c>
      <c r="AH305" s="1266">
        <v>0.1</v>
      </c>
    </row>
    <row r="306" spans="1:34" ht="12.75">
      <c r="A306" s="2199">
        <f t="shared" si="70"/>
        <v>294</v>
      </c>
      <c r="B306" s="2200" t="s">
        <v>2440</v>
      </c>
      <c r="C306" s="2743">
        <v>0</v>
      </c>
      <c r="D306" s="2743">
        <v>0</v>
      </c>
      <c r="E306" s="2949">
        <v>0.1</v>
      </c>
      <c r="F306" s="2200">
        <v>20</v>
      </c>
      <c r="G306" s="2200" t="s">
        <v>2038</v>
      </c>
      <c r="H306" s="2200" t="s">
        <v>1057</v>
      </c>
      <c r="I306" s="2742">
        <v>20</v>
      </c>
      <c r="J306" s="2742"/>
      <c r="K306" s="2752">
        <v>45</v>
      </c>
      <c r="L306" s="2745">
        <f t="shared" si="71"/>
        <v>0</v>
      </c>
      <c r="M306" s="2745">
        <f t="shared" si="79"/>
        <v>20</v>
      </c>
      <c r="N306" s="2745">
        <f t="shared" si="80"/>
        <v>20</v>
      </c>
      <c r="O306" s="1232">
        <f t="shared" si="81"/>
        <v>0.1</v>
      </c>
      <c r="P306" s="1227" t="str">
        <f t="shared" si="86"/>
        <v>270gsm IVORY CHENMING EUCA C1S</v>
      </c>
      <c r="Q306" s="254">
        <v>0.375</v>
      </c>
      <c r="R306" s="1228" t="str">
        <f t="shared" si="74"/>
        <v>270</v>
      </c>
      <c r="S306" s="2625">
        <f t="shared" si="72"/>
        <v>0</v>
      </c>
      <c r="T306" s="2747">
        <f>IF(L306&gt;0,IF(input!$B$2=$O$1,(((L306+Y306/22)+(L306+Y306/22)*$AG306+$X306)*$P$11+$M$7)/1000,(((L306+Y306/22)+(L306+Y306/22)*O306+(L306+Y306/22)*$AG306+$X306)*$P$11+$M$7)/1000),0)</f>
        <v>0</v>
      </c>
      <c r="U306" s="2747">
        <f t="shared" si="73"/>
        <v>0</v>
      </c>
      <c r="V306" s="1229"/>
      <c r="W306" s="1231" t="str">
        <f t="shared" si="78"/>
        <v>CIF</v>
      </c>
      <c r="X306" s="1230">
        <f t="shared" si="77"/>
        <v>0</v>
      </c>
      <c r="Y306" s="2625">
        <f t="shared" si="83"/>
        <v>0</v>
      </c>
      <c r="Z306" s="3208">
        <f t="shared" si="75"/>
        <v>838.18181818181813</v>
      </c>
      <c r="AA306" s="1220" t="s">
        <v>2818</v>
      </c>
      <c r="AB306" s="1220" t="s">
        <v>1395</v>
      </c>
      <c r="AC306" s="251" t="str">
        <f t="shared" si="76"/>
        <v>270gsm IVORY CHENMING EUCA C1S</v>
      </c>
      <c r="AD306" s="2746">
        <f>IF(L306&gt;0,IF(input!$B$2=$O$1,(((M306)+(M306)*$M$10)*$P$11)/1000,(((M306)+(M306)*O306+(M306)*$M$10)*$P$11)/1000),0)</f>
        <v>0</v>
      </c>
      <c r="AE306" s="2746">
        <f>IF(L306&gt;0,IF(input!$B$2=$O$1,(((N306)+(N306)*$M$10)*$P$11)/1000,(((N306)+(N306)*O306+(N306)*$M$10)*$P$11)/1000),0)</f>
        <v>0</v>
      </c>
      <c r="AF306" s="136" t="str">
        <f t="shared" si="84"/>
        <v>FSC</v>
      </c>
      <c r="AG306" s="2628">
        <f t="shared" si="85"/>
        <v>1.2E-2</v>
      </c>
      <c r="AH306" s="1266">
        <v>0.1</v>
      </c>
    </row>
    <row r="307" spans="1:34" ht="12.75">
      <c r="A307" s="2199">
        <f t="shared" si="70"/>
        <v>295</v>
      </c>
      <c r="B307" s="2200" t="s">
        <v>2441</v>
      </c>
      <c r="C307" s="2743">
        <v>0</v>
      </c>
      <c r="D307" s="2743">
        <v>0</v>
      </c>
      <c r="E307" s="2949">
        <v>0.1</v>
      </c>
      <c r="F307" s="2200">
        <v>20</v>
      </c>
      <c r="G307" s="2200" t="s">
        <v>2038</v>
      </c>
      <c r="H307" s="2200" t="s">
        <v>1057</v>
      </c>
      <c r="I307" s="2742">
        <v>20</v>
      </c>
      <c r="J307" s="2742"/>
      <c r="K307" s="2752">
        <v>45</v>
      </c>
      <c r="L307" s="2745">
        <f t="shared" si="71"/>
        <v>0</v>
      </c>
      <c r="M307" s="2745">
        <f t="shared" si="79"/>
        <v>20</v>
      </c>
      <c r="N307" s="2745">
        <f t="shared" si="80"/>
        <v>20</v>
      </c>
      <c r="O307" s="1232">
        <f t="shared" si="81"/>
        <v>0.1</v>
      </c>
      <c r="P307" s="1227" t="str">
        <f t="shared" si="86"/>
        <v>300gsm IVORY CHENMING EUCA C1S</v>
      </c>
      <c r="Q307" s="254">
        <v>0.42</v>
      </c>
      <c r="R307" s="1228" t="str">
        <f t="shared" si="74"/>
        <v>300</v>
      </c>
      <c r="S307" s="2625">
        <f t="shared" si="72"/>
        <v>0</v>
      </c>
      <c r="T307" s="2747">
        <f>IF(L307&gt;0,IF(input!$B$2=$O$1,(((L307+Y307/22)+(L307+Y307/22)*$AG307+$X307)*$P$11+$M$7)/1000,(((L307+Y307/22)+(L307+Y307/22)*O307+(L307+Y307/22)*$AG307+$X307)*$P$11+$M$7)/1000),0)</f>
        <v>0</v>
      </c>
      <c r="U307" s="2747">
        <f t="shared" si="73"/>
        <v>0</v>
      </c>
      <c r="V307" s="1229"/>
      <c r="W307" s="1231" t="str">
        <f t="shared" si="78"/>
        <v>CIF</v>
      </c>
      <c r="X307" s="1230">
        <f t="shared" si="77"/>
        <v>0</v>
      </c>
      <c r="Y307" s="2625">
        <f t="shared" si="83"/>
        <v>0</v>
      </c>
      <c r="Z307" s="3208">
        <f t="shared" si="75"/>
        <v>838.18181818181813</v>
      </c>
      <c r="AA307" s="1220" t="s">
        <v>2818</v>
      </c>
      <c r="AB307" s="1220" t="s">
        <v>1395</v>
      </c>
      <c r="AC307" s="251" t="str">
        <f t="shared" si="76"/>
        <v>300gsm IVORY CHENMING EUCA C1S</v>
      </c>
      <c r="AD307" s="2746">
        <f>IF(L307&gt;0,IF(input!$B$2=$O$1,(((M307)+(M307)*$M$10)*$P$11)/1000,(((M307)+(M307)*O307+(M307)*$M$10)*$P$11)/1000),0)</f>
        <v>0</v>
      </c>
      <c r="AE307" s="2746">
        <f>IF(L307&gt;0,IF(input!$B$2=$O$1,(((N307)+(N307)*$M$10)*$P$11)/1000,(((N307)+(N307)*O307+(N307)*$M$10)*$P$11)/1000),0)</f>
        <v>0</v>
      </c>
      <c r="AF307" s="136" t="str">
        <f t="shared" si="84"/>
        <v>FSC</v>
      </c>
      <c r="AG307" s="2628">
        <f t="shared" si="85"/>
        <v>1.2E-2</v>
      </c>
      <c r="AH307" s="1266">
        <v>0.1</v>
      </c>
    </row>
    <row r="308" spans="1:34" ht="12.75">
      <c r="A308" s="2199">
        <f t="shared" si="70"/>
        <v>296</v>
      </c>
      <c r="B308" s="2200" t="s">
        <v>2442</v>
      </c>
      <c r="C308" s="2743">
        <v>0</v>
      </c>
      <c r="D308" s="2743">
        <v>0</v>
      </c>
      <c r="E308" s="2949">
        <v>0.1</v>
      </c>
      <c r="F308" s="2200">
        <v>20</v>
      </c>
      <c r="G308" s="2200" t="s">
        <v>2038</v>
      </c>
      <c r="H308" s="2200" t="s">
        <v>1057</v>
      </c>
      <c r="I308" s="2742">
        <v>20</v>
      </c>
      <c r="J308" s="2742"/>
      <c r="K308" s="2752">
        <v>45</v>
      </c>
      <c r="L308" s="2745">
        <f t="shared" si="71"/>
        <v>0</v>
      </c>
      <c r="M308" s="2745">
        <f t="shared" si="79"/>
        <v>20</v>
      </c>
      <c r="N308" s="2745">
        <f t="shared" si="80"/>
        <v>20</v>
      </c>
      <c r="O308" s="1232">
        <f t="shared" si="81"/>
        <v>0.1</v>
      </c>
      <c r="P308" s="1227" t="str">
        <f t="shared" si="86"/>
        <v>350gsm IVORY CHENMING EUCA C1S</v>
      </c>
      <c r="Q308" s="254">
        <v>0.48499999999999999</v>
      </c>
      <c r="R308" s="1228" t="str">
        <f t="shared" si="74"/>
        <v>350</v>
      </c>
      <c r="S308" s="2625">
        <f t="shared" si="72"/>
        <v>0</v>
      </c>
      <c r="T308" s="2747">
        <f>IF(L308&gt;0,IF(input!$B$2=$O$1,(((L308+Y308/22)+(L308+Y308/22)*$AG308+$X308)*$P$11+$M$7)/1000,(((L308+Y308/22)+(L308+Y308/22)*O308+(L308+Y308/22)*$AG308+$X308)*$P$11+$M$7)/1000),0)</f>
        <v>0</v>
      </c>
      <c r="U308" s="2747">
        <f t="shared" si="73"/>
        <v>0</v>
      </c>
      <c r="V308" s="1229"/>
      <c r="W308" s="1231" t="str">
        <f t="shared" si="78"/>
        <v>CIF</v>
      </c>
      <c r="X308" s="1230">
        <f t="shared" si="77"/>
        <v>0</v>
      </c>
      <c r="Y308" s="2625">
        <f t="shared" si="83"/>
        <v>0</v>
      </c>
      <c r="Z308" s="3208">
        <f t="shared" si="75"/>
        <v>838.18181818181813</v>
      </c>
      <c r="AA308" s="1220" t="s">
        <v>2818</v>
      </c>
      <c r="AB308" s="1220" t="s">
        <v>1395</v>
      </c>
      <c r="AC308" s="251" t="str">
        <f t="shared" si="76"/>
        <v>350gsm IVORY CHENMING EUCA C1S</v>
      </c>
      <c r="AD308" s="2746">
        <f>IF(L308&gt;0,IF(input!$B$2=$O$1,(((M308)+(M308)*$M$10)*$P$11)/1000,(((M308)+(M308)*O308+(M308)*$M$10)*$P$11)/1000),0)</f>
        <v>0</v>
      </c>
      <c r="AE308" s="2746">
        <f>IF(L308&gt;0,IF(input!$B$2=$O$1,(((N308)+(N308)*$M$10)*$P$11)/1000,(((N308)+(N308)*O308+(N308)*$M$10)*$P$11)/1000),0)</f>
        <v>0</v>
      </c>
      <c r="AF308" s="136" t="str">
        <f t="shared" si="84"/>
        <v>FSC</v>
      </c>
      <c r="AG308" s="2628">
        <f t="shared" si="85"/>
        <v>1.2E-2</v>
      </c>
      <c r="AH308" s="1266">
        <v>0.1</v>
      </c>
    </row>
    <row r="309" spans="1:34" ht="12.75">
      <c r="A309" s="2199">
        <f t="shared" si="70"/>
        <v>297</v>
      </c>
      <c r="B309" s="2200" t="s">
        <v>2443</v>
      </c>
      <c r="C309" s="2743">
        <v>0</v>
      </c>
      <c r="D309" s="2743">
        <v>0</v>
      </c>
      <c r="E309" s="2949">
        <v>0.1</v>
      </c>
      <c r="F309" s="2200">
        <v>20</v>
      </c>
      <c r="G309" s="2200" t="s">
        <v>2038</v>
      </c>
      <c r="H309" s="2200" t="s">
        <v>1057</v>
      </c>
      <c r="I309" s="2742">
        <v>20</v>
      </c>
      <c r="J309" s="2742"/>
      <c r="K309" s="2752">
        <v>45</v>
      </c>
      <c r="L309" s="2745">
        <f t="shared" si="71"/>
        <v>0</v>
      </c>
      <c r="M309" s="2745">
        <f t="shared" si="79"/>
        <v>20</v>
      </c>
      <c r="N309" s="2745">
        <f t="shared" si="80"/>
        <v>20</v>
      </c>
      <c r="O309" s="1232">
        <f t="shared" si="81"/>
        <v>0.1</v>
      </c>
      <c r="P309" s="1227" t="str">
        <f t="shared" si="86"/>
        <v>400gsm IVORY CHENMING EUCA C1S</v>
      </c>
      <c r="Q309" s="254">
        <v>0.55000000000000004</v>
      </c>
      <c r="R309" s="1228" t="str">
        <f t="shared" si="74"/>
        <v>400</v>
      </c>
      <c r="S309" s="2625">
        <f t="shared" si="72"/>
        <v>0</v>
      </c>
      <c r="T309" s="2747">
        <f>IF(L309&gt;0,IF(input!$B$2=$O$1,(((L309+Y309/22)+(L309+Y309/22)*$AG309+$X309)*$P$11+$M$7)/1000,(((L309+Y309/22)+(L309+Y309/22)*O309+(L309+Y309/22)*$AG309+$X309)*$P$11+$M$7)/1000),0)</f>
        <v>0</v>
      </c>
      <c r="U309" s="2747">
        <f t="shared" si="73"/>
        <v>0</v>
      </c>
      <c r="V309" s="1229"/>
      <c r="W309" s="1231" t="str">
        <f t="shared" si="78"/>
        <v>CIF</v>
      </c>
      <c r="X309" s="1230">
        <f t="shared" si="77"/>
        <v>0</v>
      </c>
      <c r="Y309" s="2625">
        <f t="shared" si="83"/>
        <v>0</v>
      </c>
      <c r="Z309" s="3208">
        <f t="shared" si="75"/>
        <v>838.18181818181813</v>
      </c>
      <c r="AA309" s="1220" t="s">
        <v>2818</v>
      </c>
      <c r="AB309" s="1220" t="s">
        <v>1395</v>
      </c>
      <c r="AC309" s="251" t="str">
        <f t="shared" si="76"/>
        <v>400gsm IVORY CHENMING EUCA C1S</v>
      </c>
      <c r="AD309" s="2746">
        <f>IF(L309&gt;0,IF(input!$B$2=$O$1,(((M309)+(M309)*$M$10)*$P$11)/1000,(((M309)+(M309)*O309+(M309)*$M$10)*$P$11)/1000),0)</f>
        <v>0</v>
      </c>
      <c r="AE309" s="2746">
        <f>IF(L309&gt;0,IF(input!$B$2=$O$1,(((N309)+(N309)*$M$10)*$P$11)/1000,(((N309)+(N309)*O309+(N309)*$M$10)*$P$11)/1000),0)</f>
        <v>0</v>
      </c>
      <c r="AF309" s="136" t="str">
        <f t="shared" si="84"/>
        <v>FSC</v>
      </c>
      <c r="AG309" s="2628">
        <f t="shared" si="85"/>
        <v>1.2E-2</v>
      </c>
      <c r="AH309" s="1266">
        <v>0.1</v>
      </c>
    </row>
    <row r="310" spans="1:34" ht="12.75">
      <c r="A310" s="2199">
        <f t="shared" si="70"/>
        <v>298</v>
      </c>
      <c r="B310" s="2200" t="s">
        <v>2444</v>
      </c>
      <c r="C310" s="2743">
        <v>0</v>
      </c>
      <c r="D310" s="2743">
        <v>0</v>
      </c>
      <c r="E310" s="2949">
        <v>0.1</v>
      </c>
      <c r="F310" s="2200">
        <v>20</v>
      </c>
      <c r="G310" s="2200" t="s">
        <v>2038</v>
      </c>
      <c r="H310" s="2200" t="s">
        <v>1057</v>
      </c>
      <c r="I310" s="2742">
        <v>30</v>
      </c>
      <c r="J310" s="2742"/>
      <c r="K310" s="2752">
        <v>45</v>
      </c>
      <c r="L310" s="2745">
        <f t="shared" si="71"/>
        <v>0</v>
      </c>
      <c r="M310" s="2745">
        <f t="shared" si="79"/>
        <v>30</v>
      </c>
      <c r="N310" s="2745">
        <f t="shared" si="80"/>
        <v>20</v>
      </c>
      <c r="O310" s="1232">
        <f t="shared" si="81"/>
        <v>0.1</v>
      </c>
      <c r="P310" s="1227" t="str">
        <f t="shared" si="86"/>
        <v>170gsm IVORY BOHUI Standard GC1</v>
      </c>
      <c r="Q310" s="254">
        <v>0.20499999999999999</v>
      </c>
      <c r="R310" s="1228" t="str">
        <f t="shared" si="74"/>
        <v>170</v>
      </c>
      <c r="S310" s="2625">
        <f t="shared" si="72"/>
        <v>0</v>
      </c>
      <c r="T310" s="2747">
        <f>IF(L310&gt;0,IF(input!$B$2=$O$1,(((L310+Y310/22)+(L310+Y310/22)*$AG310+$X310)*$P$11+$M$7)/1000,(((L310+Y310/22)+(L310+Y310/22)*O310+(L310+Y310/22)*$AG310+$X310)*$P$11+$M$7)/1000),0)</f>
        <v>0</v>
      </c>
      <c r="U310" s="2747">
        <f t="shared" si="73"/>
        <v>0</v>
      </c>
      <c r="V310" s="1229"/>
      <c r="W310" s="1231" t="str">
        <f t="shared" si="78"/>
        <v>CIF</v>
      </c>
      <c r="X310" s="1230">
        <f t="shared" si="77"/>
        <v>0</v>
      </c>
      <c r="Y310" s="2625">
        <f t="shared" si="83"/>
        <v>0</v>
      </c>
      <c r="Z310" s="3208">
        <f t="shared" si="75"/>
        <v>838.18181818181813</v>
      </c>
      <c r="AA310" s="1220" t="s">
        <v>2819</v>
      </c>
      <c r="AB310" s="1220" t="s">
        <v>1395</v>
      </c>
      <c r="AC310" s="251" t="str">
        <f t="shared" si="76"/>
        <v>170gsm IVORY BOHUI Standard GC1</v>
      </c>
      <c r="AD310" s="2746">
        <f>IF(L310&gt;0,IF(input!$B$2=$O$1,(((M310)+(M310)*$M$10)*$P$11)/1000,(((M310)+(M310)*O310+(M310)*$M$10)*$P$11)/1000),0)</f>
        <v>0</v>
      </c>
      <c r="AE310" s="2746">
        <f>IF(L310&gt;0,IF(input!$B$2=$O$1,(((N310)+(N310)*$M$10)*$P$11)/1000,(((N310)+(N310)*O310+(N310)*$M$10)*$P$11)/1000),0)</f>
        <v>0</v>
      </c>
      <c r="AF310" s="136" t="str">
        <f t="shared" si="84"/>
        <v>FSC</v>
      </c>
      <c r="AG310" s="2628">
        <f t="shared" si="85"/>
        <v>1.2E-2</v>
      </c>
      <c r="AH310" s="1266">
        <v>0.1</v>
      </c>
    </row>
    <row r="311" spans="1:34" ht="12.75">
      <c r="A311" s="2199">
        <f t="shared" si="70"/>
        <v>299</v>
      </c>
      <c r="B311" s="2200" t="s">
        <v>2445</v>
      </c>
      <c r="C311" s="2743">
        <v>0</v>
      </c>
      <c r="D311" s="2743">
        <v>720</v>
      </c>
      <c r="E311" s="2949">
        <v>0.1</v>
      </c>
      <c r="F311" s="2200">
        <v>20</v>
      </c>
      <c r="G311" s="2200" t="s">
        <v>2038</v>
      </c>
      <c r="H311" s="2200" t="s">
        <v>1057</v>
      </c>
      <c r="I311" s="2742">
        <v>30</v>
      </c>
      <c r="J311" s="2742"/>
      <c r="K311" s="2752">
        <v>45</v>
      </c>
      <c r="L311" s="2745">
        <f t="shared" si="71"/>
        <v>720</v>
      </c>
      <c r="M311" s="2745">
        <f t="shared" si="79"/>
        <v>30</v>
      </c>
      <c r="N311" s="2745">
        <f t="shared" si="80"/>
        <v>20</v>
      </c>
      <c r="O311" s="1232">
        <f t="shared" si="81"/>
        <v>0.1</v>
      </c>
      <c r="P311" s="1227" t="str">
        <f t="shared" si="86"/>
        <v>190gsm IVORY BOHUI Standard GC1</v>
      </c>
      <c r="Q311" s="254">
        <v>0.245</v>
      </c>
      <c r="R311" s="1228" t="str">
        <f t="shared" si="74"/>
        <v>190</v>
      </c>
      <c r="S311" s="2625">
        <f t="shared" si="72"/>
        <v>0</v>
      </c>
      <c r="T311" s="2747">
        <f>IF(L311&gt;0,IF(input!$B$2=$O$1,(((L311+Y311/22)+(L311+Y311/22)*$AG311+$X311)*$P$11+$M$7)/1000,(((L311+Y311/22)+(L311+Y311/22)*O311+(L311+Y311/22)*$AG311+$X311)*$P$11+$M$7)/1000),0)</f>
        <v>19823.366399999999</v>
      </c>
      <c r="U311" s="2747">
        <f t="shared" si="73"/>
        <v>0</v>
      </c>
      <c r="V311" s="1229"/>
      <c r="W311" s="1231" t="str">
        <f t="shared" si="78"/>
        <v>CIF</v>
      </c>
      <c r="X311" s="1230">
        <f t="shared" si="77"/>
        <v>0</v>
      </c>
      <c r="Y311" s="2625">
        <f t="shared" si="83"/>
        <v>0</v>
      </c>
      <c r="Z311" s="3208">
        <f t="shared" si="75"/>
        <v>838.18181818181813</v>
      </c>
      <c r="AA311" s="1220" t="s">
        <v>2819</v>
      </c>
      <c r="AB311" s="1220" t="s">
        <v>1395</v>
      </c>
      <c r="AC311" s="251" t="str">
        <f t="shared" si="76"/>
        <v>190gsm IVORY BOHUI Standard GC1</v>
      </c>
      <c r="AD311" s="2746">
        <f>IF(L311&gt;0,IF(input!$B$2=$O$1,(((M311)+(M311)*$M$10)*$P$11)/1000,(((M311)+(M311)*O311+(M311)*$M$10)*$P$11)/1000),0)</f>
        <v>798.0924</v>
      </c>
      <c r="AE311" s="2746">
        <f>IF(L311&gt;0,IF(input!$B$2=$O$1,(((N311)+(N311)*$M$10)*$P$11)/1000,(((N311)+(N311)*O311+(N311)*$M$10)*$P$11)/1000),0)</f>
        <v>532.0616</v>
      </c>
      <c r="AF311" s="136" t="str">
        <f t="shared" si="84"/>
        <v>FSC</v>
      </c>
      <c r="AG311" s="2628">
        <f t="shared" si="85"/>
        <v>1.2E-2</v>
      </c>
      <c r="AH311" s="1266">
        <v>0.1</v>
      </c>
    </row>
    <row r="312" spans="1:34" ht="12.75">
      <c r="A312" s="2199">
        <f t="shared" si="70"/>
        <v>300</v>
      </c>
      <c r="B312" s="2200" t="s">
        <v>2446</v>
      </c>
      <c r="C312" s="2743">
        <v>0</v>
      </c>
      <c r="D312" s="2743">
        <v>690</v>
      </c>
      <c r="E312" s="2949">
        <v>0.1</v>
      </c>
      <c r="F312" s="2200">
        <v>20</v>
      </c>
      <c r="G312" s="2200" t="s">
        <v>2038</v>
      </c>
      <c r="H312" s="2200" t="s">
        <v>1057</v>
      </c>
      <c r="I312" s="2742">
        <v>30</v>
      </c>
      <c r="J312" s="2742"/>
      <c r="K312" s="2752">
        <v>45</v>
      </c>
      <c r="L312" s="2745">
        <f t="shared" si="71"/>
        <v>690</v>
      </c>
      <c r="M312" s="2745">
        <f t="shared" si="79"/>
        <v>30</v>
      </c>
      <c r="N312" s="2745">
        <f t="shared" si="80"/>
        <v>20</v>
      </c>
      <c r="O312" s="1232">
        <f t="shared" si="81"/>
        <v>0.1</v>
      </c>
      <c r="P312" s="1227" t="str">
        <f t="shared" si="86"/>
        <v>210gsm IVORY BOHUI Standard GC1</v>
      </c>
      <c r="Q312" s="254">
        <v>0.26500000000000001</v>
      </c>
      <c r="R312" s="1228" t="str">
        <f t="shared" si="74"/>
        <v>210</v>
      </c>
      <c r="S312" s="2625">
        <f t="shared" si="72"/>
        <v>0</v>
      </c>
      <c r="T312" s="2747">
        <f>IF(L312&gt;0,IF(input!$B$2=$O$1,(((L312+Y312/22)+(L312+Y312/22)*$AG312+$X312)*$P$11+$M$7)/1000,(((L312+Y312/22)+(L312+Y312/22)*O312+(L312+Y312/22)*$AG312+$X312)*$P$11+$M$7)/1000),0)</f>
        <v>19022.392800000001</v>
      </c>
      <c r="U312" s="2747">
        <f t="shared" si="73"/>
        <v>0</v>
      </c>
      <c r="V312" s="1229"/>
      <c r="W312" s="1231" t="str">
        <f t="shared" si="78"/>
        <v>CIF</v>
      </c>
      <c r="X312" s="1230">
        <f t="shared" si="77"/>
        <v>0</v>
      </c>
      <c r="Y312" s="2625">
        <f t="shared" si="83"/>
        <v>0</v>
      </c>
      <c r="Z312" s="3208">
        <f t="shared" si="75"/>
        <v>838.18181818181813</v>
      </c>
      <c r="AA312" s="1220" t="s">
        <v>2819</v>
      </c>
      <c r="AB312" s="1220" t="s">
        <v>1395</v>
      </c>
      <c r="AC312" s="251" t="str">
        <f t="shared" si="76"/>
        <v>210gsm IVORY BOHUI Standard GC1</v>
      </c>
      <c r="AD312" s="2746">
        <f>IF(L312&gt;0,IF(input!$B$2=$O$1,(((M312)+(M312)*$M$10)*$P$11)/1000,(((M312)+(M312)*O312+(M312)*$M$10)*$P$11)/1000),0)</f>
        <v>798.0924</v>
      </c>
      <c r="AE312" s="2746">
        <f>IF(L312&gt;0,IF(input!$B$2=$O$1,(((N312)+(N312)*$M$10)*$P$11)/1000,(((N312)+(N312)*O312+(N312)*$M$10)*$P$11)/1000),0)</f>
        <v>532.0616</v>
      </c>
      <c r="AF312" s="136" t="str">
        <f t="shared" si="84"/>
        <v>FSC</v>
      </c>
      <c r="AG312" s="2628">
        <f t="shared" si="85"/>
        <v>1.2E-2</v>
      </c>
      <c r="AH312" s="1266">
        <v>0.1</v>
      </c>
    </row>
    <row r="313" spans="1:34" ht="12.75">
      <c r="A313" s="2199">
        <f t="shared" si="70"/>
        <v>301</v>
      </c>
      <c r="B313" s="2200" t="s">
        <v>2447</v>
      </c>
      <c r="C313" s="2743">
        <v>0</v>
      </c>
      <c r="D313" s="2743">
        <v>660</v>
      </c>
      <c r="E313" s="2949">
        <v>0.1</v>
      </c>
      <c r="F313" s="2200">
        <v>20</v>
      </c>
      <c r="G313" s="2200" t="s">
        <v>2038</v>
      </c>
      <c r="H313" s="2200" t="s">
        <v>1057</v>
      </c>
      <c r="I313" s="2742">
        <v>30</v>
      </c>
      <c r="J313" s="2742"/>
      <c r="K313" s="2752">
        <v>45</v>
      </c>
      <c r="L313" s="2745">
        <f t="shared" si="71"/>
        <v>660</v>
      </c>
      <c r="M313" s="2745">
        <f t="shared" si="79"/>
        <v>30</v>
      </c>
      <c r="N313" s="2745">
        <f t="shared" si="80"/>
        <v>20</v>
      </c>
      <c r="O313" s="1232">
        <f t="shared" si="81"/>
        <v>0.1</v>
      </c>
      <c r="P313" s="1227" t="str">
        <f t="shared" si="86"/>
        <v>230gsm IVORY BOHUI Standard GC1</v>
      </c>
      <c r="Q313" s="254">
        <v>0.31</v>
      </c>
      <c r="R313" s="1228" t="str">
        <f t="shared" si="74"/>
        <v>230</v>
      </c>
      <c r="S313" s="2625">
        <f t="shared" si="72"/>
        <v>0</v>
      </c>
      <c r="T313" s="2747">
        <f>IF(L313&gt;0,IF(input!$B$2=$O$1,(((L313+Y313/22)+(L313+Y313/22)*$AG313+$X313)*$P$11+$M$7)/1000,(((L313+Y313/22)+(L313+Y313/22)*O313+(L313+Y313/22)*$AG313+$X313)*$P$11+$M$7)/1000),0)</f>
        <v>18221.4192</v>
      </c>
      <c r="U313" s="2747">
        <f t="shared" si="73"/>
        <v>0</v>
      </c>
      <c r="V313" s="1229"/>
      <c r="W313" s="1231" t="str">
        <f t="shared" si="78"/>
        <v>CIF</v>
      </c>
      <c r="X313" s="1230">
        <f t="shared" si="77"/>
        <v>0</v>
      </c>
      <c r="Y313" s="2625">
        <f t="shared" si="83"/>
        <v>0</v>
      </c>
      <c r="Z313" s="3208">
        <f t="shared" si="75"/>
        <v>838.18181818181813</v>
      </c>
      <c r="AA313" s="1220" t="s">
        <v>2819</v>
      </c>
      <c r="AB313" s="1220" t="s">
        <v>1395</v>
      </c>
      <c r="AC313" s="251" t="str">
        <f t="shared" si="76"/>
        <v>230gsm IVORY BOHUI Standard GC1</v>
      </c>
      <c r="AD313" s="2746">
        <f>IF(L313&gt;0,IF(input!$B$2=$O$1,(((M313)+(M313)*$M$10)*$P$11)/1000,(((M313)+(M313)*O313+(M313)*$M$10)*$P$11)/1000),0)</f>
        <v>798.0924</v>
      </c>
      <c r="AE313" s="2746">
        <f>IF(L313&gt;0,IF(input!$B$2=$O$1,(((N313)+(N313)*$M$10)*$P$11)/1000,(((N313)+(N313)*O313+(N313)*$M$10)*$P$11)/1000),0)</f>
        <v>532.0616</v>
      </c>
      <c r="AF313" s="136" t="str">
        <f t="shared" si="84"/>
        <v>FSC</v>
      </c>
      <c r="AG313" s="2628">
        <f t="shared" si="85"/>
        <v>1.2E-2</v>
      </c>
      <c r="AH313" s="1266">
        <v>0.1</v>
      </c>
    </row>
    <row r="314" spans="1:34" ht="12.75">
      <c r="A314" s="2199">
        <f t="shared" si="70"/>
        <v>302</v>
      </c>
      <c r="B314" s="2200" t="s">
        <v>2448</v>
      </c>
      <c r="C314" s="2743">
        <v>0</v>
      </c>
      <c r="D314" s="2743">
        <v>660</v>
      </c>
      <c r="E314" s="2949">
        <v>0.1</v>
      </c>
      <c r="F314" s="2200">
        <v>20</v>
      </c>
      <c r="G314" s="2200" t="s">
        <v>2038</v>
      </c>
      <c r="H314" s="2200" t="s">
        <v>1057</v>
      </c>
      <c r="I314" s="2742">
        <v>30</v>
      </c>
      <c r="J314" s="2742"/>
      <c r="K314" s="2752">
        <v>45</v>
      </c>
      <c r="L314" s="2745">
        <f t="shared" si="71"/>
        <v>660</v>
      </c>
      <c r="M314" s="2745">
        <f t="shared" si="79"/>
        <v>30</v>
      </c>
      <c r="N314" s="2745">
        <f t="shared" si="80"/>
        <v>20</v>
      </c>
      <c r="O314" s="1232">
        <f t="shared" si="81"/>
        <v>0.1</v>
      </c>
      <c r="P314" s="1227" t="str">
        <f t="shared" si="86"/>
        <v>250gsm IVORY BOHUI Standard GC1</v>
      </c>
      <c r="Q314" s="254">
        <v>0.34499999999999997</v>
      </c>
      <c r="R314" s="1228" t="str">
        <f t="shared" si="74"/>
        <v>250</v>
      </c>
      <c r="S314" s="2625">
        <f t="shared" si="72"/>
        <v>0</v>
      </c>
      <c r="T314" s="2747">
        <f>IF(L314&gt;0,IF(input!$B$2=$O$1,(((L314+Y314/22)+(L314+Y314/22)*$AG314+$X314)*$P$11+$M$7)/1000,(((L314+Y314/22)+(L314+Y314/22)*O314+(L314+Y314/22)*$AG314+$X314)*$P$11+$M$7)/1000),0)</f>
        <v>18221.4192</v>
      </c>
      <c r="U314" s="2747">
        <f t="shared" si="73"/>
        <v>0</v>
      </c>
      <c r="V314" s="1229"/>
      <c r="W314" s="1231" t="str">
        <f t="shared" si="78"/>
        <v>CIF</v>
      </c>
      <c r="X314" s="1230">
        <f t="shared" si="77"/>
        <v>0</v>
      </c>
      <c r="Y314" s="2625">
        <f t="shared" si="83"/>
        <v>0</v>
      </c>
      <c r="Z314" s="3208">
        <f t="shared" si="75"/>
        <v>838.18181818181813</v>
      </c>
      <c r="AA314" s="1220" t="s">
        <v>2819</v>
      </c>
      <c r="AB314" s="1220" t="s">
        <v>1395</v>
      </c>
      <c r="AC314" s="251" t="str">
        <f t="shared" si="76"/>
        <v>250gsm IVORY BOHUI Standard GC1</v>
      </c>
      <c r="AD314" s="2746">
        <f>IF(L314&gt;0,IF(input!$B$2=$O$1,(((M314)+(M314)*$M$10)*$P$11)/1000,(((M314)+(M314)*O314+(M314)*$M$10)*$P$11)/1000),0)</f>
        <v>798.0924</v>
      </c>
      <c r="AE314" s="2746">
        <f>IF(L314&gt;0,IF(input!$B$2=$O$1,(((N314)+(N314)*$M$10)*$P$11)/1000,(((N314)+(N314)*O314+(N314)*$M$10)*$P$11)/1000),0)</f>
        <v>532.0616</v>
      </c>
      <c r="AF314" s="136" t="str">
        <f t="shared" si="84"/>
        <v>FSC</v>
      </c>
      <c r="AG314" s="2628">
        <f t="shared" si="85"/>
        <v>1.2E-2</v>
      </c>
      <c r="AH314" s="1266">
        <v>0.1</v>
      </c>
    </row>
    <row r="315" spans="1:34" ht="12.75">
      <c r="A315" s="2199">
        <f t="shared" si="70"/>
        <v>303</v>
      </c>
      <c r="B315" s="2200" t="s">
        <v>2449</v>
      </c>
      <c r="C315" s="2743">
        <v>0</v>
      </c>
      <c r="D315" s="2743">
        <v>660</v>
      </c>
      <c r="E315" s="2949">
        <v>0.1</v>
      </c>
      <c r="F315" s="2200">
        <v>20</v>
      </c>
      <c r="G315" s="2200" t="s">
        <v>2038</v>
      </c>
      <c r="H315" s="2200" t="s">
        <v>1057</v>
      </c>
      <c r="I315" s="2742">
        <v>30</v>
      </c>
      <c r="J315" s="2742"/>
      <c r="K315" s="2752">
        <v>45</v>
      </c>
      <c r="L315" s="2745">
        <f t="shared" si="71"/>
        <v>660</v>
      </c>
      <c r="M315" s="2745">
        <f t="shared" si="79"/>
        <v>30</v>
      </c>
      <c r="N315" s="2745">
        <f t="shared" si="80"/>
        <v>20</v>
      </c>
      <c r="O315" s="1232">
        <f t="shared" si="81"/>
        <v>0.1</v>
      </c>
      <c r="P315" s="1227" t="str">
        <f t="shared" si="86"/>
        <v>300gsm IVORY BOHUI Standard GC1</v>
      </c>
      <c r="Q315" s="254">
        <v>0.41499999999999998</v>
      </c>
      <c r="R315" s="1228" t="str">
        <f t="shared" si="74"/>
        <v>300</v>
      </c>
      <c r="S315" s="2625">
        <f t="shared" si="72"/>
        <v>0</v>
      </c>
      <c r="T315" s="2747">
        <f>IF(L315&gt;0,IF(input!$B$2=$O$1,(((L315+Y315/22)+(L315+Y315/22)*$AG315+$X315)*$P$11+$M$7)/1000,(((L315+Y315/22)+(L315+Y315/22)*O315+(L315+Y315/22)*$AG315+$X315)*$P$11+$M$7)/1000),0)</f>
        <v>18221.4192</v>
      </c>
      <c r="U315" s="2747">
        <f t="shared" si="73"/>
        <v>0</v>
      </c>
      <c r="V315" s="1229"/>
      <c r="W315" s="1231" t="str">
        <f t="shared" si="78"/>
        <v>CIF</v>
      </c>
      <c r="X315" s="1230">
        <f t="shared" si="77"/>
        <v>0</v>
      </c>
      <c r="Y315" s="2625">
        <f t="shared" si="83"/>
        <v>0</v>
      </c>
      <c r="Z315" s="3208">
        <f t="shared" si="75"/>
        <v>838.18181818181813</v>
      </c>
      <c r="AA315" s="1220" t="s">
        <v>2819</v>
      </c>
      <c r="AB315" s="1220" t="s">
        <v>1395</v>
      </c>
      <c r="AC315" s="251" t="str">
        <f t="shared" si="76"/>
        <v>300gsm IVORY BOHUI Standard GC1</v>
      </c>
      <c r="AD315" s="2746">
        <f>IF(L315&gt;0,IF(input!$B$2=$O$1,(((M315)+(M315)*$M$10)*$P$11)/1000,(((M315)+(M315)*O315+(M315)*$M$10)*$P$11)/1000),0)</f>
        <v>798.0924</v>
      </c>
      <c r="AE315" s="2746">
        <f>IF(L315&gt;0,IF(input!$B$2=$O$1,(((N315)+(N315)*$M$10)*$P$11)/1000,(((N315)+(N315)*O315+(N315)*$M$10)*$P$11)/1000),0)</f>
        <v>532.0616</v>
      </c>
      <c r="AF315" s="136" t="str">
        <f t="shared" si="84"/>
        <v>FSC</v>
      </c>
      <c r="AG315" s="2628">
        <f t="shared" si="85"/>
        <v>1.2E-2</v>
      </c>
      <c r="AH315" s="1266">
        <v>0.1</v>
      </c>
    </row>
    <row r="316" spans="1:34" ht="12.75">
      <c r="A316" s="2199">
        <f t="shared" si="70"/>
        <v>304</v>
      </c>
      <c r="B316" s="2200" t="s">
        <v>2450</v>
      </c>
      <c r="C316" s="2743">
        <v>0</v>
      </c>
      <c r="D316" s="2743">
        <v>660</v>
      </c>
      <c r="E316" s="2949">
        <v>0.1</v>
      </c>
      <c r="F316" s="2200">
        <v>20</v>
      </c>
      <c r="G316" s="2200" t="s">
        <v>2038</v>
      </c>
      <c r="H316" s="2200" t="s">
        <v>1057</v>
      </c>
      <c r="I316" s="2742">
        <v>30</v>
      </c>
      <c r="J316" s="2742"/>
      <c r="K316" s="2752">
        <v>45</v>
      </c>
      <c r="L316" s="2745">
        <f t="shared" si="71"/>
        <v>660</v>
      </c>
      <c r="M316" s="2745">
        <f t="shared" si="79"/>
        <v>30</v>
      </c>
      <c r="N316" s="2745">
        <f t="shared" si="80"/>
        <v>20</v>
      </c>
      <c r="O316" s="1232">
        <f t="shared" si="81"/>
        <v>0.1</v>
      </c>
      <c r="P316" s="1227" t="str">
        <f t="shared" si="86"/>
        <v>350gsm IVORY BOHUI Standard GC1</v>
      </c>
      <c r="Q316" s="254">
        <v>0.48499999999999999</v>
      </c>
      <c r="R316" s="1228" t="str">
        <f t="shared" si="74"/>
        <v>350</v>
      </c>
      <c r="S316" s="2625">
        <f t="shared" si="72"/>
        <v>0</v>
      </c>
      <c r="T316" s="2747">
        <f>IF(L316&gt;0,IF(input!$B$2=$O$1,(((L316+Y316/22)+(L316+Y316/22)*$AG316+$X316)*$P$11+$M$7)/1000,(((L316+Y316/22)+(L316+Y316/22)*O316+(L316+Y316/22)*$AG316+$X316)*$P$11+$M$7)/1000),0)</f>
        <v>18221.4192</v>
      </c>
      <c r="U316" s="2747">
        <f t="shared" si="73"/>
        <v>0</v>
      </c>
      <c r="V316" s="1229"/>
      <c r="W316" s="1231" t="str">
        <f t="shared" si="78"/>
        <v>CIF</v>
      </c>
      <c r="X316" s="1230">
        <f t="shared" si="77"/>
        <v>0</v>
      </c>
      <c r="Y316" s="2625">
        <f t="shared" si="83"/>
        <v>0</v>
      </c>
      <c r="Z316" s="3208">
        <f t="shared" si="75"/>
        <v>838.18181818181813</v>
      </c>
      <c r="AA316" s="1220" t="s">
        <v>2819</v>
      </c>
      <c r="AB316" s="1220" t="s">
        <v>1395</v>
      </c>
      <c r="AC316" s="251" t="str">
        <f t="shared" si="76"/>
        <v>350gsm IVORY BOHUI Standard GC1</v>
      </c>
      <c r="AD316" s="2746">
        <f>IF(L316&gt;0,IF(input!$B$2=$O$1,(((M316)+(M316)*$M$10)*$P$11)/1000,(((M316)+(M316)*O316+(M316)*$M$10)*$P$11)/1000),0)</f>
        <v>798.0924</v>
      </c>
      <c r="AE316" s="2746">
        <f>IF(L316&gt;0,IF(input!$B$2=$O$1,(((N316)+(N316)*$M$10)*$P$11)/1000,(((N316)+(N316)*O316+(N316)*$M$10)*$P$11)/1000),0)</f>
        <v>532.0616</v>
      </c>
      <c r="AF316" s="136" t="str">
        <f t="shared" si="84"/>
        <v>FSC</v>
      </c>
      <c r="AG316" s="2628">
        <f t="shared" si="85"/>
        <v>1.2E-2</v>
      </c>
      <c r="AH316" s="1266">
        <v>0.1</v>
      </c>
    </row>
    <row r="317" spans="1:34" ht="12.75">
      <c r="A317" s="2199">
        <f t="shared" si="70"/>
        <v>305</v>
      </c>
      <c r="B317" s="2200" t="s">
        <v>2451</v>
      </c>
      <c r="C317" s="2743">
        <v>0</v>
      </c>
      <c r="D317" s="2743">
        <v>0</v>
      </c>
      <c r="E317" s="2949">
        <v>0.1</v>
      </c>
      <c r="F317" s="2200">
        <v>20</v>
      </c>
      <c r="G317" s="2200" t="s">
        <v>127</v>
      </c>
      <c r="H317" s="2200" t="s">
        <v>1059</v>
      </c>
      <c r="I317" s="2742">
        <v>0</v>
      </c>
      <c r="J317" s="2742"/>
      <c r="K317" s="2752">
        <v>45</v>
      </c>
      <c r="L317" s="2745">
        <f t="shared" si="71"/>
        <v>0</v>
      </c>
      <c r="M317" s="2745">
        <f t="shared" si="79"/>
        <v>0</v>
      </c>
      <c r="N317" s="2745">
        <f t="shared" si="80"/>
        <v>20</v>
      </c>
      <c r="O317" s="1232">
        <f t="shared" si="81"/>
        <v>0.1</v>
      </c>
      <c r="P317" s="1227" t="str">
        <f t="shared" si="86"/>
        <v>170gsm IVORY STARSPARK (IP SUN)</v>
      </c>
      <c r="Q317" s="254">
        <v>0.22</v>
      </c>
      <c r="R317" s="1228" t="str">
        <f t="shared" si="74"/>
        <v>170</v>
      </c>
      <c r="S317" s="2625">
        <f t="shared" si="72"/>
        <v>0</v>
      </c>
      <c r="T317" s="2747">
        <f>IF(L317&gt;0,IF(input!$B$2=$O$1,(((L317+Y317/22)+(L317+Y317/22)*$AG317+$X317)*$P$11+$M$7)/1000,(((L317+Y317/22)+(L317+Y317/22)*O317+(L317+Y317/22)*$AG317+$X317)*$P$11+$M$7)/1000),0)</f>
        <v>0</v>
      </c>
      <c r="U317" s="2747">
        <f t="shared" si="73"/>
        <v>0</v>
      </c>
      <c r="V317" s="1229"/>
      <c r="W317" s="1231" t="str">
        <f t="shared" si="78"/>
        <v>CFR</v>
      </c>
      <c r="X317" s="1230">
        <f t="shared" si="77"/>
        <v>0</v>
      </c>
      <c r="Y317" s="2625">
        <f t="shared" si="83"/>
        <v>0</v>
      </c>
      <c r="Z317" s="3208">
        <f t="shared" si="75"/>
        <v>838.18181818181813</v>
      </c>
      <c r="AA317" s="1220" t="s">
        <v>2820</v>
      </c>
      <c r="AB317" s="1220" t="s">
        <v>1395</v>
      </c>
      <c r="AC317" s="251" t="str">
        <f t="shared" si="76"/>
        <v>170gsm IVORY STARSPARK (IP SUN)</v>
      </c>
      <c r="AD317" s="2746">
        <f>IF(L317&gt;0,IF(input!$B$2=$O$1,(((M317)+(M317)*$M$10)*$P$11)/1000,(((M317)+(M317)*O317+(M317)*$M$10)*$P$11)/1000),0)</f>
        <v>0</v>
      </c>
      <c r="AE317" s="2746">
        <f>IF(L317&gt;0,IF(input!$B$2=$O$1,(((N317)+(N317)*$M$10)*$P$11)/1000,(((N317)+(N317)*O317+(N317)*$M$10)*$P$11)/1000),0)</f>
        <v>0</v>
      </c>
      <c r="AF317" s="136" t="str">
        <f t="shared" si="84"/>
        <v>None</v>
      </c>
      <c r="AG317" s="2628">
        <f t="shared" si="85"/>
        <v>1.2E-2</v>
      </c>
      <c r="AH317" s="1266">
        <v>0.1</v>
      </c>
    </row>
    <row r="318" spans="1:34" ht="12.75">
      <c r="A318" s="2199">
        <f t="shared" si="70"/>
        <v>306</v>
      </c>
      <c r="B318" s="2200" t="s">
        <v>2452</v>
      </c>
      <c r="C318" s="2743">
        <v>0</v>
      </c>
      <c r="D318" s="2743">
        <v>0</v>
      </c>
      <c r="E318" s="2949">
        <v>0.1</v>
      </c>
      <c r="F318" s="2200">
        <v>20</v>
      </c>
      <c r="G318" s="2200" t="s">
        <v>127</v>
      </c>
      <c r="H318" s="2200" t="s">
        <v>1059</v>
      </c>
      <c r="I318" s="2742">
        <v>0</v>
      </c>
      <c r="J318" s="2742"/>
      <c r="K318" s="2752">
        <v>45</v>
      </c>
      <c r="L318" s="2745">
        <f t="shared" si="71"/>
        <v>0</v>
      </c>
      <c r="M318" s="2745">
        <f t="shared" si="79"/>
        <v>0</v>
      </c>
      <c r="N318" s="2745">
        <f t="shared" si="80"/>
        <v>20</v>
      </c>
      <c r="O318" s="1232">
        <f t="shared" si="81"/>
        <v>0.1</v>
      </c>
      <c r="P318" s="1227" t="str">
        <f t="shared" si="86"/>
        <v>180gsm IVORY STARSPARK (IP SUN)</v>
      </c>
      <c r="Q318" s="254">
        <v>0.23499999999999999</v>
      </c>
      <c r="R318" s="1228" t="str">
        <f t="shared" si="74"/>
        <v>180</v>
      </c>
      <c r="S318" s="2625">
        <f t="shared" si="72"/>
        <v>0</v>
      </c>
      <c r="T318" s="2747">
        <f>IF(L318&gt;0,IF(input!$B$2=$O$1,(((L318+Y318/22)+(L318+Y318/22)*$AG318+$X318)*$P$11+$M$7)/1000,(((L318+Y318/22)+(L318+Y318/22)*O318+(L318+Y318/22)*$AG318+$X318)*$P$11+$M$7)/1000),0)</f>
        <v>0</v>
      </c>
      <c r="U318" s="2747">
        <f t="shared" si="73"/>
        <v>0</v>
      </c>
      <c r="V318" s="1229"/>
      <c r="W318" s="1231" t="str">
        <f t="shared" si="78"/>
        <v>CFR</v>
      </c>
      <c r="X318" s="1230">
        <f t="shared" si="77"/>
        <v>0</v>
      </c>
      <c r="Y318" s="2625">
        <f t="shared" si="83"/>
        <v>0</v>
      </c>
      <c r="Z318" s="3208">
        <f t="shared" si="75"/>
        <v>838.18181818181813</v>
      </c>
      <c r="AA318" s="1220" t="s">
        <v>2820</v>
      </c>
      <c r="AB318" s="1220" t="s">
        <v>1395</v>
      </c>
      <c r="AC318" s="251" t="str">
        <f t="shared" si="76"/>
        <v>180gsm IVORY STARSPARK (IP SUN)</v>
      </c>
      <c r="AD318" s="2746">
        <f>IF(L318&gt;0,IF(input!$B$2=$O$1,(((M318)+(M318)*$M$10)*$P$11)/1000,(((M318)+(M318)*O318+(M318)*$M$10)*$P$11)/1000),0)</f>
        <v>0</v>
      </c>
      <c r="AE318" s="2746">
        <f>IF(L318&gt;0,IF(input!$B$2=$O$1,(((N318)+(N318)*$M$10)*$P$11)/1000,(((N318)+(N318)*O318+(N318)*$M$10)*$P$11)/1000),0)</f>
        <v>0</v>
      </c>
      <c r="AF318" s="136" t="str">
        <f t="shared" si="84"/>
        <v>None</v>
      </c>
      <c r="AG318" s="2628">
        <f t="shared" si="85"/>
        <v>1.2E-2</v>
      </c>
      <c r="AH318" s="1266">
        <v>0.1</v>
      </c>
    </row>
    <row r="319" spans="1:34" ht="12.75">
      <c r="A319" s="2199">
        <f t="shared" si="70"/>
        <v>307</v>
      </c>
      <c r="B319" s="2200" t="s">
        <v>2453</v>
      </c>
      <c r="C319" s="2743">
        <v>0</v>
      </c>
      <c r="D319" s="2743">
        <v>0</v>
      </c>
      <c r="E319" s="2949">
        <v>0.1</v>
      </c>
      <c r="F319" s="2200">
        <v>20</v>
      </c>
      <c r="G319" s="2200" t="s">
        <v>127</v>
      </c>
      <c r="H319" s="2200" t="s">
        <v>1059</v>
      </c>
      <c r="I319" s="2742">
        <v>0</v>
      </c>
      <c r="J319" s="2742"/>
      <c r="K319" s="2752">
        <v>45</v>
      </c>
      <c r="L319" s="2745">
        <f t="shared" si="71"/>
        <v>0</v>
      </c>
      <c r="M319" s="2745">
        <f t="shared" si="79"/>
        <v>0</v>
      </c>
      <c r="N319" s="2745">
        <f t="shared" si="80"/>
        <v>20</v>
      </c>
      <c r="O319" s="1232">
        <f t="shared" si="81"/>
        <v>0.1</v>
      </c>
      <c r="P319" s="1227" t="str">
        <f t="shared" si="86"/>
        <v>190gsm IVORY STARSPARK (IP SUN)</v>
      </c>
      <c r="Q319" s="254">
        <v>0.25</v>
      </c>
      <c r="R319" s="1228" t="str">
        <f t="shared" si="74"/>
        <v>190</v>
      </c>
      <c r="S319" s="2625">
        <f t="shared" si="72"/>
        <v>0</v>
      </c>
      <c r="T319" s="2747">
        <f>IF(L319&gt;0,IF(input!$B$2=$O$1,(((L319+Y319/22)+(L319+Y319/22)*$AG319+$X319)*$P$11+$M$7)/1000,(((L319+Y319/22)+(L319+Y319/22)*O319+(L319+Y319/22)*$AG319+$X319)*$P$11+$M$7)/1000),0)</f>
        <v>0</v>
      </c>
      <c r="U319" s="2747">
        <f t="shared" si="73"/>
        <v>0</v>
      </c>
      <c r="V319" s="1229"/>
      <c r="W319" s="1231" t="str">
        <f t="shared" si="78"/>
        <v>CFR</v>
      </c>
      <c r="X319" s="1230">
        <f t="shared" si="77"/>
        <v>0</v>
      </c>
      <c r="Y319" s="2625">
        <f t="shared" si="83"/>
        <v>0</v>
      </c>
      <c r="Z319" s="3208">
        <f t="shared" si="75"/>
        <v>838.18181818181813</v>
      </c>
      <c r="AA319" s="1220" t="s">
        <v>2820</v>
      </c>
      <c r="AB319" s="1220" t="s">
        <v>1395</v>
      </c>
      <c r="AC319" s="251" t="str">
        <f t="shared" si="76"/>
        <v>190gsm IVORY STARSPARK (IP SUN)</v>
      </c>
      <c r="AD319" s="2746">
        <f>IF(L319&gt;0,IF(input!$B$2=$O$1,(((M319)+(M319)*$M$10)*$P$11)/1000,(((M319)+(M319)*O319+(M319)*$M$10)*$P$11)/1000),0)</f>
        <v>0</v>
      </c>
      <c r="AE319" s="2746">
        <f>IF(L319&gt;0,IF(input!$B$2=$O$1,(((N319)+(N319)*$M$10)*$P$11)/1000,(((N319)+(N319)*O319+(N319)*$M$10)*$P$11)/1000),0)</f>
        <v>0</v>
      </c>
      <c r="AF319" s="136" t="str">
        <f t="shared" si="84"/>
        <v>None</v>
      </c>
      <c r="AG319" s="2628">
        <f t="shared" si="85"/>
        <v>1.2E-2</v>
      </c>
      <c r="AH319" s="1266">
        <v>0.1</v>
      </c>
    </row>
    <row r="320" spans="1:34" ht="12.75">
      <c r="A320" s="2199">
        <f t="shared" si="70"/>
        <v>308</v>
      </c>
      <c r="B320" s="2200" t="s">
        <v>2454</v>
      </c>
      <c r="C320" s="2743">
        <v>0</v>
      </c>
      <c r="D320" s="2743">
        <v>0</v>
      </c>
      <c r="E320" s="2949">
        <v>0.1</v>
      </c>
      <c r="F320" s="2200">
        <v>20</v>
      </c>
      <c r="G320" s="2200" t="s">
        <v>127</v>
      </c>
      <c r="H320" s="2200" t="s">
        <v>1059</v>
      </c>
      <c r="I320" s="2742">
        <v>0</v>
      </c>
      <c r="J320" s="2742"/>
      <c r="K320" s="2752">
        <v>45</v>
      </c>
      <c r="L320" s="2745">
        <f t="shared" si="71"/>
        <v>0</v>
      </c>
      <c r="M320" s="2745">
        <f t="shared" si="79"/>
        <v>0</v>
      </c>
      <c r="N320" s="2745">
        <f t="shared" si="80"/>
        <v>20</v>
      </c>
      <c r="O320" s="1232">
        <f t="shared" si="81"/>
        <v>0.1</v>
      </c>
      <c r="P320" s="1227" t="str">
        <f t="shared" si="86"/>
        <v>205gsm IVORY STARSPARK (IP SUN)</v>
      </c>
      <c r="Q320" s="254">
        <v>0.28000000000000003</v>
      </c>
      <c r="R320" s="1228" t="str">
        <f t="shared" si="74"/>
        <v>205</v>
      </c>
      <c r="S320" s="2625">
        <f t="shared" si="72"/>
        <v>0</v>
      </c>
      <c r="T320" s="2747">
        <f>IF(L320&gt;0,IF(input!$B$2=$O$1,(((L320+Y320/22)+(L320+Y320/22)*$AG320+$X320)*$P$11+$M$7)/1000,(((L320+Y320/22)+(L320+Y320/22)*O320+(L320+Y320/22)*$AG320+$X320)*$P$11+$M$7)/1000),0)</f>
        <v>0</v>
      </c>
      <c r="U320" s="2747">
        <f t="shared" si="73"/>
        <v>0</v>
      </c>
      <c r="V320" s="1229"/>
      <c r="W320" s="1231" t="str">
        <f t="shared" si="78"/>
        <v>CFR</v>
      </c>
      <c r="X320" s="1230">
        <f t="shared" si="77"/>
        <v>0</v>
      </c>
      <c r="Y320" s="2625">
        <f t="shared" si="83"/>
        <v>0</v>
      </c>
      <c r="Z320" s="3208">
        <f t="shared" si="75"/>
        <v>838.18181818181813</v>
      </c>
      <c r="AA320" s="1220" t="s">
        <v>2820</v>
      </c>
      <c r="AB320" s="1220" t="s">
        <v>1395</v>
      </c>
      <c r="AC320" s="251" t="str">
        <f t="shared" si="76"/>
        <v>205gsm IVORY STARSPARK (IP SUN)</v>
      </c>
      <c r="AD320" s="2746">
        <f>IF(L320&gt;0,IF(input!$B$2=$O$1,(((M320)+(M320)*$M$10)*$P$11)/1000,(((M320)+(M320)*O320+(M320)*$M$10)*$P$11)/1000),0)</f>
        <v>0</v>
      </c>
      <c r="AE320" s="2746">
        <f>IF(L320&gt;0,IF(input!$B$2=$O$1,(((N320)+(N320)*$M$10)*$P$11)/1000,(((N320)+(N320)*O320+(N320)*$M$10)*$P$11)/1000),0)</f>
        <v>0</v>
      </c>
      <c r="AF320" s="136" t="str">
        <f t="shared" si="84"/>
        <v>None</v>
      </c>
      <c r="AG320" s="2628">
        <f t="shared" si="85"/>
        <v>1.2E-2</v>
      </c>
      <c r="AH320" s="1266">
        <v>0.1</v>
      </c>
    </row>
    <row r="321" spans="1:34" ht="12.75">
      <c r="A321" s="2199">
        <f t="shared" si="70"/>
        <v>309</v>
      </c>
      <c r="B321" s="2200" t="s">
        <v>2455</v>
      </c>
      <c r="C321" s="2743">
        <v>0</v>
      </c>
      <c r="D321" s="2743">
        <v>0</v>
      </c>
      <c r="E321" s="2949">
        <v>0.1</v>
      </c>
      <c r="F321" s="2200">
        <v>20</v>
      </c>
      <c r="G321" s="2200" t="s">
        <v>127</v>
      </c>
      <c r="H321" s="2200" t="s">
        <v>1059</v>
      </c>
      <c r="I321" s="2742">
        <v>0</v>
      </c>
      <c r="J321" s="2742"/>
      <c r="K321" s="2752">
        <v>45</v>
      </c>
      <c r="L321" s="2745">
        <f t="shared" si="71"/>
        <v>0</v>
      </c>
      <c r="M321" s="2745">
        <f t="shared" si="79"/>
        <v>0</v>
      </c>
      <c r="N321" s="2745">
        <f t="shared" si="80"/>
        <v>20</v>
      </c>
      <c r="O321" s="1232">
        <f t="shared" si="81"/>
        <v>0.1</v>
      </c>
      <c r="P321" s="1227" t="str">
        <f t="shared" si="86"/>
        <v>210gsm IVORY STARSPARK (IP SUN)</v>
      </c>
      <c r="Q321" s="254">
        <v>0.28499999999999998</v>
      </c>
      <c r="R321" s="1228" t="str">
        <f t="shared" si="74"/>
        <v>210</v>
      </c>
      <c r="S321" s="2625">
        <f t="shared" si="72"/>
        <v>0</v>
      </c>
      <c r="T321" s="2747">
        <f>IF(L321&gt;0,IF(input!$B$2=$O$1,(((L321+Y321/22)+(L321+Y321/22)*$AG321+$X321)*$P$11+$M$7)/1000,(((L321+Y321/22)+(L321+Y321/22)*O321+(L321+Y321/22)*$AG321+$X321)*$P$11+$M$7)/1000),0)</f>
        <v>0</v>
      </c>
      <c r="U321" s="2747">
        <f t="shared" si="73"/>
        <v>0</v>
      </c>
      <c r="V321" s="1229"/>
      <c r="W321" s="1231" t="str">
        <f t="shared" si="78"/>
        <v>CFR</v>
      </c>
      <c r="X321" s="1230">
        <f t="shared" si="77"/>
        <v>0</v>
      </c>
      <c r="Y321" s="2625">
        <f t="shared" si="83"/>
        <v>0</v>
      </c>
      <c r="Z321" s="3208">
        <f t="shared" si="75"/>
        <v>838.18181818181813</v>
      </c>
      <c r="AA321" s="1220" t="s">
        <v>2820</v>
      </c>
      <c r="AB321" s="1220" t="s">
        <v>1395</v>
      </c>
      <c r="AC321" s="251" t="str">
        <f t="shared" si="76"/>
        <v>210gsm IVORY STARSPARK (IP SUN)</v>
      </c>
      <c r="AD321" s="2746">
        <f>IF(L321&gt;0,IF(input!$B$2=$O$1,(((M321)+(M321)*$M$10)*$P$11)/1000,(((M321)+(M321)*O321+(M321)*$M$10)*$P$11)/1000),0)</f>
        <v>0</v>
      </c>
      <c r="AE321" s="2746">
        <f>IF(L321&gt;0,IF(input!$B$2=$O$1,(((N321)+(N321)*$M$10)*$P$11)/1000,(((N321)+(N321)*O321+(N321)*$M$10)*$P$11)/1000),0)</f>
        <v>0</v>
      </c>
      <c r="AF321" s="136" t="str">
        <f t="shared" si="84"/>
        <v>None</v>
      </c>
      <c r="AG321" s="2628">
        <f t="shared" si="85"/>
        <v>1.2E-2</v>
      </c>
      <c r="AH321" s="1266">
        <v>0.1</v>
      </c>
    </row>
    <row r="322" spans="1:34" ht="12.75">
      <c r="A322" s="2199">
        <f t="shared" si="70"/>
        <v>310</v>
      </c>
      <c r="B322" s="2200" t="s">
        <v>2456</v>
      </c>
      <c r="C322" s="2743">
        <v>0</v>
      </c>
      <c r="D322" s="2743">
        <v>0</v>
      </c>
      <c r="E322" s="2949">
        <v>0.1</v>
      </c>
      <c r="F322" s="2200">
        <v>20</v>
      </c>
      <c r="G322" s="2200" t="s">
        <v>127</v>
      </c>
      <c r="H322" s="2200" t="s">
        <v>1059</v>
      </c>
      <c r="I322" s="2742">
        <v>0</v>
      </c>
      <c r="J322" s="2742"/>
      <c r="K322" s="2752">
        <v>45</v>
      </c>
      <c r="L322" s="2745">
        <f t="shared" si="71"/>
        <v>0</v>
      </c>
      <c r="M322" s="2745">
        <f t="shared" si="79"/>
        <v>0</v>
      </c>
      <c r="N322" s="2745">
        <f t="shared" si="80"/>
        <v>20</v>
      </c>
      <c r="O322" s="1232">
        <f t="shared" si="81"/>
        <v>0.1</v>
      </c>
      <c r="P322" s="1227" t="str">
        <f t="shared" si="86"/>
        <v>215gsm IVORY STARSPARK (IP SUN)</v>
      </c>
      <c r="Q322" s="254">
        <v>0.28999999999999998</v>
      </c>
      <c r="R322" s="1228" t="str">
        <f t="shared" si="74"/>
        <v>215</v>
      </c>
      <c r="S322" s="2625">
        <f t="shared" si="72"/>
        <v>0</v>
      </c>
      <c r="T322" s="2747">
        <f>IF(L322&gt;0,IF(input!$B$2=$O$1,(((L322+Y322/22)+(L322+Y322/22)*$AG322+$X322)*$P$11+$M$7)/1000,(((L322+Y322/22)+(L322+Y322/22)*O322+(L322+Y322/22)*$AG322+$X322)*$P$11+$M$7)/1000),0)</f>
        <v>0</v>
      </c>
      <c r="U322" s="2747">
        <f t="shared" si="73"/>
        <v>0</v>
      </c>
      <c r="V322" s="1229"/>
      <c r="W322" s="1231" t="str">
        <f t="shared" si="78"/>
        <v>CFR</v>
      </c>
      <c r="X322" s="1230">
        <f t="shared" si="77"/>
        <v>0</v>
      </c>
      <c r="Y322" s="2625">
        <f t="shared" si="83"/>
        <v>0</v>
      </c>
      <c r="Z322" s="3208">
        <f t="shared" si="75"/>
        <v>838.18181818181813</v>
      </c>
      <c r="AA322" s="1220" t="s">
        <v>2820</v>
      </c>
      <c r="AB322" s="1220" t="s">
        <v>1395</v>
      </c>
      <c r="AC322" s="251" t="str">
        <f t="shared" si="76"/>
        <v>215gsm IVORY STARSPARK (IP SUN)</v>
      </c>
      <c r="AD322" s="2746">
        <f>IF(L322&gt;0,IF(input!$B$2=$O$1,(((M322)+(M322)*$M$10)*$P$11)/1000,(((M322)+(M322)*O322+(M322)*$M$10)*$P$11)/1000),0)</f>
        <v>0</v>
      </c>
      <c r="AE322" s="2746">
        <f>IF(L322&gt;0,IF(input!$B$2=$O$1,(((N322)+(N322)*$M$10)*$P$11)/1000,(((N322)+(N322)*O322+(N322)*$M$10)*$P$11)/1000),0)</f>
        <v>0</v>
      </c>
      <c r="AF322" s="136" t="str">
        <f t="shared" si="84"/>
        <v>None</v>
      </c>
      <c r="AG322" s="2628">
        <f t="shared" si="85"/>
        <v>1.2E-2</v>
      </c>
      <c r="AH322" s="1266">
        <v>0.1</v>
      </c>
    </row>
    <row r="323" spans="1:34" ht="12.75">
      <c r="A323" s="2199">
        <f t="shared" si="70"/>
        <v>311</v>
      </c>
      <c r="B323" s="2200" t="s">
        <v>2457</v>
      </c>
      <c r="C323" s="2743">
        <v>0</v>
      </c>
      <c r="D323" s="2743">
        <v>0</v>
      </c>
      <c r="E323" s="2949">
        <v>0.1</v>
      </c>
      <c r="F323" s="2200">
        <v>20</v>
      </c>
      <c r="G323" s="2200" t="s">
        <v>127</v>
      </c>
      <c r="H323" s="2200" t="s">
        <v>1059</v>
      </c>
      <c r="I323" s="2742">
        <v>0</v>
      </c>
      <c r="J323" s="2742"/>
      <c r="K323" s="2752">
        <v>45</v>
      </c>
      <c r="L323" s="2745">
        <f t="shared" si="71"/>
        <v>0</v>
      </c>
      <c r="M323" s="2745">
        <f t="shared" si="79"/>
        <v>0</v>
      </c>
      <c r="N323" s="2745">
        <f t="shared" si="80"/>
        <v>20</v>
      </c>
      <c r="O323" s="1232">
        <f t="shared" si="81"/>
        <v>0.1</v>
      </c>
      <c r="P323" s="1227" t="str">
        <f t="shared" si="86"/>
        <v>220gsm IVORY STARSPARK (IP SUN)</v>
      </c>
      <c r="Q323" s="254">
        <v>0.30499999999999999</v>
      </c>
      <c r="R323" s="1228" t="str">
        <f t="shared" si="74"/>
        <v>220</v>
      </c>
      <c r="S323" s="2625">
        <f t="shared" si="72"/>
        <v>0</v>
      </c>
      <c r="T323" s="2747">
        <f>IF(L323&gt;0,IF(input!$B$2=$O$1,(((L323+Y323/22)+(L323+Y323/22)*$AG323+$X323)*$P$11+$M$7)/1000,(((L323+Y323/22)+(L323+Y323/22)*O323+(L323+Y323/22)*$AG323+$X323)*$P$11+$M$7)/1000),0)</f>
        <v>0</v>
      </c>
      <c r="U323" s="2747">
        <f t="shared" si="73"/>
        <v>0</v>
      </c>
      <c r="V323" s="1229"/>
      <c r="W323" s="1231" t="str">
        <f t="shared" si="78"/>
        <v>CFR</v>
      </c>
      <c r="X323" s="1230">
        <f t="shared" si="77"/>
        <v>0</v>
      </c>
      <c r="Y323" s="2625">
        <f t="shared" si="83"/>
        <v>0</v>
      </c>
      <c r="Z323" s="3208">
        <f t="shared" si="75"/>
        <v>838.18181818181813</v>
      </c>
      <c r="AA323" s="1220" t="s">
        <v>2820</v>
      </c>
      <c r="AB323" s="1220" t="s">
        <v>1395</v>
      </c>
      <c r="AC323" s="251" t="str">
        <f t="shared" si="76"/>
        <v>220gsm IVORY STARSPARK (IP SUN)</v>
      </c>
      <c r="AD323" s="2746">
        <f>IF(L323&gt;0,IF(input!$B$2=$O$1,(((M323)+(M323)*$M$10)*$P$11)/1000,(((M323)+(M323)*O323+(M323)*$M$10)*$P$11)/1000),0)</f>
        <v>0</v>
      </c>
      <c r="AE323" s="2746">
        <f>IF(L323&gt;0,IF(input!$B$2=$O$1,(((N323)+(N323)*$M$10)*$P$11)/1000,(((N323)+(N323)*O323+(N323)*$M$10)*$P$11)/1000),0)</f>
        <v>0</v>
      </c>
      <c r="AF323" s="136" t="str">
        <f t="shared" si="84"/>
        <v>None</v>
      </c>
      <c r="AG323" s="2628">
        <f t="shared" si="85"/>
        <v>1.2E-2</v>
      </c>
      <c r="AH323" s="1266">
        <v>0.1</v>
      </c>
    </row>
    <row r="324" spans="1:34" ht="12.75">
      <c r="A324" s="2199">
        <f t="shared" si="70"/>
        <v>312</v>
      </c>
      <c r="B324" s="2200" t="s">
        <v>2458</v>
      </c>
      <c r="C324" s="2743">
        <v>0</v>
      </c>
      <c r="D324" s="2743">
        <v>0</v>
      </c>
      <c r="E324" s="2949">
        <v>0.1</v>
      </c>
      <c r="F324" s="2200">
        <v>20</v>
      </c>
      <c r="G324" s="2200" t="s">
        <v>127</v>
      </c>
      <c r="H324" s="2200" t="s">
        <v>1059</v>
      </c>
      <c r="I324" s="2742">
        <v>0</v>
      </c>
      <c r="J324" s="2742"/>
      <c r="K324" s="2752">
        <v>45</v>
      </c>
      <c r="L324" s="2745">
        <f t="shared" si="71"/>
        <v>0</v>
      </c>
      <c r="M324" s="2745">
        <f t="shared" si="79"/>
        <v>0</v>
      </c>
      <c r="N324" s="2745">
        <f t="shared" si="80"/>
        <v>20</v>
      </c>
      <c r="O324" s="1232">
        <f t="shared" si="81"/>
        <v>0.1</v>
      </c>
      <c r="P324" s="1227" t="str">
        <f t="shared" si="86"/>
        <v>225gsm IVORY STARSPARK (IP SUN)</v>
      </c>
      <c r="Q324" s="254">
        <v>0.315</v>
      </c>
      <c r="R324" s="1228" t="str">
        <f t="shared" si="74"/>
        <v>225</v>
      </c>
      <c r="S324" s="2625">
        <f t="shared" si="72"/>
        <v>0</v>
      </c>
      <c r="T324" s="2747">
        <f>IF(L324&gt;0,IF(input!$B$2=$O$1,(((L324+Y324/22)+(L324+Y324/22)*$AG324+$X324)*$P$11+$M$7)/1000,(((L324+Y324/22)+(L324+Y324/22)*O324+(L324+Y324/22)*$AG324+$X324)*$P$11+$M$7)/1000),0)</f>
        <v>0</v>
      </c>
      <c r="U324" s="2747">
        <f t="shared" si="73"/>
        <v>0</v>
      </c>
      <c r="V324" s="1229"/>
      <c r="W324" s="1231" t="str">
        <f t="shared" si="78"/>
        <v>CFR</v>
      </c>
      <c r="X324" s="1230">
        <f t="shared" si="77"/>
        <v>0</v>
      </c>
      <c r="Y324" s="2625">
        <f t="shared" si="83"/>
        <v>0</v>
      </c>
      <c r="Z324" s="3208">
        <f t="shared" si="75"/>
        <v>838.18181818181813</v>
      </c>
      <c r="AA324" s="1220" t="s">
        <v>2820</v>
      </c>
      <c r="AB324" s="1220" t="s">
        <v>1395</v>
      </c>
      <c r="AC324" s="251" t="str">
        <f t="shared" si="76"/>
        <v>225gsm IVORY STARSPARK (IP SUN)</v>
      </c>
      <c r="AD324" s="2746">
        <f>IF(L324&gt;0,IF(input!$B$2=$O$1,(((M324)+(M324)*$M$10)*$P$11)/1000,(((M324)+(M324)*O324+(M324)*$M$10)*$P$11)/1000),0)</f>
        <v>0</v>
      </c>
      <c r="AE324" s="2746">
        <f>IF(L324&gt;0,IF(input!$B$2=$O$1,(((N324)+(N324)*$M$10)*$P$11)/1000,(((N324)+(N324)*O324+(N324)*$M$10)*$P$11)/1000),0)</f>
        <v>0</v>
      </c>
      <c r="AF324" s="136" t="str">
        <f t="shared" si="84"/>
        <v>None</v>
      </c>
      <c r="AG324" s="2628">
        <f t="shared" si="85"/>
        <v>1.2E-2</v>
      </c>
      <c r="AH324" s="1266">
        <v>0.1</v>
      </c>
    </row>
    <row r="325" spans="1:34" ht="12.75">
      <c r="A325" s="2199">
        <f t="shared" si="70"/>
        <v>313</v>
      </c>
      <c r="B325" s="2200" t="s">
        <v>2459</v>
      </c>
      <c r="C325" s="2743">
        <v>0</v>
      </c>
      <c r="D325" s="2743">
        <v>0</v>
      </c>
      <c r="E325" s="2949">
        <v>0.1</v>
      </c>
      <c r="F325" s="2200">
        <v>20</v>
      </c>
      <c r="G325" s="2200" t="s">
        <v>127</v>
      </c>
      <c r="H325" s="2200" t="s">
        <v>1059</v>
      </c>
      <c r="I325" s="2742">
        <v>0</v>
      </c>
      <c r="J325" s="2742"/>
      <c r="K325" s="2752">
        <v>45</v>
      </c>
      <c r="L325" s="2745">
        <f t="shared" si="71"/>
        <v>0</v>
      </c>
      <c r="M325" s="2745">
        <f t="shared" si="79"/>
        <v>0</v>
      </c>
      <c r="N325" s="2745">
        <f t="shared" si="80"/>
        <v>20</v>
      </c>
      <c r="O325" s="1232">
        <f t="shared" si="81"/>
        <v>0.1</v>
      </c>
      <c r="P325" s="1227" t="str">
        <f t="shared" si="86"/>
        <v>230gsm IVORY STARSPARK (IP SUN)</v>
      </c>
      <c r="Q325" s="254">
        <v>0.32</v>
      </c>
      <c r="R325" s="1228" t="str">
        <f t="shared" si="74"/>
        <v>230</v>
      </c>
      <c r="S325" s="2625">
        <f t="shared" si="72"/>
        <v>0</v>
      </c>
      <c r="T325" s="2747">
        <f>IF(L325&gt;0,IF(input!$B$2=$O$1,(((L325+Y325/22)+(L325+Y325/22)*$AG325+$X325)*$P$11+$M$7)/1000,(((L325+Y325/22)+(L325+Y325/22)*O325+(L325+Y325/22)*$AG325+$X325)*$P$11+$M$7)/1000),0)</f>
        <v>0</v>
      </c>
      <c r="U325" s="2747">
        <f t="shared" si="73"/>
        <v>0</v>
      </c>
      <c r="V325" s="1229"/>
      <c r="W325" s="1231" t="str">
        <f t="shared" si="78"/>
        <v>CFR</v>
      </c>
      <c r="X325" s="1230">
        <f t="shared" si="77"/>
        <v>0</v>
      </c>
      <c r="Y325" s="2625">
        <f t="shared" si="83"/>
        <v>0</v>
      </c>
      <c r="Z325" s="3208">
        <f t="shared" si="75"/>
        <v>838.18181818181813</v>
      </c>
      <c r="AA325" s="1220" t="s">
        <v>2820</v>
      </c>
      <c r="AB325" s="1220" t="s">
        <v>1395</v>
      </c>
      <c r="AC325" s="251" t="str">
        <f t="shared" si="76"/>
        <v>230gsm IVORY STARSPARK (IP SUN)</v>
      </c>
      <c r="AD325" s="2746">
        <f>IF(L325&gt;0,IF(input!$B$2=$O$1,(((M325)+(M325)*$M$10)*$P$11)/1000,(((M325)+(M325)*O325+(M325)*$M$10)*$P$11)/1000),0)</f>
        <v>0</v>
      </c>
      <c r="AE325" s="2746">
        <f>IF(L325&gt;0,IF(input!$B$2=$O$1,(((N325)+(N325)*$M$10)*$P$11)/1000,(((N325)+(N325)*O325+(N325)*$M$10)*$P$11)/1000),0)</f>
        <v>0</v>
      </c>
      <c r="AF325" s="136" t="str">
        <f t="shared" si="84"/>
        <v>None</v>
      </c>
      <c r="AG325" s="2628">
        <f t="shared" si="85"/>
        <v>1.2E-2</v>
      </c>
      <c r="AH325" s="1266">
        <v>0.1</v>
      </c>
    </row>
    <row r="326" spans="1:34" ht="12.75">
      <c r="A326" s="2199">
        <f t="shared" si="70"/>
        <v>314</v>
      </c>
      <c r="B326" s="2200" t="s">
        <v>2460</v>
      </c>
      <c r="C326" s="2743">
        <v>0</v>
      </c>
      <c r="D326" s="2743">
        <v>0</v>
      </c>
      <c r="E326" s="2949">
        <v>0.1</v>
      </c>
      <c r="F326" s="2200">
        <v>20</v>
      </c>
      <c r="G326" s="2200" t="s">
        <v>127</v>
      </c>
      <c r="H326" s="2200" t="s">
        <v>1059</v>
      </c>
      <c r="I326" s="2742">
        <v>0</v>
      </c>
      <c r="J326" s="2742"/>
      <c r="K326" s="2752">
        <v>45</v>
      </c>
      <c r="L326" s="2745">
        <f t="shared" si="71"/>
        <v>0</v>
      </c>
      <c r="M326" s="2745">
        <f t="shared" si="79"/>
        <v>0</v>
      </c>
      <c r="N326" s="2745">
        <f t="shared" si="80"/>
        <v>20</v>
      </c>
      <c r="O326" s="1232">
        <f t="shared" si="81"/>
        <v>0.1</v>
      </c>
      <c r="P326" s="1227" t="str">
        <f t="shared" si="86"/>
        <v>245gsm IVORY STARSPARK (IP SUN)</v>
      </c>
      <c r="Q326" s="254">
        <v>0.33500000000000002</v>
      </c>
      <c r="R326" s="1228" t="str">
        <f t="shared" si="74"/>
        <v>245</v>
      </c>
      <c r="S326" s="2625">
        <f t="shared" si="72"/>
        <v>0</v>
      </c>
      <c r="T326" s="2747">
        <f>IF(L326&gt;0,IF(input!$B$2=$O$1,(((L326+Y326/22)+(L326+Y326/22)*$AG326+$X326)*$P$11+$M$7)/1000,(((L326+Y326/22)+(L326+Y326/22)*O326+(L326+Y326/22)*$AG326+$X326)*$P$11+$M$7)/1000),0)</f>
        <v>0</v>
      </c>
      <c r="U326" s="2747">
        <f t="shared" si="73"/>
        <v>0</v>
      </c>
      <c r="V326" s="1229"/>
      <c r="W326" s="1231" t="str">
        <f t="shared" si="78"/>
        <v>CFR</v>
      </c>
      <c r="X326" s="1230">
        <f t="shared" si="77"/>
        <v>0</v>
      </c>
      <c r="Y326" s="2625">
        <f t="shared" si="83"/>
        <v>0</v>
      </c>
      <c r="Z326" s="3208">
        <f t="shared" si="75"/>
        <v>838.18181818181813</v>
      </c>
      <c r="AA326" s="1220" t="s">
        <v>2820</v>
      </c>
      <c r="AB326" s="1220" t="s">
        <v>1395</v>
      </c>
      <c r="AC326" s="251" t="str">
        <f t="shared" si="76"/>
        <v>245gsm IVORY STARSPARK (IP SUN)</v>
      </c>
      <c r="AD326" s="2746">
        <f>IF(L326&gt;0,IF(input!$B$2=$O$1,(((M326)+(M326)*$M$10)*$P$11)/1000,(((M326)+(M326)*O326+(M326)*$M$10)*$P$11)/1000),0)</f>
        <v>0</v>
      </c>
      <c r="AE326" s="2746">
        <f>IF(L326&gt;0,IF(input!$B$2=$O$1,(((N326)+(N326)*$M$10)*$P$11)/1000,(((N326)+(N326)*O326+(N326)*$M$10)*$P$11)/1000),0)</f>
        <v>0</v>
      </c>
      <c r="AF326" s="136" t="str">
        <f t="shared" si="84"/>
        <v>None</v>
      </c>
      <c r="AG326" s="2628">
        <f t="shared" si="85"/>
        <v>1.2E-2</v>
      </c>
      <c r="AH326" s="1266">
        <v>0.1</v>
      </c>
    </row>
    <row r="327" spans="1:34" ht="12.75">
      <c r="A327" s="2199">
        <f t="shared" si="70"/>
        <v>315</v>
      </c>
      <c r="B327" s="2200" t="s">
        <v>2461</v>
      </c>
      <c r="C327" s="2743">
        <v>0</v>
      </c>
      <c r="D327" s="2743">
        <v>0</v>
      </c>
      <c r="E327" s="2949">
        <v>0.1</v>
      </c>
      <c r="F327" s="2200">
        <v>20</v>
      </c>
      <c r="G327" s="2200" t="s">
        <v>127</v>
      </c>
      <c r="H327" s="2200" t="s">
        <v>1059</v>
      </c>
      <c r="I327" s="2742">
        <v>0</v>
      </c>
      <c r="J327" s="2742"/>
      <c r="K327" s="2752">
        <v>45</v>
      </c>
      <c r="L327" s="2745">
        <f t="shared" si="71"/>
        <v>0</v>
      </c>
      <c r="M327" s="2745">
        <f t="shared" si="79"/>
        <v>0</v>
      </c>
      <c r="N327" s="2745">
        <f t="shared" si="80"/>
        <v>20</v>
      </c>
      <c r="O327" s="1232">
        <f t="shared" si="81"/>
        <v>0.1</v>
      </c>
      <c r="P327" s="1227" t="str">
        <f t="shared" si="86"/>
        <v>250gsm IVORY STARSPARK (IP SUN)</v>
      </c>
      <c r="Q327" s="254">
        <v>0.34</v>
      </c>
      <c r="R327" s="1228" t="str">
        <f t="shared" si="74"/>
        <v>250</v>
      </c>
      <c r="S327" s="2625">
        <f t="shared" si="72"/>
        <v>0</v>
      </c>
      <c r="T327" s="2747">
        <f>IF(L327&gt;0,IF(input!$B$2=$O$1,(((L327+Y327/22)+(L327+Y327/22)*$AG327+$X327)*$P$11+$M$7)/1000,(((L327+Y327/22)+(L327+Y327/22)*O327+(L327+Y327/22)*$AG327+$X327)*$P$11+$M$7)/1000),0)</f>
        <v>0</v>
      </c>
      <c r="U327" s="2747">
        <f t="shared" si="73"/>
        <v>0</v>
      </c>
      <c r="V327" s="1229"/>
      <c r="W327" s="1231" t="str">
        <f t="shared" si="78"/>
        <v>CFR</v>
      </c>
      <c r="X327" s="1230">
        <f t="shared" si="77"/>
        <v>0</v>
      </c>
      <c r="Y327" s="2625">
        <f t="shared" si="83"/>
        <v>0</v>
      </c>
      <c r="Z327" s="3208">
        <f t="shared" si="75"/>
        <v>838.18181818181813</v>
      </c>
      <c r="AA327" s="1220" t="s">
        <v>2820</v>
      </c>
      <c r="AB327" s="1220" t="s">
        <v>1395</v>
      </c>
      <c r="AC327" s="251" t="str">
        <f t="shared" si="76"/>
        <v>250gsm IVORY STARSPARK (IP SUN)</v>
      </c>
      <c r="AD327" s="2746">
        <f>IF(L327&gt;0,IF(input!$B$2=$O$1,(((M327)+(M327)*$M$10)*$P$11)/1000,(((M327)+(M327)*O327+(M327)*$M$10)*$P$11)/1000),0)</f>
        <v>0</v>
      </c>
      <c r="AE327" s="2746">
        <f>IF(L327&gt;0,IF(input!$B$2=$O$1,(((N327)+(N327)*$M$10)*$P$11)/1000,(((N327)+(N327)*O327+(N327)*$M$10)*$P$11)/1000),0)</f>
        <v>0</v>
      </c>
      <c r="AF327" s="136" t="str">
        <f t="shared" si="84"/>
        <v>None</v>
      </c>
      <c r="AG327" s="2628">
        <f t="shared" si="85"/>
        <v>1.2E-2</v>
      </c>
      <c r="AH327" s="1266">
        <v>0.1</v>
      </c>
    </row>
    <row r="328" spans="1:34" ht="12.75">
      <c r="A328" s="2199">
        <f t="shared" si="70"/>
        <v>316</v>
      </c>
      <c r="B328" s="2200" t="s">
        <v>2462</v>
      </c>
      <c r="C328" s="2743">
        <v>0</v>
      </c>
      <c r="D328" s="2743">
        <v>0</v>
      </c>
      <c r="E328" s="2949">
        <v>0.1</v>
      </c>
      <c r="F328" s="2200">
        <v>20</v>
      </c>
      <c r="G328" s="2200" t="s">
        <v>127</v>
      </c>
      <c r="H328" s="2200" t="s">
        <v>1059</v>
      </c>
      <c r="I328" s="2742">
        <v>0</v>
      </c>
      <c r="J328" s="2742"/>
      <c r="K328" s="2752">
        <v>45</v>
      </c>
      <c r="L328" s="2745">
        <f t="shared" si="71"/>
        <v>0</v>
      </c>
      <c r="M328" s="2745">
        <f t="shared" si="79"/>
        <v>0</v>
      </c>
      <c r="N328" s="2745">
        <f t="shared" si="80"/>
        <v>20</v>
      </c>
      <c r="O328" s="1232">
        <f t="shared" si="81"/>
        <v>0.1</v>
      </c>
      <c r="P328" s="1227" t="str">
        <f t="shared" si="86"/>
        <v>285gsm IVORY STARSPARK (IP SUN)</v>
      </c>
      <c r="Q328" s="254">
        <v>0.39</v>
      </c>
      <c r="R328" s="1228" t="str">
        <f t="shared" si="74"/>
        <v>285</v>
      </c>
      <c r="S328" s="2625">
        <f t="shared" si="72"/>
        <v>0</v>
      </c>
      <c r="T328" s="2747">
        <f>IF(L328&gt;0,IF(input!$B$2=$O$1,(((L328+Y328/22)+(L328+Y328/22)*$AG328+$X328)*$P$11+$M$7)/1000,(((L328+Y328/22)+(L328+Y328/22)*O328+(L328+Y328/22)*$AG328+$X328)*$P$11+$M$7)/1000),0)</f>
        <v>0</v>
      </c>
      <c r="U328" s="2747">
        <f t="shared" si="73"/>
        <v>0</v>
      </c>
      <c r="V328" s="1229"/>
      <c r="W328" s="1231" t="str">
        <f t="shared" si="78"/>
        <v>CFR</v>
      </c>
      <c r="X328" s="1230">
        <f t="shared" si="77"/>
        <v>0</v>
      </c>
      <c r="Y328" s="2625">
        <f t="shared" si="83"/>
        <v>0</v>
      </c>
      <c r="Z328" s="3208">
        <f t="shared" si="75"/>
        <v>838.18181818181813</v>
      </c>
      <c r="AA328" s="1220" t="s">
        <v>2820</v>
      </c>
      <c r="AB328" s="1220" t="s">
        <v>1395</v>
      </c>
      <c r="AC328" s="251" t="str">
        <f t="shared" si="76"/>
        <v>285gsm IVORY STARSPARK (IP SUN)</v>
      </c>
      <c r="AD328" s="2746">
        <f>IF(L328&gt;0,IF(input!$B$2=$O$1,(((M328)+(M328)*$M$10)*$P$11)/1000,(((M328)+(M328)*O328+(M328)*$M$10)*$P$11)/1000),0)</f>
        <v>0</v>
      </c>
      <c r="AE328" s="2746">
        <f>IF(L328&gt;0,IF(input!$B$2=$O$1,(((N328)+(N328)*$M$10)*$P$11)/1000,(((N328)+(N328)*O328+(N328)*$M$10)*$P$11)/1000),0)</f>
        <v>0</v>
      </c>
      <c r="AF328" s="136" t="str">
        <f t="shared" si="84"/>
        <v>None</v>
      </c>
      <c r="AG328" s="2628">
        <f t="shared" si="85"/>
        <v>1.2E-2</v>
      </c>
      <c r="AH328" s="1266">
        <v>0.1</v>
      </c>
    </row>
    <row r="329" spans="1:34" ht="12.75">
      <c r="A329" s="2199">
        <f t="shared" si="70"/>
        <v>317</v>
      </c>
      <c r="B329" s="2200" t="s">
        <v>2463</v>
      </c>
      <c r="C329" s="2743">
        <v>0</v>
      </c>
      <c r="D329" s="2743">
        <v>0</v>
      </c>
      <c r="E329" s="2949">
        <v>0.1</v>
      </c>
      <c r="F329" s="2200">
        <v>20</v>
      </c>
      <c r="G329" s="2200" t="s">
        <v>127</v>
      </c>
      <c r="H329" s="2200" t="s">
        <v>1059</v>
      </c>
      <c r="I329" s="2742">
        <v>0</v>
      </c>
      <c r="J329" s="2742"/>
      <c r="K329" s="2752">
        <v>45</v>
      </c>
      <c r="L329" s="2745">
        <f t="shared" si="71"/>
        <v>0</v>
      </c>
      <c r="M329" s="2745">
        <f t="shared" si="79"/>
        <v>0</v>
      </c>
      <c r="N329" s="2745">
        <f t="shared" si="80"/>
        <v>20</v>
      </c>
      <c r="O329" s="1232">
        <f t="shared" si="81"/>
        <v>0.1</v>
      </c>
      <c r="P329" s="1227" t="str">
        <f t="shared" si="86"/>
        <v>300gsm IVORY STARSPARK (IP SUN)</v>
      </c>
      <c r="Q329" s="254">
        <v>0.42</v>
      </c>
      <c r="R329" s="1228" t="str">
        <f t="shared" si="74"/>
        <v>300</v>
      </c>
      <c r="S329" s="2625">
        <f t="shared" si="72"/>
        <v>0</v>
      </c>
      <c r="T329" s="2747">
        <f>IF(L329&gt;0,IF(input!$B$2=$O$1,(((L329+Y329/22)+(L329+Y329/22)*$AG329+$X329)*$P$11+$M$7)/1000,(((L329+Y329/22)+(L329+Y329/22)*O329+(L329+Y329/22)*$AG329+$X329)*$P$11+$M$7)/1000),0)</f>
        <v>0</v>
      </c>
      <c r="U329" s="2747">
        <f t="shared" si="73"/>
        <v>0</v>
      </c>
      <c r="V329" s="1229"/>
      <c r="W329" s="1231" t="str">
        <f t="shared" si="78"/>
        <v>CFR</v>
      </c>
      <c r="X329" s="1230">
        <f t="shared" si="77"/>
        <v>0</v>
      </c>
      <c r="Y329" s="2625">
        <f t="shared" si="83"/>
        <v>0</v>
      </c>
      <c r="Z329" s="3208">
        <f t="shared" si="75"/>
        <v>838.18181818181813</v>
      </c>
      <c r="AA329" s="1220" t="s">
        <v>2820</v>
      </c>
      <c r="AB329" s="1220" t="s">
        <v>1395</v>
      </c>
      <c r="AC329" s="251" t="str">
        <f t="shared" si="76"/>
        <v>300gsm IVORY STARSPARK (IP SUN)</v>
      </c>
      <c r="AD329" s="2746">
        <f>IF(L329&gt;0,IF(input!$B$2=$O$1,(((M329)+(M329)*$M$10)*$P$11)/1000,(((M329)+(M329)*O329+(M329)*$M$10)*$P$11)/1000),0)</f>
        <v>0</v>
      </c>
      <c r="AE329" s="2746">
        <f>IF(L329&gt;0,IF(input!$B$2=$O$1,(((N329)+(N329)*$M$10)*$P$11)/1000,(((N329)+(N329)*O329+(N329)*$M$10)*$P$11)/1000),0)</f>
        <v>0</v>
      </c>
      <c r="AF329" s="136" t="str">
        <f t="shared" si="84"/>
        <v>None</v>
      </c>
      <c r="AG329" s="2628">
        <f t="shared" si="85"/>
        <v>1.2E-2</v>
      </c>
      <c r="AH329" s="1266">
        <v>0.1</v>
      </c>
    </row>
    <row r="330" spans="1:34" ht="12.75">
      <c r="A330" s="2199">
        <f t="shared" si="70"/>
        <v>318</v>
      </c>
      <c r="B330" s="2200" t="s">
        <v>2464</v>
      </c>
      <c r="C330" s="2743">
        <v>0</v>
      </c>
      <c r="D330" s="2743">
        <v>0</v>
      </c>
      <c r="E330" s="2949">
        <v>0.1</v>
      </c>
      <c r="F330" s="2200">
        <v>20</v>
      </c>
      <c r="G330" s="2200" t="s">
        <v>127</v>
      </c>
      <c r="H330" s="2200" t="s">
        <v>1059</v>
      </c>
      <c r="I330" s="2742">
        <v>0</v>
      </c>
      <c r="J330" s="2742"/>
      <c r="K330" s="2752">
        <v>45</v>
      </c>
      <c r="L330" s="2745">
        <f t="shared" si="71"/>
        <v>0</v>
      </c>
      <c r="M330" s="2745">
        <f t="shared" si="79"/>
        <v>0</v>
      </c>
      <c r="N330" s="2745">
        <f t="shared" si="80"/>
        <v>20</v>
      </c>
      <c r="O330" s="1232">
        <f t="shared" si="81"/>
        <v>0.1</v>
      </c>
      <c r="P330" s="1227" t="str">
        <f t="shared" si="86"/>
        <v>350gsm IVORY STARSPARK (IP SUN)</v>
      </c>
      <c r="Q330" s="254">
        <v>0.48</v>
      </c>
      <c r="R330" s="1228" t="str">
        <f t="shared" si="74"/>
        <v>350</v>
      </c>
      <c r="S330" s="2625">
        <f t="shared" si="72"/>
        <v>0</v>
      </c>
      <c r="T330" s="2747">
        <f>IF(L330&gt;0,IF(input!$B$2=$O$1,(((L330+Y330/22)+(L330+Y330/22)*$AG330+$X330)*$P$11+$M$7)/1000,(((L330+Y330/22)+(L330+Y330/22)*O330+(L330+Y330/22)*$AG330+$X330)*$P$11+$M$7)/1000),0)</f>
        <v>0</v>
      </c>
      <c r="U330" s="2747">
        <f t="shared" si="73"/>
        <v>0</v>
      </c>
      <c r="V330" s="1229"/>
      <c r="W330" s="1231" t="str">
        <f t="shared" si="78"/>
        <v>CFR</v>
      </c>
      <c r="X330" s="1230">
        <f t="shared" si="77"/>
        <v>0</v>
      </c>
      <c r="Y330" s="2625">
        <f t="shared" si="83"/>
        <v>0</v>
      </c>
      <c r="Z330" s="3208">
        <f t="shared" si="75"/>
        <v>838.18181818181813</v>
      </c>
      <c r="AA330" s="1220" t="s">
        <v>2820</v>
      </c>
      <c r="AB330" s="1220" t="s">
        <v>1395</v>
      </c>
      <c r="AC330" s="251" t="str">
        <f t="shared" si="76"/>
        <v>350gsm IVORY STARSPARK (IP SUN)</v>
      </c>
      <c r="AD330" s="2746">
        <f>IF(L330&gt;0,IF(input!$B$2=$O$1,(((M330)+(M330)*$M$10)*$P$11)/1000,(((M330)+(M330)*O330+(M330)*$M$10)*$P$11)/1000),0)</f>
        <v>0</v>
      </c>
      <c r="AE330" s="2746">
        <f>IF(L330&gt;0,IF(input!$B$2=$O$1,(((N330)+(N330)*$M$10)*$P$11)/1000,(((N330)+(N330)*O330+(N330)*$M$10)*$P$11)/1000),0)</f>
        <v>0</v>
      </c>
      <c r="AF330" s="136" t="str">
        <f t="shared" si="84"/>
        <v>None</v>
      </c>
      <c r="AG330" s="2628">
        <f t="shared" si="85"/>
        <v>1.2E-2</v>
      </c>
      <c r="AH330" s="1266">
        <v>0.1</v>
      </c>
    </row>
    <row r="331" spans="1:34" ht="12.75">
      <c r="A331" s="2199">
        <f t="shared" si="70"/>
        <v>319</v>
      </c>
      <c r="B331" s="2200" t="s">
        <v>2465</v>
      </c>
      <c r="C331" s="2743">
        <v>0</v>
      </c>
      <c r="D331" s="2743">
        <v>0</v>
      </c>
      <c r="E331" s="2949">
        <v>0.1</v>
      </c>
      <c r="F331" s="2200">
        <v>20</v>
      </c>
      <c r="G331" s="2200" t="s">
        <v>127</v>
      </c>
      <c r="H331" s="2200" t="s">
        <v>1059</v>
      </c>
      <c r="I331" s="2742">
        <v>0</v>
      </c>
      <c r="J331" s="2742"/>
      <c r="K331" s="2752">
        <v>45</v>
      </c>
      <c r="L331" s="2745">
        <f t="shared" si="71"/>
        <v>0</v>
      </c>
      <c r="M331" s="2745">
        <f t="shared" si="79"/>
        <v>0</v>
      </c>
      <c r="N331" s="2745">
        <f t="shared" si="80"/>
        <v>20</v>
      </c>
      <c r="O331" s="1232">
        <f t="shared" si="81"/>
        <v>0.1</v>
      </c>
      <c r="P331" s="1227" t="str">
        <f t="shared" si="86"/>
        <v>400gsm IVORY STARSPARK (IP SUN)</v>
      </c>
      <c r="Q331" s="254">
        <v>0.55500000000000005</v>
      </c>
      <c r="R331" s="1228" t="str">
        <f t="shared" si="74"/>
        <v>400</v>
      </c>
      <c r="S331" s="2625">
        <f t="shared" si="72"/>
        <v>0</v>
      </c>
      <c r="T331" s="2747">
        <f>IF(L331&gt;0,IF(input!$B$2=$O$1,(((L331+Y331/22)+(L331+Y331/22)*$AG331+$X331)*$P$11+$M$7)/1000,(((L331+Y331/22)+(L331+Y331/22)*O331+(L331+Y331/22)*$AG331+$X331)*$P$11+$M$7)/1000),0)</f>
        <v>0</v>
      </c>
      <c r="U331" s="2747">
        <f t="shared" si="73"/>
        <v>0</v>
      </c>
      <c r="V331" s="1229"/>
      <c r="W331" s="1231" t="str">
        <f t="shared" si="78"/>
        <v>CFR</v>
      </c>
      <c r="X331" s="1230">
        <f t="shared" si="77"/>
        <v>0</v>
      </c>
      <c r="Y331" s="2625">
        <f t="shared" si="83"/>
        <v>0</v>
      </c>
      <c r="Z331" s="3208">
        <f t="shared" si="75"/>
        <v>838.18181818181813</v>
      </c>
      <c r="AA331" s="1220" t="s">
        <v>2820</v>
      </c>
      <c r="AB331" s="1220" t="s">
        <v>1395</v>
      </c>
      <c r="AC331" s="251" t="str">
        <f t="shared" si="76"/>
        <v>400gsm IVORY STARSPARK (IP SUN)</v>
      </c>
      <c r="AD331" s="2746">
        <f>IF(L331&gt;0,IF(input!$B$2=$O$1,(((M331)+(M331)*$M$10)*$P$11)/1000,(((M331)+(M331)*O331+(M331)*$M$10)*$P$11)/1000),0)</f>
        <v>0</v>
      </c>
      <c r="AE331" s="2746">
        <f>IF(L331&gt;0,IF(input!$B$2=$O$1,(((N331)+(N331)*$M$10)*$P$11)/1000,(((N331)+(N331)*O331+(N331)*$M$10)*$P$11)/1000),0)</f>
        <v>0</v>
      </c>
      <c r="AF331" s="136" t="str">
        <f t="shared" si="84"/>
        <v>None</v>
      </c>
      <c r="AG331" s="2628">
        <f t="shared" si="85"/>
        <v>1.2E-2</v>
      </c>
      <c r="AH331" s="1266">
        <v>0.1</v>
      </c>
    </row>
    <row r="332" spans="1:34" ht="12.75">
      <c r="A332" s="2199">
        <f t="shared" si="70"/>
        <v>320</v>
      </c>
      <c r="B332" s="2200" t="s">
        <v>2466</v>
      </c>
      <c r="C332" s="2743">
        <v>0</v>
      </c>
      <c r="D332" s="2743">
        <v>0</v>
      </c>
      <c r="E332" s="2949">
        <v>0.1</v>
      </c>
      <c r="F332" s="2200">
        <v>20</v>
      </c>
      <c r="G332" s="2200" t="s">
        <v>2038</v>
      </c>
      <c r="H332" s="2200" t="s">
        <v>1059</v>
      </c>
      <c r="I332" s="2742">
        <v>20</v>
      </c>
      <c r="J332" s="2742"/>
      <c r="K332" s="2752">
        <v>45</v>
      </c>
      <c r="L332" s="2745">
        <f t="shared" si="71"/>
        <v>0</v>
      </c>
      <c r="M332" s="2745">
        <f t="shared" si="79"/>
        <v>20</v>
      </c>
      <c r="N332" s="2745">
        <f t="shared" si="80"/>
        <v>20</v>
      </c>
      <c r="O332" s="1232">
        <f t="shared" si="81"/>
        <v>0.1</v>
      </c>
      <c r="P332" s="1227" t="str">
        <f t="shared" si="86"/>
        <v>170gsm IVORY STARBLANC (IP SUN)</v>
      </c>
      <c r="Q332" s="254">
        <v>0.22</v>
      </c>
      <c r="R332" s="1228" t="str">
        <f t="shared" si="74"/>
        <v>170</v>
      </c>
      <c r="S332" s="2625">
        <f t="shared" si="72"/>
        <v>0</v>
      </c>
      <c r="T332" s="2747">
        <f>IF(L332&gt;0,IF(input!$B$2=$O$1,(((L332+Y332/22)+(L332+Y332/22)*$AG332+$X332)*$P$11+$M$7)/1000,(((L332+Y332/22)+(L332+Y332/22)*O332+(L332+Y332/22)*$AG332+$X332)*$P$11+$M$7)/1000),0)</f>
        <v>0</v>
      </c>
      <c r="U332" s="2747">
        <f t="shared" si="73"/>
        <v>0</v>
      </c>
      <c r="V332" s="1229"/>
      <c r="W332" s="1231" t="str">
        <f t="shared" si="78"/>
        <v>CFR</v>
      </c>
      <c r="X332" s="1230">
        <f t="shared" si="77"/>
        <v>0</v>
      </c>
      <c r="Y332" s="2625">
        <f t="shared" si="83"/>
        <v>0</v>
      </c>
      <c r="Z332" s="3208">
        <f t="shared" si="75"/>
        <v>838.18181818181813</v>
      </c>
      <c r="AA332" s="1220" t="s">
        <v>2821</v>
      </c>
      <c r="AB332" s="1220" t="s">
        <v>1395</v>
      </c>
      <c r="AC332" s="251" t="str">
        <f t="shared" si="76"/>
        <v>170gsm IVORY STARBLANC (IP SUN)</v>
      </c>
      <c r="AD332" s="2746">
        <f>IF(L332&gt;0,IF(input!$B$2=$O$1,(((M332)+(M332)*$M$10)*$P$11)/1000,(((M332)+(M332)*O332+(M332)*$M$10)*$P$11)/1000),0)</f>
        <v>0</v>
      </c>
      <c r="AE332" s="2746">
        <f>IF(L332&gt;0,IF(input!$B$2=$O$1,(((N332)+(N332)*$M$10)*$P$11)/1000,(((N332)+(N332)*O332+(N332)*$M$10)*$P$11)/1000),0)</f>
        <v>0</v>
      </c>
      <c r="AF332" s="136" t="str">
        <f t="shared" si="84"/>
        <v>FSC</v>
      </c>
      <c r="AG332" s="2628">
        <f t="shared" si="85"/>
        <v>1.2E-2</v>
      </c>
      <c r="AH332" s="1266">
        <v>0.1</v>
      </c>
    </row>
    <row r="333" spans="1:34" ht="12.75">
      <c r="A333" s="2199">
        <f t="shared" si="70"/>
        <v>321</v>
      </c>
      <c r="B333" s="2200" t="s">
        <v>2467</v>
      </c>
      <c r="C333" s="2743">
        <v>0</v>
      </c>
      <c r="D333" s="2743">
        <v>0</v>
      </c>
      <c r="E333" s="2949">
        <v>0.1</v>
      </c>
      <c r="F333" s="2200">
        <v>20</v>
      </c>
      <c r="G333" s="2200" t="s">
        <v>2038</v>
      </c>
      <c r="H333" s="2200" t="s">
        <v>1059</v>
      </c>
      <c r="I333" s="2742">
        <v>20</v>
      </c>
      <c r="J333" s="2742"/>
      <c r="K333" s="2752">
        <v>45</v>
      </c>
      <c r="L333" s="2745">
        <f t="shared" si="71"/>
        <v>0</v>
      </c>
      <c r="M333" s="2745">
        <f t="shared" si="79"/>
        <v>20</v>
      </c>
      <c r="N333" s="2745">
        <f t="shared" si="80"/>
        <v>20</v>
      </c>
      <c r="O333" s="1232">
        <f t="shared" si="81"/>
        <v>0.1</v>
      </c>
      <c r="P333" s="1227" t="str">
        <f t="shared" si="86"/>
        <v>180gsm IVORY STARBLANC (IP SUN)</v>
      </c>
      <c r="Q333" s="254">
        <v>0.23499999999999999</v>
      </c>
      <c r="R333" s="1228" t="str">
        <f t="shared" si="74"/>
        <v>180</v>
      </c>
      <c r="S333" s="2625">
        <f t="shared" si="72"/>
        <v>0</v>
      </c>
      <c r="T333" s="2747">
        <f>IF(L333&gt;0,IF(input!$B$2=$O$1,(((L333+Y333/22)+(L333+Y333/22)*$AG333+$X333)*$P$11+$M$7)/1000,(((L333+Y333/22)+(L333+Y333/22)*O333+(L333+Y333/22)*$AG333+$X333)*$P$11+$M$7)/1000),0)</f>
        <v>0</v>
      </c>
      <c r="U333" s="2747">
        <f t="shared" si="73"/>
        <v>0</v>
      </c>
      <c r="V333" s="1229"/>
      <c r="W333" s="1231" t="str">
        <f t="shared" si="78"/>
        <v>CFR</v>
      </c>
      <c r="X333" s="1230">
        <f t="shared" si="77"/>
        <v>0</v>
      </c>
      <c r="Y333" s="2625">
        <f t="shared" si="83"/>
        <v>0</v>
      </c>
      <c r="Z333" s="3208">
        <f t="shared" si="75"/>
        <v>838.18181818181813</v>
      </c>
      <c r="AA333" s="1220" t="s">
        <v>2821</v>
      </c>
      <c r="AB333" s="1220" t="s">
        <v>1395</v>
      </c>
      <c r="AC333" s="251" t="str">
        <f t="shared" si="76"/>
        <v>180gsm IVORY STARBLANC (IP SUN)</v>
      </c>
      <c r="AD333" s="2746">
        <f>IF(L333&gt;0,IF(input!$B$2=$O$1,(((M333)+(M333)*$M$10)*$P$11)/1000,(((M333)+(M333)*O333+(M333)*$M$10)*$P$11)/1000),0)</f>
        <v>0</v>
      </c>
      <c r="AE333" s="2746">
        <f>IF(L333&gt;0,IF(input!$B$2=$O$1,(((N333)+(N333)*$M$10)*$P$11)/1000,(((N333)+(N333)*O333+(N333)*$M$10)*$P$11)/1000),0)</f>
        <v>0</v>
      </c>
      <c r="AF333" s="136" t="str">
        <f t="shared" si="84"/>
        <v>FSC</v>
      </c>
      <c r="AG333" s="2628">
        <f t="shared" si="85"/>
        <v>1.2E-2</v>
      </c>
      <c r="AH333" s="1266">
        <v>0.1</v>
      </c>
    </row>
    <row r="334" spans="1:34" ht="12.75">
      <c r="A334" s="2199">
        <f t="shared" ref="A334:A397" si="87">ROW(A322)</f>
        <v>322</v>
      </c>
      <c r="B334" s="2200" t="s">
        <v>2468</v>
      </c>
      <c r="C334" s="2743">
        <v>0</v>
      </c>
      <c r="D334" s="2743">
        <v>0</v>
      </c>
      <c r="E334" s="2949">
        <v>0.1</v>
      </c>
      <c r="F334" s="2200">
        <v>20</v>
      </c>
      <c r="G334" s="2200" t="s">
        <v>2038</v>
      </c>
      <c r="H334" s="2200" t="s">
        <v>1059</v>
      </c>
      <c r="I334" s="2742">
        <v>20</v>
      </c>
      <c r="J334" s="2742"/>
      <c r="K334" s="2752">
        <v>45</v>
      </c>
      <c r="L334" s="2745">
        <f t="shared" ref="L334:L397" si="88">$D334</f>
        <v>0</v>
      </c>
      <c r="M334" s="2745">
        <f t="shared" si="79"/>
        <v>20</v>
      </c>
      <c r="N334" s="2745">
        <f t="shared" si="80"/>
        <v>20</v>
      </c>
      <c r="O334" s="1232">
        <f t="shared" si="81"/>
        <v>0.1</v>
      </c>
      <c r="P334" s="1227" t="str">
        <f t="shared" si="86"/>
        <v>190gsm IVORY STARBLANC (IP SUN)</v>
      </c>
      <c r="Q334" s="254">
        <v>0.25</v>
      </c>
      <c r="R334" s="1228" t="str">
        <f t="shared" si="74"/>
        <v>190</v>
      </c>
      <c r="S334" s="2625">
        <f t="shared" ref="S334:S397" si="89">C334</f>
        <v>0</v>
      </c>
      <c r="T334" s="2747">
        <f>IF(L334&gt;0,IF(input!$B$2=$O$1,(((L334+Y334/22)+(L334+Y334/22)*$AG334+$X334)*$P$11+$M$7)/1000,(((L334+Y334/22)+(L334+Y334/22)*O334+(L334+Y334/22)*$AG334+$X334)*$P$11+$M$7)/1000),0)</f>
        <v>0</v>
      </c>
      <c r="U334" s="2747">
        <f t="shared" ref="U334:U397" si="90">IF(S334&gt;0,(S334/1.08)+Z334,0)</f>
        <v>0</v>
      </c>
      <c r="V334" s="1229"/>
      <c r="W334" s="1231" t="str">
        <f t="shared" si="78"/>
        <v>CFR</v>
      </c>
      <c r="X334" s="1230">
        <f t="shared" si="77"/>
        <v>0</v>
      </c>
      <c r="Y334" s="2625">
        <f t="shared" si="83"/>
        <v>0</v>
      </c>
      <c r="Z334" s="3208">
        <f t="shared" si="75"/>
        <v>838.18181818181813</v>
      </c>
      <c r="AA334" s="1220" t="s">
        <v>2821</v>
      </c>
      <c r="AB334" s="1220" t="s">
        <v>1395</v>
      </c>
      <c r="AC334" s="251" t="str">
        <f t="shared" si="76"/>
        <v>190gsm IVORY STARBLANC (IP SUN)</v>
      </c>
      <c r="AD334" s="2746">
        <f>IF(L334&gt;0,IF(input!$B$2=$O$1,(((M334)+(M334)*$M$10)*$P$11)/1000,(((M334)+(M334)*O334+(M334)*$M$10)*$P$11)/1000),0)</f>
        <v>0</v>
      </c>
      <c r="AE334" s="2746">
        <f>IF(L334&gt;0,IF(input!$B$2=$O$1,(((N334)+(N334)*$M$10)*$P$11)/1000,(((N334)+(N334)*O334+(N334)*$M$10)*$P$11)/1000),0)</f>
        <v>0</v>
      </c>
      <c r="AF334" s="136" t="str">
        <f t="shared" si="84"/>
        <v>FSC</v>
      </c>
      <c r="AG334" s="2628">
        <f t="shared" si="85"/>
        <v>1.2E-2</v>
      </c>
      <c r="AH334" s="1266">
        <v>0.1</v>
      </c>
    </row>
    <row r="335" spans="1:34" ht="12.75">
      <c r="A335" s="2199">
        <f t="shared" si="87"/>
        <v>323</v>
      </c>
      <c r="B335" s="2200" t="s">
        <v>2469</v>
      </c>
      <c r="C335" s="2743">
        <v>0</v>
      </c>
      <c r="D335" s="2743">
        <v>0</v>
      </c>
      <c r="E335" s="2949">
        <v>0.1</v>
      </c>
      <c r="F335" s="2200">
        <v>20</v>
      </c>
      <c r="G335" s="2200" t="s">
        <v>2038</v>
      </c>
      <c r="H335" s="2200" t="s">
        <v>1059</v>
      </c>
      <c r="I335" s="2742">
        <v>20</v>
      </c>
      <c r="J335" s="2742"/>
      <c r="K335" s="2752">
        <v>45</v>
      </c>
      <c r="L335" s="2745">
        <f t="shared" si="88"/>
        <v>0</v>
      </c>
      <c r="M335" s="2745">
        <f t="shared" si="79"/>
        <v>20</v>
      </c>
      <c r="N335" s="2745">
        <f t="shared" si="80"/>
        <v>20</v>
      </c>
      <c r="O335" s="1232">
        <f t="shared" si="81"/>
        <v>0.1</v>
      </c>
      <c r="P335" s="1227" t="str">
        <f t="shared" si="86"/>
        <v>205gsm IVORY STARBLANC (IP SUN)</v>
      </c>
      <c r="Q335" s="254">
        <v>0.28000000000000003</v>
      </c>
      <c r="R335" s="1228" t="str">
        <f t="shared" ref="R335:R398" si="91">LEFT(AC335,3)</f>
        <v>205</v>
      </c>
      <c r="S335" s="2625">
        <f t="shared" si="89"/>
        <v>0</v>
      </c>
      <c r="T335" s="2747">
        <f>IF(L335&gt;0,IF(input!$B$2=$O$1,(((L335+Y335/22)+(L335+Y335/22)*$AG335+$X335)*$P$11+$M$7)/1000,(((L335+Y335/22)+(L335+Y335/22)*O335+(L335+Y335/22)*$AG335+$X335)*$P$11+$M$7)/1000),0)</f>
        <v>0</v>
      </c>
      <c r="U335" s="2747">
        <f t="shared" si="90"/>
        <v>0</v>
      </c>
      <c r="V335" s="1229"/>
      <c r="W335" s="1231" t="str">
        <f t="shared" si="78"/>
        <v>CFR</v>
      </c>
      <c r="X335" s="1230">
        <f t="shared" si="77"/>
        <v>0</v>
      </c>
      <c r="Y335" s="2625">
        <f t="shared" si="83"/>
        <v>0</v>
      </c>
      <c r="Z335" s="3208">
        <f t="shared" ref="Z335:Z398" si="92">922000/1.1/1000</f>
        <v>838.18181818181813</v>
      </c>
      <c r="AA335" s="1220" t="s">
        <v>2821</v>
      </c>
      <c r="AB335" s="1220" t="s">
        <v>1395</v>
      </c>
      <c r="AC335" s="251" t="str">
        <f t="shared" ref="AC335:AC398" si="93">B335</f>
        <v>205gsm IVORY STARBLANC (IP SUN)</v>
      </c>
      <c r="AD335" s="2746">
        <f>IF(L335&gt;0,IF(input!$B$2=$O$1,(((M335)+(M335)*$M$10)*$P$11)/1000,(((M335)+(M335)*O335+(M335)*$M$10)*$P$11)/1000),0)</f>
        <v>0</v>
      </c>
      <c r="AE335" s="2746">
        <f>IF(L335&gt;0,IF(input!$B$2=$O$1,(((N335)+(N335)*$M$10)*$P$11)/1000,(((N335)+(N335)*O335+(N335)*$M$10)*$P$11)/1000),0)</f>
        <v>0</v>
      </c>
      <c r="AF335" s="136" t="str">
        <f t="shared" si="84"/>
        <v>FSC</v>
      </c>
      <c r="AG335" s="2628">
        <f t="shared" si="85"/>
        <v>1.2E-2</v>
      </c>
      <c r="AH335" s="1266">
        <v>0.1</v>
      </c>
    </row>
    <row r="336" spans="1:34" ht="12.75">
      <c r="A336" s="2199">
        <f t="shared" si="87"/>
        <v>324</v>
      </c>
      <c r="B336" s="2200" t="s">
        <v>2470</v>
      </c>
      <c r="C336" s="2743">
        <v>0</v>
      </c>
      <c r="D336" s="2743">
        <v>0</v>
      </c>
      <c r="E336" s="2949">
        <v>0.1</v>
      </c>
      <c r="F336" s="2200">
        <v>20</v>
      </c>
      <c r="G336" s="2200" t="s">
        <v>2038</v>
      </c>
      <c r="H336" s="2200" t="s">
        <v>1059</v>
      </c>
      <c r="I336" s="2742">
        <v>20</v>
      </c>
      <c r="J336" s="2742"/>
      <c r="K336" s="2752">
        <v>45</v>
      </c>
      <c r="L336" s="2745">
        <f t="shared" si="88"/>
        <v>0</v>
      </c>
      <c r="M336" s="2745">
        <f t="shared" si="79"/>
        <v>20</v>
      </c>
      <c r="N336" s="2745">
        <f t="shared" si="80"/>
        <v>20</v>
      </c>
      <c r="O336" s="1232">
        <f t="shared" si="81"/>
        <v>0.1</v>
      </c>
      <c r="P336" s="1227" t="str">
        <f t="shared" si="86"/>
        <v>210gsm IVORY STARBLANC (IP SUN)</v>
      </c>
      <c r="Q336" s="254">
        <v>0.28499999999999998</v>
      </c>
      <c r="R336" s="1228" t="str">
        <f t="shared" si="91"/>
        <v>210</v>
      </c>
      <c r="S336" s="2625">
        <f t="shared" si="89"/>
        <v>0</v>
      </c>
      <c r="T336" s="2747">
        <f>IF(L336&gt;0,IF(input!$B$2=$O$1,(((L336+Y336/22)+(L336+Y336/22)*$AG336+$X336)*$P$11+$M$7)/1000,(((L336+Y336/22)+(L336+Y336/22)*O336+(L336+Y336/22)*$AG336+$X336)*$P$11+$M$7)/1000),0)</f>
        <v>0</v>
      </c>
      <c r="U336" s="2747">
        <f t="shared" si="90"/>
        <v>0</v>
      </c>
      <c r="V336" s="1229"/>
      <c r="W336" s="1231" t="str">
        <f t="shared" si="78"/>
        <v>CFR</v>
      </c>
      <c r="X336" s="1230">
        <f t="shared" si="77"/>
        <v>0</v>
      </c>
      <c r="Y336" s="2625">
        <f t="shared" si="83"/>
        <v>0</v>
      </c>
      <c r="Z336" s="3208">
        <f t="shared" si="92"/>
        <v>838.18181818181813</v>
      </c>
      <c r="AA336" s="1220" t="s">
        <v>2821</v>
      </c>
      <c r="AB336" s="1220" t="s">
        <v>1395</v>
      </c>
      <c r="AC336" s="251" t="str">
        <f t="shared" si="93"/>
        <v>210gsm IVORY STARBLANC (IP SUN)</v>
      </c>
      <c r="AD336" s="2746">
        <f>IF(L336&gt;0,IF(input!$B$2=$O$1,(((M336)+(M336)*$M$10)*$P$11)/1000,(((M336)+(M336)*O336+(M336)*$M$10)*$P$11)/1000),0)</f>
        <v>0</v>
      </c>
      <c r="AE336" s="2746">
        <f>IF(L336&gt;0,IF(input!$B$2=$O$1,(((N336)+(N336)*$M$10)*$P$11)/1000,(((N336)+(N336)*O336+(N336)*$M$10)*$P$11)/1000),0)</f>
        <v>0</v>
      </c>
      <c r="AF336" s="136" t="str">
        <f t="shared" si="84"/>
        <v>FSC</v>
      </c>
      <c r="AG336" s="2628">
        <f t="shared" si="85"/>
        <v>1.2E-2</v>
      </c>
      <c r="AH336" s="1266">
        <v>0.1</v>
      </c>
    </row>
    <row r="337" spans="1:34" ht="12.75">
      <c r="A337" s="2199">
        <f t="shared" si="87"/>
        <v>325</v>
      </c>
      <c r="B337" s="2200" t="s">
        <v>2471</v>
      </c>
      <c r="C337" s="2743">
        <v>0</v>
      </c>
      <c r="D337" s="2743">
        <v>0</v>
      </c>
      <c r="E337" s="2949">
        <v>0.1</v>
      </c>
      <c r="F337" s="2200">
        <v>20</v>
      </c>
      <c r="G337" s="2200" t="s">
        <v>2038</v>
      </c>
      <c r="H337" s="2200" t="s">
        <v>1059</v>
      </c>
      <c r="I337" s="2742">
        <v>20</v>
      </c>
      <c r="J337" s="2742"/>
      <c r="K337" s="2752">
        <v>45</v>
      </c>
      <c r="L337" s="2745">
        <f t="shared" si="88"/>
        <v>0</v>
      </c>
      <c r="M337" s="2745">
        <f t="shared" si="79"/>
        <v>20</v>
      </c>
      <c r="N337" s="2745">
        <f t="shared" si="80"/>
        <v>20</v>
      </c>
      <c r="O337" s="1232">
        <f t="shared" si="81"/>
        <v>0.1</v>
      </c>
      <c r="P337" s="1227" t="str">
        <f t="shared" si="86"/>
        <v>215gsm IVORY STARBLANC (IP SUN)</v>
      </c>
      <c r="Q337" s="254">
        <v>0.28999999999999998</v>
      </c>
      <c r="R337" s="1228" t="str">
        <f t="shared" si="91"/>
        <v>215</v>
      </c>
      <c r="S337" s="2625">
        <f t="shared" si="89"/>
        <v>0</v>
      </c>
      <c r="T337" s="2747">
        <f>IF(L337&gt;0,IF(input!$B$2=$O$1,(((L337+Y337/22)+(L337+Y337/22)*$AG337+$X337)*$P$11+$M$7)/1000,(((L337+Y337/22)+(L337+Y337/22)*O337+(L337+Y337/22)*$AG337+$X337)*$P$11+$M$7)/1000),0)</f>
        <v>0</v>
      </c>
      <c r="U337" s="2747">
        <f t="shared" si="90"/>
        <v>0</v>
      </c>
      <c r="V337" s="1229"/>
      <c r="W337" s="1231" t="str">
        <f t="shared" si="78"/>
        <v>CFR</v>
      </c>
      <c r="X337" s="1230">
        <f t="shared" ref="X337:X400" si="94">IF(L337&gt;0,IF(OR(W337="CFR",W337="CRF",W337="CNF",W337="CPT"),1.1*$M$8*(L337+N337),IF(W337="FOB",1.1*$M$8*(L337+N337+Y337/22),0)),0)</f>
        <v>0</v>
      </c>
      <c r="Y337" s="2625">
        <f t="shared" si="83"/>
        <v>0</v>
      </c>
      <c r="Z337" s="3208">
        <f t="shared" si="92"/>
        <v>838.18181818181813</v>
      </c>
      <c r="AA337" s="1220" t="s">
        <v>2821</v>
      </c>
      <c r="AB337" s="1220" t="s">
        <v>1395</v>
      </c>
      <c r="AC337" s="251" t="str">
        <f t="shared" si="93"/>
        <v>215gsm IVORY STARBLANC (IP SUN)</v>
      </c>
      <c r="AD337" s="2746">
        <f>IF(L337&gt;0,IF(input!$B$2=$O$1,(((M337)+(M337)*$M$10)*$P$11)/1000,(((M337)+(M337)*O337+(M337)*$M$10)*$P$11)/1000),0)</f>
        <v>0</v>
      </c>
      <c r="AE337" s="2746">
        <f>IF(L337&gt;0,IF(input!$B$2=$O$1,(((N337)+(N337)*$M$10)*$P$11)/1000,(((N337)+(N337)*O337+(N337)*$M$10)*$P$11)/1000),0)</f>
        <v>0</v>
      </c>
      <c r="AF337" s="136" t="str">
        <f t="shared" si="84"/>
        <v>FSC</v>
      </c>
      <c r="AG337" s="2628">
        <f t="shared" si="85"/>
        <v>1.2E-2</v>
      </c>
      <c r="AH337" s="1266">
        <v>0.1</v>
      </c>
    </row>
    <row r="338" spans="1:34" ht="12.75">
      <c r="A338" s="2199">
        <f t="shared" si="87"/>
        <v>326</v>
      </c>
      <c r="B338" s="2200" t="s">
        <v>2472</v>
      </c>
      <c r="C338" s="2743">
        <v>0</v>
      </c>
      <c r="D338" s="2743">
        <v>0</v>
      </c>
      <c r="E338" s="2949">
        <v>0.1</v>
      </c>
      <c r="F338" s="2200">
        <v>20</v>
      </c>
      <c r="G338" s="2200" t="s">
        <v>2038</v>
      </c>
      <c r="H338" s="2200" t="s">
        <v>1059</v>
      </c>
      <c r="I338" s="2742">
        <v>20</v>
      </c>
      <c r="J338" s="2742"/>
      <c r="K338" s="2752">
        <v>45</v>
      </c>
      <c r="L338" s="2745">
        <f t="shared" si="88"/>
        <v>0</v>
      </c>
      <c r="M338" s="2745">
        <f t="shared" si="79"/>
        <v>20</v>
      </c>
      <c r="N338" s="2745">
        <f t="shared" si="80"/>
        <v>20</v>
      </c>
      <c r="O338" s="1232">
        <f t="shared" si="81"/>
        <v>0.1</v>
      </c>
      <c r="P338" s="1227" t="str">
        <f t="shared" si="86"/>
        <v>220gsm IVORY STARBLANC (IP SUN)</v>
      </c>
      <c r="Q338" s="254">
        <v>0.30499999999999999</v>
      </c>
      <c r="R338" s="1228" t="str">
        <f t="shared" si="91"/>
        <v>220</v>
      </c>
      <c r="S338" s="2625">
        <f t="shared" si="89"/>
        <v>0</v>
      </c>
      <c r="T338" s="2747">
        <f>IF(L338&gt;0,IF(input!$B$2=$O$1,(((L338+Y338/22)+(L338+Y338/22)*$AG338+$X338)*$P$11+$M$7)/1000,(((L338+Y338/22)+(L338+Y338/22)*O338+(L338+Y338/22)*$AG338+$X338)*$P$11+$M$7)/1000),0)</f>
        <v>0</v>
      </c>
      <c r="U338" s="2747">
        <f t="shared" si="90"/>
        <v>0</v>
      </c>
      <c r="V338" s="1229"/>
      <c r="W338" s="1231" t="str">
        <f t="shared" si="78"/>
        <v>CFR</v>
      </c>
      <c r="X338" s="1230">
        <f t="shared" si="94"/>
        <v>0</v>
      </c>
      <c r="Y338" s="2625">
        <f t="shared" si="83"/>
        <v>0</v>
      </c>
      <c r="Z338" s="3208">
        <f t="shared" si="92"/>
        <v>838.18181818181813</v>
      </c>
      <c r="AA338" s="1220" t="s">
        <v>2821</v>
      </c>
      <c r="AB338" s="1220" t="s">
        <v>1395</v>
      </c>
      <c r="AC338" s="251" t="str">
        <f t="shared" si="93"/>
        <v>220gsm IVORY STARBLANC (IP SUN)</v>
      </c>
      <c r="AD338" s="2746">
        <f>IF(L338&gt;0,IF(input!$B$2=$O$1,(((M338)+(M338)*$M$10)*$P$11)/1000,(((M338)+(M338)*O338+(M338)*$M$10)*$P$11)/1000),0)</f>
        <v>0</v>
      </c>
      <c r="AE338" s="2746">
        <f>IF(L338&gt;0,IF(input!$B$2=$O$1,(((N338)+(N338)*$M$10)*$P$11)/1000,(((N338)+(N338)*O338+(N338)*$M$10)*$P$11)/1000),0)</f>
        <v>0</v>
      </c>
      <c r="AF338" s="136" t="str">
        <f t="shared" si="84"/>
        <v>FSC</v>
      </c>
      <c r="AG338" s="2628">
        <f t="shared" si="85"/>
        <v>1.2E-2</v>
      </c>
      <c r="AH338" s="1266">
        <v>0.1</v>
      </c>
    </row>
    <row r="339" spans="1:34" ht="12.75">
      <c r="A339" s="2199">
        <f t="shared" si="87"/>
        <v>327</v>
      </c>
      <c r="B339" s="2200" t="s">
        <v>2473</v>
      </c>
      <c r="C339" s="2743">
        <v>0</v>
      </c>
      <c r="D339" s="2743">
        <v>0</v>
      </c>
      <c r="E339" s="2949">
        <v>0.1</v>
      </c>
      <c r="F339" s="2200">
        <v>20</v>
      </c>
      <c r="G339" s="2200" t="s">
        <v>2038</v>
      </c>
      <c r="H339" s="2200" t="s">
        <v>1059</v>
      </c>
      <c r="I339" s="2742">
        <v>20</v>
      </c>
      <c r="J339" s="2742"/>
      <c r="K339" s="2752">
        <v>45</v>
      </c>
      <c r="L339" s="2745">
        <f t="shared" si="88"/>
        <v>0</v>
      </c>
      <c r="M339" s="2745">
        <f t="shared" si="79"/>
        <v>20</v>
      </c>
      <c r="N339" s="2745">
        <f t="shared" si="80"/>
        <v>20</v>
      </c>
      <c r="O339" s="1232">
        <f t="shared" si="81"/>
        <v>0.1</v>
      </c>
      <c r="P339" s="1227" t="str">
        <f t="shared" si="86"/>
        <v>225gsm IVORY STARBLANC (IP SUN)</v>
      </c>
      <c r="Q339" s="254">
        <v>0.315</v>
      </c>
      <c r="R339" s="1228" t="str">
        <f t="shared" si="91"/>
        <v>225</v>
      </c>
      <c r="S339" s="2625">
        <f t="shared" si="89"/>
        <v>0</v>
      </c>
      <c r="T339" s="2747">
        <f>IF(L339&gt;0,IF(input!$B$2=$O$1,(((L339+Y339/22)+(L339+Y339/22)*$AG339+$X339)*$P$11+$M$7)/1000,(((L339+Y339/22)+(L339+Y339/22)*O339+(L339+Y339/22)*$AG339+$X339)*$P$11+$M$7)/1000),0)</f>
        <v>0</v>
      </c>
      <c r="U339" s="2747">
        <f t="shared" si="90"/>
        <v>0</v>
      </c>
      <c r="V339" s="1229"/>
      <c r="W339" s="1231" t="str">
        <f t="shared" si="78"/>
        <v>CFR</v>
      </c>
      <c r="X339" s="1230">
        <f t="shared" si="94"/>
        <v>0</v>
      </c>
      <c r="Y339" s="2625">
        <f t="shared" si="83"/>
        <v>0</v>
      </c>
      <c r="Z339" s="3208">
        <f t="shared" si="92"/>
        <v>838.18181818181813</v>
      </c>
      <c r="AA339" s="1220" t="s">
        <v>2821</v>
      </c>
      <c r="AB339" s="1220" t="s">
        <v>1395</v>
      </c>
      <c r="AC339" s="251" t="str">
        <f t="shared" si="93"/>
        <v>225gsm IVORY STARBLANC (IP SUN)</v>
      </c>
      <c r="AD339" s="2746">
        <f>IF(L339&gt;0,IF(input!$B$2=$O$1,(((M339)+(M339)*$M$10)*$P$11)/1000,(((M339)+(M339)*O339+(M339)*$M$10)*$P$11)/1000),0)</f>
        <v>0</v>
      </c>
      <c r="AE339" s="2746">
        <f>IF(L339&gt;0,IF(input!$B$2=$O$1,(((N339)+(N339)*$M$10)*$P$11)/1000,(((N339)+(N339)*O339+(N339)*$M$10)*$P$11)/1000),0)</f>
        <v>0</v>
      </c>
      <c r="AF339" s="136" t="str">
        <f t="shared" si="84"/>
        <v>FSC</v>
      </c>
      <c r="AG339" s="2628">
        <f t="shared" si="85"/>
        <v>1.2E-2</v>
      </c>
      <c r="AH339" s="1266">
        <v>0.1</v>
      </c>
    </row>
    <row r="340" spans="1:34" ht="12.75">
      <c r="A340" s="2199">
        <f t="shared" si="87"/>
        <v>328</v>
      </c>
      <c r="B340" s="2200" t="s">
        <v>2474</v>
      </c>
      <c r="C340" s="2743">
        <v>0</v>
      </c>
      <c r="D340" s="2743">
        <v>0</v>
      </c>
      <c r="E340" s="2949">
        <v>0.1</v>
      </c>
      <c r="F340" s="2200">
        <v>20</v>
      </c>
      <c r="G340" s="2200" t="s">
        <v>2038</v>
      </c>
      <c r="H340" s="2200" t="s">
        <v>1059</v>
      </c>
      <c r="I340" s="2742">
        <v>20</v>
      </c>
      <c r="J340" s="2742"/>
      <c r="K340" s="2752">
        <v>45</v>
      </c>
      <c r="L340" s="2745">
        <f t="shared" si="88"/>
        <v>0</v>
      </c>
      <c r="M340" s="2745">
        <f t="shared" si="79"/>
        <v>20</v>
      </c>
      <c r="N340" s="2745">
        <f t="shared" si="80"/>
        <v>20</v>
      </c>
      <c r="O340" s="1232">
        <f t="shared" si="81"/>
        <v>0.1</v>
      </c>
      <c r="P340" s="1227" t="str">
        <f t="shared" si="86"/>
        <v>230gsm IVORY STARBLANC (IP SUN)</v>
      </c>
      <c r="Q340" s="254">
        <v>0.32</v>
      </c>
      <c r="R340" s="1228" t="str">
        <f t="shared" si="91"/>
        <v>230</v>
      </c>
      <c r="S340" s="2625">
        <f t="shared" si="89"/>
        <v>0</v>
      </c>
      <c r="T340" s="2747">
        <f>IF(L340&gt;0,IF(input!$B$2=$O$1,(((L340+Y340/22)+(L340+Y340/22)*$AG340+$X340)*$P$11+$M$7)/1000,(((L340+Y340/22)+(L340+Y340/22)*O340+(L340+Y340/22)*$AG340+$X340)*$P$11+$M$7)/1000),0)</f>
        <v>0</v>
      </c>
      <c r="U340" s="2747">
        <f t="shared" si="90"/>
        <v>0</v>
      </c>
      <c r="V340" s="1229"/>
      <c r="W340" s="1231" t="str">
        <f t="shared" si="78"/>
        <v>CFR</v>
      </c>
      <c r="X340" s="1230">
        <f t="shared" si="94"/>
        <v>0</v>
      </c>
      <c r="Y340" s="2625">
        <f t="shared" si="83"/>
        <v>0</v>
      </c>
      <c r="Z340" s="3208">
        <f t="shared" si="92"/>
        <v>838.18181818181813</v>
      </c>
      <c r="AA340" s="1220" t="s">
        <v>2821</v>
      </c>
      <c r="AB340" s="1220" t="s">
        <v>1395</v>
      </c>
      <c r="AC340" s="251" t="str">
        <f t="shared" si="93"/>
        <v>230gsm IVORY STARBLANC (IP SUN)</v>
      </c>
      <c r="AD340" s="2746">
        <f>IF(L340&gt;0,IF(input!$B$2=$O$1,(((M340)+(M340)*$M$10)*$P$11)/1000,(((M340)+(M340)*O340+(M340)*$M$10)*$P$11)/1000),0)</f>
        <v>0</v>
      </c>
      <c r="AE340" s="2746">
        <f>IF(L340&gt;0,IF(input!$B$2=$O$1,(((N340)+(N340)*$M$10)*$P$11)/1000,(((N340)+(N340)*O340+(N340)*$M$10)*$P$11)/1000),0)</f>
        <v>0</v>
      </c>
      <c r="AF340" s="136" t="str">
        <f t="shared" si="84"/>
        <v>FSC</v>
      </c>
      <c r="AG340" s="2628">
        <f t="shared" si="85"/>
        <v>1.2E-2</v>
      </c>
      <c r="AH340" s="1266">
        <v>0.1</v>
      </c>
    </row>
    <row r="341" spans="1:34" ht="12.75">
      <c r="A341" s="2199">
        <f t="shared" si="87"/>
        <v>329</v>
      </c>
      <c r="B341" s="2200" t="s">
        <v>2475</v>
      </c>
      <c r="C341" s="2743">
        <v>0</v>
      </c>
      <c r="D341" s="2743">
        <v>0</v>
      </c>
      <c r="E341" s="2949">
        <v>0.1</v>
      </c>
      <c r="F341" s="2200">
        <v>20</v>
      </c>
      <c r="G341" s="2200" t="s">
        <v>2038</v>
      </c>
      <c r="H341" s="2200" t="s">
        <v>1059</v>
      </c>
      <c r="I341" s="2742">
        <v>20</v>
      </c>
      <c r="J341" s="2742"/>
      <c r="K341" s="2752">
        <v>45</v>
      </c>
      <c r="L341" s="2745">
        <f t="shared" si="88"/>
        <v>0</v>
      </c>
      <c r="M341" s="2745">
        <f t="shared" si="79"/>
        <v>20</v>
      </c>
      <c r="N341" s="2745">
        <f t="shared" si="80"/>
        <v>20</v>
      </c>
      <c r="O341" s="1232">
        <f t="shared" si="81"/>
        <v>0.1</v>
      </c>
      <c r="P341" s="1227" t="str">
        <f t="shared" si="86"/>
        <v>245gsm IVORY STARBLANC (IP SUN)</v>
      </c>
      <c r="Q341" s="254">
        <v>0.33500000000000002</v>
      </c>
      <c r="R341" s="1228" t="str">
        <f t="shared" si="91"/>
        <v>245</v>
      </c>
      <c r="S341" s="2625">
        <f t="shared" si="89"/>
        <v>0</v>
      </c>
      <c r="T341" s="2747">
        <f>IF(L341&gt;0,IF(input!$B$2=$O$1,(((L341+Y341/22)+(L341+Y341/22)*$AG341+$X341)*$P$11+$M$7)/1000,(((L341+Y341/22)+(L341+Y341/22)*O341+(L341+Y341/22)*$AG341+$X341)*$P$11+$M$7)/1000),0)</f>
        <v>0</v>
      </c>
      <c r="U341" s="2747">
        <f t="shared" si="90"/>
        <v>0</v>
      </c>
      <c r="V341" s="1229"/>
      <c r="W341" s="1231" t="str">
        <f t="shared" si="78"/>
        <v>CFR</v>
      </c>
      <c r="X341" s="1230">
        <f t="shared" si="94"/>
        <v>0</v>
      </c>
      <c r="Y341" s="2625">
        <f t="shared" si="83"/>
        <v>0</v>
      </c>
      <c r="Z341" s="3208">
        <f t="shared" si="92"/>
        <v>838.18181818181813</v>
      </c>
      <c r="AA341" s="1220" t="s">
        <v>2821</v>
      </c>
      <c r="AB341" s="1220" t="s">
        <v>1395</v>
      </c>
      <c r="AC341" s="251" t="str">
        <f t="shared" si="93"/>
        <v>245gsm IVORY STARBLANC (IP SUN)</v>
      </c>
      <c r="AD341" s="2746">
        <f>IF(L341&gt;0,IF(input!$B$2=$O$1,(((M341)+(M341)*$M$10)*$P$11)/1000,(((M341)+(M341)*O341+(M341)*$M$10)*$P$11)/1000),0)</f>
        <v>0</v>
      </c>
      <c r="AE341" s="2746">
        <f>IF(L341&gt;0,IF(input!$B$2=$O$1,(((N341)+(N341)*$M$10)*$P$11)/1000,(((N341)+(N341)*O341+(N341)*$M$10)*$P$11)/1000),0)</f>
        <v>0</v>
      </c>
      <c r="AF341" s="136" t="str">
        <f t="shared" si="84"/>
        <v>FSC</v>
      </c>
      <c r="AG341" s="2628">
        <f t="shared" si="85"/>
        <v>1.2E-2</v>
      </c>
      <c r="AH341" s="1266">
        <v>0.1</v>
      </c>
    </row>
    <row r="342" spans="1:34" ht="12.75">
      <c r="A342" s="2199">
        <f t="shared" si="87"/>
        <v>330</v>
      </c>
      <c r="B342" s="2200" t="s">
        <v>2476</v>
      </c>
      <c r="C342" s="2743">
        <v>0</v>
      </c>
      <c r="D342" s="2743">
        <v>0</v>
      </c>
      <c r="E342" s="2949">
        <v>0.1</v>
      </c>
      <c r="F342" s="2200">
        <v>20</v>
      </c>
      <c r="G342" s="2200" t="s">
        <v>2038</v>
      </c>
      <c r="H342" s="2200" t="s">
        <v>1059</v>
      </c>
      <c r="I342" s="2742">
        <v>20</v>
      </c>
      <c r="J342" s="2742"/>
      <c r="K342" s="2752">
        <v>45</v>
      </c>
      <c r="L342" s="2745">
        <f t="shared" si="88"/>
        <v>0</v>
      </c>
      <c r="M342" s="2745">
        <f t="shared" si="79"/>
        <v>20</v>
      </c>
      <c r="N342" s="2745">
        <f t="shared" si="80"/>
        <v>20</v>
      </c>
      <c r="O342" s="1232">
        <f t="shared" si="81"/>
        <v>0.1</v>
      </c>
      <c r="P342" s="1227" t="str">
        <f t="shared" si="86"/>
        <v>250gsm IVORY STARBLANC (IP SUN)</v>
      </c>
      <c r="Q342" s="254">
        <v>0.34</v>
      </c>
      <c r="R342" s="1228" t="str">
        <f t="shared" si="91"/>
        <v>250</v>
      </c>
      <c r="S342" s="2625">
        <f t="shared" si="89"/>
        <v>0</v>
      </c>
      <c r="T342" s="2747">
        <f>IF(L342&gt;0,IF(input!$B$2=$O$1,(((L342+Y342/22)+(L342+Y342/22)*$AG342+$X342)*$P$11+$M$7)/1000,(((L342+Y342/22)+(L342+Y342/22)*O342+(L342+Y342/22)*$AG342+$X342)*$P$11+$M$7)/1000),0)</f>
        <v>0</v>
      </c>
      <c r="U342" s="2747">
        <f t="shared" si="90"/>
        <v>0</v>
      </c>
      <c r="V342" s="1229"/>
      <c r="W342" s="1231" t="str">
        <f t="shared" si="78"/>
        <v>CFR</v>
      </c>
      <c r="X342" s="1230">
        <f t="shared" si="94"/>
        <v>0</v>
      </c>
      <c r="Y342" s="2625">
        <f t="shared" si="83"/>
        <v>0</v>
      </c>
      <c r="Z342" s="3208">
        <f t="shared" si="92"/>
        <v>838.18181818181813</v>
      </c>
      <c r="AA342" s="1220" t="s">
        <v>2821</v>
      </c>
      <c r="AB342" s="1220" t="s">
        <v>1395</v>
      </c>
      <c r="AC342" s="251" t="str">
        <f t="shared" si="93"/>
        <v>250gsm IVORY STARBLANC (IP SUN)</v>
      </c>
      <c r="AD342" s="2746">
        <f>IF(L342&gt;0,IF(input!$B$2=$O$1,(((M342)+(M342)*$M$10)*$P$11)/1000,(((M342)+(M342)*O342+(M342)*$M$10)*$P$11)/1000),0)</f>
        <v>0</v>
      </c>
      <c r="AE342" s="2746">
        <f>IF(L342&gt;0,IF(input!$B$2=$O$1,(((N342)+(N342)*$M$10)*$P$11)/1000,(((N342)+(N342)*O342+(N342)*$M$10)*$P$11)/1000),0)</f>
        <v>0</v>
      </c>
      <c r="AF342" s="136" t="str">
        <f t="shared" si="84"/>
        <v>FSC</v>
      </c>
      <c r="AG342" s="2628">
        <f t="shared" si="85"/>
        <v>1.2E-2</v>
      </c>
      <c r="AH342" s="1266">
        <v>0.1</v>
      </c>
    </row>
    <row r="343" spans="1:34" ht="12.75">
      <c r="A343" s="2199">
        <f t="shared" si="87"/>
        <v>331</v>
      </c>
      <c r="B343" s="2200" t="s">
        <v>2477</v>
      </c>
      <c r="C343" s="2743">
        <v>0</v>
      </c>
      <c r="D343" s="2743">
        <v>0</v>
      </c>
      <c r="E343" s="2949">
        <v>0.1</v>
      </c>
      <c r="F343" s="2200">
        <v>20</v>
      </c>
      <c r="G343" s="2200" t="s">
        <v>2038</v>
      </c>
      <c r="H343" s="2200" t="s">
        <v>1059</v>
      </c>
      <c r="I343" s="2742">
        <v>20</v>
      </c>
      <c r="J343" s="2742"/>
      <c r="K343" s="2752">
        <v>45</v>
      </c>
      <c r="L343" s="2745">
        <f t="shared" si="88"/>
        <v>0</v>
      </c>
      <c r="M343" s="2745">
        <f t="shared" si="79"/>
        <v>20</v>
      </c>
      <c r="N343" s="2745">
        <f t="shared" si="80"/>
        <v>20</v>
      </c>
      <c r="O343" s="1232">
        <f t="shared" si="81"/>
        <v>0.1</v>
      </c>
      <c r="P343" s="1227" t="str">
        <f t="shared" si="86"/>
        <v>285gsm IVORY STARBLANC (IP SUN)</v>
      </c>
      <c r="Q343" s="254">
        <v>0.39</v>
      </c>
      <c r="R343" s="1228" t="str">
        <f t="shared" si="91"/>
        <v>285</v>
      </c>
      <c r="S343" s="2625">
        <f t="shared" si="89"/>
        <v>0</v>
      </c>
      <c r="T343" s="2747">
        <f>IF(L343&gt;0,IF(input!$B$2=$O$1,(((L343+Y343/22)+(L343+Y343/22)*$AG343+$X343)*$P$11+$M$7)/1000,(((L343+Y343/22)+(L343+Y343/22)*O343+(L343+Y343/22)*$AG343+$X343)*$P$11+$M$7)/1000),0)</f>
        <v>0</v>
      </c>
      <c r="U343" s="2747">
        <f t="shared" si="90"/>
        <v>0</v>
      </c>
      <c r="V343" s="1229"/>
      <c r="W343" s="1231" t="str">
        <f t="shared" ref="W343:W406" si="95">H343</f>
        <v>CFR</v>
      </c>
      <c r="X343" s="1230">
        <f t="shared" si="94"/>
        <v>0</v>
      </c>
      <c r="Y343" s="2625">
        <f t="shared" si="83"/>
        <v>0</v>
      </c>
      <c r="Z343" s="3208">
        <f t="shared" si="92"/>
        <v>838.18181818181813</v>
      </c>
      <c r="AA343" s="1220" t="s">
        <v>2821</v>
      </c>
      <c r="AB343" s="1220" t="s">
        <v>1395</v>
      </c>
      <c r="AC343" s="251" t="str">
        <f t="shared" si="93"/>
        <v>285gsm IVORY STARBLANC (IP SUN)</v>
      </c>
      <c r="AD343" s="2746">
        <f>IF(L343&gt;0,IF(input!$B$2=$O$1,(((M343)+(M343)*$M$10)*$P$11)/1000,(((M343)+(M343)*O343+(M343)*$M$10)*$P$11)/1000),0)</f>
        <v>0</v>
      </c>
      <c r="AE343" s="2746">
        <f>IF(L343&gt;0,IF(input!$B$2=$O$1,(((N343)+(N343)*$M$10)*$P$11)/1000,(((N343)+(N343)*O343+(N343)*$M$10)*$P$11)/1000),0)</f>
        <v>0</v>
      </c>
      <c r="AF343" s="136" t="str">
        <f t="shared" si="84"/>
        <v>FSC</v>
      </c>
      <c r="AG343" s="2628">
        <f t="shared" si="85"/>
        <v>1.2E-2</v>
      </c>
      <c r="AH343" s="1266">
        <v>0.1</v>
      </c>
    </row>
    <row r="344" spans="1:34" ht="12.75">
      <c r="A344" s="2199">
        <f t="shared" si="87"/>
        <v>332</v>
      </c>
      <c r="B344" s="2200" t="s">
        <v>2478</v>
      </c>
      <c r="C344" s="2743">
        <v>0</v>
      </c>
      <c r="D344" s="2743">
        <v>0</v>
      </c>
      <c r="E344" s="2949">
        <v>0.1</v>
      </c>
      <c r="F344" s="2200">
        <v>20</v>
      </c>
      <c r="G344" s="2200" t="s">
        <v>2038</v>
      </c>
      <c r="H344" s="2200" t="s">
        <v>1059</v>
      </c>
      <c r="I344" s="2742">
        <v>20</v>
      </c>
      <c r="J344" s="2742"/>
      <c r="K344" s="2752">
        <v>45</v>
      </c>
      <c r="L344" s="2745">
        <f t="shared" si="88"/>
        <v>0</v>
      </c>
      <c r="M344" s="2745">
        <f t="shared" ref="M344:M407" si="96">I344</f>
        <v>20</v>
      </c>
      <c r="N344" s="2745">
        <f t="shared" ref="N344:N407" si="97">$F344</f>
        <v>20</v>
      </c>
      <c r="O344" s="1232">
        <f t="shared" ref="O344:O407" si="98">$E344</f>
        <v>0.1</v>
      </c>
      <c r="P344" s="1227" t="str">
        <f t="shared" si="86"/>
        <v>300gsm IVORY STARBLANC (IP SUN)</v>
      </c>
      <c r="Q344" s="254">
        <v>0.42</v>
      </c>
      <c r="R344" s="1228" t="str">
        <f t="shared" si="91"/>
        <v>300</v>
      </c>
      <c r="S344" s="2625">
        <f t="shared" si="89"/>
        <v>0</v>
      </c>
      <c r="T344" s="2747">
        <f>IF(L344&gt;0,IF(input!$B$2=$O$1,(((L344+Y344/22)+(L344+Y344/22)*$AG344+$X344)*$P$11+$M$7)/1000,(((L344+Y344/22)+(L344+Y344/22)*O344+(L344+Y344/22)*$AG344+$X344)*$P$11+$M$7)/1000),0)</f>
        <v>0</v>
      </c>
      <c r="U344" s="2747">
        <f t="shared" si="90"/>
        <v>0</v>
      </c>
      <c r="V344" s="1229"/>
      <c r="W344" s="1231" t="str">
        <f t="shared" si="95"/>
        <v>CFR</v>
      </c>
      <c r="X344" s="1230">
        <f t="shared" si="94"/>
        <v>0</v>
      </c>
      <c r="Y344" s="2625">
        <f t="shared" si="83"/>
        <v>0</v>
      </c>
      <c r="Z344" s="3208">
        <f t="shared" si="92"/>
        <v>838.18181818181813</v>
      </c>
      <c r="AA344" s="1220" t="s">
        <v>2821</v>
      </c>
      <c r="AB344" s="1220" t="s">
        <v>1395</v>
      </c>
      <c r="AC344" s="251" t="str">
        <f t="shared" si="93"/>
        <v>300gsm IVORY STARBLANC (IP SUN)</v>
      </c>
      <c r="AD344" s="2746">
        <f>IF(L344&gt;0,IF(input!$B$2=$O$1,(((M344)+(M344)*$M$10)*$P$11)/1000,(((M344)+(M344)*O344+(M344)*$M$10)*$P$11)/1000),0)</f>
        <v>0</v>
      </c>
      <c r="AE344" s="2746">
        <f>IF(L344&gt;0,IF(input!$B$2=$O$1,(((N344)+(N344)*$M$10)*$P$11)/1000,(((N344)+(N344)*O344+(N344)*$M$10)*$P$11)/1000),0)</f>
        <v>0</v>
      </c>
      <c r="AF344" s="136" t="str">
        <f t="shared" si="84"/>
        <v>FSC</v>
      </c>
      <c r="AG344" s="2628">
        <f t="shared" si="85"/>
        <v>1.2E-2</v>
      </c>
      <c r="AH344" s="1266">
        <v>0.1</v>
      </c>
    </row>
    <row r="345" spans="1:34" ht="12.75">
      <c r="A345" s="2199">
        <f t="shared" si="87"/>
        <v>333</v>
      </c>
      <c r="B345" s="2200" t="s">
        <v>2479</v>
      </c>
      <c r="C345" s="2743">
        <v>0</v>
      </c>
      <c r="D345" s="2743">
        <v>0</v>
      </c>
      <c r="E345" s="2949">
        <v>0.1</v>
      </c>
      <c r="F345" s="2200">
        <v>20</v>
      </c>
      <c r="G345" s="2200" t="s">
        <v>2038</v>
      </c>
      <c r="H345" s="2200" t="s">
        <v>1059</v>
      </c>
      <c r="I345" s="2742">
        <v>20</v>
      </c>
      <c r="J345" s="2742"/>
      <c r="K345" s="2752">
        <v>45</v>
      </c>
      <c r="L345" s="2745">
        <f t="shared" si="88"/>
        <v>0</v>
      </c>
      <c r="M345" s="2745">
        <f t="shared" si="96"/>
        <v>20</v>
      </c>
      <c r="N345" s="2745">
        <f t="shared" si="97"/>
        <v>20</v>
      </c>
      <c r="O345" s="1232">
        <f t="shared" si="98"/>
        <v>0.1</v>
      </c>
      <c r="P345" s="1227" t="str">
        <f t="shared" si="86"/>
        <v>350gsm IVORY STARBLANC (IP SUN)</v>
      </c>
      <c r="Q345" s="254">
        <v>0.48</v>
      </c>
      <c r="R345" s="1228" t="str">
        <f t="shared" si="91"/>
        <v>350</v>
      </c>
      <c r="S345" s="2625">
        <f t="shared" si="89"/>
        <v>0</v>
      </c>
      <c r="T345" s="2747">
        <f>IF(L345&gt;0,IF(input!$B$2=$O$1,(((L345+Y345/22)+(L345+Y345/22)*$AG345+$X345)*$P$11+$M$7)/1000,(((L345+Y345/22)+(L345+Y345/22)*O345+(L345+Y345/22)*$AG345+$X345)*$P$11+$M$7)/1000),0)</f>
        <v>0</v>
      </c>
      <c r="U345" s="2747">
        <f t="shared" si="90"/>
        <v>0</v>
      </c>
      <c r="V345" s="1229"/>
      <c r="W345" s="1231" t="str">
        <f t="shared" si="95"/>
        <v>CFR</v>
      </c>
      <c r="X345" s="1230">
        <f t="shared" si="94"/>
        <v>0</v>
      </c>
      <c r="Y345" s="2625">
        <f t="shared" ref="Y345:Y408" si="99">J345</f>
        <v>0</v>
      </c>
      <c r="Z345" s="3208">
        <f t="shared" si="92"/>
        <v>838.18181818181813</v>
      </c>
      <c r="AA345" s="1220" t="s">
        <v>2821</v>
      </c>
      <c r="AB345" s="1220" t="s">
        <v>1395</v>
      </c>
      <c r="AC345" s="251" t="str">
        <f t="shared" si="93"/>
        <v>350gsm IVORY STARBLANC (IP SUN)</v>
      </c>
      <c r="AD345" s="2746">
        <f>IF(L345&gt;0,IF(input!$B$2=$O$1,(((M345)+(M345)*$M$10)*$P$11)/1000,(((M345)+(M345)*O345+(M345)*$M$10)*$P$11)/1000),0)</f>
        <v>0</v>
      </c>
      <c r="AE345" s="2746">
        <f>IF(L345&gt;0,IF(input!$B$2=$O$1,(((N345)+(N345)*$M$10)*$P$11)/1000,(((N345)+(N345)*O345+(N345)*$M$10)*$P$11)/1000),0)</f>
        <v>0</v>
      </c>
      <c r="AF345" s="136" t="str">
        <f t="shared" ref="AF345:AF408" si="100">G345</f>
        <v>FSC</v>
      </c>
      <c r="AG345" s="2628">
        <f t="shared" ref="AG345:AG408" si="101">K345*$M$10/30</f>
        <v>1.2E-2</v>
      </c>
      <c r="AH345" s="1266">
        <v>0.1</v>
      </c>
    </row>
    <row r="346" spans="1:34" ht="12.75">
      <c r="A346" s="2199">
        <f t="shared" si="87"/>
        <v>334</v>
      </c>
      <c r="B346" s="2200" t="s">
        <v>2480</v>
      </c>
      <c r="C346" s="2743">
        <v>0</v>
      </c>
      <c r="D346" s="2743">
        <v>0</v>
      </c>
      <c r="E346" s="2949">
        <v>0.1</v>
      </c>
      <c r="F346" s="2200">
        <v>20</v>
      </c>
      <c r="G346" s="2200" t="s">
        <v>2038</v>
      </c>
      <c r="H346" s="2200" t="s">
        <v>1059</v>
      </c>
      <c r="I346" s="2742">
        <v>20</v>
      </c>
      <c r="J346" s="2742"/>
      <c r="K346" s="2752">
        <v>45</v>
      </c>
      <c r="L346" s="2745">
        <f t="shared" si="88"/>
        <v>0</v>
      </c>
      <c r="M346" s="2745">
        <f t="shared" si="96"/>
        <v>20</v>
      </c>
      <c r="N346" s="2745">
        <f t="shared" si="97"/>
        <v>20</v>
      </c>
      <c r="O346" s="1232">
        <f t="shared" si="98"/>
        <v>0.1</v>
      </c>
      <c r="P346" s="1227" t="str">
        <f t="shared" si="86"/>
        <v>400gsm IVORY STARBLANC (IP SUN)</v>
      </c>
      <c r="Q346" s="254">
        <v>0.55500000000000005</v>
      </c>
      <c r="R346" s="1228" t="str">
        <f t="shared" si="91"/>
        <v>400</v>
      </c>
      <c r="S346" s="2625">
        <f t="shared" si="89"/>
        <v>0</v>
      </c>
      <c r="T346" s="2747">
        <f>IF(L346&gt;0,IF(input!$B$2=$O$1,(((L346+Y346/22)+(L346+Y346/22)*$AG346+$X346)*$P$11+$M$7)/1000,(((L346+Y346/22)+(L346+Y346/22)*O346+(L346+Y346/22)*$AG346+$X346)*$P$11+$M$7)/1000),0)</f>
        <v>0</v>
      </c>
      <c r="U346" s="2747">
        <f t="shared" si="90"/>
        <v>0</v>
      </c>
      <c r="V346" s="1229"/>
      <c r="W346" s="1231" t="str">
        <f t="shared" si="95"/>
        <v>CFR</v>
      </c>
      <c r="X346" s="1230">
        <f t="shared" si="94"/>
        <v>0</v>
      </c>
      <c r="Y346" s="2625">
        <f t="shared" si="99"/>
        <v>0</v>
      </c>
      <c r="Z346" s="3208">
        <f t="shared" si="92"/>
        <v>838.18181818181813</v>
      </c>
      <c r="AA346" s="1220" t="s">
        <v>2821</v>
      </c>
      <c r="AB346" s="1220" t="s">
        <v>1395</v>
      </c>
      <c r="AC346" s="251" t="str">
        <f t="shared" si="93"/>
        <v>400gsm IVORY STARBLANC (IP SUN)</v>
      </c>
      <c r="AD346" s="2746">
        <f>IF(L346&gt;0,IF(input!$B$2=$O$1,(((M346)+(M346)*$M$10)*$P$11)/1000,(((M346)+(M346)*O346+(M346)*$M$10)*$P$11)/1000),0)</f>
        <v>0</v>
      </c>
      <c r="AE346" s="2746">
        <f>IF(L346&gt;0,IF(input!$B$2=$O$1,(((N346)+(N346)*$M$10)*$P$11)/1000,(((N346)+(N346)*O346+(N346)*$M$10)*$P$11)/1000),0)</f>
        <v>0</v>
      </c>
      <c r="AF346" s="136" t="str">
        <f t="shared" si="100"/>
        <v>FSC</v>
      </c>
      <c r="AG346" s="2628">
        <f t="shared" si="101"/>
        <v>1.2E-2</v>
      </c>
      <c r="AH346" s="1266">
        <v>0.1</v>
      </c>
    </row>
    <row r="347" spans="1:34" ht="12.75">
      <c r="A347" s="2199">
        <f t="shared" si="87"/>
        <v>335</v>
      </c>
      <c r="B347" s="2200" t="s">
        <v>2481</v>
      </c>
      <c r="C347" s="2743">
        <v>0</v>
      </c>
      <c r="D347" s="2743">
        <v>0</v>
      </c>
      <c r="E347" s="2949">
        <v>0.1</v>
      </c>
      <c r="F347" s="2200">
        <v>20</v>
      </c>
      <c r="G347" s="2200" t="s">
        <v>127</v>
      </c>
      <c r="H347" s="2200" t="s">
        <v>1057</v>
      </c>
      <c r="I347" s="2742">
        <v>0</v>
      </c>
      <c r="J347" s="2742"/>
      <c r="K347" s="2752">
        <v>45</v>
      </c>
      <c r="L347" s="2745">
        <f t="shared" si="88"/>
        <v>0</v>
      </c>
      <c r="M347" s="2745">
        <f t="shared" si="96"/>
        <v>0</v>
      </c>
      <c r="N347" s="2745">
        <f t="shared" si="97"/>
        <v>20</v>
      </c>
      <c r="O347" s="1232">
        <f t="shared" si="98"/>
        <v>0.1</v>
      </c>
      <c r="P347" s="1227" t="str">
        <f t="shared" si="86"/>
        <v>210gsm IVORY Sinarfold (C1S)</v>
      </c>
      <c r="Q347" s="254">
        <v>0.27500000000000002</v>
      </c>
      <c r="R347" s="1228" t="str">
        <f t="shared" si="91"/>
        <v>210</v>
      </c>
      <c r="S347" s="2625">
        <f t="shared" si="89"/>
        <v>0</v>
      </c>
      <c r="T347" s="2747">
        <f>IF(L347&gt;0,IF(input!$B$2=$O$1,(((L347+Y347/22)+(L347+Y347/22)*$AG347+$X347)*$P$11+$M$7)/1000,(((L347+Y347/22)+(L347+Y347/22)*O347+(L347+Y347/22)*$AG347+$X347)*$P$11+$M$7)/1000),0)</f>
        <v>0</v>
      </c>
      <c r="U347" s="2747">
        <f t="shared" si="90"/>
        <v>0</v>
      </c>
      <c r="V347" s="1229"/>
      <c r="W347" s="1231" t="str">
        <f t="shared" si="95"/>
        <v>CIF</v>
      </c>
      <c r="X347" s="1230">
        <f t="shared" si="94"/>
        <v>0</v>
      </c>
      <c r="Y347" s="2625">
        <f t="shared" si="99"/>
        <v>0</v>
      </c>
      <c r="Z347" s="3208">
        <f t="shared" si="92"/>
        <v>838.18181818181813</v>
      </c>
      <c r="AA347" s="1220" t="s">
        <v>2822</v>
      </c>
      <c r="AB347" s="1220" t="s">
        <v>1395</v>
      </c>
      <c r="AC347" s="251" t="str">
        <f t="shared" si="93"/>
        <v>210gsm IVORY Sinarfold (C1S)</v>
      </c>
      <c r="AD347" s="2746">
        <f>IF(L347&gt;0,IF(input!$B$2=$O$1,(((M347)+(M347)*$M$10)*$P$11)/1000,(((M347)+(M347)*O347+(M347)*$M$10)*$P$11)/1000),0)</f>
        <v>0</v>
      </c>
      <c r="AE347" s="2746">
        <f>IF(L347&gt;0,IF(input!$B$2=$O$1,(((N347)+(N347)*$M$10)*$P$11)/1000,(((N347)+(N347)*O347+(N347)*$M$10)*$P$11)/1000),0)</f>
        <v>0</v>
      </c>
      <c r="AF347" s="136" t="str">
        <f t="shared" si="100"/>
        <v>None</v>
      </c>
      <c r="AG347" s="2628">
        <f t="shared" si="101"/>
        <v>1.2E-2</v>
      </c>
      <c r="AH347" s="1266">
        <v>0.1</v>
      </c>
    </row>
    <row r="348" spans="1:34" ht="12.75">
      <c r="A348" s="2199">
        <f t="shared" si="87"/>
        <v>336</v>
      </c>
      <c r="B348" s="2200" t="s">
        <v>2482</v>
      </c>
      <c r="C348" s="2743">
        <v>0</v>
      </c>
      <c r="D348" s="2743">
        <v>0</v>
      </c>
      <c r="E348" s="2949">
        <v>0.1</v>
      </c>
      <c r="F348" s="2200">
        <v>20</v>
      </c>
      <c r="G348" s="2200" t="s">
        <v>127</v>
      </c>
      <c r="H348" s="2200" t="s">
        <v>1057</v>
      </c>
      <c r="I348" s="2742">
        <v>0</v>
      </c>
      <c r="J348" s="2742"/>
      <c r="K348" s="2752">
        <v>45</v>
      </c>
      <c r="L348" s="2745">
        <f t="shared" si="88"/>
        <v>0</v>
      </c>
      <c r="M348" s="2745">
        <f t="shared" si="96"/>
        <v>0</v>
      </c>
      <c r="N348" s="2745">
        <f t="shared" si="97"/>
        <v>20</v>
      </c>
      <c r="O348" s="1232">
        <f t="shared" si="98"/>
        <v>0.1</v>
      </c>
      <c r="P348" s="1227" t="str">
        <f t="shared" si="86"/>
        <v>230gsm IVORY Sinarfold (C1S)</v>
      </c>
      <c r="Q348" s="254">
        <v>0.30499999999999999</v>
      </c>
      <c r="R348" s="1228" t="str">
        <f t="shared" si="91"/>
        <v>230</v>
      </c>
      <c r="S348" s="2625">
        <f t="shared" si="89"/>
        <v>0</v>
      </c>
      <c r="T348" s="2747">
        <f>IF(L348&gt;0,IF(input!$B$2=$O$1,(((L348+Y348/22)+(L348+Y348/22)*$AG348+$X348)*$P$11+$M$7)/1000,(((L348+Y348/22)+(L348+Y348/22)*O348+(L348+Y348/22)*$AG348+$X348)*$P$11+$M$7)/1000),0)</f>
        <v>0</v>
      </c>
      <c r="U348" s="2747">
        <f t="shared" si="90"/>
        <v>0</v>
      </c>
      <c r="V348" s="1229"/>
      <c r="W348" s="1231" t="str">
        <f t="shared" si="95"/>
        <v>CIF</v>
      </c>
      <c r="X348" s="1230">
        <f t="shared" si="94"/>
        <v>0</v>
      </c>
      <c r="Y348" s="2625">
        <f t="shared" si="99"/>
        <v>0</v>
      </c>
      <c r="Z348" s="3208">
        <f t="shared" si="92"/>
        <v>838.18181818181813</v>
      </c>
      <c r="AA348" s="1220" t="s">
        <v>2822</v>
      </c>
      <c r="AB348" s="1220" t="s">
        <v>1395</v>
      </c>
      <c r="AC348" s="251" t="str">
        <f t="shared" si="93"/>
        <v>230gsm IVORY Sinarfold (C1S)</v>
      </c>
      <c r="AD348" s="2746">
        <f>IF(L348&gt;0,IF(input!$B$2=$O$1,(((M348)+(M348)*$M$10)*$P$11)/1000,(((M348)+(M348)*O348+(M348)*$M$10)*$P$11)/1000),0)</f>
        <v>0</v>
      </c>
      <c r="AE348" s="2746">
        <f>IF(L348&gt;0,IF(input!$B$2=$O$1,(((N348)+(N348)*$M$10)*$P$11)/1000,(((N348)+(N348)*O348+(N348)*$M$10)*$P$11)/1000),0)</f>
        <v>0</v>
      </c>
      <c r="AF348" s="136" t="str">
        <f t="shared" si="100"/>
        <v>None</v>
      </c>
      <c r="AG348" s="2628">
        <f t="shared" si="101"/>
        <v>1.2E-2</v>
      </c>
      <c r="AH348" s="1266">
        <v>0.1</v>
      </c>
    </row>
    <row r="349" spans="1:34" ht="12.75">
      <c r="A349" s="2199">
        <f t="shared" si="87"/>
        <v>337</v>
      </c>
      <c r="B349" s="2200" t="s">
        <v>2483</v>
      </c>
      <c r="C349" s="2743">
        <v>0</v>
      </c>
      <c r="D349" s="2743">
        <v>0</v>
      </c>
      <c r="E349" s="2949">
        <v>0.1</v>
      </c>
      <c r="F349" s="2200">
        <v>20</v>
      </c>
      <c r="G349" s="2200" t="s">
        <v>127</v>
      </c>
      <c r="H349" s="2200" t="s">
        <v>1057</v>
      </c>
      <c r="I349" s="2742">
        <v>0</v>
      </c>
      <c r="J349" s="2742"/>
      <c r="K349" s="2752">
        <v>45</v>
      </c>
      <c r="L349" s="2745">
        <f t="shared" si="88"/>
        <v>0</v>
      </c>
      <c r="M349" s="2745">
        <f t="shared" si="96"/>
        <v>0</v>
      </c>
      <c r="N349" s="2745">
        <f t="shared" si="97"/>
        <v>20</v>
      </c>
      <c r="O349" s="1232">
        <f t="shared" si="98"/>
        <v>0.1</v>
      </c>
      <c r="P349" s="1227" t="str">
        <f t="shared" si="86"/>
        <v>250gsm IVORY Sinarfold (C1S)</v>
      </c>
      <c r="Q349" s="254">
        <v>0.33</v>
      </c>
      <c r="R349" s="1228" t="str">
        <f t="shared" si="91"/>
        <v>250</v>
      </c>
      <c r="S349" s="2625">
        <f t="shared" si="89"/>
        <v>0</v>
      </c>
      <c r="T349" s="2747">
        <f>IF(L349&gt;0,IF(input!$B$2=$O$1,(((L349+Y349/22)+(L349+Y349/22)*$AG349+$X349)*$P$11+$M$7)/1000,(((L349+Y349/22)+(L349+Y349/22)*O349+(L349+Y349/22)*$AG349+$X349)*$P$11+$M$7)/1000),0)</f>
        <v>0</v>
      </c>
      <c r="U349" s="2747">
        <f t="shared" si="90"/>
        <v>0</v>
      </c>
      <c r="V349" s="1229"/>
      <c r="W349" s="1231" t="str">
        <f t="shared" si="95"/>
        <v>CIF</v>
      </c>
      <c r="X349" s="1230">
        <f t="shared" si="94"/>
        <v>0</v>
      </c>
      <c r="Y349" s="2625">
        <f t="shared" si="99"/>
        <v>0</v>
      </c>
      <c r="Z349" s="3208">
        <f t="shared" si="92"/>
        <v>838.18181818181813</v>
      </c>
      <c r="AA349" s="1220" t="s">
        <v>2822</v>
      </c>
      <c r="AB349" s="1220" t="s">
        <v>1395</v>
      </c>
      <c r="AC349" s="251" t="str">
        <f t="shared" si="93"/>
        <v>250gsm IVORY Sinarfold (C1S)</v>
      </c>
      <c r="AD349" s="2746">
        <f>IF(L349&gt;0,IF(input!$B$2=$O$1,(((M349)+(M349)*$M$10)*$P$11)/1000,(((M349)+(M349)*O349+(M349)*$M$10)*$P$11)/1000),0)</f>
        <v>0</v>
      </c>
      <c r="AE349" s="2746">
        <f>IF(L349&gt;0,IF(input!$B$2=$O$1,(((N349)+(N349)*$M$10)*$P$11)/1000,(((N349)+(N349)*O349+(N349)*$M$10)*$P$11)/1000),0)</f>
        <v>0</v>
      </c>
      <c r="AF349" s="136" t="str">
        <f t="shared" si="100"/>
        <v>None</v>
      </c>
      <c r="AG349" s="2628">
        <f t="shared" si="101"/>
        <v>1.2E-2</v>
      </c>
      <c r="AH349" s="1266">
        <v>0.1</v>
      </c>
    </row>
    <row r="350" spans="1:34" ht="12.75">
      <c r="A350" s="2199">
        <f t="shared" si="87"/>
        <v>338</v>
      </c>
      <c r="B350" s="2200" t="s">
        <v>2484</v>
      </c>
      <c r="C350" s="2743">
        <v>0</v>
      </c>
      <c r="D350" s="2743">
        <v>0</v>
      </c>
      <c r="E350" s="2949">
        <v>0.1</v>
      </c>
      <c r="F350" s="2200">
        <v>20</v>
      </c>
      <c r="G350" s="2200" t="s">
        <v>127</v>
      </c>
      <c r="H350" s="2200" t="s">
        <v>1057</v>
      </c>
      <c r="I350" s="2742">
        <v>0</v>
      </c>
      <c r="J350" s="2742"/>
      <c r="K350" s="2752">
        <v>45</v>
      </c>
      <c r="L350" s="2745">
        <f t="shared" si="88"/>
        <v>0</v>
      </c>
      <c r="M350" s="2745">
        <f t="shared" si="96"/>
        <v>0</v>
      </c>
      <c r="N350" s="2745">
        <f t="shared" si="97"/>
        <v>20</v>
      </c>
      <c r="O350" s="1232">
        <f t="shared" si="98"/>
        <v>0.1</v>
      </c>
      <c r="P350" s="1227" t="str">
        <f t="shared" si="86"/>
        <v>270gsm IVORY Sinarfold (C1S)</v>
      </c>
      <c r="Q350" s="254">
        <v>0.36</v>
      </c>
      <c r="R350" s="1228" t="str">
        <f t="shared" si="91"/>
        <v>270</v>
      </c>
      <c r="S350" s="2625">
        <f t="shared" si="89"/>
        <v>0</v>
      </c>
      <c r="T350" s="2747">
        <f>IF(L350&gt;0,IF(input!$B$2=$O$1,(((L350+Y350/22)+(L350+Y350/22)*$AG350+$X350)*$P$11+$M$7)/1000,(((L350+Y350/22)+(L350+Y350/22)*O350+(L350+Y350/22)*$AG350+$X350)*$P$11+$M$7)/1000),0)</f>
        <v>0</v>
      </c>
      <c r="U350" s="2747">
        <f t="shared" si="90"/>
        <v>0</v>
      </c>
      <c r="V350" s="1229"/>
      <c r="W350" s="1231" t="str">
        <f t="shared" si="95"/>
        <v>CIF</v>
      </c>
      <c r="X350" s="1230">
        <f t="shared" si="94"/>
        <v>0</v>
      </c>
      <c r="Y350" s="2625">
        <f t="shared" si="99"/>
        <v>0</v>
      </c>
      <c r="Z350" s="3208">
        <f t="shared" si="92"/>
        <v>838.18181818181813</v>
      </c>
      <c r="AA350" s="1220" t="s">
        <v>2822</v>
      </c>
      <c r="AB350" s="1220" t="s">
        <v>1395</v>
      </c>
      <c r="AC350" s="251" t="str">
        <f t="shared" si="93"/>
        <v>270gsm IVORY Sinarfold (C1S)</v>
      </c>
      <c r="AD350" s="2746">
        <f>IF(L350&gt;0,IF(input!$B$2=$O$1,(((M350)+(M350)*$M$10)*$P$11)/1000,(((M350)+(M350)*O350+(M350)*$M$10)*$P$11)/1000),0)</f>
        <v>0</v>
      </c>
      <c r="AE350" s="2746">
        <f>IF(L350&gt;0,IF(input!$B$2=$O$1,(((N350)+(N350)*$M$10)*$P$11)/1000,(((N350)+(N350)*O350+(N350)*$M$10)*$P$11)/1000),0)</f>
        <v>0</v>
      </c>
      <c r="AF350" s="136" t="str">
        <f t="shared" si="100"/>
        <v>None</v>
      </c>
      <c r="AG350" s="2628">
        <f t="shared" si="101"/>
        <v>1.2E-2</v>
      </c>
      <c r="AH350" s="1266">
        <v>0.1</v>
      </c>
    </row>
    <row r="351" spans="1:34" ht="12.75">
      <c r="A351" s="2199">
        <f t="shared" si="87"/>
        <v>339</v>
      </c>
      <c r="B351" s="2200" t="s">
        <v>2485</v>
      </c>
      <c r="C351" s="2743">
        <v>0</v>
      </c>
      <c r="D351" s="2743">
        <v>0</v>
      </c>
      <c r="E351" s="2949">
        <v>0.1</v>
      </c>
      <c r="F351" s="2200">
        <v>20</v>
      </c>
      <c r="G351" s="2200" t="s">
        <v>127</v>
      </c>
      <c r="H351" s="2200" t="s">
        <v>1057</v>
      </c>
      <c r="I351" s="2742">
        <v>0</v>
      </c>
      <c r="J351" s="2742"/>
      <c r="K351" s="2752">
        <v>45</v>
      </c>
      <c r="L351" s="2745">
        <f t="shared" si="88"/>
        <v>0</v>
      </c>
      <c r="M351" s="2745">
        <f t="shared" si="96"/>
        <v>0</v>
      </c>
      <c r="N351" s="2745">
        <f t="shared" si="97"/>
        <v>20</v>
      </c>
      <c r="O351" s="1232">
        <f t="shared" si="98"/>
        <v>0.1</v>
      </c>
      <c r="P351" s="1227" t="str">
        <f t="shared" si="86"/>
        <v>300gsm IVORY Sinarfold (C1S)</v>
      </c>
      <c r="Q351" s="254">
        <v>0.40500000000000003</v>
      </c>
      <c r="R351" s="1228" t="str">
        <f t="shared" si="91"/>
        <v>300</v>
      </c>
      <c r="S351" s="2625">
        <f t="shared" si="89"/>
        <v>0</v>
      </c>
      <c r="T351" s="2747">
        <f>IF(L351&gt;0,IF(input!$B$2=$O$1,(((L351+Y351/22)+(L351+Y351/22)*$AG351+$X351)*$P$11+$M$7)/1000,(((L351+Y351/22)+(L351+Y351/22)*O351+(L351+Y351/22)*$AG351+$X351)*$P$11+$M$7)/1000),0)</f>
        <v>0</v>
      </c>
      <c r="U351" s="2747">
        <f t="shared" si="90"/>
        <v>0</v>
      </c>
      <c r="V351" s="1229"/>
      <c r="W351" s="1231" t="str">
        <f t="shared" si="95"/>
        <v>CIF</v>
      </c>
      <c r="X351" s="1230">
        <f t="shared" si="94"/>
        <v>0</v>
      </c>
      <c r="Y351" s="2625">
        <f t="shared" si="99"/>
        <v>0</v>
      </c>
      <c r="Z351" s="3208">
        <f t="shared" si="92"/>
        <v>838.18181818181813</v>
      </c>
      <c r="AA351" s="1220" t="s">
        <v>2822</v>
      </c>
      <c r="AB351" s="1220" t="s">
        <v>1395</v>
      </c>
      <c r="AC351" s="251" t="str">
        <f t="shared" si="93"/>
        <v>300gsm IVORY Sinarfold (C1S)</v>
      </c>
      <c r="AD351" s="2746">
        <f>IF(L351&gt;0,IF(input!$B$2=$O$1,(((M351)+(M351)*$M$10)*$P$11)/1000,(((M351)+(M351)*O351+(M351)*$M$10)*$P$11)/1000),0)</f>
        <v>0</v>
      </c>
      <c r="AE351" s="2746">
        <f>IF(L351&gt;0,IF(input!$B$2=$O$1,(((N351)+(N351)*$M$10)*$P$11)/1000,(((N351)+(N351)*O351+(N351)*$M$10)*$P$11)/1000),0)</f>
        <v>0</v>
      </c>
      <c r="AF351" s="136" t="str">
        <f t="shared" si="100"/>
        <v>None</v>
      </c>
      <c r="AG351" s="2628">
        <f t="shared" si="101"/>
        <v>1.2E-2</v>
      </c>
      <c r="AH351" s="1266">
        <v>0.1</v>
      </c>
    </row>
    <row r="352" spans="1:34" ht="12.75">
      <c r="A352" s="2199">
        <f t="shared" si="87"/>
        <v>340</v>
      </c>
      <c r="B352" s="2200" t="s">
        <v>2486</v>
      </c>
      <c r="C352" s="2743">
        <v>0</v>
      </c>
      <c r="D352" s="2743">
        <v>0</v>
      </c>
      <c r="E352" s="2949">
        <v>0.1</v>
      </c>
      <c r="F352" s="2200">
        <v>20</v>
      </c>
      <c r="G352" s="2200" t="s">
        <v>127</v>
      </c>
      <c r="H352" s="2200" t="s">
        <v>1057</v>
      </c>
      <c r="I352" s="2742">
        <v>0</v>
      </c>
      <c r="J352" s="2742"/>
      <c r="K352" s="2752">
        <v>45</v>
      </c>
      <c r="L352" s="2745">
        <f t="shared" si="88"/>
        <v>0</v>
      </c>
      <c r="M352" s="2745">
        <f t="shared" si="96"/>
        <v>0</v>
      </c>
      <c r="N352" s="2745">
        <f t="shared" si="97"/>
        <v>20</v>
      </c>
      <c r="O352" s="1232">
        <f t="shared" si="98"/>
        <v>0.1</v>
      </c>
      <c r="P352" s="1227" t="str">
        <f t="shared" ref="P352:P458" si="102">R352&amp;"gsm "&amp;AB352&amp;" "&amp;AA352</f>
        <v>310gsm IVORY Sinarfold (C1S)</v>
      </c>
      <c r="Q352" s="254">
        <v>0.42499999999999999</v>
      </c>
      <c r="R352" s="1228" t="str">
        <f t="shared" si="91"/>
        <v>310</v>
      </c>
      <c r="S352" s="2625">
        <f t="shared" si="89"/>
        <v>0</v>
      </c>
      <c r="T352" s="2747">
        <f>IF(L352&gt;0,IF(input!$B$2=$O$1,(((L352+Y352/22)+(L352+Y352/22)*$AG352+$X352)*$P$11+$M$7)/1000,(((L352+Y352/22)+(L352+Y352/22)*O352+(L352+Y352/22)*$AG352+$X352)*$P$11+$M$7)/1000),0)</f>
        <v>0</v>
      </c>
      <c r="U352" s="2747">
        <f t="shared" si="90"/>
        <v>0</v>
      </c>
      <c r="V352" s="1229"/>
      <c r="W352" s="1231" t="str">
        <f t="shared" si="95"/>
        <v>CIF</v>
      </c>
      <c r="X352" s="1230">
        <f t="shared" si="94"/>
        <v>0</v>
      </c>
      <c r="Y352" s="2625">
        <f t="shared" si="99"/>
        <v>0</v>
      </c>
      <c r="Z352" s="3208">
        <f t="shared" si="92"/>
        <v>838.18181818181813</v>
      </c>
      <c r="AA352" s="1220" t="s">
        <v>2822</v>
      </c>
      <c r="AB352" s="1220" t="s">
        <v>1395</v>
      </c>
      <c r="AC352" s="251" t="str">
        <f t="shared" si="93"/>
        <v>310gsm IVORY Sinarfold (C1S)</v>
      </c>
      <c r="AD352" s="2746">
        <f>IF(L352&gt;0,IF(input!$B$2=$O$1,(((M352)+(M352)*$M$10)*$P$11)/1000,(((M352)+(M352)*O352+(M352)*$M$10)*$P$11)/1000),0)</f>
        <v>0</v>
      </c>
      <c r="AE352" s="2746">
        <f>IF(L352&gt;0,IF(input!$B$2=$O$1,(((N352)+(N352)*$M$10)*$P$11)/1000,(((N352)+(N352)*O352+(N352)*$M$10)*$P$11)/1000),0)</f>
        <v>0</v>
      </c>
      <c r="AF352" s="136" t="str">
        <f t="shared" si="100"/>
        <v>None</v>
      </c>
      <c r="AG352" s="2628">
        <f t="shared" si="101"/>
        <v>1.2E-2</v>
      </c>
      <c r="AH352" s="1266">
        <v>0.1</v>
      </c>
    </row>
    <row r="353" spans="1:34" ht="12.75">
      <c r="A353" s="2199">
        <f t="shared" si="87"/>
        <v>341</v>
      </c>
      <c r="B353" s="2200" t="s">
        <v>2487</v>
      </c>
      <c r="C353" s="2743">
        <v>0</v>
      </c>
      <c r="D353" s="2743">
        <v>0</v>
      </c>
      <c r="E353" s="2949">
        <v>0.1</v>
      </c>
      <c r="F353" s="2200">
        <v>20</v>
      </c>
      <c r="G353" s="2200" t="s">
        <v>127</v>
      </c>
      <c r="H353" s="2200" t="s">
        <v>1057</v>
      </c>
      <c r="I353" s="2742">
        <v>0</v>
      </c>
      <c r="J353" s="2742"/>
      <c r="K353" s="2752">
        <v>45</v>
      </c>
      <c r="L353" s="2745">
        <f t="shared" si="88"/>
        <v>0</v>
      </c>
      <c r="M353" s="2745">
        <f t="shared" si="96"/>
        <v>0</v>
      </c>
      <c r="N353" s="2745">
        <f t="shared" si="97"/>
        <v>20</v>
      </c>
      <c r="O353" s="1232">
        <f t="shared" si="98"/>
        <v>0.1</v>
      </c>
      <c r="P353" s="1227" t="str">
        <f t="shared" si="102"/>
        <v>350gsm IVORY Sinarfold (C1S)</v>
      </c>
      <c r="Q353" s="254">
        <v>0.505</v>
      </c>
      <c r="R353" s="1228" t="str">
        <f t="shared" si="91"/>
        <v>350</v>
      </c>
      <c r="S353" s="2625">
        <f t="shared" si="89"/>
        <v>0</v>
      </c>
      <c r="T353" s="2747">
        <f>IF(L353&gt;0,IF(input!$B$2=$O$1,(((L353+Y353/22)+(L353+Y353/22)*$AG353+$X353)*$P$11+$M$7)/1000,(((L353+Y353/22)+(L353+Y353/22)*O353+(L353+Y353/22)*$AG353+$X353)*$P$11+$M$7)/1000),0)</f>
        <v>0</v>
      </c>
      <c r="U353" s="2747">
        <f t="shared" si="90"/>
        <v>0</v>
      </c>
      <c r="V353" s="1229"/>
      <c r="W353" s="1231" t="str">
        <f t="shared" si="95"/>
        <v>CIF</v>
      </c>
      <c r="X353" s="1230">
        <f t="shared" si="94"/>
        <v>0</v>
      </c>
      <c r="Y353" s="2625">
        <f t="shared" si="99"/>
        <v>0</v>
      </c>
      <c r="Z353" s="3208">
        <f t="shared" si="92"/>
        <v>838.18181818181813</v>
      </c>
      <c r="AA353" s="1220" t="s">
        <v>2822</v>
      </c>
      <c r="AB353" s="1220" t="s">
        <v>1395</v>
      </c>
      <c r="AC353" s="251" t="str">
        <f t="shared" si="93"/>
        <v>350gsm IVORY Sinarfold (C1S)</v>
      </c>
      <c r="AD353" s="2746">
        <f>IF(L353&gt;0,IF(input!$B$2=$O$1,(((M353)+(M353)*$M$10)*$P$11)/1000,(((M353)+(M353)*O353+(M353)*$M$10)*$P$11)/1000),0)</f>
        <v>0</v>
      </c>
      <c r="AE353" s="2746">
        <f>IF(L353&gt;0,IF(input!$B$2=$O$1,(((N353)+(N353)*$M$10)*$P$11)/1000,(((N353)+(N353)*O353+(N353)*$M$10)*$P$11)/1000),0)</f>
        <v>0</v>
      </c>
      <c r="AF353" s="136" t="str">
        <f t="shared" si="100"/>
        <v>None</v>
      </c>
      <c r="AG353" s="2628">
        <f t="shared" si="101"/>
        <v>1.2E-2</v>
      </c>
      <c r="AH353" s="1266">
        <v>0.1</v>
      </c>
    </row>
    <row r="354" spans="1:34" ht="12.75">
      <c r="A354" s="2199">
        <f t="shared" si="87"/>
        <v>342</v>
      </c>
      <c r="B354" s="2200" t="s">
        <v>2488</v>
      </c>
      <c r="C354" s="2743">
        <v>0</v>
      </c>
      <c r="D354" s="2743">
        <v>0</v>
      </c>
      <c r="E354" s="2949">
        <v>0.1</v>
      </c>
      <c r="F354" s="2200">
        <v>20</v>
      </c>
      <c r="G354" s="2200" t="s">
        <v>127</v>
      </c>
      <c r="H354" s="2200" t="s">
        <v>1057</v>
      </c>
      <c r="I354" s="2742">
        <v>0</v>
      </c>
      <c r="J354" s="2742"/>
      <c r="K354" s="2752">
        <v>45</v>
      </c>
      <c r="L354" s="2745">
        <f t="shared" si="88"/>
        <v>0</v>
      </c>
      <c r="M354" s="2745">
        <f t="shared" si="96"/>
        <v>0</v>
      </c>
      <c r="N354" s="2745">
        <f t="shared" si="97"/>
        <v>20</v>
      </c>
      <c r="O354" s="1232">
        <f t="shared" si="98"/>
        <v>0.1</v>
      </c>
      <c r="P354" s="1227" t="str">
        <f t="shared" si="102"/>
        <v>170gsm IVORY Sinarboard (C1S) - IA</v>
      </c>
      <c r="Q354" s="254">
        <v>0.20499999999999999</v>
      </c>
      <c r="R354" s="1228" t="str">
        <f t="shared" si="91"/>
        <v>170</v>
      </c>
      <c r="S354" s="2625">
        <f t="shared" si="89"/>
        <v>0</v>
      </c>
      <c r="T354" s="2747">
        <f>IF(L354&gt;0,IF(input!$B$2=$O$1,(((L354+Y354/22)+(L354+Y354/22)*$AG354+$X354)*$P$11+$M$7)/1000,(((L354+Y354/22)+(L354+Y354/22)*O354+(L354+Y354/22)*$AG354+$X354)*$P$11+$M$7)/1000),0)</f>
        <v>0</v>
      </c>
      <c r="U354" s="2747">
        <f t="shared" si="90"/>
        <v>0</v>
      </c>
      <c r="V354" s="1229"/>
      <c r="W354" s="1231" t="str">
        <f t="shared" si="95"/>
        <v>CIF</v>
      </c>
      <c r="X354" s="1230">
        <f t="shared" si="94"/>
        <v>0</v>
      </c>
      <c r="Y354" s="2625">
        <f t="shared" si="99"/>
        <v>0</v>
      </c>
      <c r="Z354" s="3208">
        <f t="shared" si="92"/>
        <v>838.18181818181813</v>
      </c>
      <c r="AA354" s="1220" t="s">
        <v>2823</v>
      </c>
      <c r="AB354" s="1220" t="s">
        <v>1395</v>
      </c>
      <c r="AC354" s="251" t="str">
        <f t="shared" si="93"/>
        <v>170gsm IVORY Sinarboard (C1S) - IA</v>
      </c>
      <c r="AD354" s="2746">
        <f>IF(L354&gt;0,IF(input!$B$2=$O$1,(((M354)+(M354)*$M$10)*$P$11)/1000,(((M354)+(M354)*O354+(M354)*$M$10)*$P$11)/1000),0)</f>
        <v>0</v>
      </c>
      <c r="AE354" s="2746">
        <f>IF(L354&gt;0,IF(input!$B$2=$O$1,(((N354)+(N354)*$M$10)*$P$11)/1000,(((N354)+(N354)*O354+(N354)*$M$10)*$P$11)/1000),0)</f>
        <v>0</v>
      </c>
      <c r="AF354" s="136" t="str">
        <f t="shared" si="100"/>
        <v>None</v>
      </c>
      <c r="AG354" s="2628">
        <f t="shared" si="101"/>
        <v>1.2E-2</v>
      </c>
      <c r="AH354" s="1266">
        <v>0.1</v>
      </c>
    </row>
    <row r="355" spans="1:34" ht="12.75">
      <c r="A355" s="2199">
        <f t="shared" si="87"/>
        <v>343</v>
      </c>
      <c r="B355" s="2200" t="s">
        <v>2489</v>
      </c>
      <c r="C355" s="2743">
        <v>0</v>
      </c>
      <c r="D355" s="2743">
        <v>0</v>
      </c>
      <c r="E355" s="2949">
        <v>0.1</v>
      </c>
      <c r="F355" s="2200">
        <v>20</v>
      </c>
      <c r="G355" s="2200" t="s">
        <v>127</v>
      </c>
      <c r="H355" s="2200" t="s">
        <v>1057</v>
      </c>
      <c r="I355" s="2742">
        <v>0</v>
      </c>
      <c r="J355" s="2742"/>
      <c r="K355" s="2752">
        <v>45</v>
      </c>
      <c r="L355" s="2745">
        <f t="shared" si="88"/>
        <v>0</v>
      </c>
      <c r="M355" s="2745">
        <f t="shared" si="96"/>
        <v>0</v>
      </c>
      <c r="N355" s="2745">
        <f t="shared" si="97"/>
        <v>20</v>
      </c>
      <c r="O355" s="1232">
        <f t="shared" si="98"/>
        <v>0.1</v>
      </c>
      <c r="P355" s="1227" t="str">
        <f t="shared" si="102"/>
        <v>190gsm IVORY Sinarboard (C1S) - IA</v>
      </c>
      <c r="Q355" s="254">
        <v>0.25</v>
      </c>
      <c r="R355" s="1228" t="str">
        <f t="shared" si="91"/>
        <v>190</v>
      </c>
      <c r="S355" s="2625">
        <f t="shared" si="89"/>
        <v>0</v>
      </c>
      <c r="T355" s="2747">
        <f>IF(L355&gt;0,IF(input!$B$2=$O$1,(((L355+Y355/22)+(L355+Y355/22)*$AG355+$X355)*$P$11+$M$7)/1000,(((L355+Y355/22)+(L355+Y355/22)*O355+(L355+Y355/22)*$AG355+$X355)*$P$11+$M$7)/1000),0)</f>
        <v>0</v>
      </c>
      <c r="U355" s="2747">
        <f t="shared" si="90"/>
        <v>0</v>
      </c>
      <c r="V355" s="1229"/>
      <c r="W355" s="1231" t="str">
        <f t="shared" si="95"/>
        <v>CIF</v>
      </c>
      <c r="X355" s="1230">
        <f t="shared" si="94"/>
        <v>0</v>
      </c>
      <c r="Y355" s="2625">
        <f t="shared" si="99"/>
        <v>0</v>
      </c>
      <c r="Z355" s="3208">
        <f t="shared" si="92"/>
        <v>838.18181818181813</v>
      </c>
      <c r="AA355" s="1220" t="s">
        <v>2823</v>
      </c>
      <c r="AB355" s="1220" t="s">
        <v>1395</v>
      </c>
      <c r="AC355" s="251" t="str">
        <f t="shared" si="93"/>
        <v>190gsm IVORY Sinarboard (C1S) - IA</v>
      </c>
      <c r="AD355" s="2746">
        <f>IF(L355&gt;0,IF(input!$B$2=$O$1,(((M355)+(M355)*$M$10)*$P$11)/1000,(((M355)+(M355)*O355+(M355)*$M$10)*$P$11)/1000),0)</f>
        <v>0</v>
      </c>
      <c r="AE355" s="2746">
        <f>IF(L355&gt;0,IF(input!$B$2=$O$1,(((N355)+(N355)*$M$10)*$P$11)/1000,(((N355)+(N355)*O355+(N355)*$M$10)*$P$11)/1000),0)</f>
        <v>0</v>
      </c>
      <c r="AF355" s="136" t="str">
        <f t="shared" si="100"/>
        <v>None</v>
      </c>
      <c r="AG355" s="2628">
        <f t="shared" si="101"/>
        <v>1.2E-2</v>
      </c>
      <c r="AH355" s="1266">
        <v>0.1</v>
      </c>
    </row>
    <row r="356" spans="1:34" ht="12.75">
      <c r="A356" s="2199">
        <f t="shared" si="87"/>
        <v>344</v>
      </c>
      <c r="B356" s="2200" t="s">
        <v>2490</v>
      </c>
      <c r="C356" s="2743">
        <v>0</v>
      </c>
      <c r="D356" s="2743">
        <v>0</v>
      </c>
      <c r="E356" s="2949">
        <v>0.1</v>
      </c>
      <c r="F356" s="2200">
        <v>20</v>
      </c>
      <c r="G356" s="2200" t="s">
        <v>127</v>
      </c>
      <c r="H356" s="2200" t="s">
        <v>1057</v>
      </c>
      <c r="I356" s="2742">
        <v>0</v>
      </c>
      <c r="J356" s="2742"/>
      <c r="K356" s="2752">
        <v>45</v>
      </c>
      <c r="L356" s="2745">
        <f t="shared" si="88"/>
        <v>0</v>
      </c>
      <c r="M356" s="2745">
        <f t="shared" si="96"/>
        <v>0</v>
      </c>
      <c r="N356" s="2745">
        <f t="shared" si="97"/>
        <v>20</v>
      </c>
      <c r="O356" s="1232">
        <f t="shared" si="98"/>
        <v>0.1</v>
      </c>
      <c r="P356" s="1227" t="str">
        <f t="shared" si="102"/>
        <v>210gsm IVORY Sinarboard (C1S) - IA</v>
      </c>
      <c r="Q356" s="254">
        <v>0.27500000000000002</v>
      </c>
      <c r="R356" s="1228" t="str">
        <f t="shared" si="91"/>
        <v>210</v>
      </c>
      <c r="S356" s="2625">
        <f t="shared" si="89"/>
        <v>0</v>
      </c>
      <c r="T356" s="2747">
        <f>IF(L356&gt;0,IF(input!$B$2=$O$1,(((L356+Y356/22)+(L356+Y356/22)*$AG356+$X356)*$P$11+$M$7)/1000,(((L356+Y356/22)+(L356+Y356/22)*O356+(L356+Y356/22)*$AG356+$X356)*$P$11+$M$7)/1000),0)</f>
        <v>0</v>
      </c>
      <c r="U356" s="2747">
        <f t="shared" si="90"/>
        <v>0</v>
      </c>
      <c r="V356" s="1229"/>
      <c r="W356" s="1231" t="str">
        <f t="shared" si="95"/>
        <v>CIF</v>
      </c>
      <c r="X356" s="1230">
        <f t="shared" si="94"/>
        <v>0</v>
      </c>
      <c r="Y356" s="2625">
        <f t="shared" si="99"/>
        <v>0</v>
      </c>
      <c r="Z356" s="3208">
        <f t="shared" si="92"/>
        <v>838.18181818181813</v>
      </c>
      <c r="AA356" s="1220" t="s">
        <v>2823</v>
      </c>
      <c r="AB356" s="1220" t="s">
        <v>1395</v>
      </c>
      <c r="AC356" s="251" t="str">
        <f t="shared" si="93"/>
        <v>210gsm IVORY Sinarboard (C1S) - IA</v>
      </c>
      <c r="AD356" s="2746">
        <f>IF(L356&gt;0,IF(input!$B$2=$O$1,(((M356)+(M356)*$M$10)*$P$11)/1000,(((M356)+(M356)*O356+(M356)*$M$10)*$P$11)/1000),0)</f>
        <v>0</v>
      </c>
      <c r="AE356" s="2746">
        <f>IF(L356&gt;0,IF(input!$B$2=$O$1,(((N356)+(N356)*$M$10)*$P$11)/1000,(((N356)+(N356)*O356+(N356)*$M$10)*$P$11)/1000),0)</f>
        <v>0</v>
      </c>
      <c r="AF356" s="136" t="str">
        <f t="shared" si="100"/>
        <v>None</v>
      </c>
      <c r="AG356" s="2628">
        <f t="shared" si="101"/>
        <v>1.2E-2</v>
      </c>
      <c r="AH356" s="1266">
        <v>0.1</v>
      </c>
    </row>
    <row r="357" spans="1:34" ht="12.75">
      <c r="A357" s="2199">
        <f t="shared" si="87"/>
        <v>345</v>
      </c>
      <c r="B357" s="2200" t="s">
        <v>2491</v>
      </c>
      <c r="C357" s="2743">
        <v>0</v>
      </c>
      <c r="D357" s="2743">
        <v>0</v>
      </c>
      <c r="E357" s="2949">
        <v>0.1</v>
      </c>
      <c r="F357" s="2200">
        <v>20</v>
      </c>
      <c r="G357" s="2200" t="s">
        <v>127</v>
      </c>
      <c r="H357" s="2200" t="s">
        <v>1057</v>
      </c>
      <c r="I357" s="2742">
        <v>0</v>
      </c>
      <c r="J357" s="2742"/>
      <c r="K357" s="2752">
        <v>45</v>
      </c>
      <c r="L357" s="2745">
        <f t="shared" si="88"/>
        <v>0</v>
      </c>
      <c r="M357" s="2745">
        <f t="shared" si="96"/>
        <v>0</v>
      </c>
      <c r="N357" s="2745">
        <f t="shared" si="97"/>
        <v>20</v>
      </c>
      <c r="O357" s="1232">
        <f t="shared" si="98"/>
        <v>0.1</v>
      </c>
      <c r="P357" s="1227" t="str">
        <f t="shared" si="102"/>
        <v>230gsm IVORY Sinarboard (C1S) - IA</v>
      </c>
      <c r="Q357" s="254">
        <v>0.30499999999999999</v>
      </c>
      <c r="R357" s="1228" t="str">
        <f t="shared" si="91"/>
        <v>230</v>
      </c>
      <c r="S357" s="2625">
        <f t="shared" si="89"/>
        <v>0</v>
      </c>
      <c r="T357" s="2747">
        <f>IF(L357&gt;0,IF(input!$B$2=$O$1,(((L357+Y357/22)+(L357+Y357/22)*$AG357+$X357)*$P$11+$M$7)/1000,(((L357+Y357/22)+(L357+Y357/22)*O357+(L357+Y357/22)*$AG357+$X357)*$P$11+$M$7)/1000),0)</f>
        <v>0</v>
      </c>
      <c r="U357" s="2747">
        <f t="shared" si="90"/>
        <v>0</v>
      </c>
      <c r="V357" s="1229"/>
      <c r="W357" s="1231" t="str">
        <f t="shared" si="95"/>
        <v>CIF</v>
      </c>
      <c r="X357" s="1230">
        <f t="shared" si="94"/>
        <v>0</v>
      </c>
      <c r="Y357" s="2625">
        <f t="shared" si="99"/>
        <v>0</v>
      </c>
      <c r="Z357" s="3208">
        <f t="shared" si="92"/>
        <v>838.18181818181813</v>
      </c>
      <c r="AA357" s="1220" t="s">
        <v>2823</v>
      </c>
      <c r="AB357" s="1220" t="s">
        <v>1395</v>
      </c>
      <c r="AC357" s="251" t="str">
        <f t="shared" si="93"/>
        <v>230gsm IVORY Sinarboard (C1S) - IA</v>
      </c>
      <c r="AD357" s="2746">
        <f>IF(L357&gt;0,IF(input!$B$2=$O$1,(((M357)+(M357)*$M$10)*$P$11)/1000,(((M357)+(M357)*O357+(M357)*$M$10)*$P$11)/1000),0)</f>
        <v>0</v>
      </c>
      <c r="AE357" s="2746">
        <f>IF(L357&gt;0,IF(input!$B$2=$O$1,(((N357)+(N357)*$M$10)*$P$11)/1000,(((N357)+(N357)*O357+(N357)*$M$10)*$P$11)/1000),0)</f>
        <v>0</v>
      </c>
      <c r="AF357" s="136" t="str">
        <f t="shared" si="100"/>
        <v>None</v>
      </c>
      <c r="AG357" s="2628">
        <f t="shared" si="101"/>
        <v>1.2E-2</v>
      </c>
      <c r="AH357" s="1266">
        <v>0.1</v>
      </c>
    </row>
    <row r="358" spans="1:34" ht="12.75">
      <c r="A358" s="2199">
        <f t="shared" si="87"/>
        <v>346</v>
      </c>
      <c r="B358" s="2200" t="s">
        <v>2492</v>
      </c>
      <c r="C358" s="2743">
        <v>0</v>
      </c>
      <c r="D358" s="2743">
        <v>0</v>
      </c>
      <c r="E358" s="2949">
        <v>0.1</v>
      </c>
      <c r="F358" s="2200">
        <v>20</v>
      </c>
      <c r="G358" s="2200" t="s">
        <v>127</v>
      </c>
      <c r="H358" s="2200" t="s">
        <v>1057</v>
      </c>
      <c r="I358" s="2742">
        <v>0</v>
      </c>
      <c r="J358" s="2742"/>
      <c r="K358" s="2752">
        <v>45</v>
      </c>
      <c r="L358" s="2745">
        <f t="shared" si="88"/>
        <v>0</v>
      </c>
      <c r="M358" s="2745">
        <f t="shared" si="96"/>
        <v>0</v>
      </c>
      <c r="N358" s="2745">
        <f t="shared" si="97"/>
        <v>20</v>
      </c>
      <c r="O358" s="1232">
        <f t="shared" si="98"/>
        <v>0.1</v>
      </c>
      <c r="P358" s="1227" t="str">
        <f t="shared" si="102"/>
        <v>250gsm IVORY Sinarboard (C1S) - IA</v>
      </c>
      <c r="Q358" s="254">
        <v>0.33</v>
      </c>
      <c r="R358" s="1228" t="str">
        <f t="shared" si="91"/>
        <v>250</v>
      </c>
      <c r="S358" s="2625">
        <f t="shared" si="89"/>
        <v>0</v>
      </c>
      <c r="T358" s="2747">
        <f>IF(L358&gt;0,IF(input!$B$2=$O$1,(((L358+Y358/22)+(L358+Y358/22)*$AG358+$X358)*$P$11+$M$7)/1000,(((L358+Y358/22)+(L358+Y358/22)*O358+(L358+Y358/22)*$AG358+$X358)*$P$11+$M$7)/1000),0)</f>
        <v>0</v>
      </c>
      <c r="U358" s="2747">
        <f t="shared" si="90"/>
        <v>0</v>
      </c>
      <c r="V358" s="1229"/>
      <c r="W358" s="1231" t="str">
        <f t="shared" si="95"/>
        <v>CIF</v>
      </c>
      <c r="X358" s="1230">
        <f t="shared" si="94"/>
        <v>0</v>
      </c>
      <c r="Y358" s="2625">
        <f t="shared" si="99"/>
        <v>0</v>
      </c>
      <c r="Z358" s="3208">
        <f t="shared" si="92"/>
        <v>838.18181818181813</v>
      </c>
      <c r="AA358" s="1220" t="s">
        <v>2823</v>
      </c>
      <c r="AB358" s="1220" t="s">
        <v>1395</v>
      </c>
      <c r="AC358" s="251" t="str">
        <f t="shared" si="93"/>
        <v>250gsm IVORY Sinarboard (C1S) - IA</v>
      </c>
      <c r="AD358" s="2746">
        <f>IF(L358&gt;0,IF(input!$B$2=$O$1,(((M358)+(M358)*$M$10)*$P$11)/1000,(((M358)+(M358)*O358+(M358)*$M$10)*$P$11)/1000),0)</f>
        <v>0</v>
      </c>
      <c r="AE358" s="2746">
        <f>IF(L358&gt;0,IF(input!$B$2=$O$1,(((N358)+(N358)*$M$10)*$P$11)/1000,(((N358)+(N358)*O358+(N358)*$M$10)*$P$11)/1000),0)</f>
        <v>0</v>
      </c>
      <c r="AF358" s="136" t="str">
        <f t="shared" si="100"/>
        <v>None</v>
      </c>
      <c r="AG358" s="2628">
        <f t="shared" si="101"/>
        <v>1.2E-2</v>
      </c>
      <c r="AH358" s="1266">
        <v>0.1</v>
      </c>
    </row>
    <row r="359" spans="1:34" ht="12.75">
      <c r="A359" s="2199">
        <f t="shared" si="87"/>
        <v>347</v>
      </c>
      <c r="B359" s="2200" t="s">
        <v>2493</v>
      </c>
      <c r="C359" s="2743">
        <v>0</v>
      </c>
      <c r="D359" s="2743">
        <v>0</v>
      </c>
      <c r="E359" s="2949">
        <v>0.1</v>
      </c>
      <c r="F359" s="2200">
        <v>20</v>
      </c>
      <c r="G359" s="2200" t="s">
        <v>127</v>
      </c>
      <c r="H359" s="2200" t="s">
        <v>1057</v>
      </c>
      <c r="I359" s="2742">
        <v>0</v>
      </c>
      <c r="J359" s="2742"/>
      <c r="K359" s="2752">
        <v>45</v>
      </c>
      <c r="L359" s="2745">
        <f t="shared" si="88"/>
        <v>0</v>
      </c>
      <c r="M359" s="2745">
        <f t="shared" si="96"/>
        <v>0</v>
      </c>
      <c r="N359" s="2745">
        <f t="shared" si="97"/>
        <v>20</v>
      </c>
      <c r="O359" s="1232">
        <f t="shared" si="98"/>
        <v>0.1</v>
      </c>
      <c r="P359" s="1227" t="str">
        <f t="shared" si="102"/>
        <v>270gsm IVORY Sinarboard (C1S) - IA</v>
      </c>
      <c r="Q359" s="254">
        <v>0.36</v>
      </c>
      <c r="R359" s="1228" t="str">
        <f t="shared" si="91"/>
        <v>270</v>
      </c>
      <c r="S359" s="2625">
        <f t="shared" si="89"/>
        <v>0</v>
      </c>
      <c r="T359" s="2747">
        <f>IF(L359&gt;0,IF(input!$B$2=$O$1,(((L359+Y359/22)+(L359+Y359/22)*$AG359+$X359)*$P$11+$M$7)/1000,(((L359+Y359/22)+(L359+Y359/22)*O359+(L359+Y359/22)*$AG359+$X359)*$P$11+$M$7)/1000),0)</f>
        <v>0</v>
      </c>
      <c r="U359" s="2747">
        <f t="shared" si="90"/>
        <v>0</v>
      </c>
      <c r="V359" s="1229"/>
      <c r="W359" s="1231" t="str">
        <f t="shared" si="95"/>
        <v>CIF</v>
      </c>
      <c r="X359" s="1230">
        <f t="shared" si="94"/>
        <v>0</v>
      </c>
      <c r="Y359" s="2625">
        <f t="shared" si="99"/>
        <v>0</v>
      </c>
      <c r="Z359" s="3208">
        <f t="shared" si="92"/>
        <v>838.18181818181813</v>
      </c>
      <c r="AA359" s="1220" t="s">
        <v>2823</v>
      </c>
      <c r="AB359" s="1220" t="s">
        <v>1395</v>
      </c>
      <c r="AC359" s="251" t="str">
        <f t="shared" si="93"/>
        <v>270gsm IVORY Sinarboard (C1S) - IA</v>
      </c>
      <c r="AD359" s="2746">
        <f>IF(L359&gt;0,IF(input!$B$2=$O$1,(((M359)+(M359)*$M$10)*$P$11)/1000,(((M359)+(M359)*O359+(M359)*$M$10)*$P$11)/1000),0)</f>
        <v>0</v>
      </c>
      <c r="AE359" s="2746">
        <f>IF(L359&gt;0,IF(input!$B$2=$O$1,(((N359)+(N359)*$M$10)*$P$11)/1000,(((N359)+(N359)*O359+(N359)*$M$10)*$P$11)/1000),0)</f>
        <v>0</v>
      </c>
      <c r="AF359" s="136" t="str">
        <f t="shared" si="100"/>
        <v>None</v>
      </c>
      <c r="AG359" s="2628">
        <f t="shared" si="101"/>
        <v>1.2E-2</v>
      </c>
      <c r="AH359" s="1266">
        <v>0.1</v>
      </c>
    </row>
    <row r="360" spans="1:34" ht="12.75">
      <c r="A360" s="2199">
        <f t="shared" si="87"/>
        <v>348</v>
      </c>
      <c r="B360" s="2200" t="s">
        <v>2494</v>
      </c>
      <c r="C360" s="2743">
        <v>0</v>
      </c>
      <c r="D360" s="2743">
        <v>0</v>
      </c>
      <c r="E360" s="2949">
        <v>0.1</v>
      </c>
      <c r="F360" s="2200">
        <v>20</v>
      </c>
      <c r="G360" s="2200" t="s">
        <v>127</v>
      </c>
      <c r="H360" s="2200" t="s">
        <v>1057</v>
      </c>
      <c r="I360" s="2742">
        <v>0</v>
      </c>
      <c r="J360" s="2742"/>
      <c r="K360" s="2752">
        <v>45</v>
      </c>
      <c r="L360" s="2745">
        <f t="shared" si="88"/>
        <v>0</v>
      </c>
      <c r="M360" s="2745">
        <f t="shared" si="96"/>
        <v>0</v>
      </c>
      <c r="N360" s="2745">
        <f t="shared" si="97"/>
        <v>20</v>
      </c>
      <c r="O360" s="1232">
        <f t="shared" si="98"/>
        <v>0.1</v>
      </c>
      <c r="P360" s="1227" t="str">
        <f t="shared" si="102"/>
        <v>300gsm IVORY Sinarboard (C1S) - IA</v>
      </c>
      <c r="Q360" s="254">
        <v>0.40500000000000003</v>
      </c>
      <c r="R360" s="1228" t="str">
        <f t="shared" si="91"/>
        <v>300</v>
      </c>
      <c r="S360" s="2625">
        <f t="shared" si="89"/>
        <v>0</v>
      </c>
      <c r="T360" s="2747">
        <f>IF(L360&gt;0,IF(input!$B$2=$O$1,(((L360+Y360/22)+(L360+Y360/22)*$AG360+$X360)*$P$11+$M$7)/1000,(((L360+Y360/22)+(L360+Y360/22)*O360+(L360+Y360/22)*$AG360+$X360)*$P$11+$M$7)/1000),0)</f>
        <v>0</v>
      </c>
      <c r="U360" s="2747">
        <f t="shared" si="90"/>
        <v>0</v>
      </c>
      <c r="V360" s="1229"/>
      <c r="W360" s="1231" t="str">
        <f t="shared" si="95"/>
        <v>CIF</v>
      </c>
      <c r="X360" s="1230">
        <f t="shared" si="94"/>
        <v>0</v>
      </c>
      <c r="Y360" s="2625">
        <f t="shared" si="99"/>
        <v>0</v>
      </c>
      <c r="Z360" s="3208">
        <f t="shared" si="92"/>
        <v>838.18181818181813</v>
      </c>
      <c r="AA360" s="1220" t="s">
        <v>2823</v>
      </c>
      <c r="AB360" s="1220" t="s">
        <v>1395</v>
      </c>
      <c r="AC360" s="251" t="str">
        <f t="shared" si="93"/>
        <v>300gsm IVORY Sinarboard (C1S) - IA</v>
      </c>
      <c r="AD360" s="2746">
        <f>IF(L360&gt;0,IF(input!$B$2=$O$1,(((M360)+(M360)*$M$10)*$P$11)/1000,(((M360)+(M360)*O360+(M360)*$M$10)*$P$11)/1000),0)</f>
        <v>0</v>
      </c>
      <c r="AE360" s="2746">
        <f>IF(L360&gt;0,IF(input!$B$2=$O$1,(((N360)+(N360)*$M$10)*$P$11)/1000,(((N360)+(N360)*O360+(N360)*$M$10)*$P$11)/1000),0)</f>
        <v>0</v>
      </c>
      <c r="AF360" s="136" t="str">
        <f t="shared" si="100"/>
        <v>None</v>
      </c>
      <c r="AG360" s="2628">
        <f t="shared" si="101"/>
        <v>1.2E-2</v>
      </c>
      <c r="AH360" s="1266">
        <v>0.1</v>
      </c>
    </row>
    <row r="361" spans="1:34" ht="12.75">
      <c r="A361" s="2199">
        <f t="shared" si="87"/>
        <v>349</v>
      </c>
      <c r="B361" s="2200" t="s">
        <v>2495</v>
      </c>
      <c r="C361" s="2743">
        <v>0</v>
      </c>
      <c r="D361" s="2743">
        <v>0</v>
      </c>
      <c r="E361" s="2949">
        <v>0.1</v>
      </c>
      <c r="F361" s="2200">
        <v>20</v>
      </c>
      <c r="G361" s="2200" t="s">
        <v>127</v>
      </c>
      <c r="H361" s="2200" t="s">
        <v>1057</v>
      </c>
      <c r="I361" s="2742">
        <v>0</v>
      </c>
      <c r="J361" s="2742"/>
      <c r="K361" s="2752">
        <v>45</v>
      </c>
      <c r="L361" s="2745">
        <f t="shared" si="88"/>
        <v>0</v>
      </c>
      <c r="M361" s="2745">
        <f t="shared" si="96"/>
        <v>0</v>
      </c>
      <c r="N361" s="2745">
        <f t="shared" si="97"/>
        <v>20</v>
      </c>
      <c r="O361" s="1232">
        <f t="shared" si="98"/>
        <v>0.1</v>
      </c>
      <c r="P361" s="1227" t="str">
        <f t="shared" si="102"/>
        <v>310gsm IVORY Sinarboard (C1S) - IA</v>
      </c>
      <c r="Q361" s="254">
        <v>0.42499999999999999</v>
      </c>
      <c r="R361" s="1228" t="str">
        <f t="shared" si="91"/>
        <v>310</v>
      </c>
      <c r="S361" s="2625">
        <f t="shared" si="89"/>
        <v>0</v>
      </c>
      <c r="T361" s="2747">
        <f>IF(L361&gt;0,IF(input!$B$2=$O$1,(((L361+Y361/22)+(L361+Y361/22)*$AG361+$X361)*$P$11+$M$7)/1000,(((L361+Y361/22)+(L361+Y361/22)*O361+(L361+Y361/22)*$AG361+$X361)*$P$11+$M$7)/1000),0)</f>
        <v>0</v>
      </c>
      <c r="U361" s="2747">
        <f t="shared" si="90"/>
        <v>0</v>
      </c>
      <c r="V361" s="1229"/>
      <c r="W361" s="1231" t="str">
        <f t="shared" si="95"/>
        <v>CIF</v>
      </c>
      <c r="X361" s="1230">
        <f t="shared" si="94"/>
        <v>0</v>
      </c>
      <c r="Y361" s="2625">
        <f t="shared" si="99"/>
        <v>0</v>
      </c>
      <c r="Z361" s="3208">
        <f t="shared" si="92"/>
        <v>838.18181818181813</v>
      </c>
      <c r="AA361" s="1220" t="s">
        <v>2823</v>
      </c>
      <c r="AB361" s="1220" t="s">
        <v>1395</v>
      </c>
      <c r="AC361" s="251" t="str">
        <f t="shared" si="93"/>
        <v>310gsm IVORY Sinarboard (C1S) - IA</v>
      </c>
      <c r="AD361" s="2746">
        <f>IF(L361&gt;0,IF(input!$B$2=$O$1,(((M361)+(M361)*$M$10)*$P$11)/1000,(((M361)+(M361)*O361+(M361)*$M$10)*$P$11)/1000),0)</f>
        <v>0</v>
      </c>
      <c r="AE361" s="2746">
        <f>IF(L361&gt;0,IF(input!$B$2=$O$1,(((N361)+(N361)*$M$10)*$P$11)/1000,(((N361)+(N361)*O361+(N361)*$M$10)*$P$11)/1000),0)</f>
        <v>0</v>
      </c>
      <c r="AF361" s="136" t="str">
        <f t="shared" si="100"/>
        <v>None</v>
      </c>
      <c r="AG361" s="2628">
        <f t="shared" si="101"/>
        <v>1.2E-2</v>
      </c>
      <c r="AH361" s="1266">
        <v>0.1</v>
      </c>
    </row>
    <row r="362" spans="1:34" ht="12.75">
      <c r="A362" s="2199">
        <f t="shared" si="87"/>
        <v>350</v>
      </c>
      <c r="B362" s="2200" t="s">
        <v>2496</v>
      </c>
      <c r="C362" s="2743">
        <v>0</v>
      </c>
      <c r="D362" s="2743">
        <v>0</v>
      </c>
      <c r="E362" s="2949">
        <v>0.1</v>
      </c>
      <c r="F362" s="2200">
        <v>20</v>
      </c>
      <c r="G362" s="2200" t="s">
        <v>127</v>
      </c>
      <c r="H362" s="2200" t="s">
        <v>1057</v>
      </c>
      <c r="I362" s="2742">
        <v>0</v>
      </c>
      <c r="J362" s="2742"/>
      <c r="K362" s="2752">
        <v>45</v>
      </c>
      <c r="L362" s="2745">
        <f t="shared" si="88"/>
        <v>0</v>
      </c>
      <c r="M362" s="2745">
        <f t="shared" si="96"/>
        <v>0</v>
      </c>
      <c r="N362" s="2745">
        <f t="shared" si="97"/>
        <v>20</v>
      </c>
      <c r="O362" s="1232">
        <f t="shared" si="98"/>
        <v>0.1</v>
      </c>
      <c r="P362" s="1227" t="str">
        <f t="shared" si="102"/>
        <v>350gsm IVORY Sinarboard (C1S) - IA</v>
      </c>
      <c r="Q362" s="254">
        <v>0.505</v>
      </c>
      <c r="R362" s="1228" t="str">
        <f t="shared" si="91"/>
        <v>350</v>
      </c>
      <c r="S362" s="2625">
        <f t="shared" si="89"/>
        <v>0</v>
      </c>
      <c r="T362" s="2747">
        <f>IF(L362&gt;0,IF(input!$B$2=$O$1,(((L362+Y362/22)+(L362+Y362/22)*$AG362+$X362)*$P$11+$M$7)/1000,(((L362+Y362/22)+(L362+Y362/22)*O362+(L362+Y362/22)*$AG362+$X362)*$P$11+$M$7)/1000),0)</f>
        <v>0</v>
      </c>
      <c r="U362" s="2747">
        <f t="shared" si="90"/>
        <v>0</v>
      </c>
      <c r="V362" s="1229"/>
      <c r="W362" s="1231" t="str">
        <f t="shared" si="95"/>
        <v>CIF</v>
      </c>
      <c r="X362" s="1230">
        <f t="shared" si="94"/>
        <v>0</v>
      </c>
      <c r="Y362" s="2625">
        <f t="shared" si="99"/>
        <v>0</v>
      </c>
      <c r="Z362" s="3208">
        <f t="shared" si="92"/>
        <v>838.18181818181813</v>
      </c>
      <c r="AA362" s="1220" t="s">
        <v>2823</v>
      </c>
      <c r="AB362" s="1220" t="s">
        <v>1395</v>
      </c>
      <c r="AC362" s="251" t="str">
        <f t="shared" si="93"/>
        <v>350gsm IVORY Sinarboard (C1S) - IA</v>
      </c>
      <c r="AD362" s="2746">
        <f>IF(L362&gt;0,IF(input!$B$2=$O$1,(((M362)+(M362)*$M$10)*$P$11)/1000,(((M362)+(M362)*O362+(M362)*$M$10)*$P$11)/1000),0)</f>
        <v>0</v>
      </c>
      <c r="AE362" s="2746">
        <f>IF(L362&gt;0,IF(input!$B$2=$O$1,(((N362)+(N362)*$M$10)*$P$11)/1000,(((N362)+(N362)*O362+(N362)*$M$10)*$P$11)/1000),0)</f>
        <v>0</v>
      </c>
      <c r="AF362" s="136" t="str">
        <f t="shared" si="100"/>
        <v>None</v>
      </c>
      <c r="AG362" s="2628">
        <f t="shared" si="101"/>
        <v>1.2E-2</v>
      </c>
      <c r="AH362" s="1266">
        <v>0.1</v>
      </c>
    </row>
    <row r="363" spans="1:34" ht="12.75">
      <c r="A363" s="2199">
        <f t="shared" si="87"/>
        <v>351</v>
      </c>
      <c r="B363" s="2200" t="s">
        <v>2497</v>
      </c>
      <c r="C363" s="2743">
        <v>0</v>
      </c>
      <c r="D363" s="2743">
        <v>0</v>
      </c>
      <c r="E363" s="2949">
        <v>0.1</v>
      </c>
      <c r="F363" s="2200">
        <v>20</v>
      </c>
      <c r="G363" s="2200" t="s">
        <v>127</v>
      </c>
      <c r="H363" s="2200" t="s">
        <v>1057</v>
      </c>
      <c r="I363" s="2742">
        <v>0</v>
      </c>
      <c r="J363" s="2742"/>
      <c r="K363" s="2752">
        <v>45</v>
      </c>
      <c r="L363" s="2745">
        <f t="shared" si="88"/>
        <v>0</v>
      </c>
      <c r="M363" s="2745">
        <f t="shared" si="96"/>
        <v>0</v>
      </c>
      <c r="N363" s="2745">
        <f t="shared" si="97"/>
        <v>20</v>
      </c>
      <c r="O363" s="1232">
        <f t="shared" si="98"/>
        <v>0.1</v>
      </c>
      <c r="P363" s="1227" t="str">
        <f t="shared" si="102"/>
        <v>400gsm IVORY Sinarboard (C1S) - IA</v>
      </c>
      <c r="Q363" s="254">
        <v>0.59499999999999997</v>
      </c>
      <c r="R363" s="1228" t="str">
        <f t="shared" si="91"/>
        <v>400</v>
      </c>
      <c r="S363" s="2625">
        <f t="shared" si="89"/>
        <v>0</v>
      </c>
      <c r="T363" s="2747">
        <f>IF(L363&gt;0,IF(input!$B$2=$O$1,(((L363+Y363/22)+(L363+Y363/22)*$AG363+$X363)*$P$11+$M$7)/1000,(((L363+Y363/22)+(L363+Y363/22)*O363+(L363+Y363/22)*$AG363+$X363)*$P$11+$M$7)/1000),0)</f>
        <v>0</v>
      </c>
      <c r="U363" s="2747">
        <f t="shared" si="90"/>
        <v>0</v>
      </c>
      <c r="V363" s="1229"/>
      <c r="W363" s="1231" t="str">
        <f t="shared" si="95"/>
        <v>CIF</v>
      </c>
      <c r="X363" s="1230">
        <f t="shared" si="94"/>
        <v>0</v>
      </c>
      <c r="Y363" s="2625">
        <f t="shared" si="99"/>
        <v>0</v>
      </c>
      <c r="Z363" s="3208">
        <f t="shared" si="92"/>
        <v>838.18181818181813</v>
      </c>
      <c r="AA363" s="1220" t="s">
        <v>2823</v>
      </c>
      <c r="AB363" s="1220" t="s">
        <v>1395</v>
      </c>
      <c r="AC363" s="251" t="str">
        <f t="shared" si="93"/>
        <v>400gsm IVORY Sinarboard (C1S) - IA</v>
      </c>
      <c r="AD363" s="2746">
        <f>IF(L363&gt;0,IF(input!$B$2=$O$1,(((M363)+(M363)*$M$10)*$P$11)/1000,(((M363)+(M363)*O363+(M363)*$M$10)*$P$11)/1000),0)</f>
        <v>0</v>
      </c>
      <c r="AE363" s="2746">
        <f>IF(L363&gt;0,IF(input!$B$2=$O$1,(((N363)+(N363)*$M$10)*$P$11)/1000,(((N363)+(N363)*O363+(N363)*$M$10)*$P$11)/1000),0)</f>
        <v>0</v>
      </c>
      <c r="AF363" s="136" t="str">
        <f t="shared" si="100"/>
        <v>None</v>
      </c>
      <c r="AG363" s="2628">
        <f t="shared" si="101"/>
        <v>1.2E-2</v>
      </c>
      <c r="AH363" s="1266">
        <v>0.1</v>
      </c>
    </row>
    <row r="364" spans="1:34" ht="12.75">
      <c r="A364" s="2199">
        <f t="shared" si="87"/>
        <v>352</v>
      </c>
      <c r="B364" s="2200" t="s">
        <v>2498</v>
      </c>
      <c r="C364" s="2743">
        <v>0</v>
      </c>
      <c r="D364" s="2743">
        <v>0</v>
      </c>
      <c r="E364" s="2949">
        <v>0.1</v>
      </c>
      <c r="F364" s="2200">
        <v>20</v>
      </c>
      <c r="G364" s="2200" t="s">
        <v>127</v>
      </c>
      <c r="H364" s="2200" t="s">
        <v>1057</v>
      </c>
      <c r="I364" s="2742">
        <v>0</v>
      </c>
      <c r="J364" s="2742"/>
      <c r="K364" s="2752">
        <v>45</v>
      </c>
      <c r="L364" s="2745">
        <f t="shared" si="88"/>
        <v>0</v>
      </c>
      <c r="M364" s="2745">
        <f t="shared" si="96"/>
        <v>0</v>
      </c>
      <c r="N364" s="2745">
        <f t="shared" si="97"/>
        <v>20</v>
      </c>
      <c r="O364" s="1232">
        <f t="shared" si="98"/>
        <v>0.1</v>
      </c>
      <c r="P364" s="1227" t="str">
        <f t="shared" si="102"/>
        <v>210gsm IVORY Sinarvanda (C1S) - CG1</v>
      </c>
      <c r="Q364" s="254">
        <v>0.30499999999999999</v>
      </c>
      <c r="R364" s="1228" t="str">
        <f t="shared" si="91"/>
        <v>210</v>
      </c>
      <c r="S364" s="2625">
        <f t="shared" si="89"/>
        <v>0</v>
      </c>
      <c r="T364" s="2747">
        <f>IF(L364&gt;0,IF(input!$B$2=$O$1,(((L364+Y364/22)+(L364+Y364/22)*$AG364+$X364)*$P$11+$M$7)/1000,(((L364+Y364/22)+(L364+Y364/22)*O364+(L364+Y364/22)*$AG364+$X364)*$P$11+$M$7)/1000),0)</f>
        <v>0</v>
      </c>
      <c r="U364" s="2747">
        <f t="shared" si="90"/>
        <v>0</v>
      </c>
      <c r="V364" s="1229"/>
      <c r="W364" s="1231" t="str">
        <f t="shared" si="95"/>
        <v>CIF</v>
      </c>
      <c r="X364" s="1230">
        <f t="shared" si="94"/>
        <v>0</v>
      </c>
      <c r="Y364" s="2625">
        <f t="shared" si="99"/>
        <v>0</v>
      </c>
      <c r="Z364" s="3208">
        <f t="shared" si="92"/>
        <v>838.18181818181813</v>
      </c>
      <c r="AA364" s="1220" t="s">
        <v>2824</v>
      </c>
      <c r="AB364" s="1220" t="s">
        <v>1395</v>
      </c>
      <c r="AC364" s="251" t="str">
        <f t="shared" si="93"/>
        <v>210gsm IVORY Sinarvanda (C1S) - CG1</v>
      </c>
      <c r="AD364" s="2746">
        <f>IF(L364&gt;0,IF(input!$B$2=$O$1,(((M364)+(M364)*$M$10)*$P$11)/1000,(((M364)+(M364)*O364+(M364)*$M$10)*$P$11)/1000),0)</f>
        <v>0</v>
      </c>
      <c r="AE364" s="2746">
        <f>IF(L364&gt;0,IF(input!$B$2=$O$1,(((N364)+(N364)*$M$10)*$P$11)/1000,(((N364)+(N364)*O364+(N364)*$M$10)*$P$11)/1000),0)</f>
        <v>0</v>
      </c>
      <c r="AF364" s="136" t="str">
        <f t="shared" si="100"/>
        <v>None</v>
      </c>
      <c r="AG364" s="2628">
        <f t="shared" si="101"/>
        <v>1.2E-2</v>
      </c>
      <c r="AH364" s="1266">
        <v>0.1</v>
      </c>
    </row>
    <row r="365" spans="1:34" ht="12.75">
      <c r="A365" s="2199">
        <f t="shared" si="87"/>
        <v>353</v>
      </c>
      <c r="B365" s="2200" t="s">
        <v>2499</v>
      </c>
      <c r="C365" s="2743">
        <v>0</v>
      </c>
      <c r="D365" s="2743">
        <v>0</v>
      </c>
      <c r="E365" s="2949">
        <v>0.1</v>
      </c>
      <c r="F365" s="2200">
        <v>20</v>
      </c>
      <c r="G365" s="2200" t="s">
        <v>127</v>
      </c>
      <c r="H365" s="2200" t="s">
        <v>1057</v>
      </c>
      <c r="I365" s="2742">
        <v>0</v>
      </c>
      <c r="J365" s="2742"/>
      <c r="K365" s="2752">
        <v>45</v>
      </c>
      <c r="L365" s="2745">
        <f t="shared" si="88"/>
        <v>0</v>
      </c>
      <c r="M365" s="2745">
        <f t="shared" si="96"/>
        <v>0</v>
      </c>
      <c r="N365" s="2745">
        <f t="shared" si="97"/>
        <v>20</v>
      </c>
      <c r="O365" s="1232">
        <f t="shared" si="98"/>
        <v>0.1</v>
      </c>
      <c r="P365" s="1227" t="str">
        <f t="shared" si="102"/>
        <v>230gsm IVORY Sinarvanda (C1S) - CG1</v>
      </c>
      <c r="Q365" s="254">
        <v>0.35</v>
      </c>
      <c r="R365" s="1228" t="str">
        <f t="shared" si="91"/>
        <v>230</v>
      </c>
      <c r="S365" s="2625">
        <f t="shared" si="89"/>
        <v>0</v>
      </c>
      <c r="T365" s="2747">
        <f>IF(L365&gt;0,IF(input!$B$2=$O$1,(((L365+Y365/22)+(L365+Y365/22)*$AG365+$X365)*$P$11+$M$7)/1000,(((L365+Y365/22)+(L365+Y365/22)*O365+(L365+Y365/22)*$AG365+$X365)*$P$11+$M$7)/1000),0)</f>
        <v>0</v>
      </c>
      <c r="U365" s="2747">
        <f t="shared" si="90"/>
        <v>0</v>
      </c>
      <c r="V365" s="1229"/>
      <c r="W365" s="1231" t="str">
        <f t="shared" si="95"/>
        <v>CIF</v>
      </c>
      <c r="X365" s="1230">
        <f t="shared" si="94"/>
        <v>0</v>
      </c>
      <c r="Y365" s="2625">
        <f t="shared" si="99"/>
        <v>0</v>
      </c>
      <c r="Z365" s="3208">
        <f t="shared" si="92"/>
        <v>838.18181818181813</v>
      </c>
      <c r="AA365" s="1220" t="s">
        <v>2824</v>
      </c>
      <c r="AB365" s="1220" t="s">
        <v>1395</v>
      </c>
      <c r="AC365" s="251" t="str">
        <f t="shared" si="93"/>
        <v>230gsm IVORY Sinarvanda (C1S) - CG1</v>
      </c>
      <c r="AD365" s="2746">
        <f>IF(L365&gt;0,IF(input!$B$2=$O$1,(((M365)+(M365)*$M$10)*$P$11)/1000,(((M365)+(M365)*O365+(M365)*$M$10)*$P$11)/1000),0)</f>
        <v>0</v>
      </c>
      <c r="AE365" s="2746">
        <f>IF(L365&gt;0,IF(input!$B$2=$O$1,(((N365)+(N365)*$M$10)*$P$11)/1000,(((N365)+(N365)*O365+(N365)*$M$10)*$P$11)/1000),0)</f>
        <v>0</v>
      </c>
      <c r="AF365" s="136" t="str">
        <f t="shared" si="100"/>
        <v>None</v>
      </c>
      <c r="AG365" s="2628">
        <f t="shared" si="101"/>
        <v>1.2E-2</v>
      </c>
      <c r="AH365" s="1266">
        <v>0.1</v>
      </c>
    </row>
    <row r="366" spans="1:34" ht="12.75">
      <c r="A366" s="2199">
        <f t="shared" si="87"/>
        <v>354</v>
      </c>
      <c r="B366" s="2200" t="s">
        <v>2500</v>
      </c>
      <c r="C366" s="2743">
        <v>0</v>
      </c>
      <c r="D366" s="2743">
        <v>0</v>
      </c>
      <c r="E366" s="2949">
        <v>0.1</v>
      </c>
      <c r="F366" s="2200">
        <v>20</v>
      </c>
      <c r="G366" s="2200" t="s">
        <v>127</v>
      </c>
      <c r="H366" s="2200" t="s">
        <v>1057</v>
      </c>
      <c r="I366" s="2742">
        <v>0</v>
      </c>
      <c r="J366" s="2742"/>
      <c r="K366" s="2752">
        <v>45</v>
      </c>
      <c r="L366" s="2745">
        <f t="shared" si="88"/>
        <v>0</v>
      </c>
      <c r="M366" s="2745">
        <f t="shared" si="96"/>
        <v>0</v>
      </c>
      <c r="N366" s="2745">
        <f t="shared" si="97"/>
        <v>20</v>
      </c>
      <c r="O366" s="1232">
        <f t="shared" si="98"/>
        <v>0.1</v>
      </c>
      <c r="P366" s="1227" t="str">
        <f t="shared" si="102"/>
        <v>245gsm IVORY Sinarvanda (C1S) - CG1</v>
      </c>
      <c r="Q366" s="254">
        <v>0.38</v>
      </c>
      <c r="R366" s="1228" t="str">
        <f t="shared" si="91"/>
        <v>245</v>
      </c>
      <c r="S366" s="2625">
        <f t="shared" si="89"/>
        <v>0</v>
      </c>
      <c r="T366" s="2747">
        <f>IF(L366&gt;0,IF(input!$B$2=$O$1,(((L366+Y366/22)+(L366+Y366/22)*$AG366+$X366)*$P$11+$M$7)/1000,(((L366+Y366/22)+(L366+Y366/22)*O366+(L366+Y366/22)*$AG366+$X366)*$P$11+$M$7)/1000),0)</f>
        <v>0</v>
      </c>
      <c r="U366" s="2747">
        <f t="shared" si="90"/>
        <v>0</v>
      </c>
      <c r="V366" s="1229"/>
      <c r="W366" s="1231" t="str">
        <f t="shared" si="95"/>
        <v>CIF</v>
      </c>
      <c r="X366" s="1230">
        <f t="shared" si="94"/>
        <v>0</v>
      </c>
      <c r="Y366" s="2625">
        <f t="shared" si="99"/>
        <v>0</v>
      </c>
      <c r="Z366" s="3208">
        <f t="shared" si="92"/>
        <v>838.18181818181813</v>
      </c>
      <c r="AA366" s="1220" t="s">
        <v>2824</v>
      </c>
      <c r="AB366" s="1220" t="s">
        <v>1395</v>
      </c>
      <c r="AC366" s="251" t="str">
        <f t="shared" si="93"/>
        <v>245gsm IVORY Sinarvanda (C1S) - CG1</v>
      </c>
      <c r="AD366" s="2746">
        <f>IF(L366&gt;0,IF(input!$B$2=$O$1,(((M366)+(M366)*$M$10)*$P$11)/1000,(((M366)+(M366)*O366+(M366)*$M$10)*$P$11)/1000),0)</f>
        <v>0</v>
      </c>
      <c r="AE366" s="2746">
        <f>IF(L366&gt;0,IF(input!$B$2=$O$1,(((N366)+(N366)*$M$10)*$P$11)/1000,(((N366)+(N366)*O366+(N366)*$M$10)*$P$11)/1000),0)</f>
        <v>0</v>
      </c>
      <c r="AF366" s="136" t="str">
        <f t="shared" si="100"/>
        <v>None</v>
      </c>
      <c r="AG366" s="2628">
        <f t="shared" si="101"/>
        <v>1.2E-2</v>
      </c>
      <c r="AH366" s="1266">
        <v>0.1</v>
      </c>
    </row>
    <row r="367" spans="1:34" ht="12.75">
      <c r="A367" s="2199">
        <f t="shared" si="87"/>
        <v>355</v>
      </c>
      <c r="B367" s="2200" t="s">
        <v>2501</v>
      </c>
      <c r="C367" s="2743">
        <v>0</v>
      </c>
      <c r="D367" s="2743">
        <v>0</v>
      </c>
      <c r="E367" s="2949">
        <v>0.1</v>
      </c>
      <c r="F367" s="2200">
        <v>20</v>
      </c>
      <c r="G367" s="2200" t="s">
        <v>127</v>
      </c>
      <c r="H367" s="2200" t="s">
        <v>1057</v>
      </c>
      <c r="I367" s="2742">
        <v>0</v>
      </c>
      <c r="J367" s="2742"/>
      <c r="K367" s="2752">
        <v>45</v>
      </c>
      <c r="L367" s="2745">
        <f t="shared" si="88"/>
        <v>0</v>
      </c>
      <c r="M367" s="2745">
        <f t="shared" si="96"/>
        <v>0</v>
      </c>
      <c r="N367" s="2745">
        <f t="shared" si="97"/>
        <v>20</v>
      </c>
      <c r="O367" s="1232">
        <f t="shared" si="98"/>
        <v>0.1</v>
      </c>
      <c r="P367" s="1227" t="str">
        <f t="shared" si="102"/>
        <v>260gsm IVORY Sinarvanda (C1S) - CG1</v>
      </c>
      <c r="Q367" s="254">
        <v>0.41</v>
      </c>
      <c r="R367" s="1228" t="str">
        <f t="shared" si="91"/>
        <v>260</v>
      </c>
      <c r="S367" s="2625">
        <f t="shared" si="89"/>
        <v>0</v>
      </c>
      <c r="T367" s="2747">
        <f>IF(L367&gt;0,IF(input!$B$2=$O$1,(((L367+Y367/22)+(L367+Y367/22)*$AG367+$X367)*$P$11+$M$7)/1000,(((L367+Y367/22)+(L367+Y367/22)*O367+(L367+Y367/22)*$AG367+$X367)*$P$11+$M$7)/1000),0)</f>
        <v>0</v>
      </c>
      <c r="U367" s="2747">
        <f t="shared" si="90"/>
        <v>0</v>
      </c>
      <c r="V367" s="1229"/>
      <c r="W367" s="1231" t="str">
        <f t="shared" si="95"/>
        <v>CIF</v>
      </c>
      <c r="X367" s="1230">
        <f t="shared" si="94"/>
        <v>0</v>
      </c>
      <c r="Y367" s="2625">
        <f t="shared" si="99"/>
        <v>0</v>
      </c>
      <c r="Z367" s="3208">
        <f t="shared" si="92"/>
        <v>838.18181818181813</v>
      </c>
      <c r="AA367" s="1220" t="s">
        <v>2824</v>
      </c>
      <c r="AB367" s="1220" t="s">
        <v>1395</v>
      </c>
      <c r="AC367" s="251" t="str">
        <f t="shared" si="93"/>
        <v>260gsm IVORY Sinarvanda (C1S) - CG1</v>
      </c>
      <c r="AD367" s="2746">
        <f>IF(L367&gt;0,IF(input!$B$2=$O$1,(((M367)+(M367)*$M$10)*$P$11)/1000,(((M367)+(M367)*O367+(M367)*$M$10)*$P$11)/1000),0)</f>
        <v>0</v>
      </c>
      <c r="AE367" s="2746">
        <f>IF(L367&gt;0,IF(input!$B$2=$O$1,(((N367)+(N367)*$M$10)*$P$11)/1000,(((N367)+(N367)*O367+(N367)*$M$10)*$P$11)/1000),0)</f>
        <v>0</v>
      </c>
      <c r="AF367" s="136" t="str">
        <f t="shared" si="100"/>
        <v>None</v>
      </c>
      <c r="AG367" s="2628">
        <f t="shared" si="101"/>
        <v>1.2E-2</v>
      </c>
      <c r="AH367" s="1266">
        <v>0.1</v>
      </c>
    </row>
    <row r="368" spans="1:34" ht="12.75">
      <c r="A368" s="2199">
        <f t="shared" si="87"/>
        <v>356</v>
      </c>
      <c r="B368" s="2200" t="s">
        <v>2502</v>
      </c>
      <c r="C368" s="2743">
        <v>0</v>
      </c>
      <c r="D368" s="2743">
        <v>0</v>
      </c>
      <c r="E368" s="2949">
        <v>0.1</v>
      </c>
      <c r="F368" s="2200">
        <v>20</v>
      </c>
      <c r="G368" s="2200" t="s">
        <v>127</v>
      </c>
      <c r="H368" s="2200" t="s">
        <v>1057</v>
      </c>
      <c r="I368" s="2742">
        <v>0</v>
      </c>
      <c r="J368" s="2742"/>
      <c r="K368" s="2752">
        <v>45</v>
      </c>
      <c r="L368" s="2745">
        <f t="shared" si="88"/>
        <v>0</v>
      </c>
      <c r="M368" s="2745">
        <f t="shared" si="96"/>
        <v>0</v>
      </c>
      <c r="N368" s="2745">
        <f t="shared" si="97"/>
        <v>20</v>
      </c>
      <c r="O368" s="1232">
        <f t="shared" si="98"/>
        <v>0.1</v>
      </c>
      <c r="P368" s="1227" t="str">
        <f t="shared" si="102"/>
        <v>280gsm IVORY Sinarvanda (C1S) - CG1</v>
      </c>
      <c r="Q368" s="254">
        <v>0.45</v>
      </c>
      <c r="R368" s="1228" t="str">
        <f t="shared" si="91"/>
        <v>280</v>
      </c>
      <c r="S368" s="2625">
        <f t="shared" si="89"/>
        <v>0</v>
      </c>
      <c r="T368" s="2747">
        <f>IF(L368&gt;0,IF(input!$B$2=$O$1,(((L368+Y368/22)+(L368+Y368/22)*$AG368+$X368)*$P$11+$M$7)/1000,(((L368+Y368/22)+(L368+Y368/22)*O368+(L368+Y368/22)*$AG368+$X368)*$P$11+$M$7)/1000),0)</f>
        <v>0</v>
      </c>
      <c r="U368" s="2747">
        <f t="shared" si="90"/>
        <v>0</v>
      </c>
      <c r="V368" s="1229"/>
      <c r="W368" s="1231" t="str">
        <f t="shared" si="95"/>
        <v>CIF</v>
      </c>
      <c r="X368" s="1230">
        <f t="shared" si="94"/>
        <v>0</v>
      </c>
      <c r="Y368" s="2625">
        <f t="shared" si="99"/>
        <v>0</v>
      </c>
      <c r="Z368" s="3208">
        <f t="shared" si="92"/>
        <v>838.18181818181813</v>
      </c>
      <c r="AA368" s="1220" t="s">
        <v>2824</v>
      </c>
      <c r="AB368" s="1220" t="s">
        <v>1395</v>
      </c>
      <c r="AC368" s="251" t="str">
        <f t="shared" si="93"/>
        <v>280gsm IVORY Sinarvanda (C1S) - CG1</v>
      </c>
      <c r="AD368" s="2746">
        <f>IF(L368&gt;0,IF(input!$B$2=$O$1,(((M368)+(M368)*$M$10)*$P$11)/1000,(((M368)+(M368)*O368+(M368)*$M$10)*$P$11)/1000),0)</f>
        <v>0</v>
      </c>
      <c r="AE368" s="2746">
        <f>IF(L368&gt;0,IF(input!$B$2=$O$1,(((N368)+(N368)*$M$10)*$P$11)/1000,(((N368)+(N368)*O368+(N368)*$M$10)*$P$11)/1000),0)</f>
        <v>0</v>
      </c>
      <c r="AF368" s="136" t="str">
        <f t="shared" si="100"/>
        <v>None</v>
      </c>
      <c r="AG368" s="2628">
        <f t="shared" si="101"/>
        <v>1.2E-2</v>
      </c>
      <c r="AH368" s="1266">
        <v>0.1</v>
      </c>
    </row>
    <row r="369" spans="1:34" ht="12.75">
      <c r="A369" s="2199">
        <f t="shared" si="87"/>
        <v>357</v>
      </c>
      <c r="B369" s="2200" t="s">
        <v>2503</v>
      </c>
      <c r="C369" s="2743">
        <v>0</v>
      </c>
      <c r="D369" s="2743">
        <v>0</v>
      </c>
      <c r="E369" s="2949">
        <v>0.1</v>
      </c>
      <c r="F369" s="2200">
        <v>20</v>
      </c>
      <c r="G369" s="2200" t="s">
        <v>127</v>
      </c>
      <c r="H369" s="2200" t="s">
        <v>1057</v>
      </c>
      <c r="I369" s="2742">
        <v>0</v>
      </c>
      <c r="J369" s="2742"/>
      <c r="K369" s="2752">
        <v>45</v>
      </c>
      <c r="L369" s="2745">
        <f t="shared" si="88"/>
        <v>0</v>
      </c>
      <c r="M369" s="2745">
        <f t="shared" si="96"/>
        <v>0</v>
      </c>
      <c r="N369" s="2745">
        <f t="shared" si="97"/>
        <v>20</v>
      </c>
      <c r="O369" s="1232">
        <f t="shared" si="98"/>
        <v>0.1</v>
      </c>
      <c r="P369" s="1227" t="str">
        <f t="shared" si="102"/>
        <v>305gsm IVORY Sinarvanda (C1S) - CG1</v>
      </c>
      <c r="Q369" s="254">
        <v>0.5</v>
      </c>
      <c r="R369" s="1228" t="str">
        <f t="shared" si="91"/>
        <v>305</v>
      </c>
      <c r="S369" s="2625">
        <f t="shared" si="89"/>
        <v>0</v>
      </c>
      <c r="T369" s="2747">
        <f>IF(L369&gt;0,IF(input!$B$2=$O$1,(((L369+Y369/22)+(L369+Y369/22)*$AG369+$X369)*$P$11+$M$7)/1000,(((L369+Y369/22)+(L369+Y369/22)*O369+(L369+Y369/22)*$AG369+$X369)*$P$11+$M$7)/1000),0)</f>
        <v>0</v>
      </c>
      <c r="U369" s="2747">
        <f t="shared" si="90"/>
        <v>0</v>
      </c>
      <c r="V369" s="1229"/>
      <c r="W369" s="1231" t="str">
        <f t="shared" si="95"/>
        <v>CIF</v>
      </c>
      <c r="X369" s="1230">
        <f t="shared" si="94"/>
        <v>0</v>
      </c>
      <c r="Y369" s="2625">
        <f t="shared" si="99"/>
        <v>0</v>
      </c>
      <c r="Z369" s="3208">
        <f t="shared" si="92"/>
        <v>838.18181818181813</v>
      </c>
      <c r="AA369" s="1220" t="s">
        <v>2824</v>
      </c>
      <c r="AB369" s="1220" t="s">
        <v>1395</v>
      </c>
      <c r="AC369" s="251" t="str">
        <f t="shared" si="93"/>
        <v>305gsm IVORY Sinarvanda (C1S) - CG1</v>
      </c>
      <c r="AD369" s="2746">
        <f>IF(L369&gt;0,IF(input!$B$2=$O$1,(((M369)+(M369)*$M$10)*$P$11)/1000,(((M369)+(M369)*O369+(M369)*$M$10)*$P$11)/1000),0)</f>
        <v>0</v>
      </c>
      <c r="AE369" s="2746">
        <f>IF(L369&gt;0,IF(input!$B$2=$O$1,(((N369)+(N369)*$M$10)*$P$11)/1000,(((N369)+(N369)*O369+(N369)*$M$10)*$P$11)/1000),0)</f>
        <v>0</v>
      </c>
      <c r="AF369" s="136" t="str">
        <f t="shared" si="100"/>
        <v>None</v>
      </c>
      <c r="AG369" s="2628">
        <f t="shared" si="101"/>
        <v>1.2E-2</v>
      </c>
      <c r="AH369" s="1266">
        <v>0.1</v>
      </c>
    </row>
    <row r="370" spans="1:34" ht="12.75">
      <c r="A370" s="2199">
        <f t="shared" si="87"/>
        <v>358</v>
      </c>
      <c r="B370" s="2200" t="s">
        <v>2504</v>
      </c>
      <c r="C370" s="2743">
        <v>0</v>
      </c>
      <c r="D370" s="2743">
        <v>0</v>
      </c>
      <c r="E370" s="2949">
        <v>0.1</v>
      </c>
      <c r="F370" s="2200">
        <v>20</v>
      </c>
      <c r="G370" s="2200" t="s">
        <v>127</v>
      </c>
      <c r="H370" s="2200" t="s">
        <v>1057</v>
      </c>
      <c r="I370" s="2742">
        <v>0</v>
      </c>
      <c r="J370" s="2742"/>
      <c r="K370" s="2752">
        <v>45</v>
      </c>
      <c r="L370" s="2745">
        <f t="shared" si="88"/>
        <v>0</v>
      </c>
      <c r="M370" s="2745">
        <f t="shared" si="96"/>
        <v>0</v>
      </c>
      <c r="N370" s="2745">
        <f t="shared" si="97"/>
        <v>20</v>
      </c>
      <c r="O370" s="1232">
        <f t="shared" si="98"/>
        <v>0.1</v>
      </c>
      <c r="P370" s="1227" t="str">
        <f t="shared" si="102"/>
        <v>330gsm IVORY Sinarvanda (C1S) - CG1</v>
      </c>
      <c r="Q370" s="254">
        <v>0.55000000000000004</v>
      </c>
      <c r="R370" s="1228" t="str">
        <f t="shared" si="91"/>
        <v>330</v>
      </c>
      <c r="S370" s="2625">
        <f t="shared" si="89"/>
        <v>0</v>
      </c>
      <c r="T370" s="2747">
        <f>IF(L370&gt;0,IF(input!$B$2=$O$1,(((L370+Y370/22)+(L370+Y370/22)*$AG370+$X370)*$P$11+$M$7)/1000,(((L370+Y370/22)+(L370+Y370/22)*O370+(L370+Y370/22)*$AG370+$X370)*$P$11+$M$7)/1000),0)</f>
        <v>0</v>
      </c>
      <c r="U370" s="2747">
        <f t="shared" si="90"/>
        <v>0</v>
      </c>
      <c r="V370" s="1229"/>
      <c r="W370" s="1231" t="str">
        <f t="shared" si="95"/>
        <v>CIF</v>
      </c>
      <c r="X370" s="1230">
        <f t="shared" si="94"/>
        <v>0</v>
      </c>
      <c r="Y370" s="2625">
        <f t="shared" si="99"/>
        <v>0</v>
      </c>
      <c r="Z370" s="3208">
        <f t="shared" si="92"/>
        <v>838.18181818181813</v>
      </c>
      <c r="AA370" s="1220" t="s">
        <v>2824</v>
      </c>
      <c r="AB370" s="1220" t="s">
        <v>1395</v>
      </c>
      <c r="AC370" s="251" t="str">
        <f t="shared" si="93"/>
        <v>330gsm IVORY Sinarvanda (C1S) - CG1</v>
      </c>
      <c r="AD370" s="2746">
        <f>IF(L370&gt;0,IF(input!$B$2=$O$1,(((M370)+(M370)*$M$10)*$P$11)/1000,(((M370)+(M370)*O370+(M370)*$M$10)*$P$11)/1000),0)</f>
        <v>0</v>
      </c>
      <c r="AE370" s="2746">
        <f>IF(L370&gt;0,IF(input!$B$2=$O$1,(((N370)+(N370)*$M$10)*$P$11)/1000,(((N370)+(N370)*O370+(N370)*$M$10)*$P$11)/1000),0)</f>
        <v>0</v>
      </c>
      <c r="AF370" s="136" t="str">
        <f t="shared" si="100"/>
        <v>None</v>
      </c>
      <c r="AG370" s="2628">
        <f t="shared" si="101"/>
        <v>1.2E-2</v>
      </c>
      <c r="AH370" s="1266">
        <v>0.1</v>
      </c>
    </row>
    <row r="371" spans="1:34" ht="12.75">
      <c r="A371" s="2199">
        <f t="shared" si="87"/>
        <v>359</v>
      </c>
      <c r="B371" s="2200" t="s">
        <v>2505</v>
      </c>
      <c r="C371" s="2743">
        <v>0</v>
      </c>
      <c r="D371" s="2743">
        <v>0</v>
      </c>
      <c r="E371" s="2949">
        <v>0.1</v>
      </c>
      <c r="F371" s="2200">
        <v>20</v>
      </c>
      <c r="G371" s="2200" t="s">
        <v>127</v>
      </c>
      <c r="H371" s="2200" t="s">
        <v>1057</v>
      </c>
      <c r="I371" s="2742">
        <v>0</v>
      </c>
      <c r="J371" s="2742"/>
      <c r="K371" s="2752">
        <v>45</v>
      </c>
      <c r="L371" s="2745">
        <f t="shared" si="88"/>
        <v>0</v>
      </c>
      <c r="M371" s="2745">
        <f t="shared" si="96"/>
        <v>0</v>
      </c>
      <c r="N371" s="2745">
        <f t="shared" si="97"/>
        <v>20</v>
      </c>
      <c r="O371" s="1232">
        <f t="shared" si="98"/>
        <v>0.1</v>
      </c>
      <c r="P371" s="1227" t="str">
        <f t="shared" si="102"/>
        <v>360gsm IVORY Sinarvanda (C1S) - CG1</v>
      </c>
      <c r="Q371" s="254">
        <v>0.6</v>
      </c>
      <c r="R371" s="1228" t="str">
        <f t="shared" si="91"/>
        <v>360</v>
      </c>
      <c r="S371" s="2625">
        <f t="shared" si="89"/>
        <v>0</v>
      </c>
      <c r="T371" s="2747">
        <f>IF(L371&gt;0,IF(input!$B$2=$O$1,(((L371+Y371/22)+(L371+Y371/22)*$AG371+$X371)*$P$11+$M$7)/1000,(((L371+Y371/22)+(L371+Y371/22)*O371+(L371+Y371/22)*$AG371+$X371)*$P$11+$M$7)/1000),0)</f>
        <v>0</v>
      </c>
      <c r="U371" s="2747">
        <f t="shared" si="90"/>
        <v>0</v>
      </c>
      <c r="V371" s="1229"/>
      <c r="W371" s="1231" t="str">
        <f t="shared" si="95"/>
        <v>CIF</v>
      </c>
      <c r="X371" s="1230">
        <f t="shared" si="94"/>
        <v>0</v>
      </c>
      <c r="Y371" s="2625">
        <f t="shared" si="99"/>
        <v>0</v>
      </c>
      <c r="Z371" s="3208">
        <f t="shared" si="92"/>
        <v>838.18181818181813</v>
      </c>
      <c r="AA371" s="1220" t="s">
        <v>2824</v>
      </c>
      <c r="AB371" s="1220" t="s">
        <v>1395</v>
      </c>
      <c r="AC371" s="251" t="str">
        <f t="shared" si="93"/>
        <v>360gsm IVORY Sinarvanda (C1S) - CG1</v>
      </c>
      <c r="AD371" s="2746">
        <f>IF(L371&gt;0,IF(input!$B$2=$O$1,(((M371)+(M371)*$M$10)*$P$11)/1000,(((M371)+(M371)*O371+(M371)*$M$10)*$P$11)/1000),0)</f>
        <v>0</v>
      </c>
      <c r="AE371" s="2746">
        <f>IF(L371&gt;0,IF(input!$B$2=$O$1,(((N371)+(N371)*$M$10)*$P$11)/1000,(((N371)+(N371)*O371+(N371)*$M$10)*$P$11)/1000),0)</f>
        <v>0</v>
      </c>
      <c r="AF371" s="136" t="str">
        <f t="shared" si="100"/>
        <v>None</v>
      </c>
      <c r="AG371" s="2628">
        <f t="shared" si="101"/>
        <v>1.2E-2</v>
      </c>
      <c r="AH371" s="1266">
        <v>0.1</v>
      </c>
    </row>
    <row r="372" spans="1:34" ht="12.75">
      <c r="A372" s="2199">
        <f t="shared" si="87"/>
        <v>360</v>
      </c>
      <c r="B372" s="2200" t="s">
        <v>2506</v>
      </c>
      <c r="C372" s="2743">
        <v>0</v>
      </c>
      <c r="D372" s="2743">
        <v>0</v>
      </c>
      <c r="E372" s="2949">
        <v>0.05</v>
      </c>
      <c r="F372" s="2200" t="s">
        <v>2313</v>
      </c>
      <c r="G372" s="2200" t="s">
        <v>127</v>
      </c>
      <c r="H372" s="2200" t="s">
        <v>1057</v>
      </c>
      <c r="I372" s="2742">
        <v>0</v>
      </c>
      <c r="J372" s="2742"/>
      <c r="K372" s="2752">
        <v>75</v>
      </c>
      <c r="L372" s="2745">
        <f t="shared" si="88"/>
        <v>0</v>
      </c>
      <c r="M372" s="2745">
        <f t="shared" si="96"/>
        <v>0</v>
      </c>
      <c r="N372" s="2745" t="str">
        <f t="shared" si="97"/>
        <v>check</v>
      </c>
      <c r="O372" s="1232">
        <f t="shared" si="98"/>
        <v>0.05</v>
      </c>
      <c r="P372" s="1227" t="str">
        <f t="shared" si="102"/>
        <v>170gsm IVORY Ensocoat (C1S) StoraEnso</v>
      </c>
      <c r="Q372" s="254">
        <v>0.19</v>
      </c>
      <c r="R372" s="1228" t="str">
        <f t="shared" si="91"/>
        <v>170</v>
      </c>
      <c r="S372" s="2625">
        <f t="shared" si="89"/>
        <v>0</v>
      </c>
      <c r="T372" s="2747">
        <f>IF(L372&gt;0,IF(input!$B$2=$O$1,(((L372+Y372/22)+(L372+Y372/22)*$AG372+$X372)*$P$11+$M$7)/1000,(((L372+Y372/22)+(L372+Y372/22)*O372+(L372+Y372/22)*$AG372+$X372)*$P$11+$M$7)/1000),0)</f>
        <v>0</v>
      </c>
      <c r="U372" s="2747">
        <f t="shared" si="90"/>
        <v>0</v>
      </c>
      <c r="V372" s="1229"/>
      <c r="W372" s="1231" t="str">
        <f t="shared" si="95"/>
        <v>CIF</v>
      </c>
      <c r="X372" s="1230">
        <f t="shared" si="94"/>
        <v>0</v>
      </c>
      <c r="Y372" s="2625">
        <f t="shared" si="99"/>
        <v>0</v>
      </c>
      <c r="Z372" s="3208">
        <f t="shared" si="92"/>
        <v>838.18181818181813</v>
      </c>
      <c r="AA372" s="1220" t="s">
        <v>2825</v>
      </c>
      <c r="AB372" s="1220" t="s">
        <v>1395</v>
      </c>
      <c r="AC372" s="251" t="str">
        <f t="shared" si="93"/>
        <v>170gsm IVORY Ensocoat (C1S) StoraEnso</v>
      </c>
      <c r="AD372" s="2746">
        <f>IF(L372&gt;0,IF(input!$B$2=$O$1,(((M372)+(M372)*$M$10)*$P$11)/1000,(((M372)+(M372)*O372+(M372)*$M$10)*$P$11)/1000),0)</f>
        <v>0</v>
      </c>
      <c r="AE372" s="2746">
        <f>IF(L372&gt;0,IF(input!$B$2=$O$1,(((N372)+(N372)*$M$10)*$P$11)/1000,(((N372)+(N372)*O372+(N372)*$M$10)*$P$11)/1000),0)</f>
        <v>0</v>
      </c>
      <c r="AF372" s="136" t="str">
        <f t="shared" si="100"/>
        <v>None</v>
      </c>
      <c r="AG372" s="2628">
        <f t="shared" si="101"/>
        <v>0.02</v>
      </c>
      <c r="AH372" s="1266">
        <v>0.1</v>
      </c>
    </row>
    <row r="373" spans="1:34" ht="12.75">
      <c r="A373" s="2199">
        <f t="shared" si="87"/>
        <v>361</v>
      </c>
      <c r="B373" s="2200" t="s">
        <v>2507</v>
      </c>
      <c r="C373" s="2743">
        <v>0</v>
      </c>
      <c r="D373" s="2743">
        <v>0</v>
      </c>
      <c r="E373" s="2949">
        <v>0.05</v>
      </c>
      <c r="F373" s="2200" t="s">
        <v>2313</v>
      </c>
      <c r="G373" s="2200" t="s">
        <v>127</v>
      </c>
      <c r="H373" s="2200" t="s">
        <v>1057</v>
      </c>
      <c r="I373" s="2742">
        <v>0</v>
      </c>
      <c r="J373" s="2742"/>
      <c r="K373" s="2752">
        <v>75</v>
      </c>
      <c r="L373" s="2745">
        <f t="shared" si="88"/>
        <v>0</v>
      </c>
      <c r="M373" s="2745">
        <f t="shared" si="96"/>
        <v>0</v>
      </c>
      <c r="N373" s="2745" t="str">
        <f t="shared" si="97"/>
        <v>check</v>
      </c>
      <c r="O373" s="1232">
        <f t="shared" si="98"/>
        <v>0.05</v>
      </c>
      <c r="P373" s="1227" t="str">
        <f t="shared" si="102"/>
        <v>190gsm IVORY Ensocoat (C1S) StoraEnso</v>
      </c>
      <c r="Q373" s="254">
        <v>0.22</v>
      </c>
      <c r="R373" s="1228" t="str">
        <f t="shared" si="91"/>
        <v>190</v>
      </c>
      <c r="S373" s="2625">
        <f t="shared" si="89"/>
        <v>0</v>
      </c>
      <c r="T373" s="2747">
        <f>IF(L373&gt;0,IF(input!$B$2=$O$1,(((L373+Y373/22)+(L373+Y373/22)*$AG373+$X373)*$P$11+$M$7)/1000,(((L373+Y373/22)+(L373+Y373/22)*O373+(L373+Y373/22)*$AG373+$X373)*$P$11+$M$7)/1000),0)</f>
        <v>0</v>
      </c>
      <c r="U373" s="2747">
        <f t="shared" si="90"/>
        <v>0</v>
      </c>
      <c r="V373" s="1229"/>
      <c r="W373" s="1231" t="str">
        <f t="shared" si="95"/>
        <v>CIF</v>
      </c>
      <c r="X373" s="1230">
        <f t="shared" si="94"/>
        <v>0</v>
      </c>
      <c r="Y373" s="2625">
        <f t="shared" si="99"/>
        <v>0</v>
      </c>
      <c r="Z373" s="3208">
        <f t="shared" si="92"/>
        <v>838.18181818181813</v>
      </c>
      <c r="AA373" s="1220" t="s">
        <v>2825</v>
      </c>
      <c r="AB373" s="1220" t="s">
        <v>1395</v>
      </c>
      <c r="AC373" s="251" t="str">
        <f t="shared" si="93"/>
        <v>190gsm IVORY Ensocoat (C1S) StoraEnso</v>
      </c>
      <c r="AD373" s="2746">
        <f>IF(L373&gt;0,IF(input!$B$2=$O$1,(((M373)+(M373)*$M$10)*$P$11)/1000,(((M373)+(M373)*O373+(M373)*$M$10)*$P$11)/1000),0)</f>
        <v>0</v>
      </c>
      <c r="AE373" s="2746">
        <f>IF(L373&gt;0,IF(input!$B$2=$O$1,(((N373)+(N373)*$M$10)*$P$11)/1000,(((N373)+(N373)*O373+(N373)*$M$10)*$P$11)/1000),0)</f>
        <v>0</v>
      </c>
      <c r="AF373" s="136" t="str">
        <f t="shared" si="100"/>
        <v>None</v>
      </c>
      <c r="AG373" s="2628">
        <f t="shared" si="101"/>
        <v>0.02</v>
      </c>
      <c r="AH373" s="1266">
        <v>0.1</v>
      </c>
    </row>
    <row r="374" spans="1:34" ht="12.75">
      <c r="A374" s="2199">
        <f t="shared" si="87"/>
        <v>362</v>
      </c>
      <c r="B374" s="2200" t="s">
        <v>2508</v>
      </c>
      <c r="C374" s="2743">
        <v>0</v>
      </c>
      <c r="D374" s="2743">
        <v>0</v>
      </c>
      <c r="E374" s="2949">
        <v>0.05</v>
      </c>
      <c r="F374" s="2200" t="s">
        <v>2313</v>
      </c>
      <c r="G374" s="2200" t="s">
        <v>127</v>
      </c>
      <c r="H374" s="2200" t="s">
        <v>1057</v>
      </c>
      <c r="I374" s="2742">
        <v>0</v>
      </c>
      <c r="J374" s="2742"/>
      <c r="K374" s="2752">
        <v>75</v>
      </c>
      <c r="L374" s="2745">
        <f t="shared" si="88"/>
        <v>0</v>
      </c>
      <c r="M374" s="2745">
        <f t="shared" si="96"/>
        <v>0</v>
      </c>
      <c r="N374" s="2745" t="str">
        <f t="shared" si="97"/>
        <v>check</v>
      </c>
      <c r="O374" s="1232">
        <f t="shared" si="98"/>
        <v>0.05</v>
      </c>
      <c r="P374" s="1227" t="str">
        <f t="shared" si="102"/>
        <v>210gsm IVORY Ensocoat (C1S) StoraEnso</v>
      </c>
      <c r="Q374" s="254">
        <v>0.245</v>
      </c>
      <c r="R374" s="1228" t="str">
        <f t="shared" si="91"/>
        <v>210</v>
      </c>
      <c r="S374" s="2625">
        <f t="shared" si="89"/>
        <v>0</v>
      </c>
      <c r="T374" s="2747">
        <f>IF(L374&gt;0,IF(input!$B$2=$O$1,(((L374+Y374/22)+(L374+Y374/22)*$AG374+$X374)*$P$11+$M$7)/1000,(((L374+Y374/22)+(L374+Y374/22)*O374+(L374+Y374/22)*$AG374+$X374)*$P$11+$M$7)/1000),0)</f>
        <v>0</v>
      </c>
      <c r="U374" s="2747">
        <f t="shared" si="90"/>
        <v>0</v>
      </c>
      <c r="V374" s="1229"/>
      <c r="W374" s="1231" t="str">
        <f t="shared" si="95"/>
        <v>CIF</v>
      </c>
      <c r="X374" s="1230">
        <f t="shared" si="94"/>
        <v>0</v>
      </c>
      <c r="Y374" s="2625">
        <f t="shared" si="99"/>
        <v>0</v>
      </c>
      <c r="Z374" s="3208">
        <f t="shared" si="92"/>
        <v>838.18181818181813</v>
      </c>
      <c r="AA374" s="1220" t="s">
        <v>2825</v>
      </c>
      <c r="AB374" s="1220" t="s">
        <v>1395</v>
      </c>
      <c r="AC374" s="251" t="str">
        <f t="shared" si="93"/>
        <v>210gsm IVORY Ensocoat (C1S) StoraEnso</v>
      </c>
      <c r="AD374" s="2746">
        <f>IF(L374&gt;0,IF(input!$B$2=$O$1,(((M374)+(M374)*$M$10)*$P$11)/1000,(((M374)+(M374)*O374+(M374)*$M$10)*$P$11)/1000),0)</f>
        <v>0</v>
      </c>
      <c r="AE374" s="2746">
        <f>IF(L374&gt;0,IF(input!$B$2=$O$1,(((N374)+(N374)*$M$10)*$P$11)/1000,(((N374)+(N374)*O374+(N374)*$M$10)*$P$11)/1000),0)</f>
        <v>0</v>
      </c>
      <c r="AF374" s="136" t="str">
        <f t="shared" si="100"/>
        <v>None</v>
      </c>
      <c r="AG374" s="2628">
        <f t="shared" si="101"/>
        <v>0.02</v>
      </c>
      <c r="AH374" s="1266">
        <v>0.1</v>
      </c>
    </row>
    <row r="375" spans="1:34" ht="12.75">
      <c r="A375" s="2199">
        <f t="shared" si="87"/>
        <v>363</v>
      </c>
      <c r="B375" s="2200" t="s">
        <v>2509</v>
      </c>
      <c r="C375" s="2743">
        <v>0</v>
      </c>
      <c r="D375" s="2743">
        <v>0</v>
      </c>
      <c r="E375" s="2949">
        <v>0.05</v>
      </c>
      <c r="F375" s="2200" t="s">
        <v>2313</v>
      </c>
      <c r="G375" s="2200" t="s">
        <v>127</v>
      </c>
      <c r="H375" s="2200" t="s">
        <v>1057</v>
      </c>
      <c r="I375" s="2742">
        <v>0</v>
      </c>
      <c r="J375" s="2742"/>
      <c r="K375" s="2752">
        <v>75</v>
      </c>
      <c r="L375" s="2745">
        <f t="shared" si="88"/>
        <v>0</v>
      </c>
      <c r="M375" s="2745">
        <f t="shared" si="96"/>
        <v>0</v>
      </c>
      <c r="N375" s="2745" t="str">
        <f t="shared" si="97"/>
        <v>check</v>
      </c>
      <c r="O375" s="1232">
        <f t="shared" si="98"/>
        <v>0.05</v>
      </c>
      <c r="P375" s="1227" t="str">
        <f t="shared" si="102"/>
        <v>230gsm IVORY Ensocoat (C1S) StoraEnso</v>
      </c>
      <c r="Q375" s="254">
        <v>0.27500000000000002</v>
      </c>
      <c r="R375" s="1228" t="str">
        <f t="shared" si="91"/>
        <v>230</v>
      </c>
      <c r="S375" s="2625">
        <f t="shared" si="89"/>
        <v>0</v>
      </c>
      <c r="T375" s="2747">
        <f>IF(L375&gt;0,IF(input!$B$2=$O$1,(((L375+Y375/22)+(L375+Y375/22)*$AG375+$X375)*$P$11+$M$7)/1000,(((L375+Y375/22)+(L375+Y375/22)*O375+(L375+Y375/22)*$AG375+$X375)*$P$11+$M$7)/1000),0)</f>
        <v>0</v>
      </c>
      <c r="U375" s="2747">
        <f t="shared" si="90"/>
        <v>0</v>
      </c>
      <c r="V375" s="1229"/>
      <c r="W375" s="1231" t="str">
        <f t="shared" si="95"/>
        <v>CIF</v>
      </c>
      <c r="X375" s="1230">
        <f t="shared" si="94"/>
        <v>0</v>
      </c>
      <c r="Y375" s="2625">
        <f t="shared" si="99"/>
        <v>0</v>
      </c>
      <c r="Z375" s="3208">
        <f t="shared" si="92"/>
        <v>838.18181818181813</v>
      </c>
      <c r="AA375" s="1220" t="s">
        <v>2825</v>
      </c>
      <c r="AB375" s="1220" t="s">
        <v>1395</v>
      </c>
      <c r="AC375" s="251" t="str">
        <f t="shared" si="93"/>
        <v>230gsm IVORY Ensocoat (C1S) StoraEnso</v>
      </c>
      <c r="AD375" s="2746">
        <f>IF(L375&gt;0,IF(input!$B$2=$O$1,(((M375)+(M375)*$M$10)*$P$11)/1000,(((M375)+(M375)*O375+(M375)*$M$10)*$P$11)/1000),0)</f>
        <v>0</v>
      </c>
      <c r="AE375" s="2746">
        <f>IF(L375&gt;0,IF(input!$B$2=$O$1,(((N375)+(N375)*$M$10)*$P$11)/1000,(((N375)+(N375)*O375+(N375)*$M$10)*$P$11)/1000),0)</f>
        <v>0</v>
      </c>
      <c r="AF375" s="136" t="str">
        <f t="shared" si="100"/>
        <v>None</v>
      </c>
      <c r="AG375" s="2628">
        <f t="shared" si="101"/>
        <v>0.02</v>
      </c>
      <c r="AH375" s="1266">
        <v>0.1</v>
      </c>
    </row>
    <row r="376" spans="1:34" ht="12.75">
      <c r="A376" s="2199">
        <f t="shared" si="87"/>
        <v>364</v>
      </c>
      <c r="B376" s="2200" t="s">
        <v>2510</v>
      </c>
      <c r="C376" s="2743">
        <v>0</v>
      </c>
      <c r="D376" s="2743">
        <v>0</v>
      </c>
      <c r="E376" s="2949">
        <v>0.05</v>
      </c>
      <c r="F376" s="2200" t="s">
        <v>2313</v>
      </c>
      <c r="G376" s="2200" t="s">
        <v>127</v>
      </c>
      <c r="H376" s="2200" t="s">
        <v>1057</v>
      </c>
      <c r="I376" s="2742">
        <v>0</v>
      </c>
      <c r="J376" s="2742"/>
      <c r="K376" s="2752">
        <v>75</v>
      </c>
      <c r="L376" s="2745">
        <f t="shared" si="88"/>
        <v>0</v>
      </c>
      <c r="M376" s="2745">
        <f t="shared" si="96"/>
        <v>0</v>
      </c>
      <c r="N376" s="2745" t="str">
        <f t="shared" si="97"/>
        <v>check</v>
      </c>
      <c r="O376" s="1232">
        <f t="shared" si="98"/>
        <v>0.05</v>
      </c>
      <c r="P376" s="1227" t="str">
        <f t="shared" si="102"/>
        <v>250gsm IVORY Ensocoat (C1S) StoraEnso</v>
      </c>
      <c r="Q376" s="254">
        <v>0.30499999999999999</v>
      </c>
      <c r="R376" s="1228" t="str">
        <f t="shared" si="91"/>
        <v>250</v>
      </c>
      <c r="S376" s="2625">
        <f t="shared" si="89"/>
        <v>0</v>
      </c>
      <c r="T376" s="2747">
        <f>IF(L376&gt;0,IF(input!$B$2=$O$1,(((L376+Y376/22)+(L376+Y376/22)*$AG376+$X376)*$P$11+$M$7)/1000,(((L376+Y376/22)+(L376+Y376/22)*O376+(L376+Y376/22)*$AG376+$X376)*$P$11+$M$7)/1000),0)</f>
        <v>0</v>
      </c>
      <c r="U376" s="2747">
        <f t="shared" si="90"/>
        <v>0</v>
      </c>
      <c r="V376" s="1229"/>
      <c r="W376" s="1231" t="str">
        <f t="shared" si="95"/>
        <v>CIF</v>
      </c>
      <c r="X376" s="1230">
        <f t="shared" si="94"/>
        <v>0</v>
      </c>
      <c r="Y376" s="2625">
        <f t="shared" si="99"/>
        <v>0</v>
      </c>
      <c r="Z376" s="3208">
        <f t="shared" si="92"/>
        <v>838.18181818181813</v>
      </c>
      <c r="AA376" s="1220" t="s">
        <v>2825</v>
      </c>
      <c r="AB376" s="1220" t="s">
        <v>1395</v>
      </c>
      <c r="AC376" s="251" t="str">
        <f t="shared" si="93"/>
        <v>250gsm IVORY Ensocoat (C1S) StoraEnso</v>
      </c>
      <c r="AD376" s="2746">
        <f>IF(L376&gt;0,IF(input!$B$2=$O$1,(((M376)+(M376)*$M$10)*$P$11)/1000,(((M376)+(M376)*O376+(M376)*$M$10)*$P$11)/1000),0)</f>
        <v>0</v>
      </c>
      <c r="AE376" s="2746">
        <f>IF(L376&gt;0,IF(input!$B$2=$O$1,(((N376)+(N376)*$M$10)*$P$11)/1000,(((N376)+(N376)*O376+(N376)*$M$10)*$P$11)/1000),0)</f>
        <v>0</v>
      </c>
      <c r="AF376" s="136" t="str">
        <f t="shared" si="100"/>
        <v>None</v>
      </c>
      <c r="AG376" s="2628">
        <f t="shared" si="101"/>
        <v>0.02</v>
      </c>
      <c r="AH376" s="1266">
        <v>0.1</v>
      </c>
    </row>
    <row r="377" spans="1:34" ht="12.75">
      <c r="A377" s="2199">
        <f t="shared" si="87"/>
        <v>365</v>
      </c>
      <c r="B377" s="2200" t="s">
        <v>2511</v>
      </c>
      <c r="C377" s="2743">
        <v>0</v>
      </c>
      <c r="D377" s="2743">
        <v>0</v>
      </c>
      <c r="E377" s="2949">
        <v>0.05</v>
      </c>
      <c r="F377" s="2200" t="s">
        <v>2313</v>
      </c>
      <c r="G377" s="2200" t="s">
        <v>127</v>
      </c>
      <c r="H377" s="2200" t="s">
        <v>1057</v>
      </c>
      <c r="I377" s="2742">
        <v>0</v>
      </c>
      <c r="J377" s="2742"/>
      <c r="K377" s="2752">
        <v>75</v>
      </c>
      <c r="L377" s="2745">
        <f t="shared" si="88"/>
        <v>0</v>
      </c>
      <c r="M377" s="2745">
        <f t="shared" si="96"/>
        <v>0</v>
      </c>
      <c r="N377" s="2745" t="str">
        <f t="shared" si="97"/>
        <v>check</v>
      </c>
      <c r="O377" s="1232">
        <f t="shared" si="98"/>
        <v>0.05</v>
      </c>
      <c r="P377" s="1227" t="str">
        <f t="shared" si="102"/>
        <v>275gsm IVORY Ensocoat (C1S) StoraEnso</v>
      </c>
      <c r="Q377" s="254">
        <v>0.34499999999999997</v>
      </c>
      <c r="R377" s="1228" t="str">
        <f t="shared" si="91"/>
        <v>275</v>
      </c>
      <c r="S377" s="2625">
        <f t="shared" si="89"/>
        <v>0</v>
      </c>
      <c r="T377" s="2747">
        <f>IF(L377&gt;0,IF(input!$B$2=$O$1,(((L377+Y377/22)+(L377+Y377/22)*$AG377+$X377)*$P$11+$M$7)/1000,(((L377+Y377/22)+(L377+Y377/22)*O377+(L377+Y377/22)*$AG377+$X377)*$P$11+$M$7)/1000),0)</f>
        <v>0</v>
      </c>
      <c r="U377" s="2747">
        <f t="shared" si="90"/>
        <v>0</v>
      </c>
      <c r="V377" s="1229"/>
      <c r="W377" s="1231" t="str">
        <f t="shared" si="95"/>
        <v>CIF</v>
      </c>
      <c r="X377" s="1230">
        <f t="shared" si="94"/>
        <v>0</v>
      </c>
      <c r="Y377" s="2625">
        <f t="shared" si="99"/>
        <v>0</v>
      </c>
      <c r="Z377" s="3208">
        <f t="shared" si="92"/>
        <v>838.18181818181813</v>
      </c>
      <c r="AA377" s="1220" t="s">
        <v>2825</v>
      </c>
      <c r="AB377" s="1220" t="s">
        <v>1395</v>
      </c>
      <c r="AC377" s="251" t="str">
        <f t="shared" si="93"/>
        <v>275gsm IVORY Ensocoat (C1S) StoraEnso</v>
      </c>
      <c r="AD377" s="2746">
        <f>IF(L377&gt;0,IF(input!$B$2=$O$1,(((M377)+(M377)*$M$10)*$P$11)/1000,(((M377)+(M377)*O377+(M377)*$M$10)*$P$11)/1000),0)</f>
        <v>0</v>
      </c>
      <c r="AE377" s="2746">
        <f>IF(L377&gt;0,IF(input!$B$2=$O$1,(((N377)+(N377)*$M$10)*$P$11)/1000,(((N377)+(N377)*O377+(N377)*$M$10)*$P$11)/1000),0)</f>
        <v>0</v>
      </c>
      <c r="AF377" s="136" t="str">
        <f t="shared" si="100"/>
        <v>None</v>
      </c>
      <c r="AG377" s="2628">
        <f t="shared" si="101"/>
        <v>0.02</v>
      </c>
      <c r="AH377" s="1266">
        <v>0.1</v>
      </c>
    </row>
    <row r="378" spans="1:34" ht="12.75">
      <c r="A378" s="2199">
        <f t="shared" si="87"/>
        <v>366</v>
      </c>
      <c r="B378" s="2200" t="s">
        <v>2512</v>
      </c>
      <c r="C378" s="2743">
        <v>0</v>
      </c>
      <c r="D378" s="2743">
        <v>0</v>
      </c>
      <c r="E378" s="2949">
        <v>0.05</v>
      </c>
      <c r="F378" s="2200" t="s">
        <v>2313</v>
      </c>
      <c r="G378" s="2200" t="s">
        <v>127</v>
      </c>
      <c r="H378" s="2200" t="s">
        <v>1057</v>
      </c>
      <c r="I378" s="2742">
        <v>0</v>
      </c>
      <c r="J378" s="2742"/>
      <c r="K378" s="2752">
        <v>75</v>
      </c>
      <c r="L378" s="2745">
        <f t="shared" si="88"/>
        <v>0</v>
      </c>
      <c r="M378" s="2745">
        <f t="shared" si="96"/>
        <v>0</v>
      </c>
      <c r="N378" s="2745" t="str">
        <f t="shared" si="97"/>
        <v>check</v>
      </c>
      <c r="O378" s="1232">
        <f t="shared" si="98"/>
        <v>0.05</v>
      </c>
      <c r="P378" s="1227" t="str">
        <f t="shared" si="102"/>
        <v>300gsm IVORY Ensocoat (C1S) StoraEnso</v>
      </c>
      <c r="Q378" s="254">
        <v>0.38500000000000001</v>
      </c>
      <c r="R378" s="1228" t="str">
        <f t="shared" si="91"/>
        <v>300</v>
      </c>
      <c r="S378" s="2625">
        <f t="shared" si="89"/>
        <v>0</v>
      </c>
      <c r="T378" s="2747">
        <f>IF(L378&gt;0,IF(input!$B$2=$O$1,(((L378+Y378/22)+(L378+Y378/22)*$AG378+$X378)*$P$11+$M$7)/1000,(((L378+Y378/22)+(L378+Y378/22)*O378+(L378+Y378/22)*$AG378+$X378)*$P$11+$M$7)/1000),0)</f>
        <v>0</v>
      </c>
      <c r="U378" s="2747">
        <f t="shared" si="90"/>
        <v>0</v>
      </c>
      <c r="V378" s="1229"/>
      <c r="W378" s="1231" t="str">
        <f t="shared" si="95"/>
        <v>CIF</v>
      </c>
      <c r="X378" s="1230">
        <f t="shared" si="94"/>
        <v>0</v>
      </c>
      <c r="Y378" s="2625">
        <f t="shared" si="99"/>
        <v>0</v>
      </c>
      <c r="Z378" s="3208">
        <f t="shared" si="92"/>
        <v>838.18181818181813</v>
      </c>
      <c r="AA378" s="1220" t="s">
        <v>2825</v>
      </c>
      <c r="AB378" s="1220" t="s">
        <v>1395</v>
      </c>
      <c r="AC378" s="251" t="str">
        <f t="shared" si="93"/>
        <v>300gsm IVORY Ensocoat (C1S) StoraEnso</v>
      </c>
      <c r="AD378" s="2746">
        <f>IF(L378&gt;0,IF(input!$B$2=$O$1,(((M378)+(M378)*$M$10)*$P$11)/1000,(((M378)+(M378)*O378+(M378)*$M$10)*$P$11)/1000),0)</f>
        <v>0</v>
      </c>
      <c r="AE378" s="2746">
        <f>IF(L378&gt;0,IF(input!$B$2=$O$1,(((N378)+(N378)*$M$10)*$P$11)/1000,(((N378)+(N378)*O378+(N378)*$M$10)*$P$11)/1000),0)</f>
        <v>0</v>
      </c>
      <c r="AF378" s="136" t="str">
        <f t="shared" si="100"/>
        <v>None</v>
      </c>
      <c r="AG378" s="2628">
        <f t="shared" si="101"/>
        <v>0.02</v>
      </c>
      <c r="AH378" s="1266">
        <v>0.1</v>
      </c>
    </row>
    <row r="379" spans="1:34" ht="12.75">
      <c r="A379" s="2199">
        <f t="shared" si="87"/>
        <v>367</v>
      </c>
      <c r="B379" s="2200" t="s">
        <v>2513</v>
      </c>
      <c r="C379" s="2743">
        <v>0</v>
      </c>
      <c r="D379" s="2743">
        <v>0</v>
      </c>
      <c r="E379" s="2949">
        <v>0.05</v>
      </c>
      <c r="F379" s="2200" t="s">
        <v>2313</v>
      </c>
      <c r="G379" s="2200" t="s">
        <v>127</v>
      </c>
      <c r="H379" s="2200" t="s">
        <v>1057</v>
      </c>
      <c r="I379" s="2742">
        <v>0</v>
      </c>
      <c r="J379" s="2742"/>
      <c r="K379" s="2752">
        <v>75</v>
      </c>
      <c r="L379" s="2745">
        <f t="shared" si="88"/>
        <v>0</v>
      </c>
      <c r="M379" s="2745">
        <f t="shared" si="96"/>
        <v>0</v>
      </c>
      <c r="N379" s="2745" t="str">
        <f t="shared" si="97"/>
        <v>check</v>
      </c>
      <c r="O379" s="1232">
        <f t="shared" si="98"/>
        <v>0.05</v>
      </c>
      <c r="P379" s="1227" t="str">
        <f t="shared" si="102"/>
        <v>330gsm IVORY Ensocoat (C1S) StoraEnso</v>
      </c>
      <c r="Q379" s="254">
        <v>0.42499999999999999</v>
      </c>
      <c r="R379" s="1228" t="str">
        <f t="shared" si="91"/>
        <v>330</v>
      </c>
      <c r="S379" s="2625">
        <f t="shared" si="89"/>
        <v>0</v>
      </c>
      <c r="T379" s="2747">
        <f>IF(L379&gt;0,IF(input!$B$2=$O$1,(((L379+Y379/22)+(L379+Y379/22)*$AG379+$X379)*$P$11+$M$7)/1000,(((L379+Y379/22)+(L379+Y379/22)*O379+(L379+Y379/22)*$AG379+$X379)*$P$11+$M$7)/1000),0)</f>
        <v>0</v>
      </c>
      <c r="U379" s="2747">
        <f t="shared" si="90"/>
        <v>0</v>
      </c>
      <c r="V379" s="1229"/>
      <c r="W379" s="1231" t="str">
        <f t="shared" si="95"/>
        <v>CIF</v>
      </c>
      <c r="X379" s="1230">
        <f t="shared" si="94"/>
        <v>0</v>
      </c>
      <c r="Y379" s="2625">
        <f t="shared" si="99"/>
        <v>0</v>
      </c>
      <c r="Z379" s="3208">
        <f t="shared" si="92"/>
        <v>838.18181818181813</v>
      </c>
      <c r="AA379" s="1220" t="s">
        <v>2825</v>
      </c>
      <c r="AB379" s="1220" t="s">
        <v>1395</v>
      </c>
      <c r="AC379" s="251" t="str">
        <f t="shared" si="93"/>
        <v>330gsm IVORY Ensocoat (C1S) StoraEnso</v>
      </c>
      <c r="AD379" s="2746">
        <f>IF(L379&gt;0,IF(input!$B$2=$O$1,(((M379)+(M379)*$M$10)*$P$11)/1000,(((M379)+(M379)*O379+(M379)*$M$10)*$P$11)/1000),0)</f>
        <v>0</v>
      </c>
      <c r="AE379" s="2746">
        <f>IF(L379&gt;0,IF(input!$B$2=$O$1,(((N379)+(N379)*$M$10)*$P$11)/1000,(((N379)+(N379)*O379+(N379)*$M$10)*$P$11)/1000),0)</f>
        <v>0</v>
      </c>
      <c r="AF379" s="136" t="str">
        <f t="shared" si="100"/>
        <v>None</v>
      </c>
      <c r="AG379" s="2628">
        <f t="shared" si="101"/>
        <v>0.02</v>
      </c>
      <c r="AH379" s="1266">
        <v>0.1</v>
      </c>
    </row>
    <row r="380" spans="1:34" ht="12.75">
      <c r="A380" s="2199">
        <f t="shared" si="87"/>
        <v>368</v>
      </c>
      <c r="B380" s="2200" t="s">
        <v>2514</v>
      </c>
      <c r="C380" s="2743">
        <v>0</v>
      </c>
      <c r="D380" s="2743">
        <v>0</v>
      </c>
      <c r="E380" s="2949">
        <v>0.05</v>
      </c>
      <c r="F380" s="2200" t="s">
        <v>2313</v>
      </c>
      <c r="G380" s="2200" t="s">
        <v>127</v>
      </c>
      <c r="H380" s="2200" t="s">
        <v>1057</v>
      </c>
      <c r="I380" s="2742">
        <v>0</v>
      </c>
      <c r="J380" s="2742"/>
      <c r="K380" s="2752">
        <v>75</v>
      </c>
      <c r="L380" s="2745">
        <f t="shared" si="88"/>
        <v>0</v>
      </c>
      <c r="M380" s="2745">
        <f t="shared" si="96"/>
        <v>0</v>
      </c>
      <c r="N380" s="2745" t="str">
        <f t="shared" si="97"/>
        <v>check</v>
      </c>
      <c r="O380" s="1232">
        <f t="shared" si="98"/>
        <v>0.05</v>
      </c>
      <c r="P380" s="1227" t="str">
        <f t="shared" si="102"/>
        <v>350gsm IVORY Ensocoat (C1S) StoraEnso</v>
      </c>
      <c r="Q380" s="254">
        <v>0.45500000000000002</v>
      </c>
      <c r="R380" s="1228" t="str">
        <f t="shared" si="91"/>
        <v>350</v>
      </c>
      <c r="S380" s="2625">
        <f t="shared" si="89"/>
        <v>0</v>
      </c>
      <c r="T380" s="2747">
        <f>IF(L380&gt;0,IF(input!$B$2=$O$1,(((L380+Y380/22)+(L380+Y380/22)*$AG380+$X380)*$P$11+$M$7)/1000,(((L380+Y380/22)+(L380+Y380/22)*O380+(L380+Y380/22)*$AG380+$X380)*$P$11+$M$7)/1000),0)</f>
        <v>0</v>
      </c>
      <c r="U380" s="2747">
        <f t="shared" si="90"/>
        <v>0</v>
      </c>
      <c r="V380" s="1229"/>
      <c r="W380" s="1231" t="str">
        <f t="shared" si="95"/>
        <v>CIF</v>
      </c>
      <c r="X380" s="1230">
        <f t="shared" si="94"/>
        <v>0</v>
      </c>
      <c r="Y380" s="2625">
        <f t="shared" si="99"/>
        <v>0</v>
      </c>
      <c r="Z380" s="3208">
        <f t="shared" si="92"/>
        <v>838.18181818181813</v>
      </c>
      <c r="AA380" s="1220" t="s">
        <v>2825</v>
      </c>
      <c r="AB380" s="1220" t="s">
        <v>1395</v>
      </c>
      <c r="AC380" s="251" t="str">
        <f t="shared" si="93"/>
        <v>350gsm IVORY Ensocoat (C1S) StoraEnso</v>
      </c>
      <c r="AD380" s="2746">
        <f>IF(L380&gt;0,IF(input!$B$2=$O$1,(((M380)+(M380)*$M$10)*$P$11)/1000,(((M380)+(M380)*O380+(M380)*$M$10)*$P$11)/1000),0)</f>
        <v>0</v>
      </c>
      <c r="AE380" s="2746">
        <f>IF(L380&gt;0,IF(input!$B$2=$O$1,(((N380)+(N380)*$M$10)*$P$11)/1000,(((N380)+(N380)*O380+(N380)*$M$10)*$P$11)/1000),0)</f>
        <v>0</v>
      </c>
      <c r="AF380" s="136" t="str">
        <f t="shared" si="100"/>
        <v>None</v>
      </c>
      <c r="AG380" s="2628">
        <f t="shared" si="101"/>
        <v>0.02</v>
      </c>
      <c r="AH380" s="1266">
        <v>0.1</v>
      </c>
    </row>
    <row r="381" spans="1:34" ht="12.75">
      <c r="A381" s="2199">
        <f t="shared" si="87"/>
        <v>369</v>
      </c>
      <c r="B381" s="2200" t="s">
        <v>2515</v>
      </c>
      <c r="C381" s="2743">
        <v>0</v>
      </c>
      <c r="D381" s="2743">
        <v>0</v>
      </c>
      <c r="E381" s="2949">
        <v>0.05</v>
      </c>
      <c r="F381" s="2200" t="s">
        <v>2313</v>
      </c>
      <c r="G381" s="2200" t="s">
        <v>127</v>
      </c>
      <c r="H381" s="2200" t="s">
        <v>1057</v>
      </c>
      <c r="I381" s="2742">
        <v>0</v>
      </c>
      <c r="J381" s="2742"/>
      <c r="K381" s="2752">
        <v>75</v>
      </c>
      <c r="L381" s="2745">
        <f t="shared" si="88"/>
        <v>0</v>
      </c>
      <c r="M381" s="2745">
        <f t="shared" si="96"/>
        <v>0</v>
      </c>
      <c r="N381" s="2745" t="str">
        <f t="shared" si="97"/>
        <v>check</v>
      </c>
      <c r="O381" s="1232">
        <f t="shared" si="98"/>
        <v>0.05</v>
      </c>
      <c r="P381" s="1227" t="str">
        <f t="shared" si="102"/>
        <v>380gsm IVORY Ensocoat (C1S) StoraEnso</v>
      </c>
      <c r="Q381" s="254">
        <v>0.495</v>
      </c>
      <c r="R381" s="1228" t="str">
        <f t="shared" si="91"/>
        <v>380</v>
      </c>
      <c r="S381" s="2625">
        <f t="shared" si="89"/>
        <v>0</v>
      </c>
      <c r="T381" s="2747">
        <f>IF(L381&gt;0,IF(input!$B$2=$O$1,(((L381+Y381/22)+(L381+Y381/22)*$AG381+$X381)*$P$11+$M$7)/1000,(((L381+Y381/22)+(L381+Y381/22)*O381+(L381+Y381/22)*$AG381+$X381)*$P$11+$M$7)/1000),0)</f>
        <v>0</v>
      </c>
      <c r="U381" s="2747">
        <f t="shared" si="90"/>
        <v>0</v>
      </c>
      <c r="V381" s="1229"/>
      <c r="W381" s="1231" t="str">
        <f t="shared" si="95"/>
        <v>CIF</v>
      </c>
      <c r="X381" s="1230">
        <f t="shared" si="94"/>
        <v>0</v>
      </c>
      <c r="Y381" s="2625">
        <f t="shared" si="99"/>
        <v>0</v>
      </c>
      <c r="Z381" s="3208">
        <f t="shared" si="92"/>
        <v>838.18181818181813</v>
      </c>
      <c r="AA381" s="1220" t="s">
        <v>2825</v>
      </c>
      <c r="AB381" s="1220" t="s">
        <v>1395</v>
      </c>
      <c r="AC381" s="251" t="str">
        <f t="shared" si="93"/>
        <v>380gsm IVORY Ensocoat (C1S) StoraEnso</v>
      </c>
      <c r="AD381" s="2746">
        <f>IF(L381&gt;0,IF(input!$B$2=$O$1,(((M381)+(M381)*$M$10)*$P$11)/1000,(((M381)+(M381)*O381+(M381)*$M$10)*$P$11)/1000),0)</f>
        <v>0</v>
      </c>
      <c r="AE381" s="2746">
        <f>IF(L381&gt;0,IF(input!$B$2=$O$1,(((N381)+(N381)*$M$10)*$P$11)/1000,(((N381)+(N381)*O381+(N381)*$M$10)*$P$11)/1000),0)</f>
        <v>0</v>
      </c>
      <c r="AF381" s="136" t="str">
        <f t="shared" si="100"/>
        <v>None</v>
      </c>
      <c r="AG381" s="2628">
        <f t="shared" si="101"/>
        <v>0.02</v>
      </c>
      <c r="AH381" s="1266">
        <v>0.1</v>
      </c>
    </row>
    <row r="382" spans="1:34" ht="12.75">
      <c r="A382" s="2199">
        <f t="shared" si="87"/>
        <v>370</v>
      </c>
      <c r="B382" s="2200" t="s">
        <v>2516</v>
      </c>
      <c r="C382" s="2743">
        <v>0</v>
      </c>
      <c r="D382" s="2743">
        <v>0</v>
      </c>
      <c r="E382" s="2949" t="s">
        <v>2313</v>
      </c>
      <c r="F382" s="2200">
        <v>30</v>
      </c>
      <c r="G382" s="2200" t="s">
        <v>127</v>
      </c>
      <c r="H382" s="2200" t="s">
        <v>1057</v>
      </c>
      <c r="I382" s="2742">
        <v>0</v>
      </c>
      <c r="J382" s="2742"/>
      <c r="K382" s="2752">
        <v>45</v>
      </c>
      <c r="L382" s="2745">
        <f t="shared" si="88"/>
        <v>0</v>
      </c>
      <c r="M382" s="2745">
        <f t="shared" si="96"/>
        <v>0</v>
      </c>
      <c r="N382" s="2745">
        <f t="shared" si="97"/>
        <v>30</v>
      </c>
      <c r="O382" s="1232" t="str">
        <f t="shared" si="98"/>
        <v>check</v>
      </c>
      <c r="P382" s="1227" t="str">
        <f t="shared" si="102"/>
        <v xml:space="preserve">236gsm IVORY Printkote (C1S) - WestRock </v>
      </c>
      <c r="Q382" s="254">
        <v>0.30499999999999999</v>
      </c>
      <c r="R382" s="1228" t="str">
        <f t="shared" si="91"/>
        <v>236</v>
      </c>
      <c r="S382" s="2625">
        <f t="shared" si="89"/>
        <v>0</v>
      </c>
      <c r="T382" s="2747">
        <f>IF(L382&gt;0,IF(input!$B$2=$O$1,(((L382+Y382/22)+(L382+Y382/22)*$AG382+$X382)*$P$11+$M$7)/1000,(((L382+Y382/22)+(L382+Y382/22)*O382+(L382+Y382/22)*$AG382+$X382)*$P$11+$M$7)/1000),0)</f>
        <v>0</v>
      </c>
      <c r="U382" s="2747">
        <f t="shared" si="90"/>
        <v>0</v>
      </c>
      <c r="V382" s="1229"/>
      <c r="W382" s="1231" t="str">
        <f t="shared" si="95"/>
        <v>CIF</v>
      </c>
      <c r="X382" s="1230">
        <f t="shared" si="94"/>
        <v>0</v>
      </c>
      <c r="Y382" s="2625">
        <f t="shared" si="99"/>
        <v>0</v>
      </c>
      <c r="Z382" s="3208">
        <f t="shared" si="92"/>
        <v>838.18181818181813</v>
      </c>
      <c r="AA382" s="1220" t="s">
        <v>2860</v>
      </c>
      <c r="AB382" s="1220" t="s">
        <v>1395</v>
      </c>
      <c r="AC382" s="251" t="str">
        <f t="shared" si="93"/>
        <v xml:space="preserve">236gsm IVORY Printkote (C1S) - WestRock </v>
      </c>
      <c r="AD382" s="2746">
        <f>IF(L382&gt;0,IF(input!$B$2=$O$1,(((M382)+(M382)*$M$10)*$P$11)/1000,(((M382)+(M382)*O382+(M382)*$M$10)*$P$11)/1000),0)</f>
        <v>0</v>
      </c>
      <c r="AE382" s="2746">
        <f>IF(L382&gt;0,IF(input!$B$2=$O$1,(((N382)+(N382)*$M$10)*$P$11)/1000,(((N382)+(N382)*O382+(N382)*$M$10)*$P$11)/1000),0)</f>
        <v>0</v>
      </c>
      <c r="AF382" s="136" t="str">
        <f t="shared" si="100"/>
        <v>None</v>
      </c>
      <c r="AG382" s="2628">
        <f t="shared" si="101"/>
        <v>1.2E-2</v>
      </c>
      <c r="AH382" s="1266">
        <v>0.1</v>
      </c>
    </row>
    <row r="383" spans="1:34" ht="12.75">
      <c r="A383" s="2199">
        <f t="shared" si="87"/>
        <v>371</v>
      </c>
      <c r="B383" s="2200" t="s">
        <v>2517</v>
      </c>
      <c r="C383" s="2743">
        <v>0</v>
      </c>
      <c r="D383" s="2743">
        <v>0</v>
      </c>
      <c r="E383" s="2949" t="s">
        <v>2313</v>
      </c>
      <c r="F383" s="2200">
        <v>30</v>
      </c>
      <c r="G383" s="2200" t="s">
        <v>127</v>
      </c>
      <c r="H383" s="2200" t="s">
        <v>1057</v>
      </c>
      <c r="I383" s="2742">
        <v>0</v>
      </c>
      <c r="J383" s="2742"/>
      <c r="K383" s="2752">
        <v>45</v>
      </c>
      <c r="L383" s="2745">
        <f t="shared" si="88"/>
        <v>0</v>
      </c>
      <c r="M383" s="2745">
        <f t="shared" si="96"/>
        <v>0</v>
      </c>
      <c r="N383" s="2745">
        <f t="shared" si="97"/>
        <v>30</v>
      </c>
      <c r="O383" s="1232" t="str">
        <f t="shared" si="98"/>
        <v>check</v>
      </c>
      <c r="P383" s="1227" t="str">
        <f t="shared" si="102"/>
        <v xml:space="preserve">265gsm IVORY Printkote (C1S) - WestRock </v>
      </c>
      <c r="Q383" s="254">
        <v>0.36499999999999999</v>
      </c>
      <c r="R383" s="1228" t="str">
        <f t="shared" si="91"/>
        <v>265</v>
      </c>
      <c r="S383" s="2625">
        <f t="shared" si="89"/>
        <v>0</v>
      </c>
      <c r="T383" s="2747">
        <f>IF(L383&gt;0,IF(input!$B$2=$O$1,(((L383+Y383/22)+(L383+Y383/22)*$AG383+$X383)*$P$11+$M$7)/1000,(((L383+Y383/22)+(L383+Y383/22)*O383+(L383+Y383/22)*$AG383+$X383)*$P$11+$M$7)/1000),0)</f>
        <v>0</v>
      </c>
      <c r="U383" s="2747">
        <f t="shared" si="90"/>
        <v>0</v>
      </c>
      <c r="V383" s="1229"/>
      <c r="W383" s="1231" t="str">
        <f t="shared" si="95"/>
        <v>CIF</v>
      </c>
      <c r="X383" s="1230">
        <f t="shared" si="94"/>
        <v>0</v>
      </c>
      <c r="Y383" s="2625">
        <f t="shared" si="99"/>
        <v>0</v>
      </c>
      <c r="Z383" s="3208">
        <f t="shared" si="92"/>
        <v>838.18181818181813</v>
      </c>
      <c r="AA383" s="1220" t="s">
        <v>2860</v>
      </c>
      <c r="AB383" s="1220" t="s">
        <v>1395</v>
      </c>
      <c r="AC383" s="251" t="str">
        <f t="shared" si="93"/>
        <v xml:space="preserve">265gsm IVORY Printkote (C1S) - WestRock </v>
      </c>
      <c r="AD383" s="2746">
        <f>IF(L383&gt;0,IF(input!$B$2=$O$1,(((M383)+(M383)*$M$10)*$P$11)/1000,(((M383)+(M383)*O383+(M383)*$M$10)*$P$11)/1000),0)</f>
        <v>0</v>
      </c>
      <c r="AE383" s="2746">
        <f>IF(L383&gt;0,IF(input!$B$2=$O$1,(((N383)+(N383)*$M$10)*$P$11)/1000,(((N383)+(N383)*O383+(N383)*$M$10)*$P$11)/1000),0)</f>
        <v>0</v>
      </c>
      <c r="AF383" s="136" t="str">
        <f t="shared" si="100"/>
        <v>None</v>
      </c>
      <c r="AG383" s="2628">
        <f t="shared" si="101"/>
        <v>1.2E-2</v>
      </c>
      <c r="AH383" s="1266">
        <v>0.1</v>
      </c>
    </row>
    <row r="384" spans="1:34" ht="12.75">
      <c r="A384" s="2199">
        <f t="shared" si="87"/>
        <v>372</v>
      </c>
      <c r="B384" s="2200" t="s">
        <v>2518</v>
      </c>
      <c r="C384" s="2743">
        <v>0</v>
      </c>
      <c r="D384" s="2743">
        <v>0</v>
      </c>
      <c r="E384" s="2949" t="s">
        <v>2313</v>
      </c>
      <c r="F384" s="2200">
        <v>30</v>
      </c>
      <c r="G384" s="2200" t="s">
        <v>127</v>
      </c>
      <c r="H384" s="2200" t="s">
        <v>1057</v>
      </c>
      <c r="I384" s="2742">
        <v>0</v>
      </c>
      <c r="J384" s="2742"/>
      <c r="K384" s="2752">
        <v>45</v>
      </c>
      <c r="L384" s="2745">
        <f t="shared" si="88"/>
        <v>0</v>
      </c>
      <c r="M384" s="2745">
        <f t="shared" si="96"/>
        <v>0</v>
      </c>
      <c r="N384" s="2745">
        <f t="shared" si="97"/>
        <v>30</v>
      </c>
      <c r="O384" s="1232" t="str">
        <f t="shared" si="98"/>
        <v>check</v>
      </c>
      <c r="P384" s="1227" t="str">
        <f t="shared" si="102"/>
        <v xml:space="preserve">280gsm IVORY Printkote (C1S) - WestRock </v>
      </c>
      <c r="Q384" s="254">
        <v>0.38100000000000001</v>
      </c>
      <c r="R384" s="1228" t="str">
        <f t="shared" si="91"/>
        <v>280</v>
      </c>
      <c r="S384" s="2625">
        <f t="shared" si="89"/>
        <v>0</v>
      </c>
      <c r="T384" s="2747">
        <f>IF(L384&gt;0,IF(input!$B$2=$O$1,(((L384+Y384/22)+(L384+Y384/22)*$AG384+$X384)*$P$11+$M$7)/1000,(((L384+Y384/22)+(L384+Y384/22)*O384+(L384+Y384/22)*$AG384+$X384)*$P$11+$M$7)/1000),0)</f>
        <v>0</v>
      </c>
      <c r="U384" s="2747">
        <f t="shared" si="90"/>
        <v>0</v>
      </c>
      <c r="V384" s="1229"/>
      <c r="W384" s="1231" t="str">
        <f t="shared" si="95"/>
        <v>CIF</v>
      </c>
      <c r="X384" s="1230">
        <f t="shared" si="94"/>
        <v>0</v>
      </c>
      <c r="Y384" s="2625">
        <f t="shared" si="99"/>
        <v>0</v>
      </c>
      <c r="Z384" s="3208">
        <f t="shared" si="92"/>
        <v>838.18181818181813</v>
      </c>
      <c r="AA384" s="1220" t="s">
        <v>2860</v>
      </c>
      <c r="AB384" s="1220" t="s">
        <v>1395</v>
      </c>
      <c r="AC384" s="251" t="str">
        <f t="shared" si="93"/>
        <v xml:space="preserve">280gsm IVORY Printkote (C1S) - WestRock </v>
      </c>
      <c r="AD384" s="2746">
        <f>IF(L384&gt;0,IF(input!$B$2=$O$1,(((M384)+(M384)*$M$10)*$P$11)/1000,(((M384)+(M384)*O384+(M384)*$M$10)*$P$11)/1000),0)</f>
        <v>0</v>
      </c>
      <c r="AE384" s="2746">
        <f>IF(L384&gt;0,IF(input!$B$2=$O$1,(((N384)+(N384)*$M$10)*$P$11)/1000,(((N384)+(N384)*O384+(N384)*$M$10)*$P$11)/1000),0)</f>
        <v>0</v>
      </c>
      <c r="AF384" s="136" t="str">
        <f t="shared" si="100"/>
        <v>None</v>
      </c>
      <c r="AG384" s="2628">
        <f t="shared" si="101"/>
        <v>1.2E-2</v>
      </c>
      <c r="AH384" s="1266">
        <v>0.1</v>
      </c>
    </row>
    <row r="385" spans="1:34" ht="12.75">
      <c r="A385" s="2199">
        <f t="shared" si="87"/>
        <v>373</v>
      </c>
      <c r="B385" s="2200" t="s">
        <v>2519</v>
      </c>
      <c r="C385" s="2743">
        <v>0</v>
      </c>
      <c r="D385" s="2743">
        <v>0</v>
      </c>
      <c r="E385" s="2949" t="s">
        <v>2313</v>
      </c>
      <c r="F385" s="2200">
        <v>30</v>
      </c>
      <c r="G385" s="2200" t="s">
        <v>127</v>
      </c>
      <c r="H385" s="2200" t="s">
        <v>1057</v>
      </c>
      <c r="I385" s="2742">
        <v>0</v>
      </c>
      <c r="J385" s="2742"/>
      <c r="K385" s="2752">
        <v>45</v>
      </c>
      <c r="L385" s="2745">
        <f t="shared" si="88"/>
        <v>0</v>
      </c>
      <c r="M385" s="2745">
        <f t="shared" si="96"/>
        <v>0</v>
      </c>
      <c r="N385" s="2745">
        <f t="shared" si="97"/>
        <v>30</v>
      </c>
      <c r="O385" s="1232" t="str">
        <f t="shared" si="98"/>
        <v>check</v>
      </c>
      <c r="P385" s="1227" t="str">
        <f t="shared" si="102"/>
        <v xml:space="preserve">295gsm IVORY Printkote (C1S) - WestRock </v>
      </c>
      <c r="Q385" s="254">
        <v>0.40600000000000003</v>
      </c>
      <c r="R385" s="1228" t="str">
        <f t="shared" si="91"/>
        <v>295</v>
      </c>
      <c r="S385" s="2625">
        <f t="shared" si="89"/>
        <v>0</v>
      </c>
      <c r="T385" s="2747">
        <f>IF(L385&gt;0,IF(input!$B$2=$O$1,(((L385+Y385/22)+(L385+Y385/22)*$AG385+$X385)*$P$11+$M$7)/1000,(((L385+Y385/22)+(L385+Y385/22)*O385+(L385+Y385/22)*$AG385+$X385)*$P$11+$M$7)/1000),0)</f>
        <v>0</v>
      </c>
      <c r="U385" s="2747">
        <f t="shared" si="90"/>
        <v>0</v>
      </c>
      <c r="V385" s="1229"/>
      <c r="W385" s="1231" t="str">
        <f t="shared" si="95"/>
        <v>CIF</v>
      </c>
      <c r="X385" s="1230">
        <f t="shared" si="94"/>
        <v>0</v>
      </c>
      <c r="Y385" s="2625">
        <f t="shared" si="99"/>
        <v>0</v>
      </c>
      <c r="Z385" s="3208">
        <f t="shared" si="92"/>
        <v>838.18181818181813</v>
      </c>
      <c r="AA385" s="1220" t="s">
        <v>2860</v>
      </c>
      <c r="AB385" s="1220" t="s">
        <v>1395</v>
      </c>
      <c r="AC385" s="251" t="str">
        <f t="shared" si="93"/>
        <v xml:space="preserve">295gsm IVORY Printkote (C1S) - WestRock </v>
      </c>
      <c r="AD385" s="2746">
        <f>IF(L385&gt;0,IF(input!$B$2=$O$1,(((M385)+(M385)*$M$10)*$P$11)/1000,(((M385)+(M385)*O385+(M385)*$M$10)*$P$11)/1000),0)</f>
        <v>0</v>
      </c>
      <c r="AE385" s="2746">
        <f>IF(L385&gt;0,IF(input!$B$2=$O$1,(((N385)+(N385)*$M$10)*$P$11)/1000,(((N385)+(N385)*O385+(N385)*$M$10)*$P$11)/1000),0)</f>
        <v>0</v>
      </c>
      <c r="AF385" s="136" t="str">
        <f t="shared" si="100"/>
        <v>None</v>
      </c>
      <c r="AG385" s="2628">
        <f t="shared" si="101"/>
        <v>1.2E-2</v>
      </c>
      <c r="AH385" s="1266">
        <v>0.1</v>
      </c>
    </row>
    <row r="386" spans="1:34" ht="12.75">
      <c r="A386" s="2199">
        <f t="shared" si="87"/>
        <v>374</v>
      </c>
      <c r="B386" s="2200" t="s">
        <v>2520</v>
      </c>
      <c r="C386" s="2743">
        <v>0</v>
      </c>
      <c r="D386" s="2743">
        <v>0</v>
      </c>
      <c r="E386" s="2949" t="s">
        <v>2313</v>
      </c>
      <c r="F386" s="2200">
        <v>30</v>
      </c>
      <c r="G386" s="2200" t="s">
        <v>127</v>
      </c>
      <c r="H386" s="2200" t="s">
        <v>1057</v>
      </c>
      <c r="I386" s="2742">
        <v>0</v>
      </c>
      <c r="J386" s="2742"/>
      <c r="K386" s="2752">
        <v>45</v>
      </c>
      <c r="L386" s="2745">
        <f t="shared" si="88"/>
        <v>0</v>
      </c>
      <c r="M386" s="2745">
        <f t="shared" si="96"/>
        <v>0</v>
      </c>
      <c r="N386" s="2745">
        <f t="shared" si="97"/>
        <v>30</v>
      </c>
      <c r="O386" s="1232" t="str">
        <f t="shared" si="98"/>
        <v>check</v>
      </c>
      <c r="P386" s="1227" t="str">
        <f t="shared" si="102"/>
        <v xml:space="preserve">305gsm IVORY Printkote (C1S) - WestRock </v>
      </c>
      <c r="Q386" s="254">
        <v>0.432</v>
      </c>
      <c r="R386" s="1228" t="str">
        <f t="shared" si="91"/>
        <v>305</v>
      </c>
      <c r="S386" s="2625">
        <f t="shared" si="89"/>
        <v>0</v>
      </c>
      <c r="T386" s="2747">
        <f>IF(L386&gt;0,IF(input!$B$2=$O$1,(((L386+Y386/22)+(L386+Y386/22)*$AG386+$X386)*$P$11+$M$7)/1000,(((L386+Y386/22)+(L386+Y386/22)*O386+(L386+Y386/22)*$AG386+$X386)*$P$11+$M$7)/1000),0)</f>
        <v>0</v>
      </c>
      <c r="U386" s="2747">
        <f t="shared" si="90"/>
        <v>0</v>
      </c>
      <c r="V386" s="1229"/>
      <c r="W386" s="1231" t="str">
        <f t="shared" si="95"/>
        <v>CIF</v>
      </c>
      <c r="X386" s="1230">
        <f t="shared" si="94"/>
        <v>0</v>
      </c>
      <c r="Y386" s="2625">
        <f t="shared" si="99"/>
        <v>0</v>
      </c>
      <c r="Z386" s="3208">
        <f t="shared" si="92"/>
        <v>838.18181818181813</v>
      </c>
      <c r="AA386" s="1220" t="s">
        <v>2860</v>
      </c>
      <c r="AB386" s="1220" t="s">
        <v>1395</v>
      </c>
      <c r="AC386" s="251" t="str">
        <f t="shared" si="93"/>
        <v xml:space="preserve">305gsm IVORY Printkote (C1S) - WestRock </v>
      </c>
      <c r="AD386" s="2746">
        <f>IF(L386&gt;0,IF(input!$B$2=$O$1,(((M386)+(M386)*$M$10)*$P$11)/1000,(((M386)+(M386)*O386+(M386)*$M$10)*$P$11)/1000),0)</f>
        <v>0</v>
      </c>
      <c r="AE386" s="2746">
        <f>IF(L386&gt;0,IF(input!$B$2=$O$1,(((N386)+(N386)*$M$10)*$P$11)/1000,(((N386)+(N386)*O386+(N386)*$M$10)*$P$11)/1000),0)</f>
        <v>0</v>
      </c>
      <c r="AF386" s="136" t="str">
        <f t="shared" si="100"/>
        <v>None</v>
      </c>
      <c r="AG386" s="2628">
        <f t="shared" si="101"/>
        <v>1.2E-2</v>
      </c>
      <c r="AH386" s="1266">
        <v>0.1</v>
      </c>
    </row>
    <row r="387" spans="1:34" ht="12.75">
      <c r="A387" s="2199">
        <f t="shared" si="87"/>
        <v>375</v>
      </c>
      <c r="B387" s="2200" t="s">
        <v>2521</v>
      </c>
      <c r="C387" s="2743">
        <v>0</v>
      </c>
      <c r="D387" s="2743">
        <v>0</v>
      </c>
      <c r="E387" s="2949" t="s">
        <v>2313</v>
      </c>
      <c r="F387" s="2200">
        <v>30</v>
      </c>
      <c r="G387" s="2200" t="s">
        <v>127</v>
      </c>
      <c r="H387" s="2200" t="s">
        <v>1057</v>
      </c>
      <c r="I387" s="2742">
        <v>0</v>
      </c>
      <c r="J387" s="2742"/>
      <c r="K387" s="2752">
        <v>45</v>
      </c>
      <c r="L387" s="2745">
        <f t="shared" si="88"/>
        <v>0</v>
      </c>
      <c r="M387" s="2745">
        <f t="shared" si="96"/>
        <v>0</v>
      </c>
      <c r="N387" s="2745">
        <f t="shared" si="97"/>
        <v>30</v>
      </c>
      <c r="O387" s="1232" t="str">
        <f t="shared" si="98"/>
        <v>check</v>
      </c>
      <c r="P387" s="1227" t="str">
        <f t="shared" si="102"/>
        <v xml:space="preserve">325gsm IVORY Printkote (C1S) - WestRock </v>
      </c>
      <c r="Q387" s="254">
        <v>0.45700000000000002</v>
      </c>
      <c r="R387" s="1228" t="str">
        <f t="shared" si="91"/>
        <v>325</v>
      </c>
      <c r="S387" s="2625">
        <f t="shared" si="89"/>
        <v>0</v>
      </c>
      <c r="T387" s="2747">
        <f>IF(L387&gt;0,IF(input!$B$2=$O$1,(((L387+Y387/22)+(L387+Y387/22)*$AG387+$X387)*$P$11+$M$7)/1000,(((L387+Y387/22)+(L387+Y387/22)*O387+(L387+Y387/22)*$AG387+$X387)*$P$11+$M$7)/1000),0)</f>
        <v>0</v>
      </c>
      <c r="U387" s="2747">
        <f t="shared" si="90"/>
        <v>0</v>
      </c>
      <c r="V387" s="1229"/>
      <c r="W387" s="1231" t="str">
        <f t="shared" si="95"/>
        <v>CIF</v>
      </c>
      <c r="X387" s="1230">
        <f t="shared" si="94"/>
        <v>0</v>
      </c>
      <c r="Y387" s="2625">
        <f t="shared" si="99"/>
        <v>0</v>
      </c>
      <c r="Z387" s="3208">
        <f t="shared" si="92"/>
        <v>838.18181818181813</v>
      </c>
      <c r="AA387" s="1220" t="s">
        <v>2860</v>
      </c>
      <c r="AB387" s="1220" t="s">
        <v>1395</v>
      </c>
      <c r="AC387" s="251" t="str">
        <f t="shared" si="93"/>
        <v xml:space="preserve">325gsm IVORY Printkote (C1S) - WestRock </v>
      </c>
      <c r="AD387" s="2746">
        <f>IF(L387&gt;0,IF(input!$B$2=$O$1,(((M387)+(M387)*$M$10)*$P$11)/1000,(((M387)+(M387)*O387+(M387)*$M$10)*$P$11)/1000),0)</f>
        <v>0</v>
      </c>
      <c r="AE387" s="2746">
        <f>IF(L387&gt;0,IF(input!$B$2=$O$1,(((N387)+(N387)*$M$10)*$P$11)/1000,(((N387)+(N387)*O387+(N387)*$M$10)*$P$11)/1000),0)</f>
        <v>0</v>
      </c>
      <c r="AF387" s="136" t="str">
        <f t="shared" si="100"/>
        <v>None</v>
      </c>
      <c r="AG387" s="2628">
        <f t="shared" si="101"/>
        <v>1.2E-2</v>
      </c>
      <c r="AH387" s="1266">
        <v>0.1</v>
      </c>
    </row>
    <row r="388" spans="1:34" ht="12.75">
      <c r="A388" s="2199">
        <f t="shared" si="87"/>
        <v>376</v>
      </c>
      <c r="B388" s="2200" t="s">
        <v>2522</v>
      </c>
      <c r="C388" s="2743">
        <v>0</v>
      </c>
      <c r="D388" s="2743">
        <v>0</v>
      </c>
      <c r="E388" s="2949" t="s">
        <v>2313</v>
      </c>
      <c r="F388" s="2200">
        <v>30</v>
      </c>
      <c r="G388" s="2200" t="s">
        <v>127</v>
      </c>
      <c r="H388" s="2200" t="s">
        <v>1057</v>
      </c>
      <c r="I388" s="2742">
        <v>0</v>
      </c>
      <c r="J388" s="2742"/>
      <c r="K388" s="2752">
        <v>45</v>
      </c>
      <c r="L388" s="2745">
        <f t="shared" si="88"/>
        <v>0</v>
      </c>
      <c r="M388" s="2745">
        <f t="shared" si="96"/>
        <v>0</v>
      </c>
      <c r="N388" s="2745">
        <f t="shared" si="97"/>
        <v>30</v>
      </c>
      <c r="O388" s="1232" t="str">
        <f t="shared" si="98"/>
        <v>check</v>
      </c>
      <c r="P388" s="1227" t="str">
        <f t="shared" si="102"/>
        <v xml:space="preserve">345gsm IVORY Printkote (C1S) - WestRock </v>
      </c>
      <c r="Q388" s="254">
        <v>0.50800000000000001</v>
      </c>
      <c r="R388" s="1228" t="str">
        <f t="shared" si="91"/>
        <v>345</v>
      </c>
      <c r="S388" s="2625">
        <f t="shared" si="89"/>
        <v>0</v>
      </c>
      <c r="T388" s="2747">
        <f>IF(L388&gt;0,IF(input!$B$2=$O$1,(((L388+Y388/22)+(L388+Y388/22)*$AG388+$X388)*$P$11+$M$7)/1000,(((L388+Y388/22)+(L388+Y388/22)*O388+(L388+Y388/22)*$AG388+$X388)*$P$11+$M$7)/1000),0)</f>
        <v>0</v>
      </c>
      <c r="U388" s="2747">
        <f t="shared" si="90"/>
        <v>0</v>
      </c>
      <c r="V388" s="1229"/>
      <c r="W388" s="1231" t="str">
        <f t="shared" si="95"/>
        <v>CIF</v>
      </c>
      <c r="X388" s="1230">
        <f t="shared" si="94"/>
        <v>0</v>
      </c>
      <c r="Y388" s="2625">
        <f t="shared" si="99"/>
        <v>0</v>
      </c>
      <c r="Z388" s="3208">
        <f t="shared" si="92"/>
        <v>838.18181818181813</v>
      </c>
      <c r="AA388" s="1220" t="s">
        <v>2860</v>
      </c>
      <c r="AB388" s="1220" t="s">
        <v>1395</v>
      </c>
      <c r="AC388" s="251" t="str">
        <f t="shared" si="93"/>
        <v xml:space="preserve">345gsm IVORY Printkote (C1S) - WestRock </v>
      </c>
      <c r="AD388" s="2746">
        <f>IF(L388&gt;0,IF(input!$B$2=$O$1,(((M388)+(M388)*$M$10)*$P$11)/1000,(((M388)+(M388)*O388+(M388)*$M$10)*$P$11)/1000),0)</f>
        <v>0</v>
      </c>
      <c r="AE388" s="2746">
        <f>IF(L388&gt;0,IF(input!$B$2=$O$1,(((N388)+(N388)*$M$10)*$P$11)/1000,(((N388)+(N388)*O388+(N388)*$M$10)*$P$11)/1000),0)</f>
        <v>0</v>
      </c>
      <c r="AF388" s="136" t="str">
        <f t="shared" si="100"/>
        <v>None</v>
      </c>
      <c r="AG388" s="2628">
        <f t="shared" si="101"/>
        <v>1.2E-2</v>
      </c>
      <c r="AH388" s="1266">
        <v>0.1</v>
      </c>
    </row>
    <row r="389" spans="1:34" ht="12.75">
      <c r="A389" s="2199">
        <f t="shared" si="87"/>
        <v>377</v>
      </c>
      <c r="B389" s="2200" t="s">
        <v>2523</v>
      </c>
      <c r="C389" s="2743">
        <v>0</v>
      </c>
      <c r="D389" s="2743">
        <v>0</v>
      </c>
      <c r="E389" s="2949" t="s">
        <v>2313</v>
      </c>
      <c r="F389" s="2200">
        <v>30</v>
      </c>
      <c r="G389" s="2200" t="s">
        <v>127</v>
      </c>
      <c r="H389" s="2200" t="s">
        <v>1057</v>
      </c>
      <c r="I389" s="2742">
        <v>0</v>
      </c>
      <c r="J389" s="2742"/>
      <c r="K389" s="2752">
        <v>45</v>
      </c>
      <c r="L389" s="2745">
        <f t="shared" si="88"/>
        <v>0</v>
      </c>
      <c r="M389" s="2745">
        <f t="shared" si="96"/>
        <v>0</v>
      </c>
      <c r="N389" s="2745">
        <f t="shared" si="97"/>
        <v>30</v>
      </c>
      <c r="O389" s="1232" t="str">
        <f t="shared" si="98"/>
        <v>check</v>
      </c>
      <c r="P389" s="1227" t="str">
        <f t="shared" si="102"/>
        <v xml:space="preserve">375gsm IVORY Printkote (C1S) - WestRock </v>
      </c>
      <c r="Q389" s="254">
        <v>0.55900000000000005</v>
      </c>
      <c r="R389" s="1228" t="str">
        <f t="shared" si="91"/>
        <v>375</v>
      </c>
      <c r="S389" s="2625">
        <f t="shared" si="89"/>
        <v>0</v>
      </c>
      <c r="T389" s="2747">
        <f>IF(L389&gt;0,IF(input!$B$2=$O$1,(((L389+Y389/22)+(L389+Y389/22)*$AG389+$X389)*$P$11+$M$7)/1000,(((L389+Y389/22)+(L389+Y389/22)*O389+(L389+Y389/22)*$AG389+$X389)*$P$11+$M$7)/1000),0)</f>
        <v>0</v>
      </c>
      <c r="U389" s="2747">
        <f t="shared" si="90"/>
        <v>0</v>
      </c>
      <c r="V389" s="1229"/>
      <c r="W389" s="1231" t="str">
        <f t="shared" si="95"/>
        <v>CIF</v>
      </c>
      <c r="X389" s="1230">
        <f t="shared" si="94"/>
        <v>0</v>
      </c>
      <c r="Y389" s="2625">
        <f t="shared" si="99"/>
        <v>0</v>
      </c>
      <c r="Z389" s="3208">
        <f t="shared" si="92"/>
        <v>838.18181818181813</v>
      </c>
      <c r="AA389" s="1220" t="s">
        <v>2860</v>
      </c>
      <c r="AB389" s="1220" t="s">
        <v>1395</v>
      </c>
      <c r="AC389" s="251" t="str">
        <f t="shared" si="93"/>
        <v xml:space="preserve">375gsm IVORY Printkote (C1S) - WestRock </v>
      </c>
      <c r="AD389" s="2746">
        <f>IF(L389&gt;0,IF(input!$B$2=$O$1,(((M389)+(M389)*$M$10)*$P$11)/1000,(((M389)+(M389)*O389+(M389)*$M$10)*$P$11)/1000),0)</f>
        <v>0</v>
      </c>
      <c r="AE389" s="2746">
        <f>IF(L389&gt;0,IF(input!$B$2=$O$1,(((N389)+(N389)*$M$10)*$P$11)/1000,(((N389)+(N389)*O389+(N389)*$M$10)*$P$11)/1000),0)</f>
        <v>0</v>
      </c>
      <c r="AF389" s="136" t="str">
        <f t="shared" si="100"/>
        <v>None</v>
      </c>
      <c r="AG389" s="2628">
        <f t="shared" si="101"/>
        <v>1.2E-2</v>
      </c>
      <c r="AH389" s="1266">
        <v>0.1</v>
      </c>
    </row>
    <row r="390" spans="1:34" ht="12.75">
      <c r="A390" s="2199">
        <f t="shared" si="87"/>
        <v>378</v>
      </c>
      <c r="B390" s="2200" t="s">
        <v>2524</v>
      </c>
      <c r="C390" s="2743">
        <v>0</v>
      </c>
      <c r="D390" s="2743">
        <v>0</v>
      </c>
      <c r="E390" s="2949" t="s">
        <v>2313</v>
      </c>
      <c r="F390" s="2200">
        <v>30</v>
      </c>
      <c r="G390" s="2200" t="s">
        <v>127</v>
      </c>
      <c r="H390" s="2200" t="s">
        <v>1057</v>
      </c>
      <c r="I390" s="2742">
        <v>0</v>
      </c>
      <c r="J390" s="2742"/>
      <c r="K390" s="2752">
        <v>45</v>
      </c>
      <c r="L390" s="2745">
        <f t="shared" si="88"/>
        <v>0</v>
      </c>
      <c r="M390" s="2745">
        <f t="shared" si="96"/>
        <v>0</v>
      </c>
      <c r="N390" s="2745">
        <f t="shared" si="97"/>
        <v>30</v>
      </c>
      <c r="O390" s="1232" t="str">
        <f t="shared" si="98"/>
        <v>check</v>
      </c>
      <c r="P390" s="1227" t="str">
        <f t="shared" si="102"/>
        <v xml:space="preserve">405gsm IVORY Printkote (C1S) - WestRock </v>
      </c>
      <c r="Q390" s="254">
        <v>0.61</v>
      </c>
      <c r="R390" s="1228" t="str">
        <f t="shared" si="91"/>
        <v>405</v>
      </c>
      <c r="S390" s="2625">
        <f t="shared" si="89"/>
        <v>0</v>
      </c>
      <c r="T390" s="2747">
        <f>IF(L390&gt;0,IF(input!$B$2=$O$1,(((L390+Y390/22)+(L390+Y390/22)*$AG390+$X390)*$P$11+$M$7)/1000,(((L390+Y390/22)+(L390+Y390/22)*O390+(L390+Y390/22)*$AG390+$X390)*$P$11+$M$7)/1000),0)</f>
        <v>0</v>
      </c>
      <c r="U390" s="2747">
        <f t="shared" si="90"/>
        <v>0</v>
      </c>
      <c r="V390" s="1229"/>
      <c r="W390" s="1231" t="str">
        <f t="shared" si="95"/>
        <v>CIF</v>
      </c>
      <c r="X390" s="1230">
        <f t="shared" si="94"/>
        <v>0</v>
      </c>
      <c r="Y390" s="2625">
        <f t="shared" si="99"/>
        <v>0</v>
      </c>
      <c r="Z390" s="3208">
        <f t="shared" si="92"/>
        <v>838.18181818181813</v>
      </c>
      <c r="AA390" s="1220" t="s">
        <v>2860</v>
      </c>
      <c r="AB390" s="1220" t="s">
        <v>1395</v>
      </c>
      <c r="AC390" s="251" t="str">
        <f t="shared" si="93"/>
        <v xml:space="preserve">405gsm IVORY Printkote (C1S) - WestRock </v>
      </c>
      <c r="AD390" s="2746">
        <f>IF(L390&gt;0,IF(input!$B$2=$O$1,(((M390)+(M390)*$M$10)*$P$11)/1000,(((M390)+(M390)*O390+(M390)*$M$10)*$P$11)/1000),0)</f>
        <v>0</v>
      </c>
      <c r="AE390" s="2746">
        <f>IF(L390&gt;0,IF(input!$B$2=$O$1,(((N390)+(N390)*$M$10)*$P$11)/1000,(((N390)+(N390)*O390+(N390)*$M$10)*$P$11)/1000),0)</f>
        <v>0</v>
      </c>
      <c r="AF390" s="136" t="str">
        <f t="shared" si="100"/>
        <v>None</v>
      </c>
      <c r="AG390" s="2628">
        <f t="shared" si="101"/>
        <v>1.2E-2</v>
      </c>
      <c r="AH390" s="1266">
        <v>0.1</v>
      </c>
    </row>
    <row r="391" spans="1:34" ht="12.75">
      <c r="A391" s="2199">
        <f t="shared" si="87"/>
        <v>379</v>
      </c>
      <c r="B391" s="2200" t="s">
        <v>2525</v>
      </c>
      <c r="C391" s="2743">
        <v>0</v>
      </c>
      <c r="D391" s="2743">
        <v>0</v>
      </c>
      <c r="E391" s="2949" t="s">
        <v>2313</v>
      </c>
      <c r="F391" s="2200">
        <v>30</v>
      </c>
      <c r="G391" s="2200" t="s">
        <v>127</v>
      </c>
      <c r="H391" s="2200" t="s">
        <v>1057</v>
      </c>
      <c r="I391" s="2742">
        <v>0</v>
      </c>
      <c r="J391" s="2742"/>
      <c r="K391" s="2752">
        <v>45</v>
      </c>
      <c r="L391" s="2745">
        <f t="shared" si="88"/>
        <v>0</v>
      </c>
      <c r="M391" s="2745">
        <f t="shared" si="96"/>
        <v>0</v>
      </c>
      <c r="N391" s="2745">
        <f t="shared" si="97"/>
        <v>30</v>
      </c>
      <c r="O391" s="1232" t="str">
        <f t="shared" si="98"/>
        <v>check</v>
      </c>
      <c r="P391" s="1227" t="str">
        <f t="shared" si="102"/>
        <v xml:space="preserve">435gsm IVORY Printkote (C1S) - WestRock </v>
      </c>
      <c r="Q391" s="254">
        <v>0.66</v>
      </c>
      <c r="R391" s="1228" t="str">
        <f t="shared" si="91"/>
        <v>435</v>
      </c>
      <c r="S391" s="2625">
        <f t="shared" si="89"/>
        <v>0</v>
      </c>
      <c r="T391" s="2747">
        <f>IF(L391&gt;0,IF(input!$B$2=$O$1,(((L391+Y391/22)+(L391+Y391/22)*$AG391+$X391)*$P$11+$M$7)/1000,(((L391+Y391/22)+(L391+Y391/22)*O391+(L391+Y391/22)*$AG391+$X391)*$P$11+$M$7)/1000),0)</f>
        <v>0</v>
      </c>
      <c r="U391" s="2747">
        <f t="shared" si="90"/>
        <v>0</v>
      </c>
      <c r="V391" s="1229"/>
      <c r="W391" s="1231" t="str">
        <f t="shared" si="95"/>
        <v>CIF</v>
      </c>
      <c r="X391" s="1230">
        <f t="shared" si="94"/>
        <v>0</v>
      </c>
      <c r="Y391" s="2625">
        <f t="shared" si="99"/>
        <v>0</v>
      </c>
      <c r="Z391" s="3208">
        <f t="shared" si="92"/>
        <v>838.18181818181813</v>
      </c>
      <c r="AA391" s="1220" t="s">
        <v>2860</v>
      </c>
      <c r="AB391" s="1220" t="s">
        <v>1395</v>
      </c>
      <c r="AC391" s="251" t="str">
        <f t="shared" si="93"/>
        <v xml:space="preserve">435gsm IVORY Printkote (C1S) - WestRock </v>
      </c>
      <c r="AD391" s="2746">
        <f>IF(L391&gt;0,IF(input!$B$2=$O$1,(((M391)+(M391)*$M$10)*$P$11)/1000,(((M391)+(M391)*O391+(M391)*$M$10)*$P$11)/1000),0)</f>
        <v>0</v>
      </c>
      <c r="AE391" s="2746">
        <f>IF(L391&gt;0,IF(input!$B$2=$O$1,(((N391)+(N391)*$M$10)*$P$11)/1000,(((N391)+(N391)*O391+(N391)*$M$10)*$P$11)/1000),0)</f>
        <v>0</v>
      </c>
      <c r="AF391" s="136" t="str">
        <f t="shared" si="100"/>
        <v>None</v>
      </c>
      <c r="AG391" s="2628">
        <f t="shared" si="101"/>
        <v>1.2E-2</v>
      </c>
      <c r="AH391" s="1266">
        <v>0.1</v>
      </c>
    </row>
    <row r="392" spans="1:34" ht="12.75">
      <c r="A392" s="2199">
        <f t="shared" si="87"/>
        <v>380</v>
      </c>
      <c r="B392" s="2200" t="s">
        <v>2526</v>
      </c>
      <c r="C392" s="2743">
        <v>0</v>
      </c>
      <c r="D392" s="2743">
        <v>0</v>
      </c>
      <c r="E392" s="2949" t="s">
        <v>2313</v>
      </c>
      <c r="F392" s="2200">
        <v>30</v>
      </c>
      <c r="G392" s="2200" t="s">
        <v>127</v>
      </c>
      <c r="H392" s="2200" t="s">
        <v>1057</v>
      </c>
      <c r="I392" s="2742">
        <v>0</v>
      </c>
      <c r="J392" s="2742"/>
      <c r="K392" s="2752">
        <v>45</v>
      </c>
      <c r="L392" s="2745">
        <f t="shared" si="88"/>
        <v>0</v>
      </c>
      <c r="M392" s="2745">
        <f t="shared" si="96"/>
        <v>0</v>
      </c>
      <c r="N392" s="2745">
        <f t="shared" si="97"/>
        <v>30</v>
      </c>
      <c r="O392" s="1232" t="str">
        <f t="shared" si="98"/>
        <v>check</v>
      </c>
      <c r="P392" s="1227" t="str">
        <f t="shared" si="102"/>
        <v xml:space="preserve">460gsm IVORY Printkote (C1S) - WestRock </v>
      </c>
      <c r="Q392" s="254">
        <v>0.71099999999999997</v>
      </c>
      <c r="R392" s="1228" t="str">
        <f t="shared" si="91"/>
        <v>460</v>
      </c>
      <c r="S392" s="2625">
        <f t="shared" si="89"/>
        <v>0</v>
      </c>
      <c r="T392" s="2747">
        <f>IF(L392&gt;0,IF(input!$B$2=$O$1,(((L392+Y392/22)+(L392+Y392/22)*$AG392+$X392)*$P$11+$M$7)/1000,(((L392+Y392/22)+(L392+Y392/22)*O392+(L392+Y392/22)*$AG392+$X392)*$P$11+$M$7)/1000),0)</f>
        <v>0</v>
      </c>
      <c r="U392" s="2747">
        <f t="shared" si="90"/>
        <v>0</v>
      </c>
      <c r="V392" s="1229"/>
      <c r="W392" s="1231" t="str">
        <f t="shared" si="95"/>
        <v>CIF</v>
      </c>
      <c r="X392" s="1230">
        <f t="shared" si="94"/>
        <v>0</v>
      </c>
      <c r="Y392" s="2625">
        <f t="shared" si="99"/>
        <v>0</v>
      </c>
      <c r="Z392" s="3208">
        <f t="shared" si="92"/>
        <v>838.18181818181813</v>
      </c>
      <c r="AA392" s="1220" t="s">
        <v>2860</v>
      </c>
      <c r="AB392" s="1220" t="s">
        <v>1395</v>
      </c>
      <c r="AC392" s="251" t="str">
        <f t="shared" si="93"/>
        <v xml:space="preserve">460gsm IVORY Printkote (C1S) - WestRock </v>
      </c>
      <c r="AD392" s="2746">
        <f>IF(L392&gt;0,IF(input!$B$2=$O$1,(((M392)+(M392)*$M$10)*$P$11)/1000,(((M392)+(M392)*O392+(M392)*$M$10)*$P$11)/1000),0)</f>
        <v>0</v>
      </c>
      <c r="AE392" s="2746">
        <f>IF(L392&gt;0,IF(input!$B$2=$O$1,(((N392)+(N392)*$M$10)*$P$11)/1000,(((N392)+(N392)*O392+(N392)*$M$10)*$P$11)/1000),0)</f>
        <v>0</v>
      </c>
      <c r="AF392" s="136" t="str">
        <f t="shared" si="100"/>
        <v>None</v>
      </c>
      <c r="AG392" s="2628">
        <f t="shared" si="101"/>
        <v>1.2E-2</v>
      </c>
      <c r="AH392" s="1266">
        <v>0.1</v>
      </c>
    </row>
    <row r="393" spans="1:34" ht="12.75">
      <c r="A393" s="2199">
        <f t="shared" si="87"/>
        <v>381</v>
      </c>
      <c r="B393" s="2200" t="s">
        <v>2104</v>
      </c>
      <c r="C393" s="2743">
        <v>0</v>
      </c>
      <c r="D393" s="2743">
        <v>0</v>
      </c>
      <c r="E393" s="2949" t="s">
        <v>2313</v>
      </c>
      <c r="F393" s="2200">
        <v>30</v>
      </c>
      <c r="G393" s="2200" t="s">
        <v>127</v>
      </c>
      <c r="H393" s="2200" t="s">
        <v>1057</v>
      </c>
      <c r="I393" s="2742">
        <v>0</v>
      </c>
      <c r="J393" s="2742"/>
      <c r="K393" s="2752">
        <v>45</v>
      </c>
      <c r="L393" s="2745">
        <f t="shared" si="88"/>
        <v>0</v>
      </c>
      <c r="M393" s="2745">
        <f t="shared" si="96"/>
        <v>0</v>
      </c>
      <c r="N393" s="2745">
        <f t="shared" si="97"/>
        <v>30</v>
      </c>
      <c r="O393" s="1232" t="str">
        <f t="shared" si="98"/>
        <v>check</v>
      </c>
      <c r="P393" s="1227" t="str">
        <f t="shared" si="102"/>
        <v>182gsm IVORY Crescendo (C1S) - WestRock</v>
      </c>
      <c r="Q393" s="254">
        <v>0.216</v>
      </c>
      <c r="R393" s="1228" t="str">
        <f t="shared" si="91"/>
        <v>182</v>
      </c>
      <c r="S393" s="2625">
        <f t="shared" si="89"/>
        <v>0</v>
      </c>
      <c r="T393" s="2747">
        <f>IF(L393&gt;0,IF(input!$B$2=$O$1,(((L393+Y393/22)+(L393+Y393/22)*$AG393+$X393)*$P$11+$M$7)/1000,(((L393+Y393/22)+(L393+Y393/22)*O393+(L393+Y393/22)*$AG393+$X393)*$P$11+$M$7)/1000),0)</f>
        <v>0</v>
      </c>
      <c r="U393" s="2747">
        <f t="shared" si="90"/>
        <v>0</v>
      </c>
      <c r="V393" s="1229"/>
      <c r="W393" s="1231" t="str">
        <f t="shared" si="95"/>
        <v>CIF</v>
      </c>
      <c r="X393" s="1230">
        <f t="shared" si="94"/>
        <v>0</v>
      </c>
      <c r="Y393" s="2625">
        <f t="shared" si="99"/>
        <v>0</v>
      </c>
      <c r="Z393" s="3208">
        <f t="shared" si="92"/>
        <v>838.18181818181813</v>
      </c>
      <c r="AA393" s="1220" t="s">
        <v>2128</v>
      </c>
      <c r="AB393" s="1220" t="s">
        <v>1395</v>
      </c>
      <c r="AC393" s="251" t="str">
        <f t="shared" si="93"/>
        <v>182gsm IVORY Crescendo (C1S) - WestRock</v>
      </c>
      <c r="AD393" s="2746">
        <f>IF(L393&gt;0,IF(input!$B$2=$O$1,(((M393)+(M393)*$M$10)*$P$11)/1000,(((M393)+(M393)*O393+(M393)*$M$10)*$P$11)/1000),0)</f>
        <v>0</v>
      </c>
      <c r="AE393" s="2746">
        <f>IF(L393&gt;0,IF(input!$B$2=$O$1,(((N393)+(N393)*$M$10)*$P$11)/1000,(((N393)+(N393)*O393+(N393)*$M$10)*$P$11)/1000),0)</f>
        <v>0</v>
      </c>
      <c r="AF393" s="136" t="str">
        <f t="shared" si="100"/>
        <v>None</v>
      </c>
      <c r="AG393" s="2628">
        <f t="shared" si="101"/>
        <v>1.2E-2</v>
      </c>
      <c r="AH393" s="1266">
        <v>0.1</v>
      </c>
    </row>
    <row r="394" spans="1:34" ht="12.75">
      <c r="A394" s="2199">
        <f t="shared" si="87"/>
        <v>382</v>
      </c>
      <c r="B394" s="2200" t="s">
        <v>2105</v>
      </c>
      <c r="C394" s="2743">
        <v>0</v>
      </c>
      <c r="D394" s="2743">
        <v>0</v>
      </c>
      <c r="E394" s="2949" t="s">
        <v>2313</v>
      </c>
      <c r="F394" s="2200">
        <v>30</v>
      </c>
      <c r="G394" s="2200" t="s">
        <v>127</v>
      </c>
      <c r="H394" s="2200" t="s">
        <v>1057</v>
      </c>
      <c r="I394" s="2742">
        <v>0</v>
      </c>
      <c r="J394" s="2742"/>
      <c r="K394" s="2752">
        <v>45</v>
      </c>
      <c r="L394" s="2745">
        <f t="shared" si="88"/>
        <v>0</v>
      </c>
      <c r="M394" s="2745">
        <f t="shared" si="96"/>
        <v>0</v>
      </c>
      <c r="N394" s="2745">
        <f t="shared" si="97"/>
        <v>30</v>
      </c>
      <c r="O394" s="1232" t="str">
        <f t="shared" si="98"/>
        <v>check</v>
      </c>
      <c r="P394" s="1227" t="str">
        <f t="shared" si="102"/>
        <v>202gsm IVORY Crescendo (C1S) - WestRock</v>
      </c>
      <c r="Q394" s="254">
        <v>0.254</v>
      </c>
      <c r="R394" s="1228" t="str">
        <f t="shared" si="91"/>
        <v>202</v>
      </c>
      <c r="S394" s="2625">
        <f t="shared" si="89"/>
        <v>0</v>
      </c>
      <c r="T394" s="2747">
        <f>IF(L394&gt;0,IF(input!$B$2=$O$1,(((L394+Y394/22)+(L394+Y394/22)*$AG394+$X394)*$P$11+$M$7)/1000,(((L394+Y394/22)+(L394+Y394/22)*O394+(L394+Y394/22)*$AG394+$X394)*$P$11+$M$7)/1000),0)</f>
        <v>0</v>
      </c>
      <c r="U394" s="2747">
        <f t="shared" si="90"/>
        <v>0</v>
      </c>
      <c r="V394" s="1229"/>
      <c r="W394" s="1231" t="str">
        <f t="shared" si="95"/>
        <v>CIF</v>
      </c>
      <c r="X394" s="1230">
        <f t="shared" si="94"/>
        <v>0</v>
      </c>
      <c r="Y394" s="2625">
        <f t="shared" si="99"/>
        <v>0</v>
      </c>
      <c r="Z394" s="3208">
        <f t="shared" si="92"/>
        <v>838.18181818181813</v>
      </c>
      <c r="AA394" s="1220" t="s">
        <v>2128</v>
      </c>
      <c r="AB394" s="1220" t="s">
        <v>1395</v>
      </c>
      <c r="AC394" s="251" t="str">
        <f t="shared" si="93"/>
        <v>202gsm IVORY Crescendo (C1S) - WestRock</v>
      </c>
      <c r="AD394" s="2746">
        <f>IF(L394&gt;0,IF(input!$B$2=$O$1,(((M394)+(M394)*$M$10)*$P$11)/1000,(((M394)+(M394)*O394+(M394)*$M$10)*$P$11)/1000),0)</f>
        <v>0</v>
      </c>
      <c r="AE394" s="2746">
        <f>IF(L394&gt;0,IF(input!$B$2=$O$1,(((N394)+(N394)*$M$10)*$P$11)/1000,(((N394)+(N394)*O394+(N394)*$M$10)*$P$11)/1000),0)</f>
        <v>0</v>
      </c>
      <c r="AF394" s="136" t="str">
        <f t="shared" si="100"/>
        <v>None</v>
      </c>
      <c r="AG394" s="2628">
        <f t="shared" si="101"/>
        <v>1.2E-2</v>
      </c>
      <c r="AH394" s="1266">
        <v>0.1</v>
      </c>
    </row>
    <row r="395" spans="1:34" ht="12.75">
      <c r="A395" s="2199">
        <f t="shared" si="87"/>
        <v>383</v>
      </c>
      <c r="B395" s="2200" t="s">
        <v>2106</v>
      </c>
      <c r="C395" s="2743">
        <v>0</v>
      </c>
      <c r="D395" s="2743">
        <v>0</v>
      </c>
      <c r="E395" s="2949" t="s">
        <v>2313</v>
      </c>
      <c r="F395" s="2200">
        <v>30</v>
      </c>
      <c r="G395" s="2200" t="s">
        <v>127</v>
      </c>
      <c r="H395" s="2200" t="s">
        <v>1057</v>
      </c>
      <c r="I395" s="2742">
        <v>0</v>
      </c>
      <c r="J395" s="2742"/>
      <c r="K395" s="2752">
        <v>45</v>
      </c>
      <c r="L395" s="2745">
        <f t="shared" si="88"/>
        <v>0</v>
      </c>
      <c r="M395" s="2745">
        <f t="shared" si="96"/>
        <v>0</v>
      </c>
      <c r="N395" s="2745">
        <f t="shared" si="97"/>
        <v>30</v>
      </c>
      <c r="O395" s="1232" t="str">
        <f t="shared" si="98"/>
        <v>check</v>
      </c>
      <c r="P395" s="1227" t="str">
        <f t="shared" si="102"/>
        <v>236gsm IVORY Crescendo (C1S) - WestRock</v>
      </c>
      <c r="Q395" s="254">
        <v>0.30499999999999999</v>
      </c>
      <c r="R395" s="1228" t="str">
        <f t="shared" si="91"/>
        <v>236</v>
      </c>
      <c r="S395" s="2625">
        <f t="shared" si="89"/>
        <v>0</v>
      </c>
      <c r="T395" s="2747">
        <f>IF(L395&gt;0,IF(input!$B$2=$O$1,(((L395+Y395/22)+(L395+Y395/22)*$AG395+$X395)*$P$11+$M$7)/1000,(((L395+Y395/22)+(L395+Y395/22)*O395+(L395+Y395/22)*$AG395+$X395)*$P$11+$M$7)/1000),0)</f>
        <v>0</v>
      </c>
      <c r="U395" s="2747">
        <f t="shared" si="90"/>
        <v>0</v>
      </c>
      <c r="V395" s="1229"/>
      <c r="W395" s="1231" t="str">
        <f t="shared" si="95"/>
        <v>CIF</v>
      </c>
      <c r="X395" s="1230">
        <f t="shared" si="94"/>
        <v>0</v>
      </c>
      <c r="Y395" s="2625">
        <f t="shared" si="99"/>
        <v>0</v>
      </c>
      <c r="Z395" s="3208">
        <f t="shared" si="92"/>
        <v>838.18181818181813</v>
      </c>
      <c r="AA395" s="1220" t="s">
        <v>2128</v>
      </c>
      <c r="AB395" s="1220" t="s">
        <v>1395</v>
      </c>
      <c r="AC395" s="251" t="str">
        <f t="shared" si="93"/>
        <v>236gsm IVORY Crescendo (C1S) - WestRock</v>
      </c>
      <c r="AD395" s="2746">
        <f>IF(L395&gt;0,IF(input!$B$2=$O$1,(((M395)+(M395)*$M$10)*$P$11)/1000,(((M395)+(M395)*O395+(M395)*$M$10)*$P$11)/1000),0)</f>
        <v>0</v>
      </c>
      <c r="AE395" s="2746">
        <f>IF(L395&gt;0,IF(input!$B$2=$O$1,(((N395)+(N395)*$M$10)*$P$11)/1000,(((N395)+(N395)*O395+(N395)*$M$10)*$P$11)/1000),0)</f>
        <v>0</v>
      </c>
      <c r="AF395" s="136" t="str">
        <f t="shared" si="100"/>
        <v>None</v>
      </c>
      <c r="AG395" s="2628">
        <f t="shared" si="101"/>
        <v>1.2E-2</v>
      </c>
      <c r="AH395" s="1266">
        <v>0.1</v>
      </c>
    </row>
    <row r="396" spans="1:34" ht="12.75">
      <c r="A396" s="2199">
        <f t="shared" si="87"/>
        <v>384</v>
      </c>
      <c r="B396" s="2200" t="s">
        <v>2107</v>
      </c>
      <c r="C396" s="2743">
        <v>0</v>
      </c>
      <c r="D396" s="2743">
        <v>0</v>
      </c>
      <c r="E396" s="2949" t="s">
        <v>2313</v>
      </c>
      <c r="F396" s="2200">
        <v>30</v>
      </c>
      <c r="G396" s="2200" t="s">
        <v>127</v>
      </c>
      <c r="H396" s="2200" t="s">
        <v>1057</v>
      </c>
      <c r="I396" s="2742">
        <v>0</v>
      </c>
      <c r="J396" s="2742"/>
      <c r="K396" s="2752">
        <v>45</v>
      </c>
      <c r="L396" s="2745">
        <f t="shared" si="88"/>
        <v>0</v>
      </c>
      <c r="M396" s="2745">
        <f t="shared" si="96"/>
        <v>0</v>
      </c>
      <c r="N396" s="2745">
        <f t="shared" si="97"/>
        <v>30</v>
      </c>
      <c r="O396" s="1232" t="str">
        <f t="shared" si="98"/>
        <v>check</v>
      </c>
      <c r="P396" s="1227" t="str">
        <f t="shared" si="102"/>
        <v>265gsm IVORY Crescendo (C1S) - WestRock</v>
      </c>
      <c r="Q396" s="254">
        <v>0.34499999999999997</v>
      </c>
      <c r="R396" s="1228" t="str">
        <f t="shared" si="91"/>
        <v>265</v>
      </c>
      <c r="S396" s="2625">
        <f t="shared" si="89"/>
        <v>0</v>
      </c>
      <c r="T396" s="2747">
        <f>IF(L396&gt;0,IF(input!$B$2=$O$1,(((L396+Y396/22)+(L396+Y396/22)*$AG396+$X396)*$P$11+$M$7)/1000,(((L396+Y396/22)+(L396+Y396/22)*O396+(L396+Y396/22)*$AG396+$X396)*$P$11+$M$7)/1000),0)</f>
        <v>0</v>
      </c>
      <c r="U396" s="2747">
        <f t="shared" si="90"/>
        <v>0</v>
      </c>
      <c r="V396" s="1229"/>
      <c r="W396" s="1231" t="str">
        <f t="shared" si="95"/>
        <v>CIF</v>
      </c>
      <c r="X396" s="1230">
        <f t="shared" si="94"/>
        <v>0</v>
      </c>
      <c r="Y396" s="2625">
        <f t="shared" si="99"/>
        <v>0</v>
      </c>
      <c r="Z396" s="3208">
        <f t="shared" si="92"/>
        <v>838.18181818181813</v>
      </c>
      <c r="AA396" s="1220" t="s">
        <v>2128</v>
      </c>
      <c r="AB396" s="1220" t="s">
        <v>1395</v>
      </c>
      <c r="AC396" s="251" t="str">
        <f t="shared" si="93"/>
        <v>265gsm IVORY Crescendo (C1S) - WestRock</v>
      </c>
      <c r="AD396" s="2746">
        <f>IF(L396&gt;0,IF(input!$B$2=$O$1,(((M396)+(M396)*$M$10)*$P$11)/1000,(((M396)+(M396)*O396+(M396)*$M$10)*$P$11)/1000),0)</f>
        <v>0</v>
      </c>
      <c r="AE396" s="2746">
        <f>IF(L396&gt;0,IF(input!$B$2=$O$1,(((N396)+(N396)*$M$10)*$P$11)/1000,(((N396)+(N396)*O396+(N396)*$M$10)*$P$11)/1000),0)</f>
        <v>0</v>
      </c>
      <c r="AF396" s="136" t="str">
        <f t="shared" si="100"/>
        <v>None</v>
      </c>
      <c r="AG396" s="2628">
        <f t="shared" si="101"/>
        <v>1.2E-2</v>
      </c>
      <c r="AH396" s="1266">
        <v>0.1</v>
      </c>
    </row>
    <row r="397" spans="1:34" ht="12.75">
      <c r="A397" s="2199">
        <f t="shared" si="87"/>
        <v>385</v>
      </c>
      <c r="B397" s="2200" t="s">
        <v>2108</v>
      </c>
      <c r="C397" s="2743">
        <v>0</v>
      </c>
      <c r="D397" s="2743">
        <v>0</v>
      </c>
      <c r="E397" s="2949" t="s">
        <v>2313</v>
      </c>
      <c r="F397" s="2200">
        <v>30</v>
      </c>
      <c r="G397" s="2200" t="s">
        <v>127</v>
      </c>
      <c r="H397" s="2200" t="s">
        <v>1057</v>
      </c>
      <c r="I397" s="2742">
        <v>0</v>
      </c>
      <c r="J397" s="2742"/>
      <c r="K397" s="2752">
        <v>45</v>
      </c>
      <c r="L397" s="2745">
        <f t="shared" si="88"/>
        <v>0</v>
      </c>
      <c r="M397" s="2745">
        <f t="shared" si="96"/>
        <v>0</v>
      </c>
      <c r="N397" s="2745">
        <f t="shared" si="97"/>
        <v>30</v>
      </c>
      <c r="O397" s="1232" t="str">
        <f t="shared" si="98"/>
        <v>check</v>
      </c>
      <c r="P397" s="1227" t="str">
        <f t="shared" si="102"/>
        <v>280gsm IVORY Crescendo (C1S) - WestRock</v>
      </c>
      <c r="Q397" s="254">
        <v>0.376</v>
      </c>
      <c r="R397" s="1228" t="str">
        <f t="shared" si="91"/>
        <v>280</v>
      </c>
      <c r="S397" s="2625">
        <f t="shared" si="89"/>
        <v>0</v>
      </c>
      <c r="T397" s="2747">
        <f>IF(L397&gt;0,IF(input!$B$2=$O$1,(((L397+Y397/22)+(L397+Y397/22)*$AG397+$X397)*$P$11+$M$7)/1000,(((L397+Y397/22)+(L397+Y397/22)*O397+(L397+Y397/22)*$AG397+$X397)*$P$11+$M$7)/1000),0)</f>
        <v>0</v>
      </c>
      <c r="U397" s="2747">
        <f t="shared" si="90"/>
        <v>0</v>
      </c>
      <c r="V397" s="1229"/>
      <c r="W397" s="1231" t="str">
        <f t="shared" si="95"/>
        <v>CIF</v>
      </c>
      <c r="X397" s="1230">
        <f t="shared" si="94"/>
        <v>0</v>
      </c>
      <c r="Y397" s="2625">
        <f t="shared" si="99"/>
        <v>0</v>
      </c>
      <c r="Z397" s="3208">
        <f t="shared" si="92"/>
        <v>838.18181818181813</v>
      </c>
      <c r="AA397" s="1220" t="s">
        <v>2128</v>
      </c>
      <c r="AB397" s="1220" t="s">
        <v>1395</v>
      </c>
      <c r="AC397" s="251" t="str">
        <f t="shared" si="93"/>
        <v>280gsm IVORY Crescendo (C1S) - WestRock</v>
      </c>
      <c r="AD397" s="2746">
        <f>IF(L397&gt;0,IF(input!$B$2=$O$1,(((M397)+(M397)*$M$10)*$P$11)/1000,(((M397)+(M397)*O397+(M397)*$M$10)*$P$11)/1000),0)</f>
        <v>0</v>
      </c>
      <c r="AE397" s="2746">
        <f>IF(L397&gt;0,IF(input!$B$2=$O$1,(((N397)+(N397)*$M$10)*$P$11)/1000,(((N397)+(N397)*O397+(N397)*$M$10)*$P$11)/1000),0)</f>
        <v>0</v>
      </c>
      <c r="AF397" s="136" t="str">
        <f t="shared" si="100"/>
        <v>None</v>
      </c>
      <c r="AG397" s="2628">
        <f t="shared" si="101"/>
        <v>1.2E-2</v>
      </c>
      <c r="AH397" s="1266">
        <v>0.1</v>
      </c>
    </row>
    <row r="398" spans="1:34" ht="12.75">
      <c r="A398" s="2199">
        <f t="shared" ref="A398:A461" si="103">ROW(A386)</f>
        <v>386</v>
      </c>
      <c r="B398" s="2200" t="s">
        <v>2109</v>
      </c>
      <c r="C398" s="2743">
        <v>0</v>
      </c>
      <c r="D398" s="2743">
        <v>0</v>
      </c>
      <c r="E398" s="2949" t="s">
        <v>2313</v>
      </c>
      <c r="F398" s="2200">
        <v>30</v>
      </c>
      <c r="G398" s="2200" t="s">
        <v>127</v>
      </c>
      <c r="H398" s="2200" t="s">
        <v>1057</v>
      </c>
      <c r="I398" s="2742">
        <v>0</v>
      </c>
      <c r="J398" s="2742"/>
      <c r="K398" s="2752">
        <v>45</v>
      </c>
      <c r="L398" s="2745">
        <f t="shared" ref="L398:L504" si="104">$D398</f>
        <v>0</v>
      </c>
      <c r="M398" s="2745">
        <f t="shared" si="96"/>
        <v>0</v>
      </c>
      <c r="N398" s="2745">
        <f t="shared" si="97"/>
        <v>30</v>
      </c>
      <c r="O398" s="1232" t="str">
        <f t="shared" si="98"/>
        <v>check</v>
      </c>
      <c r="P398" s="1227" t="str">
        <f t="shared" si="102"/>
        <v>296gsm IVORY Crescendo (C1S) - WestRock</v>
      </c>
      <c r="Q398" s="254">
        <v>0.40600000000000003</v>
      </c>
      <c r="R398" s="1228" t="str">
        <f t="shared" si="91"/>
        <v>296</v>
      </c>
      <c r="S398" s="2625">
        <f t="shared" ref="S398:S406" si="105">C398</f>
        <v>0</v>
      </c>
      <c r="T398" s="2747">
        <f>IF(L398&gt;0,IF(input!$B$2=$O$1,(((L398+Y398/22)+(L398+Y398/22)*$AG398+$X398)*$P$11+$M$7)/1000,(((L398+Y398/22)+(L398+Y398/22)*O398+(L398+Y398/22)*$AG398+$X398)*$P$11+$M$7)/1000),0)</f>
        <v>0</v>
      </c>
      <c r="U398" s="2747">
        <f t="shared" ref="U398:U461" si="106">IF(S398&gt;0,(S398/1.08)+Z398,0)</f>
        <v>0</v>
      </c>
      <c r="V398" s="1229"/>
      <c r="W398" s="1231" t="str">
        <f t="shared" si="95"/>
        <v>CIF</v>
      </c>
      <c r="X398" s="1230">
        <f t="shared" si="94"/>
        <v>0</v>
      </c>
      <c r="Y398" s="2625">
        <f t="shared" si="99"/>
        <v>0</v>
      </c>
      <c r="Z398" s="3208">
        <f t="shared" si="92"/>
        <v>838.18181818181813</v>
      </c>
      <c r="AA398" s="1220" t="s">
        <v>2128</v>
      </c>
      <c r="AB398" s="1220" t="s">
        <v>1395</v>
      </c>
      <c r="AC398" s="251" t="str">
        <f t="shared" si="93"/>
        <v>296gsm IVORY Crescendo (C1S) - WestRock</v>
      </c>
      <c r="AD398" s="2746">
        <f>IF(L398&gt;0,IF(input!$B$2=$O$1,(((M398)+(M398)*$M$10)*$P$11)/1000,(((M398)+(M398)*O398+(M398)*$M$10)*$P$11)/1000),0)</f>
        <v>0</v>
      </c>
      <c r="AE398" s="2746">
        <f>IF(L398&gt;0,IF(input!$B$2=$O$1,(((N398)+(N398)*$M$10)*$P$11)/1000,(((N398)+(N398)*O398+(N398)*$M$10)*$P$11)/1000),0)</f>
        <v>0</v>
      </c>
      <c r="AF398" s="136" t="str">
        <f t="shared" si="100"/>
        <v>None</v>
      </c>
      <c r="AG398" s="2628">
        <f t="shared" si="101"/>
        <v>1.2E-2</v>
      </c>
      <c r="AH398" s="1266">
        <v>0.1</v>
      </c>
    </row>
    <row r="399" spans="1:34" ht="12.75">
      <c r="A399" s="2199">
        <f t="shared" si="103"/>
        <v>387</v>
      </c>
      <c r="B399" s="2200" t="s">
        <v>2110</v>
      </c>
      <c r="C399" s="2743">
        <v>0</v>
      </c>
      <c r="D399" s="2743">
        <v>0</v>
      </c>
      <c r="E399" s="2949" t="s">
        <v>2313</v>
      </c>
      <c r="F399" s="2200">
        <v>30</v>
      </c>
      <c r="G399" s="2200" t="s">
        <v>127</v>
      </c>
      <c r="H399" s="2200" t="s">
        <v>1057</v>
      </c>
      <c r="I399" s="2742">
        <v>0</v>
      </c>
      <c r="J399" s="2742"/>
      <c r="K399" s="2752">
        <v>45</v>
      </c>
      <c r="L399" s="2745">
        <f t="shared" si="104"/>
        <v>0</v>
      </c>
      <c r="M399" s="2745">
        <f t="shared" si="96"/>
        <v>0</v>
      </c>
      <c r="N399" s="2745">
        <f t="shared" si="97"/>
        <v>30</v>
      </c>
      <c r="O399" s="1232" t="str">
        <f t="shared" si="98"/>
        <v>check</v>
      </c>
      <c r="P399" s="1227" t="str">
        <f t="shared" si="102"/>
        <v>324gsm IVORY Crescendo (C1S) - WestRock</v>
      </c>
      <c r="Q399" s="254">
        <v>0.45200000000000001</v>
      </c>
      <c r="R399" s="1228" t="str">
        <f t="shared" ref="R399:R462" si="107">LEFT(AC399,3)</f>
        <v>324</v>
      </c>
      <c r="S399" s="2625">
        <f t="shared" si="105"/>
        <v>0</v>
      </c>
      <c r="T399" s="2747">
        <f>IF(L399&gt;0,IF(input!$B$2=$O$1,(((L399+Y399/22)+(L399+Y399/22)*$AG399+$X399)*$P$11+$M$7)/1000,(((L399+Y399/22)+(L399+Y399/22)*O399+(L399+Y399/22)*$AG399+$X399)*$P$11+$M$7)/1000),0)</f>
        <v>0</v>
      </c>
      <c r="U399" s="2747">
        <f t="shared" si="106"/>
        <v>0</v>
      </c>
      <c r="V399" s="1229"/>
      <c r="W399" s="1231" t="str">
        <f t="shared" si="95"/>
        <v>CIF</v>
      </c>
      <c r="X399" s="1230">
        <f t="shared" si="94"/>
        <v>0</v>
      </c>
      <c r="Y399" s="2625">
        <f t="shared" si="99"/>
        <v>0</v>
      </c>
      <c r="Z399" s="3208">
        <f t="shared" ref="Z399:Z462" si="108">922000/1.1/1000</f>
        <v>838.18181818181813</v>
      </c>
      <c r="AA399" s="1220" t="s">
        <v>2128</v>
      </c>
      <c r="AB399" s="1220" t="s">
        <v>1395</v>
      </c>
      <c r="AC399" s="251" t="str">
        <f t="shared" ref="AC399:AC408" si="109">B399</f>
        <v>324gsm IVORY Crescendo (C1S) - WestRock</v>
      </c>
      <c r="AD399" s="2746">
        <f>IF(L399&gt;0,IF(input!$B$2=$O$1,(((M399)+(M399)*$M$10)*$P$11)/1000,(((M399)+(M399)*O399+(M399)*$M$10)*$P$11)/1000),0)</f>
        <v>0</v>
      </c>
      <c r="AE399" s="2746">
        <f>IF(L399&gt;0,IF(input!$B$2=$O$1,(((N399)+(N399)*$M$10)*$P$11)/1000,(((N399)+(N399)*O399+(N399)*$M$10)*$P$11)/1000),0)</f>
        <v>0</v>
      </c>
      <c r="AF399" s="136" t="str">
        <f t="shared" si="100"/>
        <v>None</v>
      </c>
      <c r="AG399" s="2628">
        <f t="shared" si="101"/>
        <v>1.2E-2</v>
      </c>
      <c r="AH399" s="1266">
        <v>0.1</v>
      </c>
    </row>
    <row r="400" spans="1:34" ht="12.75">
      <c r="A400" s="2199">
        <f t="shared" si="103"/>
        <v>388</v>
      </c>
      <c r="B400" s="2200" t="s">
        <v>2111</v>
      </c>
      <c r="C400" s="2743">
        <v>0</v>
      </c>
      <c r="D400" s="2743">
        <v>0</v>
      </c>
      <c r="E400" s="2949" t="s">
        <v>2313</v>
      </c>
      <c r="F400" s="2200">
        <v>30</v>
      </c>
      <c r="G400" s="2200" t="s">
        <v>127</v>
      </c>
      <c r="H400" s="2200" t="s">
        <v>1057</v>
      </c>
      <c r="I400" s="2742">
        <v>0</v>
      </c>
      <c r="J400" s="2742"/>
      <c r="K400" s="2752">
        <v>45</v>
      </c>
      <c r="L400" s="2745">
        <f t="shared" si="104"/>
        <v>0</v>
      </c>
      <c r="M400" s="2745">
        <f t="shared" si="96"/>
        <v>0</v>
      </c>
      <c r="N400" s="2745">
        <f t="shared" si="97"/>
        <v>30</v>
      </c>
      <c r="O400" s="1232" t="str">
        <f t="shared" si="98"/>
        <v>check</v>
      </c>
      <c r="P400" s="1227" t="str">
        <f t="shared" si="102"/>
        <v>345gsm IVORY Crescendo (C1S) - WestRock</v>
      </c>
      <c r="Q400" s="254">
        <v>0.49299999999999999</v>
      </c>
      <c r="R400" s="1228" t="str">
        <f t="shared" si="107"/>
        <v>345</v>
      </c>
      <c r="S400" s="2625">
        <f t="shared" si="105"/>
        <v>0</v>
      </c>
      <c r="T400" s="2747">
        <f>IF(L400&gt;0,IF(input!$B$2=$O$1,(((L400+Y400/22)+(L400+Y400/22)*$AG400+$X400)*$P$11+$M$7)/1000,(((L400+Y400/22)+(L400+Y400/22)*O400+(L400+Y400/22)*$AG400+$X400)*$P$11+$M$7)/1000),0)</f>
        <v>0</v>
      </c>
      <c r="U400" s="2747">
        <f t="shared" si="106"/>
        <v>0</v>
      </c>
      <c r="V400" s="1229"/>
      <c r="W400" s="1231" t="str">
        <f t="shared" si="95"/>
        <v>CIF</v>
      </c>
      <c r="X400" s="1230">
        <f t="shared" si="94"/>
        <v>0</v>
      </c>
      <c r="Y400" s="2625">
        <f t="shared" si="99"/>
        <v>0</v>
      </c>
      <c r="Z400" s="3208">
        <f t="shared" si="108"/>
        <v>838.18181818181813</v>
      </c>
      <c r="AA400" s="1220" t="s">
        <v>2128</v>
      </c>
      <c r="AB400" s="1220" t="s">
        <v>1395</v>
      </c>
      <c r="AC400" s="251" t="str">
        <f t="shared" si="109"/>
        <v>345gsm IVORY Crescendo (C1S) - WestRock</v>
      </c>
      <c r="AD400" s="2746">
        <f>IF(L400&gt;0,IF(input!$B$2=$O$1,(((M400)+(M400)*$M$10)*$P$11)/1000,(((M400)+(M400)*O400+(M400)*$M$10)*$P$11)/1000),0)</f>
        <v>0</v>
      </c>
      <c r="AE400" s="2746">
        <f>IF(L400&gt;0,IF(input!$B$2=$O$1,(((N400)+(N400)*$M$10)*$P$11)/1000,(((N400)+(N400)*O400+(N400)*$M$10)*$P$11)/1000),0)</f>
        <v>0</v>
      </c>
      <c r="AF400" s="136" t="str">
        <f t="shared" si="100"/>
        <v>None</v>
      </c>
      <c r="AG400" s="2628">
        <f t="shared" si="101"/>
        <v>1.2E-2</v>
      </c>
      <c r="AH400" s="1266">
        <v>0.1</v>
      </c>
    </row>
    <row r="401" spans="1:34" ht="12.75">
      <c r="A401" s="2199">
        <f t="shared" si="103"/>
        <v>389</v>
      </c>
      <c r="B401" s="2200" t="s">
        <v>2112</v>
      </c>
      <c r="C401" s="2743">
        <v>0</v>
      </c>
      <c r="D401" s="2743">
        <v>0</v>
      </c>
      <c r="E401" s="2949" t="s">
        <v>2313</v>
      </c>
      <c r="F401" s="2200">
        <v>30</v>
      </c>
      <c r="G401" s="2200" t="s">
        <v>127</v>
      </c>
      <c r="H401" s="2200" t="s">
        <v>1057</v>
      </c>
      <c r="I401" s="2742">
        <v>0</v>
      </c>
      <c r="J401" s="2742"/>
      <c r="K401" s="2752">
        <v>45</v>
      </c>
      <c r="L401" s="2745">
        <f t="shared" si="104"/>
        <v>0</v>
      </c>
      <c r="M401" s="2745">
        <f t="shared" si="96"/>
        <v>0</v>
      </c>
      <c r="N401" s="2745">
        <f t="shared" si="97"/>
        <v>30</v>
      </c>
      <c r="O401" s="1232" t="str">
        <f t="shared" si="98"/>
        <v>check</v>
      </c>
      <c r="P401" s="1227" t="str">
        <f t="shared" si="102"/>
        <v>407gsm IVORY Crescendo (C1S) - WestRock</v>
      </c>
      <c r="Q401" s="254">
        <v>0.59599999999999997</v>
      </c>
      <c r="R401" s="1228" t="str">
        <f t="shared" si="107"/>
        <v>407</v>
      </c>
      <c r="S401" s="2625">
        <f t="shared" si="105"/>
        <v>0</v>
      </c>
      <c r="T401" s="2747">
        <f>IF(L401&gt;0,IF(input!$B$2=$O$1,(((L401+Y401/22)+(L401+Y401/22)*$AG401+$X401)*$P$11+$M$7)/1000,(((L401+Y401/22)+(L401+Y401/22)*O401+(L401+Y401/22)*$AG401+$X401)*$P$11+$M$7)/1000),0)</f>
        <v>0</v>
      </c>
      <c r="U401" s="2747">
        <f t="shared" si="106"/>
        <v>0</v>
      </c>
      <c r="V401" s="1229"/>
      <c r="W401" s="1231" t="str">
        <f t="shared" si="95"/>
        <v>CIF</v>
      </c>
      <c r="X401" s="1230">
        <f t="shared" ref="X401:X464" si="110">IF(L401&gt;0,IF(OR(W401="CFR",W401="CRF",W401="CNF",W401="CPT"),1.1*$M$8*(L401+N401),IF(W401="FOB",1.1*$M$8*(L401+N401+Y401/22),0)),0)</f>
        <v>0</v>
      </c>
      <c r="Y401" s="2625">
        <f t="shared" si="99"/>
        <v>0</v>
      </c>
      <c r="Z401" s="3208">
        <f t="shared" si="108"/>
        <v>838.18181818181813</v>
      </c>
      <c r="AA401" s="1220" t="s">
        <v>2128</v>
      </c>
      <c r="AB401" s="1220" t="s">
        <v>1395</v>
      </c>
      <c r="AC401" s="251" t="str">
        <f t="shared" si="109"/>
        <v>407gsm IVORY Crescendo (C1S) - WestRock</v>
      </c>
      <c r="AD401" s="2746">
        <f>IF(L401&gt;0,IF(input!$B$2=$O$1,(((M401)+(M401)*$M$10)*$P$11)/1000,(((M401)+(M401)*O401+(M401)*$M$10)*$P$11)/1000),0)</f>
        <v>0</v>
      </c>
      <c r="AE401" s="2746">
        <f>IF(L401&gt;0,IF(input!$B$2=$O$1,(((N401)+(N401)*$M$10)*$P$11)/1000,(((N401)+(N401)*O401+(N401)*$M$10)*$P$11)/1000),0)</f>
        <v>0</v>
      </c>
      <c r="AF401" s="136" t="str">
        <f t="shared" si="100"/>
        <v>None</v>
      </c>
      <c r="AG401" s="2628">
        <f t="shared" si="101"/>
        <v>1.2E-2</v>
      </c>
      <c r="AH401" s="1266">
        <v>0.1</v>
      </c>
    </row>
    <row r="402" spans="1:34" ht="12.75">
      <c r="A402" s="2199">
        <f t="shared" si="103"/>
        <v>390</v>
      </c>
      <c r="B402" s="2200" t="s">
        <v>2527</v>
      </c>
      <c r="C402" s="2743">
        <v>0</v>
      </c>
      <c r="D402" s="2743">
        <v>0</v>
      </c>
      <c r="E402" s="2949" t="s">
        <v>2313</v>
      </c>
      <c r="F402" s="2200">
        <v>15</v>
      </c>
      <c r="G402" s="2200" t="s">
        <v>127</v>
      </c>
      <c r="H402" s="2200" t="s">
        <v>1057</v>
      </c>
      <c r="I402" s="2742">
        <v>0</v>
      </c>
      <c r="J402" s="2742"/>
      <c r="K402" s="2752">
        <v>75</v>
      </c>
      <c r="L402" s="2745">
        <f t="shared" si="104"/>
        <v>0</v>
      </c>
      <c r="M402" s="2745">
        <f t="shared" si="96"/>
        <v>0</v>
      </c>
      <c r="N402" s="2745">
        <f t="shared" si="97"/>
        <v>15</v>
      </c>
      <c r="O402" s="1232" t="str">
        <f t="shared" si="98"/>
        <v>check</v>
      </c>
      <c r="P402" s="1227" t="str">
        <f t="shared" si="102"/>
        <v>185gsm IVORY PRO FBB BRIGHT - Mesta Board</v>
      </c>
      <c r="Q402" s="254">
        <v>0.26</v>
      </c>
      <c r="R402" s="1228" t="str">
        <f t="shared" si="107"/>
        <v>185</v>
      </c>
      <c r="S402" s="2625">
        <f t="shared" si="105"/>
        <v>0</v>
      </c>
      <c r="T402" s="2747">
        <f>IF(L402&gt;0,IF(input!$B$2=$O$1,(((L402+Y402/22)+(L402+Y402/22)*$AG402+$X402)*$P$11+$M$7)/1000,(((L402+Y402/22)+(L402+Y402/22)*O402+(L402+Y402/22)*$AG402+$X402)*$P$11+$M$7)/1000),0)</f>
        <v>0</v>
      </c>
      <c r="U402" s="2747">
        <f t="shared" si="106"/>
        <v>0</v>
      </c>
      <c r="V402" s="1229"/>
      <c r="W402" s="1231" t="str">
        <f t="shared" si="95"/>
        <v>CIF</v>
      </c>
      <c r="X402" s="1230">
        <f t="shared" si="110"/>
        <v>0</v>
      </c>
      <c r="Y402" s="2625">
        <f t="shared" si="99"/>
        <v>0</v>
      </c>
      <c r="Z402" s="3208">
        <f t="shared" si="108"/>
        <v>838.18181818181813</v>
      </c>
      <c r="AA402" s="1220" t="s">
        <v>2826</v>
      </c>
      <c r="AB402" s="1220" t="s">
        <v>1395</v>
      </c>
      <c r="AC402" s="251" t="str">
        <f t="shared" si="109"/>
        <v>185gsm IVORY PRO FBB BRIGHT - Mesta Board</v>
      </c>
      <c r="AD402" s="2746">
        <f>IF(L402&gt;0,IF(input!$B$2=$O$1,(((M402)+(M402)*$M$10)*$P$11)/1000,(((M402)+(M402)*O402+(M402)*$M$10)*$P$11)/1000),0)</f>
        <v>0</v>
      </c>
      <c r="AE402" s="2746">
        <f>IF(L402&gt;0,IF(input!$B$2=$O$1,(((N402)+(N402)*$M$10)*$P$11)/1000,(((N402)+(N402)*O402+(N402)*$M$10)*$P$11)/1000),0)</f>
        <v>0</v>
      </c>
      <c r="AF402" s="136" t="str">
        <f t="shared" si="100"/>
        <v>None</v>
      </c>
      <c r="AG402" s="2628">
        <f t="shared" si="101"/>
        <v>0.02</v>
      </c>
      <c r="AH402" s="1266">
        <v>0.1</v>
      </c>
    </row>
    <row r="403" spans="1:34" ht="12.75">
      <c r="A403" s="2199">
        <f t="shared" si="103"/>
        <v>391</v>
      </c>
      <c r="B403" s="2200" t="s">
        <v>2528</v>
      </c>
      <c r="C403" s="2743">
        <v>0</v>
      </c>
      <c r="D403" s="2743">
        <v>0</v>
      </c>
      <c r="E403" s="2949" t="s">
        <v>2313</v>
      </c>
      <c r="F403" s="2200">
        <v>15</v>
      </c>
      <c r="G403" s="2200" t="s">
        <v>127</v>
      </c>
      <c r="H403" s="2200" t="s">
        <v>1057</v>
      </c>
      <c r="I403" s="2742">
        <v>0</v>
      </c>
      <c r="J403" s="2742"/>
      <c r="K403" s="2752">
        <v>75</v>
      </c>
      <c r="L403" s="2745">
        <f t="shared" si="104"/>
        <v>0</v>
      </c>
      <c r="M403" s="2745">
        <f t="shared" si="96"/>
        <v>0</v>
      </c>
      <c r="N403" s="2745">
        <f t="shared" si="97"/>
        <v>15</v>
      </c>
      <c r="O403" s="1232" t="str">
        <f t="shared" si="98"/>
        <v>check</v>
      </c>
      <c r="P403" s="1227" t="str">
        <f t="shared" si="102"/>
        <v>200gsm IVORY PRO FBB BRIGHT - Mesta Board</v>
      </c>
      <c r="Q403" s="254">
        <v>0.30499999999999999</v>
      </c>
      <c r="R403" s="1228" t="str">
        <f t="shared" si="107"/>
        <v>200</v>
      </c>
      <c r="S403" s="2625">
        <f t="shared" si="105"/>
        <v>0</v>
      </c>
      <c r="T403" s="2747">
        <f>IF(L403&gt;0,IF(input!$B$2=$O$1,(((L403+Y403/22)+(L403+Y403/22)*$AG403+$X403)*$P$11+$M$7)/1000,(((L403+Y403/22)+(L403+Y403/22)*O403+(L403+Y403/22)*$AG403+$X403)*$P$11+$M$7)/1000),0)</f>
        <v>0</v>
      </c>
      <c r="U403" s="2747">
        <f t="shared" si="106"/>
        <v>0</v>
      </c>
      <c r="V403" s="1229"/>
      <c r="W403" s="1231" t="str">
        <f t="shared" si="95"/>
        <v>CIF</v>
      </c>
      <c r="X403" s="1230">
        <f t="shared" si="110"/>
        <v>0</v>
      </c>
      <c r="Y403" s="2625">
        <f t="shared" si="99"/>
        <v>0</v>
      </c>
      <c r="Z403" s="3208">
        <f t="shared" si="108"/>
        <v>838.18181818181813</v>
      </c>
      <c r="AA403" s="1220" t="s">
        <v>2826</v>
      </c>
      <c r="AB403" s="1220" t="s">
        <v>1395</v>
      </c>
      <c r="AC403" s="251" t="str">
        <f t="shared" si="109"/>
        <v>200gsm IVORY PRO FBB BRIGHT - Mesta Board</v>
      </c>
      <c r="AD403" s="2746">
        <f>IF(L403&gt;0,IF(input!$B$2=$O$1,(((M403)+(M403)*$M$10)*$P$11)/1000,(((M403)+(M403)*O403+(M403)*$M$10)*$P$11)/1000),0)</f>
        <v>0</v>
      </c>
      <c r="AE403" s="2746">
        <f>IF(L403&gt;0,IF(input!$B$2=$O$1,(((N403)+(N403)*$M$10)*$P$11)/1000,(((N403)+(N403)*O403+(N403)*$M$10)*$P$11)/1000),0)</f>
        <v>0</v>
      </c>
      <c r="AF403" s="136" t="str">
        <f t="shared" si="100"/>
        <v>None</v>
      </c>
      <c r="AG403" s="2628">
        <f t="shared" si="101"/>
        <v>0.02</v>
      </c>
      <c r="AH403" s="1266">
        <v>0.1</v>
      </c>
    </row>
    <row r="404" spans="1:34" ht="12.75">
      <c r="A404" s="2199">
        <f t="shared" si="103"/>
        <v>392</v>
      </c>
      <c r="B404" s="2200" t="s">
        <v>2529</v>
      </c>
      <c r="C404" s="2743">
        <v>0</v>
      </c>
      <c r="D404" s="2743">
        <v>0</v>
      </c>
      <c r="E404" s="2949" t="s">
        <v>2313</v>
      </c>
      <c r="F404" s="2200">
        <v>15</v>
      </c>
      <c r="G404" s="2200" t="s">
        <v>127</v>
      </c>
      <c r="H404" s="2200" t="s">
        <v>1057</v>
      </c>
      <c r="I404" s="2742">
        <v>0</v>
      </c>
      <c r="J404" s="2742"/>
      <c r="K404" s="2752">
        <v>75</v>
      </c>
      <c r="L404" s="2745">
        <f t="shared" si="104"/>
        <v>0</v>
      </c>
      <c r="M404" s="2745">
        <f t="shared" si="96"/>
        <v>0</v>
      </c>
      <c r="N404" s="2745">
        <f t="shared" si="97"/>
        <v>15</v>
      </c>
      <c r="O404" s="1232" t="str">
        <f t="shared" si="98"/>
        <v>check</v>
      </c>
      <c r="P404" s="1227" t="str">
        <f t="shared" si="102"/>
        <v>225gsm IVORY PRO FBB BRIGHT - Mesta Board</v>
      </c>
      <c r="Q404" s="254">
        <v>0.255</v>
      </c>
      <c r="R404" s="1228" t="str">
        <f t="shared" si="107"/>
        <v>225</v>
      </c>
      <c r="S404" s="2625">
        <f t="shared" si="105"/>
        <v>0</v>
      </c>
      <c r="T404" s="2747">
        <f>IF(L404&gt;0,IF(input!$B$2=$O$1,(((L404+Y404/22)+(L404+Y404/22)*$AG404+$X404)*$P$11+$M$7)/1000,(((L404+Y404/22)+(L404+Y404/22)*O404+(L404+Y404/22)*$AG404+$X404)*$P$11+$M$7)/1000),0)</f>
        <v>0</v>
      </c>
      <c r="U404" s="2747">
        <f t="shared" si="106"/>
        <v>0</v>
      </c>
      <c r="V404" s="1229"/>
      <c r="W404" s="1231" t="str">
        <f t="shared" si="95"/>
        <v>CIF</v>
      </c>
      <c r="X404" s="1230">
        <f t="shared" si="110"/>
        <v>0</v>
      </c>
      <c r="Y404" s="2625">
        <f t="shared" si="99"/>
        <v>0</v>
      </c>
      <c r="Z404" s="3208">
        <f t="shared" si="108"/>
        <v>838.18181818181813</v>
      </c>
      <c r="AA404" s="1220" t="s">
        <v>2826</v>
      </c>
      <c r="AB404" s="1220" t="s">
        <v>1395</v>
      </c>
      <c r="AC404" s="251" t="str">
        <f t="shared" si="109"/>
        <v>225gsm IVORY PRO FBB BRIGHT - Mesta Board</v>
      </c>
      <c r="AD404" s="2746">
        <f>IF(L404&gt;0,IF(input!$B$2=$O$1,(((M404)+(M404)*$M$10)*$P$11)/1000,(((M404)+(M404)*O404+(M404)*$M$10)*$P$11)/1000),0)</f>
        <v>0</v>
      </c>
      <c r="AE404" s="2746">
        <f>IF(L404&gt;0,IF(input!$B$2=$O$1,(((N404)+(N404)*$M$10)*$P$11)/1000,(((N404)+(N404)*O404+(N404)*$M$10)*$P$11)/1000),0)</f>
        <v>0</v>
      </c>
      <c r="AF404" s="136" t="str">
        <f t="shared" si="100"/>
        <v>None</v>
      </c>
      <c r="AG404" s="2628">
        <f t="shared" si="101"/>
        <v>0.02</v>
      </c>
      <c r="AH404" s="1266">
        <v>0.1</v>
      </c>
    </row>
    <row r="405" spans="1:34" ht="12.75">
      <c r="A405" s="2199">
        <f t="shared" si="103"/>
        <v>393</v>
      </c>
      <c r="B405" s="2200" t="s">
        <v>2530</v>
      </c>
      <c r="C405" s="2743">
        <v>0</v>
      </c>
      <c r="D405" s="2743">
        <v>0</v>
      </c>
      <c r="E405" s="2949" t="s">
        <v>2313</v>
      </c>
      <c r="F405" s="2200">
        <v>15</v>
      </c>
      <c r="G405" s="2200" t="s">
        <v>127</v>
      </c>
      <c r="H405" s="2200" t="s">
        <v>1057</v>
      </c>
      <c r="I405" s="2742">
        <v>0</v>
      </c>
      <c r="J405" s="2742"/>
      <c r="K405" s="2752">
        <v>75</v>
      </c>
      <c r="L405" s="2745">
        <f t="shared" si="104"/>
        <v>0</v>
      </c>
      <c r="M405" s="2745">
        <f t="shared" si="96"/>
        <v>0</v>
      </c>
      <c r="N405" s="2745">
        <f t="shared" si="97"/>
        <v>15</v>
      </c>
      <c r="O405" s="1232" t="str">
        <f t="shared" si="98"/>
        <v>check</v>
      </c>
      <c r="P405" s="1227" t="str">
        <f t="shared" si="102"/>
        <v>235gsm IVORY PRO FBB BRIGHT - Mesta Board</v>
      </c>
      <c r="Q405" s="254">
        <v>0.38500000000000001</v>
      </c>
      <c r="R405" s="1228" t="str">
        <f t="shared" si="107"/>
        <v>235</v>
      </c>
      <c r="S405" s="2625">
        <f t="shared" si="105"/>
        <v>0</v>
      </c>
      <c r="T405" s="2747">
        <f>IF(L405&gt;0,IF(input!$B$2=$O$1,(((L405+Y405/22)+(L405+Y405/22)*$AG405+$X405)*$P$11+$M$7)/1000,(((L405+Y405/22)+(L405+Y405/22)*O405+(L405+Y405/22)*$AG405+$X405)*$P$11+$M$7)/1000),0)</f>
        <v>0</v>
      </c>
      <c r="U405" s="2747">
        <f t="shared" si="106"/>
        <v>0</v>
      </c>
      <c r="V405" s="1229"/>
      <c r="W405" s="1231" t="str">
        <f t="shared" si="95"/>
        <v>CIF</v>
      </c>
      <c r="X405" s="1230">
        <f t="shared" si="110"/>
        <v>0</v>
      </c>
      <c r="Y405" s="2625">
        <f t="shared" si="99"/>
        <v>0</v>
      </c>
      <c r="Z405" s="3208">
        <f t="shared" si="108"/>
        <v>838.18181818181813</v>
      </c>
      <c r="AA405" s="1220" t="s">
        <v>2826</v>
      </c>
      <c r="AB405" s="1220" t="s">
        <v>1395</v>
      </c>
      <c r="AC405" s="251" t="str">
        <f t="shared" si="109"/>
        <v>235gsm IVORY PRO FBB BRIGHT - Mesta Board</v>
      </c>
      <c r="AD405" s="2746">
        <f>IF(L405&gt;0,IF(input!$B$2=$O$1,(((M405)+(M405)*$M$10)*$P$11)/1000,(((M405)+(M405)*O405+(M405)*$M$10)*$P$11)/1000),0)</f>
        <v>0</v>
      </c>
      <c r="AE405" s="2746">
        <f>IF(L405&gt;0,IF(input!$B$2=$O$1,(((N405)+(N405)*$M$10)*$P$11)/1000,(((N405)+(N405)*O405+(N405)*$M$10)*$P$11)/1000),0)</f>
        <v>0</v>
      </c>
      <c r="AF405" s="136" t="str">
        <f t="shared" si="100"/>
        <v>None</v>
      </c>
      <c r="AG405" s="2628">
        <f t="shared" si="101"/>
        <v>0.02</v>
      </c>
      <c r="AH405" s="1266">
        <v>0.1</v>
      </c>
    </row>
    <row r="406" spans="1:34" ht="12.75">
      <c r="A406" s="2199">
        <f t="shared" si="103"/>
        <v>394</v>
      </c>
      <c r="B406" s="2200" t="s">
        <v>2531</v>
      </c>
      <c r="C406" s="2743">
        <v>0</v>
      </c>
      <c r="D406" s="2743">
        <v>0</v>
      </c>
      <c r="E406" s="2949" t="s">
        <v>2313</v>
      </c>
      <c r="F406" s="2200">
        <v>15</v>
      </c>
      <c r="G406" s="2200" t="s">
        <v>127</v>
      </c>
      <c r="H406" s="2200" t="s">
        <v>1057</v>
      </c>
      <c r="I406" s="2742">
        <v>0</v>
      </c>
      <c r="J406" s="2742"/>
      <c r="K406" s="2752">
        <v>75</v>
      </c>
      <c r="L406" s="2745">
        <f t="shared" si="104"/>
        <v>0</v>
      </c>
      <c r="M406" s="2745">
        <f t="shared" si="96"/>
        <v>0</v>
      </c>
      <c r="N406" s="2745">
        <f t="shared" si="97"/>
        <v>15</v>
      </c>
      <c r="O406" s="1232" t="str">
        <f t="shared" si="98"/>
        <v>check</v>
      </c>
      <c r="P406" s="1227" t="str">
        <f t="shared" si="102"/>
        <v>250gsm IVORY PRO FBB BRIGHT - Mesta Board</v>
      </c>
      <c r="Q406" s="254">
        <v>0.41499999999999998</v>
      </c>
      <c r="R406" s="1228" t="str">
        <f t="shared" si="107"/>
        <v>250</v>
      </c>
      <c r="S406" s="2625">
        <f t="shared" si="105"/>
        <v>0</v>
      </c>
      <c r="T406" s="2747">
        <f>IF(L406&gt;0,IF(input!$B$2=$O$1,(((L406+Y406/22)+(L406+Y406/22)*$AG406+$X406)*$P$11+$M$7)/1000,(((L406+Y406/22)+(L406+Y406/22)*O406+(L406+Y406/22)*$AG406+$X406)*$P$11+$M$7)/1000),0)</f>
        <v>0</v>
      </c>
      <c r="U406" s="2747">
        <f t="shared" si="106"/>
        <v>0</v>
      </c>
      <c r="V406" s="1229"/>
      <c r="W406" s="1231" t="str">
        <f t="shared" si="95"/>
        <v>CIF</v>
      </c>
      <c r="X406" s="1230">
        <f t="shared" si="110"/>
        <v>0</v>
      </c>
      <c r="Y406" s="2625">
        <f t="shared" si="99"/>
        <v>0</v>
      </c>
      <c r="Z406" s="3208">
        <f t="shared" si="108"/>
        <v>838.18181818181813</v>
      </c>
      <c r="AA406" s="1220" t="s">
        <v>2826</v>
      </c>
      <c r="AB406" s="1220" t="s">
        <v>1395</v>
      </c>
      <c r="AC406" s="251" t="str">
        <f t="shared" si="109"/>
        <v>250gsm IVORY PRO FBB BRIGHT - Mesta Board</v>
      </c>
      <c r="AD406" s="2746">
        <f>IF(L406&gt;0,IF(input!$B$2=$O$1,(((M406)+(M406)*$M$10)*$P$11)/1000,(((M406)+(M406)*O406+(M406)*$M$10)*$P$11)/1000),0)</f>
        <v>0</v>
      </c>
      <c r="AE406" s="2746">
        <f>IF(L406&gt;0,IF(input!$B$2=$O$1,(((N406)+(N406)*$M$10)*$P$11)/1000,(((N406)+(N406)*O406+(N406)*$M$10)*$P$11)/1000),0)</f>
        <v>0</v>
      </c>
      <c r="AF406" s="136" t="str">
        <f t="shared" si="100"/>
        <v>None</v>
      </c>
      <c r="AG406" s="2628">
        <f t="shared" si="101"/>
        <v>0.02</v>
      </c>
      <c r="AH406" s="1266">
        <v>0.1</v>
      </c>
    </row>
    <row r="407" spans="1:34" ht="12.75">
      <c r="A407" s="2199">
        <f t="shared" si="103"/>
        <v>395</v>
      </c>
      <c r="B407" s="2200" t="s">
        <v>2532</v>
      </c>
      <c r="C407" s="2743">
        <v>0</v>
      </c>
      <c r="D407" s="2743">
        <v>0</v>
      </c>
      <c r="E407" s="2949" t="s">
        <v>2313</v>
      </c>
      <c r="F407" s="2200">
        <v>15</v>
      </c>
      <c r="G407" s="2200" t="s">
        <v>127</v>
      </c>
      <c r="H407" s="2200" t="s">
        <v>1057</v>
      </c>
      <c r="I407" s="2742">
        <v>0</v>
      </c>
      <c r="J407" s="2742"/>
      <c r="K407" s="2752">
        <v>75</v>
      </c>
      <c r="L407" s="2745">
        <f t="shared" si="104"/>
        <v>0</v>
      </c>
      <c r="M407" s="2745">
        <f t="shared" si="96"/>
        <v>0</v>
      </c>
      <c r="N407" s="2745">
        <f t="shared" si="97"/>
        <v>15</v>
      </c>
      <c r="O407" s="1232" t="str">
        <f t="shared" si="98"/>
        <v>check</v>
      </c>
      <c r="P407" s="1227" t="str">
        <f t="shared" si="102"/>
        <v>260gsm IVORY PRO FBB BRIGHT - Mesta Board</v>
      </c>
      <c r="Q407" s="254">
        <v>0.435</v>
      </c>
      <c r="R407" s="1228" t="str">
        <f t="shared" si="107"/>
        <v>260</v>
      </c>
      <c r="S407" s="2625">
        <f t="shared" ref="S407:S513" si="111">C407</f>
        <v>0</v>
      </c>
      <c r="T407" s="2747">
        <f>IF(L407&gt;0,IF(input!$B$2=$O$1,(((L407+Y407/22)+(L407+Y407/22)*$AG407+$X407)*$P$11+$M$7)/1000,(((L407+Y407/22)+(L407+Y407/22)*O407+(L407+Y407/22)*$AG407+$X407)*$P$11+$M$7)/1000),0)</f>
        <v>0</v>
      </c>
      <c r="U407" s="2747">
        <f t="shared" si="106"/>
        <v>0</v>
      </c>
      <c r="V407" s="1229"/>
      <c r="W407" s="1231" t="str">
        <f t="shared" ref="W407:W513" si="112">H407</f>
        <v>CIF</v>
      </c>
      <c r="X407" s="1230">
        <f t="shared" si="110"/>
        <v>0</v>
      </c>
      <c r="Y407" s="2625">
        <f t="shared" si="99"/>
        <v>0</v>
      </c>
      <c r="Z407" s="3208">
        <f t="shared" si="108"/>
        <v>838.18181818181813</v>
      </c>
      <c r="AA407" s="1220" t="s">
        <v>2826</v>
      </c>
      <c r="AB407" s="1220" t="s">
        <v>1395</v>
      </c>
      <c r="AC407" s="251" t="str">
        <f t="shared" si="109"/>
        <v>260gsm IVORY PRO FBB BRIGHT - Mesta Board</v>
      </c>
      <c r="AD407" s="2746">
        <f>IF(L407&gt;0,IF(input!$B$2=$O$1,(((M407)+(M407)*$M$10)*$P$11)/1000,(((M407)+(M407)*O407+(M407)*$M$10)*$P$11)/1000),0)</f>
        <v>0</v>
      </c>
      <c r="AE407" s="2746">
        <f>IF(L407&gt;0,IF(input!$B$2=$O$1,(((N407)+(N407)*$M$10)*$P$11)/1000,(((N407)+(N407)*O407+(N407)*$M$10)*$P$11)/1000),0)</f>
        <v>0</v>
      </c>
      <c r="AF407" s="136" t="str">
        <f t="shared" si="100"/>
        <v>None</v>
      </c>
      <c r="AG407" s="2628">
        <f t="shared" si="101"/>
        <v>0.02</v>
      </c>
      <c r="AH407" s="1266">
        <v>0.1</v>
      </c>
    </row>
    <row r="408" spans="1:34" ht="12.75">
      <c r="A408" s="2199">
        <f t="shared" si="103"/>
        <v>396</v>
      </c>
      <c r="B408" s="2200" t="s">
        <v>2533</v>
      </c>
      <c r="C408" s="2743">
        <v>0</v>
      </c>
      <c r="D408" s="2743">
        <v>0</v>
      </c>
      <c r="E408" s="2949" t="s">
        <v>2313</v>
      </c>
      <c r="F408" s="2200">
        <v>15</v>
      </c>
      <c r="G408" s="2200" t="s">
        <v>127</v>
      </c>
      <c r="H408" s="2200" t="s">
        <v>1057</v>
      </c>
      <c r="I408" s="2742">
        <v>0</v>
      </c>
      <c r="J408" s="2742"/>
      <c r="K408" s="2752">
        <v>75</v>
      </c>
      <c r="L408" s="2745">
        <f t="shared" si="104"/>
        <v>0</v>
      </c>
      <c r="M408" s="2745">
        <f t="shared" ref="M408:M514" si="113">I408</f>
        <v>0</v>
      </c>
      <c r="N408" s="2745">
        <f t="shared" ref="N408:N514" si="114">$F408</f>
        <v>15</v>
      </c>
      <c r="O408" s="1232" t="str">
        <f t="shared" ref="O408:O514" si="115">$E408</f>
        <v>check</v>
      </c>
      <c r="P408" s="1227" t="str">
        <f t="shared" si="102"/>
        <v>270gsm IVORY PRO FBB BRIGHT - Mesta Board</v>
      </c>
      <c r="Q408" s="254">
        <v>0.45500000000000002</v>
      </c>
      <c r="R408" s="1228" t="str">
        <f t="shared" si="107"/>
        <v>270</v>
      </c>
      <c r="S408" s="2625">
        <f t="shared" si="111"/>
        <v>0</v>
      </c>
      <c r="T408" s="2747">
        <f>IF(L408&gt;0,IF(input!$B$2=$O$1,(((L408+Y408/22)+(L408+Y408/22)*$AG408+$X408)*$P$11+$M$7)/1000,(((L408+Y408/22)+(L408+Y408/22)*O408+(L408+Y408/22)*$AG408+$X408)*$P$11+$M$7)/1000),0)</f>
        <v>0</v>
      </c>
      <c r="U408" s="2747">
        <f t="shared" si="106"/>
        <v>0</v>
      </c>
      <c r="V408" s="1229"/>
      <c r="W408" s="1231" t="str">
        <f t="shared" si="112"/>
        <v>CIF</v>
      </c>
      <c r="X408" s="1230">
        <f t="shared" si="110"/>
        <v>0</v>
      </c>
      <c r="Y408" s="2625">
        <f t="shared" si="99"/>
        <v>0</v>
      </c>
      <c r="Z408" s="3208">
        <f t="shared" si="108"/>
        <v>838.18181818181813</v>
      </c>
      <c r="AA408" s="1220" t="s">
        <v>2826</v>
      </c>
      <c r="AB408" s="1220" t="s">
        <v>1395</v>
      </c>
      <c r="AC408" s="251" t="str">
        <f t="shared" si="109"/>
        <v>270gsm IVORY PRO FBB BRIGHT - Mesta Board</v>
      </c>
      <c r="AD408" s="2746">
        <f>IF(L408&gt;0,IF(input!$B$2=$O$1,(((M408)+(M408)*$M$10)*$P$11)/1000,(((M408)+(M408)*O408+(M408)*$M$10)*$P$11)/1000),0)</f>
        <v>0</v>
      </c>
      <c r="AE408" s="2746">
        <f>IF(L408&gt;0,IF(input!$B$2=$O$1,(((N408)+(N408)*$M$10)*$P$11)/1000,(((N408)+(N408)*O408+(N408)*$M$10)*$P$11)/1000),0)</f>
        <v>0</v>
      </c>
      <c r="AF408" s="136" t="str">
        <f t="shared" si="100"/>
        <v>None</v>
      </c>
      <c r="AG408" s="2628">
        <f t="shared" si="101"/>
        <v>0.02</v>
      </c>
      <c r="AH408" s="1266">
        <v>0.1</v>
      </c>
    </row>
    <row r="409" spans="1:34" ht="12.75">
      <c r="A409" s="2199">
        <f t="shared" si="103"/>
        <v>397</v>
      </c>
      <c r="B409" s="2200" t="s">
        <v>2534</v>
      </c>
      <c r="C409" s="2743">
        <v>0</v>
      </c>
      <c r="D409" s="2743">
        <v>0</v>
      </c>
      <c r="E409" s="2949" t="s">
        <v>2313</v>
      </c>
      <c r="F409" s="2200">
        <v>15</v>
      </c>
      <c r="G409" s="2200" t="s">
        <v>127</v>
      </c>
      <c r="H409" s="2200" t="s">
        <v>1057</v>
      </c>
      <c r="I409" s="2742">
        <v>0</v>
      </c>
      <c r="J409" s="2742"/>
      <c r="K409" s="2752">
        <v>75</v>
      </c>
      <c r="L409" s="2745">
        <f t="shared" si="104"/>
        <v>0</v>
      </c>
      <c r="M409" s="2745">
        <f t="shared" si="113"/>
        <v>0</v>
      </c>
      <c r="N409" s="2745">
        <f t="shared" si="114"/>
        <v>15</v>
      </c>
      <c r="O409" s="1232" t="str">
        <f t="shared" si="115"/>
        <v>check</v>
      </c>
      <c r="P409" s="1227" t="str">
        <f t="shared" si="102"/>
        <v>285gsm IVORY PRO FBB BRIGHT - Mesta Board</v>
      </c>
      <c r="Q409" s="254">
        <v>0.48499999999999999</v>
      </c>
      <c r="R409" s="1228" t="str">
        <f t="shared" si="107"/>
        <v>285</v>
      </c>
      <c r="S409" s="2625">
        <f t="shared" si="111"/>
        <v>0</v>
      </c>
      <c r="T409" s="2747">
        <f>IF(L409&gt;0,IF(input!$B$2=$O$1,(((L409+Y409/22)+(L409+Y409/22)*$AG409+$X409)*$P$11+$M$7)/1000,(((L409+Y409/22)+(L409+Y409/22)*O409+(L409+Y409/22)*$AG409+$X409)*$P$11+$M$7)/1000),0)</f>
        <v>0</v>
      </c>
      <c r="U409" s="2747">
        <f t="shared" si="106"/>
        <v>0</v>
      </c>
      <c r="V409" s="1229"/>
      <c r="W409" s="1231" t="str">
        <f t="shared" si="112"/>
        <v>CIF</v>
      </c>
      <c r="X409" s="1230">
        <f t="shared" si="110"/>
        <v>0</v>
      </c>
      <c r="Y409" s="2625">
        <f t="shared" ref="Y409:Y515" si="116">J409</f>
        <v>0</v>
      </c>
      <c r="Z409" s="3208">
        <f t="shared" si="108"/>
        <v>838.18181818181813</v>
      </c>
      <c r="AA409" s="1220" t="s">
        <v>2826</v>
      </c>
      <c r="AB409" s="1220" t="s">
        <v>1395</v>
      </c>
      <c r="AC409" s="251" t="str">
        <f t="shared" ref="AC409:AC515" si="117">B409</f>
        <v>285gsm IVORY PRO FBB BRIGHT - Mesta Board</v>
      </c>
      <c r="AD409" s="2746">
        <f>IF(L409&gt;0,IF(input!$B$2=$O$1,(((M409)+(M409)*$M$10)*$P$11)/1000,(((M409)+(M409)*O409+(M409)*$M$10)*$P$11)/1000),0)</f>
        <v>0</v>
      </c>
      <c r="AE409" s="2746">
        <f>IF(L409&gt;0,IF(input!$B$2=$O$1,(((N409)+(N409)*$M$10)*$P$11)/1000,(((N409)+(N409)*O409+(N409)*$M$10)*$P$11)/1000),0)</f>
        <v>0</v>
      </c>
      <c r="AF409" s="136" t="str">
        <f t="shared" ref="AF409:AF515" si="118">G409</f>
        <v>None</v>
      </c>
      <c r="AG409" s="2628">
        <f t="shared" ref="AG409:AG515" si="119">K409*$M$10/30</f>
        <v>0.02</v>
      </c>
      <c r="AH409" s="1266">
        <v>0.1</v>
      </c>
    </row>
    <row r="410" spans="1:34" ht="12.75">
      <c r="A410" s="2199">
        <f t="shared" si="103"/>
        <v>398</v>
      </c>
      <c r="B410" s="2200" t="s">
        <v>2535</v>
      </c>
      <c r="C410" s="2743">
        <v>0</v>
      </c>
      <c r="D410" s="2743">
        <v>0</v>
      </c>
      <c r="E410" s="2949" t="s">
        <v>2313</v>
      </c>
      <c r="F410" s="2200">
        <v>15</v>
      </c>
      <c r="G410" s="2200" t="s">
        <v>127</v>
      </c>
      <c r="H410" s="2200" t="s">
        <v>1057</v>
      </c>
      <c r="I410" s="2742">
        <v>0</v>
      </c>
      <c r="J410" s="2742"/>
      <c r="K410" s="2752">
        <v>75</v>
      </c>
      <c r="L410" s="2745">
        <f t="shared" si="104"/>
        <v>0</v>
      </c>
      <c r="M410" s="2745">
        <f t="shared" si="113"/>
        <v>0</v>
      </c>
      <c r="N410" s="2745">
        <f t="shared" si="114"/>
        <v>15</v>
      </c>
      <c r="O410" s="1232" t="str">
        <f t="shared" si="115"/>
        <v>check</v>
      </c>
      <c r="P410" s="1227" t="str">
        <f t="shared" si="102"/>
        <v>295gsm IVORY PRO FBB BRIGHT - Mesta Board</v>
      </c>
      <c r="Q410" s="254">
        <v>0.505</v>
      </c>
      <c r="R410" s="1228" t="str">
        <f t="shared" si="107"/>
        <v>295</v>
      </c>
      <c r="S410" s="2625">
        <f t="shared" si="111"/>
        <v>0</v>
      </c>
      <c r="T410" s="2747">
        <f>IF(L410&gt;0,IF(input!$B$2=$O$1,(((L410+Y410/22)+(L410+Y410/22)*$AG410+$X410)*$P$11+$M$7)/1000,(((L410+Y410/22)+(L410+Y410/22)*O410+(L410+Y410/22)*$AG410+$X410)*$P$11+$M$7)/1000),0)</f>
        <v>0</v>
      </c>
      <c r="U410" s="2747">
        <f t="shared" si="106"/>
        <v>0</v>
      </c>
      <c r="V410" s="1229"/>
      <c r="W410" s="1231" t="str">
        <f t="shared" si="112"/>
        <v>CIF</v>
      </c>
      <c r="X410" s="1230">
        <f t="shared" si="110"/>
        <v>0</v>
      </c>
      <c r="Y410" s="2625">
        <f t="shared" si="116"/>
        <v>0</v>
      </c>
      <c r="Z410" s="3208">
        <f t="shared" si="108"/>
        <v>838.18181818181813</v>
      </c>
      <c r="AA410" s="1220" t="s">
        <v>2826</v>
      </c>
      <c r="AB410" s="1220" t="s">
        <v>1395</v>
      </c>
      <c r="AC410" s="251" t="str">
        <f t="shared" si="117"/>
        <v>295gsm IVORY PRO FBB BRIGHT - Mesta Board</v>
      </c>
      <c r="AD410" s="2746">
        <f>IF(L410&gt;0,IF(input!$B$2=$O$1,(((M410)+(M410)*$M$10)*$P$11)/1000,(((M410)+(M410)*O410+(M410)*$M$10)*$P$11)/1000),0)</f>
        <v>0</v>
      </c>
      <c r="AE410" s="2746">
        <f>IF(L410&gt;0,IF(input!$B$2=$O$1,(((N410)+(N410)*$M$10)*$P$11)/1000,(((N410)+(N410)*O410+(N410)*$M$10)*$P$11)/1000),0)</f>
        <v>0</v>
      </c>
      <c r="AF410" s="136" t="str">
        <f t="shared" si="118"/>
        <v>None</v>
      </c>
      <c r="AG410" s="2628">
        <f t="shared" si="119"/>
        <v>0.02</v>
      </c>
      <c r="AH410" s="1266">
        <v>0.1</v>
      </c>
    </row>
    <row r="411" spans="1:34" ht="12.75">
      <c r="A411" s="2199">
        <f t="shared" si="103"/>
        <v>399</v>
      </c>
      <c r="B411" s="2200" t="s">
        <v>2536</v>
      </c>
      <c r="C411" s="2743">
        <v>0</v>
      </c>
      <c r="D411" s="2743">
        <v>0</v>
      </c>
      <c r="E411" s="2949" t="s">
        <v>2313</v>
      </c>
      <c r="F411" s="2200">
        <v>15</v>
      </c>
      <c r="G411" s="2200" t="s">
        <v>127</v>
      </c>
      <c r="H411" s="2200" t="s">
        <v>1057</v>
      </c>
      <c r="I411" s="2742">
        <v>0</v>
      </c>
      <c r="J411" s="2742"/>
      <c r="K411" s="2752">
        <v>75</v>
      </c>
      <c r="L411" s="2745">
        <f t="shared" si="104"/>
        <v>0</v>
      </c>
      <c r="M411" s="2745">
        <f t="shared" si="113"/>
        <v>0</v>
      </c>
      <c r="N411" s="2745">
        <f t="shared" si="114"/>
        <v>15</v>
      </c>
      <c r="O411" s="1232" t="str">
        <f t="shared" si="115"/>
        <v>check</v>
      </c>
      <c r="P411" s="1227" t="str">
        <f t="shared" si="102"/>
        <v>320gsm IVORY PRO FBB BRIGHT - Mesta Board</v>
      </c>
      <c r="Q411" s="254">
        <v>0.55500000000000005</v>
      </c>
      <c r="R411" s="1228" t="str">
        <f t="shared" si="107"/>
        <v>320</v>
      </c>
      <c r="S411" s="2625">
        <f t="shared" si="111"/>
        <v>0</v>
      </c>
      <c r="T411" s="2747">
        <f>IF(L411&gt;0,IF(input!$B$2=$O$1,(((L411+Y411/22)+(L411+Y411/22)*$AG411+$X411)*$P$11+$M$7)/1000,(((L411+Y411/22)+(L411+Y411/22)*O411+(L411+Y411/22)*$AG411+$X411)*$P$11+$M$7)/1000),0)</f>
        <v>0</v>
      </c>
      <c r="U411" s="2747">
        <f t="shared" si="106"/>
        <v>0</v>
      </c>
      <c r="V411" s="1229"/>
      <c r="W411" s="1231" t="str">
        <f t="shared" si="112"/>
        <v>CIF</v>
      </c>
      <c r="X411" s="1230">
        <f t="shared" si="110"/>
        <v>0</v>
      </c>
      <c r="Y411" s="2625">
        <f t="shared" si="116"/>
        <v>0</v>
      </c>
      <c r="Z411" s="3208">
        <f t="shared" si="108"/>
        <v>838.18181818181813</v>
      </c>
      <c r="AA411" s="1220" t="s">
        <v>2826</v>
      </c>
      <c r="AB411" s="1220" t="s">
        <v>1395</v>
      </c>
      <c r="AC411" s="251" t="str">
        <f t="shared" si="117"/>
        <v>320gsm IVORY PRO FBB BRIGHT - Mesta Board</v>
      </c>
      <c r="AD411" s="2746">
        <f>IF(L411&gt;0,IF(input!$B$2=$O$1,(((M411)+(M411)*$M$10)*$P$11)/1000,(((M411)+(M411)*O411+(M411)*$M$10)*$P$11)/1000),0)</f>
        <v>0</v>
      </c>
      <c r="AE411" s="2746">
        <f>IF(L411&gt;0,IF(input!$B$2=$O$1,(((N411)+(N411)*$M$10)*$P$11)/1000,(((N411)+(N411)*O411+(N411)*$M$10)*$P$11)/1000),0)</f>
        <v>0</v>
      </c>
      <c r="AF411" s="136" t="str">
        <f t="shared" si="118"/>
        <v>None</v>
      </c>
      <c r="AG411" s="2628">
        <f t="shared" si="119"/>
        <v>0.02</v>
      </c>
      <c r="AH411" s="1266">
        <v>0.1</v>
      </c>
    </row>
    <row r="412" spans="1:34" ht="12.75">
      <c r="A412" s="2199">
        <f t="shared" si="103"/>
        <v>400</v>
      </c>
      <c r="B412" s="2200" t="s">
        <v>2537</v>
      </c>
      <c r="C412" s="2743">
        <v>0</v>
      </c>
      <c r="D412" s="2743">
        <v>0</v>
      </c>
      <c r="E412" s="2949" t="s">
        <v>2313</v>
      </c>
      <c r="F412" s="2200">
        <v>15</v>
      </c>
      <c r="G412" s="2200" t="s">
        <v>127</v>
      </c>
      <c r="H412" s="2200" t="s">
        <v>1057</v>
      </c>
      <c r="I412" s="2742">
        <v>0</v>
      </c>
      <c r="J412" s="2742"/>
      <c r="K412" s="2752">
        <v>75</v>
      </c>
      <c r="L412" s="2745">
        <f t="shared" si="104"/>
        <v>0</v>
      </c>
      <c r="M412" s="2745">
        <f t="shared" si="113"/>
        <v>0</v>
      </c>
      <c r="N412" s="2745">
        <f t="shared" si="114"/>
        <v>15</v>
      </c>
      <c r="O412" s="1232" t="str">
        <f t="shared" si="115"/>
        <v>check</v>
      </c>
      <c r="P412" s="1227" t="str">
        <f t="shared" si="102"/>
        <v>350gsm IVORY PRO FBB BRIGHT - Mesta Board</v>
      </c>
      <c r="Q412" s="254">
        <v>0.61</v>
      </c>
      <c r="R412" s="1228" t="str">
        <f t="shared" si="107"/>
        <v>350</v>
      </c>
      <c r="S412" s="2625">
        <f t="shared" si="111"/>
        <v>0</v>
      </c>
      <c r="T412" s="2747">
        <f>IF(L412&gt;0,IF(input!$B$2=$O$1,(((L412+Y412/22)+(L412+Y412/22)*$AG412+$X412)*$P$11+$M$7)/1000,(((L412+Y412/22)+(L412+Y412/22)*O412+(L412+Y412/22)*$AG412+$X412)*$P$11+$M$7)/1000),0)</f>
        <v>0</v>
      </c>
      <c r="U412" s="2747">
        <f t="shared" si="106"/>
        <v>0</v>
      </c>
      <c r="V412" s="1229"/>
      <c r="W412" s="1231" t="str">
        <f t="shared" si="112"/>
        <v>CIF</v>
      </c>
      <c r="X412" s="1230">
        <f t="shared" si="110"/>
        <v>0</v>
      </c>
      <c r="Y412" s="2625">
        <f t="shared" si="116"/>
        <v>0</v>
      </c>
      <c r="Z412" s="3208">
        <f t="shared" si="108"/>
        <v>838.18181818181813</v>
      </c>
      <c r="AA412" s="1220" t="s">
        <v>2826</v>
      </c>
      <c r="AB412" s="1220" t="s">
        <v>1395</v>
      </c>
      <c r="AC412" s="251" t="str">
        <f t="shared" si="117"/>
        <v>350gsm IVORY PRO FBB BRIGHT - Mesta Board</v>
      </c>
      <c r="AD412" s="2746">
        <f>IF(L412&gt;0,IF(input!$B$2=$O$1,(((M412)+(M412)*$M$10)*$P$11)/1000,(((M412)+(M412)*O412+(M412)*$M$10)*$P$11)/1000),0)</f>
        <v>0</v>
      </c>
      <c r="AE412" s="2746">
        <f>IF(L412&gt;0,IF(input!$B$2=$O$1,(((N412)+(N412)*$M$10)*$P$11)/1000,(((N412)+(N412)*O412+(N412)*$M$10)*$P$11)/1000),0)</f>
        <v>0</v>
      </c>
      <c r="AF412" s="136" t="str">
        <f t="shared" si="118"/>
        <v>None</v>
      </c>
      <c r="AG412" s="2628">
        <f t="shared" si="119"/>
        <v>0.02</v>
      </c>
      <c r="AH412" s="1266">
        <v>0.1</v>
      </c>
    </row>
    <row r="413" spans="1:34" ht="12.75">
      <c r="A413" s="2199">
        <f t="shared" si="103"/>
        <v>401</v>
      </c>
      <c r="B413" s="2200" t="s">
        <v>3076</v>
      </c>
      <c r="C413" s="2743">
        <v>0</v>
      </c>
      <c r="D413" s="2743">
        <v>0</v>
      </c>
      <c r="E413" s="2949">
        <v>0</v>
      </c>
      <c r="F413" s="2200">
        <v>20</v>
      </c>
      <c r="G413" s="2200" t="s">
        <v>2038</v>
      </c>
      <c r="H413" s="2200" t="s">
        <v>1057</v>
      </c>
      <c r="I413" s="2742">
        <v>30</v>
      </c>
      <c r="J413" s="2742"/>
      <c r="K413" s="2752">
        <v>45</v>
      </c>
      <c r="L413" s="2745">
        <f t="shared" si="104"/>
        <v>0</v>
      </c>
      <c r="M413" s="2745">
        <f t="shared" ref="M413:M455" si="120">I413</f>
        <v>30</v>
      </c>
      <c r="N413" s="2745">
        <f t="shared" si="114"/>
        <v>20</v>
      </c>
      <c r="O413" s="1232">
        <f t="shared" si="115"/>
        <v>0</v>
      </c>
      <c r="P413" s="1227" t="str">
        <f t="shared" ref="P413:P455" si="121">R413&amp;"gsm "&amp;AB413&amp;" "&amp;AA413</f>
        <v>185gsm IVORY EMAMI MAXO FOLD GC2</v>
      </c>
      <c r="Q413" s="254">
        <v>0.27200000000000002</v>
      </c>
      <c r="R413" s="1228" t="str">
        <f t="shared" si="107"/>
        <v>185</v>
      </c>
      <c r="S413" s="2625">
        <f t="shared" ref="S413:S455" si="122">C413</f>
        <v>0</v>
      </c>
      <c r="T413" s="2747">
        <f>IF(L413&gt;0,IF(input!$B$2=$O$1,(((L413+Y413/22)+(L413+Y413/22)*$AG413+$X413)*$P$11+$M$7)/1000,(((L413+Y413/22)+(L413+Y413/22)*O413+(L413+Y413/22)*$AG413+$X413)*$P$11+$M$7)/1000),0)</f>
        <v>0</v>
      </c>
      <c r="U413" s="2747">
        <f t="shared" si="106"/>
        <v>0</v>
      </c>
      <c r="V413" s="1229"/>
      <c r="W413" s="1231" t="str">
        <f t="shared" ref="W413:W455" si="123">H413</f>
        <v>CIF</v>
      </c>
      <c r="X413" s="1230">
        <f t="shared" si="110"/>
        <v>0</v>
      </c>
      <c r="Y413" s="2625">
        <f t="shared" ref="Y413:Y455" si="124">J413</f>
        <v>0</v>
      </c>
      <c r="Z413" s="3208">
        <f t="shared" si="108"/>
        <v>838.18181818181813</v>
      </c>
      <c r="AA413" s="1220" t="s">
        <v>3119</v>
      </c>
      <c r="AB413" s="1220" t="s">
        <v>1395</v>
      </c>
      <c r="AC413" s="251" t="str">
        <f t="shared" ref="AC413:AC455" si="125">B413</f>
        <v>185gsm IVORY EMAMI MAXO FOLD GC2</v>
      </c>
      <c r="AD413" s="2746">
        <f>IF(L413&gt;0,IF(input!$B$2=$O$1,(((M413)+(M413)*$M$10)*$P$11)/1000,(((M413)+(M413)*O413+(M413)*$M$10)*$P$11)/1000),0)</f>
        <v>0</v>
      </c>
      <c r="AE413" s="2746">
        <f>IF(L413&gt;0,IF(input!$B$2=$O$1,(((N413)+(N413)*$M$10)*$P$11)/1000,(((N413)+(N413)*O413+(N413)*$M$10)*$P$11)/1000),0)</f>
        <v>0</v>
      </c>
      <c r="AF413" s="136" t="str">
        <f t="shared" ref="AF413:AF455" si="126">G413</f>
        <v>FSC</v>
      </c>
      <c r="AG413" s="2628">
        <f t="shared" ref="AG413:AG455" si="127">K413*$M$10/30</f>
        <v>1.2E-2</v>
      </c>
      <c r="AH413" s="1266">
        <v>0.1</v>
      </c>
    </row>
    <row r="414" spans="1:34" ht="12.75">
      <c r="A414" s="2199">
        <f t="shared" si="103"/>
        <v>402</v>
      </c>
      <c r="B414" s="2200" t="s">
        <v>3077</v>
      </c>
      <c r="C414" s="2743">
        <v>0</v>
      </c>
      <c r="D414" s="2743">
        <v>0</v>
      </c>
      <c r="E414" s="2949">
        <v>0</v>
      </c>
      <c r="F414" s="2200">
        <v>20</v>
      </c>
      <c r="G414" s="2200" t="s">
        <v>2038</v>
      </c>
      <c r="H414" s="2200" t="s">
        <v>1057</v>
      </c>
      <c r="I414" s="2742">
        <v>30</v>
      </c>
      <c r="J414" s="2742"/>
      <c r="K414" s="2752">
        <v>45</v>
      </c>
      <c r="L414" s="2745">
        <f t="shared" si="104"/>
        <v>0</v>
      </c>
      <c r="M414" s="2745">
        <f t="shared" si="120"/>
        <v>30</v>
      </c>
      <c r="N414" s="2745">
        <f t="shared" si="114"/>
        <v>20</v>
      </c>
      <c r="O414" s="1232">
        <f t="shared" si="115"/>
        <v>0</v>
      </c>
      <c r="P414" s="1227" t="str">
        <f t="shared" si="121"/>
        <v>190gsm IVORY EMAMI MAXO FOLD GC2</v>
      </c>
      <c r="Q414" s="254">
        <v>0.28499999999999998</v>
      </c>
      <c r="R414" s="1228" t="str">
        <f t="shared" si="107"/>
        <v>190</v>
      </c>
      <c r="S414" s="2625">
        <f t="shared" si="122"/>
        <v>0</v>
      </c>
      <c r="T414" s="2747">
        <f>IF(L414&gt;0,IF(input!$B$2=$O$1,(((L414+Y414/22)+(L414+Y414/22)*$AG414+$X414)*$P$11+$M$7)/1000,(((L414+Y414/22)+(L414+Y414/22)*O414+(L414+Y414/22)*$AG414+$X414)*$P$11+$M$7)/1000),0)</f>
        <v>0</v>
      </c>
      <c r="U414" s="2747">
        <f t="shared" si="106"/>
        <v>0</v>
      </c>
      <c r="V414" s="1229"/>
      <c r="W414" s="1231" t="str">
        <f t="shared" si="123"/>
        <v>CIF</v>
      </c>
      <c r="X414" s="1230">
        <f t="shared" si="110"/>
        <v>0</v>
      </c>
      <c r="Y414" s="2625">
        <f t="shared" si="124"/>
        <v>0</v>
      </c>
      <c r="Z414" s="3208">
        <f t="shared" si="108"/>
        <v>838.18181818181813</v>
      </c>
      <c r="AA414" s="1220" t="s">
        <v>3119</v>
      </c>
      <c r="AB414" s="1220" t="s">
        <v>1395</v>
      </c>
      <c r="AC414" s="251" t="str">
        <f t="shared" si="125"/>
        <v>190gsm IVORY EMAMI MAXO FOLD GC2</v>
      </c>
      <c r="AD414" s="2746">
        <f>IF(L414&gt;0,IF(input!$B$2=$O$1,(((M414)+(M414)*$M$10)*$P$11)/1000,(((M414)+(M414)*O414+(M414)*$M$10)*$P$11)/1000),0)</f>
        <v>0</v>
      </c>
      <c r="AE414" s="2746">
        <f>IF(L414&gt;0,IF(input!$B$2=$O$1,(((N414)+(N414)*$M$10)*$P$11)/1000,(((N414)+(N414)*O414+(N414)*$M$10)*$P$11)/1000),0)</f>
        <v>0</v>
      </c>
      <c r="AF414" s="136" t="str">
        <f t="shared" si="126"/>
        <v>FSC</v>
      </c>
      <c r="AG414" s="2628">
        <f t="shared" si="127"/>
        <v>1.2E-2</v>
      </c>
      <c r="AH414" s="1266">
        <v>0.1</v>
      </c>
    </row>
    <row r="415" spans="1:34" ht="12.75">
      <c r="A415" s="2199">
        <f t="shared" si="103"/>
        <v>403</v>
      </c>
      <c r="B415" s="2200" t="s">
        <v>3078</v>
      </c>
      <c r="C415" s="2743">
        <v>0</v>
      </c>
      <c r="D415" s="2743">
        <v>0</v>
      </c>
      <c r="E415" s="2949">
        <v>0</v>
      </c>
      <c r="F415" s="2200">
        <v>20</v>
      </c>
      <c r="G415" s="2200" t="s">
        <v>2038</v>
      </c>
      <c r="H415" s="2200" t="s">
        <v>1057</v>
      </c>
      <c r="I415" s="2742">
        <v>30</v>
      </c>
      <c r="J415" s="2742"/>
      <c r="K415" s="2752">
        <v>45</v>
      </c>
      <c r="L415" s="2745">
        <f t="shared" si="104"/>
        <v>0</v>
      </c>
      <c r="M415" s="2745">
        <f t="shared" si="120"/>
        <v>30</v>
      </c>
      <c r="N415" s="2745">
        <f t="shared" si="114"/>
        <v>20</v>
      </c>
      <c r="O415" s="1232">
        <f t="shared" si="115"/>
        <v>0</v>
      </c>
      <c r="P415" s="1227" t="str">
        <f t="shared" si="121"/>
        <v>200gsm IVORY EMAMI MAXO FOLD GC2</v>
      </c>
      <c r="Q415" s="254">
        <v>0.30599999999999999</v>
      </c>
      <c r="R415" s="1228" t="str">
        <f t="shared" si="107"/>
        <v>200</v>
      </c>
      <c r="S415" s="2625">
        <f t="shared" si="122"/>
        <v>0</v>
      </c>
      <c r="T415" s="2747">
        <f>IF(L415&gt;0,IF(input!$B$2=$O$1,(((L415+Y415/22)+(L415+Y415/22)*$AG415+$X415)*$P$11+$M$7)/1000,(((L415+Y415/22)+(L415+Y415/22)*O415+(L415+Y415/22)*$AG415+$X415)*$P$11+$M$7)/1000),0)</f>
        <v>0</v>
      </c>
      <c r="U415" s="2747">
        <f t="shared" si="106"/>
        <v>0</v>
      </c>
      <c r="V415" s="1229"/>
      <c r="W415" s="1231" t="str">
        <f t="shared" si="123"/>
        <v>CIF</v>
      </c>
      <c r="X415" s="1230">
        <f t="shared" si="110"/>
        <v>0</v>
      </c>
      <c r="Y415" s="2625">
        <f t="shared" si="124"/>
        <v>0</v>
      </c>
      <c r="Z415" s="3208">
        <f t="shared" si="108"/>
        <v>838.18181818181813</v>
      </c>
      <c r="AA415" s="1220" t="s">
        <v>3119</v>
      </c>
      <c r="AB415" s="1220" t="s">
        <v>1395</v>
      </c>
      <c r="AC415" s="251" t="str">
        <f t="shared" si="125"/>
        <v>200gsm IVORY EMAMI MAXO FOLD GC2</v>
      </c>
      <c r="AD415" s="2746">
        <f>IF(L415&gt;0,IF(input!$B$2=$O$1,(((M415)+(M415)*$M$10)*$P$11)/1000,(((M415)+(M415)*O415+(M415)*$M$10)*$P$11)/1000),0)</f>
        <v>0</v>
      </c>
      <c r="AE415" s="2746">
        <f>IF(L415&gt;0,IF(input!$B$2=$O$1,(((N415)+(N415)*$M$10)*$P$11)/1000,(((N415)+(N415)*O415+(N415)*$M$10)*$P$11)/1000),0)</f>
        <v>0</v>
      </c>
      <c r="AF415" s="136" t="str">
        <f t="shared" si="126"/>
        <v>FSC</v>
      </c>
      <c r="AG415" s="2628">
        <f t="shared" si="127"/>
        <v>1.2E-2</v>
      </c>
      <c r="AH415" s="1266">
        <v>0.1</v>
      </c>
    </row>
    <row r="416" spans="1:34" ht="12.75">
      <c r="A416" s="2199">
        <f t="shared" si="103"/>
        <v>404</v>
      </c>
      <c r="B416" s="2200" t="s">
        <v>3079</v>
      </c>
      <c r="C416" s="2743">
        <v>0</v>
      </c>
      <c r="D416" s="2743">
        <v>1030</v>
      </c>
      <c r="E416" s="2949">
        <v>0</v>
      </c>
      <c r="F416" s="2200">
        <v>20</v>
      </c>
      <c r="G416" s="2200" t="s">
        <v>2038</v>
      </c>
      <c r="H416" s="2200" t="s">
        <v>1057</v>
      </c>
      <c r="I416" s="2742">
        <v>30</v>
      </c>
      <c r="J416" s="2742"/>
      <c r="K416" s="2752">
        <v>45</v>
      </c>
      <c r="L416" s="2745">
        <f t="shared" si="104"/>
        <v>1030</v>
      </c>
      <c r="M416" s="2745">
        <f t="shared" si="120"/>
        <v>30</v>
      </c>
      <c r="N416" s="2745">
        <f t="shared" si="114"/>
        <v>20</v>
      </c>
      <c r="O416" s="1232">
        <f t="shared" si="115"/>
        <v>0</v>
      </c>
      <c r="P416" s="1227" t="str">
        <f t="shared" si="121"/>
        <v>210gsm IVORY EMAMI MAXO FOLD GC2</v>
      </c>
      <c r="Q416" s="254">
        <v>0.32100000000000001</v>
      </c>
      <c r="R416" s="1228" t="str">
        <f t="shared" si="107"/>
        <v>210</v>
      </c>
      <c r="S416" s="2625">
        <f t="shared" si="122"/>
        <v>0</v>
      </c>
      <c r="T416" s="2747">
        <f>IF(L416&gt;0,IF(input!$B$2=$O$1,(((L416+Y416/22)+(L416+Y416/22)*$AG416+$X416)*$P$11+$M$7)/1000,(((L416+Y416/22)+(L416+Y416/22)*O416+(L416+Y416/22)*$AG416+$X416)*$P$11+$M$7)/1000),0)</f>
        <v>25627.063599999998</v>
      </c>
      <c r="U416" s="2747">
        <f t="shared" si="106"/>
        <v>0</v>
      </c>
      <c r="V416" s="1229"/>
      <c r="W416" s="1231" t="str">
        <f t="shared" si="123"/>
        <v>CIF</v>
      </c>
      <c r="X416" s="1230">
        <f t="shared" si="110"/>
        <v>0</v>
      </c>
      <c r="Y416" s="2625">
        <f t="shared" si="124"/>
        <v>0</v>
      </c>
      <c r="Z416" s="3208">
        <f t="shared" si="108"/>
        <v>838.18181818181813</v>
      </c>
      <c r="AA416" s="1220" t="s">
        <v>3119</v>
      </c>
      <c r="AB416" s="1220" t="s">
        <v>1395</v>
      </c>
      <c r="AC416" s="251" t="str">
        <f t="shared" si="125"/>
        <v>210gsm IVORY EMAMI MAXO FOLD GC2</v>
      </c>
      <c r="AD416" s="2746">
        <f>IF(L416&gt;0,IF(input!$B$2=$O$1,(((M416)+(M416)*$M$10)*$P$11)/1000,(((M416)+(M416)*O416+(M416)*$M$10)*$P$11)/1000),0)</f>
        <v>726.06239999999991</v>
      </c>
      <c r="AE416" s="2746">
        <f>IF(L416&gt;0,IF(input!$B$2=$O$1,(((N416)+(N416)*$M$10)*$P$11)/1000,(((N416)+(N416)*O416+(N416)*$M$10)*$P$11)/1000),0)</f>
        <v>484.04159999999996</v>
      </c>
      <c r="AF416" s="136" t="str">
        <f t="shared" si="126"/>
        <v>FSC</v>
      </c>
      <c r="AG416" s="2628">
        <f t="shared" si="127"/>
        <v>1.2E-2</v>
      </c>
      <c r="AH416" s="1266">
        <v>0.1</v>
      </c>
    </row>
    <row r="417" spans="1:34" ht="12.75">
      <c r="A417" s="2199">
        <f t="shared" si="103"/>
        <v>405</v>
      </c>
      <c r="B417" s="2200" t="s">
        <v>3080</v>
      </c>
      <c r="C417" s="2743">
        <v>0</v>
      </c>
      <c r="D417" s="2743">
        <v>1030</v>
      </c>
      <c r="E417" s="2949">
        <v>0</v>
      </c>
      <c r="F417" s="2200">
        <v>20</v>
      </c>
      <c r="G417" s="2200" t="s">
        <v>2038</v>
      </c>
      <c r="H417" s="2200" t="s">
        <v>1057</v>
      </c>
      <c r="I417" s="2742">
        <v>30</v>
      </c>
      <c r="J417" s="2742"/>
      <c r="K417" s="2752">
        <v>45</v>
      </c>
      <c r="L417" s="2745">
        <f t="shared" si="104"/>
        <v>1030</v>
      </c>
      <c r="M417" s="2745">
        <f t="shared" si="120"/>
        <v>30</v>
      </c>
      <c r="N417" s="2745">
        <f t="shared" si="114"/>
        <v>20</v>
      </c>
      <c r="O417" s="1232">
        <f t="shared" si="115"/>
        <v>0</v>
      </c>
      <c r="P417" s="1227" t="str">
        <f t="shared" si="121"/>
        <v>220gsm IVORY EMAMI MAXO FOLD GC2</v>
      </c>
      <c r="Q417" s="254">
        <v>0.33900000000000002</v>
      </c>
      <c r="R417" s="1228" t="str">
        <f t="shared" si="107"/>
        <v>220</v>
      </c>
      <c r="S417" s="2625">
        <f t="shared" si="122"/>
        <v>0</v>
      </c>
      <c r="T417" s="2747">
        <f>IF(L417&gt;0,IF(input!$B$2=$O$1,(((L417+Y417/22)+(L417+Y417/22)*$AG417+$X417)*$P$11+$M$7)/1000,(((L417+Y417/22)+(L417+Y417/22)*O417+(L417+Y417/22)*$AG417+$X417)*$P$11+$M$7)/1000),0)</f>
        <v>25627.063599999998</v>
      </c>
      <c r="U417" s="2747">
        <f t="shared" si="106"/>
        <v>0</v>
      </c>
      <c r="V417" s="1229"/>
      <c r="W417" s="1231" t="str">
        <f t="shared" si="123"/>
        <v>CIF</v>
      </c>
      <c r="X417" s="1230">
        <f t="shared" si="110"/>
        <v>0</v>
      </c>
      <c r="Y417" s="2625">
        <f t="shared" si="124"/>
        <v>0</v>
      </c>
      <c r="Z417" s="3208">
        <f t="shared" si="108"/>
        <v>838.18181818181813</v>
      </c>
      <c r="AA417" s="1220" t="s">
        <v>3119</v>
      </c>
      <c r="AB417" s="1220" t="s">
        <v>1395</v>
      </c>
      <c r="AC417" s="251" t="str">
        <f t="shared" si="125"/>
        <v>220gsm IVORY EMAMI MAXO FOLD GC2</v>
      </c>
      <c r="AD417" s="2746">
        <f>IF(L417&gt;0,IF(input!$B$2=$O$1,(((M417)+(M417)*$M$10)*$P$11)/1000,(((M417)+(M417)*O417+(M417)*$M$10)*$P$11)/1000),0)</f>
        <v>726.06239999999991</v>
      </c>
      <c r="AE417" s="2746">
        <f>IF(L417&gt;0,IF(input!$B$2=$O$1,(((N417)+(N417)*$M$10)*$P$11)/1000,(((N417)+(N417)*O417+(N417)*$M$10)*$P$11)/1000),0)</f>
        <v>484.04159999999996</v>
      </c>
      <c r="AF417" s="136" t="str">
        <f t="shared" si="126"/>
        <v>FSC</v>
      </c>
      <c r="AG417" s="2628">
        <f t="shared" si="127"/>
        <v>1.2E-2</v>
      </c>
      <c r="AH417" s="1266">
        <v>0.1</v>
      </c>
    </row>
    <row r="418" spans="1:34" ht="12.75">
      <c r="A418" s="2199">
        <f t="shared" si="103"/>
        <v>406</v>
      </c>
      <c r="B418" s="2200" t="s">
        <v>3081</v>
      </c>
      <c r="C418" s="2743">
        <v>0</v>
      </c>
      <c r="D418" s="2743">
        <v>1000</v>
      </c>
      <c r="E418" s="2949">
        <v>0</v>
      </c>
      <c r="F418" s="2200">
        <v>20</v>
      </c>
      <c r="G418" s="2200" t="s">
        <v>2038</v>
      </c>
      <c r="H418" s="2200" t="s">
        <v>1057</v>
      </c>
      <c r="I418" s="2742">
        <v>30</v>
      </c>
      <c r="J418" s="2742"/>
      <c r="K418" s="2752">
        <v>45</v>
      </c>
      <c r="L418" s="2745">
        <f t="shared" si="104"/>
        <v>1000</v>
      </c>
      <c r="M418" s="2745">
        <f t="shared" si="120"/>
        <v>30</v>
      </c>
      <c r="N418" s="2745">
        <f t="shared" si="114"/>
        <v>20</v>
      </c>
      <c r="O418" s="1232">
        <f t="shared" si="115"/>
        <v>0</v>
      </c>
      <c r="P418" s="1227" t="str">
        <f t="shared" si="121"/>
        <v>230gsm IVORY EMAMI MAXO FOLD GC2</v>
      </c>
      <c r="Q418" s="254">
        <v>0.35699999999999998</v>
      </c>
      <c r="R418" s="1228" t="str">
        <f t="shared" si="107"/>
        <v>230</v>
      </c>
      <c r="S418" s="2625">
        <f t="shared" si="122"/>
        <v>0</v>
      </c>
      <c r="T418" s="2747">
        <f>IF(L418&gt;0,IF(input!$B$2=$O$1,(((L418+Y418/22)+(L418+Y418/22)*$AG418+$X418)*$P$11+$M$7)/1000,(((L418+Y418/22)+(L418+Y418/22)*O418+(L418+Y418/22)*$AG418+$X418)*$P$11+$M$7)/1000),0)</f>
        <v>24898.12</v>
      </c>
      <c r="U418" s="2747">
        <f t="shared" si="106"/>
        <v>0</v>
      </c>
      <c r="V418" s="1229"/>
      <c r="W418" s="1231" t="str">
        <f t="shared" si="123"/>
        <v>CIF</v>
      </c>
      <c r="X418" s="1230">
        <f t="shared" si="110"/>
        <v>0</v>
      </c>
      <c r="Y418" s="2625">
        <f t="shared" si="124"/>
        <v>0</v>
      </c>
      <c r="Z418" s="3208">
        <f t="shared" si="108"/>
        <v>838.18181818181813</v>
      </c>
      <c r="AA418" s="1220" t="s">
        <v>3119</v>
      </c>
      <c r="AB418" s="1220" t="s">
        <v>1395</v>
      </c>
      <c r="AC418" s="251" t="str">
        <f t="shared" si="125"/>
        <v>230gsm IVORY EMAMI MAXO FOLD GC2</v>
      </c>
      <c r="AD418" s="2746">
        <f>IF(L418&gt;0,IF(input!$B$2=$O$1,(((M418)+(M418)*$M$10)*$P$11)/1000,(((M418)+(M418)*O418+(M418)*$M$10)*$P$11)/1000),0)</f>
        <v>726.06239999999991</v>
      </c>
      <c r="AE418" s="2746">
        <f>IF(L418&gt;0,IF(input!$B$2=$O$1,(((N418)+(N418)*$M$10)*$P$11)/1000,(((N418)+(N418)*O418+(N418)*$M$10)*$P$11)/1000),0)</f>
        <v>484.04159999999996</v>
      </c>
      <c r="AF418" s="136" t="str">
        <f t="shared" si="126"/>
        <v>FSC</v>
      </c>
      <c r="AG418" s="2628">
        <f t="shared" si="127"/>
        <v>1.2E-2</v>
      </c>
      <c r="AH418" s="1266">
        <v>0.1</v>
      </c>
    </row>
    <row r="419" spans="1:34" ht="12.75">
      <c r="A419" s="2199">
        <f t="shared" si="103"/>
        <v>407</v>
      </c>
      <c r="B419" s="2200" t="s">
        <v>3082</v>
      </c>
      <c r="C419" s="2743">
        <v>0</v>
      </c>
      <c r="D419" s="2743">
        <v>1000</v>
      </c>
      <c r="E419" s="2949">
        <v>0</v>
      </c>
      <c r="F419" s="2200">
        <v>20</v>
      </c>
      <c r="G419" s="2200" t="s">
        <v>2038</v>
      </c>
      <c r="H419" s="2200" t="s">
        <v>1057</v>
      </c>
      <c r="I419" s="2742">
        <v>30</v>
      </c>
      <c r="J419" s="2742"/>
      <c r="K419" s="2752">
        <v>45</v>
      </c>
      <c r="L419" s="2745">
        <f t="shared" si="104"/>
        <v>1000</v>
      </c>
      <c r="M419" s="2745">
        <f t="shared" si="120"/>
        <v>30</v>
      </c>
      <c r="N419" s="2745">
        <f t="shared" si="114"/>
        <v>20</v>
      </c>
      <c r="O419" s="1232">
        <f t="shared" si="115"/>
        <v>0</v>
      </c>
      <c r="P419" s="1227" t="str">
        <f t="shared" si="121"/>
        <v>240gsm IVORY EMAMI MAXO FOLD GC2</v>
      </c>
      <c r="Q419" s="254">
        <v>0.377</v>
      </c>
      <c r="R419" s="1228" t="str">
        <f t="shared" si="107"/>
        <v>240</v>
      </c>
      <c r="S419" s="2625">
        <f t="shared" si="122"/>
        <v>0</v>
      </c>
      <c r="T419" s="2747">
        <f>IF(L419&gt;0,IF(input!$B$2=$O$1,(((L419+Y419/22)+(L419+Y419/22)*$AG419+$X419)*$P$11+$M$7)/1000,(((L419+Y419/22)+(L419+Y419/22)*O419+(L419+Y419/22)*$AG419+$X419)*$P$11+$M$7)/1000),0)</f>
        <v>24898.12</v>
      </c>
      <c r="U419" s="2747">
        <f t="shared" si="106"/>
        <v>0</v>
      </c>
      <c r="V419" s="1229"/>
      <c r="W419" s="1231" t="str">
        <f t="shared" si="123"/>
        <v>CIF</v>
      </c>
      <c r="X419" s="1230">
        <f t="shared" si="110"/>
        <v>0</v>
      </c>
      <c r="Y419" s="2625">
        <f t="shared" si="124"/>
        <v>0</v>
      </c>
      <c r="Z419" s="3208">
        <f t="shared" si="108"/>
        <v>838.18181818181813</v>
      </c>
      <c r="AA419" s="1220" t="s">
        <v>3119</v>
      </c>
      <c r="AB419" s="1220" t="s">
        <v>1395</v>
      </c>
      <c r="AC419" s="251" t="str">
        <f t="shared" si="125"/>
        <v>240gsm IVORY EMAMI MAXO FOLD GC2</v>
      </c>
      <c r="AD419" s="2746">
        <f>IF(L419&gt;0,IF(input!$B$2=$O$1,(((M419)+(M419)*$M$10)*$P$11)/1000,(((M419)+(M419)*O419+(M419)*$M$10)*$P$11)/1000),0)</f>
        <v>726.06239999999991</v>
      </c>
      <c r="AE419" s="2746">
        <f>IF(L419&gt;0,IF(input!$B$2=$O$1,(((N419)+(N419)*$M$10)*$P$11)/1000,(((N419)+(N419)*O419+(N419)*$M$10)*$P$11)/1000),0)</f>
        <v>484.04159999999996</v>
      </c>
      <c r="AF419" s="136" t="str">
        <f t="shared" si="126"/>
        <v>FSC</v>
      </c>
      <c r="AG419" s="2628">
        <f t="shared" si="127"/>
        <v>1.2E-2</v>
      </c>
      <c r="AH419" s="1266">
        <v>0.1</v>
      </c>
    </row>
    <row r="420" spans="1:34" ht="12.75">
      <c r="A420" s="2199">
        <f t="shared" si="103"/>
        <v>408</v>
      </c>
      <c r="B420" s="2200" t="s">
        <v>3083</v>
      </c>
      <c r="C420" s="2743">
        <v>0</v>
      </c>
      <c r="D420" s="2743">
        <v>1000</v>
      </c>
      <c r="E420" s="2949">
        <v>0</v>
      </c>
      <c r="F420" s="2200">
        <v>20</v>
      </c>
      <c r="G420" s="2200" t="s">
        <v>2038</v>
      </c>
      <c r="H420" s="2200" t="s">
        <v>1057</v>
      </c>
      <c r="I420" s="2742">
        <v>30</v>
      </c>
      <c r="J420" s="2742"/>
      <c r="K420" s="2752">
        <v>45</v>
      </c>
      <c r="L420" s="2745">
        <f t="shared" si="104"/>
        <v>1000</v>
      </c>
      <c r="M420" s="2745">
        <f t="shared" si="120"/>
        <v>30</v>
      </c>
      <c r="N420" s="2745">
        <f t="shared" si="114"/>
        <v>20</v>
      </c>
      <c r="O420" s="1232">
        <f t="shared" si="115"/>
        <v>0</v>
      </c>
      <c r="P420" s="1227" t="str">
        <f t="shared" si="121"/>
        <v>250gsm IVORY EMAMI MAXO FOLD GC2</v>
      </c>
      <c r="Q420" s="254">
        <v>0.39900000000000002</v>
      </c>
      <c r="R420" s="1228" t="str">
        <f t="shared" si="107"/>
        <v>250</v>
      </c>
      <c r="S420" s="2625">
        <f t="shared" si="122"/>
        <v>0</v>
      </c>
      <c r="T420" s="2747">
        <f>IF(L420&gt;0,IF(input!$B$2=$O$1,(((L420+Y420/22)+(L420+Y420/22)*$AG420+$X420)*$P$11+$M$7)/1000,(((L420+Y420/22)+(L420+Y420/22)*O420+(L420+Y420/22)*$AG420+$X420)*$P$11+$M$7)/1000),0)</f>
        <v>24898.12</v>
      </c>
      <c r="U420" s="2747">
        <f t="shared" si="106"/>
        <v>0</v>
      </c>
      <c r="V420" s="1229"/>
      <c r="W420" s="1231" t="str">
        <f t="shared" si="123"/>
        <v>CIF</v>
      </c>
      <c r="X420" s="1230">
        <f t="shared" si="110"/>
        <v>0</v>
      </c>
      <c r="Y420" s="2625">
        <f t="shared" si="124"/>
        <v>0</v>
      </c>
      <c r="Z420" s="3208">
        <f t="shared" si="108"/>
        <v>838.18181818181813</v>
      </c>
      <c r="AA420" s="1220" t="s">
        <v>3119</v>
      </c>
      <c r="AB420" s="1220" t="s">
        <v>1395</v>
      </c>
      <c r="AC420" s="251" t="str">
        <f t="shared" si="125"/>
        <v>250gsm IVORY EMAMI MAXO FOLD GC2</v>
      </c>
      <c r="AD420" s="2746">
        <f>IF(L420&gt;0,IF(input!$B$2=$O$1,(((M420)+(M420)*$M$10)*$P$11)/1000,(((M420)+(M420)*O420+(M420)*$M$10)*$P$11)/1000),0)</f>
        <v>726.06239999999991</v>
      </c>
      <c r="AE420" s="2746">
        <f>IF(L420&gt;0,IF(input!$B$2=$O$1,(((N420)+(N420)*$M$10)*$P$11)/1000,(((N420)+(N420)*O420+(N420)*$M$10)*$P$11)/1000),0)</f>
        <v>484.04159999999996</v>
      </c>
      <c r="AF420" s="136" t="str">
        <f t="shared" si="126"/>
        <v>FSC</v>
      </c>
      <c r="AG420" s="2628">
        <f t="shared" si="127"/>
        <v>1.2E-2</v>
      </c>
      <c r="AH420" s="1266">
        <v>0.1</v>
      </c>
    </row>
    <row r="421" spans="1:34" ht="12.75">
      <c r="A421" s="2199">
        <f t="shared" si="103"/>
        <v>409</v>
      </c>
      <c r="B421" s="2200" t="s">
        <v>3084</v>
      </c>
      <c r="C421" s="2743">
        <v>0</v>
      </c>
      <c r="D421" s="2743">
        <v>1000</v>
      </c>
      <c r="E421" s="2949">
        <v>0</v>
      </c>
      <c r="F421" s="2200">
        <v>20</v>
      </c>
      <c r="G421" s="2200" t="s">
        <v>2038</v>
      </c>
      <c r="H421" s="2200" t="s">
        <v>1057</v>
      </c>
      <c r="I421" s="2742">
        <v>30</v>
      </c>
      <c r="J421" s="2742"/>
      <c r="K421" s="2752">
        <v>45</v>
      </c>
      <c r="L421" s="2745">
        <f t="shared" si="104"/>
        <v>1000</v>
      </c>
      <c r="M421" s="2745">
        <f t="shared" si="120"/>
        <v>30</v>
      </c>
      <c r="N421" s="2745">
        <f t="shared" si="114"/>
        <v>20</v>
      </c>
      <c r="O421" s="1232">
        <f t="shared" si="115"/>
        <v>0</v>
      </c>
      <c r="P421" s="1227" t="str">
        <f t="shared" si="121"/>
        <v>270gsm IVORY EMAMI MAXO FOLD GC2</v>
      </c>
      <c r="Q421" s="254">
        <v>0.44600000000000001</v>
      </c>
      <c r="R421" s="1228" t="str">
        <f t="shared" si="107"/>
        <v>270</v>
      </c>
      <c r="S421" s="2625">
        <f t="shared" si="122"/>
        <v>0</v>
      </c>
      <c r="T421" s="2747">
        <f>IF(L421&gt;0,IF(input!$B$2=$O$1,(((L421+Y421/22)+(L421+Y421/22)*$AG421+$X421)*$P$11+$M$7)/1000,(((L421+Y421/22)+(L421+Y421/22)*O421+(L421+Y421/22)*$AG421+$X421)*$P$11+$M$7)/1000),0)</f>
        <v>24898.12</v>
      </c>
      <c r="U421" s="2747">
        <f t="shared" si="106"/>
        <v>0</v>
      </c>
      <c r="V421" s="1229"/>
      <c r="W421" s="1231" t="str">
        <f t="shared" si="123"/>
        <v>CIF</v>
      </c>
      <c r="X421" s="1230">
        <f t="shared" si="110"/>
        <v>0</v>
      </c>
      <c r="Y421" s="2625">
        <f t="shared" si="124"/>
        <v>0</v>
      </c>
      <c r="Z421" s="3208">
        <f t="shared" si="108"/>
        <v>838.18181818181813</v>
      </c>
      <c r="AA421" s="1220" t="s">
        <v>3119</v>
      </c>
      <c r="AB421" s="1220" t="s">
        <v>1395</v>
      </c>
      <c r="AC421" s="251" t="str">
        <f t="shared" si="125"/>
        <v>270gsm IVORY EMAMI MAXO FOLD GC2</v>
      </c>
      <c r="AD421" s="2746">
        <f>IF(L421&gt;0,IF(input!$B$2=$O$1,(((M421)+(M421)*$M$10)*$P$11)/1000,(((M421)+(M421)*O421+(M421)*$M$10)*$P$11)/1000),0)</f>
        <v>726.06239999999991</v>
      </c>
      <c r="AE421" s="2746">
        <f>IF(L421&gt;0,IF(input!$B$2=$O$1,(((N421)+(N421)*$M$10)*$P$11)/1000,(((N421)+(N421)*O421+(N421)*$M$10)*$P$11)/1000),0)</f>
        <v>484.04159999999996</v>
      </c>
      <c r="AF421" s="136" t="str">
        <f t="shared" si="126"/>
        <v>FSC</v>
      </c>
      <c r="AG421" s="2628">
        <f t="shared" si="127"/>
        <v>1.2E-2</v>
      </c>
      <c r="AH421" s="1266">
        <v>0.1</v>
      </c>
    </row>
    <row r="422" spans="1:34" ht="12.75">
      <c r="A422" s="2199">
        <f t="shared" si="103"/>
        <v>410</v>
      </c>
      <c r="B422" s="2200" t="s">
        <v>3085</v>
      </c>
      <c r="C422" s="2743">
        <v>0</v>
      </c>
      <c r="D422" s="2743">
        <v>1000</v>
      </c>
      <c r="E422" s="2949">
        <v>0</v>
      </c>
      <c r="F422" s="2200">
        <v>20</v>
      </c>
      <c r="G422" s="2200" t="s">
        <v>2038</v>
      </c>
      <c r="H422" s="2200" t="s">
        <v>1057</v>
      </c>
      <c r="I422" s="2742">
        <v>30</v>
      </c>
      <c r="J422" s="2742"/>
      <c r="K422" s="2752">
        <v>45</v>
      </c>
      <c r="L422" s="2745">
        <f t="shared" si="104"/>
        <v>1000</v>
      </c>
      <c r="M422" s="2745">
        <f t="shared" si="120"/>
        <v>30</v>
      </c>
      <c r="N422" s="2745">
        <f t="shared" si="114"/>
        <v>20</v>
      </c>
      <c r="O422" s="1232">
        <f t="shared" si="115"/>
        <v>0</v>
      </c>
      <c r="P422" s="1227" t="str">
        <f t="shared" si="121"/>
        <v>280gsm IVORY EMAMI MAXO FOLD GC2</v>
      </c>
      <c r="Q422" s="254">
        <v>0.46500000000000002</v>
      </c>
      <c r="R422" s="1228" t="str">
        <f t="shared" si="107"/>
        <v>280</v>
      </c>
      <c r="S422" s="2625">
        <f t="shared" si="122"/>
        <v>0</v>
      </c>
      <c r="T422" s="2747">
        <f>IF(L422&gt;0,IF(input!$B$2=$O$1,(((L422+Y422/22)+(L422+Y422/22)*$AG422+$X422)*$P$11+$M$7)/1000,(((L422+Y422/22)+(L422+Y422/22)*O422+(L422+Y422/22)*$AG422+$X422)*$P$11+$M$7)/1000),0)</f>
        <v>24898.12</v>
      </c>
      <c r="U422" s="2747">
        <f t="shared" si="106"/>
        <v>0</v>
      </c>
      <c r="V422" s="1229"/>
      <c r="W422" s="1231" t="str">
        <f t="shared" si="123"/>
        <v>CIF</v>
      </c>
      <c r="X422" s="1230">
        <f t="shared" si="110"/>
        <v>0</v>
      </c>
      <c r="Y422" s="2625">
        <f t="shared" si="124"/>
        <v>0</v>
      </c>
      <c r="Z422" s="3208">
        <f t="shared" si="108"/>
        <v>838.18181818181813</v>
      </c>
      <c r="AA422" s="1220" t="s">
        <v>3119</v>
      </c>
      <c r="AB422" s="1220" t="s">
        <v>1395</v>
      </c>
      <c r="AC422" s="251" t="str">
        <f t="shared" si="125"/>
        <v>280gsm IVORY EMAMI MAXO FOLD GC2</v>
      </c>
      <c r="AD422" s="2746">
        <f>IF(L422&gt;0,IF(input!$B$2=$O$1,(((M422)+(M422)*$M$10)*$P$11)/1000,(((M422)+(M422)*O422+(M422)*$M$10)*$P$11)/1000),0)</f>
        <v>726.06239999999991</v>
      </c>
      <c r="AE422" s="2746">
        <f>IF(L422&gt;0,IF(input!$B$2=$O$1,(((N422)+(N422)*$M$10)*$P$11)/1000,(((N422)+(N422)*O422+(N422)*$M$10)*$P$11)/1000),0)</f>
        <v>484.04159999999996</v>
      </c>
      <c r="AF422" s="136" t="str">
        <f t="shared" si="126"/>
        <v>FSC</v>
      </c>
      <c r="AG422" s="2628">
        <f t="shared" si="127"/>
        <v>1.2E-2</v>
      </c>
      <c r="AH422" s="1266">
        <v>0.1</v>
      </c>
    </row>
    <row r="423" spans="1:34" ht="12.75">
      <c r="A423" s="2199">
        <f t="shared" si="103"/>
        <v>411</v>
      </c>
      <c r="B423" s="2200" t="s">
        <v>3086</v>
      </c>
      <c r="C423" s="2743">
        <v>0</v>
      </c>
      <c r="D423" s="2743">
        <v>1000</v>
      </c>
      <c r="E423" s="2949">
        <v>0</v>
      </c>
      <c r="F423" s="2200">
        <v>20</v>
      </c>
      <c r="G423" s="2200" t="s">
        <v>2038</v>
      </c>
      <c r="H423" s="2200" t="s">
        <v>1057</v>
      </c>
      <c r="I423" s="2742">
        <v>30</v>
      </c>
      <c r="J423" s="2742"/>
      <c r="K423" s="2752">
        <v>45</v>
      </c>
      <c r="L423" s="2745">
        <f t="shared" si="104"/>
        <v>1000</v>
      </c>
      <c r="M423" s="2745">
        <f t="shared" si="120"/>
        <v>30</v>
      </c>
      <c r="N423" s="2745">
        <f t="shared" si="114"/>
        <v>20</v>
      </c>
      <c r="O423" s="1232">
        <f t="shared" si="115"/>
        <v>0</v>
      </c>
      <c r="P423" s="1227" t="str">
        <f t="shared" si="121"/>
        <v>290gsm IVORY EMAMI MAXO FOLD GC2</v>
      </c>
      <c r="Q423" s="254">
        <v>0.48399999999999999</v>
      </c>
      <c r="R423" s="1228" t="str">
        <f t="shared" si="107"/>
        <v>290</v>
      </c>
      <c r="S423" s="2625">
        <f t="shared" si="122"/>
        <v>0</v>
      </c>
      <c r="T423" s="2747">
        <f>IF(L423&gt;0,IF(input!$B$2=$O$1,(((L423+Y423/22)+(L423+Y423/22)*$AG423+$X423)*$P$11+$M$7)/1000,(((L423+Y423/22)+(L423+Y423/22)*O423+(L423+Y423/22)*$AG423+$X423)*$P$11+$M$7)/1000),0)</f>
        <v>24898.12</v>
      </c>
      <c r="U423" s="2747">
        <f t="shared" si="106"/>
        <v>0</v>
      </c>
      <c r="V423" s="1229"/>
      <c r="W423" s="1231" t="str">
        <f t="shared" si="123"/>
        <v>CIF</v>
      </c>
      <c r="X423" s="1230">
        <f t="shared" si="110"/>
        <v>0</v>
      </c>
      <c r="Y423" s="2625">
        <f t="shared" si="124"/>
        <v>0</v>
      </c>
      <c r="Z423" s="3208">
        <f t="shared" si="108"/>
        <v>838.18181818181813</v>
      </c>
      <c r="AA423" s="1220" t="s">
        <v>3119</v>
      </c>
      <c r="AB423" s="1220" t="s">
        <v>1395</v>
      </c>
      <c r="AC423" s="251" t="str">
        <f t="shared" si="125"/>
        <v>290gsm IVORY EMAMI MAXO FOLD GC2</v>
      </c>
      <c r="AD423" s="2746">
        <f>IF(L423&gt;0,IF(input!$B$2=$O$1,(((M423)+(M423)*$M$10)*$P$11)/1000,(((M423)+(M423)*O423+(M423)*$M$10)*$P$11)/1000),0)</f>
        <v>726.06239999999991</v>
      </c>
      <c r="AE423" s="2746">
        <f>IF(L423&gt;0,IF(input!$B$2=$O$1,(((N423)+(N423)*$M$10)*$P$11)/1000,(((N423)+(N423)*O423+(N423)*$M$10)*$P$11)/1000),0)</f>
        <v>484.04159999999996</v>
      </c>
      <c r="AF423" s="136" t="str">
        <f t="shared" si="126"/>
        <v>FSC</v>
      </c>
      <c r="AG423" s="2628">
        <f t="shared" si="127"/>
        <v>1.2E-2</v>
      </c>
      <c r="AH423" s="1266">
        <v>0.1</v>
      </c>
    </row>
    <row r="424" spans="1:34" ht="12.75">
      <c r="A424" s="2199">
        <f t="shared" si="103"/>
        <v>412</v>
      </c>
      <c r="B424" s="2200" t="s">
        <v>3087</v>
      </c>
      <c r="C424" s="2743">
        <v>0</v>
      </c>
      <c r="D424" s="2743">
        <v>1000</v>
      </c>
      <c r="E424" s="2949">
        <v>0</v>
      </c>
      <c r="F424" s="2200">
        <v>20</v>
      </c>
      <c r="G424" s="2200" t="s">
        <v>2038</v>
      </c>
      <c r="H424" s="2200" t="s">
        <v>1057</v>
      </c>
      <c r="I424" s="2742">
        <v>30</v>
      </c>
      <c r="J424" s="2742"/>
      <c r="K424" s="2752">
        <v>45</v>
      </c>
      <c r="L424" s="2745">
        <f t="shared" si="104"/>
        <v>1000</v>
      </c>
      <c r="M424" s="2745">
        <f t="shared" si="120"/>
        <v>30</v>
      </c>
      <c r="N424" s="2745">
        <f t="shared" si="114"/>
        <v>20</v>
      </c>
      <c r="O424" s="1232">
        <f t="shared" si="115"/>
        <v>0</v>
      </c>
      <c r="P424" s="1227" t="str">
        <f t="shared" si="121"/>
        <v>300gsm IVORY EMAMI MAXO FOLD GC2</v>
      </c>
      <c r="Q424" s="254">
        <v>0.50700000000000001</v>
      </c>
      <c r="R424" s="1228" t="str">
        <f t="shared" si="107"/>
        <v>300</v>
      </c>
      <c r="S424" s="2625">
        <f t="shared" si="122"/>
        <v>0</v>
      </c>
      <c r="T424" s="2747">
        <f>IF(L424&gt;0,IF(input!$B$2=$O$1,(((L424+Y424/22)+(L424+Y424/22)*$AG424+$X424)*$P$11+$M$7)/1000,(((L424+Y424/22)+(L424+Y424/22)*O424+(L424+Y424/22)*$AG424+$X424)*$P$11+$M$7)/1000),0)</f>
        <v>24898.12</v>
      </c>
      <c r="U424" s="2747">
        <f t="shared" si="106"/>
        <v>0</v>
      </c>
      <c r="V424" s="1229"/>
      <c r="W424" s="1231" t="str">
        <f t="shared" si="123"/>
        <v>CIF</v>
      </c>
      <c r="X424" s="1230">
        <f t="shared" si="110"/>
        <v>0</v>
      </c>
      <c r="Y424" s="2625">
        <f t="shared" si="124"/>
        <v>0</v>
      </c>
      <c r="Z424" s="3208">
        <f t="shared" si="108"/>
        <v>838.18181818181813</v>
      </c>
      <c r="AA424" s="1220" t="s">
        <v>3119</v>
      </c>
      <c r="AB424" s="1220" t="s">
        <v>1395</v>
      </c>
      <c r="AC424" s="251" t="str">
        <f t="shared" si="125"/>
        <v>300gsm IVORY EMAMI MAXO FOLD GC2</v>
      </c>
      <c r="AD424" s="2746">
        <f>IF(L424&gt;0,IF(input!$B$2=$O$1,(((M424)+(M424)*$M$10)*$P$11)/1000,(((M424)+(M424)*O424+(M424)*$M$10)*$P$11)/1000),0)</f>
        <v>726.06239999999991</v>
      </c>
      <c r="AE424" s="2746">
        <f>IF(L424&gt;0,IF(input!$B$2=$O$1,(((N424)+(N424)*$M$10)*$P$11)/1000,(((N424)+(N424)*O424+(N424)*$M$10)*$P$11)/1000),0)</f>
        <v>484.04159999999996</v>
      </c>
      <c r="AF424" s="136" t="str">
        <f t="shared" si="126"/>
        <v>FSC</v>
      </c>
      <c r="AG424" s="2628">
        <f t="shared" si="127"/>
        <v>1.2E-2</v>
      </c>
      <c r="AH424" s="1266">
        <v>0.1</v>
      </c>
    </row>
    <row r="425" spans="1:34" ht="12.75">
      <c r="A425" s="2199">
        <f t="shared" si="103"/>
        <v>413</v>
      </c>
      <c r="B425" s="2200" t="s">
        <v>3088</v>
      </c>
      <c r="C425" s="2743">
        <v>0</v>
      </c>
      <c r="D425" s="2743">
        <v>1000</v>
      </c>
      <c r="E425" s="2949">
        <v>0</v>
      </c>
      <c r="F425" s="2200">
        <v>20</v>
      </c>
      <c r="G425" s="2200" t="s">
        <v>2038</v>
      </c>
      <c r="H425" s="2200" t="s">
        <v>1057</v>
      </c>
      <c r="I425" s="2742">
        <v>30</v>
      </c>
      <c r="J425" s="2742"/>
      <c r="K425" s="2752">
        <v>45</v>
      </c>
      <c r="L425" s="2745">
        <f t="shared" si="104"/>
        <v>1000</v>
      </c>
      <c r="M425" s="2745">
        <f t="shared" si="120"/>
        <v>30</v>
      </c>
      <c r="N425" s="2745">
        <f t="shared" si="114"/>
        <v>20</v>
      </c>
      <c r="O425" s="1232">
        <f t="shared" si="115"/>
        <v>0</v>
      </c>
      <c r="P425" s="1227" t="str">
        <f t="shared" si="121"/>
        <v>320gsm IVORY EMAMI MAXO FOLD GC2</v>
      </c>
      <c r="Q425" s="254">
        <v>0.54400000000000004</v>
      </c>
      <c r="R425" s="1228" t="str">
        <f t="shared" si="107"/>
        <v>320</v>
      </c>
      <c r="S425" s="2625">
        <f t="shared" si="122"/>
        <v>0</v>
      </c>
      <c r="T425" s="2747">
        <f>IF(L425&gt;0,IF(input!$B$2=$O$1,(((L425+Y425/22)+(L425+Y425/22)*$AG425+$X425)*$P$11+$M$7)/1000,(((L425+Y425/22)+(L425+Y425/22)*O425+(L425+Y425/22)*$AG425+$X425)*$P$11+$M$7)/1000),0)</f>
        <v>24898.12</v>
      </c>
      <c r="U425" s="2747">
        <f t="shared" si="106"/>
        <v>0</v>
      </c>
      <c r="V425" s="1229"/>
      <c r="W425" s="1231" t="str">
        <f t="shared" si="123"/>
        <v>CIF</v>
      </c>
      <c r="X425" s="1230">
        <f t="shared" si="110"/>
        <v>0</v>
      </c>
      <c r="Y425" s="2625">
        <f t="shared" si="124"/>
        <v>0</v>
      </c>
      <c r="Z425" s="3208">
        <f t="shared" si="108"/>
        <v>838.18181818181813</v>
      </c>
      <c r="AA425" s="1220" t="s">
        <v>3119</v>
      </c>
      <c r="AB425" s="1220" t="s">
        <v>1395</v>
      </c>
      <c r="AC425" s="251" t="str">
        <f t="shared" si="125"/>
        <v>320gsm IVORY EMAMI MAXO FOLD GC2</v>
      </c>
      <c r="AD425" s="2746">
        <f>IF(L425&gt;0,IF(input!$B$2=$O$1,(((M425)+(M425)*$M$10)*$P$11)/1000,(((M425)+(M425)*O425+(M425)*$M$10)*$P$11)/1000),0)</f>
        <v>726.06239999999991</v>
      </c>
      <c r="AE425" s="2746">
        <f>IF(L425&gt;0,IF(input!$B$2=$O$1,(((N425)+(N425)*$M$10)*$P$11)/1000,(((N425)+(N425)*O425+(N425)*$M$10)*$P$11)/1000),0)</f>
        <v>484.04159999999996</v>
      </c>
      <c r="AF425" s="136" t="str">
        <f t="shared" si="126"/>
        <v>FSC</v>
      </c>
      <c r="AG425" s="2628">
        <f t="shared" si="127"/>
        <v>1.2E-2</v>
      </c>
      <c r="AH425" s="1266">
        <v>0.1</v>
      </c>
    </row>
    <row r="426" spans="1:34" ht="12.75">
      <c r="A426" s="2199">
        <f t="shared" si="103"/>
        <v>414</v>
      </c>
      <c r="B426" s="2200" t="s">
        <v>3089</v>
      </c>
      <c r="C426" s="2743">
        <v>0</v>
      </c>
      <c r="D426" s="2743">
        <v>1000</v>
      </c>
      <c r="E426" s="2949">
        <v>0</v>
      </c>
      <c r="F426" s="2200">
        <v>20</v>
      </c>
      <c r="G426" s="2200" t="s">
        <v>2038</v>
      </c>
      <c r="H426" s="2200" t="s">
        <v>1057</v>
      </c>
      <c r="I426" s="2742">
        <v>30</v>
      </c>
      <c r="J426" s="2742"/>
      <c r="K426" s="2752">
        <v>45</v>
      </c>
      <c r="L426" s="2745">
        <f t="shared" si="104"/>
        <v>1000</v>
      </c>
      <c r="M426" s="2745">
        <f t="shared" si="120"/>
        <v>30</v>
      </c>
      <c r="N426" s="2745">
        <f t="shared" si="114"/>
        <v>20</v>
      </c>
      <c r="O426" s="1232">
        <f t="shared" si="115"/>
        <v>0</v>
      </c>
      <c r="P426" s="1227" t="str">
        <f t="shared" si="121"/>
        <v>330gsm IVORY EMAMI MAXO FOLD GC2</v>
      </c>
      <c r="Q426" s="254">
        <v>0.56399999999999995</v>
      </c>
      <c r="R426" s="1228" t="str">
        <f t="shared" si="107"/>
        <v>330</v>
      </c>
      <c r="S426" s="2625">
        <f t="shared" si="122"/>
        <v>0</v>
      </c>
      <c r="T426" s="2747">
        <f>IF(L426&gt;0,IF(input!$B$2=$O$1,(((L426+Y426/22)+(L426+Y426/22)*$AG426+$X426)*$P$11+$M$7)/1000,(((L426+Y426/22)+(L426+Y426/22)*O426+(L426+Y426/22)*$AG426+$X426)*$P$11+$M$7)/1000),0)</f>
        <v>24898.12</v>
      </c>
      <c r="U426" s="2747">
        <f t="shared" si="106"/>
        <v>0</v>
      </c>
      <c r="V426" s="1229"/>
      <c r="W426" s="1231" t="str">
        <f t="shared" si="123"/>
        <v>CIF</v>
      </c>
      <c r="X426" s="1230">
        <f t="shared" si="110"/>
        <v>0</v>
      </c>
      <c r="Y426" s="2625">
        <f t="shared" si="124"/>
        <v>0</v>
      </c>
      <c r="Z426" s="3208">
        <f t="shared" si="108"/>
        <v>838.18181818181813</v>
      </c>
      <c r="AA426" s="1220" t="s">
        <v>3119</v>
      </c>
      <c r="AB426" s="1220" t="s">
        <v>1395</v>
      </c>
      <c r="AC426" s="251" t="str">
        <f t="shared" si="125"/>
        <v>330gsm IVORY EMAMI MAXO FOLD GC2</v>
      </c>
      <c r="AD426" s="2746">
        <f>IF(L426&gt;0,IF(input!$B$2=$O$1,(((M426)+(M426)*$M$10)*$P$11)/1000,(((M426)+(M426)*O426+(M426)*$M$10)*$P$11)/1000),0)</f>
        <v>726.06239999999991</v>
      </c>
      <c r="AE426" s="2746">
        <f>IF(L426&gt;0,IF(input!$B$2=$O$1,(((N426)+(N426)*$M$10)*$P$11)/1000,(((N426)+(N426)*O426+(N426)*$M$10)*$P$11)/1000),0)</f>
        <v>484.04159999999996</v>
      </c>
      <c r="AF426" s="136" t="str">
        <f t="shared" si="126"/>
        <v>FSC</v>
      </c>
      <c r="AG426" s="2628">
        <f t="shared" si="127"/>
        <v>1.2E-2</v>
      </c>
      <c r="AH426" s="1266">
        <v>0.1</v>
      </c>
    </row>
    <row r="427" spans="1:34" ht="12.75">
      <c r="A427" s="2199">
        <f t="shared" si="103"/>
        <v>415</v>
      </c>
      <c r="B427" s="2200" t="s">
        <v>3090</v>
      </c>
      <c r="C427" s="2743">
        <v>0</v>
      </c>
      <c r="D427" s="2743">
        <v>1000</v>
      </c>
      <c r="E427" s="2949">
        <v>0</v>
      </c>
      <c r="F427" s="2200">
        <v>20</v>
      </c>
      <c r="G427" s="2200" t="s">
        <v>2038</v>
      </c>
      <c r="H427" s="2200" t="s">
        <v>1057</v>
      </c>
      <c r="I427" s="2742">
        <v>30</v>
      </c>
      <c r="J427" s="2742"/>
      <c r="K427" s="2752">
        <v>45</v>
      </c>
      <c r="L427" s="2745">
        <f t="shared" si="104"/>
        <v>1000</v>
      </c>
      <c r="M427" s="2745">
        <f t="shared" si="120"/>
        <v>30</v>
      </c>
      <c r="N427" s="2745">
        <f t="shared" si="114"/>
        <v>20</v>
      </c>
      <c r="O427" s="1232">
        <f t="shared" si="115"/>
        <v>0</v>
      </c>
      <c r="P427" s="1227" t="str">
        <f t="shared" si="121"/>
        <v>340gsm IVORY EMAMI MAXO FOLD GC2</v>
      </c>
      <c r="Q427" s="254">
        <v>0.58499999999999996</v>
      </c>
      <c r="R427" s="1228" t="str">
        <f t="shared" si="107"/>
        <v>340</v>
      </c>
      <c r="S427" s="2625">
        <f t="shared" si="122"/>
        <v>0</v>
      </c>
      <c r="T427" s="2747">
        <f>IF(L427&gt;0,IF(input!$B$2=$O$1,(((L427+Y427/22)+(L427+Y427/22)*$AG427+$X427)*$P$11+$M$7)/1000,(((L427+Y427/22)+(L427+Y427/22)*O427+(L427+Y427/22)*$AG427+$X427)*$P$11+$M$7)/1000),0)</f>
        <v>24898.12</v>
      </c>
      <c r="U427" s="2747">
        <f t="shared" si="106"/>
        <v>0</v>
      </c>
      <c r="V427" s="1229"/>
      <c r="W427" s="1231" t="str">
        <f t="shared" si="123"/>
        <v>CIF</v>
      </c>
      <c r="X427" s="1230">
        <f t="shared" si="110"/>
        <v>0</v>
      </c>
      <c r="Y427" s="2625">
        <f t="shared" si="124"/>
        <v>0</v>
      </c>
      <c r="Z427" s="3208">
        <f t="shared" si="108"/>
        <v>838.18181818181813</v>
      </c>
      <c r="AA427" s="1220" t="s">
        <v>3119</v>
      </c>
      <c r="AB427" s="1220" t="s">
        <v>1395</v>
      </c>
      <c r="AC427" s="251" t="str">
        <f t="shared" si="125"/>
        <v>340gsm IVORY EMAMI MAXO FOLD GC2</v>
      </c>
      <c r="AD427" s="2746">
        <f>IF(L427&gt;0,IF(input!$B$2=$O$1,(((M427)+(M427)*$M$10)*$P$11)/1000,(((M427)+(M427)*O427+(M427)*$M$10)*$P$11)/1000),0)</f>
        <v>726.06239999999991</v>
      </c>
      <c r="AE427" s="2746">
        <f>IF(L427&gt;0,IF(input!$B$2=$O$1,(((N427)+(N427)*$M$10)*$P$11)/1000,(((N427)+(N427)*O427+(N427)*$M$10)*$P$11)/1000),0)</f>
        <v>484.04159999999996</v>
      </c>
      <c r="AF427" s="136" t="str">
        <f t="shared" si="126"/>
        <v>FSC</v>
      </c>
      <c r="AG427" s="2628">
        <f t="shared" si="127"/>
        <v>1.2E-2</v>
      </c>
      <c r="AH427" s="1266">
        <v>0.1</v>
      </c>
    </row>
    <row r="428" spans="1:34" ht="12.75">
      <c r="A428" s="2199">
        <f t="shared" si="103"/>
        <v>416</v>
      </c>
      <c r="B428" s="2200" t="s">
        <v>3091</v>
      </c>
      <c r="C428" s="2743">
        <v>0</v>
      </c>
      <c r="D428" s="2743">
        <v>1000</v>
      </c>
      <c r="E428" s="2949">
        <v>0</v>
      </c>
      <c r="F428" s="2200">
        <v>20</v>
      </c>
      <c r="G428" s="2200" t="s">
        <v>2038</v>
      </c>
      <c r="H428" s="2200" t="s">
        <v>1057</v>
      </c>
      <c r="I428" s="2742">
        <v>30</v>
      </c>
      <c r="J428" s="2742"/>
      <c r="K428" s="2752">
        <v>45</v>
      </c>
      <c r="L428" s="2745">
        <f t="shared" si="104"/>
        <v>1000</v>
      </c>
      <c r="M428" s="2745">
        <f t="shared" si="120"/>
        <v>30</v>
      </c>
      <c r="N428" s="2745">
        <f t="shared" si="114"/>
        <v>20</v>
      </c>
      <c r="O428" s="1232">
        <f t="shared" si="115"/>
        <v>0</v>
      </c>
      <c r="P428" s="1227" t="str">
        <f t="shared" si="121"/>
        <v>350gsm IVORY EMAMI MAXO FOLD GC2</v>
      </c>
      <c r="Q428" s="254">
        <v>0.60599999999999998</v>
      </c>
      <c r="R428" s="1228" t="str">
        <f t="shared" si="107"/>
        <v>350</v>
      </c>
      <c r="S428" s="2625">
        <f t="shared" si="122"/>
        <v>0</v>
      </c>
      <c r="T428" s="2747">
        <f>IF(L428&gt;0,IF(input!$B$2=$O$1,(((L428+Y428/22)+(L428+Y428/22)*$AG428+$X428)*$P$11+$M$7)/1000,(((L428+Y428/22)+(L428+Y428/22)*O428+(L428+Y428/22)*$AG428+$X428)*$P$11+$M$7)/1000),0)</f>
        <v>24898.12</v>
      </c>
      <c r="U428" s="2747">
        <f t="shared" si="106"/>
        <v>0</v>
      </c>
      <c r="V428" s="1229"/>
      <c r="W428" s="1231" t="str">
        <f t="shared" si="123"/>
        <v>CIF</v>
      </c>
      <c r="X428" s="1230">
        <f t="shared" si="110"/>
        <v>0</v>
      </c>
      <c r="Y428" s="2625">
        <f t="shared" si="124"/>
        <v>0</v>
      </c>
      <c r="Z428" s="3208">
        <f t="shared" si="108"/>
        <v>838.18181818181813</v>
      </c>
      <c r="AA428" s="1220" t="s">
        <v>3119</v>
      </c>
      <c r="AB428" s="1220" t="s">
        <v>1395</v>
      </c>
      <c r="AC428" s="251" t="str">
        <f t="shared" si="125"/>
        <v>350gsm IVORY EMAMI MAXO FOLD GC2</v>
      </c>
      <c r="AD428" s="2746">
        <f>IF(L428&gt;0,IF(input!$B$2=$O$1,(((M428)+(M428)*$M$10)*$P$11)/1000,(((M428)+(M428)*O428+(M428)*$M$10)*$P$11)/1000),0)</f>
        <v>726.06239999999991</v>
      </c>
      <c r="AE428" s="2746">
        <f>IF(L428&gt;0,IF(input!$B$2=$O$1,(((N428)+(N428)*$M$10)*$P$11)/1000,(((N428)+(N428)*O428+(N428)*$M$10)*$P$11)/1000),0)</f>
        <v>484.04159999999996</v>
      </c>
      <c r="AF428" s="136" t="str">
        <f t="shared" si="126"/>
        <v>FSC</v>
      </c>
      <c r="AG428" s="2628">
        <f t="shared" si="127"/>
        <v>1.2E-2</v>
      </c>
      <c r="AH428" s="1266">
        <v>0.1</v>
      </c>
    </row>
    <row r="429" spans="1:34" ht="12.75">
      <c r="A429" s="2199">
        <f t="shared" si="103"/>
        <v>417</v>
      </c>
      <c r="B429" s="2200" t="s">
        <v>3092</v>
      </c>
      <c r="C429" s="2743">
        <v>0</v>
      </c>
      <c r="D429" s="2743">
        <v>1000</v>
      </c>
      <c r="E429" s="2949">
        <v>0</v>
      </c>
      <c r="F429" s="2200">
        <v>20</v>
      </c>
      <c r="G429" s="2200" t="s">
        <v>2038</v>
      </c>
      <c r="H429" s="2200" t="s">
        <v>1057</v>
      </c>
      <c r="I429" s="2742">
        <v>30</v>
      </c>
      <c r="J429" s="2742"/>
      <c r="K429" s="2752">
        <v>45</v>
      </c>
      <c r="L429" s="2745">
        <f t="shared" si="104"/>
        <v>1000</v>
      </c>
      <c r="M429" s="2745">
        <f t="shared" si="120"/>
        <v>30</v>
      </c>
      <c r="N429" s="2745">
        <f t="shared" si="114"/>
        <v>20</v>
      </c>
      <c r="O429" s="1232">
        <f t="shared" si="115"/>
        <v>0</v>
      </c>
      <c r="P429" s="1227" t="str">
        <f t="shared" si="121"/>
        <v>370gsm IVORY EMAMI MAXO FOLD GC2</v>
      </c>
      <c r="Q429" s="254">
        <v>0.64800000000000002</v>
      </c>
      <c r="R429" s="1228" t="str">
        <f t="shared" si="107"/>
        <v>370</v>
      </c>
      <c r="S429" s="2625">
        <f t="shared" si="122"/>
        <v>0</v>
      </c>
      <c r="T429" s="2747">
        <f>IF(L429&gt;0,IF(input!$B$2=$O$1,(((L429+Y429/22)+(L429+Y429/22)*$AG429+$X429)*$P$11+$M$7)/1000,(((L429+Y429/22)+(L429+Y429/22)*O429+(L429+Y429/22)*$AG429+$X429)*$P$11+$M$7)/1000),0)</f>
        <v>24898.12</v>
      </c>
      <c r="U429" s="2747">
        <f t="shared" si="106"/>
        <v>0</v>
      </c>
      <c r="V429" s="1229"/>
      <c r="W429" s="1231" t="str">
        <f t="shared" si="123"/>
        <v>CIF</v>
      </c>
      <c r="X429" s="1230">
        <f t="shared" si="110"/>
        <v>0</v>
      </c>
      <c r="Y429" s="2625">
        <f t="shared" si="124"/>
        <v>0</v>
      </c>
      <c r="Z429" s="3208">
        <f t="shared" si="108"/>
        <v>838.18181818181813</v>
      </c>
      <c r="AA429" s="1220" t="s">
        <v>3119</v>
      </c>
      <c r="AB429" s="1220" t="s">
        <v>1395</v>
      </c>
      <c r="AC429" s="251" t="str">
        <f t="shared" si="125"/>
        <v>370gsm IVORY EMAMI MAXO FOLD GC2</v>
      </c>
      <c r="AD429" s="2746">
        <f>IF(L429&gt;0,IF(input!$B$2=$O$1,(((M429)+(M429)*$M$10)*$P$11)/1000,(((M429)+(M429)*O429+(M429)*$M$10)*$P$11)/1000),0)</f>
        <v>726.06239999999991</v>
      </c>
      <c r="AE429" s="2746">
        <f>IF(L429&gt;0,IF(input!$B$2=$O$1,(((N429)+(N429)*$M$10)*$P$11)/1000,(((N429)+(N429)*O429+(N429)*$M$10)*$P$11)/1000),0)</f>
        <v>484.04159999999996</v>
      </c>
      <c r="AF429" s="136" t="str">
        <f t="shared" si="126"/>
        <v>FSC</v>
      </c>
      <c r="AG429" s="2628">
        <f t="shared" si="127"/>
        <v>1.2E-2</v>
      </c>
      <c r="AH429" s="1266">
        <v>0.1</v>
      </c>
    </row>
    <row r="430" spans="1:34" ht="12.75">
      <c r="A430" s="2199">
        <f t="shared" si="103"/>
        <v>418</v>
      </c>
      <c r="B430" s="2200" t="s">
        <v>3093</v>
      </c>
      <c r="C430" s="2743">
        <v>0</v>
      </c>
      <c r="D430" s="2743">
        <v>1000</v>
      </c>
      <c r="E430" s="2949">
        <v>0</v>
      </c>
      <c r="F430" s="2200">
        <v>20</v>
      </c>
      <c r="G430" s="2200" t="s">
        <v>2038</v>
      </c>
      <c r="H430" s="2200" t="s">
        <v>1057</v>
      </c>
      <c r="I430" s="2742">
        <v>30</v>
      </c>
      <c r="J430" s="2742"/>
      <c r="K430" s="2752">
        <v>45</v>
      </c>
      <c r="L430" s="2745">
        <f t="shared" si="104"/>
        <v>1000</v>
      </c>
      <c r="M430" s="2745">
        <f t="shared" si="120"/>
        <v>30</v>
      </c>
      <c r="N430" s="2745">
        <f t="shared" si="114"/>
        <v>20</v>
      </c>
      <c r="O430" s="1232">
        <f t="shared" si="115"/>
        <v>0</v>
      </c>
      <c r="P430" s="1227" t="str">
        <f t="shared" si="121"/>
        <v>400gsm IVORY EMAMI MAXO FOLD GC2</v>
      </c>
      <c r="Q430" s="254">
        <v>0.70399999999999996</v>
      </c>
      <c r="R430" s="1228" t="str">
        <f t="shared" si="107"/>
        <v>400</v>
      </c>
      <c r="S430" s="2625">
        <f t="shared" si="122"/>
        <v>0</v>
      </c>
      <c r="T430" s="2747">
        <f>IF(L430&gt;0,IF(input!$B$2=$O$1,(((L430+Y430/22)+(L430+Y430/22)*$AG430+$X430)*$P$11+$M$7)/1000,(((L430+Y430/22)+(L430+Y430/22)*O430+(L430+Y430/22)*$AG430+$X430)*$P$11+$M$7)/1000),0)</f>
        <v>24898.12</v>
      </c>
      <c r="U430" s="2747">
        <f t="shared" si="106"/>
        <v>0</v>
      </c>
      <c r="V430" s="1229"/>
      <c r="W430" s="1231" t="str">
        <f t="shared" si="123"/>
        <v>CIF</v>
      </c>
      <c r="X430" s="1230">
        <f t="shared" si="110"/>
        <v>0</v>
      </c>
      <c r="Y430" s="2625">
        <f t="shared" si="124"/>
        <v>0</v>
      </c>
      <c r="Z430" s="3208">
        <f t="shared" si="108"/>
        <v>838.18181818181813</v>
      </c>
      <c r="AA430" s="1220" t="s">
        <v>3119</v>
      </c>
      <c r="AB430" s="1220" t="s">
        <v>1395</v>
      </c>
      <c r="AC430" s="251" t="str">
        <f t="shared" si="125"/>
        <v>400gsm IVORY EMAMI MAXO FOLD GC2</v>
      </c>
      <c r="AD430" s="2746">
        <f>IF(L430&gt;0,IF(input!$B$2=$O$1,(((M430)+(M430)*$M$10)*$P$11)/1000,(((M430)+(M430)*O430+(M430)*$M$10)*$P$11)/1000),0)</f>
        <v>726.06239999999991</v>
      </c>
      <c r="AE430" s="2746">
        <f>IF(L430&gt;0,IF(input!$B$2=$O$1,(((N430)+(N430)*$M$10)*$P$11)/1000,(((N430)+(N430)*O430+(N430)*$M$10)*$P$11)/1000),0)</f>
        <v>484.04159999999996</v>
      </c>
      <c r="AF430" s="136" t="str">
        <f t="shared" si="126"/>
        <v>FSC</v>
      </c>
      <c r="AG430" s="2628">
        <f t="shared" si="127"/>
        <v>1.2E-2</v>
      </c>
      <c r="AH430" s="1266">
        <v>0.1</v>
      </c>
    </row>
    <row r="431" spans="1:34" ht="12.75">
      <c r="A431" s="2199">
        <f t="shared" si="103"/>
        <v>419</v>
      </c>
      <c r="B431" s="2200" t="s">
        <v>3094</v>
      </c>
      <c r="C431" s="2743">
        <v>0</v>
      </c>
      <c r="D431" s="2743">
        <v>1000</v>
      </c>
      <c r="E431" s="2949">
        <v>0</v>
      </c>
      <c r="F431" s="2200">
        <v>20</v>
      </c>
      <c r="G431" s="2200" t="s">
        <v>2038</v>
      </c>
      <c r="H431" s="2200" t="s">
        <v>1057</v>
      </c>
      <c r="I431" s="2742">
        <v>30</v>
      </c>
      <c r="J431" s="2742"/>
      <c r="K431" s="2752">
        <v>45</v>
      </c>
      <c r="L431" s="2745">
        <f t="shared" si="104"/>
        <v>1000</v>
      </c>
      <c r="M431" s="2745">
        <f t="shared" si="120"/>
        <v>30</v>
      </c>
      <c r="N431" s="2745">
        <f t="shared" si="114"/>
        <v>20</v>
      </c>
      <c r="O431" s="1232">
        <f t="shared" si="115"/>
        <v>0</v>
      </c>
      <c r="P431" s="1227" t="str">
        <f t="shared" si="121"/>
        <v>420gsm IVORY EMAMI MAXO FOLD GC2</v>
      </c>
      <c r="Q431" s="254">
        <v>0.74299999999999999</v>
      </c>
      <c r="R431" s="1228" t="str">
        <f t="shared" si="107"/>
        <v>420</v>
      </c>
      <c r="S431" s="2625">
        <f t="shared" si="122"/>
        <v>0</v>
      </c>
      <c r="T431" s="2747">
        <f>IF(L431&gt;0,IF(input!$B$2=$O$1,(((L431+Y431/22)+(L431+Y431/22)*$AG431+$X431)*$P$11+$M$7)/1000,(((L431+Y431/22)+(L431+Y431/22)*O431+(L431+Y431/22)*$AG431+$X431)*$P$11+$M$7)/1000),0)</f>
        <v>24898.12</v>
      </c>
      <c r="U431" s="2747">
        <f t="shared" si="106"/>
        <v>0</v>
      </c>
      <c r="V431" s="1229"/>
      <c r="W431" s="1231" t="str">
        <f t="shared" si="123"/>
        <v>CIF</v>
      </c>
      <c r="X431" s="1230">
        <f t="shared" si="110"/>
        <v>0</v>
      </c>
      <c r="Y431" s="2625">
        <f t="shared" si="124"/>
        <v>0</v>
      </c>
      <c r="Z431" s="3208">
        <f t="shared" si="108"/>
        <v>838.18181818181813</v>
      </c>
      <c r="AA431" s="1220" t="s">
        <v>3119</v>
      </c>
      <c r="AB431" s="1220" t="s">
        <v>1395</v>
      </c>
      <c r="AC431" s="251" t="str">
        <f t="shared" si="125"/>
        <v>420gsm IVORY EMAMI MAXO FOLD GC2</v>
      </c>
      <c r="AD431" s="2746">
        <f>IF(L431&gt;0,IF(input!$B$2=$O$1,(((M431)+(M431)*$M$10)*$P$11)/1000,(((M431)+(M431)*O431+(M431)*$M$10)*$P$11)/1000),0)</f>
        <v>726.06239999999991</v>
      </c>
      <c r="AE431" s="2746">
        <f>IF(L431&gt;0,IF(input!$B$2=$O$1,(((N431)+(N431)*$M$10)*$P$11)/1000,(((N431)+(N431)*O431+(N431)*$M$10)*$P$11)/1000),0)</f>
        <v>484.04159999999996</v>
      </c>
      <c r="AF431" s="136" t="str">
        <f t="shared" si="126"/>
        <v>FSC</v>
      </c>
      <c r="AG431" s="2628">
        <f t="shared" si="127"/>
        <v>1.2E-2</v>
      </c>
      <c r="AH431" s="1266">
        <v>0.1</v>
      </c>
    </row>
    <row r="432" spans="1:34" ht="12.75">
      <c r="A432" s="2199">
        <f t="shared" si="103"/>
        <v>420</v>
      </c>
      <c r="B432" s="2200" t="s">
        <v>3095</v>
      </c>
      <c r="C432" s="2743">
        <v>0</v>
      </c>
      <c r="D432" s="2743">
        <v>1000</v>
      </c>
      <c r="E432" s="2949">
        <v>0</v>
      </c>
      <c r="F432" s="2200">
        <v>20</v>
      </c>
      <c r="G432" s="2200" t="s">
        <v>2038</v>
      </c>
      <c r="H432" s="2200" t="s">
        <v>1057</v>
      </c>
      <c r="I432" s="2742">
        <v>30</v>
      </c>
      <c r="J432" s="2742"/>
      <c r="K432" s="2752">
        <v>45</v>
      </c>
      <c r="L432" s="2745">
        <f t="shared" si="104"/>
        <v>1000</v>
      </c>
      <c r="M432" s="2745">
        <f t="shared" si="120"/>
        <v>30</v>
      </c>
      <c r="N432" s="2745">
        <f t="shared" si="114"/>
        <v>20</v>
      </c>
      <c r="O432" s="1232">
        <f t="shared" si="115"/>
        <v>0</v>
      </c>
      <c r="P432" s="1227" t="str">
        <f t="shared" si="121"/>
        <v>450gsm IVORY EMAMI MAXO FOLD GC2</v>
      </c>
      <c r="Q432" s="254">
        <v>0.81</v>
      </c>
      <c r="R432" s="1228" t="str">
        <f t="shared" si="107"/>
        <v>450</v>
      </c>
      <c r="S432" s="2625">
        <f t="shared" si="122"/>
        <v>0</v>
      </c>
      <c r="T432" s="2747">
        <f>IF(L432&gt;0,IF(input!$B$2=$O$1,(((L432+Y432/22)+(L432+Y432/22)*$AG432+$X432)*$P$11+$M$7)/1000,(((L432+Y432/22)+(L432+Y432/22)*O432+(L432+Y432/22)*$AG432+$X432)*$P$11+$M$7)/1000),0)</f>
        <v>24898.12</v>
      </c>
      <c r="U432" s="2747">
        <f t="shared" si="106"/>
        <v>0</v>
      </c>
      <c r="V432" s="1229"/>
      <c r="W432" s="1231" t="str">
        <f t="shared" si="123"/>
        <v>CIF</v>
      </c>
      <c r="X432" s="1230">
        <f t="shared" si="110"/>
        <v>0</v>
      </c>
      <c r="Y432" s="2625">
        <f t="shared" si="124"/>
        <v>0</v>
      </c>
      <c r="Z432" s="3208">
        <f t="shared" si="108"/>
        <v>838.18181818181813</v>
      </c>
      <c r="AA432" s="1220" t="s">
        <v>3119</v>
      </c>
      <c r="AB432" s="1220" t="s">
        <v>1395</v>
      </c>
      <c r="AC432" s="251" t="str">
        <f t="shared" si="125"/>
        <v>450gsm IVORY EMAMI MAXO FOLD GC2</v>
      </c>
      <c r="AD432" s="2746">
        <f>IF(L432&gt;0,IF(input!$B$2=$O$1,(((M432)+(M432)*$M$10)*$P$11)/1000,(((M432)+(M432)*O432+(M432)*$M$10)*$P$11)/1000),0)</f>
        <v>726.06239999999991</v>
      </c>
      <c r="AE432" s="2746">
        <f>IF(L432&gt;0,IF(input!$B$2=$O$1,(((N432)+(N432)*$M$10)*$P$11)/1000,(((N432)+(N432)*O432+(N432)*$M$10)*$P$11)/1000),0)</f>
        <v>484.04159999999996</v>
      </c>
      <c r="AF432" s="136" t="str">
        <f t="shared" si="126"/>
        <v>FSC</v>
      </c>
      <c r="AG432" s="2628">
        <f t="shared" si="127"/>
        <v>1.2E-2</v>
      </c>
      <c r="AH432" s="1266">
        <v>0.1</v>
      </c>
    </row>
    <row r="433" spans="1:34" ht="12.75">
      <c r="A433" s="2199">
        <f t="shared" si="103"/>
        <v>421</v>
      </c>
      <c r="B433" s="2200" t="s">
        <v>3096</v>
      </c>
      <c r="C433" s="2743">
        <v>0</v>
      </c>
      <c r="D433" s="2743">
        <v>0</v>
      </c>
      <c r="E433" s="2949">
        <v>0.1</v>
      </c>
      <c r="F433" s="2200">
        <v>10</v>
      </c>
      <c r="G433" s="2200" t="s">
        <v>2038</v>
      </c>
      <c r="H433" s="2200" t="s">
        <v>1057</v>
      </c>
      <c r="I433" s="2742">
        <v>25</v>
      </c>
      <c r="J433" s="2742"/>
      <c r="K433" s="2752">
        <v>45</v>
      </c>
      <c r="L433" s="2745">
        <f t="shared" si="104"/>
        <v>0</v>
      </c>
      <c r="M433" s="2745">
        <f t="shared" si="120"/>
        <v>25</v>
      </c>
      <c r="N433" s="2745">
        <f t="shared" si="114"/>
        <v>10</v>
      </c>
      <c r="O433" s="1232">
        <f t="shared" si="115"/>
        <v>0.1</v>
      </c>
      <c r="P433" s="1227" t="str">
        <f t="shared" si="121"/>
        <v>200gsm IVORY ITC CYBER PREMIUM GC2</v>
      </c>
      <c r="Q433" s="254">
        <v>0.33</v>
      </c>
      <c r="R433" s="1228" t="str">
        <f t="shared" si="107"/>
        <v>200</v>
      </c>
      <c r="S433" s="2625">
        <f t="shared" si="122"/>
        <v>0</v>
      </c>
      <c r="T433" s="2747">
        <f>IF(L433&gt;0,IF(input!$B$2=$O$1,(((L433+Y433/22)+(L433+Y433/22)*$AG433+$X433)*$P$11+$M$7)/1000,(((L433+Y433/22)+(L433+Y433/22)*O433+(L433+Y433/22)*$AG433+$X433)*$P$11+$M$7)/1000),0)</f>
        <v>0</v>
      </c>
      <c r="U433" s="2747">
        <f t="shared" si="106"/>
        <v>0</v>
      </c>
      <c r="V433" s="1229"/>
      <c r="W433" s="1231" t="str">
        <f t="shared" si="123"/>
        <v>CIF</v>
      </c>
      <c r="X433" s="1230">
        <f t="shared" si="110"/>
        <v>0</v>
      </c>
      <c r="Y433" s="2625">
        <f t="shared" si="124"/>
        <v>0</v>
      </c>
      <c r="Z433" s="3208">
        <f t="shared" si="108"/>
        <v>838.18181818181813</v>
      </c>
      <c r="AA433" s="1220" t="s">
        <v>3120</v>
      </c>
      <c r="AB433" s="1220" t="s">
        <v>1395</v>
      </c>
      <c r="AC433" s="251" t="str">
        <f t="shared" si="125"/>
        <v>200gsm IVORY ITC CYBER PREMIUM GC2</v>
      </c>
      <c r="AD433" s="2746">
        <f>IF(L433&gt;0,IF(input!$B$2=$O$1,(((M433)+(M433)*$M$10)*$P$11)/1000,(((M433)+(M433)*O433+(M433)*$M$10)*$P$11)/1000),0)</f>
        <v>0</v>
      </c>
      <c r="AE433" s="2746">
        <f>IF(L433&gt;0,IF(input!$B$2=$O$1,(((N433)+(N433)*$M$10)*$P$11)/1000,(((N433)+(N433)*O433+(N433)*$M$10)*$P$11)/1000),0)</f>
        <v>0</v>
      </c>
      <c r="AF433" s="136" t="str">
        <f t="shared" si="126"/>
        <v>FSC</v>
      </c>
      <c r="AG433" s="2628">
        <f t="shared" si="127"/>
        <v>1.2E-2</v>
      </c>
      <c r="AH433" s="1266">
        <v>0.1</v>
      </c>
    </row>
    <row r="434" spans="1:34" ht="12.75">
      <c r="A434" s="2199">
        <f t="shared" si="103"/>
        <v>422</v>
      </c>
      <c r="B434" s="2200" t="s">
        <v>3097</v>
      </c>
      <c r="C434" s="2743">
        <v>0</v>
      </c>
      <c r="D434" s="2743">
        <v>0</v>
      </c>
      <c r="E434" s="2949">
        <v>0.1</v>
      </c>
      <c r="F434" s="2200">
        <v>10</v>
      </c>
      <c r="G434" s="2200" t="s">
        <v>2038</v>
      </c>
      <c r="H434" s="2200" t="s">
        <v>1057</v>
      </c>
      <c r="I434" s="2742">
        <v>25</v>
      </c>
      <c r="J434" s="2742"/>
      <c r="K434" s="2752">
        <v>45</v>
      </c>
      <c r="L434" s="2745">
        <f t="shared" si="104"/>
        <v>0</v>
      </c>
      <c r="M434" s="2745">
        <f t="shared" si="120"/>
        <v>25</v>
      </c>
      <c r="N434" s="2745">
        <f t="shared" si="114"/>
        <v>10</v>
      </c>
      <c r="O434" s="1232">
        <f t="shared" si="115"/>
        <v>0.1</v>
      </c>
      <c r="P434" s="1227" t="str">
        <f t="shared" si="121"/>
        <v>210gsm IVORY ITC CYBER PREMIUM GC2</v>
      </c>
      <c r="Q434" s="254">
        <v>0.34599999999999997</v>
      </c>
      <c r="R434" s="1228" t="str">
        <f t="shared" si="107"/>
        <v>210</v>
      </c>
      <c r="S434" s="2625">
        <f t="shared" si="122"/>
        <v>0</v>
      </c>
      <c r="T434" s="2747">
        <f>IF(L434&gt;0,IF(input!$B$2=$O$1,(((L434+Y434/22)+(L434+Y434/22)*$AG434+$X434)*$P$11+$M$7)/1000,(((L434+Y434/22)+(L434+Y434/22)*O434+(L434+Y434/22)*$AG434+$X434)*$P$11+$M$7)/1000),0)</f>
        <v>0</v>
      </c>
      <c r="U434" s="2747">
        <f t="shared" si="106"/>
        <v>0</v>
      </c>
      <c r="V434" s="1229"/>
      <c r="W434" s="1231" t="str">
        <f t="shared" si="123"/>
        <v>CIF</v>
      </c>
      <c r="X434" s="1230">
        <f t="shared" si="110"/>
        <v>0</v>
      </c>
      <c r="Y434" s="2625">
        <f t="shared" si="124"/>
        <v>0</v>
      </c>
      <c r="Z434" s="3208">
        <f t="shared" si="108"/>
        <v>838.18181818181813</v>
      </c>
      <c r="AA434" s="1220" t="s">
        <v>3120</v>
      </c>
      <c r="AB434" s="1220" t="s">
        <v>1395</v>
      </c>
      <c r="AC434" s="251" t="str">
        <f t="shared" si="125"/>
        <v>210gsm IVORY ITC CYBER PREMIUM GC2</v>
      </c>
      <c r="AD434" s="2746">
        <f>IF(L434&gt;0,IF(input!$B$2=$O$1,(((M434)+(M434)*$M$10)*$P$11)/1000,(((M434)+(M434)*O434+(M434)*$M$10)*$P$11)/1000),0)</f>
        <v>0</v>
      </c>
      <c r="AE434" s="2746">
        <f>IF(L434&gt;0,IF(input!$B$2=$O$1,(((N434)+(N434)*$M$10)*$P$11)/1000,(((N434)+(N434)*O434+(N434)*$M$10)*$P$11)/1000),0)</f>
        <v>0</v>
      </c>
      <c r="AF434" s="136" t="str">
        <f t="shared" si="126"/>
        <v>FSC</v>
      </c>
      <c r="AG434" s="2628">
        <f t="shared" si="127"/>
        <v>1.2E-2</v>
      </c>
      <c r="AH434" s="1266">
        <v>0.1</v>
      </c>
    </row>
    <row r="435" spans="1:34" ht="12.75">
      <c r="A435" s="2199">
        <f t="shared" si="103"/>
        <v>423</v>
      </c>
      <c r="B435" s="2200" t="s">
        <v>3098</v>
      </c>
      <c r="C435" s="2743">
        <v>0</v>
      </c>
      <c r="D435" s="2743">
        <v>0</v>
      </c>
      <c r="E435" s="2949">
        <v>0.1</v>
      </c>
      <c r="F435" s="2200">
        <v>10</v>
      </c>
      <c r="G435" s="2200" t="s">
        <v>2038</v>
      </c>
      <c r="H435" s="2200" t="s">
        <v>1057</v>
      </c>
      <c r="I435" s="2742">
        <v>25</v>
      </c>
      <c r="J435" s="2742"/>
      <c r="K435" s="2752">
        <v>45</v>
      </c>
      <c r="L435" s="2745">
        <f t="shared" si="104"/>
        <v>0</v>
      </c>
      <c r="M435" s="2745">
        <f t="shared" si="120"/>
        <v>25</v>
      </c>
      <c r="N435" s="2745">
        <f t="shared" si="114"/>
        <v>10</v>
      </c>
      <c r="O435" s="1232">
        <f t="shared" si="115"/>
        <v>0.1</v>
      </c>
      <c r="P435" s="1227" t="str">
        <f t="shared" si="121"/>
        <v>220gsm IVORY ITC CYBER PREMIUM GC2</v>
      </c>
      <c r="Q435" s="254">
        <v>0.36299999999999999</v>
      </c>
      <c r="R435" s="1228" t="str">
        <f t="shared" si="107"/>
        <v>220</v>
      </c>
      <c r="S435" s="2625">
        <f t="shared" si="122"/>
        <v>0</v>
      </c>
      <c r="T435" s="2747">
        <f>IF(L435&gt;0,IF(input!$B$2=$O$1,(((L435+Y435/22)+(L435+Y435/22)*$AG435+$X435)*$P$11+$M$7)/1000,(((L435+Y435/22)+(L435+Y435/22)*O435+(L435+Y435/22)*$AG435+$X435)*$P$11+$M$7)/1000),0)</f>
        <v>0</v>
      </c>
      <c r="U435" s="2747">
        <f t="shared" si="106"/>
        <v>0</v>
      </c>
      <c r="V435" s="1229"/>
      <c r="W435" s="1231" t="str">
        <f t="shared" si="123"/>
        <v>CIF</v>
      </c>
      <c r="X435" s="1230">
        <f t="shared" si="110"/>
        <v>0</v>
      </c>
      <c r="Y435" s="2625">
        <f t="shared" si="124"/>
        <v>0</v>
      </c>
      <c r="Z435" s="3208">
        <f t="shared" si="108"/>
        <v>838.18181818181813</v>
      </c>
      <c r="AA435" s="1220" t="s">
        <v>3120</v>
      </c>
      <c r="AB435" s="1220" t="s">
        <v>1395</v>
      </c>
      <c r="AC435" s="251" t="str">
        <f t="shared" si="125"/>
        <v>220gsm IVORY ITC CYBER PREMIUM GC2</v>
      </c>
      <c r="AD435" s="2746">
        <f>IF(L435&gt;0,IF(input!$B$2=$O$1,(((M435)+(M435)*$M$10)*$P$11)/1000,(((M435)+(M435)*O435+(M435)*$M$10)*$P$11)/1000),0)</f>
        <v>0</v>
      </c>
      <c r="AE435" s="2746">
        <f>IF(L435&gt;0,IF(input!$B$2=$O$1,(((N435)+(N435)*$M$10)*$P$11)/1000,(((N435)+(N435)*O435+(N435)*$M$10)*$P$11)/1000),0)</f>
        <v>0</v>
      </c>
      <c r="AF435" s="136" t="str">
        <f t="shared" si="126"/>
        <v>FSC</v>
      </c>
      <c r="AG435" s="2628">
        <f t="shared" si="127"/>
        <v>1.2E-2</v>
      </c>
      <c r="AH435" s="1266">
        <v>0.1</v>
      </c>
    </row>
    <row r="436" spans="1:34" ht="12.75">
      <c r="A436" s="2199">
        <f t="shared" si="103"/>
        <v>424</v>
      </c>
      <c r="B436" s="2200" t="s">
        <v>3099</v>
      </c>
      <c r="C436" s="2743">
        <v>0</v>
      </c>
      <c r="D436" s="2743">
        <v>0</v>
      </c>
      <c r="E436" s="2949">
        <v>0.1</v>
      </c>
      <c r="F436" s="2200">
        <v>10</v>
      </c>
      <c r="G436" s="2200" t="s">
        <v>2038</v>
      </c>
      <c r="H436" s="2200" t="s">
        <v>1057</v>
      </c>
      <c r="I436" s="2742">
        <v>25</v>
      </c>
      <c r="J436" s="2742"/>
      <c r="K436" s="2752">
        <v>45</v>
      </c>
      <c r="L436" s="2745">
        <f t="shared" si="104"/>
        <v>0</v>
      </c>
      <c r="M436" s="2745">
        <f t="shared" si="120"/>
        <v>25</v>
      </c>
      <c r="N436" s="2745">
        <f t="shared" si="114"/>
        <v>10</v>
      </c>
      <c r="O436" s="1232">
        <f t="shared" si="115"/>
        <v>0.1</v>
      </c>
      <c r="P436" s="1227" t="str">
        <f t="shared" si="121"/>
        <v>230gsm IVORY ITC CYBER PREMIUM GC2</v>
      </c>
      <c r="Q436" s="254">
        <v>0.379</v>
      </c>
      <c r="R436" s="1228" t="str">
        <f t="shared" si="107"/>
        <v>230</v>
      </c>
      <c r="S436" s="2625">
        <f t="shared" si="122"/>
        <v>0</v>
      </c>
      <c r="T436" s="2747">
        <f>IF(L436&gt;0,IF(input!$B$2=$O$1,(((L436+Y436/22)+(L436+Y436/22)*$AG436+$X436)*$P$11+$M$7)/1000,(((L436+Y436/22)+(L436+Y436/22)*O436+(L436+Y436/22)*$AG436+$X436)*$P$11+$M$7)/1000),0)</f>
        <v>0</v>
      </c>
      <c r="U436" s="2747">
        <f t="shared" si="106"/>
        <v>0</v>
      </c>
      <c r="V436" s="1229"/>
      <c r="W436" s="1231" t="str">
        <f t="shared" si="123"/>
        <v>CIF</v>
      </c>
      <c r="X436" s="1230">
        <f t="shared" si="110"/>
        <v>0</v>
      </c>
      <c r="Y436" s="2625">
        <f t="shared" si="124"/>
        <v>0</v>
      </c>
      <c r="Z436" s="3208">
        <f t="shared" si="108"/>
        <v>838.18181818181813</v>
      </c>
      <c r="AA436" s="1220" t="s">
        <v>3120</v>
      </c>
      <c r="AB436" s="1220" t="s">
        <v>1395</v>
      </c>
      <c r="AC436" s="251" t="str">
        <f t="shared" si="125"/>
        <v>230gsm IVORY ITC CYBER PREMIUM GC2</v>
      </c>
      <c r="AD436" s="2746">
        <f>IF(L436&gt;0,IF(input!$B$2=$O$1,(((M436)+(M436)*$M$10)*$P$11)/1000,(((M436)+(M436)*O436+(M436)*$M$10)*$P$11)/1000),0)</f>
        <v>0</v>
      </c>
      <c r="AE436" s="2746">
        <f>IF(L436&gt;0,IF(input!$B$2=$O$1,(((N436)+(N436)*$M$10)*$P$11)/1000,(((N436)+(N436)*O436+(N436)*$M$10)*$P$11)/1000),0)</f>
        <v>0</v>
      </c>
      <c r="AF436" s="136" t="str">
        <f t="shared" si="126"/>
        <v>FSC</v>
      </c>
      <c r="AG436" s="2628">
        <f t="shared" si="127"/>
        <v>1.2E-2</v>
      </c>
      <c r="AH436" s="1266">
        <v>0.1</v>
      </c>
    </row>
    <row r="437" spans="1:34" ht="12.75">
      <c r="A437" s="2199">
        <f t="shared" si="103"/>
        <v>425</v>
      </c>
      <c r="B437" s="2200" t="s">
        <v>3100</v>
      </c>
      <c r="C437" s="2743">
        <v>0</v>
      </c>
      <c r="D437" s="2743">
        <v>0</v>
      </c>
      <c r="E437" s="2949">
        <v>0.1</v>
      </c>
      <c r="F437" s="2200">
        <v>10</v>
      </c>
      <c r="G437" s="2200" t="s">
        <v>2038</v>
      </c>
      <c r="H437" s="2200" t="s">
        <v>1057</v>
      </c>
      <c r="I437" s="2742">
        <v>25</v>
      </c>
      <c r="J437" s="2742"/>
      <c r="K437" s="2752">
        <v>45</v>
      </c>
      <c r="L437" s="2745">
        <f t="shared" si="104"/>
        <v>0</v>
      </c>
      <c r="M437" s="2745">
        <f t="shared" si="120"/>
        <v>25</v>
      </c>
      <c r="N437" s="2745">
        <f t="shared" si="114"/>
        <v>10</v>
      </c>
      <c r="O437" s="1232">
        <f t="shared" si="115"/>
        <v>0.1</v>
      </c>
      <c r="P437" s="1227" t="str">
        <f t="shared" si="121"/>
        <v>240gsm IVORY ITC CYBER PREMIUM GC2</v>
      </c>
      <c r="Q437" s="254">
        <v>0.39800000000000002</v>
      </c>
      <c r="R437" s="1228" t="str">
        <f t="shared" si="107"/>
        <v>240</v>
      </c>
      <c r="S437" s="2625">
        <f t="shared" si="122"/>
        <v>0</v>
      </c>
      <c r="T437" s="2747">
        <f>IF(L437&gt;0,IF(input!$B$2=$O$1,(((L437+Y437/22)+(L437+Y437/22)*$AG437+$X437)*$P$11+$M$7)/1000,(((L437+Y437/22)+(L437+Y437/22)*O437+(L437+Y437/22)*$AG437+$X437)*$P$11+$M$7)/1000),0)</f>
        <v>0</v>
      </c>
      <c r="U437" s="2747">
        <f t="shared" si="106"/>
        <v>0</v>
      </c>
      <c r="V437" s="1229"/>
      <c r="W437" s="1231" t="str">
        <f t="shared" si="123"/>
        <v>CIF</v>
      </c>
      <c r="X437" s="1230">
        <f t="shared" si="110"/>
        <v>0</v>
      </c>
      <c r="Y437" s="2625">
        <f t="shared" si="124"/>
        <v>0</v>
      </c>
      <c r="Z437" s="3208">
        <f t="shared" si="108"/>
        <v>838.18181818181813</v>
      </c>
      <c r="AA437" s="1220" t="s">
        <v>3120</v>
      </c>
      <c r="AB437" s="1220" t="s">
        <v>1395</v>
      </c>
      <c r="AC437" s="251" t="str">
        <f t="shared" si="125"/>
        <v>240gsm IVORY ITC CYBER PREMIUM GC2</v>
      </c>
      <c r="AD437" s="2746">
        <f>IF(L437&gt;0,IF(input!$B$2=$O$1,(((M437)+(M437)*$M$10)*$P$11)/1000,(((M437)+(M437)*O437+(M437)*$M$10)*$P$11)/1000),0)</f>
        <v>0</v>
      </c>
      <c r="AE437" s="2746">
        <f>IF(L437&gt;0,IF(input!$B$2=$O$1,(((N437)+(N437)*$M$10)*$P$11)/1000,(((N437)+(N437)*O437+(N437)*$M$10)*$P$11)/1000),0)</f>
        <v>0</v>
      </c>
      <c r="AF437" s="136" t="str">
        <f t="shared" si="126"/>
        <v>FSC</v>
      </c>
      <c r="AG437" s="2628">
        <f t="shared" si="127"/>
        <v>1.2E-2</v>
      </c>
      <c r="AH437" s="1266">
        <v>0.1</v>
      </c>
    </row>
    <row r="438" spans="1:34" ht="12.75">
      <c r="A438" s="2199">
        <f t="shared" si="103"/>
        <v>426</v>
      </c>
      <c r="B438" s="2200" t="s">
        <v>3101</v>
      </c>
      <c r="C438" s="2743">
        <v>0</v>
      </c>
      <c r="D438" s="2743">
        <v>0</v>
      </c>
      <c r="E438" s="2949">
        <v>0.1</v>
      </c>
      <c r="F438" s="2200">
        <v>10</v>
      </c>
      <c r="G438" s="2200" t="s">
        <v>2038</v>
      </c>
      <c r="H438" s="2200" t="s">
        <v>1057</v>
      </c>
      <c r="I438" s="2742">
        <v>25</v>
      </c>
      <c r="J438" s="2742"/>
      <c r="K438" s="2752">
        <v>45</v>
      </c>
      <c r="L438" s="2745">
        <f t="shared" si="104"/>
        <v>0</v>
      </c>
      <c r="M438" s="2745">
        <f t="shared" si="120"/>
        <v>25</v>
      </c>
      <c r="N438" s="2745">
        <f t="shared" si="114"/>
        <v>10</v>
      </c>
      <c r="O438" s="1232">
        <f t="shared" si="115"/>
        <v>0.1</v>
      </c>
      <c r="P438" s="1227" t="str">
        <f t="shared" si="121"/>
        <v>250gsm IVORY ITC CYBER PREMIUM GC2</v>
      </c>
      <c r="Q438" s="254">
        <v>0.41699999999999998</v>
      </c>
      <c r="R438" s="1228" t="str">
        <f t="shared" si="107"/>
        <v>250</v>
      </c>
      <c r="S438" s="2625">
        <f t="shared" si="122"/>
        <v>0</v>
      </c>
      <c r="T438" s="2747">
        <f>IF(L438&gt;0,IF(input!$B$2=$O$1,(((L438+Y438/22)+(L438+Y438/22)*$AG438+$X438)*$P$11+$M$7)/1000,(((L438+Y438/22)+(L438+Y438/22)*O438+(L438+Y438/22)*$AG438+$X438)*$P$11+$M$7)/1000),0)</f>
        <v>0</v>
      </c>
      <c r="U438" s="2747">
        <f t="shared" si="106"/>
        <v>0</v>
      </c>
      <c r="V438" s="1229"/>
      <c r="W438" s="1231" t="str">
        <f t="shared" si="123"/>
        <v>CIF</v>
      </c>
      <c r="X438" s="1230">
        <f t="shared" si="110"/>
        <v>0</v>
      </c>
      <c r="Y438" s="2625">
        <f t="shared" si="124"/>
        <v>0</v>
      </c>
      <c r="Z438" s="3208">
        <f t="shared" si="108"/>
        <v>838.18181818181813</v>
      </c>
      <c r="AA438" s="1220" t="s">
        <v>3120</v>
      </c>
      <c r="AB438" s="1220" t="s">
        <v>1395</v>
      </c>
      <c r="AC438" s="251" t="str">
        <f t="shared" si="125"/>
        <v>250gsm IVORY ITC CYBER PREMIUM GC2</v>
      </c>
      <c r="AD438" s="2746">
        <f>IF(L438&gt;0,IF(input!$B$2=$O$1,(((M438)+(M438)*$M$10)*$P$11)/1000,(((M438)+(M438)*O438+(M438)*$M$10)*$P$11)/1000),0)</f>
        <v>0</v>
      </c>
      <c r="AE438" s="2746">
        <f>IF(L438&gt;0,IF(input!$B$2=$O$1,(((N438)+(N438)*$M$10)*$P$11)/1000,(((N438)+(N438)*O438+(N438)*$M$10)*$P$11)/1000),0)</f>
        <v>0</v>
      </c>
      <c r="AF438" s="136" t="str">
        <f t="shared" si="126"/>
        <v>FSC</v>
      </c>
      <c r="AG438" s="2628">
        <f t="shared" si="127"/>
        <v>1.2E-2</v>
      </c>
      <c r="AH438" s="1266">
        <v>0.1</v>
      </c>
    </row>
    <row r="439" spans="1:34" ht="12.75">
      <c r="A439" s="2199">
        <f t="shared" si="103"/>
        <v>427</v>
      </c>
      <c r="B439" s="2200" t="s">
        <v>3102</v>
      </c>
      <c r="C439" s="2743">
        <v>0</v>
      </c>
      <c r="D439" s="2743">
        <v>0</v>
      </c>
      <c r="E439" s="2949">
        <v>0.1</v>
      </c>
      <c r="F439" s="2200">
        <v>10</v>
      </c>
      <c r="G439" s="2200" t="s">
        <v>2038</v>
      </c>
      <c r="H439" s="2200" t="s">
        <v>1057</v>
      </c>
      <c r="I439" s="2742">
        <v>25</v>
      </c>
      <c r="J439" s="2742"/>
      <c r="K439" s="2752">
        <v>45</v>
      </c>
      <c r="L439" s="2745">
        <f t="shared" si="104"/>
        <v>0</v>
      </c>
      <c r="M439" s="2745">
        <f t="shared" si="120"/>
        <v>25</v>
      </c>
      <c r="N439" s="2745">
        <f t="shared" si="114"/>
        <v>10</v>
      </c>
      <c r="O439" s="1232">
        <f t="shared" si="115"/>
        <v>0.1</v>
      </c>
      <c r="P439" s="1227" t="str">
        <f t="shared" si="121"/>
        <v>260gsm IVORY ITC CYBER PREMIUM GC2</v>
      </c>
      <c r="Q439" s="254">
        <v>0.437</v>
      </c>
      <c r="R439" s="1228" t="str">
        <f t="shared" si="107"/>
        <v>260</v>
      </c>
      <c r="S439" s="2625">
        <f t="shared" si="122"/>
        <v>0</v>
      </c>
      <c r="T439" s="2747">
        <f>IF(L439&gt;0,IF(input!$B$2=$O$1,(((L439+Y439/22)+(L439+Y439/22)*$AG439+$X439)*$P$11+$M$7)/1000,(((L439+Y439/22)+(L439+Y439/22)*O439+(L439+Y439/22)*$AG439+$X439)*$P$11+$M$7)/1000),0)</f>
        <v>0</v>
      </c>
      <c r="U439" s="2747">
        <f t="shared" si="106"/>
        <v>0</v>
      </c>
      <c r="V439" s="1229"/>
      <c r="W439" s="1231" t="str">
        <f t="shared" si="123"/>
        <v>CIF</v>
      </c>
      <c r="X439" s="1230">
        <f t="shared" si="110"/>
        <v>0</v>
      </c>
      <c r="Y439" s="2625">
        <f t="shared" si="124"/>
        <v>0</v>
      </c>
      <c r="Z439" s="3208">
        <f t="shared" si="108"/>
        <v>838.18181818181813</v>
      </c>
      <c r="AA439" s="1220" t="s">
        <v>3120</v>
      </c>
      <c r="AB439" s="1220" t="s">
        <v>1395</v>
      </c>
      <c r="AC439" s="251" t="str">
        <f t="shared" si="125"/>
        <v>260gsm IVORY ITC CYBER PREMIUM GC2</v>
      </c>
      <c r="AD439" s="2746">
        <f>IF(L439&gt;0,IF(input!$B$2=$O$1,(((M439)+(M439)*$M$10)*$P$11)/1000,(((M439)+(M439)*O439+(M439)*$M$10)*$P$11)/1000),0)</f>
        <v>0</v>
      </c>
      <c r="AE439" s="2746">
        <f>IF(L439&gt;0,IF(input!$B$2=$O$1,(((N439)+(N439)*$M$10)*$P$11)/1000,(((N439)+(N439)*O439+(N439)*$M$10)*$P$11)/1000),0)</f>
        <v>0</v>
      </c>
      <c r="AF439" s="136" t="str">
        <f t="shared" si="126"/>
        <v>FSC</v>
      </c>
      <c r="AG439" s="2628">
        <f t="shared" si="127"/>
        <v>1.2E-2</v>
      </c>
      <c r="AH439" s="1266">
        <v>0.1</v>
      </c>
    </row>
    <row r="440" spans="1:34" ht="12.75">
      <c r="A440" s="2199">
        <f t="shared" si="103"/>
        <v>428</v>
      </c>
      <c r="B440" s="2200" t="s">
        <v>3103</v>
      </c>
      <c r="C440" s="2743">
        <v>0</v>
      </c>
      <c r="D440" s="2743">
        <v>0</v>
      </c>
      <c r="E440" s="2949">
        <v>0.1</v>
      </c>
      <c r="F440" s="2200">
        <v>10</v>
      </c>
      <c r="G440" s="2200" t="s">
        <v>2038</v>
      </c>
      <c r="H440" s="2200" t="s">
        <v>1057</v>
      </c>
      <c r="I440" s="2742">
        <v>25</v>
      </c>
      <c r="J440" s="2742"/>
      <c r="K440" s="2752">
        <v>45</v>
      </c>
      <c r="L440" s="2745">
        <f t="shared" si="104"/>
        <v>0</v>
      </c>
      <c r="M440" s="2745">
        <f t="shared" si="120"/>
        <v>25</v>
      </c>
      <c r="N440" s="2745">
        <f t="shared" si="114"/>
        <v>10</v>
      </c>
      <c r="O440" s="1232">
        <f t="shared" si="115"/>
        <v>0.1</v>
      </c>
      <c r="P440" s="1227" t="str">
        <f t="shared" si="121"/>
        <v>270gsm IVORY ITC CYBER PREMIUM GC2</v>
      </c>
      <c r="Q440" s="254">
        <v>0.47</v>
      </c>
      <c r="R440" s="1228" t="str">
        <f t="shared" si="107"/>
        <v>270</v>
      </c>
      <c r="S440" s="2625">
        <f t="shared" si="122"/>
        <v>0</v>
      </c>
      <c r="T440" s="2747">
        <f>IF(L440&gt;0,IF(input!$B$2=$O$1,(((L440+Y440/22)+(L440+Y440/22)*$AG440+$X440)*$P$11+$M$7)/1000,(((L440+Y440/22)+(L440+Y440/22)*O440+(L440+Y440/22)*$AG440+$X440)*$P$11+$M$7)/1000),0)</f>
        <v>0</v>
      </c>
      <c r="U440" s="2747">
        <f t="shared" si="106"/>
        <v>0</v>
      </c>
      <c r="V440" s="1229"/>
      <c r="W440" s="1231" t="str">
        <f t="shared" si="123"/>
        <v>CIF</v>
      </c>
      <c r="X440" s="1230">
        <f t="shared" si="110"/>
        <v>0</v>
      </c>
      <c r="Y440" s="2625">
        <f t="shared" si="124"/>
        <v>0</v>
      </c>
      <c r="Z440" s="3208">
        <f t="shared" si="108"/>
        <v>838.18181818181813</v>
      </c>
      <c r="AA440" s="1220" t="s">
        <v>3120</v>
      </c>
      <c r="AB440" s="1220" t="s">
        <v>1395</v>
      </c>
      <c r="AC440" s="251" t="str">
        <f t="shared" si="125"/>
        <v>270gsm IVORY ITC CYBER PREMIUM GC2</v>
      </c>
      <c r="AD440" s="2746">
        <f>IF(L440&gt;0,IF(input!$B$2=$O$1,(((M440)+(M440)*$M$10)*$P$11)/1000,(((M440)+(M440)*O440+(M440)*$M$10)*$P$11)/1000),0)</f>
        <v>0</v>
      </c>
      <c r="AE440" s="2746">
        <f>IF(L440&gt;0,IF(input!$B$2=$O$1,(((N440)+(N440)*$M$10)*$P$11)/1000,(((N440)+(N440)*O440+(N440)*$M$10)*$P$11)/1000),0)</f>
        <v>0</v>
      </c>
      <c r="AF440" s="136" t="str">
        <f t="shared" si="126"/>
        <v>FSC</v>
      </c>
      <c r="AG440" s="2628">
        <f t="shared" si="127"/>
        <v>1.2E-2</v>
      </c>
      <c r="AH440" s="1266">
        <v>0.1</v>
      </c>
    </row>
    <row r="441" spans="1:34" ht="12.75">
      <c r="A441" s="2199">
        <f t="shared" si="103"/>
        <v>429</v>
      </c>
      <c r="B441" s="2200" t="s">
        <v>3104</v>
      </c>
      <c r="C441" s="2743">
        <v>0</v>
      </c>
      <c r="D441" s="2743">
        <v>0</v>
      </c>
      <c r="E441" s="2949">
        <v>0.1</v>
      </c>
      <c r="F441" s="2200">
        <v>10</v>
      </c>
      <c r="G441" s="2200" t="s">
        <v>2038</v>
      </c>
      <c r="H441" s="2200" t="s">
        <v>1057</v>
      </c>
      <c r="I441" s="2742">
        <v>25</v>
      </c>
      <c r="J441" s="2742"/>
      <c r="K441" s="2752">
        <v>45</v>
      </c>
      <c r="L441" s="2745">
        <f t="shared" si="104"/>
        <v>0</v>
      </c>
      <c r="M441" s="2745">
        <f t="shared" si="120"/>
        <v>25</v>
      </c>
      <c r="N441" s="2745">
        <f t="shared" si="114"/>
        <v>10</v>
      </c>
      <c r="O441" s="1232">
        <f t="shared" si="115"/>
        <v>0.1</v>
      </c>
      <c r="P441" s="1227" t="str">
        <f t="shared" si="121"/>
        <v>280gsm IVORY ITC CYBER PREMIUM GC2</v>
      </c>
      <c r="Q441" s="254">
        <v>0.49</v>
      </c>
      <c r="R441" s="1228" t="str">
        <f t="shared" si="107"/>
        <v>280</v>
      </c>
      <c r="S441" s="2625">
        <f t="shared" si="122"/>
        <v>0</v>
      </c>
      <c r="T441" s="2747">
        <f>IF(L441&gt;0,IF(input!$B$2=$O$1,(((L441+Y441/22)+(L441+Y441/22)*$AG441+$X441)*$P$11+$M$7)/1000,(((L441+Y441/22)+(L441+Y441/22)*O441+(L441+Y441/22)*$AG441+$X441)*$P$11+$M$7)/1000),0)</f>
        <v>0</v>
      </c>
      <c r="U441" s="2747">
        <f t="shared" si="106"/>
        <v>0</v>
      </c>
      <c r="V441" s="1229"/>
      <c r="W441" s="1231" t="str">
        <f t="shared" si="123"/>
        <v>CIF</v>
      </c>
      <c r="X441" s="1230">
        <f t="shared" si="110"/>
        <v>0</v>
      </c>
      <c r="Y441" s="2625">
        <f t="shared" si="124"/>
        <v>0</v>
      </c>
      <c r="Z441" s="3208">
        <f t="shared" si="108"/>
        <v>838.18181818181813</v>
      </c>
      <c r="AA441" s="1220" t="s">
        <v>3120</v>
      </c>
      <c r="AB441" s="1220" t="s">
        <v>1395</v>
      </c>
      <c r="AC441" s="251" t="str">
        <f t="shared" si="125"/>
        <v>280gsm IVORY ITC CYBER PREMIUM GC2</v>
      </c>
      <c r="AD441" s="2746">
        <f>IF(L441&gt;0,IF(input!$B$2=$O$1,(((M441)+(M441)*$M$10)*$P$11)/1000,(((M441)+(M441)*O441+(M441)*$M$10)*$P$11)/1000),0)</f>
        <v>0</v>
      </c>
      <c r="AE441" s="2746">
        <f>IF(L441&gt;0,IF(input!$B$2=$O$1,(((N441)+(N441)*$M$10)*$P$11)/1000,(((N441)+(N441)*O441+(N441)*$M$10)*$P$11)/1000),0)</f>
        <v>0</v>
      </c>
      <c r="AF441" s="136" t="str">
        <f t="shared" si="126"/>
        <v>FSC</v>
      </c>
      <c r="AG441" s="2628">
        <f t="shared" si="127"/>
        <v>1.2E-2</v>
      </c>
      <c r="AH441" s="1266">
        <v>0.1</v>
      </c>
    </row>
    <row r="442" spans="1:34" ht="12.75">
      <c r="A442" s="2199">
        <f t="shared" si="103"/>
        <v>430</v>
      </c>
      <c r="B442" s="2200" t="s">
        <v>3105</v>
      </c>
      <c r="C442" s="2743">
        <v>0</v>
      </c>
      <c r="D442" s="2743">
        <v>0</v>
      </c>
      <c r="E442" s="2949">
        <v>0.1</v>
      </c>
      <c r="F442" s="2200">
        <v>10</v>
      </c>
      <c r="G442" s="2200" t="s">
        <v>2038</v>
      </c>
      <c r="H442" s="2200" t="s">
        <v>1057</v>
      </c>
      <c r="I442" s="2742">
        <v>25</v>
      </c>
      <c r="J442" s="2742"/>
      <c r="K442" s="2752">
        <v>45</v>
      </c>
      <c r="L442" s="2745">
        <f t="shared" si="104"/>
        <v>0</v>
      </c>
      <c r="M442" s="2745">
        <f t="shared" si="120"/>
        <v>25</v>
      </c>
      <c r="N442" s="2745">
        <f t="shared" si="114"/>
        <v>10</v>
      </c>
      <c r="O442" s="1232">
        <f t="shared" si="115"/>
        <v>0.1</v>
      </c>
      <c r="P442" s="1227" t="str">
        <f t="shared" si="121"/>
        <v>290gsm IVORY ITC CYBER PREMIUM GC2</v>
      </c>
      <c r="Q442" s="254">
        <v>0.51</v>
      </c>
      <c r="R442" s="1228" t="str">
        <f t="shared" si="107"/>
        <v>290</v>
      </c>
      <c r="S442" s="2625">
        <f t="shared" si="122"/>
        <v>0</v>
      </c>
      <c r="T442" s="2747">
        <f>IF(L442&gt;0,IF(input!$B$2=$O$1,(((L442+Y442/22)+(L442+Y442/22)*$AG442+$X442)*$P$11+$M$7)/1000,(((L442+Y442/22)+(L442+Y442/22)*O442+(L442+Y442/22)*$AG442+$X442)*$P$11+$M$7)/1000),0)</f>
        <v>0</v>
      </c>
      <c r="U442" s="2747">
        <f t="shared" si="106"/>
        <v>0</v>
      </c>
      <c r="V442" s="1229"/>
      <c r="W442" s="1231" t="str">
        <f t="shared" si="123"/>
        <v>CIF</v>
      </c>
      <c r="X442" s="1230">
        <f t="shared" si="110"/>
        <v>0</v>
      </c>
      <c r="Y442" s="2625">
        <f t="shared" si="124"/>
        <v>0</v>
      </c>
      <c r="Z442" s="3208">
        <f t="shared" si="108"/>
        <v>838.18181818181813</v>
      </c>
      <c r="AA442" s="1220" t="s">
        <v>3120</v>
      </c>
      <c r="AB442" s="1220" t="s">
        <v>1395</v>
      </c>
      <c r="AC442" s="251" t="str">
        <f t="shared" si="125"/>
        <v>290gsm IVORY ITC CYBER PREMIUM GC2</v>
      </c>
      <c r="AD442" s="2746">
        <f>IF(L442&gt;0,IF(input!$B$2=$O$1,(((M442)+(M442)*$M$10)*$P$11)/1000,(((M442)+(M442)*O442+(M442)*$M$10)*$P$11)/1000),0)</f>
        <v>0</v>
      </c>
      <c r="AE442" s="2746">
        <f>IF(L442&gt;0,IF(input!$B$2=$O$1,(((N442)+(N442)*$M$10)*$P$11)/1000,(((N442)+(N442)*O442+(N442)*$M$10)*$P$11)/1000),0)</f>
        <v>0</v>
      </c>
      <c r="AF442" s="136" t="str">
        <f t="shared" si="126"/>
        <v>FSC</v>
      </c>
      <c r="AG442" s="2628">
        <f t="shared" si="127"/>
        <v>1.2E-2</v>
      </c>
      <c r="AH442" s="1266">
        <v>0.1</v>
      </c>
    </row>
    <row r="443" spans="1:34" ht="12.75">
      <c r="A443" s="2199">
        <f t="shared" si="103"/>
        <v>431</v>
      </c>
      <c r="B443" s="2200" t="s">
        <v>3106</v>
      </c>
      <c r="C443" s="2743">
        <v>0</v>
      </c>
      <c r="D443" s="2743">
        <v>0</v>
      </c>
      <c r="E443" s="2949">
        <v>0.1</v>
      </c>
      <c r="F443" s="2200">
        <v>10</v>
      </c>
      <c r="G443" s="2200" t="s">
        <v>2038</v>
      </c>
      <c r="H443" s="2200" t="s">
        <v>1057</v>
      </c>
      <c r="I443" s="2742">
        <v>25</v>
      </c>
      <c r="J443" s="2742"/>
      <c r="K443" s="2752">
        <v>45</v>
      </c>
      <c r="L443" s="2745">
        <f t="shared" si="104"/>
        <v>0</v>
      </c>
      <c r="M443" s="2745">
        <f t="shared" si="120"/>
        <v>25</v>
      </c>
      <c r="N443" s="2745">
        <f t="shared" si="114"/>
        <v>10</v>
      </c>
      <c r="O443" s="1232">
        <f t="shared" si="115"/>
        <v>0.1</v>
      </c>
      <c r="P443" s="1227" t="str">
        <f t="shared" si="121"/>
        <v>300gsm IVORY ITC CYBER PREMIUM GC2</v>
      </c>
      <c r="Q443" s="254">
        <v>0.53200000000000003</v>
      </c>
      <c r="R443" s="1228" t="str">
        <f t="shared" si="107"/>
        <v>300</v>
      </c>
      <c r="S443" s="2625">
        <f t="shared" si="122"/>
        <v>0</v>
      </c>
      <c r="T443" s="2747">
        <f>IF(L443&gt;0,IF(input!$B$2=$O$1,(((L443+Y443/22)+(L443+Y443/22)*$AG443+$X443)*$P$11+$M$7)/1000,(((L443+Y443/22)+(L443+Y443/22)*O443+(L443+Y443/22)*$AG443+$X443)*$P$11+$M$7)/1000),0)</f>
        <v>0</v>
      </c>
      <c r="U443" s="2747">
        <f t="shared" si="106"/>
        <v>0</v>
      </c>
      <c r="V443" s="1229"/>
      <c r="W443" s="1231" t="str">
        <f t="shared" si="123"/>
        <v>CIF</v>
      </c>
      <c r="X443" s="1230">
        <f t="shared" si="110"/>
        <v>0</v>
      </c>
      <c r="Y443" s="2625">
        <f t="shared" si="124"/>
        <v>0</v>
      </c>
      <c r="Z443" s="3208">
        <f t="shared" si="108"/>
        <v>838.18181818181813</v>
      </c>
      <c r="AA443" s="1220" t="s">
        <v>3120</v>
      </c>
      <c r="AB443" s="1220" t="s">
        <v>1395</v>
      </c>
      <c r="AC443" s="251" t="str">
        <f t="shared" si="125"/>
        <v>300gsm IVORY ITC CYBER PREMIUM GC2</v>
      </c>
      <c r="AD443" s="2746">
        <f>IF(L443&gt;0,IF(input!$B$2=$O$1,(((M443)+(M443)*$M$10)*$P$11)/1000,(((M443)+(M443)*O443+(M443)*$M$10)*$P$11)/1000),0)</f>
        <v>0</v>
      </c>
      <c r="AE443" s="2746">
        <f>IF(L443&gt;0,IF(input!$B$2=$O$1,(((N443)+(N443)*$M$10)*$P$11)/1000,(((N443)+(N443)*O443+(N443)*$M$10)*$P$11)/1000),0)</f>
        <v>0</v>
      </c>
      <c r="AF443" s="136" t="str">
        <f t="shared" si="126"/>
        <v>FSC</v>
      </c>
      <c r="AG443" s="2628">
        <f t="shared" si="127"/>
        <v>1.2E-2</v>
      </c>
      <c r="AH443" s="1266">
        <v>0.1</v>
      </c>
    </row>
    <row r="444" spans="1:34" ht="12.75">
      <c r="A444" s="2199">
        <f t="shared" si="103"/>
        <v>432</v>
      </c>
      <c r="B444" s="2200" t="s">
        <v>3107</v>
      </c>
      <c r="C444" s="2743">
        <v>0</v>
      </c>
      <c r="D444" s="2743">
        <v>0</v>
      </c>
      <c r="E444" s="2949">
        <v>0.1</v>
      </c>
      <c r="F444" s="2200">
        <v>10</v>
      </c>
      <c r="G444" s="2200" t="s">
        <v>2038</v>
      </c>
      <c r="H444" s="2200" t="s">
        <v>1057</v>
      </c>
      <c r="I444" s="2742">
        <v>25</v>
      </c>
      <c r="J444" s="2742"/>
      <c r="K444" s="2752">
        <v>45</v>
      </c>
      <c r="L444" s="2745">
        <f t="shared" si="104"/>
        <v>0</v>
      </c>
      <c r="M444" s="2745">
        <f t="shared" si="120"/>
        <v>25</v>
      </c>
      <c r="N444" s="2745">
        <f t="shared" si="114"/>
        <v>10</v>
      </c>
      <c r="O444" s="1232">
        <f t="shared" si="115"/>
        <v>0.1</v>
      </c>
      <c r="P444" s="1227" t="str">
        <f t="shared" si="121"/>
        <v>310gsm IVORY ITC CYBER PREMIUM GC2</v>
      </c>
      <c r="Q444" s="254">
        <v>0.55300000000000005</v>
      </c>
      <c r="R444" s="1228" t="str">
        <f t="shared" si="107"/>
        <v>310</v>
      </c>
      <c r="S444" s="2625">
        <f t="shared" si="122"/>
        <v>0</v>
      </c>
      <c r="T444" s="2747">
        <f>IF(L444&gt;0,IF(input!$B$2=$O$1,(((L444+Y444/22)+(L444+Y444/22)*$AG444+$X444)*$P$11+$M$7)/1000,(((L444+Y444/22)+(L444+Y444/22)*O444+(L444+Y444/22)*$AG444+$X444)*$P$11+$M$7)/1000),0)</f>
        <v>0</v>
      </c>
      <c r="U444" s="2747">
        <f t="shared" si="106"/>
        <v>0</v>
      </c>
      <c r="V444" s="1229"/>
      <c r="W444" s="1231" t="str">
        <f t="shared" si="123"/>
        <v>CIF</v>
      </c>
      <c r="X444" s="1230">
        <f t="shared" si="110"/>
        <v>0</v>
      </c>
      <c r="Y444" s="2625">
        <f t="shared" si="124"/>
        <v>0</v>
      </c>
      <c r="Z444" s="3208">
        <f t="shared" si="108"/>
        <v>838.18181818181813</v>
      </c>
      <c r="AA444" s="1220" t="s">
        <v>3120</v>
      </c>
      <c r="AB444" s="1220" t="s">
        <v>1395</v>
      </c>
      <c r="AC444" s="251" t="str">
        <f t="shared" si="125"/>
        <v>310gsm IVORY ITC CYBER PREMIUM GC2</v>
      </c>
      <c r="AD444" s="2746">
        <f>IF(L444&gt;0,IF(input!$B$2=$O$1,(((M444)+(M444)*$M$10)*$P$11)/1000,(((M444)+(M444)*O444+(M444)*$M$10)*$P$11)/1000),0)</f>
        <v>0</v>
      </c>
      <c r="AE444" s="2746">
        <f>IF(L444&gt;0,IF(input!$B$2=$O$1,(((N444)+(N444)*$M$10)*$P$11)/1000,(((N444)+(N444)*O444+(N444)*$M$10)*$P$11)/1000),0)</f>
        <v>0</v>
      </c>
      <c r="AF444" s="136" t="str">
        <f t="shared" si="126"/>
        <v>FSC</v>
      </c>
      <c r="AG444" s="2628">
        <f t="shared" si="127"/>
        <v>1.2E-2</v>
      </c>
      <c r="AH444" s="1266">
        <v>0.1</v>
      </c>
    </row>
    <row r="445" spans="1:34" ht="12.75">
      <c r="A445" s="2199">
        <f t="shared" si="103"/>
        <v>433</v>
      </c>
      <c r="B445" s="2200" t="s">
        <v>3108</v>
      </c>
      <c r="C445" s="2743">
        <v>0</v>
      </c>
      <c r="D445" s="2743">
        <v>0</v>
      </c>
      <c r="E445" s="2949">
        <v>0.1</v>
      </c>
      <c r="F445" s="2200">
        <v>10</v>
      </c>
      <c r="G445" s="2200" t="s">
        <v>2038</v>
      </c>
      <c r="H445" s="2200" t="s">
        <v>1057</v>
      </c>
      <c r="I445" s="2742">
        <v>25</v>
      </c>
      <c r="J445" s="2742"/>
      <c r="K445" s="2752">
        <v>45</v>
      </c>
      <c r="L445" s="2745">
        <f t="shared" si="104"/>
        <v>0</v>
      </c>
      <c r="M445" s="2745">
        <f t="shared" si="120"/>
        <v>25</v>
      </c>
      <c r="N445" s="2745">
        <f t="shared" si="114"/>
        <v>10</v>
      </c>
      <c r="O445" s="1232">
        <f t="shared" si="115"/>
        <v>0.1</v>
      </c>
      <c r="P445" s="1227" t="str">
        <f t="shared" si="121"/>
        <v>320gsm IVORY ITC CYBER PREMIUM GC2</v>
      </c>
      <c r="Q445" s="254">
        <v>0.57099999999999995</v>
      </c>
      <c r="R445" s="1228" t="str">
        <f t="shared" si="107"/>
        <v>320</v>
      </c>
      <c r="S445" s="2625">
        <f t="shared" si="122"/>
        <v>0</v>
      </c>
      <c r="T445" s="2747">
        <f>IF(L445&gt;0,IF(input!$B$2=$O$1,(((L445+Y445/22)+(L445+Y445/22)*$AG445+$X445)*$P$11+$M$7)/1000,(((L445+Y445/22)+(L445+Y445/22)*O445+(L445+Y445/22)*$AG445+$X445)*$P$11+$M$7)/1000),0)</f>
        <v>0</v>
      </c>
      <c r="U445" s="2747">
        <f t="shared" si="106"/>
        <v>0</v>
      </c>
      <c r="V445" s="1229"/>
      <c r="W445" s="1231" t="str">
        <f t="shared" si="123"/>
        <v>CIF</v>
      </c>
      <c r="X445" s="1230">
        <f t="shared" si="110"/>
        <v>0</v>
      </c>
      <c r="Y445" s="2625">
        <f t="shared" si="124"/>
        <v>0</v>
      </c>
      <c r="Z445" s="3208">
        <f t="shared" si="108"/>
        <v>838.18181818181813</v>
      </c>
      <c r="AA445" s="1220" t="s">
        <v>3120</v>
      </c>
      <c r="AB445" s="1220" t="s">
        <v>1395</v>
      </c>
      <c r="AC445" s="251" t="str">
        <f t="shared" si="125"/>
        <v>320gsm IVORY ITC CYBER PREMIUM GC2</v>
      </c>
      <c r="AD445" s="2746">
        <f>IF(L445&gt;0,IF(input!$B$2=$O$1,(((M445)+(M445)*$M$10)*$P$11)/1000,(((M445)+(M445)*O445+(M445)*$M$10)*$P$11)/1000),0)</f>
        <v>0</v>
      </c>
      <c r="AE445" s="2746">
        <f>IF(L445&gt;0,IF(input!$B$2=$O$1,(((N445)+(N445)*$M$10)*$P$11)/1000,(((N445)+(N445)*O445+(N445)*$M$10)*$P$11)/1000),0)</f>
        <v>0</v>
      </c>
      <c r="AF445" s="136" t="str">
        <f t="shared" si="126"/>
        <v>FSC</v>
      </c>
      <c r="AG445" s="2628">
        <f t="shared" si="127"/>
        <v>1.2E-2</v>
      </c>
      <c r="AH445" s="1266">
        <v>0.1</v>
      </c>
    </row>
    <row r="446" spans="1:34" ht="12.75">
      <c r="A446" s="2199">
        <f t="shared" si="103"/>
        <v>434</v>
      </c>
      <c r="B446" s="2200" t="s">
        <v>3109</v>
      </c>
      <c r="C446" s="2743">
        <v>0</v>
      </c>
      <c r="D446" s="2743">
        <v>0</v>
      </c>
      <c r="E446" s="2949">
        <v>0.1</v>
      </c>
      <c r="F446" s="2200">
        <v>10</v>
      </c>
      <c r="G446" s="2200" t="s">
        <v>2038</v>
      </c>
      <c r="H446" s="2200" t="s">
        <v>1057</v>
      </c>
      <c r="I446" s="2742">
        <v>25</v>
      </c>
      <c r="J446" s="2742"/>
      <c r="K446" s="2752">
        <v>45</v>
      </c>
      <c r="L446" s="2745">
        <f t="shared" si="104"/>
        <v>0</v>
      </c>
      <c r="M446" s="2745">
        <f t="shared" si="120"/>
        <v>25</v>
      </c>
      <c r="N446" s="2745">
        <f t="shared" si="114"/>
        <v>10</v>
      </c>
      <c r="O446" s="1232">
        <f t="shared" si="115"/>
        <v>0.1</v>
      </c>
      <c r="P446" s="1227" t="str">
        <f t="shared" si="121"/>
        <v>330gsm IVORY ITC CYBER PREMIUM GC2</v>
      </c>
      <c r="Q446" s="254">
        <v>0.59199999999999997</v>
      </c>
      <c r="R446" s="1228" t="str">
        <f t="shared" si="107"/>
        <v>330</v>
      </c>
      <c r="S446" s="2625">
        <f t="shared" si="122"/>
        <v>0</v>
      </c>
      <c r="T446" s="2747">
        <f>IF(L446&gt;0,IF(input!$B$2=$O$1,(((L446+Y446/22)+(L446+Y446/22)*$AG446+$X446)*$P$11+$M$7)/1000,(((L446+Y446/22)+(L446+Y446/22)*O446+(L446+Y446/22)*$AG446+$X446)*$P$11+$M$7)/1000),0)</f>
        <v>0</v>
      </c>
      <c r="U446" s="2747">
        <f t="shared" si="106"/>
        <v>0</v>
      </c>
      <c r="V446" s="1229"/>
      <c r="W446" s="1231" t="str">
        <f t="shared" si="123"/>
        <v>CIF</v>
      </c>
      <c r="X446" s="1230">
        <f t="shared" si="110"/>
        <v>0</v>
      </c>
      <c r="Y446" s="2625">
        <f t="shared" si="124"/>
        <v>0</v>
      </c>
      <c r="Z446" s="3208">
        <f t="shared" si="108"/>
        <v>838.18181818181813</v>
      </c>
      <c r="AA446" s="1220" t="s">
        <v>3120</v>
      </c>
      <c r="AB446" s="1220" t="s">
        <v>1395</v>
      </c>
      <c r="AC446" s="251" t="str">
        <f t="shared" si="125"/>
        <v>330gsm IVORY ITC CYBER PREMIUM GC2</v>
      </c>
      <c r="AD446" s="2746">
        <f>IF(L446&gt;0,IF(input!$B$2=$O$1,(((M446)+(M446)*$M$10)*$P$11)/1000,(((M446)+(M446)*O446+(M446)*$M$10)*$P$11)/1000),0)</f>
        <v>0</v>
      </c>
      <c r="AE446" s="2746">
        <f>IF(L446&gt;0,IF(input!$B$2=$O$1,(((N446)+(N446)*$M$10)*$P$11)/1000,(((N446)+(N446)*O446+(N446)*$M$10)*$P$11)/1000),0)</f>
        <v>0</v>
      </c>
      <c r="AF446" s="136" t="str">
        <f t="shared" si="126"/>
        <v>FSC</v>
      </c>
      <c r="AG446" s="2628">
        <f t="shared" si="127"/>
        <v>1.2E-2</v>
      </c>
      <c r="AH446" s="1266">
        <v>0.1</v>
      </c>
    </row>
    <row r="447" spans="1:34" ht="12.75">
      <c r="A447" s="2199">
        <f t="shared" si="103"/>
        <v>435</v>
      </c>
      <c r="B447" s="2200" t="s">
        <v>3110</v>
      </c>
      <c r="C447" s="2743">
        <v>0</v>
      </c>
      <c r="D447" s="2743">
        <v>0</v>
      </c>
      <c r="E447" s="2949">
        <v>0.1</v>
      </c>
      <c r="F447" s="2200">
        <v>10</v>
      </c>
      <c r="G447" s="2200" t="s">
        <v>2038</v>
      </c>
      <c r="H447" s="2200" t="s">
        <v>1057</v>
      </c>
      <c r="I447" s="2742">
        <v>25</v>
      </c>
      <c r="J447" s="2742"/>
      <c r="K447" s="2752">
        <v>45</v>
      </c>
      <c r="L447" s="2745">
        <f t="shared" si="104"/>
        <v>0</v>
      </c>
      <c r="M447" s="2745">
        <f t="shared" si="120"/>
        <v>25</v>
      </c>
      <c r="N447" s="2745">
        <f t="shared" si="114"/>
        <v>10</v>
      </c>
      <c r="O447" s="1232">
        <f t="shared" si="115"/>
        <v>0.1</v>
      </c>
      <c r="P447" s="1227" t="str">
        <f t="shared" si="121"/>
        <v>340gsm IVORY ITC CYBER PREMIUM GC2</v>
      </c>
      <c r="Q447" s="254">
        <v>0.61</v>
      </c>
      <c r="R447" s="1228" t="str">
        <f t="shared" si="107"/>
        <v>340</v>
      </c>
      <c r="S447" s="2625">
        <f t="shared" si="122"/>
        <v>0</v>
      </c>
      <c r="T447" s="2747">
        <f>IF(L447&gt;0,IF(input!$B$2=$O$1,(((L447+Y447/22)+(L447+Y447/22)*$AG447+$X447)*$P$11+$M$7)/1000,(((L447+Y447/22)+(L447+Y447/22)*O447+(L447+Y447/22)*$AG447+$X447)*$P$11+$M$7)/1000),0)</f>
        <v>0</v>
      </c>
      <c r="U447" s="2747">
        <f t="shared" si="106"/>
        <v>0</v>
      </c>
      <c r="V447" s="1229"/>
      <c r="W447" s="1231" t="str">
        <f t="shared" si="123"/>
        <v>CIF</v>
      </c>
      <c r="X447" s="1230">
        <f t="shared" si="110"/>
        <v>0</v>
      </c>
      <c r="Y447" s="2625">
        <f t="shared" si="124"/>
        <v>0</v>
      </c>
      <c r="Z447" s="3208">
        <f t="shared" si="108"/>
        <v>838.18181818181813</v>
      </c>
      <c r="AA447" s="1220" t="s">
        <v>3120</v>
      </c>
      <c r="AB447" s="1220" t="s">
        <v>1395</v>
      </c>
      <c r="AC447" s="251" t="str">
        <f t="shared" si="125"/>
        <v>340gsm IVORY ITC CYBER PREMIUM GC2</v>
      </c>
      <c r="AD447" s="2746">
        <f>IF(L447&gt;0,IF(input!$B$2=$O$1,(((M447)+(M447)*$M$10)*$P$11)/1000,(((M447)+(M447)*O447+(M447)*$M$10)*$P$11)/1000),0)</f>
        <v>0</v>
      </c>
      <c r="AE447" s="2746">
        <f>IF(L447&gt;0,IF(input!$B$2=$O$1,(((N447)+(N447)*$M$10)*$P$11)/1000,(((N447)+(N447)*O447+(N447)*$M$10)*$P$11)/1000),0)</f>
        <v>0</v>
      </c>
      <c r="AF447" s="136" t="str">
        <f t="shared" si="126"/>
        <v>FSC</v>
      </c>
      <c r="AG447" s="2628">
        <f t="shared" si="127"/>
        <v>1.2E-2</v>
      </c>
      <c r="AH447" s="1266">
        <v>0.1</v>
      </c>
    </row>
    <row r="448" spans="1:34" ht="12.75">
      <c r="A448" s="2199">
        <f t="shared" si="103"/>
        <v>436</v>
      </c>
      <c r="B448" s="2200" t="s">
        <v>3111</v>
      </c>
      <c r="C448" s="2743">
        <v>0</v>
      </c>
      <c r="D448" s="2743">
        <v>0</v>
      </c>
      <c r="E448" s="2949">
        <v>0.1</v>
      </c>
      <c r="F448" s="2200">
        <v>10</v>
      </c>
      <c r="G448" s="2200" t="s">
        <v>2038</v>
      </c>
      <c r="H448" s="2200" t="s">
        <v>1057</v>
      </c>
      <c r="I448" s="2742">
        <v>25</v>
      </c>
      <c r="J448" s="2742"/>
      <c r="K448" s="2752">
        <v>45</v>
      </c>
      <c r="L448" s="2745">
        <f t="shared" si="104"/>
        <v>0</v>
      </c>
      <c r="M448" s="2745">
        <f t="shared" si="120"/>
        <v>25</v>
      </c>
      <c r="N448" s="2745">
        <f t="shared" si="114"/>
        <v>10</v>
      </c>
      <c r="O448" s="1232">
        <f t="shared" si="115"/>
        <v>0.1</v>
      </c>
      <c r="P448" s="1227" t="str">
        <f t="shared" si="121"/>
        <v>350gsm IVORY ITC CYBER PREMIUM GC2</v>
      </c>
      <c r="Q448" s="254">
        <v>0.63100000000000001</v>
      </c>
      <c r="R448" s="1228" t="str">
        <f t="shared" si="107"/>
        <v>350</v>
      </c>
      <c r="S448" s="2625">
        <f t="shared" si="122"/>
        <v>0</v>
      </c>
      <c r="T448" s="2747">
        <f>IF(L448&gt;0,IF(input!$B$2=$O$1,(((L448+Y448/22)+(L448+Y448/22)*$AG448+$X448)*$P$11+$M$7)/1000,(((L448+Y448/22)+(L448+Y448/22)*O448+(L448+Y448/22)*$AG448+$X448)*$P$11+$M$7)/1000),0)</f>
        <v>0</v>
      </c>
      <c r="U448" s="2747">
        <f t="shared" si="106"/>
        <v>0</v>
      </c>
      <c r="V448" s="1229"/>
      <c r="W448" s="1231" t="str">
        <f t="shared" si="123"/>
        <v>CIF</v>
      </c>
      <c r="X448" s="1230">
        <f t="shared" si="110"/>
        <v>0</v>
      </c>
      <c r="Y448" s="2625">
        <f t="shared" si="124"/>
        <v>0</v>
      </c>
      <c r="Z448" s="3208">
        <f t="shared" si="108"/>
        <v>838.18181818181813</v>
      </c>
      <c r="AA448" s="1220" t="s">
        <v>3120</v>
      </c>
      <c r="AB448" s="1220" t="s">
        <v>1395</v>
      </c>
      <c r="AC448" s="251" t="str">
        <f t="shared" si="125"/>
        <v>350gsm IVORY ITC CYBER PREMIUM GC2</v>
      </c>
      <c r="AD448" s="2746">
        <f>IF(L448&gt;0,IF(input!$B$2=$O$1,(((M448)+(M448)*$M$10)*$P$11)/1000,(((M448)+(M448)*O448+(M448)*$M$10)*$P$11)/1000),0)</f>
        <v>0</v>
      </c>
      <c r="AE448" s="2746">
        <f>IF(L448&gt;0,IF(input!$B$2=$O$1,(((N448)+(N448)*$M$10)*$P$11)/1000,(((N448)+(N448)*O448+(N448)*$M$10)*$P$11)/1000),0)</f>
        <v>0</v>
      </c>
      <c r="AF448" s="136" t="str">
        <f t="shared" si="126"/>
        <v>FSC</v>
      </c>
      <c r="AG448" s="2628">
        <f t="shared" si="127"/>
        <v>1.2E-2</v>
      </c>
      <c r="AH448" s="1266">
        <v>0.1</v>
      </c>
    </row>
    <row r="449" spans="1:34" ht="12.75">
      <c r="A449" s="2199">
        <f t="shared" si="103"/>
        <v>437</v>
      </c>
      <c r="B449" s="2200" t="s">
        <v>3112</v>
      </c>
      <c r="C449" s="2743">
        <v>0</v>
      </c>
      <c r="D449" s="2743">
        <v>0</v>
      </c>
      <c r="E449" s="2949">
        <v>0.1</v>
      </c>
      <c r="F449" s="2200">
        <v>10</v>
      </c>
      <c r="G449" s="2200" t="s">
        <v>2038</v>
      </c>
      <c r="H449" s="2200" t="s">
        <v>1057</v>
      </c>
      <c r="I449" s="2742">
        <v>25</v>
      </c>
      <c r="J449" s="2742"/>
      <c r="K449" s="2752">
        <v>45</v>
      </c>
      <c r="L449" s="2745">
        <f t="shared" si="104"/>
        <v>0</v>
      </c>
      <c r="M449" s="2745">
        <f t="shared" si="120"/>
        <v>25</v>
      </c>
      <c r="N449" s="2745">
        <f t="shared" si="114"/>
        <v>10</v>
      </c>
      <c r="O449" s="1232">
        <f t="shared" si="115"/>
        <v>0.1</v>
      </c>
      <c r="P449" s="1227" t="str">
        <f t="shared" si="121"/>
        <v>360gsm IVORY ITC CYBER PREMIUM GC2</v>
      </c>
      <c r="Q449" s="254">
        <v>0.64800000000000002</v>
      </c>
      <c r="R449" s="1228" t="str">
        <f t="shared" si="107"/>
        <v>360</v>
      </c>
      <c r="S449" s="2625">
        <f t="shared" si="122"/>
        <v>0</v>
      </c>
      <c r="T449" s="2747">
        <f>IF(L449&gt;0,IF(input!$B$2=$O$1,(((L449+Y449/22)+(L449+Y449/22)*$AG449+$X449)*$P$11+$M$7)/1000,(((L449+Y449/22)+(L449+Y449/22)*O449+(L449+Y449/22)*$AG449+$X449)*$P$11+$M$7)/1000),0)</f>
        <v>0</v>
      </c>
      <c r="U449" s="2747">
        <f t="shared" si="106"/>
        <v>0</v>
      </c>
      <c r="V449" s="1229"/>
      <c r="W449" s="1231" t="str">
        <f t="shared" si="123"/>
        <v>CIF</v>
      </c>
      <c r="X449" s="1230">
        <f t="shared" si="110"/>
        <v>0</v>
      </c>
      <c r="Y449" s="2625">
        <f t="shared" si="124"/>
        <v>0</v>
      </c>
      <c r="Z449" s="3208">
        <f t="shared" si="108"/>
        <v>838.18181818181813</v>
      </c>
      <c r="AA449" s="1220" t="s">
        <v>3120</v>
      </c>
      <c r="AB449" s="1220" t="s">
        <v>1395</v>
      </c>
      <c r="AC449" s="251" t="str">
        <f t="shared" si="125"/>
        <v>360gsm IVORY ITC CYBER PREMIUM GC2</v>
      </c>
      <c r="AD449" s="2746">
        <f>IF(L449&gt;0,IF(input!$B$2=$O$1,(((M449)+(M449)*$M$10)*$P$11)/1000,(((M449)+(M449)*O449+(M449)*$M$10)*$P$11)/1000),0)</f>
        <v>0</v>
      </c>
      <c r="AE449" s="2746">
        <f>IF(L449&gt;0,IF(input!$B$2=$O$1,(((N449)+(N449)*$M$10)*$P$11)/1000,(((N449)+(N449)*O449+(N449)*$M$10)*$P$11)/1000),0)</f>
        <v>0</v>
      </c>
      <c r="AF449" s="136" t="str">
        <f t="shared" si="126"/>
        <v>FSC</v>
      </c>
      <c r="AG449" s="2628">
        <f t="shared" si="127"/>
        <v>1.2E-2</v>
      </c>
      <c r="AH449" s="1266">
        <v>0.1</v>
      </c>
    </row>
    <row r="450" spans="1:34" ht="12.75">
      <c r="A450" s="2199">
        <f t="shared" si="103"/>
        <v>438</v>
      </c>
      <c r="B450" s="2200" t="s">
        <v>3113</v>
      </c>
      <c r="C450" s="2743">
        <v>0</v>
      </c>
      <c r="D450" s="2743">
        <v>0</v>
      </c>
      <c r="E450" s="2949">
        <v>0.1</v>
      </c>
      <c r="F450" s="2200">
        <v>10</v>
      </c>
      <c r="G450" s="2200" t="s">
        <v>2038</v>
      </c>
      <c r="H450" s="2200" t="s">
        <v>1057</v>
      </c>
      <c r="I450" s="2742">
        <v>25</v>
      </c>
      <c r="J450" s="2742"/>
      <c r="K450" s="2752">
        <v>45</v>
      </c>
      <c r="L450" s="2745">
        <f t="shared" si="104"/>
        <v>0</v>
      </c>
      <c r="M450" s="2745">
        <f t="shared" si="120"/>
        <v>25</v>
      </c>
      <c r="N450" s="2745">
        <f t="shared" si="114"/>
        <v>10</v>
      </c>
      <c r="O450" s="1232">
        <f t="shared" si="115"/>
        <v>0.1</v>
      </c>
      <c r="P450" s="1227" t="str">
        <f t="shared" si="121"/>
        <v>370gsm IVORY ITC CYBER PREMIUM GC2</v>
      </c>
      <c r="Q450" s="254">
        <v>0.66600000000000004</v>
      </c>
      <c r="R450" s="1228" t="str">
        <f t="shared" si="107"/>
        <v>370</v>
      </c>
      <c r="S450" s="2625">
        <f t="shared" si="122"/>
        <v>0</v>
      </c>
      <c r="T450" s="2747">
        <f>IF(L450&gt;0,IF(input!$B$2=$O$1,(((L450+Y450/22)+(L450+Y450/22)*$AG450+$X450)*$P$11+$M$7)/1000,(((L450+Y450/22)+(L450+Y450/22)*O450+(L450+Y450/22)*$AG450+$X450)*$P$11+$M$7)/1000),0)</f>
        <v>0</v>
      </c>
      <c r="U450" s="2747">
        <f t="shared" si="106"/>
        <v>0</v>
      </c>
      <c r="V450" s="1229"/>
      <c r="W450" s="1231" t="str">
        <f t="shared" si="123"/>
        <v>CIF</v>
      </c>
      <c r="X450" s="1230">
        <f t="shared" si="110"/>
        <v>0</v>
      </c>
      <c r="Y450" s="2625">
        <f t="shared" si="124"/>
        <v>0</v>
      </c>
      <c r="Z450" s="3208">
        <f t="shared" si="108"/>
        <v>838.18181818181813</v>
      </c>
      <c r="AA450" s="1220" t="s">
        <v>3120</v>
      </c>
      <c r="AB450" s="1220" t="s">
        <v>1395</v>
      </c>
      <c r="AC450" s="251" t="str">
        <f t="shared" si="125"/>
        <v>370gsm IVORY ITC CYBER PREMIUM GC2</v>
      </c>
      <c r="AD450" s="2746">
        <f>IF(L450&gt;0,IF(input!$B$2=$O$1,(((M450)+(M450)*$M$10)*$P$11)/1000,(((M450)+(M450)*O450+(M450)*$M$10)*$P$11)/1000),0)</f>
        <v>0</v>
      </c>
      <c r="AE450" s="2746">
        <f>IF(L450&gt;0,IF(input!$B$2=$O$1,(((N450)+(N450)*$M$10)*$P$11)/1000,(((N450)+(N450)*O450+(N450)*$M$10)*$P$11)/1000),0)</f>
        <v>0</v>
      </c>
      <c r="AF450" s="136" t="str">
        <f t="shared" si="126"/>
        <v>FSC</v>
      </c>
      <c r="AG450" s="2628">
        <f t="shared" si="127"/>
        <v>1.2E-2</v>
      </c>
      <c r="AH450" s="1266">
        <v>0.1</v>
      </c>
    </row>
    <row r="451" spans="1:34" ht="12.75">
      <c r="A451" s="2199">
        <f t="shared" si="103"/>
        <v>439</v>
      </c>
      <c r="B451" s="2200" t="s">
        <v>3114</v>
      </c>
      <c r="C451" s="2743">
        <v>0</v>
      </c>
      <c r="D451" s="2743">
        <v>0</v>
      </c>
      <c r="E451" s="2949">
        <v>0.1</v>
      </c>
      <c r="F451" s="2200">
        <v>10</v>
      </c>
      <c r="G451" s="2200" t="s">
        <v>2038</v>
      </c>
      <c r="H451" s="2200" t="s">
        <v>1057</v>
      </c>
      <c r="I451" s="2742">
        <v>25</v>
      </c>
      <c r="J451" s="2742"/>
      <c r="K451" s="2752">
        <v>45</v>
      </c>
      <c r="L451" s="2745">
        <f t="shared" si="104"/>
        <v>0</v>
      </c>
      <c r="M451" s="2745">
        <f t="shared" si="120"/>
        <v>25</v>
      </c>
      <c r="N451" s="2745">
        <f t="shared" si="114"/>
        <v>10</v>
      </c>
      <c r="O451" s="1232">
        <f t="shared" si="115"/>
        <v>0.1</v>
      </c>
      <c r="P451" s="1227" t="str">
        <f t="shared" si="121"/>
        <v>380gsm IVORY ITC CYBER PREMIUM GC2</v>
      </c>
      <c r="Q451" s="254">
        <v>0.68400000000000005</v>
      </c>
      <c r="R451" s="1228" t="str">
        <f t="shared" si="107"/>
        <v>380</v>
      </c>
      <c r="S451" s="2625">
        <f t="shared" si="122"/>
        <v>0</v>
      </c>
      <c r="T451" s="2747">
        <f>IF(L451&gt;0,IF(input!$B$2=$O$1,(((L451+Y451/22)+(L451+Y451/22)*$AG451+$X451)*$P$11+$M$7)/1000,(((L451+Y451/22)+(L451+Y451/22)*O451+(L451+Y451/22)*$AG451+$X451)*$P$11+$M$7)/1000),0)</f>
        <v>0</v>
      </c>
      <c r="U451" s="2747">
        <f t="shared" si="106"/>
        <v>0</v>
      </c>
      <c r="V451" s="1229"/>
      <c r="W451" s="1231" t="str">
        <f t="shared" si="123"/>
        <v>CIF</v>
      </c>
      <c r="X451" s="1230">
        <f t="shared" si="110"/>
        <v>0</v>
      </c>
      <c r="Y451" s="2625">
        <f t="shared" si="124"/>
        <v>0</v>
      </c>
      <c r="Z451" s="3208">
        <f t="shared" si="108"/>
        <v>838.18181818181813</v>
      </c>
      <c r="AA451" s="1220" t="s">
        <v>3120</v>
      </c>
      <c r="AB451" s="1220" t="s">
        <v>1395</v>
      </c>
      <c r="AC451" s="251" t="str">
        <f t="shared" si="125"/>
        <v>380gsm IVORY ITC CYBER PREMIUM GC2</v>
      </c>
      <c r="AD451" s="2746">
        <f>IF(L451&gt;0,IF(input!$B$2=$O$1,(((M451)+(M451)*$M$10)*$P$11)/1000,(((M451)+(M451)*O451+(M451)*$M$10)*$P$11)/1000),0)</f>
        <v>0</v>
      </c>
      <c r="AE451" s="2746">
        <f>IF(L451&gt;0,IF(input!$B$2=$O$1,(((N451)+(N451)*$M$10)*$P$11)/1000,(((N451)+(N451)*O451+(N451)*$M$10)*$P$11)/1000),0)</f>
        <v>0</v>
      </c>
      <c r="AF451" s="136" t="str">
        <f t="shared" si="126"/>
        <v>FSC</v>
      </c>
      <c r="AG451" s="2628">
        <f t="shared" si="127"/>
        <v>1.2E-2</v>
      </c>
      <c r="AH451" s="1266">
        <v>0.1</v>
      </c>
    </row>
    <row r="452" spans="1:34" ht="12.75">
      <c r="A452" s="2199">
        <f t="shared" si="103"/>
        <v>440</v>
      </c>
      <c r="B452" s="2200" t="s">
        <v>3115</v>
      </c>
      <c r="C452" s="2743">
        <v>0</v>
      </c>
      <c r="D452" s="2743">
        <v>0</v>
      </c>
      <c r="E452" s="2949">
        <v>0.1</v>
      </c>
      <c r="F452" s="2200">
        <v>10</v>
      </c>
      <c r="G452" s="2200" t="s">
        <v>2038</v>
      </c>
      <c r="H452" s="2200" t="s">
        <v>1057</v>
      </c>
      <c r="I452" s="2742">
        <v>25</v>
      </c>
      <c r="J452" s="2742"/>
      <c r="K452" s="2752">
        <v>45</v>
      </c>
      <c r="L452" s="2745">
        <f t="shared" si="104"/>
        <v>0</v>
      </c>
      <c r="M452" s="2745">
        <f t="shared" si="120"/>
        <v>25</v>
      </c>
      <c r="N452" s="2745">
        <f t="shared" si="114"/>
        <v>10</v>
      </c>
      <c r="O452" s="1232">
        <f t="shared" si="115"/>
        <v>0.1</v>
      </c>
      <c r="P452" s="1227" t="str">
        <f t="shared" si="121"/>
        <v>390gsm IVORY ITC CYBER PREMIUM GC2</v>
      </c>
      <c r="Q452" s="254">
        <v>0.69399999999999995</v>
      </c>
      <c r="R452" s="1228" t="str">
        <f t="shared" si="107"/>
        <v>390</v>
      </c>
      <c r="S452" s="2625">
        <f t="shared" si="122"/>
        <v>0</v>
      </c>
      <c r="T452" s="2747">
        <f>IF(L452&gt;0,IF(input!$B$2=$O$1,(((L452+Y452/22)+(L452+Y452/22)*$AG452+$X452)*$P$11+$M$7)/1000,(((L452+Y452/22)+(L452+Y452/22)*O452+(L452+Y452/22)*$AG452+$X452)*$P$11+$M$7)/1000),0)</f>
        <v>0</v>
      </c>
      <c r="U452" s="2747">
        <f t="shared" si="106"/>
        <v>0</v>
      </c>
      <c r="V452" s="1229"/>
      <c r="W452" s="1231" t="str">
        <f t="shared" si="123"/>
        <v>CIF</v>
      </c>
      <c r="X452" s="1230">
        <f t="shared" si="110"/>
        <v>0</v>
      </c>
      <c r="Y452" s="2625">
        <f t="shared" si="124"/>
        <v>0</v>
      </c>
      <c r="Z452" s="3208">
        <f t="shared" si="108"/>
        <v>838.18181818181813</v>
      </c>
      <c r="AA452" s="1220" t="s">
        <v>3120</v>
      </c>
      <c r="AB452" s="1220" t="s">
        <v>1395</v>
      </c>
      <c r="AC452" s="251" t="str">
        <f t="shared" si="125"/>
        <v>390gsm IVORY ITC CYBER PREMIUM GC2</v>
      </c>
      <c r="AD452" s="2746">
        <f>IF(L452&gt;0,IF(input!$B$2=$O$1,(((M452)+(M452)*$M$10)*$P$11)/1000,(((M452)+(M452)*O452+(M452)*$M$10)*$P$11)/1000),0)</f>
        <v>0</v>
      </c>
      <c r="AE452" s="2746">
        <f>IF(L452&gt;0,IF(input!$B$2=$O$1,(((N452)+(N452)*$M$10)*$P$11)/1000,(((N452)+(N452)*O452+(N452)*$M$10)*$P$11)/1000),0)</f>
        <v>0</v>
      </c>
      <c r="AF452" s="136" t="str">
        <f t="shared" si="126"/>
        <v>FSC</v>
      </c>
      <c r="AG452" s="2628">
        <f t="shared" si="127"/>
        <v>1.2E-2</v>
      </c>
      <c r="AH452" s="1266">
        <v>0.1</v>
      </c>
    </row>
    <row r="453" spans="1:34" ht="12.75">
      <c r="A453" s="2199">
        <f t="shared" si="103"/>
        <v>441</v>
      </c>
      <c r="B453" s="2200" t="s">
        <v>3116</v>
      </c>
      <c r="C453" s="2743">
        <v>0</v>
      </c>
      <c r="D453" s="2743">
        <v>0</v>
      </c>
      <c r="E453" s="2949">
        <v>0.1</v>
      </c>
      <c r="F453" s="2200">
        <v>10</v>
      </c>
      <c r="G453" s="2200" t="s">
        <v>2038</v>
      </c>
      <c r="H453" s="2200" t="s">
        <v>1057</v>
      </c>
      <c r="I453" s="2742">
        <v>25</v>
      </c>
      <c r="J453" s="2742"/>
      <c r="K453" s="2752">
        <v>45</v>
      </c>
      <c r="L453" s="2745">
        <f t="shared" si="104"/>
        <v>0</v>
      </c>
      <c r="M453" s="2745">
        <f t="shared" si="120"/>
        <v>25</v>
      </c>
      <c r="N453" s="2745">
        <f t="shared" si="114"/>
        <v>10</v>
      </c>
      <c r="O453" s="1232">
        <f t="shared" si="115"/>
        <v>0.1</v>
      </c>
      <c r="P453" s="1227" t="str">
        <f t="shared" si="121"/>
        <v>400gsm IVORY ITC CYBER PREMIUM GC2</v>
      </c>
      <c r="Q453" s="254">
        <v>0.71199999999999997</v>
      </c>
      <c r="R453" s="1228" t="str">
        <f t="shared" si="107"/>
        <v>400</v>
      </c>
      <c r="S453" s="2625">
        <f t="shared" si="122"/>
        <v>0</v>
      </c>
      <c r="T453" s="2747">
        <f>IF(L453&gt;0,IF(input!$B$2=$O$1,(((L453+Y453/22)+(L453+Y453/22)*$AG453+$X453)*$P$11+$M$7)/1000,(((L453+Y453/22)+(L453+Y453/22)*O453+(L453+Y453/22)*$AG453+$X453)*$P$11+$M$7)/1000),0)</f>
        <v>0</v>
      </c>
      <c r="U453" s="2747">
        <f t="shared" si="106"/>
        <v>0</v>
      </c>
      <c r="V453" s="1229"/>
      <c r="W453" s="1231" t="str">
        <f t="shared" si="123"/>
        <v>CIF</v>
      </c>
      <c r="X453" s="1230">
        <f t="shared" si="110"/>
        <v>0</v>
      </c>
      <c r="Y453" s="2625">
        <f t="shared" si="124"/>
        <v>0</v>
      </c>
      <c r="Z453" s="3208">
        <f t="shared" si="108"/>
        <v>838.18181818181813</v>
      </c>
      <c r="AA453" s="1220" t="s">
        <v>3120</v>
      </c>
      <c r="AB453" s="1220" t="s">
        <v>1395</v>
      </c>
      <c r="AC453" s="251" t="str">
        <f t="shared" si="125"/>
        <v>400gsm IVORY ITC CYBER PREMIUM GC2</v>
      </c>
      <c r="AD453" s="2746">
        <f>IF(L453&gt;0,IF(input!$B$2=$O$1,(((M453)+(M453)*$M$10)*$P$11)/1000,(((M453)+(M453)*O453+(M453)*$M$10)*$P$11)/1000),0)</f>
        <v>0</v>
      </c>
      <c r="AE453" s="2746">
        <f>IF(L453&gt;0,IF(input!$B$2=$O$1,(((N453)+(N453)*$M$10)*$P$11)/1000,(((N453)+(N453)*O453+(N453)*$M$10)*$P$11)/1000),0)</f>
        <v>0</v>
      </c>
      <c r="AF453" s="136" t="str">
        <f t="shared" si="126"/>
        <v>FSC</v>
      </c>
      <c r="AG453" s="2628">
        <f t="shared" si="127"/>
        <v>1.2E-2</v>
      </c>
      <c r="AH453" s="1266">
        <v>0.1</v>
      </c>
    </row>
    <row r="454" spans="1:34" ht="12.75">
      <c r="A454" s="2199">
        <f t="shared" si="103"/>
        <v>442</v>
      </c>
      <c r="B454" s="2200" t="s">
        <v>3117</v>
      </c>
      <c r="C454" s="2743">
        <v>0</v>
      </c>
      <c r="D454" s="2743">
        <v>0</v>
      </c>
      <c r="E454" s="2949">
        <v>0.1</v>
      </c>
      <c r="F454" s="2200">
        <v>10</v>
      </c>
      <c r="G454" s="2200" t="s">
        <v>2038</v>
      </c>
      <c r="H454" s="2200" t="s">
        <v>1057</v>
      </c>
      <c r="I454" s="2742">
        <v>25</v>
      </c>
      <c r="J454" s="2742"/>
      <c r="K454" s="2752">
        <v>45</v>
      </c>
      <c r="L454" s="2745">
        <f t="shared" si="104"/>
        <v>0</v>
      </c>
      <c r="M454" s="2745">
        <f t="shared" si="120"/>
        <v>25</v>
      </c>
      <c r="N454" s="2745">
        <f t="shared" si="114"/>
        <v>10</v>
      </c>
      <c r="O454" s="1232">
        <f t="shared" si="115"/>
        <v>0.1</v>
      </c>
      <c r="P454" s="1227" t="str">
        <f t="shared" si="121"/>
        <v>410gsm IVORY ITC CYBER PREMIUM GC2</v>
      </c>
      <c r="Q454" s="254">
        <v>0.72199999999999998</v>
      </c>
      <c r="R454" s="1228" t="str">
        <f t="shared" si="107"/>
        <v>410</v>
      </c>
      <c r="S454" s="2625">
        <f t="shared" si="122"/>
        <v>0</v>
      </c>
      <c r="T454" s="2747">
        <f>IF(L454&gt;0,IF(input!$B$2=$O$1,(((L454+Y454/22)+(L454+Y454/22)*$AG454+$X454)*$P$11+$M$7)/1000,(((L454+Y454/22)+(L454+Y454/22)*O454+(L454+Y454/22)*$AG454+$X454)*$P$11+$M$7)/1000),0)</f>
        <v>0</v>
      </c>
      <c r="U454" s="2747">
        <f t="shared" si="106"/>
        <v>0</v>
      </c>
      <c r="V454" s="1229"/>
      <c r="W454" s="1231" t="str">
        <f t="shared" si="123"/>
        <v>CIF</v>
      </c>
      <c r="X454" s="1230">
        <f t="shared" si="110"/>
        <v>0</v>
      </c>
      <c r="Y454" s="2625">
        <f t="shared" si="124"/>
        <v>0</v>
      </c>
      <c r="Z454" s="3208">
        <f t="shared" si="108"/>
        <v>838.18181818181813</v>
      </c>
      <c r="AA454" s="1220" t="s">
        <v>3120</v>
      </c>
      <c r="AB454" s="1220" t="s">
        <v>1395</v>
      </c>
      <c r="AC454" s="251" t="str">
        <f t="shared" si="125"/>
        <v>410gsm IVORY ITC CYBER PREMIUM GC2</v>
      </c>
      <c r="AD454" s="2746">
        <f>IF(L454&gt;0,IF(input!$B$2=$O$1,(((M454)+(M454)*$M$10)*$P$11)/1000,(((M454)+(M454)*O454+(M454)*$M$10)*$P$11)/1000),0)</f>
        <v>0</v>
      </c>
      <c r="AE454" s="2746">
        <f>IF(L454&gt;0,IF(input!$B$2=$O$1,(((N454)+(N454)*$M$10)*$P$11)/1000,(((N454)+(N454)*O454+(N454)*$M$10)*$P$11)/1000),0)</f>
        <v>0</v>
      </c>
      <c r="AF454" s="136" t="str">
        <f t="shared" si="126"/>
        <v>FSC</v>
      </c>
      <c r="AG454" s="2628">
        <f t="shared" si="127"/>
        <v>1.2E-2</v>
      </c>
      <c r="AH454" s="1266">
        <v>0.1</v>
      </c>
    </row>
    <row r="455" spans="1:34" ht="12.75">
      <c r="A455" s="2199">
        <f t="shared" si="103"/>
        <v>443</v>
      </c>
      <c r="B455" s="2200" t="s">
        <v>3118</v>
      </c>
      <c r="C455" s="2743">
        <v>0</v>
      </c>
      <c r="D455" s="2743">
        <v>0</v>
      </c>
      <c r="E455" s="2949">
        <v>0.1</v>
      </c>
      <c r="F455" s="2200">
        <v>10</v>
      </c>
      <c r="G455" s="2200" t="s">
        <v>2038</v>
      </c>
      <c r="H455" s="2200" t="s">
        <v>1057</v>
      </c>
      <c r="I455" s="2742">
        <v>25</v>
      </c>
      <c r="J455" s="2742"/>
      <c r="K455" s="2752">
        <v>45</v>
      </c>
      <c r="L455" s="2745">
        <f t="shared" si="104"/>
        <v>0</v>
      </c>
      <c r="M455" s="2745">
        <f t="shared" si="120"/>
        <v>25</v>
      </c>
      <c r="N455" s="2745">
        <f t="shared" si="114"/>
        <v>10</v>
      </c>
      <c r="O455" s="1232">
        <f t="shared" si="115"/>
        <v>0.1</v>
      </c>
      <c r="P455" s="1227" t="str">
        <f t="shared" si="121"/>
        <v>420gsm IVORY ITC CYBER PREMIUM GC2</v>
      </c>
      <c r="Q455" s="254">
        <v>0.73499999999999999</v>
      </c>
      <c r="R455" s="1228" t="str">
        <f t="shared" si="107"/>
        <v>420</v>
      </c>
      <c r="S455" s="2625">
        <f t="shared" si="122"/>
        <v>0</v>
      </c>
      <c r="T455" s="2747">
        <f>IF(L455&gt;0,IF(input!$B$2=$O$1,(((L455+Y455/22)+(L455+Y455/22)*$AG455+$X455)*$P$11+$M$7)/1000,(((L455+Y455/22)+(L455+Y455/22)*O455+(L455+Y455/22)*$AG455+$X455)*$P$11+$M$7)/1000),0)</f>
        <v>0</v>
      </c>
      <c r="U455" s="2747">
        <f t="shared" si="106"/>
        <v>0</v>
      </c>
      <c r="V455" s="1229"/>
      <c r="W455" s="1231" t="str">
        <f t="shared" si="123"/>
        <v>CIF</v>
      </c>
      <c r="X455" s="1230">
        <f t="shared" si="110"/>
        <v>0</v>
      </c>
      <c r="Y455" s="2625">
        <f t="shared" si="124"/>
        <v>0</v>
      </c>
      <c r="Z455" s="3208">
        <f t="shared" si="108"/>
        <v>838.18181818181813</v>
      </c>
      <c r="AA455" s="1220" t="s">
        <v>3120</v>
      </c>
      <c r="AB455" s="1220" t="s">
        <v>1395</v>
      </c>
      <c r="AC455" s="251" t="str">
        <f t="shared" si="125"/>
        <v>420gsm IVORY ITC CYBER PREMIUM GC2</v>
      </c>
      <c r="AD455" s="2746">
        <f>IF(L455&gt;0,IF(input!$B$2=$O$1,(((M455)+(M455)*$M$10)*$P$11)/1000,(((M455)+(M455)*O455+(M455)*$M$10)*$P$11)/1000),0)</f>
        <v>0</v>
      </c>
      <c r="AE455" s="2746">
        <f>IF(L455&gt;0,IF(input!$B$2=$O$1,(((N455)+(N455)*$M$10)*$P$11)/1000,(((N455)+(N455)*O455+(N455)*$M$10)*$P$11)/1000),0)</f>
        <v>0</v>
      </c>
      <c r="AF455" s="136" t="str">
        <f t="shared" si="126"/>
        <v>FSC</v>
      </c>
      <c r="AG455" s="2628">
        <f t="shared" si="127"/>
        <v>1.2E-2</v>
      </c>
      <c r="AH455" s="1266">
        <v>0.1</v>
      </c>
    </row>
    <row r="456" spans="1:34" ht="12.75">
      <c r="A456" s="2199">
        <f t="shared" si="103"/>
        <v>444</v>
      </c>
      <c r="B456" s="2200" t="s">
        <v>2538</v>
      </c>
      <c r="C456" s="2743">
        <v>0</v>
      </c>
      <c r="D456" s="2743">
        <v>0</v>
      </c>
      <c r="E456" s="2949">
        <v>0</v>
      </c>
      <c r="F456" s="2200">
        <v>80</v>
      </c>
      <c r="G456" s="2200" t="s">
        <v>2038</v>
      </c>
      <c r="H456" s="2200" t="s">
        <v>1059</v>
      </c>
      <c r="I456" s="2742">
        <v>0</v>
      </c>
      <c r="J456" s="2742"/>
      <c r="K456" s="2752">
        <v>90</v>
      </c>
      <c r="L456" s="2745">
        <f t="shared" si="104"/>
        <v>0</v>
      </c>
      <c r="M456" s="2745">
        <f t="shared" si="113"/>
        <v>0</v>
      </c>
      <c r="N456" s="2745">
        <f t="shared" si="114"/>
        <v>80</v>
      </c>
      <c r="O456" s="1232">
        <f t="shared" si="115"/>
        <v>0</v>
      </c>
      <c r="P456" s="1227" t="str">
        <f t="shared" si="102"/>
        <v>180gsm CKB CMPC RC (CHILE)</v>
      </c>
      <c r="Q456" s="254">
        <v>2.8000000000000001E-2</v>
      </c>
      <c r="R456" s="1228" t="str">
        <f t="shared" si="107"/>
        <v>180</v>
      </c>
      <c r="S456" s="2625">
        <f t="shared" si="111"/>
        <v>0</v>
      </c>
      <c r="T456" s="2747">
        <f>IF(L456&gt;0,IF(input!$B$2=$O$1,(((L456+Y456/22)+(L456+Y456/22)*$AG456+$X456)*$P$11+$M$7)/1000,(((L456+Y456/22)+(L456+Y456/22)*O456+(L456+Y456/22)*$AG456+$X456)*$P$11+$M$7)/1000),0)</f>
        <v>0</v>
      </c>
      <c r="U456" s="2747">
        <f t="shared" si="106"/>
        <v>0</v>
      </c>
      <c r="V456" s="1229"/>
      <c r="W456" s="1231" t="str">
        <f t="shared" si="112"/>
        <v>CFR</v>
      </c>
      <c r="X456" s="1230">
        <f t="shared" si="110"/>
        <v>0</v>
      </c>
      <c r="Y456" s="2625">
        <f t="shared" si="116"/>
        <v>0</v>
      </c>
      <c r="Z456" s="3208">
        <f t="shared" si="108"/>
        <v>838.18181818181813</v>
      </c>
      <c r="AA456" s="1220" t="s">
        <v>2129</v>
      </c>
      <c r="AB456" s="1220" t="s">
        <v>2130</v>
      </c>
      <c r="AC456" s="251" t="str">
        <f t="shared" si="117"/>
        <v>180gsm CKB CMPC RC (CHILE)</v>
      </c>
      <c r="AD456" s="2746">
        <f>IF(L456&gt;0,IF(input!$B$2=$O$1,(((M456)+(M456)*$M$10)*$P$11)/1000,(((M456)+(M456)*O456+(M456)*$M$10)*$P$11)/1000),0)</f>
        <v>0</v>
      </c>
      <c r="AE456" s="2746">
        <f>IF(L456&gt;0,IF(input!$B$2=$O$1,(((N456)+(N456)*$M$10)*$P$11)/1000,(((N456)+(N456)*O456+(N456)*$M$10)*$P$11)/1000),0)</f>
        <v>0</v>
      </c>
      <c r="AF456" s="136" t="str">
        <f t="shared" si="118"/>
        <v>FSC</v>
      </c>
      <c r="AG456" s="2628">
        <f t="shared" si="119"/>
        <v>2.4E-2</v>
      </c>
      <c r="AH456" s="1266">
        <v>0.1</v>
      </c>
    </row>
    <row r="457" spans="1:34" ht="12.75">
      <c r="A457" s="2199">
        <f t="shared" si="103"/>
        <v>445</v>
      </c>
      <c r="B457" s="2200" t="s">
        <v>2539</v>
      </c>
      <c r="C457" s="2743">
        <v>0</v>
      </c>
      <c r="D457" s="2743">
        <v>0</v>
      </c>
      <c r="E457" s="2949">
        <v>0</v>
      </c>
      <c r="F457" s="2200">
        <v>80</v>
      </c>
      <c r="G457" s="2200" t="s">
        <v>2038</v>
      </c>
      <c r="H457" s="2200" t="s">
        <v>1059</v>
      </c>
      <c r="I457" s="2742">
        <v>0</v>
      </c>
      <c r="J457" s="2742"/>
      <c r="K457" s="2752">
        <v>90</v>
      </c>
      <c r="L457" s="2745">
        <f t="shared" si="104"/>
        <v>0</v>
      </c>
      <c r="M457" s="2745">
        <f t="shared" si="113"/>
        <v>0</v>
      </c>
      <c r="N457" s="2745">
        <f t="shared" si="114"/>
        <v>80</v>
      </c>
      <c r="O457" s="1232">
        <f t="shared" si="115"/>
        <v>0</v>
      </c>
      <c r="P457" s="1227" t="str">
        <f t="shared" si="102"/>
        <v>200gsm CKB CMPC RC (CHILE)</v>
      </c>
      <c r="Q457" s="254">
        <v>0.315</v>
      </c>
      <c r="R457" s="1228" t="str">
        <f t="shared" si="107"/>
        <v>200</v>
      </c>
      <c r="S457" s="2625">
        <f t="shared" si="111"/>
        <v>0</v>
      </c>
      <c r="T457" s="2747">
        <f>IF(L457&gt;0,IF(input!$B$2=$O$1,(((L457+Y457/22)+(L457+Y457/22)*$AG457+$X457)*$P$11+$M$7)/1000,(((L457+Y457/22)+(L457+Y457/22)*O457+(L457+Y457/22)*$AG457+$X457)*$P$11+$M$7)/1000),0)</f>
        <v>0</v>
      </c>
      <c r="U457" s="2747">
        <f t="shared" si="106"/>
        <v>0</v>
      </c>
      <c r="V457" s="1229"/>
      <c r="W457" s="1231" t="str">
        <f t="shared" si="112"/>
        <v>CFR</v>
      </c>
      <c r="X457" s="1230">
        <f t="shared" si="110"/>
        <v>0</v>
      </c>
      <c r="Y457" s="2625">
        <f t="shared" si="116"/>
        <v>0</v>
      </c>
      <c r="Z457" s="3208">
        <f t="shared" si="108"/>
        <v>838.18181818181813</v>
      </c>
      <c r="AA457" s="1220" t="s">
        <v>2129</v>
      </c>
      <c r="AB457" s="1220" t="s">
        <v>2130</v>
      </c>
      <c r="AC457" s="251" t="str">
        <f t="shared" si="117"/>
        <v>200gsm CKB CMPC RC (CHILE)</v>
      </c>
      <c r="AD457" s="2746">
        <f>IF(L457&gt;0,IF(input!$B$2=$O$1,(((M457)+(M457)*$M$10)*$P$11)/1000,(((M457)+(M457)*O457+(M457)*$M$10)*$P$11)/1000),0)</f>
        <v>0</v>
      </c>
      <c r="AE457" s="2746">
        <f>IF(L457&gt;0,IF(input!$B$2=$O$1,(((N457)+(N457)*$M$10)*$P$11)/1000,(((N457)+(N457)*O457+(N457)*$M$10)*$P$11)/1000),0)</f>
        <v>0</v>
      </c>
      <c r="AF457" s="136" t="str">
        <f t="shared" si="118"/>
        <v>FSC</v>
      </c>
      <c r="AG457" s="2628">
        <f t="shared" si="119"/>
        <v>2.4E-2</v>
      </c>
      <c r="AH457" s="1266">
        <v>0.1</v>
      </c>
    </row>
    <row r="458" spans="1:34" ht="12.75">
      <c r="A458" s="2199">
        <f t="shared" si="103"/>
        <v>446</v>
      </c>
      <c r="B458" s="2200" t="s">
        <v>2540</v>
      </c>
      <c r="C458" s="2743">
        <v>0</v>
      </c>
      <c r="D458" s="2743">
        <v>0</v>
      </c>
      <c r="E458" s="2949">
        <v>0</v>
      </c>
      <c r="F458" s="2200">
        <v>80</v>
      </c>
      <c r="G458" s="2200" t="s">
        <v>2038</v>
      </c>
      <c r="H458" s="2200" t="s">
        <v>1059</v>
      </c>
      <c r="I458" s="2742">
        <v>0</v>
      </c>
      <c r="J458" s="2742"/>
      <c r="K458" s="2752">
        <v>90</v>
      </c>
      <c r="L458" s="2745">
        <f t="shared" si="104"/>
        <v>0</v>
      </c>
      <c r="M458" s="2745">
        <f t="shared" si="113"/>
        <v>0</v>
      </c>
      <c r="N458" s="2745">
        <f t="shared" si="114"/>
        <v>80</v>
      </c>
      <c r="O458" s="1232">
        <f t="shared" si="115"/>
        <v>0</v>
      </c>
      <c r="P458" s="1227" t="str">
        <f t="shared" si="102"/>
        <v>225gsm CKB CMPC RC (CHILE)</v>
      </c>
      <c r="Q458" s="254">
        <v>0.36499999999999999</v>
      </c>
      <c r="R458" s="1228" t="str">
        <f t="shared" si="107"/>
        <v>225</v>
      </c>
      <c r="S458" s="2625">
        <f t="shared" si="111"/>
        <v>0</v>
      </c>
      <c r="T458" s="2747">
        <f>IF(L458&gt;0,IF(input!$B$2=$O$1,(((L458+Y458/22)+(L458+Y458/22)*$AG458+$X458)*$P$11+$M$7)/1000,(((L458+Y458/22)+(L458+Y458/22)*O458+(L458+Y458/22)*$AG458+$X458)*$P$11+$M$7)/1000),0)</f>
        <v>0</v>
      </c>
      <c r="U458" s="2747">
        <f t="shared" si="106"/>
        <v>0</v>
      </c>
      <c r="V458" s="1229"/>
      <c r="W458" s="1231" t="str">
        <f t="shared" si="112"/>
        <v>CFR</v>
      </c>
      <c r="X458" s="1230">
        <f t="shared" si="110"/>
        <v>0</v>
      </c>
      <c r="Y458" s="2625">
        <f t="shared" si="116"/>
        <v>0</v>
      </c>
      <c r="Z458" s="3208">
        <f t="shared" si="108"/>
        <v>838.18181818181813</v>
      </c>
      <c r="AA458" s="1220" t="s">
        <v>2129</v>
      </c>
      <c r="AB458" s="1220" t="s">
        <v>2130</v>
      </c>
      <c r="AC458" s="251" t="str">
        <f t="shared" si="117"/>
        <v>225gsm CKB CMPC RC (CHILE)</v>
      </c>
      <c r="AD458" s="2746">
        <f>IF(L458&gt;0,IF(input!$B$2=$O$1,(((M458)+(M458)*$M$10)*$P$11)/1000,(((M458)+(M458)*O458+(M458)*$M$10)*$P$11)/1000),0)</f>
        <v>0</v>
      </c>
      <c r="AE458" s="2746">
        <f>IF(L458&gt;0,IF(input!$B$2=$O$1,(((N458)+(N458)*$M$10)*$P$11)/1000,(((N458)+(N458)*O458+(N458)*$M$10)*$P$11)/1000),0)</f>
        <v>0</v>
      </c>
      <c r="AF458" s="136" t="str">
        <f t="shared" si="118"/>
        <v>FSC</v>
      </c>
      <c r="AG458" s="2628">
        <f t="shared" si="119"/>
        <v>2.4E-2</v>
      </c>
      <c r="AH458" s="1266">
        <v>0.1</v>
      </c>
    </row>
    <row r="459" spans="1:34" ht="12.75">
      <c r="A459" s="2199">
        <f t="shared" si="103"/>
        <v>447</v>
      </c>
      <c r="B459" s="2200" t="s">
        <v>2541</v>
      </c>
      <c r="C459" s="2743">
        <v>0</v>
      </c>
      <c r="D459" s="2743">
        <v>0</v>
      </c>
      <c r="E459" s="2949">
        <v>0</v>
      </c>
      <c r="F459" s="2200">
        <v>80</v>
      </c>
      <c r="G459" s="2200" t="s">
        <v>2038</v>
      </c>
      <c r="H459" s="2200" t="s">
        <v>1059</v>
      </c>
      <c r="I459" s="2742">
        <v>0</v>
      </c>
      <c r="J459" s="2742"/>
      <c r="K459" s="2752">
        <v>90</v>
      </c>
      <c r="L459" s="2745">
        <f t="shared" si="104"/>
        <v>0</v>
      </c>
      <c r="M459" s="2745">
        <f t="shared" si="113"/>
        <v>0</v>
      </c>
      <c r="N459" s="2745">
        <f t="shared" si="114"/>
        <v>80</v>
      </c>
      <c r="O459" s="1232">
        <f t="shared" si="115"/>
        <v>0</v>
      </c>
      <c r="P459" s="1227" t="str">
        <f t="shared" ref="P459:P521" si="128">R459&amp;"gsm "&amp;AB459&amp;" "&amp;AA459</f>
        <v>245gsm CKB CMPC RC (CHILE)</v>
      </c>
      <c r="Q459" s="254">
        <v>0.4</v>
      </c>
      <c r="R459" s="1228" t="str">
        <f t="shared" si="107"/>
        <v>245</v>
      </c>
      <c r="S459" s="2625">
        <f t="shared" si="111"/>
        <v>0</v>
      </c>
      <c r="T459" s="2747">
        <f>IF(L459&gt;0,IF(input!$B$2=$O$1,(((L459+Y459/22)+(L459+Y459/22)*$AG459+$X459)*$P$11+$M$7)/1000,(((L459+Y459/22)+(L459+Y459/22)*O459+(L459+Y459/22)*$AG459+$X459)*$P$11+$M$7)/1000),0)</f>
        <v>0</v>
      </c>
      <c r="U459" s="2747">
        <f t="shared" si="106"/>
        <v>0</v>
      </c>
      <c r="V459" s="1229"/>
      <c r="W459" s="1231" t="str">
        <f t="shared" si="112"/>
        <v>CFR</v>
      </c>
      <c r="X459" s="1230">
        <f t="shared" si="110"/>
        <v>0</v>
      </c>
      <c r="Y459" s="2625">
        <f t="shared" si="116"/>
        <v>0</v>
      </c>
      <c r="Z459" s="3208">
        <f t="shared" si="108"/>
        <v>838.18181818181813</v>
      </c>
      <c r="AA459" s="1220" t="s">
        <v>2129</v>
      </c>
      <c r="AB459" s="1220" t="s">
        <v>2130</v>
      </c>
      <c r="AC459" s="251" t="str">
        <f t="shared" si="117"/>
        <v>245gsm CKB CMPC RC (CHILE)</v>
      </c>
      <c r="AD459" s="2746">
        <f>IF(L459&gt;0,IF(input!$B$2=$O$1,(((M459)+(M459)*$M$10)*$P$11)/1000,(((M459)+(M459)*O459+(M459)*$M$10)*$P$11)/1000),0)</f>
        <v>0</v>
      </c>
      <c r="AE459" s="2746">
        <f>IF(L459&gt;0,IF(input!$B$2=$O$1,(((N459)+(N459)*$M$10)*$P$11)/1000,(((N459)+(N459)*O459+(N459)*$M$10)*$P$11)/1000),0)</f>
        <v>0</v>
      </c>
      <c r="AF459" s="136" t="str">
        <f t="shared" si="118"/>
        <v>FSC</v>
      </c>
      <c r="AG459" s="2628">
        <f t="shared" si="119"/>
        <v>2.4E-2</v>
      </c>
      <c r="AH459" s="1266">
        <v>0.1</v>
      </c>
    </row>
    <row r="460" spans="1:34" ht="12.75">
      <c r="A460" s="2199">
        <f t="shared" si="103"/>
        <v>448</v>
      </c>
      <c r="B460" s="2200" t="s">
        <v>2542</v>
      </c>
      <c r="C460" s="2743">
        <v>0</v>
      </c>
      <c r="D460" s="2743">
        <v>0</v>
      </c>
      <c r="E460" s="2949">
        <v>0</v>
      </c>
      <c r="F460" s="2200">
        <v>80</v>
      </c>
      <c r="G460" s="2200" t="s">
        <v>2038</v>
      </c>
      <c r="H460" s="2200" t="s">
        <v>1059</v>
      </c>
      <c r="I460" s="2742">
        <v>0</v>
      </c>
      <c r="J460" s="2742"/>
      <c r="K460" s="2752">
        <v>90</v>
      </c>
      <c r="L460" s="2745">
        <f t="shared" si="104"/>
        <v>0</v>
      </c>
      <c r="M460" s="2745">
        <f t="shared" si="113"/>
        <v>0</v>
      </c>
      <c r="N460" s="2745">
        <f t="shared" si="114"/>
        <v>80</v>
      </c>
      <c r="O460" s="1232">
        <f t="shared" si="115"/>
        <v>0</v>
      </c>
      <c r="P460" s="1227" t="str">
        <f t="shared" si="128"/>
        <v>255gsm CKB CMPC RC (CHILE)</v>
      </c>
      <c r="Q460" s="254">
        <v>0.432</v>
      </c>
      <c r="R460" s="1228" t="str">
        <f t="shared" si="107"/>
        <v>255</v>
      </c>
      <c r="S460" s="2625">
        <f t="shared" si="111"/>
        <v>0</v>
      </c>
      <c r="T460" s="2747">
        <f>IF(L460&gt;0,IF(input!$B$2=$O$1,(((L460+Y460/22)+(L460+Y460/22)*$AG460+$X460)*$P$11+$M$7)/1000,(((L460+Y460/22)+(L460+Y460/22)*O460+(L460+Y460/22)*$AG460+$X460)*$P$11+$M$7)/1000),0)</f>
        <v>0</v>
      </c>
      <c r="U460" s="2747">
        <f t="shared" si="106"/>
        <v>0</v>
      </c>
      <c r="V460" s="1229"/>
      <c r="W460" s="1231" t="str">
        <f t="shared" si="112"/>
        <v>CFR</v>
      </c>
      <c r="X460" s="1230">
        <f t="shared" si="110"/>
        <v>0</v>
      </c>
      <c r="Y460" s="2625">
        <f t="shared" si="116"/>
        <v>0</v>
      </c>
      <c r="Z460" s="3208">
        <f t="shared" si="108"/>
        <v>838.18181818181813</v>
      </c>
      <c r="AA460" s="1220" t="s">
        <v>2129</v>
      </c>
      <c r="AB460" s="1220" t="s">
        <v>2130</v>
      </c>
      <c r="AC460" s="251" t="str">
        <f t="shared" si="117"/>
        <v>255gsm CKB CMPC RC (CHILE)</v>
      </c>
      <c r="AD460" s="2746">
        <f>IF(L460&gt;0,IF(input!$B$2=$O$1,(((M460)+(M460)*$M$10)*$P$11)/1000,(((M460)+(M460)*O460+(M460)*$M$10)*$P$11)/1000),0)</f>
        <v>0</v>
      </c>
      <c r="AE460" s="2746">
        <f>IF(L460&gt;0,IF(input!$B$2=$O$1,(((N460)+(N460)*$M$10)*$P$11)/1000,(((N460)+(N460)*O460+(N460)*$M$10)*$P$11)/1000),0)</f>
        <v>0</v>
      </c>
      <c r="AF460" s="136" t="str">
        <f t="shared" si="118"/>
        <v>FSC</v>
      </c>
      <c r="AG460" s="2628">
        <f t="shared" si="119"/>
        <v>2.4E-2</v>
      </c>
      <c r="AH460" s="1266">
        <v>0.1</v>
      </c>
    </row>
    <row r="461" spans="1:34" ht="12.75">
      <c r="A461" s="2199">
        <f t="shared" si="103"/>
        <v>449</v>
      </c>
      <c r="B461" s="2200" t="s">
        <v>2543</v>
      </c>
      <c r="C461" s="2743">
        <v>0</v>
      </c>
      <c r="D461" s="2743">
        <v>0</v>
      </c>
      <c r="E461" s="2949">
        <v>0</v>
      </c>
      <c r="F461" s="2200">
        <v>80</v>
      </c>
      <c r="G461" s="2200" t="s">
        <v>2038</v>
      </c>
      <c r="H461" s="2200" t="s">
        <v>1059</v>
      </c>
      <c r="I461" s="2742">
        <v>0</v>
      </c>
      <c r="J461" s="2742"/>
      <c r="K461" s="2752">
        <v>90</v>
      </c>
      <c r="L461" s="2745">
        <f t="shared" si="104"/>
        <v>0</v>
      </c>
      <c r="M461" s="2745">
        <f t="shared" si="113"/>
        <v>0</v>
      </c>
      <c r="N461" s="2745">
        <f t="shared" si="114"/>
        <v>80</v>
      </c>
      <c r="O461" s="1232">
        <f t="shared" si="115"/>
        <v>0</v>
      </c>
      <c r="P461" s="1227" t="str">
        <f t="shared" si="128"/>
        <v>265gsm CKB CMPC RC (CHILE)</v>
      </c>
      <c r="Q461" s="254">
        <v>0.45700000000000002</v>
      </c>
      <c r="R461" s="1228" t="str">
        <f t="shared" si="107"/>
        <v>265</v>
      </c>
      <c r="S461" s="2625">
        <f t="shared" si="111"/>
        <v>0</v>
      </c>
      <c r="T461" s="2747">
        <f>IF(L461&gt;0,IF(input!$B$2=$O$1,(((L461+Y461/22)+(L461+Y461/22)*$AG461+$X461)*$P$11+$M$7)/1000,(((L461+Y461/22)+(L461+Y461/22)*O461+(L461+Y461/22)*$AG461+$X461)*$P$11+$M$7)/1000),0)</f>
        <v>0</v>
      </c>
      <c r="U461" s="2747">
        <f t="shared" si="106"/>
        <v>0</v>
      </c>
      <c r="V461" s="1229"/>
      <c r="W461" s="1231" t="str">
        <f t="shared" si="112"/>
        <v>CFR</v>
      </c>
      <c r="X461" s="1230">
        <f t="shared" si="110"/>
        <v>0</v>
      </c>
      <c r="Y461" s="2625">
        <f t="shared" si="116"/>
        <v>0</v>
      </c>
      <c r="Z461" s="3208">
        <f t="shared" si="108"/>
        <v>838.18181818181813</v>
      </c>
      <c r="AA461" s="1220" t="s">
        <v>2129</v>
      </c>
      <c r="AB461" s="1220" t="s">
        <v>2130</v>
      </c>
      <c r="AC461" s="251" t="str">
        <f t="shared" si="117"/>
        <v>265gsm CKB CMPC RC (CHILE)</v>
      </c>
      <c r="AD461" s="2746">
        <f>IF(L461&gt;0,IF(input!$B$2=$O$1,(((M461)+(M461)*$M$10)*$P$11)/1000,(((M461)+(M461)*O461+(M461)*$M$10)*$P$11)/1000),0)</f>
        <v>0</v>
      </c>
      <c r="AE461" s="2746">
        <f>IF(L461&gt;0,IF(input!$B$2=$O$1,(((N461)+(N461)*$M$10)*$P$11)/1000,(((N461)+(N461)*O461+(N461)*$M$10)*$P$11)/1000),0)</f>
        <v>0</v>
      </c>
      <c r="AF461" s="136" t="str">
        <f t="shared" si="118"/>
        <v>FSC</v>
      </c>
      <c r="AG461" s="2628">
        <f t="shared" si="119"/>
        <v>2.4E-2</v>
      </c>
      <c r="AH461" s="1266">
        <v>0.1</v>
      </c>
    </row>
    <row r="462" spans="1:34" ht="12.75">
      <c r="A462" s="2199">
        <f t="shared" ref="A462:A525" si="129">ROW(A450)</f>
        <v>450</v>
      </c>
      <c r="B462" s="2200" t="s">
        <v>2544</v>
      </c>
      <c r="C462" s="2743">
        <v>0</v>
      </c>
      <c r="D462" s="2743">
        <v>0</v>
      </c>
      <c r="E462" s="2949">
        <v>0</v>
      </c>
      <c r="F462" s="2200">
        <v>80</v>
      </c>
      <c r="G462" s="2200" t="s">
        <v>2038</v>
      </c>
      <c r="H462" s="2200" t="s">
        <v>1059</v>
      </c>
      <c r="I462" s="2742">
        <v>0</v>
      </c>
      <c r="J462" s="2742"/>
      <c r="K462" s="2752">
        <v>90</v>
      </c>
      <c r="L462" s="2745">
        <f t="shared" si="104"/>
        <v>0</v>
      </c>
      <c r="M462" s="2745">
        <f t="shared" si="113"/>
        <v>0</v>
      </c>
      <c r="N462" s="2745">
        <f t="shared" si="114"/>
        <v>80</v>
      </c>
      <c r="O462" s="1232">
        <f t="shared" si="115"/>
        <v>0</v>
      </c>
      <c r="P462" s="1227" t="str">
        <f t="shared" si="128"/>
        <v>285gsm CKB CMPC RC (CHILE)</v>
      </c>
      <c r="Q462" s="254">
        <v>0.50800000000000001</v>
      </c>
      <c r="R462" s="1228" t="str">
        <f t="shared" si="107"/>
        <v>285</v>
      </c>
      <c r="S462" s="2625">
        <f t="shared" si="111"/>
        <v>0</v>
      </c>
      <c r="T462" s="2747">
        <f>IF(L462&gt;0,IF(input!$B$2=$O$1,(((L462+Y462/22)+(L462+Y462/22)*$AG462+$X462)*$P$11+$M$7)/1000,(((L462+Y462/22)+(L462+Y462/22)*O462+(L462+Y462/22)*$AG462+$X462)*$P$11+$M$7)/1000),0)</f>
        <v>0</v>
      </c>
      <c r="U462" s="2747">
        <f t="shared" ref="U462:U525" si="130">IF(S462&gt;0,(S462/1.08)+Z462,0)</f>
        <v>0</v>
      </c>
      <c r="V462" s="1229"/>
      <c r="W462" s="1231" t="str">
        <f t="shared" si="112"/>
        <v>CFR</v>
      </c>
      <c r="X462" s="1230">
        <f t="shared" si="110"/>
        <v>0</v>
      </c>
      <c r="Y462" s="2625">
        <f t="shared" si="116"/>
        <v>0</v>
      </c>
      <c r="Z462" s="3208">
        <f t="shared" si="108"/>
        <v>838.18181818181813</v>
      </c>
      <c r="AA462" s="1220" t="s">
        <v>2129</v>
      </c>
      <c r="AB462" s="1220" t="s">
        <v>2130</v>
      </c>
      <c r="AC462" s="251" t="str">
        <f t="shared" si="117"/>
        <v>285gsm CKB CMPC RC (CHILE)</v>
      </c>
      <c r="AD462" s="2746">
        <f>IF(L462&gt;0,IF(input!$B$2=$O$1,(((M462)+(M462)*$M$10)*$P$11)/1000,(((M462)+(M462)*O462+(M462)*$M$10)*$P$11)/1000),0)</f>
        <v>0</v>
      </c>
      <c r="AE462" s="2746">
        <f>IF(L462&gt;0,IF(input!$B$2=$O$1,(((N462)+(N462)*$M$10)*$P$11)/1000,(((N462)+(N462)*O462+(N462)*$M$10)*$P$11)/1000),0)</f>
        <v>0</v>
      </c>
      <c r="AF462" s="136" t="str">
        <f t="shared" si="118"/>
        <v>FSC</v>
      </c>
      <c r="AG462" s="2628">
        <f t="shared" si="119"/>
        <v>2.4E-2</v>
      </c>
      <c r="AH462" s="1266">
        <v>0.1</v>
      </c>
    </row>
    <row r="463" spans="1:34" ht="12.75">
      <c r="A463" s="2199">
        <f t="shared" si="129"/>
        <v>451</v>
      </c>
      <c r="B463" s="2200" t="s">
        <v>2545</v>
      </c>
      <c r="C463" s="2743">
        <v>0</v>
      </c>
      <c r="D463" s="2743">
        <v>0</v>
      </c>
      <c r="E463" s="2949">
        <v>0</v>
      </c>
      <c r="F463" s="2200">
        <v>80</v>
      </c>
      <c r="G463" s="2200" t="s">
        <v>2038</v>
      </c>
      <c r="H463" s="2200" t="s">
        <v>1059</v>
      </c>
      <c r="I463" s="2742">
        <v>0</v>
      </c>
      <c r="J463" s="2742"/>
      <c r="K463" s="2752">
        <v>90</v>
      </c>
      <c r="L463" s="2745">
        <f t="shared" si="104"/>
        <v>0</v>
      </c>
      <c r="M463" s="2745">
        <f t="shared" si="113"/>
        <v>0</v>
      </c>
      <c r="N463" s="2745">
        <f t="shared" si="114"/>
        <v>80</v>
      </c>
      <c r="O463" s="1232">
        <f t="shared" si="115"/>
        <v>0</v>
      </c>
      <c r="P463" s="1227" t="str">
        <f t="shared" si="128"/>
        <v>295gsm CKB CMPC RC (CHILE)</v>
      </c>
      <c r="Q463" s="254">
        <v>0.53300000000000003</v>
      </c>
      <c r="R463" s="1228" t="str">
        <f t="shared" ref="R463:R526" si="131">LEFT(AC463,3)</f>
        <v>295</v>
      </c>
      <c r="S463" s="2625">
        <f t="shared" si="111"/>
        <v>0</v>
      </c>
      <c r="T463" s="2747">
        <f>IF(L463&gt;0,IF(input!$B$2=$O$1,(((L463+Y463/22)+(L463+Y463/22)*$AG463+$X463)*$P$11+$M$7)/1000,(((L463+Y463/22)+(L463+Y463/22)*O463+(L463+Y463/22)*$AG463+$X463)*$P$11+$M$7)/1000),0)</f>
        <v>0</v>
      </c>
      <c r="U463" s="2747">
        <f t="shared" si="130"/>
        <v>0</v>
      </c>
      <c r="V463" s="1229"/>
      <c r="W463" s="1231" t="str">
        <f t="shared" si="112"/>
        <v>CFR</v>
      </c>
      <c r="X463" s="1230">
        <f t="shared" si="110"/>
        <v>0</v>
      </c>
      <c r="Y463" s="2625">
        <f t="shared" si="116"/>
        <v>0</v>
      </c>
      <c r="Z463" s="3208">
        <f t="shared" ref="Z463:Z526" si="132">922000/1.1/1000</f>
        <v>838.18181818181813</v>
      </c>
      <c r="AA463" s="1220" t="s">
        <v>2129</v>
      </c>
      <c r="AB463" s="1220" t="s">
        <v>2130</v>
      </c>
      <c r="AC463" s="251" t="str">
        <f t="shared" si="117"/>
        <v>295gsm CKB CMPC RC (CHILE)</v>
      </c>
      <c r="AD463" s="2746">
        <f>IF(L463&gt;0,IF(input!$B$2=$O$1,(((M463)+(M463)*$M$10)*$P$11)/1000,(((M463)+(M463)*O463+(M463)*$M$10)*$P$11)/1000),0)</f>
        <v>0</v>
      </c>
      <c r="AE463" s="2746">
        <f>IF(L463&gt;0,IF(input!$B$2=$O$1,(((N463)+(N463)*$M$10)*$P$11)/1000,(((N463)+(N463)*O463+(N463)*$M$10)*$P$11)/1000),0)</f>
        <v>0</v>
      </c>
      <c r="AF463" s="136" t="str">
        <f t="shared" si="118"/>
        <v>FSC</v>
      </c>
      <c r="AG463" s="2628">
        <f t="shared" si="119"/>
        <v>2.4E-2</v>
      </c>
      <c r="AH463" s="1266">
        <v>0.1</v>
      </c>
    </row>
    <row r="464" spans="1:34" ht="12.75">
      <c r="A464" s="2199">
        <f t="shared" si="129"/>
        <v>452</v>
      </c>
      <c r="B464" s="2200" t="s">
        <v>2546</v>
      </c>
      <c r="C464" s="2743">
        <v>0</v>
      </c>
      <c r="D464" s="2743">
        <v>0</v>
      </c>
      <c r="E464" s="2949">
        <v>0</v>
      </c>
      <c r="F464" s="2200">
        <v>80</v>
      </c>
      <c r="G464" s="2200" t="s">
        <v>2038</v>
      </c>
      <c r="H464" s="2200" t="s">
        <v>1059</v>
      </c>
      <c r="I464" s="2742">
        <v>0</v>
      </c>
      <c r="J464" s="2742"/>
      <c r="K464" s="2752">
        <v>90</v>
      </c>
      <c r="L464" s="2745">
        <f t="shared" si="104"/>
        <v>0</v>
      </c>
      <c r="M464" s="2745">
        <f t="shared" si="113"/>
        <v>0</v>
      </c>
      <c r="N464" s="2745">
        <f t="shared" si="114"/>
        <v>80</v>
      </c>
      <c r="O464" s="1232">
        <f t="shared" si="115"/>
        <v>0</v>
      </c>
      <c r="P464" s="1227" t="str">
        <f t="shared" si="128"/>
        <v>310gsm CKB CMPC RC (CHILE)</v>
      </c>
      <c r="Q464" s="254">
        <v>0.55900000000000005</v>
      </c>
      <c r="R464" s="1228" t="str">
        <f t="shared" si="131"/>
        <v>310</v>
      </c>
      <c r="S464" s="2625">
        <f t="shared" si="111"/>
        <v>0</v>
      </c>
      <c r="T464" s="2747">
        <f>IF(L464&gt;0,IF(input!$B$2=$O$1,(((L464+Y464/22)+(L464+Y464/22)*$AG464+$X464)*$P$11+$M$7)/1000,(((L464+Y464/22)+(L464+Y464/22)*O464+(L464+Y464/22)*$AG464+$X464)*$P$11+$M$7)/1000),0)</f>
        <v>0</v>
      </c>
      <c r="U464" s="2747">
        <f t="shared" si="130"/>
        <v>0</v>
      </c>
      <c r="V464" s="1229"/>
      <c r="W464" s="1231" t="str">
        <f t="shared" si="112"/>
        <v>CFR</v>
      </c>
      <c r="X464" s="1230">
        <f t="shared" si="110"/>
        <v>0</v>
      </c>
      <c r="Y464" s="2625">
        <f t="shared" si="116"/>
        <v>0</v>
      </c>
      <c r="Z464" s="3208">
        <f t="shared" si="132"/>
        <v>838.18181818181813</v>
      </c>
      <c r="AA464" s="1220" t="s">
        <v>2129</v>
      </c>
      <c r="AB464" s="1220" t="s">
        <v>2130</v>
      </c>
      <c r="AC464" s="251" t="str">
        <f t="shared" si="117"/>
        <v>310gsm CKB CMPC RC (CHILE)</v>
      </c>
      <c r="AD464" s="2746">
        <f>IF(L464&gt;0,IF(input!$B$2=$O$1,(((M464)+(M464)*$M$10)*$P$11)/1000,(((M464)+(M464)*O464+(M464)*$M$10)*$P$11)/1000),0)</f>
        <v>0</v>
      </c>
      <c r="AE464" s="2746">
        <f>IF(L464&gt;0,IF(input!$B$2=$O$1,(((N464)+(N464)*$M$10)*$P$11)/1000,(((N464)+(N464)*O464+(N464)*$M$10)*$P$11)/1000),0)</f>
        <v>0</v>
      </c>
      <c r="AF464" s="136" t="str">
        <f t="shared" si="118"/>
        <v>FSC</v>
      </c>
      <c r="AG464" s="2628">
        <f t="shared" si="119"/>
        <v>2.4E-2</v>
      </c>
      <c r="AH464" s="1266">
        <v>0.1</v>
      </c>
    </row>
    <row r="465" spans="1:34" ht="12.75">
      <c r="A465" s="2199">
        <f t="shared" si="129"/>
        <v>453</v>
      </c>
      <c r="B465" s="2200" t="s">
        <v>2547</v>
      </c>
      <c r="C465" s="2743">
        <v>0</v>
      </c>
      <c r="D465" s="2743">
        <v>0</v>
      </c>
      <c r="E465" s="2949">
        <v>0</v>
      </c>
      <c r="F465" s="2200">
        <v>80</v>
      </c>
      <c r="G465" s="2200" t="s">
        <v>2038</v>
      </c>
      <c r="H465" s="2200" t="s">
        <v>1059</v>
      </c>
      <c r="I465" s="2742">
        <v>0</v>
      </c>
      <c r="J465" s="2742"/>
      <c r="K465" s="2752">
        <v>90</v>
      </c>
      <c r="L465" s="2745">
        <f t="shared" si="104"/>
        <v>0</v>
      </c>
      <c r="M465" s="2745">
        <f t="shared" si="113"/>
        <v>0</v>
      </c>
      <c r="N465" s="2745">
        <f t="shared" si="114"/>
        <v>80</v>
      </c>
      <c r="O465" s="1232">
        <f t="shared" si="115"/>
        <v>0</v>
      </c>
      <c r="P465" s="1227" t="str">
        <f t="shared" si="128"/>
        <v>330gsm CKB CMPC RC (CHILE)</v>
      </c>
      <c r="Q465" s="254">
        <v>0.61</v>
      </c>
      <c r="R465" s="1228" t="str">
        <f t="shared" si="131"/>
        <v>330</v>
      </c>
      <c r="S465" s="2625">
        <f t="shared" si="111"/>
        <v>0</v>
      </c>
      <c r="T465" s="2747">
        <f>IF(L465&gt;0,IF(input!$B$2=$O$1,(((L465+Y465/22)+(L465+Y465/22)*$AG465+$X465)*$P$11+$M$7)/1000,(((L465+Y465/22)+(L465+Y465/22)*O465+(L465+Y465/22)*$AG465+$X465)*$P$11+$M$7)/1000),0)</f>
        <v>0</v>
      </c>
      <c r="U465" s="2747">
        <f t="shared" si="130"/>
        <v>0</v>
      </c>
      <c r="V465" s="1229"/>
      <c r="W465" s="1231" t="str">
        <f t="shared" si="112"/>
        <v>CFR</v>
      </c>
      <c r="X465" s="1230">
        <f t="shared" ref="X465:X527" si="133">IF(L465&gt;0,IF(OR(W465="CFR",W465="CRF",W465="CNF",W465="CPT"),1.1*$M$8*(L465+N465),IF(W465="FOB",1.1*$M$8*(L465+N465+Y465/22),0)),0)</f>
        <v>0</v>
      </c>
      <c r="Y465" s="2625">
        <f t="shared" si="116"/>
        <v>0</v>
      </c>
      <c r="Z465" s="3208">
        <f t="shared" si="132"/>
        <v>838.18181818181813</v>
      </c>
      <c r="AA465" s="1220" t="s">
        <v>2129</v>
      </c>
      <c r="AB465" s="1220" t="s">
        <v>2130</v>
      </c>
      <c r="AC465" s="251" t="str">
        <f t="shared" si="117"/>
        <v>330gsm CKB CMPC RC (CHILE)</v>
      </c>
      <c r="AD465" s="2746">
        <f>IF(L465&gt;0,IF(input!$B$2=$O$1,(((M465)+(M465)*$M$10)*$P$11)/1000,(((M465)+(M465)*O465+(M465)*$M$10)*$P$11)/1000),0)</f>
        <v>0</v>
      </c>
      <c r="AE465" s="2746">
        <f>IF(L465&gt;0,IF(input!$B$2=$O$1,(((N465)+(N465)*$M$10)*$P$11)/1000,(((N465)+(N465)*O465+(N465)*$M$10)*$P$11)/1000),0)</f>
        <v>0</v>
      </c>
      <c r="AF465" s="136" t="str">
        <f t="shared" si="118"/>
        <v>FSC</v>
      </c>
      <c r="AG465" s="2628">
        <f t="shared" si="119"/>
        <v>2.4E-2</v>
      </c>
      <c r="AH465" s="1266">
        <v>0.1</v>
      </c>
    </row>
    <row r="466" spans="1:34" ht="12.75">
      <c r="A466" s="2199">
        <f t="shared" si="129"/>
        <v>454</v>
      </c>
      <c r="B466" s="2200" t="s">
        <v>2548</v>
      </c>
      <c r="C466" s="2743">
        <v>0</v>
      </c>
      <c r="D466" s="2743">
        <v>1050</v>
      </c>
      <c r="E466" s="2949">
        <v>0</v>
      </c>
      <c r="F466" s="2200">
        <v>80</v>
      </c>
      <c r="G466" s="2200" t="s">
        <v>2038</v>
      </c>
      <c r="H466" s="2200" t="s">
        <v>1059</v>
      </c>
      <c r="I466" s="2742">
        <v>0</v>
      </c>
      <c r="J466" s="2742"/>
      <c r="K466" s="2752">
        <v>90</v>
      </c>
      <c r="L466" s="2745">
        <f t="shared" si="104"/>
        <v>1050</v>
      </c>
      <c r="M466" s="2745">
        <f t="shared" si="113"/>
        <v>0</v>
      </c>
      <c r="N466" s="2745">
        <f t="shared" si="114"/>
        <v>80</v>
      </c>
      <c r="O466" s="1232">
        <f t="shared" si="115"/>
        <v>0</v>
      </c>
      <c r="P466" s="1227" t="str">
        <f t="shared" si="128"/>
        <v>345gsm CKB CMPC RC (CHILE)</v>
      </c>
      <c r="Q466" s="254">
        <v>0.66</v>
      </c>
      <c r="R466" s="1228" t="str">
        <f t="shared" si="131"/>
        <v>345</v>
      </c>
      <c r="S466" s="2625">
        <f t="shared" si="111"/>
        <v>0</v>
      </c>
      <c r="T466" s="2747">
        <f>IF(L466&gt;0,IF(input!$B$2=$O$1,(((L466+Y466/22)+(L466+Y466/22)*$AG466+$X466)*$P$11+$M$7)/1000,(((L466+Y466/22)+(L466+Y466/22)*O466+(L466+Y466/22)*$AG466+$X466)*$P$11+$M$7)/1000),0)</f>
        <v>26434.950879499997</v>
      </c>
      <c r="U466" s="2747">
        <f t="shared" si="130"/>
        <v>0</v>
      </c>
      <c r="V466" s="1229"/>
      <c r="W466" s="1231" t="str">
        <f t="shared" si="112"/>
        <v>CFR</v>
      </c>
      <c r="X466" s="1230">
        <f t="shared" si="133"/>
        <v>0.80795000000000006</v>
      </c>
      <c r="Y466" s="2625">
        <f t="shared" si="116"/>
        <v>0</v>
      </c>
      <c r="Z466" s="3208">
        <f t="shared" si="132"/>
        <v>838.18181818181813</v>
      </c>
      <c r="AA466" s="1220" t="s">
        <v>2129</v>
      </c>
      <c r="AB466" s="1220" t="s">
        <v>2130</v>
      </c>
      <c r="AC466" s="251" t="str">
        <f t="shared" si="117"/>
        <v>345gsm CKB CMPC RC (CHILE)</v>
      </c>
      <c r="AD466" s="2746">
        <f>IF(L466&gt;0,IF(input!$B$2=$O$1,(((M466)+(M466)*$M$10)*$P$11)/1000,(((M466)+(M466)*O466+(M466)*$M$10)*$P$11)/1000),0)</f>
        <v>0</v>
      </c>
      <c r="AE466" s="2746">
        <f>IF(L466&gt;0,IF(input!$B$2=$O$1,(((N466)+(N466)*$M$10)*$P$11)/1000,(((N466)+(N466)*O466+(N466)*$M$10)*$P$11)/1000),0)</f>
        <v>1936.1663999999998</v>
      </c>
      <c r="AF466" s="136" t="str">
        <f t="shared" si="118"/>
        <v>FSC</v>
      </c>
      <c r="AG466" s="2628">
        <f t="shared" si="119"/>
        <v>2.4E-2</v>
      </c>
      <c r="AH466" s="1266">
        <v>0.1</v>
      </c>
    </row>
    <row r="467" spans="1:34" ht="12.75">
      <c r="A467" s="2199">
        <f t="shared" si="129"/>
        <v>455</v>
      </c>
      <c r="B467" s="2200" t="s">
        <v>2549</v>
      </c>
      <c r="C467" s="2743">
        <v>0</v>
      </c>
      <c r="D467" s="2743">
        <v>1050</v>
      </c>
      <c r="E467" s="2949">
        <v>0</v>
      </c>
      <c r="F467" s="2200">
        <v>80</v>
      </c>
      <c r="G467" s="2200" t="s">
        <v>2038</v>
      </c>
      <c r="H467" s="2200" t="s">
        <v>1059</v>
      </c>
      <c r="I467" s="2742">
        <v>0</v>
      </c>
      <c r="J467" s="2742"/>
      <c r="K467" s="2752">
        <v>90</v>
      </c>
      <c r="L467" s="2745">
        <f t="shared" si="104"/>
        <v>1050</v>
      </c>
      <c r="M467" s="2745">
        <f t="shared" si="113"/>
        <v>0</v>
      </c>
      <c r="N467" s="2745">
        <f t="shared" si="114"/>
        <v>80</v>
      </c>
      <c r="O467" s="1232">
        <f t="shared" si="115"/>
        <v>0</v>
      </c>
      <c r="P467" s="1227" t="str">
        <f t="shared" si="128"/>
        <v>370gsm CKB CMPC RC (CHILE)</v>
      </c>
      <c r="Q467" s="254">
        <v>0.71099999999999997</v>
      </c>
      <c r="R467" s="1228" t="str">
        <f t="shared" si="131"/>
        <v>370</v>
      </c>
      <c r="S467" s="2625">
        <f t="shared" si="111"/>
        <v>0</v>
      </c>
      <c r="T467" s="2747">
        <f>IF(L467&gt;0,IF(input!$B$2=$O$1,(((L467+Y467/22)+(L467+Y467/22)*$AG467+$X467)*$P$11+$M$7)/1000,(((L467+Y467/22)+(L467+Y467/22)*O467+(L467+Y467/22)*$AG467+$X467)*$P$11+$M$7)/1000),0)</f>
        <v>26434.950879499997</v>
      </c>
      <c r="U467" s="2747">
        <f t="shared" si="130"/>
        <v>0</v>
      </c>
      <c r="V467" s="1229"/>
      <c r="W467" s="1231" t="str">
        <f t="shared" si="112"/>
        <v>CFR</v>
      </c>
      <c r="X467" s="1230">
        <f t="shared" si="133"/>
        <v>0.80795000000000006</v>
      </c>
      <c r="Y467" s="2625">
        <f t="shared" si="116"/>
        <v>0</v>
      </c>
      <c r="Z467" s="3208">
        <f t="shared" si="132"/>
        <v>838.18181818181813</v>
      </c>
      <c r="AA467" s="1220" t="s">
        <v>2129</v>
      </c>
      <c r="AB467" s="1220" t="s">
        <v>2130</v>
      </c>
      <c r="AC467" s="251" t="str">
        <f t="shared" si="117"/>
        <v>370gsm CKB CMPC RC (CHILE)</v>
      </c>
      <c r="AD467" s="2746">
        <f>IF(L467&gt;0,IF(input!$B$2=$O$1,(((M467)+(M467)*$M$10)*$P$11)/1000,(((M467)+(M467)*O467+(M467)*$M$10)*$P$11)/1000),0)</f>
        <v>0</v>
      </c>
      <c r="AE467" s="2746">
        <f>IF(L467&gt;0,IF(input!$B$2=$O$1,(((N467)+(N467)*$M$10)*$P$11)/1000,(((N467)+(N467)*O467+(N467)*$M$10)*$P$11)/1000),0)</f>
        <v>1936.1663999999998</v>
      </c>
      <c r="AF467" s="136" t="str">
        <f t="shared" si="118"/>
        <v>FSC</v>
      </c>
      <c r="AG467" s="2628">
        <f t="shared" si="119"/>
        <v>2.4E-2</v>
      </c>
      <c r="AH467" s="1266">
        <v>0.1</v>
      </c>
    </row>
    <row r="468" spans="1:34" ht="12.75">
      <c r="A468" s="2199">
        <f t="shared" si="129"/>
        <v>456</v>
      </c>
      <c r="B468" s="2200" t="s">
        <v>2113</v>
      </c>
      <c r="C468" s="2743">
        <v>0</v>
      </c>
      <c r="D468" s="2743">
        <v>0</v>
      </c>
      <c r="E468" s="2949">
        <v>0.15</v>
      </c>
      <c r="F468" s="2200" t="s">
        <v>2313</v>
      </c>
      <c r="G468" s="2200" t="s">
        <v>2038</v>
      </c>
      <c r="H468" s="2200" t="s">
        <v>2054</v>
      </c>
      <c r="I468" s="2742">
        <v>0</v>
      </c>
      <c r="J468" s="2742"/>
      <c r="K468" s="2752">
        <v>60</v>
      </c>
      <c r="L468" s="2745">
        <f t="shared" si="104"/>
        <v>0</v>
      </c>
      <c r="M468" s="2745">
        <f t="shared" si="113"/>
        <v>0</v>
      </c>
      <c r="N468" s="2745" t="str">
        <f t="shared" si="114"/>
        <v>check</v>
      </c>
      <c r="O468" s="1232">
        <f t="shared" si="115"/>
        <v>0.15</v>
      </c>
      <c r="P468" s="1227" t="str">
        <f t="shared" si="128"/>
        <v>225gsm CKB KANEOLI PE (StoraEnso Beihai)</v>
      </c>
      <c r="Q468" s="254">
        <v>0.31900000000000001</v>
      </c>
      <c r="R468" s="1228" t="str">
        <f t="shared" si="131"/>
        <v>225</v>
      </c>
      <c r="S468" s="2625">
        <f t="shared" si="111"/>
        <v>0</v>
      </c>
      <c r="T468" s="2747">
        <f>IF(L468&gt;0,IF(input!$B$2=$O$1,(((L468+Y468/22)+(L468+Y468/22)*$AG468+$X468)*$P$11+$M$7)/1000,(((L468+Y468/22)+(L468+Y468/22)*O468+(L468+Y468/22)*$AG468+$X468)*$P$11+$M$7)/1000),0)</f>
        <v>0</v>
      </c>
      <c r="U468" s="2747">
        <f t="shared" si="130"/>
        <v>0</v>
      </c>
      <c r="V468" s="1229"/>
      <c r="W468" s="1231" t="str">
        <f t="shared" si="112"/>
        <v>CPT</v>
      </c>
      <c r="X468" s="1230">
        <f t="shared" si="133"/>
        <v>0</v>
      </c>
      <c r="Y468" s="2625">
        <f t="shared" si="116"/>
        <v>0</v>
      </c>
      <c r="Z468" s="3208">
        <f t="shared" si="132"/>
        <v>838.18181818181813</v>
      </c>
      <c r="AA468" s="1220" t="s">
        <v>2131</v>
      </c>
      <c r="AB468" s="1220" t="s">
        <v>2130</v>
      </c>
      <c r="AC468" s="251" t="str">
        <f t="shared" si="117"/>
        <v>225gsm CKB KANEOLI PE (StoraEnso Beihai)</v>
      </c>
      <c r="AD468" s="2746">
        <f>IF(L468&gt;0,IF(input!$B$2=$O$1,(((M468)+(M468)*$M$10)*$P$11)/1000,(((M468)+(M468)*O468+(M468)*$M$10)*$P$11)/1000),0)</f>
        <v>0</v>
      </c>
      <c r="AE468" s="2746">
        <f>IF(L468&gt;0,IF(input!$B$2=$O$1,(((N468)+(N468)*$M$10)*$P$11)/1000,(((N468)+(N468)*O468+(N468)*$M$10)*$P$11)/1000),0)</f>
        <v>0</v>
      </c>
      <c r="AF468" s="136" t="str">
        <f t="shared" si="118"/>
        <v>FSC</v>
      </c>
      <c r="AG468" s="2628">
        <f t="shared" si="119"/>
        <v>1.6E-2</v>
      </c>
      <c r="AH468" s="1266">
        <v>0.1</v>
      </c>
    </row>
    <row r="469" spans="1:34" ht="12.75">
      <c r="A469" s="2199">
        <f t="shared" si="129"/>
        <v>457</v>
      </c>
      <c r="B469" s="2200" t="s">
        <v>2114</v>
      </c>
      <c r="C469" s="2743">
        <v>0</v>
      </c>
      <c r="D469" s="2743">
        <v>0</v>
      </c>
      <c r="E469" s="2949">
        <v>0.15</v>
      </c>
      <c r="F469" s="2200" t="s">
        <v>2313</v>
      </c>
      <c r="G469" s="2200" t="s">
        <v>2038</v>
      </c>
      <c r="H469" s="2200" t="s">
        <v>2054</v>
      </c>
      <c r="I469" s="2742">
        <v>0</v>
      </c>
      <c r="J469" s="2742"/>
      <c r="K469" s="2752">
        <v>60</v>
      </c>
      <c r="L469" s="2745">
        <f t="shared" si="104"/>
        <v>0</v>
      </c>
      <c r="M469" s="2745">
        <f t="shared" si="113"/>
        <v>0</v>
      </c>
      <c r="N469" s="2745" t="str">
        <f t="shared" si="114"/>
        <v>check</v>
      </c>
      <c r="O469" s="1232">
        <f t="shared" si="115"/>
        <v>0.15</v>
      </c>
      <c r="P469" s="1227" t="str">
        <f t="shared" si="128"/>
        <v>255gsm CKB KANEOLI PE (StoraEnso Beihai)</v>
      </c>
      <c r="Q469" s="254">
        <v>0.36899999999999999</v>
      </c>
      <c r="R469" s="1228" t="str">
        <f t="shared" si="131"/>
        <v>255</v>
      </c>
      <c r="S469" s="2625">
        <f t="shared" si="111"/>
        <v>0</v>
      </c>
      <c r="T469" s="2747">
        <f>IF(L469&gt;0,IF(input!$B$2=$O$1,(((L469+Y469/22)+(L469+Y469/22)*$AG469+$X469)*$P$11+$M$7)/1000,(((L469+Y469/22)+(L469+Y469/22)*O469+(L469+Y469/22)*$AG469+$X469)*$P$11+$M$7)/1000),0)</f>
        <v>0</v>
      </c>
      <c r="U469" s="2747">
        <f t="shared" si="130"/>
        <v>0</v>
      </c>
      <c r="V469" s="1229"/>
      <c r="W469" s="1231" t="str">
        <f t="shared" si="112"/>
        <v>CPT</v>
      </c>
      <c r="X469" s="1230">
        <f t="shared" si="133"/>
        <v>0</v>
      </c>
      <c r="Y469" s="2625">
        <f t="shared" si="116"/>
        <v>0</v>
      </c>
      <c r="Z469" s="3208">
        <f t="shared" si="132"/>
        <v>838.18181818181813</v>
      </c>
      <c r="AA469" s="1220" t="s">
        <v>2131</v>
      </c>
      <c r="AB469" s="1220" t="s">
        <v>2130</v>
      </c>
      <c r="AC469" s="251" t="str">
        <f t="shared" si="117"/>
        <v>255gsm CKB KANEOLI PE (StoraEnso Beihai)</v>
      </c>
      <c r="AD469" s="2746">
        <f>IF(L469&gt;0,IF(input!$B$2=$O$1,(((M469)+(M469)*$M$10)*$P$11)/1000,(((M469)+(M469)*O469+(M469)*$M$10)*$P$11)/1000),0)</f>
        <v>0</v>
      </c>
      <c r="AE469" s="2746">
        <f>IF(L469&gt;0,IF(input!$B$2=$O$1,(((N469)+(N469)*$M$10)*$P$11)/1000,(((N469)+(N469)*O469+(N469)*$M$10)*$P$11)/1000),0)</f>
        <v>0</v>
      </c>
      <c r="AF469" s="136" t="str">
        <f t="shared" si="118"/>
        <v>FSC</v>
      </c>
      <c r="AG469" s="2628">
        <f t="shared" si="119"/>
        <v>1.6E-2</v>
      </c>
      <c r="AH469" s="1266">
        <v>0.1</v>
      </c>
    </row>
    <row r="470" spans="1:34" ht="12.75">
      <c r="A470" s="2199">
        <f t="shared" si="129"/>
        <v>458</v>
      </c>
      <c r="B470" s="2200" t="s">
        <v>2115</v>
      </c>
      <c r="C470" s="2743">
        <v>0</v>
      </c>
      <c r="D470" s="2743">
        <v>0</v>
      </c>
      <c r="E470" s="2949">
        <v>0.15</v>
      </c>
      <c r="F470" s="2200" t="s">
        <v>2313</v>
      </c>
      <c r="G470" s="2200" t="s">
        <v>2038</v>
      </c>
      <c r="H470" s="2200" t="s">
        <v>2054</v>
      </c>
      <c r="I470" s="2742">
        <v>0</v>
      </c>
      <c r="J470" s="2742"/>
      <c r="K470" s="2752">
        <v>60</v>
      </c>
      <c r="L470" s="2745">
        <f t="shared" si="104"/>
        <v>0</v>
      </c>
      <c r="M470" s="2745">
        <f t="shared" si="113"/>
        <v>0</v>
      </c>
      <c r="N470" s="2745" t="str">
        <f t="shared" si="114"/>
        <v>check</v>
      </c>
      <c r="O470" s="1232">
        <f t="shared" si="115"/>
        <v>0.15</v>
      </c>
      <c r="P470" s="1227" t="str">
        <f t="shared" si="128"/>
        <v>275gsm CKB KANEOLI PE (StoraEnso Beihai)</v>
      </c>
      <c r="Q470" s="254">
        <v>0.40899999999999997</v>
      </c>
      <c r="R470" s="1228" t="str">
        <f t="shared" si="131"/>
        <v>275</v>
      </c>
      <c r="S470" s="2625">
        <f t="shared" si="111"/>
        <v>0</v>
      </c>
      <c r="T470" s="2747">
        <f>IF(L470&gt;0,IF(input!$B$2=$O$1,(((L470+Y470/22)+(L470+Y470/22)*$AG470+$X470)*$P$11+$M$7)/1000,(((L470+Y470/22)+(L470+Y470/22)*O470+(L470+Y470/22)*$AG470+$X470)*$P$11+$M$7)/1000),0)</f>
        <v>0</v>
      </c>
      <c r="U470" s="2747">
        <f t="shared" si="130"/>
        <v>0</v>
      </c>
      <c r="V470" s="1229"/>
      <c r="W470" s="1231" t="str">
        <f t="shared" si="112"/>
        <v>CPT</v>
      </c>
      <c r="X470" s="1230">
        <f t="shared" si="133"/>
        <v>0</v>
      </c>
      <c r="Y470" s="2625">
        <f t="shared" si="116"/>
        <v>0</v>
      </c>
      <c r="Z470" s="3208">
        <f t="shared" si="132"/>
        <v>838.18181818181813</v>
      </c>
      <c r="AA470" s="1220" t="s">
        <v>2131</v>
      </c>
      <c r="AB470" s="1220" t="s">
        <v>2130</v>
      </c>
      <c r="AC470" s="251" t="str">
        <f t="shared" si="117"/>
        <v>275gsm CKB KANEOLI PE (StoraEnso Beihai)</v>
      </c>
      <c r="AD470" s="2746">
        <f>IF(L470&gt;0,IF(input!$B$2=$O$1,(((M470)+(M470)*$M$10)*$P$11)/1000,(((M470)+(M470)*O470+(M470)*$M$10)*$P$11)/1000),0)</f>
        <v>0</v>
      </c>
      <c r="AE470" s="2746">
        <f>IF(L470&gt;0,IF(input!$B$2=$O$1,(((N470)+(N470)*$M$10)*$P$11)/1000,(((N470)+(N470)*O470+(N470)*$M$10)*$P$11)/1000),0)</f>
        <v>0</v>
      </c>
      <c r="AF470" s="136" t="str">
        <f t="shared" si="118"/>
        <v>FSC</v>
      </c>
      <c r="AG470" s="2628">
        <f t="shared" si="119"/>
        <v>1.6E-2</v>
      </c>
      <c r="AH470" s="1266">
        <v>0.1</v>
      </c>
    </row>
    <row r="471" spans="1:34" ht="12.75">
      <c r="A471" s="2199">
        <f t="shared" si="129"/>
        <v>459</v>
      </c>
      <c r="B471" s="2200" t="s">
        <v>2116</v>
      </c>
      <c r="C471" s="2743">
        <v>0</v>
      </c>
      <c r="D471" s="2743">
        <v>0</v>
      </c>
      <c r="E471" s="2949">
        <v>0.15</v>
      </c>
      <c r="F471" s="2200" t="s">
        <v>2313</v>
      </c>
      <c r="G471" s="2200" t="s">
        <v>2038</v>
      </c>
      <c r="H471" s="2200" t="s">
        <v>2054</v>
      </c>
      <c r="I471" s="2742">
        <v>0</v>
      </c>
      <c r="J471" s="2742"/>
      <c r="K471" s="2752">
        <v>60</v>
      </c>
      <c r="L471" s="2745">
        <f t="shared" si="104"/>
        <v>0</v>
      </c>
      <c r="M471" s="2745">
        <f t="shared" si="113"/>
        <v>0</v>
      </c>
      <c r="N471" s="2745" t="str">
        <f t="shared" si="114"/>
        <v>check</v>
      </c>
      <c r="O471" s="1232">
        <f t="shared" si="115"/>
        <v>0.15</v>
      </c>
      <c r="P471" s="1227" t="str">
        <f t="shared" si="128"/>
        <v>295gsm CKB KANEOLI PE (StoraEnso Beihai)</v>
      </c>
      <c r="Q471" s="254">
        <v>0.44900000000000001</v>
      </c>
      <c r="R471" s="1228" t="str">
        <f t="shared" si="131"/>
        <v>295</v>
      </c>
      <c r="S471" s="2625">
        <f t="shared" si="111"/>
        <v>0</v>
      </c>
      <c r="T471" s="2747">
        <f>IF(L471&gt;0,IF(input!$B$2=$O$1,(((L471+Y471/22)+(L471+Y471/22)*$AG471+$X471)*$P$11+$M$7)/1000,(((L471+Y471/22)+(L471+Y471/22)*O471+(L471+Y471/22)*$AG471+$X471)*$P$11+$M$7)/1000),0)</f>
        <v>0</v>
      </c>
      <c r="U471" s="2747">
        <f t="shared" si="130"/>
        <v>0</v>
      </c>
      <c r="V471" s="1229"/>
      <c r="W471" s="1231" t="str">
        <f t="shared" si="112"/>
        <v>CPT</v>
      </c>
      <c r="X471" s="1230">
        <f t="shared" si="133"/>
        <v>0</v>
      </c>
      <c r="Y471" s="2625">
        <f t="shared" si="116"/>
        <v>0</v>
      </c>
      <c r="Z471" s="3208">
        <f t="shared" si="132"/>
        <v>838.18181818181813</v>
      </c>
      <c r="AA471" s="1220" t="s">
        <v>2131</v>
      </c>
      <c r="AB471" s="1220" t="s">
        <v>2130</v>
      </c>
      <c r="AC471" s="251" t="str">
        <f t="shared" si="117"/>
        <v>295gsm CKB KANEOLI PE (StoraEnso Beihai)</v>
      </c>
      <c r="AD471" s="2746">
        <f>IF(L471&gt;0,IF(input!$B$2=$O$1,(((M471)+(M471)*$M$10)*$P$11)/1000,(((M471)+(M471)*O471+(M471)*$M$10)*$P$11)/1000),0)</f>
        <v>0</v>
      </c>
      <c r="AE471" s="2746">
        <f>IF(L471&gt;0,IF(input!$B$2=$O$1,(((N471)+(N471)*$M$10)*$P$11)/1000,(((N471)+(N471)*O471+(N471)*$M$10)*$P$11)/1000),0)</f>
        <v>0</v>
      </c>
      <c r="AF471" s="136" t="str">
        <f t="shared" si="118"/>
        <v>FSC</v>
      </c>
      <c r="AG471" s="2628">
        <f t="shared" si="119"/>
        <v>1.6E-2</v>
      </c>
      <c r="AH471" s="1266">
        <v>0.1</v>
      </c>
    </row>
    <row r="472" spans="1:34" ht="12.75">
      <c r="A472" s="2199">
        <f t="shared" si="129"/>
        <v>460</v>
      </c>
      <c r="B472" s="2200" t="s">
        <v>2117</v>
      </c>
      <c r="C472" s="2743">
        <v>0</v>
      </c>
      <c r="D472" s="2743">
        <v>0</v>
      </c>
      <c r="E472" s="2949">
        <v>0.15</v>
      </c>
      <c r="F472" s="2200" t="s">
        <v>2313</v>
      </c>
      <c r="G472" s="2200" t="s">
        <v>2038</v>
      </c>
      <c r="H472" s="2200" t="s">
        <v>2054</v>
      </c>
      <c r="I472" s="2742">
        <v>0</v>
      </c>
      <c r="J472" s="2742"/>
      <c r="K472" s="2752">
        <v>60</v>
      </c>
      <c r="L472" s="2745">
        <f t="shared" si="104"/>
        <v>0</v>
      </c>
      <c r="M472" s="2745">
        <f t="shared" si="113"/>
        <v>0</v>
      </c>
      <c r="N472" s="2745" t="str">
        <f t="shared" si="114"/>
        <v>check</v>
      </c>
      <c r="O472" s="1232">
        <f t="shared" si="115"/>
        <v>0.15</v>
      </c>
      <c r="P472" s="1227" t="str">
        <f t="shared" si="128"/>
        <v>325gsm CKB KANEOLI PE (StoraEnso Beihai)</v>
      </c>
      <c r="Q472" s="254">
        <v>0.504</v>
      </c>
      <c r="R472" s="1228" t="str">
        <f t="shared" si="131"/>
        <v>325</v>
      </c>
      <c r="S472" s="2625">
        <f t="shared" si="111"/>
        <v>0</v>
      </c>
      <c r="T472" s="2747">
        <f>IF(L472&gt;0,IF(input!$B$2=$O$1,(((L472+Y472/22)+(L472+Y472/22)*$AG472+$X472)*$P$11+$M$7)/1000,(((L472+Y472/22)+(L472+Y472/22)*O472+(L472+Y472/22)*$AG472+$X472)*$P$11+$M$7)/1000),0)</f>
        <v>0</v>
      </c>
      <c r="U472" s="2747">
        <f t="shared" si="130"/>
        <v>0</v>
      </c>
      <c r="V472" s="1229"/>
      <c r="W472" s="1231" t="str">
        <f t="shared" si="112"/>
        <v>CPT</v>
      </c>
      <c r="X472" s="1230">
        <f t="shared" si="133"/>
        <v>0</v>
      </c>
      <c r="Y472" s="2625">
        <f t="shared" si="116"/>
        <v>0</v>
      </c>
      <c r="Z472" s="3208">
        <f t="shared" si="132"/>
        <v>838.18181818181813</v>
      </c>
      <c r="AA472" s="1220" t="s">
        <v>2131</v>
      </c>
      <c r="AB472" s="1220" t="s">
        <v>2130</v>
      </c>
      <c r="AC472" s="251" t="str">
        <f t="shared" si="117"/>
        <v>325gsm CKB KANEOLI PE (StoraEnso Beihai)</v>
      </c>
      <c r="AD472" s="2746">
        <f>IF(L472&gt;0,IF(input!$B$2=$O$1,(((M472)+(M472)*$M$10)*$P$11)/1000,(((M472)+(M472)*O472+(M472)*$M$10)*$P$11)/1000),0)</f>
        <v>0</v>
      </c>
      <c r="AE472" s="2746">
        <f>IF(L472&gt;0,IF(input!$B$2=$O$1,(((N472)+(N472)*$M$10)*$P$11)/1000,(((N472)+(N472)*O472+(N472)*$M$10)*$P$11)/1000),0)</f>
        <v>0</v>
      </c>
      <c r="AF472" s="136" t="str">
        <f t="shared" si="118"/>
        <v>FSC</v>
      </c>
      <c r="AG472" s="2628">
        <f t="shared" si="119"/>
        <v>1.6E-2</v>
      </c>
      <c r="AH472" s="1266">
        <v>0.1</v>
      </c>
    </row>
    <row r="473" spans="1:34" ht="12.75">
      <c r="A473" s="2199">
        <f t="shared" si="129"/>
        <v>461</v>
      </c>
      <c r="B473" s="2200" t="s">
        <v>2118</v>
      </c>
      <c r="C473" s="2743">
        <v>0</v>
      </c>
      <c r="D473" s="2743">
        <v>0</v>
      </c>
      <c r="E473" s="2949">
        <v>0.15</v>
      </c>
      <c r="F473" s="2200" t="s">
        <v>2313</v>
      </c>
      <c r="G473" s="2200" t="s">
        <v>2038</v>
      </c>
      <c r="H473" s="2200" t="s">
        <v>2054</v>
      </c>
      <c r="I473" s="2742">
        <v>0</v>
      </c>
      <c r="J473" s="2742"/>
      <c r="K473" s="2752">
        <v>60</v>
      </c>
      <c r="L473" s="2745">
        <f t="shared" si="104"/>
        <v>0</v>
      </c>
      <c r="M473" s="2745">
        <f t="shared" si="113"/>
        <v>0</v>
      </c>
      <c r="N473" s="2745" t="str">
        <f t="shared" si="114"/>
        <v>check</v>
      </c>
      <c r="O473" s="1232">
        <f t="shared" si="115"/>
        <v>0.15</v>
      </c>
      <c r="P473" s="1227" t="str">
        <f t="shared" si="128"/>
        <v>350gsm CKB KANEOLI PE (StoraEnso Beihai)</v>
      </c>
      <c r="Q473" s="254">
        <v>0.55900000000000005</v>
      </c>
      <c r="R473" s="1228" t="str">
        <f t="shared" si="131"/>
        <v>350</v>
      </c>
      <c r="S473" s="2625">
        <f t="shared" si="111"/>
        <v>0</v>
      </c>
      <c r="T473" s="2747">
        <f>IF(L473&gt;0,IF(input!$B$2=$O$1,(((L473+Y473/22)+(L473+Y473/22)*$AG473+$X473)*$P$11+$M$7)/1000,(((L473+Y473/22)+(L473+Y473/22)*O473+(L473+Y473/22)*$AG473+$X473)*$P$11+$M$7)/1000),0)</f>
        <v>0</v>
      </c>
      <c r="U473" s="2747">
        <f t="shared" si="130"/>
        <v>0</v>
      </c>
      <c r="V473" s="1229"/>
      <c r="W473" s="1231" t="str">
        <f t="shared" si="112"/>
        <v>CPT</v>
      </c>
      <c r="X473" s="1230">
        <f t="shared" si="133"/>
        <v>0</v>
      </c>
      <c r="Y473" s="2625">
        <f t="shared" si="116"/>
        <v>0</v>
      </c>
      <c r="Z473" s="3208">
        <f t="shared" si="132"/>
        <v>838.18181818181813</v>
      </c>
      <c r="AA473" s="1220" t="s">
        <v>2131</v>
      </c>
      <c r="AB473" s="1220" t="s">
        <v>2130</v>
      </c>
      <c r="AC473" s="251" t="str">
        <f t="shared" si="117"/>
        <v>350gsm CKB KANEOLI PE (StoraEnso Beihai)</v>
      </c>
      <c r="AD473" s="2746">
        <f>IF(L473&gt;0,IF(input!$B$2=$O$1,(((M473)+(M473)*$M$10)*$P$11)/1000,(((M473)+(M473)*O473+(M473)*$M$10)*$P$11)/1000),0)</f>
        <v>0</v>
      </c>
      <c r="AE473" s="2746">
        <f>IF(L473&gt;0,IF(input!$B$2=$O$1,(((N473)+(N473)*$M$10)*$P$11)/1000,(((N473)+(N473)*O473+(N473)*$M$10)*$P$11)/1000),0)</f>
        <v>0</v>
      </c>
      <c r="AF473" s="136" t="str">
        <f t="shared" si="118"/>
        <v>FSC</v>
      </c>
      <c r="AG473" s="2628">
        <f t="shared" si="119"/>
        <v>1.6E-2</v>
      </c>
      <c r="AH473" s="1266">
        <v>0.1</v>
      </c>
    </row>
    <row r="474" spans="1:34" ht="12.75">
      <c r="A474" s="2199">
        <f t="shared" si="129"/>
        <v>462</v>
      </c>
      <c r="B474" s="2200" t="s">
        <v>2119</v>
      </c>
      <c r="C474" s="2743">
        <v>0</v>
      </c>
      <c r="D474" s="2743">
        <v>0</v>
      </c>
      <c r="E474" s="2949">
        <v>0.15</v>
      </c>
      <c r="F474" s="2200" t="s">
        <v>2313</v>
      </c>
      <c r="G474" s="2200" t="s">
        <v>2038</v>
      </c>
      <c r="H474" s="2200" t="s">
        <v>2054</v>
      </c>
      <c r="I474" s="2742">
        <v>0</v>
      </c>
      <c r="J474" s="2742"/>
      <c r="K474" s="2752">
        <v>60</v>
      </c>
      <c r="L474" s="2745">
        <f t="shared" si="104"/>
        <v>0</v>
      </c>
      <c r="M474" s="2745">
        <f t="shared" si="113"/>
        <v>0</v>
      </c>
      <c r="N474" s="2745" t="str">
        <f t="shared" si="114"/>
        <v>check</v>
      </c>
      <c r="O474" s="1232">
        <f t="shared" si="115"/>
        <v>0.15</v>
      </c>
      <c r="P474" s="1227" t="str">
        <f t="shared" si="128"/>
        <v>385gsm CKB KANEOLI PE (StoraEnso Beihai)</v>
      </c>
      <c r="Q474" s="254">
        <v>0.60899999999999999</v>
      </c>
      <c r="R474" s="1228" t="str">
        <f t="shared" si="131"/>
        <v>385</v>
      </c>
      <c r="S474" s="2625">
        <f t="shared" si="111"/>
        <v>0</v>
      </c>
      <c r="T474" s="2747">
        <f>IF(L474&gt;0,IF(input!$B$2=$O$1,(((L474+Y474/22)+(L474+Y474/22)*$AG474+$X474)*$P$11+$M$7)/1000,(((L474+Y474/22)+(L474+Y474/22)*O474+(L474+Y474/22)*$AG474+$X474)*$P$11+$M$7)/1000),0)</f>
        <v>0</v>
      </c>
      <c r="U474" s="2747">
        <f t="shared" si="130"/>
        <v>0</v>
      </c>
      <c r="V474" s="1229"/>
      <c r="W474" s="1231" t="str">
        <f t="shared" si="112"/>
        <v>CPT</v>
      </c>
      <c r="X474" s="1230">
        <f t="shared" si="133"/>
        <v>0</v>
      </c>
      <c r="Y474" s="2625">
        <f t="shared" si="116"/>
        <v>0</v>
      </c>
      <c r="Z474" s="3208">
        <f t="shared" si="132"/>
        <v>838.18181818181813</v>
      </c>
      <c r="AA474" s="1220" t="s">
        <v>2131</v>
      </c>
      <c r="AB474" s="1220" t="s">
        <v>2130</v>
      </c>
      <c r="AC474" s="251" t="str">
        <f t="shared" si="117"/>
        <v>385gsm CKB KANEOLI PE (StoraEnso Beihai)</v>
      </c>
      <c r="AD474" s="2746">
        <f>IF(L474&gt;0,IF(input!$B$2=$O$1,(((M474)+(M474)*$M$10)*$P$11)/1000,(((M474)+(M474)*O474+(M474)*$M$10)*$P$11)/1000),0)</f>
        <v>0</v>
      </c>
      <c r="AE474" s="2746">
        <f>IF(L474&gt;0,IF(input!$B$2=$O$1,(((N474)+(N474)*$M$10)*$P$11)/1000,(((N474)+(N474)*O474+(N474)*$M$10)*$P$11)/1000),0)</f>
        <v>0</v>
      </c>
      <c r="AF474" s="136" t="str">
        <f t="shared" si="118"/>
        <v>FSC</v>
      </c>
      <c r="AG474" s="2628">
        <f t="shared" si="119"/>
        <v>1.6E-2</v>
      </c>
      <c r="AH474" s="1266">
        <v>0.1</v>
      </c>
    </row>
    <row r="475" spans="1:34" ht="12.75">
      <c r="A475" s="2199">
        <f t="shared" si="129"/>
        <v>463</v>
      </c>
      <c r="B475" s="2200" t="s">
        <v>2550</v>
      </c>
      <c r="C475" s="2743">
        <v>0</v>
      </c>
      <c r="D475" s="2743">
        <v>0</v>
      </c>
      <c r="E475" s="2949">
        <v>0.1</v>
      </c>
      <c r="F475" s="2200" t="s">
        <v>2313</v>
      </c>
      <c r="G475" s="2200" t="s">
        <v>2038</v>
      </c>
      <c r="H475" s="2200" t="s">
        <v>1057</v>
      </c>
      <c r="I475" s="2742">
        <v>0</v>
      </c>
      <c r="J475" s="2742"/>
      <c r="K475" s="2752">
        <v>90</v>
      </c>
      <c r="L475" s="2745">
        <f t="shared" si="104"/>
        <v>0</v>
      </c>
      <c r="M475" s="2745">
        <f t="shared" si="113"/>
        <v>0</v>
      </c>
      <c r="N475" s="2745" t="str">
        <f t="shared" si="114"/>
        <v>check</v>
      </c>
      <c r="O475" s="1232">
        <f t="shared" si="115"/>
        <v>0.1</v>
      </c>
      <c r="P475" s="1227" t="str">
        <f t="shared" si="128"/>
        <v>205gsm CKB KLAFOLD (Klabin Brazil)</v>
      </c>
      <c r="Q475" s="254">
        <v>0.252</v>
      </c>
      <c r="R475" s="1228" t="str">
        <f t="shared" si="131"/>
        <v>205</v>
      </c>
      <c r="S475" s="2625">
        <f t="shared" si="111"/>
        <v>0</v>
      </c>
      <c r="T475" s="2747">
        <f>IF(L475&gt;0,IF(input!$B$2=$O$1,(((L475+Y475/22)+(L475+Y475/22)*$AG475+$X475)*$P$11+$M$7)/1000,(((L475+Y475/22)+(L475+Y475/22)*O475+(L475+Y475/22)*$AG475+$X475)*$P$11+$M$7)/1000),0)</f>
        <v>0</v>
      </c>
      <c r="U475" s="2747">
        <f t="shared" si="130"/>
        <v>0</v>
      </c>
      <c r="V475" s="1229"/>
      <c r="W475" s="1231" t="str">
        <f t="shared" si="112"/>
        <v>CIF</v>
      </c>
      <c r="X475" s="1230">
        <f t="shared" si="133"/>
        <v>0</v>
      </c>
      <c r="Y475" s="2625">
        <f t="shared" si="116"/>
        <v>0</v>
      </c>
      <c r="Z475" s="3208">
        <f t="shared" si="132"/>
        <v>838.18181818181813</v>
      </c>
      <c r="AA475" s="1220" t="s">
        <v>2827</v>
      </c>
      <c r="AB475" s="1220" t="s">
        <v>2130</v>
      </c>
      <c r="AC475" s="251" t="str">
        <f t="shared" si="117"/>
        <v>205gsm CKB KLAFOLD (Klabin Brazil)</v>
      </c>
      <c r="AD475" s="2746">
        <f>IF(L475&gt;0,IF(input!$B$2=$O$1,(((M475)+(M475)*$M$10)*$P$11)/1000,(((M475)+(M475)*O475+(M475)*$M$10)*$P$11)/1000),0)</f>
        <v>0</v>
      </c>
      <c r="AE475" s="2746">
        <f>IF(L475&gt;0,IF(input!$B$2=$O$1,(((N475)+(N475)*$M$10)*$P$11)/1000,(((N475)+(N475)*O475+(N475)*$M$10)*$P$11)/1000),0)</f>
        <v>0</v>
      </c>
      <c r="AF475" s="136" t="str">
        <f t="shared" si="118"/>
        <v>FSC</v>
      </c>
      <c r="AG475" s="2628">
        <f t="shared" si="119"/>
        <v>2.4E-2</v>
      </c>
      <c r="AH475" s="1266">
        <v>0.1</v>
      </c>
    </row>
    <row r="476" spans="1:34" ht="12.75">
      <c r="A476" s="2199">
        <f t="shared" si="129"/>
        <v>464</v>
      </c>
      <c r="B476" s="2200" t="s">
        <v>2551</v>
      </c>
      <c r="C476" s="2743">
        <v>0</v>
      </c>
      <c r="D476" s="2743">
        <v>0</v>
      </c>
      <c r="E476" s="2949">
        <v>0.1</v>
      </c>
      <c r="F476" s="2200" t="s">
        <v>2313</v>
      </c>
      <c r="G476" s="2200" t="s">
        <v>2038</v>
      </c>
      <c r="H476" s="2200" t="s">
        <v>1057</v>
      </c>
      <c r="I476" s="2742">
        <v>0</v>
      </c>
      <c r="J476" s="2742"/>
      <c r="K476" s="2752">
        <v>90</v>
      </c>
      <c r="L476" s="2745">
        <f t="shared" si="104"/>
        <v>0</v>
      </c>
      <c r="M476" s="2745">
        <f t="shared" si="113"/>
        <v>0</v>
      </c>
      <c r="N476" s="2745" t="str">
        <f t="shared" si="114"/>
        <v>check</v>
      </c>
      <c r="O476" s="1232">
        <f t="shared" si="115"/>
        <v>0.1</v>
      </c>
      <c r="P476" s="1227" t="str">
        <f t="shared" si="128"/>
        <v>227gsm CKB KLAFOLD (Klabin Brazil)</v>
      </c>
      <c r="Q476" s="254">
        <v>0.28799999999999998</v>
      </c>
      <c r="R476" s="1228" t="str">
        <f t="shared" si="131"/>
        <v>227</v>
      </c>
      <c r="S476" s="2625">
        <f t="shared" si="111"/>
        <v>0</v>
      </c>
      <c r="T476" s="2747">
        <f>IF(L476&gt;0,IF(input!$B$2=$O$1,(((L476+Y476/22)+(L476+Y476/22)*$AG476+$X476)*$P$11+$M$7)/1000,(((L476+Y476/22)+(L476+Y476/22)*O476+(L476+Y476/22)*$AG476+$X476)*$P$11+$M$7)/1000),0)</f>
        <v>0</v>
      </c>
      <c r="U476" s="2747">
        <f t="shared" si="130"/>
        <v>0</v>
      </c>
      <c r="V476" s="1229"/>
      <c r="W476" s="1231" t="str">
        <f t="shared" si="112"/>
        <v>CIF</v>
      </c>
      <c r="X476" s="1230">
        <f t="shared" si="133"/>
        <v>0</v>
      </c>
      <c r="Y476" s="2625">
        <f t="shared" si="116"/>
        <v>0</v>
      </c>
      <c r="Z476" s="3208">
        <f t="shared" si="132"/>
        <v>838.18181818181813</v>
      </c>
      <c r="AA476" s="1220" t="s">
        <v>2827</v>
      </c>
      <c r="AB476" s="1220" t="s">
        <v>2130</v>
      </c>
      <c r="AC476" s="251" t="str">
        <f t="shared" si="117"/>
        <v>227gsm CKB KLAFOLD (Klabin Brazil)</v>
      </c>
      <c r="AD476" s="2746">
        <f>IF(L476&gt;0,IF(input!$B$2=$O$1,(((M476)+(M476)*$M$10)*$P$11)/1000,(((M476)+(M476)*O476+(M476)*$M$10)*$P$11)/1000),0)</f>
        <v>0</v>
      </c>
      <c r="AE476" s="2746">
        <f>IF(L476&gt;0,IF(input!$B$2=$O$1,(((N476)+(N476)*$M$10)*$P$11)/1000,(((N476)+(N476)*O476+(N476)*$M$10)*$P$11)/1000),0)</f>
        <v>0</v>
      </c>
      <c r="AF476" s="136" t="str">
        <f t="shared" si="118"/>
        <v>FSC</v>
      </c>
      <c r="AG476" s="2628">
        <f t="shared" si="119"/>
        <v>2.4E-2</v>
      </c>
      <c r="AH476" s="1266">
        <v>0.1</v>
      </c>
    </row>
    <row r="477" spans="1:34" ht="12.75">
      <c r="A477" s="2199">
        <f t="shared" si="129"/>
        <v>465</v>
      </c>
      <c r="B477" s="2200" t="s">
        <v>2552</v>
      </c>
      <c r="C477" s="2743">
        <v>0</v>
      </c>
      <c r="D477" s="2743">
        <v>0</v>
      </c>
      <c r="E477" s="2949">
        <v>0.1</v>
      </c>
      <c r="F477" s="2200" t="s">
        <v>2313</v>
      </c>
      <c r="G477" s="2200" t="s">
        <v>2038</v>
      </c>
      <c r="H477" s="2200" t="s">
        <v>1057</v>
      </c>
      <c r="I477" s="2742">
        <v>0</v>
      </c>
      <c r="J477" s="2742"/>
      <c r="K477" s="2752">
        <v>90</v>
      </c>
      <c r="L477" s="2745">
        <f t="shared" si="104"/>
        <v>0</v>
      </c>
      <c r="M477" s="2745">
        <f t="shared" si="113"/>
        <v>0</v>
      </c>
      <c r="N477" s="2745" t="str">
        <f t="shared" si="114"/>
        <v>check</v>
      </c>
      <c r="O477" s="1232">
        <f t="shared" si="115"/>
        <v>0.1</v>
      </c>
      <c r="P477" s="1227" t="str">
        <f t="shared" si="128"/>
        <v>233gsm CKB KLAFOLD (Klabin Brazil)</v>
      </c>
      <c r="Q477" s="254">
        <v>0.32800000000000001</v>
      </c>
      <c r="R477" s="1228" t="str">
        <f t="shared" si="131"/>
        <v>233</v>
      </c>
      <c r="S477" s="2625">
        <f t="shared" si="111"/>
        <v>0</v>
      </c>
      <c r="T477" s="2747">
        <f>IF(L477&gt;0,IF(input!$B$2=$O$1,(((L477+Y477/22)+(L477+Y477/22)*$AG477+$X477)*$P$11+$M$7)/1000,(((L477+Y477/22)+(L477+Y477/22)*O477+(L477+Y477/22)*$AG477+$X477)*$P$11+$M$7)/1000),0)</f>
        <v>0</v>
      </c>
      <c r="U477" s="2747">
        <f t="shared" si="130"/>
        <v>0</v>
      </c>
      <c r="V477" s="1229"/>
      <c r="W477" s="1231" t="str">
        <f t="shared" si="112"/>
        <v>CIF</v>
      </c>
      <c r="X477" s="1230">
        <f t="shared" si="133"/>
        <v>0</v>
      </c>
      <c r="Y477" s="2625">
        <f t="shared" si="116"/>
        <v>0</v>
      </c>
      <c r="Z477" s="3208">
        <f t="shared" si="132"/>
        <v>838.18181818181813</v>
      </c>
      <c r="AA477" s="1220" t="s">
        <v>2827</v>
      </c>
      <c r="AB477" s="1220" t="s">
        <v>2130</v>
      </c>
      <c r="AC477" s="251" t="str">
        <f t="shared" si="117"/>
        <v>233gsm CKB KLAFOLD (Klabin Brazil)</v>
      </c>
      <c r="AD477" s="2746">
        <f>IF(L477&gt;0,IF(input!$B$2=$O$1,(((M477)+(M477)*$M$10)*$P$11)/1000,(((M477)+(M477)*O477+(M477)*$M$10)*$P$11)/1000),0)</f>
        <v>0</v>
      </c>
      <c r="AE477" s="2746">
        <f>IF(L477&gt;0,IF(input!$B$2=$O$1,(((N477)+(N477)*$M$10)*$P$11)/1000,(((N477)+(N477)*O477+(N477)*$M$10)*$P$11)/1000),0)</f>
        <v>0</v>
      </c>
      <c r="AF477" s="136" t="str">
        <f t="shared" si="118"/>
        <v>FSC</v>
      </c>
      <c r="AG477" s="2628">
        <f t="shared" si="119"/>
        <v>2.4E-2</v>
      </c>
      <c r="AH477" s="1266">
        <v>0.1</v>
      </c>
    </row>
    <row r="478" spans="1:34" ht="12.75">
      <c r="A478" s="2199">
        <f t="shared" si="129"/>
        <v>466</v>
      </c>
      <c r="B478" s="2200" t="s">
        <v>2553</v>
      </c>
      <c r="C478" s="2743">
        <v>0</v>
      </c>
      <c r="D478" s="2743">
        <v>0</v>
      </c>
      <c r="E478" s="2949">
        <v>0.1</v>
      </c>
      <c r="F478" s="2200" t="s">
        <v>2313</v>
      </c>
      <c r="G478" s="2200" t="s">
        <v>2038</v>
      </c>
      <c r="H478" s="2200" t="s">
        <v>1057</v>
      </c>
      <c r="I478" s="2742">
        <v>0</v>
      </c>
      <c r="J478" s="2742"/>
      <c r="K478" s="2752">
        <v>90</v>
      </c>
      <c r="L478" s="2745">
        <f t="shared" si="104"/>
        <v>0</v>
      </c>
      <c r="M478" s="2745">
        <f t="shared" si="113"/>
        <v>0</v>
      </c>
      <c r="N478" s="2745" t="str">
        <f t="shared" si="114"/>
        <v>check</v>
      </c>
      <c r="O478" s="1232">
        <f t="shared" si="115"/>
        <v>0.1</v>
      </c>
      <c r="P478" s="1227" t="str">
        <f t="shared" si="128"/>
        <v>250gsm CKB KLAFOLD (Klabin Brazil)</v>
      </c>
      <c r="Q478" s="254">
        <v>0.375</v>
      </c>
      <c r="R478" s="1228" t="str">
        <f t="shared" si="131"/>
        <v>250</v>
      </c>
      <c r="S478" s="2625">
        <f t="shared" si="111"/>
        <v>0</v>
      </c>
      <c r="T478" s="2747">
        <f>IF(L478&gt;0,IF(input!$B$2=$O$1,(((L478+Y478/22)+(L478+Y478/22)*$AG478+$X478)*$P$11+$M$7)/1000,(((L478+Y478/22)+(L478+Y478/22)*O478+(L478+Y478/22)*$AG478+$X478)*$P$11+$M$7)/1000),0)</f>
        <v>0</v>
      </c>
      <c r="U478" s="2747">
        <f t="shared" si="130"/>
        <v>0</v>
      </c>
      <c r="V478" s="1229"/>
      <c r="W478" s="1231" t="str">
        <f t="shared" si="112"/>
        <v>CIF</v>
      </c>
      <c r="X478" s="1230">
        <f t="shared" si="133"/>
        <v>0</v>
      </c>
      <c r="Y478" s="2625">
        <f t="shared" si="116"/>
        <v>0</v>
      </c>
      <c r="Z478" s="3208">
        <f t="shared" si="132"/>
        <v>838.18181818181813</v>
      </c>
      <c r="AA478" s="1220" t="s">
        <v>2827</v>
      </c>
      <c r="AB478" s="1220" t="s">
        <v>2130</v>
      </c>
      <c r="AC478" s="251" t="str">
        <f t="shared" si="117"/>
        <v>250gsm CKB KLAFOLD (Klabin Brazil)</v>
      </c>
      <c r="AD478" s="2746">
        <f>IF(L478&gt;0,IF(input!$B$2=$O$1,(((M478)+(M478)*$M$10)*$P$11)/1000,(((M478)+(M478)*O478+(M478)*$M$10)*$P$11)/1000),0)</f>
        <v>0</v>
      </c>
      <c r="AE478" s="2746">
        <f>IF(L478&gt;0,IF(input!$B$2=$O$1,(((N478)+(N478)*$M$10)*$P$11)/1000,(((N478)+(N478)*O478+(N478)*$M$10)*$P$11)/1000),0)</f>
        <v>0</v>
      </c>
      <c r="AF478" s="136" t="str">
        <f t="shared" si="118"/>
        <v>FSC</v>
      </c>
      <c r="AG478" s="2628">
        <f t="shared" si="119"/>
        <v>2.4E-2</v>
      </c>
      <c r="AH478" s="1266">
        <v>0.1</v>
      </c>
    </row>
    <row r="479" spans="1:34" ht="12.75">
      <c r="A479" s="2199">
        <f t="shared" si="129"/>
        <v>467</v>
      </c>
      <c r="B479" s="2200" t="s">
        <v>2554</v>
      </c>
      <c r="C479" s="2743">
        <v>0</v>
      </c>
      <c r="D479" s="2743">
        <v>0</v>
      </c>
      <c r="E479" s="2949">
        <v>0.1</v>
      </c>
      <c r="F479" s="2200" t="s">
        <v>2313</v>
      </c>
      <c r="G479" s="2200" t="s">
        <v>2038</v>
      </c>
      <c r="H479" s="2200" t="s">
        <v>1057</v>
      </c>
      <c r="I479" s="2742">
        <v>0</v>
      </c>
      <c r="J479" s="2742"/>
      <c r="K479" s="2752">
        <v>90</v>
      </c>
      <c r="L479" s="2745">
        <f t="shared" si="104"/>
        <v>0</v>
      </c>
      <c r="M479" s="2745">
        <f t="shared" si="113"/>
        <v>0</v>
      </c>
      <c r="N479" s="2745" t="str">
        <f t="shared" si="114"/>
        <v>check</v>
      </c>
      <c r="O479" s="1232">
        <f t="shared" si="115"/>
        <v>0.1</v>
      </c>
      <c r="P479" s="1227" t="str">
        <f t="shared" si="128"/>
        <v>276gsm CKB KLAFOLD (Klabin Brazil)</v>
      </c>
      <c r="Q479" s="254">
        <v>0.39929999999999999</v>
      </c>
      <c r="R479" s="1228" t="str">
        <f t="shared" si="131"/>
        <v>276</v>
      </c>
      <c r="S479" s="2625">
        <f t="shared" si="111"/>
        <v>0</v>
      </c>
      <c r="T479" s="2747">
        <f>IF(L479&gt;0,IF(input!$B$2=$O$1,(((L479+Y479/22)+(L479+Y479/22)*$AG479+$X479)*$P$11+$M$7)/1000,(((L479+Y479/22)+(L479+Y479/22)*O479+(L479+Y479/22)*$AG479+$X479)*$P$11+$M$7)/1000),0)</f>
        <v>0</v>
      </c>
      <c r="U479" s="2747">
        <f t="shared" si="130"/>
        <v>0</v>
      </c>
      <c r="V479" s="1229"/>
      <c r="W479" s="1231" t="str">
        <f t="shared" si="112"/>
        <v>CIF</v>
      </c>
      <c r="X479" s="1230">
        <f t="shared" si="133"/>
        <v>0</v>
      </c>
      <c r="Y479" s="2625">
        <f t="shared" si="116"/>
        <v>0</v>
      </c>
      <c r="Z479" s="3208">
        <f t="shared" si="132"/>
        <v>838.18181818181813</v>
      </c>
      <c r="AA479" s="1220" t="s">
        <v>2827</v>
      </c>
      <c r="AB479" s="1220" t="s">
        <v>2130</v>
      </c>
      <c r="AC479" s="251" t="str">
        <f t="shared" si="117"/>
        <v>276gsm CKB KLAFOLD (Klabin Brazil)</v>
      </c>
      <c r="AD479" s="2746">
        <f>IF(L479&gt;0,IF(input!$B$2=$O$1,(((M479)+(M479)*$M$10)*$P$11)/1000,(((M479)+(M479)*O479+(M479)*$M$10)*$P$11)/1000),0)</f>
        <v>0</v>
      </c>
      <c r="AE479" s="2746">
        <f>IF(L479&gt;0,IF(input!$B$2=$O$1,(((N479)+(N479)*$M$10)*$P$11)/1000,(((N479)+(N479)*O479+(N479)*$M$10)*$P$11)/1000),0)</f>
        <v>0</v>
      </c>
      <c r="AF479" s="136" t="str">
        <f t="shared" si="118"/>
        <v>FSC</v>
      </c>
      <c r="AG479" s="2628">
        <f t="shared" si="119"/>
        <v>2.4E-2</v>
      </c>
      <c r="AH479" s="1266">
        <v>0.1</v>
      </c>
    </row>
    <row r="480" spans="1:34" ht="12.75">
      <c r="A480" s="2199">
        <f t="shared" si="129"/>
        <v>468</v>
      </c>
      <c r="B480" s="2200" t="s">
        <v>2555</v>
      </c>
      <c r="C480" s="2743">
        <v>0</v>
      </c>
      <c r="D480" s="2743">
        <v>0</v>
      </c>
      <c r="E480" s="2949">
        <v>0.1</v>
      </c>
      <c r="F480" s="2200" t="s">
        <v>2313</v>
      </c>
      <c r="G480" s="2200" t="s">
        <v>2038</v>
      </c>
      <c r="H480" s="2200" t="s">
        <v>1057</v>
      </c>
      <c r="I480" s="2742">
        <v>0</v>
      </c>
      <c r="J480" s="2742"/>
      <c r="K480" s="2752">
        <v>90</v>
      </c>
      <c r="L480" s="2745">
        <f t="shared" si="104"/>
        <v>0</v>
      </c>
      <c r="M480" s="2745">
        <f t="shared" si="113"/>
        <v>0</v>
      </c>
      <c r="N480" s="2745" t="str">
        <f t="shared" si="114"/>
        <v>check</v>
      </c>
      <c r="O480" s="1232">
        <f t="shared" si="115"/>
        <v>0.1</v>
      </c>
      <c r="P480" s="1227" t="str">
        <f t="shared" si="128"/>
        <v>285gsm CKB KLAFOLD (Klabin Brazil)</v>
      </c>
      <c r="Q480" s="254">
        <v>0.45500000000000002</v>
      </c>
      <c r="R480" s="1228" t="str">
        <f t="shared" si="131"/>
        <v>285</v>
      </c>
      <c r="S480" s="2625">
        <f t="shared" si="111"/>
        <v>0</v>
      </c>
      <c r="T480" s="2747">
        <f>IF(L480&gt;0,IF(input!$B$2=$O$1,(((L480+Y480/22)+(L480+Y480/22)*$AG480+$X480)*$P$11+$M$7)/1000,(((L480+Y480/22)+(L480+Y480/22)*O480+(L480+Y480/22)*$AG480+$X480)*$P$11+$M$7)/1000),0)</f>
        <v>0</v>
      </c>
      <c r="U480" s="2747">
        <f t="shared" si="130"/>
        <v>0</v>
      </c>
      <c r="V480" s="1229"/>
      <c r="W480" s="1231" t="str">
        <f t="shared" si="112"/>
        <v>CIF</v>
      </c>
      <c r="X480" s="1230">
        <f t="shared" si="133"/>
        <v>0</v>
      </c>
      <c r="Y480" s="2625">
        <f t="shared" si="116"/>
        <v>0</v>
      </c>
      <c r="Z480" s="3208">
        <f t="shared" si="132"/>
        <v>838.18181818181813</v>
      </c>
      <c r="AA480" s="1220" t="s">
        <v>2827</v>
      </c>
      <c r="AB480" s="1220" t="s">
        <v>2130</v>
      </c>
      <c r="AC480" s="251" t="str">
        <f t="shared" si="117"/>
        <v>285gsm CKB KLAFOLD (Klabin Brazil)</v>
      </c>
      <c r="AD480" s="2746">
        <f>IF(L480&gt;0,IF(input!$B$2=$O$1,(((M480)+(M480)*$M$10)*$P$11)/1000,(((M480)+(M480)*O480+(M480)*$M$10)*$P$11)/1000),0)</f>
        <v>0</v>
      </c>
      <c r="AE480" s="2746">
        <f>IF(L480&gt;0,IF(input!$B$2=$O$1,(((N480)+(N480)*$M$10)*$P$11)/1000,(((N480)+(N480)*O480+(N480)*$M$10)*$P$11)/1000),0)</f>
        <v>0</v>
      </c>
      <c r="AF480" s="136" t="str">
        <f t="shared" si="118"/>
        <v>FSC</v>
      </c>
      <c r="AG480" s="2628">
        <f t="shared" si="119"/>
        <v>2.4E-2</v>
      </c>
      <c r="AH480" s="1266">
        <v>0.1</v>
      </c>
    </row>
    <row r="481" spans="1:34" ht="12.75">
      <c r="A481" s="2199">
        <f t="shared" si="129"/>
        <v>469</v>
      </c>
      <c r="B481" s="2200" t="s">
        <v>2556</v>
      </c>
      <c r="C481" s="2743">
        <v>0</v>
      </c>
      <c r="D481" s="2743">
        <v>0</v>
      </c>
      <c r="E481" s="2949">
        <v>0.1</v>
      </c>
      <c r="F481" s="2200" t="s">
        <v>2313</v>
      </c>
      <c r="G481" s="2200" t="s">
        <v>2038</v>
      </c>
      <c r="H481" s="2200" t="s">
        <v>1057</v>
      </c>
      <c r="I481" s="2742">
        <v>0</v>
      </c>
      <c r="J481" s="2742"/>
      <c r="K481" s="2752">
        <v>90</v>
      </c>
      <c r="L481" s="2745">
        <f t="shared" si="104"/>
        <v>0</v>
      </c>
      <c r="M481" s="2745">
        <f t="shared" si="113"/>
        <v>0</v>
      </c>
      <c r="N481" s="2745" t="str">
        <f t="shared" si="114"/>
        <v>check</v>
      </c>
      <c r="O481" s="1232">
        <f t="shared" si="115"/>
        <v>0.1</v>
      </c>
      <c r="P481" s="1227" t="str">
        <f t="shared" si="128"/>
        <v>312gsm CKB KLAFOLD (Klabin Brazil)</v>
      </c>
      <c r="Q481" s="254">
        <v>0.505</v>
      </c>
      <c r="R481" s="1228" t="str">
        <f t="shared" si="131"/>
        <v>312</v>
      </c>
      <c r="S481" s="2625">
        <f t="shared" si="111"/>
        <v>0</v>
      </c>
      <c r="T481" s="2747">
        <f>IF(L481&gt;0,IF(input!$B$2=$O$1,(((L481+Y481/22)+(L481+Y481/22)*$AG481+$X481)*$P$11+$M$7)/1000,(((L481+Y481/22)+(L481+Y481/22)*O481+(L481+Y481/22)*$AG481+$X481)*$P$11+$M$7)/1000),0)</f>
        <v>0</v>
      </c>
      <c r="U481" s="2747">
        <f t="shared" si="130"/>
        <v>0</v>
      </c>
      <c r="V481" s="1229"/>
      <c r="W481" s="1231" t="str">
        <f t="shared" si="112"/>
        <v>CIF</v>
      </c>
      <c r="X481" s="1230">
        <f t="shared" si="133"/>
        <v>0</v>
      </c>
      <c r="Y481" s="2625">
        <f t="shared" si="116"/>
        <v>0</v>
      </c>
      <c r="Z481" s="3208">
        <f t="shared" si="132"/>
        <v>838.18181818181813</v>
      </c>
      <c r="AA481" s="1220" t="s">
        <v>2827</v>
      </c>
      <c r="AB481" s="1220" t="s">
        <v>2130</v>
      </c>
      <c r="AC481" s="251" t="str">
        <f t="shared" si="117"/>
        <v>312gsm CKB KLAFOLD (Klabin Brazil)</v>
      </c>
      <c r="AD481" s="2746">
        <f>IF(L481&gt;0,IF(input!$B$2=$O$1,(((M481)+(M481)*$M$10)*$P$11)/1000,(((M481)+(M481)*O481+(M481)*$M$10)*$P$11)/1000),0)</f>
        <v>0</v>
      </c>
      <c r="AE481" s="2746">
        <f>IF(L481&gt;0,IF(input!$B$2=$O$1,(((N481)+(N481)*$M$10)*$P$11)/1000,(((N481)+(N481)*O481+(N481)*$M$10)*$P$11)/1000),0)</f>
        <v>0</v>
      </c>
      <c r="AF481" s="136" t="str">
        <f t="shared" si="118"/>
        <v>FSC</v>
      </c>
      <c r="AG481" s="2628">
        <f t="shared" si="119"/>
        <v>2.4E-2</v>
      </c>
      <c r="AH481" s="1266">
        <v>0.1</v>
      </c>
    </row>
    <row r="482" spans="1:34" ht="12.75">
      <c r="A482" s="2199">
        <f t="shared" si="129"/>
        <v>470</v>
      </c>
      <c r="B482" s="2200" t="s">
        <v>2557</v>
      </c>
      <c r="C482" s="2743">
        <v>0</v>
      </c>
      <c r="D482" s="2743">
        <v>0</v>
      </c>
      <c r="E482" s="2949">
        <v>0.1</v>
      </c>
      <c r="F482" s="2200" t="s">
        <v>2313</v>
      </c>
      <c r="G482" s="2200" t="s">
        <v>2038</v>
      </c>
      <c r="H482" s="2200" t="s">
        <v>1057</v>
      </c>
      <c r="I482" s="2742">
        <v>0</v>
      </c>
      <c r="J482" s="2742"/>
      <c r="K482" s="2752">
        <v>90</v>
      </c>
      <c r="L482" s="2745">
        <f t="shared" si="104"/>
        <v>0</v>
      </c>
      <c r="M482" s="2745">
        <f t="shared" si="113"/>
        <v>0</v>
      </c>
      <c r="N482" s="2745" t="str">
        <f t="shared" si="114"/>
        <v>check</v>
      </c>
      <c r="O482" s="1232">
        <f t="shared" si="115"/>
        <v>0.1</v>
      </c>
      <c r="P482" s="1227" t="str">
        <f t="shared" si="128"/>
        <v>332gsm CKB KLAFOLD (Klabin Brazil)</v>
      </c>
      <c r="Q482" s="254">
        <v>0.54</v>
      </c>
      <c r="R482" s="1228" t="str">
        <f t="shared" si="131"/>
        <v>332</v>
      </c>
      <c r="S482" s="2625">
        <f t="shared" si="111"/>
        <v>0</v>
      </c>
      <c r="T482" s="2747">
        <f>IF(L482&gt;0,IF(input!$B$2=$O$1,(((L482+Y482/22)+(L482+Y482/22)*$AG482+$X482)*$P$11+$M$7)/1000,(((L482+Y482/22)+(L482+Y482/22)*O482+(L482+Y482/22)*$AG482+$X482)*$P$11+$M$7)/1000),0)</f>
        <v>0</v>
      </c>
      <c r="U482" s="2747">
        <f t="shared" si="130"/>
        <v>0</v>
      </c>
      <c r="V482" s="1229"/>
      <c r="W482" s="1231" t="str">
        <f t="shared" si="112"/>
        <v>CIF</v>
      </c>
      <c r="X482" s="1230">
        <f t="shared" si="133"/>
        <v>0</v>
      </c>
      <c r="Y482" s="2625">
        <f t="shared" si="116"/>
        <v>0</v>
      </c>
      <c r="Z482" s="3208">
        <f t="shared" si="132"/>
        <v>838.18181818181813</v>
      </c>
      <c r="AA482" s="1220" t="s">
        <v>2827</v>
      </c>
      <c r="AB482" s="1220" t="s">
        <v>2130</v>
      </c>
      <c r="AC482" s="251" t="str">
        <f t="shared" si="117"/>
        <v>332gsm CKB KLAFOLD (Klabin Brazil)</v>
      </c>
      <c r="AD482" s="2746">
        <f>IF(L482&gt;0,IF(input!$B$2=$O$1,(((M482)+(M482)*$M$10)*$P$11)/1000,(((M482)+(M482)*O482+(M482)*$M$10)*$P$11)/1000),0)</f>
        <v>0</v>
      </c>
      <c r="AE482" s="2746">
        <f>IF(L482&gt;0,IF(input!$B$2=$O$1,(((N482)+(N482)*$M$10)*$P$11)/1000,(((N482)+(N482)*O482+(N482)*$M$10)*$P$11)/1000),0)</f>
        <v>0</v>
      </c>
      <c r="AF482" s="136" t="str">
        <f t="shared" si="118"/>
        <v>FSC</v>
      </c>
      <c r="AG482" s="2628">
        <f t="shared" si="119"/>
        <v>2.4E-2</v>
      </c>
      <c r="AH482" s="1266">
        <v>0.1</v>
      </c>
    </row>
    <row r="483" spans="1:34" ht="12.75">
      <c r="A483" s="2199">
        <f t="shared" si="129"/>
        <v>471</v>
      </c>
      <c r="B483" s="2200" t="s">
        <v>2558</v>
      </c>
      <c r="C483" s="2743">
        <v>0</v>
      </c>
      <c r="D483" s="2743">
        <v>0</v>
      </c>
      <c r="E483" s="2949">
        <v>0.1</v>
      </c>
      <c r="F483" s="2200" t="s">
        <v>2313</v>
      </c>
      <c r="G483" s="2200" t="s">
        <v>2038</v>
      </c>
      <c r="H483" s="2200" t="s">
        <v>1057</v>
      </c>
      <c r="I483" s="2742">
        <v>0</v>
      </c>
      <c r="J483" s="2742"/>
      <c r="K483" s="2752">
        <v>90</v>
      </c>
      <c r="L483" s="2745">
        <f t="shared" si="104"/>
        <v>0</v>
      </c>
      <c r="M483" s="2745">
        <f t="shared" si="113"/>
        <v>0</v>
      </c>
      <c r="N483" s="2745" t="str">
        <f t="shared" si="114"/>
        <v>check</v>
      </c>
      <c r="O483" s="1232">
        <f t="shared" si="115"/>
        <v>0.1</v>
      </c>
      <c r="P483" s="1227" t="str">
        <f t="shared" si="128"/>
        <v>360gsm CKB KLAFOLD (Klabin Brazil)</v>
      </c>
      <c r="Q483" s="254">
        <v>0.6</v>
      </c>
      <c r="R483" s="1228" t="str">
        <f t="shared" si="131"/>
        <v>360</v>
      </c>
      <c r="S483" s="2625">
        <f t="shared" si="111"/>
        <v>0</v>
      </c>
      <c r="T483" s="2747">
        <f>IF(L483&gt;0,IF(input!$B$2=$O$1,(((L483+Y483/22)+(L483+Y483/22)*$AG483+$X483)*$P$11+$M$7)/1000,(((L483+Y483/22)+(L483+Y483/22)*O483+(L483+Y483/22)*$AG483+$X483)*$P$11+$M$7)/1000),0)</f>
        <v>0</v>
      </c>
      <c r="U483" s="2747">
        <f t="shared" si="130"/>
        <v>0</v>
      </c>
      <c r="V483" s="1229"/>
      <c r="W483" s="1231" t="str">
        <f t="shared" si="112"/>
        <v>CIF</v>
      </c>
      <c r="X483" s="1230">
        <f t="shared" si="133"/>
        <v>0</v>
      </c>
      <c r="Y483" s="2625">
        <f t="shared" si="116"/>
        <v>0</v>
      </c>
      <c r="Z483" s="3208">
        <f t="shared" si="132"/>
        <v>838.18181818181813</v>
      </c>
      <c r="AA483" s="1220" t="s">
        <v>2827</v>
      </c>
      <c r="AB483" s="1220" t="s">
        <v>2130</v>
      </c>
      <c r="AC483" s="251" t="str">
        <f t="shared" si="117"/>
        <v>360gsm CKB KLAFOLD (Klabin Brazil)</v>
      </c>
      <c r="AD483" s="2746">
        <f>IF(L483&gt;0,IF(input!$B$2=$O$1,(((M483)+(M483)*$M$10)*$P$11)/1000,(((M483)+(M483)*O483+(M483)*$M$10)*$P$11)/1000),0)</f>
        <v>0</v>
      </c>
      <c r="AE483" s="2746">
        <f>IF(L483&gt;0,IF(input!$B$2=$O$1,(((N483)+(N483)*$M$10)*$P$11)/1000,(((N483)+(N483)*O483+(N483)*$M$10)*$P$11)/1000),0)</f>
        <v>0</v>
      </c>
      <c r="AF483" s="136" t="str">
        <f t="shared" si="118"/>
        <v>FSC</v>
      </c>
      <c r="AG483" s="2628">
        <f t="shared" si="119"/>
        <v>2.4E-2</v>
      </c>
      <c r="AH483" s="1266">
        <v>0.1</v>
      </c>
    </row>
    <row r="484" spans="1:34" ht="12.75">
      <c r="A484" s="2199">
        <f t="shared" si="129"/>
        <v>472</v>
      </c>
      <c r="B484" s="2200" t="s">
        <v>2849</v>
      </c>
      <c r="C484" s="2743">
        <v>0</v>
      </c>
      <c r="D484" s="2743">
        <v>0</v>
      </c>
      <c r="E484" s="2949" t="s">
        <v>2313</v>
      </c>
      <c r="F484" s="2200" t="s">
        <v>2313</v>
      </c>
      <c r="G484" s="2200" t="s">
        <v>127</v>
      </c>
      <c r="H484" s="2200" t="s">
        <v>1057</v>
      </c>
      <c r="I484" s="2742">
        <v>0</v>
      </c>
      <c r="J484" s="2742"/>
      <c r="K484" s="2752">
        <v>45</v>
      </c>
      <c r="L484" s="2745">
        <f t="shared" si="104"/>
        <v>0</v>
      </c>
      <c r="M484" s="2745">
        <f t="shared" si="113"/>
        <v>0</v>
      </c>
      <c r="N484" s="2745" t="str">
        <f t="shared" si="114"/>
        <v>check</v>
      </c>
      <c r="O484" s="1232" t="str">
        <f t="shared" si="115"/>
        <v>check</v>
      </c>
      <c r="P484" s="1227" t="str">
        <f t="shared" si="128"/>
        <v>293gsm CKB Customkote (WestRock)</v>
      </c>
      <c r="Q484" s="254">
        <v>0.35599999999999998</v>
      </c>
      <c r="R484" s="1228" t="str">
        <f t="shared" si="131"/>
        <v>293</v>
      </c>
      <c r="S484" s="2625">
        <f t="shared" si="111"/>
        <v>0</v>
      </c>
      <c r="T484" s="2747">
        <f>IF(L484&gt;0,IF(input!$B$2=$O$1,(((L484+Y484/22)+(L484+Y484/22)*$AG484+$X484)*$P$11+$M$7)/1000,(((L484+Y484/22)+(L484+Y484/22)*O484+(L484+Y484/22)*$AG484+$X484)*$P$11+$M$7)/1000),0)</f>
        <v>0</v>
      </c>
      <c r="U484" s="2747">
        <f t="shared" si="130"/>
        <v>0</v>
      </c>
      <c r="V484" s="1229"/>
      <c r="W484" s="1231" t="str">
        <f t="shared" si="112"/>
        <v>CIF</v>
      </c>
      <c r="X484" s="1230">
        <f t="shared" si="133"/>
        <v>0</v>
      </c>
      <c r="Y484" s="2625">
        <f t="shared" si="116"/>
        <v>0</v>
      </c>
      <c r="Z484" s="3208">
        <f t="shared" si="132"/>
        <v>838.18181818181813</v>
      </c>
      <c r="AA484" s="1220" t="s">
        <v>2828</v>
      </c>
      <c r="AB484" s="1220" t="s">
        <v>2130</v>
      </c>
      <c r="AC484" s="251" t="str">
        <f t="shared" si="117"/>
        <v>293gsm CKB Customkote (WestRock)</v>
      </c>
      <c r="AD484" s="2746">
        <f>IF(L484&gt;0,IF(input!$B$2=$O$1,(((M484)+(M484)*$M$10)*$P$11)/1000,(((M484)+(M484)*O484+(M484)*$M$10)*$P$11)/1000),0)</f>
        <v>0</v>
      </c>
      <c r="AE484" s="2746">
        <f>IF(L484&gt;0,IF(input!$B$2=$O$1,(((N484)+(N484)*$M$10)*$P$11)/1000,(((N484)+(N484)*O484+(N484)*$M$10)*$P$11)/1000),0)</f>
        <v>0</v>
      </c>
      <c r="AF484" s="136" t="str">
        <f t="shared" si="118"/>
        <v>None</v>
      </c>
      <c r="AG484" s="2628">
        <f t="shared" si="119"/>
        <v>1.2E-2</v>
      </c>
      <c r="AH484" s="1266">
        <v>0.1</v>
      </c>
    </row>
    <row r="485" spans="1:34" ht="12.75">
      <c r="A485" s="2199">
        <f t="shared" si="129"/>
        <v>473</v>
      </c>
      <c r="B485" s="2200" t="s">
        <v>2850</v>
      </c>
      <c r="C485" s="2743">
        <v>0</v>
      </c>
      <c r="D485" s="2743">
        <v>0</v>
      </c>
      <c r="E485" s="2949" t="s">
        <v>2313</v>
      </c>
      <c r="F485" s="2200" t="s">
        <v>2313</v>
      </c>
      <c r="G485" s="2200" t="s">
        <v>127</v>
      </c>
      <c r="H485" s="2200" t="s">
        <v>1057</v>
      </c>
      <c r="I485" s="2742">
        <v>0</v>
      </c>
      <c r="J485" s="2742"/>
      <c r="K485" s="2752">
        <v>45</v>
      </c>
      <c r="L485" s="2745">
        <f t="shared" si="104"/>
        <v>0</v>
      </c>
      <c r="M485" s="2745">
        <f t="shared" si="113"/>
        <v>0</v>
      </c>
      <c r="N485" s="2745" t="str">
        <f t="shared" si="114"/>
        <v>check</v>
      </c>
      <c r="O485" s="1232" t="str">
        <f t="shared" si="115"/>
        <v>check</v>
      </c>
      <c r="P485" s="1227" t="str">
        <f t="shared" si="128"/>
        <v>317gsm CKB Customkote (WestRock)</v>
      </c>
      <c r="Q485" s="254">
        <v>0.38100000000000001</v>
      </c>
      <c r="R485" s="1228" t="str">
        <f t="shared" si="131"/>
        <v>317</v>
      </c>
      <c r="S485" s="2625">
        <f t="shared" si="111"/>
        <v>0</v>
      </c>
      <c r="T485" s="2747">
        <f>IF(L485&gt;0,IF(input!$B$2=$O$1,(((L485+Y485/22)+(L485+Y485/22)*$AG485+$X485)*$P$11+$M$7)/1000,(((L485+Y485/22)+(L485+Y485/22)*O485+(L485+Y485/22)*$AG485+$X485)*$P$11+$M$7)/1000),0)</f>
        <v>0</v>
      </c>
      <c r="U485" s="2747">
        <f t="shared" si="130"/>
        <v>0</v>
      </c>
      <c r="V485" s="1229"/>
      <c r="W485" s="1231" t="str">
        <f t="shared" si="112"/>
        <v>CIF</v>
      </c>
      <c r="X485" s="1230">
        <f t="shared" si="133"/>
        <v>0</v>
      </c>
      <c r="Y485" s="2625">
        <f t="shared" si="116"/>
        <v>0</v>
      </c>
      <c r="Z485" s="3208">
        <f t="shared" si="132"/>
        <v>838.18181818181813</v>
      </c>
      <c r="AA485" s="1220" t="s">
        <v>2828</v>
      </c>
      <c r="AB485" s="1220" t="s">
        <v>2130</v>
      </c>
      <c r="AC485" s="251" t="str">
        <f t="shared" si="117"/>
        <v>317gsm CKB Customkote (WestRock)</v>
      </c>
      <c r="AD485" s="2746">
        <f>IF(L485&gt;0,IF(input!$B$2=$O$1,(((M485)+(M485)*$M$10)*$P$11)/1000,(((M485)+(M485)*O485+(M485)*$M$10)*$P$11)/1000),0)</f>
        <v>0</v>
      </c>
      <c r="AE485" s="2746">
        <f>IF(L485&gt;0,IF(input!$B$2=$O$1,(((N485)+(N485)*$M$10)*$P$11)/1000,(((N485)+(N485)*O485+(N485)*$M$10)*$P$11)/1000),0)</f>
        <v>0</v>
      </c>
      <c r="AF485" s="136" t="str">
        <f t="shared" si="118"/>
        <v>None</v>
      </c>
      <c r="AG485" s="2628">
        <f t="shared" si="119"/>
        <v>1.2E-2</v>
      </c>
      <c r="AH485" s="1266">
        <v>0.1</v>
      </c>
    </row>
    <row r="486" spans="1:34" ht="12.75">
      <c r="A486" s="2199">
        <f t="shared" si="129"/>
        <v>474</v>
      </c>
      <c r="B486" s="2200" t="s">
        <v>2851</v>
      </c>
      <c r="C486" s="2743">
        <v>0</v>
      </c>
      <c r="D486" s="2743">
        <v>0</v>
      </c>
      <c r="E486" s="2949" t="s">
        <v>2313</v>
      </c>
      <c r="F486" s="2200" t="s">
        <v>2313</v>
      </c>
      <c r="G486" s="2200" t="s">
        <v>127</v>
      </c>
      <c r="H486" s="2200" t="s">
        <v>1057</v>
      </c>
      <c r="I486" s="2742">
        <v>0</v>
      </c>
      <c r="J486" s="2742"/>
      <c r="K486" s="2752">
        <v>45</v>
      </c>
      <c r="L486" s="2745">
        <f t="shared" si="104"/>
        <v>0</v>
      </c>
      <c r="M486" s="2745">
        <f t="shared" si="113"/>
        <v>0</v>
      </c>
      <c r="N486" s="2745" t="str">
        <f t="shared" si="114"/>
        <v>check</v>
      </c>
      <c r="O486" s="1232" t="str">
        <f t="shared" si="115"/>
        <v>check</v>
      </c>
      <c r="P486" s="1227" t="str">
        <f t="shared" si="128"/>
        <v>332gsm CKB Customkote (WestRock)</v>
      </c>
      <c r="Q486" s="254">
        <v>0.40600000000000003</v>
      </c>
      <c r="R486" s="1228" t="str">
        <f t="shared" si="131"/>
        <v>332</v>
      </c>
      <c r="S486" s="2625">
        <f t="shared" si="111"/>
        <v>0</v>
      </c>
      <c r="T486" s="2747">
        <f>IF(L486&gt;0,IF(input!$B$2=$O$1,(((L486+Y486/22)+(L486+Y486/22)*$AG486+$X486)*$P$11+$M$7)/1000,(((L486+Y486/22)+(L486+Y486/22)*O486+(L486+Y486/22)*$AG486+$X486)*$P$11+$M$7)/1000),0)</f>
        <v>0</v>
      </c>
      <c r="U486" s="2747">
        <f t="shared" si="130"/>
        <v>0</v>
      </c>
      <c r="V486" s="1229"/>
      <c r="W486" s="1231" t="str">
        <f t="shared" si="112"/>
        <v>CIF</v>
      </c>
      <c r="X486" s="1230">
        <f t="shared" si="133"/>
        <v>0</v>
      </c>
      <c r="Y486" s="2625">
        <f t="shared" si="116"/>
        <v>0</v>
      </c>
      <c r="Z486" s="3208">
        <f t="shared" si="132"/>
        <v>838.18181818181813</v>
      </c>
      <c r="AA486" s="1220" t="s">
        <v>2828</v>
      </c>
      <c r="AB486" s="1220" t="s">
        <v>2130</v>
      </c>
      <c r="AC486" s="251" t="str">
        <f t="shared" si="117"/>
        <v>332gsm CKB Customkote (WestRock)</v>
      </c>
      <c r="AD486" s="2746">
        <f>IF(L486&gt;0,IF(input!$B$2=$O$1,(((M486)+(M486)*$M$10)*$P$11)/1000,(((M486)+(M486)*O486+(M486)*$M$10)*$P$11)/1000),0)</f>
        <v>0</v>
      </c>
      <c r="AE486" s="2746">
        <f>IF(L486&gt;0,IF(input!$B$2=$O$1,(((N486)+(N486)*$M$10)*$P$11)/1000,(((N486)+(N486)*O486+(N486)*$M$10)*$P$11)/1000),0)</f>
        <v>0</v>
      </c>
      <c r="AF486" s="136" t="str">
        <f t="shared" si="118"/>
        <v>None</v>
      </c>
      <c r="AG486" s="2628">
        <f t="shared" si="119"/>
        <v>1.2E-2</v>
      </c>
      <c r="AH486" s="1266">
        <v>0.1</v>
      </c>
    </row>
    <row r="487" spans="1:34" ht="12.75">
      <c r="A487" s="2199">
        <f t="shared" si="129"/>
        <v>475</v>
      </c>
      <c r="B487" s="2200" t="s">
        <v>2852</v>
      </c>
      <c r="C487" s="2743">
        <v>0</v>
      </c>
      <c r="D487" s="2743">
        <v>0</v>
      </c>
      <c r="E487" s="2949" t="s">
        <v>2313</v>
      </c>
      <c r="F487" s="2200" t="s">
        <v>2313</v>
      </c>
      <c r="G487" s="2200" t="s">
        <v>127</v>
      </c>
      <c r="H487" s="2200" t="s">
        <v>1057</v>
      </c>
      <c r="I487" s="2742">
        <v>0</v>
      </c>
      <c r="J487" s="2742"/>
      <c r="K487" s="2752">
        <v>45</v>
      </c>
      <c r="L487" s="2745">
        <f t="shared" si="104"/>
        <v>0</v>
      </c>
      <c r="M487" s="2745">
        <f t="shared" si="113"/>
        <v>0</v>
      </c>
      <c r="N487" s="2745" t="str">
        <f t="shared" si="114"/>
        <v>check</v>
      </c>
      <c r="O487" s="1232" t="str">
        <f t="shared" si="115"/>
        <v>check</v>
      </c>
      <c r="P487" s="1227" t="str">
        <f t="shared" si="128"/>
        <v>347gsm CKB Customkote (WestRock)</v>
      </c>
      <c r="Q487" s="254">
        <v>0.432</v>
      </c>
      <c r="R487" s="1228" t="str">
        <f t="shared" si="131"/>
        <v>347</v>
      </c>
      <c r="S487" s="2625">
        <f t="shared" si="111"/>
        <v>0</v>
      </c>
      <c r="T487" s="2747">
        <f>IF(L487&gt;0,IF(input!$B$2=$O$1,(((L487+Y487/22)+(L487+Y487/22)*$AG487+$X487)*$P$11+$M$7)/1000,(((L487+Y487/22)+(L487+Y487/22)*O487+(L487+Y487/22)*$AG487+$X487)*$P$11+$M$7)/1000),0)</f>
        <v>0</v>
      </c>
      <c r="U487" s="2747">
        <f t="shared" si="130"/>
        <v>0</v>
      </c>
      <c r="V487" s="1229"/>
      <c r="W487" s="1231" t="str">
        <f t="shared" si="112"/>
        <v>CIF</v>
      </c>
      <c r="X487" s="1230">
        <f t="shared" si="133"/>
        <v>0</v>
      </c>
      <c r="Y487" s="2625">
        <f t="shared" si="116"/>
        <v>0</v>
      </c>
      <c r="Z487" s="3208">
        <f t="shared" si="132"/>
        <v>838.18181818181813</v>
      </c>
      <c r="AA487" s="1220" t="s">
        <v>2828</v>
      </c>
      <c r="AB487" s="1220" t="s">
        <v>2130</v>
      </c>
      <c r="AC487" s="251" t="str">
        <f t="shared" si="117"/>
        <v>347gsm CKB Customkote (WestRock)</v>
      </c>
      <c r="AD487" s="2746">
        <f>IF(L487&gt;0,IF(input!$B$2=$O$1,(((M487)+(M487)*$M$10)*$P$11)/1000,(((M487)+(M487)*O487+(M487)*$M$10)*$P$11)/1000),0)</f>
        <v>0</v>
      </c>
      <c r="AE487" s="2746">
        <f>IF(L487&gt;0,IF(input!$B$2=$O$1,(((N487)+(N487)*$M$10)*$P$11)/1000,(((N487)+(N487)*O487+(N487)*$M$10)*$P$11)/1000),0)</f>
        <v>0</v>
      </c>
      <c r="AF487" s="136" t="str">
        <f t="shared" si="118"/>
        <v>None</v>
      </c>
      <c r="AG487" s="2628">
        <f t="shared" si="119"/>
        <v>1.2E-2</v>
      </c>
      <c r="AH487" s="1266">
        <v>0.1</v>
      </c>
    </row>
    <row r="488" spans="1:34" ht="12.75">
      <c r="A488" s="2199">
        <f t="shared" si="129"/>
        <v>476</v>
      </c>
      <c r="B488" s="2200" t="s">
        <v>2853</v>
      </c>
      <c r="C488" s="2743">
        <v>0</v>
      </c>
      <c r="D488" s="2743">
        <v>0</v>
      </c>
      <c r="E488" s="2949" t="s">
        <v>2313</v>
      </c>
      <c r="F488" s="2200" t="s">
        <v>2313</v>
      </c>
      <c r="G488" s="2200" t="s">
        <v>127</v>
      </c>
      <c r="H488" s="2200" t="s">
        <v>1057</v>
      </c>
      <c r="I488" s="2742">
        <v>0</v>
      </c>
      <c r="J488" s="2742"/>
      <c r="K488" s="2752">
        <v>45</v>
      </c>
      <c r="L488" s="2745">
        <f t="shared" si="104"/>
        <v>0</v>
      </c>
      <c r="M488" s="2745">
        <f t="shared" si="113"/>
        <v>0</v>
      </c>
      <c r="N488" s="2745" t="str">
        <f t="shared" si="114"/>
        <v>check</v>
      </c>
      <c r="O488" s="1232" t="str">
        <f t="shared" si="115"/>
        <v>check</v>
      </c>
      <c r="P488" s="1227" t="str">
        <f t="shared" si="128"/>
        <v>361gsm CKB Customkote (WestRock)</v>
      </c>
      <c r="Q488" s="254">
        <v>0.45700000000000002</v>
      </c>
      <c r="R488" s="1228" t="str">
        <f t="shared" si="131"/>
        <v>361</v>
      </c>
      <c r="S488" s="2625">
        <f t="shared" si="111"/>
        <v>0</v>
      </c>
      <c r="T488" s="2747">
        <f>IF(L488&gt;0,IF(input!$B$2=$O$1,(((L488+Y488/22)+(L488+Y488/22)*$AG488+$X488)*$P$11+$M$7)/1000,(((L488+Y488/22)+(L488+Y488/22)*O488+(L488+Y488/22)*$AG488+$X488)*$P$11+$M$7)/1000),0)</f>
        <v>0</v>
      </c>
      <c r="U488" s="2747">
        <f t="shared" si="130"/>
        <v>0</v>
      </c>
      <c r="V488" s="1229"/>
      <c r="W488" s="1231" t="str">
        <f t="shared" si="112"/>
        <v>CIF</v>
      </c>
      <c r="X488" s="1230">
        <f t="shared" si="133"/>
        <v>0</v>
      </c>
      <c r="Y488" s="2625">
        <f t="shared" si="116"/>
        <v>0</v>
      </c>
      <c r="Z488" s="3208">
        <f t="shared" si="132"/>
        <v>838.18181818181813</v>
      </c>
      <c r="AA488" s="1220" t="s">
        <v>2828</v>
      </c>
      <c r="AB488" s="1220" t="s">
        <v>2130</v>
      </c>
      <c r="AC488" s="251" t="str">
        <f t="shared" si="117"/>
        <v>361gsm CKB Customkote (WestRock)</v>
      </c>
      <c r="AD488" s="2746">
        <f>IF(L488&gt;0,IF(input!$B$2=$O$1,(((M488)+(M488)*$M$10)*$P$11)/1000,(((M488)+(M488)*O488+(M488)*$M$10)*$P$11)/1000),0)</f>
        <v>0</v>
      </c>
      <c r="AE488" s="2746">
        <f>IF(L488&gt;0,IF(input!$B$2=$O$1,(((N488)+(N488)*$M$10)*$P$11)/1000,(((N488)+(N488)*O488+(N488)*$M$10)*$P$11)/1000),0)</f>
        <v>0</v>
      </c>
      <c r="AF488" s="136" t="str">
        <f t="shared" si="118"/>
        <v>None</v>
      </c>
      <c r="AG488" s="2628">
        <f t="shared" si="119"/>
        <v>1.2E-2</v>
      </c>
      <c r="AH488" s="1266">
        <v>0.1</v>
      </c>
    </row>
    <row r="489" spans="1:34" ht="12.75">
      <c r="A489" s="2199">
        <f t="shared" si="129"/>
        <v>477</v>
      </c>
      <c r="B489" s="2200" t="s">
        <v>2854</v>
      </c>
      <c r="C489" s="2743">
        <v>0</v>
      </c>
      <c r="D489" s="2743">
        <v>0</v>
      </c>
      <c r="E489" s="2949" t="s">
        <v>2313</v>
      </c>
      <c r="F489" s="2200" t="s">
        <v>2313</v>
      </c>
      <c r="G489" s="2200" t="s">
        <v>127</v>
      </c>
      <c r="H489" s="2200" t="s">
        <v>1057</v>
      </c>
      <c r="I489" s="2742">
        <v>0</v>
      </c>
      <c r="J489" s="2742"/>
      <c r="K489" s="2752">
        <v>45</v>
      </c>
      <c r="L489" s="2745">
        <f t="shared" si="104"/>
        <v>0</v>
      </c>
      <c r="M489" s="2745">
        <f t="shared" si="113"/>
        <v>0</v>
      </c>
      <c r="N489" s="2745" t="str">
        <f t="shared" si="114"/>
        <v>check</v>
      </c>
      <c r="O489" s="1232" t="str">
        <f t="shared" si="115"/>
        <v>check</v>
      </c>
      <c r="P489" s="1227" t="str">
        <f t="shared" si="128"/>
        <v>391gsm CKB Customkote (WestRock)</v>
      </c>
      <c r="Q489" s="254">
        <v>0.50800000000000001</v>
      </c>
      <c r="R489" s="1228" t="str">
        <f t="shared" si="131"/>
        <v>391</v>
      </c>
      <c r="S489" s="2625">
        <f t="shared" si="111"/>
        <v>0</v>
      </c>
      <c r="T489" s="2747">
        <f>IF(L489&gt;0,IF(input!$B$2=$O$1,(((L489+Y489/22)+(L489+Y489/22)*$AG489+$X489)*$P$11+$M$7)/1000,(((L489+Y489/22)+(L489+Y489/22)*O489+(L489+Y489/22)*$AG489+$X489)*$P$11+$M$7)/1000),0)</f>
        <v>0</v>
      </c>
      <c r="U489" s="2747">
        <f t="shared" si="130"/>
        <v>0</v>
      </c>
      <c r="V489" s="1229"/>
      <c r="W489" s="1231" t="str">
        <f t="shared" si="112"/>
        <v>CIF</v>
      </c>
      <c r="X489" s="1230">
        <f t="shared" si="133"/>
        <v>0</v>
      </c>
      <c r="Y489" s="2625">
        <f t="shared" si="116"/>
        <v>0</v>
      </c>
      <c r="Z489" s="3208">
        <f t="shared" si="132"/>
        <v>838.18181818181813</v>
      </c>
      <c r="AA489" s="1220" t="s">
        <v>2828</v>
      </c>
      <c r="AB489" s="1220" t="s">
        <v>2130</v>
      </c>
      <c r="AC489" s="251" t="str">
        <f t="shared" si="117"/>
        <v>391gsm CKB Customkote (WestRock)</v>
      </c>
      <c r="AD489" s="2746">
        <f>IF(L489&gt;0,IF(input!$B$2=$O$1,(((M489)+(M489)*$M$10)*$P$11)/1000,(((M489)+(M489)*O489+(M489)*$M$10)*$P$11)/1000),0)</f>
        <v>0</v>
      </c>
      <c r="AE489" s="2746">
        <f>IF(L489&gt;0,IF(input!$B$2=$O$1,(((N489)+(N489)*$M$10)*$P$11)/1000,(((N489)+(N489)*O489+(N489)*$M$10)*$P$11)/1000),0)</f>
        <v>0</v>
      </c>
      <c r="AF489" s="136" t="str">
        <f t="shared" si="118"/>
        <v>None</v>
      </c>
      <c r="AG489" s="2628">
        <f t="shared" si="119"/>
        <v>1.2E-2</v>
      </c>
      <c r="AH489" s="1266">
        <v>0.1</v>
      </c>
    </row>
    <row r="490" spans="1:34" ht="12.75">
      <c r="A490" s="2199">
        <f t="shared" si="129"/>
        <v>478</v>
      </c>
      <c r="B490" s="2200" t="s">
        <v>2855</v>
      </c>
      <c r="C490" s="2743">
        <v>0</v>
      </c>
      <c r="D490" s="2743">
        <v>0</v>
      </c>
      <c r="E490" s="2949" t="s">
        <v>2313</v>
      </c>
      <c r="F490" s="2200" t="s">
        <v>2313</v>
      </c>
      <c r="G490" s="2200" t="s">
        <v>127</v>
      </c>
      <c r="H490" s="2200" t="s">
        <v>1057</v>
      </c>
      <c r="I490" s="2742">
        <v>0</v>
      </c>
      <c r="J490" s="2742"/>
      <c r="K490" s="2752">
        <v>45</v>
      </c>
      <c r="L490" s="2745">
        <f t="shared" si="104"/>
        <v>0</v>
      </c>
      <c r="M490" s="2745">
        <f t="shared" si="113"/>
        <v>0</v>
      </c>
      <c r="N490" s="2745" t="str">
        <f t="shared" si="114"/>
        <v>check</v>
      </c>
      <c r="O490" s="1232" t="str">
        <f t="shared" si="115"/>
        <v>check</v>
      </c>
      <c r="P490" s="1227" t="str">
        <f t="shared" si="128"/>
        <v>420gsm CKB Customkote (WestRock)</v>
      </c>
      <c r="Q490" s="254">
        <v>0.55900000000000005</v>
      </c>
      <c r="R490" s="1228" t="str">
        <f t="shared" si="131"/>
        <v>420</v>
      </c>
      <c r="S490" s="2625">
        <f t="shared" si="111"/>
        <v>0</v>
      </c>
      <c r="T490" s="2747">
        <f>IF(L490&gt;0,IF(input!$B$2=$O$1,(((L490+Y490/22)+(L490+Y490/22)*$AG490+$X490)*$P$11+$M$7)/1000,(((L490+Y490/22)+(L490+Y490/22)*O490+(L490+Y490/22)*$AG490+$X490)*$P$11+$M$7)/1000),0)</f>
        <v>0</v>
      </c>
      <c r="U490" s="2747">
        <f t="shared" si="130"/>
        <v>0</v>
      </c>
      <c r="V490" s="1229"/>
      <c r="W490" s="1231" t="str">
        <f t="shared" si="112"/>
        <v>CIF</v>
      </c>
      <c r="X490" s="1230">
        <f t="shared" si="133"/>
        <v>0</v>
      </c>
      <c r="Y490" s="2625">
        <f t="shared" si="116"/>
        <v>0</v>
      </c>
      <c r="Z490" s="3208">
        <f t="shared" si="132"/>
        <v>838.18181818181813</v>
      </c>
      <c r="AA490" s="1220" t="s">
        <v>2828</v>
      </c>
      <c r="AB490" s="1220" t="s">
        <v>2130</v>
      </c>
      <c r="AC490" s="251" t="str">
        <f t="shared" si="117"/>
        <v>420gsm CKB Customkote (WestRock)</v>
      </c>
      <c r="AD490" s="2746">
        <f>IF(L490&gt;0,IF(input!$B$2=$O$1,(((M490)+(M490)*$M$10)*$P$11)/1000,(((M490)+(M490)*O490+(M490)*$M$10)*$P$11)/1000),0)</f>
        <v>0</v>
      </c>
      <c r="AE490" s="2746">
        <f>IF(L490&gt;0,IF(input!$B$2=$O$1,(((N490)+(N490)*$M$10)*$P$11)/1000,(((N490)+(N490)*O490+(N490)*$M$10)*$P$11)/1000),0)</f>
        <v>0</v>
      </c>
      <c r="AF490" s="136" t="str">
        <f t="shared" si="118"/>
        <v>None</v>
      </c>
      <c r="AG490" s="2628">
        <f t="shared" si="119"/>
        <v>1.2E-2</v>
      </c>
      <c r="AH490" s="1266">
        <v>0.1</v>
      </c>
    </row>
    <row r="491" spans="1:34" ht="12.75">
      <c r="A491" s="2199">
        <f t="shared" si="129"/>
        <v>479</v>
      </c>
      <c r="B491" s="2200" t="s">
        <v>2856</v>
      </c>
      <c r="C491" s="2743">
        <v>0</v>
      </c>
      <c r="D491" s="2743">
        <v>0</v>
      </c>
      <c r="E491" s="2949" t="s">
        <v>2313</v>
      </c>
      <c r="F491" s="2200" t="s">
        <v>2313</v>
      </c>
      <c r="G491" s="2200" t="s">
        <v>127</v>
      </c>
      <c r="H491" s="2200" t="s">
        <v>1057</v>
      </c>
      <c r="I491" s="2742">
        <v>0</v>
      </c>
      <c r="J491" s="2742"/>
      <c r="K491" s="2752">
        <v>45</v>
      </c>
      <c r="L491" s="2745">
        <f t="shared" si="104"/>
        <v>0</v>
      </c>
      <c r="M491" s="2745">
        <f t="shared" si="113"/>
        <v>0</v>
      </c>
      <c r="N491" s="2745" t="str">
        <f t="shared" si="114"/>
        <v>check</v>
      </c>
      <c r="O491" s="1232" t="str">
        <f t="shared" si="115"/>
        <v>check</v>
      </c>
      <c r="P491" s="1227" t="str">
        <f t="shared" si="128"/>
        <v>454gsm CKB Customkote (WestRock)</v>
      </c>
      <c r="Q491" s="254">
        <v>0.61</v>
      </c>
      <c r="R491" s="1228" t="str">
        <f t="shared" si="131"/>
        <v>454</v>
      </c>
      <c r="S491" s="2625">
        <f t="shared" si="111"/>
        <v>0</v>
      </c>
      <c r="T491" s="2747">
        <f>IF(L491&gt;0,IF(input!$B$2=$O$1,(((L491+Y491/22)+(L491+Y491/22)*$AG491+$X491)*$P$11+$M$7)/1000,(((L491+Y491/22)+(L491+Y491/22)*O491+(L491+Y491/22)*$AG491+$X491)*$P$11+$M$7)/1000),0)</f>
        <v>0</v>
      </c>
      <c r="U491" s="2747">
        <f t="shared" si="130"/>
        <v>0</v>
      </c>
      <c r="V491" s="1229"/>
      <c r="W491" s="1231" t="str">
        <f t="shared" si="112"/>
        <v>CIF</v>
      </c>
      <c r="X491" s="1230">
        <f t="shared" si="133"/>
        <v>0</v>
      </c>
      <c r="Y491" s="2625">
        <f t="shared" si="116"/>
        <v>0</v>
      </c>
      <c r="Z491" s="3208">
        <f t="shared" si="132"/>
        <v>838.18181818181813</v>
      </c>
      <c r="AA491" s="1220" t="s">
        <v>2828</v>
      </c>
      <c r="AB491" s="1220" t="s">
        <v>2130</v>
      </c>
      <c r="AC491" s="251" t="str">
        <f t="shared" si="117"/>
        <v>454gsm CKB Customkote (WestRock)</v>
      </c>
      <c r="AD491" s="2746">
        <f>IF(L491&gt;0,IF(input!$B$2=$O$1,(((M491)+(M491)*$M$10)*$P$11)/1000,(((M491)+(M491)*O491+(M491)*$M$10)*$P$11)/1000),0)</f>
        <v>0</v>
      </c>
      <c r="AE491" s="2746">
        <f>IF(L491&gt;0,IF(input!$B$2=$O$1,(((N491)+(N491)*$M$10)*$P$11)/1000,(((N491)+(N491)*O491+(N491)*$M$10)*$P$11)/1000),0)</f>
        <v>0</v>
      </c>
      <c r="AF491" s="136" t="str">
        <f t="shared" si="118"/>
        <v>None</v>
      </c>
      <c r="AG491" s="2628">
        <f t="shared" si="119"/>
        <v>1.2E-2</v>
      </c>
      <c r="AH491" s="1266">
        <v>0.1</v>
      </c>
    </row>
    <row r="492" spans="1:34" ht="12.75">
      <c r="A492" s="2199">
        <f t="shared" si="129"/>
        <v>480</v>
      </c>
      <c r="B492" s="2200" t="s">
        <v>2857</v>
      </c>
      <c r="C492" s="2743">
        <v>0</v>
      </c>
      <c r="D492" s="2743">
        <v>0</v>
      </c>
      <c r="E492" s="2949" t="s">
        <v>2313</v>
      </c>
      <c r="F492" s="2200" t="s">
        <v>2313</v>
      </c>
      <c r="G492" s="2200" t="s">
        <v>127</v>
      </c>
      <c r="H492" s="2200" t="s">
        <v>1057</v>
      </c>
      <c r="I492" s="2742">
        <v>0</v>
      </c>
      <c r="J492" s="2742"/>
      <c r="K492" s="2752">
        <v>45</v>
      </c>
      <c r="L492" s="2745">
        <f t="shared" si="104"/>
        <v>0</v>
      </c>
      <c r="M492" s="2745">
        <f t="shared" si="113"/>
        <v>0</v>
      </c>
      <c r="N492" s="2745" t="str">
        <f t="shared" si="114"/>
        <v>check</v>
      </c>
      <c r="O492" s="1232" t="str">
        <f t="shared" si="115"/>
        <v>check</v>
      </c>
      <c r="P492" s="1227" t="str">
        <f t="shared" si="128"/>
        <v>488gsm CKB Customkote (WestRock)</v>
      </c>
      <c r="Q492" s="254">
        <v>0.66</v>
      </c>
      <c r="R492" s="1228" t="str">
        <f t="shared" si="131"/>
        <v>488</v>
      </c>
      <c r="S492" s="2625">
        <f t="shared" si="111"/>
        <v>0</v>
      </c>
      <c r="T492" s="2747">
        <f>IF(L492&gt;0,IF(input!$B$2=$O$1,(((L492+Y492/22)+(L492+Y492/22)*$AG492+$X492)*$P$11+$M$7)/1000,(((L492+Y492/22)+(L492+Y492/22)*O492+(L492+Y492/22)*$AG492+$X492)*$P$11+$M$7)/1000),0)</f>
        <v>0</v>
      </c>
      <c r="U492" s="2747">
        <f t="shared" si="130"/>
        <v>0</v>
      </c>
      <c r="V492" s="1229"/>
      <c r="W492" s="1231" t="str">
        <f t="shared" si="112"/>
        <v>CIF</v>
      </c>
      <c r="X492" s="1230">
        <f t="shared" si="133"/>
        <v>0</v>
      </c>
      <c r="Y492" s="2625">
        <f t="shared" si="116"/>
        <v>0</v>
      </c>
      <c r="Z492" s="3208">
        <f t="shared" si="132"/>
        <v>838.18181818181813</v>
      </c>
      <c r="AA492" s="1220" t="s">
        <v>2828</v>
      </c>
      <c r="AB492" s="1220" t="s">
        <v>2130</v>
      </c>
      <c r="AC492" s="251" t="str">
        <f t="shared" si="117"/>
        <v>488gsm CKB Customkote (WestRock)</v>
      </c>
      <c r="AD492" s="2746">
        <f>IF(L492&gt;0,IF(input!$B$2=$O$1,(((M492)+(M492)*$M$10)*$P$11)/1000,(((M492)+(M492)*O492+(M492)*$M$10)*$P$11)/1000),0)</f>
        <v>0</v>
      </c>
      <c r="AE492" s="2746">
        <f>IF(L492&gt;0,IF(input!$B$2=$O$1,(((N492)+(N492)*$M$10)*$P$11)/1000,(((N492)+(N492)*O492+(N492)*$M$10)*$P$11)/1000),0)</f>
        <v>0</v>
      </c>
      <c r="AF492" s="136" t="str">
        <f t="shared" si="118"/>
        <v>None</v>
      </c>
      <c r="AG492" s="2628">
        <f t="shared" si="119"/>
        <v>1.2E-2</v>
      </c>
      <c r="AH492" s="1266">
        <v>0.1</v>
      </c>
    </row>
    <row r="493" spans="1:34" ht="12.75">
      <c r="A493" s="2199">
        <f t="shared" si="129"/>
        <v>481</v>
      </c>
      <c r="B493" s="2200" t="s">
        <v>2858</v>
      </c>
      <c r="C493" s="2743">
        <v>0</v>
      </c>
      <c r="D493" s="2743">
        <v>0</v>
      </c>
      <c r="E493" s="2949" t="s">
        <v>2313</v>
      </c>
      <c r="F493" s="2200" t="s">
        <v>2313</v>
      </c>
      <c r="G493" s="2200" t="s">
        <v>127</v>
      </c>
      <c r="H493" s="2200" t="s">
        <v>1057</v>
      </c>
      <c r="I493" s="2742">
        <v>0</v>
      </c>
      <c r="J493" s="2742"/>
      <c r="K493" s="2752">
        <v>45</v>
      </c>
      <c r="L493" s="2745">
        <f t="shared" si="104"/>
        <v>0</v>
      </c>
      <c r="M493" s="2745">
        <f t="shared" si="113"/>
        <v>0</v>
      </c>
      <c r="N493" s="2745" t="str">
        <f t="shared" si="114"/>
        <v>check</v>
      </c>
      <c r="O493" s="1232" t="str">
        <f t="shared" si="115"/>
        <v>check</v>
      </c>
      <c r="P493" s="1227" t="str">
        <f t="shared" si="128"/>
        <v>522gsm CKB Customkote (WestRock)</v>
      </c>
      <c r="Q493" s="254">
        <v>0.71099999999999997</v>
      </c>
      <c r="R493" s="1228" t="str">
        <f t="shared" si="131"/>
        <v>522</v>
      </c>
      <c r="S493" s="2625">
        <f t="shared" si="111"/>
        <v>0</v>
      </c>
      <c r="T493" s="2747">
        <f>IF(L493&gt;0,IF(input!$B$2=$O$1,(((L493+Y493/22)+(L493+Y493/22)*$AG493+$X493)*$P$11+$M$7)/1000,(((L493+Y493/22)+(L493+Y493/22)*O493+(L493+Y493/22)*$AG493+$X493)*$P$11+$M$7)/1000),0)</f>
        <v>0</v>
      </c>
      <c r="U493" s="2747">
        <f t="shared" si="130"/>
        <v>0</v>
      </c>
      <c r="V493" s="1229"/>
      <c r="W493" s="1231" t="str">
        <f t="shared" si="112"/>
        <v>CIF</v>
      </c>
      <c r="X493" s="1230">
        <f t="shared" si="133"/>
        <v>0</v>
      </c>
      <c r="Y493" s="2625">
        <f t="shared" si="116"/>
        <v>0</v>
      </c>
      <c r="Z493" s="3208">
        <f t="shared" si="132"/>
        <v>838.18181818181813</v>
      </c>
      <c r="AA493" s="1220" t="s">
        <v>2828</v>
      </c>
      <c r="AB493" s="1220" t="s">
        <v>2130</v>
      </c>
      <c r="AC493" s="251" t="str">
        <f t="shared" si="117"/>
        <v>522gsm CKB Customkote (WestRock)</v>
      </c>
      <c r="AD493" s="2746">
        <f>IF(L493&gt;0,IF(input!$B$2=$O$1,(((M493)+(M493)*$M$10)*$P$11)/1000,(((M493)+(M493)*O493+(M493)*$M$10)*$P$11)/1000),0)</f>
        <v>0</v>
      </c>
      <c r="AE493" s="2746">
        <f>IF(L493&gt;0,IF(input!$B$2=$O$1,(((N493)+(N493)*$M$10)*$P$11)/1000,(((N493)+(N493)*O493+(N493)*$M$10)*$P$11)/1000),0)</f>
        <v>0</v>
      </c>
      <c r="AF493" s="136" t="str">
        <f t="shared" si="118"/>
        <v>None</v>
      </c>
      <c r="AG493" s="2628">
        <f t="shared" si="119"/>
        <v>1.2E-2</v>
      </c>
      <c r="AH493" s="1266">
        <v>0.1</v>
      </c>
    </row>
    <row r="494" spans="1:34" ht="12.75">
      <c r="A494" s="2199">
        <f t="shared" si="129"/>
        <v>482</v>
      </c>
      <c r="B494" s="2200" t="s">
        <v>2859</v>
      </c>
      <c r="C494" s="2743">
        <v>0</v>
      </c>
      <c r="D494" s="2743">
        <v>0</v>
      </c>
      <c r="E494" s="2949" t="s">
        <v>2313</v>
      </c>
      <c r="F494" s="2200" t="s">
        <v>2313</v>
      </c>
      <c r="G494" s="2200" t="s">
        <v>127</v>
      </c>
      <c r="H494" s="2200" t="s">
        <v>1057</v>
      </c>
      <c r="I494" s="2742">
        <v>0</v>
      </c>
      <c r="J494" s="2742"/>
      <c r="K494" s="2752">
        <v>45</v>
      </c>
      <c r="L494" s="2745">
        <f t="shared" si="104"/>
        <v>0</v>
      </c>
      <c r="M494" s="2745">
        <f t="shared" si="113"/>
        <v>0</v>
      </c>
      <c r="N494" s="2745" t="str">
        <f t="shared" si="114"/>
        <v>check</v>
      </c>
      <c r="O494" s="1232" t="str">
        <f t="shared" si="115"/>
        <v>check</v>
      </c>
      <c r="P494" s="1227" t="str">
        <f t="shared" si="128"/>
        <v>557gsm CKB Customkote (WestRock)</v>
      </c>
      <c r="Q494" s="254">
        <v>0.76200000000000001</v>
      </c>
      <c r="R494" s="1228" t="str">
        <f t="shared" si="131"/>
        <v>557</v>
      </c>
      <c r="S494" s="2625">
        <f t="shared" si="111"/>
        <v>0</v>
      </c>
      <c r="T494" s="2747">
        <f>IF(L494&gt;0,IF(input!$B$2=$O$1,(((L494+Y494/22)+(L494+Y494/22)*$AG494+$X494)*$P$11+$M$7)/1000,(((L494+Y494/22)+(L494+Y494/22)*O494+(L494+Y494/22)*$AG494+$X494)*$P$11+$M$7)/1000),0)</f>
        <v>0</v>
      </c>
      <c r="U494" s="2747">
        <f t="shared" si="130"/>
        <v>0</v>
      </c>
      <c r="V494" s="1229"/>
      <c r="W494" s="1231" t="str">
        <f t="shared" si="112"/>
        <v>CIF</v>
      </c>
      <c r="X494" s="1230">
        <f t="shared" si="133"/>
        <v>0</v>
      </c>
      <c r="Y494" s="2625">
        <f t="shared" si="116"/>
        <v>0</v>
      </c>
      <c r="Z494" s="3208">
        <f t="shared" si="132"/>
        <v>838.18181818181813</v>
      </c>
      <c r="AA494" s="1220" t="s">
        <v>2828</v>
      </c>
      <c r="AB494" s="1220" t="s">
        <v>2130</v>
      </c>
      <c r="AC494" s="251" t="str">
        <f t="shared" si="117"/>
        <v>557gsm CKB Customkote (WestRock)</v>
      </c>
      <c r="AD494" s="2746">
        <f>IF(L494&gt;0,IF(input!$B$2=$O$1,(((M494)+(M494)*$M$10)*$P$11)/1000,(((M494)+(M494)*O494+(M494)*$M$10)*$P$11)/1000),0)</f>
        <v>0</v>
      </c>
      <c r="AE494" s="2746">
        <f>IF(L494&gt;0,IF(input!$B$2=$O$1,(((N494)+(N494)*$M$10)*$P$11)/1000,(((N494)+(N494)*O494+(N494)*$M$10)*$P$11)/1000),0)</f>
        <v>0</v>
      </c>
      <c r="AF494" s="136" t="str">
        <f t="shared" si="118"/>
        <v>None</v>
      </c>
      <c r="AG494" s="2628">
        <f t="shared" si="119"/>
        <v>1.2E-2</v>
      </c>
      <c r="AH494" s="1266">
        <v>0.1</v>
      </c>
    </row>
    <row r="495" spans="1:34" ht="12.75">
      <c r="A495" s="2199">
        <f t="shared" si="129"/>
        <v>483</v>
      </c>
      <c r="B495" s="2200" t="s">
        <v>2559</v>
      </c>
      <c r="C495" s="2743">
        <v>0</v>
      </c>
      <c r="D495" s="2743">
        <v>0</v>
      </c>
      <c r="E495" s="2949" t="s">
        <v>2313</v>
      </c>
      <c r="F495" s="2200" t="s">
        <v>2313</v>
      </c>
      <c r="G495" s="2200" t="s">
        <v>127</v>
      </c>
      <c r="H495" s="2200" t="s">
        <v>1057</v>
      </c>
      <c r="I495" s="2742">
        <v>0</v>
      </c>
      <c r="J495" s="2742"/>
      <c r="K495" s="2752">
        <v>45</v>
      </c>
      <c r="L495" s="2745">
        <f t="shared" si="104"/>
        <v>0</v>
      </c>
      <c r="M495" s="2745">
        <f t="shared" si="113"/>
        <v>0</v>
      </c>
      <c r="N495" s="2745" t="str">
        <f t="shared" si="114"/>
        <v>check</v>
      </c>
      <c r="O495" s="1232" t="str">
        <f t="shared" si="115"/>
        <v>check</v>
      </c>
      <c r="P495" s="1227" t="str">
        <f t="shared" si="128"/>
        <v>350gsm CKB BillerudKornas Carry</v>
      </c>
      <c r="Q495" s="254">
        <v>0.505</v>
      </c>
      <c r="R495" s="1228" t="str">
        <f t="shared" si="131"/>
        <v>350</v>
      </c>
      <c r="S495" s="2625">
        <f t="shared" si="111"/>
        <v>0</v>
      </c>
      <c r="T495" s="2747">
        <f>IF(L495&gt;0,IF(input!$B$2=$O$1,(((L495+Y495/22)+(L495+Y495/22)*$AG495+$X495)*$P$11+$M$7)/1000,(((L495+Y495/22)+(L495+Y495/22)*O495+(L495+Y495/22)*$AG495+$X495)*$P$11+$M$7)/1000),0)</f>
        <v>0</v>
      </c>
      <c r="U495" s="2747">
        <f t="shared" si="130"/>
        <v>0</v>
      </c>
      <c r="V495" s="1229"/>
      <c r="W495" s="1231" t="str">
        <f t="shared" si="112"/>
        <v>CIF</v>
      </c>
      <c r="X495" s="1230">
        <f t="shared" si="133"/>
        <v>0</v>
      </c>
      <c r="Y495" s="2625">
        <f t="shared" si="116"/>
        <v>0</v>
      </c>
      <c r="Z495" s="3208">
        <f t="shared" si="132"/>
        <v>838.18181818181813</v>
      </c>
      <c r="AA495" s="1220" t="s">
        <v>2829</v>
      </c>
      <c r="AB495" s="1220" t="s">
        <v>2130</v>
      </c>
      <c r="AC495" s="251" t="str">
        <f t="shared" si="117"/>
        <v>350gsm CKB BillerudKornas Carry</v>
      </c>
      <c r="AD495" s="2746">
        <f>IF(L495&gt;0,IF(input!$B$2=$O$1,(((M495)+(M495)*$M$10)*$P$11)/1000,(((M495)+(M495)*O495+(M495)*$M$10)*$P$11)/1000),0)</f>
        <v>0</v>
      </c>
      <c r="AE495" s="2746">
        <f>IF(L495&gt;0,IF(input!$B$2=$O$1,(((N495)+(N495)*$M$10)*$P$11)/1000,(((N495)+(N495)*O495+(N495)*$M$10)*$P$11)/1000),0)</f>
        <v>0</v>
      </c>
      <c r="AF495" s="136" t="str">
        <f t="shared" si="118"/>
        <v>None</v>
      </c>
      <c r="AG495" s="2628">
        <f t="shared" si="119"/>
        <v>1.2E-2</v>
      </c>
      <c r="AH495" s="1266">
        <v>0.1</v>
      </c>
    </row>
    <row r="496" spans="1:34" ht="12.75">
      <c r="A496" s="2199">
        <f t="shared" si="129"/>
        <v>484</v>
      </c>
      <c r="B496" s="2200" t="s">
        <v>2560</v>
      </c>
      <c r="C496" s="2743">
        <v>0</v>
      </c>
      <c r="D496" s="2743">
        <v>0</v>
      </c>
      <c r="E496" s="2949" t="s">
        <v>2313</v>
      </c>
      <c r="F496" s="2200" t="s">
        <v>2313</v>
      </c>
      <c r="G496" s="2200" t="s">
        <v>127</v>
      </c>
      <c r="H496" s="2200" t="s">
        <v>1057</v>
      </c>
      <c r="I496" s="2742">
        <v>0</v>
      </c>
      <c r="J496" s="2742"/>
      <c r="K496" s="2752">
        <v>45</v>
      </c>
      <c r="L496" s="2745">
        <f t="shared" si="104"/>
        <v>0</v>
      </c>
      <c r="M496" s="2745">
        <f t="shared" si="113"/>
        <v>0</v>
      </c>
      <c r="N496" s="2745" t="str">
        <f t="shared" si="114"/>
        <v>check</v>
      </c>
      <c r="O496" s="1232" t="str">
        <f t="shared" si="115"/>
        <v>check</v>
      </c>
      <c r="P496" s="1227" t="str">
        <f t="shared" si="128"/>
        <v>370gsm CKB BillerudKornas Carry</v>
      </c>
      <c r="Q496" s="254">
        <v>0.53500000000000003</v>
      </c>
      <c r="R496" s="1228" t="str">
        <f t="shared" si="131"/>
        <v>370</v>
      </c>
      <c r="S496" s="2625">
        <f t="shared" si="111"/>
        <v>0</v>
      </c>
      <c r="T496" s="2747">
        <f>IF(L496&gt;0,IF(input!$B$2=$O$1,(((L496+Y496/22)+(L496+Y496/22)*$AG496+$X496)*$P$11+$M$7)/1000,(((L496+Y496/22)+(L496+Y496/22)*O496+(L496+Y496/22)*$AG496+$X496)*$P$11+$M$7)/1000),0)</f>
        <v>0</v>
      </c>
      <c r="U496" s="2747">
        <f t="shared" si="130"/>
        <v>0</v>
      </c>
      <c r="V496" s="1229"/>
      <c r="W496" s="1231" t="str">
        <f t="shared" si="112"/>
        <v>CIF</v>
      </c>
      <c r="X496" s="1230">
        <f t="shared" si="133"/>
        <v>0</v>
      </c>
      <c r="Y496" s="2625">
        <f t="shared" si="116"/>
        <v>0</v>
      </c>
      <c r="Z496" s="3208">
        <f t="shared" si="132"/>
        <v>838.18181818181813</v>
      </c>
      <c r="AA496" s="1220" t="s">
        <v>2829</v>
      </c>
      <c r="AB496" s="1220" t="s">
        <v>2130</v>
      </c>
      <c r="AC496" s="251" t="str">
        <f t="shared" si="117"/>
        <v>370gsm CKB BillerudKornas Carry</v>
      </c>
      <c r="AD496" s="2746">
        <f>IF(L496&gt;0,IF(input!$B$2=$O$1,(((M496)+(M496)*$M$10)*$P$11)/1000,(((M496)+(M496)*O496+(M496)*$M$10)*$P$11)/1000),0)</f>
        <v>0</v>
      </c>
      <c r="AE496" s="2746">
        <f>IF(L496&gt;0,IF(input!$B$2=$O$1,(((N496)+(N496)*$M$10)*$P$11)/1000,(((N496)+(N496)*O496+(N496)*$M$10)*$P$11)/1000),0)</f>
        <v>0</v>
      </c>
      <c r="AF496" s="136" t="str">
        <f t="shared" si="118"/>
        <v>None</v>
      </c>
      <c r="AG496" s="2628">
        <f t="shared" si="119"/>
        <v>1.2E-2</v>
      </c>
      <c r="AH496" s="1266">
        <v>0.1</v>
      </c>
    </row>
    <row r="497" spans="1:34" ht="12.75">
      <c r="A497" s="2199">
        <f t="shared" si="129"/>
        <v>485</v>
      </c>
      <c r="B497" s="2200" t="s">
        <v>2561</v>
      </c>
      <c r="C497" s="2743">
        <v>0</v>
      </c>
      <c r="D497" s="2743">
        <v>0</v>
      </c>
      <c r="E497" s="2949" t="s">
        <v>2313</v>
      </c>
      <c r="F497" s="2200" t="s">
        <v>2313</v>
      </c>
      <c r="G497" s="2200" t="s">
        <v>127</v>
      </c>
      <c r="H497" s="2200" t="s">
        <v>1057</v>
      </c>
      <c r="I497" s="2742">
        <v>0</v>
      </c>
      <c r="J497" s="2742"/>
      <c r="K497" s="2752">
        <v>45</v>
      </c>
      <c r="L497" s="2745">
        <f t="shared" si="104"/>
        <v>0</v>
      </c>
      <c r="M497" s="2745">
        <f t="shared" si="113"/>
        <v>0</v>
      </c>
      <c r="N497" s="2745" t="str">
        <f t="shared" si="114"/>
        <v>check</v>
      </c>
      <c r="O497" s="1232" t="str">
        <f t="shared" si="115"/>
        <v>check</v>
      </c>
      <c r="P497" s="1227" t="str">
        <f t="shared" si="128"/>
        <v>400gsm CKB BillerudKornas Carry</v>
      </c>
      <c r="Q497" s="254">
        <v>0.58499999999999996</v>
      </c>
      <c r="R497" s="1228" t="str">
        <f t="shared" si="131"/>
        <v>400</v>
      </c>
      <c r="S497" s="2625">
        <f t="shared" si="111"/>
        <v>0</v>
      </c>
      <c r="T497" s="2747">
        <f>IF(L497&gt;0,IF(input!$B$2=$O$1,(((L497+Y497/22)+(L497+Y497/22)*$AG497+$X497)*$P$11+$M$7)/1000,(((L497+Y497/22)+(L497+Y497/22)*O497+(L497+Y497/22)*$AG497+$X497)*$P$11+$M$7)/1000),0)</f>
        <v>0</v>
      </c>
      <c r="U497" s="2747">
        <f t="shared" si="130"/>
        <v>0</v>
      </c>
      <c r="V497" s="1229"/>
      <c r="W497" s="1231" t="str">
        <f t="shared" si="112"/>
        <v>CIF</v>
      </c>
      <c r="X497" s="1230">
        <f t="shared" si="133"/>
        <v>0</v>
      </c>
      <c r="Y497" s="2625">
        <f t="shared" si="116"/>
        <v>0</v>
      </c>
      <c r="Z497" s="3208">
        <f t="shared" si="132"/>
        <v>838.18181818181813</v>
      </c>
      <c r="AA497" s="1220" t="s">
        <v>2829</v>
      </c>
      <c r="AB497" s="1220" t="s">
        <v>2130</v>
      </c>
      <c r="AC497" s="251" t="str">
        <f t="shared" si="117"/>
        <v>400gsm CKB BillerudKornas Carry</v>
      </c>
      <c r="AD497" s="2746">
        <f>IF(L497&gt;0,IF(input!$B$2=$O$1,(((M497)+(M497)*$M$10)*$P$11)/1000,(((M497)+(M497)*O497+(M497)*$M$10)*$P$11)/1000),0)</f>
        <v>0</v>
      </c>
      <c r="AE497" s="2746">
        <f>IF(L497&gt;0,IF(input!$B$2=$O$1,(((N497)+(N497)*$M$10)*$P$11)/1000,(((N497)+(N497)*O497+(N497)*$M$10)*$P$11)/1000),0)</f>
        <v>0</v>
      </c>
      <c r="AF497" s="136" t="str">
        <f t="shared" si="118"/>
        <v>None</v>
      </c>
      <c r="AG497" s="2628">
        <f t="shared" si="119"/>
        <v>1.2E-2</v>
      </c>
      <c r="AH497" s="1266">
        <v>0.1</v>
      </c>
    </row>
    <row r="498" spans="1:34" ht="12.75">
      <c r="A498" s="2199">
        <f t="shared" si="129"/>
        <v>486</v>
      </c>
      <c r="B498" s="2200" t="s">
        <v>2562</v>
      </c>
      <c r="C498" s="2743">
        <v>0</v>
      </c>
      <c r="D498" s="2743">
        <v>0</v>
      </c>
      <c r="E498" s="2949" t="s">
        <v>2313</v>
      </c>
      <c r="F498" s="2200" t="s">
        <v>2313</v>
      </c>
      <c r="G498" s="2200" t="s">
        <v>127</v>
      </c>
      <c r="H498" s="2200" t="s">
        <v>1057</v>
      </c>
      <c r="I498" s="2742">
        <v>0</v>
      </c>
      <c r="J498" s="2742"/>
      <c r="K498" s="2752">
        <v>45</v>
      </c>
      <c r="L498" s="2745">
        <f t="shared" si="104"/>
        <v>0</v>
      </c>
      <c r="M498" s="2745">
        <f t="shared" si="113"/>
        <v>0</v>
      </c>
      <c r="N498" s="2745" t="str">
        <f t="shared" si="114"/>
        <v>check</v>
      </c>
      <c r="O498" s="1232" t="str">
        <f t="shared" si="115"/>
        <v>check</v>
      </c>
      <c r="P498" s="1227" t="str">
        <f t="shared" si="128"/>
        <v>425gsm CKB BillerudKornas Carry</v>
      </c>
      <c r="Q498" s="254">
        <v>0.625</v>
      </c>
      <c r="R498" s="1228" t="str">
        <f t="shared" si="131"/>
        <v>425</v>
      </c>
      <c r="S498" s="2625">
        <f t="shared" si="111"/>
        <v>0</v>
      </c>
      <c r="T498" s="2747">
        <f>IF(L498&gt;0,IF(input!$B$2=$O$1,(((L498+Y498/22)+(L498+Y498/22)*$AG498+$X498)*$P$11+$M$7)/1000,(((L498+Y498/22)+(L498+Y498/22)*O498+(L498+Y498/22)*$AG498+$X498)*$P$11+$M$7)/1000),0)</f>
        <v>0</v>
      </c>
      <c r="U498" s="2747">
        <f t="shared" si="130"/>
        <v>0</v>
      </c>
      <c r="V498" s="1229"/>
      <c r="W498" s="1231" t="str">
        <f t="shared" si="112"/>
        <v>CIF</v>
      </c>
      <c r="X498" s="1230">
        <f t="shared" si="133"/>
        <v>0</v>
      </c>
      <c r="Y498" s="2625">
        <f t="shared" si="116"/>
        <v>0</v>
      </c>
      <c r="Z498" s="3208">
        <f t="shared" si="132"/>
        <v>838.18181818181813</v>
      </c>
      <c r="AA498" s="1220" t="s">
        <v>2829</v>
      </c>
      <c r="AB498" s="1220" t="s">
        <v>2130</v>
      </c>
      <c r="AC498" s="251" t="str">
        <f t="shared" si="117"/>
        <v>425gsm CKB BillerudKornas Carry</v>
      </c>
      <c r="AD498" s="2746">
        <f>IF(L498&gt;0,IF(input!$B$2=$O$1,(((M498)+(M498)*$M$10)*$P$11)/1000,(((M498)+(M498)*O498+(M498)*$M$10)*$P$11)/1000),0)</f>
        <v>0</v>
      </c>
      <c r="AE498" s="2746">
        <f>IF(L498&gt;0,IF(input!$B$2=$O$1,(((N498)+(N498)*$M$10)*$P$11)/1000,(((N498)+(N498)*O498+(N498)*$M$10)*$P$11)/1000),0)</f>
        <v>0</v>
      </c>
      <c r="AF498" s="136" t="str">
        <f t="shared" si="118"/>
        <v>None</v>
      </c>
      <c r="AG498" s="2628">
        <f t="shared" si="119"/>
        <v>1.2E-2</v>
      </c>
      <c r="AH498" s="1266">
        <v>0.1</v>
      </c>
    </row>
    <row r="499" spans="1:34" ht="12.75">
      <c r="A499" s="2199">
        <f t="shared" si="129"/>
        <v>487</v>
      </c>
      <c r="B499" s="2200" t="s">
        <v>2563</v>
      </c>
      <c r="C499" s="2743">
        <v>0</v>
      </c>
      <c r="D499" s="2743">
        <v>0</v>
      </c>
      <c r="E499" s="2949" t="s">
        <v>2313</v>
      </c>
      <c r="F499" s="2200" t="s">
        <v>2313</v>
      </c>
      <c r="G499" s="2200" t="s">
        <v>127</v>
      </c>
      <c r="H499" s="2200" t="s">
        <v>1057</v>
      </c>
      <c r="I499" s="2742">
        <v>0</v>
      </c>
      <c r="J499" s="2742"/>
      <c r="K499" s="2752">
        <v>45</v>
      </c>
      <c r="L499" s="2745">
        <f t="shared" si="104"/>
        <v>0</v>
      </c>
      <c r="M499" s="2745">
        <f t="shared" si="113"/>
        <v>0</v>
      </c>
      <c r="N499" s="2745" t="str">
        <f t="shared" si="114"/>
        <v>check</v>
      </c>
      <c r="O499" s="1232" t="str">
        <f t="shared" si="115"/>
        <v>check</v>
      </c>
      <c r="P499" s="1227" t="str">
        <f t="shared" si="128"/>
        <v>480gsm CKB BillerudKornas Carry</v>
      </c>
      <c r="Q499" s="254">
        <v>0.72</v>
      </c>
      <c r="R499" s="1228" t="str">
        <f t="shared" si="131"/>
        <v>480</v>
      </c>
      <c r="S499" s="2625">
        <f t="shared" si="111"/>
        <v>0</v>
      </c>
      <c r="T499" s="2747">
        <f>IF(L499&gt;0,IF(input!$B$2=$O$1,(((L499+Y499/22)+(L499+Y499/22)*$AG499+$X499)*$P$11+$M$7)/1000,(((L499+Y499/22)+(L499+Y499/22)*O499+(L499+Y499/22)*$AG499+$X499)*$P$11+$M$7)/1000),0)</f>
        <v>0</v>
      </c>
      <c r="U499" s="2747">
        <f t="shared" si="130"/>
        <v>0</v>
      </c>
      <c r="V499" s="1229"/>
      <c r="W499" s="1231" t="str">
        <f t="shared" si="112"/>
        <v>CIF</v>
      </c>
      <c r="X499" s="1230">
        <f t="shared" si="133"/>
        <v>0</v>
      </c>
      <c r="Y499" s="2625">
        <f t="shared" si="116"/>
        <v>0</v>
      </c>
      <c r="Z499" s="3208">
        <f t="shared" si="132"/>
        <v>838.18181818181813</v>
      </c>
      <c r="AA499" s="1220" t="s">
        <v>2829</v>
      </c>
      <c r="AB499" s="1220" t="s">
        <v>2130</v>
      </c>
      <c r="AC499" s="251" t="str">
        <f t="shared" si="117"/>
        <v>480gsm CKB BillerudKornas Carry</v>
      </c>
      <c r="AD499" s="2746">
        <f>IF(L499&gt;0,IF(input!$B$2=$O$1,(((M499)+(M499)*$M$10)*$P$11)/1000,(((M499)+(M499)*O499+(M499)*$M$10)*$P$11)/1000),0)</f>
        <v>0</v>
      </c>
      <c r="AE499" s="2746">
        <f>IF(L499&gt;0,IF(input!$B$2=$O$1,(((N499)+(N499)*$M$10)*$P$11)/1000,(((N499)+(N499)*O499+(N499)*$M$10)*$P$11)/1000),0)</f>
        <v>0</v>
      </c>
      <c r="AF499" s="136" t="str">
        <f t="shared" si="118"/>
        <v>None</v>
      </c>
      <c r="AG499" s="2628">
        <f t="shared" si="119"/>
        <v>1.2E-2</v>
      </c>
      <c r="AH499" s="1266">
        <v>0.1</v>
      </c>
    </row>
    <row r="500" spans="1:34" ht="12.75">
      <c r="A500" s="2199">
        <f t="shared" si="129"/>
        <v>488</v>
      </c>
      <c r="B500" s="2200" t="s">
        <v>2564</v>
      </c>
      <c r="C500" s="2743">
        <v>0</v>
      </c>
      <c r="D500" s="2743">
        <v>0</v>
      </c>
      <c r="E500" s="2949">
        <v>0</v>
      </c>
      <c r="F500" s="2200">
        <v>30</v>
      </c>
      <c r="G500" s="2200" t="s">
        <v>2395</v>
      </c>
      <c r="H500" s="2200" t="s">
        <v>1057</v>
      </c>
      <c r="I500" s="2742">
        <v>30</v>
      </c>
      <c r="J500" s="2742"/>
      <c r="K500" s="2752">
        <v>60</v>
      </c>
      <c r="L500" s="2745">
        <f t="shared" si="104"/>
        <v>0</v>
      </c>
      <c r="M500" s="2745">
        <f t="shared" si="113"/>
        <v>30</v>
      </c>
      <c r="N500" s="2745">
        <f t="shared" si="114"/>
        <v>30</v>
      </c>
      <c r="O500" s="1232">
        <f t="shared" si="115"/>
        <v>0</v>
      </c>
      <c r="P500" s="1227" t="str">
        <f t="shared" si="128"/>
        <v>190gsm ARTBOARD APP-3 COIN BRAND</v>
      </c>
      <c r="Q500" s="254">
        <v>0.189</v>
      </c>
      <c r="R500" s="1228" t="str">
        <f t="shared" si="131"/>
        <v>190</v>
      </c>
      <c r="S500" s="2625">
        <f t="shared" si="111"/>
        <v>0</v>
      </c>
      <c r="T500" s="2747">
        <f>IF(L500&gt;0,IF(input!$B$2=$O$1,(((L500+Y500/22)+(L500+Y500/22)*$AG500+$X500)*$P$11+$M$7)/1000,(((L500+Y500/22)+(L500+Y500/22)*O500+(L500+Y500/22)*$AG500+$X500)*$P$11+$M$7)/1000),0)</f>
        <v>0</v>
      </c>
      <c r="U500" s="2747">
        <f t="shared" si="130"/>
        <v>0</v>
      </c>
      <c r="V500" s="1229"/>
      <c r="W500" s="1231" t="str">
        <f t="shared" si="112"/>
        <v>CIF</v>
      </c>
      <c r="X500" s="1230">
        <f t="shared" si="133"/>
        <v>0</v>
      </c>
      <c r="Y500" s="2625">
        <f t="shared" si="116"/>
        <v>0</v>
      </c>
      <c r="Z500" s="3208">
        <f t="shared" si="132"/>
        <v>838.18181818181813</v>
      </c>
      <c r="AA500" s="1220" t="s">
        <v>2830</v>
      </c>
      <c r="AB500" s="1220" t="s">
        <v>1396</v>
      </c>
      <c r="AC500" s="251" t="str">
        <f t="shared" si="117"/>
        <v>190gsm ARTBOARD APP-3 COIN BRAND</v>
      </c>
      <c r="AD500" s="2746">
        <f>IF(L500&gt;0,IF(input!$B$2=$O$1,(((M500)+(M500)*$M$10)*$P$11)/1000,(((M500)+(M500)*O500+(M500)*$M$10)*$P$11)/1000),0)</f>
        <v>0</v>
      </c>
      <c r="AE500" s="2746">
        <f>IF(L500&gt;0,IF(input!$B$2=$O$1,(((N500)+(N500)*$M$10)*$P$11)/1000,(((N500)+(N500)*O500+(N500)*$M$10)*$P$11)/1000),0)</f>
        <v>0</v>
      </c>
      <c r="AF500" s="136" t="str">
        <f t="shared" si="118"/>
        <v>PEFC</v>
      </c>
      <c r="AG500" s="2628">
        <f t="shared" si="119"/>
        <v>1.6E-2</v>
      </c>
      <c r="AH500" s="1266">
        <v>0.1</v>
      </c>
    </row>
    <row r="501" spans="1:34" ht="12.75">
      <c r="A501" s="2199">
        <f t="shared" si="129"/>
        <v>489</v>
      </c>
      <c r="B501" s="2200" t="s">
        <v>2565</v>
      </c>
      <c r="C501" s="2743">
        <v>0</v>
      </c>
      <c r="D501" s="2743">
        <v>0</v>
      </c>
      <c r="E501" s="2949">
        <v>0</v>
      </c>
      <c r="F501" s="2200">
        <v>30</v>
      </c>
      <c r="G501" s="2200" t="s">
        <v>2395</v>
      </c>
      <c r="H501" s="2200" t="s">
        <v>1057</v>
      </c>
      <c r="I501" s="2742">
        <v>30</v>
      </c>
      <c r="J501" s="2742"/>
      <c r="K501" s="2752">
        <v>60</v>
      </c>
      <c r="L501" s="2745">
        <f t="shared" si="104"/>
        <v>0</v>
      </c>
      <c r="M501" s="2745">
        <f t="shared" si="113"/>
        <v>30</v>
      </c>
      <c r="N501" s="2745">
        <f t="shared" si="114"/>
        <v>30</v>
      </c>
      <c r="O501" s="1232">
        <f t="shared" si="115"/>
        <v>0</v>
      </c>
      <c r="P501" s="1227" t="str">
        <f t="shared" si="128"/>
        <v>200gsm ARTBOARD APP-3 COIN BRAND</v>
      </c>
      <c r="Q501" s="254">
        <v>0.2</v>
      </c>
      <c r="R501" s="1228" t="str">
        <f t="shared" si="131"/>
        <v>200</v>
      </c>
      <c r="S501" s="2625">
        <f t="shared" si="111"/>
        <v>0</v>
      </c>
      <c r="T501" s="2747">
        <f>IF(L501&gt;0,IF(input!$B$2=$O$1,(((L501+Y501/22)+(L501+Y501/22)*$AG501+$X501)*$P$11+$M$7)/1000,(((L501+Y501/22)+(L501+Y501/22)*O501+(L501+Y501/22)*$AG501+$X501)*$P$11+$M$7)/1000),0)</f>
        <v>0</v>
      </c>
      <c r="U501" s="2747">
        <f t="shared" si="130"/>
        <v>0</v>
      </c>
      <c r="V501" s="1229"/>
      <c r="W501" s="1231" t="str">
        <f t="shared" si="112"/>
        <v>CIF</v>
      </c>
      <c r="X501" s="1230">
        <f t="shared" si="133"/>
        <v>0</v>
      </c>
      <c r="Y501" s="2625">
        <f t="shared" si="116"/>
        <v>0</v>
      </c>
      <c r="Z501" s="3208">
        <f t="shared" si="132"/>
        <v>838.18181818181813</v>
      </c>
      <c r="AA501" s="1220" t="s">
        <v>2830</v>
      </c>
      <c r="AB501" s="1220" t="s">
        <v>1396</v>
      </c>
      <c r="AC501" s="251" t="str">
        <f t="shared" si="117"/>
        <v>200gsm ARTBOARD APP-3 COIN BRAND</v>
      </c>
      <c r="AD501" s="2746">
        <f>IF(L501&gt;0,IF(input!$B$2=$O$1,(((M501)+(M501)*$M$10)*$P$11)/1000,(((M501)+(M501)*O501+(M501)*$M$10)*$P$11)/1000),0)</f>
        <v>0</v>
      </c>
      <c r="AE501" s="2746">
        <f>IF(L501&gt;0,IF(input!$B$2=$O$1,(((N501)+(N501)*$M$10)*$P$11)/1000,(((N501)+(N501)*O501+(N501)*$M$10)*$P$11)/1000),0)</f>
        <v>0</v>
      </c>
      <c r="AF501" s="136" t="str">
        <f t="shared" si="118"/>
        <v>PEFC</v>
      </c>
      <c r="AG501" s="2628">
        <f t="shared" si="119"/>
        <v>1.6E-2</v>
      </c>
      <c r="AH501" s="1266">
        <v>0.1</v>
      </c>
    </row>
    <row r="502" spans="1:34" ht="12.75">
      <c r="A502" s="2199">
        <f t="shared" si="129"/>
        <v>490</v>
      </c>
      <c r="B502" s="2200" t="s">
        <v>2566</v>
      </c>
      <c r="C502" s="2743">
        <v>0</v>
      </c>
      <c r="D502" s="2743">
        <v>1050</v>
      </c>
      <c r="E502" s="2949">
        <v>0</v>
      </c>
      <c r="F502" s="2200">
        <v>30</v>
      </c>
      <c r="G502" s="2200" t="s">
        <v>2395</v>
      </c>
      <c r="H502" s="2200" t="s">
        <v>1057</v>
      </c>
      <c r="I502" s="2742">
        <v>30</v>
      </c>
      <c r="J502" s="2742"/>
      <c r="K502" s="2752">
        <v>60</v>
      </c>
      <c r="L502" s="2745">
        <f t="shared" si="104"/>
        <v>1050</v>
      </c>
      <c r="M502" s="2745">
        <f t="shared" si="113"/>
        <v>30</v>
      </c>
      <c r="N502" s="2745">
        <f t="shared" si="114"/>
        <v>30</v>
      </c>
      <c r="O502" s="1232">
        <f t="shared" si="115"/>
        <v>0</v>
      </c>
      <c r="P502" s="1227" t="str">
        <f t="shared" si="128"/>
        <v>210gsm ARTBOARD APP-3 COIN BRAND</v>
      </c>
      <c r="Q502" s="254">
        <v>0.20899999999999999</v>
      </c>
      <c r="R502" s="1228" t="str">
        <f t="shared" si="131"/>
        <v>210</v>
      </c>
      <c r="S502" s="2625">
        <f t="shared" si="111"/>
        <v>0</v>
      </c>
      <c r="T502" s="2747">
        <f>IF(L502&gt;0,IF(input!$B$2=$O$1,(((L502+Y502/22)+(L502+Y502/22)*$AG502+$X502)*$P$11+$M$7)/1000,(((L502+Y502/22)+(L502+Y502/22)*O502+(L502+Y502/22)*$AG502+$X502)*$P$11+$M$7)/1000),0)</f>
        <v>26213.867999999999</v>
      </c>
      <c r="U502" s="2747">
        <f t="shared" si="130"/>
        <v>0</v>
      </c>
      <c r="V502" s="1229"/>
      <c r="W502" s="1231" t="str">
        <f t="shared" si="112"/>
        <v>CIF</v>
      </c>
      <c r="X502" s="1230">
        <f t="shared" si="133"/>
        <v>0</v>
      </c>
      <c r="Y502" s="2625">
        <f t="shared" si="116"/>
        <v>0</v>
      </c>
      <c r="Z502" s="3208">
        <f t="shared" si="132"/>
        <v>838.18181818181813</v>
      </c>
      <c r="AA502" s="1220" t="s">
        <v>2830</v>
      </c>
      <c r="AB502" s="1220" t="s">
        <v>1396</v>
      </c>
      <c r="AC502" s="251" t="str">
        <f t="shared" si="117"/>
        <v>210gsm ARTBOARD APP-3 COIN BRAND</v>
      </c>
      <c r="AD502" s="2746">
        <f>IF(L502&gt;0,IF(input!$B$2=$O$1,(((M502)+(M502)*$M$10)*$P$11)/1000,(((M502)+(M502)*O502+(M502)*$M$10)*$P$11)/1000),0)</f>
        <v>726.06239999999991</v>
      </c>
      <c r="AE502" s="2746">
        <f>IF(L502&gt;0,IF(input!$B$2=$O$1,(((N502)+(N502)*$M$10)*$P$11)/1000,(((N502)+(N502)*O502+(N502)*$M$10)*$P$11)/1000),0)</f>
        <v>726.06239999999991</v>
      </c>
      <c r="AF502" s="136" t="str">
        <f t="shared" si="118"/>
        <v>PEFC</v>
      </c>
      <c r="AG502" s="2628">
        <f t="shared" si="119"/>
        <v>1.6E-2</v>
      </c>
      <c r="AH502" s="1266">
        <v>0.1</v>
      </c>
    </row>
    <row r="503" spans="1:34" ht="12.75">
      <c r="A503" s="2199">
        <f t="shared" si="129"/>
        <v>491</v>
      </c>
      <c r="B503" s="2200" t="s">
        <v>2567</v>
      </c>
      <c r="C503" s="2743">
        <v>0</v>
      </c>
      <c r="D503" s="2743">
        <v>1050</v>
      </c>
      <c r="E503" s="2949">
        <v>0</v>
      </c>
      <c r="F503" s="2200">
        <v>30</v>
      </c>
      <c r="G503" s="2200" t="s">
        <v>2395</v>
      </c>
      <c r="H503" s="2200" t="s">
        <v>1057</v>
      </c>
      <c r="I503" s="2742">
        <v>30</v>
      </c>
      <c r="J503" s="2742"/>
      <c r="K503" s="2752">
        <v>60</v>
      </c>
      <c r="L503" s="2745">
        <f t="shared" si="104"/>
        <v>1050</v>
      </c>
      <c r="M503" s="2745">
        <f t="shared" si="113"/>
        <v>30</v>
      </c>
      <c r="N503" s="2745">
        <f t="shared" si="114"/>
        <v>30</v>
      </c>
      <c r="O503" s="1232">
        <f t="shared" si="115"/>
        <v>0</v>
      </c>
      <c r="P503" s="1227" t="str">
        <f t="shared" si="128"/>
        <v>230gsm ARTBOARD APP-3 COIN BRAND</v>
      </c>
      <c r="Q503" s="254">
        <v>0.23200000000000001</v>
      </c>
      <c r="R503" s="1228" t="str">
        <f t="shared" si="131"/>
        <v>230</v>
      </c>
      <c r="S503" s="2625">
        <f t="shared" si="111"/>
        <v>0</v>
      </c>
      <c r="T503" s="2747">
        <f>IF(L503&gt;0,IF(input!$B$2=$O$1,(((L503+Y503/22)+(L503+Y503/22)*$AG503+$X503)*$P$11+$M$7)/1000,(((L503+Y503/22)+(L503+Y503/22)*O503+(L503+Y503/22)*$AG503+$X503)*$P$11+$M$7)/1000),0)</f>
        <v>26213.867999999999</v>
      </c>
      <c r="U503" s="2747">
        <f t="shared" si="130"/>
        <v>0</v>
      </c>
      <c r="V503" s="1229"/>
      <c r="W503" s="1231" t="str">
        <f t="shared" si="112"/>
        <v>CIF</v>
      </c>
      <c r="X503" s="1230">
        <f t="shared" si="133"/>
        <v>0</v>
      </c>
      <c r="Y503" s="2625">
        <f t="shared" si="116"/>
        <v>0</v>
      </c>
      <c r="Z503" s="3208">
        <f t="shared" si="132"/>
        <v>838.18181818181813</v>
      </c>
      <c r="AA503" s="1220" t="s">
        <v>2830</v>
      </c>
      <c r="AB503" s="1220" t="s">
        <v>1396</v>
      </c>
      <c r="AC503" s="251" t="str">
        <f t="shared" si="117"/>
        <v>230gsm ARTBOARD APP-3 COIN BRAND</v>
      </c>
      <c r="AD503" s="2746">
        <f>IF(L503&gt;0,IF(input!$B$2=$O$1,(((M503)+(M503)*$M$10)*$P$11)/1000,(((M503)+(M503)*O503+(M503)*$M$10)*$P$11)/1000),0)</f>
        <v>726.06239999999991</v>
      </c>
      <c r="AE503" s="2746">
        <f>IF(L503&gt;0,IF(input!$B$2=$O$1,(((N503)+(N503)*$M$10)*$P$11)/1000,(((N503)+(N503)*O503+(N503)*$M$10)*$P$11)/1000),0)</f>
        <v>726.06239999999991</v>
      </c>
      <c r="AF503" s="136" t="str">
        <f t="shared" si="118"/>
        <v>PEFC</v>
      </c>
      <c r="AG503" s="2628">
        <f t="shared" si="119"/>
        <v>1.6E-2</v>
      </c>
      <c r="AH503" s="1266">
        <v>0.1</v>
      </c>
    </row>
    <row r="504" spans="1:34" ht="12.75">
      <c r="A504" s="2199">
        <f t="shared" si="129"/>
        <v>492</v>
      </c>
      <c r="B504" s="2200" t="s">
        <v>2568</v>
      </c>
      <c r="C504" s="2743">
        <v>0</v>
      </c>
      <c r="D504" s="2743">
        <v>1050</v>
      </c>
      <c r="E504" s="2949">
        <v>0</v>
      </c>
      <c r="F504" s="2200">
        <v>30</v>
      </c>
      <c r="G504" s="2200" t="s">
        <v>2395</v>
      </c>
      <c r="H504" s="2200" t="s">
        <v>1057</v>
      </c>
      <c r="I504" s="2742">
        <v>30</v>
      </c>
      <c r="J504" s="2742"/>
      <c r="K504" s="2752">
        <v>60</v>
      </c>
      <c r="L504" s="2745">
        <f t="shared" si="104"/>
        <v>1050</v>
      </c>
      <c r="M504" s="2745">
        <f t="shared" si="113"/>
        <v>30</v>
      </c>
      <c r="N504" s="2745">
        <f t="shared" si="114"/>
        <v>30</v>
      </c>
      <c r="O504" s="1232">
        <f t="shared" si="115"/>
        <v>0</v>
      </c>
      <c r="P504" s="1227" t="str">
        <f t="shared" si="128"/>
        <v>250gsm ARTBOARD APP-3 COIN BRAND</v>
      </c>
      <c r="Q504" s="254">
        <v>0.25700000000000001</v>
      </c>
      <c r="R504" s="1228" t="str">
        <f t="shared" si="131"/>
        <v>250</v>
      </c>
      <c r="S504" s="2625">
        <f t="shared" si="111"/>
        <v>0</v>
      </c>
      <c r="T504" s="2747">
        <f>IF(L504&gt;0,IF(input!$B$2=$O$1,(((L504+Y504/22)+(L504+Y504/22)*$AG504+$X504)*$P$11+$M$7)/1000,(((L504+Y504/22)+(L504+Y504/22)*O504+(L504+Y504/22)*$AG504+$X504)*$P$11+$M$7)/1000),0)</f>
        <v>26213.867999999999</v>
      </c>
      <c r="U504" s="2747">
        <f t="shared" si="130"/>
        <v>0</v>
      </c>
      <c r="V504" s="1229"/>
      <c r="W504" s="1231" t="str">
        <f t="shared" si="112"/>
        <v>CIF</v>
      </c>
      <c r="X504" s="1230">
        <f t="shared" si="133"/>
        <v>0</v>
      </c>
      <c r="Y504" s="2625">
        <f t="shared" si="116"/>
        <v>0</v>
      </c>
      <c r="Z504" s="3208">
        <f t="shared" si="132"/>
        <v>838.18181818181813</v>
      </c>
      <c r="AA504" s="1220" t="s">
        <v>2830</v>
      </c>
      <c r="AB504" s="1220" t="s">
        <v>1396</v>
      </c>
      <c r="AC504" s="251" t="str">
        <f t="shared" si="117"/>
        <v>250gsm ARTBOARD APP-3 COIN BRAND</v>
      </c>
      <c r="AD504" s="2746">
        <f>IF(L504&gt;0,IF(input!$B$2=$O$1,(((M504)+(M504)*$M$10)*$P$11)/1000,(((M504)+(M504)*O504+(M504)*$M$10)*$P$11)/1000),0)</f>
        <v>726.06239999999991</v>
      </c>
      <c r="AE504" s="2746">
        <f>IF(L504&gt;0,IF(input!$B$2=$O$1,(((N504)+(N504)*$M$10)*$P$11)/1000,(((N504)+(N504)*O504+(N504)*$M$10)*$P$11)/1000),0)</f>
        <v>726.06239999999991</v>
      </c>
      <c r="AF504" s="136" t="str">
        <f t="shared" si="118"/>
        <v>PEFC</v>
      </c>
      <c r="AG504" s="2628">
        <f t="shared" si="119"/>
        <v>1.6E-2</v>
      </c>
      <c r="AH504" s="1266">
        <v>0.1</v>
      </c>
    </row>
    <row r="505" spans="1:34" ht="12.75">
      <c r="A505" s="2199">
        <f t="shared" si="129"/>
        <v>493</v>
      </c>
      <c r="B505" s="2200" t="s">
        <v>2569</v>
      </c>
      <c r="C505" s="2743">
        <v>0</v>
      </c>
      <c r="D505" s="2743">
        <v>1050</v>
      </c>
      <c r="E505" s="2949">
        <v>0</v>
      </c>
      <c r="F505" s="2200">
        <v>30</v>
      </c>
      <c r="G505" s="2200" t="s">
        <v>2395</v>
      </c>
      <c r="H505" s="2200" t="s">
        <v>1057</v>
      </c>
      <c r="I505" s="2742">
        <v>30</v>
      </c>
      <c r="J505" s="2742"/>
      <c r="K505" s="2752">
        <v>60</v>
      </c>
      <c r="L505" s="2745">
        <f t="shared" ref="L505:L513" si="134">$D505</f>
        <v>1050</v>
      </c>
      <c r="M505" s="2745">
        <f t="shared" si="113"/>
        <v>30</v>
      </c>
      <c r="N505" s="2745">
        <f t="shared" si="114"/>
        <v>30</v>
      </c>
      <c r="O505" s="1232">
        <f t="shared" si="115"/>
        <v>0</v>
      </c>
      <c r="P505" s="1227" t="str">
        <f t="shared" si="128"/>
        <v>260gsm ARTBOARD APP-3 COIN BRAND</v>
      </c>
      <c r="Q505" s="254">
        <v>0.26800000000000002</v>
      </c>
      <c r="R505" s="1228" t="str">
        <f t="shared" si="131"/>
        <v>260</v>
      </c>
      <c r="S505" s="2625">
        <f t="shared" si="111"/>
        <v>0</v>
      </c>
      <c r="T505" s="2747">
        <f>IF(L505&gt;0,IF(input!$B$2=$O$1,(((L505+Y505/22)+(L505+Y505/22)*$AG505+$X505)*$P$11+$M$7)/1000,(((L505+Y505/22)+(L505+Y505/22)*O505+(L505+Y505/22)*$AG505+$X505)*$P$11+$M$7)/1000),0)</f>
        <v>26213.867999999999</v>
      </c>
      <c r="U505" s="2747">
        <f t="shared" si="130"/>
        <v>0</v>
      </c>
      <c r="V505" s="1229"/>
      <c r="W505" s="1231" t="str">
        <f t="shared" si="112"/>
        <v>CIF</v>
      </c>
      <c r="X505" s="1230">
        <f t="shared" si="133"/>
        <v>0</v>
      </c>
      <c r="Y505" s="2625">
        <f t="shared" si="116"/>
        <v>0</v>
      </c>
      <c r="Z505" s="3208">
        <f t="shared" si="132"/>
        <v>838.18181818181813</v>
      </c>
      <c r="AA505" s="1220" t="s">
        <v>2830</v>
      </c>
      <c r="AB505" s="1220" t="s">
        <v>1396</v>
      </c>
      <c r="AC505" s="251" t="str">
        <f t="shared" si="117"/>
        <v>260gsm ARTBOARD APP-3 COIN BRAND</v>
      </c>
      <c r="AD505" s="2746">
        <f>IF(L505&gt;0,IF(input!$B$2=$O$1,(((M505)+(M505)*$M$10)*$P$11)/1000,(((M505)+(M505)*O505+(M505)*$M$10)*$P$11)/1000),0)</f>
        <v>726.06239999999991</v>
      </c>
      <c r="AE505" s="2746">
        <f>IF(L505&gt;0,IF(input!$B$2=$O$1,(((N505)+(N505)*$M$10)*$P$11)/1000,(((N505)+(N505)*O505+(N505)*$M$10)*$P$11)/1000),0)</f>
        <v>726.06239999999991</v>
      </c>
      <c r="AF505" s="136" t="str">
        <f t="shared" si="118"/>
        <v>PEFC</v>
      </c>
      <c r="AG505" s="2628">
        <f t="shared" si="119"/>
        <v>1.6E-2</v>
      </c>
      <c r="AH505" s="1266">
        <v>0.1</v>
      </c>
    </row>
    <row r="506" spans="1:34" ht="12.75">
      <c r="A506" s="2199">
        <f t="shared" si="129"/>
        <v>494</v>
      </c>
      <c r="B506" s="2200" t="s">
        <v>2570</v>
      </c>
      <c r="C506" s="2743">
        <v>0</v>
      </c>
      <c r="D506" s="2743">
        <v>1050</v>
      </c>
      <c r="E506" s="2949">
        <v>0</v>
      </c>
      <c r="F506" s="2200">
        <v>30</v>
      </c>
      <c r="G506" s="2200" t="s">
        <v>2395</v>
      </c>
      <c r="H506" s="2200" t="s">
        <v>1057</v>
      </c>
      <c r="I506" s="2742">
        <v>30</v>
      </c>
      <c r="J506" s="2742"/>
      <c r="K506" s="2752">
        <v>60</v>
      </c>
      <c r="L506" s="2745">
        <f t="shared" si="134"/>
        <v>1050</v>
      </c>
      <c r="M506" s="2745">
        <f t="shared" si="113"/>
        <v>30</v>
      </c>
      <c r="N506" s="2745">
        <f t="shared" si="114"/>
        <v>30</v>
      </c>
      <c r="O506" s="1232">
        <f t="shared" si="115"/>
        <v>0</v>
      </c>
      <c r="P506" s="1227" t="str">
        <f t="shared" si="128"/>
        <v>300gsm ARTBOARD APP-3 COIN BRAND</v>
      </c>
      <c r="Q506" s="254">
        <v>0.34499999999999997</v>
      </c>
      <c r="R506" s="1228" t="str">
        <f t="shared" si="131"/>
        <v>300</v>
      </c>
      <c r="S506" s="2625">
        <f t="shared" si="111"/>
        <v>0</v>
      </c>
      <c r="T506" s="2747">
        <f>IF(L506&gt;0,IF(input!$B$2=$O$1,(((L506+Y506/22)+(L506+Y506/22)*$AG506+$X506)*$P$11+$M$7)/1000,(((L506+Y506/22)+(L506+Y506/22)*O506+(L506+Y506/22)*$AG506+$X506)*$P$11+$M$7)/1000),0)</f>
        <v>26213.867999999999</v>
      </c>
      <c r="U506" s="2747">
        <f t="shared" si="130"/>
        <v>0</v>
      </c>
      <c r="V506" s="1229"/>
      <c r="W506" s="1231" t="str">
        <f t="shared" si="112"/>
        <v>CIF</v>
      </c>
      <c r="X506" s="1230">
        <f t="shared" si="133"/>
        <v>0</v>
      </c>
      <c r="Y506" s="2625">
        <f t="shared" si="116"/>
        <v>0</v>
      </c>
      <c r="Z506" s="3208">
        <f t="shared" si="132"/>
        <v>838.18181818181813</v>
      </c>
      <c r="AA506" s="1220" t="s">
        <v>2830</v>
      </c>
      <c r="AB506" s="1220" t="s">
        <v>1396</v>
      </c>
      <c r="AC506" s="251" t="str">
        <f t="shared" si="117"/>
        <v>300gsm ARTBOARD APP-3 COIN BRAND</v>
      </c>
      <c r="AD506" s="2746">
        <f>IF(L506&gt;0,IF(input!$B$2=$O$1,(((M506)+(M506)*$M$10)*$P$11)/1000,(((M506)+(M506)*O506+(M506)*$M$10)*$P$11)/1000),0)</f>
        <v>726.06239999999991</v>
      </c>
      <c r="AE506" s="2746">
        <f>IF(L506&gt;0,IF(input!$B$2=$O$1,(((N506)+(N506)*$M$10)*$P$11)/1000,(((N506)+(N506)*O506+(N506)*$M$10)*$P$11)/1000),0)</f>
        <v>726.06239999999991</v>
      </c>
      <c r="AF506" s="136" t="str">
        <f t="shared" si="118"/>
        <v>PEFC</v>
      </c>
      <c r="AG506" s="2628">
        <f t="shared" si="119"/>
        <v>1.6E-2</v>
      </c>
      <c r="AH506" s="1266">
        <v>0.1</v>
      </c>
    </row>
    <row r="507" spans="1:34" ht="12.75">
      <c r="A507" s="2199">
        <f t="shared" si="129"/>
        <v>495</v>
      </c>
      <c r="B507" s="2200" t="s">
        <v>2571</v>
      </c>
      <c r="C507" s="2743">
        <v>0</v>
      </c>
      <c r="D507" s="2743">
        <v>1050</v>
      </c>
      <c r="E507" s="2949">
        <v>0</v>
      </c>
      <c r="F507" s="2200">
        <v>30</v>
      </c>
      <c r="G507" s="2200" t="s">
        <v>2395</v>
      </c>
      <c r="H507" s="2200" t="s">
        <v>1057</v>
      </c>
      <c r="I507" s="2742">
        <v>30</v>
      </c>
      <c r="J507" s="2742"/>
      <c r="K507" s="2752">
        <v>60</v>
      </c>
      <c r="L507" s="2745">
        <f t="shared" si="134"/>
        <v>1050</v>
      </c>
      <c r="M507" s="2745">
        <f t="shared" si="113"/>
        <v>30</v>
      </c>
      <c r="N507" s="2745">
        <f t="shared" si="114"/>
        <v>30</v>
      </c>
      <c r="O507" s="1232">
        <f t="shared" si="115"/>
        <v>0</v>
      </c>
      <c r="P507" s="1227" t="str">
        <f t="shared" si="128"/>
        <v>310gsm ARTBOARD APP-3 COIN BRAND</v>
      </c>
      <c r="Q507" s="254">
        <v>0.32700000000000001</v>
      </c>
      <c r="R507" s="1228" t="str">
        <f t="shared" si="131"/>
        <v>310</v>
      </c>
      <c r="S507" s="2625">
        <f t="shared" si="111"/>
        <v>0</v>
      </c>
      <c r="T507" s="2747">
        <f>IF(L507&gt;0,IF(input!$B$2=$O$1,(((L507+Y507/22)+(L507+Y507/22)*$AG507+$X507)*$P$11+$M$7)/1000,(((L507+Y507/22)+(L507+Y507/22)*O507+(L507+Y507/22)*$AG507+$X507)*$P$11+$M$7)/1000),0)</f>
        <v>26213.867999999999</v>
      </c>
      <c r="U507" s="2747">
        <f t="shared" si="130"/>
        <v>0</v>
      </c>
      <c r="V507" s="1229"/>
      <c r="W507" s="1231" t="str">
        <f t="shared" si="112"/>
        <v>CIF</v>
      </c>
      <c r="X507" s="1230">
        <f t="shared" si="133"/>
        <v>0</v>
      </c>
      <c r="Y507" s="2625">
        <f t="shared" si="116"/>
        <v>0</v>
      </c>
      <c r="Z507" s="3208">
        <f t="shared" si="132"/>
        <v>838.18181818181813</v>
      </c>
      <c r="AA507" s="1220" t="s">
        <v>2830</v>
      </c>
      <c r="AB507" s="1220" t="s">
        <v>1396</v>
      </c>
      <c r="AC507" s="251" t="str">
        <f t="shared" si="117"/>
        <v>310gsm ARTBOARD APP-3 COIN BRAND</v>
      </c>
      <c r="AD507" s="2746">
        <f>IF(L507&gt;0,IF(input!$B$2=$O$1,(((M507)+(M507)*$M$10)*$P$11)/1000,(((M507)+(M507)*O507+(M507)*$M$10)*$P$11)/1000),0)</f>
        <v>726.06239999999991</v>
      </c>
      <c r="AE507" s="2746">
        <f>IF(L507&gt;0,IF(input!$B$2=$O$1,(((N507)+(N507)*$M$10)*$P$11)/1000,(((N507)+(N507)*O507+(N507)*$M$10)*$P$11)/1000),0)</f>
        <v>726.06239999999991</v>
      </c>
      <c r="AF507" s="136" t="str">
        <f t="shared" si="118"/>
        <v>PEFC</v>
      </c>
      <c r="AG507" s="2628">
        <f t="shared" si="119"/>
        <v>1.6E-2</v>
      </c>
      <c r="AH507" s="1266">
        <v>0.1</v>
      </c>
    </row>
    <row r="508" spans="1:34" ht="12.75">
      <c r="A508" s="2199">
        <f t="shared" si="129"/>
        <v>496</v>
      </c>
      <c r="B508" s="2200" t="s">
        <v>2572</v>
      </c>
      <c r="C508" s="2743">
        <v>0</v>
      </c>
      <c r="D508" s="2743">
        <v>1050</v>
      </c>
      <c r="E508" s="2949">
        <v>0</v>
      </c>
      <c r="F508" s="2200">
        <v>30</v>
      </c>
      <c r="G508" s="2200" t="s">
        <v>2395</v>
      </c>
      <c r="H508" s="2200" t="s">
        <v>1057</v>
      </c>
      <c r="I508" s="2742">
        <v>30</v>
      </c>
      <c r="J508" s="2742"/>
      <c r="K508" s="2752">
        <v>60</v>
      </c>
      <c r="L508" s="2745">
        <f t="shared" si="134"/>
        <v>1050</v>
      </c>
      <c r="M508" s="2745">
        <f t="shared" si="113"/>
        <v>30</v>
      </c>
      <c r="N508" s="2745">
        <f t="shared" si="114"/>
        <v>30</v>
      </c>
      <c r="O508" s="1232">
        <f t="shared" si="115"/>
        <v>0</v>
      </c>
      <c r="P508" s="1227" t="str">
        <f t="shared" si="128"/>
        <v>350gsm ARTBOARD APP-3 COIN BRAND</v>
      </c>
      <c r="Q508" s="254">
        <v>0.41</v>
      </c>
      <c r="R508" s="1228" t="str">
        <f t="shared" si="131"/>
        <v>350</v>
      </c>
      <c r="S508" s="2625">
        <f t="shared" si="111"/>
        <v>0</v>
      </c>
      <c r="T508" s="2747">
        <f>IF(L508&gt;0,IF(input!$B$2=$O$1,(((L508+Y508/22)+(L508+Y508/22)*$AG508+$X508)*$P$11+$M$7)/1000,(((L508+Y508/22)+(L508+Y508/22)*O508+(L508+Y508/22)*$AG508+$X508)*$P$11+$M$7)/1000),0)</f>
        <v>26213.867999999999</v>
      </c>
      <c r="U508" s="2747">
        <f t="shared" si="130"/>
        <v>0</v>
      </c>
      <c r="V508" s="1229"/>
      <c r="W508" s="1231" t="str">
        <f t="shared" si="112"/>
        <v>CIF</v>
      </c>
      <c r="X508" s="1230">
        <f t="shared" si="133"/>
        <v>0</v>
      </c>
      <c r="Y508" s="2625">
        <f t="shared" si="116"/>
        <v>0</v>
      </c>
      <c r="Z508" s="3208">
        <f t="shared" si="132"/>
        <v>838.18181818181813</v>
      </c>
      <c r="AA508" s="1220" t="s">
        <v>2830</v>
      </c>
      <c r="AB508" s="1220" t="s">
        <v>1396</v>
      </c>
      <c r="AC508" s="251" t="str">
        <f t="shared" si="117"/>
        <v>350gsm ARTBOARD APP-3 COIN BRAND</v>
      </c>
      <c r="AD508" s="2746">
        <f>IF(L508&gt;0,IF(input!$B$2=$O$1,(((M508)+(M508)*$M$10)*$P$11)/1000,(((M508)+(M508)*O508+(M508)*$M$10)*$P$11)/1000),0)</f>
        <v>726.06239999999991</v>
      </c>
      <c r="AE508" s="2746">
        <f>IF(L508&gt;0,IF(input!$B$2=$O$1,(((N508)+(N508)*$M$10)*$P$11)/1000,(((N508)+(N508)*O508+(N508)*$M$10)*$P$11)/1000),0)</f>
        <v>726.06239999999991</v>
      </c>
      <c r="AF508" s="136" t="str">
        <f t="shared" si="118"/>
        <v>PEFC</v>
      </c>
      <c r="AG508" s="2628">
        <f t="shared" si="119"/>
        <v>1.6E-2</v>
      </c>
      <c r="AH508" s="1266">
        <v>0.1</v>
      </c>
    </row>
    <row r="509" spans="1:34" ht="12.75">
      <c r="A509" s="2199">
        <f t="shared" si="129"/>
        <v>497</v>
      </c>
      <c r="B509" s="2200" t="s">
        <v>2573</v>
      </c>
      <c r="C509" s="2743">
        <v>0</v>
      </c>
      <c r="D509" s="2743">
        <v>1050</v>
      </c>
      <c r="E509" s="2949">
        <v>0</v>
      </c>
      <c r="F509" s="2200">
        <v>30</v>
      </c>
      <c r="G509" s="2200" t="s">
        <v>2395</v>
      </c>
      <c r="H509" s="2200" t="s">
        <v>1057</v>
      </c>
      <c r="I509" s="2742">
        <v>30</v>
      </c>
      <c r="J509" s="2742"/>
      <c r="K509" s="2752">
        <v>60</v>
      </c>
      <c r="L509" s="2745">
        <f t="shared" si="134"/>
        <v>1050</v>
      </c>
      <c r="M509" s="2745">
        <f t="shared" si="113"/>
        <v>30</v>
      </c>
      <c r="N509" s="2745">
        <f t="shared" si="114"/>
        <v>30</v>
      </c>
      <c r="O509" s="1232">
        <f t="shared" si="115"/>
        <v>0</v>
      </c>
      <c r="P509" s="1227" t="str">
        <f t="shared" si="128"/>
        <v>360gsm ARTBOARD APP-3 COIN BRAND</v>
      </c>
      <c r="Q509" s="254">
        <v>0.42599999999999999</v>
      </c>
      <c r="R509" s="1228" t="str">
        <f t="shared" si="131"/>
        <v>360</v>
      </c>
      <c r="S509" s="2625">
        <f t="shared" si="111"/>
        <v>0</v>
      </c>
      <c r="T509" s="2747">
        <f>IF(L509&gt;0,IF(input!$B$2=$O$1,(((L509+Y509/22)+(L509+Y509/22)*$AG509+$X509)*$P$11+$M$7)/1000,(((L509+Y509/22)+(L509+Y509/22)*O509+(L509+Y509/22)*$AG509+$X509)*$P$11+$M$7)/1000),0)</f>
        <v>26213.867999999999</v>
      </c>
      <c r="U509" s="2747">
        <f t="shared" si="130"/>
        <v>0</v>
      </c>
      <c r="V509" s="1229"/>
      <c r="W509" s="1231" t="str">
        <f t="shared" si="112"/>
        <v>CIF</v>
      </c>
      <c r="X509" s="1230">
        <f t="shared" si="133"/>
        <v>0</v>
      </c>
      <c r="Y509" s="2625">
        <f t="shared" si="116"/>
        <v>0</v>
      </c>
      <c r="Z509" s="3208">
        <f t="shared" si="132"/>
        <v>838.18181818181813</v>
      </c>
      <c r="AA509" s="1220" t="s">
        <v>2830</v>
      </c>
      <c r="AB509" s="1220" t="s">
        <v>1396</v>
      </c>
      <c r="AC509" s="251" t="str">
        <f t="shared" si="117"/>
        <v>360gsm ARTBOARD APP-3 COIN BRAND</v>
      </c>
      <c r="AD509" s="2746">
        <f>IF(L509&gt;0,IF(input!$B$2=$O$1,(((M509)+(M509)*$M$10)*$P$11)/1000,(((M509)+(M509)*O509+(M509)*$M$10)*$P$11)/1000),0)</f>
        <v>726.06239999999991</v>
      </c>
      <c r="AE509" s="2746">
        <f>IF(L509&gt;0,IF(input!$B$2=$O$1,(((N509)+(N509)*$M$10)*$P$11)/1000,(((N509)+(N509)*O509+(N509)*$M$10)*$P$11)/1000),0)</f>
        <v>726.06239999999991</v>
      </c>
      <c r="AF509" s="136" t="str">
        <f t="shared" si="118"/>
        <v>PEFC</v>
      </c>
      <c r="AG509" s="2628">
        <f t="shared" si="119"/>
        <v>1.6E-2</v>
      </c>
      <c r="AH509" s="1266">
        <v>0.1</v>
      </c>
    </row>
    <row r="510" spans="1:34" ht="12.75">
      <c r="A510" s="2199">
        <f t="shared" si="129"/>
        <v>498</v>
      </c>
      <c r="B510" s="2200" t="s">
        <v>2574</v>
      </c>
      <c r="C510" s="2743">
        <v>0</v>
      </c>
      <c r="D510" s="2743">
        <v>1050</v>
      </c>
      <c r="E510" s="2949">
        <v>0</v>
      </c>
      <c r="F510" s="2200">
        <v>30</v>
      </c>
      <c r="G510" s="2200" t="s">
        <v>2395</v>
      </c>
      <c r="H510" s="2200" t="s">
        <v>1057</v>
      </c>
      <c r="I510" s="2742">
        <v>30</v>
      </c>
      <c r="J510" s="2742"/>
      <c r="K510" s="2752">
        <v>60</v>
      </c>
      <c r="L510" s="2745">
        <f t="shared" si="134"/>
        <v>1050</v>
      </c>
      <c r="M510" s="2745">
        <f t="shared" si="113"/>
        <v>30</v>
      </c>
      <c r="N510" s="2745">
        <f t="shared" si="114"/>
        <v>30</v>
      </c>
      <c r="O510" s="1232">
        <f t="shared" si="115"/>
        <v>0</v>
      </c>
      <c r="P510" s="1227" t="str">
        <f t="shared" si="128"/>
        <v>400gsm ARTBOARD APP-3 COIN BRAND</v>
      </c>
      <c r="Q510" s="254">
        <v>0.47699999999999998</v>
      </c>
      <c r="R510" s="1228" t="str">
        <f t="shared" si="131"/>
        <v>400</v>
      </c>
      <c r="S510" s="2625">
        <f t="shared" si="111"/>
        <v>0</v>
      </c>
      <c r="T510" s="2747">
        <f>IF(L510&gt;0,IF(input!$B$2=$O$1,(((L510+Y510/22)+(L510+Y510/22)*$AG510+$X510)*$P$11+$M$7)/1000,(((L510+Y510/22)+(L510+Y510/22)*O510+(L510+Y510/22)*$AG510+$X510)*$P$11+$M$7)/1000),0)</f>
        <v>26213.867999999999</v>
      </c>
      <c r="U510" s="2747">
        <f t="shared" si="130"/>
        <v>0</v>
      </c>
      <c r="V510" s="1229"/>
      <c r="W510" s="1231" t="str">
        <f t="shared" si="112"/>
        <v>CIF</v>
      </c>
      <c r="X510" s="1230">
        <f t="shared" si="133"/>
        <v>0</v>
      </c>
      <c r="Y510" s="2625">
        <f t="shared" si="116"/>
        <v>0</v>
      </c>
      <c r="Z510" s="3208">
        <f t="shared" si="132"/>
        <v>838.18181818181813</v>
      </c>
      <c r="AA510" s="1220" t="s">
        <v>2830</v>
      </c>
      <c r="AB510" s="1220" t="s">
        <v>1396</v>
      </c>
      <c r="AC510" s="251" t="str">
        <f t="shared" si="117"/>
        <v>400gsm ARTBOARD APP-3 COIN BRAND</v>
      </c>
      <c r="AD510" s="2746">
        <f>IF(L510&gt;0,IF(input!$B$2=$O$1,(((M510)+(M510)*$M$10)*$P$11)/1000,(((M510)+(M510)*O510+(M510)*$M$10)*$P$11)/1000),0)</f>
        <v>726.06239999999991</v>
      </c>
      <c r="AE510" s="2746">
        <f>IF(L510&gt;0,IF(input!$B$2=$O$1,(((N510)+(N510)*$M$10)*$P$11)/1000,(((N510)+(N510)*O510+(N510)*$M$10)*$P$11)/1000),0)</f>
        <v>726.06239999999991</v>
      </c>
      <c r="AF510" s="136" t="str">
        <f t="shared" si="118"/>
        <v>PEFC</v>
      </c>
      <c r="AG510" s="2628">
        <f t="shared" si="119"/>
        <v>1.6E-2</v>
      </c>
      <c r="AH510" s="1266">
        <v>0.1</v>
      </c>
    </row>
    <row r="511" spans="1:34" ht="12.75">
      <c r="A511" s="2199">
        <f t="shared" si="129"/>
        <v>499</v>
      </c>
      <c r="B511" s="2200" t="s">
        <v>2575</v>
      </c>
      <c r="C511" s="2743">
        <v>0</v>
      </c>
      <c r="D511" s="2743">
        <v>0</v>
      </c>
      <c r="E511" s="2949">
        <v>0.1</v>
      </c>
      <c r="F511" s="2200">
        <v>20</v>
      </c>
      <c r="G511" s="2200" t="s">
        <v>2395</v>
      </c>
      <c r="H511" s="2200" t="s">
        <v>1057</v>
      </c>
      <c r="I511" s="2742">
        <v>30</v>
      </c>
      <c r="J511" s="2742"/>
      <c r="K511" s="2752">
        <v>45</v>
      </c>
      <c r="L511" s="2745">
        <f t="shared" si="134"/>
        <v>0</v>
      </c>
      <c r="M511" s="2745">
        <f t="shared" si="113"/>
        <v>30</v>
      </c>
      <c r="N511" s="2745">
        <f t="shared" si="114"/>
        <v>20</v>
      </c>
      <c r="O511" s="1232">
        <f t="shared" si="115"/>
        <v>0.1</v>
      </c>
      <c r="P511" s="1227" t="str">
        <f t="shared" si="128"/>
        <v>180gsm ARTBOARD NINGBO STAR</v>
      </c>
      <c r="Q511" s="254">
        <v>0.185</v>
      </c>
      <c r="R511" s="1228" t="str">
        <f t="shared" si="131"/>
        <v>180</v>
      </c>
      <c r="S511" s="2625">
        <f t="shared" si="111"/>
        <v>0</v>
      </c>
      <c r="T511" s="2747">
        <f>IF(L511&gt;0,IF(input!$B$2=$O$1,(((L511+Y511/22)+(L511+Y511/22)*$AG511+$X511)*$P$11+$M$7)/1000,(((L511+Y511/22)+(L511+Y511/22)*O511+(L511+Y511/22)*$AG511+$X511)*$P$11+$M$7)/1000),0)</f>
        <v>0</v>
      </c>
      <c r="U511" s="2747">
        <f t="shared" si="130"/>
        <v>0</v>
      </c>
      <c r="V511" s="1229"/>
      <c r="W511" s="1231" t="str">
        <f t="shared" si="112"/>
        <v>CIF</v>
      </c>
      <c r="X511" s="1230">
        <f t="shared" si="133"/>
        <v>0</v>
      </c>
      <c r="Y511" s="2625">
        <f t="shared" si="116"/>
        <v>0</v>
      </c>
      <c r="Z511" s="3208">
        <f t="shared" si="132"/>
        <v>838.18181818181813</v>
      </c>
      <c r="AA511" s="1220" t="s">
        <v>2831</v>
      </c>
      <c r="AB511" s="1220" t="s">
        <v>1396</v>
      </c>
      <c r="AC511" s="251" t="str">
        <f t="shared" si="117"/>
        <v>180gsm ARTBOARD NINGBO STAR</v>
      </c>
      <c r="AD511" s="2746">
        <f>IF(L511&gt;0,IF(input!$B$2=$O$1,(((M511)+(M511)*$M$10)*$P$11)/1000,(((M511)+(M511)*O511+(M511)*$M$10)*$P$11)/1000),0)</f>
        <v>0</v>
      </c>
      <c r="AE511" s="2746">
        <f>IF(L511&gt;0,IF(input!$B$2=$O$1,(((N511)+(N511)*$M$10)*$P$11)/1000,(((N511)+(N511)*O511+(N511)*$M$10)*$P$11)/1000),0)</f>
        <v>0</v>
      </c>
      <c r="AF511" s="136" t="str">
        <f t="shared" si="118"/>
        <v>PEFC</v>
      </c>
      <c r="AG511" s="2628">
        <f t="shared" si="119"/>
        <v>1.2E-2</v>
      </c>
      <c r="AH511" s="1266">
        <v>0.1</v>
      </c>
    </row>
    <row r="512" spans="1:34" ht="12.75">
      <c r="A512" s="2199">
        <f t="shared" si="129"/>
        <v>500</v>
      </c>
      <c r="B512" s="2200" t="s">
        <v>2576</v>
      </c>
      <c r="C512" s="2743">
        <v>0</v>
      </c>
      <c r="D512" s="2743">
        <v>0</v>
      </c>
      <c r="E512" s="2949">
        <v>0.1</v>
      </c>
      <c r="F512" s="2200">
        <v>20</v>
      </c>
      <c r="G512" s="2200" t="s">
        <v>2395</v>
      </c>
      <c r="H512" s="2200" t="s">
        <v>1057</v>
      </c>
      <c r="I512" s="2742">
        <v>30</v>
      </c>
      <c r="J512" s="2742"/>
      <c r="K512" s="2752">
        <v>45</v>
      </c>
      <c r="L512" s="2745">
        <f t="shared" si="134"/>
        <v>0</v>
      </c>
      <c r="M512" s="2745">
        <f t="shared" si="113"/>
        <v>30</v>
      </c>
      <c r="N512" s="2745">
        <f t="shared" si="114"/>
        <v>20</v>
      </c>
      <c r="O512" s="1232">
        <f t="shared" si="115"/>
        <v>0.1</v>
      </c>
      <c r="P512" s="1227" t="str">
        <f t="shared" si="128"/>
        <v>200gsm ARTBOARD NINGBO STAR</v>
      </c>
      <c r="Q512" s="254">
        <v>0.21</v>
      </c>
      <c r="R512" s="1228" t="str">
        <f t="shared" si="131"/>
        <v>200</v>
      </c>
      <c r="S512" s="2625">
        <f t="shared" si="111"/>
        <v>0</v>
      </c>
      <c r="T512" s="2747">
        <f>IF(L512&gt;0,IF(input!$B$2=$O$1,(((L512+Y512/22)+(L512+Y512/22)*$AG512+$X512)*$P$11+$M$7)/1000,(((L512+Y512/22)+(L512+Y512/22)*O512+(L512+Y512/22)*$AG512+$X512)*$P$11+$M$7)/1000),0)</f>
        <v>0</v>
      </c>
      <c r="U512" s="2747">
        <f t="shared" si="130"/>
        <v>0</v>
      </c>
      <c r="V512" s="1229"/>
      <c r="W512" s="1231" t="str">
        <f t="shared" si="112"/>
        <v>CIF</v>
      </c>
      <c r="X512" s="1230">
        <f t="shared" si="133"/>
        <v>0</v>
      </c>
      <c r="Y512" s="2625">
        <f t="shared" si="116"/>
        <v>0</v>
      </c>
      <c r="Z512" s="3208">
        <f t="shared" si="132"/>
        <v>838.18181818181813</v>
      </c>
      <c r="AA512" s="1220" t="s">
        <v>2831</v>
      </c>
      <c r="AB512" s="1220" t="s">
        <v>1396</v>
      </c>
      <c r="AC512" s="251" t="str">
        <f t="shared" si="117"/>
        <v>200gsm ARTBOARD NINGBO STAR</v>
      </c>
      <c r="AD512" s="2746">
        <f>IF(L512&gt;0,IF(input!$B$2=$O$1,(((M512)+(M512)*$M$10)*$P$11)/1000,(((M512)+(M512)*O512+(M512)*$M$10)*$P$11)/1000),0)</f>
        <v>0</v>
      </c>
      <c r="AE512" s="2746">
        <f>IF(L512&gt;0,IF(input!$B$2=$O$1,(((N512)+(N512)*$M$10)*$P$11)/1000,(((N512)+(N512)*O512+(N512)*$M$10)*$P$11)/1000),0)</f>
        <v>0</v>
      </c>
      <c r="AF512" s="136" t="str">
        <f t="shared" si="118"/>
        <v>PEFC</v>
      </c>
      <c r="AG512" s="2628">
        <f t="shared" si="119"/>
        <v>1.2E-2</v>
      </c>
      <c r="AH512" s="1266">
        <v>0.1</v>
      </c>
    </row>
    <row r="513" spans="1:34" ht="12.75">
      <c r="A513" s="2199">
        <f t="shared" si="129"/>
        <v>501</v>
      </c>
      <c r="B513" s="2200" t="s">
        <v>2577</v>
      </c>
      <c r="C513" s="2743">
        <v>0</v>
      </c>
      <c r="D513" s="2743">
        <v>0</v>
      </c>
      <c r="E513" s="2949">
        <v>0.1</v>
      </c>
      <c r="F513" s="2200">
        <v>20</v>
      </c>
      <c r="G513" s="2200" t="s">
        <v>2395</v>
      </c>
      <c r="H513" s="2200" t="s">
        <v>1057</v>
      </c>
      <c r="I513" s="2742">
        <v>30</v>
      </c>
      <c r="J513" s="2742"/>
      <c r="K513" s="2752">
        <v>45</v>
      </c>
      <c r="L513" s="2745">
        <f t="shared" si="134"/>
        <v>0</v>
      </c>
      <c r="M513" s="2745">
        <f t="shared" si="113"/>
        <v>30</v>
      </c>
      <c r="N513" s="2745">
        <f t="shared" si="114"/>
        <v>20</v>
      </c>
      <c r="O513" s="1232">
        <f t="shared" si="115"/>
        <v>0.1</v>
      </c>
      <c r="P513" s="1227" t="str">
        <f t="shared" si="128"/>
        <v>210gsm ARTBOARD NINGBO STAR</v>
      </c>
      <c r="Q513" s="254">
        <v>0.22</v>
      </c>
      <c r="R513" s="1228" t="str">
        <f t="shared" si="131"/>
        <v>210</v>
      </c>
      <c r="S513" s="2625">
        <f t="shared" si="111"/>
        <v>0</v>
      </c>
      <c r="T513" s="2747">
        <f>IF(L513&gt;0,IF(input!$B$2=$O$1,(((L513+Y513/22)+(L513+Y513/22)*$AG513+$X513)*$P$11+$M$7)/1000,(((L513+Y513/22)+(L513+Y513/22)*O513+(L513+Y513/22)*$AG513+$X513)*$P$11+$M$7)/1000),0)</f>
        <v>0</v>
      </c>
      <c r="U513" s="2747">
        <f t="shared" si="130"/>
        <v>0</v>
      </c>
      <c r="V513" s="1229"/>
      <c r="W513" s="1231" t="str">
        <f t="shared" si="112"/>
        <v>CIF</v>
      </c>
      <c r="X513" s="1230">
        <f t="shared" si="133"/>
        <v>0</v>
      </c>
      <c r="Y513" s="2625">
        <f t="shared" si="116"/>
        <v>0</v>
      </c>
      <c r="Z513" s="3208">
        <f t="shared" si="132"/>
        <v>838.18181818181813</v>
      </c>
      <c r="AA513" s="1220" t="s">
        <v>2831</v>
      </c>
      <c r="AB513" s="1220" t="s">
        <v>1396</v>
      </c>
      <c r="AC513" s="251" t="str">
        <f t="shared" si="117"/>
        <v>210gsm ARTBOARD NINGBO STAR</v>
      </c>
      <c r="AD513" s="2746">
        <f>IF(L513&gt;0,IF(input!$B$2=$O$1,(((M513)+(M513)*$M$10)*$P$11)/1000,(((M513)+(M513)*O513+(M513)*$M$10)*$P$11)/1000),0)</f>
        <v>0</v>
      </c>
      <c r="AE513" s="2746">
        <f>IF(L513&gt;0,IF(input!$B$2=$O$1,(((N513)+(N513)*$M$10)*$P$11)/1000,(((N513)+(N513)*O513+(N513)*$M$10)*$P$11)/1000),0)</f>
        <v>0</v>
      </c>
      <c r="AF513" s="136" t="str">
        <f t="shared" si="118"/>
        <v>PEFC</v>
      </c>
      <c r="AG513" s="2628">
        <f t="shared" si="119"/>
        <v>1.2E-2</v>
      </c>
      <c r="AH513" s="1266">
        <v>0.1</v>
      </c>
    </row>
    <row r="514" spans="1:34" ht="12.75">
      <c r="A514" s="2199">
        <f t="shared" si="129"/>
        <v>502</v>
      </c>
      <c r="B514" s="2200" t="s">
        <v>2578</v>
      </c>
      <c r="C514" s="2743">
        <v>0</v>
      </c>
      <c r="D514" s="2743">
        <v>870</v>
      </c>
      <c r="E514" s="2949">
        <v>0.1</v>
      </c>
      <c r="F514" s="2200">
        <v>20</v>
      </c>
      <c r="G514" s="2200" t="s">
        <v>2395</v>
      </c>
      <c r="H514" s="2200" t="s">
        <v>1057</v>
      </c>
      <c r="I514" s="2742">
        <v>30</v>
      </c>
      <c r="J514" s="2742"/>
      <c r="K514" s="2752">
        <v>45</v>
      </c>
      <c r="L514" s="2745">
        <f t="shared" ref="L514:L576" si="135">$D514</f>
        <v>870</v>
      </c>
      <c r="M514" s="2745">
        <f t="shared" si="113"/>
        <v>30</v>
      </c>
      <c r="N514" s="2745">
        <f t="shared" si="114"/>
        <v>20</v>
      </c>
      <c r="O514" s="1232">
        <f t="shared" si="115"/>
        <v>0.1</v>
      </c>
      <c r="P514" s="1227" t="str">
        <f t="shared" si="128"/>
        <v>230gsm ARTBOARD NINGBO STAR</v>
      </c>
      <c r="Q514" s="254">
        <v>0.25</v>
      </c>
      <c r="R514" s="1228" t="str">
        <f t="shared" si="131"/>
        <v>230</v>
      </c>
      <c r="S514" s="2625">
        <f t="shared" ref="S514:S576" si="136">C514</f>
        <v>0</v>
      </c>
      <c r="T514" s="2747">
        <f>IF(L514&gt;0,IF(input!$B$2=$O$1,(((L514+Y514/22)+(L514+Y514/22)*$AG514+$X514)*$P$11+$M$7)/1000,(((L514+Y514/22)+(L514+Y514/22)*O514+(L514+Y514/22)*$AG514+$X514)*$P$11+$M$7)/1000),0)</f>
        <v>23828.234400000001</v>
      </c>
      <c r="U514" s="2747">
        <f t="shared" si="130"/>
        <v>0</v>
      </c>
      <c r="V514" s="1229"/>
      <c r="W514" s="1231" t="str">
        <f t="shared" ref="W514:W576" si="137">H514</f>
        <v>CIF</v>
      </c>
      <c r="X514" s="1230">
        <f t="shared" si="133"/>
        <v>0</v>
      </c>
      <c r="Y514" s="2625">
        <f t="shared" si="116"/>
        <v>0</v>
      </c>
      <c r="Z514" s="3208">
        <f t="shared" si="132"/>
        <v>838.18181818181813</v>
      </c>
      <c r="AA514" s="1220" t="s">
        <v>2831</v>
      </c>
      <c r="AB514" s="1220" t="s">
        <v>1396</v>
      </c>
      <c r="AC514" s="251" t="str">
        <f t="shared" si="117"/>
        <v>230gsm ARTBOARD NINGBO STAR</v>
      </c>
      <c r="AD514" s="2746">
        <f>IF(L514&gt;0,IF(input!$B$2=$O$1,(((M514)+(M514)*$M$10)*$P$11)/1000,(((M514)+(M514)*O514+(M514)*$M$10)*$P$11)/1000),0)</f>
        <v>798.0924</v>
      </c>
      <c r="AE514" s="2746">
        <f>IF(L514&gt;0,IF(input!$B$2=$O$1,(((N514)+(N514)*$M$10)*$P$11)/1000,(((N514)+(N514)*O514+(N514)*$M$10)*$P$11)/1000),0)</f>
        <v>532.0616</v>
      </c>
      <c r="AF514" s="136" t="str">
        <f t="shared" si="118"/>
        <v>PEFC</v>
      </c>
      <c r="AG514" s="2628">
        <f t="shared" si="119"/>
        <v>1.2E-2</v>
      </c>
      <c r="AH514" s="1266">
        <v>0.1</v>
      </c>
    </row>
    <row r="515" spans="1:34" ht="12.75">
      <c r="A515" s="2199">
        <f t="shared" si="129"/>
        <v>503</v>
      </c>
      <c r="B515" s="2200" t="s">
        <v>2579</v>
      </c>
      <c r="C515" s="2743">
        <v>0</v>
      </c>
      <c r="D515" s="2743">
        <v>870</v>
      </c>
      <c r="E515" s="2949">
        <v>0.1</v>
      </c>
      <c r="F515" s="2200">
        <v>20</v>
      </c>
      <c r="G515" s="2200" t="s">
        <v>2395</v>
      </c>
      <c r="H515" s="2200" t="s">
        <v>1057</v>
      </c>
      <c r="I515" s="2742">
        <v>30</v>
      </c>
      <c r="J515" s="2742"/>
      <c r="K515" s="2752">
        <v>45</v>
      </c>
      <c r="L515" s="2745">
        <f t="shared" si="135"/>
        <v>870</v>
      </c>
      <c r="M515" s="2745">
        <f t="shared" ref="M515:M577" si="138">I515</f>
        <v>30</v>
      </c>
      <c r="N515" s="2745">
        <f t="shared" ref="N515:N577" si="139">$F515</f>
        <v>20</v>
      </c>
      <c r="O515" s="1232">
        <f t="shared" ref="O515:O577" si="140">$E515</f>
        <v>0.1</v>
      </c>
      <c r="P515" s="1227" t="str">
        <f t="shared" si="128"/>
        <v>250gsm ARTBOARD NINGBO STAR</v>
      </c>
      <c r="Q515" s="254">
        <v>0.27500000000000002</v>
      </c>
      <c r="R515" s="1228" t="str">
        <f t="shared" si="131"/>
        <v>250</v>
      </c>
      <c r="S515" s="2625">
        <f t="shared" si="136"/>
        <v>0</v>
      </c>
      <c r="T515" s="2747">
        <f>IF(L515&gt;0,IF(input!$B$2=$O$1,(((L515+Y515/22)+(L515+Y515/22)*$AG515+$X515)*$P$11+$M$7)/1000,(((L515+Y515/22)+(L515+Y515/22)*O515+(L515+Y515/22)*$AG515+$X515)*$P$11+$M$7)/1000),0)</f>
        <v>23828.234400000001</v>
      </c>
      <c r="U515" s="2747">
        <f t="shared" si="130"/>
        <v>0</v>
      </c>
      <c r="V515" s="1229"/>
      <c r="W515" s="1231" t="str">
        <f t="shared" si="137"/>
        <v>CIF</v>
      </c>
      <c r="X515" s="1230">
        <f t="shared" si="133"/>
        <v>0</v>
      </c>
      <c r="Y515" s="2625">
        <f t="shared" si="116"/>
        <v>0</v>
      </c>
      <c r="Z515" s="3208">
        <f t="shared" si="132"/>
        <v>838.18181818181813</v>
      </c>
      <c r="AA515" s="1220" t="s">
        <v>2831</v>
      </c>
      <c r="AB515" s="1220" t="s">
        <v>1396</v>
      </c>
      <c r="AC515" s="251" t="str">
        <f t="shared" si="117"/>
        <v>250gsm ARTBOARD NINGBO STAR</v>
      </c>
      <c r="AD515" s="2746">
        <f>IF(L515&gt;0,IF(input!$B$2=$O$1,(((M515)+(M515)*$M$10)*$P$11)/1000,(((M515)+(M515)*O515+(M515)*$M$10)*$P$11)/1000),0)</f>
        <v>798.0924</v>
      </c>
      <c r="AE515" s="2746">
        <f>IF(L515&gt;0,IF(input!$B$2=$O$1,(((N515)+(N515)*$M$10)*$P$11)/1000,(((N515)+(N515)*O515+(N515)*$M$10)*$P$11)/1000),0)</f>
        <v>532.0616</v>
      </c>
      <c r="AF515" s="136" t="str">
        <f t="shared" si="118"/>
        <v>PEFC</v>
      </c>
      <c r="AG515" s="2628">
        <f t="shared" si="119"/>
        <v>1.2E-2</v>
      </c>
      <c r="AH515" s="1266">
        <v>0.1</v>
      </c>
    </row>
    <row r="516" spans="1:34" ht="12.75">
      <c r="A516" s="2199">
        <f t="shared" si="129"/>
        <v>504</v>
      </c>
      <c r="B516" s="2200" t="s">
        <v>2580</v>
      </c>
      <c r="C516" s="2743">
        <v>0</v>
      </c>
      <c r="D516" s="2743">
        <v>870</v>
      </c>
      <c r="E516" s="2949">
        <v>0.1</v>
      </c>
      <c r="F516" s="2200">
        <v>20</v>
      </c>
      <c r="G516" s="2200" t="s">
        <v>2395</v>
      </c>
      <c r="H516" s="2200" t="s">
        <v>1057</v>
      </c>
      <c r="I516" s="2742">
        <v>30</v>
      </c>
      <c r="J516" s="2742"/>
      <c r="K516" s="2752">
        <v>45</v>
      </c>
      <c r="L516" s="2745">
        <f t="shared" si="135"/>
        <v>870</v>
      </c>
      <c r="M516" s="2745">
        <f t="shared" si="138"/>
        <v>30</v>
      </c>
      <c r="N516" s="2745">
        <f t="shared" si="139"/>
        <v>20</v>
      </c>
      <c r="O516" s="1232">
        <f t="shared" si="140"/>
        <v>0.1</v>
      </c>
      <c r="P516" s="1227" t="str">
        <f t="shared" si="128"/>
        <v>270gsm ARTBOARD NINGBO STAR</v>
      </c>
      <c r="Q516" s="254">
        <v>0.30499999999999999</v>
      </c>
      <c r="R516" s="1228" t="str">
        <f t="shared" si="131"/>
        <v>270</v>
      </c>
      <c r="S516" s="2625">
        <f t="shared" si="136"/>
        <v>0</v>
      </c>
      <c r="T516" s="2747">
        <f>IF(L516&gt;0,IF(input!$B$2=$O$1,(((L516+Y516/22)+(L516+Y516/22)*$AG516+$X516)*$P$11+$M$7)/1000,(((L516+Y516/22)+(L516+Y516/22)*O516+(L516+Y516/22)*$AG516+$X516)*$P$11+$M$7)/1000),0)</f>
        <v>23828.234400000001</v>
      </c>
      <c r="U516" s="2747">
        <f t="shared" si="130"/>
        <v>0</v>
      </c>
      <c r="V516" s="1229"/>
      <c r="W516" s="1231" t="str">
        <f t="shared" si="137"/>
        <v>CIF</v>
      </c>
      <c r="X516" s="1230">
        <f t="shared" si="133"/>
        <v>0</v>
      </c>
      <c r="Y516" s="2625">
        <f t="shared" ref="Y516:Y578" si="141">J516</f>
        <v>0</v>
      </c>
      <c r="Z516" s="3208">
        <f t="shared" si="132"/>
        <v>838.18181818181813</v>
      </c>
      <c r="AA516" s="1220" t="s">
        <v>2831</v>
      </c>
      <c r="AB516" s="1220" t="s">
        <v>1396</v>
      </c>
      <c r="AC516" s="251" t="str">
        <f t="shared" ref="AC516:AC578" si="142">B516</f>
        <v>270gsm ARTBOARD NINGBO STAR</v>
      </c>
      <c r="AD516" s="2746">
        <f>IF(L516&gt;0,IF(input!$B$2=$O$1,(((M516)+(M516)*$M$10)*$P$11)/1000,(((M516)+(M516)*O516+(M516)*$M$10)*$P$11)/1000),0)</f>
        <v>798.0924</v>
      </c>
      <c r="AE516" s="2746">
        <f>IF(L516&gt;0,IF(input!$B$2=$O$1,(((N516)+(N516)*$M$10)*$P$11)/1000,(((N516)+(N516)*O516+(N516)*$M$10)*$P$11)/1000),0)</f>
        <v>532.0616</v>
      </c>
      <c r="AF516" s="136" t="str">
        <f t="shared" ref="AF516:AF578" si="143">G516</f>
        <v>PEFC</v>
      </c>
      <c r="AG516" s="2628">
        <f t="shared" ref="AG516:AG578" si="144">K516*$M$10/30</f>
        <v>1.2E-2</v>
      </c>
      <c r="AH516" s="1266">
        <v>0.1</v>
      </c>
    </row>
    <row r="517" spans="1:34" ht="12.75">
      <c r="A517" s="2199">
        <f t="shared" si="129"/>
        <v>505</v>
      </c>
      <c r="B517" s="2200" t="s">
        <v>2581</v>
      </c>
      <c r="C517" s="2743">
        <v>0</v>
      </c>
      <c r="D517" s="2743">
        <v>870</v>
      </c>
      <c r="E517" s="2949">
        <v>0.1</v>
      </c>
      <c r="F517" s="2200">
        <v>20</v>
      </c>
      <c r="G517" s="2200" t="s">
        <v>2395</v>
      </c>
      <c r="H517" s="2200" t="s">
        <v>1057</v>
      </c>
      <c r="I517" s="2742">
        <v>30</v>
      </c>
      <c r="J517" s="2742"/>
      <c r="K517" s="2752">
        <v>45</v>
      </c>
      <c r="L517" s="2745">
        <f t="shared" si="135"/>
        <v>870</v>
      </c>
      <c r="M517" s="2745">
        <f t="shared" si="138"/>
        <v>30</v>
      </c>
      <c r="N517" s="2745">
        <f t="shared" si="139"/>
        <v>20</v>
      </c>
      <c r="O517" s="1232">
        <f t="shared" si="140"/>
        <v>0.1</v>
      </c>
      <c r="P517" s="1227" t="str">
        <f t="shared" si="128"/>
        <v>300gsm ARTBOARD NINGBO STAR</v>
      </c>
      <c r="Q517" s="254">
        <v>0.35499999999999998</v>
      </c>
      <c r="R517" s="1228" t="str">
        <f t="shared" si="131"/>
        <v>300</v>
      </c>
      <c r="S517" s="2625">
        <f t="shared" si="136"/>
        <v>0</v>
      </c>
      <c r="T517" s="2747">
        <f>IF(L517&gt;0,IF(input!$B$2=$O$1,(((L517+Y517/22)+(L517+Y517/22)*$AG517+$X517)*$P$11+$M$7)/1000,(((L517+Y517/22)+(L517+Y517/22)*O517+(L517+Y517/22)*$AG517+$X517)*$P$11+$M$7)/1000),0)</f>
        <v>23828.234400000001</v>
      </c>
      <c r="U517" s="2747">
        <f t="shared" si="130"/>
        <v>0</v>
      </c>
      <c r="V517" s="1229"/>
      <c r="W517" s="1231" t="str">
        <f t="shared" si="137"/>
        <v>CIF</v>
      </c>
      <c r="X517" s="1230">
        <f t="shared" si="133"/>
        <v>0</v>
      </c>
      <c r="Y517" s="2625">
        <f t="shared" si="141"/>
        <v>0</v>
      </c>
      <c r="Z517" s="3208">
        <f t="shared" si="132"/>
        <v>838.18181818181813</v>
      </c>
      <c r="AA517" s="1220" t="s">
        <v>2831</v>
      </c>
      <c r="AB517" s="1220" t="s">
        <v>1396</v>
      </c>
      <c r="AC517" s="251" t="str">
        <f t="shared" si="142"/>
        <v>300gsm ARTBOARD NINGBO STAR</v>
      </c>
      <c r="AD517" s="2746">
        <f>IF(L517&gt;0,IF(input!$B$2=$O$1,(((M517)+(M517)*$M$10)*$P$11)/1000,(((M517)+(M517)*O517+(M517)*$M$10)*$P$11)/1000),0)</f>
        <v>798.0924</v>
      </c>
      <c r="AE517" s="2746">
        <f>IF(L517&gt;0,IF(input!$B$2=$O$1,(((N517)+(N517)*$M$10)*$P$11)/1000,(((N517)+(N517)*O517+(N517)*$M$10)*$P$11)/1000),0)</f>
        <v>532.0616</v>
      </c>
      <c r="AF517" s="136" t="str">
        <f t="shared" si="143"/>
        <v>PEFC</v>
      </c>
      <c r="AG517" s="2628">
        <f t="shared" si="144"/>
        <v>1.2E-2</v>
      </c>
      <c r="AH517" s="1266">
        <v>0.1</v>
      </c>
    </row>
    <row r="518" spans="1:34" ht="12.75">
      <c r="A518" s="2199">
        <f t="shared" si="129"/>
        <v>506</v>
      </c>
      <c r="B518" s="2200" t="s">
        <v>2582</v>
      </c>
      <c r="C518" s="2743">
        <v>0</v>
      </c>
      <c r="D518" s="2743">
        <v>870</v>
      </c>
      <c r="E518" s="2949">
        <v>0.1</v>
      </c>
      <c r="F518" s="2200">
        <v>20</v>
      </c>
      <c r="G518" s="2200" t="s">
        <v>2395</v>
      </c>
      <c r="H518" s="2200" t="s">
        <v>1057</v>
      </c>
      <c r="I518" s="2742">
        <v>30</v>
      </c>
      <c r="J518" s="2742"/>
      <c r="K518" s="2752">
        <v>45</v>
      </c>
      <c r="L518" s="2745">
        <f t="shared" si="135"/>
        <v>870</v>
      </c>
      <c r="M518" s="2745">
        <f t="shared" si="138"/>
        <v>30</v>
      </c>
      <c r="N518" s="2745">
        <f t="shared" si="139"/>
        <v>20</v>
      </c>
      <c r="O518" s="1232">
        <f t="shared" si="140"/>
        <v>0.1</v>
      </c>
      <c r="P518" s="1227" t="str">
        <f t="shared" si="128"/>
        <v>350gsm ARTBOARD NINGBO STAR</v>
      </c>
      <c r="Q518" s="254">
        <v>0.41</v>
      </c>
      <c r="R518" s="1228" t="str">
        <f t="shared" si="131"/>
        <v>350</v>
      </c>
      <c r="S518" s="2625">
        <f t="shared" si="136"/>
        <v>0</v>
      </c>
      <c r="T518" s="2747">
        <f>IF(L518&gt;0,IF(input!$B$2=$O$1,(((L518+Y518/22)+(L518+Y518/22)*$AG518+$X518)*$P$11+$M$7)/1000,(((L518+Y518/22)+(L518+Y518/22)*O518+(L518+Y518/22)*$AG518+$X518)*$P$11+$M$7)/1000),0)</f>
        <v>23828.234400000001</v>
      </c>
      <c r="U518" s="2747">
        <f t="shared" si="130"/>
        <v>0</v>
      </c>
      <c r="V518" s="1229"/>
      <c r="W518" s="1231" t="str">
        <f t="shared" si="137"/>
        <v>CIF</v>
      </c>
      <c r="X518" s="1230">
        <f t="shared" si="133"/>
        <v>0</v>
      </c>
      <c r="Y518" s="2625">
        <f t="shared" si="141"/>
        <v>0</v>
      </c>
      <c r="Z518" s="3208">
        <f t="shared" si="132"/>
        <v>838.18181818181813</v>
      </c>
      <c r="AA518" s="1220" t="s">
        <v>2831</v>
      </c>
      <c r="AB518" s="1220" t="s">
        <v>1396</v>
      </c>
      <c r="AC518" s="251" t="str">
        <f t="shared" si="142"/>
        <v>350gsm ARTBOARD NINGBO STAR</v>
      </c>
      <c r="AD518" s="2746">
        <f>IF(L518&gt;0,IF(input!$B$2=$O$1,(((M518)+(M518)*$M$10)*$P$11)/1000,(((M518)+(M518)*O518+(M518)*$M$10)*$P$11)/1000),0)</f>
        <v>798.0924</v>
      </c>
      <c r="AE518" s="2746">
        <f>IF(L518&gt;0,IF(input!$B$2=$O$1,(((N518)+(N518)*$M$10)*$P$11)/1000,(((N518)+(N518)*O518+(N518)*$M$10)*$P$11)/1000),0)</f>
        <v>532.0616</v>
      </c>
      <c r="AF518" s="136" t="str">
        <f t="shared" si="143"/>
        <v>PEFC</v>
      </c>
      <c r="AG518" s="2628">
        <f t="shared" si="144"/>
        <v>1.2E-2</v>
      </c>
      <c r="AH518" s="1266">
        <v>0.1</v>
      </c>
    </row>
    <row r="519" spans="1:34" ht="12.75">
      <c r="A519" s="2199">
        <f t="shared" si="129"/>
        <v>507</v>
      </c>
      <c r="B519" s="2200" t="s">
        <v>2583</v>
      </c>
      <c r="C519" s="2743">
        <v>0</v>
      </c>
      <c r="D519" s="2743">
        <v>870</v>
      </c>
      <c r="E519" s="2949">
        <v>0.1</v>
      </c>
      <c r="F519" s="2200">
        <v>20</v>
      </c>
      <c r="G519" s="2200" t="s">
        <v>2395</v>
      </c>
      <c r="H519" s="2200" t="s">
        <v>1057</v>
      </c>
      <c r="I519" s="2742">
        <v>30</v>
      </c>
      <c r="J519" s="2742"/>
      <c r="K519" s="2752">
        <v>45</v>
      </c>
      <c r="L519" s="2745">
        <f t="shared" si="135"/>
        <v>870</v>
      </c>
      <c r="M519" s="2745">
        <f t="shared" si="138"/>
        <v>30</v>
      </c>
      <c r="N519" s="2745">
        <f t="shared" si="139"/>
        <v>20</v>
      </c>
      <c r="O519" s="1232">
        <f t="shared" si="140"/>
        <v>0.1</v>
      </c>
      <c r="P519" s="1227" t="str">
        <f t="shared" si="128"/>
        <v>400gsm ARTBOARD NINGBO STAR</v>
      </c>
      <c r="Q519" s="254">
        <v>0.47</v>
      </c>
      <c r="R519" s="1228" t="str">
        <f t="shared" si="131"/>
        <v>400</v>
      </c>
      <c r="S519" s="2625">
        <f t="shared" si="136"/>
        <v>0</v>
      </c>
      <c r="T519" s="2747">
        <f>IF(L519&gt;0,IF(input!$B$2=$O$1,(((L519+Y519/22)+(L519+Y519/22)*$AG519+$X519)*$P$11+$M$7)/1000,(((L519+Y519/22)+(L519+Y519/22)*O519+(L519+Y519/22)*$AG519+$X519)*$P$11+$M$7)/1000),0)</f>
        <v>23828.234400000001</v>
      </c>
      <c r="U519" s="2747">
        <f t="shared" si="130"/>
        <v>0</v>
      </c>
      <c r="V519" s="1229"/>
      <c r="W519" s="1231" t="str">
        <f t="shared" si="137"/>
        <v>CIF</v>
      </c>
      <c r="X519" s="1230">
        <f t="shared" si="133"/>
        <v>0</v>
      </c>
      <c r="Y519" s="2625">
        <f t="shared" si="141"/>
        <v>0</v>
      </c>
      <c r="Z519" s="3208">
        <f t="shared" si="132"/>
        <v>838.18181818181813</v>
      </c>
      <c r="AA519" s="1220" t="s">
        <v>2831</v>
      </c>
      <c r="AB519" s="1220" t="s">
        <v>1396</v>
      </c>
      <c r="AC519" s="251" t="str">
        <f t="shared" si="142"/>
        <v>400gsm ARTBOARD NINGBO STAR</v>
      </c>
      <c r="AD519" s="2746">
        <f>IF(L519&gt;0,IF(input!$B$2=$O$1,(((M519)+(M519)*$M$10)*$P$11)/1000,(((M519)+(M519)*O519+(M519)*$M$10)*$P$11)/1000),0)</f>
        <v>798.0924</v>
      </c>
      <c r="AE519" s="2746">
        <f>IF(L519&gt;0,IF(input!$B$2=$O$1,(((N519)+(N519)*$M$10)*$P$11)/1000,(((N519)+(N519)*O519+(N519)*$M$10)*$P$11)/1000),0)</f>
        <v>532.0616</v>
      </c>
      <c r="AF519" s="136" t="str">
        <f t="shared" si="143"/>
        <v>PEFC</v>
      </c>
      <c r="AG519" s="2628">
        <f t="shared" si="144"/>
        <v>1.2E-2</v>
      </c>
      <c r="AH519" s="1266">
        <v>0.1</v>
      </c>
    </row>
    <row r="520" spans="1:34" ht="12.75">
      <c r="A520" s="2199">
        <f t="shared" si="129"/>
        <v>508</v>
      </c>
      <c r="B520" s="2200" t="s">
        <v>2584</v>
      </c>
      <c r="C520" s="2743">
        <v>0</v>
      </c>
      <c r="D520" s="2743">
        <v>790</v>
      </c>
      <c r="E520" s="2949">
        <v>0</v>
      </c>
      <c r="F520" s="2200">
        <v>20</v>
      </c>
      <c r="G520" s="2200" t="s">
        <v>2038</v>
      </c>
      <c r="H520" s="2200" t="s">
        <v>1057</v>
      </c>
      <c r="I520" s="2742">
        <v>30</v>
      </c>
      <c r="J520" s="2742"/>
      <c r="K520" s="2752">
        <v>45</v>
      </c>
      <c r="L520" s="2745">
        <f t="shared" si="135"/>
        <v>790</v>
      </c>
      <c r="M520" s="2745">
        <f t="shared" si="138"/>
        <v>30</v>
      </c>
      <c r="N520" s="2745">
        <f t="shared" si="139"/>
        <v>20</v>
      </c>
      <c r="O520" s="1232">
        <f t="shared" si="140"/>
        <v>0</v>
      </c>
      <c r="P520" s="1227" t="str">
        <f t="shared" si="128"/>
        <v>230gsm ARTBOARD Bohui - (C2S)</v>
      </c>
      <c r="Q520" s="254">
        <v>0.255</v>
      </c>
      <c r="R520" s="1228" t="str">
        <f t="shared" si="131"/>
        <v>230</v>
      </c>
      <c r="S520" s="2625">
        <f t="shared" si="136"/>
        <v>0</v>
      </c>
      <c r="T520" s="2747">
        <f>IF(L520&gt;0,IF(input!$B$2=$O$1,(((L520+Y520/22)+(L520+Y520/22)*$AG520+$X520)*$P$11+$M$7)/1000,(((L520+Y520/22)+(L520+Y520/22)*O520+(L520+Y520/22)*$AG520+$X520)*$P$11+$M$7)/1000),0)</f>
        <v>19795.514800000001</v>
      </c>
      <c r="U520" s="2747">
        <f t="shared" si="130"/>
        <v>0</v>
      </c>
      <c r="V520" s="1229"/>
      <c r="W520" s="1231" t="str">
        <f t="shared" si="137"/>
        <v>CIF</v>
      </c>
      <c r="X520" s="1230">
        <f t="shared" si="133"/>
        <v>0</v>
      </c>
      <c r="Y520" s="2625">
        <f t="shared" si="141"/>
        <v>0</v>
      </c>
      <c r="Z520" s="3208">
        <f t="shared" si="132"/>
        <v>838.18181818181813</v>
      </c>
      <c r="AA520" s="1220" t="s">
        <v>2832</v>
      </c>
      <c r="AB520" s="1220" t="s">
        <v>1396</v>
      </c>
      <c r="AC520" s="251" t="str">
        <f t="shared" si="142"/>
        <v>230gsm ARTBOARD Bohui - (C2S)</v>
      </c>
      <c r="AD520" s="2746">
        <f>IF(L520&gt;0,IF(input!$B$2=$O$1,(((M520)+(M520)*$M$10)*$P$11)/1000,(((M520)+(M520)*O520+(M520)*$M$10)*$P$11)/1000),0)</f>
        <v>726.06239999999991</v>
      </c>
      <c r="AE520" s="2746">
        <f>IF(L520&gt;0,IF(input!$B$2=$O$1,(((N520)+(N520)*$M$10)*$P$11)/1000,(((N520)+(N520)*O520+(N520)*$M$10)*$P$11)/1000),0)</f>
        <v>484.04159999999996</v>
      </c>
      <c r="AF520" s="136" t="str">
        <f t="shared" si="143"/>
        <v>FSC</v>
      </c>
      <c r="AG520" s="2628">
        <f t="shared" si="144"/>
        <v>1.2E-2</v>
      </c>
      <c r="AH520" s="1266">
        <v>0.1</v>
      </c>
    </row>
    <row r="521" spans="1:34" ht="12.75">
      <c r="A521" s="2199">
        <f t="shared" si="129"/>
        <v>509</v>
      </c>
      <c r="B521" s="2200" t="s">
        <v>2585</v>
      </c>
      <c r="C521" s="2743">
        <v>0</v>
      </c>
      <c r="D521" s="2743">
        <v>790</v>
      </c>
      <c r="E521" s="2949">
        <v>0</v>
      </c>
      <c r="F521" s="2200">
        <v>20</v>
      </c>
      <c r="G521" s="2200" t="s">
        <v>2038</v>
      </c>
      <c r="H521" s="2200" t="s">
        <v>1057</v>
      </c>
      <c r="I521" s="2742">
        <v>30</v>
      </c>
      <c r="J521" s="2742"/>
      <c r="K521" s="2752">
        <v>45</v>
      </c>
      <c r="L521" s="2745">
        <f t="shared" si="135"/>
        <v>790</v>
      </c>
      <c r="M521" s="2745">
        <f t="shared" si="138"/>
        <v>30</v>
      </c>
      <c r="N521" s="2745">
        <f t="shared" si="139"/>
        <v>20</v>
      </c>
      <c r="O521" s="1232">
        <f t="shared" si="140"/>
        <v>0</v>
      </c>
      <c r="P521" s="1227" t="str">
        <f t="shared" si="128"/>
        <v>250gsm ARTBOARD Bohui - (C2S)</v>
      </c>
      <c r="Q521" s="254">
        <v>0.28499999999999998</v>
      </c>
      <c r="R521" s="1228" t="str">
        <f t="shared" si="131"/>
        <v>250</v>
      </c>
      <c r="S521" s="2625">
        <f t="shared" si="136"/>
        <v>0</v>
      </c>
      <c r="T521" s="2747">
        <f>IF(L521&gt;0,IF(input!$B$2=$O$1,(((L521+Y521/22)+(L521+Y521/22)*$AG521+$X521)*$P$11+$M$7)/1000,(((L521+Y521/22)+(L521+Y521/22)*O521+(L521+Y521/22)*$AG521+$X521)*$P$11+$M$7)/1000),0)</f>
        <v>19795.514800000001</v>
      </c>
      <c r="U521" s="2747">
        <f t="shared" si="130"/>
        <v>0</v>
      </c>
      <c r="V521" s="1229"/>
      <c r="W521" s="1231" t="str">
        <f t="shared" si="137"/>
        <v>CIF</v>
      </c>
      <c r="X521" s="1230">
        <f t="shared" si="133"/>
        <v>0</v>
      </c>
      <c r="Y521" s="2625">
        <f t="shared" si="141"/>
        <v>0</v>
      </c>
      <c r="Z521" s="3208">
        <f t="shared" si="132"/>
        <v>838.18181818181813</v>
      </c>
      <c r="AA521" s="1220" t="s">
        <v>2832</v>
      </c>
      <c r="AB521" s="1220" t="s">
        <v>1396</v>
      </c>
      <c r="AC521" s="251" t="str">
        <f t="shared" si="142"/>
        <v>250gsm ARTBOARD Bohui - (C2S)</v>
      </c>
      <c r="AD521" s="2746">
        <f>IF(L521&gt;0,IF(input!$B$2=$O$1,(((M521)+(M521)*$M$10)*$P$11)/1000,(((M521)+(M521)*O521+(M521)*$M$10)*$P$11)/1000),0)</f>
        <v>726.06239999999991</v>
      </c>
      <c r="AE521" s="2746">
        <f>IF(L521&gt;0,IF(input!$B$2=$O$1,(((N521)+(N521)*$M$10)*$P$11)/1000,(((N521)+(N521)*O521+(N521)*$M$10)*$P$11)/1000),0)</f>
        <v>484.04159999999996</v>
      </c>
      <c r="AF521" s="136" t="str">
        <f t="shared" si="143"/>
        <v>FSC</v>
      </c>
      <c r="AG521" s="2628">
        <f t="shared" si="144"/>
        <v>1.2E-2</v>
      </c>
      <c r="AH521" s="1266">
        <v>0.1</v>
      </c>
    </row>
    <row r="522" spans="1:34" ht="12.75">
      <c r="A522" s="2199">
        <f t="shared" si="129"/>
        <v>510</v>
      </c>
      <c r="B522" s="2200" t="s">
        <v>2586</v>
      </c>
      <c r="C522" s="2743">
        <v>0</v>
      </c>
      <c r="D522" s="2743">
        <v>790</v>
      </c>
      <c r="E522" s="2949">
        <v>0</v>
      </c>
      <c r="F522" s="2200">
        <v>20</v>
      </c>
      <c r="G522" s="2200" t="s">
        <v>2038</v>
      </c>
      <c r="H522" s="2200" t="s">
        <v>1057</v>
      </c>
      <c r="I522" s="2742">
        <v>30</v>
      </c>
      <c r="J522" s="2742"/>
      <c r="K522" s="2752">
        <v>45</v>
      </c>
      <c r="L522" s="2745">
        <f t="shared" si="135"/>
        <v>790</v>
      </c>
      <c r="M522" s="2745">
        <f t="shared" si="138"/>
        <v>30</v>
      </c>
      <c r="N522" s="2745">
        <f t="shared" si="139"/>
        <v>20</v>
      </c>
      <c r="O522" s="1232">
        <f t="shared" si="140"/>
        <v>0</v>
      </c>
      <c r="P522" s="1227" t="str">
        <f t="shared" ref="P522:P585" si="145">R522&amp;"gsm "&amp;AB522&amp;" "&amp;AA522</f>
        <v>300gsm ARTBOARD Bohui - (C2S)</v>
      </c>
      <c r="Q522" s="254">
        <v>0.35</v>
      </c>
      <c r="R522" s="1228" t="str">
        <f t="shared" si="131"/>
        <v>300</v>
      </c>
      <c r="S522" s="2625">
        <f t="shared" si="136"/>
        <v>0</v>
      </c>
      <c r="T522" s="2747">
        <f>IF(L522&gt;0,IF(input!$B$2=$O$1,(((L522+Y522/22)+(L522+Y522/22)*$AG522+$X522)*$P$11+$M$7)/1000,(((L522+Y522/22)+(L522+Y522/22)*O522+(L522+Y522/22)*$AG522+$X522)*$P$11+$M$7)/1000),0)</f>
        <v>19795.514800000001</v>
      </c>
      <c r="U522" s="2747">
        <f t="shared" si="130"/>
        <v>0</v>
      </c>
      <c r="V522" s="1229"/>
      <c r="W522" s="1231" t="str">
        <f t="shared" si="137"/>
        <v>CIF</v>
      </c>
      <c r="X522" s="1230">
        <f t="shared" si="133"/>
        <v>0</v>
      </c>
      <c r="Y522" s="2625">
        <f t="shared" si="141"/>
        <v>0</v>
      </c>
      <c r="Z522" s="3208">
        <f t="shared" si="132"/>
        <v>838.18181818181813</v>
      </c>
      <c r="AA522" s="1220" t="s">
        <v>2832</v>
      </c>
      <c r="AB522" s="1220" t="s">
        <v>1396</v>
      </c>
      <c r="AC522" s="251" t="str">
        <f t="shared" si="142"/>
        <v>300gsm ARTBOARD Bohui - (C2S)</v>
      </c>
      <c r="AD522" s="2746">
        <f>IF(L522&gt;0,IF(input!$B$2=$O$1,(((M522)+(M522)*$M$10)*$P$11)/1000,(((M522)+(M522)*O522+(M522)*$M$10)*$P$11)/1000),0)</f>
        <v>726.06239999999991</v>
      </c>
      <c r="AE522" s="2746">
        <f>IF(L522&gt;0,IF(input!$B$2=$O$1,(((N522)+(N522)*$M$10)*$P$11)/1000,(((N522)+(N522)*O522+(N522)*$M$10)*$P$11)/1000),0)</f>
        <v>484.04159999999996</v>
      </c>
      <c r="AF522" s="136" t="str">
        <f t="shared" si="143"/>
        <v>FSC</v>
      </c>
      <c r="AG522" s="2628">
        <f t="shared" si="144"/>
        <v>1.2E-2</v>
      </c>
      <c r="AH522" s="1266">
        <v>0.1</v>
      </c>
    </row>
    <row r="523" spans="1:34" ht="12.75">
      <c r="A523" s="2199">
        <f t="shared" si="129"/>
        <v>511</v>
      </c>
      <c r="B523" s="2200" t="s">
        <v>2587</v>
      </c>
      <c r="C523" s="2743">
        <v>0</v>
      </c>
      <c r="D523" s="2743">
        <v>790</v>
      </c>
      <c r="E523" s="2949">
        <v>0</v>
      </c>
      <c r="F523" s="2200">
        <v>20</v>
      </c>
      <c r="G523" s="2200" t="s">
        <v>2038</v>
      </c>
      <c r="H523" s="2200" t="s">
        <v>1057</v>
      </c>
      <c r="I523" s="2742">
        <v>30</v>
      </c>
      <c r="J523" s="2742"/>
      <c r="K523" s="2752">
        <v>45</v>
      </c>
      <c r="L523" s="2745">
        <f t="shared" si="135"/>
        <v>790</v>
      </c>
      <c r="M523" s="2745">
        <f t="shared" si="138"/>
        <v>30</v>
      </c>
      <c r="N523" s="2745">
        <f t="shared" si="139"/>
        <v>20</v>
      </c>
      <c r="O523" s="1232">
        <f t="shared" si="140"/>
        <v>0</v>
      </c>
      <c r="P523" s="1227" t="str">
        <f t="shared" si="145"/>
        <v>350gsm ARTBOARD Bohui - (C2S)</v>
      </c>
      <c r="Q523" s="254">
        <v>0.41</v>
      </c>
      <c r="R523" s="1228" t="str">
        <f t="shared" si="131"/>
        <v>350</v>
      </c>
      <c r="S523" s="2625">
        <f t="shared" si="136"/>
        <v>0</v>
      </c>
      <c r="T523" s="2747">
        <f>IF(L523&gt;0,IF(input!$B$2=$O$1,(((L523+Y523/22)+(L523+Y523/22)*$AG523+$X523)*$P$11+$M$7)/1000,(((L523+Y523/22)+(L523+Y523/22)*O523+(L523+Y523/22)*$AG523+$X523)*$P$11+$M$7)/1000),0)</f>
        <v>19795.514800000001</v>
      </c>
      <c r="U523" s="2747">
        <f t="shared" si="130"/>
        <v>0</v>
      </c>
      <c r="V523" s="1229"/>
      <c r="W523" s="1231" t="str">
        <f t="shared" si="137"/>
        <v>CIF</v>
      </c>
      <c r="X523" s="1230">
        <f t="shared" si="133"/>
        <v>0</v>
      </c>
      <c r="Y523" s="2625">
        <f t="shared" si="141"/>
        <v>0</v>
      </c>
      <c r="Z523" s="3208">
        <f t="shared" si="132"/>
        <v>838.18181818181813</v>
      </c>
      <c r="AA523" s="1220" t="s">
        <v>2832</v>
      </c>
      <c r="AB523" s="1220" t="s">
        <v>1396</v>
      </c>
      <c r="AC523" s="251" t="str">
        <f t="shared" si="142"/>
        <v>350gsm ARTBOARD Bohui - (C2S)</v>
      </c>
      <c r="AD523" s="2746">
        <f>IF(L523&gt;0,IF(input!$B$2=$O$1,(((M523)+(M523)*$M$10)*$P$11)/1000,(((M523)+(M523)*O523+(M523)*$M$10)*$P$11)/1000),0)</f>
        <v>726.06239999999991</v>
      </c>
      <c r="AE523" s="2746">
        <f>IF(L523&gt;0,IF(input!$B$2=$O$1,(((N523)+(N523)*$M$10)*$P$11)/1000,(((N523)+(N523)*O523+(N523)*$M$10)*$P$11)/1000),0)</f>
        <v>484.04159999999996</v>
      </c>
      <c r="AF523" s="136" t="str">
        <f t="shared" si="143"/>
        <v>FSC</v>
      </c>
      <c r="AG523" s="2628">
        <f t="shared" si="144"/>
        <v>1.2E-2</v>
      </c>
      <c r="AH523" s="1266">
        <v>0.1</v>
      </c>
    </row>
    <row r="524" spans="1:34" ht="12.75">
      <c r="A524" s="2199">
        <f t="shared" si="129"/>
        <v>512</v>
      </c>
      <c r="B524" s="2200" t="s">
        <v>3348</v>
      </c>
      <c r="C524" s="2743">
        <v>0</v>
      </c>
      <c r="D524" s="2743">
        <v>790</v>
      </c>
      <c r="E524" s="2949">
        <v>0</v>
      </c>
      <c r="F524" s="2200">
        <v>20</v>
      </c>
      <c r="G524" s="2200" t="s">
        <v>2038</v>
      </c>
      <c r="H524" s="2200" t="s">
        <v>1057</v>
      </c>
      <c r="I524" s="2742">
        <v>30</v>
      </c>
      <c r="J524" s="2742"/>
      <c r="K524" s="2752">
        <v>45</v>
      </c>
      <c r="L524" s="2745">
        <f t="shared" si="135"/>
        <v>790</v>
      </c>
      <c r="M524" s="2745">
        <f t="shared" si="138"/>
        <v>30</v>
      </c>
      <c r="N524" s="2745">
        <f t="shared" si="139"/>
        <v>20</v>
      </c>
      <c r="O524" s="1232">
        <f t="shared" si="140"/>
        <v>0</v>
      </c>
      <c r="P524" s="1227" t="str">
        <f t="shared" si="145"/>
        <v>400gsm ARTBOARD Bohui - (C2S)</v>
      </c>
      <c r="Q524" s="254">
        <v>0.44</v>
      </c>
      <c r="R524" s="1228" t="str">
        <f t="shared" si="131"/>
        <v>400</v>
      </c>
      <c r="S524" s="2625">
        <f t="shared" si="136"/>
        <v>0</v>
      </c>
      <c r="T524" s="2747">
        <f>IF(L524&gt;0,IF(input!$B$2=$O$1,(((L524+Y524/22)+(L524+Y524/22)*$AG524+$X524)*$P$11+$M$7)/1000,(((L524+Y524/22)+(L524+Y524/22)*O524+(L524+Y524/22)*$AG524+$X524)*$P$11+$M$7)/1000),0)</f>
        <v>19795.514800000001</v>
      </c>
      <c r="U524" s="2747">
        <f t="shared" si="130"/>
        <v>0</v>
      </c>
      <c r="V524" s="1229"/>
      <c r="W524" s="1231" t="str">
        <f t="shared" si="137"/>
        <v>CIF</v>
      </c>
      <c r="X524" s="1230">
        <f t="shared" si="133"/>
        <v>0</v>
      </c>
      <c r="Y524" s="2625">
        <f t="shared" si="141"/>
        <v>0</v>
      </c>
      <c r="Z524" s="3208">
        <f t="shared" si="132"/>
        <v>838.18181818181813</v>
      </c>
      <c r="AA524" s="1220" t="s">
        <v>2832</v>
      </c>
      <c r="AB524" s="1220" t="s">
        <v>1396</v>
      </c>
      <c r="AC524" s="251" t="str">
        <f t="shared" si="142"/>
        <v>400gsm ARTBOARD Bohui - (C2S)</v>
      </c>
      <c r="AD524" s="2746">
        <f>IF(L524&gt;0,IF(input!$B$2=$O$1,(((M524)+(M524)*$M$10)*$P$11)/1000,(((M524)+(M524)*O524+(M524)*$M$10)*$P$11)/1000),0)</f>
        <v>726.06239999999991</v>
      </c>
      <c r="AE524" s="2746">
        <f>IF(L524&gt;0,IF(input!$B$2=$O$1,(((N524)+(N524)*$M$10)*$P$11)/1000,(((N524)+(N524)*O524+(N524)*$M$10)*$P$11)/1000),0)</f>
        <v>484.04159999999996</v>
      </c>
      <c r="AF524" s="136" t="str">
        <f t="shared" si="143"/>
        <v>FSC</v>
      </c>
      <c r="AG524" s="2628">
        <f t="shared" si="144"/>
        <v>1.2E-2</v>
      </c>
      <c r="AH524" s="1266">
        <v>0.1</v>
      </c>
    </row>
    <row r="525" spans="1:34" ht="12.75">
      <c r="A525" s="2199">
        <f t="shared" si="129"/>
        <v>513</v>
      </c>
      <c r="B525" s="2200" t="s">
        <v>2588</v>
      </c>
      <c r="C525" s="2743">
        <v>0</v>
      </c>
      <c r="D525" s="2743">
        <v>0</v>
      </c>
      <c r="E525" s="2949">
        <v>0</v>
      </c>
      <c r="F525" s="2200">
        <v>20</v>
      </c>
      <c r="G525" s="2200" t="s">
        <v>2038</v>
      </c>
      <c r="H525" s="2200" t="s">
        <v>1057</v>
      </c>
      <c r="I525" s="2742">
        <v>20</v>
      </c>
      <c r="J525" s="2742"/>
      <c r="K525" s="2752">
        <v>45</v>
      </c>
      <c r="L525" s="2745">
        <f t="shared" si="135"/>
        <v>0</v>
      </c>
      <c r="M525" s="2745">
        <f t="shared" si="138"/>
        <v>20</v>
      </c>
      <c r="N525" s="2745">
        <f t="shared" si="139"/>
        <v>20</v>
      </c>
      <c r="O525" s="1232">
        <f t="shared" si="140"/>
        <v>0</v>
      </c>
      <c r="P525" s="1227" t="str">
        <f t="shared" si="145"/>
        <v>180gsm ARTBOARD Chenming EUCA C2S</v>
      </c>
      <c r="Q525" s="254">
        <v>0.18</v>
      </c>
      <c r="R525" s="1228" t="str">
        <f t="shared" si="131"/>
        <v>180</v>
      </c>
      <c r="S525" s="2625">
        <f t="shared" si="136"/>
        <v>0</v>
      </c>
      <c r="T525" s="2747">
        <f>IF(L525&gt;0,IF(input!$B$2=$O$1,(((L525+Y525/22)+(L525+Y525/22)*$AG525+$X525)*$P$11+$M$7)/1000,(((L525+Y525/22)+(L525+Y525/22)*O525+(L525+Y525/22)*$AG525+$X525)*$P$11+$M$7)/1000),0)</f>
        <v>0</v>
      </c>
      <c r="U525" s="2747">
        <f t="shared" si="130"/>
        <v>0</v>
      </c>
      <c r="V525" s="1229"/>
      <c r="W525" s="1231" t="str">
        <f t="shared" si="137"/>
        <v>CIF</v>
      </c>
      <c r="X525" s="1230">
        <f t="shared" si="133"/>
        <v>0</v>
      </c>
      <c r="Y525" s="2625">
        <f t="shared" si="141"/>
        <v>0</v>
      </c>
      <c r="Z525" s="3208">
        <f t="shared" si="132"/>
        <v>838.18181818181813</v>
      </c>
      <c r="AA525" s="1220" t="s">
        <v>2833</v>
      </c>
      <c r="AB525" s="1220" t="s">
        <v>1396</v>
      </c>
      <c r="AC525" s="251" t="str">
        <f t="shared" si="142"/>
        <v>180gsm ARTBOARD Chenming EUCA C2S</v>
      </c>
      <c r="AD525" s="2746">
        <f>IF(L525&gt;0,IF(input!$B$2=$O$1,(((M525)+(M525)*$M$10)*$P$11)/1000,(((M525)+(M525)*O525+(M525)*$M$10)*$P$11)/1000),0)</f>
        <v>0</v>
      </c>
      <c r="AE525" s="2746">
        <f>IF(L525&gt;0,IF(input!$B$2=$O$1,(((N525)+(N525)*$M$10)*$P$11)/1000,(((N525)+(N525)*O525+(N525)*$M$10)*$P$11)/1000),0)</f>
        <v>0</v>
      </c>
      <c r="AF525" s="136" t="str">
        <f t="shared" si="143"/>
        <v>FSC</v>
      </c>
      <c r="AG525" s="2628">
        <f t="shared" si="144"/>
        <v>1.2E-2</v>
      </c>
      <c r="AH525" s="1266">
        <v>0.1</v>
      </c>
    </row>
    <row r="526" spans="1:34" ht="12.75">
      <c r="A526" s="2199">
        <f t="shared" ref="A526:A589" si="146">ROW(A514)</f>
        <v>514</v>
      </c>
      <c r="B526" s="2200" t="s">
        <v>2589</v>
      </c>
      <c r="C526" s="2743">
        <v>0</v>
      </c>
      <c r="D526" s="2743">
        <v>0</v>
      </c>
      <c r="E526" s="2949">
        <v>0</v>
      </c>
      <c r="F526" s="2200">
        <v>20</v>
      </c>
      <c r="G526" s="2200" t="s">
        <v>2038</v>
      </c>
      <c r="H526" s="2200" t="s">
        <v>1057</v>
      </c>
      <c r="I526" s="2742">
        <v>20</v>
      </c>
      <c r="J526" s="2742"/>
      <c r="K526" s="2752">
        <v>45</v>
      </c>
      <c r="L526" s="2745">
        <f t="shared" si="135"/>
        <v>0</v>
      </c>
      <c r="M526" s="2745">
        <f t="shared" si="138"/>
        <v>20</v>
      </c>
      <c r="N526" s="2745">
        <f t="shared" si="139"/>
        <v>20</v>
      </c>
      <c r="O526" s="1232">
        <f t="shared" si="140"/>
        <v>0</v>
      </c>
      <c r="P526" s="1227" t="str">
        <f t="shared" si="145"/>
        <v>200gsm ARTBOARD Chenming EUCA C2S</v>
      </c>
      <c r="Q526" s="254">
        <v>0.2</v>
      </c>
      <c r="R526" s="1228" t="str">
        <f t="shared" si="131"/>
        <v>200</v>
      </c>
      <c r="S526" s="2625">
        <f t="shared" si="136"/>
        <v>0</v>
      </c>
      <c r="T526" s="2747">
        <f>IF(L526&gt;0,IF(input!$B$2=$O$1,(((L526+Y526/22)+(L526+Y526/22)*$AG526+$X526)*$P$11+$M$7)/1000,(((L526+Y526/22)+(L526+Y526/22)*O526+(L526+Y526/22)*$AG526+$X526)*$P$11+$M$7)/1000),0)</f>
        <v>0</v>
      </c>
      <c r="U526" s="2747">
        <f t="shared" ref="U526:U589" si="147">IF(S526&gt;0,(S526/1.08)+Z526,0)</f>
        <v>0</v>
      </c>
      <c r="V526" s="1229"/>
      <c r="W526" s="1231" t="str">
        <f t="shared" si="137"/>
        <v>CIF</v>
      </c>
      <c r="X526" s="1230">
        <f t="shared" si="133"/>
        <v>0</v>
      </c>
      <c r="Y526" s="2625">
        <f t="shared" si="141"/>
        <v>0</v>
      </c>
      <c r="Z526" s="3208">
        <f t="shared" si="132"/>
        <v>838.18181818181813</v>
      </c>
      <c r="AA526" s="1220" t="s">
        <v>2833</v>
      </c>
      <c r="AB526" s="1220" t="s">
        <v>1396</v>
      </c>
      <c r="AC526" s="251" t="str">
        <f t="shared" si="142"/>
        <v>200gsm ARTBOARD Chenming EUCA C2S</v>
      </c>
      <c r="AD526" s="2746">
        <f>IF(L526&gt;0,IF(input!$B$2=$O$1,(((M526)+(M526)*$M$10)*$P$11)/1000,(((M526)+(M526)*O526+(M526)*$M$10)*$P$11)/1000),0)</f>
        <v>0</v>
      </c>
      <c r="AE526" s="2746">
        <f>IF(L526&gt;0,IF(input!$B$2=$O$1,(((N526)+(N526)*$M$10)*$P$11)/1000,(((N526)+(N526)*O526+(N526)*$M$10)*$P$11)/1000),0)</f>
        <v>0</v>
      </c>
      <c r="AF526" s="136" t="str">
        <f t="shared" si="143"/>
        <v>FSC</v>
      </c>
      <c r="AG526" s="2628">
        <f t="shared" si="144"/>
        <v>1.2E-2</v>
      </c>
      <c r="AH526" s="1266">
        <v>0.1</v>
      </c>
    </row>
    <row r="527" spans="1:34" ht="12.75">
      <c r="A527" s="2199">
        <f t="shared" si="146"/>
        <v>515</v>
      </c>
      <c r="B527" s="2200" t="s">
        <v>2590</v>
      </c>
      <c r="C527" s="2743">
        <v>0</v>
      </c>
      <c r="D527" s="2743">
        <v>0</v>
      </c>
      <c r="E527" s="2949">
        <v>0</v>
      </c>
      <c r="F527" s="2200">
        <v>20</v>
      </c>
      <c r="G527" s="2200" t="s">
        <v>2038</v>
      </c>
      <c r="H527" s="2200" t="s">
        <v>1057</v>
      </c>
      <c r="I527" s="2742">
        <v>20</v>
      </c>
      <c r="J527" s="2742"/>
      <c r="K527" s="2752">
        <v>45</v>
      </c>
      <c r="L527" s="2745">
        <f t="shared" si="135"/>
        <v>0</v>
      </c>
      <c r="M527" s="2745">
        <f t="shared" si="138"/>
        <v>20</v>
      </c>
      <c r="N527" s="2745">
        <f t="shared" si="139"/>
        <v>20</v>
      </c>
      <c r="O527" s="1232">
        <f t="shared" si="140"/>
        <v>0</v>
      </c>
      <c r="P527" s="1227" t="str">
        <f t="shared" si="145"/>
        <v>210gsm ARTBOARD Chenming EUCA C2S</v>
      </c>
      <c r="Q527" s="254">
        <v>0.21</v>
      </c>
      <c r="R527" s="1228" t="str">
        <f t="shared" ref="R527:R590" si="148">LEFT(AC527,3)</f>
        <v>210</v>
      </c>
      <c r="S527" s="2625">
        <f t="shared" si="136"/>
        <v>0</v>
      </c>
      <c r="T527" s="2747">
        <f>IF(L527&gt;0,IF(input!$B$2=$O$1,(((L527+Y527/22)+(L527+Y527/22)*$AG527+$X527)*$P$11+$M$7)/1000,(((L527+Y527/22)+(L527+Y527/22)*O527+(L527+Y527/22)*$AG527+$X527)*$P$11+$M$7)/1000),0)</f>
        <v>0</v>
      </c>
      <c r="U527" s="2747">
        <f t="shared" si="147"/>
        <v>0</v>
      </c>
      <c r="V527" s="1229"/>
      <c r="W527" s="1231" t="str">
        <f t="shared" si="137"/>
        <v>CIF</v>
      </c>
      <c r="X527" s="1230">
        <f t="shared" si="133"/>
        <v>0</v>
      </c>
      <c r="Y527" s="2625">
        <f t="shared" si="141"/>
        <v>0</v>
      </c>
      <c r="Z527" s="3208">
        <f t="shared" ref="Z527:Z590" si="149">922000/1.1/1000</f>
        <v>838.18181818181813</v>
      </c>
      <c r="AA527" s="1220" t="s">
        <v>2833</v>
      </c>
      <c r="AB527" s="1220" t="s">
        <v>1396</v>
      </c>
      <c r="AC527" s="251" t="str">
        <f t="shared" si="142"/>
        <v>210gsm ARTBOARD Chenming EUCA C2S</v>
      </c>
      <c r="AD527" s="2746">
        <f>IF(L527&gt;0,IF(input!$B$2=$O$1,(((M527)+(M527)*$M$10)*$P$11)/1000,(((M527)+(M527)*O527+(M527)*$M$10)*$P$11)/1000),0)</f>
        <v>0</v>
      </c>
      <c r="AE527" s="2746">
        <f>IF(L527&gt;0,IF(input!$B$2=$O$1,(((N527)+(N527)*$M$10)*$P$11)/1000,(((N527)+(N527)*O527+(N527)*$M$10)*$P$11)/1000),0)</f>
        <v>0</v>
      </c>
      <c r="AF527" s="136" t="str">
        <f t="shared" si="143"/>
        <v>FSC</v>
      </c>
      <c r="AG527" s="2628">
        <f t="shared" si="144"/>
        <v>1.2E-2</v>
      </c>
      <c r="AH527" s="1266">
        <v>0.1</v>
      </c>
    </row>
    <row r="528" spans="1:34" ht="12.75">
      <c r="A528" s="2199">
        <f t="shared" si="146"/>
        <v>516</v>
      </c>
      <c r="B528" s="2200" t="s">
        <v>2591</v>
      </c>
      <c r="C528" s="2743">
        <v>0</v>
      </c>
      <c r="D528" s="2743">
        <v>0</v>
      </c>
      <c r="E528" s="2949">
        <v>0</v>
      </c>
      <c r="F528" s="2200">
        <v>20</v>
      </c>
      <c r="G528" s="2200" t="s">
        <v>2038</v>
      </c>
      <c r="H528" s="2200" t="s">
        <v>1057</v>
      </c>
      <c r="I528" s="2742">
        <v>20</v>
      </c>
      <c r="J528" s="2742"/>
      <c r="K528" s="2752">
        <v>45</v>
      </c>
      <c r="L528" s="2745">
        <f t="shared" si="135"/>
        <v>0</v>
      </c>
      <c r="M528" s="2745">
        <f t="shared" si="138"/>
        <v>20</v>
      </c>
      <c r="N528" s="2745">
        <f t="shared" si="139"/>
        <v>20</v>
      </c>
      <c r="O528" s="1232">
        <f t="shared" si="140"/>
        <v>0</v>
      </c>
      <c r="P528" s="1227" t="str">
        <f t="shared" si="145"/>
        <v>230gsm ARTBOARD Chenming EUCA C2S</v>
      </c>
      <c r="Q528" s="254">
        <v>0.23</v>
      </c>
      <c r="R528" s="1228" t="str">
        <f t="shared" si="148"/>
        <v>230</v>
      </c>
      <c r="S528" s="2625">
        <f t="shared" si="136"/>
        <v>0</v>
      </c>
      <c r="T528" s="2747">
        <f>IF(L528&gt;0,IF(input!$B$2=$O$1,(((L528+Y528/22)+(L528+Y528/22)*$AG528+$X528)*$P$11+$M$7)/1000,(((L528+Y528/22)+(L528+Y528/22)*O528+(L528+Y528/22)*$AG528+$X528)*$P$11+$M$7)/1000),0)</f>
        <v>0</v>
      </c>
      <c r="U528" s="2747">
        <f t="shared" si="147"/>
        <v>0</v>
      </c>
      <c r="V528" s="1229"/>
      <c r="W528" s="1231" t="str">
        <f t="shared" si="137"/>
        <v>CIF</v>
      </c>
      <c r="X528" s="1230">
        <f t="shared" ref="X528:X591" si="150">IF(L528&gt;0,IF(OR(W528="CFR",W528="CRF",W528="CNF",W528="CPT"),1.1*$M$8*(L528+N528),IF(W528="FOB",1.1*$M$8*(L528+N528+Y528/22),0)),0)</f>
        <v>0</v>
      </c>
      <c r="Y528" s="2625">
        <f t="shared" si="141"/>
        <v>0</v>
      </c>
      <c r="Z528" s="3208">
        <f t="shared" si="149"/>
        <v>838.18181818181813</v>
      </c>
      <c r="AA528" s="1220" t="s">
        <v>2833</v>
      </c>
      <c r="AB528" s="1220" t="s">
        <v>1396</v>
      </c>
      <c r="AC528" s="251" t="str">
        <f t="shared" si="142"/>
        <v>230gsm ARTBOARD Chenming EUCA C2S</v>
      </c>
      <c r="AD528" s="2746">
        <f>IF(L528&gt;0,IF(input!$B$2=$O$1,(((M528)+(M528)*$M$10)*$P$11)/1000,(((M528)+(M528)*O528+(M528)*$M$10)*$P$11)/1000),0)</f>
        <v>0</v>
      </c>
      <c r="AE528" s="2746">
        <f>IF(L528&gt;0,IF(input!$B$2=$O$1,(((N528)+(N528)*$M$10)*$P$11)/1000,(((N528)+(N528)*O528+(N528)*$M$10)*$P$11)/1000),0)</f>
        <v>0</v>
      </c>
      <c r="AF528" s="136" t="str">
        <f t="shared" si="143"/>
        <v>FSC</v>
      </c>
      <c r="AG528" s="2628">
        <f t="shared" si="144"/>
        <v>1.2E-2</v>
      </c>
      <c r="AH528" s="1266">
        <v>0.1</v>
      </c>
    </row>
    <row r="529" spans="1:34" ht="12.75">
      <c r="A529" s="2199">
        <f t="shared" si="146"/>
        <v>517</v>
      </c>
      <c r="B529" s="2200" t="s">
        <v>2592</v>
      </c>
      <c r="C529" s="2743">
        <v>0</v>
      </c>
      <c r="D529" s="2743">
        <v>0</v>
      </c>
      <c r="E529" s="2949">
        <v>0</v>
      </c>
      <c r="F529" s="2200">
        <v>20</v>
      </c>
      <c r="G529" s="2200" t="s">
        <v>2038</v>
      </c>
      <c r="H529" s="2200" t="s">
        <v>1057</v>
      </c>
      <c r="I529" s="2742">
        <v>20</v>
      </c>
      <c r="J529" s="2742"/>
      <c r="K529" s="2752">
        <v>45</v>
      </c>
      <c r="L529" s="2745">
        <f t="shared" si="135"/>
        <v>0</v>
      </c>
      <c r="M529" s="2745">
        <f t="shared" si="138"/>
        <v>20</v>
      </c>
      <c r="N529" s="2745">
        <f t="shared" si="139"/>
        <v>20</v>
      </c>
      <c r="O529" s="1232">
        <f t="shared" si="140"/>
        <v>0</v>
      </c>
      <c r="P529" s="1227" t="str">
        <f t="shared" si="145"/>
        <v>250gsm ARTBOARD Chenming EUCA C2S</v>
      </c>
      <c r="Q529" s="254">
        <v>0.25</v>
      </c>
      <c r="R529" s="1228" t="str">
        <f t="shared" si="148"/>
        <v>250</v>
      </c>
      <c r="S529" s="2625">
        <f t="shared" si="136"/>
        <v>0</v>
      </c>
      <c r="T529" s="2747">
        <f>IF(L529&gt;0,IF(input!$B$2=$O$1,(((L529+Y529/22)+(L529+Y529/22)*$AG529+$X529)*$P$11+$M$7)/1000,(((L529+Y529/22)+(L529+Y529/22)*O529+(L529+Y529/22)*$AG529+$X529)*$P$11+$M$7)/1000),0)</f>
        <v>0</v>
      </c>
      <c r="U529" s="2747">
        <f t="shared" si="147"/>
        <v>0</v>
      </c>
      <c r="V529" s="1229"/>
      <c r="W529" s="1231" t="str">
        <f t="shared" si="137"/>
        <v>CIF</v>
      </c>
      <c r="X529" s="1230">
        <f t="shared" si="150"/>
        <v>0</v>
      </c>
      <c r="Y529" s="2625">
        <f t="shared" si="141"/>
        <v>0</v>
      </c>
      <c r="Z529" s="3208">
        <f t="shared" si="149"/>
        <v>838.18181818181813</v>
      </c>
      <c r="AA529" s="1220" t="s">
        <v>2833</v>
      </c>
      <c r="AB529" s="1220" t="s">
        <v>1396</v>
      </c>
      <c r="AC529" s="251" t="str">
        <f t="shared" si="142"/>
        <v>250gsm ARTBOARD Chenming EUCA C2S</v>
      </c>
      <c r="AD529" s="2746">
        <f>IF(L529&gt;0,IF(input!$B$2=$O$1,(((M529)+(M529)*$M$10)*$P$11)/1000,(((M529)+(M529)*O529+(M529)*$M$10)*$P$11)/1000),0)</f>
        <v>0</v>
      </c>
      <c r="AE529" s="2746">
        <f>IF(L529&gt;0,IF(input!$B$2=$O$1,(((N529)+(N529)*$M$10)*$P$11)/1000,(((N529)+(N529)*O529+(N529)*$M$10)*$P$11)/1000),0)</f>
        <v>0</v>
      </c>
      <c r="AF529" s="136" t="str">
        <f t="shared" si="143"/>
        <v>FSC</v>
      </c>
      <c r="AG529" s="2628">
        <f t="shared" si="144"/>
        <v>1.2E-2</v>
      </c>
      <c r="AH529" s="1266">
        <v>0.1</v>
      </c>
    </row>
    <row r="530" spans="1:34" ht="12.75">
      <c r="A530" s="2199">
        <f t="shared" si="146"/>
        <v>518</v>
      </c>
      <c r="B530" s="2200" t="s">
        <v>2593</v>
      </c>
      <c r="C530" s="2743">
        <v>0</v>
      </c>
      <c r="D530" s="2743">
        <v>0</v>
      </c>
      <c r="E530" s="2949">
        <v>0</v>
      </c>
      <c r="F530" s="2200">
        <v>20</v>
      </c>
      <c r="G530" s="2200" t="s">
        <v>2038</v>
      </c>
      <c r="H530" s="2200" t="s">
        <v>1057</v>
      </c>
      <c r="I530" s="2742">
        <v>20</v>
      </c>
      <c r="J530" s="2742"/>
      <c r="K530" s="2752">
        <v>45</v>
      </c>
      <c r="L530" s="2745">
        <f t="shared" si="135"/>
        <v>0</v>
      </c>
      <c r="M530" s="2745">
        <f t="shared" si="138"/>
        <v>20</v>
      </c>
      <c r="N530" s="2745">
        <f t="shared" si="139"/>
        <v>20</v>
      </c>
      <c r="O530" s="1232">
        <f t="shared" si="140"/>
        <v>0</v>
      </c>
      <c r="P530" s="1227" t="str">
        <f t="shared" si="145"/>
        <v>270gsm ARTBOARD Chenming EUCA C2S</v>
      </c>
      <c r="Q530" s="254">
        <v>0.27</v>
      </c>
      <c r="R530" s="1228" t="str">
        <f t="shared" si="148"/>
        <v>270</v>
      </c>
      <c r="S530" s="2625">
        <f t="shared" si="136"/>
        <v>0</v>
      </c>
      <c r="T530" s="2747">
        <f>IF(L530&gt;0,IF(input!$B$2=$O$1,(((L530+Y530/22)+(L530+Y530/22)*$AG530+$X530)*$P$11+$M$7)/1000,(((L530+Y530/22)+(L530+Y530/22)*O530+(L530+Y530/22)*$AG530+$X530)*$P$11+$M$7)/1000),0)</f>
        <v>0</v>
      </c>
      <c r="U530" s="2747">
        <f t="shared" si="147"/>
        <v>0</v>
      </c>
      <c r="V530" s="1229"/>
      <c r="W530" s="1231" t="str">
        <f t="shared" si="137"/>
        <v>CIF</v>
      </c>
      <c r="X530" s="1230">
        <f t="shared" si="150"/>
        <v>0</v>
      </c>
      <c r="Y530" s="2625">
        <f t="shared" si="141"/>
        <v>0</v>
      </c>
      <c r="Z530" s="3208">
        <f t="shared" si="149"/>
        <v>838.18181818181813</v>
      </c>
      <c r="AA530" s="1220" t="s">
        <v>2833</v>
      </c>
      <c r="AB530" s="1220" t="s">
        <v>1396</v>
      </c>
      <c r="AC530" s="251" t="str">
        <f t="shared" si="142"/>
        <v>270gsm ARTBOARD Chenming EUCA C2S</v>
      </c>
      <c r="AD530" s="2746">
        <f>IF(L530&gt;0,IF(input!$B$2=$O$1,(((M530)+(M530)*$M$10)*$P$11)/1000,(((M530)+(M530)*O530+(M530)*$M$10)*$P$11)/1000),0)</f>
        <v>0</v>
      </c>
      <c r="AE530" s="2746">
        <f>IF(L530&gt;0,IF(input!$B$2=$O$1,(((N530)+(N530)*$M$10)*$P$11)/1000,(((N530)+(N530)*O530+(N530)*$M$10)*$P$11)/1000),0)</f>
        <v>0</v>
      </c>
      <c r="AF530" s="136" t="str">
        <f t="shared" si="143"/>
        <v>FSC</v>
      </c>
      <c r="AG530" s="2628">
        <f t="shared" si="144"/>
        <v>1.2E-2</v>
      </c>
      <c r="AH530" s="1266">
        <v>0.1</v>
      </c>
    </row>
    <row r="531" spans="1:34" ht="12.75">
      <c r="A531" s="2199">
        <f t="shared" si="146"/>
        <v>519</v>
      </c>
      <c r="B531" s="2200" t="s">
        <v>2594</v>
      </c>
      <c r="C531" s="2743">
        <v>0</v>
      </c>
      <c r="D531" s="2743">
        <v>0</v>
      </c>
      <c r="E531" s="2949">
        <v>0</v>
      </c>
      <c r="F531" s="2200">
        <v>20</v>
      </c>
      <c r="G531" s="2200" t="s">
        <v>2038</v>
      </c>
      <c r="H531" s="2200" t="s">
        <v>1057</v>
      </c>
      <c r="I531" s="2742">
        <v>20</v>
      </c>
      <c r="J531" s="2742"/>
      <c r="K531" s="2752">
        <v>45</v>
      </c>
      <c r="L531" s="2745">
        <f t="shared" si="135"/>
        <v>0</v>
      </c>
      <c r="M531" s="2745">
        <f t="shared" si="138"/>
        <v>20</v>
      </c>
      <c r="N531" s="2745">
        <f t="shared" si="139"/>
        <v>20</v>
      </c>
      <c r="O531" s="1232">
        <f t="shared" si="140"/>
        <v>0</v>
      </c>
      <c r="P531" s="1227" t="str">
        <f t="shared" si="145"/>
        <v>300gsm ARTBOARD Chenming EUCA C2S</v>
      </c>
      <c r="Q531" s="254">
        <v>0.30499999999999999</v>
      </c>
      <c r="R531" s="1228" t="str">
        <f t="shared" si="148"/>
        <v>300</v>
      </c>
      <c r="S531" s="2625">
        <f t="shared" si="136"/>
        <v>0</v>
      </c>
      <c r="T531" s="2747">
        <f>IF(L531&gt;0,IF(input!$B$2=$O$1,(((L531+Y531/22)+(L531+Y531/22)*$AG531+$X531)*$P$11+$M$7)/1000,(((L531+Y531/22)+(L531+Y531/22)*O531+(L531+Y531/22)*$AG531+$X531)*$P$11+$M$7)/1000),0)</f>
        <v>0</v>
      </c>
      <c r="U531" s="2747">
        <f t="shared" si="147"/>
        <v>0</v>
      </c>
      <c r="V531" s="1229"/>
      <c r="W531" s="1231" t="str">
        <f t="shared" si="137"/>
        <v>CIF</v>
      </c>
      <c r="X531" s="1230">
        <f t="shared" si="150"/>
        <v>0</v>
      </c>
      <c r="Y531" s="2625">
        <f t="shared" si="141"/>
        <v>0</v>
      </c>
      <c r="Z531" s="3208">
        <f t="shared" si="149"/>
        <v>838.18181818181813</v>
      </c>
      <c r="AA531" s="1220" t="s">
        <v>2833</v>
      </c>
      <c r="AB531" s="1220" t="s">
        <v>1396</v>
      </c>
      <c r="AC531" s="251" t="str">
        <f t="shared" si="142"/>
        <v>300gsm ARTBOARD Chenming EUCA C2S</v>
      </c>
      <c r="AD531" s="2746">
        <f>IF(L531&gt;0,IF(input!$B$2=$O$1,(((M531)+(M531)*$M$10)*$P$11)/1000,(((M531)+(M531)*O531+(M531)*$M$10)*$P$11)/1000),0)</f>
        <v>0</v>
      </c>
      <c r="AE531" s="2746">
        <f>IF(L531&gt;0,IF(input!$B$2=$O$1,(((N531)+(N531)*$M$10)*$P$11)/1000,(((N531)+(N531)*O531+(N531)*$M$10)*$P$11)/1000),0)</f>
        <v>0</v>
      </c>
      <c r="AF531" s="136" t="str">
        <f t="shared" si="143"/>
        <v>FSC</v>
      </c>
      <c r="AG531" s="2628">
        <f t="shared" si="144"/>
        <v>1.2E-2</v>
      </c>
      <c r="AH531" s="1266">
        <v>0.1</v>
      </c>
    </row>
    <row r="532" spans="1:34" ht="12.75">
      <c r="A532" s="2199">
        <f t="shared" si="146"/>
        <v>520</v>
      </c>
      <c r="B532" s="2200" t="s">
        <v>2595</v>
      </c>
      <c r="C532" s="2743">
        <v>0</v>
      </c>
      <c r="D532" s="2743">
        <v>0</v>
      </c>
      <c r="E532" s="2949">
        <v>0</v>
      </c>
      <c r="F532" s="2200">
        <v>20</v>
      </c>
      <c r="G532" s="2200" t="s">
        <v>2038</v>
      </c>
      <c r="H532" s="2200" t="s">
        <v>1057</v>
      </c>
      <c r="I532" s="2742">
        <v>20</v>
      </c>
      <c r="J532" s="2742"/>
      <c r="K532" s="2752">
        <v>45</v>
      </c>
      <c r="L532" s="2745">
        <f t="shared" si="135"/>
        <v>0</v>
      </c>
      <c r="M532" s="2745">
        <f t="shared" si="138"/>
        <v>20</v>
      </c>
      <c r="N532" s="2745">
        <f t="shared" si="139"/>
        <v>20</v>
      </c>
      <c r="O532" s="1232">
        <f t="shared" si="140"/>
        <v>0</v>
      </c>
      <c r="P532" s="1227" t="str">
        <f t="shared" si="145"/>
        <v>350gsm ARTBOARD Chenming EUCA C2S</v>
      </c>
      <c r="Q532" s="254">
        <v>0.36</v>
      </c>
      <c r="R532" s="1228" t="str">
        <f t="shared" si="148"/>
        <v>350</v>
      </c>
      <c r="S532" s="2625">
        <f t="shared" si="136"/>
        <v>0</v>
      </c>
      <c r="T532" s="2747">
        <f>IF(L532&gt;0,IF(input!$B$2=$O$1,(((L532+Y532/22)+(L532+Y532/22)*$AG532+$X532)*$P$11+$M$7)/1000,(((L532+Y532/22)+(L532+Y532/22)*O532+(L532+Y532/22)*$AG532+$X532)*$P$11+$M$7)/1000),0)</f>
        <v>0</v>
      </c>
      <c r="U532" s="2747">
        <f t="shared" si="147"/>
        <v>0</v>
      </c>
      <c r="V532" s="1229"/>
      <c r="W532" s="1231" t="str">
        <f t="shared" si="137"/>
        <v>CIF</v>
      </c>
      <c r="X532" s="1230">
        <f t="shared" si="150"/>
        <v>0</v>
      </c>
      <c r="Y532" s="2625">
        <f t="shared" si="141"/>
        <v>0</v>
      </c>
      <c r="Z532" s="3208">
        <f t="shared" si="149"/>
        <v>838.18181818181813</v>
      </c>
      <c r="AA532" s="1220" t="s">
        <v>2833</v>
      </c>
      <c r="AB532" s="1220" t="s">
        <v>1396</v>
      </c>
      <c r="AC532" s="251" t="str">
        <f t="shared" si="142"/>
        <v>350gsm ARTBOARD Chenming EUCA C2S</v>
      </c>
      <c r="AD532" s="2746">
        <f>IF(L532&gt;0,IF(input!$B$2=$O$1,(((M532)+(M532)*$M$10)*$P$11)/1000,(((M532)+(M532)*O532+(M532)*$M$10)*$P$11)/1000),0)</f>
        <v>0</v>
      </c>
      <c r="AE532" s="2746">
        <f>IF(L532&gt;0,IF(input!$B$2=$O$1,(((N532)+(N532)*$M$10)*$P$11)/1000,(((N532)+(N532)*O532+(N532)*$M$10)*$P$11)/1000),0)</f>
        <v>0</v>
      </c>
      <c r="AF532" s="136" t="str">
        <f t="shared" si="143"/>
        <v>FSC</v>
      </c>
      <c r="AG532" s="2628">
        <f t="shared" si="144"/>
        <v>1.2E-2</v>
      </c>
      <c r="AH532" s="1266">
        <v>0.1</v>
      </c>
    </row>
    <row r="533" spans="1:34" ht="12.75">
      <c r="A533" s="2199">
        <f t="shared" si="146"/>
        <v>521</v>
      </c>
      <c r="B533" s="2200" t="s">
        <v>2596</v>
      </c>
      <c r="C533" s="2743">
        <v>0</v>
      </c>
      <c r="D533" s="2743">
        <v>0</v>
      </c>
      <c r="E533" s="2949">
        <v>0</v>
      </c>
      <c r="F533" s="2200">
        <v>20</v>
      </c>
      <c r="G533" s="2200" t="s">
        <v>2038</v>
      </c>
      <c r="H533" s="2200" t="s">
        <v>1057</v>
      </c>
      <c r="I533" s="2742">
        <v>20</v>
      </c>
      <c r="J533" s="2742"/>
      <c r="K533" s="2752">
        <v>45</v>
      </c>
      <c r="L533" s="2745">
        <f t="shared" si="135"/>
        <v>0</v>
      </c>
      <c r="M533" s="2745">
        <f t="shared" si="138"/>
        <v>20</v>
      </c>
      <c r="N533" s="2745">
        <f t="shared" si="139"/>
        <v>20</v>
      </c>
      <c r="O533" s="1232">
        <f t="shared" si="140"/>
        <v>0</v>
      </c>
      <c r="P533" s="1227" t="str">
        <f t="shared" si="145"/>
        <v>360gsm ARTBOARD Chenming EUCA C2S</v>
      </c>
      <c r="Q533" s="254">
        <v>0.375</v>
      </c>
      <c r="R533" s="1228" t="str">
        <f t="shared" si="148"/>
        <v>360</v>
      </c>
      <c r="S533" s="2625">
        <f t="shared" si="136"/>
        <v>0</v>
      </c>
      <c r="T533" s="2747">
        <f>IF(L533&gt;0,IF(input!$B$2=$O$1,(((L533+Y533/22)+(L533+Y533/22)*$AG533+$X533)*$P$11+$M$7)/1000,(((L533+Y533/22)+(L533+Y533/22)*O533+(L533+Y533/22)*$AG533+$X533)*$P$11+$M$7)/1000),0)</f>
        <v>0</v>
      </c>
      <c r="U533" s="2747">
        <f t="shared" si="147"/>
        <v>0</v>
      </c>
      <c r="V533" s="1229"/>
      <c r="W533" s="1231" t="str">
        <f t="shared" si="137"/>
        <v>CIF</v>
      </c>
      <c r="X533" s="1230">
        <f t="shared" si="150"/>
        <v>0</v>
      </c>
      <c r="Y533" s="2625">
        <f t="shared" si="141"/>
        <v>0</v>
      </c>
      <c r="Z533" s="3208">
        <f t="shared" si="149"/>
        <v>838.18181818181813</v>
      </c>
      <c r="AA533" s="1220" t="s">
        <v>2833</v>
      </c>
      <c r="AB533" s="1220" t="s">
        <v>1396</v>
      </c>
      <c r="AC533" s="251" t="str">
        <f t="shared" si="142"/>
        <v>360gsm ARTBOARD Chenming EUCA C2S</v>
      </c>
      <c r="AD533" s="2746">
        <f>IF(L533&gt;0,IF(input!$B$2=$O$1,(((M533)+(M533)*$M$10)*$P$11)/1000,(((M533)+(M533)*O533+(M533)*$M$10)*$P$11)/1000),0)</f>
        <v>0</v>
      </c>
      <c r="AE533" s="2746">
        <f>IF(L533&gt;0,IF(input!$B$2=$O$1,(((N533)+(N533)*$M$10)*$P$11)/1000,(((N533)+(N533)*O533+(N533)*$M$10)*$P$11)/1000),0)</f>
        <v>0</v>
      </c>
      <c r="AF533" s="136" t="str">
        <f t="shared" si="143"/>
        <v>FSC</v>
      </c>
      <c r="AG533" s="2628">
        <f t="shared" si="144"/>
        <v>1.2E-2</v>
      </c>
      <c r="AH533" s="1266">
        <v>0.1</v>
      </c>
    </row>
    <row r="534" spans="1:34" ht="12.75">
      <c r="A534" s="2199">
        <f t="shared" si="146"/>
        <v>522</v>
      </c>
      <c r="B534" s="2200" t="s">
        <v>2597</v>
      </c>
      <c r="C534" s="2743">
        <v>0</v>
      </c>
      <c r="D534" s="2743">
        <v>0</v>
      </c>
      <c r="E534" s="2949">
        <v>0</v>
      </c>
      <c r="F534" s="2200">
        <v>10</v>
      </c>
      <c r="G534" s="2200" t="s">
        <v>127</v>
      </c>
      <c r="H534" s="2200" t="s">
        <v>1760</v>
      </c>
      <c r="I534" s="2742">
        <v>0</v>
      </c>
      <c r="J534" s="2742"/>
      <c r="K534" s="2752">
        <v>45</v>
      </c>
      <c r="L534" s="2745">
        <f t="shared" si="135"/>
        <v>0</v>
      </c>
      <c r="M534" s="2745">
        <f t="shared" si="138"/>
        <v>0</v>
      </c>
      <c r="N534" s="2745">
        <f t="shared" si="139"/>
        <v>10</v>
      </c>
      <c r="O534" s="1232">
        <f t="shared" si="140"/>
        <v>0</v>
      </c>
      <c r="P534" s="1227" t="str">
        <f t="shared" si="145"/>
        <v>170gsm ARTBOARD STARSPARK (IP SUN)</v>
      </c>
      <c r="Q534" s="254">
        <v>0.17</v>
      </c>
      <c r="R534" s="1228" t="str">
        <f t="shared" si="148"/>
        <v>170</v>
      </c>
      <c r="S534" s="2625">
        <f t="shared" si="136"/>
        <v>0</v>
      </c>
      <c r="T534" s="2747">
        <f>IF(L534&gt;0,IF(input!$B$2=$O$1,(((L534+Y534/22)+(L534+Y534/22)*$AG534+$X534)*$P$11+$M$7)/1000,(((L534+Y534/22)+(L534+Y534/22)*O534+(L534+Y534/22)*$AG534+$X534)*$P$11+$M$7)/1000),0)</f>
        <v>0</v>
      </c>
      <c r="U534" s="2747">
        <f t="shared" si="147"/>
        <v>0</v>
      </c>
      <c r="V534" s="1229"/>
      <c r="W534" s="1231" t="str">
        <f t="shared" si="137"/>
        <v>CNF</v>
      </c>
      <c r="X534" s="1230">
        <f t="shared" si="150"/>
        <v>0</v>
      </c>
      <c r="Y534" s="2625">
        <f t="shared" si="141"/>
        <v>0</v>
      </c>
      <c r="Z534" s="3208">
        <f t="shared" si="149"/>
        <v>838.18181818181813</v>
      </c>
      <c r="AA534" s="1220" t="s">
        <v>2820</v>
      </c>
      <c r="AB534" s="1220" t="s">
        <v>1396</v>
      </c>
      <c r="AC534" s="251" t="str">
        <f t="shared" si="142"/>
        <v>170gsm ARTBOARD STARSPARK (IP SUN)</v>
      </c>
      <c r="AD534" s="2746">
        <f>IF(L534&gt;0,IF(input!$B$2=$O$1,(((M534)+(M534)*$M$10)*$P$11)/1000,(((M534)+(M534)*O534+(M534)*$M$10)*$P$11)/1000),0)</f>
        <v>0</v>
      </c>
      <c r="AE534" s="2746">
        <f>IF(L534&gt;0,IF(input!$B$2=$O$1,(((N534)+(N534)*$M$10)*$P$11)/1000,(((N534)+(N534)*O534+(N534)*$M$10)*$P$11)/1000),0)</f>
        <v>0</v>
      </c>
      <c r="AF534" s="136" t="str">
        <f t="shared" si="143"/>
        <v>None</v>
      </c>
      <c r="AG534" s="2628">
        <f t="shared" si="144"/>
        <v>1.2E-2</v>
      </c>
      <c r="AH534" s="1266">
        <v>0.1</v>
      </c>
    </row>
    <row r="535" spans="1:34" ht="12.75">
      <c r="A535" s="2199">
        <f t="shared" si="146"/>
        <v>523</v>
      </c>
      <c r="B535" s="2200" t="s">
        <v>2598</v>
      </c>
      <c r="C535" s="2743">
        <v>0</v>
      </c>
      <c r="D535" s="2743">
        <v>0</v>
      </c>
      <c r="E535" s="2949">
        <v>0</v>
      </c>
      <c r="F535" s="2200">
        <v>10</v>
      </c>
      <c r="G535" s="2200" t="s">
        <v>127</v>
      </c>
      <c r="H535" s="2200" t="s">
        <v>1760</v>
      </c>
      <c r="I535" s="2742">
        <v>0</v>
      </c>
      <c r="J535" s="2742"/>
      <c r="K535" s="2752">
        <v>45</v>
      </c>
      <c r="L535" s="2745">
        <f t="shared" si="135"/>
        <v>0</v>
      </c>
      <c r="M535" s="2745">
        <f t="shared" si="138"/>
        <v>0</v>
      </c>
      <c r="N535" s="2745">
        <f t="shared" si="139"/>
        <v>10</v>
      </c>
      <c r="O535" s="1232">
        <f t="shared" si="140"/>
        <v>0</v>
      </c>
      <c r="P535" s="1227" t="str">
        <f t="shared" si="145"/>
        <v>180gsm ARTBOARD STARSPARK (IP SUN)</v>
      </c>
      <c r="Q535" s="254">
        <v>0.18</v>
      </c>
      <c r="R535" s="1228" t="str">
        <f t="shared" si="148"/>
        <v>180</v>
      </c>
      <c r="S535" s="2625">
        <f t="shared" si="136"/>
        <v>0</v>
      </c>
      <c r="T535" s="2747">
        <f>IF(L535&gt;0,IF(input!$B$2=$O$1,(((L535+Y535/22)+(L535+Y535/22)*$AG535+$X535)*$P$11+$M$7)/1000,(((L535+Y535/22)+(L535+Y535/22)*O535+(L535+Y535/22)*$AG535+$X535)*$P$11+$M$7)/1000),0)</f>
        <v>0</v>
      </c>
      <c r="U535" s="2747">
        <f t="shared" si="147"/>
        <v>0</v>
      </c>
      <c r="V535" s="1229"/>
      <c r="W535" s="1231" t="str">
        <f t="shared" si="137"/>
        <v>CNF</v>
      </c>
      <c r="X535" s="1230">
        <f t="shared" si="150"/>
        <v>0</v>
      </c>
      <c r="Y535" s="2625">
        <f t="shared" si="141"/>
        <v>0</v>
      </c>
      <c r="Z535" s="3208">
        <f t="shared" si="149"/>
        <v>838.18181818181813</v>
      </c>
      <c r="AA535" s="1220" t="s">
        <v>2820</v>
      </c>
      <c r="AB535" s="1220" t="s">
        <v>1396</v>
      </c>
      <c r="AC535" s="251" t="str">
        <f t="shared" si="142"/>
        <v>180gsm ARTBOARD STARSPARK (IP SUN)</v>
      </c>
      <c r="AD535" s="2746">
        <f>IF(L535&gt;0,IF(input!$B$2=$O$1,(((M535)+(M535)*$M$10)*$P$11)/1000,(((M535)+(M535)*O535+(M535)*$M$10)*$P$11)/1000),0)</f>
        <v>0</v>
      </c>
      <c r="AE535" s="2746">
        <f>IF(L535&gt;0,IF(input!$B$2=$O$1,(((N535)+(N535)*$M$10)*$P$11)/1000,(((N535)+(N535)*O535+(N535)*$M$10)*$P$11)/1000),0)</f>
        <v>0</v>
      </c>
      <c r="AF535" s="136" t="str">
        <f t="shared" si="143"/>
        <v>None</v>
      </c>
      <c r="AG535" s="2628">
        <f t="shared" si="144"/>
        <v>1.2E-2</v>
      </c>
      <c r="AH535" s="1266">
        <v>0.1</v>
      </c>
    </row>
    <row r="536" spans="1:34" ht="12.75">
      <c r="A536" s="2199">
        <f t="shared" si="146"/>
        <v>524</v>
      </c>
      <c r="B536" s="2200" t="s">
        <v>2599</v>
      </c>
      <c r="C536" s="2743">
        <v>0</v>
      </c>
      <c r="D536" s="2743">
        <v>0</v>
      </c>
      <c r="E536" s="2949">
        <v>0</v>
      </c>
      <c r="F536" s="2200">
        <v>10</v>
      </c>
      <c r="G536" s="2200" t="s">
        <v>127</v>
      </c>
      <c r="H536" s="2200" t="s">
        <v>1760</v>
      </c>
      <c r="I536" s="2742">
        <v>0</v>
      </c>
      <c r="J536" s="2742"/>
      <c r="K536" s="2752">
        <v>45</v>
      </c>
      <c r="L536" s="2745">
        <f t="shared" si="135"/>
        <v>0</v>
      </c>
      <c r="M536" s="2745">
        <f t="shared" si="138"/>
        <v>0</v>
      </c>
      <c r="N536" s="2745">
        <f t="shared" si="139"/>
        <v>10</v>
      </c>
      <c r="O536" s="1232">
        <f t="shared" si="140"/>
        <v>0</v>
      </c>
      <c r="P536" s="1227" t="str">
        <f t="shared" si="145"/>
        <v>190gsm ARTBOARD STARSPARK (IP SUN)</v>
      </c>
      <c r="Q536" s="254">
        <v>0.19</v>
      </c>
      <c r="R536" s="1228" t="str">
        <f t="shared" si="148"/>
        <v>190</v>
      </c>
      <c r="S536" s="2625">
        <f t="shared" si="136"/>
        <v>0</v>
      </c>
      <c r="T536" s="2747">
        <f>IF(L536&gt;0,IF(input!$B$2=$O$1,(((L536+Y536/22)+(L536+Y536/22)*$AG536+$X536)*$P$11+$M$7)/1000,(((L536+Y536/22)+(L536+Y536/22)*O536+(L536+Y536/22)*$AG536+$X536)*$P$11+$M$7)/1000),0)</f>
        <v>0</v>
      </c>
      <c r="U536" s="2747">
        <f t="shared" si="147"/>
        <v>0</v>
      </c>
      <c r="V536" s="1229"/>
      <c r="W536" s="1231" t="str">
        <f t="shared" si="137"/>
        <v>CNF</v>
      </c>
      <c r="X536" s="1230">
        <f t="shared" si="150"/>
        <v>0</v>
      </c>
      <c r="Y536" s="2625">
        <f t="shared" si="141"/>
        <v>0</v>
      </c>
      <c r="Z536" s="3208">
        <f t="shared" si="149"/>
        <v>838.18181818181813</v>
      </c>
      <c r="AA536" s="1220" t="s">
        <v>2820</v>
      </c>
      <c r="AB536" s="1220" t="s">
        <v>1396</v>
      </c>
      <c r="AC536" s="251" t="str">
        <f t="shared" si="142"/>
        <v>190gsm ARTBOARD STARSPARK (IP SUN)</v>
      </c>
      <c r="AD536" s="2746">
        <f>IF(L536&gt;0,IF(input!$B$2=$O$1,(((M536)+(M536)*$M$10)*$P$11)/1000,(((M536)+(M536)*O536+(M536)*$M$10)*$P$11)/1000),0)</f>
        <v>0</v>
      </c>
      <c r="AE536" s="2746">
        <f>IF(L536&gt;0,IF(input!$B$2=$O$1,(((N536)+(N536)*$M$10)*$P$11)/1000,(((N536)+(N536)*O536+(N536)*$M$10)*$P$11)/1000),0)</f>
        <v>0</v>
      </c>
      <c r="AF536" s="136" t="str">
        <f t="shared" si="143"/>
        <v>None</v>
      </c>
      <c r="AG536" s="2628">
        <f t="shared" si="144"/>
        <v>1.2E-2</v>
      </c>
      <c r="AH536" s="1266">
        <v>0.1</v>
      </c>
    </row>
    <row r="537" spans="1:34" ht="12.75">
      <c r="A537" s="2199">
        <f t="shared" si="146"/>
        <v>525</v>
      </c>
      <c r="B537" s="2200" t="s">
        <v>2600</v>
      </c>
      <c r="C537" s="2743">
        <v>0</v>
      </c>
      <c r="D537" s="2743">
        <v>0</v>
      </c>
      <c r="E537" s="2949">
        <v>0</v>
      </c>
      <c r="F537" s="2200">
        <v>10</v>
      </c>
      <c r="G537" s="2200" t="s">
        <v>127</v>
      </c>
      <c r="H537" s="2200" t="s">
        <v>1760</v>
      </c>
      <c r="I537" s="2742">
        <v>0</v>
      </c>
      <c r="J537" s="2742"/>
      <c r="K537" s="2752">
        <v>45</v>
      </c>
      <c r="L537" s="2745">
        <f t="shared" si="135"/>
        <v>0</v>
      </c>
      <c r="M537" s="2745">
        <f t="shared" si="138"/>
        <v>0</v>
      </c>
      <c r="N537" s="2745">
        <f t="shared" si="139"/>
        <v>10</v>
      </c>
      <c r="O537" s="1232">
        <f t="shared" si="140"/>
        <v>0</v>
      </c>
      <c r="P537" s="1227" t="str">
        <f t="shared" si="145"/>
        <v>200gsm ARTBOARD STARSPARK (IP SUN)</v>
      </c>
      <c r="Q537" s="254">
        <v>0.2</v>
      </c>
      <c r="R537" s="1228" t="str">
        <f t="shared" si="148"/>
        <v>200</v>
      </c>
      <c r="S537" s="2625">
        <f t="shared" si="136"/>
        <v>0</v>
      </c>
      <c r="T537" s="2747">
        <f>IF(L537&gt;0,IF(input!$B$2=$O$1,(((L537+Y537/22)+(L537+Y537/22)*$AG537+$X537)*$P$11+$M$7)/1000,(((L537+Y537/22)+(L537+Y537/22)*O537+(L537+Y537/22)*$AG537+$X537)*$P$11+$M$7)/1000),0)</f>
        <v>0</v>
      </c>
      <c r="U537" s="2747">
        <f t="shared" si="147"/>
        <v>0</v>
      </c>
      <c r="V537" s="1229"/>
      <c r="W537" s="1231" t="str">
        <f t="shared" si="137"/>
        <v>CNF</v>
      </c>
      <c r="X537" s="1230">
        <f t="shared" si="150"/>
        <v>0</v>
      </c>
      <c r="Y537" s="2625">
        <f t="shared" si="141"/>
        <v>0</v>
      </c>
      <c r="Z537" s="3208">
        <f t="shared" si="149"/>
        <v>838.18181818181813</v>
      </c>
      <c r="AA537" s="1220" t="s">
        <v>2820</v>
      </c>
      <c r="AB537" s="1220" t="s">
        <v>1396</v>
      </c>
      <c r="AC537" s="251" t="str">
        <f t="shared" si="142"/>
        <v>200gsm ARTBOARD STARSPARK (IP SUN)</v>
      </c>
      <c r="AD537" s="2746">
        <f>IF(L537&gt;0,IF(input!$B$2=$O$1,(((M537)+(M537)*$M$10)*$P$11)/1000,(((M537)+(M537)*O537+(M537)*$M$10)*$P$11)/1000),0)</f>
        <v>0</v>
      </c>
      <c r="AE537" s="2746">
        <f>IF(L537&gt;0,IF(input!$B$2=$O$1,(((N537)+(N537)*$M$10)*$P$11)/1000,(((N537)+(N537)*O537+(N537)*$M$10)*$P$11)/1000),0)</f>
        <v>0</v>
      </c>
      <c r="AF537" s="136" t="str">
        <f t="shared" si="143"/>
        <v>None</v>
      </c>
      <c r="AG537" s="2628">
        <f t="shared" si="144"/>
        <v>1.2E-2</v>
      </c>
      <c r="AH537" s="1266">
        <v>0.1</v>
      </c>
    </row>
    <row r="538" spans="1:34" ht="12.75">
      <c r="A538" s="2199">
        <f t="shared" si="146"/>
        <v>526</v>
      </c>
      <c r="B538" s="2200" t="s">
        <v>2601</v>
      </c>
      <c r="C538" s="2743">
        <v>0</v>
      </c>
      <c r="D538" s="2743">
        <v>0</v>
      </c>
      <c r="E538" s="2949">
        <v>0</v>
      </c>
      <c r="F538" s="2200">
        <v>10</v>
      </c>
      <c r="G538" s="2200" t="s">
        <v>127</v>
      </c>
      <c r="H538" s="2200" t="s">
        <v>1760</v>
      </c>
      <c r="I538" s="2742">
        <v>0</v>
      </c>
      <c r="J538" s="2742"/>
      <c r="K538" s="2752">
        <v>45</v>
      </c>
      <c r="L538" s="2745">
        <f t="shared" si="135"/>
        <v>0</v>
      </c>
      <c r="M538" s="2745">
        <f t="shared" si="138"/>
        <v>0</v>
      </c>
      <c r="N538" s="2745">
        <f t="shared" si="139"/>
        <v>10</v>
      </c>
      <c r="O538" s="1232">
        <f t="shared" si="140"/>
        <v>0</v>
      </c>
      <c r="P538" s="1227" t="str">
        <f t="shared" si="145"/>
        <v>210gsm ARTBOARD STARSPARK (IP SUN)</v>
      </c>
      <c r="Q538" s="254">
        <v>0.21</v>
      </c>
      <c r="R538" s="1228" t="str">
        <f t="shared" si="148"/>
        <v>210</v>
      </c>
      <c r="S538" s="2625">
        <f t="shared" si="136"/>
        <v>0</v>
      </c>
      <c r="T538" s="2747">
        <f>IF(L538&gt;0,IF(input!$B$2=$O$1,(((L538+Y538/22)+(L538+Y538/22)*$AG538+$X538)*$P$11+$M$7)/1000,(((L538+Y538/22)+(L538+Y538/22)*O538+(L538+Y538/22)*$AG538+$X538)*$P$11+$M$7)/1000),0)</f>
        <v>0</v>
      </c>
      <c r="U538" s="2747">
        <f t="shared" si="147"/>
        <v>0</v>
      </c>
      <c r="V538" s="1229"/>
      <c r="W538" s="1231" t="str">
        <f t="shared" si="137"/>
        <v>CNF</v>
      </c>
      <c r="X538" s="1230">
        <f t="shared" si="150"/>
        <v>0</v>
      </c>
      <c r="Y538" s="2625">
        <f t="shared" si="141"/>
        <v>0</v>
      </c>
      <c r="Z538" s="3208">
        <f t="shared" si="149"/>
        <v>838.18181818181813</v>
      </c>
      <c r="AA538" s="1220" t="s">
        <v>2820</v>
      </c>
      <c r="AB538" s="1220" t="s">
        <v>1396</v>
      </c>
      <c r="AC538" s="251" t="str">
        <f t="shared" si="142"/>
        <v>210gsm ARTBOARD STARSPARK (IP SUN)</v>
      </c>
      <c r="AD538" s="2746">
        <f>IF(L538&gt;0,IF(input!$B$2=$O$1,(((M538)+(M538)*$M$10)*$P$11)/1000,(((M538)+(M538)*O538+(M538)*$M$10)*$P$11)/1000),0)</f>
        <v>0</v>
      </c>
      <c r="AE538" s="2746">
        <f>IF(L538&gt;0,IF(input!$B$2=$O$1,(((N538)+(N538)*$M$10)*$P$11)/1000,(((N538)+(N538)*O538+(N538)*$M$10)*$P$11)/1000),0)</f>
        <v>0</v>
      </c>
      <c r="AF538" s="136" t="str">
        <f t="shared" si="143"/>
        <v>None</v>
      </c>
      <c r="AG538" s="2628">
        <f t="shared" si="144"/>
        <v>1.2E-2</v>
      </c>
      <c r="AH538" s="1266">
        <v>0.1</v>
      </c>
    </row>
    <row r="539" spans="1:34" ht="12.75">
      <c r="A539" s="2199">
        <f t="shared" si="146"/>
        <v>527</v>
      </c>
      <c r="B539" s="2200" t="s">
        <v>2602</v>
      </c>
      <c r="C539" s="2743">
        <v>0</v>
      </c>
      <c r="D539" s="2743">
        <v>0</v>
      </c>
      <c r="E539" s="2949">
        <v>0</v>
      </c>
      <c r="F539" s="2200">
        <v>10</v>
      </c>
      <c r="G539" s="2200" t="s">
        <v>127</v>
      </c>
      <c r="H539" s="2200" t="s">
        <v>1760</v>
      </c>
      <c r="I539" s="2742">
        <v>0</v>
      </c>
      <c r="J539" s="2742"/>
      <c r="K539" s="2752">
        <v>45</v>
      </c>
      <c r="L539" s="2745">
        <f t="shared" si="135"/>
        <v>0</v>
      </c>
      <c r="M539" s="2745">
        <f t="shared" si="138"/>
        <v>0</v>
      </c>
      <c r="N539" s="2745">
        <f t="shared" si="139"/>
        <v>10</v>
      </c>
      <c r="O539" s="1232">
        <f t="shared" si="140"/>
        <v>0</v>
      </c>
      <c r="P539" s="1227" t="str">
        <f t="shared" si="145"/>
        <v>220gsm ARTBOARD STARSPARK (IP SUN)</v>
      </c>
      <c r="Q539" s="254">
        <v>0.22500000000000001</v>
      </c>
      <c r="R539" s="1228" t="str">
        <f t="shared" si="148"/>
        <v>220</v>
      </c>
      <c r="S539" s="2625">
        <f t="shared" si="136"/>
        <v>0</v>
      </c>
      <c r="T539" s="2747">
        <f>IF(L539&gt;0,IF(input!$B$2=$O$1,(((L539+Y539/22)+(L539+Y539/22)*$AG539+$X539)*$P$11+$M$7)/1000,(((L539+Y539/22)+(L539+Y539/22)*O539+(L539+Y539/22)*$AG539+$X539)*$P$11+$M$7)/1000),0)</f>
        <v>0</v>
      </c>
      <c r="U539" s="2747">
        <f t="shared" si="147"/>
        <v>0</v>
      </c>
      <c r="V539" s="1229"/>
      <c r="W539" s="1231" t="str">
        <f t="shared" si="137"/>
        <v>CNF</v>
      </c>
      <c r="X539" s="1230">
        <f t="shared" si="150"/>
        <v>0</v>
      </c>
      <c r="Y539" s="2625">
        <f t="shared" si="141"/>
        <v>0</v>
      </c>
      <c r="Z539" s="3208">
        <f t="shared" si="149"/>
        <v>838.18181818181813</v>
      </c>
      <c r="AA539" s="1220" t="s">
        <v>2820</v>
      </c>
      <c r="AB539" s="1220" t="s">
        <v>1396</v>
      </c>
      <c r="AC539" s="251" t="str">
        <f t="shared" si="142"/>
        <v>220gsm ARTBOARD STARSPARK (IP SUN)</v>
      </c>
      <c r="AD539" s="2746">
        <f>IF(L539&gt;0,IF(input!$B$2=$O$1,(((M539)+(M539)*$M$10)*$P$11)/1000,(((M539)+(M539)*O539+(M539)*$M$10)*$P$11)/1000),0)</f>
        <v>0</v>
      </c>
      <c r="AE539" s="2746">
        <f>IF(L539&gt;0,IF(input!$B$2=$O$1,(((N539)+(N539)*$M$10)*$P$11)/1000,(((N539)+(N539)*O539+(N539)*$M$10)*$P$11)/1000),0)</f>
        <v>0</v>
      </c>
      <c r="AF539" s="136" t="str">
        <f t="shared" si="143"/>
        <v>None</v>
      </c>
      <c r="AG539" s="2628">
        <f t="shared" si="144"/>
        <v>1.2E-2</v>
      </c>
      <c r="AH539" s="1266">
        <v>0.1</v>
      </c>
    </row>
    <row r="540" spans="1:34" ht="12.75">
      <c r="A540" s="2199">
        <f t="shared" si="146"/>
        <v>528</v>
      </c>
      <c r="B540" s="2200" t="s">
        <v>2603</v>
      </c>
      <c r="C540" s="2743">
        <v>0</v>
      </c>
      <c r="D540" s="2743">
        <v>0</v>
      </c>
      <c r="E540" s="2949">
        <v>0</v>
      </c>
      <c r="F540" s="2200">
        <v>10</v>
      </c>
      <c r="G540" s="2200" t="s">
        <v>127</v>
      </c>
      <c r="H540" s="2200" t="s">
        <v>1760</v>
      </c>
      <c r="I540" s="2742">
        <v>0</v>
      </c>
      <c r="J540" s="2742"/>
      <c r="K540" s="2752">
        <v>45</v>
      </c>
      <c r="L540" s="2745">
        <f t="shared" si="135"/>
        <v>0</v>
      </c>
      <c r="M540" s="2745">
        <f t="shared" si="138"/>
        <v>0</v>
      </c>
      <c r="N540" s="2745">
        <f t="shared" si="139"/>
        <v>10</v>
      </c>
      <c r="O540" s="1232">
        <f t="shared" si="140"/>
        <v>0</v>
      </c>
      <c r="P540" s="1227" t="str">
        <f t="shared" si="145"/>
        <v>230gsm ARTBOARD STARSPARK (IP SUN)</v>
      </c>
      <c r="Q540" s="254">
        <v>0.24</v>
      </c>
      <c r="R540" s="1228" t="str">
        <f t="shared" si="148"/>
        <v>230</v>
      </c>
      <c r="S540" s="2625">
        <f t="shared" si="136"/>
        <v>0</v>
      </c>
      <c r="T540" s="2747">
        <f>IF(L540&gt;0,IF(input!$B$2=$O$1,(((L540+Y540/22)+(L540+Y540/22)*$AG540+$X540)*$P$11+$M$7)/1000,(((L540+Y540/22)+(L540+Y540/22)*O540+(L540+Y540/22)*$AG540+$X540)*$P$11+$M$7)/1000),0)</f>
        <v>0</v>
      </c>
      <c r="U540" s="2747">
        <f t="shared" si="147"/>
        <v>0</v>
      </c>
      <c r="V540" s="1229"/>
      <c r="W540" s="1231" t="str">
        <f t="shared" si="137"/>
        <v>CNF</v>
      </c>
      <c r="X540" s="1230">
        <f t="shared" si="150"/>
        <v>0</v>
      </c>
      <c r="Y540" s="2625">
        <f t="shared" si="141"/>
        <v>0</v>
      </c>
      <c r="Z540" s="3208">
        <f t="shared" si="149"/>
        <v>838.18181818181813</v>
      </c>
      <c r="AA540" s="1220" t="s">
        <v>2820</v>
      </c>
      <c r="AB540" s="1220" t="s">
        <v>1396</v>
      </c>
      <c r="AC540" s="251" t="str">
        <f t="shared" si="142"/>
        <v>230gsm ARTBOARD STARSPARK (IP SUN)</v>
      </c>
      <c r="AD540" s="2746">
        <f>IF(L540&gt;0,IF(input!$B$2=$O$1,(((M540)+(M540)*$M$10)*$P$11)/1000,(((M540)+(M540)*O540+(M540)*$M$10)*$P$11)/1000),0)</f>
        <v>0</v>
      </c>
      <c r="AE540" s="2746">
        <f>IF(L540&gt;0,IF(input!$B$2=$O$1,(((N540)+(N540)*$M$10)*$P$11)/1000,(((N540)+(N540)*O540+(N540)*$M$10)*$P$11)/1000),0)</f>
        <v>0</v>
      </c>
      <c r="AF540" s="136" t="str">
        <f t="shared" si="143"/>
        <v>None</v>
      </c>
      <c r="AG540" s="2628">
        <f t="shared" si="144"/>
        <v>1.2E-2</v>
      </c>
      <c r="AH540" s="1266">
        <v>0.1</v>
      </c>
    </row>
    <row r="541" spans="1:34" ht="12.75">
      <c r="A541" s="2199">
        <f t="shared" si="146"/>
        <v>529</v>
      </c>
      <c r="B541" s="2200" t="s">
        <v>2604</v>
      </c>
      <c r="C541" s="2743">
        <v>0</v>
      </c>
      <c r="D541" s="2743">
        <v>0</v>
      </c>
      <c r="E541" s="2949">
        <v>0</v>
      </c>
      <c r="F541" s="2200">
        <v>10</v>
      </c>
      <c r="G541" s="2200" t="s">
        <v>127</v>
      </c>
      <c r="H541" s="2200" t="s">
        <v>1760</v>
      </c>
      <c r="I541" s="2742">
        <v>0</v>
      </c>
      <c r="J541" s="2742"/>
      <c r="K541" s="2752">
        <v>45</v>
      </c>
      <c r="L541" s="2745">
        <f t="shared" si="135"/>
        <v>0</v>
      </c>
      <c r="M541" s="2745">
        <f t="shared" si="138"/>
        <v>0</v>
      </c>
      <c r="N541" s="2745">
        <f t="shared" si="139"/>
        <v>10</v>
      </c>
      <c r="O541" s="1232">
        <f t="shared" si="140"/>
        <v>0</v>
      </c>
      <c r="P541" s="1227" t="str">
        <f t="shared" si="145"/>
        <v>240gsm ARTBOARD STARSPARK (IP SUN)</v>
      </c>
      <c r="Q541" s="254">
        <v>0.25</v>
      </c>
      <c r="R541" s="1228" t="str">
        <f t="shared" si="148"/>
        <v>240</v>
      </c>
      <c r="S541" s="2625">
        <f t="shared" si="136"/>
        <v>0</v>
      </c>
      <c r="T541" s="2747">
        <f>IF(L541&gt;0,IF(input!$B$2=$O$1,(((L541+Y541/22)+(L541+Y541/22)*$AG541+$X541)*$P$11+$M$7)/1000,(((L541+Y541/22)+(L541+Y541/22)*O541+(L541+Y541/22)*$AG541+$X541)*$P$11+$M$7)/1000),0)</f>
        <v>0</v>
      </c>
      <c r="U541" s="2747">
        <f t="shared" si="147"/>
        <v>0</v>
      </c>
      <c r="V541" s="1229"/>
      <c r="W541" s="1231" t="str">
        <f t="shared" si="137"/>
        <v>CNF</v>
      </c>
      <c r="X541" s="1230">
        <f t="shared" si="150"/>
        <v>0</v>
      </c>
      <c r="Y541" s="2625">
        <f t="shared" si="141"/>
        <v>0</v>
      </c>
      <c r="Z541" s="3208">
        <f t="shared" si="149"/>
        <v>838.18181818181813</v>
      </c>
      <c r="AA541" s="1220" t="s">
        <v>2820</v>
      </c>
      <c r="AB541" s="1220" t="s">
        <v>1396</v>
      </c>
      <c r="AC541" s="251" t="str">
        <f t="shared" si="142"/>
        <v>240gsm ARTBOARD STARSPARK (IP SUN)</v>
      </c>
      <c r="AD541" s="2746">
        <f>IF(L541&gt;0,IF(input!$B$2=$O$1,(((M541)+(M541)*$M$10)*$P$11)/1000,(((M541)+(M541)*O541+(M541)*$M$10)*$P$11)/1000),0)</f>
        <v>0</v>
      </c>
      <c r="AE541" s="2746">
        <f>IF(L541&gt;0,IF(input!$B$2=$O$1,(((N541)+(N541)*$M$10)*$P$11)/1000,(((N541)+(N541)*O541+(N541)*$M$10)*$P$11)/1000),0)</f>
        <v>0</v>
      </c>
      <c r="AF541" s="136" t="str">
        <f t="shared" si="143"/>
        <v>None</v>
      </c>
      <c r="AG541" s="2628">
        <f t="shared" si="144"/>
        <v>1.2E-2</v>
      </c>
      <c r="AH541" s="1266">
        <v>0.1</v>
      </c>
    </row>
    <row r="542" spans="1:34" ht="12.75">
      <c r="A542" s="2199">
        <f t="shared" si="146"/>
        <v>530</v>
      </c>
      <c r="B542" s="2200" t="s">
        <v>2605</v>
      </c>
      <c r="C542" s="2743">
        <v>0</v>
      </c>
      <c r="D542" s="2743">
        <v>0</v>
      </c>
      <c r="E542" s="2949">
        <v>0</v>
      </c>
      <c r="F542" s="2200">
        <v>10</v>
      </c>
      <c r="G542" s="2200" t="s">
        <v>127</v>
      </c>
      <c r="H542" s="2200" t="s">
        <v>1760</v>
      </c>
      <c r="I542" s="2742">
        <v>0</v>
      </c>
      <c r="J542" s="2742"/>
      <c r="K542" s="2752">
        <v>45</v>
      </c>
      <c r="L542" s="2745">
        <f t="shared" si="135"/>
        <v>0</v>
      </c>
      <c r="M542" s="2745">
        <f t="shared" si="138"/>
        <v>0</v>
      </c>
      <c r="N542" s="2745">
        <f t="shared" si="139"/>
        <v>10</v>
      </c>
      <c r="O542" s="1232">
        <f t="shared" si="140"/>
        <v>0</v>
      </c>
      <c r="P542" s="1227" t="str">
        <f t="shared" si="145"/>
        <v>250gsm ARTBOARD STARSPARK (IP SUN)</v>
      </c>
      <c r="Q542" s="254">
        <v>0.26</v>
      </c>
      <c r="R542" s="1228" t="str">
        <f t="shared" si="148"/>
        <v>250</v>
      </c>
      <c r="S542" s="2625">
        <f t="shared" si="136"/>
        <v>0</v>
      </c>
      <c r="T542" s="2747">
        <f>IF(L542&gt;0,IF(input!$B$2=$O$1,(((L542+Y542/22)+(L542+Y542/22)*$AG542+$X542)*$P$11+$M$7)/1000,(((L542+Y542/22)+(L542+Y542/22)*O542+(L542+Y542/22)*$AG542+$X542)*$P$11+$M$7)/1000),0)</f>
        <v>0</v>
      </c>
      <c r="U542" s="2747">
        <f t="shared" si="147"/>
        <v>0</v>
      </c>
      <c r="V542" s="1229"/>
      <c r="W542" s="1231" t="str">
        <f t="shared" si="137"/>
        <v>CNF</v>
      </c>
      <c r="X542" s="1230">
        <f t="shared" si="150"/>
        <v>0</v>
      </c>
      <c r="Y542" s="2625">
        <f t="shared" si="141"/>
        <v>0</v>
      </c>
      <c r="Z542" s="3208">
        <f t="shared" si="149"/>
        <v>838.18181818181813</v>
      </c>
      <c r="AA542" s="1220" t="s">
        <v>2820</v>
      </c>
      <c r="AB542" s="1220" t="s">
        <v>1396</v>
      </c>
      <c r="AC542" s="251" t="str">
        <f t="shared" si="142"/>
        <v>250gsm ARTBOARD STARSPARK (IP SUN)</v>
      </c>
      <c r="AD542" s="2746">
        <f>IF(L542&gt;0,IF(input!$B$2=$O$1,(((M542)+(M542)*$M$10)*$P$11)/1000,(((M542)+(M542)*O542+(M542)*$M$10)*$P$11)/1000),0)</f>
        <v>0</v>
      </c>
      <c r="AE542" s="2746">
        <f>IF(L542&gt;0,IF(input!$B$2=$O$1,(((N542)+(N542)*$M$10)*$P$11)/1000,(((N542)+(N542)*O542+(N542)*$M$10)*$P$11)/1000),0)</f>
        <v>0</v>
      </c>
      <c r="AF542" s="136" t="str">
        <f t="shared" si="143"/>
        <v>None</v>
      </c>
      <c r="AG542" s="2628">
        <f t="shared" si="144"/>
        <v>1.2E-2</v>
      </c>
      <c r="AH542" s="1266">
        <v>0.1</v>
      </c>
    </row>
    <row r="543" spans="1:34" ht="12.75">
      <c r="A543" s="2199">
        <f t="shared" si="146"/>
        <v>531</v>
      </c>
      <c r="B543" s="2200" t="s">
        <v>2606</v>
      </c>
      <c r="C543" s="2743">
        <v>0</v>
      </c>
      <c r="D543" s="2743">
        <v>0</v>
      </c>
      <c r="E543" s="2949">
        <v>0</v>
      </c>
      <c r="F543" s="2200">
        <v>10</v>
      </c>
      <c r="G543" s="2200" t="s">
        <v>127</v>
      </c>
      <c r="H543" s="2200" t="s">
        <v>1760</v>
      </c>
      <c r="I543" s="2742">
        <v>0</v>
      </c>
      <c r="J543" s="2742"/>
      <c r="K543" s="2752">
        <v>45</v>
      </c>
      <c r="L543" s="2745">
        <f t="shared" si="135"/>
        <v>0</v>
      </c>
      <c r="M543" s="2745">
        <f t="shared" si="138"/>
        <v>0</v>
      </c>
      <c r="N543" s="2745">
        <f t="shared" si="139"/>
        <v>10</v>
      </c>
      <c r="O543" s="1232">
        <f t="shared" si="140"/>
        <v>0</v>
      </c>
      <c r="P543" s="1227" t="str">
        <f t="shared" si="145"/>
        <v>260gsm ARTBOARD STARSPARK (IP SUN)</v>
      </c>
      <c r="Q543" s="254">
        <v>0.27</v>
      </c>
      <c r="R543" s="1228" t="str">
        <f t="shared" si="148"/>
        <v>260</v>
      </c>
      <c r="S543" s="2625">
        <f t="shared" si="136"/>
        <v>0</v>
      </c>
      <c r="T543" s="2747">
        <f>IF(L543&gt;0,IF(input!$B$2=$O$1,(((L543+Y543/22)+(L543+Y543/22)*$AG543+$X543)*$P$11+$M$7)/1000,(((L543+Y543/22)+(L543+Y543/22)*O543+(L543+Y543/22)*$AG543+$X543)*$P$11+$M$7)/1000),0)</f>
        <v>0</v>
      </c>
      <c r="U543" s="2747">
        <f t="shared" si="147"/>
        <v>0</v>
      </c>
      <c r="V543" s="1229"/>
      <c r="W543" s="1231" t="str">
        <f t="shared" si="137"/>
        <v>CNF</v>
      </c>
      <c r="X543" s="1230">
        <f t="shared" si="150"/>
        <v>0</v>
      </c>
      <c r="Y543" s="2625">
        <f t="shared" si="141"/>
        <v>0</v>
      </c>
      <c r="Z543" s="3208">
        <f t="shared" si="149"/>
        <v>838.18181818181813</v>
      </c>
      <c r="AA543" s="1220" t="s">
        <v>2820</v>
      </c>
      <c r="AB543" s="1220" t="s">
        <v>1396</v>
      </c>
      <c r="AC543" s="251" t="str">
        <f t="shared" si="142"/>
        <v>260gsm ARTBOARD STARSPARK (IP SUN)</v>
      </c>
      <c r="AD543" s="2746">
        <f>IF(L543&gt;0,IF(input!$B$2=$O$1,(((M543)+(M543)*$M$10)*$P$11)/1000,(((M543)+(M543)*O543+(M543)*$M$10)*$P$11)/1000),0)</f>
        <v>0</v>
      </c>
      <c r="AE543" s="2746">
        <f>IF(L543&gt;0,IF(input!$B$2=$O$1,(((N543)+(N543)*$M$10)*$P$11)/1000,(((N543)+(N543)*O543+(N543)*$M$10)*$P$11)/1000),0)</f>
        <v>0</v>
      </c>
      <c r="AF543" s="136" t="str">
        <f t="shared" si="143"/>
        <v>None</v>
      </c>
      <c r="AG543" s="2628">
        <f t="shared" si="144"/>
        <v>1.2E-2</v>
      </c>
      <c r="AH543" s="1266">
        <v>0.1</v>
      </c>
    </row>
    <row r="544" spans="1:34" ht="12.75">
      <c r="A544" s="2199">
        <f t="shared" si="146"/>
        <v>532</v>
      </c>
      <c r="B544" s="2200" t="s">
        <v>2607</v>
      </c>
      <c r="C544" s="2743">
        <v>0</v>
      </c>
      <c r="D544" s="2743">
        <v>0</v>
      </c>
      <c r="E544" s="2949">
        <v>0</v>
      </c>
      <c r="F544" s="2200">
        <v>10</v>
      </c>
      <c r="G544" s="2200" t="s">
        <v>127</v>
      </c>
      <c r="H544" s="2200" t="s">
        <v>1760</v>
      </c>
      <c r="I544" s="2742">
        <v>0</v>
      </c>
      <c r="J544" s="2742"/>
      <c r="K544" s="2752">
        <v>45</v>
      </c>
      <c r="L544" s="2745">
        <f t="shared" si="135"/>
        <v>0</v>
      </c>
      <c r="M544" s="2745">
        <f t="shared" si="138"/>
        <v>0</v>
      </c>
      <c r="N544" s="2745">
        <f t="shared" si="139"/>
        <v>10</v>
      </c>
      <c r="O544" s="1232">
        <f t="shared" si="140"/>
        <v>0</v>
      </c>
      <c r="P544" s="1227" t="str">
        <f t="shared" si="145"/>
        <v>270gsm ARTBOARD STARSPARK (IP SUN)</v>
      </c>
      <c r="Q544" s="254">
        <v>0.28000000000000003</v>
      </c>
      <c r="R544" s="1228" t="str">
        <f t="shared" si="148"/>
        <v>270</v>
      </c>
      <c r="S544" s="2625">
        <f t="shared" si="136"/>
        <v>0</v>
      </c>
      <c r="T544" s="2747">
        <f>IF(L544&gt;0,IF(input!$B$2=$O$1,(((L544+Y544/22)+(L544+Y544/22)*$AG544+$X544)*$P$11+$M$7)/1000,(((L544+Y544/22)+(L544+Y544/22)*O544+(L544+Y544/22)*$AG544+$X544)*$P$11+$M$7)/1000),0)</f>
        <v>0</v>
      </c>
      <c r="U544" s="2747">
        <f t="shared" si="147"/>
        <v>0</v>
      </c>
      <c r="V544" s="1229"/>
      <c r="W544" s="1231" t="str">
        <f t="shared" si="137"/>
        <v>CNF</v>
      </c>
      <c r="X544" s="1230">
        <f t="shared" si="150"/>
        <v>0</v>
      </c>
      <c r="Y544" s="2625">
        <f t="shared" si="141"/>
        <v>0</v>
      </c>
      <c r="Z544" s="3208">
        <f t="shared" si="149"/>
        <v>838.18181818181813</v>
      </c>
      <c r="AA544" s="1220" t="s">
        <v>2820</v>
      </c>
      <c r="AB544" s="1220" t="s">
        <v>1396</v>
      </c>
      <c r="AC544" s="251" t="str">
        <f t="shared" si="142"/>
        <v>270gsm ARTBOARD STARSPARK (IP SUN)</v>
      </c>
      <c r="AD544" s="2746">
        <f>IF(L544&gt;0,IF(input!$B$2=$O$1,(((M544)+(M544)*$M$10)*$P$11)/1000,(((M544)+(M544)*O544+(M544)*$M$10)*$P$11)/1000),0)</f>
        <v>0</v>
      </c>
      <c r="AE544" s="2746">
        <f>IF(L544&gt;0,IF(input!$B$2=$O$1,(((N544)+(N544)*$M$10)*$P$11)/1000,(((N544)+(N544)*O544+(N544)*$M$10)*$P$11)/1000),0)</f>
        <v>0</v>
      </c>
      <c r="AF544" s="136" t="str">
        <f t="shared" si="143"/>
        <v>None</v>
      </c>
      <c r="AG544" s="2628">
        <f t="shared" si="144"/>
        <v>1.2E-2</v>
      </c>
      <c r="AH544" s="1266">
        <v>0.1</v>
      </c>
    </row>
    <row r="545" spans="1:34" ht="12.75">
      <c r="A545" s="2199">
        <f t="shared" si="146"/>
        <v>533</v>
      </c>
      <c r="B545" s="2200" t="s">
        <v>2608</v>
      </c>
      <c r="C545" s="2743">
        <v>0</v>
      </c>
      <c r="D545" s="2743">
        <v>0</v>
      </c>
      <c r="E545" s="2949">
        <v>0</v>
      </c>
      <c r="F545" s="2200">
        <v>10</v>
      </c>
      <c r="G545" s="2200" t="s">
        <v>127</v>
      </c>
      <c r="H545" s="2200" t="s">
        <v>1760</v>
      </c>
      <c r="I545" s="2742">
        <v>0</v>
      </c>
      <c r="J545" s="2742"/>
      <c r="K545" s="2752">
        <v>45</v>
      </c>
      <c r="L545" s="2745">
        <f t="shared" si="135"/>
        <v>0</v>
      </c>
      <c r="M545" s="2745">
        <f t="shared" si="138"/>
        <v>0</v>
      </c>
      <c r="N545" s="2745">
        <f t="shared" si="139"/>
        <v>10</v>
      </c>
      <c r="O545" s="1232">
        <f t="shared" si="140"/>
        <v>0</v>
      </c>
      <c r="P545" s="1227" t="str">
        <f t="shared" si="145"/>
        <v>280gsm ARTBOARD STARSPARK (IP SUN)</v>
      </c>
      <c r="Q545" s="254">
        <v>0.28999999999999998</v>
      </c>
      <c r="R545" s="1228" t="str">
        <f t="shared" si="148"/>
        <v>280</v>
      </c>
      <c r="S545" s="2625">
        <f t="shared" si="136"/>
        <v>0</v>
      </c>
      <c r="T545" s="2747">
        <f>IF(L545&gt;0,IF(input!$B$2=$O$1,(((L545+Y545/22)+(L545+Y545/22)*$AG545+$X545)*$P$11+$M$7)/1000,(((L545+Y545/22)+(L545+Y545/22)*O545+(L545+Y545/22)*$AG545+$X545)*$P$11+$M$7)/1000),0)</f>
        <v>0</v>
      </c>
      <c r="U545" s="2747">
        <f t="shared" si="147"/>
        <v>0</v>
      </c>
      <c r="V545" s="1229"/>
      <c r="W545" s="1231" t="str">
        <f t="shared" si="137"/>
        <v>CNF</v>
      </c>
      <c r="X545" s="1230">
        <f t="shared" si="150"/>
        <v>0</v>
      </c>
      <c r="Y545" s="2625">
        <f t="shared" si="141"/>
        <v>0</v>
      </c>
      <c r="Z545" s="3208">
        <f t="shared" si="149"/>
        <v>838.18181818181813</v>
      </c>
      <c r="AA545" s="1220" t="s">
        <v>2820</v>
      </c>
      <c r="AB545" s="1220" t="s">
        <v>1396</v>
      </c>
      <c r="AC545" s="251" t="str">
        <f t="shared" si="142"/>
        <v>280gsm ARTBOARD STARSPARK (IP SUN)</v>
      </c>
      <c r="AD545" s="2746">
        <f>IF(L545&gt;0,IF(input!$B$2=$O$1,(((M545)+(M545)*$M$10)*$P$11)/1000,(((M545)+(M545)*O545+(M545)*$M$10)*$P$11)/1000),0)</f>
        <v>0</v>
      </c>
      <c r="AE545" s="2746">
        <f>IF(L545&gt;0,IF(input!$B$2=$O$1,(((N545)+(N545)*$M$10)*$P$11)/1000,(((N545)+(N545)*O545+(N545)*$M$10)*$P$11)/1000),0)</f>
        <v>0</v>
      </c>
      <c r="AF545" s="136" t="str">
        <f t="shared" si="143"/>
        <v>None</v>
      </c>
      <c r="AG545" s="2628">
        <f t="shared" si="144"/>
        <v>1.2E-2</v>
      </c>
      <c r="AH545" s="1266">
        <v>0.1</v>
      </c>
    </row>
    <row r="546" spans="1:34" ht="12.75">
      <c r="A546" s="2199">
        <f t="shared" si="146"/>
        <v>534</v>
      </c>
      <c r="B546" s="2200" t="s">
        <v>2609</v>
      </c>
      <c r="C546" s="2743">
        <v>0</v>
      </c>
      <c r="D546" s="2743">
        <v>0</v>
      </c>
      <c r="E546" s="2949">
        <v>0</v>
      </c>
      <c r="F546" s="2200">
        <v>10</v>
      </c>
      <c r="G546" s="2200" t="s">
        <v>127</v>
      </c>
      <c r="H546" s="2200" t="s">
        <v>1760</v>
      </c>
      <c r="I546" s="2742">
        <v>0</v>
      </c>
      <c r="J546" s="2742"/>
      <c r="K546" s="2752">
        <v>45</v>
      </c>
      <c r="L546" s="2745">
        <f t="shared" si="135"/>
        <v>0</v>
      </c>
      <c r="M546" s="2745">
        <f t="shared" si="138"/>
        <v>0</v>
      </c>
      <c r="N546" s="2745">
        <f t="shared" si="139"/>
        <v>10</v>
      </c>
      <c r="O546" s="1232">
        <f t="shared" si="140"/>
        <v>0</v>
      </c>
      <c r="P546" s="1227" t="str">
        <f t="shared" si="145"/>
        <v>290gsm ARTBOARD STARSPARK (IP SUN)</v>
      </c>
      <c r="Q546" s="254">
        <v>0.3</v>
      </c>
      <c r="R546" s="1228" t="str">
        <f t="shared" si="148"/>
        <v>290</v>
      </c>
      <c r="S546" s="2625">
        <f t="shared" si="136"/>
        <v>0</v>
      </c>
      <c r="T546" s="2747">
        <f>IF(L546&gt;0,IF(input!$B$2=$O$1,(((L546+Y546/22)+(L546+Y546/22)*$AG546+$X546)*$P$11+$M$7)/1000,(((L546+Y546/22)+(L546+Y546/22)*O546+(L546+Y546/22)*$AG546+$X546)*$P$11+$M$7)/1000),0)</f>
        <v>0</v>
      </c>
      <c r="U546" s="2747">
        <f t="shared" si="147"/>
        <v>0</v>
      </c>
      <c r="V546" s="1229"/>
      <c r="W546" s="1231" t="str">
        <f t="shared" si="137"/>
        <v>CNF</v>
      </c>
      <c r="X546" s="1230">
        <f t="shared" si="150"/>
        <v>0</v>
      </c>
      <c r="Y546" s="2625">
        <f t="shared" si="141"/>
        <v>0</v>
      </c>
      <c r="Z546" s="3208">
        <f t="shared" si="149"/>
        <v>838.18181818181813</v>
      </c>
      <c r="AA546" s="1220" t="s">
        <v>2820</v>
      </c>
      <c r="AB546" s="1220" t="s">
        <v>1396</v>
      </c>
      <c r="AC546" s="251" t="str">
        <f t="shared" si="142"/>
        <v>290gsm ARTBOARD STARSPARK (IP SUN)</v>
      </c>
      <c r="AD546" s="2746">
        <f>IF(L546&gt;0,IF(input!$B$2=$O$1,(((M546)+(M546)*$M$10)*$P$11)/1000,(((M546)+(M546)*O546+(M546)*$M$10)*$P$11)/1000),0)</f>
        <v>0</v>
      </c>
      <c r="AE546" s="2746">
        <f>IF(L546&gt;0,IF(input!$B$2=$O$1,(((N546)+(N546)*$M$10)*$P$11)/1000,(((N546)+(N546)*O546+(N546)*$M$10)*$P$11)/1000),0)</f>
        <v>0</v>
      </c>
      <c r="AF546" s="136" t="str">
        <f t="shared" si="143"/>
        <v>None</v>
      </c>
      <c r="AG546" s="2628">
        <f t="shared" si="144"/>
        <v>1.2E-2</v>
      </c>
      <c r="AH546" s="1266">
        <v>0.1</v>
      </c>
    </row>
    <row r="547" spans="1:34" ht="12.75">
      <c r="A547" s="2199">
        <f t="shared" si="146"/>
        <v>535</v>
      </c>
      <c r="B547" s="2200" t="s">
        <v>2610</v>
      </c>
      <c r="C547" s="2743">
        <v>0</v>
      </c>
      <c r="D547" s="2743">
        <v>0</v>
      </c>
      <c r="E547" s="2949">
        <v>0</v>
      </c>
      <c r="F547" s="2200">
        <v>10</v>
      </c>
      <c r="G547" s="2200" t="s">
        <v>127</v>
      </c>
      <c r="H547" s="2200" t="s">
        <v>1760</v>
      </c>
      <c r="I547" s="2742">
        <v>0</v>
      </c>
      <c r="J547" s="2742"/>
      <c r="K547" s="2752">
        <v>45</v>
      </c>
      <c r="L547" s="2745">
        <f t="shared" si="135"/>
        <v>0</v>
      </c>
      <c r="M547" s="2745">
        <f t="shared" si="138"/>
        <v>0</v>
      </c>
      <c r="N547" s="2745">
        <f t="shared" si="139"/>
        <v>10</v>
      </c>
      <c r="O547" s="1232">
        <f t="shared" si="140"/>
        <v>0</v>
      </c>
      <c r="P547" s="1227" t="str">
        <f t="shared" si="145"/>
        <v>300gsm ARTBOARD STARSPARK (IP SUN)</v>
      </c>
      <c r="Q547" s="254">
        <v>0.315</v>
      </c>
      <c r="R547" s="1228" t="str">
        <f t="shared" si="148"/>
        <v>300</v>
      </c>
      <c r="S547" s="2625">
        <f t="shared" si="136"/>
        <v>0</v>
      </c>
      <c r="T547" s="2747">
        <f>IF(L547&gt;0,IF(input!$B$2=$O$1,(((L547+Y547/22)+(L547+Y547/22)*$AG547+$X547)*$P$11+$M$7)/1000,(((L547+Y547/22)+(L547+Y547/22)*O547+(L547+Y547/22)*$AG547+$X547)*$P$11+$M$7)/1000),0)</f>
        <v>0</v>
      </c>
      <c r="U547" s="2747">
        <f t="shared" si="147"/>
        <v>0</v>
      </c>
      <c r="V547" s="1229"/>
      <c r="W547" s="1231" t="str">
        <f t="shared" si="137"/>
        <v>CNF</v>
      </c>
      <c r="X547" s="1230">
        <f t="shared" si="150"/>
        <v>0</v>
      </c>
      <c r="Y547" s="2625">
        <f t="shared" si="141"/>
        <v>0</v>
      </c>
      <c r="Z547" s="3208">
        <f t="shared" si="149"/>
        <v>838.18181818181813</v>
      </c>
      <c r="AA547" s="1220" t="s">
        <v>2820</v>
      </c>
      <c r="AB547" s="1220" t="s">
        <v>1396</v>
      </c>
      <c r="AC547" s="251" t="str">
        <f t="shared" si="142"/>
        <v>300gsm ARTBOARD STARSPARK (IP SUN)</v>
      </c>
      <c r="AD547" s="2746">
        <f>IF(L547&gt;0,IF(input!$B$2=$O$1,(((M547)+(M547)*$M$10)*$P$11)/1000,(((M547)+(M547)*O547+(M547)*$M$10)*$P$11)/1000),0)</f>
        <v>0</v>
      </c>
      <c r="AE547" s="2746">
        <f>IF(L547&gt;0,IF(input!$B$2=$O$1,(((N547)+(N547)*$M$10)*$P$11)/1000,(((N547)+(N547)*O547+(N547)*$M$10)*$P$11)/1000),0)</f>
        <v>0</v>
      </c>
      <c r="AF547" s="136" t="str">
        <f t="shared" si="143"/>
        <v>None</v>
      </c>
      <c r="AG547" s="2628">
        <f t="shared" si="144"/>
        <v>1.2E-2</v>
      </c>
      <c r="AH547" s="1266">
        <v>0.1</v>
      </c>
    </row>
    <row r="548" spans="1:34" ht="12.75">
      <c r="A548" s="2199">
        <f t="shared" si="146"/>
        <v>536</v>
      </c>
      <c r="B548" s="2200" t="s">
        <v>2611</v>
      </c>
      <c r="C548" s="2743">
        <v>0</v>
      </c>
      <c r="D548" s="2743">
        <v>0</v>
      </c>
      <c r="E548" s="2949">
        <v>0</v>
      </c>
      <c r="F548" s="2200">
        <v>10</v>
      </c>
      <c r="G548" s="2200" t="s">
        <v>127</v>
      </c>
      <c r="H548" s="2200" t="s">
        <v>1760</v>
      </c>
      <c r="I548" s="2742">
        <v>0</v>
      </c>
      <c r="J548" s="2742"/>
      <c r="K548" s="2752">
        <v>45</v>
      </c>
      <c r="L548" s="2745">
        <f t="shared" si="135"/>
        <v>0</v>
      </c>
      <c r="M548" s="2745">
        <f t="shared" si="138"/>
        <v>0</v>
      </c>
      <c r="N548" s="2745">
        <f t="shared" si="139"/>
        <v>10</v>
      </c>
      <c r="O548" s="1232">
        <f t="shared" si="140"/>
        <v>0</v>
      </c>
      <c r="P548" s="1227" t="str">
        <f t="shared" si="145"/>
        <v>320gsm ARTBOARD STARSPARK (IP SUN)</v>
      </c>
      <c r="Q548" s="254">
        <v>0.33500000000000002</v>
      </c>
      <c r="R548" s="1228" t="str">
        <f t="shared" si="148"/>
        <v>320</v>
      </c>
      <c r="S548" s="2625">
        <f t="shared" si="136"/>
        <v>0</v>
      </c>
      <c r="T548" s="2747">
        <f>IF(L548&gt;0,IF(input!$B$2=$O$1,(((L548+Y548/22)+(L548+Y548/22)*$AG548+$X548)*$P$11+$M$7)/1000,(((L548+Y548/22)+(L548+Y548/22)*O548+(L548+Y548/22)*$AG548+$X548)*$P$11+$M$7)/1000),0)</f>
        <v>0</v>
      </c>
      <c r="U548" s="2747">
        <f t="shared" si="147"/>
        <v>0</v>
      </c>
      <c r="V548" s="1229"/>
      <c r="W548" s="1231" t="str">
        <f t="shared" si="137"/>
        <v>CNF</v>
      </c>
      <c r="X548" s="1230">
        <f t="shared" si="150"/>
        <v>0</v>
      </c>
      <c r="Y548" s="2625">
        <f t="shared" si="141"/>
        <v>0</v>
      </c>
      <c r="Z548" s="3208">
        <f t="shared" si="149"/>
        <v>838.18181818181813</v>
      </c>
      <c r="AA548" s="1220" t="s">
        <v>2820</v>
      </c>
      <c r="AB548" s="1220" t="s">
        <v>1396</v>
      </c>
      <c r="AC548" s="251" t="str">
        <f t="shared" si="142"/>
        <v>320gsm ARTBOARD STARSPARK (IP SUN)</v>
      </c>
      <c r="AD548" s="2746">
        <f>IF(L548&gt;0,IF(input!$B$2=$O$1,(((M548)+(M548)*$M$10)*$P$11)/1000,(((M548)+(M548)*O548+(M548)*$M$10)*$P$11)/1000),0)</f>
        <v>0</v>
      </c>
      <c r="AE548" s="2746">
        <f>IF(L548&gt;0,IF(input!$B$2=$O$1,(((N548)+(N548)*$M$10)*$P$11)/1000,(((N548)+(N548)*O548+(N548)*$M$10)*$P$11)/1000),0)</f>
        <v>0</v>
      </c>
      <c r="AF548" s="136" t="str">
        <f t="shared" si="143"/>
        <v>None</v>
      </c>
      <c r="AG548" s="2628">
        <f t="shared" si="144"/>
        <v>1.2E-2</v>
      </c>
      <c r="AH548" s="1266">
        <v>0.1</v>
      </c>
    </row>
    <row r="549" spans="1:34" ht="12.75">
      <c r="A549" s="2199">
        <f t="shared" si="146"/>
        <v>537</v>
      </c>
      <c r="B549" s="2200" t="s">
        <v>2612</v>
      </c>
      <c r="C549" s="2743">
        <v>0</v>
      </c>
      <c r="D549" s="2743">
        <v>0</v>
      </c>
      <c r="E549" s="2949">
        <v>0</v>
      </c>
      <c r="F549" s="2200">
        <v>10</v>
      </c>
      <c r="G549" s="2200" t="s">
        <v>127</v>
      </c>
      <c r="H549" s="2200" t="s">
        <v>1760</v>
      </c>
      <c r="I549" s="2742">
        <v>0</v>
      </c>
      <c r="J549" s="2742"/>
      <c r="K549" s="2752">
        <v>45</v>
      </c>
      <c r="L549" s="2745">
        <f t="shared" si="135"/>
        <v>0</v>
      </c>
      <c r="M549" s="2745">
        <f t="shared" si="138"/>
        <v>0</v>
      </c>
      <c r="N549" s="2745">
        <f t="shared" si="139"/>
        <v>10</v>
      </c>
      <c r="O549" s="1232">
        <f t="shared" si="140"/>
        <v>0</v>
      </c>
      <c r="P549" s="1227" t="str">
        <f t="shared" si="145"/>
        <v>350gsm ARTBOARD STARSPARK (IP SUN)</v>
      </c>
      <c r="Q549" s="254">
        <v>0.36499999999999999</v>
      </c>
      <c r="R549" s="1228" t="str">
        <f t="shared" si="148"/>
        <v>350</v>
      </c>
      <c r="S549" s="2625">
        <f t="shared" si="136"/>
        <v>0</v>
      </c>
      <c r="T549" s="2747">
        <f>IF(L549&gt;0,IF(input!$B$2=$O$1,(((L549+Y549/22)+(L549+Y549/22)*$AG549+$X549)*$P$11+$M$7)/1000,(((L549+Y549/22)+(L549+Y549/22)*O549+(L549+Y549/22)*$AG549+$X549)*$P$11+$M$7)/1000),0)</f>
        <v>0</v>
      </c>
      <c r="U549" s="2747">
        <f t="shared" si="147"/>
        <v>0</v>
      </c>
      <c r="V549" s="1229"/>
      <c r="W549" s="1231" t="str">
        <f t="shared" si="137"/>
        <v>CNF</v>
      </c>
      <c r="X549" s="1230">
        <f t="shared" si="150"/>
        <v>0</v>
      </c>
      <c r="Y549" s="2625">
        <f t="shared" si="141"/>
        <v>0</v>
      </c>
      <c r="Z549" s="3208">
        <f t="shared" si="149"/>
        <v>838.18181818181813</v>
      </c>
      <c r="AA549" s="1220" t="s">
        <v>2820</v>
      </c>
      <c r="AB549" s="1220" t="s">
        <v>1396</v>
      </c>
      <c r="AC549" s="251" t="str">
        <f t="shared" si="142"/>
        <v>350gsm ARTBOARD STARSPARK (IP SUN)</v>
      </c>
      <c r="AD549" s="2746">
        <f>IF(L549&gt;0,IF(input!$B$2=$O$1,(((M549)+(M549)*$M$10)*$P$11)/1000,(((M549)+(M549)*O549+(M549)*$M$10)*$P$11)/1000),0)</f>
        <v>0</v>
      </c>
      <c r="AE549" s="2746">
        <f>IF(L549&gt;0,IF(input!$B$2=$O$1,(((N549)+(N549)*$M$10)*$P$11)/1000,(((N549)+(N549)*O549+(N549)*$M$10)*$P$11)/1000),0)</f>
        <v>0</v>
      </c>
      <c r="AF549" s="136" t="str">
        <f t="shared" si="143"/>
        <v>None</v>
      </c>
      <c r="AG549" s="2628">
        <f t="shared" si="144"/>
        <v>1.2E-2</v>
      </c>
      <c r="AH549" s="1266">
        <v>0.1</v>
      </c>
    </row>
    <row r="550" spans="1:34" ht="12.75">
      <c r="A550" s="2199">
        <f t="shared" si="146"/>
        <v>538</v>
      </c>
      <c r="B550" s="2200" t="s">
        <v>2613</v>
      </c>
      <c r="C550" s="2743">
        <v>0</v>
      </c>
      <c r="D550" s="2743">
        <v>0</v>
      </c>
      <c r="E550" s="2949">
        <v>0</v>
      </c>
      <c r="F550" s="2200">
        <v>10</v>
      </c>
      <c r="G550" s="2200" t="s">
        <v>127</v>
      </c>
      <c r="H550" s="2200" t="s">
        <v>1760</v>
      </c>
      <c r="I550" s="2742">
        <v>0</v>
      </c>
      <c r="J550" s="2742"/>
      <c r="K550" s="2752">
        <v>45</v>
      </c>
      <c r="L550" s="2745">
        <f t="shared" si="135"/>
        <v>0</v>
      </c>
      <c r="M550" s="2745">
        <f t="shared" si="138"/>
        <v>0</v>
      </c>
      <c r="N550" s="2745">
        <f t="shared" si="139"/>
        <v>10</v>
      </c>
      <c r="O550" s="1232">
        <f t="shared" si="140"/>
        <v>0</v>
      </c>
      <c r="P550" s="1227" t="str">
        <f t="shared" si="145"/>
        <v>400gsm ARTBOARD STARSPARK (IP SUN)</v>
      </c>
      <c r="Q550" s="254">
        <v>0.42</v>
      </c>
      <c r="R550" s="1228" t="str">
        <f t="shared" si="148"/>
        <v>400</v>
      </c>
      <c r="S550" s="2625">
        <f t="shared" si="136"/>
        <v>0</v>
      </c>
      <c r="T550" s="2747">
        <f>IF(L550&gt;0,IF(input!$B$2=$O$1,(((L550+Y550/22)+(L550+Y550/22)*$AG550+$X550)*$P$11+$M$7)/1000,(((L550+Y550/22)+(L550+Y550/22)*O550+(L550+Y550/22)*$AG550+$X550)*$P$11+$M$7)/1000),0)</f>
        <v>0</v>
      </c>
      <c r="U550" s="2747">
        <f t="shared" si="147"/>
        <v>0</v>
      </c>
      <c r="V550" s="1229"/>
      <c r="W550" s="1231" t="str">
        <f t="shared" si="137"/>
        <v>CNF</v>
      </c>
      <c r="X550" s="1230">
        <f t="shared" si="150"/>
        <v>0</v>
      </c>
      <c r="Y550" s="2625">
        <f t="shared" si="141"/>
        <v>0</v>
      </c>
      <c r="Z550" s="3208">
        <f t="shared" si="149"/>
        <v>838.18181818181813</v>
      </c>
      <c r="AA550" s="1220" t="s">
        <v>2820</v>
      </c>
      <c r="AB550" s="1220" t="s">
        <v>1396</v>
      </c>
      <c r="AC550" s="251" t="str">
        <f t="shared" si="142"/>
        <v>400gsm ARTBOARD STARSPARK (IP SUN)</v>
      </c>
      <c r="AD550" s="2746">
        <f>IF(L550&gt;0,IF(input!$B$2=$O$1,(((M550)+(M550)*$M$10)*$P$11)/1000,(((M550)+(M550)*O550+(M550)*$M$10)*$P$11)/1000),0)</f>
        <v>0</v>
      </c>
      <c r="AE550" s="2746">
        <f>IF(L550&gt;0,IF(input!$B$2=$O$1,(((N550)+(N550)*$M$10)*$P$11)/1000,(((N550)+(N550)*O550+(N550)*$M$10)*$P$11)/1000),0)</f>
        <v>0</v>
      </c>
      <c r="AF550" s="136" t="str">
        <f t="shared" si="143"/>
        <v>None</v>
      </c>
      <c r="AG550" s="2628">
        <f t="shared" si="144"/>
        <v>1.2E-2</v>
      </c>
      <c r="AH550" s="1266">
        <v>0.1</v>
      </c>
    </row>
    <row r="551" spans="1:34" ht="12.75">
      <c r="A551" s="2199">
        <f t="shared" si="146"/>
        <v>539</v>
      </c>
      <c r="B551" s="2200" t="s">
        <v>2614</v>
      </c>
      <c r="C551" s="2743">
        <v>0</v>
      </c>
      <c r="D551" s="2743">
        <v>0</v>
      </c>
      <c r="E551" s="2949">
        <v>0</v>
      </c>
      <c r="F551" s="2200">
        <v>10</v>
      </c>
      <c r="G551" s="2200" t="s">
        <v>2038</v>
      </c>
      <c r="H551" s="2200" t="s">
        <v>1760</v>
      </c>
      <c r="I551" s="2742">
        <v>0</v>
      </c>
      <c r="J551" s="2742"/>
      <c r="K551" s="2752">
        <v>45</v>
      </c>
      <c r="L551" s="2745">
        <f t="shared" si="135"/>
        <v>0</v>
      </c>
      <c r="M551" s="2745">
        <f t="shared" si="138"/>
        <v>0</v>
      </c>
      <c r="N551" s="2745">
        <f t="shared" si="139"/>
        <v>10</v>
      </c>
      <c r="O551" s="1232">
        <f t="shared" si="140"/>
        <v>0</v>
      </c>
      <c r="P551" s="1227" t="str">
        <f t="shared" si="145"/>
        <v>170gsm ARTBOARD STARBLANC (IP SUN)</v>
      </c>
      <c r="Q551" s="254">
        <v>0.17</v>
      </c>
      <c r="R551" s="1228" t="str">
        <f t="shared" si="148"/>
        <v>170</v>
      </c>
      <c r="S551" s="2625">
        <f t="shared" si="136"/>
        <v>0</v>
      </c>
      <c r="T551" s="2747">
        <f>IF(L551&gt;0,IF(input!$B$2=$O$1,(((L551+Y551/22)+(L551+Y551/22)*$AG551+$X551)*$P$11+$M$7)/1000,(((L551+Y551/22)+(L551+Y551/22)*O551+(L551+Y551/22)*$AG551+$X551)*$P$11+$M$7)/1000),0)</f>
        <v>0</v>
      </c>
      <c r="U551" s="2747">
        <f t="shared" si="147"/>
        <v>0</v>
      </c>
      <c r="V551" s="1229"/>
      <c r="W551" s="1231" t="str">
        <f t="shared" si="137"/>
        <v>CNF</v>
      </c>
      <c r="X551" s="1230">
        <f t="shared" si="150"/>
        <v>0</v>
      </c>
      <c r="Y551" s="2625">
        <f t="shared" si="141"/>
        <v>0</v>
      </c>
      <c r="Z551" s="3208">
        <f t="shared" si="149"/>
        <v>838.18181818181813</v>
      </c>
      <c r="AA551" s="1220" t="s">
        <v>2821</v>
      </c>
      <c r="AB551" s="1220" t="s">
        <v>1396</v>
      </c>
      <c r="AC551" s="251" t="str">
        <f t="shared" si="142"/>
        <v>170gsm ARTBOARD STARBLANC (IP SUN)</v>
      </c>
      <c r="AD551" s="2746">
        <f>IF(L551&gt;0,IF(input!$B$2=$O$1,(((M551)+(M551)*$M$10)*$P$11)/1000,(((M551)+(M551)*O551+(M551)*$M$10)*$P$11)/1000),0)</f>
        <v>0</v>
      </c>
      <c r="AE551" s="2746">
        <f>IF(L551&gt;0,IF(input!$B$2=$O$1,(((N551)+(N551)*$M$10)*$P$11)/1000,(((N551)+(N551)*O551+(N551)*$M$10)*$P$11)/1000),0)</f>
        <v>0</v>
      </c>
      <c r="AF551" s="136" t="str">
        <f t="shared" si="143"/>
        <v>FSC</v>
      </c>
      <c r="AG551" s="2628">
        <f t="shared" si="144"/>
        <v>1.2E-2</v>
      </c>
      <c r="AH551" s="1266">
        <v>0.1</v>
      </c>
    </row>
    <row r="552" spans="1:34" ht="12.75">
      <c r="A552" s="2199">
        <f t="shared" si="146"/>
        <v>540</v>
      </c>
      <c r="B552" s="2200" t="s">
        <v>2615</v>
      </c>
      <c r="C552" s="2743">
        <v>0</v>
      </c>
      <c r="D552" s="2743">
        <v>0</v>
      </c>
      <c r="E552" s="2949">
        <v>0</v>
      </c>
      <c r="F552" s="2200">
        <v>10</v>
      </c>
      <c r="G552" s="2200" t="s">
        <v>2038</v>
      </c>
      <c r="H552" s="2200" t="s">
        <v>1760</v>
      </c>
      <c r="I552" s="2742">
        <v>0</v>
      </c>
      <c r="J552" s="2742"/>
      <c r="K552" s="2752">
        <v>45</v>
      </c>
      <c r="L552" s="2745">
        <f t="shared" si="135"/>
        <v>0</v>
      </c>
      <c r="M552" s="2745">
        <f t="shared" si="138"/>
        <v>0</v>
      </c>
      <c r="N552" s="2745">
        <f t="shared" si="139"/>
        <v>10</v>
      </c>
      <c r="O552" s="1232">
        <f t="shared" si="140"/>
        <v>0</v>
      </c>
      <c r="P552" s="1227" t="str">
        <f t="shared" si="145"/>
        <v>180gsm ARTBOARD STARBLANC (IP SUN)</v>
      </c>
      <c r="Q552" s="254">
        <v>0.18</v>
      </c>
      <c r="R552" s="1228" t="str">
        <f t="shared" si="148"/>
        <v>180</v>
      </c>
      <c r="S552" s="2625">
        <f t="shared" si="136"/>
        <v>0</v>
      </c>
      <c r="T552" s="2747">
        <f>IF(L552&gt;0,IF(input!$B$2=$O$1,(((L552+Y552/22)+(L552+Y552/22)*$AG552+$X552)*$P$11+$M$7)/1000,(((L552+Y552/22)+(L552+Y552/22)*O552+(L552+Y552/22)*$AG552+$X552)*$P$11+$M$7)/1000),0)</f>
        <v>0</v>
      </c>
      <c r="U552" s="2747">
        <f t="shared" si="147"/>
        <v>0</v>
      </c>
      <c r="V552" s="1229"/>
      <c r="W552" s="1231" t="str">
        <f t="shared" si="137"/>
        <v>CNF</v>
      </c>
      <c r="X552" s="1230">
        <f t="shared" si="150"/>
        <v>0</v>
      </c>
      <c r="Y552" s="2625">
        <f t="shared" si="141"/>
        <v>0</v>
      </c>
      <c r="Z552" s="3208">
        <f t="shared" si="149"/>
        <v>838.18181818181813</v>
      </c>
      <c r="AA552" s="1220" t="s">
        <v>2821</v>
      </c>
      <c r="AB552" s="1220" t="s">
        <v>1396</v>
      </c>
      <c r="AC552" s="251" t="str">
        <f t="shared" si="142"/>
        <v>180gsm ARTBOARD STARBLANC (IP SUN)</v>
      </c>
      <c r="AD552" s="2746">
        <f>IF(L552&gt;0,IF(input!$B$2=$O$1,(((M552)+(M552)*$M$10)*$P$11)/1000,(((M552)+(M552)*O552+(M552)*$M$10)*$P$11)/1000),0)</f>
        <v>0</v>
      </c>
      <c r="AE552" s="2746">
        <f>IF(L552&gt;0,IF(input!$B$2=$O$1,(((N552)+(N552)*$M$10)*$P$11)/1000,(((N552)+(N552)*O552+(N552)*$M$10)*$P$11)/1000),0)</f>
        <v>0</v>
      </c>
      <c r="AF552" s="136" t="str">
        <f t="shared" si="143"/>
        <v>FSC</v>
      </c>
      <c r="AG552" s="2628">
        <f t="shared" si="144"/>
        <v>1.2E-2</v>
      </c>
      <c r="AH552" s="1266">
        <v>0.1</v>
      </c>
    </row>
    <row r="553" spans="1:34" ht="12.75">
      <c r="A553" s="2199">
        <f t="shared" si="146"/>
        <v>541</v>
      </c>
      <c r="B553" s="2200" t="s">
        <v>2616</v>
      </c>
      <c r="C553" s="2743">
        <v>0</v>
      </c>
      <c r="D553" s="2743">
        <v>0</v>
      </c>
      <c r="E553" s="2949">
        <v>0</v>
      </c>
      <c r="F553" s="2200">
        <v>10</v>
      </c>
      <c r="G553" s="2200" t="s">
        <v>2038</v>
      </c>
      <c r="H553" s="2200" t="s">
        <v>1760</v>
      </c>
      <c r="I553" s="2742">
        <v>0</v>
      </c>
      <c r="J553" s="2742"/>
      <c r="K553" s="2752">
        <v>45</v>
      </c>
      <c r="L553" s="2745">
        <f t="shared" si="135"/>
        <v>0</v>
      </c>
      <c r="M553" s="2745">
        <f t="shared" si="138"/>
        <v>0</v>
      </c>
      <c r="N553" s="2745">
        <f t="shared" si="139"/>
        <v>10</v>
      </c>
      <c r="O553" s="1232">
        <f t="shared" si="140"/>
        <v>0</v>
      </c>
      <c r="P553" s="1227" t="str">
        <f t="shared" si="145"/>
        <v>190gsm ARTBOARD STARBLANC (IP SUN)</v>
      </c>
      <c r="Q553" s="254">
        <v>0.19</v>
      </c>
      <c r="R553" s="1228" t="str">
        <f t="shared" si="148"/>
        <v>190</v>
      </c>
      <c r="S553" s="2625">
        <f t="shared" si="136"/>
        <v>0</v>
      </c>
      <c r="T553" s="2747">
        <f>IF(L553&gt;0,IF(input!$B$2=$O$1,(((L553+Y553/22)+(L553+Y553/22)*$AG553+$X553)*$P$11+$M$7)/1000,(((L553+Y553/22)+(L553+Y553/22)*O553+(L553+Y553/22)*$AG553+$X553)*$P$11+$M$7)/1000),0)</f>
        <v>0</v>
      </c>
      <c r="U553" s="2747">
        <f t="shared" si="147"/>
        <v>0</v>
      </c>
      <c r="V553" s="1229"/>
      <c r="W553" s="1231" t="str">
        <f t="shared" si="137"/>
        <v>CNF</v>
      </c>
      <c r="X553" s="1230">
        <f t="shared" si="150"/>
        <v>0</v>
      </c>
      <c r="Y553" s="2625">
        <f t="shared" si="141"/>
        <v>0</v>
      </c>
      <c r="Z553" s="3208">
        <f t="shared" si="149"/>
        <v>838.18181818181813</v>
      </c>
      <c r="AA553" s="1220" t="s">
        <v>2821</v>
      </c>
      <c r="AB553" s="1220" t="s">
        <v>1396</v>
      </c>
      <c r="AC553" s="251" t="str">
        <f t="shared" si="142"/>
        <v>190gsm ARTBOARD STARBLANC (IP SUN)</v>
      </c>
      <c r="AD553" s="2746">
        <f>IF(L553&gt;0,IF(input!$B$2=$O$1,(((M553)+(M553)*$M$10)*$P$11)/1000,(((M553)+(M553)*O553+(M553)*$M$10)*$P$11)/1000),0)</f>
        <v>0</v>
      </c>
      <c r="AE553" s="2746">
        <f>IF(L553&gt;0,IF(input!$B$2=$O$1,(((N553)+(N553)*$M$10)*$P$11)/1000,(((N553)+(N553)*O553+(N553)*$M$10)*$P$11)/1000),0)</f>
        <v>0</v>
      </c>
      <c r="AF553" s="136" t="str">
        <f t="shared" si="143"/>
        <v>FSC</v>
      </c>
      <c r="AG553" s="2628">
        <f t="shared" si="144"/>
        <v>1.2E-2</v>
      </c>
      <c r="AH553" s="1266">
        <v>0.1</v>
      </c>
    </row>
    <row r="554" spans="1:34" ht="12.75">
      <c r="A554" s="2199">
        <f t="shared" si="146"/>
        <v>542</v>
      </c>
      <c r="B554" s="2200" t="s">
        <v>2617</v>
      </c>
      <c r="C554" s="2743">
        <v>0</v>
      </c>
      <c r="D554" s="2743">
        <v>0</v>
      </c>
      <c r="E554" s="2949">
        <v>0</v>
      </c>
      <c r="F554" s="2200">
        <v>10</v>
      </c>
      <c r="G554" s="2200" t="s">
        <v>2038</v>
      </c>
      <c r="H554" s="2200" t="s">
        <v>1760</v>
      </c>
      <c r="I554" s="2742">
        <v>0</v>
      </c>
      <c r="J554" s="2742"/>
      <c r="K554" s="2752">
        <v>45</v>
      </c>
      <c r="L554" s="2745">
        <f t="shared" si="135"/>
        <v>0</v>
      </c>
      <c r="M554" s="2745">
        <f t="shared" si="138"/>
        <v>0</v>
      </c>
      <c r="N554" s="2745">
        <f t="shared" si="139"/>
        <v>10</v>
      </c>
      <c r="O554" s="1232">
        <f t="shared" si="140"/>
        <v>0</v>
      </c>
      <c r="P554" s="1227" t="str">
        <f t="shared" si="145"/>
        <v>200gsm ARTBOARD STARBLANC (IP SUN)</v>
      </c>
      <c r="Q554" s="254">
        <v>0.2</v>
      </c>
      <c r="R554" s="1228" t="str">
        <f t="shared" si="148"/>
        <v>200</v>
      </c>
      <c r="S554" s="2625">
        <f t="shared" si="136"/>
        <v>0</v>
      </c>
      <c r="T554" s="2747">
        <f>IF(L554&gt;0,IF(input!$B$2=$O$1,(((L554+Y554/22)+(L554+Y554/22)*$AG554+$X554)*$P$11+$M$7)/1000,(((L554+Y554/22)+(L554+Y554/22)*O554+(L554+Y554/22)*$AG554+$X554)*$P$11+$M$7)/1000),0)</f>
        <v>0</v>
      </c>
      <c r="U554" s="2747">
        <f t="shared" si="147"/>
        <v>0</v>
      </c>
      <c r="V554" s="1229"/>
      <c r="W554" s="1231" t="str">
        <f t="shared" si="137"/>
        <v>CNF</v>
      </c>
      <c r="X554" s="1230">
        <f t="shared" si="150"/>
        <v>0</v>
      </c>
      <c r="Y554" s="2625">
        <f t="shared" si="141"/>
        <v>0</v>
      </c>
      <c r="Z554" s="3208">
        <f t="shared" si="149"/>
        <v>838.18181818181813</v>
      </c>
      <c r="AA554" s="1220" t="s">
        <v>2821</v>
      </c>
      <c r="AB554" s="1220" t="s">
        <v>1396</v>
      </c>
      <c r="AC554" s="251" t="str">
        <f t="shared" si="142"/>
        <v>200gsm ARTBOARD STARBLANC (IP SUN)</v>
      </c>
      <c r="AD554" s="2746">
        <f>IF(L554&gt;0,IF(input!$B$2=$O$1,(((M554)+(M554)*$M$10)*$P$11)/1000,(((M554)+(M554)*O554+(M554)*$M$10)*$P$11)/1000),0)</f>
        <v>0</v>
      </c>
      <c r="AE554" s="2746">
        <f>IF(L554&gt;0,IF(input!$B$2=$O$1,(((N554)+(N554)*$M$10)*$P$11)/1000,(((N554)+(N554)*O554+(N554)*$M$10)*$P$11)/1000),0)</f>
        <v>0</v>
      </c>
      <c r="AF554" s="136" t="str">
        <f t="shared" si="143"/>
        <v>FSC</v>
      </c>
      <c r="AG554" s="2628">
        <f t="shared" si="144"/>
        <v>1.2E-2</v>
      </c>
      <c r="AH554" s="1266">
        <v>0.1</v>
      </c>
    </row>
    <row r="555" spans="1:34" ht="12.75">
      <c r="A555" s="2199">
        <f t="shared" si="146"/>
        <v>543</v>
      </c>
      <c r="B555" s="2200" t="s">
        <v>2618</v>
      </c>
      <c r="C555" s="2743">
        <v>0</v>
      </c>
      <c r="D555" s="2743">
        <v>0</v>
      </c>
      <c r="E555" s="2949">
        <v>0</v>
      </c>
      <c r="F555" s="2200">
        <v>10</v>
      </c>
      <c r="G555" s="2200" t="s">
        <v>2038</v>
      </c>
      <c r="H555" s="2200" t="s">
        <v>1760</v>
      </c>
      <c r="I555" s="2742">
        <v>0</v>
      </c>
      <c r="J555" s="2742"/>
      <c r="K555" s="2752">
        <v>45</v>
      </c>
      <c r="L555" s="2745">
        <f t="shared" si="135"/>
        <v>0</v>
      </c>
      <c r="M555" s="2745">
        <f t="shared" si="138"/>
        <v>0</v>
      </c>
      <c r="N555" s="2745">
        <f t="shared" si="139"/>
        <v>10</v>
      </c>
      <c r="O555" s="1232">
        <f t="shared" si="140"/>
        <v>0</v>
      </c>
      <c r="P555" s="1227" t="str">
        <f t="shared" si="145"/>
        <v>210gsm ARTBOARD STARBLANC (IP SUN)</v>
      </c>
      <c r="Q555" s="254">
        <v>0.21</v>
      </c>
      <c r="R555" s="1228" t="str">
        <f t="shared" si="148"/>
        <v>210</v>
      </c>
      <c r="S555" s="2625">
        <f t="shared" si="136"/>
        <v>0</v>
      </c>
      <c r="T555" s="2747">
        <f>IF(L555&gt;0,IF(input!$B$2=$O$1,(((L555+Y555/22)+(L555+Y555/22)*$AG555+$X555)*$P$11+$M$7)/1000,(((L555+Y555/22)+(L555+Y555/22)*O555+(L555+Y555/22)*$AG555+$X555)*$P$11+$M$7)/1000),0)</f>
        <v>0</v>
      </c>
      <c r="U555" s="2747">
        <f t="shared" si="147"/>
        <v>0</v>
      </c>
      <c r="V555" s="1229"/>
      <c r="W555" s="1231" t="str">
        <f t="shared" si="137"/>
        <v>CNF</v>
      </c>
      <c r="X555" s="1230">
        <f t="shared" si="150"/>
        <v>0</v>
      </c>
      <c r="Y555" s="2625">
        <f t="shared" si="141"/>
        <v>0</v>
      </c>
      <c r="Z555" s="3208">
        <f t="shared" si="149"/>
        <v>838.18181818181813</v>
      </c>
      <c r="AA555" s="1220" t="s">
        <v>2821</v>
      </c>
      <c r="AB555" s="1220" t="s">
        <v>1396</v>
      </c>
      <c r="AC555" s="251" t="str">
        <f t="shared" si="142"/>
        <v>210gsm ARTBOARD STARBLANC (IP SUN)</v>
      </c>
      <c r="AD555" s="2746">
        <f>IF(L555&gt;0,IF(input!$B$2=$O$1,(((M555)+(M555)*$M$10)*$P$11)/1000,(((M555)+(M555)*O555+(M555)*$M$10)*$P$11)/1000),0)</f>
        <v>0</v>
      </c>
      <c r="AE555" s="2746">
        <f>IF(L555&gt;0,IF(input!$B$2=$O$1,(((N555)+(N555)*$M$10)*$P$11)/1000,(((N555)+(N555)*O555+(N555)*$M$10)*$P$11)/1000),0)</f>
        <v>0</v>
      </c>
      <c r="AF555" s="136" t="str">
        <f t="shared" si="143"/>
        <v>FSC</v>
      </c>
      <c r="AG555" s="2628">
        <f t="shared" si="144"/>
        <v>1.2E-2</v>
      </c>
      <c r="AH555" s="1266">
        <v>0.1</v>
      </c>
    </row>
    <row r="556" spans="1:34" ht="12.75">
      <c r="A556" s="2199">
        <f t="shared" si="146"/>
        <v>544</v>
      </c>
      <c r="B556" s="2200" t="s">
        <v>2619</v>
      </c>
      <c r="C556" s="2743">
        <v>0</v>
      </c>
      <c r="D556" s="2743">
        <v>0</v>
      </c>
      <c r="E556" s="2949">
        <v>0</v>
      </c>
      <c r="F556" s="2200">
        <v>10</v>
      </c>
      <c r="G556" s="2200" t="s">
        <v>2038</v>
      </c>
      <c r="H556" s="2200" t="s">
        <v>1760</v>
      </c>
      <c r="I556" s="2742">
        <v>0</v>
      </c>
      <c r="J556" s="2742"/>
      <c r="K556" s="2752">
        <v>45</v>
      </c>
      <c r="L556" s="2745">
        <f t="shared" si="135"/>
        <v>0</v>
      </c>
      <c r="M556" s="2745">
        <f t="shared" si="138"/>
        <v>0</v>
      </c>
      <c r="N556" s="2745">
        <f t="shared" si="139"/>
        <v>10</v>
      </c>
      <c r="O556" s="1232">
        <f t="shared" si="140"/>
        <v>0</v>
      </c>
      <c r="P556" s="1227" t="str">
        <f t="shared" si="145"/>
        <v>220gsm ARTBOARD STARBLANC (IP SUN)</v>
      </c>
      <c r="Q556" s="254">
        <v>0.22500000000000001</v>
      </c>
      <c r="R556" s="1228" t="str">
        <f t="shared" si="148"/>
        <v>220</v>
      </c>
      <c r="S556" s="2625">
        <f t="shared" si="136"/>
        <v>0</v>
      </c>
      <c r="T556" s="2747">
        <f>IF(L556&gt;0,IF(input!$B$2=$O$1,(((L556+Y556/22)+(L556+Y556/22)*$AG556+$X556)*$P$11+$M$7)/1000,(((L556+Y556/22)+(L556+Y556/22)*O556+(L556+Y556/22)*$AG556+$X556)*$P$11+$M$7)/1000),0)</f>
        <v>0</v>
      </c>
      <c r="U556" s="2747">
        <f t="shared" si="147"/>
        <v>0</v>
      </c>
      <c r="V556" s="1229"/>
      <c r="W556" s="1231" t="str">
        <f t="shared" si="137"/>
        <v>CNF</v>
      </c>
      <c r="X556" s="1230">
        <f t="shared" si="150"/>
        <v>0</v>
      </c>
      <c r="Y556" s="2625">
        <f t="shared" si="141"/>
        <v>0</v>
      </c>
      <c r="Z556" s="3208">
        <f t="shared" si="149"/>
        <v>838.18181818181813</v>
      </c>
      <c r="AA556" s="1220" t="s">
        <v>2821</v>
      </c>
      <c r="AB556" s="1220" t="s">
        <v>1396</v>
      </c>
      <c r="AC556" s="251" t="str">
        <f t="shared" si="142"/>
        <v>220gsm ARTBOARD STARBLANC (IP SUN)</v>
      </c>
      <c r="AD556" s="2746">
        <f>IF(L556&gt;0,IF(input!$B$2=$O$1,(((M556)+(M556)*$M$10)*$P$11)/1000,(((M556)+(M556)*O556+(M556)*$M$10)*$P$11)/1000),0)</f>
        <v>0</v>
      </c>
      <c r="AE556" s="2746">
        <f>IF(L556&gt;0,IF(input!$B$2=$O$1,(((N556)+(N556)*$M$10)*$P$11)/1000,(((N556)+(N556)*O556+(N556)*$M$10)*$P$11)/1000),0)</f>
        <v>0</v>
      </c>
      <c r="AF556" s="136" t="str">
        <f t="shared" si="143"/>
        <v>FSC</v>
      </c>
      <c r="AG556" s="2628">
        <f t="shared" si="144"/>
        <v>1.2E-2</v>
      </c>
      <c r="AH556" s="1266">
        <v>0.1</v>
      </c>
    </row>
    <row r="557" spans="1:34" ht="12.75">
      <c r="A557" s="2199">
        <f t="shared" si="146"/>
        <v>545</v>
      </c>
      <c r="B557" s="2200" t="s">
        <v>2620</v>
      </c>
      <c r="C557" s="2743">
        <v>0</v>
      </c>
      <c r="D557" s="2743">
        <v>0</v>
      </c>
      <c r="E557" s="2949">
        <v>0</v>
      </c>
      <c r="F557" s="2200">
        <v>10</v>
      </c>
      <c r="G557" s="2200" t="s">
        <v>2038</v>
      </c>
      <c r="H557" s="2200" t="s">
        <v>1760</v>
      </c>
      <c r="I557" s="2742">
        <v>0</v>
      </c>
      <c r="J557" s="2742"/>
      <c r="K557" s="2752">
        <v>45</v>
      </c>
      <c r="L557" s="2745">
        <f t="shared" si="135"/>
        <v>0</v>
      </c>
      <c r="M557" s="2745">
        <f t="shared" si="138"/>
        <v>0</v>
      </c>
      <c r="N557" s="2745">
        <f t="shared" si="139"/>
        <v>10</v>
      </c>
      <c r="O557" s="1232">
        <f t="shared" si="140"/>
        <v>0</v>
      </c>
      <c r="P557" s="1227" t="str">
        <f t="shared" si="145"/>
        <v>230gsm ARTBOARD STARBLANC (IP SUN)</v>
      </c>
      <c r="Q557" s="254">
        <v>0.24</v>
      </c>
      <c r="R557" s="1228" t="str">
        <f t="shared" si="148"/>
        <v>230</v>
      </c>
      <c r="S557" s="2625">
        <f t="shared" si="136"/>
        <v>0</v>
      </c>
      <c r="T557" s="2747">
        <f>IF(L557&gt;0,IF(input!$B$2=$O$1,(((L557+Y557/22)+(L557+Y557/22)*$AG557+$X557)*$P$11+$M$7)/1000,(((L557+Y557/22)+(L557+Y557/22)*O557+(L557+Y557/22)*$AG557+$X557)*$P$11+$M$7)/1000),0)</f>
        <v>0</v>
      </c>
      <c r="U557" s="2747">
        <f t="shared" si="147"/>
        <v>0</v>
      </c>
      <c r="V557" s="1229"/>
      <c r="W557" s="1231" t="str">
        <f t="shared" si="137"/>
        <v>CNF</v>
      </c>
      <c r="X557" s="1230">
        <f t="shared" si="150"/>
        <v>0</v>
      </c>
      <c r="Y557" s="2625">
        <f t="shared" si="141"/>
        <v>0</v>
      </c>
      <c r="Z557" s="3208">
        <f t="shared" si="149"/>
        <v>838.18181818181813</v>
      </c>
      <c r="AA557" s="1220" t="s">
        <v>2821</v>
      </c>
      <c r="AB557" s="1220" t="s">
        <v>1396</v>
      </c>
      <c r="AC557" s="251" t="str">
        <f t="shared" si="142"/>
        <v>230gsm ARTBOARD STARBLANC (IP SUN)</v>
      </c>
      <c r="AD557" s="2746">
        <f>IF(L557&gt;0,IF(input!$B$2=$O$1,(((M557)+(M557)*$M$10)*$P$11)/1000,(((M557)+(M557)*O557+(M557)*$M$10)*$P$11)/1000),0)</f>
        <v>0</v>
      </c>
      <c r="AE557" s="2746">
        <f>IF(L557&gt;0,IF(input!$B$2=$O$1,(((N557)+(N557)*$M$10)*$P$11)/1000,(((N557)+(N557)*O557+(N557)*$M$10)*$P$11)/1000),0)</f>
        <v>0</v>
      </c>
      <c r="AF557" s="136" t="str">
        <f t="shared" si="143"/>
        <v>FSC</v>
      </c>
      <c r="AG557" s="2628">
        <f t="shared" si="144"/>
        <v>1.2E-2</v>
      </c>
      <c r="AH557" s="1266">
        <v>0.1</v>
      </c>
    </row>
    <row r="558" spans="1:34" ht="12.75">
      <c r="A558" s="2199">
        <f t="shared" si="146"/>
        <v>546</v>
      </c>
      <c r="B558" s="2200" t="s">
        <v>2621</v>
      </c>
      <c r="C558" s="2743">
        <v>0</v>
      </c>
      <c r="D558" s="2743">
        <v>0</v>
      </c>
      <c r="E558" s="2949">
        <v>0</v>
      </c>
      <c r="F558" s="2200">
        <v>10</v>
      </c>
      <c r="G558" s="2200" t="s">
        <v>2038</v>
      </c>
      <c r="H558" s="2200" t="s">
        <v>1760</v>
      </c>
      <c r="I558" s="2742">
        <v>0</v>
      </c>
      <c r="J558" s="2742"/>
      <c r="K558" s="2752">
        <v>45</v>
      </c>
      <c r="L558" s="2745">
        <f t="shared" si="135"/>
        <v>0</v>
      </c>
      <c r="M558" s="2745">
        <f t="shared" si="138"/>
        <v>0</v>
      </c>
      <c r="N558" s="2745">
        <f t="shared" si="139"/>
        <v>10</v>
      </c>
      <c r="O558" s="1232">
        <f t="shared" si="140"/>
        <v>0</v>
      </c>
      <c r="P558" s="1227" t="str">
        <f t="shared" si="145"/>
        <v>240gsm ARTBOARD STARBLANC (IP SUN)</v>
      </c>
      <c r="Q558" s="254">
        <v>0.25</v>
      </c>
      <c r="R558" s="1228" t="str">
        <f t="shared" si="148"/>
        <v>240</v>
      </c>
      <c r="S558" s="2625">
        <f t="shared" si="136"/>
        <v>0</v>
      </c>
      <c r="T558" s="2747">
        <f>IF(L558&gt;0,IF(input!$B$2=$O$1,(((L558+Y558/22)+(L558+Y558/22)*$AG558+$X558)*$P$11+$M$7)/1000,(((L558+Y558/22)+(L558+Y558/22)*O558+(L558+Y558/22)*$AG558+$X558)*$P$11+$M$7)/1000),0)</f>
        <v>0</v>
      </c>
      <c r="U558" s="2747">
        <f t="shared" si="147"/>
        <v>0</v>
      </c>
      <c r="V558" s="1229"/>
      <c r="W558" s="1231" t="str">
        <f t="shared" si="137"/>
        <v>CNF</v>
      </c>
      <c r="X558" s="1230">
        <f t="shared" si="150"/>
        <v>0</v>
      </c>
      <c r="Y558" s="2625">
        <f t="shared" si="141"/>
        <v>0</v>
      </c>
      <c r="Z558" s="3208">
        <f t="shared" si="149"/>
        <v>838.18181818181813</v>
      </c>
      <c r="AA558" s="1220" t="s">
        <v>2821</v>
      </c>
      <c r="AB558" s="1220" t="s">
        <v>1396</v>
      </c>
      <c r="AC558" s="251" t="str">
        <f t="shared" si="142"/>
        <v>240gsm ARTBOARD STARBLANC (IP SUN)</v>
      </c>
      <c r="AD558" s="2746">
        <f>IF(L558&gt;0,IF(input!$B$2=$O$1,(((M558)+(M558)*$M$10)*$P$11)/1000,(((M558)+(M558)*O558+(M558)*$M$10)*$P$11)/1000),0)</f>
        <v>0</v>
      </c>
      <c r="AE558" s="2746">
        <f>IF(L558&gt;0,IF(input!$B$2=$O$1,(((N558)+(N558)*$M$10)*$P$11)/1000,(((N558)+(N558)*O558+(N558)*$M$10)*$P$11)/1000),0)</f>
        <v>0</v>
      </c>
      <c r="AF558" s="136" t="str">
        <f t="shared" si="143"/>
        <v>FSC</v>
      </c>
      <c r="AG558" s="2628">
        <f t="shared" si="144"/>
        <v>1.2E-2</v>
      </c>
      <c r="AH558" s="1266">
        <v>0.1</v>
      </c>
    </row>
    <row r="559" spans="1:34" ht="12.75">
      <c r="A559" s="2199">
        <f t="shared" si="146"/>
        <v>547</v>
      </c>
      <c r="B559" s="2200" t="s">
        <v>2622</v>
      </c>
      <c r="C559" s="2743">
        <v>0</v>
      </c>
      <c r="D559" s="2743">
        <v>0</v>
      </c>
      <c r="E559" s="2949">
        <v>0</v>
      </c>
      <c r="F559" s="2200">
        <v>10</v>
      </c>
      <c r="G559" s="2200" t="s">
        <v>2038</v>
      </c>
      <c r="H559" s="2200" t="s">
        <v>1760</v>
      </c>
      <c r="I559" s="2742">
        <v>0</v>
      </c>
      <c r="J559" s="2742"/>
      <c r="K559" s="2752">
        <v>45</v>
      </c>
      <c r="L559" s="2745">
        <f t="shared" si="135"/>
        <v>0</v>
      </c>
      <c r="M559" s="2745">
        <f t="shared" si="138"/>
        <v>0</v>
      </c>
      <c r="N559" s="2745">
        <f t="shared" si="139"/>
        <v>10</v>
      </c>
      <c r="O559" s="1232">
        <f t="shared" si="140"/>
        <v>0</v>
      </c>
      <c r="P559" s="1227" t="str">
        <f t="shared" si="145"/>
        <v>250gsm ARTBOARD STARBLANC (IP SUN)</v>
      </c>
      <c r="Q559" s="254">
        <v>0.26</v>
      </c>
      <c r="R559" s="1228" t="str">
        <f t="shared" si="148"/>
        <v>250</v>
      </c>
      <c r="S559" s="2625">
        <f t="shared" si="136"/>
        <v>0</v>
      </c>
      <c r="T559" s="2747">
        <f>IF(L559&gt;0,IF(input!$B$2=$O$1,(((L559+Y559/22)+(L559+Y559/22)*$AG559+$X559)*$P$11+$M$7)/1000,(((L559+Y559/22)+(L559+Y559/22)*O559+(L559+Y559/22)*$AG559+$X559)*$P$11+$M$7)/1000),0)</f>
        <v>0</v>
      </c>
      <c r="U559" s="2747">
        <f t="shared" si="147"/>
        <v>0</v>
      </c>
      <c r="V559" s="1229"/>
      <c r="W559" s="1231" t="str">
        <f t="shared" si="137"/>
        <v>CNF</v>
      </c>
      <c r="X559" s="1230">
        <f t="shared" si="150"/>
        <v>0</v>
      </c>
      <c r="Y559" s="2625">
        <f t="shared" si="141"/>
        <v>0</v>
      </c>
      <c r="Z559" s="3208">
        <f t="shared" si="149"/>
        <v>838.18181818181813</v>
      </c>
      <c r="AA559" s="1220" t="s">
        <v>2821</v>
      </c>
      <c r="AB559" s="1220" t="s">
        <v>1396</v>
      </c>
      <c r="AC559" s="251" t="str">
        <f t="shared" si="142"/>
        <v>250gsm ARTBOARD STARBLANC (IP SUN)</v>
      </c>
      <c r="AD559" s="2746">
        <f>IF(L559&gt;0,IF(input!$B$2=$O$1,(((M559)+(M559)*$M$10)*$P$11)/1000,(((M559)+(M559)*O559+(M559)*$M$10)*$P$11)/1000),0)</f>
        <v>0</v>
      </c>
      <c r="AE559" s="2746">
        <f>IF(L559&gt;0,IF(input!$B$2=$O$1,(((N559)+(N559)*$M$10)*$P$11)/1000,(((N559)+(N559)*O559+(N559)*$M$10)*$P$11)/1000),0)</f>
        <v>0</v>
      </c>
      <c r="AF559" s="136" t="str">
        <f t="shared" si="143"/>
        <v>FSC</v>
      </c>
      <c r="AG559" s="2628">
        <f t="shared" si="144"/>
        <v>1.2E-2</v>
      </c>
      <c r="AH559" s="1266">
        <v>0.1</v>
      </c>
    </row>
    <row r="560" spans="1:34" ht="12.75">
      <c r="A560" s="2199">
        <f t="shared" si="146"/>
        <v>548</v>
      </c>
      <c r="B560" s="2200" t="s">
        <v>2623</v>
      </c>
      <c r="C560" s="2743">
        <v>0</v>
      </c>
      <c r="D560" s="2743">
        <v>0</v>
      </c>
      <c r="E560" s="2949">
        <v>0</v>
      </c>
      <c r="F560" s="2200">
        <v>10</v>
      </c>
      <c r="G560" s="2200" t="s">
        <v>2038</v>
      </c>
      <c r="H560" s="2200" t="s">
        <v>1760</v>
      </c>
      <c r="I560" s="2742">
        <v>0</v>
      </c>
      <c r="J560" s="2742"/>
      <c r="K560" s="2752">
        <v>45</v>
      </c>
      <c r="L560" s="2745">
        <f t="shared" si="135"/>
        <v>0</v>
      </c>
      <c r="M560" s="2745">
        <f t="shared" si="138"/>
        <v>0</v>
      </c>
      <c r="N560" s="2745">
        <f t="shared" si="139"/>
        <v>10</v>
      </c>
      <c r="O560" s="1232">
        <f t="shared" si="140"/>
        <v>0</v>
      </c>
      <c r="P560" s="1227" t="str">
        <f t="shared" si="145"/>
        <v>260gsm ARTBOARD STARBLANC (IP SUN)</v>
      </c>
      <c r="Q560" s="254">
        <v>0.27</v>
      </c>
      <c r="R560" s="1228" t="str">
        <f t="shared" si="148"/>
        <v>260</v>
      </c>
      <c r="S560" s="2625">
        <f t="shared" si="136"/>
        <v>0</v>
      </c>
      <c r="T560" s="2747">
        <f>IF(L560&gt;0,IF(input!$B$2=$O$1,(((L560+Y560/22)+(L560+Y560/22)*$AG560+$X560)*$P$11+$M$7)/1000,(((L560+Y560/22)+(L560+Y560/22)*O560+(L560+Y560/22)*$AG560+$X560)*$P$11+$M$7)/1000),0)</f>
        <v>0</v>
      </c>
      <c r="U560" s="2747">
        <f t="shared" si="147"/>
        <v>0</v>
      </c>
      <c r="V560" s="1229"/>
      <c r="W560" s="1231" t="str">
        <f t="shared" si="137"/>
        <v>CNF</v>
      </c>
      <c r="X560" s="1230">
        <f t="shared" si="150"/>
        <v>0</v>
      </c>
      <c r="Y560" s="2625">
        <f t="shared" si="141"/>
        <v>0</v>
      </c>
      <c r="Z560" s="3208">
        <f t="shared" si="149"/>
        <v>838.18181818181813</v>
      </c>
      <c r="AA560" s="1220" t="s">
        <v>2821</v>
      </c>
      <c r="AB560" s="1220" t="s">
        <v>1396</v>
      </c>
      <c r="AC560" s="251" t="str">
        <f t="shared" si="142"/>
        <v>260gsm ARTBOARD STARBLANC (IP SUN)</v>
      </c>
      <c r="AD560" s="2746">
        <f>IF(L560&gt;0,IF(input!$B$2=$O$1,(((M560)+(M560)*$M$10)*$P$11)/1000,(((M560)+(M560)*O560+(M560)*$M$10)*$P$11)/1000),0)</f>
        <v>0</v>
      </c>
      <c r="AE560" s="2746">
        <f>IF(L560&gt;0,IF(input!$B$2=$O$1,(((N560)+(N560)*$M$10)*$P$11)/1000,(((N560)+(N560)*O560+(N560)*$M$10)*$P$11)/1000),0)</f>
        <v>0</v>
      </c>
      <c r="AF560" s="136" t="str">
        <f t="shared" si="143"/>
        <v>FSC</v>
      </c>
      <c r="AG560" s="2628">
        <f t="shared" si="144"/>
        <v>1.2E-2</v>
      </c>
      <c r="AH560" s="1266">
        <v>0.1</v>
      </c>
    </row>
    <row r="561" spans="1:34" ht="12.75">
      <c r="A561" s="2199">
        <f t="shared" si="146"/>
        <v>549</v>
      </c>
      <c r="B561" s="2200" t="s">
        <v>2624</v>
      </c>
      <c r="C561" s="2743">
        <v>0</v>
      </c>
      <c r="D561" s="2743">
        <v>0</v>
      </c>
      <c r="E561" s="2949">
        <v>0</v>
      </c>
      <c r="F561" s="2200">
        <v>10</v>
      </c>
      <c r="G561" s="2200" t="s">
        <v>2038</v>
      </c>
      <c r="H561" s="2200" t="s">
        <v>1760</v>
      </c>
      <c r="I561" s="2742">
        <v>0</v>
      </c>
      <c r="J561" s="2742"/>
      <c r="K561" s="2752">
        <v>45</v>
      </c>
      <c r="L561" s="2745">
        <f t="shared" si="135"/>
        <v>0</v>
      </c>
      <c r="M561" s="2745">
        <f t="shared" si="138"/>
        <v>0</v>
      </c>
      <c r="N561" s="2745">
        <f t="shared" si="139"/>
        <v>10</v>
      </c>
      <c r="O561" s="1232">
        <f t="shared" si="140"/>
        <v>0</v>
      </c>
      <c r="P561" s="1227" t="str">
        <f t="shared" si="145"/>
        <v>270gsm ARTBOARD STARBLANC (IP SUN)</v>
      </c>
      <c r="Q561" s="254">
        <v>0.28000000000000003</v>
      </c>
      <c r="R561" s="1228" t="str">
        <f t="shared" si="148"/>
        <v>270</v>
      </c>
      <c r="S561" s="2625">
        <f t="shared" si="136"/>
        <v>0</v>
      </c>
      <c r="T561" s="2747">
        <f>IF(L561&gt;0,IF(input!$B$2=$O$1,(((L561+Y561/22)+(L561+Y561/22)*$AG561+$X561)*$P$11+$M$7)/1000,(((L561+Y561/22)+(L561+Y561/22)*O561+(L561+Y561/22)*$AG561+$X561)*$P$11+$M$7)/1000),0)</f>
        <v>0</v>
      </c>
      <c r="U561" s="2747">
        <f t="shared" si="147"/>
        <v>0</v>
      </c>
      <c r="V561" s="1229"/>
      <c r="W561" s="1231" t="str">
        <f t="shared" si="137"/>
        <v>CNF</v>
      </c>
      <c r="X561" s="1230">
        <f t="shared" si="150"/>
        <v>0</v>
      </c>
      <c r="Y561" s="2625">
        <f t="shared" si="141"/>
        <v>0</v>
      </c>
      <c r="Z561" s="3208">
        <f t="shared" si="149"/>
        <v>838.18181818181813</v>
      </c>
      <c r="AA561" s="1220" t="s">
        <v>2821</v>
      </c>
      <c r="AB561" s="1220" t="s">
        <v>1396</v>
      </c>
      <c r="AC561" s="251" t="str">
        <f t="shared" si="142"/>
        <v>270gsm ARTBOARD STARBLANC (IP SUN)</v>
      </c>
      <c r="AD561" s="2746">
        <f>IF(L561&gt;0,IF(input!$B$2=$O$1,(((M561)+(M561)*$M$10)*$P$11)/1000,(((M561)+(M561)*O561+(M561)*$M$10)*$P$11)/1000),0)</f>
        <v>0</v>
      </c>
      <c r="AE561" s="2746">
        <f>IF(L561&gt;0,IF(input!$B$2=$O$1,(((N561)+(N561)*$M$10)*$P$11)/1000,(((N561)+(N561)*O561+(N561)*$M$10)*$P$11)/1000),0)</f>
        <v>0</v>
      </c>
      <c r="AF561" s="136" t="str">
        <f t="shared" si="143"/>
        <v>FSC</v>
      </c>
      <c r="AG561" s="2628">
        <f t="shared" si="144"/>
        <v>1.2E-2</v>
      </c>
      <c r="AH561" s="1266">
        <v>0.1</v>
      </c>
    </row>
    <row r="562" spans="1:34" ht="12.75">
      <c r="A562" s="2199">
        <f t="shared" si="146"/>
        <v>550</v>
      </c>
      <c r="B562" s="2200" t="s">
        <v>2625</v>
      </c>
      <c r="C562" s="2743">
        <v>0</v>
      </c>
      <c r="D562" s="2743">
        <v>0</v>
      </c>
      <c r="E562" s="2949">
        <v>0</v>
      </c>
      <c r="F562" s="2200">
        <v>10</v>
      </c>
      <c r="G562" s="2200" t="s">
        <v>2038</v>
      </c>
      <c r="H562" s="2200" t="s">
        <v>1760</v>
      </c>
      <c r="I562" s="2742">
        <v>0</v>
      </c>
      <c r="J562" s="2742"/>
      <c r="K562" s="2752">
        <v>45</v>
      </c>
      <c r="L562" s="2745">
        <f t="shared" si="135"/>
        <v>0</v>
      </c>
      <c r="M562" s="2745">
        <f t="shared" si="138"/>
        <v>0</v>
      </c>
      <c r="N562" s="2745">
        <f t="shared" si="139"/>
        <v>10</v>
      </c>
      <c r="O562" s="1232">
        <f t="shared" si="140"/>
        <v>0</v>
      </c>
      <c r="P562" s="1227" t="str">
        <f t="shared" si="145"/>
        <v>280gsm ARTBOARD STARBLANC (IP SUN)</v>
      </c>
      <c r="Q562" s="254">
        <v>0.28999999999999998</v>
      </c>
      <c r="R562" s="1228" t="str">
        <f t="shared" si="148"/>
        <v>280</v>
      </c>
      <c r="S562" s="2625">
        <f t="shared" si="136"/>
        <v>0</v>
      </c>
      <c r="T562" s="2747">
        <f>IF(L562&gt;0,IF(input!$B$2=$O$1,(((L562+Y562/22)+(L562+Y562/22)*$AG562+$X562)*$P$11+$M$7)/1000,(((L562+Y562/22)+(L562+Y562/22)*O562+(L562+Y562/22)*$AG562+$X562)*$P$11+$M$7)/1000),0)</f>
        <v>0</v>
      </c>
      <c r="U562" s="2747">
        <f t="shared" si="147"/>
        <v>0</v>
      </c>
      <c r="V562" s="1229"/>
      <c r="W562" s="1231" t="str">
        <f t="shared" si="137"/>
        <v>CNF</v>
      </c>
      <c r="X562" s="1230">
        <f t="shared" si="150"/>
        <v>0</v>
      </c>
      <c r="Y562" s="2625">
        <f t="shared" si="141"/>
        <v>0</v>
      </c>
      <c r="Z562" s="3208">
        <f t="shared" si="149"/>
        <v>838.18181818181813</v>
      </c>
      <c r="AA562" s="1220" t="s">
        <v>2821</v>
      </c>
      <c r="AB562" s="1220" t="s">
        <v>1396</v>
      </c>
      <c r="AC562" s="251" t="str">
        <f t="shared" si="142"/>
        <v>280gsm ARTBOARD STARBLANC (IP SUN)</v>
      </c>
      <c r="AD562" s="2746">
        <f>IF(L562&gt;0,IF(input!$B$2=$O$1,(((M562)+(M562)*$M$10)*$P$11)/1000,(((M562)+(M562)*O562+(M562)*$M$10)*$P$11)/1000),0)</f>
        <v>0</v>
      </c>
      <c r="AE562" s="2746">
        <f>IF(L562&gt;0,IF(input!$B$2=$O$1,(((N562)+(N562)*$M$10)*$P$11)/1000,(((N562)+(N562)*O562+(N562)*$M$10)*$P$11)/1000),0)</f>
        <v>0</v>
      </c>
      <c r="AF562" s="136" t="str">
        <f t="shared" si="143"/>
        <v>FSC</v>
      </c>
      <c r="AG562" s="2628">
        <f t="shared" si="144"/>
        <v>1.2E-2</v>
      </c>
      <c r="AH562" s="1266">
        <v>0.1</v>
      </c>
    </row>
    <row r="563" spans="1:34" ht="12.75">
      <c r="A563" s="2199">
        <f t="shared" si="146"/>
        <v>551</v>
      </c>
      <c r="B563" s="2200" t="s">
        <v>2626</v>
      </c>
      <c r="C563" s="2743">
        <v>0</v>
      </c>
      <c r="D563" s="2743">
        <v>0</v>
      </c>
      <c r="E563" s="2949">
        <v>0</v>
      </c>
      <c r="F563" s="2200">
        <v>10</v>
      </c>
      <c r="G563" s="2200" t="s">
        <v>2038</v>
      </c>
      <c r="H563" s="2200" t="s">
        <v>1760</v>
      </c>
      <c r="I563" s="2742">
        <v>0</v>
      </c>
      <c r="J563" s="2742"/>
      <c r="K563" s="2752">
        <v>45</v>
      </c>
      <c r="L563" s="2745">
        <f t="shared" si="135"/>
        <v>0</v>
      </c>
      <c r="M563" s="2745">
        <f t="shared" si="138"/>
        <v>0</v>
      </c>
      <c r="N563" s="2745">
        <f t="shared" si="139"/>
        <v>10</v>
      </c>
      <c r="O563" s="1232">
        <f t="shared" si="140"/>
        <v>0</v>
      </c>
      <c r="P563" s="1227" t="str">
        <f t="shared" si="145"/>
        <v>290gsm ARTBOARD STARBLANC (IP SUN)</v>
      </c>
      <c r="Q563" s="254">
        <v>0.3</v>
      </c>
      <c r="R563" s="1228" t="str">
        <f t="shared" si="148"/>
        <v>290</v>
      </c>
      <c r="S563" s="2625">
        <f t="shared" si="136"/>
        <v>0</v>
      </c>
      <c r="T563" s="2747">
        <f>IF(L563&gt;0,IF(input!$B$2=$O$1,(((L563+Y563/22)+(L563+Y563/22)*$AG563+$X563)*$P$11+$M$7)/1000,(((L563+Y563/22)+(L563+Y563/22)*O563+(L563+Y563/22)*$AG563+$X563)*$P$11+$M$7)/1000),0)</f>
        <v>0</v>
      </c>
      <c r="U563" s="2747">
        <f t="shared" si="147"/>
        <v>0</v>
      </c>
      <c r="V563" s="1229"/>
      <c r="W563" s="1231" t="str">
        <f t="shared" si="137"/>
        <v>CNF</v>
      </c>
      <c r="X563" s="1230">
        <f t="shared" si="150"/>
        <v>0</v>
      </c>
      <c r="Y563" s="2625">
        <f t="shared" si="141"/>
        <v>0</v>
      </c>
      <c r="Z563" s="3208">
        <f t="shared" si="149"/>
        <v>838.18181818181813</v>
      </c>
      <c r="AA563" s="1220" t="s">
        <v>2821</v>
      </c>
      <c r="AB563" s="1220" t="s">
        <v>1396</v>
      </c>
      <c r="AC563" s="251" t="str">
        <f t="shared" si="142"/>
        <v>290gsm ARTBOARD STARBLANC (IP SUN)</v>
      </c>
      <c r="AD563" s="2746">
        <f>IF(L563&gt;0,IF(input!$B$2=$O$1,(((M563)+(M563)*$M$10)*$P$11)/1000,(((M563)+(M563)*O563+(M563)*$M$10)*$P$11)/1000),0)</f>
        <v>0</v>
      </c>
      <c r="AE563" s="2746">
        <f>IF(L563&gt;0,IF(input!$B$2=$O$1,(((N563)+(N563)*$M$10)*$P$11)/1000,(((N563)+(N563)*O563+(N563)*$M$10)*$P$11)/1000),0)</f>
        <v>0</v>
      </c>
      <c r="AF563" s="136" t="str">
        <f t="shared" si="143"/>
        <v>FSC</v>
      </c>
      <c r="AG563" s="2628">
        <f t="shared" si="144"/>
        <v>1.2E-2</v>
      </c>
      <c r="AH563" s="1266">
        <v>0.1</v>
      </c>
    </row>
    <row r="564" spans="1:34" ht="12.75">
      <c r="A564" s="2199">
        <f t="shared" si="146"/>
        <v>552</v>
      </c>
      <c r="B564" s="2200" t="s">
        <v>2627</v>
      </c>
      <c r="C564" s="2743">
        <v>0</v>
      </c>
      <c r="D564" s="2743">
        <v>0</v>
      </c>
      <c r="E564" s="2949">
        <v>0</v>
      </c>
      <c r="F564" s="2200">
        <v>10</v>
      </c>
      <c r="G564" s="2200" t="s">
        <v>2038</v>
      </c>
      <c r="H564" s="2200" t="s">
        <v>1760</v>
      </c>
      <c r="I564" s="2742">
        <v>0</v>
      </c>
      <c r="J564" s="2742"/>
      <c r="K564" s="2752">
        <v>45</v>
      </c>
      <c r="L564" s="2745">
        <f t="shared" si="135"/>
        <v>0</v>
      </c>
      <c r="M564" s="2745">
        <f t="shared" si="138"/>
        <v>0</v>
      </c>
      <c r="N564" s="2745">
        <f t="shared" si="139"/>
        <v>10</v>
      </c>
      <c r="O564" s="1232">
        <f t="shared" si="140"/>
        <v>0</v>
      </c>
      <c r="P564" s="1227" t="str">
        <f t="shared" si="145"/>
        <v>300gsm ARTBOARD STARBLANC (IP SUN)</v>
      </c>
      <c r="Q564" s="254">
        <v>0.315</v>
      </c>
      <c r="R564" s="1228" t="str">
        <f t="shared" si="148"/>
        <v>300</v>
      </c>
      <c r="S564" s="2625">
        <f t="shared" si="136"/>
        <v>0</v>
      </c>
      <c r="T564" s="2747">
        <f>IF(L564&gt;0,IF(input!$B$2=$O$1,(((L564+Y564/22)+(L564+Y564/22)*$AG564+$X564)*$P$11+$M$7)/1000,(((L564+Y564/22)+(L564+Y564/22)*O564+(L564+Y564/22)*$AG564+$X564)*$P$11+$M$7)/1000),0)</f>
        <v>0</v>
      </c>
      <c r="U564" s="2747">
        <f t="shared" si="147"/>
        <v>0</v>
      </c>
      <c r="V564" s="1229"/>
      <c r="W564" s="1231" t="str">
        <f t="shared" si="137"/>
        <v>CNF</v>
      </c>
      <c r="X564" s="1230">
        <f t="shared" si="150"/>
        <v>0</v>
      </c>
      <c r="Y564" s="2625">
        <f t="shared" si="141"/>
        <v>0</v>
      </c>
      <c r="Z564" s="3208">
        <f t="shared" si="149"/>
        <v>838.18181818181813</v>
      </c>
      <c r="AA564" s="1220" t="s">
        <v>2821</v>
      </c>
      <c r="AB564" s="1220" t="s">
        <v>1396</v>
      </c>
      <c r="AC564" s="251" t="str">
        <f t="shared" si="142"/>
        <v>300gsm ARTBOARD STARBLANC (IP SUN)</v>
      </c>
      <c r="AD564" s="2746">
        <f>IF(L564&gt;0,IF(input!$B$2=$O$1,(((M564)+(M564)*$M$10)*$P$11)/1000,(((M564)+(M564)*O564+(M564)*$M$10)*$P$11)/1000),0)</f>
        <v>0</v>
      </c>
      <c r="AE564" s="2746">
        <f>IF(L564&gt;0,IF(input!$B$2=$O$1,(((N564)+(N564)*$M$10)*$P$11)/1000,(((N564)+(N564)*O564+(N564)*$M$10)*$P$11)/1000),0)</f>
        <v>0</v>
      </c>
      <c r="AF564" s="136" t="str">
        <f t="shared" si="143"/>
        <v>FSC</v>
      </c>
      <c r="AG564" s="2628">
        <f t="shared" si="144"/>
        <v>1.2E-2</v>
      </c>
      <c r="AH564" s="1266">
        <v>0.1</v>
      </c>
    </row>
    <row r="565" spans="1:34" ht="12.75">
      <c r="A565" s="2199">
        <f t="shared" si="146"/>
        <v>553</v>
      </c>
      <c r="B565" s="2200" t="s">
        <v>2628</v>
      </c>
      <c r="C565" s="2743">
        <v>0</v>
      </c>
      <c r="D565" s="2743">
        <v>0</v>
      </c>
      <c r="E565" s="2949">
        <v>0</v>
      </c>
      <c r="F565" s="2200">
        <v>10</v>
      </c>
      <c r="G565" s="2200" t="s">
        <v>2038</v>
      </c>
      <c r="H565" s="2200" t="s">
        <v>1760</v>
      </c>
      <c r="I565" s="2742">
        <v>0</v>
      </c>
      <c r="J565" s="2742"/>
      <c r="K565" s="2752">
        <v>45</v>
      </c>
      <c r="L565" s="2745">
        <f t="shared" si="135"/>
        <v>0</v>
      </c>
      <c r="M565" s="2745">
        <f t="shared" si="138"/>
        <v>0</v>
      </c>
      <c r="N565" s="2745">
        <f t="shared" si="139"/>
        <v>10</v>
      </c>
      <c r="O565" s="1232">
        <f t="shared" si="140"/>
        <v>0</v>
      </c>
      <c r="P565" s="1227" t="str">
        <f t="shared" si="145"/>
        <v>320gsm ARTBOARD STARBLANC (IP SUN)</v>
      </c>
      <c r="Q565" s="254">
        <v>0.33500000000000002</v>
      </c>
      <c r="R565" s="1228" t="str">
        <f t="shared" si="148"/>
        <v>320</v>
      </c>
      <c r="S565" s="2625">
        <f t="shared" si="136"/>
        <v>0</v>
      </c>
      <c r="T565" s="2747">
        <f>IF(L565&gt;0,IF(input!$B$2=$O$1,(((L565+Y565/22)+(L565+Y565/22)*$AG565+$X565)*$P$11+$M$7)/1000,(((L565+Y565/22)+(L565+Y565/22)*O565+(L565+Y565/22)*$AG565+$X565)*$P$11+$M$7)/1000),0)</f>
        <v>0</v>
      </c>
      <c r="U565" s="2747">
        <f t="shared" si="147"/>
        <v>0</v>
      </c>
      <c r="V565" s="1229"/>
      <c r="W565" s="1231" t="str">
        <f t="shared" si="137"/>
        <v>CNF</v>
      </c>
      <c r="X565" s="1230">
        <f t="shared" si="150"/>
        <v>0</v>
      </c>
      <c r="Y565" s="2625">
        <f t="shared" si="141"/>
        <v>0</v>
      </c>
      <c r="Z565" s="3208">
        <f t="shared" si="149"/>
        <v>838.18181818181813</v>
      </c>
      <c r="AA565" s="1220" t="s">
        <v>2821</v>
      </c>
      <c r="AB565" s="1220" t="s">
        <v>1396</v>
      </c>
      <c r="AC565" s="251" t="str">
        <f t="shared" si="142"/>
        <v>320gsm ARTBOARD STARBLANC (IP SUN)</v>
      </c>
      <c r="AD565" s="2746">
        <f>IF(L565&gt;0,IF(input!$B$2=$O$1,(((M565)+(M565)*$M$10)*$P$11)/1000,(((M565)+(M565)*O565+(M565)*$M$10)*$P$11)/1000),0)</f>
        <v>0</v>
      </c>
      <c r="AE565" s="2746">
        <f>IF(L565&gt;0,IF(input!$B$2=$O$1,(((N565)+(N565)*$M$10)*$P$11)/1000,(((N565)+(N565)*O565+(N565)*$M$10)*$P$11)/1000),0)</f>
        <v>0</v>
      </c>
      <c r="AF565" s="136" t="str">
        <f t="shared" si="143"/>
        <v>FSC</v>
      </c>
      <c r="AG565" s="2628">
        <f t="shared" si="144"/>
        <v>1.2E-2</v>
      </c>
      <c r="AH565" s="1266">
        <v>0.1</v>
      </c>
    </row>
    <row r="566" spans="1:34" ht="12.75">
      <c r="A566" s="2199">
        <f t="shared" si="146"/>
        <v>554</v>
      </c>
      <c r="B566" s="2200" t="s">
        <v>2629</v>
      </c>
      <c r="C566" s="2743">
        <v>0</v>
      </c>
      <c r="D566" s="2743">
        <v>0</v>
      </c>
      <c r="E566" s="2949">
        <v>0</v>
      </c>
      <c r="F566" s="2200">
        <v>10</v>
      </c>
      <c r="G566" s="2200" t="s">
        <v>2038</v>
      </c>
      <c r="H566" s="2200" t="s">
        <v>1760</v>
      </c>
      <c r="I566" s="2742">
        <v>0</v>
      </c>
      <c r="J566" s="2742"/>
      <c r="K566" s="2752">
        <v>45</v>
      </c>
      <c r="L566" s="2745">
        <f t="shared" si="135"/>
        <v>0</v>
      </c>
      <c r="M566" s="2745">
        <f t="shared" si="138"/>
        <v>0</v>
      </c>
      <c r="N566" s="2745">
        <f t="shared" si="139"/>
        <v>10</v>
      </c>
      <c r="O566" s="1232">
        <f t="shared" si="140"/>
        <v>0</v>
      </c>
      <c r="P566" s="1227" t="str">
        <f t="shared" si="145"/>
        <v>350gsm ARTBOARD STARBLANC (IP SUN)</v>
      </c>
      <c r="Q566" s="254">
        <v>0.36499999999999999</v>
      </c>
      <c r="R566" s="1228" t="str">
        <f t="shared" si="148"/>
        <v>350</v>
      </c>
      <c r="S566" s="2625">
        <f t="shared" si="136"/>
        <v>0</v>
      </c>
      <c r="T566" s="2747">
        <f>IF(L566&gt;0,IF(input!$B$2=$O$1,(((L566+Y566/22)+(L566+Y566/22)*$AG566+$X566)*$P$11+$M$7)/1000,(((L566+Y566/22)+(L566+Y566/22)*O566+(L566+Y566/22)*$AG566+$X566)*$P$11+$M$7)/1000),0)</f>
        <v>0</v>
      </c>
      <c r="U566" s="2747">
        <f t="shared" si="147"/>
        <v>0</v>
      </c>
      <c r="V566" s="1229"/>
      <c r="W566" s="1231" t="str">
        <f t="shared" si="137"/>
        <v>CNF</v>
      </c>
      <c r="X566" s="1230">
        <f t="shared" si="150"/>
        <v>0</v>
      </c>
      <c r="Y566" s="2625">
        <f t="shared" si="141"/>
        <v>0</v>
      </c>
      <c r="Z566" s="3208">
        <f t="shared" si="149"/>
        <v>838.18181818181813</v>
      </c>
      <c r="AA566" s="1220" t="s">
        <v>2821</v>
      </c>
      <c r="AB566" s="1220" t="s">
        <v>1396</v>
      </c>
      <c r="AC566" s="251" t="str">
        <f t="shared" si="142"/>
        <v>350gsm ARTBOARD STARBLANC (IP SUN)</v>
      </c>
      <c r="AD566" s="2746">
        <f>IF(L566&gt;0,IF(input!$B$2=$O$1,(((M566)+(M566)*$M$10)*$P$11)/1000,(((M566)+(M566)*O566+(M566)*$M$10)*$P$11)/1000),0)</f>
        <v>0</v>
      </c>
      <c r="AE566" s="2746">
        <f>IF(L566&gt;0,IF(input!$B$2=$O$1,(((N566)+(N566)*$M$10)*$P$11)/1000,(((N566)+(N566)*O566+(N566)*$M$10)*$P$11)/1000),0)</f>
        <v>0</v>
      </c>
      <c r="AF566" s="136" t="str">
        <f t="shared" si="143"/>
        <v>FSC</v>
      </c>
      <c r="AG566" s="2628">
        <f t="shared" si="144"/>
        <v>1.2E-2</v>
      </c>
      <c r="AH566" s="1266">
        <v>0.1</v>
      </c>
    </row>
    <row r="567" spans="1:34" ht="12.75">
      <c r="A567" s="2199">
        <f t="shared" si="146"/>
        <v>555</v>
      </c>
      <c r="B567" s="2200" t="s">
        <v>2630</v>
      </c>
      <c r="C567" s="2743">
        <v>0</v>
      </c>
      <c r="D567" s="2743">
        <v>0</v>
      </c>
      <c r="E567" s="2949">
        <v>0</v>
      </c>
      <c r="F567" s="2200">
        <v>10</v>
      </c>
      <c r="G567" s="2200" t="s">
        <v>2038</v>
      </c>
      <c r="H567" s="2200" t="s">
        <v>1760</v>
      </c>
      <c r="I567" s="2742">
        <v>0</v>
      </c>
      <c r="J567" s="2742"/>
      <c r="K567" s="2752">
        <v>45</v>
      </c>
      <c r="L567" s="2745">
        <f t="shared" si="135"/>
        <v>0</v>
      </c>
      <c r="M567" s="2745">
        <f t="shared" si="138"/>
        <v>0</v>
      </c>
      <c r="N567" s="2745">
        <f t="shared" si="139"/>
        <v>10</v>
      </c>
      <c r="O567" s="1232">
        <f t="shared" si="140"/>
        <v>0</v>
      </c>
      <c r="P567" s="1227" t="str">
        <f t="shared" si="145"/>
        <v>400gsm ARTBOARD STARBLANC (IP SUN)</v>
      </c>
      <c r="Q567" s="254">
        <v>0.42</v>
      </c>
      <c r="R567" s="1228" t="str">
        <f t="shared" si="148"/>
        <v>400</v>
      </c>
      <c r="S567" s="2625">
        <f t="shared" si="136"/>
        <v>0</v>
      </c>
      <c r="T567" s="2747">
        <f>IF(L567&gt;0,IF(input!$B$2=$O$1,(((L567+Y567/22)+(L567+Y567/22)*$AG567+$X567)*$P$11+$M$7)/1000,(((L567+Y567/22)+(L567+Y567/22)*O567+(L567+Y567/22)*$AG567+$X567)*$P$11+$M$7)/1000),0)</f>
        <v>0</v>
      </c>
      <c r="U567" s="2747">
        <f t="shared" si="147"/>
        <v>0</v>
      </c>
      <c r="V567" s="1229"/>
      <c r="W567" s="1231" t="str">
        <f t="shared" si="137"/>
        <v>CNF</v>
      </c>
      <c r="X567" s="1230">
        <f t="shared" si="150"/>
        <v>0</v>
      </c>
      <c r="Y567" s="2625">
        <f t="shared" si="141"/>
        <v>0</v>
      </c>
      <c r="Z567" s="3208">
        <f t="shared" si="149"/>
        <v>838.18181818181813</v>
      </c>
      <c r="AA567" s="1220" t="s">
        <v>2821</v>
      </c>
      <c r="AB567" s="1220" t="s">
        <v>1396</v>
      </c>
      <c r="AC567" s="251" t="str">
        <f t="shared" si="142"/>
        <v>400gsm ARTBOARD STARBLANC (IP SUN)</v>
      </c>
      <c r="AD567" s="2746">
        <f>IF(L567&gt;0,IF(input!$B$2=$O$1,(((M567)+(M567)*$M$10)*$P$11)/1000,(((M567)+(M567)*O567+(M567)*$M$10)*$P$11)/1000),0)</f>
        <v>0</v>
      </c>
      <c r="AE567" s="2746">
        <f>IF(L567&gt;0,IF(input!$B$2=$O$1,(((N567)+(N567)*$M$10)*$P$11)/1000,(((N567)+(N567)*O567+(N567)*$M$10)*$P$11)/1000),0)</f>
        <v>0</v>
      </c>
      <c r="AF567" s="136" t="str">
        <f t="shared" si="143"/>
        <v>FSC</v>
      </c>
      <c r="AG567" s="2628">
        <f t="shared" si="144"/>
        <v>1.2E-2</v>
      </c>
      <c r="AH567" s="1266">
        <v>0.1</v>
      </c>
    </row>
    <row r="568" spans="1:34" ht="12.75">
      <c r="A568" s="2199">
        <f t="shared" si="146"/>
        <v>556</v>
      </c>
      <c r="B568" s="2200" t="s">
        <v>2631</v>
      </c>
      <c r="C568" s="2743">
        <v>0</v>
      </c>
      <c r="D568" s="2743">
        <v>0</v>
      </c>
      <c r="E568" s="2949">
        <v>0</v>
      </c>
      <c r="F568" s="2200" t="s">
        <v>2313</v>
      </c>
      <c r="G568" s="2200" t="s">
        <v>127</v>
      </c>
      <c r="H568" s="2200" t="s">
        <v>1057</v>
      </c>
      <c r="I568" s="2742">
        <v>0</v>
      </c>
      <c r="J568" s="2742"/>
      <c r="K568" s="2752">
        <v>45</v>
      </c>
      <c r="L568" s="2745">
        <f t="shared" si="135"/>
        <v>0</v>
      </c>
      <c r="M568" s="2745">
        <f t="shared" si="138"/>
        <v>0</v>
      </c>
      <c r="N568" s="2745" t="str">
        <f t="shared" si="139"/>
        <v>check</v>
      </c>
      <c r="O568" s="1232">
        <f t="shared" si="140"/>
        <v>0</v>
      </c>
      <c r="P568" s="1227" t="str">
        <f t="shared" si="145"/>
        <v>190gsm ARTBOARD Ensocoat (C2S) StoraEnso</v>
      </c>
      <c r="Q568" s="254">
        <v>0.185</v>
      </c>
      <c r="R568" s="1228" t="str">
        <f t="shared" si="148"/>
        <v>190</v>
      </c>
      <c r="S568" s="2625">
        <f t="shared" si="136"/>
        <v>0</v>
      </c>
      <c r="T568" s="2747">
        <f>IF(L568&gt;0,IF(input!$B$2=$O$1,(((L568+Y568/22)+(L568+Y568/22)*$AG568+$X568)*$P$11+$M$7)/1000,(((L568+Y568/22)+(L568+Y568/22)*O568+(L568+Y568/22)*$AG568+$X568)*$P$11+$M$7)/1000),0)</f>
        <v>0</v>
      </c>
      <c r="U568" s="2747">
        <f t="shared" si="147"/>
        <v>0</v>
      </c>
      <c r="V568" s="1229"/>
      <c r="W568" s="1231" t="str">
        <f t="shared" si="137"/>
        <v>CIF</v>
      </c>
      <c r="X568" s="1230">
        <f t="shared" si="150"/>
        <v>0</v>
      </c>
      <c r="Y568" s="2625">
        <f t="shared" si="141"/>
        <v>0</v>
      </c>
      <c r="Z568" s="3208">
        <f t="shared" si="149"/>
        <v>838.18181818181813</v>
      </c>
      <c r="AA568" s="1220" t="s">
        <v>2834</v>
      </c>
      <c r="AB568" s="1220" t="s">
        <v>1396</v>
      </c>
      <c r="AC568" s="251" t="str">
        <f t="shared" si="142"/>
        <v>190gsm ARTBOARD Ensocoat (C2S) StoraEnso</v>
      </c>
      <c r="AD568" s="2746">
        <f>IF(L568&gt;0,IF(input!$B$2=$O$1,(((M568)+(M568)*$M$10)*$P$11)/1000,(((M568)+(M568)*O568+(M568)*$M$10)*$P$11)/1000),0)</f>
        <v>0</v>
      </c>
      <c r="AE568" s="2746">
        <f>IF(L568&gt;0,IF(input!$B$2=$O$1,(((N568)+(N568)*$M$10)*$P$11)/1000,(((N568)+(N568)*O568+(N568)*$M$10)*$P$11)/1000),0)</f>
        <v>0</v>
      </c>
      <c r="AF568" s="136" t="str">
        <f t="shared" si="143"/>
        <v>None</v>
      </c>
      <c r="AG568" s="2628">
        <f t="shared" si="144"/>
        <v>1.2E-2</v>
      </c>
      <c r="AH568" s="1266">
        <v>0.1</v>
      </c>
    </row>
    <row r="569" spans="1:34" ht="12.75">
      <c r="A569" s="2199">
        <f t="shared" si="146"/>
        <v>557</v>
      </c>
      <c r="B569" s="2200" t="s">
        <v>2632</v>
      </c>
      <c r="C569" s="2743">
        <v>0</v>
      </c>
      <c r="D569" s="2743">
        <v>0</v>
      </c>
      <c r="E569" s="2949">
        <v>0</v>
      </c>
      <c r="F569" s="2200" t="s">
        <v>2313</v>
      </c>
      <c r="G569" s="2200" t="s">
        <v>127</v>
      </c>
      <c r="H569" s="2200" t="s">
        <v>1057</v>
      </c>
      <c r="I569" s="2742">
        <v>0</v>
      </c>
      <c r="J569" s="2742"/>
      <c r="K569" s="2752">
        <v>45</v>
      </c>
      <c r="L569" s="2745">
        <f t="shared" si="135"/>
        <v>0</v>
      </c>
      <c r="M569" s="2745">
        <f t="shared" si="138"/>
        <v>0</v>
      </c>
      <c r="N569" s="2745" t="str">
        <f t="shared" si="139"/>
        <v>check</v>
      </c>
      <c r="O569" s="1232">
        <f t="shared" si="140"/>
        <v>0</v>
      </c>
      <c r="P569" s="1227" t="str">
        <f t="shared" si="145"/>
        <v>220gsm ARTBOARD Ensocoat (C2S) StoraEnso</v>
      </c>
      <c r="Q569" s="254">
        <v>0.23</v>
      </c>
      <c r="R569" s="1228" t="str">
        <f t="shared" si="148"/>
        <v>220</v>
      </c>
      <c r="S569" s="2625">
        <f t="shared" si="136"/>
        <v>0</v>
      </c>
      <c r="T569" s="2747">
        <f>IF(L569&gt;0,IF(input!$B$2=$O$1,(((L569+Y569/22)+(L569+Y569/22)*$AG569+$X569)*$P$11+$M$7)/1000,(((L569+Y569/22)+(L569+Y569/22)*O569+(L569+Y569/22)*$AG569+$X569)*$P$11+$M$7)/1000),0)</f>
        <v>0</v>
      </c>
      <c r="U569" s="2747">
        <f t="shared" si="147"/>
        <v>0</v>
      </c>
      <c r="V569" s="1229"/>
      <c r="W569" s="1231" t="str">
        <f t="shared" si="137"/>
        <v>CIF</v>
      </c>
      <c r="X569" s="1230">
        <f t="shared" si="150"/>
        <v>0</v>
      </c>
      <c r="Y569" s="2625">
        <f t="shared" si="141"/>
        <v>0</v>
      </c>
      <c r="Z569" s="3208">
        <f t="shared" si="149"/>
        <v>838.18181818181813</v>
      </c>
      <c r="AA569" s="1220" t="s">
        <v>2834</v>
      </c>
      <c r="AB569" s="1220" t="s">
        <v>1396</v>
      </c>
      <c r="AC569" s="251" t="str">
        <f t="shared" si="142"/>
        <v>220gsm ARTBOARD Ensocoat (C2S) StoraEnso</v>
      </c>
      <c r="AD569" s="2746">
        <f>IF(L569&gt;0,IF(input!$B$2=$O$1,(((M569)+(M569)*$M$10)*$P$11)/1000,(((M569)+(M569)*O569+(M569)*$M$10)*$P$11)/1000),0)</f>
        <v>0</v>
      </c>
      <c r="AE569" s="2746">
        <f>IF(L569&gt;0,IF(input!$B$2=$O$1,(((N569)+(N569)*$M$10)*$P$11)/1000,(((N569)+(N569)*O569+(N569)*$M$10)*$P$11)/1000),0)</f>
        <v>0</v>
      </c>
      <c r="AF569" s="136" t="str">
        <f t="shared" si="143"/>
        <v>None</v>
      </c>
      <c r="AG569" s="2628">
        <f t="shared" si="144"/>
        <v>1.2E-2</v>
      </c>
      <c r="AH569" s="1266">
        <v>0.1</v>
      </c>
    </row>
    <row r="570" spans="1:34" ht="12.75">
      <c r="A570" s="2199">
        <f t="shared" si="146"/>
        <v>558</v>
      </c>
      <c r="B570" s="2200" t="s">
        <v>2633</v>
      </c>
      <c r="C570" s="2743">
        <v>0</v>
      </c>
      <c r="D570" s="2743">
        <v>0</v>
      </c>
      <c r="E570" s="2949">
        <v>0</v>
      </c>
      <c r="F570" s="2200" t="s">
        <v>2313</v>
      </c>
      <c r="G570" s="2200" t="s">
        <v>127</v>
      </c>
      <c r="H570" s="2200" t="s">
        <v>1057</v>
      </c>
      <c r="I570" s="2742">
        <v>0</v>
      </c>
      <c r="J570" s="2742"/>
      <c r="K570" s="2752">
        <v>45</v>
      </c>
      <c r="L570" s="2745">
        <f t="shared" si="135"/>
        <v>0</v>
      </c>
      <c r="M570" s="2745">
        <f t="shared" si="138"/>
        <v>0</v>
      </c>
      <c r="N570" s="2745" t="str">
        <f t="shared" si="139"/>
        <v>check</v>
      </c>
      <c r="O570" s="1232">
        <f t="shared" si="140"/>
        <v>0</v>
      </c>
      <c r="P570" s="1227" t="str">
        <f t="shared" si="145"/>
        <v>240gsm ARTBOARD Ensocoat (C2S) StoraEnso</v>
      </c>
      <c r="Q570" s="254">
        <v>0.255</v>
      </c>
      <c r="R570" s="1228" t="str">
        <f t="shared" si="148"/>
        <v>240</v>
      </c>
      <c r="S570" s="2625">
        <f t="shared" si="136"/>
        <v>0</v>
      </c>
      <c r="T570" s="2747">
        <f>IF(L570&gt;0,IF(input!$B$2=$O$1,(((L570+Y570/22)+(L570+Y570/22)*$AG570+$X570)*$P$11+$M$7)/1000,(((L570+Y570/22)+(L570+Y570/22)*O570+(L570+Y570/22)*$AG570+$X570)*$P$11+$M$7)/1000),0)</f>
        <v>0</v>
      </c>
      <c r="U570" s="2747">
        <f t="shared" si="147"/>
        <v>0</v>
      </c>
      <c r="V570" s="1229"/>
      <c r="W570" s="1231" t="str">
        <f t="shared" si="137"/>
        <v>CIF</v>
      </c>
      <c r="X570" s="1230">
        <f t="shared" si="150"/>
        <v>0</v>
      </c>
      <c r="Y570" s="2625">
        <f t="shared" si="141"/>
        <v>0</v>
      </c>
      <c r="Z570" s="3208">
        <f t="shared" si="149"/>
        <v>838.18181818181813</v>
      </c>
      <c r="AA570" s="1220" t="s">
        <v>2834</v>
      </c>
      <c r="AB570" s="1220" t="s">
        <v>1396</v>
      </c>
      <c r="AC570" s="251" t="str">
        <f t="shared" si="142"/>
        <v>240gsm ARTBOARD Ensocoat (C2S) StoraEnso</v>
      </c>
      <c r="AD570" s="2746">
        <f>IF(L570&gt;0,IF(input!$B$2=$O$1,(((M570)+(M570)*$M$10)*$P$11)/1000,(((M570)+(M570)*O570+(M570)*$M$10)*$P$11)/1000),0)</f>
        <v>0</v>
      </c>
      <c r="AE570" s="2746">
        <f>IF(L570&gt;0,IF(input!$B$2=$O$1,(((N570)+(N570)*$M$10)*$P$11)/1000,(((N570)+(N570)*O570+(N570)*$M$10)*$P$11)/1000),0)</f>
        <v>0</v>
      </c>
      <c r="AF570" s="136" t="str">
        <f t="shared" si="143"/>
        <v>None</v>
      </c>
      <c r="AG570" s="2628">
        <f t="shared" si="144"/>
        <v>1.2E-2</v>
      </c>
      <c r="AH570" s="1266">
        <v>0.1</v>
      </c>
    </row>
    <row r="571" spans="1:34" ht="12.75">
      <c r="A571" s="2199">
        <f t="shared" si="146"/>
        <v>559</v>
      </c>
      <c r="B571" s="2200" t="s">
        <v>2634</v>
      </c>
      <c r="C571" s="2743">
        <v>0</v>
      </c>
      <c r="D571" s="2743">
        <v>0</v>
      </c>
      <c r="E571" s="2949">
        <v>0</v>
      </c>
      <c r="F571" s="2200" t="s">
        <v>2313</v>
      </c>
      <c r="G571" s="2200" t="s">
        <v>127</v>
      </c>
      <c r="H571" s="2200" t="s">
        <v>1057</v>
      </c>
      <c r="I571" s="2742">
        <v>0</v>
      </c>
      <c r="J571" s="2742"/>
      <c r="K571" s="2752">
        <v>45</v>
      </c>
      <c r="L571" s="2745">
        <f t="shared" si="135"/>
        <v>0</v>
      </c>
      <c r="M571" s="2745">
        <f t="shared" si="138"/>
        <v>0</v>
      </c>
      <c r="N571" s="2745" t="str">
        <f t="shared" si="139"/>
        <v>check</v>
      </c>
      <c r="O571" s="1232">
        <f t="shared" si="140"/>
        <v>0</v>
      </c>
      <c r="P571" s="1227" t="str">
        <f t="shared" si="145"/>
        <v>270gsm ARTBOARD Ensocoat (C2S) StoraEnso</v>
      </c>
      <c r="Q571" s="254">
        <v>0.28999999999999998</v>
      </c>
      <c r="R571" s="1228" t="str">
        <f t="shared" si="148"/>
        <v>270</v>
      </c>
      <c r="S571" s="2625">
        <f t="shared" si="136"/>
        <v>0</v>
      </c>
      <c r="T571" s="2747">
        <f>IF(L571&gt;0,IF(input!$B$2=$O$1,(((L571+Y571/22)+(L571+Y571/22)*$AG571+$X571)*$P$11+$M$7)/1000,(((L571+Y571/22)+(L571+Y571/22)*O571+(L571+Y571/22)*$AG571+$X571)*$P$11+$M$7)/1000),0)</f>
        <v>0</v>
      </c>
      <c r="U571" s="2747">
        <f t="shared" si="147"/>
        <v>0</v>
      </c>
      <c r="V571" s="1229"/>
      <c r="W571" s="1231" t="str">
        <f t="shared" si="137"/>
        <v>CIF</v>
      </c>
      <c r="X571" s="1230">
        <f t="shared" si="150"/>
        <v>0</v>
      </c>
      <c r="Y571" s="2625">
        <f t="shared" si="141"/>
        <v>0</v>
      </c>
      <c r="Z571" s="3208">
        <f t="shared" si="149"/>
        <v>838.18181818181813</v>
      </c>
      <c r="AA571" s="1220" t="s">
        <v>2834</v>
      </c>
      <c r="AB571" s="1220" t="s">
        <v>1396</v>
      </c>
      <c r="AC571" s="251" t="str">
        <f t="shared" si="142"/>
        <v>270gsm ARTBOARD Ensocoat (C2S) StoraEnso</v>
      </c>
      <c r="AD571" s="2746">
        <f>IF(L571&gt;0,IF(input!$B$2=$O$1,(((M571)+(M571)*$M$10)*$P$11)/1000,(((M571)+(M571)*O571+(M571)*$M$10)*$P$11)/1000),0)</f>
        <v>0</v>
      </c>
      <c r="AE571" s="2746">
        <f>IF(L571&gt;0,IF(input!$B$2=$O$1,(((N571)+(N571)*$M$10)*$P$11)/1000,(((N571)+(N571)*O571+(N571)*$M$10)*$P$11)/1000),0)</f>
        <v>0</v>
      </c>
      <c r="AF571" s="136" t="str">
        <f t="shared" si="143"/>
        <v>None</v>
      </c>
      <c r="AG571" s="2628">
        <f t="shared" si="144"/>
        <v>1.2E-2</v>
      </c>
      <c r="AH571" s="1266">
        <v>0.1</v>
      </c>
    </row>
    <row r="572" spans="1:34" ht="12.75">
      <c r="A572" s="2199">
        <f t="shared" si="146"/>
        <v>560</v>
      </c>
      <c r="B572" s="2200" t="s">
        <v>2635</v>
      </c>
      <c r="C572" s="2743">
        <v>0</v>
      </c>
      <c r="D572" s="2743">
        <v>0</v>
      </c>
      <c r="E572" s="2949">
        <v>0</v>
      </c>
      <c r="F572" s="2200" t="s">
        <v>2313</v>
      </c>
      <c r="G572" s="2200" t="s">
        <v>127</v>
      </c>
      <c r="H572" s="2200" t="s">
        <v>1057</v>
      </c>
      <c r="I572" s="2742">
        <v>0</v>
      </c>
      <c r="J572" s="2742"/>
      <c r="K572" s="2752">
        <v>45</v>
      </c>
      <c r="L572" s="2745">
        <f t="shared" si="135"/>
        <v>0</v>
      </c>
      <c r="M572" s="2745">
        <f t="shared" si="138"/>
        <v>0</v>
      </c>
      <c r="N572" s="2745" t="str">
        <f t="shared" si="139"/>
        <v>check</v>
      </c>
      <c r="O572" s="1232">
        <f t="shared" si="140"/>
        <v>0</v>
      </c>
      <c r="P572" s="1227" t="str">
        <f t="shared" si="145"/>
        <v>300gsm ARTBOARD Ensocoat (C2S) StoraEnso</v>
      </c>
      <c r="Q572" s="254">
        <v>0.33</v>
      </c>
      <c r="R572" s="1228" t="str">
        <f t="shared" si="148"/>
        <v>300</v>
      </c>
      <c r="S572" s="2625">
        <f t="shared" si="136"/>
        <v>0</v>
      </c>
      <c r="T572" s="2747">
        <f>IF(L572&gt;0,IF(input!$B$2=$O$1,(((L572+Y572/22)+(L572+Y572/22)*$AG572+$X572)*$P$11+$M$7)/1000,(((L572+Y572/22)+(L572+Y572/22)*O572+(L572+Y572/22)*$AG572+$X572)*$P$11+$M$7)/1000),0)</f>
        <v>0</v>
      </c>
      <c r="U572" s="2747">
        <f t="shared" si="147"/>
        <v>0</v>
      </c>
      <c r="V572" s="1229"/>
      <c r="W572" s="1231" t="str">
        <f t="shared" si="137"/>
        <v>CIF</v>
      </c>
      <c r="X572" s="1230">
        <f t="shared" si="150"/>
        <v>0</v>
      </c>
      <c r="Y572" s="2625">
        <f t="shared" si="141"/>
        <v>0</v>
      </c>
      <c r="Z572" s="3208">
        <f t="shared" si="149"/>
        <v>838.18181818181813</v>
      </c>
      <c r="AA572" s="1220" t="s">
        <v>2834</v>
      </c>
      <c r="AB572" s="1220" t="s">
        <v>1396</v>
      </c>
      <c r="AC572" s="251" t="str">
        <f t="shared" si="142"/>
        <v>300gsm ARTBOARD Ensocoat (C2S) StoraEnso</v>
      </c>
      <c r="AD572" s="2746">
        <f>IF(L572&gt;0,IF(input!$B$2=$O$1,(((M572)+(M572)*$M$10)*$P$11)/1000,(((M572)+(M572)*O572+(M572)*$M$10)*$P$11)/1000),0)</f>
        <v>0</v>
      </c>
      <c r="AE572" s="2746">
        <f>IF(L572&gt;0,IF(input!$B$2=$O$1,(((N572)+(N572)*$M$10)*$P$11)/1000,(((N572)+(N572)*O572+(N572)*$M$10)*$P$11)/1000),0)</f>
        <v>0</v>
      </c>
      <c r="AF572" s="136" t="str">
        <f t="shared" si="143"/>
        <v>None</v>
      </c>
      <c r="AG572" s="2628">
        <f t="shared" si="144"/>
        <v>1.2E-2</v>
      </c>
      <c r="AH572" s="1266">
        <v>0.1</v>
      </c>
    </row>
    <row r="573" spans="1:34" ht="12.75">
      <c r="A573" s="2199">
        <f t="shared" si="146"/>
        <v>561</v>
      </c>
      <c r="B573" s="2200" t="s">
        <v>2636</v>
      </c>
      <c r="C573" s="2743">
        <v>0</v>
      </c>
      <c r="D573" s="2743">
        <v>0</v>
      </c>
      <c r="E573" s="2949">
        <v>0</v>
      </c>
      <c r="F573" s="2200" t="s">
        <v>2313</v>
      </c>
      <c r="G573" s="2200" t="s">
        <v>127</v>
      </c>
      <c r="H573" s="2200" t="s">
        <v>1057</v>
      </c>
      <c r="I573" s="2742">
        <v>0</v>
      </c>
      <c r="J573" s="2742"/>
      <c r="K573" s="2752">
        <v>45</v>
      </c>
      <c r="L573" s="2745">
        <f t="shared" si="135"/>
        <v>0</v>
      </c>
      <c r="M573" s="2745">
        <f t="shared" si="138"/>
        <v>0</v>
      </c>
      <c r="N573" s="2745" t="str">
        <f t="shared" si="139"/>
        <v>check</v>
      </c>
      <c r="O573" s="1232">
        <f t="shared" si="140"/>
        <v>0</v>
      </c>
      <c r="P573" s="1227" t="str">
        <f t="shared" si="145"/>
        <v>350gsm ARTBOARD Ensocoat (C2S) StoraEnso</v>
      </c>
      <c r="Q573" s="254">
        <v>0.4</v>
      </c>
      <c r="R573" s="1228" t="str">
        <f t="shared" si="148"/>
        <v>350</v>
      </c>
      <c r="S573" s="2625">
        <f t="shared" si="136"/>
        <v>0</v>
      </c>
      <c r="T573" s="2747">
        <f>IF(L573&gt;0,IF(input!$B$2=$O$1,(((L573+Y573/22)+(L573+Y573/22)*$AG573+$X573)*$P$11+$M$7)/1000,(((L573+Y573/22)+(L573+Y573/22)*O573+(L573+Y573/22)*$AG573+$X573)*$P$11+$M$7)/1000),0)</f>
        <v>0</v>
      </c>
      <c r="U573" s="2747">
        <f t="shared" si="147"/>
        <v>0</v>
      </c>
      <c r="V573" s="1229"/>
      <c r="W573" s="1231" t="str">
        <f t="shared" si="137"/>
        <v>CIF</v>
      </c>
      <c r="X573" s="1230">
        <f t="shared" si="150"/>
        <v>0</v>
      </c>
      <c r="Y573" s="2625">
        <f t="shared" si="141"/>
        <v>0</v>
      </c>
      <c r="Z573" s="3208">
        <f t="shared" si="149"/>
        <v>838.18181818181813</v>
      </c>
      <c r="AA573" s="1220" t="s">
        <v>2834</v>
      </c>
      <c r="AB573" s="1220" t="s">
        <v>1396</v>
      </c>
      <c r="AC573" s="251" t="str">
        <f t="shared" si="142"/>
        <v>350gsm ARTBOARD Ensocoat (C2S) StoraEnso</v>
      </c>
      <c r="AD573" s="2746">
        <f>IF(L573&gt;0,IF(input!$B$2=$O$1,(((M573)+(M573)*$M$10)*$P$11)/1000,(((M573)+(M573)*O573+(M573)*$M$10)*$P$11)/1000),0)</f>
        <v>0</v>
      </c>
      <c r="AE573" s="2746">
        <f>IF(L573&gt;0,IF(input!$B$2=$O$1,(((N573)+(N573)*$M$10)*$P$11)/1000,(((N573)+(N573)*O573+(N573)*$M$10)*$P$11)/1000),0)</f>
        <v>0</v>
      </c>
      <c r="AF573" s="136" t="str">
        <f t="shared" si="143"/>
        <v>None</v>
      </c>
      <c r="AG573" s="2628">
        <f t="shared" si="144"/>
        <v>1.2E-2</v>
      </c>
      <c r="AH573" s="1266">
        <v>0.1</v>
      </c>
    </row>
    <row r="574" spans="1:34" ht="12.75">
      <c r="A574" s="2199">
        <f t="shared" si="146"/>
        <v>562</v>
      </c>
      <c r="B574" s="2200" t="s">
        <v>2637</v>
      </c>
      <c r="C574" s="2743">
        <v>0</v>
      </c>
      <c r="D574" s="2743">
        <v>0</v>
      </c>
      <c r="E574" s="2949">
        <v>0</v>
      </c>
      <c r="F574" s="2200" t="s">
        <v>2313</v>
      </c>
      <c r="G574" s="2200" t="s">
        <v>127</v>
      </c>
      <c r="H574" s="2200" t="s">
        <v>1057</v>
      </c>
      <c r="I574" s="2742">
        <v>0</v>
      </c>
      <c r="J574" s="2742"/>
      <c r="K574" s="2752">
        <v>45</v>
      </c>
      <c r="L574" s="2745">
        <f t="shared" si="135"/>
        <v>0</v>
      </c>
      <c r="M574" s="2745">
        <f t="shared" si="138"/>
        <v>0</v>
      </c>
      <c r="N574" s="2745" t="str">
        <f t="shared" si="139"/>
        <v>check</v>
      </c>
      <c r="O574" s="1232">
        <f t="shared" si="140"/>
        <v>0</v>
      </c>
      <c r="P574" s="1227" t="str">
        <f t="shared" si="145"/>
        <v>400gsm ARTBOARD Ensocoat (C2S) StoraEnso</v>
      </c>
      <c r="Q574" s="254">
        <v>0.45</v>
      </c>
      <c r="R574" s="1228" t="str">
        <f t="shared" si="148"/>
        <v>400</v>
      </c>
      <c r="S574" s="2625">
        <f t="shared" si="136"/>
        <v>0</v>
      </c>
      <c r="T574" s="2747">
        <f>IF(L574&gt;0,IF(input!$B$2=$O$1,(((L574+Y574/22)+(L574+Y574/22)*$AG574+$X574)*$P$11+$M$7)/1000,(((L574+Y574/22)+(L574+Y574/22)*O574+(L574+Y574/22)*$AG574+$X574)*$P$11+$M$7)/1000),0)</f>
        <v>0</v>
      </c>
      <c r="U574" s="2747">
        <f t="shared" si="147"/>
        <v>0</v>
      </c>
      <c r="V574" s="1229"/>
      <c r="W574" s="1231" t="str">
        <f t="shared" si="137"/>
        <v>CIF</v>
      </c>
      <c r="X574" s="1230">
        <f t="shared" si="150"/>
        <v>0</v>
      </c>
      <c r="Y574" s="2625">
        <f t="shared" si="141"/>
        <v>0</v>
      </c>
      <c r="Z574" s="3208">
        <f t="shared" si="149"/>
        <v>838.18181818181813</v>
      </c>
      <c r="AA574" s="1220" t="s">
        <v>2834</v>
      </c>
      <c r="AB574" s="1220" t="s">
        <v>1396</v>
      </c>
      <c r="AC574" s="251" t="str">
        <f t="shared" si="142"/>
        <v>400gsm ARTBOARD Ensocoat (C2S) StoraEnso</v>
      </c>
      <c r="AD574" s="2746">
        <f>IF(L574&gt;0,IF(input!$B$2=$O$1,(((M574)+(M574)*$M$10)*$P$11)/1000,(((M574)+(M574)*O574+(M574)*$M$10)*$P$11)/1000),0)</f>
        <v>0</v>
      </c>
      <c r="AE574" s="2746">
        <f>IF(L574&gt;0,IF(input!$B$2=$O$1,(((N574)+(N574)*$M$10)*$P$11)/1000,(((N574)+(N574)*O574+(N574)*$M$10)*$P$11)/1000),0)</f>
        <v>0</v>
      </c>
      <c r="AF574" s="136" t="str">
        <f t="shared" si="143"/>
        <v>None</v>
      </c>
      <c r="AG574" s="2628">
        <f t="shared" si="144"/>
        <v>1.2E-2</v>
      </c>
      <c r="AH574" s="1266">
        <v>0.1</v>
      </c>
    </row>
    <row r="575" spans="1:34" ht="12.75">
      <c r="A575" s="2199">
        <f t="shared" si="146"/>
        <v>563</v>
      </c>
      <c r="B575" s="2200" t="s">
        <v>2638</v>
      </c>
      <c r="C575" s="2743">
        <v>0</v>
      </c>
      <c r="D575" s="2743">
        <v>0</v>
      </c>
      <c r="E575" s="2949">
        <v>0</v>
      </c>
      <c r="F575" s="2200" t="s">
        <v>2313</v>
      </c>
      <c r="G575" s="2200" t="s">
        <v>127</v>
      </c>
      <c r="H575" s="2200" t="s">
        <v>1057</v>
      </c>
      <c r="I575" s="2742">
        <v>0</v>
      </c>
      <c r="J575" s="2742"/>
      <c r="K575" s="2752">
        <v>45</v>
      </c>
      <c r="L575" s="2745">
        <f t="shared" si="135"/>
        <v>0</v>
      </c>
      <c r="M575" s="2745">
        <f t="shared" si="138"/>
        <v>0</v>
      </c>
      <c r="N575" s="2745" t="str">
        <f t="shared" si="139"/>
        <v>check</v>
      </c>
      <c r="O575" s="1232">
        <f t="shared" si="140"/>
        <v>0</v>
      </c>
      <c r="P575" s="1227" t="str">
        <f t="shared" si="145"/>
        <v>450gsm ARTBOARD Ensocoat (C2S) StoraEnso</v>
      </c>
      <c r="Q575" s="254">
        <v>0.52</v>
      </c>
      <c r="R575" s="1228" t="str">
        <f t="shared" si="148"/>
        <v>450</v>
      </c>
      <c r="S575" s="2625">
        <f t="shared" si="136"/>
        <v>0</v>
      </c>
      <c r="T575" s="2747">
        <f>IF(L575&gt;0,IF(input!$B$2=$O$1,(((L575+Y575/22)+(L575+Y575/22)*$AG575+$X575)*$P$11+$M$7)/1000,(((L575+Y575/22)+(L575+Y575/22)*O575+(L575+Y575/22)*$AG575+$X575)*$P$11+$M$7)/1000),0)</f>
        <v>0</v>
      </c>
      <c r="U575" s="2747">
        <f t="shared" si="147"/>
        <v>0</v>
      </c>
      <c r="V575" s="1229"/>
      <c r="W575" s="1231" t="str">
        <f t="shared" si="137"/>
        <v>CIF</v>
      </c>
      <c r="X575" s="1230">
        <f t="shared" si="150"/>
        <v>0</v>
      </c>
      <c r="Y575" s="2625">
        <f t="shared" si="141"/>
        <v>0</v>
      </c>
      <c r="Z575" s="3208">
        <f t="shared" si="149"/>
        <v>838.18181818181813</v>
      </c>
      <c r="AA575" s="1220" t="s">
        <v>2834</v>
      </c>
      <c r="AB575" s="1220" t="s">
        <v>1396</v>
      </c>
      <c r="AC575" s="251" t="str">
        <f t="shared" si="142"/>
        <v>450gsm ARTBOARD Ensocoat (C2S) StoraEnso</v>
      </c>
      <c r="AD575" s="2746">
        <f>IF(L575&gt;0,IF(input!$B$2=$O$1,(((M575)+(M575)*$M$10)*$P$11)/1000,(((M575)+(M575)*O575+(M575)*$M$10)*$P$11)/1000),0)</f>
        <v>0</v>
      </c>
      <c r="AE575" s="2746">
        <f>IF(L575&gt;0,IF(input!$B$2=$O$1,(((N575)+(N575)*$M$10)*$P$11)/1000,(((N575)+(N575)*O575+(N575)*$M$10)*$P$11)/1000),0)</f>
        <v>0</v>
      </c>
      <c r="AF575" s="136" t="str">
        <f t="shared" si="143"/>
        <v>None</v>
      </c>
      <c r="AG575" s="2628">
        <f t="shared" si="144"/>
        <v>1.2E-2</v>
      </c>
      <c r="AH575" s="1266">
        <v>0.1</v>
      </c>
    </row>
    <row r="576" spans="1:34" ht="12.75">
      <c r="A576" s="2199">
        <f t="shared" si="146"/>
        <v>564</v>
      </c>
      <c r="B576" s="2200" t="s">
        <v>2639</v>
      </c>
      <c r="C576" s="2743">
        <v>0</v>
      </c>
      <c r="D576" s="2743">
        <v>0</v>
      </c>
      <c r="E576" s="2949">
        <v>0</v>
      </c>
      <c r="F576" s="2200" t="s">
        <v>2313</v>
      </c>
      <c r="G576" s="2200" t="s">
        <v>127</v>
      </c>
      <c r="H576" s="2200" t="s">
        <v>1057</v>
      </c>
      <c r="I576" s="2742">
        <v>0</v>
      </c>
      <c r="J576" s="2742"/>
      <c r="K576" s="2752">
        <v>45</v>
      </c>
      <c r="L576" s="2745">
        <f t="shared" si="135"/>
        <v>0</v>
      </c>
      <c r="M576" s="2745">
        <f t="shared" si="138"/>
        <v>0</v>
      </c>
      <c r="N576" s="2745" t="str">
        <f t="shared" si="139"/>
        <v>check</v>
      </c>
      <c r="O576" s="1232">
        <f t="shared" si="140"/>
        <v>0</v>
      </c>
      <c r="P576" s="1227" t="str">
        <f t="shared" si="145"/>
        <v>500gsm ARTBOARD Ensocoat (C2S) StoraEnso</v>
      </c>
      <c r="Q576" s="254">
        <v>0.6</v>
      </c>
      <c r="R576" s="1228" t="str">
        <f t="shared" si="148"/>
        <v>500</v>
      </c>
      <c r="S576" s="2625">
        <f t="shared" si="136"/>
        <v>0</v>
      </c>
      <c r="T576" s="2747">
        <f>IF(L576&gt;0,IF(input!$B$2=$O$1,(((L576+Y576/22)+(L576+Y576/22)*$AG576+$X576)*$P$11+$M$7)/1000,(((L576+Y576/22)+(L576+Y576/22)*O576+(L576+Y576/22)*$AG576+$X576)*$P$11+$M$7)/1000),0)</f>
        <v>0</v>
      </c>
      <c r="U576" s="2747">
        <f t="shared" si="147"/>
        <v>0</v>
      </c>
      <c r="V576" s="1229"/>
      <c r="W576" s="1231" t="str">
        <f t="shared" si="137"/>
        <v>CIF</v>
      </c>
      <c r="X576" s="1230">
        <f t="shared" si="150"/>
        <v>0</v>
      </c>
      <c r="Y576" s="2625">
        <f t="shared" si="141"/>
        <v>0</v>
      </c>
      <c r="Z576" s="3208">
        <f t="shared" si="149"/>
        <v>838.18181818181813</v>
      </c>
      <c r="AA576" s="1220" t="s">
        <v>2834</v>
      </c>
      <c r="AB576" s="1220" t="s">
        <v>1396</v>
      </c>
      <c r="AC576" s="251" t="str">
        <f t="shared" si="142"/>
        <v>500gsm ARTBOARD Ensocoat (C2S) StoraEnso</v>
      </c>
      <c r="AD576" s="2746">
        <f>IF(L576&gt;0,IF(input!$B$2=$O$1,(((M576)+(M576)*$M$10)*$P$11)/1000,(((M576)+(M576)*O576+(M576)*$M$10)*$P$11)/1000),0)</f>
        <v>0</v>
      </c>
      <c r="AE576" s="2746">
        <f>IF(L576&gt;0,IF(input!$B$2=$O$1,(((N576)+(N576)*$M$10)*$P$11)/1000,(((N576)+(N576)*O576+(N576)*$M$10)*$P$11)/1000),0)</f>
        <v>0</v>
      </c>
      <c r="AF576" s="136" t="str">
        <f t="shared" si="143"/>
        <v>None</v>
      </c>
      <c r="AG576" s="2628">
        <f t="shared" si="144"/>
        <v>1.2E-2</v>
      </c>
      <c r="AH576" s="1266">
        <v>0.1</v>
      </c>
    </row>
    <row r="577" spans="1:34" ht="12.75">
      <c r="A577" s="2199">
        <f t="shared" si="146"/>
        <v>565</v>
      </c>
      <c r="B577" s="2200" t="s">
        <v>2640</v>
      </c>
      <c r="C577" s="2743">
        <v>0</v>
      </c>
      <c r="D577" s="2743">
        <v>0</v>
      </c>
      <c r="E577" s="2949">
        <v>0</v>
      </c>
      <c r="F577" s="2200">
        <v>20</v>
      </c>
      <c r="G577" s="2200" t="s">
        <v>2038</v>
      </c>
      <c r="H577" s="2200" t="s">
        <v>1057</v>
      </c>
      <c r="I577" s="2742">
        <v>30</v>
      </c>
      <c r="J577" s="2742"/>
      <c r="K577" s="2752">
        <v>60</v>
      </c>
      <c r="L577" s="2745">
        <f t="shared" ref="L577:L640" si="151">$D577</f>
        <v>0</v>
      </c>
      <c r="M577" s="2745">
        <f t="shared" si="138"/>
        <v>30</v>
      </c>
      <c r="N577" s="2745">
        <f t="shared" si="139"/>
        <v>20</v>
      </c>
      <c r="O577" s="1232">
        <f t="shared" si="140"/>
        <v>0</v>
      </c>
      <c r="P577" s="1227" t="str">
        <f t="shared" si="145"/>
        <v>080gsm ART PAPER MOORIM - MATT</v>
      </c>
      <c r="Q577" s="254">
        <v>7.0999999999999994E-2</v>
      </c>
      <c r="R577" s="1228" t="str">
        <f t="shared" si="148"/>
        <v>080</v>
      </c>
      <c r="S577" s="2625">
        <f t="shared" ref="S577:S640" si="152">C577</f>
        <v>0</v>
      </c>
      <c r="T577" s="2747">
        <f>IF(L577&gt;0,IF(input!$B$2=$O$1,(((L577+Y577/22)+(L577+Y577/22)*$AG577+$X577)*$P$11+$M$7)/1000,(((L577+Y577/22)+(L577+Y577/22)*O577+(L577+Y577/22)*$AG577+$X577)*$P$11+$M$7)/1000),0)</f>
        <v>0</v>
      </c>
      <c r="U577" s="2747">
        <f t="shared" si="147"/>
        <v>0</v>
      </c>
      <c r="V577" s="1229"/>
      <c r="W577" s="1231" t="str">
        <f t="shared" ref="W577:W640" si="153">H577</f>
        <v>CIF</v>
      </c>
      <c r="X577" s="1230">
        <f t="shared" si="150"/>
        <v>0</v>
      </c>
      <c r="Y577" s="2625">
        <f t="shared" si="141"/>
        <v>0</v>
      </c>
      <c r="Z577" s="3208">
        <f t="shared" si="149"/>
        <v>838.18181818181813</v>
      </c>
      <c r="AA577" s="1220" t="s">
        <v>2835</v>
      </c>
      <c r="AB577" s="1220" t="s">
        <v>1397</v>
      </c>
      <c r="AC577" s="251" t="str">
        <f t="shared" si="142"/>
        <v>080gsm ART PAPER MOORIM - MATT</v>
      </c>
      <c r="AD577" s="2746">
        <f>IF(L577&gt;0,IF(input!$B$2=$O$1,(((M577)+(M577)*$M$10)*$P$11)/1000,(((M577)+(M577)*O577+(M577)*$M$10)*$P$11)/1000),0)</f>
        <v>0</v>
      </c>
      <c r="AE577" s="2746">
        <f>IF(L577&gt;0,IF(input!$B$2=$O$1,(((N577)+(N577)*$M$10)*$P$11)/1000,(((N577)+(N577)*O577+(N577)*$M$10)*$P$11)/1000),0)</f>
        <v>0</v>
      </c>
      <c r="AF577" s="136" t="str">
        <f t="shared" si="143"/>
        <v>FSC</v>
      </c>
      <c r="AG577" s="2628">
        <f t="shared" si="144"/>
        <v>1.6E-2</v>
      </c>
      <c r="AH577" s="1266">
        <v>0.1</v>
      </c>
    </row>
    <row r="578" spans="1:34" ht="12.75">
      <c r="A578" s="2199">
        <f t="shared" si="146"/>
        <v>566</v>
      </c>
      <c r="B578" s="2200" t="s">
        <v>2641</v>
      </c>
      <c r="C578" s="2743">
        <v>0</v>
      </c>
      <c r="D578" s="2743">
        <v>0</v>
      </c>
      <c r="E578" s="2949">
        <v>0</v>
      </c>
      <c r="F578" s="2200">
        <v>20</v>
      </c>
      <c r="G578" s="2200" t="s">
        <v>2038</v>
      </c>
      <c r="H578" s="2200" t="s">
        <v>1057</v>
      </c>
      <c r="I578" s="2742">
        <v>30</v>
      </c>
      <c r="J578" s="2742"/>
      <c r="K578" s="2752">
        <v>60</v>
      </c>
      <c r="L578" s="2745">
        <f t="shared" si="151"/>
        <v>0</v>
      </c>
      <c r="M578" s="2745">
        <f t="shared" ref="M578:M641" si="154">I578</f>
        <v>30</v>
      </c>
      <c r="N578" s="2745">
        <f t="shared" ref="N578:N641" si="155">$F578</f>
        <v>20</v>
      </c>
      <c r="O578" s="1232">
        <f t="shared" ref="O578:O641" si="156">$E578</f>
        <v>0</v>
      </c>
      <c r="P578" s="1227" t="str">
        <f t="shared" si="145"/>
        <v>090gsm ART PAPER MOORIM - MATT</v>
      </c>
      <c r="Q578" s="254">
        <v>8.1000000000000003E-2</v>
      </c>
      <c r="R578" s="1228" t="str">
        <f t="shared" si="148"/>
        <v>090</v>
      </c>
      <c r="S578" s="2625">
        <f t="shared" si="152"/>
        <v>0</v>
      </c>
      <c r="T578" s="2747">
        <f>IF(L578&gt;0,IF(input!$B$2=$O$1,(((L578+Y578/22)+(L578+Y578/22)*$AG578+$X578)*$P$11+$M$7)/1000,(((L578+Y578/22)+(L578+Y578/22)*O578+(L578+Y578/22)*$AG578+$X578)*$P$11+$M$7)/1000),0)</f>
        <v>0</v>
      </c>
      <c r="U578" s="2747">
        <f t="shared" si="147"/>
        <v>0</v>
      </c>
      <c r="V578" s="1229"/>
      <c r="W578" s="1231" t="str">
        <f t="shared" si="153"/>
        <v>CIF</v>
      </c>
      <c r="X578" s="1230">
        <f t="shared" si="150"/>
        <v>0</v>
      </c>
      <c r="Y578" s="2625">
        <f t="shared" si="141"/>
        <v>0</v>
      </c>
      <c r="Z578" s="3208">
        <f t="shared" si="149"/>
        <v>838.18181818181813</v>
      </c>
      <c r="AA578" s="1220" t="s">
        <v>2835</v>
      </c>
      <c r="AB578" s="1220" t="s">
        <v>1397</v>
      </c>
      <c r="AC578" s="251" t="str">
        <f t="shared" si="142"/>
        <v>090gsm ART PAPER MOORIM - MATT</v>
      </c>
      <c r="AD578" s="2746">
        <f>IF(L578&gt;0,IF(input!$B$2=$O$1,(((M578)+(M578)*$M$10)*$P$11)/1000,(((M578)+(M578)*O578+(M578)*$M$10)*$P$11)/1000),0)</f>
        <v>0</v>
      </c>
      <c r="AE578" s="2746">
        <f>IF(L578&gt;0,IF(input!$B$2=$O$1,(((N578)+(N578)*$M$10)*$P$11)/1000,(((N578)+(N578)*O578+(N578)*$M$10)*$P$11)/1000),0)</f>
        <v>0</v>
      </c>
      <c r="AF578" s="136" t="str">
        <f t="shared" si="143"/>
        <v>FSC</v>
      </c>
      <c r="AG578" s="2628">
        <f t="shared" si="144"/>
        <v>1.6E-2</v>
      </c>
      <c r="AH578" s="1266">
        <v>0.1</v>
      </c>
    </row>
    <row r="579" spans="1:34" ht="12.75">
      <c r="A579" s="2199">
        <f t="shared" si="146"/>
        <v>567</v>
      </c>
      <c r="B579" s="2200" t="s">
        <v>2642</v>
      </c>
      <c r="C579" s="2743">
        <v>21500</v>
      </c>
      <c r="D579" s="2743">
        <v>900</v>
      </c>
      <c r="E579" s="2949">
        <v>0</v>
      </c>
      <c r="F579" s="2200">
        <v>20</v>
      </c>
      <c r="G579" s="2200" t="s">
        <v>2038</v>
      </c>
      <c r="H579" s="2200" t="s">
        <v>1057</v>
      </c>
      <c r="I579" s="2742">
        <v>30</v>
      </c>
      <c r="J579" s="2742"/>
      <c r="K579" s="2752">
        <v>60</v>
      </c>
      <c r="L579" s="2745">
        <f t="shared" si="151"/>
        <v>900</v>
      </c>
      <c r="M579" s="2745">
        <f t="shared" si="154"/>
        <v>30</v>
      </c>
      <c r="N579" s="2745">
        <f t="shared" si="155"/>
        <v>20</v>
      </c>
      <c r="O579" s="1232">
        <f t="shared" si="156"/>
        <v>0</v>
      </c>
      <c r="P579" s="1227" t="str">
        <f t="shared" si="145"/>
        <v>100gsm ART PAPER MOORIM - MATT</v>
      </c>
      <c r="Q579" s="254">
        <v>9.0999999999999998E-2</v>
      </c>
      <c r="R579" s="1228" t="str">
        <f t="shared" si="148"/>
        <v>100</v>
      </c>
      <c r="S579" s="2625">
        <f t="shared" si="152"/>
        <v>21500</v>
      </c>
      <c r="T579" s="2747">
        <f>IF(L579&gt;0,IF(input!$B$2=$O$1,(((L579+Y579/22)+(L579+Y579/22)*$AG579+$X579)*$P$11+$M$7)/1000,(((L579+Y579/22)+(L579+Y579/22)*O579+(L579+Y579/22)*$AG579+$X579)*$P$11+$M$7)/1000),0)</f>
        <v>22554.743999999999</v>
      </c>
      <c r="U579" s="2747">
        <f t="shared" si="147"/>
        <v>20745.589225589225</v>
      </c>
      <c r="V579" s="1229"/>
      <c r="W579" s="1231" t="str">
        <f t="shared" si="153"/>
        <v>CIF</v>
      </c>
      <c r="X579" s="1230">
        <f t="shared" si="150"/>
        <v>0</v>
      </c>
      <c r="Y579" s="2625">
        <f t="shared" ref="Y579:Y642" si="157">J579</f>
        <v>0</v>
      </c>
      <c r="Z579" s="3208">
        <f t="shared" si="149"/>
        <v>838.18181818181813</v>
      </c>
      <c r="AA579" s="1220" t="s">
        <v>2835</v>
      </c>
      <c r="AB579" s="1220" t="s">
        <v>1397</v>
      </c>
      <c r="AC579" s="251" t="str">
        <f t="shared" ref="AC579:AC642" si="158">B579</f>
        <v>100gsm ART PAPER MOORIM - MATT</v>
      </c>
      <c r="AD579" s="2746">
        <f>IF(L579&gt;0,IF(input!$B$2=$O$1,(((M579)+(M579)*$M$10)*$P$11)/1000,(((M579)+(M579)*O579+(M579)*$M$10)*$P$11)/1000),0)</f>
        <v>726.06239999999991</v>
      </c>
      <c r="AE579" s="2746">
        <f>IF(L579&gt;0,IF(input!$B$2=$O$1,(((N579)+(N579)*$M$10)*$P$11)/1000,(((N579)+(N579)*O579+(N579)*$M$10)*$P$11)/1000),0)</f>
        <v>484.04159999999996</v>
      </c>
      <c r="AF579" s="136" t="str">
        <f t="shared" ref="AF579:AF642" si="159">G579</f>
        <v>FSC</v>
      </c>
      <c r="AG579" s="2628">
        <f t="shared" ref="AG579:AG642" si="160">K579*$M$10/30</f>
        <v>1.6E-2</v>
      </c>
      <c r="AH579" s="1266">
        <v>0.1</v>
      </c>
    </row>
    <row r="580" spans="1:34" ht="12.75">
      <c r="A580" s="2199">
        <f t="shared" si="146"/>
        <v>568</v>
      </c>
      <c r="B580" s="2200" t="s">
        <v>2643</v>
      </c>
      <c r="C580" s="2743">
        <v>0</v>
      </c>
      <c r="D580" s="2743">
        <v>900</v>
      </c>
      <c r="E580" s="2949">
        <v>0</v>
      </c>
      <c r="F580" s="2200">
        <v>20</v>
      </c>
      <c r="G580" s="2200" t="s">
        <v>2038</v>
      </c>
      <c r="H580" s="2200" t="s">
        <v>1057</v>
      </c>
      <c r="I580" s="2742">
        <v>30</v>
      </c>
      <c r="J580" s="2742"/>
      <c r="K580" s="2752">
        <v>60</v>
      </c>
      <c r="L580" s="2745">
        <f t="shared" si="151"/>
        <v>900</v>
      </c>
      <c r="M580" s="2745">
        <f t="shared" si="154"/>
        <v>30</v>
      </c>
      <c r="N580" s="2745">
        <f t="shared" si="155"/>
        <v>20</v>
      </c>
      <c r="O580" s="1232">
        <f t="shared" si="156"/>
        <v>0</v>
      </c>
      <c r="P580" s="1227" t="str">
        <f t="shared" si="145"/>
        <v>105gsm ART PAPER MOORIM - MATT</v>
      </c>
      <c r="Q580" s="254">
        <v>9.6000000000000002E-2</v>
      </c>
      <c r="R580" s="1228" t="str">
        <f t="shared" si="148"/>
        <v>105</v>
      </c>
      <c r="S580" s="2625">
        <f t="shared" si="152"/>
        <v>0</v>
      </c>
      <c r="T580" s="2747">
        <f>IF(L580&gt;0,IF(input!$B$2=$O$1,(((L580+Y580/22)+(L580+Y580/22)*$AG580+$X580)*$P$11+$M$7)/1000,(((L580+Y580/22)+(L580+Y580/22)*O580+(L580+Y580/22)*$AG580+$X580)*$P$11+$M$7)/1000),0)</f>
        <v>22554.743999999999</v>
      </c>
      <c r="U580" s="2747">
        <f t="shared" si="147"/>
        <v>0</v>
      </c>
      <c r="V580" s="1229"/>
      <c r="W580" s="1231" t="str">
        <f t="shared" si="153"/>
        <v>CIF</v>
      </c>
      <c r="X580" s="1230">
        <f t="shared" si="150"/>
        <v>0</v>
      </c>
      <c r="Y580" s="2625">
        <f t="shared" si="157"/>
        <v>0</v>
      </c>
      <c r="Z580" s="3208">
        <f t="shared" si="149"/>
        <v>838.18181818181813</v>
      </c>
      <c r="AA580" s="1220" t="s">
        <v>2835</v>
      </c>
      <c r="AB580" s="1220" t="s">
        <v>1397</v>
      </c>
      <c r="AC580" s="251" t="str">
        <f t="shared" si="158"/>
        <v>105gsm ART PAPER MOORIM - MATT</v>
      </c>
      <c r="AD580" s="2746">
        <f>IF(L580&gt;0,IF(input!$B$2=$O$1,(((M580)+(M580)*$M$10)*$P$11)/1000,(((M580)+(M580)*O580+(M580)*$M$10)*$P$11)/1000),0)</f>
        <v>726.06239999999991</v>
      </c>
      <c r="AE580" s="2746">
        <f>IF(L580&gt;0,IF(input!$B$2=$O$1,(((N580)+(N580)*$M$10)*$P$11)/1000,(((N580)+(N580)*O580+(N580)*$M$10)*$P$11)/1000),0)</f>
        <v>484.04159999999996</v>
      </c>
      <c r="AF580" s="136" t="str">
        <f t="shared" si="159"/>
        <v>FSC</v>
      </c>
      <c r="AG580" s="2628">
        <f t="shared" si="160"/>
        <v>1.6E-2</v>
      </c>
      <c r="AH580" s="1266">
        <v>0.1</v>
      </c>
    </row>
    <row r="581" spans="1:34" ht="12.75">
      <c r="A581" s="2199">
        <f t="shared" si="146"/>
        <v>569</v>
      </c>
      <c r="B581" s="2200" t="s">
        <v>2644</v>
      </c>
      <c r="C581" s="2743">
        <v>0</v>
      </c>
      <c r="D581" s="2743">
        <v>900</v>
      </c>
      <c r="E581" s="2949">
        <v>0</v>
      </c>
      <c r="F581" s="2200">
        <v>20</v>
      </c>
      <c r="G581" s="2200" t="s">
        <v>2038</v>
      </c>
      <c r="H581" s="2200" t="s">
        <v>1057</v>
      </c>
      <c r="I581" s="2742">
        <v>30</v>
      </c>
      <c r="J581" s="2742"/>
      <c r="K581" s="2752">
        <v>60</v>
      </c>
      <c r="L581" s="2745">
        <f t="shared" si="151"/>
        <v>900</v>
      </c>
      <c r="M581" s="2745">
        <f t="shared" si="154"/>
        <v>30</v>
      </c>
      <c r="N581" s="2745">
        <f t="shared" si="155"/>
        <v>20</v>
      </c>
      <c r="O581" s="1232">
        <f t="shared" si="156"/>
        <v>0</v>
      </c>
      <c r="P581" s="1227" t="str">
        <f t="shared" si="145"/>
        <v>110gsm ART PAPER MOORIM - MATT</v>
      </c>
      <c r="Q581" s="254">
        <v>0.10100000000000001</v>
      </c>
      <c r="R581" s="1228" t="str">
        <f t="shared" si="148"/>
        <v>110</v>
      </c>
      <c r="S581" s="2625">
        <f t="shared" si="152"/>
        <v>0</v>
      </c>
      <c r="T581" s="2747">
        <f>IF(L581&gt;0,IF(input!$B$2=$O$1,(((L581+Y581/22)+(L581+Y581/22)*$AG581+$X581)*$P$11+$M$7)/1000,(((L581+Y581/22)+(L581+Y581/22)*O581+(L581+Y581/22)*$AG581+$X581)*$P$11+$M$7)/1000),0)</f>
        <v>22554.743999999999</v>
      </c>
      <c r="U581" s="2747">
        <f t="shared" si="147"/>
        <v>0</v>
      </c>
      <c r="V581" s="1229"/>
      <c r="W581" s="1231" t="str">
        <f t="shared" si="153"/>
        <v>CIF</v>
      </c>
      <c r="X581" s="1230">
        <f t="shared" si="150"/>
        <v>0</v>
      </c>
      <c r="Y581" s="2625">
        <f t="shared" si="157"/>
        <v>0</v>
      </c>
      <c r="Z581" s="3208">
        <f t="shared" si="149"/>
        <v>838.18181818181813</v>
      </c>
      <c r="AA581" s="1220" t="s">
        <v>2835</v>
      </c>
      <c r="AB581" s="1220" t="s">
        <v>1397</v>
      </c>
      <c r="AC581" s="251" t="str">
        <f t="shared" si="158"/>
        <v>110gsm ART PAPER MOORIM - MATT</v>
      </c>
      <c r="AD581" s="2746">
        <f>IF(L581&gt;0,IF(input!$B$2=$O$1,(((M581)+(M581)*$M$10)*$P$11)/1000,(((M581)+(M581)*O581+(M581)*$M$10)*$P$11)/1000),0)</f>
        <v>726.06239999999991</v>
      </c>
      <c r="AE581" s="2746">
        <f>IF(L581&gt;0,IF(input!$B$2=$O$1,(((N581)+(N581)*$M$10)*$P$11)/1000,(((N581)+(N581)*O581+(N581)*$M$10)*$P$11)/1000),0)</f>
        <v>484.04159999999996</v>
      </c>
      <c r="AF581" s="136" t="str">
        <f t="shared" si="159"/>
        <v>FSC</v>
      </c>
      <c r="AG581" s="2628">
        <f t="shared" si="160"/>
        <v>1.6E-2</v>
      </c>
      <c r="AH581" s="1266">
        <v>0.1</v>
      </c>
    </row>
    <row r="582" spans="1:34" ht="12.75">
      <c r="A582" s="2199">
        <f t="shared" si="146"/>
        <v>570</v>
      </c>
      <c r="B582" s="2200" t="s">
        <v>2645</v>
      </c>
      <c r="C582" s="2743">
        <v>0</v>
      </c>
      <c r="D582" s="2743">
        <v>900</v>
      </c>
      <c r="E582" s="2949">
        <v>0</v>
      </c>
      <c r="F582" s="2200">
        <v>20</v>
      </c>
      <c r="G582" s="2200" t="s">
        <v>2038</v>
      </c>
      <c r="H582" s="2200" t="s">
        <v>1057</v>
      </c>
      <c r="I582" s="2742">
        <v>30</v>
      </c>
      <c r="J582" s="2742"/>
      <c r="K582" s="2752">
        <v>60</v>
      </c>
      <c r="L582" s="2745">
        <f t="shared" si="151"/>
        <v>900</v>
      </c>
      <c r="M582" s="2745">
        <f t="shared" si="154"/>
        <v>30</v>
      </c>
      <c r="N582" s="2745">
        <f t="shared" si="155"/>
        <v>20</v>
      </c>
      <c r="O582" s="1232">
        <f t="shared" si="156"/>
        <v>0</v>
      </c>
      <c r="P582" s="1227" t="str">
        <f t="shared" si="145"/>
        <v>115gsm ART PAPER MOORIM - MATT</v>
      </c>
      <c r="Q582" s="254">
        <v>0.105</v>
      </c>
      <c r="R582" s="1228" t="str">
        <f t="shared" si="148"/>
        <v>115</v>
      </c>
      <c r="S582" s="2625">
        <f t="shared" si="152"/>
        <v>0</v>
      </c>
      <c r="T582" s="2747">
        <f>IF(L582&gt;0,IF(input!$B$2=$O$1,(((L582+Y582/22)+(L582+Y582/22)*$AG582+$X582)*$P$11+$M$7)/1000,(((L582+Y582/22)+(L582+Y582/22)*O582+(L582+Y582/22)*$AG582+$X582)*$P$11+$M$7)/1000),0)</f>
        <v>22554.743999999999</v>
      </c>
      <c r="U582" s="2747">
        <f t="shared" si="147"/>
        <v>0</v>
      </c>
      <c r="V582" s="1229"/>
      <c r="W582" s="1231" t="str">
        <f t="shared" si="153"/>
        <v>CIF</v>
      </c>
      <c r="X582" s="1230">
        <f t="shared" si="150"/>
        <v>0</v>
      </c>
      <c r="Y582" s="2625">
        <f t="shared" si="157"/>
        <v>0</v>
      </c>
      <c r="Z582" s="3208">
        <f t="shared" si="149"/>
        <v>838.18181818181813</v>
      </c>
      <c r="AA582" s="1220" t="s">
        <v>2835</v>
      </c>
      <c r="AB582" s="1220" t="s">
        <v>1397</v>
      </c>
      <c r="AC582" s="251" t="str">
        <f t="shared" si="158"/>
        <v>115gsm ART PAPER MOORIM - MATT</v>
      </c>
      <c r="AD582" s="2746">
        <f>IF(L582&gt;0,IF(input!$B$2=$O$1,(((M582)+(M582)*$M$10)*$P$11)/1000,(((M582)+(M582)*O582+(M582)*$M$10)*$P$11)/1000),0)</f>
        <v>726.06239999999991</v>
      </c>
      <c r="AE582" s="2746">
        <f>IF(L582&gt;0,IF(input!$B$2=$O$1,(((N582)+(N582)*$M$10)*$P$11)/1000,(((N582)+(N582)*O582+(N582)*$M$10)*$P$11)/1000),0)</f>
        <v>484.04159999999996</v>
      </c>
      <c r="AF582" s="136" t="str">
        <f t="shared" si="159"/>
        <v>FSC</v>
      </c>
      <c r="AG582" s="2628">
        <f t="shared" si="160"/>
        <v>1.6E-2</v>
      </c>
      <c r="AH582" s="1266">
        <v>0.1</v>
      </c>
    </row>
    <row r="583" spans="1:34" ht="12.75">
      <c r="A583" s="2199">
        <f t="shared" si="146"/>
        <v>571</v>
      </c>
      <c r="B583" s="2200" t="s">
        <v>2646</v>
      </c>
      <c r="C583" s="2743">
        <v>0</v>
      </c>
      <c r="D583" s="2743">
        <v>900</v>
      </c>
      <c r="E583" s="2949">
        <v>0</v>
      </c>
      <c r="F583" s="2200">
        <v>20</v>
      </c>
      <c r="G583" s="2200" t="s">
        <v>2038</v>
      </c>
      <c r="H583" s="2200" t="s">
        <v>1057</v>
      </c>
      <c r="I583" s="2742">
        <v>30</v>
      </c>
      <c r="J583" s="2742"/>
      <c r="K583" s="2752">
        <v>60</v>
      </c>
      <c r="L583" s="2745">
        <f t="shared" si="151"/>
        <v>900</v>
      </c>
      <c r="M583" s="2745">
        <f t="shared" si="154"/>
        <v>30</v>
      </c>
      <c r="N583" s="2745">
        <f t="shared" si="155"/>
        <v>20</v>
      </c>
      <c r="O583" s="1232">
        <f t="shared" si="156"/>
        <v>0</v>
      </c>
      <c r="P583" s="1227" t="str">
        <f t="shared" si="145"/>
        <v>120gsm ART PAPER MOORIM - MATT</v>
      </c>
      <c r="Q583" s="254">
        <v>0.108</v>
      </c>
      <c r="R583" s="1228" t="str">
        <f t="shared" si="148"/>
        <v>120</v>
      </c>
      <c r="S583" s="2625">
        <f t="shared" si="152"/>
        <v>0</v>
      </c>
      <c r="T583" s="2747">
        <f>IF(L583&gt;0,IF(input!$B$2=$O$1,(((L583+Y583/22)+(L583+Y583/22)*$AG583+$X583)*$P$11+$M$7)/1000,(((L583+Y583/22)+(L583+Y583/22)*O583+(L583+Y583/22)*$AG583+$X583)*$P$11+$M$7)/1000),0)</f>
        <v>22554.743999999999</v>
      </c>
      <c r="U583" s="2747">
        <f t="shared" si="147"/>
        <v>0</v>
      </c>
      <c r="V583" s="1229"/>
      <c r="W583" s="1231" t="str">
        <f t="shared" si="153"/>
        <v>CIF</v>
      </c>
      <c r="X583" s="1230">
        <f t="shared" si="150"/>
        <v>0</v>
      </c>
      <c r="Y583" s="2625">
        <f t="shared" si="157"/>
        <v>0</v>
      </c>
      <c r="Z583" s="3208">
        <f t="shared" si="149"/>
        <v>838.18181818181813</v>
      </c>
      <c r="AA583" s="1220" t="s">
        <v>2835</v>
      </c>
      <c r="AB583" s="1220" t="s">
        <v>1397</v>
      </c>
      <c r="AC583" s="251" t="str">
        <f t="shared" si="158"/>
        <v>120gsm ART PAPER MOORIM - MATT</v>
      </c>
      <c r="AD583" s="2746">
        <f>IF(L583&gt;0,IF(input!$B$2=$O$1,(((M583)+(M583)*$M$10)*$P$11)/1000,(((M583)+(M583)*O583+(M583)*$M$10)*$P$11)/1000),0)</f>
        <v>726.06239999999991</v>
      </c>
      <c r="AE583" s="2746">
        <f>IF(L583&gt;0,IF(input!$B$2=$O$1,(((N583)+(N583)*$M$10)*$P$11)/1000,(((N583)+(N583)*O583+(N583)*$M$10)*$P$11)/1000),0)</f>
        <v>484.04159999999996</v>
      </c>
      <c r="AF583" s="136" t="str">
        <f t="shared" si="159"/>
        <v>FSC</v>
      </c>
      <c r="AG583" s="2628">
        <f t="shared" si="160"/>
        <v>1.6E-2</v>
      </c>
      <c r="AH583" s="1266">
        <v>0.1</v>
      </c>
    </row>
    <row r="584" spans="1:34" ht="12.75">
      <c r="A584" s="2199">
        <f t="shared" si="146"/>
        <v>572</v>
      </c>
      <c r="B584" s="2200" t="s">
        <v>2647</v>
      </c>
      <c r="C584" s="2743">
        <v>0</v>
      </c>
      <c r="D584" s="2743">
        <v>900</v>
      </c>
      <c r="E584" s="2949">
        <v>0</v>
      </c>
      <c r="F584" s="2200">
        <v>20</v>
      </c>
      <c r="G584" s="2200" t="s">
        <v>2038</v>
      </c>
      <c r="H584" s="2200" t="s">
        <v>1057</v>
      </c>
      <c r="I584" s="2742">
        <v>30</v>
      </c>
      <c r="J584" s="2742"/>
      <c r="K584" s="2752">
        <v>60</v>
      </c>
      <c r="L584" s="2745">
        <f t="shared" si="151"/>
        <v>900</v>
      </c>
      <c r="M584" s="2745">
        <f t="shared" si="154"/>
        <v>30</v>
      </c>
      <c r="N584" s="2745">
        <f t="shared" si="155"/>
        <v>20</v>
      </c>
      <c r="O584" s="1232">
        <f t="shared" si="156"/>
        <v>0</v>
      </c>
      <c r="P584" s="1227" t="str">
        <f t="shared" si="145"/>
        <v>130gsm ART PAPER MOORIM - MATT</v>
      </c>
      <c r="Q584" s="254">
        <v>0.11799999999999999</v>
      </c>
      <c r="R584" s="1228" t="str">
        <f t="shared" si="148"/>
        <v>130</v>
      </c>
      <c r="S584" s="2625">
        <f t="shared" si="152"/>
        <v>0</v>
      </c>
      <c r="T584" s="2747">
        <f>IF(L584&gt;0,IF(input!$B$2=$O$1,(((L584+Y584/22)+(L584+Y584/22)*$AG584+$X584)*$P$11+$M$7)/1000,(((L584+Y584/22)+(L584+Y584/22)*O584+(L584+Y584/22)*$AG584+$X584)*$P$11+$M$7)/1000),0)</f>
        <v>22554.743999999999</v>
      </c>
      <c r="U584" s="2747">
        <f t="shared" si="147"/>
        <v>0</v>
      </c>
      <c r="V584" s="1229"/>
      <c r="W584" s="1231" t="str">
        <f t="shared" si="153"/>
        <v>CIF</v>
      </c>
      <c r="X584" s="1230">
        <f t="shared" si="150"/>
        <v>0</v>
      </c>
      <c r="Y584" s="2625">
        <f t="shared" si="157"/>
        <v>0</v>
      </c>
      <c r="Z584" s="3208">
        <f t="shared" si="149"/>
        <v>838.18181818181813</v>
      </c>
      <c r="AA584" s="1220" t="s">
        <v>2835</v>
      </c>
      <c r="AB584" s="1220" t="s">
        <v>1397</v>
      </c>
      <c r="AC584" s="251" t="str">
        <f t="shared" si="158"/>
        <v>130gsm ART PAPER MOORIM - MATT</v>
      </c>
      <c r="AD584" s="2746">
        <f>IF(L584&gt;0,IF(input!$B$2=$O$1,(((M584)+(M584)*$M$10)*$P$11)/1000,(((M584)+(M584)*O584+(M584)*$M$10)*$P$11)/1000),0)</f>
        <v>726.06239999999991</v>
      </c>
      <c r="AE584" s="2746">
        <f>IF(L584&gt;0,IF(input!$B$2=$O$1,(((N584)+(N584)*$M$10)*$P$11)/1000,(((N584)+(N584)*O584+(N584)*$M$10)*$P$11)/1000),0)</f>
        <v>484.04159999999996</v>
      </c>
      <c r="AF584" s="136" t="str">
        <f t="shared" si="159"/>
        <v>FSC</v>
      </c>
      <c r="AG584" s="2628">
        <f t="shared" si="160"/>
        <v>1.6E-2</v>
      </c>
      <c r="AH584" s="1266">
        <v>0.1</v>
      </c>
    </row>
    <row r="585" spans="1:34" ht="12.75">
      <c r="A585" s="2199">
        <f t="shared" si="146"/>
        <v>573</v>
      </c>
      <c r="B585" s="2200" t="s">
        <v>2648</v>
      </c>
      <c r="C585" s="2743">
        <v>0</v>
      </c>
      <c r="D585" s="2743">
        <v>900</v>
      </c>
      <c r="E585" s="2949">
        <v>0</v>
      </c>
      <c r="F585" s="2200">
        <v>20</v>
      </c>
      <c r="G585" s="2200" t="s">
        <v>2038</v>
      </c>
      <c r="H585" s="2200" t="s">
        <v>1057</v>
      </c>
      <c r="I585" s="2742">
        <v>30</v>
      </c>
      <c r="J585" s="2742"/>
      <c r="K585" s="2752">
        <v>60</v>
      </c>
      <c r="L585" s="2745">
        <f t="shared" si="151"/>
        <v>900</v>
      </c>
      <c r="M585" s="2745">
        <f t="shared" si="154"/>
        <v>30</v>
      </c>
      <c r="N585" s="2745">
        <f t="shared" si="155"/>
        <v>20</v>
      </c>
      <c r="O585" s="1232">
        <f t="shared" si="156"/>
        <v>0</v>
      </c>
      <c r="P585" s="1227" t="str">
        <f t="shared" si="145"/>
        <v>140gsm ART PAPER MOORIM - MATT</v>
      </c>
      <c r="Q585" s="254">
        <v>0.13</v>
      </c>
      <c r="R585" s="1228" t="str">
        <f t="shared" si="148"/>
        <v>140</v>
      </c>
      <c r="S585" s="2625">
        <f t="shared" si="152"/>
        <v>0</v>
      </c>
      <c r="T585" s="2747">
        <f>IF(L585&gt;0,IF(input!$B$2=$O$1,(((L585+Y585/22)+(L585+Y585/22)*$AG585+$X585)*$P$11+$M$7)/1000,(((L585+Y585/22)+(L585+Y585/22)*O585+(L585+Y585/22)*$AG585+$X585)*$P$11+$M$7)/1000),0)</f>
        <v>22554.743999999999</v>
      </c>
      <c r="U585" s="2747">
        <f t="shared" si="147"/>
        <v>0</v>
      </c>
      <c r="V585" s="1229"/>
      <c r="W585" s="1231" t="str">
        <f t="shared" si="153"/>
        <v>CIF</v>
      </c>
      <c r="X585" s="1230">
        <f t="shared" si="150"/>
        <v>0</v>
      </c>
      <c r="Y585" s="2625">
        <f t="shared" si="157"/>
        <v>0</v>
      </c>
      <c r="Z585" s="3208">
        <f t="shared" si="149"/>
        <v>838.18181818181813</v>
      </c>
      <c r="AA585" s="1220" t="s">
        <v>2835</v>
      </c>
      <c r="AB585" s="1220" t="s">
        <v>1397</v>
      </c>
      <c r="AC585" s="251" t="str">
        <f t="shared" si="158"/>
        <v>140gsm ART PAPER MOORIM - MATT</v>
      </c>
      <c r="AD585" s="2746">
        <f>IF(L585&gt;0,IF(input!$B$2=$O$1,(((M585)+(M585)*$M$10)*$P$11)/1000,(((M585)+(M585)*O585+(M585)*$M$10)*$P$11)/1000),0)</f>
        <v>726.06239999999991</v>
      </c>
      <c r="AE585" s="2746">
        <f>IF(L585&gt;0,IF(input!$B$2=$O$1,(((N585)+(N585)*$M$10)*$P$11)/1000,(((N585)+(N585)*O585+(N585)*$M$10)*$P$11)/1000),0)</f>
        <v>484.04159999999996</v>
      </c>
      <c r="AF585" s="136" t="str">
        <f t="shared" si="159"/>
        <v>FSC</v>
      </c>
      <c r="AG585" s="2628">
        <f t="shared" si="160"/>
        <v>1.6E-2</v>
      </c>
      <c r="AH585" s="1266">
        <v>0.1</v>
      </c>
    </row>
    <row r="586" spans="1:34" ht="12.75">
      <c r="A586" s="2199">
        <f t="shared" si="146"/>
        <v>574</v>
      </c>
      <c r="B586" s="2200" t="s">
        <v>2649</v>
      </c>
      <c r="C586" s="2743">
        <v>21500</v>
      </c>
      <c r="D586" s="2743">
        <v>900</v>
      </c>
      <c r="E586" s="2949">
        <v>0</v>
      </c>
      <c r="F586" s="2200">
        <v>20</v>
      </c>
      <c r="G586" s="2200" t="s">
        <v>2038</v>
      </c>
      <c r="H586" s="2200" t="s">
        <v>1057</v>
      </c>
      <c r="I586" s="2742">
        <v>30</v>
      </c>
      <c r="J586" s="2742"/>
      <c r="K586" s="2752">
        <v>60</v>
      </c>
      <c r="L586" s="2745">
        <f t="shared" si="151"/>
        <v>900</v>
      </c>
      <c r="M586" s="2745">
        <f t="shared" si="154"/>
        <v>30</v>
      </c>
      <c r="N586" s="2745">
        <f t="shared" si="155"/>
        <v>20</v>
      </c>
      <c r="O586" s="1232">
        <f t="shared" si="156"/>
        <v>0</v>
      </c>
      <c r="P586" s="1227" t="str">
        <f t="shared" ref="P586:P649" si="161">R586&amp;"gsm "&amp;AB586&amp;" "&amp;AA586</f>
        <v>150gsm ART PAPER MOORIM - MATT</v>
      </c>
      <c r="Q586" s="254">
        <v>0.14000000000000001</v>
      </c>
      <c r="R586" s="1228" t="str">
        <f t="shared" si="148"/>
        <v>150</v>
      </c>
      <c r="S586" s="2625">
        <f t="shared" si="152"/>
        <v>21500</v>
      </c>
      <c r="T586" s="2747">
        <f>IF(L586&gt;0,IF(input!$B$2=$O$1,(((L586+Y586/22)+(L586+Y586/22)*$AG586+$X586)*$P$11+$M$7)/1000,(((L586+Y586/22)+(L586+Y586/22)*O586+(L586+Y586/22)*$AG586+$X586)*$P$11+$M$7)/1000),0)</f>
        <v>22554.743999999999</v>
      </c>
      <c r="U586" s="2747">
        <f t="shared" si="147"/>
        <v>20745.589225589225</v>
      </c>
      <c r="V586" s="1229"/>
      <c r="W586" s="1231" t="str">
        <f t="shared" si="153"/>
        <v>CIF</v>
      </c>
      <c r="X586" s="1230">
        <f t="shared" si="150"/>
        <v>0</v>
      </c>
      <c r="Y586" s="2625">
        <f t="shared" si="157"/>
        <v>0</v>
      </c>
      <c r="Z586" s="3208">
        <f t="shared" si="149"/>
        <v>838.18181818181813</v>
      </c>
      <c r="AA586" s="1220" t="s">
        <v>2835</v>
      </c>
      <c r="AB586" s="1220" t="s">
        <v>1397</v>
      </c>
      <c r="AC586" s="251" t="str">
        <f t="shared" si="158"/>
        <v>150gsm ART PAPER MOORIM - MATT</v>
      </c>
      <c r="AD586" s="2746">
        <f>IF(L586&gt;0,IF(input!$B$2=$O$1,(((M586)+(M586)*$M$10)*$P$11)/1000,(((M586)+(M586)*O586+(M586)*$M$10)*$P$11)/1000),0)</f>
        <v>726.06239999999991</v>
      </c>
      <c r="AE586" s="2746">
        <f>IF(L586&gt;0,IF(input!$B$2=$O$1,(((N586)+(N586)*$M$10)*$P$11)/1000,(((N586)+(N586)*O586+(N586)*$M$10)*$P$11)/1000),0)</f>
        <v>484.04159999999996</v>
      </c>
      <c r="AF586" s="136" t="str">
        <f t="shared" si="159"/>
        <v>FSC</v>
      </c>
      <c r="AG586" s="2628">
        <f t="shared" si="160"/>
        <v>1.6E-2</v>
      </c>
      <c r="AH586" s="1266">
        <v>0.1</v>
      </c>
    </row>
    <row r="587" spans="1:34" ht="12.75">
      <c r="A587" s="2199">
        <f t="shared" si="146"/>
        <v>575</v>
      </c>
      <c r="B587" s="2200" t="s">
        <v>2650</v>
      </c>
      <c r="C587" s="2743">
        <v>0</v>
      </c>
      <c r="D587" s="2743">
        <v>900</v>
      </c>
      <c r="E587" s="2949">
        <v>0</v>
      </c>
      <c r="F587" s="2200">
        <v>20</v>
      </c>
      <c r="G587" s="2200" t="s">
        <v>2038</v>
      </c>
      <c r="H587" s="2200" t="s">
        <v>1057</v>
      </c>
      <c r="I587" s="2742">
        <v>30</v>
      </c>
      <c r="J587" s="2742"/>
      <c r="K587" s="2752">
        <v>60</v>
      </c>
      <c r="L587" s="2745">
        <f t="shared" si="151"/>
        <v>900</v>
      </c>
      <c r="M587" s="2745">
        <f t="shared" si="154"/>
        <v>30</v>
      </c>
      <c r="N587" s="2745">
        <f t="shared" si="155"/>
        <v>20</v>
      </c>
      <c r="O587" s="1232">
        <f t="shared" si="156"/>
        <v>0</v>
      </c>
      <c r="P587" s="1227" t="str">
        <f t="shared" si="161"/>
        <v>157gsm ART PAPER MOORIM - MATT</v>
      </c>
      <c r="Q587" s="254">
        <v>0.15</v>
      </c>
      <c r="R587" s="1228" t="str">
        <f t="shared" si="148"/>
        <v>157</v>
      </c>
      <c r="S587" s="2625">
        <f t="shared" si="152"/>
        <v>0</v>
      </c>
      <c r="T587" s="2747">
        <f>IF(L587&gt;0,IF(input!$B$2=$O$1,(((L587+Y587/22)+(L587+Y587/22)*$AG587+$X587)*$P$11+$M$7)/1000,(((L587+Y587/22)+(L587+Y587/22)*O587+(L587+Y587/22)*$AG587+$X587)*$P$11+$M$7)/1000),0)</f>
        <v>22554.743999999999</v>
      </c>
      <c r="U587" s="2747">
        <f t="shared" si="147"/>
        <v>0</v>
      </c>
      <c r="V587" s="1229"/>
      <c r="W587" s="1231" t="str">
        <f t="shared" si="153"/>
        <v>CIF</v>
      </c>
      <c r="X587" s="1230">
        <f t="shared" si="150"/>
        <v>0</v>
      </c>
      <c r="Y587" s="2625">
        <f t="shared" si="157"/>
        <v>0</v>
      </c>
      <c r="Z587" s="3208">
        <f t="shared" si="149"/>
        <v>838.18181818181813</v>
      </c>
      <c r="AA587" s="1220" t="s">
        <v>2835</v>
      </c>
      <c r="AB587" s="1220" t="s">
        <v>1397</v>
      </c>
      <c r="AC587" s="251" t="str">
        <f t="shared" si="158"/>
        <v>157gsm ART PAPER MOORIM - MATT</v>
      </c>
      <c r="AD587" s="2746">
        <f>IF(L587&gt;0,IF(input!$B$2=$O$1,(((M587)+(M587)*$M$10)*$P$11)/1000,(((M587)+(M587)*O587+(M587)*$M$10)*$P$11)/1000),0)</f>
        <v>726.06239999999991</v>
      </c>
      <c r="AE587" s="2746">
        <f>IF(L587&gt;0,IF(input!$B$2=$O$1,(((N587)+(N587)*$M$10)*$P$11)/1000,(((N587)+(N587)*O587+(N587)*$M$10)*$P$11)/1000),0)</f>
        <v>484.04159999999996</v>
      </c>
      <c r="AF587" s="136" t="str">
        <f t="shared" si="159"/>
        <v>FSC</v>
      </c>
      <c r="AG587" s="2628">
        <f t="shared" si="160"/>
        <v>1.6E-2</v>
      </c>
      <c r="AH587" s="1266">
        <v>0.1</v>
      </c>
    </row>
    <row r="588" spans="1:34" ht="12.75">
      <c r="A588" s="2199">
        <f t="shared" si="146"/>
        <v>576</v>
      </c>
      <c r="B588" s="2200" t="s">
        <v>2651</v>
      </c>
      <c r="C588" s="2743">
        <v>0</v>
      </c>
      <c r="D588" s="2743">
        <v>900</v>
      </c>
      <c r="E588" s="2949">
        <v>0</v>
      </c>
      <c r="F588" s="2200">
        <v>20</v>
      </c>
      <c r="G588" s="2200" t="s">
        <v>2038</v>
      </c>
      <c r="H588" s="2200" t="s">
        <v>1057</v>
      </c>
      <c r="I588" s="2742">
        <v>30</v>
      </c>
      <c r="J588" s="2742"/>
      <c r="K588" s="2752">
        <v>60</v>
      </c>
      <c r="L588" s="2745">
        <f t="shared" si="151"/>
        <v>900</v>
      </c>
      <c r="M588" s="2745">
        <f t="shared" si="154"/>
        <v>30</v>
      </c>
      <c r="N588" s="2745">
        <f t="shared" si="155"/>
        <v>20</v>
      </c>
      <c r="O588" s="1232">
        <f t="shared" si="156"/>
        <v>0</v>
      </c>
      <c r="P588" s="1227" t="str">
        <f t="shared" si="161"/>
        <v>170gsm ART PAPER MOORIM - MATT</v>
      </c>
      <c r="Q588" s="254">
        <v>0.16500000000000001</v>
      </c>
      <c r="R588" s="1228" t="str">
        <f t="shared" si="148"/>
        <v>170</v>
      </c>
      <c r="S588" s="2625">
        <f t="shared" si="152"/>
        <v>0</v>
      </c>
      <c r="T588" s="2747">
        <f>IF(L588&gt;0,IF(input!$B$2=$O$1,(((L588+Y588/22)+(L588+Y588/22)*$AG588+$X588)*$P$11+$M$7)/1000,(((L588+Y588/22)+(L588+Y588/22)*O588+(L588+Y588/22)*$AG588+$X588)*$P$11+$M$7)/1000),0)</f>
        <v>22554.743999999999</v>
      </c>
      <c r="U588" s="2747">
        <f t="shared" si="147"/>
        <v>0</v>
      </c>
      <c r="V588" s="1229"/>
      <c r="W588" s="1231" t="str">
        <f t="shared" si="153"/>
        <v>CIF</v>
      </c>
      <c r="X588" s="1230">
        <f t="shared" si="150"/>
        <v>0</v>
      </c>
      <c r="Y588" s="2625">
        <f t="shared" si="157"/>
        <v>0</v>
      </c>
      <c r="Z588" s="3208">
        <f t="shared" si="149"/>
        <v>838.18181818181813</v>
      </c>
      <c r="AA588" s="1220" t="s">
        <v>2835</v>
      </c>
      <c r="AB588" s="1220" t="s">
        <v>1397</v>
      </c>
      <c r="AC588" s="251" t="str">
        <f t="shared" si="158"/>
        <v>170gsm ART PAPER MOORIM - MATT</v>
      </c>
      <c r="AD588" s="2746">
        <f>IF(L588&gt;0,IF(input!$B$2=$O$1,(((M588)+(M588)*$M$10)*$P$11)/1000,(((M588)+(M588)*O588+(M588)*$M$10)*$P$11)/1000),0)</f>
        <v>726.06239999999991</v>
      </c>
      <c r="AE588" s="2746">
        <f>IF(L588&gt;0,IF(input!$B$2=$O$1,(((N588)+(N588)*$M$10)*$P$11)/1000,(((N588)+(N588)*O588+(N588)*$M$10)*$P$11)/1000),0)</f>
        <v>484.04159999999996</v>
      </c>
      <c r="AF588" s="136" t="str">
        <f t="shared" si="159"/>
        <v>FSC</v>
      </c>
      <c r="AG588" s="2628">
        <f t="shared" si="160"/>
        <v>1.6E-2</v>
      </c>
      <c r="AH588" s="1266">
        <v>0.1</v>
      </c>
    </row>
    <row r="589" spans="1:34" ht="12.75">
      <c r="A589" s="2199">
        <f t="shared" si="146"/>
        <v>577</v>
      </c>
      <c r="B589" s="2200" t="s">
        <v>2652</v>
      </c>
      <c r="C589" s="2743">
        <v>0</v>
      </c>
      <c r="D589" s="2743">
        <v>900</v>
      </c>
      <c r="E589" s="2949">
        <v>0</v>
      </c>
      <c r="F589" s="2200">
        <v>20</v>
      </c>
      <c r="G589" s="2200" t="s">
        <v>2038</v>
      </c>
      <c r="H589" s="2200" t="s">
        <v>1057</v>
      </c>
      <c r="I589" s="2742">
        <v>30</v>
      </c>
      <c r="J589" s="2742"/>
      <c r="K589" s="2752">
        <v>60</v>
      </c>
      <c r="L589" s="2745">
        <f t="shared" si="151"/>
        <v>900</v>
      </c>
      <c r="M589" s="2745">
        <f t="shared" si="154"/>
        <v>30</v>
      </c>
      <c r="N589" s="2745">
        <f t="shared" si="155"/>
        <v>20</v>
      </c>
      <c r="O589" s="1232">
        <f t="shared" si="156"/>
        <v>0</v>
      </c>
      <c r="P589" s="1227" t="str">
        <f t="shared" si="161"/>
        <v>180gsm ART PAPER MOORIM - MATT</v>
      </c>
      <c r="Q589" s="254">
        <v>0.17599999999999999</v>
      </c>
      <c r="R589" s="1228" t="str">
        <f t="shared" si="148"/>
        <v>180</v>
      </c>
      <c r="S589" s="2625">
        <f t="shared" si="152"/>
        <v>0</v>
      </c>
      <c r="T589" s="2747">
        <f>IF(L589&gt;0,IF(input!$B$2=$O$1,(((L589+Y589/22)+(L589+Y589/22)*$AG589+$X589)*$P$11+$M$7)/1000,(((L589+Y589/22)+(L589+Y589/22)*O589+(L589+Y589/22)*$AG589+$X589)*$P$11+$M$7)/1000),0)</f>
        <v>22554.743999999999</v>
      </c>
      <c r="U589" s="2747">
        <f t="shared" si="147"/>
        <v>0</v>
      </c>
      <c r="V589" s="1229"/>
      <c r="W589" s="1231" t="str">
        <f t="shared" si="153"/>
        <v>CIF</v>
      </c>
      <c r="X589" s="1230">
        <f t="shared" si="150"/>
        <v>0</v>
      </c>
      <c r="Y589" s="2625">
        <f t="shared" si="157"/>
        <v>0</v>
      </c>
      <c r="Z589" s="3208">
        <f t="shared" si="149"/>
        <v>838.18181818181813</v>
      </c>
      <c r="AA589" s="1220" t="s">
        <v>2835</v>
      </c>
      <c r="AB589" s="1220" t="s">
        <v>1397</v>
      </c>
      <c r="AC589" s="251" t="str">
        <f t="shared" si="158"/>
        <v>180gsm ART PAPER MOORIM - MATT</v>
      </c>
      <c r="AD589" s="2746">
        <f>IF(L589&gt;0,IF(input!$B$2=$O$1,(((M589)+(M589)*$M$10)*$P$11)/1000,(((M589)+(M589)*O589+(M589)*$M$10)*$P$11)/1000),0)</f>
        <v>726.06239999999991</v>
      </c>
      <c r="AE589" s="2746">
        <f>IF(L589&gt;0,IF(input!$B$2=$O$1,(((N589)+(N589)*$M$10)*$P$11)/1000,(((N589)+(N589)*O589+(N589)*$M$10)*$P$11)/1000),0)</f>
        <v>484.04159999999996</v>
      </c>
      <c r="AF589" s="136" t="str">
        <f t="shared" si="159"/>
        <v>FSC</v>
      </c>
      <c r="AG589" s="2628">
        <f t="shared" si="160"/>
        <v>1.6E-2</v>
      </c>
      <c r="AH589" s="1266">
        <v>0.1</v>
      </c>
    </row>
    <row r="590" spans="1:34" ht="12.75">
      <c r="A590" s="2199">
        <f t="shared" ref="A590:A653" si="162">ROW(A578)</f>
        <v>578</v>
      </c>
      <c r="B590" s="2200" t="s">
        <v>2653</v>
      </c>
      <c r="C590" s="2743">
        <v>0</v>
      </c>
      <c r="D590" s="2743">
        <v>940</v>
      </c>
      <c r="E590" s="2949">
        <v>0</v>
      </c>
      <c r="F590" s="2200">
        <v>20</v>
      </c>
      <c r="G590" s="2200" t="s">
        <v>2038</v>
      </c>
      <c r="H590" s="2200" t="s">
        <v>1057</v>
      </c>
      <c r="I590" s="2742">
        <v>30</v>
      </c>
      <c r="J590" s="2742"/>
      <c r="K590" s="2752">
        <v>60</v>
      </c>
      <c r="L590" s="2745">
        <f t="shared" si="151"/>
        <v>940</v>
      </c>
      <c r="M590" s="2745">
        <f t="shared" si="154"/>
        <v>30</v>
      </c>
      <c r="N590" s="2745">
        <f t="shared" si="155"/>
        <v>20</v>
      </c>
      <c r="O590" s="1232">
        <f t="shared" si="156"/>
        <v>0</v>
      </c>
      <c r="P590" s="1227" t="str">
        <f t="shared" si="161"/>
        <v>200gsm ART PAPER MOORIM - MATT</v>
      </c>
      <c r="Q590" s="254">
        <v>0.2</v>
      </c>
      <c r="R590" s="1228" t="str">
        <f t="shared" si="148"/>
        <v>200</v>
      </c>
      <c r="S590" s="2625">
        <f t="shared" si="152"/>
        <v>0</v>
      </c>
      <c r="T590" s="2747">
        <f>IF(L590&gt;0,IF(input!$B$2=$O$1,(((L590+Y590/22)+(L590+Y590/22)*$AG590+$X590)*$P$11+$M$7)/1000,(((L590+Y590/22)+(L590+Y590/22)*O590+(L590+Y590/22)*$AG590+$X590)*$P$11+$M$7)/1000),0)</f>
        <v>23530.510399999999</v>
      </c>
      <c r="U590" s="2747">
        <f t="shared" ref="U590:U653" si="163">IF(S590&gt;0,(S590/1.08)+Z590,0)</f>
        <v>0</v>
      </c>
      <c r="V590" s="1229"/>
      <c r="W590" s="1231" t="str">
        <f t="shared" si="153"/>
        <v>CIF</v>
      </c>
      <c r="X590" s="1230">
        <f t="shared" si="150"/>
        <v>0</v>
      </c>
      <c r="Y590" s="2625">
        <f t="shared" si="157"/>
        <v>0</v>
      </c>
      <c r="Z590" s="3208">
        <f t="shared" si="149"/>
        <v>838.18181818181813</v>
      </c>
      <c r="AA590" s="1220" t="s">
        <v>2835</v>
      </c>
      <c r="AB590" s="1220" t="s">
        <v>1397</v>
      </c>
      <c r="AC590" s="251" t="str">
        <f t="shared" si="158"/>
        <v>200gsm ART PAPER MOORIM - MATT</v>
      </c>
      <c r="AD590" s="2746">
        <f>IF(L590&gt;0,IF(input!$B$2=$O$1,(((M590)+(M590)*$M$10)*$P$11)/1000,(((M590)+(M590)*O590+(M590)*$M$10)*$P$11)/1000),0)</f>
        <v>726.06239999999991</v>
      </c>
      <c r="AE590" s="2746">
        <f>IF(L590&gt;0,IF(input!$B$2=$O$1,(((N590)+(N590)*$M$10)*$P$11)/1000,(((N590)+(N590)*O590+(N590)*$M$10)*$P$11)/1000),0)</f>
        <v>484.04159999999996</v>
      </c>
      <c r="AF590" s="136" t="str">
        <f t="shared" si="159"/>
        <v>FSC</v>
      </c>
      <c r="AG590" s="2628">
        <f t="shared" si="160"/>
        <v>1.6E-2</v>
      </c>
      <c r="AH590" s="1266">
        <v>0.1</v>
      </c>
    </row>
    <row r="591" spans="1:34" ht="12.75">
      <c r="A591" s="2199">
        <f t="shared" si="162"/>
        <v>579</v>
      </c>
      <c r="B591" s="2200" t="s">
        <v>2654</v>
      </c>
      <c r="C591" s="2743">
        <v>0</v>
      </c>
      <c r="D591" s="2743">
        <v>940</v>
      </c>
      <c r="E591" s="2949">
        <v>0</v>
      </c>
      <c r="F591" s="2200">
        <v>20</v>
      </c>
      <c r="G591" s="2200" t="s">
        <v>2038</v>
      </c>
      <c r="H591" s="2200" t="s">
        <v>1057</v>
      </c>
      <c r="I591" s="2742">
        <v>30</v>
      </c>
      <c r="J591" s="2742"/>
      <c r="K591" s="2752">
        <v>60</v>
      </c>
      <c r="L591" s="2745">
        <f t="shared" si="151"/>
        <v>940</v>
      </c>
      <c r="M591" s="2745">
        <f t="shared" si="154"/>
        <v>30</v>
      </c>
      <c r="N591" s="2745">
        <f t="shared" si="155"/>
        <v>20</v>
      </c>
      <c r="O591" s="1232">
        <f t="shared" si="156"/>
        <v>0</v>
      </c>
      <c r="P591" s="1227" t="str">
        <f t="shared" si="161"/>
        <v>250gsm ART PAPER MOORIM - MATT</v>
      </c>
      <c r="Q591" s="254">
        <v>0.26</v>
      </c>
      <c r="R591" s="1228" t="str">
        <f t="shared" ref="R591:R654" si="164">LEFT(AC591,3)</f>
        <v>250</v>
      </c>
      <c r="S591" s="2625">
        <f t="shared" si="152"/>
        <v>0</v>
      </c>
      <c r="T591" s="2747">
        <f>IF(L591&gt;0,IF(input!$B$2=$O$1,(((L591+Y591/22)+(L591+Y591/22)*$AG591+$X591)*$P$11+$M$7)/1000,(((L591+Y591/22)+(L591+Y591/22)*O591+(L591+Y591/22)*$AG591+$X591)*$P$11+$M$7)/1000),0)</f>
        <v>23530.510399999999</v>
      </c>
      <c r="U591" s="2747">
        <f t="shared" si="163"/>
        <v>0</v>
      </c>
      <c r="V591" s="1229"/>
      <c r="W591" s="1231" t="str">
        <f t="shared" si="153"/>
        <v>CIF</v>
      </c>
      <c r="X591" s="1230">
        <f t="shared" si="150"/>
        <v>0</v>
      </c>
      <c r="Y591" s="2625">
        <f t="shared" si="157"/>
        <v>0</v>
      </c>
      <c r="Z591" s="3208">
        <f t="shared" ref="Z591:Z654" si="165">922000/1.1/1000</f>
        <v>838.18181818181813</v>
      </c>
      <c r="AA591" s="1220" t="s">
        <v>2835</v>
      </c>
      <c r="AB591" s="1220" t="s">
        <v>1397</v>
      </c>
      <c r="AC591" s="251" t="str">
        <f t="shared" si="158"/>
        <v>250gsm ART PAPER MOORIM - MATT</v>
      </c>
      <c r="AD591" s="2746">
        <f>IF(L591&gt;0,IF(input!$B$2=$O$1,(((M591)+(M591)*$M$10)*$P$11)/1000,(((M591)+(M591)*O591+(M591)*$M$10)*$P$11)/1000),0)</f>
        <v>726.06239999999991</v>
      </c>
      <c r="AE591" s="2746">
        <f>IF(L591&gt;0,IF(input!$B$2=$O$1,(((N591)+(N591)*$M$10)*$P$11)/1000,(((N591)+(N591)*O591+(N591)*$M$10)*$P$11)/1000),0)</f>
        <v>484.04159999999996</v>
      </c>
      <c r="AF591" s="136" t="str">
        <f t="shared" si="159"/>
        <v>FSC</v>
      </c>
      <c r="AG591" s="2628">
        <f t="shared" si="160"/>
        <v>1.6E-2</v>
      </c>
      <c r="AH591" s="1266">
        <v>0.1</v>
      </c>
    </row>
    <row r="592" spans="1:34" ht="12.75">
      <c r="A592" s="2199">
        <f t="shared" si="162"/>
        <v>580</v>
      </c>
      <c r="B592" s="2200" t="s">
        <v>2655</v>
      </c>
      <c r="C592" s="2743">
        <v>0</v>
      </c>
      <c r="D592" s="2743">
        <v>940</v>
      </c>
      <c r="E592" s="2949">
        <v>0</v>
      </c>
      <c r="F592" s="2200">
        <v>20</v>
      </c>
      <c r="G592" s="2200" t="s">
        <v>2038</v>
      </c>
      <c r="H592" s="2200" t="s">
        <v>1057</v>
      </c>
      <c r="I592" s="2742">
        <v>30</v>
      </c>
      <c r="J592" s="2742"/>
      <c r="K592" s="2752">
        <v>60</v>
      </c>
      <c r="L592" s="2745">
        <f t="shared" si="151"/>
        <v>940</v>
      </c>
      <c r="M592" s="2745">
        <f t="shared" si="154"/>
        <v>30</v>
      </c>
      <c r="N592" s="2745">
        <f t="shared" si="155"/>
        <v>20</v>
      </c>
      <c r="O592" s="1232">
        <f t="shared" si="156"/>
        <v>0</v>
      </c>
      <c r="P592" s="1227" t="str">
        <f t="shared" si="161"/>
        <v>300gsm ART PAPER MOORIM - MATT</v>
      </c>
      <c r="Q592" s="254">
        <v>0.32</v>
      </c>
      <c r="R592" s="1228" t="str">
        <f t="shared" si="164"/>
        <v>300</v>
      </c>
      <c r="S592" s="2625">
        <f t="shared" si="152"/>
        <v>0</v>
      </c>
      <c r="T592" s="2747">
        <f>IF(L592&gt;0,IF(input!$B$2=$O$1,(((L592+Y592/22)+(L592+Y592/22)*$AG592+$X592)*$P$11+$M$7)/1000,(((L592+Y592/22)+(L592+Y592/22)*O592+(L592+Y592/22)*$AG592+$X592)*$P$11+$M$7)/1000),0)</f>
        <v>23530.510399999999</v>
      </c>
      <c r="U592" s="2747">
        <f t="shared" si="163"/>
        <v>0</v>
      </c>
      <c r="V592" s="1229"/>
      <c r="W592" s="1231" t="str">
        <f t="shared" si="153"/>
        <v>CIF</v>
      </c>
      <c r="X592" s="1230">
        <f t="shared" ref="X592:X655" si="166">IF(L592&gt;0,IF(OR(W592="CFR",W592="CRF",W592="CNF",W592="CPT"),1.1*$M$8*(L592+N592),IF(W592="FOB",1.1*$M$8*(L592+N592+Y592/22),0)),0)</f>
        <v>0</v>
      </c>
      <c r="Y592" s="2625">
        <f t="shared" si="157"/>
        <v>0</v>
      </c>
      <c r="Z592" s="3208">
        <f t="shared" si="165"/>
        <v>838.18181818181813</v>
      </c>
      <c r="AA592" s="1220" t="s">
        <v>2835</v>
      </c>
      <c r="AB592" s="1220" t="s">
        <v>1397</v>
      </c>
      <c r="AC592" s="251" t="str">
        <f t="shared" si="158"/>
        <v>300gsm ART PAPER MOORIM - MATT</v>
      </c>
      <c r="AD592" s="2746">
        <f>IF(L592&gt;0,IF(input!$B$2=$O$1,(((M592)+(M592)*$M$10)*$P$11)/1000,(((M592)+(M592)*O592+(M592)*$M$10)*$P$11)/1000),0)</f>
        <v>726.06239999999991</v>
      </c>
      <c r="AE592" s="2746">
        <f>IF(L592&gt;0,IF(input!$B$2=$O$1,(((N592)+(N592)*$M$10)*$P$11)/1000,(((N592)+(N592)*O592+(N592)*$M$10)*$P$11)/1000),0)</f>
        <v>484.04159999999996</v>
      </c>
      <c r="AF592" s="136" t="str">
        <f t="shared" si="159"/>
        <v>FSC</v>
      </c>
      <c r="AG592" s="2628">
        <f t="shared" si="160"/>
        <v>1.6E-2</v>
      </c>
      <c r="AH592" s="1266">
        <v>0.1</v>
      </c>
    </row>
    <row r="593" spans="1:34" ht="12.75">
      <c r="A593" s="2199">
        <f t="shared" si="162"/>
        <v>581</v>
      </c>
      <c r="B593" s="2200" t="s">
        <v>2656</v>
      </c>
      <c r="C593" s="2743">
        <v>0</v>
      </c>
      <c r="D593" s="2743">
        <v>940</v>
      </c>
      <c r="E593" s="2949">
        <v>0</v>
      </c>
      <c r="F593" s="2200">
        <v>20</v>
      </c>
      <c r="G593" s="2200" t="s">
        <v>2038</v>
      </c>
      <c r="H593" s="2200" t="s">
        <v>1057</v>
      </c>
      <c r="I593" s="2742">
        <v>30</v>
      </c>
      <c r="J593" s="2742"/>
      <c r="K593" s="2752">
        <v>60</v>
      </c>
      <c r="L593" s="2745">
        <f t="shared" si="151"/>
        <v>940</v>
      </c>
      <c r="M593" s="2745">
        <f t="shared" si="154"/>
        <v>30</v>
      </c>
      <c r="N593" s="2745">
        <f t="shared" si="155"/>
        <v>20</v>
      </c>
      <c r="O593" s="1232">
        <f t="shared" si="156"/>
        <v>0</v>
      </c>
      <c r="P593" s="1227" t="str">
        <f t="shared" si="161"/>
        <v>350gsm ART PAPER MOORIM - MATT</v>
      </c>
      <c r="Q593" s="254">
        <v>0.38</v>
      </c>
      <c r="R593" s="1228" t="str">
        <f t="shared" si="164"/>
        <v>350</v>
      </c>
      <c r="S593" s="2625">
        <f t="shared" si="152"/>
        <v>0</v>
      </c>
      <c r="T593" s="2747">
        <f>IF(L593&gt;0,IF(input!$B$2=$O$1,(((L593+Y593/22)+(L593+Y593/22)*$AG593+$X593)*$P$11+$M$7)/1000,(((L593+Y593/22)+(L593+Y593/22)*O593+(L593+Y593/22)*$AG593+$X593)*$P$11+$M$7)/1000),0)</f>
        <v>23530.510399999999</v>
      </c>
      <c r="U593" s="2747">
        <f t="shared" si="163"/>
        <v>0</v>
      </c>
      <c r="V593" s="1229"/>
      <c r="W593" s="1231" t="str">
        <f t="shared" si="153"/>
        <v>CIF</v>
      </c>
      <c r="X593" s="1230">
        <f t="shared" si="166"/>
        <v>0</v>
      </c>
      <c r="Y593" s="2625">
        <f t="shared" si="157"/>
        <v>0</v>
      </c>
      <c r="Z593" s="3208">
        <f t="shared" si="165"/>
        <v>838.18181818181813</v>
      </c>
      <c r="AA593" s="1220" t="s">
        <v>2835</v>
      </c>
      <c r="AB593" s="1220" t="s">
        <v>1397</v>
      </c>
      <c r="AC593" s="251" t="str">
        <f t="shared" si="158"/>
        <v>350gsm ART PAPER MOORIM - MATT</v>
      </c>
      <c r="AD593" s="2746">
        <f>IF(L593&gt;0,IF(input!$B$2=$O$1,(((M593)+(M593)*$M$10)*$P$11)/1000,(((M593)+(M593)*O593+(M593)*$M$10)*$P$11)/1000),0)</f>
        <v>726.06239999999991</v>
      </c>
      <c r="AE593" s="2746">
        <f>IF(L593&gt;0,IF(input!$B$2=$O$1,(((N593)+(N593)*$M$10)*$P$11)/1000,(((N593)+(N593)*O593+(N593)*$M$10)*$P$11)/1000),0)</f>
        <v>484.04159999999996</v>
      </c>
      <c r="AF593" s="136" t="str">
        <f t="shared" si="159"/>
        <v>FSC</v>
      </c>
      <c r="AG593" s="2628">
        <f t="shared" si="160"/>
        <v>1.6E-2</v>
      </c>
      <c r="AH593" s="1266">
        <v>0.1</v>
      </c>
    </row>
    <row r="594" spans="1:34" ht="12.75">
      <c r="A594" s="2199">
        <f t="shared" si="162"/>
        <v>582</v>
      </c>
      <c r="B594" s="2200" t="s">
        <v>2657</v>
      </c>
      <c r="C594" s="2743">
        <v>0</v>
      </c>
      <c r="D594" s="2743">
        <v>0</v>
      </c>
      <c r="E594" s="2949">
        <v>0</v>
      </c>
      <c r="F594" s="2200">
        <v>20</v>
      </c>
      <c r="G594" s="2200" t="s">
        <v>2038</v>
      </c>
      <c r="H594" s="2200" t="s">
        <v>1057</v>
      </c>
      <c r="I594" s="2742">
        <v>30</v>
      </c>
      <c r="J594" s="2742"/>
      <c r="K594" s="2752">
        <v>60</v>
      </c>
      <c r="L594" s="2745">
        <f t="shared" si="151"/>
        <v>0</v>
      </c>
      <c r="M594" s="2745">
        <f t="shared" si="154"/>
        <v>30</v>
      </c>
      <c r="N594" s="2745">
        <f t="shared" si="155"/>
        <v>20</v>
      </c>
      <c r="O594" s="1232">
        <f t="shared" si="156"/>
        <v>0</v>
      </c>
      <c r="P594" s="1227" t="str">
        <f t="shared" si="161"/>
        <v>080gsm ART PAPER MOORIM - GLOSS</v>
      </c>
      <c r="Q594" s="254">
        <v>6.4000000000000001E-2</v>
      </c>
      <c r="R594" s="1228" t="str">
        <f t="shared" si="164"/>
        <v>080</v>
      </c>
      <c r="S594" s="2625">
        <f t="shared" si="152"/>
        <v>0</v>
      </c>
      <c r="T594" s="2747">
        <f>IF(L594&gt;0,IF(input!$B$2=$O$1,(((L594+Y594/22)+(L594+Y594/22)*$AG594+$X594)*$P$11+$M$7)/1000,(((L594+Y594/22)+(L594+Y594/22)*O594+(L594+Y594/22)*$AG594+$X594)*$P$11+$M$7)/1000),0)</f>
        <v>0</v>
      </c>
      <c r="U594" s="2747">
        <f t="shared" si="163"/>
        <v>0</v>
      </c>
      <c r="V594" s="1229"/>
      <c r="W594" s="1231" t="str">
        <f t="shared" si="153"/>
        <v>CIF</v>
      </c>
      <c r="X594" s="1230">
        <f t="shared" si="166"/>
        <v>0</v>
      </c>
      <c r="Y594" s="2625">
        <f t="shared" si="157"/>
        <v>0</v>
      </c>
      <c r="Z594" s="3208">
        <f t="shared" si="165"/>
        <v>838.18181818181813</v>
      </c>
      <c r="AA594" s="1220" t="s">
        <v>2836</v>
      </c>
      <c r="AB594" s="1220" t="s">
        <v>1397</v>
      </c>
      <c r="AC594" s="251" t="str">
        <f t="shared" si="158"/>
        <v>080gsm ART PAPER MOORIM - GLOSS</v>
      </c>
      <c r="AD594" s="2746">
        <f>IF(L594&gt;0,IF(input!$B$2=$O$1,(((M594)+(M594)*$M$10)*$P$11)/1000,(((M594)+(M594)*O594+(M594)*$M$10)*$P$11)/1000),0)</f>
        <v>0</v>
      </c>
      <c r="AE594" s="2746">
        <f>IF(L594&gt;0,IF(input!$B$2=$O$1,(((N594)+(N594)*$M$10)*$P$11)/1000,(((N594)+(N594)*O594+(N594)*$M$10)*$P$11)/1000),0)</f>
        <v>0</v>
      </c>
      <c r="AF594" s="136" t="str">
        <f t="shared" si="159"/>
        <v>FSC</v>
      </c>
      <c r="AG594" s="2628">
        <f t="shared" si="160"/>
        <v>1.6E-2</v>
      </c>
      <c r="AH594" s="1266">
        <v>0.1</v>
      </c>
    </row>
    <row r="595" spans="1:34" ht="12.75">
      <c r="A595" s="2199">
        <f t="shared" si="162"/>
        <v>583</v>
      </c>
      <c r="B595" s="2200" t="s">
        <v>2658</v>
      </c>
      <c r="C595" s="2743">
        <v>0</v>
      </c>
      <c r="D595" s="2743">
        <v>0</v>
      </c>
      <c r="E595" s="2949">
        <v>0</v>
      </c>
      <c r="F595" s="2200">
        <v>20</v>
      </c>
      <c r="G595" s="2200" t="s">
        <v>2038</v>
      </c>
      <c r="H595" s="2200" t="s">
        <v>1057</v>
      </c>
      <c r="I595" s="2742">
        <v>30</v>
      </c>
      <c r="J595" s="2742"/>
      <c r="K595" s="2752">
        <v>60</v>
      </c>
      <c r="L595" s="2745">
        <f t="shared" si="151"/>
        <v>0</v>
      </c>
      <c r="M595" s="2745">
        <f t="shared" si="154"/>
        <v>30</v>
      </c>
      <c r="N595" s="2745">
        <f t="shared" si="155"/>
        <v>20</v>
      </c>
      <c r="O595" s="1232">
        <f t="shared" si="156"/>
        <v>0</v>
      </c>
      <c r="P595" s="1227" t="str">
        <f t="shared" si="161"/>
        <v>090gsm ART PAPER MOORIM - GLOSS</v>
      </c>
      <c r="Q595" s="254">
        <v>7.0000000000000007E-2</v>
      </c>
      <c r="R595" s="1228" t="str">
        <f t="shared" si="164"/>
        <v>090</v>
      </c>
      <c r="S595" s="2625">
        <f t="shared" si="152"/>
        <v>0</v>
      </c>
      <c r="T595" s="2747">
        <f>IF(L595&gt;0,IF(input!$B$2=$O$1,(((L595+Y595/22)+(L595+Y595/22)*$AG595+$X595)*$P$11+$M$7)/1000,(((L595+Y595/22)+(L595+Y595/22)*O595+(L595+Y595/22)*$AG595+$X595)*$P$11+$M$7)/1000),0)</f>
        <v>0</v>
      </c>
      <c r="U595" s="2747">
        <f t="shared" si="163"/>
        <v>0</v>
      </c>
      <c r="V595" s="1229"/>
      <c r="W595" s="1231" t="str">
        <f t="shared" si="153"/>
        <v>CIF</v>
      </c>
      <c r="X595" s="1230">
        <f t="shared" si="166"/>
        <v>0</v>
      </c>
      <c r="Y595" s="2625">
        <f t="shared" si="157"/>
        <v>0</v>
      </c>
      <c r="Z595" s="3208">
        <f t="shared" si="165"/>
        <v>838.18181818181813</v>
      </c>
      <c r="AA595" s="1220" t="s">
        <v>2836</v>
      </c>
      <c r="AB595" s="1220" t="s">
        <v>1397</v>
      </c>
      <c r="AC595" s="251" t="str">
        <f t="shared" si="158"/>
        <v>090gsm ART PAPER MOORIM - GLOSS</v>
      </c>
      <c r="AD595" s="2746">
        <f>IF(L595&gt;0,IF(input!$B$2=$O$1,(((M595)+(M595)*$M$10)*$P$11)/1000,(((M595)+(M595)*O595+(M595)*$M$10)*$P$11)/1000),0)</f>
        <v>0</v>
      </c>
      <c r="AE595" s="2746">
        <f>IF(L595&gt;0,IF(input!$B$2=$O$1,(((N595)+(N595)*$M$10)*$P$11)/1000,(((N595)+(N595)*O595+(N595)*$M$10)*$P$11)/1000),0)</f>
        <v>0</v>
      </c>
      <c r="AF595" s="136" t="str">
        <f t="shared" si="159"/>
        <v>FSC</v>
      </c>
      <c r="AG595" s="2628">
        <f t="shared" si="160"/>
        <v>1.6E-2</v>
      </c>
      <c r="AH595" s="1266">
        <v>0.1</v>
      </c>
    </row>
    <row r="596" spans="1:34" ht="12.75">
      <c r="A596" s="2199">
        <f t="shared" si="162"/>
        <v>584</v>
      </c>
      <c r="B596" s="2200" t="s">
        <v>2659</v>
      </c>
      <c r="C596" s="2743">
        <v>0</v>
      </c>
      <c r="D596" s="2743">
        <v>900</v>
      </c>
      <c r="E596" s="2949">
        <v>0</v>
      </c>
      <c r="F596" s="2200">
        <v>20</v>
      </c>
      <c r="G596" s="2200" t="s">
        <v>2038</v>
      </c>
      <c r="H596" s="2200" t="s">
        <v>1057</v>
      </c>
      <c r="I596" s="2742">
        <v>30</v>
      </c>
      <c r="J596" s="2742"/>
      <c r="K596" s="2752">
        <v>60</v>
      </c>
      <c r="L596" s="2745">
        <f t="shared" si="151"/>
        <v>900</v>
      </c>
      <c r="M596" s="2745">
        <f t="shared" si="154"/>
        <v>30</v>
      </c>
      <c r="N596" s="2745">
        <f t="shared" si="155"/>
        <v>20</v>
      </c>
      <c r="O596" s="1232">
        <f t="shared" si="156"/>
        <v>0</v>
      </c>
      <c r="P596" s="1227" t="str">
        <f t="shared" si="161"/>
        <v>100gsm ART PAPER MOORIM - GLOSS</v>
      </c>
      <c r="Q596" s="254">
        <v>0.08</v>
      </c>
      <c r="R596" s="1228" t="str">
        <f t="shared" si="164"/>
        <v>100</v>
      </c>
      <c r="S596" s="2625">
        <f t="shared" si="152"/>
        <v>0</v>
      </c>
      <c r="T596" s="2747">
        <f>IF(L596&gt;0,IF(input!$B$2=$O$1,(((L596+Y596/22)+(L596+Y596/22)*$AG596+$X596)*$P$11+$M$7)/1000,(((L596+Y596/22)+(L596+Y596/22)*O596+(L596+Y596/22)*$AG596+$X596)*$P$11+$M$7)/1000),0)</f>
        <v>22554.743999999999</v>
      </c>
      <c r="U596" s="2747">
        <f t="shared" si="163"/>
        <v>0</v>
      </c>
      <c r="V596" s="1229"/>
      <c r="W596" s="1231" t="str">
        <f t="shared" si="153"/>
        <v>CIF</v>
      </c>
      <c r="X596" s="1230">
        <f t="shared" si="166"/>
        <v>0</v>
      </c>
      <c r="Y596" s="2625">
        <f t="shared" si="157"/>
        <v>0</v>
      </c>
      <c r="Z596" s="3208">
        <f t="shared" si="165"/>
        <v>838.18181818181813</v>
      </c>
      <c r="AA596" s="1220" t="s">
        <v>2836</v>
      </c>
      <c r="AB596" s="1220" t="s">
        <v>1397</v>
      </c>
      <c r="AC596" s="251" t="str">
        <f t="shared" si="158"/>
        <v>100gsm ART PAPER MOORIM - GLOSS</v>
      </c>
      <c r="AD596" s="2746">
        <f>IF(L596&gt;0,IF(input!$B$2=$O$1,(((M596)+(M596)*$M$10)*$P$11)/1000,(((M596)+(M596)*O596+(M596)*$M$10)*$P$11)/1000),0)</f>
        <v>726.06239999999991</v>
      </c>
      <c r="AE596" s="2746">
        <f>IF(L596&gt;0,IF(input!$B$2=$O$1,(((N596)+(N596)*$M$10)*$P$11)/1000,(((N596)+(N596)*O596+(N596)*$M$10)*$P$11)/1000),0)</f>
        <v>484.04159999999996</v>
      </c>
      <c r="AF596" s="136" t="str">
        <f t="shared" si="159"/>
        <v>FSC</v>
      </c>
      <c r="AG596" s="2628">
        <f t="shared" si="160"/>
        <v>1.6E-2</v>
      </c>
      <c r="AH596" s="1266">
        <v>0.1</v>
      </c>
    </row>
    <row r="597" spans="1:34" ht="12.75">
      <c r="A597" s="2199">
        <f t="shared" si="162"/>
        <v>585</v>
      </c>
      <c r="B597" s="2200" t="s">
        <v>2660</v>
      </c>
      <c r="C597" s="2743">
        <v>0</v>
      </c>
      <c r="D597" s="2743">
        <v>900</v>
      </c>
      <c r="E597" s="2949">
        <v>0</v>
      </c>
      <c r="F597" s="2200">
        <v>20</v>
      </c>
      <c r="G597" s="2200" t="s">
        <v>2038</v>
      </c>
      <c r="H597" s="2200" t="s">
        <v>1057</v>
      </c>
      <c r="I597" s="2742">
        <v>30</v>
      </c>
      <c r="J597" s="2742"/>
      <c r="K597" s="2752">
        <v>60</v>
      </c>
      <c r="L597" s="2745">
        <f t="shared" si="151"/>
        <v>900</v>
      </c>
      <c r="M597" s="2745">
        <f t="shared" si="154"/>
        <v>30</v>
      </c>
      <c r="N597" s="2745">
        <f t="shared" si="155"/>
        <v>20</v>
      </c>
      <c r="O597" s="1232">
        <f t="shared" si="156"/>
        <v>0</v>
      </c>
      <c r="P597" s="1227" t="str">
        <f t="shared" si="161"/>
        <v>105gsm ART PAPER MOORIM - GLOSS</v>
      </c>
      <c r="Q597" s="254">
        <v>8.3000000000000004E-2</v>
      </c>
      <c r="R597" s="1228" t="str">
        <f t="shared" si="164"/>
        <v>105</v>
      </c>
      <c r="S597" s="2625">
        <f t="shared" si="152"/>
        <v>0</v>
      </c>
      <c r="T597" s="2747">
        <f>IF(L597&gt;0,IF(input!$B$2=$O$1,(((L597+Y597/22)+(L597+Y597/22)*$AG597+$X597)*$P$11+$M$7)/1000,(((L597+Y597/22)+(L597+Y597/22)*O597+(L597+Y597/22)*$AG597+$X597)*$P$11+$M$7)/1000),0)</f>
        <v>22554.743999999999</v>
      </c>
      <c r="U597" s="2747">
        <f t="shared" si="163"/>
        <v>0</v>
      </c>
      <c r="V597" s="1229"/>
      <c r="W597" s="1231" t="str">
        <f t="shared" si="153"/>
        <v>CIF</v>
      </c>
      <c r="X597" s="1230">
        <f t="shared" si="166"/>
        <v>0</v>
      </c>
      <c r="Y597" s="2625">
        <f t="shared" si="157"/>
        <v>0</v>
      </c>
      <c r="Z597" s="3208">
        <f t="shared" si="165"/>
        <v>838.18181818181813</v>
      </c>
      <c r="AA597" s="1220" t="s">
        <v>2836</v>
      </c>
      <c r="AB597" s="1220" t="s">
        <v>1397</v>
      </c>
      <c r="AC597" s="251" t="str">
        <f t="shared" si="158"/>
        <v>105gsm ART PAPER MOORIM - GLOSS</v>
      </c>
      <c r="AD597" s="2746">
        <f>IF(L597&gt;0,IF(input!$B$2=$O$1,(((M597)+(M597)*$M$10)*$P$11)/1000,(((M597)+(M597)*O597+(M597)*$M$10)*$P$11)/1000),0)</f>
        <v>726.06239999999991</v>
      </c>
      <c r="AE597" s="2746">
        <f>IF(L597&gt;0,IF(input!$B$2=$O$1,(((N597)+(N597)*$M$10)*$P$11)/1000,(((N597)+(N597)*O597+(N597)*$M$10)*$P$11)/1000),0)</f>
        <v>484.04159999999996</v>
      </c>
      <c r="AF597" s="136" t="str">
        <f t="shared" si="159"/>
        <v>FSC</v>
      </c>
      <c r="AG597" s="2628">
        <f t="shared" si="160"/>
        <v>1.6E-2</v>
      </c>
      <c r="AH597" s="1266">
        <v>0.1</v>
      </c>
    </row>
    <row r="598" spans="1:34" ht="12.75">
      <c r="A598" s="2199">
        <f t="shared" si="162"/>
        <v>586</v>
      </c>
      <c r="B598" s="2200" t="s">
        <v>2661</v>
      </c>
      <c r="C598" s="2743">
        <v>0</v>
      </c>
      <c r="D598" s="2743">
        <v>900</v>
      </c>
      <c r="E598" s="2949">
        <v>0</v>
      </c>
      <c r="F598" s="2200">
        <v>20</v>
      </c>
      <c r="G598" s="2200" t="s">
        <v>2038</v>
      </c>
      <c r="H598" s="2200" t="s">
        <v>1057</v>
      </c>
      <c r="I598" s="2742">
        <v>30</v>
      </c>
      <c r="J598" s="2742"/>
      <c r="K598" s="2752">
        <v>60</v>
      </c>
      <c r="L598" s="2745">
        <f t="shared" si="151"/>
        <v>900</v>
      </c>
      <c r="M598" s="2745">
        <f t="shared" si="154"/>
        <v>30</v>
      </c>
      <c r="N598" s="2745">
        <f t="shared" si="155"/>
        <v>20</v>
      </c>
      <c r="O598" s="1232">
        <f t="shared" si="156"/>
        <v>0</v>
      </c>
      <c r="P598" s="1227" t="str">
        <f t="shared" si="161"/>
        <v>110gsm ART PAPER MOORIM - GLOSS</v>
      </c>
      <c r="Q598" s="254">
        <v>8.7999999999999995E-2</v>
      </c>
      <c r="R598" s="1228" t="str">
        <f t="shared" si="164"/>
        <v>110</v>
      </c>
      <c r="S598" s="2625">
        <f t="shared" si="152"/>
        <v>0</v>
      </c>
      <c r="T598" s="2747">
        <f>IF(L598&gt;0,IF(input!$B$2=$O$1,(((L598+Y598/22)+(L598+Y598/22)*$AG598+$X598)*$P$11+$M$7)/1000,(((L598+Y598/22)+(L598+Y598/22)*O598+(L598+Y598/22)*$AG598+$X598)*$P$11+$M$7)/1000),0)</f>
        <v>22554.743999999999</v>
      </c>
      <c r="U598" s="2747">
        <f t="shared" si="163"/>
        <v>0</v>
      </c>
      <c r="V598" s="1229"/>
      <c r="W598" s="1231" t="str">
        <f t="shared" si="153"/>
        <v>CIF</v>
      </c>
      <c r="X598" s="1230">
        <f t="shared" si="166"/>
        <v>0</v>
      </c>
      <c r="Y598" s="2625">
        <f t="shared" si="157"/>
        <v>0</v>
      </c>
      <c r="Z598" s="3208">
        <f t="shared" si="165"/>
        <v>838.18181818181813</v>
      </c>
      <c r="AA598" s="1220" t="s">
        <v>2836</v>
      </c>
      <c r="AB598" s="1220" t="s">
        <v>1397</v>
      </c>
      <c r="AC598" s="251" t="str">
        <f t="shared" si="158"/>
        <v>110gsm ART PAPER MOORIM - GLOSS</v>
      </c>
      <c r="AD598" s="2746">
        <f>IF(L598&gt;0,IF(input!$B$2=$O$1,(((M598)+(M598)*$M$10)*$P$11)/1000,(((M598)+(M598)*O598+(M598)*$M$10)*$P$11)/1000),0)</f>
        <v>726.06239999999991</v>
      </c>
      <c r="AE598" s="2746">
        <f>IF(L598&gt;0,IF(input!$B$2=$O$1,(((N598)+(N598)*$M$10)*$P$11)/1000,(((N598)+(N598)*O598+(N598)*$M$10)*$P$11)/1000),0)</f>
        <v>484.04159999999996</v>
      </c>
      <c r="AF598" s="136" t="str">
        <f t="shared" si="159"/>
        <v>FSC</v>
      </c>
      <c r="AG598" s="2628">
        <f t="shared" si="160"/>
        <v>1.6E-2</v>
      </c>
      <c r="AH598" s="1266">
        <v>0.1</v>
      </c>
    </row>
    <row r="599" spans="1:34" ht="12.75">
      <c r="A599" s="2199">
        <f t="shared" si="162"/>
        <v>587</v>
      </c>
      <c r="B599" s="2200" t="s">
        <v>2662</v>
      </c>
      <c r="C599" s="2743">
        <v>0</v>
      </c>
      <c r="D599" s="2743">
        <v>900</v>
      </c>
      <c r="E599" s="2949">
        <v>0</v>
      </c>
      <c r="F599" s="2200">
        <v>20</v>
      </c>
      <c r="G599" s="2200" t="s">
        <v>2038</v>
      </c>
      <c r="H599" s="2200" t="s">
        <v>1057</v>
      </c>
      <c r="I599" s="2742">
        <v>30</v>
      </c>
      <c r="J599" s="2742"/>
      <c r="K599" s="2752">
        <v>60</v>
      </c>
      <c r="L599" s="2745">
        <f t="shared" si="151"/>
        <v>900</v>
      </c>
      <c r="M599" s="2745">
        <f t="shared" si="154"/>
        <v>30</v>
      </c>
      <c r="N599" s="2745">
        <f t="shared" si="155"/>
        <v>20</v>
      </c>
      <c r="O599" s="1232">
        <f t="shared" si="156"/>
        <v>0</v>
      </c>
      <c r="P599" s="1227" t="str">
        <f t="shared" si="161"/>
        <v>115gsm ART PAPER MOORIM - GLOSS</v>
      </c>
      <c r="Q599" s="254">
        <v>9.1999999999999998E-2</v>
      </c>
      <c r="R599" s="1228" t="str">
        <f t="shared" si="164"/>
        <v>115</v>
      </c>
      <c r="S599" s="2625">
        <f t="shared" si="152"/>
        <v>0</v>
      </c>
      <c r="T599" s="2747">
        <f>IF(L599&gt;0,IF(input!$B$2=$O$1,(((L599+Y599/22)+(L599+Y599/22)*$AG599+$X599)*$P$11+$M$7)/1000,(((L599+Y599/22)+(L599+Y599/22)*O599+(L599+Y599/22)*$AG599+$X599)*$P$11+$M$7)/1000),0)</f>
        <v>22554.743999999999</v>
      </c>
      <c r="U599" s="2747">
        <f t="shared" si="163"/>
        <v>0</v>
      </c>
      <c r="V599" s="1229"/>
      <c r="W599" s="1231" t="str">
        <f t="shared" si="153"/>
        <v>CIF</v>
      </c>
      <c r="X599" s="1230">
        <f t="shared" si="166"/>
        <v>0</v>
      </c>
      <c r="Y599" s="2625">
        <f t="shared" si="157"/>
        <v>0</v>
      </c>
      <c r="Z599" s="3208">
        <f t="shared" si="165"/>
        <v>838.18181818181813</v>
      </c>
      <c r="AA599" s="1220" t="s">
        <v>2836</v>
      </c>
      <c r="AB599" s="1220" t="s">
        <v>1397</v>
      </c>
      <c r="AC599" s="251" t="str">
        <f t="shared" si="158"/>
        <v>115gsm ART PAPER MOORIM - GLOSS</v>
      </c>
      <c r="AD599" s="2746">
        <f>IF(L599&gt;0,IF(input!$B$2=$O$1,(((M599)+(M599)*$M$10)*$P$11)/1000,(((M599)+(M599)*O599+(M599)*$M$10)*$P$11)/1000),0)</f>
        <v>726.06239999999991</v>
      </c>
      <c r="AE599" s="2746">
        <f>IF(L599&gt;0,IF(input!$B$2=$O$1,(((N599)+(N599)*$M$10)*$P$11)/1000,(((N599)+(N599)*O599+(N599)*$M$10)*$P$11)/1000),0)</f>
        <v>484.04159999999996</v>
      </c>
      <c r="AF599" s="136" t="str">
        <f t="shared" si="159"/>
        <v>FSC</v>
      </c>
      <c r="AG599" s="2628">
        <f t="shared" si="160"/>
        <v>1.6E-2</v>
      </c>
      <c r="AH599" s="1266">
        <v>0.1</v>
      </c>
    </row>
    <row r="600" spans="1:34" ht="12.75">
      <c r="A600" s="2199">
        <f t="shared" si="162"/>
        <v>588</v>
      </c>
      <c r="B600" s="2200" t="s">
        <v>2663</v>
      </c>
      <c r="C600" s="2743">
        <v>0</v>
      </c>
      <c r="D600" s="2743">
        <v>900</v>
      </c>
      <c r="E600" s="2949">
        <v>0</v>
      </c>
      <c r="F600" s="2200">
        <v>20</v>
      </c>
      <c r="G600" s="2200" t="s">
        <v>2038</v>
      </c>
      <c r="H600" s="2200" t="s">
        <v>1057</v>
      </c>
      <c r="I600" s="2742">
        <v>30</v>
      </c>
      <c r="J600" s="2742"/>
      <c r="K600" s="2752">
        <v>60</v>
      </c>
      <c r="L600" s="2745">
        <f t="shared" si="151"/>
        <v>900</v>
      </c>
      <c r="M600" s="2745">
        <f t="shared" si="154"/>
        <v>30</v>
      </c>
      <c r="N600" s="2745">
        <f t="shared" si="155"/>
        <v>20</v>
      </c>
      <c r="O600" s="1232">
        <f t="shared" si="156"/>
        <v>0</v>
      </c>
      <c r="P600" s="1227" t="str">
        <f t="shared" si="161"/>
        <v>120gsm ART PAPER MOORIM - GLOSS</v>
      </c>
      <c r="Q600" s="254">
        <v>9.6000000000000002E-2</v>
      </c>
      <c r="R600" s="1228" t="str">
        <f t="shared" si="164"/>
        <v>120</v>
      </c>
      <c r="S600" s="2625">
        <f t="shared" si="152"/>
        <v>0</v>
      </c>
      <c r="T600" s="2747">
        <f>IF(L600&gt;0,IF(input!$B$2=$O$1,(((L600+Y600/22)+(L600+Y600/22)*$AG600+$X600)*$P$11+$M$7)/1000,(((L600+Y600/22)+(L600+Y600/22)*O600+(L600+Y600/22)*$AG600+$X600)*$P$11+$M$7)/1000),0)</f>
        <v>22554.743999999999</v>
      </c>
      <c r="U600" s="2747">
        <f t="shared" si="163"/>
        <v>0</v>
      </c>
      <c r="V600" s="1229"/>
      <c r="W600" s="1231" t="str">
        <f t="shared" si="153"/>
        <v>CIF</v>
      </c>
      <c r="X600" s="1230">
        <f t="shared" si="166"/>
        <v>0</v>
      </c>
      <c r="Y600" s="2625">
        <f t="shared" si="157"/>
        <v>0</v>
      </c>
      <c r="Z600" s="3208">
        <f t="shared" si="165"/>
        <v>838.18181818181813</v>
      </c>
      <c r="AA600" s="1220" t="s">
        <v>2836</v>
      </c>
      <c r="AB600" s="1220" t="s">
        <v>1397</v>
      </c>
      <c r="AC600" s="251" t="str">
        <f t="shared" si="158"/>
        <v>120gsm ART PAPER MOORIM - GLOSS</v>
      </c>
      <c r="AD600" s="2746">
        <f>IF(L600&gt;0,IF(input!$B$2=$O$1,(((M600)+(M600)*$M$10)*$P$11)/1000,(((M600)+(M600)*O600+(M600)*$M$10)*$P$11)/1000),0)</f>
        <v>726.06239999999991</v>
      </c>
      <c r="AE600" s="2746">
        <f>IF(L600&gt;0,IF(input!$B$2=$O$1,(((N600)+(N600)*$M$10)*$P$11)/1000,(((N600)+(N600)*O600+(N600)*$M$10)*$P$11)/1000),0)</f>
        <v>484.04159999999996</v>
      </c>
      <c r="AF600" s="136" t="str">
        <f t="shared" si="159"/>
        <v>FSC</v>
      </c>
      <c r="AG600" s="2628">
        <f t="shared" si="160"/>
        <v>1.6E-2</v>
      </c>
      <c r="AH600" s="1266">
        <v>0.1</v>
      </c>
    </row>
    <row r="601" spans="1:34" ht="12.75">
      <c r="A601" s="2199">
        <f t="shared" si="162"/>
        <v>589</v>
      </c>
      <c r="B601" s="2200" t="s">
        <v>2664</v>
      </c>
      <c r="C601" s="2743">
        <v>0</v>
      </c>
      <c r="D601" s="2743">
        <v>900</v>
      </c>
      <c r="E601" s="2949">
        <v>0</v>
      </c>
      <c r="F601" s="2200">
        <v>20</v>
      </c>
      <c r="G601" s="2200" t="s">
        <v>2038</v>
      </c>
      <c r="H601" s="2200" t="s">
        <v>1057</v>
      </c>
      <c r="I601" s="2742">
        <v>30</v>
      </c>
      <c r="J601" s="2742"/>
      <c r="K601" s="2752">
        <v>60</v>
      </c>
      <c r="L601" s="2745">
        <f t="shared" si="151"/>
        <v>900</v>
      </c>
      <c r="M601" s="2745">
        <f t="shared" si="154"/>
        <v>30</v>
      </c>
      <c r="N601" s="2745">
        <f t="shared" si="155"/>
        <v>20</v>
      </c>
      <c r="O601" s="1232">
        <f t="shared" si="156"/>
        <v>0</v>
      </c>
      <c r="P601" s="1227" t="str">
        <f t="shared" si="161"/>
        <v>130gsm ART PAPER MOORIM - GLOSS</v>
      </c>
      <c r="Q601" s="254">
        <v>0.10100000000000001</v>
      </c>
      <c r="R601" s="1228" t="str">
        <f t="shared" si="164"/>
        <v>130</v>
      </c>
      <c r="S601" s="2625">
        <f t="shared" si="152"/>
        <v>0</v>
      </c>
      <c r="T601" s="2747">
        <f>IF(L601&gt;0,IF(input!$B$2=$O$1,(((L601+Y601/22)+(L601+Y601/22)*$AG601+$X601)*$P$11+$M$7)/1000,(((L601+Y601/22)+(L601+Y601/22)*O601+(L601+Y601/22)*$AG601+$X601)*$P$11+$M$7)/1000),0)</f>
        <v>22554.743999999999</v>
      </c>
      <c r="U601" s="2747">
        <f t="shared" si="163"/>
        <v>0</v>
      </c>
      <c r="V601" s="1229"/>
      <c r="W601" s="1231" t="str">
        <f t="shared" si="153"/>
        <v>CIF</v>
      </c>
      <c r="X601" s="1230">
        <f t="shared" si="166"/>
        <v>0</v>
      </c>
      <c r="Y601" s="2625">
        <f t="shared" si="157"/>
        <v>0</v>
      </c>
      <c r="Z601" s="3208">
        <f t="shared" si="165"/>
        <v>838.18181818181813</v>
      </c>
      <c r="AA601" s="1220" t="s">
        <v>2836</v>
      </c>
      <c r="AB601" s="1220" t="s">
        <v>1397</v>
      </c>
      <c r="AC601" s="251" t="str">
        <f t="shared" si="158"/>
        <v>130gsm ART PAPER MOORIM - GLOSS</v>
      </c>
      <c r="AD601" s="2746">
        <f>IF(L601&gt;0,IF(input!$B$2=$O$1,(((M601)+(M601)*$M$10)*$P$11)/1000,(((M601)+(M601)*O601+(M601)*$M$10)*$P$11)/1000),0)</f>
        <v>726.06239999999991</v>
      </c>
      <c r="AE601" s="2746">
        <f>IF(L601&gt;0,IF(input!$B$2=$O$1,(((N601)+(N601)*$M$10)*$P$11)/1000,(((N601)+(N601)*O601+(N601)*$M$10)*$P$11)/1000),0)</f>
        <v>484.04159999999996</v>
      </c>
      <c r="AF601" s="136" t="str">
        <f t="shared" si="159"/>
        <v>FSC</v>
      </c>
      <c r="AG601" s="2628">
        <f t="shared" si="160"/>
        <v>1.6E-2</v>
      </c>
      <c r="AH601" s="1266">
        <v>0.1</v>
      </c>
    </row>
    <row r="602" spans="1:34" ht="12.75">
      <c r="A602" s="2199">
        <f t="shared" si="162"/>
        <v>590</v>
      </c>
      <c r="B602" s="2200" t="s">
        <v>2665</v>
      </c>
      <c r="C602" s="2743">
        <v>0</v>
      </c>
      <c r="D602" s="2743">
        <v>900</v>
      </c>
      <c r="E602" s="2949">
        <v>0</v>
      </c>
      <c r="F602" s="2200">
        <v>20</v>
      </c>
      <c r="G602" s="2200" t="s">
        <v>2038</v>
      </c>
      <c r="H602" s="2200" t="s">
        <v>1057</v>
      </c>
      <c r="I602" s="2742">
        <v>30</v>
      </c>
      <c r="J602" s="2742"/>
      <c r="K602" s="2752">
        <v>60</v>
      </c>
      <c r="L602" s="2745">
        <f t="shared" si="151"/>
        <v>900</v>
      </c>
      <c r="M602" s="2745">
        <f t="shared" si="154"/>
        <v>30</v>
      </c>
      <c r="N602" s="2745">
        <f t="shared" si="155"/>
        <v>20</v>
      </c>
      <c r="O602" s="1232">
        <f t="shared" si="156"/>
        <v>0</v>
      </c>
      <c r="P602" s="1227" t="str">
        <f t="shared" si="161"/>
        <v>140gsm ART PAPER MOORIM - GLOSS</v>
      </c>
      <c r="Q602" s="254">
        <v>0.114</v>
      </c>
      <c r="R602" s="1228" t="str">
        <f t="shared" si="164"/>
        <v>140</v>
      </c>
      <c r="S602" s="2625">
        <f t="shared" si="152"/>
        <v>0</v>
      </c>
      <c r="T602" s="2747">
        <f>IF(L602&gt;0,IF(input!$B$2=$O$1,(((L602+Y602/22)+(L602+Y602/22)*$AG602+$X602)*$P$11+$M$7)/1000,(((L602+Y602/22)+(L602+Y602/22)*O602+(L602+Y602/22)*$AG602+$X602)*$P$11+$M$7)/1000),0)</f>
        <v>22554.743999999999</v>
      </c>
      <c r="U602" s="2747">
        <f t="shared" si="163"/>
        <v>0</v>
      </c>
      <c r="V602" s="1229"/>
      <c r="W602" s="1231" t="str">
        <f t="shared" si="153"/>
        <v>CIF</v>
      </c>
      <c r="X602" s="1230">
        <f t="shared" si="166"/>
        <v>0</v>
      </c>
      <c r="Y602" s="2625">
        <f t="shared" si="157"/>
        <v>0</v>
      </c>
      <c r="Z602" s="3208">
        <f t="shared" si="165"/>
        <v>838.18181818181813</v>
      </c>
      <c r="AA602" s="1220" t="s">
        <v>2836</v>
      </c>
      <c r="AB602" s="1220" t="s">
        <v>1397</v>
      </c>
      <c r="AC602" s="251" t="str">
        <f t="shared" si="158"/>
        <v>140gsm ART PAPER MOORIM - GLOSS</v>
      </c>
      <c r="AD602" s="2746">
        <f>IF(L602&gt;0,IF(input!$B$2=$O$1,(((M602)+(M602)*$M$10)*$P$11)/1000,(((M602)+(M602)*O602+(M602)*$M$10)*$P$11)/1000),0)</f>
        <v>726.06239999999991</v>
      </c>
      <c r="AE602" s="2746">
        <f>IF(L602&gt;0,IF(input!$B$2=$O$1,(((N602)+(N602)*$M$10)*$P$11)/1000,(((N602)+(N602)*O602+(N602)*$M$10)*$P$11)/1000),0)</f>
        <v>484.04159999999996</v>
      </c>
      <c r="AF602" s="136" t="str">
        <f t="shared" si="159"/>
        <v>FSC</v>
      </c>
      <c r="AG602" s="2628">
        <f t="shared" si="160"/>
        <v>1.6E-2</v>
      </c>
      <c r="AH602" s="1266">
        <v>0.1</v>
      </c>
    </row>
    <row r="603" spans="1:34" ht="12.75">
      <c r="A603" s="2199">
        <f t="shared" si="162"/>
        <v>591</v>
      </c>
      <c r="B603" s="2200" t="s">
        <v>2666</v>
      </c>
      <c r="C603" s="2743">
        <v>22000</v>
      </c>
      <c r="D603" s="2743">
        <v>900</v>
      </c>
      <c r="E603" s="2949">
        <v>0</v>
      </c>
      <c r="F603" s="2200">
        <v>20</v>
      </c>
      <c r="G603" s="2200" t="s">
        <v>2038</v>
      </c>
      <c r="H603" s="2200" t="s">
        <v>1057</v>
      </c>
      <c r="I603" s="2742">
        <v>30</v>
      </c>
      <c r="J603" s="2742"/>
      <c r="K603" s="2752">
        <v>60</v>
      </c>
      <c r="L603" s="2745">
        <f t="shared" si="151"/>
        <v>900</v>
      </c>
      <c r="M603" s="2745">
        <f t="shared" si="154"/>
        <v>30</v>
      </c>
      <c r="N603" s="2745">
        <f t="shared" si="155"/>
        <v>20</v>
      </c>
      <c r="O603" s="1232">
        <f t="shared" si="156"/>
        <v>0</v>
      </c>
      <c r="P603" s="1227" t="str">
        <f t="shared" si="161"/>
        <v>150gsm ART PAPER MOORIM - GLOSS</v>
      </c>
      <c r="Q603" s="254">
        <v>0.125</v>
      </c>
      <c r="R603" s="1228" t="str">
        <f t="shared" si="164"/>
        <v>150</v>
      </c>
      <c r="S603" s="2625">
        <f t="shared" si="152"/>
        <v>22000</v>
      </c>
      <c r="T603" s="2747">
        <f>IF(L603&gt;0,IF(input!$B$2=$O$1,(((L603+Y603/22)+(L603+Y603/22)*$AG603+$X603)*$P$11+$M$7)/1000,(((L603+Y603/22)+(L603+Y603/22)*O603+(L603+Y603/22)*$AG603+$X603)*$P$11+$M$7)/1000),0)</f>
        <v>22554.743999999999</v>
      </c>
      <c r="U603" s="2747">
        <f t="shared" si="163"/>
        <v>21208.552188552188</v>
      </c>
      <c r="V603" s="1229"/>
      <c r="W603" s="1231" t="str">
        <f t="shared" si="153"/>
        <v>CIF</v>
      </c>
      <c r="X603" s="1230">
        <f t="shared" si="166"/>
        <v>0</v>
      </c>
      <c r="Y603" s="2625">
        <f t="shared" si="157"/>
        <v>0</v>
      </c>
      <c r="Z603" s="3208">
        <f t="shared" si="165"/>
        <v>838.18181818181813</v>
      </c>
      <c r="AA603" s="1220" t="s">
        <v>2836</v>
      </c>
      <c r="AB603" s="1220" t="s">
        <v>1397</v>
      </c>
      <c r="AC603" s="251" t="str">
        <f t="shared" si="158"/>
        <v>150gsm ART PAPER MOORIM - GLOSS</v>
      </c>
      <c r="AD603" s="2746">
        <f>IF(L603&gt;0,IF(input!$B$2=$O$1,(((M603)+(M603)*$M$10)*$P$11)/1000,(((M603)+(M603)*O603+(M603)*$M$10)*$P$11)/1000),0)</f>
        <v>726.06239999999991</v>
      </c>
      <c r="AE603" s="2746">
        <f>IF(L603&gt;0,IF(input!$B$2=$O$1,(((N603)+(N603)*$M$10)*$P$11)/1000,(((N603)+(N603)*O603+(N603)*$M$10)*$P$11)/1000),0)</f>
        <v>484.04159999999996</v>
      </c>
      <c r="AF603" s="136" t="str">
        <f t="shared" si="159"/>
        <v>FSC</v>
      </c>
      <c r="AG603" s="2628">
        <f t="shared" si="160"/>
        <v>1.6E-2</v>
      </c>
      <c r="AH603" s="1266">
        <v>0.1</v>
      </c>
    </row>
    <row r="604" spans="1:34" ht="12.75">
      <c r="A604" s="2199">
        <f t="shared" si="162"/>
        <v>592</v>
      </c>
      <c r="B604" s="2200" t="s">
        <v>2667</v>
      </c>
      <c r="C604" s="2743">
        <v>0</v>
      </c>
      <c r="D604" s="2743">
        <v>900</v>
      </c>
      <c r="E604" s="2949">
        <v>0</v>
      </c>
      <c r="F604" s="2200">
        <v>20</v>
      </c>
      <c r="G604" s="2200" t="s">
        <v>2038</v>
      </c>
      <c r="H604" s="2200" t="s">
        <v>1057</v>
      </c>
      <c r="I604" s="2742">
        <v>30</v>
      </c>
      <c r="J604" s="2742"/>
      <c r="K604" s="2752">
        <v>60</v>
      </c>
      <c r="L604" s="2745">
        <f t="shared" si="151"/>
        <v>900</v>
      </c>
      <c r="M604" s="2745">
        <f t="shared" si="154"/>
        <v>30</v>
      </c>
      <c r="N604" s="2745">
        <f t="shared" si="155"/>
        <v>20</v>
      </c>
      <c r="O604" s="1232">
        <f t="shared" si="156"/>
        <v>0</v>
      </c>
      <c r="P604" s="1227" t="str">
        <f t="shared" si="161"/>
        <v>160gsm ART PAPER MOORIM - GLOSS</v>
      </c>
      <c r="Q604" s="254">
        <v>0.13100000000000001</v>
      </c>
      <c r="R604" s="1228" t="str">
        <f t="shared" si="164"/>
        <v>160</v>
      </c>
      <c r="S604" s="2625">
        <f t="shared" si="152"/>
        <v>0</v>
      </c>
      <c r="T604" s="2747">
        <f>IF(L604&gt;0,IF(input!$B$2=$O$1,(((L604+Y604/22)+(L604+Y604/22)*$AG604+$X604)*$P$11+$M$7)/1000,(((L604+Y604/22)+(L604+Y604/22)*O604+(L604+Y604/22)*$AG604+$X604)*$P$11+$M$7)/1000),0)</f>
        <v>22554.743999999999</v>
      </c>
      <c r="U604" s="2747">
        <f t="shared" si="163"/>
        <v>0</v>
      </c>
      <c r="V604" s="1229"/>
      <c r="W604" s="1231" t="str">
        <f t="shared" si="153"/>
        <v>CIF</v>
      </c>
      <c r="X604" s="1230">
        <f t="shared" si="166"/>
        <v>0</v>
      </c>
      <c r="Y604" s="2625">
        <f t="shared" si="157"/>
        <v>0</v>
      </c>
      <c r="Z604" s="3208">
        <f t="shared" si="165"/>
        <v>838.18181818181813</v>
      </c>
      <c r="AA604" s="1220" t="s">
        <v>2836</v>
      </c>
      <c r="AB604" s="1220" t="s">
        <v>1397</v>
      </c>
      <c r="AC604" s="251" t="str">
        <f t="shared" si="158"/>
        <v>160gsm ART PAPER MOORIM - GLOSS</v>
      </c>
      <c r="AD604" s="2746">
        <f>IF(L604&gt;0,IF(input!$B$2=$O$1,(((M604)+(M604)*$M$10)*$P$11)/1000,(((M604)+(M604)*O604+(M604)*$M$10)*$P$11)/1000),0)</f>
        <v>726.06239999999991</v>
      </c>
      <c r="AE604" s="2746">
        <f>IF(L604&gt;0,IF(input!$B$2=$O$1,(((N604)+(N604)*$M$10)*$P$11)/1000,(((N604)+(N604)*O604+(N604)*$M$10)*$P$11)/1000),0)</f>
        <v>484.04159999999996</v>
      </c>
      <c r="AF604" s="136" t="str">
        <f t="shared" si="159"/>
        <v>FSC</v>
      </c>
      <c r="AG604" s="2628">
        <f t="shared" si="160"/>
        <v>1.6E-2</v>
      </c>
      <c r="AH604" s="1266">
        <v>0.1</v>
      </c>
    </row>
    <row r="605" spans="1:34" ht="12.75">
      <c r="A605" s="2199">
        <f t="shared" si="162"/>
        <v>593</v>
      </c>
      <c r="B605" s="2200" t="s">
        <v>2668</v>
      </c>
      <c r="C605" s="2743">
        <v>22000</v>
      </c>
      <c r="D605" s="2743">
        <v>900</v>
      </c>
      <c r="E605" s="2949">
        <v>0</v>
      </c>
      <c r="F605" s="2200">
        <v>20</v>
      </c>
      <c r="G605" s="2200" t="s">
        <v>2038</v>
      </c>
      <c r="H605" s="2200" t="s">
        <v>1057</v>
      </c>
      <c r="I605" s="2742">
        <v>30</v>
      </c>
      <c r="J605" s="2742"/>
      <c r="K605" s="2752">
        <v>60</v>
      </c>
      <c r="L605" s="2745">
        <f t="shared" si="151"/>
        <v>900</v>
      </c>
      <c r="M605" s="2745">
        <f t="shared" si="154"/>
        <v>30</v>
      </c>
      <c r="N605" s="2745">
        <f t="shared" si="155"/>
        <v>20</v>
      </c>
      <c r="O605" s="1232">
        <f t="shared" si="156"/>
        <v>0</v>
      </c>
      <c r="P605" s="1227" t="str">
        <f t="shared" si="161"/>
        <v>170gsm ART PAPER MOORIM - GLOSS</v>
      </c>
      <c r="Q605" s="254">
        <v>0.14299999999999999</v>
      </c>
      <c r="R605" s="1228" t="str">
        <f t="shared" si="164"/>
        <v>170</v>
      </c>
      <c r="S605" s="2625">
        <f t="shared" si="152"/>
        <v>22000</v>
      </c>
      <c r="T605" s="2747">
        <f>IF(L605&gt;0,IF(input!$B$2=$O$1,(((L605+Y605/22)+(L605+Y605/22)*$AG605+$X605)*$P$11+$M$7)/1000,(((L605+Y605/22)+(L605+Y605/22)*O605+(L605+Y605/22)*$AG605+$X605)*$P$11+$M$7)/1000),0)</f>
        <v>22554.743999999999</v>
      </c>
      <c r="U605" s="2747">
        <f t="shared" si="163"/>
        <v>21208.552188552188</v>
      </c>
      <c r="V605" s="1229"/>
      <c r="W605" s="1231" t="str">
        <f t="shared" si="153"/>
        <v>CIF</v>
      </c>
      <c r="X605" s="1230">
        <f t="shared" si="166"/>
        <v>0</v>
      </c>
      <c r="Y605" s="2625">
        <f t="shared" si="157"/>
        <v>0</v>
      </c>
      <c r="Z605" s="3208">
        <f t="shared" si="165"/>
        <v>838.18181818181813</v>
      </c>
      <c r="AA605" s="1220" t="s">
        <v>2836</v>
      </c>
      <c r="AB605" s="1220" t="s">
        <v>1397</v>
      </c>
      <c r="AC605" s="251" t="str">
        <f t="shared" si="158"/>
        <v>170gsm ART PAPER MOORIM - GLOSS</v>
      </c>
      <c r="AD605" s="2746">
        <f>IF(L605&gt;0,IF(input!$B$2=$O$1,(((M605)+(M605)*$M$10)*$P$11)/1000,(((M605)+(M605)*O605+(M605)*$M$10)*$P$11)/1000),0)</f>
        <v>726.06239999999991</v>
      </c>
      <c r="AE605" s="2746">
        <f>IF(L605&gt;0,IF(input!$B$2=$O$1,(((N605)+(N605)*$M$10)*$P$11)/1000,(((N605)+(N605)*O605+(N605)*$M$10)*$P$11)/1000),0)</f>
        <v>484.04159999999996</v>
      </c>
      <c r="AF605" s="136" t="str">
        <f t="shared" si="159"/>
        <v>FSC</v>
      </c>
      <c r="AG605" s="2628">
        <f t="shared" si="160"/>
        <v>1.6E-2</v>
      </c>
      <c r="AH605" s="1266">
        <v>0.1</v>
      </c>
    </row>
    <row r="606" spans="1:34" ht="12.75">
      <c r="A606" s="2199">
        <f t="shared" si="162"/>
        <v>594</v>
      </c>
      <c r="B606" s="2200" t="s">
        <v>2669</v>
      </c>
      <c r="C606" s="2743">
        <v>20900</v>
      </c>
      <c r="D606" s="2743">
        <v>900</v>
      </c>
      <c r="E606" s="2949">
        <v>0</v>
      </c>
      <c r="F606" s="2200">
        <v>20</v>
      </c>
      <c r="G606" s="2200" t="s">
        <v>2038</v>
      </c>
      <c r="H606" s="2200" t="s">
        <v>1057</v>
      </c>
      <c r="I606" s="2742">
        <v>30</v>
      </c>
      <c r="J606" s="2742"/>
      <c r="K606" s="2752">
        <v>60</v>
      </c>
      <c r="L606" s="2745">
        <f t="shared" si="151"/>
        <v>900</v>
      </c>
      <c r="M606" s="2745">
        <f t="shared" si="154"/>
        <v>30</v>
      </c>
      <c r="N606" s="2745">
        <f t="shared" si="155"/>
        <v>20</v>
      </c>
      <c r="O606" s="1232">
        <f t="shared" si="156"/>
        <v>0</v>
      </c>
      <c r="P606" s="1227" t="str">
        <f t="shared" si="161"/>
        <v>180gsm ART PAPER MOORIM - GLOSS</v>
      </c>
      <c r="Q606" s="254">
        <v>0.152</v>
      </c>
      <c r="R606" s="1228" t="str">
        <f t="shared" si="164"/>
        <v>180</v>
      </c>
      <c r="S606" s="2625">
        <f t="shared" si="152"/>
        <v>20900</v>
      </c>
      <c r="T606" s="2747">
        <f>IF(L606&gt;0,IF(input!$B$2=$O$1,(((L606+Y606/22)+(L606+Y606/22)*$AG606+$X606)*$P$11+$M$7)/1000,(((L606+Y606/22)+(L606+Y606/22)*O606+(L606+Y606/22)*$AG606+$X606)*$P$11+$M$7)/1000),0)</f>
        <v>22554.743999999999</v>
      </c>
      <c r="U606" s="2747">
        <f t="shared" si="163"/>
        <v>20190.03367003367</v>
      </c>
      <c r="V606" s="1229"/>
      <c r="W606" s="1231" t="str">
        <f t="shared" si="153"/>
        <v>CIF</v>
      </c>
      <c r="X606" s="1230">
        <f t="shared" si="166"/>
        <v>0</v>
      </c>
      <c r="Y606" s="2625">
        <f t="shared" si="157"/>
        <v>0</v>
      </c>
      <c r="Z606" s="3208">
        <f t="shared" si="165"/>
        <v>838.18181818181813</v>
      </c>
      <c r="AA606" s="1220" t="s">
        <v>2836</v>
      </c>
      <c r="AB606" s="1220" t="s">
        <v>1397</v>
      </c>
      <c r="AC606" s="251" t="str">
        <f t="shared" si="158"/>
        <v>180gsm ART PAPER MOORIM - GLOSS</v>
      </c>
      <c r="AD606" s="2746">
        <f>IF(L606&gt;0,IF(input!$B$2=$O$1,(((M606)+(M606)*$M$10)*$P$11)/1000,(((M606)+(M606)*O606+(M606)*$M$10)*$P$11)/1000),0)</f>
        <v>726.06239999999991</v>
      </c>
      <c r="AE606" s="2746">
        <f>IF(L606&gt;0,IF(input!$B$2=$O$1,(((N606)+(N606)*$M$10)*$P$11)/1000,(((N606)+(N606)*O606+(N606)*$M$10)*$P$11)/1000),0)</f>
        <v>484.04159999999996</v>
      </c>
      <c r="AF606" s="136" t="str">
        <f t="shared" si="159"/>
        <v>FSC</v>
      </c>
      <c r="AG606" s="2628">
        <f t="shared" si="160"/>
        <v>1.6E-2</v>
      </c>
      <c r="AH606" s="1266">
        <v>0.1</v>
      </c>
    </row>
    <row r="607" spans="1:34" ht="12.75">
      <c r="A607" s="2199">
        <f t="shared" si="162"/>
        <v>595</v>
      </c>
      <c r="B607" s="2200" t="s">
        <v>2670</v>
      </c>
      <c r="C607" s="2743">
        <v>22000</v>
      </c>
      <c r="D607" s="2743">
        <v>940</v>
      </c>
      <c r="E607" s="2949">
        <v>0</v>
      </c>
      <c r="F607" s="2200">
        <v>20</v>
      </c>
      <c r="G607" s="2200" t="s">
        <v>2038</v>
      </c>
      <c r="H607" s="2200" t="s">
        <v>1057</v>
      </c>
      <c r="I607" s="2742">
        <v>30</v>
      </c>
      <c r="J607" s="2742"/>
      <c r="K607" s="2752">
        <v>60</v>
      </c>
      <c r="L607" s="2745">
        <f t="shared" si="151"/>
        <v>940</v>
      </c>
      <c r="M607" s="2745">
        <f t="shared" si="154"/>
        <v>30</v>
      </c>
      <c r="N607" s="2745">
        <f t="shared" si="155"/>
        <v>20</v>
      </c>
      <c r="O607" s="1232">
        <f t="shared" si="156"/>
        <v>0</v>
      </c>
      <c r="P607" s="1227" t="str">
        <f t="shared" si="161"/>
        <v>200gsm ART PAPER MOORIM - GLOSS</v>
      </c>
      <c r="Q607" s="254">
        <v>0.17799999999999999</v>
      </c>
      <c r="R607" s="1228" t="str">
        <f t="shared" si="164"/>
        <v>200</v>
      </c>
      <c r="S607" s="2625">
        <f t="shared" si="152"/>
        <v>22000</v>
      </c>
      <c r="T607" s="2747">
        <f>IF(L607&gt;0,IF(input!$B$2=$O$1,(((L607+Y607/22)+(L607+Y607/22)*$AG607+$X607)*$P$11+$M$7)/1000,(((L607+Y607/22)+(L607+Y607/22)*O607+(L607+Y607/22)*$AG607+$X607)*$P$11+$M$7)/1000),0)</f>
        <v>23530.510399999999</v>
      </c>
      <c r="U607" s="2747">
        <f t="shared" si="163"/>
        <v>21208.552188552188</v>
      </c>
      <c r="V607" s="1229"/>
      <c r="W607" s="1231" t="str">
        <f t="shared" si="153"/>
        <v>CIF</v>
      </c>
      <c r="X607" s="1230">
        <f t="shared" si="166"/>
        <v>0</v>
      </c>
      <c r="Y607" s="2625">
        <f t="shared" si="157"/>
        <v>0</v>
      </c>
      <c r="Z607" s="3208">
        <f t="shared" si="165"/>
        <v>838.18181818181813</v>
      </c>
      <c r="AA607" s="1220" t="s">
        <v>2836</v>
      </c>
      <c r="AB607" s="1220" t="s">
        <v>1397</v>
      </c>
      <c r="AC607" s="251" t="str">
        <f t="shared" si="158"/>
        <v>200gsm ART PAPER MOORIM - GLOSS</v>
      </c>
      <c r="AD607" s="2746">
        <f>IF(L607&gt;0,IF(input!$B$2=$O$1,(((M607)+(M607)*$M$10)*$P$11)/1000,(((M607)+(M607)*O607+(M607)*$M$10)*$P$11)/1000),0)</f>
        <v>726.06239999999991</v>
      </c>
      <c r="AE607" s="2746">
        <f>IF(L607&gt;0,IF(input!$B$2=$O$1,(((N607)+(N607)*$M$10)*$P$11)/1000,(((N607)+(N607)*O607+(N607)*$M$10)*$P$11)/1000),0)</f>
        <v>484.04159999999996</v>
      </c>
      <c r="AF607" s="136" t="str">
        <f t="shared" si="159"/>
        <v>FSC</v>
      </c>
      <c r="AG607" s="2628">
        <f t="shared" si="160"/>
        <v>1.6E-2</v>
      </c>
      <c r="AH607" s="1266">
        <v>0.1</v>
      </c>
    </row>
    <row r="608" spans="1:34" ht="12.75">
      <c r="A608" s="2199">
        <f t="shared" si="162"/>
        <v>596</v>
      </c>
      <c r="B608" s="2200" t="s">
        <v>2671</v>
      </c>
      <c r="C608" s="2743">
        <v>0</v>
      </c>
      <c r="D608" s="2743">
        <v>940</v>
      </c>
      <c r="E608" s="2949">
        <v>0</v>
      </c>
      <c r="F608" s="2200">
        <v>20</v>
      </c>
      <c r="G608" s="2200" t="s">
        <v>2038</v>
      </c>
      <c r="H608" s="2200" t="s">
        <v>1057</v>
      </c>
      <c r="I608" s="2742">
        <v>30</v>
      </c>
      <c r="J608" s="2742"/>
      <c r="K608" s="2752">
        <v>60</v>
      </c>
      <c r="L608" s="2745">
        <f t="shared" si="151"/>
        <v>940</v>
      </c>
      <c r="M608" s="2745">
        <f t="shared" si="154"/>
        <v>30</v>
      </c>
      <c r="N608" s="2745">
        <f t="shared" si="155"/>
        <v>20</v>
      </c>
      <c r="O608" s="1232">
        <f t="shared" si="156"/>
        <v>0</v>
      </c>
      <c r="P608" s="1227" t="str">
        <f t="shared" si="161"/>
        <v>250gsm ART PAPER MOORIM - GLOSS</v>
      </c>
      <c r="Q608" s="254">
        <v>0.23499999999999999</v>
      </c>
      <c r="R608" s="1228" t="str">
        <f t="shared" si="164"/>
        <v>250</v>
      </c>
      <c r="S608" s="2625">
        <f t="shared" si="152"/>
        <v>0</v>
      </c>
      <c r="T608" s="2747">
        <f>IF(L608&gt;0,IF(input!$B$2=$O$1,(((L608+Y608/22)+(L608+Y608/22)*$AG608+$X608)*$P$11+$M$7)/1000,(((L608+Y608/22)+(L608+Y608/22)*O608+(L608+Y608/22)*$AG608+$X608)*$P$11+$M$7)/1000),0)</f>
        <v>23530.510399999999</v>
      </c>
      <c r="U608" s="2747">
        <f t="shared" si="163"/>
        <v>0</v>
      </c>
      <c r="V608" s="1229"/>
      <c r="W608" s="1231" t="str">
        <f t="shared" si="153"/>
        <v>CIF</v>
      </c>
      <c r="X608" s="1230">
        <f t="shared" si="166"/>
        <v>0</v>
      </c>
      <c r="Y608" s="2625">
        <f t="shared" si="157"/>
        <v>0</v>
      </c>
      <c r="Z608" s="3208">
        <f t="shared" si="165"/>
        <v>838.18181818181813</v>
      </c>
      <c r="AA608" s="1220" t="s">
        <v>2836</v>
      </c>
      <c r="AB608" s="1220" t="s">
        <v>1397</v>
      </c>
      <c r="AC608" s="251" t="str">
        <f t="shared" si="158"/>
        <v>250gsm ART PAPER MOORIM - GLOSS</v>
      </c>
      <c r="AD608" s="2746">
        <f>IF(L608&gt;0,IF(input!$B$2=$O$1,(((M608)+(M608)*$M$10)*$P$11)/1000,(((M608)+(M608)*O608+(M608)*$M$10)*$P$11)/1000),0)</f>
        <v>726.06239999999991</v>
      </c>
      <c r="AE608" s="2746">
        <f>IF(L608&gt;0,IF(input!$B$2=$O$1,(((N608)+(N608)*$M$10)*$P$11)/1000,(((N608)+(N608)*O608+(N608)*$M$10)*$P$11)/1000),0)</f>
        <v>484.04159999999996</v>
      </c>
      <c r="AF608" s="136" t="str">
        <f t="shared" si="159"/>
        <v>FSC</v>
      </c>
      <c r="AG608" s="2628">
        <f t="shared" si="160"/>
        <v>1.6E-2</v>
      </c>
      <c r="AH608" s="1266">
        <v>0.1</v>
      </c>
    </row>
    <row r="609" spans="1:34" ht="12.75">
      <c r="A609" s="2199">
        <f t="shared" si="162"/>
        <v>597</v>
      </c>
      <c r="B609" s="2200" t="s">
        <v>2672</v>
      </c>
      <c r="C609" s="2743">
        <v>0</v>
      </c>
      <c r="D609" s="2743">
        <v>940</v>
      </c>
      <c r="E609" s="2949">
        <v>0</v>
      </c>
      <c r="F609" s="2200">
        <v>20</v>
      </c>
      <c r="G609" s="2200" t="s">
        <v>2038</v>
      </c>
      <c r="H609" s="2200" t="s">
        <v>1057</v>
      </c>
      <c r="I609" s="2742">
        <v>30</v>
      </c>
      <c r="J609" s="2742"/>
      <c r="K609" s="2752">
        <v>60</v>
      </c>
      <c r="L609" s="2745">
        <f t="shared" si="151"/>
        <v>940</v>
      </c>
      <c r="M609" s="2745">
        <f t="shared" si="154"/>
        <v>30</v>
      </c>
      <c r="N609" s="2745">
        <f t="shared" si="155"/>
        <v>20</v>
      </c>
      <c r="O609" s="1232">
        <f t="shared" si="156"/>
        <v>0</v>
      </c>
      <c r="P609" s="1227" t="str">
        <f t="shared" si="161"/>
        <v>300gsm ART PAPER MOORIM - GLOSS</v>
      </c>
      <c r="Q609" s="254">
        <v>0.28999999999999998</v>
      </c>
      <c r="R609" s="1228" t="str">
        <f t="shared" si="164"/>
        <v>300</v>
      </c>
      <c r="S609" s="2625">
        <f t="shared" si="152"/>
        <v>0</v>
      </c>
      <c r="T609" s="2747">
        <f>IF(L609&gt;0,IF(input!$B$2=$O$1,(((L609+Y609/22)+(L609+Y609/22)*$AG609+$X609)*$P$11+$M$7)/1000,(((L609+Y609/22)+(L609+Y609/22)*O609+(L609+Y609/22)*$AG609+$X609)*$P$11+$M$7)/1000),0)</f>
        <v>23530.510399999999</v>
      </c>
      <c r="U609" s="2747">
        <f t="shared" si="163"/>
        <v>0</v>
      </c>
      <c r="V609" s="1229"/>
      <c r="W609" s="1231" t="str">
        <f t="shared" si="153"/>
        <v>CIF</v>
      </c>
      <c r="X609" s="1230">
        <f t="shared" si="166"/>
        <v>0</v>
      </c>
      <c r="Y609" s="2625">
        <f t="shared" si="157"/>
        <v>0</v>
      </c>
      <c r="Z609" s="3208">
        <f t="shared" si="165"/>
        <v>838.18181818181813</v>
      </c>
      <c r="AA609" s="1220" t="s">
        <v>2836</v>
      </c>
      <c r="AB609" s="1220" t="s">
        <v>1397</v>
      </c>
      <c r="AC609" s="251" t="str">
        <f t="shared" si="158"/>
        <v>300gsm ART PAPER MOORIM - GLOSS</v>
      </c>
      <c r="AD609" s="2746">
        <f>IF(L609&gt;0,IF(input!$B$2=$O$1,(((M609)+(M609)*$M$10)*$P$11)/1000,(((M609)+(M609)*O609+(M609)*$M$10)*$P$11)/1000),0)</f>
        <v>726.06239999999991</v>
      </c>
      <c r="AE609" s="2746">
        <f>IF(L609&gt;0,IF(input!$B$2=$O$1,(((N609)+(N609)*$M$10)*$P$11)/1000,(((N609)+(N609)*O609+(N609)*$M$10)*$P$11)/1000),0)</f>
        <v>484.04159999999996</v>
      </c>
      <c r="AF609" s="136" t="str">
        <f t="shared" si="159"/>
        <v>FSC</v>
      </c>
      <c r="AG609" s="2628">
        <f t="shared" si="160"/>
        <v>1.6E-2</v>
      </c>
      <c r="AH609" s="1266">
        <v>0.1</v>
      </c>
    </row>
    <row r="610" spans="1:34" ht="12.75">
      <c r="A610" s="2199">
        <f t="shared" si="162"/>
        <v>598</v>
      </c>
      <c r="B610" s="2200" t="s">
        <v>2673</v>
      </c>
      <c r="C610" s="2743">
        <v>0</v>
      </c>
      <c r="D610" s="2743">
        <v>940</v>
      </c>
      <c r="E610" s="2949">
        <v>0</v>
      </c>
      <c r="F610" s="2200">
        <v>20</v>
      </c>
      <c r="G610" s="2200" t="s">
        <v>2038</v>
      </c>
      <c r="H610" s="2200" t="s">
        <v>1057</v>
      </c>
      <c r="I610" s="2742">
        <v>30</v>
      </c>
      <c r="J610" s="2742"/>
      <c r="K610" s="2752">
        <v>60</v>
      </c>
      <c r="L610" s="2745">
        <f t="shared" si="151"/>
        <v>940</v>
      </c>
      <c r="M610" s="2745">
        <f t="shared" si="154"/>
        <v>30</v>
      </c>
      <c r="N610" s="2745">
        <f t="shared" si="155"/>
        <v>20</v>
      </c>
      <c r="O610" s="1232">
        <f t="shared" si="156"/>
        <v>0</v>
      </c>
      <c r="P610" s="1227" t="str">
        <f t="shared" si="161"/>
        <v>350gsm ART PAPER MOORIM - GLOSS</v>
      </c>
      <c r="Q610" s="254">
        <v>0.34200000000000003</v>
      </c>
      <c r="R610" s="1228" t="str">
        <f t="shared" si="164"/>
        <v>350</v>
      </c>
      <c r="S610" s="2625">
        <f t="shared" si="152"/>
        <v>0</v>
      </c>
      <c r="T610" s="2747">
        <f>IF(L610&gt;0,IF(input!$B$2=$O$1,(((L610+Y610/22)+(L610+Y610/22)*$AG610+$X610)*$P$11+$M$7)/1000,(((L610+Y610/22)+(L610+Y610/22)*O610+(L610+Y610/22)*$AG610+$X610)*$P$11+$M$7)/1000),0)</f>
        <v>23530.510399999999</v>
      </c>
      <c r="U610" s="2747">
        <f t="shared" si="163"/>
        <v>0</v>
      </c>
      <c r="V610" s="1229"/>
      <c r="W610" s="1231" t="str">
        <f t="shared" si="153"/>
        <v>CIF</v>
      </c>
      <c r="X610" s="1230">
        <f t="shared" si="166"/>
        <v>0</v>
      </c>
      <c r="Y610" s="2625">
        <f t="shared" si="157"/>
        <v>0</v>
      </c>
      <c r="Z610" s="3208">
        <f t="shared" si="165"/>
        <v>838.18181818181813</v>
      </c>
      <c r="AA610" s="1220" t="s">
        <v>2836</v>
      </c>
      <c r="AB610" s="1220" t="s">
        <v>1397</v>
      </c>
      <c r="AC610" s="251" t="str">
        <f t="shared" si="158"/>
        <v>350gsm ART PAPER MOORIM - GLOSS</v>
      </c>
      <c r="AD610" s="2746">
        <f>IF(L610&gt;0,IF(input!$B$2=$O$1,(((M610)+(M610)*$M$10)*$P$11)/1000,(((M610)+(M610)*O610+(M610)*$M$10)*$P$11)/1000),0)</f>
        <v>726.06239999999991</v>
      </c>
      <c r="AE610" s="2746">
        <f>IF(L610&gt;0,IF(input!$B$2=$O$1,(((N610)+(N610)*$M$10)*$P$11)/1000,(((N610)+(N610)*O610+(N610)*$M$10)*$P$11)/1000),0)</f>
        <v>484.04159999999996</v>
      </c>
      <c r="AF610" s="136" t="str">
        <f t="shared" si="159"/>
        <v>FSC</v>
      </c>
      <c r="AG610" s="2628">
        <f t="shared" si="160"/>
        <v>1.6E-2</v>
      </c>
      <c r="AH610" s="1266">
        <v>0.1</v>
      </c>
    </row>
    <row r="611" spans="1:34" ht="12.75">
      <c r="A611" s="2199">
        <f t="shared" si="162"/>
        <v>599</v>
      </c>
      <c r="B611" s="2200" t="s">
        <v>2674</v>
      </c>
      <c r="C611" s="2743">
        <v>0</v>
      </c>
      <c r="D611" s="2743">
        <v>0</v>
      </c>
      <c r="E611" s="2949">
        <v>0</v>
      </c>
      <c r="F611" s="2200">
        <v>20</v>
      </c>
      <c r="G611" s="2200" t="s">
        <v>2038</v>
      </c>
      <c r="H611" s="2200" t="s">
        <v>1057</v>
      </c>
      <c r="I611" s="2742">
        <v>30</v>
      </c>
      <c r="J611" s="2742"/>
      <c r="K611" s="2752">
        <v>60</v>
      </c>
      <c r="L611" s="2745">
        <f t="shared" si="151"/>
        <v>0</v>
      </c>
      <c r="M611" s="2745">
        <f t="shared" si="154"/>
        <v>30</v>
      </c>
      <c r="N611" s="2745">
        <f t="shared" si="155"/>
        <v>20</v>
      </c>
      <c r="O611" s="1232">
        <f t="shared" si="156"/>
        <v>0</v>
      </c>
      <c r="P611" s="1227" t="str">
        <f t="shared" si="161"/>
        <v>080gsm ART PAPER HANSOL - MATT</v>
      </c>
      <c r="Q611" s="254">
        <v>7.0999999999999994E-2</v>
      </c>
      <c r="R611" s="1228" t="str">
        <f t="shared" si="164"/>
        <v>080</v>
      </c>
      <c r="S611" s="2625">
        <f t="shared" si="152"/>
        <v>0</v>
      </c>
      <c r="T611" s="2747">
        <f>IF(L611&gt;0,IF(input!$B$2=$O$1,(((L611+Y611/22+(300000/$P$10/22))+(L611+Y611/22+(300000/$P$10/22))*$AG611+$X611)*$P$11+$M$7)/1000,(((L611+Y611/22+(300000/$P$10/22))+(L611+Y611/22+(300000/$P$10/22))*O611+(L611+Y611/22+(300000/$P$10/22))*$AG611+$X611)*$P$11+$M$7)/1000),0)</f>
        <v>0</v>
      </c>
      <c r="U611" s="2747">
        <f t="shared" si="163"/>
        <v>0</v>
      </c>
      <c r="V611" s="1229"/>
      <c r="W611" s="1231" t="str">
        <f t="shared" si="153"/>
        <v>CIF</v>
      </c>
      <c r="X611" s="1230">
        <f t="shared" si="166"/>
        <v>0</v>
      </c>
      <c r="Y611" s="2625">
        <f t="shared" si="157"/>
        <v>0</v>
      </c>
      <c r="Z611" s="3208">
        <f t="shared" si="165"/>
        <v>838.18181818181813</v>
      </c>
      <c r="AA611" s="1220" t="s">
        <v>2837</v>
      </c>
      <c r="AB611" s="1220" t="s">
        <v>1397</v>
      </c>
      <c r="AC611" s="251" t="str">
        <f t="shared" si="158"/>
        <v>080gsm ART PAPER HANSOL - MATT</v>
      </c>
      <c r="AD611" s="2746">
        <f>IF(L611&gt;0,IF(input!$B$2=$O$1,(((M611)+(M611)*$M$10)*$P$11)/1000,(((M611)+(M611)*O611+(M611)*$M$10)*$P$11)/1000),0)</f>
        <v>0</v>
      </c>
      <c r="AE611" s="2746">
        <f>IF(L611&gt;0,IF(input!$B$2=$O$1,(((N611)+(N611)*$M$10)*$P$11)/1000,(((N611)+(N611)*O611+(N611)*$M$10)*$P$11)/1000),0)</f>
        <v>0</v>
      </c>
      <c r="AF611" s="136" t="str">
        <f t="shared" si="159"/>
        <v>FSC</v>
      </c>
      <c r="AG611" s="2628">
        <f t="shared" si="160"/>
        <v>1.6E-2</v>
      </c>
      <c r="AH611" s="1266">
        <v>0.1</v>
      </c>
    </row>
    <row r="612" spans="1:34" ht="12.75">
      <c r="A612" s="2199">
        <f t="shared" si="162"/>
        <v>600</v>
      </c>
      <c r="B612" s="2200" t="s">
        <v>2675</v>
      </c>
      <c r="C612" s="2743">
        <v>0</v>
      </c>
      <c r="D612" s="2743">
        <v>0</v>
      </c>
      <c r="E612" s="2949">
        <v>0</v>
      </c>
      <c r="F612" s="2200">
        <v>20</v>
      </c>
      <c r="G612" s="2200" t="s">
        <v>2038</v>
      </c>
      <c r="H612" s="2200" t="s">
        <v>1057</v>
      </c>
      <c r="I612" s="2742">
        <v>30</v>
      </c>
      <c r="J612" s="2742"/>
      <c r="K612" s="2752">
        <v>60</v>
      </c>
      <c r="L612" s="2745">
        <f t="shared" si="151"/>
        <v>0</v>
      </c>
      <c r="M612" s="2745">
        <f t="shared" si="154"/>
        <v>30</v>
      </c>
      <c r="N612" s="2745">
        <f t="shared" si="155"/>
        <v>20</v>
      </c>
      <c r="O612" s="1232">
        <f t="shared" si="156"/>
        <v>0</v>
      </c>
      <c r="P612" s="1227" t="str">
        <f t="shared" si="161"/>
        <v>090gsm ART PAPER HANSOL - MATT</v>
      </c>
      <c r="Q612" s="254">
        <v>0.08</v>
      </c>
      <c r="R612" s="1228" t="str">
        <f t="shared" si="164"/>
        <v>090</v>
      </c>
      <c r="S612" s="2625">
        <f t="shared" si="152"/>
        <v>0</v>
      </c>
      <c r="T612" s="2747">
        <f>IF(L612&gt;0,IF(input!$B$2=$O$1,(((L612+Y612/22+(300000/$P$10/22))+(L612+Y612/22+(300000/$P$10/22))*$AG612+$X612)*$P$11+$M$7)/1000,(((L612+Y612/22+(300000/$P$10/22))+(L612+Y612/22+(300000/$P$10/22))*O612+(L612+Y612/22+(300000/$P$10/22))*$AG612+$X612)*$P$11+$M$7)/1000),0)</f>
        <v>0</v>
      </c>
      <c r="U612" s="2747">
        <f t="shared" si="163"/>
        <v>0</v>
      </c>
      <c r="V612" s="1229"/>
      <c r="W612" s="1231" t="str">
        <f t="shared" si="153"/>
        <v>CIF</v>
      </c>
      <c r="X612" s="1230">
        <f t="shared" si="166"/>
        <v>0</v>
      </c>
      <c r="Y612" s="2625">
        <f t="shared" si="157"/>
        <v>0</v>
      </c>
      <c r="Z612" s="3208">
        <f t="shared" si="165"/>
        <v>838.18181818181813</v>
      </c>
      <c r="AA612" s="1220" t="s">
        <v>2837</v>
      </c>
      <c r="AB612" s="1220" t="s">
        <v>1397</v>
      </c>
      <c r="AC612" s="251" t="str">
        <f t="shared" si="158"/>
        <v>090gsm ART PAPER HANSOL - MATT</v>
      </c>
      <c r="AD612" s="2746">
        <f>IF(L612&gt;0,IF(input!$B$2=$O$1,(((M612)+(M612)*$M$10)*$P$11)/1000,(((M612)+(M612)*O612+(M612)*$M$10)*$P$11)/1000),0)</f>
        <v>0</v>
      </c>
      <c r="AE612" s="2746">
        <f>IF(L612&gt;0,IF(input!$B$2=$O$1,(((N612)+(N612)*$M$10)*$P$11)/1000,(((N612)+(N612)*O612+(N612)*$M$10)*$P$11)/1000),0)</f>
        <v>0</v>
      </c>
      <c r="AF612" s="136" t="str">
        <f t="shared" si="159"/>
        <v>FSC</v>
      </c>
      <c r="AG612" s="2628">
        <f t="shared" si="160"/>
        <v>1.6E-2</v>
      </c>
      <c r="AH612" s="1266">
        <v>0.1</v>
      </c>
    </row>
    <row r="613" spans="1:34" ht="12.75">
      <c r="A613" s="2199">
        <f t="shared" si="162"/>
        <v>601</v>
      </c>
      <c r="B613" s="2200" t="s">
        <v>2676</v>
      </c>
      <c r="C613" s="2743">
        <v>0</v>
      </c>
      <c r="D613" s="2743">
        <v>0</v>
      </c>
      <c r="E613" s="2949">
        <v>0</v>
      </c>
      <c r="F613" s="2200">
        <v>20</v>
      </c>
      <c r="G613" s="2200" t="s">
        <v>2038</v>
      </c>
      <c r="H613" s="2200" t="s">
        <v>1057</v>
      </c>
      <c r="I613" s="2742">
        <v>30</v>
      </c>
      <c r="J613" s="2742"/>
      <c r="K613" s="2752">
        <v>60</v>
      </c>
      <c r="L613" s="2745">
        <f t="shared" si="151"/>
        <v>0</v>
      </c>
      <c r="M613" s="2745">
        <f t="shared" si="154"/>
        <v>30</v>
      </c>
      <c r="N613" s="2745">
        <f t="shared" si="155"/>
        <v>20</v>
      </c>
      <c r="O613" s="1232">
        <f t="shared" si="156"/>
        <v>0</v>
      </c>
      <c r="P613" s="1227" t="str">
        <f t="shared" si="161"/>
        <v>095gsm ART PAPER HANSOL - MATT</v>
      </c>
      <c r="Q613" s="254">
        <v>8.5000000000000006E-2</v>
      </c>
      <c r="R613" s="1228" t="str">
        <f t="shared" si="164"/>
        <v>095</v>
      </c>
      <c r="S613" s="2625">
        <f t="shared" si="152"/>
        <v>0</v>
      </c>
      <c r="T613" s="2747">
        <f>IF(L613&gt;0,IF(input!$B$2=$O$1,(((L613+Y613/22+(300000/$P$10/22))+(L613+Y613/22+(300000/$P$10/22))*$AG613+$X613)*$P$11+$M$7)/1000,(((L613+Y613/22+(300000/$P$10/22))+(L613+Y613/22+(300000/$P$10/22))*O613+(L613+Y613/22+(300000/$P$10/22))*$AG613+$X613)*$P$11+$M$7)/1000),0)</f>
        <v>0</v>
      </c>
      <c r="U613" s="2747">
        <f t="shared" si="163"/>
        <v>0</v>
      </c>
      <c r="V613" s="1229"/>
      <c r="W613" s="1231" t="str">
        <f t="shared" si="153"/>
        <v>CIF</v>
      </c>
      <c r="X613" s="1230">
        <f t="shared" si="166"/>
        <v>0</v>
      </c>
      <c r="Y613" s="2625">
        <f t="shared" si="157"/>
        <v>0</v>
      </c>
      <c r="Z613" s="3208">
        <f t="shared" si="165"/>
        <v>838.18181818181813</v>
      </c>
      <c r="AA613" s="1220" t="s">
        <v>2837</v>
      </c>
      <c r="AB613" s="1220" t="s">
        <v>1397</v>
      </c>
      <c r="AC613" s="251" t="str">
        <f t="shared" si="158"/>
        <v>095gsm ART PAPER HANSOL - MATT</v>
      </c>
      <c r="AD613" s="2746">
        <f>IF(L613&gt;0,IF(input!$B$2=$O$1,(((M613)+(M613)*$M$10)*$P$11)/1000,(((M613)+(M613)*O613+(M613)*$M$10)*$P$11)/1000),0)</f>
        <v>0</v>
      </c>
      <c r="AE613" s="2746">
        <f>IF(L613&gt;0,IF(input!$B$2=$O$1,(((N613)+(N613)*$M$10)*$P$11)/1000,(((N613)+(N613)*O613+(N613)*$M$10)*$P$11)/1000),0)</f>
        <v>0</v>
      </c>
      <c r="AF613" s="136" t="str">
        <f t="shared" si="159"/>
        <v>FSC</v>
      </c>
      <c r="AG613" s="2628">
        <f t="shared" si="160"/>
        <v>1.6E-2</v>
      </c>
      <c r="AH613" s="1266">
        <v>0.1</v>
      </c>
    </row>
    <row r="614" spans="1:34" ht="12.75">
      <c r="A614" s="2199">
        <f t="shared" si="162"/>
        <v>602</v>
      </c>
      <c r="B614" s="2200" t="s">
        <v>2677</v>
      </c>
      <c r="C614" s="2743">
        <v>0</v>
      </c>
      <c r="D614" s="2743">
        <v>0</v>
      </c>
      <c r="E614" s="2949">
        <v>0</v>
      </c>
      <c r="F614" s="2200">
        <v>20</v>
      </c>
      <c r="G614" s="2200" t="s">
        <v>2038</v>
      </c>
      <c r="H614" s="2200" t="s">
        <v>1057</v>
      </c>
      <c r="I614" s="2742">
        <v>30</v>
      </c>
      <c r="J614" s="2742"/>
      <c r="K614" s="2752">
        <v>60</v>
      </c>
      <c r="L614" s="2745">
        <f t="shared" si="151"/>
        <v>0</v>
      </c>
      <c r="M614" s="2745">
        <f t="shared" si="154"/>
        <v>30</v>
      </c>
      <c r="N614" s="2745">
        <f t="shared" si="155"/>
        <v>20</v>
      </c>
      <c r="O614" s="1232">
        <f t="shared" si="156"/>
        <v>0</v>
      </c>
      <c r="P614" s="1227" t="str">
        <f t="shared" si="161"/>
        <v>100gsm ART PAPER HANSOL - MATT</v>
      </c>
      <c r="Q614" s="254">
        <v>0.09</v>
      </c>
      <c r="R614" s="1228" t="str">
        <f t="shared" si="164"/>
        <v>100</v>
      </c>
      <c r="S614" s="2625">
        <f t="shared" si="152"/>
        <v>0</v>
      </c>
      <c r="T614" s="2747">
        <f>IF(L614&gt;0,IF(input!$B$2=$O$1,(((L614+Y614/22+(300000/$P$10/22))+(L614+Y614/22+(300000/$P$10/22))*$AG614+$X614)*$P$11+$M$7)/1000,(((L614+Y614/22+(300000/$P$10/22))+(L614+Y614/22+(300000/$P$10/22))*O614+(L614+Y614/22+(300000/$P$10/22))*$AG614+$X614)*$P$11+$M$7)/1000),0)</f>
        <v>0</v>
      </c>
      <c r="U614" s="2747">
        <f t="shared" si="163"/>
        <v>0</v>
      </c>
      <c r="V614" s="1229"/>
      <c r="W614" s="1231" t="str">
        <f t="shared" si="153"/>
        <v>CIF</v>
      </c>
      <c r="X614" s="1230">
        <f t="shared" si="166"/>
        <v>0</v>
      </c>
      <c r="Y614" s="2625">
        <f t="shared" si="157"/>
        <v>0</v>
      </c>
      <c r="Z614" s="3208">
        <f t="shared" si="165"/>
        <v>838.18181818181813</v>
      </c>
      <c r="AA614" s="1220" t="s">
        <v>2837</v>
      </c>
      <c r="AB614" s="1220" t="s">
        <v>1397</v>
      </c>
      <c r="AC614" s="251" t="str">
        <f t="shared" si="158"/>
        <v>100gsm ART PAPER HANSOL - MATT</v>
      </c>
      <c r="AD614" s="2746">
        <f>IF(L614&gt;0,IF(input!$B$2=$O$1,(((M614)+(M614)*$M$10)*$P$11)/1000,(((M614)+(M614)*O614+(M614)*$M$10)*$P$11)/1000),0)</f>
        <v>0</v>
      </c>
      <c r="AE614" s="2746">
        <f>IF(L614&gt;0,IF(input!$B$2=$O$1,(((N614)+(N614)*$M$10)*$P$11)/1000,(((N614)+(N614)*O614+(N614)*$M$10)*$P$11)/1000),0)</f>
        <v>0</v>
      </c>
      <c r="AF614" s="136" t="str">
        <f t="shared" si="159"/>
        <v>FSC</v>
      </c>
      <c r="AG614" s="2628">
        <f t="shared" si="160"/>
        <v>1.6E-2</v>
      </c>
      <c r="AH614" s="1266">
        <v>0.1</v>
      </c>
    </row>
    <row r="615" spans="1:34" ht="12.75">
      <c r="A615" s="2199">
        <f t="shared" si="162"/>
        <v>603</v>
      </c>
      <c r="B615" s="2200" t="s">
        <v>2678</v>
      </c>
      <c r="C615" s="2743">
        <v>0</v>
      </c>
      <c r="D615" s="2743">
        <v>0</v>
      </c>
      <c r="E615" s="2949">
        <v>0</v>
      </c>
      <c r="F615" s="2200">
        <v>20</v>
      </c>
      <c r="G615" s="2200" t="s">
        <v>2038</v>
      </c>
      <c r="H615" s="2200" t="s">
        <v>1057</v>
      </c>
      <c r="I615" s="2742">
        <v>30</v>
      </c>
      <c r="J615" s="2742"/>
      <c r="K615" s="2752">
        <v>60</v>
      </c>
      <c r="L615" s="2745">
        <f t="shared" si="151"/>
        <v>0</v>
      </c>
      <c r="M615" s="2745">
        <f t="shared" si="154"/>
        <v>30</v>
      </c>
      <c r="N615" s="2745">
        <f t="shared" si="155"/>
        <v>20</v>
      </c>
      <c r="O615" s="1232">
        <f t="shared" si="156"/>
        <v>0</v>
      </c>
      <c r="P615" s="1227" t="str">
        <f t="shared" si="161"/>
        <v>105gsm ART PAPER HANSOL - MATT</v>
      </c>
      <c r="Q615" s="254">
        <v>9.5000000000000001E-2</v>
      </c>
      <c r="R615" s="1228" t="str">
        <f t="shared" si="164"/>
        <v>105</v>
      </c>
      <c r="S615" s="2625">
        <f t="shared" si="152"/>
        <v>0</v>
      </c>
      <c r="T615" s="2747">
        <f>IF(L615&gt;0,IF(input!$B$2=$O$1,(((L615+Y615/22+(300000/$P$10/22))+(L615+Y615/22+(300000/$P$10/22))*$AG615+$X615)*$P$11+$M$7)/1000,(((L615+Y615/22+(300000/$P$10/22))+(L615+Y615/22+(300000/$P$10/22))*O615+(L615+Y615/22+(300000/$P$10/22))*$AG615+$X615)*$P$11+$M$7)/1000),0)</f>
        <v>0</v>
      </c>
      <c r="U615" s="2747">
        <f t="shared" si="163"/>
        <v>0</v>
      </c>
      <c r="V615" s="1229"/>
      <c r="W615" s="1231" t="str">
        <f t="shared" si="153"/>
        <v>CIF</v>
      </c>
      <c r="X615" s="1230">
        <f t="shared" si="166"/>
        <v>0</v>
      </c>
      <c r="Y615" s="2625">
        <f t="shared" si="157"/>
        <v>0</v>
      </c>
      <c r="Z615" s="3208">
        <f t="shared" si="165"/>
        <v>838.18181818181813</v>
      </c>
      <c r="AA615" s="1220" t="s">
        <v>2837</v>
      </c>
      <c r="AB615" s="1220" t="s">
        <v>1397</v>
      </c>
      <c r="AC615" s="251" t="str">
        <f t="shared" si="158"/>
        <v>105gsm ART PAPER HANSOL - MATT</v>
      </c>
      <c r="AD615" s="2746">
        <f>IF(L615&gt;0,IF(input!$B$2=$O$1,(((M615)+(M615)*$M$10)*$P$11)/1000,(((M615)+(M615)*O615+(M615)*$M$10)*$P$11)/1000),0)</f>
        <v>0</v>
      </c>
      <c r="AE615" s="2746">
        <f>IF(L615&gt;0,IF(input!$B$2=$O$1,(((N615)+(N615)*$M$10)*$P$11)/1000,(((N615)+(N615)*O615+(N615)*$M$10)*$P$11)/1000),0)</f>
        <v>0</v>
      </c>
      <c r="AF615" s="136" t="str">
        <f t="shared" si="159"/>
        <v>FSC</v>
      </c>
      <c r="AG615" s="2628">
        <f t="shared" si="160"/>
        <v>1.6E-2</v>
      </c>
      <c r="AH615" s="1266">
        <v>0.1</v>
      </c>
    </row>
    <row r="616" spans="1:34" ht="12.75">
      <c r="A616" s="2199">
        <f t="shared" si="162"/>
        <v>604</v>
      </c>
      <c r="B616" s="2200" t="s">
        <v>2679</v>
      </c>
      <c r="C616" s="2743">
        <v>0</v>
      </c>
      <c r="D616" s="2743">
        <v>0</v>
      </c>
      <c r="E616" s="2949">
        <v>0</v>
      </c>
      <c r="F616" s="2200">
        <v>20</v>
      </c>
      <c r="G616" s="2200" t="s">
        <v>2038</v>
      </c>
      <c r="H616" s="2200" t="s">
        <v>1057</v>
      </c>
      <c r="I616" s="2742">
        <v>30</v>
      </c>
      <c r="J616" s="2742"/>
      <c r="K616" s="2752">
        <v>60</v>
      </c>
      <c r="L616" s="2745">
        <f t="shared" si="151"/>
        <v>0</v>
      </c>
      <c r="M616" s="2745">
        <f t="shared" si="154"/>
        <v>30</v>
      </c>
      <c r="N616" s="2745">
        <f t="shared" si="155"/>
        <v>20</v>
      </c>
      <c r="O616" s="1232">
        <f t="shared" si="156"/>
        <v>0</v>
      </c>
      <c r="P616" s="1227" t="str">
        <f t="shared" si="161"/>
        <v>113gsm ART PAPER HANSOL - MATT</v>
      </c>
      <c r="Q616" s="254">
        <v>0.10199999999999999</v>
      </c>
      <c r="R616" s="1228" t="str">
        <f t="shared" si="164"/>
        <v>113</v>
      </c>
      <c r="S616" s="2625">
        <f t="shared" si="152"/>
        <v>0</v>
      </c>
      <c r="T616" s="2747">
        <f>IF(L616&gt;0,IF(input!$B$2=$O$1,(((L616+Y616/22+(300000/$P$10/22))+(L616+Y616/22+(300000/$P$10/22))*$AG616+$X616)*$P$11+$M$7)/1000,(((L616+Y616/22+(300000/$P$10/22))+(L616+Y616/22+(300000/$P$10/22))*O616+(L616+Y616/22+(300000/$P$10/22))*$AG616+$X616)*$P$11+$M$7)/1000),0)</f>
        <v>0</v>
      </c>
      <c r="U616" s="2747">
        <f t="shared" si="163"/>
        <v>0</v>
      </c>
      <c r="V616" s="1229"/>
      <c r="W616" s="1231" t="str">
        <f t="shared" si="153"/>
        <v>CIF</v>
      </c>
      <c r="X616" s="1230">
        <f t="shared" si="166"/>
        <v>0</v>
      </c>
      <c r="Y616" s="2625">
        <f t="shared" si="157"/>
        <v>0</v>
      </c>
      <c r="Z616" s="3208">
        <f t="shared" si="165"/>
        <v>838.18181818181813</v>
      </c>
      <c r="AA616" s="1220" t="s">
        <v>2837</v>
      </c>
      <c r="AB616" s="1220" t="s">
        <v>1397</v>
      </c>
      <c r="AC616" s="251" t="str">
        <f t="shared" si="158"/>
        <v>113gsm ART PAPER HANSOL - MATT</v>
      </c>
      <c r="AD616" s="2746">
        <f>IF(L616&gt;0,IF(input!$B$2=$O$1,(((M616)+(M616)*$M$10)*$P$11)/1000,(((M616)+(M616)*O616+(M616)*$M$10)*$P$11)/1000),0)</f>
        <v>0</v>
      </c>
      <c r="AE616" s="2746">
        <f>IF(L616&gt;0,IF(input!$B$2=$O$1,(((N616)+(N616)*$M$10)*$P$11)/1000,(((N616)+(N616)*O616+(N616)*$M$10)*$P$11)/1000),0)</f>
        <v>0</v>
      </c>
      <c r="AF616" s="136" t="str">
        <f t="shared" si="159"/>
        <v>FSC</v>
      </c>
      <c r="AG616" s="2628">
        <f t="shared" si="160"/>
        <v>1.6E-2</v>
      </c>
      <c r="AH616" s="1266">
        <v>0.1</v>
      </c>
    </row>
    <row r="617" spans="1:34" ht="12.75">
      <c r="A617" s="2199">
        <f t="shared" si="162"/>
        <v>605</v>
      </c>
      <c r="B617" s="2200" t="s">
        <v>2680</v>
      </c>
      <c r="C617" s="2743">
        <v>0</v>
      </c>
      <c r="D617" s="2743">
        <v>0</v>
      </c>
      <c r="E617" s="2949">
        <v>0</v>
      </c>
      <c r="F617" s="2200">
        <v>20</v>
      </c>
      <c r="G617" s="2200" t="s">
        <v>2038</v>
      </c>
      <c r="H617" s="2200" t="s">
        <v>1057</v>
      </c>
      <c r="I617" s="2742">
        <v>30</v>
      </c>
      <c r="J617" s="2742"/>
      <c r="K617" s="2752">
        <v>60</v>
      </c>
      <c r="L617" s="2745">
        <f t="shared" si="151"/>
        <v>0</v>
      </c>
      <c r="M617" s="2745">
        <f t="shared" si="154"/>
        <v>30</v>
      </c>
      <c r="N617" s="2745">
        <f t="shared" si="155"/>
        <v>20</v>
      </c>
      <c r="O617" s="1232">
        <f t="shared" si="156"/>
        <v>0</v>
      </c>
      <c r="P617" s="1227" t="str">
        <f t="shared" si="161"/>
        <v>118gsm ART PAPER HANSOL - MATT</v>
      </c>
      <c r="Q617" s="254">
        <v>0.107</v>
      </c>
      <c r="R617" s="1228" t="str">
        <f t="shared" si="164"/>
        <v>118</v>
      </c>
      <c r="S617" s="2625">
        <f t="shared" si="152"/>
        <v>0</v>
      </c>
      <c r="T617" s="2747">
        <f>IF(L617&gt;0,IF(input!$B$2=$O$1,(((L617+Y617/22+(300000/$P$10/22))+(L617+Y617/22+(300000/$P$10/22))*$AG617+$X617)*$P$11+$M$7)/1000,(((L617+Y617/22+(300000/$P$10/22))+(L617+Y617/22+(300000/$P$10/22))*O617+(L617+Y617/22+(300000/$P$10/22))*$AG617+$X617)*$P$11+$M$7)/1000),0)</f>
        <v>0</v>
      </c>
      <c r="U617" s="2747">
        <f t="shared" si="163"/>
        <v>0</v>
      </c>
      <c r="V617" s="1229"/>
      <c r="W617" s="1231" t="str">
        <f t="shared" si="153"/>
        <v>CIF</v>
      </c>
      <c r="X617" s="1230">
        <f t="shared" si="166"/>
        <v>0</v>
      </c>
      <c r="Y617" s="2625">
        <f t="shared" si="157"/>
        <v>0</v>
      </c>
      <c r="Z617" s="3208">
        <f t="shared" si="165"/>
        <v>838.18181818181813</v>
      </c>
      <c r="AA617" s="1220" t="s">
        <v>2837</v>
      </c>
      <c r="AB617" s="1220" t="s">
        <v>1397</v>
      </c>
      <c r="AC617" s="251" t="str">
        <f t="shared" si="158"/>
        <v>118gsm ART PAPER HANSOL - MATT</v>
      </c>
      <c r="AD617" s="2746">
        <f>IF(L617&gt;0,IF(input!$B$2=$O$1,(((M617)+(M617)*$M$10)*$P$11)/1000,(((M617)+(M617)*O617+(M617)*$M$10)*$P$11)/1000),0)</f>
        <v>0</v>
      </c>
      <c r="AE617" s="2746">
        <f>IF(L617&gt;0,IF(input!$B$2=$O$1,(((N617)+(N617)*$M$10)*$P$11)/1000,(((N617)+(N617)*O617+(N617)*$M$10)*$P$11)/1000),0)</f>
        <v>0</v>
      </c>
      <c r="AF617" s="136" t="str">
        <f t="shared" si="159"/>
        <v>FSC</v>
      </c>
      <c r="AG617" s="2628">
        <f t="shared" si="160"/>
        <v>1.6E-2</v>
      </c>
      <c r="AH617" s="1266">
        <v>0.1</v>
      </c>
    </row>
    <row r="618" spans="1:34" ht="12.75">
      <c r="A618" s="2199">
        <f t="shared" si="162"/>
        <v>606</v>
      </c>
      <c r="B618" s="2200" t="s">
        <v>2681</v>
      </c>
      <c r="C618" s="2743">
        <v>24800</v>
      </c>
      <c r="D618" s="2743">
        <v>760</v>
      </c>
      <c r="E618" s="2949">
        <v>0</v>
      </c>
      <c r="F618" s="2200">
        <v>20</v>
      </c>
      <c r="G618" s="2200" t="s">
        <v>2038</v>
      </c>
      <c r="H618" s="2200" t="s">
        <v>1057</v>
      </c>
      <c r="I618" s="2742">
        <v>30</v>
      </c>
      <c r="J618" s="2742"/>
      <c r="K618" s="2752">
        <v>60</v>
      </c>
      <c r="L618" s="2745">
        <f t="shared" si="151"/>
        <v>760</v>
      </c>
      <c r="M618" s="2745">
        <f t="shared" si="154"/>
        <v>30</v>
      </c>
      <c r="N618" s="2745">
        <f t="shared" si="155"/>
        <v>20</v>
      </c>
      <c r="O618" s="1232">
        <f t="shared" si="156"/>
        <v>0</v>
      </c>
      <c r="P618" s="1227" t="str">
        <f t="shared" si="161"/>
        <v>128gsm ART PAPER HANSOL - MATT</v>
      </c>
      <c r="Q618" s="254">
        <v>0.11600000000000001</v>
      </c>
      <c r="R618" s="1228" t="str">
        <f t="shared" si="164"/>
        <v>128</v>
      </c>
      <c r="S618" s="2625">
        <f t="shared" si="152"/>
        <v>24800</v>
      </c>
      <c r="T618" s="2747">
        <f>IF(L618&gt;0,IF(input!$B$2=$O$1,(((L618+Y618/22+(300000/$P$10/22))+(L618+Y618/22+(300000/$P$10/22))*$AG618+$X618)*$P$11+$M$7)/1000,(((L618+Y618/22+(300000/$P$10/22))+(L618+Y618/22+(300000/$P$10/22))*O618+(L618+Y618/22+(300000/$P$10/22))*$AG618+$X618)*$P$11+$M$7)/1000),0)</f>
        <v>19153.615154556977</v>
      </c>
      <c r="U618" s="2747">
        <f t="shared" si="163"/>
        <v>23801.14478114478</v>
      </c>
      <c r="V618" s="1229"/>
      <c r="W618" s="1231" t="str">
        <f t="shared" si="153"/>
        <v>CIF</v>
      </c>
      <c r="X618" s="1230">
        <f t="shared" si="166"/>
        <v>0</v>
      </c>
      <c r="Y618" s="2625">
        <f t="shared" si="157"/>
        <v>0</v>
      </c>
      <c r="Z618" s="3208">
        <f t="shared" si="165"/>
        <v>838.18181818181813</v>
      </c>
      <c r="AA618" s="1220" t="s">
        <v>2837</v>
      </c>
      <c r="AB618" s="1220" t="s">
        <v>1397</v>
      </c>
      <c r="AC618" s="251" t="str">
        <f t="shared" si="158"/>
        <v>128gsm ART PAPER HANSOL - MATT</v>
      </c>
      <c r="AD618" s="2746">
        <f>IF(L618&gt;0,IF(input!$B$2=$O$1,(((M618)+(M618)*$M$10)*$P$11)/1000,(((M618)+(M618)*O618+(M618)*$M$10)*$P$11)/1000),0)</f>
        <v>726.06239999999991</v>
      </c>
      <c r="AE618" s="2746">
        <f>IF(L618&gt;0,IF(input!$B$2=$O$1,(((N618)+(N618)*$M$10)*$P$11)/1000,(((N618)+(N618)*O618+(N618)*$M$10)*$P$11)/1000),0)</f>
        <v>484.04159999999996</v>
      </c>
      <c r="AF618" s="136" t="str">
        <f t="shared" si="159"/>
        <v>FSC</v>
      </c>
      <c r="AG618" s="2628">
        <f t="shared" si="160"/>
        <v>1.6E-2</v>
      </c>
      <c r="AH618" s="1266">
        <v>0.1</v>
      </c>
    </row>
    <row r="619" spans="1:34" ht="12.75">
      <c r="A619" s="2199">
        <f t="shared" si="162"/>
        <v>607</v>
      </c>
      <c r="B619" s="2200" t="s">
        <v>2682</v>
      </c>
      <c r="C619" s="2743">
        <v>0</v>
      </c>
      <c r="D619" s="2743">
        <v>760</v>
      </c>
      <c r="E619" s="2949">
        <v>0</v>
      </c>
      <c r="F619" s="2200">
        <v>20</v>
      </c>
      <c r="G619" s="2200" t="s">
        <v>2038</v>
      </c>
      <c r="H619" s="2200" t="s">
        <v>1057</v>
      </c>
      <c r="I619" s="2742">
        <v>30</v>
      </c>
      <c r="J619" s="2742"/>
      <c r="K619" s="2752">
        <v>60</v>
      </c>
      <c r="L619" s="2745">
        <f t="shared" si="151"/>
        <v>760</v>
      </c>
      <c r="M619" s="2745">
        <f t="shared" si="154"/>
        <v>30</v>
      </c>
      <c r="N619" s="2745">
        <f t="shared" si="155"/>
        <v>20</v>
      </c>
      <c r="O619" s="1232">
        <f t="shared" si="156"/>
        <v>0</v>
      </c>
      <c r="P619" s="1227" t="str">
        <f t="shared" si="161"/>
        <v>135gsm ART PAPER HANSOL - MATT</v>
      </c>
      <c r="Q619" s="254">
        <v>0.124</v>
      </c>
      <c r="R619" s="1228" t="str">
        <f t="shared" si="164"/>
        <v>135</v>
      </c>
      <c r="S619" s="2625">
        <f t="shared" si="152"/>
        <v>0</v>
      </c>
      <c r="T619" s="2747">
        <f>IF(L619&gt;0,IF(input!$B$2=$O$1,(((L619+Y619/22+(300000/$P$10/22))+(L619+Y619/22+(300000/$P$10/22))*$AG619+$X619)*$P$11+$M$7)/1000,(((L619+Y619/22+(300000/$P$10/22))+(L619+Y619/22+(300000/$P$10/22))*O619+(L619+Y619/22+(300000/$P$10/22))*$AG619+$X619)*$P$11+$M$7)/1000),0)</f>
        <v>19153.615154556977</v>
      </c>
      <c r="U619" s="2747">
        <f t="shared" si="163"/>
        <v>0</v>
      </c>
      <c r="V619" s="1229"/>
      <c r="W619" s="1231" t="str">
        <f t="shared" si="153"/>
        <v>CIF</v>
      </c>
      <c r="X619" s="1230">
        <f t="shared" si="166"/>
        <v>0</v>
      </c>
      <c r="Y619" s="2625">
        <f t="shared" si="157"/>
        <v>0</v>
      </c>
      <c r="Z619" s="3208">
        <f t="shared" si="165"/>
        <v>838.18181818181813</v>
      </c>
      <c r="AA619" s="1220" t="s">
        <v>2837</v>
      </c>
      <c r="AB619" s="1220" t="s">
        <v>1397</v>
      </c>
      <c r="AC619" s="251" t="str">
        <f t="shared" si="158"/>
        <v>135gsm ART PAPER HANSOL - MATT</v>
      </c>
      <c r="AD619" s="2746">
        <f>IF(L619&gt;0,IF(input!$B$2=$O$1,(((M619)+(M619)*$M$10)*$P$11)/1000,(((M619)+(M619)*O619+(M619)*$M$10)*$P$11)/1000),0)</f>
        <v>726.06239999999991</v>
      </c>
      <c r="AE619" s="2746">
        <f>IF(L619&gt;0,IF(input!$B$2=$O$1,(((N619)+(N619)*$M$10)*$P$11)/1000,(((N619)+(N619)*O619+(N619)*$M$10)*$P$11)/1000),0)</f>
        <v>484.04159999999996</v>
      </c>
      <c r="AF619" s="136" t="str">
        <f t="shared" si="159"/>
        <v>FSC</v>
      </c>
      <c r="AG619" s="2628">
        <f t="shared" si="160"/>
        <v>1.6E-2</v>
      </c>
      <c r="AH619" s="1266">
        <v>0.1</v>
      </c>
    </row>
    <row r="620" spans="1:34" ht="12.75">
      <c r="A620" s="2199">
        <f t="shared" si="162"/>
        <v>608</v>
      </c>
      <c r="B620" s="2200" t="s">
        <v>2683</v>
      </c>
      <c r="C620" s="2743">
        <v>0</v>
      </c>
      <c r="D620" s="2743">
        <v>760</v>
      </c>
      <c r="E620" s="2949">
        <v>0</v>
      </c>
      <c r="F620" s="2200">
        <v>20</v>
      </c>
      <c r="G620" s="2200" t="s">
        <v>2038</v>
      </c>
      <c r="H620" s="2200" t="s">
        <v>1057</v>
      </c>
      <c r="I620" s="2742">
        <v>30</v>
      </c>
      <c r="J620" s="2742"/>
      <c r="K620" s="2752">
        <v>60</v>
      </c>
      <c r="L620" s="2745">
        <f t="shared" si="151"/>
        <v>760</v>
      </c>
      <c r="M620" s="2745">
        <f t="shared" si="154"/>
        <v>30</v>
      </c>
      <c r="N620" s="2745">
        <f t="shared" si="155"/>
        <v>20</v>
      </c>
      <c r="O620" s="1232">
        <f t="shared" si="156"/>
        <v>0</v>
      </c>
      <c r="P620" s="1227" t="str">
        <f t="shared" si="161"/>
        <v>140gsm ART PAPER HANSOL - MATT</v>
      </c>
      <c r="Q620" s="254">
        <v>0.13</v>
      </c>
      <c r="R620" s="1228" t="str">
        <f t="shared" si="164"/>
        <v>140</v>
      </c>
      <c r="S620" s="2625">
        <f t="shared" si="152"/>
        <v>0</v>
      </c>
      <c r="T620" s="2747">
        <f>IF(L620&gt;0,IF(input!$B$2=$O$1,(((L620+Y620/22+(300000/$P$10/22))+(L620+Y620/22+(300000/$P$10/22))*$AG620+$X620)*$P$11+$M$7)/1000,(((L620+Y620/22+(300000/$P$10/22))+(L620+Y620/22+(300000/$P$10/22))*O620+(L620+Y620/22+(300000/$P$10/22))*$AG620+$X620)*$P$11+$M$7)/1000),0)</f>
        <v>19153.615154556977</v>
      </c>
      <c r="U620" s="2747">
        <f t="shared" si="163"/>
        <v>0</v>
      </c>
      <c r="V620" s="1229"/>
      <c r="W620" s="1231" t="str">
        <f t="shared" si="153"/>
        <v>CIF</v>
      </c>
      <c r="X620" s="1230">
        <f t="shared" si="166"/>
        <v>0</v>
      </c>
      <c r="Y620" s="2625">
        <f t="shared" si="157"/>
        <v>0</v>
      </c>
      <c r="Z620" s="3208">
        <f t="shared" si="165"/>
        <v>838.18181818181813</v>
      </c>
      <c r="AA620" s="1220" t="s">
        <v>2837</v>
      </c>
      <c r="AB620" s="1220" t="s">
        <v>1397</v>
      </c>
      <c r="AC620" s="251" t="str">
        <f t="shared" si="158"/>
        <v>140gsm ART PAPER HANSOL - MATT</v>
      </c>
      <c r="AD620" s="2746">
        <f>IF(L620&gt;0,IF(input!$B$2=$O$1,(((M620)+(M620)*$M$10)*$P$11)/1000,(((M620)+(M620)*O620+(M620)*$M$10)*$P$11)/1000),0)</f>
        <v>726.06239999999991</v>
      </c>
      <c r="AE620" s="2746">
        <f>IF(L620&gt;0,IF(input!$B$2=$O$1,(((N620)+(N620)*$M$10)*$P$11)/1000,(((N620)+(N620)*O620+(N620)*$M$10)*$P$11)/1000),0)</f>
        <v>484.04159999999996</v>
      </c>
      <c r="AF620" s="136" t="str">
        <f t="shared" si="159"/>
        <v>FSC</v>
      </c>
      <c r="AG620" s="2628">
        <f t="shared" si="160"/>
        <v>1.6E-2</v>
      </c>
      <c r="AH620" s="1266">
        <v>0.1</v>
      </c>
    </row>
    <row r="621" spans="1:34" ht="12.75">
      <c r="A621" s="2199">
        <f t="shared" si="162"/>
        <v>609</v>
      </c>
      <c r="B621" s="2200" t="s">
        <v>2684</v>
      </c>
      <c r="C621" s="2743">
        <v>0</v>
      </c>
      <c r="D621" s="2743">
        <v>760</v>
      </c>
      <c r="E621" s="2949">
        <v>0</v>
      </c>
      <c r="F621" s="2200">
        <v>20</v>
      </c>
      <c r="G621" s="2200" t="s">
        <v>2038</v>
      </c>
      <c r="H621" s="2200" t="s">
        <v>1057</v>
      </c>
      <c r="I621" s="2742">
        <v>30</v>
      </c>
      <c r="J621" s="2742"/>
      <c r="K621" s="2752">
        <v>60</v>
      </c>
      <c r="L621" s="2745">
        <f t="shared" si="151"/>
        <v>760</v>
      </c>
      <c r="M621" s="2745">
        <f t="shared" si="154"/>
        <v>30</v>
      </c>
      <c r="N621" s="2745">
        <f t="shared" si="155"/>
        <v>20</v>
      </c>
      <c r="O621" s="1232">
        <f t="shared" si="156"/>
        <v>0</v>
      </c>
      <c r="P621" s="1227" t="str">
        <f t="shared" si="161"/>
        <v>148gsm ART PAPER HANSOL - MATT</v>
      </c>
      <c r="Q621" s="254">
        <v>0.14499999999999999</v>
      </c>
      <c r="R621" s="1228" t="str">
        <f t="shared" si="164"/>
        <v>148</v>
      </c>
      <c r="S621" s="2625">
        <f t="shared" si="152"/>
        <v>0</v>
      </c>
      <c r="T621" s="2747">
        <f>IF(L621&gt;0,IF(input!$B$2=$O$1,(((L621+Y621/22+(300000/$P$10/22))+(L621+Y621/22+(300000/$P$10/22))*$AG621+$X621)*$P$11+$M$7)/1000,(((L621+Y621/22+(300000/$P$10/22))+(L621+Y621/22+(300000/$P$10/22))*O621+(L621+Y621/22+(300000/$P$10/22))*$AG621+$X621)*$P$11+$M$7)/1000),0)</f>
        <v>19153.615154556977</v>
      </c>
      <c r="U621" s="2747">
        <f t="shared" si="163"/>
        <v>0</v>
      </c>
      <c r="V621" s="1229"/>
      <c r="W621" s="1231" t="str">
        <f t="shared" si="153"/>
        <v>CIF</v>
      </c>
      <c r="X621" s="1230">
        <f t="shared" si="166"/>
        <v>0</v>
      </c>
      <c r="Y621" s="2625">
        <f t="shared" si="157"/>
        <v>0</v>
      </c>
      <c r="Z621" s="3208">
        <f t="shared" si="165"/>
        <v>838.18181818181813</v>
      </c>
      <c r="AA621" s="1220" t="s">
        <v>2837</v>
      </c>
      <c r="AB621" s="1220" t="s">
        <v>1397</v>
      </c>
      <c r="AC621" s="251" t="str">
        <f t="shared" si="158"/>
        <v>148gsm ART PAPER HANSOL - MATT</v>
      </c>
      <c r="AD621" s="2746">
        <f>IF(L621&gt;0,IF(input!$B$2=$O$1,(((M621)+(M621)*$M$10)*$P$11)/1000,(((M621)+(M621)*O621+(M621)*$M$10)*$P$11)/1000),0)</f>
        <v>726.06239999999991</v>
      </c>
      <c r="AE621" s="2746">
        <f>IF(L621&gt;0,IF(input!$B$2=$O$1,(((N621)+(N621)*$M$10)*$P$11)/1000,(((N621)+(N621)*O621+(N621)*$M$10)*$P$11)/1000),0)</f>
        <v>484.04159999999996</v>
      </c>
      <c r="AF621" s="136" t="str">
        <f t="shared" si="159"/>
        <v>FSC</v>
      </c>
      <c r="AG621" s="2628">
        <f t="shared" si="160"/>
        <v>1.6E-2</v>
      </c>
      <c r="AH621" s="1266">
        <v>0.1</v>
      </c>
    </row>
    <row r="622" spans="1:34" ht="12.75">
      <c r="A622" s="2199">
        <f t="shared" si="162"/>
        <v>610</v>
      </c>
      <c r="B622" s="2200" t="s">
        <v>2685</v>
      </c>
      <c r="C622" s="2743">
        <v>24800</v>
      </c>
      <c r="D622" s="2743">
        <v>760</v>
      </c>
      <c r="E622" s="2949">
        <v>0</v>
      </c>
      <c r="F622" s="2200">
        <v>20</v>
      </c>
      <c r="G622" s="2200" t="s">
        <v>2038</v>
      </c>
      <c r="H622" s="2200" t="s">
        <v>1057</v>
      </c>
      <c r="I622" s="2742">
        <v>30</v>
      </c>
      <c r="J622" s="2742"/>
      <c r="K622" s="2752">
        <v>60</v>
      </c>
      <c r="L622" s="2745">
        <f t="shared" si="151"/>
        <v>760</v>
      </c>
      <c r="M622" s="2745">
        <f t="shared" si="154"/>
        <v>30</v>
      </c>
      <c r="N622" s="2745">
        <f t="shared" si="155"/>
        <v>20</v>
      </c>
      <c r="O622" s="1232">
        <f t="shared" si="156"/>
        <v>0</v>
      </c>
      <c r="P622" s="1227" t="str">
        <f t="shared" si="161"/>
        <v>157gsm ART PAPER HANSOL - MATT</v>
      </c>
      <c r="Q622" s="254">
        <v>0.155</v>
      </c>
      <c r="R622" s="1228" t="str">
        <f t="shared" si="164"/>
        <v>157</v>
      </c>
      <c r="S622" s="2625">
        <f t="shared" si="152"/>
        <v>24800</v>
      </c>
      <c r="T622" s="2747">
        <f>IF(L622&gt;0,IF(input!$B$2=$O$1,(((L622+Y622/22+(300000/$P$10/22))+(L622+Y622/22+(300000/$P$10/22))*$AG622+$X622)*$P$11+$M$7)/1000,(((L622+Y622/22+(300000/$P$10/22))+(L622+Y622/22+(300000/$P$10/22))*O622+(L622+Y622/22+(300000/$P$10/22))*$AG622+$X622)*$P$11+$M$7)/1000),0)</f>
        <v>19153.615154556977</v>
      </c>
      <c r="U622" s="2747">
        <f t="shared" si="163"/>
        <v>23801.14478114478</v>
      </c>
      <c r="V622" s="1229"/>
      <c r="W622" s="1231" t="str">
        <f t="shared" si="153"/>
        <v>CIF</v>
      </c>
      <c r="X622" s="1230">
        <f t="shared" si="166"/>
        <v>0</v>
      </c>
      <c r="Y622" s="2625">
        <f t="shared" si="157"/>
        <v>0</v>
      </c>
      <c r="Z622" s="3208">
        <f t="shared" si="165"/>
        <v>838.18181818181813</v>
      </c>
      <c r="AA622" s="1220" t="s">
        <v>2837</v>
      </c>
      <c r="AB622" s="1220" t="s">
        <v>1397</v>
      </c>
      <c r="AC622" s="251" t="str">
        <f t="shared" si="158"/>
        <v>157gsm ART PAPER HANSOL - MATT</v>
      </c>
      <c r="AD622" s="2746">
        <f>IF(L622&gt;0,IF(input!$B$2=$O$1,(((M622)+(M622)*$M$10)*$P$11)/1000,(((M622)+(M622)*O622+(M622)*$M$10)*$P$11)/1000),0)</f>
        <v>726.06239999999991</v>
      </c>
      <c r="AE622" s="2746">
        <f>IF(L622&gt;0,IF(input!$B$2=$O$1,(((N622)+(N622)*$M$10)*$P$11)/1000,(((N622)+(N622)*O622+(N622)*$M$10)*$P$11)/1000),0)</f>
        <v>484.04159999999996</v>
      </c>
      <c r="AF622" s="136" t="str">
        <f t="shared" si="159"/>
        <v>FSC</v>
      </c>
      <c r="AG622" s="2628">
        <f t="shared" si="160"/>
        <v>1.6E-2</v>
      </c>
      <c r="AH622" s="1266">
        <v>0.1</v>
      </c>
    </row>
    <row r="623" spans="1:34" ht="12.75">
      <c r="A623" s="2199">
        <f t="shared" si="162"/>
        <v>611</v>
      </c>
      <c r="B623" s="2200" t="s">
        <v>2686</v>
      </c>
      <c r="C623" s="2743">
        <v>0</v>
      </c>
      <c r="D623" s="2743">
        <v>760</v>
      </c>
      <c r="E623" s="2949">
        <v>0</v>
      </c>
      <c r="F623" s="2200">
        <v>20</v>
      </c>
      <c r="G623" s="2200" t="s">
        <v>2038</v>
      </c>
      <c r="H623" s="2200" t="s">
        <v>1057</v>
      </c>
      <c r="I623" s="2742">
        <v>30</v>
      </c>
      <c r="J623" s="2742"/>
      <c r="K623" s="2752">
        <v>60</v>
      </c>
      <c r="L623" s="2745">
        <f t="shared" si="151"/>
        <v>760</v>
      </c>
      <c r="M623" s="2745">
        <f t="shared" si="154"/>
        <v>30</v>
      </c>
      <c r="N623" s="2745">
        <f t="shared" si="155"/>
        <v>20</v>
      </c>
      <c r="O623" s="1232">
        <f t="shared" si="156"/>
        <v>0</v>
      </c>
      <c r="P623" s="1227" t="str">
        <f t="shared" si="161"/>
        <v>170gsm ART PAPER HANSOL - MATT</v>
      </c>
      <c r="Q623" s="254">
        <v>0.161</v>
      </c>
      <c r="R623" s="1228" t="str">
        <f t="shared" si="164"/>
        <v>170</v>
      </c>
      <c r="S623" s="2625">
        <f t="shared" si="152"/>
        <v>0</v>
      </c>
      <c r="T623" s="2747">
        <f>IF(L623&gt;0,IF(input!$B$2=$O$1,(((L623+Y623/22+(300000/$P$10/22))+(L623+Y623/22+(300000/$P$10/22))*$AG623+$X623)*$P$11+$M$7)/1000,(((L623+Y623/22+(300000/$P$10/22))+(L623+Y623/22+(300000/$P$10/22))*O623+(L623+Y623/22+(300000/$P$10/22))*$AG623+$X623)*$P$11+$M$7)/1000),0)</f>
        <v>19153.615154556977</v>
      </c>
      <c r="U623" s="2747">
        <f t="shared" si="163"/>
        <v>0</v>
      </c>
      <c r="V623" s="1229"/>
      <c r="W623" s="1231" t="str">
        <f t="shared" si="153"/>
        <v>CIF</v>
      </c>
      <c r="X623" s="1230">
        <f t="shared" si="166"/>
        <v>0</v>
      </c>
      <c r="Y623" s="2625">
        <f t="shared" si="157"/>
        <v>0</v>
      </c>
      <c r="Z623" s="3208">
        <f t="shared" si="165"/>
        <v>838.18181818181813</v>
      </c>
      <c r="AA623" s="1220" t="s">
        <v>2837</v>
      </c>
      <c r="AB623" s="1220" t="s">
        <v>1397</v>
      </c>
      <c r="AC623" s="251" t="str">
        <f t="shared" si="158"/>
        <v>170gsm ART PAPER HANSOL - MATT</v>
      </c>
      <c r="AD623" s="2746">
        <f>IF(L623&gt;0,IF(input!$B$2=$O$1,(((M623)+(M623)*$M$10)*$P$11)/1000,(((M623)+(M623)*O623+(M623)*$M$10)*$P$11)/1000),0)</f>
        <v>726.06239999999991</v>
      </c>
      <c r="AE623" s="2746">
        <f>IF(L623&gt;0,IF(input!$B$2=$O$1,(((N623)+(N623)*$M$10)*$P$11)/1000,(((N623)+(N623)*O623+(N623)*$M$10)*$P$11)/1000),0)</f>
        <v>484.04159999999996</v>
      </c>
      <c r="AF623" s="136" t="str">
        <f t="shared" si="159"/>
        <v>FSC</v>
      </c>
      <c r="AG623" s="2628">
        <f t="shared" si="160"/>
        <v>1.6E-2</v>
      </c>
      <c r="AH623" s="1266">
        <v>0.1</v>
      </c>
    </row>
    <row r="624" spans="1:34" ht="12.75">
      <c r="A624" s="2199">
        <f t="shared" si="162"/>
        <v>612</v>
      </c>
      <c r="B624" s="2200" t="s">
        <v>2687</v>
      </c>
      <c r="C624" s="2743">
        <v>0</v>
      </c>
      <c r="D624" s="2743">
        <v>760</v>
      </c>
      <c r="E624" s="2949">
        <v>0</v>
      </c>
      <c r="F624" s="2200">
        <v>20</v>
      </c>
      <c r="G624" s="2200" t="s">
        <v>2038</v>
      </c>
      <c r="H624" s="2200" t="s">
        <v>1057</v>
      </c>
      <c r="I624" s="2742">
        <v>30</v>
      </c>
      <c r="J624" s="2742"/>
      <c r="K624" s="2752">
        <v>60</v>
      </c>
      <c r="L624" s="2745">
        <f t="shared" si="151"/>
        <v>760</v>
      </c>
      <c r="M624" s="2745">
        <f t="shared" si="154"/>
        <v>30</v>
      </c>
      <c r="N624" s="2745">
        <f t="shared" si="155"/>
        <v>20</v>
      </c>
      <c r="O624" s="1232">
        <f t="shared" si="156"/>
        <v>0</v>
      </c>
      <c r="P624" s="1227" t="str">
        <f t="shared" si="161"/>
        <v>180gsm ART PAPER HANSOL - MATT</v>
      </c>
      <c r="Q624" s="254">
        <v>0.17699999999999999</v>
      </c>
      <c r="R624" s="1228" t="str">
        <f t="shared" si="164"/>
        <v>180</v>
      </c>
      <c r="S624" s="2625">
        <f t="shared" si="152"/>
        <v>0</v>
      </c>
      <c r="T624" s="2747">
        <f>IF(L624&gt;0,IF(input!$B$2=$O$1,(((L624+Y624/22+(300000/$P$10/22))+(L624+Y624/22+(300000/$P$10/22))*$AG624+$X624)*$P$11+$M$7)/1000,(((L624+Y624/22+(300000/$P$10/22))+(L624+Y624/22+(300000/$P$10/22))*O624+(L624+Y624/22+(300000/$P$10/22))*$AG624+$X624)*$P$11+$M$7)/1000),0)</f>
        <v>19153.615154556977</v>
      </c>
      <c r="U624" s="2747">
        <f t="shared" si="163"/>
        <v>0</v>
      </c>
      <c r="V624" s="1229"/>
      <c r="W624" s="1231" t="str">
        <f t="shared" si="153"/>
        <v>CIF</v>
      </c>
      <c r="X624" s="1230">
        <f t="shared" si="166"/>
        <v>0</v>
      </c>
      <c r="Y624" s="2625">
        <f t="shared" si="157"/>
        <v>0</v>
      </c>
      <c r="Z624" s="3208">
        <f t="shared" si="165"/>
        <v>838.18181818181813</v>
      </c>
      <c r="AA624" s="1220" t="s">
        <v>2837</v>
      </c>
      <c r="AB624" s="1220" t="s">
        <v>1397</v>
      </c>
      <c r="AC624" s="251" t="str">
        <f t="shared" si="158"/>
        <v>180gsm ART PAPER HANSOL - MATT</v>
      </c>
      <c r="AD624" s="2746">
        <f>IF(L624&gt;0,IF(input!$B$2=$O$1,(((M624)+(M624)*$M$10)*$P$11)/1000,(((M624)+(M624)*O624+(M624)*$M$10)*$P$11)/1000),0)</f>
        <v>726.06239999999991</v>
      </c>
      <c r="AE624" s="2746">
        <f>IF(L624&gt;0,IF(input!$B$2=$O$1,(((N624)+(N624)*$M$10)*$P$11)/1000,(((N624)+(N624)*O624+(N624)*$M$10)*$P$11)/1000),0)</f>
        <v>484.04159999999996</v>
      </c>
      <c r="AF624" s="136" t="str">
        <f t="shared" si="159"/>
        <v>FSC</v>
      </c>
      <c r="AG624" s="2628">
        <f t="shared" si="160"/>
        <v>1.6E-2</v>
      </c>
      <c r="AH624" s="1266">
        <v>0.1</v>
      </c>
    </row>
    <row r="625" spans="1:34" ht="12.75">
      <c r="A625" s="2199">
        <f t="shared" si="162"/>
        <v>613</v>
      </c>
      <c r="B625" s="2200" t="s">
        <v>2688</v>
      </c>
      <c r="C625" s="2743">
        <v>0</v>
      </c>
      <c r="D625" s="2743">
        <v>760</v>
      </c>
      <c r="E625" s="2949">
        <v>0</v>
      </c>
      <c r="F625" s="2200">
        <v>20</v>
      </c>
      <c r="G625" s="2200" t="s">
        <v>2038</v>
      </c>
      <c r="H625" s="2200" t="s">
        <v>1057</v>
      </c>
      <c r="I625" s="2742">
        <v>30</v>
      </c>
      <c r="J625" s="2742"/>
      <c r="K625" s="2752">
        <v>60</v>
      </c>
      <c r="L625" s="2745">
        <f t="shared" si="151"/>
        <v>760</v>
      </c>
      <c r="M625" s="2745">
        <f t="shared" si="154"/>
        <v>30</v>
      </c>
      <c r="N625" s="2745">
        <f t="shared" si="155"/>
        <v>20</v>
      </c>
      <c r="O625" s="1232">
        <f t="shared" si="156"/>
        <v>0</v>
      </c>
      <c r="P625" s="1227" t="str">
        <f t="shared" si="161"/>
        <v>200gsm ART PAPER HANSOL - MATT</v>
      </c>
      <c r="Q625" s="254">
        <v>0.19800000000000001</v>
      </c>
      <c r="R625" s="1228" t="str">
        <f t="shared" si="164"/>
        <v>200</v>
      </c>
      <c r="S625" s="2625">
        <f t="shared" si="152"/>
        <v>0</v>
      </c>
      <c r="T625" s="2747">
        <f>IF(L625&gt;0,IF(input!$B$2=$O$1,(((L625+Y625/22+(300000/$P$10/22))+(L625+Y625/22+(300000/$P$10/22))*$AG625+$X625)*$P$11+$M$7)/1000,(((L625+Y625/22+(300000/$P$10/22))+(L625+Y625/22+(300000/$P$10/22))*O625+(L625+Y625/22+(300000/$P$10/22))*$AG625+$X625)*$P$11+$M$7)/1000),0)</f>
        <v>19153.615154556977</v>
      </c>
      <c r="U625" s="2747">
        <f t="shared" si="163"/>
        <v>0</v>
      </c>
      <c r="V625" s="1229"/>
      <c r="W625" s="1231" t="str">
        <f t="shared" si="153"/>
        <v>CIF</v>
      </c>
      <c r="X625" s="1230">
        <f t="shared" si="166"/>
        <v>0</v>
      </c>
      <c r="Y625" s="2625">
        <f t="shared" si="157"/>
        <v>0</v>
      </c>
      <c r="Z625" s="3208">
        <f t="shared" si="165"/>
        <v>838.18181818181813</v>
      </c>
      <c r="AA625" s="1220" t="s">
        <v>2837</v>
      </c>
      <c r="AB625" s="1220" t="s">
        <v>1397</v>
      </c>
      <c r="AC625" s="251" t="str">
        <f t="shared" si="158"/>
        <v>200gsm ART PAPER HANSOL - MATT</v>
      </c>
      <c r="AD625" s="2746">
        <f>IF(L625&gt;0,IF(input!$B$2=$O$1,(((M625)+(M625)*$M$10)*$P$11)/1000,(((M625)+(M625)*O625+(M625)*$M$10)*$P$11)/1000),0)</f>
        <v>726.06239999999991</v>
      </c>
      <c r="AE625" s="2746">
        <f>IF(L625&gt;0,IF(input!$B$2=$O$1,(((N625)+(N625)*$M$10)*$P$11)/1000,(((N625)+(N625)*O625+(N625)*$M$10)*$P$11)/1000),0)</f>
        <v>484.04159999999996</v>
      </c>
      <c r="AF625" s="136" t="str">
        <f t="shared" si="159"/>
        <v>FSC</v>
      </c>
      <c r="AG625" s="2628">
        <f t="shared" si="160"/>
        <v>1.6E-2</v>
      </c>
      <c r="AH625" s="1266">
        <v>0.1</v>
      </c>
    </row>
    <row r="626" spans="1:34" ht="12.75">
      <c r="A626" s="2199">
        <f t="shared" si="162"/>
        <v>614</v>
      </c>
      <c r="B626" s="2200" t="s">
        <v>2689</v>
      </c>
      <c r="C626" s="2743">
        <v>0</v>
      </c>
      <c r="D626" s="2743">
        <v>760</v>
      </c>
      <c r="E626" s="2949">
        <v>0</v>
      </c>
      <c r="F626" s="2200">
        <v>20</v>
      </c>
      <c r="G626" s="2200" t="s">
        <v>2038</v>
      </c>
      <c r="H626" s="2200" t="s">
        <v>1057</v>
      </c>
      <c r="I626" s="2742">
        <v>30</v>
      </c>
      <c r="J626" s="2742"/>
      <c r="K626" s="2752">
        <v>60</v>
      </c>
      <c r="L626" s="2745">
        <f t="shared" si="151"/>
        <v>760</v>
      </c>
      <c r="M626" s="2745">
        <f t="shared" si="154"/>
        <v>30</v>
      </c>
      <c r="N626" s="2745">
        <f t="shared" si="155"/>
        <v>20</v>
      </c>
      <c r="O626" s="1232">
        <f t="shared" si="156"/>
        <v>0</v>
      </c>
      <c r="P626" s="1227" t="str">
        <f t="shared" si="161"/>
        <v>218gsm ART PAPER HANSOL - MATT</v>
      </c>
      <c r="Q626" s="254">
        <v>0.22900000000000001</v>
      </c>
      <c r="R626" s="1228" t="str">
        <f t="shared" si="164"/>
        <v>218</v>
      </c>
      <c r="S626" s="2625">
        <f t="shared" si="152"/>
        <v>0</v>
      </c>
      <c r="T626" s="2747">
        <f>IF(L626&gt;0,IF(input!$B$2=$O$1,(((L626+Y626/22+(300000/$P$10/22))+(L626+Y626/22+(300000/$P$10/22))*$AG626+$X626)*$P$11+$M$7)/1000,(((L626+Y626/22+(300000/$P$10/22))+(L626+Y626/22+(300000/$P$10/22))*O626+(L626+Y626/22+(300000/$P$10/22))*$AG626+$X626)*$P$11+$M$7)/1000),0)</f>
        <v>19153.615154556977</v>
      </c>
      <c r="U626" s="2747">
        <f t="shared" si="163"/>
        <v>0</v>
      </c>
      <c r="V626" s="1229"/>
      <c r="W626" s="1231" t="str">
        <f t="shared" si="153"/>
        <v>CIF</v>
      </c>
      <c r="X626" s="1230">
        <f t="shared" si="166"/>
        <v>0</v>
      </c>
      <c r="Y626" s="2625">
        <f t="shared" si="157"/>
        <v>0</v>
      </c>
      <c r="Z626" s="3208">
        <f t="shared" si="165"/>
        <v>838.18181818181813</v>
      </c>
      <c r="AA626" s="1220" t="s">
        <v>2837</v>
      </c>
      <c r="AB626" s="1220" t="s">
        <v>1397</v>
      </c>
      <c r="AC626" s="251" t="str">
        <f t="shared" si="158"/>
        <v>218gsm ART PAPER HANSOL - MATT</v>
      </c>
      <c r="AD626" s="2746">
        <f>IF(L626&gt;0,IF(input!$B$2=$O$1,(((M626)+(M626)*$M$10)*$P$11)/1000,(((M626)+(M626)*O626+(M626)*$M$10)*$P$11)/1000),0)</f>
        <v>726.06239999999991</v>
      </c>
      <c r="AE626" s="2746">
        <f>IF(L626&gt;0,IF(input!$B$2=$O$1,(((N626)+(N626)*$M$10)*$P$11)/1000,(((N626)+(N626)*O626+(N626)*$M$10)*$P$11)/1000),0)</f>
        <v>484.04159999999996</v>
      </c>
      <c r="AF626" s="136" t="str">
        <f t="shared" si="159"/>
        <v>FSC</v>
      </c>
      <c r="AG626" s="2628">
        <f t="shared" si="160"/>
        <v>1.6E-2</v>
      </c>
      <c r="AH626" s="1266">
        <v>0.1</v>
      </c>
    </row>
    <row r="627" spans="1:34" ht="12.75">
      <c r="A627" s="2199">
        <f t="shared" si="162"/>
        <v>615</v>
      </c>
      <c r="B627" s="2200" t="s">
        <v>2690</v>
      </c>
      <c r="C627" s="2743">
        <v>0</v>
      </c>
      <c r="D627" s="2743">
        <v>760</v>
      </c>
      <c r="E627" s="2949">
        <v>0</v>
      </c>
      <c r="F627" s="2200">
        <v>20</v>
      </c>
      <c r="G627" s="2200" t="s">
        <v>2038</v>
      </c>
      <c r="H627" s="2200" t="s">
        <v>1057</v>
      </c>
      <c r="I627" s="2742">
        <v>30</v>
      </c>
      <c r="J627" s="2742"/>
      <c r="K627" s="2752">
        <v>60</v>
      </c>
      <c r="L627" s="2745">
        <f t="shared" si="151"/>
        <v>760</v>
      </c>
      <c r="M627" s="2745">
        <f t="shared" si="154"/>
        <v>30</v>
      </c>
      <c r="N627" s="2745">
        <f t="shared" si="155"/>
        <v>20</v>
      </c>
      <c r="O627" s="1232">
        <f t="shared" si="156"/>
        <v>0</v>
      </c>
      <c r="P627" s="1227" t="str">
        <f t="shared" si="161"/>
        <v>230gsm ART PAPER HANSOL - MATT</v>
      </c>
      <c r="Q627" s="254">
        <v>0.23</v>
      </c>
      <c r="R627" s="1228" t="str">
        <f t="shared" si="164"/>
        <v>230</v>
      </c>
      <c r="S627" s="2625">
        <f t="shared" si="152"/>
        <v>0</v>
      </c>
      <c r="T627" s="2747">
        <f>IF(L627&gt;0,IF(input!$B$2=$O$1,(((L627+Y627/22+(300000/$P$10/22))+(L627+Y627/22+(300000/$P$10/22))*$AG627+$X627)*$P$11+$M$7)/1000,(((L627+Y627/22+(300000/$P$10/22))+(L627+Y627/22+(300000/$P$10/22))*O627+(L627+Y627/22+(300000/$P$10/22))*$AG627+$X627)*$P$11+$M$7)/1000),0)</f>
        <v>19153.615154556977</v>
      </c>
      <c r="U627" s="2747">
        <f t="shared" si="163"/>
        <v>0</v>
      </c>
      <c r="V627" s="1229"/>
      <c r="W627" s="1231" t="str">
        <f t="shared" si="153"/>
        <v>CIF</v>
      </c>
      <c r="X627" s="1230">
        <f t="shared" si="166"/>
        <v>0</v>
      </c>
      <c r="Y627" s="2625">
        <f t="shared" si="157"/>
        <v>0</v>
      </c>
      <c r="Z627" s="3208">
        <f t="shared" si="165"/>
        <v>838.18181818181813</v>
      </c>
      <c r="AA627" s="1220" t="s">
        <v>2837</v>
      </c>
      <c r="AB627" s="1220" t="s">
        <v>1397</v>
      </c>
      <c r="AC627" s="251" t="str">
        <f t="shared" si="158"/>
        <v>230gsm ART PAPER HANSOL - MATT</v>
      </c>
      <c r="AD627" s="2746">
        <f>IF(L627&gt;0,IF(input!$B$2=$O$1,(((M627)+(M627)*$M$10)*$P$11)/1000,(((M627)+(M627)*O627+(M627)*$M$10)*$P$11)/1000),0)</f>
        <v>726.06239999999991</v>
      </c>
      <c r="AE627" s="2746">
        <f>IF(L627&gt;0,IF(input!$B$2=$O$1,(((N627)+(N627)*$M$10)*$P$11)/1000,(((N627)+(N627)*O627+(N627)*$M$10)*$P$11)/1000),0)</f>
        <v>484.04159999999996</v>
      </c>
      <c r="AF627" s="136" t="str">
        <f t="shared" si="159"/>
        <v>FSC</v>
      </c>
      <c r="AG627" s="2628">
        <f t="shared" si="160"/>
        <v>1.6E-2</v>
      </c>
      <c r="AH627" s="1266">
        <v>0.1</v>
      </c>
    </row>
    <row r="628" spans="1:34" ht="12.75">
      <c r="A628" s="2199">
        <f t="shared" si="162"/>
        <v>616</v>
      </c>
      <c r="B628" s="2200" t="s">
        <v>2691</v>
      </c>
      <c r="C628" s="2743">
        <v>0</v>
      </c>
      <c r="D628" s="2743">
        <v>760</v>
      </c>
      <c r="E628" s="2949">
        <v>0</v>
      </c>
      <c r="F628" s="2200">
        <v>20</v>
      </c>
      <c r="G628" s="2200" t="s">
        <v>2038</v>
      </c>
      <c r="H628" s="2200" t="s">
        <v>1057</v>
      </c>
      <c r="I628" s="2742">
        <v>30</v>
      </c>
      <c r="J628" s="2742"/>
      <c r="K628" s="2752">
        <v>60</v>
      </c>
      <c r="L628" s="2745">
        <f t="shared" si="151"/>
        <v>760</v>
      </c>
      <c r="M628" s="2745">
        <f t="shared" si="154"/>
        <v>30</v>
      </c>
      <c r="N628" s="2745">
        <f t="shared" si="155"/>
        <v>20</v>
      </c>
      <c r="O628" s="1232">
        <f t="shared" si="156"/>
        <v>0</v>
      </c>
      <c r="P628" s="1227" t="str">
        <f t="shared" si="161"/>
        <v>235gsm ART PAPER HANSOL - MATT</v>
      </c>
      <c r="Q628" s="254">
        <v>0.23499999999999999</v>
      </c>
      <c r="R628" s="1228" t="str">
        <f t="shared" si="164"/>
        <v>235</v>
      </c>
      <c r="S628" s="2625">
        <f t="shared" si="152"/>
        <v>0</v>
      </c>
      <c r="T628" s="2747">
        <f>IF(L628&gt;0,IF(input!$B$2=$O$1,(((L628+Y628/22+(300000/$P$10/22))+(L628+Y628/22+(300000/$P$10/22))*$AG628+$X628)*$P$11+$M$7)/1000,(((L628+Y628/22+(300000/$P$10/22))+(L628+Y628/22+(300000/$P$10/22))*O628+(L628+Y628/22+(300000/$P$10/22))*$AG628+$X628)*$P$11+$M$7)/1000),0)</f>
        <v>19153.615154556977</v>
      </c>
      <c r="U628" s="2747">
        <f t="shared" si="163"/>
        <v>0</v>
      </c>
      <c r="V628" s="1229"/>
      <c r="W628" s="1231" t="str">
        <f t="shared" si="153"/>
        <v>CIF</v>
      </c>
      <c r="X628" s="1230">
        <f t="shared" si="166"/>
        <v>0</v>
      </c>
      <c r="Y628" s="2625">
        <f t="shared" si="157"/>
        <v>0</v>
      </c>
      <c r="Z628" s="3208">
        <f t="shared" si="165"/>
        <v>838.18181818181813</v>
      </c>
      <c r="AA628" s="1220" t="s">
        <v>2837</v>
      </c>
      <c r="AB628" s="1220" t="s">
        <v>1397</v>
      </c>
      <c r="AC628" s="251" t="str">
        <f t="shared" si="158"/>
        <v>235gsm ART PAPER HANSOL - MATT</v>
      </c>
      <c r="AD628" s="2746">
        <f>IF(L628&gt;0,IF(input!$B$2=$O$1,(((M628)+(M628)*$M$10)*$P$11)/1000,(((M628)+(M628)*O628+(M628)*$M$10)*$P$11)/1000),0)</f>
        <v>726.06239999999991</v>
      </c>
      <c r="AE628" s="2746">
        <f>IF(L628&gt;0,IF(input!$B$2=$O$1,(((N628)+(N628)*$M$10)*$P$11)/1000,(((N628)+(N628)*O628+(N628)*$M$10)*$P$11)/1000),0)</f>
        <v>484.04159999999996</v>
      </c>
      <c r="AF628" s="136" t="str">
        <f t="shared" si="159"/>
        <v>FSC</v>
      </c>
      <c r="AG628" s="2628">
        <f t="shared" si="160"/>
        <v>1.6E-2</v>
      </c>
      <c r="AH628" s="1266">
        <v>0.1</v>
      </c>
    </row>
    <row r="629" spans="1:34" ht="12.75">
      <c r="A629" s="2199">
        <f t="shared" si="162"/>
        <v>617</v>
      </c>
      <c r="B629" s="2200" t="s">
        <v>2692</v>
      </c>
      <c r="C629" s="2743">
        <v>0</v>
      </c>
      <c r="D629" s="2743">
        <v>760</v>
      </c>
      <c r="E629" s="2949">
        <v>0</v>
      </c>
      <c r="F629" s="2200">
        <v>20</v>
      </c>
      <c r="G629" s="2200" t="s">
        <v>2038</v>
      </c>
      <c r="H629" s="2200" t="s">
        <v>1057</v>
      </c>
      <c r="I629" s="2742">
        <v>30</v>
      </c>
      <c r="J629" s="2742"/>
      <c r="K629" s="2752">
        <v>60</v>
      </c>
      <c r="L629" s="2745">
        <f t="shared" si="151"/>
        <v>760</v>
      </c>
      <c r="M629" s="2745">
        <f t="shared" si="154"/>
        <v>30</v>
      </c>
      <c r="N629" s="2745">
        <f t="shared" si="155"/>
        <v>20</v>
      </c>
      <c r="O629" s="1232">
        <f t="shared" si="156"/>
        <v>0</v>
      </c>
      <c r="P629" s="1227" t="str">
        <f t="shared" si="161"/>
        <v>250gsm ART PAPER HANSOL - MATT</v>
      </c>
      <c r="Q629" s="254">
        <v>0.25700000000000001</v>
      </c>
      <c r="R629" s="1228" t="str">
        <f t="shared" si="164"/>
        <v>250</v>
      </c>
      <c r="S629" s="2625">
        <f t="shared" si="152"/>
        <v>0</v>
      </c>
      <c r="T629" s="2747">
        <f>IF(L629&gt;0,IF(input!$B$2=$O$1,(((L629+Y629/22+(300000/$P$10/22))+(L629+Y629/22+(300000/$P$10/22))*$AG629+$X629)*$P$11+$M$7)/1000,(((L629+Y629/22+(300000/$P$10/22))+(L629+Y629/22+(300000/$P$10/22))*O629+(L629+Y629/22+(300000/$P$10/22))*$AG629+$X629)*$P$11+$M$7)/1000),0)</f>
        <v>19153.615154556977</v>
      </c>
      <c r="U629" s="2747">
        <f t="shared" si="163"/>
        <v>0</v>
      </c>
      <c r="V629" s="1229"/>
      <c r="W629" s="1231" t="str">
        <f t="shared" si="153"/>
        <v>CIF</v>
      </c>
      <c r="X629" s="1230">
        <f t="shared" si="166"/>
        <v>0</v>
      </c>
      <c r="Y629" s="2625">
        <f t="shared" si="157"/>
        <v>0</v>
      </c>
      <c r="Z629" s="3208">
        <f t="shared" si="165"/>
        <v>838.18181818181813</v>
      </c>
      <c r="AA629" s="1220" t="s">
        <v>2837</v>
      </c>
      <c r="AB629" s="1220" t="s">
        <v>1397</v>
      </c>
      <c r="AC629" s="251" t="str">
        <f t="shared" si="158"/>
        <v>250gsm ART PAPER HANSOL - MATT</v>
      </c>
      <c r="AD629" s="2746">
        <f>IF(L629&gt;0,IF(input!$B$2=$O$1,(((M629)+(M629)*$M$10)*$P$11)/1000,(((M629)+(M629)*O629+(M629)*$M$10)*$P$11)/1000),0)</f>
        <v>726.06239999999991</v>
      </c>
      <c r="AE629" s="2746">
        <f>IF(L629&gt;0,IF(input!$B$2=$O$1,(((N629)+(N629)*$M$10)*$P$11)/1000,(((N629)+(N629)*O629+(N629)*$M$10)*$P$11)/1000),0)</f>
        <v>484.04159999999996</v>
      </c>
      <c r="AF629" s="136" t="str">
        <f t="shared" si="159"/>
        <v>FSC</v>
      </c>
      <c r="AG629" s="2628">
        <f t="shared" si="160"/>
        <v>1.6E-2</v>
      </c>
      <c r="AH629" s="1266">
        <v>0.1</v>
      </c>
    </row>
    <row r="630" spans="1:34" ht="12.75">
      <c r="A630" s="2199">
        <f t="shared" si="162"/>
        <v>618</v>
      </c>
      <c r="B630" s="2200" t="s">
        <v>2693</v>
      </c>
      <c r="C630" s="2743">
        <v>0</v>
      </c>
      <c r="D630" s="2743">
        <v>760</v>
      </c>
      <c r="E630" s="2949">
        <v>0</v>
      </c>
      <c r="F630" s="2200">
        <v>20</v>
      </c>
      <c r="G630" s="2200" t="s">
        <v>2038</v>
      </c>
      <c r="H630" s="2200" t="s">
        <v>1057</v>
      </c>
      <c r="I630" s="2742">
        <v>30</v>
      </c>
      <c r="J630" s="2742"/>
      <c r="K630" s="2752">
        <v>60</v>
      </c>
      <c r="L630" s="2745">
        <f t="shared" si="151"/>
        <v>760</v>
      </c>
      <c r="M630" s="2745">
        <f t="shared" si="154"/>
        <v>30</v>
      </c>
      <c r="N630" s="2745">
        <f t="shared" si="155"/>
        <v>20</v>
      </c>
      <c r="O630" s="1232">
        <f t="shared" si="156"/>
        <v>0</v>
      </c>
      <c r="P630" s="1227" t="str">
        <f t="shared" si="161"/>
        <v>270gsm ART PAPER HANSOL - MATT</v>
      </c>
      <c r="Q630" s="254">
        <v>0.28299999999999997</v>
      </c>
      <c r="R630" s="1228" t="str">
        <f t="shared" si="164"/>
        <v>270</v>
      </c>
      <c r="S630" s="2625">
        <f t="shared" si="152"/>
        <v>0</v>
      </c>
      <c r="T630" s="2747">
        <f>IF(L630&gt;0,IF(input!$B$2=$O$1,(((L630+Y630/22+(300000/$P$10/22))+(L630+Y630/22+(300000/$P$10/22))*$AG630+$X630)*$P$11+$M$7)/1000,(((L630+Y630/22+(300000/$P$10/22))+(L630+Y630/22+(300000/$P$10/22))*O630+(L630+Y630/22+(300000/$P$10/22))*$AG630+$X630)*$P$11+$M$7)/1000),0)</f>
        <v>19153.615154556977</v>
      </c>
      <c r="U630" s="2747">
        <f t="shared" si="163"/>
        <v>0</v>
      </c>
      <c r="V630" s="1229"/>
      <c r="W630" s="1231" t="str">
        <f t="shared" si="153"/>
        <v>CIF</v>
      </c>
      <c r="X630" s="1230">
        <f t="shared" si="166"/>
        <v>0</v>
      </c>
      <c r="Y630" s="2625">
        <f t="shared" si="157"/>
        <v>0</v>
      </c>
      <c r="Z630" s="3208">
        <f t="shared" si="165"/>
        <v>838.18181818181813</v>
      </c>
      <c r="AA630" s="1220" t="s">
        <v>2837</v>
      </c>
      <c r="AB630" s="1220" t="s">
        <v>1397</v>
      </c>
      <c r="AC630" s="251" t="str">
        <f t="shared" si="158"/>
        <v>270gsm ART PAPER HANSOL - MATT</v>
      </c>
      <c r="AD630" s="2746">
        <f>IF(L630&gt;0,IF(input!$B$2=$O$1,(((M630)+(M630)*$M$10)*$P$11)/1000,(((M630)+(M630)*O630+(M630)*$M$10)*$P$11)/1000),0)</f>
        <v>726.06239999999991</v>
      </c>
      <c r="AE630" s="2746">
        <f>IF(L630&gt;0,IF(input!$B$2=$O$1,(((N630)+(N630)*$M$10)*$P$11)/1000,(((N630)+(N630)*O630+(N630)*$M$10)*$P$11)/1000),0)</f>
        <v>484.04159999999996</v>
      </c>
      <c r="AF630" s="136" t="str">
        <f t="shared" si="159"/>
        <v>FSC</v>
      </c>
      <c r="AG630" s="2628">
        <f t="shared" si="160"/>
        <v>1.6E-2</v>
      </c>
      <c r="AH630" s="1266">
        <v>0.1</v>
      </c>
    </row>
    <row r="631" spans="1:34" ht="12.75">
      <c r="A631" s="2199">
        <f t="shared" si="162"/>
        <v>619</v>
      </c>
      <c r="B631" s="2200" t="s">
        <v>2694</v>
      </c>
      <c r="C631" s="2743">
        <v>0</v>
      </c>
      <c r="D631" s="2743">
        <v>760</v>
      </c>
      <c r="E631" s="2949">
        <v>0</v>
      </c>
      <c r="F631" s="2200">
        <v>20</v>
      </c>
      <c r="G631" s="2200" t="s">
        <v>2038</v>
      </c>
      <c r="H631" s="2200" t="s">
        <v>1057</v>
      </c>
      <c r="I631" s="2742">
        <v>30</v>
      </c>
      <c r="J631" s="2742"/>
      <c r="K631" s="2752">
        <v>60</v>
      </c>
      <c r="L631" s="2745">
        <f t="shared" si="151"/>
        <v>760</v>
      </c>
      <c r="M631" s="2745">
        <f t="shared" si="154"/>
        <v>30</v>
      </c>
      <c r="N631" s="2745">
        <f t="shared" si="155"/>
        <v>20</v>
      </c>
      <c r="O631" s="1232">
        <f t="shared" si="156"/>
        <v>0</v>
      </c>
      <c r="P631" s="1227" t="str">
        <f t="shared" si="161"/>
        <v>300gsm ART PAPER HANSOL - MATT</v>
      </c>
      <c r="Q631" s="254">
        <v>0.32</v>
      </c>
      <c r="R631" s="1228" t="str">
        <f t="shared" si="164"/>
        <v>300</v>
      </c>
      <c r="S631" s="2625">
        <f t="shared" si="152"/>
        <v>0</v>
      </c>
      <c r="T631" s="2747">
        <f>IF(L631&gt;0,IF(input!$B$2=$O$1,(((L631+Y631/22+(300000/$P$10/22))+(L631+Y631/22+(300000/$P$10/22))*$AG631+$X631)*$P$11+$M$7)/1000,(((L631+Y631/22+(300000/$P$10/22))+(L631+Y631/22+(300000/$P$10/22))*O631+(L631+Y631/22+(300000/$P$10/22))*$AG631+$X631)*$P$11+$M$7)/1000),0)</f>
        <v>19153.615154556977</v>
      </c>
      <c r="U631" s="2747">
        <f t="shared" si="163"/>
        <v>0</v>
      </c>
      <c r="V631" s="1229"/>
      <c r="W631" s="1231" t="str">
        <f t="shared" si="153"/>
        <v>CIF</v>
      </c>
      <c r="X631" s="1230">
        <f t="shared" si="166"/>
        <v>0</v>
      </c>
      <c r="Y631" s="2625">
        <f t="shared" si="157"/>
        <v>0</v>
      </c>
      <c r="Z631" s="3208">
        <f t="shared" si="165"/>
        <v>838.18181818181813</v>
      </c>
      <c r="AA631" s="1220" t="s">
        <v>2837</v>
      </c>
      <c r="AB631" s="1220" t="s">
        <v>1397</v>
      </c>
      <c r="AC631" s="251" t="str">
        <f t="shared" si="158"/>
        <v>300gsm ART PAPER HANSOL - MATT</v>
      </c>
      <c r="AD631" s="2746">
        <f>IF(L631&gt;0,IF(input!$B$2=$O$1,(((M631)+(M631)*$M$10)*$P$11)/1000,(((M631)+(M631)*O631+(M631)*$M$10)*$P$11)/1000),0)</f>
        <v>726.06239999999991</v>
      </c>
      <c r="AE631" s="2746">
        <f>IF(L631&gt;0,IF(input!$B$2=$O$1,(((N631)+(N631)*$M$10)*$P$11)/1000,(((N631)+(N631)*O631+(N631)*$M$10)*$P$11)/1000),0)</f>
        <v>484.04159999999996</v>
      </c>
      <c r="AF631" s="136" t="str">
        <f t="shared" si="159"/>
        <v>FSC</v>
      </c>
      <c r="AG631" s="2628">
        <f t="shared" si="160"/>
        <v>1.6E-2</v>
      </c>
      <c r="AH631" s="1266">
        <v>0.1</v>
      </c>
    </row>
    <row r="632" spans="1:34" ht="12.75">
      <c r="A632" s="2199">
        <f t="shared" si="162"/>
        <v>620</v>
      </c>
      <c r="B632" s="2200" t="s">
        <v>2695</v>
      </c>
      <c r="C632" s="2743">
        <v>0</v>
      </c>
      <c r="D632" s="2743">
        <v>0</v>
      </c>
      <c r="E632" s="2949">
        <v>0</v>
      </c>
      <c r="F632" s="2200">
        <v>20</v>
      </c>
      <c r="G632" s="2200" t="s">
        <v>2038</v>
      </c>
      <c r="H632" s="2200" t="s">
        <v>1057</v>
      </c>
      <c r="I632" s="2742">
        <v>30</v>
      </c>
      <c r="J632" s="2742"/>
      <c r="K632" s="2752">
        <v>60</v>
      </c>
      <c r="L632" s="2745">
        <f t="shared" si="151"/>
        <v>0</v>
      </c>
      <c r="M632" s="2745">
        <f t="shared" si="154"/>
        <v>30</v>
      </c>
      <c r="N632" s="2745">
        <f t="shared" si="155"/>
        <v>20</v>
      </c>
      <c r="O632" s="1232">
        <f t="shared" si="156"/>
        <v>0</v>
      </c>
      <c r="P632" s="1227" t="str">
        <f t="shared" si="161"/>
        <v>350gsm ART PAPER HANSOL - MATT</v>
      </c>
      <c r="Q632" s="254">
        <v>0.373</v>
      </c>
      <c r="R632" s="1228" t="str">
        <f t="shared" si="164"/>
        <v>350</v>
      </c>
      <c r="S632" s="2625">
        <f t="shared" si="152"/>
        <v>0</v>
      </c>
      <c r="T632" s="2747">
        <f>IF(L632&gt;0,IF(input!$B$2=$O$1,(((L632+Y632/22+(300000/$P$10/22))+(L632+Y632/22+(300000/$P$10/22))*$AG632+$X632)*$P$11+$M$7)/1000,(((L632+Y632/22+(300000/$P$10/22))+(L632+Y632/22+(300000/$P$10/22))*O632+(L632+Y632/22+(300000/$P$10/22))*$AG632+$X632)*$P$11+$M$7)/1000),0)</f>
        <v>0</v>
      </c>
      <c r="U632" s="2747">
        <f t="shared" si="163"/>
        <v>0</v>
      </c>
      <c r="V632" s="1229"/>
      <c r="W632" s="1231" t="str">
        <f t="shared" si="153"/>
        <v>CIF</v>
      </c>
      <c r="X632" s="1230">
        <f t="shared" si="166"/>
        <v>0</v>
      </c>
      <c r="Y632" s="2625">
        <f t="shared" si="157"/>
        <v>0</v>
      </c>
      <c r="Z632" s="3208">
        <f t="shared" si="165"/>
        <v>838.18181818181813</v>
      </c>
      <c r="AA632" s="1220" t="s">
        <v>2837</v>
      </c>
      <c r="AB632" s="1220" t="s">
        <v>1397</v>
      </c>
      <c r="AC632" s="251" t="str">
        <f t="shared" si="158"/>
        <v>350gsm ART PAPER HANSOL - MATT</v>
      </c>
      <c r="AD632" s="2746">
        <f>IF(L632&gt;0,IF(input!$B$2=$O$1,(((M632)+(M632)*$M$10)*$P$11)/1000,(((M632)+(M632)*O632+(M632)*$M$10)*$P$11)/1000),0)</f>
        <v>0</v>
      </c>
      <c r="AE632" s="2746">
        <f>IF(L632&gt;0,IF(input!$B$2=$O$1,(((N632)+(N632)*$M$10)*$P$11)/1000,(((N632)+(N632)*O632+(N632)*$M$10)*$P$11)/1000),0)</f>
        <v>0</v>
      </c>
      <c r="AF632" s="136" t="str">
        <f t="shared" si="159"/>
        <v>FSC</v>
      </c>
      <c r="AG632" s="2628">
        <f t="shared" si="160"/>
        <v>1.6E-2</v>
      </c>
      <c r="AH632" s="1266">
        <v>0.1</v>
      </c>
    </row>
    <row r="633" spans="1:34" ht="12.75">
      <c r="A633" s="2199">
        <f t="shared" si="162"/>
        <v>621</v>
      </c>
      <c r="B633" s="2200" t="s">
        <v>2696</v>
      </c>
      <c r="C633" s="2743">
        <v>0</v>
      </c>
      <c r="D633" s="2743">
        <v>0</v>
      </c>
      <c r="E633" s="2949">
        <v>0</v>
      </c>
      <c r="F633" s="2200">
        <v>20</v>
      </c>
      <c r="G633" s="2200" t="s">
        <v>2038</v>
      </c>
      <c r="H633" s="2200" t="s">
        <v>1057</v>
      </c>
      <c r="I633" s="2742">
        <v>30</v>
      </c>
      <c r="J633" s="2742"/>
      <c r="K633" s="2752">
        <v>60</v>
      </c>
      <c r="L633" s="2745">
        <f t="shared" si="151"/>
        <v>0</v>
      </c>
      <c r="M633" s="2745">
        <f t="shared" si="154"/>
        <v>30</v>
      </c>
      <c r="N633" s="2745">
        <f t="shared" si="155"/>
        <v>20</v>
      </c>
      <c r="O633" s="1232">
        <f t="shared" si="156"/>
        <v>0</v>
      </c>
      <c r="P633" s="1227" t="str">
        <f t="shared" si="161"/>
        <v>080gsm ART PAPER HANSOL - GLOSS</v>
      </c>
      <c r="Q633" s="254">
        <v>6.4000000000000001E-2</v>
      </c>
      <c r="R633" s="1228" t="str">
        <f t="shared" si="164"/>
        <v>080</v>
      </c>
      <c r="S633" s="2625">
        <f t="shared" si="152"/>
        <v>0</v>
      </c>
      <c r="T633" s="2747">
        <f>IF(L633&gt;0,IF(input!$B$2=$O$1,(((L633+Y633/22+(300000/$P$10/22))+(L633+Y633/22+(300000/$P$10/22))*$AG633+$X633)*$P$11+$M$7)/1000,(((L633+Y633/22+(300000/$P$10/22))+(L633+Y633/22+(300000/$P$10/22))*O633+(L633+Y633/22+(300000/$P$10/22))*$AG633+$X633)*$P$11+$M$7)/1000),0)</f>
        <v>0</v>
      </c>
      <c r="U633" s="2747">
        <f t="shared" si="163"/>
        <v>0</v>
      </c>
      <c r="V633" s="1229"/>
      <c r="W633" s="1231" t="str">
        <f t="shared" si="153"/>
        <v>CIF</v>
      </c>
      <c r="X633" s="1230">
        <f t="shared" si="166"/>
        <v>0</v>
      </c>
      <c r="Y633" s="2625">
        <f t="shared" si="157"/>
        <v>0</v>
      </c>
      <c r="Z633" s="3208">
        <f t="shared" si="165"/>
        <v>838.18181818181813</v>
      </c>
      <c r="AA633" s="1220" t="s">
        <v>2838</v>
      </c>
      <c r="AB633" s="1220" t="s">
        <v>1397</v>
      </c>
      <c r="AC633" s="251" t="str">
        <f t="shared" si="158"/>
        <v>080gsm ART PAPER HANSOL - GLOSS</v>
      </c>
      <c r="AD633" s="2746">
        <f>IF(L633&gt;0,IF(input!$B$2=$O$1,(((M633)+(M633)*$M$10)*$P$11)/1000,(((M633)+(M633)*O633+(M633)*$M$10)*$P$11)/1000),0)</f>
        <v>0</v>
      </c>
      <c r="AE633" s="2746">
        <f>IF(L633&gt;0,IF(input!$B$2=$O$1,(((N633)+(N633)*$M$10)*$P$11)/1000,(((N633)+(N633)*O633+(N633)*$M$10)*$P$11)/1000),0)</f>
        <v>0</v>
      </c>
      <c r="AF633" s="136" t="str">
        <f t="shared" si="159"/>
        <v>FSC</v>
      </c>
      <c r="AG633" s="2628">
        <f t="shared" si="160"/>
        <v>1.6E-2</v>
      </c>
      <c r="AH633" s="1266">
        <v>0.1</v>
      </c>
    </row>
    <row r="634" spans="1:34" ht="12.75">
      <c r="A634" s="2199">
        <f t="shared" si="162"/>
        <v>622</v>
      </c>
      <c r="B634" s="2200" t="s">
        <v>2697</v>
      </c>
      <c r="C634" s="2743">
        <v>0</v>
      </c>
      <c r="D634" s="2743">
        <v>0</v>
      </c>
      <c r="E634" s="2949">
        <v>0</v>
      </c>
      <c r="F634" s="2200">
        <v>20</v>
      </c>
      <c r="G634" s="2200" t="s">
        <v>2038</v>
      </c>
      <c r="H634" s="2200" t="s">
        <v>1057</v>
      </c>
      <c r="I634" s="2742">
        <v>30</v>
      </c>
      <c r="J634" s="2742"/>
      <c r="K634" s="2752">
        <v>60</v>
      </c>
      <c r="L634" s="2745">
        <f t="shared" si="151"/>
        <v>0</v>
      </c>
      <c r="M634" s="2745">
        <f t="shared" si="154"/>
        <v>30</v>
      </c>
      <c r="N634" s="2745">
        <f t="shared" si="155"/>
        <v>20</v>
      </c>
      <c r="O634" s="1232">
        <f t="shared" si="156"/>
        <v>0</v>
      </c>
      <c r="P634" s="1227" t="str">
        <f t="shared" si="161"/>
        <v>090gsm ART PAPER HANSOL - GLOSS</v>
      </c>
      <c r="Q634" s="254">
        <v>7.1999999999999995E-2</v>
      </c>
      <c r="R634" s="1228" t="str">
        <f t="shared" si="164"/>
        <v>090</v>
      </c>
      <c r="S634" s="2625">
        <f t="shared" si="152"/>
        <v>0</v>
      </c>
      <c r="T634" s="2747">
        <f>IF(L634&gt;0,IF(input!$B$2=$O$1,(((L634+Y634/22+(300000/$P$10/22))+(L634+Y634/22+(300000/$P$10/22))*$AG634+$X634)*$P$11+$M$7)/1000,(((L634+Y634/22+(300000/$P$10/22))+(L634+Y634/22+(300000/$P$10/22))*O634+(L634+Y634/22+(300000/$P$10/22))*$AG634+$X634)*$P$11+$M$7)/1000),0)</f>
        <v>0</v>
      </c>
      <c r="U634" s="2747">
        <f t="shared" si="163"/>
        <v>0</v>
      </c>
      <c r="V634" s="1229"/>
      <c r="W634" s="1231" t="str">
        <f t="shared" si="153"/>
        <v>CIF</v>
      </c>
      <c r="X634" s="1230">
        <f t="shared" si="166"/>
        <v>0</v>
      </c>
      <c r="Y634" s="2625">
        <f t="shared" si="157"/>
        <v>0</v>
      </c>
      <c r="Z634" s="3208">
        <f t="shared" si="165"/>
        <v>838.18181818181813</v>
      </c>
      <c r="AA634" s="1220" t="s">
        <v>2838</v>
      </c>
      <c r="AB634" s="1220" t="s">
        <v>1397</v>
      </c>
      <c r="AC634" s="251" t="str">
        <f t="shared" si="158"/>
        <v>090gsm ART PAPER HANSOL - GLOSS</v>
      </c>
      <c r="AD634" s="2746">
        <f>IF(L634&gt;0,IF(input!$B$2=$O$1,(((M634)+(M634)*$M$10)*$P$11)/1000,(((M634)+(M634)*O634+(M634)*$M$10)*$P$11)/1000),0)</f>
        <v>0</v>
      </c>
      <c r="AE634" s="2746">
        <f>IF(L634&gt;0,IF(input!$B$2=$O$1,(((N634)+(N634)*$M$10)*$P$11)/1000,(((N634)+(N634)*O634+(N634)*$M$10)*$P$11)/1000),0)</f>
        <v>0</v>
      </c>
      <c r="AF634" s="136" t="str">
        <f t="shared" si="159"/>
        <v>FSC</v>
      </c>
      <c r="AG634" s="2628">
        <f t="shared" si="160"/>
        <v>1.6E-2</v>
      </c>
      <c r="AH634" s="1266">
        <v>0.1</v>
      </c>
    </row>
    <row r="635" spans="1:34" ht="12.75">
      <c r="A635" s="2199">
        <f t="shared" si="162"/>
        <v>623</v>
      </c>
      <c r="B635" s="2200" t="s">
        <v>2698</v>
      </c>
      <c r="C635" s="2743">
        <v>0</v>
      </c>
      <c r="D635" s="2743">
        <v>0</v>
      </c>
      <c r="E635" s="2949">
        <v>0</v>
      </c>
      <c r="F635" s="2200">
        <v>20</v>
      </c>
      <c r="G635" s="2200" t="s">
        <v>2038</v>
      </c>
      <c r="H635" s="2200" t="s">
        <v>1057</v>
      </c>
      <c r="I635" s="2742">
        <v>30</v>
      </c>
      <c r="J635" s="2742"/>
      <c r="K635" s="2752">
        <v>60</v>
      </c>
      <c r="L635" s="2745">
        <f t="shared" si="151"/>
        <v>0</v>
      </c>
      <c r="M635" s="2745">
        <f t="shared" si="154"/>
        <v>30</v>
      </c>
      <c r="N635" s="2745">
        <f t="shared" si="155"/>
        <v>20</v>
      </c>
      <c r="O635" s="1232">
        <f t="shared" si="156"/>
        <v>0</v>
      </c>
      <c r="P635" s="1227" t="str">
        <f t="shared" si="161"/>
        <v>095gsm ART PAPER HANSOL - GLOSS</v>
      </c>
      <c r="Q635" s="254">
        <v>7.5999999999999998E-2</v>
      </c>
      <c r="R635" s="1228" t="str">
        <f t="shared" si="164"/>
        <v>095</v>
      </c>
      <c r="S635" s="2625">
        <f t="shared" si="152"/>
        <v>0</v>
      </c>
      <c r="T635" s="2747">
        <f>IF(L635&gt;0,IF(input!$B$2=$O$1,(((L635+Y635/22+(300000/$P$10/22))+(L635+Y635/22+(300000/$P$10/22))*$AG635+$X635)*$P$11+$M$7)/1000,(((L635+Y635/22+(300000/$P$10/22))+(L635+Y635/22+(300000/$P$10/22))*O635+(L635+Y635/22+(300000/$P$10/22))*$AG635+$X635)*$P$11+$M$7)/1000),0)</f>
        <v>0</v>
      </c>
      <c r="U635" s="2747">
        <f t="shared" si="163"/>
        <v>0</v>
      </c>
      <c r="V635" s="1229"/>
      <c r="W635" s="1231" t="str">
        <f t="shared" si="153"/>
        <v>CIF</v>
      </c>
      <c r="X635" s="1230">
        <f t="shared" si="166"/>
        <v>0</v>
      </c>
      <c r="Y635" s="2625">
        <f t="shared" si="157"/>
        <v>0</v>
      </c>
      <c r="Z635" s="3208">
        <f t="shared" si="165"/>
        <v>838.18181818181813</v>
      </c>
      <c r="AA635" s="1220" t="s">
        <v>2838</v>
      </c>
      <c r="AB635" s="1220" t="s">
        <v>1397</v>
      </c>
      <c r="AC635" s="251" t="str">
        <f t="shared" si="158"/>
        <v>095gsm ART PAPER HANSOL - GLOSS</v>
      </c>
      <c r="AD635" s="2746">
        <f>IF(L635&gt;0,IF(input!$B$2=$O$1,(((M635)+(M635)*$M$10)*$P$11)/1000,(((M635)+(M635)*O635+(M635)*$M$10)*$P$11)/1000),0)</f>
        <v>0</v>
      </c>
      <c r="AE635" s="2746">
        <f>IF(L635&gt;0,IF(input!$B$2=$O$1,(((N635)+(N635)*$M$10)*$P$11)/1000,(((N635)+(N635)*O635+(N635)*$M$10)*$P$11)/1000),0)</f>
        <v>0</v>
      </c>
      <c r="AF635" s="136" t="str">
        <f t="shared" si="159"/>
        <v>FSC</v>
      </c>
      <c r="AG635" s="2628">
        <f t="shared" si="160"/>
        <v>1.6E-2</v>
      </c>
      <c r="AH635" s="1266">
        <v>0.1</v>
      </c>
    </row>
    <row r="636" spans="1:34" ht="12.75">
      <c r="A636" s="2199">
        <f t="shared" si="162"/>
        <v>624</v>
      </c>
      <c r="B636" s="2200" t="s">
        <v>2699</v>
      </c>
      <c r="C636" s="2743">
        <v>0</v>
      </c>
      <c r="D636" s="2743">
        <v>0</v>
      </c>
      <c r="E636" s="2949">
        <v>0</v>
      </c>
      <c r="F636" s="2200">
        <v>20</v>
      </c>
      <c r="G636" s="2200" t="s">
        <v>2038</v>
      </c>
      <c r="H636" s="2200" t="s">
        <v>1057</v>
      </c>
      <c r="I636" s="2742">
        <v>30</v>
      </c>
      <c r="J636" s="2742"/>
      <c r="K636" s="2752">
        <v>60</v>
      </c>
      <c r="L636" s="2745">
        <f t="shared" si="151"/>
        <v>0</v>
      </c>
      <c r="M636" s="2745">
        <f t="shared" si="154"/>
        <v>30</v>
      </c>
      <c r="N636" s="2745">
        <f t="shared" si="155"/>
        <v>20</v>
      </c>
      <c r="O636" s="1232">
        <f t="shared" si="156"/>
        <v>0</v>
      </c>
      <c r="P636" s="1227" t="str">
        <f t="shared" si="161"/>
        <v>100gsm ART PAPER HANSOL - GLOSS</v>
      </c>
      <c r="Q636" s="254">
        <v>0.08</v>
      </c>
      <c r="R636" s="1228" t="str">
        <f t="shared" si="164"/>
        <v>100</v>
      </c>
      <c r="S636" s="2625">
        <f t="shared" si="152"/>
        <v>0</v>
      </c>
      <c r="T636" s="2747">
        <f>IF(L636&gt;0,IF(input!$B$2=$O$1,(((L636+Y636/22+(300000/$P$10/22))+(L636+Y636/22+(300000/$P$10/22))*$AG636+$X636)*$P$11+$M$7)/1000,(((L636+Y636/22+(300000/$P$10/22))+(L636+Y636/22+(300000/$P$10/22))*O636+(L636+Y636/22+(300000/$P$10/22))*$AG636+$X636)*$P$11+$M$7)/1000),0)</f>
        <v>0</v>
      </c>
      <c r="U636" s="2747">
        <f t="shared" si="163"/>
        <v>0</v>
      </c>
      <c r="V636" s="1229"/>
      <c r="W636" s="1231" t="str">
        <f t="shared" si="153"/>
        <v>CIF</v>
      </c>
      <c r="X636" s="1230">
        <f t="shared" si="166"/>
        <v>0</v>
      </c>
      <c r="Y636" s="2625">
        <f t="shared" si="157"/>
        <v>0</v>
      </c>
      <c r="Z636" s="3208">
        <f t="shared" si="165"/>
        <v>838.18181818181813</v>
      </c>
      <c r="AA636" s="1220" t="s">
        <v>2838</v>
      </c>
      <c r="AB636" s="1220" t="s">
        <v>1397</v>
      </c>
      <c r="AC636" s="251" t="str">
        <f t="shared" si="158"/>
        <v>100gsm ART PAPER HANSOL - GLOSS</v>
      </c>
      <c r="AD636" s="2746">
        <f>IF(L636&gt;0,IF(input!$B$2=$O$1,(((M636)+(M636)*$M$10)*$P$11)/1000,(((M636)+(M636)*O636+(M636)*$M$10)*$P$11)/1000),0)</f>
        <v>0</v>
      </c>
      <c r="AE636" s="2746">
        <f>IF(L636&gt;0,IF(input!$B$2=$O$1,(((N636)+(N636)*$M$10)*$P$11)/1000,(((N636)+(N636)*O636+(N636)*$M$10)*$P$11)/1000),0)</f>
        <v>0</v>
      </c>
      <c r="AF636" s="136" t="str">
        <f t="shared" si="159"/>
        <v>FSC</v>
      </c>
      <c r="AG636" s="2628">
        <f t="shared" si="160"/>
        <v>1.6E-2</v>
      </c>
      <c r="AH636" s="1266">
        <v>0.1</v>
      </c>
    </row>
    <row r="637" spans="1:34" ht="12.75">
      <c r="A637" s="2199">
        <f t="shared" si="162"/>
        <v>625</v>
      </c>
      <c r="B637" s="2200" t="s">
        <v>2700</v>
      </c>
      <c r="C637" s="2743">
        <v>0</v>
      </c>
      <c r="D637" s="2743">
        <v>0</v>
      </c>
      <c r="E637" s="2949">
        <v>0</v>
      </c>
      <c r="F637" s="2200">
        <v>20</v>
      </c>
      <c r="G637" s="2200" t="s">
        <v>2038</v>
      </c>
      <c r="H637" s="2200" t="s">
        <v>1057</v>
      </c>
      <c r="I637" s="2742">
        <v>30</v>
      </c>
      <c r="J637" s="2742"/>
      <c r="K637" s="2752">
        <v>60</v>
      </c>
      <c r="L637" s="2745">
        <f t="shared" si="151"/>
        <v>0</v>
      </c>
      <c r="M637" s="2745">
        <f t="shared" si="154"/>
        <v>30</v>
      </c>
      <c r="N637" s="2745">
        <f t="shared" si="155"/>
        <v>20</v>
      </c>
      <c r="O637" s="1232">
        <f t="shared" si="156"/>
        <v>0</v>
      </c>
      <c r="P637" s="1227" t="str">
        <f t="shared" si="161"/>
        <v>105gsm ART PAPER HANSOL - GLOSS</v>
      </c>
      <c r="Q637" s="254">
        <v>8.4000000000000005E-2</v>
      </c>
      <c r="R637" s="1228" t="str">
        <f t="shared" si="164"/>
        <v>105</v>
      </c>
      <c r="S637" s="2625">
        <f t="shared" si="152"/>
        <v>0</v>
      </c>
      <c r="T637" s="2747">
        <f>IF(L637&gt;0,IF(input!$B$2=$O$1,(((L637+Y637/22+(300000/$P$10/22))+(L637+Y637/22+(300000/$P$10/22))*$AG637+$X637)*$P$11+$M$7)/1000,(((L637+Y637/22+(300000/$P$10/22))+(L637+Y637/22+(300000/$P$10/22))*O637+(L637+Y637/22+(300000/$P$10/22))*$AG637+$X637)*$P$11+$M$7)/1000),0)</f>
        <v>0</v>
      </c>
      <c r="U637" s="2747">
        <f t="shared" si="163"/>
        <v>0</v>
      </c>
      <c r="V637" s="1229"/>
      <c r="W637" s="1231" t="str">
        <f t="shared" si="153"/>
        <v>CIF</v>
      </c>
      <c r="X637" s="1230">
        <f t="shared" si="166"/>
        <v>0</v>
      </c>
      <c r="Y637" s="2625">
        <f t="shared" si="157"/>
        <v>0</v>
      </c>
      <c r="Z637" s="3208">
        <f t="shared" si="165"/>
        <v>838.18181818181813</v>
      </c>
      <c r="AA637" s="1220" t="s">
        <v>2838</v>
      </c>
      <c r="AB637" s="1220" t="s">
        <v>1397</v>
      </c>
      <c r="AC637" s="251" t="str">
        <f t="shared" si="158"/>
        <v>105gsm ART PAPER HANSOL - GLOSS</v>
      </c>
      <c r="AD637" s="2746">
        <f>IF(L637&gt;0,IF(input!$B$2=$O$1,(((M637)+(M637)*$M$10)*$P$11)/1000,(((M637)+(M637)*O637+(M637)*$M$10)*$P$11)/1000),0)</f>
        <v>0</v>
      </c>
      <c r="AE637" s="2746">
        <f>IF(L637&gt;0,IF(input!$B$2=$O$1,(((N637)+(N637)*$M$10)*$P$11)/1000,(((N637)+(N637)*O637+(N637)*$M$10)*$P$11)/1000),0)</f>
        <v>0</v>
      </c>
      <c r="AF637" s="136" t="str">
        <f t="shared" si="159"/>
        <v>FSC</v>
      </c>
      <c r="AG637" s="2628">
        <f t="shared" si="160"/>
        <v>1.6E-2</v>
      </c>
      <c r="AH637" s="1266">
        <v>0.1</v>
      </c>
    </row>
    <row r="638" spans="1:34" ht="12.75">
      <c r="A638" s="2199">
        <f t="shared" si="162"/>
        <v>626</v>
      </c>
      <c r="B638" s="2200" t="s">
        <v>2701</v>
      </c>
      <c r="C638" s="2743">
        <v>0</v>
      </c>
      <c r="D638" s="2743">
        <v>0</v>
      </c>
      <c r="E638" s="2949">
        <v>0</v>
      </c>
      <c r="F638" s="2200">
        <v>20</v>
      </c>
      <c r="G638" s="2200" t="s">
        <v>2038</v>
      </c>
      <c r="H638" s="2200" t="s">
        <v>1057</v>
      </c>
      <c r="I638" s="2742">
        <v>30</v>
      </c>
      <c r="J638" s="2742"/>
      <c r="K638" s="2752">
        <v>60</v>
      </c>
      <c r="L638" s="2745">
        <f t="shared" si="151"/>
        <v>0</v>
      </c>
      <c r="M638" s="2745">
        <f t="shared" si="154"/>
        <v>30</v>
      </c>
      <c r="N638" s="2745">
        <f t="shared" si="155"/>
        <v>20</v>
      </c>
      <c r="O638" s="1232">
        <f t="shared" si="156"/>
        <v>0</v>
      </c>
      <c r="P638" s="1227" t="str">
        <f t="shared" si="161"/>
        <v>113gsm ART PAPER HANSOL - GLOSS</v>
      </c>
      <c r="Q638" s="254">
        <v>0.09</v>
      </c>
      <c r="R638" s="1228" t="str">
        <f t="shared" si="164"/>
        <v>113</v>
      </c>
      <c r="S638" s="2625">
        <f t="shared" si="152"/>
        <v>0</v>
      </c>
      <c r="T638" s="2747">
        <f>IF(L638&gt;0,IF(input!$B$2=$O$1,(((L638+Y638/22+(300000/$P$10/22))+(L638+Y638/22+(300000/$P$10/22))*$AG638+$X638)*$P$11+$M$7)/1000,(((L638+Y638/22+(300000/$P$10/22))+(L638+Y638/22+(300000/$P$10/22))*O638+(L638+Y638/22+(300000/$P$10/22))*$AG638+$X638)*$P$11+$M$7)/1000),0)</f>
        <v>0</v>
      </c>
      <c r="U638" s="2747">
        <f t="shared" si="163"/>
        <v>0</v>
      </c>
      <c r="V638" s="1229"/>
      <c r="W638" s="1231" t="str">
        <f t="shared" si="153"/>
        <v>CIF</v>
      </c>
      <c r="X638" s="1230">
        <f t="shared" si="166"/>
        <v>0</v>
      </c>
      <c r="Y638" s="2625">
        <f t="shared" si="157"/>
        <v>0</v>
      </c>
      <c r="Z638" s="3208">
        <f t="shared" si="165"/>
        <v>838.18181818181813</v>
      </c>
      <c r="AA638" s="1220" t="s">
        <v>2838</v>
      </c>
      <c r="AB638" s="1220" t="s">
        <v>1397</v>
      </c>
      <c r="AC638" s="251" t="str">
        <f t="shared" si="158"/>
        <v>113gsm ART PAPER HANSOL - GLOSS</v>
      </c>
      <c r="AD638" s="2746">
        <f>IF(L638&gt;0,IF(input!$B$2=$O$1,(((M638)+(M638)*$M$10)*$P$11)/1000,(((M638)+(M638)*O638+(M638)*$M$10)*$P$11)/1000),0)</f>
        <v>0</v>
      </c>
      <c r="AE638" s="2746">
        <f>IF(L638&gt;0,IF(input!$B$2=$O$1,(((N638)+(N638)*$M$10)*$P$11)/1000,(((N638)+(N638)*O638+(N638)*$M$10)*$P$11)/1000),0)</f>
        <v>0</v>
      </c>
      <c r="AF638" s="136" t="str">
        <f t="shared" si="159"/>
        <v>FSC</v>
      </c>
      <c r="AG638" s="2628">
        <f t="shared" si="160"/>
        <v>1.6E-2</v>
      </c>
      <c r="AH638" s="1266">
        <v>0.1</v>
      </c>
    </row>
    <row r="639" spans="1:34" ht="12.75">
      <c r="A639" s="2199">
        <f t="shared" si="162"/>
        <v>627</v>
      </c>
      <c r="B639" s="2200" t="s">
        <v>2702</v>
      </c>
      <c r="C639" s="2743">
        <v>0</v>
      </c>
      <c r="D639" s="2743">
        <v>0</v>
      </c>
      <c r="E639" s="2949">
        <v>0</v>
      </c>
      <c r="F639" s="2200">
        <v>20</v>
      </c>
      <c r="G639" s="2200" t="s">
        <v>2038</v>
      </c>
      <c r="H639" s="2200" t="s">
        <v>1057</v>
      </c>
      <c r="I639" s="2742">
        <v>30</v>
      </c>
      <c r="J639" s="2742"/>
      <c r="K639" s="2752">
        <v>60</v>
      </c>
      <c r="L639" s="2745">
        <f t="shared" si="151"/>
        <v>0</v>
      </c>
      <c r="M639" s="2745">
        <f t="shared" si="154"/>
        <v>30</v>
      </c>
      <c r="N639" s="2745">
        <f t="shared" si="155"/>
        <v>20</v>
      </c>
      <c r="O639" s="1232">
        <f t="shared" si="156"/>
        <v>0</v>
      </c>
      <c r="P639" s="1227" t="str">
        <f t="shared" si="161"/>
        <v>118gsm ART PAPER HANSOL - GLOSS</v>
      </c>
      <c r="Q639" s="254">
        <v>9.5000000000000001E-2</v>
      </c>
      <c r="R639" s="1228" t="str">
        <f t="shared" si="164"/>
        <v>118</v>
      </c>
      <c r="S639" s="2625">
        <f t="shared" si="152"/>
        <v>0</v>
      </c>
      <c r="T639" s="2747">
        <f>IF(L639&gt;0,IF(input!$B$2=$O$1,(((L639+Y639/22+(300000/$P$10/22))+(L639+Y639/22+(300000/$P$10/22))*$AG639+$X639)*$P$11+$M$7)/1000,(((L639+Y639/22+(300000/$P$10/22))+(L639+Y639/22+(300000/$P$10/22))*O639+(L639+Y639/22+(300000/$P$10/22))*$AG639+$X639)*$P$11+$M$7)/1000),0)</f>
        <v>0</v>
      </c>
      <c r="U639" s="2747">
        <f t="shared" si="163"/>
        <v>0</v>
      </c>
      <c r="V639" s="1229"/>
      <c r="W639" s="1231" t="str">
        <f t="shared" si="153"/>
        <v>CIF</v>
      </c>
      <c r="X639" s="1230">
        <f t="shared" si="166"/>
        <v>0</v>
      </c>
      <c r="Y639" s="2625">
        <f t="shared" si="157"/>
        <v>0</v>
      </c>
      <c r="Z639" s="3208">
        <f t="shared" si="165"/>
        <v>838.18181818181813</v>
      </c>
      <c r="AA639" s="1220" t="s">
        <v>2838</v>
      </c>
      <c r="AB639" s="1220" t="s">
        <v>1397</v>
      </c>
      <c r="AC639" s="251" t="str">
        <f t="shared" si="158"/>
        <v>118gsm ART PAPER HANSOL - GLOSS</v>
      </c>
      <c r="AD639" s="2746">
        <f>IF(L639&gt;0,IF(input!$B$2=$O$1,(((M639)+(M639)*$M$10)*$P$11)/1000,(((M639)+(M639)*O639+(M639)*$M$10)*$P$11)/1000),0)</f>
        <v>0</v>
      </c>
      <c r="AE639" s="2746">
        <f>IF(L639&gt;0,IF(input!$B$2=$O$1,(((N639)+(N639)*$M$10)*$P$11)/1000,(((N639)+(N639)*O639+(N639)*$M$10)*$P$11)/1000),0)</f>
        <v>0</v>
      </c>
      <c r="AF639" s="136" t="str">
        <f t="shared" si="159"/>
        <v>FSC</v>
      </c>
      <c r="AG639" s="2628">
        <f t="shared" si="160"/>
        <v>1.6E-2</v>
      </c>
      <c r="AH639" s="1266">
        <v>0.1</v>
      </c>
    </row>
    <row r="640" spans="1:34" ht="12.75">
      <c r="A640" s="2199">
        <f t="shared" si="162"/>
        <v>628</v>
      </c>
      <c r="B640" s="2200" t="s">
        <v>2703</v>
      </c>
      <c r="C640" s="2743">
        <v>0</v>
      </c>
      <c r="D640" s="2743">
        <v>760</v>
      </c>
      <c r="E640" s="2949">
        <v>0</v>
      </c>
      <c r="F640" s="2200">
        <v>20</v>
      </c>
      <c r="G640" s="2200" t="s">
        <v>2038</v>
      </c>
      <c r="H640" s="2200" t="s">
        <v>1057</v>
      </c>
      <c r="I640" s="2742">
        <v>30</v>
      </c>
      <c r="J640" s="2742"/>
      <c r="K640" s="2752">
        <v>60</v>
      </c>
      <c r="L640" s="2745">
        <f t="shared" si="151"/>
        <v>760</v>
      </c>
      <c r="M640" s="2745">
        <f t="shared" si="154"/>
        <v>30</v>
      </c>
      <c r="N640" s="2745">
        <f t="shared" si="155"/>
        <v>20</v>
      </c>
      <c r="O640" s="1232">
        <f t="shared" si="156"/>
        <v>0</v>
      </c>
      <c r="P640" s="1227" t="str">
        <f t="shared" si="161"/>
        <v>128gsm ART PAPER HANSOL - GLOSS</v>
      </c>
      <c r="Q640" s="254">
        <v>0.10299999999999999</v>
      </c>
      <c r="R640" s="1228" t="str">
        <f t="shared" si="164"/>
        <v>128</v>
      </c>
      <c r="S640" s="2625">
        <f t="shared" si="152"/>
        <v>0</v>
      </c>
      <c r="T640" s="2747">
        <f>IF(L640&gt;0,IF(input!$B$2=$O$1,(((L640+Y640/22+(300000/$P$10/22))+(L640+Y640/22+(300000/$P$10/22))*$AG640+$X640)*$P$11+$M$7)/1000,(((L640+Y640/22+(300000/$P$10/22))+(L640+Y640/22+(300000/$P$10/22))*O640+(L640+Y640/22+(300000/$P$10/22))*$AG640+$X640)*$P$11+$M$7)/1000),0)</f>
        <v>19153.615154556977</v>
      </c>
      <c r="U640" s="2747">
        <f t="shared" si="163"/>
        <v>0</v>
      </c>
      <c r="V640" s="1229"/>
      <c r="W640" s="1231" t="str">
        <f t="shared" si="153"/>
        <v>CIF</v>
      </c>
      <c r="X640" s="1230">
        <f t="shared" si="166"/>
        <v>0</v>
      </c>
      <c r="Y640" s="2625">
        <f t="shared" si="157"/>
        <v>0</v>
      </c>
      <c r="Z640" s="3208">
        <f t="shared" si="165"/>
        <v>838.18181818181813</v>
      </c>
      <c r="AA640" s="1220" t="s">
        <v>2838</v>
      </c>
      <c r="AB640" s="1220" t="s">
        <v>1397</v>
      </c>
      <c r="AC640" s="251" t="str">
        <f t="shared" si="158"/>
        <v>128gsm ART PAPER HANSOL - GLOSS</v>
      </c>
      <c r="AD640" s="2746">
        <f>IF(L640&gt;0,IF(input!$B$2=$O$1,(((M640)+(M640)*$M$10)*$P$11)/1000,(((M640)+(M640)*O640+(M640)*$M$10)*$P$11)/1000),0)</f>
        <v>726.06239999999991</v>
      </c>
      <c r="AE640" s="2746">
        <f>IF(L640&gt;0,IF(input!$B$2=$O$1,(((N640)+(N640)*$M$10)*$P$11)/1000,(((N640)+(N640)*O640+(N640)*$M$10)*$P$11)/1000),0)</f>
        <v>484.04159999999996</v>
      </c>
      <c r="AF640" s="136" t="str">
        <f t="shared" si="159"/>
        <v>FSC</v>
      </c>
      <c r="AG640" s="2628">
        <f t="shared" si="160"/>
        <v>1.6E-2</v>
      </c>
      <c r="AH640" s="1266">
        <v>0.1</v>
      </c>
    </row>
    <row r="641" spans="1:34" ht="12.75">
      <c r="A641" s="2199">
        <f t="shared" si="162"/>
        <v>629</v>
      </c>
      <c r="B641" s="2200" t="s">
        <v>2704</v>
      </c>
      <c r="C641" s="2743">
        <v>0</v>
      </c>
      <c r="D641" s="2743">
        <v>760</v>
      </c>
      <c r="E641" s="2949">
        <v>0</v>
      </c>
      <c r="F641" s="2200">
        <v>20</v>
      </c>
      <c r="G641" s="2200" t="s">
        <v>2038</v>
      </c>
      <c r="H641" s="2200" t="s">
        <v>1057</v>
      </c>
      <c r="I641" s="2742">
        <v>30</v>
      </c>
      <c r="J641" s="2742"/>
      <c r="K641" s="2752">
        <v>60</v>
      </c>
      <c r="L641" s="2745">
        <f t="shared" ref="L641:L704" si="167">$D641</f>
        <v>760</v>
      </c>
      <c r="M641" s="2745">
        <f t="shared" si="154"/>
        <v>30</v>
      </c>
      <c r="N641" s="2745">
        <f t="shared" si="155"/>
        <v>20</v>
      </c>
      <c r="O641" s="1232">
        <f t="shared" si="156"/>
        <v>0</v>
      </c>
      <c r="P641" s="1227" t="str">
        <f t="shared" si="161"/>
        <v>135gsm ART PAPER HANSOL - GLOSS</v>
      </c>
      <c r="Q641" s="254">
        <v>0.108</v>
      </c>
      <c r="R641" s="1228" t="str">
        <f t="shared" si="164"/>
        <v>135</v>
      </c>
      <c r="S641" s="2625">
        <f t="shared" ref="S641:S704" si="168">C641</f>
        <v>0</v>
      </c>
      <c r="T641" s="2747">
        <f>IF(L641&gt;0,IF(input!$B$2=$O$1,(((L641+Y641/22+(300000/$P$10/22))+(L641+Y641/22+(300000/$P$10/22))*$AG641+$X641)*$P$11+$M$7)/1000,(((L641+Y641/22+(300000/$P$10/22))+(L641+Y641/22+(300000/$P$10/22))*O641+(L641+Y641/22+(300000/$P$10/22))*$AG641+$X641)*$P$11+$M$7)/1000),0)</f>
        <v>19153.615154556977</v>
      </c>
      <c r="U641" s="2747">
        <f t="shared" si="163"/>
        <v>0</v>
      </c>
      <c r="V641" s="1229"/>
      <c r="W641" s="1231" t="str">
        <f t="shared" ref="W641:W704" si="169">H641</f>
        <v>CIF</v>
      </c>
      <c r="X641" s="1230">
        <f t="shared" si="166"/>
        <v>0</v>
      </c>
      <c r="Y641" s="2625">
        <f t="shared" si="157"/>
        <v>0</v>
      </c>
      <c r="Z641" s="3208">
        <f t="shared" si="165"/>
        <v>838.18181818181813</v>
      </c>
      <c r="AA641" s="1220" t="s">
        <v>2838</v>
      </c>
      <c r="AB641" s="1220" t="s">
        <v>1397</v>
      </c>
      <c r="AC641" s="251" t="str">
        <f t="shared" si="158"/>
        <v>135gsm ART PAPER HANSOL - GLOSS</v>
      </c>
      <c r="AD641" s="2746">
        <f>IF(L641&gt;0,IF(input!$B$2=$O$1,(((M641)+(M641)*$M$10)*$P$11)/1000,(((M641)+(M641)*O641+(M641)*$M$10)*$P$11)/1000),0)</f>
        <v>726.06239999999991</v>
      </c>
      <c r="AE641" s="2746">
        <f>IF(L641&gt;0,IF(input!$B$2=$O$1,(((N641)+(N641)*$M$10)*$P$11)/1000,(((N641)+(N641)*O641+(N641)*$M$10)*$P$11)/1000),0)</f>
        <v>484.04159999999996</v>
      </c>
      <c r="AF641" s="136" t="str">
        <f t="shared" si="159"/>
        <v>FSC</v>
      </c>
      <c r="AG641" s="2628">
        <f t="shared" si="160"/>
        <v>1.6E-2</v>
      </c>
      <c r="AH641" s="1266">
        <v>0.1</v>
      </c>
    </row>
    <row r="642" spans="1:34" ht="12.75">
      <c r="A642" s="2199">
        <f t="shared" si="162"/>
        <v>630</v>
      </c>
      <c r="B642" s="2200" t="s">
        <v>2705</v>
      </c>
      <c r="C642" s="2743">
        <v>0</v>
      </c>
      <c r="D642" s="2743">
        <v>760</v>
      </c>
      <c r="E642" s="2949">
        <v>0</v>
      </c>
      <c r="F642" s="2200">
        <v>20</v>
      </c>
      <c r="G642" s="2200" t="s">
        <v>2038</v>
      </c>
      <c r="H642" s="2200" t="s">
        <v>1057</v>
      </c>
      <c r="I642" s="2742">
        <v>30</v>
      </c>
      <c r="J642" s="2742"/>
      <c r="K642" s="2752">
        <v>60</v>
      </c>
      <c r="L642" s="2745">
        <f t="shared" si="167"/>
        <v>760</v>
      </c>
      <c r="M642" s="2745">
        <f t="shared" ref="M642:M705" si="170">I642</f>
        <v>30</v>
      </c>
      <c r="N642" s="2745">
        <f t="shared" ref="N642:N705" si="171">$F642</f>
        <v>20</v>
      </c>
      <c r="O642" s="1232">
        <f t="shared" ref="O642:O705" si="172">$E642</f>
        <v>0</v>
      </c>
      <c r="P642" s="1227" t="str">
        <f t="shared" si="161"/>
        <v>140gsm ART PAPER HANSOL - GLOSS</v>
      </c>
      <c r="Q642" s="254">
        <v>0.112</v>
      </c>
      <c r="R642" s="1228" t="str">
        <f t="shared" si="164"/>
        <v>140</v>
      </c>
      <c r="S642" s="2625">
        <f t="shared" si="168"/>
        <v>0</v>
      </c>
      <c r="T642" s="2747">
        <f>IF(L642&gt;0,IF(input!$B$2=$O$1,(((L642+Y642/22+(300000/$P$10/22))+(L642+Y642/22+(300000/$P$10/22))*$AG642+$X642)*$P$11+$M$7)/1000,(((L642+Y642/22+(300000/$P$10/22))+(L642+Y642/22+(300000/$P$10/22))*O642+(L642+Y642/22+(300000/$P$10/22))*$AG642+$X642)*$P$11+$M$7)/1000),0)</f>
        <v>19153.615154556977</v>
      </c>
      <c r="U642" s="2747">
        <f t="shared" si="163"/>
        <v>0</v>
      </c>
      <c r="V642" s="1229"/>
      <c r="W642" s="1231" t="str">
        <f t="shared" si="169"/>
        <v>CIF</v>
      </c>
      <c r="X642" s="1230">
        <f t="shared" si="166"/>
        <v>0</v>
      </c>
      <c r="Y642" s="2625">
        <f t="shared" si="157"/>
        <v>0</v>
      </c>
      <c r="Z642" s="3208">
        <f t="shared" si="165"/>
        <v>838.18181818181813</v>
      </c>
      <c r="AA642" s="1220" t="s">
        <v>2838</v>
      </c>
      <c r="AB642" s="1220" t="s">
        <v>1397</v>
      </c>
      <c r="AC642" s="251" t="str">
        <f t="shared" si="158"/>
        <v>140gsm ART PAPER HANSOL - GLOSS</v>
      </c>
      <c r="AD642" s="2746">
        <f>IF(L642&gt;0,IF(input!$B$2=$O$1,(((M642)+(M642)*$M$10)*$P$11)/1000,(((M642)+(M642)*O642+(M642)*$M$10)*$P$11)/1000),0)</f>
        <v>726.06239999999991</v>
      </c>
      <c r="AE642" s="2746">
        <f>IF(L642&gt;0,IF(input!$B$2=$O$1,(((N642)+(N642)*$M$10)*$P$11)/1000,(((N642)+(N642)*O642+(N642)*$M$10)*$P$11)/1000),0)</f>
        <v>484.04159999999996</v>
      </c>
      <c r="AF642" s="136" t="str">
        <f t="shared" si="159"/>
        <v>FSC</v>
      </c>
      <c r="AG642" s="2628">
        <f t="shared" si="160"/>
        <v>1.6E-2</v>
      </c>
      <c r="AH642" s="1266">
        <v>0.1</v>
      </c>
    </row>
    <row r="643" spans="1:34" ht="12.75">
      <c r="A643" s="2199">
        <f t="shared" si="162"/>
        <v>631</v>
      </c>
      <c r="B643" s="2200" t="s">
        <v>2706</v>
      </c>
      <c r="C643" s="2743">
        <v>0</v>
      </c>
      <c r="D643" s="2743">
        <v>760</v>
      </c>
      <c r="E643" s="2949">
        <v>0</v>
      </c>
      <c r="F643" s="2200">
        <v>20</v>
      </c>
      <c r="G643" s="2200" t="s">
        <v>2038</v>
      </c>
      <c r="H643" s="2200" t="s">
        <v>1057</v>
      </c>
      <c r="I643" s="2742">
        <v>30</v>
      </c>
      <c r="J643" s="2742"/>
      <c r="K643" s="2752">
        <v>60</v>
      </c>
      <c r="L643" s="2745">
        <f t="shared" si="167"/>
        <v>760</v>
      </c>
      <c r="M643" s="2745">
        <f t="shared" si="170"/>
        <v>30</v>
      </c>
      <c r="N643" s="2745">
        <f t="shared" si="171"/>
        <v>20</v>
      </c>
      <c r="O643" s="1232">
        <f t="shared" si="172"/>
        <v>0</v>
      </c>
      <c r="P643" s="1227" t="str">
        <f t="shared" si="161"/>
        <v>148gsm ART PAPER HANSOL - GLOSS</v>
      </c>
      <c r="Q643" s="254">
        <v>0.12</v>
      </c>
      <c r="R643" s="1228" t="str">
        <f t="shared" si="164"/>
        <v>148</v>
      </c>
      <c r="S643" s="2625">
        <f t="shared" si="168"/>
        <v>0</v>
      </c>
      <c r="T643" s="2747">
        <f>IF(L643&gt;0,IF(input!$B$2=$O$1,(((L643+Y643/22+(300000/$P$10/22))+(L643+Y643/22+(300000/$P$10/22))*$AG643+$X643)*$P$11+$M$7)/1000,(((L643+Y643/22+(300000/$P$10/22))+(L643+Y643/22+(300000/$P$10/22))*O643+(L643+Y643/22+(300000/$P$10/22))*$AG643+$X643)*$P$11+$M$7)/1000),0)</f>
        <v>19153.615154556977</v>
      </c>
      <c r="U643" s="2747">
        <f t="shared" si="163"/>
        <v>0</v>
      </c>
      <c r="V643" s="1229"/>
      <c r="W643" s="1231" t="str">
        <f t="shared" si="169"/>
        <v>CIF</v>
      </c>
      <c r="X643" s="1230">
        <f t="shared" si="166"/>
        <v>0</v>
      </c>
      <c r="Y643" s="2625">
        <f t="shared" ref="Y643:Y706" si="173">J643</f>
        <v>0</v>
      </c>
      <c r="Z643" s="3208">
        <f t="shared" si="165"/>
        <v>838.18181818181813</v>
      </c>
      <c r="AA643" s="1220" t="s">
        <v>2838</v>
      </c>
      <c r="AB643" s="1220" t="s">
        <v>1397</v>
      </c>
      <c r="AC643" s="251" t="str">
        <f t="shared" ref="AC643:AC706" si="174">B643</f>
        <v>148gsm ART PAPER HANSOL - GLOSS</v>
      </c>
      <c r="AD643" s="2746">
        <f>IF(L643&gt;0,IF(input!$B$2=$O$1,(((M643)+(M643)*$M$10)*$P$11)/1000,(((M643)+(M643)*O643+(M643)*$M$10)*$P$11)/1000),0)</f>
        <v>726.06239999999991</v>
      </c>
      <c r="AE643" s="2746">
        <f>IF(L643&gt;0,IF(input!$B$2=$O$1,(((N643)+(N643)*$M$10)*$P$11)/1000,(((N643)+(N643)*O643+(N643)*$M$10)*$P$11)/1000),0)</f>
        <v>484.04159999999996</v>
      </c>
      <c r="AF643" s="136" t="str">
        <f t="shared" ref="AF643:AF706" si="175">G643</f>
        <v>FSC</v>
      </c>
      <c r="AG643" s="2628">
        <f t="shared" ref="AG643:AG706" si="176">K643*$M$10/30</f>
        <v>1.6E-2</v>
      </c>
      <c r="AH643" s="1266">
        <v>0.1</v>
      </c>
    </row>
    <row r="644" spans="1:34" ht="12.75">
      <c r="A644" s="2199">
        <f t="shared" si="162"/>
        <v>632</v>
      </c>
      <c r="B644" s="2200" t="s">
        <v>2707</v>
      </c>
      <c r="C644" s="2743">
        <v>0</v>
      </c>
      <c r="D644" s="2743">
        <v>760</v>
      </c>
      <c r="E644" s="2949">
        <v>0</v>
      </c>
      <c r="F644" s="2200">
        <v>20</v>
      </c>
      <c r="G644" s="2200" t="s">
        <v>2038</v>
      </c>
      <c r="H644" s="2200" t="s">
        <v>1057</v>
      </c>
      <c r="I644" s="2742">
        <v>30</v>
      </c>
      <c r="J644" s="2742"/>
      <c r="K644" s="2752">
        <v>60</v>
      </c>
      <c r="L644" s="2745">
        <f t="shared" si="167"/>
        <v>760</v>
      </c>
      <c r="M644" s="2745">
        <f t="shared" si="170"/>
        <v>30</v>
      </c>
      <c r="N644" s="2745">
        <f t="shared" si="171"/>
        <v>20</v>
      </c>
      <c r="O644" s="1232">
        <f t="shared" si="172"/>
        <v>0</v>
      </c>
      <c r="P644" s="1227" t="str">
        <f t="shared" si="161"/>
        <v>157gsm ART PAPER HANSOL - GLOSS</v>
      </c>
      <c r="Q644" s="254">
        <v>0.127</v>
      </c>
      <c r="R644" s="1228" t="str">
        <f t="shared" si="164"/>
        <v>157</v>
      </c>
      <c r="S644" s="2625">
        <f t="shared" si="168"/>
        <v>0</v>
      </c>
      <c r="T644" s="2747">
        <f>IF(L644&gt;0,IF(input!$B$2=$O$1,(((L644+Y644/22+(300000/$P$10/22))+(L644+Y644/22+(300000/$P$10/22))*$AG644+$X644)*$P$11+$M$7)/1000,(((L644+Y644/22+(300000/$P$10/22))+(L644+Y644/22+(300000/$P$10/22))*O644+(L644+Y644/22+(300000/$P$10/22))*$AG644+$X644)*$P$11+$M$7)/1000),0)</f>
        <v>19153.615154556977</v>
      </c>
      <c r="U644" s="2747">
        <f t="shared" si="163"/>
        <v>0</v>
      </c>
      <c r="V644" s="1229"/>
      <c r="W644" s="1231" t="str">
        <f t="shared" si="169"/>
        <v>CIF</v>
      </c>
      <c r="X644" s="1230">
        <f t="shared" si="166"/>
        <v>0</v>
      </c>
      <c r="Y644" s="2625">
        <f t="shared" si="173"/>
        <v>0</v>
      </c>
      <c r="Z644" s="3208">
        <f t="shared" si="165"/>
        <v>838.18181818181813</v>
      </c>
      <c r="AA644" s="1220" t="s">
        <v>2838</v>
      </c>
      <c r="AB644" s="1220" t="s">
        <v>1397</v>
      </c>
      <c r="AC644" s="251" t="str">
        <f t="shared" si="174"/>
        <v>157gsm ART PAPER HANSOL - GLOSS</v>
      </c>
      <c r="AD644" s="2746">
        <f>IF(L644&gt;0,IF(input!$B$2=$O$1,(((M644)+(M644)*$M$10)*$P$11)/1000,(((M644)+(M644)*O644+(M644)*$M$10)*$P$11)/1000),0)</f>
        <v>726.06239999999991</v>
      </c>
      <c r="AE644" s="2746">
        <f>IF(L644&gt;0,IF(input!$B$2=$O$1,(((N644)+(N644)*$M$10)*$P$11)/1000,(((N644)+(N644)*O644+(N644)*$M$10)*$P$11)/1000),0)</f>
        <v>484.04159999999996</v>
      </c>
      <c r="AF644" s="136" t="str">
        <f t="shared" si="175"/>
        <v>FSC</v>
      </c>
      <c r="AG644" s="2628">
        <f t="shared" si="176"/>
        <v>1.6E-2</v>
      </c>
      <c r="AH644" s="1266">
        <v>0.1</v>
      </c>
    </row>
    <row r="645" spans="1:34" ht="12.75">
      <c r="A645" s="2199">
        <f t="shared" si="162"/>
        <v>633</v>
      </c>
      <c r="B645" s="2200" t="s">
        <v>2708</v>
      </c>
      <c r="C645" s="2743">
        <v>0</v>
      </c>
      <c r="D645" s="2743">
        <v>760</v>
      </c>
      <c r="E645" s="2949">
        <v>0</v>
      </c>
      <c r="F645" s="2200">
        <v>20</v>
      </c>
      <c r="G645" s="2200" t="s">
        <v>2038</v>
      </c>
      <c r="H645" s="2200" t="s">
        <v>1057</v>
      </c>
      <c r="I645" s="2742">
        <v>30</v>
      </c>
      <c r="J645" s="2742"/>
      <c r="K645" s="2752">
        <v>60</v>
      </c>
      <c r="L645" s="2745">
        <f t="shared" si="167"/>
        <v>760</v>
      </c>
      <c r="M645" s="2745">
        <f t="shared" si="170"/>
        <v>30</v>
      </c>
      <c r="N645" s="2745">
        <f t="shared" si="171"/>
        <v>20</v>
      </c>
      <c r="O645" s="1232">
        <f t="shared" si="172"/>
        <v>0</v>
      </c>
      <c r="P645" s="1227" t="str">
        <f t="shared" si="161"/>
        <v>170gsm ART PAPER HANSOL - GLOSS</v>
      </c>
      <c r="Q645" s="254">
        <v>0.14000000000000001</v>
      </c>
      <c r="R645" s="1228" t="str">
        <f t="shared" si="164"/>
        <v>170</v>
      </c>
      <c r="S645" s="2625">
        <f t="shared" si="168"/>
        <v>0</v>
      </c>
      <c r="T645" s="2747">
        <f>IF(L645&gt;0,IF(input!$B$2=$O$1,(((L645+Y645/22+(300000/$P$10/22))+(L645+Y645/22+(300000/$P$10/22))*$AG645+$X645)*$P$11+$M$7)/1000,(((L645+Y645/22+(300000/$P$10/22))+(L645+Y645/22+(300000/$P$10/22))*O645+(L645+Y645/22+(300000/$P$10/22))*$AG645+$X645)*$P$11+$M$7)/1000),0)</f>
        <v>19153.615154556977</v>
      </c>
      <c r="U645" s="2747">
        <f t="shared" si="163"/>
        <v>0</v>
      </c>
      <c r="V645" s="1229"/>
      <c r="W645" s="1231" t="str">
        <f t="shared" si="169"/>
        <v>CIF</v>
      </c>
      <c r="X645" s="1230">
        <f t="shared" si="166"/>
        <v>0</v>
      </c>
      <c r="Y645" s="2625">
        <f t="shared" si="173"/>
        <v>0</v>
      </c>
      <c r="Z645" s="3208">
        <f t="shared" si="165"/>
        <v>838.18181818181813</v>
      </c>
      <c r="AA645" s="1220" t="s">
        <v>2838</v>
      </c>
      <c r="AB645" s="1220" t="s">
        <v>1397</v>
      </c>
      <c r="AC645" s="251" t="str">
        <f t="shared" si="174"/>
        <v>170gsm ART PAPER HANSOL - GLOSS</v>
      </c>
      <c r="AD645" s="2746">
        <f>IF(L645&gt;0,IF(input!$B$2=$O$1,(((M645)+(M645)*$M$10)*$P$11)/1000,(((M645)+(M645)*O645+(M645)*$M$10)*$P$11)/1000),0)</f>
        <v>726.06239999999991</v>
      </c>
      <c r="AE645" s="2746">
        <f>IF(L645&gt;0,IF(input!$B$2=$O$1,(((N645)+(N645)*$M$10)*$P$11)/1000,(((N645)+(N645)*O645+(N645)*$M$10)*$P$11)/1000),0)</f>
        <v>484.04159999999996</v>
      </c>
      <c r="AF645" s="136" t="str">
        <f t="shared" si="175"/>
        <v>FSC</v>
      </c>
      <c r="AG645" s="2628">
        <f t="shared" si="176"/>
        <v>1.6E-2</v>
      </c>
      <c r="AH645" s="1266">
        <v>0.1</v>
      </c>
    </row>
    <row r="646" spans="1:34" ht="12.75">
      <c r="A646" s="2199">
        <f t="shared" si="162"/>
        <v>634</v>
      </c>
      <c r="B646" s="2200" t="s">
        <v>2709</v>
      </c>
      <c r="C646" s="2743">
        <v>20700</v>
      </c>
      <c r="D646" s="2743">
        <v>760</v>
      </c>
      <c r="E646" s="2949">
        <v>0</v>
      </c>
      <c r="F646" s="2200">
        <v>20</v>
      </c>
      <c r="G646" s="2200" t="s">
        <v>2038</v>
      </c>
      <c r="H646" s="2200" t="s">
        <v>1057</v>
      </c>
      <c r="I646" s="2742">
        <v>30</v>
      </c>
      <c r="J646" s="2742"/>
      <c r="K646" s="2752">
        <v>60</v>
      </c>
      <c r="L646" s="2745">
        <f t="shared" si="167"/>
        <v>760</v>
      </c>
      <c r="M646" s="2745">
        <f t="shared" si="170"/>
        <v>30</v>
      </c>
      <c r="N646" s="2745">
        <f t="shared" si="171"/>
        <v>20</v>
      </c>
      <c r="O646" s="1232">
        <f t="shared" si="172"/>
        <v>0</v>
      </c>
      <c r="P646" s="1227" t="str">
        <f t="shared" si="161"/>
        <v>180gsm ART PAPER HANSOL - GLOSS</v>
      </c>
      <c r="Q646" s="254">
        <v>0.14899999999999999</v>
      </c>
      <c r="R646" s="1228" t="str">
        <f t="shared" si="164"/>
        <v>180</v>
      </c>
      <c r="S646" s="2625">
        <f t="shared" si="168"/>
        <v>20700</v>
      </c>
      <c r="T646" s="2747">
        <f>IF(L646&gt;0,IF(input!$B$2=$O$1,(((L646+Y646/22+(300000/$P$10/22))+(L646+Y646/22+(300000/$P$10/22))*$AG646+$X646)*$P$11+$M$7)/1000,(((L646+Y646/22+(300000/$P$10/22))+(L646+Y646/22+(300000/$P$10/22))*O646+(L646+Y646/22+(300000/$P$10/22))*$AG646+$X646)*$P$11+$M$7)/1000),0)</f>
        <v>19153.615154556977</v>
      </c>
      <c r="U646" s="2747">
        <f t="shared" si="163"/>
        <v>20004.848484848484</v>
      </c>
      <c r="V646" s="1229"/>
      <c r="W646" s="1231" t="str">
        <f t="shared" si="169"/>
        <v>CIF</v>
      </c>
      <c r="X646" s="1230">
        <f t="shared" si="166"/>
        <v>0</v>
      </c>
      <c r="Y646" s="2625">
        <f t="shared" si="173"/>
        <v>0</v>
      </c>
      <c r="Z646" s="3208">
        <f t="shared" si="165"/>
        <v>838.18181818181813</v>
      </c>
      <c r="AA646" s="1220" t="s">
        <v>2838</v>
      </c>
      <c r="AB646" s="1220" t="s">
        <v>1397</v>
      </c>
      <c r="AC646" s="251" t="str">
        <f t="shared" si="174"/>
        <v>180gsm ART PAPER HANSOL - GLOSS</v>
      </c>
      <c r="AD646" s="2746">
        <f>IF(L646&gt;0,IF(input!$B$2=$O$1,(((M646)+(M646)*$M$10)*$P$11)/1000,(((M646)+(M646)*O646+(M646)*$M$10)*$P$11)/1000),0)</f>
        <v>726.06239999999991</v>
      </c>
      <c r="AE646" s="2746">
        <f>IF(L646&gt;0,IF(input!$B$2=$O$1,(((N646)+(N646)*$M$10)*$P$11)/1000,(((N646)+(N646)*O646+(N646)*$M$10)*$P$11)/1000),0)</f>
        <v>484.04159999999996</v>
      </c>
      <c r="AF646" s="136" t="str">
        <f t="shared" si="175"/>
        <v>FSC</v>
      </c>
      <c r="AG646" s="2628">
        <f t="shared" si="176"/>
        <v>1.6E-2</v>
      </c>
      <c r="AH646" s="1266">
        <v>0.1</v>
      </c>
    </row>
    <row r="647" spans="1:34" ht="12.75">
      <c r="A647" s="2199">
        <f t="shared" si="162"/>
        <v>635</v>
      </c>
      <c r="B647" s="2200" t="s">
        <v>2710</v>
      </c>
      <c r="C647" s="2743">
        <v>0</v>
      </c>
      <c r="D647" s="2743">
        <v>760</v>
      </c>
      <c r="E647" s="2949">
        <v>0</v>
      </c>
      <c r="F647" s="2200">
        <v>20</v>
      </c>
      <c r="G647" s="2200" t="s">
        <v>2038</v>
      </c>
      <c r="H647" s="2200" t="s">
        <v>1057</v>
      </c>
      <c r="I647" s="2742">
        <v>30</v>
      </c>
      <c r="J647" s="2742"/>
      <c r="K647" s="2752">
        <v>60</v>
      </c>
      <c r="L647" s="2745">
        <f t="shared" si="167"/>
        <v>760</v>
      </c>
      <c r="M647" s="2745">
        <f t="shared" si="170"/>
        <v>30</v>
      </c>
      <c r="N647" s="2745">
        <f t="shared" si="171"/>
        <v>20</v>
      </c>
      <c r="O647" s="1232">
        <f t="shared" si="172"/>
        <v>0</v>
      </c>
      <c r="P647" s="1227" t="str">
        <f t="shared" si="161"/>
        <v>200gsm ART PAPER HANSOL - GLOSS</v>
      </c>
      <c r="Q647" s="254">
        <v>0.18</v>
      </c>
      <c r="R647" s="1228" t="str">
        <f t="shared" si="164"/>
        <v>200</v>
      </c>
      <c r="S647" s="2625">
        <f t="shared" si="168"/>
        <v>0</v>
      </c>
      <c r="T647" s="2747">
        <f>IF(L647&gt;0,IF(input!$B$2=$O$1,(((L647+Y647/22+(300000/$P$10/22))+(L647+Y647/22+(300000/$P$10/22))*$AG647+$X647)*$P$11+$M$7)/1000,(((L647+Y647/22+(300000/$P$10/22))+(L647+Y647/22+(300000/$P$10/22))*O647+(L647+Y647/22+(300000/$P$10/22))*$AG647+$X647)*$P$11+$M$7)/1000),0)</f>
        <v>19153.615154556977</v>
      </c>
      <c r="U647" s="2747">
        <f t="shared" si="163"/>
        <v>0</v>
      </c>
      <c r="V647" s="1229"/>
      <c r="W647" s="1231" t="str">
        <f t="shared" si="169"/>
        <v>CIF</v>
      </c>
      <c r="X647" s="1230">
        <f t="shared" si="166"/>
        <v>0</v>
      </c>
      <c r="Y647" s="2625">
        <f t="shared" si="173"/>
        <v>0</v>
      </c>
      <c r="Z647" s="3208">
        <f t="shared" si="165"/>
        <v>838.18181818181813</v>
      </c>
      <c r="AA647" s="1220" t="s">
        <v>2838</v>
      </c>
      <c r="AB647" s="1220" t="s">
        <v>1397</v>
      </c>
      <c r="AC647" s="251" t="str">
        <f t="shared" si="174"/>
        <v>200gsm ART PAPER HANSOL - GLOSS</v>
      </c>
      <c r="AD647" s="2746">
        <f>IF(L647&gt;0,IF(input!$B$2=$O$1,(((M647)+(M647)*$M$10)*$P$11)/1000,(((M647)+(M647)*O647+(M647)*$M$10)*$P$11)/1000),0)</f>
        <v>726.06239999999991</v>
      </c>
      <c r="AE647" s="2746">
        <f>IF(L647&gt;0,IF(input!$B$2=$O$1,(((N647)+(N647)*$M$10)*$P$11)/1000,(((N647)+(N647)*O647+(N647)*$M$10)*$P$11)/1000),0)</f>
        <v>484.04159999999996</v>
      </c>
      <c r="AF647" s="136" t="str">
        <f t="shared" si="175"/>
        <v>FSC</v>
      </c>
      <c r="AG647" s="2628">
        <f t="shared" si="176"/>
        <v>1.6E-2</v>
      </c>
      <c r="AH647" s="1266">
        <v>0.1</v>
      </c>
    </row>
    <row r="648" spans="1:34" ht="12.75">
      <c r="A648" s="2199">
        <f t="shared" si="162"/>
        <v>636</v>
      </c>
      <c r="B648" s="2200" t="s">
        <v>2711</v>
      </c>
      <c r="C648" s="2743">
        <v>0</v>
      </c>
      <c r="D648" s="2743">
        <v>760</v>
      </c>
      <c r="E648" s="2949">
        <v>0</v>
      </c>
      <c r="F648" s="2200">
        <v>20</v>
      </c>
      <c r="G648" s="2200" t="s">
        <v>2038</v>
      </c>
      <c r="H648" s="2200" t="s">
        <v>1057</v>
      </c>
      <c r="I648" s="2742">
        <v>30</v>
      </c>
      <c r="J648" s="2742"/>
      <c r="K648" s="2752">
        <v>60</v>
      </c>
      <c r="L648" s="2745">
        <f t="shared" si="167"/>
        <v>760</v>
      </c>
      <c r="M648" s="2745">
        <f t="shared" si="170"/>
        <v>30</v>
      </c>
      <c r="N648" s="2745">
        <f t="shared" si="171"/>
        <v>20</v>
      </c>
      <c r="O648" s="1232">
        <f t="shared" si="172"/>
        <v>0</v>
      </c>
      <c r="P648" s="1227" t="str">
        <f t="shared" si="161"/>
        <v>218gsm ART PAPER HANSOL - GLOSS</v>
      </c>
      <c r="Q648" s="254">
        <v>0.19600000000000001</v>
      </c>
      <c r="R648" s="1228" t="str">
        <f t="shared" si="164"/>
        <v>218</v>
      </c>
      <c r="S648" s="2625">
        <f t="shared" si="168"/>
        <v>0</v>
      </c>
      <c r="T648" s="2747">
        <f>IF(L648&gt;0,IF(input!$B$2=$O$1,(((L648+Y648/22+(300000/$P$10/22))+(L648+Y648/22+(300000/$P$10/22))*$AG648+$X648)*$P$11+$M$7)/1000,(((L648+Y648/22+(300000/$P$10/22))+(L648+Y648/22+(300000/$P$10/22))*O648+(L648+Y648/22+(300000/$P$10/22))*$AG648+$X648)*$P$11+$M$7)/1000),0)</f>
        <v>19153.615154556977</v>
      </c>
      <c r="U648" s="2747">
        <f t="shared" si="163"/>
        <v>0</v>
      </c>
      <c r="V648" s="1229"/>
      <c r="W648" s="1231" t="str">
        <f t="shared" si="169"/>
        <v>CIF</v>
      </c>
      <c r="X648" s="1230">
        <f t="shared" si="166"/>
        <v>0</v>
      </c>
      <c r="Y648" s="2625">
        <f t="shared" si="173"/>
        <v>0</v>
      </c>
      <c r="Z648" s="3208">
        <f t="shared" si="165"/>
        <v>838.18181818181813</v>
      </c>
      <c r="AA648" s="1220" t="s">
        <v>2838</v>
      </c>
      <c r="AB648" s="1220" t="s">
        <v>1397</v>
      </c>
      <c r="AC648" s="251" t="str">
        <f t="shared" si="174"/>
        <v>218gsm ART PAPER HANSOL - GLOSS</v>
      </c>
      <c r="AD648" s="2746">
        <f>IF(L648&gt;0,IF(input!$B$2=$O$1,(((M648)+(M648)*$M$10)*$P$11)/1000,(((M648)+(M648)*O648+(M648)*$M$10)*$P$11)/1000),0)</f>
        <v>726.06239999999991</v>
      </c>
      <c r="AE648" s="2746">
        <f>IF(L648&gt;0,IF(input!$B$2=$O$1,(((N648)+(N648)*$M$10)*$P$11)/1000,(((N648)+(N648)*O648+(N648)*$M$10)*$P$11)/1000),0)</f>
        <v>484.04159999999996</v>
      </c>
      <c r="AF648" s="136" t="str">
        <f t="shared" si="175"/>
        <v>FSC</v>
      </c>
      <c r="AG648" s="2628">
        <f t="shared" si="176"/>
        <v>1.6E-2</v>
      </c>
      <c r="AH648" s="1266">
        <v>0.1</v>
      </c>
    </row>
    <row r="649" spans="1:34" ht="12.75">
      <c r="A649" s="2199">
        <f t="shared" si="162"/>
        <v>637</v>
      </c>
      <c r="B649" s="2200" t="s">
        <v>2712</v>
      </c>
      <c r="C649" s="2743">
        <v>0</v>
      </c>
      <c r="D649" s="2743">
        <v>760</v>
      </c>
      <c r="E649" s="2949">
        <v>0</v>
      </c>
      <c r="F649" s="2200">
        <v>20</v>
      </c>
      <c r="G649" s="2200" t="s">
        <v>2038</v>
      </c>
      <c r="H649" s="2200" t="s">
        <v>1057</v>
      </c>
      <c r="I649" s="2742">
        <v>30</v>
      </c>
      <c r="J649" s="2742"/>
      <c r="K649" s="2752">
        <v>60</v>
      </c>
      <c r="L649" s="2745">
        <f t="shared" si="167"/>
        <v>760</v>
      </c>
      <c r="M649" s="2745">
        <f t="shared" si="170"/>
        <v>30</v>
      </c>
      <c r="N649" s="2745">
        <f t="shared" si="171"/>
        <v>20</v>
      </c>
      <c r="O649" s="1232">
        <f t="shared" si="172"/>
        <v>0</v>
      </c>
      <c r="P649" s="1227" t="str">
        <f t="shared" si="161"/>
        <v>230gsm ART PAPER HANSOL - GLOSS</v>
      </c>
      <c r="Q649" s="254">
        <v>0.21099999999999999</v>
      </c>
      <c r="R649" s="1228" t="str">
        <f t="shared" si="164"/>
        <v>230</v>
      </c>
      <c r="S649" s="2625">
        <f t="shared" si="168"/>
        <v>0</v>
      </c>
      <c r="T649" s="2747">
        <f>IF(L649&gt;0,IF(input!$B$2=$O$1,(((L649+Y649/22+(300000/$P$10/22))+(L649+Y649/22+(300000/$P$10/22))*$AG649+$X649)*$P$11+$M$7)/1000,(((L649+Y649/22+(300000/$P$10/22))+(L649+Y649/22+(300000/$P$10/22))*O649+(L649+Y649/22+(300000/$P$10/22))*$AG649+$X649)*$P$11+$M$7)/1000),0)</f>
        <v>19153.615154556977</v>
      </c>
      <c r="U649" s="2747">
        <f t="shared" si="163"/>
        <v>0</v>
      </c>
      <c r="V649" s="1229"/>
      <c r="W649" s="1231" t="str">
        <f t="shared" si="169"/>
        <v>CIF</v>
      </c>
      <c r="X649" s="1230">
        <f t="shared" si="166"/>
        <v>0</v>
      </c>
      <c r="Y649" s="2625">
        <f t="shared" si="173"/>
        <v>0</v>
      </c>
      <c r="Z649" s="3208">
        <f t="shared" si="165"/>
        <v>838.18181818181813</v>
      </c>
      <c r="AA649" s="1220" t="s">
        <v>2838</v>
      </c>
      <c r="AB649" s="1220" t="s">
        <v>1397</v>
      </c>
      <c r="AC649" s="251" t="str">
        <f t="shared" si="174"/>
        <v>230gsm ART PAPER HANSOL - GLOSS</v>
      </c>
      <c r="AD649" s="2746">
        <f>IF(L649&gt;0,IF(input!$B$2=$O$1,(((M649)+(M649)*$M$10)*$P$11)/1000,(((M649)+(M649)*O649+(M649)*$M$10)*$P$11)/1000),0)</f>
        <v>726.06239999999991</v>
      </c>
      <c r="AE649" s="2746">
        <f>IF(L649&gt;0,IF(input!$B$2=$O$1,(((N649)+(N649)*$M$10)*$P$11)/1000,(((N649)+(N649)*O649+(N649)*$M$10)*$P$11)/1000),0)</f>
        <v>484.04159999999996</v>
      </c>
      <c r="AF649" s="136" t="str">
        <f t="shared" si="175"/>
        <v>FSC</v>
      </c>
      <c r="AG649" s="2628">
        <f t="shared" si="176"/>
        <v>1.6E-2</v>
      </c>
      <c r="AH649" s="1266">
        <v>0.1</v>
      </c>
    </row>
    <row r="650" spans="1:34" ht="12.75">
      <c r="A650" s="2199">
        <f t="shared" si="162"/>
        <v>638</v>
      </c>
      <c r="B650" s="2200" t="s">
        <v>2713</v>
      </c>
      <c r="C650" s="2743">
        <v>0</v>
      </c>
      <c r="D650" s="2743">
        <v>760</v>
      </c>
      <c r="E650" s="2949">
        <v>0</v>
      </c>
      <c r="F650" s="2200">
        <v>20</v>
      </c>
      <c r="G650" s="2200" t="s">
        <v>2038</v>
      </c>
      <c r="H650" s="2200" t="s">
        <v>1057</v>
      </c>
      <c r="I650" s="2742">
        <v>30</v>
      </c>
      <c r="J650" s="2742"/>
      <c r="K650" s="2752">
        <v>60</v>
      </c>
      <c r="L650" s="2745">
        <f t="shared" si="167"/>
        <v>760</v>
      </c>
      <c r="M650" s="2745">
        <f t="shared" si="170"/>
        <v>30</v>
      </c>
      <c r="N650" s="2745">
        <f t="shared" si="171"/>
        <v>20</v>
      </c>
      <c r="O650" s="1232">
        <f t="shared" si="172"/>
        <v>0</v>
      </c>
      <c r="P650" s="1227" t="str">
        <f t="shared" ref="P650:P714" si="177">R650&amp;"gsm "&amp;AB650&amp;" "&amp;AA650</f>
        <v>250gsm ART PAPER HANSOL - GLOSS</v>
      </c>
      <c r="Q650" s="254">
        <v>0.23100000000000001</v>
      </c>
      <c r="R650" s="1228" t="str">
        <f t="shared" si="164"/>
        <v>250</v>
      </c>
      <c r="S650" s="2625">
        <f t="shared" si="168"/>
        <v>0</v>
      </c>
      <c r="T650" s="2747">
        <f>IF(L650&gt;0,IF(input!$B$2=$O$1,(((L650+Y650/22+(300000/$P$10/22))+(L650+Y650/22+(300000/$P$10/22))*$AG650+$X650)*$P$11+$M$7)/1000,(((L650+Y650/22+(300000/$P$10/22))+(L650+Y650/22+(300000/$P$10/22))*O650+(L650+Y650/22+(300000/$P$10/22))*$AG650+$X650)*$P$11+$M$7)/1000),0)</f>
        <v>19153.615154556977</v>
      </c>
      <c r="U650" s="2747">
        <f t="shared" si="163"/>
        <v>0</v>
      </c>
      <c r="V650" s="1229"/>
      <c r="W650" s="1231" t="str">
        <f t="shared" si="169"/>
        <v>CIF</v>
      </c>
      <c r="X650" s="1230">
        <f t="shared" si="166"/>
        <v>0</v>
      </c>
      <c r="Y650" s="2625">
        <f t="shared" si="173"/>
        <v>0</v>
      </c>
      <c r="Z650" s="3208">
        <f t="shared" si="165"/>
        <v>838.18181818181813</v>
      </c>
      <c r="AA650" s="1220" t="s">
        <v>2838</v>
      </c>
      <c r="AB650" s="1220" t="s">
        <v>1397</v>
      </c>
      <c r="AC650" s="251" t="str">
        <f t="shared" si="174"/>
        <v>250gsm ART PAPER HANSOL - GLOSS</v>
      </c>
      <c r="AD650" s="2746">
        <f>IF(L650&gt;0,IF(input!$B$2=$O$1,(((M650)+(M650)*$M$10)*$P$11)/1000,(((M650)+(M650)*O650+(M650)*$M$10)*$P$11)/1000),0)</f>
        <v>726.06239999999991</v>
      </c>
      <c r="AE650" s="2746">
        <f>IF(L650&gt;0,IF(input!$B$2=$O$1,(((N650)+(N650)*$M$10)*$P$11)/1000,(((N650)+(N650)*O650+(N650)*$M$10)*$P$11)/1000),0)</f>
        <v>484.04159999999996</v>
      </c>
      <c r="AF650" s="136" t="str">
        <f t="shared" si="175"/>
        <v>FSC</v>
      </c>
      <c r="AG650" s="2628">
        <f t="shared" si="176"/>
        <v>1.6E-2</v>
      </c>
      <c r="AH650" s="1266">
        <v>0.1</v>
      </c>
    </row>
    <row r="651" spans="1:34" ht="12.75">
      <c r="A651" s="2199">
        <f t="shared" si="162"/>
        <v>639</v>
      </c>
      <c r="B651" s="2200" t="s">
        <v>2714</v>
      </c>
      <c r="C651" s="2743">
        <v>0</v>
      </c>
      <c r="D651" s="2743">
        <v>760</v>
      </c>
      <c r="E651" s="2949">
        <v>0</v>
      </c>
      <c r="F651" s="2200">
        <v>20</v>
      </c>
      <c r="G651" s="2200" t="s">
        <v>2038</v>
      </c>
      <c r="H651" s="2200" t="s">
        <v>1057</v>
      </c>
      <c r="I651" s="2742">
        <v>30</v>
      </c>
      <c r="J651" s="2742"/>
      <c r="K651" s="2752">
        <v>60</v>
      </c>
      <c r="L651" s="2745">
        <f t="shared" si="167"/>
        <v>760</v>
      </c>
      <c r="M651" s="2745">
        <f t="shared" si="170"/>
        <v>30</v>
      </c>
      <c r="N651" s="2745">
        <f t="shared" si="171"/>
        <v>20</v>
      </c>
      <c r="O651" s="1232">
        <f t="shared" si="172"/>
        <v>0</v>
      </c>
      <c r="P651" s="1227" t="str">
        <f t="shared" si="177"/>
        <v>270gsm ART PAPER HANSOL - GLOSS</v>
      </c>
      <c r="Q651" s="254">
        <v>0.251</v>
      </c>
      <c r="R651" s="1228" t="str">
        <f t="shared" si="164"/>
        <v>270</v>
      </c>
      <c r="S651" s="2625">
        <f t="shared" si="168"/>
        <v>0</v>
      </c>
      <c r="T651" s="2747">
        <f>IF(L651&gt;0,IF(input!$B$2=$O$1,(((L651+Y651/22+(300000/$P$10/22))+(L651+Y651/22+(300000/$P$10/22))*$AG651+$X651)*$P$11+$M$7)/1000,(((L651+Y651/22+(300000/$P$10/22))+(L651+Y651/22+(300000/$P$10/22))*O651+(L651+Y651/22+(300000/$P$10/22))*$AG651+$X651)*$P$11+$M$7)/1000),0)</f>
        <v>19153.615154556977</v>
      </c>
      <c r="U651" s="2747">
        <f t="shared" si="163"/>
        <v>0</v>
      </c>
      <c r="V651" s="1229"/>
      <c r="W651" s="1231" t="str">
        <f t="shared" si="169"/>
        <v>CIF</v>
      </c>
      <c r="X651" s="1230">
        <f t="shared" si="166"/>
        <v>0</v>
      </c>
      <c r="Y651" s="2625">
        <f t="shared" si="173"/>
        <v>0</v>
      </c>
      <c r="Z651" s="3208">
        <f t="shared" si="165"/>
        <v>838.18181818181813</v>
      </c>
      <c r="AA651" s="1220" t="s">
        <v>2838</v>
      </c>
      <c r="AB651" s="1220" t="s">
        <v>1397</v>
      </c>
      <c r="AC651" s="251" t="str">
        <f t="shared" si="174"/>
        <v>270gsm ART PAPER HANSOL - GLOSS</v>
      </c>
      <c r="AD651" s="2746">
        <f>IF(L651&gt;0,IF(input!$B$2=$O$1,(((M651)+(M651)*$M$10)*$P$11)/1000,(((M651)+(M651)*O651+(M651)*$M$10)*$P$11)/1000),0)</f>
        <v>726.06239999999991</v>
      </c>
      <c r="AE651" s="2746">
        <f>IF(L651&gt;0,IF(input!$B$2=$O$1,(((N651)+(N651)*$M$10)*$P$11)/1000,(((N651)+(N651)*O651+(N651)*$M$10)*$P$11)/1000),0)</f>
        <v>484.04159999999996</v>
      </c>
      <c r="AF651" s="136" t="str">
        <f t="shared" si="175"/>
        <v>FSC</v>
      </c>
      <c r="AG651" s="2628">
        <f t="shared" si="176"/>
        <v>1.6E-2</v>
      </c>
      <c r="AH651" s="1266">
        <v>0.1</v>
      </c>
    </row>
    <row r="652" spans="1:34" ht="12.75">
      <c r="A652" s="2199">
        <f t="shared" si="162"/>
        <v>640</v>
      </c>
      <c r="B652" s="2200" t="s">
        <v>2715</v>
      </c>
      <c r="C652" s="2743">
        <v>0</v>
      </c>
      <c r="D652" s="2743">
        <v>760</v>
      </c>
      <c r="E652" s="2949">
        <v>0</v>
      </c>
      <c r="F652" s="2200">
        <v>20</v>
      </c>
      <c r="G652" s="2200" t="s">
        <v>2038</v>
      </c>
      <c r="H652" s="2200" t="s">
        <v>1057</v>
      </c>
      <c r="I652" s="2742">
        <v>30</v>
      </c>
      <c r="J652" s="2742"/>
      <c r="K652" s="2752">
        <v>60</v>
      </c>
      <c r="L652" s="2745">
        <f t="shared" si="167"/>
        <v>760</v>
      </c>
      <c r="M652" s="2745">
        <f t="shared" si="170"/>
        <v>30</v>
      </c>
      <c r="N652" s="2745">
        <f t="shared" si="171"/>
        <v>20</v>
      </c>
      <c r="O652" s="1232">
        <f t="shared" si="172"/>
        <v>0</v>
      </c>
      <c r="P652" s="1227" t="str">
        <f t="shared" si="177"/>
        <v>300gsm ART PAPER HANSOL - GLOSS</v>
      </c>
      <c r="Q652" s="254">
        <v>0.28399999999999997</v>
      </c>
      <c r="R652" s="1228" t="str">
        <f t="shared" si="164"/>
        <v>300</v>
      </c>
      <c r="S652" s="2625">
        <f t="shared" si="168"/>
        <v>0</v>
      </c>
      <c r="T652" s="2747">
        <f>IF(L652&gt;0,IF(input!$B$2=$O$1,(((L652+Y652/22+(300000/$P$10/22))+(L652+Y652/22+(300000/$P$10/22))*$AG652+$X652)*$P$11+$M$7)/1000,(((L652+Y652/22+(300000/$P$10/22))+(L652+Y652/22+(300000/$P$10/22))*O652+(L652+Y652/22+(300000/$P$10/22))*$AG652+$X652)*$P$11+$M$7)/1000),0)</f>
        <v>19153.615154556977</v>
      </c>
      <c r="U652" s="2747">
        <f t="shared" si="163"/>
        <v>0</v>
      </c>
      <c r="V652" s="1229"/>
      <c r="W652" s="1231" t="str">
        <f t="shared" si="169"/>
        <v>CIF</v>
      </c>
      <c r="X652" s="1230">
        <f t="shared" si="166"/>
        <v>0</v>
      </c>
      <c r="Y652" s="2625">
        <f t="shared" si="173"/>
        <v>0</v>
      </c>
      <c r="Z652" s="3208">
        <f t="shared" si="165"/>
        <v>838.18181818181813</v>
      </c>
      <c r="AA652" s="1220" t="s">
        <v>2838</v>
      </c>
      <c r="AB652" s="1220" t="s">
        <v>1397</v>
      </c>
      <c r="AC652" s="251" t="str">
        <f t="shared" si="174"/>
        <v>300gsm ART PAPER HANSOL - GLOSS</v>
      </c>
      <c r="AD652" s="2746">
        <f>IF(L652&gt;0,IF(input!$B$2=$O$1,(((M652)+(M652)*$M$10)*$P$11)/1000,(((M652)+(M652)*O652+(M652)*$M$10)*$P$11)/1000),0)</f>
        <v>726.06239999999991</v>
      </c>
      <c r="AE652" s="2746">
        <f>IF(L652&gt;0,IF(input!$B$2=$O$1,(((N652)+(N652)*$M$10)*$P$11)/1000,(((N652)+(N652)*O652+(N652)*$M$10)*$P$11)/1000),0)</f>
        <v>484.04159999999996</v>
      </c>
      <c r="AF652" s="136" t="str">
        <f t="shared" si="175"/>
        <v>FSC</v>
      </c>
      <c r="AG652" s="2628">
        <f t="shared" si="176"/>
        <v>1.6E-2</v>
      </c>
      <c r="AH652" s="1266">
        <v>0.1</v>
      </c>
    </row>
    <row r="653" spans="1:34" ht="12.75">
      <c r="A653" s="2199">
        <f t="shared" si="162"/>
        <v>641</v>
      </c>
      <c r="B653" s="2200" t="s">
        <v>2716</v>
      </c>
      <c r="C653" s="2743">
        <v>0</v>
      </c>
      <c r="D653" s="2743">
        <v>760</v>
      </c>
      <c r="E653" s="2949">
        <v>0</v>
      </c>
      <c r="F653" s="2200">
        <v>20</v>
      </c>
      <c r="G653" s="2200" t="s">
        <v>2038</v>
      </c>
      <c r="H653" s="2200" t="s">
        <v>1057</v>
      </c>
      <c r="I653" s="2742">
        <v>30</v>
      </c>
      <c r="J653" s="2742"/>
      <c r="K653" s="2752">
        <v>60</v>
      </c>
      <c r="L653" s="2745">
        <f t="shared" si="167"/>
        <v>760</v>
      </c>
      <c r="M653" s="2745">
        <f t="shared" si="170"/>
        <v>30</v>
      </c>
      <c r="N653" s="2745">
        <f t="shared" si="171"/>
        <v>20</v>
      </c>
      <c r="O653" s="1232">
        <f t="shared" si="172"/>
        <v>0</v>
      </c>
      <c r="P653" s="1227" t="str">
        <f t="shared" si="177"/>
        <v>350gsm ART PAPER HANSOL - GLOSS</v>
      </c>
      <c r="Q653" s="254">
        <v>0.33100000000000002</v>
      </c>
      <c r="R653" s="1228" t="str">
        <f t="shared" si="164"/>
        <v>350</v>
      </c>
      <c r="S653" s="2625">
        <f t="shared" si="168"/>
        <v>0</v>
      </c>
      <c r="T653" s="2747">
        <f>IF(L653&gt;0,IF(input!$B$2=$O$1,(((L653+Y653/22+(300000/$P$10/22))+(L653+Y653/22+(300000/$P$10/22))*$AG653+$X653)*$P$11+$M$7)/1000,(((L653+Y653/22+(300000/$P$10/22))+(L653+Y653/22+(300000/$P$10/22))*O653+(L653+Y653/22+(300000/$P$10/22))*$AG653+$X653)*$P$11+$M$7)/1000),0)</f>
        <v>19153.615154556977</v>
      </c>
      <c r="U653" s="2747">
        <f t="shared" si="163"/>
        <v>0</v>
      </c>
      <c r="V653" s="1229"/>
      <c r="W653" s="1231" t="str">
        <f t="shared" si="169"/>
        <v>CIF</v>
      </c>
      <c r="X653" s="1230">
        <f t="shared" si="166"/>
        <v>0</v>
      </c>
      <c r="Y653" s="2625">
        <f t="shared" si="173"/>
        <v>0</v>
      </c>
      <c r="Z653" s="3208">
        <f t="shared" si="165"/>
        <v>838.18181818181813</v>
      </c>
      <c r="AA653" s="1220" t="s">
        <v>2838</v>
      </c>
      <c r="AB653" s="1220" t="s">
        <v>1397</v>
      </c>
      <c r="AC653" s="251" t="str">
        <f t="shared" si="174"/>
        <v>350gsm ART PAPER HANSOL - GLOSS</v>
      </c>
      <c r="AD653" s="2746">
        <f>IF(L653&gt;0,IF(input!$B$2=$O$1,(((M653)+(M653)*$M$10)*$P$11)/1000,(((M653)+(M653)*O653+(M653)*$M$10)*$P$11)/1000),0)</f>
        <v>726.06239999999991</v>
      </c>
      <c r="AE653" s="2746">
        <f>IF(L653&gt;0,IF(input!$B$2=$O$1,(((N653)+(N653)*$M$10)*$P$11)/1000,(((N653)+(N653)*O653+(N653)*$M$10)*$P$11)/1000),0)</f>
        <v>484.04159999999996</v>
      </c>
      <c r="AF653" s="136" t="str">
        <f t="shared" si="175"/>
        <v>FSC</v>
      </c>
      <c r="AG653" s="2628">
        <f t="shared" si="176"/>
        <v>1.6E-2</v>
      </c>
      <c r="AH653" s="1266">
        <v>0.1</v>
      </c>
    </row>
    <row r="654" spans="1:34" ht="12.75">
      <c r="A654" s="2199">
        <f t="shared" ref="A654:A717" si="178">ROW(A642)</f>
        <v>642</v>
      </c>
      <c r="B654" s="2200" t="s">
        <v>2717</v>
      </c>
      <c r="C654" s="2743">
        <v>0</v>
      </c>
      <c r="D654" s="2743">
        <v>0</v>
      </c>
      <c r="E654" s="2949">
        <v>0</v>
      </c>
      <c r="F654" s="2200">
        <v>20</v>
      </c>
      <c r="G654" s="2200" t="s">
        <v>127</v>
      </c>
      <c r="H654" s="2200" t="s">
        <v>1057</v>
      </c>
      <c r="I654" s="2742">
        <v>0</v>
      </c>
      <c r="J654" s="2742"/>
      <c r="K654" s="2752">
        <v>60</v>
      </c>
      <c r="L654" s="2745">
        <f t="shared" si="167"/>
        <v>0</v>
      </c>
      <c r="M654" s="2745">
        <f t="shared" si="170"/>
        <v>0</v>
      </c>
      <c r="N654" s="2745">
        <f t="shared" si="171"/>
        <v>20</v>
      </c>
      <c r="O654" s="1232">
        <f t="shared" si="172"/>
        <v>0</v>
      </c>
      <c r="P654" s="1227" t="str">
        <f t="shared" si="177"/>
        <v>080gsm ART PAPER CHENMING EAGLE - GLOSS</v>
      </c>
      <c r="Q654" s="254">
        <v>6.3E-2</v>
      </c>
      <c r="R654" s="1228" t="str">
        <f t="shared" si="164"/>
        <v>080</v>
      </c>
      <c r="S654" s="2625">
        <f t="shared" si="168"/>
        <v>0</v>
      </c>
      <c r="T654" s="2747">
        <f>IF(L654&gt;0,IF(input!$B$2=$O$1,(((L654+Y654/22)+(L654+Y654/22)*$AG654+$X654)*$P$11+$M$7)/1000,(((L654+Y654/22)+(L654+Y654/22)*O654+(L654+Y654/22)*$AG654+$X654)*$P$11+$M$7)/1000),0)</f>
        <v>0</v>
      </c>
      <c r="U654" s="2747">
        <f t="shared" ref="U654:U717" si="179">IF(S654&gt;0,(S654/1.08)+Z654,0)</f>
        <v>0</v>
      </c>
      <c r="V654" s="1229"/>
      <c r="W654" s="1231" t="str">
        <f t="shared" si="169"/>
        <v>CIF</v>
      </c>
      <c r="X654" s="1230">
        <f t="shared" si="166"/>
        <v>0</v>
      </c>
      <c r="Y654" s="2625">
        <f t="shared" si="173"/>
        <v>0</v>
      </c>
      <c r="Z654" s="3208">
        <f t="shared" si="165"/>
        <v>838.18181818181813</v>
      </c>
      <c r="AA654" s="1220" t="s">
        <v>2839</v>
      </c>
      <c r="AB654" s="1220" t="s">
        <v>1397</v>
      </c>
      <c r="AC654" s="251" t="str">
        <f t="shared" si="174"/>
        <v>080gsm ART PAPER CHENMING EAGLE - GLOSS</v>
      </c>
      <c r="AD654" s="2746">
        <f>IF(L654&gt;0,IF(input!$B$2=$O$1,(((M654)+(M654)*$M$10)*$P$11)/1000,(((M654)+(M654)*O654+(M654)*$M$10)*$P$11)/1000),0)</f>
        <v>0</v>
      </c>
      <c r="AE654" s="2746">
        <f>IF(L654&gt;0,IF(input!$B$2=$O$1,(((N654)+(N654)*$M$10)*$P$11)/1000,(((N654)+(N654)*O654+(N654)*$M$10)*$P$11)/1000),0)</f>
        <v>0</v>
      </c>
      <c r="AF654" s="136" t="str">
        <f t="shared" si="175"/>
        <v>None</v>
      </c>
      <c r="AG654" s="2628">
        <f t="shared" si="176"/>
        <v>1.6E-2</v>
      </c>
      <c r="AH654" s="1266">
        <v>0.1</v>
      </c>
    </row>
    <row r="655" spans="1:34" ht="12.75">
      <c r="A655" s="2199">
        <f t="shared" si="178"/>
        <v>643</v>
      </c>
      <c r="B655" s="2200" t="s">
        <v>2718</v>
      </c>
      <c r="C655" s="2743">
        <v>0</v>
      </c>
      <c r="D655" s="2743">
        <v>0</v>
      </c>
      <c r="E655" s="2949">
        <v>0</v>
      </c>
      <c r="F655" s="2200">
        <v>20</v>
      </c>
      <c r="G655" s="2200" t="s">
        <v>127</v>
      </c>
      <c r="H655" s="2200" t="s">
        <v>1057</v>
      </c>
      <c r="I655" s="2742">
        <v>0</v>
      </c>
      <c r="J655" s="2742"/>
      <c r="K655" s="2752">
        <v>60</v>
      </c>
      <c r="L655" s="2745">
        <f t="shared" si="167"/>
        <v>0</v>
      </c>
      <c r="M655" s="2745">
        <f t="shared" si="170"/>
        <v>0</v>
      </c>
      <c r="N655" s="2745">
        <f t="shared" si="171"/>
        <v>20</v>
      </c>
      <c r="O655" s="1232">
        <f t="shared" si="172"/>
        <v>0</v>
      </c>
      <c r="P655" s="1227" t="str">
        <f t="shared" si="177"/>
        <v>090gsm ART PAPER CHENMING EAGLE - GLOSS</v>
      </c>
      <c r="Q655" s="254">
        <v>7.2999999999999995E-2</v>
      </c>
      <c r="R655" s="1228" t="str">
        <f t="shared" ref="R655:R718" si="180">LEFT(AC655,3)</f>
        <v>090</v>
      </c>
      <c r="S655" s="2625">
        <f t="shared" si="168"/>
        <v>0</v>
      </c>
      <c r="T655" s="2747">
        <f>IF(L655&gt;0,IF(input!$B$2=$O$1,(((L655+Y655/22)+(L655+Y655/22)*$AG655+$X655)*$P$11+$M$7)/1000,(((L655+Y655/22)+(L655+Y655/22)*O655+(L655+Y655/22)*$AG655+$X655)*$P$11+$M$7)/1000),0)</f>
        <v>0</v>
      </c>
      <c r="U655" s="2747">
        <f t="shared" si="179"/>
        <v>0</v>
      </c>
      <c r="V655" s="1229"/>
      <c r="W655" s="1231" t="str">
        <f t="shared" si="169"/>
        <v>CIF</v>
      </c>
      <c r="X655" s="1230">
        <f t="shared" si="166"/>
        <v>0</v>
      </c>
      <c r="Y655" s="2625">
        <f t="shared" si="173"/>
        <v>0</v>
      </c>
      <c r="Z655" s="3208">
        <f t="shared" ref="Z655:Z718" si="181">922000/1.1/1000</f>
        <v>838.18181818181813</v>
      </c>
      <c r="AA655" s="1220" t="s">
        <v>2839</v>
      </c>
      <c r="AB655" s="1220" t="s">
        <v>1397</v>
      </c>
      <c r="AC655" s="251" t="str">
        <f t="shared" si="174"/>
        <v>090gsm ART PAPER CHENMING EAGLE - GLOSS</v>
      </c>
      <c r="AD655" s="2746">
        <f>IF(L655&gt;0,IF(input!$B$2=$O$1,(((M655)+(M655)*$M$10)*$P$11)/1000,(((M655)+(M655)*O655+(M655)*$M$10)*$P$11)/1000),0)</f>
        <v>0</v>
      </c>
      <c r="AE655" s="2746">
        <f>IF(L655&gt;0,IF(input!$B$2=$O$1,(((N655)+(N655)*$M$10)*$P$11)/1000,(((N655)+(N655)*O655+(N655)*$M$10)*$P$11)/1000),0)</f>
        <v>0</v>
      </c>
      <c r="AF655" s="136" t="str">
        <f t="shared" si="175"/>
        <v>None</v>
      </c>
      <c r="AG655" s="2628">
        <f t="shared" si="176"/>
        <v>1.6E-2</v>
      </c>
      <c r="AH655" s="1266">
        <v>0.1</v>
      </c>
    </row>
    <row r="656" spans="1:34" ht="12.75">
      <c r="A656" s="2199">
        <f t="shared" si="178"/>
        <v>644</v>
      </c>
      <c r="B656" s="2200" t="s">
        <v>2719</v>
      </c>
      <c r="C656" s="2743">
        <v>0</v>
      </c>
      <c r="D656" s="2743">
        <v>0</v>
      </c>
      <c r="E656" s="2949">
        <v>0</v>
      </c>
      <c r="F656" s="2200">
        <v>20</v>
      </c>
      <c r="G656" s="2200" t="s">
        <v>127</v>
      </c>
      <c r="H656" s="2200" t="s">
        <v>1057</v>
      </c>
      <c r="I656" s="2742">
        <v>0</v>
      </c>
      <c r="J656" s="2742"/>
      <c r="K656" s="2752">
        <v>60</v>
      </c>
      <c r="L656" s="2745">
        <f t="shared" si="167"/>
        <v>0</v>
      </c>
      <c r="M656" s="2745">
        <f t="shared" si="170"/>
        <v>0</v>
      </c>
      <c r="N656" s="2745">
        <f t="shared" si="171"/>
        <v>20</v>
      </c>
      <c r="O656" s="1232">
        <f t="shared" si="172"/>
        <v>0</v>
      </c>
      <c r="P656" s="1227" t="str">
        <f t="shared" si="177"/>
        <v>100gsm ART PAPER CHENMING EAGLE - GLOSS</v>
      </c>
      <c r="Q656" s="254">
        <v>0.08</v>
      </c>
      <c r="R656" s="1228" t="str">
        <f t="shared" si="180"/>
        <v>100</v>
      </c>
      <c r="S656" s="2625">
        <f t="shared" si="168"/>
        <v>0</v>
      </c>
      <c r="T656" s="2747">
        <f>IF(L656&gt;0,IF(input!$B$2=$O$1,(((L656+Y656/22)+(L656+Y656/22)*$AG656+$X656)*$P$11+$M$7)/1000,(((L656+Y656/22)+(L656+Y656/22)*O656+(L656+Y656/22)*$AG656+$X656)*$P$11+$M$7)/1000),0)</f>
        <v>0</v>
      </c>
      <c r="U656" s="2747">
        <f t="shared" si="179"/>
        <v>0</v>
      </c>
      <c r="V656" s="1229"/>
      <c r="W656" s="1231" t="str">
        <f t="shared" si="169"/>
        <v>CIF</v>
      </c>
      <c r="X656" s="1230">
        <f t="shared" ref="X656:X719" si="182">IF(L656&gt;0,IF(OR(W656="CFR",W656="CRF",W656="CNF",W656="CPT"),1.1*$M$8*(L656+N656),IF(W656="FOB",1.1*$M$8*(L656+N656+Y656/22),0)),0)</f>
        <v>0</v>
      </c>
      <c r="Y656" s="2625">
        <f t="shared" si="173"/>
        <v>0</v>
      </c>
      <c r="Z656" s="3208">
        <f t="shared" si="181"/>
        <v>838.18181818181813</v>
      </c>
      <c r="AA656" s="1220" t="s">
        <v>2839</v>
      </c>
      <c r="AB656" s="1220" t="s">
        <v>1397</v>
      </c>
      <c r="AC656" s="251" t="str">
        <f t="shared" si="174"/>
        <v>100gsm ART PAPER CHENMING EAGLE - GLOSS</v>
      </c>
      <c r="AD656" s="2746">
        <f>IF(L656&gt;0,IF(input!$B$2=$O$1,(((M656)+(M656)*$M$10)*$P$11)/1000,(((M656)+(M656)*O656+(M656)*$M$10)*$P$11)/1000),0)</f>
        <v>0</v>
      </c>
      <c r="AE656" s="2746">
        <f>IF(L656&gt;0,IF(input!$B$2=$O$1,(((N656)+(N656)*$M$10)*$P$11)/1000,(((N656)+(N656)*O656+(N656)*$M$10)*$P$11)/1000),0)</f>
        <v>0</v>
      </c>
      <c r="AF656" s="136" t="str">
        <f t="shared" si="175"/>
        <v>None</v>
      </c>
      <c r="AG656" s="2628">
        <f t="shared" si="176"/>
        <v>1.6E-2</v>
      </c>
      <c r="AH656" s="1266">
        <v>0.1</v>
      </c>
    </row>
    <row r="657" spans="1:34" ht="12.75">
      <c r="A657" s="2199">
        <f t="shared" si="178"/>
        <v>645</v>
      </c>
      <c r="B657" s="2200" t="s">
        <v>2720</v>
      </c>
      <c r="C657" s="2743">
        <v>0</v>
      </c>
      <c r="D657" s="2743">
        <v>0</v>
      </c>
      <c r="E657" s="2949">
        <v>0</v>
      </c>
      <c r="F657" s="2200">
        <v>20</v>
      </c>
      <c r="G657" s="2200" t="s">
        <v>127</v>
      </c>
      <c r="H657" s="2200" t="s">
        <v>1057</v>
      </c>
      <c r="I657" s="2742">
        <v>0</v>
      </c>
      <c r="J657" s="2742"/>
      <c r="K657" s="2752">
        <v>60</v>
      </c>
      <c r="L657" s="2745">
        <f t="shared" si="167"/>
        <v>0</v>
      </c>
      <c r="M657" s="2745">
        <f t="shared" si="170"/>
        <v>0</v>
      </c>
      <c r="N657" s="2745">
        <f t="shared" si="171"/>
        <v>20</v>
      </c>
      <c r="O657" s="1232">
        <f t="shared" si="172"/>
        <v>0</v>
      </c>
      <c r="P657" s="1227" t="str">
        <f t="shared" si="177"/>
        <v>105gsm ART PAPER CHENMING EAGLE - GLOSS</v>
      </c>
      <c r="Q657" s="254">
        <v>8.4000000000000005E-2</v>
      </c>
      <c r="R657" s="1228" t="str">
        <f t="shared" si="180"/>
        <v>105</v>
      </c>
      <c r="S657" s="2625">
        <f t="shared" si="168"/>
        <v>0</v>
      </c>
      <c r="T657" s="2747">
        <f>IF(L657&gt;0,IF(input!$B$2=$O$1,(((L657+Y657/22)+(L657+Y657/22)*$AG657+$X657)*$P$11+$M$7)/1000,(((L657+Y657/22)+(L657+Y657/22)*O657+(L657+Y657/22)*$AG657+$X657)*$P$11+$M$7)/1000),0)</f>
        <v>0</v>
      </c>
      <c r="U657" s="2747">
        <f t="shared" si="179"/>
        <v>0</v>
      </c>
      <c r="V657" s="1229"/>
      <c r="W657" s="1231" t="str">
        <f t="shared" si="169"/>
        <v>CIF</v>
      </c>
      <c r="X657" s="1230">
        <f t="shared" si="182"/>
        <v>0</v>
      </c>
      <c r="Y657" s="2625">
        <f t="shared" si="173"/>
        <v>0</v>
      </c>
      <c r="Z657" s="3208">
        <f t="shared" si="181"/>
        <v>838.18181818181813</v>
      </c>
      <c r="AA657" s="1220" t="s">
        <v>2839</v>
      </c>
      <c r="AB657" s="1220" t="s">
        <v>1397</v>
      </c>
      <c r="AC657" s="251" t="str">
        <f t="shared" si="174"/>
        <v>105gsm ART PAPER CHENMING EAGLE - GLOSS</v>
      </c>
      <c r="AD657" s="2746">
        <f>IF(L657&gt;0,IF(input!$B$2=$O$1,(((M657)+(M657)*$M$10)*$P$11)/1000,(((M657)+(M657)*O657+(M657)*$M$10)*$P$11)/1000),0)</f>
        <v>0</v>
      </c>
      <c r="AE657" s="2746">
        <f>IF(L657&gt;0,IF(input!$B$2=$O$1,(((N657)+(N657)*$M$10)*$P$11)/1000,(((N657)+(N657)*O657+(N657)*$M$10)*$P$11)/1000),0)</f>
        <v>0</v>
      </c>
      <c r="AF657" s="136" t="str">
        <f t="shared" si="175"/>
        <v>None</v>
      </c>
      <c r="AG657" s="2628">
        <f t="shared" si="176"/>
        <v>1.6E-2</v>
      </c>
      <c r="AH657" s="1266">
        <v>0.1</v>
      </c>
    </row>
    <row r="658" spans="1:34" ht="12.75">
      <c r="A658" s="2199">
        <f t="shared" si="178"/>
        <v>646</v>
      </c>
      <c r="B658" s="2200" t="s">
        <v>2721</v>
      </c>
      <c r="C658" s="2743">
        <v>0</v>
      </c>
      <c r="D658" s="2743">
        <v>0</v>
      </c>
      <c r="E658" s="2949">
        <v>0</v>
      </c>
      <c r="F658" s="2200">
        <v>20</v>
      </c>
      <c r="G658" s="2200" t="s">
        <v>127</v>
      </c>
      <c r="H658" s="2200" t="s">
        <v>1057</v>
      </c>
      <c r="I658" s="2742">
        <v>0</v>
      </c>
      <c r="J658" s="2742"/>
      <c r="K658" s="2752">
        <v>60</v>
      </c>
      <c r="L658" s="2745">
        <f t="shared" si="167"/>
        <v>0</v>
      </c>
      <c r="M658" s="2745">
        <f t="shared" si="170"/>
        <v>0</v>
      </c>
      <c r="N658" s="2745">
        <f t="shared" si="171"/>
        <v>20</v>
      </c>
      <c r="O658" s="1232">
        <f t="shared" si="172"/>
        <v>0</v>
      </c>
      <c r="P658" s="1227" t="str">
        <f t="shared" si="177"/>
        <v>115gsm ART PAPER CHENMING EAGLE - GLOSS</v>
      </c>
      <c r="Q658" s="254">
        <v>9.0999999999999998E-2</v>
      </c>
      <c r="R658" s="1228" t="str">
        <f t="shared" si="180"/>
        <v>115</v>
      </c>
      <c r="S658" s="2625">
        <f t="shared" si="168"/>
        <v>0</v>
      </c>
      <c r="T658" s="2747">
        <f>IF(L658&gt;0,IF(input!$B$2=$O$1,(((L658+Y658/22)+(L658+Y658/22)*$AG658+$X658)*$P$11+$M$7)/1000,(((L658+Y658/22)+(L658+Y658/22)*O658+(L658+Y658/22)*$AG658+$X658)*$P$11+$M$7)/1000),0)</f>
        <v>0</v>
      </c>
      <c r="U658" s="2747">
        <f t="shared" si="179"/>
        <v>0</v>
      </c>
      <c r="V658" s="1229"/>
      <c r="W658" s="1231" t="str">
        <f t="shared" si="169"/>
        <v>CIF</v>
      </c>
      <c r="X658" s="1230">
        <f t="shared" si="182"/>
        <v>0</v>
      </c>
      <c r="Y658" s="2625">
        <f t="shared" si="173"/>
        <v>0</v>
      </c>
      <c r="Z658" s="3208">
        <f t="shared" si="181"/>
        <v>838.18181818181813</v>
      </c>
      <c r="AA658" s="1220" t="s">
        <v>2839</v>
      </c>
      <c r="AB658" s="1220" t="s">
        <v>1397</v>
      </c>
      <c r="AC658" s="251" t="str">
        <f t="shared" si="174"/>
        <v>115gsm ART PAPER CHENMING EAGLE - GLOSS</v>
      </c>
      <c r="AD658" s="2746">
        <f>IF(L658&gt;0,IF(input!$B$2=$O$1,(((M658)+(M658)*$M$10)*$P$11)/1000,(((M658)+(M658)*O658+(M658)*$M$10)*$P$11)/1000),0)</f>
        <v>0</v>
      </c>
      <c r="AE658" s="2746">
        <f>IF(L658&gt;0,IF(input!$B$2=$O$1,(((N658)+(N658)*$M$10)*$P$11)/1000,(((N658)+(N658)*O658+(N658)*$M$10)*$P$11)/1000),0)</f>
        <v>0</v>
      </c>
      <c r="AF658" s="136" t="str">
        <f t="shared" si="175"/>
        <v>None</v>
      </c>
      <c r="AG658" s="2628">
        <f t="shared" si="176"/>
        <v>1.6E-2</v>
      </c>
      <c r="AH658" s="1266">
        <v>0.1</v>
      </c>
    </row>
    <row r="659" spans="1:34" ht="12.75">
      <c r="A659" s="2199">
        <f t="shared" si="178"/>
        <v>647</v>
      </c>
      <c r="B659" s="2200" t="s">
        <v>2722</v>
      </c>
      <c r="C659" s="2743">
        <v>0</v>
      </c>
      <c r="D659" s="2743">
        <v>0</v>
      </c>
      <c r="E659" s="2949">
        <v>0</v>
      </c>
      <c r="F659" s="2200">
        <v>20</v>
      </c>
      <c r="G659" s="2200" t="s">
        <v>127</v>
      </c>
      <c r="H659" s="2200" t="s">
        <v>1057</v>
      </c>
      <c r="I659" s="2742">
        <v>0</v>
      </c>
      <c r="J659" s="2742"/>
      <c r="K659" s="2752">
        <v>60</v>
      </c>
      <c r="L659" s="2745">
        <f t="shared" si="167"/>
        <v>0</v>
      </c>
      <c r="M659" s="2745">
        <f t="shared" si="170"/>
        <v>0</v>
      </c>
      <c r="N659" s="2745">
        <f t="shared" si="171"/>
        <v>20</v>
      </c>
      <c r="O659" s="1232">
        <f t="shared" si="172"/>
        <v>0</v>
      </c>
      <c r="P659" s="1227" t="str">
        <f t="shared" si="177"/>
        <v>120gsm ART PAPER CHENMING EAGLE - GLOSS</v>
      </c>
      <c r="Q659" s="254">
        <v>9.5000000000000001E-2</v>
      </c>
      <c r="R659" s="1228" t="str">
        <f t="shared" si="180"/>
        <v>120</v>
      </c>
      <c r="S659" s="2625">
        <f t="shared" si="168"/>
        <v>0</v>
      </c>
      <c r="T659" s="2747">
        <f>IF(L659&gt;0,IF(input!$B$2=$O$1,(((L659+Y659/22)+(L659+Y659/22)*$AG659+$X659)*$P$11+$M$7)/1000,(((L659+Y659/22)+(L659+Y659/22)*O659+(L659+Y659/22)*$AG659+$X659)*$P$11+$M$7)/1000),0)</f>
        <v>0</v>
      </c>
      <c r="U659" s="2747">
        <f t="shared" si="179"/>
        <v>0</v>
      </c>
      <c r="V659" s="1229"/>
      <c r="W659" s="1231" t="str">
        <f t="shared" si="169"/>
        <v>CIF</v>
      </c>
      <c r="X659" s="1230">
        <f t="shared" si="182"/>
        <v>0</v>
      </c>
      <c r="Y659" s="2625">
        <f t="shared" si="173"/>
        <v>0</v>
      </c>
      <c r="Z659" s="3208">
        <f t="shared" si="181"/>
        <v>838.18181818181813</v>
      </c>
      <c r="AA659" s="1220" t="s">
        <v>2839</v>
      </c>
      <c r="AB659" s="1220" t="s">
        <v>1397</v>
      </c>
      <c r="AC659" s="251" t="str">
        <f t="shared" si="174"/>
        <v>120gsm ART PAPER CHENMING EAGLE - GLOSS</v>
      </c>
      <c r="AD659" s="2746">
        <f>IF(L659&gt;0,IF(input!$B$2=$O$1,(((M659)+(M659)*$M$10)*$P$11)/1000,(((M659)+(M659)*O659+(M659)*$M$10)*$P$11)/1000),0)</f>
        <v>0</v>
      </c>
      <c r="AE659" s="2746">
        <f>IF(L659&gt;0,IF(input!$B$2=$O$1,(((N659)+(N659)*$M$10)*$P$11)/1000,(((N659)+(N659)*O659+(N659)*$M$10)*$P$11)/1000),0)</f>
        <v>0</v>
      </c>
      <c r="AF659" s="136" t="str">
        <f t="shared" si="175"/>
        <v>None</v>
      </c>
      <c r="AG659" s="2628">
        <f t="shared" si="176"/>
        <v>1.6E-2</v>
      </c>
      <c r="AH659" s="1266">
        <v>0.1</v>
      </c>
    </row>
    <row r="660" spans="1:34" ht="12.75">
      <c r="A660" s="2199">
        <f t="shared" si="178"/>
        <v>648</v>
      </c>
      <c r="B660" s="2200" t="s">
        <v>2723</v>
      </c>
      <c r="C660" s="2743">
        <v>0</v>
      </c>
      <c r="D660" s="2743">
        <v>0</v>
      </c>
      <c r="E660" s="2949">
        <v>0</v>
      </c>
      <c r="F660" s="2200">
        <v>20</v>
      </c>
      <c r="G660" s="2200" t="s">
        <v>127</v>
      </c>
      <c r="H660" s="2200" t="s">
        <v>1057</v>
      </c>
      <c r="I660" s="2742">
        <v>0</v>
      </c>
      <c r="J660" s="2742"/>
      <c r="K660" s="2752">
        <v>60</v>
      </c>
      <c r="L660" s="2745">
        <f t="shared" si="167"/>
        <v>0</v>
      </c>
      <c r="M660" s="2745">
        <f t="shared" si="170"/>
        <v>0</v>
      </c>
      <c r="N660" s="2745">
        <f t="shared" si="171"/>
        <v>20</v>
      </c>
      <c r="O660" s="1232">
        <f t="shared" si="172"/>
        <v>0</v>
      </c>
      <c r="P660" s="1227" t="str">
        <f t="shared" si="177"/>
        <v>128gsm ART PAPER CHENMING EAGLE - GLOSS</v>
      </c>
      <c r="Q660" s="254">
        <v>0.104</v>
      </c>
      <c r="R660" s="1228" t="str">
        <f t="shared" si="180"/>
        <v>128</v>
      </c>
      <c r="S660" s="2625">
        <f t="shared" si="168"/>
        <v>0</v>
      </c>
      <c r="T660" s="2747">
        <f>IF(L660&gt;0,IF(input!$B$2=$O$1,(((L660+Y660/22)+(L660+Y660/22)*$AG660+$X660)*$P$11+$M$7)/1000,(((L660+Y660/22)+(L660+Y660/22)*O660+(L660+Y660/22)*$AG660+$X660)*$P$11+$M$7)/1000),0)</f>
        <v>0</v>
      </c>
      <c r="U660" s="2747">
        <f t="shared" si="179"/>
        <v>0</v>
      </c>
      <c r="V660" s="1229"/>
      <c r="W660" s="1231" t="str">
        <f t="shared" si="169"/>
        <v>CIF</v>
      </c>
      <c r="X660" s="1230">
        <f t="shared" si="182"/>
        <v>0</v>
      </c>
      <c r="Y660" s="2625">
        <f t="shared" si="173"/>
        <v>0</v>
      </c>
      <c r="Z660" s="3208">
        <f t="shared" si="181"/>
        <v>838.18181818181813</v>
      </c>
      <c r="AA660" s="1220" t="s">
        <v>2839</v>
      </c>
      <c r="AB660" s="1220" t="s">
        <v>1397</v>
      </c>
      <c r="AC660" s="251" t="str">
        <f t="shared" si="174"/>
        <v>128gsm ART PAPER CHENMING EAGLE - GLOSS</v>
      </c>
      <c r="AD660" s="2746">
        <f>IF(L660&gt;0,IF(input!$B$2=$O$1,(((M660)+(M660)*$M$10)*$P$11)/1000,(((M660)+(M660)*O660+(M660)*$M$10)*$P$11)/1000),0)</f>
        <v>0</v>
      </c>
      <c r="AE660" s="2746">
        <f>IF(L660&gt;0,IF(input!$B$2=$O$1,(((N660)+(N660)*$M$10)*$P$11)/1000,(((N660)+(N660)*O660+(N660)*$M$10)*$P$11)/1000),0)</f>
        <v>0</v>
      </c>
      <c r="AF660" s="136" t="str">
        <f t="shared" si="175"/>
        <v>None</v>
      </c>
      <c r="AG660" s="2628">
        <f t="shared" si="176"/>
        <v>1.6E-2</v>
      </c>
      <c r="AH660" s="1266">
        <v>0.1</v>
      </c>
    </row>
    <row r="661" spans="1:34" ht="12.75">
      <c r="A661" s="2199">
        <f t="shared" si="178"/>
        <v>649</v>
      </c>
      <c r="B661" s="2200" t="s">
        <v>2724</v>
      </c>
      <c r="C661" s="2743">
        <v>0</v>
      </c>
      <c r="D661" s="2743">
        <v>0</v>
      </c>
      <c r="E661" s="2949">
        <v>0</v>
      </c>
      <c r="F661" s="2200">
        <v>20</v>
      </c>
      <c r="G661" s="2200" t="s">
        <v>127</v>
      </c>
      <c r="H661" s="2200" t="s">
        <v>1057</v>
      </c>
      <c r="I661" s="2742">
        <v>0</v>
      </c>
      <c r="J661" s="2742"/>
      <c r="K661" s="2752">
        <v>60</v>
      </c>
      <c r="L661" s="2745">
        <f t="shared" si="167"/>
        <v>0</v>
      </c>
      <c r="M661" s="2745">
        <f t="shared" si="170"/>
        <v>0</v>
      </c>
      <c r="N661" s="2745">
        <f t="shared" si="171"/>
        <v>20</v>
      </c>
      <c r="O661" s="1232">
        <f t="shared" si="172"/>
        <v>0</v>
      </c>
      <c r="P661" s="1227" t="str">
        <f t="shared" si="177"/>
        <v>140gsm ART PAPER CHENMING EAGLE - GLOSS</v>
      </c>
      <c r="Q661" s="254">
        <v>0.12</v>
      </c>
      <c r="R661" s="1228" t="str">
        <f t="shared" si="180"/>
        <v>140</v>
      </c>
      <c r="S661" s="2625">
        <f t="shared" si="168"/>
        <v>0</v>
      </c>
      <c r="T661" s="2747">
        <f>IF(L661&gt;0,IF(input!$B$2=$O$1,(((L661+Y661/22)+(L661+Y661/22)*$AG661+$X661)*$P$11+$M$7)/1000,(((L661+Y661/22)+(L661+Y661/22)*O661+(L661+Y661/22)*$AG661+$X661)*$P$11+$M$7)/1000),0)</f>
        <v>0</v>
      </c>
      <c r="U661" s="2747">
        <f t="shared" si="179"/>
        <v>0</v>
      </c>
      <c r="V661" s="1229"/>
      <c r="W661" s="1231" t="str">
        <f t="shared" si="169"/>
        <v>CIF</v>
      </c>
      <c r="X661" s="1230">
        <f t="shared" si="182"/>
        <v>0</v>
      </c>
      <c r="Y661" s="2625">
        <f t="shared" si="173"/>
        <v>0</v>
      </c>
      <c r="Z661" s="3208">
        <f t="shared" si="181"/>
        <v>838.18181818181813</v>
      </c>
      <c r="AA661" s="1220" t="s">
        <v>2839</v>
      </c>
      <c r="AB661" s="1220" t="s">
        <v>1397</v>
      </c>
      <c r="AC661" s="251" t="str">
        <f t="shared" si="174"/>
        <v>140gsm ART PAPER CHENMING EAGLE - GLOSS</v>
      </c>
      <c r="AD661" s="2746">
        <f>IF(L661&gt;0,IF(input!$B$2=$O$1,(((M661)+(M661)*$M$10)*$P$11)/1000,(((M661)+(M661)*O661+(M661)*$M$10)*$P$11)/1000),0)</f>
        <v>0</v>
      </c>
      <c r="AE661" s="2746">
        <f>IF(L661&gt;0,IF(input!$B$2=$O$1,(((N661)+(N661)*$M$10)*$P$11)/1000,(((N661)+(N661)*O661+(N661)*$M$10)*$P$11)/1000),0)</f>
        <v>0</v>
      </c>
      <c r="AF661" s="136" t="str">
        <f t="shared" si="175"/>
        <v>None</v>
      </c>
      <c r="AG661" s="2628">
        <f t="shared" si="176"/>
        <v>1.6E-2</v>
      </c>
      <c r="AH661" s="1266">
        <v>0.1</v>
      </c>
    </row>
    <row r="662" spans="1:34" ht="12.75">
      <c r="A662" s="2199">
        <f t="shared" si="178"/>
        <v>650</v>
      </c>
      <c r="B662" s="2200" t="s">
        <v>2725</v>
      </c>
      <c r="C662" s="2743">
        <v>0</v>
      </c>
      <c r="D662" s="2743">
        <v>0</v>
      </c>
      <c r="E662" s="2949">
        <v>0</v>
      </c>
      <c r="F662" s="2200">
        <v>20</v>
      </c>
      <c r="G662" s="2200" t="s">
        <v>127</v>
      </c>
      <c r="H662" s="2200" t="s">
        <v>1057</v>
      </c>
      <c r="I662" s="2742">
        <v>0</v>
      </c>
      <c r="J662" s="2742"/>
      <c r="K662" s="2752">
        <v>60</v>
      </c>
      <c r="L662" s="2745">
        <f t="shared" si="167"/>
        <v>0</v>
      </c>
      <c r="M662" s="2745">
        <f t="shared" si="170"/>
        <v>0</v>
      </c>
      <c r="N662" s="2745">
        <f t="shared" si="171"/>
        <v>20</v>
      </c>
      <c r="O662" s="1232">
        <f t="shared" si="172"/>
        <v>0</v>
      </c>
      <c r="P662" s="1227" t="str">
        <f t="shared" si="177"/>
        <v>148gsm ART PAPER CHENMING EAGLE - GLOSS</v>
      </c>
      <c r="Q662" s="254">
        <v>0.128</v>
      </c>
      <c r="R662" s="1228" t="str">
        <f t="shared" si="180"/>
        <v>148</v>
      </c>
      <c r="S662" s="2625">
        <f t="shared" si="168"/>
        <v>0</v>
      </c>
      <c r="T662" s="2747">
        <f>IF(L662&gt;0,IF(input!$B$2=$O$1,(((L662+Y662/22)+(L662+Y662/22)*$AG662+$X662)*$P$11+$M$7)/1000,(((L662+Y662/22)+(L662+Y662/22)*O662+(L662+Y662/22)*$AG662+$X662)*$P$11+$M$7)/1000),0)</f>
        <v>0</v>
      </c>
      <c r="U662" s="2747">
        <f t="shared" si="179"/>
        <v>0</v>
      </c>
      <c r="V662" s="1229"/>
      <c r="W662" s="1231" t="str">
        <f t="shared" si="169"/>
        <v>CIF</v>
      </c>
      <c r="X662" s="1230">
        <f t="shared" si="182"/>
        <v>0</v>
      </c>
      <c r="Y662" s="2625">
        <f t="shared" si="173"/>
        <v>0</v>
      </c>
      <c r="Z662" s="3208">
        <f t="shared" si="181"/>
        <v>838.18181818181813</v>
      </c>
      <c r="AA662" s="1220" t="s">
        <v>2839</v>
      </c>
      <c r="AB662" s="1220" t="s">
        <v>1397</v>
      </c>
      <c r="AC662" s="251" t="str">
        <f t="shared" si="174"/>
        <v>148gsm ART PAPER CHENMING EAGLE - GLOSS</v>
      </c>
      <c r="AD662" s="2746">
        <f>IF(L662&gt;0,IF(input!$B$2=$O$1,(((M662)+(M662)*$M$10)*$P$11)/1000,(((M662)+(M662)*O662+(M662)*$M$10)*$P$11)/1000),0)</f>
        <v>0</v>
      </c>
      <c r="AE662" s="2746">
        <f>IF(L662&gt;0,IF(input!$B$2=$O$1,(((N662)+(N662)*$M$10)*$P$11)/1000,(((N662)+(N662)*O662+(N662)*$M$10)*$P$11)/1000),0)</f>
        <v>0</v>
      </c>
      <c r="AF662" s="136" t="str">
        <f t="shared" si="175"/>
        <v>None</v>
      </c>
      <c r="AG662" s="2628">
        <f t="shared" si="176"/>
        <v>1.6E-2</v>
      </c>
      <c r="AH662" s="1266">
        <v>0.1</v>
      </c>
    </row>
    <row r="663" spans="1:34" ht="12.75">
      <c r="A663" s="2199">
        <f t="shared" si="178"/>
        <v>651</v>
      </c>
      <c r="B663" s="2200" t="s">
        <v>2726</v>
      </c>
      <c r="C663" s="2743">
        <v>0</v>
      </c>
      <c r="D663" s="2743">
        <v>0</v>
      </c>
      <c r="E663" s="2949">
        <v>0</v>
      </c>
      <c r="F663" s="2200">
        <v>20</v>
      </c>
      <c r="G663" s="2200" t="s">
        <v>127</v>
      </c>
      <c r="H663" s="2200" t="s">
        <v>1057</v>
      </c>
      <c r="I663" s="2742">
        <v>0</v>
      </c>
      <c r="J663" s="2742"/>
      <c r="K663" s="2752">
        <v>60</v>
      </c>
      <c r="L663" s="2745">
        <f t="shared" si="167"/>
        <v>0</v>
      </c>
      <c r="M663" s="2745">
        <f t="shared" si="170"/>
        <v>0</v>
      </c>
      <c r="N663" s="2745">
        <f t="shared" si="171"/>
        <v>20</v>
      </c>
      <c r="O663" s="1232">
        <f t="shared" si="172"/>
        <v>0</v>
      </c>
      <c r="P663" s="1227" t="str">
        <f t="shared" si="177"/>
        <v>157gsm ART PAPER CHENMING EAGLE - GLOSS</v>
      </c>
      <c r="Q663" s="254">
        <v>0.13600000000000001</v>
      </c>
      <c r="R663" s="1228" t="str">
        <f t="shared" si="180"/>
        <v>157</v>
      </c>
      <c r="S663" s="2625">
        <f t="shared" si="168"/>
        <v>0</v>
      </c>
      <c r="T663" s="2747">
        <f>IF(L663&gt;0,IF(input!$B$2=$O$1,(((L663+Y663/22)+(L663+Y663/22)*$AG663+$X663)*$P$11+$M$7)/1000,(((L663+Y663/22)+(L663+Y663/22)*O663+(L663+Y663/22)*$AG663+$X663)*$P$11+$M$7)/1000),0)</f>
        <v>0</v>
      </c>
      <c r="U663" s="2747">
        <f t="shared" si="179"/>
        <v>0</v>
      </c>
      <c r="V663" s="1229"/>
      <c r="W663" s="1231" t="str">
        <f t="shared" si="169"/>
        <v>CIF</v>
      </c>
      <c r="X663" s="1230">
        <f t="shared" si="182"/>
        <v>0</v>
      </c>
      <c r="Y663" s="2625">
        <f t="shared" si="173"/>
        <v>0</v>
      </c>
      <c r="Z663" s="3208">
        <f t="shared" si="181"/>
        <v>838.18181818181813</v>
      </c>
      <c r="AA663" s="1220" t="s">
        <v>2839</v>
      </c>
      <c r="AB663" s="1220" t="s">
        <v>1397</v>
      </c>
      <c r="AC663" s="251" t="str">
        <f t="shared" si="174"/>
        <v>157gsm ART PAPER CHENMING EAGLE - GLOSS</v>
      </c>
      <c r="AD663" s="2746">
        <f>IF(L663&gt;0,IF(input!$B$2=$O$1,(((M663)+(M663)*$M$10)*$P$11)/1000,(((M663)+(M663)*O663+(M663)*$M$10)*$P$11)/1000),0)</f>
        <v>0</v>
      </c>
      <c r="AE663" s="2746">
        <f>IF(L663&gt;0,IF(input!$B$2=$O$1,(((N663)+(N663)*$M$10)*$P$11)/1000,(((N663)+(N663)*O663+(N663)*$M$10)*$P$11)/1000),0)</f>
        <v>0</v>
      </c>
      <c r="AF663" s="136" t="str">
        <f t="shared" si="175"/>
        <v>None</v>
      </c>
      <c r="AG663" s="2628">
        <f t="shared" si="176"/>
        <v>1.6E-2</v>
      </c>
      <c r="AH663" s="1266">
        <v>0.1</v>
      </c>
    </row>
    <row r="664" spans="1:34" ht="12.75">
      <c r="A664" s="2199">
        <f t="shared" si="178"/>
        <v>652</v>
      </c>
      <c r="B664" s="2200" t="s">
        <v>2727</v>
      </c>
      <c r="C664" s="2743">
        <v>0</v>
      </c>
      <c r="D664" s="2743">
        <v>0</v>
      </c>
      <c r="E664" s="2949">
        <v>0</v>
      </c>
      <c r="F664" s="2200">
        <v>20</v>
      </c>
      <c r="G664" s="2200" t="s">
        <v>127</v>
      </c>
      <c r="H664" s="2200" t="s">
        <v>1057</v>
      </c>
      <c r="I664" s="2742">
        <v>0</v>
      </c>
      <c r="J664" s="2742"/>
      <c r="K664" s="2752">
        <v>60</v>
      </c>
      <c r="L664" s="2745">
        <f t="shared" si="167"/>
        <v>0</v>
      </c>
      <c r="M664" s="2745">
        <f t="shared" si="170"/>
        <v>0</v>
      </c>
      <c r="N664" s="2745">
        <f t="shared" si="171"/>
        <v>20</v>
      </c>
      <c r="O664" s="1232">
        <f t="shared" si="172"/>
        <v>0</v>
      </c>
      <c r="P664" s="1227" t="str">
        <f t="shared" si="177"/>
        <v>170gsm ART PAPER CHENMING EAGLE - GLOSS</v>
      </c>
      <c r="Q664" s="254">
        <v>0.14799999999999999</v>
      </c>
      <c r="R664" s="1228" t="str">
        <f t="shared" si="180"/>
        <v>170</v>
      </c>
      <c r="S664" s="2625">
        <f t="shared" si="168"/>
        <v>0</v>
      </c>
      <c r="T664" s="2747">
        <f>IF(L664&gt;0,IF(input!$B$2=$O$1,(((L664+Y664/22)+(L664+Y664/22)*$AG664+$X664)*$P$11+$M$7)/1000,(((L664+Y664/22)+(L664+Y664/22)*O664+(L664+Y664/22)*$AG664+$X664)*$P$11+$M$7)/1000),0)</f>
        <v>0</v>
      </c>
      <c r="U664" s="2747">
        <f t="shared" si="179"/>
        <v>0</v>
      </c>
      <c r="V664" s="1229"/>
      <c r="W664" s="1231" t="str">
        <f t="shared" si="169"/>
        <v>CIF</v>
      </c>
      <c r="X664" s="1230">
        <f t="shared" si="182"/>
        <v>0</v>
      </c>
      <c r="Y664" s="2625">
        <f t="shared" si="173"/>
        <v>0</v>
      </c>
      <c r="Z664" s="3208">
        <f t="shared" si="181"/>
        <v>838.18181818181813</v>
      </c>
      <c r="AA664" s="1220" t="s">
        <v>2839</v>
      </c>
      <c r="AB664" s="1220" t="s">
        <v>1397</v>
      </c>
      <c r="AC664" s="251" t="str">
        <f t="shared" si="174"/>
        <v>170gsm ART PAPER CHENMING EAGLE - GLOSS</v>
      </c>
      <c r="AD664" s="2746">
        <f>IF(L664&gt;0,IF(input!$B$2=$O$1,(((M664)+(M664)*$M$10)*$P$11)/1000,(((M664)+(M664)*O664+(M664)*$M$10)*$P$11)/1000),0)</f>
        <v>0</v>
      </c>
      <c r="AE664" s="2746">
        <f>IF(L664&gt;0,IF(input!$B$2=$O$1,(((N664)+(N664)*$M$10)*$P$11)/1000,(((N664)+(N664)*O664+(N664)*$M$10)*$P$11)/1000),0)</f>
        <v>0</v>
      </c>
      <c r="AF664" s="136" t="str">
        <f t="shared" si="175"/>
        <v>None</v>
      </c>
      <c r="AG664" s="2628">
        <f t="shared" si="176"/>
        <v>1.6E-2</v>
      </c>
      <c r="AH664" s="1266">
        <v>0.1</v>
      </c>
    </row>
    <row r="665" spans="1:34" ht="12.75">
      <c r="A665" s="2199">
        <f t="shared" si="178"/>
        <v>653</v>
      </c>
      <c r="B665" s="2200" t="s">
        <v>2728</v>
      </c>
      <c r="C665" s="2743">
        <v>0</v>
      </c>
      <c r="D665" s="2743">
        <v>0</v>
      </c>
      <c r="E665" s="2949">
        <v>0</v>
      </c>
      <c r="F665" s="2200">
        <v>20</v>
      </c>
      <c r="G665" s="2200" t="s">
        <v>127</v>
      </c>
      <c r="H665" s="2200" t="s">
        <v>1057</v>
      </c>
      <c r="I665" s="2742">
        <v>0</v>
      </c>
      <c r="J665" s="2742"/>
      <c r="K665" s="2752">
        <v>60</v>
      </c>
      <c r="L665" s="2745">
        <f t="shared" si="167"/>
        <v>0</v>
      </c>
      <c r="M665" s="2745">
        <f t="shared" si="170"/>
        <v>0</v>
      </c>
      <c r="N665" s="2745">
        <f t="shared" si="171"/>
        <v>20</v>
      </c>
      <c r="O665" s="1232">
        <f t="shared" si="172"/>
        <v>0</v>
      </c>
      <c r="P665" s="1227" t="str">
        <f t="shared" si="177"/>
        <v>200gsm ART PAPER CHENMING EAGLE - GLOSS</v>
      </c>
      <c r="Q665" s="254">
        <v>0.18</v>
      </c>
      <c r="R665" s="1228" t="str">
        <f t="shared" si="180"/>
        <v>200</v>
      </c>
      <c r="S665" s="2625">
        <f t="shared" si="168"/>
        <v>0</v>
      </c>
      <c r="T665" s="2747">
        <f>IF(L665&gt;0,IF(input!$B$2=$O$1,(((L665+Y665/22)+(L665+Y665/22)*$AG665+$X665)*$P$11+$M$7)/1000,(((L665+Y665/22)+(L665+Y665/22)*O665+(L665+Y665/22)*$AG665+$X665)*$P$11+$M$7)/1000),0)</f>
        <v>0</v>
      </c>
      <c r="U665" s="2747">
        <f t="shared" si="179"/>
        <v>0</v>
      </c>
      <c r="V665" s="1229"/>
      <c r="W665" s="1231" t="str">
        <f t="shared" si="169"/>
        <v>CIF</v>
      </c>
      <c r="X665" s="1230">
        <f t="shared" si="182"/>
        <v>0</v>
      </c>
      <c r="Y665" s="2625">
        <f t="shared" si="173"/>
        <v>0</v>
      </c>
      <c r="Z665" s="3208">
        <f t="shared" si="181"/>
        <v>838.18181818181813</v>
      </c>
      <c r="AA665" s="1220" t="s">
        <v>2839</v>
      </c>
      <c r="AB665" s="1220" t="s">
        <v>1397</v>
      </c>
      <c r="AC665" s="251" t="str">
        <f t="shared" si="174"/>
        <v>200gsm ART PAPER CHENMING EAGLE - GLOSS</v>
      </c>
      <c r="AD665" s="2746">
        <f>IF(L665&gt;0,IF(input!$B$2=$O$1,(((M665)+(M665)*$M$10)*$P$11)/1000,(((M665)+(M665)*O665+(M665)*$M$10)*$P$11)/1000),0)</f>
        <v>0</v>
      </c>
      <c r="AE665" s="2746">
        <f>IF(L665&gt;0,IF(input!$B$2=$O$1,(((N665)+(N665)*$M$10)*$P$11)/1000,(((N665)+(N665)*O665+(N665)*$M$10)*$P$11)/1000),0)</f>
        <v>0</v>
      </c>
      <c r="AF665" s="136" t="str">
        <f t="shared" si="175"/>
        <v>None</v>
      </c>
      <c r="AG665" s="2628">
        <f t="shared" si="176"/>
        <v>1.6E-2</v>
      </c>
      <c r="AH665" s="1266">
        <v>0.1</v>
      </c>
    </row>
    <row r="666" spans="1:34" ht="12.75">
      <c r="A666" s="2199">
        <f t="shared" si="178"/>
        <v>654</v>
      </c>
      <c r="B666" s="2200" t="s">
        <v>2729</v>
      </c>
      <c r="C666" s="2743">
        <v>0</v>
      </c>
      <c r="D666" s="2743">
        <v>0</v>
      </c>
      <c r="E666" s="2949">
        <v>0</v>
      </c>
      <c r="F666" s="2200">
        <v>20</v>
      </c>
      <c r="G666" s="2200" t="s">
        <v>127</v>
      </c>
      <c r="H666" s="2200" t="s">
        <v>1057</v>
      </c>
      <c r="I666" s="2742">
        <v>0</v>
      </c>
      <c r="J666" s="2742"/>
      <c r="K666" s="2752">
        <v>60</v>
      </c>
      <c r="L666" s="2745">
        <f t="shared" si="167"/>
        <v>0</v>
      </c>
      <c r="M666" s="2745">
        <f t="shared" si="170"/>
        <v>0</v>
      </c>
      <c r="N666" s="2745">
        <f t="shared" si="171"/>
        <v>20</v>
      </c>
      <c r="O666" s="1232">
        <f t="shared" si="172"/>
        <v>0</v>
      </c>
      <c r="P666" s="1227" t="str">
        <f t="shared" si="177"/>
        <v>250gsm ART PAPER CHENMING EAGLE - GLOSS</v>
      </c>
      <c r="Q666" s="254">
        <v>0.23499999999999999</v>
      </c>
      <c r="R666" s="1228" t="str">
        <f t="shared" si="180"/>
        <v>250</v>
      </c>
      <c r="S666" s="2625">
        <f t="shared" si="168"/>
        <v>0</v>
      </c>
      <c r="T666" s="2747">
        <f>IF(L666&gt;0,IF(input!$B$2=$O$1,(((L666+Y666/22)+(L666+Y666/22)*$AG666+$X666)*$P$11+$M$7)/1000,(((L666+Y666/22)+(L666+Y666/22)*O666+(L666+Y666/22)*$AG666+$X666)*$P$11+$M$7)/1000),0)</f>
        <v>0</v>
      </c>
      <c r="U666" s="2747">
        <f t="shared" si="179"/>
        <v>0</v>
      </c>
      <c r="V666" s="1229"/>
      <c r="W666" s="1231" t="str">
        <f t="shared" si="169"/>
        <v>CIF</v>
      </c>
      <c r="X666" s="1230">
        <f t="shared" si="182"/>
        <v>0</v>
      </c>
      <c r="Y666" s="2625">
        <f t="shared" si="173"/>
        <v>0</v>
      </c>
      <c r="Z666" s="3208">
        <f t="shared" si="181"/>
        <v>838.18181818181813</v>
      </c>
      <c r="AA666" s="1220" t="s">
        <v>2839</v>
      </c>
      <c r="AB666" s="1220" t="s">
        <v>1397</v>
      </c>
      <c r="AC666" s="251" t="str">
        <f t="shared" si="174"/>
        <v>250gsm ART PAPER CHENMING EAGLE - GLOSS</v>
      </c>
      <c r="AD666" s="2746">
        <f>IF(L666&gt;0,IF(input!$B$2=$O$1,(((M666)+(M666)*$M$10)*$P$11)/1000,(((M666)+(M666)*O666+(M666)*$M$10)*$P$11)/1000),0)</f>
        <v>0</v>
      </c>
      <c r="AE666" s="2746">
        <f>IF(L666&gt;0,IF(input!$B$2=$O$1,(((N666)+(N666)*$M$10)*$P$11)/1000,(((N666)+(N666)*O666+(N666)*$M$10)*$P$11)/1000),0)</f>
        <v>0</v>
      </c>
      <c r="AF666" s="136" t="str">
        <f t="shared" si="175"/>
        <v>None</v>
      </c>
      <c r="AG666" s="2628">
        <f t="shared" si="176"/>
        <v>1.6E-2</v>
      </c>
      <c r="AH666" s="1266">
        <v>0.1</v>
      </c>
    </row>
    <row r="667" spans="1:34" ht="12.75">
      <c r="A667" s="2199">
        <f t="shared" si="178"/>
        <v>655</v>
      </c>
      <c r="B667" s="2200" t="s">
        <v>2730</v>
      </c>
      <c r="C667" s="2743">
        <v>0</v>
      </c>
      <c r="D667" s="2743">
        <v>0</v>
      </c>
      <c r="E667" s="2949">
        <v>0</v>
      </c>
      <c r="F667" s="2200">
        <v>20</v>
      </c>
      <c r="G667" s="2200" t="s">
        <v>127</v>
      </c>
      <c r="H667" s="2200" t="s">
        <v>1057</v>
      </c>
      <c r="I667" s="2742">
        <v>0</v>
      </c>
      <c r="J667" s="2742"/>
      <c r="K667" s="2752">
        <v>60</v>
      </c>
      <c r="L667" s="2745">
        <f t="shared" si="167"/>
        <v>0</v>
      </c>
      <c r="M667" s="2745">
        <f t="shared" si="170"/>
        <v>0</v>
      </c>
      <c r="N667" s="2745">
        <f t="shared" si="171"/>
        <v>20</v>
      </c>
      <c r="O667" s="1232">
        <f t="shared" si="172"/>
        <v>0</v>
      </c>
      <c r="P667" s="1227" t="str">
        <f t="shared" si="177"/>
        <v>080gsm ART PAPER CHENMING RABBIT - GLOSS</v>
      </c>
      <c r="Q667" s="254">
        <v>6.3E-2</v>
      </c>
      <c r="R667" s="1228" t="str">
        <f t="shared" si="180"/>
        <v>080</v>
      </c>
      <c r="S667" s="2625">
        <f t="shared" si="168"/>
        <v>0</v>
      </c>
      <c r="T667" s="2747">
        <f>IF(L667&gt;0,IF(input!$B$2=$O$1,(((L667+Y667/22)+(L667+Y667/22)*$AG667+$X667)*$P$11+$M$7)/1000,(((L667+Y667/22)+(L667+Y667/22)*O667+(L667+Y667/22)*$AG667+$X667)*$P$11+$M$7)/1000),0)</f>
        <v>0</v>
      </c>
      <c r="U667" s="2747">
        <f t="shared" si="179"/>
        <v>0</v>
      </c>
      <c r="V667" s="1229"/>
      <c r="W667" s="1231" t="str">
        <f t="shared" si="169"/>
        <v>CIF</v>
      </c>
      <c r="X667" s="1230">
        <f t="shared" si="182"/>
        <v>0</v>
      </c>
      <c r="Y667" s="2625">
        <f t="shared" si="173"/>
        <v>0</v>
      </c>
      <c r="Z667" s="3208">
        <f t="shared" si="181"/>
        <v>838.18181818181813</v>
      </c>
      <c r="AA667" s="1220" t="s">
        <v>2840</v>
      </c>
      <c r="AB667" s="1220" t="s">
        <v>1397</v>
      </c>
      <c r="AC667" s="251" t="str">
        <f t="shared" si="174"/>
        <v>080gsm ART PAPER CHENMING RABBIT - GLOSS</v>
      </c>
      <c r="AD667" s="2746">
        <f>IF(L667&gt;0,IF(input!$B$2=$O$1,(((M667)+(M667)*$M$10)*$P$11)/1000,(((M667)+(M667)*O667+(M667)*$M$10)*$P$11)/1000),0)</f>
        <v>0</v>
      </c>
      <c r="AE667" s="2746">
        <f>IF(L667&gt;0,IF(input!$B$2=$O$1,(((N667)+(N667)*$M$10)*$P$11)/1000,(((N667)+(N667)*O667+(N667)*$M$10)*$P$11)/1000),0)</f>
        <v>0</v>
      </c>
      <c r="AF667" s="136" t="str">
        <f t="shared" si="175"/>
        <v>None</v>
      </c>
      <c r="AG667" s="2628">
        <f t="shared" si="176"/>
        <v>1.6E-2</v>
      </c>
      <c r="AH667" s="1266">
        <v>0.1</v>
      </c>
    </row>
    <row r="668" spans="1:34" ht="12.75">
      <c r="A668" s="2199">
        <f t="shared" si="178"/>
        <v>656</v>
      </c>
      <c r="B668" s="2200" t="s">
        <v>2731</v>
      </c>
      <c r="C668" s="2743">
        <v>0</v>
      </c>
      <c r="D668" s="2743">
        <v>0</v>
      </c>
      <c r="E668" s="2949">
        <v>0</v>
      </c>
      <c r="F668" s="2200">
        <v>20</v>
      </c>
      <c r="G668" s="2200" t="s">
        <v>127</v>
      </c>
      <c r="H668" s="2200" t="s">
        <v>1057</v>
      </c>
      <c r="I668" s="2742">
        <v>0</v>
      </c>
      <c r="J668" s="2742"/>
      <c r="K668" s="2752">
        <v>60</v>
      </c>
      <c r="L668" s="2745">
        <f t="shared" si="167"/>
        <v>0</v>
      </c>
      <c r="M668" s="2745">
        <f t="shared" si="170"/>
        <v>0</v>
      </c>
      <c r="N668" s="2745">
        <f t="shared" si="171"/>
        <v>20</v>
      </c>
      <c r="O668" s="1232">
        <f t="shared" si="172"/>
        <v>0</v>
      </c>
      <c r="P668" s="1227" t="str">
        <f t="shared" si="177"/>
        <v>090gsm ART PAPER CHENMING RABBIT - GLOSS</v>
      </c>
      <c r="Q668" s="254">
        <v>7.1999999999999995E-2</v>
      </c>
      <c r="R668" s="1228" t="str">
        <f t="shared" si="180"/>
        <v>090</v>
      </c>
      <c r="S668" s="2625">
        <f t="shared" si="168"/>
        <v>0</v>
      </c>
      <c r="T668" s="2747">
        <f>IF(L668&gt;0,IF(input!$B$2=$O$1,(((L668+Y668/22)+(L668+Y668/22)*$AG668+$X668)*$P$11+$M$7)/1000,(((L668+Y668/22)+(L668+Y668/22)*O668+(L668+Y668/22)*$AG668+$X668)*$P$11+$M$7)/1000),0)</f>
        <v>0</v>
      </c>
      <c r="U668" s="2747">
        <f t="shared" si="179"/>
        <v>0</v>
      </c>
      <c r="V668" s="1229"/>
      <c r="W668" s="1231" t="str">
        <f t="shared" si="169"/>
        <v>CIF</v>
      </c>
      <c r="X668" s="1230">
        <f t="shared" si="182"/>
        <v>0</v>
      </c>
      <c r="Y668" s="2625">
        <f t="shared" si="173"/>
        <v>0</v>
      </c>
      <c r="Z668" s="3208">
        <f t="shared" si="181"/>
        <v>838.18181818181813</v>
      </c>
      <c r="AA668" s="1220" t="s">
        <v>2840</v>
      </c>
      <c r="AB668" s="1220" t="s">
        <v>1397</v>
      </c>
      <c r="AC668" s="251" t="str">
        <f t="shared" si="174"/>
        <v>090gsm ART PAPER CHENMING RABBIT - GLOSS</v>
      </c>
      <c r="AD668" s="2746">
        <f>IF(L668&gt;0,IF(input!$B$2=$O$1,(((M668)+(M668)*$M$10)*$P$11)/1000,(((M668)+(M668)*O668+(M668)*$M$10)*$P$11)/1000),0)</f>
        <v>0</v>
      </c>
      <c r="AE668" s="2746">
        <f>IF(L668&gt;0,IF(input!$B$2=$O$1,(((N668)+(N668)*$M$10)*$P$11)/1000,(((N668)+(N668)*O668+(N668)*$M$10)*$P$11)/1000),0)</f>
        <v>0</v>
      </c>
      <c r="AF668" s="136" t="str">
        <f t="shared" si="175"/>
        <v>None</v>
      </c>
      <c r="AG668" s="2628">
        <f t="shared" si="176"/>
        <v>1.6E-2</v>
      </c>
      <c r="AH668" s="1266">
        <v>0.1</v>
      </c>
    </row>
    <row r="669" spans="1:34" ht="12.75">
      <c r="A669" s="2199">
        <f t="shared" si="178"/>
        <v>657</v>
      </c>
      <c r="B669" s="2200" t="s">
        <v>2732</v>
      </c>
      <c r="C669" s="2743">
        <v>0</v>
      </c>
      <c r="D669" s="2743">
        <v>0</v>
      </c>
      <c r="E669" s="2949">
        <v>0</v>
      </c>
      <c r="F669" s="2200">
        <v>20</v>
      </c>
      <c r="G669" s="2200" t="s">
        <v>127</v>
      </c>
      <c r="H669" s="2200" t="s">
        <v>1057</v>
      </c>
      <c r="I669" s="2742">
        <v>0</v>
      </c>
      <c r="J669" s="2742"/>
      <c r="K669" s="2752">
        <v>60</v>
      </c>
      <c r="L669" s="2745">
        <f t="shared" si="167"/>
        <v>0</v>
      </c>
      <c r="M669" s="2745">
        <f t="shared" si="170"/>
        <v>0</v>
      </c>
      <c r="N669" s="2745">
        <f t="shared" si="171"/>
        <v>20</v>
      </c>
      <c r="O669" s="1232">
        <f t="shared" si="172"/>
        <v>0</v>
      </c>
      <c r="P669" s="1227" t="str">
        <f t="shared" si="177"/>
        <v>100gsm ART PAPER CHENMING RABBIT - GLOSS</v>
      </c>
      <c r="Q669" s="254">
        <v>7.9000000000000001E-2</v>
      </c>
      <c r="R669" s="1228" t="str">
        <f t="shared" si="180"/>
        <v>100</v>
      </c>
      <c r="S669" s="2625">
        <f t="shared" si="168"/>
        <v>0</v>
      </c>
      <c r="T669" s="2747">
        <f>IF(L669&gt;0,IF(input!$B$2=$O$1,(((L669+Y669/22)+(L669+Y669/22)*$AG669+$X669)*$P$11+$M$7)/1000,(((L669+Y669/22)+(L669+Y669/22)*O669+(L669+Y669/22)*$AG669+$X669)*$P$11+$M$7)/1000),0)</f>
        <v>0</v>
      </c>
      <c r="U669" s="2747">
        <f t="shared" si="179"/>
        <v>0</v>
      </c>
      <c r="V669" s="1229"/>
      <c r="W669" s="1231" t="str">
        <f t="shared" si="169"/>
        <v>CIF</v>
      </c>
      <c r="X669" s="1230">
        <f t="shared" si="182"/>
        <v>0</v>
      </c>
      <c r="Y669" s="2625">
        <f t="shared" si="173"/>
        <v>0</v>
      </c>
      <c r="Z669" s="3208">
        <f t="shared" si="181"/>
        <v>838.18181818181813</v>
      </c>
      <c r="AA669" s="1220" t="s">
        <v>2840</v>
      </c>
      <c r="AB669" s="1220" t="s">
        <v>1397</v>
      </c>
      <c r="AC669" s="251" t="str">
        <f t="shared" si="174"/>
        <v>100gsm ART PAPER CHENMING RABBIT - GLOSS</v>
      </c>
      <c r="AD669" s="2746">
        <f>IF(L669&gt;0,IF(input!$B$2=$O$1,(((M669)+(M669)*$M$10)*$P$11)/1000,(((M669)+(M669)*O669+(M669)*$M$10)*$P$11)/1000),0)</f>
        <v>0</v>
      </c>
      <c r="AE669" s="2746">
        <f>IF(L669&gt;0,IF(input!$B$2=$O$1,(((N669)+(N669)*$M$10)*$P$11)/1000,(((N669)+(N669)*O669+(N669)*$M$10)*$P$11)/1000),0)</f>
        <v>0</v>
      </c>
      <c r="AF669" s="136" t="str">
        <f t="shared" si="175"/>
        <v>None</v>
      </c>
      <c r="AG669" s="2628">
        <f t="shared" si="176"/>
        <v>1.6E-2</v>
      </c>
      <c r="AH669" s="1266">
        <v>0.1</v>
      </c>
    </row>
    <row r="670" spans="1:34" ht="12.75">
      <c r="A670" s="2199">
        <f t="shared" si="178"/>
        <v>658</v>
      </c>
      <c r="B670" s="2200" t="s">
        <v>2733</v>
      </c>
      <c r="C670" s="2743">
        <v>0</v>
      </c>
      <c r="D670" s="2743">
        <v>0</v>
      </c>
      <c r="E670" s="2949">
        <v>0</v>
      </c>
      <c r="F670" s="2200">
        <v>20</v>
      </c>
      <c r="G670" s="2200" t="s">
        <v>127</v>
      </c>
      <c r="H670" s="2200" t="s">
        <v>1057</v>
      </c>
      <c r="I670" s="2742">
        <v>0</v>
      </c>
      <c r="J670" s="2742"/>
      <c r="K670" s="2752">
        <v>60</v>
      </c>
      <c r="L670" s="2745">
        <f t="shared" si="167"/>
        <v>0</v>
      </c>
      <c r="M670" s="2745">
        <f t="shared" si="170"/>
        <v>0</v>
      </c>
      <c r="N670" s="2745">
        <f t="shared" si="171"/>
        <v>20</v>
      </c>
      <c r="O670" s="1232">
        <f t="shared" si="172"/>
        <v>0</v>
      </c>
      <c r="P670" s="1227" t="str">
        <f t="shared" si="177"/>
        <v>105gsm ART PAPER CHENMING RABBIT - GLOSS</v>
      </c>
      <c r="Q670" s="254">
        <v>8.4000000000000005E-2</v>
      </c>
      <c r="R670" s="1228" t="str">
        <f t="shared" si="180"/>
        <v>105</v>
      </c>
      <c r="S670" s="2625">
        <f t="shared" si="168"/>
        <v>0</v>
      </c>
      <c r="T670" s="2747">
        <f>IF(L670&gt;0,IF(input!$B$2=$O$1,(((L670+Y670/22)+(L670+Y670/22)*$AG670+$X670)*$P$11+$M$7)/1000,(((L670+Y670/22)+(L670+Y670/22)*O670+(L670+Y670/22)*$AG670+$X670)*$P$11+$M$7)/1000),0)</f>
        <v>0</v>
      </c>
      <c r="U670" s="2747">
        <f t="shared" si="179"/>
        <v>0</v>
      </c>
      <c r="V670" s="1229"/>
      <c r="W670" s="1231" t="str">
        <f t="shared" si="169"/>
        <v>CIF</v>
      </c>
      <c r="X670" s="1230">
        <f t="shared" si="182"/>
        <v>0</v>
      </c>
      <c r="Y670" s="2625">
        <f t="shared" si="173"/>
        <v>0</v>
      </c>
      <c r="Z670" s="3208">
        <f t="shared" si="181"/>
        <v>838.18181818181813</v>
      </c>
      <c r="AA670" s="1220" t="s">
        <v>2840</v>
      </c>
      <c r="AB670" s="1220" t="s">
        <v>1397</v>
      </c>
      <c r="AC670" s="251" t="str">
        <f t="shared" si="174"/>
        <v>105gsm ART PAPER CHENMING RABBIT - GLOSS</v>
      </c>
      <c r="AD670" s="2746">
        <f>IF(L670&gt;0,IF(input!$B$2=$O$1,(((M670)+(M670)*$M$10)*$P$11)/1000,(((M670)+(M670)*O670+(M670)*$M$10)*$P$11)/1000),0)</f>
        <v>0</v>
      </c>
      <c r="AE670" s="2746">
        <f>IF(L670&gt;0,IF(input!$B$2=$O$1,(((N670)+(N670)*$M$10)*$P$11)/1000,(((N670)+(N670)*O670+(N670)*$M$10)*$P$11)/1000),0)</f>
        <v>0</v>
      </c>
      <c r="AF670" s="136" t="str">
        <f t="shared" si="175"/>
        <v>None</v>
      </c>
      <c r="AG670" s="2628">
        <f t="shared" si="176"/>
        <v>1.6E-2</v>
      </c>
      <c r="AH670" s="1266">
        <v>0.1</v>
      </c>
    </row>
    <row r="671" spans="1:34" ht="12.75">
      <c r="A671" s="2199">
        <f t="shared" si="178"/>
        <v>659</v>
      </c>
      <c r="B671" s="2200" t="s">
        <v>2734</v>
      </c>
      <c r="C671" s="2743">
        <v>0</v>
      </c>
      <c r="D671" s="2743">
        <v>0</v>
      </c>
      <c r="E671" s="2949">
        <v>0</v>
      </c>
      <c r="F671" s="2200">
        <v>20</v>
      </c>
      <c r="G671" s="2200" t="s">
        <v>127</v>
      </c>
      <c r="H671" s="2200" t="s">
        <v>1057</v>
      </c>
      <c r="I671" s="2742">
        <v>0</v>
      </c>
      <c r="J671" s="2742"/>
      <c r="K671" s="2752">
        <v>60</v>
      </c>
      <c r="L671" s="2745">
        <f t="shared" si="167"/>
        <v>0</v>
      </c>
      <c r="M671" s="2745">
        <f t="shared" si="170"/>
        <v>0</v>
      </c>
      <c r="N671" s="2745">
        <f t="shared" si="171"/>
        <v>20</v>
      </c>
      <c r="O671" s="1232">
        <f t="shared" si="172"/>
        <v>0</v>
      </c>
      <c r="P671" s="1227" t="str">
        <f t="shared" si="177"/>
        <v>115gsm ART PAPER CHENMING RABBIT - GLOSS</v>
      </c>
      <c r="Q671" s="254">
        <v>9.0999999999999998E-2</v>
      </c>
      <c r="R671" s="1228" t="str">
        <f t="shared" si="180"/>
        <v>115</v>
      </c>
      <c r="S671" s="2625">
        <f t="shared" si="168"/>
        <v>0</v>
      </c>
      <c r="T671" s="2747">
        <f>IF(L671&gt;0,IF(input!$B$2=$O$1,(((L671+Y671/22)+(L671+Y671/22)*$AG671+$X671)*$P$11+$M$7)/1000,(((L671+Y671/22)+(L671+Y671/22)*O671+(L671+Y671/22)*$AG671+$X671)*$P$11+$M$7)/1000),0)</f>
        <v>0</v>
      </c>
      <c r="U671" s="2747">
        <f t="shared" si="179"/>
        <v>0</v>
      </c>
      <c r="V671" s="1229"/>
      <c r="W671" s="1231" t="str">
        <f t="shared" si="169"/>
        <v>CIF</v>
      </c>
      <c r="X671" s="1230">
        <f t="shared" si="182"/>
        <v>0</v>
      </c>
      <c r="Y671" s="2625">
        <f t="shared" si="173"/>
        <v>0</v>
      </c>
      <c r="Z671" s="3208">
        <f t="shared" si="181"/>
        <v>838.18181818181813</v>
      </c>
      <c r="AA671" s="1220" t="s">
        <v>2840</v>
      </c>
      <c r="AB671" s="1220" t="s">
        <v>1397</v>
      </c>
      <c r="AC671" s="251" t="str">
        <f t="shared" si="174"/>
        <v>115gsm ART PAPER CHENMING RABBIT - GLOSS</v>
      </c>
      <c r="AD671" s="2746">
        <f>IF(L671&gt;0,IF(input!$B$2=$O$1,(((M671)+(M671)*$M$10)*$P$11)/1000,(((M671)+(M671)*O671+(M671)*$M$10)*$P$11)/1000),0)</f>
        <v>0</v>
      </c>
      <c r="AE671" s="2746">
        <f>IF(L671&gt;0,IF(input!$B$2=$O$1,(((N671)+(N671)*$M$10)*$P$11)/1000,(((N671)+(N671)*O671+(N671)*$M$10)*$P$11)/1000),0)</f>
        <v>0</v>
      </c>
      <c r="AF671" s="136" t="str">
        <f t="shared" si="175"/>
        <v>None</v>
      </c>
      <c r="AG671" s="2628">
        <f t="shared" si="176"/>
        <v>1.6E-2</v>
      </c>
      <c r="AH671" s="1266">
        <v>0.1</v>
      </c>
    </row>
    <row r="672" spans="1:34" ht="12.75">
      <c r="A672" s="2199">
        <f t="shared" si="178"/>
        <v>660</v>
      </c>
      <c r="B672" s="2200" t="s">
        <v>2735</v>
      </c>
      <c r="C672" s="2743">
        <v>0</v>
      </c>
      <c r="D672" s="2743">
        <v>0</v>
      </c>
      <c r="E672" s="2949">
        <v>0</v>
      </c>
      <c r="F672" s="2200">
        <v>20</v>
      </c>
      <c r="G672" s="2200" t="s">
        <v>127</v>
      </c>
      <c r="H672" s="2200" t="s">
        <v>1057</v>
      </c>
      <c r="I672" s="2742">
        <v>0</v>
      </c>
      <c r="J672" s="2742"/>
      <c r="K672" s="2752">
        <v>60</v>
      </c>
      <c r="L672" s="2745">
        <f t="shared" si="167"/>
        <v>0</v>
      </c>
      <c r="M672" s="2745">
        <f t="shared" si="170"/>
        <v>0</v>
      </c>
      <c r="N672" s="2745">
        <f t="shared" si="171"/>
        <v>20</v>
      </c>
      <c r="O672" s="1232">
        <f t="shared" si="172"/>
        <v>0</v>
      </c>
      <c r="P672" s="1227" t="str">
        <f t="shared" si="177"/>
        <v>120gsm ART PAPER CHENMING RABBIT - GLOSS</v>
      </c>
      <c r="Q672" s="254">
        <v>9.5000000000000001E-2</v>
      </c>
      <c r="R672" s="1228" t="str">
        <f t="shared" si="180"/>
        <v>120</v>
      </c>
      <c r="S672" s="2625">
        <f t="shared" si="168"/>
        <v>0</v>
      </c>
      <c r="T672" s="2747">
        <f>IF(L672&gt;0,IF(input!$B$2=$O$1,(((L672+Y672/22)+(L672+Y672/22)*$AG672+$X672)*$P$11+$M$7)/1000,(((L672+Y672/22)+(L672+Y672/22)*O672+(L672+Y672/22)*$AG672+$X672)*$P$11+$M$7)/1000),0)</f>
        <v>0</v>
      </c>
      <c r="U672" s="2747">
        <f t="shared" si="179"/>
        <v>0</v>
      </c>
      <c r="V672" s="1229"/>
      <c r="W672" s="1231" t="str">
        <f t="shared" si="169"/>
        <v>CIF</v>
      </c>
      <c r="X672" s="1230">
        <f t="shared" si="182"/>
        <v>0</v>
      </c>
      <c r="Y672" s="2625">
        <f t="shared" si="173"/>
        <v>0</v>
      </c>
      <c r="Z672" s="3208">
        <f t="shared" si="181"/>
        <v>838.18181818181813</v>
      </c>
      <c r="AA672" s="1220" t="s">
        <v>2840</v>
      </c>
      <c r="AB672" s="1220" t="s">
        <v>1397</v>
      </c>
      <c r="AC672" s="251" t="str">
        <f t="shared" si="174"/>
        <v>120gsm ART PAPER CHENMING RABBIT - GLOSS</v>
      </c>
      <c r="AD672" s="2746">
        <f>IF(L672&gt;0,IF(input!$B$2=$O$1,(((M672)+(M672)*$M$10)*$P$11)/1000,(((M672)+(M672)*O672+(M672)*$M$10)*$P$11)/1000),0)</f>
        <v>0</v>
      </c>
      <c r="AE672" s="2746">
        <f>IF(L672&gt;0,IF(input!$B$2=$O$1,(((N672)+(N672)*$M$10)*$P$11)/1000,(((N672)+(N672)*O672+(N672)*$M$10)*$P$11)/1000),0)</f>
        <v>0</v>
      </c>
      <c r="AF672" s="136" t="str">
        <f t="shared" si="175"/>
        <v>None</v>
      </c>
      <c r="AG672" s="2628">
        <f t="shared" si="176"/>
        <v>1.6E-2</v>
      </c>
      <c r="AH672" s="1266">
        <v>0.1</v>
      </c>
    </row>
    <row r="673" spans="1:34" ht="12.75">
      <c r="A673" s="2199">
        <f t="shared" si="178"/>
        <v>661</v>
      </c>
      <c r="B673" s="2200" t="s">
        <v>2736</v>
      </c>
      <c r="C673" s="2743">
        <v>0</v>
      </c>
      <c r="D673" s="2743">
        <v>0</v>
      </c>
      <c r="E673" s="2949">
        <v>0</v>
      </c>
      <c r="F673" s="2200">
        <v>20</v>
      </c>
      <c r="G673" s="2200" t="s">
        <v>127</v>
      </c>
      <c r="H673" s="2200" t="s">
        <v>1057</v>
      </c>
      <c r="I673" s="2742">
        <v>0</v>
      </c>
      <c r="J673" s="2742"/>
      <c r="K673" s="2752">
        <v>60</v>
      </c>
      <c r="L673" s="2745">
        <f t="shared" si="167"/>
        <v>0</v>
      </c>
      <c r="M673" s="2745">
        <f t="shared" si="170"/>
        <v>0</v>
      </c>
      <c r="N673" s="2745">
        <f t="shared" si="171"/>
        <v>20</v>
      </c>
      <c r="O673" s="1232">
        <f t="shared" si="172"/>
        <v>0</v>
      </c>
      <c r="P673" s="1227" t="str">
        <f t="shared" si="177"/>
        <v>128gsm ART PAPER CHENMING RABBIT - GLOSS</v>
      </c>
      <c r="Q673" s="254">
        <v>0.104</v>
      </c>
      <c r="R673" s="1228" t="str">
        <f t="shared" si="180"/>
        <v>128</v>
      </c>
      <c r="S673" s="2625">
        <f t="shared" si="168"/>
        <v>0</v>
      </c>
      <c r="T673" s="2747">
        <f>IF(L673&gt;0,IF(input!$B$2=$O$1,(((L673+Y673/22)+(L673+Y673/22)*$AG673+$X673)*$P$11+$M$7)/1000,(((L673+Y673/22)+(L673+Y673/22)*O673+(L673+Y673/22)*$AG673+$X673)*$P$11+$M$7)/1000),0)</f>
        <v>0</v>
      </c>
      <c r="U673" s="2747">
        <f t="shared" si="179"/>
        <v>0</v>
      </c>
      <c r="V673" s="1229"/>
      <c r="W673" s="1231" t="str">
        <f t="shared" si="169"/>
        <v>CIF</v>
      </c>
      <c r="X673" s="1230">
        <f t="shared" si="182"/>
        <v>0</v>
      </c>
      <c r="Y673" s="2625">
        <f t="shared" si="173"/>
        <v>0</v>
      </c>
      <c r="Z673" s="3208">
        <f t="shared" si="181"/>
        <v>838.18181818181813</v>
      </c>
      <c r="AA673" s="1220" t="s">
        <v>2840</v>
      </c>
      <c r="AB673" s="1220" t="s">
        <v>1397</v>
      </c>
      <c r="AC673" s="251" t="str">
        <f t="shared" si="174"/>
        <v>128gsm ART PAPER CHENMING RABBIT - GLOSS</v>
      </c>
      <c r="AD673" s="2746">
        <f>IF(L673&gt;0,IF(input!$B$2=$O$1,(((M673)+(M673)*$M$10)*$P$11)/1000,(((M673)+(M673)*O673+(M673)*$M$10)*$P$11)/1000),0)</f>
        <v>0</v>
      </c>
      <c r="AE673" s="2746">
        <f>IF(L673&gt;0,IF(input!$B$2=$O$1,(((N673)+(N673)*$M$10)*$P$11)/1000,(((N673)+(N673)*O673+(N673)*$M$10)*$P$11)/1000),0)</f>
        <v>0</v>
      </c>
      <c r="AF673" s="136" t="str">
        <f t="shared" si="175"/>
        <v>None</v>
      </c>
      <c r="AG673" s="2628">
        <f t="shared" si="176"/>
        <v>1.6E-2</v>
      </c>
      <c r="AH673" s="1266">
        <v>0.1</v>
      </c>
    </row>
    <row r="674" spans="1:34" ht="12.75">
      <c r="A674" s="2199">
        <f t="shared" si="178"/>
        <v>662</v>
      </c>
      <c r="B674" s="2200" t="s">
        <v>2737</v>
      </c>
      <c r="C674" s="2743">
        <v>0</v>
      </c>
      <c r="D674" s="2743">
        <v>0</v>
      </c>
      <c r="E674" s="2949">
        <v>0</v>
      </c>
      <c r="F674" s="2200">
        <v>20</v>
      </c>
      <c r="G674" s="2200" t="s">
        <v>127</v>
      </c>
      <c r="H674" s="2200" t="s">
        <v>1057</v>
      </c>
      <c r="I674" s="2742">
        <v>0</v>
      </c>
      <c r="J674" s="2742"/>
      <c r="K674" s="2752">
        <v>60</v>
      </c>
      <c r="L674" s="2745">
        <f t="shared" si="167"/>
        <v>0</v>
      </c>
      <c r="M674" s="2745">
        <f t="shared" si="170"/>
        <v>0</v>
      </c>
      <c r="N674" s="2745">
        <f t="shared" si="171"/>
        <v>20</v>
      </c>
      <c r="O674" s="1232">
        <f t="shared" si="172"/>
        <v>0</v>
      </c>
      <c r="P674" s="1227" t="str">
        <f t="shared" si="177"/>
        <v>145gsm ART PAPER CHENMING RABBIT - GLOSS</v>
      </c>
      <c r="Q674" s="254">
        <v>0.124</v>
      </c>
      <c r="R674" s="1228" t="str">
        <f t="shared" si="180"/>
        <v>145</v>
      </c>
      <c r="S674" s="2625">
        <f t="shared" si="168"/>
        <v>0</v>
      </c>
      <c r="T674" s="2747">
        <f>IF(L674&gt;0,IF(input!$B$2=$O$1,(((L674+Y674/22)+(L674+Y674/22)*$AG674+$X674)*$P$11+$M$7)/1000,(((L674+Y674/22)+(L674+Y674/22)*O674+(L674+Y674/22)*$AG674+$X674)*$P$11+$M$7)/1000),0)</f>
        <v>0</v>
      </c>
      <c r="U674" s="2747">
        <f t="shared" si="179"/>
        <v>0</v>
      </c>
      <c r="V674" s="1229"/>
      <c r="W674" s="1231" t="str">
        <f t="shared" si="169"/>
        <v>CIF</v>
      </c>
      <c r="X674" s="1230">
        <f t="shared" si="182"/>
        <v>0</v>
      </c>
      <c r="Y674" s="2625">
        <f t="shared" si="173"/>
        <v>0</v>
      </c>
      <c r="Z674" s="3208">
        <f t="shared" si="181"/>
        <v>838.18181818181813</v>
      </c>
      <c r="AA674" s="1220" t="s">
        <v>2840</v>
      </c>
      <c r="AB674" s="1220" t="s">
        <v>1397</v>
      </c>
      <c r="AC674" s="251" t="str">
        <f t="shared" si="174"/>
        <v>145gsm ART PAPER CHENMING RABBIT - GLOSS</v>
      </c>
      <c r="AD674" s="2746">
        <f>IF(L674&gt;0,IF(input!$B$2=$O$1,(((M674)+(M674)*$M$10)*$P$11)/1000,(((M674)+(M674)*O674+(M674)*$M$10)*$P$11)/1000),0)</f>
        <v>0</v>
      </c>
      <c r="AE674" s="2746">
        <f>IF(L674&gt;0,IF(input!$B$2=$O$1,(((N674)+(N674)*$M$10)*$P$11)/1000,(((N674)+(N674)*O674+(N674)*$M$10)*$P$11)/1000),0)</f>
        <v>0</v>
      </c>
      <c r="AF674" s="136" t="str">
        <f t="shared" si="175"/>
        <v>None</v>
      </c>
      <c r="AG674" s="2628">
        <f t="shared" si="176"/>
        <v>1.6E-2</v>
      </c>
      <c r="AH674" s="1266">
        <v>0.1</v>
      </c>
    </row>
    <row r="675" spans="1:34" ht="12.75">
      <c r="A675" s="2199">
        <f t="shared" si="178"/>
        <v>663</v>
      </c>
      <c r="B675" s="2200" t="s">
        <v>2738</v>
      </c>
      <c r="C675" s="2743">
        <v>0</v>
      </c>
      <c r="D675" s="2743">
        <v>0</v>
      </c>
      <c r="E675" s="2949">
        <v>0</v>
      </c>
      <c r="F675" s="2200">
        <v>20</v>
      </c>
      <c r="G675" s="2200" t="s">
        <v>127</v>
      </c>
      <c r="H675" s="2200" t="s">
        <v>1057</v>
      </c>
      <c r="I675" s="2742">
        <v>0</v>
      </c>
      <c r="J675" s="2742"/>
      <c r="K675" s="2752">
        <v>60</v>
      </c>
      <c r="L675" s="2745">
        <f t="shared" si="167"/>
        <v>0</v>
      </c>
      <c r="M675" s="2745">
        <f t="shared" si="170"/>
        <v>0</v>
      </c>
      <c r="N675" s="2745">
        <f t="shared" si="171"/>
        <v>20</v>
      </c>
      <c r="O675" s="1232">
        <f t="shared" si="172"/>
        <v>0</v>
      </c>
      <c r="P675" s="1227" t="str">
        <f t="shared" si="177"/>
        <v>150gsm ART PAPER CHENMING RABBIT - GLOSS</v>
      </c>
      <c r="Q675" s="254">
        <v>0.124</v>
      </c>
      <c r="R675" s="1228" t="str">
        <f t="shared" si="180"/>
        <v>150</v>
      </c>
      <c r="S675" s="2625">
        <f t="shared" si="168"/>
        <v>0</v>
      </c>
      <c r="T675" s="2747">
        <f>IF(L675&gt;0,IF(input!$B$2=$O$1,(((L675+Y675/22)+(L675+Y675/22)*$AG675+$X675)*$P$11+$M$7)/1000,(((L675+Y675/22)+(L675+Y675/22)*O675+(L675+Y675/22)*$AG675+$X675)*$P$11+$M$7)/1000),0)</f>
        <v>0</v>
      </c>
      <c r="U675" s="2747">
        <f t="shared" si="179"/>
        <v>0</v>
      </c>
      <c r="V675" s="1229"/>
      <c r="W675" s="1231" t="str">
        <f t="shared" si="169"/>
        <v>CIF</v>
      </c>
      <c r="X675" s="1230">
        <f t="shared" si="182"/>
        <v>0</v>
      </c>
      <c r="Y675" s="2625">
        <f t="shared" si="173"/>
        <v>0</v>
      </c>
      <c r="Z675" s="3208">
        <f t="shared" si="181"/>
        <v>838.18181818181813</v>
      </c>
      <c r="AA675" s="1220" t="s">
        <v>2840</v>
      </c>
      <c r="AB675" s="1220" t="s">
        <v>1397</v>
      </c>
      <c r="AC675" s="251" t="str">
        <f t="shared" si="174"/>
        <v>150gsm ART PAPER CHENMING RABBIT - GLOSS</v>
      </c>
      <c r="AD675" s="2746">
        <f>IF(L675&gt;0,IF(input!$B$2=$O$1,(((M675)+(M675)*$M$10)*$P$11)/1000,(((M675)+(M675)*O675+(M675)*$M$10)*$P$11)/1000),0)</f>
        <v>0</v>
      </c>
      <c r="AE675" s="2746">
        <f>IF(L675&gt;0,IF(input!$B$2=$O$1,(((N675)+(N675)*$M$10)*$P$11)/1000,(((N675)+(N675)*O675+(N675)*$M$10)*$P$11)/1000),0)</f>
        <v>0</v>
      </c>
      <c r="AF675" s="136" t="str">
        <f t="shared" si="175"/>
        <v>None</v>
      </c>
      <c r="AG675" s="2628">
        <f t="shared" si="176"/>
        <v>1.6E-2</v>
      </c>
      <c r="AH675" s="1266">
        <v>0.1</v>
      </c>
    </row>
    <row r="676" spans="1:34" ht="12.75">
      <c r="A676" s="2199">
        <f t="shared" si="178"/>
        <v>664</v>
      </c>
      <c r="B676" s="2200" t="s">
        <v>2739</v>
      </c>
      <c r="C676" s="2743">
        <v>0</v>
      </c>
      <c r="D676" s="2743">
        <v>0</v>
      </c>
      <c r="E676" s="2949">
        <v>0</v>
      </c>
      <c r="F676" s="2200">
        <v>20</v>
      </c>
      <c r="G676" s="2200" t="s">
        <v>127</v>
      </c>
      <c r="H676" s="2200" t="s">
        <v>1057</v>
      </c>
      <c r="I676" s="2742">
        <v>0</v>
      </c>
      <c r="J676" s="2742"/>
      <c r="K676" s="2752">
        <v>60</v>
      </c>
      <c r="L676" s="2745">
        <f t="shared" si="167"/>
        <v>0</v>
      </c>
      <c r="M676" s="2745">
        <f t="shared" si="170"/>
        <v>0</v>
      </c>
      <c r="N676" s="2745">
        <f t="shared" si="171"/>
        <v>20</v>
      </c>
      <c r="O676" s="1232">
        <f t="shared" si="172"/>
        <v>0</v>
      </c>
      <c r="P676" s="1227" t="str">
        <f t="shared" si="177"/>
        <v>152gsm ART PAPER CHENMING RABBIT - GLOSS</v>
      </c>
      <c r="Q676" s="254">
        <v>0.13200000000000001</v>
      </c>
      <c r="R676" s="1228" t="str">
        <f t="shared" si="180"/>
        <v>152</v>
      </c>
      <c r="S676" s="2625">
        <f t="shared" si="168"/>
        <v>0</v>
      </c>
      <c r="T676" s="2747">
        <f>IF(L676&gt;0,IF(input!$B$2=$O$1,(((L676+Y676/22)+(L676+Y676/22)*$AG676+$X676)*$P$11+$M$7)/1000,(((L676+Y676/22)+(L676+Y676/22)*O676+(L676+Y676/22)*$AG676+$X676)*$P$11+$M$7)/1000),0)</f>
        <v>0</v>
      </c>
      <c r="U676" s="2747">
        <f t="shared" si="179"/>
        <v>0</v>
      </c>
      <c r="V676" s="1229"/>
      <c r="W676" s="1231" t="str">
        <f t="shared" si="169"/>
        <v>CIF</v>
      </c>
      <c r="X676" s="1230">
        <f t="shared" si="182"/>
        <v>0</v>
      </c>
      <c r="Y676" s="2625">
        <f t="shared" si="173"/>
        <v>0</v>
      </c>
      <c r="Z676" s="3208">
        <f t="shared" si="181"/>
        <v>838.18181818181813</v>
      </c>
      <c r="AA676" s="1220" t="s">
        <v>2840</v>
      </c>
      <c r="AB676" s="1220" t="s">
        <v>1397</v>
      </c>
      <c r="AC676" s="251" t="str">
        <f t="shared" si="174"/>
        <v>152gsm ART PAPER CHENMING RABBIT - GLOSS</v>
      </c>
      <c r="AD676" s="2746">
        <f>IF(L676&gt;0,IF(input!$B$2=$O$1,(((M676)+(M676)*$M$10)*$P$11)/1000,(((M676)+(M676)*O676+(M676)*$M$10)*$P$11)/1000),0)</f>
        <v>0</v>
      </c>
      <c r="AE676" s="2746">
        <f>IF(L676&gt;0,IF(input!$B$2=$O$1,(((N676)+(N676)*$M$10)*$P$11)/1000,(((N676)+(N676)*O676+(N676)*$M$10)*$P$11)/1000),0)</f>
        <v>0</v>
      </c>
      <c r="AF676" s="136" t="str">
        <f t="shared" si="175"/>
        <v>None</v>
      </c>
      <c r="AG676" s="2628">
        <f t="shared" si="176"/>
        <v>1.6E-2</v>
      </c>
      <c r="AH676" s="1266">
        <v>0.1</v>
      </c>
    </row>
    <row r="677" spans="1:34" ht="12.75">
      <c r="A677" s="2199">
        <f t="shared" si="178"/>
        <v>665</v>
      </c>
      <c r="B677" s="2200" t="s">
        <v>2740</v>
      </c>
      <c r="C677" s="2743">
        <v>0</v>
      </c>
      <c r="D677" s="2743">
        <v>0</v>
      </c>
      <c r="E677" s="2949">
        <v>0</v>
      </c>
      <c r="F677" s="2200">
        <v>20</v>
      </c>
      <c r="G677" s="2200" t="s">
        <v>127</v>
      </c>
      <c r="H677" s="2200" t="s">
        <v>1057</v>
      </c>
      <c r="I677" s="2742">
        <v>0</v>
      </c>
      <c r="J677" s="2742"/>
      <c r="K677" s="2752">
        <v>60</v>
      </c>
      <c r="L677" s="2745">
        <f t="shared" si="167"/>
        <v>0</v>
      </c>
      <c r="M677" s="2745">
        <f t="shared" si="170"/>
        <v>0</v>
      </c>
      <c r="N677" s="2745">
        <f t="shared" si="171"/>
        <v>20</v>
      </c>
      <c r="O677" s="1232">
        <f t="shared" si="172"/>
        <v>0</v>
      </c>
      <c r="P677" s="1227" t="str">
        <f t="shared" si="177"/>
        <v>157gsm ART PAPER CHENMING RABBIT - GLOSS</v>
      </c>
      <c r="Q677" s="254">
        <v>0.13200000000000001</v>
      </c>
      <c r="R677" s="1228" t="str">
        <f t="shared" si="180"/>
        <v>157</v>
      </c>
      <c r="S677" s="2625">
        <f t="shared" si="168"/>
        <v>0</v>
      </c>
      <c r="T677" s="2747">
        <f>IF(L677&gt;0,IF(input!$B$2=$O$1,(((L677+Y677/22)+(L677+Y677/22)*$AG677+$X677)*$P$11+$M$7)/1000,(((L677+Y677/22)+(L677+Y677/22)*O677+(L677+Y677/22)*$AG677+$X677)*$P$11+$M$7)/1000),0)</f>
        <v>0</v>
      </c>
      <c r="U677" s="2747">
        <f t="shared" si="179"/>
        <v>0</v>
      </c>
      <c r="V677" s="1229"/>
      <c r="W677" s="1231" t="str">
        <f t="shared" si="169"/>
        <v>CIF</v>
      </c>
      <c r="X677" s="1230">
        <f t="shared" si="182"/>
        <v>0</v>
      </c>
      <c r="Y677" s="2625">
        <f t="shared" si="173"/>
        <v>0</v>
      </c>
      <c r="Z677" s="3208">
        <f t="shared" si="181"/>
        <v>838.18181818181813</v>
      </c>
      <c r="AA677" s="1220" t="s">
        <v>2840</v>
      </c>
      <c r="AB677" s="1220" t="s">
        <v>1397</v>
      </c>
      <c r="AC677" s="251" t="str">
        <f t="shared" si="174"/>
        <v>157gsm ART PAPER CHENMING RABBIT - GLOSS</v>
      </c>
      <c r="AD677" s="2746">
        <f>IF(L677&gt;0,IF(input!$B$2=$O$1,(((M677)+(M677)*$M$10)*$P$11)/1000,(((M677)+(M677)*O677+(M677)*$M$10)*$P$11)/1000),0)</f>
        <v>0</v>
      </c>
      <c r="AE677" s="2746">
        <f>IF(L677&gt;0,IF(input!$B$2=$O$1,(((N677)+(N677)*$M$10)*$P$11)/1000,(((N677)+(N677)*O677+(N677)*$M$10)*$P$11)/1000),0)</f>
        <v>0</v>
      </c>
      <c r="AF677" s="136" t="str">
        <f t="shared" si="175"/>
        <v>None</v>
      </c>
      <c r="AG677" s="2628">
        <f t="shared" si="176"/>
        <v>1.6E-2</v>
      </c>
      <c r="AH677" s="1266">
        <v>0.1</v>
      </c>
    </row>
    <row r="678" spans="1:34" ht="12.75">
      <c r="A678" s="2199">
        <f t="shared" si="178"/>
        <v>666</v>
      </c>
      <c r="B678" s="2200" t="s">
        <v>2741</v>
      </c>
      <c r="C678" s="2743">
        <v>0</v>
      </c>
      <c r="D678" s="2743">
        <v>0</v>
      </c>
      <c r="E678" s="2949">
        <v>0</v>
      </c>
      <c r="F678" s="2200">
        <v>20</v>
      </c>
      <c r="G678" s="2200" t="s">
        <v>127</v>
      </c>
      <c r="H678" s="2200" t="s">
        <v>1057</v>
      </c>
      <c r="I678" s="2742">
        <v>0</v>
      </c>
      <c r="J678" s="2742"/>
      <c r="K678" s="2752">
        <v>60</v>
      </c>
      <c r="L678" s="2745">
        <f t="shared" si="167"/>
        <v>0</v>
      </c>
      <c r="M678" s="2745">
        <f t="shared" si="170"/>
        <v>0</v>
      </c>
      <c r="N678" s="2745">
        <f t="shared" si="171"/>
        <v>20</v>
      </c>
      <c r="O678" s="1232">
        <f t="shared" si="172"/>
        <v>0</v>
      </c>
      <c r="P678" s="1227" t="str">
        <f t="shared" si="177"/>
        <v>170gsm ART PAPER CHENMING RABBIT - GLOSS</v>
      </c>
      <c r="Q678" s="254">
        <v>0.14599999999999999</v>
      </c>
      <c r="R678" s="1228" t="str">
        <f t="shared" si="180"/>
        <v>170</v>
      </c>
      <c r="S678" s="2625">
        <f t="shared" si="168"/>
        <v>0</v>
      </c>
      <c r="T678" s="2747">
        <f>IF(L678&gt;0,IF(input!$B$2=$O$1,(((L678+Y678/22)+(L678+Y678/22)*$AG678+$X678)*$P$11+$M$7)/1000,(((L678+Y678/22)+(L678+Y678/22)*O678+(L678+Y678/22)*$AG678+$X678)*$P$11+$M$7)/1000),0)</f>
        <v>0</v>
      </c>
      <c r="U678" s="2747">
        <f t="shared" si="179"/>
        <v>0</v>
      </c>
      <c r="V678" s="1229"/>
      <c r="W678" s="1231" t="str">
        <f t="shared" si="169"/>
        <v>CIF</v>
      </c>
      <c r="X678" s="1230">
        <f t="shared" si="182"/>
        <v>0</v>
      </c>
      <c r="Y678" s="2625">
        <f t="shared" si="173"/>
        <v>0</v>
      </c>
      <c r="Z678" s="3208">
        <f t="shared" si="181"/>
        <v>838.18181818181813</v>
      </c>
      <c r="AA678" s="1220" t="s">
        <v>2840</v>
      </c>
      <c r="AB678" s="1220" t="s">
        <v>1397</v>
      </c>
      <c r="AC678" s="251" t="str">
        <f t="shared" si="174"/>
        <v>170gsm ART PAPER CHENMING RABBIT - GLOSS</v>
      </c>
      <c r="AD678" s="2746">
        <f>IF(L678&gt;0,IF(input!$B$2=$O$1,(((M678)+(M678)*$M$10)*$P$11)/1000,(((M678)+(M678)*O678+(M678)*$M$10)*$P$11)/1000),0)</f>
        <v>0</v>
      </c>
      <c r="AE678" s="2746">
        <f>IF(L678&gt;0,IF(input!$B$2=$O$1,(((N678)+(N678)*$M$10)*$P$11)/1000,(((N678)+(N678)*O678+(N678)*$M$10)*$P$11)/1000),0)</f>
        <v>0</v>
      </c>
      <c r="AF678" s="136" t="str">
        <f t="shared" si="175"/>
        <v>None</v>
      </c>
      <c r="AG678" s="2628">
        <f t="shared" si="176"/>
        <v>1.6E-2</v>
      </c>
      <c r="AH678" s="1266">
        <v>0.1</v>
      </c>
    </row>
    <row r="679" spans="1:34" ht="12.75">
      <c r="A679" s="2199">
        <f t="shared" si="178"/>
        <v>667</v>
      </c>
      <c r="B679" s="2200" t="s">
        <v>2742</v>
      </c>
      <c r="C679" s="2743">
        <v>0</v>
      </c>
      <c r="D679" s="2743">
        <v>0</v>
      </c>
      <c r="E679" s="2949">
        <v>0</v>
      </c>
      <c r="F679" s="2200">
        <v>20</v>
      </c>
      <c r="G679" s="2200" t="s">
        <v>127</v>
      </c>
      <c r="H679" s="2200" t="s">
        <v>1057</v>
      </c>
      <c r="I679" s="2742">
        <v>0</v>
      </c>
      <c r="J679" s="2742"/>
      <c r="K679" s="2752">
        <v>60</v>
      </c>
      <c r="L679" s="2745">
        <f t="shared" si="167"/>
        <v>0</v>
      </c>
      <c r="M679" s="2745">
        <f t="shared" si="170"/>
        <v>0</v>
      </c>
      <c r="N679" s="2745">
        <f t="shared" si="171"/>
        <v>20</v>
      </c>
      <c r="O679" s="1232">
        <f t="shared" si="172"/>
        <v>0</v>
      </c>
      <c r="P679" s="1227" t="str">
        <f t="shared" si="177"/>
        <v>180gsm ART PAPER CHENMING RABBIT - GLOSS</v>
      </c>
      <c r="Q679" s="254">
        <v>0.155</v>
      </c>
      <c r="R679" s="1228" t="str">
        <f t="shared" si="180"/>
        <v>180</v>
      </c>
      <c r="S679" s="2625">
        <f t="shared" si="168"/>
        <v>0</v>
      </c>
      <c r="T679" s="2747">
        <f>IF(L679&gt;0,IF(input!$B$2=$O$1,(((L679+Y679/22)+(L679+Y679/22)*$AG679+$X679)*$P$11+$M$7)/1000,(((L679+Y679/22)+(L679+Y679/22)*O679+(L679+Y679/22)*$AG679+$X679)*$P$11+$M$7)/1000),0)</f>
        <v>0</v>
      </c>
      <c r="U679" s="2747">
        <f t="shared" si="179"/>
        <v>0</v>
      </c>
      <c r="V679" s="1229"/>
      <c r="W679" s="1231" t="str">
        <f t="shared" si="169"/>
        <v>CIF</v>
      </c>
      <c r="X679" s="1230">
        <f t="shared" si="182"/>
        <v>0</v>
      </c>
      <c r="Y679" s="2625">
        <f t="shared" si="173"/>
        <v>0</v>
      </c>
      <c r="Z679" s="3208">
        <f t="shared" si="181"/>
        <v>838.18181818181813</v>
      </c>
      <c r="AA679" s="1220" t="s">
        <v>2840</v>
      </c>
      <c r="AB679" s="1220" t="s">
        <v>1397</v>
      </c>
      <c r="AC679" s="251" t="str">
        <f t="shared" si="174"/>
        <v>180gsm ART PAPER CHENMING RABBIT - GLOSS</v>
      </c>
      <c r="AD679" s="2746">
        <f>IF(L679&gt;0,IF(input!$B$2=$O$1,(((M679)+(M679)*$M$10)*$P$11)/1000,(((M679)+(M679)*O679+(M679)*$M$10)*$P$11)/1000),0)</f>
        <v>0</v>
      </c>
      <c r="AE679" s="2746">
        <f>IF(L679&gt;0,IF(input!$B$2=$O$1,(((N679)+(N679)*$M$10)*$P$11)/1000,(((N679)+(N679)*O679+(N679)*$M$10)*$P$11)/1000),0)</f>
        <v>0</v>
      </c>
      <c r="AF679" s="136" t="str">
        <f t="shared" si="175"/>
        <v>None</v>
      </c>
      <c r="AG679" s="2628">
        <f t="shared" si="176"/>
        <v>1.6E-2</v>
      </c>
      <c r="AH679" s="1266">
        <v>0.1</v>
      </c>
    </row>
    <row r="680" spans="1:34" ht="12.75">
      <c r="A680" s="2199">
        <f t="shared" si="178"/>
        <v>668</v>
      </c>
      <c r="B680" s="2200" t="s">
        <v>2743</v>
      </c>
      <c r="C680" s="2743">
        <v>0</v>
      </c>
      <c r="D680" s="2743">
        <v>0</v>
      </c>
      <c r="E680" s="2949">
        <v>0</v>
      </c>
      <c r="F680" s="2200">
        <v>20</v>
      </c>
      <c r="G680" s="2200" t="s">
        <v>127</v>
      </c>
      <c r="H680" s="2200" t="s">
        <v>1057</v>
      </c>
      <c r="I680" s="2742">
        <v>0</v>
      </c>
      <c r="J680" s="2742"/>
      <c r="K680" s="2752">
        <v>60</v>
      </c>
      <c r="L680" s="2745">
        <f t="shared" si="167"/>
        <v>0</v>
      </c>
      <c r="M680" s="2745">
        <f t="shared" si="170"/>
        <v>0</v>
      </c>
      <c r="N680" s="2745">
        <f t="shared" si="171"/>
        <v>20</v>
      </c>
      <c r="O680" s="1232">
        <f t="shared" si="172"/>
        <v>0</v>
      </c>
      <c r="P680" s="1227" t="str">
        <f t="shared" si="177"/>
        <v>195gsm ART PAPER CHENMING RABBIT - GLOSS</v>
      </c>
      <c r="Q680" s="254">
        <v>0.17599999999999999</v>
      </c>
      <c r="R680" s="1228" t="str">
        <f t="shared" si="180"/>
        <v>195</v>
      </c>
      <c r="S680" s="2625">
        <f t="shared" si="168"/>
        <v>0</v>
      </c>
      <c r="T680" s="2747">
        <f>IF(L680&gt;0,IF(input!$B$2=$O$1,(((L680+Y680/22)+(L680+Y680/22)*$AG680+$X680)*$P$11+$M$7)/1000,(((L680+Y680/22)+(L680+Y680/22)*O680+(L680+Y680/22)*$AG680+$X680)*$P$11+$M$7)/1000),0)</f>
        <v>0</v>
      </c>
      <c r="U680" s="2747">
        <f t="shared" si="179"/>
        <v>0</v>
      </c>
      <c r="V680" s="1229"/>
      <c r="W680" s="1231" t="str">
        <f t="shared" si="169"/>
        <v>CIF</v>
      </c>
      <c r="X680" s="1230">
        <f t="shared" si="182"/>
        <v>0</v>
      </c>
      <c r="Y680" s="2625">
        <f t="shared" si="173"/>
        <v>0</v>
      </c>
      <c r="Z680" s="3208">
        <f t="shared" si="181"/>
        <v>838.18181818181813</v>
      </c>
      <c r="AA680" s="1220" t="s">
        <v>2840</v>
      </c>
      <c r="AB680" s="1220" t="s">
        <v>1397</v>
      </c>
      <c r="AC680" s="251" t="str">
        <f t="shared" si="174"/>
        <v>195gsm ART PAPER CHENMING RABBIT - GLOSS</v>
      </c>
      <c r="AD680" s="2746">
        <f>IF(L680&gt;0,IF(input!$B$2=$O$1,(((M680)+(M680)*$M$10)*$P$11)/1000,(((M680)+(M680)*O680+(M680)*$M$10)*$P$11)/1000),0)</f>
        <v>0</v>
      </c>
      <c r="AE680" s="2746">
        <f>IF(L680&gt;0,IF(input!$B$2=$O$1,(((N680)+(N680)*$M$10)*$P$11)/1000,(((N680)+(N680)*O680+(N680)*$M$10)*$P$11)/1000),0)</f>
        <v>0</v>
      </c>
      <c r="AF680" s="136" t="str">
        <f t="shared" si="175"/>
        <v>None</v>
      </c>
      <c r="AG680" s="2628">
        <f t="shared" si="176"/>
        <v>1.6E-2</v>
      </c>
      <c r="AH680" s="1266">
        <v>0.1</v>
      </c>
    </row>
    <row r="681" spans="1:34" ht="12.75">
      <c r="A681" s="2199">
        <f t="shared" si="178"/>
        <v>669</v>
      </c>
      <c r="B681" s="2200" t="s">
        <v>2744</v>
      </c>
      <c r="C681" s="2743">
        <v>0</v>
      </c>
      <c r="D681" s="2743">
        <v>0</v>
      </c>
      <c r="E681" s="2949">
        <v>0</v>
      </c>
      <c r="F681" s="2200">
        <v>20</v>
      </c>
      <c r="G681" s="2200" t="s">
        <v>127</v>
      </c>
      <c r="H681" s="2200" t="s">
        <v>1057</v>
      </c>
      <c r="I681" s="2742">
        <v>0</v>
      </c>
      <c r="J681" s="2742"/>
      <c r="K681" s="2752">
        <v>60</v>
      </c>
      <c r="L681" s="2745">
        <f t="shared" si="167"/>
        <v>0</v>
      </c>
      <c r="M681" s="2745">
        <f t="shared" si="170"/>
        <v>0</v>
      </c>
      <c r="N681" s="2745">
        <f t="shared" si="171"/>
        <v>20</v>
      </c>
      <c r="O681" s="1232">
        <f t="shared" si="172"/>
        <v>0</v>
      </c>
      <c r="P681" s="1227" t="str">
        <f t="shared" si="177"/>
        <v>200gsm ART PAPER CHENMING RABBIT - GLOSS</v>
      </c>
      <c r="Q681" s="254">
        <v>0.17599999999999999</v>
      </c>
      <c r="R681" s="1228" t="str">
        <f t="shared" si="180"/>
        <v>200</v>
      </c>
      <c r="S681" s="2625">
        <f t="shared" si="168"/>
        <v>0</v>
      </c>
      <c r="T681" s="2747">
        <f>IF(L681&gt;0,IF(input!$B$2=$O$1,(((L681+Y681/22)+(L681+Y681/22)*$AG681+$X681)*$P$11+$M$7)/1000,(((L681+Y681/22)+(L681+Y681/22)*O681+(L681+Y681/22)*$AG681+$X681)*$P$11+$M$7)/1000),0)</f>
        <v>0</v>
      </c>
      <c r="U681" s="2747">
        <f t="shared" si="179"/>
        <v>0</v>
      </c>
      <c r="V681" s="1229"/>
      <c r="W681" s="1231" t="str">
        <f t="shared" si="169"/>
        <v>CIF</v>
      </c>
      <c r="X681" s="1230">
        <f t="shared" si="182"/>
        <v>0</v>
      </c>
      <c r="Y681" s="2625">
        <f t="shared" si="173"/>
        <v>0</v>
      </c>
      <c r="Z681" s="3208">
        <f t="shared" si="181"/>
        <v>838.18181818181813</v>
      </c>
      <c r="AA681" s="1220" t="s">
        <v>2840</v>
      </c>
      <c r="AB681" s="1220" t="s">
        <v>1397</v>
      </c>
      <c r="AC681" s="251" t="str">
        <f t="shared" si="174"/>
        <v>200gsm ART PAPER CHENMING RABBIT - GLOSS</v>
      </c>
      <c r="AD681" s="2746">
        <f>IF(L681&gt;0,IF(input!$B$2=$O$1,(((M681)+(M681)*$M$10)*$P$11)/1000,(((M681)+(M681)*O681+(M681)*$M$10)*$P$11)/1000),0)</f>
        <v>0</v>
      </c>
      <c r="AE681" s="2746">
        <f>IF(L681&gt;0,IF(input!$B$2=$O$1,(((N681)+(N681)*$M$10)*$P$11)/1000,(((N681)+(N681)*O681+(N681)*$M$10)*$P$11)/1000),0)</f>
        <v>0</v>
      </c>
      <c r="AF681" s="136" t="str">
        <f t="shared" si="175"/>
        <v>None</v>
      </c>
      <c r="AG681" s="2628">
        <f t="shared" si="176"/>
        <v>1.6E-2</v>
      </c>
      <c r="AH681" s="1266">
        <v>0.1</v>
      </c>
    </row>
    <row r="682" spans="1:34" ht="12.75">
      <c r="A682" s="2199">
        <f t="shared" si="178"/>
        <v>670</v>
      </c>
      <c r="B682" s="2200" t="s">
        <v>2745</v>
      </c>
      <c r="C682" s="2743">
        <v>0</v>
      </c>
      <c r="D682" s="2743">
        <v>770</v>
      </c>
      <c r="E682" s="2949">
        <v>0</v>
      </c>
      <c r="F682" s="2200">
        <v>20</v>
      </c>
      <c r="G682" s="2200" t="s">
        <v>127</v>
      </c>
      <c r="H682" s="2200" t="s">
        <v>1057</v>
      </c>
      <c r="I682" s="2742">
        <v>30</v>
      </c>
      <c r="J682" s="2742"/>
      <c r="K682" s="2752">
        <v>60</v>
      </c>
      <c r="L682" s="2745">
        <f t="shared" si="167"/>
        <v>770</v>
      </c>
      <c r="M682" s="2745">
        <f t="shared" si="170"/>
        <v>30</v>
      </c>
      <c r="N682" s="2745">
        <f t="shared" si="171"/>
        <v>20</v>
      </c>
      <c r="O682" s="1232">
        <f t="shared" si="172"/>
        <v>0</v>
      </c>
      <c r="P682" s="1227" t="str">
        <f t="shared" si="177"/>
        <v>140gsm ART PAPER HI-KOTE HAI NAN - MATT</v>
      </c>
      <c r="Q682" s="254">
        <v>0.13400000000000001</v>
      </c>
      <c r="R682" s="1228" t="str">
        <f t="shared" si="180"/>
        <v>140</v>
      </c>
      <c r="S682" s="2625">
        <f t="shared" si="168"/>
        <v>0</v>
      </c>
      <c r="T682" s="2747">
        <f>IF(L682&gt;0,IF(input!$B$2=$O$1,(((L682+Y682/22)+(L682+Y682/22)*$AG682+$X682)*$P$11+$M$7)/1000,(((L682+Y682/22)+(L682+Y682/22)*O682+(L682+Y682/22)*$AG682+$X682)*$P$11+$M$7)/1000),0)</f>
        <v>19383.503200000003</v>
      </c>
      <c r="U682" s="2747">
        <f t="shared" si="179"/>
        <v>0</v>
      </c>
      <c r="V682" s="1229"/>
      <c r="W682" s="1231" t="str">
        <f t="shared" si="169"/>
        <v>CIF</v>
      </c>
      <c r="X682" s="1230">
        <f t="shared" si="182"/>
        <v>0</v>
      </c>
      <c r="Y682" s="2625">
        <f t="shared" si="173"/>
        <v>0</v>
      </c>
      <c r="Z682" s="3208">
        <f t="shared" si="181"/>
        <v>838.18181818181813</v>
      </c>
      <c r="AA682" s="1220" t="s">
        <v>2841</v>
      </c>
      <c r="AB682" s="1220" t="s">
        <v>1397</v>
      </c>
      <c r="AC682" s="251" t="str">
        <f t="shared" si="174"/>
        <v>140gsm ART PAPER HI-KOTE HAI NAN - MATT</v>
      </c>
      <c r="AD682" s="2746">
        <f>IF(L682&gt;0,IF(input!$B$2=$O$1,(((M682)+(M682)*$M$10)*$P$11)/1000,(((M682)+(M682)*O682+(M682)*$M$10)*$P$11)/1000),0)</f>
        <v>726.06239999999991</v>
      </c>
      <c r="AE682" s="2746">
        <f>IF(L682&gt;0,IF(input!$B$2=$O$1,(((N682)+(N682)*$M$10)*$P$11)/1000,(((N682)+(N682)*O682+(N682)*$M$10)*$P$11)/1000),0)</f>
        <v>484.04159999999996</v>
      </c>
      <c r="AF682" s="136" t="str">
        <f t="shared" si="175"/>
        <v>None</v>
      </c>
      <c r="AG682" s="2628">
        <f t="shared" si="176"/>
        <v>1.6E-2</v>
      </c>
      <c r="AH682" s="1266">
        <v>0.1</v>
      </c>
    </row>
    <row r="683" spans="1:34" ht="12.75">
      <c r="A683" s="2199">
        <f t="shared" si="178"/>
        <v>671</v>
      </c>
      <c r="B683" s="2200" t="s">
        <v>2746</v>
      </c>
      <c r="C683" s="2743">
        <v>0</v>
      </c>
      <c r="D683" s="2743">
        <v>770</v>
      </c>
      <c r="E683" s="2949">
        <v>0</v>
      </c>
      <c r="F683" s="2200">
        <v>20</v>
      </c>
      <c r="G683" s="2200" t="s">
        <v>127</v>
      </c>
      <c r="H683" s="2200" t="s">
        <v>1057</v>
      </c>
      <c r="I683" s="2742">
        <v>30</v>
      </c>
      <c r="J683" s="2742"/>
      <c r="K683" s="2752">
        <v>60</v>
      </c>
      <c r="L683" s="2745">
        <f t="shared" si="167"/>
        <v>770</v>
      </c>
      <c r="M683" s="2745">
        <f t="shared" si="170"/>
        <v>30</v>
      </c>
      <c r="N683" s="2745">
        <f t="shared" si="171"/>
        <v>20</v>
      </c>
      <c r="O683" s="1232">
        <f t="shared" si="172"/>
        <v>0</v>
      </c>
      <c r="P683" s="1227" t="str">
        <f t="shared" si="177"/>
        <v>148gsm ART PAPER HI-KOTE HAI NAN - MATT</v>
      </c>
      <c r="Q683" s="254">
        <v>0.14799999999999999</v>
      </c>
      <c r="R683" s="1228" t="str">
        <f t="shared" si="180"/>
        <v>148</v>
      </c>
      <c r="S683" s="2625">
        <f t="shared" si="168"/>
        <v>0</v>
      </c>
      <c r="T683" s="2747">
        <f>IF(L683&gt;0,IF(input!$B$2=$O$1,(((L683+Y683/22)+(L683+Y683/22)*$AG683+$X683)*$P$11+$M$7)/1000,(((L683+Y683/22)+(L683+Y683/22)*O683+(L683+Y683/22)*$AG683+$X683)*$P$11+$M$7)/1000),0)</f>
        <v>19383.503200000003</v>
      </c>
      <c r="U683" s="2747">
        <f t="shared" si="179"/>
        <v>0</v>
      </c>
      <c r="V683" s="1229"/>
      <c r="W683" s="1231" t="str">
        <f t="shared" si="169"/>
        <v>CIF</v>
      </c>
      <c r="X683" s="1230">
        <f t="shared" si="182"/>
        <v>0</v>
      </c>
      <c r="Y683" s="2625">
        <f t="shared" si="173"/>
        <v>0</v>
      </c>
      <c r="Z683" s="3208">
        <f t="shared" si="181"/>
        <v>838.18181818181813</v>
      </c>
      <c r="AA683" s="1220" t="s">
        <v>2841</v>
      </c>
      <c r="AB683" s="1220" t="s">
        <v>1397</v>
      </c>
      <c r="AC683" s="251" t="str">
        <f t="shared" si="174"/>
        <v>148gsm ART PAPER HI-KOTE HAI NAN - MATT</v>
      </c>
      <c r="AD683" s="2746">
        <f>IF(L683&gt;0,IF(input!$B$2=$O$1,(((M683)+(M683)*$M$10)*$P$11)/1000,(((M683)+(M683)*O683+(M683)*$M$10)*$P$11)/1000),0)</f>
        <v>726.06239999999991</v>
      </c>
      <c r="AE683" s="2746">
        <f>IF(L683&gt;0,IF(input!$B$2=$O$1,(((N683)+(N683)*$M$10)*$P$11)/1000,(((N683)+(N683)*O683+(N683)*$M$10)*$P$11)/1000),0)</f>
        <v>484.04159999999996</v>
      </c>
      <c r="AF683" s="136" t="str">
        <f t="shared" si="175"/>
        <v>None</v>
      </c>
      <c r="AG683" s="2628">
        <f t="shared" si="176"/>
        <v>1.6E-2</v>
      </c>
      <c r="AH683" s="1266">
        <v>0.1</v>
      </c>
    </row>
    <row r="684" spans="1:34" ht="12.75">
      <c r="A684" s="2199">
        <f t="shared" si="178"/>
        <v>672</v>
      </c>
      <c r="B684" s="2200" t="s">
        <v>2747</v>
      </c>
      <c r="C684" s="2743">
        <v>0</v>
      </c>
      <c r="D684" s="2743">
        <v>770</v>
      </c>
      <c r="E684" s="2949">
        <v>0</v>
      </c>
      <c r="F684" s="2200">
        <v>20</v>
      </c>
      <c r="G684" s="2200" t="s">
        <v>127</v>
      </c>
      <c r="H684" s="2200" t="s">
        <v>1057</v>
      </c>
      <c r="I684" s="2742">
        <v>30</v>
      </c>
      <c r="J684" s="2742"/>
      <c r="K684" s="2752">
        <v>60</v>
      </c>
      <c r="L684" s="2745">
        <f t="shared" si="167"/>
        <v>770</v>
      </c>
      <c r="M684" s="2745">
        <f t="shared" si="170"/>
        <v>30</v>
      </c>
      <c r="N684" s="2745">
        <f t="shared" si="171"/>
        <v>20</v>
      </c>
      <c r="O684" s="1232">
        <f t="shared" si="172"/>
        <v>0</v>
      </c>
      <c r="P684" s="1227" t="str">
        <f t="shared" si="177"/>
        <v>150gsm ART PAPER HI-KOTE HAI NAN - MATT</v>
      </c>
      <c r="Q684" s="254">
        <v>0.14799999999999999</v>
      </c>
      <c r="R684" s="1228" t="str">
        <f t="shared" si="180"/>
        <v>150</v>
      </c>
      <c r="S684" s="2625">
        <f t="shared" si="168"/>
        <v>0</v>
      </c>
      <c r="T684" s="2747">
        <f>IF(L684&gt;0,IF(input!$B$2=$O$1,(((L684+Y684/22)+(L684+Y684/22)*$AG684+$X684)*$P$11+$M$7)/1000,(((L684+Y684/22)+(L684+Y684/22)*O684+(L684+Y684/22)*$AG684+$X684)*$P$11+$M$7)/1000),0)</f>
        <v>19383.503200000003</v>
      </c>
      <c r="U684" s="2747">
        <f t="shared" si="179"/>
        <v>0</v>
      </c>
      <c r="V684" s="1229"/>
      <c r="W684" s="1231" t="str">
        <f t="shared" si="169"/>
        <v>CIF</v>
      </c>
      <c r="X684" s="1230">
        <f t="shared" si="182"/>
        <v>0</v>
      </c>
      <c r="Y684" s="2625">
        <f t="shared" si="173"/>
        <v>0</v>
      </c>
      <c r="Z684" s="3208">
        <f t="shared" si="181"/>
        <v>838.18181818181813</v>
      </c>
      <c r="AA684" s="1220" t="s">
        <v>2841</v>
      </c>
      <c r="AB684" s="1220" t="s">
        <v>1397</v>
      </c>
      <c r="AC684" s="251" t="str">
        <f t="shared" si="174"/>
        <v>150gsm ART PAPER HI-KOTE HAI NAN - MATT</v>
      </c>
      <c r="AD684" s="2746">
        <f>IF(L684&gt;0,IF(input!$B$2=$O$1,(((M684)+(M684)*$M$10)*$P$11)/1000,(((M684)+(M684)*O684+(M684)*$M$10)*$P$11)/1000),0)</f>
        <v>726.06239999999991</v>
      </c>
      <c r="AE684" s="2746">
        <f>IF(L684&gt;0,IF(input!$B$2=$O$1,(((N684)+(N684)*$M$10)*$P$11)/1000,(((N684)+(N684)*O684+(N684)*$M$10)*$P$11)/1000),0)</f>
        <v>484.04159999999996</v>
      </c>
      <c r="AF684" s="136" t="str">
        <f t="shared" si="175"/>
        <v>None</v>
      </c>
      <c r="AG684" s="2628">
        <f t="shared" si="176"/>
        <v>1.6E-2</v>
      </c>
      <c r="AH684" s="1266">
        <v>0.1</v>
      </c>
    </row>
    <row r="685" spans="1:34" ht="12.75">
      <c r="A685" s="2199">
        <f t="shared" si="178"/>
        <v>673</v>
      </c>
      <c r="B685" s="2200" t="s">
        <v>2748</v>
      </c>
      <c r="C685" s="2743">
        <v>0</v>
      </c>
      <c r="D685" s="2743">
        <v>770</v>
      </c>
      <c r="E685" s="2949">
        <v>0</v>
      </c>
      <c r="F685" s="2200">
        <v>20</v>
      </c>
      <c r="G685" s="2200" t="s">
        <v>127</v>
      </c>
      <c r="H685" s="2200" t="s">
        <v>1057</v>
      </c>
      <c r="I685" s="2742">
        <v>30</v>
      </c>
      <c r="J685" s="2742"/>
      <c r="K685" s="2752">
        <v>60</v>
      </c>
      <c r="L685" s="2745">
        <f t="shared" si="167"/>
        <v>770</v>
      </c>
      <c r="M685" s="2745">
        <f t="shared" si="170"/>
        <v>30</v>
      </c>
      <c r="N685" s="2745">
        <f t="shared" si="171"/>
        <v>20</v>
      </c>
      <c r="O685" s="1232">
        <f t="shared" si="172"/>
        <v>0</v>
      </c>
      <c r="P685" s="1227" t="str">
        <f t="shared" si="177"/>
        <v>157gsm ART PAPER HI-KOTE HAI NAN - MATT</v>
      </c>
      <c r="Q685" s="254">
        <v>0.153</v>
      </c>
      <c r="R685" s="1228" t="str">
        <f t="shared" si="180"/>
        <v>157</v>
      </c>
      <c r="S685" s="2625">
        <f t="shared" si="168"/>
        <v>0</v>
      </c>
      <c r="T685" s="2747">
        <f>IF(L685&gt;0,IF(input!$B$2=$O$1,(((L685+Y685/22)+(L685+Y685/22)*$AG685+$X685)*$P$11+$M$7)/1000,(((L685+Y685/22)+(L685+Y685/22)*O685+(L685+Y685/22)*$AG685+$X685)*$P$11+$M$7)/1000),0)</f>
        <v>19383.503200000003</v>
      </c>
      <c r="U685" s="2747">
        <f t="shared" si="179"/>
        <v>0</v>
      </c>
      <c r="V685" s="1229"/>
      <c r="W685" s="1231" t="str">
        <f t="shared" si="169"/>
        <v>CIF</v>
      </c>
      <c r="X685" s="1230">
        <f t="shared" si="182"/>
        <v>0</v>
      </c>
      <c r="Y685" s="2625">
        <f t="shared" si="173"/>
        <v>0</v>
      </c>
      <c r="Z685" s="3208">
        <f t="shared" si="181"/>
        <v>838.18181818181813</v>
      </c>
      <c r="AA685" s="1220" t="s">
        <v>2841</v>
      </c>
      <c r="AB685" s="1220" t="s">
        <v>1397</v>
      </c>
      <c r="AC685" s="251" t="str">
        <f t="shared" si="174"/>
        <v>157gsm ART PAPER HI-KOTE HAI NAN - MATT</v>
      </c>
      <c r="AD685" s="2746">
        <f>IF(L685&gt;0,IF(input!$B$2=$O$1,(((M685)+(M685)*$M$10)*$P$11)/1000,(((M685)+(M685)*O685+(M685)*$M$10)*$P$11)/1000),0)</f>
        <v>726.06239999999991</v>
      </c>
      <c r="AE685" s="2746">
        <f>IF(L685&gt;0,IF(input!$B$2=$O$1,(((N685)+(N685)*$M$10)*$P$11)/1000,(((N685)+(N685)*O685+(N685)*$M$10)*$P$11)/1000),0)</f>
        <v>484.04159999999996</v>
      </c>
      <c r="AF685" s="136" t="str">
        <f t="shared" si="175"/>
        <v>None</v>
      </c>
      <c r="AG685" s="2628">
        <f t="shared" si="176"/>
        <v>1.6E-2</v>
      </c>
      <c r="AH685" s="1266">
        <v>0.1</v>
      </c>
    </row>
    <row r="686" spans="1:34" ht="12.75">
      <c r="A686" s="2199">
        <f t="shared" si="178"/>
        <v>674</v>
      </c>
      <c r="B686" s="2200" t="s">
        <v>2749</v>
      </c>
      <c r="C686" s="2743">
        <v>0</v>
      </c>
      <c r="D686" s="2743">
        <v>770</v>
      </c>
      <c r="E686" s="2949">
        <v>0</v>
      </c>
      <c r="F686" s="2200">
        <v>20</v>
      </c>
      <c r="G686" s="2200" t="s">
        <v>127</v>
      </c>
      <c r="H686" s="2200" t="s">
        <v>1057</v>
      </c>
      <c r="I686" s="2742">
        <v>30</v>
      </c>
      <c r="J686" s="2742"/>
      <c r="K686" s="2752">
        <v>60</v>
      </c>
      <c r="L686" s="2745">
        <f t="shared" si="167"/>
        <v>770</v>
      </c>
      <c r="M686" s="2745">
        <f t="shared" si="170"/>
        <v>30</v>
      </c>
      <c r="N686" s="2745">
        <f t="shared" si="171"/>
        <v>20</v>
      </c>
      <c r="O686" s="1232">
        <f t="shared" si="172"/>
        <v>0</v>
      </c>
      <c r="P686" s="1227" t="str">
        <f t="shared" si="177"/>
        <v>170gsm ART PAPER HI-KOTE HAI NAN - MATT</v>
      </c>
      <c r="Q686" s="254">
        <v>0.16800000000000001</v>
      </c>
      <c r="R686" s="1228" t="str">
        <f t="shared" si="180"/>
        <v>170</v>
      </c>
      <c r="S686" s="2625">
        <f t="shared" si="168"/>
        <v>0</v>
      </c>
      <c r="T686" s="2747">
        <f>IF(L686&gt;0,IF(input!$B$2=$O$1,(((L686+Y686/22)+(L686+Y686/22)*$AG686+$X686)*$P$11+$M$7)/1000,(((L686+Y686/22)+(L686+Y686/22)*O686+(L686+Y686/22)*$AG686+$X686)*$P$11+$M$7)/1000),0)</f>
        <v>19383.503200000003</v>
      </c>
      <c r="U686" s="2747">
        <f t="shared" si="179"/>
        <v>0</v>
      </c>
      <c r="V686" s="1229"/>
      <c r="W686" s="1231" t="str">
        <f t="shared" si="169"/>
        <v>CIF</v>
      </c>
      <c r="X686" s="1230">
        <f t="shared" si="182"/>
        <v>0</v>
      </c>
      <c r="Y686" s="2625">
        <f t="shared" si="173"/>
        <v>0</v>
      </c>
      <c r="Z686" s="3208">
        <f t="shared" si="181"/>
        <v>838.18181818181813</v>
      </c>
      <c r="AA686" s="1220" t="s">
        <v>2841</v>
      </c>
      <c r="AB686" s="1220" t="s">
        <v>1397</v>
      </c>
      <c r="AC686" s="251" t="str">
        <f t="shared" si="174"/>
        <v>170gsm ART PAPER HI-KOTE HAI NAN - MATT</v>
      </c>
      <c r="AD686" s="2746">
        <f>IF(L686&gt;0,IF(input!$B$2=$O$1,(((M686)+(M686)*$M$10)*$P$11)/1000,(((M686)+(M686)*O686+(M686)*$M$10)*$P$11)/1000),0)</f>
        <v>726.06239999999991</v>
      </c>
      <c r="AE686" s="2746">
        <f>IF(L686&gt;0,IF(input!$B$2=$O$1,(((N686)+(N686)*$M$10)*$P$11)/1000,(((N686)+(N686)*O686+(N686)*$M$10)*$P$11)/1000),0)</f>
        <v>484.04159999999996</v>
      </c>
      <c r="AF686" s="136" t="str">
        <f t="shared" si="175"/>
        <v>None</v>
      </c>
      <c r="AG686" s="2628">
        <f t="shared" si="176"/>
        <v>1.6E-2</v>
      </c>
      <c r="AH686" s="1266">
        <v>0.1</v>
      </c>
    </row>
    <row r="687" spans="1:34" ht="12.75">
      <c r="A687" s="2199">
        <f t="shared" si="178"/>
        <v>675</v>
      </c>
      <c r="B687" s="2200" t="s">
        <v>2750</v>
      </c>
      <c r="C687" s="2743">
        <v>0</v>
      </c>
      <c r="D687" s="2743">
        <v>770</v>
      </c>
      <c r="E687" s="2949">
        <v>0</v>
      </c>
      <c r="F687" s="2200">
        <v>20</v>
      </c>
      <c r="G687" s="2200" t="s">
        <v>127</v>
      </c>
      <c r="H687" s="2200" t="s">
        <v>1057</v>
      </c>
      <c r="I687" s="2742">
        <v>30</v>
      </c>
      <c r="J687" s="2742"/>
      <c r="K687" s="2752">
        <v>60</v>
      </c>
      <c r="L687" s="2745">
        <f t="shared" si="167"/>
        <v>770</v>
      </c>
      <c r="M687" s="2745">
        <f t="shared" si="170"/>
        <v>30</v>
      </c>
      <c r="N687" s="2745">
        <f t="shared" si="171"/>
        <v>20</v>
      </c>
      <c r="O687" s="1232">
        <f t="shared" si="172"/>
        <v>0</v>
      </c>
      <c r="P687" s="1227" t="str">
        <f t="shared" si="177"/>
        <v>180gsm ART PAPER HI-KOTE HAI NAN - MATT</v>
      </c>
      <c r="Q687" s="254">
        <v>0.17799999999999999</v>
      </c>
      <c r="R687" s="1228" t="str">
        <f t="shared" si="180"/>
        <v>180</v>
      </c>
      <c r="S687" s="2625">
        <f t="shared" si="168"/>
        <v>0</v>
      </c>
      <c r="T687" s="2747">
        <f>IF(L687&gt;0,IF(input!$B$2=$O$1,(((L687+Y687/22)+(L687+Y687/22)*$AG687+$X687)*$P$11+$M$7)/1000,(((L687+Y687/22)+(L687+Y687/22)*O687+(L687+Y687/22)*$AG687+$X687)*$P$11+$M$7)/1000),0)</f>
        <v>19383.503200000003</v>
      </c>
      <c r="U687" s="2747">
        <f t="shared" si="179"/>
        <v>0</v>
      </c>
      <c r="V687" s="1229"/>
      <c r="W687" s="1231" t="str">
        <f t="shared" si="169"/>
        <v>CIF</v>
      </c>
      <c r="X687" s="1230">
        <f t="shared" si="182"/>
        <v>0</v>
      </c>
      <c r="Y687" s="2625">
        <f t="shared" si="173"/>
        <v>0</v>
      </c>
      <c r="Z687" s="3208">
        <f t="shared" si="181"/>
        <v>838.18181818181813</v>
      </c>
      <c r="AA687" s="1220" t="s">
        <v>2841</v>
      </c>
      <c r="AB687" s="1220" t="s">
        <v>1397</v>
      </c>
      <c r="AC687" s="251" t="str">
        <f t="shared" si="174"/>
        <v>180gsm ART PAPER HI-KOTE HAI NAN - MATT</v>
      </c>
      <c r="AD687" s="2746">
        <f>IF(L687&gt;0,IF(input!$B$2=$O$1,(((M687)+(M687)*$M$10)*$P$11)/1000,(((M687)+(M687)*O687+(M687)*$M$10)*$P$11)/1000),0)</f>
        <v>726.06239999999991</v>
      </c>
      <c r="AE687" s="2746">
        <f>IF(L687&gt;0,IF(input!$B$2=$O$1,(((N687)+(N687)*$M$10)*$P$11)/1000,(((N687)+(N687)*O687+(N687)*$M$10)*$P$11)/1000),0)</f>
        <v>484.04159999999996</v>
      </c>
      <c r="AF687" s="136" t="str">
        <f t="shared" si="175"/>
        <v>None</v>
      </c>
      <c r="AG687" s="2628">
        <f t="shared" si="176"/>
        <v>1.6E-2</v>
      </c>
      <c r="AH687" s="1266">
        <v>0.1</v>
      </c>
    </row>
    <row r="688" spans="1:34" ht="12.75">
      <c r="A688" s="2199">
        <f t="shared" si="178"/>
        <v>676</v>
      </c>
      <c r="B688" s="2200" t="s">
        <v>2751</v>
      </c>
      <c r="C688" s="2743">
        <v>0</v>
      </c>
      <c r="D688" s="2743">
        <v>770</v>
      </c>
      <c r="E688" s="2949">
        <v>0</v>
      </c>
      <c r="F688" s="2200">
        <v>20</v>
      </c>
      <c r="G688" s="2200" t="s">
        <v>127</v>
      </c>
      <c r="H688" s="2200" t="s">
        <v>1057</v>
      </c>
      <c r="I688" s="2742">
        <v>30</v>
      </c>
      <c r="J688" s="2742"/>
      <c r="K688" s="2752">
        <v>60</v>
      </c>
      <c r="L688" s="2745">
        <f t="shared" si="167"/>
        <v>770</v>
      </c>
      <c r="M688" s="2745">
        <f t="shared" si="170"/>
        <v>30</v>
      </c>
      <c r="N688" s="2745">
        <f t="shared" si="171"/>
        <v>20</v>
      </c>
      <c r="O688" s="1232">
        <f t="shared" si="172"/>
        <v>0</v>
      </c>
      <c r="P688" s="1227" t="str">
        <f t="shared" si="177"/>
        <v>190gsm ART PAPER HI-KOTE HAI NAN - MATT</v>
      </c>
      <c r="Q688" s="254">
        <v>0.188</v>
      </c>
      <c r="R688" s="1228" t="str">
        <f t="shared" si="180"/>
        <v>190</v>
      </c>
      <c r="S688" s="2625">
        <f t="shared" si="168"/>
        <v>0</v>
      </c>
      <c r="T688" s="2747">
        <f>IF(L688&gt;0,IF(input!$B$2=$O$1,(((L688+Y688/22)+(L688+Y688/22)*$AG688+$X688)*$P$11+$M$7)/1000,(((L688+Y688/22)+(L688+Y688/22)*O688+(L688+Y688/22)*$AG688+$X688)*$P$11+$M$7)/1000),0)</f>
        <v>19383.503200000003</v>
      </c>
      <c r="U688" s="2747">
        <f t="shared" si="179"/>
        <v>0</v>
      </c>
      <c r="V688" s="1229"/>
      <c r="W688" s="1231" t="str">
        <f t="shared" si="169"/>
        <v>CIF</v>
      </c>
      <c r="X688" s="1230">
        <f t="shared" si="182"/>
        <v>0</v>
      </c>
      <c r="Y688" s="2625">
        <f t="shared" si="173"/>
        <v>0</v>
      </c>
      <c r="Z688" s="3208">
        <f t="shared" si="181"/>
        <v>838.18181818181813</v>
      </c>
      <c r="AA688" s="1220" t="s">
        <v>2841</v>
      </c>
      <c r="AB688" s="1220" t="s">
        <v>1397</v>
      </c>
      <c r="AC688" s="251" t="str">
        <f t="shared" si="174"/>
        <v>190gsm ART PAPER HI-KOTE HAI NAN - MATT</v>
      </c>
      <c r="AD688" s="2746">
        <f>IF(L688&gt;0,IF(input!$B$2=$O$1,(((M688)+(M688)*$M$10)*$P$11)/1000,(((M688)+(M688)*O688+(M688)*$M$10)*$P$11)/1000),0)</f>
        <v>726.06239999999991</v>
      </c>
      <c r="AE688" s="2746">
        <f>IF(L688&gt;0,IF(input!$B$2=$O$1,(((N688)+(N688)*$M$10)*$P$11)/1000,(((N688)+(N688)*O688+(N688)*$M$10)*$P$11)/1000),0)</f>
        <v>484.04159999999996</v>
      </c>
      <c r="AF688" s="136" t="str">
        <f t="shared" si="175"/>
        <v>None</v>
      </c>
      <c r="AG688" s="2628">
        <f t="shared" si="176"/>
        <v>1.6E-2</v>
      </c>
      <c r="AH688" s="1266">
        <v>0.1</v>
      </c>
    </row>
    <row r="689" spans="1:34" ht="12.75">
      <c r="A689" s="2199">
        <f t="shared" si="178"/>
        <v>677</v>
      </c>
      <c r="B689" s="2200" t="s">
        <v>2752</v>
      </c>
      <c r="C689" s="2743">
        <v>0</v>
      </c>
      <c r="D689" s="2743">
        <v>770</v>
      </c>
      <c r="E689" s="2949">
        <v>0</v>
      </c>
      <c r="F689" s="2200">
        <v>20</v>
      </c>
      <c r="G689" s="2200" t="s">
        <v>127</v>
      </c>
      <c r="H689" s="2200" t="s">
        <v>1057</v>
      </c>
      <c r="I689" s="2742">
        <v>30</v>
      </c>
      <c r="J689" s="2742"/>
      <c r="K689" s="2752">
        <v>60</v>
      </c>
      <c r="L689" s="2745">
        <f t="shared" si="167"/>
        <v>770</v>
      </c>
      <c r="M689" s="2745">
        <f t="shared" si="170"/>
        <v>30</v>
      </c>
      <c r="N689" s="2745">
        <f t="shared" si="171"/>
        <v>20</v>
      </c>
      <c r="O689" s="1232">
        <f t="shared" si="172"/>
        <v>0</v>
      </c>
      <c r="P689" s="1227" t="str">
        <f t="shared" si="177"/>
        <v>200gsm ART PAPER HI-KOTE HAI NAN - MATT</v>
      </c>
      <c r="Q689" s="254">
        <v>0.2</v>
      </c>
      <c r="R689" s="1228" t="str">
        <f t="shared" si="180"/>
        <v>200</v>
      </c>
      <c r="S689" s="2625">
        <f t="shared" si="168"/>
        <v>0</v>
      </c>
      <c r="T689" s="2747">
        <f>IF(L689&gt;0,IF(input!$B$2=$O$1,(((L689+Y689/22)+(L689+Y689/22)*$AG689+$X689)*$P$11+$M$7)/1000,(((L689+Y689/22)+(L689+Y689/22)*O689+(L689+Y689/22)*$AG689+$X689)*$P$11+$M$7)/1000),0)</f>
        <v>19383.503200000003</v>
      </c>
      <c r="U689" s="2747">
        <f t="shared" si="179"/>
        <v>0</v>
      </c>
      <c r="V689" s="1229"/>
      <c r="W689" s="1231" t="str">
        <f t="shared" si="169"/>
        <v>CIF</v>
      </c>
      <c r="X689" s="1230">
        <f t="shared" si="182"/>
        <v>0</v>
      </c>
      <c r="Y689" s="2625">
        <f t="shared" si="173"/>
        <v>0</v>
      </c>
      <c r="Z689" s="3208">
        <f t="shared" si="181"/>
        <v>838.18181818181813</v>
      </c>
      <c r="AA689" s="1220" t="s">
        <v>2841</v>
      </c>
      <c r="AB689" s="1220" t="s">
        <v>1397</v>
      </c>
      <c r="AC689" s="251" t="str">
        <f t="shared" si="174"/>
        <v>200gsm ART PAPER HI-KOTE HAI NAN - MATT</v>
      </c>
      <c r="AD689" s="2746">
        <f>IF(L689&gt;0,IF(input!$B$2=$O$1,(((M689)+(M689)*$M$10)*$P$11)/1000,(((M689)+(M689)*O689+(M689)*$M$10)*$P$11)/1000),0)</f>
        <v>726.06239999999991</v>
      </c>
      <c r="AE689" s="2746">
        <f>IF(L689&gt;0,IF(input!$B$2=$O$1,(((N689)+(N689)*$M$10)*$P$11)/1000,(((N689)+(N689)*O689+(N689)*$M$10)*$P$11)/1000),0)</f>
        <v>484.04159999999996</v>
      </c>
      <c r="AF689" s="136" t="str">
        <f t="shared" si="175"/>
        <v>None</v>
      </c>
      <c r="AG689" s="2628">
        <f t="shared" si="176"/>
        <v>1.6E-2</v>
      </c>
      <c r="AH689" s="1266">
        <v>0.1</v>
      </c>
    </row>
    <row r="690" spans="1:34" ht="12.75">
      <c r="A690" s="2199">
        <f t="shared" si="178"/>
        <v>678</v>
      </c>
      <c r="B690" s="2200" t="s">
        <v>2753</v>
      </c>
      <c r="C690" s="2743">
        <v>0</v>
      </c>
      <c r="D690" s="2743">
        <v>770</v>
      </c>
      <c r="E690" s="2949">
        <v>0</v>
      </c>
      <c r="F690" s="2200">
        <v>20</v>
      </c>
      <c r="G690" s="2200" t="s">
        <v>127</v>
      </c>
      <c r="H690" s="2200" t="s">
        <v>1057</v>
      </c>
      <c r="I690" s="2742">
        <v>30</v>
      </c>
      <c r="J690" s="2742"/>
      <c r="K690" s="2752">
        <v>60</v>
      </c>
      <c r="L690" s="2745">
        <f t="shared" si="167"/>
        <v>770</v>
      </c>
      <c r="M690" s="2745">
        <f t="shared" si="170"/>
        <v>30</v>
      </c>
      <c r="N690" s="2745">
        <f t="shared" si="171"/>
        <v>20</v>
      </c>
      <c r="O690" s="1232">
        <f t="shared" si="172"/>
        <v>0</v>
      </c>
      <c r="P690" s="1227" t="str">
        <f t="shared" si="177"/>
        <v>210gsm ART PAPER HI-KOTE HAI NAN - MATT</v>
      </c>
      <c r="Q690" s="254">
        <v>0.21</v>
      </c>
      <c r="R690" s="1228" t="str">
        <f t="shared" si="180"/>
        <v>210</v>
      </c>
      <c r="S690" s="2625">
        <f t="shared" si="168"/>
        <v>0</v>
      </c>
      <c r="T690" s="2747">
        <f>IF(L690&gt;0,IF(input!$B$2=$O$1,(((L690+Y690/22)+(L690+Y690/22)*$AG690+$X690)*$P$11+$M$7)/1000,(((L690+Y690/22)+(L690+Y690/22)*O690+(L690+Y690/22)*$AG690+$X690)*$P$11+$M$7)/1000),0)</f>
        <v>19383.503200000003</v>
      </c>
      <c r="U690" s="2747">
        <f t="shared" si="179"/>
        <v>0</v>
      </c>
      <c r="V690" s="1229"/>
      <c r="W690" s="1231" t="str">
        <f t="shared" si="169"/>
        <v>CIF</v>
      </c>
      <c r="X690" s="1230">
        <f t="shared" si="182"/>
        <v>0</v>
      </c>
      <c r="Y690" s="2625">
        <f t="shared" si="173"/>
        <v>0</v>
      </c>
      <c r="Z690" s="3208">
        <f t="shared" si="181"/>
        <v>838.18181818181813</v>
      </c>
      <c r="AA690" s="1220" t="s">
        <v>2841</v>
      </c>
      <c r="AB690" s="1220" t="s">
        <v>1397</v>
      </c>
      <c r="AC690" s="251" t="str">
        <f t="shared" si="174"/>
        <v>210gsm ART PAPER HI-KOTE HAI NAN - MATT</v>
      </c>
      <c r="AD690" s="2746">
        <f>IF(L690&gt;0,IF(input!$B$2=$O$1,(((M690)+(M690)*$M$10)*$P$11)/1000,(((M690)+(M690)*O690+(M690)*$M$10)*$P$11)/1000),0)</f>
        <v>726.06239999999991</v>
      </c>
      <c r="AE690" s="2746">
        <f>IF(L690&gt;0,IF(input!$B$2=$O$1,(((N690)+(N690)*$M$10)*$P$11)/1000,(((N690)+(N690)*O690+(N690)*$M$10)*$P$11)/1000),0)</f>
        <v>484.04159999999996</v>
      </c>
      <c r="AF690" s="136" t="str">
        <f t="shared" si="175"/>
        <v>None</v>
      </c>
      <c r="AG690" s="2628">
        <f t="shared" si="176"/>
        <v>1.6E-2</v>
      </c>
      <c r="AH690" s="1266">
        <v>0.1</v>
      </c>
    </row>
    <row r="691" spans="1:34" ht="12.75">
      <c r="A691" s="2199">
        <f t="shared" si="178"/>
        <v>679</v>
      </c>
      <c r="B691" s="2200" t="s">
        <v>2754</v>
      </c>
      <c r="C691" s="2743">
        <v>0</v>
      </c>
      <c r="D691" s="2743">
        <v>770</v>
      </c>
      <c r="E691" s="2949">
        <v>0</v>
      </c>
      <c r="F691" s="2200">
        <v>20</v>
      </c>
      <c r="G691" s="2200" t="s">
        <v>127</v>
      </c>
      <c r="H691" s="2200" t="s">
        <v>1057</v>
      </c>
      <c r="I691" s="2742">
        <v>30</v>
      </c>
      <c r="J691" s="2742"/>
      <c r="K691" s="2752">
        <v>60</v>
      </c>
      <c r="L691" s="2745">
        <f t="shared" si="167"/>
        <v>770</v>
      </c>
      <c r="M691" s="2745">
        <f t="shared" si="170"/>
        <v>30</v>
      </c>
      <c r="N691" s="2745">
        <f t="shared" si="171"/>
        <v>20</v>
      </c>
      <c r="O691" s="1232">
        <f t="shared" si="172"/>
        <v>0</v>
      </c>
      <c r="P691" s="1227" t="str">
        <f t="shared" si="177"/>
        <v>230gsm ART PAPER HI-KOTE HAI NAN - MATT</v>
      </c>
      <c r="Q691" s="254">
        <v>0.21199999999999999</v>
      </c>
      <c r="R691" s="1228" t="str">
        <f t="shared" si="180"/>
        <v>230</v>
      </c>
      <c r="S691" s="2625">
        <f t="shared" si="168"/>
        <v>0</v>
      </c>
      <c r="T691" s="2747">
        <f>IF(L691&gt;0,IF(input!$B$2=$O$1,(((L691+Y691/22)+(L691+Y691/22)*$AG691+$X691)*$P$11+$M$7)/1000,(((L691+Y691/22)+(L691+Y691/22)*O691+(L691+Y691/22)*$AG691+$X691)*$P$11+$M$7)/1000),0)</f>
        <v>19383.503200000003</v>
      </c>
      <c r="U691" s="2747">
        <f t="shared" si="179"/>
        <v>0</v>
      </c>
      <c r="V691" s="1229"/>
      <c r="W691" s="1231" t="str">
        <f t="shared" si="169"/>
        <v>CIF</v>
      </c>
      <c r="X691" s="1230">
        <f t="shared" si="182"/>
        <v>0</v>
      </c>
      <c r="Y691" s="2625">
        <f t="shared" si="173"/>
        <v>0</v>
      </c>
      <c r="Z691" s="3208">
        <f t="shared" si="181"/>
        <v>838.18181818181813</v>
      </c>
      <c r="AA691" s="1220" t="s">
        <v>2841</v>
      </c>
      <c r="AB691" s="1220" t="s">
        <v>1397</v>
      </c>
      <c r="AC691" s="251" t="str">
        <f t="shared" si="174"/>
        <v>230gsm ART PAPER HI-KOTE HAI NAN - MATT</v>
      </c>
      <c r="AD691" s="2746">
        <f>IF(L691&gt;0,IF(input!$B$2=$O$1,(((M691)+(M691)*$M$10)*$P$11)/1000,(((M691)+(M691)*O691+(M691)*$M$10)*$P$11)/1000),0)</f>
        <v>726.06239999999991</v>
      </c>
      <c r="AE691" s="2746">
        <f>IF(L691&gt;0,IF(input!$B$2=$O$1,(((N691)+(N691)*$M$10)*$P$11)/1000,(((N691)+(N691)*O691+(N691)*$M$10)*$P$11)/1000),0)</f>
        <v>484.04159999999996</v>
      </c>
      <c r="AF691" s="136" t="str">
        <f t="shared" si="175"/>
        <v>None</v>
      </c>
      <c r="AG691" s="2628">
        <f t="shared" si="176"/>
        <v>1.6E-2</v>
      </c>
      <c r="AH691" s="1266">
        <v>0.1</v>
      </c>
    </row>
    <row r="692" spans="1:34" ht="12.75">
      <c r="A692" s="2199">
        <f t="shared" si="178"/>
        <v>680</v>
      </c>
      <c r="B692" s="2200" t="s">
        <v>2755</v>
      </c>
      <c r="C692" s="2743">
        <v>0</v>
      </c>
      <c r="D692" s="2743">
        <v>770</v>
      </c>
      <c r="E692" s="2949">
        <v>0</v>
      </c>
      <c r="F692" s="2200">
        <v>20</v>
      </c>
      <c r="G692" s="2200" t="s">
        <v>127</v>
      </c>
      <c r="H692" s="2200" t="s">
        <v>1057</v>
      </c>
      <c r="I692" s="2742">
        <v>30</v>
      </c>
      <c r="J692" s="2742"/>
      <c r="K692" s="2752">
        <v>60</v>
      </c>
      <c r="L692" s="2745">
        <f t="shared" si="167"/>
        <v>770</v>
      </c>
      <c r="M692" s="2745">
        <f t="shared" si="170"/>
        <v>30</v>
      </c>
      <c r="N692" s="2745">
        <f t="shared" si="171"/>
        <v>20</v>
      </c>
      <c r="O692" s="1232">
        <f t="shared" si="172"/>
        <v>0</v>
      </c>
      <c r="P692" s="1227" t="str">
        <f t="shared" si="177"/>
        <v>250gsm ART PAPER HI-KOTE HAI NAN - MATT</v>
      </c>
      <c r="Q692" s="254">
        <v>0.25</v>
      </c>
      <c r="R692" s="1228" t="str">
        <f t="shared" si="180"/>
        <v>250</v>
      </c>
      <c r="S692" s="2625">
        <f t="shared" si="168"/>
        <v>0</v>
      </c>
      <c r="T692" s="2747">
        <f>IF(L692&gt;0,IF(input!$B$2=$O$1,(((L692+Y692/22)+(L692+Y692/22)*$AG692+$X692)*$P$11+$M$7)/1000,(((L692+Y692/22)+(L692+Y692/22)*O692+(L692+Y692/22)*$AG692+$X692)*$P$11+$M$7)/1000),0)</f>
        <v>19383.503200000003</v>
      </c>
      <c r="U692" s="2747">
        <f t="shared" si="179"/>
        <v>0</v>
      </c>
      <c r="V692" s="1229"/>
      <c r="W692" s="1231" t="str">
        <f t="shared" si="169"/>
        <v>CIF</v>
      </c>
      <c r="X692" s="1230">
        <f t="shared" si="182"/>
        <v>0</v>
      </c>
      <c r="Y692" s="2625">
        <f t="shared" si="173"/>
        <v>0</v>
      </c>
      <c r="Z692" s="3208">
        <f t="shared" si="181"/>
        <v>838.18181818181813</v>
      </c>
      <c r="AA692" s="1220" t="s">
        <v>2841</v>
      </c>
      <c r="AB692" s="1220" t="s">
        <v>1397</v>
      </c>
      <c r="AC692" s="251" t="str">
        <f t="shared" si="174"/>
        <v>250gsm ART PAPER HI-KOTE HAI NAN - MATT</v>
      </c>
      <c r="AD692" s="2746">
        <f>IF(L692&gt;0,IF(input!$B$2=$O$1,(((M692)+(M692)*$M$10)*$P$11)/1000,(((M692)+(M692)*O692+(M692)*$M$10)*$P$11)/1000),0)</f>
        <v>726.06239999999991</v>
      </c>
      <c r="AE692" s="2746">
        <f>IF(L692&gt;0,IF(input!$B$2=$O$1,(((N692)+(N692)*$M$10)*$P$11)/1000,(((N692)+(N692)*O692+(N692)*$M$10)*$P$11)/1000),0)</f>
        <v>484.04159999999996</v>
      </c>
      <c r="AF692" s="136" t="str">
        <f t="shared" si="175"/>
        <v>None</v>
      </c>
      <c r="AG692" s="2628">
        <f t="shared" si="176"/>
        <v>1.6E-2</v>
      </c>
      <c r="AH692" s="1266">
        <v>0.1</v>
      </c>
    </row>
    <row r="693" spans="1:34" ht="12.75">
      <c r="A693" s="2199">
        <f t="shared" si="178"/>
        <v>681</v>
      </c>
      <c r="B693" s="2200" t="s">
        <v>2756</v>
      </c>
      <c r="C693" s="2743">
        <v>0</v>
      </c>
      <c r="D693" s="2743">
        <v>770</v>
      </c>
      <c r="E693" s="2949">
        <v>0</v>
      </c>
      <c r="F693" s="2200">
        <v>20</v>
      </c>
      <c r="G693" s="2200" t="s">
        <v>127</v>
      </c>
      <c r="H693" s="2200" t="s">
        <v>1057</v>
      </c>
      <c r="I693" s="2742">
        <v>30</v>
      </c>
      <c r="J693" s="2742"/>
      <c r="K693" s="2752">
        <v>60</v>
      </c>
      <c r="L693" s="2745">
        <f t="shared" si="167"/>
        <v>770</v>
      </c>
      <c r="M693" s="2745">
        <f t="shared" si="170"/>
        <v>30</v>
      </c>
      <c r="N693" s="2745">
        <f t="shared" si="171"/>
        <v>20</v>
      </c>
      <c r="O693" s="1232">
        <f t="shared" si="172"/>
        <v>0</v>
      </c>
      <c r="P693" s="1227" t="str">
        <f t="shared" si="177"/>
        <v>260gsm ART PAPER HI-KOTE HAI NAN - MATT</v>
      </c>
      <c r="Q693" s="254">
        <v>0.26</v>
      </c>
      <c r="R693" s="1228" t="str">
        <f t="shared" si="180"/>
        <v>260</v>
      </c>
      <c r="S693" s="2625">
        <f t="shared" si="168"/>
        <v>0</v>
      </c>
      <c r="T693" s="2747">
        <f>IF(L693&gt;0,IF(input!$B$2=$O$1,(((L693+Y693/22)+(L693+Y693/22)*$AG693+$X693)*$P$11+$M$7)/1000,(((L693+Y693/22)+(L693+Y693/22)*O693+(L693+Y693/22)*$AG693+$X693)*$P$11+$M$7)/1000),0)</f>
        <v>19383.503200000003</v>
      </c>
      <c r="U693" s="2747">
        <f t="shared" si="179"/>
        <v>0</v>
      </c>
      <c r="V693" s="1229"/>
      <c r="W693" s="1231" t="str">
        <f t="shared" si="169"/>
        <v>CIF</v>
      </c>
      <c r="X693" s="1230">
        <f t="shared" si="182"/>
        <v>0</v>
      </c>
      <c r="Y693" s="2625">
        <f t="shared" si="173"/>
        <v>0</v>
      </c>
      <c r="Z693" s="3208">
        <f t="shared" si="181"/>
        <v>838.18181818181813</v>
      </c>
      <c r="AA693" s="1220" t="s">
        <v>2841</v>
      </c>
      <c r="AB693" s="1220" t="s">
        <v>1397</v>
      </c>
      <c r="AC693" s="251" t="str">
        <f t="shared" si="174"/>
        <v>260gsm ART PAPER HI-KOTE HAI NAN - MATT</v>
      </c>
      <c r="AD693" s="2746">
        <f>IF(L693&gt;0,IF(input!$B$2=$O$1,(((M693)+(M693)*$M$10)*$P$11)/1000,(((M693)+(M693)*O693+(M693)*$M$10)*$P$11)/1000),0)</f>
        <v>726.06239999999991</v>
      </c>
      <c r="AE693" s="2746">
        <f>IF(L693&gt;0,IF(input!$B$2=$O$1,(((N693)+(N693)*$M$10)*$P$11)/1000,(((N693)+(N693)*O693+(N693)*$M$10)*$P$11)/1000),0)</f>
        <v>484.04159999999996</v>
      </c>
      <c r="AF693" s="136" t="str">
        <f t="shared" si="175"/>
        <v>None</v>
      </c>
      <c r="AG693" s="2628">
        <f t="shared" si="176"/>
        <v>1.6E-2</v>
      </c>
      <c r="AH693" s="1266">
        <v>0.1</v>
      </c>
    </row>
    <row r="694" spans="1:34" ht="12.75">
      <c r="A694" s="2199">
        <f t="shared" si="178"/>
        <v>682</v>
      </c>
      <c r="B694" s="2200" t="s">
        <v>2757</v>
      </c>
      <c r="C694" s="2743">
        <v>0</v>
      </c>
      <c r="D694" s="2743">
        <v>770</v>
      </c>
      <c r="E694" s="2949">
        <v>0</v>
      </c>
      <c r="F694" s="2200">
        <v>20</v>
      </c>
      <c r="G694" s="2200" t="s">
        <v>127</v>
      </c>
      <c r="H694" s="2200" t="s">
        <v>1057</v>
      </c>
      <c r="I694" s="2742">
        <v>30</v>
      </c>
      <c r="J694" s="2742"/>
      <c r="K694" s="2752">
        <v>60</v>
      </c>
      <c r="L694" s="2745">
        <f t="shared" si="167"/>
        <v>770</v>
      </c>
      <c r="M694" s="2745">
        <f t="shared" si="170"/>
        <v>30</v>
      </c>
      <c r="N694" s="2745">
        <f t="shared" si="171"/>
        <v>20</v>
      </c>
      <c r="O694" s="1232">
        <f t="shared" si="172"/>
        <v>0</v>
      </c>
      <c r="P694" s="1227" t="str">
        <f t="shared" si="177"/>
        <v>300gsm ART PAPER HI-KOTE HAI NAN - MATT</v>
      </c>
      <c r="Q694" s="254">
        <v>0.28299999999999997</v>
      </c>
      <c r="R694" s="1228" t="str">
        <f t="shared" si="180"/>
        <v>300</v>
      </c>
      <c r="S694" s="2625">
        <f t="shared" si="168"/>
        <v>0</v>
      </c>
      <c r="T694" s="2747">
        <f>IF(L694&gt;0,IF(input!$B$2=$O$1,(((L694+Y694/22)+(L694+Y694/22)*$AG694+$X694)*$P$11+$M$7)/1000,(((L694+Y694/22)+(L694+Y694/22)*O694+(L694+Y694/22)*$AG694+$X694)*$P$11+$M$7)/1000),0)</f>
        <v>19383.503200000003</v>
      </c>
      <c r="U694" s="2747">
        <f t="shared" si="179"/>
        <v>0</v>
      </c>
      <c r="V694" s="1229"/>
      <c r="W694" s="1231" t="str">
        <f t="shared" si="169"/>
        <v>CIF</v>
      </c>
      <c r="X694" s="1230">
        <f t="shared" si="182"/>
        <v>0</v>
      </c>
      <c r="Y694" s="2625">
        <f t="shared" si="173"/>
        <v>0</v>
      </c>
      <c r="Z694" s="3208">
        <f t="shared" si="181"/>
        <v>838.18181818181813</v>
      </c>
      <c r="AA694" s="1220" t="s">
        <v>2841</v>
      </c>
      <c r="AB694" s="1220" t="s">
        <v>1397</v>
      </c>
      <c r="AC694" s="251" t="str">
        <f t="shared" si="174"/>
        <v>300gsm ART PAPER HI-KOTE HAI NAN - MATT</v>
      </c>
      <c r="AD694" s="2746">
        <f>IF(L694&gt;0,IF(input!$B$2=$O$1,(((M694)+(M694)*$M$10)*$P$11)/1000,(((M694)+(M694)*O694+(M694)*$M$10)*$P$11)/1000),0)</f>
        <v>726.06239999999991</v>
      </c>
      <c r="AE694" s="2746">
        <f>IF(L694&gt;0,IF(input!$B$2=$O$1,(((N694)+(N694)*$M$10)*$P$11)/1000,(((N694)+(N694)*O694+(N694)*$M$10)*$P$11)/1000),0)</f>
        <v>484.04159999999996</v>
      </c>
      <c r="AF694" s="136" t="str">
        <f t="shared" si="175"/>
        <v>None</v>
      </c>
      <c r="AG694" s="2628">
        <f t="shared" si="176"/>
        <v>1.6E-2</v>
      </c>
      <c r="AH694" s="1266">
        <v>0.1</v>
      </c>
    </row>
    <row r="695" spans="1:34" ht="12.75">
      <c r="A695" s="2199">
        <f t="shared" si="178"/>
        <v>683</v>
      </c>
      <c r="B695" s="2200" t="s">
        <v>2758</v>
      </c>
      <c r="C695" s="2743">
        <v>0</v>
      </c>
      <c r="D695" s="2743">
        <v>770</v>
      </c>
      <c r="E695" s="2949">
        <v>0</v>
      </c>
      <c r="F695" s="2200">
        <v>20</v>
      </c>
      <c r="G695" s="2200" t="s">
        <v>127</v>
      </c>
      <c r="H695" s="2200" t="s">
        <v>1057</v>
      </c>
      <c r="I695" s="2742">
        <v>30</v>
      </c>
      <c r="J695" s="2742"/>
      <c r="K695" s="2752">
        <v>60</v>
      </c>
      <c r="L695" s="2745">
        <f t="shared" si="167"/>
        <v>770</v>
      </c>
      <c r="M695" s="2745">
        <f t="shared" si="170"/>
        <v>30</v>
      </c>
      <c r="N695" s="2745">
        <f t="shared" si="171"/>
        <v>20</v>
      </c>
      <c r="O695" s="1232">
        <f t="shared" si="172"/>
        <v>0</v>
      </c>
      <c r="P695" s="1227" t="str">
        <f t="shared" si="177"/>
        <v>140gsm ART PAPER HI-KOTE HAI NAN - GLOSS</v>
      </c>
      <c r="Q695" s="254">
        <v>0.12</v>
      </c>
      <c r="R695" s="1228" t="str">
        <f t="shared" si="180"/>
        <v>140</v>
      </c>
      <c r="S695" s="2625">
        <f t="shared" si="168"/>
        <v>0</v>
      </c>
      <c r="T695" s="2747">
        <f>IF(L695&gt;0,IF(input!$B$2=$O$1,(((L695+Y695/22)+(L695+Y695/22)*$AG695+$X695)*$P$11+$M$7)/1000,(((L695+Y695/22)+(L695+Y695/22)*O695+(L695+Y695/22)*$AG695+$X695)*$P$11+$M$7)/1000),0)</f>
        <v>19383.503200000003</v>
      </c>
      <c r="U695" s="2747">
        <f t="shared" si="179"/>
        <v>0</v>
      </c>
      <c r="V695" s="1229"/>
      <c r="W695" s="1231" t="str">
        <f t="shared" si="169"/>
        <v>CIF</v>
      </c>
      <c r="X695" s="1230">
        <f t="shared" si="182"/>
        <v>0</v>
      </c>
      <c r="Y695" s="2625">
        <f t="shared" si="173"/>
        <v>0</v>
      </c>
      <c r="Z695" s="3208">
        <f t="shared" si="181"/>
        <v>838.18181818181813</v>
      </c>
      <c r="AA695" s="1220" t="s">
        <v>2842</v>
      </c>
      <c r="AB695" s="1220" t="s">
        <v>1397</v>
      </c>
      <c r="AC695" s="251" t="str">
        <f t="shared" si="174"/>
        <v>140gsm ART PAPER HI-KOTE HAI NAN - GLOSS</v>
      </c>
      <c r="AD695" s="2746">
        <f>IF(L695&gt;0,IF(input!$B$2=$O$1,(((M695)+(M695)*$M$10)*$P$11)/1000,(((M695)+(M695)*O695+(M695)*$M$10)*$P$11)/1000),0)</f>
        <v>726.06239999999991</v>
      </c>
      <c r="AE695" s="2746">
        <f>IF(L695&gt;0,IF(input!$B$2=$O$1,(((N695)+(N695)*$M$10)*$P$11)/1000,(((N695)+(N695)*O695+(N695)*$M$10)*$P$11)/1000),0)</f>
        <v>484.04159999999996</v>
      </c>
      <c r="AF695" s="136" t="str">
        <f t="shared" si="175"/>
        <v>None</v>
      </c>
      <c r="AG695" s="2628">
        <f t="shared" si="176"/>
        <v>1.6E-2</v>
      </c>
      <c r="AH695" s="1266">
        <v>0.1</v>
      </c>
    </row>
    <row r="696" spans="1:34" ht="12.75">
      <c r="A696" s="2199">
        <f t="shared" si="178"/>
        <v>684</v>
      </c>
      <c r="B696" s="2200" t="s">
        <v>2759</v>
      </c>
      <c r="C696" s="2743">
        <v>0</v>
      </c>
      <c r="D696" s="2743">
        <v>770</v>
      </c>
      <c r="E696" s="2949">
        <v>0</v>
      </c>
      <c r="F696" s="2200">
        <v>20</v>
      </c>
      <c r="G696" s="2200" t="s">
        <v>127</v>
      </c>
      <c r="H696" s="2200" t="s">
        <v>1057</v>
      </c>
      <c r="I696" s="2742">
        <v>30</v>
      </c>
      <c r="J696" s="2742"/>
      <c r="K696" s="2752">
        <v>60</v>
      </c>
      <c r="L696" s="2745">
        <f t="shared" si="167"/>
        <v>770</v>
      </c>
      <c r="M696" s="2745">
        <f t="shared" si="170"/>
        <v>30</v>
      </c>
      <c r="N696" s="2745">
        <f t="shared" si="171"/>
        <v>20</v>
      </c>
      <c r="O696" s="1232">
        <f t="shared" si="172"/>
        <v>0</v>
      </c>
      <c r="P696" s="1227" t="str">
        <f t="shared" si="177"/>
        <v>150gsm ART PAPER HI-KOTE HAI NAN - GLOSS</v>
      </c>
      <c r="Q696" s="254">
        <v>0.129</v>
      </c>
      <c r="R696" s="1228" t="str">
        <f t="shared" si="180"/>
        <v>150</v>
      </c>
      <c r="S696" s="2625">
        <f t="shared" si="168"/>
        <v>0</v>
      </c>
      <c r="T696" s="2747">
        <f>IF(L696&gt;0,IF(input!$B$2=$O$1,(((L696+Y696/22)+(L696+Y696/22)*$AG696+$X696)*$P$11+$M$7)/1000,(((L696+Y696/22)+(L696+Y696/22)*O696+(L696+Y696/22)*$AG696+$X696)*$P$11+$M$7)/1000),0)</f>
        <v>19383.503200000003</v>
      </c>
      <c r="U696" s="2747">
        <f t="shared" si="179"/>
        <v>0</v>
      </c>
      <c r="V696" s="1229"/>
      <c r="W696" s="1231" t="str">
        <f t="shared" si="169"/>
        <v>CIF</v>
      </c>
      <c r="X696" s="1230">
        <f t="shared" si="182"/>
        <v>0</v>
      </c>
      <c r="Y696" s="2625">
        <f t="shared" si="173"/>
        <v>0</v>
      </c>
      <c r="Z696" s="3208">
        <f t="shared" si="181"/>
        <v>838.18181818181813</v>
      </c>
      <c r="AA696" s="1220" t="s">
        <v>2842</v>
      </c>
      <c r="AB696" s="1220" t="s">
        <v>1397</v>
      </c>
      <c r="AC696" s="251" t="str">
        <f t="shared" si="174"/>
        <v>150gsm ART PAPER HI-KOTE HAI NAN - GLOSS</v>
      </c>
      <c r="AD696" s="2746">
        <f>IF(L696&gt;0,IF(input!$B$2=$O$1,(((M696)+(M696)*$M$10)*$P$11)/1000,(((M696)+(M696)*O696+(M696)*$M$10)*$P$11)/1000),0)</f>
        <v>726.06239999999991</v>
      </c>
      <c r="AE696" s="2746">
        <f>IF(L696&gt;0,IF(input!$B$2=$O$1,(((N696)+(N696)*$M$10)*$P$11)/1000,(((N696)+(N696)*O696+(N696)*$M$10)*$P$11)/1000),0)</f>
        <v>484.04159999999996</v>
      </c>
      <c r="AF696" s="136" t="str">
        <f t="shared" si="175"/>
        <v>None</v>
      </c>
      <c r="AG696" s="2628">
        <f t="shared" si="176"/>
        <v>1.6E-2</v>
      </c>
      <c r="AH696" s="1266">
        <v>0.1</v>
      </c>
    </row>
    <row r="697" spans="1:34" ht="12.75">
      <c r="A697" s="2199">
        <f t="shared" si="178"/>
        <v>685</v>
      </c>
      <c r="B697" s="2200" t="s">
        <v>2760</v>
      </c>
      <c r="C697" s="2743">
        <v>0</v>
      </c>
      <c r="D697" s="2743">
        <v>770</v>
      </c>
      <c r="E697" s="2949">
        <v>0</v>
      </c>
      <c r="F697" s="2200">
        <v>20</v>
      </c>
      <c r="G697" s="2200" t="s">
        <v>127</v>
      </c>
      <c r="H697" s="2200" t="s">
        <v>1057</v>
      </c>
      <c r="I697" s="2742">
        <v>30</v>
      </c>
      <c r="J697" s="2742"/>
      <c r="K697" s="2752">
        <v>60</v>
      </c>
      <c r="L697" s="2745">
        <f t="shared" si="167"/>
        <v>770</v>
      </c>
      <c r="M697" s="2745">
        <f t="shared" si="170"/>
        <v>30</v>
      </c>
      <c r="N697" s="2745">
        <f t="shared" si="171"/>
        <v>20</v>
      </c>
      <c r="O697" s="1232">
        <f t="shared" si="172"/>
        <v>0</v>
      </c>
      <c r="P697" s="1227" t="str">
        <f t="shared" si="177"/>
        <v>157gsm ART PAPER HI-KOTE HAI NAN - GLOSS</v>
      </c>
      <c r="Q697" s="254">
        <v>0.13400000000000001</v>
      </c>
      <c r="R697" s="1228" t="str">
        <f t="shared" si="180"/>
        <v>157</v>
      </c>
      <c r="S697" s="2625">
        <f t="shared" si="168"/>
        <v>0</v>
      </c>
      <c r="T697" s="2747">
        <f>IF(L697&gt;0,IF(input!$B$2=$O$1,(((L697+Y697/22)+(L697+Y697/22)*$AG697+$X697)*$P$11+$M$7)/1000,(((L697+Y697/22)+(L697+Y697/22)*O697+(L697+Y697/22)*$AG697+$X697)*$P$11+$M$7)/1000),0)</f>
        <v>19383.503200000003</v>
      </c>
      <c r="U697" s="2747">
        <f t="shared" si="179"/>
        <v>0</v>
      </c>
      <c r="V697" s="1229"/>
      <c r="W697" s="1231" t="str">
        <f t="shared" si="169"/>
        <v>CIF</v>
      </c>
      <c r="X697" s="1230">
        <f t="shared" si="182"/>
        <v>0</v>
      </c>
      <c r="Y697" s="2625">
        <f t="shared" si="173"/>
        <v>0</v>
      </c>
      <c r="Z697" s="3208">
        <f t="shared" si="181"/>
        <v>838.18181818181813</v>
      </c>
      <c r="AA697" s="1220" t="s">
        <v>2842</v>
      </c>
      <c r="AB697" s="1220" t="s">
        <v>1397</v>
      </c>
      <c r="AC697" s="251" t="str">
        <f t="shared" si="174"/>
        <v>157gsm ART PAPER HI-KOTE HAI NAN - GLOSS</v>
      </c>
      <c r="AD697" s="2746">
        <f>IF(L697&gt;0,IF(input!$B$2=$O$1,(((M697)+(M697)*$M$10)*$P$11)/1000,(((M697)+(M697)*O697+(M697)*$M$10)*$P$11)/1000),0)</f>
        <v>726.06239999999991</v>
      </c>
      <c r="AE697" s="2746">
        <f>IF(L697&gt;0,IF(input!$B$2=$O$1,(((N697)+(N697)*$M$10)*$P$11)/1000,(((N697)+(N697)*O697+(N697)*$M$10)*$P$11)/1000),0)</f>
        <v>484.04159999999996</v>
      </c>
      <c r="AF697" s="136" t="str">
        <f t="shared" si="175"/>
        <v>None</v>
      </c>
      <c r="AG697" s="2628">
        <f t="shared" si="176"/>
        <v>1.6E-2</v>
      </c>
      <c r="AH697" s="1266">
        <v>0.1</v>
      </c>
    </row>
    <row r="698" spans="1:34" ht="12.75">
      <c r="A698" s="2199">
        <f t="shared" si="178"/>
        <v>686</v>
      </c>
      <c r="B698" s="2200" t="s">
        <v>2761</v>
      </c>
      <c r="C698" s="2743">
        <v>20400</v>
      </c>
      <c r="D698" s="2743">
        <v>770</v>
      </c>
      <c r="E698" s="2949">
        <v>0</v>
      </c>
      <c r="F698" s="2200">
        <v>20</v>
      </c>
      <c r="G698" s="2200" t="s">
        <v>127</v>
      </c>
      <c r="H698" s="2200" t="s">
        <v>1057</v>
      </c>
      <c r="I698" s="2742">
        <v>30</v>
      </c>
      <c r="J698" s="2742"/>
      <c r="K698" s="2752">
        <v>60</v>
      </c>
      <c r="L698" s="2745">
        <f t="shared" si="167"/>
        <v>770</v>
      </c>
      <c r="M698" s="2745">
        <f t="shared" si="170"/>
        <v>30</v>
      </c>
      <c r="N698" s="2745">
        <f t="shared" si="171"/>
        <v>20</v>
      </c>
      <c r="O698" s="1232">
        <f t="shared" si="172"/>
        <v>0</v>
      </c>
      <c r="P698" s="1227" t="str">
        <f t="shared" si="177"/>
        <v>170gsm ART PAPER HI-KOTE HAI NAN - GLOSS</v>
      </c>
      <c r="Q698" s="254">
        <v>0.14599999999999999</v>
      </c>
      <c r="R698" s="1228" t="str">
        <f t="shared" si="180"/>
        <v>170</v>
      </c>
      <c r="S698" s="2625">
        <f t="shared" si="168"/>
        <v>20400</v>
      </c>
      <c r="T698" s="2747">
        <f>IF(L698&gt;0,IF(input!$B$2=$O$1,(((L698+Y698/22)+(L698+Y698/22)*$AG698+$X698)*$P$11+$M$7)/1000,(((L698+Y698/22)+(L698+Y698/22)*O698+(L698+Y698/22)*$AG698+$X698)*$P$11+$M$7)/1000),0)</f>
        <v>19383.503200000003</v>
      </c>
      <c r="U698" s="2747">
        <f t="shared" si="179"/>
        <v>19727.070707070707</v>
      </c>
      <c r="V698" s="1229"/>
      <c r="W698" s="1231" t="str">
        <f t="shared" si="169"/>
        <v>CIF</v>
      </c>
      <c r="X698" s="1230">
        <f t="shared" si="182"/>
        <v>0</v>
      </c>
      <c r="Y698" s="2625">
        <f t="shared" si="173"/>
        <v>0</v>
      </c>
      <c r="Z698" s="3208">
        <f t="shared" si="181"/>
        <v>838.18181818181813</v>
      </c>
      <c r="AA698" s="1220" t="s">
        <v>2842</v>
      </c>
      <c r="AB698" s="1220" t="s">
        <v>1397</v>
      </c>
      <c r="AC698" s="251" t="str">
        <f t="shared" si="174"/>
        <v>170gsm ART PAPER HI-KOTE HAI NAN - GLOSS</v>
      </c>
      <c r="AD698" s="2746">
        <f>IF(L698&gt;0,IF(input!$B$2=$O$1,(((M698)+(M698)*$M$10)*$P$11)/1000,(((M698)+(M698)*O698+(M698)*$M$10)*$P$11)/1000),0)</f>
        <v>726.06239999999991</v>
      </c>
      <c r="AE698" s="2746">
        <f>IF(L698&gt;0,IF(input!$B$2=$O$1,(((N698)+(N698)*$M$10)*$P$11)/1000,(((N698)+(N698)*O698+(N698)*$M$10)*$P$11)/1000),0)</f>
        <v>484.04159999999996</v>
      </c>
      <c r="AF698" s="136" t="str">
        <f t="shared" si="175"/>
        <v>None</v>
      </c>
      <c r="AG698" s="2628">
        <f t="shared" si="176"/>
        <v>1.6E-2</v>
      </c>
      <c r="AH698" s="1266">
        <v>0.1</v>
      </c>
    </row>
    <row r="699" spans="1:34" ht="12.75">
      <c r="A699" s="2199">
        <f t="shared" si="178"/>
        <v>687</v>
      </c>
      <c r="B699" s="2200" t="s">
        <v>2762</v>
      </c>
      <c r="C699" s="2743">
        <v>20400</v>
      </c>
      <c r="D699" s="2743">
        <v>770</v>
      </c>
      <c r="E699" s="2949">
        <v>0</v>
      </c>
      <c r="F699" s="2200">
        <v>20</v>
      </c>
      <c r="G699" s="2200" t="s">
        <v>127</v>
      </c>
      <c r="H699" s="2200" t="s">
        <v>1057</v>
      </c>
      <c r="I699" s="2742">
        <v>30</v>
      </c>
      <c r="J699" s="2742"/>
      <c r="K699" s="2752">
        <v>60</v>
      </c>
      <c r="L699" s="2745">
        <f t="shared" si="167"/>
        <v>770</v>
      </c>
      <c r="M699" s="2745">
        <f t="shared" si="170"/>
        <v>30</v>
      </c>
      <c r="N699" s="2745">
        <f t="shared" si="171"/>
        <v>20</v>
      </c>
      <c r="O699" s="1232">
        <f t="shared" si="172"/>
        <v>0</v>
      </c>
      <c r="P699" s="1227" t="str">
        <f t="shared" si="177"/>
        <v>180gsm ART PAPER HI-KOTE HAI NAN - GLOSS</v>
      </c>
      <c r="Q699" s="254">
        <v>0.154</v>
      </c>
      <c r="R699" s="1228" t="str">
        <f t="shared" si="180"/>
        <v>180</v>
      </c>
      <c r="S699" s="2625">
        <f t="shared" si="168"/>
        <v>20400</v>
      </c>
      <c r="T699" s="2747">
        <f>IF(L699&gt;0,IF(input!$B$2=$O$1,(((L699+Y699/22)+(L699+Y699/22)*$AG699+$X699)*$P$11+$M$7)/1000,(((L699+Y699/22)+(L699+Y699/22)*O699+(L699+Y699/22)*$AG699+$X699)*$P$11+$M$7)/1000),0)</f>
        <v>19383.503200000003</v>
      </c>
      <c r="U699" s="2747">
        <f t="shared" si="179"/>
        <v>19727.070707070707</v>
      </c>
      <c r="V699" s="1229"/>
      <c r="W699" s="1231" t="str">
        <f t="shared" si="169"/>
        <v>CIF</v>
      </c>
      <c r="X699" s="1230">
        <f t="shared" si="182"/>
        <v>0</v>
      </c>
      <c r="Y699" s="2625">
        <f t="shared" si="173"/>
        <v>0</v>
      </c>
      <c r="Z699" s="3208">
        <f t="shared" si="181"/>
        <v>838.18181818181813</v>
      </c>
      <c r="AA699" s="1220" t="s">
        <v>2842</v>
      </c>
      <c r="AB699" s="1220" t="s">
        <v>1397</v>
      </c>
      <c r="AC699" s="251" t="str">
        <f t="shared" si="174"/>
        <v>180gsm ART PAPER HI-KOTE HAI NAN - GLOSS</v>
      </c>
      <c r="AD699" s="2746">
        <f>IF(L699&gt;0,IF(input!$B$2=$O$1,(((M699)+(M699)*$M$10)*$P$11)/1000,(((M699)+(M699)*O699+(M699)*$M$10)*$P$11)/1000),0)</f>
        <v>726.06239999999991</v>
      </c>
      <c r="AE699" s="2746">
        <f>IF(L699&gt;0,IF(input!$B$2=$O$1,(((N699)+(N699)*$M$10)*$P$11)/1000,(((N699)+(N699)*O699+(N699)*$M$10)*$P$11)/1000),0)</f>
        <v>484.04159999999996</v>
      </c>
      <c r="AF699" s="136" t="str">
        <f t="shared" si="175"/>
        <v>None</v>
      </c>
      <c r="AG699" s="2628">
        <f t="shared" si="176"/>
        <v>1.6E-2</v>
      </c>
      <c r="AH699" s="1266">
        <v>0.1</v>
      </c>
    </row>
    <row r="700" spans="1:34" ht="12.75">
      <c r="A700" s="2199">
        <f t="shared" si="178"/>
        <v>688</v>
      </c>
      <c r="B700" s="2200" t="s">
        <v>2763</v>
      </c>
      <c r="C700" s="2743">
        <v>20400</v>
      </c>
      <c r="D700" s="2743">
        <v>770</v>
      </c>
      <c r="E700" s="2949">
        <v>0</v>
      </c>
      <c r="F700" s="2200">
        <v>20</v>
      </c>
      <c r="G700" s="2200" t="s">
        <v>127</v>
      </c>
      <c r="H700" s="2200" t="s">
        <v>1057</v>
      </c>
      <c r="I700" s="2742">
        <v>30</v>
      </c>
      <c r="J700" s="2742"/>
      <c r="K700" s="2752">
        <v>60</v>
      </c>
      <c r="L700" s="2745">
        <f t="shared" si="167"/>
        <v>770</v>
      </c>
      <c r="M700" s="2745">
        <f t="shared" si="170"/>
        <v>30</v>
      </c>
      <c r="N700" s="2745">
        <f t="shared" si="171"/>
        <v>20</v>
      </c>
      <c r="O700" s="1232">
        <f t="shared" si="172"/>
        <v>0</v>
      </c>
      <c r="P700" s="1227" t="str">
        <f t="shared" si="177"/>
        <v>190gsm ART PAPER HI-KOTE HAI NAN - GLOSS</v>
      </c>
      <c r="Q700" s="254">
        <v>0.16400000000000001</v>
      </c>
      <c r="R700" s="1228" t="str">
        <f t="shared" si="180"/>
        <v>190</v>
      </c>
      <c r="S700" s="2625">
        <f t="shared" si="168"/>
        <v>20400</v>
      </c>
      <c r="T700" s="2747">
        <f>IF(L700&gt;0,IF(input!$B$2=$O$1,(((L700+Y700/22)+(L700+Y700/22)*$AG700+$X700)*$P$11+$M$7)/1000,(((L700+Y700/22)+(L700+Y700/22)*O700+(L700+Y700/22)*$AG700+$X700)*$P$11+$M$7)/1000),0)</f>
        <v>19383.503200000003</v>
      </c>
      <c r="U700" s="2747">
        <f t="shared" si="179"/>
        <v>19727.070707070707</v>
      </c>
      <c r="V700" s="1229"/>
      <c r="W700" s="1231" t="str">
        <f t="shared" si="169"/>
        <v>CIF</v>
      </c>
      <c r="X700" s="1230">
        <f t="shared" si="182"/>
        <v>0</v>
      </c>
      <c r="Y700" s="2625">
        <f t="shared" si="173"/>
        <v>0</v>
      </c>
      <c r="Z700" s="3208">
        <f t="shared" si="181"/>
        <v>838.18181818181813</v>
      </c>
      <c r="AA700" s="1220" t="s">
        <v>2842</v>
      </c>
      <c r="AB700" s="1220" t="s">
        <v>1397</v>
      </c>
      <c r="AC700" s="251" t="str">
        <f t="shared" si="174"/>
        <v>190gsm ART PAPER HI-KOTE HAI NAN - GLOSS</v>
      </c>
      <c r="AD700" s="2746">
        <f>IF(L700&gt;0,IF(input!$B$2=$O$1,(((M700)+(M700)*$M$10)*$P$11)/1000,(((M700)+(M700)*O700+(M700)*$M$10)*$P$11)/1000),0)</f>
        <v>726.06239999999991</v>
      </c>
      <c r="AE700" s="2746">
        <f>IF(L700&gt;0,IF(input!$B$2=$O$1,(((N700)+(N700)*$M$10)*$P$11)/1000,(((N700)+(N700)*O700+(N700)*$M$10)*$P$11)/1000),0)</f>
        <v>484.04159999999996</v>
      </c>
      <c r="AF700" s="136" t="str">
        <f t="shared" si="175"/>
        <v>None</v>
      </c>
      <c r="AG700" s="2628">
        <f t="shared" si="176"/>
        <v>1.6E-2</v>
      </c>
      <c r="AH700" s="1266">
        <v>0.1</v>
      </c>
    </row>
    <row r="701" spans="1:34" ht="12.75">
      <c r="A701" s="2199">
        <f t="shared" si="178"/>
        <v>689</v>
      </c>
      <c r="B701" s="2200" t="s">
        <v>2764</v>
      </c>
      <c r="C701" s="2743">
        <v>20400</v>
      </c>
      <c r="D701" s="2743">
        <v>770</v>
      </c>
      <c r="E701" s="2949">
        <v>0</v>
      </c>
      <c r="F701" s="2200">
        <v>20</v>
      </c>
      <c r="G701" s="2200" t="s">
        <v>127</v>
      </c>
      <c r="H701" s="2200" t="s">
        <v>1057</v>
      </c>
      <c r="I701" s="2742">
        <v>30</v>
      </c>
      <c r="J701" s="2742"/>
      <c r="K701" s="2752">
        <v>60</v>
      </c>
      <c r="L701" s="2745">
        <f t="shared" si="167"/>
        <v>770</v>
      </c>
      <c r="M701" s="2745">
        <f t="shared" si="170"/>
        <v>30</v>
      </c>
      <c r="N701" s="2745">
        <f t="shared" si="171"/>
        <v>20</v>
      </c>
      <c r="O701" s="1232">
        <f t="shared" si="172"/>
        <v>0</v>
      </c>
      <c r="P701" s="1227" t="str">
        <f t="shared" si="177"/>
        <v>200gsm ART PAPER HI-KOTE HAI NAN - GLOSS</v>
      </c>
      <c r="Q701" s="254">
        <v>0.17299999999999999</v>
      </c>
      <c r="R701" s="1228" t="str">
        <f t="shared" si="180"/>
        <v>200</v>
      </c>
      <c r="S701" s="2625">
        <f t="shared" si="168"/>
        <v>20400</v>
      </c>
      <c r="T701" s="2747">
        <f>IF(L701&gt;0,IF(input!$B$2=$O$1,(((L701+Y701/22)+(L701+Y701/22)*$AG701+$X701)*$P$11+$M$7)/1000,(((L701+Y701/22)+(L701+Y701/22)*O701+(L701+Y701/22)*$AG701+$X701)*$P$11+$M$7)/1000),0)</f>
        <v>19383.503200000003</v>
      </c>
      <c r="U701" s="2747">
        <f t="shared" si="179"/>
        <v>19727.070707070707</v>
      </c>
      <c r="V701" s="1229"/>
      <c r="W701" s="1231" t="str">
        <f t="shared" si="169"/>
        <v>CIF</v>
      </c>
      <c r="X701" s="1230">
        <f t="shared" si="182"/>
        <v>0</v>
      </c>
      <c r="Y701" s="2625">
        <f t="shared" si="173"/>
        <v>0</v>
      </c>
      <c r="Z701" s="3208">
        <f t="shared" si="181"/>
        <v>838.18181818181813</v>
      </c>
      <c r="AA701" s="1220" t="s">
        <v>2842</v>
      </c>
      <c r="AB701" s="1220" t="s">
        <v>1397</v>
      </c>
      <c r="AC701" s="251" t="str">
        <f t="shared" si="174"/>
        <v>200gsm ART PAPER HI-KOTE HAI NAN - GLOSS</v>
      </c>
      <c r="AD701" s="2746">
        <f>IF(L701&gt;0,IF(input!$B$2=$O$1,(((M701)+(M701)*$M$10)*$P$11)/1000,(((M701)+(M701)*O701+(M701)*$M$10)*$P$11)/1000),0)</f>
        <v>726.06239999999991</v>
      </c>
      <c r="AE701" s="2746">
        <f>IF(L701&gt;0,IF(input!$B$2=$O$1,(((N701)+(N701)*$M$10)*$P$11)/1000,(((N701)+(N701)*O701+(N701)*$M$10)*$P$11)/1000),0)</f>
        <v>484.04159999999996</v>
      </c>
      <c r="AF701" s="136" t="str">
        <f t="shared" si="175"/>
        <v>None</v>
      </c>
      <c r="AG701" s="2628">
        <f t="shared" si="176"/>
        <v>1.6E-2</v>
      </c>
      <c r="AH701" s="1266">
        <v>0.1</v>
      </c>
    </row>
    <row r="702" spans="1:34" ht="12.75">
      <c r="A702" s="2199">
        <f t="shared" si="178"/>
        <v>690</v>
      </c>
      <c r="B702" s="2200" t="s">
        <v>2765</v>
      </c>
      <c r="C702" s="2743">
        <v>20400</v>
      </c>
      <c r="D702" s="2743">
        <v>770</v>
      </c>
      <c r="E702" s="2949">
        <v>0</v>
      </c>
      <c r="F702" s="2200">
        <v>20</v>
      </c>
      <c r="G702" s="2200" t="s">
        <v>127</v>
      </c>
      <c r="H702" s="2200" t="s">
        <v>1057</v>
      </c>
      <c r="I702" s="2742">
        <v>30</v>
      </c>
      <c r="J702" s="2742"/>
      <c r="K702" s="2752">
        <v>60</v>
      </c>
      <c r="L702" s="2745">
        <f t="shared" si="167"/>
        <v>770</v>
      </c>
      <c r="M702" s="2745">
        <f t="shared" si="170"/>
        <v>30</v>
      </c>
      <c r="N702" s="2745">
        <f t="shared" si="171"/>
        <v>20</v>
      </c>
      <c r="O702" s="1232">
        <f t="shared" si="172"/>
        <v>0</v>
      </c>
      <c r="P702" s="1227" t="str">
        <f t="shared" si="177"/>
        <v>210gsm ART PAPER HI-KOTE HAI NAN - GLOSS</v>
      </c>
      <c r="Q702" s="254">
        <v>0.183</v>
      </c>
      <c r="R702" s="1228" t="str">
        <f t="shared" si="180"/>
        <v>210</v>
      </c>
      <c r="S702" s="2625">
        <f t="shared" si="168"/>
        <v>20400</v>
      </c>
      <c r="T702" s="2747">
        <f>IF(L702&gt;0,IF(input!$B$2=$O$1,(((L702+Y702/22)+(L702+Y702/22)*$AG702+$X702)*$P$11+$M$7)/1000,(((L702+Y702/22)+(L702+Y702/22)*O702+(L702+Y702/22)*$AG702+$X702)*$P$11+$M$7)/1000),0)</f>
        <v>19383.503200000003</v>
      </c>
      <c r="U702" s="2747">
        <f t="shared" si="179"/>
        <v>19727.070707070707</v>
      </c>
      <c r="V702" s="1229"/>
      <c r="W702" s="1231" t="str">
        <f t="shared" si="169"/>
        <v>CIF</v>
      </c>
      <c r="X702" s="1230">
        <f t="shared" si="182"/>
        <v>0</v>
      </c>
      <c r="Y702" s="2625">
        <f t="shared" si="173"/>
        <v>0</v>
      </c>
      <c r="Z702" s="3208">
        <f t="shared" si="181"/>
        <v>838.18181818181813</v>
      </c>
      <c r="AA702" s="1220" t="s">
        <v>2842</v>
      </c>
      <c r="AB702" s="1220" t="s">
        <v>1397</v>
      </c>
      <c r="AC702" s="251" t="str">
        <f t="shared" si="174"/>
        <v>210gsm ART PAPER HI-KOTE HAI NAN - GLOSS</v>
      </c>
      <c r="AD702" s="2746">
        <f>IF(L702&gt;0,IF(input!$B$2=$O$1,(((M702)+(M702)*$M$10)*$P$11)/1000,(((M702)+(M702)*O702+(M702)*$M$10)*$P$11)/1000),0)</f>
        <v>726.06239999999991</v>
      </c>
      <c r="AE702" s="2746">
        <f>IF(L702&gt;0,IF(input!$B$2=$O$1,(((N702)+(N702)*$M$10)*$P$11)/1000,(((N702)+(N702)*O702+(N702)*$M$10)*$P$11)/1000),0)</f>
        <v>484.04159999999996</v>
      </c>
      <c r="AF702" s="136" t="str">
        <f t="shared" si="175"/>
        <v>None</v>
      </c>
      <c r="AG702" s="2628">
        <f t="shared" si="176"/>
        <v>1.6E-2</v>
      </c>
      <c r="AH702" s="1266">
        <v>0.1</v>
      </c>
    </row>
    <row r="703" spans="1:34" ht="12.75">
      <c r="A703" s="2199">
        <f t="shared" si="178"/>
        <v>691</v>
      </c>
      <c r="B703" s="2200" t="s">
        <v>2766</v>
      </c>
      <c r="C703" s="2743">
        <v>20400</v>
      </c>
      <c r="D703" s="2743">
        <v>770</v>
      </c>
      <c r="E703" s="2949">
        <v>0</v>
      </c>
      <c r="F703" s="2200">
        <v>20</v>
      </c>
      <c r="G703" s="2200" t="s">
        <v>127</v>
      </c>
      <c r="H703" s="2200" t="s">
        <v>1057</v>
      </c>
      <c r="I703" s="2742">
        <v>30</v>
      </c>
      <c r="J703" s="2742"/>
      <c r="K703" s="2752">
        <v>60</v>
      </c>
      <c r="L703" s="2745">
        <f t="shared" si="167"/>
        <v>770</v>
      </c>
      <c r="M703" s="2745">
        <f t="shared" si="170"/>
        <v>30</v>
      </c>
      <c r="N703" s="2745">
        <f t="shared" si="171"/>
        <v>20</v>
      </c>
      <c r="O703" s="1232">
        <f t="shared" si="172"/>
        <v>0</v>
      </c>
      <c r="P703" s="1227" t="str">
        <f t="shared" si="177"/>
        <v>230gsm ART PAPER HI-KOTE HAI NAN - GLOSS</v>
      </c>
      <c r="Q703" s="254">
        <v>0.20100000000000001</v>
      </c>
      <c r="R703" s="1228" t="str">
        <f t="shared" si="180"/>
        <v>230</v>
      </c>
      <c r="S703" s="2625">
        <f t="shared" si="168"/>
        <v>20400</v>
      </c>
      <c r="T703" s="2747">
        <f>IF(L703&gt;0,IF(input!$B$2=$O$1,(((L703+Y703/22)+(L703+Y703/22)*$AG703+$X703)*$P$11+$M$7)/1000,(((L703+Y703/22)+(L703+Y703/22)*O703+(L703+Y703/22)*$AG703+$X703)*$P$11+$M$7)/1000),0)</f>
        <v>19383.503200000003</v>
      </c>
      <c r="U703" s="2747">
        <f t="shared" si="179"/>
        <v>19727.070707070707</v>
      </c>
      <c r="V703" s="1229"/>
      <c r="W703" s="1231" t="str">
        <f t="shared" si="169"/>
        <v>CIF</v>
      </c>
      <c r="X703" s="1230">
        <f t="shared" si="182"/>
        <v>0</v>
      </c>
      <c r="Y703" s="2625">
        <f t="shared" si="173"/>
        <v>0</v>
      </c>
      <c r="Z703" s="3208">
        <f t="shared" si="181"/>
        <v>838.18181818181813</v>
      </c>
      <c r="AA703" s="1220" t="s">
        <v>2842</v>
      </c>
      <c r="AB703" s="1220" t="s">
        <v>1397</v>
      </c>
      <c r="AC703" s="251" t="str">
        <f t="shared" si="174"/>
        <v>230gsm ART PAPER HI-KOTE HAI NAN - GLOSS</v>
      </c>
      <c r="AD703" s="2746">
        <f>IF(L703&gt;0,IF(input!$B$2=$O$1,(((M703)+(M703)*$M$10)*$P$11)/1000,(((M703)+(M703)*O703+(M703)*$M$10)*$P$11)/1000),0)</f>
        <v>726.06239999999991</v>
      </c>
      <c r="AE703" s="2746">
        <f>IF(L703&gt;0,IF(input!$B$2=$O$1,(((N703)+(N703)*$M$10)*$P$11)/1000,(((N703)+(N703)*O703+(N703)*$M$10)*$P$11)/1000),0)</f>
        <v>484.04159999999996</v>
      </c>
      <c r="AF703" s="136" t="str">
        <f t="shared" si="175"/>
        <v>None</v>
      </c>
      <c r="AG703" s="2628">
        <f t="shared" si="176"/>
        <v>1.6E-2</v>
      </c>
      <c r="AH703" s="1266">
        <v>0.1</v>
      </c>
    </row>
    <row r="704" spans="1:34" ht="12.75">
      <c r="A704" s="2199">
        <f t="shared" si="178"/>
        <v>692</v>
      </c>
      <c r="B704" s="2200" t="s">
        <v>2767</v>
      </c>
      <c r="C704" s="2743">
        <v>0</v>
      </c>
      <c r="D704" s="2743">
        <v>770</v>
      </c>
      <c r="E704" s="2949">
        <v>0</v>
      </c>
      <c r="F704" s="2200">
        <v>20</v>
      </c>
      <c r="G704" s="2200" t="s">
        <v>127</v>
      </c>
      <c r="H704" s="2200" t="s">
        <v>1057</v>
      </c>
      <c r="I704" s="2742">
        <v>30</v>
      </c>
      <c r="J704" s="2742"/>
      <c r="K704" s="2752">
        <v>60</v>
      </c>
      <c r="L704" s="2745">
        <f t="shared" si="167"/>
        <v>770</v>
      </c>
      <c r="M704" s="2745">
        <f t="shared" si="170"/>
        <v>30</v>
      </c>
      <c r="N704" s="2745">
        <f t="shared" si="171"/>
        <v>20</v>
      </c>
      <c r="O704" s="1232">
        <f t="shared" si="172"/>
        <v>0</v>
      </c>
      <c r="P704" s="1227" t="str">
        <f t="shared" si="177"/>
        <v>250gsm ART PAPER HI-KOTE HAI NAN - GLOSS</v>
      </c>
      <c r="Q704" s="254">
        <v>0.255</v>
      </c>
      <c r="R704" s="1228" t="str">
        <f t="shared" si="180"/>
        <v>250</v>
      </c>
      <c r="S704" s="2625">
        <f t="shared" si="168"/>
        <v>0</v>
      </c>
      <c r="T704" s="2747">
        <f>IF(L704&gt;0,IF(input!$B$2=$O$1,(((L704+Y704/22)+(L704+Y704/22)*$AG704+$X704)*$P$11+$M$7)/1000,(((L704+Y704/22)+(L704+Y704/22)*O704+(L704+Y704/22)*$AG704+$X704)*$P$11+$M$7)/1000),0)</f>
        <v>19383.503200000003</v>
      </c>
      <c r="U704" s="2747">
        <f t="shared" si="179"/>
        <v>0</v>
      </c>
      <c r="V704" s="1229"/>
      <c r="W704" s="1231" t="str">
        <f t="shared" si="169"/>
        <v>CIF</v>
      </c>
      <c r="X704" s="1230">
        <f t="shared" si="182"/>
        <v>0</v>
      </c>
      <c r="Y704" s="2625">
        <f t="shared" si="173"/>
        <v>0</v>
      </c>
      <c r="Z704" s="3208">
        <f t="shared" si="181"/>
        <v>838.18181818181813</v>
      </c>
      <c r="AA704" s="1220" t="s">
        <v>2842</v>
      </c>
      <c r="AB704" s="1220" t="s">
        <v>1397</v>
      </c>
      <c r="AC704" s="251" t="str">
        <f t="shared" si="174"/>
        <v>250gsm ART PAPER HI-KOTE HAI NAN - GLOSS</v>
      </c>
      <c r="AD704" s="2746">
        <f>IF(L704&gt;0,IF(input!$B$2=$O$1,(((M704)+(M704)*$M$10)*$P$11)/1000,(((M704)+(M704)*O704+(M704)*$M$10)*$P$11)/1000),0)</f>
        <v>726.06239999999991</v>
      </c>
      <c r="AE704" s="2746">
        <f>IF(L704&gt;0,IF(input!$B$2=$O$1,(((N704)+(N704)*$M$10)*$P$11)/1000,(((N704)+(N704)*O704+(N704)*$M$10)*$P$11)/1000),0)</f>
        <v>484.04159999999996</v>
      </c>
      <c r="AF704" s="136" t="str">
        <f t="shared" si="175"/>
        <v>None</v>
      </c>
      <c r="AG704" s="2628">
        <f t="shared" si="176"/>
        <v>1.6E-2</v>
      </c>
      <c r="AH704" s="1266">
        <v>0.1</v>
      </c>
    </row>
    <row r="705" spans="1:34" ht="12.75">
      <c r="A705" s="2199">
        <f t="shared" si="178"/>
        <v>693</v>
      </c>
      <c r="B705" s="2200" t="s">
        <v>2768</v>
      </c>
      <c r="C705" s="2743">
        <v>0</v>
      </c>
      <c r="D705" s="2743">
        <v>770</v>
      </c>
      <c r="E705" s="2949">
        <v>0</v>
      </c>
      <c r="F705" s="2200">
        <v>20</v>
      </c>
      <c r="G705" s="2200" t="s">
        <v>127</v>
      </c>
      <c r="H705" s="2200" t="s">
        <v>1057</v>
      </c>
      <c r="I705" s="2742">
        <v>30</v>
      </c>
      <c r="J705" s="2742"/>
      <c r="K705" s="2752">
        <v>60</v>
      </c>
      <c r="L705" s="2745">
        <f t="shared" ref="L705:L768" si="183">$D705</f>
        <v>770</v>
      </c>
      <c r="M705" s="2745">
        <f t="shared" si="170"/>
        <v>30</v>
      </c>
      <c r="N705" s="2745">
        <f t="shared" si="171"/>
        <v>20</v>
      </c>
      <c r="O705" s="1232">
        <f t="shared" si="172"/>
        <v>0</v>
      </c>
      <c r="P705" s="1227" t="str">
        <f t="shared" si="177"/>
        <v>260gsm ART PAPER HI-KOTE HAI NAN - GLOSS</v>
      </c>
      <c r="Q705" s="254">
        <v>0.23400000000000001</v>
      </c>
      <c r="R705" s="1228" t="str">
        <f t="shared" si="180"/>
        <v>260</v>
      </c>
      <c r="S705" s="2625">
        <f t="shared" ref="S705:S728" si="184">C705</f>
        <v>0</v>
      </c>
      <c r="T705" s="2747">
        <f>IF(L705&gt;0,IF(input!$B$2=$O$1,(((L705+Y705/22)+(L705+Y705/22)*$AG705+$X705)*$P$11+$M$7)/1000,(((L705+Y705/22)+(L705+Y705/22)*O705+(L705+Y705/22)*$AG705+$X705)*$P$11+$M$7)/1000),0)</f>
        <v>19383.503200000003</v>
      </c>
      <c r="U705" s="2747">
        <f t="shared" si="179"/>
        <v>0</v>
      </c>
      <c r="V705" s="1229"/>
      <c r="W705" s="1231" t="str">
        <f t="shared" ref="W705:W728" si="185">H705</f>
        <v>CIF</v>
      </c>
      <c r="X705" s="1230">
        <f t="shared" si="182"/>
        <v>0</v>
      </c>
      <c r="Y705" s="2625">
        <f t="shared" si="173"/>
        <v>0</v>
      </c>
      <c r="Z705" s="3208">
        <f t="shared" si="181"/>
        <v>838.18181818181813</v>
      </c>
      <c r="AA705" s="1220" t="s">
        <v>2842</v>
      </c>
      <c r="AB705" s="1220" t="s">
        <v>1397</v>
      </c>
      <c r="AC705" s="251" t="str">
        <f t="shared" si="174"/>
        <v>260gsm ART PAPER HI-KOTE HAI NAN - GLOSS</v>
      </c>
      <c r="AD705" s="2746">
        <f>IF(L705&gt;0,IF(input!$B$2=$O$1,(((M705)+(M705)*$M$10)*$P$11)/1000,(((M705)+(M705)*O705+(M705)*$M$10)*$P$11)/1000),0)</f>
        <v>726.06239999999991</v>
      </c>
      <c r="AE705" s="2746">
        <f>IF(L705&gt;0,IF(input!$B$2=$O$1,(((N705)+(N705)*$M$10)*$P$11)/1000,(((N705)+(N705)*O705+(N705)*$M$10)*$P$11)/1000),0)</f>
        <v>484.04159999999996</v>
      </c>
      <c r="AF705" s="136" t="str">
        <f t="shared" si="175"/>
        <v>None</v>
      </c>
      <c r="AG705" s="2628">
        <f t="shared" si="176"/>
        <v>1.6E-2</v>
      </c>
      <c r="AH705" s="1266">
        <v>0.1</v>
      </c>
    </row>
    <row r="706" spans="1:34" ht="12.75">
      <c r="A706" s="2199">
        <f t="shared" si="178"/>
        <v>694</v>
      </c>
      <c r="B706" s="2200" t="s">
        <v>2769</v>
      </c>
      <c r="C706" s="2743">
        <v>0</v>
      </c>
      <c r="D706" s="2743">
        <v>770</v>
      </c>
      <c r="E706" s="2949">
        <v>0</v>
      </c>
      <c r="F706" s="2200">
        <v>20</v>
      </c>
      <c r="G706" s="2200" t="s">
        <v>127</v>
      </c>
      <c r="H706" s="2200" t="s">
        <v>1057</v>
      </c>
      <c r="I706" s="2742">
        <v>30</v>
      </c>
      <c r="J706" s="2742"/>
      <c r="K706" s="2752">
        <v>60</v>
      </c>
      <c r="L706" s="2745">
        <f t="shared" si="183"/>
        <v>770</v>
      </c>
      <c r="M706" s="2745">
        <f t="shared" ref="M706:M769" si="186">I706</f>
        <v>30</v>
      </c>
      <c r="N706" s="2745">
        <f t="shared" ref="N706:N769" si="187">$F706</f>
        <v>20</v>
      </c>
      <c r="O706" s="1232">
        <f t="shared" ref="O706:O769" si="188">$E706</f>
        <v>0</v>
      </c>
      <c r="P706" s="1227" t="str">
        <f t="shared" si="177"/>
        <v>300gsm ART PAPER HI-KOTE HAI NAN - GLOSS</v>
      </c>
      <c r="Q706" s="254">
        <v>0.27</v>
      </c>
      <c r="R706" s="1228" t="str">
        <f t="shared" si="180"/>
        <v>300</v>
      </c>
      <c r="S706" s="2625">
        <f t="shared" si="184"/>
        <v>0</v>
      </c>
      <c r="T706" s="2747">
        <f>IF(L706&gt;0,IF(input!$B$2=$O$1,(((L706+Y706/22)+(L706+Y706/22)*$AG706+$X706)*$P$11+$M$7)/1000,(((L706+Y706/22)+(L706+Y706/22)*O706+(L706+Y706/22)*$AG706+$X706)*$P$11+$M$7)/1000),0)</f>
        <v>19383.503200000003</v>
      </c>
      <c r="U706" s="2747">
        <f t="shared" si="179"/>
        <v>0</v>
      </c>
      <c r="V706" s="1229"/>
      <c r="W706" s="1231" t="str">
        <f t="shared" si="185"/>
        <v>CIF</v>
      </c>
      <c r="X706" s="1230">
        <f t="shared" si="182"/>
        <v>0</v>
      </c>
      <c r="Y706" s="2625">
        <f t="shared" si="173"/>
        <v>0</v>
      </c>
      <c r="Z706" s="3208">
        <f t="shared" si="181"/>
        <v>838.18181818181813</v>
      </c>
      <c r="AA706" s="1220" t="s">
        <v>2842</v>
      </c>
      <c r="AB706" s="1220" t="s">
        <v>1397</v>
      </c>
      <c r="AC706" s="251" t="str">
        <f t="shared" si="174"/>
        <v>300gsm ART PAPER HI-KOTE HAI NAN - GLOSS</v>
      </c>
      <c r="AD706" s="2746">
        <f>IF(L706&gt;0,IF(input!$B$2=$O$1,(((M706)+(M706)*$M$10)*$P$11)/1000,(((M706)+(M706)*O706+(M706)*$M$10)*$P$11)/1000),0)</f>
        <v>726.06239999999991</v>
      </c>
      <c r="AE706" s="2746">
        <f>IF(L706&gt;0,IF(input!$B$2=$O$1,(((N706)+(N706)*$M$10)*$P$11)/1000,(((N706)+(N706)*O706+(N706)*$M$10)*$P$11)/1000),0)</f>
        <v>484.04159999999996</v>
      </c>
      <c r="AF706" s="136" t="str">
        <f t="shared" si="175"/>
        <v>None</v>
      </c>
      <c r="AG706" s="2628">
        <f t="shared" si="176"/>
        <v>1.6E-2</v>
      </c>
      <c r="AH706" s="1266">
        <v>0.1</v>
      </c>
    </row>
    <row r="707" spans="1:34" ht="12.75">
      <c r="A707" s="2199">
        <f t="shared" si="178"/>
        <v>695</v>
      </c>
      <c r="B707" s="2200" t="s">
        <v>2770</v>
      </c>
      <c r="C707" s="2743">
        <v>0</v>
      </c>
      <c r="D707" s="2743">
        <v>0</v>
      </c>
      <c r="E707" s="2949">
        <v>0</v>
      </c>
      <c r="F707" s="2200">
        <v>20</v>
      </c>
      <c r="G707" s="2200" t="s">
        <v>127</v>
      </c>
      <c r="H707" s="2200" t="s">
        <v>1057</v>
      </c>
      <c r="I707" s="2742">
        <v>0</v>
      </c>
      <c r="J707" s="2742"/>
      <c r="K707" s="2752">
        <v>60</v>
      </c>
      <c r="L707" s="2745">
        <f t="shared" si="183"/>
        <v>0</v>
      </c>
      <c r="M707" s="2745">
        <f t="shared" si="186"/>
        <v>0</v>
      </c>
      <c r="N707" s="2745">
        <f t="shared" si="187"/>
        <v>20</v>
      </c>
      <c r="O707" s="1232">
        <f t="shared" si="188"/>
        <v>0</v>
      </c>
      <c r="P707" s="1227" t="str">
        <f t="shared" si="177"/>
        <v>100gsm ART PAPER HI-KOTE GOLD EAST - MATT</v>
      </c>
      <c r="Q707" s="254">
        <v>8.4000000000000005E-2</v>
      </c>
      <c r="R707" s="1228" t="str">
        <f t="shared" si="180"/>
        <v>100</v>
      </c>
      <c r="S707" s="2625">
        <f t="shared" si="184"/>
        <v>0</v>
      </c>
      <c r="T707" s="2747">
        <f>IF(L707&gt;0,IF(input!$B$2=$O$1,(((L707+Y707/22)+(L707+Y707/22)*$AG707+$X707)*$P$11+$M$7)/1000,(((L707+Y707/22)+(L707+Y707/22)*O707+(L707+Y707/22)*$AG707+$X707)*$P$11+$M$7)/1000),0)</f>
        <v>0</v>
      </c>
      <c r="U707" s="2747">
        <f t="shared" si="179"/>
        <v>0</v>
      </c>
      <c r="V707" s="1229"/>
      <c r="W707" s="1231" t="str">
        <f t="shared" si="185"/>
        <v>CIF</v>
      </c>
      <c r="X707" s="1230">
        <f t="shared" si="182"/>
        <v>0</v>
      </c>
      <c r="Y707" s="2625">
        <f t="shared" ref="Y707:Y770" si="189">J707</f>
        <v>0</v>
      </c>
      <c r="Z707" s="3208">
        <f t="shared" si="181"/>
        <v>838.18181818181813</v>
      </c>
      <c r="AA707" s="1220" t="s">
        <v>2843</v>
      </c>
      <c r="AB707" s="1220" t="s">
        <v>1397</v>
      </c>
      <c r="AC707" s="251" t="str">
        <f t="shared" ref="AC707:AC770" si="190">B707</f>
        <v>100gsm ART PAPER HI-KOTE GOLD EAST - MATT</v>
      </c>
      <c r="AD707" s="2746">
        <f>IF(L707&gt;0,IF(input!$B$2=$O$1,(((M707)+(M707)*$M$10)*$P$11)/1000,(((M707)+(M707)*O707+(M707)*$M$10)*$P$11)/1000),0)</f>
        <v>0</v>
      </c>
      <c r="AE707" s="2746">
        <f>IF(L707&gt;0,IF(input!$B$2=$O$1,(((N707)+(N707)*$M$10)*$P$11)/1000,(((N707)+(N707)*O707+(N707)*$M$10)*$P$11)/1000),0)</f>
        <v>0</v>
      </c>
      <c r="AF707" s="136" t="str">
        <f t="shared" ref="AF707:AF770" si="191">G707</f>
        <v>None</v>
      </c>
      <c r="AG707" s="2628">
        <f t="shared" ref="AG707:AG770" si="192">K707*$M$10/30</f>
        <v>1.6E-2</v>
      </c>
      <c r="AH707" s="1266">
        <v>0.1</v>
      </c>
    </row>
    <row r="708" spans="1:34" ht="12.75">
      <c r="A708" s="2199">
        <f t="shared" si="178"/>
        <v>696</v>
      </c>
      <c r="B708" s="2200" t="s">
        <v>2771</v>
      </c>
      <c r="C708" s="2743">
        <v>0</v>
      </c>
      <c r="D708" s="2743">
        <v>0</v>
      </c>
      <c r="E708" s="2949">
        <v>0</v>
      </c>
      <c r="F708" s="2200">
        <v>20</v>
      </c>
      <c r="G708" s="2200" t="s">
        <v>127</v>
      </c>
      <c r="H708" s="2200" t="s">
        <v>1057</v>
      </c>
      <c r="I708" s="2742">
        <v>0</v>
      </c>
      <c r="J708" s="2742"/>
      <c r="K708" s="2752">
        <v>60</v>
      </c>
      <c r="L708" s="2745">
        <f t="shared" si="183"/>
        <v>0</v>
      </c>
      <c r="M708" s="2745">
        <f t="shared" si="186"/>
        <v>0</v>
      </c>
      <c r="N708" s="2745">
        <f t="shared" si="187"/>
        <v>20</v>
      </c>
      <c r="O708" s="1232">
        <f t="shared" si="188"/>
        <v>0</v>
      </c>
      <c r="P708" s="1227" t="str">
        <f t="shared" si="177"/>
        <v>115gsm ART PAPER HI-KOTE GOLD EAST - MATT</v>
      </c>
      <c r="Q708" s="254">
        <v>0.1</v>
      </c>
      <c r="R708" s="1228" t="str">
        <f t="shared" si="180"/>
        <v>115</v>
      </c>
      <c r="S708" s="2625">
        <f t="shared" si="184"/>
        <v>0</v>
      </c>
      <c r="T708" s="2747">
        <f>IF(L708&gt;0,IF(input!$B$2=$O$1,(((L708+Y708/22)+(L708+Y708/22)*$AG708+$X708)*$P$11+$M$7)/1000,(((L708+Y708/22)+(L708+Y708/22)*O708+(L708+Y708/22)*$AG708+$X708)*$P$11+$M$7)/1000),0)</f>
        <v>0</v>
      </c>
      <c r="U708" s="2747">
        <f t="shared" si="179"/>
        <v>0</v>
      </c>
      <c r="V708" s="1229"/>
      <c r="W708" s="1231" t="str">
        <f t="shared" si="185"/>
        <v>CIF</v>
      </c>
      <c r="X708" s="1230">
        <f t="shared" si="182"/>
        <v>0</v>
      </c>
      <c r="Y708" s="2625">
        <f t="shared" si="189"/>
        <v>0</v>
      </c>
      <c r="Z708" s="3208">
        <f t="shared" si="181"/>
        <v>838.18181818181813</v>
      </c>
      <c r="AA708" s="1220" t="s">
        <v>2843</v>
      </c>
      <c r="AB708" s="1220" t="s">
        <v>1397</v>
      </c>
      <c r="AC708" s="251" t="str">
        <f t="shared" si="190"/>
        <v>115gsm ART PAPER HI-KOTE GOLD EAST - MATT</v>
      </c>
      <c r="AD708" s="2746">
        <f>IF(L708&gt;0,IF(input!$B$2=$O$1,(((M708)+(M708)*$M$10)*$P$11)/1000,(((M708)+(M708)*O708+(M708)*$M$10)*$P$11)/1000),0)</f>
        <v>0</v>
      </c>
      <c r="AE708" s="2746">
        <f>IF(L708&gt;0,IF(input!$B$2=$O$1,(((N708)+(N708)*$M$10)*$P$11)/1000,(((N708)+(N708)*O708+(N708)*$M$10)*$P$11)/1000),0)</f>
        <v>0</v>
      </c>
      <c r="AF708" s="136" t="str">
        <f t="shared" si="191"/>
        <v>None</v>
      </c>
      <c r="AG708" s="2628">
        <f t="shared" si="192"/>
        <v>1.6E-2</v>
      </c>
      <c r="AH708" s="1266">
        <v>0.1</v>
      </c>
    </row>
    <row r="709" spans="1:34" ht="12.75">
      <c r="A709" s="2199">
        <f t="shared" si="178"/>
        <v>697</v>
      </c>
      <c r="B709" s="2200" t="s">
        <v>2772</v>
      </c>
      <c r="C709" s="2743">
        <v>0</v>
      </c>
      <c r="D709" s="2743">
        <v>0</v>
      </c>
      <c r="E709" s="2949">
        <v>0</v>
      </c>
      <c r="F709" s="2200">
        <v>20</v>
      </c>
      <c r="G709" s="2200" t="s">
        <v>127</v>
      </c>
      <c r="H709" s="2200" t="s">
        <v>1057</v>
      </c>
      <c r="I709" s="2742">
        <v>0</v>
      </c>
      <c r="J709" s="2742"/>
      <c r="K709" s="2752">
        <v>60</v>
      </c>
      <c r="L709" s="2745">
        <f t="shared" si="183"/>
        <v>0</v>
      </c>
      <c r="M709" s="2745">
        <f t="shared" si="186"/>
        <v>0</v>
      </c>
      <c r="N709" s="2745">
        <f t="shared" si="187"/>
        <v>20</v>
      </c>
      <c r="O709" s="1232">
        <f t="shared" si="188"/>
        <v>0</v>
      </c>
      <c r="P709" s="1227" t="str">
        <f t="shared" si="177"/>
        <v>120gsm ART PAPER HI-KOTE GOLD EAST - MATT</v>
      </c>
      <c r="Q709" s="254">
        <v>0.104</v>
      </c>
      <c r="R709" s="1228" t="str">
        <f t="shared" si="180"/>
        <v>120</v>
      </c>
      <c r="S709" s="2625">
        <f t="shared" si="184"/>
        <v>0</v>
      </c>
      <c r="T709" s="2747">
        <f>IF(L709&gt;0,IF(input!$B$2=$O$1,(((L709+Y709/22)+(L709+Y709/22)*$AG709+$X709)*$P$11+$M$7)/1000,(((L709+Y709/22)+(L709+Y709/22)*O709+(L709+Y709/22)*$AG709+$X709)*$P$11+$M$7)/1000),0)</f>
        <v>0</v>
      </c>
      <c r="U709" s="2747">
        <f t="shared" si="179"/>
        <v>0</v>
      </c>
      <c r="V709" s="1229"/>
      <c r="W709" s="1231" t="str">
        <f t="shared" si="185"/>
        <v>CIF</v>
      </c>
      <c r="X709" s="1230">
        <f t="shared" si="182"/>
        <v>0</v>
      </c>
      <c r="Y709" s="2625">
        <f t="shared" si="189"/>
        <v>0</v>
      </c>
      <c r="Z709" s="3208">
        <f t="shared" si="181"/>
        <v>838.18181818181813</v>
      </c>
      <c r="AA709" s="1220" t="s">
        <v>2843</v>
      </c>
      <c r="AB709" s="1220" t="s">
        <v>1397</v>
      </c>
      <c r="AC709" s="251" t="str">
        <f t="shared" si="190"/>
        <v>120gsm ART PAPER HI-KOTE GOLD EAST - MATT</v>
      </c>
      <c r="AD709" s="2746">
        <f>IF(L709&gt;0,IF(input!$B$2=$O$1,(((M709)+(M709)*$M$10)*$P$11)/1000,(((M709)+(M709)*O709+(M709)*$M$10)*$P$11)/1000),0)</f>
        <v>0</v>
      </c>
      <c r="AE709" s="2746">
        <f>IF(L709&gt;0,IF(input!$B$2=$O$1,(((N709)+(N709)*$M$10)*$P$11)/1000,(((N709)+(N709)*O709+(N709)*$M$10)*$P$11)/1000),0)</f>
        <v>0</v>
      </c>
      <c r="AF709" s="136" t="str">
        <f t="shared" si="191"/>
        <v>None</v>
      </c>
      <c r="AG709" s="2628">
        <f t="shared" si="192"/>
        <v>1.6E-2</v>
      </c>
      <c r="AH709" s="1266">
        <v>0.1</v>
      </c>
    </row>
    <row r="710" spans="1:34" ht="12.75">
      <c r="A710" s="2199">
        <f t="shared" si="178"/>
        <v>698</v>
      </c>
      <c r="B710" s="2200" t="s">
        <v>2773</v>
      </c>
      <c r="C710" s="2743">
        <v>0</v>
      </c>
      <c r="D710" s="2743">
        <v>0</v>
      </c>
      <c r="E710" s="2949">
        <v>0</v>
      </c>
      <c r="F710" s="2200">
        <v>20</v>
      </c>
      <c r="G710" s="2200" t="s">
        <v>127</v>
      </c>
      <c r="H710" s="2200" t="s">
        <v>1057</v>
      </c>
      <c r="I710" s="2742">
        <v>0</v>
      </c>
      <c r="J710" s="2742"/>
      <c r="K710" s="2752">
        <v>60</v>
      </c>
      <c r="L710" s="2745">
        <f t="shared" si="183"/>
        <v>0</v>
      </c>
      <c r="M710" s="2745">
        <f t="shared" si="186"/>
        <v>0</v>
      </c>
      <c r="N710" s="2745">
        <f t="shared" si="187"/>
        <v>20</v>
      </c>
      <c r="O710" s="1232">
        <f t="shared" si="188"/>
        <v>0</v>
      </c>
      <c r="P710" s="1227" t="str">
        <f t="shared" si="177"/>
        <v>130gsm ART PAPER HI-KOTE GOLD EAST - MATT</v>
      </c>
      <c r="Q710" s="254">
        <v>0.111</v>
      </c>
      <c r="R710" s="1228" t="str">
        <f t="shared" si="180"/>
        <v>130</v>
      </c>
      <c r="S710" s="2625">
        <f t="shared" si="184"/>
        <v>0</v>
      </c>
      <c r="T710" s="2747">
        <f>IF(L710&gt;0,IF(input!$B$2=$O$1,(((L710+Y710/22)+(L710+Y710/22)*$AG710+$X710)*$P$11+$M$7)/1000,(((L710+Y710/22)+(L710+Y710/22)*O710+(L710+Y710/22)*$AG710+$X710)*$P$11+$M$7)/1000),0)</f>
        <v>0</v>
      </c>
      <c r="U710" s="2747">
        <f t="shared" si="179"/>
        <v>0</v>
      </c>
      <c r="V710" s="1229"/>
      <c r="W710" s="1231" t="str">
        <f t="shared" si="185"/>
        <v>CIF</v>
      </c>
      <c r="X710" s="1230">
        <f t="shared" si="182"/>
        <v>0</v>
      </c>
      <c r="Y710" s="2625">
        <f t="shared" si="189"/>
        <v>0</v>
      </c>
      <c r="Z710" s="3208">
        <f t="shared" si="181"/>
        <v>838.18181818181813</v>
      </c>
      <c r="AA710" s="1220" t="s">
        <v>2843</v>
      </c>
      <c r="AB710" s="1220" t="s">
        <v>1397</v>
      </c>
      <c r="AC710" s="251" t="str">
        <f t="shared" si="190"/>
        <v>130gsm ART PAPER HI-KOTE GOLD EAST - MATT</v>
      </c>
      <c r="AD710" s="2746">
        <f>IF(L710&gt;0,IF(input!$B$2=$O$1,(((M710)+(M710)*$M$10)*$P$11)/1000,(((M710)+(M710)*O710+(M710)*$M$10)*$P$11)/1000),0)</f>
        <v>0</v>
      </c>
      <c r="AE710" s="2746">
        <f>IF(L710&gt;0,IF(input!$B$2=$O$1,(((N710)+(N710)*$M$10)*$P$11)/1000,(((N710)+(N710)*O710+(N710)*$M$10)*$P$11)/1000),0)</f>
        <v>0</v>
      </c>
      <c r="AF710" s="136" t="str">
        <f t="shared" si="191"/>
        <v>None</v>
      </c>
      <c r="AG710" s="2628">
        <f t="shared" si="192"/>
        <v>1.6E-2</v>
      </c>
      <c r="AH710" s="1266">
        <v>0.1</v>
      </c>
    </row>
    <row r="711" spans="1:34" ht="12.75">
      <c r="A711" s="2199">
        <f t="shared" si="178"/>
        <v>699</v>
      </c>
      <c r="B711" s="2200" t="s">
        <v>2774</v>
      </c>
      <c r="C711" s="2743">
        <v>0</v>
      </c>
      <c r="D711" s="2743">
        <v>0</v>
      </c>
      <c r="E711" s="2949">
        <v>0</v>
      </c>
      <c r="F711" s="2200">
        <v>20</v>
      </c>
      <c r="G711" s="2200" t="s">
        <v>127</v>
      </c>
      <c r="H711" s="2200" t="s">
        <v>1057</v>
      </c>
      <c r="I711" s="2742">
        <v>0</v>
      </c>
      <c r="J711" s="2742"/>
      <c r="K711" s="2752">
        <v>60</v>
      </c>
      <c r="L711" s="2745">
        <f t="shared" si="183"/>
        <v>0</v>
      </c>
      <c r="M711" s="2745">
        <f t="shared" si="186"/>
        <v>0</v>
      </c>
      <c r="N711" s="2745">
        <f t="shared" si="187"/>
        <v>20</v>
      </c>
      <c r="O711" s="1232">
        <f t="shared" si="188"/>
        <v>0</v>
      </c>
      <c r="P711" s="1227" t="str">
        <f t="shared" si="177"/>
        <v>140gsm ART PAPER HI-KOTE GOLD EAST - MATT</v>
      </c>
      <c r="Q711" s="254">
        <v>0.11899999999999999</v>
      </c>
      <c r="R711" s="1228" t="str">
        <f t="shared" si="180"/>
        <v>140</v>
      </c>
      <c r="S711" s="2625">
        <f t="shared" si="184"/>
        <v>0</v>
      </c>
      <c r="T711" s="2747">
        <f>IF(L711&gt;0,IF(input!$B$2=$O$1,(((L711+Y711/22)+(L711+Y711/22)*$AG711+$X711)*$P$11+$M$7)/1000,(((L711+Y711/22)+(L711+Y711/22)*O711+(L711+Y711/22)*$AG711+$X711)*$P$11+$M$7)/1000),0)</f>
        <v>0</v>
      </c>
      <c r="U711" s="2747">
        <f t="shared" si="179"/>
        <v>0</v>
      </c>
      <c r="V711" s="1229"/>
      <c r="W711" s="1231" t="str">
        <f t="shared" si="185"/>
        <v>CIF</v>
      </c>
      <c r="X711" s="1230">
        <f t="shared" si="182"/>
        <v>0</v>
      </c>
      <c r="Y711" s="2625">
        <f t="shared" si="189"/>
        <v>0</v>
      </c>
      <c r="Z711" s="3208">
        <f t="shared" si="181"/>
        <v>838.18181818181813</v>
      </c>
      <c r="AA711" s="1220" t="s">
        <v>2843</v>
      </c>
      <c r="AB711" s="1220" t="s">
        <v>1397</v>
      </c>
      <c r="AC711" s="251" t="str">
        <f t="shared" si="190"/>
        <v>140gsm ART PAPER HI-KOTE GOLD EAST - MATT</v>
      </c>
      <c r="AD711" s="2746">
        <f>IF(L711&gt;0,IF(input!$B$2=$O$1,(((M711)+(M711)*$M$10)*$P$11)/1000,(((M711)+(M711)*O711+(M711)*$M$10)*$P$11)/1000),0)</f>
        <v>0</v>
      </c>
      <c r="AE711" s="2746">
        <f>IF(L711&gt;0,IF(input!$B$2=$O$1,(((N711)+(N711)*$M$10)*$P$11)/1000,(((N711)+(N711)*O711+(N711)*$M$10)*$P$11)/1000),0)</f>
        <v>0</v>
      </c>
      <c r="AF711" s="136" t="str">
        <f t="shared" si="191"/>
        <v>None</v>
      </c>
      <c r="AG711" s="2628">
        <f t="shared" si="192"/>
        <v>1.6E-2</v>
      </c>
      <c r="AH711" s="1266">
        <v>0.1</v>
      </c>
    </row>
    <row r="712" spans="1:34" ht="12.75">
      <c r="A712" s="2199">
        <f t="shared" si="178"/>
        <v>700</v>
      </c>
      <c r="B712" s="2200" t="s">
        <v>2775</v>
      </c>
      <c r="C712" s="2743">
        <v>0</v>
      </c>
      <c r="D712" s="2743">
        <v>0</v>
      </c>
      <c r="E712" s="2949">
        <v>0</v>
      </c>
      <c r="F712" s="2200">
        <v>20</v>
      </c>
      <c r="G712" s="2200" t="s">
        <v>127</v>
      </c>
      <c r="H712" s="2200" t="s">
        <v>1057</v>
      </c>
      <c r="I712" s="2742">
        <v>0</v>
      </c>
      <c r="J712" s="2742"/>
      <c r="K712" s="2752">
        <v>60</v>
      </c>
      <c r="L712" s="2745">
        <f t="shared" si="183"/>
        <v>0</v>
      </c>
      <c r="M712" s="2745">
        <f t="shared" si="186"/>
        <v>0</v>
      </c>
      <c r="N712" s="2745">
        <f t="shared" si="187"/>
        <v>20</v>
      </c>
      <c r="O712" s="1232">
        <f t="shared" si="188"/>
        <v>0</v>
      </c>
      <c r="P712" s="1227" t="str">
        <f t="shared" si="177"/>
        <v>148gsm ART PAPER HI-KOTE GOLD EAST - MATT</v>
      </c>
      <c r="Q712" s="254">
        <v>0.128</v>
      </c>
      <c r="R712" s="1228" t="str">
        <f t="shared" si="180"/>
        <v>148</v>
      </c>
      <c r="S712" s="2625">
        <f t="shared" si="184"/>
        <v>0</v>
      </c>
      <c r="T712" s="2747">
        <f>IF(L712&gt;0,IF(input!$B$2=$O$1,(((L712+Y712/22)+(L712+Y712/22)*$AG712+$X712)*$P$11+$M$7)/1000,(((L712+Y712/22)+(L712+Y712/22)*O712+(L712+Y712/22)*$AG712+$X712)*$P$11+$M$7)/1000),0)</f>
        <v>0</v>
      </c>
      <c r="U712" s="2747">
        <f t="shared" si="179"/>
        <v>0</v>
      </c>
      <c r="V712" s="1229"/>
      <c r="W712" s="1231" t="str">
        <f t="shared" si="185"/>
        <v>CIF</v>
      </c>
      <c r="X712" s="1230">
        <f t="shared" si="182"/>
        <v>0</v>
      </c>
      <c r="Y712" s="2625">
        <f t="shared" si="189"/>
        <v>0</v>
      </c>
      <c r="Z712" s="3208">
        <f t="shared" si="181"/>
        <v>838.18181818181813</v>
      </c>
      <c r="AA712" s="1220" t="s">
        <v>2843</v>
      </c>
      <c r="AB712" s="1220" t="s">
        <v>1397</v>
      </c>
      <c r="AC712" s="251" t="str">
        <f t="shared" si="190"/>
        <v>148gsm ART PAPER HI-KOTE GOLD EAST - MATT</v>
      </c>
      <c r="AD712" s="2746">
        <f>IF(L712&gt;0,IF(input!$B$2=$O$1,(((M712)+(M712)*$M$10)*$P$11)/1000,(((M712)+(M712)*O712+(M712)*$M$10)*$P$11)/1000),0)</f>
        <v>0</v>
      </c>
      <c r="AE712" s="2746">
        <f>IF(L712&gt;0,IF(input!$B$2=$O$1,(((N712)+(N712)*$M$10)*$P$11)/1000,(((N712)+(N712)*O712+(N712)*$M$10)*$P$11)/1000),0)</f>
        <v>0</v>
      </c>
      <c r="AF712" s="136" t="str">
        <f t="shared" si="191"/>
        <v>None</v>
      </c>
      <c r="AG712" s="2628">
        <f t="shared" si="192"/>
        <v>1.6E-2</v>
      </c>
      <c r="AH712" s="1266">
        <v>0.1</v>
      </c>
    </row>
    <row r="713" spans="1:34" ht="12.75">
      <c r="A713" s="2199">
        <f t="shared" si="178"/>
        <v>701</v>
      </c>
      <c r="B713" s="2200" t="s">
        <v>2776</v>
      </c>
      <c r="C713" s="2743">
        <v>0</v>
      </c>
      <c r="D713" s="2743">
        <v>0</v>
      </c>
      <c r="E713" s="2949">
        <v>0</v>
      </c>
      <c r="F713" s="2200">
        <v>20</v>
      </c>
      <c r="G713" s="2200" t="s">
        <v>127</v>
      </c>
      <c r="H713" s="2200" t="s">
        <v>1057</v>
      </c>
      <c r="I713" s="2742">
        <v>0</v>
      </c>
      <c r="J713" s="2742"/>
      <c r="K713" s="2752">
        <v>60</v>
      </c>
      <c r="L713" s="2745">
        <f t="shared" si="183"/>
        <v>0</v>
      </c>
      <c r="M713" s="2745">
        <f t="shared" si="186"/>
        <v>0</v>
      </c>
      <c r="N713" s="2745">
        <f t="shared" si="187"/>
        <v>20</v>
      </c>
      <c r="O713" s="1232">
        <f t="shared" si="188"/>
        <v>0</v>
      </c>
      <c r="P713" s="1227" t="str">
        <f t="shared" si="177"/>
        <v>080gsm ART PAPER NEVIA GOLD EAST - MATT</v>
      </c>
      <c r="Q713" s="254">
        <v>7.1999999999999995E-2</v>
      </c>
      <c r="R713" s="1228" t="str">
        <f t="shared" si="180"/>
        <v>080</v>
      </c>
      <c r="S713" s="2625">
        <f t="shared" si="184"/>
        <v>0</v>
      </c>
      <c r="T713" s="2747">
        <f>IF(L713&gt;0,IF(input!$B$2=$O$1,(((L713+Y713/22)+(L713+Y713/22)*$AG713+$X713)*$P$11+$M$7)/1000,(((L713+Y713/22)+(L713+Y713/22)*O713+(L713+Y713/22)*$AG713+$X713)*$P$11+$M$7)/1000),0)</f>
        <v>0</v>
      </c>
      <c r="U713" s="2747">
        <f t="shared" si="179"/>
        <v>0</v>
      </c>
      <c r="V713" s="1229"/>
      <c r="W713" s="1231" t="str">
        <f t="shared" si="185"/>
        <v>CIF</v>
      </c>
      <c r="X713" s="1230">
        <f t="shared" si="182"/>
        <v>0</v>
      </c>
      <c r="Y713" s="2625">
        <f t="shared" si="189"/>
        <v>0</v>
      </c>
      <c r="Z713" s="3208">
        <f t="shared" si="181"/>
        <v>838.18181818181813</v>
      </c>
      <c r="AA713" s="1220" t="s">
        <v>2848</v>
      </c>
      <c r="AB713" s="1220" t="s">
        <v>1397</v>
      </c>
      <c r="AC713" s="251" t="str">
        <f t="shared" si="190"/>
        <v>080gsm ART PAPER NEVIA GOLD EAST - MATT</v>
      </c>
      <c r="AD713" s="2746">
        <f>IF(L713&gt;0,IF(input!$B$2=$O$1,(((M713)+(M713)*$M$10)*$P$11)/1000,(((M713)+(M713)*O713+(M713)*$M$10)*$P$11)/1000),0)</f>
        <v>0</v>
      </c>
      <c r="AE713" s="2746">
        <f>IF(L713&gt;0,IF(input!$B$2=$O$1,(((N713)+(N713)*$M$10)*$P$11)/1000,(((N713)+(N713)*O713+(N713)*$M$10)*$P$11)/1000),0)</f>
        <v>0</v>
      </c>
      <c r="AF713" s="136" t="str">
        <f t="shared" si="191"/>
        <v>None</v>
      </c>
      <c r="AG713" s="2628">
        <f t="shared" si="192"/>
        <v>1.6E-2</v>
      </c>
      <c r="AH713" s="1266">
        <v>0.1</v>
      </c>
    </row>
    <row r="714" spans="1:34" ht="12.75">
      <c r="A714" s="2199">
        <f t="shared" si="178"/>
        <v>702</v>
      </c>
      <c r="B714" s="2200" t="s">
        <v>2777</v>
      </c>
      <c r="C714" s="2743">
        <v>0</v>
      </c>
      <c r="D714" s="2743">
        <v>0</v>
      </c>
      <c r="E714" s="2949">
        <v>0</v>
      </c>
      <c r="F714" s="2200">
        <v>20</v>
      </c>
      <c r="G714" s="2200" t="s">
        <v>127</v>
      </c>
      <c r="H714" s="2200" t="s">
        <v>1057</v>
      </c>
      <c r="I714" s="2742">
        <v>0</v>
      </c>
      <c r="J714" s="2742"/>
      <c r="K714" s="2752">
        <v>60</v>
      </c>
      <c r="L714" s="2745">
        <f t="shared" si="183"/>
        <v>0</v>
      </c>
      <c r="M714" s="2745">
        <f t="shared" si="186"/>
        <v>0</v>
      </c>
      <c r="N714" s="2745">
        <f t="shared" si="187"/>
        <v>20</v>
      </c>
      <c r="O714" s="1232">
        <f t="shared" si="188"/>
        <v>0</v>
      </c>
      <c r="P714" s="1227" t="str">
        <f t="shared" si="177"/>
        <v>100gsm ART PAPER NEVIA GOLD EAST - MATT</v>
      </c>
      <c r="Q714" s="254">
        <v>9.0999999999999998E-2</v>
      </c>
      <c r="R714" s="1228" t="str">
        <f t="shared" si="180"/>
        <v>100</v>
      </c>
      <c r="S714" s="2625">
        <f t="shared" si="184"/>
        <v>0</v>
      </c>
      <c r="T714" s="2747">
        <f>IF(L714&gt;0,IF(input!$B$2=$O$1,(((L714+Y714/22)+(L714+Y714/22)*$AG714+$X714)*$P$11+$M$7)/1000,(((L714+Y714/22)+(L714+Y714/22)*O714+(L714+Y714/22)*$AG714+$X714)*$P$11+$M$7)/1000),0)</f>
        <v>0</v>
      </c>
      <c r="U714" s="2747">
        <f t="shared" si="179"/>
        <v>0</v>
      </c>
      <c r="V714" s="1229"/>
      <c r="W714" s="1231" t="str">
        <f t="shared" si="185"/>
        <v>CIF</v>
      </c>
      <c r="X714" s="1230">
        <f t="shared" si="182"/>
        <v>0</v>
      </c>
      <c r="Y714" s="2625">
        <f t="shared" si="189"/>
        <v>0</v>
      </c>
      <c r="Z714" s="3208">
        <f t="shared" si="181"/>
        <v>838.18181818181813</v>
      </c>
      <c r="AA714" s="1220" t="s">
        <v>2848</v>
      </c>
      <c r="AB714" s="1220" t="s">
        <v>1397</v>
      </c>
      <c r="AC714" s="251" t="str">
        <f t="shared" si="190"/>
        <v>100gsm ART PAPER NEVIA GOLD EAST - MATT</v>
      </c>
      <c r="AD714" s="2746">
        <f>IF(L714&gt;0,IF(input!$B$2=$O$1,(((M714)+(M714)*$M$10)*$P$11)/1000,(((M714)+(M714)*O714+(M714)*$M$10)*$P$11)/1000),0)</f>
        <v>0</v>
      </c>
      <c r="AE714" s="2746">
        <f>IF(L714&gt;0,IF(input!$B$2=$O$1,(((N714)+(N714)*$M$10)*$P$11)/1000,(((N714)+(N714)*O714+(N714)*$M$10)*$P$11)/1000),0)</f>
        <v>0</v>
      </c>
      <c r="AF714" s="136" t="str">
        <f t="shared" si="191"/>
        <v>None</v>
      </c>
      <c r="AG714" s="2628">
        <f t="shared" si="192"/>
        <v>1.6E-2</v>
      </c>
      <c r="AH714" s="1266">
        <v>0.1</v>
      </c>
    </row>
    <row r="715" spans="1:34" ht="12.75">
      <c r="A715" s="2199">
        <f t="shared" si="178"/>
        <v>703</v>
      </c>
      <c r="B715" s="2200" t="s">
        <v>2778</v>
      </c>
      <c r="C715" s="2743">
        <v>0</v>
      </c>
      <c r="D715" s="2743">
        <v>0</v>
      </c>
      <c r="E715" s="2949">
        <v>0</v>
      </c>
      <c r="F715" s="2200">
        <v>20</v>
      </c>
      <c r="G715" s="2200" t="s">
        <v>127</v>
      </c>
      <c r="H715" s="2200" t="s">
        <v>1057</v>
      </c>
      <c r="I715" s="2742">
        <v>0</v>
      </c>
      <c r="J715" s="2742"/>
      <c r="K715" s="2752">
        <v>60</v>
      </c>
      <c r="L715" s="2745">
        <f t="shared" si="183"/>
        <v>0</v>
      </c>
      <c r="M715" s="2745">
        <f t="shared" si="186"/>
        <v>0</v>
      </c>
      <c r="N715" s="2745">
        <f t="shared" si="187"/>
        <v>20</v>
      </c>
      <c r="O715" s="1232">
        <f t="shared" si="188"/>
        <v>0</v>
      </c>
      <c r="P715" s="1227" t="str">
        <f t="shared" ref="P715:P779" si="193">R715&amp;"gsm "&amp;AB715&amp;" "&amp;AA715</f>
        <v>115gsm ART PAPER NEVIA GOLD EAST - MATT</v>
      </c>
      <c r="Q715" s="254">
        <v>0.106</v>
      </c>
      <c r="R715" s="1228" t="str">
        <f t="shared" si="180"/>
        <v>115</v>
      </c>
      <c r="S715" s="2625">
        <f t="shared" si="184"/>
        <v>0</v>
      </c>
      <c r="T715" s="2747">
        <f>IF(L715&gt;0,IF(input!$B$2=$O$1,(((L715+Y715/22)+(L715+Y715/22)*$AG715+$X715)*$P$11+$M$7)/1000,(((L715+Y715/22)+(L715+Y715/22)*O715+(L715+Y715/22)*$AG715+$X715)*$P$11+$M$7)/1000),0)</f>
        <v>0</v>
      </c>
      <c r="U715" s="2747">
        <f t="shared" si="179"/>
        <v>0</v>
      </c>
      <c r="V715" s="1229"/>
      <c r="W715" s="1231" t="str">
        <f t="shared" si="185"/>
        <v>CIF</v>
      </c>
      <c r="X715" s="1230">
        <f t="shared" si="182"/>
        <v>0</v>
      </c>
      <c r="Y715" s="2625">
        <f t="shared" si="189"/>
        <v>0</v>
      </c>
      <c r="Z715" s="3208">
        <f t="shared" si="181"/>
        <v>838.18181818181813</v>
      </c>
      <c r="AA715" s="1220" t="s">
        <v>2848</v>
      </c>
      <c r="AB715" s="1220" t="s">
        <v>1397</v>
      </c>
      <c r="AC715" s="251" t="str">
        <f t="shared" si="190"/>
        <v>115gsm ART PAPER NEVIA GOLD EAST - MATT</v>
      </c>
      <c r="AD715" s="2746">
        <f>IF(L715&gt;0,IF(input!$B$2=$O$1,(((M715)+(M715)*$M$10)*$P$11)/1000,(((M715)+(M715)*O715+(M715)*$M$10)*$P$11)/1000),0)</f>
        <v>0</v>
      </c>
      <c r="AE715" s="2746">
        <f>IF(L715&gt;0,IF(input!$B$2=$O$1,(((N715)+(N715)*$M$10)*$P$11)/1000,(((N715)+(N715)*O715+(N715)*$M$10)*$P$11)/1000),0)</f>
        <v>0</v>
      </c>
      <c r="AF715" s="136" t="str">
        <f t="shared" si="191"/>
        <v>None</v>
      </c>
      <c r="AG715" s="2628">
        <f t="shared" si="192"/>
        <v>1.6E-2</v>
      </c>
      <c r="AH715" s="1266">
        <v>0.1</v>
      </c>
    </row>
    <row r="716" spans="1:34" ht="12.75">
      <c r="A716" s="2199">
        <f t="shared" si="178"/>
        <v>704</v>
      </c>
      <c r="B716" s="2200" t="s">
        <v>2779</v>
      </c>
      <c r="C716" s="2743">
        <v>0</v>
      </c>
      <c r="D716" s="2743">
        <v>0</v>
      </c>
      <c r="E716" s="2949">
        <v>0</v>
      </c>
      <c r="F716" s="2200">
        <v>20</v>
      </c>
      <c r="G716" s="2200" t="s">
        <v>127</v>
      </c>
      <c r="H716" s="2200" t="s">
        <v>1057</v>
      </c>
      <c r="I716" s="2742">
        <v>0</v>
      </c>
      <c r="J716" s="2742"/>
      <c r="K716" s="2752">
        <v>60</v>
      </c>
      <c r="L716" s="2745">
        <f t="shared" si="183"/>
        <v>0</v>
      </c>
      <c r="M716" s="2745">
        <f t="shared" si="186"/>
        <v>0</v>
      </c>
      <c r="N716" s="2745">
        <f t="shared" si="187"/>
        <v>20</v>
      </c>
      <c r="O716" s="1232">
        <f t="shared" si="188"/>
        <v>0</v>
      </c>
      <c r="P716" s="1227" t="str">
        <f t="shared" si="193"/>
        <v>120gsm ART PAPER NEVIA GOLD EAST - MATT</v>
      </c>
      <c r="Q716" s="254">
        <v>0.111</v>
      </c>
      <c r="R716" s="1228" t="str">
        <f t="shared" si="180"/>
        <v>120</v>
      </c>
      <c r="S716" s="2625">
        <f t="shared" si="184"/>
        <v>0</v>
      </c>
      <c r="T716" s="2747">
        <f>IF(L716&gt;0,IF(input!$B$2=$O$1,(((L716+Y716/22)+(L716+Y716/22)*$AG716+$X716)*$P$11+$M$7)/1000,(((L716+Y716/22)+(L716+Y716/22)*O716+(L716+Y716/22)*$AG716+$X716)*$P$11+$M$7)/1000),0)</f>
        <v>0</v>
      </c>
      <c r="U716" s="2747">
        <f t="shared" si="179"/>
        <v>0</v>
      </c>
      <c r="V716" s="1229"/>
      <c r="W716" s="1231" t="str">
        <f t="shared" si="185"/>
        <v>CIF</v>
      </c>
      <c r="X716" s="1230">
        <f t="shared" si="182"/>
        <v>0</v>
      </c>
      <c r="Y716" s="2625">
        <f t="shared" si="189"/>
        <v>0</v>
      </c>
      <c r="Z716" s="3208">
        <f t="shared" si="181"/>
        <v>838.18181818181813</v>
      </c>
      <c r="AA716" s="1220" t="s">
        <v>2848</v>
      </c>
      <c r="AB716" s="1220" t="s">
        <v>1397</v>
      </c>
      <c r="AC716" s="251" t="str">
        <f t="shared" si="190"/>
        <v>120gsm ART PAPER NEVIA GOLD EAST - MATT</v>
      </c>
      <c r="AD716" s="2746">
        <f>IF(L716&gt;0,IF(input!$B$2=$O$1,(((M716)+(M716)*$M$10)*$P$11)/1000,(((M716)+(M716)*O716+(M716)*$M$10)*$P$11)/1000),0)</f>
        <v>0</v>
      </c>
      <c r="AE716" s="2746">
        <f>IF(L716&gt;0,IF(input!$B$2=$O$1,(((N716)+(N716)*$M$10)*$P$11)/1000,(((N716)+(N716)*O716+(N716)*$M$10)*$P$11)/1000),0)</f>
        <v>0</v>
      </c>
      <c r="AF716" s="136" t="str">
        <f t="shared" si="191"/>
        <v>None</v>
      </c>
      <c r="AG716" s="2628">
        <f t="shared" si="192"/>
        <v>1.6E-2</v>
      </c>
      <c r="AH716" s="1266">
        <v>0.1</v>
      </c>
    </row>
    <row r="717" spans="1:34" ht="12.75">
      <c r="A717" s="2199">
        <f t="shared" si="178"/>
        <v>705</v>
      </c>
      <c r="B717" s="2200" t="s">
        <v>2780</v>
      </c>
      <c r="C717" s="2743">
        <v>0</v>
      </c>
      <c r="D717" s="2743">
        <v>0</v>
      </c>
      <c r="E717" s="2949">
        <v>0</v>
      </c>
      <c r="F717" s="2200">
        <v>20</v>
      </c>
      <c r="G717" s="2200" t="s">
        <v>127</v>
      </c>
      <c r="H717" s="2200" t="s">
        <v>1057</v>
      </c>
      <c r="I717" s="2742">
        <v>0</v>
      </c>
      <c r="J717" s="2742"/>
      <c r="K717" s="2752">
        <v>60</v>
      </c>
      <c r="L717" s="2745">
        <f t="shared" si="183"/>
        <v>0</v>
      </c>
      <c r="M717" s="2745">
        <f t="shared" si="186"/>
        <v>0</v>
      </c>
      <c r="N717" s="2745">
        <f t="shared" si="187"/>
        <v>20</v>
      </c>
      <c r="O717" s="1232">
        <f t="shared" si="188"/>
        <v>0</v>
      </c>
      <c r="P717" s="1227" t="str">
        <f t="shared" si="193"/>
        <v>130gsm ART PAPER NEVIA GOLD EAST - MATT</v>
      </c>
      <c r="Q717" s="254">
        <v>0.12</v>
      </c>
      <c r="R717" s="1228" t="str">
        <f t="shared" si="180"/>
        <v>130</v>
      </c>
      <c r="S717" s="2625">
        <f t="shared" si="184"/>
        <v>0</v>
      </c>
      <c r="T717" s="2747">
        <f>IF(L717&gt;0,IF(input!$B$2=$O$1,(((L717+Y717/22)+(L717+Y717/22)*$AG717+$X717)*$P$11+$M$7)/1000,(((L717+Y717/22)+(L717+Y717/22)*O717+(L717+Y717/22)*$AG717+$X717)*$P$11+$M$7)/1000),0)</f>
        <v>0</v>
      </c>
      <c r="U717" s="2747">
        <f t="shared" si="179"/>
        <v>0</v>
      </c>
      <c r="V717" s="1229"/>
      <c r="W717" s="1231" t="str">
        <f t="shared" si="185"/>
        <v>CIF</v>
      </c>
      <c r="X717" s="1230">
        <f t="shared" si="182"/>
        <v>0</v>
      </c>
      <c r="Y717" s="2625">
        <f t="shared" si="189"/>
        <v>0</v>
      </c>
      <c r="Z717" s="3208">
        <f t="shared" si="181"/>
        <v>838.18181818181813</v>
      </c>
      <c r="AA717" s="1220" t="s">
        <v>2848</v>
      </c>
      <c r="AB717" s="1220" t="s">
        <v>1397</v>
      </c>
      <c r="AC717" s="251" t="str">
        <f t="shared" si="190"/>
        <v>130gsm ART PAPER NEVIA GOLD EAST - MATT</v>
      </c>
      <c r="AD717" s="2746">
        <f>IF(L717&gt;0,IF(input!$B$2=$O$1,(((M717)+(M717)*$M$10)*$P$11)/1000,(((M717)+(M717)*O717+(M717)*$M$10)*$P$11)/1000),0)</f>
        <v>0</v>
      </c>
      <c r="AE717" s="2746">
        <f>IF(L717&gt;0,IF(input!$B$2=$O$1,(((N717)+(N717)*$M$10)*$P$11)/1000,(((N717)+(N717)*O717+(N717)*$M$10)*$P$11)/1000),0)</f>
        <v>0</v>
      </c>
      <c r="AF717" s="136" t="str">
        <f t="shared" si="191"/>
        <v>None</v>
      </c>
      <c r="AG717" s="2628">
        <f t="shared" si="192"/>
        <v>1.6E-2</v>
      </c>
      <c r="AH717" s="1266">
        <v>0.1</v>
      </c>
    </row>
    <row r="718" spans="1:34" ht="12.75">
      <c r="A718" s="2199">
        <f t="shared" ref="A718:A781" si="194">ROW(A706)</f>
        <v>706</v>
      </c>
      <c r="B718" s="2200" t="s">
        <v>2781</v>
      </c>
      <c r="C718" s="2743">
        <v>0</v>
      </c>
      <c r="D718" s="2743">
        <v>0</v>
      </c>
      <c r="E718" s="2949">
        <v>0</v>
      </c>
      <c r="F718" s="2200">
        <v>20</v>
      </c>
      <c r="G718" s="2200" t="s">
        <v>127</v>
      </c>
      <c r="H718" s="2200" t="s">
        <v>1057</v>
      </c>
      <c r="I718" s="2742">
        <v>0</v>
      </c>
      <c r="J718" s="2742"/>
      <c r="K718" s="2752">
        <v>60</v>
      </c>
      <c r="L718" s="2745">
        <f t="shared" si="183"/>
        <v>0</v>
      </c>
      <c r="M718" s="2745">
        <f t="shared" si="186"/>
        <v>0</v>
      </c>
      <c r="N718" s="2745">
        <f t="shared" si="187"/>
        <v>20</v>
      </c>
      <c r="O718" s="1232">
        <f t="shared" si="188"/>
        <v>0</v>
      </c>
      <c r="P718" s="1227" t="str">
        <f t="shared" si="193"/>
        <v>140gsm ART PAPER NEVIA GOLD EAST - MATT</v>
      </c>
      <c r="Q718" s="254">
        <v>0.13400000000000001</v>
      </c>
      <c r="R718" s="1228" t="str">
        <f t="shared" si="180"/>
        <v>140</v>
      </c>
      <c r="S718" s="2625">
        <f t="shared" si="184"/>
        <v>0</v>
      </c>
      <c r="T718" s="2747">
        <f>IF(L718&gt;0,IF(input!$B$2=$O$1,(((L718+Y718/22)+(L718+Y718/22)*$AG718+$X718)*$P$11+$M$7)/1000,(((L718+Y718/22)+(L718+Y718/22)*O718+(L718+Y718/22)*$AG718+$X718)*$P$11+$M$7)/1000),0)</f>
        <v>0</v>
      </c>
      <c r="U718" s="2747">
        <f t="shared" ref="U718:U781" si="195">IF(S718&gt;0,(S718/1.08)+Z718,0)</f>
        <v>0</v>
      </c>
      <c r="V718" s="1229"/>
      <c r="W718" s="1231" t="str">
        <f t="shared" si="185"/>
        <v>CIF</v>
      </c>
      <c r="X718" s="1230">
        <f t="shared" si="182"/>
        <v>0</v>
      </c>
      <c r="Y718" s="2625">
        <f t="shared" si="189"/>
        <v>0</v>
      </c>
      <c r="Z718" s="3208">
        <f t="shared" si="181"/>
        <v>838.18181818181813</v>
      </c>
      <c r="AA718" s="1220" t="s">
        <v>2848</v>
      </c>
      <c r="AB718" s="1220" t="s">
        <v>1397</v>
      </c>
      <c r="AC718" s="251" t="str">
        <f t="shared" si="190"/>
        <v>140gsm ART PAPER NEVIA GOLD EAST - MATT</v>
      </c>
      <c r="AD718" s="2746">
        <f>IF(L718&gt;0,IF(input!$B$2=$O$1,(((M718)+(M718)*$M$10)*$P$11)/1000,(((M718)+(M718)*O718+(M718)*$M$10)*$P$11)/1000),0)</f>
        <v>0</v>
      </c>
      <c r="AE718" s="2746">
        <f>IF(L718&gt;0,IF(input!$B$2=$O$1,(((N718)+(N718)*$M$10)*$P$11)/1000,(((N718)+(N718)*O718+(N718)*$M$10)*$P$11)/1000),0)</f>
        <v>0</v>
      </c>
      <c r="AF718" s="136" t="str">
        <f t="shared" si="191"/>
        <v>None</v>
      </c>
      <c r="AG718" s="2628">
        <f t="shared" si="192"/>
        <v>1.6E-2</v>
      </c>
      <c r="AH718" s="1266">
        <v>0.1</v>
      </c>
    </row>
    <row r="719" spans="1:34" ht="12.75">
      <c r="A719" s="2199">
        <f t="shared" si="194"/>
        <v>707</v>
      </c>
      <c r="B719" s="2200" t="s">
        <v>2782</v>
      </c>
      <c r="C719" s="2743">
        <v>0</v>
      </c>
      <c r="D719" s="2743">
        <v>0</v>
      </c>
      <c r="E719" s="2949">
        <v>0</v>
      </c>
      <c r="F719" s="2200">
        <v>20</v>
      </c>
      <c r="G719" s="2200" t="s">
        <v>127</v>
      </c>
      <c r="H719" s="2200" t="s">
        <v>1057</v>
      </c>
      <c r="I719" s="2742">
        <v>0</v>
      </c>
      <c r="J719" s="2742"/>
      <c r="K719" s="2752">
        <v>60</v>
      </c>
      <c r="L719" s="2745">
        <f t="shared" si="183"/>
        <v>0</v>
      </c>
      <c r="M719" s="2745">
        <f t="shared" si="186"/>
        <v>0</v>
      </c>
      <c r="N719" s="2745">
        <f t="shared" si="187"/>
        <v>20</v>
      </c>
      <c r="O719" s="1232">
        <f t="shared" si="188"/>
        <v>0</v>
      </c>
      <c r="P719" s="1227" t="str">
        <f t="shared" si="193"/>
        <v>148gsm ART PAPER NEVIA GOLD EAST - MATT</v>
      </c>
      <c r="Q719" s="254">
        <v>0.14399999999999999</v>
      </c>
      <c r="R719" s="1228" t="str">
        <f t="shared" ref="R719:R782" si="196">LEFT(AC719,3)</f>
        <v>148</v>
      </c>
      <c r="S719" s="2625">
        <f t="shared" si="184"/>
        <v>0</v>
      </c>
      <c r="T719" s="2747">
        <f>IF(L719&gt;0,IF(input!$B$2=$O$1,(((L719+Y719/22)+(L719+Y719/22)*$AG719+$X719)*$P$11+$M$7)/1000,(((L719+Y719/22)+(L719+Y719/22)*O719+(L719+Y719/22)*$AG719+$X719)*$P$11+$M$7)/1000),0)</f>
        <v>0</v>
      </c>
      <c r="U719" s="2747">
        <f t="shared" si="195"/>
        <v>0</v>
      </c>
      <c r="V719" s="1229"/>
      <c r="W719" s="1231" t="str">
        <f t="shared" si="185"/>
        <v>CIF</v>
      </c>
      <c r="X719" s="1230">
        <f t="shared" si="182"/>
        <v>0</v>
      </c>
      <c r="Y719" s="2625">
        <f t="shared" si="189"/>
        <v>0</v>
      </c>
      <c r="Z719" s="3208">
        <f t="shared" ref="Z719:Z782" si="197">922000/1.1/1000</f>
        <v>838.18181818181813</v>
      </c>
      <c r="AA719" s="1220" t="s">
        <v>2848</v>
      </c>
      <c r="AB719" s="1220" t="s">
        <v>1397</v>
      </c>
      <c r="AC719" s="251" t="str">
        <f t="shared" si="190"/>
        <v>148gsm ART PAPER NEVIA GOLD EAST - MATT</v>
      </c>
      <c r="AD719" s="2746">
        <f>IF(L719&gt;0,IF(input!$B$2=$O$1,(((M719)+(M719)*$M$10)*$P$11)/1000,(((M719)+(M719)*O719+(M719)*$M$10)*$P$11)/1000),0)</f>
        <v>0</v>
      </c>
      <c r="AE719" s="2746">
        <f>IF(L719&gt;0,IF(input!$B$2=$O$1,(((N719)+(N719)*$M$10)*$P$11)/1000,(((N719)+(N719)*O719+(N719)*$M$10)*$P$11)/1000),0)</f>
        <v>0</v>
      </c>
      <c r="AF719" s="136" t="str">
        <f t="shared" si="191"/>
        <v>None</v>
      </c>
      <c r="AG719" s="2628">
        <f t="shared" si="192"/>
        <v>1.6E-2</v>
      </c>
      <c r="AH719" s="1266">
        <v>0.1</v>
      </c>
    </row>
    <row r="720" spans="1:34" ht="12.75">
      <c r="A720" s="2199">
        <f t="shared" si="194"/>
        <v>708</v>
      </c>
      <c r="B720" s="2200" t="s">
        <v>2783</v>
      </c>
      <c r="C720" s="2743">
        <v>0</v>
      </c>
      <c r="D720" s="2743">
        <v>0</v>
      </c>
      <c r="E720" s="2949">
        <v>0</v>
      </c>
      <c r="F720" s="2200">
        <v>20</v>
      </c>
      <c r="G720" s="2200" t="s">
        <v>127</v>
      </c>
      <c r="H720" s="2200" t="s">
        <v>1057</v>
      </c>
      <c r="I720" s="2742">
        <v>0</v>
      </c>
      <c r="J720" s="2742"/>
      <c r="K720" s="2752">
        <v>60</v>
      </c>
      <c r="L720" s="2745">
        <f t="shared" si="183"/>
        <v>0</v>
      </c>
      <c r="M720" s="2745">
        <f t="shared" si="186"/>
        <v>0</v>
      </c>
      <c r="N720" s="2745">
        <f t="shared" si="187"/>
        <v>20</v>
      </c>
      <c r="O720" s="1232">
        <f t="shared" si="188"/>
        <v>0</v>
      </c>
      <c r="P720" s="1227" t="str">
        <f t="shared" si="193"/>
        <v>100gsm ART PAPER HI-KOTE GOLD EAST - GLOSS</v>
      </c>
      <c r="Q720" s="254">
        <v>0.08</v>
      </c>
      <c r="R720" s="1228" t="str">
        <f t="shared" si="196"/>
        <v>100</v>
      </c>
      <c r="S720" s="2625">
        <f t="shared" si="184"/>
        <v>0</v>
      </c>
      <c r="T720" s="2747">
        <f>IF(L720&gt;0,IF(input!$B$2=$O$1,(((L720+Y720/22)+(L720+Y720/22)*$AG720+$X720)*$P$11+$M$7)/1000,(((L720+Y720/22)+(L720+Y720/22)*O720+(L720+Y720/22)*$AG720+$X720)*$P$11+$M$7)/1000),0)</f>
        <v>0</v>
      </c>
      <c r="U720" s="2747">
        <f t="shared" si="195"/>
        <v>0</v>
      </c>
      <c r="V720" s="1229"/>
      <c r="W720" s="1231" t="str">
        <f t="shared" si="185"/>
        <v>CIF</v>
      </c>
      <c r="X720" s="1230">
        <f t="shared" ref="X720:X783" si="198">IF(L720&gt;0,IF(OR(W720="CFR",W720="CRF",W720="CNF",W720="CPT"),1.1*$M$8*(L720+N720),IF(W720="FOB",1.1*$M$8*(L720+N720+Y720/22),0)),0)</f>
        <v>0</v>
      </c>
      <c r="Y720" s="2625">
        <f t="shared" si="189"/>
        <v>0</v>
      </c>
      <c r="Z720" s="3208">
        <f t="shared" si="197"/>
        <v>838.18181818181813</v>
      </c>
      <c r="AA720" s="1220" t="s">
        <v>2844</v>
      </c>
      <c r="AB720" s="1220" t="s">
        <v>1397</v>
      </c>
      <c r="AC720" s="251" t="str">
        <f t="shared" si="190"/>
        <v>100gsm ART PAPER HI-KOTE GOLD EAST - GLOSS</v>
      </c>
      <c r="AD720" s="2746">
        <f>IF(L720&gt;0,IF(input!$B$2=$O$1,(((M720)+(M720)*$M$10)*$P$11)/1000,(((M720)+(M720)*O720+(M720)*$M$10)*$P$11)/1000),0)</f>
        <v>0</v>
      </c>
      <c r="AE720" s="2746">
        <f>IF(L720&gt;0,IF(input!$B$2=$O$1,(((N720)+(N720)*$M$10)*$P$11)/1000,(((N720)+(N720)*O720+(N720)*$M$10)*$P$11)/1000),0)</f>
        <v>0</v>
      </c>
      <c r="AF720" s="136" t="str">
        <f t="shared" si="191"/>
        <v>None</v>
      </c>
      <c r="AG720" s="2628">
        <f t="shared" si="192"/>
        <v>1.6E-2</v>
      </c>
      <c r="AH720" s="1266">
        <v>0.1</v>
      </c>
    </row>
    <row r="721" spans="1:34" ht="12.75">
      <c r="A721" s="2199">
        <f t="shared" si="194"/>
        <v>709</v>
      </c>
      <c r="B721" s="2200" t="s">
        <v>2784</v>
      </c>
      <c r="C721" s="2743">
        <v>0</v>
      </c>
      <c r="D721" s="2743">
        <v>0</v>
      </c>
      <c r="E721" s="2949">
        <v>0</v>
      </c>
      <c r="F721" s="2200">
        <v>20</v>
      </c>
      <c r="G721" s="2200" t="s">
        <v>127</v>
      </c>
      <c r="H721" s="2200" t="s">
        <v>1057</v>
      </c>
      <c r="I721" s="2742">
        <v>0</v>
      </c>
      <c r="J721" s="2742"/>
      <c r="K721" s="2752">
        <v>60</v>
      </c>
      <c r="L721" s="2745">
        <f t="shared" si="183"/>
        <v>0</v>
      </c>
      <c r="M721" s="2745">
        <f t="shared" si="186"/>
        <v>0</v>
      </c>
      <c r="N721" s="2745">
        <f t="shared" si="187"/>
        <v>20</v>
      </c>
      <c r="O721" s="1232">
        <f t="shared" si="188"/>
        <v>0</v>
      </c>
      <c r="P721" s="1227" t="str">
        <f t="shared" si="193"/>
        <v>115gsm ART PAPER HI-KOTE GOLD EAST - GLOSS</v>
      </c>
      <c r="Q721" s="254">
        <v>9.1999999999999998E-2</v>
      </c>
      <c r="R721" s="1228" t="str">
        <f t="shared" si="196"/>
        <v>115</v>
      </c>
      <c r="S721" s="2625">
        <f t="shared" si="184"/>
        <v>0</v>
      </c>
      <c r="T721" s="2747">
        <f>IF(L721&gt;0,IF(input!$B$2=$O$1,(((L721+Y721/22)+(L721+Y721/22)*$AG721+$X721)*$P$11+$M$7)/1000,(((L721+Y721/22)+(L721+Y721/22)*O721+(L721+Y721/22)*$AG721+$X721)*$P$11+$M$7)/1000),0)</f>
        <v>0</v>
      </c>
      <c r="U721" s="2747">
        <f t="shared" si="195"/>
        <v>0</v>
      </c>
      <c r="V721" s="1229"/>
      <c r="W721" s="1231" t="str">
        <f t="shared" si="185"/>
        <v>CIF</v>
      </c>
      <c r="X721" s="1230">
        <f t="shared" si="198"/>
        <v>0</v>
      </c>
      <c r="Y721" s="2625">
        <f t="shared" si="189"/>
        <v>0</v>
      </c>
      <c r="Z721" s="3208">
        <f t="shared" si="197"/>
        <v>838.18181818181813</v>
      </c>
      <c r="AA721" s="1220" t="s">
        <v>2844</v>
      </c>
      <c r="AB721" s="1220" t="s">
        <v>1397</v>
      </c>
      <c r="AC721" s="251" t="str">
        <f t="shared" si="190"/>
        <v>115gsm ART PAPER HI-KOTE GOLD EAST - GLOSS</v>
      </c>
      <c r="AD721" s="2746">
        <f>IF(L721&gt;0,IF(input!$B$2=$O$1,(((M721)+(M721)*$M$10)*$P$11)/1000,(((M721)+(M721)*O721+(M721)*$M$10)*$P$11)/1000),0)</f>
        <v>0</v>
      </c>
      <c r="AE721" s="2746">
        <f>IF(L721&gt;0,IF(input!$B$2=$O$1,(((N721)+(N721)*$M$10)*$P$11)/1000,(((N721)+(N721)*O721+(N721)*$M$10)*$P$11)/1000),0)</f>
        <v>0</v>
      </c>
      <c r="AF721" s="136" t="str">
        <f t="shared" si="191"/>
        <v>None</v>
      </c>
      <c r="AG721" s="2628">
        <f t="shared" si="192"/>
        <v>1.6E-2</v>
      </c>
      <c r="AH721" s="1266">
        <v>0.1</v>
      </c>
    </row>
    <row r="722" spans="1:34" ht="12.75">
      <c r="A722" s="2199">
        <f t="shared" si="194"/>
        <v>710</v>
      </c>
      <c r="B722" s="2200" t="s">
        <v>2785</v>
      </c>
      <c r="C722" s="2743">
        <v>0</v>
      </c>
      <c r="D722" s="2743">
        <v>0</v>
      </c>
      <c r="E722" s="2949">
        <v>0</v>
      </c>
      <c r="F722" s="2200">
        <v>20</v>
      </c>
      <c r="G722" s="2200" t="s">
        <v>127</v>
      </c>
      <c r="H722" s="2200" t="s">
        <v>1057</v>
      </c>
      <c r="I722" s="2742">
        <v>0</v>
      </c>
      <c r="J722" s="2742"/>
      <c r="K722" s="2752">
        <v>60</v>
      </c>
      <c r="L722" s="2745">
        <f t="shared" si="183"/>
        <v>0</v>
      </c>
      <c r="M722" s="2745">
        <f t="shared" si="186"/>
        <v>0</v>
      </c>
      <c r="N722" s="2745">
        <f t="shared" si="187"/>
        <v>20</v>
      </c>
      <c r="O722" s="1232">
        <f t="shared" si="188"/>
        <v>0</v>
      </c>
      <c r="P722" s="1227" t="str">
        <f t="shared" si="193"/>
        <v>120gsm ART PAPER HI-KOTE GOLD EAST - GLOSS</v>
      </c>
      <c r="Q722" s="254">
        <v>9.6000000000000002E-2</v>
      </c>
      <c r="R722" s="1228" t="str">
        <f t="shared" si="196"/>
        <v>120</v>
      </c>
      <c r="S722" s="2625">
        <f t="shared" si="184"/>
        <v>0</v>
      </c>
      <c r="T722" s="2747">
        <f>IF(L722&gt;0,IF(input!$B$2=$O$1,(((L722+Y722/22)+(L722+Y722/22)*$AG722+$X722)*$P$11+$M$7)/1000,(((L722+Y722/22)+(L722+Y722/22)*O722+(L722+Y722/22)*$AG722+$X722)*$P$11+$M$7)/1000),0)</f>
        <v>0</v>
      </c>
      <c r="U722" s="2747">
        <f t="shared" si="195"/>
        <v>0</v>
      </c>
      <c r="V722" s="1229"/>
      <c r="W722" s="1231" t="str">
        <f t="shared" si="185"/>
        <v>CIF</v>
      </c>
      <c r="X722" s="1230">
        <f t="shared" si="198"/>
        <v>0</v>
      </c>
      <c r="Y722" s="2625">
        <f t="shared" si="189"/>
        <v>0</v>
      </c>
      <c r="Z722" s="3208">
        <f t="shared" si="197"/>
        <v>838.18181818181813</v>
      </c>
      <c r="AA722" s="1220" t="s">
        <v>2844</v>
      </c>
      <c r="AB722" s="1220" t="s">
        <v>1397</v>
      </c>
      <c r="AC722" s="251" t="str">
        <f t="shared" si="190"/>
        <v>120gsm ART PAPER HI-KOTE GOLD EAST - GLOSS</v>
      </c>
      <c r="AD722" s="2746">
        <f>IF(L722&gt;0,IF(input!$B$2=$O$1,(((M722)+(M722)*$M$10)*$P$11)/1000,(((M722)+(M722)*O722+(M722)*$M$10)*$P$11)/1000),0)</f>
        <v>0</v>
      </c>
      <c r="AE722" s="2746">
        <f>IF(L722&gt;0,IF(input!$B$2=$O$1,(((N722)+(N722)*$M$10)*$P$11)/1000,(((N722)+(N722)*O722+(N722)*$M$10)*$P$11)/1000),0)</f>
        <v>0</v>
      </c>
      <c r="AF722" s="136" t="str">
        <f t="shared" si="191"/>
        <v>None</v>
      </c>
      <c r="AG722" s="2628">
        <f t="shared" si="192"/>
        <v>1.6E-2</v>
      </c>
      <c r="AH722" s="1266">
        <v>0.1</v>
      </c>
    </row>
    <row r="723" spans="1:34" ht="12.75">
      <c r="A723" s="2199">
        <f t="shared" si="194"/>
        <v>711</v>
      </c>
      <c r="B723" s="2200" t="s">
        <v>2786</v>
      </c>
      <c r="C723" s="2743">
        <v>0</v>
      </c>
      <c r="D723" s="2743">
        <v>0</v>
      </c>
      <c r="E723" s="2949">
        <v>0</v>
      </c>
      <c r="F723" s="2200">
        <v>20</v>
      </c>
      <c r="G723" s="2200" t="s">
        <v>127</v>
      </c>
      <c r="H723" s="2200" t="s">
        <v>1057</v>
      </c>
      <c r="I723" s="2742">
        <v>0</v>
      </c>
      <c r="J723" s="2742"/>
      <c r="K723" s="2752">
        <v>60</v>
      </c>
      <c r="L723" s="2745">
        <f t="shared" si="183"/>
        <v>0</v>
      </c>
      <c r="M723" s="2745">
        <f t="shared" si="186"/>
        <v>0</v>
      </c>
      <c r="N723" s="2745">
        <f t="shared" si="187"/>
        <v>20</v>
      </c>
      <c r="O723" s="1232">
        <f t="shared" si="188"/>
        <v>0</v>
      </c>
      <c r="P723" s="1227" t="str">
        <f t="shared" si="193"/>
        <v>130gsm ART PAPER HI-KOTE GOLD EAST - GLOSS</v>
      </c>
      <c r="Q723" s="254">
        <v>0.104</v>
      </c>
      <c r="R723" s="1228" t="str">
        <f t="shared" si="196"/>
        <v>130</v>
      </c>
      <c r="S723" s="2625">
        <f t="shared" si="184"/>
        <v>0</v>
      </c>
      <c r="T723" s="2747">
        <f>IF(L723&gt;0,IF(input!$B$2=$O$1,(((L723+Y723/22)+(L723+Y723/22)*$AG723+$X723)*$P$11+$M$7)/1000,(((L723+Y723/22)+(L723+Y723/22)*O723+(L723+Y723/22)*$AG723+$X723)*$P$11+$M$7)/1000),0)</f>
        <v>0</v>
      </c>
      <c r="U723" s="2747">
        <f t="shared" si="195"/>
        <v>0</v>
      </c>
      <c r="V723" s="1229"/>
      <c r="W723" s="1231" t="str">
        <f t="shared" si="185"/>
        <v>CIF</v>
      </c>
      <c r="X723" s="1230">
        <f t="shared" si="198"/>
        <v>0</v>
      </c>
      <c r="Y723" s="2625">
        <f t="shared" si="189"/>
        <v>0</v>
      </c>
      <c r="Z723" s="3208">
        <f t="shared" si="197"/>
        <v>838.18181818181813</v>
      </c>
      <c r="AA723" s="1220" t="s">
        <v>2844</v>
      </c>
      <c r="AB723" s="1220" t="s">
        <v>1397</v>
      </c>
      <c r="AC723" s="251" t="str">
        <f t="shared" si="190"/>
        <v>130gsm ART PAPER HI-KOTE GOLD EAST - GLOSS</v>
      </c>
      <c r="AD723" s="2746">
        <f>IF(L723&gt;0,IF(input!$B$2=$O$1,(((M723)+(M723)*$M$10)*$P$11)/1000,(((M723)+(M723)*O723+(M723)*$M$10)*$P$11)/1000),0)</f>
        <v>0</v>
      </c>
      <c r="AE723" s="2746">
        <f>IF(L723&gt;0,IF(input!$B$2=$O$1,(((N723)+(N723)*$M$10)*$P$11)/1000,(((N723)+(N723)*O723+(N723)*$M$10)*$P$11)/1000),0)</f>
        <v>0</v>
      </c>
      <c r="AF723" s="136" t="str">
        <f t="shared" si="191"/>
        <v>None</v>
      </c>
      <c r="AG723" s="2628">
        <f t="shared" si="192"/>
        <v>1.6E-2</v>
      </c>
      <c r="AH723" s="1266">
        <v>0.1</v>
      </c>
    </row>
    <row r="724" spans="1:34" ht="12.75">
      <c r="A724" s="2199">
        <f t="shared" si="194"/>
        <v>712</v>
      </c>
      <c r="B724" s="2200" t="s">
        <v>2787</v>
      </c>
      <c r="C724" s="2743">
        <v>0</v>
      </c>
      <c r="D724" s="2743">
        <v>0</v>
      </c>
      <c r="E724" s="2949">
        <v>0</v>
      </c>
      <c r="F724" s="2200">
        <v>20</v>
      </c>
      <c r="G724" s="2200" t="s">
        <v>127</v>
      </c>
      <c r="H724" s="2200" t="s">
        <v>1057</v>
      </c>
      <c r="I724" s="2742">
        <v>0</v>
      </c>
      <c r="J724" s="2742"/>
      <c r="K724" s="2752">
        <v>60</v>
      </c>
      <c r="L724" s="2745">
        <f t="shared" si="183"/>
        <v>0</v>
      </c>
      <c r="M724" s="2745">
        <f t="shared" si="186"/>
        <v>0</v>
      </c>
      <c r="N724" s="2745">
        <f t="shared" si="187"/>
        <v>20</v>
      </c>
      <c r="O724" s="1232">
        <f t="shared" si="188"/>
        <v>0</v>
      </c>
      <c r="P724" s="1227" t="str">
        <f t="shared" si="193"/>
        <v>140gsm ART PAPER HI-KOTE GOLD EAST - GLOSS</v>
      </c>
      <c r="Q724" s="254">
        <v>0.11600000000000001</v>
      </c>
      <c r="R724" s="1228" t="str">
        <f t="shared" si="196"/>
        <v>140</v>
      </c>
      <c r="S724" s="2625">
        <f t="shared" si="184"/>
        <v>0</v>
      </c>
      <c r="T724" s="2747">
        <f>IF(L724&gt;0,IF(input!$B$2=$O$1,(((L724+Y724/22)+(L724+Y724/22)*$AG724+$X724)*$P$11+$M$7)/1000,(((L724+Y724/22)+(L724+Y724/22)*O724+(L724+Y724/22)*$AG724+$X724)*$P$11+$M$7)/1000),0)</f>
        <v>0</v>
      </c>
      <c r="U724" s="2747">
        <f t="shared" si="195"/>
        <v>0</v>
      </c>
      <c r="V724" s="1229"/>
      <c r="W724" s="1231" t="str">
        <f t="shared" si="185"/>
        <v>CIF</v>
      </c>
      <c r="X724" s="1230">
        <f t="shared" si="198"/>
        <v>0</v>
      </c>
      <c r="Y724" s="2625">
        <f t="shared" si="189"/>
        <v>0</v>
      </c>
      <c r="Z724" s="3208">
        <f t="shared" si="197"/>
        <v>838.18181818181813</v>
      </c>
      <c r="AA724" s="1220" t="s">
        <v>2844</v>
      </c>
      <c r="AB724" s="1220" t="s">
        <v>1397</v>
      </c>
      <c r="AC724" s="251" t="str">
        <f t="shared" si="190"/>
        <v>140gsm ART PAPER HI-KOTE GOLD EAST - GLOSS</v>
      </c>
      <c r="AD724" s="2746">
        <f>IF(L724&gt;0,IF(input!$B$2=$O$1,(((M724)+(M724)*$M$10)*$P$11)/1000,(((M724)+(M724)*O724+(M724)*$M$10)*$P$11)/1000),0)</f>
        <v>0</v>
      </c>
      <c r="AE724" s="2746">
        <f>IF(L724&gt;0,IF(input!$B$2=$O$1,(((N724)+(N724)*$M$10)*$P$11)/1000,(((N724)+(N724)*O724+(N724)*$M$10)*$P$11)/1000),0)</f>
        <v>0</v>
      </c>
      <c r="AF724" s="136" t="str">
        <f t="shared" si="191"/>
        <v>None</v>
      </c>
      <c r="AG724" s="2628">
        <f t="shared" si="192"/>
        <v>1.6E-2</v>
      </c>
      <c r="AH724" s="1266">
        <v>0.1</v>
      </c>
    </row>
    <row r="725" spans="1:34" ht="12.75">
      <c r="A725" s="2199">
        <f t="shared" si="194"/>
        <v>713</v>
      </c>
      <c r="B725" s="2200" t="s">
        <v>2788</v>
      </c>
      <c r="C725" s="2743">
        <v>0</v>
      </c>
      <c r="D725" s="2743">
        <v>0</v>
      </c>
      <c r="E725" s="2949">
        <v>0</v>
      </c>
      <c r="F725" s="2200">
        <v>20</v>
      </c>
      <c r="G725" s="2200" t="s">
        <v>127</v>
      </c>
      <c r="H725" s="2200" t="s">
        <v>1057</v>
      </c>
      <c r="I725" s="2742">
        <v>0</v>
      </c>
      <c r="J725" s="2742"/>
      <c r="K725" s="2752">
        <v>60</v>
      </c>
      <c r="L725" s="2745">
        <f t="shared" si="183"/>
        <v>0</v>
      </c>
      <c r="M725" s="2745">
        <f t="shared" si="186"/>
        <v>0</v>
      </c>
      <c r="N725" s="2745">
        <f t="shared" si="187"/>
        <v>20</v>
      </c>
      <c r="O725" s="1232">
        <f t="shared" si="188"/>
        <v>0</v>
      </c>
      <c r="P725" s="1227" t="str">
        <f t="shared" si="193"/>
        <v>148gsm ART PAPER HI-KOTE GOLD EAST - GLOSS</v>
      </c>
      <c r="Q725" s="254">
        <v>0.125</v>
      </c>
      <c r="R725" s="1228" t="str">
        <f t="shared" si="196"/>
        <v>148</v>
      </c>
      <c r="S725" s="2625">
        <f t="shared" si="184"/>
        <v>0</v>
      </c>
      <c r="T725" s="2747">
        <f>IF(L725&gt;0,IF(input!$B$2=$O$1,(((L725+Y725/22)+(L725+Y725/22)*$AG725+$X725)*$P$11+$M$7)/1000,(((L725+Y725/22)+(L725+Y725/22)*O725+(L725+Y725/22)*$AG725+$X725)*$P$11+$M$7)/1000),0)</f>
        <v>0</v>
      </c>
      <c r="U725" s="2747">
        <f t="shared" si="195"/>
        <v>0</v>
      </c>
      <c r="V725" s="1229"/>
      <c r="W725" s="1231" t="str">
        <f t="shared" si="185"/>
        <v>CIF</v>
      </c>
      <c r="X725" s="1230">
        <f t="shared" si="198"/>
        <v>0</v>
      </c>
      <c r="Y725" s="2625">
        <f t="shared" si="189"/>
        <v>0</v>
      </c>
      <c r="Z725" s="3208">
        <f t="shared" si="197"/>
        <v>838.18181818181813</v>
      </c>
      <c r="AA725" s="1220" t="s">
        <v>2844</v>
      </c>
      <c r="AB725" s="1220" t="s">
        <v>1397</v>
      </c>
      <c r="AC725" s="251" t="str">
        <f t="shared" si="190"/>
        <v>148gsm ART PAPER HI-KOTE GOLD EAST - GLOSS</v>
      </c>
      <c r="AD725" s="2746">
        <f>IF(L725&gt;0,IF(input!$B$2=$O$1,(((M725)+(M725)*$M$10)*$P$11)/1000,(((M725)+(M725)*O725+(M725)*$M$10)*$P$11)/1000),0)</f>
        <v>0</v>
      </c>
      <c r="AE725" s="2746">
        <f>IF(L725&gt;0,IF(input!$B$2=$O$1,(((N725)+(N725)*$M$10)*$P$11)/1000,(((N725)+(N725)*O725+(N725)*$M$10)*$P$11)/1000),0)</f>
        <v>0</v>
      </c>
      <c r="AF725" s="136" t="str">
        <f t="shared" si="191"/>
        <v>None</v>
      </c>
      <c r="AG725" s="2628">
        <f t="shared" si="192"/>
        <v>1.6E-2</v>
      </c>
      <c r="AH725" s="1266">
        <v>0.1</v>
      </c>
    </row>
    <row r="726" spans="1:34" ht="12.75">
      <c r="A726" s="2199">
        <f t="shared" si="194"/>
        <v>714</v>
      </c>
      <c r="B726" s="2200" t="s">
        <v>2789</v>
      </c>
      <c r="C726" s="2743">
        <v>0</v>
      </c>
      <c r="D726" s="2743">
        <v>0</v>
      </c>
      <c r="E726" s="2949">
        <v>0</v>
      </c>
      <c r="F726" s="2200">
        <v>20</v>
      </c>
      <c r="G726" s="2200" t="s">
        <v>127</v>
      </c>
      <c r="H726" s="2200" t="s">
        <v>1057</v>
      </c>
      <c r="I726" s="2742">
        <v>0</v>
      </c>
      <c r="J726" s="2742"/>
      <c r="K726" s="2752">
        <v>60</v>
      </c>
      <c r="L726" s="2745">
        <f t="shared" si="183"/>
        <v>0</v>
      </c>
      <c r="M726" s="2745">
        <f t="shared" si="186"/>
        <v>0</v>
      </c>
      <c r="N726" s="2745">
        <f t="shared" si="187"/>
        <v>20</v>
      </c>
      <c r="O726" s="1232">
        <f t="shared" si="188"/>
        <v>0</v>
      </c>
      <c r="P726" s="1227" t="str">
        <f t="shared" si="193"/>
        <v>080gsm ART PAPER NEVIA GOLD EAST - GLOSS</v>
      </c>
      <c r="Q726" s="254">
        <v>6.5000000000000002E-2</v>
      </c>
      <c r="R726" s="1228" t="str">
        <f t="shared" si="196"/>
        <v>080</v>
      </c>
      <c r="S726" s="2625">
        <f t="shared" si="184"/>
        <v>0</v>
      </c>
      <c r="T726" s="2747">
        <f>IF(L726&gt;0,IF(input!$B$2=$O$1,(((L726+Y726/22)+(L726+Y726/22)*$AG726+$X726)*$P$11+$M$7)/1000,(((L726+Y726/22)+(L726+Y726/22)*O726+(L726+Y726/22)*$AG726+$X726)*$P$11+$M$7)/1000),0)</f>
        <v>0</v>
      </c>
      <c r="U726" s="2747">
        <f t="shared" si="195"/>
        <v>0</v>
      </c>
      <c r="V726" s="1229"/>
      <c r="W726" s="1231" t="str">
        <f t="shared" si="185"/>
        <v>CIF</v>
      </c>
      <c r="X726" s="1230">
        <f t="shared" si="198"/>
        <v>0</v>
      </c>
      <c r="Y726" s="2625">
        <f t="shared" si="189"/>
        <v>0</v>
      </c>
      <c r="Z726" s="3208">
        <f t="shared" si="197"/>
        <v>838.18181818181813</v>
      </c>
      <c r="AA726" s="1220" t="s">
        <v>2847</v>
      </c>
      <c r="AB726" s="1220" t="s">
        <v>1397</v>
      </c>
      <c r="AC726" s="251" t="str">
        <f t="shared" si="190"/>
        <v>080gsm ART PAPER NEVIA GOLD EAST - GLOSS</v>
      </c>
      <c r="AD726" s="2746">
        <f>IF(L726&gt;0,IF(input!$B$2=$O$1,(((M726)+(M726)*$M$10)*$P$11)/1000,(((M726)+(M726)*O726+(M726)*$M$10)*$P$11)/1000),0)</f>
        <v>0</v>
      </c>
      <c r="AE726" s="2746">
        <f>IF(L726&gt;0,IF(input!$B$2=$O$1,(((N726)+(N726)*$M$10)*$P$11)/1000,(((N726)+(N726)*O726+(N726)*$M$10)*$P$11)/1000),0)</f>
        <v>0</v>
      </c>
      <c r="AF726" s="136" t="str">
        <f t="shared" si="191"/>
        <v>None</v>
      </c>
      <c r="AG726" s="2628">
        <f t="shared" si="192"/>
        <v>1.6E-2</v>
      </c>
      <c r="AH726" s="1266">
        <v>0.1</v>
      </c>
    </row>
    <row r="727" spans="1:34" ht="12.75">
      <c r="A727" s="2199">
        <f t="shared" si="194"/>
        <v>715</v>
      </c>
      <c r="B727" s="2200" t="s">
        <v>2790</v>
      </c>
      <c r="C727" s="2743">
        <v>0</v>
      </c>
      <c r="D727" s="2743">
        <v>0</v>
      </c>
      <c r="E727" s="2949">
        <v>0</v>
      </c>
      <c r="F727" s="2200">
        <v>20</v>
      </c>
      <c r="G727" s="2200" t="s">
        <v>127</v>
      </c>
      <c r="H727" s="2200" t="s">
        <v>1057</v>
      </c>
      <c r="I727" s="2742">
        <v>0</v>
      </c>
      <c r="J727" s="2742"/>
      <c r="K727" s="2752">
        <v>60</v>
      </c>
      <c r="L727" s="2745">
        <f t="shared" si="183"/>
        <v>0</v>
      </c>
      <c r="M727" s="2745">
        <f t="shared" si="186"/>
        <v>0</v>
      </c>
      <c r="N727" s="2745">
        <f t="shared" si="187"/>
        <v>20</v>
      </c>
      <c r="O727" s="1232">
        <f t="shared" si="188"/>
        <v>0</v>
      </c>
      <c r="P727" s="1227" t="str">
        <f t="shared" si="193"/>
        <v>100gsm ART PAPER NEVIA GOLD EAST - GLOSS</v>
      </c>
      <c r="Q727" s="254">
        <v>8.1000000000000003E-2</v>
      </c>
      <c r="R727" s="1228" t="str">
        <f t="shared" si="196"/>
        <v>100</v>
      </c>
      <c r="S727" s="2625">
        <f t="shared" si="184"/>
        <v>0</v>
      </c>
      <c r="T727" s="2747">
        <f>IF(L727&gt;0,IF(input!$B$2=$O$1,(((L727+Y727/22)+(L727+Y727/22)*$AG727+$X727)*$P$11+$M$7)/1000,(((L727+Y727/22)+(L727+Y727/22)*O727+(L727+Y727/22)*$AG727+$X727)*$P$11+$M$7)/1000),0)</f>
        <v>0</v>
      </c>
      <c r="U727" s="2747">
        <f t="shared" si="195"/>
        <v>0</v>
      </c>
      <c r="V727" s="1229"/>
      <c r="W727" s="1231" t="str">
        <f t="shared" si="185"/>
        <v>CIF</v>
      </c>
      <c r="X727" s="1230">
        <f t="shared" si="198"/>
        <v>0</v>
      </c>
      <c r="Y727" s="2625">
        <f t="shared" si="189"/>
        <v>0</v>
      </c>
      <c r="Z727" s="3208">
        <f t="shared" si="197"/>
        <v>838.18181818181813</v>
      </c>
      <c r="AA727" s="1220" t="s">
        <v>2847</v>
      </c>
      <c r="AB727" s="1220" t="s">
        <v>1397</v>
      </c>
      <c r="AC727" s="251" t="str">
        <f t="shared" si="190"/>
        <v>100gsm ART PAPER NEVIA GOLD EAST - GLOSS</v>
      </c>
      <c r="AD727" s="2746">
        <f>IF(L727&gt;0,IF(input!$B$2=$O$1,(((M727)+(M727)*$M$10)*$P$11)/1000,(((M727)+(M727)*O727+(M727)*$M$10)*$P$11)/1000),0)</f>
        <v>0</v>
      </c>
      <c r="AE727" s="2746">
        <f>IF(L727&gt;0,IF(input!$B$2=$O$1,(((N727)+(N727)*$M$10)*$P$11)/1000,(((N727)+(N727)*O727+(N727)*$M$10)*$P$11)/1000),0)</f>
        <v>0</v>
      </c>
      <c r="AF727" s="136" t="str">
        <f t="shared" si="191"/>
        <v>None</v>
      </c>
      <c r="AG727" s="2628">
        <f t="shared" si="192"/>
        <v>1.6E-2</v>
      </c>
      <c r="AH727" s="1266">
        <v>0.1</v>
      </c>
    </row>
    <row r="728" spans="1:34" ht="12.75">
      <c r="A728" s="2199">
        <f t="shared" si="194"/>
        <v>716</v>
      </c>
      <c r="B728" s="2200" t="s">
        <v>2791</v>
      </c>
      <c r="C728" s="2743">
        <v>0</v>
      </c>
      <c r="D728" s="2743">
        <v>0</v>
      </c>
      <c r="E728" s="2949">
        <v>0</v>
      </c>
      <c r="F728" s="2200">
        <v>20</v>
      </c>
      <c r="G728" s="2200" t="s">
        <v>127</v>
      </c>
      <c r="H728" s="2200" t="s">
        <v>1057</v>
      </c>
      <c r="I728" s="2742">
        <v>0</v>
      </c>
      <c r="J728" s="2742"/>
      <c r="K728" s="2752">
        <v>60</v>
      </c>
      <c r="L728" s="2745">
        <f t="shared" si="183"/>
        <v>0</v>
      </c>
      <c r="M728" s="2745">
        <f t="shared" si="186"/>
        <v>0</v>
      </c>
      <c r="N728" s="2745">
        <f t="shared" si="187"/>
        <v>20</v>
      </c>
      <c r="O728" s="1232">
        <f t="shared" si="188"/>
        <v>0</v>
      </c>
      <c r="P728" s="1227" t="str">
        <f t="shared" si="193"/>
        <v>115gsm ART PAPER NEVIA GOLD EAST - GLOSS</v>
      </c>
      <c r="Q728" s="254">
        <v>9.4E-2</v>
      </c>
      <c r="R728" s="1228" t="str">
        <f t="shared" si="196"/>
        <v>115</v>
      </c>
      <c r="S728" s="2625">
        <f t="shared" si="184"/>
        <v>0</v>
      </c>
      <c r="T728" s="2747">
        <f>IF(L728&gt;0,IF(input!$B$2=$O$1,(((L728+Y728/22)+(L728+Y728/22)*$AG728+$X728)*$P$11+$M$7)/1000,(((L728+Y728/22)+(L728+Y728/22)*O728+(L728+Y728/22)*$AG728+$X728)*$P$11+$M$7)/1000),0)</f>
        <v>0</v>
      </c>
      <c r="U728" s="2747">
        <f t="shared" si="195"/>
        <v>0</v>
      </c>
      <c r="V728" s="1229"/>
      <c r="W728" s="1231" t="str">
        <f t="shared" si="185"/>
        <v>CIF</v>
      </c>
      <c r="X728" s="1230">
        <f t="shared" si="198"/>
        <v>0</v>
      </c>
      <c r="Y728" s="2625">
        <f t="shared" si="189"/>
        <v>0</v>
      </c>
      <c r="Z728" s="3208">
        <f t="shared" si="197"/>
        <v>838.18181818181813</v>
      </c>
      <c r="AA728" s="1220" t="s">
        <v>2847</v>
      </c>
      <c r="AB728" s="1220" t="s">
        <v>1397</v>
      </c>
      <c r="AC728" s="251" t="str">
        <f t="shared" si="190"/>
        <v>115gsm ART PAPER NEVIA GOLD EAST - GLOSS</v>
      </c>
      <c r="AD728" s="2746">
        <f>IF(L728&gt;0,IF(input!$B$2=$O$1,(((M728)+(M728)*$M$10)*$P$11)/1000,(((M728)+(M728)*O728+(M728)*$M$10)*$P$11)/1000),0)</f>
        <v>0</v>
      </c>
      <c r="AE728" s="2746">
        <f>IF(L728&gt;0,IF(input!$B$2=$O$1,(((N728)+(N728)*$M$10)*$P$11)/1000,(((N728)+(N728)*O728+(N728)*$M$10)*$P$11)/1000),0)</f>
        <v>0</v>
      </c>
      <c r="AF728" s="136" t="str">
        <f t="shared" si="191"/>
        <v>None</v>
      </c>
      <c r="AG728" s="2628">
        <f t="shared" si="192"/>
        <v>1.6E-2</v>
      </c>
      <c r="AH728" s="1266">
        <v>0.1</v>
      </c>
    </row>
    <row r="729" spans="1:34" ht="12.75">
      <c r="A729" s="2199">
        <f t="shared" si="194"/>
        <v>717</v>
      </c>
      <c r="B729" s="2200" t="s">
        <v>2792</v>
      </c>
      <c r="C729" s="2743">
        <v>0</v>
      </c>
      <c r="D729" s="2743">
        <v>0</v>
      </c>
      <c r="E729" s="2949">
        <v>0</v>
      </c>
      <c r="F729" s="2200">
        <v>20</v>
      </c>
      <c r="G729" s="2200" t="s">
        <v>127</v>
      </c>
      <c r="H729" s="2200" t="s">
        <v>1057</v>
      </c>
      <c r="I729" s="2742">
        <v>0</v>
      </c>
      <c r="J729" s="2742"/>
      <c r="K729" s="2752">
        <v>60</v>
      </c>
      <c r="L729" s="2745">
        <f t="shared" si="183"/>
        <v>0</v>
      </c>
      <c r="M729" s="2745">
        <f t="shared" si="186"/>
        <v>0</v>
      </c>
      <c r="N729" s="2745">
        <f t="shared" si="187"/>
        <v>20</v>
      </c>
      <c r="O729" s="1232">
        <f t="shared" si="188"/>
        <v>0</v>
      </c>
      <c r="P729" s="1227" t="str">
        <f t="shared" si="193"/>
        <v>120gsm ART PAPER NEVIA GOLD EAST - GLOSS</v>
      </c>
      <c r="Q729" s="254">
        <v>9.8000000000000004E-2</v>
      </c>
      <c r="R729" s="1228" t="str">
        <f t="shared" si="196"/>
        <v>120</v>
      </c>
      <c r="S729" s="2625">
        <f t="shared" ref="S729:S770" si="199">C729</f>
        <v>0</v>
      </c>
      <c r="T729" s="2747">
        <f>IF(L729&gt;0,IF(input!$B$2=$O$1,(((L729+Y729/22)+(L729+Y729/22)*$AG729+$X729)*$P$11+$M$7)/1000,(((L729+Y729/22)+(L729+Y729/22)*O729+(L729+Y729/22)*$AG729+$X729)*$P$11+$M$7)/1000),0)</f>
        <v>0</v>
      </c>
      <c r="U729" s="2747">
        <f t="shared" si="195"/>
        <v>0</v>
      </c>
      <c r="V729" s="1229"/>
      <c r="W729" s="1231" t="str">
        <f t="shared" ref="W729:W770" si="200">H729</f>
        <v>CIF</v>
      </c>
      <c r="X729" s="1230">
        <f t="shared" si="198"/>
        <v>0</v>
      </c>
      <c r="Y729" s="2625">
        <f t="shared" si="189"/>
        <v>0</v>
      </c>
      <c r="Z729" s="3208">
        <f t="shared" si="197"/>
        <v>838.18181818181813</v>
      </c>
      <c r="AA729" s="1220" t="s">
        <v>2847</v>
      </c>
      <c r="AB729" s="1220" t="s">
        <v>1397</v>
      </c>
      <c r="AC729" s="251" t="str">
        <f t="shared" si="190"/>
        <v>120gsm ART PAPER NEVIA GOLD EAST - GLOSS</v>
      </c>
      <c r="AD729" s="2746">
        <f>IF(L729&gt;0,IF(input!$B$2=$O$1,(((M729)+(M729)*$M$10)*$P$11)/1000,(((M729)+(M729)*O729+(M729)*$M$10)*$P$11)/1000),0)</f>
        <v>0</v>
      </c>
      <c r="AE729" s="2746">
        <f>IF(L729&gt;0,IF(input!$B$2=$O$1,(((N729)+(N729)*$M$10)*$P$11)/1000,(((N729)+(N729)*O729+(N729)*$M$10)*$P$11)/1000),0)</f>
        <v>0</v>
      </c>
      <c r="AF729" s="136" t="str">
        <f t="shared" si="191"/>
        <v>None</v>
      </c>
      <c r="AG729" s="2628">
        <f t="shared" si="192"/>
        <v>1.6E-2</v>
      </c>
      <c r="AH729" s="1266">
        <v>0.1</v>
      </c>
    </row>
    <row r="730" spans="1:34" ht="12.75">
      <c r="A730" s="2199">
        <f t="shared" si="194"/>
        <v>718</v>
      </c>
      <c r="B730" s="2200" t="s">
        <v>2793</v>
      </c>
      <c r="C730" s="2743">
        <v>0</v>
      </c>
      <c r="D730" s="2743">
        <v>0</v>
      </c>
      <c r="E730" s="2949">
        <v>0</v>
      </c>
      <c r="F730" s="2200">
        <v>20</v>
      </c>
      <c r="G730" s="2200" t="s">
        <v>127</v>
      </c>
      <c r="H730" s="2200" t="s">
        <v>1057</v>
      </c>
      <c r="I730" s="2742">
        <v>0</v>
      </c>
      <c r="J730" s="2742"/>
      <c r="K730" s="2752">
        <v>60</v>
      </c>
      <c r="L730" s="2745">
        <f t="shared" si="183"/>
        <v>0</v>
      </c>
      <c r="M730" s="2745">
        <f t="shared" si="186"/>
        <v>0</v>
      </c>
      <c r="N730" s="2745">
        <f t="shared" si="187"/>
        <v>20</v>
      </c>
      <c r="O730" s="1232">
        <f t="shared" si="188"/>
        <v>0</v>
      </c>
      <c r="P730" s="1227" t="str">
        <f t="shared" si="193"/>
        <v>130gsm ART PAPER NEVIA GOLD EAST - GLOSS</v>
      </c>
      <c r="Q730" s="254">
        <v>0.107</v>
      </c>
      <c r="R730" s="1228" t="str">
        <f t="shared" si="196"/>
        <v>130</v>
      </c>
      <c r="S730" s="2625">
        <f t="shared" si="199"/>
        <v>0</v>
      </c>
      <c r="T730" s="2747">
        <f>IF(L730&gt;0,IF(input!$B$2=$O$1,(((L730+Y730/22)+(L730+Y730/22)*$AG730+$X730)*$P$11+$M$7)/1000,(((L730+Y730/22)+(L730+Y730/22)*O730+(L730+Y730/22)*$AG730+$X730)*$P$11+$M$7)/1000),0)</f>
        <v>0</v>
      </c>
      <c r="U730" s="2747">
        <f t="shared" si="195"/>
        <v>0</v>
      </c>
      <c r="V730" s="1229"/>
      <c r="W730" s="1231" t="str">
        <f t="shared" si="200"/>
        <v>CIF</v>
      </c>
      <c r="X730" s="1230">
        <f t="shared" si="198"/>
        <v>0</v>
      </c>
      <c r="Y730" s="2625">
        <f t="shared" si="189"/>
        <v>0</v>
      </c>
      <c r="Z730" s="3208">
        <f t="shared" si="197"/>
        <v>838.18181818181813</v>
      </c>
      <c r="AA730" s="1220" t="s">
        <v>2847</v>
      </c>
      <c r="AB730" s="1220" t="s">
        <v>1397</v>
      </c>
      <c r="AC730" s="251" t="str">
        <f t="shared" si="190"/>
        <v>130gsm ART PAPER NEVIA GOLD EAST - GLOSS</v>
      </c>
      <c r="AD730" s="2746">
        <f>IF(L730&gt;0,IF(input!$B$2=$O$1,(((M730)+(M730)*$M$10)*$P$11)/1000,(((M730)+(M730)*O730+(M730)*$M$10)*$P$11)/1000),0)</f>
        <v>0</v>
      </c>
      <c r="AE730" s="2746">
        <f>IF(L730&gt;0,IF(input!$B$2=$O$1,(((N730)+(N730)*$M$10)*$P$11)/1000,(((N730)+(N730)*O730+(N730)*$M$10)*$P$11)/1000),0)</f>
        <v>0</v>
      </c>
      <c r="AF730" s="136" t="str">
        <f t="shared" si="191"/>
        <v>None</v>
      </c>
      <c r="AG730" s="2628">
        <f t="shared" si="192"/>
        <v>1.6E-2</v>
      </c>
      <c r="AH730" s="1266">
        <v>0.1</v>
      </c>
    </row>
    <row r="731" spans="1:34" ht="12.75">
      <c r="A731" s="2199">
        <f t="shared" si="194"/>
        <v>719</v>
      </c>
      <c r="B731" s="2200" t="s">
        <v>2794</v>
      </c>
      <c r="C731" s="2743">
        <v>0</v>
      </c>
      <c r="D731" s="2743">
        <v>0</v>
      </c>
      <c r="E731" s="2949">
        <v>0</v>
      </c>
      <c r="F731" s="2200">
        <v>20</v>
      </c>
      <c r="G731" s="2200" t="s">
        <v>127</v>
      </c>
      <c r="H731" s="2200" t="s">
        <v>1057</v>
      </c>
      <c r="I731" s="2742">
        <v>0</v>
      </c>
      <c r="J731" s="2742"/>
      <c r="K731" s="2752">
        <v>60</v>
      </c>
      <c r="L731" s="2745">
        <f t="shared" si="183"/>
        <v>0</v>
      </c>
      <c r="M731" s="2745">
        <f t="shared" si="186"/>
        <v>0</v>
      </c>
      <c r="N731" s="2745">
        <f t="shared" si="187"/>
        <v>20</v>
      </c>
      <c r="O731" s="1232">
        <f t="shared" si="188"/>
        <v>0</v>
      </c>
      <c r="P731" s="1227" t="str">
        <f t="shared" si="193"/>
        <v>140gsm ART PAPER NEVIA GOLD EAST - GLOSS</v>
      </c>
      <c r="Q731" s="254">
        <v>0.121</v>
      </c>
      <c r="R731" s="1228" t="str">
        <f t="shared" si="196"/>
        <v>140</v>
      </c>
      <c r="S731" s="2625">
        <f t="shared" si="199"/>
        <v>0</v>
      </c>
      <c r="T731" s="2747">
        <f>IF(L731&gt;0,IF(input!$B$2=$O$1,(((L731+Y731/22)+(L731+Y731/22)*$AG731+$X731)*$P$11+$M$7)/1000,(((L731+Y731/22)+(L731+Y731/22)*O731+(L731+Y731/22)*$AG731+$X731)*$P$11+$M$7)/1000),0)</f>
        <v>0</v>
      </c>
      <c r="U731" s="2747">
        <f t="shared" si="195"/>
        <v>0</v>
      </c>
      <c r="V731" s="1229"/>
      <c r="W731" s="1231" t="str">
        <f t="shared" si="200"/>
        <v>CIF</v>
      </c>
      <c r="X731" s="1230">
        <f t="shared" si="198"/>
        <v>0</v>
      </c>
      <c r="Y731" s="2625">
        <f t="shared" si="189"/>
        <v>0</v>
      </c>
      <c r="Z731" s="3208">
        <f t="shared" si="197"/>
        <v>838.18181818181813</v>
      </c>
      <c r="AA731" s="1220" t="s">
        <v>2847</v>
      </c>
      <c r="AB731" s="1220" t="s">
        <v>1397</v>
      </c>
      <c r="AC731" s="251" t="str">
        <f t="shared" si="190"/>
        <v>140gsm ART PAPER NEVIA GOLD EAST - GLOSS</v>
      </c>
      <c r="AD731" s="2746">
        <f>IF(L731&gt;0,IF(input!$B$2=$O$1,(((M731)+(M731)*$M$10)*$P$11)/1000,(((M731)+(M731)*O731+(M731)*$M$10)*$P$11)/1000),0)</f>
        <v>0</v>
      </c>
      <c r="AE731" s="2746">
        <f>IF(L731&gt;0,IF(input!$B$2=$O$1,(((N731)+(N731)*$M$10)*$P$11)/1000,(((N731)+(N731)*O731+(N731)*$M$10)*$P$11)/1000),0)</f>
        <v>0</v>
      </c>
      <c r="AF731" s="136" t="str">
        <f t="shared" si="191"/>
        <v>None</v>
      </c>
      <c r="AG731" s="2628">
        <f t="shared" si="192"/>
        <v>1.6E-2</v>
      </c>
      <c r="AH731" s="1266">
        <v>0.1</v>
      </c>
    </row>
    <row r="732" spans="1:34" ht="12.75">
      <c r="A732" s="2199">
        <f t="shared" si="194"/>
        <v>720</v>
      </c>
      <c r="B732" s="2200" t="s">
        <v>2795</v>
      </c>
      <c r="C732" s="2743">
        <v>0</v>
      </c>
      <c r="D732" s="2743">
        <v>0</v>
      </c>
      <c r="E732" s="2949">
        <v>0</v>
      </c>
      <c r="F732" s="2200">
        <v>20</v>
      </c>
      <c r="G732" s="2200" t="s">
        <v>127</v>
      </c>
      <c r="H732" s="2200" t="s">
        <v>1057</v>
      </c>
      <c r="I732" s="2742">
        <v>0</v>
      </c>
      <c r="J732" s="2742"/>
      <c r="K732" s="2752">
        <v>60</v>
      </c>
      <c r="L732" s="2745">
        <f t="shared" si="183"/>
        <v>0</v>
      </c>
      <c r="M732" s="2745">
        <f t="shared" si="186"/>
        <v>0</v>
      </c>
      <c r="N732" s="2745">
        <f t="shared" si="187"/>
        <v>20</v>
      </c>
      <c r="O732" s="1232">
        <f t="shared" si="188"/>
        <v>0</v>
      </c>
      <c r="P732" s="1227" t="str">
        <f t="shared" si="193"/>
        <v>148gsm ART PAPER NEVIA GOLD EAST - GLOSS</v>
      </c>
      <c r="Q732" s="254">
        <v>0.128</v>
      </c>
      <c r="R732" s="1228" t="str">
        <f t="shared" si="196"/>
        <v>148</v>
      </c>
      <c r="S732" s="2625">
        <f t="shared" si="199"/>
        <v>0</v>
      </c>
      <c r="T732" s="2747">
        <f>IF(L732&gt;0,IF(input!$B$2=$O$1,(((L732+Y732/22)+(L732+Y732/22)*$AG732+$X732)*$P$11+$M$7)/1000,(((L732+Y732/22)+(L732+Y732/22)*O732+(L732+Y732/22)*$AG732+$X732)*$P$11+$M$7)/1000),0)</f>
        <v>0</v>
      </c>
      <c r="U732" s="2747">
        <f t="shared" si="195"/>
        <v>0</v>
      </c>
      <c r="V732" s="1229"/>
      <c r="W732" s="1231" t="str">
        <f t="shared" si="200"/>
        <v>CIF</v>
      </c>
      <c r="X732" s="1230">
        <f t="shared" si="198"/>
        <v>0</v>
      </c>
      <c r="Y732" s="2625">
        <f t="shared" si="189"/>
        <v>0</v>
      </c>
      <c r="Z732" s="3208">
        <f t="shared" si="197"/>
        <v>838.18181818181813</v>
      </c>
      <c r="AA732" s="1220" t="s">
        <v>2847</v>
      </c>
      <c r="AB732" s="1220" t="s">
        <v>1397</v>
      </c>
      <c r="AC732" s="251" t="str">
        <f t="shared" si="190"/>
        <v>148gsm ART PAPER NEVIA GOLD EAST - GLOSS</v>
      </c>
      <c r="AD732" s="2746">
        <f>IF(L732&gt;0,IF(input!$B$2=$O$1,(((M732)+(M732)*$M$10)*$P$11)/1000,(((M732)+(M732)*O732+(M732)*$M$10)*$P$11)/1000),0)</f>
        <v>0</v>
      </c>
      <c r="AE732" s="2746">
        <f>IF(L732&gt;0,IF(input!$B$2=$O$1,(((N732)+(N732)*$M$10)*$P$11)/1000,(((N732)+(N732)*O732+(N732)*$M$10)*$P$11)/1000),0)</f>
        <v>0</v>
      </c>
      <c r="AF732" s="136" t="str">
        <f t="shared" si="191"/>
        <v>None</v>
      </c>
      <c r="AG732" s="2628">
        <f t="shared" si="192"/>
        <v>1.6E-2</v>
      </c>
      <c r="AH732" s="1266">
        <v>0.1</v>
      </c>
    </row>
    <row r="733" spans="1:34" ht="12.75">
      <c r="A733" s="2199">
        <f t="shared" si="194"/>
        <v>721</v>
      </c>
      <c r="B733" s="2200" t="s">
        <v>954</v>
      </c>
      <c r="C733" s="2743">
        <v>0</v>
      </c>
      <c r="D733" s="2743">
        <v>0</v>
      </c>
      <c r="E733" s="2949">
        <v>0</v>
      </c>
      <c r="F733" s="2200">
        <v>20</v>
      </c>
      <c r="G733" s="2200" t="s">
        <v>127</v>
      </c>
      <c r="H733" s="2200" t="s">
        <v>1057</v>
      </c>
      <c r="I733" s="2742">
        <v>0</v>
      </c>
      <c r="J733" s="2742"/>
      <c r="K733" s="2752">
        <v>60</v>
      </c>
      <c r="L733" s="2745">
        <f t="shared" si="183"/>
        <v>0</v>
      </c>
      <c r="M733" s="2745">
        <f t="shared" si="186"/>
        <v>0</v>
      </c>
      <c r="N733" s="2745">
        <f t="shared" si="187"/>
        <v>20</v>
      </c>
      <c r="O733" s="1232">
        <f t="shared" si="188"/>
        <v>0</v>
      </c>
      <c r="P733" s="1227" t="str">
        <f t="shared" si="193"/>
        <v>058gsm WOODFREE APP-IK BRAND</v>
      </c>
      <c r="Q733" s="254">
        <v>7.3999999999999996E-2</v>
      </c>
      <c r="R733" s="1228" t="str">
        <f t="shared" si="196"/>
        <v>058</v>
      </c>
      <c r="S733" s="2625">
        <f t="shared" si="199"/>
        <v>0</v>
      </c>
      <c r="T733" s="2747">
        <f>IF(L733&gt;0,IF(input!$B$2=$O$1,(((L733+Y733/22)+(L733+Y733/22)*$AG733+$X733)*$P$11+$M$7)/1000,(((L733+Y733/22)+(L733+Y733/22)*O733+(L733+Y733/22)*$AG733+$X733)*$P$11+$M$7)/1000),0)</f>
        <v>0</v>
      </c>
      <c r="U733" s="2747">
        <f t="shared" si="195"/>
        <v>0</v>
      </c>
      <c r="V733" s="1229"/>
      <c r="W733" s="1231" t="str">
        <f t="shared" si="200"/>
        <v>CIF</v>
      </c>
      <c r="X733" s="1230">
        <f t="shared" si="198"/>
        <v>0</v>
      </c>
      <c r="Y733" s="2625">
        <f t="shared" si="189"/>
        <v>0</v>
      </c>
      <c r="Z733" s="3208">
        <f t="shared" si="197"/>
        <v>838.18181818181813</v>
      </c>
      <c r="AA733" s="1220" t="s">
        <v>1372</v>
      </c>
      <c r="AB733" s="1220" t="s">
        <v>1398</v>
      </c>
      <c r="AC733" s="251" t="str">
        <f t="shared" si="190"/>
        <v>058gsm WOODFREE APP-IK BRAND</v>
      </c>
      <c r="AD733" s="2746">
        <f>IF(L733&gt;0,IF(input!$B$2=$O$1,(((M733)+(M733)*$M$10)*$P$11)/1000,(((M733)+(M733)*O733+(M733)*$M$10)*$P$11)/1000),0)</f>
        <v>0</v>
      </c>
      <c r="AE733" s="2746">
        <f>IF(L733&gt;0,IF(input!$B$2=$O$1,(((N733)+(N733)*$M$10)*$P$11)/1000,(((N733)+(N733)*O733+(N733)*$M$10)*$P$11)/1000),0)</f>
        <v>0</v>
      </c>
      <c r="AF733" s="136" t="str">
        <f t="shared" si="191"/>
        <v>None</v>
      </c>
      <c r="AG733" s="2628">
        <f t="shared" si="192"/>
        <v>1.6E-2</v>
      </c>
      <c r="AH733" s="1266">
        <v>0.1</v>
      </c>
    </row>
    <row r="734" spans="1:34" ht="12.75">
      <c r="A734" s="2199">
        <f t="shared" si="194"/>
        <v>722</v>
      </c>
      <c r="B734" s="2200" t="s">
        <v>955</v>
      </c>
      <c r="C734" s="2743">
        <v>0</v>
      </c>
      <c r="D734" s="2743">
        <v>0</v>
      </c>
      <c r="E734" s="2949">
        <v>0</v>
      </c>
      <c r="F734" s="2200">
        <v>20</v>
      </c>
      <c r="G734" s="2200" t="s">
        <v>127</v>
      </c>
      <c r="H734" s="2200" t="s">
        <v>1057</v>
      </c>
      <c r="I734" s="2742">
        <v>0</v>
      </c>
      <c r="J734" s="2742"/>
      <c r="K734" s="2752">
        <v>60</v>
      </c>
      <c r="L734" s="2745">
        <f t="shared" si="183"/>
        <v>0</v>
      </c>
      <c r="M734" s="2745">
        <f t="shared" si="186"/>
        <v>0</v>
      </c>
      <c r="N734" s="2745">
        <f t="shared" si="187"/>
        <v>20</v>
      </c>
      <c r="O734" s="1232">
        <f t="shared" si="188"/>
        <v>0</v>
      </c>
      <c r="P734" s="1227" t="str">
        <f t="shared" si="193"/>
        <v>060gsm WOODFREE APP-IK BRAND</v>
      </c>
      <c r="Q734" s="254">
        <v>7.6999999999999999E-2</v>
      </c>
      <c r="R734" s="1228" t="str">
        <f t="shared" si="196"/>
        <v>060</v>
      </c>
      <c r="S734" s="2625">
        <f t="shared" si="199"/>
        <v>0</v>
      </c>
      <c r="T734" s="2747">
        <f>IF(L734&gt;0,IF(input!$B$2=$O$1,(((L734+Y734/22)+(L734+Y734/22)*$AG734+$X734)*$P$11+$M$7)/1000,(((L734+Y734/22)+(L734+Y734/22)*O734+(L734+Y734/22)*$AG734+$X734)*$P$11+$M$7)/1000),0)</f>
        <v>0</v>
      </c>
      <c r="U734" s="2747">
        <f t="shared" si="195"/>
        <v>0</v>
      </c>
      <c r="V734" s="1229"/>
      <c r="W734" s="1231" t="str">
        <f t="shared" si="200"/>
        <v>CIF</v>
      </c>
      <c r="X734" s="1230">
        <f t="shared" si="198"/>
        <v>0</v>
      </c>
      <c r="Y734" s="2625">
        <f t="shared" si="189"/>
        <v>0</v>
      </c>
      <c r="Z734" s="3208">
        <f t="shared" si="197"/>
        <v>838.18181818181813</v>
      </c>
      <c r="AA734" s="1220" t="s">
        <v>1372</v>
      </c>
      <c r="AB734" s="1220" t="s">
        <v>1398</v>
      </c>
      <c r="AC734" s="251" t="str">
        <f t="shared" si="190"/>
        <v>060gsm WOODFREE APP-IK BRAND</v>
      </c>
      <c r="AD734" s="2746">
        <f>IF(L734&gt;0,IF(input!$B$2=$O$1,(((M734)+(M734)*$M$10)*$P$11)/1000,(((M734)+(M734)*O734+(M734)*$M$10)*$P$11)/1000),0)</f>
        <v>0</v>
      </c>
      <c r="AE734" s="2746">
        <f>IF(L734&gt;0,IF(input!$B$2=$O$1,(((N734)+(N734)*$M$10)*$P$11)/1000,(((N734)+(N734)*O734+(N734)*$M$10)*$P$11)/1000),0)</f>
        <v>0</v>
      </c>
      <c r="AF734" s="136" t="str">
        <f t="shared" si="191"/>
        <v>None</v>
      </c>
      <c r="AG734" s="2628">
        <f t="shared" si="192"/>
        <v>1.6E-2</v>
      </c>
      <c r="AH734" s="1266">
        <v>0.1</v>
      </c>
    </row>
    <row r="735" spans="1:34" ht="12.75">
      <c r="A735" s="2199">
        <f t="shared" si="194"/>
        <v>723</v>
      </c>
      <c r="B735" s="2200" t="s">
        <v>956</v>
      </c>
      <c r="C735" s="2743">
        <v>0</v>
      </c>
      <c r="D735" s="2743">
        <v>0</v>
      </c>
      <c r="E735" s="2949">
        <v>0</v>
      </c>
      <c r="F735" s="2200">
        <v>20</v>
      </c>
      <c r="G735" s="2200" t="s">
        <v>127</v>
      </c>
      <c r="H735" s="2200" t="s">
        <v>1057</v>
      </c>
      <c r="I735" s="2742">
        <v>0</v>
      </c>
      <c r="J735" s="2742"/>
      <c r="K735" s="2752">
        <v>60</v>
      </c>
      <c r="L735" s="2745">
        <f t="shared" si="183"/>
        <v>0</v>
      </c>
      <c r="M735" s="2745">
        <f t="shared" si="186"/>
        <v>0</v>
      </c>
      <c r="N735" s="2745">
        <f t="shared" si="187"/>
        <v>20</v>
      </c>
      <c r="O735" s="1232">
        <f t="shared" si="188"/>
        <v>0</v>
      </c>
      <c r="P735" s="1227" t="str">
        <f t="shared" si="193"/>
        <v>070gsm WOODFREE APP-IK BRAND</v>
      </c>
      <c r="Q735" s="254">
        <v>0.09</v>
      </c>
      <c r="R735" s="1228" t="str">
        <f t="shared" si="196"/>
        <v>070</v>
      </c>
      <c r="S735" s="2625">
        <f t="shared" si="199"/>
        <v>0</v>
      </c>
      <c r="T735" s="2747">
        <f>IF(L735&gt;0,IF(input!$B$2=$O$1,(((L735+Y735/22)+(L735+Y735/22)*$AG735+$X735)*$P$11+$M$7)/1000,(((L735+Y735/22)+(L735+Y735/22)*O735+(L735+Y735/22)*$AG735+$X735)*$P$11+$M$7)/1000),0)</f>
        <v>0</v>
      </c>
      <c r="U735" s="2747">
        <f t="shared" si="195"/>
        <v>0</v>
      </c>
      <c r="V735" s="1229"/>
      <c r="W735" s="1231" t="str">
        <f t="shared" si="200"/>
        <v>CIF</v>
      </c>
      <c r="X735" s="1230">
        <f t="shared" si="198"/>
        <v>0</v>
      </c>
      <c r="Y735" s="2625">
        <f t="shared" si="189"/>
        <v>0</v>
      </c>
      <c r="Z735" s="3208">
        <f t="shared" si="197"/>
        <v>838.18181818181813</v>
      </c>
      <c r="AA735" s="1220" t="s">
        <v>1372</v>
      </c>
      <c r="AB735" s="1220" t="s">
        <v>1398</v>
      </c>
      <c r="AC735" s="251" t="str">
        <f t="shared" si="190"/>
        <v>070gsm WOODFREE APP-IK BRAND</v>
      </c>
      <c r="AD735" s="2746">
        <f>IF(L735&gt;0,IF(input!$B$2=$O$1,(((M735)+(M735)*$M$10)*$P$11)/1000,(((M735)+(M735)*O735+(M735)*$M$10)*$P$11)/1000),0)</f>
        <v>0</v>
      </c>
      <c r="AE735" s="2746">
        <f>IF(L735&gt;0,IF(input!$B$2=$O$1,(((N735)+(N735)*$M$10)*$P$11)/1000,(((N735)+(N735)*O735+(N735)*$M$10)*$P$11)/1000),0)</f>
        <v>0</v>
      </c>
      <c r="AF735" s="136" t="str">
        <f t="shared" si="191"/>
        <v>None</v>
      </c>
      <c r="AG735" s="2628">
        <f t="shared" si="192"/>
        <v>1.6E-2</v>
      </c>
      <c r="AH735" s="1266">
        <v>0.1</v>
      </c>
    </row>
    <row r="736" spans="1:34" ht="12.75">
      <c r="A736" s="2199">
        <f t="shared" si="194"/>
        <v>724</v>
      </c>
      <c r="B736" s="2200" t="s">
        <v>957</v>
      </c>
      <c r="C736" s="2743">
        <v>0</v>
      </c>
      <c r="D736" s="2743">
        <v>0</v>
      </c>
      <c r="E736" s="2949">
        <v>0</v>
      </c>
      <c r="F736" s="2200">
        <v>20</v>
      </c>
      <c r="G736" s="2200" t="s">
        <v>127</v>
      </c>
      <c r="H736" s="2200" t="s">
        <v>1057</v>
      </c>
      <c r="I736" s="2742">
        <v>0</v>
      </c>
      <c r="J736" s="2742"/>
      <c r="K736" s="2752">
        <v>60</v>
      </c>
      <c r="L736" s="2745">
        <f t="shared" si="183"/>
        <v>0</v>
      </c>
      <c r="M736" s="2745">
        <f t="shared" si="186"/>
        <v>0</v>
      </c>
      <c r="N736" s="2745">
        <f t="shared" si="187"/>
        <v>20</v>
      </c>
      <c r="O736" s="1232">
        <f t="shared" si="188"/>
        <v>0</v>
      </c>
      <c r="P736" s="1227" t="str">
        <f t="shared" si="193"/>
        <v>074gsm WOODFREE APP-IK BRAND</v>
      </c>
      <c r="Q736" s="254">
        <v>9.7000000000000003E-2</v>
      </c>
      <c r="R736" s="1228" t="str">
        <f t="shared" si="196"/>
        <v>074</v>
      </c>
      <c r="S736" s="2625">
        <f t="shared" si="199"/>
        <v>0</v>
      </c>
      <c r="T736" s="2747">
        <f>IF(L736&gt;0,IF(input!$B$2=$O$1,(((L736+Y736/22)+(L736+Y736/22)*$AG736+$X736)*$P$11+$M$7)/1000,(((L736+Y736/22)+(L736+Y736/22)*O736+(L736+Y736/22)*$AG736+$X736)*$P$11+$M$7)/1000),0)</f>
        <v>0</v>
      </c>
      <c r="U736" s="2747">
        <f t="shared" si="195"/>
        <v>0</v>
      </c>
      <c r="V736" s="1229"/>
      <c r="W736" s="1231" t="str">
        <f t="shared" si="200"/>
        <v>CIF</v>
      </c>
      <c r="X736" s="1230">
        <f t="shared" si="198"/>
        <v>0</v>
      </c>
      <c r="Y736" s="2625">
        <f t="shared" si="189"/>
        <v>0</v>
      </c>
      <c r="Z736" s="3208">
        <f t="shared" si="197"/>
        <v>838.18181818181813</v>
      </c>
      <c r="AA736" s="1220" t="s">
        <v>1372</v>
      </c>
      <c r="AB736" s="1220" t="s">
        <v>1398</v>
      </c>
      <c r="AC736" s="251" t="str">
        <f t="shared" si="190"/>
        <v>074gsm WOODFREE APP-IK BRAND</v>
      </c>
      <c r="AD736" s="2746">
        <f>IF(L736&gt;0,IF(input!$B$2=$O$1,(((M736)+(M736)*$M$10)*$P$11)/1000,(((M736)+(M736)*O736+(M736)*$M$10)*$P$11)/1000),0)</f>
        <v>0</v>
      </c>
      <c r="AE736" s="2746">
        <f>IF(L736&gt;0,IF(input!$B$2=$O$1,(((N736)+(N736)*$M$10)*$P$11)/1000,(((N736)+(N736)*O736+(N736)*$M$10)*$P$11)/1000),0)</f>
        <v>0</v>
      </c>
      <c r="AF736" s="136" t="str">
        <f t="shared" si="191"/>
        <v>None</v>
      </c>
      <c r="AG736" s="2628">
        <f t="shared" si="192"/>
        <v>1.6E-2</v>
      </c>
      <c r="AH736" s="1266">
        <v>0.1</v>
      </c>
    </row>
    <row r="737" spans="1:34" ht="12.75">
      <c r="A737" s="2199">
        <f t="shared" si="194"/>
        <v>725</v>
      </c>
      <c r="B737" s="2200" t="s">
        <v>958</v>
      </c>
      <c r="C737" s="2743">
        <v>0</v>
      </c>
      <c r="D737" s="2743">
        <v>0</v>
      </c>
      <c r="E737" s="2949">
        <v>0</v>
      </c>
      <c r="F737" s="2200">
        <v>20</v>
      </c>
      <c r="G737" s="2200" t="s">
        <v>127</v>
      </c>
      <c r="H737" s="2200" t="s">
        <v>1057</v>
      </c>
      <c r="I737" s="2742">
        <v>0</v>
      </c>
      <c r="J737" s="2742"/>
      <c r="K737" s="2752">
        <v>60</v>
      </c>
      <c r="L737" s="2745">
        <f t="shared" si="183"/>
        <v>0</v>
      </c>
      <c r="M737" s="2745">
        <f t="shared" si="186"/>
        <v>0</v>
      </c>
      <c r="N737" s="2745">
        <f t="shared" si="187"/>
        <v>20</v>
      </c>
      <c r="O737" s="1232">
        <f t="shared" si="188"/>
        <v>0</v>
      </c>
      <c r="P737" s="1227" t="str">
        <f t="shared" si="193"/>
        <v>075gsm WOODFREE APP-IK BRAND</v>
      </c>
      <c r="Q737" s="254">
        <v>9.7000000000000003E-2</v>
      </c>
      <c r="R737" s="1228" t="str">
        <f t="shared" si="196"/>
        <v>075</v>
      </c>
      <c r="S737" s="2625">
        <f t="shared" si="199"/>
        <v>0</v>
      </c>
      <c r="T737" s="2747">
        <f>IF(L737&gt;0,IF(input!$B$2=$O$1,(((L737+Y737/22)+(L737+Y737/22)*$AG737+$X737)*$P$11+$M$7)/1000,(((L737+Y737/22)+(L737+Y737/22)*O737+(L737+Y737/22)*$AG737+$X737)*$P$11+$M$7)/1000),0)</f>
        <v>0</v>
      </c>
      <c r="U737" s="2747">
        <f t="shared" si="195"/>
        <v>0</v>
      </c>
      <c r="V737" s="1229"/>
      <c r="W737" s="1231" t="str">
        <f t="shared" si="200"/>
        <v>CIF</v>
      </c>
      <c r="X737" s="1230">
        <f t="shared" si="198"/>
        <v>0</v>
      </c>
      <c r="Y737" s="2625">
        <f t="shared" si="189"/>
        <v>0</v>
      </c>
      <c r="Z737" s="3208">
        <f t="shared" si="197"/>
        <v>838.18181818181813</v>
      </c>
      <c r="AA737" s="1220" t="s">
        <v>1372</v>
      </c>
      <c r="AB737" s="1220" t="s">
        <v>1398</v>
      </c>
      <c r="AC737" s="251" t="str">
        <f t="shared" si="190"/>
        <v>075gsm WOODFREE APP-IK BRAND</v>
      </c>
      <c r="AD737" s="2746">
        <f>IF(L737&gt;0,IF(input!$B$2=$O$1,(((M737)+(M737)*$M$10)*$P$11)/1000,(((M737)+(M737)*O737+(M737)*$M$10)*$P$11)/1000),0)</f>
        <v>0</v>
      </c>
      <c r="AE737" s="2746">
        <f>IF(L737&gt;0,IF(input!$B$2=$O$1,(((N737)+(N737)*$M$10)*$P$11)/1000,(((N737)+(N737)*O737+(N737)*$M$10)*$P$11)/1000),0)</f>
        <v>0</v>
      </c>
      <c r="AF737" s="136" t="str">
        <f t="shared" si="191"/>
        <v>None</v>
      </c>
      <c r="AG737" s="2628">
        <f t="shared" si="192"/>
        <v>1.6E-2</v>
      </c>
      <c r="AH737" s="1266">
        <v>0.1</v>
      </c>
    </row>
    <row r="738" spans="1:34" ht="12.75">
      <c r="A738" s="2199">
        <f t="shared" si="194"/>
        <v>726</v>
      </c>
      <c r="B738" s="2200" t="s">
        <v>953</v>
      </c>
      <c r="C738" s="2743">
        <v>0</v>
      </c>
      <c r="D738" s="2743">
        <v>0</v>
      </c>
      <c r="E738" s="2949">
        <v>0</v>
      </c>
      <c r="F738" s="2200">
        <v>20</v>
      </c>
      <c r="G738" s="2200" t="s">
        <v>127</v>
      </c>
      <c r="H738" s="2200" t="s">
        <v>1057</v>
      </c>
      <c r="I738" s="2742">
        <v>0</v>
      </c>
      <c r="J738" s="2742"/>
      <c r="K738" s="2752">
        <v>60</v>
      </c>
      <c r="L738" s="2745">
        <f t="shared" si="183"/>
        <v>0</v>
      </c>
      <c r="M738" s="2745">
        <f t="shared" si="186"/>
        <v>0</v>
      </c>
      <c r="N738" s="2745">
        <f t="shared" si="187"/>
        <v>20</v>
      </c>
      <c r="O738" s="1232">
        <f t="shared" si="188"/>
        <v>0</v>
      </c>
      <c r="P738" s="1227" t="str">
        <f t="shared" si="193"/>
        <v>080gsm WOODFREE APP-IK BRAND</v>
      </c>
      <c r="Q738" s="254">
        <v>0.10100000000000001</v>
      </c>
      <c r="R738" s="1228" t="str">
        <f t="shared" si="196"/>
        <v>080</v>
      </c>
      <c r="S738" s="2625">
        <f t="shared" si="199"/>
        <v>0</v>
      </c>
      <c r="T738" s="2747">
        <f>IF(L738&gt;0,IF(input!$B$2=$O$1,(((L738+Y738/22)+(L738+Y738/22)*$AG738+$X738)*$P$11+$M$7)/1000,(((L738+Y738/22)+(L738+Y738/22)*O738+(L738+Y738/22)*$AG738+$X738)*$P$11+$M$7)/1000),0)</f>
        <v>0</v>
      </c>
      <c r="U738" s="2747">
        <f t="shared" si="195"/>
        <v>0</v>
      </c>
      <c r="V738" s="1229"/>
      <c r="W738" s="1231" t="str">
        <f t="shared" si="200"/>
        <v>CIF</v>
      </c>
      <c r="X738" s="1230">
        <f t="shared" si="198"/>
        <v>0</v>
      </c>
      <c r="Y738" s="2625">
        <f t="shared" si="189"/>
        <v>0</v>
      </c>
      <c r="Z738" s="3208">
        <f t="shared" si="197"/>
        <v>838.18181818181813</v>
      </c>
      <c r="AA738" s="1220" t="s">
        <v>1372</v>
      </c>
      <c r="AB738" s="1220" t="s">
        <v>1398</v>
      </c>
      <c r="AC738" s="251" t="str">
        <f t="shared" si="190"/>
        <v>080gsm WOODFREE APP-IK BRAND</v>
      </c>
      <c r="AD738" s="2746">
        <f>IF(L738&gt;0,IF(input!$B$2=$O$1,(((M738)+(M738)*$M$10)*$P$11)/1000,(((M738)+(M738)*O738+(M738)*$M$10)*$P$11)/1000),0)</f>
        <v>0</v>
      </c>
      <c r="AE738" s="2746">
        <f>IF(L738&gt;0,IF(input!$B$2=$O$1,(((N738)+(N738)*$M$10)*$P$11)/1000,(((N738)+(N738)*O738+(N738)*$M$10)*$P$11)/1000),0)</f>
        <v>0</v>
      </c>
      <c r="AF738" s="136" t="str">
        <f t="shared" si="191"/>
        <v>None</v>
      </c>
      <c r="AG738" s="2628">
        <f t="shared" si="192"/>
        <v>1.6E-2</v>
      </c>
      <c r="AH738" s="1266">
        <v>0.1</v>
      </c>
    </row>
    <row r="739" spans="1:34" ht="12.75">
      <c r="A739" s="2199">
        <f t="shared" si="194"/>
        <v>727</v>
      </c>
      <c r="B739" s="2200" t="s">
        <v>952</v>
      </c>
      <c r="C739" s="2743">
        <v>25300</v>
      </c>
      <c r="D739" s="2743">
        <v>0</v>
      </c>
      <c r="E739" s="2949">
        <v>0</v>
      </c>
      <c r="F739" s="2200">
        <v>20</v>
      </c>
      <c r="G739" s="2200" t="s">
        <v>127</v>
      </c>
      <c r="H739" s="2200" t="s">
        <v>1057</v>
      </c>
      <c r="I739" s="2742">
        <v>0</v>
      </c>
      <c r="J739" s="2742"/>
      <c r="K739" s="2752">
        <v>60</v>
      </c>
      <c r="L739" s="2745">
        <f t="shared" si="183"/>
        <v>0</v>
      </c>
      <c r="M739" s="2745">
        <f t="shared" si="186"/>
        <v>0</v>
      </c>
      <c r="N739" s="2745">
        <f t="shared" si="187"/>
        <v>20</v>
      </c>
      <c r="O739" s="1232">
        <f t="shared" si="188"/>
        <v>0</v>
      </c>
      <c r="P739" s="1227" t="str">
        <f t="shared" si="193"/>
        <v>089gsm WOODFREE APP-IK BRAND</v>
      </c>
      <c r="Q739" s="254">
        <v>0.11600000000000001</v>
      </c>
      <c r="R739" s="1228" t="str">
        <f t="shared" si="196"/>
        <v>089</v>
      </c>
      <c r="S739" s="2625">
        <f t="shared" si="199"/>
        <v>25300</v>
      </c>
      <c r="T739" s="2747">
        <f>IF(L739&gt;0,IF(input!$B$2=$O$1,(((L739+Y739/22)+(L739+Y739/22)*$AG739+$X739)*$P$11+$M$7)/1000,(((L739+Y739/22)+(L739+Y739/22)*O739+(L739+Y739/22)*$AG739+$X739)*$P$11+$M$7)/1000),0)</f>
        <v>0</v>
      </c>
      <c r="U739" s="2747">
        <f t="shared" si="195"/>
        <v>24264.107744107743</v>
      </c>
      <c r="V739" s="1229"/>
      <c r="W739" s="1231" t="str">
        <f t="shared" si="200"/>
        <v>CIF</v>
      </c>
      <c r="X739" s="1230">
        <f t="shared" si="198"/>
        <v>0</v>
      </c>
      <c r="Y739" s="2625">
        <f t="shared" si="189"/>
        <v>0</v>
      </c>
      <c r="Z739" s="3208">
        <f t="shared" si="197"/>
        <v>838.18181818181813</v>
      </c>
      <c r="AA739" s="1220" t="s">
        <v>1372</v>
      </c>
      <c r="AB739" s="1220" t="s">
        <v>1398</v>
      </c>
      <c r="AC739" s="251" t="str">
        <f t="shared" si="190"/>
        <v>089gsm WOODFREE APP-IK BRAND</v>
      </c>
      <c r="AD739" s="2746">
        <f>IF(L739&gt;0,IF(input!$B$2=$O$1,(((M739)+(M739)*$M$10)*$P$11)/1000,(((M739)+(M739)*O739+(M739)*$M$10)*$P$11)/1000),0)</f>
        <v>0</v>
      </c>
      <c r="AE739" s="2746">
        <f>IF(L739&gt;0,IF(input!$B$2=$O$1,(((N739)+(N739)*$M$10)*$P$11)/1000,(((N739)+(N739)*O739+(N739)*$M$10)*$P$11)/1000),0)</f>
        <v>0</v>
      </c>
      <c r="AF739" s="136" t="str">
        <f t="shared" si="191"/>
        <v>None</v>
      </c>
      <c r="AG739" s="2628">
        <f t="shared" si="192"/>
        <v>1.6E-2</v>
      </c>
      <c r="AH739" s="1266">
        <v>0.1</v>
      </c>
    </row>
    <row r="740" spans="1:34" ht="12.75">
      <c r="A740" s="2199">
        <f t="shared" si="194"/>
        <v>728</v>
      </c>
      <c r="B740" s="2200" t="s">
        <v>951</v>
      </c>
      <c r="C740" s="2743">
        <v>25300</v>
      </c>
      <c r="D740" s="2743">
        <v>0</v>
      </c>
      <c r="E740" s="2949">
        <v>0</v>
      </c>
      <c r="F740" s="2200">
        <v>20</v>
      </c>
      <c r="G740" s="2200" t="s">
        <v>127</v>
      </c>
      <c r="H740" s="2200" t="s">
        <v>1057</v>
      </c>
      <c r="I740" s="2742">
        <v>0</v>
      </c>
      <c r="J740" s="2742"/>
      <c r="K740" s="2752">
        <v>60</v>
      </c>
      <c r="L740" s="2745">
        <f t="shared" si="183"/>
        <v>0</v>
      </c>
      <c r="M740" s="2745">
        <f t="shared" si="186"/>
        <v>0</v>
      </c>
      <c r="N740" s="2745">
        <f t="shared" si="187"/>
        <v>20</v>
      </c>
      <c r="O740" s="1232">
        <f t="shared" si="188"/>
        <v>0</v>
      </c>
      <c r="P740" s="1227" t="str">
        <f t="shared" si="193"/>
        <v>090gsm WOODFREE APP-IK BRAND</v>
      </c>
      <c r="Q740" s="254">
        <v>0.11600000000000001</v>
      </c>
      <c r="R740" s="1228" t="str">
        <f t="shared" si="196"/>
        <v>090</v>
      </c>
      <c r="S740" s="2625">
        <f t="shared" si="199"/>
        <v>25300</v>
      </c>
      <c r="T740" s="2747">
        <f>IF(L740&gt;0,IF(input!$B$2=$O$1,(((L740+Y740/22)+(L740+Y740/22)*$AG740+$X740)*$P$11+$M$7)/1000,(((L740+Y740/22)+(L740+Y740/22)*O740+(L740+Y740/22)*$AG740+$X740)*$P$11+$M$7)/1000),0)</f>
        <v>0</v>
      </c>
      <c r="U740" s="2747">
        <f t="shared" si="195"/>
        <v>24264.107744107743</v>
      </c>
      <c r="V740" s="1229"/>
      <c r="W740" s="1231" t="str">
        <f t="shared" si="200"/>
        <v>CIF</v>
      </c>
      <c r="X740" s="1230">
        <f t="shared" si="198"/>
        <v>0</v>
      </c>
      <c r="Y740" s="2625">
        <f t="shared" si="189"/>
        <v>0</v>
      </c>
      <c r="Z740" s="3208">
        <f t="shared" si="197"/>
        <v>838.18181818181813</v>
      </c>
      <c r="AA740" s="1220" t="s">
        <v>1372</v>
      </c>
      <c r="AB740" s="1220" t="s">
        <v>1398</v>
      </c>
      <c r="AC740" s="251" t="str">
        <f t="shared" si="190"/>
        <v>090gsm WOODFREE APP-IK BRAND</v>
      </c>
      <c r="AD740" s="2746">
        <f>IF(L740&gt;0,IF(input!$B$2=$O$1,(((M740)+(M740)*$M$10)*$P$11)/1000,(((M740)+(M740)*O740+(M740)*$M$10)*$P$11)/1000),0)</f>
        <v>0</v>
      </c>
      <c r="AE740" s="2746">
        <f>IF(L740&gt;0,IF(input!$B$2=$O$1,(((N740)+(N740)*$M$10)*$P$11)/1000,(((N740)+(N740)*O740+(N740)*$M$10)*$P$11)/1000),0)</f>
        <v>0</v>
      </c>
      <c r="AF740" s="136" t="str">
        <f t="shared" si="191"/>
        <v>None</v>
      </c>
      <c r="AG740" s="2628">
        <f t="shared" si="192"/>
        <v>1.6E-2</v>
      </c>
      <c r="AH740" s="1266">
        <v>0.1</v>
      </c>
    </row>
    <row r="741" spans="1:34" ht="12.75">
      <c r="A741" s="2199">
        <f t="shared" si="194"/>
        <v>729</v>
      </c>
      <c r="B741" s="2200" t="s">
        <v>938</v>
      </c>
      <c r="C741" s="2743">
        <v>23600</v>
      </c>
      <c r="D741" s="2743">
        <v>0</v>
      </c>
      <c r="E741" s="2949">
        <v>0</v>
      </c>
      <c r="F741" s="2200">
        <v>20</v>
      </c>
      <c r="G741" s="2200" t="s">
        <v>127</v>
      </c>
      <c r="H741" s="2200" t="s">
        <v>1057</v>
      </c>
      <c r="I741" s="2742">
        <v>0</v>
      </c>
      <c r="J741" s="2742"/>
      <c r="K741" s="2752">
        <v>60</v>
      </c>
      <c r="L741" s="2745">
        <f t="shared" si="183"/>
        <v>0</v>
      </c>
      <c r="M741" s="2745">
        <f t="shared" si="186"/>
        <v>0</v>
      </c>
      <c r="N741" s="2745">
        <f t="shared" si="187"/>
        <v>20</v>
      </c>
      <c r="O741" s="1232">
        <f t="shared" si="188"/>
        <v>0</v>
      </c>
      <c r="P741" s="1227" t="str">
        <f t="shared" si="193"/>
        <v>100gsm WOODFREE APP-IK BRAND</v>
      </c>
      <c r="Q741" s="254">
        <v>0.125</v>
      </c>
      <c r="R741" s="1228" t="str">
        <f t="shared" si="196"/>
        <v>100</v>
      </c>
      <c r="S741" s="2625">
        <f t="shared" si="199"/>
        <v>23600</v>
      </c>
      <c r="T741" s="2747">
        <f>IF(L741&gt;0,IF(input!$B$2=$O$1,(((L741+Y741/22)+(L741+Y741/22)*$AG741+$X741)*$P$11+$M$7)/1000,(((L741+Y741/22)+(L741+Y741/22)*O741+(L741+Y741/22)*$AG741+$X741)*$P$11+$M$7)/1000),0)</f>
        <v>0</v>
      </c>
      <c r="U741" s="2747">
        <f t="shared" si="195"/>
        <v>22690.03367003367</v>
      </c>
      <c r="V741" s="1229"/>
      <c r="W741" s="1231" t="str">
        <f t="shared" si="200"/>
        <v>CIF</v>
      </c>
      <c r="X741" s="1230">
        <f t="shared" si="198"/>
        <v>0</v>
      </c>
      <c r="Y741" s="2625">
        <f t="shared" si="189"/>
        <v>0</v>
      </c>
      <c r="Z741" s="3208">
        <f t="shared" si="197"/>
        <v>838.18181818181813</v>
      </c>
      <c r="AA741" s="1220" t="s">
        <v>1372</v>
      </c>
      <c r="AB741" s="1220" t="s">
        <v>1398</v>
      </c>
      <c r="AC741" s="251" t="str">
        <f t="shared" si="190"/>
        <v>100gsm WOODFREE APP-IK BRAND</v>
      </c>
      <c r="AD741" s="2746">
        <f>IF(L741&gt;0,IF(input!$B$2=$O$1,(((M741)+(M741)*$M$10)*$P$11)/1000,(((M741)+(M741)*O741+(M741)*$M$10)*$P$11)/1000),0)</f>
        <v>0</v>
      </c>
      <c r="AE741" s="2746">
        <f>IF(L741&gt;0,IF(input!$B$2=$O$1,(((N741)+(N741)*$M$10)*$P$11)/1000,(((N741)+(N741)*O741+(N741)*$M$10)*$P$11)/1000),0)</f>
        <v>0</v>
      </c>
      <c r="AF741" s="136" t="str">
        <f t="shared" si="191"/>
        <v>None</v>
      </c>
      <c r="AG741" s="2628">
        <f t="shared" si="192"/>
        <v>1.6E-2</v>
      </c>
      <c r="AH741" s="1266">
        <v>0.1</v>
      </c>
    </row>
    <row r="742" spans="1:34" ht="12.75">
      <c r="A742" s="2199">
        <f t="shared" si="194"/>
        <v>730</v>
      </c>
      <c r="B742" s="2200" t="s">
        <v>939</v>
      </c>
      <c r="C742" s="2743">
        <v>23600</v>
      </c>
      <c r="D742" s="2743">
        <v>0</v>
      </c>
      <c r="E742" s="2949">
        <v>0</v>
      </c>
      <c r="F742" s="2200">
        <v>20</v>
      </c>
      <c r="G742" s="2200" t="s">
        <v>127</v>
      </c>
      <c r="H742" s="2200" t="s">
        <v>1057</v>
      </c>
      <c r="I742" s="2742">
        <v>0</v>
      </c>
      <c r="J742" s="2742"/>
      <c r="K742" s="2752">
        <v>60</v>
      </c>
      <c r="L742" s="2745">
        <f t="shared" si="183"/>
        <v>0</v>
      </c>
      <c r="M742" s="2745">
        <f t="shared" si="186"/>
        <v>0</v>
      </c>
      <c r="N742" s="2745">
        <f t="shared" si="187"/>
        <v>20</v>
      </c>
      <c r="O742" s="1232">
        <f t="shared" si="188"/>
        <v>0</v>
      </c>
      <c r="P742" s="1227" t="str">
        <f t="shared" si="193"/>
        <v>104gsm WOODFREE APP-IK BRAND</v>
      </c>
      <c r="Q742" s="254">
        <v>0.13400000000000001</v>
      </c>
      <c r="R742" s="1228" t="str">
        <f t="shared" si="196"/>
        <v>104</v>
      </c>
      <c r="S742" s="2625">
        <f t="shared" si="199"/>
        <v>23600</v>
      </c>
      <c r="T742" s="2747">
        <f>IF(L742&gt;0,IF(input!$B$2=$O$1,(((L742+Y742/22)+(L742+Y742/22)*$AG742+$X742)*$P$11+$M$7)/1000,(((L742+Y742/22)+(L742+Y742/22)*O742+(L742+Y742/22)*$AG742+$X742)*$P$11+$M$7)/1000),0)</f>
        <v>0</v>
      </c>
      <c r="U742" s="2747">
        <f t="shared" si="195"/>
        <v>22690.03367003367</v>
      </c>
      <c r="V742" s="1229"/>
      <c r="W742" s="1231" t="str">
        <f t="shared" si="200"/>
        <v>CIF</v>
      </c>
      <c r="X742" s="1230">
        <f t="shared" si="198"/>
        <v>0</v>
      </c>
      <c r="Y742" s="2625">
        <f t="shared" si="189"/>
        <v>0</v>
      </c>
      <c r="Z742" s="3208">
        <f t="shared" si="197"/>
        <v>838.18181818181813</v>
      </c>
      <c r="AA742" s="1220" t="s">
        <v>1372</v>
      </c>
      <c r="AB742" s="1220" t="s">
        <v>1398</v>
      </c>
      <c r="AC742" s="251" t="str">
        <f t="shared" si="190"/>
        <v>104gsm WOODFREE APP-IK BRAND</v>
      </c>
      <c r="AD742" s="2746">
        <f>IF(L742&gt;0,IF(input!$B$2=$O$1,(((M742)+(M742)*$M$10)*$P$11)/1000,(((M742)+(M742)*O742+(M742)*$M$10)*$P$11)/1000),0)</f>
        <v>0</v>
      </c>
      <c r="AE742" s="2746">
        <f>IF(L742&gt;0,IF(input!$B$2=$O$1,(((N742)+(N742)*$M$10)*$P$11)/1000,(((N742)+(N742)*O742+(N742)*$M$10)*$P$11)/1000),0)</f>
        <v>0</v>
      </c>
      <c r="AF742" s="136" t="str">
        <f t="shared" si="191"/>
        <v>None</v>
      </c>
      <c r="AG742" s="2628">
        <f t="shared" si="192"/>
        <v>1.6E-2</v>
      </c>
      <c r="AH742" s="1266">
        <v>0.1</v>
      </c>
    </row>
    <row r="743" spans="1:34" ht="12.75">
      <c r="A743" s="2199">
        <f t="shared" si="194"/>
        <v>731</v>
      </c>
      <c r="B743" s="2200" t="s">
        <v>940</v>
      </c>
      <c r="C743" s="2743">
        <v>23600</v>
      </c>
      <c r="D743" s="2743">
        <v>0</v>
      </c>
      <c r="E743" s="2949">
        <v>0</v>
      </c>
      <c r="F743" s="2200">
        <v>20</v>
      </c>
      <c r="G743" s="2200" t="s">
        <v>127</v>
      </c>
      <c r="H743" s="2200" t="s">
        <v>1057</v>
      </c>
      <c r="I743" s="2742">
        <v>0</v>
      </c>
      <c r="J743" s="2742"/>
      <c r="K743" s="2752">
        <v>60</v>
      </c>
      <c r="L743" s="2745">
        <f t="shared" si="183"/>
        <v>0</v>
      </c>
      <c r="M743" s="2745">
        <f t="shared" si="186"/>
        <v>0</v>
      </c>
      <c r="N743" s="2745">
        <f t="shared" si="187"/>
        <v>20</v>
      </c>
      <c r="O743" s="1232">
        <f t="shared" si="188"/>
        <v>0</v>
      </c>
      <c r="P743" s="1227" t="str">
        <f t="shared" si="193"/>
        <v>105gsm WOODFREE APP-IK BRAND</v>
      </c>
      <c r="Q743" s="254">
        <v>0.13900000000000001</v>
      </c>
      <c r="R743" s="1228" t="str">
        <f t="shared" si="196"/>
        <v>105</v>
      </c>
      <c r="S743" s="2625">
        <f t="shared" si="199"/>
        <v>23600</v>
      </c>
      <c r="T743" s="2747">
        <f>IF(L743&gt;0,IF(input!$B$2=$O$1,(((L743+Y743/22)+(L743+Y743/22)*$AG743+$X743)*$P$11+$M$7)/1000,(((L743+Y743/22)+(L743+Y743/22)*O743+(L743+Y743/22)*$AG743+$X743)*$P$11+$M$7)/1000),0)</f>
        <v>0</v>
      </c>
      <c r="U743" s="2747">
        <f t="shared" si="195"/>
        <v>22690.03367003367</v>
      </c>
      <c r="V743" s="1229"/>
      <c r="W743" s="1231" t="str">
        <f t="shared" si="200"/>
        <v>CIF</v>
      </c>
      <c r="X743" s="1230">
        <f t="shared" si="198"/>
        <v>0</v>
      </c>
      <c r="Y743" s="2625">
        <f t="shared" si="189"/>
        <v>0</v>
      </c>
      <c r="Z743" s="3208">
        <f t="shared" si="197"/>
        <v>838.18181818181813</v>
      </c>
      <c r="AA743" s="1220" t="s">
        <v>1372</v>
      </c>
      <c r="AB743" s="1220" t="s">
        <v>1398</v>
      </c>
      <c r="AC743" s="251" t="str">
        <f t="shared" si="190"/>
        <v>105gsm WOODFREE APP-IK BRAND</v>
      </c>
      <c r="AD743" s="2746">
        <f>IF(L743&gt;0,IF(input!$B$2=$O$1,(((M743)+(M743)*$M$10)*$P$11)/1000,(((M743)+(M743)*O743+(M743)*$M$10)*$P$11)/1000),0)</f>
        <v>0</v>
      </c>
      <c r="AE743" s="2746">
        <f>IF(L743&gt;0,IF(input!$B$2=$O$1,(((N743)+(N743)*$M$10)*$P$11)/1000,(((N743)+(N743)*O743+(N743)*$M$10)*$P$11)/1000),0)</f>
        <v>0</v>
      </c>
      <c r="AF743" s="136" t="str">
        <f t="shared" si="191"/>
        <v>None</v>
      </c>
      <c r="AG743" s="2628">
        <f t="shared" si="192"/>
        <v>1.6E-2</v>
      </c>
      <c r="AH743" s="1266">
        <v>0.1</v>
      </c>
    </row>
    <row r="744" spans="1:34" ht="12.75">
      <c r="A744" s="2199">
        <f t="shared" si="194"/>
        <v>732</v>
      </c>
      <c r="B744" s="2200" t="s">
        <v>941</v>
      </c>
      <c r="C744" s="2743">
        <v>23600</v>
      </c>
      <c r="D744" s="2743">
        <v>0</v>
      </c>
      <c r="E744" s="2949">
        <v>0</v>
      </c>
      <c r="F744" s="2200">
        <v>20</v>
      </c>
      <c r="G744" s="2200" t="s">
        <v>127</v>
      </c>
      <c r="H744" s="2200" t="s">
        <v>1057</v>
      </c>
      <c r="I744" s="2742">
        <v>0</v>
      </c>
      <c r="J744" s="2742"/>
      <c r="K744" s="2752">
        <v>60</v>
      </c>
      <c r="L744" s="2745">
        <f t="shared" si="183"/>
        <v>0</v>
      </c>
      <c r="M744" s="2745">
        <f t="shared" si="186"/>
        <v>0</v>
      </c>
      <c r="N744" s="2745">
        <f t="shared" si="187"/>
        <v>20</v>
      </c>
      <c r="O744" s="1232">
        <f t="shared" si="188"/>
        <v>0</v>
      </c>
      <c r="P744" s="1227" t="str">
        <f t="shared" si="193"/>
        <v>110gsm WOODFREE APP-IK BRAND</v>
      </c>
      <c r="Q744" s="254">
        <v>0.14499999999999999</v>
      </c>
      <c r="R744" s="1228" t="str">
        <f t="shared" si="196"/>
        <v>110</v>
      </c>
      <c r="S744" s="2625">
        <f t="shared" si="199"/>
        <v>23600</v>
      </c>
      <c r="T744" s="2747">
        <f>IF(L744&gt;0,IF(input!$B$2=$O$1,(((L744+Y744/22)+(L744+Y744/22)*$AG744+$X744)*$P$11+$M$7)/1000,(((L744+Y744/22)+(L744+Y744/22)*O744+(L744+Y744/22)*$AG744+$X744)*$P$11+$M$7)/1000),0)</f>
        <v>0</v>
      </c>
      <c r="U744" s="2747">
        <f t="shared" si="195"/>
        <v>22690.03367003367</v>
      </c>
      <c r="V744" s="1229"/>
      <c r="W744" s="1231" t="str">
        <f t="shared" si="200"/>
        <v>CIF</v>
      </c>
      <c r="X744" s="1230">
        <f t="shared" si="198"/>
        <v>0</v>
      </c>
      <c r="Y744" s="2625">
        <f t="shared" si="189"/>
        <v>0</v>
      </c>
      <c r="Z744" s="3208">
        <f t="shared" si="197"/>
        <v>838.18181818181813</v>
      </c>
      <c r="AA744" s="1220" t="s">
        <v>1372</v>
      </c>
      <c r="AB744" s="1220" t="s">
        <v>1398</v>
      </c>
      <c r="AC744" s="251" t="str">
        <f t="shared" si="190"/>
        <v>110gsm WOODFREE APP-IK BRAND</v>
      </c>
      <c r="AD744" s="2746">
        <f>IF(L744&gt;0,IF(input!$B$2=$O$1,(((M744)+(M744)*$M$10)*$P$11)/1000,(((M744)+(M744)*O744+(M744)*$M$10)*$P$11)/1000),0)</f>
        <v>0</v>
      </c>
      <c r="AE744" s="2746">
        <f>IF(L744&gt;0,IF(input!$B$2=$O$1,(((N744)+(N744)*$M$10)*$P$11)/1000,(((N744)+(N744)*O744+(N744)*$M$10)*$P$11)/1000),0)</f>
        <v>0</v>
      </c>
      <c r="AF744" s="136" t="str">
        <f t="shared" si="191"/>
        <v>None</v>
      </c>
      <c r="AG744" s="2628">
        <f t="shared" si="192"/>
        <v>1.6E-2</v>
      </c>
      <c r="AH744" s="1266">
        <v>0.1</v>
      </c>
    </row>
    <row r="745" spans="1:34" ht="12.75">
      <c r="A745" s="2199">
        <f t="shared" si="194"/>
        <v>733</v>
      </c>
      <c r="B745" s="2200" t="s">
        <v>942</v>
      </c>
      <c r="C745" s="2743">
        <v>23600</v>
      </c>
      <c r="D745" s="2743">
        <v>0</v>
      </c>
      <c r="E745" s="2949">
        <v>0</v>
      </c>
      <c r="F745" s="2200">
        <v>20</v>
      </c>
      <c r="G745" s="2200" t="s">
        <v>127</v>
      </c>
      <c r="H745" s="2200" t="s">
        <v>1057</v>
      </c>
      <c r="I745" s="2742">
        <v>0</v>
      </c>
      <c r="J745" s="2742"/>
      <c r="K745" s="2752">
        <v>60</v>
      </c>
      <c r="L745" s="2745">
        <f t="shared" si="183"/>
        <v>0</v>
      </c>
      <c r="M745" s="2745">
        <f t="shared" si="186"/>
        <v>0</v>
      </c>
      <c r="N745" s="2745">
        <f t="shared" si="187"/>
        <v>20</v>
      </c>
      <c r="O745" s="1232">
        <f t="shared" si="188"/>
        <v>0</v>
      </c>
      <c r="P745" s="1227" t="str">
        <f t="shared" si="193"/>
        <v>118gsm WOODFREE APP-IK BRAND</v>
      </c>
      <c r="Q745" s="254">
        <v>0.155</v>
      </c>
      <c r="R745" s="1228" t="str">
        <f t="shared" si="196"/>
        <v>118</v>
      </c>
      <c r="S745" s="2625">
        <f t="shared" si="199"/>
        <v>23600</v>
      </c>
      <c r="T745" s="2747">
        <f>IF(L745&gt;0,IF(input!$B$2=$O$1,(((L745+Y745/22)+(L745+Y745/22)*$AG745+$X745)*$P$11+$M$7)/1000,(((L745+Y745/22)+(L745+Y745/22)*O745+(L745+Y745/22)*$AG745+$X745)*$P$11+$M$7)/1000),0)</f>
        <v>0</v>
      </c>
      <c r="U745" s="2747">
        <f t="shared" si="195"/>
        <v>22690.03367003367</v>
      </c>
      <c r="V745" s="1229"/>
      <c r="W745" s="1231" t="str">
        <f t="shared" si="200"/>
        <v>CIF</v>
      </c>
      <c r="X745" s="1230">
        <f t="shared" si="198"/>
        <v>0</v>
      </c>
      <c r="Y745" s="2625">
        <f t="shared" si="189"/>
        <v>0</v>
      </c>
      <c r="Z745" s="3208">
        <f t="shared" si="197"/>
        <v>838.18181818181813</v>
      </c>
      <c r="AA745" s="1220" t="s">
        <v>1372</v>
      </c>
      <c r="AB745" s="1220" t="s">
        <v>1398</v>
      </c>
      <c r="AC745" s="251" t="str">
        <f t="shared" si="190"/>
        <v>118gsm WOODFREE APP-IK BRAND</v>
      </c>
      <c r="AD745" s="2746">
        <f>IF(L745&gt;0,IF(input!$B$2=$O$1,(((M745)+(M745)*$M$10)*$P$11)/1000,(((M745)+(M745)*O745+(M745)*$M$10)*$P$11)/1000),0)</f>
        <v>0</v>
      </c>
      <c r="AE745" s="2746">
        <f>IF(L745&gt;0,IF(input!$B$2=$O$1,(((N745)+(N745)*$M$10)*$P$11)/1000,(((N745)+(N745)*O745+(N745)*$M$10)*$P$11)/1000),0)</f>
        <v>0</v>
      </c>
      <c r="AF745" s="136" t="str">
        <f t="shared" si="191"/>
        <v>None</v>
      </c>
      <c r="AG745" s="2628">
        <f t="shared" si="192"/>
        <v>1.6E-2</v>
      </c>
      <c r="AH745" s="1266">
        <v>0.1</v>
      </c>
    </row>
    <row r="746" spans="1:34" ht="12.75">
      <c r="A746" s="2199">
        <f t="shared" si="194"/>
        <v>734</v>
      </c>
      <c r="B746" s="2200" t="s">
        <v>943</v>
      </c>
      <c r="C746" s="2743">
        <v>23600</v>
      </c>
      <c r="D746" s="2743">
        <v>0</v>
      </c>
      <c r="E746" s="2949">
        <v>0</v>
      </c>
      <c r="F746" s="2200">
        <v>20</v>
      </c>
      <c r="G746" s="2200" t="s">
        <v>127</v>
      </c>
      <c r="H746" s="2200" t="s">
        <v>1057</v>
      </c>
      <c r="I746" s="2742">
        <v>0</v>
      </c>
      <c r="J746" s="2742"/>
      <c r="K746" s="2752">
        <v>60</v>
      </c>
      <c r="L746" s="2745">
        <f t="shared" si="183"/>
        <v>0</v>
      </c>
      <c r="M746" s="2745">
        <f t="shared" si="186"/>
        <v>0</v>
      </c>
      <c r="N746" s="2745">
        <f t="shared" si="187"/>
        <v>20</v>
      </c>
      <c r="O746" s="1232">
        <f t="shared" si="188"/>
        <v>0</v>
      </c>
      <c r="P746" s="1227" t="str">
        <f t="shared" si="193"/>
        <v>120gsm WOODFREE APP-IK BRAND</v>
      </c>
      <c r="Q746" s="254">
        <v>0.158</v>
      </c>
      <c r="R746" s="1228" t="str">
        <f t="shared" si="196"/>
        <v>120</v>
      </c>
      <c r="S746" s="2625">
        <f t="shared" si="199"/>
        <v>23600</v>
      </c>
      <c r="T746" s="2747">
        <f>IF(L746&gt;0,IF(input!$B$2=$O$1,(((L746+Y746/22)+(L746+Y746/22)*$AG746+$X746)*$P$11+$M$7)/1000,(((L746+Y746/22)+(L746+Y746/22)*O746+(L746+Y746/22)*$AG746+$X746)*$P$11+$M$7)/1000),0)</f>
        <v>0</v>
      </c>
      <c r="U746" s="2747">
        <f t="shared" si="195"/>
        <v>22690.03367003367</v>
      </c>
      <c r="V746" s="1229"/>
      <c r="W746" s="1231" t="str">
        <f t="shared" si="200"/>
        <v>CIF</v>
      </c>
      <c r="X746" s="1230">
        <f t="shared" si="198"/>
        <v>0</v>
      </c>
      <c r="Y746" s="2625">
        <f t="shared" si="189"/>
        <v>0</v>
      </c>
      <c r="Z746" s="3208">
        <f t="shared" si="197"/>
        <v>838.18181818181813</v>
      </c>
      <c r="AA746" s="1220" t="s">
        <v>1372</v>
      </c>
      <c r="AB746" s="1220" t="s">
        <v>1398</v>
      </c>
      <c r="AC746" s="251" t="str">
        <f t="shared" si="190"/>
        <v>120gsm WOODFREE APP-IK BRAND</v>
      </c>
      <c r="AD746" s="2746">
        <f>IF(L746&gt;0,IF(input!$B$2=$O$1,(((M746)+(M746)*$M$10)*$P$11)/1000,(((M746)+(M746)*O746+(M746)*$M$10)*$P$11)/1000),0)</f>
        <v>0</v>
      </c>
      <c r="AE746" s="2746">
        <f>IF(L746&gt;0,IF(input!$B$2=$O$1,(((N746)+(N746)*$M$10)*$P$11)/1000,(((N746)+(N746)*O746+(N746)*$M$10)*$P$11)/1000),0)</f>
        <v>0</v>
      </c>
      <c r="AF746" s="136" t="str">
        <f t="shared" si="191"/>
        <v>None</v>
      </c>
      <c r="AG746" s="2628">
        <f t="shared" si="192"/>
        <v>1.6E-2</v>
      </c>
      <c r="AH746" s="1266">
        <v>0.1</v>
      </c>
    </row>
    <row r="747" spans="1:34" ht="12.75">
      <c r="A747" s="2199">
        <f t="shared" si="194"/>
        <v>735</v>
      </c>
      <c r="B747" s="2200" t="s">
        <v>944</v>
      </c>
      <c r="C747" s="2743">
        <v>23600</v>
      </c>
      <c r="D747" s="2743">
        <v>0</v>
      </c>
      <c r="E747" s="2949">
        <v>0</v>
      </c>
      <c r="F747" s="2200">
        <v>20</v>
      </c>
      <c r="G747" s="2200" t="s">
        <v>127</v>
      </c>
      <c r="H747" s="2200" t="s">
        <v>1057</v>
      </c>
      <c r="I747" s="2742">
        <v>0</v>
      </c>
      <c r="J747" s="2742"/>
      <c r="K747" s="2752">
        <v>60</v>
      </c>
      <c r="L747" s="2745">
        <f t="shared" si="183"/>
        <v>0</v>
      </c>
      <c r="M747" s="2745">
        <f t="shared" si="186"/>
        <v>0</v>
      </c>
      <c r="N747" s="2745">
        <f t="shared" si="187"/>
        <v>20</v>
      </c>
      <c r="O747" s="1232">
        <f t="shared" si="188"/>
        <v>0</v>
      </c>
      <c r="P747" s="1227" t="str">
        <f t="shared" si="193"/>
        <v>130gsm WOODFREE APP-IK BRAND</v>
      </c>
      <c r="Q747" s="254">
        <v>0.17199999999999999</v>
      </c>
      <c r="R747" s="1228" t="str">
        <f t="shared" si="196"/>
        <v>130</v>
      </c>
      <c r="S747" s="2625">
        <f t="shared" si="199"/>
        <v>23600</v>
      </c>
      <c r="T747" s="2747">
        <f>IF(L747&gt;0,IF(input!$B$2=$O$1,(((L747+Y747/22)+(L747+Y747/22)*$AG747+$X747)*$P$11+$M$7)/1000,(((L747+Y747/22)+(L747+Y747/22)*O747+(L747+Y747/22)*$AG747+$X747)*$P$11+$M$7)/1000),0)</f>
        <v>0</v>
      </c>
      <c r="U747" s="2747">
        <f t="shared" si="195"/>
        <v>22690.03367003367</v>
      </c>
      <c r="V747" s="1229"/>
      <c r="W747" s="1231" t="str">
        <f t="shared" si="200"/>
        <v>CIF</v>
      </c>
      <c r="X747" s="1230">
        <f t="shared" si="198"/>
        <v>0</v>
      </c>
      <c r="Y747" s="2625">
        <f t="shared" si="189"/>
        <v>0</v>
      </c>
      <c r="Z747" s="3208">
        <f t="shared" si="197"/>
        <v>838.18181818181813</v>
      </c>
      <c r="AA747" s="1220" t="s">
        <v>1372</v>
      </c>
      <c r="AB747" s="1220" t="s">
        <v>1398</v>
      </c>
      <c r="AC747" s="251" t="str">
        <f t="shared" si="190"/>
        <v>130gsm WOODFREE APP-IK BRAND</v>
      </c>
      <c r="AD747" s="2746">
        <f>IF(L747&gt;0,IF(input!$B$2=$O$1,(((M747)+(M747)*$M$10)*$P$11)/1000,(((M747)+(M747)*O747+(M747)*$M$10)*$P$11)/1000),0)</f>
        <v>0</v>
      </c>
      <c r="AE747" s="2746">
        <f>IF(L747&gt;0,IF(input!$B$2=$O$1,(((N747)+(N747)*$M$10)*$P$11)/1000,(((N747)+(N747)*O747+(N747)*$M$10)*$P$11)/1000),0)</f>
        <v>0</v>
      </c>
      <c r="AF747" s="136" t="str">
        <f t="shared" si="191"/>
        <v>None</v>
      </c>
      <c r="AG747" s="2628">
        <f t="shared" si="192"/>
        <v>1.6E-2</v>
      </c>
      <c r="AH747" s="1266">
        <v>0.1</v>
      </c>
    </row>
    <row r="748" spans="1:34" ht="12.75">
      <c r="A748" s="2199">
        <f t="shared" si="194"/>
        <v>736</v>
      </c>
      <c r="B748" s="2200" t="s">
        <v>945</v>
      </c>
      <c r="C748" s="2743">
        <v>23600</v>
      </c>
      <c r="D748" s="2743">
        <v>0</v>
      </c>
      <c r="E748" s="2949">
        <v>0</v>
      </c>
      <c r="F748" s="2200">
        <v>20</v>
      </c>
      <c r="G748" s="2200" t="s">
        <v>127</v>
      </c>
      <c r="H748" s="2200" t="s">
        <v>1057</v>
      </c>
      <c r="I748" s="2742">
        <v>0</v>
      </c>
      <c r="J748" s="2742"/>
      <c r="K748" s="2752">
        <v>60</v>
      </c>
      <c r="L748" s="2745">
        <f t="shared" si="183"/>
        <v>0</v>
      </c>
      <c r="M748" s="2745">
        <f t="shared" si="186"/>
        <v>0</v>
      </c>
      <c r="N748" s="2745">
        <f t="shared" si="187"/>
        <v>20</v>
      </c>
      <c r="O748" s="1232">
        <f t="shared" si="188"/>
        <v>0</v>
      </c>
      <c r="P748" s="1227" t="str">
        <f t="shared" si="193"/>
        <v>140gsm WOODFREE APP-IK BRAND</v>
      </c>
      <c r="Q748" s="254">
        <v>0.185</v>
      </c>
      <c r="R748" s="1228" t="str">
        <f t="shared" si="196"/>
        <v>140</v>
      </c>
      <c r="S748" s="2625">
        <f t="shared" si="199"/>
        <v>23600</v>
      </c>
      <c r="T748" s="2747">
        <f>IF(L748&gt;0,IF(input!$B$2=$O$1,(((L748+Y748/22)+(L748+Y748/22)*$AG748+$X748)*$P$11+$M$7)/1000,(((L748+Y748/22)+(L748+Y748/22)*O748+(L748+Y748/22)*$AG748+$X748)*$P$11+$M$7)/1000),0)</f>
        <v>0</v>
      </c>
      <c r="U748" s="2747">
        <f t="shared" si="195"/>
        <v>22690.03367003367</v>
      </c>
      <c r="V748" s="1229"/>
      <c r="W748" s="1231" t="str">
        <f t="shared" si="200"/>
        <v>CIF</v>
      </c>
      <c r="X748" s="1230">
        <f t="shared" si="198"/>
        <v>0</v>
      </c>
      <c r="Y748" s="2625">
        <f t="shared" si="189"/>
        <v>0</v>
      </c>
      <c r="Z748" s="3208">
        <f t="shared" si="197"/>
        <v>838.18181818181813</v>
      </c>
      <c r="AA748" s="1220" t="s">
        <v>1372</v>
      </c>
      <c r="AB748" s="1220" t="s">
        <v>1398</v>
      </c>
      <c r="AC748" s="251" t="str">
        <f t="shared" si="190"/>
        <v>140gsm WOODFREE APP-IK BRAND</v>
      </c>
      <c r="AD748" s="2746">
        <f>IF(L748&gt;0,IF(input!$B$2=$O$1,(((M748)+(M748)*$M$10)*$P$11)/1000,(((M748)+(M748)*O748+(M748)*$M$10)*$P$11)/1000),0)</f>
        <v>0</v>
      </c>
      <c r="AE748" s="2746">
        <f>IF(L748&gt;0,IF(input!$B$2=$O$1,(((N748)+(N748)*$M$10)*$P$11)/1000,(((N748)+(N748)*O748+(N748)*$M$10)*$P$11)/1000),0)</f>
        <v>0</v>
      </c>
      <c r="AF748" s="136" t="str">
        <f t="shared" si="191"/>
        <v>None</v>
      </c>
      <c r="AG748" s="2628">
        <f t="shared" si="192"/>
        <v>1.6E-2</v>
      </c>
      <c r="AH748" s="1266">
        <v>0.1</v>
      </c>
    </row>
    <row r="749" spans="1:34" ht="12.75">
      <c r="A749" s="2199">
        <f t="shared" si="194"/>
        <v>737</v>
      </c>
      <c r="B749" s="2200" t="s">
        <v>1014</v>
      </c>
      <c r="C749" s="2743">
        <v>23600</v>
      </c>
      <c r="D749" s="2743">
        <v>0</v>
      </c>
      <c r="E749" s="2949">
        <v>0</v>
      </c>
      <c r="F749" s="2200">
        <v>20</v>
      </c>
      <c r="G749" s="2200" t="s">
        <v>127</v>
      </c>
      <c r="H749" s="2200" t="s">
        <v>1057</v>
      </c>
      <c r="I749" s="2742">
        <v>0</v>
      </c>
      <c r="J749" s="2742"/>
      <c r="K749" s="2752">
        <v>60</v>
      </c>
      <c r="L749" s="2745">
        <f t="shared" si="183"/>
        <v>0</v>
      </c>
      <c r="M749" s="2745">
        <f t="shared" si="186"/>
        <v>0</v>
      </c>
      <c r="N749" s="2745">
        <f t="shared" si="187"/>
        <v>20</v>
      </c>
      <c r="O749" s="1232">
        <f t="shared" si="188"/>
        <v>0</v>
      </c>
      <c r="P749" s="1227" t="str">
        <f t="shared" si="193"/>
        <v>150gsm WOODFREE APP-IK BRAND</v>
      </c>
      <c r="Q749" s="254">
        <v>0.19500000000000001</v>
      </c>
      <c r="R749" s="1228" t="str">
        <f t="shared" si="196"/>
        <v>150</v>
      </c>
      <c r="S749" s="2625">
        <f t="shared" si="199"/>
        <v>23600</v>
      </c>
      <c r="T749" s="2747">
        <f>IF(L749&gt;0,IF(input!$B$2=$O$1,(((L749+Y749/22)+(L749+Y749/22)*$AG749+$X749)*$P$11+$M$7)/1000,(((L749+Y749/22)+(L749+Y749/22)*O749+(L749+Y749/22)*$AG749+$X749)*$P$11+$M$7)/1000),0)</f>
        <v>0</v>
      </c>
      <c r="U749" s="2747">
        <f t="shared" si="195"/>
        <v>22690.03367003367</v>
      </c>
      <c r="V749" s="1229"/>
      <c r="W749" s="1231" t="str">
        <f t="shared" si="200"/>
        <v>CIF</v>
      </c>
      <c r="X749" s="1230">
        <f t="shared" si="198"/>
        <v>0</v>
      </c>
      <c r="Y749" s="2625">
        <f t="shared" si="189"/>
        <v>0</v>
      </c>
      <c r="Z749" s="3208">
        <f t="shared" si="197"/>
        <v>838.18181818181813</v>
      </c>
      <c r="AA749" s="1220" t="s">
        <v>1372</v>
      </c>
      <c r="AB749" s="1220" t="s">
        <v>1398</v>
      </c>
      <c r="AC749" s="251" t="str">
        <f t="shared" si="190"/>
        <v>150gsm WOODFREE APP-IK BRAND</v>
      </c>
      <c r="AD749" s="2746">
        <f>IF(L749&gt;0,IF(input!$B$2=$O$1,(((M749)+(M749)*$M$10)*$P$11)/1000,(((M749)+(M749)*O749+(M749)*$M$10)*$P$11)/1000),0)</f>
        <v>0</v>
      </c>
      <c r="AE749" s="2746">
        <f>IF(L749&gt;0,IF(input!$B$2=$O$1,(((N749)+(N749)*$M$10)*$P$11)/1000,(((N749)+(N749)*O749+(N749)*$M$10)*$P$11)/1000),0)</f>
        <v>0</v>
      </c>
      <c r="AF749" s="136" t="str">
        <f t="shared" si="191"/>
        <v>None</v>
      </c>
      <c r="AG749" s="2628">
        <f t="shared" si="192"/>
        <v>1.6E-2</v>
      </c>
      <c r="AH749" s="1266">
        <v>0.1</v>
      </c>
    </row>
    <row r="750" spans="1:34" ht="12.75">
      <c r="A750" s="2199">
        <f t="shared" si="194"/>
        <v>738</v>
      </c>
      <c r="B750" s="2200" t="s">
        <v>1015</v>
      </c>
      <c r="C750" s="2743">
        <v>23600</v>
      </c>
      <c r="D750" s="2743">
        <v>0</v>
      </c>
      <c r="E750" s="2949">
        <v>0</v>
      </c>
      <c r="F750" s="2200">
        <v>20</v>
      </c>
      <c r="G750" s="2200" t="s">
        <v>127</v>
      </c>
      <c r="H750" s="2200" t="s">
        <v>1057</v>
      </c>
      <c r="I750" s="2742">
        <v>0</v>
      </c>
      <c r="J750" s="2742"/>
      <c r="K750" s="2752">
        <v>60</v>
      </c>
      <c r="L750" s="2745">
        <f t="shared" si="183"/>
        <v>0</v>
      </c>
      <c r="M750" s="2745">
        <f t="shared" si="186"/>
        <v>0</v>
      </c>
      <c r="N750" s="2745">
        <f t="shared" si="187"/>
        <v>20</v>
      </c>
      <c r="O750" s="1232">
        <f t="shared" si="188"/>
        <v>0</v>
      </c>
      <c r="P750" s="1227" t="str">
        <f t="shared" si="193"/>
        <v>160gsm WOODFREE APP-IK BRAND</v>
      </c>
      <c r="Q750" s="254">
        <v>0.20799999999999999</v>
      </c>
      <c r="R750" s="1228" t="str">
        <f t="shared" si="196"/>
        <v>160</v>
      </c>
      <c r="S750" s="2625">
        <f t="shared" si="199"/>
        <v>23600</v>
      </c>
      <c r="T750" s="2747">
        <f>IF(L750&gt;0,IF(input!$B$2=$O$1,(((L750+Y750/22)+(L750+Y750/22)*$AG750+$X750)*$P$11+$M$7)/1000,(((L750+Y750/22)+(L750+Y750/22)*O750+(L750+Y750/22)*$AG750+$X750)*$P$11+$M$7)/1000),0)</f>
        <v>0</v>
      </c>
      <c r="U750" s="2747">
        <f t="shared" si="195"/>
        <v>22690.03367003367</v>
      </c>
      <c r="V750" s="1229"/>
      <c r="W750" s="1231" t="str">
        <f t="shared" si="200"/>
        <v>CIF</v>
      </c>
      <c r="X750" s="1230">
        <f t="shared" si="198"/>
        <v>0</v>
      </c>
      <c r="Y750" s="2625">
        <f t="shared" si="189"/>
        <v>0</v>
      </c>
      <c r="Z750" s="3208">
        <f t="shared" si="197"/>
        <v>838.18181818181813</v>
      </c>
      <c r="AA750" s="1220" t="s">
        <v>1372</v>
      </c>
      <c r="AB750" s="1220" t="s">
        <v>1398</v>
      </c>
      <c r="AC750" s="251" t="str">
        <f t="shared" si="190"/>
        <v>160gsm WOODFREE APP-IK BRAND</v>
      </c>
      <c r="AD750" s="2746">
        <f>IF(L750&gt;0,IF(input!$B$2=$O$1,(((M750)+(M750)*$M$10)*$P$11)/1000,(((M750)+(M750)*O750+(M750)*$M$10)*$P$11)/1000),0)</f>
        <v>0</v>
      </c>
      <c r="AE750" s="2746">
        <f>IF(L750&gt;0,IF(input!$B$2=$O$1,(((N750)+(N750)*$M$10)*$P$11)/1000,(((N750)+(N750)*O750+(N750)*$M$10)*$P$11)/1000),0)</f>
        <v>0</v>
      </c>
      <c r="AF750" s="136" t="str">
        <f t="shared" si="191"/>
        <v>None</v>
      </c>
      <c r="AG750" s="2628">
        <f t="shared" si="192"/>
        <v>1.6E-2</v>
      </c>
      <c r="AH750" s="1266">
        <v>0.1</v>
      </c>
    </row>
    <row r="751" spans="1:34" ht="12.75">
      <c r="A751" s="2199">
        <f t="shared" si="194"/>
        <v>739</v>
      </c>
      <c r="B751" s="2200" t="s">
        <v>946</v>
      </c>
      <c r="C751" s="2743">
        <v>26900</v>
      </c>
      <c r="D751" s="2743">
        <v>0</v>
      </c>
      <c r="E751" s="2949">
        <v>0</v>
      </c>
      <c r="F751" s="2200">
        <v>20</v>
      </c>
      <c r="G751" s="2200" t="s">
        <v>127</v>
      </c>
      <c r="H751" s="2200" t="s">
        <v>1057</v>
      </c>
      <c r="I751" s="2742">
        <v>0</v>
      </c>
      <c r="J751" s="2742"/>
      <c r="K751" s="2752">
        <v>60</v>
      </c>
      <c r="L751" s="2745">
        <f t="shared" si="183"/>
        <v>0</v>
      </c>
      <c r="M751" s="2745">
        <f t="shared" si="186"/>
        <v>0</v>
      </c>
      <c r="N751" s="2745">
        <f t="shared" si="187"/>
        <v>20</v>
      </c>
      <c r="O751" s="1232">
        <f t="shared" si="188"/>
        <v>0</v>
      </c>
      <c r="P751" s="1227" t="str">
        <f t="shared" si="193"/>
        <v>165gsm WOODFREE APP-IK BRAND</v>
      </c>
      <c r="Q751" s="254">
        <v>0.214</v>
      </c>
      <c r="R751" s="1228" t="str">
        <f t="shared" si="196"/>
        <v>165</v>
      </c>
      <c r="S751" s="2625">
        <f t="shared" si="199"/>
        <v>26900</v>
      </c>
      <c r="T751" s="2747">
        <f>IF(L751&gt;0,IF(input!$B$2=$O$1,(((L751+Y751/22)+(L751+Y751/22)*$AG751+$X751)*$P$11+$M$7)/1000,(((L751+Y751/22)+(L751+Y751/22)*O751+(L751+Y751/22)*$AG751+$X751)*$P$11+$M$7)/1000),0)</f>
        <v>0</v>
      </c>
      <c r="U751" s="2747">
        <f t="shared" si="195"/>
        <v>25745.589225589225</v>
      </c>
      <c r="V751" s="1229"/>
      <c r="W751" s="1231" t="str">
        <f t="shared" si="200"/>
        <v>CIF</v>
      </c>
      <c r="X751" s="1230">
        <f t="shared" si="198"/>
        <v>0</v>
      </c>
      <c r="Y751" s="2625">
        <f t="shared" si="189"/>
        <v>0</v>
      </c>
      <c r="Z751" s="3208">
        <f t="shared" si="197"/>
        <v>838.18181818181813</v>
      </c>
      <c r="AA751" s="1220" t="s">
        <v>1372</v>
      </c>
      <c r="AB751" s="1220" t="s">
        <v>1398</v>
      </c>
      <c r="AC751" s="251" t="str">
        <f t="shared" si="190"/>
        <v>165gsm WOODFREE APP-IK BRAND</v>
      </c>
      <c r="AD751" s="2746">
        <f>IF(L751&gt;0,IF(input!$B$2=$O$1,(((M751)+(M751)*$M$10)*$P$11)/1000,(((M751)+(M751)*O751+(M751)*$M$10)*$P$11)/1000),0)</f>
        <v>0</v>
      </c>
      <c r="AE751" s="2746">
        <f>IF(L751&gt;0,IF(input!$B$2=$O$1,(((N751)+(N751)*$M$10)*$P$11)/1000,(((N751)+(N751)*O751+(N751)*$M$10)*$P$11)/1000),0)</f>
        <v>0</v>
      </c>
      <c r="AF751" s="136" t="str">
        <f t="shared" si="191"/>
        <v>None</v>
      </c>
      <c r="AG751" s="2628">
        <f t="shared" si="192"/>
        <v>1.6E-2</v>
      </c>
      <c r="AH751" s="1266">
        <v>0.1</v>
      </c>
    </row>
    <row r="752" spans="1:34" ht="12.75">
      <c r="A752" s="2199">
        <f t="shared" si="194"/>
        <v>740</v>
      </c>
      <c r="B752" s="2200" t="s">
        <v>1016</v>
      </c>
      <c r="C752" s="2743">
        <v>26900</v>
      </c>
      <c r="D752" s="2743">
        <v>0</v>
      </c>
      <c r="E752" s="2949">
        <v>0</v>
      </c>
      <c r="F752" s="2200">
        <v>20</v>
      </c>
      <c r="G752" s="2200" t="s">
        <v>127</v>
      </c>
      <c r="H752" s="2200" t="s">
        <v>1057</v>
      </c>
      <c r="I752" s="2742">
        <v>0</v>
      </c>
      <c r="J752" s="2742"/>
      <c r="K752" s="2752">
        <v>60</v>
      </c>
      <c r="L752" s="2745">
        <f t="shared" si="183"/>
        <v>0</v>
      </c>
      <c r="M752" s="2745">
        <f t="shared" si="186"/>
        <v>0</v>
      </c>
      <c r="N752" s="2745">
        <f t="shared" si="187"/>
        <v>20</v>
      </c>
      <c r="O752" s="1232">
        <f t="shared" si="188"/>
        <v>0</v>
      </c>
      <c r="P752" s="1227" t="str">
        <f t="shared" si="193"/>
        <v>170gsm WOODFREE APP-IK BRAND</v>
      </c>
      <c r="Q752" s="254">
        <v>0.221</v>
      </c>
      <c r="R752" s="1228" t="str">
        <f t="shared" si="196"/>
        <v>170</v>
      </c>
      <c r="S752" s="2625">
        <f t="shared" si="199"/>
        <v>26900</v>
      </c>
      <c r="T752" s="2747">
        <f>IF(L752&gt;0,IF(input!$B$2=$O$1,(((L752+Y752/22)+(L752+Y752/22)*$AG752+$X752)*$P$11+$M$7)/1000,(((L752+Y752/22)+(L752+Y752/22)*O752+(L752+Y752/22)*$AG752+$X752)*$P$11+$M$7)/1000),0)</f>
        <v>0</v>
      </c>
      <c r="U752" s="2747">
        <f t="shared" si="195"/>
        <v>25745.589225589225</v>
      </c>
      <c r="V752" s="1229"/>
      <c r="W752" s="1231" t="str">
        <f t="shared" si="200"/>
        <v>CIF</v>
      </c>
      <c r="X752" s="1230">
        <f t="shared" si="198"/>
        <v>0</v>
      </c>
      <c r="Y752" s="2625">
        <f t="shared" si="189"/>
        <v>0</v>
      </c>
      <c r="Z752" s="3208">
        <f t="shared" si="197"/>
        <v>838.18181818181813</v>
      </c>
      <c r="AA752" s="1220" t="s">
        <v>1372</v>
      </c>
      <c r="AB752" s="1220" t="s">
        <v>1398</v>
      </c>
      <c r="AC752" s="251" t="str">
        <f t="shared" si="190"/>
        <v>170gsm WOODFREE APP-IK BRAND</v>
      </c>
      <c r="AD752" s="2746">
        <f>IF(L752&gt;0,IF(input!$B$2=$O$1,(((M752)+(M752)*$M$10)*$P$11)/1000,(((M752)+(M752)*O752+(M752)*$M$10)*$P$11)/1000),0)</f>
        <v>0</v>
      </c>
      <c r="AE752" s="2746">
        <f>IF(L752&gt;0,IF(input!$B$2=$O$1,(((N752)+(N752)*$M$10)*$P$11)/1000,(((N752)+(N752)*O752+(N752)*$M$10)*$P$11)/1000),0)</f>
        <v>0</v>
      </c>
      <c r="AF752" s="136" t="str">
        <f t="shared" si="191"/>
        <v>None</v>
      </c>
      <c r="AG752" s="2628">
        <f t="shared" si="192"/>
        <v>1.6E-2</v>
      </c>
      <c r="AH752" s="1266">
        <v>0.1</v>
      </c>
    </row>
    <row r="753" spans="1:34" ht="12.75">
      <c r="A753" s="2199">
        <f t="shared" si="194"/>
        <v>741</v>
      </c>
      <c r="B753" s="2200" t="s">
        <v>947</v>
      </c>
      <c r="C753" s="2743">
        <v>26900</v>
      </c>
      <c r="D753" s="2743">
        <v>0</v>
      </c>
      <c r="E753" s="2949">
        <v>0</v>
      </c>
      <c r="F753" s="2200">
        <v>20</v>
      </c>
      <c r="G753" s="2200" t="s">
        <v>127</v>
      </c>
      <c r="H753" s="2200" t="s">
        <v>1057</v>
      </c>
      <c r="I753" s="2742">
        <v>0</v>
      </c>
      <c r="J753" s="2742"/>
      <c r="K753" s="2752">
        <v>60</v>
      </c>
      <c r="L753" s="2745">
        <f t="shared" si="183"/>
        <v>0</v>
      </c>
      <c r="M753" s="2745">
        <f t="shared" si="186"/>
        <v>0</v>
      </c>
      <c r="N753" s="2745">
        <f t="shared" si="187"/>
        <v>20</v>
      </c>
      <c r="O753" s="1232">
        <f t="shared" si="188"/>
        <v>0</v>
      </c>
      <c r="P753" s="1227" t="str">
        <f t="shared" si="193"/>
        <v>180gsm WOODFREE APP-IK BRAND</v>
      </c>
      <c r="Q753" s="254">
        <v>0.23799999999999999</v>
      </c>
      <c r="R753" s="1228" t="str">
        <f t="shared" si="196"/>
        <v>180</v>
      </c>
      <c r="S753" s="2625">
        <f t="shared" si="199"/>
        <v>26900</v>
      </c>
      <c r="T753" s="2747">
        <f>IF(L753&gt;0,IF(input!$B$2=$O$1,(((L753+Y753/22)+(L753+Y753/22)*$AG753+$X753)*$P$11+$M$7)/1000,(((L753+Y753/22)+(L753+Y753/22)*O753+(L753+Y753/22)*$AG753+$X753)*$P$11+$M$7)/1000),0)</f>
        <v>0</v>
      </c>
      <c r="U753" s="2747">
        <f t="shared" si="195"/>
        <v>25745.589225589225</v>
      </c>
      <c r="V753" s="1229"/>
      <c r="W753" s="1231" t="str">
        <f t="shared" si="200"/>
        <v>CIF</v>
      </c>
      <c r="X753" s="1230">
        <f t="shared" si="198"/>
        <v>0</v>
      </c>
      <c r="Y753" s="2625">
        <f t="shared" si="189"/>
        <v>0</v>
      </c>
      <c r="Z753" s="3208">
        <f t="shared" si="197"/>
        <v>838.18181818181813</v>
      </c>
      <c r="AA753" s="1220" t="s">
        <v>1372</v>
      </c>
      <c r="AB753" s="1220" t="s">
        <v>1398</v>
      </c>
      <c r="AC753" s="251" t="str">
        <f t="shared" si="190"/>
        <v>180gsm WOODFREE APP-IK BRAND</v>
      </c>
      <c r="AD753" s="2746">
        <f>IF(L753&gt;0,IF(input!$B$2=$O$1,(((M753)+(M753)*$M$10)*$P$11)/1000,(((M753)+(M753)*O753+(M753)*$M$10)*$P$11)/1000),0)</f>
        <v>0</v>
      </c>
      <c r="AE753" s="2746">
        <f>IF(L753&gt;0,IF(input!$B$2=$O$1,(((N753)+(N753)*$M$10)*$P$11)/1000,(((N753)+(N753)*O753+(N753)*$M$10)*$P$11)/1000),0)</f>
        <v>0</v>
      </c>
      <c r="AF753" s="136" t="str">
        <f t="shared" si="191"/>
        <v>None</v>
      </c>
      <c r="AG753" s="2628">
        <f t="shared" si="192"/>
        <v>1.6E-2</v>
      </c>
      <c r="AH753" s="1266">
        <v>0.1</v>
      </c>
    </row>
    <row r="754" spans="1:34" ht="12.75">
      <c r="A754" s="2199">
        <f t="shared" si="194"/>
        <v>742</v>
      </c>
      <c r="B754" s="2200" t="s">
        <v>1017</v>
      </c>
      <c r="C754" s="2743">
        <v>26900</v>
      </c>
      <c r="D754" s="2743">
        <v>0</v>
      </c>
      <c r="E754" s="2949">
        <v>0</v>
      </c>
      <c r="F754" s="2200">
        <v>20</v>
      </c>
      <c r="G754" s="2200" t="s">
        <v>127</v>
      </c>
      <c r="H754" s="2200" t="s">
        <v>1057</v>
      </c>
      <c r="I754" s="2742">
        <v>0</v>
      </c>
      <c r="J754" s="2742"/>
      <c r="K754" s="2752">
        <v>60</v>
      </c>
      <c r="L754" s="2745">
        <f t="shared" si="183"/>
        <v>0</v>
      </c>
      <c r="M754" s="2745">
        <f t="shared" si="186"/>
        <v>0</v>
      </c>
      <c r="N754" s="2745">
        <f t="shared" si="187"/>
        <v>20</v>
      </c>
      <c r="O754" s="1232">
        <f t="shared" si="188"/>
        <v>0</v>
      </c>
      <c r="P754" s="1227" t="str">
        <f t="shared" si="193"/>
        <v>190gsm WOODFREE APP-IK BRAND</v>
      </c>
      <c r="Q754" s="254">
        <v>0.247</v>
      </c>
      <c r="R754" s="1228" t="str">
        <f t="shared" si="196"/>
        <v>190</v>
      </c>
      <c r="S754" s="2625">
        <f t="shared" si="199"/>
        <v>26900</v>
      </c>
      <c r="T754" s="2747">
        <f>IF(L754&gt;0,IF(input!$B$2=$O$1,(((L754+Y754/22)+(L754+Y754/22)*$AG754+$X754)*$P$11+$M$7)/1000,(((L754+Y754/22)+(L754+Y754/22)*O754+(L754+Y754/22)*$AG754+$X754)*$P$11+$M$7)/1000),0)</f>
        <v>0</v>
      </c>
      <c r="U754" s="2747">
        <f t="shared" si="195"/>
        <v>25745.589225589225</v>
      </c>
      <c r="V754" s="1229"/>
      <c r="W754" s="1231" t="str">
        <f t="shared" si="200"/>
        <v>CIF</v>
      </c>
      <c r="X754" s="1230">
        <f t="shared" si="198"/>
        <v>0</v>
      </c>
      <c r="Y754" s="2625">
        <f t="shared" si="189"/>
        <v>0</v>
      </c>
      <c r="Z754" s="3208">
        <f t="shared" si="197"/>
        <v>838.18181818181813</v>
      </c>
      <c r="AA754" s="1220" t="s">
        <v>1372</v>
      </c>
      <c r="AB754" s="1220" t="s">
        <v>1398</v>
      </c>
      <c r="AC754" s="251" t="str">
        <f t="shared" si="190"/>
        <v>190gsm WOODFREE APP-IK BRAND</v>
      </c>
      <c r="AD754" s="2746">
        <f>IF(L754&gt;0,IF(input!$B$2=$O$1,(((M754)+(M754)*$M$10)*$P$11)/1000,(((M754)+(M754)*O754+(M754)*$M$10)*$P$11)/1000),0)</f>
        <v>0</v>
      </c>
      <c r="AE754" s="2746">
        <f>IF(L754&gt;0,IF(input!$B$2=$O$1,(((N754)+(N754)*$M$10)*$P$11)/1000,(((N754)+(N754)*O754+(N754)*$M$10)*$P$11)/1000),0)</f>
        <v>0</v>
      </c>
      <c r="AF754" s="136" t="str">
        <f t="shared" si="191"/>
        <v>None</v>
      </c>
      <c r="AG754" s="2628">
        <f t="shared" si="192"/>
        <v>1.6E-2</v>
      </c>
      <c r="AH754" s="1266">
        <v>0.1</v>
      </c>
    </row>
    <row r="755" spans="1:34" ht="12.75">
      <c r="A755" s="2199">
        <f t="shared" si="194"/>
        <v>743</v>
      </c>
      <c r="B755" s="2200" t="s">
        <v>1018</v>
      </c>
      <c r="C755" s="2743">
        <v>26900</v>
      </c>
      <c r="D755" s="2743">
        <v>0</v>
      </c>
      <c r="E755" s="2949">
        <v>0</v>
      </c>
      <c r="F755" s="2200">
        <v>20</v>
      </c>
      <c r="G755" s="2200" t="s">
        <v>127</v>
      </c>
      <c r="H755" s="2200" t="s">
        <v>1057</v>
      </c>
      <c r="I755" s="2742">
        <v>0</v>
      </c>
      <c r="J755" s="2742"/>
      <c r="K755" s="2752">
        <v>60</v>
      </c>
      <c r="L755" s="2745">
        <f t="shared" si="183"/>
        <v>0</v>
      </c>
      <c r="M755" s="2745">
        <f t="shared" si="186"/>
        <v>0</v>
      </c>
      <c r="N755" s="2745">
        <f t="shared" si="187"/>
        <v>20</v>
      </c>
      <c r="O755" s="1232">
        <f t="shared" si="188"/>
        <v>0</v>
      </c>
      <c r="P755" s="1227" t="str">
        <f t="shared" si="193"/>
        <v>200gsm WOODFREE APP-IK BRAND</v>
      </c>
      <c r="Q755" s="254">
        <v>0.26400000000000001</v>
      </c>
      <c r="R755" s="1228" t="str">
        <f t="shared" si="196"/>
        <v>200</v>
      </c>
      <c r="S755" s="2625">
        <f t="shared" si="199"/>
        <v>26900</v>
      </c>
      <c r="T755" s="2747">
        <f>IF(L755&gt;0,IF(input!$B$2=$O$1,(((L755+Y755/22)+(L755+Y755/22)*$AG755+$X755)*$P$11+$M$7)/1000,(((L755+Y755/22)+(L755+Y755/22)*O755+(L755+Y755/22)*$AG755+$X755)*$P$11+$M$7)/1000),0)</f>
        <v>0</v>
      </c>
      <c r="U755" s="2747">
        <f t="shared" si="195"/>
        <v>25745.589225589225</v>
      </c>
      <c r="V755" s="1229"/>
      <c r="W755" s="1231" t="str">
        <f t="shared" si="200"/>
        <v>CIF</v>
      </c>
      <c r="X755" s="1230">
        <f t="shared" si="198"/>
        <v>0</v>
      </c>
      <c r="Y755" s="2625">
        <f t="shared" si="189"/>
        <v>0</v>
      </c>
      <c r="Z755" s="3208">
        <f t="shared" si="197"/>
        <v>838.18181818181813</v>
      </c>
      <c r="AA755" s="1220" t="s">
        <v>1372</v>
      </c>
      <c r="AB755" s="1220" t="s">
        <v>1398</v>
      </c>
      <c r="AC755" s="251" t="str">
        <f t="shared" si="190"/>
        <v>200gsm WOODFREE APP-IK BRAND</v>
      </c>
      <c r="AD755" s="2746">
        <f>IF(L755&gt;0,IF(input!$B$2=$O$1,(((M755)+(M755)*$M$10)*$P$11)/1000,(((M755)+(M755)*O755+(M755)*$M$10)*$P$11)/1000),0)</f>
        <v>0</v>
      </c>
      <c r="AE755" s="2746">
        <f>IF(L755&gt;0,IF(input!$B$2=$O$1,(((N755)+(N755)*$M$10)*$P$11)/1000,(((N755)+(N755)*O755+(N755)*$M$10)*$P$11)/1000),0)</f>
        <v>0</v>
      </c>
      <c r="AF755" s="136" t="str">
        <f t="shared" si="191"/>
        <v>None</v>
      </c>
      <c r="AG755" s="2628">
        <f t="shared" si="192"/>
        <v>1.6E-2</v>
      </c>
      <c r="AH755" s="1266">
        <v>0.1</v>
      </c>
    </row>
    <row r="756" spans="1:34" ht="12.75">
      <c r="A756" s="2199">
        <f t="shared" si="194"/>
        <v>744</v>
      </c>
      <c r="B756" s="2200" t="s">
        <v>1019</v>
      </c>
      <c r="C756" s="2743">
        <v>26900</v>
      </c>
      <c r="D756" s="2743">
        <v>0</v>
      </c>
      <c r="E756" s="2949">
        <v>0</v>
      </c>
      <c r="F756" s="2200">
        <v>20</v>
      </c>
      <c r="G756" s="2200" t="s">
        <v>127</v>
      </c>
      <c r="H756" s="2200" t="s">
        <v>1057</v>
      </c>
      <c r="I756" s="2742">
        <v>0</v>
      </c>
      <c r="J756" s="2742"/>
      <c r="K756" s="2752">
        <v>60</v>
      </c>
      <c r="L756" s="2745">
        <f t="shared" si="183"/>
        <v>0</v>
      </c>
      <c r="M756" s="2745">
        <f t="shared" si="186"/>
        <v>0</v>
      </c>
      <c r="N756" s="2745">
        <f t="shared" si="187"/>
        <v>20</v>
      </c>
      <c r="O756" s="1232">
        <f t="shared" si="188"/>
        <v>0</v>
      </c>
      <c r="P756" s="1227" t="str">
        <f t="shared" si="193"/>
        <v>210gsm WOODFREE APP-IK BRAND</v>
      </c>
      <c r="Q756" s="254">
        <v>0.27300000000000002</v>
      </c>
      <c r="R756" s="1228" t="str">
        <f t="shared" si="196"/>
        <v>210</v>
      </c>
      <c r="S756" s="2625">
        <f t="shared" si="199"/>
        <v>26900</v>
      </c>
      <c r="T756" s="2747">
        <f>IF(L756&gt;0,IF(input!$B$2=$O$1,(((L756+Y756/22)+(L756+Y756/22)*$AG756+$X756)*$P$11+$M$7)/1000,(((L756+Y756/22)+(L756+Y756/22)*O756+(L756+Y756/22)*$AG756+$X756)*$P$11+$M$7)/1000),0)</f>
        <v>0</v>
      </c>
      <c r="U756" s="2747">
        <f t="shared" si="195"/>
        <v>25745.589225589225</v>
      </c>
      <c r="V756" s="1229"/>
      <c r="W756" s="1231" t="str">
        <f t="shared" si="200"/>
        <v>CIF</v>
      </c>
      <c r="X756" s="1230">
        <f t="shared" si="198"/>
        <v>0</v>
      </c>
      <c r="Y756" s="2625">
        <f t="shared" si="189"/>
        <v>0</v>
      </c>
      <c r="Z756" s="3208">
        <f t="shared" si="197"/>
        <v>838.18181818181813</v>
      </c>
      <c r="AA756" s="1220" t="s">
        <v>1372</v>
      </c>
      <c r="AB756" s="1220" t="s">
        <v>1398</v>
      </c>
      <c r="AC756" s="251" t="str">
        <f t="shared" si="190"/>
        <v>210gsm WOODFREE APP-IK BRAND</v>
      </c>
      <c r="AD756" s="2746">
        <f>IF(L756&gt;0,IF(input!$B$2=$O$1,(((M756)+(M756)*$M$10)*$P$11)/1000,(((M756)+(M756)*O756+(M756)*$M$10)*$P$11)/1000),0)</f>
        <v>0</v>
      </c>
      <c r="AE756" s="2746">
        <f>IF(L756&gt;0,IF(input!$B$2=$O$1,(((N756)+(N756)*$M$10)*$P$11)/1000,(((N756)+(N756)*O756+(N756)*$M$10)*$P$11)/1000),0)</f>
        <v>0</v>
      </c>
      <c r="AF756" s="136" t="str">
        <f t="shared" si="191"/>
        <v>None</v>
      </c>
      <c r="AG756" s="2628">
        <f t="shared" si="192"/>
        <v>1.6E-2</v>
      </c>
      <c r="AH756" s="1266">
        <v>0.1</v>
      </c>
    </row>
    <row r="757" spans="1:34" ht="12.75">
      <c r="A757" s="2199">
        <f t="shared" si="194"/>
        <v>745</v>
      </c>
      <c r="B757" s="2200" t="s">
        <v>1020</v>
      </c>
      <c r="C757" s="2743">
        <v>26900</v>
      </c>
      <c r="D757" s="2743">
        <v>0</v>
      </c>
      <c r="E757" s="2949">
        <v>0</v>
      </c>
      <c r="F757" s="2200">
        <v>20</v>
      </c>
      <c r="G757" s="2200" t="s">
        <v>127</v>
      </c>
      <c r="H757" s="2200" t="s">
        <v>1057</v>
      </c>
      <c r="I757" s="2742">
        <v>0</v>
      </c>
      <c r="J757" s="2742"/>
      <c r="K757" s="2752">
        <v>60</v>
      </c>
      <c r="L757" s="2745">
        <f t="shared" si="183"/>
        <v>0</v>
      </c>
      <c r="M757" s="2745">
        <f t="shared" si="186"/>
        <v>0</v>
      </c>
      <c r="N757" s="2745">
        <f t="shared" si="187"/>
        <v>20</v>
      </c>
      <c r="O757" s="1232">
        <f t="shared" si="188"/>
        <v>0</v>
      </c>
      <c r="P757" s="1227" t="str">
        <f t="shared" si="193"/>
        <v>220gsm WOODFREE APP-IK BRAND</v>
      </c>
      <c r="Q757" s="254">
        <v>0.28599999999999998</v>
      </c>
      <c r="R757" s="1228" t="str">
        <f t="shared" si="196"/>
        <v>220</v>
      </c>
      <c r="S757" s="2625">
        <f t="shared" si="199"/>
        <v>26900</v>
      </c>
      <c r="T757" s="2747">
        <f>IF(L757&gt;0,IF(input!$B$2=$O$1,(((L757+Y757/22)+(L757+Y757/22)*$AG757+$X757)*$P$11+$M$7)/1000,(((L757+Y757/22)+(L757+Y757/22)*O757+(L757+Y757/22)*$AG757+$X757)*$P$11+$M$7)/1000),0)</f>
        <v>0</v>
      </c>
      <c r="U757" s="2747">
        <f t="shared" si="195"/>
        <v>25745.589225589225</v>
      </c>
      <c r="V757" s="1229"/>
      <c r="W757" s="1231" t="str">
        <f t="shared" si="200"/>
        <v>CIF</v>
      </c>
      <c r="X757" s="1230">
        <f t="shared" si="198"/>
        <v>0</v>
      </c>
      <c r="Y757" s="2625">
        <f t="shared" si="189"/>
        <v>0</v>
      </c>
      <c r="Z757" s="3208">
        <f t="shared" si="197"/>
        <v>838.18181818181813</v>
      </c>
      <c r="AA757" s="1220" t="s">
        <v>1372</v>
      </c>
      <c r="AB757" s="1220" t="s">
        <v>1398</v>
      </c>
      <c r="AC757" s="251" t="str">
        <f t="shared" si="190"/>
        <v>220gsm WOODFREE APP-IK BRAND</v>
      </c>
      <c r="AD757" s="2746">
        <f>IF(L757&gt;0,IF(input!$B$2=$O$1,(((M757)+(M757)*$M$10)*$P$11)/1000,(((M757)+(M757)*O757+(M757)*$M$10)*$P$11)/1000),0)</f>
        <v>0</v>
      </c>
      <c r="AE757" s="2746">
        <f>IF(L757&gt;0,IF(input!$B$2=$O$1,(((N757)+(N757)*$M$10)*$P$11)/1000,(((N757)+(N757)*O757+(N757)*$M$10)*$P$11)/1000),0)</f>
        <v>0</v>
      </c>
      <c r="AF757" s="136" t="str">
        <f t="shared" si="191"/>
        <v>None</v>
      </c>
      <c r="AG757" s="2628">
        <f t="shared" si="192"/>
        <v>1.6E-2</v>
      </c>
      <c r="AH757" s="1266">
        <v>0.1</v>
      </c>
    </row>
    <row r="758" spans="1:34" ht="12.75">
      <c r="A758" s="2199">
        <f t="shared" si="194"/>
        <v>746</v>
      </c>
      <c r="B758" s="2200" t="s">
        <v>948</v>
      </c>
      <c r="C758" s="2743">
        <v>26900</v>
      </c>
      <c r="D758" s="2743">
        <v>0</v>
      </c>
      <c r="E758" s="2949">
        <v>0</v>
      </c>
      <c r="F758" s="2200">
        <v>20</v>
      </c>
      <c r="G758" s="2200" t="s">
        <v>127</v>
      </c>
      <c r="H758" s="2200" t="s">
        <v>1057</v>
      </c>
      <c r="I758" s="2742">
        <v>0</v>
      </c>
      <c r="J758" s="2742"/>
      <c r="K758" s="2752">
        <v>60</v>
      </c>
      <c r="L758" s="2745">
        <f t="shared" si="183"/>
        <v>0</v>
      </c>
      <c r="M758" s="2745">
        <f t="shared" si="186"/>
        <v>0</v>
      </c>
      <c r="N758" s="2745">
        <f t="shared" si="187"/>
        <v>20</v>
      </c>
      <c r="O758" s="1232">
        <f t="shared" si="188"/>
        <v>0</v>
      </c>
      <c r="P758" s="1227" t="str">
        <f t="shared" si="193"/>
        <v>230gsm WOODFREE APP-IK BRAND</v>
      </c>
      <c r="Q758" s="254">
        <v>0.29899999999999999</v>
      </c>
      <c r="R758" s="1228" t="str">
        <f t="shared" si="196"/>
        <v>230</v>
      </c>
      <c r="S758" s="2625">
        <f t="shared" si="199"/>
        <v>26900</v>
      </c>
      <c r="T758" s="2747">
        <f>IF(L758&gt;0,IF(input!$B$2=$O$1,(((L758+Y758/22)+(L758+Y758/22)*$AG758+$X758)*$P$11+$M$7)/1000,(((L758+Y758/22)+(L758+Y758/22)*O758+(L758+Y758/22)*$AG758+$X758)*$P$11+$M$7)/1000),0)</f>
        <v>0</v>
      </c>
      <c r="U758" s="2747">
        <f t="shared" si="195"/>
        <v>25745.589225589225</v>
      </c>
      <c r="V758" s="1229"/>
      <c r="W758" s="1231" t="str">
        <f t="shared" si="200"/>
        <v>CIF</v>
      </c>
      <c r="X758" s="1230">
        <f t="shared" si="198"/>
        <v>0</v>
      </c>
      <c r="Y758" s="2625">
        <f t="shared" si="189"/>
        <v>0</v>
      </c>
      <c r="Z758" s="3208">
        <f t="shared" si="197"/>
        <v>838.18181818181813</v>
      </c>
      <c r="AA758" s="1220" t="s">
        <v>1372</v>
      </c>
      <c r="AB758" s="1220" t="s">
        <v>1398</v>
      </c>
      <c r="AC758" s="251" t="str">
        <f t="shared" si="190"/>
        <v>230gsm WOODFREE APP-IK BRAND</v>
      </c>
      <c r="AD758" s="2746">
        <f>IF(L758&gt;0,IF(input!$B$2=$O$1,(((M758)+(M758)*$M$10)*$P$11)/1000,(((M758)+(M758)*O758+(M758)*$M$10)*$P$11)/1000),0)</f>
        <v>0</v>
      </c>
      <c r="AE758" s="2746">
        <f>IF(L758&gt;0,IF(input!$B$2=$O$1,(((N758)+(N758)*$M$10)*$P$11)/1000,(((N758)+(N758)*O758+(N758)*$M$10)*$P$11)/1000),0)</f>
        <v>0</v>
      </c>
      <c r="AF758" s="136" t="str">
        <f t="shared" si="191"/>
        <v>None</v>
      </c>
      <c r="AG758" s="2628">
        <f t="shared" si="192"/>
        <v>1.6E-2</v>
      </c>
      <c r="AH758" s="1266">
        <v>0.1</v>
      </c>
    </row>
    <row r="759" spans="1:34" ht="12.75">
      <c r="A759" s="2199">
        <f t="shared" si="194"/>
        <v>747</v>
      </c>
      <c r="B759" s="2200" t="s">
        <v>1021</v>
      </c>
      <c r="C759" s="2743">
        <v>26900</v>
      </c>
      <c r="D759" s="2743">
        <v>0</v>
      </c>
      <c r="E759" s="2949">
        <v>0</v>
      </c>
      <c r="F759" s="2200">
        <v>20</v>
      </c>
      <c r="G759" s="2200" t="s">
        <v>127</v>
      </c>
      <c r="H759" s="2200" t="s">
        <v>1057</v>
      </c>
      <c r="I759" s="2742">
        <v>0</v>
      </c>
      <c r="J759" s="2742"/>
      <c r="K759" s="2752">
        <v>60</v>
      </c>
      <c r="L759" s="2745">
        <f t="shared" si="183"/>
        <v>0</v>
      </c>
      <c r="M759" s="2745">
        <f t="shared" si="186"/>
        <v>0</v>
      </c>
      <c r="N759" s="2745">
        <f t="shared" si="187"/>
        <v>20</v>
      </c>
      <c r="O759" s="1232">
        <f t="shared" si="188"/>
        <v>0</v>
      </c>
      <c r="P759" s="1227" t="str">
        <f t="shared" si="193"/>
        <v>240gsm WOODFREE APP-IK BRAND</v>
      </c>
      <c r="Q759" s="254">
        <v>0.312</v>
      </c>
      <c r="R759" s="1228" t="str">
        <f t="shared" si="196"/>
        <v>240</v>
      </c>
      <c r="S759" s="2625">
        <f t="shared" si="199"/>
        <v>26900</v>
      </c>
      <c r="T759" s="2747">
        <f>IF(L759&gt;0,IF(input!$B$2=$O$1,(((L759+Y759/22)+(L759+Y759/22)*$AG759+$X759)*$P$11+$M$7)/1000,(((L759+Y759/22)+(L759+Y759/22)*O759+(L759+Y759/22)*$AG759+$X759)*$P$11+$M$7)/1000),0)</f>
        <v>0</v>
      </c>
      <c r="U759" s="2747">
        <f t="shared" si="195"/>
        <v>25745.589225589225</v>
      </c>
      <c r="V759" s="1229"/>
      <c r="W759" s="1231" t="str">
        <f t="shared" si="200"/>
        <v>CIF</v>
      </c>
      <c r="X759" s="1230">
        <f t="shared" si="198"/>
        <v>0</v>
      </c>
      <c r="Y759" s="2625">
        <f t="shared" si="189"/>
        <v>0</v>
      </c>
      <c r="Z759" s="3208">
        <f t="shared" si="197"/>
        <v>838.18181818181813</v>
      </c>
      <c r="AA759" s="1220" t="s">
        <v>1372</v>
      </c>
      <c r="AB759" s="1220" t="s">
        <v>1398</v>
      </c>
      <c r="AC759" s="251" t="str">
        <f t="shared" si="190"/>
        <v>240gsm WOODFREE APP-IK BRAND</v>
      </c>
      <c r="AD759" s="2746">
        <f>IF(L759&gt;0,IF(input!$B$2=$O$1,(((M759)+(M759)*$M$10)*$P$11)/1000,(((M759)+(M759)*O759+(M759)*$M$10)*$P$11)/1000),0)</f>
        <v>0</v>
      </c>
      <c r="AE759" s="2746">
        <f>IF(L759&gt;0,IF(input!$B$2=$O$1,(((N759)+(N759)*$M$10)*$P$11)/1000,(((N759)+(N759)*O759+(N759)*$M$10)*$P$11)/1000),0)</f>
        <v>0</v>
      </c>
      <c r="AF759" s="136" t="str">
        <f t="shared" si="191"/>
        <v>None</v>
      </c>
      <c r="AG759" s="2628">
        <f t="shared" si="192"/>
        <v>1.6E-2</v>
      </c>
      <c r="AH759" s="1266">
        <v>0.1</v>
      </c>
    </row>
    <row r="760" spans="1:34" ht="12.75">
      <c r="A760" s="2199">
        <f t="shared" si="194"/>
        <v>748</v>
      </c>
      <c r="B760" s="2200" t="s">
        <v>949</v>
      </c>
      <c r="C760" s="2743">
        <v>28000</v>
      </c>
      <c r="D760" s="2743">
        <v>0</v>
      </c>
      <c r="E760" s="2949">
        <v>0</v>
      </c>
      <c r="F760" s="2200">
        <v>20</v>
      </c>
      <c r="G760" s="2200" t="s">
        <v>127</v>
      </c>
      <c r="H760" s="2200" t="s">
        <v>1057</v>
      </c>
      <c r="I760" s="2742">
        <v>0</v>
      </c>
      <c r="J760" s="2742"/>
      <c r="K760" s="2752">
        <v>60</v>
      </c>
      <c r="L760" s="2745">
        <f t="shared" si="183"/>
        <v>0</v>
      </c>
      <c r="M760" s="2745">
        <f t="shared" si="186"/>
        <v>0</v>
      </c>
      <c r="N760" s="2745">
        <f t="shared" si="187"/>
        <v>20</v>
      </c>
      <c r="O760" s="1232">
        <f t="shared" si="188"/>
        <v>0</v>
      </c>
      <c r="P760" s="1227" t="str">
        <f t="shared" si="193"/>
        <v>250gsm WOODFREE APP-IK BRAND</v>
      </c>
      <c r="Q760" s="254">
        <v>0.32500000000000001</v>
      </c>
      <c r="R760" s="1228" t="str">
        <f t="shared" si="196"/>
        <v>250</v>
      </c>
      <c r="S760" s="2625">
        <f t="shared" si="199"/>
        <v>28000</v>
      </c>
      <c r="T760" s="2747">
        <f>IF(L760&gt;0,IF(input!$B$2=$O$1,(((L760+Y760/22)+(L760+Y760/22)*$AG760+$X760)*$P$11+$M$7)/1000,(((L760+Y760/22)+(L760+Y760/22)*O760+(L760+Y760/22)*$AG760+$X760)*$P$11+$M$7)/1000),0)</f>
        <v>0</v>
      </c>
      <c r="U760" s="2747">
        <f t="shared" si="195"/>
        <v>26764.107744107743</v>
      </c>
      <c r="V760" s="1229"/>
      <c r="W760" s="1231" t="str">
        <f t="shared" si="200"/>
        <v>CIF</v>
      </c>
      <c r="X760" s="1230">
        <f t="shared" si="198"/>
        <v>0</v>
      </c>
      <c r="Y760" s="2625">
        <f t="shared" si="189"/>
        <v>0</v>
      </c>
      <c r="Z760" s="3208">
        <f t="shared" si="197"/>
        <v>838.18181818181813</v>
      </c>
      <c r="AA760" s="1220" t="s">
        <v>1372</v>
      </c>
      <c r="AB760" s="1220" t="s">
        <v>1398</v>
      </c>
      <c r="AC760" s="251" t="str">
        <f t="shared" si="190"/>
        <v>250gsm WOODFREE APP-IK BRAND</v>
      </c>
      <c r="AD760" s="2746">
        <f>IF(L760&gt;0,IF(input!$B$2=$O$1,(((M760)+(M760)*$M$10)*$P$11)/1000,(((M760)+(M760)*O760+(M760)*$M$10)*$P$11)/1000),0)</f>
        <v>0</v>
      </c>
      <c r="AE760" s="2746">
        <f>IF(L760&gt;0,IF(input!$B$2=$O$1,(((N760)+(N760)*$M$10)*$P$11)/1000,(((N760)+(N760)*O760+(N760)*$M$10)*$P$11)/1000),0)</f>
        <v>0</v>
      </c>
      <c r="AF760" s="136" t="str">
        <f t="shared" si="191"/>
        <v>None</v>
      </c>
      <c r="AG760" s="2628">
        <f t="shared" si="192"/>
        <v>1.6E-2</v>
      </c>
      <c r="AH760" s="1266">
        <v>0.1</v>
      </c>
    </row>
    <row r="761" spans="1:34" ht="12.75">
      <c r="A761" s="2199">
        <f t="shared" si="194"/>
        <v>749</v>
      </c>
      <c r="B761" s="2200" t="s">
        <v>2796</v>
      </c>
      <c r="C761" s="2743">
        <v>0</v>
      </c>
      <c r="D761" s="2743">
        <v>930</v>
      </c>
      <c r="E761" s="2949">
        <v>0</v>
      </c>
      <c r="F761" s="2200">
        <v>25</v>
      </c>
      <c r="G761" s="2200" t="s">
        <v>2038</v>
      </c>
      <c r="H761" s="2200" t="s">
        <v>1057</v>
      </c>
      <c r="I761" s="2742">
        <v>40</v>
      </c>
      <c r="J761" s="2742"/>
      <c r="K761" s="2752">
        <v>52</v>
      </c>
      <c r="L761" s="2745">
        <f t="shared" si="183"/>
        <v>930</v>
      </c>
      <c r="M761" s="2745">
        <f t="shared" si="186"/>
        <v>40</v>
      </c>
      <c r="N761" s="2745">
        <f t="shared" si="187"/>
        <v>25</v>
      </c>
      <c r="O761" s="1232">
        <f t="shared" si="188"/>
        <v>0</v>
      </c>
      <c r="P761" s="1227" t="str">
        <f t="shared" si="193"/>
        <v>060gsm WOODFREE SCG (THAI PAPER MILL)</v>
      </c>
      <c r="Q761" s="254">
        <v>7.8E-2</v>
      </c>
      <c r="R761" s="1228" t="str">
        <f t="shared" si="196"/>
        <v>060</v>
      </c>
      <c r="S761" s="2625">
        <f t="shared" si="199"/>
        <v>0</v>
      </c>
      <c r="T761" s="2747">
        <f>IF(L761&gt;0,IF(input!$B$2=$O$1,(((L761+Y761/22)+(L761+Y761/22)*$AG761+$X761)*$P$11+$M$7)/1000,(((L761+Y761/22)+(L761+Y761/22)*O761+(L761+Y761/22)*$AG761+$X761)*$P$11+$M$7)/1000),0)</f>
        <v>23238.932959999998</v>
      </c>
      <c r="U761" s="2747">
        <f t="shared" si="195"/>
        <v>0</v>
      </c>
      <c r="V761" s="1229"/>
      <c r="W761" s="1231" t="str">
        <f t="shared" si="200"/>
        <v>CIF</v>
      </c>
      <c r="X761" s="1230">
        <f t="shared" si="198"/>
        <v>0</v>
      </c>
      <c r="Y761" s="2625">
        <f t="shared" si="189"/>
        <v>0</v>
      </c>
      <c r="Z761" s="3208">
        <f t="shared" si="197"/>
        <v>838.18181818181813</v>
      </c>
      <c r="AA761" s="1220" t="s">
        <v>2845</v>
      </c>
      <c r="AB761" s="1220" t="s">
        <v>1398</v>
      </c>
      <c r="AC761" s="251" t="str">
        <f t="shared" si="190"/>
        <v>060gsm WOODFREE SCG (THAI PAPER MILL)</v>
      </c>
      <c r="AD761" s="2746">
        <f>IF(L761&gt;0,IF(input!$B$2=$O$1,(((M761)+(M761)*$M$10)*$P$11)/1000,(((M761)+(M761)*O761+(M761)*$M$10)*$P$11)/1000),0)</f>
        <v>968.08319999999992</v>
      </c>
      <c r="AE761" s="2746">
        <f>IF(L761&gt;0,IF(input!$B$2=$O$1,(((N761)+(N761)*$M$10)*$P$11)/1000,(((N761)+(N761)*O761+(N761)*$M$10)*$P$11)/1000),0)</f>
        <v>605.05200000000002</v>
      </c>
      <c r="AF761" s="136" t="str">
        <f t="shared" si="191"/>
        <v>FSC</v>
      </c>
      <c r="AG761" s="2628">
        <f t="shared" si="192"/>
        <v>1.3866666666666668E-2</v>
      </c>
      <c r="AH761" s="1266">
        <v>0.1</v>
      </c>
    </row>
    <row r="762" spans="1:34" ht="12.75">
      <c r="A762" s="2199">
        <f t="shared" si="194"/>
        <v>750</v>
      </c>
      <c r="B762" s="2200" t="s">
        <v>2797</v>
      </c>
      <c r="C762" s="2743">
        <v>27900</v>
      </c>
      <c r="D762" s="2743">
        <v>900</v>
      </c>
      <c r="E762" s="2949">
        <v>0</v>
      </c>
      <c r="F762" s="2200">
        <v>25</v>
      </c>
      <c r="G762" s="2200" t="s">
        <v>2038</v>
      </c>
      <c r="H762" s="2200" t="s">
        <v>1057</v>
      </c>
      <c r="I762" s="2742">
        <v>40</v>
      </c>
      <c r="J762" s="2742"/>
      <c r="K762" s="2752">
        <v>52</v>
      </c>
      <c r="L762" s="2745">
        <f t="shared" si="183"/>
        <v>900</v>
      </c>
      <c r="M762" s="2745">
        <f t="shared" si="186"/>
        <v>40</v>
      </c>
      <c r="N762" s="2745">
        <f t="shared" si="187"/>
        <v>25</v>
      </c>
      <c r="O762" s="1232">
        <f t="shared" si="188"/>
        <v>0</v>
      </c>
      <c r="P762" s="1227" t="str">
        <f t="shared" si="193"/>
        <v>070gsm WOODFREE SCG (THAI PAPER MILL)</v>
      </c>
      <c r="Q762" s="254">
        <v>0.09</v>
      </c>
      <c r="R762" s="1228" t="str">
        <f t="shared" si="196"/>
        <v>070</v>
      </c>
      <c r="S762" s="2625">
        <f t="shared" si="199"/>
        <v>27900</v>
      </c>
      <c r="T762" s="2747">
        <f>IF(L762&gt;0,IF(input!$B$2=$O$1,(((L762+Y762/22)+(L762+Y762/22)*$AG762+$X762)*$P$11+$M$7)/1000,(((L762+Y762/22)+(L762+Y762/22)*O762+(L762+Y762/22)*$AG762+$X762)*$P$11+$M$7)/1000),0)</f>
        <v>22508.644800000002</v>
      </c>
      <c r="U762" s="2747">
        <f t="shared" si="195"/>
        <v>26671.515151515152</v>
      </c>
      <c r="V762" s="1229"/>
      <c r="W762" s="1231" t="str">
        <f t="shared" si="200"/>
        <v>CIF</v>
      </c>
      <c r="X762" s="1230">
        <f t="shared" si="198"/>
        <v>0</v>
      </c>
      <c r="Y762" s="2625">
        <f t="shared" si="189"/>
        <v>0</v>
      </c>
      <c r="Z762" s="3208">
        <f t="shared" si="197"/>
        <v>838.18181818181813</v>
      </c>
      <c r="AA762" s="1220" t="s">
        <v>2845</v>
      </c>
      <c r="AB762" s="1220" t="s">
        <v>1398</v>
      </c>
      <c r="AC762" s="251" t="str">
        <f t="shared" si="190"/>
        <v>070gsm WOODFREE SCG (THAI PAPER MILL)</v>
      </c>
      <c r="AD762" s="2746">
        <f>IF(L762&gt;0,IF(input!$B$2=$O$1,(((M762)+(M762)*$M$10)*$P$11)/1000,(((M762)+(M762)*O762+(M762)*$M$10)*$P$11)/1000),0)</f>
        <v>968.08319999999992</v>
      </c>
      <c r="AE762" s="2746">
        <f>IF(L762&gt;0,IF(input!$B$2=$O$1,(((N762)+(N762)*$M$10)*$P$11)/1000,(((N762)+(N762)*O762+(N762)*$M$10)*$P$11)/1000),0)</f>
        <v>605.05200000000002</v>
      </c>
      <c r="AF762" s="136" t="str">
        <f t="shared" si="191"/>
        <v>FSC</v>
      </c>
      <c r="AG762" s="2628">
        <f t="shared" si="192"/>
        <v>1.3866666666666668E-2</v>
      </c>
      <c r="AH762" s="1266">
        <v>0.1</v>
      </c>
    </row>
    <row r="763" spans="1:34" ht="12.75">
      <c r="A763" s="2199">
        <f t="shared" si="194"/>
        <v>751</v>
      </c>
      <c r="B763" s="2200" t="s">
        <v>2798</v>
      </c>
      <c r="C763" s="2743">
        <v>25200</v>
      </c>
      <c r="D763" s="2743">
        <v>900</v>
      </c>
      <c r="E763" s="2949">
        <v>0</v>
      </c>
      <c r="F763" s="2200">
        <v>25</v>
      </c>
      <c r="G763" s="2200" t="s">
        <v>2038</v>
      </c>
      <c r="H763" s="2200" t="s">
        <v>1057</v>
      </c>
      <c r="I763" s="2742">
        <v>40</v>
      </c>
      <c r="J763" s="2742"/>
      <c r="K763" s="2752">
        <v>52</v>
      </c>
      <c r="L763" s="2745">
        <f t="shared" si="183"/>
        <v>900</v>
      </c>
      <c r="M763" s="2745">
        <f t="shared" si="186"/>
        <v>40</v>
      </c>
      <c r="N763" s="2745">
        <f t="shared" si="187"/>
        <v>25</v>
      </c>
      <c r="O763" s="1232">
        <f t="shared" si="188"/>
        <v>0</v>
      </c>
      <c r="P763" s="1227" t="str">
        <f t="shared" si="193"/>
        <v>080gsm WOODFREE SCG (THAI PAPER MILL)</v>
      </c>
      <c r="Q763" s="254">
        <v>9.9000000000000005E-2</v>
      </c>
      <c r="R763" s="1228" t="str">
        <f t="shared" si="196"/>
        <v>080</v>
      </c>
      <c r="S763" s="2625">
        <f t="shared" si="199"/>
        <v>25200</v>
      </c>
      <c r="T763" s="2747">
        <f>IF(L763&gt;0,IF(input!$B$2=$O$1,(((L763+Y763/22)+(L763+Y763/22)*$AG763+$X763)*$P$11+$M$7)/1000,(((L763+Y763/22)+(L763+Y763/22)*O763+(L763+Y763/22)*$AG763+$X763)*$P$11+$M$7)/1000),0)</f>
        <v>22508.644800000002</v>
      </c>
      <c r="U763" s="2747">
        <f t="shared" si="195"/>
        <v>24171.515151515152</v>
      </c>
      <c r="V763" s="1229"/>
      <c r="W763" s="1231" t="str">
        <f t="shared" si="200"/>
        <v>CIF</v>
      </c>
      <c r="X763" s="1230">
        <f t="shared" si="198"/>
        <v>0</v>
      </c>
      <c r="Y763" s="2625">
        <f t="shared" si="189"/>
        <v>0</v>
      </c>
      <c r="Z763" s="3208">
        <f t="shared" si="197"/>
        <v>838.18181818181813</v>
      </c>
      <c r="AA763" s="1220" t="s">
        <v>2845</v>
      </c>
      <c r="AB763" s="1220" t="s">
        <v>1398</v>
      </c>
      <c r="AC763" s="251" t="str">
        <f t="shared" si="190"/>
        <v>080gsm WOODFREE SCG (THAI PAPER MILL)</v>
      </c>
      <c r="AD763" s="2746">
        <f>IF(L763&gt;0,IF(input!$B$2=$O$1,(((M763)+(M763)*$M$10)*$P$11)/1000,(((M763)+(M763)*O763+(M763)*$M$10)*$P$11)/1000),0)</f>
        <v>968.08319999999992</v>
      </c>
      <c r="AE763" s="2746">
        <f>IF(L763&gt;0,IF(input!$B$2=$O$1,(((N763)+(N763)*$M$10)*$P$11)/1000,(((N763)+(N763)*O763+(N763)*$M$10)*$P$11)/1000),0)</f>
        <v>605.05200000000002</v>
      </c>
      <c r="AF763" s="136" t="str">
        <f t="shared" si="191"/>
        <v>FSC</v>
      </c>
      <c r="AG763" s="2628">
        <f t="shared" si="192"/>
        <v>1.3866666666666668E-2</v>
      </c>
      <c r="AH763" s="1266">
        <v>0.1</v>
      </c>
    </row>
    <row r="764" spans="1:34" ht="12.75">
      <c r="A764" s="2199">
        <f t="shared" si="194"/>
        <v>752</v>
      </c>
      <c r="B764" s="2200" t="s">
        <v>2799</v>
      </c>
      <c r="C764" s="2743">
        <v>25200</v>
      </c>
      <c r="D764" s="2743">
        <v>900</v>
      </c>
      <c r="E764" s="2949">
        <v>0</v>
      </c>
      <c r="F764" s="2200">
        <v>25</v>
      </c>
      <c r="G764" s="2200" t="s">
        <v>2038</v>
      </c>
      <c r="H764" s="2200" t="s">
        <v>1057</v>
      </c>
      <c r="I764" s="2742">
        <v>40</v>
      </c>
      <c r="J764" s="2742"/>
      <c r="K764" s="2752">
        <v>52</v>
      </c>
      <c r="L764" s="2745">
        <f t="shared" si="183"/>
        <v>900</v>
      </c>
      <c r="M764" s="2745">
        <f t="shared" si="186"/>
        <v>40</v>
      </c>
      <c r="N764" s="2745">
        <f t="shared" si="187"/>
        <v>25</v>
      </c>
      <c r="O764" s="1232">
        <f t="shared" si="188"/>
        <v>0</v>
      </c>
      <c r="P764" s="1227" t="str">
        <f t="shared" si="193"/>
        <v>090gsm WOODFREE SCG (THAI PAPER MILL)</v>
      </c>
      <c r="Q764" s="254">
        <v>0.1105</v>
      </c>
      <c r="R764" s="1228" t="str">
        <f t="shared" si="196"/>
        <v>090</v>
      </c>
      <c r="S764" s="2625">
        <f t="shared" si="199"/>
        <v>25200</v>
      </c>
      <c r="T764" s="2747">
        <f>IF(L764&gt;0,IF(input!$B$2=$O$1,(((L764+Y764/22)+(L764+Y764/22)*$AG764+$X764)*$P$11+$M$7)/1000,(((L764+Y764/22)+(L764+Y764/22)*O764+(L764+Y764/22)*$AG764+$X764)*$P$11+$M$7)/1000),0)</f>
        <v>22508.644800000002</v>
      </c>
      <c r="U764" s="2747">
        <f t="shared" si="195"/>
        <v>24171.515151515152</v>
      </c>
      <c r="V764" s="1229"/>
      <c r="W764" s="1231" t="str">
        <f t="shared" si="200"/>
        <v>CIF</v>
      </c>
      <c r="X764" s="1230">
        <f t="shared" si="198"/>
        <v>0</v>
      </c>
      <c r="Y764" s="2625">
        <f t="shared" si="189"/>
        <v>0</v>
      </c>
      <c r="Z764" s="3208">
        <f t="shared" si="197"/>
        <v>838.18181818181813</v>
      </c>
      <c r="AA764" s="1220" t="s">
        <v>2845</v>
      </c>
      <c r="AB764" s="1220" t="s">
        <v>1398</v>
      </c>
      <c r="AC764" s="251" t="str">
        <f t="shared" si="190"/>
        <v>090gsm WOODFREE SCG (THAI PAPER MILL)</v>
      </c>
      <c r="AD764" s="2746">
        <f>IF(L764&gt;0,IF(input!$B$2=$O$1,(((M764)+(M764)*$M$10)*$P$11)/1000,(((M764)+(M764)*O764+(M764)*$M$10)*$P$11)/1000),0)</f>
        <v>968.08319999999992</v>
      </c>
      <c r="AE764" s="2746">
        <f>IF(L764&gt;0,IF(input!$B$2=$O$1,(((N764)+(N764)*$M$10)*$P$11)/1000,(((N764)+(N764)*O764+(N764)*$M$10)*$P$11)/1000),0)</f>
        <v>605.05200000000002</v>
      </c>
      <c r="AF764" s="136" t="str">
        <f t="shared" si="191"/>
        <v>FSC</v>
      </c>
      <c r="AG764" s="2628">
        <f t="shared" si="192"/>
        <v>1.3866666666666668E-2</v>
      </c>
      <c r="AH764" s="1266">
        <v>0.1</v>
      </c>
    </row>
    <row r="765" spans="1:34" ht="12.75">
      <c r="A765" s="2199">
        <f t="shared" si="194"/>
        <v>753</v>
      </c>
      <c r="B765" s="2200" t="s">
        <v>2800</v>
      </c>
      <c r="C765" s="2743">
        <v>25200</v>
      </c>
      <c r="D765" s="2743">
        <v>900</v>
      </c>
      <c r="E765" s="2949">
        <v>0</v>
      </c>
      <c r="F765" s="2200">
        <v>25</v>
      </c>
      <c r="G765" s="2200" t="s">
        <v>2038</v>
      </c>
      <c r="H765" s="2200" t="s">
        <v>1057</v>
      </c>
      <c r="I765" s="2742">
        <v>40</v>
      </c>
      <c r="J765" s="2742"/>
      <c r="K765" s="2752">
        <v>52</v>
      </c>
      <c r="L765" s="2745">
        <f t="shared" si="183"/>
        <v>900</v>
      </c>
      <c r="M765" s="2745">
        <f t="shared" si="186"/>
        <v>40</v>
      </c>
      <c r="N765" s="2745">
        <f t="shared" si="187"/>
        <v>25</v>
      </c>
      <c r="O765" s="1232">
        <f t="shared" si="188"/>
        <v>0</v>
      </c>
      <c r="P765" s="1227" t="str">
        <f t="shared" si="193"/>
        <v>100gsm WOODFREE SCG (THAI PAPER MILL)</v>
      </c>
      <c r="Q765" s="254">
        <v>0.125</v>
      </c>
      <c r="R765" s="1228" t="str">
        <f t="shared" si="196"/>
        <v>100</v>
      </c>
      <c r="S765" s="2625">
        <f t="shared" si="199"/>
        <v>25200</v>
      </c>
      <c r="T765" s="2747">
        <f>IF(L765&gt;0,IF(input!$B$2=$O$1,(((L765+Y765/22)+(L765+Y765/22)*$AG765+$X765)*$P$11+$M$7)/1000,(((L765+Y765/22)+(L765+Y765/22)*O765+(L765+Y765/22)*$AG765+$X765)*$P$11+$M$7)/1000),0)</f>
        <v>22508.644800000002</v>
      </c>
      <c r="U765" s="2747">
        <f t="shared" si="195"/>
        <v>24171.515151515152</v>
      </c>
      <c r="V765" s="1229"/>
      <c r="W765" s="1231" t="str">
        <f t="shared" si="200"/>
        <v>CIF</v>
      </c>
      <c r="X765" s="1230">
        <f t="shared" si="198"/>
        <v>0</v>
      </c>
      <c r="Y765" s="2625">
        <f t="shared" si="189"/>
        <v>0</v>
      </c>
      <c r="Z765" s="3208">
        <f t="shared" si="197"/>
        <v>838.18181818181813</v>
      </c>
      <c r="AA765" s="1220" t="s">
        <v>2845</v>
      </c>
      <c r="AB765" s="1220" t="s">
        <v>1398</v>
      </c>
      <c r="AC765" s="251" t="str">
        <f t="shared" si="190"/>
        <v>100gsm WOODFREE SCG (THAI PAPER MILL)</v>
      </c>
      <c r="AD765" s="2746">
        <f>IF(L765&gt;0,IF(input!$B$2=$O$1,(((M765)+(M765)*$M$10)*$P$11)/1000,(((M765)+(M765)*O765+(M765)*$M$10)*$P$11)/1000),0)</f>
        <v>968.08319999999992</v>
      </c>
      <c r="AE765" s="2746">
        <f>IF(L765&gt;0,IF(input!$B$2=$O$1,(((N765)+(N765)*$M$10)*$P$11)/1000,(((N765)+(N765)*O765+(N765)*$M$10)*$P$11)/1000),0)</f>
        <v>605.05200000000002</v>
      </c>
      <c r="AF765" s="136" t="str">
        <f t="shared" si="191"/>
        <v>FSC</v>
      </c>
      <c r="AG765" s="2628">
        <f t="shared" si="192"/>
        <v>1.3866666666666668E-2</v>
      </c>
      <c r="AH765" s="1266">
        <v>0.1</v>
      </c>
    </row>
    <row r="766" spans="1:34" ht="12.75">
      <c r="A766" s="2199">
        <f t="shared" si="194"/>
        <v>754</v>
      </c>
      <c r="B766" s="2200" t="s">
        <v>2801</v>
      </c>
      <c r="C766" s="2743">
        <v>24400</v>
      </c>
      <c r="D766" s="2743">
        <v>900</v>
      </c>
      <c r="E766" s="2949">
        <v>0</v>
      </c>
      <c r="F766" s="2200">
        <v>25</v>
      </c>
      <c r="G766" s="2200" t="s">
        <v>2038</v>
      </c>
      <c r="H766" s="2200" t="s">
        <v>1057</v>
      </c>
      <c r="I766" s="2742">
        <v>40</v>
      </c>
      <c r="J766" s="2742"/>
      <c r="K766" s="2752">
        <v>52</v>
      </c>
      <c r="L766" s="2745">
        <f t="shared" si="183"/>
        <v>900</v>
      </c>
      <c r="M766" s="2745">
        <f t="shared" si="186"/>
        <v>40</v>
      </c>
      <c r="N766" s="2745">
        <f t="shared" si="187"/>
        <v>25</v>
      </c>
      <c r="O766" s="1232">
        <f t="shared" si="188"/>
        <v>0</v>
      </c>
      <c r="P766" s="1227" t="str">
        <f t="shared" si="193"/>
        <v>120gsm WOODFREE SCG (THAI PAPER MILL)</v>
      </c>
      <c r="Q766" s="254">
        <v>0.14500000000000002</v>
      </c>
      <c r="R766" s="1228" t="str">
        <f t="shared" si="196"/>
        <v>120</v>
      </c>
      <c r="S766" s="2625">
        <f t="shared" si="199"/>
        <v>24400</v>
      </c>
      <c r="T766" s="2747">
        <f>IF(L766&gt;0,IF(input!$B$2=$O$1,(((L766+Y766/22)+(L766+Y766/22)*$AG766+$X766)*$P$11+$M$7)/1000,(((L766+Y766/22)+(L766+Y766/22)*O766+(L766+Y766/22)*$AG766+$X766)*$P$11+$M$7)/1000),0)</f>
        <v>22508.644800000002</v>
      </c>
      <c r="U766" s="2747">
        <f t="shared" si="195"/>
        <v>23430.774410774411</v>
      </c>
      <c r="V766" s="1229"/>
      <c r="W766" s="1231" t="str">
        <f t="shared" si="200"/>
        <v>CIF</v>
      </c>
      <c r="X766" s="1230">
        <f t="shared" si="198"/>
        <v>0</v>
      </c>
      <c r="Y766" s="2625">
        <f t="shared" si="189"/>
        <v>0</v>
      </c>
      <c r="Z766" s="3208">
        <f t="shared" si="197"/>
        <v>838.18181818181813</v>
      </c>
      <c r="AA766" s="1220" t="s">
        <v>2845</v>
      </c>
      <c r="AB766" s="1220" t="s">
        <v>1398</v>
      </c>
      <c r="AC766" s="251" t="str">
        <f t="shared" si="190"/>
        <v>120gsm WOODFREE SCG (THAI PAPER MILL)</v>
      </c>
      <c r="AD766" s="2746">
        <f>IF(L766&gt;0,IF(input!$B$2=$O$1,(((M766)+(M766)*$M$10)*$P$11)/1000,(((M766)+(M766)*O766+(M766)*$M$10)*$P$11)/1000),0)</f>
        <v>968.08319999999992</v>
      </c>
      <c r="AE766" s="2746">
        <f>IF(L766&gt;0,IF(input!$B$2=$O$1,(((N766)+(N766)*$M$10)*$P$11)/1000,(((N766)+(N766)*O766+(N766)*$M$10)*$P$11)/1000),0)</f>
        <v>605.05200000000002</v>
      </c>
      <c r="AF766" s="136" t="str">
        <f t="shared" si="191"/>
        <v>FSC</v>
      </c>
      <c r="AG766" s="2628">
        <f t="shared" si="192"/>
        <v>1.3866666666666668E-2</v>
      </c>
      <c r="AH766" s="1266">
        <v>0.1</v>
      </c>
    </row>
    <row r="767" spans="1:34" ht="12.75">
      <c r="A767" s="2199">
        <f t="shared" si="194"/>
        <v>755</v>
      </c>
      <c r="B767" s="2200" t="s">
        <v>2802</v>
      </c>
      <c r="C767" s="2743">
        <v>0</v>
      </c>
      <c r="D767" s="2743">
        <v>900</v>
      </c>
      <c r="E767" s="2949">
        <v>0</v>
      </c>
      <c r="F767" s="2200">
        <v>25</v>
      </c>
      <c r="G767" s="2200" t="s">
        <v>2038</v>
      </c>
      <c r="H767" s="2200" t="s">
        <v>1057</v>
      </c>
      <c r="I767" s="2742">
        <v>40</v>
      </c>
      <c r="J767" s="2742"/>
      <c r="K767" s="2752">
        <v>52</v>
      </c>
      <c r="L767" s="2745">
        <f t="shared" si="183"/>
        <v>900</v>
      </c>
      <c r="M767" s="2745">
        <f t="shared" si="186"/>
        <v>40</v>
      </c>
      <c r="N767" s="2745">
        <f t="shared" si="187"/>
        <v>25</v>
      </c>
      <c r="O767" s="1232">
        <f t="shared" si="188"/>
        <v>0</v>
      </c>
      <c r="P767" s="1227" t="str">
        <f t="shared" si="193"/>
        <v>140gsm WOODFREE SCG (THAI PAPER MILL)</v>
      </c>
      <c r="Q767" s="254">
        <v>0.16499999999999998</v>
      </c>
      <c r="R767" s="1228" t="str">
        <f t="shared" si="196"/>
        <v>140</v>
      </c>
      <c r="S767" s="2625">
        <f t="shared" si="199"/>
        <v>0</v>
      </c>
      <c r="T767" s="2747">
        <f>IF(L767&gt;0,IF(input!$B$2=$O$1,(((L767+Y767/22)+(L767+Y767/22)*$AG767+$X767)*$P$11+$M$7)/1000,(((L767+Y767/22)+(L767+Y767/22)*O767+(L767+Y767/22)*$AG767+$X767)*$P$11+$M$7)/1000),0)</f>
        <v>22508.644800000002</v>
      </c>
      <c r="U767" s="2747">
        <f t="shared" si="195"/>
        <v>0</v>
      </c>
      <c r="V767" s="1229"/>
      <c r="W767" s="1231" t="str">
        <f t="shared" si="200"/>
        <v>CIF</v>
      </c>
      <c r="X767" s="1230">
        <f t="shared" si="198"/>
        <v>0</v>
      </c>
      <c r="Y767" s="2625">
        <f t="shared" si="189"/>
        <v>0</v>
      </c>
      <c r="Z767" s="3208">
        <f t="shared" si="197"/>
        <v>838.18181818181813</v>
      </c>
      <c r="AA767" s="1220" t="s">
        <v>2845</v>
      </c>
      <c r="AB767" s="1220" t="s">
        <v>1398</v>
      </c>
      <c r="AC767" s="251" t="str">
        <f t="shared" si="190"/>
        <v>140gsm WOODFREE SCG (THAI PAPER MILL)</v>
      </c>
      <c r="AD767" s="2746">
        <f>IF(L767&gt;0,IF(input!$B$2=$O$1,(((M767)+(M767)*$M$10)*$P$11)/1000,(((M767)+(M767)*O767+(M767)*$M$10)*$P$11)/1000),0)</f>
        <v>968.08319999999992</v>
      </c>
      <c r="AE767" s="2746">
        <f>IF(L767&gt;0,IF(input!$B$2=$O$1,(((N767)+(N767)*$M$10)*$P$11)/1000,(((N767)+(N767)*O767+(N767)*$M$10)*$P$11)/1000),0)</f>
        <v>605.05200000000002</v>
      </c>
      <c r="AF767" s="136" t="str">
        <f t="shared" si="191"/>
        <v>FSC</v>
      </c>
      <c r="AG767" s="2628">
        <f t="shared" si="192"/>
        <v>1.3866666666666668E-2</v>
      </c>
      <c r="AH767" s="1266">
        <v>0.1</v>
      </c>
    </row>
    <row r="768" spans="1:34" ht="12.75">
      <c r="A768" s="2199">
        <f t="shared" si="194"/>
        <v>756</v>
      </c>
      <c r="B768" s="2200" t="s">
        <v>2120</v>
      </c>
      <c r="C768" s="2743">
        <v>0</v>
      </c>
      <c r="D768" s="2743">
        <v>950</v>
      </c>
      <c r="E768" s="2949">
        <v>0</v>
      </c>
      <c r="F768" s="2200">
        <v>30</v>
      </c>
      <c r="G768" s="2200" t="s">
        <v>2038</v>
      </c>
      <c r="H768" s="2200" t="s">
        <v>2054</v>
      </c>
      <c r="I768" s="2742">
        <v>30</v>
      </c>
      <c r="J768" s="2742"/>
      <c r="K768" s="2752">
        <v>60</v>
      </c>
      <c r="L768" s="2745">
        <f t="shared" si="183"/>
        <v>950</v>
      </c>
      <c r="M768" s="2745">
        <f t="shared" si="186"/>
        <v>30</v>
      </c>
      <c r="N768" s="2745">
        <f t="shared" si="187"/>
        <v>30</v>
      </c>
      <c r="O768" s="1232">
        <f t="shared" si="188"/>
        <v>0</v>
      </c>
      <c r="P768" s="1227" t="str">
        <f t="shared" si="193"/>
        <v>060gsm WOODFREE UPM FINE (China)</v>
      </c>
      <c r="Q768" s="254">
        <v>7.5999999999999998E-2</v>
      </c>
      <c r="R768" s="1228" t="str">
        <f t="shared" si="196"/>
        <v>060</v>
      </c>
      <c r="S768" s="2625">
        <f t="shared" si="199"/>
        <v>0</v>
      </c>
      <c r="T768" s="2747">
        <f>IF(L768&gt;0,IF(input!$B$2=$O$1,(((L768+Y768/22)+(L768+Y768/22)*$AG768+$X768)*$P$11+$M$7)/1000,(((L768+Y768/22)+(L768+Y768/22)*O768+(L768+Y768/22)*$AG768+$X768)*$P$11+$M$7)/1000),0)</f>
        <v>23791.275807000002</v>
      </c>
      <c r="U768" s="2747">
        <f t="shared" si="195"/>
        <v>0</v>
      </c>
      <c r="V768" s="1229"/>
      <c r="W768" s="1231" t="str">
        <f t="shared" si="200"/>
        <v>CPT</v>
      </c>
      <c r="X768" s="1230">
        <f t="shared" si="198"/>
        <v>0.70069999999999999</v>
      </c>
      <c r="Y768" s="2625">
        <f t="shared" si="189"/>
        <v>0</v>
      </c>
      <c r="Z768" s="3208">
        <f t="shared" si="197"/>
        <v>838.18181818181813</v>
      </c>
      <c r="AA768" s="1220" t="s">
        <v>2132</v>
      </c>
      <c r="AB768" s="1220" t="s">
        <v>1398</v>
      </c>
      <c r="AC768" s="251" t="str">
        <f t="shared" si="190"/>
        <v>060gsm WOODFREE UPM FINE (China)</v>
      </c>
      <c r="AD768" s="2746">
        <f>IF(L768&gt;0,IF(input!$B$2=$O$1,(((M768)+(M768)*$M$10)*$P$11)/1000,(((M768)+(M768)*O768+(M768)*$M$10)*$P$11)/1000),0)</f>
        <v>726.06239999999991</v>
      </c>
      <c r="AE768" s="2746">
        <f>IF(L768&gt;0,IF(input!$B$2=$O$1,(((N768)+(N768)*$M$10)*$P$11)/1000,(((N768)+(N768)*O768+(N768)*$M$10)*$P$11)/1000),0)</f>
        <v>726.06239999999991</v>
      </c>
      <c r="AF768" s="136" t="str">
        <f t="shared" si="191"/>
        <v>FSC</v>
      </c>
      <c r="AG768" s="2628">
        <f t="shared" si="192"/>
        <v>1.6E-2</v>
      </c>
      <c r="AH768" s="1266">
        <v>0.1</v>
      </c>
    </row>
    <row r="769" spans="1:34" ht="12.75">
      <c r="A769" s="2199">
        <f t="shared" si="194"/>
        <v>757</v>
      </c>
      <c r="B769" s="2200" t="s">
        <v>2121</v>
      </c>
      <c r="C769" s="2743">
        <v>0</v>
      </c>
      <c r="D769" s="2743">
        <v>930</v>
      </c>
      <c r="E769" s="2949">
        <v>0</v>
      </c>
      <c r="F769" s="2200">
        <v>30</v>
      </c>
      <c r="G769" s="2200" t="s">
        <v>2038</v>
      </c>
      <c r="H769" s="2200" t="s">
        <v>2054</v>
      </c>
      <c r="I769" s="2742">
        <v>30</v>
      </c>
      <c r="J769" s="2742"/>
      <c r="K769" s="2752">
        <v>60</v>
      </c>
      <c r="L769" s="2745">
        <f t="shared" ref="L769:L817" si="201">$D769</f>
        <v>930</v>
      </c>
      <c r="M769" s="2745">
        <f t="shared" si="186"/>
        <v>30</v>
      </c>
      <c r="N769" s="2745">
        <f t="shared" si="187"/>
        <v>30</v>
      </c>
      <c r="O769" s="1232">
        <f t="shared" si="188"/>
        <v>0</v>
      </c>
      <c r="P769" s="1227" t="str">
        <f t="shared" si="193"/>
        <v>070gsm WOODFREE UPM FINE (China)</v>
      </c>
      <c r="Q769" s="254">
        <v>8.6999999999999994E-2</v>
      </c>
      <c r="R769" s="1228" t="str">
        <f t="shared" si="196"/>
        <v>070</v>
      </c>
      <c r="S769" s="2625">
        <f t="shared" si="199"/>
        <v>0</v>
      </c>
      <c r="T769" s="2747">
        <f>IF(L769&gt;0,IF(input!$B$2=$O$1,(((L769+Y769/22)+(L769+Y769/22)*$AG769+$X769)*$P$11+$M$7)/1000,(((L769+Y769/22)+(L769+Y769/22)*O769+(L769+Y769/22)*$AG769+$X769)*$P$11+$M$7)/1000),0)</f>
        <v>23303.049264000001</v>
      </c>
      <c r="U769" s="2747">
        <f t="shared" si="195"/>
        <v>0</v>
      </c>
      <c r="V769" s="1229"/>
      <c r="W769" s="1231" t="str">
        <f t="shared" si="200"/>
        <v>CPT</v>
      </c>
      <c r="X769" s="1230">
        <f t="shared" si="198"/>
        <v>0.68640000000000001</v>
      </c>
      <c r="Y769" s="2625">
        <f t="shared" si="189"/>
        <v>0</v>
      </c>
      <c r="Z769" s="3208">
        <f t="shared" si="197"/>
        <v>838.18181818181813</v>
      </c>
      <c r="AA769" s="1220" t="s">
        <v>2132</v>
      </c>
      <c r="AB769" s="1220" t="s">
        <v>1398</v>
      </c>
      <c r="AC769" s="251" t="str">
        <f t="shared" si="190"/>
        <v>070gsm WOODFREE UPM FINE (China)</v>
      </c>
      <c r="AD769" s="2746">
        <f>IF(L769&gt;0,IF(input!$B$2=$O$1,(((M769)+(M769)*$M$10)*$P$11)/1000,(((M769)+(M769)*O769+(M769)*$M$10)*$P$11)/1000),0)</f>
        <v>726.06239999999991</v>
      </c>
      <c r="AE769" s="2746">
        <f>IF(L769&gt;0,IF(input!$B$2=$O$1,(((N769)+(N769)*$M$10)*$P$11)/1000,(((N769)+(N769)*O769+(N769)*$M$10)*$P$11)/1000),0)</f>
        <v>726.06239999999991</v>
      </c>
      <c r="AF769" s="136" t="str">
        <f t="shared" si="191"/>
        <v>FSC</v>
      </c>
      <c r="AG769" s="2628">
        <f t="shared" si="192"/>
        <v>1.6E-2</v>
      </c>
      <c r="AH769" s="1266">
        <v>0.1</v>
      </c>
    </row>
    <row r="770" spans="1:34" ht="12.75">
      <c r="A770" s="2199">
        <f t="shared" si="194"/>
        <v>758</v>
      </c>
      <c r="B770" s="2200" t="s">
        <v>2122</v>
      </c>
      <c r="C770" s="2743">
        <v>0</v>
      </c>
      <c r="D770" s="2743">
        <v>930</v>
      </c>
      <c r="E770" s="2949">
        <v>0</v>
      </c>
      <c r="F770" s="2200">
        <v>30</v>
      </c>
      <c r="G770" s="2200" t="s">
        <v>2038</v>
      </c>
      <c r="H770" s="2200" t="s">
        <v>2054</v>
      </c>
      <c r="I770" s="2742">
        <v>30</v>
      </c>
      <c r="J770" s="2742"/>
      <c r="K770" s="2752">
        <v>60</v>
      </c>
      <c r="L770" s="2745">
        <f t="shared" si="201"/>
        <v>930</v>
      </c>
      <c r="M770" s="2745">
        <f t="shared" ref="M770:M811" si="202">I770</f>
        <v>30</v>
      </c>
      <c r="N770" s="2745">
        <f t="shared" ref="N770:N816" si="203">$F770</f>
        <v>30</v>
      </c>
      <c r="O770" s="1232">
        <f t="shared" ref="O770:O816" si="204">$E770</f>
        <v>0</v>
      </c>
      <c r="P770" s="1227" t="str">
        <f t="shared" si="193"/>
        <v>080gsm WOODFREE UPM FINE (China)</v>
      </c>
      <c r="Q770" s="254">
        <v>9.9000000000000005E-2</v>
      </c>
      <c r="R770" s="1228" t="str">
        <f t="shared" si="196"/>
        <v>080</v>
      </c>
      <c r="S770" s="2625">
        <f t="shared" si="199"/>
        <v>0</v>
      </c>
      <c r="T770" s="2747">
        <f>IF(L770&gt;0,IF(input!$B$2=$O$1,(((L770+Y770/22)+(L770+Y770/22)*$AG770+$X770)*$P$11+$M$7)/1000,(((L770+Y770/22)+(L770+Y770/22)*O770+(L770+Y770/22)*$AG770+$X770)*$P$11+$M$7)/1000),0)</f>
        <v>23303.049264000001</v>
      </c>
      <c r="U770" s="2747">
        <f t="shared" si="195"/>
        <v>0</v>
      </c>
      <c r="V770" s="1229"/>
      <c r="W770" s="1231" t="str">
        <f t="shared" si="200"/>
        <v>CPT</v>
      </c>
      <c r="X770" s="1230">
        <f t="shared" si="198"/>
        <v>0.68640000000000001</v>
      </c>
      <c r="Y770" s="2625">
        <f t="shared" si="189"/>
        <v>0</v>
      </c>
      <c r="Z770" s="3208">
        <f t="shared" si="197"/>
        <v>838.18181818181813</v>
      </c>
      <c r="AA770" s="1220" t="s">
        <v>2132</v>
      </c>
      <c r="AB770" s="1220" t="s">
        <v>1398</v>
      </c>
      <c r="AC770" s="251" t="str">
        <f t="shared" si="190"/>
        <v>080gsm WOODFREE UPM FINE (China)</v>
      </c>
      <c r="AD770" s="2746">
        <f>IF(L770&gt;0,IF(input!$B$2=$O$1,(((M770)+(M770)*$M$10)*$P$11)/1000,(((M770)+(M770)*O770+(M770)*$M$10)*$P$11)/1000),0)</f>
        <v>726.06239999999991</v>
      </c>
      <c r="AE770" s="2746">
        <f>IF(L770&gt;0,IF(input!$B$2=$O$1,(((N770)+(N770)*$M$10)*$P$11)/1000,(((N770)+(N770)*O770+(N770)*$M$10)*$P$11)/1000),0)</f>
        <v>726.06239999999991</v>
      </c>
      <c r="AF770" s="136" t="str">
        <f t="shared" si="191"/>
        <v>FSC</v>
      </c>
      <c r="AG770" s="2628">
        <f t="shared" si="192"/>
        <v>1.6E-2</v>
      </c>
      <c r="AH770" s="1266">
        <v>0.1</v>
      </c>
    </row>
    <row r="771" spans="1:34" ht="12.75">
      <c r="A771" s="2199">
        <f t="shared" si="194"/>
        <v>759</v>
      </c>
      <c r="B771" s="2200" t="s">
        <v>2123</v>
      </c>
      <c r="C771" s="2743">
        <v>0</v>
      </c>
      <c r="D771" s="2743">
        <v>930</v>
      </c>
      <c r="E771" s="2949">
        <v>0</v>
      </c>
      <c r="F771" s="2200">
        <v>30</v>
      </c>
      <c r="G771" s="2200" t="s">
        <v>2038</v>
      </c>
      <c r="H771" s="2200" t="s">
        <v>2054</v>
      </c>
      <c r="I771" s="2742">
        <v>30</v>
      </c>
      <c r="J771" s="2742"/>
      <c r="K771" s="2752">
        <v>60</v>
      </c>
      <c r="L771" s="2745">
        <f t="shared" si="201"/>
        <v>930</v>
      </c>
      <c r="M771" s="2745">
        <f t="shared" si="202"/>
        <v>30</v>
      </c>
      <c r="N771" s="2745">
        <f t="shared" si="203"/>
        <v>30</v>
      </c>
      <c r="O771" s="1232">
        <f t="shared" si="204"/>
        <v>0</v>
      </c>
      <c r="P771" s="1227" t="str">
        <f t="shared" si="193"/>
        <v>090gsm WOODFREE UPM FINE (China)</v>
      </c>
      <c r="Q771" s="254">
        <v>0.109</v>
      </c>
      <c r="R771" s="1228" t="str">
        <f t="shared" si="196"/>
        <v>090</v>
      </c>
      <c r="S771" s="2625">
        <f t="shared" ref="S771:S786" si="205">C771</f>
        <v>0</v>
      </c>
      <c r="T771" s="2747">
        <f>IF(L771&gt;0,IF(input!$B$2=$O$1,(((L771+Y771/22)+(L771+Y771/22)*$AG771+$X771)*$P$11+$M$7)/1000,(((L771+Y771/22)+(L771+Y771/22)*O771+(L771+Y771/22)*$AG771+$X771)*$P$11+$M$7)/1000),0)</f>
        <v>23303.049264000001</v>
      </c>
      <c r="U771" s="2747">
        <f t="shared" si="195"/>
        <v>0</v>
      </c>
      <c r="V771" s="1229"/>
      <c r="W771" s="1231" t="str">
        <f t="shared" ref="W771:W786" si="206">H771</f>
        <v>CPT</v>
      </c>
      <c r="X771" s="1230">
        <f t="shared" si="198"/>
        <v>0.68640000000000001</v>
      </c>
      <c r="Y771" s="2625">
        <f t="shared" ref="Y771:Y811" si="207">J771</f>
        <v>0</v>
      </c>
      <c r="Z771" s="3208">
        <f t="shared" si="197"/>
        <v>838.18181818181813</v>
      </c>
      <c r="AA771" s="1220" t="s">
        <v>2132</v>
      </c>
      <c r="AB771" s="1220" t="s">
        <v>1398</v>
      </c>
      <c r="AC771" s="251" t="str">
        <f t="shared" ref="AC771:AC811" si="208">B771</f>
        <v>090gsm WOODFREE UPM FINE (China)</v>
      </c>
      <c r="AD771" s="2746">
        <f>IF(L771&gt;0,IF(input!$B$2=$O$1,(((M771)+(M771)*$M$10)*$P$11)/1000,(((M771)+(M771)*O771+(M771)*$M$10)*$P$11)/1000),0)</f>
        <v>726.06239999999991</v>
      </c>
      <c r="AE771" s="2746">
        <f>IF(L771&gt;0,IF(input!$B$2=$O$1,(((N771)+(N771)*$M$10)*$P$11)/1000,(((N771)+(N771)*O771+(N771)*$M$10)*$P$11)/1000),0)</f>
        <v>726.06239999999991</v>
      </c>
      <c r="AF771" s="136" t="str">
        <f t="shared" ref="AF771:AF811" si="209">G771</f>
        <v>FSC</v>
      </c>
      <c r="AG771" s="2628">
        <f t="shared" ref="AG771:AG811" si="210">K771*$M$10/30</f>
        <v>1.6E-2</v>
      </c>
      <c r="AH771" s="1266">
        <v>0.1</v>
      </c>
    </row>
    <row r="772" spans="1:34" ht="12.75">
      <c r="A772" s="2199">
        <f t="shared" si="194"/>
        <v>760</v>
      </c>
      <c r="B772" s="2200" t="s">
        <v>2124</v>
      </c>
      <c r="C772" s="2743">
        <v>0</v>
      </c>
      <c r="D772" s="2743">
        <v>930</v>
      </c>
      <c r="E772" s="2949">
        <v>0</v>
      </c>
      <c r="F772" s="2200">
        <v>30</v>
      </c>
      <c r="G772" s="2200" t="s">
        <v>2038</v>
      </c>
      <c r="H772" s="2200" t="s">
        <v>2054</v>
      </c>
      <c r="I772" s="2742">
        <v>30</v>
      </c>
      <c r="J772" s="2742"/>
      <c r="K772" s="2752">
        <v>60</v>
      </c>
      <c r="L772" s="2745">
        <f t="shared" si="201"/>
        <v>930</v>
      </c>
      <c r="M772" s="2745">
        <f t="shared" si="202"/>
        <v>30</v>
      </c>
      <c r="N772" s="2745">
        <f t="shared" si="203"/>
        <v>30</v>
      </c>
      <c r="O772" s="1232">
        <f t="shared" si="204"/>
        <v>0</v>
      </c>
      <c r="P772" s="1227" t="str">
        <f t="shared" si="193"/>
        <v>100gsm WOODFREE UPM FINE (China)</v>
      </c>
      <c r="Q772" s="254">
        <v>0.11799999999999999</v>
      </c>
      <c r="R772" s="1228" t="str">
        <f t="shared" si="196"/>
        <v>100</v>
      </c>
      <c r="S772" s="2625">
        <f t="shared" si="205"/>
        <v>0</v>
      </c>
      <c r="T772" s="2747">
        <f>IF(L772&gt;0,IF(input!$B$2=$O$1,(((L772+Y772/22)+(L772+Y772/22)*$AG772+$X772)*$P$11+$M$7)/1000,(((L772+Y772/22)+(L772+Y772/22)*O772+(L772+Y772/22)*$AG772+$X772)*$P$11+$M$7)/1000),0)</f>
        <v>23303.049264000001</v>
      </c>
      <c r="U772" s="2747">
        <f t="shared" si="195"/>
        <v>0</v>
      </c>
      <c r="V772" s="1229"/>
      <c r="W772" s="1231" t="str">
        <f t="shared" si="206"/>
        <v>CPT</v>
      </c>
      <c r="X772" s="1230">
        <f t="shared" si="198"/>
        <v>0.68640000000000001</v>
      </c>
      <c r="Y772" s="2625">
        <f t="shared" si="207"/>
        <v>0</v>
      </c>
      <c r="Z772" s="3208">
        <f t="shared" si="197"/>
        <v>838.18181818181813</v>
      </c>
      <c r="AA772" s="1220" t="s">
        <v>2132</v>
      </c>
      <c r="AB772" s="1220" t="s">
        <v>1398</v>
      </c>
      <c r="AC772" s="251" t="str">
        <f t="shared" si="208"/>
        <v>100gsm WOODFREE UPM FINE (China)</v>
      </c>
      <c r="AD772" s="2746">
        <f>IF(L772&gt;0,IF(input!$B$2=$O$1,(((M772)+(M772)*$M$10)*$P$11)/1000,(((M772)+(M772)*O772+(M772)*$M$10)*$P$11)/1000),0)</f>
        <v>726.06239999999991</v>
      </c>
      <c r="AE772" s="2746">
        <f>IF(L772&gt;0,IF(input!$B$2=$O$1,(((N772)+(N772)*$M$10)*$P$11)/1000,(((N772)+(N772)*O772+(N772)*$M$10)*$P$11)/1000),0)</f>
        <v>726.06239999999991</v>
      </c>
      <c r="AF772" s="136" t="str">
        <f t="shared" si="209"/>
        <v>FSC</v>
      </c>
      <c r="AG772" s="2628">
        <f t="shared" si="210"/>
        <v>1.6E-2</v>
      </c>
      <c r="AH772" s="1266">
        <v>0.1</v>
      </c>
    </row>
    <row r="773" spans="1:34" ht="12.75">
      <c r="A773" s="2199">
        <f t="shared" si="194"/>
        <v>761</v>
      </c>
      <c r="B773" s="2200" t="s">
        <v>2125</v>
      </c>
      <c r="C773" s="2743">
        <v>0</v>
      </c>
      <c r="D773" s="2743">
        <v>930</v>
      </c>
      <c r="E773" s="2949">
        <v>0</v>
      </c>
      <c r="F773" s="2200">
        <v>30</v>
      </c>
      <c r="G773" s="2200" t="s">
        <v>2038</v>
      </c>
      <c r="H773" s="2200" t="s">
        <v>2054</v>
      </c>
      <c r="I773" s="2742">
        <v>30</v>
      </c>
      <c r="J773" s="2742"/>
      <c r="K773" s="2752">
        <v>60</v>
      </c>
      <c r="L773" s="2745">
        <f t="shared" si="201"/>
        <v>930</v>
      </c>
      <c r="M773" s="2745">
        <f t="shared" si="202"/>
        <v>30</v>
      </c>
      <c r="N773" s="2745">
        <f t="shared" si="203"/>
        <v>30</v>
      </c>
      <c r="O773" s="1232">
        <f t="shared" si="204"/>
        <v>0</v>
      </c>
      <c r="P773" s="1227" t="str">
        <f t="shared" si="193"/>
        <v>120gsm WOODFREE UPM FINE (China)</v>
      </c>
      <c r="Q773" s="254">
        <v>0.14000000000000001</v>
      </c>
      <c r="R773" s="1228" t="str">
        <f t="shared" si="196"/>
        <v>120</v>
      </c>
      <c r="S773" s="2625">
        <f t="shared" si="205"/>
        <v>0</v>
      </c>
      <c r="T773" s="2747">
        <f>IF(L773&gt;0,IF(input!$B$2=$O$1,(((L773+Y773/22)+(L773+Y773/22)*$AG773+$X773)*$P$11+$M$7)/1000,(((L773+Y773/22)+(L773+Y773/22)*O773+(L773+Y773/22)*$AG773+$X773)*$P$11+$M$7)/1000),0)</f>
        <v>23303.049264000001</v>
      </c>
      <c r="U773" s="2747">
        <f t="shared" si="195"/>
        <v>0</v>
      </c>
      <c r="V773" s="1229"/>
      <c r="W773" s="1231" t="str">
        <f t="shared" si="206"/>
        <v>CPT</v>
      </c>
      <c r="X773" s="1230">
        <f t="shared" si="198"/>
        <v>0.68640000000000001</v>
      </c>
      <c r="Y773" s="2625">
        <f t="shared" si="207"/>
        <v>0</v>
      </c>
      <c r="Z773" s="3208">
        <f t="shared" si="197"/>
        <v>838.18181818181813</v>
      </c>
      <c r="AA773" s="1220" t="s">
        <v>2132</v>
      </c>
      <c r="AB773" s="1220" t="s">
        <v>1398</v>
      </c>
      <c r="AC773" s="251" t="str">
        <f t="shared" si="208"/>
        <v>120gsm WOODFREE UPM FINE (China)</v>
      </c>
      <c r="AD773" s="2746">
        <f>IF(L773&gt;0,IF(input!$B$2=$O$1,(((M773)+(M773)*$M$10)*$P$11)/1000,(((M773)+(M773)*O773+(M773)*$M$10)*$P$11)/1000),0)</f>
        <v>726.06239999999991</v>
      </c>
      <c r="AE773" s="2746">
        <f>IF(L773&gt;0,IF(input!$B$2=$O$1,(((N773)+(N773)*$M$10)*$P$11)/1000,(((N773)+(N773)*O773+(N773)*$M$10)*$P$11)/1000),0)</f>
        <v>726.06239999999991</v>
      </c>
      <c r="AF773" s="136" t="str">
        <f t="shared" si="209"/>
        <v>FSC</v>
      </c>
      <c r="AG773" s="2628">
        <f t="shared" si="210"/>
        <v>1.6E-2</v>
      </c>
      <c r="AH773" s="1266">
        <v>0.1</v>
      </c>
    </row>
    <row r="774" spans="1:34" ht="12.75">
      <c r="A774" s="2199">
        <f t="shared" si="194"/>
        <v>762</v>
      </c>
      <c r="B774" s="2200" t="s">
        <v>2803</v>
      </c>
      <c r="C774" s="2743">
        <v>0</v>
      </c>
      <c r="D774" s="2743">
        <v>0</v>
      </c>
      <c r="E774" s="2949">
        <v>0</v>
      </c>
      <c r="F774" s="2200">
        <v>20</v>
      </c>
      <c r="G774" s="2200" t="s">
        <v>127</v>
      </c>
      <c r="H774" s="2200" t="s">
        <v>1057</v>
      </c>
      <c r="I774" s="2742">
        <v>0</v>
      </c>
      <c r="J774" s="2742"/>
      <c r="K774" s="2752">
        <v>45</v>
      </c>
      <c r="L774" s="2745">
        <f t="shared" si="201"/>
        <v>0</v>
      </c>
      <c r="M774" s="2745">
        <f t="shared" si="202"/>
        <v>0</v>
      </c>
      <c r="N774" s="2745">
        <f t="shared" si="203"/>
        <v>20</v>
      </c>
      <c r="O774" s="1232">
        <f t="shared" si="204"/>
        <v>0</v>
      </c>
      <c r="P774" s="1227" t="str">
        <f t="shared" si="193"/>
        <v>060gsm WOODFREE CHENMING (China)</v>
      </c>
      <c r="Q774" s="254">
        <v>7.5999999999999998E-2</v>
      </c>
      <c r="R774" s="1228" t="str">
        <f t="shared" si="196"/>
        <v>060</v>
      </c>
      <c r="S774" s="2625">
        <f t="shared" si="205"/>
        <v>0</v>
      </c>
      <c r="T774" s="2747">
        <f>IF(L774&gt;0,IF(input!$B$2=$O$1,(((L774+Y774/22)+(L774+Y774/22)*$AG774+$X774)*$P$11+$M$7)/1000,(((L774+Y774/22)+(L774+Y774/22)*O774+(L774+Y774/22)*$AG774+$X774)*$P$11+$M$7)/1000),0)</f>
        <v>0</v>
      </c>
      <c r="U774" s="2747">
        <f t="shared" si="195"/>
        <v>0</v>
      </c>
      <c r="V774" s="1229"/>
      <c r="W774" s="1231" t="str">
        <f t="shared" si="206"/>
        <v>CIF</v>
      </c>
      <c r="X774" s="1230">
        <f t="shared" si="198"/>
        <v>0</v>
      </c>
      <c r="Y774" s="2625">
        <f t="shared" si="207"/>
        <v>0</v>
      </c>
      <c r="Z774" s="3208">
        <f t="shared" si="197"/>
        <v>838.18181818181813</v>
      </c>
      <c r="AA774" s="1220" t="s">
        <v>2846</v>
      </c>
      <c r="AB774" s="1220" t="s">
        <v>1398</v>
      </c>
      <c r="AC774" s="251" t="str">
        <f t="shared" si="208"/>
        <v>060gsm WOODFREE CHENMING (China)</v>
      </c>
      <c r="AD774" s="2746">
        <f>IF(L774&gt;0,IF(input!$B$2=$O$1,(((M774)+(M774)*$M$10)*$P$11)/1000,(((M774)+(M774)*O774+(M774)*$M$10)*$P$11)/1000),0)</f>
        <v>0</v>
      </c>
      <c r="AE774" s="2746">
        <f>IF(L774&gt;0,IF(input!$B$2=$O$1,(((N774)+(N774)*$M$10)*$P$11)/1000,(((N774)+(N774)*O774+(N774)*$M$10)*$P$11)/1000),0)</f>
        <v>0</v>
      </c>
      <c r="AF774" s="136" t="str">
        <f t="shared" si="209"/>
        <v>None</v>
      </c>
      <c r="AG774" s="2628">
        <f t="shared" si="210"/>
        <v>1.2E-2</v>
      </c>
      <c r="AH774" s="1266">
        <v>0.1</v>
      </c>
    </row>
    <row r="775" spans="1:34" ht="12.75">
      <c r="A775" s="2199">
        <f t="shared" si="194"/>
        <v>763</v>
      </c>
      <c r="B775" s="2200" t="s">
        <v>2804</v>
      </c>
      <c r="C775" s="2743">
        <v>0</v>
      </c>
      <c r="D775" s="2743">
        <v>0</v>
      </c>
      <c r="E775" s="2949">
        <v>0</v>
      </c>
      <c r="F775" s="2200">
        <v>20</v>
      </c>
      <c r="G775" s="2200" t="s">
        <v>127</v>
      </c>
      <c r="H775" s="2200" t="s">
        <v>1057</v>
      </c>
      <c r="I775" s="2742">
        <v>0</v>
      </c>
      <c r="J775" s="2742"/>
      <c r="K775" s="2752">
        <v>45</v>
      </c>
      <c r="L775" s="2745">
        <f t="shared" si="201"/>
        <v>0</v>
      </c>
      <c r="M775" s="2745">
        <f t="shared" si="202"/>
        <v>0</v>
      </c>
      <c r="N775" s="2745">
        <f t="shared" si="203"/>
        <v>20</v>
      </c>
      <c r="O775" s="1232">
        <f t="shared" si="204"/>
        <v>0</v>
      </c>
      <c r="P775" s="1227" t="str">
        <f t="shared" si="193"/>
        <v>070gsm WOODFREE CHENMING (China)</v>
      </c>
      <c r="Q775" s="254">
        <v>8.5999999999999993E-2</v>
      </c>
      <c r="R775" s="1228" t="str">
        <f t="shared" si="196"/>
        <v>070</v>
      </c>
      <c r="S775" s="2625">
        <f t="shared" si="205"/>
        <v>0</v>
      </c>
      <c r="T775" s="2747">
        <f>IF(L775&gt;0,IF(input!$B$2=$O$1,(((L775+Y775/22)+(L775+Y775/22)*$AG775+$X775)*$P$11+$M$7)/1000,(((L775+Y775/22)+(L775+Y775/22)*O775+(L775+Y775/22)*$AG775+$X775)*$P$11+$M$7)/1000),0)</f>
        <v>0</v>
      </c>
      <c r="U775" s="2747">
        <f t="shared" si="195"/>
        <v>0</v>
      </c>
      <c r="V775" s="1229"/>
      <c r="W775" s="1231" t="str">
        <f t="shared" si="206"/>
        <v>CIF</v>
      </c>
      <c r="X775" s="1230">
        <f t="shared" si="198"/>
        <v>0</v>
      </c>
      <c r="Y775" s="2625">
        <f t="shared" si="207"/>
        <v>0</v>
      </c>
      <c r="Z775" s="3208">
        <f t="shared" si="197"/>
        <v>838.18181818181813</v>
      </c>
      <c r="AA775" s="1220" t="s">
        <v>2846</v>
      </c>
      <c r="AB775" s="1220" t="s">
        <v>1398</v>
      </c>
      <c r="AC775" s="251" t="str">
        <f t="shared" si="208"/>
        <v>070gsm WOODFREE CHENMING (China)</v>
      </c>
      <c r="AD775" s="2746">
        <f>IF(L775&gt;0,IF(input!$B$2=$O$1,(((M775)+(M775)*$M$10)*$P$11)/1000,(((M775)+(M775)*O775+(M775)*$M$10)*$P$11)/1000),0)</f>
        <v>0</v>
      </c>
      <c r="AE775" s="2746">
        <f>IF(L775&gt;0,IF(input!$B$2=$O$1,(((N775)+(N775)*$M$10)*$P$11)/1000,(((N775)+(N775)*O775+(N775)*$M$10)*$P$11)/1000),0)</f>
        <v>0</v>
      </c>
      <c r="AF775" s="136" t="str">
        <f t="shared" si="209"/>
        <v>None</v>
      </c>
      <c r="AG775" s="2628">
        <f t="shared" si="210"/>
        <v>1.2E-2</v>
      </c>
      <c r="AH775" s="1266">
        <v>0.1</v>
      </c>
    </row>
    <row r="776" spans="1:34" ht="12.75">
      <c r="A776" s="2199">
        <f t="shared" si="194"/>
        <v>764</v>
      </c>
      <c r="B776" s="2200" t="s">
        <v>2805</v>
      </c>
      <c r="C776" s="2743">
        <v>0</v>
      </c>
      <c r="D776" s="2743">
        <v>0</v>
      </c>
      <c r="E776" s="2949">
        <v>0</v>
      </c>
      <c r="F776" s="2200">
        <v>20</v>
      </c>
      <c r="G776" s="2200" t="s">
        <v>127</v>
      </c>
      <c r="H776" s="2200" t="s">
        <v>1057</v>
      </c>
      <c r="I776" s="2742">
        <v>0</v>
      </c>
      <c r="J776" s="2742"/>
      <c r="K776" s="2752">
        <v>45</v>
      </c>
      <c r="L776" s="2745">
        <f t="shared" si="201"/>
        <v>0</v>
      </c>
      <c r="M776" s="2745">
        <f t="shared" si="202"/>
        <v>0</v>
      </c>
      <c r="N776" s="2745">
        <f t="shared" si="203"/>
        <v>20</v>
      </c>
      <c r="O776" s="1232">
        <f t="shared" si="204"/>
        <v>0</v>
      </c>
      <c r="P776" s="1227" t="str">
        <f t="shared" si="193"/>
        <v>075gsm WOODFREE CHENMING (China)</v>
      </c>
      <c r="Q776" s="254">
        <v>9.0999999999999998E-2</v>
      </c>
      <c r="R776" s="1228" t="str">
        <f t="shared" si="196"/>
        <v>075</v>
      </c>
      <c r="S776" s="2625">
        <f t="shared" si="205"/>
        <v>0</v>
      </c>
      <c r="T776" s="2747">
        <f>IF(L776&gt;0,IF(input!$B$2=$O$1,(((L776+Y776/22)+(L776+Y776/22)*$AG776+$X776)*$P$11+$M$7)/1000,(((L776+Y776/22)+(L776+Y776/22)*O776+(L776+Y776/22)*$AG776+$X776)*$P$11+$M$7)/1000),0)</f>
        <v>0</v>
      </c>
      <c r="U776" s="2747">
        <f t="shared" si="195"/>
        <v>0</v>
      </c>
      <c r="V776" s="1229"/>
      <c r="W776" s="1231" t="str">
        <f t="shared" si="206"/>
        <v>CIF</v>
      </c>
      <c r="X776" s="1230">
        <f t="shared" si="198"/>
        <v>0</v>
      </c>
      <c r="Y776" s="2625">
        <f t="shared" si="207"/>
        <v>0</v>
      </c>
      <c r="Z776" s="3208">
        <f t="shared" si="197"/>
        <v>838.18181818181813</v>
      </c>
      <c r="AA776" s="1220" t="s">
        <v>2846</v>
      </c>
      <c r="AB776" s="1220" t="s">
        <v>1398</v>
      </c>
      <c r="AC776" s="251" t="str">
        <f t="shared" si="208"/>
        <v>075gsm WOODFREE CHENMING (China)</v>
      </c>
      <c r="AD776" s="2746">
        <f>IF(L776&gt;0,IF(input!$B$2=$O$1,(((M776)+(M776)*$M$10)*$P$11)/1000,(((M776)+(M776)*O776+(M776)*$M$10)*$P$11)/1000),0)</f>
        <v>0</v>
      </c>
      <c r="AE776" s="2746">
        <f>IF(L776&gt;0,IF(input!$B$2=$O$1,(((N776)+(N776)*$M$10)*$P$11)/1000,(((N776)+(N776)*O776+(N776)*$M$10)*$P$11)/1000),0)</f>
        <v>0</v>
      </c>
      <c r="AF776" s="136" t="str">
        <f t="shared" si="209"/>
        <v>None</v>
      </c>
      <c r="AG776" s="2628">
        <f t="shared" si="210"/>
        <v>1.2E-2</v>
      </c>
      <c r="AH776" s="1266">
        <v>0.1</v>
      </c>
    </row>
    <row r="777" spans="1:34" ht="12.75">
      <c r="A777" s="2199">
        <f t="shared" si="194"/>
        <v>765</v>
      </c>
      <c r="B777" s="2200" t="s">
        <v>2806</v>
      </c>
      <c r="C777" s="2743">
        <v>0</v>
      </c>
      <c r="D777" s="2743">
        <v>0</v>
      </c>
      <c r="E777" s="2949">
        <v>0</v>
      </c>
      <c r="F777" s="2200">
        <v>20</v>
      </c>
      <c r="G777" s="2200" t="s">
        <v>127</v>
      </c>
      <c r="H777" s="2200" t="s">
        <v>1057</v>
      </c>
      <c r="I777" s="2742">
        <v>0</v>
      </c>
      <c r="J777" s="2742"/>
      <c r="K777" s="2752">
        <v>45</v>
      </c>
      <c r="L777" s="2745">
        <f t="shared" si="201"/>
        <v>0</v>
      </c>
      <c r="M777" s="2745">
        <f t="shared" si="202"/>
        <v>0</v>
      </c>
      <c r="N777" s="2745">
        <f t="shared" si="203"/>
        <v>20</v>
      </c>
      <c r="O777" s="1232">
        <f t="shared" si="204"/>
        <v>0</v>
      </c>
      <c r="P777" s="1227" t="str">
        <f t="shared" si="193"/>
        <v>080gsm WOODFREE CHENMING (China)</v>
      </c>
      <c r="Q777" s="254">
        <v>9.7000000000000003E-2</v>
      </c>
      <c r="R777" s="1228" t="str">
        <f t="shared" si="196"/>
        <v>080</v>
      </c>
      <c r="S777" s="2625">
        <f t="shared" si="205"/>
        <v>0</v>
      </c>
      <c r="T777" s="2747">
        <f>IF(L777&gt;0,IF(input!$B$2=$O$1,(((L777+Y777/22)+(L777+Y777/22)*$AG777+$X777)*$P$11+$M$7)/1000,(((L777+Y777/22)+(L777+Y777/22)*O777+(L777+Y777/22)*$AG777+$X777)*$P$11+$M$7)/1000),0)</f>
        <v>0</v>
      </c>
      <c r="U777" s="2747">
        <f t="shared" si="195"/>
        <v>0</v>
      </c>
      <c r="V777" s="1229"/>
      <c r="W777" s="1231" t="str">
        <f t="shared" si="206"/>
        <v>CIF</v>
      </c>
      <c r="X777" s="1230">
        <f t="shared" si="198"/>
        <v>0</v>
      </c>
      <c r="Y777" s="2625">
        <f t="shared" si="207"/>
        <v>0</v>
      </c>
      <c r="Z777" s="3208">
        <f t="shared" si="197"/>
        <v>838.18181818181813</v>
      </c>
      <c r="AA777" s="1220" t="s">
        <v>2846</v>
      </c>
      <c r="AB777" s="1220" t="s">
        <v>1398</v>
      </c>
      <c r="AC777" s="251" t="str">
        <f t="shared" si="208"/>
        <v>080gsm WOODFREE CHENMING (China)</v>
      </c>
      <c r="AD777" s="2746">
        <f>IF(L777&gt;0,IF(input!$B$2=$O$1,(((M777)+(M777)*$M$10)*$P$11)/1000,(((M777)+(M777)*O777+(M777)*$M$10)*$P$11)/1000),0)</f>
        <v>0</v>
      </c>
      <c r="AE777" s="2746">
        <f>IF(L777&gt;0,IF(input!$B$2=$O$1,(((N777)+(N777)*$M$10)*$P$11)/1000,(((N777)+(N777)*O777+(N777)*$M$10)*$P$11)/1000),0)</f>
        <v>0</v>
      </c>
      <c r="AF777" s="136" t="str">
        <f t="shared" si="209"/>
        <v>None</v>
      </c>
      <c r="AG777" s="2628">
        <f t="shared" si="210"/>
        <v>1.2E-2</v>
      </c>
      <c r="AH777" s="1266">
        <v>0.1</v>
      </c>
    </row>
    <row r="778" spans="1:34" ht="12.75">
      <c r="A778" s="2199">
        <f t="shared" si="194"/>
        <v>766</v>
      </c>
      <c r="B778" s="2200" t="s">
        <v>2807</v>
      </c>
      <c r="C778" s="2743">
        <v>0</v>
      </c>
      <c r="D778" s="2743">
        <v>0</v>
      </c>
      <c r="E778" s="2949">
        <v>0</v>
      </c>
      <c r="F778" s="2200">
        <v>20</v>
      </c>
      <c r="G778" s="2200" t="s">
        <v>127</v>
      </c>
      <c r="H778" s="2200" t="s">
        <v>1057</v>
      </c>
      <c r="I778" s="2742">
        <v>0</v>
      </c>
      <c r="J778" s="2742"/>
      <c r="K778" s="2752">
        <v>45</v>
      </c>
      <c r="L778" s="2745">
        <f t="shared" si="201"/>
        <v>0</v>
      </c>
      <c r="M778" s="2745">
        <f t="shared" si="202"/>
        <v>0</v>
      </c>
      <c r="N778" s="2745">
        <f t="shared" si="203"/>
        <v>20</v>
      </c>
      <c r="O778" s="1232">
        <f t="shared" si="204"/>
        <v>0</v>
      </c>
      <c r="P778" s="1227" t="str">
        <f t="shared" si="193"/>
        <v>090gsm WOODFREE CHENMING (China)</v>
      </c>
      <c r="Q778" s="254">
        <v>0.107</v>
      </c>
      <c r="R778" s="1228" t="str">
        <f t="shared" si="196"/>
        <v>090</v>
      </c>
      <c r="S778" s="2625">
        <f t="shared" si="205"/>
        <v>0</v>
      </c>
      <c r="T778" s="2747">
        <f>IF(L778&gt;0,IF(input!$B$2=$O$1,(((L778+Y778/22)+(L778+Y778/22)*$AG778+$X778)*$P$11+$M$7)/1000,(((L778+Y778/22)+(L778+Y778/22)*O778+(L778+Y778/22)*$AG778+$X778)*$P$11+$M$7)/1000),0)</f>
        <v>0</v>
      </c>
      <c r="U778" s="2747">
        <f t="shared" si="195"/>
        <v>0</v>
      </c>
      <c r="V778" s="1229"/>
      <c r="W778" s="1231" t="str">
        <f t="shared" si="206"/>
        <v>CIF</v>
      </c>
      <c r="X778" s="1230">
        <f t="shared" si="198"/>
        <v>0</v>
      </c>
      <c r="Y778" s="2625">
        <f t="shared" si="207"/>
        <v>0</v>
      </c>
      <c r="Z778" s="3208">
        <f t="shared" si="197"/>
        <v>838.18181818181813</v>
      </c>
      <c r="AA778" s="1220" t="s">
        <v>2846</v>
      </c>
      <c r="AB778" s="1220" t="s">
        <v>1398</v>
      </c>
      <c r="AC778" s="251" t="str">
        <f t="shared" si="208"/>
        <v>090gsm WOODFREE CHENMING (China)</v>
      </c>
      <c r="AD778" s="2746">
        <f>IF(L778&gt;0,IF(input!$B$2=$O$1,(((M778)+(M778)*$M$10)*$P$11)/1000,(((M778)+(M778)*O778+(M778)*$M$10)*$P$11)/1000),0)</f>
        <v>0</v>
      </c>
      <c r="AE778" s="2746">
        <f>IF(L778&gt;0,IF(input!$B$2=$O$1,(((N778)+(N778)*$M$10)*$P$11)/1000,(((N778)+(N778)*O778+(N778)*$M$10)*$P$11)/1000),0)</f>
        <v>0</v>
      </c>
      <c r="AF778" s="136" t="str">
        <f t="shared" si="209"/>
        <v>None</v>
      </c>
      <c r="AG778" s="2628">
        <f t="shared" si="210"/>
        <v>1.2E-2</v>
      </c>
      <c r="AH778" s="1266">
        <v>0.1</v>
      </c>
    </row>
    <row r="779" spans="1:34" ht="12.75">
      <c r="A779" s="2199">
        <f t="shared" si="194"/>
        <v>767</v>
      </c>
      <c r="B779" s="2200" t="s">
        <v>2808</v>
      </c>
      <c r="C779" s="2743">
        <v>0</v>
      </c>
      <c r="D779" s="2743">
        <v>0</v>
      </c>
      <c r="E779" s="2949">
        <v>0</v>
      </c>
      <c r="F779" s="2200">
        <v>20</v>
      </c>
      <c r="G779" s="2200" t="s">
        <v>127</v>
      </c>
      <c r="H779" s="2200" t="s">
        <v>1057</v>
      </c>
      <c r="I779" s="2742">
        <v>0</v>
      </c>
      <c r="J779" s="2742"/>
      <c r="K779" s="2752">
        <v>45</v>
      </c>
      <c r="L779" s="2745">
        <f t="shared" si="201"/>
        <v>0</v>
      </c>
      <c r="M779" s="2745">
        <f t="shared" si="202"/>
        <v>0</v>
      </c>
      <c r="N779" s="2745">
        <f t="shared" si="203"/>
        <v>20</v>
      </c>
      <c r="O779" s="1232">
        <f t="shared" si="204"/>
        <v>0</v>
      </c>
      <c r="P779" s="1227" t="str">
        <f t="shared" si="193"/>
        <v>100gsm WOODFREE CHENMING (China)</v>
      </c>
      <c r="Q779" s="254">
        <v>0.115</v>
      </c>
      <c r="R779" s="1228" t="str">
        <f t="shared" si="196"/>
        <v>100</v>
      </c>
      <c r="S779" s="2625">
        <f t="shared" si="205"/>
        <v>0</v>
      </c>
      <c r="T779" s="2747">
        <f>IF(L779&gt;0,IF(input!$B$2=$O$1,(((L779+Y779/22)+(L779+Y779/22)*$AG779+$X779)*$P$11+$M$7)/1000,(((L779+Y779/22)+(L779+Y779/22)*O779+(L779+Y779/22)*$AG779+$X779)*$P$11+$M$7)/1000),0)</f>
        <v>0</v>
      </c>
      <c r="U779" s="2747">
        <f t="shared" si="195"/>
        <v>0</v>
      </c>
      <c r="V779" s="1229"/>
      <c r="W779" s="1231" t="str">
        <f t="shared" si="206"/>
        <v>CIF</v>
      </c>
      <c r="X779" s="1230">
        <f t="shared" si="198"/>
        <v>0</v>
      </c>
      <c r="Y779" s="2625">
        <f t="shared" si="207"/>
        <v>0</v>
      </c>
      <c r="Z779" s="3208">
        <f t="shared" si="197"/>
        <v>838.18181818181813</v>
      </c>
      <c r="AA779" s="1220" t="s">
        <v>2846</v>
      </c>
      <c r="AB779" s="1220" t="s">
        <v>1398</v>
      </c>
      <c r="AC779" s="251" t="str">
        <f t="shared" si="208"/>
        <v>100gsm WOODFREE CHENMING (China)</v>
      </c>
      <c r="AD779" s="2746">
        <f>IF(L779&gt;0,IF(input!$B$2=$O$1,(((M779)+(M779)*$M$10)*$P$11)/1000,(((M779)+(M779)*O779+(M779)*$M$10)*$P$11)/1000),0)</f>
        <v>0</v>
      </c>
      <c r="AE779" s="2746">
        <f>IF(L779&gt;0,IF(input!$B$2=$O$1,(((N779)+(N779)*$M$10)*$P$11)/1000,(((N779)+(N779)*O779+(N779)*$M$10)*$P$11)/1000),0)</f>
        <v>0</v>
      </c>
      <c r="AF779" s="136" t="str">
        <f t="shared" si="209"/>
        <v>None</v>
      </c>
      <c r="AG779" s="2628">
        <f t="shared" si="210"/>
        <v>1.2E-2</v>
      </c>
      <c r="AH779" s="1266">
        <v>0.1</v>
      </c>
    </row>
    <row r="780" spans="1:34" ht="12.75">
      <c r="A780" s="2199">
        <f t="shared" si="194"/>
        <v>768</v>
      </c>
      <c r="B780" s="2200" t="s">
        <v>2809</v>
      </c>
      <c r="C780" s="2743">
        <v>0</v>
      </c>
      <c r="D780" s="2743">
        <v>0</v>
      </c>
      <c r="E780" s="2949">
        <v>0</v>
      </c>
      <c r="F780" s="2200">
        <v>20</v>
      </c>
      <c r="G780" s="2200" t="s">
        <v>127</v>
      </c>
      <c r="H780" s="2200" t="s">
        <v>1057</v>
      </c>
      <c r="I780" s="2742">
        <v>0</v>
      </c>
      <c r="J780" s="2742"/>
      <c r="K780" s="2752">
        <v>45</v>
      </c>
      <c r="L780" s="2745">
        <f t="shared" si="201"/>
        <v>0</v>
      </c>
      <c r="M780" s="2745">
        <f t="shared" si="202"/>
        <v>0</v>
      </c>
      <c r="N780" s="2745">
        <f t="shared" si="203"/>
        <v>20</v>
      </c>
      <c r="O780" s="1232">
        <f t="shared" si="204"/>
        <v>0</v>
      </c>
      <c r="P780" s="1227" t="str">
        <f t="shared" ref="P780:P811" si="211">R780&amp;"gsm "&amp;AB780&amp;" "&amp;AA780</f>
        <v>120gsm WOODFREE CHENMING (China)</v>
      </c>
      <c r="Q780" s="254">
        <v>0.13500000000000001</v>
      </c>
      <c r="R780" s="1228" t="str">
        <f t="shared" si="196"/>
        <v>120</v>
      </c>
      <c r="S780" s="2625">
        <f t="shared" si="205"/>
        <v>0</v>
      </c>
      <c r="T780" s="2747">
        <f>IF(L780&gt;0,IF(input!$B$2=$O$1,(((L780+Y780/22)+(L780+Y780/22)*$AG780+$X780)*$P$11+$M$7)/1000,(((L780+Y780/22)+(L780+Y780/22)*O780+(L780+Y780/22)*$AG780+$X780)*$P$11+$M$7)/1000),0)</f>
        <v>0</v>
      </c>
      <c r="U780" s="2747">
        <f t="shared" si="195"/>
        <v>0</v>
      </c>
      <c r="V780" s="1229"/>
      <c r="W780" s="1231" t="str">
        <f t="shared" si="206"/>
        <v>CIF</v>
      </c>
      <c r="X780" s="1230">
        <f t="shared" si="198"/>
        <v>0</v>
      </c>
      <c r="Y780" s="2625">
        <f t="shared" si="207"/>
        <v>0</v>
      </c>
      <c r="Z780" s="3208">
        <f t="shared" si="197"/>
        <v>838.18181818181813</v>
      </c>
      <c r="AA780" s="1220" t="s">
        <v>2846</v>
      </c>
      <c r="AB780" s="1220" t="s">
        <v>1398</v>
      </c>
      <c r="AC780" s="251" t="str">
        <f t="shared" si="208"/>
        <v>120gsm WOODFREE CHENMING (China)</v>
      </c>
      <c r="AD780" s="2746">
        <f>IF(L780&gt;0,IF(input!$B$2=$O$1,(((M780)+(M780)*$M$10)*$P$11)/1000,(((M780)+(M780)*O780+(M780)*$M$10)*$P$11)/1000),0)</f>
        <v>0</v>
      </c>
      <c r="AE780" s="2746">
        <f>IF(L780&gt;0,IF(input!$B$2=$O$1,(((N780)+(N780)*$M$10)*$P$11)/1000,(((N780)+(N780)*O780+(N780)*$M$10)*$P$11)/1000),0)</f>
        <v>0</v>
      </c>
      <c r="AF780" s="136" t="str">
        <f t="shared" si="209"/>
        <v>None</v>
      </c>
      <c r="AG780" s="2628">
        <f t="shared" si="210"/>
        <v>1.2E-2</v>
      </c>
      <c r="AH780" s="1266">
        <v>0.1</v>
      </c>
    </row>
    <row r="781" spans="1:34" ht="12.75">
      <c r="A781" s="2199">
        <f t="shared" si="194"/>
        <v>769</v>
      </c>
      <c r="B781" s="2200" t="s">
        <v>2810</v>
      </c>
      <c r="C781" s="2743">
        <v>0</v>
      </c>
      <c r="D781" s="2743">
        <v>0</v>
      </c>
      <c r="E781" s="2949">
        <v>0</v>
      </c>
      <c r="F781" s="2200">
        <v>20</v>
      </c>
      <c r="G781" s="2200" t="s">
        <v>127</v>
      </c>
      <c r="H781" s="2200" t="s">
        <v>1057</v>
      </c>
      <c r="I781" s="2742">
        <v>0</v>
      </c>
      <c r="J781" s="2742"/>
      <c r="K781" s="2752">
        <v>45</v>
      </c>
      <c r="L781" s="2745">
        <f t="shared" si="201"/>
        <v>0</v>
      </c>
      <c r="M781" s="2745">
        <f t="shared" si="202"/>
        <v>0</v>
      </c>
      <c r="N781" s="2745">
        <f t="shared" si="203"/>
        <v>20</v>
      </c>
      <c r="O781" s="1232">
        <f t="shared" si="204"/>
        <v>0</v>
      </c>
      <c r="P781" s="1227" t="str">
        <f t="shared" si="211"/>
        <v>140gsm WOODFREE CHENMING (China)</v>
      </c>
      <c r="Q781" s="254">
        <v>0.152</v>
      </c>
      <c r="R781" s="1228" t="str">
        <f t="shared" si="196"/>
        <v>140</v>
      </c>
      <c r="S781" s="2625">
        <f t="shared" si="205"/>
        <v>0</v>
      </c>
      <c r="T781" s="2747">
        <f>IF(L781&gt;0,IF(input!$B$2=$O$1,(((L781+Y781/22)+(L781+Y781/22)*$AG781+$X781)*$P$11+$M$7)/1000,(((L781+Y781/22)+(L781+Y781/22)*O781+(L781+Y781/22)*$AG781+$X781)*$P$11+$M$7)/1000),0)</f>
        <v>0</v>
      </c>
      <c r="U781" s="2747">
        <f t="shared" si="195"/>
        <v>0</v>
      </c>
      <c r="V781" s="1229"/>
      <c r="W781" s="1231" t="str">
        <f t="shared" si="206"/>
        <v>CIF</v>
      </c>
      <c r="X781" s="1230">
        <f t="shared" si="198"/>
        <v>0</v>
      </c>
      <c r="Y781" s="2625">
        <f t="shared" si="207"/>
        <v>0</v>
      </c>
      <c r="Z781" s="3208">
        <f t="shared" si="197"/>
        <v>838.18181818181813</v>
      </c>
      <c r="AA781" s="1220" t="s">
        <v>2846</v>
      </c>
      <c r="AB781" s="1220" t="s">
        <v>1398</v>
      </c>
      <c r="AC781" s="251" t="str">
        <f t="shared" si="208"/>
        <v>140gsm WOODFREE CHENMING (China)</v>
      </c>
      <c r="AD781" s="2746">
        <f>IF(L781&gt;0,IF(input!$B$2=$O$1,(((M781)+(M781)*$M$10)*$P$11)/1000,(((M781)+(M781)*O781+(M781)*$M$10)*$P$11)/1000),0)</f>
        <v>0</v>
      </c>
      <c r="AE781" s="2746">
        <f>IF(L781&gt;0,IF(input!$B$2=$O$1,(((N781)+(N781)*$M$10)*$P$11)/1000,(((N781)+(N781)*O781+(N781)*$M$10)*$P$11)/1000),0)</f>
        <v>0</v>
      </c>
      <c r="AF781" s="136" t="str">
        <f t="shared" si="209"/>
        <v>None</v>
      </c>
      <c r="AG781" s="2628">
        <f t="shared" si="210"/>
        <v>1.2E-2</v>
      </c>
      <c r="AH781" s="1266">
        <v>0.1</v>
      </c>
    </row>
    <row r="782" spans="1:34" ht="12.75">
      <c r="A782" s="2199">
        <f t="shared" ref="A782:A822" si="212">ROW(A770)</f>
        <v>770</v>
      </c>
      <c r="B782" s="2200" t="s">
        <v>1304</v>
      </c>
      <c r="C782" s="2743">
        <v>0</v>
      </c>
      <c r="D782" s="2743">
        <v>0</v>
      </c>
      <c r="E782" s="2949">
        <v>0</v>
      </c>
      <c r="F782" s="2200">
        <v>20</v>
      </c>
      <c r="G782" s="2200" t="s">
        <v>127</v>
      </c>
      <c r="H782" s="2200" t="s">
        <v>1057</v>
      </c>
      <c r="I782" s="2742">
        <v>0</v>
      </c>
      <c r="J782" s="2742"/>
      <c r="K782" s="2752">
        <v>45</v>
      </c>
      <c r="L782" s="2745">
        <f t="shared" si="201"/>
        <v>0</v>
      </c>
      <c r="M782" s="2745">
        <f t="shared" si="202"/>
        <v>0</v>
      </c>
      <c r="N782" s="2745">
        <f t="shared" si="203"/>
        <v>20</v>
      </c>
      <c r="O782" s="1232">
        <f t="shared" si="204"/>
        <v>0</v>
      </c>
      <c r="P782" s="1227" t="str">
        <f t="shared" si="211"/>
        <v>080gsm WOODFREE Magno Natural Sappi - German</v>
      </c>
      <c r="Q782" s="254">
        <v>0.10299999999999999</v>
      </c>
      <c r="R782" s="1228" t="str">
        <f t="shared" si="196"/>
        <v>080</v>
      </c>
      <c r="S782" s="2625">
        <f t="shared" si="205"/>
        <v>0</v>
      </c>
      <c r="T782" s="2747">
        <f>IF(L782&gt;0,IF(input!$B$2=$O$1,(((L782+Y782/22)+(L782+Y782/22)*$AG782+$X782)*$P$11+$M$7)/1000,(((L782+Y782/22)+(L782+Y782/22)*O782+(L782+Y782/22)*$AG782+$X782)*$P$11+$M$7)/1000),0)</f>
        <v>0</v>
      </c>
      <c r="U782" s="2747">
        <f t="shared" ref="U782:U822" si="213">IF(S782&gt;0,(S782/1.08)+Z782,0)</f>
        <v>0</v>
      </c>
      <c r="V782" s="1229"/>
      <c r="W782" s="1231" t="str">
        <f t="shared" si="206"/>
        <v>CIF</v>
      </c>
      <c r="X782" s="1230">
        <f t="shared" si="198"/>
        <v>0</v>
      </c>
      <c r="Y782" s="2625">
        <f t="shared" si="207"/>
        <v>0</v>
      </c>
      <c r="Z782" s="3208">
        <f t="shared" si="197"/>
        <v>838.18181818181813</v>
      </c>
      <c r="AA782" s="1220" t="s">
        <v>1370</v>
      </c>
      <c r="AB782" s="1220" t="s">
        <v>1398</v>
      </c>
      <c r="AC782" s="251" t="str">
        <f t="shared" si="208"/>
        <v>080gsm WOODFREE Magno Natural Sappi - German</v>
      </c>
      <c r="AD782" s="2746">
        <f>IF(L782&gt;0,IF(input!$B$2=$O$1,(((M782)+(M782)*$M$10)*$P$11)/1000,(((M782)+(M782)*O782+(M782)*$M$10)*$P$11)/1000),0)</f>
        <v>0</v>
      </c>
      <c r="AE782" s="2746">
        <f>IF(L782&gt;0,IF(input!$B$2=$O$1,(((N782)+(N782)*$M$10)*$P$11)/1000,(((N782)+(N782)*O782+(N782)*$M$10)*$P$11)/1000),0)</f>
        <v>0</v>
      </c>
      <c r="AF782" s="136" t="str">
        <f t="shared" si="209"/>
        <v>None</v>
      </c>
      <c r="AG782" s="2628">
        <f t="shared" si="210"/>
        <v>1.2E-2</v>
      </c>
      <c r="AH782" s="1266">
        <v>0.1</v>
      </c>
    </row>
    <row r="783" spans="1:34" ht="12.75">
      <c r="A783" s="2199">
        <f t="shared" si="212"/>
        <v>771</v>
      </c>
      <c r="B783" s="2200" t="s">
        <v>1305</v>
      </c>
      <c r="C783" s="2743">
        <v>0</v>
      </c>
      <c r="D783" s="2743">
        <v>0</v>
      </c>
      <c r="E783" s="2949">
        <v>0</v>
      </c>
      <c r="F783" s="2200">
        <v>20</v>
      </c>
      <c r="G783" s="2200" t="s">
        <v>127</v>
      </c>
      <c r="H783" s="2200" t="s">
        <v>1057</v>
      </c>
      <c r="I783" s="2742">
        <v>0</v>
      </c>
      <c r="J783" s="2742"/>
      <c r="K783" s="2752">
        <v>45</v>
      </c>
      <c r="L783" s="2745">
        <f t="shared" si="201"/>
        <v>0</v>
      </c>
      <c r="M783" s="2745">
        <f t="shared" si="202"/>
        <v>0</v>
      </c>
      <c r="N783" s="2745">
        <f t="shared" si="203"/>
        <v>20</v>
      </c>
      <c r="O783" s="1232">
        <f t="shared" si="204"/>
        <v>0</v>
      </c>
      <c r="P783" s="1227" t="str">
        <f t="shared" si="211"/>
        <v>090gsm WOODFREE Magno Natural Sappi - German</v>
      </c>
      <c r="Q783" s="254">
        <v>0.114</v>
      </c>
      <c r="R783" s="1228" t="str">
        <f t="shared" ref="R783:R816" si="214">LEFT(AC783,3)</f>
        <v>090</v>
      </c>
      <c r="S783" s="2625">
        <f t="shared" si="205"/>
        <v>0</v>
      </c>
      <c r="T783" s="2747">
        <f>IF(L783&gt;0,IF(input!$B$2=$O$1,(((L783+Y783/22)+(L783+Y783/22)*$AG783+$X783)*$P$11+$M$7)/1000,(((L783+Y783/22)+(L783+Y783/22)*O783+(L783+Y783/22)*$AG783+$X783)*$P$11+$M$7)/1000),0)</f>
        <v>0</v>
      </c>
      <c r="U783" s="2747">
        <f t="shared" si="213"/>
        <v>0</v>
      </c>
      <c r="V783" s="1229"/>
      <c r="W783" s="1231" t="str">
        <f t="shared" si="206"/>
        <v>CIF</v>
      </c>
      <c r="X783" s="1230">
        <f t="shared" si="198"/>
        <v>0</v>
      </c>
      <c r="Y783" s="2625">
        <f t="shared" si="207"/>
        <v>0</v>
      </c>
      <c r="Z783" s="3208">
        <f t="shared" ref="Z783:Z821" si="215">922000/1.1/1000</f>
        <v>838.18181818181813</v>
      </c>
      <c r="AA783" s="1220" t="s">
        <v>1370</v>
      </c>
      <c r="AB783" s="1220" t="s">
        <v>1398</v>
      </c>
      <c r="AC783" s="251" t="str">
        <f t="shared" si="208"/>
        <v>090gsm WOODFREE Magno Natural Sappi - German</v>
      </c>
      <c r="AD783" s="2746">
        <f>IF(L783&gt;0,IF(input!$B$2=$O$1,(((M783)+(M783)*$M$10)*$P$11)/1000,(((M783)+(M783)*O783+(M783)*$M$10)*$P$11)/1000),0)</f>
        <v>0</v>
      </c>
      <c r="AE783" s="2746">
        <f>IF(L783&gt;0,IF(input!$B$2=$O$1,(((N783)+(N783)*$M$10)*$P$11)/1000,(((N783)+(N783)*O783+(N783)*$M$10)*$P$11)/1000),0)</f>
        <v>0</v>
      </c>
      <c r="AF783" s="136" t="str">
        <f t="shared" si="209"/>
        <v>None</v>
      </c>
      <c r="AG783" s="2628">
        <f t="shared" si="210"/>
        <v>1.2E-2</v>
      </c>
      <c r="AH783" s="1266">
        <v>0.1</v>
      </c>
    </row>
    <row r="784" spans="1:34" ht="12.75">
      <c r="A784" s="2199">
        <f t="shared" si="212"/>
        <v>772</v>
      </c>
      <c r="B784" s="2200" t="s">
        <v>1022</v>
      </c>
      <c r="C784" s="2743">
        <v>0</v>
      </c>
      <c r="D784" s="2743">
        <v>0</v>
      </c>
      <c r="E784" s="2949">
        <v>0</v>
      </c>
      <c r="F784" s="2200">
        <v>20</v>
      </c>
      <c r="G784" s="2200" t="s">
        <v>127</v>
      </c>
      <c r="H784" s="2200" t="s">
        <v>1057</v>
      </c>
      <c r="I784" s="2742">
        <v>0</v>
      </c>
      <c r="J784" s="2742"/>
      <c r="K784" s="2752">
        <v>45</v>
      </c>
      <c r="L784" s="2745">
        <f t="shared" si="201"/>
        <v>0</v>
      </c>
      <c r="M784" s="2745">
        <f t="shared" si="202"/>
        <v>0</v>
      </c>
      <c r="N784" s="2745">
        <f t="shared" si="203"/>
        <v>20</v>
      </c>
      <c r="O784" s="1232">
        <f t="shared" si="204"/>
        <v>0</v>
      </c>
      <c r="P784" s="1227" t="str">
        <f t="shared" si="211"/>
        <v>100gsm WOODFREE Magno Natural Sappi - German</v>
      </c>
      <c r="Q784" s="254">
        <v>0.123</v>
      </c>
      <c r="R784" s="1228" t="str">
        <f t="shared" si="214"/>
        <v>100</v>
      </c>
      <c r="S784" s="2625">
        <f t="shared" si="205"/>
        <v>0</v>
      </c>
      <c r="T784" s="2747">
        <f>IF(L784&gt;0,IF(input!$B$2=$O$1,(((L784+Y784/22)+(L784+Y784/22)*$AG784+$X784)*$P$11+$M$7)/1000,(((L784+Y784/22)+(L784+Y784/22)*O784+(L784+Y784/22)*$AG784+$X784)*$P$11+$M$7)/1000),0)</f>
        <v>0</v>
      </c>
      <c r="U784" s="2747">
        <f t="shared" si="213"/>
        <v>0</v>
      </c>
      <c r="V784" s="1229"/>
      <c r="W784" s="1231" t="str">
        <f t="shared" si="206"/>
        <v>CIF</v>
      </c>
      <c r="X784" s="1230">
        <f t="shared" ref="X784:X822" si="216">IF(L784&gt;0,IF(OR(W784="CFR",W784="CRF",W784="CNF",W784="CPT"),1.1*$M$8*(L784+N784),IF(W784="FOB",1.1*$M$8*(L784+N784+Y784/22),0)),0)</f>
        <v>0</v>
      </c>
      <c r="Y784" s="2625">
        <f t="shared" si="207"/>
        <v>0</v>
      </c>
      <c r="Z784" s="3208">
        <f t="shared" si="215"/>
        <v>838.18181818181813</v>
      </c>
      <c r="AA784" s="1220" t="s">
        <v>1370</v>
      </c>
      <c r="AB784" s="1220" t="s">
        <v>1398</v>
      </c>
      <c r="AC784" s="251" t="str">
        <f t="shared" si="208"/>
        <v>100gsm WOODFREE Magno Natural Sappi - German</v>
      </c>
      <c r="AD784" s="2746">
        <f>IF(L784&gt;0,IF(input!$B$2=$O$1,(((M784)+(M784)*$M$10)*$P$11)/1000,(((M784)+(M784)*O784+(M784)*$M$10)*$P$11)/1000),0)</f>
        <v>0</v>
      </c>
      <c r="AE784" s="2746">
        <f>IF(L784&gt;0,IF(input!$B$2=$O$1,(((N784)+(N784)*$M$10)*$P$11)/1000,(((N784)+(N784)*O784+(N784)*$M$10)*$P$11)/1000),0)</f>
        <v>0</v>
      </c>
      <c r="AF784" s="136" t="str">
        <f t="shared" si="209"/>
        <v>None</v>
      </c>
      <c r="AG784" s="2628">
        <f t="shared" si="210"/>
        <v>1.2E-2</v>
      </c>
      <c r="AH784" s="1266">
        <v>0.1</v>
      </c>
    </row>
    <row r="785" spans="1:34" ht="12.75">
      <c r="A785" s="2199">
        <f t="shared" si="212"/>
        <v>773</v>
      </c>
      <c r="B785" s="2200" t="s">
        <v>1023</v>
      </c>
      <c r="C785" s="2743">
        <v>0</v>
      </c>
      <c r="D785" s="2743">
        <v>0</v>
      </c>
      <c r="E785" s="2949">
        <v>0</v>
      </c>
      <c r="F785" s="2200">
        <v>20</v>
      </c>
      <c r="G785" s="2200" t="s">
        <v>127</v>
      </c>
      <c r="H785" s="2200" t="s">
        <v>1057</v>
      </c>
      <c r="I785" s="2742">
        <v>0</v>
      </c>
      <c r="J785" s="2742"/>
      <c r="K785" s="2752">
        <v>45</v>
      </c>
      <c r="L785" s="2745">
        <f t="shared" si="201"/>
        <v>0</v>
      </c>
      <c r="M785" s="2745">
        <f t="shared" si="202"/>
        <v>0</v>
      </c>
      <c r="N785" s="2745">
        <f t="shared" si="203"/>
        <v>20</v>
      </c>
      <c r="O785" s="1232">
        <f t="shared" si="204"/>
        <v>0</v>
      </c>
      <c r="P785" s="1227" t="str">
        <f t="shared" si="211"/>
        <v>110gsm WOODFREE Magno Natural Sappi - German</v>
      </c>
      <c r="Q785" s="254">
        <v>0.13600000000000001</v>
      </c>
      <c r="R785" s="1228" t="str">
        <f t="shared" si="214"/>
        <v>110</v>
      </c>
      <c r="S785" s="2625">
        <f t="shared" si="205"/>
        <v>0</v>
      </c>
      <c r="T785" s="2747">
        <f>IF(L785&gt;0,IF(input!$B$2=$O$1,(((L785+Y785/22)+(L785+Y785/22)*$AG785+$X785)*$P$11+$M$7)/1000,(((L785+Y785/22)+(L785+Y785/22)*O785+(L785+Y785/22)*$AG785+$X785)*$P$11+$M$7)/1000),0)</f>
        <v>0</v>
      </c>
      <c r="U785" s="2747">
        <f t="shared" si="213"/>
        <v>0</v>
      </c>
      <c r="V785" s="1229"/>
      <c r="W785" s="1231" t="str">
        <f t="shared" si="206"/>
        <v>CIF</v>
      </c>
      <c r="X785" s="1230">
        <f t="shared" si="216"/>
        <v>0</v>
      </c>
      <c r="Y785" s="2625">
        <f t="shared" si="207"/>
        <v>0</v>
      </c>
      <c r="Z785" s="3208">
        <f t="shared" si="215"/>
        <v>838.18181818181813</v>
      </c>
      <c r="AA785" s="1220" t="s">
        <v>1370</v>
      </c>
      <c r="AB785" s="1220" t="s">
        <v>1398</v>
      </c>
      <c r="AC785" s="251" t="str">
        <f t="shared" si="208"/>
        <v>110gsm WOODFREE Magno Natural Sappi - German</v>
      </c>
      <c r="AD785" s="2746">
        <f>IF(L785&gt;0,IF(input!$B$2=$O$1,(((M785)+(M785)*$M$10)*$P$11)/1000,(((M785)+(M785)*O785+(M785)*$M$10)*$P$11)/1000),0)</f>
        <v>0</v>
      </c>
      <c r="AE785" s="2746">
        <f>IF(L785&gt;0,IF(input!$B$2=$O$1,(((N785)+(N785)*$M$10)*$P$11)/1000,(((N785)+(N785)*O785+(N785)*$M$10)*$P$11)/1000),0)</f>
        <v>0</v>
      </c>
      <c r="AF785" s="136" t="str">
        <f t="shared" si="209"/>
        <v>None</v>
      </c>
      <c r="AG785" s="2628">
        <f t="shared" si="210"/>
        <v>1.2E-2</v>
      </c>
      <c r="AH785" s="1266">
        <v>0.1</v>
      </c>
    </row>
    <row r="786" spans="1:34" ht="12.75">
      <c r="A786" s="2199">
        <f t="shared" si="212"/>
        <v>774</v>
      </c>
      <c r="B786" s="2200" t="s">
        <v>1024</v>
      </c>
      <c r="C786" s="2743">
        <v>0</v>
      </c>
      <c r="D786" s="2743">
        <v>0</v>
      </c>
      <c r="E786" s="2949">
        <v>0</v>
      </c>
      <c r="F786" s="2200">
        <v>20</v>
      </c>
      <c r="G786" s="2200" t="s">
        <v>127</v>
      </c>
      <c r="H786" s="2200" t="s">
        <v>1057</v>
      </c>
      <c r="I786" s="2742">
        <v>0</v>
      </c>
      <c r="J786" s="2742"/>
      <c r="K786" s="2752">
        <v>45</v>
      </c>
      <c r="L786" s="2745">
        <f t="shared" si="201"/>
        <v>0</v>
      </c>
      <c r="M786" s="2745">
        <f t="shared" si="202"/>
        <v>0</v>
      </c>
      <c r="N786" s="2745">
        <f t="shared" si="203"/>
        <v>20</v>
      </c>
      <c r="O786" s="1232">
        <f t="shared" si="204"/>
        <v>0</v>
      </c>
      <c r="P786" s="1227" t="str">
        <f t="shared" si="211"/>
        <v>120gsm WOODFREE Magno Natural Sappi - German</v>
      </c>
      <c r="Q786" s="254">
        <v>0.14599999999999999</v>
      </c>
      <c r="R786" s="1228" t="str">
        <f t="shared" si="214"/>
        <v>120</v>
      </c>
      <c r="S786" s="2625">
        <f t="shared" si="205"/>
        <v>0</v>
      </c>
      <c r="T786" s="2747">
        <f>IF(L786&gt;0,IF(input!$B$2=$O$1,(((L786+Y786/22)+(L786+Y786/22)*$AG786+$X786)*$P$11+$M$7)/1000,(((L786+Y786/22)+(L786+Y786/22)*O786+(L786+Y786/22)*$AG786+$X786)*$P$11+$M$7)/1000),0)</f>
        <v>0</v>
      </c>
      <c r="U786" s="2747">
        <f t="shared" si="213"/>
        <v>0</v>
      </c>
      <c r="V786" s="1229"/>
      <c r="W786" s="1231" t="str">
        <f t="shared" si="206"/>
        <v>CIF</v>
      </c>
      <c r="X786" s="1230">
        <f t="shared" si="216"/>
        <v>0</v>
      </c>
      <c r="Y786" s="2625">
        <f t="shared" si="207"/>
        <v>0</v>
      </c>
      <c r="Z786" s="3208">
        <f t="shared" si="215"/>
        <v>838.18181818181813</v>
      </c>
      <c r="AA786" s="1220" t="s">
        <v>1370</v>
      </c>
      <c r="AB786" s="1220" t="s">
        <v>1398</v>
      </c>
      <c r="AC786" s="251" t="str">
        <f t="shared" si="208"/>
        <v>120gsm WOODFREE Magno Natural Sappi - German</v>
      </c>
      <c r="AD786" s="2746">
        <f>IF(L786&gt;0,IF(input!$B$2=$O$1,(((M786)+(M786)*$M$10)*$P$11)/1000,(((M786)+(M786)*O786+(M786)*$M$10)*$P$11)/1000),0)</f>
        <v>0</v>
      </c>
      <c r="AE786" s="2746">
        <f>IF(L786&gt;0,IF(input!$B$2=$O$1,(((N786)+(N786)*$M$10)*$P$11)/1000,(((N786)+(N786)*O786+(N786)*$M$10)*$P$11)/1000),0)</f>
        <v>0</v>
      </c>
      <c r="AF786" s="136" t="str">
        <f t="shared" si="209"/>
        <v>None</v>
      </c>
      <c r="AG786" s="2628">
        <f t="shared" si="210"/>
        <v>1.2E-2</v>
      </c>
      <c r="AH786" s="1266">
        <v>0.1</v>
      </c>
    </row>
    <row r="787" spans="1:34" ht="12.75">
      <c r="A787" s="2199">
        <f t="shared" si="212"/>
        <v>775</v>
      </c>
      <c r="B787" s="2200" t="s">
        <v>1025</v>
      </c>
      <c r="C787" s="2743">
        <v>0</v>
      </c>
      <c r="D787" s="2743">
        <v>0</v>
      </c>
      <c r="E787" s="2949">
        <v>0</v>
      </c>
      <c r="F787" s="2200">
        <v>20</v>
      </c>
      <c r="G787" s="2200" t="s">
        <v>127</v>
      </c>
      <c r="H787" s="2200" t="s">
        <v>1057</v>
      </c>
      <c r="I787" s="2742">
        <v>0</v>
      </c>
      <c r="J787" s="2742"/>
      <c r="K787" s="2752">
        <v>45</v>
      </c>
      <c r="L787" s="2745">
        <f t="shared" si="201"/>
        <v>0</v>
      </c>
      <c r="M787" s="2745">
        <f t="shared" si="202"/>
        <v>0</v>
      </c>
      <c r="N787" s="2745">
        <f t="shared" si="203"/>
        <v>20</v>
      </c>
      <c r="O787" s="1232">
        <f t="shared" si="204"/>
        <v>0</v>
      </c>
      <c r="P787" s="1227" t="str">
        <f t="shared" si="211"/>
        <v>140gsm WOODFREE Magno Natural Sappi - German</v>
      </c>
      <c r="Q787" s="254">
        <v>0.16800000000000001</v>
      </c>
      <c r="R787" s="1228" t="str">
        <f t="shared" si="214"/>
        <v>140</v>
      </c>
      <c r="S787" s="2625">
        <f t="shared" ref="S787:S811" si="217">C787</f>
        <v>0</v>
      </c>
      <c r="T787" s="2747">
        <f>IF(L787&gt;0,IF(input!$B$2=$O$1,(((L787+Y787/22)+(L787+Y787/22)*$AG787+$X787)*$P$11+$M$7)/1000,(((L787+Y787/22)+(L787+Y787/22)*O787+(L787+Y787/22)*$AG787+$X787)*$P$11+$M$7)/1000),0)</f>
        <v>0</v>
      </c>
      <c r="U787" s="2747">
        <f t="shared" si="213"/>
        <v>0</v>
      </c>
      <c r="V787" s="1229"/>
      <c r="W787" s="1231" t="str">
        <f t="shared" ref="W787:W811" si="218">H787</f>
        <v>CIF</v>
      </c>
      <c r="X787" s="1230">
        <f t="shared" si="216"/>
        <v>0</v>
      </c>
      <c r="Y787" s="2625">
        <f t="shared" si="207"/>
        <v>0</v>
      </c>
      <c r="Z787" s="3208">
        <f t="shared" si="215"/>
        <v>838.18181818181813</v>
      </c>
      <c r="AA787" s="1220" t="s">
        <v>1370</v>
      </c>
      <c r="AB787" s="1220" t="s">
        <v>1398</v>
      </c>
      <c r="AC787" s="251" t="str">
        <f t="shared" si="208"/>
        <v>140gsm WOODFREE Magno Natural Sappi - German</v>
      </c>
      <c r="AD787" s="2746">
        <f>IF(L787&gt;0,IF(input!$B$2=$O$1,(((M787)+(M787)*$M$10)*$P$11)/1000,(((M787)+(M787)*O787+(M787)*$M$10)*$P$11)/1000),0)</f>
        <v>0</v>
      </c>
      <c r="AE787" s="2746">
        <f>IF(L787&gt;0,IF(input!$B$2=$O$1,(((N787)+(N787)*$M$10)*$P$11)/1000,(((N787)+(N787)*O787+(N787)*$M$10)*$P$11)/1000),0)</f>
        <v>0</v>
      </c>
      <c r="AF787" s="136" t="str">
        <f t="shared" si="209"/>
        <v>None</v>
      </c>
      <c r="AG787" s="2628">
        <f t="shared" si="210"/>
        <v>1.2E-2</v>
      </c>
      <c r="AH787" s="1266">
        <v>0.1</v>
      </c>
    </row>
    <row r="788" spans="1:34" ht="12.75">
      <c r="A788" s="2199">
        <f t="shared" si="212"/>
        <v>776</v>
      </c>
      <c r="B788" s="2200" t="s">
        <v>1026</v>
      </c>
      <c r="C788" s="2743">
        <v>0</v>
      </c>
      <c r="D788" s="2743">
        <v>0</v>
      </c>
      <c r="E788" s="2949">
        <v>0</v>
      </c>
      <c r="F788" s="2200">
        <v>20</v>
      </c>
      <c r="G788" s="2200" t="s">
        <v>127</v>
      </c>
      <c r="H788" s="2200" t="s">
        <v>1057</v>
      </c>
      <c r="I788" s="2742">
        <v>0</v>
      </c>
      <c r="J788" s="2742"/>
      <c r="K788" s="2752">
        <v>45</v>
      </c>
      <c r="L788" s="2745">
        <f t="shared" si="201"/>
        <v>0</v>
      </c>
      <c r="M788" s="2745">
        <f t="shared" si="202"/>
        <v>0</v>
      </c>
      <c r="N788" s="2745">
        <f t="shared" si="203"/>
        <v>20</v>
      </c>
      <c r="O788" s="1232">
        <f t="shared" si="204"/>
        <v>0</v>
      </c>
      <c r="P788" s="1227" t="str">
        <f t="shared" si="211"/>
        <v>150gsm WOODFREE Magno Natural Sappi - German</v>
      </c>
      <c r="Q788" s="254">
        <v>0.18</v>
      </c>
      <c r="R788" s="1228" t="str">
        <f t="shared" si="214"/>
        <v>150</v>
      </c>
      <c r="S788" s="2625">
        <f t="shared" si="217"/>
        <v>0</v>
      </c>
      <c r="T788" s="2747">
        <f>IF(L788&gt;0,IF(input!$B$2=$O$1,(((L788+Y788/22)+(L788+Y788/22)*$AG788+$X788)*$P$11+$M$7)/1000,(((L788+Y788/22)+(L788+Y788/22)*O788+(L788+Y788/22)*$AG788+$X788)*$P$11+$M$7)/1000),0)</f>
        <v>0</v>
      </c>
      <c r="U788" s="2747">
        <f t="shared" si="213"/>
        <v>0</v>
      </c>
      <c r="V788" s="1229"/>
      <c r="W788" s="1231" t="str">
        <f t="shared" si="218"/>
        <v>CIF</v>
      </c>
      <c r="X788" s="1230">
        <f t="shared" si="216"/>
        <v>0</v>
      </c>
      <c r="Y788" s="2625">
        <f t="shared" si="207"/>
        <v>0</v>
      </c>
      <c r="Z788" s="3208">
        <f t="shared" si="215"/>
        <v>838.18181818181813</v>
      </c>
      <c r="AA788" s="1220" t="s">
        <v>1370</v>
      </c>
      <c r="AB788" s="1220" t="s">
        <v>1398</v>
      </c>
      <c r="AC788" s="251" t="str">
        <f t="shared" si="208"/>
        <v>150gsm WOODFREE Magno Natural Sappi - German</v>
      </c>
      <c r="AD788" s="2746">
        <f>IF(L788&gt;0,IF(input!$B$2=$O$1,(((M788)+(M788)*$M$10)*$P$11)/1000,(((M788)+(M788)*O788+(M788)*$M$10)*$P$11)/1000),0)</f>
        <v>0</v>
      </c>
      <c r="AE788" s="2746">
        <f>IF(L788&gt;0,IF(input!$B$2=$O$1,(((N788)+(N788)*$M$10)*$P$11)/1000,(((N788)+(N788)*O788+(N788)*$M$10)*$P$11)/1000),0)</f>
        <v>0</v>
      </c>
      <c r="AF788" s="136" t="str">
        <f t="shared" si="209"/>
        <v>None</v>
      </c>
      <c r="AG788" s="2628">
        <f t="shared" si="210"/>
        <v>1.2E-2</v>
      </c>
      <c r="AH788" s="1266">
        <v>0.1</v>
      </c>
    </row>
    <row r="789" spans="1:34" ht="12.75">
      <c r="A789" s="2199">
        <f t="shared" si="212"/>
        <v>777</v>
      </c>
      <c r="B789" s="2200" t="s">
        <v>1027</v>
      </c>
      <c r="C789" s="2743">
        <v>0</v>
      </c>
      <c r="D789" s="2743">
        <v>0</v>
      </c>
      <c r="E789" s="2949">
        <v>0</v>
      </c>
      <c r="F789" s="2200">
        <v>20</v>
      </c>
      <c r="G789" s="2200" t="s">
        <v>127</v>
      </c>
      <c r="H789" s="2200" t="s">
        <v>1057</v>
      </c>
      <c r="I789" s="2742">
        <v>0</v>
      </c>
      <c r="J789" s="2742"/>
      <c r="K789" s="2752">
        <v>45</v>
      </c>
      <c r="L789" s="2745">
        <f t="shared" si="201"/>
        <v>0</v>
      </c>
      <c r="M789" s="2745">
        <f t="shared" si="202"/>
        <v>0</v>
      </c>
      <c r="N789" s="2745">
        <f t="shared" si="203"/>
        <v>20</v>
      </c>
      <c r="O789" s="1232">
        <f t="shared" si="204"/>
        <v>0</v>
      </c>
      <c r="P789" s="1227" t="str">
        <f t="shared" si="211"/>
        <v>170gsm WOODFREE Magno Natural Sappi - German</v>
      </c>
      <c r="Q789" s="254">
        <v>0.2</v>
      </c>
      <c r="R789" s="1228" t="str">
        <f t="shared" si="214"/>
        <v>170</v>
      </c>
      <c r="S789" s="2625">
        <f t="shared" si="217"/>
        <v>0</v>
      </c>
      <c r="T789" s="2747">
        <f>IF(L789&gt;0,IF(input!$B$2=$O$1,(((L789+Y789/22)+(L789+Y789/22)*$AG789+$X789)*$P$11+$M$7)/1000,(((L789+Y789/22)+(L789+Y789/22)*O789+(L789+Y789/22)*$AG789+$X789)*$P$11+$M$7)/1000),0)</f>
        <v>0</v>
      </c>
      <c r="U789" s="2747">
        <f t="shared" si="213"/>
        <v>0</v>
      </c>
      <c r="V789" s="1229"/>
      <c r="W789" s="1231" t="str">
        <f t="shared" si="218"/>
        <v>CIF</v>
      </c>
      <c r="X789" s="1230">
        <f t="shared" si="216"/>
        <v>0</v>
      </c>
      <c r="Y789" s="2625">
        <f t="shared" si="207"/>
        <v>0</v>
      </c>
      <c r="Z789" s="3208">
        <f t="shared" si="215"/>
        <v>838.18181818181813</v>
      </c>
      <c r="AA789" s="1220" t="s">
        <v>1370</v>
      </c>
      <c r="AB789" s="1220" t="s">
        <v>1398</v>
      </c>
      <c r="AC789" s="251" t="str">
        <f t="shared" si="208"/>
        <v>170gsm WOODFREE Magno Natural Sappi - German</v>
      </c>
      <c r="AD789" s="2746">
        <f>IF(L789&gt;0,IF(input!$B$2=$O$1,(((M789)+(M789)*$M$10)*$P$11)/1000,(((M789)+(M789)*O789+(M789)*$M$10)*$P$11)/1000),0)</f>
        <v>0</v>
      </c>
      <c r="AE789" s="2746">
        <f>IF(L789&gt;0,IF(input!$B$2=$O$1,(((N789)+(N789)*$M$10)*$P$11)/1000,(((N789)+(N789)*O789+(N789)*$M$10)*$P$11)/1000),0)</f>
        <v>0</v>
      </c>
      <c r="AF789" s="136" t="str">
        <f t="shared" si="209"/>
        <v>None</v>
      </c>
      <c r="AG789" s="2628">
        <f t="shared" si="210"/>
        <v>1.2E-2</v>
      </c>
      <c r="AH789" s="1266">
        <v>0.1</v>
      </c>
    </row>
    <row r="790" spans="1:34" ht="12.75">
      <c r="A790" s="2199">
        <f t="shared" si="212"/>
        <v>778</v>
      </c>
      <c r="B790" s="2200" t="s">
        <v>1028</v>
      </c>
      <c r="C790" s="2743">
        <v>0</v>
      </c>
      <c r="D790" s="2743">
        <v>0</v>
      </c>
      <c r="E790" s="2949">
        <v>0</v>
      </c>
      <c r="F790" s="2200">
        <v>20</v>
      </c>
      <c r="G790" s="2200" t="s">
        <v>127</v>
      </c>
      <c r="H790" s="2200" t="s">
        <v>1057</v>
      </c>
      <c r="I790" s="2742">
        <v>0</v>
      </c>
      <c r="J790" s="2742"/>
      <c r="K790" s="2752">
        <v>45</v>
      </c>
      <c r="L790" s="2745">
        <f t="shared" si="201"/>
        <v>0</v>
      </c>
      <c r="M790" s="2745">
        <f t="shared" si="202"/>
        <v>0</v>
      </c>
      <c r="N790" s="2745">
        <f t="shared" si="203"/>
        <v>20</v>
      </c>
      <c r="O790" s="1232">
        <f t="shared" si="204"/>
        <v>0</v>
      </c>
      <c r="P790" s="1227" t="str">
        <f t="shared" si="211"/>
        <v>190gsm WOODFREE Magno Natural Sappi - German</v>
      </c>
      <c r="Q790" s="254">
        <v>0.221</v>
      </c>
      <c r="R790" s="1228" t="str">
        <f t="shared" si="214"/>
        <v>190</v>
      </c>
      <c r="S790" s="2625">
        <f t="shared" si="217"/>
        <v>0</v>
      </c>
      <c r="T790" s="2747">
        <f>IF(L790&gt;0,IF(input!$B$2=$O$1,(((L790+Y790/22)+(L790+Y790/22)*$AG790+$X790)*$P$11+$M$7)/1000,(((L790+Y790/22)+(L790+Y790/22)*O790+(L790+Y790/22)*$AG790+$X790)*$P$11+$M$7)/1000),0)</f>
        <v>0</v>
      </c>
      <c r="U790" s="2747">
        <f t="shared" si="213"/>
        <v>0</v>
      </c>
      <c r="V790" s="1229"/>
      <c r="W790" s="1231" t="str">
        <f t="shared" si="218"/>
        <v>CIF</v>
      </c>
      <c r="X790" s="1230">
        <f t="shared" si="216"/>
        <v>0</v>
      </c>
      <c r="Y790" s="2625">
        <f t="shared" si="207"/>
        <v>0</v>
      </c>
      <c r="Z790" s="3208">
        <f t="shared" si="215"/>
        <v>838.18181818181813</v>
      </c>
      <c r="AA790" s="1220" t="s">
        <v>1370</v>
      </c>
      <c r="AB790" s="1220" t="s">
        <v>1398</v>
      </c>
      <c r="AC790" s="251" t="str">
        <f t="shared" si="208"/>
        <v>190gsm WOODFREE Magno Natural Sappi - German</v>
      </c>
      <c r="AD790" s="2746">
        <f>IF(L790&gt;0,IF(input!$B$2=$O$1,(((M790)+(M790)*$M$10)*$P$11)/1000,(((M790)+(M790)*O790+(M790)*$M$10)*$P$11)/1000),0)</f>
        <v>0</v>
      </c>
      <c r="AE790" s="2746">
        <f>IF(L790&gt;0,IF(input!$B$2=$O$1,(((N790)+(N790)*$M$10)*$P$11)/1000,(((N790)+(N790)*O790+(N790)*$M$10)*$P$11)/1000),0)</f>
        <v>0</v>
      </c>
      <c r="AF790" s="136" t="str">
        <f t="shared" si="209"/>
        <v>None</v>
      </c>
      <c r="AG790" s="2628">
        <f t="shared" si="210"/>
        <v>1.2E-2</v>
      </c>
      <c r="AH790" s="1266">
        <v>0.1</v>
      </c>
    </row>
    <row r="791" spans="1:34" ht="12.75">
      <c r="A791" s="2199">
        <f t="shared" si="212"/>
        <v>779</v>
      </c>
      <c r="B791" s="2200" t="s">
        <v>1029</v>
      </c>
      <c r="C791" s="2743">
        <v>0</v>
      </c>
      <c r="D791" s="2743">
        <v>0</v>
      </c>
      <c r="E791" s="2949">
        <v>0</v>
      </c>
      <c r="F791" s="2200">
        <v>20</v>
      </c>
      <c r="G791" s="2200" t="s">
        <v>127</v>
      </c>
      <c r="H791" s="2200" t="s">
        <v>1057</v>
      </c>
      <c r="I791" s="2742">
        <v>0</v>
      </c>
      <c r="J791" s="2742"/>
      <c r="K791" s="2752">
        <v>45</v>
      </c>
      <c r="L791" s="2745">
        <f t="shared" si="201"/>
        <v>0</v>
      </c>
      <c r="M791" s="2745">
        <f t="shared" si="202"/>
        <v>0</v>
      </c>
      <c r="N791" s="2745">
        <f t="shared" si="203"/>
        <v>20</v>
      </c>
      <c r="O791" s="1232">
        <f t="shared" si="204"/>
        <v>0</v>
      </c>
      <c r="P791" s="1227" t="str">
        <f t="shared" si="211"/>
        <v>250gsm WOODFREE Magno Natural Sappi - German</v>
      </c>
      <c r="Q791" s="254">
        <v>0.28499999999999998</v>
      </c>
      <c r="R791" s="1228" t="str">
        <f t="shared" si="214"/>
        <v>250</v>
      </c>
      <c r="S791" s="2625">
        <f t="shared" si="217"/>
        <v>0</v>
      </c>
      <c r="T791" s="2747">
        <f>IF(L791&gt;0,IF(input!$B$2=$O$1,(((L791+Y791/22)+(L791+Y791/22)*$AG791+$X791)*$P$11+$M$7)/1000,(((L791+Y791/22)+(L791+Y791/22)*O791+(L791+Y791/22)*$AG791+$X791)*$P$11+$M$7)/1000),0)</f>
        <v>0</v>
      </c>
      <c r="U791" s="2747">
        <f t="shared" si="213"/>
        <v>0</v>
      </c>
      <c r="V791" s="1229"/>
      <c r="W791" s="1231" t="str">
        <f t="shared" si="218"/>
        <v>CIF</v>
      </c>
      <c r="X791" s="1230">
        <f t="shared" si="216"/>
        <v>0</v>
      </c>
      <c r="Y791" s="2625">
        <f t="shared" si="207"/>
        <v>0</v>
      </c>
      <c r="Z791" s="3208">
        <f t="shared" si="215"/>
        <v>838.18181818181813</v>
      </c>
      <c r="AA791" s="1220" t="s">
        <v>1370</v>
      </c>
      <c r="AB791" s="1220" t="s">
        <v>1398</v>
      </c>
      <c r="AC791" s="251" t="str">
        <f t="shared" si="208"/>
        <v>250gsm WOODFREE Magno Natural Sappi - German</v>
      </c>
      <c r="AD791" s="2746">
        <f>IF(L791&gt;0,IF(input!$B$2=$O$1,(((M791)+(M791)*$M$10)*$P$11)/1000,(((M791)+(M791)*O791+(M791)*$M$10)*$P$11)/1000),0)</f>
        <v>0</v>
      </c>
      <c r="AE791" s="2746">
        <f>IF(L791&gt;0,IF(input!$B$2=$O$1,(((N791)+(N791)*$M$10)*$P$11)/1000,(((N791)+(N791)*O791+(N791)*$M$10)*$P$11)/1000),0)</f>
        <v>0</v>
      </c>
      <c r="AF791" s="136" t="str">
        <f t="shared" si="209"/>
        <v>None</v>
      </c>
      <c r="AG791" s="2628">
        <f t="shared" si="210"/>
        <v>1.2E-2</v>
      </c>
      <c r="AH791" s="1266">
        <v>0.1</v>
      </c>
    </row>
    <row r="792" spans="1:34" ht="12.75">
      <c r="A792" s="2199">
        <f t="shared" si="212"/>
        <v>780</v>
      </c>
      <c r="B792" s="2200" t="s">
        <v>1030</v>
      </c>
      <c r="C792" s="2743">
        <v>0</v>
      </c>
      <c r="D792" s="2743">
        <v>0</v>
      </c>
      <c r="E792" s="2949">
        <v>0</v>
      </c>
      <c r="F792" s="2200">
        <v>20</v>
      </c>
      <c r="G792" s="2200" t="s">
        <v>127</v>
      </c>
      <c r="H792" s="2200" t="s">
        <v>1057</v>
      </c>
      <c r="I792" s="2742">
        <v>0</v>
      </c>
      <c r="J792" s="2742"/>
      <c r="K792" s="2752">
        <v>45</v>
      </c>
      <c r="L792" s="2745">
        <f t="shared" si="201"/>
        <v>0</v>
      </c>
      <c r="M792" s="2745">
        <f t="shared" si="202"/>
        <v>0</v>
      </c>
      <c r="N792" s="2745">
        <f t="shared" si="203"/>
        <v>20</v>
      </c>
      <c r="O792" s="1232">
        <f t="shared" si="204"/>
        <v>0</v>
      </c>
      <c r="P792" s="1227" t="str">
        <f t="shared" si="211"/>
        <v>300gsm WOODFREE Magno Natural Sappi - German</v>
      </c>
      <c r="Q792" s="254">
        <v>0.34200000000000003</v>
      </c>
      <c r="R792" s="1228" t="str">
        <f t="shared" si="214"/>
        <v>300</v>
      </c>
      <c r="S792" s="2625">
        <f t="shared" si="217"/>
        <v>0</v>
      </c>
      <c r="T792" s="2747">
        <f>IF(L792&gt;0,IF(input!$B$2=$O$1,(((L792+Y792/22)+(L792+Y792/22)*$AG792+$X792)*$P$11+$M$7)/1000,(((L792+Y792/22)+(L792+Y792/22)*O792+(L792+Y792/22)*$AG792+$X792)*$P$11+$M$7)/1000),0)</f>
        <v>0</v>
      </c>
      <c r="U792" s="2747">
        <f t="shared" si="213"/>
        <v>0</v>
      </c>
      <c r="V792" s="1229"/>
      <c r="W792" s="1231" t="str">
        <f t="shared" si="218"/>
        <v>CIF</v>
      </c>
      <c r="X792" s="1230">
        <f t="shared" si="216"/>
        <v>0</v>
      </c>
      <c r="Y792" s="2625">
        <f t="shared" si="207"/>
        <v>0</v>
      </c>
      <c r="Z792" s="3208">
        <f t="shared" si="215"/>
        <v>838.18181818181813</v>
      </c>
      <c r="AA792" s="1220" t="s">
        <v>1370</v>
      </c>
      <c r="AB792" s="1220" t="s">
        <v>1398</v>
      </c>
      <c r="AC792" s="251" t="str">
        <f t="shared" si="208"/>
        <v>300gsm WOODFREE Magno Natural Sappi - German</v>
      </c>
      <c r="AD792" s="2746">
        <f>IF(L792&gt;0,IF(input!$B$2=$O$1,(((M792)+(M792)*$M$10)*$P$11)/1000,(((M792)+(M792)*O792+(M792)*$M$10)*$P$11)/1000),0)</f>
        <v>0</v>
      </c>
      <c r="AE792" s="2746">
        <f>IF(L792&gt;0,IF(input!$B$2=$O$1,(((N792)+(N792)*$M$10)*$P$11)/1000,(((N792)+(N792)*O792+(N792)*$M$10)*$P$11)/1000),0)</f>
        <v>0</v>
      </c>
      <c r="AF792" s="136" t="str">
        <f t="shared" si="209"/>
        <v>None</v>
      </c>
      <c r="AG792" s="2628">
        <f t="shared" si="210"/>
        <v>1.2E-2</v>
      </c>
      <c r="AH792" s="1266">
        <v>0.1</v>
      </c>
    </row>
    <row r="793" spans="1:34" ht="12.75">
      <c r="A793" s="2199">
        <f t="shared" si="212"/>
        <v>781</v>
      </c>
      <c r="B793" s="2200" t="s">
        <v>1043</v>
      </c>
      <c r="C793" s="2743">
        <v>0</v>
      </c>
      <c r="D793" s="2743">
        <v>0</v>
      </c>
      <c r="E793" s="2949">
        <v>0</v>
      </c>
      <c r="F793" s="2200">
        <v>20</v>
      </c>
      <c r="G793" s="2200" t="s">
        <v>127</v>
      </c>
      <c r="H793" s="2200" t="s">
        <v>1057</v>
      </c>
      <c r="I793" s="2742">
        <v>0</v>
      </c>
      <c r="J793" s="2742"/>
      <c r="K793" s="2752">
        <v>45</v>
      </c>
      <c r="L793" s="2745">
        <f t="shared" si="201"/>
        <v>0</v>
      </c>
      <c r="M793" s="2745">
        <f t="shared" si="202"/>
        <v>0</v>
      </c>
      <c r="N793" s="2745">
        <f t="shared" si="203"/>
        <v>20</v>
      </c>
      <c r="O793" s="1232">
        <f t="shared" si="204"/>
        <v>0</v>
      </c>
      <c r="P793" s="1227" t="str">
        <f t="shared" si="211"/>
        <v>056gsm WOODFREE GHS - CHINA</v>
      </c>
      <c r="Q793" s="254">
        <v>7.3999999999999996E-2</v>
      </c>
      <c r="R793" s="1228" t="str">
        <f t="shared" si="214"/>
        <v>056</v>
      </c>
      <c r="S793" s="2625">
        <f t="shared" si="217"/>
        <v>0</v>
      </c>
      <c r="T793" s="2747">
        <f>IF(L793&gt;0,IF(input!$B$2=$O$1,(((L793+Y793/22)+(L793+Y793/22)*$AG793+$X793)*$P$11+$M$7)/1000,(((L793+Y793/22)+(L793+Y793/22)*O793+(L793+Y793/22)*$AG793+$X793)*$P$11+$M$7)/1000),0)</f>
        <v>0</v>
      </c>
      <c r="U793" s="2747">
        <f t="shared" si="213"/>
        <v>0</v>
      </c>
      <c r="V793" s="1229"/>
      <c r="W793" s="1231" t="str">
        <f t="shared" si="218"/>
        <v>CIF</v>
      </c>
      <c r="X793" s="1230">
        <f t="shared" si="216"/>
        <v>0</v>
      </c>
      <c r="Y793" s="2625">
        <f t="shared" si="207"/>
        <v>0</v>
      </c>
      <c r="Z793" s="3208">
        <f t="shared" si="215"/>
        <v>838.18181818181813</v>
      </c>
      <c r="AA793" s="1220" t="s">
        <v>1361</v>
      </c>
      <c r="AB793" s="1220" t="s">
        <v>1398</v>
      </c>
      <c r="AC793" s="251" t="str">
        <f t="shared" si="208"/>
        <v>056gsm WOODFREE GHS - CHINA</v>
      </c>
      <c r="AD793" s="2746">
        <f>IF(L793&gt;0,IF(input!$B$2=$O$1,(((M793)+(M793)*$M$10)*$P$11)/1000,(((M793)+(M793)*O793+(M793)*$M$10)*$P$11)/1000),0)</f>
        <v>0</v>
      </c>
      <c r="AE793" s="2746">
        <f>IF(L793&gt;0,IF(input!$B$2=$O$1,(((N793)+(N793)*$M$10)*$P$11)/1000,(((N793)+(N793)*O793+(N793)*$M$10)*$P$11)/1000),0)</f>
        <v>0</v>
      </c>
      <c r="AF793" s="136" t="str">
        <f t="shared" si="209"/>
        <v>None</v>
      </c>
      <c r="AG793" s="2628">
        <f t="shared" si="210"/>
        <v>1.2E-2</v>
      </c>
      <c r="AH793" s="1266">
        <v>0.1</v>
      </c>
    </row>
    <row r="794" spans="1:34" ht="12.75">
      <c r="A794" s="2199">
        <f t="shared" si="212"/>
        <v>782</v>
      </c>
      <c r="B794" s="2200" t="s">
        <v>1044</v>
      </c>
      <c r="C794" s="2743">
        <v>0</v>
      </c>
      <c r="D794" s="2743">
        <v>0</v>
      </c>
      <c r="E794" s="2949">
        <v>0</v>
      </c>
      <c r="F794" s="2200">
        <v>20</v>
      </c>
      <c r="G794" s="2200" t="s">
        <v>127</v>
      </c>
      <c r="H794" s="2200" t="s">
        <v>1057</v>
      </c>
      <c r="I794" s="2742">
        <v>0</v>
      </c>
      <c r="J794" s="2742"/>
      <c r="K794" s="2752">
        <v>45</v>
      </c>
      <c r="L794" s="2745">
        <f t="shared" si="201"/>
        <v>0</v>
      </c>
      <c r="M794" s="2745">
        <f t="shared" si="202"/>
        <v>0</v>
      </c>
      <c r="N794" s="2745">
        <f t="shared" si="203"/>
        <v>20</v>
      </c>
      <c r="O794" s="1232">
        <f t="shared" si="204"/>
        <v>0</v>
      </c>
      <c r="P794" s="1227" t="str">
        <f t="shared" si="211"/>
        <v>060gsm WOODFREE GHS - CHINA</v>
      </c>
      <c r="Q794" s="254">
        <v>0.78</v>
      </c>
      <c r="R794" s="1228" t="str">
        <f t="shared" si="214"/>
        <v>060</v>
      </c>
      <c r="S794" s="2625">
        <f t="shared" si="217"/>
        <v>0</v>
      </c>
      <c r="T794" s="2747">
        <f>IF(L794&gt;0,IF(input!$B$2=$O$1,(((L794+Y794/22)+(L794+Y794/22)*$AG794+$X794)*$P$11+$M$7)/1000,(((L794+Y794/22)+(L794+Y794/22)*O794+(L794+Y794/22)*$AG794+$X794)*$P$11+$M$7)/1000),0)</f>
        <v>0</v>
      </c>
      <c r="U794" s="2747">
        <f t="shared" si="213"/>
        <v>0</v>
      </c>
      <c r="V794" s="1229"/>
      <c r="W794" s="1231" t="str">
        <f t="shared" si="218"/>
        <v>CIF</v>
      </c>
      <c r="X794" s="1230">
        <f t="shared" si="216"/>
        <v>0</v>
      </c>
      <c r="Y794" s="2625">
        <f t="shared" si="207"/>
        <v>0</v>
      </c>
      <c r="Z794" s="3208">
        <f t="shared" si="215"/>
        <v>838.18181818181813</v>
      </c>
      <c r="AA794" s="1220" t="s">
        <v>1361</v>
      </c>
      <c r="AB794" s="1220" t="s">
        <v>1398</v>
      </c>
      <c r="AC794" s="251" t="str">
        <f t="shared" si="208"/>
        <v>060gsm WOODFREE GHS - CHINA</v>
      </c>
      <c r="AD794" s="2746">
        <f>IF(L794&gt;0,IF(input!$B$2=$O$1,(((M794)+(M794)*$M$10)*$P$11)/1000,(((M794)+(M794)*O794+(M794)*$M$10)*$P$11)/1000),0)</f>
        <v>0</v>
      </c>
      <c r="AE794" s="2746">
        <f>IF(L794&gt;0,IF(input!$B$2=$O$1,(((N794)+(N794)*$M$10)*$P$11)/1000,(((N794)+(N794)*O794+(N794)*$M$10)*$P$11)/1000),0)</f>
        <v>0</v>
      </c>
      <c r="AF794" s="136" t="str">
        <f t="shared" si="209"/>
        <v>None</v>
      </c>
      <c r="AG794" s="2628">
        <f t="shared" si="210"/>
        <v>1.2E-2</v>
      </c>
      <c r="AH794" s="1266">
        <v>0.1</v>
      </c>
    </row>
    <row r="795" spans="1:34" ht="12.75">
      <c r="A795" s="2199">
        <f t="shared" si="212"/>
        <v>783</v>
      </c>
      <c r="B795" s="2200" t="s">
        <v>1045</v>
      </c>
      <c r="C795" s="2743">
        <v>0</v>
      </c>
      <c r="D795" s="2743">
        <v>0</v>
      </c>
      <c r="E795" s="2949">
        <v>0</v>
      </c>
      <c r="F795" s="2200">
        <v>20</v>
      </c>
      <c r="G795" s="2200" t="s">
        <v>127</v>
      </c>
      <c r="H795" s="2200" t="s">
        <v>1057</v>
      </c>
      <c r="I795" s="2742">
        <v>0</v>
      </c>
      <c r="J795" s="2742"/>
      <c r="K795" s="2752">
        <v>45</v>
      </c>
      <c r="L795" s="2745">
        <f t="shared" si="201"/>
        <v>0</v>
      </c>
      <c r="M795" s="2745">
        <f t="shared" si="202"/>
        <v>0</v>
      </c>
      <c r="N795" s="2745">
        <f t="shared" si="203"/>
        <v>20</v>
      </c>
      <c r="O795" s="1232">
        <f t="shared" si="204"/>
        <v>0</v>
      </c>
      <c r="P795" s="1227" t="str">
        <f t="shared" si="211"/>
        <v>070gsm WOODFREE GHS - CHINA</v>
      </c>
      <c r="Q795" s="254">
        <v>9.1999999999999998E-2</v>
      </c>
      <c r="R795" s="1228" t="str">
        <f t="shared" si="214"/>
        <v>070</v>
      </c>
      <c r="S795" s="2625">
        <f t="shared" si="217"/>
        <v>0</v>
      </c>
      <c r="T795" s="2747">
        <f>IF(L795&gt;0,IF(input!$B$2=$O$1,(((L795+Y795/22)+(L795+Y795/22)*$AG795+$X795)*$P$11+$M$7)/1000,(((L795+Y795/22)+(L795+Y795/22)*O795+(L795+Y795/22)*$AG795+$X795)*$P$11+$M$7)/1000),0)</f>
        <v>0</v>
      </c>
      <c r="U795" s="2747">
        <f t="shared" si="213"/>
        <v>0</v>
      </c>
      <c r="V795" s="1229"/>
      <c r="W795" s="1231" t="str">
        <f t="shared" si="218"/>
        <v>CIF</v>
      </c>
      <c r="X795" s="1230">
        <f t="shared" si="216"/>
        <v>0</v>
      </c>
      <c r="Y795" s="2625">
        <f t="shared" si="207"/>
        <v>0</v>
      </c>
      <c r="Z795" s="3208">
        <f t="shared" si="215"/>
        <v>838.18181818181813</v>
      </c>
      <c r="AA795" s="1220" t="s">
        <v>1361</v>
      </c>
      <c r="AB795" s="1220" t="s">
        <v>1398</v>
      </c>
      <c r="AC795" s="251" t="str">
        <f t="shared" si="208"/>
        <v>070gsm WOODFREE GHS - CHINA</v>
      </c>
      <c r="AD795" s="2746">
        <f>IF(L795&gt;0,IF(input!$B$2=$O$1,(((M795)+(M795)*$M$10)*$P$11)/1000,(((M795)+(M795)*O795+(M795)*$M$10)*$P$11)/1000),0)</f>
        <v>0</v>
      </c>
      <c r="AE795" s="2746">
        <f>IF(L795&gt;0,IF(input!$B$2=$O$1,(((N795)+(N795)*$M$10)*$P$11)/1000,(((N795)+(N795)*O795+(N795)*$M$10)*$P$11)/1000),0)</f>
        <v>0</v>
      </c>
      <c r="AF795" s="136" t="str">
        <f t="shared" si="209"/>
        <v>None</v>
      </c>
      <c r="AG795" s="2628">
        <f t="shared" si="210"/>
        <v>1.2E-2</v>
      </c>
      <c r="AH795" s="1266">
        <v>0.1</v>
      </c>
    </row>
    <row r="796" spans="1:34" ht="12.75">
      <c r="A796" s="2199">
        <f t="shared" si="212"/>
        <v>784</v>
      </c>
      <c r="B796" s="2200" t="s">
        <v>1046</v>
      </c>
      <c r="C796" s="2743">
        <v>0</v>
      </c>
      <c r="D796" s="2743">
        <v>0</v>
      </c>
      <c r="E796" s="2949">
        <v>0</v>
      </c>
      <c r="F796" s="2200">
        <v>20</v>
      </c>
      <c r="G796" s="2200" t="s">
        <v>127</v>
      </c>
      <c r="H796" s="2200" t="s">
        <v>1057</v>
      </c>
      <c r="I796" s="2742">
        <v>0</v>
      </c>
      <c r="J796" s="2742"/>
      <c r="K796" s="2752">
        <v>45</v>
      </c>
      <c r="L796" s="2745">
        <f t="shared" si="201"/>
        <v>0</v>
      </c>
      <c r="M796" s="2745">
        <f t="shared" si="202"/>
        <v>0</v>
      </c>
      <c r="N796" s="2745">
        <f t="shared" si="203"/>
        <v>20</v>
      </c>
      <c r="O796" s="1232">
        <f t="shared" si="204"/>
        <v>0</v>
      </c>
      <c r="P796" s="1227" t="str">
        <f t="shared" si="211"/>
        <v>075gsm WOODFREE GHS - CHINA</v>
      </c>
      <c r="Q796" s="254">
        <v>9.7000000000000003E-2</v>
      </c>
      <c r="R796" s="1228" t="str">
        <f t="shared" si="214"/>
        <v>075</v>
      </c>
      <c r="S796" s="2625">
        <f t="shared" si="217"/>
        <v>0</v>
      </c>
      <c r="T796" s="2747">
        <f>IF(L796&gt;0,IF(input!$B$2=$O$1,(((L796+Y796/22)+(L796+Y796/22)*$AG796+$X796)*$P$11+$M$7)/1000,(((L796+Y796/22)+(L796+Y796/22)*O796+(L796+Y796/22)*$AG796+$X796)*$P$11+$M$7)/1000),0)</f>
        <v>0</v>
      </c>
      <c r="U796" s="2747">
        <f t="shared" si="213"/>
        <v>0</v>
      </c>
      <c r="V796" s="1229"/>
      <c r="W796" s="1231" t="str">
        <f t="shared" si="218"/>
        <v>CIF</v>
      </c>
      <c r="X796" s="1230">
        <f t="shared" si="216"/>
        <v>0</v>
      </c>
      <c r="Y796" s="2625">
        <f t="shared" si="207"/>
        <v>0</v>
      </c>
      <c r="Z796" s="3208">
        <f t="shared" si="215"/>
        <v>838.18181818181813</v>
      </c>
      <c r="AA796" s="1220" t="s">
        <v>1361</v>
      </c>
      <c r="AB796" s="1220" t="s">
        <v>1398</v>
      </c>
      <c r="AC796" s="251" t="str">
        <f t="shared" si="208"/>
        <v>075gsm WOODFREE GHS - CHINA</v>
      </c>
      <c r="AD796" s="2746">
        <f>IF(L796&gt;0,IF(input!$B$2=$O$1,(((M796)+(M796)*$M$10)*$P$11)/1000,(((M796)+(M796)*O796+(M796)*$M$10)*$P$11)/1000),0)</f>
        <v>0</v>
      </c>
      <c r="AE796" s="2746">
        <f>IF(L796&gt;0,IF(input!$B$2=$O$1,(((N796)+(N796)*$M$10)*$P$11)/1000,(((N796)+(N796)*O796+(N796)*$M$10)*$P$11)/1000),0)</f>
        <v>0</v>
      </c>
      <c r="AF796" s="136" t="str">
        <f t="shared" si="209"/>
        <v>None</v>
      </c>
      <c r="AG796" s="2628">
        <f t="shared" si="210"/>
        <v>1.2E-2</v>
      </c>
      <c r="AH796" s="1266">
        <v>0.1</v>
      </c>
    </row>
    <row r="797" spans="1:34" ht="12.75">
      <c r="A797" s="2199">
        <f t="shared" si="212"/>
        <v>785</v>
      </c>
      <c r="B797" s="2200" t="s">
        <v>1047</v>
      </c>
      <c r="C797" s="2743">
        <v>0</v>
      </c>
      <c r="D797" s="2743">
        <v>0</v>
      </c>
      <c r="E797" s="2949">
        <v>0</v>
      </c>
      <c r="F797" s="2200">
        <v>20</v>
      </c>
      <c r="G797" s="2200" t="s">
        <v>127</v>
      </c>
      <c r="H797" s="2200" t="s">
        <v>1057</v>
      </c>
      <c r="I797" s="2742">
        <v>0</v>
      </c>
      <c r="J797" s="2742"/>
      <c r="K797" s="2752">
        <v>45</v>
      </c>
      <c r="L797" s="2745">
        <f t="shared" si="201"/>
        <v>0</v>
      </c>
      <c r="M797" s="2745">
        <f t="shared" si="202"/>
        <v>0</v>
      </c>
      <c r="N797" s="2745">
        <f t="shared" si="203"/>
        <v>20</v>
      </c>
      <c r="O797" s="1232">
        <f t="shared" si="204"/>
        <v>0</v>
      </c>
      <c r="P797" s="1227" t="str">
        <f t="shared" si="211"/>
        <v>080gsm WOODFREE GHS - CHINA</v>
      </c>
      <c r="Q797" s="254">
        <v>0.10199999999999999</v>
      </c>
      <c r="R797" s="1228" t="str">
        <f t="shared" si="214"/>
        <v>080</v>
      </c>
      <c r="S797" s="2625">
        <f t="shared" si="217"/>
        <v>0</v>
      </c>
      <c r="T797" s="2747">
        <f>IF(L797&gt;0,IF(input!$B$2=$O$1,(((L797+Y797/22)+(L797+Y797/22)*$AG797+$X797)*$P$11+$M$7)/1000,(((L797+Y797/22)+(L797+Y797/22)*O797+(L797+Y797/22)*$AG797+$X797)*$P$11+$M$7)/1000),0)</f>
        <v>0</v>
      </c>
      <c r="U797" s="2747">
        <f t="shared" si="213"/>
        <v>0</v>
      </c>
      <c r="V797" s="1229"/>
      <c r="W797" s="1231" t="str">
        <f t="shared" si="218"/>
        <v>CIF</v>
      </c>
      <c r="X797" s="1230">
        <f t="shared" si="216"/>
        <v>0</v>
      </c>
      <c r="Y797" s="2625">
        <f t="shared" si="207"/>
        <v>0</v>
      </c>
      <c r="Z797" s="3208">
        <f t="shared" si="215"/>
        <v>838.18181818181813</v>
      </c>
      <c r="AA797" s="1220" t="s">
        <v>1361</v>
      </c>
      <c r="AB797" s="1220" t="s">
        <v>1398</v>
      </c>
      <c r="AC797" s="251" t="str">
        <f t="shared" si="208"/>
        <v>080gsm WOODFREE GHS - CHINA</v>
      </c>
      <c r="AD797" s="2746">
        <f>IF(L797&gt;0,IF(input!$B$2=$O$1,(((M797)+(M797)*$M$10)*$P$11)/1000,(((M797)+(M797)*O797+(M797)*$M$10)*$P$11)/1000),0)</f>
        <v>0</v>
      </c>
      <c r="AE797" s="2746">
        <f>IF(L797&gt;0,IF(input!$B$2=$O$1,(((N797)+(N797)*$M$10)*$P$11)/1000,(((N797)+(N797)*O797+(N797)*$M$10)*$P$11)/1000),0)</f>
        <v>0</v>
      </c>
      <c r="AF797" s="136" t="str">
        <f t="shared" si="209"/>
        <v>None</v>
      </c>
      <c r="AG797" s="2628">
        <f t="shared" si="210"/>
        <v>1.2E-2</v>
      </c>
      <c r="AH797" s="1266">
        <v>0.1</v>
      </c>
    </row>
    <row r="798" spans="1:34" ht="12.75">
      <c r="A798" s="2199">
        <f t="shared" si="212"/>
        <v>786</v>
      </c>
      <c r="B798" s="2200" t="s">
        <v>1048</v>
      </c>
      <c r="C798" s="2743">
        <v>0</v>
      </c>
      <c r="D798" s="2743">
        <v>0</v>
      </c>
      <c r="E798" s="2949">
        <v>0</v>
      </c>
      <c r="F798" s="2200">
        <v>20</v>
      </c>
      <c r="G798" s="2200" t="s">
        <v>127</v>
      </c>
      <c r="H798" s="2200" t="s">
        <v>1057</v>
      </c>
      <c r="I798" s="2742">
        <v>0</v>
      </c>
      <c r="J798" s="2742"/>
      <c r="K798" s="2752">
        <v>45</v>
      </c>
      <c r="L798" s="2745">
        <f t="shared" si="201"/>
        <v>0</v>
      </c>
      <c r="M798" s="2745">
        <f t="shared" si="202"/>
        <v>0</v>
      </c>
      <c r="N798" s="2745">
        <f t="shared" si="203"/>
        <v>20</v>
      </c>
      <c r="O798" s="1232">
        <f t="shared" si="204"/>
        <v>0</v>
      </c>
      <c r="P798" s="1227" t="str">
        <f t="shared" si="211"/>
        <v>090gsm WOODFREE GHS - CHINA</v>
      </c>
      <c r="Q798" s="254">
        <v>0.11</v>
      </c>
      <c r="R798" s="1228" t="str">
        <f t="shared" si="214"/>
        <v>090</v>
      </c>
      <c r="S798" s="2625">
        <f t="shared" si="217"/>
        <v>0</v>
      </c>
      <c r="T798" s="2747">
        <f>IF(L798&gt;0,IF(input!$B$2=$O$1,(((L798+Y798/22)+(L798+Y798/22)*$AG798+$X798)*$P$11+$M$7)/1000,(((L798+Y798/22)+(L798+Y798/22)*O798+(L798+Y798/22)*$AG798+$X798)*$P$11+$M$7)/1000),0)</f>
        <v>0</v>
      </c>
      <c r="U798" s="2747">
        <f t="shared" si="213"/>
        <v>0</v>
      </c>
      <c r="V798" s="1229"/>
      <c r="W798" s="1231" t="str">
        <f t="shared" si="218"/>
        <v>CIF</v>
      </c>
      <c r="X798" s="1230">
        <f t="shared" si="216"/>
        <v>0</v>
      </c>
      <c r="Y798" s="2625">
        <f t="shared" si="207"/>
        <v>0</v>
      </c>
      <c r="Z798" s="3208">
        <f t="shared" si="215"/>
        <v>838.18181818181813</v>
      </c>
      <c r="AA798" s="1220" t="s">
        <v>1361</v>
      </c>
      <c r="AB798" s="1220" t="s">
        <v>1398</v>
      </c>
      <c r="AC798" s="251" t="str">
        <f t="shared" si="208"/>
        <v>090gsm WOODFREE GHS - CHINA</v>
      </c>
      <c r="AD798" s="2746">
        <f>IF(L798&gt;0,IF(input!$B$2=$O$1,(((M798)+(M798)*$M$10)*$P$11)/1000,(((M798)+(M798)*O798+(M798)*$M$10)*$P$11)/1000),0)</f>
        <v>0</v>
      </c>
      <c r="AE798" s="2746">
        <f>IF(L798&gt;0,IF(input!$B$2=$O$1,(((N798)+(N798)*$M$10)*$P$11)/1000,(((N798)+(N798)*O798+(N798)*$M$10)*$P$11)/1000),0)</f>
        <v>0</v>
      </c>
      <c r="AF798" s="136" t="str">
        <f t="shared" si="209"/>
        <v>None</v>
      </c>
      <c r="AG798" s="2628">
        <f t="shared" si="210"/>
        <v>1.2E-2</v>
      </c>
      <c r="AH798" s="1266">
        <v>0.1</v>
      </c>
    </row>
    <row r="799" spans="1:34" ht="12.75">
      <c r="A799" s="2199">
        <f t="shared" si="212"/>
        <v>787</v>
      </c>
      <c r="B799" s="2200" t="s">
        <v>1049</v>
      </c>
      <c r="C799" s="2743">
        <v>0</v>
      </c>
      <c r="D799" s="2743">
        <v>0</v>
      </c>
      <c r="E799" s="2949">
        <v>0</v>
      </c>
      <c r="F799" s="2200">
        <v>20</v>
      </c>
      <c r="G799" s="2200" t="s">
        <v>127</v>
      </c>
      <c r="H799" s="2200" t="s">
        <v>1057</v>
      </c>
      <c r="I799" s="2742">
        <v>0</v>
      </c>
      <c r="J799" s="2742"/>
      <c r="K799" s="2752">
        <v>45</v>
      </c>
      <c r="L799" s="2745">
        <f t="shared" si="201"/>
        <v>0</v>
      </c>
      <c r="M799" s="2745">
        <f t="shared" si="202"/>
        <v>0</v>
      </c>
      <c r="N799" s="2745">
        <f t="shared" si="203"/>
        <v>20</v>
      </c>
      <c r="O799" s="1232">
        <f t="shared" si="204"/>
        <v>0</v>
      </c>
      <c r="P799" s="1227" t="str">
        <f t="shared" si="211"/>
        <v>095gsm WOODFREE GHS - CHINA</v>
      </c>
      <c r="Q799" s="254">
        <v>0.115</v>
      </c>
      <c r="R799" s="1228" t="str">
        <f t="shared" si="214"/>
        <v>095</v>
      </c>
      <c r="S799" s="2625">
        <f t="shared" si="217"/>
        <v>0</v>
      </c>
      <c r="T799" s="2747">
        <f>IF(L799&gt;0,IF(input!$B$2=$O$1,(((L799+Y799/22)+(L799+Y799/22)*$AG799+$X799)*$P$11+$M$7)/1000,(((L799+Y799/22)+(L799+Y799/22)*O799+(L799+Y799/22)*$AG799+$X799)*$P$11+$M$7)/1000),0)</f>
        <v>0</v>
      </c>
      <c r="U799" s="2747">
        <f t="shared" si="213"/>
        <v>0</v>
      </c>
      <c r="V799" s="1229"/>
      <c r="W799" s="1231" t="str">
        <f t="shared" si="218"/>
        <v>CIF</v>
      </c>
      <c r="X799" s="1230">
        <f t="shared" si="216"/>
        <v>0</v>
      </c>
      <c r="Y799" s="2625">
        <f t="shared" si="207"/>
        <v>0</v>
      </c>
      <c r="Z799" s="3208">
        <f t="shared" si="215"/>
        <v>838.18181818181813</v>
      </c>
      <c r="AA799" s="1220" t="s">
        <v>1361</v>
      </c>
      <c r="AB799" s="1220" t="s">
        <v>1398</v>
      </c>
      <c r="AC799" s="251" t="str">
        <f t="shared" si="208"/>
        <v>095gsm WOODFREE GHS - CHINA</v>
      </c>
      <c r="AD799" s="2746">
        <f>IF(L799&gt;0,IF(input!$B$2=$O$1,(((M799)+(M799)*$M$10)*$P$11)/1000,(((M799)+(M799)*O799+(M799)*$M$10)*$P$11)/1000),0)</f>
        <v>0</v>
      </c>
      <c r="AE799" s="2746">
        <f>IF(L799&gt;0,IF(input!$B$2=$O$1,(((N799)+(N799)*$M$10)*$P$11)/1000,(((N799)+(N799)*O799+(N799)*$M$10)*$P$11)/1000),0)</f>
        <v>0</v>
      </c>
      <c r="AF799" s="136" t="str">
        <f t="shared" si="209"/>
        <v>None</v>
      </c>
      <c r="AG799" s="2628">
        <f t="shared" si="210"/>
        <v>1.2E-2</v>
      </c>
      <c r="AH799" s="1266">
        <v>0.1</v>
      </c>
    </row>
    <row r="800" spans="1:34" ht="12.75">
      <c r="A800" s="2199">
        <f t="shared" si="212"/>
        <v>788</v>
      </c>
      <c r="B800" s="2200" t="s">
        <v>1031</v>
      </c>
      <c r="C800" s="2743">
        <v>0</v>
      </c>
      <c r="D800" s="2743">
        <v>0</v>
      </c>
      <c r="E800" s="2949">
        <v>0</v>
      </c>
      <c r="F800" s="2200">
        <v>20</v>
      </c>
      <c r="G800" s="2200" t="s">
        <v>127</v>
      </c>
      <c r="H800" s="2200" t="s">
        <v>1057</v>
      </c>
      <c r="I800" s="2742">
        <v>0</v>
      </c>
      <c r="J800" s="2742"/>
      <c r="K800" s="2752">
        <v>45</v>
      </c>
      <c r="L800" s="2745">
        <f t="shared" si="201"/>
        <v>0</v>
      </c>
      <c r="M800" s="2745">
        <f t="shared" si="202"/>
        <v>0</v>
      </c>
      <c r="N800" s="2745">
        <f t="shared" si="203"/>
        <v>20</v>
      </c>
      <c r="O800" s="1232">
        <f t="shared" si="204"/>
        <v>0</v>
      </c>
      <c r="P800" s="1227" t="str">
        <f t="shared" si="211"/>
        <v>100gsm WOODFREE GHS - CHINA</v>
      </c>
      <c r="Q800" s="254">
        <v>0.122</v>
      </c>
      <c r="R800" s="1228" t="str">
        <f t="shared" si="214"/>
        <v>100</v>
      </c>
      <c r="S800" s="2625">
        <f t="shared" si="217"/>
        <v>0</v>
      </c>
      <c r="T800" s="2747">
        <f>IF(L800&gt;0,IF(input!$B$2=$O$1,(((L800+Y800/22)+(L800+Y800/22)*$AG800+$X800)*$P$11+$M$7)/1000,(((L800+Y800/22)+(L800+Y800/22)*O800+(L800+Y800/22)*$AG800+$X800)*$P$11+$M$7)/1000),0)</f>
        <v>0</v>
      </c>
      <c r="U800" s="2747">
        <f t="shared" si="213"/>
        <v>0</v>
      </c>
      <c r="V800" s="1229"/>
      <c r="W800" s="1231" t="str">
        <f t="shared" si="218"/>
        <v>CIF</v>
      </c>
      <c r="X800" s="1230">
        <f t="shared" si="216"/>
        <v>0</v>
      </c>
      <c r="Y800" s="2625">
        <f t="shared" si="207"/>
        <v>0</v>
      </c>
      <c r="Z800" s="3208">
        <f t="shared" si="215"/>
        <v>838.18181818181813</v>
      </c>
      <c r="AA800" s="1220" t="s">
        <v>1361</v>
      </c>
      <c r="AB800" s="1220" t="s">
        <v>1398</v>
      </c>
      <c r="AC800" s="251" t="str">
        <f t="shared" si="208"/>
        <v>100gsm WOODFREE GHS - CHINA</v>
      </c>
      <c r="AD800" s="2746">
        <f>IF(L800&gt;0,IF(input!$B$2=$O$1,(((M800)+(M800)*$M$10)*$P$11)/1000,(((M800)+(M800)*O800+(M800)*$M$10)*$P$11)/1000),0)</f>
        <v>0</v>
      </c>
      <c r="AE800" s="2746">
        <f>IF(L800&gt;0,IF(input!$B$2=$O$1,(((N800)+(N800)*$M$10)*$P$11)/1000,(((N800)+(N800)*O800+(N800)*$M$10)*$P$11)/1000),0)</f>
        <v>0</v>
      </c>
      <c r="AF800" s="136" t="str">
        <f t="shared" si="209"/>
        <v>None</v>
      </c>
      <c r="AG800" s="2628">
        <f t="shared" si="210"/>
        <v>1.2E-2</v>
      </c>
      <c r="AH800" s="1266">
        <v>0.1</v>
      </c>
    </row>
    <row r="801" spans="1:34" ht="12.75">
      <c r="A801" s="2199">
        <f t="shared" si="212"/>
        <v>789</v>
      </c>
      <c r="B801" s="2200" t="s">
        <v>1032</v>
      </c>
      <c r="C801" s="2743">
        <v>0</v>
      </c>
      <c r="D801" s="2743">
        <v>0</v>
      </c>
      <c r="E801" s="2949">
        <v>0</v>
      </c>
      <c r="F801" s="2200">
        <v>20</v>
      </c>
      <c r="G801" s="2200" t="s">
        <v>127</v>
      </c>
      <c r="H801" s="2200" t="s">
        <v>1057</v>
      </c>
      <c r="I801" s="2742">
        <v>0</v>
      </c>
      <c r="J801" s="2742"/>
      <c r="K801" s="2752">
        <v>45</v>
      </c>
      <c r="L801" s="2745">
        <f t="shared" si="201"/>
        <v>0</v>
      </c>
      <c r="M801" s="2745">
        <f t="shared" si="202"/>
        <v>0</v>
      </c>
      <c r="N801" s="2745">
        <f t="shared" si="203"/>
        <v>20</v>
      </c>
      <c r="O801" s="1232">
        <f t="shared" si="204"/>
        <v>0</v>
      </c>
      <c r="P801" s="1227" t="str">
        <f t="shared" si="211"/>
        <v>105gsm WOODFREE GHS - CHINA</v>
      </c>
      <c r="Q801" s="254">
        <v>0.127</v>
      </c>
      <c r="R801" s="1228" t="str">
        <f t="shared" si="214"/>
        <v>105</v>
      </c>
      <c r="S801" s="2625">
        <f t="shared" si="217"/>
        <v>0</v>
      </c>
      <c r="T801" s="2747">
        <f>IF(L801&gt;0,IF(input!$B$2=$O$1,(((L801+Y801/22)+(L801+Y801/22)*$AG801+$X801)*$P$11+$M$7)/1000,(((L801+Y801/22)+(L801+Y801/22)*O801+(L801+Y801/22)*$AG801+$X801)*$P$11+$M$7)/1000),0)</f>
        <v>0</v>
      </c>
      <c r="U801" s="2747">
        <f t="shared" si="213"/>
        <v>0</v>
      </c>
      <c r="V801" s="1229"/>
      <c r="W801" s="1231" t="str">
        <f t="shared" si="218"/>
        <v>CIF</v>
      </c>
      <c r="X801" s="1230">
        <f t="shared" si="216"/>
        <v>0</v>
      </c>
      <c r="Y801" s="2625">
        <f t="shared" si="207"/>
        <v>0</v>
      </c>
      <c r="Z801" s="3208">
        <f t="shared" si="215"/>
        <v>838.18181818181813</v>
      </c>
      <c r="AA801" s="1220" t="s">
        <v>1361</v>
      </c>
      <c r="AB801" s="1220" t="s">
        <v>1398</v>
      </c>
      <c r="AC801" s="251" t="str">
        <f t="shared" si="208"/>
        <v>105gsm WOODFREE GHS - CHINA</v>
      </c>
      <c r="AD801" s="2746">
        <f>IF(L801&gt;0,IF(input!$B$2=$O$1,(((M801)+(M801)*$M$10)*$P$11)/1000,(((M801)+(M801)*O801+(M801)*$M$10)*$P$11)/1000),0)</f>
        <v>0</v>
      </c>
      <c r="AE801" s="2746">
        <f>IF(L801&gt;0,IF(input!$B$2=$O$1,(((N801)+(N801)*$M$10)*$P$11)/1000,(((N801)+(N801)*O801+(N801)*$M$10)*$P$11)/1000),0)</f>
        <v>0</v>
      </c>
      <c r="AF801" s="136" t="str">
        <f t="shared" si="209"/>
        <v>None</v>
      </c>
      <c r="AG801" s="2628">
        <f t="shared" si="210"/>
        <v>1.2E-2</v>
      </c>
      <c r="AH801" s="1266">
        <v>0.1</v>
      </c>
    </row>
    <row r="802" spans="1:34" ht="12.75">
      <c r="A802" s="2199">
        <f t="shared" si="212"/>
        <v>790</v>
      </c>
      <c r="B802" s="2200" t="s">
        <v>1033</v>
      </c>
      <c r="C802" s="2743">
        <v>0</v>
      </c>
      <c r="D802" s="2743">
        <v>0</v>
      </c>
      <c r="E802" s="2949">
        <v>0</v>
      </c>
      <c r="F802" s="2200">
        <v>20</v>
      </c>
      <c r="G802" s="2200" t="s">
        <v>127</v>
      </c>
      <c r="H802" s="2200" t="s">
        <v>1057</v>
      </c>
      <c r="I802" s="2742">
        <v>0</v>
      </c>
      <c r="J802" s="2742"/>
      <c r="K802" s="2752">
        <v>45</v>
      </c>
      <c r="L802" s="2745">
        <f t="shared" si="201"/>
        <v>0</v>
      </c>
      <c r="M802" s="2745">
        <f t="shared" si="202"/>
        <v>0</v>
      </c>
      <c r="N802" s="2745">
        <f t="shared" si="203"/>
        <v>20</v>
      </c>
      <c r="O802" s="1232">
        <f t="shared" si="204"/>
        <v>0</v>
      </c>
      <c r="P802" s="1227" t="str">
        <f t="shared" si="211"/>
        <v>110gsm WOODFREE GHS - CHINA</v>
      </c>
      <c r="Q802" s="254">
        <v>0.13</v>
      </c>
      <c r="R802" s="1228" t="str">
        <f t="shared" si="214"/>
        <v>110</v>
      </c>
      <c r="S802" s="2625">
        <f t="shared" si="217"/>
        <v>0</v>
      </c>
      <c r="T802" s="2747">
        <f>IF(L802&gt;0,IF(input!$B$2=$O$1,(((L802+Y802/22)+(L802+Y802/22)*$AG802+$X802)*$P$11+$M$7)/1000,(((L802+Y802/22)+(L802+Y802/22)*O802+(L802+Y802/22)*$AG802+$X802)*$P$11+$M$7)/1000),0)</f>
        <v>0</v>
      </c>
      <c r="U802" s="2747">
        <f t="shared" si="213"/>
        <v>0</v>
      </c>
      <c r="V802" s="1229"/>
      <c r="W802" s="1231" t="str">
        <f t="shared" si="218"/>
        <v>CIF</v>
      </c>
      <c r="X802" s="1230">
        <f t="shared" si="216"/>
        <v>0</v>
      </c>
      <c r="Y802" s="2625">
        <f t="shared" si="207"/>
        <v>0</v>
      </c>
      <c r="Z802" s="3208">
        <f t="shared" si="215"/>
        <v>838.18181818181813</v>
      </c>
      <c r="AA802" s="1220" t="s">
        <v>1361</v>
      </c>
      <c r="AB802" s="1220" t="s">
        <v>1398</v>
      </c>
      <c r="AC802" s="251" t="str">
        <f t="shared" si="208"/>
        <v>110gsm WOODFREE GHS - CHINA</v>
      </c>
      <c r="AD802" s="2746">
        <f>IF(L802&gt;0,IF(input!$B$2=$O$1,(((M802)+(M802)*$M$10)*$P$11)/1000,(((M802)+(M802)*O802+(M802)*$M$10)*$P$11)/1000),0)</f>
        <v>0</v>
      </c>
      <c r="AE802" s="2746">
        <f>IF(L802&gt;0,IF(input!$B$2=$O$1,(((N802)+(N802)*$M$10)*$P$11)/1000,(((N802)+(N802)*O802+(N802)*$M$10)*$P$11)/1000),0)</f>
        <v>0</v>
      </c>
      <c r="AF802" s="136" t="str">
        <f t="shared" si="209"/>
        <v>None</v>
      </c>
      <c r="AG802" s="2628">
        <f t="shared" si="210"/>
        <v>1.2E-2</v>
      </c>
      <c r="AH802" s="1266">
        <v>0.1</v>
      </c>
    </row>
    <row r="803" spans="1:34" ht="12.75">
      <c r="A803" s="2199">
        <f t="shared" si="212"/>
        <v>791</v>
      </c>
      <c r="B803" s="2200" t="s">
        <v>1034</v>
      </c>
      <c r="C803" s="2743">
        <v>0</v>
      </c>
      <c r="D803" s="2743">
        <v>0</v>
      </c>
      <c r="E803" s="2949">
        <v>0</v>
      </c>
      <c r="F803" s="2200">
        <v>20</v>
      </c>
      <c r="G803" s="2200" t="s">
        <v>127</v>
      </c>
      <c r="H803" s="2200" t="s">
        <v>1057</v>
      </c>
      <c r="I803" s="2742">
        <v>0</v>
      </c>
      <c r="J803" s="2742"/>
      <c r="K803" s="2752">
        <v>45</v>
      </c>
      <c r="L803" s="2745">
        <f t="shared" si="201"/>
        <v>0</v>
      </c>
      <c r="M803" s="2745">
        <f t="shared" si="202"/>
        <v>0</v>
      </c>
      <c r="N803" s="2745">
        <f t="shared" si="203"/>
        <v>20</v>
      </c>
      <c r="O803" s="1232">
        <f t="shared" si="204"/>
        <v>0</v>
      </c>
      <c r="P803" s="1227" t="str">
        <f t="shared" si="211"/>
        <v>120gsm WOODFREE GHS - CHINA</v>
      </c>
      <c r="Q803" s="254">
        <v>0.14199999999999999</v>
      </c>
      <c r="R803" s="1228" t="str">
        <f t="shared" si="214"/>
        <v>120</v>
      </c>
      <c r="S803" s="2625">
        <f t="shared" si="217"/>
        <v>0</v>
      </c>
      <c r="T803" s="2747">
        <f>IF(L803&gt;0,IF(input!$B$2=$O$1,(((L803+Y803/22)+(L803+Y803/22)*$AG803+$X803)*$P$11+$M$7)/1000,(((L803+Y803/22)+(L803+Y803/22)*O803+(L803+Y803/22)*$AG803+$X803)*$P$11+$M$7)/1000),0)</f>
        <v>0</v>
      </c>
      <c r="U803" s="2747">
        <f t="shared" si="213"/>
        <v>0</v>
      </c>
      <c r="V803" s="1229"/>
      <c r="W803" s="1231" t="str">
        <f t="shared" si="218"/>
        <v>CIF</v>
      </c>
      <c r="X803" s="1230">
        <f t="shared" si="216"/>
        <v>0</v>
      </c>
      <c r="Y803" s="2625">
        <f t="shared" si="207"/>
        <v>0</v>
      </c>
      <c r="Z803" s="3208">
        <f t="shared" si="215"/>
        <v>838.18181818181813</v>
      </c>
      <c r="AA803" s="1220" t="s">
        <v>1361</v>
      </c>
      <c r="AB803" s="1220" t="s">
        <v>1398</v>
      </c>
      <c r="AC803" s="251" t="str">
        <f t="shared" si="208"/>
        <v>120gsm WOODFREE GHS - CHINA</v>
      </c>
      <c r="AD803" s="2746">
        <f>IF(L803&gt;0,IF(input!$B$2=$O$1,(((M803)+(M803)*$M$10)*$P$11)/1000,(((M803)+(M803)*O803+(M803)*$M$10)*$P$11)/1000),0)</f>
        <v>0</v>
      </c>
      <c r="AE803" s="2746">
        <f>IF(L803&gt;0,IF(input!$B$2=$O$1,(((N803)+(N803)*$M$10)*$P$11)/1000,(((N803)+(N803)*O803+(N803)*$M$10)*$P$11)/1000),0)</f>
        <v>0</v>
      </c>
      <c r="AF803" s="136" t="str">
        <f t="shared" si="209"/>
        <v>None</v>
      </c>
      <c r="AG803" s="2628">
        <f t="shared" si="210"/>
        <v>1.2E-2</v>
      </c>
      <c r="AH803" s="1266">
        <v>0.1</v>
      </c>
    </row>
    <row r="804" spans="1:34" ht="12.75">
      <c r="A804" s="2199">
        <f t="shared" si="212"/>
        <v>792</v>
      </c>
      <c r="B804" s="2200" t="s">
        <v>1035</v>
      </c>
      <c r="C804" s="2743">
        <v>0</v>
      </c>
      <c r="D804" s="2743">
        <v>0</v>
      </c>
      <c r="E804" s="2949">
        <v>0</v>
      </c>
      <c r="F804" s="2200">
        <v>20</v>
      </c>
      <c r="G804" s="2200" t="s">
        <v>127</v>
      </c>
      <c r="H804" s="2200" t="s">
        <v>1057</v>
      </c>
      <c r="I804" s="2742">
        <v>0</v>
      </c>
      <c r="J804" s="2742"/>
      <c r="K804" s="2752">
        <v>45</v>
      </c>
      <c r="L804" s="2745">
        <f t="shared" si="201"/>
        <v>0</v>
      </c>
      <c r="M804" s="2745">
        <f t="shared" si="202"/>
        <v>0</v>
      </c>
      <c r="N804" s="2745">
        <f t="shared" si="203"/>
        <v>20</v>
      </c>
      <c r="O804" s="1232">
        <f t="shared" si="204"/>
        <v>0</v>
      </c>
      <c r="P804" s="1227" t="str">
        <f t="shared" si="211"/>
        <v>140gsm WOODFREE GHS - CHINA</v>
      </c>
      <c r="Q804" s="254">
        <v>0.16500000000000001</v>
      </c>
      <c r="R804" s="1228" t="str">
        <f t="shared" si="214"/>
        <v>140</v>
      </c>
      <c r="S804" s="2625">
        <f t="shared" si="217"/>
        <v>0</v>
      </c>
      <c r="T804" s="2747">
        <f>IF(L804&gt;0,IF(input!$B$2=$O$1,(((L804+Y804/22)+(L804+Y804/22)*$AG804+$X804)*$P$11+$M$7)/1000,(((L804+Y804/22)+(L804+Y804/22)*O804+(L804+Y804/22)*$AG804+$X804)*$P$11+$M$7)/1000),0)</f>
        <v>0</v>
      </c>
      <c r="U804" s="2747">
        <f t="shared" si="213"/>
        <v>0</v>
      </c>
      <c r="V804" s="1229"/>
      <c r="W804" s="1231" t="str">
        <f t="shared" si="218"/>
        <v>CIF</v>
      </c>
      <c r="X804" s="1230">
        <f t="shared" si="216"/>
        <v>0</v>
      </c>
      <c r="Y804" s="2625">
        <f t="shared" si="207"/>
        <v>0</v>
      </c>
      <c r="Z804" s="3208">
        <f t="shared" si="215"/>
        <v>838.18181818181813</v>
      </c>
      <c r="AA804" s="1220" t="s">
        <v>1361</v>
      </c>
      <c r="AB804" s="1220" t="s">
        <v>1398</v>
      </c>
      <c r="AC804" s="251" t="str">
        <f t="shared" si="208"/>
        <v>140gsm WOODFREE GHS - CHINA</v>
      </c>
      <c r="AD804" s="2746">
        <f>IF(L804&gt;0,IF(input!$B$2=$O$1,(((M804)+(M804)*$M$10)*$P$11)/1000,(((M804)+(M804)*O804+(M804)*$M$10)*$P$11)/1000),0)</f>
        <v>0</v>
      </c>
      <c r="AE804" s="2746">
        <f>IF(L804&gt;0,IF(input!$B$2=$O$1,(((N804)+(N804)*$M$10)*$P$11)/1000,(((N804)+(N804)*O804+(N804)*$M$10)*$P$11)/1000),0)</f>
        <v>0</v>
      </c>
      <c r="AF804" s="136" t="str">
        <f t="shared" si="209"/>
        <v>None</v>
      </c>
      <c r="AG804" s="2628">
        <f t="shared" si="210"/>
        <v>1.2E-2</v>
      </c>
      <c r="AH804" s="1266">
        <v>0.1</v>
      </c>
    </row>
    <row r="805" spans="1:34" ht="12.75">
      <c r="A805" s="2199">
        <f t="shared" si="212"/>
        <v>793</v>
      </c>
      <c r="B805" s="2200" t="s">
        <v>1036</v>
      </c>
      <c r="C805" s="2743">
        <v>0</v>
      </c>
      <c r="D805" s="2743">
        <v>0</v>
      </c>
      <c r="E805" s="2949">
        <v>0</v>
      </c>
      <c r="F805" s="2200">
        <v>20</v>
      </c>
      <c r="G805" s="2200" t="s">
        <v>127</v>
      </c>
      <c r="H805" s="2200" t="s">
        <v>1057</v>
      </c>
      <c r="I805" s="2742">
        <v>0</v>
      </c>
      <c r="J805" s="2742"/>
      <c r="K805" s="2752">
        <v>45</v>
      </c>
      <c r="L805" s="2745">
        <f t="shared" si="201"/>
        <v>0</v>
      </c>
      <c r="M805" s="2745">
        <f t="shared" si="202"/>
        <v>0</v>
      </c>
      <c r="N805" s="2745">
        <f t="shared" si="203"/>
        <v>20</v>
      </c>
      <c r="O805" s="1232">
        <f t="shared" si="204"/>
        <v>0</v>
      </c>
      <c r="P805" s="1227" t="str">
        <f t="shared" si="211"/>
        <v>150gsm WOODFREE GHS - CHINA</v>
      </c>
      <c r="Q805" s="254">
        <v>0.17499999999999999</v>
      </c>
      <c r="R805" s="1228" t="str">
        <f t="shared" si="214"/>
        <v>150</v>
      </c>
      <c r="S805" s="2625">
        <f t="shared" si="217"/>
        <v>0</v>
      </c>
      <c r="T805" s="2747">
        <f>IF(L805&gt;0,IF(input!$B$2=$O$1,(((L805+Y805/22)+(L805+Y805/22)*$AG805+$X805)*$P$11+$M$7)/1000,(((L805+Y805/22)+(L805+Y805/22)*O805+(L805+Y805/22)*$AG805+$X805)*$P$11+$M$7)/1000),0)</f>
        <v>0</v>
      </c>
      <c r="U805" s="2747">
        <f t="shared" si="213"/>
        <v>0</v>
      </c>
      <c r="V805" s="1229"/>
      <c r="W805" s="1231" t="str">
        <f t="shared" si="218"/>
        <v>CIF</v>
      </c>
      <c r="X805" s="1230">
        <f t="shared" si="216"/>
        <v>0</v>
      </c>
      <c r="Y805" s="2625">
        <f t="shared" si="207"/>
        <v>0</v>
      </c>
      <c r="Z805" s="3208">
        <f t="shared" si="215"/>
        <v>838.18181818181813</v>
      </c>
      <c r="AA805" s="1220" t="s">
        <v>1361</v>
      </c>
      <c r="AB805" s="1220" t="s">
        <v>1398</v>
      </c>
      <c r="AC805" s="251" t="str">
        <f t="shared" si="208"/>
        <v>150gsm WOODFREE GHS - CHINA</v>
      </c>
      <c r="AD805" s="2746">
        <f>IF(L805&gt;0,IF(input!$B$2=$O$1,(((M805)+(M805)*$M$10)*$P$11)/1000,(((M805)+(M805)*O805+(M805)*$M$10)*$P$11)/1000),0)</f>
        <v>0</v>
      </c>
      <c r="AE805" s="2746">
        <f>IF(L805&gt;0,IF(input!$B$2=$O$1,(((N805)+(N805)*$M$10)*$P$11)/1000,(((N805)+(N805)*O805+(N805)*$M$10)*$P$11)/1000),0)</f>
        <v>0</v>
      </c>
      <c r="AF805" s="136" t="str">
        <f t="shared" si="209"/>
        <v>None</v>
      </c>
      <c r="AG805" s="2628">
        <f t="shared" si="210"/>
        <v>1.2E-2</v>
      </c>
      <c r="AH805" s="1266">
        <v>0.1</v>
      </c>
    </row>
    <row r="806" spans="1:34" ht="12.75">
      <c r="A806" s="2199">
        <f t="shared" si="212"/>
        <v>794</v>
      </c>
      <c r="B806" s="2200" t="s">
        <v>1037</v>
      </c>
      <c r="C806" s="2743">
        <v>0</v>
      </c>
      <c r="D806" s="2743">
        <v>0</v>
      </c>
      <c r="E806" s="2949">
        <v>0</v>
      </c>
      <c r="F806" s="2200">
        <v>20</v>
      </c>
      <c r="G806" s="2200" t="s">
        <v>127</v>
      </c>
      <c r="H806" s="2200" t="s">
        <v>1057</v>
      </c>
      <c r="I806" s="2742">
        <v>0</v>
      </c>
      <c r="J806" s="2742"/>
      <c r="K806" s="2752">
        <v>45</v>
      </c>
      <c r="L806" s="2745">
        <f t="shared" si="201"/>
        <v>0</v>
      </c>
      <c r="M806" s="2745">
        <f t="shared" si="202"/>
        <v>0</v>
      </c>
      <c r="N806" s="2745">
        <f t="shared" si="203"/>
        <v>20</v>
      </c>
      <c r="O806" s="1232">
        <f t="shared" si="204"/>
        <v>0</v>
      </c>
      <c r="P806" s="1227" t="str">
        <f t="shared" si="211"/>
        <v>160gsm WOODFREE GHS - CHINA</v>
      </c>
      <c r="Q806" s="254">
        <v>0.19</v>
      </c>
      <c r="R806" s="1228" t="str">
        <f t="shared" si="214"/>
        <v>160</v>
      </c>
      <c r="S806" s="2625">
        <f t="shared" si="217"/>
        <v>0</v>
      </c>
      <c r="T806" s="2747">
        <f>IF(L806&gt;0,IF(input!$B$2=$O$1,(((L806+Y806/22)+(L806+Y806/22)*$AG806+$X806)*$P$11+$M$7)/1000,(((L806+Y806/22)+(L806+Y806/22)*O806+(L806+Y806/22)*$AG806+$X806)*$P$11+$M$7)/1000),0)</f>
        <v>0</v>
      </c>
      <c r="U806" s="2747">
        <f t="shared" si="213"/>
        <v>0</v>
      </c>
      <c r="V806" s="1229"/>
      <c r="W806" s="1231" t="str">
        <f t="shared" si="218"/>
        <v>CIF</v>
      </c>
      <c r="X806" s="1230">
        <f t="shared" si="216"/>
        <v>0</v>
      </c>
      <c r="Y806" s="2625">
        <f t="shared" si="207"/>
        <v>0</v>
      </c>
      <c r="Z806" s="3208">
        <f t="shared" si="215"/>
        <v>838.18181818181813</v>
      </c>
      <c r="AA806" s="1220" t="s">
        <v>1361</v>
      </c>
      <c r="AB806" s="1220" t="s">
        <v>1398</v>
      </c>
      <c r="AC806" s="251" t="str">
        <f t="shared" si="208"/>
        <v>160gsm WOODFREE GHS - CHINA</v>
      </c>
      <c r="AD806" s="2746">
        <f>IF(L806&gt;0,IF(input!$B$2=$O$1,(((M806)+(M806)*$M$10)*$P$11)/1000,(((M806)+(M806)*O806+(M806)*$M$10)*$P$11)/1000),0)</f>
        <v>0</v>
      </c>
      <c r="AE806" s="2746">
        <f>IF(L806&gt;0,IF(input!$B$2=$O$1,(((N806)+(N806)*$M$10)*$P$11)/1000,(((N806)+(N806)*O806+(N806)*$M$10)*$P$11)/1000),0)</f>
        <v>0</v>
      </c>
      <c r="AF806" s="136" t="str">
        <f t="shared" si="209"/>
        <v>None</v>
      </c>
      <c r="AG806" s="2628">
        <f t="shared" si="210"/>
        <v>1.2E-2</v>
      </c>
      <c r="AH806" s="1266">
        <v>0.1</v>
      </c>
    </row>
    <row r="807" spans="1:34" ht="12.75">
      <c r="A807" s="2199">
        <f t="shared" si="212"/>
        <v>795</v>
      </c>
      <c r="B807" s="2200" t="s">
        <v>1038</v>
      </c>
      <c r="C807" s="2743">
        <v>0</v>
      </c>
      <c r="D807" s="2743">
        <v>0</v>
      </c>
      <c r="E807" s="2949">
        <v>0</v>
      </c>
      <c r="F807" s="2200">
        <v>20</v>
      </c>
      <c r="G807" s="2200" t="s">
        <v>127</v>
      </c>
      <c r="H807" s="2200" t="s">
        <v>1057</v>
      </c>
      <c r="I807" s="2742">
        <v>0</v>
      </c>
      <c r="J807" s="2742"/>
      <c r="K807" s="2752">
        <v>45</v>
      </c>
      <c r="L807" s="2745">
        <f t="shared" si="201"/>
        <v>0</v>
      </c>
      <c r="M807" s="2745">
        <f t="shared" si="202"/>
        <v>0</v>
      </c>
      <c r="N807" s="2745">
        <f t="shared" si="203"/>
        <v>20</v>
      </c>
      <c r="O807" s="1232">
        <f t="shared" si="204"/>
        <v>0</v>
      </c>
      <c r="P807" s="1227" t="str">
        <f t="shared" si="211"/>
        <v>165gsm WOODFREE GHS - CHINA</v>
      </c>
      <c r="Q807" s="254">
        <v>0.19500000000000001</v>
      </c>
      <c r="R807" s="1228" t="str">
        <f t="shared" si="214"/>
        <v>165</v>
      </c>
      <c r="S807" s="2625">
        <f t="shared" si="217"/>
        <v>0</v>
      </c>
      <c r="T807" s="2747">
        <f>IF(L807&gt;0,IF(input!$B$2=$O$1,(((L807+Y807/22)+(L807+Y807/22)*$AG807+$X807)*$P$11+$M$7)/1000,(((L807+Y807/22)+(L807+Y807/22)*O807+(L807+Y807/22)*$AG807+$X807)*$P$11+$M$7)/1000),0)</f>
        <v>0</v>
      </c>
      <c r="U807" s="2747">
        <f t="shared" si="213"/>
        <v>0</v>
      </c>
      <c r="V807" s="1229"/>
      <c r="W807" s="1231" t="str">
        <f t="shared" si="218"/>
        <v>CIF</v>
      </c>
      <c r="X807" s="1230">
        <f t="shared" si="216"/>
        <v>0</v>
      </c>
      <c r="Y807" s="2625">
        <f t="shared" si="207"/>
        <v>0</v>
      </c>
      <c r="Z807" s="3208">
        <f t="shared" si="215"/>
        <v>838.18181818181813</v>
      </c>
      <c r="AA807" s="1220" t="s">
        <v>1361</v>
      </c>
      <c r="AB807" s="1220" t="s">
        <v>1398</v>
      </c>
      <c r="AC807" s="251" t="str">
        <f t="shared" si="208"/>
        <v>165gsm WOODFREE GHS - CHINA</v>
      </c>
      <c r="AD807" s="2746">
        <f>IF(L807&gt;0,IF(input!$B$2=$O$1,(((M807)+(M807)*$M$10)*$P$11)/1000,(((M807)+(M807)*O807+(M807)*$M$10)*$P$11)/1000),0)</f>
        <v>0</v>
      </c>
      <c r="AE807" s="2746">
        <f>IF(L807&gt;0,IF(input!$B$2=$O$1,(((N807)+(N807)*$M$10)*$P$11)/1000,(((N807)+(N807)*O807+(N807)*$M$10)*$P$11)/1000),0)</f>
        <v>0</v>
      </c>
      <c r="AF807" s="136" t="str">
        <f t="shared" si="209"/>
        <v>None</v>
      </c>
      <c r="AG807" s="2628">
        <f t="shared" si="210"/>
        <v>1.2E-2</v>
      </c>
      <c r="AH807" s="1266">
        <v>0.1</v>
      </c>
    </row>
    <row r="808" spans="1:34" ht="12.75">
      <c r="A808" s="2199">
        <f t="shared" si="212"/>
        <v>796</v>
      </c>
      <c r="B808" s="2200" t="s">
        <v>1039</v>
      </c>
      <c r="C808" s="2743">
        <v>0</v>
      </c>
      <c r="D808" s="2743">
        <v>0</v>
      </c>
      <c r="E808" s="2949">
        <v>0</v>
      </c>
      <c r="F808" s="2200">
        <v>20</v>
      </c>
      <c r="G808" s="2200" t="s">
        <v>127</v>
      </c>
      <c r="H808" s="2200" t="s">
        <v>1057</v>
      </c>
      <c r="I808" s="2742">
        <v>0</v>
      </c>
      <c r="J808" s="2742"/>
      <c r="K808" s="2752">
        <v>45</v>
      </c>
      <c r="L808" s="2745">
        <f t="shared" si="201"/>
        <v>0</v>
      </c>
      <c r="M808" s="2745">
        <f t="shared" si="202"/>
        <v>0</v>
      </c>
      <c r="N808" s="2745">
        <f t="shared" si="203"/>
        <v>20</v>
      </c>
      <c r="O808" s="1232">
        <f t="shared" si="204"/>
        <v>0</v>
      </c>
      <c r="P808" s="1227" t="str">
        <f t="shared" si="211"/>
        <v>170gsm WOODFREE GHS - CHINA</v>
      </c>
      <c r="Q808" s="254">
        <v>0.2</v>
      </c>
      <c r="R808" s="1228" t="str">
        <f t="shared" si="214"/>
        <v>170</v>
      </c>
      <c r="S808" s="2625">
        <f t="shared" si="217"/>
        <v>0</v>
      </c>
      <c r="T808" s="2747">
        <f>IF(L808&gt;0,IF(input!$B$2=$O$1,(((L808+Y808/22)+(L808+Y808/22)*$AG808+$X808)*$P$11+$M$7)/1000,(((L808+Y808/22)+(L808+Y808/22)*O808+(L808+Y808/22)*$AG808+$X808)*$P$11+$M$7)/1000),0)</f>
        <v>0</v>
      </c>
      <c r="U808" s="2747">
        <f t="shared" si="213"/>
        <v>0</v>
      </c>
      <c r="V808" s="1229"/>
      <c r="W808" s="1231" t="str">
        <f t="shared" si="218"/>
        <v>CIF</v>
      </c>
      <c r="X808" s="1230">
        <f t="shared" si="216"/>
        <v>0</v>
      </c>
      <c r="Y808" s="2625">
        <f t="shared" si="207"/>
        <v>0</v>
      </c>
      <c r="Z808" s="3208">
        <f t="shared" si="215"/>
        <v>838.18181818181813</v>
      </c>
      <c r="AA808" s="1220" t="s">
        <v>1361</v>
      </c>
      <c r="AB808" s="1220" t="s">
        <v>1398</v>
      </c>
      <c r="AC808" s="251" t="str">
        <f t="shared" si="208"/>
        <v>170gsm WOODFREE GHS - CHINA</v>
      </c>
      <c r="AD808" s="2746">
        <f>IF(L808&gt;0,IF(input!$B$2=$O$1,(((M808)+(M808)*$M$10)*$P$11)/1000,(((M808)+(M808)*O808+(M808)*$M$10)*$P$11)/1000),0)</f>
        <v>0</v>
      </c>
      <c r="AE808" s="2746">
        <f>IF(L808&gt;0,IF(input!$B$2=$O$1,(((N808)+(N808)*$M$10)*$P$11)/1000,(((N808)+(N808)*O808+(N808)*$M$10)*$P$11)/1000),0)</f>
        <v>0</v>
      </c>
      <c r="AF808" s="136" t="str">
        <f t="shared" si="209"/>
        <v>None</v>
      </c>
      <c r="AG808" s="2628">
        <f t="shared" si="210"/>
        <v>1.2E-2</v>
      </c>
      <c r="AH808" s="1266">
        <v>0.1</v>
      </c>
    </row>
    <row r="809" spans="1:34" ht="12.75">
      <c r="A809" s="2199">
        <f t="shared" si="212"/>
        <v>797</v>
      </c>
      <c r="B809" s="2200" t="s">
        <v>1040</v>
      </c>
      <c r="C809" s="2743">
        <v>0</v>
      </c>
      <c r="D809" s="2743">
        <v>0</v>
      </c>
      <c r="E809" s="2949">
        <v>0</v>
      </c>
      <c r="F809" s="2200">
        <v>20</v>
      </c>
      <c r="G809" s="2200" t="s">
        <v>127</v>
      </c>
      <c r="H809" s="2200" t="s">
        <v>1057</v>
      </c>
      <c r="I809" s="2742">
        <v>0</v>
      </c>
      <c r="J809" s="2742"/>
      <c r="K809" s="2752">
        <v>45</v>
      </c>
      <c r="L809" s="2745">
        <f t="shared" si="201"/>
        <v>0</v>
      </c>
      <c r="M809" s="2745">
        <f t="shared" si="202"/>
        <v>0</v>
      </c>
      <c r="N809" s="2745">
        <f t="shared" si="203"/>
        <v>20</v>
      </c>
      <c r="O809" s="1232">
        <f t="shared" si="204"/>
        <v>0</v>
      </c>
      <c r="P809" s="1227" t="str">
        <f t="shared" si="211"/>
        <v>180gsm WOODFREE GHS - CHINA</v>
      </c>
      <c r="Q809" s="254">
        <v>0.22</v>
      </c>
      <c r="R809" s="1228" t="str">
        <f t="shared" si="214"/>
        <v>180</v>
      </c>
      <c r="S809" s="2625">
        <f t="shared" si="217"/>
        <v>0</v>
      </c>
      <c r="T809" s="2747">
        <f>IF(L809&gt;0,IF(input!$B$2=$O$1,(((L809+Y809/22)+(L809+Y809/22)*$AG809+$X809)*$P$11+$M$7)/1000,(((L809+Y809/22)+(L809+Y809/22)*O809+(L809+Y809/22)*$AG809+$X809)*$P$11+$M$7)/1000),0)</f>
        <v>0</v>
      </c>
      <c r="U809" s="2747">
        <f t="shared" si="213"/>
        <v>0</v>
      </c>
      <c r="V809" s="1229"/>
      <c r="W809" s="1231" t="str">
        <f t="shared" si="218"/>
        <v>CIF</v>
      </c>
      <c r="X809" s="1230">
        <f t="shared" si="216"/>
        <v>0</v>
      </c>
      <c r="Y809" s="2625">
        <f t="shared" si="207"/>
        <v>0</v>
      </c>
      <c r="Z809" s="3208">
        <f t="shared" si="215"/>
        <v>838.18181818181813</v>
      </c>
      <c r="AA809" s="1220" t="s">
        <v>1361</v>
      </c>
      <c r="AB809" s="1220" t="s">
        <v>1398</v>
      </c>
      <c r="AC809" s="251" t="str">
        <f t="shared" si="208"/>
        <v>180gsm WOODFREE GHS - CHINA</v>
      </c>
      <c r="AD809" s="2746">
        <f>IF(L809&gt;0,IF(input!$B$2=$O$1,(((M809)+(M809)*$M$10)*$P$11)/1000,(((M809)+(M809)*O809+(M809)*$M$10)*$P$11)/1000),0)</f>
        <v>0</v>
      </c>
      <c r="AE809" s="2746">
        <f>IF(L809&gt;0,IF(input!$B$2=$O$1,(((N809)+(N809)*$M$10)*$P$11)/1000,(((N809)+(N809)*O809+(N809)*$M$10)*$P$11)/1000),0)</f>
        <v>0</v>
      </c>
      <c r="AF809" s="136" t="str">
        <f t="shared" si="209"/>
        <v>None</v>
      </c>
      <c r="AG809" s="2628">
        <f t="shared" si="210"/>
        <v>1.2E-2</v>
      </c>
      <c r="AH809" s="1266">
        <v>0.1</v>
      </c>
    </row>
    <row r="810" spans="1:34" ht="12.75">
      <c r="A810" s="2199">
        <f t="shared" si="212"/>
        <v>798</v>
      </c>
      <c r="B810" s="2200" t="s">
        <v>1041</v>
      </c>
      <c r="C810" s="2743">
        <v>0</v>
      </c>
      <c r="D810" s="2743">
        <v>0</v>
      </c>
      <c r="E810" s="2949">
        <v>0</v>
      </c>
      <c r="F810" s="2200">
        <v>20</v>
      </c>
      <c r="G810" s="2200" t="s">
        <v>127</v>
      </c>
      <c r="H810" s="2200" t="s">
        <v>1057</v>
      </c>
      <c r="I810" s="2742">
        <v>0</v>
      </c>
      <c r="J810" s="2742"/>
      <c r="K810" s="2752">
        <v>45</v>
      </c>
      <c r="L810" s="2745">
        <f t="shared" si="201"/>
        <v>0</v>
      </c>
      <c r="M810" s="2745">
        <f t="shared" si="202"/>
        <v>0</v>
      </c>
      <c r="N810" s="2745">
        <f t="shared" si="203"/>
        <v>20</v>
      </c>
      <c r="O810" s="1232">
        <f t="shared" si="204"/>
        <v>0</v>
      </c>
      <c r="P810" s="1227" t="str">
        <f t="shared" si="211"/>
        <v>185gsm WOODFREE GHS - CHINA</v>
      </c>
      <c r="Q810" s="254">
        <v>0.22500000000000001</v>
      </c>
      <c r="R810" s="1228" t="str">
        <f t="shared" si="214"/>
        <v>185</v>
      </c>
      <c r="S810" s="2625">
        <f t="shared" si="217"/>
        <v>0</v>
      </c>
      <c r="T810" s="2747">
        <f>IF(L810&gt;0,IF(input!$B$2=$O$1,(((L810+Y810/22)+(L810+Y810/22)*$AG810+$X810)*$P$11+$M$7)/1000,(((L810+Y810/22)+(L810+Y810/22)*O810+(L810+Y810/22)*$AG810+$X810)*$P$11+$M$7)/1000),0)</f>
        <v>0</v>
      </c>
      <c r="U810" s="2747">
        <f t="shared" si="213"/>
        <v>0</v>
      </c>
      <c r="V810" s="1229"/>
      <c r="W810" s="1231" t="str">
        <f t="shared" si="218"/>
        <v>CIF</v>
      </c>
      <c r="X810" s="1230">
        <f t="shared" si="216"/>
        <v>0</v>
      </c>
      <c r="Y810" s="2625">
        <f t="shared" si="207"/>
        <v>0</v>
      </c>
      <c r="Z810" s="3208">
        <f t="shared" si="215"/>
        <v>838.18181818181813</v>
      </c>
      <c r="AA810" s="1220" t="s">
        <v>1361</v>
      </c>
      <c r="AB810" s="1220" t="s">
        <v>1398</v>
      </c>
      <c r="AC810" s="251" t="str">
        <f t="shared" si="208"/>
        <v>185gsm WOODFREE GHS - CHINA</v>
      </c>
      <c r="AD810" s="2746">
        <f>IF(L810&gt;0,IF(input!$B$2=$O$1,(((M810)+(M810)*$M$10)*$P$11)/1000,(((M810)+(M810)*O810+(M810)*$M$10)*$P$11)/1000),0)</f>
        <v>0</v>
      </c>
      <c r="AE810" s="2746">
        <f>IF(L810&gt;0,IF(input!$B$2=$O$1,(((N810)+(N810)*$M$10)*$P$11)/1000,(((N810)+(N810)*O810+(N810)*$M$10)*$P$11)/1000),0)</f>
        <v>0</v>
      </c>
      <c r="AF810" s="136" t="str">
        <f t="shared" si="209"/>
        <v>None</v>
      </c>
      <c r="AG810" s="2628">
        <f t="shared" si="210"/>
        <v>1.2E-2</v>
      </c>
      <c r="AH810" s="1266">
        <v>0.1</v>
      </c>
    </row>
    <row r="811" spans="1:34" ht="12.75">
      <c r="A811" s="2199">
        <f t="shared" si="212"/>
        <v>799</v>
      </c>
      <c r="B811" s="2200" t="s">
        <v>1042</v>
      </c>
      <c r="C811" s="2743">
        <v>0</v>
      </c>
      <c r="D811" s="2743">
        <v>0</v>
      </c>
      <c r="E811" s="2949">
        <v>0</v>
      </c>
      <c r="F811" s="2200">
        <v>20</v>
      </c>
      <c r="G811" s="2200" t="s">
        <v>127</v>
      </c>
      <c r="H811" s="2200" t="s">
        <v>1057</v>
      </c>
      <c r="I811" s="2742">
        <v>0</v>
      </c>
      <c r="J811" s="2742"/>
      <c r="K811" s="2752">
        <v>45</v>
      </c>
      <c r="L811" s="2745">
        <f t="shared" si="201"/>
        <v>0</v>
      </c>
      <c r="M811" s="2745">
        <f t="shared" si="202"/>
        <v>0</v>
      </c>
      <c r="N811" s="2745">
        <f t="shared" si="203"/>
        <v>20</v>
      </c>
      <c r="O811" s="1232">
        <f t="shared" si="204"/>
        <v>0</v>
      </c>
      <c r="P811" s="1227" t="str">
        <f t="shared" si="211"/>
        <v>190gsm WOODFREE GHS - CHINA</v>
      </c>
      <c r="Q811" s="254">
        <v>0.23</v>
      </c>
      <c r="R811" s="1228" t="str">
        <f t="shared" si="214"/>
        <v>190</v>
      </c>
      <c r="S811" s="2625">
        <f t="shared" si="217"/>
        <v>0</v>
      </c>
      <c r="T811" s="2747">
        <f>IF(L811&gt;0,IF(input!$B$2=$O$1,(((L811+Y811/22)+(L811+Y811/22)*$AG811+$X811)*$P$11+$M$7)/1000,(((L811+Y811/22)+(L811+Y811/22)*O811+(L811+Y811/22)*$AG811+$X811)*$P$11+$M$7)/1000),0)</f>
        <v>0</v>
      </c>
      <c r="U811" s="2747">
        <f t="shared" si="213"/>
        <v>0</v>
      </c>
      <c r="V811" s="1229"/>
      <c r="W811" s="1231" t="str">
        <f t="shared" si="218"/>
        <v>CIF</v>
      </c>
      <c r="X811" s="1230">
        <f t="shared" si="216"/>
        <v>0</v>
      </c>
      <c r="Y811" s="2625">
        <f t="shared" si="207"/>
        <v>0</v>
      </c>
      <c r="Z811" s="3208">
        <f t="shared" si="215"/>
        <v>838.18181818181813</v>
      </c>
      <c r="AA811" s="1220" t="s">
        <v>1361</v>
      </c>
      <c r="AB811" s="1220" t="s">
        <v>1398</v>
      </c>
      <c r="AC811" s="251" t="str">
        <f t="shared" si="208"/>
        <v>190gsm WOODFREE GHS - CHINA</v>
      </c>
      <c r="AD811" s="2746">
        <f>IF(L811&gt;0,IF(input!$B$2=$O$1,(((M811)+(M811)*$M$10)*$P$11)/1000,(((M811)+(M811)*O811+(M811)*$M$10)*$P$11)/1000),0)</f>
        <v>0</v>
      </c>
      <c r="AE811" s="2746">
        <f>IF(L811&gt;0,IF(input!$B$2=$O$1,(((N811)+(N811)*$M$10)*$P$11)/1000,(((N811)+(N811)*O811+(N811)*$M$10)*$P$11)/1000),0)</f>
        <v>0</v>
      </c>
      <c r="AF811" s="136" t="str">
        <f t="shared" si="209"/>
        <v>None</v>
      </c>
      <c r="AG811" s="2628">
        <f t="shared" si="210"/>
        <v>1.2E-2</v>
      </c>
      <c r="AH811" s="1266">
        <v>0.1</v>
      </c>
    </row>
    <row r="812" spans="1:34" ht="12.75">
      <c r="A812" s="2199">
        <f t="shared" si="212"/>
        <v>800</v>
      </c>
      <c r="B812" s="2200" t="s">
        <v>2863</v>
      </c>
      <c r="C812" s="2743">
        <v>0</v>
      </c>
      <c r="D812" s="2743">
        <v>560</v>
      </c>
      <c r="E812" s="2949">
        <v>0</v>
      </c>
      <c r="F812" s="2200" t="s">
        <v>2313</v>
      </c>
      <c r="G812" s="2200" t="s">
        <v>127</v>
      </c>
      <c r="H812" s="2200" t="s">
        <v>1057</v>
      </c>
      <c r="I812" s="2742">
        <v>0</v>
      </c>
      <c r="J812" s="2742"/>
      <c r="K812" s="2752">
        <v>70</v>
      </c>
      <c r="L812" s="2745">
        <f t="shared" si="201"/>
        <v>560</v>
      </c>
      <c r="M812" s="2745">
        <f>I812</f>
        <v>0</v>
      </c>
      <c r="N812" s="2745" t="str">
        <f t="shared" si="203"/>
        <v>check</v>
      </c>
      <c r="O812" s="1232">
        <f t="shared" si="204"/>
        <v>0</v>
      </c>
      <c r="P812" s="1227" t="str">
        <f>R812&amp;"gsm "&amp;AB812&amp;" "&amp;AA812</f>
        <v>170gsm KRAFT JAPAN</v>
      </c>
      <c r="Q812" s="254">
        <v>0.19500000000000001</v>
      </c>
      <c r="R812" s="1228" t="str">
        <f t="shared" si="214"/>
        <v>170</v>
      </c>
      <c r="S812" s="2625">
        <f t="shared" ref="S812:S817" si="219">C812</f>
        <v>0</v>
      </c>
      <c r="T812" s="2747">
        <f>IF(L812&gt;0,IF(input!$B$2=$O$1,(((L812+Y812/22)+(L812+Y812/22)*$AG812+$X812)*$P$11+$M$7)/1000,(((L812+Y812/22)+(L812+Y812/22)*O812+(L812+Y812/22)*$AG812+$X812)*$P$11+$M$7)/1000),0)</f>
        <v>14296.584533333335</v>
      </c>
      <c r="U812" s="2747">
        <f t="shared" si="213"/>
        <v>0</v>
      </c>
      <c r="V812" s="1229"/>
      <c r="W812" s="1231" t="str">
        <f t="shared" ref="W812:W817" si="220">H812</f>
        <v>CIF</v>
      </c>
      <c r="X812" s="1230">
        <f t="shared" si="216"/>
        <v>0</v>
      </c>
      <c r="Y812" s="2625">
        <f>J812</f>
        <v>0</v>
      </c>
      <c r="Z812" s="3208">
        <f t="shared" si="215"/>
        <v>838.18181818181813</v>
      </c>
      <c r="AA812" s="1220" t="s">
        <v>2133</v>
      </c>
      <c r="AB812" s="1220" t="s">
        <v>1761</v>
      </c>
      <c r="AC812" s="251" t="str">
        <f t="shared" ref="AC812:AC818" si="221">B812</f>
        <v>170gsm KRAFT JAPAN</v>
      </c>
      <c r="AD812" s="2746">
        <f>IF(L812&gt;0,IF(input!$B$2=$O$1,(((M812)+(M812)*$M$10)*$P$11)/1000,(((M812)+(M812)*O812+(M812)*$M$10)*$P$11)/1000),0)</f>
        <v>0</v>
      </c>
      <c r="AE812" s="2746" t="e">
        <f>IF(L812&gt;0,IF(input!$B$2=$O$1,(((N812)+(N812)*$M$10)*$P$11)/1000,(((N812)+(N812)*O812+(N812)*$M$10)*$P$11)/1000),0)</f>
        <v>#VALUE!</v>
      </c>
      <c r="AF812" s="136" t="str">
        <f>G812</f>
        <v>None</v>
      </c>
      <c r="AG812" s="2628">
        <f t="shared" ref="AG812:AG817" si="222">K812*$M$10/30</f>
        <v>1.8666666666666668E-2</v>
      </c>
      <c r="AH812" s="1266">
        <v>0.1</v>
      </c>
    </row>
    <row r="813" spans="1:34" ht="12.75">
      <c r="A813" s="2199">
        <f t="shared" si="212"/>
        <v>801</v>
      </c>
      <c r="B813" s="2200" t="s">
        <v>2864</v>
      </c>
      <c r="C813" s="2743">
        <v>18000</v>
      </c>
      <c r="D813" s="2743">
        <v>560</v>
      </c>
      <c r="E813" s="2949">
        <v>0</v>
      </c>
      <c r="F813" s="2200" t="s">
        <v>2313</v>
      </c>
      <c r="G813" s="2200" t="s">
        <v>127</v>
      </c>
      <c r="H813" s="2200" t="s">
        <v>1057</v>
      </c>
      <c r="I813" s="2742">
        <v>0</v>
      </c>
      <c r="J813" s="2742"/>
      <c r="K813" s="2752">
        <v>70</v>
      </c>
      <c r="L813" s="2745">
        <f t="shared" si="201"/>
        <v>560</v>
      </c>
      <c r="M813" s="2745">
        <f>I813</f>
        <v>0</v>
      </c>
      <c r="N813" s="2745" t="str">
        <f t="shared" si="203"/>
        <v>check</v>
      </c>
      <c r="O813" s="1232">
        <f t="shared" si="204"/>
        <v>0</v>
      </c>
      <c r="P813" s="1227" t="str">
        <f>R813&amp;"gsm "&amp;AB813&amp;" "&amp;AA813</f>
        <v>180gsm KRAFT JAPAN</v>
      </c>
      <c r="Q813" s="254">
        <v>0.2</v>
      </c>
      <c r="R813" s="1228" t="str">
        <f t="shared" si="214"/>
        <v>180</v>
      </c>
      <c r="S813" s="2625">
        <f t="shared" si="219"/>
        <v>18000</v>
      </c>
      <c r="T813" s="2747">
        <f>IF(L813&gt;0,IF(input!$B$2=$O$1,(((L813+Y813/22)+(L813+Y813/22)*$AG813+$X813)*$P$11+$M$7)/1000,(((L813+Y813/22)+(L813+Y813/22)*O813+(L813+Y813/22)*$AG813+$X813)*$P$11+$M$7)/1000),0)</f>
        <v>14296.584533333335</v>
      </c>
      <c r="U813" s="2747">
        <f t="shared" si="213"/>
        <v>17504.848484848484</v>
      </c>
      <c r="V813" s="1229"/>
      <c r="W813" s="1231" t="str">
        <f t="shared" si="220"/>
        <v>CIF</v>
      </c>
      <c r="X813" s="1230">
        <f t="shared" si="216"/>
        <v>0</v>
      </c>
      <c r="Y813" s="2625">
        <f>J813</f>
        <v>0</v>
      </c>
      <c r="Z813" s="3208">
        <f t="shared" si="215"/>
        <v>838.18181818181813</v>
      </c>
      <c r="AA813" s="1220" t="s">
        <v>2133</v>
      </c>
      <c r="AB813" s="1220" t="s">
        <v>1761</v>
      </c>
      <c r="AC813" s="251" t="str">
        <f t="shared" si="221"/>
        <v>180gsm KRAFT JAPAN</v>
      </c>
      <c r="AD813" s="2746">
        <f>IF(L813&gt;0,IF(input!$B$2=$O$1,(((M813)+(M813)*$M$10)*$P$11)/1000,(((M813)+(M813)*O813+(M813)*$M$10)*$P$11)/1000),0)</f>
        <v>0</v>
      </c>
      <c r="AE813" s="2746" t="e">
        <f>IF(L813&gt;0,IF(input!$B$2=$O$1,(((N813)+(N813)*$M$10)*$P$11)/1000,(((N813)+(N813)*O813+(N813)*$M$10)*$P$11)/1000),0)</f>
        <v>#VALUE!</v>
      </c>
      <c r="AF813" s="136" t="str">
        <f>G813</f>
        <v>None</v>
      </c>
      <c r="AG813" s="2628">
        <f t="shared" si="222"/>
        <v>1.8666666666666668E-2</v>
      </c>
      <c r="AH813" s="1266">
        <v>0.1</v>
      </c>
    </row>
    <row r="814" spans="1:34" ht="12.75">
      <c r="A814" s="2199">
        <f t="shared" si="212"/>
        <v>802</v>
      </c>
      <c r="B814" s="2200" t="s">
        <v>2865</v>
      </c>
      <c r="C814" s="2743">
        <v>18000</v>
      </c>
      <c r="D814" s="2743">
        <v>560</v>
      </c>
      <c r="E814" s="2949">
        <v>0</v>
      </c>
      <c r="F814" s="2200" t="s">
        <v>2313</v>
      </c>
      <c r="G814" s="2200" t="s">
        <v>127</v>
      </c>
      <c r="H814" s="2200" t="s">
        <v>1057</v>
      </c>
      <c r="I814" s="2742">
        <v>0</v>
      </c>
      <c r="J814" s="2742"/>
      <c r="K814" s="2752">
        <v>70</v>
      </c>
      <c r="L814" s="2745">
        <f t="shared" si="201"/>
        <v>560</v>
      </c>
      <c r="M814" s="2745">
        <f>I814</f>
        <v>0</v>
      </c>
      <c r="N814" s="2745" t="str">
        <f t="shared" si="203"/>
        <v>check</v>
      </c>
      <c r="O814" s="1232">
        <f t="shared" si="204"/>
        <v>0</v>
      </c>
      <c r="P814" s="1227" t="str">
        <f>R814&amp;"gsm "&amp;AB814&amp;" "&amp;AA814</f>
        <v>210gsm KRAFT JAPAN</v>
      </c>
      <c r="Q814" s="254">
        <v>0.24</v>
      </c>
      <c r="R814" s="1228" t="str">
        <f t="shared" si="214"/>
        <v>210</v>
      </c>
      <c r="S814" s="2625">
        <f t="shared" si="219"/>
        <v>18000</v>
      </c>
      <c r="T814" s="2747">
        <f>IF(L814&gt;0,IF(input!$B$2=$O$1,(((L814+Y814/22)+(L814+Y814/22)*$AG814+$X814)*$P$11+$M$7)/1000,(((L814+Y814/22)+(L814+Y814/22)*O814+(L814+Y814/22)*$AG814+$X814)*$P$11+$M$7)/1000),0)</f>
        <v>14296.584533333335</v>
      </c>
      <c r="U814" s="2747">
        <f t="shared" si="213"/>
        <v>17504.848484848484</v>
      </c>
      <c r="V814" s="1229"/>
      <c r="W814" s="1231" t="str">
        <f t="shared" si="220"/>
        <v>CIF</v>
      </c>
      <c r="X814" s="1230">
        <f t="shared" si="216"/>
        <v>0</v>
      </c>
      <c r="Y814" s="2625">
        <f>J814</f>
        <v>0</v>
      </c>
      <c r="Z814" s="3208">
        <f t="shared" si="215"/>
        <v>838.18181818181813</v>
      </c>
      <c r="AA814" s="1220" t="s">
        <v>2133</v>
      </c>
      <c r="AB814" s="1220" t="s">
        <v>1761</v>
      </c>
      <c r="AC814" s="251" t="str">
        <f t="shared" si="221"/>
        <v>210gsm KRAFT JAPAN</v>
      </c>
      <c r="AD814" s="2746">
        <f>IF(L814&gt;0,IF(input!$B$2=$O$1,(((M814)+(M814)*$M$10)*$P$11)/1000,(((M814)+(M814)*O814+(M814)*$M$10)*$P$11)/1000),0)</f>
        <v>0</v>
      </c>
      <c r="AE814" s="2746" t="e">
        <f>IF(L814&gt;0,IF(input!$B$2=$O$1,(((N814)+(N814)*$M$10)*$P$11)/1000,(((N814)+(N814)*O814+(N814)*$M$10)*$P$11)/1000),0)</f>
        <v>#VALUE!</v>
      </c>
      <c r="AF814" s="136" t="str">
        <f>G814</f>
        <v>None</v>
      </c>
      <c r="AG814" s="2628">
        <f t="shared" si="222"/>
        <v>1.8666666666666668E-2</v>
      </c>
      <c r="AH814" s="1266">
        <v>0.1</v>
      </c>
    </row>
    <row r="815" spans="1:34" ht="12.75">
      <c r="A815" s="2199">
        <f t="shared" si="212"/>
        <v>803</v>
      </c>
      <c r="B815" s="2200" t="s">
        <v>2866</v>
      </c>
      <c r="C815" s="2743">
        <v>0</v>
      </c>
      <c r="D815" s="2743">
        <v>560</v>
      </c>
      <c r="E815" s="2949">
        <v>0</v>
      </c>
      <c r="F815" s="2200" t="s">
        <v>2313</v>
      </c>
      <c r="G815" s="2200" t="s">
        <v>127</v>
      </c>
      <c r="H815" s="2200" t="s">
        <v>1057</v>
      </c>
      <c r="I815" s="2742">
        <v>0</v>
      </c>
      <c r="J815" s="2742"/>
      <c r="K815" s="2752">
        <v>70</v>
      </c>
      <c r="L815" s="2745">
        <f t="shared" si="201"/>
        <v>560</v>
      </c>
      <c r="M815" s="2745">
        <f>I815</f>
        <v>0</v>
      </c>
      <c r="N815" s="2745" t="str">
        <f t="shared" si="203"/>
        <v>check</v>
      </c>
      <c r="O815" s="1232">
        <f t="shared" si="204"/>
        <v>0</v>
      </c>
      <c r="P815" s="1227" t="str">
        <f>R815&amp;"gsm "&amp;AB815&amp;" "&amp;AA815</f>
        <v>220gsm KRAFT JAPAN</v>
      </c>
      <c r="Q815" s="254">
        <v>0.25</v>
      </c>
      <c r="R815" s="1228" t="str">
        <f t="shared" si="214"/>
        <v>220</v>
      </c>
      <c r="S815" s="2625">
        <f t="shared" si="219"/>
        <v>0</v>
      </c>
      <c r="T815" s="2747">
        <f>IF(L815&gt;0,IF(input!$B$2=$O$1,(((L815+Y815/22)+(L815+Y815/22)*$AG815+$X815)*$P$11+$M$7)/1000,(((L815+Y815/22)+(L815+Y815/22)*O815+(L815+Y815/22)*$AG815+$X815)*$P$11+$M$7)/1000),0)</f>
        <v>14296.584533333335</v>
      </c>
      <c r="U815" s="2747">
        <f t="shared" si="213"/>
        <v>0</v>
      </c>
      <c r="V815" s="1229"/>
      <c r="W815" s="1231" t="str">
        <f t="shared" si="220"/>
        <v>CIF</v>
      </c>
      <c r="X815" s="1230">
        <f t="shared" si="216"/>
        <v>0</v>
      </c>
      <c r="Y815" s="2625">
        <f>J815</f>
        <v>0</v>
      </c>
      <c r="Z815" s="3208">
        <f t="shared" si="215"/>
        <v>838.18181818181813</v>
      </c>
      <c r="AA815" s="1220" t="s">
        <v>2133</v>
      </c>
      <c r="AB815" s="1220" t="s">
        <v>1761</v>
      </c>
      <c r="AC815" s="251" t="str">
        <f t="shared" si="221"/>
        <v>220gsm KRAFT JAPAN</v>
      </c>
      <c r="AD815" s="2746">
        <f>IF(L815&gt;0,IF(input!$B$2=$O$1,(((M815)+(M815)*$M$10)*$P$11)/1000,(((M815)+(M815)*O815+(M815)*$M$10)*$P$11)/1000),0)</f>
        <v>0</v>
      </c>
      <c r="AE815" s="2746" t="e">
        <f>IF(L815&gt;0,IF(input!$B$2=$O$1,(((N815)+(N815)*$M$10)*$P$11)/1000,(((N815)+(N815)*O815+(N815)*$M$10)*$P$11)/1000),0)</f>
        <v>#VALUE!</v>
      </c>
      <c r="AF815" s="136" t="str">
        <f>G815</f>
        <v>None</v>
      </c>
      <c r="AG815" s="2628">
        <f t="shared" si="222"/>
        <v>1.8666666666666668E-2</v>
      </c>
      <c r="AH815" s="1266">
        <v>0.1</v>
      </c>
    </row>
    <row r="816" spans="1:34" ht="12.75">
      <c r="A816" s="2199">
        <f t="shared" si="212"/>
        <v>804</v>
      </c>
      <c r="B816" s="2200" t="s">
        <v>2867</v>
      </c>
      <c r="C816" s="2743">
        <v>18000</v>
      </c>
      <c r="D816" s="2743">
        <v>560</v>
      </c>
      <c r="E816" s="2949">
        <v>0</v>
      </c>
      <c r="F816" s="2200" t="s">
        <v>2313</v>
      </c>
      <c r="G816" s="2200" t="s">
        <v>127</v>
      </c>
      <c r="H816" s="2200" t="s">
        <v>1057</v>
      </c>
      <c r="I816" s="2742">
        <v>0</v>
      </c>
      <c r="J816" s="2742"/>
      <c r="K816" s="2752">
        <v>70</v>
      </c>
      <c r="L816" s="2745">
        <f t="shared" si="201"/>
        <v>560</v>
      </c>
      <c r="M816" s="2745">
        <f>I816</f>
        <v>0</v>
      </c>
      <c r="N816" s="2745" t="str">
        <f t="shared" si="203"/>
        <v>check</v>
      </c>
      <c r="O816" s="1232">
        <f t="shared" si="204"/>
        <v>0</v>
      </c>
      <c r="P816" s="1227" t="str">
        <f>R816&amp;"gsm "&amp;AB816&amp;" "&amp;AA816</f>
        <v>280gsm KRAFT JAPAN</v>
      </c>
      <c r="Q816" s="254">
        <v>0.32</v>
      </c>
      <c r="R816" s="1228" t="str">
        <f t="shared" si="214"/>
        <v>280</v>
      </c>
      <c r="S816" s="2625">
        <f t="shared" si="219"/>
        <v>18000</v>
      </c>
      <c r="T816" s="2747">
        <f>IF(L816&gt;0,IF(input!$B$2=$O$1,(((L816+Y816/22)+(L816+Y816/22)*$AG816+$X816)*$P$11+$M$7)/1000,(((L816+Y816/22)+(L816+Y816/22)*O816+(L816+Y816/22)*$AG816+$X816)*$P$11+$M$7)/1000),0)</f>
        <v>14296.584533333335</v>
      </c>
      <c r="U816" s="2747">
        <f t="shared" si="213"/>
        <v>17504.848484848484</v>
      </c>
      <c r="V816" s="1229"/>
      <c r="W816" s="1231" t="str">
        <f t="shared" si="220"/>
        <v>CIF</v>
      </c>
      <c r="X816" s="1230">
        <f t="shared" si="216"/>
        <v>0</v>
      </c>
      <c r="Y816" s="2625">
        <f>J816</f>
        <v>0</v>
      </c>
      <c r="Z816" s="3208">
        <f t="shared" si="215"/>
        <v>838.18181818181813</v>
      </c>
      <c r="AA816" s="1220" t="s">
        <v>2133</v>
      </c>
      <c r="AB816" s="1220" t="s">
        <v>1761</v>
      </c>
      <c r="AC816" s="251" t="str">
        <f t="shared" si="221"/>
        <v>280gsm KRAFT JAPAN</v>
      </c>
      <c r="AD816" s="2746">
        <f>IF(L816&gt;0,IF(input!$B$2=$O$1,(((M816)+(M816)*$M$10)*$P$11)/1000,(((M816)+(M816)*O816+(M816)*$M$10)*$P$11)/1000),0)</f>
        <v>0</v>
      </c>
      <c r="AE816" s="2746" t="e">
        <f>IF(L816&gt;0,IF(input!$B$2=$O$1,(((N816)+(N816)*$M$10)*$P$11)/1000,(((N816)+(N816)*O816+(N816)*$M$10)*$P$11)/1000),0)</f>
        <v>#VALUE!</v>
      </c>
      <c r="AF816" s="136" t="str">
        <f>G816</f>
        <v>None</v>
      </c>
      <c r="AG816" s="2628">
        <f t="shared" si="222"/>
        <v>1.8666666666666668E-2</v>
      </c>
      <c r="AH816" s="1266">
        <v>0.1</v>
      </c>
    </row>
    <row r="817" spans="1:34" ht="12.75">
      <c r="A817" s="2199">
        <f t="shared" si="212"/>
        <v>805</v>
      </c>
      <c r="B817" s="2200" t="s">
        <v>2346</v>
      </c>
      <c r="C817" s="2743">
        <v>0</v>
      </c>
      <c r="D817" s="2743">
        <v>1470</v>
      </c>
      <c r="E817" s="2949">
        <v>0</v>
      </c>
      <c r="F817" s="2200"/>
      <c r="G817" s="2200"/>
      <c r="H817" s="2200" t="s">
        <v>1057</v>
      </c>
      <c r="I817" s="2200"/>
      <c r="J817" s="2200"/>
      <c r="K817" s="2752">
        <v>70</v>
      </c>
      <c r="L817" s="2745">
        <f t="shared" si="201"/>
        <v>1470</v>
      </c>
      <c r="M817" s="2745">
        <f>$G817</f>
        <v>0</v>
      </c>
      <c r="N817" s="2745">
        <f>$F817</f>
        <v>0</v>
      </c>
      <c r="O817" s="1232">
        <f>$E817</f>
        <v>0</v>
      </c>
      <c r="P817" s="1227" t="str">
        <f>AB817&amp;" "&amp;AA817</f>
        <v>LDPE HANWHA 955</v>
      </c>
      <c r="Q817" s="254"/>
      <c r="R817" s="1228">
        <v>0</v>
      </c>
      <c r="S817" s="2625">
        <f t="shared" si="219"/>
        <v>0</v>
      </c>
      <c r="T817" s="2747">
        <f>IF(L817&gt;0,IF(input!$B$2=$O$1,(((L817+Y817/22)+(L817+Y817/22)*$AG817+$X817)*$P$11+$M$7)/1000,(((L817+Y817/22)+(L817+Y817/22)*O817+(L817+Y817/22)*$AG817+$X817)*$P$11+$M$7)/1000),0)</f>
        <v>36553.534399999997</v>
      </c>
      <c r="U817" s="2747">
        <f t="shared" si="213"/>
        <v>0</v>
      </c>
      <c r="V817" s="1229"/>
      <c r="W817" s="1231" t="str">
        <f t="shared" si="220"/>
        <v>CIF</v>
      </c>
      <c r="X817" s="1230">
        <f t="shared" si="216"/>
        <v>0</v>
      </c>
      <c r="Y817" s="2625">
        <v>0</v>
      </c>
      <c r="Z817" s="3208">
        <f t="shared" si="215"/>
        <v>838.18181818181813</v>
      </c>
      <c r="AA817" s="1220" t="s">
        <v>2347</v>
      </c>
      <c r="AB817" s="136" t="s">
        <v>2348</v>
      </c>
      <c r="AC817" s="251" t="str">
        <f t="shared" si="221"/>
        <v>LDPE Hanwha 955</v>
      </c>
      <c r="AD817" s="2746">
        <f>IF(L817&gt;0,IF(input!$B$2=$O$1,(((M817)+(M817)*$M$10)*$P$11)/1000,(((M817)+(M817)*O817+(M817)*$M$10)*$P$11)/1000),0)</f>
        <v>0</v>
      </c>
      <c r="AE817" s="2746">
        <f>IF(L817&gt;0,IF(input!$B$2=$O$1,(((N817)+(N817)*$M$10)*$P$11)/1000,(((N817)+(N817)*O817+(N817)*$M$10)*$P$11)/1000),0)</f>
        <v>0</v>
      </c>
      <c r="AG817" s="2628">
        <f t="shared" si="222"/>
        <v>1.8666666666666668E-2</v>
      </c>
      <c r="AH817" s="1266">
        <v>0.1</v>
      </c>
    </row>
    <row r="818" spans="1:34" ht="12.75">
      <c r="A818" s="2199">
        <f t="shared" si="212"/>
        <v>806</v>
      </c>
      <c r="B818" s="2200" t="s">
        <v>72</v>
      </c>
      <c r="C818" s="2202">
        <v>0</v>
      </c>
      <c r="D818" s="2201">
        <v>0</v>
      </c>
      <c r="E818" s="2949"/>
      <c r="F818" s="2200"/>
      <c r="G818" s="2200"/>
      <c r="H818" s="2200"/>
      <c r="I818" s="2200"/>
      <c r="J818" s="2200"/>
      <c r="K818" s="2753"/>
      <c r="L818" s="2745">
        <f>Other!G3</f>
        <v>0</v>
      </c>
      <c r="M818" s="2745">
        <f>Other!H3</f>
        <v>0</v>
      </c>
      <c r="N818" s="2745">
        <f>Other!I3</f>
        <v>0</v>
      </c>
      <c r="O818" s="256">
        <f>Other!J3</f>
        <v>0</v>
      </c>
      <c r="P818" s="1227" t="str">
        <f>R818&amp;"gsm "&amp;AB818&amp;" "&amp;AA818</f>
        <v>1gsm GB brand 1</v>
      </c>
      <c r="Q818" s="1234">
        <f>Other!F3</f>
        <v>0</v>
      </c>
      <c r="R818" s="1228">
        <f>Other!E3</f>
        <v>1</v>
      </c>
      <c r="S818" s="1229">
        <f>Other!O3</f>
        <v>0</v>
      </c>
      <c r="T818" s="2747">
        <f>IF(L818&gt;0,IF(input!$B$2=$O$1,(((L818+Y818/22)+(L818+Y818/22)*$AG818+$X818)*$P$11+$M$7)/1000,(((L818+Y818/22)+(L818+Y818/22)*O818+(L818+Y818/22)*$AG818+$X818)*$P$11+$M$7)/1000),0)</f>
        <v>0</v>
      </c>
      <c r="U818" s="2747">
        <f t="shared" si="213"/>
        <v>0</v>
      </c>
      <c r="V818" s="1229"/>
      <c r="W818" s="1231">
        <f>Other!K3</f>
        <v>0</v>
      </c>
      <c r="X818" s="1230">
        <f t="shared" si="216"/>
        <v>0</v>
      </c>
      <c r="Y818" s="2625">
        <f>Other!L3</f>
        <v>0</v>
      </c>
      <c r="Z818" s="3208">
        <f t="shared" si="215"/>
        <v>838.18181818181813</v>
      </c>
      <c r="AA818" s="1220" t="str">
        <f>Other!B3</f>
        <v>brand 1</v>
      </c>
      <c r="AB818" s="136" t="str">
        <f>Other!C3</f>
        <v>GB</v>
      </c>
      <c r="AC818" s="136" t="str">
        <f t="shared" si="221"/>
        <v>Other</v>
      </c>
      <c r="AD818" s="2746">
        <f>IF(L818&gt;0,IF(input!$B$2=$O$1,(((M818)+(M818)*$M$10)*$P$11)/1000,(((M818)+(M818)*O818+(M818)*$M$10)*$P$11)/1000),0)</f>
        <v>0</v>
      </c>
      <c r="AE818" s="2746">
        <f>IF(L818&gt;0,IF(input!$B$2=$O$1,(((N818)+(N818)*$M$10)*$P$11)/1000,(((N818)+(N818)*O818+(N818)*$M$10)*$P$11)/1000),0)</f>
        <v>0</v>
      </c>
      <c r="AF818" s="136" t="str">
        <f>Other!M3</f>
        <v>None</v>
      </c>
      <c r="AG818" s="2628">
        <f>Other!$N3*$M$10/30</f>
        <v>1.2E-2</v>
      </c>
      <c r="AH818" s="1266">
        <v>0.1</v>
      </c>
    </row>
    <row r="819" spans="1:34" ht="12.75">
      <c r="A819" s="2199">
        <f t="shared" si="212"/>
        <v>807</v>
      </c>
      <c r="B819" s="2200" t="s">
        <v>72</v>
      </c>
      <c r="C819" s="2202">
        <v>0</v>
      </c>
      <c r="D819" s="2201">
        <v>0</v>
      </c>
      <c r="E819" s="2949"/>
      <c r="F819" s="2200"/>
      <c r="G819" s="2200"/>
      <c r="H819" s="2200"/>
      <c r="I819" s="2200"/>
      <c r="J819" s="2200"/>
      <c r="K819" s="2753"/>
      <c r="L819" s="2745">
        <f>Other!G4</f>
        <v>0</v>
      </c>
      <c r="M819" s="2745">
        <f>Other!H4</f>
        <v>0</v>
      </c>
      <c r="N819" s="2745">
        <f>Other!I4</f>
        <v>0</v>
      </c>
      <c r="O819" s="256">
        <f>Other!J4</f>
        <v>0</v>
      </c>
      <c r="P819" s="1227" t="str">
        <f>R819&amp;"gsm "&amp;AB819&amp;" "&amp;AA819</f>
        <v>2gsm GB brand 2</v>
      </c>
      <c r="Q819" s="1234">
        <f>Other!F4</f>
        <v>0</v>
      </c>
      <c r="R819" s="1228">
        <f>Other!E4</f>
        <v>2</v>
      </c>
      <c r="S819" s="1229">
        <f>Other!O4</f>
        <v>0</v>
      </c>
      <c r="T819" s="2747">
        <f>IF(L819&gt;0,IF(input!$B$2=$O$1,(((L819+Y819/22)+(L819+Y819/22)*$AG819+$X819)*$P$11+$M$7)/1000,(((L819+Y819/22)+(L819+Y819/22)*O819+(L819+Y819/22)*$AG819+$X819)*$P$11+$M$7)/1000),0)</f>
        <v>0</v>
      </c>
      <c r="U819" s="2747">
        <f t="shared" si="213"/>
        <v>0</v>
      </c>
      <c r="V819" s="1229"/>
      <c r="W819" s="1231">
        <f>Other!K4</f>
        <v>0</v>
      </c>
      <c r="X819" s="1230">
        <f t="shared" si="216"/>
        <v>0</v>
      </c>
      <c r="Y819" s="2625">
        <f>Other!L4</f>
        <v>0</v>
      </c>
      <c r="Z819" s="3208">
        <f t="shared" si="215"/>
        <v>838.18181818181813</v>
      </c>
      <c r="AA819" s="1220" t="str">
        <f>Other!B4</f>
        <v>brand 2</v>
      </c>
      <c r="AB819" s="136" t="str">
        <f>Other!C4</f>
        <v>GB</v>
      </c>
      <c r="AD819" s="2746">
        <f>IF(L819&gt;0,IF(input!$B$2=$O$1,(((M819)+(M819)*$M$10)*$P$11)/1000,(((M819)+(M819)*O819+(M819)*$M$10)*$P$11)/1000),0)</f>
        <v>0</v>
      </c>
      <c r="AE819" s="2746">
        <f>IF(L819&gt;0,IF(input!$B$2=$O$1,(((N819)+(N819)*$M$10)*$P$11)/1000,(((N819)+(N819)*O819+(N819)*$M$10)*$P$11)/1000),0)</f>
        <v>0</v>
      </c>
      <c r="AF819" s="136" t="str">
        <f>Other!M4</f>
        <v>None</v>
      </c>
      <c r="AG819" s="2628">
        <f>Other!$N4*$M$10/30</f>
        <v>1.2E-2</v>
      </c>
      <c r="AH819" s="1266">
        <v>0.1</v>
      </c>
    </row>
    <row r="820" spans="1:34" ht="12.75">
      <c r="A820" s="2199">
        <f t="shared" si="212"/>
        <v>808</v>
      </c>
      <c r="B820" s="2200" t="s">
        <v>72</v>
      </c>
      <c r="C820" s="2202">
        <v>0</v>
      </c>
      <c r="D820" s="2201">
        <v>0</v>
      </c>
      <c r="E820" s="2949"/>
      <c r="F820" s="2200"/>
      <c r="G820" s="2200"/>
      <c r="H820" s="2200"/>
      <c r="I820" s="2200"/>
      <c r="J820" s="2200"/>
      <c r="K820" s="2753"/>
      <c r="L820" s="2745">
        <f>Other!G5</f>
        <v>0</v>
      </c>
      <c r="M820" s="2745">
        <f>Other!H5</f>
        <v>0</v>
      </c>
      <c r="N820" s="2745">
        <f>Other!I5</f>
        <v>0</v>
      </c>
      <c r="O820" s="256">
        <f>Other!J5</f>
        <v>0</v>
      </c>
      <c r="P820" s="1227" t="str">
        <f>R820&amp;"gsm "&amp;AB820&amp;" "&amp;AA820</f>
        <v>3gsm GB brand 3</v>
      </c>
      <c r="Q820" s="1234">
        <f>Other!F5</f>
        <v>0</v>
      </c>
      <c r="R820" s="1228">
        <f>Other!E5</f>
        <v>3</v>
      </c>
      <c r="S820" s="1229">
        <f>Other!O5</f>
        <v>0</v>
      </c>
      <c r="T820" s="2747">
        <f>IF(L820&gt;0,IF(input!$B$2=$O$1,(((L820+Y820/22)+(L820+Y820/22)*$AG820+$X820)*$P$11+$M$7)/1000,(((L820+Y820/22)+(L820+Y820/22)*O820+(L820+Y820/22)*$AG820+$X820)*$P$11+$M$7)/1000),0)</f>
        <v>0</v>
      </c>
      <c r="U820" s="2747">
        <f t="shared" si="213"/>
        <v>0</v>
      </c>
      <c r="V820" s="1229"/>
      <c r="W820" s="1231">
        <f>Other!K5</f>
        <v>0</v>
      </c>
      <c r="X820" s="1230">
        <f t="shared" si="216"/>
        <v>0</v>
      </c>
      <c r="Y820" s="2625">
        <f>Other!L5</f>
        <v>0</v>
      </c>
      <c r="Z820" s="3208">
        <f t="shared" si="215"/>
        <v>838.18181818181813</v>
      </c>
      <c r="AA820" s="1220" t="str">
        <f>Other!B5</f>
        <v>brand 3</v>
      </c>
      <c r="AB820" s="136" t="str">
        <f>Other!C5</f>
        <v>GB</v>
      </c>
      <c r="AD820" s="2746">
        <f>IF(L820&gt;0,IF(input!$B$2=$O$1,(((M820)+(M820)*$M$10)*$P$11)/1000,(((M820)+(M820)*O820+(M820)*$M$10)*$P$11)/1000),0)</f>
        <v>0</v>
      </c>
      <c r="AE820" s="2746">
        <f>IF(L820&gt;0,IF(input!$B$2=$O$1,(((N820)+(N820)*$M$10)*$P$11)/1000,(((N820)+(N820)*O820+(N820)*$M$10)*$P$11)/1000),0)</f>
        <v>0</v>
      </c>
      <c r="AF820" s="136" t="str">
        <f>Other!M5</f>
        <v>None</v>
      </c>
      <c r="AG820" s="2628">
        <f>Other!$N5*$M$10/30</f>
        <v>1.2E-2</v>
      </c>
      <c r="AH820" s="1266">
        <v>0.1</v>
      </c>
    </row>
    <row r="821" spans="1:34" ht="12.75">
      <c r="A821" s="2199">
        <f t="shared" si="212"/>
        <v>809</v>
      </c>
      <c r="B821" s="2200" t="s">
        <v>72</v>
      </c>
      <c r="C821" s="2202">
        <v>0</v>
      </c>
      <c r="D821" s="2201">
        <v>0</v>
      </c>
      <c r="E821" s="2949"/>
      <c r="F821" s="2200"/>
      <c r="G821" s="2200"/>
      <c r="H821" s="2200"/>
      <c r="I821" s="2200"/>
      <c r="J821" s="2200"/>
      <c r="K821" s="2753"/>
      <c r="L821" s="2745">
        <f>Other!G6</f>
        <v>0</v>
      </c>
      <c r="M821" s="2745">
        <f>Other!H6</f>
        <v>0</v>
      </c>
      <c r="N821" s="2745">
        <f>Other!I6</f>
        <v>0</v>
      </c>
      <c r="O821" s="256">
        <f>Other!J6</f>
        <v>0</v>
      </c>
      <c r="P821" s="1227" t="str">
        <f>R821&amp;"gsm "&amp;AB821&amp;" "&amp;AA821</f>
        <v>4gsm GB brand 4</v>
      </c>
      <c r="Q821" s="1234">
        <f>Other!F6</f>
        <v>0</v>
      </c>
      <c r="R821" s="1228">
        <f>Other!E6</f>
        <v>4</v>
      </c>
      <c r="S821" s="1229">
        <f>Other!O6</f>
        <v>0</v>
      </c>
      <c r="T821" s="2747">
        <f>IF(L821&gt;0,IF(input!$B$2=$O$1,(((L821+Y821/22)+(L821+Y821/22)*$AG821+$X821)*$P$11+$M$7)/1000,(((L821+Y821/22)+(L821+Y821/22)*O821+(L821+Y821/22)*$AG821+$X821)*$P$11+$M$7)/1000),0)</f>
        <v>0</v>
      </c>
      <c r="U821" s="2747">
        <f t="shared" si="213"/>
        <v>0</v>
      </c>
      <c r="V821" s="1229"/>
      <c r="W821" s="1231">
        <f>Other!K6</f>
        <v>0</v>
      </c>
      <c r="X821" s="1230">
        <f t="shared" si="216"/>
        <v>0</v>
      </c>
      <c r="Y821" s="2625">
        <f>Other!L6</f>
        <v>0</v>
      </c>
      <c r="Z821" s="3208">
        <f t="shared" si="215"/>
        <v>838.18181818181813</v>
      </c>
      <c r="AA821" s="1220" t="str">
        <f>Other!B6</f>
        <v>brand 4</v>
      </c>
      <c r="AB821" s="136" t="str">
        <f>Other!C6</f>
        <v>GB</v>
      </c>
      <c r="AD821" s="2746">
        <f>IF(L821&gt;0,IF(input!$B$2=$O$1,(((M821)+(M821)*$M$10)*$P$11)/1000,(((M821)+(M821)*O821+(M821)*$M$10)*$P$11)/1000),0)</f>
        <v>0</v>
      </c>
      <c r="AE821" s="2746">
        <f>IF(L821&gt;0,IF(input!$B$2=$O$1,(((N821)+(N821)*$M$10)*$P$11)/1000,(((N821)+(N821)*O821+(N821)*$M$10)*$P$11)/1000),0)</f>
        <v>0</v>
      </c>
      <c r="AF821" s="136" t="str">
        <f>Other!M6</f>
        <v>None</v>
      </c>
      <c r="AG821" s="2628">
        <f>Other!$N6*$M$10/30</f>
        <v>1.2E-2</v>
      </c>
      <c r="AH821" s="1266">
        <v>0.1</v>
      </c>
    </row>
    <row r="822" spans="1:34" ht="12.75">
      <c r="A822" s="2199">
        <f t="shared" si="212"/>
        <v>810</v>
      </c>
      <c r="B822" s="2730" t="s">
        <v>72</v>
      </c>
      <c r="C822" s="2731">
        <v>0</v>
      </c>
      <c r="D822" s="2732">
        <v>0</v>
      </c>
      <c r="E822" s="2950"/>
      <c r="F822" s="2730"/>
      <c r="G822" s="2730"/>
      <c r="H822" s="2200"/>
      <c r="I822" s="2730"/>
      <c r="J822" s="2730"/>
      <c r="K822" s="2754"/>
      <c r="L822" s="2745">
        <f>Other!G7</f>
        <v>0</v>
      </c>
      <c r="M822" s="2745">
        <f>Other!H7</f>
        <v>0</v>
      </c>
      <c r="N822" s="2745">
        <f>Other!I7</f>
        <v>0</v>
      </c>
      <c r="O822" s="256">
        <f>Other!J7</f>
        <v>0</v>
      </c>
      <c r="P822" s="1227" t="str">
        <f>R822&amp;"gsm "&amp;AB822&amp;" "&amp;AA822</f>
        <v>5gsm GB brand 5</v>
      </c>
      <c r="Q822" s="1234">
        <f>Other!F7</f>
        <v>0</v>
      </c>
      <c r="R822" s="1228">
        <f>Other!E7</f>
        <v>5</v>
      </c>
      <c r="S822" s="1229">
        <f>Other!O7</f>
        <v>0</v>
      </c>
      <c r="T822" s="2747">
        <f>IF(L822&gt;0,IF(input!$B$2=$O$1,(((L822+Y822/22)+(L822+Y822/22)*$AG822+$X822)*$P$11+$M$7)/1000,(((L822+Y822/22)+(L822+Y822/22)*O822+(L822+Y822/22)*$AG822+$X822)*$P$11+$M$7)/1000),0)</f>
        <v>0</v>
      </c>
      <c r="U822" s="2747">
        <f t="shared" si="213"/>
        <v>0</v>
      </c>
      <c r="V822" s="1229"/>
      <c r="W822" s="1231">
        <f>Other!K7</f>
        <v>0</v>
      </c>
      <c r="X822" s="1230">
        <f t="shared" si="216"/>
        <v>0</v>
      </c>
      <c r="Y822" s="2625">
        <f>Other!L7</f>
        <v>0</v>
      </c>
      <c r="Z822" s="3208">
        <f>922000/1.1/1000</f>
        <v>838.18181818181813</v>
      </c>
      <c r="AA822" s="1220" t="str">
        <f>Other!B7</f>
        <v>brand 5</v>
      </c>
      <c r="AB822" s="136" t="str">
        <f>Other!C7</f>
        <v>GB</v>
      </c>
      <c r="AD822" s="2746">
        <f>IF(L822&gt;0,IF(input!$B$2=$O$1,(((M822)+(M822)*$M$10)*$P$11)/1000,(((M822)+(M822)*O822+(M822)*$M$10)*$P$11)/1000),0)</f>
        <v>0</v>
      </c>
      <c r="AE822" s="2746">
        <f>IF(L822&gt;0,IF(input!$B$2=$O$1,(((N822)+(N822)*$M$10)*$P$11)/1000,(((N822)+(N822)*O822+(N822)*$M$10)*$P$11)/1000),0)</f>
        <v>0</v>
      </c>
      <c r="AF822" s="136" t="str">
        <f>Other!M7</f>
        <v>None</v>
      </c>
      <c r="AG822" s="2628">
        <f>Other!$N7*$M$10/30</f>
        <v>1.2E-2</v>
      </c>
      <c r="AH822" s="1266">
        <v>0.1</v>
      </c>
    </row>
    <row r="823" spans="1:34" ht="12.75">
      <c r="A823" s="1814"/>
      <c r="B823" s="1814"/>
      <c r="C823" s="1814"/>
      <c r="D823" s="1814">
        <v>0</v>
      </c>
      <c r="E823" s="1814"/>
      <c r="F823" s="1814"/>
      <c r="G823" s="1814"/>
      <c r="H823" s="1814"/>
      <c r="I823" s="1814"/>
      <c r="J823" s="1814"/>
      <c r="K823" s="1814"/>
      <c r="L823" s="1814"/>
      <c r="M823" s="1814"/>
      <c r="N823" s="1814"/>
      <c r="O823" s="1815"/>
      <c r="P823" s="2737"/>
      <c r="Q823" s="2738"/>
      <c r="R823" s="2739"/>
      <c r="S823" s="2740"/>
      <c r="T823" s="2740"/>
      <c r="U823" s="2740"/>
      <c r="V823" s="2740"/>
      <c r="W823" s="2297"/>
      <c r="X823" s="2741"/>
      <c r="Y823" s="2299"/>
      <c r="Z823" s="1582"/>
      <c r="AA823" s="1582"/>
      <c r="AB823" s="1582"/>
      <c r="AC823" s="1582"/>
      <c r="AD823" s="1582"/>
      <c r="AE823" s="1582"/>
    </row>
    <row r="824" spans="1:34" ht="12.75">
      <c r="A824" s="2733"/>
      <c r="B824" s="2734"/>
      <c r="C824" s="2735"/>
      <c r="D824" s="2735">
        <v>0</v>
      </c>
      <c r="E824" s="2951"/>
      <c r="F824" s="2734"/>
      <c r="G824" s="2734"/>
      <c r="H824" s="2200"/>
      <c r="I824" s="2200"/>
      <c r="J824" s="2200"/>
      <c r="K824" s="2753"/>
      <c r="L824" s="2744"/>
      <c r="M824" s="2744"/>
      <c r="N824" s="2744"/>
      <c r="O824" s="1232"/>
      <c r="P824" s="1233"/>
      <c r="Q824" s="1234"/>
      <c r="R824" s="1228"/>
      <c r="S824" s="1229"/>
      <c r="T824" s="2141"/>
      <c r="U824" s="1229"/>
      <c r="V824" s="1229"/>
      <c r="W824" s="1231"/>
      <c r="X824" s="1230"/>
      <c r="Y824" s="251"/>
    </row>
    <row r="825" spans="1:34" ht="12.75">
      <c r="A825" s="2199">
        <v>1</v>
      </c>
      <c r="B825" s="2200" t="s">
        <v>738</v>
      </c>
      <c r="C825" s="2201">
        <v>9300</v>
      </c>
      <c r="D825" s="2201">
        <v>0</v>
      </c>
      <c r="E825" s="2949"/>
      <c r="F825" s="2200"/>
      <c r="G825" s="2200"/>
      <c r="H825" s="2200"/>
      <c r="I825" s="2200"/>
      <c r="J825" s="2200"/>
      <c r="K825" s="2753"/>
      <c r="L825" s="2745">
        <f>$D825</f>
        <v>0</v>
      </c>
      <c r="M825" s="2745">
        <f>I825</f>
        <v>0</v>
      </c>
      <c r="N825" s="2745">
        <f>$F825</f>
        <v>0</v>
      </c>
      <c r="O825" s="1232">
        <f>$E825</f>
        <v>0</v>
      </c>
      <c r="P825" s="1233" t="str">
        <f>B825</f>
        <v>180gsm Sticker HC811N</v>
      </c>
      <c r="Q825" s="254">
        <v>0.112</v>
      </c>
      <c r="R825" s="1228">
        <f>VALUE(LEFT(P825,3))</f>
        <v>180</v>
      </c>
      <c r="S825" s="1229">
        <f>C825</f>
        <v>9300</v>
      </c>
      <c r="T825" s="1229">
        <f>IF(L825&gt;0,IF(input!$B$2=$O$1,(((L825+Y825/22)+(L825+Y825/22)*$M$10+X825+$M$9)*$P$11+$M$7)/1000,(((L825+Y825/22)+(L825+Y825/22)*O825+(L825+Y825/22)*$M$10+$M$9+X825)*$P$11+$M$7)/1000),0)</f>
        <v>0</v>
      </c>
      <c r="U825" s="1229">
        <f>IF(S825&gt;0,S825+Z825,0)</f>
        <v>9450.8727272727265</v>
      </c>
      <c r="V825" s="1229">
        <f>IF(M825&gt;0,IF(input!$B$2=$O$1,(INT(((((M825+Y825/22)+(M825+Y825/22)*$M$10+$M$9+X825)*$P$11+$M$7)/1000)/10)+1)*10,(INT(((((M825+Y825/22)+(M825+Y825/22)*O825+(M825)*$M$10+$M$9+X825)*$P$11+$M$7)/1000)/10)+1)*10),0)</f>
        <v>0</v>
      </c>
      <c r="W825" s="1231">
        <f>H825</f>
        <v>0</v>
      </c>
      <c r="X825" s="1230">
        <f>IF(L825&gt;0,IF(W825="CFR",1.1*$M$8*(L825+N825),IF(W825="FOB",1.1*$M$8*(L825+N825+Y825/22),0)),0)</f>
        <v>0</v>
      </c>
      <c r="Y825" s="251"/>
      <c r="Z825" s="2140">
        <f>922000/1.1/1000/(1000/R825)</f>
        <v>150.87272727272727</v>
      </c>
      <c r="AC825" s="136" t="str">
        <f>B825</f>
        <v>180gsm Sticker HC811N</v>
      </c>
      <c r="AD825" s="2746">
        <f>IF(L825&gt;0,IF(input!$B$2=$O$1,(((M825)+(M825)*$M$10)*$P$11)/1000,(((M825)+(M825)*O825+(M825)*$M$10)*$P$11)/1000),0)</f>
        <v>0</v>
      </c>
      <c r="AE825" s="2746">
        <f>IF(L825&gt;0,IF(input!$B$2=$O$1,(((N825)+(N825)*$M$10)*$P$11)/1000,(((N825)+(N825)*O825+(N825)*$M$10)*$P$11)/1000),0)</f>
        <v>0</v>
      </c>
    </row>
    <row r="826" spans="1:34" ht="12.75">
      <c r="A826" s="2199">
        <v>2</v>
      </c>
      <c r="B826" s="2200" t="s">
        <v>2893</v>
      </c>
      <c r="C826" s="2201">
        <v>9500</v>
      </c>
      <c r="D826" s="2201">
        <v>0</v>
      </c>
      <c r="E826" s="2949"/>
      <c r="F826" s="2200"/>
      <c r="G826" s="2200"/>
      <c r="H826" s="2200"/>
      <c r="I826" s="2200"/>
      <c r="J826" s="2200"/>
      <c r="K826" s="2753"/>
      <c r="L826" s="2745">
        <f>$D826</f>
        <v>0</v>
      </c>
      <c r="M826" s="2745">
        <f>I826</f>
        <v>0</v>
      </c>
      <c r="N826" s="2745">
        <f>$F826</f>
        <v>0</v>
      </c>
      <c r="O826" s="1232">
        <f>$E826</f>
        <v>0</v>
      </c>
      <c r="P826" s="1233" t="str">
        <f>B826</f>
        <v>180gsm Sticker HM68P</v>
      </c>
      <c r="Q826" s="254">
        <v>0.112</v>
      </c>
      <c r="R826" s="1228">
        <f>VALUE(LEFT(P826,3))</f>
        <v>180</v>
      </c>
      <c r="S826" s="1229">
        <f>C826</f>
        <v>9500</v>
      </c>
      <c r="T826" s="1229">
        <f>IF(L826&gt;0,IF(input!$B$2=$O$1,(((L826+Y826/22)+(L826+Y826/22)*$M$10+X826+$M$9)*$P$11+$M$7)/1000,(((L826+Y826/22)+(L826+Y826/22)*O826+(L826+Y826/22)*$M$10+$M$9+X826)*$P$11+$M$7)/1000),0)</f>
        <v>0</v>
      </c>
      <c r="U826" s="1229">
        <f>IF(S826&gt;0,S826+Z826,0)</f>
        <v>9650.8727272727265</v>
      </c>
      <c r="V826" s="1229">
        <f>IF(M826&gt;0,IF(input!$B$2=$O$1,(INT(((((M826+Y826/22)+(M826+Y826/22)*$M$10+$M$9+X826)*$P$11+$M$7)/1000)/10)+1)*10,(INT(((((M826+Y826/22)+(M826+Y826/22)*O826+(M826)*$M$10+$M$9+X826)*$P$11+$M$7)/1000)/10)+1)*10),0)</f>
        <v>0</v>
      </c>
      <c r="W826" s="1231">
        <f>H826</f>
        <v>0</v>
      </c>
      <c r="X826" s="1230">
        <f>IF(L826&gt;0,IF(W826="CFR",1.1*$M$8*(L826+N826),IF(W826="FOB",1.1*$M$8*(L826+N826+Y826/22),0)),0)</f>
        <v>0</v>
      </c>
      <c r="Y826" s="251"/>
      <c r="Z826" s="2140">
        <f>922000/1.1/1000/(1000/R826)</f>
        <v>150.87272727272727</v>
      </c>
      <c r="AC826" s="136" t="str">
        <f>B826</f>
        <v>180gsm Sticker HM68P</v>
      </c>
      <c r="AD826" s="2746">
        <f>IF(L826&gt;0,IF(input!$B$2=$O$1,(((M826)+(M826)*$M$10)*$P$11)/1000,(((M826)+(M826)*O826+(M826)*$M$10)*$P$11)/1000),0)</f>
        <v>0</v>
      </c>
      <c r="AE826" s="2746">
        <f>IF(L826&gt;0,IF(input!$B$2=$O$1,(((N826)+(N826)*$M$10)*$P$11)/1000,(((N826)+(N826)*O826+(N826)*$M$10)*$P$11)/1000),0)</f>
        <v>0</v>
      </c>
    </row>
    <row r="827" spans="1:34" ht="12.75">
      <c r="A827" s="2199">
        <v>3</v>
      </c>
      <c r="B827" s="2200"/>
      <c r="C827" s="2201"/>
      <c r="D827" s="2201">
        <v>0</v>
      </c>
      <c r="E827" s="2949"/>
      <c r="F827" s="2200"/>
      <c r="G827" s="2200"/>
      <c r="H827" s="2200"/>
      <c r="I827" s="2200"/>
      <c r="J827" s="2200"/>
      <c r="K827" s="2753"/>
      <c r="L827" s="2745">
        <f>$D827</f>
        <v>0</v>
      </c>
      <c r="M827" s="2745">
        <f>I827</f>
        <v>0</v>
      </c>
      <c r="N827" s="2745">
        <f>$F827</f>
        <v>0</v>
      </c>
      <c r="O827" s="1232">
        <f>$E827</f>
        <v>0</v>
      </c>
      <c r="P827" s="1233">
        <f>B827</f>
        <v>0</v>
      </c>
      <c r="Q827" s="254">
        <v>0.112</v>
      </c>
      <c r="R827" s="1228">
        <f>VALUE(LEFT(P827,3))</f>
        <v>0</v>
      </c>
      <c r="S827" s="1229">
        <f>C827</f>
        <v>0</v>
      </c>
      <c r="T827" s="1229">
        <f>IF(L827&gt;0,IF(input!$B$2=$O$1,(((L827+Y827/22)+(L827+Y827/22)*$M$10+X827+$M$9)*$P$11+$M$7)/1000,(((L827+Y827/22)+(L827+Y827/22)*O827+(L827+Y827/22)*$M$10+$M$9+X827)*$P$11+$M$7)/1000),0)</f>
        <v>0</v>
      </c>
      <c r="U827" s="1229">
        <f>IF(S827&gt;0,S827+Z827,0)</f>
        <v>0</v>
      </c>
      <c r="V827" s="1229">
        <f>IF(M827&gt;0,IF(input!$B$2=$O$1,(INT(((((M827+Y827/22)+(M827+Y827/22)*$M$10+$M$9+X827)*$P$11+$M$7)/1000)/10)+1)*10,(INT(((((M827+Y827/22)+(M827+Y827/22)*O827+(M827)*$M$10+$M$9+X827)*$P$11+$M$7)/1000)/10)+1)*10),0)</f>
        <v>0</v>
      </c>
      <c r="W827" s="1231">
        <f>H827</f>
        <v>0</v>
      </c>
      <c r="X827" s="1230">
        <f>IF(L827&gt;0,IF(W827="CFR",1.1*$M$8*(L827+N827),IF(W827="FOB",1.1*$M$8*(L827+N827+Y827/22),0)),0)</f>
        <v>0</v>
      </c>
      <c r="Y827" s="251"/>
      <c r="Z827" s="2140" t="e">
        <f>922000/1.1/1000/(1000/R827)</f>
        <v>#DIV/0!</v>
      </c>
      <c r="AC827" s="136">
        <f>B827</f>
        <v>0</v>
      </c>
      <c r="AD827" s="2746">
        <f>IF(L827&gt;0,IF(input!$B$2=$O$1,(((M827)+(M827)*$M$10)*$P$11)/1000,(((M827)+(M827)*O827+(M827)*$M$10)*$P$11)/1000),0)</f>
        <v>0</v>
      </c>
      <c r="AE827" s="2746">
        <f>IF(L827&gt;0,IF(input!$B$2=$O$1,(((N827)+(N827)*$M$10)*$P$11)/1000,(((N827)+(N827)*O827+(N827)*$M$10)*$P$11)/1000),0)</f>
        <v>0</v>
      </c>
    </row>
    <row r="828" spans="1:34" ht="12.75">
      <c r="A828" s="2199">
        <v>4</v>
      </c>
      <c r="B828" s="2200"/>
      <c r="C828" s="2201"/>
      <c r="D828" s="2201">
        <v>0</v>
      </c>
      <c r="E828" s="2949"/>
      <c r="F828" s="2200"/>
      <c r="G828" s="2200"/>
      <c r="H828" s="2200"/>
      <c r="I828" s="2200"/>
      <c r="J828" s="2200"/>
      <c r="K828" s="2753"/>
      <c r="L828" s="2745">
        <f>$D828</f>
        <v>0</v>
      </c>
      <c r="M828" s="2745">
        <f>I828</f>
        <v>0</v>
      </c>
      <c r="N828" s="2745">
        <f>$F828</f>
        <v>0</v>
      </c>
      <c r="O828" s="1232">
        <f>$E828</f>
        <v>0</v>
      </c>
      <c r="P828" s="1233">
        <f>B828</f>
        <v>0</v>
      </c>
      <c r="Q828" s="254">
        <v>0.112</v>
      </c>
      <c r="R828" s="1228">
        <f>VALUE(LEFT(P828,3))</f>
        <v>0</v>
      </c>
      <c r="S828" s="1229">
        <f>C828</f>
        <v>0</v>
      </c>
      <c r="T828" s="1229">
        <f>IF(L828&gt;0,IF(input!$B$2=$O$1,(((L828+Y828/22)+(L828+Y828/22)*$M$10+X828+$M$9)*$P$11+$M$7)/1000,(((L828+Y828/22)+(L828+Y828/22)*O828+(L828+Y828/22)*$M$10+$M$9+X828)*$P$11+$M$7)/1000),0)</f>
        <v>0</v>
      </c>
      <c r="U828" s="1229">
        <f>IF(S828&gt;0,S828+Z828,0)</f>
        <v>0</v>
      </c>
      <c r="V828" s="1229">
        <f>IF(M828&gt;0,IF(input!$B$2=$O$1,(INT(((((M828+Y828/22)+(M828+Y828/22)*$M$10+$M$9+X828)*$P$11+$M$7)/1000)/10)+1)*10,(INT(((((M828+Y828/22)+(M828+Y828/22)*O828+(M828)*$M$10+$M$9+X828)*$P$11+$M$7)/1000)/10)+1)*10),0)</f>
        <v>0</v>
      </c>
      <c r="W828" s="1231">
        <f>H828</f>
        <v>0</v>
      </c>
      <c r="X828" s="1230">
        <f>IF(L828&gt;0,IF(W828="CFR",1.1*$M$8*(L828+N828),IF(W828="FOB",1.1*$M$8*(L828+N828+Y828/22),0)),0)</f>
        <v>0</v>
      </c>
      <c r="Y828" s="251"/>
      <c r="Z828" s="2140" t="e">
        <f>922000/1.1/1000/(1000/R828)</f>
        <v>#DIV/0!</v>
      </c>
      <c r="AC828" s="136">
        <f>B828</f>
        <v>0</v>
      </c>
      <c r="AD828" s="2746">
        <f>IF(L828&gt;0,IF(input!$B$2=$O$1,(((M828)+(M828)*$M$10)*$P$11)/1000,(((M828)+(M828)*O828+(M828)*$M$10)*$P$11)/1000),0)</f>
        <v>0</v>
      </c>
      <c r="AE828" s="2746">
        <f>IF(L828&gt;0,IF(input!$B$2=$O$1,(((N828)+(N828)*$M$10)*$P$11)/1000,(((N828)+(N828)*O828+(N828)*$M$10)*$P$11)/1000),0)</f>
        <v>0</v>
      </c>
    </row>
    <row r="829" spans="1:34" ht="12.75">
      <c r="A829" s="2729">
        <v>5</v>
      </c>
      <c r="B829" s="2730"/>
      <c r="C829" s="2732">
        <v>0</v>
      </c>
      <c r="D829" s="2732">
        <v>0</v>
      </c>
      <c r="E829" s="2950"/>
      <c r="F829" s="2730"/>
      <c r="G829" s="2730"/>
      <c r="H829" s="2730"/>
      <c r="I829" s="2730"/>
      <c r="J829" s="2730"/>
      <c r="K829" s="2754"/>
      <c r="L829" s="2744"/>
      <c r="M829" s="2746"/>
      <c r="N829" s="2744"/>
      <c r="O829" s="1232"/>
      <c r="P829" s="1233" t="str">
        <f>Other!B10</f>
        <v>SW7329F (Art paper)</v>
      </c>
      <c r="Q829" s="254">
        <f>Other!C10</f>
        <v>0</v>
      </c>
      <c r="R829" s="1228">
        <f>Other!D10</f>
        <v>0</v>
      </c>
      <c r="S829" s="1229">
        <f>Other!E10</f>
        <v>14415</v>
      </c>
      <c r="T829" s="1229">
        <f>IF(L829&gt;0,IF(input!$B$2=$O$1,(((L829+Y829/22)+(L829+Y829/22)*$M$10+X829+$M$9)*$P$11+$M$7)/1000,(((L829+Y829/22)+(L829+Y829/22)*O829+(L829+Y829/22)*$M$10+$M$9+X829)*$P$11+$M$7)/1000),0)</f>
        <v>0</v>
      </c>
      <c r="U829" s="1229" t="e">
        <f>IF(S829&gt;0,S829+Z829,0)</f>
        <v>#DIV/0!</v>
      </c>
      <c r="V829" s="1229">
        <f>IF(M829&gt;0,IF(input!$B$2=$O$1,(INT(((((M829+Y829/22)+(M829+Y829/22)*$M$10+$M$9+X829)*$P$11+$M$7)/1000)/10)+1)*10,(INT(((((M829+Y829/22)+(M829+Y829/22)*O829+(M829)*$M$10+$M$9+X829)*$P$11+$M$7)/1000)/10)+1)*10),0)</f>
        <v>0</v>
      </c>
      <c r="W829" s="1231"/>
      <c r="X829" s="1230">
        <f>IF(L829&gt;0,IF(W829="CFR",1.1*$M$8*(L829+N829),IF(W829="FOB",1.1*$M$8*(L829+N829+Y829/22),0)),0)</f>
        <v>0</v>
      </c>
      <c r="Y829" s="251"/>
      <c r="Z829" s="2140" t="e">
        <f>922000/1.1/1000/(1000/R829)</f>
        <v>#DIV/0!</v>
      </c>
      <c r="AD829" s="2746">
        <f>IF(L829&gt;0,IF(input!$B$2=$O$1,(((M829)+(M829)*$M$10)*$P$11)/1000,(((M829)+(M829)*O829+(M829)*$M$10)*$P$11)/1000),0)</f>
        <v>0</v>
      </c>
      <c r="AE829" s="2746">
        <f>IF(L829&gt;0,IF(input!$B$2=$O$1,(((N829)+(N829)*$M$10)*$P$11)/1000,(((N829)+(N829)*O829+(N829)*$M$10)*$P$11)/1000),0)</f>
        <v>0</v>
      </c>
    </row>
    <row r="830" spans="1:34" ht="12.75">
      <c r="A830" s="1814"/>
      <c r="B830" s="1582"/>
      <c r="C830" s="2736"/>
      <c r="D830" s="2736">
        <v>0</v>
      </c>
      <c r="E830" s="2952"/>
      <c r="F830" s="1582"/>
      <c r="G830" s="1582"/>
      <c r="H830" s="1582"/>
      <c r="I830" s="1582"/>
      <c r="J830" s="1582"/>
      <c r="K830" s="1582"/>
      <c r="L830" s="1814"/>
      <c r="M830" s="1814"/>
      <c r="N830" s="1814"/>
      <c r="O830" s="1815"/>
      <c r="P830" s="2737"/>
      <c r="Q830" s="2738"/>
      <c r="R830" s="2739"/>
      <c r="S830" s="2740"/>
      <c r="T830" s="2740"/>
      <c r="U830" s="2740"/>
      <c r="V830" s="2740"/>
      <c r="W830" s="2297"/>
      <c r="X830" s="2741"/>
      <c r="Y830" s="2299"/>
      <c r="Z830" s="1582"/>
      <c r="AA830" s="1582"/>
      <c r="AB830" s="1582"/>
      <c r="AC830" s="1582"/>
      <c r="AD830" s="1582"/>
      <c r="AE830" s="1582"/>
    </row>
    <row r="831" spans="1:34" ht="12.75">
      <c r="A831" s="2733"/>
      <c r="B831" s="2734">
        <v>0</v>
      </c>
      <c r="C831" s="2743">
        <v>0</v>
      </c>
      <c r="D831" s="2743">
        <v>0</v>
      </c>
      <c r="E831" s="2951">
        <v>0</v>
      </c>
      <c r="F831" s="2734">
        <v>0</v>
      </c>
      <c r="G831" s="2734"/>
      <c r="H831" s="2734"/>
      <c r="I831" s="2755"/>
      <c r="J831" s="2755"/>
      <c r="K831" s="2756"/>
      <c r="L831" s="2744">
        <f t="shared" ref="L831:L889" si="223">$D831</f>
        <v>0</v>
      </c>
      <c r="M831" s="2745">
        <f>$G831</f>
        <v>0</v>
      </c>
      <c r="N831" s="2745">
        <f t="shared" ref="N831:N889" si="224">$F831</f>
        <v>0</v>
      </c>
      <c r="O831" s="1232">
        <f>$E831</f>
        <v>0</v>
      </c>
      <c r="P831" s="1262">
        <v>0</v>
      </c>
      <c r="Q831" s="254">
        <v>0</v>
      </c>
      <c r="R831" s="1228">
        <v>0</v>
      </c>
      <c r="S831" s="2747">
        <f>$C831</f>
        <v>0</v>
      </c>
      <c r="T831" s="2747">
        <f>IF(L831&gt;0,IF(input!$B$2=$O$1,(((L831+Y831/22)+(L831+Y831/22)*$AG831+$X831)*$P$11+$M$7)/1000,(((L831+Y831/22)+(L831+Y831/22)*O831+(L831+Y831/22)*$AG831+$X831)*$P$11+$M$7)/1000),0)</f>
        <v>0</v>
      </c>
      <c r="U831" s="2747"/>
      <c r="V831" s="136">
        <v>0</v>
      </c>
      <c r="W831" s="1231"/>
      <c r="X831" s="1230">
        <f>IF(L831&gt;0,IF(W831="CFR",1.1*$M$8*(L831+N831),IF(W831="FOB",1.1*$M$8*(L831+N831+Y831/22),0)),0)</f>
        <v>0</v>
      </c>
      <c r="Y831" s="2625">
        <f t="shared" ref="Y831:Y889" si="225">J831</f>
        <v>0</v>
      </c>
      <c r="Z831" s="2973">
        <f>1060000*(1+15%)/1.1/1000</f>
        <v>1108.181818181818</v>
      </c>
      <c r="AB831" s="136" t="s">
        <v>1418</v>
      </c>
      <c r="AC831" s="1227" t="s">
        <v>127</v>
      </c>
      <c r="AD831" s="2746">
        <f>IF(L831&gt;0,IF(input!$B$2=$O$1,(((M831)+(M831)*$M$10)*$P$11)/1000,(((M831)+(M831)*O831+(M831)*$M$10)*$P$11)/1000),0)</f>
        <v>0</v>
      </c>
      <c r="AE831" s="2746">
        <f>IF(L831&gt;0,IF(input!$B$2=$O$1,(((N831)+(N831)*$M$10)*$P$11)/1000,(((N831)+(N831)*O831+(N831)*$M$10)*$P$11)/1000),0)</f>
        <v>0</v>
      </c>
      <c r="AF831" s="136">
        <f t="shared" ref="AF831:AF889" si="226">G831</f>
        <v>0</v>
      </c>
      <c r="AG831" s="2628">
        <f>K831*$M$10/30</f>
        <v>0</v>
      </c>
    </row>
    <row r="832" spans="1:34" ht="12.75">
      <c r="A832" s="2199">
        <f t="shared" ref="A832:A894" si="227">ROW(A1)</f>
        <v>1</v>
      </c>
      <c r="B832" s="2200" t="s">
        <v>2257</v>
      </c>
      <c r="C832" s="2743">
        <v>0</v>
      </c>
      <c r="D832" s="2743">
        <v>520</v>
      </c>
      <c r="E832" s="2949">
        <v>0</v>
      </c>
      <c r="F832" s="2200">
        <v>0</v>
      </c>
      <c r="G832" s="2200" t="s">
        <v>2038</v>
      </c>
      <c r="H832" s="2200" t="s">
        <v>1060</v>
      </c>
      <c r="I832" s="2742">
        <v>20</v>
      </c>
      <c r="J832" s="2742">
        <v>200</v>
      </c>
      <c r="K832" s="2752">
        <v>52</v>
      </c>
      <c r="L832" s="2745">
        <f t="shared" si="223"/>
        <v>520</v>
      </c>
      <c r="M832" s="2745">
        <f>I832</f>
        <v>20</v>
      </c>
      <c r="N832" s="2745">
        <f t="shared" si="224"/>
        <v>0</v>
      </c>
      <c r="O832" s="1232">
        <f t="shared" ref="O832:O889" si="228">$E832</f>
        <v>0</v>
      </c>
      <c r="P832" s="1227" t="str">
        <f>AB832&amp;" "&amp;AA832&amp;" "&amp;V832</f>
        <v>CB Roll &amp; Ream 0.65mm</v>
      </c>
      <c r="Q832" s="254">
        <v>0.65</v>
      </c>
      <c r="R832" s="338">
        <v>410</v>
      </c>
      <c r="S832" s="2747">
        <f t="shared" ref="S832:S863" si="229">C832</f>
        <v>0</v>
      </c>
      <c r="T832" s="2747">
        <f>IF(L832&gt;0,IF(input!$B$2=$O$1,(((L832+Y832/22)+(L832+Y832/22)*$AG832+$X832)*$P$11+$M$7)/1000,(((L832+Y832/22)+(L832+Y832/22)*O832+(L832+Y832/22)*$AG832+$X832)*$P$11+$M$7)/1000),0)</f>
        <v>13488.710532090909</v>
      </c>
      <c r="U832" s="2747">
        <f t="shared" ref="U832:U863" si="230">IF(S832&gt;0,(S832/1.08)+Z832,0)</f>
        <v>0</v>
      </c>
      <c r="V832" s="865" t="s">
        <v>1421</v>
      </c>
      <c r="W832" s="1231" t="str">
        <f>H832</f>
        <v>FOB</v>
      </c>
      <c r="X832" s="1230">
        <f t="shared" ref="X832:X894" si="231">IF(L832&gt;0,IF(W832="CFR",1.1*$M$8*(L832+N832),IF(W832="FOB",1.1*$M$8*(L832+N832+Y832/22),0)),0)</f>
        <v>0.37830000000000003</v>
      </c>
      <c r="Y832" s="2625">
        <f t="shared" si="225"/>
        <v>200</v>
      </c>
      <c r="Z832" s="2973">
        <f>1060000*(1+15%)/1.1/1000</f>
        <v>1108.181818181818</v>
      </c>
      <c r="AA832" s="136" t="s">
        <v>1419</v>
      </c>
      <c r="AB832" s="136" t="s">
        <v>1418</v>
      </c>
      <c r="AC832" s="251" t="str">
        <f t="shared" ref="AC832:AC889" si="232">B832</f>
        <v>410gsm CB Roll &amp; Ream</v>
      </c>
      <c r="AD832" s="2746">
        <f>IF(L832&gt;0,IF(input!$B$2=$O$1,(((M832)+(M832)*$M$10)*$P$11)/1000,(((M832)+(M832)*O832+(M832)*$M$10)*$P$11)/1000),0)</f>
        <v>484.04159999999996</v>
      </c>
      <c r="AE832" s="2746">
        <f>IF(L832&gt;0,IF(input!$B$2=$O$1,(((N832)+(N832)*$M$10)*$P$11)/1000,(((N832)+(N832)*O832+(N832)*$M$10)*$P$11)/1000),0)</f>
        <v>0</v>
      </c>
      <c r="AF832" s="136" t="str">
        <f t="shared" si="226"/>
        <v>FSC</v>
      </c>
      <c r="AG832" s="2628">
        <f t="shared" ref="AG832:AG889" si="233">K832*$M$10/30</f>
        <v>1.3866666666666668E-2</v>
      </c>
      <c r="AH832" s="1266">
        <v>0.1</v>
      </c>
    </row>
    <row r="833" spans="1:34" ht="12.75">
      <c r="A833" s="2199">
        <f t="shared" si="227"/>
        <v>2</v>
      </c>
      <c r="B833" s="2200" t="s">
        <v>2258</v>
      </c>
      <c r="C833" s="2743">
        <v>0</v>
      </c>
      <c r="D833" s="2743">
        <v>520</v>
      </c>
      <c r="E833" s="2949">
        <v>0</v>
      </c>
      <c r="F833" s="2200">
        <v>0</v>
      </c>
      <c r="G833" s="2200" t="s">
        <v>2038</v>
      </c>
      <c r="H833" s="2200" t="s">
        <v>1060</v>
      </c>
      <c r="I833" s="2742">
        <v>20</v>
      </c>
      <c r="J833" s="2742">
        <v>200</v>
      </c>
      <c r="K833" s="2752">
        <v>52</v>
      </c>
      <c r="L833" s="2745">
        <f t="shared" si="223"/>
        <v>520</v>
      </c>
      <c r="M833" s="2745">
        <f t="shared" ref="M833:M889" si="234">I833</f>
        <v>20</v>
      </c>
      <c r="N833" s="2745">
        <f t="shared" si="224"/>
        <v>0</v>
      </c>
      <c r="O833" s="1232">
        <f t="shared" si="228"/>
        <v>0</v>
      </c>
      <c r="P833" s="1227" t="str">
        <f t="shared" ref="P833:P889" si="235">AB833&amp;" "&amp;AA833&amp;" "&amp;V833</f>
        <v>CB Roll &amp; Ream 0.8mm</v>
      </c>
      <c r="Q833" s="254">
        <v>0.8</v>
      </c>
      <c r="R833" s="338">
        <v>500</v>
      </c>
      <c r="S833" s="2747">
        <f t="shared" si="229"/>
        <v>0</v>
      </c>
      <c r="T833" s="2747">
        <f>IF(L833&gt;0,IF(input!$B$2=$O$1,(((L833+Y833/22)+(L833+Y833/22)*$AG833+$X833)*$P$11+$M$7)/1000,(((L833+Y833/22)+(L833+Y833/22)*O833+(L833+Y833/22)*$AG833+$X833)*$P$11+$M$7)/1000),0)</f>
        <v>13488.710532090909</v>
      </c>
      <c r="U833" s="2747">
        <f t="shared" si="230"/>
        <v>0</v>
      </c>
      <c r="V833" s="865" t="s">
        <v>1422</v>
      </c>
      <c r="W833" s="1231" t="str">
        <f t="shared" ref="W833:W889" si="236">H833</f>
        <v>FOB</v>
      </c>
      <c r="X833" s="1230">
        <f t="shared" si="231"/>
        <v>0.37830000000000003</v>
      </c>
      <c r="Y833" s="2625">
        <f t="shared" si="225"/>
        <v>200</v>
      </c>
      <c r="Z833" s="2973">
        <f>1060000*(1+15%)/1.1/1000</f>
        <v>1108.181818181818</v>
      </c>
      <c r="AA833" s="136" t="s">
        <v>1419</v>
      </c>
      <c r="AB833" s="136" t="s">
        <v>1418</v>
      </c>
      <c r="AC833" s="251" t="str">
        <f t="shared" si="232"/>
        <v>500gsm CB Roll &amp; Ream</v>
      </c>
      <c r="AD833" s="2746">
        <f>IF(L833&gt;0,IF(input!$B$2=$O$1,(((M833)+(M833)*$M$10)*$P$11)/1000,(((M833)+(M833)*O833+(M833)*$M$10)*$P$11)/1000),0)</f>
        <v>484.04159999999996</v>
      </c>
      <c r="AE833" s="2746">
        <f>IF(L833&gt;0,IF(input!$B$2=$O$1,(((N833)+(N833)*$M$10)*$P$11)/1000,(((N833)+(N833)*O833+(N833)*$M$10)*$P$11)/1000),0)</f>
        <v>0</v>
      </c>
      <c r="AF833" s="136" t="str">
        <f t="shared" si="226"/>
        <v>FSC</v>
      </c>
      <c r="AG833" s="2628">
        <f t="shared" si="233"/>
        <v>1.3866666666666668E-2</v>
      </c>
      <c r="AH833" s="1266">
        <v>0.1</v>
      </c>
    </row>
    <row r="834" spans="1:34" ht="12.75">
      <c r="A834" s="2199">
        <f t="shared" si="227"/>
        <v>3</v>
      </c>
      <c r="B834" s="2200" t="s">
        <v>2259</v>
      </c>
      <c r="C834" s="2743">
        <v>0</v>
      </c>
      <c r="D834" s="2743">
        <v>520</v>
      </c>
      <c r="E834" s="2949">
        <v>0</v>
      </c>
      <c r="F834" s="2200">
        <v>0</v>
      </c>
      <c r="G834" s="2200" t="s">
        <v>2038</v>
      </c>
      <c r="H834" s="2200" t="s">
        <v>1060</v>
      </c>
      <c r="I834" s="2742">
        <v>20</v>
      </c>
      <c r="J834" s="2742">
        <v>200</v>
      </c>
      <c r="K834" s="2752">
        <v>52</v>
      </c>
      <c r="L834" s="2745">
        <f t="shared" si="223"/>
        <v>520</v>
      </c>
      <c r="M834" s="2745">
        <f t="shared" si="234"/>
        <v>20</v>
      </c>
      <c r="N834" s="2745">
        <f t="shared" si="224"/>
        <v>0</v>
      </c>
      <c r="O834" s="1232">
        <f t="shared" si="228"/>
        <v>0</v>
      </c>
      <c r="P834" s="1227" t="str">
        <f t="shared" si="235"/>
        <v>CB Roll &amp; Ream 1.0mm</v>
      </c>
      <c r="Q834" s="254">
        <v>1</v>
      </c>
      <c r="R834" s="338">
        <v>625</v>
      </c>
      <c r="S834" s="2747">
        <f t="shared" si="229"/>
        <v>0</v>
      </c>
      <c r="T834" s="2747">
        <f>IF(L834&gt;0,IF(input!$B$2=$O$1,(((L834+Y834/22)+(L834+Y834/22)*$AG834+$X834)*$P$11+$M$7)/1000,(((L834+Y834/22)+(L834+Y834/22)*O834+(L834+Y834/22)*$AG834+$X834)*$P$11+$M$7)/1000),0)</f>
        <v>13488.710532090909</v>
      </c>
      <c r="U834" s="2747">
        <f t="shared" si="230"/>
        <v>0</v>
      </c>
      <c r="V834" s="865" t="s">
        <v>2882</v>
      </c>
      <c r="W834" s="1231" t="str">
        <f t="shared" si="236"/>
        <v>FOB</v>
      </c>
      <c r="X834" s="1230">
        <f t="shared" si="231"/>
        <v>0.37830000000000003</v>
      </c>
      <c r="Y834" s="2625">
        <f t="shared" si="225"/>
        <v>200</v>
      </c>
      <c r="Z834" s="3208">
        <f t="shared" ref="Z834:Z894" si="237">922000/1.1/1000</f>
        <v>838.18181818181813</v>
      </c>
      <c r="AA834" s="136" t="s">
        <v>1419</v>
      </c>
      <c r="AB834" s="136" t="s">
        <v>1418</v>
      </c>
      <c r="AC834" s="251" t="str">
        <f t="shared" si="232"/>
        <v>625gsm CB Roll &amp; Ream</v>
      </c>
      <c r="AD834" s="2746">
        <f>IF(L834&gt;0,IF(input!$B$2=$O$1,(((M834)+(M834)*$M$10)*$P$11)/1000,(((M834)+(M834)*O834+(M834)*$M$10)*$P$11)/1000),0)</f>
        <v>484.04159999999996</v>
      </c>
      <c r="AE834" s="2746">
        <f>IF(L834&gt;0,IF(input!$B$2=$O$1,(((N834)+(N834)*$M$10)*$P$11)/1000,(((N834)+(N834)*O834+(N834)*$M$10)*$P$11)/1000),0)</f>
        <v>0</v>
      </c>
      <c r="AF834" s="136" t="str">
        <f t="shared" si="226"/>
        <v>FSC</v>
      </c>
      <c r="AG834" s="2628">
        <f t="shared" si="233"/>
        <v>1.3866666666666668E-2</v>
      </c>
      <c r="AH834" s="1266">
        <v>0.1</v>
      </c>
    </row>
    <row r="835" spans="1:34" ht="12.75">
      <c r="A835" s="2199">
        <f t="shared" si="227"/>
        <v>4</v>
      </c>
      <c r="B835" s="2200" t="s">
        <v>2260</v>
      </c>
      <c r="C835" s="2743">
        <v>0</v>
      </c>
      <c r="D835" s="2743">
        <v>570</v>
      </c>
      <c r="E835" s="2949">
        <v>0</v>
      </c>
      <c r="F835" s="2200">
        <v>0</v>
      </c>
      <c r="G835" s="2200" t="s">
        <v>2038</v>
      </c>
      <c r="H835" s="2200" t="s">
        <v>1060</v>
      </c>
      <c r="I835" s="2742">
        <v>20</v>
      </c>
      <c r="J835" s="2742">
        <v>200</v>
      </c>
      <c r="K835" s="2752">
        <v>52</v>
      </c>
      <c r="L835" s="2745">
        <f t="shared" si="223"/>
        <v>570</v>
      </c>
      <c r="M835" s="2745">
        <f t="shared" si="234"/>
        <v>20</v>
      </c>
      <c r="N835" s="2745">
        <f t="shared" si="224"/>
        <v>0</v>
      </c>
      <c r="O835" s="1232">
        <f t="shared" si="228"/>
        <v>0</v>
      </c>
      <c r="P835" s="1227" t="str">
        <f t="shared" si="235"/>
        <v>CB Roll &amp; Ream 1.2mm</v>
      </c>
      <c r="Q835" s="254">
        <v>1.2</v>
      </c>
      <c r="R835" s="338">
        <v>800</v>
      </c>
      <c r="S835" s="2747">
        <f t="shared" si="229"/>
        <v>0</v>
      </c>
      <c r="T835" s="2747">
        <f>IF(L835&gt;0,IF(input!$B$2=$O$1,(((L835+Y835/22)+(L835+Y835/22)*$AG835+$X835)*$P$11+$M$7)/1000,(((L835+Y835/22)+(L835+Y835/22)*O835+(L835+Y835/22)*$AG835+$X835)*$P$11+$M$7)/1000),0)</f>
        <v>14706.715822924243</v>
      </c>
      <c r="U835" s="2747">
        <f t="shared" si="230"/>
        <v>0</v>
      </c>
      <c r="V835" s="865" t="s">
        <v>1424</v>
      </c>
      <c r="W835" s="1231" t="str">
        <f t="shared" si="236"/>
        <v>FOB</v>
      </c>
      <c r="X835" s="1230">
        <f t="shared" si="231"/>
        <v>0.41405000000000003</v>
      </c>
      <c r="Y835" s="2625">
        <f t="shared" si="225"/>
        <v>200</v>
      </c>
      <c r="Z835" s="3208">
        <f t="shared" si="237"/>
        <v>838.18181818181813</v>
      </c>
      <c r="AA835" s="136" t="s">
        <v>1419</v>
      </c>
      <c r="AB835" s="136" t="s">
        <v>1418</v>
      </c>
      <c r="AC835" s="251" t="str">
        <f t="shared" si="232"/>
        <v>800gsm CB Roll &amp; Ream</v>
      </c>
      <c r="AD835" s="2746">
        <f>IF(L835&gt;0,IF(input!$B$2=$O$1,(((M835)+(M835)*$M$10)*$P$11)/1000,(((M835)+(M835)*O835+(M835)*$M$10)*$P$11)/1000),0)</f>
        <v>484.04159999999996</v>
      </c>
      <c r="AE835" s="2746">
        <f>IF(L835&gt;0,IF(input!$B$2=$O$1,(((N835)+(N835)*$M$10)*$P$11)/1000,(((N835)+(N835)*O835+(N835)*$M$10)*$P$11)/1000),0)</f>
        <v>0</v>
      </c>
      <c r="AF835" s="136" t="str">
        <f t="shared" si="226"/>
        <v>FSC</v>
      </c>
      <c r="AG835" s="2628">
        <f t="shared" si="233"/>
        <v>1.3866666666666668E-2</v>
      </c>
      <c r="AH835" s="1266">
        <v>0.1</v>
      </c>
    </row>
    <row r="836" spans="1:34" ht="12.75">
      <c r="A836" s="2199">
        <f t="shared" si="227"/>
        <v>5</v>
      </c>
      <c r="B836" s="2200" t="s">
        <v>2261</v>
      </c>
      <c r="C836" s="2743">
        <v>0</v>
      </c>
      <c r="D836" s="2743">
        <v>570</v>
      </c>
      <c r="E836" s="2949">
        <v>0</v>
      </c>
      <c r="F836" s="2200">
        <v>0</v>
      </c>
      <c r="G836" s="2200" t="s">
        <v>2038</v>
      </c>
      <c r="H836" s="2200" t="s">
        <v>1060</v>
      </c>
      <c r="I836" s="2742">
        <v>20</v>
      </c>
      <c r="J836" s="2742">
        <v>200</v>
      </c>
      <c r="K836" s="2752">
        <v>52</v>
      </c>
      <c r="L836" s="2745">
        <f t="shared" si="223"/>
        <v>570</v>
      </c>
      <c r="M836" s="2745">
        <f t="shared" si="234"/>
        <v>20</v>
      </c>
      <c r="N836" s="2745">
        <f t="shared" si="224"/>
        <v>0</v>
      </c>
      <c r="O836" s="1232">
        <f t="shared" si="228"/>
        <v>0</v>
      </c>
      <c r="P836" s="1227" t="str">
        <f t="shared" si="235"/>
        <v>CB Roll &amp; Ream 1.3mm</v>
      </c>
      <c r="Q836" s="254">
        <v>1.3</v>
      </c>
      <c r="R836" s="338">
        <v>860</v>
      </c>
      <c r="S836" s="2747">
        <f t="shared" si="229"/>
        <v>0</v>
      </c>
      <c r="T836" s="2747">
        <f>IF(L836&gt;0,IF(input!$B$2=$O$1,(((L836+Y836/22)+(L836+Y836/22)*$AG836+$X836)*$P$11+$M$7)/1000,(((L836+Y836/22)+(L836+Y836/22)*O836+(L836+Y836/22)*$AG836+$X836)*$P$11+$M$7)/1000),0)</f>
        <v>14706.715822924243</v>
      </c>
      <c r="U836" s="2747">
        <f t="shared" si="230"/>
        <v>0</v>
      </c>
      <c r="V836" s="865" t="s">
        <v>1425</v>
      </c>
      <c r="W836" s="1231" t="str">
        <f t="shared" si="236"/>
        <v>FOB</v>
      </c>
      <c r="X836" s="1230">
        <f t="shared" si="231"/>
        <v>0.41405000000000003</v>
      </c>
      <c r="Y836" s="2625">
        <f t="shared" si="225"/>
        <v>200</v>
      </c>
      <c r="Z836" s="3208">
        <f t="shared" si="237"/>
        <v>838.18181818181813</v>
      </c>
      <c r="AA836" s="136" t="s">
        <v>1419</v>
      </c>
      <c r="AB836" s="136" t="s">
        <v>1418</v>
      </c>
      <c r="AC836" s="251" t="str">
        <f t="shared" si="232"/>
        <v>860gsm CB Roll &amp; Ream</v>
      </c>
      <c r="AD836" s="2746">
        <f>IF(L836&gt;0,IF(input!$B$2=$O$1,(((M836)+(M836)*$M$10)*$P$11)/1000,(((M836)+(M836)*O836+(M836)*$M$10)*$P$11)/1000),0)</f>
        <v>484.04159999999996</v>
      </c>
      <c r="AE836" s="2746">
        <f>IF(L836&gt;0,IF(input!$B$2=$O$1,(((N836)+(N836)*$M$10)*$P$11)/1000,(((N836)+(N836)*O836+(N836)*$M$10)*$P$11)/1000),0)</f>
        <v>0</v>
      </c>
      <c r="AF836" s="136" t="str">
        <f t="shared" si="226"/>
        <v>FSC</v>
      </c>
      <c r="AG836" s="2628">
        <f t="shared" si="233"/>
        <v>1.3866666666666668E-2</v>
      </c>
      <c r="AH836" s="1266">
        <v>0.1</v>
      </c>
    </row>
    <row r="837" spans="1:34" ht="12.75">
      <c r="A837" s="2199">
        <f t="shared" si="227"/>
        <v>6</v>
      </c>
      <c r="B837" s="2200" t="s">
        <v>2262</v>
      </c>
      <c r="C837" s="2743">
        <v>0</v>
      </c>
      <c r="D837" s="2743">
        <v>570</v>
      </c>
      <c r="E837" s="2949">
        <v>0</v>
      </c>
      <c r="F837" s="2200">
        <v>0</v>
      </c>
      <c r="G837" s="2200" t="s">
        <v>2038</v>
      </c>
      <c r="H837" s="2200" t="s">
        <v>1060</v>
      </c>
      <c r="I837" s="2742">
        <v>20</v>
      </c>
      <c r="J837" s="2742">
        <v>200</v>
      </c>
      <c r="K837" s="2752">
        <v>52</v>
      </c>
      <c r="L837" s="2745">
        <f t="shared" si="223"/>
        <v>570</v>
      </c>
      <c r="M837" s="2745">
        <f t="shared" si="234"/>
        <v>20</v>
      </c>
      <c r="N837" s="2745">
        <f t="shared" si="224"/>
        <v>0</v>
      </c>
      <c r="O837" s="1232">
        <f t="shared" si="228"/>
        <v>0</v>
      </c>
      <c r="P837" s="1227" t="str">
        <f t="shared" si="235"/>
        <v>CB Roll &amp; Ream 1.5mm</v>
      </c>
      <c r="Q837" s="254">
        <v>1.5</v>
      </c>
      <c r="R837" s="338">
        <v>980</v>
      </c>
      <c r="S837" s="2747">
        <f t="shared" si="229"/>
        <v>0</v>
      </c>
      <c r="T837" s="2747">
        <f>IF(L837&gt;0,IF(input!$B$2=$O$1,(((L837+Y837/22)+(L837+Y837/22)*$AG837+$X837)*$P$11+$M$7)/1000,(((L837+Y837/22)+(L837+Y837/22)*O837+(L837+Y837/22)*$AG837+$X837)*$P$11+$M$7)/1000),0)</f>
        <v>14706.715822924243</v>
      </c>
      <c r="U837" s="2747">
        <f t="shared" si="230"/>
        <v>0</v>
      </c>
      <c r="V837" s="865" t="s">
        <v>1213</v>
      </c>
      <c r="W837" s="1231" t="str">
        <f t="shared" si="236"/>
        <v>FOB</v>
      </c>
      <c r="X837" s="1230">
        <f t="shared" si="231"/>
        <v>0.41405000000000003</v>
      </c>
      <c r="Y837" s="2625">
        <f t="shared" si="225"/>
        <v>200</v>
      </c>
      <c r="Z837" s="3208">
        <f t="shared" si="237"/>
        <v>838.18181818181813</v>
      </c>
      <c r="AA837" s="136" t="s">
        <v>1419</v>
      </c>
      <c r="AB837" s="136" t="s">
        <v>1418</v>
      </c>
      <c r="AC837" s="251" t="str">
        <f t="shared" si="232"/>
        <v>980gsm CB Roll &amp; Ream</v>
      </c>
      <c r="AD837" s="2746">
        <f>IF(L837&gt;0,IF(input!$B$2=$O$1,(((M837)+(M837)*$M$10)*$P$11)/1000,(((M837)+(M837)*O837+(M837)*$M$10)*$P$11)/1000),0)</f>
        <v>484.04159999999996</v>
      </c>
      <c r="AE837" s="2746">
        <f>IF(L837&gt;0,IF(input!$B$2=$O$1,(((N837)+(N837)*$M$10)*$P$11)/1000,(((N837)+(N837)*O837+(N837)*$M$10)*$P$11)/1000),0)</f>
        <v>0</v>
      </c>
      <c r="AF837" s="136" t="str">
        <f t="shared" si="226"/>
        <v>FSC</v>
      </c>
      <c r="AG837" s="2628">
        <f t="shared" si="233"/>
        <v>1.3866666666666668E-2</v>
      </c>
      <c r="AH837" s="1266">
        <v>0.1</v>
      </c>
    </row>
    <row r="838" spans="1:34" ht="12.75">
      <c r="A838" s="2199">
        <f t="shared" si="227"/>
        <v>7</v>
      </c>
      <c r="B838" s="2200" t="s">
        <v>2263</v>
      </c>
      <c r="C838" s="2743">
        <v>0</v>
      </c>
      <c r="D838" s="2743">
        <v>570</v>
      </c>
      <c r="E838" s="2949">
        <v>0</v>
      </c>
      <c r="F838" s="2200">
        <v>0</v>
      </c>
      <c r="G838" s="2200" t="s">
        <v>2038</v>
      </c>
      <c r="H838" s="2200" t="s">
        <v>1060</v>
      </c>
      <c r="I838" s="2742">
        <v>20</v>
      </c>
      <c r="J838" s="2742">
        <v>200</v>
      </c>
      <c r="K838" s="2752">
        <v>52</v>
      </c>
      <c r="L838" s="2745">
        <f t="shared" si="223"/>
        <v>570</v>
      </c>
      <c r="M838" s="2745">
        <f t="shared" si="234"/>
        <v>20</v>
      </c>
      <c r="N838" s="2745">
        <f t="shared" si="224"/>
        <v>0</v>
      </c>
      <c r="O838" s="1232">
        <f t="shared" si="228"/>
        <v>0</v>
      </c>
      <c r="P838" s="1227" t="str">
        <f t="shared" si="235"/>
        <v>CB Roll &amp; Ream 1.6mm</v>
      </c>
      <c r="Q838" s="254">
        <v>1.6</v>
      </c>
      <c r="R838" s="338">
        <v>1060</v>
      </c>
      <c r="S838" s="2747">
        <f t="shared" si="229"/>
        <v>0</v>
      </c>
      <c r="T838" s="2747">
        <f>IF(L838&gt;0,IF(input!$B$2=$O$1,(((L838+Y838/22)+(L838+Y838/22)*$AG838+$X838)*$P$11+$M$7)/1000,(((L838+Y838/22)+(L838+Y838/22)*O838+(L838+Y838/22)*$AG838+$X838)*$P$11+$M$7)/1000),0)</f>
        <v>14706.715822924243</v>
      </c>
      <c r="U838" s="2747">
        <f t="shared" si="230"/>
        <v>0</v>
      </c>
      <c r="V838" s="865" t="s">
        <v>1426</v>
      </c>
      <c r="W838" s="1231" t="str">
        <f t="shared" si="236"/>
        <v>FOB</v>
      </c>
      <c r="X838" s="1230">
        <f t="shared" si="231"/>
        <v>0.41405000000000003</v>
      </c>
      <c r="Y838" s="2625">
        <f t="shared" si="225"/>
        <v>200</v>
      </c>
      <c r="Z838" s="3208">
        <f t="shared" si="237"/>
        <v>838.18181818181813</v>
      </c>
      <c r="AA838" s="136" t="s">
        <v>1419</v>
      </c>
      <c r="AB838" s="136" t="s">
        <v>1418</v>
      </c>
      <c r="AC838" s="251" t="str">
        <f t="shared" si="232"/>
        <v>1060gsm CB Roll &amp; Ream</v>
      </c>
      <c r="AD838" s="2746">
        <f>IF(L838&gt;0,IF(input!$B$2=$O$1,(((M838)+(M838)*$M$10)*$P$11)/1000,(((M838)+(M838)*O838+(M838)*$M$10)*$P$11)/1000),0)</f>
        <v>484.04159999999996</v>
      </c>
      <c r="AE838" s="2746">
        <f>IF(L838&gt;0,IF(input!$B$2=$O$1,(((N838)+(N838)*$M$10)*$P$11)/1000,(((N838)+(N838)*O838+(N838)*$M$10)*$P$11)/1000),0)</f>
        <v>0</v>
      </c>
      <c r="AF838" s="136" t="str">
        <f t="shared" si="226"/>
        <v>FSC</v>
      </c>
      <c r="AG838" s="2628">
        <f t="shared" si="233"/>
        <v>1.3866666666666668E-2</v>
      </c>
      <c r="AH838" s="1266">
        <v>0.1</v>
      </c>
    </row>
    <row r="839" spans="1:34" ht="12.75">
      <c r="A839" s="2199">
        <f t="shared" si="227"/>
        <v>8</v>
      </c>
      <c r="B839" s="2200" t="s">
        <v>2264</v>
      </c>
      <c r="C839" s="2743">
        <v>0</v>
      </c>
      <c r="D839" s="2743">
        <v>570</v>
      </c>
      <c r="E839" s="2949">
        <v>0</v>
      </c>
      <c r="F839" s="2200">
        <v>0</v>
      </c>
      <c r="G839" s="2200" t="s">
        <v>2038</v>
      </c>
      <c r="H839" s="2200" t="s">
        <v>1060</v>
      </c>
      <c r="I839" s="2742">
        <v>20</v>
      </c>
      <c r="J839" s="2742">
        <v>200</v>
      </c>
      <c r="K839" s="2752">
        <v>52</v>
      </c>
      <c r="L839" s="2745">
        <f t="shared" si="223"/>
        <v>570</v>
      </c>
      <c r="M839" s="2745">
        <f t="shared" si="234"/>
        <v>20</v>
      </c>
      <c r="N839" s="2745">
        <f t="shared" si="224"/>
        <v>0</v>
      </c>
      <c r="O839" s="1232">
        <f t="shared" si="228"/>
        <v>0</v>
      </c>
      <c r="P839" s="1227" t="str">
        <f t="shared" si="235"/>
        <v>CB Roll &amp; Ream 1.7mm</v>
      </c>
      <c r="Q839" s="254">
        <v>1.7</v>
      </c>
      <c r="R839" s="338">
        <v>1120</v>
      </c>
      <c r="S839" s="2747">
        <f t="shared" si="229"/>
        <v>0</v>
      </c>
      <c r="T839" s="2747">
        <f>IF(L839&gt;0,IF(input!$B$2=$O$1,(((L839+Y839/22)+(L839+Y839/22)*$AG839+$X839)*$P$11+$M$7)/1000,(((L839+Y839/22)+(L839+Y839/22)*O839+(L839+Y839/22)*$AG839+$X839)*$P$11+$M$7)/1000),0)</f>
        <v>14706.715822924243</v>
      </c>
      <c r="U839" s="2747">
        <f t="shared" si="230"/>
        <v>0</v>
      </c>
      <c r="V839" s="865" t="s">
        <v>1427</v>
      </c>
      <c r="W839" s="1231" t="str">
        <f t="shared" si="236"/>
        <v>FOB</v>
      </c>
      <c r="X839" s="1230">
        <f t="shared" si="231"/>
        <v>0.41405000000000003</v>
      </c>
      <c r="Y839" s="2625">
        <f t="shared" si="225"/>
        <v>200</v>
      </c>
      <c r="Z839" s="3208">
        <f t="shared" si="237"/>
        <v>838.18181818181813</v>
      </c>
      <c r="AA839" s="136" t="s">
        <v>1419</v>
      </c>
      <c r="AB839" s="136" t="s">
        <v>1418</v>
      </c>
      <c r="AC839" s="251" t="str">
        <f t="shared" si="232"/>
        <v>1120gsm CB Roll &amp; Ream</v>
      </c>
      <c r="AD839" s="2746">
        <f>IF(L839&gt;0,IF(input!$B$2=$O$1,(((M839)+(M839)*$M$10)*$P$11)/1000,(((M839)+(M839)*O839+(M839)*$M$10)*$P$11)/1000),0)</f>
        <v>484.04159999999996</v>
      </c>
      <c r="AE839" s="2746">
        <f>IF(L839&gt;0,IF(input!$B$2=$O$1,(((N839)+(N839)*$M$10)*$P$11)/1000,(((N839)+(N839)*O839+(N839)*$M$10)*$P$11)/1000),0)</f>
        <v>0</v>
      </c>
      <c r="AF839" s="136" t="str">
        <f t="shared" si="226"/>
        <v>FSC</v>
      </c>
      <c r="AG839" s="2628">
        <f t="shared" si="233"/>
        <v>1.3866666666666668E-2</v>
      </c>
      <c r="AH839" s="1266">
        <v>0.1</v>
      </c>
    </row>
    <row r="840" spans="1:34" ht="12.75">
      <c r="A840" s="2199">
        <f t="shared" si="227"/>
        <v>9</v>
      </c>
      <c r="B840" s="2200" t="s">
        <v>2265</v>
      </c>
      <c r="C840" s="2743">
        <v>0</v>
      </c>
      <c r="D840" s="2743">
        <v>570</v>
      </c>
      <c r="E840" s="2949">
        <v>0</v>
      </c>
      <c r="F840" s="2200">
        <v>0</v>
      </c>
      <c r="G840" s="2200" t="s">
        <v>2038</v>
      </c>
      <c r="H840" s="2200" t="s">
        <v>1060</v>
      </c>
      <c r="I840" s="2742">
        <v>20</v>
      </c>
      <c r="J840" s="2742">
        <v>200</v>
      </c>
      <c r="K840" s="2752">
        <v>52</v>
      </c>
      <c r="L840" s="2745">
        <f t="shared" si="223"/>
        <v>570</v>
      </c>
      <c r="M840" s="2745">
        <f t="shared" si="234"/>
        <v>20</v>
      </c>
      <c r="N840" s="2745">
        <f t="shared" si="224"/>
        <v>0</v>
      </c>
      <c r="O840" s="1232">
        <f t="shared" si="228"/>
        <v>0</v>
      </c>
      <c r="P840" s="1227" t="str">
        <f t="shared" si="235"/>
        <v>CB Roll &amp; Ream 1.8mm</v>
      </c>
      <c r="Q840" s="254">
        <v>1.8</v>
      </c>
      <c r="R840" s="338">
        <v>1180</v>
      </c>
      <c r="S840" s="2747">
        <f t="shared" si="229"/>
        <v>0</v>
      </c>
      <c r="T840" s="2747">
        <f>IF(L840&gt;0,IF(input!$B$2=$O$1,(((L840+Y840/22)+(L840+Y840/22)*$AG840+$X840)*$P$11+$M$7)/1000,(((L840+Y840/22)+(L840+Y840/22)*O840+(L840+Y840/22)*$AG840+$X840)*$P$11+$M$7)/1000),0)</f>
        <v>14706.715822924243</v>
      </c>
      <c r="U840" s="2747">
        <f t="shared" si="230"/>
        <v>0</v>
      </c>
      <c r="V840" s="865" t="s">
        <v>1428</v>
      </c>
      <c r="W840" s="1231" t="str">
        <f t="shared" si="236"/>
        <v>FOB</v>
      </c>
      <c r="X840" s="1230">
        <f t="shared" si="231"/>
        <v>0.41405000000000003</v>
      </c>
      <c r="Y840" s="2625">
        <f t="shared" si="225"/>
        <v>200</v>
      </c>
      <c r="Z840" s="3208">
        <f t="shared" si="237"/>
        <v>838.18181818181813</v>
      </c>
      <c r="AA840" s="136" t="s">
        <v>1419</v>
      </c>
      <c r="AB840" s="136" t="s">
        <v>1418</v>
      </c>
      <c r="AC840" s="251" t="str">
        <f t="shared" si="232"/>
        <v>1180gsm CB Roll &amp; Ream</v>
      </c>
      <c r="AD840" s="2746">
        <f>IF(L840&gt;0,IF(input!$B$2=$O$1,(((M840)+(M840)*$M$10)*$P$11)/1000,(((M840)+(M840)*O840+(M840)*$M$10)*$P$11)/1000),0)</f>
        <v>484.04159999999996</v>
      </c>
      <c r="AE840" s="2746">
        <f>IF(L840&gt;0,IF(input!$B$2=$O$1,(((N840)+(N840)*$M$10)*$P$11)/1000,(((N840)+(N840)*O840+(N840)*$M$10)*$P$11)/1000),0)</f>
        <v>0</v>
      </c>
      <c r="AF840" s="136" t="str">
        <f t="shared" si="226"/>
        <v>FSC</v>
      </c>
      <c r="AG840" s="2628">
        <f t="shared" si="233"/>
        <v>1.3866666666666668E-2</v>
      </c>
      <c r="AH840" s="1266">
        <v>0.1</v>
      </c>
    </row>
    <row r="841" spans="1:34" ht="12.75">
      <c r="A841" s="2199">
        <f t="shared" si="227"/>
        <v>10</v>
      </c>
      <c r="B841" s="2200" t="s">
        <v>2266</v>
      </c>
      <c r="C841" s="2743">
        <v>0</v>
      </c>
      <c r="D841" s="2743">
        <v>570</v>
      </c>
      <c r="E841" s="2949">
        <v>0</v>
      </c>
      <c r="F841" s="2200">
        <v>0</v>
      </c>
      <c r="G841" s="2200" t="s">
        <v>2038</v>
      </c>
      <c r="H841" s="2200" t="s">
        <v>1060</v>
      </c>
      <c r="I841" s="2742">
        <v>20</v>
      </c>
      <c r="J841" s="2742">
        <v>200</v>
      </c>
      <c r="K841" s="2752">
        <v>52</v>
      </c>
      <c r="L841" s="2745">
        <f t="shared" si="223"/>
        <v>570</v>
      </c>
      <c r="M841" s="2745">
        <f t="shared" si="234"/>
        <v>20</v>
      </c>
      <c r="N841" s="2745">
        <f t="shared" si="224"/>
        <v>0</v>
      </c>
      <c r="O841" s="1232">
        <f t="shared" si="228"/>
        <v>0</v>
      </c>
      <c r="P841" s="1227" t="str">
        <f t="shared" si="235"/>
        <v>CB Roll &amp; Ream 2.0mm</v>
      </c>
      <c r="Q841" s="254">
        <v>2</v>
      </c>
      <c r="R841" s="338">
        <v>1300</v>
      </c>
      <c r="S841" s="2747">
        <f t="shared" si="229"/>
        <v>0</v>
      </c>
      <c r="T841" s="2747">
        <f>IF(L841&gt;0,IF(input!$B$2=$O$1,(((L841+Y841/22)+(L841+Y841/22)*$AG841+$X841)*$P$11+$M$7)/1000,(((L841+Y841/22)+(L841+Y841/22)*O841+(L841+Y841/22)*$AG841+$X841)*$P$11+$M$7)/1000),0)</f>
        <v>14706.715822924243</v>
      </c>
      <c r="U841" s="2747">
        <f t="shared" si="230"/>
        <v>0</v>
      </c>
      <c r="V841" s="865" t="s">
        <v>2883</v>
      </c>
      <c r="W841" s="1231" t="str">
        <f t="shared" si="236"/>
        <v>FOB</v>
      </c>
      <c r="X841" s="1230">
        <f t="shared" si="231"/>
        <v>0.41405000000000003</v>
      </c>
      <c r="Y841" s="2625">
        <f t="shared" si="225"/>
        <v>200</v>
      </c>
      <c r="Z841" s="3208">
        <f t="shared" si="237"/>
        <v>838.18181818181813</v>
      </c>
      <c r="AA841" s="136" t="s">
        <v>1419</v>
      </c>
      <c r="AB841" s="136" t="s">
        <v>1418</v>
      </c>
      <c r="AC841" s="251" t="str">
        <f t="shared" si="232"/>
        <v>1300gsm CB Roll &amp; Ream</v>
      </c>
      <c r="AD841" s="2746">
        <f>IF(L841&gt;0,IF(input!$B$2=$O$1,(((M841)+(M841)*$M$10)*$P$11)/1000,(((M841)+(M841)*O841+(M841)*$M$10)*$P$11)/1000),0)</f>
        <v>484.04159999999996</v>
      </c>
      <c r="AE841" s="2746">
        <f>IF(L841&gt;0,IF(input!$B$2=$O$1,(((N841)+(N841)*$M$10)*$P$11)/1000,(((N841)+(N841)*O841+(N841)*$M$10)*$P$11)/1000),0)</f>
        <v>0</v>
      </c>
      <c r="AF841" s="136" t="str">
        <f t="shared" si="226"/>
        <v>FSC</v>
      </c>
      <c r="AG841" s="2628">
        <f t="shared" si="233"/>
        <v>1.3866666666666668E-2</v>
      </c>
      <c r="AH841" s="1266">
        <v>0.1</v>
      </c>
    </row>
    <row r="842" spans="1:34" ht="12.75">
      <c r="A842" s="2199">
        <f t="shared" si="227"/>
        <v>11</v>
      </c>
      <c r="B842" s="2200" t="s">
        <v>2267</v>
      </c>
      <c r="C842" s="2743">
        <v>0</v>
      </c>
      <c r="D842" s="2743">
        <v>570</v>
      </c>
      <c r="E842" s="2949">
        <v>0</v>
      </c>
      <c r="F842" s="2200">
        <v>0</v>
      </c>
      <c r="G842" s="2200" t="s">
        <v>2038</v>
      </c>
      <c r="H842" s="2200" t="s">
        <v>1060</v>
      </c>
      <c r="I842" s="2742">
        <v>20</v>
      </c>
      <c r="J842" s="2742">
        <v>200</v>
      </c>
      <c r="K842" s="2752">
        <v>52</v>
      </c>
      <c r="L842" s="2745">
        <f t="shared" si="223"/>
        <v>570</v>
      </c>
      <c r="M842" s="2745">
        <f t="shared" si="234"/>
        <v>20</v>
      </c>
      <c r="N842" s="2745">
        <f t="shared" si="224"/>
        <v>0</v>
      </c>
      <c r="O842" s="1232">
        <f t="shared" si="228"/>
        <v>0</v>
      </c>
      <c r="P842" s="1227" t="str">
        <f t="shared" si="235"/>
        <v>CB Roll &amp; Ream 2.2mm</v>
      </c>
      <c r="Q842" s="254">
        <v>2.2000000000000002</v>
      </c>
      <c r="R842" s="338">
        <v>1420</v>
      </c>
      <c r="S842" s="2747">
        <f t="shared" si="229"/>
        <v>0</v>
      </c>
      <c r="T842" s="2747">
        <f>IF(L842&gt;0,IF(input!$B$2=$O$1,(((L842+Y842/22)+(L842+Y842/22)*$AG842+$X842)*$P$11+$M$7)/1000,(((L842+Y842/22)+(L842+Y842/22)*O842+(L842+Y842/22)*$AG842+$X842)*$P$11+$M$7)/1000),0)</f>
        <v>14706.715822924243</v>
      </c>
      <c r="U842" s="2747">
        <f t="shared" si="230"/>
        <v>0</v>
      </c>
      <c r="V842" s="865" t="s">
        <v>1430</v>
      </c>
      <c r="W842" s="1231" t="str">
        <f t="shared" si="236"/>
        <v>FOB</v>
      </c>
      <c r="X842" s="1230">
        <f t="shared" si="231"/>
        <v>0.41405000000000003</v>
      </c>
      <c r="Y842" s="2625">
        <f t="shared" si="225"/>
        <v>200</v>
      </c>
      <c r="Z842" s="3208">
        <f t="shared" si="237"/>
        <v>838.18181818181813</v>
      </c>
      <c r="AA842" s="136" t="s">
        <v>1419</v>
      </c>
      <c r="AB842" s="136" t="s">
        <v>1418</v>
      </c>
      <c r="AC842" s="251" t="str">
        <f t="shared" si="232"/>
        <v>1420gsm CB Roll &amp; Ream</v>
      </c>
      <c r="AD842" s="2746">
        <f>IF(L842&gt;0,IF(input!$B$2=$O$1,(((M842)+(M842)*$M$10)*$P$11)/1000,(((M842)+(M842)*O842+(M842)*$M$10)*$P$11)/1000),0)</f>
        <v>484.04159999999996</v>
      </c>
      <c r="AE842" s="2746">
        <f>IF(L842&gt;0,IF(input!$B$2=$O$1,(((N842)+(N842)*$M$10)*$P$11)/1000,(((N842)+(N842)*O842+(N842)*$M$10)*$P$11)/1000),0)</f>
        <v>0</v>
      </c>
      <c r="AF842" s="136" t="str">
        <f t="shared" si="226"/>
        <v>FSC</v>
      </c>
      <c r="AG842" s="2628">
        <f t="shared" si="233"/>
        <v>1.3866666666666668E-2</v>
      </c>
      <c r="AH842" s="1266">
        <v>0.1</v>
      </c>
    </row>
    <row r="843" spans="1:34" ht="12.75">
      <c r="A843" s="2199">
        <f t="shared" si="227"/>
        <v>12</v>
      </c>
      <c r="B843" s="2200" t="s">
        <v>2268</v>
      </c>
      <c r="C843" s="2743">
        <v>0</v>
      </c>
      <c r="D843" s="2743">
        <v>570</v>
      </c>
      <c r="E843" s="2949">
        <v>0</v>
      </c>
      <c r="F843" s="2200">
        <v>0</v>
      </c>
      <c r="G843" s="2200" t="s">
        <v>2038</v>
      </c>
      <c r="H843" s="2200" t="s">
        <v>1060</v>
      </c>
      <c r="I843" s="2742">
        <v>20</v>
      </c>
      <c r="J843" s="2742">
        <v>200</v>
      </c>
      <c r="K843" s="2752">
        <v>52</v>
      </c>
      <c r="L843" s="2745">
        <f t="shared" si="223"/>
        <v>570</v>
      </c>
      <c r="M843" s="2745">
        <f t="shared" si="234"/>
        <v>20</v>
      </c>
      <c r="N843" s="2745">
        <f t="shared" si="224"/>
        <v>0</v>
      </c>
      <c r="O843" s="1232">
        <f t="shared" si="228"/>
        <v>0</v>
      </c>
      <c r="P843" s="1227" t="str">
        <f t="shared" si="235"/>
        <v>CB Roll &amp; Ream 2.4mm</v>
      </c>
      <c r="Q843" s="254">
        <v>2.4</v>
      </c>
      <c r="R843" s="338">
        <v>1540</v>
      </c>
      <c r="S843" s="2747">
        <f t="shared" si="229"/>
        <v>0</v>
      </c>
      <c r="T843" s="2747">
        <f>IF(L843&gt;0,IF(input!$B$2=$O$1,(((L843+Y843/22)+(L843+Y843/22)*$AG843+$X843)*$P$11+$M$7)/1000,(((L843+Y843/22)+(L843+Y843/22)*O843+(L843+Y843/22)*$AG843+$X843)*$P$11+$M$7)/1000),0)</f>
        <v>14706.715822924243</v>
      </c>
      <c r="U843" s="2747">
        <f t="shared" si="230"/>
        <v>0</v>
      </c>
      <c r="V843" s="865" t="s">
        <v>1431</v>
      </c>
      <c r="W843" s="1231" t="str">
        <f t="shared" si="236"/>
        <v>FOB</v>
      </c>
      <c r="X843" s="1230">
        <f t="shared" si="231"/>
        <v>0.41405000000000003</v>
      </c>
      <c r="Y843" s="2625">
        <f t="shared" si="225"/>
        <v>200</v>
      </c>
      <c r="Z843" s="3208">
        <f t="shared" si="237"/>
        <v>838.18181818181813</v>
      </c>
      <c r="AA843" s="136" t="s">
        <v>1419</v>
      </c>
      <c r="AB843" s="136" t="s">
        <v>1418</v>
      </c>
      <c r="AC843" s="251" t="str">
        <f t="shared" si="232"/>
        <v>1540gsm CB Roll &amp; Ream</v>
      </c>
      <c r="AD843" s="2746">
        <f>IF(L843&gt;0,IF(input!$B$2=$O$1,(((M843)+(M843)*$M$10)*$P$11)/1000,(((M843)+(M843)*O843+(M843)*$M$10)*$P$11)/1000),0)</f>
        <v>484.04159999999996</v>
      </c>
      <c r="AE843" s="2746">
        <f>IF(L843&gt;0,IF(input!$B$2=$O$1,(((N843)+(N843)*$M$10)*$P$11)/1000,(((N843)+(N843)*O843+(N843)*$M$10)*$P$11)/1000),0)</f>
        <v>0</v>
      </c>
      <c r="AF843" s="136" t="str">
        <f t="shared" si="226"/>
        <v>FSC</v>
      </c>
      <c r="AG843" s="2628">
        <f t="shared" si="233"/>
        <v>1.3866666666666668E-2</v>
      </c>
      <c r="AH843" s="1266">
        <v>0.1</v>
      </c>
    </row>
    <row r="844" spans="1:34" ht="12.75">
      <c r="A844" s="2199">
        <f t="shared" si="227"/>
        <v>13</v>
      </c>
      <c r="B844" s="2200" t="s">
        <v>2269</v>
      </c>
      <c r="C844" s="2743">
        <v>0</v>
      </c>
      <c r="D844" s="2743">
        <v>570</v>
      </c>
      <c r="E844" s="2949">
        <v>0</v>
      </c>
      <c r="F844" s="2200">
        <v>0</v>
      </c>
      <c r="G844" s="2200" t="s">
        <v>2038</v>
      </c>
      <c r="H844" s="2200" t="s">
        <v>1060</v>
      </c>
      <c r="I844" s="2742">
        <v>20</v>
      </c>
      <c r="J844" s="2742">
        <v>200</v>
      </c>
      <c r="K844" s="2752">
        <v>52</v>
      </c>
      <c r="L844" s="2745">
        <f t="shared" si="223"/>
        <v>570</v>
      </c>
      <c r="M844" s="2745">
        <f t="shared" si="234"/>
        <v>20</v>
      </c>
      <c r="N844" s="2745">
        <f t="shared" si="224"/>
        <v>0</v>
      </c>
      <c r="O844" s="1232">
        <f t="shared" si="228"/>
        <v>0</v>
      </c>
      <c r="P844" s="1227" t="str">
        <f t="shared" si="235"/>
        <v>CB Roll &amp; Ream 2.6mm</v>
      </c>
      <c r="Q844" s="254">
        <v>2.6</v>
      </c>
      <c r="R844" s="338">
        <v>1740</v>
      </c>
      <c r="S844" s="2747">
        <f t="shared" si="229"/>
        <v>0</v>
      </c>
      <c r="T844" s="2747">
        <f>IF(L844&gt;0,IF(input!$B$2=$O$1,(((L844+Y844/22)+(L844+Y844/22)*$AG844+$X844)*$P$11+$M$7)/1000,(((L844+Y844/22)+(L844+Y844/22)*O844+(L844+Y844/22)*$AG844+$X844)*$P$11+$M$7)/1000),0)</f>
        <v>14706.715822924243</v>
      </c>
      <c r="U844" s="2747">
        <f t="shared" si="230"/>
        <v>0</v>
      </c>
      <c r="V844" s="865" t="s">
        <v>1432</v>
      </c>
      <c r="W844" s="1231" t="str">
        <f t="shared" si="236"/>
        <v>FOB</v>
      </c>
      <c r="X844" s="1230">
        <f t="shared" si="231"/>
        <v>0.41405000000000003</v>
      </c>
      <c r="Y844" s="2625">
        <f t="shared" si="225"/>
        <v>200</v>
      </c>
      <c r="Z844" s="3208">
        <f t="shared" si="237"/>
        <v>838.18181818181813</v>
      </c>
      <c r="AA844" s="136" t="s">
        <v>1419</v>
      </c>
      <c r="AB844" s="136" t="s">
        <v>1418</v>
      </c>
      <c r="AC844" s="251" t="str">
        <f t="shared" si="232"/>
        <v>1740gsm CB Roll &amp; Ream</v>
      </c>
      <c r="AD844" s="2746">
        <f>IF(L844&gt;0,IF(input!$B$2=$O$1,(((M844)+(M844)*$M$10)*$P$11)/1000,(((M844)+(M844)*O844+(M844)*$M$10)*$P$11)/1000),0)</f>
        <v>484.04159999999996</v>
      </c>
      <c r="AE844" s="2746">
        <f>IF(L844&gt;0,IF(input!$B$2=$O$1,(((N844)+(N844)*$M$10)*$P$11)/1000,(((N844)+(N844)*O844+(N844)*$M$10)*$P$11)/1000),0)</f>
        <v>0</v>
      </c>
      <c r="AF844" s="136" t="str">
        <f t="shared" si="226"/>
        <v>FSC</v>
      </c>
      <c r="AG844" s="2628">
        <f t="shared" si="233"/>
        <v>1.3866666666666668E-2</v>
      </c>
      <c r="AH844" s="1266">
        <v>0.1</v>
      </c>
    </row>
    <row r="845" spans="1:34" ht="12.75">
      <c r="A845" s="2199">
        <f t="shared" si="227"/>
        <v>14</v>
      </c>
      <c r="B845" s="2200" t="s">
        <v>2270</v>
      </c>
      <c r="C845" s="2743">
        <v>0</v>
      </c>
      <c r="D845" s="2743">
        <v>570</v>
      </c>
      <c r="E845" s="2949">
        <v>0</v>
      </c>
      <c r="F845" s="2200">
        <v>0</v>
      </c>
      <c r="G845" s="2200" t="s">
        <v>2038</v>
      </c>
      <c r="H845" s="2200" t="s">
        <v>1060</v>
      </c>
      <c r="I845" s="2742">
        <v>20</v>
      </c>
      <c r="J845" s="2742">
        <v>200</v>
      </c>
      <c r="K845" s="2752">
        <v>52</v>
      </c>
      <c r="L845" s="2745">
        <f t="shared" si="223"/>
        <v>570</v>
      </c>
      <c r="M845" s="2745">
        <f t="shared" si="234"/>
        <v>20</v>
      </c>
      <c r="N845" s="2745">
        <f t="shared" si="224"/>
        <v>0</v>
      </c>
      <c r="O845" s="1232">
        <f t="shared" si="228"/>
        <v>0</v>
      </c>
      <c r="P845" s="1227" t="str">
        <f t="shared" si="235"/>
        <v>CB Roll &amp; Ream 2.8mm</v>
      </c>
      <c r="Q845" s="254">
        <v>2.8</v>
      </c>
      <c r="R845" s="338">
        <v>1860</v>
      </c>
      <c r="S845" s="2747">
        <f t="shared" si="229"/>
        <v>0</v>
      </c>
      <c r="T845" s="2747">
        <f>IF(L845&gt;0,IF(input!$B$2=$O$1,(((L845+Y845/22)+(L845+Y845/22)*$AG845+$X845)*$P$11+$M$7)/1000,(((L845+Y845/22)+(L845+Y845/22)*O845+(L845+Y845/22)*$AG845+$X845)*$P$11+$M$7)/1000),0)</f>
        <v>14706.715822924243</v>
      </c>
      <c r="U845" s="2747">
        <f t="shared" si="230"/>
        <v>0</v>
      </c>
      <c r="V845" s="865" t="s">
        <v>1433</v>
      </c>
      <c r="W845" s="1231" t="str">
        <f t="shared" si="236"/>
        <v>FOB</v>
      </c>
      <c r="X845" s="1230">
        <f t="shared" si="231"/>
        <v>0.41405000000000003</v>
      </c>
      <c r="Y845" s="2625">
        <f t="shared" si="225"/>
        <v>200</v>
      </c>
      <c r="Z845" s="3208">
        <f t="shared" si="237"/>
        <v>838.18181818181813</v>
      </c>
      <c r="AA845" s="136" t="s">
        <v>1419</v>
      </c>
      <c r="AB845" s="136" t="s">
        <v>1418</v>
      </c>
      <c r="AC845" s="251" t="str">
        <f t="shared" si="232"/>
        <v>1860gsm CB Roll &amp; Ream</v>
      </c>
      <c r="AD845" s="2746">
        <f>IF(L845&gt;0,IF(input!$B$2=$O$1,(((M845)+(M845)*$M$10)*$P$11)/1000,(((M845)+(M845)*O845+(M845)*$M$10)*$P$11)/1000),0)</f>
        <v>484.04159999999996</v>
      </c>
      <c r="AE845" s="2746">
        <f>IF(L845&gt;0,IF(input!$B$2=$O$1,(((N845)+(N845)*$M$10)*$P$11)/1000,(((N845)+(N845)*O845+(N845)*$M$10)*$P$11)/1000),0)</f>
        <v>0</v>
      </c>
      <c r="AF845" s="136" t="str">
        <f t="shared" si="226"/>
        <v>FSC</v>
      </c>
      <c r="AG845" s="2628">
        <f t="shared" si="233"/>
        <v>1.3866666666666668E-2</v>
      </c>
      <c r="AH845" s="1266">
        <v>0.1</v>
      </c>
    </row>
    <row r="846" spans="1:34" ht="12.75">
      <c r="A846" s="2199">
        <f t="shared" si="227"/>
        <v>15</v>
      </c>
      <c r="B846" s="2200" t="s">
        <v>2271</v>
      </c>
      <c r="C846" s="2743">
        <v>0</v>
      </c>
      <c r="D846" s="2743">
        <v>570</v>
      </c>
      <c r="E846" s="2949">
        <v>0</v>
      </c>
      <c r="F846" s="2200">
        <v>0</v>
      </c>
      <c r="G846" s="2200" t="s">
        <v>2038</v>
      </c>
      <c r="H846" s="2200" t="s">
        <v>1060</v>
      </c>
      <c r="I846" s="2742">
        <v>20</v>
      </c>
      <c r="J846" s="2742">
        <v>200</v>
      </c>
      <c r="K846" s="2752">
        <v>52</v>
      </c>
      <c r="L846" s="2745">
        <f t="shared" si="223"/>
        <v>570</v>
      </c>
      <c r="M846" s="2745">
        <f t="shared" si="234"/>
        <v>20</v>
      </c>
      <c r="N846" s="2745">
        <f t="shared" si="224"/>
        <v>0</v>
      </c>
      <c r="O846" s="1232">
        <f t="shared" si="228"/>
        <v>0</v>
      </c>
      <c r="P846" s="1227" t="str">
        <f t="shared" si="235"/>
        <v>CB Roll &amp; Ream 3.0mm</v>
      </c>
      <c r="Q846" s="254">
        <v>3</v>
      </c>
      <c r="R846" s="338">
        <v>1980</v>
      </c>
      <c r="S846" s="2747">
        <f t="shared" si="229"/>
        <v>0</v>
      </c>
      <c r="T846" s="2747">
        <f>IF(L846&gt;0,IF(input!$B$2=$O$1,(((L846+Y846/22)+(L846+Y846/22)*$AG846+$X846)*$P$11+$M$7)/1000,(((L846+Y846/22)+(L846+Y846/22)*O846+(L846+Y846/22)*$AG846+$X846)*$P$11+$M$7)/1000),0)</f>
        <v>14706.715822924243</v>
      </c>
      <c r="U846" s="2747">
        <f t="shared" si="230"/>
        <v>0</v>
      </c>
      <c r="V846" s="865" t="s">
        <v>2884</v>
      </c>
      <c r="W846" s="1231" t="str">
        <f t="shared" si="236"/>
        <v>FOB</v>
      </c>
      <c r="X846" s="1230">
        <f t="shared" si="231"/>
        <v>0.41405000000000003</v>
      </c>
      <c r="Y846" s="2625">
        <f t="shared" si="225"/>
        <v>200</v>
      </c>
      <c r="Z846" s="3208">
        <f t="shared" si="237"/>
        <v>838.18181818181813</v>
      </c>
      <c r="AA846" s="136" t="s">
        <v>1419</v>
      </c>
      <c r="AB846" s="136" t="s">
        <v>1418</v>
      </c>
      <c r="AC846" s="251" t="str">
        <f t="shared" si="232"/>
        <v>1980gsm CB Roll &amp; Ream</v>
      </c>
      <c r="AD846" s="2746">
        <f>IF(L846&gt;0,IF(input!$B$2=$O$1,(((M846)+(M846)*$M$10)*$P$11)/1000,(((M846)+(M846)*O846+(M846)*$M$10)*$P$11)/1000),0)</f>
        <v>484.04159999999996</v>
      </c>
      <c r="AE846" s="2746">
        <f>IF(L846&gt;0,IF(input!$B$2=$O$1,(((N846)+(N846)*$M$10)*$P$11)/1000,(((N846)+(N846)*O846+(N846)*$M$10)*$P$11)/1000),0)</f>
        <v>0</v>
      </c>
      <c r="AF846" s="136" t="str">
        <f t="shared" si="226"/>
        <v>FSC</v>
      </c>
      <c r="AG846" s="2628">
        <f t="shared" si="233"/>
        <v>1.3866666666666668E-2</v>
      </c>
      <c r="AH846" s="1266">
        <v>0.1</v>
      </c>
    </row>
    <row r="847" spans="1:34" ht="12.75">
      <c r="A847" s="2199">
        <f t="shared" si="227"/>
        <v>16</v>
      </c>
      <c r="B847" s="2200" t="s">
        <v>2272</v>
      </c>
      <c r="C847" s="2743">
        <v>0</v>
      </c>
      <c r="D847" s="2743">
        <v>570</v>
      </c>
      <c r="E847" s="2949">
        <v>0</v>
      </c>
      <c r="F847" s="2200">
        <v>0</v>
      </c>
      <c r="G847" s="2200" t="s">
        <v>2038</v>
      </c>
      <c r="H847" s="2200" t="s">
        <v>1060</v>
      </c>
      <c r="I847" s="2742">
        <v>20</v>
      </c>
      <c r="J847" s="2742">
        <v>200</v>
      </c>
      <c r="K847" s="2752">
        <v>52</v>
      </c>
      <c r="L847" s="2745">
        <f t="shared" si="223"/>
        <v>570</v>
      </c>
      <c r="M847" s="2745">
        <f t="shared" si="234"/>
        <v>20</v>
      </c>
      <c r="N847" s="2745">
        <f t="shared" si="224"/>
        <v>0</v>
      </c>
      <c r="O847" s="1232">
        <f t="shared" si="228"/>
        <v>0</v>
      </c>
      <c r="P847" s="1227" t="str">
        <f t="shared" si="235"/>
        <v>CB Roll &amp; Ream 3.2mm</v>
      </c>
      <c r="Q847" s="254">
        <v>3.2</v>
      </c>
      <c r="R847" s="338">
        <v>2100</v>
      </c>
      <c r="S847" s="2747">
        <f t="shared" si="229"/>
        <v>0</v>
      </c>
      <c r="T847" s="2747">
        <f>IF(L847&gt;0,IF(input!$B$2=$O$1,(((L847+Y847/22)+(L847+Y847/22)*$AG847+$X847)*$P$11+$M$7)/1000,(((L847+Y847/22)+(L847+Y847/22)*O847+(L847+Y847/22)*$AG847+$X847)*$P$11+$M$7)/1000),0)</f>
        <v>14706.715822924243</v>
      </c>
      <c r="U847" s="2747">
        <f t="shared" si="230"/>
        <v>0</v>
      </c>
      <c r="V847" s="865" t="s">
        <v>1435</v>
      </c>
      <c r="W847" s="1231" t="str">
        <f t="shared" si="236"/>
        <v>FOB</v>
      </c>
      <c r="X847" s="1230">
        <f t="shared" si="231"/>
        <v>0.41405000000000003</v>
      </c>
      <c r="Y847" s="2625">
        <f t="shared" si="225"/>
        <v>200</v>
      </c>
      <c r="Z847" s="3208">
        <f t="shared" si="237"/>
        <v>838.18181818181813</v>
      </c>
      <c r="AA847" s="136" t="s">
        <v>1419</v>
      </c>
      <c r="AB847" s="136" t="s">
        <v>1418</v>
      </c>
      <c r="AC847" s="251" t="str">
        <f t="shared" si="232"/>
        <v>2100gsm CB Roll &amp; Ream</v>
      </c>
      <c r="AD847" s="2746">
        <f>IF(L847&gt;0,IF(input!$B$2=$O$1,(((M847)+(M847)*$M$10)*$P$11)/1000,(((M847)+(M847)*O847+(M847)*$M$10)*$P$11)/1000),0)</f>
        <v>484.04159999999996</v>
      </c>
      <c r="AE847" s="2746">
        <f>IF(L847&gt;0,IF(input!$B$2=$O$1,(((N847)+(N847)*$M$10)*$P$11)/1000,(((N847)+(N847)*O847+(N847)*$M$10)*$P$11)/1000),0)</f>
        <v>0</v>
      </c>
      <c r="AF847" s="136" t="str">
        <f t="shared" si="226"/>
        <v>FSC</v>
      </c>
      <c r="AG847" s="2628">
        <f t="shared" si="233"/>
        <v>1.3866666666666668E-2</v>
      </c>
      <c r="AH847" s="1266">
        <v>0.1</v>
      </c>
    </row>
    <row r="848" spans="1:34" ht="12.75">
      <c r="A848" s="2199">
        <f t="shared" si="227"/>
        <v>17</v>
      </c>
      <c r="B848" s="2200" t="s">
        <v>2273</v>
      </c>
      <c r="C848" s="2743">
        <v>0</v>
      </c>
      <c r="D848" s="2743">
        <v>570</v>
      </c>
      <c r="E848" s="2949">
        <v>0</v>
      </c>
      <c r="F848" s="2200">
        <v>0</v>
      </c>
      <c r="G848" s="2200" t="s">
        <v>2038</v>
      </c>
      <c r="H848" s="2200" t="s">
        <v>1060</v>
      </c>
      <c r="I848" s="2742">
        <v>20</v>
      </c>
      <c r="J848" s="2742">
        <v>200</v>
      </c>
      <c r="K848" s="2752">
        <v>52</v>
      </c>
      <c r="L848" s="2745">
        <f t="shared" si="223"/>
        <v>570</v>
      </c>
      <c r="M848" s="2745">
        <f t="shared" si="234"/>
        <v>20</v>
      </c>
      <c r="N848" s="2745">
        <f t="shared" si="224"/>
        <v>0</v>
      </c>
      <c r="O848" s="1232">
        <f t="shared" si="228"/>
        <v>0</v>
      </c>
      <c r="P848" s="1227" t="str">
        <f t="shared" si="235"/>
        <v>CB Roll &amp; Ream 3.6mm</v>
      </c>
      <c r="Q848" s="254">
        <v>3.6</v>
      </c>
      <c r="R848" s="338">
        <v>2340</v>
      </c>
      <c r="S848" s="2747">
        <f t="shared" si="229"/>
        <v>0</v>
      </c>
      <c r="T848" s="2747">
        <f>IF(L848&gt;0,IF(input!$B$2=$O$1,(((L848+Y848/22)+(L848+Y848/22)*$AG848+$X848)*$P$11+$M$7)/1000,(((L848+Y848/22)+(L848+Y848/22)*O848+(L848+Y848/22)*$AG848+$X848)*$P$11+$M$7)/1000),0)</f>
        <v>14706.715822924243</v>
      </c>
      <c r="U848" s="2747">
        <f t="shared" si="230"/>
        <v>0</v>
      </c>
      <c r="V848" s="865" t="s">
        <v>1436</v>
      </c>
      <c r="W848" s="1231" t="str">
        <f t="shared" si="236"/>
        <v>FOB</v>
      </c>
      <c r="X848" s="1230">
        <f t="shared" si="231"/>
        <v>0.41405000000000003</v>
      </c>
      <c r="Y848" s="2625">
        <f t="shared" si="225"/>
        <v>200</v>
      </c>
      <c r="Z848" s="3208">
        <f t="shared" si="237"/>
        <v>838.18181818181813</v>
      </c>
      <c r="AA848" s="136" t="s">
        <v>1419</v>
      </c>
      <c r="AB848" s="136" t="s">
        <v>1418</v>
      </c>
      <c r="AC848" s="251" t="str">
        <f t="shared" si="232"/>
        <v>2340gsm CB Roll &amp; Ream</v>
      </c>
      <c r="AD848" s="2746">
        <f>IF(L848&gt;0,IF(input!$B$2=$O$1,(((M848)+(M848)*$M$10)*$P$11)/1000,(((M848)+(M848)*O848+(M848)*$M$10)*$P$11)/1000),0)</f>
        <v>484.04159999999996</v>
      </c>
      <c r="AE848" s="2746">
        <f>IF(L848&gt;0,IF(input!$B$2=$O$1,(((N848)+(N848)*$M$10)*$P$11)/1000,(((N848)+(N848)*O848+(N848)*$M$10)*$P$11)/1000),0)</f>
        <v>0</v>
      </c>
      <c r="AF848" s="136" t="str">
        <f t="shared" si="226"/>
        <v>FSC</v>
      </c>
      <c r="AG848" s="2628">
        <f t="shared" si="233"/>
        <v>1.3866666666666668E-2</v>
      </c>
      <c r="AH848" s="1266">
        <v>0.1</v>
      </c>
    </row>
    <row r="849" spans="1:34" ht="12.75" collapsed="1">
      <c r="A849" s="2199">
        <f t="shared" si="227"/>
        <v>18</v>
      </c>
      <c r="B849" s="2200" t="s">
        <v>2274</v>
      </c>
      <c r="C849" s="2743">
        <v>0</v>
      </c>
      <c r="D849" s="2743">
        <v>0</v>
      </c>
      <c r="E849" s="2949">
        <v>0</v>
      </c>
      <c r="F849" s="2200">
        <v>0</v>
      </c>
      <c r="G849" s="2200" t="s">
        <v>2038</v>
      </c>
      <c r="H849" s="2200" t="s">
        <v>1057</v>
      </c>
      <c r="I849" s="2742">
        <v>30</v>
      </c>
      <c r="J849" s="2742">
        <v>0</v>
      </c>
      <c r="K849" s="2752">
        <v>60</v>
      </c>
      <c r="L849" s="2745">
        <f t="shared" si="223"/>
        <v>0</v>
      </c>
      <c r="M849" s="2745">
        <f t="shared" si="234"/>
        <v>30</v>
      </c>
      <c r="N849" s="2745">
        <f t="shared" si="224"/>
        <v>0</v>
      </c>
      <c r="O849" s="1232">
        <f t="shared" si="228"/>
        <v>0</v>
      </c>
      <c r="P849" s="1227" t="str">
        <f t="shared" si="235"/>
        <v>CB Won bang 0.4mm</v>
      </c>
      <c r="Q849" s="254">
        <v>0.4</v>
      </c>
      <c r="R849" s="338">
        <v>350</v>
      </c>
      <c r="S849" s="2747">
        <f t="shared" si="229"/>
        <v>0</v>
      </c>
      <c r="T849" s="2747">
        <f>IF(L849&gt;0,IF(input!$B$2=$O$1,(((L849+Y849/22)+(L849+Y849/22)*$AG849+$X849)*$P$11+$M$7)/1000,(((L849+Y849/22)+(L849+Y849/22)*O849+(L849+Y849/22)*$AG849+$X849)*$P$11+$M$7)/1000),0)</f>
        <v>0</v>
      </c>
      <c r="U849" s="2747">
        <f t="shared" si="230"/>
        <v>0</v>
      </c>
      <c r="V849" s="865" t="s">
        <v>1437</v>
      </c>
      <c r="W849" s="1231" t="str">
        <f t="shared" si="236"/>
        <v>CIF</v>
      </c>
      <c r="X849" s="1230">
        <f t="shared" si="231"/>
        <v>0</v>
      </c>
      <c r="Y849" s="2625">
        <f t="shared" si="225"/>
        <v>0</v>
      </c>
      <c r="Z849" s="3208">
        <f t="shared" si="237"/>
        <v>838.18181818181813</v>
      </c>
      <c r="AA849" s="136" t="s">
        <v>2256</v>
      </c>
      <c r="AB849" s="136" t="s">
        <v>1418</v>
      </c>
      <c r="AC849" s="251" t="str">
        <f t="shared" si="232"/>
        <v>350gsm CB Won bang</v>
      </c>
      <c r="AD849" s="2746">
        <f>IF(L849&gt;0,IF(input!$B$2=$O$1,(((M849)+(M849)*$M$10)*$P$11)/1000,(((M849)+(M849)*O849+(M849)*$M$10)*$P$11)/1000),0)</f>
        <v>0</v>
      </c>
      <c r="AE849" s="2746">
        <f>IF(L849&gt;0,IF(input!$B$2=$O$1,(((N849)+(N849)*$M$10)*$P$11)/1000,(((N849)+(N849)*O849+(N849)*$M$10)*$P$11)/1000),0)</f>
        <v>0</v>
      </c>
      <c r="AF849" s="136" t="str">
        <f t="shared" si="226"/>
        <v>FSC</v>
      </c>
      <c r="AG849" s="2628">
        <f t="shared" si="233"/>
        <v>1.6E-2</v>
      </c>
      <c r="AH849" s="1266">
        <v>0.1</v>
      </c>
    </row>
    <row r="850" spans="1:34" ht="12.75">
      <c r="A850" s="2199">
        <f t="shared" si="227"/>
        <v>19</v>
      </c>
      <c r="B850" s="2200" t="s">
        <v>2275</v>
      </c>
      <c r="C850" s="2743">
        <v>0</v>
      </c>
      <c r="D850" s="2743">
        <v>0</v>
      </c>
      <c r="E850" s="2949">
        <v>0</v>
      </c>
      <c r="F850" s="2200">
        <v>0</v>
      </c>
      <c r="G850" s="2200" t="s">
        <v>2038</v>
      </c>
      <c r="H850" s="2200" t="s">
        <v>1057</v>
      </c>
      <c r="I850" s="2742">
        <v>30</v>
      </c>
      <c r="J850" s="2742">
        <v>0</v>
      </c>
      <c r="K850" s="2752">
        <v>60</v>
      </c>
      <c r="L850" s="2745">
        <f t="shared" si="223"/>
        <v>0</v>
      </c>
      <c r="M850" s="2745">
        <f t="shared" si="234"/>
        <v>30</v>
      </c>
      <c r="N850" s="2745">
        <f t="shared" si="224"/>
        <v>0</v>
      </c>
      <c r="O850" s="1232">
        <f t="shared" si="228"/>
        <v>0</v>
      </c>
      <c r="P850" s="1227" t="str">
        <f t="shared" si="235"/>
        <v>CB Won bang 0.55mm</v>
      </c>
      <c r="Q850" s="254">
        <v>0.55000000000000004</v>
      </c>
      <c r="R850" s="338">
        <v>400</v>
      </c>
      <c r="S850" s="2747">
        <f t="shared" si="229"/>
        <v>0</v>
      </c>
      <c r="T850" s="2747">
        <f>IF(L850&gt;0,IF(input!$B$2=$O$1,(((L850+Y850/22)+(L850+Y850/22)*$AG850+$X850)*$P$11+$M$7)/1000,(((L850+Y850/22)+(L850+Y850/22)*O850+(L850+Y850/22)*$AG850+$X850)*$P$11+$M$7)/1000),0)</f>
        <v>0</v>
      </c>
      <c r="U850" s="2747">
        <f t="shared" si="230"/>
        <v>0</v>
      </c>
      <c r="V850" s="865" t="s">
        <v>1438</v>
      </c>
      <c r="W850" s="1231" t="str">
        <f t="shared" si="236"/>
        <v>CIF</v>
      </c>
      <c r="X850" s="1230">
        <f t="shared" si="231"/>
        <v>0</v>
      </c>
      <c r="Y850" s="2625">
        <f t="shared" si="225"/>
        <v>0</v>
      </c>
      <c r="Z850" s="3208">
        <f t="shared" si="237"/>
        <v>838.18181818181813</v>
      </c>
      <c r="AA850" s="136" t="s">
        <v>2256</v>
      </c>
      <c r="AB850" s="136" t="s">
        <v>1418</v>
      </c>
      <c r="AC850" s="251" t="str">
        <f t="shared" si="232"/>
        <v>400gsm CB Won bang</v>
      </c>
      <c r="AD850" s="2746">
        <f>IF(L850&gt;0,IF(input!$B$2=$O$1,(((M850)+(M850)*$M$10)*$P$11)/1000,(((M850)+(M850)*O850+(M850)*$M$10)*$P$11)/1000),0)</f>
        <v>0</v>
      </c>
      <c r="AE850" s="2746">
        <f>IF(L850&gt;0,IF(input!$B$2=$O$1,(((N850)+(N850)*$M$10)*$P$11)/1000,(((N850)+(N850)*O850+(N850)*$M$10)*$P$11)/1000),0)</f>
        <v>0</v>
      </c>
      <c r="AF850" s="136" t="str">
        <f t="shared" si="226"/>
        <v>FSC</v>
      </c>
      <c r="AG850" s="2628">
        <f t="shared" si="233"/>
        <v>1.6E-2</v>
      </c>
      <c r="AH850" s="1266">
        <v>0.1</v>
      </c>
    </row>
    <row r="851" spans="1:34" ht="12.75">
      <c r="A851" s="2199">
        <f t="shared" si="227"/>
        <v>20</v>
      </c>
      <c r="B851" s="2200" t="s">
        <v>2276</v>
      </c>
      <c r="C851" s="2743">
        <v>0</v>
      </c>
      <c r="D851" s="2743">
        <v>0</v>
      </c>
      <c r="E851" s="2949">
        <v>0</v>
      </c>
      <c r="F851" s="2200">
        <v>0</v>
      </c>
      <c r="G851" s="2200" t="s">
        <v>2038</v>
      </c>
      <c r="H851" s="2200" t="s">
        <v>1057</v>
      </c>
      <c r="I851" s="2742">
        <v>30</v>
      </c>
      <c r="J851" s="2742">
        <v>0</v>
      </c>
      <c r="K851" s="2752">
        <v>60</v>
      </c>
      <c r="L851" s="2745">
        <f t="shared" si="223"/>
        <v>0</v>
      </c>
      <c r="M851" s="2745">
        <f t="shared" si="234"/>
        <v>30</v>
      </c>
      <c r="N851" s="2745">
        <f t="shared" si="224"/>
        <v>0</v>
      </c>
      <c r="O851" s="1232">
        <f t="shared" si="228"/>
        <v>0</v>
      </c>
      <c r="P851" s="1227" t="str">
        <f t="shared" si="235"/>
        <v>CB Won bang 0.65mm</v>
      </c>
      <c r="Q851" s="254">
        <v>0.65</v>
      </c>
      <c r="R851" s="338">
        <v>500</v>
      </c>
      <c r="S851" s="2747">
        <f t="shared" si="229"/>
        <v>0</v>
      </c>
      <c r="T851" s="2747">
        <f>IF(L851&gt;0,IF(input!$B$2=$O$1,(((L851+Y851/22)+(L851+Y851/22)*$AG851+$X851)*$P$11+$M$7)/1000,(((L851+Y851/22)+(L851+Y851/22)*O851+(L851+Y851/22)*$AG851+$X851)*$P$11+$M$7)/1000),0)</f>
        <v>0</v>
      </c>
      <c r="U851" s="2747">
        <f t="shared" si="230"/>
        <v>0</v>
      </c>
      <c r="V851" s="865" t="s">
        <v>1421</v>
      </c>
      <c r="W851" s="1231" t="str">
        <f t="shared" si="236"/>
        <v>CIF</v>
      </c>
      <c r="X851" s="1230">
        <f t="shared" si="231"/>
        <v>0</v>
      </c>
      <c r="Y851" s="2625">
        <f t="shared" si="225"/>
        <v>0</v>
      </c>
      <c r="Z851" s="3208">
        <f t="shared" si="237"/>
        <v>838.18181818181813</v>
      </c>
      <c r="AA851" s="136" t="s">
        <v>2256</v>
      </c>
      <c r="AB851" s="136" t="s">
        <v>1418</v>
      </c>
      <c r="AC851" s="251" t="str">
        <f t="shared" si="232"/>
        <v>500gsm CB Won bang</v>
      </c>
      <c r="AD851" s="2746">
        <f>IF(L851&gt;0,IF(input!$B$2=$O$1,(((M851)+(M851)*$M$10)*$P$11)/1000,(((M851)+(M851)*O851+(M851)*$M$10)*$P$11)/1000),0)</f>
        <v>0</v>
      </c>
      <c r="AE851" s="2746">
        <f>IF(L851&gt;0,IF(input!$B$2=$O$1,(((N851)+(N851)*$M$10)*$P$11)/1000,(((N851)+(N851)*O851+(N851)*$M$10)*$P$11)/1000),0)</f>
        <v>0</v>
      </c>
      <c r="AF851" s="136" t="str">
        <f t="shared" si="226"/>
        <v>FSC</v>
      </c>
      <c r="AG851" s="2628">
        <f t="shared" si="233"/>
        <v>1.6E-2</v>
      </c>
      <c r="AH851" s="1266">
        <v>0.1</v>
      </c>
    </row>
    <row r="852" spans="1:34" ht="12.75">
      <c r="A852" s="2199">
        <f t="shared" si="227"/>
        <v>21</v>
      </c>
      <c r="B852" s="2200" t="s">
        <v>2277</v>
      </c>
      <c r="C852" s="2743">
        <v>0</v>
      </c>
      <c r="D852" s="2743">
        <v>0</v>
      </c>
      <c r="E852" s="2949">
        <v>0</v>
      </c>
      <c r="F852" s="2200">
        <v>0</v>
      </c>
      <c r="G852" s="2200" t="s">
        <v>2038</v>
      </c>
      <c r="H852" s="2200" t="s">
        <v>1057</v>
      </c>
      <c r="I852" s="2742">
        <v>30</v>
      </c>
      <c r="J852" s="2742">
        <v>0</v>
      </c>
      <c r="K852" s="2752">
        <v>60</v>
      </c>
      <c r="L852" s="2745">
        <f t="shared" si="223"/>
        <v>0</v>
      </c>
      <c r="M852" s="2745">
        <f t="shared" si="234"/>
        <v>30</v>
      </c>
      <c r="N852" s="2745">
        <f t="shared" si="224"/>
        <v>0</v>
      </c>
      <c r="O852" s="1232">
        <f t="shared" si="228"/>
        <v>0</v>
      </c>
      <c r="P852" s="1227" t="str">
        <f t="shared" si="235"/>
        <v>CB Won bang 0.8mm</v>
      </c>
      <c r="Q852" s="254">
        <v>0.8</v>
      </c>
      <c r="R852" s="338">
        <v>600</v>
      </c>
      <c r="S852" s="2747">
        <f t="shared" si="229"/>
        <v>0</v>
      </c>
      <c r="T852" s="2747">
        <f>IF(L852&gt;0,IF(input!$B$2=$O$1,(((L852+Y852/22)+(L852+Y852/22)*$AG852+$X852)*$P$11+$M$7)/1000,(((L852+Y852/22)+(L852+Y852/22)*O852+(L852+Y852/22)*$AG852+$X852)*$P$11+$M$7)/1000),0)</f>
        <v>0</v>
      </c>
      <c r="U852" s="2747">
        <f t="shared" si="230"/>
        <v>0</v>
      </c>
      <c r="V852" s="865" t="s">
        <v>1422</v>
      </c>
      <c r="W852" s="1231" t="str">
        <f t="shared" si="236"/>
        <v>CIF</v>
      </c>
      <c r="X852" s="1230">
        <f t="shared" si="231"/>
        <v>0</v>
      </c>
      <c r="Y852" s="2625">
        <f t="shared" si="225"/>
        <v>0</v>
      </c>
      <c r="Z852" s="3208">
        <f t="shared" si="237"/>
        <v>838.18181818181813</v>
      </c>
      <c r="AA852" s="136" t="s">
        <v>2256</v>
      </c>
      <c r="AB852" s="136" t="s">
        <v>1418</v>
      </c>
      <c r="AC852" s="251" t="str">
        <f t="shared" si="232"/>
        <v>600gsm CB Won bang</v>
      </c>
      <c r="AD852" s="2746">
        <f>IF(L852&gt;0,IF(input!$B$2=$O$1,(((M852)+(M852)*$M$10)*$P$11)/1000,(((M852)+(M852)*O852+(M852)*$M$10)*$P$11)/1000),0)</f>
        <v>0</v>
      </c>
      <c r="AE852" s="2746">
        <f>IF(L852&gt;0,IF(input!$B$2=$O$1,(((N852)+(N852)*$M$10)*$P$11)/1000,(((N852)+(N852)*O852+(N852)*$M$10)*$P$11)/1000),0)</f>
        <v>0</v>
      </c>
      <c r="AF852" s="136" t="str">
        <f t="shared" si="226"/>
        <v>FSC</v>
      </c>
      <c r="AG852" s="2628">
        <f t="shared" si="233"/>
        <v>1.6E-2</v>
      </c>
      <c r="AH852" s="1266">
        <v>0.1</v>
      </c>
    </row>
    <row r="853" spans="1:34" ht="12.75">
      <c r="A853" s="2199">
        <f t="shared" si="227"/>
        <v>22</v>
      </c>
      <c r="B853" s="2200" t="s">
        <v>2278</v>
      </c>
      <c r="C853" s="2743">
        <v>15500</v>
      </c>
      <c r="D853" s="2743">
        <v>440</v>
      </c>
      <c r="E853" s="2949">
        <v>0</v>
      </c>
      <c r="F853" s="2200">
        <v>0</v>
      </c>
      <c r="G853" s="2200" t="s">
        <v>2038</v>
      </c>
      <c r="H853" s="2200" t="s">
        <v>1057</v>
      </c>
      <c r="I853" s="2742">
        <v>30</v>
      </c>
      <c r="J853" s="2742">
        <v>0</v>
      </c>
      <c r="K853" s="2752">
        <v>60</v>
      </c>
      <c r="L853" s="2745">
        <f t="shared" si="223"/>
        <v>440</v>
      </c>
      <c r="M853" s="2745">
        <f t="shared" si="234"/>
        <v>30</v>
      </c>
      <c r="N853" s="2745">
        <f t="shared" si="224"/>
        <v>0</v>
      </c>
      <c r="O853" s="1232">
        <f t="shared" si="228"/>
        <v>0</v>
      </c>
      <c r="P853" s="1227" t="str">
        <f t="shared" si="235"/>
        <v>CB Won bang 1.15mm</v>
      </c>
      <c r="Q853" s="254">
        <v>1.1499999999999999</v>
      </c>
      <c r="R853" s="338">
        <v>800</v>
      </c>
      <c r="S853" s="2747">
        <f t="shared" si="229"/>
        <v>15500</v>
      </c>
      <c r="T853" s="2747">
        <f>IF(L853&gt;0,IF(input!$B$2=$O$1,(((L853+Y853/22)+(L853+Y853/22)*$AG853+$X853)*$P$11+$M$7)/1000,(((L853+Y853/22)+(L853+Y853/22)*O853+(L853+Y853/22)*$AG853+$X853)*$P$11+$M$7)/1000),0)</f>
        <v>11333.430400000001</v>
      </c>
      <c r="U853" s="2747">
        <f t="shared" si="230"/>
        <v>15190.033670033668</v>
      </c>
      <c r="V853" s="865" t="s">
        <v>1439</v>
      </c>
      <c r="W853" s="1231" t="str">
        <f t="shared" si="236"/>
        <v>CIF</v>
      </c>
      <c r="X853" s="1230">
        <f t="shared" si="231"/>
        <v>0</v>
      </c>
      <c r="Y853" s="2625">
        <f t="shared" si="225"/>
        <v>0</v>
      </c>
      <c r="Z853" s="3208">
        <f t="shared" si="237"/>
        <v>838.18181818181813</v>
      </c>
      <c r="AA853" s="136" t="s">
        <v>2256</v>
      </c>
      <c r="AB853" s="136" t="s">
        <v>1418</v>
      </c>
      <c r="AC853" s="251" t="str">
        <f t="shared" si="232"/>
        <v>800gsm CB Won bang</v>
      </c>
      <c r="AD853" s="2746">
        <f>IF(L853&gt;0,IF(input!$B$2=$O$1,(((M853)+(M853)*$M$10)*$P$11)/1000,(((M853)+(M853)*O853+(M853)*$M$10)*$P$11)/1000),0)</f>
        <v>726.06239999999991</v>
      </c>
      <c r="AE853" s="2746">
        <f>IF(L853&gt;0,IF(input!$B$2=$O$1,(((N853)+(N853)*$M$10)*$P$11)/1000,(((N853)+(N853)*O853+(N853)*$M$10)*$P$11)/1000),0)</f>
        <v>0</v>
      </c>
      <c r="AF853" s="136" t="str">
        <f t="shared" si="226"/>
        <v>FSC</v>
      </c>
      <c r="AG853" s="2628">
        <f t="shared" si="233"/>
        <v>1.6E-2</v>
      </c>
      <c r="AH853" s="1266">
        <v>0.1</v>
      </c>
    </row>
    <row r="854" spans="1:34" ht="12.75" collapsed="1">
      <c r="A854" s="2199">
        <f t="shared" si="227"/>
        <v>23</v>
      </c>
      <c r="B854" s="2200" t="s">
        <v>2279</v>
      </c>
      <c r="C854" s="2743">
        <v>15500</v>
      </c>
      <c r="D854" s="2743">
        <v>440</v>
      </c>
      <c r="E854" s="2949">
        <v>0</v>
      </c>
      <c r="F854" s="2200">
        <v>0</v>
      </c>
      <c r="G854" s="2200" t="s">
        <v>2038</v>
      </c>
      <c r="H854" s="2200" t="s">
        <v>1057</v>
      </c>
      <c r="I854" s="2742">
        <v>30</v>
      </c>
      <c r="J854" s="2742">
        <v>0</v>
      </c>
      <c r="K854" s="2752">
        <v>60</v>
      </c>
      <c r="L854" s="2745">
        <f t="shared" si="223"/>
        <v>440</v>
      </c>
      <c r="M854" s="2745">
        <f t="shared" si="234"/>
        <v>30</v>
      </c>
      <c r="N854" s="2745">
        <f t="shared" si="224"/>
        <v>0</v>
      </c>
      <c r="O854" s="1232">
        <f t="shared" si="228"/>
        <v>0</v>
      </c>
      <c r="P854" s="1227" t="str">
        <f t="shared" si="235"/>
        <v>CB Won bang 1.26mm</v>
      </c>
      <c r="Q854" s="254">
        <v>1.26</v>
      </c>
      <c r="R854" s="338">
        <v>900</v>
      </c>
      <c r="S854" s="2747">
        <f t="shared" si="229"/>
        <v>15500</v>
      </c>
      <c r="T854" s="2747">
        <f>IF(L854&gt;0,IF(input!$B$2=$O$1,(((L854+Y854/22)+(L854+Y854/22)*$AG854+$X854)*$P$11+$M$7)/1000,(((L854+Y854/22)+(L854+Y854/22)*O854+(L854+Y854/22)*$AG854+$X854)*$P$11+$M$7)/1000),0)</f>
        <v>11333.430400000001</v>
      </c>
      <c r="U854" s="2747">
        <f t="shared" si="230"/>
        <v>15190.033670033668</v>
      </c>
      <c r="V854" s="865" t="s">
        <v>1440</v>
      </c>
      <c r="W854" s="1231" t="str">
        <f t="shared" si="236"/>
        <v>CIF</v>
      </c>
      <c r="X854" s="1230">
        <f t="shared" si="231"/>
        <v>0</v>
      </c>
      <c r="Y854" s="2625">
        <f t="shared" si="225"/>
        <v>0</v>
      </c>
      <c r="Z854" s="3208">
        <f t="shared" si="237"/>
        <v>838.18181818181813</v>
      </c>
      <c r="AA854" s="136" t="s">
        <v>2256</v>
      </c>
      <c r="AB854" s="136" t="s">
        <v>1418</v>
      </c>
      <c r="AC854" s="251" t="str">
        <f t="shared" si="232"/>
        <v>900gsm CB Won bang</v>
      </c>
      <c r="AD854" s="2746">
        <f>IF(L854&gt;0,IF(input!$B$2=$O$1,(((M854)+(M854)*$M$10)*$P$11)/1000,(((M854)+(M854)*O854+(M854)*$M$10)*$P$11)/1000),0)</f>
        <v>726.06239999999991</v>
      </c>
      <c r="AE854" s="2746">
        <f>IF(L854&gt;0,IF(input!$B$2=$O$1,(((N854)+(N854)*$M$10)*$P$11)/1000,(((N854)+(N854)*O854+(N854)*$M$10)*$P$11)/1000),0)</f>
        <v>0</v>
      </c>
      <c r="AF854" s="136" t="str">
        <f t="shared" si="226"/>
        <v>FSC</v>
      </c>
      <c r="AG854" s="2628">
        <f t="shared" si="233"/>
        <v>1.6E-2</v>
      </c>
      <c r="AH854" s="1266">
        <v>0.1</v>
      </c>
    </row>
    <row r="855" spans="1:34" ht="12.75">
      <c r="A855" s="2199">
        <f t="shared" si="227"/>
        <v>24</v>
      </c>
      <c r="B855" s="2200" t="s">
        <v>2280</v>
      </c>
      <c r="C855" s="2743">
        <v>15500</v>
      </c>
      <c r="D855" s="2743">
        <v>440</v>
      </c>
      <c r="E855" s="2949">
        <v>0</v>
      </c>
      <c r="F855" s="2200">
        <v>0</v>
      </c>
      <c r="G855" s="2200" t="s">
        <v>2038</v>
      </c>
      <c r="H855" s="2200" t="s">
        <v>1057</v>
      </c>
      <c r="I855" s="2742">
        <v>30</v>
      </c>
      <c r="J855" s="2742">
        <v>0</v>
      </c>
      <c r="K855" s="2752">
        <v>60</v>
      </c>
      <c r="L855" s="2745">
        <f t="shared" si="223"/>
        <v>440</v>
      </c>
      <c r="M855" s="2745">
        <f t="shared" si="234"/>
        <v>30</v>
      </c>
      <c r="N855" s="2745">
        <f t="shared" si="224"/>
        <v>0</v>
      </c>
      <c r="O855" s="1232">
        <f t="shared" si="228"/>
        <v>0</v>
      </c>
      <c r="P855" s="1227" t="str">
        <f t="shared" si="235"/>
        <v>CB Won bang 1.41mm</v>
      </c>
      <c r="Q855" s="254">
        <v>1.41</v>
      </c>
      <c r="R855" s="338">
        <v>1000</v>
      </c>
      <c r="S855" s="2747">
        <f t="shared" si="229"/>
        <v>15500</v>
      </c>
      <c r="T855" s="2747">
        <f>IF(L855&gt;0,IF(input!$B$2=$O$1,(((L855+Y855/22)+(L855+Y855/22)*$AG855+$X855)*$P$11+$M$7)/1000,(((L855+Y855/22)+(L855+Y855/22)*O855+(L855+Y855/22)*$AG855+$X855)*$P$11+$M$7)/1000),0)</f>
        <v>11333.430400000001</v>
      </c>
      <c r="U855" s="2747">
        <f t="shared" si="230"/>
        <v>15190.033670033668</v>
      </c>
      <c r="V855" s="865" t="s">
        <v>1441</v>
      </c>
      <c r="W855" s="1231" t="str">
        <f t="shared" si="236"/>
        <v>CIF</v>
      </c>
      <c r="X855" s="1230">
        <f t="shared" si="231"/>
        <v>0</v>
      </c>
      <c r="Y855" s="2625">
        <f t="shared" si="225"/>
        <v>0</v>
      </c>
      <c r="Z855" s="3208">
        <f t="shared" si="237"/>
        <v>838.18181818181813</v>
      </c>
      <c r="AA855" s="136" t="s">
        <v>2256</v>
      </c>
      <c r="AB855" s="136" t="s">
        <v>1418</v>
      </c>
      <c r="AC855" s="251" t="str">
        <f t="shared" si="232"/>
        <v>1000gsm CB Won bang</v>
      </c>
      <c r="AD855" s="2746">
        <f>IF(L855&gt;0,IF(input!$B$2=$O$1,(((M855)+(M855)*$M$10)*$P$11)/1000,(((M855)+(M855)*O855+(M855)*$M$10)*$P$11)/1000),0)</f>
        <v>726.06239999999991</v>
      </c>
      <c r="AE855" s="2746">
        <f>IF(L855&gt;0,IF(input!$B$2=$O$1,(((N855)+(N855)*$M$10)*$P$11)/1000,(((N855)+(N855)*O855+(N855)*$M$10)*$P$11)/1000),0)</f>
        <v>0</v>
      </c>
      <c r="AF855" s="136" t="str">
        <f t="shared" si="226"/>
        <v>FSC</v>
      </c>
      <c r="AG855" s="2628">
        <f t="shared" si="233"/>
        <v>1.6E-2</v>
      </c>
      <c r="AH855" s="1266">
        <v>0.1</v>
      </c>
    </row>
    <row r="856" spans="1:34" ht="12.75" collapsed="1">
      <c r="A856" s="2199">
        <f t="shared" si="227"/>
        <v>25</v>
      </c>
      <c r="B856" s="2200" t="s">
        <v>2281</v>
      </c>
      <c r="C856" s="2743">
        <v>15500</v>
      </c>
      <c r="D856" s="2743">
        <v>440</v>
      </c>
      <c r="E856" s="2949">
        <v>0</v>
      </c>
      <c r="F856" s="2200">
        <v>0</v>
      </c>
      <c r="G856" s="2200" t="s">
        <v>2038</v>
      </c>
      <c r="H856" s="2200" t="s">
        <v>1057</v>
      </c>
      <c r="I856" s="2742">
        <v>30</v>
      </c>
      <c r="J856" s="2742">
        <v>0</v>
      </c>
      <c r="K856" s="2752">
        <v>60</v>
      </c>
      <c r="L856" s="2745">
        <f t="shared" si="223"/>
        <v>440</v>
      </c>
      <c r="M856" s="2745">
        <f t="shared" si="234"/>
        <v>30</v>
      </c>
      <c r="N856" s="2745">
        <f t="shared" si="224"/>
        <v>0</v>
      </c>
      <c r="O856" s="1232">
        <f t="shared" si="228"/>
        <v>0</v>
      </c>
      <c r="P856" s="1227" t="str">
        <f t="shared" si="235"/>
        <v>CB Won bang 1.61mm</v>
      </c>
      <c r="Q856" s="254">
        <v>1.61</v>
      </c>
      <c r="R856" s="338">
        <v>1100</v>
      </c>
      <c r="S856" s="2747">
        <f t="shared" si="229"/>
        <v>15500</v>
      </c>
      <c r="T856" s="2747">
        <f>IF(L856&gt;0,IF(input!$B$2=$O$1,(((L856+Y856/22)+(L856+Y856/22)*$AG856+$X856)*$P$11+$M$7)/1000,(((L856+Y856/22)+(L856+Y856/22)*O856+(L856+Y856/22)*$AG856+$X856)*$P$11+$M$7)/1000),0)</f>
        <v>11333.430400000001</v>
      </c>
      <c r="U856" s="2747">
        <f t="shared" si="230"/>
        <v>15190.033670033668</v>
      </c>
      <c r="V856" s="865" t="s">
        <v>1442</v>
      </c>
      <c r="W856" s="1231" t="str">
        <f t="shared" si="236"/>
        <v>CIF</v>
      </c>
      <c r="X856" s="1230">
        <f t="shared" si="231"/>
        <v>0</v>
      </c>
      <c r="Y856" s="2625">
        <f t="shared" si="225"/>
        <v>0</v>
      </c>
      <c r="Z856" s="3208">
        <f t="shared" si="237"/>
        <v>838.18181818181813</v>
      </c>
      <c r="AA856" s="136" t="s">
        <v>2256</v>
      </c>
      <c r="AB856" s="136" t="s">
        <v>1418</v>
      </c>
      <c r="AC856" s="251" t="str">
        <f t="shared" si="232"/>
        <v>1100gsm CB Won bang</v>
      </c>
      <c r="AD856" s="2746">
        <f>IF(L856&gt;0,IF(input!$B$2=$O$1,(((M856)+(M856)*$M$10)*$P$11)/1000,(((M856)+(M856)*O856+(M856)*$M$10)*$P$11)/1000),0)</f>
        <v>726.06239999999991</v>
      </c>
      <c r="AE856" s="2746">
        <f>IF(L856&gt;0,IF(input!$B$2=$O$1,(((N856)+(N856)*$M$10)*$P$11)/1000,(((N856)+(N856)*O856+(N856)*$M$10)*$P$11)/1000),0)</f>
        <v>0</v>
      </c>
      <c r="AF856" s="136" t="str">
        <f t="shared" si="226"/>
        <v>FSC</v>
      </c>
      <c r="AG856" s="2628">
        <f t="shared" si="233"/>
        <v>1.6E-2</v>
      </c>
      <c r="AH856" s="1266">
        <v>0.1</v>
      </c>
    </row>
    <row r="857" spans="1:34" ht="12.75">
      <c r="A857" s="2199">
        <f t="shared" si="227"/>
        <v>26</v>
      </c>
      <c r="B857" s="2200" t="s">
        <v>2282</v>
      </c>
      <c r="C857" s="2743">
        <v>15500</v>
      </c>
      <c r="D857" s="2743">
        <v>440</v>
      </c>
      <c r="E857" s="2949">
        <v>0</v>
      </c>
      <c r="F857" s="2200">
        <v>0</v>
      </c>
      <c r="G857" s="2200" t="s">
        <v>2038</v>
      </c>
      <c r="H857" s="2200" t="s">
        <v>1057</v>
      </c>
      <c r="I857" s="2742">
        <v>30</v>
      </c>
      <c r="J857" s="2742">
        <v>0</v>
      </c>
      <c r="K857" s="2752">
        <v>60</v>
      </c>
      <c r="L857" s="2745">
        <f t="shared" si="223"/>
        <v>440</v>
      </c>
      <c r="M857" s="2745">
        <f t="shared" si="234"/>
        <v>30</v>
      </c>
      <c r="N857" s="2745">
        <f t="shared" si="224"/>
        <v>0</v>
      </c>
      <c r="O857" s="1232">
        <f t="shared" si="228"/>
        <v>0</v>
      </c>
      <c r="P857" s="1227" t="str">
        <f t="shared" si="235"/>
        <v>CB Won bang 1.72mm</v>
      </c>
      <c r="Q857" s="254">
        <v>1.72</v>
      </c>
      <c r="R857" s="338">
        <v>1200</v>
      </c>
      <c r="S857" s="2747">
        <f t="shared" si="229"/>
        <v>15500</v>
      </c>
      <c r="T857" s="2747">
        <f>IF(L857&gt;0,IF(input!$B$2=$O$1,(((L857+Y857/22)+(L857+Y857/22)*$AG857+$X857)*$P$11+$M$7)/1000,(((L857+Y857/22)+(L857+Y857/22)*O857+(L857+Y857/22)*$AG857+$X857)*$P$11+$M$7)/1000),0)</f>
        <v>11333.430400000001</v>
      </c>
      <c r="U857" s="2747">
        <f t="shared" si="230"/>
        <v>15190.033670033668</v>
      </c>
      <c r="V857" s="865" t="s">
        <v>1443</v>
      </c>
      <c r="W857" s="1231" t="str">
        <f t="shared" si="236"/>
        <v>CIF</v>
      </c>
      <c r="X857" s="1230">
        <f t="shared" si="231"/>
        <v>0</v>
      </c>
      <c r="Y857" s="2625">
        <f t="shared" si="225"/>
        <v>0</v>
      </c>
      <c r="Z857" s="3208">
        <f t="shared" si="237"/>
        <v>838.18181818181813</v>
      </c>
      <c r="AA857" s="136" t="s">
        <v>2256</v>
      </c>
      <c r="AB857" s="136" t="s">
        <v>1418</v>
      </c>
      <c r="AC857" s="251" t="str">
        <f t="shared" si="232"/>
        <v>1200gsm CB Won bang</v>
      </c>
      <c r="AD857" s="2746">
        <f>IF(L857&gt;0,IF(input!$B$2=$O$1,(((M857)+(M857)*$M$10)*$P$11)/1000,(((M857)+(M857)*O857+(M857)*$M$10)*$P$11)/1000),0)</f>
        <v>726.06239999999991</v>
      </c>
      <c r="AE857" s="2746">
        <f>IF(L857&gt;0,IF(input!$B$2=$O$1,(((N857)+(N857)*$M$10)*$P$11)/1000,(((N857)+(N857)*O857+(N857)*$M$10)*$P$11)/1000),0)</f>
        <v>0</v>
      </c>
      <c r="AF857" s="136" t="str">
        <f t="shared" si="226"/>
        <v>FSC</v>
      </c>
      <c r="AG857" s="2628">
        <f t="shared" si="233"/>
        <v>1.6E-2</v>
      </c>
      <c r="AH857" s="1266">
        <v>0.1</v>
      </c>
    </row>
    <row r="858" spans="1:34" ht="12.75" collapsed="1">
      <c r="A858" s="2199">
        <f t="shared" si="227"/>
        <v>27</v>
      </c>
      <c r="B858" s="2200" t="s">
        <v>2283</v>
      </c>
      <c r="C858" s="2743">
        <v>15500</v>
      </c>
      <c r="D858" s="2743">
        <v>440</v>
      </c>
      <c r="E858" s="2949">
        <v>0</v>
      </c>
      <c r="F858" s="2200">
        <v>0</v>
      </c>
      <c r="G858" s="2200" t="s">
        <v>2038</v>
      </c>
      <c r="H858" s="2200" t="s">
        <v>1057</v>
      </c>
      <c r="I858" s="2742">
        <v>30</v>
      </c>
      <c r="J858" s="2742">
        <v>0</v>
      </c>
      <c r="K858" s="2752">
        <v>60</v>
      </c>
      <c r="L858" s="2745">
        <f t="shared" si="223"/>
        <v>440</v>
      </c>
      <c r="M858" s="2745">
        <f t="shared" si="234"/>
        <v>30</v>
      </c>
      <c r="N858" s="2745">
        <f t="shared" si="224"/>
        <v>0</v>
      </c>
      <c r="O858" s="1232">
        <f t="shared" si="228"/>
        <v>0</v>
      </c>
      <c r="P858" s="1227" t="str">
        <f t="shared" si="235"/>
        <v>CB Won bang 1.83mm</v>
      </c>
      <c r="Q858" s="254">
        <v>1.83</v>
      </c>
      <c r="R858" s="338">
        <v>1300</v>
      </c>
      <c r="S858" s="2747">
        <f t="shared" si="229"/>
        <v>15500</v>
      </c>
      <c r="T858" s="2747">
        <f>IF(L858&gt;0,IF(input!$B$2=$O$1,(((L858+Y858/22)+(L858+Y858/22)*$AG858+$X858)*$P$11+$M$7)/1000,(((L858+Y858/22)+(L858+Y858/22)*O858+(L858+Y858/22)*$AG858+$X858)*$P$11+$M$7)/1000),0)</f>
        <v>11333.430400000001</v>
      </c>
      <c r="U858" s="2747">
        <f t="shared" si="230"/>
        <v>15190.033670033668</v>
      </c>
      <c r="V858" s="865" t="s">
        <v>1444</v>
      </c>
      <c r="W858" s="1231" t="str">
        <f t="shared" si="236"/>
        <v>CIF</v>
      </c>
      <c r="X858" s="1230">
        <f t="shared" si="231"/>
        <v>0</v>
      </c>
      <c r="Y858" s="2625">
        <f t="shared" si="225"/>
        <v>0</v>
      </c>
      <c r="Z858" s="3208">
        <f t="shared" si="237"/>
        <v>838.18181818181813</v>
      </c>
      <c r="AA858" s="136" t="s">
        <v>2256</v>
      </c>
      <c r="AB858" s="136" t="s">
        <v>1418</v>
      </c>
      <c r="AC858" s="251" t="str">
        <f t="shared" si="232"/>
        <v>1300gsm CB Won bang</v>
      </c>
      <c r="AD858" s="2746">
        <f>IF(L858&gt;0,IF(input!$B$2=$O$1,(((M858)+(M858)*$M$10)*$P$11)/1000,(((M858)+(M858)*O858+(M858)*$M$10)*$P$11)/1000),0)</f>
        <v>726.06239999999991</v>
      </c>
      <c r="AE858" s="2746">
        <f>IF(L858&gt;0,IF(input!$B$2=$O$1,(((N858)+(N858)*$M$10)*$P$11)/1000,(((N858)+(N858)*O858+(N858)*$M$10)*$P$11)/1000),0)</f>
        <v>0</v>
      </c>
      <c r="AF858" s="136" t="str">
        <f t="shared" si="226"/>
        <v>FSC</v>
      </c>
      <c r="AG858" s="2628">
        <f t="shared" si="233"/>
        <v>1.6E-2</v>
      </c>
      <c r="AH858" s="1266">
        <v>0.1</v>
      </c>
    </row>
    <row r="859" spans="1:34" ht="12.75">
      <c r="A859" s="2199">
        <f t="shared" si="227"/>
        <v>28</v>
      </c>
      <c r="B859" s="2200" t="s">
        <v>2284</v>
      </c>
      <c r="C859" s="2743">
        <v>15500</v>
      </c>
      <c r="D859" s="2743">
        <v>440</v>
      </c>
      <c r="E859" s="2949">
        <v>0</v>
      </c>
      <c r="F859" s="2200">
        <v>0</v>
      </c>
      <c r="G859" s="2200" t="s">
        <v>2038</v>
      </c>
      <c r="H859" s="2200" t="s">
        <v>1057</v>
      </c>
      <c r="I859" s="2742">
        <v>30</v>
      </c>
      <c r="J859" s="2742">
        <v>0</v>
      </c>
      <c r="K859" s="2752">
        <v>60</v>
      </c>
      <c r="L859" s="2745">
        <f t="shared" si="223"/>
        <v>440</v>
      </c>
      <c r="M859" s="2745">
        <f t="shared" si="234"/>
        <v>30</v>
      </c>
      <c r="N859" s="2745">
        <f t="shared" si="224"/>
        <v>0</v>
      </c>
      <c r="O859" s="1232">
        <f t="shared" si="228"/>
        <v>0</v>
      </c>
      <c r="P859" s="1227" t="str">
        <f t="shared" si="235"/>
        <v>CB Won bang 2.02mm</v>
      </c>
      <c r="Q859" s="254">
        <v>2.02</v>
      </c>
      <c r="R859" s="338">
        <v>1400</v>
      </c>
      <c r="S859" s="2747">
        <f t="shared" si="229"/>
        <v>15500</v>
      </c>
      <c r="T859" s="2747">
        <f>IF(L859&gt;0,IF(input!$B$2=$O$1,(((L859+Y859/22)+(L859+Y859/22)*$AG859+$X859)*$P$11+$M$7)/1000,(((L859+Y859/22)+(L859+Y859/22)*O859+(L859+Y859/22)*$AG859+$X859)*$P$11+$M$7)/1000),0)</f>
        <v>11333.430400000001</v>
      </c>
      <c r="U859" s="2747">
        <f t="shared" si="230"/>
        <v>15190.033670033668</v>
      </c>
      <c r="V859" s="865" t="s">
        <v>1445</v>
      </c>
      <c r="W859" s="1231" t="str">
        <f t="shared" si="236"/>
        <v>CIF</v>
      </c>
      <c r="X859" s="1230">
        <f t="shared" si="231"/>
        <v>0</v>
      </c>
      <c r="Y859" s="2625">
        <f t="shared" si="225"/>
        <v>0</v>
      </c>
      <c r="Z859" s="3208">
        <f t="shared" si="237"/>
        <v>838.18181818181813</v>
      </c>
      <c r="AA859" s="136" t="s">
        <v>2256</v>
      </c>
      <c r="AB859" s="136" t="s">
        <v>1418</v>
      </c>
      <c r="AC859" s="251" t="str">
        <f t="shared" si="232"/>
        <v>1400gsm CB Won bang</v>
      </c>
      <c r="AD859" s="2746">
        <f>IF(L859&gt;0,IF(input!$B$2=$O$1,(((M859)+(M859)*$M$10)*$P$11)/1000,(((M859)+(M859)*O859+(M859)*$M$10)*$P$11)/1000),0)</f>
        <v>726.06239999999991</v>
      </c>
      <c r="AE859" s="2746">
        <f>IF(L859&gt;0,IF(input!$B$2=$O$1,(((N859)+(N859)*$M$10)*$P$11)/1000,(((N859)+(N859)*O859+(N859)*$M$10)*$P$11)/1000),0)</f>
        <v>0</v>
      </c>
      <c r="AF859" s="136" t="str">
        <f t="shared" si="226"/>
        <v>FSC</v>
      </c>
      <c r="AG859" s="2628">
        <f t="shared" si="233"/>
        <v>1.6E-2</v>
      </c>
      <c r="AH859" s="1266">
        <v>0.1</v>
      </c>
    </row>
    <row r="860" spans="1:34" ht="12.75" collapsed="1">
      <c r="A860" s="2199">
        <f t="shared" si="227"/>
        <v>29</v>
      </c>
      <c r="B860" s="2200" t="s">
        <v>2285</v>
      </c>
      <c r="C860" s="2743">
        <v>15500</v>
      </c>
      <c r="D860" s="2743">
        <v>440</v>
      </c>
      <c r="E860" s="2949">
        <v>0</v>
      </c>
      <c r="F860" s="2200">
        <v>0</v>
      </c>
      <c r="G860" s="2200" t="s">
        <v>2038</v>
      </c>
      <c r="H860" s="2200" t="s">
        <v>1057</v>
      </c>
      <c r="I860" s="2742">
        <v>30</v>
      </c>
      <c r="J860" s="2742">
        <v>0</v>
      </c>
      <c r="K860" s="2752">
        <v>60</v>
      </c>
      <c r="L860" s="2745">
        <f t="shared" si="223"/>
        <v>440</v>
      </c>
      <c r="M860" s="2745">
        <f t="shared" si="234"/>
        <v>30</v>
      </c>
      <c r="N860" s="2745">
        <f t="shared" si="224"/>
        <v>0</v>
      </c>
      <c r="O860" s="1232">
        <f t="shared" si="228"/>
        <v>0</v>
      </c>
      <c r="P860" s="1227" t="str">
        <f t="shared" si="235"/>
        <v>CB Won bang 2.14mm</v>
      </c>
      <c r="Q860" s="254">
        <v>2.14</v>
      </c>
      <c r="R860" s="338">
        <v>1500</v>
      </c>
      <c r="S860" s="2747">
        <f t="shared" si="229"/>
        <v>15500</v>
      </c>
      <c r="T860" s="2747">
        <f>IF(L860&gt;0,IF(input!$B$2=$O$1,(((L860+Y860/22)+(L860+Y860/22)*$AG860+$X860)*$P$11+$M$7)/1000,(((L860+Y860/22)+(L860+Y860/22)*O860+(L860+Y860/22)*$AG860+$X860)*$P$11+$M$7)/1000),0)</f>
        <v>11333.430400000001</v>
      </c>
      <c r="U860" s="2747">
        <f t="shared" si="230"/>
        <v>15190.033670033668</v>
      </c>
      <c r="V860" s="865" t="s">
        <v>1446</v>
      </c>
      <c r="W860" s="1231" t="str">
        <f t="shared" si="236"/>
        <v>CIF</v>
      </c>
      <c r="X860" s="1230">
        <f t="shared" si="231"/>
        <v>0</v>
      </c>
      <c r="Y860" s="2625">
        <f t="shared" si="225"/>
        <v>0</v>
      </c>
      <c r="Z860" s="3208">
        <f t="shared" si="237"/>
        <v>838.18181818181813</v>
      </c>
      <c r="AA860" s="136" t="s">
        <v>2256</v>
      </c>
      <c r="AB860" s="136" t="s">
        <v>1418</v>
      </c>
      <c r="AC860" s="251" t="str">
        <f t="shared" si="232"/>
        <v>1500gsm CB Won bang</v>
      </c>
      <c r="AD860" s="2746">
        <f>IF(L860&gt;0,IF(input!$B$2=$O$1,(((M860)+(M860)*$M$10)*$P$11)/1000,(((M860)+(M860)*O860+(M860)*$M$10)*$P$11)/1000),0)</f>
        <v>726.06239999999991</v>
      </c>
      <c r="AE860" s="2746">
        <f>IF(L860&gt;0,IF(input!$B$2=$O$1,(((N860)+(N860)*$M$10)*$P$11)/1000,(((N860)+(N860)*O860+(N860)*$M$10)*$P$11)/1000),0)</f>
        <v>0</v>
      </c>
      <c r="AF860" s="136" t="str">
        <f t="shared" si="226"/>
        <v>FSC</v>
      </c>
      <c r="AG860" s="2628">
        <f t="shared" si="233"/>
        <v>1.6E-2</v>
      </c>
      <c r="AH860" s="1266">
        <v>0.1</v>
      </c>
    </row>
    <row r="861" spans="1:34" ht="12.75">
      <c r="A861" s="2199">
        <f t="shared" si="227"/>
        <v>30</v>
      </c>
      <c r="B861" s="2200" t="s">
        <v>2286</v>
      </c>
      <c r="C861" s="2743">
        <v>15500</v>
      </c>
      <c r="D861" s="2743">
        <v>440</v>
      </c>
      <c r="E861" s="2949">
        <v>0</v>
      </c>
      <c r="F861" s="2200">
        <v>0</v>
      </c>
      <c r="G861" s="2200" t="s">
        <v>2038</v>
      </c>
      <c r="H861" s="2200" t="s">
        <v>1057</v>
      </c>
      <c r="I861" s="2742">
        <v>30</v>
      </c>
      <c r="J861" s="2742">
        <v>0</v>
      </c>
      <c r="K861" s="2752">
        <v>60</v>
      </c>
      <c r="L861" s="2745">
        <f t="shared" si="223"/>
        <v>440</v>
      </c>
      <c r="M861" s="2745">
        <f t="shared" si="234"/>
        <v>30</v>
      </c>
      <c r="N861" s="2745">
        <f t="shared" si="224"/>
        <v>0</v>
      </c>
      <c r="O861" s="1232">
        <f t="shared" si="228"/>
        <v>0</v>
      </c>
      <c r="P861" s="1227" t="str">
        <f t="shared" si="235"/>
        <v>CB Won bang 2.28mm</v>
      </c>
      <c r="Q861" s="254">
        <v>2.2799999999999998</v>
      </c>
      <c r="R861" s="338">
        <v>1600</v>
      </c>
      <c r="S861" s="2747">
        <f t="shared" si="229"/>
        <v>15500</v>
      </c>
      <c r="T861" s="2747">
        <f>IF(L861&gt;0,IF(input!$B$2=$O$1,(((L861+Y861/22)+(L861+Y861/22)*$AG861+$X861)*$P$11+$M$7)/1000,(((L861+Y861/22)+(L861+Y861/22)*O861+(L861+Y861/22)*$AG861+$X861)*$P$11+$M$7)/1000),0)</f>
        <v>11333.430400000001</v>
      </c>
      <c r="U861" s="2747">
        <f t="shared" si="230"/>
        <v>15190.033670033668</v>
      </c>
      <c r="V861" s="865" t="s">
        <v>1447</v>
      </c>
      <c r="W861" s="1231" t="str">
        <f t="shared" si="236"/>
        <v>CIF</v>
      </c>
      <c r="X861" s="1230">
        <f t="shared" si="231"/>
        <v>0</v>
      </c>
      <c r="Y861" s="2625">
        <f t="shared" si="225"/>
        <v>0</v>
      </c>
      <c r="Z861" s="3208">
        <f t="shared" si="237"/>
        <v>838.18181818181813</v>
      </c>
      <c r="AA861" s="136" t="s">
        <v>2256</v>
      </c>
      <c r="AB861" s="136" t="s">
        <v>1418</v>
      </c>
      <c r="AC861" s="251" t="str">
        <f t="shared" si="232"/>
        <v>1600gsm CB Won bang</v>
      </c>
      <c r="AD861" s="2746">
        <f>IF(L861&gt;0,IF(input!$B$2=$O$1,(((M861)+(M861)*$M$10)*$P$11)/1000,(((M861)+(M861)*O861+(M861)*$M$10)*$P$11)/1000),0)</f>
        <v>726.06239999999991</v>
      </c>
      <c r="AE861" s="2746">
        <f>IF(L861&gt;0,IF(input!$B$2=$O$1,(((N861)+(N861)*$M$10)*$P$11)/1000,(((N861)+(N861)*O861+(N861)*$M$10)*$P$11)/1000),0)</f>
        <v>0</v>
      </c>
      <c r="AF861" s="136" t="str">
        <f t="shared" si="226"/>
        <v>FSC</v>
      </c>
      <c r="AG861" s="2628">
        <f t="shared" si="233"/>
        <v>1.6E-2</v>
      </c>
      <c r="AH861" s="1266">
        <v>0.1</v>
      </c>
    </row>
    <row r="862" spans="1:34" ht="12.75" collapsed="1">
      <c r="A862" s="2199">
        <f t="shared" si="227"/>
        <v>31</v>
      </c>
      <c r="B862" s="2200" t="s">
        <v>2287</v>
      </c>
      <c r="C862" s="2743">
        <v>0</v>
      </c>
      <c r="D862" s="2743">
        <v>440</v>
      </c>
      <c r="E862" s="2949">
        <v>0</v>
      </c>
      <c r="F862" s="2200">
        <v>0</v>
      </c>
      <c r="G862" s="2200" t="s">
        <v>2038</v>
      </c>
      <c r="H862" s="2200" t="s">
        <v>1057</v>
      </c>
      <c r="I862" s="2742">
        <v>30</v>
      </c>
      <c r="J862" s="2742">
        <v>0</v>
      </c>
      <c r="K862" s="2752">
        <v>60</v>
      </c>
      <c r="L862" s="2745">
        <f t="shared" si="223"/>
        <v>440</v>
      </c>
      <c r="M862" s="2745">
        <f t="shared" si="234"/>
        <v>30</v>
      </c>
      <c r="N862" s="2745">
        <f t="shared" si="224"/>
        <v>0</v>
      </c>
      <c r="O862" s="1232">
        <f t="shared" si="228"/>
        <v>0</v>
      </c>
      <c r="P862" s="1227" t="str">
        <f t="shared" si="235"/>
        <v>CB Won bang 2.44mm</v>
      </c>
      <c r="Q862" s="254">
        <v>2.44</v>
      </c>
      <c r="R862" s="338">
        <v>1700</v>
      </c>
      <c r="S862" s="2747">
        <f t="shared" si="229"/>
        <v>0</v>
      </c>
      <c r="T862" s="2747">
        <f>IF(L862&gt;0,IF(input!$B$2=$O$1,(((L862+Y862/22)+(L862+Y862/22)*$AG862+$X862)*$P$11+$M$7)/1000,(((L862+Y862/22)+(L862+Y862/22)*O862+(L862+Y862/22)*$AG862+$X862)*$P$11+$M$7)/1000),0)</f>
        <v>11333.430400000001</v>
      </c>
      <c r="U862" s="2747">
        <f t="shared" si="230"/>
        <v>0</v>
      </c>
      <c r="V862" s="865" t="s">
        <v>1448</v>
      </c>
      <c r="W862" s="1231" t="str">
        <f t="shared" si="236"/>
        <v>CIF</v>
      </c>
      <c r="X862" s="1230">
        <f t="shared" si="231"/>
        <v>0</v>
      </c>
      <c r="Y862" s="2625">
        <f t="shared" si="225"/>
        <v>0</v>
      </c>
      <c r="Z862" s="3208">
        <f t="shared" si="237"/>
        <v>838.18181818181813</v>
      </c>
      <c r="AA862" s="136" t="s">
        <v>2256</v>
      </c>
      <c r="AB862" s="136" t="s">
        <v>1418</v>
      </c>
      <c r="AC862" s="251" t="str">
        <f t="shared" si="232"/>
        <v>1700gsm CB Won bang</v>
      </c>
      <c r="AD862" s="2746">
        <f>IF(L862&gt;0,IF(input!$B$2=$O$1,(((M862)+(M862)*$M$10)*$P$11)/1000,(((M862)+(M862)*O862+(M862)*$M$10)*$P$11)/1000),0)</f>
        <v>726.06239999999991</v>
      </c>
      <c r="AE862" s="2746">
        <f>IF(L862&gt;0,IF(input!$B$2=$O$1,(((N862)+(N862)*$M$10)*$P$11)/1000,(((N862)+(N862)*O862+(N862)*$M$10)*$P$11)/1000),0)</f>
        <v>0</v>
      </c>
      <c r="AF862" s="136" t="str">
        <f t="shared" si="226"/>
        <v>FSC</v>
      </c>
      <c r="AG862" s="2628">
        <f t="shared" si="233"/>
        <v>1.6E-2</v>
      </c>
      <c r="AH862" s="1266">
        <v>0.1</v>
      </c>
    </row>
    <row r="863" spans="1:34" ht="12.75">
      <c r="A863" s="2199">
        <f t="shared" si="227"/>
        <v>32</v>
      </c>
      <c r="B863" s="2200" t="s">
        <v>2288</v>
      </c>
      <c r="C863" s="2743">
        <v>0</v>
      </c>
      <c r="D863" s="2743">
        <v>440</v>
      </c>
      <c r="E863" s="2949">
        <v>0</v>
      </c>
      <c r="F863" s="2200">
        <v>0</v>
      </c>
      <c r="G863" s="2200" t="s">
        <v>2038</v>
      </c>
      <c r="H863" s="2200" t="s">
        <v>1057</v>
      </c>
      <c r="I863" s="2742">
        <v>30</v>
      </c>
      <c r="J863" s="2742">
        <v>0</v>
      </c>
      <c r="K863" s="2752">
        <v>60</v>
      </c>
      <c r="L863" s="2745">
        <f t="shared" si="223"/>
        <v>440</v>
      </c>
      <c r="M863" s="2745">
        <f t="shared" si="234"/>
        <v>30</v>
      </c>
      <c r="N863" s="2745">
        <f t="shared" si="224"/>
        <v>0</v>
      </c>
      <c r="O863" s="1232">
        <f t="shared" si="228"/>
        <v>0</v>
      </c>
      <c r="P863" s="1227" t="str">
        <f t="shared" si="235"/>
        <v>CB Won bang 2.59mm</v>
      </c>
      <c r="Q863" s="254">
        <v>2.59</v>
      </c>
      <c r="R863" s="338">
        <v>1800</v>
      </c>
      <c r="S863" s="2747">
        <f t="shared" si="229"/>
        <v>0</v>
      </c>
      <c r="T863" s="2747">
        <f>IF(L863&gt;0,IF(input!$B$2=$O$1,(((L863+Y863/22)+(L863+Y863/22)*$AG863+$X863)*$P$11+$M$7)/1000,(((L863+Y863/22)+(L863+Y863/22)*O863+(L863+Y863/22)*$AG863+$X863)*$P$11+$M$7)/1000),0)</f>
        <v>11333.430400000001</v>
      </c>
      <c r="U863" s="2747">
        <f t="shared" si="230"/>
        <v>0</v>
      </c>
      <c r="V863" s="865" t="s">
        <v>1449</v>
      </c>
      <c r="W863" s="1231" t="str">
        <f t="shared" si="236"/>
        <v>CIF</v>
      </c>
      <c r="X863" s="1230">
        <f t="shared" si="231"/>
        <v>0</v>
      </c>
      <c r="Y863" s="2625">
        <f t="shared" si="225"/>
        <v>0</v>
      </c>
      <c r="Z863" s="3208">
        <f t="shared" si="237"/>
        <v>838.18181818181813</v>
      </c>
      <c r="AA863" s="136" t="s">
        <v>2256</v>
      </c>
      <c r="AB863" s="136" t="s">
        <v>1418</v>
      </c>
      <c r="AC863" s="251" t="str">
        <f t="shared" si="232"/>
        <v>1800gsm CB Won bang</v>
      </c>
      <c r="AD863" s="2746">
        <f>IF(L863&gt;0,IF(input!$B$2=$O$1,(((M863)+(M863)*$M$10)*$P$11)/1000,(((M863)+(M863)*O863+(M863)*$M$10)*$P$11)/1000),0)</f>
        <v>726.06239999999991</v>
      </c>
      <c r="AE863" s="2746">
        <f>IF(L863&gt;0,IF(input!$B$2=$O$1,(((N863)+(N863)*$M$10)*$P$11)/1000,(((N863)+(N863)*O863+(N863)*$M$10)*$P$11)/1000),0)</f>
        <v>0</v>
      </c>
      <c r="AF863" s="136" t="str">
        <f t="shared" si="226"/>
        <v>FSC</v>
      </c>
      <c r="AG863" s="2628">
        <f t="shared" si="233"/>
        <v>1.6E-2</v>
      </c>
      <c r="AH863" s="1266">
        <v>0.1</v>
      </c>
    </row>
    <row r="864" spans="1:34" ht="12.75">
      <c r="A864" s="2199">
        <f t="shared" si="227"/>
        <v>33</v>
      </c>
      <c r="B864" s="2200" t="s">
        <v>2289</v>
      </c>
      <c r="C864" s="2743">
        <v>0</v>
      </c>
      <c r="D864" s="2743">
        <v>440</v>
      </c>
      <c r="E864" s="2949">
        <v>0</v>
      </c>
      <c r="F864" s="2200">
        <v>0</v>
      </c>
      <c r="G864" s="2200" t="s">
        <v>2038</v>
      </c>
      <c r="H864" s="2200" t="s">
        <v>1057</v>
      </c>
      <c r="I864" s="2742">
        <v>30</v>
      </c>
      <c r="J864" s="2742">
        <v>0</v>
      </c>
      <c r="K864" s="2752">
        <v>60</v>
      </c>
      <c r="L864" s="2745">
        <f t="shared" si="223"/>
        <v>440</v>
      </c>
      <c r="M864" s="2745">
        <f t="shared" si="234"/>
        <v>30</v>
      </c>
      <c r="N864" s="2745">
        <f t="shared" si="224"/>
        <v>0</v>
      </c>
      <c r="O864" s="1232">
        <f t="shared" si="228"/>
        <v>0</v>
      </c>
      <c r="P864" s="1227" t="str">
        <f t="shared" si="235"/>
        <v>CB Won bang 2.73mm</v>
      </c>
      <c r="Q864" s="254">
        <v>2.73</v>
      </c>
      <c r="R864" s="338">
        <v>1900</v>
      </c>
      <c r="S864" s="2747">
        <f t="shared" ref="S864:S889" si="238">C864</f>
        <v>0</v>
      </c>
      <c r="T864" s="2747">
        <f>IF(L864&gt;0,IF(input!$B$2=$O$1,(((L864+Y864/22)+(L864+Y864/22)*$AG864+$X864)*$P$11+$M$7)/1000,(((L864+Y864/22)+(L864+Y864/22)*O864+(L864+Y864/22)*$AG864+$X864)*$P$11+$M$7)/1000),0)</f>
        <v>11333.430400000001</v>
      </c>
      <c r="U864" s="2747">
        <f t="shared" ref="U864:U894" si="239">IF(S864&gt;0,(S864/1.08)+Z864,0)</f>
        <v>0</v>
      </c>
      <c r="V864" s="865" t="s">
        <v>1450</v>
      </c>
      <c r="W864" s="1231" t="str">
        <f t="shared" si="236"/>
        <v>CIF</v>
      </c>
      <c r="X864" s="1230">
        <f t="shared" si="231"/>
        <v>0</v>
      </c>
      <c r="Y864" s="2625">
        <f t="shared" si="225"/>
        <v>0</v>
      </c>
      <c r="Z864" s="3208">
        <f t="shared" si="237"/>
        <v>838.18181818181813</v>
      </c>
      <c r="AA864" s="136" t="s">
        <v>2256</v>
      </c>
      <c r="AB864" s="136" t="s">
        <v>1418</v>
      </c>
      <c r="AC864" s="251" t="str">
        <f t="shared" si="232"/>
        <v>1900gsm CB Won bang</v>
      </c>
      <c r="AD864" s="2746">
        <f>IF(L864&gt;0,IF(input!$B$2=$O$1,(((M864)+(M864)*$M$10)*$P$11)/1000,(((M864)+(M864)*O864+(M864)*$M$10)*$P$11)/1000),0)</f>
        <v>726.06239999999991</v>
      </c>
      <c r="AE864" s="2746">
        <f>IF(L864&gt;0,IF(input!$B$2=$O$1,(((N864)+(N864)*$M$10)*$P$11)/1000,(((N864)+(N864)*O864+(N864)*$M$10)*$P$11)/1000),0)</f>
        <v>0</v>
      </c>
      <c r="AF864" s="136" t="str">
        <f t="shared" si="226"/>
        <v>FSC</v>
      </c>
      <c r="AG864" s="2628">
        <f t="shared" si="233"/>
        <v>1.6E-2</v>
      </c>
      <c r="AH864" s="1266">
        <v>0.1</v>
      </c>
    </row>
    <row r="865" spans="1:34" ht="12.75">
      <c r="A865" s="2199">
        <f t="shared" si="227"/>
        <v>34</v>
      </c>
      <c r="B865" s="2200" t="s">
        <v>2290</v>
      </c>
      <c r="C865" s="2743">
        <v>0</v>
      </c>
      <c r="D865" s="2743">
        <v>440</v>
      </c>
      <c r="E865" s="2949">
        <v>0</v>
      </c>
      <c r="F865" s="2200">
        <v>0</v>
      </c>
      <c r="G865" s="2200" t="s">
        <v>2038</v>
      </c>
      <c r="H865" s="2200" t="s">
        <v>1057</v>
      </c>
      <c r="I865" s="2742">
        <v>30</v>
      </c>
      <c r="J865" s="2742">
        <v>0</v>
      </c>
      <c r="K865" s="2752">
        <v>60</v>
      </c>
      <c r="L865" s="2745">
        <f t="shared" si="223"/>
        <v>440</v>
      </c>
      <c r="M865" s="2745">
        <f t="shared" si="234"/>
        <v>30</v>
      </c>
      <c r="N865" s="2745">
        <f t="shared" si="224"/>
        <v>0</v>
      </c>
      <c r="O865" s="1232">
        <f t="shared" si="228"/>
        <v>0</v>
      </c>
      <c r="P865" s="1227" t="str">
        <f t="shared" si="235"/>
        <v>CB Won bang 2.87mm</v>
      </c>
      <c r="Q865" s="254">
        <v>2.87</v>
      </c>
      <c r="R865" s="338">
        <v>2000</v>
      </c>
      <c r="S865" s="2747">
        <f t="shared" si="238"/>
        <v>0</v>
      </c>
      <c r="T865" s="2747">
        <f>IF(L865&gt;0,IF(input!$B$2=$O$1,(((L865+Y865/22)+(L865+Y865/22)*$AG865+$X865)*$P$11+$M$7)/1000,(((L865+Y865/22)+(L865+Y865/22)*O865+(L865+Y865/22)*$AG865+$X865)*$P$11+$M$7)/1000),0)</f>
        <v>11333.430400000001</v>
      </c>
      <c r="U865" s="2747">
        <f t="shared" si="239"/>
        <v>0</v>
      </c>
      <c r="V865" s="865" t="s">
        <v>1451</v>
      </c>
      <c r="W865" s="1231" t="str">
        <f t="shared" si="236"/>
        <v>CIF</v>
      </c>
      <c r="X865" s="1230">
        <f t="shared" si="231"/>
        <v>0</v>
      </c>
      <c r="Y865" s="2625">
        <f t="shared" si="225"/>
        <v>0</v>
      </c>
      <c r="Z865" s="3208">
        <f t="shared" si="237"/>
        <v>838.18181818181813</v>
      </c>
      <c r="AA865" s="136" t="s">
        <v>2256</v>
      </c>
      <c r="AB865" s="136" t="s">
        <v>1418</v>
      </c>
      <c r="AC865" s="251" t="str">
        <f t="shared" si="232"/>
        <v>2000gsm CB Won bang</v>
      </c>
      <c r="AD865" s="2746">
        <f>IF(L865&gt;0,IF(input!$B$2=$O$1,(((M865)+(M865)*$M$10)*$P$11)/1000,(((M865)+(M865)*O865+(M865)*$M$10)*$P$11)/1000),0)</f>
        <v>726.06239999999991</v>
      </c>
      <c r="AE865" s="2746">
        <f>IF(L865&gt;0,IF(input!$B$2=$O$1,(((N865)+(N865)*$M$10)*$P$11)/1000,(((N865)+(N865)*O865+(N865)*$M$10)*$P$11)/1000),0)</f>
        <v>0</v>
      </c>
      <c r="AF865" s="136" t="str">
        <f t="shared" si="226"/>
        <v>FSC</v>
      </c>
      <c r="AG865" s="2628">
        <f t="shared" si="233"/>
        <v>1.6E-2</v>
      </c>
      <c r="AH865" s="1266">
        <v>0.1</v>
      </c>
    </row>
    <row r="866" spans="1:34" ht="12.75">
      <c r="A866" s="2199">
        <f t="shared" si="227"/>
        <v>35</v>
      </c>
      <c r="B866" s="2200" t="s">
        <v>2291</v>
      </c>
      <c r="C866" s="2743">
        <v>0</v>
      </c>
      <c r="D866" s="2743">
        <v>0</v>
      </c>
      <c r="E866" s="2949">
        <v>0</v>
      </c>
      <c r="F866" s="2200">
        <v>0</v>
      </c>
      <c r="G866" s="2200" t="s">
        <v>2038</v>
      </c>
      <c r="H866" s="2200" t="s">
        <v>1057</v>
      </c>
      <c r="I866" s="2742">
        <v>30</v>
      </c>
      <c r="J866" s="2742">
        <v>0</v>
      </c>
      <c r="K866" s="2752">
        <v>60</v>
      </c>
      <c r="L866" s="2745">
        <f t="shared" si="223"/>
        <v>0</v>
      </c>
      <c r="M866" s="2745">
        <f t="shared" si="234"/>
        <v>30</v>
      </c>
      <c r="N866" s="2745">
        <f t="shared" si="224"/>
        <v>0</v>
      </c>
      <c r="O866" s="1232">
        <f t="shared" si="228"/>
        <v>0</v>
      </c>
      <c r="P866" s="1227" t="str">
        <f t="shared" si="235"/>
        <v>CB Won bang 3.03mm</v>
      </c>
      <c r="Q866" s="254">
        <v>3.03</v>
      </c>
      <c r="R866" s="338">
        <v>2100</v>
      </c>
      <c r="S866" s="2747">
        <f t="shared" si="238"/>
        <v>0</v>
      </c>
      <c r="T866" s="2747">
        <f>IF(L866&gt;0,IF(input!$B$2=$O$1,(((L866+Y866/22)+(L866+Y866/22)*$AG866+$X866)*$P$11+$M$7)/1000,(((L866+Y866/22)+(L866+Y866/22)*O866+(L866+Y866/22)*$AG866+$X866)*$P$11+$M$7)/1000),0)</f>
        <v>0</v>
      </c>
      <c r="U866" s="2747">
        <f t="shared" si="239"/>
        <v>0</v>
      </c>
      <c r="V866" s="865" t="s">
        <v>1452</v>
      </c>
      <c r="W866" s="1231" t="str">
        <f t="shared" si="236"/>
        <v>CIF</v>
      </c>
      <c r="X866" s="1230">
        <f t="shared" si="231"/>
        <v>0</v>
      </c>
      <c r="Y866" s="2625">
        <f t="shared" si="225"/>
        <v>0</v>
      </c>
      <c r="Z866" s="3208">
        <f t="shared" si="237"/>
        <v>838.18181818181813</v>
      </c>
      <c r="AA866" s="136" t="s">
        <v>2256</v>
      </c>
      <c r="AB866" s="136" t="s">
        <v>1418</v>
      </c>
      <c r="AC866" s="251" t="str">
        <f t="shared" si="232"/>
        <v>2100gsm CB Won bang</v>
      </c>
      <c r="AD866" s="2746">
        <f>IF(L866&gt;0,IF(input!$B$2=$O$1,(((M866)+(M866)*$M$10)*$P$11)/1000,(((M866)+(M866)*O866+(M866)*$M$10)*$P$11)/1000),0)</f>
        <v>0</v>
      </c>
      <c r="AE866" s="2746">
        <f>IF(L866&gt;0,IF(input!$B$2=$O$1,(((N866)+(N866)*$M$10)*$P$11)/1000,(((N866)+(N866)*O866+(N866)*$M$10)*$P$11)/1000),0)</f>
        <v>0</v>
      </c>
      <c r="AF866" s="136" t="str">
        <f t="shared" si="226"/>
        <v>FSC</v>
      </c>
      <c r="AG866" s="2628">
        <f t="shared" si="233"/>
        <v>1.6E-2</v>
      </c>
      <c r="AH866" s="1266">
        <v>0.1</v>
      </c>
    </row>
    <row r="867" spans="1:34" ht="12.75">
      <c r="A867" s="2199">
        <f t="shared" si="227"/>
        <v>36</v>
      </c>
      <c r="B867" s="2200" t="s">
        <v>2292</v>
      </c>
      <c r="C867" s="2743">
        <v>0</v>
      </c>
      <c r="D867" s="2743">
        <v>0</v>
      </c>
      <c r="E867" s="2949">
        <v>0</v>
      </c>
      <c r="F867" s="2200">
        <v>0</v>
      </c>
      <c r="G867" s="2200" t="s">
        <v>2038</v>
      </c>
      <c r="H867" s="2200" t="s">
        <v>1057</v>
      </c>
      <c r="I867" s="2742">
        <v>30</v>
      </c>
      <c r="J867" s="2742">
        <v>0</v>
      </c>
      <c r="K867" s="2752">
        <v>60</v>
      </c>
      <c r="L867" s="2745">
        <f t="shared" si="223"/>
        <v>0</v>
      </c>
      <c r="M867" s="2745">
        <f t="shared" si="234"/>
        <v>30</v>
      </c>
      <c r="N867" s="2745">
        <f t="shared" si="224"/>
        <v>0</v>
      </c>
      <c r="O867" s="1232">
        <f t="shared" si="228"/>
        <v>0</v>
      </c>
      <c r="P867" s="1227" t="str">
        <f t="shared" si="235"/>
        <v>CB Won bang 3.27mm</v>
      </c>
      <c r="Q867" s="254">
        <v>3.27</v>
      </c>
      <c r="R867" s="338">
        <v>2200</v>
      </c>
      <c r="S867" s="2747">
        <f t="shared" si="238"/>
        <v>0</v>
      </c>
      <c r="T867" s="2747">
        <f>IF(L867&gt;0,IF(input!$B$2=$O$1,(((L867+Y867/22)+(L867+Y867/22)*$AG867+$X867)*$P$11+$M$7)/1000,(((L867+Y867/22)+(L867+Y867/22)*O867+(L867+Y867/22)*$AG867+$X867)*$P$11+$M$7)/1000),0)</f>
        <v>0</v>
      </c>
      <c r="U867" s="2747">
        <f t="shared" si="239"/>
        <v>0</v>
      </c>
      <c r="V867" s="865" t="s">
        <v>1453</v>
      </c>
      <c r="W867" s="1231" t="str">
        <f t="shared" si="236"/>
        <v>CIF</v>
      </c>
      <c r="X867" s="1230">
        <f t="shared" si="231"/>
        <v>0</v>
      </c>
      <c r="Y867" s="2625">
        <f t="shared" si="225"/>
        <v>0</v>
      </c>
      <c r="Z867" s="3208">
        <f t="shared" si="237"/>
        <v>838.18181818181813</v>
      </c>
      <c r="AA867" s="136" t="s">
        <v>2256</v>
      </c>
      <c r="AB867" s="136" t="s">
        <v>1418</v>
      </c>
      <c r="AC867" s="251" t="str">
        <f t="shared" si="232"/>
        <v>2200gsm CB Won bang</v>
      </c>
      <c r="AD867" s="2746">
        <f>IF(L867&gt;0,IF(input!$B$2=$O$1,(((M867)+(M867)*$M$10)*$P$11)/1000,(((M867)+(M867)*O867+(M867)*$M$10)*$P$11)/1000),0)</f>
        <v>0</v>
      </c>
      <c r="AE867" s="2746">
        <f>IF(L867&gt;0,IF(input!$B$2=$O$1,(((N867)+(N867)*$M$10)*$P$11)/1000,(((N867)+(N867)*O867+(N867)*$M$10)*$P$11)/1000),0)</f>
        <v>0</v>
      </c>
      <c r="AF867" s="136" t="str">
        <f t="shared" si="226"/>
        <v>FSC</v>
      </c>
      <c r="AG867" s="2628">
        <f t="shared" si="233"/>
        <v>1.6E-2</v>
      </c>
      <c r="AH867" s="1266">
        <v>0.1</v>
      </c>
    </row>
    <row r="868" spans="1:34" ht="12.75">
      <c r="A868" s="2199">
        <f t="shared" si="227"/>
        <v>37</v>
      </c>
      <c r="B868" s="2200" t="s">
        <v>2293</v>
      </c>
      <c r="C868" s="2743">
        <v>0</v>
      </c>
      <c r="D868" s="2743">
        <v>0</v>
      </c>
      <c r="E868" s="2949">
        <v>0</v>
      </c>
      <c r="F868" s="2200">
        <v>0</v>
      </c>
      <c r="G868" s="2200" t="s">
        <v>2038</v>
      </c>
      <c r="H868" s="2200" t="s">
        <v>1057</v>
      </c>
      <c r="I868" s="2742">
        <v>30</v>
      </c>
      <c r="J868" s="2742">
        <v>0</v>
      </c>
      <c r="K868" s="2752">
        <v>60</v>
      </c>
      <c r="L868" s="2745">
        <f t="shared" si="223"/>
        <v>0</v>
      </c>
      <c r="M868" s="2745">
        <f t="shared" si="234"/>
        <v>30</v>
      </c>
      <c r="N868" s="2745">
        <f t="shared" si="224"/>
        <v>0</v>
      </c>
      <c r="O868" s="1232">
        <f t="shared" si="228"/>
        <v>0</v>
      </c>
      <c r="P868" s="1227" t="str">
        <f t="shared" si="235"/>
        <v>CB Won bang 3.31mm</v>
      </c>
      <c r="Q868" s="254">
        <v>3.31</v>
      </c>
      <c r="R868" s="338">
        <v>2300</v>
      </c>
      <c r="S868" s="2747">
        <f t="shared" si="238"/>
        <v>0</v>
      </c>
      <c r="T868" s="2747">
        <f>IF(L868&gt;0,IF(input!$B$2=$O$1,(((L868+Y868/22)+(L868+Y868/22)*$AG868+$X868)*$P$11+$M$7)/1000,(((L868+Y868/22)+(L868+Y868/22)*O868+(L868+Y868/22)*$AG868+$X868)*$P$11+$M$7)/1000),0)</f>
        <v>0</v>
      </c>
      <c r="U868" s="2747">
        <f t="shared" si="239"/>
        <v>0</v>
      </c>
      <c r="V868" s="865" t="s">
        <v>1454</v>
      </c>
      <c r="W868" s="1231" t="str">
        <f t="shared" si="236"/>
        <v>CIF</v>
      </c>
      <c r="X868" s="1230">
        <f t="shared" si="231"/>
        <v>0</v>
      </c>
      <c r="Y868" s="2625">
        <f t="shared" si="225"/>
        <v>0</v>
      </c>
      <c r="Z868" s="3208">
        <f t="shared" si="237"/>
        <v>838.18181818181813</v>
      </c>
      <c r="AA868" s="136" t="s">
        <v>2256</v>
      </c>
      <c r="AB868" s="136" t="s">
        <v>1418</v>
      </c>
      <c r="AC868" s="251" t="str">
        <f t="shared" si="232"/>
        <v>2300gsm CB Won bang</v>
      </c>
      <c r="AD868" s="2746">
        <f>IF(L868&gt;0,IF(input!$B$2=$O$1,(((M868)+(M868)*$M$10)*$P$11)/1000,(((M868)+(M868)*O868+(M868)*$M$10)*$P$11)/1000),0)</f>
        <v>0</v>
      </c>
      <c r="AE868" s="2746">
        <f>IF(L868&gt;0,IF(input!$B$2=$O$1,(((N868)+(N868)*$M$10)*$P$11)/1000,(((N868)+(N868)*O868+(N868)*$M$10)*$P$11)/1000),0)</f>
        <v>0</v>
      </c>
      <c r="AF868" s="136" t="str">
        <f t="shared" si="226"/>
        <v>FSC</v>
      </c>
      <c r="AG868" s="2628">
        <f t="shared" si="233"/>
        <v>1.6E-2</v>
      </c>
      <c r="AH868" s="1266">
        <v>0.1</v>
      </c>
    </row>
    <row r="869" spans="1:34" ht="12.75">
      <c r="A869" s="2199">
        <f t="shared" si="227"/>
        <v>38</v>
      </c>
      <c r="B869" s="2200" t="s">
        <v>2294</v>
      </c>
      <c r="C869" s="2743">
        <v>0</v>
      </c>
      <c r="D869" s="2743">
        <v>0</v>
      </c>
      <c r="E869" s="2949">
        <v>0</v>
      </c>
      <c r="F869" s="2200">
        <v>0</v>
      </c>
      <c r="G869" s="2200" t="s">
        <v>2038</v>
      </c>
      <c r="H869" s="2200" t="s">
        <v>1057</v>
      </c>
      <c r="I869" s="2742">
        <v>30</v>
      </c>
      <c r="J869" s="2742">
        <v>0</v>
      </c>
      <c r="K869" s="2752">
        <v>60</v>
      </c>
      <c r="L869" s="2745">
        <f t="shared" si="223"/>
        <v>0</v>
      </c>
      <c r="M869" s="2745">
        <f t="shared" si="234"/>
        <v>30</v>
      </c>
      <c r="N869" s="2745">
        <f t="shared" si="224"/>
        <v>0</v>
      </c>
      <c r="O869" s="1232">
        <f t="shared" si="228"/>
        <v>0</v>
      </c>
      <c r="P869" s="1227" t="str">
        <f t="shared" si="235"/>
        <v>CB Won bang 3.36mm</v>
      </c>
      <c r="Q869" s="254">
        <v>3.36</v>
      </c>
      <c r="R869" s="338">
        <v>2400</v>
      </c>
      <c r="S869" s="2747">
        <f t="shared" si="238"/>
        <v>0</v>
      </c>
      <c r="T869" s="2747">
        <f>IF(L869&gt;0,IF(input!$B$2=$O$1,(((L869+Y869/22)+(L869+Y869/22)*$AG869+$X869)*$P$11+$M$7)/1000,(((L869+Y869/22)+(L869+Y869/22)*O869+(L869+Y869/22)*$AG869+$X869)*$P$11+$M$7)/1000),0)</f>
        <v>0</v>
      </c>
      <c r="U869" s="2747">
        <f t="shared" si="239"/>
        <v>0</v>
      </c>
      <c r="V869" s="865" t="s">
        <v>1455</v>
      </c>
      <c r="W869" s="1231" t="str">
        <f t="shared" si="236"/>
        <v>CIF</v>
      </c>
      <c r="X869" s="1230">
        <f t="shared" si="231"/>
        <v>0</v>
      </c>
      <c r="Y869" s="2625">
        <f t="shared" si="225"/>
        <v>0</v>
      </c>
      <c r="Z869" s="3208">
        <f t="shared" si="237"/>
        <v>838.18181818181813</v>
      </c>
      <c r="AA869" s="136" t="s">
        <v>2256</v>
      </c>
      <c r="AB869" s="136" t="s">
        <v>1418</v>
      </c>
      <c r="AC869" s="251" t="str">
        <f t="shared" si="232"/>
        <v>2400gsm CB Won bang</v>
      </c>
      <c r="AD869" s="2746">
        <f>IF(L869&gt;0,IF(input!$B$2=$O$1,(((M869)+(M869)*$M$10)*$P$11)/1000,(((M869)+(M869)*O869+(M869)*$M$10)*$P$11)/1000),0)</f>
        <v>0</v>
      </c>
      <c r="AE869" s="2746">
        <f>IF(L869&gt;0,IF(input!$B$2=$O$1,(((N869)+(N869)*$M$10)*$P$11)/1000,(((N869)+(N869)*O869+(N869)*$M$10)*$P$11)/1000),0)</f>
        <v>0</v>
      </c>
      <c r="AF869" s="136" t="str">
        <f t="shared" si="226"/>
        <v>FSC</v>
      </c>
      <c r="AG869" s="2628">
        <f t="shared" si="233"/>
        <v>1.6E-2</v>
      </c>
      <c r="AH869" s="1266">
        <v>0.1</v>
      </c>
    </row>
    <row r="870" spans="1:34" ht="12.75">
      <c r="A870" s="2199">
        <f t="shared" si="227"/>
        <v>39</v>
      </c>
      <c r="B870" s="2200" t="s">
        <v>3123</v>
      </c>
      <c r="C870" s="2743">
        <v>15444</v>
      </c>
      <c r="D870" s="2743">
        <v>0</v>
      </c>
      <c r="E870" s="2949">
        <v>0</v>
      </c>
      <c r="F870" s="2200">
        <v>0</v>
      </c>
      <c r="G870" s="2200"/>
      <c r="H870" s="2200"/>
      <c r="I870" s="2742"/>
      <c r="J870" s="2742"/>
      <c r="K870" s="2752">
        <v>0</v>
      </c>
      <c r="L870" s="2745">
        <f t="shared" si="223"/>
        <v>0</v>
      </c>
      <c r="M870" s="2745">
        <f t="shared" si="234"/>
        <v>0</v>
      </c>
      <c r="N870" s="2745">
        <f t="shared" si="224"/>
        <v>0</v>
      </c>
      <c r="O870" s="1232">
        <f t="shared" si="228"/>
        <v>0</v>
      </c>
      <c r="P870" s="1227" t="str">
        <f t="shared" si="235"/>
        <v>CB Vinh Sang 0.42mm</v>
      </c>
      <c r="Q870" s="254">
        <v>0.42</v>
      </c>
      <c r="R870" s="338" t="s">
        <v>1762</v>
      </c>
      <c r="S870" s="2747">
        <f t="shared" si="238"/>
        <v>15444</v>
      </c>
      <c r="T870" s="2747">
        <f>IF(L870&gt;0,IF(input!$B$2=$O$1,(((L870+Y870/22)+(L870+Y870/22)*$AG870+$X870)*$P$11+$M$7)/1000,(((L870+Y870/22)+(L870+Y870/22)*O870+(L870+Y870/22)*$AG870+$X870)*$P$11+$M$7)/1000),0)</f>
        <v>0</v>
      </c>
      <c r="U870" s="2747">
        <f t="shared" si="239"/>
        <v>15138.181818181816</v>
      </c>
      <c r="V870" s="865" t="s">
        <v>1764</v>
      </c>
      <c r="W870" s="1231">
        <f t="shared" si="236"/>
        <v>0</v>
      </c>
      <c r="X870" s="1230">
        <f t="shared" si="231"/>
        <v>0</v>
      </c>
      <c r="Y870" s="2625">
        <f t="shared" si="225"/>
        <v>0</v>
      </c>
      <c r="Z870" s="3208">
        <f t="shared" si="237"/>
        <v>838.18181818181813</v>
      </c>
      <c r="AA870" s="136" t="s">
        <v>1763</v>
      </c>
      <c r="AB870" s="136" t="s">
        <v>1418</v>
      </c>
      <c r="AC870" s="251" t="str">
        <f t="shared" si="232"/>
        <v>300gsm CB VINH SANG</v>
      </c>
      <c r="AD870" s="2746">
        <f>IF(L870&gt;0,IF(input!$B$2=$O$1,(((M870)+(M870)*$M$10)*$P$11)/1000,(((M870)+(M870)*O870+(M870)*$M$10)*$P$11)/1000),0)</f>
        <v>0</v>
      </c>
      <c r="AE870" s="2746">
        <f>IF(L870&gt;0,IF(input!$B$2=$O$1,(((N870)+(N870)*$M$10)*$P$11)/1000,(((N870)+(N870)*O870+(N870)*$M$10)*$P$11)/1000),0)</f>
        <v>0</v>
      </c>
      <c r="AF870" s="136">
        <f t="shared" si="226"/>
        <v>0</v>
      </c>
      <c r="AG870" s="2628">
        <f t="shared" si="233"/>
        <v>0</v>
      </c>
      <c r="AH870" s="1266">
        <v>0.1</v>
      </c>
    </row>
    <row r="871" spans="1:34" ht="12.75">
      <c r="A871" s="2199">
        <f t="shared" si="227"/>
        <v>40</v>
      </c>
      <c r="B871" s="2200" t="s">
        <v>3124</v>
      </c>
      <c r="C871" s="2743">
        <v>15444</v>
      </c>
      <c r="D871" s="2743">
        <v>0</v>
      </c>
      <c r="E871" s="2949">
        <v>0</v>
      </c>
      <c r="F871" s="2200">
        <v>0</v>
      </c>
      <c r="G871" s="2200"/>
      <c r="H871" s="2200"/>
      <c r="I871" s="2742"/>
      <c r="J871" s="2742"/>
      <c r="K871" s="2752">
        <v>0</v>
      </c>
      <c r="L871" s="2745">
        <f t="shared" si="223"/>
        <v>0</v>
      </c>
      <c r="M871" s="2745">
        <f t="shared" si="234"/>
        <v>0</v>
      </c>
      <c r="N871" s="2745">
        <f t="shared" si="224"/>
        <v>0</v>
      </c>
      <c r="O871" s="1232">
        <f t="shared" si="228"/>
        <v>0</v>
      </c>
      <c r="P871" s="1227" t="str">
        <f t="shared" si="235"/>
        <v>CB Vinh Sang 0.56mm</v>
      </c>
      <c r="Q871" s="254">
        <v>0.56000000000000005</v>
      </c>
      <c r="R871" s="338" t="s">
        <v>1765</v>
      </c>
      <c r="S871" s="2747">
        <f t="shared" si="238"/>
        <v>15444</v>
      </c>
      <c r="T871" s="2747">
        <f>IF(L871&gt;0,IF(input!$B$2=$O$1,(((L871+Y871/22)+(L871+Y871/22)*$AG871+$X871)*$P$11+$M$7)/1000,(((L871+Y871/22)+(L871+Y871/22)*O871+(L871+Y871/22)*$AG871+$X871)*$P$11+$M$7)/1000),0)</f>
        <v>0</v>
      </c>
      <c r="U871" s="2747">
        <f t="shared" si="239"/>
        <v>15138.181818181816</v>
      </c>
      <c r="V871" s="865" t="s">
        <v>1766</v>
      </c>
      <c r="W871" s="1231">
        <f t="shared" si="236"/>
        <v>0</v>
      </c>
      <c r="X871" s="1230">
        <f t="shared" si="231"/>
        <v>0</v>
      </c>
      <c r="Y871" s="2625">
        <f t="shared" si="225"/>
        <v>0</v>
      </c>
      <c r="Z871" s="3208">
        <f t="shared" si="237"/>
        <v>838.18181818181813</v>
      </c>
      <c r="AA871" s="136" t="s">
        <v>1763</v>
      </c>
      <c r="AB871" s="136" t="s">
        <v>1418</v>
      </c>
      <c r="AC871" s="251" t="str">
        <f t="shared" si="232"/>
        <v>400gsm CB VINH SANG</v>
      </c>
      <c r="AD871" s="2746">
        <f>IF(L871&gt;0,IF(input!$B$2=$O$1,(((M871)+(M871)*$M$10)*$P$11)/1000,(((M871)+(M871)*O871+(M871)*$M$10)*$P$11)/1000),0)</f>
        <v>0</v>
      </c>
      <c r="AE871" s="2746">
        <f>IF(L871&gt;0,IF(input!$B$2=$O$1,(((N871)+(N871)*$M$10)*$P$11)/1000,(((N871)+(N871)*O871+(N871)*$M$10)*$P$11)/1000),0)</f>
        <v>0</v>
      </c>
      <c r="AF871" s="136">
        <f t="shared" si="226"/>
        <v>0</v>
      </c>
      <c r="AG871" s="2628">
        <f t="shared" si="233"/>
        <v>0</v>
      </c>
      <c r="AH871" s="1266">
        <v>0.1</v>
      </c>
    </row>
    <row r="872" spans="1:34" ht="12.75">
      <c r="A872" s="2199">
        <f t="shared" si="227"/>
        <v>41</v>
      </c>
      <c r="B872" s="2200" t="s">
        <v>3125</v>
      </c>
      <c r="C872" s="2743">
        <v>15444</v>
      </c>
      <c r="D872" s="2743">
        <v>0</v>
      </c>
      <c r="E872" s="2949">
        <v>0</v>
      </c>
      <c r="F872" s="2200">
        <v>0</v>
      </c>
      <c r="G872" s="2200"/>
      <c r="H872" s="2200"/>
      <c r="I872" s="2742"/>
      <c r="J872" s="2742"/>
      <c r="K872" s="2752">
        <v>0</v>
      </c>
      <c r="L872" s="2745">
        <f t="shared" si="223"/>
        <v>0</v>
      </c>
      <c r="M872" s="2745">
        <f t="shared" si="234"/>
        <v>0</v>
      </c>
      <c r="N872" s="2745">
        <f t="shared" si="224"/>
        <v>0</v>
      </c>
      <c r="O872" s="1232">
        <f t="shared" si="228"/>
        <v>0</v>
      </c>
      <c r="P872" s="1227" t="str">
        <f t="shared" si="235"/>
        <v>CB Vinh Sang 0.7mm</v>
      </c>
      <c r="Q872" s="254">
        <v>0.7</v>
      </c>
      <c r="R872" s="338" t="s">
        <v>1767</v>
      </c>
      <c r="S872" s="2747">
        <f t="shared" si="238"/>
        <v>15444</v>
      </c>
      <c r="T872" s="2747">
        <f>IF(L872&gt;0,IF(input!$B$2=$O$1,(((L872+Y872/22)+(L872+Y872/22)*$AG872+$X872)*$P$11+$M$7)/1000,(((L872+Y872/22)+(L872+Y872/22)*O872+(L872+Y872/22)*$AG872+$X872)*$P$11+$M$7)/1000),0)</f>
        <v>0</v>
      </c>
      <c r="U872" s="2747">
        <f t="shared" si="239"/>
        <v>15138.181818181816</v>
      </c>
      <c r="V872" s="865" t="s">
        <v>1768</v>
      </c>
      <c r="W872" s="1231">
        <f t="shared" si="236"/>
        <v>0</v>
      </c>
      <c r="X872" s="1230">
        <f t="shared" si="231"/>
        <v>0</v>
      </c>
      <c r="Y872" s="2625">
        <f t="shared" si="225"/>
        <v>0</v>
      </c>
      <c r="Z872" s="3208">
        <f t="shared" si="237"/>
        <v>838.18181818181813</v>
      </c>
      <c r="AA872" s="136" t="s">
        <v>1763</v>
      </c>
      <c r="AB872" s="136" t="s">
        <v>1418</v>
      </c>
      <c r="AC872" s="251" t="str">
        <f t="shared" si="232"/>
        <v>500gsm CB VINH SANG</v>
      </c>
      <c r="AD872" s="2746">
        <f>IF(L872&gt;0,IF(input!$B$2=$O$1,(((M872)+(M872)*$M$10)*$P$11)/1000,(((M872)+(M872)*O872+(M872)*$M$10)*$P$11)/1000),0)</f>
        <v>0</v>
      </c>
      <c r="AE872" s="2746">
        <f>IF(L872&gt;0,IF(input!$B$2=$O$1,(((N872)+(N872)*$M$10)*$P$11)/1000,(((N872)+(N872)*O872+(N872)*$M$10)*$P$11)/1000),0)</f>
        <v>0</v>
      </c>
      <c r="AF872" s="136">
        <f t="shared" si="226"/>
        <v>0</v>
      </c>
      <c r="AG872" s="2628">
        <f t="shared" si="233"/>
        <v>0</v>
      </c>
      <c r="AH872" s="1266">
        <v>0.1</v>
      </c>
    </row>
    <row r="873" spans="1:34" ht="12.75">
      <c r="A873" s="2199">
        <f t="shared" si="227"/>
        <v>42</v>
      </c>
      <c r="B873" s="2200" t="s">
        <v>3126</v>
      </c>
      <c r="C873" s="2743">
        <v>0</v>
      </c>
      <c r="D873" s="2743">
        <v>0</v>
      </c>
      <c r="E873" s="2949">
        <v>0</v>
      </c>
      <c r="F873" s="2200">
        <v>0</v>
      </c>
      <c r="G873" s="2200"/>
      <c r="H873" s="2200"/>
      <c r="I873" s="2742"/>
      <c r="J873" s="2742"/>
      <c r="K873" s="2752">
        <v>0</v>
      </c>
      <c r="L873" s="2745">
        <f t="shared" si="223"/>
        <v>0</v>
      </c>
      <c r="M873" s="2745">
        <f t="shared" si="234"/>
        <v>0</v>
      </c>
      <c r="N873" s="2745">
        <f t="shared" si="224"/>
        <v>0</v>
      </c>
      <c r="O873" s="1232">
        <f t="shared" si="228"/>
        <v>0</v>
      </c>
      <c r="P873" s="1227" t="str">
        <f t="shared" si="235"/>
        <v>CB Vinh Sang 0.91mm</v>
      </c>
      <c r="Q873" s="254">
        <v>0.91</v>
      </c>
      <c r="R873" s="338" t="s">
        <v>3147</v>
      </c>
      <c r="S873" s="2747">
        <f t="shared" si="238"/>
        <v>0</v>
      </c>
      <c r="T873" s="2747">
        <f>IF(L873&gt;0,IF(input!$B$2=$O$1,(((L873+Y873/22)+(L873+Y873/22)*$AG873+$X873)*$P$11+$M$7)/1000,(((L873+Y873/22)+(L873+Y873/22)*O873+(L873+Y873/22)*$AG873+$X873)*$P$11+$M$7)/1000),0)</f>
        <v>0</v>
      </c>
      <c r="U873" s="2747">
        <f t="shared" si="239"/>
        <v>0</v>
      </c>
      <c r="V873" s="865" t="s">
        <v>3143</v>
      </c>
      <c r="W873" s="1231">
        <f t="shared" si="236"/>
        <v>0</v>
      </c>
      <c r="X873" s="1230">
        <f t="shared" si="231"/>
        <v>0</v>
      </c>
      <c r="Y873" s="2625">
        <f t="shared" si="225"/>
        <v>0</v>
      </c>
      <c r="Z873" s="3208">
        <f t="shared" si="237"/>
        <v>838.18181818181813</v>
      </c>
      <c r="AA873" s="136" t="s">
        <v>1763</v>
      </c>
      <c r="AB873" s="136" t="s">
        <v>1418</v>
      </c>
      <c r="AC873" s="251" t="str">
        <f t="shared" si="232"/>
        <v>650gsm CB VINH SANG</v>
      </c>
      <c r="AD873" s="2746">
        <f>IF(L873&gt;0,IF(input!$B$2=$O$1,(((M873)+(M873)*$M$10)*$P$11)/1000,(((M873)+(M873)*O873+(M873)*$M$10)*$P$11)/1000),0)</f>
        <v>0</v>
      </c>
      <c r="AE873" s="2746">
        <f>IF(L873&gt;0,IF(input!$B$2=$O$1,(((N873)+(N873)*$M$10)*$P$11)/1000,(((N873)+(N873)*O873+(N873)*$M$10)*$P$11)/1000),0)</f>
        <v>0</v>
      </c>
      <c r="AF873" s="136">
        <f t="shared" si="226"/>
        <v>0</v>
      </c>
      <c r="AG873" s="2628">
        <f t="shared" si="233"/>
        <v>0</v>
      </c>
      <c r="AH873" s="1266">
        <v>0.1</v>
      </c>
    </row>
    <row r="874" spans="1:34" ht="12.75">
      <c r="A874" s="2199">
        <f t="shared" si="227"/>
        <v>43</v>
      </c>
      <c r="B874" s="2200" t="s">
        <v>3127</v>
      </c>
      <c r="C874" s="2743">
        <v>0</v>
      </c>
      <c r="D874" s="2743">
        <v>0</v>
      </c>
      <c r="E874" s="2949">
        <v>0</v>
      </c>
      <c r="F874" s="2200">
        <v>0</v>
      </c>
      <c r="G874" s="2200"/>
      <c r="H874" s="2200"/>
      <c r="I874" s="2742"/>
      <c r="J874" s="2742"/>
      <c r="K874" s="2752">
        <v>0</v>
      </c>
      <c r="L874" s="2745">
        <f t="shared" si="223"/>
        <v>0</v>
      </c>
      <c r="M874" s="2745">
        <f t="shared" si="234"/>
        <v>0</v>
      </c>
      <c r="N874" s="2745">
        <f t="shared" si="224"/>
        <v>0</v>
      </c>
      <c r="O874" s="1232">
        <f t="shared" si="228"/>
        <v>0</v>
      </c>
      <c r="P874" s="1227" t="str">
        <f t="shared" si="235"/>
        <v>CB Vinh Sang 0.98mm</v>
      </c>
      <c r="Q874" s="254">
        <v>0.98</v>
      </c>
      <c r="R874" s="338" t="s">
        <v>3148</v>
      </c>
      <c r="S874" s="2747">
        <f t="shared" si="238"/>
        <v>0</v>
      </c>
      <c r="T874" s="2747">
        <f>IF(L874&gt;0,IF(input!$B$2=$O$1,(((L874+Y874/22)+(L874+Y874/22)*$AG874+$X874)*$P$11+$M$7)/1000,(((L874+Y874/22)+(L874+Y874/22)*O874+(L874+Y874/22)*$AG874+$X874)*$P$11+$M$7)/1000),0)</f>
        <v>0</v>
      </c>
      <c r="U874" s="2747">
        <f t="shared" si="239"/>
        <v>0</v>
      </c>
      <c r="V874" s="865" t="s">
        <v>3144</v>
      </c>
      <c r="W874" s="1231">
        <f t="shared" si="236"/>
        <v>0</v>
      </c>
      <c r="X874" s="1230">
        <f t="shared" si="231"/>
        <v>0</v>
      </c>
      <c r="Y874" s="2625">
        <f t="shared" si="225"/>
        <v>0</v>
      </c>
      <c r="Z874" s="3208">
        <f t="shared" si="237"/>
        <v>838.18181818181813</v>
      </c>
      <c r="AA874" s="136" t="s">
        <v>1763</v>
      </c>
      <c r="AB874" s="136" t="s">
        <v>1418</v>
      </c>
      <c r="AC874" s="251" t="str">
        <f t="shared" si="232"/>
        <v>700gsm CB VINH SANG</v>
      </c>
      <c r="AD874" s="2746">
        <f>IF(L874&gt;0,IF(input!$B$2=$O$1,(((M874)+(M874)*$M$10)*$P$11)/1000,(((M874)+(M874)*O874+(M874)*$M$10)*$P$11)/1000),0)</f>
        <v>0</v>
      </c>
      <c r="AE874" s="2746">
        <f>IF(L874&gt;0,IF(input!$B$2=$O$1,(((N874)+(N874)*$M$10)*$P$11)/1000,(((N874)+(N874)*O874+(N874)*$M$10)*$P$11)/1000),0)</f>
        <v>0</v>
      </c>
      <c r="AF874" s="136">
        <f t="shared" si="226"/>
        <v>0</v>
      </c>
      <c r="AG874" s="2628">
        <f t="shared" si="233"/>
        <v>0</v>
      </c>
      <c r="AH874" s="1266">
        <v>0.1</v>
      </c>
    </row>
    <row r="875" spans="1:34" ht="12.75">
      <c r="A875" s="2199">
        <f t="shared" si="227"/>
        <v>44</v>
      </c>
      <c r="B875" s="2200" t="s">
        <v>3128</v>
      </c>
      <c r="C875" s="2743">
        <v>15444</v>
      </c>
      <c r="D875" s="2743">
        <v>0</v>
      </c>
      <c r="E875" s="2949">
        <v>0</v>
      </c>
      <c r="F875" s="2200">
        <v>0</v>
      </c>
      <c r="G875" s="2200"/>
      <c r="H875" s="2200"/>
      <c r="I875" s="2742"/>
      <c r="J875" s="2742"/>
      <c r="K875" s="2752">
        <v>0</v>
      </c>
      <c r="L875" s="2745">
        <f t="shared" si="223"/>
        <v>0</v>
      </c>
      <c r="M875" s="2745">
        <f t="shared" si="234"/>
        <v>0</v>
      </c>
      <c r="N875" s="2745">
        <f t="shared" si="224"/>
        <v>0</v>
      </c>
      <c r="O875" s="1232">
        <f t="shared" si="228"/>
        <v>0</v>
      </c>
      <c r="P875" s="1227" t="str">
        <f t="shared" si="235"/>
        <v>CB Vinh Sang 1.12mm</v>
      </c>
      <c r="Q875" s="254">
        <v>1.1200000000000001</v>
      </c>
      <c r="R875" s="338" t="s">
        <v>3149</v>
      </c>
      <c r="S875" s="2747">
        <f t="shared" si="238"/>
        <v>15444</v>
      </c>
      <c r="T875" s="2747">
        <f>IF(L875&gt;0,IF(input!$B$2=$O$1,(((L875+Y875/22)+(L875+Y875/22)*$AG875+$X875)*$P$11+$M$7)/1000,(((L875+Y875/22)+(L875+Y875/22)*O875+(L875+Y875/22)*$AG875+$X875)*$P$11+$M$7)/1000),0)</f>
        <v>0</v>
      </c>
      <c r="U875" s="2747">
        <f t="shared" si="239"/>
        <v>15138.181818181816</v>
      </c>
      <c r="V875" s="865" t="s">
        <v>1769</v>
      </c>
      <c r="W875" s="1231">
        <f t="shared" si="236"/>
        <v>0</v>
      </c>
      <c r="X875" s="1230">
        <f t="shared" si="231"/>
        <v>0</v>
      </c>
      <c r="Y875" s="2625">
        <f t="shared" si="225"/>
        <v>0</v>
      </c>
      <c r="Z875" s="3208">
        <f t="shared" si="237"/>
        <v>838.18181818181813</v>
      </c>
      <c r="AA875" s="136" t="s">
        <v>1763</v>
      </c>
      <c r="AB875" s="136" t="s">
        <v>1418</v>
      </c>
      <c r="AC875" s="251" t="str">
        <f t="shared" si="232"/>
        <v>800gsm CB VINH SANG</v>
      </c>
      <c r="AD875" s="2746">
        <f>IF(L875&gt;0,IF(input!$B$2=$O$1,(((M875)+(M875)*$M$10)*$P$11)/1000,(((M875)+(M875)*O875+(M875)*$M$10)*$P$11)/1000),0)</f>
        <v>0</v>
      </c>
      <c r="AE875" s="2746">
        <f>IF(L875&gt;0,IF(input!$B$2=$O$1,(((N875)+(N875)*$M$10)*$P$11)/1000,(((N875)+(N875)*O875+(N875)*$M$10)*$P$11)/1000),0)</f>
        <v>0</v>
      </c>
      <c r="AF875" s="136">
        <f t="shared" si="226"/>
        <v>0</v>
      </c>
      <c r="AG875" s="2628">
        <f t="shared" si="233"/>
        <v>0</v>
      </c>
      <c r="AH875" s="1266">
        <v>0.1</v>
      </c>
    </row>
    <row r="876" spans="1:34" ht="12.75">
      <c r="A876" s="2199">
        <f t="shared" si="227"/>
        <v>45</v>
      </c>
      <c r="B876" s="2200" t="s">
        <v>3129</v>
      </c>
      <c r="C876" s="2743">
        <v>0</v>
      </c>
      <c r="D876" s="2743">
        <v>0</v>
      </c>
      <c r="E876" s="2949">
        <v>0</v>
      </c>
      <c r="F876" s="2200">
        <v>0</v>
      </c>
      <c r="G876" s="2200"/>
      <c r="H876" s="2200"/>
      <c r="I876" s="2742"/>
      <c r="J876" s="2742"/>
      <c r="K876" s="2752">
        <v>0</v>
      </c>
      <c r="L876" s="2745">
        <f t="shared" si="223"/>
        <v>0</v>
      </c>
      <c r="M876" s="2745">
        <f t="shared" si="234"/>
        <v>0</v>
      </c>
      <c r="N876" s="2745">
        <f t="shared" si="224"/>
        <v>0</v>
      </c>
      <c r="O876" s="1232">
        <f t="shared" si="228"/>
        <v>0</v>
      </c>
      <c r="P876" s="1227" t="str">
        <f t="shared" si="235"/>
        <v>CB Vinh Sang 1.26mm</v>
      </c>
      <c r="Q876" s="254">
        <v>1.26</v>
      </c>
      <c r="R876" s="338" t="s">
        <v>3150</v>
      </c>
      <c r="S876" s="2747">
        <f t="shared" si="238"/>
        <v>0</v>
      </c>
      <c r="T876" s="2747">
        <f>IF(L876&gt;0,IF(input!$B$2=$O$1,(((L876+Y876/22)+(L876+Y876/22)*$AG876+$X876)*$P$11+$M$7)/1000,(((L876+Y876/22)+(L876+Y876/22)*O876+(L876+Y876/22)*$AG876+$X876)*$P$11+$M$7)/1000),0)</f>
        <v>0</v>
      </c>
      <c r="U876" s="2747">
        <f t="shared" si="239"/>
        <v>0</v>
      </c>
      <c r="V876" s="865" t="s">
        <v>1440</v>
      </c>
      <c r="W876" s="1231">
        <f t="shared" si="236"/>
        <v>0</v>
      </c>
      <c r="X876" s="1230">
        <f t="shared" si="231"/>
        <v>0</v>
      </c>
      <c r="Y876" s="2625">
        <f t="shared" si="225"/>
        <v>0</v>
      </c>
      <c r="Z876" s="3208">
        <f t="shared" si="237"/>
        <v>838.18181818181813</v>
      </c>
      <c r="AA876" s="136" t="s">
        <v>1763</v>
      </c>
      <c r="AB876" s="136" t="s">
        <v>1418</v>
      </c>
      <c r="AC876" s="251" t="str">
        <f t="shared" si="232"/>
        <v>900gsm CB VINH SANG</v>
      </c>
      <c r="AD876" s="2746">
        <f>IF(L876&gt;0,IF(input!$B$2=$O$1,(((M876)+(M876)*$M$10)*$P$11)/1000,(((M876)+(M876)*O876+(M876)*$M$10)*$P$11)/1000),0)</f>
        <v>0</v>
      </c>
      <c r="AE876" s="2746">
        <f>IF(L876&gt;0,IF(input!$B$2=$O$1,(((N876)+(N876)*$M$10)*$P$11)/1000,(((N876)+(N876)*O876+(N876)*$M$10)*$P$11)/1000),0)</f>
        <v>0</v>
      </c>
      <c r="AF876" s="136">
        <f t="shared" si="226"/>
        <v>0</v>
      </c>
      <c r="AG876" s="2628">
        <f t="shared" si="233"/>
        <v>0</v>
      </c>
      <c r="AH876" s="1266">
        <v>0.1</v>
      </c>
    </row>
    <row r="877" spans="1:34" ht="12.75">
      <c r="A877" s="2199">
        <f t="shared" si="227"/>
        <v>46</v>
      </c>
      <c r="B877" s="2200" t="s">
        <v>3130</v>
      </c>
      <c r="C877" s="2743">
        <v>15444</v>
      </c>
      <c r="D877" s="2743">
        <v>0</v>
      </c>
      <c r="E877" s="2949">
        <v>0</v>
      </c>
      <c r="F877" s="2200">
        <v>0</v>
      </c>
      <c r="G877" s="2200"/>
      <c r="H877" s="2200"/>
      <c r="I877" s="2742"/>
      <c r="J877" s="2742"/>
      <c r="K877" s="2752">
        <v>0</v>
      </c>
      <c r="L877" s="2745">
        <f t="shared" si="223"/>
        <v>0</v>
      </c>
      <c r="M877" s="2745">
        <f t="shared" si="234"/>
        <v>0</v>
      </c>
      <c r="N877" s="2745">
        <f t="shared" si="224"/>
        <v>0</v>
      </c>
      <c r="O877" s="1232">
        <f t="shared" si="228"/>
        <v>0</v>
      </c>
      <c r="P877" s="1227" t="str">
        <f t="shared" si="235"/>
        <v>CB Vinh Sang 1.4mm</v>
      </c>
      <c r="Q877" s="254">
        <v>1.4</v>
      </c>
      <c r="R877" s="338" t="s">
        <v>3151</v>
      </c>
      <c r="S877" s="2747">
        <f t="shared" si="238"/>
        <v>15444</v>
      </c>
      <c r="T877" s="2747">
        <f>IF(L877&gt;0,IF(input!$B$2=$O$1,(((L877+Y877/22)+(L877+Y877/22)*$AG877+$X877)*$P$11+$M$7)/1000,(((L877+Y877/22)+(L877+Y877/22)*O877+(L877+Y877/22)*$AG877+$X877)*$P$11+$M$7)/1000),0)</f>
        <v>0</v>
      </c>
      <c r="U877" s="2747">
        <f t="shared" si="239"/>
        <v>15138.181818181816</v>
      </c>
      <c r="V877" s="865" t="s">
        <v>1770</v>
      </c>
      <c r="W877" s="1231">
        <f t="shared" si="236"/>
        <v>0</v>
      </c>
      <c r="X877" s="1230">
        <f t="shared" si="231"/>
        <v>0</v>
      </c>
      <c r="Y877" s="2625">
        <f t="shared" si="225"/>
        <v>0</v>
      </c>
      <c r="Z877" s="3208">
        <f t="shared" si="237"/>
        <v>838.18181818181813</v>
      </c>
      <c r="AA877" s="136" t="s">
        <v>1763</v>
      </c>
      <c r="AB877" s="136" t="s">
        <v>1418</v>
      </c>
      <c r="AC877" s="251" t="str">
        <f t="shared" si="232"/>
        <v>1000gsm CB VINH SANG</v>
      </c>
      <c r="AD877" s="2746">
        <f>IF(L877&gt;0,IF(input!$B$2=$O$1,(((M877)+(M877)*$M$10)*$P$11)/1000,(((M877)+(M877)*O877+(M877)*$M$10)*$P$11)/1000),0)</f>
        <v>0</v>
      </c>
      <c r="AE877" s="2746">
        <f>IF(L877&gt;0,IF(input!$B$2=$O$1,(((N877)+(N877)*$M$10)*$P$11)/1000,(((N877)+(N877)*O877+(N877)*$M$10)*$P$11)/1000),0)</f>
        <v>0</v>
      </c>
      <c r="AF877" s="136">
        <f t="shared" si="226"/>
        <v>0</v>
      </c>
      <c r="AG877" s="2628">
        <f t="shared" si="233"/>
        <v>0</v>
      </c>
      <c r="AH877" s="1266">
        <v>0.1</v>
      </c>
    </row>
    <row r="878" spans="1:34" ht="12.75">
      <c r="A878" s="2199">
        <f t="shared" si="227"/>
        <v>47</v>
      </c>
      <c r="B878" s="2200" t="s">
        <v>3131</v>
      </c>
      <c r="C878" s="2743">
        <v>15444</v>
      </c>
      <c r="D878" s="2743">
        <v>0</v>
      </c>
      <c r="E878" s="2949">
        <v>0</v>
      </c>
      <c r="F878" s="2200">
        <v>0</v>
      </c>
      <c r="G878" s="2200"/>
      <c r="H878" s="2200"/>
      <c r="I878" s="2742"/>
      <c r="J878" s="2742"/>
      <c r="K878" s="2752">
        <v>0</v>
      </c>
      <c r="L878" s="2745">
        <f t="shared" si="223"/>
        <v>0</v>
      </c>
      <c r="M878" s="2745">
        <f t="shared" si="234"/>
        <v>0</v>
      </c>
      <c r="N878" s="2745">
        <f t="shared" si="224"/>
        <v>0</v>
      </c>
      <c r="O878" s="1232">
        <f t="shared" si="228"/>
        <v>0</v>
      </c>
      <c r="P878" s="1227" t="str">
        <f t="shared" si="235"/>
        <v>CB Vinh Sang 1.54mm</v>
      </c>
      <c r="Q878" s="254">
        <v>1.54</v>
      </c>
      <c r="R878" s="338" t="s">
        <v>3152</v>
      </c>
      <c r="S878" s="2747">
        <f t="shared" si="238"/>
        <v>15444</v>
      </c>
      <c r="T878" s="2747">
        <f>IF(L878&gt;0,IF(input!$B$2=$O$1,(((L878+Y878/22)+(L878+Y878/22)*$AG878+$X878)*$P$11+$M$7)/1000,(((L878+Y878/22)+(L878+Y878/22)*O878+(L878+Y878/22)*$AG878+$X878)*$P$11+$M$7)/1000),0)</f>
        <v>0</v>
      </c>
      <c r="U878" s="2747">
        <f t="shared" si="239"/>
        <v>15138.181818181816</v>
      </c>
      <c r="V878" s="865" t="s">
        <v>1771</v>
      </c>
      <c r="W878" s="1231">
        <f t="shared" si="236"/>
        <v>0</v>
      </c>
      <c r="X878" s="1230">
        <f t="shared" si="231"/>
        <v>0</v>
      </c>
      <c r="Y878" s="2625">
        <f t="shared" si="225"/>
        <v>0</v>
      </c>
      <c r="Z878" s="3208">
        <f t="shared" si="237"/>
        <v>838.18181818181813</v>
      </c>
      <c r="AA878" s="136" t="s">
        <v>1763</v>
      </c>
      <c r="AB878" s="136" t="s">
        <v>1418</v>
      </c>
      <c r="AC878" s="251" t="str">
        <f t="shared" si="232"/>
        <v>1100gsm CB VINH SANG</v>
      </c>
      <c r="AD878" s="2746">
        <f>IF(L878&gt;0,IF(input!$B$2=$O$1,(((M878)+(M878)*$M$10)*$P$11)/1000,(((M878)+(M878)*O878+(M878)*$M$10)*$P$11)/1000),0)</f>
        <v>0</v>
      </c>
      <c r="AE878" s="2746">
        <f>IF(L878&gt;0,IF(input!$B$2=$O$1,(((N878)+(N878)*$M$10)*$P$11)/1000,(((N878)+(N878)*O878+(N878)*$M$10)*$P$11)/1000),0)</f>
        <v>0</v>
      </c>
      <c r="AF878" s="136">
        <f t="shared" si="226"/>
        <v>0</v>
      </c>
      <c r="AG878" s="2628">
        <f t="shared" si="233"/>
        <v>0</v>
      </c>
      <c r="AH878" s="1266">
        <v>0.1</v>
      </c>
    </row>
    <row r="879" spans="1:34" ht="12.75">
      <c r="A879" s="2199">
        <f t="shared" si="227"/>
        <v>48</v>
      </c>
      <c r="B879" s="2200" t="s">
        <v>3132</v>
      </c>
      <c r="C879" s="2743">
        <v>15444</v>
      </c>
      <c r="D879" s="2743">
        <v>0</v>
      </c>
      <c r="E879" s="2949">
        <v>0</v>
      </c>
      <c r="F879" s="2200">
        <v>0</v>
      </c>
      <c r="G879" s="2200"/>
      <c r="H879" s="2200"/>
      <c r="I879" s="2742"/>
      <c r="J879" s="2742"/>
      <c r="K879" s="2752">
        <v>0</v>
      </c>
      <c r="L879" s="2745">
        <f t="shared" si="223"/>
        <v>0</v>
      </c>
      <c r="M879" s="2745">
        <f t="shared" si="234"/>
        <v>0</v>
      </c>
      <c r="N879" s="2745">
        <f t="shared" si="224"/>
        <v>0</v>
      </c>
      <c r="O879" s="1232">
        <f t="shared" si="228"/>
        <v>0</v>
      </c>
      <c r="P879" s="1227" t="str">
        <f t="shared" si="235"/>
        <v>CB Vinh Sang 1.68mm</v>
      </c>
      <c r="Q879" s="254">
        <v>1.68</v>
      </c>
      <c r="R879" s="338" t="s">
        <v>3153</v>
      </c>
      <c r="S879" s="2747">
        <f t="shared" si="238"/>
        <v>15444</v>
      </c>
      <c r="T879" s="2747">
        <f>IF(L879&gt;0,IF(input!$B$2=$O$1,(((L879+Y879/22)+(L879+Y879/22)*$AG879+$X879)*$P$11+$M$7)/1000,(((L879+Y879/22)+(L879+Y879/22)*O879+(L879+Y879/22)*$AG879+$X879)*$P$11+$M$7)/1000),0)</f>
        <v>0</v>
      </c>
      <c r="U879" s="2747">
        <f t="shared" si="239"/>
        <v>15138.181818181816</v>
      </c>
      <c r="V879" s="865" t="s">
        <v>1772</v>
      </c>
      <c r="W879" s="1231">
        <f t="shared" si="236"/>
        <v>0</v>
      </c>
      <c r="X879" s="1230">
        <f t="shared" si="231"/>
        <v>0</v>
      </c>
      <c r="Y879" s="2625">
        <f t="shared" si="225"/>
        <v>0</v>
      </c>
      <c r="Z879" s="3208">
        <f t="shared" si="237"/>
        <v>838.18181818181813</v>
      </c>
      <c r="AA879" s="136" t="s">
        <v>1763</v>
      </c>
      <c r="AB879" s="136" t="s">
        <v>1418</v>
      </c>
      <c r="AC879" s="251" t="str">
        <f t="shared" si="232"/>
        <v>1200gsm CB VINH SANG</v>
      </c>
      <c r="AD879" s="2746">
        <f>IF(L879&gt;0,IF(input!$B$2=$O$1,(((M879)+(M879)*$M$10)*$P$11)/1000,(((M879)+(M879)*O879+(M879)*$M$10)*$P$11)/1000),0)</f>
        <v>0</v>
      </c>
      <c r="AE879" s="2746">
        <f>IF(L879&gt;0,IF(input!$B$2=$O$1,(((N879)+(N879)*$M$10)*$P$11)/1000,(((N879)+(N879)*O879+(N879)*$M$10)*$P$11)/1000),0)</f>
        <v>0</v>
      </c>
      <c r="AF879" s="136">
        <f t="shared" si="226"/>
        <v>0</v>
      </c>
      <c r="AG879" s="2628">
        <f t="shared" si="233"/>
        <v>0</v>
      </c>
      <c r="AH879" s="1266">
        <v>0.1</v>
      </c>
    </row>
    <row r="880" spans="1:34" ht="12.75">
      <c r="A880" s="2199">
        <f t="shared" si="227"/>
        <v>49</v>
      </c>
      <c r="B880" s="2200" t="s">
        <v>3133</v>
      </c>
      <c r="C880" s="2743">
        <v>0</v>
      </c>
      <c r="D880" s="2743">
        <v>0</v>
      </c>
      <c r="E880" s="2949">
        <v>0</v>
      </c>
      <c r="F880" s="2200">
        <v>0</v>
      </c>
      <c r="G880" s="2200"/>
      <c r="H880" s="2200"/>
      <c r="I880" s="2742"/>
      <c r="J880" s="2742"/>
      <c r="K880" s="2752">
        <v>0</v>
      </c>
      <c r="L880" s="2745">
        <f t="shared" si="223"/>
        <v>0</v>
      </c>
      <c r="M880" s="2745">
        <f t="shared" si="234"/>
        <v>0</v>
      </c>
      <c r="N880" s="2745">
        <f t="shared" si="224"/>
        <v>0</v>
      </c>
      <c r="O880" s="1232">
        <f t="shared" si="228"/>
        <v>0</v>
      </c>
      <c r="P880" s="1227" t="str">
        <f t="shared" si="235"/>
        <v>CB Vinh Sang 1.75mm</v>
      </c>
      <c r="Q880" s="254">
        <v>1.75</v>
      </c>
      <c r="R880" s="338" t="s">
        <v>3154</v>
      </c>
      <c r="S880" s="2747">
        <f t="shared" si="238"/>
        <v>0</v>
      </c>
      <c r="T880" s="2747">
        <f>IF(L880&gt;0,IF(input!$B$2=$O$1,(((L880+Y880/22)+(L880+Y880/22)*$AG880+$X880)*$P$11+$M$7)/1000,(((L880+Y880/22)+(L880+Y880/22)*O880+(L880+Y880/22)*$AG880+$X880)*$P$11+$M$7)/1000),0)</f>
        <v>0</v>
      </c>
      <c r="U880" s="2747">
        <f t="shared" si="239"/>
        <v>0</v>
      </c>
      <c r="V880" s="865" t="s">
        <v>3145</v>
      </c>
      <c r="W880" s="1231">
        <f t="shared" si="236"/>
        <v>0</v>
      </c>
      <c r="X880" s="1230">
        <f t="shared" si="231"/>
        <v>0</v>
      </c>
      <c r="Y880" s="2625">
        <f t="shared" si="225"/>
        <v>0</v>
      </c>
      <c r="Z880" s="3208">
        <f t="shared" si="237"/>
        <v>838.18181818181813</v>
      </c>
      <c r="AA880" s="136" t="s">
        <v>1763</v>
      </c>
      <c r="AB880" s="136" t="s">
        <v>1418</v>
      </c>
      <c r="AC880" s="251" t="str">
        <f t="shared" si="232"/>
        <v>1250gsm CB VINH SANG</v>
      </c>
      <c r="AD880" s="2746">
        <f>IF(L880&gt;0,IF(input!$B$2=$O$1,(((M880)+(M880)*$M$10)*$P$11)/1000,(((M880)+(M880)*O880+(M880)*$M$10)*$P$11)/1000),0)</f>
        <v>0</v>
      </c>
      <c r="AE880" s="2746">
        <f>IF(L880&gt;0,IF(input!$B$2=$O$1,(((N880)+(N880)*$M$10)*$P$11)/1000,(((N880)+(N880)*O880+(N880)*$M$10)*$P$11)/1000),0)</f>
        <v>0</v>
      </c>
      <c r="AF880" s="136">
        <f t="shared" si="226"/>
        <v>0</v>
      </c>
      <c r="AG880" s="2628">
        <f t="shared" si="233"/>
        <v>0</v>
      </c>
      <c r="AH880" s="1266">
        <v>0.1</v>
      </c>
    </row>
    <row r="881" spans="1:34" ht="12.75">
      <c r="A881" s="2199">
        <f t="shared" si="227"/>
        <v>50</v>
      </c>
      <c r="B881" s="2200" t="s">
        <v>3134</v>
      </c>
      <c r="C881" s="2743">
        <v>15444</v>
      </c>
      <c r="D881" s="2743">
        <v>0</v>
      </c>
      <c r="E881" s="2949">
        <v>0</v>
      </c>
      <c r="F881" s="2200">
        <v>0</v>
      </c>
      <c r="G881" s="2200"/>
      <c r="H881" s="2200"/>
      <c r="I881" s="2742"/>
      <c r="J881" s="2742"/>
      <c r="K881" s="2752">
        <v>0</v>
      </c>
      <c r="L881" s="2745">
        <f t="shared" si="223"/>
        <v>0</v>
      </c>
      <c r="M881" s="2745">
        <f t="shared" si="234"/>
        <v>0</v>
      </c>
      <c r="N881" s="2745">
        <f t="shared" si="224"/>
        <v>0</v>
      </c>
      <c r="O881" s="1232">
        <f t="shared" si="228"/>
        <v>0</v>
      </c>
      <c r="P881" s="1227" t="str">
        <f t="shared" si="235"/>
        <v>CB Vinh Sang 1.82mm</v>
      </c>
      <c r="Q881" s="254">
        <v>1.82</v>
      </c>
      <c r="R881" s="338" t="s">
        <v>3155</v>
      </c>
      <c r="S881" s="2747">
        <f t="shared" si="238"/>
        <v>15444</v>
      </c>
      <c r="T881" s="2747">
        <f>IF(L881&gt;0,IF(input!$B$2=$O$1,(((L881+Y881/22)+(L881+Y881/22)*$AG881+$X881)*$P$11+$M$7)/1000,(((L881+Y881/22)+(L881+Y881/22)*O881+(L881+Y881/22)*$AG881+$X881)*$P$11+$M$7)/1000),0)</f>
        <v>0</v>
      </c>
      <c r="U881" s="2747">
        <f t="shared" si="239"/>
        <v>15138.181818181816</v>
      </c>
      <c r="V881" s="865" t="s">
        <v>1773</v>
      </c>
      <c r="W881" s="1231">
        <f t="shared" si="236"/>
        <v>0</v>
      </c>
      <c r="X881" s="1230">
        <f t="shared" si="231"/>
        <v>0</v>
      </c>
      <c r="Y881" s="2625">
        <f t="shared" si="225"/>
        <v>0</v>
      </c>
      <c r="Z881" s="3208">
        <f t="shared" si="237"/>
        <v>838.18181818181813</v>
      </c>
      <c r="AA881" s="136" t="s">
        <v>1763</v>
      </c>
      <c r="AB881" s="136" t="s">
        <v>1418</v>
      </c>
      <c r="AC881" s="251" t="str">
        <f t="shared" si="232"/>
        <v>1300gsm CB VINH SANG</v>
      </c>
      <c r="AD881" s="2746">
        <f>IF(L881&gt;0,IF(input!$B$2=$O$1,(((M881)+(M881)*$M$10)*$P$11)/1000,(((M881)+(M881)*O881+(M881)*$M$10)*$P$11)/1000),0)</f>
        <v>0</v>
      </c>
      <c r="AE881" s="2746">
        <f>IF(L881&gt;0,IF(input!$B$2=$O$1,(((N881)+(N881)*$M$10)*$P$11)/1000,(((N881)+(N881)*O881+(N881)*$M$10)*$P$11)/1000),0)</f>
        <v>0</v>
      </c>
      <c r="AF881" s="136">
        <f t="shared" si="226"/>
        <v>0</v>
      </c>
      <c r="AG881" s="2628">
        <f t="shared" si="233"/>
        <v>0</v>
      </c>
      <c r="AH881" s="1266">
        <v>0.1</v>
      </c>
    </row>
    <row r="882" spans="1:34" ht="12.75">
      <c r="A882" s="2199">
        <f t="shared" si="227"/>
        <v>51</v>
      </c>
      <c r="B882" s="2200" t="s">
        <v>3135</v>
      </c>
      <c r="C882" s="2743">
        <v>0</v>
      </c>
      <c r="D882" s="2743">
        <v>0</v>
      </c>
      <c r="E882" s="2949">
        <v>0</v>
      </c>
      <c r="F882" s="2200">
        <v>0</v>
      </c>
      <c r="G882" s="2200"/>
      <c r="H882" s="2200"/>
      <c r="I882" s="2742"/>
      <c r="J882" s="2742"/>
      <c r="K882" s="2752">
        <v>0</v>
      </c>
      <c r="L882" s="2745">
        <f t="shared" si="223"/>
        <v>0</v>
      </c>
      <c r="M882" s="2745">
        <f t="shared" si="234"/>
        <v>0</v>
      </c>
      <c r="N882" s="2745">
        <f t="shared" si="224"/>
        <v>0</v>
      </c>
      <c r="O882" s="1232">
        <f t="shared" si="228"/>
        <v>0</v>
      </c>
      <c r="P882" s="1227" t="str">
        <f t="shared" si="235"/>
        <v>CB Vinh Sang 1.96mm</v>
      </c>
      <c r="Q882" s="254">
        <v>1.96</v>
      </c>
      <c r="R882" s="338" t="s">
        <v>3156</v>
      </c>
      <c r="S882" s="2747">
        <f t="shared" si="238"/>
        <v>0</v>
      </c>
      <c r="T882" s="2747">
        <f>IF(L882&gt;0,IF(input!$B$2=$O$1,(((L882+Y882/22)+(L882+Y882/22)*$AG882+$X882)*$P$11+$M$7)/1000,(((L882+Y882/22)+(L882+Y882/22)*O882+(L882+Y882/22)*$AG882+$X882)*$P$11+$M$7)/1000),0)</f>
        <v>0</v>
      </c>
      <c r="U882" s="2747">
        <f t="shared" si="239"/>
        <v>0</v>
      </c>
      <c r="V882" s="865" t="s">
        <v>3146</v>
      </c>
      <c r="W882" s="1231">
        <f t="shared" si="236"/>
        <v>0</v>
      </c>
      <c r="X882" s="1230">
        <f t="shared" si="231"/>
        <v>0</v>
      </c>
      <c r="Y882" s="2625">
        <f t="shared" si="225"/>
        <v>0</v>
      </c>
      <c r="Z882" s="3208">
        <f t="shared" si="237"/>
        <v>838.18181818181813</v>
      </c>
      <c r="AA882" s="136" t="s">
        <v>1763</v>
      </c>
      <c r="AB882" s="136" t="s">
        <v>1418</v>
      </c>
      <c r="AC882" s="251" t="str">
        <f t="shared" si="232"/>
        <v>1400gsm CB VINH SANG</v>
      </c>
      <c r="AD882" s="2746">
        <f>IF(L882&gt;0,IF(input!$B$2=$O$1,(((M882)+(M882)*$M$10)*$P$11)/1000,(((M882)+(M882)*O882+(M882)*$M$10)*$P$11)/1000),0)</f>
        <v>0</v>
      </c>
      <c r="AE882" s="2746">
        <f>IF(L882&gt;0,IF(input!$B$2=$O$1,(((N882)+(N882)*$M$10)*$P$11)/1000,(((N882)+(N882)*O882+(N882)*$M$10)*$P$11)/1000),0)</f>
        <v>0</v>
      </c>
      <c r="AF882" s="136">
        <f t="shared" si="226"/>
        <v>0</v>
      </c>
      <c r="AG882" s="2628">
        <f t="shared" si="233"/>
        <v>0</v>
      </c>
      <c r="AH882" s="1266">
        <v>0.1</v>
      </c>
    </row>
    <row r="883" spans="1:34" ht="12.75">
      <c r="A883" s="2199">
        <f t="shared" si="227"/>
        <v>52</v>
      </c>
      <c r="B883" s="2200" t="s">
        <v>3136</v>
      </c>
      <c r="C883" s="2743">
        <v>15444</v>
      </c>
      <c r="D883" s="2743">
        <v>0</v>
      </c>
      <c r="E883" s="2949">
        <v>0</v>
      </c>
      <c r="F883" s="2200">
        <v>0</v>
      </c>
      <c r="G883" s="2200"/>
      <c r="H883" s="2200"/>
      <c r="I883" s="2742"/>
      <c r="J883" s="2742"/>
      <c r="K883" s="2752">
        <v>0</v>
      </c>
      <c r="L883" s="2745">
        <f t="shared" si="223"/>
        <v>0</v>
      </c>
      <c r="M883" s="2745">
        <f t="shared" si="234"/>
        <v>0</v>
      </c>
      <c r="N883" s="2745">
        <f t="shared" si="224"/>
        <v>0</v>
      </c>
      <c r="O883" s="1232">
        <f t="shared" si="228"/>
        <v>0</v>
      </c>
      <c r="P883" s="1227" t="str">
        <f t="shared" si="235"/>
        <v>CB Vinh Sang 2.1mm</v>
      </c>
      <c r="Q883" s="254">
        <v>2.1</v>
      </c>
      <c r="R883" s="338" t="s">
        <v>3157</v>
      </c>
      <c r="S883" s="2747">
        <f t="shared" si="238"/>
        <v>15444</v>
      </c>
      <c r="T883" s="2747">
        <f>IF(L883&gt;0,IF(input!$B$2=$O$1,(((L883+Y883/22)+(L883+Y883/22)*$AG883+$X883)*$P$11+$M$7)/1000,(((L883+Y883/22)+(L883+Y883/22)*O883+(L883+Y883/22)*$AG883+$X883)*$P$11+$M$7)/1000),0)</f>
        <v>0</v>
      </c>
      <c r="U883" s="2747">
        <f t="shared" si="239"/>
        <v>15138.181818181816</v>
      </c>
      <c r="V883" s="865" t="s">
        <v>1774</v>
      </c>
      <c r="W883" s="1231">
        <f t="shared" si="236"/>
        <v>0</v>
      </c>
      <c r="X883" s="1230">
        <f t="shared" si="231"/>
        <v>0</v>
      </c>
      <c r="Y883" s="2625">
        <f t="shared" si="225"/>
        <v>0</v>
      </c>
      <c r="Z883" s="3208">
        <f t="shared" si="237"/>
        <v>838.18181818181813</v>
      </c>
      <c r="AA883" s="136" t="s">
        <v>1763</v>
      </c>
      <c r="AB883" s="136" t="s">
        <v>1418</v>
      </c>
      <c r="AC883" s="251" t="str">
        <f t="shared" si="232"/>
        <v>1500gsm CB VINH SANG</v>
      </c>
      <c r="AD883" s="2746">
        <f>IF(L883&gt;0,IF(input!$B$2=$O$1,(((M883)+(M883)*$M$10)*$P$11)/1000,(((M883)+(M883)*O883+(M883)*$M$10)*$P$11)/1000),0)</f>
        <v>0</v>
      </c>
      <c r="AE883" s="2746">
        <f>IF(L883&gt;0,IF(input!$B$2=$O$1,(((N883)+(N883)*$M$10)*$P$11)/1000,(((N883)+(N883)*O883+(N883)*$M$10)*$P$11)/1000),0)</f>
        <v>0</v>
      </c>
      <c r="AF883" s="136">
        <f t="shared" si="226"/>
        <v>0</v>
      </c>
      <c r="AG883" s="2628">
        <f t="shared" si="233"/>
        <v>0</v>
      </c>
      <c r="AH883" s="1266">
        <v>0.1</v>
      </c>
    </row>
    <row r="884" spans="1:34" ht="12.75">
      <c r="A884" s="2199">
        <f t="shared" si="227"/>
        <v>53</v>
      </c>
      <c r="B884" s="2200" t="s">
        <v>3137</v>
      </c>
      <c r="C884" s="2743">
        <v>15444</v>
      </c>
      <c r="D884" s="2743">
        <v>0</v>
      </c>
      <c r="E884" s="2949">
        <v>0</v>
      </c>
      <c r="F884" s="2200">
        <v>0</v>
      </c>
      <c r="G884" s="2200"/>
      <c r="H884" s="2200"/>
      <c r="I884" s="2742"/>
      <c r="J884" s="2742"/>
      <c r="K884" s="2752">
        <v>0</v>
      </c>
      <c r="L884" s="2745">
        <f t="shared" si="223"/>
        <v>0</v>
      </c>
      <c r="M884" s="2745">
        <f t="shared" si="234"/>
        <v>0</v>
      </c>
      <c r="N884" s="2745">
        <f t="shared" si="224"/>
        <v>0</v>
      </c>
      <c r="O884" s="1232">
        <f t="shared" si="228"/>
        <v>0</v>
      </c>
      <c r="P884" s="1227" t="str">
        <f t="shared" si="235"/>
        <v>CB Vinh Sang 2.24mm</v>
      </c>
      <c r="Q884" s="254">
        <v>2.2400000000000002</v>
      </c>
      <c r="R884" s="338" t="s">
        <v>3158</v>
      </c>
      <c r="S884" s="2747">
        <f t="shared" si="238"/>
        <v>15444</v>
      </c>
      <c r="T884" s="2747">
        <f>IF(L884&gt;0,IF(input!$B$2=$O$1,(((L884+Y884/22)+(L884+Y884/22)*$AG884+$X884)*$P$11+$M$7)/1000,(((L884+Y884/22)+(L884+Y884/22)*O884+(L884+Y884/22)*$AG884+$X884)*$P$11+$M$7)/1000),0)</f>
        <v>0</v>
      </c>
      <c r="U884" s="2747">
        <f t="shared" si="239"/>
        <v>15138.181818181816</v>
      </c>
      <c r="V884" s="865" t="s">
        <v>1775</v>
      </c>
      <c r="W884" s="1231">
        <f t="shared" si="236"/>
        <v>0</v>
      </c>
      <c r="X884" s="1230">
        <f t="shared" si="231"/>
        <v>0</v>
      </c>
      <c r="Y884" s="2625">
        <f t="shared" si="225"/>
        <v>0</v>
      </c>
      <c r="Z884" s="3208">
        <f t="shared" si="237"/>
        <v>838.18181818181813</v>
      </c>
      <c r="AA884" s="136" t="s">
        <v>1763</v>
      </c>
      <c r="AB884" s="136" t="s">
        <v>1418</v>
      </c>
      <c r="AC884" s="251" t="str">
        <f t="shared" si="232"/>
        <v>1600gsm CB VINH SANG</v>
      </c>
      <c r="AD884" s="2746">
        <f>IF(L884&gt;0,IF(input!$B$2=$O$1,(((M884)+(M884)*$M$10)*$P$11)/1000,(((M884)+(M884)*O884+(M884)*$M$10)*$P$11)/1000),0)</f>
        <v>0</v>
      </c>
      <c r="AE884" s="2746">
        <f>IF(L884&gt;0,IF(input!$B$2=$O$1,(((N884)+(N884)*$M$10)*$P$11)/1000,(((N884)+(N884)*O884+(N884)*$M$10)*$P$11)/1000),0)</f>
        <v>0</v>
      </c>
      <c r="AF884" s="136">
        <f t="shared" si="226"/>
        <v>0</v>
      </c>
      <c r="AG884" s="2628">
        <f t="shared" si="233"/>
        <v>0</v>
      </c>
      <c r="AH884" s="1266">
        <v>0.1</v>
      </c>
    </row>
    <row r="885" spans="1:34" ht="12.75">
      <c r="A885" s="2199">
        <f t="shared" si="227"/>
        <v>54</v>
      </c>
      <c r="B885" s="2200" t="s">
        <v>3138</v>
      </c>
      <c r="C885" s="2743">
        <v>15444</v>
      </c>
      <c r="D885" s="2743">
        <v>0</v>
      </c>
      <c r="E885" s="2949">
        <v>0</v>
      </c>
      <c r="F885" s="2200">
        <v>0</v>
      </c>
      <c r="G885" s="2200"/>
      <c r="H885" s="2200"/>
      <c r="I885" s="2742"/>
      <c r="J885" s="2742"/>
      <c r="K885" s="2752">
        <v>0</v>
      </c>
      <c r="L885" s="2745">
        <f t="shared" si="223"/>
        <v>0</v>
      </c>
      <c r="M885" s="2745">
        <f t="shared" si="234"/>
        <v>0</v>
      </c>
      <c r="N885" s="2745">
        <f t="shared" si="224"/>
        <v>0</v>
      </c>
      <c r="O885" s="1232">
        <f t="shared" si="228"/>
        <v>0</v>
      </c>
      <c r="P885" s="1227" t="str">
        <f t="shared" si="235"/>
        <v>CB Vinh Sang 2.38mm</v>
      </c>
      <c r="Q885" s="254">
        <v>2.38</v>
      </c>
      <c r="R885" s="338" t="s">
        <v>3159</v>
      </c>
      <c r="S885" s="2747">
        <f t="shared" si="238"/>
        <v>15444</v>
      </c>
      <c r="T885" s="2747">
        <f>IF(L885&gt;0,IF(input!$B$2=$O$1,(((L885+Y885/22)+(L885+Y885/22)*$AG885+$X885)*$P$11+$M$7)/1000,(((L885+Y885/22)+(L885+Y885/22)*O885+(L885+Y885/22)*$AG885+$X885)*$P$11+$M$7)/1000),0)</f>
        <v>0</v>
      </c>
      <c r="U885" s="2747">
        <f t="shared" si="239"/>
        <v>15138.181818181816</v>
      </c>
      <c r="V885" s="865" t="s">
        <v>1776</v>
      </c>
      <c r="W885" s="1231">
        <f t="shared" si="236"/>
        <v>0</v>
      </c>
      <c r="X885" s="1230">
        <f t="shared" si="231"/>
        <v>0</v>
      </c>
      <c r="Y885" s="2625">
        <f t="shared" si="225"/>
        <v>0</v>
      </c>
      <c r="Z885" s="3208">
        <f t="shared" si="237"/>
        <v>838.18181818181813</v>
      </c>
      <c r="AA885" s="136" t="s">
        <v>1763</v>
      </c>
      <c r="AB885" s="136" t="s">
        <v>1418</v>
      </c>
      <c r="AC885" s="251" t="str">
        <f t="shared" si="232"/>
        <v>1700gsm CB VINH SANG</v>
      </c>
      <c r="AD885" s="2746">
        <f>IF(L885&gt;0,IF(input!$B$2=$O$1,(((M885)+(M885)*$M$10)*$P$11)/1000,(((M885)+(M885)*O885+(M885)*$M$10)*$P$11)/1000),0)</f>
        <v>0</v>
      </c>
      <c r="AE885" s="2746">
        <f>IF(L885&gt;0,IF(input!$B$2=$O$1,(((N885)+(N885)*$M$10)*$P$11)/1000,(((N885)+(N885)*O885+(N885)*$M$10)*$P$11)/1000),0)</f>
        <v>0</v>
      </c>
      <c r="AF885" s="136">
        <f t="shared" si="226"/>
        <v>0</v>
      </c>
      <c r="AG885" s="2628">
        <f t="shared" si="233"/>
        <v>0</v>
      </c>
      <c r="AH885" s="1266">
        <v>0.1</v>
      </c>
    </row>
    <row r="886" spans="1:34" ht="12.75">
      <c r="A886" s="2199">
        <f t="shared" si="227"/>
        <v>55</v>
      </c>
      <c r="B886" s="2200" t="s">
        <v>3139</v>
      </c>
      <c r="C886" s="2743">
        <v>15444</v>
      </c>
      <c r="D886" s="2743">
        <v>0</v>
      </c>
      <c r="E886" s="2949">
        <v>0</v>
      </c>
      <c r="F886" s="2200">
        <v>0</v>
      </c>
      <c r="G886" s="2200"/>
      <c r="H886" s="2200"/>
      <c r="I886" s="2742"/>
      <c r="J886" s="2742"/>
      <c r="K886" s="2752">
        <v>0</v>
      </c>
      <c r="L886" s="2745">
        <f t="shared" si="223"/>
        <v>0</v>
      </c>
      <c r="M886" s="2745">
        <f t="shared" si="234"/>
        <v>0</v>
      </c>
      <c r="N886" s="2745">
        <f t="shared" si="224"/>
        <v>0</v>
      </c>
      <c r="O886" s="1232">
        <f t="shared" si="228"/>
        <v>0</v>
      </c>
      <c r="P886" s="1227" t="str">
        <f t="shared" si="235"/>
        <v>CB Vinh Sang 2.52mm</v>
      </c>
      <c r="Q886" s="254">
        <v>2.52</v>
      </c>
      <c r="R886" s="338" t="s">
        <v>3160</v>
      </c>
      <c r="S886" s="2747">
        <f t="shared" si="238"/>
        <v>15444</v>
      </c>
      <c r="T886" s="2747">
        <f>IF(L886&gt;0,IF(input!$B$2=$O$1,(((L886+Y886/22)+(L886+Y886/22)*$AG886+$X886)*$P$11+$M$7)/1000,(((L886+Y886/22)+(L886+Y886/22)*O886+(L886+Y886/22)*$AG886+$X886)*$P$11+$M$7)/1000),0)</f>
        <v>0</v>
      </c>
      <c r="U886" s="2747">
        <f t="shared" si="239"/>
        <v>15138.181818181816</v>
      </c>
      <c r="V886" s="865" t="s">
        <v>1777</v>
      </c>
      <c r="W886" s="1231">
        <f t="shared" si="236"/>
        <v>0</v>
      </c>
      <c r="X886" s="1230">
        <f t="shared" si="231"/>
        <v>0</v>
      </c>
      <c r="Y886" s="2625">
        <f t="shared" si="225"/>
        <v>0</v>
      </c>
      <c r="Z886" s="3208">
        <f t="shared" si="237"/>
        <v>838.18181818181813</v>
      </c>
      <c r="AA886" s="136" t="s">
        <v>1763</v>
      </c>
      <c r="AB886" s="136" t="s">
        <v>1418</v>
      </c>
      <c r="AC886" s="251" t="str">
        <f t="shared" si="232"/>
        <v>1800gsm CB VINH SANG</v>
      </c>
      <c r="AD886" s="2746">
        <f>IF(L886&gt;0,IF(input!$B$2=$O$1,(((M886)+(M886)*$M$10)*$P$11)/1000,(((M886)+(M886)*O886+(M886)*$M$10)*$P$11)/1000),0)</f>
        <v>0</v>
      </c>
      <c r="AE886" s="2746">
        <f>IF(L886&gt;0,IF(input!$B$2=$O$1,(((N886)+(N886)*$M$10)*$P$11)/1000,(((N886)+(N886)*O886+(N886)*$M$10)*$P$11)/1000),0)</f>
        <v>0</v>
      </c>
      <c r="AF886" s="136">
        <f t="shared" si="226"/>
        <v>0</v>
      </c>
      <c r="AG886" s="2628">
        <f t="shared" si="233"/>
        <v>0</v>
      </c>
      <c r="AH886" s="1266">
        <v>0.1</v>
      </c>
    </row>
    <row r="887" spans="1:34" ht="12.75">
      <c r="A887" s="2199">
        <f t="shared" si="227"/>
        <v>56</v>
      </c>
      <c r="B887" s="2200" t="s">
        <v>3140</v>
      </c>
      <c r="C887" s="2743">
        <v>0</v>
      </c>
      <c r="D887" s="2743">
        <v>0</v>
      </c>
      <c r="E887" s="2949">
        <v>0</v>
      </c>
      <c r="F887" s="2200">
        <v>0</v>
      </c>
      <c r="G887" s="2200"/>
      <c r="H887" s="2200"/>
      <c r="I887" s="2742"/>
      <c r="J887" s="2742"/>
      <c r="K887" s="2752">
        <v>0</v>
      </c>
      <c r="L887" s="2745">
        <f t="shared" si="223"/>
        <v>0</v>
      </c>
      <c r="M887" s="2745">
        <f t="shared" si="234"/>
        <v>0</v>
      </c>
      <c r="N887" s="2745">
        <f t="shared" si="224"/>
        <v>0</v>
      </c>
      <c r="O887" s="1232">
        <f t="shared" si="228"/>
        <v>0</v>
      </c>
      <c r="P887" s="1227" t="str">
        <f t="shared" si="235"/>
        <v>CB Vinh Sang 2.59mm</v>
      </c>
      <c r="Q887" s="254">
        <v>2.59</v>
      </c>
      <c r="R887" s="338" t="s">
        <v>3161</v>
      </c>
      <c r="S887" s="2747">
        <f t="shared" si="238"/>
        <v>0</v>
      </c>
      <c r="T887" s="2747">
        <f>IF(L887&gt;0,IF(input!$B$2=$O$1,(((L887+Y887/22)+(L887+Y887/22)*$AG887+$X887)*$P$11+$M$7)/1000,(((L887+Y887/22)+(L887+Y887/22)*O887+(L887+Y887/22)*$AG887+$X887)*$P$11+$M$7)/1000),0)</f>
        <v>0</v>
      </c>
      <c r="U887" s="2747">
        <f t="shared" si="239"/>
        <v>0</v>
      </c>
      <c r="V887" s="865" t="s">
        <v>1449</v>
      </c>
      <c r="W887" s="1231">
        <f t="shared" si="236"/>
        <v>0</v>
      </c>
      <c r="X887" s="1230">
        <f t="shared" si="231"/>
        <v>0</v>
      </c>
      <c r="Y887" s="2625">
        <f t="shared" si="225"/>
        <v>0</v>
      </c>
      <c r="Z887" s="3208">
        <f t="shared" si="237"/>
        <v>838.18181818181813</v>
      </c>
      <c r="AA887" s="136" t="s">
        <v>1763</v>
      </c>
      <c r="AB887" s="136" t="s">
        <v>1418</v>
      </c>
      <c r="AC887" s="251" t="str">
        <f t="shared" si="232"/>
        <v>1850gsm CB VINH SANG</v>
      </c>
      <c r="AD887" s="2746">
        <f>IF(L887&gt;0,IF(input!$B$2=$O$1,(((M887)+(M887)*$M$10)*$P$11)/1000,(((M887)+(M887)*O887+(M887)*$M$10)*$P$11)/1000),0)</f>
        <v>0</v>
      </c>
      <c r="AE887" s="2746">
        <f>IF(L887&gt;0,IF(input!$B$2=$O$1,(((N887)+(N887)*$M$10)*$P$11)/1000,(((N887)+(N887)*O887+(N887)*$M$10)*$P$11)/1000),0)</f>
        <v>0</v>
      </c>
      <c r="AF887" s="136">
        <f t="shared" si="226"/>
        <v>0</v>
      </c>
      <c r="AG887" s="2628">
        <f t="shared" si="233"/>
        <v>0</v>
      </c>
      <c r="AH887" s="1266">
        <v>0.1</v>
      </c>
    </row>
    <row r="888" spans="1:34" ht="12.75">
      <c r="A888" s="2199">
        <f t="shared" si="227"/>
        <v>57</v>
      </c>
      <c r="B888" s="2200" t="s">
        <v>3141</v>
      </c>
      <c r="C888" s="2743">
        <v>15444</v>
      </c>
      <c r="D888" s="2743">
        <v>0</v>
      </c>
      <c r="E888" s="2949">
        <v>0</v>
      </c>
      <c r="F888" s="2200">
        <v>0</v>
      </c>
      <c r="G888" s="2200"/>
      <c r="H888" s="2200"/>
      <c r="I888" s="2742"/>
      <c r="J888" s="2742"/>
      <c r="K888" s="2752">
        <v>0</v>
      </c>
      <c r="L888" s="2745">
        <f t="shared" si="223"/>
        <v>0</v>
      </c>
      <c r="M888" s="2745">
        <f t="shared" si="234"/>
        <v>0</v>
      </c>
      <c r="N888" s="2745">
        <f t="shared" si="224"/>
        <v>0</v>
      </c>
      <c r="O888" s="1232">
        <f t="shared" si="228"/>
        <v>0</v>
      </c>
      <c r="P888" s="1227" t="str">
        <f t="shared" si="235"/>
        <v>CB Vinh Sang 2.8mm</v>
      </c>
      <c r="Q888" s="254">
        <v>2.8</v>
      </c>
      <c r="R888" s="338" t="s">
        <v>3162</v>
      </c>
      <c r="S888" s="2747">
        <f t="shared" si="238"/>
        <v>15444</v>
      </c>
      <c r="T888" s="2747">
        <f>IF(L888&gt;0,IF(input!$B$2=$O$1,(((L888+Y888/22)+(L888+Y888/22)*$AG888+$X888)*$P$11+$M$7)/1000,(((L888+Y888/22)+(L888+Y888/22)*O888+(L888+Y888/22)*$AG888+$X888)*$P$11+$M$7)/1000),0)</f>
        <v>0</v>
      </c>
      <c r="U888" s="2747">
        <f t="shared" si="239"/>
        <v>15138.181818181816</v>
      </c>
      <c r="V888" s="865" t="s">
        <v>1433</v>
      </c>
      <c r="W888" s="1231">
        <f t="shared" si="236"/>
        <v>0</v>
      </c>
      <c r="X888" s="1230">
        <f t="shared" si="231"/>
        <v>0</v>
      </c>
      <c r="Y888" s="2625">
        <f t="shared" si="225"/>
        <v>0</v>
      </c>
      <c r="Z888" s="3208">
        <f t="shared" si="237"/>
        <v>838.18181818181813</v>
      </c>
      <c r="AA888" s="136" t="s">
        <v>1763</v>
      </c>
      <c r="AB888" s="136" t="s">
        <v>1418</v>
      </c>
      <c r="AC888" s="251" t="str">
        <f t="shared" si="232"/>
        <v>2000gsm CB VINH SANG</v>
      </c>
      <c r="AD888" s="2746">
        <f>IF(L888&gt;0,IF(input!$B$2=$O$1,(((M888)+(M888)*$M$10)*$P$11)/1000,(((M888)+(M888)*O888+(M888)*$M$10)*$P$11)/1000),0)</f>
        <v>0</v>
      </c>
      <c r="AE888" s="2746">
        <f>IF(L888&gt;0,IF(input!$B$2=$O$1,(((N888)+(N888)*$M$10)*$P$11)/1000,(((N888)+(N888)*O888+(N888)*$M$10)*$P$11)/1000),0)</f>
        <v>0</v>
      </c>
      <c r="AF888" s="136">
        <f t="shared" si="226"/>
        <v>0</v>
      </c>
      <c r="AG888" s="2628">
        <f t="shared" si="233"/>
        <v>0</v>
      </c>
      <c r="AH888" s="1266">
        <v>0.1</v>
      </c>
    </row>
    <row r="889" spans="1:34" ht="12.75">
      <c r="A889" s="2199">
        <f t="shared" si="227"/>
        <v>58</v>
      </c>
      <c r="B889" s="2200" t="s">
        <v>3142</v>
      </c>
      <c r="C889" s="2743">
        <v>15444</v>
      </c>
      <c r="D889" s="2743">
        <v>0</v>
      </c>
      <c r="E889" s="2949">
        <v>0</v>
      </c>
      <c r="F889" s="2200">
        <v>0</v>
      </c>
      <c r="G889" s="2200"/>
      <c r="H889" s="2200"/>
      <c r="I889" s="2742"/>
      <c r="J889" s="2742"/>
      <c r="K889" s="2752">
        <v>0</v>
      </c>
      <c r="L889" s="2745">
        <f t="shared" si="223"/>
        <v>0</v>
      </c>
      <c r="M889" s="2745">
        <f t="shared" si="234"/>
        <v>0</v>
      </c>
      <c r="N889" s="2745">
        <f t="shared" si="224"/>
        <v>0</v>
      </c>
      <c r="O889" s="1232">
        <f t="shared" si="228"/>
        <v>0</v>
      </c>
      <c r="P889" s="1227" t="str">
        <f t="shared" si="235"/>
        <v>CB Vinh Sang 2.94mm</v>
      </c>
      <c r="Q889" s="254">
        <v>2.94</v>
      </c>
      <c r="R889" s="338" t="s">
        <v>3163</v>
      </c>
      <c r="S889" s="2747">
        <f t="shared" si="238"/>
        <v>15444</v>
      </c>
      <c r="T889" s="2747">
        <f>IF(L889&gt;0,IF(input!$B$2=$O$1,(((L889+Y889/22)+(L889+Y889/22)*$AG889+$X889)*$P$11+$M$7)/1000,(((L889+Y889/22)+(L889+Y889/22)*O889+(L889+Y889/22)*$AG889+$X889)*$P$11+$M$7)/1000),0)</f>
        <v>0</v>
      </c>
      <c r="U889" s="2747">
        <f t="shared" si="239"/>
        <v>15138.181818181816</v>
      </c>
      <c r="V889" s="865" t="s">
        <v>1778</v>
      </c>
      <c r="W889" s="1231">
        <f t="shared" si="236"/>
        <v>0</v>
      </c>
      <c r="X889" s="1230">
        <f t="shared" si="231"/>
        <v>0</v>
      </c>
      <c r="Y889" s="2625">
        <f t="shared" si="225"/>
        <v>0</v>
      </c>
      <c r="Z889" s="3208">
        <f t="shared" si="237"/>
        <v>838.18181818181813</v>
      </c>
      <c r="AA889" s="136" t="s">
        <v>1763</v>
      </c>
      <c r="AB889" s="136" t="s">
        <v>1418</v>
      </c>
      <c r="AC889" s="251" t="str">
        <f t="shared" si="232"/>
        <v>2100gsm CB VINH SANG</v>
      </c>
      <c r="AD889" s="2746">
        <f>IF(L889&gt;0,IF(input!$B$2=$O$1,(((M889)+(M889)*$M$10)*$P$11)/1000,(((M889)+(M889)*O889+(M889)*$M$10)*$P$11)/1000),0)</f>
        <v>0</v>
      </c>
      <c r="AE889" s="2746">
        <f>IF(L889&gt;0,IF(input!$B$2=$O$1,(((N889)+(N889)*$M$10)*$P$11)/1000,(((N889)+(N889)*O889+(N889)*$M$10)*$P$11)/1000),0)</f>
        <v>0</v>
      </c>
      <c r="AF889" s="136">
        <f t="shared" si="226"/>
        <v>0</v>
      </c>
      <c r="AG889" s="2628">
        <f t="shared" si="233"/>
        <v>0</v>
      </c>
      <c r="AH889" s="1266">
        <v>0.1</v>
      </c>
    </row>
    <row r="890" spans="1:34" ht="12.75">
      <c r="A890" s="2199">
        <f t="shared" si="227"/>
        <v>59</v>
      </c>
      <c r="B890" s="2200" t="s">
        <v>72</v>
      </c>
      <c r="C890" s="2201">
        <v>0</v>
      </c>
      <c r="D890" s="2201">
        <v>0</v>
      </c>
      <c r="E890" s="2949"/>
      <c r="F890" s="2200"/>
      <c r="G890" s="2200"/>
      <c r="H890" s="2200"/>
      <c r="I890" s="2742"/>
      <c r="J890" s="2742"/>
      <c r="K890" s="2752"/>
      <c r="L890" s="2745">
        <f>Other!G13</f>
        <v>0</v>
      </c>
      <c r="M890" s="2745">
        <f>Other!H13</f>
        <v>0</v>
      </c>
      <c r="N890" s="2745">
        <f>Other!I13</f>
        <v>0</v>
      </c>
      <c r="O890" s="1232">
        <f>Other!J13</f>
        <v>0</v>
      </c>
      <c r="P890" s="1227" t="str">
        <f>AB890&amp;" "&amp;AA890&amp;" "&amp;V890</f>
        <v>CB brand 1 0mm</v>
      </c>
      <c r="Q890" s="254">
        <v>0</v>
      </c>
      <c r="R890" s="338">
        <f>Other!E13</f>
        <v>1</v>
      </c>
      <c r="S890" s="2747">
        <f>Other!O13</f>
        <v>0</v>
      </c>
      <c r="T890" s="2747">
        <f>IF(L890&gt;0,IF(input!$B$2=$O$1,(((L890+Y890/22)+(L890+Y890/22)*$AG890+$X890)*$P$11+$M$7)/1000,(((L890+Y890/22)+(L890+Y890/22)*O890+(L890+Y890/22)*$AG890+$X890)*$P$11+$M$7)/1000),0)</f>
        <v>0</v>
      </c>
      <c r="U890" s="2747">
        <f t="shared" si="239"/>
        <v>0</v>
      </c>
      <c r="V890" s="865" t="str">
        <f>Q890&amp;"mm"</f>
        <v>0mm</v>
      </c>
      <c r="W890" s="1231">
        <f>Other!K13</f>
        <v>0</v>
      </c>
      <c r="X890" s="1230">
        <f t="shared" si="231"/>
        <v>0</v>
      </c>
      <c r="Y890" s="1231">
        <f>Other!L13</f>
        <v>0</v>
      </c>
      <c r="Z890" s="3208">
        <f t="shared" si="237"/>
        <v>838.18181818181813</v>
      </c>
      <c r="AA890" s="136" t="str">
        <f>Other!B13</f>
        <v>brand 1</v>
      </c>
      <c r="AB890" s="136" t="str">
        <f>Other!C13</f>
        <v>CB</v>
      </c>
      <c r="AC890" s="251"/>
      <c r="AD890" s="2746">
        <f>IF(L890&gt;0,IF(input!$B$2=$O$1,(((M890)+(M890)*$M$10)*$P$11)/1000,(((M890)+(M890)*O890+(M890)*$M$10)*$P$11)/1000),0)</f>
        <v>0</v>
      </c>
      <c r="AE890" s="2746">
        <f>IF(L890&gt;0,IF(input!$B$2=$O$1,(((N890)+(N890)*$M$10)*$P$11)/1000,(((N890)+(N890)*O890+(N890)*$M$10)*$P$11)/1000),0)</f>
        <v>0</v>
      </c>
      <c r="AF890" s="136" t="str">
        <f>Other!M13</f>
        <v>None</v>
      </c>
      <c r="AG890" s="2628">
        <f>Other!N13*$M$10/30</f>
        <v>1.2E-2</v>
      </c>
      <c r="AH890" s="1266">
        <v>0.1</v>
      </c>
    </row>
    <row r="891" spans="1:34" ht="12.75">
      <c r="A891" s="2199">
        <f t="shared" si="227"/>
        <v>60</v>
      </c>
      <c r="B891" s="2200" t="s">
        <v>72</v>
      </c>
      <c r="C891" s="2201">
        <v>0</v>
      </c>
      <c r="D891" s="2201">
        <v>0</v>
      </c>
      <c r="E891" s="2949"/>
      <c r="F891" s="2200"/>
      <c r="G891" s="2200"/>
      <c r="H891" s="2200"/>
      <c r="I891" s="2742"/>
      <c r="J891" s="2742"/>
      <c r="K891" s="2752"/>
      <c r="L891" s="2745">
        <f>Other!G14</f>
        <v>0</v>
      </c>
      <c r="M891" s="2745">
        <f>Other!H14</f>
        <v>0</v>
      </c>
      <c r="N891" s="2745">
        <f>Other!I14</f>
        <v>0</v>
      </c>
      <c r="O891" s="1232">
        <f>Other!J14</f>
        <v>0</v>
      </c>
      <c r="P891" s="1227" t="str">
        <f>AB891&amp;" "&amp;AA891&amp;" "&amp;V891</f>
        <v>CB brand 2 0mm</v>
      </c>
      <c r="Q891" s="254">
        <v>0</v>
      </c>
      <c r="R891" s="338">
        <f>Other!E14</f>
        <v>2</v>
      </c>
      <c r="S891" s="2747">
        <f>Other!O14</f>
        <v>0</v>
      </c>
      <c r="T891" s="2747">
        <f>IF(L891&gt;0,IF(input!$B$2=$O$1,(((L891+Y891/22)+(L891+Y891/22)*$AG891+$X891)*$P$11+$M$7)/1000,(((L891+Y891/22)+(L891+Y891/22)*O891+(L891+Y891/22)*$AG891+$X891)*$P$11+$M$7)/1000),0)</f>
        <v>0</v>
      </c>
      <c r="U891" s="2747">
        <f t="shared" si="239"/>
        <v>0</v>
      </c>
      <c r="V891" s="865" t="str">
        <f>Q891&amp;"mm"</f>
        <v>0mm</v>
      </c>
      <c r="W891" s="1231">
        <f>Other!K14</f>
        <v>0</v>
      </c>
      <c r="X891" s="1230">
        <f t="shared" si="231"/>
        <v>0</v>
      </c>
      <c r="Y891" s="1231">
        <f>Other!L14</f>
        <v>0</v>
      </c>
      <c r="Z891" s="3208">
        <f t="shared" si="237"/>
        <v>838.18181818181813</v>
      </c>
      <c r="AA891" s="136" t="str">
        <f>Other!B14</f>
        <v>brand 2</v>
      </c>
      <c r="AB891" s="136" t="str">
        <f>Other!C14</f>
        <v>CB</v>
      </c>
      <c r="AC891" s="251"/>
      <c r="AD891" s="2746">
        <f>IF(L891&gt;0,IF(input!$B$2=$O$1,(((M891)+(M891)*$M$10)*$P$11)/1000,(((M891)+(M891)*O891+(M891)*$M$10)*$P$11)/1000),0)</f>
        <v>0</v>
      </c>
      <c r="AE891" s="2746">
        <f>IF(L891&gt;0,IF(input!$B$2=$O$1,(((N891)+(N891)*$M$10)*$P$11)/1000,(((N891)+(N891)*O891+(N891)*$M$10)*$P$11)/1000),0)</f>
        <v>0</v>
      </c>
      <c r="AF891" s="136" t="str">
        <f>Other!M14</f>
        <v>None</v>
      </c>
      <c r="AG891" s="2628">
        <f>Other!N14*$M$10/30</f>
        <v>1.2E-2</v>
      </c>
      <c r="AH891" s="1266">
        <v>0.1</v>
      </c>
    </row>
    <row r="892" spans="1:34" ht="12.75">
      <c r="A892" s="2199">
        <f t="shared" si="227"/>
        <v>61</v>
      </c>
      <c r="B892" s="2200" t="s">
        <v>72</v>
      </c>
      <c r="C892" s="2201"/>
      <c r="D892" s="2201">
        <v>0</v>
      </c>
      <c r="E892" s="2949"/>
      <c r="F892" s="2200"/>
      <c r="G892" s="2200"/>
      <c r="H892" s="2200"/>
      <c r="I892" s="2742"/>
      <c r="J892" s="2742"/>
      <c r="K892" s="2752"/>
      <c r="L892" s="2745">
        <f>Other!G15</f>
        <v>0</v>
      </c>
      <c r="M892" s="2745">
        <f>Other!H15</f>
        <v>0</v>
      </c>
      <c r="N892" s="2745">
        <f>Other!I15</f>
        <v>0</v>
      </c>
      <c r="O892" s="1232">
        <f>Other!J15</f>
        <v>0</v>
      </c>
      <c r="P892" s="1227" t="str">
        <f>AB892&amp;" "&amp;AA892&amp;" "&amp;V892</f>
        <v>CB brand 3 0mm</v>
      </c>
      <c r="Q892" s="254">
        <v>0</v>
      </c>
      <c r="R892" s="338">
        <f>Other!E15</f>
        <v>3</v>
      </c>
      <c r="S892" s="2747">
        <f>Other!O15</f>
        <v>0</v>
      </c>
      <c r="T892" s="2747">
        <f>IF(L892&gt;0,IF(input!$B$2=$O$1,(((L892+Y892/22)+(L892+Y892/22)*$AG892+$X892)*$P$11+$M$7)/1000,(((L892+Y892/22)+(L892+Y892/22)*O892+(L892+Y892/22)*$AG892+$X892)*$P$11+$M$7)/1000),0)</f>
        <v>0</v>
      </c>
      <c r="U892" s="2747">
        <f t="shared" si="239"/>
        <v>0</v>
      </c>
      <c r="V892" s="865" t="str">
        <f>Q892&amp;"mm"</f>
        <v>0mm</v>
      </c>
      <c r="W892" s="1231">
        <f>Other!K15</f>
        <v>0</v>
      </c>
      <c r="X892" s="1230">
        <f t="shared" si="231"/>
        <v>0</v>
      </c>
      <c r="Y892" s="1231">
        <f>Other!L15</f>
        <v>0</v>
      </c>
      <c r="Z892" s="3208">
        <f t="shared" si="237"/>
        <v>838.18181818181813</v>
      </c>
      <c r="AA892" s="136" t="str">
        <f>Other!B15</f>
        <v>brand 3</v>
      </c>
      <c r="AB892" s="136" t="str">
        <f>Other!C15</f>
        <v>CB</v>
      </c>
      <c r="AC892" s="251"/>
      <c r="AD892" s="2746">
        <f>IF(L892&gt;0,IF(input!$B$2=$O$1,(((M892)+(M892)*$M$10)*$P$11)/1000,(((M892)+(M892)*O892+(M892)*$M$10)*$P$11)/1000),0)</f>
        <v>0</v>
      </c>
      <c r="AE892" s="2746">
        <f>IF(L892&gt;0,IF(input!$B$2=$O$1,(((N892)+(N892)*$M$10)*$P$11)/1000,(((N892)+(N892)*O892+(N892)*$M$10)*$P$11)/1000),0)</f>
        <v>0</v>
      </c>
      <c r="AF892" s="136" t="str">
        <f>Other!M15</f>
        <v>None</v>
      </c>
      <c r="AG892" s="2628">
        <f>Other!N15*$M$10/30</f>
        <v>1.2E-2</v>
      </c>
      <c r="AH892" s="1266">
        <v>0.1</v>
      </c>
    </row>
    <row r="893" spans="1:34" ht="12.75">
      <c r="A893" s="2199">
        <f t="shared" si="227"/>
        <v>62</v>
      </c>
      <c r="B893" s="2200" t="s">
        <v>72</v>
      </c>
      <c r="C893" s="2201"/>
      <c r="D893" s="2201">
        <v>0</v>
      </c>
      <c r="E893" s="2949"/>
      <c r="F893" s="2200"/>
      <c r="G893" s="2200"/>
      <c r="H893" s="2200"/>
      <c r="I893" s="2742"/>
      <c r="J893" s="2742"/>
      <c r="K893" s="2752"/>
      <c r="L893" s="2745">
        <f>Other!G16</f>
        <v>0</v>
      </c>
      <c r="M893" s="2745">
        <f>Other!H16</f>
        <v>0</v>
      </c>
      <c r="N893" s="2745">
        <f>Other!I16</f>
        <v>0</v>
      </c>
      <c r="O893" s="1232">
        <f>Other!J16</f>
        <v>0</v>
      </c>
      <c r="P893" s="1227" t="str">
        <f>AB893&amp;" "&amp;AA893&amp;" "&amp;V893</f>
        <v>CB brand 4 0mm</v>
      </c>
      <c r="Q893" s="254">
        <v>0</v>
      </c>
      <c r="R893" s="338">
        <f>Other!E16</f>
        <v>4</v>
      </c>
      <c r="S893" s="2747">
        <f>Other!O16</f>
        <v>0</v>
      </c>
      <c r="T893" s="2747">
        <f>IF(L893&gt;0,IF(input!$B$2=$O$1,(((L893+Y893/22)+(L893+Y893/22)*$AG893+$X893)*$P$11+$M$7)/1000,(((L893+Y893/22)+(L893+Y893/22)*O893+(L893+Y893/22)*$AG893+$X893)*$P$11+$M$7)/1000),0)</f>
        <v>0</v>
      </c>
      <c r="U893" s="2747">
        <f t="shared" si="239"/>
        <v>0</v>
      </c>
      <c r="V893" s="865" t="str">
        <f>Q893&amp;"mm"</f>
        <v>0mm</v>
      </c>
      <c r="W893" s="1231">
        <f>Other!K16</f>
        <v>0</v>
      </c>
      <c r="X893" s="1230">
        <f t="shared" si="231"/>
        <v>0</v>
      </c>
      <c r="Y893" s="1231">
        <f>Other!L16</f>
        <v>0</v>
      </c>
      <c r="Z893" s="3208">
        <f t="shared" si="237"/>
        <v>838.18181818181813</v>
      </c>
      <c r="AA893" s="136" t="str">
        <f>Other!B16</f>
        <v>brand 4</v>
      </c>
      <c r="AB893" s="136" t="str">
        <f>Other!C16</f>
        <v>CB</v>
      </c>
      <c r="AC893" s="251"/>
      <c r="AD893" s="2746">
        <f>IF(L893&gt;0,IF(input!$B$2=$O$1,(((M893)+(M893)*$M$10)*$P$11)/1000,(((M893)+(M893)*O893+(M893)*$M$10)*$P$11)/1000),0)</f>
        <v>0</v>
      </c>
      <c r="AE893" s="2746">
        <f>IF(L893&gt;0,IF(input!$B$2=$O$1,(((N893)+(N893)*$M$10)*$P$11)/1000,(((N893)+(N893)*O893+(N893)*$M$10)*$P$11)/1000),0)</f>
        <v>0</v>
      </c>
      <c r="AF893" s="136" t="str">
        <f>Other!M16</f>
        <v>None</v>
      </c>
      <c r="AG893" s="2628">
        <f>Other!N16*$M$10/30</f>
        <v>1.2E-2</v>
      </c>
      <c r="AH893" s="1266">
        <v>0.1</v>
      </c>
    </row>
    <row r="894" spans="1:34" ht="12.75">
      <c r="A894" s="2199">
        <f t="shared" si="227"/>
        <v>63</v>
      </c>
      <c r="B894" s="2200" t="s">
        <v>72</v>
      </c>
      <c r="C894" s="2201"/>
      <c r="D894" s="2201">
        <v>0</v>
      </c>
      <c r="E894" s="2949"/>
      <c r="F894" s="2200"/>
      <c r="G894" s="2200"/>
      <c r="H894" s="2200"/>
      <c r="I894" s="2742"/>
      <c r="J894" s="2742"/>
      <c r="K894" s="2752"/>
      <c r="L894" s="2745">
        <f>Other!G17</f>
        <v>0</v>
      </c>
      <c r="M894" s="2745">
        <f>Other!H17</f>
        <v>0</v>
      </c>
      <c r="N894" s="2745">
        <f>Other!I17</f>
        <v>0</v>
      </c>
      <c r="O894" s="1232">
        <f>Other!J17</f>
        <v>0</v>
      </c>
      <c r="P894" s="1227" t="str">
        <f>AB894&amp;" "&amp;AA894&amp;" "&amp;V894</f>
        <v>CB brand 5 0mm</v>
      </c>
      <c r="Q894" s="254">
        <v>0</v>
      </c>
      <c r="R894" s="338">
        <f>Other!E17</f>
        <v>5</v>
      </c>
      <c r="S894" s="2747">
        <f>Other!O17</f>
        <v>0</v>
      </c>
      <c r="T894" s="2747">
        <f>IF(L894&gt;0,IF(input!$B$2=$O$1,(((L894+Y894/22)+(L894+Y894/22)*$AG894+$X894)*$P$11+$M$7)/1000,(((L894+Y894/22)+(L894+Y894/22)*O894+(L894+Y894/22)*$AG894+$X894)*$P$11+$M$7)/1000),0)</f>
        <v>0</v>
      </c>
      <c r="U894" s="2747">
        <f t="shared" si="239"/>
        <v>0</v>
      </c>
      <c r="V894" s="865" t="str">
        <f>Q894&amp;"mm"</f>
        <v>0mm</v>
      </c>
      <c r="W894" s="1231">
        <f>Other!K17</f>
        <v>0</v>
      </c>
      <c r="X894" s="1230">
        <f t="shared" si="231"/>
        <v>0</v>
      </c>
      <c r="Y894" s="1231">
        <f>Other!L17</f>
        <v>0</v>
      </c>
      <c r="Z894" s="3208">
        <f t="shared" si="237"/>
        <v>838.18181818181813</v>
      </c>
      <c r="AA894" s="136" t="str">
        <f>Other!B17</f>
        <v>brand 5</v>
      </c>
      <c r="AB894" s="136" t="str">
        <f>Other!C17</f>
        <v>CB</v>
      </c>
      <c r="AC894" s="251"/>
      <c r="AD894" s="2746">
        <f>IF(L894&gt;0,IF(input!$B$2=$O$1,(((M894)+(M894)*$M$10)*$P$11)/1000,(((M894)+(M894)*O894+(M894)*$M$10)*$P$11)/1000),0)</f>
        <v>0</v>
      </c>
      <c r="AE894" s="2746">
        <f>IF(L894&gt;0,IF(input!$B$2=$O$1,(((N894)+(N894)*$M$10)*$P$11)/1000,(((N894)+(N894)*O894+(N894)*$M$10)*$P$11)/1000),0)</f>
        <v>0</v>
      </c>
      <c r="AF894" s="136" t="str">
        <f>Other!M17</f>
        <v>None</v>
      </c>
      <c r="AG894" s="2628">
        <f>Other!N17*$M$10/30</f>
        <v>1.2E-2</v>
      </c>
      <c r="AH894" s="1266">
        <v>0.1</v>
      </c>
    </row>
    <row r="895" spans="1:34" ht="12.75">
      <c r="A895" s="2757"/>
      <c r="B895" s="2757"/>
      <c r="C895" s="2197"/>
      <c r="D895" s="2757"/>
      <c r="E895" s="2966"/>
      <c r="F895" s="2758"/>
      <c r="G895" s="2759"/>
      <c r="H895" s="2760"/>
      <c r="I895" s="2760"/>
      <c r="J895" s="2760"/>
      <c r="K895" s="2617"/>
      <c r="L895" s="262"/>
      <c r="M895" s="262"/>
      <c r="N895" s="262"/>
      <c r="O895" s="262"/>
      <c r="P895" s="262"/>
      <c r="Q895" s="262"/>
      <c r="R895" s="262"/>
      <c r="V895" s="262"/>
      <c r="W895" s="262"/>
      <c r="X895" s="251"/>
      <c r="Y895" s="285"/>
    </row>
    <row r="896" spans="1:34" ht="12.75">
      <c r="A896" s="2757"/>
      <c r="B896" s="2757"/>
      <c r="C896" s="2197"/>
      <c r="D896" s="2757"/>
      <c r="E896" s="2966"/>
      <c r="F896" s="2758"/>
      <c r="G896" s="2759"/>
      <c r="H896" s="2760"/>
      <c r="I896" s="2760"/>
      <c r="J896" s="2760"/>
      <c r="K896" s="2617"/>
      <c r="L896" s="262"/>
      <c r="M896" s="262"/>
      <c r="N896" s="262"/>
      <c r="O896" s="262"/>
      <c r="P896" s="262"/>
      <c r="Q896" s="262"/>
      <c r="R896" s="262"/>
      <c r="V896" s="262"/>
      <c r="W896" s="262"/>
      <c r="X896" s="251"/>
      <c r="Y896" s="285"/>
    </row>
    <row r="897" spans="1:25" ht="12.75">
      <c r="A897" s="2757"/>
      <c r="B897" s="2757"/>
      <c r="C897" s="2197"/>
      <c r="D897" s="2757"/>
      <c r="E897" s="2966"/>
      <c r="F897" s="2758"/>
      <c r="G897" s="2759"/>
      <c r="H897" s="2760"/>
      <c r="I897" s="2760"/>
      <c r="J897" s="2760"/>
      <c r="K897" s="2617"/>
      <c r="L897" s="262"/>
      <c r="M897" s="262"/>
      <c r="N897" s="262"/>
      <c r="O897" s="262"/>
      <c r="P897" s="262"/>
      <c r="Q897" s="262"/>
      <c r="R897" s="262"/>
      <c r="V897" s="262"/>
      <c r="W897" s="262"/>
      <c r="X897" s="251"/>
      <c r="Y897" s="285"/>
    </row>
    <row r="898" spans="1:25" ht="12.75">
      <c r="A898" s="2757"/>
      <c r="B898" s="2757"/>
      <c r="C898" s="2197"/>
      <c r="D898" s="2757"/>
      <c r="E898" s="2966"/>
      <c r="F898" s="2758"/>
      <c r="G898" s="2759"/>
      <c r="H898" s="2760"/>
      <c r="I898" s="2760"/>
      <c r="J898" s="2760"/>
      <c r="K898" s="2617"/>
      <c r="L898" s="262"/>
      <c r="M898" s="262"/>
      <c r="N898" s="262"/>
      <c r="O898" s="262"/>
      <c r="P898" s="262"/>
      <c r="Q898" s="262"/>
      <c r="R898" s="262"/>
      <c r="V898" s="262"/>
      <c r="W898" s="262"/>
      <c r="X898" s="251"/>
      <c r="Y898" s="285"/>
    </row>
    <row r="899" spans="1:25" ht="12.75">
      <c r="A899" s="2757"/>
      <c r="B899" s="2757"/>
      <c r="C899" s="2197"/>
      <c r="D899" s="2757"/>
      <c r="E899" s="2966"/>
      <c r="F899" s="2758"/>
      <c r="G899" s="2759"/>
      <c r="H899" s="2760"/>
      <c r="I899" s="2760"/>
      <c r="J899" s="2760"/>
      <c r="K899" s="2617"/>
      <c r="L899" s="262"/>
      <c r="M899" s="262"/>
      <c r="N899" s="262"/>
      <c r="O899" s="262"/>
      <c r="P899" s="262"/>
      <c r="Q899" s="262"/>
      <c r="R899" s="262"/>
      <c r="V899" s="262"/>
      <c r="W899" s="262"/>
      <c r="X899" s="251"/>
      <c r="Y899" s="285"/>
    </row>
    <row r="900" spans="1:25" ht="12.75">
      <c r="A900" s="2757"/>
      <c r="B900" s="2757"/>
      <c r="C900" s="2197"/>
      <c r="D900" s="2757"/>
      <c r="E900" s="2966"/>
      <c r="F900" s="2758"/>
      <c r="G900" s="2759"/>
      <c r="H900" s="2760"/>
      <c r="I900" s="2760"/>
      <c r="J900" s="2760"/>
      <c r="K900" s="2617"/>
      <c r="L900" s="262"/>
      <c r="M900" s="262"/>
      <c r="N900" s="262"/>
      <c r="O900" s="262"/>
      <c r="P900" s="262"/>
      <c r="Q900" s="262"/>
      <c r="R900" s="262"/>
      <c r="V900" s="262"/>
      <c r="W900" s="262"/>
      <c r="X900" s="251"/>
      <c r="Y900" s="285"/>
    </row>
    <row r="901" spans="1:25" ht="12.75">
      <c r="A901" s="2757"/>
      <c r="B901" s="2757"/>
      <c r="C901" s="2197"/>
      <c r="D901" s="2757"/>
      <c r="E901" s="2966"/>
      <c r="F901" s="2758"/>
      <c r="G901" s="2759"/>
      <c r="H901" s="2760"/>
      <c r="I901" s="2760"/>
      <c r="J901" s="2760"/>
      <c r="K901" s="2617"/>
      <c r="P901" s="262"/>
      <c r="Q901" s="262"/>
      <c r="R901" s="262"/>
      <c r="V901" s="262"/>
      <c r="W901" s="262"/>
      <c r="X901" s="251"/>
      <c r="Y901" s="285"/>
    </row>
    <row r="902" spans="1:25" ht="12.75">
      <c r="A902" s="2757"/>
      <c r="B902" s="2757"/>
      <c r="C902" s="2197"/>
      <c r="D902" s="2757"/>
      <c r="E902" s="2966"/>
      <c r="F902" s="2758"/>
      <c r="G902" s="2759"/>
      <c r="H902" s="2760"/>
      <c r="I902" s="2760"/>
      <c r="J902" s="2760"/>
      <c r="K902" s="2617"/>
      <c r="P902" s="262"/>
      <c r="Q902" s="262"/>
      <c r="R902" s="262"/>
      <c r="V902" s="262"/>
      <c r="W902" s="262"/>
      <c r="X902" s="251"/>
      <c r="Y902" s="285"/>
    </row>
    <row r="903" spans="1:25" ht="12.75">
      <c r="A903" s="2757"/>
      <c r="B903" s="2757"/>
      <c r="C903" s="2197"/>
      <c r="D903" s="2757"/>
      <c r="E903" s="2966"/>
      <c r="F903" s="2758"/>
      <c r="G903" s="2759"/>
      <c r="H903" s="2760"/>
      <c r="I903" s="2760"/>
      <c r="J903" s="2760"/>
      <c r="K903" s="2617"/>
      <c r="P903" s="262"/>
      <c r="Q903" s="262"/>
      <c r="R903" s="262"/>
      <c r="V903" s="262"/>
      <c r="W903" s="262"/>
      <c r="X903" s="251"/>
      <c r="Y903" s="285"/>
    </row>
    <row r="904" spans="1:25" ht="12.75">
      <c r="A904" s="2757"/>
      <c r="B904" s="2757"/>
      <c r="C904" s="2197"/>
      <c r="D904" s="2757"/>
      <c r="E904" s="2966"/>
      <c r="F904" s="2758"/>
      <c r="G904" s="2759"/>
      <c r="H904" s="2760"/>
      <c r="I904" s="2760"/>
      <c r="J904" s="2760"/>
      <c r="K904" s="2617"/>
      <c r="P904" s="262"/>
      <c r="Q904" s="251"/>
      <c r="R904" s="251"/>
      <c r="S904" s="251"/>
      <c r="V904" s="262"/>
      <c r="X904" s="251"/>
      <c r="Y904" s="285"/>
    </row>
    <row r="905" spans="1:25" ht="12.75">
      <c r="A905" s="2757"/>
      <c r="B905" s="2757"/>
      <c r="C905" s="2197"/>
      <c r="D905" s="2757"/>
      <c r="E905" s="2966"/>
      <c r="F905" s="2758"/>
      <c r="G905" s="2759"/>
      <c r="H905" s="2760"/>
      <c r="I905" s="2760"/>
      <c r="J905" s="2760"/>
      <c r="K905" s="2617"/>
      <c r="P905" s="262"/>
      <c r="Q905" s="281"/>
      <c r="R905" s="251"/>
      <c r="S905" s="281"/>
      <c r="X905" s="251"/>
      <c r="Y905" s="285"/>
    </row>
    <row r="906" spans="1:25" ht="12.75">
      <c r="A906" s="2757"/>
      <c r="B906" s="2757"/>
      <c r="C906" s="2197"/>
      <c r="D906" s="2757"/>
      <c r="E906" s="2966"/>
      <c r="F906" s="2758"/>
      <c r="G906" s="2759"/>
      <c r="H906" s="2760"/>
      <c r="I906" s="2760"/>
      <c r="J906" s="2760"/>
      <c r="K906" s="2617"/>
      <c r="P906" s="262"/>
      <c r="Q906" s="282"/>
      <c r="R906" s="251"/>
      <c r="S906" s="276"/>
      <c r="X906" s="251"/>
      <c r="Y906" s="285"/>
    </row>
    <row r="907" spans="1:25" ht="12.75">
      <c r="A907" s="2757"/>
      <c r="B907" s="2757"/>
      <c r="C907" s="2197"/>
      <c r="D907" s="2757"/>
      <c r="E907" s="2966"/>
      <c r="F907" s="2758"/>
      <c r="G907" s="2759"/>
      <c r="H907" s="2760"/>
      <c r="I907" s="2760"/>
      <c r="J907" s="2760"/>
      <c r="K907" s="2617"/>
      <c r="P907" s="262"/>
      <c r="Q907" s="283"/>
      <c r="R907" s="251"/>
      <c r="S907" s="278"/>
      <c r="X907" s="251"/>
      <c r="Y907" s="285"/>
    </row>
    <row r="908" spans="1:25" ht="12.75">
      <c r="A908" s="2757"/>
      <c r="B908" s="2757"/>
      <c r="C908" s="2197"/>
      <c r="D908" s="2757"/>
      <c r="E908" s="2966"/>
      <c r="F908" s="2758"/>
      <c r="G908" s="2759"/>
      <c r="H908" s="2760"/>
      <c r="I908" s="2760"/>
      <c r="J908" s="2760"/>
      <c r="K908" s="2617"/>
      <c r="P908" s="2626"/>
      <c r="Q908" s="282"/>
      <c r="R908" s="251"/>
      <c r="S908" s="2627"/>
      <c r="X908" s="251"/>
      <c r="Y908" s="285"/>
    </row>
    <row r="909" spans="1:25" ht="12.75">
      <c r="A909" s="2757"/>
      <c r="B909" s="2757"/>
      <c r="C909" s="2197"/>
      <c r="D909" s="2757"/>
      <c r="E909" s="2966"/>
      <c r="F909" s="2758"/>
      <c r="G909" s="2759"/>
      <c r="H909" s="2760"/>
      <c r="I909" s="2760"/>
      <c r="J909" s="2760"/>
      <c r="K909" s="2617"/>
      <c r="L909" s="278"/>
      <c r="M909" s="278"/>
      <c r="N909" s="278"/>
      <c r="O909" s="278"/>
      <c r="P909" s="2626"/>
      <c r="Q909" s="282"/>
      <c r="R909" s="251"/>
      <c r="S909" s="2627"/>
      <c r="X909" s="251"/>
      <c r="Y909" s="285"/>
    </row>
    <row r="910" spans="1:25" ht="12.75">
      <c r="A910" s="284" t="s">
        <v>1280</v>
      </c>
      <c r="B910" s="1582"/>
      <c r="C910" s="1582"/>
      <c r="D910" s="1582"/>
      <c r="E910" s="1582"/>
      <c r="F910" s="1582"/>
      <c r="G910" s="1582"/>
      <c r="H910" s="1582"/>
      <c r="I910" s="1582"/>
      <c r="J910" s="1582"/>
      <c r="K910" s="1582"/>
      <c r="L910" s="2659"/>
      <c r="M910" s="2659"/>
      <c r="N910" s="2660"/>
      <c r="O910" s="2660"/>
      <c r="P910" s="2299"/>
      <c r="Q910" s="2661"/>
      <c r="R910" s="1582"/>
    </row>
    <row r="911" spans="1:25" ht="15.75" customHeight="1">
      <c r="A911" s="2227" t="s">
        <v>234</v>
      </c>
      <c r="B911" s="2227"/>
      <c r="C911" s="2204" t="s">
        <v>235</v>
      </c>
      <c r="D911" s="2204" t="s">
        <v>236</v>
      </c>
      <c r="E911" s="2204" t="s">
        <v>3480</v>
      </c>
      <c r="F911" s="3409" t="s">
        <v>716</v>
      </c>
      <c r="G911" s="2227" t="s">
        <v>2254</v>
      </c>
      <c r="H911" s="2227" t="s">
        <v>2253</v>
      </c>
      <c r="I911" s="2227" t="s">
        <v>2879</v>
      </c>
      <c r="J911" s="2227" t="s">
        <v>2874</v>
      </c>
      <c r="K911" s="1582"/>
      <c r="L911" s="1235" t="s">
        <v>234</v>
      </c>
      <c r="M911" s="1236"/>
      <c r="N911" s="1237" t="s">
        <v>235</v>
      </c>
      <c r="O911" s="1237" t="s">
        <v>236</v>
      </c>
      <c r="P911" s="1238" t="s">
        <v>1898</v>
      </c>
      <c r="Q911" s="286" t="s">
        <v>1120</v>
      </c>
      <c r="S911" s="287"/>
      <c r="T911" s="251"/>
      <c r="U911" s="288"/>
      <c r="V911" s="288"/>
      <c r="W911" s="288"/>
    </row>
    <row r="912" spans="1:25" ht="15.75" customHeight="1">
      <c r="A912" s="2200" t="s">
        <v>127</v>
      </c>
      <c r="B912" s="2205"/>
      <c r="C912" s="2761"/>
      <c r="D912" s="2207"/>
      <c r="E912" s="2208"/>
      <c r="F912" s="3625"/>
      <c r="G912" s="2200"/>
      <c r="H912" s="2200"/>
      <c r="I912" s="136"/>
      <c r="J912" s="136"/>
      <c r="K912" s="1582"/>
      <c r="L912" s="1239" t="str">
        <f t="shared" ref="L912:P915" si="240">A912</f>
        <v>None</v>
      </c>
      <c r="M912" s="1245"/>
      <c r="N912" s="2219">
        <f t="shared" si="240"/>
        <v>0</v>
      </c>
      <c r="O912" s="1240">
        <f t="shared" si="240"/>
        <v>0</v>
      </c>
      <c r="P912" s="1241">
        <f t="shared" si="240"/>
        <v>0</v>
      </c>
      <c r="Q912" s="290"/>
      <c r="S912" s="287"/>
      <c r="T912" s="291"/>
      <c r="U912" s="292"/>
      <c r="V912" s="293"/>
      <c r="W912" s="292"/>
    </row>
    <row r="913" spans="1:23" ht="15.75" customHeight="1">
      <c r="A913" s="2211" t="s">
        <v>2255</v>
      </c>
      <c r="B913" s="2209" t="s">
        <v>597</v>
      </c>
      <c r="C913" s="2761" t="s">
        <v>606</v>
      </c>
      <c r="D913" s="3123">
        <v>836740</v>
      </c>
      <c r="E913" s="2208">
        <f>+F913/10^9*10000</f>
        <v>2.2392934833707206E-6</v>
      </c>
      <c r="F913" s="3625">
        <v>0.22392934833707206</v>
      </c>
      <c r="G913" s="2200"/>
      <c r="H913" s="2200"/>
      <c r="I913" s="136"/>
      <c r="J913" s="136"/>
      <c r="K913" s="1582"/>
      <c r="L913" s="1242" t="str">
        <f t="shared" si="240"/>
        <v>UV Anchor Varnish A</v>
      </c>
      <c r="M913" s="1243" t="str">
        <f t="shared" si="240"/>
        <v>Primer</v>
      </c>
      <c r="N913" s="2219" t="str">
        <f t="shared" si="240"/>
        <v>Toyo Ink</v>
      </c>
      <c r="O913" s="1240">
        <f t="shared" si="240"/>
        <v>836740</v>
      </c>
      <c r="P913" s="1241">
        <f t="shared" si="240"/>
        <v>2.2392934833707206E-6</v>
      </c>
      <c r="Q913" s="1842">
        <f>0.15/10^9*10000</f>
        <v>1.5E-6</v>
      </c>
      <c r="R913" s="319" t="s">
        <v>1905</v>
      </c>
      <c r="S913" s="287"/>
      <c r="T913" s="291"/>
      <c r="U913" s="292"/>
      <c r="V913" s="293"/>
      <c r="W913" s="292"/>
    </row>
    <row r="914" spans="1:23" ht="15.75" customHeight="1">
      <c r="A914" s="2200" t="s">
        <v>1890</v>
      </c>
      <c r="B914" s="2209"/>
      <c r="C914" s="2761" t="s">
        <v>1121</v>
      </c>
      <c r="D914" s="3123"/>
      <c r="E914" s="2208"/>
      <c r="F914" s="3625"/>
      <c r="G914" s="2200"/>
      <c r="H914" s="2200"/>
      <c r="I914" s="136"/>
      <c r="J914" s="136"/>
      <c r="K914" s="1582"/>
      <c r="L914" s="1242" t="str">
        <f t="shared" si="240"/>
        <v>LW-8</v>
      </c>
      <c r="M914" s="1243"/>
      <c r="N914" s="2219" t="str">
        <f t="shared" si="240"/>
        <v>CTY TNHH F VA F</v>
      </c>
      <c r="O914" s="1240">
        <f t="shared" si="240"/>
        <v>0</v>
      </c>
      <c r="P914" s="1241">
        <f t="shared" si="240"/>
        <v>0</v>
      </c>
      <c r="Q914" s="289"/>
      <c r="S914" s="287"/>
      <c r="T914" s="291"/>
      <c r="U914" s="292"/>
      <c r="V914" s="293"/>
      <c r="W914" s="292"/>
    </row>
    <row r="915" spans="1:23" ht="15.75" customHeight="1">
      <c r="A915" s="2200" t="s">
        <v>959</v>
      </c>
      <c r="B915" s="2209"/>
      <c r="C915" s="2761" t="s">
        <v>1121</v>
      </c>
      <c r="D915" s="3123">
        <v>162800</v>
      </c>
      <c r="E915" s="2208">
        <f>+F915/10^9*10000</f>
        <v>4.9687604213599483E-5</v>
      </c>
      <c r="F915" s="3625">
        <v>4.9687604213599483</v>
      </c>
      <c r="G915" s="2200"/>
      <c r="H915" s="2200"/>
      <c r="I915" s="136"/>
      <c r="J915" s="136"/>
      <c r="K915" s="1582"/>
      <c r="L915" s="1242" t="str">
        <f t="shared" si="240"/>
        <v>Blister Johncry HSL-9013</v>
      </c>
      <c r="M915" s="1243"/>
      <c r="N915" s="2219" t="str">
        <f t="shared" si="240"/>
        <v>CTY TNHH F VA F</v>
      </c>
      <c r="O915" s="1240">
        <f t="shared" si="240"/>
        <v>162800</v>
      </c>
      <c r="P915" s="1241">
        <f t="shared" si="240"/>
        <v>4.9687604213599483E-5</v>
      </c>
      <c r="Q915" s="1842">
        <f>5.4/10^9*10000</f>
        <v>5.4000000000000005E-5</v>
      </c>
      <c r="S915" s="287"/>
      <c r="T915" s="291"/>
      <c r="U915" s="292"/>
      <c r="V915" s="293"/>
      <c r="W915" s="292"/>
    </row>
    <row r="916" spans="1:23" ht="15.75" customHeight="1">
      <c r="A916" s="2200" t="s">
        <v>967</v>
      </c>
      <c r="B916" s="2209"/>
      <c r="C916" s="2761" t="s">
        <v>1122</v>
      </c>
      <c r="D916" s="2658">
        <v>23.5</v>
      </c>
      <c r="E916" s="2208">
        <f>+F916/10^9*10000</f>
        <v>1.8635339176019146E-5</v>
      </c>
      <c r="F916" s="3625">
        <v>1.8635339176019148</v>
      </c>
      <c r="G916" s="2435">
        <v>0.1</v>
      </c>
      <c r="H916" s="2200"/>
      <c r="I916" s="136">
        <f>264+82</f>
        <v>346</v>
      </c>
      <c r="J916" s="2763">
        <v>816</v>
      </c>
      <c r="K916" s="1582" t="s">
        <v>3006</v>
      </c>
      <c r="L916" s="1242" t="str">
        <f t="shared" ref="L916:L925" si="241">A916</f>
        <v>TK 100 Lanxess</v>
      </c>
      <c r="M916" s="1243"/>
      <c r="N916" s="2219" t="str">
        <f t="shared" ref="N916:N925" si="242">C916</f>
        <v>Lanxess</v>
      </c>
      <c r="O916" s="1240">
        <f>$D916*$P$10*(1+$G916)+SUM($H916:$I916)/$J916*$P$10+1820</f>
        <v>623726.04411764711</v>
      </c>
      <c r="P916" s="1241">
        <f t="shared" ref="P916:P925" si="243">E916</f>
        <v>1.8635339176019146E-5</v>
      </c>
      <c r="Q916" s="1842">
        <f>2.3/10^9*10000</f>
        <v>2.3E-5</v>
      </c>
      <c r="R916" s="319"/>
      <c r="S916" s="287"/>
      <c r="T916" s="291"/>
      <c r="U916" s="292"/>
      <c r="V916" s="293"/>
      <c r="W916" s="292"/>
    </row>
    <row r="917" spans="1:23" ht="15.75" customHeight="1">
      <c r="A917" s="2210" t="s">
        <v>1895</v>
      </c>
      <c r="B917" s="2209"/>
      <c r="C917" s="2211" t="s">
        <v>1896</v>
      </c>
      <c r="D917" s="2658">
        <v>12.5</v>
      </c>
      <c r="E917" s="2762"/>
      <c r="F917" s="3625"/>
      <c r="G917" s="2435">
        <v>0.1</v>
      </c>
      <c r="H917" s="2200"/>
      <c r="I917" s="136">
        <f>203+82</f>
        <v>285</v>
      </c>
      <c r="J917" s="2763">
        <v>800</v>
      </c>
      <c r="K917" s="1582" t="s">
        <v>3006</v>
      </c>
      <c r="L917" s="1242" t="str">
        <f t="shared" si="241"/>
        <v>UV Lụa UVM-207</v>
      </c>
      <c r="M917" s="1243"/>
      <c r="N917" s="2219" t="str">
        <f t="shared" si="242"/>
        <v>HERMESCREEN</v>
      </c>
      <c r="O917" s="1240">
        <f>$D917*$P$10*(1+$G917)+SUM($H917:$I917)/$J917*$P$10</f>
        <v>333894.9375</v>
      </c>
      <c r="P917" s="1241">
        <f t="shared" si="243"/>
        <v>0</v>
      </c>
      <c r="Q917" s="294"/>
      <c r="S917" s="287"/>
      <c r="T917" s="291"/>
      <c r="U917" s="292"/>
      <c r="V917" s="293"/>
      <c r="W917" s="292"/>
    </row>
    <row r="918" spans="1:23" ht="15.75" customHeight="1">
      <c r="A918" s="2210" t="s">
        <v>1897</v>
      </c>
      <c r="B918" s="2209"/>
      <c r="C918" s="2211" t="s">
        <v>1126</v>
      </c>
      <c r="D918" s="2658">
        <v>5.3</v>
      </c>
      <c r="E918" s="2208">
        <f>+F918/10^9*10000</f>
        <v>2.9293249322908922E-5</v>
      </c>
      <c r="F918" s="3625">
        <v>2.9293249322908923</v>
      </c>
      <c r="G918" s="2435">
        <v>0.1</v>
      </c>
      <c r="H918" s="2201">
        <f>40*3</f>
        <v>120</v>
      </c>
      <c r="I918" s="136">
        <f>240+82</f>
        <v>322</v>
      </c>
      <c r="J918" s="2763">
        <v>500</v>
      </c>
      <c r="K918" s="1582" t="s">
        <v>2957</v>
      </c>
      <c r="L918" s="1242" t="str">
        <f t="shared" si="241"/>
        <v>ETERCURE 6671GNB</v>
      </c>
      <c r="M918" s="1243"/>
      <c r="N918" s="2219" t="str">
        <f t="shared" si="242"/>
        <v>ETERNAL MATERIAL TAIWAN</v>
      </c>
      <c r="O918" s="1240">
        <f>$D918*$P$10*(1+$G918)+SUM($H918:$I918)/$J918*$P$10</f>
        <v>158920.38</v>
      </c>
      <c r="P918" s="1241">
        <f t="shared" si="243"/>
        <v>2.9293249322908922E-5</v>
      </c>
      <c r="Q918" s="294"/>
      <c r="S918" s="287"/>
      <c r="T918" s="291"/>
      <c r="U918" s="292"/>
      <c r="V918" s="293"/>
      <c r="W918" s="292"/>
    </row>
    <row r="919" spans="1:23" ht="15.75" customHeight="1">
      <c r="A919" s="2200" t="s">
        <v>1894</v>
      </c>
      <c r="B919" s="2213"/>
      <c r="C919" s="2211" t="s">
        <v>1125</v>
      </c>
      <c r="D919" s="2207">
        <v>74000</v>
      </c>
      <c r="E919" s="2212"/>
      <c r="F919" s="3625"/>
      <c r="G919" s="2200"/>
      <c r="H919" s="2201"/>
      <c r="I919" s="136"/>
      <c r="J919" s="136"/>
      <c r="K919" s="1582"/>
      <c r="L919" s="1242" t="str">
        <f t="shared" si="241"/>
        <v>OPV-CX0180 Water Base</v>
      </c>
      <c r="M919" s="1243"/>
      <c r="N919" s="2219" t="str">
        <f t="shared" si="242"/>
        <v>Minh Long</v>
      </c>
      <c r="O919" s="1240">
        <f t="shared" ref="O919:O925" si="244">D919</f>
        <v>74000</v>
      </c>
      <c r="P919" s="1241">
        <f t="shared" si="243"/>
        <v>0</v>
      </c>
      <c r="Q919" s="294"/>
      <c r="S919" s="287"/>
      <c r="T919" s="291"/>
      <c r="U919" s="292"/>
      <c r="V919" s="293"/>
      <c r="W919" s="292"/>
    </row>
    <row r="920" spans="1:23" ht="15.75" customHeight="1">
      <c r="A920" s="2200" t="s">
        <v>1893</v>
      </c>
      <c r="B920" s="2209"/>
      <c r="C920" s="2211" t="s">
        <v>1125</v>
      </c>
      <c r="D920" s="2207">
        <v>105000</v>
      </c>
      <c r="E920" s="2208"/>
      <c r="F920" s="3625"/>
      <c r="G920" s="2200"/>
      <c r="H920" s="2201"/>
      <c r="I920" s="136"/>
      <c r="J920" s="136"/>
      <c r="K920" s="1582"/>
      <c r="L920" s="1242" t="str">
        <f t="shared" si="241"/>
        <v>OPV-CX0173 Water Base</v>
      </c>
      <c r="M920" s="1243"/>
      <c r="N920" s="2219" t="str">
        <f t="shared" si="242"/>
        <v>Minh Long</v>
      </c>
      <c r="O920" s="1240">
        <f t="shared" si="244"/>
        <v>105000</v>
      </c>
      <c r="P920" s="1241">
        <f t="shared" si="243"/>
        <v>0</v>
      </c>
      <c r="Q920" s="289"/>
      <c r="S920" s="287"/>
      <c r="T920" s="291"/>
      <c r="U920" s="295"/>
      <c r="V920" s="295"/>
      <c r="W920" s="295"/>
    </row>
    <row r="921" spans="1:23" ht="15.75" customHeight="1">
      <c r="A921" s="2200" t="s">
        <v>1891</v>
      </c>
      <c r="B921" s="2209"/>
      <c r="C921" s="2211" t="s">
        <v>1125</v>
      </c>
      <c r="D921" s="2207">
        <v>117000</v>
      </c>
      <c r="E921" s="2208">
        <f>+F921/10^9*10000</f>
        <v>4.6490566761302837E-5</v>
      </c>
      <c r="F921" s="3625">
        <v>4.6490566761302841</v>
      </c>
      <c r="G921" s="2200"/>
      <c r="H921" s="2201"/>
      <c r="I921" s="136"/>
      <c r="J921" s="136"/>
      <c r="K921" s="1582"/>
      <c r="L921" s="1242" t="str">
        <f t="shared" si="241"/>
        <v>OPV-CX0189 Water Base</v>
      </c>
      <c r="M921" s="1243"/>
      <c r="N921" s="2219" t="str">
        <f t="shared" si="242"/>
        <v>Minh Long</v>
      </c>
      <c r="O921" s="1240">
        <f t="shared" si="244"/>
        <v>117000</v>
      </c>
      <c r="P921" s="1241">
        <f t="shared" si="243"/>
        <v>4.6490566761302837E-5</v>
      </c>
      <c r="Q921" s="294"/>
      <c r="S921" s="287"/>
      <c r="T921" s="291"/>
      <c r="U921" s="292"/>
      <c r="V921" s="293"/>
      <c r="W921" s="292"/>
    </row>
    <row r="922" spans="1:23" ht="15.75" customHeight="1">
      <c r="A922" s="2200" t="s">
        <v>1123</v>
      </c>
      <c r="B922" s="2209"/>
      <c r="C922" s="2211" t="s">
        <v>606</v>
      </c>
      <c r="D922" s="3123">
        <v>86670</v>
      </c>
      <c r="E922" s="2208">
        <f t="shared" ref="E922:E925" si="245">+F922/10^9*10000</f>
        <v>4.4679492657725701E-5</v>
      </c>
      <c r="F922" s="3625">
        <v>4.4679492657725701</v>
      </c>
      <c r="G922" s="2200"/>
      <c r="H922" s="2201"/>
      <c r="I922" s="136"/>
      <c r="J922" s="136"/>
      <c r="K922" s="1582"/>
      <c r="L922" s="1242" t="str">
        <f t="shared" si="241"/>
        <v>Gloss Waterbase Megacoat L100</v>
      </c>
      <c r="M922" s="1243"/>
      <c r="N922" s="2219" t="str">
        <f t="shared" si="242"/>
        <v>Toyo Ink</v>
      </c>
      <c r="O922" s="1240">
        <f t="shared" si="244"/>
        <v>86670</v>
      </c>
      <c r="P922" s="1241">
        <f t="shared" si="243"/>
        <v>4.4679492657725701E-5</v>
      </c>
      <c r="Q922" s="1842">
        <f>4.495/10^9*10000</f>
        <v>4.4950000000000002E-5</v>
      </c>
      <c r="S922" s="287"/>
      <c r="T922" s="291"/>
      <c r="U922" s="292"/>
      <c r="V922" s="293"/>
      <c r="W922" s="292"/>
    </row>
    <row r="923" spans="1:23" ht="15.75" customHeight="1">
      <c r="A923" s="2200" t="s">
        <v>1124</v>
      </c>
      <c r="B923" s="2209"/>
      <c r="C923" s="2211" t="s">
        <v>606</v>
      </c>
      <c r="D923" s="3123">
        <v>100580</v>
      </c>
      <c r="E923" s="2208">
        <f t="shared" si="245"/>
        <v>5.4061774263648566E-5</v>
      </c>
      <c r="F923" s="3625">
        <v>5.4061774263648568</v>
      </c>
      <c r="G923" s="2200"/>
      <c r="H923" s="2201"/>
      <c r="I923" s="136"/>
      <c r="J923" s="136"/>
      <c r="K923" s="1582"/>
      <c r="L923" s="1242" t="str">
        <f t="shared" si="241"/>
        <v>Matt Waterbase Megacoat M100</v>
      </c>
      <c r="M923" s="1243"/>
      <c r="N923" s="2219" t="str">
        <f t="shared" si="242"/>
        <v>Toyo Ink</v>
      </c>
      <c r="O923" s="1240">
        <f t="shared" si="244"/>
        <v>100580</v>
      </c>
      <c r="P923" s="1241">
        <f t="shared" si="243"/>
        <v>5.4061774263648566E-5</v>
      </c>
      <c r="Q923" s="1842">
        <f>6.201/10^9*10000</f>
        <v>6.2009999999999998E-5</v>
      </c>
      <c r="S923" s="287"/>
      <c r="T923" s="291"/>
      <c r="U923" s="292"/>
      <c r="V923" s="295"/>
      <c r="W923" s="292"/>
    </row>
    <row r="924" spans="1:23" ht="15.75" customHeight="1">
      <c r="A924" s="2200" t="s">
        <v>966</v>
      </c>
      <c r="B924" s="2205"/>
      <c r="C924" s="2211" t="s">
        <v>1125</v>
      </c>
      <c r="D924" s="2207">
        <v>66000</v>
      </c>
      <c r="E924" s="2208">
        <f t="shared" si="245"/>
        <v>4.7824517822603456E-5</v>
      </c>
      <c r="F924" s="3625">
        <v>4.7824517822603454</v>
      </c>
      <c r="G924" s="2200"/>
      <c r="H924" s="2201"/>
      <c r="I924" s="136"/>
      <c r="J924" s="136"/>
      <c r="K924" s="1582"/>
      <c r="L924" s="1242" t="str">
        <f t="shared" si="241"/>
        <v>OPV-CX0166 Gloss water base</v>
      </c>
      <c r="M924" s="1243"/>
      <c r="N924" s="2219" t="str">
        <f t="shared" si="242"/>
        <v>Minh Long</v>
      </c>
      <c r="O924" s="1240">
        <f t="shared" si="244"/>
        <v>66000</v>
      </c>
      <c r="P924" s="1241">
        <f t="shared" si="243"/>
        <v>4.7824517822603456E-5</v>
      </c>
      <c r="Q924" s="1842">
        <f>3.683/10^9*10000</f>
        <v>3.6829999999999998E-5</v>
      </c>
      <c r="S924" s="287"/>
      <c r="T924" s="291"/>
      <c r="U924" s="292"/>
      <c r="V924" s="293"/>
      <c r="W924" s="292"/>
    </row>
    <row r="925" spans="1:23" ht="15.75" customHeight="1">
      <c r="A925" s="2200" t="s">
        <v>1892</v>
      </c>
      <c r="B925" s="2205"/>
      <c r="C925" s="2211" t="s">
        <v>1125</v>
      </c>
      <c r="D925" s="2207">
        <v>88000</v>
      </c>
      <c r="E925" s="2208">
        <f t="shared" si="245"/>
        <v>5.2007134936194886E-5</v>
      </c>
      <c r="F925" s="3625">
        <v>5.2007134936194888</v>
      </c>
      <c r="G925" s="2200"/>
      <c r="H925" s="2201"/>
      <c r="I925" s="136"/>
      <c r="J925" s="136"/>
      <c r="K925" s="1582"/>
      <c r="L925" s="1242" t="str">
        <f t="shared" si="241"/>
        <v>OPV-CX0186 Water base</v>
      </c>
      <c r="M925" s="1243"/>
      <c r="N925" s="2219" t="str">
        <f t="shared" si="242"/>
        <v>Minh Long</v>
      </c>
      <c r="O925" s="1240">
        <f t="shared" si="244"/>
        <v>88000</v>
      </c>
      <c r="P925" s="1241">
        <f t="shared" si="243"/>
        <v>5.2007134936194886E-5</v>
      </c>
      <c r="S925" s="287"/>
      <c r="T925" s="291"/>
      <c r="U925" s="292"/>
      <c r="V925" s="295"/>
      <c r="W925" s="292"/>
    </row>
    <row r="926" spans="1:23" ht="15.75" customHeight="1">
      <c r="A926" s="2200" t="s">
        <v>72</v>
      </c>
      <c r="B926" s="2205"/>
      <c r="C926" s="2211"/>
      <c r="D926" s="2207"/>
      <c r="E926" s="2200"/>
      <c r="F926" s="3625"/>
      <c r="G926" s="2200"/>
      <c r="H926" s="2201"/>
      <c r="I926" s="136"/>
      <c r="J926" s="136"/>
      <c r="K926" s="1582"/>
      <c r="L926" s="1242" t="str">
        <f>Other!B20</f>
        <v>Offset UV high gloss OPV ( 100 )</v>
      </c>
      <c r="M926" s="314"/>
      <c r="N926" s="1253"/>
      <c r="O926" s="1816">
        <f>Other!C20</f>
        <v>801360</v>
      </c>
      <c r="Q926" s="296"/>
      <c r="S926" s="287"/>
      <c r="T926" s="291"/>
      <c r="U926" s="292"/>
      <c r="V926" s="295"/>
      <c r="W926" s="292"/>
    </row>
    <row r="927" spans="1:23" ht="15.75" customHeight="1">
      <c r="A927" s="2200" t="s">
        <v>72</v>
      </c>
      <c r="B927" s="2205"/>
      <c r="C927" s="2211"/>
      <c r="D927" s="2207"/>
      <c r="E927" s="2200"/>
      <c r="F927" s="3625"/>
      <c r="G927" s="2200"/>
      <c r="H927" s="2201"/>
      <c r="I927" s="136"/>
      <c r="J927" s="136"/>
      <c r="K927" s="1582"/>
      <c r="L927" s="1242" t="str">
        <f>Other!B21</f>
        <v>Offset UV high gloss OPV ( 72 )
Matt OPV 75-600992-4.3870 Replace 6C+770-
9600MVN.010ZH ( 20 )
Scratch Resistance Additive (WAX CREAM) ( 4 )
SICURA ADDITIVE SL100 ( 4 )</v>
      </c>
      <c r="M927" s="314"/>
      <c r="N927" s="1253"/>
      <c r="O927" s="1816">
        <f>Other!C21</f>
        <v>926629.2</v>
      </c>
      <c r="Q927" s="296"/>
      <c r="S927" s="287"/>
      <c r="T927" s="291"/>
      <c r="U927" s="292"/>
      <c r="V927" s="295"/>
      <c r="W927" s="292"/>
    </row>
    <row r="928" spans="1:23" ht="15.75" customHeight="1">
      <c r="A928" s="2200" t="s">
        <v>72</v>
      </c>
      <c r="B928" s="2205"/>
      <c r="C928" s="2211"/>
      <c r="D928" s="2207"/>
      <c r="E928" s="2200"/>
      <c r="F928" s="3625"/>
      <c r="G928" s="2200"/>
      <c r="H928" s="2201"/>
      <c r="I928" s="136"/>
      <c r="J928" s="136"/>
      <c r="K928" s="1582"/>
      <c r="L928" s="1242" t="str">
        <f>Other!B22</f>
        <v>Matt UV 3</v>
      </c>
      <c r="M928" s="314"/>
      <c r="N928" s="1253"/>
      <c r="O928" s="1816">
        <f>Other!C22</f>
        <v>0</v>
      </c>
      <c r="Q928" s="296"/>
      <c r="S928" s="287"/>
      <c r="T928" s="291"/>
      <c r="U928" s="292"/>
      <c r="V928" s="295"/>
      <c r="W928" s="292"/>
    </row>
    <row r="929" spans="1:41" ht="15.75" customHeight="1">
      <c r="A929" s="2200" t="s">
        <v>72</v>
      </c>
      <c r="B929" s="2205"/>
      <c r="C929" s="2211"/>
      <c r="D929" s="2207"/>
      <c r="E929" s="2200"/>
      <c r="F929" s="3625"/>
      <c r="G929" s="2200"/>
      <c r="H929" s="2201"/>
      <c r="I929" s="136"/>
      <c r="J929" s="136"/>
      <c r="K929" s="1582"/>
      <c r="L929" s="1242" t="str">
        <f>Other!B23</f>
        <v>Matt UV 4</v>
      </c>
      <c r="M929" s="314"/>
      <c r="N929" s="1253"/>
      <c r="O929" s="1816">
        <f>Other!C23</f>
        <v>0</v>
      </c>
      <c r="Q929" s="296"/>
      <c r="S929" s="287"/>
      <c r="T929" s="291"/>
      <c r="U929" s="292"/>
      <c r="V929" s="295"/>
      <c r="W929" s="292"/>
    </row>
    <row r="930" spans="1:41" ht="15.75" customHeight="1">
      <c r="A930" s="2200" t="s">
        <v>72</v>
      </c>
      <c r="B930" s="2205"/>
      <c r="C930" s="2211"/>
      <c r="D930" s="2207"/>
      <c r="E930" s="2200"/>
      <c r="F930" s="3625"/>
      <c r="G930" s="2200"/>
      <c r="H930" s="2201"/>
      <c r="I930" s="136"/>
      <c r="J930" s="136"/>
      <c r="K930" s="1582"/>
      <c r="L930" s="1242" t="str">
        <f>Other!B24</f>
        <v>Matt UV 5</v>
      </c>
      <c r="M930" s="314"/>
      <c r="N930" s="1253"/>
      <c r="O930" s="1816">
        <f>Other!C24</f>
        <v>0</v>
      </c>
      <c r="Q930" s="296"/>
      <c r="S930" s="287"/>
      <c r="T930" s="291"/>
      <c r="U930" s="292"/>
      <c r="V930" s="295"/>
      <c r="W930" s="292"/>
    </row>
    <row r="931" spans="1:41" ht="15.75" customHeight="1">
      <c r="A931" s="2200" t="s">
        <v>1115</v>
      </c>
      <c r="B931" s="2209"/>
      <c r="C931" s="2211" t="s">
        <v>1126</v>
      </c>
      <c r="D931" s="2658">
        <v>4.7</v>
      </c>
      <c r="E931" s="2208">
        <f t="shared" ref="E931:E932" si="246">+F931/10^9*10000</f>
        <v>3.9720526937159717E-5</v>
      </c>
      <c r="F931" s="3625">
        <v>3.9720526937159719</v>
      </c>
      <c r="G931" s="2435">
        <v>0.1</v>
      </c>
      <c r="H931" s="2201">
        <v>950</v>
      </c>
      <c r="I931" s="136">
        <f>305+223</f>
        <v>528</v>
      </c>
      <c r="J931" s="2763">
        <v>8000</v>
      </c>
      <c r="K931" s="1582" t="s">
        <v>2876</v>
      </c>
      <c r="L931" s="1242" t="str">
        <f t="shared" ref="L931:L946" si="247">A931</f>
        <v>UV 663 - Non Metalize</v>
      </c>
      <c r="M931" s="1243"/>
      <c r="N931" s="2219" t="str">
        <f t="shared" ref="N931:N946" si="248">C931</f>
        <v>ETERNAL MATERIAL TAIWAN</v>
      </c>
      <c r="O931" s="1240">
        <f>$D931*$P$10*(1+$G931)+SUM($H931:$I931)/$J931*$P$10</f>
        <v>126746.93250000001</v>
      </c>
      <c r="P931" s="1241">
        <f t="shared" ref="P931:P946" si="249">E931</f>
        <v>3.9720526937159717E-5</v>
      </c>
      <c r="Q931" s="1842">
        <f>4.058/10^9*10000</f>
        <v>4.0580000000000001E-5</v>
      </c>
      <c r="S931" s="287"/>
      <c r="T931" s="291"/>
      <c r="U931" s="292"/>
      <c r="V931" s="295"/>
      <c r="W931" s="292"/>
    </row>
    <row r="932" spans="1:41" ht="15.75" customHeight="1">
      <c r="A932" s="2200" t="s">
        <v>651</v>
      </c>
      <c r="B932" s="2209"/>
      <c r="C932" s="2761" t="s">
        <v>1127</v>
      </c>
      <c r="D932" s="2207"/>
      <c r="E932" s="2208">
        <f t="shared" si="246"/>
        <v>4.1035589982587371E-5</v>
      </c>
      <c r="F932" s="3625">
        <v>4.1035589982587366</v>
      </c>
      <c r="G932" s="2200"/>
      <c r="H932" s="2201"/>
      <c r="I932" s="136"/>
      <c r="J932" s="136"/>
      <c r="K932" s="1582"/>
      <c r="L932" s="1242" t="str">
        <f t="shared" si="247"/>
        <v>UV 5131 - Metalize</v>
      </c>
      <c r="M932" s="1243"/>
      <c r="N932" s="2219" t="str">
        <f t="shared" si="248"/>
        <v>TTK</v>
      </c>
      <c r="O932" s="1816">
        <f>D932</f>
        <v>0</v>
      </c>
      <c r="P932" s="1241">
        <f t="shared" si="249"/>
        <v>4.1035589982587371E-5</v>
      </c>
      <c r="Q932" s="1842">
        <f>5.546/10^9*10000</f>
        <v>5.5460000000000008E-5</v>
      </c>
      <c r="S932" s="287"/>
      <c r="T932" s="291"/>
      <c r="U932" s="292"/>
      <c r="V932" s="295"/>
      <c r="W932" s="292"/>
    </row>
    <row r="933" spans="1:41" ht="15.75" customHeight="1">
      <c r="A933" s="2200" t="s">
        <v>3010</v>
      </c>
      <c r="B933" s="2209"/>
      <c r="C933" s="2761" t="s">
        <v>1128</v>
      </c>
      <c r="D933" s="2207">
        <v>188000</v>
      </c>
      <c r="E933" s="2208">
        <v>6.5229999999999997E-5</v>
      </c>
      <c r="F933" s="3625"/>
      <c r="G933" s="2435"/>
      <c r="H933" s="2201"/>
      <c r="I933" s="136"/>
      <c r="J933" s="2763"/>
      <c r="K933" s="1582"/>
      <c r="L933" s="1242" t="str">
        <f t="shared" si="247"/>
        <v>UV SRU 102 - Non Metalize</v>
      </c>
      <c r="M933" s="1243"/>
      <c r="N933" s="2219" t="str">
        <f t="shared" si="248"/>
        <v>UAC Advance Polymer</v>
      </c>
      <c r="O933" s="1816">
        <f>D933</f>
        <v>188000</v>
      </c>
      <c r="P933" s="1241">
        <f t="shared" si="249"/>
        <v>6.5229999999999997E-5</v>
      </c>
      <c r="Q933" s="1842">
        <f>6.523/10^9*10000</f>
        <v>6.5229999999999997E-5</v>
      </c>
      <c r="S933" s="287"/>
      <c r="T933" s="291"/>
      <c r="U933" s="292"/>
      <c r="V933" s="295"/>
      <c r="W933" s="292"/>
    </row>
    <row r="934" spans="1:41" ht="15.75" customHeight="1">
      <c r="A934" s="2200" t="s">
        <v>1272</v>
      </c>
      <c r="B934" s="2209"/>
      <c r="C934" s="2761" t="s">
        <v>1128</v>
      </c>
      <c r="D934" s="2658" t="s">
        <v>3007</v>
      </c>
      <c r="E934" s="2212"/>
      <c r="F934" s="3625"/>
      <c r="G934" s="2435">
        <v>0.1</v>
      </c>
      <c r="H934" s="2201">
        <v>350</v>
      </c>
      <c r="I934" s="136">
        <f>120+82</f>
        <v>202</v>
      </c>
      <c r="J934" s="2763">
        <v>200</v>
      </c>
      <c r="K934" s="1582" t="s">
        <v>2877</v>
      </c>
      <c r="L934" s="1242" t="str">
        <f t="shared" si="247"/>
        <v>UV 900 - Metalize</v>
      </c>
      <c r="M934" s="1243"/>
      <c r="N934" s="2219" t="str">
        <f t="shared" si="248"/>
        <v>UAC Advance Polymer</v>
      </c>
      <c r="O934" s="1240" t="e">
        <f>$D934*$P$10*(1+$G934)+SUM($H934:$I934)/$J934*$P$10</f>
        <v>#VALUE!</v>
      </c>
      <c r="P934" s="1241">
        <f t="shared" si="249"/>
        <v>0</v>
      </c>
      <c r="Q934" s="1843" t="s">
        <v>684</v>
      </c>
      <c r="S934" s="287"/>
      <c r="T934" s="291"/>
      <c r="U934" s="297"/>
      <c r="V934" s="297"/>
    </row>
    <row r="935" spans="1:41" ht="15.75" customHeight="1">
      <c r="A935" s="2200" t="s">
        <v>3011</v>
      </c>
      <c r="B935" s="2209"/>
      <c r="C935" s="2761"/>
      <c r="D935" s="2207"/>
      <c r="E935" s="2208">
        <f t="shared" ref="E935:E936" si="250">+F935/10^9*10000</f>
        <v>3.7484963865158636E-5</v>
      </c>
      <c r="F935" s="3625">
        <v>3.7484963865158631</v>
      </c>
      <c r="G935" s="2200"/>
      <c r="H935" s="2201"/>
      <c r="I935" s="136"/>
      <c r="J935" s="136"/>
      <c r="K935" s="1582"/>
      <c r="L935" s="1242" t="str">
        <f t="shared" si="247"/>
        <v>UV 663 + UV SRU 102 - Metalize</v>
      </c>
      <c r="M935" s="1243"/>
      <c r="N935" s="2219">
        <f t="shared" si="248"/>
        <v>0</v>
      </c>
      <c r="O935" s="1816">
        <f>(O931*10+O933*1)/(10+1)</f>
        <v>132315.39318181819</v>
      </c>
      <c r="P935" s="1241">
        <f t="shared" si="249"/>
        <v>3.7484963865158636E-5</v>
      </c>
      <c r="Q935" s="1842">
        <f>3.532/10^9*10000</f>
        <v>3.5320000000000001E-5</v>
      </c>
      <c r="S935" s="287"/>
      <c r="T935" s="291"/>
      <c r="U935" s="297"/>
      <c r="V935" s="297"/>
    </row>
    <row r="936" spans="1:41" ht="15.75" customHeight="1">
      <c r="A936" s="2210" t="s">
        <v>1889</v>
      </c>
      <c r="B936" s="2208"/>
      <c r="C936" s="2764" t="s">
        <v>1129</v>
      </c>
      <c r="D936" s="2765">
        <v>67000</v>
      </c>
      <c r="E936" s="2208">
        <f t="shared" si="250"/>
        <v>6.3295972120160082E-5</v>
      </c>
      <c r="F936" s="3625">
        <v>6.3295972120160089</v>
      </c>
      <c r="G936" s="2200"/>
      <c r="H936" s="2201"/>
      <c r="I936" s="136"/>
      <c r="J936" s="136"/>
      <c r="K936" s="1582"/>
      <c r="L936" s="1242" t="str">
        <f t="shared" si="247"/>
        <v>AV-701P</v>
      </c>
      <c r="M936" s="1243"/>
      <c r="N936" s="2219" t="str">
        <f t="shared" si="248"/>
        <v>Base Vina</v>
      </c>
      <c r="O936" s="1816">
        <f>D936</f>
        <v>67000</v>
      </c>
      <c r="P936" s="1241">
        <f t="shared" si="249"/>
        <v>6.3295972120160082E-5</v>
      </c>
      <c r="Q936" s="298"/>
      <c r="S936" s="299"/>
      <c r="T936" s="300"/>
      <c r="U936" s="297"/>
      <c r="V936" s="297"/>
    </row>
    <row r="937" spans="1:41" ht="15.75" customHeight="1">
      <c r="A937" s="2200" t="s">
        <v>2931</v>
      </c>
      <c r="B937" s="2209"/>
      <c r="C937" s="2211" t="s">
        <v>1126</v>
      </c>
      <c r="D937" s="2658" t="s">
        <v>3007</v>
      </c>
      <c r="E937" s="2212"/>
      <c r="F937" s="3625"/>
      <c r="G937" s="2435">
        <v>0.1</v>
      </c>
      <c r="H937" s="2201">
        <f>H939*1</f>
        <v>40</v>
      </c>
      <c r="I937" s="136">
        <f>+I939</f>
        <v>202</v>
      </c>
      <c r="J937" s="2763">
        <v>60</v>
      </c>
      <c r="K937" s="1582" t="s">
        <v>2878</v>
      </c>
      <c r="L937" s="1242" t="str">
        <f t="shared" si="247"/>
        <v>UV 661G-1S</v>
      </c>
      <c r="M937" s="1243"/>
      <c r="N937" s="2219" t="str">
        <f t="shared" si="248"/>
        <v>ETERNAL MATERIAL TAIWAN</v>
      </c>
      <c r="O937" s="1240" t="e">
        <f>$D937*$P$10*(1+$G937)+SUM($H937:$I937)/$J937*$P$10</f>
        <v>#VALUE!</v>
      </c>
      <c r="P937" s="1241"/>
      <c r="Q937" s="298"/>
      <c r="S937" s="299"/>
      <c r="T937" s="300"/>
      <c r="U937" s="297"/>
      <c r="V937" s="297"/>
    </row>
    <row r="938" spans="1:41" ht="15.75" customHeight="1">
      <c r="A938" s="2200" t="s">
        <v>1130</v>
      </c>
      <c r="B938" s="2209"/>
      <c r="C938" s="2761" t="s">
        <v>1127</v>
      </c>
      <c r="D938" s="2765">
        <v>300000</v>
      </c>
      <c r="E938" s="2212"/>
      <c r="F938" s="3625"/>
      <c r="G938" s="2200"/>
      <c r="H938" s="2201"/>
      <c r="I938" s="136"/>
      <c r="J938" s="136"/>
      <c r="K938" s="1582"/>
      <c r="L938" s="1242" t="str">
        <f t="shared" si="247"/>
        <v>UV 6165A</v>
      </c>
      <c r="M938" s="1243"/>
      <c r="N938" s="2219" t="str">
        <f t="shared" si="248"/>
        <v>TTK</v>
      </c>
      <c r="O938" s="1816">
        <f>D938</f>
        <v>300000</v>
      </c>
      <c r="P938" s="1241">
        <f t="shared" si="249"/>
        <v>0</v>
      </c>
      <c r="Q938" s="1843" t="s">
        <v>684</v>
      </c>
      <c r="S938" s="301"/>
      <c r="T938" s="301"/>
    </row>
    <row r="939" spans="1:41" ht="15.75" customHeight="1">
      <c r="A939" s="2200" t="s">
        <v>1131</v>
      </c>
      <c r="B939" s="2209"/>
      <c r="C939" s="2761" t="s">
        <v>1132</v>
      </c>
      <c r="D939" s="4007">
        <v>8.3000000000000007</v>
      </c>
      <c r="E939" s="3124">
        <v>1.9219000000000001E-4</v>
      </c>
      <c r="F939" s="3625"/>
      <c r="G939" s="2435">
        <v>0.1</v>
      </c>
      <c r="H939" s="2201">
        <v>40</v>
      </c>
      <c r="I939" s="136">
        <f>120+82</f>
        <v>202</v>
      </c>
      <c r="J939" s="2763">
        <v>60</v>
      </c>
      <c r="K939" s="1582" t="s">
        <v>2878</v>
      </c>
      <c r="L939" s="1242" t="str">
        <f t="shared" si="247"/>
        <v xml:space="preserve">UV 662-5A </v>
      </c>
      <c r="M939" s="1243"/>
      <c r="N939" s="2219" t="str">
        <f t="shared" si="248"/>
        <v>Eternal Material Taiwam</v>
      </c>
      <c r="O939" s="1240">
        <f>$D939*$P$10*(1+$G939)+SUM($H939:$I939)/$J939*$P$10</f>
        <v>311576.10000000003</v>
      </c>
      <c r="P939" s="1241">
        <f t="shared" si="249"/>
        <v>1.9219000000000001E-4</v>
      </c>
      <c r="Q939" s="1842">
        <f>19.219/10^9*10000</f>
        <v>1.9219000000000001E-4</v>
      </c>
      <c r="S939" s="302"/>
      <c r="T939" s="291"/>
    </row>
    <row r="940" spans="1:41" ht="15.75" customHeight="1">
      <c r="A940" s="2200" t="s">
        <v>965</v>
      </c>
      <c r="B940" s="2209"/>
      <c r="C940" s="2761"/>
      <c r="D940" s="2207"/>
      <c r="E940" s="2208">
        <f t="shared" ref="E940:E941" si="251">+F940/10^9*10000</f>
        <v>1.2340533514222151E-5</v>
      </c>
      <c r="F940" s="3625">
        <v>1.234053351422215</v>
      </c>
      <c r="G940" s="2200"/>
      <c r="H940" s="2201"/>
      <c r="I940" s="136"/>
      <c r="J940" s="136"/>
      <c r="K940" s="1582"/>
      <c r="L940" s="1242" t="str">
        <f t="shared" si="247"/>
        <v>UV 662-5A + UV 6165 (6:4)</v>
      </c>
      <c r="M940" s="1243"/>
      <c r="N940" s="2219">
        <f t="shared" si="248"/>
        <v>0</v>
      </c>
      <c r="O940" s="1816">
        <f>(O939*60%+O938*40%)</f>
        <v>306945.66000000003</v>
      </c>
      <c r="P940" s="1241">
        <f t="shared" si="249"/>
        <v>1.2340533514222151E-5</v>
      </c>
      <c r="Q940" s="1842">
        <f>82.932/10^9*10000</f>
        <v>8.2932000000000004E-4</v>
      </c>
      <c r="S940" s="299"/>
      <c r="T940" s="291"/>
      <c r="AL940" s="136">
        <f>46-29</f>
        <v>17</v>
      </c>
    </row>
    <row r="941" spans="1:41" ht="15.75" customHeight="1">
      <c r="A941" s="2200" t="s">
        <v>1113</v>
      </c>
      <c r="B941" s="2209" t="s">
        <v>1133</v>
      </c>
      <c r="C941" s="2761" t="s">
        <v>606</v>
      </c>
      <c r="D941" s="2765">
        <v>221490</v>
      </c>
      <c r="E941" s="2208">
        <f t="shared" si="251"/>
        <v>3.9046041830142491E-6</v>
      </c>
      <c r="F941" s="3625">
        <v>0.39046041830142492</v>
      </c>
      <c r="G941" s="2200"/>
      <c r="H941" s="2201"/>
      <c r="I941" s="136"/>
      <c r="J941" s="136"/>
      <c r="K941" s="1582"/>
      <c r="L941" s="1242" t="str">
        <f t="shared" si="247"/>
        <v>OPV Wet Hi-Rub</v>
      </c>
      <c r="M941" s="1243" t="str">
        <f t="shared" ref="M941:M946" si="252">B941</f>
        <v>Gloss Machine Varnish</v>
      </c>
      <c r="N941" s="2219" t="str">
        <f t="shared" si="248"/>
        <v>Toyo Ink</v>
      </c>
      <c r="O941" s="1816">
        <f t="shared" ref="O941:O946" si="253">D941</f>
        <v>221490</v>
      </c>
      <c r="P941" s="1241">
        <f t="shared" si="249"/>
        <v>3.9046041830142491E-6</v>
      </c>
      <c r="Q941" s="1842">
        <f>0.65/10^9*10000</f>
        <v>6.5000000000000004E-6</v>
      </c>
      <c r="S941" s="303"/>
      <c r="T941" s="304"/>
    </row>
    <row r="942" spans="1:41" ht="15.75" customHeight="1">
      <c r="A942" s="2210" t="s">
        <v>3655</v>
      </c>
      <c r="B942" s="2209" t="s">
        <v>1135</v>
      </c>
      <c r="C942" s="2764" t="s">
        <v>606</v>
      </c>
      <c r="D942" s="2765">
        <v>345503</v>
      </c>
      <c r="E942" s="2208">
        <v>1.1259999999999999E-5</v>
      </c>
      <c r="F942" s="3626"/>
      <c r="G942" s="2200"/>
      <c r="H942" s="2201"/>
      <c r="I942" s="136"/>
      <c r="J942" s="136"/>
      <c r="K942" s="1582"/>
      <c r="L942" s="1242" t="str">
        <f t="shared" si="247"/>
        <v>TK Matt Varnish 22493</v>
      </c>
      <c r="M942" s="1243" t="str">
        <f t="shared" si="252"/>
        <v>Matt Machine Varnish</v>
      </c>
      <c r="N942" s="2219" t="str">
        <f t="shared" si="248"/>
        <v>Toyo Ink</v>
      </c>
      <c r="O942" s="1816">
        <f t="shared" si="253"/>
        <v>345503</v>
      </c>
      <c r="P942" s="1241">
        <f t="shared" si="249"/>
        <v>1.1259999999999999E-5</v>
      </c>
      <c r="Q942" s="1842">
        <f>1.126/10^9*10000</f>
        <v>1.1259999999999999E-5</v>
      </c>
      <c r="AJ942" s="136">
        <f ca="1">OFFSET(input!$K$29,0,0)</f>
        <v>0</v>
      </c>
    </row>
    <row r="943" spans="1:41" ht="15.75" customHeight="1">
      <c r="A943" s="2200" t="s">
        <v>2329</v>
      </c>
      <c r="B943" s="2214">
        <v>3000</v>
      </c>
      <c r="C943" s="2764" t="s">
        <v>2330</v>
      </c>
      <c r="D943" s="2216">
        <v>10000</v>
      </c>
      <c r="E943" s="2215">
        <v>30</v>
      </c>
      <c r="F943" s="3626"/>
      <c r="G943" s="2200"/>
      <c r="H943" s="2201"/>
      <c r="I943" s="136"/>
      <c r="J943" s="136"/>
      <c r="K943" s="1582"/>
      <c r="L943" s="1242" t="str">
        <f t="shared" si="247"/>
        <v>Soft touch matt film LMS-30</v>
      </c>
      <c r="M943" s="1244">
        <f t="shared" si="252"/>
        <v>3000</v>
      </c>
      <c r="N943" s="2219" t="str">
        <f t="shared" si="248"/>
        <v>Hoa Trung</v>
      </c>
      <c r="O943" s="1818">
        <f t="shared" si="253"/>
        <v>10000</v>
      </c>
      <c r="P943" s="2438">
        <f t="shared" si="249"/>
        <v>30</v>
      </c>
      <c r="Q943" s="2437">
        <f t="shared" ref="Q943:Q959" si="254">F943</f>
        <v>0</v>
      </c>
      <c r="AA943" s="136" t="s">
        <v>2329</v>
      </c>
      <c r="AB943" s="136" t="s">
        <v>800</v>
      </c>
      <c r="AC943" s="3565" t="s">
        <v>1464</v>
      </c>
      <c r="AD943" s="3565" t="s">
        <v>3377</v>
      </c>
      <c r="AE943" s="3565" t="s">
        <v>1467</v>
      </c>
      <c r="AF943" s="3565" t="s">
        <v>1464</v>
      </c>
      <c r="AG943" s="3565" t="s">
        <v>3377</v>
      </c>
      <c r="AH943" s="3565" t="s">
        <v>1467</v>
      </c>
      <c r="AJ943" s="3565" t="s">
        <v>1464</v>
      </c>
      <c r="AK943" s="3565" t="s">
        <v>3377</v>
      </c>
      <c r="AL943" s="3565" t="s">
        <v>1467</v>
      </c>
      <c r="AN943" s="3565" t="s">
        <v>2329</v>
      </c>
      <c r="AO943" s="3565" t="s">
        <v>3603</v>
      </c>
    </row>
    <row r="944" spans="1:41" ht="15.75" customHeight="1">
      <c r="A944" s="2200" t="s">
        <v>2331</v>
      </c>
      <c r="B944" s="2214">
        <v>3000</v>
      </c>
      <c r="C944" s="2764" t="s">
        <v>2330</v>
      </c>
      <c r="D944" s="2216">
        <v>12000</v>
      </c>
      <c r="E944" s="2215">
        <v>30</v>
      </c>
      <c r="F944" s="2197"/>
      <c r="G944" s="2200"/>
      <c r="H944" s="2201"/>
      <c r="I944" s="136"/>
      <c r="J944" s="136"/>
      <c r="K944" s="1582"/>
      <c r="L944" s="1242" t="str">
        <f t="shared" si="247"/>
        <v>Thermal Anti Scratch LMHS-30u</v>
      </c>
      <c r="M944" s="1244">
        <f t="shared" si="252"/>
        <v>3000</v>
      </c>
      <c r="N944" s="2219" t="str">
        <f t="shared" si="248"/>
        <v>Hoa Trung</v>
      </c>
      <c r="O944" s="1818">
        <f t="shared" si="253"/>
        <v>12000</v>
      </c>
      <c r="P944" s="2438">
        <f t="shared" si="249"/>
        <v>30</v>
      </c>
      <c r="Q944" s="2437">
        <f t="shared" si="254"/>
        <v>0</v>
      </c>
      <c r="AA944" s="136" t="s">
        <v>2331</v>
      </c>
      <c r="AB944" s="136" t="s">
        <v>800</v>
      </c>
      <c r="AC944" s="3565">
        <v>0</v>
      </c>
      <c r="AD944" s="3565">
        <v>0</v>
      </c>
      <c r="AE944" s="3565">
        <v>0</v>
      </c>
      <c r="AF944" s="3565">
        <v>550</v>
      </c>
      <c r="AG944" s="3565">
        <v>595</v>
      </c>
      <c r="AH944" s="3565">
        <v>605</v>
      </c>
      <c r="AJ944" s="3565">
        <f ca="1">IF(LOOKUP(OFFSET(input!$K$29,0,0)+10,$AC$944:$AC$953,$AF$944:$AF$953)=0,CEILING(OFFSET(input!$K$29,0,0),50),LOOKUP(OFFSET(input!$K$29,0,0)+10,$AC$944:$AC$953,$AF$944:$AF$953))</f>
        <v>550</v>
      </c>
      <c r="AK944" s="3565">
        <f ca="1">IF(LOOKUP(OFFSET(input!$K$29,0,0)+10,$AD$944:$AD$953,$AG$944:$AG$953)=0,CEILING(OFFSET(input!$K$29,0,0),50),LOOKUP(OFFSET(input!$K$29,0,0)+10,$AD$944:$AD$953,$AG$944:$AG$953))</f>
        <v>595</v>
      </c>
      <c r="AL944" s="3565">
        <f ca="1">IF(LOOKUP(OFFSET(input!$K$29,0,0)+10,$AE$944:$AE$953,$AH$944:$AH$953)=0,CEILING(OFFSET(input!$K$29,0,0),50),LOOKUP(OFFSET(input!$K$29,0,0)+10,$AE$944:$AE$953,$AH$944:$AH$953))</f>
        <v>605</v>
      </c>
      <c r="AN944" s="3565" t="s">
        <v>2331</v>
      </c>
      <c r="AO944" s="3565" t="s">
        <v>3603</v>
      </c>
    </row>
    <row r="945" spans="1:41" ht="15.75" customHeight="1">
      <c r="A945" s="2200" t="s">
        <v>1465</v>
      </c>
      <c r="B945" s="2214">
        <v>3000</v>
      </c>
      <c r="C945" s="2761" t="s">
        <v>2330</v>
      </c>
      <c r="D945" s="2207">
        <v>110000</v>
      </c>
      <c r="E945" s="2215">
        <v>27</v>
      </c>
      <c r="F945" s="2198">
        <v>0.92</v>
      </c>
      <c r="G945" s="2200"/>
      <c r="H945" s="2201"/>
      <c r="I945" s="136"/>
      <c r="J945" s="136"/>
      <c r="K945" s="1582"/>
      <c r="L945" s="1242" t="str">
        <f t="shared" si="247"/>
        <v>Thermal_Matt_OPP_Local</v>
      </c>
      <c r="M945" s="1244">
        <f t="shared" si="252"/>
        <v>3000</v>
      </c>
      <c r="N945" s="2219" t="str">
        <f t="shared" si="248"/>
        <v>Hoa Trung</v>
      </c>
      <c r="O945" s="1816">
        <f t="shared" si="253"/>
        <v>110000</v>
      </c>
      <c r="P945" s="2438">
        <f t="shared" si="249"/>
        <v>27</v>
      </c>
      <c r="Q945" s="2437">
        <f t="shared" si="254"/>
        <v>0.92</v>
      </c>
      <c r="AA945" s="136" t="s">
        <v>1465</v>
      </c>
      <c r="AB945" s="136" t="s">
        <v>800</v>
      </c>
      <c r="AC945" s="3565">
        <v>550</v>
      </c>
      <c r="AD945" s="3565">
        <v>595</v>
      </c>
      <c r="AE945" s="3565">
        <v>605</v>
      </c>
      <c r="AF945" s="3565">
        <v>600</v>
      </c>
      <c r="AG945" s="3565">
        <v>610</v>
      </c>
      <c r="AH945" s="3565">
        <v>667</v>
      </c>
      <c r="AI945" s="136">
        <v>2</v>
      </c>
      <c r="AJ945" s="3565" t="e">
        <f ca="1">HLOOKUP(OFFSET(input!$J$27,AI944,0),Data!$AJ$943:$AL$944,2,0)</f>
        <v>#N/A</v>
      </c>
      <c r="AK945" s="3565"/>
      <c r="AL945" s="3565"/>
      <c r="AN945" s="3565" t="s">
        <v>1465</v>
      </c>
      <c r="AO945" s="3565" t="s">
        <v>3603</v>
      </c>
    </row>
    <row r="946" spans="1:41" ht="15.75" customHeight="1">
      <c r="A946" s="2200" t="s">
        <v>1466</v>
      </c>
      <c r="B946" s="2214">
        <v>3000</v>
      </c>
      <c r="C946" s="2761" t="s">
        <v>2330</v>
      </c>
      <c r="D946" s="2207">
        <v>105000</v>
      </c>
      <c r="E946" s="2215">
        <v>25</v>
      </c>
      <c r="F946" s="2198">
        <v>0.92</v>
      </c>
      <c r="G946" s="2200"/>
      <c r="H946" s="2201"/>
      <c r="I946" s="136"/>
      <c r="J946" s="136"/>
      <c r="K946" s="1582"/>
      <c r="L946" s="1242" t="str">
        <f t="shared" si="247"/>
        <v>Thermal_Gloss_OPP_Local</v>
      </c>
      <c r="M946" s="1244">
        <f t="shared" si="252"/>
        <v>3000</v>
      </c>
      <c r="N946" s="2219" t="str">
        <f t="shared" si="248"/>
        <v>Hoa Trung</v>
      </c>
      <c r="O946" s="1816">
        <f t="shared" si="253"/>
        <v>105000</v>
      </c>
      <c r="P946" s="2438">
        <f t="shared" si="249"/>
        <v>25</v>
      </c>
      <c r="Q946" s="2437">
        <f t="shared" si="254"/>
        <v>0.92</v>
      </c>
      <c r="AA946" s="136" t="s">
        <v>1466</v>
      </c>
      <c r="AB946" s="136" t="s">
        <v>800</v>
      </c>
      <c r="AC946" s="3565">
        <v>600</v>
      </c>
      <c r="AD946" s="3565">
        <v>610</v>
      </c>
      <c r="AE946" s="3565">
        <v>667</v>
      </c>
      <c r="AF946" s="3565">
        <v>680</v>
      </c>
      <c r="AG946" s="3565">
        <v>664</v>
      </c>
      <c r="AH946" s="3565">
        <v>744</v>
      </c>
      <c r="AI946" s="136">
        <f>AI944+17</f>
        <v>17</v>
      </c>
      <c r="AJ946" s="3565">
        <f ca="1">IF(LOOKUP(OFFSET(input!$K$29,AI946,0)+10,$AC$944:$AC$953,$AF$944:$AF$953)=0,CEILING(OFFSET(input!$K$29,AI946,0),50),LOOKUP(OFFSET(input!$K$29,AI946,0)+10,$AC$944:$AC$953,$AF$944:$AF$953))</f>
        <v>550</v>
      </c>
      <c r="AK946" s="3565">
        <f ca="1">IF(LOOKUP(OFFSET(input!$K$29,AI946,0)+10,$AD$944:$AD$953,$AG$944:$AG$953)=0,CEILING(OFFSET(input!$K$29,AI946,0),50),LOOKUP(OFFSET(input!$K$29,AI946,0)+10,$AD$944:$AD$953,$AG$944:$AG$953))</f>
        <v>595</v>
      </c>
      <c r="AL946" s="3565">
        <f ca="1">IF(LOOKUP(OFFSET(input!$K$29,AI946,0)+10,$AE$944:$AE$953,$AH$944:$AH$953)=0,CEILING(OFFSET(input!$K$29,AI946,0),50),LOOKUP(OFFSET(input!$K$29,AI946,0)+10,$AE$944:$AE$953,$AH$944:$AH$953))</f>
        <v>605</v>
      </c>
      <c r="AN946" s="3565" t="s">
        <v>1466</v>
      </c>
      <c r="AO946" s="3565" t="s">
        <v>3603</v>
      </c>
    </row>
    <row r="947" spans="1:41" ht="15.75" customHeight="1">
      <c r="A947" s="2200"/>
      <c r="B947" s="2214"/>
      <c r="C947" s="2761"/>
      <c r="D947" s="2216"/>
      <c r="E947" s="2217"/>
      <c r="F947" s="2197"/>
      <c r="G947" s="2200"/>
      <c r="H947" s="2201"/>
      <c r="I947" s="136"/>
      <c r="J947" s="136"/>
      <c r="K947" s="1582"/>
      <c r="L947" s="1242"/>
      <c r="M947" s="1244"/>
      <c r="N947" s="2219"/>
      <c r="O947" s="1818"/>
      <c r="P947" s="2438"/>
      <c r="Q947" s="2437"/>
      <c r="AB947" s="136" t="s">
        <v>800</v>
      </c>
      <c r="AC947" s="3565">
        <v>680</v>
      </c>
      <c r="AD947" s="3565">
        <v>664</v>
      </c>
      <c r="AE947" s="3565">
        <v>744</v>
      </c>
      <c r="AF947" s="3565">
        <v>740</v>
      </c>
      <c r="AG947" s="3565">
        <v>680</v>
      </c>
      <c r="AH947" s="3565">
        <v>782</v>
      </c>
      <c r="AI947" s="136">
        <f>AI945+2</f>
        <v>4</v>
      </c>
      <c r="AJ947" s="3565" t="e">
        <f ca="1">HLOOKUP(OFFSET(input!$J$27,AI946,0),Data!$AJ$943:$AL$2000,AI947,0)</f>
        <v>#N/A</v>
      </c>
      <c r="AK947" s="3565"/>
      <c r="AL947" s="3565"/>
      <c r="AN947" s="3565"/>
      <c r="AO947" s="3565" t="s">
        <v>3603</v>
      </c>
    </row>
    <row r="948" spans="1:41" ht="15.75" customHeight="1">
      <c r="A948" s="2200" t="s">
        <v>72</v>
      </c>
      <c r="B948" s="2214"/>
      <c r="C948" s="2761"/>
      <c r="D948" s="2216"/>
      <c r="E948" s="2217"/>
      <c r="F948" s="2197"/>
      <c r="G948" s="2200"/>
      <c r="H948" s="2201"/>
      <c r="I948" s="136"/>
      <c r="J948" s="136"/>
      <c r="K948" s="1582"/>
      <c r="L948" s="1242">
        <f>Other!B29</f>
        <v>0</v>
      </c>
      <c r="M948" s="1817">
        <f>Other!D29</f>
        <v>3000</v>
      </c>
      <c r="N948" s="2219"/>
      <c r="O948" s="1818">
        <f>Other!C29</f>
        <v>0</v>
      </c>
      <c r="P948" s="2439"/>
      <c r="Q948" s="2437">
        <f t="shared" si="254"/>
        <v>0</v>
      </c>
      <c r="AA948" s="136">
        <v>0</v>
      </c>
      <c r="AB948" s="136" t="s">
        <v>800</v>
      </c>
      <c r="AC948" s="3565">
        <v>740</v>
      </c>
      <c r="AD948" s="3565">
        <v>680</v>
      </c>
      <c r="AE948" s="3565">
        <v>782</v>
      </c>
      <c r="AF948" s="3565">
        <v>775</v>
      </c>
      <c r="AG948" s="3565">
        <v>772</v>
      </c>
      <c r="AH948" s="3565">
        <v>846</v>
      </c>
      <c r="AI948" s="136">
        <f>AI946+17</f>
        <v>34</v>
      </c>
      <c r="AJ948" s="3565">
        <f ca="1">IF(LOOKUP(OFFSET(input!$K$29,AI948,0)+10,$AC$944:$AC$953,$AF$944:$AF$953)=0,CEILING(OFFSET(input!$K$29,AI948,0),50),LOOKUP(OFFSET(input!$K$29,AI948,0)+10,$AC$944:$AC$953,$AF$944:$AF$953))</f>
        <v>550</v>
      </c>
      <c r="AK948" s="3565">
        <f ca="1">IF(LOOKUP(OFFSET(input!$K$29,AI948,0)+10,$AD$944:$AD$953,$AG$944:$AG$953)=0,CEILING(OFFSET(input!$K$29,AI948,0),50),LOOKUP(OFFSET(input!$K$29,AI948,0)+10,$AD$944:$AD$953,$AG$944:$AG$953))</f>
        <v>595</v>
      </c>
      <c r="AL948" s="3565">
        <f ca="1">IF(LOOKUP(OFFSET(input!$K$29,AI948,0)+10,$AE$944:$AE$953,$AH$944:$AH$953)=0,CEILING(OFFSET(input!$K$29,AI948,0),50),LOOKUP(OFFSET(input!$K$29,AI948,0)+10,$AE$944:$AE$953,$AH$944:$AH$953))</f>
        <v>605</v>
      </c>
      <c r="AN948" s="3565">
        <v>0</v>
      </c>
      <c r="AO948" s="3565" t="s">
        <v>3603</v>
      </c>
    </row>
    <row r="949" spans="1:41" ht="15.75" customHeight="1">
      <c r="A949" s="2200" t="s">
        <v>72</v>
      </c>
      <c r="B949" s="2214"/>
      <c r="C949" s="2761"/>
      <c r="D949" s="2216"/>
      <c r="E949" s="2217"/>
      <c r="F949" s="2197"/>
      <c r="G949" s="2200"/>
      <c r="H949" s="2201"/>
      <c r="I949" s="136"/>
      <c r="J949" s="136"/>
      <c r="K949" s="1582"/>
      <c r="L949" s="1242">
        <f>Other!B30</f>
        <v>0</v>
      </c>
      <c r="M949" s="1817">
        <f>Other!D30</f>
        <v>3000</v>
      </c>
      <c r="N949" s="2219"/>
      <c r="O949" s="1818">
        <f>Other!C30</f>
        <v>0</v>
      </c>
      <c r="P949" s="2439"/>
      <c r="Q949" s="2437">
        <f t="shared" si="254"/>
        <v>0</v>
      </c>
      <c r="AA949" s="136">
        <v>0</v>
      </c>
      <c r="AB949" s="136" t="s">
        <v>800</v>
      </c>
      <c r="AC949" s="3565">
        <v>775</v>
      </c>
      <c r="AD949" s="3565">
        <v>772</v>
      </c>
      <c r="AE949" s="3565">
        <v>846</v>
      </c>
      <c r="AF949" s="3565">
        <v>830</v>
      </c>
      <c r="AG949" s="3565">
        <v>870</v>
      </c>
      <c r="AH949" s="3565">
        <v>899</v>
      </c>
      <c r="AI949" s="136">
        <f>AI947+2</f>
        <v>6</v>
      </c>
      <c r="AJ949" s="3565" t="e">
        <f ca="1">HLOOKUP(OFFSET(input!$J$27,AI948,0),Data!$AJ$943:$AL$2000,AI949,0)</f>
        <v>#N/A</v>
      </c>
      <c r="AK949" s="3565"/>
      <c r="AL949" s="3565"/>
      <c r="AN949" s="3565">
        <v>0</v>
      </c>
      <c r="AO949" s="3565" t="s">
        <v>3603</v>
      </c>
    </row>
    <row r="950" spans="1:41" ht="15.75" customHeight="1">
      <c r="A950" s="2200" t="s">
        <v>1464</v>
      </c>
      <c r="B950" s="2214">
        <v>3000</v>
      </c>
      <c r="C950" s="2761" t="s">
        <v>1137</v>
      </c>
      <c r="D950" s="4008">
        <v>3.45</v>
      </c>
      <c r="E950" s="2215">
        <v>25</v>
      </c>
      <c r="F950" s="2198">
        <v>0.92</v>
      </c>
      <c r="G950" s="2435">
        <v>0</v>
      </c>
      <c r="H950" s="2201">
        <f>65*4</f>
        <v>260</v>
      </c>
      <c r="I950" s="136">
        <f>300+82</f>
        <v>382</v>
      </c>
      <c r="J950" s="2763">
        <v>1500</v>
      </c>
      <c r="K950" s="1582" t="s">
        <v>3481</v>
      </c>
      <c r="L950" s="1242" t="str">
        <f t="shared" ref="L950:N951" si="255">A950</f>
        <v>Thermal_Matt_OPP_Import</v>
      </c>
      <c r="M950" s="1244">
        <f t="shared" si="255"/>
        <v>3000</v>
      </c>
      <c r="N950" s="2219" t="str">
        <f t="shared" si="255"/>
        <v>(PT Trias)</v>
      </c>
      <c r="O950" s="1240">
        <f>$D950*$P$10*(1+$G950)+SUM($H950:$I950)/$J950*$P$10</f>
        <v>91792.26</v>
      </c>
      <c r="P950" s="2438">
        <f>E950</f>
        <v>25</v>
      </c>
      <c r="Q950" s="2437">
        <f t="shared" si="254"/>
        <v>0.92</v>
      </c>
      <c r="R950" s="2931">
        <v>550</v>
      </c>
      <c r="S950" s="3101">
        <v>600</v>
      </c>
      <c r="T950" s="2931">
        <v>680</v>
      </c>
      <c r="U950" s="3101">
        <v>740</v>
      </c>
      <c r="V950" s="2931">
        <v>775</v>
      </c>
      <c r="W950" s="2931">
        <v>830</v>
      </c>
      <c r="X950" s="3101">
        <v>844</v>
      </c>
      <c r="Y950" s="2931">
        <v>870</v>
      </c>
      <c r="Z950" s="2931">
        <v>1100</v>
      </c>
      <c r="AA950" s="136" t="s">
        <v>1464</v>
      </c>
      <c r="AB950" s="136" t="s">
        <v>800</v>
      </c>
      <c r="AC950" s="3565">
        <v>830</v>
      </c>
      <c r="AD950" s="3565">
        <v>870</v>
      </c>
      <c r="AE950" s="3565">
        <v>899</v>
      </c>
      <c r="AF950" s="3565">
        <v>844</v>
      </c>
      <c r="AG950" s="3565"/>
      <c r="AH950" s="3565">
        <v>939</v>
      </c>
      <c r="AI950" s="136">
        <f>AI948+17</f>
        <v>51</v>
      </c>
      <c r="AJ950" s="3565">
        <f ca="1">IF(LOOKUP(OFFSET(input!$K$29,AI950,0)+10,$AC$944:$AC$953,$AF$944:$AF$953)=0,CEILING(OFFSET(input!$K$29,AI950,0),50),LOOKUP(OFFSET(input!$K$29,AI950,0)+10,$AC$944:$AC$953,$AF$944:$AF$953))</f>
        <v>550</v>
      </c>
      <c r="AK950" s="3565">
        <f ca="1">IF(LOOKUP(OFFSET(input!$K$29,AI950,0)+10,$AD$944:$AD$953,$AG$944:$AG$953)=0,CEILING(OFFSET(input!$K$29,AI950,0),50),LOOKUP(OFFSET(input!$K$29,AI950,0)+10,$AD$944:$AD$953,$AG$944:$AG$953))</f>
        <v>595</v>
      </c>
      <c r="AL950" s="3565">
        <f ca="1">IF(LOOKUP(OFFSET(input!$K$29,AI950,0)+10,$AE$944:$AE$953,$AH$944:$AH$953)=0,CEILING(OFFSET(input!$K$29,AI950,0),50),LOOKUP(OFFSET(input!$K$29,AI950,0)+10,$AE$944:$AE$953,$AH$944:$AH$953))</f>
        <v>605</v>
      </c>
      <c r="AN950" s="3565" t="s">
        <v>1464</v>
      </c>
      <c r="AO950" s="3565" t="str">
        <f>IF(input!K29&lt;Data!AC953,"Yes","No")</f>
        <v>Yes</v>
      </c>
    </row>
    <row r="951" spans="1:41" ht="15.75" customHeight="1">
      <c r="A951" s="2200" t="s">
        <v>3377</v>
      </c>
      <c r="B951" s="2214">
        <v>3000</v>
      </c>
      <c r="C951" s="2761" t="s">
        <v>1137</v>
      </c>
      <c r="D951" s="4008">
        <v>3.35</v>
      </c>
      <c r="E951" s="2215">
        <v>22</v>
      </c>
      <c r="F951" s="2198">
        <v>0.92</v>
      </c>
      <c r="G951" s="2435">
        <v>0</v>
      </c>
      <c r="H951" s="2201">
        <f>65*4</f>
        <v>260</v>
      </c>
      <c r="I951" s="136">
        <f>300+82</f>
        <v>382</v>
      </c>
      <c r="J951" s="2763">
        <v>1500</v>
      </c>
      <c r="K951" s="1582" t="s">
        <v>3481</v>
      </c>
      <c r="L951" s="1242" t="str">
        <f t="shared" si="255"/>
        <v xml:space="preserve">Thermal_Gloss_OPP_Import </v>
      </c>
      <c r="M951" s="1244">
        <f t="shared" si="255"/>
        <v>3000</v>
      </c>
      <c r="N951" s="2219" t="str">
        <f t="shared" si="255"/>
        <v>(PT Trias)</v>
      </c>
      <c r="O951" s="1240">
        <f>$D951*$P$10*(1+$G951)+SUM($H951:$I951)/$J951*$P$10</f>
        <v>89425.26</v>
      </c>
      <c r="P951" s="2438">
        <f>E951</f>
        <v>22</v>
      </c>
      <c r="Q951" s="2437">
        <f t="shared" si="254"/>
        <v>0.92</v>
      </c>
      <c r="R951" s="3101">
        <v>595</v>
      </c>
      <c r="S951" s="2931">
        <v>610</v>
      </c>
      <c r="T951" s="3101">
        <v>664</v>
      </c>
      <c r="U951" s="2931">
        <v>680</v>
      </c>
      <c r="V951" s="2931">
        <v>772</v>
      </c>
      <c r="W951" s="3101">
        <v>870</v>
      </c>
      <c r="AA951" s="136" t="s">
        <v>3377</v>
      </c>
      <c r="AB951" s="136" t="s">
        <v>800</v>
      </c>
      <c r="AC951" s="3565">
        <v>844</v>
      </c>
      <c r="AD951" s="3565"/>
      <c r="AE951" s="3565">
        <v>939</v>
      </c>
      <c r="AF951" s="3565">
        <v>870</v>
      </c>
      <c r="AG951" s="3565"/>
      <c r="AH951" s="3565"/>
      <c r="AI951" s="136">
        <f>AI949+2</f>
        <v>8</v>
      </c>
      <c r="AJ951" s="3565" t="e">
        <f ca="1">HLOOKUP(OFFSET(input!$J$27,AI950,0),Data!$AJ$943:$AL$2000,AI951,0)</f>
        <v>#N/A</v>
      </c>
      <c r="AK951" s="3565"/>
      <c r="AL951" s="3565"/>
      <c r="AN951" s="3565" t="s">
        <v>3377</v>
      </c>
      <c r="AO951" s="3565" t="str">
        <f>IF(input!K29&lt;Data!AD950,"Yes","No")</f>
        <v>Yes</v>
      </c>
    </row>
    <row r="952" spans="1:41" ht="15.75" customHeight="1">
      <c r="A952" s="2200" t="s">
        <v>72</v>
      </c>
      <c r="B952" s="2214"/>
      <c r="C952" s="2761"/>
      <c r="D952" s="2207"/>
      <c r="E952" s="2215"/>
      <c r="F952" s="2197"/>
      <c r="G952" s="2200"/>
      <c r="H952" s="2201"/>
      <c r="I952" s="136"/>
      <c r="J952" s="136"/>
      <c r="K952" s="1582"/>
      <c r="L952" s="1242">
        <f>Other!B27</f>
        <v>0</v>
      </c>
      <c r="M952" s="1817">
        <f>Other!D27</f>
        <v>3000</v>
      </c>
      <c r="N952" s="2219"/>
      <c r="O952" s="1816">
        <f>Other!C27</f>
        <v>0</v>
      </c>
      <c r="P952" s="2438">
        <f>Other!E27</f>
        <v>20</v>
      </c>
      <c r="Q952" s="2437">
        <f t="shared" si="254"/>
        <v>0</v>
      </c>
      <c r="AA952" s="136">
        <v>0</v>
      </c>
      <c r="AB952" s="136" t="s">
        <v>800</v>
      </c>
      <c r="AC952" s="3565">
        <v>870</v>
      </c>
      <c r="AD952" s="3565"/>
      <c r="AE952" s="3565"/>
      <c r="AF952" s="3565">
        <v>1100</v>
      </c>
      <c r="AG952" s="3565"/>
      <c r="AH952" s="3565"/>
      <c r="AI952" s="136">
        <f>AI950+17</f>
        <v>68</v>
      </c>
      <c r="AJ952" s="3565">
        <f ca="1">IF(LOOKUP(OFFSET(input!$K$29,AI952,0)+10,$AC$944:$AC$953,$AF$944:$AF$953)=0,CEILING(OFFSET(input!$K$29,AI952,0),50),LOOKUP(OFFSET(input!$K$29,AI952,0)+10,$AC$944:$AC$953,$AF$944:$AF$953))</f>
        <v>550</v>
      </c>
      <c r="AK952" s="3565">
        <f ca="1">IF(LOOKUP(OFFSET(input!$K$29,AI952,0)+10,$AD$944:$AD$953,$AG$944:$AG$953)=0,CEILING(OFFSET(input!$K$29,AI952,0),50),LOOKUP(OFFSET(input!$K$29,AI952,0)+10,$AD$944:$AD$953,$AG$944:$AG$953))</f>
        <v>595</v>
      </c>
      <c r="AL952" s="3565">
        <f ca="1">IF(LOOKUP(OFFSET(input!$K$29,AI952,0)+10,$AE$944:$AE$953,$AH$944:$AH$953)=0,CEILING(OFFSET(input!$K$29,AI952,0),50),LOOKUP(OFFSET(input!$K$29,AI952,0)+10,$AE$944:$AE$953,$AH$944:$AH$953))</f>
        <v>605</v>
      </c>
      <c r="AN952" s="3565">
        <v>0</v>
      </c>
      <c r="AO952" s="3565" t="s">
        <v>3603</v>
      </c>
    </row>
    <row r="953" spans="1:41" ht="15.75" customHeight="1">
      <c r="A953" s="2200" t="s">
        <v>72</v>
      </c>
      <c r="B953" s="2214"/>
      <c r="C953" s="2761"/>
      <c r="D953" s="2207"/>
      <c r="E953" s="2215"/>
      <c r="F953" s="2197"/>
      <c r="G953" s="2200"/>
      <c r="H953" s="2201"/>
      <c r="I953" s="136"/>
      <c r="J953" s="136"/>
      <c r="K953" s="1582"/>
      <c r="L953" s="1242">
        <f>Other!B28</f>
        <v>0</v>
      </c>
      <c r="M953" s="1817">
        <f>Other!D28</f>
        <v>3000</v>
      </c>
      <c r="N953" s="2219"/>
      <c r="O953" s="1816">
        <f>Other!C28</f>
        <v>0</v>
      </c>
      <c r="P953" s="2438">
        <f>Other!E28</f>
        <v>20</v>
      </c>
      <c r="Q953" s="2437">
        <f t="shared" si="254"/>
        <v>0</v>
      </c>
      <c r="AA953" s="136">
        <v>0</v>
      </c>
      <c r="AB953" s="136" t="s">
        <v>800</v>
      </c>
      <c r="AC953" s="3565">
        <v>1100</v>
      </c>
      <c r="AD953" s="3565"/>
      <c r="AE953" s="3565"/>
      <c r="AF953" s="3565"/>
      <c r="AG953" s="3565"/>
      <c r="AH953" s="3565"/>
      <c r="AI953" s="136">
        <f>AI951+2</f>
        <v>10</v>
      </c>
      <c r="AJ953" s="3565" t="e">
        <f ca="1">HLOOKUP(OFFSET(input!$J$27,AI952,0),Data!$AJ$943:$AL$2000,AI953,0)</f>
        <v>#N/A</v>
      </c>
      <c r="AK953" s="3565"/>
      <c r="AL953" s="3565"/>
      <c r="AN953" s="3565">
        <v>0</v>
      </c>
      <c r="AO953" s="3565" t="s">
        <v>3603</v>
      </c>
    </row>
    <row r="954" spans="1:41" ht="15.75" customHeight="1">
      <c r="A954" s="2200" t="s">
        <v>1467</v>
      </c>
      <c r="B954" s="2214">
        <v>6000</v>
      </c>
      <c r="C954" s="2761" t="s">
        <v>1138</v>
      </c>
      <c r="D954" s="4009">
        <v>2.7</v>
      </c>
      <c r="E954" s="2215">
        <v>12</v>
      </c>
      <c r="F954" s="2198">
        <v>1.4</v>
      </c>
      <c r="G954" s="2435">
        <v>0.05</v>
      </c>
      <c r="H954" s="2201"/>
      <c r="I954" s="136">
        <f>360+82</f>
        <v>442</v>
      </c>
      <c r="J954" s="2763">
        <v>1600</v>
      </c>
      <c r="K954" s="1582" t="s">
        <v>3062</v>
      </c>
      <c r="L954" s="1242" t="str">
        <f t="shared" ref="L954:N959" si="256">A954</f>
        <v>Metalize_Non_Thermal_Polyplex</v>
      </c>
      <c r="M954" s="1244">
        <f t="shared" si="256"/>
        <v>6000</v>
      </c>
      <c r="N954" s="2219" t="str">
        <f t="shared" si="256"/>
        <v>Polyplex</v>
      </c>
      <c r="O954" s="1240">
        <f>$D954*$P$10*(1+$G954)+SUM($H954:$I954)/$J954*$P$10</f>
        <v>73643.287500000006</v>
      </c>
      <c r="P954" s="2438">
        <f t="shared" ref="P954:P959" si="257">E954</f>
        <v>12</v>
      </c>
      <c r="Q954" s="2437">
        <f t="shared" si="254"/>
        <v>1.4</v>
      </c>
      <c r="R954" s="319">
        <v>605</v>
      </c>
      <c r="S954" s="319">
        <v>667</v>
      </c>
      <c r="T954" s="319">
        <v>744</v>
      </c>
      <c r="U954" s="319">
        <v>782</v>
      </c>
      <c r="V954" s="319">
        <v>846</v>
      </c>
      <c r="W954" s="319">
        <v>899</v>
      </c>
      <c r="X954" s="319">
        <v>939</v>
      </c>
      <c r="AA954" s="136" t="s">
        <v>1467</v>
      </c>
      <c r="AB954" s="136" t="s">
        <v>230</v>
      </c>
      <c r="AI954" s="136">
        <f>AI952+17</f>
        <v>85</v>
      </c>
      <c r="AJ954" s="3565">
        <f ca="1">IF(LOOKUP(OFFSET(input!$K$29,AI954,0)+10,$AC$944:$AC$953,$AF$944:$AF$953)=0,CEILING(OFFSET(input!$K$29,AI954,0),50),LOOKUP(OFFSET(input!$K$29,AI954,0)+10,$AC$944:$AC$953,$AF$944:$AF$953))</f>
        <v>550</v>
      </c>
      <c r="AK954" s="3565">
        <f ca="1">IF(LOOKUP(OFFSET(input!$K$29,AI954,0)+10,$AD$944:$AD$953,$AG$944:$AG$953)=0,CEILING(OFFSET(input!$K$29,AI954,0),50),LOOKUP(OFFSET(input!$K$29,AI954,0)+10,$AD$944:$AD$953,$AG$944:$AG$953))</f>
        <v>595</v>
      </c>
      <c r="AL954" s="3565">
        <f ca="1">IF(LOOKUP(OFFSET(input!$K$29,AI954,0)+10,$AE$944:$AE$953,$AH$944:$AH$953)=0,CEILING(OFFSET(input!$K$29,AI954,0),50),LOOKUP(OFFSET(input!$K$29,AI954,0)+10,$AE$944:$AE$953,$AH$944:$AH$953))</f>
        <v>605</v>
      </c>
      <c r="AN954" s="3565" t="s">
        <v>1467</v>
      </c>
      <c r="AO954" s="3565" t="str">
        <f>IF(input!K29&lt;Data!AE951,"Yes","No")</f>
        <v>Yes</v>
      </c>
    </row>
    <row r="955" spans="1:41" ht="15.75" customHeight="1">
      <c r="A955" s="2200" t="s">
        <v>2332</v>
      </c>
      <c r="B955" s="2214">
        <v>3000</v>
      </c>
      <c r="C955" s="2761" t="s">
        <v>2330</v>
      </c>
      <c r="D955" s="2216">
        <v>4800</v>
      </c>
      <c r="E955" s="2215">
        <v>25</v>
      </c>
      <c r="F955" s="2197"/>
      <c r="G955" s="2200"/>
      <c r="H955" s="2201"/>
      <c r="I955" s="136"/>
      <c r="J955" s="136"/>
      <c r="K955" s="1582"/>
      <c r="L955" s="1242" t="str">
        <f t="shared" si="256"/>
        <v>Thermal Gloss OPP Oxo Biodegradble 25u</v>
      </c>
      <c r="M955" s="1244">
        <f t="shared" si="256"/>
        <v>3000</v>
      </c>
      <c r="N955" s="2219" t="str">
        <f t="shared" si="256"/>
        <v>Hoa Trung</v>
      </c>
      <c r="O955" s="1818">
        <f>D955</f>
        <v>4800</v>
      </c>
      <c r="P955" s="2438">
        <f t="shared" si="257"/>
        <v>25</v>
      </c>
      <c r="Q955" s="2437">
        <f t="shared" si="254"/>
        <v>0</v>
      </c>
      <c r="S955" s="287"/>
      <c r="T955" s="291"/>
      <c r="AA955" s="136" t="s">
        <v>2332</v>
      </c>
      <c r="AB955" s="136" t="s">
        <v>800</v>
      </c>
      <c r="AI955" s="136">
        <f>AI953+2</f>
        <v>12</v>
      </c>
      <c r="AJ955" s="3565" t="e">
        <f ca="1">HLOOKUP(OFFSET(input!$J$27,AI954,0),Data!$AJ$943:$AL$2000,AI955,0)</f>
        <v>#N/A</v>
      </c>
      <c r="AK955" s="3565"/>
      <c r="AL955" s="3565"/>
      <c r="AN955" s="3565" t="s">
        <v>2332</v>
      </c>
      <c r="AO955" s="3565" t="s">
        <v>3603</v>
      </c>
    </row>
    <row r="956" spans="1:41" ht="15.75" customHeight="1">
      <c r="A956" s="2200" t="s">
        <v>2333</v>
      </c>
      <c r="B956" s="2214">
        <v>3000</v>
      </c>
      <c r="C956" s="2761" t="s">
        <v>2330</v>
      </c>
      <c r="D956" s="2216">
        <v>5000</v>
      </c>
      <c r="E956" s="2215">
        <v>26</v>
      </c>
      <c r="F956" s="2197"/>
      <c r="G956" s="2200"/>
      <c r="H956" s="2201"/>
      <c r="I956" s="136"/>
      <c r="J956" s="136"/>
      <c r="K956" s="1582"/>
      <c r="L956" s="1242" t="str">
        <f t="shared" si="256"/>
        <v>Thermal Matt OPP Oxo Biodegradble 26u</v>
      </c>
      <c r="M956" s="1244">
        <f t="shared" si="256"/>
        <v>3000</v>
      </c>
      <c r="N956" s="2219" t="str">
        <f t="shared" si="256"/>
        <v>Hoa Trung</v>
      </c>
      <c r="O956" s="1818">
        <f>D956</f>
        <v>5000</v>
      </c>
      <c r="P956" s="2438">
        <f t="shared" si="257"/>
        <v>26</v>
      </c>
      <c r="Q956" s="2437">
        <f t="shared" si="254"/>
        <v>0</v>
      </c>
      <c r="S956" s="251"/>
      <c r="T956" s="251"/>
      <c r="AA956" s="136" t="s">
        <v>2333</v>
      </c>
      <c r="AB956" s="136" t="s">
        <v>800</v>
      </c>
      <c r="AI956" s="136">
        <f>AI954+17</f>
        <v>102</v>
      </c>
      <c r="AJ956" s="3565">
        <f ca="1">IF(LOOKUP(OFFSET(input!$K$29,AI956,0)+10,$AC$944:$AC$953,$AF$944:$AF$953)=0,CEILING(OFFSET(input!$K$29,AI956,0),50),LOOKUP(OFFSET(input!$K$29,AI956,0)+10,$AC$944:$AC$953,$AF$944:$AF$953))</f>
        <v>550</v>
      </c>
      <c r="AK956" s="3565">
        <f ca="1">IF(LOOKUP(OFFSET(input!$K$29,AI956,0)+10,$AD$944:$AD$953,$AG$944:$AG$953)=0,CEILING(OFFSET(input!$K$29,AI956,0),50),LOOKUP(OFFSET(input!$K$29,AI956,0)+10,$AD$944:$AD$953,$AG$944:$AG$953))</f>
        <v>595</v>
      </c>
      <c r="AL956" s="3565">
        <f ca="1">IF(LOOKUP(OFFSET(input!$K$29,AI956,0)+10,$AE$944:$AE$953,$AH$944:$AH$953)=0,CEILING(OFFSET(input!$K$29,AI956,0),50),LOOKUP(OFFSET(input!$K$29,AI956,0)+10,$AE$944:$AE$953,$AH$944:$AH$953))</f>
        <v>605</v>
      </c>
      <c r="AN956" s="3565" t="s">
        <v>2333</v>
      </c>
      <c r="AO956" s="3565" t="s">
        <v>3603</v>
      </c>
    </row>
    <row r="957" spans="1:41" ht="15.75" customHeight="1">
      <c r="A957" s="2200" t="s">
        <v>1468</v>
      </c>
      <c r="B957" s="2214">
        <v>3000</v>
      </c>
      <c r="C957" s="2761" t="s">
        <v>1136</v>
      </c>
      <c r="D957" s="2207">
        <f>ROUNDUP(135000/1.1,0)</f>
        <v>122728</v>
      </c>
      <c r="E957" s="2215">
        <v>22</v>
      </c>
      <c r="F957" s="2198">
        <v>1.2</v>
      </c>
      <c r="G957" s="2200"/>
      <c r="H957" s="2201"/>
      <c r="I957" s="136"/>
      <c r="J957" s="136"/>
      <c r="K957" s="1582"/>
      <c r="L957" s="1242" t="str">
        <f t="shared" si="256"/>
        <v>Metalize_Thermal_Local</v>
      </c>
      <c r="M957" s="1244">
        <f t="shared" si="256"/>
        <v>3000</v>
      </c>
      <c r="N957" s="2219" t="str">
        <f t="shared" si="256"/>
        <v>Sai Gon Kim Khanh</v>
      </c>
      <c r="O957" s="1816">
        <f>D957</f>
        <v>122728</v>
      </c>
      <c r="P957" s="2438">
        <f t="shared" si="257"/>
        <v>22</v>
      </c>
      <c r="Q957" s="2437">
        <f t="shared" si="254"/>
        <v>1.2</v>
      </c>
      <c r="S957" s="302"/>
      <c r="T957" s="291"/>
      <c r="AA957" s="136" t="s">
        <v>1468</v>
      </c>
      <c r="AB957" s="136" t="s">
        <v>230</v>
      </c>
      <c r="AI957" s="136">
        <f>AI955+2</f>
        <v>14</v>
      </c>
      <c r="AJ957" s="3565" t="e">
        <f ca="1">HLOOKUP(OFFSET(input!$J$27,AI956,0),Data!$AJ$943:$AL$2000,AI957,0)</f>
        <v>#N/A</v>
      </c>
      <c r="AK957" s="3565"/>
      <c r="AL957" s="3565"/>
      <c r="AN957" s="3565" t="s">
        <v>1468</v>
      </c>
      <c r="AO957" s="3565" t="s">
        <v>3603</v>
      </c>
    </row>
    <row r="958" spans="1:41" ht="15.75" customHeight="1">
      <c r="A958" s="2200" t="s">
        <v>2334</v>
      </c>
      <c r="B958" s="2214">
        <v>3000</v>
      </c>
      <c r="C958" s="2761" t="s">
        <v>2335</v>
      </c>
      <c r="D958" s="3738"/>
      <c r="E958" s="2215">
        <v>14</v>
      </c>
      <c r="F958" s="2197"/>
      <c r="G958" s="2435">
        <v>0.06</v>
      </c>
      <c r="H958" s="2436"/>
      <c r="I958" s="136"/>
      <c r="J958" s="136"/>
      <c r="K958" s="1582"/>
      <c r="L958" s="1242" t="str">
        <f t="shared" si="256"/>
        <v>Holographic film 14u</v>
      </c>
      <c r="M958" s="1244">
        <f t="shared" si="256"/>
        <v>3000</v>
      </c>
      <c r="N958" s="2219" t="str">
        <f t="shared" si="256"/>
        <v>K LASER TECHNOLOGY (THAILAND)</v>
      </c>
      <c r="O958" s="1818">
        <f>$D$958*$P$10*(1+G958)+H958</f>
        <v>0</v>
      </c>
      <c r="P958" s="2438">
        <f t="shared" si="257"/>
        <v>14</v>
      </c>
      <c r="Q958" s="2437">
        <f t="shared" si="254"/>
        <v>0</v>
      </c>
      <c r="S958" s="302"/>
      <c r="T958" s="291"/>
      <c r="AA958" s="136" t="s">
        <v>2334</v>
      </c>
      <c r="AB958" s="136" t="s">
        <v>230</v>
      </c>
      <c r="AI958" s="136">
        <f>AI956+17</f>
        <v>119</v>
      </c>
      <c r="AJ958" s="3565">
        <f ca="1">IF(LOOKUP(OFFSET(input!$K$29,AI958,0)+10,$AC$944:$AC$953,$AF$944:$AF$953)=0,CEILING(OFFSET(input!$K$29,AI958,0),50),LOOKUP(OFFSET(input!$K$29,AI958,0)+10,$AC$944:$AC$953,$AF$944:$AF$953))</f>
        <v>550</v>
      </c>
      <c r="AK958" s="3565">
        <f ca="1">IF(LOOKUP(OFFSET(input!$K$29,AI958,0)+10,$AD$944:$AD$953,$AG$944:$AG$953)=0,CEILING(OFFSET(input!$K$29,AI958,0),50),LOOKUP(OFFSET(input!$K$29,AI958,0)+10,$AD$944:$AD$953,$AG$944:$AG$953))</f>
        <v>595</v>
      </c>
      <c r="AL958" s="3565">
        <f ca="1">IF(LOOKUP(OFFSET(input!$K$29,AI958,0)+10,$AE$944:$AE$953,$AH$944:$AH$953)=0,CEILING(OFFSET(input!$K$29,AI958,0),50),LOOKUP(OFFSET(input!$K$29,AI958,0)+10,$AE$944:$AE$953,$AH$944:$AH$953))</f>
        <v>605</v>
      </c>
      <c r="AN958" s="3565" t="s">
        <v>2334</v>
      </c>
      <c r="AO958" s="3565" t="s">
        <v>3603</v>
      </c>
    </row>
    <row r="959" spans="1:41" ht="15.75" customHeight="1">
      <c r="A959" s="2200" t="s">
        <v>127</v>
      </c>
      <c r="B959" s="2214"/>
      <c r="C959" s="2206"/>
      <c r="D959" s="2218"/>
      <c r="E959" s="2215"/>
      <c r="F959" s="2197"/>
      <c r="G959" s="2200"/>
      <c r="H959" s="2200"/>
      <c r="I959" s="3125"/>
      <c r="J959" s="136"/>
      <c r="K959" s="1582"/>
      <c r="L959" s="1242" t="str">
        <f t="shared" si="256"/>
        <v>None</v>
      </c>
      <c r="M959" s="1244">
        <f t="shared" si="256"/>
        <v>0</v>
      </c>
      <c r="N959" s="2219">
        <f t="shared" si="256"/>
        <v>0</v>
      </c>
      <c r="O959" s="1816">
        <f>D959</f>
        <v>0</v>
      </c>
      <c r="P959" s="2438">
        <f t="shared" si="257"/>
        <v>0</v>
      </c>
      <c r="Q959" s="2437">
        <f t="shared" si="254"/>
        <v>0</v>
      </c>
      <c r="S959" s="302"/>
      <c r="T959" s="291"/>
      <c r="AA959" s="136" t="s">
        <v>127</v>
      </c>
      <c r="AB959" s="136" t="s">
        <v>800</v>
      </c>
      <c r="AI959" s="136">
        <f>AI957+2</f>
        <v>16</v>
      </c>
      <c r="AJ959" s="3565" t="e">
        <f ca="1">HLOOKUP(OFFSET(input!$J$27,AI958,0),Data!$AJ$943:$AL$2000,AI959,0)</f>
        <v>#N/A</v>
      </c>
      <c r="AK959" s="3565"/>
      <c r="AL959" s="3565"/>
      <c r="AN959" s="3565" t="s">
        <v>127</v>
      </c>
      <c r="AO959" s="3565" t="s">
        <v>3603</v>
      </c>
    </row>
    <row r="960" spans="1:41" ht="15.75" customHeight="1">
      <c r="A960" s="284" t="s">
        <v>592</v>
      </c>
      <c r="B960" s="284"/>
      <c r="C960" s="284"/>
      <c r="D960" s="284"/>
      <c r="E960" s="284"/>
      <c r="F960" s="284"/>
      <c r="G960" s="284"/>
      <c r="H960" s="284"/>
      <c r="I960" s="284"/>
      <c r="J960" s="1582"/>
      <c r="K960" s="1582"/>
      <c r="L960" s="284"/>
      <c r="M960" s="284"/>
      <c r="N960" s="1582"/>
      <c r="O960" s="1582"/>
      <c r="P960" s="1582"/>
      <c r="Q960" s="1582"/>
      <c r="R960" s="1582"/>
      <c r="S960" s="1582"/>
      <c r="AI960" s="136">
        <f>AI958+17</f>
        <v>136</v>
      </c>
      <c r="AJ960" s="3565">
        <f ca="1">IF(LOOKUP(OFFSET(input!$K$29,AI960,0)+10,$AC$944:$AC$953,$AF$944:$AF$953)=0,CEILING(OFFSET(input!$K$29,AI960,0),50),LOOKUP(OFFSET(input!$K$29,AI960,0)+10,$AC$944:$AC$953,$AF$944:$AF$953))</f>
        <v>550</v>
      </c>
      <c r="AK960" s="3565">
        <f ca="1">IF(LOOKUP(OFFSET(input!$K$29,AI960,0)+10,$AD$944:$AD$953,$AG$944:$AG$953)=0,CEILING(OFFSET(input!$K$29,AI960,0),50),LOOKUP(OFFSET(input!$K$29,AI960,0)+10,$AD$944:$AD$953,$AG$944:$AG$953))</f>
        <v>595</v>
      </c>
      <c r="AL960" s="3565">
        <f ca="1">IF(LOOKUP(OFFSET(input!$K$29,AI960,0)+10,$AE$944:$AE$953,$AH$944:$AH$953)=0,CEILING(OFFSET(input!$K$29,AI960,0),50),LOOKUP(OFFSET(input!$K$29,AI960,0)+10,$AE$944:$AE$953,$AH$944:$AH$953))</f>
        <v>605</v>
      </c>
    </row>
    <row r="961" spans="1:38" ht="15.75" customHeight="1">
      <c r="A961" s="2227" t="s">
        <v>1227</v>
      </c>
      <c r="B961" s="2227"/>
      <c r="C961" s="2204" t="s">
        <v>235</v>
      </c>
      <c r="D961" s="2204" t="s">
        <v>236</v>
      </c>
      <c r="E961" s="2204" t="s">
        <v>237</v>
      </c>
      <c r="F961" s="2200"/>
      <c r="G961" s="2200"/>
      <c r="H961" s="2227" t="s">
        <v>2253</v>
      </c>
      <c r="I961" s="2227" t="s">
        <v>2300</v>
      </c>
      <c r="J961" s="2227" t="s">
        <v>2874</v>
      </c>
      <c r="K961" s="1582"/>
      <c r="L961" s="2664" t="s">
        <v>1227</v>
      </c>
      <c r="M961" s="2665"/>
      <c r="N961" s="2666" t="s">
        <v>235</v>
      </c>
      <c r="O961" s="2666" t="s">
        <v>236</v>
      </c>
      <c r="P961" s="2667" t="s">
        <v>237</v>
      </c>
      <c r="Q961" s="2664" t="s">
        <v>1228</v>
      </c>
      <c r="R961" s="2679" t="s">
        <v>153</v>
      </c>
      <c r="AI961" s="136">
        <f>AI959+2</f>
        <v>18</v>
      </c>
      <c r="AJ961" s="3565" t="e">
        <f ca="1">HLOOKUP(OFFSET(input!$J$27,AI960,0),Data!$AJ$943:$AL$2000,AI961,0)</f>
        <v>#N/A</v>
      </c>
      <c r="AK961" s="3565"/>
      <c r="AL961" s="3565"/>
    </row>
    <row r="962" spans="1:38" ht="15.75" customHeight="1">
      <c r="A962" s="2211"/>
      <c r="B962" s="2205"/>
      <c r="C962" s="2220"/>
      <c r="D962" s="2221"/>
      <c r="E962" s="2222"/>
      <c r="F962" s="2200"/>
      <c r="G962" s="2200"/>
      <c r="H962" s="2200"/>
      <c r="I962" s="136"/>
      <c r="J962" s="136"/>
      <c r="K962" s="1582"/>
      <c r="L962" s="1246">
        <f t="shared" ref="L962:L989" si="258">A962</f>
        <v>0</v>
      </c>
      <c r="M962" s="2668"/>
      <c r="N962" s="1247">
        <f t="shared" ref="N962:P965" si="259">C962</f>
        <v>0</v>
      </c>
      <c r="O962" s="2296">
        <f t="shared" si="259"/>
        <v>0</v>
      </c>
      <c r="P962" s="1250">
        <f t="shared" si="259"/>
        <v>0</v>
      </c>
      <c r="Q962" s="1828"/>
      <c r="R962" s="2677"/>
      <c r="AI962" s="136">
        <f>AI960+17</f>
        <v>153</v>
      </c>
      <c r="AJ962" s="3565">
        <f ca="1">IF(LOOKUP(OFFSET(input!$K$29,AI962,0)+10,$AC$944:$AC$953,$AF$944:$AF$953)=0,CEILING(OFFSET(input!$K$29,AI962,0),50),LOOKUP(OFFSET(input!$K$29,AI962,0)+10,$AC$944:$AC$953,$AF$944:$AF$953))</f>
        <v>550</v>
      </c>
      <c r="AK962" s="3565">
        <f ca="1">IF(LOOKUP(OFFSET(input!$K$29,AI962,0)+10,$AD$944:$AD$953,$AG$944:$AG$953)=0,CEILING(OFFSET(input!$K$29,AI962,0),50),LOOKUP(OFFSET(input!$K$29,AI962,0)+10,$AD$944:$AD$953,$AG$944:$AG$953))</f>
        <v>595</v>
      </c>
      <c r="AL962" s="3565">
        <f ca="1">IF(LOOKUP(OFFSET(input!$K$29,AI962,0)+10,$AE$944:$AE$953,$AH$944:$AH$953)=0,CEILING(OFFSET(input!$K$29,AI962,0),50),LOOKUP(OFFSET(input!$K$29,AI962,0)+10,$AE$944:$AE$953,$AH$944:$AH$953))</f>
        <v>605</v>
      </c>
    </row>
    <row r="963" spans="1:38" ht="15.75" customHeight="1">
      <c r="A963" s="2211" t="s">
        <v>1231</v>
      </c>
      <c r="B963" s="2205"/>
      <c r="C963" s="2220" t="s">
        <v>1229</v>
      </c>
      <c r="D963" s="2221">
        <v>49000</v>
      </c>
      <c r="E963" s="2222"/>
      <c r="F963" s="2200"/>
      <c r="G963" s="2200"/>
      <c r="H963" s="2200"/>
      <c r="I963" s="2990"/>
      <c r="J963" s="136"/>
      <c r="K963" s="1582"/>
      <c r="L963" s="1246" t="str">
        <f t="shared" si="258"/>
        <v>A-10211</v>
      </c>
      <c r="M963" s="2668"/>
      <c r="N963" s="1247" t="str">
        <f t="shared" si="259"/>
        <v>Dinh Vang</v>
      </c>
      <c r="O963" s="1248">
        <f t="shared" si="259"/>
        <v>49000</v>
      </c>
      <c r="P963" s="1249">
        <f t="shared" si="259"/>
        <v>0</v>
      </c>
      <c r="Q963" s="1828"/>
      <c r="R963" s="2677"/>
      <c r="AI963" s="136">
        <f>AI961+2</f>
        <v>20</v>
      </c>
      <c r="AJ963" s="3565" t="e">
        <f ca="1">HLOOKUP(OFFSET(input!$J$27,AI962,0),Data!$AJ$943:$AL$2000,AI963,0)</f>
        <v>#N/A</v>
      </c>
      <c r="AK963" s="3565"/>
      <c r="AL963" s="3565"/>
    </row>
    <row r="964" spans="1:38" ht="15.75" customHeight="1">
      <c r="A964" s="2211" t="s">
        <v>1233</v>
      </c>
      <c r="B964" s="2205"/>
      <c r="C964" s="2220" t="s">
        <v>1234</v>
      </c>
      <c r="D964" s="2221">
        <v>85000</v>
      </c>
      <c r="E964" s="2222"/>
      <c r="F964" s="2200"/>
      <c r="G964" s="2200"/>
      <c r="H964" s="2200"/>
      <c r="I964" s="136"/>
      <c r="J964" s="136"/>
      <c r="K964" s="1582"/>
      <c r="L964" s="1246" t="str">
        <f t="shared" si="258"/>
        <v>9944H</v>
      </c>
      <c r="M964" s="2668"/>
      <c r="N964" s="1247" t="str">
        <f t="shared" si="259"/>
        <v>SG Tân Thịnh Phú</v>
      </c>
      <c r="O964" s="1248">
        <f t="shared" si="259"/>
        <v>85000</v>
      </c>
      <c r="P964" s="1249">
        <f t="shared" si="259"/>
        <v>0</v>
      </c>
      <c r="Q964" s="1828"/>
      <c r="R964" s="2677"/>
    </row>
    <row r="965" spans="1:38" ht="15.75" customHeight="1">
      <c r="A965" s="2211" t="s">
        <v>1226</v>
      </c>
      <c r="B965" s="2205"/>
      <c r="C965" s="2220" t="s">
        <v>1229</v>
      </c>
      <c r="D965" s="2221">
        <v>14500</v>
      </c>
      <c r="E965" s="2222"/>
      <c r="F965" s="2200"/>
      <c r="G965" s="2200"/>
      <c r="H965" s="2200"/>
      <c r="I965" s="2991"/>
      <c r="J965" s="136"/>
      <c r="K965" s="1582"/>
      <c r="L965" s="1246" t="str">
        <f t="shared" si="258"/>
        <v>D450</v>
      </c>
      <c r="M965" s="2668"/>
      <c r="N965" s="1247" t="str">
        <f t="shared" si="259"/>
        <v>Dinh Vang</v>
      </c>
      <c r="O965" s="1248">
        <f t="shared" si="259"/>
        <v>14500</v>
      </c>
      <c r="P965" s="1249">
        <f t="shared" si="259"/>
        <v>0</v>
      </c>
      <c r="Q965" s="1828" t="s">
        <v>1223</v>
      </c>
      <c r="R965" s="2677"/>
    </row>
    <row r="966" spans="1:38" ht="15.75" customHeight="1">
      <c r="A966" s="2211" t="s">
        <v>2354</v>
      </c>
      <c r="B966" s="2205"/>
      <c r="C966" s="2220" t="s">
        <v>2353</v>
      </c>
      <c r="D966" s="2221">
        <v>135000</v>
      </c>
      <c r="E966" s="2222"/>
      <c r="F966" s="2200"/>
      <c r="G966" s="2200"/>
      <c r="H966" s="2200"/>
      <c r="I966" s="136"/>
      <c r="J966" s="136"/>
      <c r="K966" s="1582"/>
      <c r="L966" s="1246" t="str">
        <f t="shared" si="258"/>
        <v>Glue 7068</v>
      </c>
      <c r="M966" s="2668"/>
      <c r="N966" s="1247" t="str">
        <f t="shared" ref="N966:O973" si="260">C966</f>
        <v>Giang Chau</v>
      </c>
      <c r="O966" s="1248">
        <f t="shared" si="260"/>
        <v>135000</v>
      </c>
      <c r="P966" s="1249"/>
      <c r="Q966" s="1828"/>
      <c r="R966" s="2677"/>
    </row>
    <row r="967" spans="1:38" ht="15.75" customHeight="1">
      <c r="A967" s="2211" t="s">
        <v>2355</v>
      </c>
      <c r="B967" s="2205"/>
      <c r="C967" s="2220" t="s">
        <v>1236</v>
      </c>
      <c r="D967" s="2221" t="s">
        <v>3007</v>
      </c>
      <c r="E967" s="2222"/>
      <c r="F967" s="2200"/>
      <c r="G967" s="2200"/>
      <c r="H967" s="2200"/>
      <c r="I967" s="136"/>
      <c r="J967" s="136"/>
      <c r="K967" s="1582"/>
      <c r="L967" s="1246" t="str">
        <f t="shared" si="258"/>
        <v>Glue Hotmelt 50-432</v>
      </c>
      <c r="M967" s="2668"/>
      <c r="N967" s="1247" t="str">
        <f t="shared" si="260"/>
        <v>Valona</v>
      </c>
      <c r="O967" s="1248" t="str">
        <f t="shared" si="260"/>
        <v>Stop</v>
      </c>
      <c r="P967" s="1249"/>
      <c r="Q967" s="1828"/>
      <c r="R967" s="2677"/>
    </row>
    <row r="968" spans="1:38" ht="15.75" customHeight="1">
      <c r="A968" s="2211" t="s">
        <v>3346</v>
      </c>
      <c r="B968" s="2205"/>
      <c r="C968" s="2220" t="s">
        <v>1236</v>
      </c>
      <c r="D968" s="2221"/>
      <c r="E968" s="2222"/>
      <c r="F968" s="2200"/>
      <c r="G968" s="2200"/>
      <c r="H968" s="2200"/>
      <c r="I968" s="136"/>
      <c r="J968" s="136"/>
      <c r="K968" s="1582"/>
      <c r="L968" s="1246" t="str">
        <f t="shared" si="258"/>
        <v>Minerva SM-002</v>
      </c>
      <c r="M968" s="2668"/>
      <c r="N968" s="1247" t="str">
        <f t="shared" si="260"/>
        <v>Valona</v>
      </c>
      <c r="O968" s="1248">
        <f t="shared" si="260"/>
        <v>0</v>
      </c>
      <c r="P968" s="1249">
        <f t="shared" ref="P968:P989" si="261">E968</f>
        <v>0</v>
      </c>
      <c r="Q968" s="1828" t="s">
        <v>1230</v>
      </c>
      <c r="R968" s="2677"/>
    </row>
    <row r="969" spans="1:38" ht="15.75" customHeight="1">
      <c r="A969" s="2211" t="s">
        <v>1238</v>
      </c>
      <c r="B969" s="2205"/>
      <c r="C969" s="2220" t="s">
        <v>1236</v>
      </c>
      <c r="D969" s="2221">
        <f>83500</f>
        <v>83500</v>
      </c>
      <c r="E969" s="2222"/>
      <c r="F969" s="2200"/>
      <c r="G969" s="2200"/>
      <c r="H969" s="2200"/>
      <c r="I969" s="136"/>
      <c r="J969" s="136"/>
      <c r="K969" s="1582"/>
      <c r="L969" s="1246" t="str">
        <f t="shared" si="258"/>
        <v>Hotmelt 80-102</v>
      </c>
      <c r="M969" s="2668"/>
      <c r="N969" s="1247" t="str">
        <f t="shared" si="260"/>
        <v>Valona</v>
      </c>
      <c r="O969" s="1248">
        <f t="shared" si="260"/>
        <v>83500</v>
      </c>
      <c r="P969" s="1249">
        <f t="shared" si="261"/>
        <v>0</v>
      </c>
      <c r="Q969" s="1828" t="s">
        <v>1232</v>
      </c>
      <c r="R969" s="2677"/>
    </row>
    <row r="970" spans="1:38" ht="15.75" customHeight="1">
      <c r="A970" s="2211" t="s">
        <v>2068</v>
      </c>
      <c r="B970" s="2205"/>
      <c r="C970" s="2220" t="s">
        <v>2069</v>
      </c>
      <c r="D970" s="2221"/>
      <c r="E970" s="2222"/>
      <c r="F970" s="2200"/>
      <c r="G970" s="2200"/>
      <c r="H970" s="2200"/>
      <c r="I970" s="136"/>
      <c r="J970" s="136"/>
      <c r="K970" s="1582"/>
      <c r="L970" s="1246" t="str">
        <f t="shared" si="258"/>
        <v xml:space="preserve">Bondmaster 314 </v>
      </c>
      <c r="M970" s="2668"/>
      <c r="N970" s="1247" t="str">
        <f t="shared" si="260"/>
        <v>National VN</v>
      </c>
      <c r="O970" s="1248">
        <f t="shared" si="260"/>
        <v>0</v>
      </c>
      <c r="P970" s="1249">
        <f t="shared" si="261"/>
        <v>0</v>
      </c>
      <c r="Q970" s="1828" t="s">
        <v>1066</v>
      </c>
      <c r="R970" s="2677"/>
    </row>
    <row r="971" spans="1:38" ht="15.75" customHeight="1">
      <c r="A971" s="2211" t="s">
        <v>3313</v>
      </c>
      <c r="B971" s="2205"/>
      <c r="C971" s="2220" t="s">
        <v>1236</v>
      </c>
      <c r="D971" s="2221">
        <v>100000</v>
      </c>
      <c r="E971" s="2222"/>
      <c r="F971" s="2200"/>
      <c r="G971" s="2200"/>
      <c r="H971" s="2200"/>
      <c r="I971" s="136"/>
      <c r="J971" s="136"/>
      <c r="K971" s="1582"/>
      <c r="L971" s="1246" t="str">
        <f t="shared" si="258"/>
        <v>Hotmelt Vegamelt3</v>
      </c>
      <c r="M971" s="2668"/>
      <c r="N971" s="1247" t="str">
        <f t="shared" si="260"/>
        <v>Valona</v>
      </c>
      <c r="O971" s="1248">
        <f t="shared" si="260"/>
        <v>100000</v>
      </c>
      <c r="P971" s="1249">
        <f t="shared" si="261"/>
        <v>0</v>
      </c>
      <c r="Q971" s="1828" t="s">
        <v>1235</v>
      </c>
      <c r="R971" s="2677"/>
    </row>
    <row r="972" spans="1:38" ht="15.75" customHeight="1">
      <c r="A972" s="2211" t="s">
        <v>1241</v>
      </c>
      <c r="B972" s="2205"/>
      <c r="C972" s="2220" t="s">
        <v>1242</v>
      </c>
      <c r="D972" s="2221" t="s">
        <v>3007</v>
      </c>
      <c r="E972" s="2222"/>
      <c r="F972" s="2200"/>
      <c r="G972" s="2200"/>
      <c r="H972" s="2200"/>
      <c r="I972" s="136"/>
      <c r="J972" s="136"/>
      <c r="K972" s="1582"/>
      <c r="L972" s="1246" t="str">
        <f t="shared" si="258"/>
        <v>C7000</v>
      </c>
      <c r="M972" s="2668"/>
      <c r="N972" s="1247" t="str">
        <f t="shared" si="260"/>
        <v>PNP CHEMITECH</v>
      </c>
      <c r="O972" s="1248" t="str">
        <f t="shared" si="260"/>
        <v>Stop</v>
      </c>
      <c r="P972" s="1249">
        <f t="shared" si="261"/>
        <v>0</v>
      </c>
      <c r="Q972" s="1828" t="s">
        <v>1237</v>
      </c>
      <c r="R972" s="2677"/>
    </row>
    <row r="973" spans="1:38" ht="15.75" customHeight="1">
      <c r="A973" s="2211" t="s">
        <v>1224</v>
      </c>
      <c r="B973" s="2205"/>
      <c r="C973" s="2220" t="s">
        <v>1218</v>
      </c>
      <c r="D973" s="3325">
        <v>54590</v>
      </c>
      <c r="E973" s="2222"/>
      <c r="F973" s="2200"/>
      <c r="G973" s="2200"/>
      <c r="H973" s="2200"/>
      <c r="I973" s="136"/>
      <c r="J973" s="136"/>
      <c r="K973" s="1582"/>
      <c r="L973" s="1246" t="str">
        <f t="shared" si="258"/>
        <v>DA-T</v>
      </c>
      <c r="M973" s="2668"/>
      <c r="N973" s="1247" t="str">
        <f t="shared" si="260"/>
        <v>TTK Co., Ltd</v>
      </c>
      <c r="O973" s="1248">
        <f t="shared" si="260"/>
        <v>54590</v>
      </c>
      <c r="P973" s="1249">
        <f t="shared" si="261"/>
        <v>0</v>
      </c>
      <c r="Q973" s="1828" t="s">
        <v>1239</v>
      </c>
      <c r="R973" s="2677"/>
    </row>
    <row r="974" spans="1:38" ht="15.75" customHeight="1">
      <c r="A974" s="2211" t="s">
        <v>1243</v>
      </c>
      <c r="B974" s="2205"/>
      <c r="C974" s="2220" t="s">
        <v>1244</v>
      </c>
      <c r="D974" s="3410">
        <v>1.3</v>
      </c>
      <c r="E974" s="2767"/>
      <c r="F974" s="2200"/>
      <c r="G974" s="2200"/>
      <c r="H974" s="2200">
        <v>120</v>
      </c>
      <c r="I974" s="136">
        <f>360+106</f>
        <v>466</v>
      </c>
      <c r="J974" s="2763">
        <v>4000</v>
      </c>
      <c r="K974" s="1582" t="s">
        <v>2958</v>
      </c>
      <c r="L974" s="1246" t="str">
        <f t="shared" si="258"/>
        <v>BH - 502</v>
      </c>
      <c r="M974" s="2668"/>
      <c r="N974" s="1247" t="str">
        <f t="shared" ref="N974:N989" si="262">C974</f>
        <v>SHANGHAI HUAXUAN</v>
      </c>
      <c r="O974" s="1816">
        <f>$D974*$P$10*(1+$G974)+SUM($H974:$I974)/$J974*$P$10</f>
        <v>34238.654999999999</v>
      </c>
      <c r="P974" s="1249">
        <f t="shared" si="261"/>
        <v>0</v>
      </c>
      <c r="Q974" s="1828" t="s">
        <v>1225</v>
      </c>
      <c r="R974" s="2677"/>
    </row>
    <row r="975" spans="1:38" ht="15.75" customHeight="1">
      <c r="A975" s="2211" t="s">
        <v>1245</v>
      </c>
      <c r="B975" s="2205"/>
      <c r="C975" s="2220" t="s">
        <v>1229</v>
      </c>
      <c r="D975" s="2221"/>
      <c r="E975" s="2222"/>
      <c r="F975" s="2200"/>
      <c r="G975" s="2200"/>
      <c r="H975" s="2200"/>
      <c r="I975" s="136"/>
      <c r="J975" s="136"/>
      <c r="K975" s="1582"/>
      <c r="L975" s="1246" t="str">
        <f t="shared" si="258"/>
        <v>AD-50R/1</v>
      </c>
      <c r="M975" s="2668"/>
      <c r="N975" s="1247" t="str">
        <f t="shared" si="262"/>
        <v>Dinh Vang</v>
      </c>
      <c r="O975" s="1248">
        <f t="shared" ref="O975:O986" si="263">D975</f>
        <v>0</v>
      </c>
      <c r="P975" s="1249">
        <f t="shared" si="261"/>
        <v>0</v>
      </c>
      <c r="Q975" s="1828" t="s">
        <v>1240</v>
      </c>
      <c r="R975" s="2677"/>
    </row>
    <row r="976" spans="1:38" ht="15.75" customHeight="1">
      <c r="A976" s="2211" t="s">
        <v>1117</v>
      </c>
      <c r="B976" s="2205"/>
      <c r="C976" s="2220" t="s">
        <v>1218</v>
      </c>
      <c r="D976" s="3325">
        <v>62830</v>
      </c>
      <c r="E976" s="2222">
        <f>((12.918/1000)/10^6)*10000</f>
        <v>1.2917999999999998E-4</v>
      </c>
      <c r="F976" s="2200"/>
      <c r="G976" s="2200"/>
      <c r="H976" s="2200"/>
      <c r="I976" s="136"/>
      <c r="J976" s="136"/>
      <c r="K976" s="1582"/>
      <c r="L976" s="1246" t="str">
        <f t="shared" si="258"/>
        <v>Resin AR 8207B-(for MPET)</v>
      </c>
      <c r="M976" s="2668"/>
      <c r="N976" s="1247" t="str">
        <f t="shared" si="262"/>
        <v>TTK Co., Ltd</v>
      </c>
      <c r="O976" s="1248">
        <f t="shared" si="263"/>
        <v>62830</v>
      </c>
      <c r="P976" s="1249">
        <f t="shared" si="261"/>
        <v>1.2917999999999998E-4</v>
      </c>
      <c r="Q976" s="1828"/>
      <c r="R976" s="2677"/>
    </row>
    <row r="977" spans="1:22" ht="15.75" customHeight="1">
      <c r="A977" s="2211" t="s">
        <v>1118</v>
      </c>
      <c r="B977" s="2205"/>
      <c r="C977" s="2220" t="s">
        <v>1218</v>
      </c>
      <c r="D977" s="3325">
        <f>D976</f>
        <v>62830</v>
      </c>
      <c r="E977" s="2222">
        <f>((12.486/1000)/10^6)*10000</f>
        <v>1.2485999999999999E-4</v>
      </c>
      <c r="F977" s="2200"/>
      <c r="G977" s="2200"/>
      <c r="H977" s="2200"/>
      <c r="I977" s="136"/>
      <c r="J977" s="136"/>
      <c r="K977" s="1582"/>
      <c r="L977" s="1246" t="str">
        <f t="shared" si="258"/>
        <v>Resin AR 8207B-(for Hologram)</v>
      </c>
      <c r="M977" s="2668"/>
      <c r="N977" s="1247" t="str">
        <f t="shared" si="262"/>
        <v>TTK Co., Ltd</v>
      </c>
      <c r="O977" s="1248">
        <f t="shared" si="263"/>
        <v>62830</v>
      </c>
      <c r="P977" s="1249">
        <f t="shared" si="261"/>
        <v>1.2485999999999999E-4</v>
      </c>
      <c r="Q977" s="1828"/>
      <c r="R977" s="2677"/>
    </row>
    <row r="978" spans="1:22" ht="15.75" customHeight="1">
      <c r="A978" s="2211" t="s">
        <v>1116</v>
      </c>
      <c r="B978" s="2205"/>
      <c r="C978" s="2220" t="s">
        <v>1218</v>
      </c>
      <c r="D978" s="3325">
        <f>D977</f>
        <v>62830</v>
      </c>
      <c r="E978" s="2222"/>
      <c r="F978" s="2200"/>
      <c r="G978" s="2200"/>
      <c r="H978" s="2200"/>
      <c r="I978" s="136"/>
      <c r="J978" s="136"/>
      <c r="K978" s="1582"/>
      <c r="L978" s="1246" t="str">
        <f t="shared" si="258"/>
        <v>Resin AR 8207B-(for OPP)</v>
      </c>
      <c r="M978" s="2668"/>
      <c r="N978" s="1247" t="str">
        <f t="shared" si="262"/>
        <v>TTK Co., Ltd</v>
      </c>
      <c r="O978" s="1248">
        <f t="shared" si="263"/>
        <v>62830</v>
      </c>
      <c r="P978" s="1249">
        <f t="shared" si="261"/>
        <v>0</v>
      </c>
      <c r="Q978" s="1828"/>
      <c r="R978" s="2677"/>
    </row>
    <row r="979" spans="1:22" ht="15.75" customHeight="1">
      <c r="A979" s="2768" t="s">
        <v>1246</v>
      </c>
      <c r="B979" s="2200"/>
      <c r="C979" s="2220" t="s">
        <v>1229</v>
      </c>
      <c r="D979" s="2221">
        <f>D965</f>
        <v>14500</v>
      </c>
      <c r="E979" s="2223">
        <f>F979/(G979*1000*1000)</f>
        <v>3.5714285714285712E-8</v>
      </c>
      <c r="F979" s="2224">
        <v>1</v>
      </c>
      <c r="G979" s="2225">
        <v>28</v>
      </c>
      <c r="H979" s="2200"/>
      <c r="I979" s="136"/>
      <c r="J979" s="136"/>
      <c r="K979" s="1582"/>
      <c r="L979" s="1246" t="str">
        <f t="shared" si="258"/>
        <v>Glue D450 - BB</v>
      </c>
      <c r="N979" s="1247" t="str">
        <f t="shared" si="262"/>
        <v>Dinh Vang</v>
      </c>
      <c r="O979" s="1248">
        <f t="shared" si="263"/>
        <v>14500</v>
      </c>
      <c r="P979" s="1251">
        <f t="shared" si="261"/>
        <v>3.5714285714285712E-8</v>
      </c>
      <c r="Q979" s="2669" t="s">
        <v>655</v>
      </c>
      <c r="R979" s="2678">
        <f t="shared" ref="R979:R986" si="264">ROUNDUP(O979*P979,5)</f>
        <v>5.2000000000000006E-4</v>
      </c>
      <c r="S979" s="305">
        <v>1</v>
      </c>
      <c r="T979" s="291" t="s">
        <v>208</v>
      </c>
      <c r="U979" s="287">
        <v>28</v>
      </c>
      <c r="V979" s="291" t="s">
        <v>206</v>
      </c>
    </row>
    <row r="980" spans="1:22" ht="15.75" customHeight="1">
      <c r="A980" s="2768" t="s">
        <v>1247</v>
      </c>
      <c r="B980" s="2200"/>
      <c r="C980" s="2220" t="s">
        <v>1242</v>
      </c>
      <c r="D980" s="2221" t="str">
        <f>D972</f>
        <v>Stop</v>
      </c>
      <c r="E980" s="2223">
        <f t="shared" ref="E980:E988" si="265">F980/(G980*1000*1000)</f>
        <v>1.1494252873563219E-7</v>
      </c>
      <c r="F980" s="2224">
        <v>1</v>
      </c>
      <c r="G980" s="2225">
        <v>8.6999999999999993</v>
      </c>
      <c r="H980" s="2200"/>
      <c r="I980" s="136"/>
      <c r="J980" s="136"/>
      <c r="K980" s="1582"/>
      <c r="L980" s="1246" t="str">
        <f t="shared" si="258"/>
        <v>Glue C7000 - Butterfly</v>
      </c>
      <c r="N980" s="1247" t="str">
        <f t="shared" si="262"/>
        <v>PNP CHEMITECH</v>
      </c>
      <c r="O980" s="1248" t="str">
        <f t="shared" si="263"/>
        <v>Stop</v>
      </c>
      <c r="P980" s="1251">
        <f t="shared" si="261"/>
        <v>1.1494252873563219E-7</v>
      </c>
      <c r="Q980" s="2669" t="s">
        <v>610</v>
      </c>
      <c r="R980" s="2678" t="e">
        <f t="shared" si="264"/>
        <v>#VALUE!</v>
      </c>
      <c r="S980" s="305">
        <v>1</v>
      </c>
      <c r="T980" s="291" t="s">
        <v>208</v>
      </c>
      <c r="U980" s="287">
        <v>8.6999999999999993</v>
      </c>
      <c r="V980" s="291" t="s">
        <v>206</v>
      </c>
    </row>
    <row r="981" spans="1:22" ht="15.75" customHeight="1">
      <c r="A981" s="2768" t="s">
        <v>1248</v>
      </c>
      <c r="B981" s="2200"/>
      <c r="C981" s="2220" t="s">
        <v>1242</v>
      </c>
      <c r="D981" s="2221" t="str">
        <f>D972</f>
        <v>Stop</v>
      </c>
      <c r="E981" s="2223">
        <f t="shared" si="265"/>
        <v>5.5555555555555555E-8</v>
      </c>
      <c r="F981" s="2224">
        <v>1</v>
      </c>
      <c r="G981" s="2225">
        <v>18</v>
      </c>
      <c r="H981" s="2200"/>
      <c r="I981" s="136"/>
      <c r="J981" s="136"/>
      <c r="K981" s="1582"/>
      <c r="L981" s="1246" t="str">
        <f t="shared" si="258"/>
        <v>Glue C7000 - Case in BB</v>
      </c>
      <c r="N981" s="1247" t="str">
        <f t="shared" si="262"/>
        <v>PNP CHEMITECH</v>
      </c>
      <c r="O981" s="1248" t="str">
        <f t="shared" si="263"/>
        <v>Stop</v>
      </c>
      <c r="P981" s="1251">
        <f t="shared" si="261"/>
        <v>5.5555555555555555E-8</v>
      </c>
      <c r="Q981" s="2669" t="s">
        <v>654</v>
      </c>
      <c r="R981" s="2678" t="e">
        <f t="shared" si="264"/>
        <v>#VALUE!</v>
      </c>
      <c r="S981" s="305">
        <v>1</v>
      </c>
      <c r="T981" s="291" t="s">
        <v>208</v>
      </c>
      <c r="U981" s="287">
        <v>18</v>
      </c>
      <c r="V981" s="291" t="s">
        <v>206</v>
      </c>
    </row>
    <row r="982" spans="1:22" ht="15.75" customHeight="1">
      <c r="A982" s="2768" t="s">
        <v>1249</v>
      </c>
      <c r="B982" s="2200"/>
      <c r="C982" s="2220" t="s">
        <v>1229</v>
      </c>
      <c r="D982" s="2221">
        <f>D965</f>
        <v>14500</v>
      </c>
      <c r="E982" s="2223">
        <f t="shared" si="265"/>
        <v>7.1428571428571423E-8</v>
      </c>
      <c r="F982" s="2224">
        <v>1</v>
      </c>
      <c r="G982" s="2225">
        <v>14</v>
      </c>
      <c r="H982" s="2200"/>
      <c r="I982" s="136"/>
      <c r="J982" s="136"/>
      <c r="K982" s="1582"/>
      <c r="L982" s="1246" t="str">
        <f t="shared" si="258"/>
        <v>Glue D450 - Laminated</v>
      </c>
      <c r="N982" s="1247" t="str">
        <f t="shared" si="262"/>
        <v>Dinh Vang</v>
      </c>
      <c r="O982" s="1248">
        <f t="shared" si="263"/>
        <v>14500</v>
      </c>
      <c r="P982" s="1251">
        <f t="shared" si="261"/>
        <v>7.1428571428571423E-8</v>
      </c>
      <c r="Q982" s="2669" t="s">
        <v>495</v>
      </c>
      <c r="R982" s="2678">
        <f t="shared" si="264"/>
        <v>1.0400000000000001E-3</v>
      </c>
      <c r="S982" s="305">
        <v>1</v>
      </c>
      <c r="T982" s="291" t="s">
        <v>208</v>
      </c>
      <c r="U982" s="287">
        <v>14</v>
      </c>
      <c r="V982" s="291" t="s">
        <v>206</v>
      </c>
    </row>
    <row r="983" spans="1:22" ht="15.75" customHeight="1">
      <c r="A983" s="2768" t="s">
        <v>1250</v>
      </c>
      <c r="B983" s="2200"/>
      <c r="C983" s="2220" t="s">
        <v>1229</v>
      </c>
      <c r="D983" s="2221">
        <f>D965</f>
        <v>14500</v>
      </c>
      <c r="E983" s="2223">
        <f t="shared" si="265"/>
        <v>8.3333333333333338E-8</v>
      </c>
      <c r="F983" s="2224">
        <v>1</v>
      </c>
      <c r="G983" s="2225">
        <v>12</v>
      </c>
      <c r="H983" s="2200"/>
      <c r="I983" s="136"/>
      <c r="J983" s="136"/>
      <c r="K983" s="1582"/>
      <c r="L983" s="1246" t="str">
        <f t="shared" si="258"/>
        <v>Glue D450 - Back Cover</v>
      </c>
      <c r="N983" s="1247" t="str">
        <f t="shared" si="262"/>
        <v>Dinh Vang</v>
      </c>
      <c r="O983" s="1248">
        <f t="shared" si="263"/>
        <v>14500</v>
      </c>
      <c r="P983" s="1251">
        <f t="shared" si="261"/>
        <v>8.3333333333333338E-8</v>
      </c>
      <c r="Q983" s="2669" t="s">
        <v>138</v>
      </c>
      <c r="R983" s="2678">
        <f t="shared" si="264"/>
        <v>1.2099999999999999E-3</v>
      </c>
      <c r="S983" s="305">
        <v>1</v>
      </c>
      <c r="T983" s="291" t="s">
        <v>208</v>
      </c>
      <c r="U983" s="287">
        <v>12</v>
      </c>
      <c r="V983" s="291" t="s">
        <v>206</v>
      </c>
    </row>
    <row r="984" spans="1:22" ht="15.75" customHeight="1">
      <c r="A984" s="2768" t="s">
        <v>1251</v>
      </c>
      <c r="B984" s="2200"/>
      <c r="C984" s="2220" t="s">
        <v>1229</v>
      </c>
      <c r="D984" s="2221">
        <f>D965</f>
        <v>14500</v>
      </c>
      <c r="E984" s="2223">
        <f t="shared" si="265"/>
        <v>9.9999999999999995E-8</v>
      </c>
      <c r="F984" s="2224">
        <v>1</v>
      </c>
      <c r="G984" s="2225">
        <v>10</v>
      </c>
      <c r="H984" s="2200"/>
      <c r="I984" s="136"/>
      <c r="J984" s="136"/>
      <c r="K984" s="1582"/>
      <c r="L984" s="1246" t="str">
        <f t="shared" si="258"/>
        <v>Glue D450 - Foam+Case</v>
      </c>
      <c r="N984" s="1247" t="str">
        <f t="shared" si="262"/>
        <v>Dinh Vang</v>
      </c>
      <c r="O984" s="1248">
        <f t="shared" si="263"/>
        <v>14500</v>
      </c>
      <c r="P984" s="1251">
        <f t="shared" si="261"/>
        <v>9.9999999999999995E-8</v>
      </c>
      <c r="Q984" s="2669" t="s">
        <v>276</v>
      </c>
      <c r="R984" s="2678">
        <f t="shared" si="264"/>
        <v>1.4499999999999999E-3</v>
      </c>
      <c r="S984" s="305">
        <v>1</v>
      </c>
      <c r="T984" s="291" t="s">
        <v>208</v>
      </c>
      <c r="U984" s="287">
        <v>10</v>
      </c>
      <c r="V984" s="291" t="s">
        <v>206</v>
      </c>
    </row>
    <row r="985" spans="1:22" ht="15.75" customHeight="1">
      <c r="A985" s="2768" t="s">
        <v>1252</v>
      </c>
      <c r="B985" s="2200"/>
      <c r="C985" s="2220" t="s">
        <v>1242</v>
      </c>
      <c r="D985" s="2221" t="str">
        <f>D972</f>
        <v>Stop</v>
      </c>
      <c r="E985" s="2223">
        <f t="shared" si="265"/>
        <v>9.0909090909090915E-8</v>
      </c>
      <c r="F985" s="2224">
        <v>1</v>
      </c>
      <c r="G985" s="2225">
        <v>11</v>
      </c>
      <c r="H985" s="2200"/>
      <c r="I985" s="136"/>
      <c r="J985" s="136"/>
      <c r="K985" s="1582"/>
      <c r="L985" s="1246" t="str">
        <f t="shared" si="258"/>
        <v>Glue C7000 - Silkscreen</v>
      </c>
      <c r="N985" s="1247" t="str">
        <f t="shared" si="262"/>
        <v>PNP CHEMITECH</v>
      </c>
      <c r="O985" s="1248" t="str">
        <f t="shared" si="263"/>
        <v>Stop</v>
      </c>
      <c r="P985" s="1251">
        <f t="shared" si="261"/>
        <v>9.0909090909090915E-8</v>
      </c>
      <c r="Q985" s="2670" t="s">
        <v>137</v>
      </c>
      <c r="R985" s="2678" t="e">
        <f t="shared" si="264"/>
        <v>#VALUE!</v>
      </c>
      <c r="S985" s="305">
        <v>1</v>
      </c>
      <c r="T985" s="291" t="s">
        <v>208</v>
      </c>
      <c r="U985" s="302">
        <v>11</v>
      </c>
      <c r="V985" s="291" t="s">
        <v>206</v>
      </c>
    </row>
    <row r="986" spans="1:22" ht="15.75" customHeight="1">
      <c r="A986" s="2768" t="s">
        <v>1253</v>
      </c>
      <c r="B986" s="2200"/>
      <c r="C986" s="2220" t="s">
        <v>1229</v>
      </c>
      <c r="D986" s="2221"/>
      <c r="E986" s="2223">
        <f t="shared" si="265"/>
        <v>1.9999999999999999E-7</v>
      </c>
      <c r="F986" s="2224">
        <v>1</v>
      </c>
      <c r="G986" s="2225">
        <v>5</v>
      </c>
      <c r="H986" s="2200"/>
      <c r="I986" s="136"/>
      <c r="J986" s="136"/>
      <c r="K986" s="1582"/>
      <c r="L986" s="1246" t="str">
        <f t="shared" si="258"/>
        <v>AD 103L - Pops</v>
      </c>
      <c r="N986" s="1247" t="str">
        <f t="shared" si="262"/>
        <v>Dinh Vang</v>
      </c>
      <c r="O986" s="1248">
        <f t="shared" si="263"/>
        <v>0</v>
      </c>
      <c r="P986" s="1251">
        <f t="shared" si="261"/>
        <v>1.9999999999999999E-7</v>
      </c>
      <c r="Q986" s="2670" t="s">
        <v>207</v>
      </c>
      <c r="R986" s="2678">
        <f t="shared" si="264"/>
        <v>0</v>
      </c>
      <c r="S986" s="305">
        <v>1</v>
      </c>
      <c r="T986" s="291" t="s">
        <v>208</v>
      </c>
      <c r="U986" s="287">
        <v>5</v>
      </c>
      <c r="V986" s="291" t="s">
        <v>206</v>
      </c>
    </row>
    <row r="987" spans="1:22" ht="15.75" customHeight="1">
      <c r="A987" s="2768" t="s">
        <v>1281</v>
      </c>
      <c r="B987" s="2200"/>
      <c r="C987" s="2200"/>
      <c r="D987" s="2221"/>
      <c r="E987" s="2223"/>
      <c r="F987" s="2224"/>
      <c r="G987" s="2225"/>
      <c r="H987" s="2200"/>
      <c r="I987" s="136"/>
      <c r="J987" s="136"/>
      <c r="K987" s="1582"/>
      <c r="L987" s="1246" t="str">
        <f t="shared" si="258"/>
        <v>Case Cover</v>
      </c>
      <c r="N987" s="1247">
        <f t="shared" si="262"/>
        <v>0</v>
      </c>
      <c r="O987" s="1248">
        <f>AVERAGE(P995:P996)</f>
        <v>34238.654999999999</v>
      </c>
      <c r="P987" s="1251">
        <f t="shared" si="261"/>
        <v>0</v>
      </c>
      <c r="Q987" s="2671" t="s">
        <v>1282</v>
      </c>
      <c r="R987" s="2678" t="e">
        <f>ROUNDUP(SUM(Q995:Q996),5)</f>
        <v>#VALUE!</v>
      </c>
      <c r="S987" s="251"/>
      <c r="T987" s="251"/>
      <c r="U987" s="251"/>
      <c r="V987" s="251"/>
    </row>
    <row r="988" spans="1:22" ht="15.75" customHeight="1">
      <c r="A988" s="2768" t="s">
        <v>1254</v>
      </c>
      <c r="B988" s="2200"/>
      <c r="C988" s="2200"/>
      <c r="D988" s="2766">
        <f>D974</f>
        <v>1.3</v>
      </c>
      <c r="E988" s="2769">
        <f t="shared" si="265"/>
        <v>1.02E-7</v>
      </c>
      <c r="F988" s="2224">
        <v>1</v>
      </c>
      <c r="G988" s="2225">
        <v>9.8039215686274517</v>
      </c>
      <c r="H988" s="2200">
        <f>H974</f>
        <v>120</v>
      </c>
      <c r="I988" s="136">
        <f>I974</f>
        <v>466</v>
      </c>
      <c r="J988" s="2763">
        <v>4000</v>
      </c>
      <c r="K988" s="1582" t="s">
        <v>2875</v>
      </c>
      <c r="L988" s="1246" t="str">
        <f t="shared" si="258"/>
        <v>BH-502 - Kollbus</v>
      </c>
      <c r="N988" s="1247">
        <f t="shared" si="262"/>
        <v>0</v>
      </c>
      <c r="O988" s="1816">
        <f>$D988*$P$10+SUM($H988:$I988)/$J988*$P$10</f>
        <v>34238.654999999999</v>
      </c>
      <c r="P988" s="1251">
        <f t="shared" si="261"/>
        <v>1.02E-7</v>
      </c>
      <c r="Q988" s="2670" t="s">
        <v>653</v>
      </c>
      <c r="R988" s="2678">
        <f>ROUNDUP(O988*P988,5)</f>
        <v>3.5000000000000001E-3</v>
      </c>
      <c r="S988" s="305">
        <v>1</v>
      </c>
      <c r="T988" s="291" t="s">
        <v>208</v>
      </c>
      <c r="U988" s="302">
        <f>1000/102</f>
        <v>9.8039215686274517</v>
      </c>
      <c r="V988" s="291" t="s">
        <v>206</v>
      </c>
    </row>
    <row r="989" spans="1:22" ht="15.75" customHeight="1">
      <c r="A989" s="2226" t="s">
        <v>652</v>
      </c>
      <c r="B989" s="2200"/>
      <c r="C989" s="2220" t="s">
        <v>1236</v>
      </c>
      <c r="D989" s="2221">
        <v>110000</v>
      </c>
      <c r="E989" s="2223"/>
      <c r="F989" s="2200"/>
      <c r="G989" s="2200"/>
      <c r="H989" s="2200"/>
      <c r="I989" s="136"/>
      <c r="J989" s="136"/>
      <c r="K989" s="1582"/>
      <c r="L989" s="1246" t="str">
        <f t="shared" si="258"/>
        <v>Glue Hotmelt (Cay) 1152</v>
      </c>
      <c r="N989" s="1247" t="str">
        <f t="shared" si="262"/>
        <v>Valona</v>
      </c>
      <c r="O989" s="1248">
        <f>D989</f>
        <v>110000</v>
      </c>
      <c r="P989" s="1251">
        <f t="shared" si="261"/>
        <v>0</v>
      </c>
      <c r="Q989" s="2670"/>
      <c r="R989" s="2677"/>
    </row>
    <row r="990" spans="1:22" ht="15.75" customHeight="1">
      <c r="A990" s="2200" t="s">
        <v>72</v>
      </c>
      <c r="B990" s="2200"/>
      <c r="C990" s="2200"/>
      <c r="D990" s="2200"/>
      <c r="E990" s="2226"/>
      <c r="F990" s="2200"/>
      <c r="G990" s="2200"/>
      <c r="H990" s="2200"/>
      <c r="I990" s="136"/>
      <c r="J990" s="136"/>
      <c r="K990" s="1582"/>
      <c r="L990" s="2672">
        <f>Other!B33</f>
        <v>0</v>
      </c>
      <c r="O990" s="1248">
        <f>Other!C33</f>
        <v>0</v>
      </c>
      <c r="P990" s="1252"/>
      <c r="Q990" s="2670"/>
      <c r="R990" s="2677"/>
    </row>
    <row r="991" spans="1:22" ht="15.75" customHeight="1">
      <c r="A991" s="2200" t="s">
        <v>72</v>
      </c>
      <c r="B991" s="2200"/>
      <c r="C991" s="2200"/>
      <c r="D991" s="2200"/>
      <c r="E991" s="2226"/>
      <c r="F991" s="2200"/>
      <c r="G991" s="2200"/>
      <c r="H991" s="2200"/>
      <c r="I991" s="136"/>
      <c r="J991" s="136"/>
      <c r="K991" s="1582"/>
      <c r="L991" s="2672">
        <f>Other!B34</f>
        <v>0</v>
      </c>
      <c r="O991" s="1248">
        <f>Other!C34</f>
        <v>0</v>
      </c>
      <c r="P991" s="1252"/>
      <c r="Q991" s="2670"/>
      <c r="R991" s="2677"/>
    </row>
    <row r="992" spans="1:22" ht="15.75" customHeight="1">
      <c r="A992" s="2200" t="s">
        <v>72</v>
      </c>
      <c r="B992" s="2200"/>
      <c r="C992" s="2200"/>
      <c r="D992" s="2200"/>
      <c r="E992" s="2226"/>
      <c r="F992" s="2200"/>
      <c r="G992" s="2200"/>
      <c r="H992" s="2200"/>
      <c r="I992" s="136"/>
      <c r="J992" s="136"/>
      <c r="K992" s="1582"/>
      <c r="L992" s="2672">
        <f>Other!B35</f>
        <v>0</v>
      </c>
      <c r="O992" s="1248">
        <f>Other!C35</f>
        <v>0</v>
      </c>
      <c r="P992" s="1252"/>
      <c r="Q992" s="2670"/>
      <c r="R992" s="2677"/>
    </row>
    <row r="993" spans="1:23" ht="15.75" customHeight="1">
      <c r="A993" s="2200" t="s">
        <v>127</v>
      </c>
      <c r="B993" s="2200"/>
      <c r="C993" s="2200"/>
      <c r="D993" s="2200"/>
      <c r="E993" s="2200"/>
      <c r="F993" s="2200"/>
      <c r="G993" s="2200"/>
      <c r="H993" s="2200"/>
      <c r="I993" s="136"/>
      <c r="J993" s="136"/>
      <c r="K993" s="1582"/>
      <c r="L993" s="2673" t="s">
        <v>127</v>
      </c>
      <c r="M993" s="1219"/>
      <c r="N993" s="1219"/>
      <c r="O993" s="2674"/>
      <c r="P993" s="2675"/>
      <c r="Q993" s="2676" t="s">
        <v>127</v>
      </c>
      <c r="R993" s="2675"/>
    </row>
    <row r="994" spans="1:23" ht="15.75" customHeight="1">
      <c r="A994" s="2200"/>
      <c r="B994" s="2200"/>
      <c r="C994" s="2200"/>
      <c r="D994" s="2200"/>
      <c r="E994" s="2200"/>
      <c r="F994" s="2200"/>
      <c r="G994" s="2200"/>
      <c r="H994" s="2200"/>
      <c r="I994" s="136"/>
      <c r="J994" s="136"/>
      <c r="K994" s="1582"/>
      <c r="L994" s="306" t="s">
        <v>148</v>
      </c>
      <c r="M994" s="254"/>
      <c r="N994" s="254"/>
      <c r="O994" s="251"/>
      <c r="P994" s="251"/>
      <c r="Q994" s="251"/>
      <c r="R994" s="251"/>
      <c r="S994" s="251"/>
      <c r="T994" s="251"/>
      <c r="U994" s="251"/>
    </row>
    <row r="995" spans="1:23" ht="15.75" customHeight="1">
      <c r="A995" s="2200"/>
      <c r="B995" s="2200"/>
      <c r="C995" s="2200"/>
      <c r="D995" s="2200"/>
      <c r="E995" s="2200"/>
      <c r="F995" s="2200"/>
      <c r="G995" s="2200"/>
      <c r="H995" s="2200"/>
      <c r="I995" s="136"/>
      <c r="J995" s="136"/>
      <c r="K995" s="1582"/>
      <c r="L995" s="251"/>
      <c r="M995" s="307" t="str">
        <f>L988</f>
        <v>BH-502 - Kollbus</v>
      </c>
      <c r="N995" s="307"/>
      <c r="O995" s="308">
        <f>R995/(T995*1000*1000)</f>
        <v>1.02E-7</v>
      </c>
      <c r="P995" s="306">
        <f>O988</f>
        <v>34238.654999999999</v>
      </c>
      <c r="Q995" s="309">
        <f>P995*O995</f>
        <v>3.4923428100000001E-3</v>
      </c>
      <c r="R995" s="305">
        <v>1</v>
      </c>
      <c r="S995" s="291" t="s">
        <v>208</v>
      </c>
      <c r="T995" s="302">
        <f>U988</f>
        <v>9.8039215686274517</v>
      </c>
      <c r="U995" s="291" t="s">
        <v>206</v>
      </c>
    </row>
    <row r="996" spans="1:23" ht="15.75" customHeight="1">
      <c r="A996" s="2200"/>
      <c r="B996" s="2200"/>
      <c r="C996" s="2200"/>
      <c r="D996" s="2200"/>
      <c r="E996" s="2200"/>
      <c r="F996" s="2200"/>
      <c r="G996" s="2200"/>
      <c r="H996" s="2200"/>
      <c r="I996" s="136"/>
      <c r="J996" s="136"/>
      <c r="K996" s="1582"/>
      <c r="L996" s="251"/>
      <c r="M996" s="307" t="str">
        <f>L981</f>
        <v>Glue C7000 - Case in BB</v>
      </c>
      <c r="N996" s="307"/>
      <c r="O996" s="308">
        <f>R996/(T996*1000*1000)</f>
        <v>9.0909090909090915E-8</v>
      </c>
      <c r="P996" s="306" t="str">
        <f>O981</f>
        <v>Stop</v>
      </c>
      <c r="Q996" s="309" t="e">
        <f>P996*O996</f>
        <v>#VALUE!</v>
      </c>
      <c r="R996" s="305">
        <v>1</v>
      </c>
      <c r="S996" s="291" t="s">
        <v>208</v>
      </c>
      <c r="T996" s="302">
        <v>11</v>
      </c>
      <c r="U996" s="291" t="s">
        <v>206</v>
      </c>
    </row>
    <row r="997" spans="1:23" ht="15.75" customHeight="1">
      <c r="A997" s="2200"/>
      <c r="B997" s="2200"/>
      <c r="C997" s="2200"/>
      <c r="D997" s="2200"/>
      <c r="E997" s="2200"/>
      <c r="F997" s="2200"/>
      <c r="G997" s="2200"/>
      <c r="H997" s="2200"/>
      <c r="I997" s="136"/>
      <c r="J997" s="136"/>
      <c r="K997" s="1582"/>
    </row>
    <row r="998" spans="1:23" ht="15.75" customHeight="1">
      <c r="A998" s="2200"/>
      <c r="B998" s="2200"/>
      <c r="C998" s="2200"/>
      <c r="D998" s="2200"/>
      <c r="E998" s="2200"/>
      <c r="F998" s="2200"/>
      <c r="G998" s="2200"/>
      <c r="H998" s="2200"/>
      <c r="I998" s="136"/>
      <c r="J998" s="136"/>
      <c r="K998" s="1582"/>
    </row>
    <row r="999" spans="1:23" ht="15.75" customHeight="1">
      <c r="A999" s="2200"/>
      <c r="B999" s="2200"/>
      <c r="C999" s="2200"/>
      <c r="D999" s="2200"/>
      <c r="E999" s="2200"/>
      <c r="F999" s="2200"/>
      <c r="G999" s="2200"/>
      <c r="H999" s="2200"/>
      <c r="I999" s="136"/>
      <c r="J999" s="136"/>
      <c r="K999" s="1582"/>
    </row>
    <row r="1000" spans="1:23" ht="15.75" customHeight="1">
      <c r="A1000" s="2200"/>
      <c r="B1000" s="2200"/>
      <c r="C1000" s="2200"/>
      <c r="D1000" s="2200"/>
      <c r="E1000" s="2200"/>
      <c r="F1000" s="2200"/>
      <c r="G1000" s="2200"/>
      <c r="H1000" s="2200"/>
      <c r="I1000" s="136"/>
      <c r="J1000" s="136"/>
      <c r="K1000" s="1582"/>
    </row>
    <row r="1001" spans="1:23" ht="12.75">
      <c r="A1001" s="284" t="s">
        <v>1279</v>
      </c>
      <c r="B1001" s="284"/>
      <c r="C1001" s="284"/>
      <c r="D1001" s="284"/>
      <c r="E1001" s="284"/>
      <c r="F1001" s="284"/>
      <c r="G1001" s="284"/>
      <c r="H1001" s="284"/>
      <c r="I1001" s="136"/>
      <c r="J1001" s="136"/>
      <c r="K1001" s="1582"/>
      <c r="L1001" s="284" t="s">
        <v>1279</v>
      </c>
      <c r="M1001" s="284"/>
      <c r="N1001" s="284"/>
      <c r="O1001" s="284"/>
      <c r="P1001" s="284"/>
      <c r="Q1001" s="284"/>
      <c r="R1001" s="284"/>
      <c r="S1001" s="284"/>
    </row>
    <row r="1002" spans="1:23" ht="12.75">
      <c r="A1002" s="2227" t="s">
        <v>1144</v>
      </c>
      <c r="B1002" s="2228" t="s">
        <v>969</v>
      </c>
      <c r="C1002" s="2228"/>
      <c r="D1002" s="2200"/>
      <c r="E1002" s="2200"/>
      <c r="F1002" s="2200"/>
      <c r="G1002" s="2200"/>
      <c r="H1002" s="2197"/>
      <c r="I1002" s="136"/>
      <c r="J1002" s="136"/>
      <c r="K1002" s="1582"/>
      <c r="L1002" s="2227" t="s">
        <v>1144</v>
      </c>
      <c r="M1002" s="2228" t="s">
        <v>969</v>
      </c>
      <c r="N1002" s="2228"/>
      <c r="O1002" s="2200"/>
      <c r="P1002" s="2200"/>
      <c r="Q1002" s="2200"/>
      <c r="R1002" s="2200"/>
      <c r="S1002" s="2200"/>
      <c r="W1002" s="310"/>
    </row>
    <row r="1003" spans="1:23" ht="12.75">
      <c r="A1003" s="2227" t="s">
        <v>1145</v>
      </c>
      <c r="B1003" s="2205"/>
      <c r="C1003" s="2200"/>
      <c r="D1003" s="2200"/>
      <c r="E1003" s="2200"/>
      <c r="F1003" s="2200"/>
      <c r="G1003" s="2200"/>
      <c r="H1003" s="2197"/>
      <c r="I1003" s="136"/>
      <c r="J1003" s="136"/>
      <c r="K1003" s="1582"/>
      <c r="L1003" s="2227" t="str">
        <f>A1003</f>
        <v>Life Time of Die-Cut (local and Thailand)</v>
      </c>
      <c r="M1003" s="2205"/>
      <c r="N1003" s="2200"/>
      <c r="O1003" s="2200"/>
      <c r="P1003" s="2200"/>
      <c r="Q1003" s="2200"/>
      <c r="R1003" s="2200"/>
      <c r="S1003" s="2200"/>
      <c r="W1003" s="311"/>
    </row>
    <row r="1004" spans="1:23" ht="12.75">
      <c r="A1004" s="2200" t="s">
        <v>230</v>
      </c>
      <c r="B1004" s="2221">
        <f t="shared" ref="B1004:B1013" si="266">D1004/4</f>
        <v>150000</v>
      </c>
      <c r="C1004" s="2200" t="s">
        <v>1146</v>
      </c>
      <c r="D1004" s="2229">
        <f>600000</f>
        <v>600000</v>
      </c>
      <c r="E1004" s="2229"/>
      <c r="F1004" s="2200"/>
      <c r="G1004" s="2200"/>
      <c r="H1004" s="2197"/>
      <c r="I1004" s="136"/>
      <c r="J1004" s="136"/>
      <c r="K1004" s="1582"/>
      <c r="L1004" s="2200" t="str">
        <f t="shared" ref="L1004:O1013" si="267">A1004</f>
        <v>Metalize</v>
      </c>
      <c r="M1004" s="2201">
        <f t="shared" si="267"/>
        <v>150000</v>
      </c>
      <c r="N1004" s="2200" t="str">
        <f t="shared" si="267"/>
        <v>Shts/1 time change blade</v>
      </c>
      <c r="O1004" s="2201">
        <f t="shared" si="267"/>
        <v>600000</v>
      </c>
      <c r="P1004" s="2229"/>
      <c r="Q1004" s="2200" t="s">
        <v>1192</v>
      </c>
      <c r="R1004" s="2200"/>
      <c r="S1004" s="2200"/>
      <c r="W1004" s="311"/>
    </row>
    <row r="1005" spans="1:23" ht="12.75">
      <c r="A1005" s="2200" t="s">
        <v>800</v>
      </c>
      <c r="B1005" s="2221">
        <f t="shared" si="266"/>
        <v>337500</v>
      </c>
      <c r="C1005" s="2200" t="s">
        <v>1146</v>
      </c>
      <c r="D1005" s="2229">
        <f>1350000</f>
        <v>1350000</v>
      </c>
      <c r="E1005" s="2229"/>
      <c r="F1005" s="2200"/>
      <c r="G1005" s="2200"/>
      <c r="H1005" s="2197"/>
      <c r="I1005" s="136"/>
      <c r="J1005" s="136"/>
      <c r="K1005" s="1582"/>
      <c r="L1005" s="2200" t="str">
        <f t="shared" si="267"/>
        <v>Non Metalize</v>
      </c>
      <c r="M1005" s="2201">
        <f t="shared" si="267"/>
        <v>337500</v>
      </c>
      <c r="N1005" s="2200" t="str">
        <f t="shared" si="267"/>
        <v>Shts/1 time change blade</v>
      </c>
      <c r="O1005" s="2201">
        <f t="shared" si="267"/>
        <v>1350000</v>
      </c>
      <c r="P1005" s="2229"/>
      <c r="Q1005" s="2200" t="s">
        <v>1191</v>
      </c>
      <c r="R1005" s="2200" t="s">
        <v>1612</v>
      </c>
      <c r="S1005" s="2200" t="s">
        <v>1613</v>
      </c>
      <c r="W1005" s="311"/>
    </row>
    <row r="1006" spans="1:23" ht="12.75">
      <c r="A1006" s="2200" t="s">
        <v>174</v>
      </c>
      <c r="B1006" s="2221">
        <f t="shared" si="266"/>
        <v>150000</v>
      </c>
      <c r="C1006" s="2200" t="s">
        <v>1146</v>
      </c>
      <c r="D1006" s="2229">
        <f>D1004</f>
        <v>600000</v>
      </c>
      <c r="E1006" s="2229"/>
      <c r="F1006" s="2200"/>
      <c r="G1006" s="2200"/>
      <c r="H1006" s="2197"/>
      <c r="I1006" s="136"/>
      <c r="J1006" s="136"/>
      <c r="K1006" s="1582"/>
      <c r="L1006" s="2200" t="str">
        <f t="shared" si="267"/>
        <v>E-Flute</v>
      </c>
      <c r="M1006" s="2201">
        <f t="shared" si="267"/>
        <v>150000</v>
      </c>
      <c r="N1006" s="2200" t="str">
        <f t="shared" si="267"/>
        <v>Shts/1 time change blade</v>
      </c>
      <c r="O1006" s="2201">
        <f t="shared" si="267"/>
        <v>600000</v>
      </c>
      <c r="P1006" s="2229"/>
      <c r="Q1006" s="2200"/>
      <c r="R1006" s="2200"/>
      <c r="S1006" s="2200"/>
      <c r="T1006" s="312"/>
    </row>
    <row r="1007" spans="1:23" ht="12.75">
      <c r="A1007" s="2200" t="s">
        <v>1147</v>
      </c>
      <c r="B1007" s="2221">
        <f t="shared" si="266"/>
        <v>25000</v>
      </c>
      <c r="C1007" s="2200" t="s">
        <v>1146</v>
      </c>
      <c r="D1007" s="2229">
        <v>100000</v>
      </c>
      <c r="E1007" s="2229"/>
      <c r="F1007" s="2200"/>
      <c r="G1007" s="2200"/>
      <c r="H1007" s="2197"/>
      <c r="I1007" s="136"/>
      <c r="J1007" s="136"/>
      <c r="K1007" s="1582"/>
      <c r="L1007" s="2200" t="str">
        <f t="shared" si="267"/>
        <v>CB 1.0mm</v>
      </c>
      <c r="M1007" s="2201">
        <f t="shared" si="267"/>
        <v>25000</v>
      </c>
      <c r="N1007" s="2200" t="str">
        <f t="shared" si="267"/>
        <v>Shts/1 time change blade</v>
      </c>
      <c r="O1007" s="2201">
        <f t="shared" si="267"/>
        <v>100000</v>
      </c>
      <c r="P1007" s="2229"/>
      <c r="Q1007" s="2200"/>
      <c r="R1007" s="2200"/>
      <c r="S1007" s="2200"/>
      <c r="T1007" s="314"/>
    </row>
    <row r="1008" spans="1:23" ht="12.75">
      <c r="A1008" s="2200" t="s">
        <v>1148</v>
      </c>
      <c r="B1008" s="2221">
        <f t="shared" si="266"/>
        <v>25000</v>
      </c>
      <c r="C1008" s="2200" t="s">
        <v>1146</v>
      </c>
      <c r="D1008" s="2229">
        <v>100000</v>
      </c>
      <c r="E1008" s="2229"/>
      <c r="F1008" s="2200"/>
      <c r="G1008" s="2200"/>
      <c r="H1008" s="2197"/>
      <c r="I1008" s="136"/>
      <c r="J1008" s="136"/>
      <c r="K1008" s="1582"/>
      <c r="L1008" s="2200" t="str">
        <f t="shared" si="267"/>
        <v>CB 2.0mm</v>
      </c>
      <c r="M1008" s="2201">
        <f t="shared" si="267"/>
        <v>25000</v>
      </c>
      <c r="N1008" s="2200" t="str">
        <f t="shared" si="267"/>
        <v>Shts/1 time change blade</v>
      </c>
      <c r="O1008" s="2201">
        <f t="shared" si="267"/>
        <v>100000</v>
      </c>
      <c r="P1008" s="2229"/>
      <c r="Q1008" s="2200"/>
      <c r="R1008" s="2200"/>
      <c r="S1008" s="2200"/>
      <c r="T1008" s="314"/>
    </row>
    <row r="1009" spans="1:20" ht="12.75">
      <c r="A1009" s="2200" t="s">
        <v>1149</v>
      </c>
      <c r="B1009" s="2221">
        <f t="shared" si="266"/>
        <v>12500</v>
      </c>
      <c r="C1009" s="2200" t="s">
        <v>1146</v>
      </c>
      <c r="D1009" s="2229">
        <v>50000</v>
      </c>
      <c r="E1009" s="2229"/>
      <c r="F1009" s="2200"/>
      <c r="G1009" s="2200"/>
      <c r="H1009" s="2197"/>
      <c r="I1009" s="136"/>
      <c r="J1009" s="136"/>
      <c r="K1009" s="1582"/>
      <c r="L1009" s="2200" t="str">
        <f t="shared" si="267"/>
        <v>CB 2.4mm</v>
      </c>
      <c r="M1009" s="2201">
        <f t="shared" si="267"/>
        <v>12500</v>
      </c>
      <c r="N1009" s="2200" t="str">
        <f t="shared" si="267"/>
        <v>Shts/1 time change blade</v>
      </c>
      <c r="O1009" s="2201">
        <f t="shared" si="267"/>
        <v>50000</v>
      </c>
      <c r="P1009" s="2229"/>
      <c r="Q1009" s="2200"/>
      <c r="R1009" s="2200"/>
      <c r="S1009" s="2200"/>
      <c r="T1009" s="314"/>
    </row>
    <row r="1010" spans="1:20" ht="12.75">
      <c r="A1010" s="2200" t="s">
        <v>1150</v>
      </c>
      <c r="B1010" s="2221">
        <f t="shared" si="266"/>
        <v>12500</v>
      </c>
      <c r="C1010" s="2200" t="s">
        <v>1146</v>
      </c>
      <c r="D1010" s="2229">
        <v>50000</v>
      </c>
      <c r="E1010" s="2229"/>
      <c r="F1010" s="2200"/>
      <c r="G1010" s="2200"/>
      <c r="H1010" s="2197"/>
      <c r="I1010" s="136"/>
      <c r="J1010" s="136"/>
      <c r="K1010" s="1582"/>
      <c r="L1010" s="2200" t="str">
        <f t="shared" si="267"/>
        <v>CB 2.8mm</v>
      </c>
      <c r="M1010" s="2201">
        <f t="shared" si="267"/>
        <v>12500</v>
      </c>
      <c r="N1010" s="2200" t="str">
        <f t="shared" si="267"/>
        <v>Shts/1 time change blade</v>
      </c>
      <c r="O1010" s="2201">
        <f t="shared" si="267"/>
        <v>50000</v>
      </c>
      <c r="P1010" s="2229"/>
      <c r="Q1010" s="2200"/>
      <c r="R1010" s="2200"/>
      <c r="S1010" s="2200"/>
      <c r="T1010" s="314"/>
    </row>
    <row r="1011" spans="1:20" ht="12.75">
      <c r="A1011" s="2200" t="s">
        <v>1151</v>
      </c>
      <c r="B1011" s="2221">
        <f t="shared" si="266"/>
        <v>25000</v>
      </c>
      <c r="C1011" s="2200" t="s">
        <v>1146</v>
      </c>
      <c r="D1011" s="2229">
        <v>100000</v>
      </c>
      <c r="E1011" s="2229"/>
      <c r="F1011" s="2200"/>
      <c r="G1011" s="2200"/>
      <c r="H1011" s="2197"/>
      <c r="I1011" s="136"/>
      <c r="J1011" s="136"/>
      <c r="K1011" s="1582"/>
      <c r="L1011" s="2200" t="str">
        <f t="shared" si="267"/>
        <v>PVC</v>
      </c>
      <c r="M1011" s="2201">
        <f t="shared" si="267"/>
        <v>25000</v>
      </c>
      <c r="N1011" s="2200" t="str">
        <f t="shared" si="267"/>
        <v>Shts/1 time change blade</v>
      </c>
      <c r="O1011" s="2201">
        <f t="shared" si="267"/>
        <v>100000</v>
      </c>
      <c r="P1011" s="2229"/>
      <c r="Q1011" s="2200"/>
      <c r="R1011" s="2200"/>
      <c r="S1011" s="2197"/>
      <c r="T1011" s="314"/>
    </row>
    <row r="1012" spans="1:20" ht="12.75">
      <c r="A1012" s="2200" t="s">
        <v>1152</v>
      </c>
      <c r="B1012" s="2221">
        <f t="shared" si="266"/>
        <v>12500</v>
      </c>
      <c r="C1012" s="2200" t="s">
        <v>1146</v>
      </c>
      <c r="D1012" s="2229">
        <v>50000</v>
      </c>
      <c r="E1012" s="2229"/>
      <c r="F1012" s="2200"/>
      <c r="G1012" s="2200"/>
      <c r="H1012" s="2197"/>
      <c r="I1012" s="136"/>
      <c r="J1012" s="136"/>
      <c r="K1012" s="1582"/>
      <c r="L1012" s="2200" t="str">
        <f t="shared" si="267"/>
        <v>EVA</v>
      </c>
      <c r="M1012" s="2201">
        <f t="shared" si="267"/>
        <v>12500</v>
      </c>
      <c r="N1012" s="2200" t="str">
        <f t="shared" si="267"/>
        <v>Shts/1 time change blade</v>
      </c>
      <c r="O1012" s="2201">
        <f t="shared" si="267"/>
        <v>50000</v>
      </c>
      <c r="P1012" s="2229"/>
      <c r="Q1012" s="2200"/>
      <c r="R1012" s="2200"/>
      <c r="S1012" s="2197"/>
      <c r="T1012" s="314"/>
    </row>
    <row r="1013" spans="1:20" ht="12.75">
      <c r="A1013" s="2200" t="s">
        <v>1153</v>
      </c>
      <c r="B1013" s="2221">
        <f t="shared" si="266"/>
        <v>6250</v>
      </c>
      <c r="C1013" s="2200" t="s">
        <v>1146</v>
      </c>
      <c r="D1013" s="2229">
        <v>25000</v>
      </c>
      <c r="E1013" s="2229"/>
      <c r="F1013" s="2200"/>
      <c r="G1013" s="2200"/>
      <c r="H1013" s="2197"/>
      <c r="I1013" s="136"/>
      <c r="J1013" s="136"/>
      <c r="K1013" s="1582"/>
      <c r="L1013" s="2200" t="str">
        <f t="shared" si="267"/>
        <v>PP Plastic</v>
      </c>
      <c r="M1013" s="2201">
        <f t="shared" si="267"/>
        <v>6250</v>
      </c>
      <c r="N1013" s="2200" t="str">
        <f t="shared" si="267"/>
        <v>Shts/1 time change blade</v>
      </c>
      <c r="O1013" s="2201">
        <f t="shared" si="267"/>
        <v>25000</v>
      </c>
      <c r="P1013" s="2229"/>
      <c r="Q1013" s="2200"/>
      <c r="R1013" s="2200"/>
      <c r="S1013" s="2197"/>
      <c r="T1013" s="314"/>
    </row>
    <row r="1014" spans="1:20" ht="12.75">
      <c r="A1014" s="2200"/>
      <c r="B1014" s="2221"/>
      <c r="C1014" s="2200"/>
      <c r="D1014" s="2229"/>
      <c r="E1014" s="2229"/>
      <c r="F1014" s="2200"/>
      <c r="G1014" s="2200"/>
      <c r="H1014" s="2197"/>
      <c r="I1014" s="136"/>
      <c r="J1014" s="136"/>
      <c r="K1014" s="1582"/>
      <c r="L1014" s="2200"/>
      <c r="M1014" s="2221"/>
      <c r="N1014" s="2200"/>
      <c r="O1014" s="2229"/>
      <c r="P1014" s="2229"/>
      <c r="Q1014" s="2200"/>
      <c r="R1014" s="2200"/>
      <c r="S1014" s="2197"/>
      <c r="T1014" s="314"/>
    </row>
    <row r="1015" spans="1:20" ht="12.75">
      <c r="A1015" s="2227" t="s">
        <v>1154</v>
      </c>
      <c r="B1015" s="2221">
        <v>450000</v>
      </c>
      <c r="C1015" s="2200" t="s">
        <v>1155</v>
      </c>
      <c r="D1015" s="2200"/>
      <c r="E1015" s="2200"/>
      <c r="F1015" s="2200"/>
      <c r="G1015" s="2200"/>
      <c r="H1015" s="2197"/>
      <c r="I1015" s="136"/>
      <c r="J1015" s="136"/>
      <c r="K1015" s="1582"/>
      <c r="L1015" s="2200" t="str">
        <f t="shared" ref="L1015:N1019" si="268">A1015</f>
        <v>Life time for embossing</v>
      </c>
      <c r="M1015" s="2221">
        <f t="shared" si="268"/>
        <v>450000</v>
      </c>
      <c r="N1015" s="2220" t="str">
        <f t="shared" si="268"/>
        <v>Shts/Die</v>
      </c>
      <c r="O1015" s="2200"/>
      <c r="P1015" s="2200"/>
      <c r="Q1015" s="2200"/>
      <c r="R1015" s="2200"/>
      <c r="S1015" s="2197"/>
      <c r="T1015" s="314"/>
    </row>
    <row r="1016" spans="1:20" ht="12.75">
      <c r="A1016" s="2227" t="s">
        <v>1156</v>
      </c>
      <c r="B1016" s="2221">
        <v>250000</v>
      </c>
      <c r="C1016" s="2200" t="s">
        <v>1155</v>
      </c>
      <c r="D1016" s="2200"/>
      <c r="E1016" s="2200"/>
      <c r="F1016" s="2200"/>
      <c r="G1016" s="2200"/>
      <c r="H1016" s="2197"/>
      <c r="I1016" s="136"/>
      <c r="J1016" s="136"/>
      <c r="K1016" s="1582"/>
      <c r="L1016" s="2200" t="str">
        <f t="shared" si="268"/>
        <v>Life time for hotstamping mould</v>
      </c>
      <c r="M1016" s="2221">
        <f t="shared" si="268"/>
        <v>250000</v>
      </c>
      <c r="N1016" s="2220" t="str">
        <f t="shared" si="268"/>
        <v>Shts/Die</v>
      </c>
      <c r="O1016" s="2200"/>
      <c r="P1016" s="2200"/>
      <c r="Q1016" s="2200"/>
      <c r="R1016" s="2200"/>
      <c r="S1016" s="2197"/>
      <c r="T1016" s="314"/>
    </row>
    <row r="1017" spans="1:20" ht="12.75">
      <c r="A1017" s="2227" t="s">
        <v>1157</v>
      </c>
      <c r="B1017" s="2221">
        <v>200000</v>
      </c>
      <c r="C1017" s="2200" t="s">
        <v>1155</v>
      </c>
      <c r="D1017" s="2200"/>
      <c r="E1017" s="2200"/>
      <c r="F1017" s="2200"/>
      <c r="G1017" s="2200"/>
      <c r="H1017" s="2197"/>
      <c r="I1017" s="136"/>
      <c r="J1017" s="136"/>
      <c r="K1017" s="1582"/>
      <c r="L1017" s="2200" t="str">
        <f t="shared" si="268"/>
        <v>Life time for roller embossing</v>
      </c>
      <c r="M1017" s="2221">
        <f t="shared" si="268"/>
        <v>200000</v>
      </c>
      <c r="N1017" s="2220" t="str">
        <f t="shared" si="268"/>
        <v>Shts/Die</v>
      </c>
      <c r="O1017" s="2200"/>
      <c r="P1017" s="2200"/>
      <c r="Q1017" s="2200"/>
      <c r="R1017" s="2200"/>
      <c r="S1017" s="2197"/>
      <c r="T1017" s="314"/>
    </row>
    <row r="1018" spans="1:20" ht="12.75">
      <c r="A1018" s="2227" t="s">
        <v>1158</v>
      </c>
      <c r="B1018" s="2221">
        <v>15000</v>
      </c>
      <c r="C1018" s="2200" t="s">
        <v>1155</v>
      </c>
      <c r="D1018" s="2200"/>
      <c r="E1018" s="2200"/>
      <c r="F1018" s="2200"/>
      <c r="G1018" s="2200"/>
      <c r="H1018" s="2197"/>
      <c r="I1018" s="136"/>
      <c r="J1018" s="136"/>
      <c r="K1018" s="1582"/>
      <c r="L1018" s="2200" t="str">
        <f t="shared" si="268"/>
        <v>Silkcreen glittering, sand UV</v>
      </c>
      <c r="M1018" s="2221">
        <f t="shared" si="268"/>
        <v>15000</v>
      </c>
      <c r="N1018" s="2220" t="str">
        <f t="shared" si="268"/>
        <v>Shts/Die</v>
      </c>
      <c r="O1018" s="2200"/>
      <c r="P1018" s="2200"/>
      <c r="Q1018" s="2200"/>
      <c r="R1018" s="2200"/>
      <c r="S1018" s="2197"/>
      <c r="T1018" s="314"/>
    </row>
    <row r="1019" spans="1:20" ht="12.75">
      <c r="A1019" s="2227" t="s">
        <v>1159</v>
      </c>
      <c r="B1019" s="2221">
        <v>30000</v>
      </c>
      <c r="C1019" s="2200" t="s">
        <v>1155</v>
      </c>
      <c r="D1019" s="2200"/>
      <c r="E1019" s="2200"/>
      <c r="F1019" s="2200"/>
      <c r="G1019" s="2200"/>
      <c r="H1019" s="2197"/>
      <c r="I1019" s="136"/>
      <c r="J1019" s="136"/>
      <c r="K1019" s="1582"/>
      <c r="L1019" s="2200" t="str">
        <f t="shared" si="268"/>
        <v>Silkcreen UV on OPP, ink…</v>
      </c>
      <c r="M1019" s="2221">
        <f t="shared" si="268"/>
        <v>30000</v>
      </c>
      <c r="N1019" s="2220" t="str">
        <f t="shared" si="268"/>
        <v>Shts/Die</v>
      </c>
      <c r="O1019" s="2200"/>
      <c r="P1019" s="2200"/>
      <c r="Q1019" s="2200"/>
      <c r="R1019" s="2200"/>
      <c r="S1019" s="2197"/>
      <c r="T1019" s="314"/>
    </row>
    <row r="1020" spans="1:20" ht="12.75">
      <c r="A1020" s="2227" t="s">
        <v>1160</v>
      </c>
      <c r="B1020" s="2205"/>
      <c r="C1020" s="2200"/>
      <c r="D1020" s="2204"/>
      <c r="E1020" s="2204"/>
      <c r="F1020" s="2200"/>
      <c r="G1020" s="2200"/>
      <c r="H1020" s="2197"/>
      <c r="I1020" s="136"/>
      <c r="J1020" s="136"/>
      <c r="K1020" s="1582"/>
      <c r="L1020" s="2200" t="str">
        <f>A1020</f>
        <v>Life Time of Plates</v>
      </c>
      <c r="M1020" s="2205"/>
      <c r="N1020" s="2200"/>
      <c r="O1020" s="2204"/>
      <c r="P1020" s="2204"/>
      <c r="Q1020" s="2200"/>
      <c r="R1020" s="2200"/>
      <c r="S1020" s="2197"/>
      <c r="T1020" s="314"/>
    </row>
    <row r="1021" spans="1:20" ht="12.75">
      <c r="A1021" s="2200"/>
      <c r="B1021" s="2221"/>
      <c r="C1021" s="2200"/>
      <c r="D1021" s="2200"/>
      <c r="E1021" s="2200"/>
      <c r="F1021" s="2200"/>
      <c r="G1021" s="2200"/>
      <c r="H1021" s="2197"/>
      <c r="I1021" s="136"/>
      <c r="J1021" s="136"/>
      <c r="K1021" s="1582"/>
      <c r="L1021" s="2200"/>
      <c r="M1021" s="2200"/>
      <c r="N1021" s="2200"/>
      <c r="O1021" s="2200"/>
      <c r="P1021" s="2200"/>
      <c r="Q1021" s="2200"/>
      <c r="R1021" s="2200"/>
      <c r="S1021" s="2197"/>
      <c r="T1021" s="314"/>
    </row>
    <row r="1022" spans="1:20" ht="12.75">
      <c r="A1022" s="2227" t="s">
        <v>1162</v>
      </c>
      <c r="B1022" s="2221">
        <v>150000</v>
      </c>
      <c r="C1022" s="2200" t="s">
        <v>5</v>
      </c>
      <c r="D1022" s="2200"/>
      <c r="E1022" s="2200"/>
      <c r="F1022" s="2200"/>
      <c r="G1022" s="2200"/>
      <c r="H1022" s="2197"/>
      <c r="I1022" s="136"/>
      <c r="J1022" s="136"/>
      <c r="K1022" s="1582"/>
      <c r="L1022" s="2200" t="str">
        <f t="shared" ref="L1022:L1038" si="269">A1022</f>
        <v>Life time of  blanket ECO (Vulcan)</v>
      </c>
      <c r="M1022" s="2201">
        <f t="shared" ref="M1022:M1038" si="270">B1022</f>
        <v>150000</v>
      </c>
      <c r="N1022" s="2200" t="str">
        <f t="shared" ref="N1022:N1043" si="271">C1022</f>
        <v>Sheets</v>
      </c>
      <c r="O1022" s="2200"/>
      <c r="P1022" s="2200"/>
      <c r="Q1022" s="2200"/>
      <c r="R1022" s="2200"/>
      <c r="S1022" s="2197"/>
      <c r="T1022" s="314"/>
    </row>
    <row r="1023" spans="1:20" ht="12.75">
      <c r="A1023" s="2227" t="s">
        <v>1163</v>
      </c>
      <c r="B1023" s="2221">
        <v>70000</v>
      </c>
      <c r="C1023" s="2200" t="s">
        <v>5</v>
      </c>
      <c r="D1023" s="2200"/>
      <c r="E1023" s="2200"/>
      <c r="F1023" s="2200"/>
      <c r="G1023" s="2200"/>
      <c r="H1023" s="2197"/>
      <c r="I1023" s="136"/>
      <c r="J1023" s="136"/>
      <c r="K1023" s="1582"/>
      <c r="L1023" s="2200" t="str">
        <f t="shared" si="269"/>
        <v>Life time of  blanket UV (Vulcan)</v>
      </c>
      <c r="M1023" s="2201">
        <f t="shared" si="270"/>
        <v>70000</v>
      </c>
      <c r="N1023" s="2200" t="str">
        <f t="shared" si="271"/>
        <v>Sheets</v>
      </c>
      <c r="O1023" s="2200"/>
      <c r="P1023" s="2200"/>
      <c r="Q1023" s="2200"/>
      <c r="R1023" s="2200"/>
      <c r="S1023" s="2197"/>
      <c r="T1023" s="314"/>
    </row>
    <row r="1024" spans="1:20" ht="12.75">
      <c r="A1024" s="2227" t="s">
        <v>1164</v>
      </c>
      <c r="B1024" s="2221">
        <v>700000</v>
      </c>
      <c r="C1024" s="2200" t="s">
        <v>5</v>
      </c>
      <c r="D1024" s="2200"/>
      <c r="E1024" s="2200"/>
      <c r="F1024" s="2200"/>
      <c r="G1024" s="2200"/>
      <c r="H1024" s="2197"/>
      <c r="I1024" s="136"/>
      <c r="J1024" s="136"/>
      <c r="K1024" s="1582"/>
      <c r="L1024" s="2200" t="str">
        <f t="shared" si="269"/>
        <v>Life time of Under Blanket</v>
      </c>
      <c r="M1024" s="2201">
        <f t="shared" si="270"/>
        <v>700000</v>
      </c>
      <c r="N1024" s="2200" t="str">
        <f t="shared" si="271"/>
        <v>Sheets</v>
      </c>
      <c r="O1024" s="2200"/>
      <c r="P1024" s="2200"/>
      <c r="Q1024" s="2200"/>
      <c r="R1024" s="2200"/>
      <c r="S1024" s="2197"/>
      <c r="T1024" s="314"/>
    </row>
    <row r="1025" spans="1:23" ht="12.75">
      <c r="A1025" s="2227" t="s">
        <v>1165</v>
      </c>
      <c r="B1025" s="2221">
        <v>2000000</v>
      </c>
      <c r="C1025" s="2200" t="s">
        <v>5</v>
      </c>
      <c r="D1025" s="2200"/>
      <c r="E1025" s="2200"/>
      <c r="F1025" s="2200"/>
      <c r="G1025" s="2200"/>
      <c r="H1025" s="2197"/>
      <c r="I1025" s="136"/>
      <c r="J1025" s="136"/>
      <c r="K1025" s="1582"/>
      <c r="L1025" s="2200" t="str">
        <f t="shared" si="269"/>
        <v>Life time of Polymer</v>
      </c>
      <c r="M1025" s="2201">
        <f t="shared" si="270"/>
        <v>2000000</v>
      </c>
      <c r="N1025" s="2200" t="str">
        <f t="shared" si="271"/>
        <v>Sheets</v>
      </c>
      <c r="O1025" s="2200"/>
      <c r="P1025" s="2200"/>
      <c r="Q1025" s="2200"/>
      <c r="R1025" s="2200"/>
      <c r="S1025" s="2197"/>
      <c r="T1025" s="314"/>
    </row>
    <row r="1026" spans="1:23" ht="12.75">
      <c r="A1026" s="2227" t="s">
        <v>1168</v>
      </c>
      <c r="B1026" s="2230" t="s">
        <v>969</v>
      </c>
      <c r="C1026" s="2230"/>
      <c r="D1026" s="2200"/>
      <c r="E1026" s="2200"/>
      <c r="F1026" s="2200"/>
      <c r="G1026" s="2200"/>
      <c r="H1026" s="2197"/>
      <c r="I1026" s="136"/>
      <c r="J1026" s="136"/>
      <c r="K1026" s="1582"/>
      <c r="L1026" s="2200" t="str">
        <f t="shared" si="269"/>
        <v>Tools Prices List</v>
      </c>
      <c r="M1026" s="2201" t="str">
        <f t="shared" si="270"/>
        <v>Price (VND)</v>
      </c>
      <c r="N1026" s="2200"/>
      <c r="O1026" s="2200"/>
      <c r="P1026" s="2200"/>
      <c r="Q1026" s="2200"/>
      <c r="R1026" s="2200"/>
      <c r="S1026" s="2197"/>
    </row>
    <row r="1027" spans="1:23" ht="12.75">
      <c r="A1027" s="2200" t="s">
        <v>1169</v>
      </c>
      <c r="B1027" s="2207">
        <v>3000000</v>
      </c>
      <c r="C1027" s="2211" t="s">
        <v>98</v>
      </c>
      <c r="D1027" s="2200"/>
      <c r="E1027" s="2200"/>
      <c r="F1027" s="2200"/>
      <c r="G1027" s="2200"/>
      <c r="H1027" s="2197"/>
      <c r="I1027" s="136"/>
      <c r="J1027" s="136"/>
      <c r="K1027" s="1582"/>
      <c r="L1027" s="2200" t="str">
        <f t="shared" si="269"/>
        <v>SPV</v>
      </c>
      <c r="M1027" s="2201">
        <f t="shared" si="270"/>
        <v>3000000</v>
      </c>
      <c r="N1027" s="2200" t="str">
        <f t="shared" si="271"/>
        <v>VND/Die</v>
      </c>
      <c r="O1027" s="2200"/>
      <c r="P1027" s="2200"/>
      <c r="Q1027" s="2200"/>
      <c r="R1027" s="2200"/>
      <c r="S1027" s="2197"/>
    </row>
    <row r="1028" spans="1:23" ht="12.75">
      <c r="A1028" s="2200" t="s">
        <v>1170</v>
      </c>
      <c r="B1028" s="2207">
        <v>6000000</v>
      </c>
      <c r="C1028" s="2211" t="s">
        <v>98</v>
      </c>
      <c r="D1028" s="2200"/>
      <c r="E1028" s="2200"/>
      <c r="F1028" s="2200"/>
      <c r="G1028" s="2200"/>
      <c r="H1028" s="2197"/>
      <c r="I1028" s="136"/>
      <c r="J1028" s="136"/>
      <c r="K1028" s="1582"/>
      <c r="L1028" s="2200" t="str">
        <f t="shared" si="269"/>
        <v>Outsource</v>
      </c>
      <c r="M1028" s="2201">
        <f t="shared" si="270"/>
        <v>6000000</v>
      </c>
      <c r="N1028" s="2200" t="str">
        <f t="shared" si="271"/>
        <v>VND/Die</v>
      </c>
      <c r="O1028" s="2200"/>
      <c r="P1028" s="2200"/>
      <c r="Q1028" s="2200"/>
      <c r="R1028" s="2200"/>
      <c r="S1028" s="2197"/>
    </row>
    <row r="1029" spans="1:23" ht="12.75">
      <c r="A1029" s="2200" t="s">
        <v>1171</v>
      </c>
      <c r="B1029" s="2207">
        <v>1000000</v>
      </c>
      <c r="C1029" s="2211" t="s">
        <v>98</v>
      </c>
      <c r="D1029" s="2200"/>
      <c r="E1029" s="2200"/>
      <c r="F1029" s="2200"/>
      <c r="G1029" s="2200"/>
      <c r="H1029" s="2197"/>
      <c r="I1029" s="136"/>
      <c r="J1029" s="136"/>
      <c r="K1029" s="1582"/>
      <c r="L1029" s="2200" t="str">
        <f t="shared" si="269"/>
        <v>Change new blades - SPV</v>
      </c>
      <c r="M1029" s="2201">
        <f t="shared" si="270"/>
        <v>1000000</v>
      </c>
      <c r="N1029" s="2200" t="str">
        <f t="shared" si="271"/>
        <v>VND/Die</v>
      </c>
      <c r="O1029" s="2200"/>
      <c r="P1029" s="2200"/>
      <c r="Q1029" s="2200"/>
      <c r="R1029" s="2200"/>
      <c r="S1029" s="2197"/>
    </row>
    <row r="1030" spans="1:23" ht="12.75">
      <c r="A1030" s="2200" t="s">
        <v>1172</v>
      </c>
      <c r="B1030" s="2207">
        <v>2000000</v>
      </c>
      <c r="C1030" s="2211" t="s">
        <v>98</v>
      </c>
      <c r="D1030" s="2200"/>
      <c r="E1030" s="2200"/>
      <c r="F1030" s="2200"/>
      <c r="G1030" s="2200"/>
      <c r="H1030" s="2197"/>
      <c r="I1030" s="136"/>
      <c r="J1030" s="136"/>
      <c r="K1030" s="1582"/>
      <c r="L1030" s="2200" t="str">
        <f t="shared" si="269"/>
        <v>Change new blades - Outsource</v>
      </c>
      <c r="M1030" s="2201">
        <f t="shared" si="270"/>
        <v>2000000</v>
      </c>
      <c r="N1030" s="2200" t="str">
        <f t="shared" si="271"/>
        <v>VND/Die</v>
      </c>
      <c r="O1030" s="2200"/>
      <c r="P1030" s="2200"/>
      <c r="Q1030" s="2200"/>
      <c r="R1030" s="2200"/>
      <c r="S1030" s="2197"/>
    </row>
    <row r="1031" spans="1:23" ht="12.75">
      <c r="A1031" s="2200" t="s">
        <v>1161</v>
      </c>
      <c r="B1031" s="2207">
        <f>ROUNDUP(93198*(1+10%),-3)</f>
        <v>103000</v>
      </c>
      <c r="C1031" s="2200" t="s">
        <v>96</v>
      </c>
      <c r="D1031" s="2200"/>
      <c r="E1031" s="2200"/>
      <c r="F1031" s="2200"/>
      <c r="G1031" s="2200"/>
      <c r="H1031" s="2197"/>
      <c r="I1031" s="136"/>
      <c r="J1031" s="136"/>
      <c r="K1031" s="1582"/>
      <c r="L1031" s="2200" t="str">
        <f t="shared" si="269"/>
        <v>Plate My Lan</v>
      </c>
      <c r="M1031" s="2201">
        <f t="shared" si="270"/>
        <v>103000</v>
      </c>
      <c r="N1031" s="2200" t="str">
        <f t="shared" si="271"/>
        <v>VND/Plate</v>
      </c>
      <c r="O1031" s="2200"/>
      <c r="P1031" s="2200"/>
      <c r="Q1031" s="2200"/>
      <c r="R1031" s="2200"/>
      <c r="S1031" s="2197"/>
    </row>
    <row r="1032" spans="1:23" ht="12.75">
      <c r="A1032" s="2200" t="s">
        <v>1173</v>
      </c>
      <c r="B1032" s="2207">
        <f>(3289000/1.626)*(1+15%)</f>
        <v>2326168.5116851167</v>
      </c>
      <c r="C1032" s="2200" t="s">
        <v>1174</v>
      </c>
      <c r="D1032" s="2200"/>
      <c r="E1032" s="2200"/>
      <c r="F1032" s="2200"/>
      <c r="G1032" s="2200"/>
      <c r="H1032" s="2197"/>
      <c r="I1032" s="136"/>
      <c r="J1032" s="136"/>
      <c r="K1032" s="1582"/>
      <c r="L1032" s="2200" t="str">
        <f t="shared" si="269"/>
        <v>Blanket UV - UV online</v>
      </c>
      <c r="M1032" s="2201">
        <f t="shared" si="270"/>
        <v>2326168.5116851167</v>
      </c>
      <c r="N1032" s="2200" t="str">
        <f t="shared" si="271"/>
        <v>VND/m2</v>
      </c>
      <c r="O1032" s="2200"/>
      <c r="P1032" s="2200"/>
      <c r="Q1032" s="2200"/>
      <c r="R1032" s="2200"/>
      <c r="S1032" s="2197"/>
    </row>
    <row r="1033" spans="1:23" ht="12.75">
      <c r="A1033" s="2200" t="s">
        <v>1175</v>
      </c>
      <c r="B1033" s="2207">
        <v>1650000</v>
      </c>
      <c r="C1033" s="2200" t="s">
        <v>1176</v>
      </c>
      <c r="D1033" s="2200"/>
      <c r="E1033" s="2200"/>
      <c r="F1033" s="2200"/>
      <c r="G1033" s="2200"/>
      <c r="H1033" s="2197"/>
      <c r="I1033" s="136"/>
      <c r="J1033" s="136"/>
      <c r="K1033" s="1582"/>
      <c r="L1033" s="2200" t="str">
        <f t="shared" si="269"/>
        <v>Blanket ECO - UV coating MC</v>
      </c>
      <c r="M1033" s="2201">
        <f t="shared" si="270"/>
        <v>1650000</v>
      </c>
      <c r="N1033" s="2200" t="str">
        <f t="shared" si="271"/>
        <v>VND/Sht</v>
      </c>
      <c r="O1033" s="2200"/>
      <c r="P1033" s="2200"/>
      <c r="Q1033" s="2200"/>
      <c r="R1033" s="2200"/>
      <c r="S1033" s="2197"/>
      <c r="T1033" s="314"/>
    </row>
    <row r="1034" spans="1:23" ht="12.75">
      <c r="A1034" s="2200" t="s">
        <v>1177</v>
      </c>
      <c r="B1034" s="2207">
        <v>1230000</v>
      </c>
      <c r="C1034" s="2200" t="s">
        <v>1178</v>
      </c>
      <c r="D1034" s="2200"/>
      <c r="E1034" s="2200"/>
      <c r="F1034" s="2200"/>
      <c r="G1034" s="2200"/>
      <c r="H1034" s="2197"/>
      <c r="I1034" s="136"/>
      <c r="J1034" s="136"/>
      <c r="K1034" s="1582"/>
      <c r="L1034" s="2200" t="str">
        <f t="shared" si="269"/>
        <v>Under Blanket</v>
      </c>
      <c r="M1034" s="2201">
        <f t="shared" si="270"/>
        <v>1230000</v>
      </c>
      <c r="N1034" s="2200" t="str">
        <f t="shared" si="271"/>
        <v>VND/Frame</v>
      </c>
      <c r="O1034" s="2200"/>
      <c r="P1034" s="2200"/>
      <c r="Q1034" s="2200"/>
      <c r="R1034" s="2200"/>
      <c r="S1034" s="2197"/>
      <c r="T1034" s="314"/>
    </row>
    <row r="1035" spans="1:23" ht="12.75">
      <c r="A1035" s="2200" t="s">
        <v>1179</v>
      </c>
      <c r="B1035" s="2207">
        <f>79*105*1400</f>
        <v>11613000</v>
      </c>
      <c r="C1035" s="2200" t="s">
        <v>1178</v>
      </c>
      <c r="D1035" s="2200"/>
      <c r="E1035" s="2200"/>
      <c r="F1035" s="2200"/>
      <c r="G1035" s="2200"/>
      <c r="H1035" s="2197"/>
      <c r="I1035" s="136"/>
      <c r="J1035" s="136"/>
      <c r="K1035" s="1582"/>
      <c r="L1035" s="2200" t="str">
        <f t="shared" si="269"/>
        <v>Polymer</v>
      </c>
      <c r="M1035" s="2201">
        <f t="shared" si="270"/>
        <v>11613000</v>
      </c>
      <c r="N1035" s="2200" t="str">
        <f t="shared" si="271"/>
        <v>VND/Frame</v>
      </c>
      <c r="O1035" s="2200"/>
      <c r="P1035" s="2200"/>
      <c r="Q1035" s="2200"/>
      <c r="R1035" s="2200"/>
      <c r="S1035" s="2197"/>
      <c r="T1035" s="317"/>
      <c r="W1035" s="317"/>
    </row>
    <row r="1036" spans="1:23" ht="12.75">
      <c r="A1036" s="2200" t="s">
        <v>1183</v>
      </c>
      <c r="B1036" s="2207">
        <v>1490000</v>
      </c>
      <c r="C1036" s="2200" t="s">
        <v>1184</v>
      </c>
      <c r="D1036" s="2200"/>
      <c r="E1036" s="2200"/>
      <c r="F1036" s="2200"/>
      <c r="G1036" s="2200"/>
      <c r="H1036" s="2197"/>
      <c r="I1036" s="136"/>
      <c r="J1036" s="136"/>
      <c r="K1036" s="1582"/>
      <c r="L1036" s="2200" t="str">
        <f t="shared" si="269"/>
        <v>SUS Plate</v>
      </c>
      <c r="M1036" s="2201">
        <f t="shared" si="270"/>
        <v>1490000</v>
      </c>
      <c r="N1036" s="2200" t="str">
        <f t="shared" si="271"/>
        <v>VND/plate</v>
      </c>
      <c r="O1036" s="2200"/>
      <c r="P1036" s="2200"/>
      <c r="Q1036" s="2200"/>
      <c r="R1036" s="2200"/>
      <c r="S1036" s="2197"/>
      <c r="T1036" s="318"/>
      <c r="W1036" s="318"/>
    </row>
    <row r="1037" spans="1:23" ht="12.75">
      <c r="A1037" s="2200" t="s">
        <v>1185</v>
      </c>
      <c r="B1037" s="2207">
        <v>30</v>
      </c>
      <c r="C1037" s="2200" t="s">
        <v>1181</v>
      </c>
      <c r="D1037" s="2200"/>
      <c r="E1037" s="2200"/>
      <c r="F1037" s="2200"/>
      <c r="G1037" s="2200"/>
      <c r="H1037" s="2197"/>
      <c r="I1037" s="136"/>
      <c r="J1037" s="136"/>
      <c r="K1037" s="1582"/>
      <c r="L1037" s="2200" t="str">
        <f t="shared" si="269"/>
        <v>Output film cost (SG3)</v>
      </c>
      <c r="M1037" s="2201">
        <f t="shared" si="270"/>
        <v>30</v>
      </c>
      <c r="N1037" s="2200" t="str">
        <f t="shared" si="271"/>
        <v>VND/cm2</v>
      </c>
      <c r="O1037" s="2200"/>
      <c r="P1037" s="2200"/>
      <c r="Q1037" s="2200"/>
      <c r="R1037" s="2200"/>
      <c r="S1037" s="2197"/>
      <c r="T1037" s="318"/>
      <c r="W1037" s="318"/>
    </row>
    <row r="1038" spans="1:23" ht="12.75">
      <c r="A1038" s="2231" t="s">
        <v>1186</v>
      </c>
      <c r="B1038" s="2232">
        <v>740000</v>
      </c>
      <c r="C1038" s="2200" t="s">
        <v>1187</v>
      </c>
      <c r="D1038" s="2200"/>
      <c r="E1038" s="2200"/>
      <c r="F1038" s="2200"/>
      <c r="G1038" s="2200"/>
      <c r="H1038" s="2197"/>
      <c r="I1038" s="136"/>
      <c r="J1038" s="136"/>
      <c r="K1038" s="1582"/>
      <c r="L1038" s="2200" t="str">
        <f t="shared" si="269"/>
        <v>Block (silkcreen glittering, spot UV on OPP…)</v>
      </c>
      <c r="M1038" s="2201">
        <f t="shared" si="270"/>
        <v>740000</v>
      </c>
      <c r="N1038" s="2200" t="str">
        <f t="shared" si="271"/>
        <v>Sz: 850 x 600mm</v>
      </c>
      <c r="O1038" s="2200"/>
      <c r="P1038" s="2200"/>
      <c r="Q1038" s="2200"/>
      <c r="R1038" s="2200"/>
      <c r="S1038" s="2197"/>
      <c r="T1038" s="318"/>
      <c r="W1038" s="318"/>
    </row>
    <row r="1039" spans="1:23" ht="12.75">
      <c r="A1039" s="2231"/>
      <c r="B1039" s="2232">
        <v>580000</v>
      </c>
      <c r="C1039" s="2200" t="s">
        <v>1188</v>
      </c>
      <c r="D1039" s="2200"/>
      <c r="E1039" s="2200"/>
      <c r="F1039" s="2200"/>
      <c r="G1039" s="2200"/>
      <c r="H1039" s="2197"/>
      <c r="I1039" s="136"/>
      <c r="J1039" s="136"/>
      <c r="K1039" s="1582"/>
      <c r="L1039" s="2200"/>
      <c r="M1039" s="2201">
        <f t="shared" ref="M1039:M1046" si="272">B1039</f>
        <v>580000</v>
      </c>
      <c r="N1039" s="2200" t="str">
        <f t="shared" si="271"/>
        <v>Sz: 650 x 500mm</v>
      </c>
      <c r="O1039" s="2200"/>
      <c r="P1039" s="2200"/>
      <c r="Q1039" s="2200"/>
      <c r="R1039" s="2200"/>
      <c r="S1039" s="2197"/>
      <c r="T1039" s="318"/>
      <c r="W1039" s="318"/>
    </row>
    <row r="1040" spans="1:23" ht="12.75">
      <c r="A1040" s="2231" t="s">
        <v>1189</v>
      </c>
      <c r="B1040" s="2233">
        <v>390000</v>
      </c>
      <c r="C1040" s="2200" t="s">
        <v>1187</v>
      </c>
      <c r="D1040" s="2200"/>
      <c r="E1040" s="2200"/>
      <c r="F1040" s="2200"/>
      <c r="G1040" s="2200"/>
      <c r="H1040" s="2197"/>
      <c r="I1040" s="136"/>
      <c r="J1040" s="136"/>
      <c r="K1040" s="1582"/>
      <c r="L1040" s="2200" t="str">
        <f>A1040</f>
        <v>Change silk sheet</v>
      </c>
      <c r="M1040" s="2201">
        <f t="shared" si="272"/>
        <v>390000</v>
      </c>
      <c r="N1040" s="2200" t="str">
        <f t="shared" si="271"/>
        <v>Sz: 850 x 600mm</v>
      </c>
      <c r="O1040" s="2200"/>
      <c r="P1040" s="2200"/>
      <c r="Q1040" s="2200"/>
      <c r="R1040" s="2200"/>
      <c r="S1040" s="2197"/>
      <c r="T1040" s="318"/>
      <c r="W1040" s="318"/>
    </row>
    <row r="1041" spans="1:24" ht="12.75">
      <c r="A1041" s="2231"/>
      <c r="B1041" s="2233">
        <v>320000</v>
      </c>
      <c r="C1041" s="2200" t="s">
        <v>1188</v>
      </c>
      <c r="D1041" s="2200"/>
      <c r="E1041" s="2200"/>
      <c r="F1041" s="2200"/>
      <c r="G1041" s="2200"/>
      <c r="H1041" s="2197"/>
      <c r="I1041" s="136"/>
      <c r="J1041" s="136"/>
      <c r="K1041" s="1582"/>
      <c r="L1041" s="2200"/>
      <c r="M1041" s="2201">
        <f t="shared" si="272"/>
        <v>320000</v>
      </c>
      <c r="N1041" s="2200" t="str">
        <f t="shared" si="271"/>
        <v>Sz: 650 x 500mm</v>
      </c>
      <c r="O1041" s="2200"/>
      <c r="P1041" s="2200"/>
      <c r="Q1041" s="2200"/>
      <c r="R1041" s="2200"/>
      <c r="S1041" s="2197"/>
      <c r="T1041" s="318"/>
      <c r="W1041" s="318"/>
    </row>
    <row r="1042" spans="1:24" ht="12.75">
      <c r="A1042" s="2200" t="s">
        <v>1180</v>
      </c>
      <c r="B1042" s="2207">
        <v>1450</v>
      </c>
      <c r="C1042" s="2200" t="s">
        <v>1181</v>
      </c>
      <c r="D1042" s="2200"/>
      <c r="E1042" s="2200"/>
      <c r="F1042" s="2200"/>
      <c r="G1042" s="2200"/>
      <c r="H1042" s="2197"/>
      <c r="I1042" s="136"/>
      <c r="J1042" s="136"/>
      <c r="K1042" s="1582"/>
      <c r="L1042" s="2200" t="str">
        <f>A1042</f>
        <v>Embossing Blocks</v>
      </c>
      <c r="M1042" s="2201">
        <f t="shared" si="272"/>
        <v>1450</v>
      </c>
      <c r="N1042" s="2200" t="str">
        <f t="shared" si="271"/>
        <v>VND/cm2</v>
      </c>
      <c r="O1042" s="2200"/>
      <c r="P1042" s="2200"/>
      <c r="Q1042" s="2200"/>
      <c r="R1042" s="2200"/>
      <c r="S1042" s="2197"/>
      <c r="T1042" s="318"/>
      <c r="W1042" s="318"/>
    </row>
    <row r="1043" spans="1:24" ht="12.75">
      <c r="A1043" s="2200" t="s">
        <v>1182</v>
      </c>
      <c r="B1043" s="2207">
        <v>1450</v>
      </c>
      <c r="C1043" s="2200" t="s">
        <v>1181</v>
      </c>
      <c r="D1043" s="2200"/>
      <c r="E1043" s="2200"/>
      <c r="F1043" s="2200"/>
      <c r="G1043" s="2200"/>
      <c r="H1043" s="2197"/>
      <c r="I1043" s="136"/>
      <c r="J1043" s="136"/>
      <c r="K1043" s="1582"/>
      <c r="L1043" s="2200" t="str">
        <f>A1043</f>
        <v>Hot Stamping Blocks</v>
      </c>
      <c r="M1043" s="2201">
        <f t="shared" si="272"/>
        <v>1450</v>
      </c>
      <c r="N1043" s="2200" t="str">
        <f t="shared" si="271"/>
        <v>VND/cm2</v>
      </c>
      <c r="O1043" s="2200"/>
      <c r="P1043" s="2200"/>
      <c r="Q1043" s="2200"/>
      <c r="R1043" s="2200"/>
      <c r="S1043" s="2197"/>
      <c r="T1043" s="318"/>
      <c r="W1043" s="318"/>
    </row>
    <row r="1044" spans="1:24" ht="12.75">
      <c r="A1044" s="2227"/>
      <c r="B1044" s="2409" t="s">
        <v>1212</v>
      </c>
      <c r="C1044" s="2409" t="s">
        <v>1213</v>
      </c>
      <c r="D1044" s="2409"/>
      <c r="E1044" s="2409" t="s">
        <v>1214</v>
      </c>
      <c r="F1044" s="2409" t="s">
        <v>1215</v>
      </c>
      <c r="G1044" s="2409" t="s">
        <v>1216</v>
      </c>
      <c r="H1044" s="2197"/>
      <c r="I1044" s="136"/>
      <c r="J1044" s="136"/>
      <c r="K1044" s="1582"/>
      <c r="L1044" s="2227"/>
      <c r="M1044" s="2631" t="str">
        <f t="shared" si="272"/>
        <v>Kem</v>
      </c>
      <c r="N1044" s="2408" t="str">
        <f>C1044</f>
        <v>1.5mm</v>
      </c>
      <c r="O1044" s="2408">
        <f>D1044</f>
        <v>0</v>
      </c>
      <c r="P1044" s="2408" t="str">
        <f>E1044</f>
        <v>Dong</v>
      </c>
      <c r="Q1044" s="2408" t="str">
        <f>F1044</f>
        <v>2D</v>
      </c>
      <c r="R1044" s="2408" t="str">
        <f>G1044</f>
        <v>3D</v>
      </c>
      <c r="S1044" s="2197"/>
      <c r="T1044" s="318"/>
      <c r="W1044" s="318"/>
    </row>
    <row r="1045" spans="1:24" ht="12.75">
      <c r="A1045" s="2227" t="s">
        <v>1211</v>
      </c>
      <c r="B1045" s="2410">
        <v>8</v>
      </c>
      <c r="C1045" s="2408">
        <v>50000</v>
      </c>
      <c r="D1045" s="2408"/>
      <c r="E1045" s="2410">
        <v>11</v>
      </c>
      <c r="F1045" s="2408">
        <v>200000</v>
      </c>
      <c r="G1045" s="2408">
        <v>300000</v>
      </c>
      <c r="H1045" s="2197"/>
      <c r="I1045" s="136"/>
      <c r="J1045" s="136"/>
      <c r="K1045" s="1582"/>
      <c r="L1045" s="2631" t="str">
        <f>A1045</f>
        <v>Block</v>
      </c>
      <c r="M1045" s="2410">
        <f t="shared" si="272"/>
        <v>8</v>
      </c>
      <c r="N1045" s="2631">
        <f>C1045</f>
        <v>50000</v>
      </c>
      <c r="O1045" s="2408"/>
      <c r="P1045" s="2410">
        <f t="shared" ref="P1045:P1050" si="273">E1045</f>
        <v>11</v>
      </c>
      <c r="Q1045" s="2408">
        <f t="shared" ref="Q1045:Q1050" si="274">F1045</f>
        <v>200000</v>
      </c>
      <c r="R1045" s="2408">
        <f t="shared" ref="R1045:R1050" si="275">G1045</f>
        <v>300000</v>
      </c>
      <c r="S1045" s="2197"/>
      <c r="T1045" s="318"/>
      <c r="W1045" s="318"/>
    </row>
    <row r="1046" spans="1:24" ht="12.75">
      <c r="A1046" s="2227" t="str">
        <f>B1044</f>
        <v>Kem</v>
      </c>
      <c r="B1046" s="2410">
        <v>13</v>
      </c>
      <c r="C1046" s="2408">
        <v>60000</v>
      </c>
      <c r="D1046" s="2408"/>
      <c r="E1046" s="2410">
        <v>21</v>
      </c>
      <c r="F1046" s="2408">
        <v>340000</v>
      </c>
      <c r="G1046" s="2408">
        <v>400000</v>
      </c>
      <c r="H1046" s="2197"/>
      <c r="I1046" s="136"/>
      <c r="J1046" s="136"/>
      <c r="K1046" s="1582"/>
      <c r="L1046" s="2631" t="str">
        <f>A1046</f>
        <v>Kem</v>
      </c>
      <c r="M1046" s="2410">
        <f t="shared" si="272"/>
        <v>13</v>
      </c>
      <c r="N1046" s="2631">
        <f>C1046</f>
        <v>60000</v>
      </c>
      <c r="O1046" s="2408"/>
      <c r="P1046" s="2410">
        <f t="shared" si="273"/>
        <v>21</v>
      </c>
      <c r="Q1046" s="2408">
        <f t="shared" si="274"/>
        <v>340000</v>
      </c>
      <c r="R1046" s="2408">
        <f t="shared" si="275"/>
        <v>400000</v>
      </c>
      <c r="S1046" s="2197"/>
      <c r="T1046" s="318"/>
      <c r="W1046" s="318"/>
    </row>
    <row r="1047" spans="1:24" ht="12.75">
      <c r="A1047" s="2227" t="str">
        <f>$P$1044</f>
        <v>Dong</v>
      </c>
      <c r="B1047" s="2410">
        <v>21</v>
      </c>
      <c r="C1047" s="2408">
        <v>70000</v>
      </c>
      <c r="D1047" s="2408"/>
      <c r="E1047" s="2410">
        <v>31</v>
      </c>
      <c r="F1047" s="2408">
        <v>510000</v>
      </c>
      <c r="G1047" s="2408">
        <v>600000</v>
      </c>
      <c r="H1047" s="2197"/>
      <c r="I1047" s="136"/>
      <c r="J1047" s="136"/>
      <c r="K1047" s="1582"/>
      <c r="L1047" s="2631" t="str">
        <f t="shared" ref="L1047:N1050" si="276">A1047</f>
        <v>Dong</v>
      </c>
      <c r="M1047" s="2410">
        <f t="shared" si="276"/>
        <v>21</v>
      </c>
      <c r="N1047" s="2631">
        <f t="shared" si="276"/>
        <v>70000</v>
      </c>
      <c r="O1047" s="2408"/>
      <c r="P1047" s="2410">
        <f t="shared" si="273"/>
        <v>31</v>
      </c>
      <c r="Q1047" s="2408">
        <f t="shared" si="274"/>
        <v>510000</v>
      </c>
      <c r="R1047" s="2408">
        <f t="shared" si="275"/>
        <v>600000</v>
      </c>
      <c r="S1047" s="2197"/>
      <c r="T1047" s="318"/>
      <c r="W1047" s="318"/>
    </row>
    <row r="1048" spans="1:24" ht="12.75">
      <c r="A1048" s="2227" t="str">
        <f>$P$1044</f>
        <v>Dong</v>
      </c>
      <c r="B1048" s="2410">
        <v>31</v>
      </c>
      <c r="C1048" s="2408">
        <v>80000</v>
      </c>
      <c r="D1048" s="2408"/>
      <c r="E1048" s="2410">
        <v>41</v>
      </c>
      <c r="F1048" s="2408">
        <v>680000</v>
      </c>
      <c r="G1048" s="2408">
        <v>800000</v>
      </c>
      <c r="H1048" s="2197"/>
      <c r="I1048" s="136"/>
      <c r="J1048" s="136"/>
      <c r="K1048" s="1582"/>
      <c r="L1048" s="2631" t="str">
        <f t="shared" si="276"/>
        <v>Dong</v>
      </c>
      <c r="M1048" s="2410">
        <f t="shared" si="276"/>
        <v>31</v>
      </c>
      <c r="N1048" s="2631">
        <f t="shared" si="276"/>
        <v>80000</v>
      </c>
      <c r="O1048" s="2408"/>
      <c r="P1048" s="2410">
        <f t="shared" si="273"/>
        <v>41</v>
      </c>
      <c r="Q1048" s="2408">
        <f t="shared" si="274"/>
        <v>680000</v>
      </c>
      <c r="R1048" s="2408">
        <f t="shared" si="275"/>
        <v>800000</v>
      </c>
      <c r="S1048" s="2197"/>
      <c r="T1048" s="318"/>
      <c r="W1048" s="318"/>
    </row>
    <row r="1049" spans="1:24" ht="12.75">
      <c r="A1049" s="2227" t="str">
        <f>$P$1044</f>
        <v>Dong</v>
      </c>
      <c r="B1049" s="2410">
        <v>60</v>
      </c>
      <c r="C1049" s="2408">
        <v>90000</v>
      </c>
      <c r="D1049" s="2408"/>
      <c r="E1049" s="2410">
        <v>50</v>
      </c>
      <c r="F1049" s="2408">
        <v>850000</v>
      </c>
      <c r="G1049" s="2408">
        <v>1000000</v>
      </c>
      <c r="H1049" s="2197"/>
      <c r="I1049" s="136"/>
      <c r="J1049" s="136"/>
      <c r="K1049" s="1582"/>
      <c r="L1049" s="2631" t="str">
        <f t="shared" si="276"/>
        <v>Dong</v>
      </c>
      <c r="M1049" s="2410">
        <f t="shared" si="276"/>
        <v>60</v>
      </c>
      <c r="N1049" s="2631">
        <f t="shared" si="276"/>
        <v>90000</v>
      </c>
      <c r="O1049" s="2408"/>
      <c r="P1049" s="2410">
        <f t="shared" si="273"/>
        <v>50</v>
      </c>
      <c r="Q1049" s="2408">
        <f t="shared" si="274"/>
        <v>850000</v>
      </c>
      <c r="R1049" s="2408">
        <f t="shared" si="275"/>
        <v>1000000</v>
      </c>
      <c r="S1049" s="2197"/>
      <c r="T1049" s="318"/>
      <c r="W1049" s="318"/>
    </row>
    <row r="1050" spans="1:24" ht="12.75">
      <c r="A1050" s="2227" t="str">
        <f>$P$1044</f>
        <v>Dong</v>
      </c>
      <c r="B1050" s="2411">
        <v>60</v>
      </c>
      <c r="C1050" s="2408">
        <v>1550</v>
      </c>
      <c r="D1050" s="2408"/>
      <c r="E1050" s="2411">
        <v>50</v>
      </c>
      <c r="F1050" s="2408">
        <v>17000</v>
      </c>
      <c r="G1050" s="2408">
        <v>20000</v>
      </c>
      <c r="H1050" s="2197"/>
      <c r="I1050" s="136"/>
      <c r="J1050" s="136"/>
      <c r="K1050" s="1582"/>
      <c r="L1050" s="2631" t="str">
        <f t="shared" si="276"/>
        <v>Dong</v>
      </c>
      <c r="M1050" s="2411">
        <f t="shared" si="276"/>
        <v>60</v>
      </c>
      <c r="N1050" s="2631">
        <f t="shared" si="276"/>
        <v>1550</v>
      </c>
      <c r="O1050" s="2408"/>
      <c r="P1050" s="2411">
        <f t="shared" si="273"/>
        <v>50</v>
      </c>
      <c r="Q1050" s="2408">
        <f t="shared" si="274"/>
        <v>17000</v>
      </c>
      <c r="R1050" s="2408">
        <f t="shared" si="275"/>
        <v>20000</v>
      </c>
      <c r="S1050" s="2197"/>
      <c r="T1050" s="318"/>
      <c r="W1050" s="318"/>
    </row>
    <row r="1051" spans="1:24" ht="12.75">
      <c r="A1051" s="2234"/>
      <c r="B1051" s="2235"/>
      <c r="C1051" s="2197"/>
      <c r="D1051" s="2197"/>
      <c r="E1051" s="2197"/>
      <c r="F1051" s="2197"/>
      <c r="G1051" s="2197"/>
      <c r="H1051" s="2197"/>
      <c r="I1051" s="136"/>
      <c r="J1051" s="136"/>
      <c r="K1051" s="1582"/>
      <c r="L1051" s="2234"/>
      <c r="M1051" s="2235"/>
      <c r="N1051" s="2197"/>
      <c r="O1051" s="2197"/>
      <c r="P1051" s="2197"/>
      <c r="Q1051" s="2197"/>
      <c r="R1051" s="2197"/>
      <c r="S1051" s="2197"/>
      <c r="T1051" s="318"/>
      <c r="W1051" s="318"/>
    </row>
    <row r="1052" spans="1:24" ht="13.5" thickBot="1">
      <c r="A1052" s="2236"/>
      <c r="B1052" s="2237"/>
      <c r="C1052" s="1582"/>
      <c r="D1052" s="1582"/>
      <c r="E1052" s="1582"/>
      <c r="F1052" s="1582"/>
      <c r="G1052" s="1582"/>
      <c r="H1052" s="1582"/>
      <c r="I1052" s="136"/>
      <c r="J1052" s="136"/>
      <c r="K1052" s="1582"/>
      <c r="L1052" s="2236"/>
      <c r="M1052" s="2237"/>
      <c r="N1052" s="1582"/>
      <c r="O1052" s="1582"/>
      <c r="P1052" s="1582"/>
      <c r="Q1052" s="1582"/>
      <c r="R1052" s="1582"/>
      <c r="S1052" s="1582"/>
      <c r="T1052" s="318"/>
      <c r="W1052" s="318"/>
    </row>
    <row r="1053" spans="1:24" ht="12.75">
      <c r="A1053" s="2238" t="s">
        <v>793</v>
      </c>
      <c r="B1053" s="2239" t="s">
        <v>793</v>
      </c>
      <c r="C1053" s="2629" t="s">
        <v>1093</v>
      </c>
      <c r="D1053" s="4104" t="s">
        <v>794</v>
      </c>
      <c r="E1053" s="4105"/>
      <c r="F1053" s="2630" t="s">
        <v>795</v>
      </c>
      <c r="G1053" s="2240" t="s">
        <v>796</v>
      </c>
      <c r="H1053" s="2197"/>
      <c r="I1053" s="136"/>
      <c r="J1053" s="136"/>
      <c r="K1053" s="1582"/>
      <c r="L1053" s="2642" t="str">
        <f>A1053</f>
        <v>Categories</v>
      </c>
      <c r="M1053" s="2632" t="str">
        <f>B1053</f>
        <v>Categories</v>
      </c>
      <c r="N1053" s="2629" t="s">
        <v>1093</v>
      </c>
      <c r="O1053" s="4104" t="s">
        <v>794</v>
      </c>
      <c r="P1053" s="4105"/>
      <c r="Q1053" s="2630" t="s">
        <v>795</v>
      </c>
      <c r="R1053" s="2240" t="s">
        <v>796</v>
      </c>
      <c r="S1053" s="2197"/>
    </row>
    <row r="1054" spans="1:24" ht="12.75">
      <c r="A1054" s="3566" t="s">
        <v>3656</v>
      </c>
      <c r="B1054" s="2638" t="str">
        <f>A1054</f>
        <v>Metalize/Rigid Box</v>
      </c>
      <c r="C1054" s="2242">
        <f>C1057*80%</f>
        <v>80000</v>
      </c>
      <c r="D1054" s="3627" t="s">
        <v>797</v>
      </c>
      <c r="E1054" s="3628">
        <v>50000</v>
      </c>
      <c r="F1054" s="2243">
        <v>0.05</v>
      </c>
      <c r="G1054" s="3629">
        <v>250</v>
      </c>
      <c r="H1054" s="2197"/>
      <c r="I1054" s="136"/>
      <c r="J1054" s="136"/>
      <c r="K1054" s="1582"/>
      <c r="L1054" s="2638" t="str">
        <f>A1054</f>
        <v>Metalize/Rigid Box</v>
      </c>
      <c r="M1054" s="2633" t="str">
        <f>L1054</f>
        <v>Metalize/Rigid Box</v>
      </c>
      <c r="N1054" s="2242">
        <f>C1054</f>
        <v>80000</v>
      </c>
      <c r="O1054" s="2634" t="str">
        <f>D1054</f>
        <v>Under</v>
      </c>
      <c r="P1054" s="2635">
        <v>50000</v>
      </c>
      <c r="Q1054" s="2243">
        <f>F1054</f>
        <v>0.05</v>
      </c>
      <c r="R1054" s="2636">
        <f>G1054</f>
        <v>250</v>
      </c>
      <c r="S1054" s="2197"/>
      <c r="T1054" s="136" t="s">
        <v>3605</v>
      </c>
      <c r="U1054" s="136" t="s">
        <v>3606</v>
      </c>
      <c r="V1054" s="136" t="s">
        <v>3607</v>
      </c>
      <c r="W1054" s="3567">
        <v>0.05</v>
      </c>
      <c r="X1054" s="136">
        <v>250</v>
      </c>
    </row>
    <row r="1055" spans="1:24" ht="12.75">
      <c r="A1055" s="3566" t="s">
        <v>800</v>
      </c>
      <c r="B1055" s="2638"/>
      <c r="C1055" s="2244"/>
      <c r="D1055" s="2245"/>
      <c r="E1055" s="2637"/>
      <c r="F1055" s="2243"/>
      <c r="G1055" s="2246"/>
      <c r="H1055" s="2197"/>
      <c r="I1055" s="136"/>
      <c r="J1055" s="136"/>
      <c r="K1055" s="1582"/>
      <c r="L1055" s="2638" t="str">
        <f>A1055</f>
        <v>Non Metalize</v>
      </c>
      <c r="M1055" s="2633"/>
      <c r="N1055" s="2244"/>
      <c r="O1055" s="2245"/>
      <c r="P1055" s="2637"/>
      <c r="Q1055" s="2243"/>
      <c r="R1055" s="2246"/>
      <c r="S1055" s="2197"/>
      <c r="T1055" s="136" t="s">
        <v>3608</v>
      </c>
      <c r="U1055" s="136" t="s">
        <v>3609</v>
      </c>
      <c r="V1055" s="136" t="s">
        <v>3610</v>
      </c>
      <c r="W1055" s="3567">
        <v>3.5000000000000003E-2</v>
      </c>
      <c r="X1055" s="136">
        <v>250</v>
      </c>
    </row>
    <row r="1056" spans="1:24" ht="12.75">
      <c r="A1056" s="3566"/>
      <c r="B1056" s="2638"/>
      <c r="C1056" s="2197"/>
      <c r="D1056" s="3630" t="s">
        <v>798</v>
      </c>
      <c r="E1056" s="2640">
        <v>50000</v>
      </c>
      <c r="F1056" s="2243">
        <v>3.5000000000000003E-2</v>
      </c>
      <c r="G1056" s="3631"/>
      <c r="H1056" s="2197"/>
      <c r="I1056" s="136"/>
      <c r="J1056" s="136"/>
      <c r="K1056" s="1582"/>
      <c r="L1056" s="2638">
        <f>A1056</f>
        <v>0</v>
      </c>
      <c r="M1056" s="2633"/>
      <c r="N1056" s="2197"/>
      <c r="O1056" s="2639" t="str">
        <f>D1056</f>
        <v>Over</v>
      </c>
      <c r="P1056" s="2640">
        <v>50000</v>
      </c>
      <c r="Q1056" s="2243">
        <f>F1056</f>
        <v>3.5000000000000003E-2</v>
      </c>
      <c r="R1056" s="2641"/>
      <c r="S1056" s="2197"/>
      <c r="T1056" s="136" t="s">
        <v>3611</v>
      </c>
      <c r="U1056" s="136" t="s">
        <v>3612</v>
      </c>
      <c r="V1056" s="136" t="s">
        <v>3607</v>
      </c>
      <c r="W1056" s="3567">
        <v>4.4999999999999998E-2</v>
      </c>
      <c r="X1056" s="136">
        <v>225</v>
      </c>
    </row>
    <row r="1057" spans="1:25" ht="12.75">
      <c r="A1057" s="3566"/>
      <c r="B1057" s="3632" t="str">
        <f>A1055</f>
        <v>Non Metalize</v>
      </c>
      <c r="C1057" s="3633">
        <v>100000</v>
      </c>
      <c r="D1057" s="3627" t="s">
        <v>797</v>
      </c>
      <c r="E1057" s="3628">
        <v>50000</v>
      </c>
      <c r="F1057" s="3634">
        <v>4.4999999999999998E-2</v>
      </c>
      <c r="G1057" s="3629">
        <v>225</v>
      </c>
      <c r="H1057" s="2197"/>
      <c r="I1057" s="136"/>
      <c r="J1057" s="136"/>
      <c r="K1057" s="1582"/>
      <c r="L1057" s="2638"/>
      <c r="M1057" s="2648" t="str">
        <f>L1055</f>
        <v>Non Metalize</v>
      </c>
      <c r="N1057" s="2643">
        <f>C1057</f>
        <v>100000</v>
      </c>
      <c r="O1057" s="2634" t="str">
        <f>D1057</f>
        <v>Under</v>
      </c>
      <c r="P1057" s="2635">
        <v>50000</v>
      </c>
      <c r="Q1057" s="2644">
        <f>F1057</f>
        <v>4.4999999999999998E-2</v>
      </c>
      <c r="R1057" s="2636">
        <f>G1057</f>
        <v>225</v>
      </c>
      <c r="S1057" s="2197"/>
      <c r="T1057" s="136" t="s">
        <v>3613</v>
      </c>
      <c r="U1057" s="136" t="s">
        <v>3614</v>
      </c>
      <c r="V1057" s="136" t="s">
        <v>3610</v>
      </c>
      <c r="W1057" s="3567">
        <v>0.03</v>
      </c>
      <c r="X1057" s="136">
        <v>225</v>
      </c>
    </row>
    <row r="1058" spans="1:25" ht="12.75">
      <c r="A1058" s="3566"/>
      <c r="B1058" s="3635"/>
      <c r="C1058" s="2197"/>
      <c r="D1058" s="3630" t="s">
        <v>798</v>
      </c>
      <c r="E1058" s="2640">
        <v>50000</v>
      </c>
      <c r="F1058" s="3636">
        <v>0.03</v>
      </c>
      <c r="G1058" s="3631"/>
      <c r="H1058" s="2197"/>
      <c r="I1058" s="136"/>
      <c r="J1058" s="136"/>
      <c r="K1058" s="1582"/>
      <c r="L1058" s="2638"/>
      <c r="M1058" s="2633"/>
      <c r="N1058" s="2197"/>
      <c r="O1058" s="2639" t="str">
        <f>D1058</f>
        <v>Over</v>
      </c>
      <c r="P1058" s="2640">
        <v>50000</v>
      </c>
      <c r="Q1058" s="2646">
        <f>F1058</f>
        <v>0.03</v>
      </c>
      <c r="R1058" s="2641"/>
      <c r="S1058" s="2197"/>
      <c r="T1058" s="136" t="s">
        <v>3615</v>
      </c>
      <c r="U1058" s="136" t="s">
        <v>3616</v>
      </c>
      <c r="V1058" s="136" t="s">
        <v>3607</v>
      </c>
      <c r="W1058" s="3567">
        <v>0.05</v>
      </c>
      <c r="X1058" s="136">
        <v>250</v>
      </c>
    </row>
    <row r="1059" spans="1:25" ht="12.75">
      <c r="A1059" s="3566"/>
      <c r="B1059" s="3632" t="s">
        <v>799</v>
      </c>
      <c r="C1059" s="3633"/>
      <c r="D1059" s="3637"/>
      <c r="E1059" s="3638"/>
      <c r="F1059" s="3639"/>
      <c r="G1059" s="3640"/>
      <c r="H1059" s="2197"/>
      <c r="I1059" s="136"/>
      <c r="J1059" s="136"/>
      <c r="K1059" s="1582"/>
      <c r="L1059" s="2247"/>
      <c r="M1059" s="2642" t="str">
        <f>B1059</f>
        <v>Non Printing paper</v>
      </c>
      <c r="N1059" s="2653"/>
      <c r="O1059" s="2647"/>
      <c r="P1059" s="2648"/>
      <c r="Q1059" s="2649"/>
      <c r="R1059" s="2650"/>
      <c r="S1059" s="2197"/>
      <c r="T1059" s="136" t="s">
        <v>3617</v>
      </c>
      <c r="U1059" s="136" t="s">
        <v>3618</v>
      </c>
      <c r="V1059" s="136" t="s">
        <v>3610</v>
      </c>
      <c r="W1059" s="3567">
        <v>3.5000000000000003E-2</v>
      </c>
      <c r="X1059" s="136">
        <v>250</v>
      </c>
    </row>
    <row r="1060" spans="1:25" ht="12.75">
      <c r="A1060" s="3566"/>
      <c r="B1060" s="3326" t="str">
        <f>A1054</f>
        <v>Metalize/Rigid Box</v>
      </c>
      <c r="C1060" s="2247"/>
      <c r="D1060" s="2247"/>
      <c r="E1060" s="2633"/>
      <c r="F1060" s="2651">
        <v>0.03</v>
      </c>
      <c r="G1060" s="2246">
        <v>100</v>
      </c>
      <c r="H1060" s="2197"/>
      <c r="I1060" s="136"/>
      <c r="J1060" s="136"/>
      <c r="K1060" s="1582"/>
      <c r="L1060" s="2247"/>
      <c r="M1060" s="2638" t="str">
        <f>B1060</f>
        <v>Metalize/Rigid Box</v>
      </c>
      <c r="N1060" s="2197"/>
      <c r="O1060" s="2247"/>
      <c r="P1060" s="2633"/>
      <c r="Q1060" s="2651">
        <f>F1060</f>
        <v>0.03</v>
      </c>
      <c r="R1060" s="2246">
        <f>G1060</f>
        <v>100</v>
      </c>
      <c r="S1060" s="2197"/>
    </row>
    <row r="1061" spans="1:25" ht="13.5" thickBot="1">
      <c r="A1061" s="2248"/>
      <c r="B1061" s="2249" t="str">
        <f>A1055</f>
        <v>Non Metalize</v>
      </c>
      <c r="C1061" s="2250"/>
      <c r="D1061" s="2250"/>
      <c r="E1061" s="2251"/>
      <c r="F1061" s="2252">
        <f>F1060</f>
        <v>0.03</v>
      </c>
      <c r="G1061" s="2253">
        <f>G1060</f>
        <v>100</v>
      </c>
      <c r="H1061" s="2197"/>
      <c r="I1061" s="136"/>
      <c r="J1061" s="136"/>
      <c r="K1061" s="1582"/>
      <c r="L1061" s="2652"/>
      <c r="M1061" s="2645" t="str">
        <f>B1061</f>
        <v>Non Metalize</v>
      </c>
      <c r="N1061" s="2654"/>
      <c r="O1061" s="2250"/>
      <c r="P1061" s="2251"/>
      <c r="Q1061" s="2252">
        <f>F1061</f>
        <v>0.03</v>
      </c>
      <c r="R1061" s="2253">
        <f>G1061</f>
        <v>100</v>
      </c>
      <c r="S1061" s="2197"/>
      <c r="T1061" s="136" t="s">
        <v>3619</v>
      </c>
      <c r="U1061" s="136" t="s">
        <v>3606</v>
      </c>
      <c r="V1061" s="136" t="s">
        <v>3607</v>
      </c>
      <c r="W1061" s="3567">
        <v>0.03</v>
      </c>
      <c r="X1061" s="136">
        <v>100</v>
      </c>
      <c r="Y1061" s="136" t="s">
        <v>230</v>
      </c>
    </row>
    <row r="1062" spans="1:25" ht="13.5" thickBot="1">
      <c r="A1062" s="1582"/>
      <c r="B1062" s="1582"/>
      <c r="C1062" s="1582"/>
      <c r="D1062" s="1582"/>
      <c r="E1062" s="1582"/>
      <c r="F1062" s="1582"/>
      <c r="G1062" s="1582"/>
      <c r="H1062" s="1582"/>
      <c r="I1062" s="136"/>
      <c r="J1062" s="136"/>
      <c r="K1062" s="1582"/>
      <c r="L1062" s="1582"/>
      <c r="M1062" s="1582"/>
      <c r="N1062" s="1582"/>
      <c r="O1062" s="1582"/>
      <c r="P1062" s="1582"/>
      <c r="Q1062" s="1582"/>
      <c r="R1062" s="1582"/>
      <c r="S1062" s="1582"/>
      <c r="T1062" s="136" t="s">
        <v>3620</v>
      </c>
      <c r="U1062" s="136" t="s">
        <v>3609</v>
      </c>
      <c r="V1062" s="136" t="s">
        <v>3610</v>
      </c>
      <c r="W1062" s="3567">
        <v>0.03</v>
      </c>
      <c r="X1062" s="136">
        <v>100</v>
      </c>
      <c r="Y1062" s="136" t="s">
        <v>800</v>
      </c>
    </row>
    <row r="1063" spans="1:25" ht="13.5" thickBot="1">
      <c r="A1063" s="2254" t="s">
        <v>1107</v>
      </c>
      <c r="B1063" s="3206" t="s">
        <v>3355</v>
      </c>
      <c r="C1063" s="2197"/>
      <c r="D1063" s="2198" t="s">
        <v>2880</v>
      </c>
      <c r="E1063" s="2197"/>
      <c r="F1063" s="2197"/>
      <c r="G1063" s="2197"/>
      <c r="H1063" s="2197"/>
      <c r="I1063" s="136"/>
      <c r="J1063" s="136"/>
      <c r="K1063" s="1582"/>
      <c r="L1063" s="2254" t="s">
        <v>1107</v>
      </c>
      <c r="M1063" s="2255"/>
      <c r="N1063" s="2197"/>
      <c r="O1063" s="2197"/>
      <c r="P1063" s="2198" t="str">
        <f t="shared" ref="P1063:P1069" si="277">D1063</f>
        <v>Carton Cost</v>
      </c>
      <c r="Q1063" s="2197"/>
      <c r="R1063" s="2197"/>
      <c r="S1063" s="2197"/>
      <c r="T1063" s="136" t="s">
        <v>3621</v>
      </c>
      <c r="U1063" s="136" t="s">
        <v>3612</v>
      </c>
      <c r="V1063" s="136" t="s">
        <v>3607</v>
      </c>
      <c r="W1063" s="3567">
        <v>0.03</v>
      </c>
      <c r="X1063" s="136">
        <v>100</v>
      </c>
      <c r="Y1063" s="136" t="s">
        <v>3688</v>
      </c>
    </row>
    <row r="1064" spans="1:25" ht="12.75">
      <c r="A1064" s="3739" t="s">
        <v>3356</v>
      </c>
      <c r="B1064" s="3086">
        <v>549780</v>
      </c>
      <c r="C1064" s="2197"/>
      <c r="D1064" s="2197" t="s">
        <v>1481</v>
      </c>
      <c r="E1064" s="2197" t="s">
        <v>1480</v>
      </c>
      <c r="F1064" s="3366">
        <v>9553</v>
      </c>
      <c r="G1064" s="1582" t="s">
        <v>1174</v>
      </c>
      <c r="H1064" s="2197"/>
      <c r="I1064" s="2628"/>
      <c r="J1064" s="136"/>
      <c r="K1064" s="1582"/>
      <c r="L1064" s="2256" t="str">
        <f>A1064</f>
        <v>Cyan (60-124773-7.1200 Nutri-2 Proc Cyan ISO 2846-1)</v>
      </c>
      <c r="M1064" s="2655">
        <f>B1064</f>
        <v>549780</v>
      </c>
      <c r="N1064" s="2197" t="s">
        <v>2392</v>
      </c>
      <c r="O1064" s="2197"/>
      <c r="P1064" s="2197" t="str">
        <f t="shared" si="277"/>
        <v>Single Wall</v>
      </c>
      <c r="Q1064" s="2197" t="str">
        <f t="shared" ref="Q1064:S1069" si="278">E1064</f>
        <v>An Truong Phat</v>
      </c>
      <c r="R1064" s="2436">
        <f t="shared" si="278"/>
        <v>9553</v>
      </c>
      <c r="S1064" s="2436" t="str">
        <f t="shared" si="278"/>
        <v>VND/m2</v>
      </c>
      <c r="T1064" s="136" t="s">
        <v>3622</v>
      </c>
      <c r="U1064" s="136" t="s">
        <v>3614</v>
      </c>
      <c r="V1064" s="136" t="s">
        <v>3610</v>
      </c>
      <c r="W1064" s="3567">
        <v>0.03</v>
      </c>
      <c r="X1064" s="136">
        <v>100</v>
      </c>
    </row>
    <row r="1065" spans="1:25" ht="12.75">
      <c r="A1065" s="3566" t="s">
        <v>3357</v>
      </c>
      <c r="B1065" s="3087">
        <v>220500</v>
      </c>
      <c r="C1065" s="2197"/>
      <c r="D1065" s="2197" t="s">
        <v>1481</v>
      </c>
      <c r="E1065" s="2197" t="s">
        <v>1502</v>
      </c>
      <c r="F1065" s="3366">
        <v>10040</v>
      </c>
      <c r="G1065" s="1582" t="s">
        <v>1174</v>
      </c>
      <c r="H1065" s="2197"/>
      <c r="I1065" s="2628"/>
      <c r="J1065" s="136"/>
      <c r="K1065" s="1582"/>
      <c r="L1065" s="2241" t="str">
        <f t="shared" ref="L1065:L1077" si="279">A1065</f>
        <v>Magenta (61-804489-5.1290 Tempo Mix Magenta A)</v>
      </c>
      <c r="M1065" s="2618">
        <f t="shared" ref="M1065:M1077" si="280">B1065</f>
        <v>220500</v>
      </c>
      <c r="N1065" s="2197"/>
      <c r="O1065" s="2197"/>
      <c r="P1065" s="2197" t="str">
        <f t="shared" si="277"/>
        <v>Single Wall</v>
      </c>
      <c r="Q1065" s="2197" t="str">
        <f t="shared" si="278"/>
        <v>Yuen Foong Yu</v>
      </c>
      <c r="R1065" s="2436">
        <f t="shared" si="278"/>
        <v>10040</v>
      </c>
      <c r="S1065" s="2436" t="str">
        <f t="shared" si="278"/>
        <v>VND/m2</v>
      </c>
      <c r="T1065" s="136" t="s">
        <v>3623</v>
      </c>
      <c r="U1065" s="136" t="s">
        <v>3616</v>
      </c>
      <c r="V1065" s="136" t="s">
        <v>3607</v>
      </c>
      <c r="W1065" s="3567">
        <v>0.03</v>
      </c>
      <c r="X1065" s="136">
        <v>100</v>
      </c>
    </row>
    <row r="1066" spans="1:25" ht="12.75">
      <c r="A1066" s="3566" t="s">
        <v>3358</v>
      </c>
      <c r="B1066" s="3087">
        <v>245490</v>
      </c>
      <c r="C1066" s="2197"/>
      <c r="D1066" s="2197" t="s">
        <v>1481</v>
      </c>
      <c r="E1066" s="2197" t="s">
        <v>2881</v>
      </c>
      <c r="F1066" s="3366">
        <v>12056</v>
      </c>
      <c r="G1066" s="1582" t="s">
        <v>1174</v>
      </c>
      <c r="H1066" s="2197"/>
      <c r="I1066" s="2628"/>
      <c r="J1066" s="136"/>
      <c r="K1066" s="1582"/>
      <c r="L1066" s="2241" t="str">
        <f t="shared" si="279"/>
        <v>Yellow (61-312039-3.1290 Tempo Mix Yellow 4220)</v>
      </c>
      <c r="M1066" s="2618">
        <f t="shared" si="280"/>
        <v>245490</v>
      </c>
      <c r="N1066" s="2197"/>
      <c r="O1066" s="2197"/>
      <c r="P1066" s="2197" t="str">
        <f t="shared" si="277"/>
        <v>Single Wall</v>
      </c>
      <c r="Q1066" s="2197" t="str">
        <f t="shared" si="278"/>
        <v>Crayola YFY</v>
      </c>
      <c r="R1066" s="2436">
        <f t="shared" si="278"/>
        <v>12056</v>
      </c>
      <c r="S1066" s="2436" t="str">
        <f t="shared" si="278"/>
        <v>VND/m2</v>
      </c>
      <c r="T1066" s="136" t="s">
        <v>3624</v>
      </c>
      <c r="U1066" s="136" t="s">
        <v>3618</v>
      </c>
      <c r="V1066" s="136" t="s">
        <v>3610</v>
      </c>
      <c r="W1066" s="3567">
        <v>0.03</v>
      </c>
      <c r="X1066" s="136">
        <v>100</v>
      </c>
    </row>
    <row r="1067" spans="1:25" ht="12.75">
      <c r="A1067" s="3566" t="s">
        <v>3359</v>
      </c>
      <c r="B1067" s="3087">
        <v>549780</v>
      </c>
      <c r="C1067" s="2197"/>
      <c r="D1067" s="2197" t="s">
        <v>1579</v>
      </c>
      <c r="E1067" s="2197" t="s">
        <v>1480</v>
      </c>
      <c r="F1067" s="3366">
        <v>13038</v>
      </c>
      <c r="G1067" s="1582" t="s">
        <v>1174</v>
      </c>
      <c r="H1067" s="2197"/>
      <c r="I1067" s="2628"/>
      <c r="J1067" s="136"/>
      <c r="K1067" s="1582"/>
      <c r="L1067" s="2241" t="str">
        <f t="shared" si="279"/>
        <v>Black (60-914386-2.1200 Nutri-2 Proc Black ISO 2846-1)</v>
      </c>
      <c r="M1067" s="2618">
        <f t="shared" si="280"/>
        <v>549780</v>
      </c>
      <c r="N1067" s="2197"/>
      <c r="O1067" s="2197"/>
      <c r="P1067" s="2197" t="str">
        <f t="shared" si="277"/>
        <v>Double Wall</v>
      </c>
      <c r="Q1067" s="2197" t="str">
        <f t="shared" si="278"/>
        <v>An Truong Phat</v>
      </c>
      <c r="R1067" s="2436">
        <f t="shared" si="278"/>
        <v>13038</v>
      </c>
      <c r="S1067" s="2436" t="str">
        <f t="shared" si="278"/>
        <v>VND/m2</v>
      </c>
    </row>
    <row r="1068" spans="1:25" ht="12.75">
      <c r="A1068" s="3566" t="str">
        <f>A1077</f>
        <v>Average CMYK - B</v>
      </c>
      <c r="B1068" s="3087">
        <f>B1077</f>
        <v>391387.5</v>
      </c>
      <c r="C1068" s="2197"/>
      <c r="D1068" s="2197" t="s">
        <v>1579</v>
      </c>
      <c r="E1068" s="2197" t="s">
        <v>1502</v>
      </c>
      <c r="F1068" s="3366">
        <v>14173</v>
      </c>
      <c r="G1068" s="1582" t="s">
        <v>1174</v>
      </c>
      <c r="H1068" s="2197"/>
      <c r="I1068" s="2628"/>
      <c r="J1068" s="136"/>
      <c r="K1068" s="1582"/>
      <c r="L1068" s="2241" t="str">
        <f t="shared" si="279"/>
        <v>Average CMYK - B</v>
      </c>
      <c r="M1068" s="2618">
        <f t="shared" si="280"/>
        <v>391387.5</v>
      </c>
      <c r="N1068" s="2197"/>
      <c r="O1068" s="2197"/>
      <c r="P1068" s="2197" t="str">
        <f t="shared" si="277"/>
        <v>Double Wall</v>
      </c>
      <c r="Q1068" s="2197" t="str">
        <f t="shared" si="278"/>
        <v>Yuen Foong Yu</v>
      </c>
      <c r="R1068" s="2436">
        <f t="shared" si="278"/>
        <v>14173</v>
      </c>
      <c r="S1068" s="2436" t="str">
        <f t="shared" si="278"/>
        <v>VND/m2</v>
      </c>
    </row>
    <row r="1069" spans="1:25" ht="12.75">
      <c r="A1069" s="3566" t="s">
        <v>1105</v>
      </c>
      <c r="B1069" s="3087">
        <v>400000</v>
      </c>
      <c r="C1069" s="2197"/>
      <c r="D1069" s="2197" t="s">
        <v>1579</v>
      </c>
      <c r="E1069" s="2197" t="s">
        <v>1743</v>
      </c>
      <c r="F1069" s="2947">
        <v>0</v>
      </c>
      <c r="G1069" s="1582" t="s">
        <v>1174</v>
      </c>
      <c r="H1069" s="2197"/>
      <c r="I1069" s="136"/>
      <c r="J1069" s="136"/>
      <c r="K1069" s="1582"/>
      <c r="L1069" s="2241" t="str">
        <f t="shared" si="279"/>
        <v>Special Ink</v>
      </c>
      <c r="M1069" s="2618">
        <f t="shared" si="280"/>
        <v>400000</v>
      </c>
      <c r="N1069" s="2197"/>
      <c r="O1069" s="2197"/>
      <c r="P1069" s="2197" t="str">
        <f t="shared" si="277"/>
        <v>Double Wall</v>
      </c>
      <c r="Q1069" s="2197" t="str">
        <f t="shared" si="278"/>
        <v>TT Kinh Do</v>
      </c>
      <c r="R1069" s="2436">
        <f t="shared" si="278"/>
        <v>0</v>
      </c>
      <c r="S1069" s="2436" t="str">
        <f t="shared" si="278"/>
        <v>VND/m2</v>
      </c>
    </row>
    <row r="1070" spans="1:25" ht="12.75">
      <c r="A1070" s="3566" t="s">
        <v>1106</v>
      </c>
      <c r="B1070" s="3087">
        <v>700000</v>
      </c>
      <c r="C1070" s="2197"/>
      <c r="D1070" s="2197"/>
      <c r="E1070" s="2197"/>
      <c r="F1070" s="2197"/>
      <c r="G1070" s="2197"/>
      <c r="H1070" s="2197"/>
      <c r="I1070" s="136"/>
      <c r="J1070" s="136"/>
      <c r="K1070" s="1582"/>
      <c r="L1070" s="2241" t="str">
        <f t="shared" si="279"/>
        <v>UV Ink</v>
      </c>
      <c r="M1070" s="2618">
        <f t="shared" si="280"/>
        <v>700000</v>
      </c>
      <c r="N1070" s="2197"/>
      <c r="O1070" s="2197"/>
      <c r="P1070" s="2197"/>
      <c r="Q1070" s="2197"/>
      <c r="R1070" s="2436"/>
      <c r="S1070" s="2197"/>
    </row>
    <row r="1071" spans="1:25" ht="13.5" thickBot="1">
      <c r="A1071" s="2248" t="s">
        <v>127</v>
      </c>
      <c r="B1071" s="2257">
        <v>0</v>
      </c>
      <c r="C1071" s="2197"/>
      <c r="D1071" s="2197"/>
      <c r="E1071" s="2197"/>
      <c r="F1071" s="2197"/>
      <c r="G1071" s="2197"/>
      <c r="H1071" s="2197"/>
      <c r="I1071" s="136"/>
      <c r="J1071" s="136"/>
      <c r="K1071" s="1582"/>
      <c r="L1071" s="2241" t="str">
        <f t="shared" si="279"/>
        <v>None</v>
      </c>
      <c r="M1071" s="2618">
        <f t="shared" si="280"/>
        <v>0</v>
      </c>
      <c r="N1071" s="2197"/>
      <c r="O1071" s="2197"/>
      <c r="P1071" s="2197"/>
      <c r="Q1071" s="2197"/>
      <c r="R1071" s="2197"/>
      <c r="S1071" s="2197"/>
    </row>
    <row r="1072" spans="1:25" ht="13.5" thickBot="1">
      <c r="A1072" s="2254" t="s">
        <v>1108</v>
      </c>
      <c r="B1072" s="2255"/>
      <c r="C1072" s="2197"/>
      <c r="D1072" s="2197"/>
      <c r="E1072" s="2197"/>
      <c r="F1072" s="2197"/>
      <c r="G1072" s="2197"/>
      <c r="H1072" s="2197"/>
      <c r="I1072" s="136"/>
      <c r="J1072" s="136"/>
      <c r="K1072" s="1582"/>
      <c r="L1072" s="2254" t="str">
        <f t="shared" si="279"/>
        <v>Price Of Ink - CMYK - B</v>
      </c>
      <c r="M1072" s="2657">
        <f t="shared" si="280"/>
        <v>0</v>
      </c>
      <c r="N1072" s="2197"/>
      <c r="O1072" s="2197"/>
      <c r="P1072" s="2197"/>
      <c r="Q1072" s="2197"/>
      <c r="R1072" s="2197"/>
      <c r="S1072" s="2197"/>
    </row>
    <row r="1073" spans="1:23" ht="12.75">
      <c r="A1073" s="3739" t="str">
        <f>+A1064</f>
        <v>Cyan (60-124773-7.1200 Nutri-2 Proc Cyan ISO 2846-1)</v>
      </c>
      <c r="B1073" s="3086">
        <f>B1064</f>
        <v>549780</v>
      </c>
      <c r="C1073" s="2197"/>
      <c r="D1073" s="2197"/>
      <c r="E1073" s="2197"/>
      <c r="F1073" s="2197"/>
      <c r="G1073" s="2197"/>
      <c r="H1073" s="2197"/>
      <c r="I1073" s="136"/>
      <c r="J1073" s="136"/>
      <c r="K1073" s="1582"/>
      <c r="L1073" s="2241" t="str">
        <f t="shared" si="279"/>
        <v>Cyan (60-124773-7.1200 Nutri-2 Proc Cyan ISO 2846-1)</v>
      </c>
      <c r="M1073" s="2618">
        <f t="shared" si="280"/>
        <v>549780</v>
      </c>
      <c r="N1073" s="2197"/>
      <c r="O1073" s="2197"/>
      <c r="P1073" s="2197"/>
      <c r="Q1073" s="2197"/>
      <c r="R1073" s="2197"/>
      <c r="S1073" s="2197"/>
    </row>
    <row r="1074" spans="1:23" ht="12.75">
      <c r="A1074" s="3566" t="str">
        <f>+A1065</f>
        <v>Magenta (61-804489-5.1290 Tempo Mix Magenta A)</v>
      </c>
      <c r="B1074" s="3087">
        <f>B1065</f>
        <v>220500</v>
      </c>
      <c r="C1074" s="2197"/>
      <c r="D1074" s="2197"/>
      <c r="E1074" s="2197"/>
      <c r="F1074" s="2197"/>
      <c r="G1074" s="2197"/>
      <c r="H1074" s="2197"/>
      <c r="I1074" s="136"/>
      <c r="J1074" s="136"/>
      <c r="K1074" s="1582"/>
      <c r="L1074" s="2241" t="str">
        <f t="shared" si="279"/>
        <v>Magenta (61-804489-5.1290 Tempo Mix Magenta A)</v>
      </c>
      <c r="M1074" s="2618">
        <f t="shared" si="280"/>
        <v>220500</v>
      </c>
      <c r="N1074" s="2197"/>
      <c r="O1074" s="2197"/>
      <c r="P1074" s="2197"/>
      <c r="Q1074" s="2197"/>
      <c r="R1074" s="2197"/>
      <c r="S1074" s="2197"/>
    </row>
    <row r="1075" spans="1:23" ht="12.75">
      <c r="A1075" s="3566" t="str">
        <f>+A1066</f>
        <v>Yellow (61-312039-3.1290 Tempo Mix Yellow 4220)</v>
      </c>
      <c r="B1075" s="3087">
        <f>B1066</f>
        <v>245490</v>
      </c>
      <c r="C1075" s="2197"/>
      <c r="D1075" s="2197"/>
      <c r="E1075" s="2197"/>
      <c r="F1075" s="2197"/>
      <c r="G1075" s="2197"/>
      <c r="H1075" s="2197"/>
      <c r="I1075" s="136"/>
      <c r="J1075" s="136"/>
      <c r="K1075" s="1582"/>
      <c r="L1075" s="2241" t="str">
        <f t="shared" si="279"/>
        <v>Yellow (61-312039-3.1290 Tempo Mix Yellow 4220)</v>
      </c>
      <c r="M1075" s="2618">
        <f t="shared" si="280"/>
        <v>245490</v>
      </c>
      <c r="N1075" s="2197"/>
      <c r="O1075" s="2197"/>
      <c r="P1075" s="2197"/>
      <c r="Q1075" s="2197"/>
      <c r="R1075" s="2197"/>
      <c r="S1075" s="2197"/>
    </row>
    <row r="1076" spans="1:23" ht="12.75">
      <c r="A1076" s="3566" t="str">
        <f>+A1067</f>
        <v>Black (60-914386-2.1200 Nutri-2 Proc Black ISO 2846-1)</v>
      </c>
      <c r="B1076" s="3087">
        <f>B1067</f>
        <v>549780</v>
      </c>
      <c r="C1076" s="2197"/>
      <c r="D1076" s="2197"/>
      <c r="E1076" s="2197"/>
      <c r="F1076" s="2197"/>
      <c r="G1076" s="2197"/>
      <c r="H1076" s="2197"/>
      <c r="I1076" s="136"/>
      <c r="J1076" s="136"/>
      <c r="K1076" s="1582"/>
      <c r="L1076" s="2241" t="str">
        <f t="shared" si="279"/>
        <v>Black (60-914386-2.1200 Nutri-2 Proc Black ISO 2846-1)</v>
      </c>
      <c r="M1076" s="2618">
        <f t="shared" si="280"/>
        <v>549780</v>
      </c>
      <c r="N1076" s="2197"/>
      <c r="O1076" s="2197"/>
      <c r="P1076" s="2197"/>
      <c r="Q1076" s="2197"/>
      <c r="R1076" s="2197"/>
      <c r="S1076" s="2197"/>
    </row>
    <row r="1077" spans="1:23" ht="13.5" thickBot="1">
      <c r="A1077" s="2248" t="s">
        <v>1109</v>
      </c>
      <c r="B1077" s="2257">
        <f>AVERAGE(B1073:B1076)</f>
        <v>391387.5</v>
      </c>
      <c r="C1077" s="2197"/>
      <c r="D1077" s="2197"/>
      <c r="E1077" s="2197"/>
      <c r="F1077" s="2197"/>
      <c r="G1077" s="2197"/>
      <c r="H1077" s="2197"/>
      <c r="I1077" s="136"/>
      <c r="J1077" s="136"/>
      <c r="K1077" s="1582"/>
      <c r="L1077" s="2248" t="str">
        <f t="shared" si="279"/>
        <v>Average CMYK - B</v>
      </c>
      <c r="M1077" s="2656">
        <f t="shared" si="280"/>
        <v>391387.5</v>
      </c>
      <c r="N1077" s="2197"/>
      <c r="O1077" s="2197"/>
      <c r="P1077" s="2197"/>
      <c r="Q1077" s="2197"/>
      <c r="R1077" s="2197"/>
      <c r="S1077" s="2197"/>
    </row>
    <row r="1078" spans="1:23" ht="12.75">
      <c r="A1078" s="1582"/>
      <c r="B1078" s="1582"/>
      <c r="C1078" s="1582"/>
      <c r="D1078" s="1582"/>
      <c r="E1078" s="1582"/>
      <c r="F1078" s="1582"/>
      <c r="G1078" s="1582"/>
      <c r="H1078" s="1582"/>
      <c r="I1078" s="136"/>
      <c r="J1078" s="136"/>
      <c r="K1078" s="1582"/>
      <c r="L1078" s="1582"/>
      <c r="M1078" s="1582"/>
      <c r="N1078" s="1582"/>
      <c r="O1078" s="1582"/>
      <c r="P1078" s="1582"/>
      <c r="Q1078" s="1582"/>
      <c r="R1078" s="1582"/>
      <c r="S1078" s="1582"/>
    </row>
    <row r="1079" spans="1:23" ht="12.75">
      <c r="A1079" s="3641" t="s">
        <v>692</v>
      </c>
      <c r="B1079" s="3642">
        <v>0.8</v>
      </c>
      <c r="C1079" s="3642">
        <v>1.23</v>
      </c>
      <c r="D1079" s="2197"/>
      <c r="E1079" s="2197"/>
      <c r="F1079" s="2197"/>
      <c r="G1079" s="2197"/>
      <c r="H1079" s="2197"/>
      <c r="I1079" s="136"/>
      <c r="J1079" s="136"/>
      <c r="K1079" s="1582"/>
      <c r="L1079" s="2258" t="str">
        <f t="shared" ref="L1079:N1082" si="281">A1079</f>
        <v>F-Flute</v>
      </c>
      <c r="M1079" s="2259">
        <f t="shared" si="281"/>
        <v>0.8</v>
      </c>
      <c r="N1079" s="2259">
        <f t="shared" si="281"/>
        <v>1.23</v>
      </c>
      <c r="O1079" s="2197"/>
      <c r="P1079" s="2197"/>
      <c r="Q1079" s="2197"/>
      <c r="R1079" s="2197"/>
      <c r="S1079" s="2197"/>
    </row>
    <row r="1080" spans="1:23" ht="12.75">
      <c r="A1080" s="3641" t="s">
        <v>174</v>
      </c>
      <c r="B1080" s="3642">
        <v>1.6</v>
      </c>
      <c r="C1080" s="3642">
        <v>1.28</v>
      </c>
      <c r="D1080" s="2197"/>
      <c r="E1080" s="2197"/>
      <c r="F1080" s="2197"/>
      <c r="G1080" s="2197"/>
      <c r="H1080" s="2197"/>
      <c r="I1080" s="136"/>
      <c r="J1080" s="136"/>
      <c r="K1080" s="1582"/>
      <c r="L1080" s="2258" t="str">
        <f t="shared" si="281"/>
        <v>E-Flute</v>
      </c>
      <c r="M1080" s="2259">
        <f t="shared" si="281"/>
        <v>1.6</v>
      </c>
      <c r="N1080" s="2259">
        <f t="shared" si="281"/>
        <v>1.28</v>
      </c>
      <c r="O1080" s="2197"/>
      <c r="P1080" s="2197"/>
      <c r="Q1080" s="2197"/>
      <c r="R1080" s="2197"/>
      <c r="S1080" s="2197"/>
    </row>
    <row r="1081" spans="1:23" ht="12.75">
      <c r="A1081" s="3641" t="s">
        <v>1256</v>
      </c>
      <c r="B1081" s="3643">
        <v>2.0499999999999998</v>
      </c>
      <c r="C1081" s="3642">
        <v>1.33</v>
      </c>
      <c r="D1081" s="2197"/>
      <c r="E1081" s="2197"/>
      <c r="F1081" s="2197"/>
      <c r="G1081" s="2197"/>
      <c r="H1081" s="2197"/>
      <c r="I1081" s="136"/>
      <c r="J1081" s="136"/>
      <c r="K1081" s="1582"/>
      <c r="L1081" s="2258" t="str">
        <f t="shared" si="281"/>
        <v>T-Flute</v>
      </c>
      <c r="M1081" s="2260">
        <f t="shared" si="281"/>
        <v>2.0499999999999998</v>
      </c>
      <c r="N1081" s="2259">
        <f t="shared" si="281"/>
        <v>1.33</v>
      </c>
      <c r="O1081" s="2197"/>
      <c r="P1081" s="2197"/>
      <c r="Q1081" s="2197"/>
      <c r="R1081" s="2197"/>
      <c r="S1081" s="2197"/>
    </row>
    <row r="1082" spans="1:23" ht="12.75">
      <c r="A1082" s="3641" t="s">
        <v>697</v>
      </c>
      <c r="B1082" s="3642">
        <v>3.2</v>
      </c>
      <c r="C1082" s="3642">
        <v>1.43</v>
      </c>
      <c r="D1082" s="2197"/>
      <c r="E1082" s="2197"/>
      <c r="F1082" s="2197"/>
      <c r="G1082" s="2197"/>
      <c r="H1082" s="2197"/>
      <c r="I1082" s="136"/>
      <c r="J1082" s="136"/>
      <c r="K1082" s="1582"/>
      <c r="L1082" s="2258" t="str">
        <f t="shared" si="281"/>
        <v>B-Flute</v>
      </c>
      <c r="M1082" s="2259">
        <f t="shared" si="281"/>
        <v>3.2</v>
      </c>
      <c r="N1082" s="2259">
        <f t="shared" si="281"/>
        <v>1.43</v>
      </c>
      <c r="O1082" s="2197"/>
      <c r="P1082" s="2197"/>
      <c r="Q1082" s="2197"/>
      <c r="R1082" s="2197"/>
      <c r="S1082" s="2197"/>
    </row>
    <row r="1083" spans="1:23" ht="12.75">
      <c r="A1083" s="3641" t="s">
        <v>3122</v>
      </c>
      <c r="B1083" s="3643">
        <v>4</v>
      </c>
      <c r="C1083" s="3642">
        <v>1.45</v>
      </c>
      <c r="D1083" s="2197"/>
      <c r="E1083" s="2197"/>
      <c r="F1083" s="2197"/>
      <c r="G1083" s="2197"/>
      <c r="H1083" s="2197"/>
      <c r="I1083" s="136"/>
      <c r="J1083" s="136"/>
      <c r="K1083" s="1582"/>
      <c r="L1083" s="2946" t="str">
        <f>A1083</f>
        <v>C-Flute</v>
      </c>
      <c r="M1083" s="3096">
        <f>B1083</f>
        <v>4</v>
      </c>
      <c r="N1083" s="3096">
        <f>C1083</f>
        <v>1.45</v>
      </c>
      <c r="O1083" s="2197"/>
      <c r="P1083" s="2197"/>
      <c r="Q1083" s="2197"/>
      <c r="R1083" s="2197"/>
      <c r="S1083" s="2197"/>
    </row>
    <row r="1084" spans="1:23" ht="12.75">
      <c r="A1084" s="1582"/>
      <c r="B1084" s="1582"/>
      <c r="C1084" s="1582"/>
      <c r="D1084" s="1582"/>
      <c r="E1084" s="1582"/>
      <c r="F1084" s="1582"/>
      <c r="G1084" s="1582"/>
      <c r="H1084" s="1582"/>
      <c r="I1084" s="136"/>
      <c r="J1084" s="136"/>
      <c r="K1084" s="1582"/>
      <c r="L1084" s="1582"/>
      <c r="M1084" s="1582"/>
      <c r="N1084" s="1582"/>
      <c r="O1084" s="1582"/>
      <c r="P1084" s="1582"/>
      <c r="Q1084" s="1582"/>
      <c r="R1084" s="1582"/>
      <c r="S1084" s="1582"/>
    </row>
    <row r="1085" spans="1:23" ht="12.75">
      <c r="A1085" s="2261" t="s">
        <v>1414</v>
      </c>
      <c r="B1085" s="2261"/>
      <c r="C1085" s="2261"/>
      <c r="D1085" s="2261"/>
      <c r="E1085" s="2261"/>
      <c r="F1085" s="2261"/>
      <c r="G1085" s="2261"/>
      <c r="H1085" s="2261"/>
      <c r="I1085" s="136"/>
      <c r="J1085" s="136"/>
      <c r="K1085" s="1582"/>
      <c r="L1085" s="2261" t="str">
        <f>A1085</f>
        <v>Labor cap.</v>
      </c>
      <c r="M1085" s="2261"/>
      <c r="N1085" s="2261"/>
      <c r="O1085" s="2261"/>
      <c r="P1085" s="2261"/>
      <c r="Q1085" s="2261"/>
      <c r="R1085" s="2261"/>
      <c r="S1085" s="2261"/>
      <c r="T1085" s="313"/>
      <c r="W1085" s="313"/>
    </row>
    <row r="1086" spans="1:23" ht="12.75">
      <c r="A1086" s="3644" t="s">
        <v>264</v>
      </c>
      <c r="B1086" s="3645" t="s">
        <v>167</v>
      </c>
      <c r="C1086" s="3645" t="s">
        <v>621</v>
      </c>
      <c r="D1086" s="3645" t="s">
        <v>622</v>
      </c>
      <c r="E1086" s="2261"/>
      <c r="F1086" s="2261"/>
      <c r="G1086" s="2261"/>
      <c r="H1086" s="2261"/>
      <c r="I1086" s="136"/>
      <c r="J1086" s="136"/>
      <c r="K1086" s="1582"/>
      <c r="L1086" s="2262" t="str">
        <f>A1086</f>
        <v>Type/Size of book (mm)</v>
      </c>
      <c r="M1086" s="2263" t="str">
        <f>B1086</f>
        <v>Men</v>
      </c>
      <c r="N1086" s="2263" t="str">
        <f>C1086</f>
        <v>&lt; 200 x 300</v>
      </c>
      <c r="O1086" s="2263" t="str">
        <f>D1086</f>
        <v>&gt; 200 x 300</v>
      </c>
      <c r="P1086" s="2261"/>
      <c r="Q1086" s="2261"/>
      <c r="R1086" s="2261"/>
      <c r="S1086" s="2261"/>
      <c r="T1086" s="313"/>
      <c r="W1086" s="313"/>
    </row>
    <row r="1087" spans="1:23" ht="12.75">
      <c r="A1087" s="3646" t="s">
        <v>617</v>
      </c>
      <c r="B1087" s="3645">
        <v>2</v>
      </c>
      <c r="C1087" s="3645">
        <v>1000</v>
      </c>
      <c r="D1087" s="3645">
        <v>900</v>
      </c>
      <c r="E1087" s="2261"/>
      <c r="F1087" s="2261"/>
      <c r="G1087" s="2261"/>
      <c r="H1087" s="2261"/>
      <c r="I1087" s="136"/>
      <c r="J1087" s="136"/>
      <c r="K1087" s="1582"/>
      <c r="L1087" s="2264" t="str">
        <f t="shared" ref="L1087:L1094" si="282">A1087</f>
        <v>Wrapping square corners with foam</v>
      </c>
      <c r="M1087" s="2263">
        <f t="shared" ref="M1087:M1094" si="283">B1087</f>
        <v>2</v>
      </c>
      <c r="N1087" s="2263">
        <f t="shared" ref="N1087:N1094" si="284">C1087</f>
        <v>1000</v>
      </c>
      <c r="O1087" s="2263">
        <f t="shared" ref="O1087:O1094" si="285">D1087</f>
        <v>900</v>
      </c>
      <c r="P1087" s="2261"/>
      <c r="Q1087" s="2261"/>
      <c r="R1087" s="2261"/>
      <c r="S1087" s="2261"/>
      <c r="T1087" s="313"/>
      <c r="W1087" s="313"/>
    </row>
    <row r="1088" spans="1:23" ht="12.75">
      <c r="A1088" s="3646" t="s">
        <v>643</v>
      </c>
      <c r="B1088" s="3645">
        <v>2</v>
      </c>
      <c r="C1088" s="3645">
        <v>1200</v>
      </c>
      <c r="D1088" s="3645">
        <v>1100</v>
      </c>
      <c r="E1088" s="2261"/>
      <c r="F1088" s="2261"/>
      <c r="G1088" s="2261"/>
      <c r="H1088" s="2261"/>
      <c r="I1088" s="136"/>
      <c r="J1088" s="136"/>
      <c r="K1088" s="1582"/>
      <c r="L1088" s="2264" t="str">
        <f t="shared" si="282"/>
        <v>Wrapping square corners w/o foam</v>
      </c>
      <c r="M1088" s="2263">
        <f t="shared" si="283"/>
        <v>2</v>
      </c>
      <c r="N1088" s="2263">
        <f t="shared" si="284"/>
        <v>1200</v>
      </c>
      <c r="O1088" s="2263">
        <f t="shared" si="285"/>
        <v>1100</v>
      </c>
      <c r="P1088" s="2261"/>
      <c r="Q1088" s="2261"/>
      <c r="R1088" s="2261"/>
      <c r="S1088" s="2261"/>
      <c r="T1088" s="313"/>
      <c r="W1088" s="313"/>
    </row>
    <row r="1089" spans="1:23" ht="12.75">
      <c r="A1089" s="3646" t="s">
        <v>618</v>
      </c>
      <c r="B1089" s="3645">
        <v>2</v>
      </c>
      <c r="C1089" s="3645">
        <v>1000</v>
      </c>
      <c r="D1089" s="3645">
        <v>900</v>
      </c>
      <c r="E1089" s="2261"/>
      <c r="F1089" s="2261"/>
      <c r="G1089" s="2261"/>
      <c r="H1089" s="2261"/>
      <c r="I1089" s="136"/>
      <c r="J1089" s="136"/>
      <c r="K1089" s="1582"/>
      <c r="L1089" s="2264" t="str">
        <f t="shared" si="282"/>
        <v>Wrapping round corners with foam</v>
      </c>
      <c r="M1089" s="2263">
        <f t="shared" si="283"/>
        <v>2</v>
      </c>
      <c r="N1089" s="2263">
        <f t="shared" si="284"/>
        <v>1000</v>
      </c>
      <c r="O1089" s="2263">
        <f t="shared" si="285"/>
        <v>900</v>
      </c>
      <c r="P1089" s="2261"/>
      <c r="Q1089" s="2261"/>
      <c r="R1089" s="2261"/>
      <c r="S1089" s="2261"/>
      <c r="T1089" s="313"/>
      <c r="W1089" s="313"/>
    </row>
    <row r="1090" spans="1:23" ht="12.75">
      <c r="A1090" s="3646" t="s">
        <v>642</v>
      </c>
      <c r="B1090" s="3645">
        <v>2</v>
      </c>
      <c r="C1090" s="3645">
        <v>1200</v>
      </c>
      <c r="D1090" s="3645">
        <v>1100</v>
      </c>
      <c r="E1090" s="2261"/>
      <c r="F1090" s="2261"/>
      <c r="G1090" s="2261"/>
      <c r="H1090" s="2261"/>
      <c r="I1090" s="136"/>
      <c r="J1090" s="136"/>
      <c r="K1090" s="1582"/>
      <c r="L1090" s="2264" t="str">
        <f t="shared" si="282"/>
        <v>Wrapping round corners w/o foam</v>
      </c>
      <c r="M1090" s="2263">
        <f t="shared" si="283"/>
        <v>2</v>
      </c>
      <c r="N1090" s="2263">
        <f t="shared" si="284"/>
        <v>1200</v>
      </c>
      <c r="O1090" s="2263">
        <f t="shared" si="285"/>
        <v>1100</v>
      </c>
      <c r="P1090" s="2261"/>
      <c r="Q1090" s="2261"/>
      <c r="R1090" s="2261"/>
      <c r="S1090" s="2261"/>
      <c r="T1090" s="313"/>
      <c r="W1090" s="313"/>
    </row>
    <row r="1091" spans="1:23" ht="12.75">
      <c r="A1091" s="3646" t="s">
        <v>619</v>
      </c>
      <c r="B1091" s="3645">
        <v>5</v>
      </c>
      <c r="C1091" s="3645">
        <v>1000</v>
      </c>
      <c r="D1091" s="3645">
        <v>900</v>
      </c>
      <c r="E1091" s="2261"/>
      <c r="F1091" s="2261"/>
      <c r="G1091" s="2261"/>
      <c r="H1091" s="2261"/>
      <c r="I1091" s="136"/>
      <c r="J1091" s="136"/>
      <c r="K1091" s="1582"/>
      <c r="L1091" s="2264" t="str">
        <f t="shared" si="282"/>
        <v>Wrapping square corners and window with foam</v>
      </c>
      <c r="M1091" s="2263">
        <f t="shared" si="283"/>
        <v>5</v>
      </c>
      <c r="N1091" s="2263">
        <f t="shared" si="284"/>
        <v>1000</v>
      </c>
      <c r="O1091" s="2263">
        <f t="shared" si="285"/>
        <v>900</v>
      </c>
      <c r="P1091" s="2261"/>
      <c r="Q1091" s="2261"/>
      <c r="R1091" s="2261"/>
      <c r="S1091" s="2261"/>
      <c r="T1091" s="313"/>
      <c r="W1091" s="313"/>
    </row>
    <row r="1092" spans="1:23" ht="12.75">
      <c r="A1092" s="3646" t="s">
        <v>641</v>
      </c>
      <c r="B1092" s="3645">
        <v>5</v>
      </c>
      <c r="C1092" s="3645">
        <v>1200</v>
      </c>
      <c r="D1092" s="3645">
        <v>1100</v>
      </c>
      <c r="E1092" s="2261"/>
      <c r="F1092" s="2261"/>
      <c r="G1092" s="2261"/>
      <c r="H1092" s="2261"/>
      <c r="I1092" s="136"/>
      <c r="J1092" s="136"/>
      <c r="K1092" s="1582"/>
      <c r="L1092" s="2264" t="str">
        <f t="shared" si="282"/>
        <v>Wrapping square corners and window w/o foam</v>
      </c>
      <c r="M1092" s="2263">
        <f t="shared" si="283"/>
        <v>5</v>
      </c>
      <c r="N1092" s="2263">
        <f t="shared" si="284"/>
        <v>1200</v>
      </c>
      <c r="O1092" s="2263">
        <f t="shared" si="285"/>
        <v>1100</v>
      </c>
      <c r="P1092" s="2261"/>
      <c r="Q1092" s="2261"/>
      <c r="R1092" s="2261"/>
      <c r="S1092" s="2261"/>
      <c r="T1092" s="313"/>
      <c r="W1092" s="313"/>
    </row>
    <row r="1093" spans="1:23" ht="12.75">
      <c r="A1093" s="3646" t="s">
        <v>620</v>
      </c>
      <c r="B1093" s="3645">
        <v>5</v>
      </c>
      <c r="C1093" s="3645">
        <v>1000</v>
      </c>
      <c r="D1093" s="3645">
        <v>900</v>
      </c>
      <c r="E1093" s="2261"/>
      <c r="F1093" s="2261"/>
      <c r="G1093" s="2261"/>
      <c r="H1093" s="2261"/>
      <c r="I1093" s="136"/>
      <c r="J1093" s="136"/>
      <c r="K1093" s="1582"/>
      <c r="L1093" s="2264" t="str">
        <f t="shared" si="282"/>
        <v>Wrapping round corners and window with foam</v>
      </c>
      <c r="M1093" s="2263">
        <f t="shared" si="283"/>
        <v>5</v>
      </c>
      <c r="N1093" s="2263">
        <f t="shared" si="284"/>
        <v>1000</v>
      </c>
      <c r="O1093" s="2263">
        <f t="shared" si="285"/>
        <v>900</v>
      </c>
      <c r="P1093" s="2261"/>
      <c r="Q1093" s="2261"/>
      <c r="R1093" s="2261"/>
      <c r="S1093" s="2261"/>
      <c r="T1093" s="313"/>
      <c r="W1093" s="313"/>
    </row>
    <row r="1094" spans="1:23" ht="12.75">
      <c r="A1094" s="3646" t="s">
        <v>640</v>
      </c>
      <c r="B1094" s="3645">
        <v>5</v>
      </c>
      <c r="C1094" s="3645">
        <v>1000</v>
      </c>
      <c r="D1094" s="3645">
        <v>900</v>
      </c>
      <c r="E1094" s="2261"/>
      <c r="F1094" s="2261"/>
      <c r="G1094" s="2261"/>
      <c r="H1094" s="2261"/>
      <c r="I1094" s="136"/>
      <c r="J1094" s="136"/>
      <c r="K1094" s="1582"/>
      <c r="L1094" s="2264" t="str">
        <f t="shared" si="282"/>
        <v>Wrapping round corners and window w/o foam</v>
      </c>
      <c r="M1094" s="2263">
        <f t="shared" si="283"/>
        <v>5</v>
      </c>
      <c r="N1094" s="2263">
        <f t="shared" si="284"/>
        <v>1000</v>
      </c>
      <c r="O1094" s="2263">
        <f t="shared" si="285"/>
        <v>900</v>
      </c>
      <c r="P1094" s="2261"/>
      <c r="Q1094" s="2261"/>
      <c r="R1094" s="2261"/>
      <c r="S1094" s="2261"/>
      <c r="T1094" s="313"/>
      <c r="W1094" s="313"/>
    </row>
    <row r="1095" spans="1:23" ht="12.75">
      <c r="A1095" s="3646"/>
      <c r="B1095" s="3645"/>
      <c r="C1095" s="3645"/>
      <c r="D1095" s="3645"/>
      <c r="E1095" s="2261"/>
      <c r="F1095" s="2261"/>
      <c r="G1095" s="2261"/>
      <c r="H1095" s="2261"/>
      <c r="I1095" s="136"/>
      <c r="J1095" s="136"/>
      <c r="K1095" s="1582"/>
      <c r="L1095" s="2265"/>
      <c r="M1095" s="2266"/>
      <c r="N1095" s="2266"/>
      <c r="O1095" s="2266"/>
      <c r="P1095" s="2261"/>
      <c r="Q1095" s="2261"/>
      <c r="R1095" s="2261"/>
      <c r="S1095" s="2261"/>
      <c r="T1095" s="313"/>
      <c r="W1095" s="313"/>
    </row>
    <row r="1096" spans="1:23" ht="12.75">
      <c r="A1096" s="3646"/>
      <c r="B1096" s="3645"/>
      <c r="C1096" s="3645"/>
      <c r="D1096" s="3645"/>
      <c r="E1096" s="2261"/>
      <c r="F1096" s="2261"/>
      <c r="G1096" s="2261"/>
      <c r="H1096" s="2261"/>
      <c r="I1096" s="136"/>
      <c r="J1096" s="136"/>
      <c r="K1096" s="1582"/>
      <c r="L1096" s="2265"/>
      <c r="M1096" s="2266"/>
      <c r="N1096" s="2266"/>
      <c r="O1096" s="2266"/>
      <c r="P1096" s="2261"/>
      <c r="Q1096" s="2261"/>
      <c r="R1096" s="2261"/>
      <c r="S1096" s="2261"/>
      <c r="T1096" s="313"/>
      <c r="W1096" s="313"/>
    </row>
    <row r="1097" spans="1:23" ht="12.75">
      <c r="A1097" s="3644" t="s">
        <v>264</v>
      </c>
      <c r="B1097" s="3645" t="s">
        <v>16</v>
      </c>
      <c r="C1097" s="3645" t="s">
        <v>263</v>
      </c>
      <c r="D1097" s="3645" t="s">
        <v>623</v>
      </c>
      <c r="E1097" s="3645" t="s">
        <v>624</v>
      </c>
      <c r="F1097" s="3645" t="s">
        <v>625</v>
      </c>
      <c r="G1097" s="3645" t="s">
        <v>626</v>
      </c>
      <c r="H1097" s="3645" t="s">
        <v>627</v>
      </c>
      <c r="I1097" s="136"/>
      <c r="J1097" s="136"/>
      <c r="K1097" s="1582"/>
      <c r="L1097" s="2262" t="str">
        <f t="shared" ref="L1097:S1097" si="286">A1097</f>
        <v>Type/Size of book (mm)</v>
      </c>
      <c r="M1097" s="2263" t="str">
        <f t="shared" si="286"/>
        <v>Spine</v>
      </c>
      <c r="N1097" s="2263" t="str">
        <f t="shared" si="286"/>
        <v>80 x 80</v>
      </c>
      <c r="O1097" s="2263" t="str">
        <f t="shared" si="286"/>
        <v>120 x 120</v>
      </c>
      <c r="P1097" s="2263" t="str">
        <f t="shared" si="286"/>
        <v>160 x 160</v>
      </c>
      <c r="Q1097" s="2263" t="str">
        <f t="shared" si="286"/>
        <v>200 x 200</v>
      </c>
      <c r="R1097" s="2263" t="str">
        <f t="shared" si="286"/>
        <v>250 x 250</v>
      </c>
      <c r="S1097" s="2263" t="str">
        <f t="shared" si="286"/>
        <v>300 x 300</v>
      </c>
      <c r="T1097" s="313"/>
      <c r="W1097" s="313"/>
    </row>
    <row r="1098" spans="1:23" ht="12.75">
      <c r="A1098" s="3646" t="s">
        <v>628</v>
      </c>
      <c r="B1098" s="3645">
        <v>7</v>
      </c>
      <c r="C1098" s="3645">
        <v>3700</v>
      </c>
      <c r="D1098" s="3645">
        <v>3500</v>
      </c>
      <c r="E1098" s="3645">
        <v>3500</v>
      </c>
      <c r="F1098" s="3645">
        <v>2700</v>
      </c>
      <c r="G1098" s="3645">
        <v>2000</v>
      </c>
      <c r="H1098" s="3645">
        <v>1500</v>
      </c>
      <c r="I1098" s="136"/>
      <c r="J1098" s="136"/>
      <c r="K1098" s="1582"/>
      <c r="L1098" s="2264" t="str">
        <f t="shared" ref="L1098:L1109" si="287">A1098</f>
        <v>Cut to size</v>
      </c>
      <c r="M1098" s="2263">
        <f t="shared" ref="M1098:M1109" si="288">B1098</f>
        <v>7</v>
      </c>
      <c r="N1098" s="2263">
        <f t="shared" ref="N1098:N1109" si="289">C1098</f>
        <v>3700</v>
      </c>
      <c r="O1098" s="2263">
        <f t="shared" ref="O1098:O1109" si="290">D1098</f>
        <v>3500</v>
      </c>
      <c r="P1098" s="2263">
        <f t="shared" ref="P1098:P1109" si="291">E1098</f>
        <v>3500</v>
      </c>
      <c r="Q1098" s="2263">
        <f t="shared" ref="Q1098:Q1109" si="292">F1098</f>
        <v>2700</v>
      </c>
      <c r="R1098" s="2263">
        <f t="shared" ref="R1098:R1109" si="293">G1098</f>
        <v>2000</v>
      </c>
      <c r="S1098" s="2263">
        <f t="shared" ref="S1098:S1109" si="294">H1098</f>
        <v>1500</v>
      </c>
      <c r="T1098" s="313"/>
      <c r="W1098" s="313"/>
    </row>
    <row r="1099" spans="1:23" ht="12.75">
      <c r="A1099" s="3646" t="s">
        <v>628</v>
      </c>
      <c r="B1099" s="3645">
        <v>12</v>
      </c>
      <c r="C1099" s="3645">
        <v>2500</v>
      </c>
      <c r="D1099" s="3645">
        <v>2500</v>
      </c>
      <c r="E1099" s="3645">
        <v>2500</v>
      </c>
      <c r="F1099" s="3645">
        <v>2500</v>
      </c>
      <c r="G1099" s="3645">
        <v>1500</v>
      </c>
      <c r="H1099" s="3645">
        <v>1000</v>
      </c>
      <c r="I1099" s="136"/>
      <c r="J1099" s="136"/>
      <c r="K1099" s="1582"/>
      <c r="L1099" s="2264" t="str">
        <f t="shared" si="287"/>
        <v>Cut to size</v>
      </c>
      <c r="M1099" s="2263">
        <f t="shared" si="288"/>
        <v>12</v>
      </c>
      <c r="N1099" s="2263">
        <f t="shared" si="289"/>
        <v>2500</v>
      </c>
      <c r="O1099" s="2263">
        <f t="shared" si="290"/>
        <v>2500</v>
      </c>
      <c r="P1099" s="2263">
        <f t="shared" si="291"/>
        <v>2500</v>
      </c>
      <c r="Q1099" s="2263">
        <f t="shared" si="292"/>
        <v>2500</v>
      </c>
      <c r="R1099" s="2263">
        <f t="shared" si="293"/>
        <v>1500</v>
      </c>
      <c r="S1099" s="2263">
        <f t="shared" si="294"/>
        <v>1000</v>
      </c>
      <c r="T1099" s="313"/>
      <c r="W1099" s="313"/>
    </row>
    <row r="1100" spans="1:23" ht="12.75">
      <c r="A1100" s="3646" t="s">
        <v>628</v>
      </c>
      <c r="B1100" s="3645">
        <v>16</v>
      </c>
      <c r="C1100" s="3645">
        <v>1500</v>
      </c>
      <c r="D1100" s="3645">
        <v>1500</v>
      </c>
      <c r="E1100" s="3645">
        <v>1500</v>
      </c>
      <c r="F1100" s="3645">
        <v>900</v>
      </c>
      <c r="G1100" s="3645">
        <v>800</v>
      </c>
      <c r="H1100" s="3645">
        <v>700</v>
      </c>
      <c r="I1100" s="136"/>
      <c r="J1100" s="136"/>
      <c r="K1100" s="1582"/>
      <c r="L1100" s="2264" t="str">
        <f t="shared" si="287"/>
        <v>Cut to size</v>
      </c>
      <c r="M1100" s="2263">
        <f t="shared" si="288"/>
        <v>16</v>
      </c>
      <c r="N1100" s="2263">
        <f t="shared" si="289"/>
        <v>1500</v>
      </c>
      <c r="O1100" s="2263">
        <f t="shared" si="290"/>
        <v>1500</v>
      </c>
      <c r="P1100" s="2263">
        <f t="shared" si="291"/>
        <v>1500</v>
      </c>
      <c r="Q1100" s="2263">
        <f t="shared" si="292"/>
        <v>900</v>
      </c>
      <c r="R1100" s="2263">
        <f t="shared" si="293"/>
        <v>800</v>
      </c>
      <c r="S1100" s="2263">
        <f t="shared" si="294"/>
        <v>700</v>
      </c>
      <c r="T1100" s="313"/>
      <c r="W1100" s="313"/>
    </row>
    <row r="1101" spans="1:23" ht="12.75">
      <c r="A1101" s="3646" t="s">
        <v>629</v>
      </c>
      <c r="B1101" s="3645">
        <v>7</v>
      </c>
      <c r="C1101" s="3645">
        <v>4500</v>
      </c>
      <c r="D1101" s="3645">
        <v>4000</v>
      </c>
      <c r="E1101" s="3645">
        <v>4000</v>
      </c>
      <c r="F1101" s="3645">
        <v>3500</v>
      </c>
      <c r="G1101" s="3645">
        <v>2800</v>
      </c>
      <c r="H1101" s="3645">
        <v>2000</v>
      </c>
      <c r="I1101" s="136"/>
      <c r="J1101" s="136"/>
      <c r="K1101" s="1582"/>
      <c r="L1101" s="2264" t="str">
        <f t="shared" si="287"/>
        <v>Cut 3 size</v>
      </c>
      <c r="M1101" s="2263">
        <f t="shared" si="288"/>
        <v>7</v>
      </c>
      <c r="N1101" s="2263">
        <f t="shared" si="289"/>
        <v>4500</v>
      </c>
      <c r="O1101" s="2263">
        <f t="shared" si="290"/>
        <v>4000</v>
      </c>
      <c r="P1101" s="2263">
        <f t="shared" si="291"/>
        <v>4000</v>
      </c>
      <c r="Q1101" s="2263">
        <f t="shared" si="292"/>
        <v>3500</v>
      </c>
      <c r="R1101" s="2263">
        <f t="shared" si="293"/>
        <v>2800</v>
      </c>
      <c r="S1101" s="2263">
        <f t="shared" si="294"/>
        <v>2000</v>
      </c>
      <c r="T1101" s="313"/>
      <c r="W1101" s="313"/>
    </row>
    <row r="1102" spans="1:23" ht="12.75">
      <c r="A1102" s="3646" t="s">
        <v>629</v>
      </c>
      <c r="B1102" s="3645">
        <v>12</v>
      </c>
      <c r="C1102" s="3645">
        <v>3200</v>
      </c>
      <c r="D1102" s="3645">
        <v>3200</v>
      </c>
      <c r="E1102" s="3645">
        <v>3200</v>
      </c>
      <c r="F1102" s="3645">
        <v>2500</v>
      </c>
      <c r="G1102" s="3645">
        <v>1800</v>
      </c>
      <c r="H1102" s="3645">
        <v>1000</v>
      </c>
      <c r="I1102" s="136"/>
      <c r="J1102" s="136"/>
      <c r="K1102" s="1582"/>
      <c r="L1102" s="2264" t="str">
        <f t="shared" si="287"/>
        <v>Cut 3 size</v>
      </c>
      <c r="M1102" s="2263">
        <f t="shared" si="288"/>
        <v>12</v>
      </c>
      <c r="N1102" s="2263">
        <f t="shared" si="289"/>
        <v>3200</v>
      </c>
      <c r="O1102" s="2263">
        <f t="shared" si="290"/>
        <v>3200</v>
      </c>
      <c r="P1102" s="2263">
        <f t="shared" si="291"/>
        <v>3200</v>
      </c>
      <c r="Q1102" s="2263">
        <f t="shared" si="292"/>
        <v>2500</v>
      </c>
      <c r="R1102" s="2263">
        <f t="shared" si="293"/>
        <v>1800</v>
      </c>
      <c r="S1102" s="2263">
        <f t="shared" si="294"/>
        <v>1000</v>
      </c>
      <c r="T1102" s="313"/>
      <c r="W1102" s="313"/>
    </row>
    <row r="1103" spans="1:23" ht="12.75">
      <c r="A1103" s="3646" t="s">
        <v>629</v>
      </c>
      <c r="B1103" s="3645">
        <v>16</v>
      </c>
      <c r="C1103" s="3645">
        <v>2500</v>
      </c>
      <c r="D1103" s="3645">
        <v>2500</v>
      </c>
      <c r="E1103" s="3645">
        <v>2000</v>
      </c>
      <c r="F1103" s="3645">
        <v>2000</v>
      </c>
      <c r="G1103" s="3645">
        <v>1500</v>
      </c>
      <c r="H1103" s="3645">
        <v>900</v>
      </c>
      <c r="I1103" s="136"/>
      <c r="J1103" s="136"/>
      <c r="K1103" s="1582"/>
      <c r="L1103" s="2264" t="str">
        <f t="shared" si="287"/>
        <v>Cut 3 size</v>
      </c>
      <c r="M1103" s="2263">
        <f t="shared" si="288"/>
        <v>16</v>
      </c>
      <c r="N1103" s="2263">
        <f t="shared" si="289"/>
        <v>2500</v>
      </c>
      <c r="O1103" s="2263">
        <f t="shared" si="290"/>
        <v>2500</v>
      </c>
      <c r="P1103" s="2263">
        <f t="shared" si="291"/>
        <v>2000</v>
      </c>
      <c r="Q1103" s="2263">
        <f t="shared" si="292"/>
        <v>2000</v>
      </c>
      <c r="R1103" s="2263">
        <f t="shared" si="293"/>
        <v>1500</v>
      </c>
      <c r="S1103" s="2263">
        <f t="shared" si="294"/>
        <v>900</v>
      </c>
      <c r="T1103" s="313"/>
      <c r="W1103" s="313"/>
    </row>
    <row r="1104" spans="1:23" ht="12.75">
      <c r="A1104" s="3646" t="s">
        <v>630</v>
      </c>
      <c r="B1104" s="3645">
        <v>7</v>
      </c>
      <c r="C1104" s="3645">
        <v>4500</v>
      </c>
      <c r="D1104" s="3645">
        <v>4000</v>
      </c>
      <c r="E1104" s="3645">
        <v>4000</v>
      </c>
      <c r="F1104" s="3645">
        <v>3500</v>
      </c>
      <c r="G1104" s="3645">
        <v>2800</v>
      </c>
      <c r="H1104" s="3645">
        <v>2000</v>
      </c>
      <c r="I1104" s="136"/>
      <c r="J1104" s="136"/>
      <c r="K1104" s="1582"/>
      <c r="L1104" s="2264" t="str">
        <f t="shared" si="287"/>
        <v>2 Round Conner</v>
      </c>
      <c r="M1104" s="2263">
        <f t="shared" si="288"/>
        <v>7</v>
      </c>
      <c r="N1104" s="2263">
        <f t="shared" si="289"/>
        <v>4500</v>
      </c>
      <c r="O1104" s="2263">
        <f t="shared" si="290"/>
        <v>4000</v>
      </c>
      <c r="P1104" s="2263">
        <f t="shared" si="291"/>
        <v>4000</v>
      </c>
      <c r="Q1104" s="2263">
        <f t="shared" si="292"/>
        <v>3500</v>
      </c>
      <c r="R1104" s="2263">
        <f t="shared" si="293"/>
        <v>2800</v>
      </c>
      <c r="S1104" s="2263">
        <f t="shared" si="294"/>
        <v>2000</v>
      </c>
      <c r="T1104" s="313"/>
      <c r="W1104" s="313"/>
    </row>
    <row r="1105" spans="1:23" ht="12.75">
      <c r="A1105" s="3646" t="s">
        <v>630</v>
      </c>
      <c r="B1105" s="3645">
        <v>12</v>
      </c>
      <c r="C1105" s="3645">
        <v>3200</v>
      </c>
      <c r="D1105" s="3645">
        <v>3200</v>
      </c>
      <c r="E1105" s="3645">
        <v>3200</v>
      </c>
      <c r="F1105" s="3645">
        <v>2500</v>
      </c>
      <c r="G1105" s="3645">
        <v>1800</v>
      </c>
      <c r="H1105" s="3645">
        <v>1000</v>
      </c>
      <c r="I1105" s="136"/>
      <c r="J1105" s="136"/>
      <c r="K1105" s="1582"/>
      <c r="L1105" s="2264" t="str">
        <f t="shared" si="287"/>
        <v>2 Round Conner</v>
      </c>
      <c r="M1105" s="2263">
        <f t="shared" si="288"/>
        <v>12</v>
      </c>
      <c r="N1105" s="2263">
        <f t="shared" si="289"/>
        <v>3200</v>
      </c>
      <c r="O1105" s="2263">
        <f t="shared" si="290"/>
        <v>3200</v>
      </c>
      <c r="P1105" s="2263">
        <f t="shared" si="291"/>
        <v>3200</v>
      </c>
      <c r="Q1105" s="2263">
        <f t="shared" si="292"/>
        <v>2500</v>
      </c>
      <c r="R1105" s="2263">
        <f t="shared" si="293"/>
        <v>1800</v>
      </c>
      <c r="S1105" s="2263">
        <f t="shared" si="294"/>
        <v>1000</v>
      </c>
      <c r="T1105" s="313"/>
      <c r="W1105" s="313"/>
    </row>
    <row r="1106" spans="1:23" ht="12.75">
      <c r="A1106" s="3646" t="s">
        <v>630</v>
      </c>
      <c r="B1106" s="3645">
        <v>16</v>
      </c>
      <c r="C1106" s="3645">
        <v>2500</v>
      </c>
      <c r="D1106" s="3645">
        <v>2500</v>
      </c>
      <c r="E1106" s="3645">
        <v>2000</v>
      </c>
      <c r="F1106" s="3645">
        <v>2000</v>
      </c>
      <c r="G1106" s="3645">
        <v>1500</v>
      </c>
      <c r="H1106" s="3645">
        <v>900</v>
      </c>
      <c r="I1106" s="136"/>
      <c r="J1106" s="136"/>
      <c r="K1106" s="1582"/>
      <c r="L1106" s="2264" t="str">
        <f t="shared" si="287"/>
        <v>2 Round Conner</v>
      </c>
      <c r="M1106" s="2263">
        <f t="shared" si="288"/>
        <v>16</v>
      </c>
      <c r="N1106" s="2263">
        <f t="shared" si="289"/>
        <v>2500</v>
      </c>
      <c r="O1106" s="2263">
        <f t="shared" si="290"/>
        <v>2500</v>
      </c>
      <c r="P1106" s="2263">
        <f t="shared" si="291"/>
        <v>2000</v>
      </c>
      <c r="Q1106" s="2263">
        <f t="shared" si="292"/>
        <v>2000</v>
      </c>
      <c r="R1106" s="2263">
        <f t="shared" si="293"/>
        <v>1500</v>
      </c>
      <c r="S1106" s="2263">
        <f t="shared" si="294"/>
        <v>900</v>
      </c>
      <c r="T1106" s="313"/>
      <c r="W1106" s="313"/>
    </row>
    <row r="1107" spans="1:23" ht="12.75">
      <c r="A1107" s="3646" t="s">
        <v>631</v>
      </c>
      <c r="B1107" s="3645">
        <v>7</v>
      </c>
      <c r="C1107" s="3645">
        <v>2700</v>
      </c>
      <c r="D1107" s="3645">
        <v>2000</v>
      </c>
      <c r="E1107" s="3645">
        <v>2000</v>
      </c>
      <c r="F1107" s="3645">
        <v>1500</v>
      </c>
      <c r="G1107" s="3645">
        <v>800</v>
      </c>
      <c r="H1107" s="3645">
        <v>800</v>
      </c>
      <c r="I1107" s="136"/>
      <c r="J1107" s="136"/>
      <c r="K1107" s="1582"/>
      <c r="L1107" s="2264" t="str">
        <f t="shared" si="287"/>
        <v>Punch Shape</v>
      </c>
      <c r="M1107" s="2263">
        <f t="shared" si="288"/>
        <v>7</v>
      </c>
      <c r="N1107" s="2263">
        <f t="shared" si="289"/>
        <v>2700</v>
      </c>
      <c r="O1107" s="2263">
        <f t="shared" si="290"/>
        <v>2000</v>
      </c>
      <c r="P1107" s="2263">
        <f t="shared" si="291"/>
        <v>2000</v>
      </c>
      <c r="Q1107" s="2263">
        <f t="shared" si="292"/>
        <v>1500</v>
      </c>
      <c r="R1107" s="2263">
        <f t="shared" si="293"/>
        <v>800</v>
      </c>
      <c r="S1107" s="2263">
        <f t="shared" si="294"/>
        <v>800</v>
      </c>
      <c r="T1107" s="313"/>
      <c r="W1107" s="313"/>
    </row>
    <row r="1108" spans="1:23" ht="12.75">
      <c r="A1108" s="3646" t="s">
        <v>631</v>
      </c>
      <c r="B1108" s="3645">
        <v>12</v>
      </c>
      <c r="C1108" s="3645">
        <v>1600</v>
      </c>
      <c r="D1108" s="3645">
        <v>1600</v>
      </c>
      <c r="E1108" s="3645">
        <v>1600</v>
      </c>
      <c r="F1108" s="3645">
        <v>1200</v>
      </c>
      <c r="G1108" s="3645">
        <v>900</v>
      </c>
      <c r="H1108" s="3645">
        <v>700</v>
      </c>
      <c r="I1108" s="136"/>
      <c r="J1108" s="136"/>
      <c r="K1108" s="1582"/>
      <c r="L1108" s="2264" t="str">
        <f t="shared" si="287"/>
        <v>Punch Shape</v>
      </c>
      <c r="M1108" s="2263">
        <f t="shared" si="288"/>
        <v>12</v>
      </c>
      <c r="N1108" s="2263">
        <f t="shared" si="289"/>
        <v>1600</v>
      </c>
      <c r="O1108" s="2263">
        <f t="shared" si="290"/>
        <v>1600</v>
      </c>
      <c r="P1108" s="2263">
        <f t="shared" si="291"/>
        <v>1600</v>
      </c>
      <c r="Q1108" s="2263">
        <f t="shared" si="292"/>
        <v>1200</v>
      </c>
      <c r="R1108" s="2263">
        <f t="shared" si="293"/>
        <v>900</v>
      </c>
      <c r="S1108" s="2263">
        <f t="shared" si="294"/>
        <v>700</v>
      </c>
      <c r="T1108" s="313"/>
      <c r="W1108" s="313"/>
    </row>
    <row r="1109" spans="1:23" ht="12.75">
      <c r="A1109" s="3646" t="s">
        <v>631</v>
      </c>
      <c r="B1109" s="3645">
        <v>16</v>
      </c>
      <c r="C1109" s="3645">
        <v>1100</v>
      </c>
      <c r="D1109" s="3645">
        <v>1100</v>
      </c>
      <c r="E1109" s="3645">
        <v>800</v>
      </c>
      <c r="F1109" s="3645">
        <v>800</v>
      </c>
      <c r="G1109" s="3645">
        <v>700</v>
      </c>
      <c r="H1109" s="3645">
        <v>700</v>
      </c>
      <c r="I1109" s="136"/>
      <c r="J1109" s="136"/>
      <c r="K1109" s="1582"/>
      <c r="L1109" s="2264" t="str">
        <f t="shared" si="287"/>
        <v>Punch Shape</v>
      </c>
      <c r="M1109" s="2263">
        <f t="shared" si="288"/>
        <v>16</v>
      </c>
      <c r="N1109" s="2263">
        <f t="shared" si="289"/>
        <v>1100</v>
      </c>
      <c r="O1109" s="2263">
        <f t="shared" si="290"/>
        <v>1100</v>
      </c>
      <c r="P1109" s="2263">
        <f t="shared" si="291"/>
        <v>800</v>
      </c>
      <c r="Q1109" s="2263">
        <f t="shared" si="292"/>
        <v>800</v>
      </c>
      <c r="R1109" s="2263">
        <f t="shared" si="293"/>
        <v>700</v>
      </c>
      <c r="S1109" s="2263">
        <f t="shared" si="294"/>
        <v>700</v>
      </c>
      <c r="T1109" s="313"/>
      <c r="W1109" s="313"/>
    </row>
    <row r="1110" spans="1:23" ht="12.75">
      <c r="A1110" s="2261"/>
      <c r="B1110" s="2261"/>
      <c r="C1110" s="2261"/>
      <c r="D1110" s="2261"/>
      <c r="E1110" s="2261"/>
      <c r="F1110" s="2261"/>
      <c r="G1110" s="2261"/>
      <c r="H1110" s="2261"/>
      <c r="I1110" s="136"/>
      <c r="J1110" s="136"/>
      <c r="K1110" s="1582"/>
      <c r="L1110" s="2261"/>
      <c r="M1110" s="2261"/>
      <c r="N1110" s="2261"/>
      <c r="O1110" s="2261"/>
      <c r="P1110" s="2261"/>
      <c r="Q1110" s="2261"/>
      <c r="R1110" s="2261"/>
      <c r="S1110" s="2261"/>
      <c r="T1110" s="313"/>
      <c r="W1110" s="313"/>
    </row>
    <row r="1111" spans="1:23" ht="12.75">
      <c r="A1111" s="2261"/>
      <c r="B1111" s="2261"/>
      <c r="C1111" s="2261"/>
      <c r="D1111" s="2261"/>
      <c r="E1111" s="2261"/>
      <c r="F1111" s="2261"/>
      <c r="G1111" s="2261"/>
      <c r="H1111" s="2261"/>
      <c r="I1111" s="136"/>
      <c r="J1111" s="136"/>
      <c r="K1111" s="1582"/>
      <c r="L1111" s="2261"/>
      <c r="M1111" s="2261"/>
      <c r="N1111" s="2261"/>
      <c r="O1111" s="2261"/>
      <c r="P1111" s="2261"/>
      <c r="Q1111" s="2261"/>
      <c r="R1111" s="2261"/>
      <c r="S1111" s="2261"/>
      <c r="T1111" s="313"/>
      <c r="W1111" s="313"/>
    </row>
    <row r="1112" spans="1:23" ht="12.75">
      <c r="A1112" s="1594" t="s">
        <v>3008</v>
      </c>
      <c r="B1112" s="2771"/>
      <c r="C1112" s="2267" t="s">
        <v>1519</v>
      </c>
      <c r="D1112" s="2267" t="s">
        <v>230</v>
      </c>
      <c r="E1112" s="2261"/>
      <c r="F1112" s="2261"/>
      <c r="G1112" s="2261"/>
      <c r="H1112" s="2261"/>
      <c r="I1112" s="136"/>
      <c r="J1112" s="136"/>
      <c r="K1112" s="1582"/>
      <c r="L1112" s="2261" t="str">
        <f>A1112</f>
        <v>STD CAP of Printing Machines 2021</v>
      </c>
      <c r="M1112" s="2261"/>
      <c r="N1112" s="2267" t="str">
        <f>C1112</f>
        <v>None_Metalize</v>
      </c>
      <c r="O1112" s="2267" t="str">
        <f>D1112</f>
        <v>Metalize</v>
      </c>
      <c r="P1112" s="2261"/>
      <c r="Q1112" s="2261" t="s">
        <v>1139</v>
      </c>
      <c r="R1112" s="2261" t="s">
        <v>1140</v>
      </c>
      <c r="S1112" s="2261" t="s">
        <v>1141</v>
      </c>
      <c r="T1112" s="313"/>
      <c r="W1112" s="313"/>
    </row>
    <row r="1113" spans="1:23" ht="12.75">
      <c r="A1113" s="3647" t="s">
        <v>644</v>
      </c>
      <c r="B1113" s="2955" t="s">
        <v>1521</v>
      </c>
      <c r="C1113" s="2956">
        <v>8000</v>
      </c>
      <c r="D1113" s="3648"/>
      <c r="E1113" s="2261"/>
      <c r="F1113" s="2261"/>
      <c r="G1113" s="2261"/>
      <c r="H1113" s="2261"/>
      <c r="I1113" s="136"/>
      <c r="J1113" s="136"/>
      <c r="K1113" s="1582"/>
      <c r="L1113" s="2268" t="str">
        <f>A1113</f>
        <v xml:space="preserve">Paper 120 - 220gsm </v>
      </c>
      <c r="M1113" s="2269" t="str">
        <f>B1113</f>
        <v>Komori_240</v>
      </c>
      <c r="N1113" s="2269">
        <f>C1113</f>
        <v>8000</v>
      </c>
      <c r="O1113" s="2270"/>
      <c r="P1113" s="2261"/>
      <c r="Q1113" s="2261"/>
      <c r="R1113" s="2261"/>
      <c r="S1113" s="2261"/>
      <c r="T1113" s="313"/>
      <c r="W1113" s="313"/>
    </row>
    <row r="1114" spans="1:23" ht="12.75">
      <c r="A1114" s="2770" t="s">
        <v>644</v>
      </c>
      <c r="B1114" s="2261" t="s">
        <v>1522</v>
      </c>
      <c r="C1114" s="2771">
        <v>8000</v>
      </c>
      <c r="D1114" s="2772">
        <v>5000</v>
      </c>
      <c r="E1114" s="2261"/>
      <c r="F1114" s="2261"/>
      <c r="G1114" s="2261"/>
      <c r="H1114" s="2261"/>
      <c r="I1114" s="136"/>
      <c r="J1114" s="136"/>
      <c r="K1114" s="1582"/>
      <c r="L1114" s="2271" t="str">
        <f t="shared" ref="L1114:L1119" si="295">A1114</f>
        <v xml:space="preserve">Paper 120 - 220gsm </v>
      </c>
      <c r="M1114" s="2261" t="str">
        <f t="shared" ref="M1114:M1119" si="296">B1114</f>
        <v>Komori_L240</v>
      </c>
      <c r="N1114" s="2261">
        <f t="shared" ref="N1114:N1119" si="297">C1114</f>
        <v>8000</v>
      </c>
      <c r="O1114" s="2272">
        <f t="shared" ref="O1114:O1119" si="298">D1114</f>
        <v>5000</v>
      </c>
      <c r="P1114" s="2261"/>
      <c r="Q1114" s="2261"/>
      <c r="R1114" s="2261"/>
      <c r="S1114" s="2261"/>
      <c r="T1114" s="313"/>
      <c r="W1114" s="313"/>
    </row>
    <row r="1115" spans="1:23" ht="12.75">
      <c r="A1115" s="2770" t="s">
        <v>644</v>
      </c>
      <c r="B1115" s="2261"/>
      <c r="C1115" s="2261"/>
      <c r="D1115" s="2773"/>
      <c r="E1115" s="2261"/>
      <c r="F1115" s="2261"/>
      <c r="G1115" s="2261"/>
      <c r="H1115" s="2261"/>
      <c r="I1115" s="136"/>
      <c r="J1115" s="136"/>
      <c r="K1115" s="1582"/>
      <c r="L1115" s="2271" t="str">
        <f t="shared" si="295"/>
        <v xml:space="preserve">Paper 120 - 220gsm </v>
      </c>
      <c r="M1115" s="2261">
        <f t="shared" si="296"/>
        <v>0</v>
      </c>
      <c r="N1115" s="2261">
        <f t="shared" si="297"/>
        <v>0</v>
      </c>
      <c r="O1115" s="2272"/>
      <c r="P1115" s="2261"/>
      <c r="Q1115" s="2261"/>
      <c r="R1115" s="2261"/>
      <c r="S1115" s="2261"/>
      <c r="T1115" s="313"/>
      <c r="W1115" s="313"/>
    </row>
    <row r="1116" spans="1:23" ht="12.75">
      <c r="A1116" s="2770" t="s">
        <v>644</v>
      </c>
      <c r="B1116" s="2261" t="s">
        <v>1523</v>
      </c>
      <c r="C1116" s="2771">
        <v>10000</v>
      </c>
      <c r="D1116" s="2773"/>
      <c r="E1116" s="2261"/>
      <c r="F1116" s="2261"/>
      <c r="G1116" s="2261"/>
      <c r="H1116" s="2261"/>
      <c r="I1116" s="136"/>
      <c r="J1116" s="136"/>
      <c r="K1116" s="1582"/>
      <c r="L1116" s="2271" t="str">
        <f t="shared" si="295"/>
        <v xml:space="preserve">Paper 120 - 220gsm </v>
      </c>
      <c r="M1116" s="2261" t="str">
        <f t="shared" si="296"/>
        <v>Komori_LX640</v>
      </c>
      <c r="N1116" s="2261">
        <f t="shared" si="297"/>
        <v>10000</v>
      </c>
      <c r="O1116" s="2272"/>
      <c r="P1116" s="2261"/>
      <c r="Q1116" s="2261"/>
      <c r="R1116" s="2261"/>
      <c r="S1116" s="2261"/>
      <c r="T1116" s="313"/>
      <c r="W1116" s="313"/>
    </row>
    <row r="1117" spans="1:23" ht="12.75">
      <c r="A1117" s="2770" t="s">
        <v>644</v>
      </c>
      <c r="B1117" s="2261" t="s">
        <v>1524</v>
      </c>
      <c r="C1117" s="2771">
        <v>12000</v>
      </c>
      <c r="D1117" s="2773"/>
      <c r="E1117" s="2261"/>
      <c r="F1117" s="2261"/>
      <c r="G1117" s="2261"/>
      <c r="H1117" s="2261"/>
      <c r="I1117" s="136"/>
      <c r="J1117" s="136"/>
      <c r="K1117" s="1582"/>
      <c r="L1117" s="2271" t="str">
        <f t="shared" si="295"/>
        <v xml:space="preserve">Paper 120 - 220gsm </v>
      </c>
      <c r="M1117" s="2261" t="str">
        <f t="shared" si="296"/>
        <v>Komori_LS640</v>
      </c>
      <c r="N1117" s="2261">
        <f t="shared" si="297"/>
        <v>12000</v>
      </c>
      <c r="O1117" s="2272"/>
      <c r="P1117" s="2261"/>
      <c r="Q1117" s="2261"/>
      <c r="R1117" s="2261"/>
      <c r="S1117" s="2261"/>
      <c r="T1117" s="313"/>
      <c r="W1117" s="313"/>
    </row>
    <row r="1118" spans="1:23" ht="12.75">
      <c r="A1118" s="2770" t="s">
        <v>644</v>
      </c>
      <c r="B1118" s="2261" t="s">
        <v>1525</v>
      </c>
      <c r="C1118" s="2771">
        <v>12000</v>
      </c>
      <c r="D1118" s="2773"/>
      <c r="E1118" s="2261"/>
      <c r="F1118" s="2261"/>
      <c r="G1118" s="2261"/>
      <c r="H1118" s="2261"/>
      <c r="I1118" s="136"/>
      <c r="J1118" s="136"/>
      <c r="K1118" s="1582"/>
      <c r="L1118" s="2271" t="str">
        <f t="shared" si="295"/>
        <v xml:space="preserve">Paper 120 - 220gsm </v>
      </c>
      <c r="M1118" s="2261" t="str">
        <f t="shared" si="296"/>
        <v>Komori_LS740</v>
      </c>
      <c r="N1118" s="2261">
        <f t="shared" si="297"/>
        <v>12000</v>
      </c>
      <c r="O1118" s="2272">
        <f t="shared" si="298"/>
        <v>0</v>
      </c>
      <c r="P1118" s="2261"/>
      <c r="Q1118" s="2261"/>
      <c r="R1118" s="2261"/>
      <c r="S1118" s="2261"/>
      <c r="T1118" s="390"/>
      <c r="W1118" s="313"/>
    </row>
    <row r="1119" spans="1:23" ht="12.75">
      <c r="A1119" s="2770" t="s">
        <v>644</v>
      </c>
      <c r="B1119" s="2261" t="s">
        <v>645</v>
      </c>
      <c r="C1119" s="2771">
        <v>8500</v>
      </c>
      <c r="D1119" s="2772">
        <v>9000</v>
      </c>
      <c r="E1119" s="2261"/>
      <c r="F1119" s="2261"/>
      <c r="G1119" s="2261"/>
      <c r="H1119" s="2261"/>
      <c r="I1119" s="136"/>
      <c r="J1119" s="136"/>
      <c r="K1119" s="1582"/>
      <c r="L1119" s="2271" t="str">
        <f t="shared" si="295"/>
        <v xml:space="preserve">Paper 120 - 220gsm </v>
      </c>
      <c r="M1119" s="2261" t="str">
        <f t="shared" si="296"/>
        <v>KBA</v>
      </c>
      <c r="N1119" s="2261">
        <f t="shared" si="297"/>
        <v>8500</v>
      </c>
      <c r="O1119" s="2272">
        <f t="shared" si="298"/>
        <v>9000</v>
      </c>
      <c r="P1119" s="2261"/>
      <c r="Q1119" s="2261"/>
      <c r="R1119" s="2261"/>
      <c r="S1119" s="2261"/>
      <c r="T1119" s="390"/>
      <c r="W1119" s="313"/>
    </row>
    <row r="1120" spans="1:23" ht="12.75">
      <c r="A1120" s="3649"/>
      <c r="B1120" s="4010"/>
      <c r="C1120" s="4010"/>
      <c r="D1120" s="4011"/>
      <c r="E1120" s="2261"/>
      <c r="F1120" s="2261"/>
      <c r="G1120" s="2261"/>
      <c r="H1120" s="2261"/>
      <c r="I1120" s="136"/>
      <c r="J1120" s="136"/>
      <c r="K1120" s="1582"/>
      <c r="L1120" s="2273"/>
      <c r="M1120" s="2274"/>
      <c r="N1120" s="2274"/>
      <c r="O1120" s="2275"/>
      <c r="P1120" s="2261"/>
      <c r="Q1120" s="2261"/>
      <c r="R1120" s="2261"/>
      <c r="S1120" s="2261"/>
      <c r="T1120" s="390"/>
      <c r="W1120" s="313"/>
    </row>
    <row r="1121" spans="1:23" ht="12.75">
      <c r="A1121" s="3647" t="s">
        <v>646</v>
      </c>
      <c r="B1121" s="2955" t="s">
        <v>1521</v>
      </c>
      <c r="C1121" s="2956">
        <v>8000</v>
      </c>
      <c r="D1121" s="3648"/>
      <c r="E1121" s="2261"/>
      <c r="F1121" s="2261"/>
      <c r="G1121" s="2261"/>
      <c r="H1121" s="2261"/>
      <c r="I1121" s="136"/>
      <c r="J1121" s="136"/>
      <c r="K1121" s="1582"/>
      <c r="L1121" s="2268" t="str">
        <f t="shared" ref="L1121:L1135" si="299">A1121</f>
        <v>Paper 220 - 350gsm</v>
      </c>
      <c r="M1121" s="2269" t="str">
        <f t="shared" ref="M1121:M1135" si="300">B1121</f>
        <v>Komori_240</v>
      </c>
      <c r="N1121" s="2269">
        <f t="shared" ref="N1121:N1135" si="301">C1121</f>
        <v>8000</v>
      </c>
      <c r="O1121" s="2270"/>
      <c r="P1121" s="2261"/>
      <c r="Q1121" s="2261"/>
      <c r="R1121" s="2261"/>
      <c r="S1121" s="2261"/>
      <c r="T1121" s="313"/>
      <c r="W1121" s="313"/>
    </row>
    <row r="1122" spans="1:23" ht="12.75">
      <c r="A1122" s="2770" t="s">
        <v>646</v>
      </c>
      <c r="B1122" s="2261" t="s">
        <v>1522</v>
      </c>
      <c r="C1122" s="2771">
        <v>8000</v>
      </c>
      <c r="D1122" s="2772">
        <v>5000</v>
      </c>
      <c r="E1122" s="2261"/>
      <c r="F1122" s="2261"/>
      <c r="G1122" s="2261"/>
      <c r="H1122" s="2261"/>
      <c r="I1122" s="136"/>
      <c r="J1122" s="136"/>
      <c r="K1122" s="1582"/>
      <c r="L1122" s="2271" t="str">
        <f t="shared" si="299"/>
        <v>Paper 220 - 350gsm</v>
      </c>
      <c r="M1122" s="2261" t="str">
        <f t="shared" si="300"/>
        <v>Komori_L240</v>
      </c>
      <c r="N1122" s="2261">
        <f t="shared" si="301"/>
        <v>8000</v>
      </c>
      <c r="O1122" s="2272">
        <f>D1122</f>
        <v>5000</v>
      </c>
      <c r="P1122" s="2261"/>
      <c r="Q1122" s="2261"/>
      <c r="R1122" s="2261"/>
      <c r="S1122" s="2261"/>
      <c r="T1122" s="313"/>
      <c r="W1122" s="313"/>
    </row>
    <row r="1123" spans="1:23" ht="12.75">
      <c r="A1123" s="2770" t="s">
        <v>646</v>
      </c>
      <c r="B1123" s="2261"/>
      <c r="C1123" s="2261"/>
      <c r="D1123" s="2773"/>
      <c r="E1123" s="2261"/>
      <c r="F1123" s="2261"/>
      <c r="G1123" s="2261"/>
      <c r="H1123" s="2261"/>
      <c r="I1123" s="136"/>
      <c r="J1123" s="136"/>
      <c r="K1123" s="1582"/>
      <c r="L1123" s="2271" t="str">
        <f t="shared" si="299"/>
        <v>Paper 220 - 350gsm</v>
      </c>
      <c r="M1123" s="2261">
        <f t="shared" si="300"/>
        <v>0</v>
      </c>
      <c r="N1123" s="2261">
        <f t="shared" si="301"/>
        <v>0</v>
      </c>
      <c r="O1123" s="2272"/>
      <c r="P1123" s="2261"/>
      <c r="Q1123" s="2261"/>
      <c r="R1123" s="2261"/>
      <c r="S1123" s="2261"/>
      <c r="T1123" s="313"/>
      <c r="W1123" s="313"/>
    </row>
    <row r="1124" spans="1:23" ht="12.75">
      <c r="A1124" s="2770" t="s">
        <v>646</v>
      </c>
      <c r="B1124" s="2261" t="s">
        <v>1523</v>
      </c>
      <c r="C1124" s="2771">
        <v>10000</v>
      </c>
      <c r="D1124" s="2773"/>
      <c r="E1124" s="2261"/>
      <c r="F1124" s="2261"/>
      <c r="G1124" s="2261"/>
      <c r="H1124" s="2261"/>
      <c r="I1124" s="136"/>
      <c r="J1124" s="136"/>
      <c r="K1124" s="1582"/>
      <c r="L1124" s="2271" t="str">
        <f t="shared" si="299"/>
        <v>Paper 220 - 350gsm</v>
      </c>
      <c r="M1124" s="2261" t="str">
        <f t="shared" si="300"/>
        <v>Komori_LX640</v>
      </c>
      <c r="N1124" s="2261">
        <f t="shared" si="301"/>
        <v>10000</v>
      </c>
      <c r="O1124" s="2272"/>
      <c r="P1124" s="2261"/>
      <c r="Q1124" s="2261"/>
      <c r="R1124" s="2261"/>
      <c r="S1124" s="2261"/>
      <c r="T1124" s="313"/>
      <c r="W1124" s="313"/>
    </row>
    <row r="1125" spans="1:23" ht="12.75">
      <c r="A1125" s="2770" t="s">
        <v>646</v>
      </c>
      <c r="B1125" s="2261" t="s">
        <v>1524</v>
      </c>
      <c r="C1125" s="2771">
        <v>12000</v>
      </c>
      <c r="D1125" s="2773"/>
      <c r="E1125" s="2261"/>
      <c r="F1125" s="2261"/>
      <c r="G1125" s="2261"/>
      <c r="H1125" s="2261"/>
      <c r="I1125" s="136"/>
      <c r="J1125" s="136"/>
      <c r="K1125" s="1582"/>
      <c r="L1125" s="2271" t="str">
        <f t="shared" si="299"/>
        <v>Paper 220 - 350gsm</v>
      </c>
      <c r="M1125" s="2261" t="str">
        <f t="shared" si="300"/>
        <v>Komori_LS640</v>
      </c>
      <c r="N1125" s="2261">
        <f t="shared" si="301"/>
        <v>12000</v>
      </c>
      <c r="O1125" s="2272"/>
      <c r="P1125" s="2261"/>
      <c r="Q1125" s="2261"/>
      <c r="R1125" s="2261"/>
      <c r="S1125" s="2261"/>
      <c r="T1125" s="313"/>
      <c r="W1125" s="313"/>
    </row>
    <row r="1126" spans="1:23" ht="12.75">
      <c r="A1126" s="2770" t="s">
        <v>646</v>
      </c>
      <c r="B1126" s="2261" t="s">
        <v>1525</v>
      </c>
      <c r="C1126" s="2771">
        <v>12000</v>
      </c>
      <c r="D1126" s="2773"/>
      <c r="E1126" s="2261"/>
      <c r="F1126" s="2261"/>
      <c r="G1126" s="2261"/>
      <c r="H1126" s="2261"/>
      <c r="I1126" s="136"/>
      <c r="J1126" s="136"/>
      <c r="K1126" s="1582"/>
      <c r="L1126" s="2271" t="str">
        <f t="shared" si="299"/>
        <v>Paper 220 - 350gsm</v>
      </c>
      <c r="M1126" s="2261" t="str">
        <f t="shared" si="300"/>
        <v>Komori_LS740</v>
      </c>
      <c r="N1126" s="2261">
        <f t="shared" si="301"/>
        <v>12000</v>
      </c>
      <c r="O1126" s="2272">
        <f>D1126</f>
        <v>0</v>
      </c>
      <c r="P1126" s="2261"/>
      <c r="Q1126" s="2261"/>
      <c r="R1126" s="2261"/>
      <c r="S1126" s="2261"/>
      <c r="T1126" s="390"/>
      <c r="W1126" s="313"/>
    </row>
    <row r="1127" spans="1:23" ht="12.75">
      <c r="A1127" s="2770" t="s">
        <v>646</v>
      </c>
      <c r="B1127" s="2261" t="s">
        <v>645</v>
      </c>
      <c r="C1127" s="2771">
        <v>12000</v>
      </c>
      <c r="D1127" s="2772">
        <v>9000</v>
      </c>
      <c r="E1127" s="2261"/>
      <c r="F1127" s="2261"/>
      <c r="G1127" s="2261"/>
      <c r="H1127" s="2261"/>
      <c r="I1127" s="136"/>
      <c r="J1127" s="136"/>
      <c r="K1127" s="1582"/>
      <c r="L1127" s="2271" t="str">
        <f t="shared" si="299"/>
        <v>Paper 220 - 350gsm</v>
      </c>
      <c r="M1127" s="2261" t="str">
        <f t="shared" si="300"/>
        <v>KBA</v>
      </c>
      <c r="N1127" s="2261">
        <f t="shared" si="301"/>
        <v>12000</v>
      </c>
      <c r="O1127" s="2272">
        <f>D1127</f>
        <v>9000</v>
      </c>
      <c r="P1127" s="2261"/>
      <c r="Q1127" s="2261"/>
      <c r="R1127" s="2261"/>
      <c r="S1127" s="2261"/>
      <c r="T1127" s="313"/>
      <c r="W1127" s="313"/>
    </row>
    <row r="1128" spans="1:23" ht="12.75">
      <c r="A1128" s="3649"/>
      <c r="B1128" s="4010"/>
      <c r="C1128" s="4010"/>
      <c r="D1128" s="4011"/>
      <c r="E1128" s="2261"/>
      <c r="F1128" s="2261"/>
      <c r="G1128" s="2261"/>
      <c r="H1128" s="2261"/>
      <c r="I1128" s="136"/>
      <c r="J1128" s="136"/>
      <c r="K1128" s="1582"/>
      <c r="L1128" s="2273"/>
      <c r="M1128" s="2274"/>
      <c r="N1128" s="2274"/>
      <c r="O1128" s="2275"/>
      <c r="P1128" s="2261"/>
      <c r="Q1128" s="2261"/>
      <c r="R1128" s="2261"/>
      <c r="S1128" s="2261"/>
      <c r="T1128" s="313"/>
      <c r="W1128" s="313"/>
    </row>
    <row r="1129" spans="1:23" ht="12.75">
      <c r="A1129" s="3647" t="s">
        <v>647</v>
      </c>
      <c r="B1129" s="2955" t="s">
        <v>1521</v>
      </c>
      <c r="C1129" s="2956">
        <v>8000</v>
      </c>
      <c r="D1129" s="3648"/>
      <c r="E1129" s="2261"/>
      <c r="F1129" s="2261"/>
      <c r="G1129" s="2261"/>
      <c r="H1129" s="2261"/>
      <c r="I1129" s="136"/>
      <c r="J1129" s="136"/>
      <c r="K1129" s="1582"/>
      <c r="L1129" s="2268" t="str">
        <f t="shared" si="299"/>
        <v>Paper 400 - 500 gsm</v>
      </c>
      <c r="M1129" s="2269" t="str">
        <f t="shared" si="300"/>
        <v>Komori_240</v>
      </c>
      <c r="N1129" s="2269">
        <f t="shared" si="301"/>
        <v>8000</v>
      </c>
      <c r="O1129" s="2270"/>
      <c r="P1129" s="2261"/>
      <c r="Q1129" s="2261"/>
      <c r="R1129" s="2261"/>
      <c r="S1129" s="2261"/>
      <c r="T1129" s="313"/>
      <c r="W1129" s="313"/>
    </row>
    <row r="1130" spans="1:23" ht="12.75">
      <c r="A1130" s="2770" t="s">
        <v>647</v>
      </c>
      <c r="B1130" s="2261" t="s">
        <v>1522</v>
      </c>
      <c r="C1130" s="2771">
        <v>8000</v>
      </c>
      <c r="D1130" s="2772">
        <v>5000</v>
      </c>
      <c r="E1130" s="2261"/>
      <c r="F1130" s="2261"/>
      <c r="G1130" s="2261"/>
      <c r="H1130" s="2261"/>
      <c r="I1130" s="136"/>
      <c r="J1130" s="136"/>
      <c r="K1130" s="1582"/>
      <c r="L1130" s="2271" t="str">
        <f t="shared" si="299"/>
        <v>Paper 400 - 500 gsm</v>
      </c>
      <c r="M1130" s="2261" t="str">
        <f t="shared" si="300"/>
        <v>Komori_L240</v>
      </c>
      <c r="N1130" s="2261">
        <f t="shared" si="301"/>
        <v>8000</v>
      </c>
      <c r="O1130" s="2272">
        <f>D1130</f>
        <v>5000</v>
      </c>
      <c r="P1130" s="2261"/>
      <c r="Q1130" s="2261"/>
      <c r="R1130" s="2261"/>
      <c r="S1130" s="2261"/>
      <c r="T1130" s="313"/>
      <c r="W1130" s="313"/>
    </row>
    <row r="1131" spans="1:23" ht="12.75">
      <c r="A1131" s="2770" t="s">
        <v>647</v>
      </c>
      <c r="B1131" s="2261"/>
      <c r="C1131" s="2261"/>
      <c r="D1131" s="2773"/>
      <c r="E1131" s="2261"/>
      <c r="F1131" s="2261"/>
      <c r="G1131" s="2261"/>
      <c r="H1131" s="2261"/>
      <c r="I1131" s="136"/>
      <c r="J1131" s="136"/>
      <c r="K1131" s="1582"/>
      <c r="L1131" s="2271" t="str">
        <f t="shared" si="299"/>
        <v>Paper 400 - 500 gsm</v>
      </c>
      <c r="M1131" s="2261">
        <f t="shared" si="300"/>
        <v>0</v>
      </c>
      <c r="N1131" s="2261">
        <f t="shared" si="301"/>
        <v>0</v>
      </c>
      <c r="O1131" s="2272"/>
      <c r="P1131" s="2261"/>
      <c r="Q1131" s="2261"/>
      <c r="R1131" s="2261"/>
      <c r="S1131" s="2261"/>
      <c r="T1131" s="313"/>
      <c r="W1131" s="313"/>
    </row>
    <row r="1132" spans="1:23" ht="12.75">
      <c r="A1132" s="2770" t="s">
        <v>647</v>
      </c>
      <c r="B1132" s="2261" t="s">
        <v>1523</v>
      </c>
      <c r="C1132" s="2771">
        <v>10000</v>
      </c>
      <c r="D1132" s="2773"/>
      <c r="E1132" s="2261"/>
      <c r="F1132" s="2261"/>
      <c r="G1132" s="2261"/>
      <c r="H1132" s="2261"/>
      <c r="I1132" s="136"/>
      <c r="J1132" s="136"/>
      <c r="K1132" s="1582"/>
      <c r="L1132" s="2271" t="str">
        <f t="shared" si="299"/>
        <v>Paper 400 - 500 gsm</v>
      </c>
      <c r="M1132" s="2261" t="str">
        <f t="shared" si="300"/>
        <v>Komori_LX640</v>
      </c>
      <c r="N1132" s="2261">
        <f t="shared" si="301"/>
        <v>10000</v>
      </c>
      <c r="O1132" s="2272"/>
      <c r="P1132" s="2261"/>
      <c r="Q1132" s="2261"/>
      <c r="R1132" s="2261"/>
      <c r="S1132" s="2261"/>
      <c r="T1132" s="313"/>
      <c r="W1132" s="313"/>
    </row>
    <row r="1133" spans="1:23" ht="12.75">
      <c r="A1133" s="2770" t="s">
        <v>647</v>
      </c>
      <c r="B1133" s="2261" t="s">
        <v>1524</v>
      </c>
      <c r="C1133" s="2771">
        <v>12000</v>
      </c>
      <c r="D1133" s="2773"/>
      <c r="E1133" s="2261"/>
      <c r="F1133" s="2261"/>
      <c r="G1133" s="2261"/>
      <c r="H1133" s="2261"/>
      <c r="I1133" s="136"/>
      <c r="J1133" s="136"/>
      <c r="K1133" s="1582"/>
      <c r="L1133" s="2271" t="str">
        <f t="shared" si="299"/>
        <v>Paper 400 - 500 gsm</v>
      </c>
      <c r="M1133" s="2261" t="str">
        <f t="shared" si="300"/>
        <v>Komori_LS640</v>
      </c>
      <c r="N1133" s="2261">
        <f t="shared" si="301"/>
        <v>12000</v>
      </c>
      <c r="O1133" s="2272"/>
      <c r="P1133" s="2261"/>
      <c r="Q1133" s="2261"/>
      <c r="R1133" s="2261"/>
      <c r="S1133" s="2261"/>
      <c r="T1133" s="313"/>
      <c r="W1133" s="313"/>
    </row>
    <row r="1134" spans="1:23" ht="12.75">
      <c r="A1134" s="2770" t="s">
        <v>647</v>
      </c>
      <c r="B1134" s="2261" t="s">
        <v>1525</v>
      </c>
      <c r="C1134" s="2771">
        <v>12000</v>
      </c>
      <c r="D1134" s="2773"/>
      <c r="E1134" s="2261"/>
      <c r="F1134" s="2261"/>
      <c r="G1134" s="2261"/>
      <c r="H1134" s="2261"/>
      <c r="I1134" s="136"/>
      <c r="J1134" s="136"/>
      <c r="K1134" s="1582"/>
      <c r="L1134" s="2271" t="str">
        <f t="shared" si="299"/>
        <v>Paper 400 - 500 gsm</v>
      </c>
      <c r="M1134" s="2261" t="str">
        <f t="shared" si="300"/>
        <v>Komori_LS740</v>
      </c>
      <c r="N1134" s="2261">
        <f t="shared" si="301"/>
        <v>12000</v>
      </c>
      <c r="O1134" s="2272">
        <f>D1134</f>
        <v>0</v>
      </c>
      <c r="P1134" s="2261"/>
      <c r="Q1134" s="2261"/>
      <c r="R1134" s="2261"/>
      <c r="S1134" s="2261"/>
      <c r="T1134" s="313"/>
      <c r="W1134" s="313"/>
    </row>
    <row r="1135" spans="1:23" ht="12.75">
      <c r="A1135" s="2770" t="s">
        <v>647</v>
      </c>
      <c r="B1135" s="2261" t="s">
        <v>645</v>
      </c>
      <c r="C1135" s="2771">
        <v>12000</v>
      </c>
      <c r="D1135" s="2772">
        <v>9000</v>
      </c>
      <c r="E1135" s="2261"/>
      <c r="F1135" s="2261"/>
      <c r="G1135" s="2261"/>
      <c r="H1135" s="2261"/>
      <c r="I1135" s="136"/>
      <c r="J1135" s="136"/>
      <c r="K1135" s="1582"/>
      <c r="L1135" s="2271" t="str">
        <f t="shared" si="299"/>
        <v>Paper 400 - 500 gsm</v>
      </c>
      <c r="M1135" s="2261" t="str">
        <f t="shared" si="300"/>
        <v>KBA</v>
      </c>
      <c r="N1135" s="2261">
        <f t="shared" si="301"/>
        <v>12000</v>
      </c>
      <c r="O1135" s="2272">
        <f>D1135</f>
        <v>9000</v>
      </c>
      <c r="P1135" s="2261"/>
      <c r="Q1135" s="2261"/>
      <c r="R1135" s="2261"/>
      <c r="S1135" s="2261"/>
      <c r="T1135" s="313"/>
      <c r="W1135" s="313"/>
    </row>
    <row r="1136" spans="1:23" ht="12.75">
      <c r="A1136" s="3649"/>
      <c r="B1136" s="4010"/>
      <c r="C1136" s="4010"/>
      <c r="D1136" s="4011"/>
      <c r="E1136" s="2261"/>
      <c r="F1136" s="2261"/>
      <c r="G1136" s="2261"/>
      <c r="H1136" s="2261"/>
      <c r="I1136" s="136"/>
      <c r="J1136" s="136"/>
      <c r="K1136" s="1582"/>
      <c r="L1136" s="2273"/>
      <c r="M1136" s="2274"/>
      <c r="N1136" s="2274"/>
      <c r="O1136" s="2275"/>
      <c r="P1136" s="2261"/>
      <c r="Q1136" s="2261"/>
      <c r="R1136" s="2261"/>
      <c r="S1136" s="2261"/>
      <c r="T1136" s="313"/>
      <c r="W1136" s="313"/>
    </row>
    <row r="1137" spans="1:29" ht="12.75">
      <c r="A1137" s="2261"/>
      <c r="B1137" s="2261"/>
      <c r="C1137" s="2261"/>
      <c r="D1137" s="2261"/>
      <c r="E1137" s="2261"/>
      <c r="F1137" s="2261"/>
      <c r="G1137" s="2261"/>
      <c r="H1137" s="2261"/>
      <c r="I1137" s="136"/>
      <c r="J1137" s="136"/>
      <c r="K1137" s="1582"/>
      <c r="L1137" s="2261"/>
      <c r="M1137" s="2261"/>
      <c r="N1137" s="2261"/>
      <c r="O1137" s="2261"/>
      <c r="P1137" s="2261"/>
      <c r="Q1137" s="2261"/>
      <c r="R1137" s="2261"/>
      <c r="S1137" s="2261"/>
      <c r="T1137" s="313"/>
      <c r="W1137" s="313"/>
    </row>
    <row r="1138" spans="1:29" ht="13.5" thickBot="1">
      <c r="A1138" s="2261"/>
      <c r="B1138" s="2261"/>
      <c r="C1138" s="2261"/>
      <c r="D1138" s="2261"/>
      <c r="E1138" s="2261"/>
      <c r="F1138" s="2261"/>
      <c r="G1138" s="2261"/>
      <c r="H1138" s="2261"/>
      <c r="I1138" s="136"/>
      <c r="J1138" s="136"/>
      <c r="K1138" s="1582"/>
      <c r="L1138" s="2261"/>
      <c r="M1138" s="2261"/>
      <c r="N1138" s="2261"/>
      <c r="O1138" s="2261"/>
      <c r="P1138" s="2261"/>
      <c r="Q1138" s="2261"/>
      <c r="R1138" s="2261"/>
      <c r="S1138" s="2261"/>
      <c r="T1138" s="313"/>
      <c r="W1138" s="313"/>
    </row>
    <row r="1139" spans="1:29" ht="63.75">
      <c r="A1139" s="3088" t="s">
        <v>316</v>
      </c>
      <c r="B1139" s="3088" t="s">
        <v>318</v>
      </c>
      <c r="C1139" s="3089" t="s">
        <v>320</v>
      </c>
      <c r="D1139" s="3089" t="s">
        <v>1302</v>
      </c>
      <c r="E1139" s="3089" t="s">
        <v>2047</v>
      </c>
      <c r="F1139" s="3089" t="s">
        <v>2048</v>
      </c>
      <c r="G1139" s="3089" t="s">
        <v>319</v>
      </c>
      <c r="H1139" s="3090" t="s">
        <v>321</v>
      </c>
      <c r="I1139" s="136"/>
      <c r="J1139" s="136"/>
      <c r="K1139" s="1582"/>
      <c r="L1139" s="2276" t="str">
        <f t="shared" ref="L1139:S1139" si="302">A1139</f>
        <v>Machine</v>
      </c>
      <c r="M1139" s="2276" t="str">
        <f t="shared" si="302"/>
        <v>VND/hr (Viet labor)</v>
      </c>
      <c r="N1139" s="2277" t="str">
        <f t="shared" si="302"/>
        <v>Man
(VN labor)</v>
      </c>
      <c r="O1139" s="2277" t="str">
        <f t="shared" si="302"/>
        <v>Color</v>
      </c>
      <c r="P1139" s="2277" t="str">
        <f t="shared" si="302"/>
        <v>Non - Metalize Set up time
(minutes/frame)</v>
      </c>
      <c r="Q1139" s="2277" t="str">
        <f t="shared" si="302"/>
        <v>Metalize Set up time
(minutes/frame)</v>
      </c>
      <c r="R1139" s="2277" t="str">
        <f t="shared" si="302"/>
        <v>VND/hr 
(Thai labor)</v>
      </c>
      <c r="S1139" s="3089" t="str">
        <f t="shared" si="302"/>
        <v>Man
(Thai labor)</v>
      </c>
      <c r="T1139" s="3565"/>
      <c r="U1139" s="3565"/>
      <c r="V1139" s="3565"/>
      <c r="W1139" s="3579"/>
      <c r="X1139" s="3565"/>
      <c r="Y1139" s="3565"/>
      <c r="Z1139" s="3565"/>
      <c r="AA1139" s="3565">
        <v>0</v>
      </c>
      <c r="AB1139" s="3565"/>
      <c r="AC1139" s="3565"/>
    </row>
    <row r="1140" spans="1:29" ht="12.75">
      <c r="A1140" s="2278" t="str">
        <f>B1113</f>
        <v>Komori_240</v>
      </c>
      <c r="B1140" s="2279">
        <f>C1184</f>
        <v>83000.376301260956</v>
      </c>
      <c r="C1140" s="2279">
        <v>3</v>
      </c>
      <c r="D1140" s="2279">
        <v>2</v>
      </c>
      <c r="E1140" s="2869">
        <v>60</v>
      </c>
      <c r="F1140" s="2869">
        <v>90</v>
      </c>
      <c r="G1140" s="2279"/>
      <c r="H1140" s="3091">
        <v>0</v>
      </c>
      <c r="I1140" s="136"/>
      <c r="J1140" s="136"/>
      <c r="K1140" s="1582"/>
      <c r="L1140" s="2278" t="str">
        <f t="shared" ref="L1140:L1146" si="303">A1140</f>
        <v>Komori_240</v>
      </c>
      <c r="M1140" s="2279">
        <f t="shared" ref="M1140:M1146" si="304">B1140</f>
        <v>83000.376301260956</v>
      </c>
      <c r="N1140" s="2279">
        <f t="shared" ref="N1140:N1146" si="305">C1140</f>
        <v>3</v>
      </c>
      <c r="O1140" s="2279">
        <f t="shared" ref="O1140:O1146" si="306">D1140</f>
        <v>2</v>
      </c>
      <c r="P1140" s="2279">
        <f t="shared" ref="P1140:P1146" si="307">E1140</f>
        <v>60</v>
      </c>
      <c r="Q1140" s="2279">
        <f>F1140</f>
        <v>90</v>
      </c>
      <c r="R1140" s="2279"/>
      <c r="S1140" s="3577">
        <f t="shared" ref="S1140:S1146" si="308">H1140</f>
        <v>0</v>
      </c>
      <c r="T1140" s="3565" t="s">
        <v>1519</v>
      </c>
      <c r="U1140" s="3580" t="s">
        <v>230</v>
      </c>
      <c r="V1140" s="3565" t="s">
        <v>1521</v>
      </c>
      <c r="W1140" s="3565">
        <v>2</v>
      </c>
      <c r="X1140" s="3565">
        <v>2</v>
      </c>
      <c r="Y1140" s="3565" t="str">
        <f>V1141</f>
        <v>Komori_L240</v>
      </c>
      <c r="Z1140" s="3565" t="str">
        <f>T1140</f>
        <v>None_Metalize</v>
      </c>
      <c r="AA1140" s="3565">
        <v>120</v>
      </c>
      <c r="AB1140" s="3565" t="s">
        <v>1139</v>
      </c>
      <c r="AC1140" s="3565" t="e">
        <f>LOOKUP(VALUE(LAY_SO(input!F412)),Data!AA1139:AA1143,Data!AB1139:AB1143)</f>
        <v>#VALUE!</v>
      </c>
    </row>
    <row r="1141" spans="1:29" ht="12.75">
      <c r="A1141" s="2278" t="str">
        <f>B1114</f>
        <v>Komori_L240</v>
      </c>
      <c r="B1141" s="2279">
        <f>B1140</f>
        <v>83000.376301260956</v>
      </c>
      <c r="C1141" s="2279">
        <v>3</v>
      </c>
      <c r="D1141" s="2279">
        <v>2</v>
      </c>
      <c r="E1141" s="2869">
        <v>60</v>
      </c>
      <c r="F1141" s="2279"/>
      <c r="G1141" s="2279"/>
      <c r="H1141" s="3091">
        <v>0</v>
      </c>
      <c r="I1141" s="136"/>
      <c r="J1141" s="136"/>
      <c r="K1141" s="1582"/>
      <c r="L1141" s="2278" t="str">
        <f t="shared" si="303"/>
        <v>Komori_L240</v>
      </c>
      <c r="M1141" s="2279">
        <f t="shared" si="304"/>
        <v>83000.376301260956</v>
      </c>
      <c r="N1141" s="2279">
        <f t="shared" si="305"/>
        <v>3</v>
      </c>
      <c r="O1141" s="2279">
        <f t="shared" si="306"/>
        <v>2</v>
      </c>
      <c r="P1141" s="2279">
        <f t="shared" si="307"/>
        <v>60</v>
      </c>
      <c r="Q1141" s="2279"/>
      <c r="R1141" s="2279"/>
      <c r="S1141" s="3577">
        <f t="shared" si="308"/>
        <v>0</v>
      </c>
      <c r="T1141" s="3565" t="s">
        <v>1519</v>
      </c>
      <c r="U1141" s="3580" t="s">
        <v>1520</v>
      </c>
      <c r="V1141" s="3565" t="s">
        <v>1522</v>
      </c>
      <c r="W1141" s="3565">
        <v>2</v>
      </c>
      <c r="X1141" s="3565">
        <v>3</v>
      </c>
      <c r="Y1141" s="3565" t="str">
        <f>V1142</f>
        <v>Komori_LS640</v>
      </c>
      <c r="Z1141" s="3565" t="str">
        <f t="shared" ref="Z1141:Z1144" si="309">T1141</f>
        <v>None_Metalize</v>
      </c>
      <c r="AA1141" s="3565">
        <v>220</v>
      </c>
      <c r="AB1141" s="3565" t="s">
        <v>1140</v>
      </c>
      <c r="AC1141" s="3565"/>
    </row>
    <row r="1142" spans="1:29" ht="12.75">
      <c r="A1142" s="2278" t="str">
        <f>B1117</f>
        <v>Komori_LS640</v>
      </c>
      <c r="B1142" s="2279">
        <f>C1185</f>
        <v>83000.376301260956</v>
      </c>
      <c r="C1142" s="2279">
        <v>5</v>
      </c>
      <c r="D1142" s="2279">
        <v>6</v>
      </c>
      <c r="E1142" s="2869">
        <v>85</v>
      </c>
      <c r="F1142" s="2279"/>
      <c r="G1142" s="2279">
        <f>G1144</f>
        <v>352574.32240985788</v>
      </c>
      <c r="H1142" s="3091">
        <f>1/2</f>
        <v>0.5</v>
      </c>
      <c r="I1142" s="136"/>
      <c r="J1142" s="136"/>
      <c r="K1142" s="1582"/>
      <c r="L1142" s="2278" t="str">
        <f t="shared" si="303"/>
        <v>Komori_LS640</v>
      </c>
      <c r="M1142" s="2279">
        <f t="shared" si="304"/>
        <v>83000.376301260956</v>
      </c>
      <c r="N1142" s="2279">
        <f t="shared" si="305"/>
        <v>5</v>
      </c>
      <c r="O1142" s="2279">
        <f t="shared" si="306"/>
        <v>6</v>
      </c>
      <c r="P1142" s="2279">
        <f t="shared" si="307"/>
        <v>85</v>
      </c>
      <c r="Q1142" s="2279"/>
      <c r="R1142" s="2279">
        <f>G1142</f>
        <v>352574.32240985788</v>
      </c>
      <c r="S1142" s="3577">
        <f t="shared" si="308"/>
        <v>0.5</v>
      </c>
      <c r="T1142" s="3565" t="s">
        <v>1519</v>
      </c>
      <c r="U1142" s="3580"/>
      <c r="V1142" s="3565" t="s">
        <v>1524</v>
      </c>
      <c r="W1142" s="3565">
        <v>6</v>
      </c>
      <c r="X1142" s="3565">
        <v>4</v>
      </c>
      <c r="Y1142" s="3565" t="str">
        <f>V1142</f>
        <v>Komori_LS640</v>
      </c>
      <c r="Z1142" s="3565" t="str">
        <f t="shared" si="309"/>
        <v>None_Metalize</v>
      </c>
      <c r="AA1142" s="3565">
        <v>400</v>
      </c>
      <c r="AB1142" s="3565" t="s">
        <v>1141</v>
      </c>
      <c r="AC1142" s="3565"/>
    </row>
    <row r="1143" spans="1:29" ht="12.75">
      <c r="A1143" s="2278" t="str">
        <f>B1118</f>
        <v>Komori_LS740</v>
      </c>
      <c r="B1143" s="2279">
        <f>C1186</f>
        <v>83000.376301260956</v>
      </c>
      <c r="C1143" s="2279">
        <v>4</v>
      </c>
      <c r="D1143" s="2279">
        <v>7</v>
      </c>
      <c r="E1143" s="2869">
        <v>85</v>
      </c>
      <c r="F1143" s="2279"/>
      <c r="G1143" s="2279">
        <f>G1142</f>
        <v>352574.32240985788</v>
      </c>
      <c r="H1143" s="3091">
        <f>1/2</f>
        <v>0.5</v>
      </c>
      <c r="I1143" s="136"/>
      <c r="J1143" s="136"/>
      <c r="K1143" s="1582"/>
      <c r="L1143" s="2278" t="str">
        <f t="shared" si="303"/>
        <v>Komori_LS740</v>
      </c>
      <c r="M1143" s="2279">
        <f t="shared" si="304"/>
        <v>83000.376301260956</v>
      </c>
      <c r="N1143" s="2279">
        <f t="shared" si="305"/>
        <v>4</v>
      </c>
      <c r="O1143" s="2279">
        <f t="shared" si="306"/>
        <v>7</v>
      </c>
      <c r="P1143" s="2279">
        <f t="shared" si="307"/>
        <v>85</v>
      </c>
      <c r="Q1143" s="2279"/>
      <c r="R1143" s="2279">
        <f>G1143</f>
        <v>352574.32240985788</v>
      </c>
      <c r="S1143" s="3577">
        <f t="shared" si="308"/>
        <v>0.5</v>
      </c>
      <c r="T1143" s="3565" t="s">
        <v>1519</v>
      </c>
      <c r="U1143" s="3580"/>
      <c r="V1143" s="3565" t="s">
        <v>1525</v>
      </c>
      <c r="W1143" s="3565">
        <v>7</v>
      </c>
      <c r="X1143" s="3565">
        <v>5</v>
      </c>
      <c r="Y1143" s="3565" t="str">
        <f>V1142</f>
        <v>Komori_LS640</v>
      </c>
      <c r="Z1143" s="3565" t="str">
        <f t="shared" si="309"/>
        <v>None_Metalize</v>
      </c>
      <c r="AA1143" s="3565">
        <v>500</v>
      </c>
      <c r="AB1143" s="3565"/>
      <c r="AC1143" s="3565"/>
    </row>
    <row r="1144" spans="1:29" ht="12.75">
      <c r="A1144" s="2278" t="str">
        <f>B1116</f>
        <v>Komori_LX640</v>
      </c>
      <c r="B1144" s="2279">
        <f>C1187</f>
        <v>83000.376301260956</v>
      </c>
      <c r="C1144" s="2279">
        <v>4</v>
      </c>
      <c r="D1144" s="2279">
        <v>6</v>
      </c>
      <c r="E1144" s="2869">
        <v>85</v>
      </c>
      <c r="F1144" s="2279"/>
      <c r="G1144" s="2279">
        <f>C1195</f>
        <v>352574.32240985788</v>
      </c>
      <c r="H1144" s="3091">
        <f>H1142</f>
        <v>0.5</v>
      </c>
      <c r="I1144" s="136"/>
      <c r="J1144" s="136"/>
      <c r="K1144" s="1582"/>
      <c r="L1144" s="2278" t="str">
        <f t="shared" si="303"/>
        <v>Komori_LX640</v>
      </c>
      <c r="M1144" s="2279">
        <f t="shared" si="304"/>
        <v>83000.376301260956</v>
      </c>
      <c r="N1144" s="2279">
        <f t="shared" si="305"/>
        <v>4</v>
      </c>
      <c r="O1144" s="2279">
        <f t="shared" si="306"/>
        <v>6</v>
      </c>
      <c r="P1144" s="2279">
        <f t="shared" si="307"/>
        <v>85</v>
      </c>
      <c r="Q1144" s="2279"/>
      <c r="R1144" s="2279">
        <f>G1144</f>
        <v>352574.32240985788</v>
      </c>
      <c r="S1144" s="3577">
        <f t="shared" si="308"/>
        <v>0.5</v>
      </c>
      <c r="T1144" s="3565" t="s">
        <v>1519</v>
      </c>
      <c r="U1144" s="3580"/>
      <c r="V1144" s="3565" t="s">
        <v>1523</v>
      </c>
      <c r="W1144" s="3565">
        <v>6</v>
      </c>
      <c r="X1144" s="3565">
        <v>6</v>
      </c>
      <c r="Y1144" s="3565" t="str">
        <f>V1142</f>
        <v>Komori_LS640</v>
      </c>
      <c r="Z1144" s="3565" t="str">
        <f t="shared" si="309"/>
        <v>None_Metalize</v>
      </c>
      <c r="AA1144" s="3565"/>
      <c r="AB1144" s="3565"/>
      <c r="AC1144" s="3565"/>
    </row>
    <row r="1145" spans="1:29" ht="12.75">
      <c r="A1145" s="2278" t="str">
        <f>B1135</f>
        <v>KBA</v>
      </c>
      <c r="B1145" s="2279">
        <f>C1188</f>
        <v>83000.376301260956</v>
      </c>
      <c r="C1145" s="2279">
        <v>5</v>
      </c>
      <c r="D1145" s="2279">
        <v>7</v>
      </c>
      <c r="E1145" s="2869">
        <v>85</v>
      </c>
      <c r="F1145" s="2869">
        <v>120</v>
      </c>
      <c r="G1145" s="2279">
        <f>C1194</f>
        <v>352574.32240985788</v>
      </c>
      <c r="H1145" s="3092">
        <v>1</v>
      </c>
      <c r="I1145" s="136"/>
      <c r="J1145" s="136"/>
      <c r="K1145" s="1582"/>
      <c r="L1145" s="2278" t="str">
        <f t="shared" si="303"/>
        <v>KBA</v>
      </c>
      <c r="M1145" s="2279">
        <f t="shared" si="304"/>
        <v>83000.376301260956</v>
      </c>
      <c r="N1145" s="2279">
        <f t="shared" si="305"/>
        <v>5</v>
      </c>
      <c r="O1145" s="2279">
        <f t="shared" si="306"/>
        <v>7</v>
      </c>
      <c r="P1145" s="2279">
        <f t="shared" si="307"/>
        <v>85</v>
      </c>
      <c r="Q1145" s="2279">
        <f>F1145</f>
        <v>120</v>
      </c>
      <c r="R1145" s="2279">
        <f>G1145</f>
        <v>352574.32240985788</v>
      </c>
      <c r="S1145" s="2279">
        <f t="shared" si="308"/>
        <v>1</v>
      </c>
      <c r="T1145" s="3565" t="s">
        <v>1519</v>
      </c>
      <c r="U1145" s="3580" t="s">
        <v>230</v>
      </c>
      <c r="V1145" s="3565" t="s">
        <v>645</v>
      </c>
      <c r="W1145" s="3565">
        <v>7</v>
      </c>
      <c r="X1145" s="3565">
        <v>7</v>
      </c>
      <c r="Y1145" s="3565" t="str">
        <f>V1145</f>
        <v>KBA</v>
      </c>
      <c r="Z1145" s="3565" t="str">
        <f>T1145</f>
        <v>None_Metalize</v>
      </c>
      <c r="AA1145" s="3565"/>
      <c r="AB1145" s="3565"/>
      <c r="AC1145" s="3565"/>
    </row>
    <row r="1146" spans="1:29" ht="13.5" thickBot="1">
      <c r="A1146" s="2280"/>
      <c r="B1146" s="2281"/>
      <c r="C1146" s="2281"/>
      <c r="D1146" s="2281"/>
      <c r="E1146" s="2281"/>
      <c r="F1146" s="2281"/>
      <c r="G1146" s="2281"/>
      <c r="H1146" s="2282"/>
      <c r="I1146" s="136"/>
      <c r="J1146" s="136"/>
      <c r="K1146" s="1582"/>
      <c r="L1146" s="2280">
        <f t="shared" si="303"/>
        <v>0</v>
      </c>
      <c r="M1146" s="2281">
        <f t="shared" si="304"/>
        <v>0</v>
      </c>
      <c r="N1146" s="2281">
        <f t="shared" si="305"/>
        <v>0</v>
      </c>
      <c r="O1146" s="2281">
        <f t="shared" si="306"/>
        <v>0</v>
      </c>
      <c r="P1146" s="2281">
        <f t="shared" si="307"/>
        <v>0</v>
      </c>
      <c r="Q1146" s="2281"/>
      <c r="R1146" s="2281">
        <f>G1146</f>
        <v>0</v>
      </c>
      <c r="S1146" s="3578">
        <f t="shared" si="308"/>
        <v>0</v>
      </c>
      <c r="T1146" s="3565" t="s">
        <v>1519</v>
      </c>
      <c r="U1146" s="3565"/>
      <c r="V1146" s="3565"/>
      <c r="W1146" s="3580"/>
      <c r="X1146" s="3565"/>
      <c r="Y1146" s="3565"/>
      <c r="Z1146" s="3565"/>
      <c r="AA1146" s="3565"/>
      <c r="AB1146" s="3565"/>
      <c r="AC1146" s="3565"/>
    </row>
    <row r="1147" spans="1:29" ht="12.75">
      <c r="A1147" s="2261"/>
      <c r="B1147" s="2261"/>
      <c r="C1147" s="2261"/>
      <c r="D1147" s="2261"/>
      <c r="E1147" s="2261"/>
      <c r="F1147" s="2261"/>
      <c r="G1147" s="2261"/>
      <c r="H1147" s="2261"/>
      <c r="I1147" s="136"/>
      <c r="J1147" s="136"/>
      <c r="K1147" s="1582"/>
      <c r="L1147" s="2261"/>
      <c r="M1147" s="2261"/>
      <c r="N1147" s="2261"/>
      <c r="O1147" s="2261"/>
      <c r="P1147" s="2261"/>
      <c r="Q1147" s="2261"/>
      <c r="R1147" s="2261"/>
      <c r="S1147" s="2261"/>
      <c r="T1147" s="313"/>
      <c r="W1147" s="313"/>
    </row>
    <row r="1148" spans="1:29" ht="13.5" thickBot="1">
      <c r="A1148" s="2261"/>
      <c r="B1148" s="2261"/>
      <c r="C1148" s="2261"/>
      <c r="D1148" s="2261"/>
      <c r="E1148" s="2261"/>
      <c r="F1148" s="2261"/>
      <c r="G1148" s="2261"/>
      <c r="H1148" s="2261"/>
      <c r="I1148" s="136"/>
      <c r="J1148" s="136"/>
      <c r="K1148" s="1582"/>
      <c r="L1148" s="2261"/>
      <c r="M1148" s="2261"/>
      <c r="N1148" s="2261"/>
      <c r="O1148" s="2261"/>
      <c r="P1148" s="2261"/>
      <c r="Q1148" s="2261"/>
      <c r="R1148" s="2261"/>
      <c r="S1148" s="2261"/>
      <c r="T1148" s="313"/>
      <c r="W1148" s="313"/>
    </row>
    <row r="1149" spans="1:29" ht="12.75">
      <c r="A1149" s="3201"/>
      <c r="B1149" s="3201"/>
      <c r="C1149" s="3202" t="s">
        <v>3482</v>
      </c>
      <c r="D1149" s="3411" t="s">
        <v>3009</v>
      </c>
      <c r="E1149" s="3201"/>
      <c r="F1149" s="3201"/>
      <c r="G1149" s="3201"/>
      <c r="H1149" s="3203"/>
      <c r="I1149" s="136"/>
      <c r="J1149" s="136"/>
      <c r="K1149" s="1582"/>
      <c r="L1149" s="2283"/>
      <c r="M1149" s="2283"/>
      <c r="N1149" s="2284" t="str">
        <f>C1149</f>
        <v>Updated 15.MAY.2023</v>
      </c>
      <c r="O1149" s="2283"/>
      <c r="P1149" s="2283"/>
      <c r="Q1149" s="2283"/>
      <c r="R1149" s="2283"/>
      <c r="S1149" s="2285"/>
      <c r="T1149" s="400"/>
    </row>
    <row r="1150" spans="1:29" ht="12.75">
      <c r="A1150" s="2279"/>
      <c r="B1150" s="2279"/>
      <c r="C1150" s="3204" t="s">
        <v>196</v>
      </c>
      <c r="D1150" s="2279"/>
      <c r="E1150" s="2279"/>
      <c r="F1150" s="2279"/>
      <c r="G1150" s="2279"/>
      <c r="H1150" s="2279"/>
      <c r="I1150" s="136"/>
      <c r="J1150" s="136"/>
      <c r="K1150" s="1582"/>
      <c r="L1150" s="2286"/>
      <c r="M1150" s="2286"/>
      <c r="N1150" s="2287" t="s">
        <v>196</v>
      </c>
      <c r="O1150" s="2286"/>
      <c r="P1150" s="2286"/>
      <c r="Q1150" s="2286"/>
      <c r="R1150" s="2286"/>
      <c r="S1150" s="2286"/>
      <c r="T1150" s="401"/>
    </row>
    <row r="1151" spans="1:29" ht="12.75">
      <c r="A1151" s="2288"/>
      <c r="B1151" s="2905"/>
      <c r="C1151" s="3093">
        <v>5.5E-2</v>
      </c>
      <c r="D1151" s="2289"/>
      <c r="E1151" s="2289"/>
      <c r="F1151" s="2289"/>
      <c r="G1151" s="2289"/>
      <c r="H1151" s="2279"/>
      <c r="I1151" s="136"/>
      <c r="J1151" s="136"/>
      <c r="K1151" s="1582"/>
      <c r="L1151" s="2288"/>
      <c r="M1151" s="2289"/>
      <c r="N1151" s="2298"/>
      <c r="O1151" s="2289"/>
      <c r="P1151" s="2289"/>
      <c r="Q1151" s="2289"/>
      <c r="R1151" s="2289"/>
      <c r="S1151" s="2286"/>
      <c r="T1151" s="401"/>
    </row>
    <row r="1152" spans="1:29" ht="12.75">
      <c r="A1152" s="2288"/>
      <c r="B1152" s="2279"/>
      <c r="C1152" s="2290"/>
      <c r="D1152" s="2279"/>
      <c r="E1152" s="2279"/>
      <c r="F1152" s="2291" t="s">
        <v>1530</v>
      </c>
      <c r="G1152" s="2292"/>
      <c r="H1152" s="2279"/>
      <c r="I1152" s="136"/>
      <c r="J1152" s="136"/>
      <c r="K1152" s="1582"/>
      <c r="L1152" s="2288"/>
      <c r="M1152" s="2279"/>
      <c r="N1152" s="2290"/>
      <c r="O1152" s="2279"/>
      <c r="P1152" s="2279"/>
      <c r="Q1152" s="2291" t="s">
        <v>1530</v>
      </c>
      <c r="R1152" s="2292"/>
      <c r="S1152" s="2279"/>
      <c r="T1152" s="1056"/>
    </row>
    <row r="1153" spans="1:20" ht="12.75">
      <c r="A1153" s="2278" t="s">
        <v>136</v>
      </c>
      <c r="B1153" s="2278"/>
      <c r="C1153" s="3094">
        <f>61224.0106920067*(1+$C$1151)</f>
        <v>64591.331280067061</v>
      </c>
      <c r="D1153" s="3094">
        <v>67154.97</v>
      </c>
      <c r="E1153" s="2967"/>
      <c r="F1153" s="2295"/>
      <c r="G1153" s="2279"/>
      <c r="H1153" s="2968">
        <f>C1153/D1153-1</f>
        <v>-3.8174966349220907E-2</v>
      </c>
      <c r="I1153" s="136"/>
      <c r="J1153" s="136"/>
      <c r="K1153" s="1582"/>
      <c r="L1153" s="2278" t="str">
        <f>A1153</f>
        <v>Binding</v>
      </c>
      <c r="M1153" s="2278"/>
      <c r="N1153" s="2293">
        <f>C1153</f>
        <v>64591.331280067061</v>
      </c>
      <c r="O1153" s="2288">
        <v>44940</v>
      </c>
      <c r="P1153" s="2294">
        <f>N1153/O1153-1</f>
        <v>0.4372792897211184</v>
      </c>
      <c r="Q1153" s="2295">
        <f>F1153</f>
        <v>0</v>
      </c>
      <c r="R1153" s="2279"/>
      <c r="S1153" s="2279"/>
      <c r="T1153" s="1056"/>
    </row>
    <row r="1154" spans="1:20" ht="12.75">
      <c r="A1154" s="2278" t="s">
        <v>185</v>
      </c>
      <c r="B1154" s="2278"/>
      <c r="C1154" s="3094">
        <f>61224.0106920067*(1+$C$1151)</f>
        <v>64591.331280067061</v>
      </c>
      <c r="D1154" s="3094">
        <v>67154.97</v>
      </c>
      <c r="E1154" s="2967"/>
      <c r="F1154" s="2295"/>
      <c r="G1154" s="2279"/>
      <c r="H1154" s="2968">
        <f t="shared" ref="H1154:H1195" si="310">C1154/D1154-1</f>
        <v>-3.8174966349220907E-2</v>
      </c>
      <c r="I1154" s="136"/>
      <c r="J1154" s="136"/>
      <c r="K1154" s="1582"/>
      <c r="L1154" s="2278" t="str">
        <f t="shared" ref="L1154:L1195" si="311">A1154</f>
        <v>Cutting</v>
      </c>
      <c r="M1154" s="2278"/>
      <c r="N1154" s="2293">
        <f t="shared" ref="N1154:N1197" si="312">C1154</f>
        <v>64591.331280067061</v>
      </c>
      <c r="O1154" s="2288">
        <v>48725</v>
      </c>
      <c r="P1154" s="2294">
        <f t="shared" ref="P1154:P1189" si="313">N1154/O1154-1</f>
        <v>0.32563019558885697</v>
      </c>
      <c r="Q1154" s="2295">
        <f t="shared" ref="Q1154:Q1197" si="314">F1154</f>
        <v>0</v>
      </c>
      <c r="R1154" s="2279"/>
      <c r="S1154" s="2279"/>
      <c r="T1154" s="1056"/>
    </row>
    <row r="1155" spans="1:20" ht="12.75">
      <c r="A1155" s="2278" t="s">
        <v>179</v>
      </c>
      <c r="B1155" s="2278"/>
      <c r="C1155" s="3094">
        <f>49839.035488117*(1+$C$1151)</f>
        <v>52580.182439963428</v>
      </c>
      <c r="D1155" s="3094">
        <v>61001.154999999999</v>
      </c>
      <c r="E1155" s="2967"/>
      <c r="F1155" s="2295"/>
      <c r="G1155" s="2279"/>
      <c r="H1155" s="2968">
        <f t="shared" si="310"/>
        <v>-0.13804611666839051</v>
      </c>
      <c r="I1155" s="136"/>
      <c r="J1155" s="136"/>
      <c r="K1155" s="1582"/>
      <c r="L1155" s="2278" t="str">
        <f t="shared" si="311"/>
        <v>Job</v>
      </c>
      <c r="M1155" s="2278"/>
      <c r="N1155" s="2293">
        <f t="shared" si="312"/>
        <v>52580.182439963428</v>
      </c>
      <c r="O1155" s="2288">
        <v>40945</v>
      </c>
      <c r="P1155" s="2294">
        <f t="shared" si="313"/>
        <v>0.28416613603525276</v>
      </c>
      <c r="Q1155" s="2295">
        <f t="shared" si="314"/>
        <v>0</v>
      </c>
      <c r="R1155" s="2279"/>
      <c r="S1155" s="2279"/>
      <c r="T1155" s="1056"/>
    </row>
    <row r="1156" spans="1:20" ht="12.75">
      <c r="A1156" s="2278"/>
      <c r="B1156" s="2278"/>
      <c r="C1156" s="3094"/>
      <c r="D1156" s="3094"/>
      <c r="E1156" s="2278"/>
      <c r="F1156" s="2295"/>
      <c r="G1156" s="2279"/>
      <c r="H1156" s="2279"/>
      <c r="I1156" s="136"/>
      <c r="J1156" s="136"/>
      <c r="K1156" s="1582"/>
      <c r="L1156" s="2278">
        <f t="shared" si="311"/>
        <v>0</v>
      </c>
      <c r="M1156" s="2278"/>
      <c r="N1156" s="2293">
        <f t="shared" si="312"/>
        <v>0</v>
      </c>
      <c r="O1156" s="2288"/>
      <c r="P1156" s="2278"/>
      <c r="Q1156" s="2295">
        <f t="shared" si="314"/>
        <v>0</v>
      </c>
      <c r="R1156" s="2279"/>
      <c r="S1156" s="2279"/>
      <c r="T1156" s="1056"/>
    </row>
    <row r="1157" spans="1:20" ht="12.75">
      <c r="A1157" s="2278" t="s">
        <v>185</v>
      </c>
      <c r="B1157" s="2278"/>
      <c r="C1157" s="3094">
        <f>54554.184508633*(1+$C$1151)</f>
        <v>57554.664656607813</v>
      </c>
      <c r="D1157" s="3094">
        <v>56403.464999999997</v>
      </c>
      <c r="E1157" s="2967"/>
      <c r="F1157" s="2295"/>
      <c r="G1157" s="2279"/>
      <c r="H1157" s="2968">
        <f t="shared" si="310"/>
        <v>2.0410087511606223E-2</v>
      </c>
      <c r="I1157" s="136"/>
      <c r="J1157" s="136"/>
      <c r="K1157" s="1582"/>
      <c r="L1157" s="2278" t="str">
        <f t="shared" si="311"/>
        <v>Cutting</v>
      </c>
      <c r="M1157" s="2278"/>
      <c r="N1157" s="2293">
        <f t="shared" si="312"/>
        <v>57554.664656607813</v>
      </c>
      <c r="O1157" s="2288">
        <v>44130</v>
      </c>
      <c r="P1157" s="2294">
        <f t="shared" si="313"/>
        <v>0.30420722086126917</v>
      </c>
      <c r="Q1157" s="2295">
        <f t="shared" si="314"/>
        <v>0</v>
      </c>
      <c r="R1157" s="2279"/>
      <c r="S1157" s="2279"/>
      <c r="T1157" s="1056"/>
    </row>
    <row r="1158" spans="1:20" ht="12.75">
      <c r="A1158" s="2278" t="s">
        <v>192</v>
      </c>
      <c r="B1158" s="2278"/>
      <c r="C1158" s="3094">
        <f>61225.8207150079*(1+$C$1151)</f>
        <v>64593.240854333337</v>
      </c>
      <c r="D1158" s="3094">
        <v>68618.25499999999</v>
      </c>
      <c r="E1158" s="2967"/>
      <c r="F1158" s="2774">
        <f>90/60</f>
        <v>1.5</v>
      </c>
      <c r="G1158" s="2279"/>
      <c r="H1158" s="2968">
        <f t="shared" si="310"/>
        <v>-5.865806621964742E-2</v>
      </c>
      <c r="I1158" s="136"/>
      <c r="J1158" s="136"/>
      <c r="K1158" s="1582"/>
      <c r="L1158" s="2278" t="str">
        <f t="shared" si="311"/>
        <v>Die-cutting (Semi-auto)</v>
      </c>
      <c r="M1158" s="2278"/>
      <c r="N1158" s="2293">
        <f t="shared" si="312"/>
        <v>64593.240854333337</v>
      </c>
      <c r="O1158" s="2288">
        <v>45985</v>
      </c>
      <c r="P1158" s="2294">
        <f t="shared" si="313"/>
        <v>0.4046589290928202</v>
      </c>
      <c r="Q1158" s="2295">
        <f t="shared" si="314"/>
        <v>1.5</v>
      </c>
      <c r="R1158" s="2279"/>
      <c r="S1158" s="2279"/>
      <c r="T1158" s="1056"/>
    </row>
    <row r="1159" spans="1:20" ht="12.75">
      <c r="A1159" s="2278" t="s">
        <v>193</v>
      </c>
      <c r="B1159" s="2278"/>
      <c r="C1159" s="3094">
        <f t="shared" ref="C1159:C1169" si="315">61225.8207150079*(1+$C$1151)</f>
        <v>64593.240854333337</v>
      </c>
      <c r="D1159" s="3094">
        <v>68618.25499999999</v>
      </c>
      <c r="E1159" s="2967"/>
      <c r="F1159" s="2774">
        <f>40/60</f>
        <v>0.66666666666666663</v>
      </c>
      <c r="G1159" s="2279"/>
      <c r="H1159" s="2968">
        <f t="shared" si="310"/>
        <v>-5.865806621964742E-2</v>
      </c>
      <c r="I1159" s="136"/>
      <c r="J1159" s="136"/>
      <c r="K1159" s="1582"/>
      <c r="L1159" s="2278" t="str">
        <f t="shared" si="311"/>
        <v>Die-cutting (Nikko)</v>
      </c>
      <c r="M1159" s="2278"/>
      <c r="N1159" s="2293">
        <f t="shared" si="312"/>
        <v>64593.240854333337</v>
      </c>
      <c r="O1159" s="2288">
        <v>44300</v>
      </c>
      <c r="P1159" s="2294">
        <f t="shared" si="313"/>
        <v>0.45808670100075255</v>
      </c>
      <c r="Q1159" s="2295">
        <f t="shared" si="314"/>
        <v>0.66666666666666663</v>
      </c>
      <c r="R1159" s="2279"/>
      <c r="S1159" s="2279"/>
      <c r="T1159" s="1056"/>
    </row>
    <row r="1160" spans="1:20" ht="12.75">
      <c r="A1160" s="2278" t="s">
        <v>252</v>
      </c>
      <c r="B1160" s="2278"/>
      <c r="C1160" s="3094">
        <f t="shared" si="315"/>
        <v>64593.240854333337</v>
      </c>
      <c r="D1160" s="3094">
        <v>68618.25499999999</v>
      </c>
      <c r="E1160" s="2967"/>
      <c r="F1160" s="2774">
        <f>40/60</f>
        <v>0.66666666666666663</v>
      </c>
      <c r="G1160" s="2279"/>
      <c r="H1160" s="2968">
        <f t="shared" si="310"/>
        <v>-5.865806621964742E-2</v>
      </c>
      <c r="I1160" s="136"/>
      <c r="J1160" s="136"/>
      <c r="K1160" s="1582"/>
      <c r="L1160" s="2278" t="str">
        <f t="shared" si="311"/>
        <v>Die-cutting (Shungfa)</v>
      </c>
      <c r="M1160" s="2278"/>
      <c r="N1160" s="2293">
        <f t="shared" si="312"/>
        <v>64593.240854333337</v>
      </c>
      <c r="O1160" s="2288">
        <v>48265</v>
      </c>
      <c r="P1160" s="2294">
        <f t="shared" si="313"/>
        <v>0.33830396466038204</v>
      </c>
      <c r="Q1160" s="2295">
        <f t="shared" si="314"/>
        <v>0.66666666666666663</v>
      </c>
      <c r="R1160" s="2279"/>
      <c r="S1160" s="2279"/>
      <c r="T1160" s="1056"/>
    </row>
    <row r="1161" spans="1:20" ht="12.75">
      <c r="A1161" s="2278" t="s">
        <v>362</v>
      </c>
      <c r="B1161" s="2278"/>
      <c r="C1161" s="3094">
        <f t="shared" si="315"/>
        <v>64593.240854333337</v>
      </c>
      <c r="D1161" s="3094">
        <v>68618.25499999999</v>
      </c>
      <c r="E1161" s="2967"/>
      <c r="F1161" s="2774">
        <f>40/60</f>
        <v>0.66666666666666663</v>
      </c>
      <c r="G1161" s="2279"/>
      <c r="H1161" s="2968">
        <f t="shared" si="310"/>
        <v>-5.865806621964742E-2</v>
      </c>
      <c r="I1161" s="136"/>
      <c r="J1161" s="136"/>
      <c r="K1161" s="1582"/>
      <c r="L1161" s="2278" t="str">
        <f t="shared" si="311"/>
        <v>Die-cutting (Bobst)</v>
      </c>
      <c r="M1161" s="2278"/>
      <c r="N1161" s="2293">
        <f t="shared" si="312"/>
        <v>64593.240854333337</v>
      </c>
      <c r="O1161" s="2288">
        <v>41335</v>
      </c>
      <c r="P1161" s="2294">
        <f t="shared" si="313"/>
        <v>0.56267668693197859</v>
      </c>
      <c r="Q1161" s="2295">
        <f t="shared" si="314"/>
        <v>0.66666666666666663</v>
      </c>
      <c r="R1161" s="2279"/>
      <c r="S1161" s="2279"/>
      <c r="T1161" s="1056"/>
    </row>
    <row r="1162" spans="1:20" ht="12.75">
      <c r="A1162" s="2278" t="s">
        <v>559</v>
      </c>
      <c r="B1162" s="2278"/>
      <c r="C1162" s="3094">
        <f t="shared" si="315"/>
        <v>64593.240854333337</v>
      </c>
      <c r="D1162" s="3094">
        <v>68618.25499999999</v>
      </c>
      <c r="E1162" s="2967"/>
      <c r="F1162" s="2774">
        <f>40/60</f>
        <v>0.66666666666666663</v>
      </c>
      <c r="G1162" s="2279"/>
      <c r="H1162" s="2968">
        <f t="shared" si="310"/>
        <v>-5.865806621964742E-2</v>
      </c>
      <c r="I1162" s="136"/>
      <c r="J1162" s="136"/>
      <c r="K1162" s="1582"/>
      <c r="L1162" s="2278" t="str">
        <f t="shared" si="311"/>
        <v>Die-cutting (NIKKO 1050FH)</v>
      </c>
      <c r="M1162" s="2278"/>
      <c r="N1162" s="2293">
        <f t="shared" si="312"/>
        <v>64593.240854333337</v>
      </c>
      <c r="O1162" s="2288">
        <v>52175</v>
      </c>
      <c r="P1162" s="2294">
        <f t="shared" si="313"/>
        <v>0.23801132447212914</v>
      </c>
      <c r="Q1162" s="2295">
        <f t="shared" si="314"/>
        <v>0.66666666666666663</v>
      </c>
      <c r="R1162" s="2279"/>
      <c r="S1162" s="2279"/>
      <c r="T1162" s="1056"/>
    </row>
    <row r="1163" spans="1:20" ht="12.75">
      <c r="A1163" s="2278" t="s">
        <v>1476</v>
      </c>
      <c r="B1163" s="2278"/>
      <c r="C1163" s="3094">
        <f t="shared" si="315"/>
        <v>64593.240854333337</v>
      </c>
      <c r="D1163" s="3094">
        <v>68618.25499999999</v>
      </c>
      <c r="E1163" s="2967"/>
      <c r="F1163" s="2774">
        <f>150/60</f>
        <v>2.5</v>
      </c>
      <c r="G1163" s="2279"/>
      <c r="H1163" s="2968">
        <f t="shared" si="310"/>
        <v>-5.865806621964742E-2</v>
      </c>
      <c r="I1163" s="136"/>
      <c r="J1163" s="136"/>
      <c r="K1163" s="1582"/>
      <c r="L1163" s="2278" t="str">
        <f t="shared" si="311"/>
        <v>Hotstamp (NIKKO 1050FH)</v>
      </c>
      <c r="M1163" s="2278"/>
      <c r="N1163" s="2293">
        <f t="shared" si="312"/>
        <v>64593.240854333337</v>
      </c>
      <c r="O1163" s="2288">
        <v>52175</v>
      </c>
      <c r="P1163" s="2294">
        <f t="shared" si="313"/>
        <v>0.23801132447212914</v>
      </c>
      <c r="Q1163" s="2295">
        <f t="shared" si="314"/>
        <v>2.5</v>
      </c>
      <c r="R1163" s="2279"/>
      <c r="S1163" s="2279"/>
      <c r="T1163" s="1056"/>
    </row>
    <row r="1164" spans="1:20" ht="12.75">
      <c r="A1164" s="2278" t="s">
        <v>1477</v>
      </c>
      <c r="B1164" s="2278"/>
      <c r="C1164" s="3094">
        <f t="shared" si="315"/>
        <v>64593.240854333337</v>
      </c>
      <c r="D1164" s="3094">
        <v>68618.25499999999</v>
      </c>
      <c r="E1164" s="2967"/>
      <c r="F1164" s="2774">
        <f>80/60</f>
        <v>1.3333333333333333</v>
      </c>
      <c r="G1164" s="2279"/>
      <c r="H1164" s="2968">
        <f t="shared" si="310"/>
        <v>-5.865806621964742E-2</v>
      </c>
      <c r="I1164" s="136"/>
      <c r="J1164" s="136"/>
      <c r="K1164" s="1582"/>
      <c r="L1164" s="2278" t="str">
        <f t="shared" si="311"/>
        <v>Emboss (NIKKO 1050FH)</v>
      </c>
      <c r="M1164" s="2278"/>
      <c r="N1164" s="2293">
        <f t="shared" si="312"/>
        <v>64593.240854333337</v>
      </c>
      <c r="O1164" s="2288">
        <v>52175</v>
      </c>
      <c r="P1164" s="2294">
        <f t="shared" si="313"/>
        <v>0.23801132447212914</v>
      </c>
      <c r="Q1164" s="2295">
        <f t="shared" si="314"/>
        <v>1.3333333333333333</v>
      </c>
      <c r="R1164" s="2279"/>
      <c r="S1164" s="2279"/>
      <c r="T1164" s="1056"/>
    </row>
    <row r="1165" spans="1:20" ht="12.75">
      <c r="A1165" s="2278" t="s">
        <v>1143</v>
      </c>
      <c r="B1165" s="2278"/>
      <c r="C1165" s="3094">
        <f t="shared" si="315"/>
        <v>64593.240854333337</v>
      </c>
      <c r="D1165" s="3094">
        <v>68618.25499999999</v>
      </c>
      <c r="E1165" s="2967"/>
      <c r="F1165" s="2774">
        <f>40/60</f>
        <v>0.66666666666666663</v>
      </c>
      <c r="G1165" s="2279"/>
      <c r="H1165" s="2968">
        <f t="shared" si="310"/>
        <v>-5.865806621964742E-2</v>
      </c>
      <c r="I1165" s="136"/>
      <c r="J1165" s="136"/>
      <c r="K1165" s="1582"/>
      <c r="L1165" s="2278" t="str">
        <f t="shared" si="311"/>
        <v>Roller Emboss</v>
      </c>
      <c r="M1165" s="2278"/>
      <c r="N1165" s="2293">
        <f t="shared" si="312"/>
        <v>64593.240854333337</v>
      </c>
      <c r="O1165" s="2288">
        <v>45985</v>
      </c>
      <c r="P1165" s="2294">
        <f t="shared" si="313"/>
        <v>0.4046589290928202</v>
      </c>
      <c r="Q1165" s="2295">
        <f t="shared" si="314"/>
        <v>0.66666666666666663</v>
      </c>
      <c r="R1165" s="2279"/>
      <c r="S1165" s="2279"/>
      <c r="T1165" s="1056"/>
    </row>
    <row r="1166" spans="1:20" ht="12.75">
      <c r="A1166" s="2278"/>
      <c r="B1166" s="2278"/>
      <c r="C1166" s="3094"/>
      <c r="D1166" s="3094"/>
      <c r="E1166" s="2967"/>
      <c r="F1166" s="2774"/>
      <c r="G1166" s="2279"/>
      <c r="H1166" s="2968"/>
      <c r="I1166" s="136"/>
      <c r="J1166" s="136"/>
      <c r="K1166" s="1582"/>
      <c r="L1166" s="2278">
        <f t="shared" si="311"/>
        <v>0</v>
      </c>
      <c r="M1166" s="2278"/>
      <c r="N1166" s="2293">
        <f t="shared" si="312"/>
        <v>0</v>
      </c>
      <c r="O1166" s="2288">
        <v>45985</v>
      </c>
      <c r="P1166" s="2294">
        <f t="shared" si="313"/>
        <v>-1</v>
      </c>
      <c r="Q1166" s="2295">
        <f t="shared" si="314"/>
        <v>0</v>
      </c>
      <c r="R1166" s="2279"/>
      <c r="S1166" s="2279"/>
      <c r="T1166" s="1056"/>
    </row>
    <row r="1167" spans="1:20" ht="12.75">
      <c r="A1167" s="2278" t="s">
        <v>158</v>
      </c>
      <c r="B1167" s="2278"/>
      <c r="C1167" s="3094">
        <f t="shared" si="315"/>
        <v>64593.240854333337</v>
      </c>
      <c r="D1167" s="3094">
        <v>68618.25499999999</v>
      </c>
      <c r="E1167" s="2967"/>
      <c r="F1167" s="2774">
        <f>150/60</f>
        <v>2.5</v>
      </c>
      <c r="G1167" s="2279"/>
      <c r="H1167" s="2968">
        <f t="shared" si="310"/>
        <v>-5.865806621964742E-2</v>
      </c>
      <c r="I1167" s="136"/>
      <c r="J1167" s="136"/>
      <c r="K1167" s="1582"/>
      <c r="L1167" s="2278" t="str">
        <f t="shared" si="311"/>
        <v>Hotstamping</v>
      </c>
      <c r="M1167" s="2278"/>
      <c r="N1167" s="2293">
        <f t="shared" si="312"/>
        <v>64593.240854333337</v>
      </c>
      <c r="O1167" s="2288">
        <v>52590</v>
      </c>
      <c r="P1167" s="2294">
        <f t="shared" si="313"/>
        <v>0.22824188732331874</v>
      </c>
      <c r="Q1167" s="2295">
        <f t="shared" si="314"/>
        <v>2.5</v>
      </c>
      <c r="R1167" s="2279"/>
      <c r="S1167" s="2279"/>
      <c r="T1167" s="1056"/>
    </row>
    <row r="1168" spans="1:20" ht="12.75">
      <c r="A1168" s="2278" t="s">
        <v>174</v>
      </c>
      <c r="B1168" s="2278"/>
      <c r="C1168" s="3094">
        <f t="shared" si="315"/>
        <v>64593.240854333337</v>
      </c>
      <c r="D1168" s="3094">
        <v>68618.25499999999</v>
      </c>
      <c r="E1168" s="2967"/>
      <c r="F1168" s="2774">
        <f>60/60</f>
        <v>1</v>
      </c>
      <c r="G1168" s="2279"/>
      <c r="H1168" s="2968">
        <f t="shared" si="310"/>
        <v>-5.865806621964742E-2</v>
      </c>
      <c r="I1168" s="136"/>
      <c r="J1168" s="136"/>
      <c r="K1168" s="1582"/>
      <c r="L1168" s="2278" t="str">
        <f t="shared" si="311"/>
        <v>E-Flute</v>
      </c>
      <c r="M1168" s="2278"/>
      <c r="N1168" s="2293">
        <f t="shared" si="312"/>
        <v>64593.240854333337</v>
      </c>
      <c r="O1168" s="2288">
        <v>42945</v>
      </c>
      <c r="P1168" s="2294">
        <f t="shared" si="313"/>
        <v>0.50409223086117905</v>
      </c>
      <c r="Q1168" s="2295">
        <f t="shared" si="314"/>
        <v>1</v>
      </c>
      <c r="R1168" s="2279"/>
      <c r="S1168" s="2279"/>
      <c r="T1168" s="1056"/>
    </row>
    <row r="1169" spans="1:20" ht="12.75">
      <c r="A1169" s="2278" t="s">
        <v>2341</v>
      </c>
      <c r="B1169" s="2278"/>
      <c r="C1169" s="3094">
        <f t="shared" si="315"/>
        <v>64593.240854333337</v>
      </c>
      <c r="D1169" s="3094">
        <v>68618.25499999999</v>
      </c>
      <c r="E1169" s="2967"/>
      <c r="F1169" s="2774">
        <f>120/60</f>
        <v>2</v>
      </c>
      <c r="G1169" s="2279"/>
      <c r="H1169" s="2968">
        <f t="shared" si="310"/>
        <v>-5.865806621964742E-2</v>
      </c>
      <c r="I1169" s="136"/>
      <c r="J1169" s="136"/>
      <c r="K1169" s="1582"/>
      <c r="L1169" s="2278" t="str">
        <f t="shared" si="311"/>
        <v>Laminated PE</v>
      </c>
      <c r="M1169" s="2278"/>
      <c r="N1169" s="2293">
        <f t="shared" si="312"/>
        <v>64593.240854333337</v>
      </c>
      <c r="O1169" s="2288"/>
      <c r="P1169" s="2294"/>
      <c r="Q1169" s="2295">
        <f t="shared" si="314"/>
        <v>2</v>
      </c>
      <c r="R1169" s="2279"/>
      <c r="S1169" s="2279"/>
      <c r="T1169" s="1056"/>
    </row>
    <row r="1170" spans="1:20" ht="12.75">
      <c r="A1170" s="2278" t="s">
        <v>159</v>
      </c>
      <c r="B1170" s="2278"/>
      <c r="C1170" s="3094">
        <f>56263.2238073181*(1+$C$1151)</f>
        <v>59357.701116720593</v>
      </c>
      <c r="D1170" s="3094">
        <v>64477.38</v>
      </c>
      <c r="E1170" s="2967"/>
      <c r="F1170" s="2775"/>
      <c r="G1170" s="2279"/>
      <c r="H1170" s="2968">
        <f t="shared" si="310"/>
        <v>-7.9402712754138016E-2</v>
      </c>
      <c r="I1170" s="136"/>
      <c r="J1170" s="136"/>
      <c r="K1170" s="1582"/>
      <c r="L1170" s="2278" t="str">
        <f t="shared" si="311"/>
        <v>Folding &amp; Glueing</v>
      </c>
      <c r="M1170" s="2278"/>
      <c r="N1170" s="2293">
        <f t="shared" si="312"/>
        <v>59357.701116720593</v>
      </c>
      <c r="O1170" s="2288">
        <v>41360</v>
      </c>
      <c r="P1170" s="2294">
        <f t="shared" si="313"/>
        <v>0.43514751249324446</v>
      </c>
      <c r="Q1170" s="2295">
        <f t="shared" si="314"/>
        <v>0</v>
      </c>
      <c r="R1170" s="2279"/>
      <c r="S1170" s="2279"/>
      <c r="T1170" s="1056"/>
    </row>
    <row r="1171" spans="1:20" ht="12.75">
      <c r="A1171" s="2278"/>
      <c r="B1171" s="2278"/>
      <c r="C1171" s="3094"/>
      <c r="D1171" s="3094"/>
      <c r="E1171" s="2278"/>
      <c r="F1171" s="2295"/>
      <c r="G1171" s="2279"/>
      <c r="H1171" s="2968"/>
      <c r="I1171" s="136"/>
      <c r="J1171" s="136"/>
      <c r="K1171" s="1582"/>
      <c r="L1171" s="2278">
        <f t="shared" si="311"/>
        <v>0</v>
      </c>
      <c r="M1171" s="2278"/>
      <c r="N1171" s="2293">
        <f t="shared" si="312"/>
        <v>0</v>
      </c>
      <c r="O1171" s="2288"/>
      <c r="P1171" s="2278"/>
      <c r="Q1171" s="2295">
        <f t="shared" si="314"/>
        <v>0</v>
      </c>
      <c r="R1171" s="2279"/>
      <c r="S1171" s="2279"/>
      <c r="T1171" s="1056"/>
    </row>
    <row r="1172" spans="1:20" ht="12.75">
      <c r="A1172" s="2278" t="s">
        <v>194</v>
      </c>
      <c r="B1172" s="2278"/>
      <c r="C1172" s="3094">
        <f>56263.2238073181*(1+$C$1151)</f>
        <v>59357.701116720593</v>
      </c>
      <c r="D1172" s="3094">
        <v>64477.38</v>
      </c>
      <c r="E1172" s="2967"/>
      <c r="F1172" s="2295"/>
      <c r="G1172" s="2279"/>
      <c r="H1172" s="2968">
        <f t="shared" si="310"/>
        <v>-7.9402712754138016E-2</v>
      </c>
      <c r="I1172" s="136"/>
      <c r="J1172" s="136"/>
      <c r="K1172" s="1582"/>
      <c r="L1172" s="2278" t="str">
        <f t="shared" si="311"/>
        <v>Mould</v>
      </c>
      <c r="M1172" s="2278"/>
      <c r="N1172" s="2293">
        <f t="shared" si="312"/>
        <v>59357.701116720593</v>
      </c>
      <c r="O1172" s="2288">
        <v>68790</v>
      </c>
      <c r="P1172" s="2294">
        <f t="shared" si="313"/>
        <v>-0.13711729732925437</v>
      </c>
      <c r="Q1172" s="2295">
        <f t="shared" si="314"/>
        <v>0</v>
      </c>
      <c r="R1172" s="2279"/>
      <c r="S1172" s="2279"/>
      <c r="T1172" s="1056"/>
    </row>
    <row r="1173" spans="1:20" ht="12.75">
      <c r="A1173" s="2278" t="s">
        <v>1474</v>
      </c>
      <c r="B1173" s="2278"/>
      <c r="C1173" s="3094">
        <f>74456.7390951231*(1+$C$1151)</f>
        <v>78551.859745354872</v>
      </c>
      <c r="D1173" s="3094">
        <v>77162.7</v>
      </c>
      <c r="E1173" s="2967"/>
      <c r="F1173" s="2774">
        <f t="shared" ref="F1173:F1178" si="316">30/60</f>
        <v>0.5</v>
      </c>
      <c r="G1173" s="2279"/>
      <c r="H1173" s="2968">
        <f t="shared" si="310"/>
        <v>1.8002995558150214E-2</v>
      </c>
      <c r="I1173" s="136"/>
      <c r="J1173" s="136"/>
      <c r="K1173" s="1582"/>
      <c r="L1173" s="2278" t="str">
        <f t="shared" si="311"/>
        <v>Metalize lamination</v>
      </c>
      <c r="M1173" s="2278"/>
      <c r="N1173" s="2293">
        <f t="shared" si="312"/>
        <v>78551.859745354872</v>
      </c>
      <c r="O1173" s="2288">
        <v>49315</v>
      </c>
      <c r="P1173" s="2294">
        <f t="shared" si="313"/>
        <v>0.59285936825215191</v>
      </c>
      <c r="Q1173" s="2295">
        <f t="shared" si="314"/>
        <v>0.5</v>
      </c>
      <c r="R1173" s="2279"/>
      <c r="S1173" s="2279"/>
      <c r="T1173" s="1056"/>
    </row>
    <row r="1174" spans="1:20" ht="12.75">
      <c r="A1174" s="2278" t="s">
        <v>172</v>
      </c>
      <c r="B1174" s="2278"/>
      <c r="C1174" s="3094">
        <f t="shared" ref="C1174:C1181" si="317">74456.7390951231*(1+$C$1151)</f>
        <v>78551.859745354872</v>
      </c>
      <c r="D1174" s="3094">
        <v>77162.7</v>
      </c>
      <c r="E1174" s="2967"/>
      <c r="F1174" s="2774">
        <f t="shared" si="316"/>
        <v>0.5</v>
      </c>
      <c r="G1174" s="2279"/>
      <c r="H1174" s="2968">
        <f t="shared" si="310"/>
        <v>1.8002995558150214E-2</v>
      </c>
      <c r="I1174" s="136"/>
      <c r="J1174" s="136"/>
      <c r="K1174" s="1582"/>
      <c r="L1174" s="2278" t="str">
        <f t="shared" si="311"/>
        <v>OPP lamination</v>
      </c>
      <c r="M1174" s="2278"/>
      <c r="N1174" s="2293">
        <f t="shared" si="312"/>
        <v>78551.859745354872</v>
      </c>
      <c r="O1174" s="2288">
        <v>49315</v>
      </c>
      <c r="P1174" s="2294">
        <f t="shared" si="313"/>
        <v>0.59285936825215191</v>
      </c>
      <c r="Q1174" s="2295">
        <f t="shared" si="314"/>
        <v>0.5</v>
      </c>
      <c r="R1174" s="2279"/>
      <c r="S1174" s="2279"/>
      <c r="T1174" s="1056"/>
    </row>
    <row r="1175" spans="1:20" ht="12.75">
      <c r="A1175" s="2278" t="s">
        <v>171</v>
      </c>
      <c r="B1175" s="2278"/>
      <c r="C1175" s="3094">
        <f t="shared" si="317"/>
        <v>78551.859745354872</v>
      </c>
      <c r="D1175" s="3094">
        <v>77162.7</v>
      </c>
      <c r="E1175" s="2967"/>
      <c r="F1175" s="2774">
        <f>40/60</f>
        <v>0.66666666666666663</v>
      </c>
      <c r="G1175" s="2279"/>
      <c r="H1175" s="2968">
        <f t="shared" si="310"/>
        <v>1.8002995558150214E-2</v>
      </c>
      <c r="I1175" s="136"/>
      <c r="J1175" s="136"/>
      <c r="K1175" s="1582"/>
      <c r="L1175" s="2278" t="str">
        <f t="shared" si="311"/>
        <v>TK Coating</v>
      </c>
      <c r="M1175" s="2278"/>
      <c r="N1175" s="2293">
        <f t="shared" si="312"/>
        <v>78551.859745354872</v>
      </c>
      <c r="O1175" s="2288">
        <v>47565</v>
      </c>
      <c r="P1175" s="2294">
        <f t="shared" si="313"/>
        <v>0.65146346568600588</v>
      </c>
      <c r="Q1175" s="2295">
        <f t="shared" si="314"/>
        <v>0.66666666666666663</v>
      </c>
      <c r="R1175" s="2279"/>
      <c r="S1175" s="2279"/>
      <c r="T1175" s="1056"/>
    </row>
    <row r="1176" spans="1:20" ht="12.75">
      <c r="A1176" s="2278" t="s">
        <v>1475</v>
      </c>
      <c r="B1176" s="2278"/>
      <c r="C1176" s="3094">
        <f t="shared" si="317"/>
        <v>78551.859745354872</v>
      </c>
      <c r="D1176" s="3094">
        <v>77162.7</v>
      </c>
      <c r="E1176" s="2967"/>
      <c r="F1176" s="2774">
        <f>40/60</f>
        <v>0.66666666666666663</v>
      </c>
      <c r="G1176" s="2279"/>
      <c r="H1176" s="2968">
        <f t="shared" si="310"/>
        <v>1.8002995558150214E-2</v>
      </c>
      <c r="I1176" s="136"/>
      <c r="J1176" s="136"/>
      <c r="K1176" s="1582"/>
      <c r="L1176" s="2278" t="str">
        <f t="shared" si="311"/>
        <v>Calendering</v>
      </c>
      <c r="M1176" s="2278"/>
      <c r="N1176" s="2293">
        <f t="shared" si="312"/>
        <v>78551.859745354872</v>
      </c>
      <c r="O1176" s="2288">
        <v>47565</v>
      </c>
      <c r="P1176" s="2294">
        <f t="shared" si="313"/>
        <v>0.65146346568600588</v>
      </c>
      <c r="Q1176" s="2295">
        <f t="shared" si="314"/>
        <v>0.66666666666666663</v>
      </c>
      <c r="R1176" s="2279"/>
      <c r="S1176" s="2279"/>
      <c r="T1176" s="1056"/>
    </row>
    <row r="1177" spans="1:20" ht="12.75">
      <c r="A1177" s="2278" t="s">
        <v>1142</v>
      </c>
      <c r="B1177" s="2278"/>
      <c r="C1177" s="3094">
        <f t="shared" si="317"/>
        <v>78551.859745354872</v>
      </c>
      <c r="D1177" s="3094">
        <v>77162.7</v>
      </c>
      <c r="E1177" s="2967"/>
      <c r="F1177" s="2774">
        <f>40/60</f>
        <v>0.66666666666666663</v>
      </c>
      <c r="G1177" s="2279"/>
      <c r="H1177" s="2968">
        <f t="shared" si="310"/>
        <v>1.8002995558150214E-2</v>
      </c>
      <c r="I1177" s="136"/>
      <c r="J1177" s="136"/>
      <c r="K1177" s="1582"/>
      <c r="L1177" s="2278" t="str">
        <f t="shared" si="311"/>
        <v>Blister Coating</v>
      </c>
      <c r="M1177" s="2278"/>
      <c r="N1177" s="2293">
        <f t="shared" si="312"/>
        <v>78551.859745354872</v>
      </c>
      <c r="O1177" s="2288">
        <v>47565</v>
      </c>
      <c r="P1177" s="2294">
        <f t="shared" si="313"/>
        <v>0.65146346568600588</v>
      </c>
      <c r="Q1177" s="2295">
        <f t="shared" si="314"/>
        <v>0.66666666666666663</v>
      </c>
      <c r="R1177" s="2279"/>
      <c r="S1177" s="2279"/>
      <c r="T1177" s="1056"/>
    </row>
    <row r="1178" spans="1:20" ht="12.75">
      <c r="A1178" s="2278" t="s">
        <v>222</v>
      </c>
      <c r="B1178" s="2278"/>
      <c r="C1178" s="3094">
        <f t="shared" si="317"/>
        <v>78551.859745354872</v>
      </c>
      <c r="D1178" s="3094">
        <v>77162.7</v>
      </c>
      <c r="E1178" s="2967"/>
      <c r="F1178" s="2774">
        <f t="shared" si="316"/>
        <v>0.5</v>
      </c>
      <c r="G1178" s="2279"/>
      <c r="H1178" s="2968">
        <f t="shared" si="310"/>
        <v>1.8002995558150214E-2</v>
      </c>
      <c r="I1178" s="136"/>
      <c r="J1178" s="136"/>
      <c r="K1178" s="1582"/>
      <c r="L1178" s="2278" t="str">
        <f t="shared" si="311"/>
        <v>UV Coating-KYU 6B</v>
      </c>
      <c r="M1178" s="2278"/>
      <c r="N1178" s="2293">
        <f t="shared" si="312"/>
        <v>78551.859745354872</v>
      </c>
      <c r="O1178" s="2288">
        <v>47140</v>
      </c>
      <c r="P1178" s="2294">
        <f t="shared" si="313"/>
        <v>0.66635256142034094</v>
      </c>
      <c r="Q1178" s="2295">
        <f t="shared" si="314"/>
        <v>0.5</v>
      </c>
      <c r="R1178" s="2279"/>
      <c r="S1178" s="2279"/>
      <c r="T1178" s="1056"/>
    </row>
    <row r="1179" spans="1:20" ht="12.75">
      <c r="A1179" s="2278" t="s">
        <v>254</v>
      </c>
      <c r="B1179" s="2278"/>
      <c r="C1179" s="3094">
        <f t="shared" si="317"/>
        <v>78551.859745354872</v>
      </c>
      <c r="D1179" s="3094">
        <v>77162.7</v>
      </c>
      <c r="E1179" s="2967"/>
      <c r="F1179" s="2774">
        <f>60/60</f>
        <v>1</v>
      </c>
      <c r="G1179" s="2279"/>
      <c r="H1179" s="2968">
        <f t="shared" si="310"/>
        <v>1.8002995558150214E-2</v>
      </c>
      <c r="I1179" s="136"/>
      <c r="J1179" s="136"/>
      <c r="K1179" s="1582"/>
      <c r="L1179" s="2278" t="s">
        <v>3498</v>
      </c>
      <c r="M1179" s="2278"/>
      <c r="N1179" s="2293">
        <f t="shared" si="312"/>
        <v>78551.859745354872</v>
      </c>
      <c r="O1179" s="2288">
        <v>60010</v>
      </c>
      <c r="P1179" s="2294">
        <f t="shared" si="313"/>
        <v>0.30897949917271905</v>
      </c>
      <c r="Q1179" s="2295">
        <f t="shared" si="314"/>
        <v>1</v>
      </c>
      <c r="R1179" s="2279"/>
      <c r="S1179" s="2279"/>
      <c r="T1179" s="1056"/>
    </row>
    <row r="1180" spans="1:20" ht="12.75">
      <c r="A1180" s="2278" t="s">
        <v>223</v>
      </c>
      <c r="B1180" s="2278"/>
      <c r="C1180" s="3094">
        <f t="shared" si="317"/>
        <v>78551.859745354872</v>
      </c>
      <c r="D1180" s="3094">
        <v>77162.7</v>
      </c>
      <c r="E1180" s="2967"/>
      <c r="F1180" s="2774">
        <f>40/60</f>
        <v>0.66666666666666663</v>
      </c>
      <c r="G1180" s="2279"/>
      <c r="H1180" s="2968">
        <f t="shared" si="310"/>
        <v>1.8002995558150214E-2</v>
      </c>
      <c r="I1180" s="136"/>
      <c r="J1180" s="136"/>
      <c r="K1180" s="1582"/>
      <c r="L1180" s="2278" t="str">
        <f t="shared" si="311"/>
        <v>Spot UV - Rollan</v>
      </c>
      <c r="M1180" s="2278"/>
      <c r="N1180" s="2293">
        <f t="shared" si="312"/>
        <v>78551.859745354872</v>
      </c>
      <c r="O1180" s="2288">
        <v>47140</v>
      </c>
      <c r="P1180" s="2294">
        <f t="shared" si="313"/>
        <v>0.66635256142034094</v>
      </c>
      <c r="Q1180" s="2295">
        <f t="shared" si="314"/>
        <v>0.66666666666666663</v>
      </c>
      <c r="R1180" s="2279"/>
      <c r="S1180" s="2279"/>
      <c r="T1180" s="1056"/>
    </row>
    <row r="1181" spans="1:20" ht="12.75">
      <c r="A1181" s="2278" t="s">
        <v>1531</v>
      </c>
      <c r="B1181" s="2278"/>
      <c r="C1181" s="3094">
        <f t="shared" si="317"/>
        <v>78551.859745354872</v>
      </c>
      <c r="D1181" s="3094">
        <v>77162.7</v>
      </c>
      <c r="E1181" s="2967"/>
      <c r="F1181" s="2774">
        <f>40/60</f>
        <v>0.66666666666666663</v>
      </c>
      <c r="G1181" s="2279"/>
      <c r="H1181" s="2968">
        <f t="shared" si="310"/>
        <v>1.8002995558150214E-2</v>
      </c>
      <c r="I1181" s="136"/>
      <c r="J1181" s="136"/>
      <c r="K1181" s="1582"/>
      <c r="L1181" s="2278" t="str">
        <f t="shared" si="311"/>
        <v>Water base - Rollan</v>
      </c>
      <c r="M1181" s="2278"/>
      <c r="N1181" s="2293">
        <f t="shared" si="312"/>
        <v>78551.859745354872</v>
      </c>
      <c r="O1181" s="2288">
        <v>47140</v>
      </c>
      <c r="P1181" s="2294">
        <f t="shared" si="313"/>
        <v>0.66635256142034094</v>
      </c>
      <c r="Q1181" s="2295">
        <f t="shared" si="314"/>
        <v>0.66666666666666663</v>
      </c>
      <c r="R1181" s="2279"/>
      <c r="S1181" s="2279"/>
      <c r="T1181" s="1056"/>
    </row>
    <row r="1182" spans="1:20" ht="12.75">
      <c r="A1182" s="2278" t="s">
        <v>195</v>
      </c>
      <c r="B1182" s="2278"/>
      <c r="C1182" s="3094">
        <f t="shared" ref="C1182:C1183" si="318">56263.2238073181*(1+$C$1151)</f>
        <v>59357.701116720593</v>
      </c>
      <c r="D1182" s="3094">
        <v>64477.38</v>
      </c>
      <c r="E1182" s="2967"/>
      <c r="F1182" s="2295"/>
      <c r="G1182" s="2279"/>
      <c r="H1182" s="2968">
        <f t="shared" si="310"/>
        <v>-7.9402712754138016E-2</v>
      </c>
      <c r="I1182" s="136"/>
      <c r="J1182" s="136"/>
      <c r="K1182" s="1582"/>
      <c r="L1182" s="2278" t="str">
        <f t="shared" si="311"/>
        <v>Pulling</v>
      </c>
      <c r="M1182" s="2278"/>
      <c r="N1182" s="2293">
        <f t="shared" si="312"/>
        <v>59357.701116720593</v>
      </c>
      <c r="O1182" s="2288">
        <v>45120</v>
      </c>
      <c r="P1182" s="2294">
        <f t="shared" si="313"/>
        <v>0.31555188645214072</v>
      </c>
      <c r="Q1182" s="2295">
        <f t="shared" si="314"/>
        <v>0</v>
      </c>
      <c r="R1182" s="2279"/>
      <c r="S1182" s="2279"/>
      <c r="T1182" s="1056"/>
    </row>
    <row r="1183" spans="1:20" ht="12.75">
      <c r="A1183" s="2278" t="s">
        <v>266</v>
      </c>
      <c r="B1183" s="2278"/>
      <c r="C1183" s="3094">
        <f t="shared" si="318"/>
        <v>59357.701116720593</v>
      </c>
      <c r="D1183" s="3094">
        <v>64477.38</v>
      </c>
      <c r="E1183" s="2967"/>
      <c r="F1183" s="2295"/>
      <c r="G1183" s="2279"/>
      <c r="H1183" s="2968">
        <f t="shared" si="310"/>
        <v>-7.9402712754138016E-2</v>
      </c>
      <c r="I1183" s="136"/>
      <c r="J1183" s="136"/>
      <c r="K1183" s="1582"/>
      <c r="L1183" s="2278" t="str">
        <f t="shared" si="311"/>
        <v>Sorting</v>
      </c>
      <c r="M1183" s="2278"/>
      <c r="N1183" s="2293">
        <f t="shared" si="312"/>
        <v>59357.701116720593</v>
      </c>
      <c r="O1183" s="2288">
        <v>45920</v>
      </c>
      <c r="P1183" s="2294">
        <f t="shared" si="313"/>
        <v>0.2926328640400826</v>
      </c>
      <c r="Q1183" s="2295">
        <f t="shared" si="314"/>
        <v>0</v>
      </c>
      <c r="R1183" s="2279"/>
      <c r="S1183" s="2279"/>
      <c r="T1183" s="1056"/>
    </row>
    <row r="1184" spans="1:20" ht="12.75">
      <c r="A1184" s="2278" t="s">
        <v>1526</v>
      </c>
      <c r="B1184" s="2278"/>
      <c r="C1184" s="3094">
        <f>78673.3424656502*(1+$C$1151)</f>
        <v>83000.376301260956</v>
      </c>
      <c r="D1184" s="3094">
        <v>83156.154999999999</v>
      </c>
      <c r="E1184" s="2967"/>
      <c r="F1184" s="2278"/>
      <c r="G1184" s="2279"/>
      <c r="H1184" s="3412">
        <f t="shared" si="310"/>
        <v>-1.8733273410614926E-3</v>
      </c>
      <c r="I1184" s="136"/>
      <c r="J1184" s="136"/>
      <c r="K1184" s="1582"/>
      <c r="L1184" s="2278" t="str">
        <f t="shared" si="311"/>
        <v>KOMORI_L240</v>
      </c>
      <c r="M1184" s="2278"/>
      <c r="N1184" s="2293">
        <f t="shared" si="312"/>
        <v>83000.376301260956</v>
      </c>
      <c r="O1184" s="2288">
        <v>48595</v>
      </c>
      <c r="P1184" s="2294">
        <f t="shared" si="313"/>
        <v>0.70800239327628267</v>
      </c>
      <c r="Q1184" s="2295">
        <f t="shared" si="314"/>
        <v>0</v>
      </c>
      <c r="R1184" s="2279"/>
      <c r="S1184" s="2279"/>
      <c r="T1184" s="1056"/>
    </row>
    <row r="1185" spans="1:22" ht="12.75">
      <c r="A1185" s="2278" t="s">
        <v>1527</v>
      </c>
      <c r="B1185" s="2278"/>
      <c r="C1185" s="3094">
        <f t="shared" ref="C1185:C1188" si="319">78673.3424656502*(1+$C$1151)</f>
        <v>83000.376301260956</v>
      </c>
      <c r="D1185" s="3094">
        <v>83156.154999999999</v>
      </c>
      <c r="E1185" s="2967"/>
      <c r="F1185" s="2278"/>
      <c r="G1185" s="2279"/>
      <c r="H1185" s="3412">
        <f t="shared" si="310"/>
        <v>-1.8733273410614926E-3</v>
      </c>
      <c r="I1185" s="136"/>
      <c r="J1185" s="136"/>
      <c r="K1185" s="1582"/>
      <c r="L1185" s="2278" t="str">
        <f t="shared" si="311"/>
        <v>KOMORI_LS640</v>
      </c>
      <c r="M1185" s="2278"/>
      <c r="N1185" s="2293">
        <f t="shared" si="312"/>
        <v>83000.376301260956</v>
      </c>
      <c r="O1185" s="2288">
        <v>58390</v>
      </c>
      <c r="P1185" s="2294">
        <f t="shared" si="313"/>
        <v>0.42148272480323601</v>
      </c>
      <c r="Q1185" s="2295">
        <f t="shared" si="314"/>
        <v>0</v>
      </c>
      <c r="R1185" s="2279"/>
      <c r="S1185" s="2279"/>
      <c r="T1185" s="1056"/>
    </row>
    <row r="1186" spans="1:22" ht="12.75">
      <c r="A1186" s="2278" t="s">
        <v>1528</v>
      </c>
      <c r="B1186" s="2278"/>
      <c r="C1186" s="3094">
        <f t="shared" si="319"/>
        <v>83000.376301260956</v>
      </c>
      <c r="D1186" s="3094">
        <v>83156.154999999999</v>
      </c>
      <c r="E1186" s="2967"/>
      <c r="F1186" s="2278"/>
      <c r="G1186" s="2279"/>
      <c r="H1186" s="3412">
        <f t="shared" si="310"/>
        <v>-1.8733273410614926E-3</v>
      </c>
      <c r="I1186" s="136"/>
      <c r="J1186" s="136"/>
      <c r="K1186" s="1582"/>
      <c r="L1186" s="2278" t="str">
        <f t="shared" si="311"/>
        <v>KOMORI_LS740</v>
      </c>
      <c r="M1186" s="2278"/>
      <c r="N1186" s="2293">
        <f t="shared" si="312"/>
        <v>83000.376301260956</v>
      </c>
      <c r="O1186" s="2288">
        <v>62145</v>
      </c>
      <c r="P1186" s="2294">
        <f t="shared" si="313"/>
        <v>0.33559218442772476</v>
      </c>
      <c r="Q1186" s="2295">
        <f t="shared" si="314"/>
        <v>0</v>
      </c>
      <c r="R1186" s="2279"/>
      <c r="S1186" s="2279"/>
      <c r="T1186" s="1056"/>
    </row>
    <row r="1187" spans="1:22" ht="12.75">
      <c r="A1187" s="2278" t="s">
        <v>1529</v>
      </c>
      <c r="B1187" s="2278"/>
      <c r="C1187" s="3094">
        <f t="shared" si="319"/>
        <v>83000.376301260956</v>
      </c>
      <c r="D1187" s="3094">
        <v>83156.154999999999</v>
      </c>
      <c r="E1187" s="2967"/>
      <c r="F1187" s="2278"/>
      <c r="G1187" s="2279"/>
      <c r="H1187" s="3412">
        <f t="shared" si="310"/>
        <v>-1.8733273410614926E-3</v>
      </c>
      <c r="I1187" s="136"/>
      <c r="J1187" s="136"/>
      <c r="K1187" s="1582"/>
      <c r="L1187" s="2278" t="str">
        <f t="shared" si="311"/>
        <v>KOMORI_LX640</v>
      </c>
      <c r="M1187" s="2278"/>
      <c r="N1187" s="2293">
        <f t="shared" si="312"/>
        <v>83000.376301260956</v>
      </c>
      <c r="O1187" s="2288">
        <v>58415</v>
      </c>
      <c r="P1187" s="2294">
        <f t="shared" si="313"/>
        <v>0.42087436961843627</v>
      </c>
      <c r="Q1187" s="2295">
        <f t="shared" si="314"/>
        <v>0</v>
      </c>
      <c r="R1187" s="2279"/>
      <c r="S1187" s="2279"/>
      <c r="T1187" s="1056"/>
    </row>
    <row r="1188" spans="1:22" ht="12.75">
      <c r="A1188" s="2278" t="s">
        <v>638</v>
      </c>
      <c r="B1188" s="2278"/>
      <c r="C1188" s="3094">
        <f t="shared" si="319"/>
        <v>83000.376301260956</v>
      </c>
      <c r="D1188" s="3094">
        <v>83156.154999999999</v>
      </c>
      <c r="E1188" s="2967"/>
      <c r="F1188" s="2278"/>
      <c r="G1188" s="2279"/>
      <c r="H1188" s="3412">
        <f t="shared" si="310"/>
        <v>-1.8733273410614926E-3</v>
      </c>
      <c r="I1188" s="136"/>
      <c r="J1188" s="136"/>
      <c r="K1188" s="1582"/>
      <c r="L1188" s="2278" t="str">
        <f t="shared" si="311"/>
        <v xml:space="preserve">KBA </v>
      </c>
      <c r="M1188" s="2278"/>
      <c r="N1188" s="2293">
        <f t="shared" si="312"/>
        <v>83000.376301260956</v>
      </c>
      <c r="O1188" s="2288">
        <v>63865</v>
      </c>
      <c r="P1188" s="2294">
        <f t="shared" si="313"/>
        <v>0.29962227043389889</v>
      </c>
      <c r="Q1188" s="2295">
        <f t="shared" si="314"/>
        <v>0</v>
      </c>
      <c r="R1188" s="2279"/>
      <c r="S1188" s="2279"/>
      <c r="T1188" s="1056"/>
    </row>
    <row r="1189" spans="1:22" ht="12.75">
      <c r="A1189" s="2278" t="s">
        <v>637</v>
      </c>
      <c r="B1189" s="2278"/>
      <c r="C1189" s="3094"/>
      <c r="D1189" s="3094"/>
      <c r="E1189" s="2967"/>
      <c r="F1189" s="2278"/>
      <c r="G1189" s="2279"/>
      <c r="H1189" s="2968"/>
      <c r="I1189" s="136"/>
      <c r="J1189" s="136"/>
      <c r="K1189" s="1582"/>
      <c r="L1189" s="2278" t="str">
        <f t="shared" si="311"/>
        <v>MITSUBISHI</v>
      </c>
      <c r="M1189" s="2278"/>
      <c r="N1189" s="2293">
        <f t="shared" si="312"/>
        <v>0</v>
      </c>
      <c r="O1189" s="2288">
        <v>52455</v>
      </c>
      <c r="P1189" s="2294">
        <f t="shared" si="313"/>
        <v>-1</v>
      </c>
      <c r="Q1189" s="2295">
        <f t="shared" si="314"/>
        <v>0</v>
      </c>
      <c r="R1189" s="2279"/>
      <c r="S1189" s="2279"/>
      <c r="T1189" s="1056"/>
    </row>
    <row r="1190" spans="1:22" ht="12.75">
      <c r="A1190" s="2278" t="s">
        <v>257</v>
      </c>
      <c r="B1190" s="2261"/>
      <c r="C1190" s="3095"/>
      <c r="D1190" s="3095"/>
      <c r="E1190" s="2261"/>
      <c r="F1190" s="2261"/>
      <c r="G1190" s="2261"/>
      <c r="H1190" s="2968"/>
      <c r="I1190" s="136"/>
      <c r="J1190" s="136"/>
      <c r="K1190" s="1582"/>
      <c r="L1190" s="2278" t="str">
        <f t="shared" si="311"/>
        <v>Out-source</v>
      </c>
      <c r="M1190" s="2261"/>
      <c r="N1190" s="2293">
        <f t="shared" si="312"/>
        <v>0</v>
      </c>
      <c r="O1190" s="2291"/>
      <c r="P1190" s="2261"/>
      <c r="Q1190" s="2295">
        <f t="shared" si="314"/>
        <v>0</v>
      </c>
      <c r="R1190" s="2261"/>
      <c r="S1190" s="2261"/>
      <c r="T1190" s="313"/>
    </row>
    <row r="1191" spans="1:22" ht="12.75">
      <c r="A1191" s="2261"/>
      <c r="B1191" s="2261"/>
      <c r="C1191" s="3095"/>
      <c r="D1191" s="3095"/>
      <c r="E1191" s="2261"/>
      <c r="F1191" s="2261"/>
      <c r="G1191" s="2267"/>
      <c r="H1191" s="2968"/>
      <c r="I1191" s="136"/>
      <c r="J1191" s="136"/>
      <c r="K1191" s="1582"/>
      <c r="L1191" s="2278">
        <f t="shared" si="311"/>
        <v>0</v>
      </c>
      <c r="M1191" s="2261"/>
      <c r="N1191" s="2293">
        <f t="shared" si="312"/>
        <v>0</v>
      </c>
      <c r="O1191" s="2291"/>
      <c r="P1191" s="2261"/>
      <c r="Q1191" s="2295">
        <f t="shared" si="314"/>
        <v>0</v>
      </c>
      <c r="R1191" s="2267"/>
      <c r="S1191" s="2267"/>
      <c r="T1191" s="363"/>
    </row>
    <row r="1192" spans="1:22" ht="12.75">
      <c r="A1192" s="2278" t="s">
        <v>514</v>
      </c>
      <c r="B1192" s="2278">
        <v>1</v>
      </c>
      <c r="C1192" s="3094">
        <f>334193.670530671*(1+$C$1151)</f>
        <v>352574.32240985788</v>
      </c>
      <c r="D1192" s="3094">
        <v>345122.00347222207</v>
      </c>
      <c r="E1192" s="2967"/>
      <c r="F1192" s="2278"/>
      <c r="G1192" s="2267"/>
      <c r="H1192" s="2968">
        <f t="shared" si="310"/>
        <v>2.159328835211638E-2</v>
      </c>
      <c r="I1192" s="136"/>
      <c r="J1192" s="136"/>
      <c r="K1192" s="1582"/>
      <c r="L1192" s="2278" t="str">
        <f t="shared" si="311"/>
        <v>Printing - Mitsu</v>
      </c>
      <c r="M1192" s="2278"/>
      <c r="N1192" s="2293">
        <f t="shared" si="312"/>
        <v>352574.32240985788</v>
      </c>
      <c r="O1192" s="2288">
        <v>179795</v>
      </c>
      <c r="P1192" s="2294">
        <f t="shared" ref="P1192:P1197" si="320">N1192/O1192-1</f>
        <v>0.96097957345787077</v>
      </c>
      <c r="Q1192" s="2295">
        <f t="shared" si="314"/>
        <v>0</v>
      </c>
      <c r="R1192" s="2267"/>
      <c r="S1192" s="2279"/>
      <c r="T1192" s="1056"/>
    </row>
    <row r="1193" spans="1:22" ht="12.75">
      <c r="A1193" s="2278" t="s">
        <v>515</v>
      </c>
      <c r="B1193" s="2278">
        <v>2</v>
      </c>
      <c r="C1193" s="3094">
        <f t="shared" ref="C1193:C1195" si="321">334193.670530671*(1+$C$1151)</f>
        <v>352574.32240985788</v>
      </c>
      <c r="D1193" s="3094">
        <v>345122.00347222207</v>
      </c>
      <c r="E1193" s="2967"/>
      <c r="F1193" s="2278"/>
      <c r="G1193" s="2267"/>
      <c r="H1193" s="2968">
        <f t="shared" si="310"/>
        <v>2.159328835211638E-2</v>
      </c>
      <c r="I1193" s="136"/>
      <c r="J1193" s="136"/>
      <c r="K1193" s="1582"/>
      <c r="L1193" s="2278" t="str">
        <f t="shared" si="311"/>
        <v>Printing - KBA</v>
      </c>
      <c r="M1193" s="2278"/>
      <c r="N1193" s="2293">
        <f t="shared" si="312"/>
        <v>352574.32240985788</v>
      </c>
      <c r="O1193" s="2288">
        <v>215935</v>
      </c>
      <c r="P1193" s="2294">
        <f t="shared" si="320"/>
        <v>0.63277987547112735</v>
      </c>
      <c r="Q1193" s="2295">
        <f t="shared" si="314"/>
        <v>0</v>
      </c>
      <c r="R1193" s="2267"/>
      <c r="S1193" s="2279"/>
      <c r="T1193" s="1056"/>
    </row>
    <row r="1194" spans="1:22" ht="12.75">
      <c r="A1194" s="2278" t="s">
        <v>560</v>
      </c>
      <c r="B1194" s="2278">
        <v>1</v>
      </c>
      <c r="C1194" s="3094">
        <f t="shared" si="321"/>
        <v>352574.32240985788</v>
      </c>
      <c r="D1194" s="3094">
        <v>345122.00347222207</v>
      </c>
      <c r="E1194" s="2967"/>
      <c r="F1194" s="2278"/>
      <c r="G1194" s="2267"/>
      <c r="H1194" s="2968">
        <f t="shared" si="310"/>
        <v>2.159328835211638E-2</v>
      </c>
      <c r="I1194" s="136"/>
      <c r="J1194" s="136"/>
      <c r="K1194" s="1582"/>
      <c r="L1194" s="2278" t="str">
        <f t="shared" si="311"/>
        <v>Printing - Komori L640</v>
      </c>
      <c r="M1194" s="2278"/>
      <c r="N1194" s="2293">
        <f t="shared" si="312"/>
        <v>352574.32240985788</v>
      </c>
      <c r="O1194" s="2288">
        <v>195515</v>
      </c>
      <c r="P1194" s="2294">
        <f t="shared" si="320"/>
        <v>0.80331085804085567</v>
      </c>
      <c r="Q1194" s="2295">
        <f t="shared" si="314"/>
        <v>0</v>
      </c>
      <c r="R1194" s="2267"/>
      <c r="S1194" s="2279"/>
      <c r="T1194" s="1056"/>
    </row>
    <row r="1195" spans="1:22" ht="12.75">
      <c r="A1195" s="2278" t="s">
        <v>29</v>
      </c>
      <c r="B1195" s="2278">
        <v>2</v>
      </c>
      <c r="C1195" s="3094">
        <f t="shared" si="321"/>
        <v>352574.32240985788</v>
      </c>
      <c r="D1195" s="3094">
        <v>345122.00347222207</v>
      </c>
      <c r="E1195" s="2967"/>
      <c r="F1195" s="2278"/>
      <c r="G1195" s="2267"/>
      <c r="H1195" s="2968">
        <f t="shared" si="310"/>
        <v>2.159328835211638E-2</v>
      </c>
      <c r="I1195" s="136"/>
      <c r="J1195" s="136"/>
      <c r="K1195" s="1582"/>
      <c r="L1195" s="2278" t="str">
        <f t="shared" si="311"/>
        <v>Diecutting</v>
      </c>
      <c r="M1195" s="2278"/>
      <c r="N1195" s="2293">
        <f t="shared" si="312"/>
        <v>352574.32240985788</v>
      </c>
      <c r="O1195" s="2291">
        <v>211130</v>
      </c>
      <c r="P1195" s="2294">
        <f t="shared" si="320"/>
        <v>0.66993947998795944</v>
      </c>
      <c r="Q1195" s="2295">
        <f t="shared" si="314"/>
        <v>0</v>
      </c>
      <c r="R1195" s="2267"/>
      <c r="S1195" s="2279"/>
      <c r="T1195" s="1056"/>
    </row>
    <row r="1196" spans="1:22" ht="12.75">
      <c r="A1196" s="2261"/>
      <c r="B1196" s="2261"/>
      <c r="C1196" s="3095"/>
      <c r="D1196" s="2198"/>
      <c r="E1196" s="2261"/>
      <c r="F1196" s="2261"/>
      <c r="G1196" s="2267"/>
      <c r="H1196" s="2267"/>
      <c r="I1196" s="136"/>
      <c r="J1196" s="136"/>
      <c r="K1196" s="1582"/>
      <c r="L1196" s="2261"/>
      <c r="M1196" s="2261"/>
      <c r="N1196" s="2293">
        <f t="shared" si="312"/>
        <v>0</v>
      </c>
      <c r="O1196" s="2198"/>
      <c r="P1196" s="2261"/>
      <c r="Q1196" s="2295">
        <f t="shared" si="314"/>
        <v>0</v>
      </c>
      <c r="R1196" s="2267"/>
      <c r="S1196" s="2267"/>
      <c r="T1196" s="385"/>
    </row>
    <row r="1197" spans="1:22" ht="12.75">
      <c r="A1197" s="2261"/>
      <c r="B1197" s="2261"/>
      <c r="C1197" s="2291"/>
      <c r="D1197" s="2288"/>
      <c r="E1197" s="2967"/>
      <c r="F1197" s="2278"/>
      <c r="G1197" s="2279"/>
      <c r="H1197" s="2279"/>
      <c r="I1197" s="136"/>
      <c r="J1197" s="136"/>
      <c r="K1197" s="1582"/>
      <c r="L1197" s="2261" t="s">
        <v>1888</v>
      </c>
      <c r="M1197" s="2261"/>
      <c r="N1197" s="2293">
        <f t="shared" si="312"/>
        <v>0</v>
      </c>
      <c r="O1197" s="2288">
        <v>57330</v>
      </c>
      <c r="P1197" s="2294">
        <f t="shared" si="320"/>
        <v>-1</v>
      </c>
      <c r="Q1197" s="2295">
        <f t="shared" si="314"/>
        <v>0</v>
      </c>
      <c r="R1197" s="2279"/>
      <c r="S1197" s="2279"/>
      <c r="T1197" s="1056"/>
    </row>
    <row r="1198" spans="1:22" ht="15" thickBot="1">
      <c r="A1198" s="3205"/>
      <c r="B1198" s="3205"/>
      <c r="C1198" s="3205"/>
      <c r="D1198" s="3205"/>
      <c r="E1198" s="3205"/>
      <c r="F1198" s="3205"/>
      <c r="G1198" s="3205"/>
      <c r="H1198" s="3205"/>
      <c r="I1198" s="3205"/>
      <c r="J1198" s="3205"/>
      <c r="K1198" s="1582"/>
      <c r="L1198" s="313"/>
      <c r="M1198" s="313"/>
      <c r="N1198" s="313"/>
      <c r="O1198" s="313"/>
      <c r="P1198" s="313"/>
      <c r="Q1198" s="313"/>
      <c r="R1198" s="313"/>
      <c r="S1198" s="313"/>
      <c r="T1198" s="313"/>
      <c r="U1198" s="313"/>
      <c r="V1198" s="313"/>
    </row>
    <row r="1199" spans="1:22" ht="12.75" customHeight="1">
      <c r="A1199" s="4107" t="s">
        <v>684</v>
      </c>
      <c r="B1199" s="4109" t="s">
        <v>685</v>
      </c>
      <c r="C1199" s="4109" t="s">
        <v>686</v>
      </c>
      <c r="D1199" s="4109" t="s">
        <v>687</v>
      </c>
      <c r="E1199" s="4111"/>
      <c r="F1199" s="4109" t="s">
        <v>688</v>
      </c>
      <c r="G1199" s="4109" t="s">
        <v>689</v>
      </c>
      <c r="H1199" s="4109" t="s">
        <v>690</v>
      </c>
      <c r="I1199" s="4113" t="s">
        <v>691</v>
      </c>
      <c r="J1199" s="4115" t="s">
        <v>361</v>
      </c>
      <c r="K1199" s="1582"/>
    </row>
    <row r="1200" spans="1:22" ht="12.75">
      <c r="A1200" s="4108"/>
      <c r="B1200" s="4110"/>
      <c r="C1200" s="4110"/>
      <c r="D1200" s="4110"/>
      <c r="E1200" s="4112"/>
      <c r="F1200" s="4110"/>
      <c r="G1200" s="4110"/>
      <c r="H1200" s="4110"/>
      <c r="I1200" s="4114"/>
      <c r="J1200" s="4116"/>
      <c r="K1200" s="1582"/>
      <c r="L1200" s="136" t="s">
        <v>126</v>
      </c>
      <c r="M1200" s="136" t="s">
        <v>1399</v>
      </c>
      <c r="N1200" s="136" t="s">
        <v>1400</v>
      </c>
      <c r="Q1200" s="136" t="s">
        <v>1399</v>
      </c>
      <c r="R1200" s="136" t="s">
        <v>1400</v>
      </c>
      <c r="S1200" s="136" t="s">
        <v>1456</v>
      </c>
    </row>
    <row r="1201" spans="1:19" ht="63.75">
      <c r="A1201" s="4012"/>
      <c r="B1201" s="3650" t="s">
        <v>694</v>
      </c>
      <c r="C1201" s="3651" t="s">
        <v>2990</v>
      </c>
      <c r="D1201" s="3650" t="s">
        <v>2989</v>
      </c>
      <c r="E1201" s="3650" t="str">
        <f>D1201&amp;" - "&amp;C1201</f>
        <v>BINH CHIEU - WT 150,160,170 GSM</v>
      </c>
      <c r="F1201" s="3650" t="s">
        <v>695</v>
      </c>
      <c r="G1201" s="3652"/>
      <c r="H1201" s="3652">
        <f>VLOOKUP(F1201,$B$1230:$C$1235,2,0)</f>
        <v>666666.66666666663</v>
      </c>
      <c r="I1201" s="3652">
        <f>IF(G1201&gt;0,ROUNDUP((G1201+H1201)/1000,0),0)</f>
        <v>0</v>
      </c>
      <c r="J1201" s="4013" t="s">
        <v>696</v>
      </c>
      <c r="K1201" s="1582"/>
      <c r="L1201" s="1819" t="s">
        <v>1779</v>
      </c>
      <c r="M1201" s="136" t="s">
        <v>1350</v>
      </c>
      <c r="N1201" s="136" t="s">
        <v>1393</v>
      </c>
      <c r="Q1201" s="136" t="s">
        <v>1418</v>
      </c>
      <c r="R1201" s="136" t="s">
        <v>1419</v>
      </c>
      <c r="S1201" s="136" t="s">
        <v>1437</v>
      </c>
    </row>
    <row r="1202" spans="1:19" ht="63.75">
      <c r="A1202" s="3129"/>
      <c r="B1202" s="3650" t="s">
        <v>694</v>
      </c>
      <c r="C1202" s="3651" t="s">
        <v>2991</v>
      </c>
      <c r="D1202" s="3650" t="s">
        <v>2989</v>
      </c>
      <c r="E1202" s="3650" t="str">
        <f t="shared" ref="E1202:E1215" si="322">D1202&amp;" - "&amp;C1202</f>
        <v>BINH CHIEU - WT GK 150,160,170 GSM</v>
      </c>
      <c r="F1202" s="3650" t="s">
        <v>695</v>
      </c>
      <c r="G1202" s="3652">
        <v>14800000</v>
      </c>
      <c r="H1202" s="3652">
        <f t="shared" ref="H1202:H1226" si="323">VLOOKUP(F1202,$B$1230:$C$1235,2,0)</f>
        <v>666666.66666666663</v>
      </c>
      <c r="I1202" s="3652">
        <f t="shared" ref="I1202:I1224" si="324">IF(G1202&gt;0,ROUNDUP((G1202+H1202)/1000,0),0)</f>
        <v>15467</v>
      </c>
      <c r="J1202" s="4013" t="s">
        <v>696</v>
      </c>
      <c r="K1202" s="1582"/>
      <c r="L1202" s="1819" t="s">
        <v>1780</v>
      </c>
      <c r="M1202" s="136" t="s">
        <v>1354</v>
      </c>
      <c r="N1202" s="136" t="s">
        <v>1394</v>
      </c>
      <c r="R1202" s="136" t="s">
        <v>2256</v>
      </c>
      <c r="S1202" s="136" t="s">
        <v>1764</v>
      </c>
    </row>
    <row r="1203" spans="1:19" ht="63.75">
      <c r="A1203" s="4012"/>
      <c r="B1203" s="3650" t="s">
        <v>694</v>
      </c>
      <c r="C1203" s="3651" t="s">
        <v>3712</v>
      </c>
      <c r="D1203" s="3650" t="s">
        <v>960</v>
      </c>
      <c r="E1203" s="3650" t="str">
        <f t="shared" si="322"/>
        <v>LEE &amp; MAN - WT 140 I GSM</v>
      </c>
      <c r="F1203" s="3650" t="s">
        <v>2394</v>
      </c>
      <c r="G1203" s="3652">
        <v>17500000</v>
      </c>
      <c r="H1203" s="3652">
        <f t="shared" si="323"/>
        <v>3366666.6666666665</v>
      </c>
      <c r="I1203" s="3652">
        <f t="shared" si="324"/>
        <v>20867</v>
      </c>
      <c r="J1203" s="4013" t="s">
        <v>696</v>
      </c>
      <c r="K1203" s="1582"/>
      <c r="L1203" s="1819" t="s">
        <v>1781</v>
      </c>
      <c r="M1203" s="136" t="s">
        <v>1351</v>
      </c>
      <c r="N1203" s="136" t="s">
        <v>1395</v>
      </c>
      <c r="R1203" s="136" t="s">
        <v>1763</v>
      </c>
      <c r="S1203" s="136" t="s">
        <v>1438</v>
      </c>
    </row>
    <row r="1204" spans="1:19" ht="63.75">
      <c r="A1204" s="3130"/>
      <c r="B1204" s="3650" t="s">
        <v>694</v>
      </c>
      <c r="C1204" s="3651" t="s">
        <v>3713</v>
      </c>
      <c r="D1204" s="3650" t="s">
        <v>960</v>
      </c>
      <c r="E1204" s="3650" t="str">
        <f t="shared" si="322"/>
        <v>LEE &amp; MAN - WT 170 I GSM</v>
      </c>
      <c r="F1204" s="3650" t="s">
        <v>2394</v>
      </c>
      <c r="G1204" s="3652">
        <v>17300000</v>
      </c>
      <c r="H1204" s="3652">
        <f t="shared" si="323"/>
        <v>3366666.6666666665</v>
      </c>
      <c r="I1204" s="3652">
        <f t="shared" si="324"/>
        <v>20667</v>
      </c>
      <c r="J1204" s="4013" t="s">
        <v>696</v>
      </c>
      <c r="K1204" s="1582"/>
      <c r="L1204" s="1819" t="s">
        <v>1782</v>
      </c>
      <c r="M1204" s="136" t="s">
        <v>3347</v>
      </c>
      <c r="N1204" s="136" t="s">
        <v>2130</v>
      </c>
      <c r="R1204" s="136">
        <f>AC890</f>
        <v>0</v>
      </c>
      <c r="S1204" s="136" t="s">
        <v>1766</v>
      </c>
    </row>
    <row r="1205" spans="1:19" ht="63.75">
      <c r="A1205" s="4012"/>
      <c r="B1205" s="3650" t="s">
        <v>699</v>
      </c>
      <c r="C1205" s="3651" t="s">
        <v>2135</v>
      </c>
      <c r="D1205" s="3650" t="s">
        <v>717</v>
      </c>
      <c r="E1205" s="3650" t="str">
        <f t="shared" si="322"/>
        <v xml:space="preserve">SAIGON  - TL 125 GSM </v>
      </c>
      <c r="F1205" s="3650" t="s">
        <v>718</v>
      </c>
      <c r="G1205" s="3652">
        <v>10800000</v>
      </c>
      <c r="H1205" s="3652">
        <f t="shared" si="323"/>
        <v>657222.22222222225</v>
      </c>
      <c r="I1205" s="3652">
        <f t="shared" si="324"/>
        <v>11458</v>
      </c>
      <c r="J1205" s="4013" t="s">
        <v>696</v>
      </c>
      <c r="K1205" s="1582"/>
      <c r="L1205" s="1819" t="s">
        <v>1783</v>
      </c>
      <c r="M1205" s="136" t="s">
        <v>1355</v>
      </c>
      <c r="N1205" s="136" t="s">
        <v>1396</v>
      </c>
      <c r="R1205" s="136">
        <f>AC891</f>
        <v>0</v>
      </c>
      <c r="S1205" s="136" t="s">
        <v>1421</v>
      </c>
    </row>
    <row r="1206" spans="1:19" ht="63.75">
      <c r="A1206" s="4012"/>
      <c r="B1206" s="3650" t="s">
        <v>699</v>
      </c>
      <c r="C1206" s="3651" t="s">
        <v>3402</v>
      </c>
      <c r="D1206" s="3650" t="s">
        <v>717</v>
      </c>
      <c r="E1206" s="3650" t="str">
        <f t="shared" si="322"/>
        <v>SAIGON  - TL 150 GSM</v>
      </c>
      <c r="F1206" s="3650" t="s">
        <v>718</v>
      </c>
      <c r="G1206" s="3652">
        <v>10400000</v>
      </c>
      <c r="H1206" s="3652">
        <f t="shared" si="323"/>
        <v>657222.22222222225</v>
      </c>
      <c r="I1206" s="3652">
        <f t="shared" si="324"/>
        <v>11058</v>
      </c>
      <c r="J1206" s="4013" t="s">
        <v>696</v>
      </c>
      <c r="K1206" s="1582"/>
      <c r="L1206" s="1819" t="s">
        <v>1784</v>
      </c>
      <c r="M1206" s="136" t="s">
        <v>1356</v>
      </c>
      <c r="N1206" s="136" t="s">
        <v>1397</v>
      </c>
      <c r="R1206" s="136">
        <f>AC892</f>
        <v>0</v>
      </c>
      <c r="S1206" s="136" t="s">
        <v>1768</v>
      </c>
    </row>
    <row r="1207" spans="1:19" ht="63.75">
      <c r="A1207" s="4012"/>
      <c r="B1207" s="3650" t="s">
        <v>699</v>
      </c>
      <c r="C1207" s="3651" t="s">
        <v>3778</v>
      </c>
      <c r="D1207" s="3650" t="s">
        <v>717</v>
      </c>
      <c r="E1207" s="3650" t="str">
        <f t="shared" si="322"/>
        <v>SAIGON  - TL 175 GSM</v>
      </c>
      <c r="F1207" s="3650" t="s">
        <v>718</v>
      </c>
      <c r="G1207" s="3652">
        <v>10600000</v>
      </c>
      <c r="H1207" s="3652">
        <f t="shared" si="323"/>
        <v>657222.22222222225</v>
      </c>
      <c r="I1207" s="3652">
        <f>IF(G1207&gt;0,ROUNDUP((G1207+H1207)/1000,0),0)</f>
        <v>11258</v>
      </c>
      <c r="J1207" s="4013" t="s">
        <v>696</v>
      </c>
      <c r="K1207" s="1582"/>
      <c r="L1207" s="1819" t="s">
        <v>1785</v>
      </c>
      <c r="M1207" s="136" t="s">
        <v>1357</v>
      </c>
      <c r="N1207" s="136" t="s">
        <v>1398</v>
      </c>
      <c r="R1207" s="136">
        <f>AC893</f>
        <v>0</v>
      </c>
      <c r="S1207" s="136" t="s">
        <v>1422</v>
      </c>
    </row>
    <row r="1208" spans="1:19" ht="63.75">
      <c r="A1208" s="4012"/>
      <c r="B1208" s="3650" t="s">
        <v>699</v>
      </c>
      <c r="C1208" s="3651" t="s">
        <v>3402</v>
      </c>
      <c r="D1208" s="3650" t="s">
        <v>721</v>
      </c>
      <c r="E1208" s="3650" t="str">
        <f t="shared" si="322"/>
        <v>VINAKRAFT - TL 150 GSM</v>
      </c>
      <c r="F1208" s="3650" t="s">
        <v>710</v>
      </c>
      <c r="G1208" s="3652">
        <v>13700000</v>
      </c>
      <c r="H1208" s="3652">
        <f t="shared" si="323"/>
        <v>666666.66666666663</v>
      </c>
      <c r="I1208" s="3652">
        <f t="shared" si="324"/>
        <v>14367</v>
      </c>
      <c r="J1208" s="4013" t="s">
        <v>696</v>
      </c>
      <c r="K1208" s="1582"/>
      <c r="L1208" s="1819" t="s">
        <v>1786</v>
      </c>
      <c r="M1208" s="136" t="s">
        <v>1358</v>
      </c>
      <c r="N1208" s="136" t="s">
        <v>1761</v>
      </c>
      <c r="R1208" s="136">
        <f>AC894</f>
        <v>0</v>
      </c>
      <c r="S1208" s="136" t="s">
        <v>3143</v>
      </c>
    </row>
    <row r="1209" spans="1:19" ht="63.75">
      <c r="A1209" s="4012"/>
      <c r="B1209" s="3650" t="s">
        <v>699</v>
      </c>
      <c r="C1209" s="3651" t="s">
        <v>3370</v>
      </c>
      <c r="D1209" s="3650" t="s">
        <v>721</v>
      </c>
      <c r="E1209" s="3650" t="str">
        <f t="shared" si="322"/>
        <v>VINAKRAFT - TL 250 GSM</v>
      </c>
      <c r="F1209" s="3650" t="s">
        <v>710</v>
      </c>
      <c r="G1209" s="3652"/>
      <c r="H1209" s="3652">
        <f t="shared" si="323"/>
        <v>666666.66666666663</v>
      </c>
      <c r="I1209" s="3652">
        <f t="shared" si="324"/>
        <v>0</v>
      </c>
      <c r="J1209" s="4013" t="s">
        <v>696</v>
      </c>
      <c r="K1209" s="1582"/>
      <c r="L1209" s="1819" t="s">
        <v>1787</v>
      </c>
      <c r="M1209" s="136" t="s">
        <v>2815</v>
      </c>
      <c r="S1209" s="136" t="s">
        <v>3144</v>
      </c>
    </row>
    <row r="1210" spans="1:19" ht="63.75">
      <c r="A1210" s="4012"/>
      <c r="B1210" s="3650" t="s">
        <v>699</v>
      </c>
      <c r="C1210" s="3651" t="s">
        <v>2252</v>
      </c>
      <c r="D1210" s="3650" t="s">
        <v>3250</v>
      </c>
      <c r="E1210" s="3650" t="str">
        <f t="shared" si="322"/>
        <v xml:space="preserve">DIA LONG - TL 150 GSM </v>
      </c>
      <c r="F1210" s="3650" t="s">
        <v>710</v>
      </c>
      <c r="G1210" s="3652">
        <v>10930000</v>
      </c>
      <c r="H1210" s="3652">
        <f t="shared" si="323"/>
        <v>666666.66666666663</v>
      </c>
      <c r="I1210" s="3652">
        <f t="shared" si="324"/>
        <v>11597</v>
      </c>
      <c r="J1210" s="4013" t="s">
        <v>696</v>
      </c>
      <c r="K1210" s="1582"/>
      <c r="L1210" s="1819" t="s">
        <v>1788</v>
      </c>
      <c r="M1210" s="136" t="s">
        <v>2816</v>
      </c>
      <c r="N1210" s="136" t="str">
        <f>Other!C3</f>
        <v>GB</v>
      </c>
      <c r="S1210" s="136" t="s">
        <v>2882</v>
      </c>
    </row>
    <row r="1211" spans="1:19" ht="63.75">
      <c r="A1211" s="4012"/>
      <c r="B1211" s="3650" t="s">
        <v>699</v>
      </c>
      <c r="C1211" s="3651" t="s">
        <v>3401</v>
      </c>
      <c r="D1211" s="3650" t="s">
        <v>961</v>
      </c>
      <c r="E1211" s="3650" t="str">
        <f t="shared" si="322"/>
        <v>CHANH DUONG - TL 120 GSM</v>
      </c>
      <c r="F1211" s="3650" t="s">
        <v>710</v>
      </c>
      <c r="G1211" s="3652"/>
      <c r="H1211" s="3652">
        <f t="shared" si="323"/>
        <v>666666.66666666663</v>
      </c>
      <c r="I1211" s="3652">
        <f t="shared" si="324"/>
        <v>0</v>
      </c>
      <c r="J1211" s="4013" t="s">
        <v>696</v>
      </c>
      <c r="K1211" s="1582"/>
      <c r="L1211" s="1819" t="s">
        <v>1789</v>
      </c>
      <c r="M1211" s="136" t="s">
        <v>2817</v>
      </c>
      <c r="N1211" s="136" t="str">
        <f>Other!C4</f>
        <v>GB</v>
      </c>
      <c r="S1211" s="136" t="s">
        <v>1769</v>
      </c>
    </row>
    <row r="1212" spans="1:19" ht="63.75">
      <c r="A1212" s="4012"/>
      <c r="B1212" s="3650" t="s">
        <v>699</v>
      </c>
      <c r="C1212" s="3651" t="s">
        <v>3402</v>
      </c>
      <c r="D1212" s="3650" t="s">
        <v>961</v>
      </c>
      <c r="E1212" s="3650" t="str">
        <f t="shared" si="322"/>
        <v>CHANH DUONG - TL 150 GSM</v>
      </c>
      <c r="F1212" s="3650" t="s">
        <v>710</v>
      </c>
      <c r="G1212" s="3652"/>
      <c r="H1212" s="3652">
        <f t="shared" si="323"/>
        <v>666666.66666666663</v>
      </c>
      <c r="I1212" s="3652">
        <f t="shared" si="324"/>
        <v>0</v>
      </c>
      <c r="J1212" s="4013" t="s">
        <v>696</v>
      </c>
      <c r="K1212" s="1582"/>
      <c r="L1212" s="1819" t="s">
        <v>1790</v>
      </c>
      <c r="M1212" s="136" t="s">
        <v>1373</v>
      </c>
      <c r="N1212" s="136" t="str">
        <f>Other!C5</f>
        <v>GB</v>
      </c>
      <c r="S1212" s="136" t="s">
        <v>1439</v>
      </c>
    </row>
    <row r="1213" spans="1:19" ht="63.75">
      <c r="A1213" s="4012"/>
      <c r="B1213" s="3650" t="s">
        <v>699</v>
      </c>
      <c r="C1213" s="3651" t="s">
        <v>2136</v>
      </c>
      <c r="D1213" s="3650" t="s">
        <v>961</v>
      </c>
      <c r="E1213" s="3650" t="str">
        <f t="shared" si="322"/>
        <v>CHANH DUONG - TL H160 GSM</v>
      </c>
      <c r="F1213" s="3650" t="s">
        <v>710</v>
      </c>
      <c r="G1213" s="3652"/>
      <c r="H1213" s="3652">
        <f t="shared" si="323"/>
        <v>666666.66666666663</v>
      </c>
      <c r="I1213" s="3652">
        <f t="shared" si="324"/>
        <v>0</v>
      </c>
      <c r="J1213" s="4013" t="s">
        <v>696</v>
      </c>
      <c r="K1213" s="1582"/>
      <c r="L1213" s="1819" t="s">
        <v>1791</v>
      </c>
      <c r="M1213" s="136" t="s">
        <v>2126</v>
      </c>
      <c r="N1213" s="136" t="str">
        <f>Other!C6</f>
        <v>GB</v>
      </c>
      <c r="S1213" s="136" t="s">
        <v>1440</v>
      </c>
    </row>
    <row r="1214" spans="1:19" ht="63.75">
      <c r="A1214" s="4012"/>
      <c r="B1214" s="3650" t="s">
        <v>699</v>
      </c>
      <c r="C1214" s="3651" t="s">
        <v>2219</v>
      </c>
      <c r="D1214" s="3650" t="s">
        <v>1050</v>
      </c>
      <c r="E1214" s="3650" t="str">
        <f t="shared" si="322"/>
        <v>THUAN AN - TL 125 GSM</v>
      </c>
      <c r="F1214" s="3650" t="s">
        <v>710</v>
      </c>
      <c r="G1214" s="3652"/>
      <c r="H1214" s="3652">
        <f t="shared" si="323"/>
        <v>666666.66666666663</v>
      </c>
      <c r="I1214" s="3652">
        <f t="shared" si="324"/>
        <v>0</v>
      </c>
      <c r="J1214" s="4013" t="s">
        <v>696</v>
      </c>
      <c r="K1214" s="1582"/>
      <c r="L1214" s="1819" t="s">
        <v>1792</v>
      </c>
      <c r="M1214" s="136" t="s">
        <v>2988</v>
      </c>
      <c r="N1214" s="136" t="str">
        <f>Other!C7</f>
        <v>GB</v>
      </c>
      <c r="S1214" s="136" t="s">
        <v>1424</v>
      </c>
    </row>
    <row r="1215" spans="1:19" ht="63.75">
      <c r="A1215" s="4012"/>
      <c r="B1215" s="3650" t="s">
        <v>699</v>
      </c>
      <c r="C1215" s="3651" t="s">
        <v>3402</v>
      </c>
      <c r="D1215" s="3650" t="s">
        <v>1050</v>
      </c>
      <c r="E1215" s="3650" t="str">
        <f t="shared" si="322"/>
        <v>THUAN AN - TL 150 GSM</v>
      </c>
      <c r="F1215" s="3650" t="s">
        <v>710</v>
      </c>
      <c r="G1215" s="3652">
        <v>10100000</v>
      </c>
      <c r="H1215" s="3652">
        <f t="shared" si="323"/>
        <v>666666.66666666663</v>
      </c>
      <c r="I1215" s="3652">
        <f t="shared" si="324"/>
        <v>10767</v>
      </c>
      <c r="J1215" s="4013" t="s">
        <v>696</v>
      </c>
      <c r="K1215" s="1582"/>
      <c r="L1215" s="1819" t="s">
        <v>1793</v>
      </c>
      <c r="M1215" s="136" t="s">
        <v>2987</v>
      </c>
      <c r="S1215" s="136" t="s">
        <v>1425</v>
      </c>
    </row>
    <row r="1216" spans="1:19" ht="63.75">
      <c r="A1216" s="4012"/>
      <c r="B1216" s="3650" t="s">
        <v>724</v>
      </c>
      <c r="C1216" s="3651" t="s">
        <v>2349</v>
      </c>
      <c r="D1216" s="3650" t="s">
        <v>717</v>
      </c>
      <c r="E1216" s="3650" t="str">
        <f>D1216&amp;" - "&amp;C1216</f>
        <v>SAIGON  - MD 105 GSM</v>
      </c>
      <c r="F1216" s="3650" t="s">
        <v>718</v>
      </c>
      <c r="G1216" s="3652"/>
      <c r="H1216" s="3652">
        <f t="shared" si="323"/>
        <v>657222.22222222225</v>
      </c>
      <c r="I1216" s="3652">
        <f t="shared" si="324"/>
        <v>0</v>
      </c>
      <c r="J1216" s="4013" t="s">
        <v>696</v>
      </c>
      <c r="K1216" s="1582"/>
      <c r="L1216" s="1819" t="s">
        <v>1794</v>
      </c>
      <c r="M1216" s="136" t="s">
        <v>1364</v>
      </c>
      <c r="S1216" s="136" t="s">
        <v>1441</v>
      </c>
    </row>
    <row r="1217" spans="1:19" ht="63.75">
      <c r="A1217" s="4012"/>
      <c r="B1217" s="3650" t="s">
        <v>724</v>
      </c>
      <c r="C1217" s="3651" t="s">
        <v>2899</v>
      </c>
      <c r="D1217" s="3650" t="s">
        <v>717</v>
      </c>
      <c r="E1217" s="3650" t="str">
        <f>D1217&amp;" - "&amp;C1217</f>
        <v>SAIGON  - MD 125, 150 GSM</v>
      </c>
      <c r="F1217" s="3650" t="s">
        <v>718</v>
      </c>
      <c r="G1217" s="3652"/>
      <c r="H1217" s="3652">
        <f t="shared" si="323"/>
        <v>657222.22222222225</v>
      </c>
      <c r="I1217" s="3652">
        <f t="shared" si="324"/>
        <v>0</v>
      </c>
      <c r="J1217" s="4013" t="s">
        <v>696</v>
      </c>
      <c r="K1217" s="1582"/>
      <c r="L1217" s="1819" t="s">
        <v>1795</v>
      </c>
      <c r="M1217" s="136" t="s">
        <v>1365</v>
      </c>
      <c r="S1217" s="136" t="s">
        <v>1770</v>
      </c>
    </row>
    <row r="1218" spans="1:19" ht="63.75">
      <c r="A1218" s="4012"/>
      <c r="B1218" s="3650" t="s">
        <v>724</v>
      </c>
      <c r="C1218" s="3651" t="s">
        <v>2350</v>
      </c>
      <c r="D1218" s="3650" t="s">
        <v>721</v>
      </c>
      <c r="E1218" s="3650" t="str">
        <f t="shared" ref="E1218:E1223" si="325">D1218&amp;" - "&amp;C1218</f>
        <v>VINAKRAFT - MD 105,115 GSM</v>
      </c>
      <c r="F1218" s="3650" t="s">
        <v>710</v>
      </c>
      <c r="G1218" s="3652"/>
      <c r="H1218" s="3652">
        <f t="shared" si="323"/>
        <v>666666.66666666663</v>
      </c>
      <c r="I1218" s="3652">
        <f t="shared" si="324"/>
        <v>0</v>
      </c>
      <c r="J1218" s="4013" t="s">
        <v>696</v>
      </c>
      <c r="K1218" s="1582"/>
      <c r="L1218" s="1819" t="s">
        <v>1796</v>
      </c>
      <c r="M1218" s="136" t="s">
        <v>2127</v>
      </c>
      <c r="S1218" s="136" t="s">
        <v>1771</v>
      </c>
    </row>
    <row r="1219" spans="1:19" ht="63.75">
      <c r="A1219" s="4012"/>
      <c r="B1219" s="3650" t="s">
        <v>724</v>
      </c>
      <c r="C1219" s="3651" t="s">
        <v>2351</v>
      </c>
      <c r="D1219" s="3650" t="s">
        <v>721</v>
      </c>
      <c r="E1219" s="3650" t="str">
        <f t="shared" si="325"/>
        <v>VINAKRAFT - MD 125, 150, 185 GSM</v>
      </c>
      <c r="F1219" s="3650" t="s">
        <v>710</v>
      </c>
      <c r="G1219" s="3652"/>
      <c r="H1219" s="3652">
        <f t="shared" si="323"/>
        <v>666666.66666666663</v>
      </c>
      <c r="I1219" s="3652">
        <f t="shared" si="324"/>
        <v>0</v>
      </c>
      <c r="J1219" s="4013" t="s">
        <v>696</v>
      </c>
      <c r="K1219" s="1582"/>
      <c r="L1219" s="1819" t="s">
        <v>1797</v>
      </c>
      <c r="M1219" s="136" t="s">
        <v>3353</v>
      </c>
      <c r="S1219" s="136" t="s">
        <v>1213</v>
      </c>
    </row>
    <row r="1220" spans="1:19" ht="63.75">
      <c r="A1220" s="4012"/>
      <c r="B1220" s="3650" t="s">
        <v>724</v>
      </c>
      <c r="C1220" s="3651" t="s">
        <v>3014</v>
      </c>
      <c r="D1220" s="3650" t="s">
        <v>721</v>
      </c>
      <c r="E1220" s="3650" t="str">
        <f t="shared" si="325"/>
        <v>VINAKRAFT - MD GK 125 GSM</v>
      </c>
      <c r="F1220" s="3650" t="s">
        <v>710</v>
      </c>
      <c r="G1220" s="3652">
        <v>12900000</v>
      </c>
      <c r="H1220" s="3652">
        <f t="shared" si="323"/>
        <v>666666.66666666663</v>
      </c>
      <c r="I1220" s="3652">
        <f t="shared" si="324"/>
        <v>13567</v>
      </c>
      <c r="J1220" s="4013" t="s">
        <v>696</v>
      </c>
      <c r="K1220" s="1582"/>
      <c r="L1220" s="1819" t="s">
        <v>1798</v>
      </c>
      <c r="M1220" s="136" t="s">
        <v>1383</v>
      </c>
      <c r="S1220" s="136" t="s">
        <v>1442</v>
      </c>
    </row>
    <row r="1221" spans="1:19" ht="63.75">
      <c r="A1221" s="4012"/>
      <c r="B1221" s="3650" t="s">
        <v>724</v>
      </c>
      <c r="C1221" s="3651" t="s">
        <v>3015</v>
      </c>
      <c r="D1221" s="3650" t="s">
        <v>721</v>
      </c>
      <c r="E1221" s="3650" t="str">
        <f t="shared" si="325"/>
        <v>VINAKRAFT - MD GK 150 GSM</v>
      </c>
      <c r="F1221" s="3650" t="s">
        <v>695</v>
      </c>
      <c r="G1221" s="3652">
        <v>12900000</v>
      </c>
      <c r="H1221" s="3652">
        <f t="shared" si="323"/>
        <v>666666.66666666663</v>
      </c>
      <c r="I1221" s="3652">
        <f t="shared" si="324"/>
        <v>13567</v>
      </c>
      <c r="J1221" s="4013" t="s">
        <v>696</v>
      </c>
      <c r="K1221" s="1582"/>
      <c r="L1221" s="1819" t="s">
        <v>1799</v>
      </c>
      <c r="M1221" s="136" t="s">
        <v>2818</v>
      </c>
      <c r="S1221" s="136" t="s">
        <v>1772</v>
      </c>
    </row>
    <row r="1222" spans="1:19" ht="63.75">
      <c r="A1222" s="4012"/>
      <c r="B1222" s="3650" t="s">
        <v>724</v>
      </c>
      <c r="C1222" s="3651" t="s">
        <v>2352</v>
      </c>
      <c r="D1222" s="3650" t="s">
        <v>717</v>
      </c>
      <c r="E1222" s="3650" t="str">
        <f t="shared" si="325"/>
        <v>SAIGON  - MD GK 100 GSM</v>
      </c>
      <c r="F1222" s="3650" t="s">
        <v>718</v>
      </c>
      <c r="G1222" s="3652">
        <v>10300000</v>
      </c>
      <c r="H1222" s="3652">
        <f t="shared" si="323"/>
        <v>657222.22222222225</v>
      </c>
      <c r="I1222" s="3652">
        <f t="shared" si="324"/>
        <v>10958</v>
      </c>
      <c r="J1222" s="4013" t="s">
        <v>696</v>
      </c>
      <c r="K1222" s="1582"/>
      <c r="L1222" s="1819" t="s">
        <v>1800</v>
      </c>
      <c r="M1222" s="136" t="s">
        <v>2819</v>
      </c>
      <c r="S1222" s="136" t="s">
        <v>1426</v>
      </c>
    </row>
    <row r="1223" spans="1:19" ht="63.75">
      <c r="A1223" s="4012"/>
      <c r="B1223" s="3650" t="s">
        <v>724</v>
      </c>
      <c r="C1223" s="3651" t="s">
        <v>3657</v>
      </c>
      <c r="D1223" s="3650" t="s">
        <v>717</v>
      </c>
      <c r="E1223" s="3650" t="str">
        <f t="shared" si="325"/>
        <v>SAIGON  - MD GK 112, 120, 125, 150 GSM</v>
      </c>
      <c r="F1223" s="3650" t="s">
        <v>718</v>
      </c>
      <c r="G1223" s="3652">
        <v>10300000</v>
      </c>
      <c r="H1223" s="3652">
        <f t="shared" si="323"/>
        <v>657222.22222222225</v>
      </c>
      <c r="I1223" s="3652">
        <f t="shared" si="324"/>
        <v>10958</v>
      </c>
      <c r="J1223" s="4013" t="s">
        <v>696</v>
      </c>
      <c r="K1223" s="1582"/>
      <c r="L1223" s="1819" t="s">
        <v>2868</v>
      </c>
      <c r="M1223" s="136" t="s">
        <v>2820</v>
      </c>
      <c r="S1223" s="136" t="s">
        <v>1443</v>
      </c>
    </row>
    <row r="1224" spans="1:19" ht="63.75">
      <c r="A1224" s="4012"/>
      <c r="B1224" s="3650" t="s">
        <v>724</v>
      </c>
      <c r="C1224" s="3651" t="s">
        <v>3658</v>
      </c>
      <c r="D1224" s="3650" t="s">
        <v>3251</v>
      </c>
      <c r="E1224" s="3650" t="str">
        <f>D1224&amp;" - "&amp;C1224</f>
        <v>CHENG LOONG - MD GK 120, 125, 150 GSM</v>
      </c>
      <c r="F1224" s="3650" t="s">
        <v>710</v>
      </c>
      <c r="G1224" s="3652">
        <v>10200000</v>
      </c>
      <c r="H1224" s="3652">
        <f t="shared" si="323"/>
        <v>666666.66666666663</v>
      </c>
      <c r="I1224" s="3652">
        <f t="shared" si="324"/>
        <v>10867</v>
      </c>
      <c r="J1224" s="4013" t="s">
        <v>696</v>
      </c>
      <c r="K1224" s="1582"/>
      <c r="L1224" s="1819" t="s">
        <v>1801</v>
      </c>
      <c r="M1224" s="136" t="s">
        <v>2821</v>
      </c>
      <c r="S1224" s="136" t="s">
        <v>3145</v>
      </c>
    </row>
    <row r="1225" spans="1:19" ht="63.75">
      <c r="A1225" s="4012"/>
      <c r="B1225" s="3650" t="s">
        <v>724</v>
      </c>
      <c r="C1225" s="3651" t="s">
        <v>3014</v>
      </c>
      <c r="D1225" s="3650" t="s">
        <v>1050</v>
      </c>
      <c r="E1225" s="3650" t="str">
        <f>D1225&amp;" - "&amp;C1225</f>
        <v>THUAN AN - MD GK 125 GSM</v>
      </c>
      <c r="F1225" s="3650" t="s">
        <v>710</v>
      </c>
      <c r="G1225" s="3652">
        <v>10200000</v>
      </c>
      <c r="H1225" s="3652">
        <f t="shared" si="323"/>
        <v>666666.66666666663</v>
      </c>
      <c r="I1225" s="3652">
        <f>IF(G1225&gt;0,ROUNDUP((G1225+H1225)/1000,0),0)</f>
        <v>10867</v>
      </c>
      <c r="J1225" s="4013" t="s">
        <v>696</v>
      </c>
      <c r="K1225" s="1582"/>
      <c r="L1225" s="1819" t="s">
        <v>1802</v>
      </c>
      <c r="M1225" s="136" t="s">
        <v>2822</v>
      </c>
      <c r="S1225" s="136" t="s">
        <v>1427</v>
      </c>
    </row>
    <row r="1226" spans="1:19" ht="64.5" thickBot="1">
      <c r="A1226" s="3098"/>
      <c r="B1226" s="3099" t="s">
        <v>724</v>
      </c>
      <c r="C1226" s="3651" t="s">
        <v>2352</v>
      </c>
      <c r="D1226" s="3650" t="s">
        <v>3251</v>
      </c>
      <c r="E1226" s="3650" t="str">
        <f>D1226&amp;" - "&amp;C1226</f>
        <v>CHENG LOONG - MD GK 100 GSM</v>
      </c>
      <c r="F1226" s="3650" t="s">
        <v>710</v>
      </c>
      <c r="G1226" s="3652">
        <v>10700000</v>
      </c>
      <c r="H1226" s="3652">
        <f t="shared" si="323"/>
        <v>666666.66666666663</v>
      </c>
      <c r="I1226" s="3652">
        <f t="shared" ref="I1226" si="326">IF(G1226&gt;0,ROUNDUP((G1226+H1226)/1000,0),0)</f>
        <v>11367</v>
      </c>
      <c r="J1226" s="4013" t="s">
        <v>696</v>
      </c>
      <c r="K1226" s="1582"/>
      <c r="L1226" s="1819" t="s">
        <v>2869</v>
      </c>
      <c r="M1226" s="136" t="s">
        <v>2823</v>
      </c>
      <c r="S1226" s="136" t="s">
        <v>1773</v>
      </c>
    </row>
    <row r="1227" spans="1:19" ht="12.75">
      <c r="A1227" s="2683"/>
      <c r="B1227" s="2724"/>
      <c r="C1227" s="2724"/>
      <c r="D1227" s="2724"/>
      <c r="E1227" s="2724"/>
      <c r="F1227" s="2724"/>
      <c r="G1227" s="2724"/>
      <c r="H1227" s="2724"/>
      <c r="I1227" s="2724"/>
      <c r="J1227" s="2724"/>
      <c r="K1227" s="1582"/>
      <c r="L1227" s="1819" t="s">
        <v>1803</v>
      </c>
      <c r="M1227" s="136" t="s">
        <v>2824</v>
      </c>
      <c r="S1227" s="136" t="s">
        <v>1444</v>
      </c>
    </row>
    <row r="1228" spans="1:19" ht="12.75">
      <c r="A1228" s="2724"/>
      <c r="B1228" s="2724"/>
      <c r="C1228" s="2724"/>
      <c r="D1228" s="2724"/>
      <c r="E1228" s="2724"/>
      <c r="F1228" s="2724"/>
      <c r="G1228" s="2724"/>
      <c r="H1228" s="2724"/>
      <c r="I1228" s="2724"/>
      <c r="J1228" s="2724"/>
      <c r="K1228" s="1582"/>
      <c r="L1228" s="1819" t="s">
        <v>1804</v>
      </c>
      <c r="M1228" s="136" t="s">
        <v>2825</v>
      </c>
      <c r="S1228" s="136" t="s">
        <v>1428</v>
      </c>
    </row>
    <row r="1229" spans="1:19" ht="38.25">
      <c r="A1229" s="2724"/>
      <c r="B1229" s="3653" t="s">
        <v>725</v>
      </c>
      <c r="C1229" s="3653" t="s">
        <v>3714</v>
      </c>
      <c r="D1229" s="2724"/>
      <c r="E1229" s="2724"/>
      <c r="F1229" s="2724"/>
      <c r="G1229" s="2724"/>
      <c r="H1229" s="2724"/>
      <c r="I1229" s="2724"/>
      <c r="J1229" s="2724"/>
      <c r="K1229" s="1582"/>
      <c r="L1229" s="1819" t="s">
        <v>1805</v>
      </c>
      <c r="M1229" s="136" t="s">
        <v>2860</v>
      </c>
      <c r="S1229" s="136" t="s">
        <v>3146</v>
      </c>
    </row>
    <row r="1230" spans="1:19" ht="12.75">
      <c r="A1230" s="2724"/>
      <c r="B1230" s="3654" t="s">
        <v>2394</v>
      </c>
      <c r="C1230" s="3655">
        <f>6060000/1.8</f>
        <v>3366666.6666666665</v>
      </c>
      <c r="D1230" s="2724"/>
      <c r="E1230" s="2724"/>
      <c r="F1230" s="2724"/>
      <c r="G1230" s="2724"/>
      <c r="H1230" s="2724"/>
      <c r="I1230" s="2724"/>
      <c r="J1230" s="2724"/>
      <c r="K1230" s="1582"/>
      <c r="L1230" s="1819" t="s">
        <v>1806</v>
      </c>
      <c r="M1230" s="136" t="s">
        <v>2128</v>
      </c>
      <c r="S1230" s="136" t="s">
        <v>1445</v>
      </c>
    </row>
    <row r="1231" spans="1:19" ht="12.75">
      <c r="A1231" s="2724"/>
      <c r="B1231" s="3656" t="s">
        <v>695</v>
      </c>
      <c r="C1231" s="3657">
        <f>1200000/1.8</f>
        <v>666666.66666666663</v>
      </c>
      <c r="D1231" s="2724"/>
      <c r="E1231" s="2724"/>
      <c r="F1231" s="2724"/>
      <c r="G1231" s="2724"/>
      <c r="H1231" s="2724"/>
      <c r="I1231" s="2724"/>
      <c r="J1231" s="2724"/>
      <c r="K1231" s="1582"/>
      <c r="L1231" s="1819" t="s">
        <v>1807</v>
      </c>
      <c r="M1231" s="136" t="s">
        <v>2826</v>
      </c>
      <c r="S1231" s="136" t="s">
        <v>2883</v>
      </c>
    </row>
    <row r="1232" spans="1:19" ht="12.75">
      <c r="A1232" s="2724"/>
      <c r="B1232" s="3656" t="s">
        <v>710</v>
      </c>
      <c r="C1232" s="3657">
        <f>1200000/1.8</f>
        <v>666666.66666666663</v>
      </c>
      <c r="D1232" s="2724"/>
      <c r="E1232" s="2724"/>
      <c r="F1232" s="2724"/>
      <c r="G1232" s="2724"/>
      <c r="H1232" s="2724"/>
      <c r="I1232" s="2724"/>
      <c r="J1232" s="2724"/>
      <c r="K1232" s="1582"/>
      <c r="L1232" s="1819" t="s">
        <v>1808</v>
      </c>
      <c r="M1232" s="136" t="s">
        <v>3119</v>
      </c>
      <c r="S1232" s="136" t="s">
        <v>1446</v>
      </c>
    </row>
    <row r="1233" spans="1:19" ht="12.75">
      <c r="A1233" s="2724"/>
      <c r="B1233" s="3656" t="s">
        <v>714</v>
      </c>
      <c r="C1233" s="3657">
        <f>1320000/1.8</f>
        <v>733333.33333333337</v>
      </c>
      <c r="D1233" s="2724"/>
      <c r="E1233" s="2724"/>
      <c r="F1233" s="2724"/>
      <c r="G1233" s="2724"/>
      <c r="H1233" s="2724"/>
      <c r="I1233" s="2724"/>
      <c r="J1233" s="2724"/>
      <c r="K1233" s="1582"/>
      <c r="L1233" s="1819" t="s">
        <v>1809</v>
      </c>
      <c r="M1233" s="136" t="s">
        <v>3120</v>
      </c>
      <c r="S1233" s="136" t="s">
        <v>1774</v>
      </c>
    </row>
    <row r="1234" spans="1:19" ht="12.75">
      <c r="A1234" s="2724"/>
      <c r="B1234" s="3656" t="s">
        <v>718</v>
      </c>
      <c r="C1234" s="3657">
        <f>1183000/1.8</f>
        <v>657222.22222222225</v>
      </c>
      <c r="D1234" s="2724"/>
      <c r="E1234" s="2724"/>
      <c r="F1234" s="2724"/>
      <c r="G1234" s="2724"/>
      <c r="H1234" s="2724"/>
      <c r="I1234" s="2724"/>
      <c r="J1234" s="2724"/>
      <c r="K1234" s="1582"/>
      <c r="L1234" s="1819" t="s">
        <v>1810</v>
      </c>
      <c r="M1234" s="136" t="s">
        <v>2129</v>
      </c>
      <c r="S1234" s="136" t="s">
        <v>1775</v>
      </c>
    </row>
    <row r="1235" spans="1:19" ht="12.75">
      <c r="A1235" s="2724"/>
      <c r="B1235" s="3656" t="s">
        <v>722</v>
      </c>
      <c r="C1235" s="3657">
        <f>1100000/1.8</f>
        <v>611111.11111111112</v>
      </c>
      <c r="D1235" s="2724"/>
      <c r="E1235" s="2724"/>
      <c r="F1235" s="2724"/>
      <c r="G1235" s="2724"/>
      <c r="H1235" s="2724"/>
      <c r="I1235" s="2724"/>
      <c r="J1235" s="2724"/>
      <c r="K1235" s="1582"/>
      <c r="L1235" s="1819" t="s">
        <v>1811</v>
      </c>
      <c r="M1235" s="136" t="s">
        <v>2131</v>
      </c>
      <c r="S1235" s="136" t="s">
        <v>1447</v>
      </c>
    </row>
    <row r="1236" spans="1:19" ht="12.75">
      <c r="A1236" s="2724"/>
      <c r="B1236" s="2724"/>
      <c r="C1236" s="2724"/>
      <c r="D1236" s="2724"/>
      <c r="E1236" s="2724"/>
      <c r="F1236" s="2724"/>
      <c r="G1236" s="2724"/>
      <c r="H1236" s="2724"/>
      <c r="I1236" s="2724"/>
      <c r="J1236" s="2724"/>
      <c r="K1236" s="1582"/>
      <c r="L1236" s="1819" t="s">
        <v>1812</v>
      </c>
      <c r="M1236" s="136" t="s">
        <v>2827</v>
      </c>
      <c r="S1236" s="136" t="s">
        <v>1430</v>
      </c>
    </row>
    <row r="1237" spans="1:19" ht="12.75">
      <c r="A1237" s="2724"/>
      <c r="B1237" s="2724"/>
      <c r="C1237" s="2724"/>
      <c r="D1237" s="2724"/>
      <c r="E1237" s="2724"/>
      <c r="F1237" s="2724"/>
      <c r="G1237" s="2724"/>
      <c r="H1237" s="2724"/>
      <c r="I1237" s="2724"/>
      <c r="J1237" s="2724"/>
      <c r="K1237" s="1582"/>
      <c r="L1237" s="1819" t="s">
        <v>1813</v>
      </c>
      <c r="M1237" s="136" t="s">
        <v>2828</v>
      </c>
      <c r="S1237" s="865" t="s">
        <v>1776</v>
      </c>
    </row>
    <row r="1238" spans="1:19" ht="12.75">
      <c r="A1238" s="2724"/>
      <c r="B1238" s="2724"/>
      <c r="C1238" s="2724"/>
      <c r="D1238" s="2724"/>
      <c r="E1238" s="2724"/>
      <c r="F1238" s="2724"/>
      <c r="G1238" s="2724"/>
      <c r="H1238" s="2724"/>
      <c r="I1238" s="2724"/>
      <c r="J1238" s="2724"/>
      <c r="K1238" s="1582"/>
      <c r="L1238" s="1819" t="s">
        <v>1814</v>
      </c>
      <c r="M1238" s="136" t="s">
        <v>2829</v>
      </c>
      <c r="S1238" s="865" t="s">
        <v>1448</v>
      </c>
    </row>
    <row r="1239" spans="1:19">
      <c r="A1239" s="3100"/>
      <c r="B1239" s="3100"/>
      <c r="C1239" s="3100"/>
      <c r="D1239" s="3100"/>
      <c r="E1239" s="3100"/>
      <c r="F1239" s="3100"/>
      <c r="G1239" s="3100"/>
      <c r="H1239" s="3100"/>
      <c r="I1239" s="3100"/>
      <c r="J1239" s="3100"/>
      <c r="K1239" s="1582"/>
      <c r="L1239" s="1819" t="s">
        <v>1815</v>
      </c>
      <c r="M1239" s="136" t="s">
        <v>2830</v>
      </c>
      <c r="S1239" s="865" t="s">
        <v>1431</v>
      </c>
    </row>
    <row r="1240" spans="1:19">
      <c r="A1240" s="3100"/>
      <c r="B1240" s="3100"/>
      <c r="C1240" s="3100"/>
      <c r="D1240" s="3100"/>
      <c r="E1240" s="3100"/>
      <c r="F1240" s="3100"/>
      <c r="G1240" s="3100"/>
      <c r="H1240" s="3100"/>
      <c r="I1240" s="3100"/>
      <c r="J1240" s="3100"/>
      <c r="K1240" s="1582"/>
      <c r="L1240" s="1819" t="s">
        <v>1816</v>
      </c>
      <c r="M1240" s="136" t="s">
        <v>2831</v>
      </c>
      <c r="S1240" s="865" t="s">
        <v>1777</v>
      </c>
    </row>
    <row r="1241" spans="1:19">
      <c r="A1241" s="3100"/>
      <c r="B1241" s="3100"/>
      <c r="C1241" s="3100"/>
      <c r="D1241" s="3100"/>
      <c r="E1241" s="3100"/>
      <c r="F1241" s="3100"/>
      <c r="G1241" s="3100"/>
      <c r="H1241" s="3100"/>
      <c r="I1241" s="3100"/>
      <c r="J1241" s="3100"/>
      <c r="K1241" s="1582"/>
      <c r="L1241" s="1819" t="s">
        <v>1817</v>
      </c>
      <c r="M1241" s="136" t="s">
        <v>2832</v>
      </c>
      <c r="S1241" s="136" t="s">
        <v>1449</v>
      </c>
    </row>
    <row r="1242" spans="1:19">
      <c r="A1242" s="3100"/>
      <c r="B1242" s="3100"/>
      <c r="C1242" s="3100"/>
      <c r="D1242" s="3100"/>
      <c r="E1242" s="3100"/>
      <c r="F1242" s="3100"/>
      <c r="G1242" s="3100"/>
      <c r="H1242" s="3100"/>
      <c r="I1242" s="3100"/>
      <c r="J1242" s="3100"/>
      <c r="K1242" s="1582"/>
      <c r="L1242" s="1819" t="s">
        <v>1818</v>
      </c>
      <c r="M1242" s="136" t="s">
        <v>2833</v>
      </c>
      <c r="S1242" s="136" t="s">
        <v>1432</v>
      </c>
    </row>
    <row r="1243" spans="1:19">
      <c r="A1243" s="3100"/>
      <c r="B1243" s="3100"/>
      <c r="C1243" s="3100"/>
      <c r="D1243" s="3100"/>
      <c r="E1243" s="3100"/>
      <c r="F1243" s="3100"/>
      <c r="G1243" s="3100"/>
      <c r="H1243" s="3100"/>
      <c r="I1243" s="3100"/>
      <c r="J1243" s="3100"/>
      <c r="K1243" s="1582"/>
      <c r="L1243" s="1819" t="s">
        <v>1819</v>
      </c>
      <c r="M1243" s="136" t="s">
        <v>2834</v>
      </c>
      <c r="S1243" s="136" t="s">
        <v>1450</v>
      </c>
    </row>
    <row r="1244" spans="1:19">
      <c r="A1244" s="3100"/>
      <c r="B1244" s="3100"/>
      <c r="C1244" s="3100"/>
      <c r="D1244" s="3100"/>
      <c r="E1244" s="3100"/>
      <c r="F1244" s="3100"/>
      <c r="G1244" s="3100"/>
      <c r="H1244" s="3100"/>
      <c r="I1244" s="3100"/>
      <c r="J1244" s="3100"/>
      <c r="K1244" s="1582"/>
      <c r="L1244" s="1819" t="s">
        <v>2870</v>
      </c>
      <c r="M1244" s="136" t="s">
        <v>2835</v>
      </c>
      <c r="S1244" s="136" t="s">
        <v>1451</v>
      </c>
    </row>
    <row r="1245" spans="1:19">
      <c r="A1245" s="3100"/>
      <c r="B1245" s="3100"/>
      <c r="C1245" s="3100"/>
      <c r="D1245" s="3100"/>
      <c r="E1245" s="3100"/>
      <c r="F1245" s="3100"/>
      <c r="G1245" s="3100"/>
      <c r="H1245" s="3100"/>
      <c r="I1245" s="3100"/>
      <c r="J1245" s="3100"/>
      <c r="K1245" s="1582"/>
      <c r="L1245" s="1819" t="s">
        <v>1820</v>
      </c>
      <c r="M1245" s="136" t="s">
        <v>2836</v>
      </c>
      <c r="S1245" s="136" t="s">
        <v>1433</v>
      </c>
    </row>
    <row r="1246" spans="1:19">
      <c r="A1246" s="3100"/>
      <c r="B1246" s="3100"/>
      <c r="C1246" s="3100"/>
      <c r="D1246" s="3100"/>
      <c r="E1246" s="3100"/>
      <c r="F1246" s="3100"/>
      <c r="G1246" s="3100"/>
      <c r="H1246" s="3100"/>
      <c r="I1246" s="3100"/>
      <c r="J1246" s="3100"/>
      <c r="K1246" s="1582"/>
      <c r="L1246" s="1819" t="s">
        <v>2871</v>
      </c>
      <c r="M1246" s="136" t="s">
        <v>2837</v>
      </c>
      <c r="S1246" s="136" t="s">
        <v>1778</v>
      </c>
    </row>
    <row r="1247" spans="1:19">
      <c r="L1247" s="1819" t="s">
        <v>1821</v>
      </c>
      <c r="M1247" s="136" t="s">
        <v>2838</v>
      </c>
      <c r="S1247" s="136" t="s">
        <v>1452</v>
      </c>
    </row>
    <row r="1248" spans="1:19">
      <c r="L1248" s="1819" t="s">
        <v>1822</v>
      </c>
      <c r="M1248" s="136" t="s">
        <v>2839</v>
      </c>
      <c r="S1248" s="136" t="s">
        <v>2884</v>
      </c>
    </row>
    <row r="1249" spans="12:19">
      <c r="L1249" s="1819" t="s">
        <v>1823</v>
      </c>
      <c r="M1249" s="136" t="s">
        <v>2840</v>
      </c>
      <c r="S1249" s="136" t="s">
        <v>1453</v>
      </c>
    </row>
    <row r="1250" spans="12:19">
      <c r="L1250" s="1819" t="s">
        <v>1824</v>
      </c>
      <c r="M1250" s="1220" t="s">
        <v>2841</v>
      </c>
      <c r="S1250" s="136" t="s">
        <v>1435</v>
      </c>
    </row>
    <row r="1251" spans="12:19">
      <c r="L1251" s="1819" t="s">
        <v>1825</v>
      </c>
      <c r="M1251" s="1220" t="s">
        <v>2842</v>
      </c>
      <c r="S1251" s="136" t="s">
        <v>1454</v>
      </c>
    </row>
    <row r="1252" spans="12:19">
      <c r="L1252" s="1819" t="s">
        <v>1826</v>
      </c>
      <c r="M1252" s="136" t="s">
        <v>2843</v>
      </c>
      <c r="S1252" s="136" t="s">
        <v>1455</v>
      </c>
    </row>
    <row r="1253" spans="12:19">
      <c r="L1253" s="1819" t="s">
        <v>1827</v>
      </c>
      <c r="M1253" s="136" t="s">
        <v>2848</v>
      </c>
      <c r="S1253" s="136" t="s">
        <v>1436</v>
      </c>
    </row>
    <row r="1254" spans="12:19">
      <c r="L1254" s="1819" t="s">
        <v>1828</v>
      </c>
      <c r="M1254" s="136" t="s">
        <v>2844</v>
      </c>
      <c r="S1254" s="136">
        <v>0</v>
      </c>
    </row>
    <row r="1255" spans="12:19">
      <c r="L1255" s="1819" t="s">
        <v>1829</v>
      </c>
      <c r="M1255" s="136" t="s">
        <v>2847</v>
      </c>
      <c r="S1255" s="136">
        <v>0</v>
      </c>
    </row>
    <row r="1256" spans="12:19">
      <c r="L1256" s="1819" t="s">
        <v>1830</v>
      </c>
      <c r="M1256" s="136" t="s">
        <v>1372</v>
      </c>
      <c r="S1256" s="136">
        <f>Other!F13</f>
        <v>0</v>
      </c>
    </row>
    <row r="1257" spans="12:19">
      <c r="L1257" s="1819" t="s">
        <v>2872</v>
      </c>
      <c r="M1257" s="136" t="s">
        <v>2845</v>
      </c>
      <c r="S1257" s="136">
        <f>Other!F14</f>
        <v>0</v>
      </c>
    </row>
    <row r="1258" spans="12:19">
      <c r="L1258" s="1819" t="s">
        <v>1831</v>
      </c>
      <c r="M1258" s="136" t="s">
        <v>2132</v>
      </c>
      <c r="S1258" s="136">
        <f>Other!F15</f>
        <v>0</v>
      </c>
    </row>
    <row r="1259" spans="12:19">
      <c r="L1259" s="1819" t="s">
        <v>1832</v>
      </c>
      <c r="M1259" s="136" t="s">
        <v>2846</v>
      </c>
      <c r="S1259" s="136">
        <f>Other!F16</f>
        <v>0</v>
      </c>
    </row>
    <row r="1260" spans="12:19">
      <c r="L1260" s="1819" t="s">
        <v>1833</v>
      </c>
      <c r="M1260" s="136" t="s">
        <v>1370</v>
      </c>
      <c r="S1260" s="136">
        <f>Other!F17</f>
        <v>0</v>
      </c>
    </row>
    <row r="1261" spans="12:19">
      <c r="L1261" s="1819" t="s">
        <v>1834</v>
      </c>
      <c r="M1261" s="136" t="s">
        <v>1361</v>
      </c>
    </row>
    <row r="1262" spans="12:19">
      <c r="L1262" s="1819" t="s">
        <v>1835</v>
      </c>
      <c r="M1262" s="136" t="s">
        <v>2133</v>
      </c>
    </row>
    <row r="1263" spans="12:19">
      <c r="L1263" s="1819" t="s">
        <v>1836</v>
      </c>
      <c r="M1263" s="136" t="s">
        <v>2347</v>
      </c>
    </row>
    <row r="1264" spans="12:19">
      <c r="L1264" s="1819" t="s">
        <v>1762</v>
      </c>
      <c r="M1264" s="1220" t="str">
        <f>+AA818</f>
        <v>brand 1</v>
      </c>
    </row>
    <row r="1265" spans="12:13">
      <c r="L1265" s="1819" t="s">
        <v>1837</v>
      </c>
      <c r="M1265" s="1220" t="str">
        <f>+AA819</f>
        <v>brand 2</v>
      </c>
    </row>
    <row r="1266" spans="12:13">
      <c r="L1266" s="1819" t="s">
        <v>1838</v>
      </c>
      <c r="M1266" s="1220" t="str">
        <f>+AA820</f>
        <v>brand 3</v>
      </c>
    </row>
    <row r="1267" spans="12:13">
      <c r="L1267" s="1819" t="s">
        <v>2873</v>
      </c>
      <c r="M1267" s="1220" t="str">
        <f>+AA821</f>
        <v>brand 4</v>
      </c>
    </row>
    <row r="1268" spans="12:13">
      <c r="L1268" s="1819" t="s">
        <v>1839</v>
      </c>
      <c r="M1268" s="1220" t="str">
        <f>+AA822</f>
        <v>brand 5</v>
      </c>
    </row>
    <row r="1269" spans="12:13">
      <c r="L1269" s="1819" t="s">
        <v>1840</v>
      </c>
    </row>
    <row r="1270" spans="12:13">
      <c r="L1270" s="1819" t="s">
        <v>1841</v>
      </c>
    </row>
    <row r="1271" spans="12:13">
      <c r="L1271" s="1819" t="s">
        <v>1842</v>
      </c>
    </row>
    <row r="1272" spans="12:13">
      <c r="L1272" s="1819" t="s">
        <v>1843</v>
      </c>
    </row>
    <row r="1273" spans="12:13">
      <c r="L1273" s="1819" t="s">
        <v>1844</v>
      </c>
    </row>
    <row r="1274" spans="12:13">
      <c r="L1274" s="1819" t="s">
        <v>1845</v>
      </c>
    </row>
    <row r="1275" spans="12:13">
      <c r="L1275" s="1819" t="s">
        <v>1846</v>
      </c>
    </row>
    <row r="1276" spans="12:13">
      <c r="L1276" s="1819" t="s">
        <v>1847</v>
      </c>
    </row>
    <row r="1277" spans="12:13">
      <c r="L1277" s="1819" t="s">
        <v>1848</v>
      </c>
    </row>
    <row r="1278" spans="12:13">
      <c r="L1278" s="1819" t="s">
        <v>1849</v>
      </c>
    </row>
    <row r="1279" spans="12:13">
      <c r="L1279" s="1819" t="s">
        <v>1850</v>
      </c>
    </row>
    <row r="1280" spans="12:13">
      <c r="L1280" s="1819" t="s">
        <v>1851</v>
      </c>
    </row>
    <row r="1281" spans="12:12">
      <c r="L1281" s="1819" t="s">
        <v>1852</v>
      </c>
    </row>
    <row r="1282" spans="12:12">
      <c r="L1282" s="1819" t="s">
        <v>1853</v>
      </c>
    </row>
    <row r="1283" spans="12:12">
      <c r="L1283" s="1819" t="s">
        <v>1854</v>
      </c>
    </row>
    <row r="1284" spans="12:12">
      <c r="L1284" s="1819" t="s">
        <v>1855</v>
      </c>
    </row>
    <row r="1285" spans="12:12">
      <c r="L1285" s="1819" t="s">
        <v>1856</v>
      </c>
    </row>
    <row r="1286" spans="12:12">
      <c r="L1286" s="1819" t="s">
        <v>1765</v>
      </c>
    </row>
    <row r="1287" spans="12:12">
      <c r="L1287" s="1819" t="s">
        <v>1857</v>
      </c>
    </row>
    <row r="1288" spans="12:12">
      <c r="L1288" s="1819" t="s">
        <v>1858</v>
      </c>
    </row>
    <row r="1289" spans="12:12">
      <c r="L1289" s="1819" t="s">
        <v>1859</v>
      </c>
    </row>
    <row r="1290" spans="12:12">
      <c r="L1290" s="1819" t="s">
        <v>1860</v>
      </c>
    </row>
    <row r="1291" spans="12:12">
      <c r="L1291" s="1819" t="s">
        <v>1861</v>
      </c>
    </row>
    <row r="1292" spans="12:12">
      <c r="L1292" s="1819" t="s">
        <v>1862</v>
      </c>
    </row>
    <row r="1293" spans="12:12">
      <c r="L1293" s="1819" t="s">
        <v>1863</v>
      </c>
    </row>
    <row r="1294" spans="12:12">
      <c r="L1294" s="1819" t="s">
        <v>1864</v>
      </c>
    </row>
    <row r="1295" spans="12:12">
      <c r="L1295" s="1819" t="s">
        <v>1865</v>
      </c>
    </row>
    <row r="1296" spans="12:12">
      <c r="L1296" s="1819" t="s">
        <v>1866</v>
      </c>
    </row>
    <row r="1297" spans="12:12">
      <c r="L1297" s="1819" t="s">
        <v>1867</v>
      </c>
    </row>
    <row r="1298" spans="12:12">
      <c r="L1298" s="1819" t="s">
        <v>1868</v>
      </c>
    </row>
    <row r="1299" spans="12:12">
      <c r="L1299" s="1819" t="s">
        <v>1869</v>
      </c>
    </row>
    <row r="1300" spans="12:12">
      <c r="L1300" s="1819" t="s">
        <v>1870</v>
      </c>
    </row>
    <row r="1301" spans="12:12">
      <c r="L1301" s="1819" t="s">
        <v>1871</v>
      </c>
    </row>
    <row r="1302" spans="12:12">
      <c r="L1302" s="1819" t="s">
        <v>1767</v>
      </c>
    </row>
    <row r="1303" spans="12:12">
      <c r="L1303" s="1819" t="s">
        <v>1872</v>
      </c>
    </row>
    <row r="1304" spans="12:12">
      <c r="L1304" s="1819" t="s">
        <v>1873</v>
      </c>
    </row>
    <row r="1305" spans="12:12">
      <c r="L1305" s="1819" t="s">
        <v>1874</v>
      </c>
    </row>
    <row r="1306" spans="12:12">
      <c r="L1306" s="327">
        <f>Other!E3</f>
        <v>1</v>
      </c>
    </row>
    <row r="1307" spans="12:12">
      <c r="L1307" s="327">
        <f>Other!E4</f>
        <v>2</v>
      </c>
    </row>
    <row r="1308" spans="12:12">
      <c r="L1308" s="327">
        <f>Other!E5</f>
        <v>3</v>
      </c>
    </row>
    <row r="1309" spans="12:12">
      <c r="L1309" s="327">
        <f>Other!E6</f>
        <v>4</v>
      </c>
    </row>
    <row r="1310" spans="12:12">
      <c r="L1310" s="327">
        <f>Other!E7</f>
        <v>5</v>
      </c>
    </row>
  </sheetData>
  <mergeCells count="13">
    <mergeCell ref="O1053:P1053"/>
    <mergeCell ref="A11:H11"/>
    <mergeCell ref="D1053:E1053"/>
    <mergeCell ref="A1199:A1200"/>
    <mergeCell ref="B1199:B1200"/>
    <mergeCell ref="C1199:C1200"/>
    <mergeCell ref="D1199:D1200"/>
    <mergeCell ref="E1199:E1200"/>
    <mergeCell ref="F1199:F1200"/>
    <mergeCell ref="G1199:G1200"/>
    <mergeCell ref="H1199:H1200"/>
    <mergeCell ref="I1199:I1200"/>
    <mergeCell ref="J1199:J1200"/>
  </mergeCells>
  <conditionalFormatting sqref="AJ14:AJ822">
    <cfRule type="containsText" dxfId="13" priority="1" operator="containsText" text="TRUE">
      <formula>NOT(ISERROR(SEARCH("TRUE",AJ14)))</formula>
    </cfRule>
  </conditionalFormatting>
  <dataValidations disablePrompts="1" count="1">
    <dataValidation type="list" allowBlank="1" showInputMessage="1" showErrorMessage="1" sqref="F1201:F1226" xr:uid="{5A3E8F28-FE10-420D-9BE5-FF67F277BA41}">
      <formula1>$B$1230:$B$1235</formula1>
    </dataValidation>
  </dataValidations>
  <pageMargins left="0.7" right="0.7" top="0.75" bottom="0.75" header="0.3" footer="0.3"/>
  <pageSetup scale="65" orientation="portrait" r:id="rId1"/>
  <rowBreaks count="2" manualBreakCount="2">
    <brk id="902" max="16383" man="1"/>
    <brk id="960" max="16383" man="1"/>
  </rowBreaks>
  <colBreaks count="1" manualBreakCount="1">
    <brk id="9" max="1048575" man="1"/>
  </colBreaks>
  <ignoredErrors>
    <ignoredError sqref="AJ946" formula="1"/>
  </ignoredError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1"/>
  <dimension ref="A1:M39"/>
  <sheetViews>
    <sheetView workbookViewId="0">
      <pane xSplit="4" ySplit="3" topLeftCell="E28" activePane="bottomRight" state="frozen"/>
      <selection activeCell="F89" sqref="F89"/>
      <selection pane="topRight" activeCell="F89" sqref="F89"/>
      <selection pane="bottomLeft" activeCell="F89" sqref="F89"/>
      <selection pane="bottomRight" activeCell="F89" sqref="F89"/>
    </sheetView>
  </sheetViews>
  <sheetFormatPr defaultRowHeight="21.75"/>
  <cols>
    <col min="4" max="4" width="9.85546875" bestFit="1" customWidth="1"/>
  </cols>
  <sheetData>
    <row r="1" spans="1:13" ht="22.5">
      <c r="A1" s="4123" t="s">
        <v>354</v>
      </c>
      <c r="B1" s="4123"/>
      <c r="C1" s="452"/>
      <c r="D1" s="452"/>
      <c r="E1" s="452"/>
      <c r="F1" s="452"/>
      <c r="G1" s="452"/>
      <c r="H1" s="452"/>
      <c r="I1" s="452"/>
      <c r="J1" s="452"/>
      <c r="K1" s="452"/>
      <c r="L1" s="452"/>
      <c r="M1" s="452"/>
    </row>
    <row r="2" spans="1:13">
      <c r="A2" s="453" t="s">
        <v>48</v>
      </c>
      <c r="B2" s="454">
        <f>Paper!$E$1</f>
        <v>5000</v>
      </c>
      <c r="C2" s="455" t="s">
        <v>11</v>
      </c>
      <c r="D2" s="4117" t="s">
        <v>1593</v>
      </c>
      <c r="E2" s="4118" t="s">
        <v>1344</v>
      </c>
      <c r="F2" s="4119"/>
      <c r="G2" s="4120"/>
      <c r="H2" s="4121" t="s">
        <v>1594</v>
      </c>
      <c r="I2" s="4121"/>
      <c r="J2" s="4121"/>
      <c r="K2" s="4122" t="s">
        <v>1595</v>
      </c>
      <c r="L2" s="4122"/>
      <c r="M2" s="4122"/>
    </row>
    <row r="3" spans="1:13">
      <c r="A3" s="456" t="s">
        <v>126</v>
      </c>
      <c r="B3" s="456" t="s">
        <v>1086</v>
      </c>
      <c r="C3" s="457" t="s">
        <v>235</v>
      </c>
      <c r="D3" s="4117"/>
      <c r="E3" s="458" t="s">
        <v>1596</v>
      </c>
      <c r="F3" s="458" t="s">
        <v>1597</v>
      </c>
      <c r="G3" s="458" t="s">
        <v>1598</v>
      </c>
      <c r="H3" s="459" t="s">
        <v>1596</v>
      </c>
      <c r="I3" s="459" t="s">
        <v>1597</v>
      </c>
      <c r="J3" s="459" t="s">
        <v>1598</v>
      </c>
      <c r="K3" s="460" t="s">
        <v>1596</v>
      </c>
      <c r="L3" s="460" t="s">
        <v>1597</v>
      </c>
      <c r="M3" s="460" t="s">
        <v>1598</v>
      </c>
    </row>
    <row r="4" spans="1:13">
      <c r="A4" s="461" t="str">
        <f>Paper!A7</f>
        <v>Box</v>
      </c>
      <c r="B4" s="462" t="str">
        <f>Paper!C7</f>
        <v>300gsm GB HANSOL</v>
      </c>
      <c r="C4" s="463" t="str">
        <f>Paper!E7</f>
        <v>HANSOL</v>
      </c>
      <c r="D4" s="464">
        <f>Paper!$H7*1000*(1+Paper!$T$4)</f>
        <v>12675109.200000001</v>
      </c>
      <c r="E4" s="465"/>
      <c r="F4" s="464">
        <f>D4*E4</f>
        <v>0</v>
      </c>
      <c r="G4" s="466">
        <f>F4/$B$2</f>
        <v>0</v>
      </c>
      <c r="H4" s="467">
        <f ca="1">Paper!$R7</f>
        <v>0.222</v>
      </c>
      <c r="I4" s="464">
        <f ca="1">H4*D4</f>
        <v>2813874.2424000003</v>
      </c>
      <c r="J4" s="468">
        <f ca="1">I4/$B$2</f>
        <v>562.77484848000006</v>
      </c>
      <c r="K4" s="464">
        <f ca="1">IF(E4&gt;H4,E4-H4,0)</f>
        <v>0</v>
      </c>
      <c r="L4" s="469">
        <f ca="1">K4*D4</f>
        <v>0</v>
      </c>
      <c r="M4" s="468">
        <f ca="1">L4/$B$2</f>
        <v>0</v>
      </c>
    </row>
    <row r="5" spans="1:13">
      <c r="A5" s="461" t="str">
        <f>Paper!A8</f>
        <v>N</v>
      </c>
      <c r="B5" s="462">
        <f>Paper!C8</f>
        <v>0</v>
      </c>
      <c r="C5" s="463">
        <f>Paper!E8</f>
        <v>0</v>
      </c>
      <c r="D5" s="464">
        <f>Paper!$H8*1000*(1+Paper!$T$4)</f>
        <v>0</v>
      </c>
      <c r="E5" s="465"/>
      <c r="F5" s="464">
        <f t="shared" ref="F5:F10" si="0">D5*E5</f>
        <v>0</v>
      </c>
      <c r="G5" s="466">
        <f t="shared" ref="G5:G23" si="1">F5/$B$2</f>
        <v>0</v>
      </c>
      <c r="H5" s="467">
        <f ca="1">Paper!$R8</f>
        <v>0</v>
      </c>
      <c r="I5" s="464">
        <f t="shared" ref="I5:I10" ca="1" si="2">H5*D5</f>
        <v>0</v>
      </c>
      <c r="J5" s="468">
        <f t="shared" ref="J5:J23" ca="1" si="3">I5/$B$2</f>
        <v>0</v>
      </c>
      <c r="K5" s="464">
        <f t="shared" ref="K5:K10" ca="1" si="4">IF(E5&gt;H5,E5-H5,0)</f>
        <v>0</v>
      </c>
      <c r="L5" s="469">
        <f t="shared" ref="L5:L10" ca="1" si="5">K5*D5</f>
        <v>0</v>
      </c>
      <c r="M5" s="468">
        <f t="shared" ref="M5:M23" ca="1" si="6">L5/$B$2</f>
        <v>0</v>
      </c>
    </row>
    <row r="6" spans="1:13">
      <c r="A6" s="461" t="str">
        <f>Paper!A9</f>
        <v>N</v>
      </c>
      <c r="B6" s="462">
        <f>Paper!C9</f>
        <v>0</v>
      </c>
      <c r="C6" s="463">
        <f>Paper!E9</f>
        <v>0</v>
      </c>
      <c r="D6" s="464">
        <f>Paper!$H9*1000*(1+Paper!$T$4)</f>
        <v>0</v>
      </c>
      <c r="E6" s="465"/>
      <c r="F6" s="464">
        <f t="shared" si="0"/>
        <v>0</v>
      </c>
      <c r="G6" s="466">
        <f t="shared" si="1"/>
        <v>0</v>
      </c>
      <c r="H6" s="467">
        <f ca="1">Paper!$R9</f>
        <v>0</v>
      </c>
      <c r="I6" s="464">
        <f t="shared" ca="1" si="2"/>
        <v>0</v>
      </c>
      <c r="J6" s="468">
        <f t="shared" ca="1" si="3"/>
        <v>0</v>
      </c>
      <c r="K6" s="464">
        <f t="shared" ca="1" si="4"/>
        <v>0</v>
      </c>
      <c r="L6" s="469">
        <f t="shared" ca="1" si="5"/>
        <v>0</v>
      </c>
      <c r="M6" s="468">
        <f t="shared" ca="1" si="6"/>
        <v>0</v>
      </c>
    </row>
    <row r="7" spans="1:13">
      <c r="A7" s="461" t="str">
        <f>Paper!A10</f>
        <v>N</v>
      </c>
      <c r="B7" s="462">
        <f>Paper!C10</f>
        <v>0</v>
      </c>
      <c r="C7" s="463" t="str">
        <f>Paper!E10</f>
        <v>DEA HAN</v>
      </c>
      <c r="D7" s="464">
        <f>Paper!$H10*1000*(1+Paper!$T$4)</f>
        <v>0</v>
      </c>
      <c r="E7" s="465"/>
      <c r="F7" s="464">
        <f t="shared" si="0"/>
        <v>0</v>
      </c>
      <c r="G7" s="466">
        <f t="shared" si="1"/>
        <v>0</v>
      </c>
      <c r="H7" s="467">
        <f ca="1">Paper!$R10</f>
        <v>0</v>
      </c>
      <c r="I7" s="464">
        <f t="shared" ca="1" si="2"/>
        <v>0</v>
      </c>
      <c r="J7" s="468">
        <f t="shared" ca="1" si="3"/>
        <v>0</v>
      </c>
      <c r="K7" s="464">
        <f t="shared" ca="1" si="4"/>
        <v>0</v>
      </c>
      <c r="L7" s="469">
        <f t="shared" ca="1" si="5"/>
        <v>0</v>
      </c>
      <c r="M7" s="468">
        <f t="shared" ca="1" si="6"/>
        <v>0</v>
      </c>
    </row>
    <row r="8" spans="1:13">
      <c r="A8" s="461" t="str">
        <f>Paper!A11</f>
        <v>N</v>
      </c>
      <c r="B8" s="462">
        <f>Paper!C11</f>
        <v>0</v>
      </c>
      <c r="C8" s="463">
        <f>Paper!E11</f>
        <v>0</v>
      </c>
      <c r="D8" s="464">
        <f>Paper!$H11*1000*(1+Paper!$T$4)</f>
        <v>0</v>
      </c>
      <c r="E8" s="465"/>
      <c r="F8" s="464">
        <f t="shared" si="0"/>
        <v>0</v>
      </c>
      <c r="G8" s="466">
        <f t="shared" si="1"/>
        <v>0</v>
      </c>
      <c r="H8" s="467">
        <f ca="1">Paper!$R11</f>
        <v>0</v>
      </c>
      <c r="I8" s="464">
        <f t="shared" ca="1" si="2"/>
        <v>0</v>
      </c>
      <c r="J8" s="468">
        <f t="shared" ca="1" si="3"/>
        <v>0</v>
      </c>
      <c r="K8" s="464">
        <f t="shared" ca="1" si="4"/>
        <v>0</v>
      </c>
      <c r="L8" s="469">
        <f t="shared" ca="1" si="5"/>
        <v>0</v>
      </c>
      <c r="M8" s="468">
        <f t="shared" ca="1" si="6"/>
        <v>0</v>
      </c>
    </row>
    <row r="9" spans="1:13">
      <c r="A9" s="461" t="str">
        <f>Paper!A12</f>
        <v>N</v>
      </c>
      <c r="B9" s="462">
        <f>Paper!C12</f>
        <v>0</v>
      </c>
      <c r="C9" s="463">
        <f>Paper!E12</f>
        <v>0</v>
      </c>
      <c r="D9" s="464">
        <f>Paper!$H12*1000*(1+Paper!$T$4)</f>
        <v>0</v>
      </c>
      <c r="E9" s="465"/>
      <c r="F9" s="464">
        <f t="shared" si="0"/>
        <v>0</v>
      </c>
      <c r="G9" s="466">
        <f t="shared" si="1"/>
        <v>0</v>
      </c>
      <c r="H9" s="467">
        <f ca="1">Paper!$R12</f>
        <v>0</v>
      </c>
      <c r="I9" s="464">
        <f t="shared" ca="1" si="2"/>
        <v>0</v>
      </c>
      <c r="J9" s="468">
        <f t="shared" ca="1" si="3"/>
        <v>0</v>
      </c>
      <c r="K9" s="464">
        <f t="shared" ca="1" si="4"/>
        <v>0</v>
      </c>
      <c r="L9" s="469">
        <f t="shared" ca="1" si="5"/>
        <v>0</v>
      </c>
      <c r="M9" s="468">
        <f t="shared" ca="1" si="6"/>
        <v>0</v>
      </c>
    </row>
    <row r="10" spans="1:13">
      <c r="A10" s="461" t="str">
        <f>Paper!A13</f>
        <v>N</v>
      </c>
      <c r="B10" s="462">
        <f>Paper!C13</f>
        <v>0</v>
      </c>
      <c r="C10" s="463">
        <f>Paper!E13</f>
        <v>0</v>
      </c>
      <c r="D10" s="464">
        <f>Paper!$H13*1000*(1+Paper!$T$4)</f>
        <v>0</v>
      </c>
      <c r="E10" s="465"/>
      <c r="F10" s="464">
        <f t="shared" si="0"/>
        <v>0</v>
      </c>
      <c r="G10" s="466">
        <f t="shared" si="1"/>
        <v>0</v>
      </c>
      <c r="H10" s="467">
        <f ca="1">Paper!$R13</f>
        <v>0</v>
      </c>
      <c r="I10" s="464">
        <f t="shared" ca="1" si="2"/>
        <v>0</v>
      </c>
      <c r="J10" s="468">
        <f t="shared" ca="1" si="3"/>
        <v>0</v>
      </c>
      <c r="K10" s="464">
        <f t="shared" ca="1" si="4"/>
        <v>0</v>
      </c>
      <c r="L10" s="469">
        <f t="shared" ca="1" si="5"/>
        <v>0</v>
      </c>
      <c r="M10" s="468">
        <f t="shared" ca="1" si="6"/>
        <v>0</v>
      </c>
    </row>
    <row r="11" spans="1:13">
      <c r="A11" s="461" t="str">
        <f>Paper!A14</f>
        <v>N</v>
      </c>
      <c r="B11" s="462">
        <f>Paper!C14</f>
        <v>0</v>
      </c>
      <c r="C11" s="463">
        <f>Paper!E14</f>
        <v>0</v>
      </c>
      <c r="D11" s="464">
        <f>Paper!$H14*1000*(1+Paper!$T$4)</f>
        <v>0</v>
      </c>
      <c r="E11" s="465"/>
      <c r="F11" s="464">
        <f t="shared" ref="F11:F23" si="7">D11*E11</f>
        <v>0</v>
      </c>
      <c r="G11" s="466">
        <f t="shared" si="1"/>
        <v>0</v>
      </c>
      <c r="H11" s="467">
        <f ca="1">Paper!$R14</f>
        <v>0</v>
      </c>
      <c r="I11" s="464">
        <f t="shared" ref="I11:I17" ca="1" si="8">H11*D11</f>
        <v>0</v>
      </c>
      <c r="J11" s="468">
        <f t="shared" ca="1" si="3"/>
        <v>0</v>
      </c>
      <c r="K11" s="464">
        <f t="shared" ref="K11:K17" ca="1" si="9">IF(E11&gt;H11,E11-H11,0)</f>
        <v>0</v>
      </c>
      <c r="L11" s="469">
        <f t="shared" ref="L11:L17" ca="1" si="10">K11*D11</f>
        <v>0</v>
      </c>
      <c r="M11" s="468">
        <f t="shared" ca="1" si="6"/>
        <v>0</v>
      </c>
    </row>
    <row r="12" spans="1:13">
      <c r="A12" s="461" t="str">
        <f>Paper!A15</f>
        <v>N</v>
      </c>
      <c r="B12" s="462">
        <f>Paper!C15</f>
        <v>0</v>
      </c>
      <c r="C12" s="463">
        <f>Paper!E15</f>
        <v>0</v>
      </c>
      <c r="D12" s="464">
        <f>Paper!$H15*1000*(1+Paper!$T$4)</f>
        <v>0</v>
      </c>
      <c r="E12" s="465"/>
      <c r="F12" s="464">
        <f t="shared" si="7"/>
        <v>0</v>
      </c>
      <c r="G12" s="466">
        <f t="shared" si="1"/>
        <v>0</v>
      </c>
      <c r="H12" s="467">
        <f ca="1">Paper!$R15</f>
        <v>0</v>
      </c>
      <c r="I12" s="464">
        <f t="shared" ca="1" si="8"/>
        <v>0</v>
      </c>
      <c r="J12" s="468">
        <f t="shared" ca="1" si="3"/>
        <v>0</v>
      </c>
      <c r="K12" s="464">
        <f t="shared" ca="1" si="9"/>
        <v>0</v>
      </c>
      <c r="L12" s="469">
        <f t="shared" ca="1" si="10"/>
        <v>0</v>
      </c>
      <c r="M12" s="468">
        <f t="shared" ca="1" si="6"/>
        <v>0</v>
      </c>
    </row>
    <row r="13" spans="1:13">
      <c r="A13" s="461" t="str">
        <f>Paper!A21</f>
        <v>1st</v>
      </c>
      <c r="B13" s="462">
        <f>Paper!C21</f>
        <v>0</v>
      </c>
      <c r="C13" s="463" t="str">
        <f>Paper!E21</f>
        <v>HANSOL</v>
      </c>
      <c r="D13" s="464">
        <f>Paper!$H21*1000*(1+Paper!$T$4)</f>
        <v>0</v>
      </c>
      <c r="E13" s="465"/>
      <c r="F13" s="464">
        <f t="shared" si="7"/>
        <v>0</v>
      </c>
      <c r="G13" s="466">
        <f t="shared" si="1"/>
        <v>0</v>
      </c>
      <c r="H13" s="467">
        <f ca="1">Paper!$R21</f>
        <v>0</v>
      </c>
      <c r="I13" s="464">
        <f t="shared" ca="1" si="8"/>
        <v>0</v>
      </c>
      <c r="J13" s="468">
        <f t="shared" ca="1" si="3"/>
        <v>0</v>
      </c>
      <c r="K13" s="464">
        <f t="shared" ca="1" si="9"/>
        <v>0</v>
      </c>
      <c r="L13" s="469">
        <f t="shared" ca="1" si="10"/>
        <v>0</v>
      </c>
      <c r="M13" s="468">
        <f t="shared" ca="1" si="6"/>
        <v>0</v>
      </c>
    </row>
    <row r="14" spans="1:13">
      <c r="A14" s="3386" t="str">
        <f>Paper!A27</f>
        <v>N</v>
      </c>
      <c r="B14" s="3387">
        <f>Paper!C27</f>
        <v>0</v>
      </c>
      <c r="C14" s="3388"/>
      <c r="D14" s="3389">
        <f>Paper!$H27*1000</f>
        <v>0</v>
      </c>
      <c r="E14" s="3390"/>
      <c r="F14" s="3389">
        <f t="shared" si="7"/>
        <v>0</v>
      </c>
      <c r="G14" s="3391">
        <f t="shared" si="1"/>
        <v>0</v>
      </c>
      <c r="H14" s="3392">
        <f>Paper!$R27</f>
        <v>0</v>
      </c>
      <c r="I14" s="3389">
        <f t="shared" si="8"/>
        <v>0</v>
      </c>
      <c r="J14" s="3393">
        <f t="shared" si="3"/>
        <v>0</v>
      </c>
      <c r="K14" s="3389">
        <f t="shared" si="9"/>
        <v>0</v>
      </c>
      <c r="L14" s="3394">
        <f t="shared" si="10"/>
        <v>0</v>
      </c>
      <c r="M14" s="3393">
        <f t="shared" si="6"/>
        <v>0</v>
      </c>
    </row>
    <row r="15" spans="1:13">
      <c r="A15" s="3386" t="str">
        <f>Paper!A28</f>
        <v>N</v>
      </c>
      <c r="B15" s="3387">
        <f>Paper!C28</f>
        <v>0</v>
      </c>
      <c r="C15" s="3388"/>
      <c r="D15" s="3389">
        <f>Paper!$H28*1000</f>
        <v>0</v>
      </c>
      <c r="E15" s="3390"/>
      <c r="F15" s="3389">
        <f t="shared" si="7"/>
        <v>0</v>
      </c>
      <c r="G15" s="3391">
        <f t="shared" si="1"/>
        <v>0</v>
      </c>
      <c r="H15" s="3392">
        <f>Paper!$R28</f>
        <v>0</v>
      </c>
      <c r="I15" s="3389">
        <f t="shared" si="8"/>
        <v>0</v>
      </c>
      <c r="J15" s="3393">
        <f t="shared" si="3"/>
        <v>0</v>
      </c>
      <c r="K15" s="3389">
        <f t="shared" si="9"/>
        <v>0</v>
      </c>
      <c r="L15" s="3394">
        <f t="shared" si="10"/>
        <v>0</v>
      </c>
      <c r="M15" s="3393">
        <f t="shared" si="6"/>
        <v>0</v>
      </c>
    </row>
    <row r="16" spans="1:13">
      <c r="A16" s="3386" t="str">
        <f>Paper!A29</f>
        <v>N</v>
      </c>
      <c r="B16" s="3387">
        <f>Paper!C29</f>
        <v>0</v>
      </c>
      <c r="C16" s="3388"/>
      <c r="D16" s="3389">
        <f>Paper!$H29*1000</f>
        <v>0</v>
      </c>
      <c r="E16" s="3390"/>
      <c r="F16" s="3389">
        <f t="shared" si="7"/>
        <v>0</v>
      </c>
      <c r="G16" s="3391">
        <f t="shared" si="1"/>
        <v>0</v>
      </c>
      <c r="H16" s="3392">
        <f>Paper!$R29</f>
        <v>0</v>
      </c>
      <c r="I16" s="3389">
        <f t="shared" si="8"/>
        <v>0</v>
      </c>
      <c r="J16" s="3393">
        <f t="shared" si="3"/>
        <v>0</v>
      </c>
      <c r="K16" s="3389">
        <f t="shared" si="9"/>
        <v>0</v>
      </c>
      <c r="L16" s="3394">
        <f t="shared" si="10"/>
        <v>0</v>
      </c>
      <c r="M16" s="3393">
        <f t="shared" si="6"/>
        <v>0</v>
      </c>
    </row>
    <row r="17" spans="1:13">
      <c r="A17" s="461" t="str">
        <f>Paper!A34</f>
        <v>N</v>
      </c>
      <c r="B17" s="462">
        <f>Paper!C34</f>
        <v>0</v>
      </c>
      <c r="C17" s="463">
        <f>Paper!E34</f>
        <v>0</v>
      </c>
      <c r="D17" s="464">
        <f>Paper!$H34*1000</f>
        <v>0</v>
      </c>
      <c r="E17" s="465"/>
      <c r="F17" s="464">
        <f t="shared" si="7"/>
        <v>0</v>
      </c>
      <c r="G17" s="466">
        <f t="shared" si="1"/>
        <v>0</v>
      </c>
      <c r="H17" s="467">
        <f>Paper!$R34</f>
        <v>0</v>
      </c>
      <c r="I17" s="464">
        <f t="shared" si="8"/>
        <v>0</v>
      </c>
      <c r="J17" s="468">
        <f t="shared" si="3"/>
        <v>0</v>
      </c>
      <c r="K17" s="464">
        <f t="shared" si="9"/>
        <v>0</v>
      </c>
      <c r="L17" s="469">
        <f t="shared" si="10"/>
        <v>0</v>
      </c>
      <c r="M17" s="468">
        <f t="shared" si="6"/>
        <v>0</v>
      </c>
    </row>
    <row r="18" spans="1:13">
      <c r="A18" s="461" t="str">
        <f>Paper!A35</f>
        <v>N</v>
      </c>
      <c r="B18" s="462">
        <f>Paper!C35</f>
        <v>0</v>
      </c>
      <c r="C18" s="463">
        <f>Paper!E35</f>
        <v>0</v>
      </c>
      <c r="D18" s="464">
        <f>Paper!$H35*1000</f>
        <v>0</v>
      </c>
      <c r="E18" s="465"/>
      <c r="F18" s="464">
        <f t="shared" si="7"/>
        <v>0</v>
      </c>
      <c r="G18" s="466">
        <f t="shared" si="1"/>
        <v>0</v>
      </c>
      <c r="H18" s="467">
        <f>Paper!$R35</f>
        <v>0</v>
      </c>
      <c r="I18" s="464">
        <f t="shared" ref="I18:I23" si="11">H18*D18</f>
        <v>0</v>
      </c>
      <c r="J18" s="468">
        <f t="shared" si="3"/>
        <v>0</v>
      </c>
      <c r="K18" s="464">
        <f t="shared" ref="K18:K23" si="12">IF(E18&gt;H18,E18-H18,0)</f>
        <v>0</v>
      </c>
      <c r="L18" s="469">
        <f t="shared" ref="L18:L23" si="13">K18*D18</f>
        <v>0</v>
      </c>
      <c r="M18" s="468">
        <f t="shared" si="6"/>
        <v>0</v>
      </c>
    </row>
    <row r="19" spans="1:13">
      <c r="A19" s="461" t="str">
        <f>Paper!A36</f>
        <v>N</v>
      </c>
      <c r="B19" s="462">
        <f>Paper!C36</f>
        <v>0</v>
      </c>
      <c r="C19" s="463">
        <f>Paper!E36</f>
        <v>0</v>
      </c>
      <c r="D19" s="464">
        <f>Paper!$H36*1000</f>
        <v>0</v>
      </c>
      <c r="E19" s="465"/>
      <c r="F19" s="464">
        <f t="shared" si="7"/>
        <v>0</v>
      </c>
      <c r="G19" s="466">
        <f t="shared" si="1"/>
        <v>0</v>
      </c>
      <c r="H19" s="467">
        <f>Paper!$R36</f>
        <v>0</v>
      </c>
      <c r="I19" s="464">
        <f t="shared" si="11"/>
        <v>0</v>
      </c>
      <c r="J19" s="468">
        <f t="shared" si="3"/>
        <v>0</v>
      </c>
      <c r="K19" s="464">
        <f t="shared" si="12"/>
        <v>0</v>
      </c>
      <c r="L19" s="469">
        <f t="shared" si="13"/>
        <v>0</v>
      </c>
      <c r="M19" s="468">
        <f t="shared" si="6"/>
        <v>0</v>
      </c>
    </row>
    <row r="20" spans="1:13">
      <c r="A20" s="461" t="str">
        <f>Paper!A37</f>
        <v>N</v>
      </c>
      <c r="B20" s="462">
        <f>Paper!C37</f>
        <v>0</v>
      </c>
      <c r="C20" s="463">
        <f>Paper!E37</f>
        <v>0</v>
      </c>
      <c r="D20" s="464">
        <f>Paper!$H37*1000</f>
        <v>0</v>
      </c>
      <c r="E20" s="465"/>
      <c r="F20" s="464">
        <f t="shared" si="7"/>
        <v>0</v>
      </c>
      <c r="G20" s="466">
        <f t="shared" si="1"/>
        <v>0</v>
      </c>
      <c r="H20" s="467">
        <f>Paper!$R37</f>
        <v>0</v>
      </c>
      <c r="I20" s="464">
        <f t="shared" si="11"/>
        <v>0</v>
      </c>
      <c r="J20" s="468">
        <f t="shared" si="3"/>
        <v>0</v>
      </c>
      <c r="K20" s="464">
        <f t="shared" si="12"/>
        <v>0</v>
      </c>
      <c r="L20" s="469">
        <f t="shared" si="13"/>
        <v>0</v>
      </c>
      <c r="M20" s="468">
        <f t="shared" si="6"/>
        <v>0</v>
      </c>
    </row>
    <row r="21" spans="1:13">
      <c r="A21" s="461" t="str">
        <f>Paper!A38</f>
        <v>N</v>
      </c>
      <c r="B21" s="462">
        <f>Paper!C38</f>
        <v>0</v>
      </c>
      <c r="C21" s="463">
        <f>Paper!E38</f>
        <v>0</v>
      </c>
      <c r="D21" s="464">
        <f>Paper!$H38*1000</f>
        <v>0</v>
      </c>
      <c r="E21" s="465"/>
      <c r="F21" s="464">
        <f t="shared" si="7"/>
        <v>0</v>
      </c>
      <c r="G21" s="466">
        <f t="shared" si="1"/>
        <v>0</v>
      </c>
      <c r="H21" s="467">
        <f>Paper!$R38</f>
        <v>0</v>
      </c>
      <c r="I21" s="464">
        <f t="shared" si="11"/>
        <v>0</v>
      </c>
      <c r="J21" s="468">
        <f t="shared" si="3"/>
        <v>0</v>
      </c>
      <c r="K21" s="464">
        <f t="shared" si="12"/>
        <v>0</v>
      </c>
      <c r="L21" s="469">
        <f t="shared" si="13"/>
        <v>0</v>
      </c>
      <c r="M21" s="468">
        <f t="shared" si="6"/>
        <v>0</v>
      </c>
    </row>
    <row r="22" spans="1:13">
      <c r="A22" s="3386" t="str">
        <f>Paper!A53</f>
        <v>E-flute 115/105</v>
      </c>
      <c r="B22" s="3387" t="str">
        <f>Paper!C53</f>
        <v>E-Flute</v>
      </c>
      <c r="C22" s="3395" t="str">
        <f>Paper!D53&amp;"/"&amp;Paper!E53</f>
        <v>115/105</v>
      </c>
      <c r="D22" s="3396">
        <f>Paper!H53</f>
        <v>5100</v>
      </c>
      <c r="E22" s="3397">
        <v>0</v>
      </c>
      <c r="F22" s="3389">
        <f t="shared" si="7"/>
        <v>0</v>
      </c>
      <c r="G22" s="3391">
        <f t="shared" si="1"/>
        <v>0</v>
      </c>
      <c r="H22" s="3392">
        <f ca="1">Paper!$R53</f>
        <v>0.16943889334000004</v>
      </c>
      <c r="I22" s="3389">
        <f t="shared" ca="1" si="11"/>
        <v>864.13835603400014</v>
      </c>
      <c r="J22" s="3393">
        <f t="shared" ca="1" si="3"/>
        <v>0.17282767120680004</v>
      </c>
      <c r="K22" s="3389">
        <f t="shared" ca="1" si="12"/>
        <v>0</v>
      </c>
      <c r="L22" s="3394">
        <f t="shared" ca="1" si="13"/>
        <v>0</v>
      </c>
      <c r="M22" s="3393">
        <f t="shared" ca="1" si="6"/>
        <v>0</v>
      </c>
    </row>
    <row r="23" spans="1:13">
      <c r="A23" s="3386" t="str">
        <f>Paper!A54</f>
        <v>N</v>
      </c>
      <c r="B23" s="3387" t="str">
        <f>Paper!C54</f>
        <v>E-Flute</v>
      </c>
      <c r="C23" s="3395" t="str">
        <f>Paper!D54&amp;"/"&amp;Paper!E54</f>
        <v>0/0</v>
      </c>
      <c r="D23" s="3396">
        <f>Paper!H54</f>
        <v>0</v>
      </c>
      <c r="E23" s="3397">
        <v>0</v>
      </c>
      <c r="F23" s="3389">
        <f t="shared" si="7"/>
        <v>0</v>
      </c>
      <c r="G23" s="3391">
        <f t="shared" si="1"/>
        <v>0</v>
      </c>
      <c r="H23" s="3392">
        <f>Paper!$R54</f>
        <v>0</v>
      </c>
      <c r="I23" s="3389">
        <f t="shared" si="11"/>
        <v>0</v>
      </c>
      <c r="J23" s="3393">
        <f t="shared" si="3"/>
        <v>0</v>
      </c>
      <c r="K23" s="3389">
        <f t="shared" si="12"/>
        <v>0</v>
      </c>
      <c r="L23" s="3394">
        <f t="shared" si="13"/>
        <v>0</v>
      </c>
      <c r="M23" s="3393">
        <f t="shared" si="6"/>
        <v>0</v>
      </c>
    </row>
    <row r="24" spans="1:13">
      <c r="A24" s="452"/>
      <c r="B24" s="452"/>
      <c r="C24" s="452"/>
      <c r="D24" s="453" t="s">
        <v>125</v>
      </c>
      <c r="E24" s="452"/>
      <c r="F24" s="472">
        <f>SUM(F4:F23)</f>
        <v>0</v>
      </c>
      <c r="G24" s="473">
        <f>SUM(G4:G23)</f>
        <v>0</v>
      </c>
      <c r="H24" s="455"/>
      <c r="I24" s="474">
        <f ca="1">SUM(I4:I23)</f>
        <v>2814738.3807560345</v>
      </c>
      <c r="J24" s="475">
        <f ca="1">SUM(J4:J23)</f>
        <v>562.94767615120691</v>
      </c>
      <c r="K24" s="455"/>
      <c r="L24" s="472">
        <f ca="1">SUM(L4:L23)</f>
        <v>0</v>
      </c>
      <c r="M24" s="472">
        <f ca="1">SUM(M4:M23)</f>
        <v>0</v>
      </c>
    </row>
    <row r="25" spans="1:13">
      <c r="A25" s="452"/>
      <c r="B25" s="452"/>
      <c r="C25" s="452"/>
      <c r="D25" s="453" t="s">
        <v>1599</v>
      </c>
      <c r="E25" s="452"/>
      <c r="F25" s="476">
        <f>'Cost EST. GM target'!$J$35</f>
        <v>0.2</v>
      </c>
      <c r="G25" s="476">
        <f>'Cost EST. GM target'!$J$35</f>
        <v>0.2</v>
      </c>
      <c r="H25" s="452"/>
      <c r="I25" s="476">
        <f>'Cost EST. GM target'!$J$35</f>
        <v>0.2</v>
      </c>
      <c r="J25" s="476">
        <f>'Cost EST. GM target'!$J$35</f>
        <v>0.2</v>
      </c>
      <c r="K25" s="452"/>
      <c r="L25" s="476">
        <f>'Cost EST. GM target'!$J$35</f>
        <v>0.2</v>
      </c>
      <c r="M25" s="476">
        <f>'Cost EST. GM target'!$J$35</f>
        <v>0.2</v>
      </c>
    </row>
    <row r="26" spans="1:13">
      <c r="A26" s="452"/>
      <c r="B26" s="452"/>
      <c r="C26" s="452"/>
      <c r="D26" s="453" t="s">
        <v>1315</v>
      </c>
      <c r="E26" s="452"/>
      <c r="F26" s="477">
        <f>'Cost EST. GM target'!$J$37</f>
        <v>2.2499999999999999E-2</v>
      </c>
      <c r="G26" s="477">
        <f>'Cost EST. GM target'!$J$37</f>
        <v>2.2499999999999999E-2</v>
      </c>
      <c r="H26" s="452"/>
      <c r="I26" s="477">
        <f>'Cost EST. GM target'!$J$37</f>
        <v>2.2499999999999999E-2</v>
      </c>
      <c r="J26" s="477">
        <f>'Cost EST. GM target'!$J$37</f>
        <v>2.2499999999999999E-2</v>
      </c>
      <c r="K26" s="452"/>
      <c r="L26" s="477">
        <f>'Cost EST. GM target'!$J$37</f>
        <v>2.2499999999999999E-2</v>
      </c>
      <c r="M26" s="477">
        <f>'Cost EST. GM target'!$J$37</f>
        <v>2.2499999999999999E-2</v>
      </c>
    </row>
    <row r="27" spans="1:13">
      <c r="A27" s="452"/>
      <c r="B27" s="452"/>
      <c r="C27" s="452"/>
      <c r="D27" s="453" t="s">
        <v>1600</v>
      </c>
      <c r="E27" s="452"/>
      <c r="F27" s="478">
        <f>ROUNDUP((F24/(1-F25))*(1+F26),0)</f>
        <v>0</v>
      </c>
      <c r="G27" s="478">
        <f>ROUNDUP((G24/(1-G25))*(1+G26),0)</f>
        <v>0</v>
      </c>
      <c r="H27" s="452"/>
      <c r="I27" s="478">
        <f ca="1">ROUNDUP((I24/(1-I25))*(1+I26),0)</f>
        <v>3597588</v>
      </c>
      <c r="J27" s="478">
        <f ca="1">ROUNDUP((J24/(1-J25))*(1+J26),0)</f>
        <v>720</v>
      </c>
      <c r="K27" s="452"/>
      <c r="L27" s="478">
        <f ca="1">ROUNDUP((L24/(1-L25))*(1+L26),0)</f>
        <v>0</v>
      </c>
      <c r="M27" s="478">
        <f ca="1">ROUNDUP((M24/(1-M25))*(1+M26),0)</f>
        <v>0</v>
      </c>
    </row>
    <row r="28" spans="1:13">
      <c r="A28" s="452"/>
      <c r="B28" s="452"/>
      <c r="C28" s="452"/>
      <c r="D28" s="452"/>
      <c r="E28" s="452"/>
      <c r="F28" s="452"/>
      <c r="G28" s="452"/>
      <c r="H28" s="452"/>
      <c r="I28" s="452"/>
      <c r="J28" s="452"/>
      <c r="K28" s="452"/>
      <c r="L28" s="452"/>
      <c r="M28" s="452"/>
    </row>
    <row r="29" spans="1:13">
      <c r="A29" s="452"/>
      <c r="B29" s="452"/>
      <c r="C29" s="452"/>
      <c r="D29" s="452"/>
      <c r="E29" s="452"/>
      <c r="F29" s="452"/>
      <c r="G29" s="452"/>
      <c r="H29" s="452"/>
      <c r="I29" s="452"/>
      <c r="J29" s="452"/>
      <c r="K29" s="452"/>
      <c r="L29" s="452"/>
      <c r="M29" s="452"/>
    </row>
    <row r="30" spans="1:13" ht="22.5">
      <c r="A30" s="4123" t="s">
        <v>1601</v>
      </c>
      <c r="B30" s="4123"/>
      <c r="C30" s="452"/>
      <c r="D30" s="452"/>
      <c r="E30" s="452"/>
      <c r="F30" s="452"/>
      <c r="G30" s="452"/>
      <c r="H30" s="452"/>
      <c r="I30" s="452"/>
      <c r="J30" s="452"/>
      <c r="K30" s="452"/>
      <c r="L30" s="452"/>
      <c r="M30" s="452"/>
    </row>
    <row r="31" spans="1:13">
      <c r="A31" s="453" t="s">
        <v>48</v>
      </c>
      <c r="B31" s="454">
        <f>Paper!$E$1</f>
        <v>5000</v>
      </c>
      <c r="C31" s="455" t="s">
        <v>11</v>
      </c>
      <c r="D31" s="4117" t="s">
        <v>1515</v>
      </c>
      <c r="E31" s="4118" t="s">
        <v>1344</v>
      </c>
      <c r="F31" s="4119"/>
      <c r="G31" s="4120"/>
      <c r="H31" s="4121" t="s">
        <v>1594</v>
      </c>
      <c r="I31" s="4121"/>
      <c r="J31" s="4121"/>
      <c r="K31" s="4122" t="s">
        <v>1595</v>
      </c>
      <c r="L31" s="4122"/>
      <c r="M31" s="4122"/>
    </row>
    <row r="32" spans="1:13">
      <c r="A32" s="456" t="s">
        <v>1602</v>
      </c>
      <c r="B32" s="456"/>
      <c r="C32" s="457" t="s">
        <v>235</v>
      </c>
      <c r="D32" s="4117"/>
      <c r="E32" s="458" t="s">
        <v>1596</v>
      </c>
      <c r="F32" s="458" t="s">
        <v>1597</v>
      </c>
      <c r="G32" s="458" t="s">
        <v>1598</v>
      </c>
      <c r="H32" s="459" t="s">
        <v>1596</v>
      </c>
      <c r="I32" s="459" t="s">
        <v>1597</v>
      </c>
      <c r="J32" s="459" t="s">
        <v>1598</v>
      </c>
      <c r="K32" s="460" t="s">
        <v>1596</v>
      </c>
      <c r="L32" s="460" t="s">
        <v>1597</v>
      </c>
      <c r="M32" s="460" t="s">
        <v>1598</v>
      </c>
    </row>
    <row r="33" spans="1:13">
      <c r="A33" s="461" t="s">
        <v>3473</v>
      </c>
      <c r="B33" s="462"/>
      <c r="C33" s="463"/>
      <c r="D33" s="464"/>
      <c r="E33" s="470"/>
      <c r="F33" s="464">
        <f>D33*E33</f>
        <v>0</v>
      </c>
      <c r="G33" s="466">
        <f>F33/$B$31</f>
        <v>0</v>
      </c>
      <c r="H33" s="467"/>
      <c r="I33" s="464">
        <f>H33*D33</f>
        <v>0</v>
      </c>
      <c r="J33" s="468">
        <f>I33/B31</f>
        <v>0</v>
      </c>
      <c r="K33" s="464">
        <f>IF(E33&gt;H33,E33-H33,0)</f>
        <v>0</v>
      </c>
      <c r="L33" s="469">
        <f>K33*D33</f>
        <v>0</v>
      </c>
      <c r="M33" s="468">
        <f>L33/$B$31</f>
        <v>0</v>
      </c>
    </row>
    <row r="34" spans="1:13">
      <c r="A34" s="461"/>
      <c r="B34" s="462"/>
      <c r="C34" s="463"/>
      <c r="D34" s="464"/>
      <c r="E34" s="470"/>
      <c r="F34" s="464">
        <f>D34*E34</f>
        <v>0</v>
      </c>
      <c r="G34" s="466">
        <f>F34/$B$31</f>
        <v>0</v>
      </c>
      <c r="H34" s="467"/>
      <c r="I34" s="464">
        <f>H34*D34</f>
        <v>0</v>
      </c>
      <c r="J34" s="471">
        <f>I34/B31</f>
        <v>0</v>
      </c>
      <c r="K34" s="464">
        <f>IF(E34&gt;H34,E34-H34,0)</f>
        <v>0</v>
      </c>
      <c r="L34" s="469">
        <f>K34*D34</f>
        <v>0</v>
      </c>
      <c r="M34" s="468">
        <f>L34/$B$31</f>
        <v>0</v>
      </c>
    </row>
    <row r="35" spans="1:13">
      <c r="A35" s="461"/>
      <c r="B35" s="462"/>
      <c r="C35" s="463"/>
      <c r="D35" s="464"/>
      <c r="E35" s="470"/>
      <c r="F35" s="464">
        <f>D35*E35</f>
        <v>0</v>
      </c>
      <c r="G35" s="466">
        <f>F35/$B$31</f>
        <v>0</v>
      </c>
      <c r="H35" s="467"/>
      <c r="I35" s="464">
        <f>H35*D35</f>
        <v>0</v>
      </c>
      <c r="J35" s="468">
        <f>I35/B31</f>
        <v>0</v>
      </c>
      <c r="K35" s="464">
        <f>IF(E35&gt;H35,E35-H35,0)</f>
        <v>0</v>
      </c>
      <c r="L35" s="469">
        <f>K35*D35</f>
        <v>0</v>
      </c>
      <c r="M35" s="468">
        <f>L35/$B$31</f>
        <v>0</v>
      </c>
    </row>
    <row r="36" spans="1:13">
      <c r="A36" s="452"/>
      <c r="B36" s="452"/>
      <c r="C36" s="452"/>
      <c r="D36" s="453" t="s">
        <v>125</v>
      </c>
      <c r="E36" s="452"/>
      <c r="F36" s="472">
        <f>SUM(F33:F35)</f>
        <v>0</v>
      </c>
      <c r="G36" s="473">
        <f>SUM(G33:G35)</f>
        <v>0</v>
      </c>
      <c r="H36" s="455"/>
      <c r="I36" s="474">
        <f>SUM(I33:I35)</f>
        <v>0</v>
      </c>
      <c r="J36" s="475">
        <f>SUM(J33:J35)</f>
        <v>0</v>
      </c>
      <c r="K36" s="455"/>
      <c r="L36" s="472">
        <f>SUM(L33:L35)</f>
        <v>0</v>
      </c>
      <c r="M36" s="475">
        <f>SUM(M33:M35)</f>
        <v>0</v>
      </c>
    </row>
    <row r="37" spans="1:13">
      <c r="A37" s="452"/>
      <c r="B37" s="452"/>
      <c r="C37" s="452"/>
      <c r="D37" s="453" t="s">
        <v>1603</v>
      </c>
      <c r="E37" s="452"/>
      <c r="F37" s="476">
        <f>'Cost EST. GM target'!$J$35</f>
        <v>0.2</v>
      </c>
      <c r="G37" s="476">
        <f>'Cost EST. GM target'!$J$35</f>
        <v>0.2</v>
      </c>
      <c r="H37" s="452"/>
      <c r="I37" s="476">
        <f>'Cost EST. GM target'!$J$35</f>
        <v>0.2</v>
      </c>
      <c r="J37" s="476">
        <f>'Cost EST. GM target'!$J$35</f>
        <v>0.2</v>
      </c>
      <c r="K37" s="452"/>
      <c r="L37" s="476">
        <f>'Cost EST. GM target'!$J$35</f>
        <v>0.2</v>
      </c>
      <c r="M37" s="476">
        <f>'Cost EST. GM target'!$J$35</f>
        <v>0.2</v>
      </c>
    </row>
    <row r="38" spans="1:13">
      <c r="A38" s="452"/>
      <c r="B38" s="452"/>
      <c r="C38" s="452"/>
      <c r="D38" s="453" t="s">
        <v>1315</v>
      </c>
      <c r="E38" s="452"/>
      <c r="F38" s="477">
        <f>'Cost EST. GM target'!$J$37</f>
        <v>2.2499999999999999E-2</v>
      </c>
      <c r="G38" s="477">
        <f>'Cost EST. GM target'!$J$37</f>
        <v>2.2499999999999999E-2</v>
      </c>
      <c r="H38" s="452"/>
      <c r="I38" s="477">
        <f>'Cost EST. GM target'!$J$37</f>
        <v>2.2499999999999999E-2</v>
      </c>
      <c r="J38" s="477">
        <f>'Cost EST. GM target'!$J$37</f>
        <v>2.2499999999999999E-2</v>
      </c>
      <c r="K38" s="452"/>
      <c r="L38" s="477">
        <f>'Cost EST. GM target'!$J$37</f>
        <v>2.2499999999999999E-2</v>
      </c>
      <c r="M38" s="477">
        <f>'Cost EST. GM target'!$J$37</f>
        <v>2.2499999999999999E-2</v>
      </c>
    </row>
    <row r="39" spans="1:13">
      <c r="A39" s="452"/>
      <c r="B39" s="452"/>
      <c r="C39" s="452"/>
      <c r="D39" s="453" t="s">
        <v>1600</v>
      </c>
      <c r="E39" s="452"/>
      <c r="F39" s="478">
        <f>ROUNDUP((F36/(1-F37))*(1+F38),0)</f>
        <v>0</v>
      </c>
      <c r="G39" s="478">
        <f>ROUNDUP((G36/(1-G37))*(1+G38),0)</f>
        <v>0</v>
      </c>
      <c r="H39" s="452"/>
      <c r="I39" s="478">
        <f>ROUNDUP((I36/(1-I37))*(1+I38),0)</f>
        <v>0</v>
      </c>
      <c r="J39" s="478">
        <f>ROUNDUP((J36/(1-J37))*(1+J38),0)</f>
        <v>0</v>
      </c>
      <c r="K39" s="452"/>
      <c r="L39" s="478">
        <f>ROUNDUP((L36/(1-L37))*(1+L38),0)</f>
        <v>0</v>
      </c>
      <c r="M39" s="478">
        <f>ROUNDUP((M36/(1-M37))*(1+M38),0)</f>
        <v>0</v>
      </c>
    </row>
  </sheetData>
  <mergeCells count="10">
    <mergeCell ref="D31:D32"/>
    <mergeCell ref="E31:G31"/>
    <mergeCell ref="H31:J31"/>
    <mergeCell ref="K31:M31"/>
    <mergeCell ref="A1:B1"/>
    <mergeCell ref="D2:D3"/>
    <mergeCell ref="E2:G2"/>
    <mergeCell ref="H2:J2"/>
    <mergeCell ref="K2:M2"/>
    <mergeCell ref="A30:B3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7"/>
  <dimension ref="A1:K89"/>
  <sheetViews>
    <sheetView topLeftCell="A76" workbookViewId="0">
      <selection activeCell="F89" sqref="F89"/>
    </sheetView>
  </sheetViews>
  <sheetFormatPr defaultRowHeight="21.75"/>
  <cols>
    <col min="10" max="10" width="15.85546875" customWidth="1"/>
  </cols>
  <sheetData>
    <row r="1" spans="1:11">
      <c r="A1" s="2132" t="str">
        <f>"Extra cost balance paper "&amp;VLOOKUP(I1,Balance!$A$4:$M$23,2,0)</f>
        <v>Extra cost balance paper 300gsm GB HANSOL</v>
      </c>
      <c r="B1" s="2133"/>
      <c r="C1" s="2134"/>
      <c r="D1" s="2134"/>
      <c r="E1" s="2134"/>
      <c r="F1" s="2134"/>
      <c r="G1" s="2134"/>
      <c r="H1" s="2134"/>
      <c r="I1" s="2134" t="str">
        <f>Balance!A4</f>
        <v>Box</v>
      </c>
      <c r="J1" s="301"/>
    </row>
    <row r="2" spans="1:11">
      <c r="A2" s="2122"/>
      <c r="B2" s="2110" t="s">
        <v>1924</v>
      </c>
      <c r="C2" s="2111"/>
      <c r="D2" s="3398">
        <f>VLOOKUP(I1,Balance!$A$4:$M$23,5,0)</f>
        <v>0</v>
      </c>
      <c r="E2" s="2110" t="s">
        <v>563</v>
      </c>
      <c r="F2" s="136"/>
      <c r="G2" s="136"/>
      <c r="H2" s="2110" t="s">
        <v>3472</v>
      </c>
      <c r="I2" s="2111"/>
      <c r="J2" s="3398">
        <f ca="1">VLOOKUP(I1,Balance!$A$4:$M$23,11,0)</f>
        <v>0</v>
      </c>
      <c r="K2" s="2110" t="str">
        <f>E2</f>
        <v>Tons</v>
      </c>
    </row>
    <row r="3" spans="1:11">
      <c r="A3" s="136"/>
      <c r="B3" s="2110" t="s">
        <v>125</v>
      </c>
      <c r="C3" s="2111"/>
      <c r="D3" s="3398">
        <f>VLOOKUP(I1,Balance!$A$4:$M$23,6,0)</f>
        <v>0</v>
      </c>
      <c r="E3" s="2110" t="s">
        <v>92</v>
      </c>
      <c r="F3" s="251"/>
      <c r="G3" s="251"/>
      <c r="H3" s="2110" t="s">
        <v>125</v>
      </c>
      <c r="I3" s="2111"/>
      <c r="J3" s="3398">
        <f ca="1">VLOOKUP(I1,Balance!$A$4:$M$23,12,0)</f>
        <v>0</v>
      </c>
      <c r="K3" s="2110" t="s">
        <v>92</v>
      </c>
    </row>
    <row r="4" spans="1:11">
      <c r="A4" s="136"/>
      <c r="B4" s="136"/>
      <c r="C4" s="2113"/>
      <c r="D4" s="3398">
        <f>D3/'Cost EST. GM target'!$L$4</f>
        <v>0</v>
      </c>
      <c r="E4" s="2115" t="str">
        <f>'Cost EST. GM target'!$M$4</f>
        <v>VND</v>
      </c>
      <c r="F4" s="2115"/>
      <c r="G4" s="136"/>
      <c r="H4" s="136"/>
      <c r="I4" s="2113"/>
      <c r="J4" s="3398">
        <f ca="1">J3/'Cost EST. GM target'!$L$4</f>
        <v>0</v>
      </c>
      <c r="K4" s="2115" t="str">
        <f>'Cost EST. GM target'!$M$4</f>
        <v>VND</v>
      </c>
    </row>
    <row r="5" spans="1:11">
      <c r="A5" s="136"/>
      <c r="B5" s="136"/>
      <c r="C5" s="2116" t="s">
        <v>157</v>
      </c>
      <c r="D5" s="2188">
        <f ca="1">'Cost EST. GM target'!$J$73</f>
        <v>0.45002378881461591</v>
      </c>
      <c r="E5" s="2117"/>
      <c r="F5" s="136"/>
      <c r="G5" s="136"/>
      <c r="H5" s="136"/>
      <c r="I5" s="2116" t="s">
        <v>157</v>
      </c>
      <c r="J5" s="2188">
        <f ca="1">'Cost EST. GM target'!$J$73</f>
        <v>0.45002378881461591</v>
      </c>
      <c r="K5" s="2117"/>
    </row>
    <row r="6" spans="1:11">
      <c r="A6" s="136"/>
      <c r="B6" s="136"/>
      <c r="C6" s="2116" t="s">
        <v>1583</v>
      </c>
      <c r="D6" s="2189"/>
      <c r="E6" s="2117"/>
      <c r="F6" s="136"/>
      <c r="G6" s="136"/>
      <c r="H6" s="136"/>
      <c r="I6" s="2116" t="s">
        <v>1583</v>
      </c>
      <c r="J6" s="2189"/>
      <c r="K6" s="2117"/>
    </row>
    <row r="7" spans="1:11">
      <c r="A7" s="136"/>
      <c r="B7" s="136"/>
      <c r="C7" s="2116" t="s">
        <v>75</v>
      </c>
      <c r="D7" s="2190">
        <f>'Cost EST. GM target'!$J$37</f>
        <v>2.2499999999999999E-2</v>
      </c>
      <c r="E7" s="2117"/>
      <c r="F7" s="136"/>
      <c r="G7" s="136"/>
      <c r="H7" s="136"/>
      <c r="I7" s="2116" t="s">
        <v>75</v>
      </c>
      <c r="J7" s="2190">
        <f>'Cost EST. GM target'!$J$37</f>
        <v>2.2499999999999999E-2</v>
      </c>
      <c r="K7" s="2117"/>
    </row>
    <row r="8" spans="1:11">
      <c r="A8" s="136"/>
      <c r="B8" s="136"/>
      <c r="C8" s="2116" t="s">
        <v>1609</v>
      </c>
      <c r="D8" s="3400" t="e">
        <f ca="1">1-(D4+D6)/(D9-(D4+D6)*D7)</f>
        <v>#DIV/0!</v>
      </c>
      <c r="E8" s="2117"/>
      <c r="F8" s="136"/>
      <c r="G8" s="136"/>
      <c r="H8" s="136"/>
      <c r="I8" s="2116" t="s">
        <v>1609</v>
      </c>
      <c r="J8" s="3400" t="e">
        <f ca="1">1-(J4+J6)/(J9-(J4+J6)*J7)</f>
        <v>#DIV/0!</v>
      </c>
      <c r="K8" s="2117"/>
    </row>
    <row r="9" spans="1:11">
      <c r="A9" s="136"/>
      <c r="B9" s="136"/>
      <c r="C9" s="2116"/>
      <c r="D9" s="3399">
        <f ca="1">D4/(1-D5)+D6+(D4+D6)*D7</f>
        <v>0</v>
      </c>
      <c r="E9" s="2118" t="str">
        <f>E4</f>
        <v>VND</v>
      </c>
      <c r="F9" s="2119"/>
      <c r="G9" s="136"/>
      <c r="H9" s="136"/>
      <c r="I9" s="2116"/>
      <c r="J9" s="3399">
        <f ca="1">J4/(1-J5)+J6+(J4+J6)*J7</f>
        <v>0</v>
      </c>
      <c r="K9" s="2118" t="str">
        <f>K4</f>
        <v>VND</v>
      </c>
    </row>
    <row r="10" spans="1:11">
      <c r="A10" s="136"/>
      <c r="B10" s="136"/>
      <c r="C10" s="136"/>
      <c r="D10" s="136"/>
      <c r="E10" s="136"/>
      <c r="F10" s="136"/>
      <c r="G10" s="136"/>
      <c r="H10" s="136"/>
      <c r="I10" s="136"/>
      <c r="J10" s="301"/>
    </row>
    <row r="11" spans="1:11">
      <c r="A11" s="2132" t="str">
        <f>"Extra cost balance paper "&amp;VLOOKUP(I11,Balance!$A$4:$M$23,2,0)</f>
        <v>Extra cost balance paper 0</v>
      </c>
      <c r="B11" s="2133"/>
      <c r="C11" s="2134"/>
      <c r="D11" s="2134"/>
      <c r="E11" s="2134"/>
      <c r="F11" s="2134"/>
      <c r="G11" s="2134"/>
      <c r="H11" s="2134"/>
      <c r="I11" s="2134" t="str">
        <f>Balance!A5</f>
        <v>N</v>
      </c>
      <c r="J11" s="301"/>
    </row>
    <row r="12" spans="1:11">
      <c r="A12" s="2122"/>
      <c r="B12" s="2110" t="s">
        <v>1924</v>
      </c>
      <c r="C12" s="2111"/>
      <c r="D12" s="3398">
        <f>VLOOKUP(I11,Balance!$A$4:$M$23,5,0)</f>
        <v>0</v>
      </c>
      <c r="E12" s="2110" t="s">
        <v>563</v>
      </c>
      <c r="F12" s="136"/>
      <c r="G12" s="136"/>
      <c r="H12" s="2110" t="s">
        <v>3472</v>
      </c>
      <c r="I12" s="2111"/>
      <c r="J12" s="3398">
        <f ca="1">VLOOKUP(I11,Balance!$A$4:$M$23,11,0)</f>
        <v>0</v>
      </c>
      <c r="K12" s="2110" t="str">
        <f>E12</f>
        <v>Tons</v>
      </c>
    </row>
    <row r="13" spans="1:11">
      <c r="A13" s="136"/>
      <c r="B13" s="2110" t="s">
        <v>125</v>
      </c>
      <c r="C13" s="2111"/>
      <c r="D13" s="3398">
        <f>VLOOKUP(I11,Balance!$A$4:$M$23,6,0)</f>
        <v>0</v>
      </c>
      <c r="E13" s="2110" t="s">
        <v>92</v>
      </c>
      <c r="F13" s="251"/>
      <c r="G13" s="251"/>
      <c r="H13" s="2110" t="s">
        <v>125</v>
      </c>
      <c r="I13" s="2111"/>
      <c r="J13" s="3398">
        <f ca="1">VLOOKUP(I11,Balance!$A$4:$M$23,12,0)</f>
        <v>0</v>
      </c>
      <c r="K13" s="2110" t="s">
        <v>92</v>
      </c>
    </row>
    <row r="14" spans="1:11">
      <c r="A14" s="136"/>
      <c r="B14" s="136"/>
      <c r="C14" s="2113"/>
      <c r="D14" s="3398">
        <f>D13/'Cost EST. GM target'!$L$4</f>
        <v>0</v>
      </c>
      <c r="E14" s="2115" t="str">
        <f>'Cost EST. GM target'!$M$4</f>
        <v>VND</v>
      </c>
      <c r="F14" s="2115"/>
      <c r="G14" s="136"/>
      <c r="H14" s="136"/>
      <c r="I14" s="2113"/>
      <c r="J14" s="3398">
        <f ca="1">J13/'Cost EST. GM target'!$L$4</f>
        <v>0</v>
      </c>
      <c r="K14" s="2115" t="str">
        <f>'Cost EST. GM target'!$M$4</f>
        <v>VND</v>
      </c>
    </row>
    <row r="15" spans="1:11">
      <c r="A15" s="136"/>
      <c r="B15" s="136"/>
      <c r="C15" s="2116" t="s">
        <v>157</v>
      </c>
      <c r="D15" s="2188">
        <f ca="1">'Cost EST. GM target'!$J$73</f>
        <v>0.45002378881461591</v>
      </c>
      <c r="E15" s="2117"/>
      <c r="F15" s="136"/>
      <c r="G15" s="136"/>
      <c r="H15" s="136"/>
      <c r="I15" s="2116" t="s">
        <v>157</v>
      </c>
      <c r="J15" s="2188">
        <f ca="1">'Cost EST. GM target'!$J$73</f>
        <v>0.45002378881461591</v>
      </c>
      <c r="K15" s="2117"/>
    </row>
    <row r="16" spans="1:11">
      <c r="A16" s="136"/>
      <c r="B16" s="136"/>
      <c r="C16" s="2116" t="s">
        <v>1583</v>
      </c>
      <c r="D16" s="2189"/>
      <c r="E16" s="2117"/>
      <c r="F16" s="136"/>
      <c r="G16" s="136"/>
      <c r="H16" s="136"/>
      <c r="I16" s="2116" t="s">
        <v>1583</v>
      </c>
      <c r="J16" s="2189"/>
      <c r="K16" s="2117"/>
    </row>
    <row r="17" spans="1:11">
      <c r="A17" s="136"/>
      <c r="B17" s="136"/>
      <c r="C17" s="2116" t="s">
        <v>75</v>
      </c>
      <c r="D17" s="2190">
        <f>'Cost EST. GM target'!$J$37</f>
        <v>2.2499999999999999E-2</v>
      </c>
      <c r="E17" s="2117"/>
      <c r="F17" s="136"/>
      <c r="G17" s="136"/>
      <c r="H17" s="136"/>
      <c r="I17" s="2116" t="s">
        <v>75</v>
      </c>
      <c r="J17" s="2190">
        <f>'Cost EST. GM target'!$J$37</f>
        <v>2.2499999999999999E-2</v>
      </c>
      <c r="K17" s="2117"/>
    </row>
    <row r="18" spans="1:11">
      <c r="A18" s="136"/>
      <c r="B18" s="136"/>
      <c r="C18" s="2116" t="s">
        <v>1609</v>
      </c>
      <c r="D18" s="3400" t="e">
        <f ca="1">1-(D14+D16)/(D19-(D14+D16)*D17)</f>
        <v>#DIV/0!</v>
      </c>
      <c r="E18" s="2117"/>
      <c r="F18" s="136"/>
      <c r="G18" s="136"/>
      <c r="H18" s="136"/>
      <c r="I18" s="2116" t="s">
        <v>1609</v>
      </c>
      <c r="J18" s="3400" t="e">
        <f ca="1">1-(J14+J16)/(J19-(J14+J16)*J17)</f>
        <v>#DIV/0!</v>
      </c>
      <c r="K18" s="2117"/>
    </row>
    <row r="19" spans="1:11">
      <c r="A19" s="136"/>
      <c r="B19" s="136"/>
      <c r="C19" s="2116"/>
      <c r="D19" s="3399">
        <f ca="1">D14/(1-D15)+D16+(D14+D16)*D17</f>
        <v>0</v>
      </c>
      <c r="E19" s="2118" t="str">
        <f>E14</f>
        <v>VND</v>
      </c>
      <c r="F19" s="2119"/>
      <c r="G19" s="136"/>
      <c r="H19" s="136"/>
      <c r="I19" s="2116"/>
      <c r="J19" s="3399">
        <f ca="1">J14/(1-J15)+J16+(J14+J16)*J17</f>
        <v>0</v>
      </c>
      <c r="K19" s="2118" t="str">
        <f>K14</f>
        <v>VND</v>
      </c>
    </row>
    <row r="21" spans="1:11">
      <c r="A21" s="2132" t="str">
        <f>"Extra cost balance paper "&amp;VLOOKUP(I21,Balance!$A$4:$M$23,2,0)</f>
        <v>Extra cost balance paper 0</v>
      </c>
      <c r="B21" s="2133"/>
      <c r="C21" s="2134"/>
      <c r="D21" s="2134"/>
      <c r="E21" s="2134"/>
      <c r="F21" s="2134"/>
      <c r="G21" s="2134"/>
      <c r="H21" s="2134"/>
      <c r="I21" s="2134" t="str">
        <f>Balance!A6</f>
        <v>N</v>
      </c>
      <c r="J21" s="301"/>
    </row>
    <row r="22" spans="1:11">
      <c r="A22" s="2122"/>
      <c r="B22" s="2110" t="s">
        <v>1924</v>
      </c>
      <c r="C22" s="2111"/>
      <c r="D22" s="3398">
        <f>VLOOKUP(I21,Balance!$A$4:$M$23,5,0)</f>
        <v>0</v>
      </c>
      <c r="E22" s="2110" t="s">
        <v>563</v>
      </c>
      <c r="F22" s="136"/>
      <c r="G22" s="136"/>
      <c r="H22" s="2110" t="s">
        <v>3472</v>
      </c>
      <c r="I22" s="2111"/>
      <c r="J22" s="3398">
        <f ca="1">VLOOKUP(I21,Balance!$A$4:$M$23,11,0)</f>
        <v>0</v>
      </c>
      <c r="K22" s="2110" t="str">
        <f>E22</f>
        <v>Tons</v>
      </c>
    </row>
    <row r="23" spans="1:11">
      <c r="A23" s="136"/>
      <c r="B23" s="2110" t="s">
        <v>125</v>
      </c>
      <c r="C23" s="2111"/>
      <c r="D23" s="3398">
        <f>VLOOKUP(I21,Balance!$A$4:$M$23,6,0)</f>
        <v>0</v>
      </c>
      <c r="E23" s="2110" t="s">
        <v>92</v>
      </c>
      <c r="F23" s="251"/>
      <c r="G23" s="251"/>
      <c r="H23" s="2110" t="s">
        <v>125</v>
      </c>
      <c r="I23" s="2111"/>
      <c r="J23" s="3398">
        <f ca="1">VLOOKUP(I21,Balance!$A$4:$M$23,12,0)</f>
        <v>0</v>
      </c>
      <c r="K23" s="2110" t="s">
        <v>92</v>
      </c>
    </row>
    <row r="24" spans="1:11">
      <c r="A24" s="136"/>
      <c r="B24" s="136"/>
      <c r="C24" s="2113"/>
      <c r="D24" s="3398">
        <f>D23/'Cost EST. GM target'!$L$4</f>
        <v>0</v>
      </c>
      <c r="E24" s="2115" t="str">
        <f>'Cost EST. GM target'!$M$4</f>
        <v>VND</v>
      </c>
      <c r="F24" s="2115"/>
      <c r="G24" s="136"/>
      <c r="H24" s="136"/>
      <c r="I24" s="2113"/>
      <c r="J24" s="3398">
        <f ca="1">J23/'Cost EST. GM target'!$L$4</f>
        <v>0</v>
      </c>
      <c r="K24" s="2115" t="str">
        <f>'Cost EST. GM target'!$M$4</f>
        <v>VND</v>
      </c>
    </row>
    <row r="25" spans="1:11">
      <c r="A25" s="136"/>
      <c r="B25" s="136"/>
      <c r="C25" s="2116" t="s">
        <v>157</v>
      </c>
      <c r="D25" s="2188">
        <f ca="1">'Cost EST. GM target'!$J$73</f>
        <v>0.45002378881461591</v>
      </c>
      <c r="E25" s="2117"/>
      <c r="F25" s="136"/>
      <c r="G25" s="136"/>
      <c r="H25" s="136"/>
      <c r="I25" s="2116" t="s">
        <v>157</v>
      </c>
      <c r="J25" s="2188">
        <f ca="1">'Cost EST. GM target'!$J$73</f>
        <v>0.45002378881461591</v>
      </c>
      <c r="K25" s="2117"/>
    </row>
    <row r="26" spans="1:11">
      <c r="A26" s="136"/>
      <c r="B26" s="136"/>
      <c r="C26" s="2116" t="s">
        <v>1583</v>
      </c>
      <c r="D26" s="2189"/>
      <c r="E26" s="2117"/>
      <c r="F26" s="136"/>
      <c r="G26" s="136"/>
      <c r="H26" s="136"/>
      <c r="I26" s="2116" t="s">
        <v>1583</v>
      </c>
      <c r="J26" s="2189"/>
      <c r="K26" s="2117"/>
    </row>
    <row r="27" spans="1:11">
      <c r="A27" s="136"/>
      <c r="B27" s="136"/>
      <c r="C27" s="2116" t="s">
        <v>75</v>
      </c>
      <c r="D27" s="2190">
        <f>'Cost EST. GM target'!$J$37</f>
        <v>2.2499999999999999E-2</v>
      </c>
      <c r="E27" s="2117"/>
      <c r="F27" s="136"/>
      <c r="G27" s="136"/>
      <c r="H27" s="136"/>
      <c r="I27" s="2116" t="s">
        <v>75</v>
      </c>
      <c r="J27" s="2190">
        <f>'Cost EST. GM target'!$J$37</f>
        <v>2.2499999999999999E-2</v>
      </c>
      <c r="K27" s="2117"/>
    </row>
    <row r="28" spans="1:11">
      <c r="A28" s="136"/>
      <c r="B28" s="136"/>
      <c r="C28" s="2116" t="s">
        <v>1609</v>
      </c>
      <c r="D28" s="3400" t="e">
        <f ca="1">1-(D24+D26)/(D29-(D24+D26)*D27)</f>
        <v>#DIV/0!</v>
      </c>
      <c r="E28" s="2117"/>
      <c r="F28" s="136"/>
      <c r="G28" s="136"/>
      <c r="H28" s="136"/>
      <c r="I28" s="2116" t="s">
        <v>1609</v>
      </c>
      <c r="J28" s="3400" t="e">
        <f ca="1">1-(J24+J26)/(J29-(J24+J26)*J27)</f>
        <v>#DIV/0!</v>
      </c>
      <c r="K28" s="2117"/>
    </row>
    <row r="29" spans="1:11">
      <c r="A29" s="136"/>
      <c r="B29" s="136"/>
      <c r="C29" s="2116"/>
      <c r="D29" s="3399">
        <f ca="1">D24/(1-D25)+D26+(D24+D26)*D27</f>
        <v>0</v>
      </c>
      <c r="E29" s="2118" t="str">
        <f>E24</f>
        <v>VND</v>
      </c>
      <c r="F29" s="2119"/>
      <c r="G29" s="136"/>
      <c r="H29" s="136"/>
      <c r="I29" s="2116"/>
      <c r="J29" s="3399">
        <f ca="1">J24/(1-J25)+J26+(J24+J26)*J27</f>
        <v>0</v>
      </c>
      <c r="K29" s="2118" t="str">
        <f>K24</f>
        <v>VND</v>
      </c>
    </row>
    <row r="31" spans="1:11">
      <c r="A31" s="2132" t="str">
        <f>"Extra cost balance paper "&amp;VLOOKUP(I31,Balance!$A$4:$M$23,2,0)</f>
        <v>Extra cost balance paper 0</v>
      </c>
      <c r="B31" s="2133"/>
      <c r="C31" s="2134"/>
      <c r="D31" s="2134"/>
      <c r="E31" s="2134"/>
      <c r="F31" s="2134"/>
      <c r="G31" s="2134"/>
      <c r="H31" s="2134"/>
      <c r="I31" s="2134" t="str">
        <f>Balance!A7</f>
        <v>N</v>
      </c>
      <c r="J31" s="301"/>
    </row>
    <row r="32" spans="1:11">
      <c r="A32" s="2122"/>
      <c r="B32" s="2110" t="s">
        <v>1924</v>
      </c>
      <c r="C32" s="2111"/>
      <c r="D32" s="3398">
        <f>VLOOKUP(I31,Balance!$A$4:$M$23,5,0)</f>
        <v>0</v>
      </c>
      <c r="E32" s="2110" t="s">
        <v>563</v>
      </c>
      <c r="F32" s="136"/>
      <c r="G32" s="136"/>
      <c r="H32" s="2110" t="s">
        <v>3472</v>
      </c>
      <c r="I32" s="2111"/>
      <c r="J32" s="3398">
        <f ca="1">VLOOKUP(I31,Balance!$A$4:$M$23,11,0)</f>
        <v>0</v>
      </c>
      <c r="K32" s="2110" t="str">
        <f>E32</f>
        <v>Tons</v>
      </c>
    </row>
    <row r="33" spans="1:11">
      <c r="A33" s="136"/>
      <c r="B33" s="2110" t="s">
        <v>125</v>
      </c>
      <c r="C33" s="2111"/>
      <c r="D33" s="3398">
        <f>VLOOKUP(I31,Balance!$A$4:$M$23,6,0)</f>
        <v>0</v>
      </c>
      <c r="E33" s="2110" t="s">
        <v>92</v>
      </c>
      <c r="F33" s="251"/>
      <c r="G33" s="251"/>
      <c r="H33" s="2110" t="s">
        <v>125</v>
      </c>
      <c r="I33" s="2111"/>
      <c r="J33" s="3398">
        <f ca="1">VLOOKUP(I31,Balance!$A$4:$M$23,12,0)</f>
        <v>0</v>
      </c>
      <c r="K33" s="2110" t="s">
        <v>92</v>
      </c>
    </row>
    <row r="34" spans="1:11">
      <c r="A34" s="136"/>
      <c r="B34" s="136"/>
      <c r="C34" s="2113"/>
      <c r="D34" s="3398">
        <f>D33/'Cost EST. GM target'!$L$4</f>
        <v>0</v>
      </c>
      <c r="E34" s="2115" t="str">
        <f>'Cost EST. GM target'!$M$4</f>
        <v>VND</v>
      </c>
      <c r="F34" s="2115"/>
      <c r="G34" s="136"/>
      <c r="H34" s="136"/>
      <c r="I34" s="2113"/>
      <c r="J34" s="3398">
        <f ca="1">J33/'Cost EST. GM target'!$L$4</f>
        <v>0</v>
      </c>
      <c r="K34" s="2115" t="str">
        <f>'Cost EST. GM target'!$M$4</f>
        <v>VND</v>
      </c>
    </row>
    <row r="35" spans="1:11">
      <c r="A35" s="136"/>
      <c r="B35" s="136"/>
      <c r="C35" s="2116" t="s">
        <v>157</v>
      </c>
      <c r="D35" s="2188">
        <f ca="1">'Cost EST. GM target'!$J$73</f>
        <v>0.45002378881461591</v>
      </c>
      <c r="E35" s="2117"/>
      <c r="F35" s="136"/>
      <c r="G35" s="136"/>
      <c r="H35" s="136"/>
      <c r="I35" s="2116" t="s">
        <v>157</v>
      </c>
      <c r="J35" s="2188">
        <f ca="1">'Cost EST. GM target'!$J$73</f>
        <v>0.45002378881461591</v>
      </c>
      <c r="K35" s="2117"/>
    </row>
    <row r="36" spans="1:11">
      <c r="A36" s="136"/>
      <c r="B36" s="136"/>
      <c r="C36" s="2116" t="s">
        <v>1583</v>
      </c>
      <c r="D36" s="2189"/>
      <c r="E36" s="2117"/>
      <c r="F36" s="136"/>
      <c r="G36" s="136"/>
      <c r="H36" s="136"/>
      <c r="I36" s="2116" t="s">
        <v>1583</v>
      </c>
      <c r="J36" s="2189"/>
      <c r="K36" s="2117"/>
    </row>
    <row r="37" spans="1:11">
      <c r="A37" s="136"/>
      <c r="B37" s="136"/>
      <c r="C37" s="2116" t="s">
        <v>75</v>
      </c>
      <c r="D37" s="2190">
        <f>'Cost EST. GM target'!$J$37</f>
        <v>2.2499999999999999E-2</v>
      </c>
      <c r="E37" s="2117"/>
      <c r="F37" s="136"/>
      <c r="G37" s="136"/>
      <c r="H37" s="136"/>
      <c r="I37" s="2116" t="s">
        <v>75</v>
      </c>
      <c r="J37" s="2190">
        <f>'Cost EST. GM target'!$J$37</f>
        <v>2.2499999999999999E-2</v>
      </c>
      <c r="K37" s="2117"/>
    </row>
    <row r="38" spans="1:11">
      <c r="A38" s="136"/>
      <c r="B38" s="136"/>
      <c r="C38" s="2116" t="s">
        <v>1609</v>
      </c>
      <c r="D38" s="3400" t="e">
        <f ca="1">1-(D34+D36)/(D39-(D34+D36)*D37)</f>
        <v>#DIV/0!</v>
      </c>
      <c r="E38" s="2117"/>
      <c r="F38" s="136"/>
      <c r="G38" s="136"/>
      <c r="H38" s="136"/>
      <c r="I38" s="2116" t="s">
        <v>1609</v>
      </c>
      <c r="J38" s="3400" t="e">
        <f ca="1">1-(J34+J36)/(J39-(J34+J36)*J37)</f>
        <v>#DIV/0!</v>
      </c>
      <c r="K38" s="2117"/>
    </row>
    <row r="39" spans="1:11">
      <c r="A39" s="136"/>
      <c r="B39" s="136"/>
      <c r="C39" s="2116"/>
      <c r="D39" s="3399">
        <f ca="1">D34/(1-D35)+D36+(D34+D36)*D37</f>
        <v>0</v>
      </c>
      <c r="E39" s="2118" t="str">
        <f>E34</f>
        <v>VND</v>
      </c>
      <c r="F39" s="2119"/>
      <c r="G39" s="136"/>
      <c r="H39" s="136"/>
      <c r="I39" s="2116"/>
      <c r="J39" s="3399">
        <f ca="1">J34/(1-J35)+J36+(J34+J36)*J37</f>
        <v>0</v>
      </c>
      <c r="K39" s="2118" t="str">
        <f>K34</f>
        <v>VND</v>
      </c>
    </row>
    <row r="41" spans="1:11">
      <c r="A41" s="2132" t="str">
        <f>"Extra cost balance paper "&amp;VLOOKUP(I41,Balance!$A$4:$M$23,2,0)</f>
        <v>Extra cost balance paper 0</v>
      </c>
      <c r="B41" s="2133"/>
      <c r="C41" s="2134"/>
      <c r="D41" s="2134"/>
      <c r="E41" s="2134"/>
      <c r="F41" s="2134"/>
      <c r="G41" s="2134"/>
      <c r="H41" s="2134"/>
      <c r="I41" s="2134" t="str">
        <f>Balance!A8</f>
        <v>N</v>
      </c>
      <c r="J41" s="301"/>
    </row>
    <row r="42" spans="1:11">
      <c r="A42" s="2122"/>
      <c r="B42" s="2110" t="s">
        <v>1924</v>
      </c>
      <c r="C42" s="2111"/>
      <c r="D42" s="3398">
        <f>VLOOKUP(I41,Balance!$A$4:$M$23,5,0)</f>
        <v>0</v>
      </c>
      <c r="E42" s="2110" t="s">
        <v>563</v>
      </c>
      <c r="F42" s="136"/>
      <c r="G42" s="136"/>
      <c r="H42" s="2110" t="s">
        <v>3472</v>
      </c>
      <c r="I42" s="2111"/>
      <c r="J42" s="3398">
        <f ca="1">VLOOKUP(I41,Balance!$A$4:$M$23,11,0)</f>
        <v>0</v>
      </c>
      <c r="K42" s="2110" t="str">
        <f>E42</f>
        <v>Tons</v>
      </c>
    </row>
    <row r="43" spans="1:11">
      <c r="A43" s="136"/>
      <c r="B43" s="2110" t="s">
        <v>125</v>
      </c>
      <c r="C43" s="2111"/>
      <c r="D43" s="3398">
        <f>VLOOKUP(I41,Balance!$A$4:$M$23,6,0)</f>
        <v>0</v>
      </c>
      <c r="E43" s="2110" t="s">
        <v>92</v>
      </c>
      <c r="F43" s="251"/>
      <c r="G43" s="251"/>
      <c r="H43" s="2110" t="s">
        <v>125</v>
      </c>
      <c r="I43" s="2111"/>
      <c r="J43" s="3398">
        <f ca="1">VLOOKUP(I41,Balance!$A$4:$M$23,12,0)</f>
        <v>0</v>
      </c>
      <c r="K43" s="2110" t="s">
        <v>92</v>
      </c>
    </row>
    <row r="44" spans="1:11">
      <c r="A44" s="136"/>
      <c r="B44" s="136"/>
      <c r="C44" s="2113"/>
      <c r="D44" s="3398">
        <f>D43/'Cost EST. GM target'!$L$4</f>
        <v>0</v>
      </c>
      <c r="E44" s="2115" t="str">
        <f>'Cost EST. GM target'!$M$4</f>
        <v>VND</v>
      </c>
      <c r="F44" s="2115"/>
      <c r="G44" s="136"/>
      <c r="H44" s="136"/>
      <c r="I44" s="2113"/>
      <c r="J44" s="3398">
        <f ca="1">J43/'Cost EST. GM target'!$L$4</f>
        <v>0</v>
      </c>
      <c r="K44" s="2115" t="str">
        <f>'Cost EST. GM target'!$M$4</f>
        <v>VND</v>
      </c>
    </row>
    <row r="45" spans="1:11">
      <c r="A45" s="136"/>
      <c r="B45" s="136"/>
      <c r="C45" s="2116" t="s">
        <v>157</v>
      </c>
      <c r="D45" s="2188">
        <f ca="1">'Cost EST. GM target'!$J$73</f>
        <v>0.45002378881461591</v>
      </c>
      <c r="E45" s="2117"/>
      <c r="F45" s="136"/>
      <c r="G45" s="136"/>
      <c r="H45" s="136"/>
      <c r="I45" s="2116" t="s">
        <v>157</v>
      </c>
      <c r="J45" s="2188">
        <f ca="1">'Cost EST. GM target'!$J$73</f>
        <v>0.45002378881461591</v>
      </c>
      <c r="K45" s="2117"/>
    </row>
    <row r="46" spans="1:11">
      <c r="A46" s="136"/>
      <c r="B46" s="136"/>
      <c r="C46" s="2116" t="s">
        <v>1583</v>
      </c>
      <c r="D46" s="2189"/>
      <c r="E46" s="2117"/>
      <c r="F46" s="136"/>
      <c r="G46" s="136"/>
      <c r="H46" s="136"/>
      <c r="I46" s="2116" t="s">
        <v>1583</v>
      </c>
      <c r="J46" s="2189"/>
      <c r="K46" s="2117"/>
    </row>
    <row r="47" spans="1:11">
      <c r="A47" s="136"/>
      <c r="B47" s="136"/>
      <c r="C47" s="2116" t="s">
        <v>75</v>
      </c>
      <c r="D47" s="2190">
        <f>'Cost EST. GM target'!$J$37</f>
        <v>2.2499999999999999E-2</v>
      </c>
      <c r="E47" s="2117"/>
      <c r="F47" s="136"/>
      <c r="G47" s="136"/>
      <c r="H47" s="136"/>
      <c r="I47" s="2116" t="s">
        <v>75</v>
      </c>
      <c r="J47" s="2190">
        <f>'Cost EST. GM target'!$J$37</f>
        <v>2.2499999999999999E-2</v>
      </c>
      <c r="K47" s="2117"/>
    </row>
    <row r="48" spans="1:11">
      <c r="A48" s="136"/>
      <c r="B48" s="136"/>
      <c r="C48" s="2116" t="s">
        <v>1609</v>
      </c>
      <c r="D48" s="3400" t="e">
        <f ca="1">1-(D44+D46)/(D49-(D44+D46)*D47)</f>
        <v>#DIV/0!</v>
      </c>
      <c r="E48" s="2117"/>
      <c r="F48" s="136"/>
      <c r="G48" s="136"/>
      <c r="H48" s="136"/>
      <c r="I48" s="2116" t="s">
        <v>1609</v>
      </c>
      <c r="J48" s="3400" t="e">
        <f ca="1">1-(J44+J46)/(J49-(J44+J46)*J47)</f>
        <v>#DIV/0!</v>
      </c>
      <c r="K48" s="2117"/>
    </row>
    <row r="49" spans="1:11">
      <c r="A49" s="136"/>
      <c r="B49" s="136"/>
      <c r="C49" s="2116"/>
      <c r="D49" s="3399">
        <f ca="1">D44/(1-D45)+D46+(D44+D46)*D47</f>
        <v>0</v>
      </c>
      <c r="E49" s="2118" t="str">
        <f>E44</f>
        <v>VND</v>
      </c>
      <c r="F49" s="2119"/>
      <c r="G49" s="136"/>
      <c r="H49" s="136"/>
      <c r="I49" s="2116"/>
      <c r="J49" s="3399">
        <f ca="1">J44/(1-J45)+J46+(J44+J46)*J47</f>
        <v>0</v>
      </c>
      <c r="K49" s="2118" t="str">
        <f>K44</f>
        <v>VND</v>
      </c>
    </row>
    <row r="51" spans="1:11">
      <c r="A51" s="2132" t="str">
        <f>"Extra cost balance paper "&amp;VLOOKUP(I51,Balance!$A$4:$M$23,2,0)</f>
        <v>Extra cost balance paper 0</v>
      </c>
      <c r="B51" s="2133"/>
      <c r="C51" s="2134"/>
      <c r="D51" s="2134"/>
      <c r="E51" s="2134"/>
      <c r="F51" s="2134"/>
      <c r="G51" s="2134"/>
      <c r="H51" s="2134"/>
      <c r="I51" s="2134" t="str">
        <f>Balance!A14</f>
        <v>N</v>
      </c>
      <c r="J51" s="301"/>
    </row>
    <row r="52" spans="1:11">
      <c r="A52" s="2122"/>
      <c r="B52" s="2110" t="s">
        <v>1924</v>
      </c>
      <c r="C52" s="2111"/>
      <c r="D52" s="3398">
        <f>VLOOKUP(I51,Balance!$A$4:$M$23,5,0)</f>
        <v>0</v>
      </c>
      <c r="E52" s="2110" t="s">
        <v>563</v>
      </c>
      <c r="F52" s="136"/>
      <c r="G52" s="136"/>
      <c r="H52" s="2110" t="s">
        <v>3472</v>
      </c>
      <c r="I52" s="2111"/>
      <c r="J52" s="3398">
        <f ca="1">VLOOKUP(I51,Balance!$A$4:$M$23,11,0)</f>
        <v>0</v>
      </c>
      <c r="K52" s="2110" t="str">
        <f>E52</f>
        <v>Tons</v>
      </c>
    </row>
    <row r="53" spans="1:11">
      <c r="A53" s="136"/>
      <c r="B53" s="2110" t="s">
        <v>125</v>
      </c>
      <c r="C53" s="2111"/>
      <c r="D53" s="3398">
        <f>VLOOKUP(I51,Balance!$A$4:$M$23,6,0)</f>
        <v>0</v>
      </c>
      <c r="E53" s="2110" t="s">
        <v>92</v>
      </c>
      <c r="F53" s="251"/>
      <c r="G53" s="251"/>
      <c r="H53" s="2110" t="s">
        <v>125</v>
      </c>
      <c r="I53" s="2111"/>
      <c r="J53" s="3398">
        <f ca="1">VLOOKUP(I51,Balance!$A$4:$M$23,12,0)</f>
        <v>0</v>
      </c>
      <c r="K53" s="2110" t="s">
        <v>92</v>
      </c>
    </row>
    <row r="54" spans="1:11">
      <c r="A54" s="136"/>
      <c r="B54" s="136"/>
      <c r="C54" s="2113"/>
      <c r="D54" s="3398">
        <f>D53/'Cost EST. GM target'!$L$4</f>
        <v>0</v>
      </c>
      <c r="E54" s="2115" t="str">
        <f>'Cost EST. GM target'!$M$4</f>
        <v>VND</v>
      </c>
      <c r="F54" s="2115"/>
      <c r="G54" s="136"/>
      <c r="H54" s="136"/>
      <c r="I54" s="2113"/>
      <c r="J54" s="3398">
        <f ca="1">J53/'Cost EST. GM target'!$L$4</f>
        <v>0</v>
      </c>
      <c r="K54" s="2115" t="str">
        <f>'Cost EST. GM target'!$M$4</f>
        <v>VND</v>
      </c>
    </row>
    <row r="55" spans="1:11">
      <c r="A55" s="136"/>
      <c r="B55" s="136"/>
      <c r="C55" s="2116" t="s">
        <v>157</v>
      </c>
      <c r="D55" s="2188">
        <f ca="1">'Cost EST. GM target'!$J$73</f>
        <v>0.45002378881461591</v>
      </c>
      <c r="E55" s="2117"/>
      <c r="F55" s="136"/>
      <c r="G55" s="136"/>
      <c r="H55" s="136"/>
      <c r="I55" s="2116" t="s">
        <v>157</v>
      </c>
      <c r="J55" s="2188">
        <f ca="1">'Cost EST. GM target'!$J$73</f>
        <v>0.45002378881461591</v>
      </c>
      <c r="K55" s="2117"/>
    </row>
    <row r="56" spans="1:11">
      <c r="A56" s="136"/>
      <c r="B56" s="136"/>
      <c r="C56" s="2116" t="s">
        <v>1583</v>
      </c>
      <c r="D56" s="2189"/>
      <c r="E56" s="2117"/>
      <c r="F56" s="136"/>
      <c r="G56" s="136"/>
      <c r="H56" s="136"/>
      <c r="I56" s="2116" t="s">
        <v>1583</v>
      </c>
      <c r="J56" s="2189"/>
      <c r="K56" s="2117"/>
    </row>
    <row r="57" spans="1:11">
      <c r="A57" s="136"/>
      <c r="B57" s="136"/>
      <c r="C57" s="2116" t="s">
        <v>75</v>
      </c>
      <c r="D57" s="2190">
        <f>'Cost EST. GM target'!$J$37</f>
        <v>2.2499999999999999E-2</v>
      </c>
      <c r="E57" s="2117"/>
      <c r="F57" s="136"/>
      <c r="G57" s="136"/>
      <c r="H57" s="136"/>
      <c r="I57" s="2116" t="s">
        <v>75</v>
      </c>
      <c r="J57" s="2190">
        <f>'Cost EST. GM target'!$J$37</f>
        <v>2.2499999999999999E-2</v>
      </c>
      <c r="K57" s="2117"/>
    </row>
    <row r="58" spans="1:11">
      <c r="A58" s="136"/>
      <c r="B58" s="136"/>
      <c r="C58" s="2116" t="s">
        <v>1609</v>
      </c>
      <c r="D58" s="3400" t="e">
        <f ca="1">1-(D54+D56)/(D59-(D54+D56)*D57)</f>
        <v>#DIV/0!</v>
      </c>
      <c r="E58" s="2117"/>
      <c r="F58" s="136"/>
      <c r="G58" s="136"/>
      <c r="H58" s="136"/>
      <c r="I58" s="2116" t="s">
        <v>1609</v>
      </c>
      <c r="J58" s="3400" t="e">
        <f ca="1">1-(J54+J56)/(J59-(J54+J56)*J57)</f>
        <v>#DIV/0!</v>
      </c>
      <c r="K58" s="2117"/>
    </row>
    <row r="59" spans="1:11">
      <c r="A59" s="136"/>
      <c r="B59" s="136"/>
      <c r="C59" s="2116"/>
      <c r="D59" s="3399">
        <f ca="1">D54/(1-D55)+D56+(D54+D56)*D57</f>
        <v>0</v>
      </c>
      <c r="E59" s="2118" t="str">
        <f>E54</f>
        <v>VND</v>
      </c>
      <c r="F59" s="2119"/>
      <c r="G59" s="136"/>
      <c r="H59" s="136"/>
      <c r="I59" s="2116"/>
      <c r="J59" s="3399">
        <f ca="1">J54/(1-J55)+J56+(J54+J56)*J57</f>
        <v>0</v>
      </c>
      <c r="K59" s="2118" t="str">
        <f>K54</f>
        <v>VND</v>
      </c>
    </row>
    <row r="61" spans="1:11">
      <c r="A61" s="2132" t="str">
        <f>"Extra cost balance paper "&amp;VLOOKUP(I61,Balance!$A$4:$M$23,2,0)</f>
        <v>Extra cost balance paper 0</v>
      </c>
      <c r="B61" s="2133"/>
      <c r="C61" s="2134"/>
      <c r="D61" s="2134"/>
      <c r="E61" s="2134"/>
      <c r="F61" s="2134"/>
      <c r="G61" s="2134"/>
      <c r="H61" s="2134"/>
      <c r="I61" s="2134" t="str">
        <f>Balance!A17</f>
        <v>N</v>
      </c>
      <c r="J61" s="301"/>
    </row>
    <row r="62" spans="1:11">
      <c r="A62" s="2122"/>
      <c r="B62" s="2110" t="s">
        <v>1924</v>
      </c>
      <c r="C62" s="2111"/>
      <c r="D62" s="3398">
        <f>VLOOKUP(I61,Balance!$A$4:$M$23,5,0)</f>
        <v>0</v>
      </c>
      <c r="E62" s="2110" t="s">
        <v>563</v>
      </c>
      <c r="F62" s="136"/>
      <c r="G62" s="136"/>
      <c r="H62" s="2110" t="s">
        <v>3472</v>
      </c>
      <c r="I62" s="2111"/>
      <c r="J62" s="3398">
        <f ca="1">VLOOKUP(I61,Balance!$A$4:$M$23,11,0)</f>
        <v>0</v>
      </c>
      <c r="K62" s="2110" t="str">
        <f>E62</f>
        <v>Tons</v>
      </c>
    </row>
    <row r="63" spans="1:11">
      <c r="A63" s="136"/>
      <c r="B63" s="2110" t="s">
        <v>125</v>
      </c>
      <c r="C63" s="2111"/>
      <c r="D63" s="3398">
        <f>VLOOKUP(I61,Balance!$A$4:$M$23,6,0)</f>
        <v>0</v>
      </c>
      <c r="E63" s="2110" t="s">
        <v>92</v>
      </c>
      <c r="F63" s="251"/>
      <c r="G63" s="251"/>
      <c r="H63" s="2110" t="s">
        <v>125</v>
      </c>
      <c r="I63" s="2111"/>
      <c r="J63" s="3398">
        <f ca="1">VLOOKUP(I61,Balance!$A$4:$M$23,12,0)</f>
        <v>0</v>
      </c>
      <c r="K63" s="2110" t="s">
        <v>92</v>
      </c>
    </row>
    <row r="64" spans="1:11">
      <c r="A64" s="136"/>
      <c r="B64" s="136"/>
      <c r="C64" s="2113"/>
      <c r="D64" s="3398">
        <f>D63/'Cost EST. GM target'!$L$4</f>
        <v>0</v>
      </c>
      <c r="E64" s="2115" t="str">
        <f>'Cost EST. GM target'!$M$4</f>
        <v>VND</v>
      </c>
      <c r="F64" s="2115"/>
      <c r="G64" s="136"/>
      <c r="H64" s="136"/>
      <c r="I64" s="2113"/>
      <c r="J64" s="3398">
        <f ca="1">J63/'Cost EST. GM target'!$L$4</f>
        <v>0</v>
      </c>
      <c r="K64" s="2115" t="str">
        <f>'Cost EST. GM target'!$M$4</f>
        <v>VND</v>
      </c>
    </row>
    <row r="65" spans="1:11">
      <c r="A65" s="136"/>
      <c r="B65" s="136"/>
      <c r="C65" s="2116" t="s">
        <v>157</v>
      </c>
      <c r="D65" s="2188">
        <f ca="1">'Cost EST. GM target'!$J$73</f>
        <v>0.45002378881461591</v>
      </c>
      <c r="E65" s="2117"/>
      <c r="F65" s="136"/>
      <c r="G65" s="136"/>
      <c r="H65" s="136"/>
      <c r="I65" s="2116" t="s">
        <v>157</v>
      </c>
      <c r="J65" s="2188">
        <f ca="1">'Cost EST. GM target'!$J$73</f>
        <v>0.45002378881461591</v>
      </c>
      <c r="K65" s="2117"/>
    </row>
    <row r="66" spans="1:11">
      <c r="A66" s="136"/>
      <c r="B66" s="136"/>
      <c r="C66" s="2116" t="s">
        <v>1583</v>
      </c>
      <c r="D66" s="2189"/>
      <c r="E66" s="2117"/>
      <c r="F66" s="136"/>
      <c r="G66" s="136"/>
      <c r="H66" s="136"/>
      <c r="I66" s="2116" t="s">
        <v>1583</v>
      </c>
      <c r="J66" s="2189"/>
      <c r="K66" s="2117"/>
    </row>
    <row r="67" spans="1:11">
      <c r="A67" s="136"/>
      <c r="B67" s="136"/>
      <c r="C67" s="2116" t="s">
        <v>75</v>
      </c>
      <c r="D67" s="2190">
        <f>'Cost EST. GM target'!$J$37</f>
        <v>2.2499999999999999E-2</v>
      </c>
      <c r="E67" s="2117"/>
      <c r="F67" s="136"/>
      <c r="G67" s="136"/>
      <c r="H67" s="136"/>
      <c r="I67" s="2116" t="s">
        <v>75</v>
      </c>
      <c r="J67" s="2190">
        <f>'Cost EST. GM target'!$J$37</f>
        <v>2.2499999999999999E-2</v>
      </c>
      <c r="K67" s="2117"/>
    </row>
    <row r="68" spans="1:11">
      <c r="A68" s="136"/>
      <c r="B68" s="136"/>
      <c r="C68" s="2116" t="s">
        <v>1609</v>
      </c>
      <c r="D68" s="3400" t="e">
        <f ca="1">1-(D64+D66)/(D69-(D64+D66)*D67)</f>
        <v>#DIV/0!</v>
      </c>
      <c r="E68" s="2117"/>
      <c r="F68" s="136"/>
      <c r="G68" s="136"/>
      <c r="H68" s="136"/>
      <c r="I68" s="2116" t="s">
        <v>1609</v>
      </c>
      <c r="J68" s="3400" t="e">
        <f ca="1">1-(J64+J66)/(J69-(J64+J66)*J67)</f>
        <v>#DIV/0!</v>
      </c>
      <c r="K68" s="2117"/>
    </row>
    <row r="69" spans="1:11">
      <c r="A69" s="136"/>
      <c r="B69" s="136"/>
      <c r="C69" s="2116"/>
      <c r="D69" s="3399">
        <f ca="1">D64/(1-D65)+D66+(D64+D66)*D67</f>
        <v>0</v>
      </c>
      <c r="E69" s="2118" t="str">
        <f>E64</f>
        <v>VND</v>
      </c>
      <c r="F69" s="2119"/>
      <c r="G69" s="136"/>
      <c r="H69" s="136"/>
      <c r="I69" s="2116"/>
      <c r="J69" s="3399">
        <f ca="1">J64/(1-J65)+J66+(J64+J66)*J67</f>
        <v>0</v>
      </c>
      <c r="K69" s="2118" t="str">
        <f>K64</f>
        <v>VND</v>
      </c>
    </row>
    <row r="71" spans="1:11">
      <c r="A71" s="2132" t="str">
        <f>"Extra cost balance paper "&amp;VLOOKUP(I71,Balance!$A$4:$M$23,2,0)</f>
        <v>Extra cost balance paper E-Flute</v>
      </c>
      <c r="B71" s="2133"/>
      <c r="C71" s="2134"/>
      <c r="D71" s="2134"/>
      <c r="E71" s="2134"/>
      <c r="F71" s="2134"/>
      <c r="G71" s="2134"/>
      <c r="H71" s="2134"/>
      <c r="I71" s="2134" t="str">
        <f>Balance!A22</f>
        <v>E-flute 115/105</v>
      </c>
      <c r="J71" s="301"/>
    </row>
    <row r="72" spans="1:11">
      <c r="A72" s="2122"/>
      <c r="B72" s="2110" t="s">
        <v>1924</v>
      </c>
      <c r="C72" s="2111"/>
      <c r="D72" s="3398">
        <f>VLOOKUP(I71,Balance!$A$4:$M$23,5,0)</f>
        <v>0</v>
      </c>
      <c r="E72" s="2110" t="s">
        <v>206</v>
      </c>
      <c r="F72" s="136"/>
      <c r="G72" s="136"/>
      <c r="H72" s="2110" t="s">
        <v>3472</v>
      </c>
      <c r="I72" s="2111"/>
      <c r="J72" s="3398">
        <f ca="1">VLOOKUP(I71,Balance!$A$4:$M$23,11,0)</f>
        <v>0</v>
      </c>
      <c r="K72" s="2110" t="str">
        <f>E72</f>
        <v>m2</v>
      </c>
    </row>
    <row r="73" spans="1:11">
      <c r="A73" s="136"/>
      <c r="B73" s="2110" t="s">
        <v>125</v>
      </c>
      <c r="C73" s="2111"/>
      <c r="D73" s="3398">
        <f>VLOOKUP(I71,Balance!$A$4:$M$23,6,0)</f>
        <v>0</v>
      </c>
      <c r="E73" s="2110" t="s">
        <v>92</v>
      </c>
      <c r="F73" s="251"/>
      <c r="G73" s="251"/>
      <c r="H73" s="2110" t="s">
        <v>125</v>
      </c>
      <c r="I73" s="2111"/>
      <c r="J73" s="3398">
        <f ca="1">VLOOKUP(I71,Balance!$A$4:$M$23,12,0)</f>
        <v>0</v>
      </c>
      <c r="K73" s="2110" t="s">
        <v>92</v>
      </c>
    </row>
    <row r="74" spans="1:11">
      <c r="A74" s="136"/>
      <c r="B74" s="136"/>
      <c r="C74" s="2113"/>
      <c r="D74" s="3398">
        <f>D73/'Cost EST. GM target'!$L$4</f>
        <v>0</v>
      </c>
      <c r="E74" s="2115" t="str">
        <f>'Cost EST. GM target'!$M$4</f>
        <v>VND</v>
      </c>
      <c r="F74" s="2115"/>
      <c r="G74" s="136"/>
      <c r="H74" s="136"/>
      <c r="I74" s="2113"/>
      <c r="J74" s="3398">
        <f ca="1">J73/'Cost EST. GM target'!$L$4</f>
        <v>0</v>
      </c>
      <c r="K74" s="2115" t="str">
        <f>'Cost EST. GM target'!$M$4</f>
        <v>VND</v>
      </c>
    </row>
    <row r="75" spans="1:11">
      <c r="A75" s="136"/>
      <c r="B75" s="136"/>
      <c r="C75" s="2116" t="s">
        <v>157</v>
      </c>
      <c r="D75" s="2188">
        <f ca="1">'Cost EST. GM target'!$J$73</f>
        <v>0.45002378881461591</v>
      </c>
      <c r="E75" s="2117"/>
      <c r="F75" s="136"/>
      <c r="G75" s="136"/>
      <c r="H75" s="136"/>
      <c r="I75" s="2116" t="s">
        <v>157</v>
      </c>
      <c r="J75" s="2188">
        <f ca="1">'Cost EST. GM target'!$J$73</f>
        <v>0.45002378881461591</v>
      </c>
      <c r="K75" s="2117"/>
    </row>
    <row r="76" spans="1:11">
      <c r="A76" s="136"/>
      <c r="B76" s="136"/>
      <c r="C76" s="2116" t="s">
        <v>1583</v>
      </c>
      <c r="D76" s="2189"/>
      <c r="E76" s="2117"/>
      <c r="F76" s="136"/>
      <c r="G76" s="136"/>
      <c r="H76" s="136"/>
      <c r="I76" s="2116" t="s">
        <v>1583</v>
      </c>
      <c r="J76" s="2189"/>
      <c r="K76" s="2117"/>
    </row>
    <row r="77" spans="1:11">
      <c r="A77" s="136"/>
      <c r="B77" s="136"/>
      <c r="C77" s="2116" t="s">
        <v>75</v>
      </c>
      <c r="D77" s="2190">
        <f>'Cost EST. GM target'!$J$37</f>
        <v>2.2499999999999999E-2</v>
      </c>
      <c r="E77" s="2117"/>
      <c r="F77" s="136"/>
      <c r="G77" s="136"/>
      <c r="H77" s="136"/>
      <c r="I77" s="2116" t="s">
        <v>75</v>
      </c>
      <c r="J77" s="2190">
        <f>'Cost EST. GM target'!$J$37</f>
        <v>2.2499999999999999E-2</v>
      </c>
      <c r="K77" s="2117"/>
    </row>
    <row r="78" spans="1:11">
      <c r="A78" s="136"/>
      <c r="B78" s="136"/>
      <c r="C78" s="2116" t="s">
        <v>1609</v>
      </c>
      <c r="D78" s="3400" t="e">
        <f ca="1">1-(D74+D76)/(D79-(D74+D76)*D77)</f>
        <v>#DIV/0!</v>
      </c>
      <c r="E78" s="2117"/>
      <c r="F78" s="136"/>
      <c r="G78" s="136"/>
      <c r="H78" s="136"/>
      <c r="I78" s="2116" t="s">
        <v>1609</v>
      </c>
      <c r="J78" s="3400" t="e">
        <f ca="1">1-(J74+J76)/(J79-(J74+J76)*J77)</f>
        <v>#DIV/0!</v>
      </c>
      <c r="K78" s="2117"/>
    </row>
    <row r="79" spans="1:11">
      <c r="A79" s="136"/>
      <c r="B79" s="136"/>
      <c r="C79" s="2116"/>
      <c r="D79" s="3399">
        <f ca="1">D74/(1-D75)+D76+(D74+D76)*D77</f>
        <v>0</v>
      </c>
      <c r="E79" s="2118" t="str">
        <f>E74</f>
        <v>VND</v>
      </c>
      <c r="F79" s="2119"/>
      <c r="G79" s="136"/>
      <c r="H79" s="136"/>
      <c r="I79" s="2116"/>
      <c r="J79" s="3399">
        <f ca="1">J74/(1-J75)+J76+(J74+J76)*J77</f>
        <v>0</v>
      </c>
      <c r="K79" s="2118" t="str">
        <f>K74</f>
        <v>VND</v>
      </c>
    </row>
    <row r="81" spans="1:11">
      <c r="A81" s="2132" t="str">
        <f>"Extra cost balance paper "&amp;VLOOKUP(I81,Balance!$A$33:$M$35,2,0)</f>
        <v xml:space="preserve">Extra cost balance paper </v>
      </c>
      <c r="B81" s="2133"/>
      <c r="C81" s="2134"/>
      <c r="D81" s="2134"/>
      <c r="E81" s="2134"/>
      <c r="F81" s="2134"/>
      <c r="G81" s="2134"/>
      <c r="H81" s="2134"/>
      <c r="I81" s="2134" t="str">
        <f>Balance!A33</f>
        <v>Tray</v>
      </c>
      <c r="J81" s="301"/>
    </row>
    <row r="82" spans="1:11">
      <c r="A82" s="2122"/>
      <c r="B82" s="2110" t="s">
        <v>1924</v>
      </c>
      <c r="C82" s="2111"/>
      <c r="D82" s="3398">
        <f>VLOOKUP(I81,Balance!$A$33:$M$35,5,0)</f>
        <v>0</v>
      </c>
      <c r="E82" s="2110" t="s">
        <v>287</v>
      </c>
      <c r="F82" s="136"/>
      <c r="G82" s="136"/>
      <c r="H82" s="2110" t="s">
        <v>3472</v>
      </c>
      <c r="I82" s="2111"/>
      <c r="J82" s="3398">
        <f>VLOOKUP(I81,Balance!$A$33:$M$35,11,0)</f>
        <v>0</v>
      </c>
      <c r="K82" s="2110" t="str">
        <f>E82</f>
        <v>pcs</v>
      </c>
    </row>
    <row r="83" spans="1:11">
      <c r="A83" s="136"/>
      <c r="B83" s="2110" t="s">
        <v>125</v>
      </c>
      <c r="C83" s="2111"/>
      <c r="D83" s="3398">
        <f>VLOOKUP(I81,Balance!$A$33:$M$35,6,0)</f>
        <v>0</v>
      </c>
      <c r="E83" s="2110" t="s">
        <v>92</v>
      </c>
      <c r="F83" s="251"/>
      <c r="G83" s="251"/>
      <c r="H83" s="2110" t="s">
        <v>125</v>
      </c>
      <c r="I83" s="2111"/>
      <c r="J83" s="3398">
        <f>VLOOKUP(I81,Balance!$A$33:$M$35,12,0)</f>
        <v>0</v>
      </c>
      <c r="K83" s="2110" t="s">
        <v>92</v>
      </c>
    </row>
    <row r="84" spans="1:11">
      <c r="A84" s="136"/>
      <c r="B84" s="136"/>
      <c r="C84" s="2113"/>
      <c r="D84" s="3398">
        <f>D83/'Cost EST. GM target'!$L$4</f>
        <v>0</v>
      </c>
      <c r="E84" s="2115" t="str">
        <f>'Cost EST. GM target'!$M$4</f>
        <v>VND</v>
      </c>
      <c r="F84" s="2115"/>
      <c r="G84" s="136"/>
      <c r="H84" s="136"/>
      <c r="I84" s="2113"/>
      <c r="J84" s="3398">
        <f>J83/'Cost EST. GM target'!$L$4</f>
        <v>0</v>
      </c>
      <c r="K84" s="2115" t="str">
        <f>'Cost EST. GM target'!$M$4</f>
        <v>VND</v>
      </c>
    </row>
    <row r="85" spans="1:11">
      <c r="A85" s="136"/>
      <c r="B85" s="136"/>
      <c r="C85" s="2116" t="s">
        <v>157</v>
      </c>
      <c r="D85" s="2188">
        <f ca="1">'Cost EST. GM target'!$J$73</f>
        <v>0.45002378881461591</v>
      </c>
      <c r="E85" s="2117"/>
      <c r="F85" s="136"/>
      <c r="G85" s="136"/>
      <c r="H85" s="136"/>
      <c r="I85" s="2116" t="s">
        <v>157</v>
      </c>
      <c r="J85" s="2188">
        <f ca="1">'Cost EST. GM target'!$J$73</f>
        <v>0.45002378881461591</v>
      </c>
      <c r="K85" s="2117"/>
    </row>
    <row r="86" spans="1:11">
      <c r="A86" s="136"/>
      <c r="B86" s="136"/>
      <c r="C86" s="2116" t="s">
        <v>1583</v>
      </c>
      <c r="D86" s="2189"/>
      <c r="E86" s="2117"/>
      <c r="F86" s="136"/>
      <c r="G86" s="136"/>
      <c r="H86" s="136"/>
      <c r="I86" s="2116" t="s">
        <v>1583</v>
      </c>
      <c r="J86" s="2189"/>
      <c r="K86" s="2117"/>
    </row>
    <row r="87" spans="1:11">
      <c r="A87" s="136"/>
      <c r="B87" s="136"/>
      <c r="C87" s="2116" t="s">
        <v>75</v>
      </c>
      <c r="D87" s="2190">
        <f>'Cost EST. GM target'!$J$37</f>
        <v>2.2499999999999999E-2</v>
      </c>
      <c r="E87" s="2117"/>
      <c r="F87" s="136"/>
      <c r="G87" s="136"/>
      <c r="H87" s="136"/>
      <c r="I87" s="2116" t="s">
        <v>75</v>
      </c>
      <c r="J87" s="2190">
        <f>'Cost EST. GM target'!$J$37</f>
        <v>2.2499999999999999E-2</v>
      </c>
      <c r="K87" s="2117"/>
    </row>
    <row r="88" spans="1:11">
      <c r="A88" s="136"/>
      <c r="B88" s="136"/>
      <c r="C88" s="2116" t="s">
        <v>1609</v>
      </c>
      <c r="D88" s="3400" t="e">
        <f ca="1">1-(D84+D86)/(D89-(D84+D86)*D87)</f>
        <v>#DIV/0!</v>
      </c>
      <c r="E88" s="2117"/>
      <c r="F88" s="136"/>
      <c r="G88" s="136"/>
      <c r="H88" s="136"/>
      <c r="I88" s="2116" t="s">
        <v>1609</v>
      </c>
      <c r="J88" s="3400" t="e">
        <f ca="1">1-(J84+J86)/(J89-(J84+J86)*J87)</f>
        <v>#DIV/0!</v>
      </c>
      <c r="K88" s="2117"/>
    </row>
    <row r="89" spans="1:11">
      <c r="A89" s="136"/>
      <c r="B89" s="136"/>
      <c r="C89" s="2116"/>
      <c r="D89" s="3399">
        <f ca="1">D84/(1-D85)+D86+(D84+D86)*D87</f>
        <v>0</v>
      </c>
      <c r="E89" s="2118" t="str">
        <f>E84</f>
        <v>VND</v>
      </c>
      <c r="F89" s="2119"/>
      <c r="G89" s="136"/>
      <c r="H89" s="136"/>
      <c r="I89" s="2116"/>
      <c r="J89" s="3399">
        <f ca="1">J84/(1-J85)+J86+(J84+J86)*J87</f>
        <v>0</v>
      </c>
      <c r="K89" s="2118" t="str">
        <f>K84</f>
        <v>VND</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1:R58"/>
  <sheetViews>
    <sheetView topLeftCell="E16" zoomScale="95" zoomScaleNormal="95" workbookViewId="0">
      <selection activeCell="H16" sqref="H16"/>
    </sheetView>
  </sheetViews>
  <sheetFormatPr defaultColWidth="12" defaultRowHeight="21.75" customHeight="1" outlineLevelCol="1"/>
  <cols>
    <col min="1" max="2" width="9.5703125" style="5" hidden="1" customWidth="1" outlineLevel="1"/>
    <col min="3" max="3" width="11" style="5" hidden="1" customWidth="1" outlineLevel="1"/>
    <col min="4" max="4" width="12" style="5" hidden="1" customWidth="1" outlineLevel="1"/>
    <col min="5" max="5" width="8" style="5" customWidth="1" collapsed="1"/>
    <col min="6" max="6" width="14" style="5" customWidth="1"/>
    <col min="7" max="7" width="8" style="5" customWidth="1"/>
    <col min="8" max="8" width="12" style="5" customWidth="1"/>
    <col min="9" max="9" width="10.85546875" style="5" customWidth="1"/>
    <col min="10" max="10" width="8" style="5" customWidth="1"/>
    <col min="11" max="12" width="8.7109375" style="5" hidden="1" customWidth="1"/>
    <col min="13" max="13" width="12" style="5" customWidth="1"/>
    <col min="14" max="14" width="11" style="5" bestFit="1" customWidth="1"/>
    <col min="15" max="15" width="12.42578125" style="5" customWidth="1"/>
    <col min="16" max="16" width="4.42578125" style="1063" customWidth="1"/>
    <col min="17" max="21" width="10.5703125" style="5" customWidth="1"/>
    <col min="22" max="16384" width="12" style="5"/>
  </cols>
  <sheetData>
    <row r="1" spans="1:18" s="9" customFormat="1" ht="21.75" customHeight="1">
      <c r="G1" s="1071">
        <f>input!$D$4</f>
        <v>4.4999999999999998E-2</v>
      </c>
      <c r="H1" s="19" t="s">
        <v>78</v>
      </c>
      <c r="I1" s="1058"/>
      <c r="N1" s="1" t="s">
        <v>289</v>
      </c>
      <c r="O1" s="1072">
        <f>92900*(1+$O$2)</f>
        <v>92900</v>
      </c>
      <c r="P1" s="870" t="s">
        <v>290</v>
      </c>
    </row>
    <row r="2" spans="1:18" s="9" customFormat="1" ht="28.5" customHeight="1">
      <c r="A2" s="2957" t="s">
        <v>280</v>
      </c>
      <c r="B2" s="2957"/>
      <c r="C2" s="2958"/>
      <c r="D2" s="2959" t="s">
        <v>279</v>
      </c>
      <c r="F2" s="1" t="s">
        <v>114</v>
      </c>
      <c r="G2" s="1178">
        <f>'Cost EST. GM target'!$L$6</f>
        <v>5000</v>
      </c>
      <c r="H2" s="19" t="s">
        <v>11</v>
      </c>
      <c r="N2" s="1073" t="s">
        <v>267</v>
      </c>
      <c r="O2" s="1074">
        <f>'ACC &amp; Other Material '!$I$5</f>
        <v>0</v>
      </c>
      <c r="Q2" s="1075"/>
    </row>
    <row r="3" spans="1:18" s="9" customFormat="1" ht="24" customHeight="1">
      <c r="A3" s="2958">
        <v>1.9E-2</v>
      </c>
      <c r="B3" s="2960">
        <v>220</v>
      </c>
      <c r="C3" s="2960">
        <v>1067000</v>
      </c>
      <c r="D3" s="2961">
        <v>8.1999999999999993</v>
      </c>
      <c r="F3" s="1" t="s">
        <v>44</v>
      </c>
      <c r="G3" s="1178">
        <f>G2*(1+G1)</f>
        <v>5225</v>
      </c>
      <c r="H3" s="19" t="s">
        <v>11</v>
      </c>
      <c r="N3" s="1073" t="s">
        <v>157</v>
      </c>
      <c r="O3" s="1074">
        <f ca="1">'Cost EST. GM target'!$J$73</f>
        <v>0.45002378881461591</v>
      </c>
    </row>
    <row r="4" spans="1:18" s="9" customFormat="1" ht="21.75" customHeight="1">
      <c r="A4" s="2958">
        <v>1.9E-2</v>
      </c>
      <c r="B4" s="2960">
        <v>280</v>
      </c>
      <c r="C4" s="2960">
        <v>1067000</v>
      </c>
      <c r="D4" s="2961">
        <v>10.4</v>
      </c>
      <c r="F4" s="1059"/>
      <c r="G4" s="1077"/>
      <c r="H4" s="14"/>
      <c r="N4" s="1073" t="s">
        <v>1583</v>
      </c>
      <c r="O4" s="1076">
        <v>0</v>
      </c>
      <c r="Q4" s="1080"/>
    </row>
    <row r="5" spans="1:18" s="9" customFormat="1" ht="21.75" customHeight="1">
      <c r="A5" s="2958">
        <v>1.9E-2</v>
      </c>
      <c r="B5" s="2960">
        <v>250</v>
      </c>
      <c r="C5" s="2960">
        <v>1067000</v>
      </c>
      <c r="D5" s="2961">
        <v>11.2</v>
      </c>
      <c r="F5" s="1059"/>
      <c r="G5" s="1077"/>
      <c r="H5" s="14"/>
      <c r="I5" s="1078">
        <f>'Production cost'!$M$5</f>
        <v>1</v>
      </c>
      <c r="J5" s="19" t="s">
        <v>113</v>
      </c>
      <c r="N5" s="1073" t="s">
        <v>75</v>
      </c>
      <c r="O5" s="1079">
        <f>'Cost EST. GM target'!$J$50</f>
        <v>2.2499999999999999E-2</v>
      </c>
      <c r="Q5" s="1080"/>
    </row>
    <row r="6" spans="1:18" s="9" customFormat="1" ht="21.75" customHeight="1">
      <c r="A6" s="2958"/>
      <c r="B6" s="2960"/>
      <c r="C6" s="2960"/>
      <c r="D6" s="2961"/>
      <c r="E6" s="1081" t="s">
        <v>116</v>
      </c>
      <c r="F6" s="1059"/>
      <c r="G6" s="1077"/>
      <c r="H6" s="14"/>
      <c r="I6" s="1082">
        <f>'Production cost'!$P$590</f>
        <v>52580.182439963428</v>
      </c>
      <c r="J6" s="19" t="s">
        <v>94</v>
      </c>
      <c r="N6" s="1073" t="s">
        <v>1631</v>
      </c>
      <c r="O6" s="1179">
        <f ca="1">1-($O$10+$O$21+$O$4)/($O$23-($O$10+$O$21+$O$4)*$D35)</f>
        <v>0.45674626303391641</v>
      </c>
      <c r="Q6" s="1080"/>
    </row>
    <row r="7" spans="1:18" s="9" customFormat="1" ht="21.75" customHeight="1">
      <c r="A7" s="2958">
        <v>1.9E-2</v>
      </c>
      <c r="B7" s="2960">
        <v>300</v>
      </c>
      <c r="C7" s="2960">
        <v>1067000</v>
      </c>
      <c r="D7" s="2961">
        <v>11.2</v>
      </c>
      <c r="F7" s="1180" t="s">
        <v>26</v>
      </c>
      <c r="G7" s="1180" t="s">
        <v>123</v>
      </c>
      <c r="H7" s="1180" t="s">
        <v>79</v>
      </c>
      <c r="I7" s="1180" t="s">
        <v>27</v>
      </c>
      <c r="J7" s="1181" t="s">
        <v>160</v>
      </c>
      <c r="K7" s="1181" t="s">
        <v>32</v>
      </c>
      <c r="L7" s="1181" t="s">
        <v>20</v>
      </c>
      <c r="M7" s="1181" t="s">
        <v>43</v>
      </c>
      <c r="N7" s="1181" t="s">
        <v>95</v>
      </c>
      <c r="O7" s="1181" t="s">
        <v>112</v>
      </c>
      <c r="P7" s="1083"/>
      <c r="Q7" s="25"/>
    </row>
    <row r="8" spans="1:18" s="1083" customFormat="1" ht="21.75" customHeight="1">
      <c r="A8" s="2958">
        <v>1.9E-2</v>
      </c>
      <c r="B8" s="2960">
        <v>350</v>
      </c>
      <c r="C8" s="2960">
        <v>1067000</v>
      </c>
      <c r="D8" s="2961">
        <v>13</v>
      </c>
      <c r="F8" s="15" t="s">
        <v>493</v>
      </c>
      <c r="G8" s="1060">
        <f>G3/N14</f>
        <v>5225</v>
      </c>
      <c r="H8" s="22">
        <v>550</v>
      </c>
      <c r="I8" s="22" t="s">
        <v>115</v>
      </c>
      <c r="J8" s="22">
        <v>5</v>
      </c>
      <c r="K8" s="2">
        <f>INT(((G8/H8)/($I$5/100)-0.1))+1</f>
        <v>950</v>
      </c>
      <c r="L8" s="2">
        <f>15/60</f>
        <v>0.25</v>
      </c>
      <c r="M8" s="1061">
        <f>(J8*K8)+(L8)</f>
        <v>4750.25</v>
      </c>
      <c r="N8" s="1061">
        <f>IF(G8&gt;0,M8*$I$6,0)</f>
        <v>249769011.63543627</v>
      </c>
      <c r="O8" s="1062">
        <f>N8/$G$2*$N$14</f>
        <v>49953.802327087251</v>
      </c>
      <c r="P8" s="1063"/>
    </row>
    <row r="9" spans="1:18" ht="21.75" customHeight="1">
      <c r="A9" s="2958">
        <v>1.9E-2</v>
      </c>
      <c r="B9" s="2960">
        <v>410</v>
      </c>
      <c r="C9" s="2960">
        <v>1067000</v>
      </c>
      <c r="D9" s="2961">
        <v>15.3</v>
      </c>
      <c r="F9" s="15" t="s">
        <v>128</v>
      </c>
      <c r="G9" s="1064"/>
      <c r="H9" s="16">
        <v>1500</v>
      </c>
      <c r="I9" s="16" t="s">
        <v>115</v>
      </c>
      <c r="J9" s="16">
        <v>2</v>
      </c>
      <c r="K9" s="2">
        <f>INT(((G9/H9)/($I$5/100)-0.1))+1</f>
        <v>0</v>
      </c>
      <c r="L9" s="2"/>
      <c r="M9" s="1061">
        <f>(J9*K9)+(L9*J9)</f>
        <v>0</v>
      </c>
      <c r="N9" s="1061">
        <f>IF(G9&gt;0,M9*$I$6,0)</f>
        <v>0</v>
      </c>
      <c r="O9" s="1062">
        <f>N9/$G$2*$N$14</f>
        <v>0</v>
      </c>
      <c r="Q9" s="26"/>
      <c r="R9" s="8"/>
    </row>
    <row r="10" spans="1:18" ht="21.75" customHeight="1">
      <c r="A10" s="2958">
        <v>1.9E-2</v>
      </c>
      <c r="B10" s="2960">
        <v>460</v>
      </c>
      <c r="C10" s="2960">
        <v>1067000</v>
      </c>
      <c r="D10" s="2961">
        <v>17.100000000000001</v>
      </c>
      <c r="F10" s="17" t="s">
        <v>119</v>
      </c>
      <c r="G10" s="3"/>
      <c r="H10" s="4"/>
      <c r="I10" s="4"/>
      <c r="J10" s="4"/>
      <c r="K10" s="2"/>
      <c r="L10" s="2"/>
      <c r="M10" s="2"/>
      <c r="N10" s="2"/>
      <c r="O10" s="18">
        <f>SUM(O8:O9)</f>
        <v>49953.802327087251</v>
      </c>
      <c r="P10" s="19" t="s">
        <v>112</v>
      </c>
      <c r="Q10" s="10"/>
      <c r="R10" s="8"/>
    </row>
    <row r="11" spans="1:18" ht="21.75" customHeight="1">
      <c r="A11" s="2958">
        <v>1.9E-2</v>
      </c>
      <c r="B11" s="2960">
        <v>508</v>
      </c>
      <c r="C11" s="2960">
        <v>1067000</v>
      </c>
      <c r="D11" s="2961">
        <v>18.8</v>
      </c>
      <c r="P11" s="5"/>
      <c r="Q11" s="26"/>
      <c r="R11" s="8"/>
    </row>
    <row r="12" spans="1:18" ht="21.75" customHeight="1">
      <c r="A12" s="2958">
        <v>1.9E-2</v>
      </c>
      <c r="B12" s="2960">
        <v>650</v>
      </c>
      <c r="C12" s="2960">
        <v>1067000</v>
      </c>
      <c r="D12" s="2961">
        <v>22.3</v>
      </c>
      <c r="E12" s="1081" t="s">
        <v>117</v>
      </c>
    </row>
    <row r="13" spans="1:18" ht="21.75" customHeight="1">
      <c r="A13" s="2958">
        <v>2.5000000000000001E-2</v>
      </c>
      <c r="B13" s="2960">
        <v>250</v>
      </c>
      <c r="C13" s="2960">
        <v>1067000</v>
      </c>
      <c r="D13" s="2961">
        <v>24.2</v>
      </c>
      <c r="F13" s="15" t="s">
        <v>632</v>
      </c>
      <c r="G13" s="1065">
        <f>input!C16</f>
        <v>150</v>
      </c>
      <c r="H13" s="1065">
        <f>input!E16</f>
        <v>150</v>
      </c>
      <c r="I13" s="1065">
        <f>input!E18</f>
        <v>0.38500000000000001</v>
      </c>
      <c r="J13" s="1066" t="s">
        <v>10</v>
      </c>
      <c r="Q13" s="25"/>
    </row>
    <row r="14" spans="1:18" ht="21.75" customHeight="1">
      <c r="A14" s="2958">
        <v>2.5000000000000001E-2</v>
      </c>
      <c r="B14" s="2960">
        <v>300</v>
      </c>
      <c r="C14" s="2960">
        <v>1067000</v>
      </c>
      <c r="D14" s="2961">
        <v>9.4</v>
      </c>
      <c r="F14" s="15" t="s">
        <v>118</v>
      </c>
      <c r="G14" s="1084">
        <v>1</v>
      </c>
      <c r="H14" s="1084">
        <v>1</v>
      </c>
      <c r="I14" s="1084">
        <v>1</v>
      </c>
      <c r="J14" s="1066"/>
      <c r="N14" s="1085">
        <f>I14*H14*G14</f>
        <v>1</v>
      </c>
      <c r="O14" s="19" t="s">
        <v>161</v>
      </c>
    </row>
    <row r="15" spans="1:18" ht="21.75" customHeight="1">
      <c r="F15" s="15" t="s">
        <v>129</v>
      </c>
      <c r="G15" s="1065">
        <f>G13*G14</f>
        <v>150</v>
      </c>
      <c r="H15" s="1065">
        <f>H13*H14</f>
        <v>150</v>
      </c>
      <c r="I15" s="1065">
        <f>INT(I13*I14)+1</f>
        <v>1</v>
      </c>
      <c r="J15" s="1066" t="s">
        <v>10</v>
      </c>
      <c r="O15" s="1067"/>
    </row>
    <row r="16" spans="1:18" ht="21.75" customHeight="1">
      <c r="F16" s="15" t="s">
        <v>281</v>
      </c>
      <c r="G16" s="1086">
        <f>(MIN(G15,H15)+I15+30+30+60)</f>
        <v>271</v>
      </c>
      <c r="H16" s="1086">
        <f>IF(MIN(G15,H15)&lt;420,MAX(G15,H15)+I15+30+30,0)</f>
        <v>211</v>
      </c>
      <c r="I16" s="1086" t="s">
        <v>10</v>
      </c>
      <c r="J16" s="1066"/>
      <c r="O16" s="1067"/>
    </row>
    <row r="17" spans="1:17" ht="21.75" customHeight="1">
      <c r="F17" s="15" t="s">
        <v>282</v>
      </c>
      <c r="G17" s="1086">
        <v>410</v>
      </c>
      <c r="H17" s="1086">
        <f>H16</f>
        <v>211</v>
      </c>
      <c r="I17" s="1086" t="s">
        <v>10</v>
      </c>
      <c r="J17" s="1066"/>
      <c r="O17" s="1067"/>
    </row>
    <row r="18" spans="1:17" ht="21.75" customHeight="1">
      <c r="A18" s="1084"/>
      <c r="B18" s="1087"/>
      <c r="C18" s="1087"/>
      <c r="D18" s="1084"/>
      <c r="F18" s="15" t="s">
        <v>283</v>
      </c>
      <c r="G18" s="1086">
        <f>G17</f>
        <v>410</v>
      </c>
      <c r="H18" s="1087">
        <f>C3</f>
        <v>1067000</v>
      </c>
      <c r="I18" s="1086" t="s">
        <v>10</v>
      </c>
      <c r="J18" s="1088">
        <f>VLOOKUP(G18,B3:D12,3,0)</f>
        <v>15.3</v>
      </c>
      <c r="M18" s="1086" t="s">
        <v>284</v>
      </c>
      <c r="O18" s="1067"/>
    </row>
    <row r="19" spans="1:17" ht="21.75" customHeight="1">
      <c r="A19" s="1084"/>
      <c r="B19" s="1087"/>
      <c r="C19" s="1087"/>
      <c r="D19" s="1084"/>
      <c r="F19" s="15"/>
      <c r="G19" s="1086">
        <f>INT(G18/G17)</f>
        <v>1</v>
      </c>
      <c r="H19" s="1087">
        <f>INT(H18/H17)</f>
        <v>5056</v>
      </c>
      <c r="J19" s="1089">
        <f>INT((G19*H19)/J18)</f>
        <v>330</v>
      </c>
      <c r="K19" s="1086" t="s">
        <v>285</v>
      </c>
      <c r="M19" s="1086" t="s">
        <v>285</v>
      </c>
      <c r="O19" s="1067"/>
    </row>
    <row r="20" spans="1:17" ht="21.75" customHeight="1">
      <c r="A20" s="1075"/>
      <c r="B20" s="1075"/>
      <c r="C20" s="1075"/>
      <c r="D20" s="1075"/>
      <c r="F20" s="15" t="s">
        <v>286</v>
      </c>
      <c r="G20" s="1087">
        <f>ROUNDUP(G3/N14,0)</f>
        <v>5225</v>
      </c>
      <c r="H20" s="1086" t="s">
        <v>287</v>
      </c>
      <c r="I20" s="1086"/>
      <c r="J20" s="1089">
        <f>ROUNDUP(G20/J19,0)</f>
        <v>16</v>
      </c>
      <c r="K20" s="1086"/>
      <c r="M20" s="1086" t="s">
        <v>288</v>
      </c>
      <c r="O20" s="1067"/>
    </row>
    <row r="21" spans="1:17" ht="26.25" customHeight="1">
      <c r="A21" s="1075"/>
      <c r="B21" s="1075"/>
      <c r="C21" s="1075"/>
      <c r="D21" s="1075"/>
      <c r="F21" s="17" t="s">
        <v>120</v>
      </c>
      <c r="O21" s="27">
        <f>ROUNDUP(J20*O1/(G2/N14),0)</f>
        <v>298</v>
      </c>
      <c r="P21" s="19" t="s">
        <v>92</v>
      </c>
    </row>
    <row r="22" spans="1:17" ht="29.25" customHeight="1">
      <c r="A22" s="1075"/>
      <c r="B22" s="1075"/>
      <c r="C22" s="1075"/>
      <c r="D22" s="1075"/>
      <c r="F22" s="7"/>
      <c r="G22" s="7"/>
      <c r="I22" s="8"/>
      <c r="J22" s="1068"/>
      <c r="N22" s="1069"/>
      <c r="P22" s="2"/>
    </row>
    <row r="23" spans="1:17" ht="21.75" customHeight="1">
      <c r="A23" s="1075"/>
      <c r="B23" s="1075"/>
      <c r="C23" s="1075"/>
      <c r="D23" s="1075"/>
      <c r="F23" s="1090" t="s">
        <v>121</v>
      </c>
      <c r="I23" s="8"/>
      <c r="J23" s="1068"/>
      <c r="M23" s="1070"/>
      <c r="O23" s="1091">
        <f ca="1">((O21+O10)/(1-O3)+(O21+O10)*O5)</f>
        <v>92501.530882657447</v>
      </c>
      <c r="P23" s="2" t="s">
        <v>122</v>
      </c>
    </row>
    <row r="24" spans="1:17" ht="21.75" customHeight="1">
      <c r="A24" s="1075"/>
      <c r="B24" s="1075"/>
      <c r="C24" s="1075"/>
      <c r="D24" s="1075"/>
      <c r="F24" s="7"/>
      <c r="G24" s="7"/>
      <c r="H24" s="11"/>
      <c r="M24" s="1070"/>
      <c r="O24" s="1092">
        <f ca="1">O23/'Cost EST. GM target'!L4</f>
        <v>92501.530882657447</v>
      </c>
      <c r="P24" s="4" t="str">
        <f>'Cost EST. GM target'!M4</f>
        <v>VND</v>
      </c>
      <c r="Q24" s="2" t="s">
        <v>317</v>
      </c>
    </row>
    <row r="25" spans="1:17" ht="21.75" customHeight="1">
      <c r="A25" s="1075"/>
      <c r="B25" s="1075"/>
      <c r="C25" s="1075"/>
      <c r="D25" s="1075"/>
      <c r="I25" s="8"/>
      <c r="P25" s="2"/>
    </row>
    <row r="26" spans="1:17" ht="21.75" customHeight="1">
      <c r="A26" s="1075"/>
      <c r="B26" s="1075"/>
      <c r="C26" s="1075"/>
      <c r="D26" s="1075"/>
      <c r="F26" s="7"/>
      <c r="G26" s="7"/>
      <c r="H26" s="12"/>
    </row>
    <row r="27" spans="1:17" ht="21.75" customHeight="1">
      <c r="A27" s="1075"/>
      <c r="B27" s="1075"/>
      <c r="C27" s="1075"/>
      <c r="D27" s="1075"/>
      <c r="F27" s="7"/>
      <c r="G27" s="13"/>
      <c r="H27" s="24"/>
    </row>
    <row r="28" spans="1:17" ht="21.75" customHeight="1">
      <c r="A28" s="1075"/>
      <c r="B28" s="1075"/>
      <c r="C28" s="1075"/>
      <c r="D28" s="1075"/>
      <c r="F28" s="7"/>
      <c r="G28" s="13"/>
      <c r="H28" s="24"/>
    </row>
    <row r="29" spans="1:17" ht="21.75" customHeight="1">
      <c r="A29" s="1075"/>
      <c r="B29" s="1075"/>
      <c r="C29" s="1075"/>
      <c r="D29" s="1075"/>
      <c r="G29" s="12"/>
      <c r="H29" s="12"/>
    </row>
    <row r="30" spans="1:17" ht="21.75" customHeight="1">
      <c r="A30" s="1075"/>
      <c r="B30" s="1075"/>
      <c r="C30" s="1075"/>
      <c r="D30" s="1075"/>
      <c r="G30" s="12"/>
      <c r="H30" s="12"/>
    </row>
    <row r="31" spans="1:17" ht="21.75" customHeight="1">
      <c r="A31" s="1075"/>
      <c r="B31" s="1075"/>
      <c r="C31" s="1075"/>
      <c r="D31" s="1075"/>
    </row>
    <row r="32" spans="1:17" ht="21.75" customHeight="1">
      <c r="A32" s="1075"/>
      <c r="B32" s="1075"/>
      <c r="C32" s="1075"/>
      <c r="D32" s="1075"/>
    </row>
    <row r="33" spans="1:4" ht="21.75" customHeight="1">
      <c r="A33" s="1075"/>
      <c r="B33" s="1075"/>
      <c r="C33" s="1075"/>
      <c r="D33" s="1075"/>
    </row>
    <row r="34" spans="1:4" ht="21.75" customHeight="1">
      <c r="A34" s="1075"/>
      <c r="B34" s="1075"/>
      <c r="C34" s="1075"/>
      <c r="D34" s="1075"/>
    </row>
    <row r="35" spans="1:4" ht="21.75" customHeight="1">
      <c r="A35" s="1075"/>
      <c r="B35" s="1075"/>
      <c r="C35" s="1075"/>
      <c r="D35" s="1075"/>
    </row>
    <row r="36" spans="1:4" ht="31.5" customHeight="1">
      <c r="A36" s="1075"/>
      <c r="B36" s="1075"/>
      <c r="C36" s="1075"/>
      <c r="D36" s="1075"/>
    </row>
    <row r="37" spans="1:4" ht="21.75" customHeight="1">
      <c r="A37" s="1075"/>
      <c r="B37" s="1075"/>
      <c r="C37" s="1075"/>
      <c r="D37" s="1075"/>
    </row>
    <row r="38" spans="1:4" ht="21.75" customHeight="1">
      <c r="A38" s="1075"/>
      <c r="B38" s="1075"/>
      <c r="C38" s="1075"/>
      <c r="D38" s="1075"/>
    </row>
    <row r="39" spans="1:4" ht="21.75" customHeight="1">
      <c r="A39" s="1075"/>
      <c r="B39" s="1075"/>
      <c r="C39" s="1075"/>
      <c r="D39" s="1075"/>
    </row>
    <row r="40" spans="1:4" ht="21.75" customHeight="1">
      <c r="A40" s="1075"/>
      <c r="B40" s="1075"/>
      <c r="C40" s="1075"/>
      <c r="D40" s="1075"/>
    </row>
    <row r="41" spans="1:4" ht="21.75" customHeight="1">
      <c r="A41" s="1075"/>
      <c r="B41" s="1075"/>
      <c r="C41" s="1075"/>
      <c r="D41" s="1075"/>
    </row>
    <row r="42" spans="1:4" ht="21.75" customHeight="1">
      <c r="A42" s="1075"/>
      <c r="B42" s="1075"/>
      <c r="C42" s="1075"/>
      <c r="D42" s="1075"/>
    </row>
    <row r="43" spans="1:4" ht="21.75" customHeight="1">
      <c r="A43" s="1075"/>
      <c r="B43" s="1075"/>
      <c r="C43" s="1075"/>
      <c r="D43" s="1075"/>
    </row>
    <row r="44" spans="1:4" ht="21.75" customHeight="1">
      <c r="A44" s="1075"/>
      <c r="B44" s="1075"/>
      <c r="C44" s="1075"/>
      <c r="D44" s="1075"/>
    </row>
    <row r="45" spans="1:4" ht="21.75" customHeight="1">
      <c r="A45" s="1075"/>
      <c r="B45" s="1075"/>
      <c r="C45" s="1075"/>
      <c r="D45" s="1075"/>
    </row>
    <row r="46" spans="1:4" ht="21.75" customHeight="1">
      <c r="A46" s="1075"/>
      <c r="B46" s="1075"/>
      <c r="C46" s="1075"/>
      <c r="D46" s="1075"/>
    </row>
    <row r="47" spans="1:4" ht="21.75" customHeight="1">
      <c r="A47" s="1075"/>
      <c r="B47" s="1075"/>
      <c r="C47" s="1075"/>
      <c r="D47" s="1075"/>
    </row>
    <row r="48" spans="1:4" ht="21.75" customHeight="1">
      <c r="A48" s="1075"/>
      <c r="B48" s="1075"/>
      <c r="C48" s="1075"/>
      <c r="D48" s="1075"/>
    </row>
    <row r="49" spans="1:4" ht="21.75" customHeight="1">
      <c r="A49" s="1075"/>
      <c r="B49" s="1075"/>
      <c r="C49" s="1075"/>
      <c r="D49" s="1075"/>
    </row>
    <row r="50" spans="1:4" ht="21.75" customHeight="1">
      <c r="A50" s="1075"/>
      <c r="B50" s="1075"/>
      <c r="C50" s="1075"/>
      <c r="D50" s="1075"/>
    </row>
    <row r="51" spans="1:4" ht="21.75" customHeight="1">
      <c r="A51" s="1075"/>
      <c r="B51" s="1075"/>
      <c r="C51" s="1075"/>
      <c r="D51" s="1075"/>
    </row>
    <row r="52" spans="1:4" ht="21.75" customHeight="1">
      <c r="A52" s="1075"/>
      <c r="B52" s="1075"/>
      <c r="C52" s="1075"/>
      <c r="D52" s="1075"/>
    </row>
    <row r="53" spans="1:4" ht="21.75" customHeight="1">
      <c r="A53" s="1075"/>
      <c r="B53" s="1075"/>
      <c r="C53" s="1075"/>
      <c r="D53" s="1075"/>
    </row>
    <row r="54" spans="1:4" ht="21.75" customHeight="1">
      <c r="A54" s="1075"/>
      <c r="B54" s="1075"/>
      <c r="C54" s="1075"/>
      <c r="D54" s="1075"/>
    </row>
    <row r="55" spans="1:4" ht="21.75" customHeight="1">
      <c r="A55" s="1075"/>
      <c r="B55" s="1075"/>
      <c r="C55" s="1075"/>
      <c r="D55" s="1075"/>
    </row>
    <row r="56" spans="1:4" ht="21.75" customHeight="1">
      <c r="A56" s="1075"/>
      <c r="B56" s="1075"/>
      <c r="C56" s="1075"/>
      <c r="D56" s="1075"/>
    </row>
    <row r="57" spans="1:4" ht="21.75" customHeight="1">
      <c r="A57" s="1075"/>
      <c r="B57" s="1075"/>
      <c r="C57" s="1075"/>
      <c r="D57" s="1075"/>
    </row>
    <row r="58" spans="1:4" ht="21.75" customHeight="1">
      <c r="A58" s="1075"/>
      <c r="B58" s="1075"/>
      <c r="C58" s="1075"/>
      <c r="D58" s="1075"/>
    </row>
  </sheetData>
  <phoneticPr fontId="0" type="noConversion"/>
  <dataValidations count="1">
    <dataValidation type="list" allowBlank="1" showInputMessage="1" showErrorMessage="1" sqref="G17" xr:uid="{00000000-0002-0000-0700-000000000000}">
      <formula1>$B$3:$B$12</formula1>
    </dataValidation>
  </dataValidations>
  <pageMargins left="0.75" right="0.75" top="1" bottom="1" header="0.5" footer="0.5"/>
  <pageSetup orientation="portrait" horizontalDpi="300"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A37"/>
  <sheetViews>
    <sheetView topLeftCell="L1" zoomScale="90" zoomScaleNormal="90" workbookViewId="0">
      <selection activeCell="Q5" sqref="Q5"/>
    </sheetView>
  </sheetViews>
  <sheetFormatPr defaultColWidth="10" defaultRowHeight="12.75" outlineLevelCol="1"/>
  <cols>
    <col min="1" max="1" width="4" style="2724" hidden="1" customWidth="1" outlineLevel="1"/>
    <col min="2" max="2" width="9.85546875" style="2724" hidden="1" customWidth="1" outlineLevel="1"/>
    <col min="3" max="3" width="19.42578125" style="2724" hidden="1" customWidth="1" outlineLevel="1"/>
    <col min="4" max="4" width="11.42578125" style="2724" hidden="1" customWidth="1" outlineLevel="1"/>
    <col min="5" max="5" width="23" style="2724" hidden="1" customWidth="1" outlineLevel="1"/>
    <col min="6" max="6" width="16.7109375" style="2724" hidden="1" customWidth="1" outlineLevel="1"/>
    <col min="7" max="7" width="18" style="2724" hidden="1" customWidth="1" outlineLevel="1"/>
    <col min="8" max="8" width="13" style="2724" hidden="1" customWidth="1" outlineLevel="1"/>
    <col min="9" max="9" width="10" style="2724" hidden="1" customWidth="1" outlineLevel="1"/>
    <col min="10" max="10" width="16.5703125" style="2724" hidden="1" customWidth="1" outlineLevel="1"/>
    <col min="11" max="11" width="10" style="2724" hidden="1" customWidth="1" outlineLevel="1"/>
    <col min="12" max="12" width="2.85546875" style="2684" customWidth="1" collapsed="1"/>
    <col min="13" max="13" width="7" style="2684" customWidth="1"/>
    <col min="14" max="14" width="9.5703125" style="2685" customWidth="1"/>
    <col min="15" max="15" width="7" style="2684" customWidth="1"/>
    <col min="16" max="16" width="6.85546875" style="2684" customWidth="1"/>
    <col min="17" max="17" width="8" style="2684" customWidth="1"/>
    <col min="18" max="18" width="9.28515625" style="2684" customWidth="1"/>
    <col min="19" max="19" width="7.42578125" style="2684" bestFit="1" customWidth="1"/>
    <col min="20" max="20" width="8.42578125" style="2684" customWidth="1"/>
    <col min="21" max="21" width="8.28515625" style="2684" customWidth="1"/>
    <col min="22" max="22" width="5" style="2684" customWidth="1"/>
    <col min="23" max="23" width="10.5703125" style="2684" customWidth="1"/>
    <col min="24" max="24" width="7.85546875" style="2684" customWidth="1"/>
    <col min="25" max="25" width="13" style="2684" customWidth="1"/>
    <col min="26" max="26" width="11" style="2684" bestFit="1" customWidth="1"/>
    <col min="27" max="27" width="8.42578125" style="2684" customWidth="1"/>
    <col min="28" max="16384" width="10" style="2684"/>
  </cols>
  <sheetData>
    <row r="1" spans="1:27" ht="24" customHeight="1">
      <c r="A1" s="4124" t="s">
        <v>684</v>
      </c>
      <c r="B1" s="4124" t="s">
        <v>685</v>
      </c>
      <c r="C1" s="4124" t="s">
        <v>686</v>
      </c>
      <c r="D1" s="4124" t="s">
        <v>687</v>
      </c>
      <c r="E1" s="4124"/>
      <c r="F1" s="4124" t="s">
        <v>688</v>
      </c>
      <c r="G1" s="4124" t="s">
        <v>689</v>
      </c>
      <c r="H1" s="4124" t="s">
        <v>690</v>
      </c>
      <c r="I1" s="4128" t="s">
        <v>691</v>
      </c>
      <c r="J1" s="4124" t="s">
        <v>361</v>
      </c>
      <c r="K1" s="2683"/>
    </row>
    <row r="2" spans="1:27" s="2689" customFormat="1" ht="24" customHeight="1">
      <c r="A2" s="4124"/>
      <c r="B2" s="4124"/>
      <c r="C2" s="4124"/>
      <c r="D2" s="4124"/>
      <c r="E2" s="4124"/>
      <c r="F2" s="4124"/>
      <c r="G2" s="4124"/>
      <c r="H2" s="4124"/>
      <c r="I2" s="4129"/>
      <c r="J2" s="4124"/>
      <c r="K2" s="2683"/>
      <c r="L2" s="2686"/>
      <c r="M2" s="2687" t="s">
        <v>692</v>
      </c>
      <c r="N2" s="2688">
        <v>1.23</v>
      </c>
      <c r="P2" s="2686"/>
      <c r="Q2" s="2690" t="s">
        <v>693</v>
      </c>
      <c r="R2" s="2690">
        <v>2</v>
      </c>
      <c r="S2" s="2691"/>
      <c r="Y2" s="2692"/>
    </row>
    <row r="3" spans="1:27" s="2689" customFormat="1" ht="24" customHeight="1">
      <c r="A3" s="2680"/>
      <c r="B3" s="2953" t="str">
        <f>Data!B1201</f>
        <v>WHITE TOP</v>
      </c>
      <c r="C3" s="2953" t="str">
        <f>Data!C1201</f>
        <v>WT 150,160,170 GSM</v>
      </c>
      <c r="D3" s="2953" t="str">
        <f>Data!D1201</f>
        <v>BINH CHIEU</v>
      </c>
      <c r="E3" s="2953" t="str">
        <f>Data!E1201</f>
        <v>BINH CHIEU - WT 150,160,170 GSM</v>
      </c>
      <c r="F3" s="2953" t="str">
        <f>Data!F1201</f>
        <v>Di An - Binh Duong</v>
      </c>
      <c r="G3" s="3105">
        <f>Data!G1201</f>
        <v>0</v>
      </c>
      <c r="H3" s="3105">
        <f>Data!H1201</f>
        <v>666666.66666666663</v>
      </c>
      <c r="I3" s="3105">
        <f>Data!I1201</f>
        <v>0</v>
      </c>
      <c r="J3" s="2953" t="str">
        <f>Data!J1201</f>
        <v>Under 15MT, exclude transportation</v>
      </c>
      <c r="K3" s="2683"/>
      <c r="L3" s="2686"/>
      <c r="M3" s="2687" t="s">
        <v>174</v>
      </c>
      <c r="N3" s="2688">
        <v>1.28</v>
      </c>
      <c r="P3" s="2693"/>
      <c r="Q3" s="2690" t="s">
        <v>174</v>
      </c>
      <c r="R3" s="2694">
        <f>VLOOKUP($Q$3,$M$2:$N$5,2,0)</f>
        <v>1.28</v>
      </c>
      <c r="Y3" s="2692"/>
    </row>
    <row r="4" spans="1:27" s="2689" customFormat="1" ht="24" customHeight="1">
      <c r="A4" s="2681"/>
      <c r="B4" s="2953" t="str">
        <f>Data!B1202</f>
        <v>WHITE TOP</v>
      </c>
      <c r="C4" s="2953" t="str">
        <f>Data!C1202</f>
        <v>WT GK 150,160,170 GSM</v>
      </c>
      <c r="D4" s="2953" t="str">
        <f>Data!D1202</f>
        <v>BINH CHIEU</v>
      </c>
      <c r="E4" s="2953" t="str">
        <f>Data!E1202</f>
        <v>BINH CHIEU - WT GK 150,160,170 GSM</v>
      </c>
      <c r="F4" s="2953" t="str">
        <f>Data!F1202</f>
        <v>Di An - Binh Duong</v>
      </c>
      <c r="G4" s="3105">
        <f>Data!G1202</f>
        <v>14800000</v>
      </c>
      <c r="H4" s="3105">
        <f>Data!H1202</f>
        <v>666666.66666666663</v>
      </c>
      <c r="I4" s="3105">
        <f>Data!I1202</f>
        <v>15467</v>
      </c>
      <c r="J4" s="2953" t="str">
        <f>Data!J1202</f>
        <v>Under 15MT, exclude transportation</v>
      </c>
      <c r="K4" s="2683"/>
      <c r="L4" s="2686"/>
      <c r="M4" s="2687" t="s">
        <v>697</v>
      </c>
      <c r="N4" s="2688">
        <v>1.43</v>
      </c>
      <c r="P4" s="2695" t="s">
        <v>698</v>
      </c>
      <c r="Q4" s="2687">
        <f ca="1">input!J358*R2</f>
        <v>1256</v>
      </c>
      <c r="R4" s="2687">
        <f ca="1">input!K358</f>
        <v>397</v>
      </c>
      <c r="S4" s="2696" t="s">
        <v>10</v>
      </c>
      <c r="T4" s="2697"/>
      <c r="Y4" s="2692"/>
    </row>
    <row r="5" spans="1:27" s="2699" customFormat="1" ht="24" customHeight="1">
      <c r="A5" s="2681"/>
      <c r="B5" s="2953" t="str">
        <f>Data!B1203</f>
        <v>WHITE TOP</v>
      </c>
      <c r="C5" s="2953" t="str">
        <f>Data!C1203</f>
        <v>WT 140 I GSM</v>
      </c>
      <c r="D5" s="2953" t="str">
        <f>Data!D1203</f>
        <v>LEE &amp; MAN</v>
      </c>
      <c r="E5" s="2953" t="str">
        <f>Data!E1203</f>
        <v>LEE &amp; MAN - WT 140 I GSM</v>
      </c>
      <c r="F5" s="2953" t="str">
        <f>Data!F1203</f>
        <v>Hau Giang</v>
      </c>
      <c r="G5" s="3105">
        <f>Data!G1203</f>
        <v>17500000</v>
      </c>
      <c r="H5" s="3105">
        <f>Data!H1203</f>
        <v>3366666.6666666665</v>
      </c>
      <c r="I5" s="3105">
        <f>Data!I1203</f>
        <v>20867</v>
      </c>
      <c r="J5" s="2953" t="str">
        <f>Data!J1203</f>
        <v>Under 15MT, exclude transportation</v>
      </c>
      <c r="K5" s="2683"/>
      <c r="L5" s="2698"/>
      <c r="M5" s="2687" t="s">
        <v>1256</v>
      </c>
      <c r="N5" s="2688">
        <v>1.33</v>
      </c>
      <c r="P5" s="2687" t="s">
        <v>700</v>
      </c>
      <c r="Q5" s="2700">
        <f ca="1">CEILING(Q4+40,50)</f>
        <v>1300</v>
      </c>
      <c r="R5" s="2687">
        <f ca="1">R4</f>
        <v>397</v>
      </c>
      <c r="S5" s="2696" t="s">
        <v>10</v>
      </c>
      <c r="T5" s="2701"/>
      <c r="Y5" s="2702"/>
    </row>
    <row r="6" spans="1:27" s="2703" customFormat="1" ht="24" customHeight="1">
      <c r="A6" s="2681"/>
      <c r="B6" s="2953" t="str">
        <f>Data!B1204</f>
        <v>WHITE TOP</v>
      </c>
      <c r="C6" s="2953" t="str">
        <f>Data!C1204</f>
        <v>WT 170 I GSM</v>
      </c>
      <c r="D6" s="2953" t="str">
        <f>Data!D1204</f>
        <v>LEE &amp; MAN</v>
      </c>
      <c r="E6" s="2953" t="str">
        <f>Data!E1204</f>
        <v>LEE &amp; MAN - WT 170 I GSM</v>
      </c>
      <c r="F6" s="2953" t="str">
        <f>Data!F1204</f>
        <v>Hau Giang</v>
      </c>
      <c r="G6" s="3105">
        <f>Data!G1204</f>
        <v>17300000</v>
      </c>
      <c r="H6" s="3105">
        <f>Data!H1204</f>
        <v>3366666.6666666665</v>
      </c>
      <c r="I6" s="3105">
        <f>Data!I1204</f>
        <v>20667</v>
      </c>
      <c r="J6" s="2953" t="str">
        <f>Data!J1204</f>
        <v>Under 15MT, exclude transportation</v>
      </c>
      <c r="K6" s="2683"/>
      <c r="M6" s="2704"/>
      <c r="N6" s="2704"/>
      <c r="P6" s="2704"/>
      <c r="Q6" s="2704"/>
      <c r="R6" s="2704"/>
      <c r="S6" s="2704"/>
      <c r="X6" s="2705"/>
    </row>
    <row r="7" spans="1:27" ht="24" customHeight="1">
      <c r="A7" s="2681"/>
      <c r="B7" s="2953" t="str">
        <f>Data!B1205</f>
        <v>TEST LINER</v>
      </c>
      <c r="C7" s="2953" t="str">
        <f>Data!C1205</f>
        <v xml:space="preserve">TL 125 GSM </v>
      </c>
      <c r="D7" s="2953" t="str">
        <f>Data!D1205</f>
        <v xml:space="preserve">SAIGON </v>
      </c>
      <c r="E7" s="2953" t="str">
        <f>Data!E1205</f>
        <v xml:space="preserve">SAIGON  - TL 125 GSM </v>
      </c>
      <c r="F7" s="2953" t="str">
        <f>Data!F1205</f>
        <v>KCN My Xuan-Vung Tau</v>
      </c>
      <c r="G7" s="3105">
        <f>Data!G1205</f>
        <v>10800000</v>
      </c>
      <c r="H7" s="3105">
        <f>Data!H1205</f>
        <v>657222.22222222225</v>
      </c>
      <c r="I7" s="3105">
        <f>Data!I1205</f>
        <v>11458</v>
      </c>
      <c r="J7" s="2953" t="str">
        <f>Data!J1205</f>
        <v>Under 15MT, exclude transportation</v>
      </c>
      <c r="K7" s="2683"/>
    </row>
    <row r="8" spans="1:27" s="2706" customFormat="1" ht="38.25">
      <c r="A8" s="2681"/>
      <c r="B8" s="2953" t="str">
        <f>Data!B1206</f>
        <v>TEST LINER</v>
      </c>
      <c r="C8" s="2953" t="str">
        <f>Data!C1206</f>
        <v>TL 150 GSM</v>
      </c>
      <c r="D8" s="2953" t="str">
        <f>Data!D1206</f>
        <v xml:space="preserve">SAIGON </v>
      </c>
      <c r="E8" s="2953" t="str">
        <f>Data!E1206</f>
        <v>SAIGON  - TL 150 GSM</v>
      </c>
      <c r="F8" s="2953" t="str">
        <f>Data!F1206</f>
        <v>KCN My Xuan-Vung Tau</v>
      </c>
      <c r="G8" s="3105">
        <f>Data!G1206</f>
        <v>10400000</v>
      </c>
      <c r="H8" s="3105">
        <f>Data!H1206</f>
        <v>657222.22222222225</v>
      </c>
      <c r="I8" s="3105">
        <f>Data!I1206</f>
        <v>11058</v>
      </c>
      <c r="J8" s="2953" t="str">
        <f>Data!J1206</f>
        <v>Under 15MT, exclude transportation</v>
      </c>
      <c r="K8" s="2683"/>
      <c r="M8" s="2707" t="s">
        <v>594</v>
      </c>
      <c r="N8" s="2708" t="s">
        <v>701</v>
      </c>
      <c r="O8" s="2708" t="s">
        <v>126</v>
      </c>
      <c r="P8" s="4130" t="s">
        <v>235</v>
      </c>
      <c r="Q8" s="4131"/>
      <c r="R8" s="4132"/>
      <c r="S8" s="2708" t="s">
        <v>78</v>
      </c>
      <c r="T8" s="2708" t="s">
        <v>702</v>
      </c>
      <c r="U8" s="2708" t="s">
        <v>703</v>
      </c>
      <c r="V8" s="2708" t="s">
        <v>181</v>
      </c>
      <c r="W8" s="2708" t="s">
        <v>445</v>
      </c>
      <c r="X8" s="2708" t="s">
        <v>181</v>
      </c>
      <c r="Y8" s="2709" t="s">
        <v>704</v>
      </c>
      <c r="Z8" s="2708" t="s">
        <v>705</v>
      </c>
      <c r="AA8" s="2708" t="s">
        <v>706</v>
      </c>
    </row>
    <row r="9" spans="1:27" ht="38.25">
      <c r="A9" s="2681"/>
      <c r="B9" s="2953" t="str">
        <f>Data!B1207</f>
        <v>TEST LINER</v>
      </c>
      <c r="C9" s="2953" t="str">
        <f>Data!C1207</f>
        <v>TL 175 GSM</v>
      </c>
      <c r="D9" s="2953" t="str">
        <f>Data!D1207</f>
        <v xml:space="preserve">SAIGON </v>
      </c>
      <c r="E9" s="2953" t="str">
        <f>Data!E1207</f>
        <v>SAIGON  - TL 175 GSM</v>
      </c>
      <c r="F9" s="2953" t="str">
        <f>Data!F1207</f>
        <v>KCN My Xuan-Vung Tau</v>
      </c>
      <c r="G9" s="3105">
        <f>Data!G1207</f>
        <v>10600000</v>
      </c>
      <c r="H9" s="3105">
        <f>Data!H1207</f>
        <v>657222.22222222225</v>
      </c>
      <c r="I9" s="3105">
        <f>Data!I1207</f>
        <v>11258</v>
      </c>
      <c r="J9" s="2953" t="str">
        <f>Data!J1207</f>
        <v>Under 15MT, exclude transportation</v>
      </c>
      <c r="K9" s="2683"/>
      <c r="M9" s="2710" t="s">
        <v>707</v>
      </c>
      <c r="N9" s="2710" t="s">
        <v>708</v>
      </c>
      <c r="O9" s="2711">
        <v>150</v>
      </c>
      <c r="P9" s="4125" t="s">
        <v>3016</v>
      </c>
      <c r="Q9" s="4126"/>
      <c r="R9" s="4127"/>
      <c r="S9" s="2712">
        <v>7.0000000000000007E-2</v>
      </c>
      <c r="T9" s="2713">
        <f ca="1">(Q4/1000)*IF(R2=4,40,45)*60</f>
        <v>3391.2000000000003</v>
      </c>
      <c r="U9" s="2713">
        <f ca="1">(Q5/1000)*IF(R2=4,40,45)*60*(1+S9)</f>
        <v>3755.7000000000003</v>
      </c>
      <c r="V9" s="2714" t="s">
        <v>709</v>
      </c>
      <c r="W9" s="2713">
        <f>IFERROR(VLOOKUP(P9,$E$3:$I$28,5,0),0)</f>
        <v>0</v>
      </c>
      <c r="X9" s="2714" t="s">
        <v>290</v>
      </c>
      <c r="Y9" s="2715">
        <f ca="1">(O9/1000)*U9*W9</f>
        <v>0</v>
      </c>
      <c r="Z9" s="2713">
        <f ca="1">Y9/T9</f>
        <v>0</v>
      </c>
      <c r="AA9" s="2716">
        <f ca="1">Z9/Z13</f>
        <v>0</v>
      </c>
    </row>
    <row r="10" spans="1:27" ht="38.25">
      <c r="A10" s="2681"/>
      <c r="B10" s="2953" t="str">
        <f>Data!B1208</f>
        <v>TEST LINER</v>
      </c>
      <c r="C10" s="2953" t="str">
        <f>Data!C1208</f>
        <v>TL 150 GSM</v>
      </c>
      <c r="D10" s="2953" t="str">
        <f>Data!D1208</f>
        <v>VINAKRAFT</v>
      </c>
      <c r="E10" s="2953" t="str">
        <f>Data!E1208</f>
        <v>VINAKRAFT - TL 150 GSM</v>
      </c>
      <c r="F10" s="2953" t="str">
        <f>Data!F1208</f>
        <v>Ben Cat-Binh Duong</v>
      </c>
      <c r="G10" s="3105">
        <f>Data!G1208</f>
        <v>13700000</v>
      </c>
      <c r="H10" s="3105">
        <f>Data!H1208</f>
        <v>666666.66666666663</v>
      </c>
      <c r="I10" s="3105">
        <f>Data!I1208</f>
        <v>14367</v>
      </c>
      <c r="J10" s="2953" t="str">
        <f>Data!J1208</f>
        <v>Under 15MT, exclude transportation</v>
      </c>
      <c r="K10" s="2683"/>
      <c r="M10" s="2710" t="s">
        <v>711</v>
      </c>
      <c r="N10" s="2710" t="s">
        <v>712</v>
      </c>
      <c r="O10" s="2711">
        <v>125</v>
      </c>
      <c r="P10" s="4125" t="s">
        <v>3017</v>
      </c>
      <c r="Q10" s="4126"/>
      <c r="R10" s="4127"/>
      <c r="S10" s="2712">
        <f>S9</f>
        <v>7.0000000000000007E-2</v>
      </c>
      <c r="T10" s="2713">
        <f ca="1">T9*R3</f>
        <v>4340.7360000000008</v>
      </c>
      <c r="U10" s="2713">
        <f ca="1">U9*R3</f>
        <v>4807.2960000000003</v>
      </c>
      <c r="V10" s="2714" t="s">
        <v>709</v>
      </c>
      <c r="W10" s="2713">
        <f>IFERROR(VLOOKUP(P10,$E$3:$I$28,5,0),0)</f>
        <v>13567</v>
      </c>
      <c r="X10" s="2714" t="s">
        <v>713</v>
      </c>
      <c r="Y10" s="2715">
        <f ca="1">(O10/1000)*U10*W10</f>
        <v>8152573.1040000003</v>
      </c>
      <c r="Z10" s="2713">
        <f ca="1">Y10/T9</f>
        <v>2404.0378343949042</v>
      </c>
      <c r="AA10" s="2716">
        <f ca="1">Z10/Z13</f>
        <v>0.94362774473706212</v>
      </c>
    </row>
    <row r="11" spans="1:27" ht="38.25">
      <c r="A11" s="2681"/>
      <c r="B11" s="2953" t="str">
        <f>Data!B1209</f>
        <v>TEST LINER</v>
      </c>
      <c r="C11" s="2953" t="str">
        <f>Data!C1209</f>
        <v>TL 250 GSM</v>
      </c>
      <c r="D11" s="2953" t="str">
        <f>Data!D1209</f>
        <v>VINAKRAFT</v>
      </c>
      <c r="E11" s="2953" t="str">
        <f>Data!E1209</f>
        <v>VINAKRAFT - TL 250 GSM</v>
      </c>
      <c r="F11" s="2953" t="str">
        <f>Data!F1209</f>
        <v>Ben Cat-Binh Duong</v>
      </c>
      <c r="G11" s="3105">
        <f>Data!G1209</f>
        <v>0</v>
      </c>
      <c r="H11" s="3105">
        <f>Data!H1209</f>
        <v>666666.66666666663</v>
      </c>
      <c r="I11" s="3105">
        <f>Data!I1209</f>
        <v>0</v>
      </c>
      <c r="J11" s="2953" t="str">
        <f>Data!J1209</f>
        <v>Under 15MT, exclude transportation</v>
      </c>
      <c r="K11" s="2683"/>
      <c r="M11" s="2710">
        <v>3</v>
      </c>
      <c r="N11" s="2710" t="s">
        <v>215</v>
      </c>
      <c r="O11" s="2710" t="s">
        <v>103</v>
      </c>
      <c r="P11" s="2717" t="s">
        <v>715</v>
      </c>
      <c r="Q11" s="2718"/>
      <c r="R11" s="2719"/>
      <c r="S11" s="2712"/>
      <c r="T11" s="2713"/>
      <c r="U11" s="2713">
        <v>25</v>
      </c>
      <c r="V11" s="2714" t="s">
        <v>716</v>
      </c>
      <c r="W11" s="2713">
        <f>(9200*25+19500*0.7+17000*0.1)/(25+0.7+0.1)</f>
        <v>9509.6899224806202</v>
      </c>
      <c r="X11" s="2714" t="s">
        <v>290</v>
      </c>
      <c r="Y11" s="2715">
        <f ca="1">IF(O11="Y",((U11/1000)*$U$9*1/(1+3))*W11,0)</f>
        <v>223222.14026162794</v>
      </c>
      <c r="Z11" s="2713">
        <f ca="1">Y11/T9</f>
        <v>65.823938506023808</v>
      </c>
      <c r="AA11" s="2716">
        <f ca="1">Z11/Z13</f>
        <v>2.5837070346184553E-2</v>
      </c>
    </row>
    <row r="12" spans="1:27" ht="38.25">
      <c r="A12" s="2681"/>
      <c r="B12" s="2953" t="str">
        <f>Data!B1210</f>
        <v>TEST LINER</v>
      </c>
      <c r="C12" s="2953" t="str">
        <f>Data!C1210</f>
        <v xml:space="preserve">TL 150 GSM </v>
      </c>
      <c r="D12" s="2953" t="str">
        <f>Data!D1210</f>
        <v>DIA LONG</v>
      </c>
      <c r="E12" s="2953" t="str">
        <f>Data!E1210</f>
        <v xml:space="preserve">DIA LONG - TL 150 GSM </v>
      </c>
      <c r="F12" s="2953" t="str">
        <f>Data!F1210</f>
        <v>Ben Cat-Binh Duong</v>
      </c>
      <c r="G12" s="3105">
        <f>Data!G1210</f>
        <v>10930000</v>
      </c>
      <c r="H12" s="3105">
        <f>Data!H1210</f>
        <v>666666.66666666663</v>
      </c>
      <c r="I12" s="3105">
        <f>Data!I1210</f>
        <v>11597</v>
      </c>
      <c r="J12" s="2953" t="str">
        <f>Data!J1210</f>
        <v>Under 15MT, exclude transportation</v>
      </c>
      <c r="K12" s="2683"/>
      <c r="M12" s="2710">
        <v>4</v>
      </c>
      <c r="N12" s="2710" t="s">
        <v>719</v>
      </c>
      <c r="O12" s="2720">
        <v>0.9</v>
      </c>
      <c r="P12" s="2721" t="s">
        <v>165</v>
      </c>
      <c r="Q12" s="2718"/>
      <c r="R12" s="2719"/>
      <c r="S12" s="2712"/>
      <c r="T12" s="2713"/>
      <c r="U12" s="2713">
        <v>4</v>
      </c>
      <c r="V12" s="2714" t="s">
        <v>167</v>
      </c>
      <c r="W12" s="2713">
        <f>Data!$N$1182*(1+'Production cost'!$R$702)</f>
        <v>59357.701116720593</v>
      </c>
      <c r="X12" s="2714" t="s">
        <v>720</v>
      </c>
      <c r="Y12" s="2715">
        <f>W12*U12/O12</f>
        <v>263812.00496320263</v>
      </c>
      <c r="Z12" s="2713">
        <f ca="1">Y12/T9</f>
        <v>77.793113046473991</v>
      </c>
      <c r="AA12" s="2716">
        <f ca="1">Z12/Z13</f>
        <v>3.0535184916753316E-2</v>
      </c>
    </row>
    <row r="13" spans="1:27" ht="38.25">
      <c r="A13" s="2681"/>
      <c r="B13" s="2953" t="str">
        <f>Data!B1211</f>
        <v>TEST LINER</v>
      </c>
      <c r="C13" s="2953" t="str">
        <f>Data!C1211</f>
        <v>TL 120 GSM</v>
      </c>
      <c r="D13" s="2953" t="str">
        <f>Data!D1211</f>
        <v>CHANH DUONG</v>
      </c>
      <c r="E13" s="2953" t="str">
        <f>Data!E1211</f>
        <v>CHANH DUONG - TL 120 GSM</v>
      </c>
      <c r="F13" s="2953" t="str">
        <f>Data!F1211</f>
        <v>Ben Cat-Binh Duong</v>
      </c>
      <c r="G13" s="3105">
        <f>Data!G1211</f>
        <v>0</v>
      </c>
      <c r="H13" s="3105">
        <f>Data!H1211</f>
        <v>666666.66666666663</v>
      </c>
      <c r="I13" s="3105">
        <f>Data!I1211</f>
        <v>0</v>
      </c>
      <c r="J13" s="2953" t="str">
        <f>Data!J1211</f>
        <v>Under 15MT, exclude transportation</v>
      </c>
      <c r="K13" s="2683"/>
      <c r="N13" s="2722" t="s">
        <v>723</v>
      </c>
      <c r="Y13" s="2710">
        <f ca="1">SUM(Y9:Y12)</f>
        <v>8639607.2492248304</v>
      </c>
      <c r="Z13" s="2710">
        <f ca="1">SUM(Z9:Z12)</f>
        <v>2547.6548859474019</v>
      </c>
      <c r="AA13" s="2712">
        <f ca="1">SUM(AA9:AA12)</f>
        <v>1</v>
      </c>
    </row>
    <row r="14" spans="1:27" ht="38.25">
      <c r="A14" s="2681"/>
      <c r="B14" s="2953" t="str">
        <f>Data!B1212</f>
        <v>TEST LINER</v>
      </c>
      <c r="C14" s="2953" t="str">
        <f>Data!C1212</f>
        <v>TL 150 GSM</v>
      </c>
      <c r="D14" s="2953" t="str">
        <f>Data!D1212</f>
        <v>CHANH DUONG</v>
      </c>
      <c r="E14" s="2953" t="str">
        <f>Data!E1212</f>
        <v>CHANH DUONG - TL 150 GSM</v>
      </c>
      <c r="F14" s="2953" t="str">
        <f>Data!F1212</f>
        <v>Ben Cat-Binh Duong</v>
      </c>
      <c r="G14" s="3105">
        <f>Data!G1212</f>
        <v>0</v>
      </c>
      <c r="H14" s="3105">
        <f>Data!H1212</f>
        <v>666666.66666666663</v>
      </c>
      <c r="I14" s="3105">
        <f>Data!I1212</f>
        <v>0</v>
      </c>
      <c r="J14" s="2953" t="str">
        <f>Data!J1212</f>
        <v>Under 15MT, exclude transportation</v>
      </c>
      <c r="K14" s="2683"/>
    </row>
    <row r="15" spans="1:27" ht="38.25">
      <c r="A15" s="2681"/>
      <c r="B15" s="2953" t="str">
        <f>Data!B1213</f>
        <v>TEST LINER</v>
      </c>
      <c r="C15" s="2953" t="str">
        <f>Data!C1213</f>
        <v>TL H160 GSM</v>
      </c>
      <c r="D15" s="2953" t="str">
        <f>Data!D1213</f>
        <v>CHANH DUONG</v>
      </c>
      <c r="E15" s="2953" t="str">
        <f>Data!E1213</f>
        <v>CHANH DUONG - TL H160 GSM</v>
      </c>
      <c r="F15" s="2953" t="str">
        <f>Data!F1213</f>
        <v>Ben Cat-Binh Duong</v>
      </c>
      <c r="G15" s="3105">
        <f>Data!G1213</f>
        <v>0</v>
      </c>
      <c r="H15" s="3105">
        <f>Data!H1213</f>
        <v>666666.66666666663</v>
      </c>
      <c r="I15" s="3105">
        <f>Data!I1213</f>
        <v>0</v>
      </c>
      <c r="J15" s="2953" t="str">
        <f>Data!J1213</f>
        <v>Under 15MT, exclude transportation</v>
      </c>
      <c r="K15" s="2683"/>
      <c r="M15" s="319" t="s">
        <v>1539</v>
      </c>
      <c r="N15" s="136"/>
      <c r="O15" s="136"/>
      <c r="P15" s="136"/>
      <c r="Q15" s="136"/>
      <c r="R15" s="136"/>
      <c r="S15" s="136"/>
      <c r="T15" s="136"/>
      <c r="U15" s="136"/>
      <c r="V15" s="136"/>
      <c r="W15" s="136"/>
      <c r="X15" s="136"/>
      <c r="Y15" s="136"/>
      <c r="Z15" s="136"/>
    </row>
    <row r="16" spans="1:27" ht="25.5" customHeight="1">
      <c r="A16" s="2681"/>
      <c r="B16" s="2953" t="str">
        <f>Data!B1214</f>
        <v>TEST LINER</v>
      </c>
      <c r="C16" s="2953" t="str">
        <f>Data!C1214</f>
        <v>TL 125 GSM</v>
      </c>
      <c r="D16" s="2953" t="str">
        <f>Data!D1214</f>
        <v>THUAN AN</v>
      </c>
      <c r="E16" s="2953" t="str">
        <f>Data!E1214</f>
        <v>THUAN AN - TL 125 GSM</v>
      </c>
      <c r="F16" s="2953" t="str">
        <f>Data!F1214</f>
        <v>Ben Cat-Binh Duong</v>
      </c>
      <c r="G16" s="3105">
        <f>Data!G1214</f>
        <v>0</v>
      </c>
      <c r="H16" s="3105">
        <f>Data!H1214</f>
        <v>666666.66666666663</v>
      </c>
      <c r="I16" s="3105">
        <f>Data!I1214</f>
        <v>0</v>
      </c>
      <c r="J16" s="2953" t="str">
        <f>Data!J1214</f>
        <v>Under 15MT, exclude transportation</v>
      </c>
      <c r="K16" s="2683"/>
      <c r="M16" s="136"/>
      <c r="N16" s="136" t="s">
        <v>1540</v>
      </c>
      <c r="O16" s="136"/>
      <c r="P16" s="136"/>
      <c r="Q16" s="136"/>
      <c r="R16" s="136"/>
      <c r="S16" s="136"/>
      <c r="T16" s="136"/>
      <c r="U16" s="136"/>
      <c r="V16" s="136"/>
      <c r="W16" s="136"/>
      <c r="X16" s="136"/>
      <c r="Y16" s="136"/>
      <c r="Z16" s="136"/>
    </row>
    <row r="17" spans="1:26" ht="38.25">
      <c r="A17" s="2681"/>
      <c r="B17" s="2953" t="str">
        <f>Data!B1215</f>
        <v>TEST LINER</v>
      </c>
      <c r="C17" s="2953" t="str">
        <f>Data!C1215</f>
        <v>TL 150 GSM</v>
      </c>
      <c r="D17" s="2953" t="str">
        <f>Data!D1215</f>
        <v>THUAN AN</v>
      </c>
      <c r="E17" s="2953" t="str">
        <f>Data!E1215</f>
        <v>THUAN AN - TL 150 GSM</v>
      </c>
      <c r="F17" s="2953" t="str">
        <f>Data!F1215</f>
        <v>Ben Cat-Binh Duong</v>
      </c>
      <c r="G17" s="3105">
        <f>Data!G1215</f>
        <v>10100000</v>
      </c>
      <c r="H17" s="3105">
        <f>Data!H1215</f>
        <v>666666.66666666663</v>
      </c>
      <c r="I17" s="3105">
        <f>Data!I1215</f>
        <v>10767</v>
      </c>
      <c r="J17" s="2953" t="str">
        <f>Data!J1215</f>
        <v>Under 15MT, exclude transportation</v>
      </c>
      <c r="K17" s="2683"/>
      <c r="M17" s="136"/>
      <c r="N17" s="136" t="s">
        <v>1541</v>
      </c>
      <c r="O17" s="136"/>
      <c r="P17" s="136"/>
      <c r="Q17" s="136"/>
      <c r="R17" s="136"/>
      <c r="S17" s="136"/>
      <c r="T17" s="136"/>
      <c r="U17" s="136"/>
      <c r="V17" s="136"/>
      <c r="W17" s="136"/>
      <c r="X17" s="136"/>
      <c r="Y17" s="136"/>
      <c r="Z17" s="136"/>
    </row>
    <row r="18" spans="1:26" ht="31.5" customHeight="1">
      <c r="A18" s="2681"/>
      <c r="B18" s="2953" t="str">
        <f>Data!B1216</f>
        <v>MEDIUM</v>
      </c>
      <c r="C18" s="2953" t="str">
        <f>Data!C1216</f>
        <v>MD 105 GSM</v>
      </c>
      <c r="D18" s="2953" t="str">
        <f>Data!D1216</f>
        <v xml:space="preserve">SAIGON </v>
      </c>
      <c r="E18" s="2953" t="str">
        <f>Data!E1216</f>
        <v>SAIGON  - MD 105 GSM</v>
      </c>
      <c r="F18" s="2953" t="str">
        <f>Data!F1216</f>
        <v>KCN My Xuan-Vung Tau</v>
      </c>
      <c r="G18" s="3105">
        <f>Data!G1216</f>
        <v>0</v>
      </c>
      <c r="H18" s="3105">
        <f>Data!H1216</f>
        <v>657222.22222222225</v>
      </c>
      <c r="I18" s="3105">
        <f>Data!I1216</f>
        <v>0</v>
      </c>
      <c r="J18" s="2953" t="str">
        <f>Data!J1216</f>
        <v>Under 15MT, exclude transportation</v>
      </c>
      <c r="K18" s="2683"/>
      <c r="M18" s="136"/>
      <c r="N18" s="136" t="s">
        <v>1542</v>
      </c>
      <c r="O18" s="136"/>
      <c r="P18" s="136"/>
      <c r="Q18" s="136"/>
      <c r="R18" s="136"/>
      <c r="S18" s="136"/>
      <c r="T18" s="136"/>
      <c r="U18" s="136"/>
      <c r="V18" s="136"/>
      <c r="W18" s="136"/>
      <c r="X18" s="136"/>
      <c r="Y18" s="136"/>
      <c r="Z18" s="136"/>
    </row>
    <row r="19" spans="1:26" ht="31.5" customHeight="1">
      <c r="A19" s="2681"/>
      <c r="B19" s="2953" t="str">
        <f>Data!B1217</f>
        <v>MEDIUM</v>
      </c>
      <c r="C19" s="2953" t="str">
        <f>Data!C1217</f>
        <v>MD 125, 150 GSM</v>
      </c>
      <c r="D19" s="2953" t="str">
        <f>Data!D1217</f>
        <v xml:space="preserve">SAIGON </v>
      </c>
      <c r="E19" s="2953" t="str">
        <f>Data!E1217</f>
        <v>SAIGON  - MD 125, 150 GSM</v>
      </c>
      <c r="F19" s="2953" t="str">
        <f>Data!F1217</f>
        <v>KCN My Xuan-Vung Tau</v>
      </c>
      <c r="G19" s="3105">
        <f>Data!G1217</f>
        <v>0</v>
      </c>
      <c r="H19" s="3105">
        <f>Data!H1217</f>
        <v>657222.22222222225</v>
      </c>
      <c r="I19" s="3105">
        <f>Data!I1217</f>
        <v>0</v>
      </c>
      <c r="J19" s="2953" t="str">
        <f>Data!J1217</f>
        <v>Under 15MT, exclude transportation</v>
      </c>
      <c r="K19" s="2683"/>
      <c r="M19" s="136"/>
      <c r="N19" s="136" t="s">
        <v>1543</v>
      </c>
      <c r="O19" s="136"/>
      <c r="P19" s="136"/>
      <c r="Q19" s="136"/>
      <c r="R19" s="136"/>
      <c r="S19" s="136"/>
      <c r="T19" s="136"/>
      <c r="U19" s="136"/>
      <c r="V19" s="136"/>
      <c r="W19" s="136"/>
      <c r="X19" s="136"/>
      <c r="Y19" s="136"/>
      <c r="Z19" s="136"/>
    </row>
    <row r="20" spans="1:26" ht="31.5" customHeight="1">
      <c r="A20" s="2681"/>
      <c r="B20" s="2953" t="str">
        <f>Data!B1218</f>
        <v>MEDIUM</v>
      </c>
      <c r="C20" s="2953" t="str">
        <f>Data!C1218</f>
        <v>MD 105,115 GSM</v>
      </c>
      <c r="D20" s="2953" t="str">
        <f>Data!D1218</f>
        <v>VINAKRAFT</v>
      </c>
      <c r="E20" s="2953" t="str">
        <f>Data!E1218</f>
        <v>VINAKRAFT - MD 105,115 GSM</v>
      </c>
      <c r="F20" s="2953" t="str">
        <f>Data!F1218</f>
        <v>Ben Cat-Binh Duong</v>
      </c>
      <c r="G20" s="3105">
        <f>Data!G1218</f>
        <v>0</v>
      </c>
      <c r="H20" s="3105">
        <f>Data!H1218</f>
        <v>666666.66666666663</v>
      </c>
      <c r="I20" s="3105">
        <f>Data!I1218</f>
        <v>0</v>
      </c>
      <c r="J20" s="2953" t="str">
        <f>Data!J1218</f>
        <v>Under 15MT, exclude transportation</v>
      </c>
      <c r="K20" s="2683"/>
      <c r="M20" s="136"/>
      <c r="N20" s="136" t="s">
        <v>1544</v>
      </c>
      <c r="O20" s="136"/>
      <c r="P20" s="136"/>
      <c r="Q20" s="136"/>
      <c r="R20" s="136"/>
      <c r="S20" s="136"/>
      <c r="T20" s="136"/>
      <c r="U20" s="136"/>
      <c r="V20" s="136"/>
      <c r="W20" s="136"/>
      <c r="X20" s="136"/>
      <c r="Y20" s="136"/>
      <c r="Z20" s="136"/>
    </row>
    <row r="21" spans="1:26" ht="31.5" customHeight="1">
      <c r="A21" s="2681"/>
      <c r="B21" s="2953" t="str">
        <f>Data!B1219</f>
        <v>MEDIUM</v>
      </c>
      <c r="C21" s="2953" t="str">
        <f>Data!C1219</f>
        <v>MD 125, 150, 185 GSM</v>
      </c>
      <c r="D21" s="2953" t="str">
        <f>Data!D1219</f>
        <v>VINAKRAFT</v>
      </c>
      <c r="E21" s="2953" t="str">
        <f>Data!E1219</f>
        <v>VINAKRAFT - MD 125, 150, 185 GSM</v>
      </c>
      <c r="F21" s="2953" t="str">
        <f>Data!F1219</f>
        <v>Ben Cat-Binh Duong</v>
      </c>
      <c r="G21" s="3105">
        <f>Data!G1219</f>
        <v>0</v>
      </c>
      <c r="H21" s="3105">
        <f>Data!H1219</f>
        <v>666666.66666666663</v>
      </c>
      <c r="I21" s="3105">
        <f>Data!I1219</f>
        <v>0</v>
      </c>
      <c r="J21" s="2953" t="str">
        <f>Data!J1219</f>
        <v>Under 15MT, exclude transportation</v>
      </c>
      <c r="K21" s="2683"/>
      <c r="M21" s="136"/>
      <c r="N21" s="136" t="s">
        <v>1545</v>
      </c>
      <c r="O21" s="136"/>
      <c r="P21" s="136"/>
      <c r="Q21" s="136"/>
      <c r="R21" s="136"/>
      <c r="S21" s="136"/>
      <c r="T21" s="136"/>
      <c r="U21" s="136"/>
      <c r="V21" s="136"/>
      <c r="W21" s="136"/>
      <c r="X21" s="136"/>
      <c r="Y21" s="136"/>
      <c r="Z21" s="136"/>
    </row>
    <row r="22" spans="1:26" ht="31.5" customHeight="1">
      <c r="A22" s="2681"/>
      <c r="B22" s="2953" t="str">
        <f>Data!B1220</f>
        <v>MEDIUM</v>
      </c>
      <c r="C22" s="2953" t="str">
        <f>Data!C1220</f>
        <v>MD GK 125 GSM</v>
      </c>
      <c r="D22" s="2953" t="str">
        <f>Data!D1220</f>
        <v>VINAKRAFT</v>
      </c>
      <c r="E22" s="2953" t="str">
        <f>Data!E1220</f>
        <v>VINAKRAFT - MD GK 125 GSM</v>
      </c>
      <c r="F22" s="2953" t="str">
        <f>Data!F1220</f>
        <v>Ben Cat-Binh Duong</v>
      </c>
      <c r="G22" s="3105">
        <f>Data!G1220</f>
        <v>12900000</v>
      </c>
      <c r="H22" s="3105">
        <f>Data!H1220</f>
        <v>666666.66666666663</v>
      </c>
      <c r="I22" s="3105">
        <f>Data!I1220</f>
        <v>13567</v>
      </c>
      <c r="J22" s="2953" t="str">
        <f>Data!J1220</f>
        <v>Under 15MT, exclude transportation</v>
      </c>
      <c r="K22" s="2683"/>
      <c r="M22" s="136"/>
      <c r="N22" s="136" t="s">
        <v>1546</v>
      </c>
      <c r="O22" s="136"/>
      <c r="P22" s="136"/>
      <c r="Q22" s="136"/>
      <c r="R22" s="136"/>
      <c r="S22" s="136"/>
      <c r="T22" s="136"/>
      <c r="U22" s="136"/>
      <c r="V22" s="136"/>
      <c r="W22" s="136"/>
      <c r="X22" s="136"/>
      <c r="Y22" s="136"/>
      <c r="Z22" s="136"/>
    </row>
    <row r="23" spans="1:26" ht="38.25">
      <c r="A23" s="2681"/>
      <c r="B23" s="2953" t="str">
        <f>Data!B1221</f>
        <v>MEDIUM</v>
      </c>
      <c r="C23" s="2953" t="str">
        <f>Data!C1221</f>
        <v>MD GK 150 GSM</v>
      </c>
      <c r="D23" s="2953" t="str">
        <f>Data!D1221</f>
        <v>VINAKRAFT</v>
      </c>
      <c r="E23" s="2953" t="str">
        <f>Data!E1221</f>
        <v>VINAKRAFT - MD GK 150 GSM</v>
      </c>
      <c r="F23" s="2953" t="str">
        <f>Data!F1221</f>
        <v>Di An - Binh Duong</v>
      </c>
      <c r="G23" s="3105">
        <f>Data!G1221</f>
        <v>12900000</v>
      </c>
      <c r="H23" s="3105">
        <f>Data!H1221</f>
        <v>666666.66666666663</v>
      </c>
      <c r="I23" s="3105">
        <f>Data!I1221</f>
        <v>13567</v>
      </c>
      <c r="J23" s="2953" t="str">
        <f>Data!J1221</f>
        <v>Under 15MT, exclude transportation</v>
      </c>
      <c r="K23" s="2683"/>
      <c r="N23" s="136" t="s">
        <v>1547</v>
      </c>
      <c r="O23" s="136"/>
      <c r="P23" s="136"/>
      <c r="Q23" s="136"/>
      <c r="R23" s="136"/>
      <c r="S23" s="136"/>
      <c r="T23" s="136"/>
      <c r="U23" s="136"/>
    </row>
    <row r="24" spans="1:26" ht="38.25">
      <c r="A24" s="2681"/>
      <c r="B24" s="2953" t="str">
        <f>Data!B1222</f>
        <v>MEDIUM</v>
      </c>
      <c r="C24" s="2953" t="str">
        <f>Data!C1222</f>
        <v>MD GK 100 GSM</v>
      </c>
      <c r="D24" s="2953" t="str">
        <f>Data!D1222</f>
        <v xml:space="preserve">SAIGON </v>
      </c>
      <c r="E24" s="2953" t="str">
        <f>Data!E1222</f>
        <v>SAIGON  - MD GK 100 GSM</v>
      </c>
      <c r="F24" s="2953" t="str">
        <f>Data!F1222</f>
        <v>KCN My Xuan-Vung Tau</v>
      </c>
      <c r="G24" s="3105">
        <f>Data!G1222</f>
        <v>10300000</v>
      </c>
      <c r="H24" s="3105">
        <f>Data!H1222</f>
        <v>657222.22222222225</v>
      </c>
      <c r="I24" s="3105">
        <f>Data!I1222</f>
        <v>10958</v>
      </c>
      <c r="J24" s="2953" t="str">
        <f>Data!J1222</f>
        <v>Under 15MT, exclude transportation</v>
      </c>
      <c r="K24" s="2723"/>
      <c r="N24" s="136" t="s">
        <v>1548</v>
      </c>
      <c r="O24" s="136"/>
      <c r="P24" s="136"/>
      <c r="Q24" s="136"/>
      <c r="R24" s="136"/>
      <c r="S24" s="136"/>
      <c r="T24" s="136"/>
      <c r="U24" s="136"/>
    </row>
    <row r="25" spans="1:26" ht="38.25">
      <c r="A25" s="2681"/>
      <c r="B25" s="2953" t="str">
        <f>Data!B1223</f>
        <v>MEDIUM</v>
      </c>
      <c r="C25" s="2953" t="str">
        <f>Data!C1223</f>
        <v>MD GK 112, 120, 125, 150 GSM</v>
      </c>
      <c r="D25" s="2953" t="str">
        <f>Data!D1223</f>
        <v xml:space="preserve">SAIGON </v>
      </c>
      <c r="E25" s="2953" t="str">
        <f>Data!E1223</f>
        <v>SAIGON  - MD GK 112, 120, 125, 150 GSM</v>
      </c>
      <c r="F25" s="2953" t="str">
        <f>Data!F1223</f>
        <v>KCN My Xuan-Vung Tau</v>
      </c>
      <c r="G25" s="3105">
        <f>Data!G1223</f>
        <v>10300000</v>
      </c>
      <c r="H25" s="3105">
        <f>Data!H1223</f>
        <v>657222.22222222225</v>
      </c>
      <c r="I25" s="3105">
        <f>Data!I1223</f>
        <v>10958</v>
      </c>
      <c r="J25" s="2953" t="str">
        <f>Data!J1223</f>
        <v>Under 15MT, exclude transportation</v>
      </c>
      <c r="K25" s="2723"/>
      <c r="N25" s="136" t="s">
        <v>1549</v>
      </c>
    </row>
    <row r="26" spans="1:26" ht="38.25">
      <c r="A26" s="2681"/>
      <c r="B26" s="2953" t="str">
        <f>Data!B1224</f>
        <v>MEDIUM</v>
      </c>
      <c r="C26" s="2953" t="str">
        <f>Data!C1224</f>
        <v>MD GK 120, 125, 150 GSM</v>
      </c>
      <c r="D26" s="2953" t="str">
        <f>Data!D1224</f>
        <v>CHENG LOONG</v>
      </c>
      <c r="E26" s="2953" t="str">
        <f>Data!E1224</f>
        <v>CHENG LOONG - MD GK 120, 125, 150 GSM</v>
      </c>
      <c r="F26" s="2953" t="str">
        <f>Data!F1224</f>
        <v>Ben Cat-Binh Duong</v>
      </c>
      <c r="G26" s="3105">
        <f>Data!G1224</f>
        <v>10200000</v>
      </c>
      <c r="H26" s="3105">
        <f>Data!H1224</f>
        <v>666666.66666666663</v>
      </c>
      <c r="I26" s="3105">
        <f>Data!I1224</f>
        <v>10867</v>
      </c>
      <c r="J26" s="2953" t="str">
        <f>Data!J1224</f>
        <v>Under 15MT, exclude transportation</v>
      </c>
      <c r="K26" s="2723"/>
      <c r="N26" s="136" t="s">
        <v>2886</v>
      </c>
    </row>
    <row r="27" spans="1:26" ht="38.25">
      <c r="A27" s="2681"/>
      <c r="B27" s="2953" t="str">
        <f>Data!B1225</f>
        <v>MEDIUM</v>
      </c>
      <c r="C27" s="2953" t="str">
        <f>Data!C1225</f>
        <v>MD GK 125 GSM</v>
      </c>
      <c r="D27" s="2953" t="str">
        <f>Data!D1225</f>
        <v>THUAN AN</v>
      </c>
      <c r="E27" s="2953" t="str">
        <f>Data!E1225</f>
        <v>THUAN AN - MD GK 125 GSM</v>
      </c>
      <c r="F27" s="2953" t="str">
        <f>Data!F1225</f>
        <v>Ben Cat-Binh Duong</v>
      </c>
      <c r="G27" s="3105">
        <f>Data!G1225</f>
        <v>10200000</v>
      </c>
      <c r="H27" s="3105">
        <f>Data!H1225</f>
        <v>666666.66666666663</v>
      </c>
      <c r="I27" s="3105">
        <f>Data!I1225</f>
        <v>10867</v>
      </c>
      <c r="J27" s="2953" t="str">
        <f>Data!J1225</f>
        <v>Under 15MT, exclude transportation</v>
      </c>
      <c r="K27" s="2723"/>
    </row>
    <row r="28" spans="1:26" ht="38.25">
      <c r="A28" s="2681"/>
      <c r="B28" s="2953" t="str">
        <f>Data!B1226</f>
        <v>MEDIUM</v>
      </c>
      <c r="C28" s="2953" t="str">
        <f>Data!C1226</f>
        <v>MD GK 100 GSM</v>
      </c>
      <c r="D28" s="2953" t="str">
        <f>Data!D1226</f>
        <v>CHENG LOONG</v>
      </c>
      <c r="E28" s="2953" t="str">
        <f>Data!E1226</f>
        <v>CHENG LOONG - MD GK 100 GSM</v>
      </c>
      <c r="F28" s="2953" t="str">
        <f>Data!F1226</f>
        <v>Ben Cat-Binh Duong</v>
      </c>
      <c r="G28" s="3105">
        <f>Data!G1226</f>
        <v>10700000</v>
      </c>
      <c r="H28" s="3105">
        <f>Data!H1226</f>
        <v>666666.66666666663</v>
      </c>
      <c r="I28" s="3105">
        <f>Data!I1226</f>
        <v>11367</v>
      </c>
      <c r="J28" s="2953" t="str">
        <f>Data!J1226</f>
        <v>Under 15MT, exclude transportation</v>
      </c>
      <c r="K28" s="2723"/>
      <c r="M28" s="403" t="s">
        <v>2887</v>
      </c>
    </row>
    <row r="29" spans="1:26">
      <c r="A29" s="2682"/>
      <c r="K29" s="2683"/>
      <c r="M29" s="403" t="s">
        <v>2888</v>
      </c>
    </row>
    <row r="30" spans="1:26">
      <c r="K30" s="2683"/>
      <c r="M30" s="403" t="s">
        <v>2889</v>
      </c>
    </row>
    <row r="31" spans="1:26" ht="38.25">
      <c r="B31" s="2725" t="s">
        <v>725</v>
      </c>
      <c r="C31" s="2725" t="s">
        <v>726</v>
      </c>
      <c r="K31" s="2683"/>
      <c r="M31" s="403" t="s">
        <v>2890</v>
      </c>
    </row>
    <row r="32" spans="1:26">
      <c r="B32" s="2726" t="s">
        <v>2394</v>
      </c>
      <c r="C32" s="2727">
        <f>4097000/2</f>
        <v>2048500</v>
      </c>
      <c r="K32" s="2683"/>
      <c r="M32" s="403" t="s">
        <v>2891</v>
      </c>
    </row>
    <row r="33" spans="2:13" ht="38.25">
      <c r="B33" s="2728" t="s">
        <v>695</v>
      </c>
      <c r="C33" s="2728">
        <f>'Sum local charge July.19'!$D$87/2</f>
        <v>0</v>
      </c>
      <c r="K33" s="2683"/>
      <c r="M33" s="402" t="s">
        <v>1550</v>
      </c>
    </row>
    <row r="34" spans="2:13" ht="38.25">
      <c r="B34" s="2728" t="s">
        <v>710</v>
      </c>
      <c r="C34" s="2728">
        <f>'Sum local charge July.19'!$D$87/2</f>
        <v>0</v>
      </c>
      <c r="K34" s="2683"/>
      <c r="M34" s="402" t="s">
        <v>1551</v>
      </c>
    </row>
    <row r="35" spans="2:13" ht="51">
      <c r="B35" s="2728" t="s">
        <v>714</v>
      </c>
      <c r="C35" s="2728">
        <f>'Sum local charge July.19'!$D$95/2</f>
        <v>580000</v>
      </c>
      <c r="K35" s="2683"/>
      <c r="M35" s="402" t="s">
        <v>1552</v>
      </c>
    </row>
    <row r="36" spans="2:13" ht="38.25">
      <c r="B36" s="2728" t="s">
        <v>718</v>
      </c>
      <c r="C36" s="2728">
        <f>'Sum local charge July.19'!$D$101/2</f>
        <v>470000</v>
      </c>
      <c r="M36" s="402" t="s">
        <v>1553</v>
      </c>
    </row>
    <row r="37" spans="2:13" ht="38.25">
      <c r="B37" s="2728" t="s">
        <v>722</v>
      </c>
      <c r="C37" s="2728">
        <f>C33</f>
        <v>0</v>
      </c>
      <c r="M37" s="402" t="s">
        <v>1554</v>
      </c>
    </row>
  </sheetData>
  <mergeCells count="13">
    <mergeCell ref="F1:F2"/>
    <mergeCell ref="P10:R10"/>
    <mergeCell ref="G1:G2"/>
    <mergeCell ref="H1:H2"/>
    <mergeCell ref="I1:I2"/>
    <mergeCell ref="J1:J2"/>
    <mergeCell ref="P8:R8"/>
    <mergeCell ref="P9:R9"/>
    <mergeCell ref="A1:A2"/>
    <mergeCell ref="B1:B2"/>
    <mergeCell ref="C1:C2"/>
    <mergeCell ref="D1:D2"/>
    <mergeCell ref="E1:E2"/>
  </mergeCells>
  <dataValidations count="4">
    <dataValidation type="list" allowBlank="1" showInputMessage="1" showErrorMessage="1" sqref="P10:R10" xr:uid="{00000000-0002-0000-0800-000000000000}">
      <formula1>$E$18:$E$28</formula1>
    </dataValidation>
    <dataValidation type="list" allowBlank="1" showInputMessage="1" showErrorMessage="1" sqref="P9:R9" xr:uid="{00000000-0002-0000-0800-000001000000}">
      <formula1>$E$3:$E$17</formula1>
    </dataValidation>
    <dataValidation type="list" allowBlank="1" showInputMessage="1" showErrorMessage="1" sqref="O11" xr:uid="{00000000-0002-0000-0800-000002000000}">
      <formula1>"Y, N"</formula1>
    </dataValidation>
    <dataValidation type="list" allowBlank="1" showInputMessage="1" showErrorMessage="1" sqref="Q3" xr:uid="{00000000-0002-0000-0800-000003000000}">
      <formula1>$M$2:$M$5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B3CD4-DE29-47E1-AADA-8006FBD72211}">
  <sheetPr codeName="Sheet41"/>
  <dimension ref="A1:AA37"/>
  <sheetViews>
    <sheetView topLeftCell="L1" zoomScale="90" zoomScaleNormal="90" workbookViewId="0">
      <selection activeCell="Q5" sqref="Q5"/>
    </sheetView>
  </sheetViews>
  <sheetFormatPr defaultColWidth="10" defaultRowHeight="12.75" outlineLevelCol="1"/>
  <cols>
    <col min="1" max="1" width="4" style="2724" hidden="1" customWidth="1" outlineLevel="1"/>
    <col min="2" max="2" width="9.85546875" style="2724" hidden="1" customWidth="1" outlineLevel="1"/>
    <col min="3" max="3" width="19.42578125" style="2724" hidden="1" customWidth="1" outlineLevel="1"/>
    <col min="4" max="4" width="11.42578125" style="2724" hidden="1" customWidth="1" outlineLevel="1"/>
    <col min="5" max="5" width="23" style="2724" hidden="1" customWidth="1" outlineLevel="1"/>
    <col min="6" max="6" width="16.7109375" style="2724" hidden="1" customWidth="1" outlineLevel="1"/>
    <col min="7" max="7" width="18" style="2724" hidden="1" customWidth="1" outlineLevel="1"/>
    <col min="8" max="8" width="13" style="2724" hidden="1" customWidth="1" outlineLevel="1"/>
    <col min="9" max="9" width="10" style="2724" hidden="1" customWidth="1" outlineLevel="1"/>
    <col min="10" max="10" width="16.5703125" style="2724" hidden="1" customWidth="1" outlineLevel="1"/>
    <col min="11" max="11" width="10" style="2724" hidden="1" customWidth="1" outlineLevel="1"/>
    <col min="12" max="12" width="2.85546875" style="2684" customWidth="1" collapsed="1"/>
    <col min="13" max="13" width="7" style="2684" customWidth="1"/>
    <col min="14" max="14" width="9.5703125" style="2685" customWidth="1"/>
    <col min="15" max="15" width="7" style="2684" customWidth="1"/>
    <col min="16" max="16" width="6.85546875" style="2684" customWidth="1"/>
    <col min="17" max="17" width="8" style="2684" customWidth="1"/>
    <col min="18" max="18" width="9.28515625" style="2684" customWidth="1"/>
    <col min="19" max="19" width="7.42578125" style="2684" bestFit="1" customWidth="1"/>
    <col min="20" max="20" width="8.42578125" style="2684" customWidth="1"/>
    <col min="21" max="21" width="8.28515625" style="2684" customWidth="1"/>
    <col min="22" max="22" width="5" style="2684" customWidth="1"/>
    <col min="23" max="23" width="10.5703125" style="2684" customWidth="1"/>
    <col min="24" max="24" width="7.85546875" style="2684" customWidth="1"/>
    <col min="25" max="25" width="13" style="2684" customWidth="1"/>
    <col min="26" max="26" width="11" style="2684" bestFit="1" customWidth="1"/>
    <col min="27" max="27" width="8.42578125" style="2684" customWidth="1"/>
    <col min="28" max="16384" width="10" style="2684"/>
  </cols>
  <sheetData>
    <row r="1" spans="1:27" ht="24" customHeight="1">
      <c r="A1" s="4124" t="s">
        <v>684</v>
      </c>
      <c r="B1" s="4124" t="s">
        <v>685</v>
      </c>
      <c r="C1" s="4124" t="s">
        <v>686</v>
      </c>
      <c r="D1" s="4124" t="s">
        <v>687</v>
      </c>
      <c r="E1" s="4124"/>
      <c r="F1" s="4124" t="s">
        <v>688</v>
      </c>
      <c r="G1" s="4124" t="s">
        <v>689</v>
      </c>
      <c r="H1" s="4124" t="s">
        <v>690</v>
      </c>
      <c r="I1" s="4128" t="s">
        <v>691</v>
      </c>
      <c r="J1" s="4124" t="s">
        <v>361</v>
      </c>
      <c r="K1" s="2683"/>
    </row>
    <row r="2" spans="1:27" s="2689" customFormat="1" ht="24" customHeight="1">
      <c r="A2" s="4124"/>
      <c r="B2" s="4124"/>
      <c r="C2" s="4124"/>
      <c r="D2" s="4124"/>
      <c r="E2" s="4124"/>
      <c r="F2" s="4124"/>
      <c r="G2" s="4124"/>
      <c r="H2" s="4124"/>
      <c r="I2" s="4129"/>
      <c r="J2" s="4124"/>
      <c r="K2" s="2683"/>
      <c r="L2" s="2686"/>
      <c r="M2" s="2687" t="s">
        <v>692</v>
      </c>
      <c r="N2" s="2688">
        <v>1.23</v>
      </c>
      <c r="P2" s="2686"/>
      <c r="Q2" s="2690" t="s">
        <v>693</v>
      </c>
      <c r="R2" s="2690">
        <v>2</v>
      </c>
      <c r="S2" s="2691"/>
      <c r="Y2" s="2692"/>
    </row>
    <row r="3" spans="1:27" s="2689" customFormat="1" ht="24" customHeight="1">
      <c r="A3" s="2680"/>
      <c r="B3" s="2953" t="str">
        <f>Data!B1201</f>
        <v>WHITE TOP</v>
      </c>
      <c r="C3" s="2953" t="str">
        <f>Data!C1201</f>
        <v>WT 150,160,170 GSM</v>
      </c>
      <c r="D3" s="2953" t="str">
        <f>Data!D1201</f>
        <v>BINH CHIEU</v>
      </c>
      <c r="E3" s="2953" t="str">
        <f>Data!E1201</f>
        <v>BINH CHIEU - WT 150,160,170 GSM</v>
      </c>
      <c r="F3" s="2953" t="str">
        <f>Data!F1201</f>
        <v>Di An - Binh Duong</v>
      </c>
      <c r="G3" s="3105">
        <f>Data!G1201</f>
        <v>0</v>
      </c>
      <c r="H3" s="3105">
        <f>Data!H1201</f>
        <v>666666.66666666663</v>
      </c>
      <c r="I3" s="3105">
        <f>Data!I1201</f>
        <v>0</v>
      </c>
      <c r="J3" s="2953" t="str">
        <f>Data!J1201</f>
        <v>Under 15MT, exclude transportation</v>
      </c>
      <c r="K3" s="2683"/>
      <c r="L3" s="2686"/>
      <c r="M3" s="2687" t="s">
        <v>174</v>
      </c>
      <c r="N3" s="2688">
        <v>1.28</v>
      </c>
      <c r="P3" s="2693"/>
      <c r="Q3" s="2690" t="s">
        <v>174</v>
      </c>
      <c r="R3" s="2694">
        <f>VLOOKUP($Q$3,$M$2:$N$5,2,0)</f>
        <v>1.28</v>
      </c>
      <c r="Y3" s="2692"/>
    </row>
    <row r="4" spans="1:27" s="2689" customFormat="1" ht="24" customHeight="1">
      <c r="A4" s="2681"/>
      <c r="B4" s="2953" t="str">
        <f>Data!B1202</f>
        <v>WHITE TOP</v>
      </c>
      <c r="C4" s="2953" t="str">
        <f>Data!C1202</f>
        <v>WT GK 150,160,170 GSM</v>
      </c>
      <c r="D4" s="2953" t="str">
        <f>Data!D1202</f>
        <v>BINH CHIEU</v>
      </c>
      <c r="E4" s="2953" t="str">
        <f>Data!E1202</f>
        <v>BINH CHIEU - WT GK 150,160,170 GSM</v>
      </c>
      <c r="F4" s="2953" t="str">
        <f>Data!F1202</f>
        <v>Di An - Binh Duong</v>
      </c>
      <c r="G4" s="3105">
        <f>Data!G1202</f>
        <v>14800000</v>
      </c>
      <c r="H4" s="3105">
        <f>Data!H1202</f>
        <v>666666.66666666663</v>
      </c>
      <c r="I4" s="3105">
        <f>Data!I1202</f>
        <v>15467</v>
      </c>
      <c r="J4" s="2953" t="str">
        <f>Data!J1202</f>
        <v>Under 15MT, exclude transportation</v>
      </c>
      <c r="K4" s="2683"/>
      <c r="L4" s="2686"/>
      <c r="M4" s="2687" t="s">
        <v>697</v>
      </c>
      <c r="N4" s="2688">
        <v>1.43</v>
      </c>
      <c r="P4" s="2695" t="s">
        <v>698</v>
      </c>
      <c r="Q4" s="2687">
        <f>input!J361*R2</f>
        <v>0</v>
      </c>
      <c r="R4" s="2687">
        <f>input!K361</f>
        <v>0</v>
      </c>
      <c r="S4" s="2696" t="s">
        <v>10</v>
      </c>
      <c r="T4" s="2697"/>
      <c r="Y4" s="2692"/>
    </row>
    <row r="5" spans="1:27" s="2699" customFormat="1" ht="24" customHeight="1">
      <c r="A5" s="2681"/>
      <c r="B5" s="2953" t="str">
        <f>Data!B1203</f>
        <v>WHITE TOP</v>
      </c>
      <c r="C5" s="2953" t="str">
        <f>Data!C1203</f>
        <v>WT 140 I GSM</v>
      </c>
      <c r="D5" s="2953" t="str">
        <f>Data!D1203</f>
        <v>LEE &amp; MAN</v>
      </c>
      <c r="E5" s="2953" t="str">
        <f>Data!E1203</f>
        <v>LEE &amp; MAN - WT 140 I GSM</v>
      </c>
      <c r="F5" s="2953" t="str">
        <f>Data!F1203</f>
        <v>Hau Giang</v>
      </c>
      <c r="G5" s="3105">
        <f>Data!G1203</f>
        <v>17500000</v>
      </c>
      <c r="H5" s="3105">
        <f>Data!H1203</f>
        <v>3366666.6666666665</v>
      </c>
      <c r="I5" s="3105">
        <f>Data!I1203</f>
        <v>20867</v>
      </c>
      <c r="J5" s="2953" t="str">
        <f>Data!J1203</f>
        <v>Under 15MT, exclude transportation</v>
      </c>
      <c r="K5" s="2683"/>
      <c r="L5" s="2698"/>
      <c r="M5" s="2687" t="s">
        <v>1256</v>
      </c>
      <c r="N5" s="2688">
        <v>1.33</v>
      </c>
      <c r="P5" s="2687" t="s">
        <v>700</v>
      </c>
      <c r="Q5" s="2700">
        <f>CEILING(Q4+40,50)</f>
        <v>50</v>
      </c>
      <c r="R5" s="2687">
        <f>R4</f>
        <v>0</v>
      </c>
      <c r="S5" s="2696" t="s">
        <v>10</v>
      </c>
      <c r="T5" s="2701"/>
      <c r="Y5" s="2702"/>
    </row>
    <row r="6" spans="1:27" s="2703" customFormat="1" ht="24" customHeight="1">
      <c r="A6" s="2681"/>
      <c r="B6" s="2953" t="str">
        <f>Data!B1204</f>
        <v>WHITE TOP</v>
      </c>
      <c r="C6" s="2953" t="str">
        <f>Data!C1204</f>
        <v>WT 170 I GSM</v>
      </c>
      <c r="D6" s="2953" t="str">
        <f>Data!D1204</f>
        <v>LEE &amp; MAN</v>
      </c>
      <c r="E6" s="2953" t="str">
        <f>Data!E1204</f>
        <v>LEE &amp; MAN - WT 170 I GSM</v>
      </c>
      <c r="F6" s="2953" t="str">
        <f>Data!F1204</f>
        <v>Hau Giang</v>
      </c>
      <c r="G6" s="3105">
        <f>Data!G1204</f>
        <v>17300000</v>
      </c>
      <c r="H6" s="3105">
        <f>Data!H1204</f>
        <v>3366666.6666666665</v>
      </c>
      <c r="I6" s="3105">
        <f>Data!I1204</f>
        <v>20667</v>
      </c>
      <c r="J6" s="2953" t="str">
        <f>Data!J1204</f>
        <v>Under 15MT, exclude transportation</v>
      </c>
      <c r="K6" s="2683"/>
      <c r="M6" s="2704"/>
      <c r="N6" s="2704"/>
      <c r="P6" s="2704"/>
      <c r="Q6" s="2704"/>
      <c r="R6" s="2704"/>
      <c r="S6" s="2704"/>
      <c r="X6" s="2705"/>
    </row>
    <row r="7" spans="1:27" ht="24" customHeight="1">
      <c r="A7" s="2681"/>
      <c r="B7" s="2953" t="str">
        <f>Data!B1205</f>
        <v>TEST LINER</v>
      </c>
      <c r="C7" s="2953" t="str">
        <f>Data!C1205</f>
        <v xml:space="preserve">TL 125 GSM </v>
      </c>
      <c r="D7" s="2953" t="str">
        <f>Data!D1205</f>
        <v xml:space="preserve">SAIGON </v>
      </c>
      <c r="E7" s="2953" t="str">
        <f>Data!E1205</f>
        <v xml:space="preserve">SAIGON  - TL 125 GSM </v>
      </c>
      <c r="F7" s="2953" t="str">
        <f>Data!F1205</f>
        <v>KCN My Xuan-Vung Tau</v>
      </c>
      <c r="G7" s="3105">
        <f>Data!G1205</f>
        <v>10800000</v>
      </c>
      <c r="H7" s="3105">
        <f>Data!H1205</f>
        <v>657222.22222222225</v>
      </c>
      <c r="I7" s="3105">
        <f>Data!I1205</f>
        <v>11458</v>
      </c>
      <c r="J7" s="2953" t="str">
        <f>Data!J1205</f>
        <v>Under 15MT, exclude transportation</v>
      </c>
      <c r="K7" s="2683"/>
    </row>
    <row r="8" spans="1:27" s="2706" customFormat="1" ht="38.25">
      <c r="A8" s="2681"/>
      <c r="B8" s="2953" t="str">
        <f>Data!B1206</f>
        <v>TEST LINER</v>
      </c>
      <c r="C8" s="2953" t="str">
        <f>Data!C1206</f>
        <v>TL 150 GSM</v>
      </c>
      <c r="D8" s="2953" t="str">
        <f>Data!D1206</f>
        <v xml:space="preserve">SAIGON </v>
      </c>
      <c r="E8" s="2953" t="str">
        <f>Data!E1206</f>
        <v>SAIGON  - TL 150 GSM</v>
      </c>
      <c r="F8" s="2953" t="str">
        <f>Data!F1206</f>
        <v>KCN My Xuan-Vung Tau</v>
      </c>
      <c r="G8" s="3105">
        <f>Data!G1206</f>
        <v>10400000</v>
      </c>
      <c r="H8" s="3105">
        <f>Data!H1206</f>
        <v>657222.22222222225</v>
      </c>
      <c r="I8" s="3105">
        <f>Data!I1206</f>
        <v>11058</v>
      </c>
      <c r="J8" s="2953" t="str">
        <f>Data!J1206</f>
        <v>Under 15MT, exclude transportation</v>
      </c>
      <c r="K8" s="2683"/>
      <c r="M8" s="2707" t="s">
        <v>594</v>
      </c>
      <c r="N8" s="2708" t="s">
        <v>701</v>
      </c>
      <c r="O8" s="2708" t="s">
        <v>126</v>
      </c>
      <c r="P8" s="4130" t="s">
        <v>235</v>
      </c>
      <c r="Q8" s="4131"/>
      <c r="R8" s="4132"/>
      <c r="S8" s="2708" t="s">
        <v>78</v>
      </c>
      <c r="T8" s="2708" t="s">
        <v>702</v>
      </c>
      <c r="U8" s="2708" t="s">
        <v>703</v>
      </c>
      <c r="V8" s="2708" t="s">
        <v>181</v>
      </c>
      <c r="W8" s="2708" t="s">
        <v>445</v>
      </c>
      <c r="X8" s="2708" t="s">
        <v>181</v>
      </c>
      <c r="Y8" s="2709" t="s">
        <v>704</v>
      </c>
      <c r="Z8" s="2708" t="s">
        <v>705</v>
      </c>
      <c r="AA8" s="2708" t="s">
        <v>706</v>
      </c>
    </row>
    <row r="9" spans="1:27" ht="38.25">
      <c r="A9" s="2681"/>
      <c r="B9" s="2953" t="str">
        <f>Data!B1207</f>
        <v>TEST LINER</v>
      </c>
      <c r="C9" s="2953" t="str">
        <f>Data!C1207</f>
        <v>TL 175 GSM</v>
      </c>
      <c r="D9" s="2953" t="str">
        <f>Data!D1207</f>
        <v xml:space="preserve">SAIGON </v>
      </c>
      <c r="E9" s="2953" t="str">
        <f>Data!E1207</f>
        <v>SAIGON  - TL 175 GSM</v>
      </c>
      <c r="F9" s="2953" t="str">
        <f>Data!F1207</f>
        <v>KCN My Xuan-Vung Tau</v>
      </c>
      <c r="G9" s="3105">
        <f>Data!G1207</f>
        <v>10600000</v>
      </c>
      <c r="H9" s="3105">
        <f>Data!H1207</f>
        <v>657222.22222222225</v>
      </c>
      <c r="I9" s="3105">
        <f>Data!I1207</f>
        <v>11258</v>
      </c>
      <c r="J9" s="2953" t="str">
        <f>Data!J1207</f>
        <v>Under 15MT, exclude transportation</v>
      </c>
      <c r="K9" s="2683"/>
      <c r="M9" s="2710" t="s">
        <v>707</v>
      </c>
      <c r="N9" s="2710" t="s">
        <v>708</v>
      </c>
      <c r="O9" s="2711">
        <v>150</v>
      </c>
      <c r="P9" s="4125" t="s">
        <v>3016</v>
      </c>
      <c r="Q9" s="4126"/>
      <c r="R9" s="4127"/>
      <c r="S9" s="2712">
        <v>7.0000000000000007E-2</v>
      </c>
      <c r="T9" s="2713">
        <f>(Q4/1000)*IF(R2=4,40,45)*60</f>
        <v>0</v>
      </c>
      <c r="U9" s="2713">
        <f>(Q5/1000)*IF(R2=4,40,45)*60*(1+S9)</f>
        <v>144.45000000000002</v>
      </c>
      <c r="V9" s="2714" t="s">
        <v>709</v>
      </c>
      <c r="W9" s="2713">
        <f>IFERROR(VLOOKUP(P9,$E$3:$I$28,5,0),0)</f>
        <v>0</v>
      </c>
      <c r="X9" s="2714" t="s">
        <v>290</v>
      </c>
      <c r="Y9" s="2715">
        <f>(O9/1000)*U9*W9</f>
        <v>0</v>
      </c>
      <c r="Z9" s="2713" t="e">
        <f>Y9/T9</f>
        <v>#DIV/0!</v>
      </c>
      <c r="AA9" s="2716" t="e">
        <f>Z9/Z13</f>
        <v>#DIV/0!</v>
      </c>
    </row>
    <row r="10" spans="1:27" ht="38.25">
      <c r="A10" s="2681"/>
      <c r="B10" s="2953" t="str">
        <f>Data!B1208</f>
        <v>TEST LINER</v>
      </c>
      <c r="C10" s="2953" t="str">
        <f>Data!C1208</f>
        <v>TL 150 GSM</v>
      </c>
      <c r="D10" s="2953" t="str">
        <f>Data!D1208</f>
        <v>VINAKRAFT</v>
      </c>
      <c r="E10" s="2953" t="str">
        <f>Data!E1208</f>
        <v>VINAKRAFT - TL 150 GSM</v>
      </c>
      <c r="F10" s="2953" t="str">
        <f>Data!F1208</f>
        <v>Ben Cat-Binh Duong</v>
      </c>
      <c r="G10" s="3105">
        <f>Data!G1208</f>
        <v>13700000</v>
      </c>
      <c r="H10" s="3105">
        <f>Data!H1208</f>
        <v>666666.66666666663</v>
      </c>
      <c r="I10" s="3105">
        <f>Data!I1208</f>
        <v>14367</v>
      </c>
      <c r="J10" s="2953" t="str">
        <f>Data!J1208</f>
        <v>Under 15MT, exclude transportation</v>
      </c>
      <c r="K10" s="2683"/>
      <c r="M10" s="2710" t="s">
        <v>711</v>
      </c>
      <c r="N10" s="2710" t="s">
        <v>712</v>
      </c>
      <c r="O10" s="2711">
        <v>125</v>
      </c>
      <c r="P10" s="4125" t="s">
        <v>3017</v>
      </c>
      <c r="Q10" s="4126"/>
      <c r="R10" s="4127"/>
      <c r="S10" s="2712">
        <f>S9</f>
        <v>7.0000000000000007E-2</v>
      </c>
      <c r="T10" s="2713">
        <f>T9*R3</f>
        <v>0</v>
      </c>
      <c r="U10" s="2713">
        <f>U9*R3</f>
        <v>184.89600000000002</v>
      </c>
      <c r="V10" s="2714" t="s">
        <v>709</v>
      </c>
      <c r="W10" s="2713">
        <f>IFERROR(VLOOKUP(P10,$E$3:$I$28,5,0),0)</f>
        <v>13567</v>
      </c>
      <c r="X10" s="2714" t="s">
        <v>713</v>
      </c>
      <c r="Y10" s="2715">
        <f>(O10/1000)*U10*W10</f>
        <v>313560.50400000002</v>
      </c>
      <c r="Z10" s="2713" t="e">
        <f>Y10/T9</f>
        <v>#DIV/0!</v>
      </c>
      <c r="AA10" s="2716" t="e">
        <f>Z10/Z13</f>
        <v>#DIV/0!</v>
      </c>
    </row>
    <row r="11" spans="1:27" ht="38.25">
      <c r="A11" s="2681"/>
      <c r="B11" s="2953" t="str">
        <f>Data!B1209</f>
        <v>TEST LINER</v>
      </c>
      <c r="C11" s="2953" t="str">
        <f>Data!C1209</f>
        <v>TL 250 GSM</v>
      </c>
      <c r="D11" s="2953" t="str">
        <f>Data!D1209</f>
        <v>VINAKRAFT</v>
      </c>
      <c r="E11" s="2953" t="str">
        <f>Data!E1209</f>
        <v>VINAKRAFT - TL 250 GSM</v>
      </c>
      <c r="F11" s="2953" t="str">
        <f>Data!F1209</f>
        <v>Ben Cat-Binh Duong</v>
      </c>
      <c r="G11" s="3105">
        <f>Data!G1209</f>
        <v>0</v>
      </c>
      <c r="H11" s="3105">
        <f>Data!H1209</f>
        <v>666666.66666666663</v>
      </c>
      <c r="I11" s="3105">
        <f>Data!I1209</f>
        <v>0</v>
      </c>
      <c r="J11" s="2953" t="str">
        <f>Data!J1209</f>
        <v>Under 15MT, exclude transportation</v>
      </c>
      <c r="K11" s="2683"/>
      <c r="M11" s="2710">
        <v>3</v>
      </c>
      <c r="N11" s="2710" t="s">
        <v>215</v>
      </c>
      <c r="O11" s="2710" t="s">
        <v>103</v>
      </c>
      <c r="P11" s="2717" t="s">
        <v>715</v>
      </c>
      <c r="Q11" s="2718"/>
      <c r="R11" s="2719"/>
      <c r="S11" s="2712"/>
      <c r="T11" s="2713"/>
      <c r="U11" s="2713">
        <v>25</v>
      </c>
      <c r="V11" s="2714" t="s">
        <v>716</v>
      </c>
      <c r="W11" s="2713">
        <f>(9200*25+19500*0.7+17000*0.1)/(25+0.7+0.1)</f>
        <v>9509.6899224806202</v>
      </c>
      <c r="X11" s="2714" t="s">
        <v>290</v>
      </c>
      <c r="Y11" s="2715">
        <f>IF(O11="Y",((U11/1000)*$U$9*1/(1+3))*W11,0)</f>
        <v>8585.4669331395362</v>
      </c>
      <c r="Z11" s="2713" t="e">
        <f>Y11/T9</f>
        <v>#DIV/0!</v>
      </c>
      <c r="AA11" s="2716" t="e">
        <f>Z11/Z13</f>
        <v>#DIV/0!</v>
      </c>
    </row>
    <row r="12" spans="1:27" ht="38.25">
      <c r="A12" s="2681"/>
      <c r="B12" s="2953" t="str">
        <f>Data!B1210</f>
        <v>TEST LINER</v>
      </c>
      <c r="C12" s="2953" t="str">
        <f>Data!C1210</f>
        <v xml:space="preserve">TL 150 GSM </v>
      </c>
      <c r="D12" s="2953" t="str">
        <f>Data!D1210</f>
        <v>DIA LONG</v>
      </c>
      <c r="E12" s="2953" t="str">
        <f>Data!E1210</f>
        <v xml:space="preserve">DIA LONG - TL 150 GSM </v>
      </c>
      <c r="F12" s="2953" t="str">
        <f>Data!F1210</f>
        <v>Ben Cat-Binh Duong</v>
      </c>
      <c r="G12" s="3105">
        <f>Data!G1210</f>
        <v>10930000</v>
      </c>
      <c r="H12" s="3105">
        <f>Data!H1210</f>
        <v>666666.66666666663</v>
      </c>
      <c r="I12" s="3105">
        <f>Data!I1210</f>
        <v>11597</v>
      </c>
      <c r="J12" s="2953" t="str">
        <f>Data!J1210</f>
        <v>Under 15MT, exclude transportation</v>
      </c>
      <c r="K12" s="2683"/>
      <c r="M12" s="2710">
        <v>4</v>
      </c>
      <c r="N12" s="2710" t="s">
        <v>719</v>
      </c>
      <c r="O12" s="2720">
        <v>0.9</v>
      </c>
      <c r="P12" s="2721" t="s">
        <v>165</v>
      </c>
      <c r="Q12" s="2718"/>
      <c r="R12" s="2719"/>
      <c r="S12" s="2712"/>
      <c r="T12" s="2713"/>
      <c r="U12" s="2713">
        <v>4</v>
      </c>
      <c r="V12" s="2714" t="s">
        <v>167</v>
      </c>
      <c r="W12" s="2713">
        <f>Data!$N$1182*(1+'Production cost'!$R$702)</f>
        <v>59357.701116720593</v>
      </c>
      <c r="X12" s="2714" t="s">
        <v>720</v>
      </c>
      <c r="Y12" s="2715">
        <f>W12*U12/O12</f>
        <v>263812.00496320263</v>
      </c>
      <c r="Z12" s="2713" t="e">
        <f>Y12/T9</f>
        <v>#DIV/0!</v>
      </c>
      <c r="AA12" s="2716" t="e">
        <f>Z12/Z13</f>
        <v>#DIV/0!</v>
      </c>
    </row>
    <row r="13" spans="1:27" ht="38.25">
      <c r="A13" s="2681"/>
      <c r="B13" s="2953" t="str">
        <f>Data!B1211</f>
        <v>TEST LINER</v>
      </c>
      <c r="C13" s="2953" t="str">
        <f>Data!C1211</f>
        <v>TL 120 GSM</v>
      </c>
      <c r="D13" s="2953" t="str">
        <f>Data!D1211</f>
        <v>CHANH DUONG</v>
      </c>
      <c r="E13" s="2953" t="str">
        <f>Data!E1211</f>
        <v>CHANH DUONG - TL 120 GSM</v>
      </c>
      <c r="F13" s="2953" t="str">
        <f>Data!F1211</f>
        <v>Ben Cat-Binh Duong</v>
      </c>
      <c r="G13" s="3105">
        <f>Data!G1211</f>
        <v>0</v>
      </c>
      <c r="H13" s="3105">
        <f>Data!H1211</f>
        <v>666666.66666666663</v>
      </c>
      <c r="I13" s="3105">
        <f>Data!I1211</f>
        <v>0</v>
      </c>
      <c r="J13" s="2953" t="str">
        <f>Data!J1211</f>
        <v>Under 15MT, exclude transportation</v>
      </c>
      <c r="K13" s="2683"/>
      <c r="N13" s="2722" t="s">
        <v>723</v>
      </c>
      <c r="Y13" s="2710">
        <f>SUM(Y9:Y12)</f>
        <v>585957.97589634219</v>
      </c>
      <c r="Z13" s="2710" t="e">
        <f>SUM(Z9:Z12)</f>
        <v>#DIV/0!</v>
      </c>
      <c r="AA13" s="2712" t="e">
        <f>SUM(AA9:AA12)</f>
        <v>#DIV/0!</v>
      </c>
    </row>
    <row r="14" spans="1:27" ht="38.25">
      <c r="A14" s="2681"/>
      <c r="B14" s="2953" t="str">
        <f>Data!B1212</f>
        <v>TEST LINER</v>
      </c>
      <c r="C14" s="2953" t="str">
        <f>Data!C1212</f>
        <v>TL 150 GSM</v>
      </c>
      <c r="D14" s="2953" t="str">
        <f>Data!D1212</f>
        <v>CHANH DUONG</v>
      </c>
      <c r="E14" s="2953" t="str">
        <f>Data!E1212</f>
        <v>CHANH DUONG - TL 150 GSM</v>
      </c>
      <c r="F14" s="2953" t="str">
        <f>Data!F1212</f>
        <v>Ben Cat-Binh Duong</v>
      </c>
      <c r="G14" s="3105">
        <f>Data!G1212</f>
        <v>0</v>
      </c>
      <c r="H14" s="3105">
        <f>Data!H1212</f>
        <v>666666.66666666663</v>
      </c>
      <c r="I14" s="3105">
        <f>Data!I1212</f>
        <v>0</v>
      </c>
      <c r="J14" s="2953" t="str">
        <f>Data!J1212</f>
        <v>Under 15MT, exclude transportation</v>
      </c>
      <c r="K14" s="2683"/>
    </row>
    <row r="15" spans="1:27" ht="38.25">
      <c r="A15" s="2681"/>
      <c r="B15" s="2953" t="str">
        <f>Data!B1213</f>
        <v>TEST LINER</v>
      </c>
      <c r="C15" s="2953" t="str">
        <f>Data!C1213</f>
        <v>TL H160 GSM</v>
      </c>
      <c r="D15" s="2953" t="str">
        <f>Data!D1213</f>
        <v>CHANH DUONG</v>
      </c>
      <c r="E15" s="2953" t="str">
        <f>Data!E1213</f>
        <v>CHANH DUONG - TL H160 GSM</v>
      </c>
      <c r="F15" s="2953" t="str">
        <f>Data!F1213</f>
        <v>Ben Cat-Binh Duong</v>
      </c>
      <c r="G15" s="3105">
        <f>Data!G1213</f>
        <v>0</v>
      </c>
      <c r="H15" s="3105">
        <f>Data!H1213</f>
        <v>666666.66666666663</v>
      </c>
      <c r="I15" s="3105">
        <f>Data!I1213</f>
        <v>0</v>
      </c>
      <c r="J15" s="2953" t="str">
        <f>Data!J1213</f>
        <v>Under 15MT, exclude transportation</v>
      </c>
      <c r="K15" s="2683"/>
      <c r="M15" s="319" t="s">
        <v>1539</v>
      </c>
      <c r="N15" s="136"/>
      <c r="O15" s="136"/>
      <c r="P15" s="136"/>
      <c r="Q15" s="136"/>
      <c r="R15" s="136"/>
      <c r="S15" s="136"/>
      <c r="T15" s="136"/>
      <c r="U15" s="136"/>
      <c r="V15" s="136"/>
      <c r="W15" s="136"/>
      <c r="X15" s="136"/>
      <c r="Y15" s="136"/>
      <c r="Z15" s="136"/>
    </row>
    <row r="16" spans="1:27" ht="25.5" customHeight="1">
      <c r="A16" s="2681"/>
      <c r="B16" s="2953" t="str">
        <f>Data!B1214</f>
        <v>TEST LINER</v>
      </c>
      <c r="C16" s="2953" t="str">
        <f>Data!C1214</f>
        <v>TL 125 GSM</v>
      </c>
      <c r="D16" s="2953" t="str">
        <f>Data!D1214</f>
        <v>THUAN AN</v>
      </c>
      <c r="E16" s="2953" t="str">
        <f>Data!E1214</f>
        <v>THUAN AN - TL 125 GSM</v>
      </c>
      <c r="F16" s="2953" t="str">
        <f>Data!F1214</f>
        <v>Ben Cat-Binh Duong</v>
      </c>
      <c r="G16" s="3105">
        <f>Data!G1214</f>
        <v>0</v>
      </c>
      <c r="H16" s="3105">
        <f>Data!H1214</f>
        <v>666666.66666666663</v>
      </c>
      <c r="I16" s="3105">
        <f>Data!I1214</f>
        <v>0</v>
      </c>
      <c r="J16" s="2953" t="str">
        <f>Data!J1214</f>
        <v>Under 15MT, exclude transportation</v>
      </c>
      <c r="K16" s="2683"/>
      <c r="M16" s="136"/>
      <c r="N16" s="136" t="s">
        <v>1540</v>
      </c>
      <c r="O16" s="136"/>
      <c r="P16" s="136"/>
      <c r="Q16" s="136"/>
      <c r="R16" s="136"/>
      <c r="S16" s="136"/>
      <c r="T16" s="136"/>
      <c r="U16" s="136"/>
      <c r="V16" s="136"/>
      <c r="W16" s="136"/>
      <c r="X16" s="136"/>
      <c r="Y16" s="136"/>
      <c r="Z16" s="136"/>
    </row>
    <row r="17" spans="1:26" ht="38.25">
      <c r="A17" s="2681"/>
      <c r="B17" s="2953" t="str">
        <f>Data!B1215</f>
        <v>TEST LINER</v>
      </c>
      <c r="C17" s="2953" t="str">
        <f>Data!C1215</f>
        <v>TL 150 GSM</v>
      </c>
      <c r="D17" s="2953" t="str">
        <f>Data!D1215</f>
        <v>THUAN AN</v>
      </c>
      <c r="E17" s="2953" t="str">
        <f>Data!E1215</f>
        <v>THUAN AN - TL 150 GSM</v>
      </c>
      <c r="F17" s="2953" t="str">
        <f>Data!F1215</f>
        <v>Ben Cat-Binh Duong</v>
      </c>
      <c r="G17" s="3105">
        <f>Data!G1215</f>
        <v>10100000</v>
      </c>
      <c r="H17" s="3105">
        <f>Data!H1215</f>
        <v>666666.66666666663</v>
      </c>
      <c r="I17" s="3105">
        <f>Data!I1215</f>
        <v>10767</v>
      </c>
      <c r="J17" s="2953" t="str">
        <f>Data!J1215</f>
        <v>Under 15MT, exclude transportation</v>
      </c>
      <c r="K17" s="2683"/>
      <c r="M17" s="136"/>
      <c r="N17" s="136" t="s">
        <v>1541</v>
      </c>
      <c r="O17" s="136"/>
      <c r="P17" s="136"/>
      <c r="Q17" s="136"/>
      <c r="R17" s="136"/>
      <c r="S17" s="136"/>
      <c r="T17" s="136"/>
      <c r="U17" s="136"/>
      <c r="V17" s="136"/>
      <c r="W17" s="136"/>
      <c r="X17" s="136"/>
      <c r="Y17" s="136"/>
      <c r="Z17" s="136"/>
    </row>
    <row r="18" spans="1:26" ht="31.5" customHeight="1">
      <c r="A18" s="2681"/>
      <c r="B18" s="2953" t="str">
        <f>Data!B1216</f>
        <v>MEDIUM</v>
      </c>
      <c r="C18" s="2953" t="str">
        <f>Data!C1216</f>
        <v>MD 105 GSM</v>
      </c>
      <c r="D18" s="2953" t="str">
        <f>Data!D1216</f>
        <v xml:space="preserve">SAIGON </v>
      </c>
      <c r="E18" s="2953" t="str">
        <f>Data!E1216</f>
        <v>SAIGON  - MD 105 GSM</v>
      </c>
      <c r="F18" s="2953" t="str">
        <f>Data!F1216</f>
        <v>KCN My Xuan-Vung Tau</v>
      </c>
      <c r="G18" s="3105">
        <f>Data!G1216</f>
        <v>0</v>
      </c>
      <c r="H18" s="3105">
        <f>Data!H1216</f>
        <v>657222.22222222225</v>
      </c>
      <c r="I18" s="3105">
        <f>Data!I1216</f>
        <v>0</v>
      </c>
      <c r="J18" s="2953" t="str">
        <f>Data!J1216</f>
        <v>Under 15MT, exclude transportation</v>
      </c>
      <c r="K18" s="2683"/>
      <c r="M18" s="136"/>
      <c r="N18" s="136" t="s">
        <v>1542</v>
      </c>
      <c r="O18" s="136"/>
      <c r="P18" s="136"/>
      <c r="Q18" s="136"/>
      <c r="R18" s="136"/>
      <c r="S18" s="136"/>
      <c r="T18" s="136"/>
      <c r="U18" s="136"/>
      <c r="V18" s="136"/>
      <c r="W18" s="136"/>
      <c r="X18" s="136"/>
      <c r="Y18" s="136"/>
      <c r="Z18" s="136"/>
    </row>
    <row r="19" spans="1:26" ht="31.5" customHeight="1">
      <c r="A19" s="2681"/>
      <c r="B19" s="2953" t="str">
        <f>Data!B1217</f>
        <v>MEDIUM</v>
      </c>
      <c r="C19" s="2953" t="str">
        <f>Data!C1217</f>
        <v>MD 125, 150 GSM</v>
      </c>
      <c r="D19" s="2953" t="str">
        <f>Data!D1217</f>
        <v xml:space="preserve">SAIGON </v>
      </c>
      <c r="E19" s="2953" t="str">
        <f>Data!E1217</f>
        <v>SAIGON  - MD 125, 150 GSM</v>
      </c>
      <c r="F19" s="2953" t="str">
        <f>Data!F1217</f>
        <v>KCN My Xuan-Vung Tau</v>
      </c>
      <c r="G19" s="3105">
        <f>Data!G1217</f>
        <v>0</v>
      </c>
      <c r="H19" s="3105">
        <f>Data!H1217</f>
        <v>657222.22222222225</v>
      </c>
      <c r="I19" s="3105">
        <f>Data!I1217</f>
        <v>0</v>
      </c>
      <c r="J19" s="2953" t="str">
        <f>Data!J1217</f>
        <v>Under 15MT, exclude transportation</v>
      </c>
      <c r="K19" s="2683"/>
      <c r="M19" s="136"/>
      <c r="N19" s="136" t="s">
        <v>1543</v>
      </c>
      <c r="O19" s="136"/>
      <c r="P19" s="136"/>
      <c r="Q19" s="136"/>
      <c r="R19" s="136"/>
      <c r="S19" s="136"/>
      <c r="T19" s="136"/>
      <c r="U19" s="136"/>
      <c r="V19" s="136"/>
      <c r="W19" s="136"/>
      <c r="X19" s="136"/>
      <c r="Y19" s="136"/>
      <c r="Z19" s="136"/>
    </row>
    <row r="20" spans="1:26" ht="31.5" customHeight="1">
      <c r="A20" s="2681"/>
      <c r="B20" s="2953" t="str">
        <f>Data!B1218</f>
        <v>MEDIUM</v>
      </c>
      <c r="C20" s="2953" t="str">
        <f>Data!C1218</f>
        <v>MD 105,115 GSM</v>
      </c>
      <c r="D20" s="2953" t="str">
        <f>Data!D1218</f>
        <v>VINAKRAFT</v>
      </c>
      <c r="E20" s="2953" t="str">
        <f>Data!E1218</f>
        <v>VINAKRAFT - MD 105,115 GSM</v>
      </c>
      <c r="F20" s="2953" t="str">
        <f>Data!F1218</f>
        <v>Ben Cat-Binh Duong</v>
      </c>
      <c r="G20" s="3105">
        <f>Data!G1218</f>
        <v>0</v>
      </c>
      <c r="H20" s="3105">
        <f>Data!H1218</f>
        <v>666666.66666666663</v>
      </c>
      <c r="I20" s="3105">
        <f>Data!I1218</f>
        <v>0</v>
      </c>
      <c r="J20" s="2953" t="str">
        <f>Data!J1218</f>
        <v>Under 15MT, exclude transportation</v>
      </c>
      <c r="K20" s="2683"/>
      <c r="M20" s="136"/>
      <c r="N20" s="136" t="s">
        <v>1544</v>
      </c>
      <c r="O20" s="136"/>
      <c r="P20" s="136"/>
      <c r="Q20" s="136"/>
      <c r="R20" s="136"/>
      <c r="S20" s="136"/>
      <c r="T20" s="136"/>
      <c r="U20" s="136"/>
      <c r="V20" s="136"/>
      <c r="W20" s="136"/>
      <c r="X20" s="136"/>
      <c r="Y20" s="136"/>
      <c r="Z20" s="136"/>
    </row>
    <row r="21" spans="1:26" ht="31.5" customHeight="1">
      <c r="A21" s="2681"/>
      <c r="B21" s="2953" t="str">
        <f>Data!B1219</f>
        <v>MEDIUM</v>
      </c>
      <c r="C21" s="2953" t="str">
        <f>Data!C1219</f>
        <v>MD 125, 150, 185 GSM</v>
      </c>
      <c r="D21" s="2953" t="str">
        <f>Data!D1219</f>
        <v>VINAKRAFT</v>
      </c>
      <c r="E21" s="2953" t="str">
        <f>Data!E1219</f>
        <v>VINAKRAFT - MD 125, 150, 185 GSM</v>
      </c>
      <c r="F21" s="2953" t="str">
        <f>Data!F1219</f>
        <v>Ben Cat-Binh Duong</v>
      </c>
      <c r="G21" s="3105">
        <f>Data!G1219</f>
        <v>0</v>
      </c>
      <c r="H21" s="3105">
        <f>Data!H1219</f>
        <v>666666.66666666663</v>
      </c>
      <c r="I21" s="3105">
        <f>Data!I1219</f>
        <v>0</v>
      </c>
      <c r="J21" s="2953" t="str">
        <f>Data!J1219</f>
        <v>Under 15MT, exclude transportation</v>
      </c>
      <c r="K21" s="2683"/>
      <c r="M21" s="136"/>
      <c r="N21" s="136" t="s">
        <v>1545</v>
      </c>
      <c r="O21" s="136"/>
      <c r="P21" s="136"/>
      <c r="Q21" s="136"/>
      <c r="R21" s="136"/>
      <c r="S21" s="136"/>
      <c r="T21" s="136"/>
      <c r="U21" s="136"/>
      <c r="V21" s="136"/>
      <c r="W21" s="136"/>
      <c r="X21" s="136"/>
      <c r="Y21" s="136"/>
      <c r="Z21" s="136"/>
    </row>
    <row r="22" spans="1:26" ht="31.5" customHeight="1">
      <c r="A22" s="2681"/>
      <c r="B22" s="2953" t="str">
        <f>Data!B1220</f>
        <v>MEDIUM</v>
      </c>
      <c r="C22" s="2953" t="str">
        <f>Data!C1220</f>
        <v>MD GK 125 GSM</v>
      </c>
      <c r="D22" s="2953" t="str">
        <f>Data!D1220</f>
        <v>VINAKRAFT</v>
      </c>
      <c r="E22" s="2953" t="str">
        <f>Data!E1220</f>
        <v>VINAKRAFT - MD GK 125 GSM</v>
      </c>
      <c r="F22" s="2953" t="str">
        <f>Data!F1220</f>
        <v>Ben Cat-Binh Duong</v>
      </c>
      <c r="G22" s="3105">
        <f>Data!G1220</f>
        <v>12900000</v>
      </c>
      <c r="H22" s="3105">
        <f>Data!H1220</f>
        <v>666666.66666666663</v>
      </c>
      <c r="I22" s="3105">
        <f>Data!I1220</f>
        <v>13567</v>
      </c>
      <c r="J22" s="2953" t="str">
        <f>Data!J1220</f>
        <v>Under 15MT, exclude transportation</v>
      </c>
      <c r="K22" s="2683"/>
      <c r="M22" s="136"/>
      <c r="N22" s="136" t="s">
        <v>1546</v>
      </c>
      <c r="O22" s="136"/>
      <c r="P22" s="136"/>
      <c r="Q22" s="136"/>
      <c r="R22" s="136"/>
      <c r="S22" s="136"/>
      <c r="T22" s="136"/>
      <c r="U22" s="136"/>
      <c r="V22" s="136"/>
      <c r="W22" s="136"/>
      <c r="X22" s="136"/>
      <c r="Y22" s="136"/>
      <c r="Z22" s="136"/>
    </row>
    <row r="23" spans="1:26" ht="38.25">
      <c r="A23" s="2681"/>
      <c r="B23" s="2953" t="str">
        <f>Data!B1221</f>
        <v>MEDIUM</v>
      </c>
      <c r="C23" s="2953" t="str">
        <f>Data!C1221</f>
        <v>MD GK 150 GSM</v>
      </c>
      <c r="D23" s="2953" t="str">
        <f>Data!D1221</f>
        <v>VINAKRAFT</v>
      </c>
      <c r="E23" s="2953" t="str">
        <f>Data!E1221</f>
        <v>VINAKRAFT - MD GK 150 GSM</v>
      </c>
      <c r="F23" s="2953" t="str">
        <f>Data!F1221</f>
        <v>Di An - Binh Duong</v>
      </c>
      <c r="G23" s="3105">
        <f>Data!G1221</f>
        <v>12900000</v>
      </c>
      <c r="H23" s="3105">
        <f>Data!H1221</f>
        <v>666666.66666666663</v>
      </c>
      <c r="I23" s="3105">
        <f>Data!I1221</f>
        <v>13567</v>
      </c>
      <c r="J23" s="2953" t="str">
        <f>Data!J1221</f>
        <v>Under 15MT, exclude transportation</v>
      </c>
      <c r="K23" s="2683"/>
      <c r="N23" s="136" t="s">
        <v>1547</v>
      </c>
      <c r="O23" s="136"/>
      <c r="P23" s="136"/>
      <c r="Q23" s="136"/>
      <c r="R23" s="136"/>
      <c r="S23" s="136"/>
      <c r="T23" s="136"/>
      <c r="U23" s="136"/>
    </row>
    <row r="24" spans="1:26" ht="38.25">
      <c r="A24" s="2681"/>
      <c r="B24" s="2953" t="str">
        <f>Data!B1222</f>
        <v>MEDIUM</v>
      </c>
      <c r="C24" s="2953" t="str">
        <f>Data!C1222</f>
        <v>MD GK 100 GSM</v>
      </c>
      <c r="D24" s="2953" t="str">
        <f>Data!D1222</f>
        <v xml:space="preserve">SAIGON </v>
      </c>
      <c r="E24" s="2953" t="str">
        <f>Data!E1222</f>
        <v>SAIGON  - MD GK 100 GSM</v>
      </c>
      <c r="F24" s="2953" t="str">
        <f>Data!F1222</f>
        <v>KCN My Xuan-Vung Tau</v>
      </c>
      <c r="G24" s="3105">
        <f>Data!G1222</f>
        <v>10300000</v>
      </c>
      <c r="H24" s="3105">
        <f>Data!H1222</f>
        <v>657222.22222222225</v>
      </c>
      <c r="I24" s="3105">
        <f>Data!I1222</f>
        <v>10958</v>
      </c>
      <c r="J24" s="2953" t="str">
        <f>Data!J1222</f>
        <v>Under 15MT, exclude transportation</v>
      </c>
      <c r="K24" s="2723"/>
      <c r="N24" s="136" t="s">
        <v>1548</v>
      </c>
      <c r="O24" s="136"/>
      <c r="P24" s="136"/>
      <c r="Q24" s="136"/>
      <c r="R24" s="136"/>
      <c r="S24" s="136"/>
      <c r="T24" s="136"/>
      <c r="U24" s="136"/>
    </row>
    <row r="25" spans="1:26" ht="38.25">
      <c r="A25" s="2681"/>
      <c r="B25" s="2953" t="str">
        <f>Data!B1223</f>
        <v>MEDIUM</v>
      </c>
      <c r="C25" s="2953" t="str">
        <f>Data!C1223</f>
        <v>MD GK 112, 120, 125, 150 GSM</v>
      </c>
      <c r="D25" s="2953" t="str">
        <f>Data!D1223</f>
        <v xml:space="preserve">SAIGON </v>
      </c>
      <c r="E25" s="2953" t="str">
        <f>Data!E1223</f>
        <v>SAIGON  - MD GK 112, 120, 125, 150 GSM</v>
      </c>
      <c r="F25" s="2953" t="str">
        <f>Data!F1223</f>
        <v>KCN My Xuan-Vung Tau</v>
      </c>
      <c r="G25" s="3105">
        <f>Data!G1223</f>
        <v>10300000</v>
      </c>
      <c r="H25" s="3105">
        <f>Data!H1223</f>
        <v>657222.22222222225</v>
      </c>
      <c r="I25" s="3105">
        <f>Data!I1223</f>
        <v>10958</v>
      </c>
      <c r="J25" s="2953" t="str">
        <f>Data!J1223</f>
        <v>Under 15MT, exclude transportation</v>
      </c>
      <c r="K25" s="2723"/>
      <c r="N25" s="136" t="s">
        <v>1549</v>
      </c>
    </row>
    <row r="26" spans="1:26" ht="38.25">
      <c r="A26" s="2681"/>
      <c r="B26" s="2953" t="str">
        <f>Data!B1224</f>
        <v>MEDIUM</v>
      </c>
      <c r="C26" s="2953" t="str">
        <f>Data!C1224</f>
        <v>MD GK 120, 125, 150 GSM</v>
      </c>
      <c r="D26" s="2953" t="str">
        <f>Data!D1224</f>
        <v>CHENG LOONG</v>
      </c>
      <c r="E26" s="2953" t="str">
        <f>Data!E1224</f>
        <v>CHENG LOONG - MD GK 120, 125, 150 GSM</v>
      </c>
      <c r="F26" s="2953" t="str">
        <f>Data!F1224</f>
        <v>Ben Cat-Binh Duong</v>
      </c>
      <c r="G26" s="3105">
        <f>Data!G1224</f>
        <v>10200000</v>
      </c>
      <c r="H26" s="3105">
        <f>Data!H1224</f>
        <v>666666.66666666663</v>
      </c>
      <c r="I26" s="3105">
        <f>Data!I1224</f>
        <v>10867</v>
      </c>
      <c r="J26" s="2953" t="str">
        <f>Data!J1224</f>
        <v>Under 15MT, exclude transportation</v>
      </c>
      <c r="K26" s="2723"/>
      <c r="N26" s="136" t="s">
        <v>2886</v>
      </c>
    </row>
    <row r="27" spans="1:26" ht="38.25">
      <c r="A27" s="2681"/>
      <c r="B27" s="2953" t="str">
        <f>Data!B1225</f>
        <v>MEDIUM</v>
      </c>
      <c r="C27" s="2953" t="str">
        <f>Data!C1225</f>
        <v>MD GK 125 GSM</v>
      </c>
      <c r="D27" s="2953" t="str">
        <f>Data!D1225</f>
        <v>THUAN AN</v>
      </c>
      <c r="E27" s="2953" t="str">
        <f>Data!E1225</f>
        <v>THUAN AN - MD GK 125 GSM</v>
      </c>
      <c r="F27" s="2953" t="str">
        <f>Data!F1225</f>
        <v>Ben Cat-Binh Duong</v>
      </c>
      <c r="G27" s="3105">
        <f>Data!G1225</f>
        <v>10200000</v>
      </c>
      <c r="H27" s="3105">
        <f>Data!H1225</f>
        <v>666666.66666666663</v>
      </c>
      <c r="I27" s="3105">
        <f>Data!I1225</f>
        <v>10867</v>
      </c>
      <c r="J27" s="2953" t="str">
        <f>Data!J1225</f>
        <v>Under 15MT, exclude transportation</v>
      </c>
      <c r="K27" s="2723"/>
    </row>
    <row r="28" spans="1:26" ht="38.25">
      <c r="A28" s="2681"/>
      <c r="B28" s="2953" t="str">
        <f>Data!B1226</f>
        <v>MEDIUM</v>
      </c>
      <c r="C28" s="2953" t="str">
        <f>Data!C1226</f>
        <v>MD GK 100 GSM</v>
      </c>
      <c r="D28" s="2953" t="str">
        <f>Data!D1226</f>
        <v>CHENG LOONG</v>
      </c>
      <c r="E28" s="2953" t="str">
        <f>Data!E1226</f>
        <v>CHENG LOONG - MD GK 100 GSM</v>
      </c>
      <c r="F28" s="2953" t="str">
        <f>Data!F1226</f>
        <v>Ben Cat-Binh Duong</v>
      </c>
      <c r="G28" s="3105">
        <f>Data!G1226</f>
        <v>10700000</v>
      </c>
      <c r="H28" s="3105">
        <f>Data!H1226</f>
        <v>666666.66666666663</v>
      </c>
      <c r="I28" s="3105">
        <f>Data!I1226</f>
        <v>11367</v>
      </c>
      <c r="J28" s="2953" t="str">
        <f>Data!J1226</f>
        <v>Under 15MT, exclude transportation</v>
      </c>
      <c r="K28" s="2723"/>
      <c r="M28" s="403" t="s">
        <v>2887</v>
      </c>
    </row>
    <row r="29" spans="1:26">
      <c r="A29" s="2682"/>
      <c r="K29" s="2683"/>
      <c r="M29" s="403" t="s">
        <v>2888</v>
      </c>
    </row>
    <row r="30" spans="1:26">
      <c r="K30" s="2683"/>
      <c r="M30" s="403" t="s">
        <v>2889</v>
      </c>
    </row>
    <row r="31" spans="1:26" ht="38.25">
      <c r="B31" s="2725" t="s">
        <v>725</v>
      </c>
      <c r="C31" s="2725" t="s">
        <v>726</v>
      </c>
      <c r="K31" s="2683"/>
      <c r="M31" s="403" t="s">
        <v>2890</v>
      </c>
    </row>
    <row r="32" spans="1:26">
      <c r="B32" s="2726" t="s">
        <v>2394</v>
      </c>
      <c r="C32" s="2727">
        <f>4097000/2</f>
        <v>2048500</v>
      </c>
      <c r="K32" s="2683"/>
      <c r="M32" s="403" t="s">
        <v>2891</v>
      </c>
    </row>
    <row r="33" spans="2:13" ht="38.25">
      <c r="B33" s="2728" t="s">
        <v>695</v>
      </c>
      <c r="C33" s="2728">
        <f>'Sum local charge July.19'!$D$87/2</f>
        <v>0</v>
      </c>
      <c r="K33" s="2683"/>
      <c r="M33" s="402" t="s">
        <v>1550</v>
      </c>
    </row>
    <row r="34" spans="2:13" ht="38.25">
      <c r="B34" s="2728" t="s">
        <v>710</v>
      </c>
      <c r="C34" s="2728">
        <f>'Sum local charge July.19'!$D$87/2</f>
        <v>0</v>
      </c>
      <c r="K34" s="2683"/>
      <c r="M34" s="402" t="s">
        <v>1551</v>
      </c>
    </row>
    <row r="35" spans="2:13" ht="51">
      <c r="B35" s="2728" t="s">
        <v>714</v>
      </c>
      <c r="C35" s="2728">
        <f>'Sum local charge July.19'!$D$95/2</f>
        <v>580000</v>
      </c>
      <c r="K35" s="2683"/>
      <c r="M35" s="402" t="s">
        <v>1552</v>
      </c>
    </row>
    <row r="36" spans="2:13" ht="38.25">
      <c r="B36" s="2728" t="s">
        <v>718</v>
      </c>
      <c r="C36" s="2728">
        <f>'Sum local charge July.19'!$D$101/2</f>
        <v>470000</v>
      </c>
      <c r="M36" s="402" t="s">
        <v>1553</v>
      </c>
    </row>
    <row r="37" spans="2:13" ht="38.25">
      <c r="B37" s="2728" t="s">
        <v>722</v>
      </c>
      <c r="C37" s="2728">
        <f>C33</f>
        <v>0</v>
      </c>
      <c r="M37" s="402" t="s">
        <v>1554</v>
      </c>
    </row>
  </sheetData>
  <mergeCells count="13">
    <mergeCell ref="P10:R10"/>
    <mergeCell ref="G1:G2"/>
    <mergeCell ref="H1:H2"/>
    <mergeCell ref="I1:I2"/>
    <mergeCell ref="J1:J2"/>
    <mergeCell ref="P8:R8"/>
    <mergeCell ref="P9:R9"/>
    <mergeCell ref="F1:F2"/>
    <mergeCell ref="A1:A2"/>
    <mergeCell ref="B1:B2"/>
    <mergeCell ref="C1:C2"/>
    <mergeCell ref="D1:D2"/>
    <mergeCell ref="E1:E2"/>
  </mergeCells>
  <dataValidations count="4">
    <dataValidation type="list" allowBlank="1" showInputMessage="1" showErrorMessage="1" sqref="Q3" xr:uid="{C158260E-BBDA-4F4F-8EF2-DB134A2997A5}">
      <formula1>$M$2:$M$5</formula1>
    </dataValidation>
    <dataValidation type="list" allowBlank="1" showInputMessage="1" showErrorMessage="1" sqref="O11" xr:uid="{90BAAB42-A948-4C50-9D82-6F21546892B2}">
      <formula1>"Y, N"</formula1>
    </dataValidation>
    <dataValidation type="list" allowBlank="1" showInputMessage="1" showErrorMessage="1" sqref="P9:R9" xr:uid="{D297922B-A28C-4CB0-9EE5-D059051BE83E}">
      <formula1>$E$3:$E$17</formula1>
    </dataValidation>
    <dataValidation type="list" allowBlank="1" showInputMessage="1" showErrorMessage="1" sqref="P10:R10" xr:uid="{1AD18E84-CB59-438C-A4E5-08E1BF36A368}">
      <formula1>$E$18:$E$28</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1F85F-6CE0-46E4-A63A-729E4C40F301}">
  <sheetPr codeName="Sheet42"/>
  <dimension ref="B1:Z50"/>
  <sheetViews>
    <sheetView zoomScale="70" zoomScaleNormal="70" workbookViewId="0"/>
  </sheetViews>
  <sheetFormatPr defaultRowHeight="21.75"/>
  <cols>
    <col min="3" max="3" width="32" customWidth="1"/>
    <col min="4" max="4" width="45.5703125" customWidth="1"/>
    <col min="7" max="7" width="14" customWidth="1"/>
    <col min="8" max="8" width="22" customWidth="1"/>
    <col min="25" max="26" width="8.85546875" style="3597"/>
  </cols>
  <sheetData>
    <row r="1" spans="2:26">
      <c r="B1">
        <v>1</v>
      </c>
      <c r="D1" s="3592"/>
      <c r="E1" s="3592" t="s">
        <v>3632</v>
      </c>
      <c r="F1" s="3592" t="s">
        <v>3633</v>
      </c>
      <c r="G1" s="3592" t="s">
        <v>3634</v>
      </c>
      <c r="H1" s="3592" t="s">
        <v>1203</v>
      </c>
      <c r="I1" s="3593" t="s">
        <v>194</v>
      </c>
      <c r="R1">
        <f ca="1">COUNTIFS($U$1:U1,"A")</f>
        <v>1</v>
      </c>
      <c r="S1" t="str">
        <f ca="1">OFFSET(input!$E$27,T1,0)</f>
        <v>OPV-CX0186 Water base</v>
      </c>
      <c r="T1">
        <v>0</v>
      </c>
      <c r="U1" t="str">
        <f ca="1">IF(S1="None","B","A")</f>
        <v>A</v>
      </c>
      <c r="V1">
        <f ca="1">VLOOKUP(S1,D:E,2,0)</f>
        <v>1</v>
      </c>
      <c r="W1">
        <f ca="1">VLOOKUP(S1,D:F,3,0)</f>
        <v>0</v>
      </c>
      <c r="X1" t="str">
        <f ca="1">OFFSET(input!$A$25,T1,0)</f>
        <v>Box</v>
      </c>
      <c r="Y1" s="3597" t="str">
        <f ca="1">IFERROR(IF(V1=1,OFFSET(input!$A$25,T1,0),"N"),"N")</f>
        <v>Box</v>
      </c>
      <c r="Z1" s="3597" t="str">
        <f ca="1">IFERROR(IF(W1=1,OFFSET(input!$A$25,T1,0),"N"),"N")</f>
        <v>N</v>
      </c>
    </row>
    <row r="2" spans="2:26">
      <c r="B2">
        <f>B1+1</f>
        <v>2</v>
      </c>
      <c r="C2" t="s">
        <v>3635</v>
      </c>
      <c r="D2" s="3592" t="s">
        <v>2255</v>
      </c>
      <c r="E2" s="3592"/>
      <c r="F2" s="3592"/>
      <c r="G2" s="3592">
        <v>1</v>
      </c>
      <c r="H2" s="3592"/>
      <c r="I2" s="3592"/>
      <c r="R2">
        <f ca="1">COUNTIFS($U$1:U2,"A")</f>
        <v>1</v>
      </c>
      <c r="S2" t="str">
        <f ca="1">OFFSET(input!$E$28,T2,0)</f>
        <v>None</v>
      </c>
      <c r="T2">
        <v>0</v>
      </c>
      <c r="U2" t="str">
        <f t="shared" ref="U2:U50" ca="1" si="0">IF(S2="None","B","A")</f>
        <v>B</v>
      </c>
      <c r="V2" t="e">
        <f t="shared" ref="V2:V50" ca="1" si="1">VLOOKUP(S2,D:E,2,0)</f>
        <v>#N/A</v>
      </c>
      <c r="W2" t="e">
        <f t="shared" ref="W2:W50" ca="1" si="2">VLOOKUP(S2,D:F,3,0)</f>
        <v>#N/A</v>
      </c>
      <c r="X2" t="str">
        <f ca="1">OFFSET(input!$A$25,T2,0)</f>
        <v>Box</v>
      </c>
      <c r="Y2" s="3597" t="str">
        <f ca="1">IFERROR(IF(V2=1,OFFSET(input!$A$25,T2,0),"N"),"N")</f>
        <v>N</v>
      </c>
      <c r="Z2" s="3597" t="str">
        <f ca="1">IFERROR(IF(W2=1,OFFSET(input!$A$25,T2,0),"N"),"N")</f>
        <v>N</v>
      </c>
    </row>
    <row r="3" spans="2:26" s="3595" customFormat="1">
      <c r="B3">
        <f t="shared" ref="B3:B39" si="3">B2+1</f>
        <v>3</v>
      </c>
      <c r="C3" t="s">
        <v>3635</v>
      </c>
      <c r="D3" s="3594" t="s">
        <v>1890</v>
      </c>
      <c r="E3" s="3594"/>
      <c r="F3" s="3594"/>
      <c r="G3" s="3594"/>
      <c r="H3" s="3594"/>
      <c r="I3" s="3594"/>
      <c r="J3" s="3595" t="s">
        <v>3484</v>
      </c>
      <c r="R3">
        <f ca="1">COUNTIFS($U$1:U3,"A")</f>
        <v>1</v>
      </c>
      <c r="S3" t="str">
        <f ca="1">OFFSET(input!$E$29,T3,0)</f>
        <v>None</v>
      </c>
      <c r="T3">
        <v>0</v>
      </c>
      <c r="U3" t="str">
        <f t="shared" ca="1" si="0"/>
        <v>B</v>
      </c>
      <c r="V3" t="e">
        <f t="shared" ca="1" si="1"/>
        <v>#N/A</v>
      </c>
      <c r="W3" t="e">
        <f t="shared" ca="1" si="2"/>
        <v>#N/A</v>
      </c>
      <c r="X3" t="str">
        <f ca="1">OFFSET(input!$A$25,T3,0)</f>
        <v>Box</v>
      </c>
      <c r="Y3" s="3597" t="str">
        <f ca="1">IFERROR(IF(V3=1,OFFSET(input!$A$25,T3,0),"N"),"N")</f>
        <v>N</v>
      </c>
      <c r="Z3" s="3597" t="str">
        <f ca="1">IFERROR(IF(W3=1,OFFSET(input!$A$25,T3,0),"N"),"N")</f>
        <v>N</v>
      </c>
    </row>
    <row r="4" spans="2:26">
      <c r="B4">
        <f t="shared" si="3"/>
        <v>4</v>
      </c>
      <c r="C4" t="s">
        <v>3635</v>
      </c>
      <c r="D4" s="3592" t="s">
        <v>959</v>
      </c>
      <c r="E4" s="3592"/>
      <c r="F4" s="3592">
        <v>1</v>
      </c>
      <c r="G4" s="3592"/>
      <c r="H4" s="3592"/>
      <c r="I4" s="3592"/>
      <c r="R4">
        <f ca="1">COUNTIFS($U$1:U4,"A")</f>
        <v>1</v>
      </c>
      <c r="S4" t="str">
        <f ca="1">OFFSET(input!$E$30,T4,0)</f>
        <v>None</v>
      </c>
      <c r="T4">
        <v>0</v>
      </c>
      <c r="U4" t="str">
        <f t="shared" ca="1" si="0"/>
        <v>B</v>
      </c>
      <c r="V4" t="e">
        <f t="shared" ca="1" si="1"/>
        <v>#N/A</v>
      </c>
      <c r="W4" t="e">
        <f t="shared" ca="1" si="2"/>
        <v>#N/A</v>
      </c>
      <c r="X4" t="str">
        <f ca="1">OFFSET(input!$A$25,T4,0)</f>
        <v>Box</v>
      </c>
      <c r="Y4" s="3597" t="str">
        <f ca="1">IFERROR(IF(V4=1,OFFSET(input!$A$25,T4,0),"N"),"N")</f>
        <v>N</v>
      </c>
      <c r="Z4" s="3597" t="str">
        <f ca="1">IFERROR(IF(W4=1,OFFSET(input!$A$25,T4,0),"N"),"N")</f>
        <v>N</v>
      </c>
    </row>
    <row r="5" spans="2:26">
      <c r="B5">
        <f t="shared" si="3"/>
        <v>5</v>
      </c>
      <c r="C5" t="s">
        <v>3635</v>
      </c>
      <c r="D5" s="3592" t="s">
        <v>967</v>
      </c>
      <c r="E5" s="3592"/>
      <c r="F5" s="3592">
        <v>1</v>
      </c>
      <c r="G5" s="3592"/>
      <c r="H5" s="3592"/>
      <c r="I5" s="3592"/>
      <c r="R5">
        <f ca="1">COUNTIFS($U$1:U5,"A")</f>
        <v>1</v>
      </c>
      <c r="S5" t="str">
        <f ca="1">OFFSET(input!$E$31,T5,0)</f>
        <v>None</v>
      </c>
      <c r="T5">
        <v>0</v>
      </c>
      <c r="U5" t="str">
        <f t="shared" ca="1" si="0"/>
        <v>B</v>
      </c>
      <c r="V5" t="e">
        <f t="shared" ca="1" si="1"/>
        <v>#N/A</v>
      </c>
      <c r="W5" t="e">
        <f t="shared" ca="1" si="2"/>
        <v>#N/A</v>
      </c>
      <c r="X5" t="str">
        <f ca="1">OFFSET(input!$A$25,T5,0)</f>
        <v>Box</v>
      </c>
      <c r="Y5" s="3597" t="str">
        <f ca="1">IFERROR(IF(V5=1,OFFSET(input!$A$25,T5,0),"N"),"N")</f>
        <v>N</v>
      </c>
      <c r="Z5" s="3597" t="str">
        <f ca="1">IFERROR(IF(W5=1,OFFSET(input!$A$25,T5,0),"N"),"N")</f>
        <v>N</v>
      </c>
    </row>
    <row r="6" spans="2:26">
      <c r="B6">
        <f t="shared" si="3"/>
        <v>6</v>
      </c>
      <c r="C6" t="s">
        <v>3635</v>
      </c>
      <c r="D6" s="3592" t="s">
        <v>1895</v>
      </c>
      <c r="E6" s="3592"/>
      <c r="F6" s="3592">
        <v>1</v>
      </c>
      <c r="G6" s="3592"/>
      <c r="H6" s="3592"/>
      <c r="I6" s="3592"/>
      <c r="R6">
        <f ca="1">COUNTIFS($U$1:U6,"A")</f>
        <v>1</v>
      </c>
      <c r="S6" t="str">
        <f ca="1">OFFSET(input!$E$27,T6,0)</f>
        <v>None</v>
      </c>
      <c r="T6">
        <f>T1+17</f>
        <v>17</v>
      </c>
      <c r="U6" t="str">
        <f t="shared" ca="1" si="0"/>
        <v>B</v>
      </c>
      <c r="V6" t="e">
        <f t="shared" ca="1" si="1"/>
        <v>#N/A</v>
      </c>
      <c r="W6" t="e">
        <f t="shared" ca="1" si="2"/>
        <v>#N/A</v>
      </c>
      <c r="X6" t="str">
        <f ca="1">OFFSET(input!$A$25,T6,0)</f>
        <v>N</v>
      </c>
      <c r="Y6" s="3597" t="str">
        <f ca="1">IFERROR(IF(V6=1,OFFSET(input!$A$25,T6,0),"N"),"N")</f>
        <v>N</v>
      </c>
      <c r="Z6" s="3597" t="str">
        <f ca="1">IFERROR(IF(W6=1,OFFSET(input!$A$25,T6,0),"N"),"N")</f>
        <v>N</v>
      </c>
    </row>
    <row r="7" spans="2:26">
      <c r="B7">
        <f t="shared" si="3"/>
        <v>7</v>
      </c>
      <c r="C7" t="s">
        <v>3635</v>
      </c>
      <c r="D7" s="3592" t="s">
        <v>1897</v>
      </c>
      <c r="E7" s="3592"/>
      <c r="F7" s="3592">
        <v>1</v>
      </c>
      <c r="G7" s="3592"/>
      <c r="H7" s="3592"/>
      <c r="I7" s="3592"/>
      <c r="R7">
        <f ca="1">COUNTIFS($U$1:U7,"A")</f>
        <v>1</v>
      </c>
      <c r="S7" t="str">
        <f ca="1">OFFSET(input!$E$28,T7,0)</f>
        <v>None</v>
      </c>
      <c r="T7">
        <f>T6</f>
        <v>17</v>
      </c>
      <c r="U7" t="str">
        <f t="shared" ca="1" si="0"/>
        <v>B</v>
      </c>
      <c r="V7" t="e">
        <f t="shared" ca="1" si="1"/>
        <v>#N/A</v>
      </c>
      <c r="W7" t="e">
        <f t="shared" ca="1" si="2"/>
        <v>#N/A</v>
      </c>
      <c r="X7" t="str">
        <f ca="1">OFFSET(input!$A$25,T7,0)</f>
        <v>N</v>
      </c>
      <c r="Y7" s="3597" t="str">
        <f ca="1">IFERROR(IF(V7=1,OFFSET(input!$A$25,T7,0),"N"),"N")</f>
        <v>N</v>
      </c>
      <c r="Z7" s="3597" t="str">
        <f ca="1">IFERROR(IF(W7=1,OFFSET(input!$A$25,T7,0),"N"),"N")</f>
        <v>N</v>
      </c>
    </row>
    <row r="8" spans="2:26">
      <c r="B8">
        <f t="shared" si="3"/>
        <v>8</v>
      </c>
      <c r="C8" t="s">
        <v>3635</v>
      </c>
      <c r="D8" s="3592" t="s">
        <v>1894</v>
      </c>
      <c r="E8" s="3592">
        <v>1</v>
      </c>
      <c r="F8" s="3592"/>
      <c r="G8" s="3592"/>
      <c r="H8" s="3592"/>
      <c r="I8" s="3592"/>
      <c r="R8">
        <f ca="1">COUNTIFS($U$1:U8,"A")</f>
        <v>1</v>
      </c>
      <c r="S8" t="str">
        <f ca="1">OFFSET(input!$E$29,T8,0)</f>
        <v>None</v>
      </c>
      <c r="T8">
        <f t="shared" ref="T8:T10" si="4">T7</f>
        <v>17</v>
      </c>
      <c r="U8" t="str">
        <f t="shared" ca="1" si="0"/>
        <v>B</v>
      </c>
      <c r="V8" t="e">
        <f t="shared" ca="1" si="1"/>
        <v>#N/A</v>
      </c>
      <c r="W8" t="e">
        <f t="shared" ca="1" si="2"/>
        <v>#N/A</v>
      </c>
      <c r="X8" t="str">
        <f ca="1">OFFSET(input!$A$25,T8,0)</f>
        <v>N</v>
      </c>
      <c r="Y8" s="3597" t="str">
        <f ca="1">IFERROR(IF(V8=1,OFFSET(input!$A$25,T8,0),"N"),"N")</f>
        <v>N</v>
      </c>
      <c r="Z8" s="3597" t="str">
        <f ca="1">IFERROR(IF(W8=1,OFFSET(input!$A$25,T8,0),"N"),"N")</f>
        <v>N</v>
      </c>
    </row>
    <row r="9" spans="2:26">
      <c r="B9">
        <f t="shared" si="3"/>
        <v>9</v>
      </c>
      <c r="C9" t="s">
        <v>3635</v>
      </c>
      <c r="D9" s="3592" t="s">
        <v>1893</v>
      </c>
      <c r="E9" s="3592">
        <v>1</v>
      </c>
      <c r="F9" s="3592"/>
      <c r="G9" s="3592"/>
      <c r="H9" s="3592"/>
      <c r="I9" s="3592"/>
      <c r="R9">
        <f ca="1">COUNTIFS($U$1:U9,"A")</f>
        <v>1</v>
      </c>
      <c r="S9" t="str">
        <f ca="1">OFFSET(input!$E$30,T9,0)</f>
        <v>None</v>
      </c>
      <c r="T9">
        <f t="shared" si="4"/>
        <v>17</v>
      </c>
      <c r="U9" t="str">
        <f t="shared" ca="1" si="0"/>
        <v>B</v>
      </c>
      <c r="V9" t="e">
        <f t="shared" ca="1" si="1"/>
        <v>#N/A</v>
      </c>
      <c r="W9" t="e">
        <f t="shared" ca="1" si="2"/>
        <v>#N/A</v>
      </c>
      <c r="X9" t="str">
        <f ca="1">OFFSET(input!$A$25,T9,0)</f>
        <v>N</v>
      </c>
      <c r="Y9" s="3597" t="str">
        <f ca="1">IFERROR(IF(V9=1,OFFSET(input!$A$25,T9,0),"N"),"N")</f>
        <v>N</v>
      </c>
      <c r="Z9" s="3597" t="str">
        <f ca="1">IFERROR(IF(W9=1,OFFSET(input!$A$25,T9,0),"N"),"N")</f>
        <v>N</v>
      </c>
    </row>
    <row r="10" spans="2:26">
      <c r="B10">
        <f t="shared" si="3"/>
        <v>10</v>
      </c>
      <c r="C10" t="s">
        <v>3635</v>
      </c>
      <c r="D10" s="3592" t="s">
        <v>1891</v>
      </c>
      <c r="E10" s="3592">
        <v>1</v>
      </c>
      <c r="F10" s="3592"/>
      <c r="G10" s="3592"/>
      <c r="H10" s="3592"/>
      <c r="I10" s="3592"/>
      <c r="R10">
        <f ca="1">COUNTIFS($U$1:U10,"A")</f>
        <v>1</v>
      </c>
      <c r="S10" t="str">
        <f ca="1">OFFSET(input!$E$31,T10,0)</f>
        <v>None</v>
      </c>
      <c r="T10">
        <f t="shared" si="4"/>
        <v>17</v>
      </c>
      <c r="U10" t="str">
        <f t="shared" ca="1" si="0"/>
        <v>B</v>
      </c>
      <c r="V10" t="e">
        <f t="shared" ca="1" si="1"/>
        <v>#N/A</v>
      </c>
      <c r="W10" t="e">
        <f t="shared" ca="1" si="2"/>
        <v>#N/A</v>
      </c>
      <c r="X10" t="str">
        <f ca="1">OFFSET(input!$A$25,T10,0)</f>
        <v>N</v>
      </c>
      <c r="Y10" s="3597" t="str">
        <f ca="1">IFERROR(IF(V10=1,OFFSET(input!$A$25,T10,0),"N"),"N")</f>
        <v>N</v>
      </c>
      <c r="Z10" s="3597" t="str">
        <f ca="1">IFERROR(IF(W10=1,OFFSET(input!$A$25,T10,0),"N"),"N")</f>
        <v>N</v>
      </c>
    </row>
    <row r="11" spans="2:26">
      <c r="B11">
        <f t="shared" si="3"/>
        <v>11</v>
      </c>
      <c r="C11" t="s">
        <v>3635</v>
      </c>
      <c r="D11" s="3592" t="s">
        <v>1123</v>
      </c>
      <c r="E11" s="3592">
        <v>1</v>
      </c>
      <c r="F11" s="3592"/>
      <c r="G11" s="3592"/>
      <c r="H11" s="3592"/>
      <c r="I11" s="3592"/>
      <c r="R11">
        <f ca="1">COUNTIFS($U$1:U11,"A")</f>
        <v>1</v>
      </c>
      <c r="S11" t="str">
        <f ca="1">OFFSET(input!$E$27,T11,0)</f>
        <v>None</v>
      </c>
      <c r="T11">
        <f>T6+17</f>
        <v>34</v>
      </c>
      <c r="U11" t="str">
        <f t="shared" ca="1" si="0"/>
        <v>B</v>
      </c>
      <c r="V11" t="e">
        <f t="shared" ca="1" si="1"/>
        <v>#N/A</v>
      </c>
      <c r="W11" t="e">
        <f t="shared" ca="1" si="2"/>
        <v>#N/A</v>
      </c>
      <c r="X11" t="str">
        <f ca="1">OFFSET(input!$A$25,T11,0)</f>
        <v>N</v>
      </c>
      <c r="Y11" s="3597" t="str">
        <f ca="1">IFERROR(IF(V11=1,OFFSET(input!$A$25,T11,0),"N"),"N")</f>
        <v>N</v>
      </c>
      <c r="Z11" s="3597" t="str">
        <f ca="1">IFERROR(IF(W11=1,OFFSET(input!$A$25,T11,0),"N"),"N")</f>
        <v>N</v>
      </c>
    </row>
    <row r="12" spans="2:26">
      <c r="B12">
        <f t="shared" si="3"/>
        <v>12</v>
      </c>
      <c r="C12" t="s">
        <v>3635</v>
      </c>
      <c r="D12" s="3592" t="s">
        <v>1124</v>
      </c>
      <c r="E12" s="3592">
        <v>1</v>
      </c>
      <c r="F12" s="3592"/>
      <c r="G12" s="3592"/>
      <c r="H12" s="3592"/>
      <c r="I12" s="3592"/>
      <c r="R12">
        <f ca="1">COUNTIFS($U$1:U12,"A")</f>
        <v>1</v>
      </c>
      <c r="S12" t="str">
        <f ca="1">OFFSET(input!$E$28,T12,0)</f>
        <v>None</v>
      </c>
      <c r="T12">
        <f>T11</f>
        <v>34</v>
      </c>
      <c r="U12" t="str">
        <f t="shared" ca="1" si="0"/>
        <v>B</v>
      </c>
      <c r="V12" t="e">
        <f t="shared" ca="1" si="1"/>
        <v>#N/A</v>
      </c>
      <c r="W12" t="e">
        <f t="shared" ca="1" si="2"/>
        <v>#N/A</v>
      </c>
      <c r="X12" t="str">
        <f ca="1">OFFSET(input!$A$25,T12,0)</f>
        <v>N</v>
      </c>
      <c r="Y12" s="3597" t="str">
        <f ca="1">IFERROR(IF(V12=1,OFFSET(input!$A$25,T12,0),"N"),"N")</f>
        <v>N</v>
      </c>
      <c r="Z12" s="3597" t="str">
        <f ca="1">IFERROR(IF(W12=1,OFFSET(input!$A$25,T12,0),"N"),"N")</f>
        <v>N</v>
      </c>
    </row>
    <row r="13" spans="2:26">
      <c r="B13">
        <f t="shared" si="3"/>
        <v>13</v>
      </c>
      <c r="C13" t="s">
        <v>3635</v>
      </c>
      <c r="D13" s="3592" t="s">
        <v>966</v>
      </c>
      <c r="E13" s="3592">
        <v>1</v>
      </c>
      <c r="F13" s="3592"/>
      <c r="G13" s="3592"/>
      <c r="H13" s="3592"/>
      <c r="I13" s="3592"/>
      <c r="R13">
        <f ca="1">COUNTIFS($U$1:U13,"A")</f>
        <v>1</v>
      </c>
      <c r="S13" t="str">
        <f ca="1">OFFSET(input!$E$29,T13,0)</f>
        <v>None</v>
      </c>
      <c r="T13">
        <f t="shared" ref="T13:T15" si="5">T12</f>
        <v>34</v>
      </c>
      <c r="U13" t="str">
        <f t="shared" ca="1" si="0"/>
        <v>B</v>
      </c>
      <c r="V13" t="e">
        <f t="shared" ca="1" si="1"/>
        <v>#N/A</v>
      </c>
      <c r="W13" t="e">
        <f t="shared" ca="1" si="2"/>
        <v>#N/A</v>
      </c>
      <c r="X13" t="str">
        <f ca="1">OFFSET(input!$A$25,T13,0)</f>
        <v>N</v>
      </c>
      <c r="Y13" s="3597" t="str">
        <f ca="1">IFERROR(IF(V13=1,OFFSET(input!$A$25,T13,0),"N"),"N")</f>
        <v>N</v>
      </c>
      <c r="Z13" s="3597" t="str">
        <f ca="1">IFERROR(IF(W13=1,OFFSET(input!$A$25,T13,0),"N"),"N")</f>
        <v>N</v>
      </c>
    </row>
    <row r="14" spans="2:26">
      <c r="B14">
        <f t="shared" si="3"/>
        <v>14</v>
      </c>
      <c r="C14" t="s">
        <v>3635</v>
      </c>
      <c r="D14" s="3592" t="s">
        <v>1892</v>
      </c>
      <c r="E14" s="3592">
        <v>1</v>
      </c>
      <c r="F14" s="3592"/>
      <c r="G14" s="3592"/>
      <c r="H14" s="3592"/>
      <c r="I14" s="3592"/>
      <c r="R14">
        <f ca="1">COUNTIFS($U$1:U14,"A")</f>
        <v>1</v>
      </c>
      <c r="S14" t="str">
        <f ca="1">OFFSET(input!$E$30,T14,0)</f>
        <v>None</v>
      </c>
      <c r="T14">
        <f t="shared" si="5"/>
        <v>34</v>
      </c>
      <c r="U14" t="str">
        <f t="shared" ca="1" si="0"/>
        <v>B</v>
      </c>
      <c r="V14" t="e">
        <f t="shared" ca="1" si="1"/>
        <v>#N/A</v>
      </c>
      <c r="W14" t="e">
        <f t="shared" ca="1" si="2"/>
        <v>#N/A</v>
      </c>
      <c r="X14" t="str">
        <f ca="1">OFFSET(input!$A$25,T14,0)</f>
        <v>N</v>
      </c>
      <c r="Y14" s="3597" t="str">
        <f ca="1">IFERROR(IF(V14=1,OFFSET(input!$A$25,T14,0),"N"),"N")</f>
        <v>N</v>
      </c>
      <c r="Z14" s="3597" t="str">
        <f ca="1">IFERROR(IF(W14=1,OFFSET(input!$A$25,T14,0),"N"),"N")</f>
        <v>N</v>
      </c>
    </row>
    <row r="15" spans="2:26" s="3595" customFormat="1">
      <c r="B15">
        <f t="shared" si="3"/>
        <v>15</v>
      </c>
      <c r="C15" s="3595" t="s">
        <v>3635</v>
      </c>
      <c r="D15" s="3594" t="s">
        <v>3474</v>
      </c>
      <c r="E15" s="3594"/>
      <c r="F15" s="3594"/>
      <c r="G15" s="3594"/>
      <c r="H15" s="3594"/>
      <c r="I15" s="3594"/>
      <c r="J15" s="3595" t="s">
        <v>3636</v>
      </c>
      <c r="R15">
        <f ca="1">COUNTIFS($U$1:U15,"A")</f>
        <v>1</v>
      </c>
      <c r="S15" t="str">
        <f ca="1">OFFSET(input!$E$31,T15,0)</f>
        <v>None</v>
      </c>
      <c r="T15">
        <f t="shared" si="5"/>
        <v>34</v>
      </c>
      <c r="U15" t="str">
        <f t="shared" ca="1" si="0"/>
        <v>B</v>
      </c>
      <c r="V15" t="e">
        <f t="shared" ca="1" si="1"/>
        <v>#N/A</v>
      </c>
      <c r="W15" t="e">
        <f t="shared" ca="1" si="2"/>
        <v>#N/A</v>
      </c>
      <c r="X15" t="str">
        <f ca="1">OFFSET(input!$A$25,T15,0)</f>
        <v>N</v>
      </c>
      <c r="Y15" s="3597" t="str">
        <f ca="1">IFERROR(IF(V15=1,OFFSET(input!$A$25,T15,0),"N"),"N")</f>
        <v>N</v>
      </c>
      <c r="Z15" s="3597" t="str">
        <f ca="1">IFERROR(IF(W15=1,OFFSET(input!$A$25,T15,0),"N"),"N")</f>
        <v>N</v>
      </c>
    </row>
    <row r="16" spans="2:26" s="3595" customFormat="1" ht="63" customHeight="1">
      <c r="B16">
        <f t="shared" si="3"/>
        <v>16</v>
      </c>
      <c r="C16" s="3595" t="s">
        <v>3635</v>
      </c>
      <c r="D16" s="3596" t="s">
        <v>3476</v>
      </c>
      <c r="E16" s="3594"/>
      <c r="F16" s="3594"/>
      <c r="G16" s="3594"/>
      <c r="H16" s="3594"/>
      <c r="I16" s="3594"/>
      <c r="J16" s="3595" t="s">
        <v>3636</v>
      </c>
      <c r="R16">
        <f ca="1">COUNTIFS($U$1:U16,"A")</f>
        <v>1</v>
      </c>
      <c r="S16" t="str">
        <f ca="1">OFFSET(input!$E$27,T16,0)</f>
        <v>None</v>
      </c>
      <c r="T16">
        <f>T11+17</f>
        <v>51</v>
      </c>
      <c r="U16" t="str">
        <f t="shared" ca="1" si="0"/>
        <v>B</v>
      </c>
      <c r="V16" t="e">
        <f t="shared" ca="1" si="1"/>
        <v>#N/A</v>
      </c>
      <c r="W16" t="e">
        <f t="shared" ca="1" si="2"/>
        <v>#N/A</v>
      </c>
      <c r="X16" t="str">
        <f ca="1">OFFSET(input!$A$25,T16,0)</f>
        <v>N</v>
      </c>
      <c r="Y16" s="3597" t="str">
        <f ca="1">IFERROR(IF(V16=1,OFFSET(input!$A$25,T16,0),"N"),"N")</f>
        <v>N</v>
      </c>
      <c r="Z16" s="3597" t="str">
        <f ca="1">IFERROR(IF(W16=1,OFFSET(input!$A$25,T16,0),"N"),"N")</f>
        <v>N</v>
      </c>
    </row>
    <row r="17" spans="2:26" s="3595" customFormat="1">
      <c r="B17">
        <f t="shared" si="3"/>
        <v>17</v>
      </c>
      <c r="C17" t="s">
        <v>3635</v>
      </c>
      <c r="D17" s="3594" t="s">
        <v>1754</v>
      </c>
      <c r="E17" s="3594"/>
      <c r="F17" s="3594"/>
      <c r="G17" s="3594"/>
      <c r="H17" s="3594"/>
      <c r="I17" s="3594"/>
      <c r="J17" s="3595" t="s">
        <v>3636</v>
      </c>
      <c r="R17">
        <f ca="1">COUNTIFS($U$1:U17,"A")</f>
        <v>1</v>
      </c>
      <c r="S17" t="str">
        <f ca="1">OFFSET(input!$E$28,T17,0)</f>
        <v>None</v>
      </c>
      <c r="T17">
        <f>T16</f>
        <v>51</v>
      </c>
      <c r="U17" t="str">
        <f t="shared" ca="1" si="0"/>
        <v>B</v>
      </c>
      <c r="V17" t="e">
        <f t="shared" ca="1" si="1"/>
        <v>#N/A</v>
      </c>
      <c r="W17" t="e">
        <f t="shared" ca="1" si="2"/>
        <v>#N/A</v>
      </c>
      <c r="X17" t="str">
        <f ca="1">OFFSET(input!$A$25,T17,0)</f>
        <v>N</v>
      </c>
      <c r="Y17" s="3597" t="str">
        <f ca="1">IFERROR(IF(V17=1,OFFSET(input!$A$25,T17,0),"N"),"N")</f>
        <v>N</v>
      </c>
      <c r="Z17" s="3597" t="str">
        <f ca="1">IFERROR(IF(W17=1,OFFSET(input!$A$25,T17,0),"N"),"N")</f>
        <v>N</v>
      </c>
    </row>
    <row r="18" spans="2:26" s="3595" customFormat="1">
      <c r="B18">
        <f t="shared" si="3"/>
        <v>18</v>
      </c>
      <c r="C18" t="s">
        <v>3635</v>
      </c>
      <c r="D18" s="3594" t="s">
        <v>1755</v>
      </c>
      <c r="E18" s="3594"/>
      <c r="F18" s="3594"/>
      <c r="G18" s="3594"/>
      <c r="H18" s="3594"/>
      <c r="I18" s="3594"/>
      <c r="J18" s="3595" t="s">
        <v>3636</v>
      </c>
      <c r="R18">
        <f ca="1">COUNTIFS($U$1:U18,"A")</f>
        <v>1</v>
      </c>
      <c r="S18" t="str">
        <f ca="1">OFFSET(input!$E$29,T18,0)</f>
        <v>None</v>
      </c>
      <c r="T18">
        <f t="shared" ref="T18:T20" si="6">T17</f>
        <v>51</v>
      </c>
      <c r="U18" t="str">
        <f t="shared" ca="1" si="0"/>
        <v>B</v>
      </c>
      <c r="V18" t="e">
        <f t="shared" ca="1" si="1"/>
        <v>#N/A</v>
      </c>
      <c r="W18" t="e">
        <f t="shared" ca="1" si="2"/>
        <v>#N/A</v>
      </c>
      <c r="X18" t="str">
        <f ca="1">OFFSET(input!$A$25,T18,0)</f>
        <v>N</v>
      </c>
      <c r="Y18" s="3597" t="str">
        <f ca="1">IFERROR(IF(V18=1,OFFSET(input!$A$25,T18,0),"N"),"N")</f>
        <v>N</v>
      </c>
      <c r="Z18" s="3597" t="str">
        <f ca="1">IFERROR(IF(W18=1,OFFSET(input!$A$25,T18,0),"N"),"N")</f>
        <v>N</v>
      </c>
    </row>
    <row r="19" spans="2:26" s="3595" customFormat="1">
      <c r="B19">
        <f t="shared" si="3"/>
        <v>19</v>
      </c>
      <c r="C19" t="s">
        <v>3635</v>
      </c>
      <c r="D19" s="3594" t="s">
        <v>1756</v>
      </c>
      <c r="E19" s="3594"/>
      <c r="F19" s="3594"/>
      <c r="G19" s="3594"/>
      <c r="H19" s="3594"/>
      <c r="I19" s="3594"/>
      <c r="J19" s="3595" t="s">
        <v>3636</v>
      </c>
      <c r="R19">
        <f ca="1">COUNTIFS($U$1:U19,"A")</f>
        <v>1</v>
      </c>
      <c r="S19" t="str">
        <f ca="1">OFFSET(input!$E$30,T19,0)</f>
        <v>None</v>
      </c>
      <c r="T19">
        <f t="shared" si="6"/>
        <v>51</v>
      </c>
      <c r="U19" t="str">
        <f t="shared" ca="1" si="0"/>
        <v>B</v>
      </c>
      <c r="V19" t="e">
        <f t="shared" ca="1" si="1"/>
        <v>#N/A</v>
      </c>
      <c r="W19" t="e">
        <f t="shared" ca="1" si="2"/>
        <v>#N/A</v>
      </c>
      <c r="X19" t="str">
        <f ca="1">OFFSET(input!$A$25,T19,0)</f>
        <v>N</v>
      </c>
      <c r="Y19" s="3597" t="str">
        <f ca="1">IFERROR(IF(V19=1,OFFSET(input!$A$25,T19,0),"N"),"N")</f>
        <v>N</v>
      </c>
      <c r="Z19" s="3597" t="str">
        <f ca="1">IFERROR(IF(W19=1,OFFSET(input!$A$25,T19,0),"N"),"N")</f>
        <v>N</v>
      </c>
    </row>
    <row r="20" spans="2:26">
      <c r="B20">
        <f t="shared" si="3"/>
        <v>20</v>
      </c>
      <c r="C20" t="s">
        <v>3635</v>
      </c>
      <c r="D20" s="3592" t="s">
        <v>1115</v>
      </c>
      <c r="E20" s="3592"/>
      <c r="F20" s="3592">
        <v>1</v>
      </c>
      <c r="G20" s="3592"/>
      <c r="H20" s="3592"/>
      <c r="I20" s="3592"/>
      <c r="R20">
        <f ca="1">COUNTIFS($U$1:U20,"A")</f>
        <v>1</v>
      </c>
      <c r="S20" t="str">
        <f ca="1">OFFSET(input!$E$31,T20,0)</f>
        <v>None</v>
      </c>
      <c r="T20">
        <f t="shared" si="6"/>
        <v>51</v>
      </c>
      <c r="U20" t="str">
        <f t="shared" ca="1" si="0"/>
        <v>B</v>
      </c>
      <c r="V20" t="e">
        <f t="shared" ca="1" si="1"/>
        <v>#N/A</v>
      </c>
      <c r="W20" t="e">
        <f t="shared" ca="1" si="2"/>
        <v>#N/A</v>
      </c>
      <c r="X20" t="str">
        <f ca="1">OFFSET(input!$A$25,T20,0)</f>
        <v>N</v>
      </c>
      <c r="Y20" s="3597" t="str">
        <f ca="1">IFERROR(IF(V20=1,OFFSET(input!$A$25,T20,0),"N"),"N")</f>
        <v>N</v>
      </c>
      <c r="Z20" s="3597" t="str">
        <f ca="1">IFERROR(IF(W20=1,OFFSET(input!$A$25,T20,0),"N"),"N")</f>
        <v>N</v>
      </c>
    </row>
    <row r="21" spans="2:26">
      <c r="B21">
        <f t="shared" si="3"/>
        <v>21</v>
      </c>
      <c r="C21" t="s">
        <v>3635</v>
      </c>
      <c r="D21" s="3592" t="s">
        <v>651</v>
      </c>
      <c r="E21" s="3592">
        <v>1</v>
      </c>
      <c r="F21" s="3592"/>
      <c r="G21" s="3592"/>
      <c r="H21" s="3592"/>
      <c r="I21" s="3592"/>
      <c r="R21">
        <f ca="1">COUNTIFS($U$1:U21,"A")</f>
        <v>1</v>
      </c>
      <c r="S21" t="str">
        <f ca="1">OFFSET(input!$E$27,T21,0)</f>
        <v>None</v>
      </c>
      <c r="T21">
        <f>T16+17</f>
        <v>68</v>
      </c>
      <c r="U21" t="str">
        <f t="shared" ca="1" si="0"/>
        <v>B</v>
      </c>
      <c r="V21" t="e">
        <f t="shared" ca="1" si="1"/>
        <v>#N/A</v>
      </c>
      <c r="W21" t="e">
        <f t="shared" ca="1" si="2"/>
        <v>#N/A</v>
      </c>
      <c r="X21" t="str">
        <f ca="1">OFFSET(input!$A$25,T21,0)</f>
        <v>N</v>
      </c>
      <c r="Y21" s="3597" t="str">
        <f ca="1">IFERROR(IF(V21=1,OFFSET(input!$A$25,T21,0),"N"),"N")</f>
        <v>N</v>
      </c>
      <c r="Z21" s="3597" t="str">
        <f ca="1">IFERROR(IF(W21=1,OFFSET(input!$A$25,T21,0),"N"),"N")</f>
        <v>N</v>
      </c>
    </row>
    <row r="22" spans="2:26">
      <c r="B22">
        <f t="shared" si="3"/>
        <v>22</v>
      </c>
      <c r="C22" t="s">
        <v>3635</v>
      </c>
      <c r="D22" s="3592" t="s">
        <v>3010</v>
      </c>
      <c r="E22" s="3592"/>
      <c r="F22" s="3592">
        <v>1</v>
      </c>
      <c r="G22" s="3592"/>
      <c r="H22" s="3592"/>
      <c r="I22" s="3592"/>
      <c r="R22">
        <f ca="1">COUNTIFS($U$1:U22,"A")</f>
        <v>1</v>
      </c>
      <c r="S22" t="str">
        <f ca="1">OFFSET(input!$E$28,T22,0)</f>
        <v>None</v>
      </c>
      <c r="T22">
        <f>T21</f>
        <v>68</v>
      </c>
      <c r="U22" t="str">
        <f t="shared" ca="1" si="0"/>
        <v>B</v>
      </c>
      <c r="V22" t="e">
        <f t="shared" ca="1" si="1"/>
        <v>#N/A</v>
      </c>
      <c r="W22" t="e">
        <f t="shared" ca="1" si="2"/>
        <v>#N/A</v>
      </c>
      <c r="X22" t="str">
        <f ca="1">OFFSET(input!$A$25,T22,0)</f>
        <v>N</v>
      </c>
      <c r="Y22" s="3597" t="str">
        <f ca="1">IFERROR(IF(V22=1,OFFSET(input!$A$25,T22,0),"N"),"N")</f>
        <v>N</v>
      </c>
      <c r="Z22" s="3597" t="str">
        <f ca="1">IFERROR(IF(W22=1,OFFSET(input!$A$25,T22,0),"N"),"N")</f>
        <v>N</v>
      </c>
    </row>
    <row r="23" spans="2:26">
      <c r="B23">
        <f t="shared" si="3"/>
        <v>23</v>
      </c>
      <c r="C23" t="s">
        <v>3635</v>
      </c>
      <c r="D23" s="3592" t="s">
        <v>1272</v>
      </c>
      <c r="E23" s="3592">
        <v>1</v>
      </c>
      <c r="F23" s="3592"/>
      <c r="G23" s="3592"/>
      <c r="H23" s="3592"/>
      <c r="I23" s="3592"/>
      <c r="R23">
        <f ca="1">COUNTIFS($U$1:U23,"A")</f>
        <v>1</v>
      </c>
      <c r="S23" t="str">
        <f ca="1">OFFSET(input!$E$29,T23,0)</f>
        <v>None</v>
      </c>
      <c r="T23">
        <f t="shared" ref="T23:T25" si="7">T22</f>
        <v>68</v>
      </c>
      <c r="U23" t="str">
        <f t="shared" ca="1" si="0"/>
        <v>B</v>
      </c>
      <c r="V23" t="e">
        <f t="shared" ca="1" si="1"/>
        <v>#N/A</v>
      </c>
      <c r="W23" t="e">
        <f t="shared" ca="1" si="2"/>
        <v>#N/A</v>
      </c>
      <c r="X23" t="str">
        <f ca="1">OFFSET(input!$A$25,T23,0)</f>
        <v>N</v>
      </c>
      <c r="Y23" s="3597" t="str">
        <f ca="1">IFERROR(IF(V23=1,OFFSET(input!$A$25,T23,0),"N"),"N")</f>
        <v>N</v>
      </c>
      <c r="Z23" s="3597" t="str">
        <f ca="1">IFERROR(IF(W23=1,OFFSET(input!$A$25,T23,0),"N"),"N")</f>
        <v>N</v>
      </c>
    </row>
    <row r="24" spans="2:26">
      <c r="B24">
        <f t="shared" si="3"/>
        <v>24</v>
      </c>
      <c r="C24" t="s">
        <v>3635</v>
      </c>
      <c r="D24" s="3592" t="s">
        <v>3011</v>
      </c>
      <c r="E24" s="3592">
        <v>1</v>
      </c>
      <c r="F24" s="3592"/>
      <c r="G24" s="3592"/>
      <c r="H24" s="3592"/>
      <c r="I24" s="3592"/>
      <c r="R24">
        <f ca="1">COUNTIFS($U$1:U24,"A")</f>
        <v>1</v>
      </c>
      <c r="S24" t="str">
        <f ca="1">OFFSET(input!$E$30,T24,0)</f>
        <v>None</v>
      </c>
      <c r="T24">
        <f t="shared" si="7"/>
        <v>68</v>
      </c>
      <c r="U24" t="str">
        <f t="shared" ca="1" si="0"/>
        <v>B</v>
      </c>
      <c r="V24" t="e">
        <f t="shared" ca="1" si="1"/>
        <v>#N/A</v>
      </c>
      <c r="W24" t="e">
        <f t="shared" ca="1" si="2"/>
        <v>#N/A</v>
      </c>
      <c r="X24" t="str">
        <f ca="1">OFFSET(input!$A$25,T24,0)</f>
        <v>N</v>
      </c>
      <c r="Y24" s="3597" t="str">
        <f ca="1">IFERROR(IF(V24=1,OFFSET(input!$A$25,T24,0),"N"),"N")</f>
        <v>N</v>
      </c>
      <c r="Z24" s="3597" t="str">
        <f ca="1">IFERROR(IF(W24=1,OFFSET(input!$A$25,T24,0),"N"),"N")</f>
        <v>N</v>
      </c>
    </row>
    <row r="25" spans="2:26">
      <c r="B25">
        <f t="shared" si="3"/>
        <v>25</v>
      </c>
      <c r="C25" t="s">
        <v>3635</v>
      </c>
      <c r="D25" s="3592" t="s">
        <v>1889</v>
      </c>
      <c r="E25" s="3592">
        <v>1</v>
      </c>
      <c r="F25" s="3592"/>
      <c r="G25" s="3592"/>
      <c r="H25" s="3592"/>
      <c r="I25" s="3592"/>
      <c r="R25">
        <f ca="1">COUNTIFS($U$1:U25,"A")</f>
        <v>1</v>
      </c>
      <c r="S25" t="str">
        <f ca="1">OFFSET(input!$E$31,T25,0)</f>
        <v>None</v>
      </c>
      <c r="T25">
        <f t="shared" si="7"/>
        <v>68</v>
      </c>
      <c r="U25" t="str">
        <f t="shared" ca="1" si="0"/>
        <v>B</v>
      </c>
      <c r="V25" t="e">
        <f t="shared" ca="1" si="1"/>
        <v>#N/A</v>
      </c>
      <c r="W25" t="e">
        <f t="shared" ca="1" si="2"/>
        <v>#N/A</v>
      </c>
      <c r="X25" t="str">
        <f ca="1">OFFSET(input!$A$25,T25,0)</f>
        <v>N</v>
      </c>
      <c r="Y25" s="3597" t="str">
        <f ca="1">IFERROR(IF(V25=1,OFFSET(input!$A$25,T25,0),"N"),"N")</f>
        <v>N</v>
      </c>
      <c r="Z25" s="3597" t="str">
        <f ca="1">IFERROR(IF(W25=1,OFFSET(input!$A$25,T25,0),"N"),"N")</f>
        <v>N</v>
      </c>
    </row>
    <row r="26" spans="2:26">
      <c r="B26">
        <f t="shared" si="3"/>
        <v>26</v>
      </c>
      <c r="C26" t="s">
        <v>3635</v>
      </c>
      <c r="D26" s="3592" t="s">
        <v>2931</v>
      </c>
      <c r="E26" s="3592"/>
      <c r="F26" s="3592">
        <v>1</v>
      </c>
      <c r="G26" s="3592"/>
      <c r="H26" s="3592"/>
      <c r="I26" s="3592"/>
      <c r="R26">
        <f ca="1">COUNTIFS($U$1:U26,"A")</f>
        <v>1</v>
      </c>
      <c r="S26" t="str">
        <f ca="1">OFFSET(input!$E$27,T26,0)</f>
        <v>None</v>
      </c>
      <c r="T26">
        <f>T21+17</f>
        <v>85</v>
      </c>
      <c r="U26" t="str">
        <f t="shared" ca="1" si="0"/>
        <v>B</v>
      </c>
      <c r="V26" t="e">
        <f t="shared" ca="1" si="1"/>
        <v>#N/A</v>
      </c>
      <c r="W26" t="e">
        <f t="shared" ca="1" si="2"/>
        <v>#N/A</v>
      </c>
      <c r="X26" t="str">
        <f ca="1">OFFSET(input!$A$25,T26,0)</f>
        <v>N</v>
      </c>
      <c r="Y26" s="3597" t="str">
        <f ca="1">IFERROR(IF(V26=1,OFFSET(input!$A$25,T26,0),"N"),"N")</f>
        <v>N</v>
      </c>
      <c r="Z26" s="3597" t="str">
        <f ca="1">IFERROR(IF(W26=1,OFFSET(input!$A$25,T26,0),"N"),"N")</f>
        <v>N</v>
      </c>
    </row>
    <row r="27" spans="2:26">
      <c r="B27">
        <f t="shared" si="3"/>
        <v>27</v>
      </c>
      <c r="C27" t="s">
        <v>3635</v>
      </c>
      <c r="D27" s="3592" t="s">
        <v>1130</v>
      </c>
      <c r="E27" s="3592"/>
      <c r="F27" s="3592">
        <v>1</v>
      </c>
      <c r="G27" s="3592"/>
      <c r="H27" s="3592"/>
      <c r="I27" s="3592"/>
      <c r="R27">
        <f ca="1">COUNTIFS($U$1:U27,"A")</f>
        <v>1</v>
      </c>
      <c r="S27" t="str">
        <f ca="1">OFFSET(input!$E$28,T27,0)</f>
        <v>None</v>
      </c>
      <c r="T27">
        <f>T26</f>
        <v>85</v>
      </c>
      <c r="U27" t="str">
        <f t="shared" ca="1" si="0"/>
        <v>B</v>
      </c>
      <c r="V27" t="e">
        <f t="shared" ca="1" si="1"/>
        <v>#N/A</v>
      </c>
      <c r="W27" t="e">
        <f t="shared" ca="1" si="2"/>
        <v>#N/A</v>
      </c>
      <c r="X27" t="str">
        <f ca="1">OFFSET(input!$A$25,T27,0)</f>
        <v>N</v>
      </c>
      <c r="Y27" s="3597" t="str">
        <f ca="1">IFERROR(IF(V27=1,OFFSET(input!$A$25,T27,0),"N"),"N")</f>
        <v>N</v>
      </c>
      <c r="Z27" s="3597" t="str">
        <f ca="1">IFERROR(IF(W27=1,OFFSET(input!$A$25,T27,0),"N"),"N")</f>
        <v>N</v>
      </c>
    </row>
    <row r="28" spans="2:26">
      <c r="B28">
        <f t="shared" si="3"/>
        <v>28</v>
      </c>
      <c r="C28" t="s">
        <v>3635</v>
      </c>
      <c r="D28" s="3592" t="s">
        <v>1131</v>
      </c>
      <c r="E28" s="3592"/>
      <c r="F28" s="3592">
        <v>1</v>
      </c>
      <c r="G28" s="3592"/>
      <c r="H28" s="3592"/>
      <c r="I28" s="3592"/>
      <c r="R28">
        <f ca="1">COUNTIFS($U$1:U28,"A")</f>
        <v>1</v>
      </c>
      <c r="S28" t="str">
        <f ca="1">OFFSET(input!$E$29,T28,0)</f>
        <v>None</v>
      </c>
      <c r="T28">
        <f t="shared" ref="T28:T30" si="8">T27</f>
        <v>85</v>
      </c>
      <c r="U28" t="str">
        <f t="shared" ca="1" si="0"/>
        <v>B</v>
      </c>
      <c r="V28" t="e">
        <f t="shared" ca="1" si="1"/>
        <v>#N/A</v>
      </c>
      <c r="W28" t="e">
        <f t="shared" ca="1" si="2"/>
        <v>#N/A</v>
      </c>
      <c r="X28" t="str">
        <f ca="1">OFFSET(input!$A$25,T28,0)</f>
        <v>N</v>
      </c>
      <c r="Y28" s="3597" t="str">
        <f ca="1">IFERROR(IF(V28=1,OFFSET(input!$A$25,T28,0),"N"),"N")</f>
        <v>N</v>
      </c>
      <c r="Z28" s="3597" t="str">
        <f ca="1">IFERROR(IF(W28=1,OFFSET(input!$A$25,T28,0),"N"),"N")</f>
        <v>N</v>
      </c>
    </row>
    <row r="29" spans="2:26">
      <c r="B29">
        <f t="shared" si="3"/>
        <v>29</v>
      </c>
      <c r="C29" t="s">
        <v>3635</v>
      </c>
      <c r="D29" s="3592" t="s">
        <v>965</v>
      </c>
      <c r="E29" s="3592"/>
      <c r="F29" s="3592"/>
      <c r="G29" s="3592"/>
      <c r="H29" s="3592">
        <v>1</v>
      </c>
      <c r="I29" s="3592">
        <v>1</v>
      </c>
      <c r="R29">
        <f ca="1">COUNTIFS($U$1:U29,"A")</f>
        <v>1</v>
      </c>
      <c r="S29" t="str">
        <f ca="1">OFFSET(input!$E$30,T29,0)</f>
        <v>None</v>
      </c>
      <c r="T29">
        <f t="shared" si="8"/>
        <v>85</v>
      </c>
      <c r="U29" t="str">
        <f t="shared" ca="1" si="0"/>
        <v>B</v>
      </c>
      <c r="V29" t="e">
        <f t="shared" ca="1" si="1"/>
        <v>#N/A</v>
      </c>
      <c r="W29" t="e">
        <f t="shared" ca="1" si="2"/>
        <v>#N/A</v>
      </c>
      <c r="X29" t="str">
        <f ca="1">OFFSET(input!$A$25,T29,0)</f>
        <v>N</v>
      </c>
      <c r="Y29" s="3597" t="str">
        <f ca="1">IFERROR(IF(V29=1,OFFSET(input!$A$25,T29,0),"N"),"N")</f>
        <v>N</v>
      </c>
      <c r="Z29" s="3597" t="str">
        <f ca="1">IFERROR(IF(W29=1,OFFSET(input!$A$25,T29,0),"N"),"N")</f>
        <v>N</v>
      </c>
    </row>
    <row r="30" spans="2:26">
      <c r="B30">
        <f t="shared" si="3"/>
        <v>30</v>
      </c>
      <c r="C30" t="s">
        <v>3635</v>
      </c>
      <c r="D30" s="3592" t="s">
        <v>1113</v>
      </c>
      <c r="E30" s="3592"/>
      <c r="F30" s="3592"/>
      <c r="G30" s="3592">
        <v>1</v>
      </c>
      <c r="H30" s="3592"/>
      <c r="I30" s="3592"/>
      <c r="R30">
        <f ca="1">COUNTIFS($U$1:U30,"A")</f>
        <v>1</v>
      </c>
      <c r="S30" t="str">
        <f ca="1">OFFSET(input!$E$31,T30,0)</f>
        <v>None</v>
      </c>
      <c r="T30">
        <f t="shared" si="8"/>
        <v>85</v>
      </c>
      <c r="U30" t="str">
        <f t="shared" ca="1" si="0"/>
        <v>B</v>
      </c>
      <c r="V30" t="e">
        <f t="shared" ca="1" si="1"/>
        <v>#N/A</v>
      </c>
      <c r="W30" t="e">
        <f t="shared" ca="1" si="2"/>
        <v>#N/A</v>
      </c>
      <c r="X30" t="str">
        <f ca="1">OFFSET(input!$A$25,T30,0)</f>
        <v>N</v>
      </c>
      <c r="Y30" s="3597" t="str">
        <f ca="1">IFERROR(IF(V30=1,OFFSET(input!$A$25,T30,0),"N"),"N")</f>
        <v>N</v>
      </c>
      <c r="Z30" s="3597" t="str">
        <f ca="1">IFERROR(IF(W30=1,OFFSET(input!$A$25,T30,0),"N"),"N")</f>
        <v>N</v>
      </c>
    </row>
    <row r="31" spans="2:26">
      <c r="B31">
        <f t="shared" si="3"/>
        <v>31</v>
      </c>
      <c r="C31" t="s">
        <v>3635</v>
      </c>
      <c r="D31" s="3592" t="s">
        <v>1134</v>
      </c>
      <c r="E31" s="3592"/>
      <c r="F31" s="3592"/>
      <c r="G31" s="3592">
        <v>1</v>
      </c>
      <c r="H31" s="3592"/>
      <c r="I31" s="3592"/>
      <c r="R31">
        <f ca="1">COUNTIFS($U$1:U31,"A")</f>
        <v>1</v>
      </c>
      <c r="S31" t="str">
        <f ca="1">OFFSET(input!$E$27,T31,0)</f>
        <v>None</v>
      </c>
      <c r="T31">
        <f>T26+17</f>
        <v>102</v>
      </c>
      <c r="U31" t="str">
        <f t="shared" ca="1" si="0"/>
        <v>B</v>
      </c>
      <c r="V31" t="e">
        <f t="shared" ca="1" si="1"/>
        <v>#N/A</v>
      </c>
      <c r="W31" t="e">
        <f t="shared" ca="1" si="2"/>
        <v>#N/A</v>
      </c>
      <c r="X31" t="str">
        <f ca="1">OFFSET(input!$A$25,T31,0)</f>
        <v>N</v>
      </c>
      <c r="Y31" s="3597" t="str">
        <f ca="1">IFERROR(IF(V31=1,OFFSET(input!$A$25,T31,0),"N"),"N")</f>
        <v>N</v>
      </c>
      <c r="Z31" s="3597" t="str">
        <f ca="1">IFERROR(IF(W31=1,OFFSET(input!$A$25,T31,0),"N"),"N")</f>
        <v>N</v>
      </c>
    </row>
    <row r="32" spans="2:26">
      <c r="B32">
        <f t="shared" si="3"/>
        <v>32</v>
      </c>
      <c r="C32" t="s">
        <v>3635</v>
      </c>
      <c r="D32" s="3592" t="s">
        <v>3637</v>
      </c>
      <c r="E32" s="3592"/>
      <c r="F32" s="3592">
        <v>1</v>
      </c>
      <c r="G32" s="3592"/>
      <c r="H32" s="3592"/>
      <c r="I32" s="3592"/>
      <c r="R32">
        <f ca="1">COUNTIFS($U$1:U32,"A")</f>
        <v>1</v>
      </c>
      <c r="S32" t="str">
        <f ca="1">OFFSET(input!$E$28,T32,0)</f>
        <v>None</v>
      </c>
      <c r="T32">
        <f>T31</f>
        <v>102</v>
      </c>
      <c r="U32" t="str">
        <f t="shared" ca="1" si="0"/>
        <v>B</v>
      </c>
      <c r="V32" t="e">
        <f t="shared" ca="1" si="1"/>
        <v>#N/A</v>
      </c>
      <c r="W32" t="e">
        <f t="shared" ca="1" si="2"/>
        <v>#N/A</v>
      </c>
      <c r="X32" t="str">
        <f ca="1">OFFSET(input!$A$25,T32,0)</f>
        <v>N</v>
      </c>
      <c r="Y32" s="3597" t="str">
        <f ca="1">IFERROR(IF(V32=1,OFFSET(input!$A$25,T32,0),"N"),"N")</f>
        <v>N</v>
      </c>
      <c r="Z32" s="3597" t="str">
        <f ca="1">IFERROR(IF(W32=1,OFFSET(input!$A$25,T32,0),"N"),"N")</f>
        <v>N</v>
      </c>
    </row>
    <row r="33" spans="2:26">
      <c r="B33">
        <f t="shared" si="3"/>
        <v>33</v>
      </c>
      <c r="C33" t="s">
        <v>3635</v>
      </c>
      <c r="D33" s="3592" t="s">
        <v>3638</v>
      </c>
      <c r="E33" s="3592">
        <v>1</v>
      </c>
      <c r="F33" s="3592"/>
      <c r="G33" s="3592"/>
      <c r="H33" s="3592"/>
      <c r="I33" s="3592"/>
      <c r="R33">
        <f ca="1">COUNTIFS($U$1:U33,"A")</f>
        <v>1</v>
      </c>
      <c r="S33" t="str">
        <f ca="1">OFFSET(input!$E$29,T33,0)</f>
        <v>None</v>
      </c>
      <c r="T33">
        <f t="shared" ref="T33:T35" si="9">T32</f>
        <v>102</v>
      </c>
      <c r="U33" t="str">
        <f t="shared" ca="1" si="0"/>
        <v>B</v>
      </c>
      <c r="V33" t="e">
        <f t="shared" ca="1" si="1"/>
        <v>#N/A</v>
      </c>
      <c r="W33" t="e">
        <f t="shared" ca="1" si="2"/>
        <v>#N/A</v>
      </c>
      <c r="X33" t="str">
        <f ca="1">OFFSET(input!$A$25,T33,0)</f>
        <v>N</v>
      </c>
      <c r="Y33" s="3597" t="str">
        <f ca="1">IFERROR(IF(V33=1,OFFSET(input!$A$25,T33,0),"N"),"N")</f>
        <v>N</v>
      </c>
      <c r="Z33" s="3597" t="str">
        <f ca="1">IFERROR(IF(W33=1,OFFSET(input!$A$25,T33,0),"N"),"N")</f>
        <v>N</v>
      </c>
    </row>
    <row r="34" spans="2:26">
      <c r="B34">
        <f t="shared" si="3"/>
        <v>34</v>
      </c>
      <c r="D34" s="3592" t="s">
        <v>3639</v>
      </c>
      <c r="E34" s="3592"/>
      <c r="F34" s="3592"/>
      <c r="G34" s="3592"/>
      <c r="H34" s="3592"/>
      <c r="I34" s="3592"/>
      <c r="R34">
        <f ca="1">COUNTIFS($U$1:U34,"A")</f>
        <v>1</v>
      </c>
      <c r="S34" t="str">
        <f ca="1">OFFSET(input!$E$30,T34,0)</f>
        <v>None</v>
      </c>
      <c r="T34">
        <f t="shared" si="9"/>
        <v>102</v>
      </c>
      <c r="U34" t="str">
        <f t="shared" ca="1" si="0"/>
        <v>B</v>
      </c>
      <c r="V34" t="e">
        <f t="shared" ca="1" si="1"/>
        <v>#N/A</v>
      </c>
      <c r="W34" t="e">
        <f t="shared" ca="1" si="2"/>
        <v>#N/A</v>
      </c>
      <c r="X34" t="str">
        <f ca="1">OFFSET(input!$A$25,T34,0)</f>
        <v>N</v>
      </c>
      <c r="Y34" s="3597" t="str">
        <f ca="1">IFERROR(IF(V34=1,OFFSET(input!$A$25,T34,0),"N"),"N")</f>
        <v>N</v>
      </c>
      <c r="Z34" s="3597" t="str">
        <f ca="1">IFERROR(IF(W34=1,OFFSET(input!$A$25,T34,0),"N"),"N")</f>
        <v>N</v>
      </c>
    </row>
    <row r="35" spans="2:26">
      <c r="B35">
        <f t="shared" si="3"/>
        <v>35</v>
      </c>
      <c r="D35" s="3592" t="s">
        <v>2141</v>
      </c>
      <c r="E35" s="3592"/>
      <c r="F35" s="3592"/>
      <c r="G35" s="3592"/>
      <c r="H35" s="3592"/>
      <c r="I35" s="3592"/>
      <c r="R35">
        <f ca="1">COUNTIFS($U$1:U35,"A")</f>
        <v>1</v>
      </c>
      <c r="S35" t="str">
        <f ca="1">OFFSET(input!$E$31,T35,0)</f>
        <v>None</v>
      </c>
      <c r="T35">
        <f t="shared" si="9"/>
        <v>102</v>
      </c>
      <c r="U35" t="str">
        <f t="shared" ca="1" si="0"/>
        <v>B</v>
      </c>
      <c r="V35" t="e">
        <f t="shared" ca="1" si="1"/>
        <v>#N/A</v>
      </c>
      <c r="W35" t="e">
        <f t="shared" ca="1" si="2"/>
        <v>#N/A</v>
      </c>
      <c r="X35" t="str">
        <f ca="1">OFFSET(input!$A$25,T35,0)</f>
        <v>N</v>
      </c>
      <c r="Y35" s="3597" t="str">
        <f ca="1">IFERROR(IF(V35=1,OFFSET(input!$A$25,T35,0),"N"),"N")</f>
        <v>N</v>
      </c>
      <c r="Z35" s="3597" t="str">
        <f ca="1">IFERROR(IF(W35=1,OFFSET(input!$A$25,T35,0),"N"),"N")</f>
        <v>N</v>
      </c>
    </row>
    <row r="36" spans="2:26">
      <c r="B36">
        <f t="shared" si="3"/>
        <v>36</v>
      </c>
      <c r="C36" t="s">
        <v>3640</v>
      </c>
      <c r="D36" s="3592" t="s">
        <v>3499</v>
      </c>
      <c r="E36" s="3592"/>
      <c r="F36" s="3592"/>
      <c r="G36" s="3592"/>
      <c r="H36" s="3592">
        <v>1</v>
      </c>
      <c r="I36" s="3592">
        <v>1</v>
      </c>
      <c r="R36">
        <f ca="1">COUNTIFS($U$1:U36,"A")</f>
        <v>1</v>
      </c>
      <c r="S36" t="str">
        <f ca="1">OFFSET(input!$E$27,T36,0)</f>
        <v>None</v>
      </c>
      <c r="T36">
        <f>T31+17</f>
        <v>119</v>
      </c>
      <c r="U36" t="str">
        <f t="shared" ca="1" si="0"/>
        <v>B</v>
      </c>
      <c r="V36" t="e">
        <f t="shared" ca="1" si="1"/>
        <v>#N/A</v>
      </c>
      <c r="W36" t="e">
        <f t="shared" ca="1" si="2"/>
        <v>#N/A</v>
      </c>
      <c r="X36" t="str">
        <f ca="1">OFFSET(input!$A$25,T36,0)</f>
        <v>N</v>
      </c>
      <c r="Y36" s="3597" t="str">
        <f ca="1">IFERROR(IF(V36=1,OFFSET(input!$A$25,T36,0),"N"),"N")</f>
        <v>N</v>
      </c>
      <c r="Z36" s="3597" t="str">
        <f ca="1">IFERROR(IF(W36=1,OFFSET(input!$A$25,T36,0),"N"),"N")</f>
        <v>N</v>
      </c>
    </row>
    <row r="37" spans="2:26">
      <c r="B37">
        <f t="shared" si="3"/>
        <v>37</v>
      </c>
      <c r="C37" t="s">
        <v>3640</v>
      </c>
      <c r="D37" s="3592" t="s">
        <v>3641</v>
      </c>
      <c r="E37" s="3592"/>
      <c r="F37" s="3592"/>
      <c r="G37" s="3592"/>
      <c r="H37" s="3592">
        <v>1</v>
      </c>
      <c r="I37" s="3592">
        <v>1</v>
      </c>
      <c r="R37">
        <f ca="1">COUNTIFS($U$1:U37,"A")</f>
        <v>1</v>
      </c>
      <c r="S37" t="str">
        <f ca="1">OFFSET(input!$E$28,T37,0)</f>
        <v>None</v>
      </c>
      <c r="T37">
        <f>T36</f>
        <v>119</v>
      </c>
      <c r="U37" t="str">
        <f t="shared" ca="1" si="0"/>
        <v>B</v>
      </c>
      <c r="V37" t="e">
        <f t="shared" ca="1" si="1"/>
        <v>#N/A</v>
      </c>
      <c r="W37" t="e">
        <f t="shared" ca="1" si="2"/>
        <v>#N/A</v>
      </c>
      <c r="X37" t="str">
        <f ca="1">OFFSET(input!$A$25,T37,0)</f>
        <v>N</v>
      </c>
      <c r="Y37" s="3597" t="str">
        <f ca="1">IFERROR(IF(V37=1,OFFSET(input!$A$25,T37,0),"N"),"N")</f>
        <v>N</v>
      </c>
      <c r="Z37" s="3597" t="str">
        <f ca="1">IFERROR(IF(W37=1,OFFSET(input!$A$25,T37,0),"N"),"N")</f>
        <v>N</v>
      </c>
    </row>
    <row r="38" spans="2:26">
      <c r="B38">
        <f t="shared" si="3"/>
        <v>38</v>
      </c>
      <c r="C38" t="s">
        <v>3640</v>
      </c>
      <c r="D38" s="3592" t="s">
        <v>1201</v>
      </c>
      <c r="E38" s="3592"/>
      <c r="F38" s="3592"/>
      <c r="G38" s="3592"/>
      <c r="H38" s="3592">
        <v>1</v>
      </c>
      <c r="I38" s="3592">
        <v>1</v>
      </c>
      <c r="R38">
        <f ca="1">COUNTIFS($U$1:U38,"A")</f>
        <v>1</v>
      </c>
      <c r="S38" t="str">
        <f ca="1">OFFSET(input!$E$29,T38,0)</f>
        <v>None</v>
      </c>
      <c r="T38">
        <f t="shared" ref="T38:T40" si="10">T37</f>
        <v>119</v>
      </c>
      <c r="U38" t="str">
        <f t="shared" ca="1" si="0"/>
        <v>B</v>
      </c>
      <c r="V38" t="e">
        <f t="shared" ca="1" si="1"/>
        <v>#N/A</v>
      </c>
      <c r="W38" t="e">
        <f t="shared" ca="1" si="2"/>
        <v>#N/A</v>
      </c>
      <c r="X38" t="str">
        <f ca="1">OFFSET(input!$A$25,T38,0)</f>
        <v>N</v>
      </c>
      <c r="Y38" s="3597" t="str">
        <f ca="1">IFERROR(IF(V38=1,OFFSET(input!$A$25,T38,0),"N"),"N")</f>
        <v>N</v>
      </c>
      <c r="Z38" s="3597" t="str">
        <f ca="1">IFERROR(IF(W38=1,OFFSET(input!$A$25,T38,0),"N"),"N")</f>
        <v>N</v>
      </c>
    </row>
    <row r="39" spans="2:26">
      <c r="B39">
        <f t="shared" si="3"/>
        <v>39</v>
      </c>
      <c r="C39" t="s">
        <v>3642</v>
      </c>
      <c r="D39" s="3592" t="s">
        <v>1195</v>
      </c>
      <c r="E39" s="3592"/>
      <c r="F39" s="3592"/>
      <c r="G39" s="3592"/>
      <c r="H39" s="3592"/>
      <c r="I39" s="3592">
        <v>1</v>
      </c>
      <c r="R39">
        <f ca="1">COUNTIFS($U$1:U39,"A")</f>
        <v>1</v>
      </c>
      <c r="S39" t="str">
        <f ca="1">OFFSET(input!$E$30,T39,0)</f>
        <v>None</v>
      </c>
      <c r="T39">
        <f t="shared" si="10"/>
        <v>119</v>
      </c>
      <c r="U39" t="str">
        <f t="shared" ca="1" si="0"/>
        <v>B</v>
      </c>
      <c r="V39" t="e">
        <f t="shared" ca="1" si="1"/>
        <v>#N/A</v>
      </c>
      <c r="W39" t="e">
        <f t="shared" ca="1" si="2"/>
        <v>#N/A</v>
      </c>
      <c r="X39" t="str">
        <f ca="1">OFFSET(input!$A$25,T39,0)</f>
        <v>N</v>
      </c>
      <c r="Y39" s="3597" t="str">
        <f ca="1">IFERROR(IF(V39=1,OFFSET(input!$A$25,T39,0),"N"),"N")</f>
        <v>N</v>
      </c>
      <c r="Z39" s="3597" t="str">
        <f ca="1">IFERROR(IF(W39=1,OFFSET(input!$A$25,T39,0),"N"),"N")</f>
        <v>N</v>
      </c>
    </row>
    <row r="40" spans="2:26">
      <c r="R40">
        <f ca="1">COUNTIFS($U$1:U40,"A")</f>
        <v>1</v>
      </c>
      <c r="S40" t="str">
        <f ca="1">OFFSET(input!$E$31,T40,0)</f>
        <v>None</v>
      </c>
      <c r="T40">
        <f t="shared" si="10"/>
        <v>119</v>
      </c>
      <c r="U40" t="str">
        <f t="shared" ca="1" si="0"/>
        <v>B</v>
      </c>
      <c r="V40" t="e">
        <f t="shared" ca="1" si="1"/>
        <v>#N/A</v>
      </c>
      <c r="W40" t="e">
        <f t="shared" ca="1" si="2"/>
        <v>#N/A</v>
      </c>
      <c r="X40" t="str">
        <f ca="1">OFFSET(input!$A$25,T40,0)</f>
        <v>N</v>
      </c>
      <c r="Y40" s="3597" t="str">
        <f ca="1">IFERROR(IF(V40=1,OFFSET(input!$A$25,T40,0),"N"),"N")</f>
        <v>N</v>
      </c>
      <c r="Z40" s="3597" t="str">
        <f ca="1">IFERROR(IF(W40=1,OFFSET(input!$A$25,T40,0),"N"),"N")</f>
        <v>N</v>
      </c>
    </row>
    <row r="41" spans="2:26">
      <c r="R41">
        <f ca="1">COUNTIFS($U$1:U41,"A")</f>
        <v>1</v>
      </c>
      <c r="S41" t="str">
        <f ca="1">OFFSET(input!$E$27,T41,0)</f>
        <v>None</v>
      </c>
      <c r="T41">
        <f>T36+17</f>
        <v>136</v>
      </c>
      <c r="U41" t="str">
        <f t="shared" ca="1" si="0"/>
        <v>B</v>
      </c>
      <c r="V41" t="e">
        <f t="shared" ca="1" si="1"/>
        <v>#N/A</v>
      </c>
      <c r="W41" t="e">
        <f t="shared" ca="1" si="2"/>
        <v>#N/A</v>
      </c>
      <c r="X41" t="str">
        <f ca="1">OFFSET(input!$A$25,T41,0)</f>
        <v>N</v>
      </c>
      <c r="Y41" s="3597" t="str">
        <f ca="1">IFERROR(IF(V41=1,OFFSET(input!$A$25,T41,0),"N"),"N")</f>
        <v>N</v>
      </c>
      <c r="Z41" s="3597" t="str">
        <f ca="1">IFERROR(IF(W41=1,OFFSET(input!$A$25,T41,0),"N"),"N")</f>
        <v>N</v>
      </c>
    </row>
    <row r="42" spans="2:26">
      <c r="R42">
        <f ca="1">COUNTIFS($U$1:U42,"A")</f>
        <v>1</v>
      </c>
      <c r="S42" t="str">
        <f ca="1">OFFSET(input!$E$28,T42,0)</f>
        <v>None</v>
      </c>
      <c r="T42">
        <f>T41</f>
        <v>136</v>
      </c>
      <c r="U42" t="str">
        <f t="shared" ca="1" si="0"/>
        <v>B</v>
      </c>
      <c r="V42" t="e">
        <f t="shared" ca="1" si="1"/>
        <v>#N/A</v>
      </c>
      <c r="W42" t="e">
        <f t="shared" ca="1" si="2"/>
        <v>#N/A</v>
      </c>
      <c r="X42" t="str">
        <f ca="1">OFFSET(input!$A$25,T42,0)</f>
        <v>N</v>
      </c>
      <c r="Y42" s="3597" t="str">
        <f ca="1">IFERROR(IF(V42=1,OFFSET(input!$A$25,T42,0),"N"),"N")</f>
        <v>N</v>
      </c>
      <c r="Z42" s="3597" t="str">
        <f ca="1">IFERROR(IF(W42=1,OFFSET(input!$A$25,T42,0),"N"),"N")</f>
        <v>N</v>
      </c>
    </row>
    <row r="43" spans="2:26">
      <c r="R43">
        <f ca="1">COUNTIFS($U$1:U43,"A")</f>
        <v>1</v>
      </c>
      <c r="S43" t="str">
        <f ca="1">OFFSET(input!$E$29,T43,0)</f>
        <v>None</v>
      </c>
      <c r="T43">
        <f t="shared" ref="T43:T45" si="11">T42</f>
        <v>136</v>
      </c>
      <c r="U43" t="str">
        <f t="shared" ca="1" si="0"/>
        <v>B</v>
      </c>
      <c r="V43" t="e">
        <f t="shared" ca="1" si="1"/>
        <v>#N/A</v>
      </c>
      <c r="W43" t="e">
        <f t="shared" ca="1" si="2"/>
        <v>#N/A</v>
      </c>
      <c r="X43" t="str">
        <f ca="1">OFFSET(input!$A$25,T43,0)</f>
        <v>N</v>
      </c>
      <c r="Y43" s="3597" t="str">
        <f ca="1">IFERROR(IF(V43=1,OFFSET(input!$A$25,T43,0),"N"),"N")</f>
        <v>N</v>
      </c>
      <c r="Z43" s="3597" t="str">
        <f ca="1">IFERROR(IF(W43=1,OFFSET(input!$A$25,T43,0),"N"),"N")</f>
        <v>N</v>
      </c>
    </row>
    <row r="44" spans="2:26">
      <c r="R44">
        <f ca="1">COUNTIFS($U$1:U44,"A")</f>
        <v>1</v>
      </c>
      <c r="S44" t="str">
        <f ca="1">OFFSET(input!$E$30,T44,0)</f>
        <v>None</v>
      </c>
      <c r="T44">
        <f t="shared" si="11"/>
        <v>136</v>
      </c>
      <c r="U44" t="str">
        <f t="shared" ca="1" si="0"/>
        <v>B</v>
      </c>
      <c r="V44" t="e">
        <f t="shared" ca="1" si="1"/>
        <v>#N/A</v>
      </c>
      <c r="W44" t="e">
        <f t="shared" ca="1" si="2"/>
        <v>#N/A</v>
      </c>
      <c r="X44" t="str">
        <f ca="1">OFFSET(input!$A$25,T44,0)</f>
        <v>N</v>
      </c>
      <c r="Y44" s="3597" t="str">
        <f ca="1">IFERROR(IF(V44=1,OFFSET(input!$A$25,T44,0),"N"),"N")</f>
        <v>N</v>
      </c>
      <c r="Z44" s="3597" t="str">
        <f ca="1">IFERROR(IF(W44=1,OFFSET(input!$A$25,T44,0),"N"),"N")</f>
        <v>N</v>
      </c>
    </row>
    <row r="45" spans="2:26">
      <c r="R45">
        <f ca="1">COUNTIFS($U$1:U45,"A")</f>
        <v>1</v>
      </c>
      <c r="S45" t="str">
        <f ca="1">OFFSET(input!$E$31,T45,0)</f>
        <v>None</v>
      </c>
      <c r="T45">
        <f t="shared" si="11"/>
        <v>136</v>
      </c>
      <c r="U45" t="str">
        <f t="shared" ca="1" si="0"/>
        <v>B</v>
      </c>
      <c r="V45" t="e">
        <f t="shared" ca="1" si="1"/>
        <v>#N/A</v>
      </c>
      <c r="W45" t="e">
        <f t="shared" ca="1" si="2"/>
        <v>#N/A</v>
      </c>
      <c r="X45" t="str">
        <f ca="1">OFFSET(input!$A$25,T45,0)</f>
        <v>N</v>
      </c>
      <c r="Y45" s="3597" t="str">
        <f ca="1">IFERROR(IF(V45=1,OFFSET(input!$A$25,T45,0),"N"),"N")</f>
        <v>N</v>
      </c>
      <c r="Z45" s="3597" t="str">
        <f ca="1">IFERROR(IF(W45=1,OFFSET(input!$A$25,T45,0),"N"),"N")</f>
        <v>N</v>
      </c>
    </row>
    <row r="46" spans="2:26">
      <c r="R46">
        <f ca="1">COUNTIFS($U$1:U46,"A")</f>
        <v>1</v>
      </c>
      <c r="S46" t="str">
        <f ca="1">OFFSET(input!$E$27,T46,0)</f>
        <v>None</v>
      </c>
      <c r="T46">
        <f>T41+17</f>
        <v>153</v>
      </c>
      <c r="U46" t="str">
        <f t="shared" ca="1" si="0"/>
        <v>B</v>
      </c>
      <c r="V46" t="e">
        <f t="shared" ca="1" si="1"/>
        <v>#N/A</v>
      </c>
      <c r="W46" t="e">
        <f t="shared" ca="1" si="2"/>
        <v>#N/A</v>
      </c>
      <c r="X46" t="str">
        <f ca="1">OFFSET(input!$A$25,T46,0)</f>
        <v>N</v>
      </c>
      <c r="Y46" s="3597" t="str">
        <f ca="1">IFERROR(IF(V46=1,OFFSET(input!$A$25,T46,0),"N"),"N")</f>
        <v>N</v>
      </c>
      <c r="Z46" s="3597" t="str">
        <f ca="1">IFERROR(IF(W46=1,OFFSET(input!$A$25,T46,0),"N"),"N")</f>
        <v>N</v>
      </c>
    </row>
    <row r="47" spans="2:26">
      <c r="R47">
        <f ca="1">COUNTIFS($U$1:U47,"A")</f>
        <v>1</v>
      </c>
      <c r="S47" t="str">
        <f ca="1">OFFSET(input!$E$28,T47,0)</f>
        <v>None</v>
      </c>
      <c r="T47">
        <f>T46</f>
        <v>153</v>
      </c>
      <c r="U47" t="str">
        <f t="shared" ca="1" si="0"/>
        <v>B</v>
      </c>
      <c r="V47" t="e">
        <f t="shared" ca="1" si="1"/>
        <v>#N/A</v>
      </c>
      <c r="W47" t="e">
        <f t="shared" ca="1" si="2"/>
        <v>#N/A</v>
      </c>
      <c r="X47" t="str">
        <f ca="1">OFFSET(input!$A$25,T47,0)</f>
        <v>N</v>
      </c>
      <c r="Y47" s="3597" t="str">
        <f ca="1">IFERROR(IF(V47=1,OFFSET(input!$A$25,T47,0),"N"),"N")</f>
        <v>N</v>
      </c>
      <c r="Z47" s="3597" t="str">
        <f ca="1">IFERROR(IF(W47=1,OFFSET(input!$A$25,T47,0),"N"),"N")</f>
        <v>N</v>
      </c>
    </row>
    <row r="48" spans="2:26">
      <c r="R48">
        <f ca="1">COUNTIFS($U$1:U48,"A")</f>
        <v>1</v>
      </c>
      <c r="S48" t="str">
        <f ca="1">OFFSET(input!$E$29,T48,0)</f>
        <v>None</v>
      </c>
      <c r="T48">
        <f t="shared" ref="T48:T50" si="12">T47</f>
        <v>153</v>
      </c>
      <c r="U48" t="str">
        <f t="shared" ca="1" si="0"/>
        <v>B</v>
      </c>
      <c r="V48" t="e">
        <f t="shared" ca="1" si="1"/>
        <v>#N/A</v>
      </c>
      <c r="W48" t="e">
        <f t="shared" ca="1" si="2"/>
        <v>#N/A</v>
      </c>
      <c r="X48" t="str">
        <f ca="1">OFFSET(input!$A$25,T48,0)</f>
        <v>N</v>
      </c>
      <c r="Y48" s="3597" t="str">
        <f ca="1">IFERROR(IF(V48=1,OFFSET(input!$A$25,T48,0),"N"),"N")</f>
        <v>N</v>
      </c>
      <c r="Z48" s="3597" t="str">
        <f ca="1">IFERROR(IF(W48=1,OFFSET(input!$A$25,T48,0),"N"),"N")</f>
        <v>N</v>
      </c>
    </row>
    <row r="49" spans="18:26">
      <c r="R49">
        <f ca="1">COUNTIFS($U$1:U49,"A")</f>
        <v>1</v>
      </c>
      <c r="S49" t="str">
        <f ca="1">OFFSET(input!$E$30,T49,0)</f>
        <v>None</v>
      </c>
      <c r="T49">
        <f t="shared" si="12"/>
        <v>153</v>
      </c>
      <c r="U49" t="str">
        <f t="shared" ca="1" si="0"/>
        <v>B</v>
      </c>
      <c r="V49" t="e">
        <f t="shared" ca="1" si="1"/>
        <v>#N/A</v>
      </c>
      <c r="W49" t="e">
        <f t="shared" ca="1" si="2"/>
        <v>#N/A</v>
      </c>
      <c r="X49" t="str">
        <f ca="1">OFFSET(input!$A$25,T49,0)</f>
        <v>N</v>
      </c>
      <c r="Y49" s="3597" t="str">
        <f ca="1">IFERROR(IF(V49=1,OFFSET(input!$A$25,T49,0),"N"),"N")</f>
        <v>N</v>
      </c>
      <c r="Z49" s="3597" t="str">
        <f ca="1">IFERROR(IF(W49=1,OFFSET(input!$A$25,T49,0),"N"),"N")</f>
        <v>N</v>
      </c>
    </row>
    <row r="50" spans="18:26">
      <c r="R50">
        <f ca="1">COUNTIFS($U$1:U50,"A")</f>
        <v>1</v>
      </c>
      <c r="S50" t="str">
        <f ca="1">OFFSET(input!$E$31,T50,0)</f>
        <v>None</v>
      </c>
      <c r="T50">
        <f t="shared" si="12"/>
        <v>153</v>
      </c>
      <c r="U50" t="str">
        <f t="shared" ca="1" si="0"/>
        <v>B</v>
      </c>
      <c r="V50" t="e">
        <f t="shared" ca="1" si="1"/>
        <v>#N/A</v>
      </c>
      <c r="W50" t="e">
        <f t="shared" ca="1" si="2"/>
        <v>#N/A</v>
      </c>
      <c r="X50" t="str">
        <f ca="1">OFFSET(input!$A$25,T50,0)</f>
        <v>N</v>
      </c>
      <c r="Y50" s="3597" t="str">
        <f ca="1">IFERROR(IF(V50=1,OFFSET(input!$A$25,T50,0),"N"),"N")</f>
        <v>N</v>
      </c>
      <c r="Z50" s="3597" t="str">
        <f ca="1">IFERROR(IF(W50=1,OFFSET(input!$A$25,T50,0),"N"),"N")</f>
        <v>N</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XEU1350"/>
  <sheetViews>
    <sheetView showGridLines="0" zoomScale="85" zoomScaleNormal="85" workbookViewId="0">
      <pane xSplit="3" ySplit="5" topLeftCell="D1243" activePane="bottomRight" state="frozen"/>
      <selection pane="topRight" activeCell="D1" sqref="D1"/>
      <selection pane="bottomLeft" activeCell="A6" sqref="A6"/>
      <selection pane="bottomRight" activeCell="H7" sqref="G7:H7"/>
    </sheetView>
  </sheetViews>
  <sheetFormatPr defaultColWidth="6.7109375" defaultRowHeight="19.5" customHeight="1" outlineLevelRow="1"/>
  <cols>
    <col min="1" max="1" width="18" style="136" customWidth="1"/>
    <col min="2" max="2" width="19.5703125" style="136" customWidth="1"/>
    <col min="3" max="3" width="22" style="136" customWidth="1"/>
    <col min="4" max="4" width="14.7109375" style="136" customWidth="1"/>
    <col min="5" max="5" width="15.5703125" style="136" customWidth="1"/>
    <col min="6" max="6" width="13.7109375" style="136" customWidth="1"/>
    <col min="7" max="7" width="12.42578125" style="136" customWidth="1"/>
    <col min="8" max="8" width="9.85546875" style="136" customWidth="1"/>
    <col min="9" max="9" width="10.42578125" style="136" customWidth="1"/>
    <col min="10" max="10" width="15.5703125" style="136" customWidth="1"/>
    <col min="11" max="11" width="14.7109375" style="319" bestFit="1" customWidth="1"/>
    <col min="12" max="12" width="9.28515625" style="136" customWidth="1"/>
    <col min="13" max="13" width="10" style="136" customWidth="1"/>
    <col min="14" max="14" width="8" style="136" customWidth="1"/>
    <col min="15" max="15" width="8.85546875" style="136" customWidth="1"/>
    <col min="16" max="16" width="7.7109375" style="136" customWidth="1"/>
    <col min="17" max="17" width="9.42578125" style="136" customWidth="1"/>
    <col min="18" max="18" width="8" style="136" customWidth="1"/>
    <col min="19" max="20" width="6.5703125" style="136" customWidth="1"/>
    <col min="21" max="22" width="6.85546875" style="136" customWidth="1"/>
    <col min="23" max="23" width="8" style="136" customWidth="1"/>
    <col min="24" max="33" width="13.85546875" style="136" bestFit="1" customWidth="1"/>
    <col min="34" max="34" width="9.85546875" style="136" customWidth="1"/>
    <col min="35" max="36" width="6.42578125" style="136" customWidth="1"/>
    <col min="37" max="37" width="10" style="136" customWidth="1"/>
    <col min="38" max="38" width="6.7109375" style="136" customWidth="1"/>
    <col min="39" max="39" width="8.42578125" style="136" customWidth="1"/>
    <col min="40" max="41" width="8.28515625" style="136" customWidth="1"/>
    <col min="42" max="42" width="9.85546875" style="136" customWidth="1"/>
    <col min="43" max="43" width="4.85546875" style="136" customWidth="1"/>
    <col min="44" max="44" width="8.85546875" style="136" customWidth="1"/>
    <col min="45" max="45" width="7.28515625" style="136" customWidth="1"/>
    <col min="46" max="46" width="4.85546875" style="136" customWidth="1"/>
    <col min="47" max="47" width="6.7109375" style="136" customWidth="1"/>
    <col min="48" max="48" width="21.140625" style="136" bestFit="1" customWidth="1"/>
    <col min="49" max="50" width="13.85546875" style="136" bestFit="1" customWidth="1"/>
    <col min="51" max="51" width="6.7109375" style="136" customWidth="1"/>
    <col min="52" max="52" width="7.7109375" style="136" bestFit="1" customWidth="1"/>
    <col min="53" max="54" width="6.7109375" style="136" customWidth="1"/>
    <col min="55" max="55" width="6.7109375" style="136"/>
    <col min="56" max="57" width="6.7109375" style="136" customWidth="1"/>
    <col min="58" max="58" width="6.7109375" style="136"/>
    <col min="59" max="60" width="6.7109375" style="136" customWidth="1"/>
    <col min="61" max="61" width="6.7109375" style="136"/>
    <col min="62" max="63" width="6.7109375" style="136" customWidth="1"/>
    <col min="64" max="64" width="6.7109375" style="136"/>
    <col min="65" max="66" width="6.7109375" style="136" customWidth="1"/>
    <col min="67" max="67" width="6.7109375" style="136"/>
    <col min="68" max="69" width="6.7109375" style="136" customWidth="1"/>
    <col min="70" max="70" width="6.7109375" style="136"/>
    <col min="71" max="72" width="6.7109375" style="136" customWidth="1"/>
    <col min="73" max="73" width="6.7109375" style="136"/>
    <col min="74" max="75" width="6.7109375" style="136" customWidth="1"/>
    <col min="76" max="76" width="6.7109375" style="136"/>
    <col min="77" max="78" width="6.7109375" style="136" customWidth="1"/>
    <col min="79" max="79" width="6.7109375" style="136"/>
    <col min="80" max="81" width="6.7109375" style="136" customWidth="1"/>
    <col min="82" max="82" width="6.7109375" style="136"/>
    <col min="83" max="84" width="6.7109375" style="136" customWidth="1"/>
    <col min="85" max="85" width="6.7109375" style="136"/>
    <col min="86" max="87" width="6.7109375" style="136" customWidth="1"/>
    <col min="88" max="16384" width="6.7109375" style="136"/>
  </cols>
  <sheetData>
    <row r="1" spans="1:13" ht="19.5" customHeight="1" thickBot="1">
      <c r="A1" s="319"/>
      <c r="B1" s="654" t="str">
        <f>+CR!H74</f>
        <v>Case 2</v>
      </c>
      <c r="C1" s="655"/>
      <c r="D1" s="319"/>
      <c r="E1" s="319"/>
      <c r="F1" s="2933">
        <v>2023</v>
      </c>
      <c r="H1" s="6"/>
      <c r="I1" s="1555" t="str">
        <f>Data!B2</f>
        <v>REF. Vietcom Bank Exchange Rate Dated : 15.08.2023</v>
      </c>
      <c r="J1" s="6"/>
      <c r="K1" s="6"/>
      <c r="L1" s="6"/>
      <c r="M1"/>
    </row>
    <row r="2" spans="1:13" ht="19.5" customHeight="1" thickBot="1">
      <c r="A2" s="312" t="s">
        <v>793</v>
      </c>
      <c r="B2" s="654" t="s">
        <v>210</v>
      </c>
      <c r="C2" s="655"/>
      <c r="D2" s="319"/>
      <c r="E2" s="319"/>
      <c r="F2" s="284" t="s">
        <v>2320</v>
      </c>
      <c r="G2" s="284" t="s">
        <v>2321</v>
      </c>
      <c r="I2" s="3372" t="str">
        <f>Data!B3</f>
        <v>USD</v>
      </c>
      <c r="J2" s="3372" t="str">
        <f>Data!C3</f>
        <v>GBP</v>
      </c>
      <c r="K2" s="3372" t="str">
        <f>Data!D3</f>
        <v>EUR</v>
      </c>
      <c r="L2" s="3372" t="str">
        <f>Data!E3</f>
        <v>BAHT</v>
      </c>
      <c r="M2" s="3372" t="s">
        <v>92</v>
      </c>
    </row>
    <row r="3" spans="1:13" ht="19.5" customHeight="1" thickBot="1">
      <c r="A3" s="319"/>
      <c r="B3" s="656" t="s">
        <v>33</v>
      </c>
      <c r="C3" s="657"/>
      <c r="D3" s="319"/>
      <c r="E3" s="319"/>
      <c r="F3" s="284" t="str">
        <f>VLOOKUP($B$5,'Fix Cost'!$A$177:$H$241,5,0)</f>
        <v>If customer is Dofico, need to check</v>
      </c>
      <c r="G3" s="284" t="str">
        <f>VLOOKUP($B$5,'Fix Cost'!$A$177:$H$241,7,0)</f>
        <v>If customer is HouseFood, need to check</v>
      </c>
      <c r="H3" s="1556" t="s">
        <v>76</v>
      </c>
      <c r="I3" s="3371">
        <f>+Data!P9</f>
        <v>1.4364174059991575E-2</v>
      </c>
      <c r="J3" s="3371">
        <f>+Data!Q9</f>
        <v>3.2620581792910386E-2</v>
      </c>
      <c r="K3" s="3371">
        <f>+Data!R9</f>
        <v>4.5846112971348996E-2</v>
      </c>
      <c r="L3" s="3371">
        <f>+Data!S9</f>
        <v>3.8838316855558164E-2</v>
      </c>
      <c r="M3" s="2974"/>
    </row>
    <row r="4" spans="1:13" ht="19.5" customHeight="1" thickBot="1">
      <c r="A4" s="319"/>
      <c r="B4" s="658" t="s">
        <v>800</v>
      </c>
      <c r="C4" s="659"/>
      <c r="D4" s="1557">
        <f>MAX(Paper!L7:L21)</f>
        <v>4.4999999999999998E-2</v>
      </c>
      <c r="E4" s="1558" t="s">
        <v>78</v>
      </c>
      <c r="F4" s="2427">
        <f>VLOOKUP($B$5,'Fix Cost'!$A$177:$H$241,6,0)</f>
        <v>0.06</v>
      </c>
      <c r="G4" s="813">
        <f>VLOOKUP($B$5,'Fix Cost'!$A$177:$H$241,8,0)</f>
        <v>200</v>
      </c>
      <c r="H4" s="1560"/>
      <c r="I4" s="3368">
        <f>Data!B5</f>
        <v>23670</v>
      </c>
      <c r="J4" s="3368">
        <f>Data!C5</f>
        <v>29756.98</v>
      </c>
      <c r="K4" s="3368">
        <f>Data!D5</f>
        <v>25594.1</v>
      </c>
      <c r="L4" s="3369">
        <f>Data!E5</f>
        <v>663.52</v>
      </c>
      <c r="M4" s="3370">
        <v>1</v>
      </c>
    </row>
    <row r="5" spans="1:13" ht="19.5" customHeight="1" thickBot="1">
      <c r="A5" s="1559"/>
      <c r="B5" s="3445" t="s">
        <v>3220</v>
      </c>
      <c r="C5" s="720" t="s">
        <v>267</v>
      </c>
      <c r="D5" s="3138">
        <f>IF(E1070="Regular",0,VLOOKUP($B$5,'Fix Cost'!$A$177:$H$241,4,0))</f>
        <v>0</v>
      </c>
      <c r="E5" s="720"/>
      <c r="H5" s="1561"/>
      <c r="I5" s="3373">
        <f>I4*(1+I3)</f>
        <v>24010</v>
      </c>
      <c r="J5" s="3373">
        <f>J4*(1+J3)</f>
        <v>30727.67</v>
      </c>
      <c r="K5" s="3373">
        <f>K4*(1+K3)</f>
        <v>26767.49</v>
      </c>
      <c r="L5" s="3373">
        <f>L4*(1+L3)</f>
        <v>689.29</v>
      </c>
      <c r="M5" s="3373">
        <v>1</v>
      </c>
    </row>
    <row r="7" spans="1:13" ht="19.5" customHeight="1">
      <c r="A7" s="319" t="s">
        <v>1344</v>
      </c>
      <c r="B7" s="3446">
        <f>VLOOKUP("Quantity requested:",CR!$D:$M,4,0)</f>
        <v>1000</v>
      </c>
      <c r="C7" s="3446">
        <f>VLOOKUP("Quantity requested:",CR!$D:$M,5,0)</f>
        <v>2000</v>
      </c>
      <c r="D7" s="3446">
        <f>VLOOKUP("Quantity requested:",CR!$D:$M,6,0)</f>
        <v>10000</v>
      </c>
      <c r="E7" s="3446">
        <f>VLOOKUP("Quantity requested:",CR!$D:$M,7,0)</f>
        <v>30000</v>
      </c>
      <c r="F7" s="3446">
        <f>VLOOKUP("Quantity requested:",CR!$D:$M,8,0)</f>
        <v>50000</v>
      </c>
      <c r="G7" s="4481">
        <v>3000</v>
      </c>
      <c r="H7" s="4481">
        <v>5000</v>
      </c>
      <c r="I7" s="1562"/>
      <c r="J7" s="1562"/>
      <c r="K7" s="1562"/>
      <c r="L7" s="1562"/>
      <c r="M7" s="1562"/>
    </row>
    <row r="8" spans="1:13" ht="19.5" customHeight="1">
      <c r="A8" s="319"/>
      <c r="B8" s="333"/>
      <c r="C8" s="333"/>
      <c r="D8" s="333"/>
      <c r="E8" s="333"/>
      <c r="F8" s="1563"/>
      <c r="G8" s="319"/>
      <c r="H8" s="352"/>
      <c r="I8" s="353"/>
      <c r="J8" s="353"/>
      <c r="K8" s="354"/>
      <c r="M8" s="314"/>
    </row>
    <row r="9" spans="1:13" ht="19.5" customHeight="1" thickBot="1">
      <c r="A9" s="319"/>
      <c r="B9" s="355" t="s">
        <v>1069</v>
      </c>
      <c r="C9" s="1564" t="str">
        <f>FC!$H$7</f>
        <v>FRW-3-086</v>
      </c>
      <c r="D9" s="333"/>
      <c r="E9" s="321"/>
      <c r="F9" s="319"/>
      <c r="G9" s="356"/>
      <c r="H9" s="315"/>
      <c r="I9" s="357"/>
      <c r="J9" s="357"/>
      <c r="K9" s="136"/>
      <c r="L9" s="314"/>
      <c r="M9" s="351"/>
    </row>
    <row r="10" spans="1:13" ht="19.5" customHeight="1">
      <c r="A10" s="4133" t="s">
        <v>33</v>
      </c>
      <c r="B10" s="4138" t="s">
        <v>1062</v>
      </c>
      <c r="C10" s="4139"/>
      <c r="D10" s="1565" t="s">
        <v>1063</v>
      </c>
      <c r="E10" s="1565" t="s">
        <v>7</v>
      </c>
      <c r="F10" s="1565" t="s">
        <v>291</v>
      </c>
      <c r="G10" s="2910" t="s">
        <v>1064</v>
      </c>
      <c r="H10" s="2911" t="s">
        <v>1067</v>
      </c>
      <c r="I10" s="2907"/>
      <c r="J10" s="2908"/>
      <c r="K10" s="2908"/>
      <c r="L10" s="314"/>
      <c r="M10"/>
    </row>
    <row r="11" spans="1:13" ht="19.5" customHeight="1">
      <c r="A11" s="4133"/>
      <c r="B11" s="4140" t="s">
        <v>1065</v>
      </c>
      <c r="C11" s="4141"/>
      <c r="D11" s="3562">
        <f ca="1">OFFSET(CR!B1,MATCH("1. STRUCTURE",CR!B:B,0)+2,1)</f>
        <v>133</v>
      </c>
      <c r="E11" s="3562">
        <f ca="1">OFFSET(CR!B1,MATCH("1. STRUCTURE",CR!B:B,0)+2,2)</f>
        <v>52</v>
      </c>
      <c r="F11" s="3447">
        <f ca="1">OFFSET(CR!B1,MATCH("1. STRUCTURE",CR!B:B,0)+2,3)</f>
        <v>205</v>
      </c>
      <c r="G11" s="2912">
        <v>341</v>
      </c>
      <c r="H11" s="2913">
        <v>385</v>
      </c>
      <c r="I11" s="2907"/>
      <c r="J11" s="2908"/>
      <c r="K11" s="2908"/>
      <c r="L11" s="314"/>
      <c r="M11"/>
    </row>
    <row r="12" spans="1:13" ht="19.5" hidden="1" customHeight="1" outlineLevel="1">
      <c r="A12" s="4133"/>
      <c r="B12" s="4134" t="s">
        <v>1062</v>
      </c>
      <c r="C12" s="4135"/>
      <c r="D12" s="2909" t="s">
        <v>1063</v>
      </c>
      <c r="E12" s="2909" t="s">
        <v>7</v>
      </c>
      <c r="F12" s="2909" t="s">
        <v>291</v>
      </c>
      <c r="G12" s="2914" t="s">
        <v>1064</v>
      </c>
      <c r="H12" s="2915" t="s">
        <v>1067</v>
      </c>
      <c r="I12" s="2907"/>
      <c r="J12" s="2908"/>
      <c r="K12" s="2908"/>
      <c r="L12" s="314"/>
      <c r="M12"/>
    </row>
    <row r="13" spans="1:13" ht="19.5" hidden="1" customHeight="1" outlineLevel="1" thickBot="1">
      <c r="A13" s="4133"/>
      <c r="B13" s="4136" t="s">
        <v>1065</v>
      </c>
      <c r="C13" s="4137"/>
      <c r="D13" s="2916"/>
      <c r="E13" s="2916"/>
      <c r="F13" s="2917"/>
      <c r="G13" s="2918"/>
      <c r="H13" s="2919"/>
      <c r="I13" s="2907"/>
      <c r="J13" s="2908"/>
      <c r="K13" s="2908"/>
      <c r="L13" s="314"/>
      <c r="M13"/>
    </row>
    <row r="14" spans="1:13" ht="19.5" customHeight="1" collapsed="1">
      <c r="A14" s="319"/>
      <c r="B14" s="314"/>
      <c r="C14" s="321"/>
      <c r="D14" s="333"/>
      <c r="E14" s="321"/>
      <c r="F14" s="319"/>
      <c r="G14" s="356" t="s">
        <v>3755</v>
      </c>
      <c r="H14" s="315"/>
      <c r="I14" s="357"/>
      <c r="J14" s="3569" t="str">
        <f>VLOOKUP($J$27,Data!$AA$943:$AB$959,2,0)</f>
        <v>Non Metalize</v>
      </c>
      <c r="K14" s="136"/>
    </row>
    <row r="15" spans="1:13" ht="19.5" hidden="1" customHeight="1" outlineLevel="1">
      <c r="A15" s="319"/>
      <c r="B15" s="355" t="s">
        <v>1070</v>
      </c>
      <c r="C15" s="1564"/>
      <c r="D15" s="333"/>
      <c r="E15" s="321"/>
      <c r="F15" s="319"/>
      <c r="G15" s="356"/>
      <c r="H15" s="315"/>
      <c r="I15" s="357"/>
      <c r="J15" s="357"/>
      <c r="K15" s="136"/>
      <c r="L15" s="314"/>
      <c r="M15"/>
    </row>
    <row r="16" spans="1:13" ht="19.5" hidden="1" customHeight="1" outlineLevel="1">
      <c r="A16" s="4133" t="s">
        <v>1068</v>
      </c>
      <c r="B16" s="314" t="s">
        <v>24</v>
      </c>
      <c r="C16" s="1566">
        <v>150</v>
      </c>
      <c r="D16" s="418" t="s">
        <v>15</v>
      </c>
      <c r="E16" s="1566">
        <v>150</v>
      </c>
      <c r="F16" s="136" t="s">
        <v>10</v>
      </c>
      <c r="G16" s="319"/>
      <c r="H16" s="319"/>
      <c r="I16" s="319"/>
      <c r="J16" s="319"/>
      <c r="L16" s="314"/>
      <c r="M16"/>
    </row>
    <row r="17" spans="1:1022 1034:3063 3075:4090 4102:5117 5129:6144 6156:7158 7170:8185 8197:9212 9224:10239 10251:11253 11265:12280 12292:13307 13319:14334 14346:16375" ht="19.5" hidden="1" customHeight="1" outlineLevel="1">
      <c r="A17" s="4133"/>
      <c r="B17" s="314" t="s">
        <v>22</v>
      </c>
      <c r="C17" s="1566">
        <v>9</v>
      </c>
      <c r="D17" s="358" t="s">
        <v>964</v>
      </c>
      <c r="E17" s="1567">
        <f>(C17*2)</f>
        <v>18</v>
      </c>
      <c r="F17" s="326" t="s">
        <v>607</v>
      </c>
      <c r="G17"/>
      <c r="H17"/>
      <c r="I17" s="319"/>
      <c r="J17" s="319"/>
      <c r="L17" s="319"/>
      <c r="M17"/>
    </row>
    <row r="18" spans="1:1022 1034:3063 3075:4090 4102:5117 5129:6144 6156:7158 7170:8185 8197:9212 9224:10239 10251:11253 11265:12280 12292:13307 13319:14334 14346:16375" ht="19.5" hidden="1" customHeight="1" outlineLevel="1">
      <c r="A18" s="4133"/>
      <c r="B18" s="314" t="s">
        <v>1347</v>
      </c>
      <c r="C18" s="1568" t="str">
        <f>Paper!C7</f>
        <v>300gsm GB HANSOL</v>
      </c>
      <c r="D18" s="358"/>
      <c r="E18" s="1569">
        <f>IF(C18=0,"-",(VLOOKUP(C18,Data!$P$13:$X$869,2,0)))</f>
        <v>0.38500000000000001</v>
      </c>
      <c r="F18" s="136" t="s">
        <v>10</v>
      </c>
      <c r="L18" s="319"/>
      <c r="M18"/>
    </row>
    <row r="19" spans="1:1022 1034:3063 3075:4090 4102:5117 5129:6144 6156:7158 7170:8185 8197:9212 9224:10239 10251:11253 11265:12280 12292:13307 13319:14334 14346:16375" ht="19.5" hidden="1" customHeight="1" outlineLevel="1">
      <c r="A19" s="4133"/>
      <c r="B19" s="314" t="s">
        <v>1345</v>
      </c>
      <c r="C19" s="1566"/>
      <c r="D19" s="358"/>
      <c r="E19" s="1569" t="str">
        <f>IF(C19=0,"-",(VLOOKUP(C19,Data!$P$13:$X$869,2,0)))</f>
        <v>-</v>
      </c>
      <c r="F19" s="136" t="s">
        <v>10</v>
      </c>
      <c r="G19" s="1566"/>
      <c r="H19" s="136" t="s">
        <v>74</v>
      </c>
      <c r="I19" s="1570">
        <f>IF(G19=0,0,E19*G19)</f>
        <v>0</v>
      </c>
      <c r="J19" s="319" t="s">
        <v>10</v>
      </c>
      <c r="K19"/>
      <c r="M19"/>
    </row>
    <row r="20" spans="1:1022 1034:3063 3075:4090 4102:5117 5129:6144 6156:7158 7170:8185 8197:9212 9224:10239 10251:11253 11265:12280 12292:13307 13319:14334 14346:16375" ht="19.5" hidden="1" customHeight="1" outlineLevel="1">
      <c r="A20" s="4133"/>
      <c r="B20" s="314" t="s">
        <v>1346</v>
      </c>
      <c r="C20" s="1566"/>
      <c r="D20" s="358"/>
      <c r="E20" s="1569" t="str">
        <f>IF(C20=0,"-",(VLOOKUP(C20,Data!$P$13:$X$869,2,0)))</f>
        <v>-</v>
      </c>
      <c r="F20" s="136" t="s">
        <v>10</v>
      </c>
      <c r="G20" s="1566"/>
      <c r="H20" s="136" t="s">
        <v>74</v>
      </c>
      <c r="I20" s="1570">
        <f>IF(G20=0,0,E20*G20)</f>
        <v>0</v>
      </c>
      <c r="J20" s="319" t="s">
        <v>10</v>
      </c>
      <c r="K20"/>
      <c r="M20"/>
    </row>
    <row r="21" spans="1:1022 1034:3063 3075:4090 4102:5117 5129:6144 6156:7158 7170:8185 8197:9212 9224:10239 10251:11253 11265:12280 12292:13307 13319:14334 14346:16375" ht="19.5" hidden="1" customHeight="1" outlineLevel="1">
      <c r="A21" s="4133"/>
      <c r="B21" s="312" t="s">
        <v>23</v>
      </c>
      <c r="D21"/>
      <c r="E21" s="1571">
        <f>IF(E18="-",0,((E18*E17)+1+I19+I20))</f>
        <v>7.93</v>
      </c>
      <c r="F21" s="319" t="s">
        <v>10</v>
      </c>
      <c r="G21" s="333"/>
      <c r="H21" s="333"/>
      <c r="M21"/>
    </row>
    <row r="22" spans="1:1022 1034:3063 3075:4090 4102:5117 5129:6144 6156:7158 7170:8185 8197:9212 9224:10239 10251:11253 11265:12280 12292:13307 13319:14334 14346:16375" ht="19.5" hidden="1" customHeight="1" outlineLevel="1">
      <c r="A22" s="1554"/>
      <c r="B22" s="312"/>
      <c r="D22" t="str">
        <f ca="1">OFFSET(Droplist!$AB$3,,,COUNTIF(Droplist!$AB:$AB,"?*"))</f>
        <v>GB</v>
      </c>
      <c r="E22" s="1571"/>
      <c r="F22" s="319"/>
      <c r="G22" s="333"/>
      <c r="H22" s="333"/>
      <c r="M22"/>
    </row>
    <row r="23" spans="1:1022 1034:3063 3075:4090 4102:5117 5129:6144 6156:7158 7170:8185 8197:9212 9224:10239 10251:11253 11265:12280 12292:13307 13319:14334 14346:16375" s="402" customFormat="1" ht="29.25" customHeight="1" collapsed="1">
      <c r="A23" s="1572"/>
      <c r="B23" s="1573" t="s">
        <v>1306</v>
      </c>
      <c r="C23" s="1574"/>
      <c r="D23" s="1575"/>
      <c r="E23" s="1575"/>
      <c r="F23" s="1575"/>
      <c r="G23" s="1575"/>
      <c r="H23" s="1575"/>
      <c r="I23" s="3455" t="s">
        <v>3842</v>
      </c>
      <c r="J23" s="1576" t="s">
        <v>1592</v>
      </c>
      <c r="K23" s="1577"/>
      <c r="L23" s="1576" t="s">
        <v>336</v>
      </c>
      <c r="M23" s="1578"/>
      <c r="N23" s="403"/>
      <c r="R23" s="403"/>
      <c r="V23" s="403"/>
      <c r="Z23" s="403"/>
      <c r="AD23" s="403"/>
      <c r="AK23" s="403"/>
      <c r="AN23" s="402" t="s">
        <v>3558</v>
      </c>
      <c r="AP23" s="403"/>
      <c r="AU23" s="403"/>
      <c r="AZ23" s="403"/>
      <c r="BF23" s="403"/>
      <c r="BI23" s="403"/>
      <c r="BL23" s="403"/>
      <c r="BO23" s="403"/>
      <c r="BR23" s="403"/>
      <c r="BU23" s="403"/>
      <c r="BX23" s="403"/>
      <c r="CA23" s="403"/>
      <c r="CD23" s="403"/>
    </row>
    <row r="24" spans="1:1022 1034:3063 3075:4090 4102:5117 5129:6144 6156:7158 7170:8185 8197:9212 9224:10239 10251:11253 11265:12280 12292:13307 13319:14334 14346:16375" s="146" customFormat="1" ht="18" customHeight="1">
      <c r="A24" s="1776" t="s">
        <v>594</v>
      </c>
      <c r="B24" s="1776" t="s">
        <v>126</v>
      </c>
      <c r="C24" s="1776" t="s">
        <v>1349</v>
      </c>
      <c r="D24" s="1776" t="s">
        <v>235</v>
      </c>
      <c r="E24" s="1776" t="s">
        <v>1099</v>
      </c>
      <c r="F24" s="1776" t="s">
        <v>17</v>
      </c>
      <c r="G24" s="1809" t="s">
        <v>12</v>
      </c>
      <c r="H24" s="1809" t="s">
        <v>1343</v>
      </c>
      <c r="I24" s="1776" t="s">
        <v>1088</v>
      </c>
      <c r="J24" s="1776" t="s">
        <v>212</v>
      </c>
      <c r="K24" s="1776" t="s">
        <v>1089</v>
      </c>
      <c r="L24" s="1776" t="s">
        <v>212</v>
      </c>
      <c r="M24" s="1777" t="s">
        <v>1090</v>
      </c>
      <c r="N24" s="1777" t="s">
        <v>1875</v>
      </c>
      <c r="O24" s="1777" t="s">
        <v>2038</v>
      </c>
      <c r="P24" s="1777" t="s">
        <v>2039</v>
      </c>
      <c r="T24" s="890" t="str">
        <f>IF(VLOOKUP(A25,'Summary Data'!C:AV,45,0)&gt;0,"UV ink","con lai")</f>
        <v>con lai</v>
      </c>
      <c r="U24" s="890"/>
      <c r="AG24" s="890"/>
      <c r="AH24" s="890"/>
      <c r="AM24" s="890"/>
      <c r="AN24" s="890"/>
      <c r="AO24" s="890"/>
      <c r="AS24" s="3457" t="s">
        <v>2055</v>
      </c>
      <c r="AT24" s="3457" t="s">
        <v>3559</v>
      </c>
      <c r="AU24" s="3457" t="s">
        <v>3560</v>
      </c>
      <c r="AV24" s="3457" t="s">
        <v>3561</v>
      </c>
      <c r="AW24" s="3457"/>
      <c r="BF24" s="146">
        <v>17</v>
      </c>
      <c r="BG24" s="890"/>
      <c r="BH24" s="890"/>
      <c r="BO24" s="146">
        <f>BF24+17</f>
        <v>34</v>
      </c>
      <c r="BP24" s="890"/>
      <c r="BQ24" s="890"/>
      <c r="BX24" s="146">
        <f>BO24+17</f>
        <v>51</v>
      </c>
      <c r="BY24" s="890"/>
      <c r="BZ24" s="890"/>
      <c r="CG24" s="146">
        <f>BX24+17</f>
        <v>68</v>
      </c>
      <c r="CH24" s="890"/>
      <c r="CI24" s="890"/>
      <c r="CP24" s="146">
        <f>CG24+17</f>
        <v>85</v>
      </c>
      <c r="CQ24" s="890"/>
      <c r="CR24" s="890"/>
      <c r="CY24" s="146">
        <f>CP24+17</f>
        <v>102</v>
      </c>
      <c r="CZ24" s="890"/>
      <c r="DA24" s="890"/>
      <c r="DH24" s="146">
        <f>CY24+17</f>
        <v>119</v>
      </c>
      <c r="DI24" s="890"/>
      <c r="DJ24" s="890"/>
      <c r="DQ24" s="146">
        <f>DH24+17</f>
        <v>136</v>
      </c>
      <c r="DR24" s="890"/>
      <c r="DS24" s="890"/>
      <c r="DT24" s="890"/>
      <c r="DZ24" s="146">
        <f>DQ24+17</f>
        <v>153</v>
      </c>
      <c r="EA24" s="890"/>
      <c r="EB24" s="890"/>
      <c r="EI24" s="146">
        <f>DZ24+17</f>
        <v>170</v>
      </c>
      <c r="EJ24" s="890"/>
      <c r="EK24" s="890"/>
      <c r="ER24" s="146">
        <f>EI24+17</f>
        <v>187</v>
      </c>
      <c r="ES24" s="890"/>
      <c r="ET24" s="890"/>
      <c r="EU24" s="890"/>
      <c r="FA24" s="146">
        <f>ER24+17</f>
        <v>204</v>
      </c>
      <c r="FB24" s="890"/>
      <c r="FC24" s="890"/>
      <c r="FJ24" s="146">
        <f>FA24+17</f>
        <v>221</v>
      </c>
      <c r="FK24" s="890"/>
      <c r="FL24" s="890"/>
      <c r="FS24" s="146">
        <f>FJ24+17</f>
        <v>238</v>
      </c>
      <c r="FT24" s="890"/>
      <c r="FU24" s="890"/>
      <c r="GB24" s="146">
        <f>FS24+17</f>
        <v>255</v>
      </c>
      <c r="GC24" s="890"/>
      <c r="GD24" s="890"/>
      <c r="GG24" s="890"/>
      <c r="GH24" s="890"/>
      <c r="GT24" s="890"/>
      <c r="GU24" s="890"/>
      <c r="HG24" s="890"/>
      <c r="HH24" s="890"/>
      <c r="HT24" s="890"/>
      <c r="HU24" s="890"/>
      <c r="IG24" s="890"/>
      <c r="IH24" s="890"/>
      <c r="IT24" s="890"/>
      <c r="IU24" s="890"/>
      <c r="JG24" s="890"/>
      <c r="JH24" s="890"/>
      <c r="JT24" s="890"/>
      <c r="JU24" s="890"/>
      <c r="KG24" s="890"/>
      <c r="KH24" s="890"/>
      <c r="KT24" s="890"/>
      <c r="KU24" s="890"/>
      <c r="LG24" s="890"/>
      <c r="LH24" s="890"/>
      <c r="LT24" s="890"/>
      <c r="LU24" s="890"/>
      <c r="MG24" s="890"/>
      <c r="MH24" s="890"/>
      <c r="MT24" s="890"/>
      <c r="MU24" s="890"/>
      <c r="NG24" s="890"/>
      <c r="NH24" s="890"/>
      <c r="NT24" s="890"/>
      <c r="NU24" s="890"/>
      <c r="OG24" s="890"/>
      <c r="OH24" s="890"/>
      <c r="OT24" s="890"/>
      <c r="OU24" s="890"/>
      <c r="PG24" s="890"/>
      <c r="PH24" s="890"/>
      <c r="PT24" s="890"/>
      <c r="PU24" s="890"/>
      <c r="QG24" s="890"/>
      <c r="QH24" s="890"/>
      <c r="QT24" s="890"/>
      <c r="QU24" s="890"/>
      <c r="RG24" s="890"/>
      <c r="RH24" s="890"/>
      <c r="RT24" s="890"/>
      <c r="RU24" s="890"/>
      <c r="SG24" s="890"/>
      <c r="SH24" s="890"/>
      <c r="ST24" s="890"/>
      <c r="SU24" s="890"/>
      <c r="TG24" s="890"/>
      <c r="TH24" s="890"/>
      <c r="TT24" s="890"/>
      <c r="TU24" s="890"/>
      <c r="UG24" s="890"/>
      <c r="UH24" s="890"/>
      <c r="UT24" s="890"/>
      <c r="UU24" s="890"/>
      <c r="VG24" s="890"/>
      <c r="VH24" s="890"/>
      <c r="VT24" s="890"/>
      <c r="VU24" s="890"/>
      <c r="WG24" s="890"/>
      <c r="WH24" s="890"/>
      <c r="WT24" s="890"/>
      <c r="WU24" s="890"/>
      <c r="XG24" s="890"/>
      <c r="XH24" s="890"/>
      <c r="XT24" s="890"/>
      <c r="XU24" s="890"/>
      <c r="YG24" s="890"/>
      <c r="YH24" s="890"/>
      <c r="YT24" s="890"/>
      <c r="YU24" s="890"/>
      <c r="ZG24" s="890"/>
      <c r="ZH24" s="890"/>
      <c r="ZT24" s="890"/>
      <c r="ZU24" s="890"/>
      <c r="AAG24" s="890"/>
      <c r="AAH24" s="890"/>
      <c r="AAT24" s="890"/>
      <c r="AAU24" s="890"/>
      <c r="ABG24" s="890"/>
      <c r="ABH24" s="890"/>
      <c r="ABT24" s="890"/>
      <c r="ABU24" s="890"/>
      <c r="ACG24" s="890"/>
      <c r="ACH24" s="890"/>
      <c r="ACT24" s="890"/>
      <c r="ACU24" s="890"/>
      <c r="ADG24" s="890"/>
      <c r="ADH24" s="890"/>
      <c r="ADT24" s="890"/>
      <c r="ADU24" s="890"/>
      <c r="AEG24" s="890"/>
      <c r="AEH24" s="890"/>
      <c r="AET24" s="890"/>
      <c r="AEU24" s="890"/>
      <c r="AFG24" s="890"/>
      <c r="AFH24" s="890"/>
      <c r="AFT24" s="890"/>
      <c r="AFU24" s="890"/>
      <c r="AGG24" s="890"/>
      <c r="AGH24" s="890"/>
      <c r="AGT24" s="890"/>
      <c r="AGU24" s="890"/>
      <c r="AHG24" s="890"/>
      <c r="AHH24" s="890"/>
      <c r="AHT24" s="890"/>
      <c r="AHU24" s="890"/>
      <c r="AIG24" s="890"/>
      <c r="AIH24" s="890"/>
      <c r="AIT24" s="890"/>
      <c r="AIU24" s="890"/>
      <c r="AJG24" s="890"/>
      <c r="AJH24" s="890"/>
      <c r="AJT24" s="890"/>
      <c r="AJU24" s="890"/>
      <c r="AKG24" s="890"/>
      <c r="AKH24" s="890"/>
      <c r="AKT24" s="890"/>
      <c r="AKU24" s="890"/>
      <c r="ALG24" s="890"/>
      <c r="ALH24" s="890"/>
      <c r="ALT24" s="890"/>
      <c r="ALU24" s="890"/>
      <c r="AMG24" s="890"/>
      <c r="AMH24" s="890"/>
      <c r="AMT24" s="890"/>
      <c r="AMU24" s="890"/>
      <c r="ANG24" s="890"/>
      <c r="ANH24" s="890"/>
      <c r="ANT24" s="890"/>
      <c r="ANU24" s="890"/>
      <c r="AOG24" s="890"/>
      <c r="AOH24" s="890"/>
      <c r="AOT24" s="890"/>
      <c r="AOU24" s="890"/>
      <c r="APG24" s="890"/>
      <c r="APH24" s="890"/>
      <c r="APT24" s="890"/>
      <c r="APU24" s="890"/>
      <c r="AQG24" s="890"/>
      <c r="AQH24" s="890"/>
      <c r="AQT24" s="890"/>
      <c r="AQU24" s="890"/>
      <c r="ARG24" s="890"/>
      <c r="ARH24" s="890"/>
      <c r="ART24" s="890"/>
      <c r="ARU24" s="890"/>
      <c r="ASG24" s="890"/>
      <c r="ASH24" s="890"/>
      <c r="AST24" s="890"/>
      <c r="ASU24" s="890"/>
      <c r="ATG24" s="890"/>
      <c r="ATH24" s="890"/>
      <c r="ATT24" s="890"/>
      <c r="ATU24" s="890"/>
      <c r="AUG24" s="890"/>
      <c r="AUH24" s="890"/>
      <c r="AUT24" s="890"/>
      <c r="AUU24" s="890"/>
      <c r="AVG24" s="890"/>
      <c r="AVH24" s="890"/>
      <c r="AVT24" s="890"/>
      <c r="AVU24" s="890"/>
      <c r="AWG24" s="890"/>
      <c r="AWH24" s="890"/>
      <c r="AWT24" s="890"/>
      <c r="AWU24" s="890"/>
      <c r="AXG24" s="890"/>
      <c r="AXH24" s="890"/>
      <c r="AXT24" s="890"/>
      <c r="AXU24" s="890"/>
      <c r="AYG24" s="890"/>
      <c r="AYH24" s="890"/>
      <c r="AYT24" s="890"/>
      <c r="AYU24" s="890"/>
      <c r="AZG24" s="890"/>
      <c r="AZH24" s="890"/>
      <c r="AZT24" s="890"/>
      <c r="AZU24" s="890"/>
      <c r="BAG24" s="890"/>
      <c r="BAH24" s="890"/>
      <c r="BAT24" s="890"/>
      <c r="BAU24" s="890"/>
      <c r="BBG24" s="890"/>
      <c r="BBH24" s="890"/>
      <c r="BBT24" s="890"/>
      <c r="BBU24" s="890"/>
      <c r="BCG24" s="890"/>
      <c r="BCH24" s="890"/>
      <c r="BCT24" s="890"/>
      <c r="BCU24" s="890"/>
      <c r="BDG24" s="890"/>
      <c r="BDH24" s="890"/>
      <c r="BDT24" s="890"/>
      <c r="BDU24" s="890"/>
      <c r="BEG24" s="890"/>
      <c r="BEH24" s="890"/>
      <c r="BET24" s="890"/>
      <c r="BEU24" s="890"/>
      <c r="BFG24" s="890"/>
      <c r="BFH24" s="890"/>
      <c r="BFT24" s="890"/>
      <c r="BFU24" s="890"/>
      <c r="BGG24" s="890"/>
      <c r="BGH24" s="890"/>
      <c r="BGT24" s="890"/>
      <c r="BGU24" s="890"/>
      <c r="BHG24" s="890"/>
      <c r="BHH24" s="890"/>
      <c r="BHT24" s="890"/>
      <c r="BHU24" s="890"/>
      <c r="BIG24" s="890"/>
      <c r="BIH24" s="890"/>
      <c r="BIT24" s="890"/>
      <c r="BIU24" s="890"/>
      <c r="BJG24" s="890"/>
      <c r="BJH24" s="890"/>
      <c r="BJT24" s="890"/>
      <c r="BJU24" s="890"/>
      <c r="BKG24" s="890"/>
      <c r="BKH24" s="890"/>
      <c r="BKT24" s="890"/>
      <c r="BKU24" s="890"/>
      <c r="BLG24" s="890"/>
      <c r="BLH24" s="890"/>
      <c r="BLT24" s="890"/>
      <c r="BLU24" s="890"/>
      <c r="BMG24" s="890"/>
      <c r="BMH24" s="890"/>
      <c r="BMT24" s="890"/>
      <c r="BMU24" s="890"/>
      <c r="BNG24" s="890"/>
      <c r="BNH24" s="890"/>
      <c r="BNT24" s="890"/>
      <c r="BNU24" s="890"/>
      <c r="BOG24" s="890"/>
      <c r="BOH24" s="890"/>
      <c r="BOT24" s="890"/>
      <c r="BOU24" s="890"/>
      <c r="BPG24" s="890"/>
      <c r="BPH24" s="890"/>
      <c r="BPT24" s="890"/>
      <c r="BPU24" s="890"/>
      <c r="BQG24" s="890"/>
      <c r="BQH24" s="890"/>
      <c r="BQT24" s="890"/>
      <c r="BQU24" s="890"/>
      <c r="BRG24" s="890"/>
      <c r="BRH24" s="890"/>
      <c r="BRT24" s="890"/>
      <c r="BRU24" s="890"/>
      <c r="BSG24" s="890"/>
      <c r="BSH24" s="890"/>
      <c r="BST24" s="890"/>
      <c r="BSU24" s="890"/>
      <c r="BTG24" s="890"/>
      <c r="BTH24" s="890"/>
      <c r="BTT24" s="890"/>
      <c r="BTU24" s="890"/>
      <c r="BUG24" s="890"/>
      <c r="BUH24" s="890"/>
      <c r="BUT24" s="890"/>
      <c r="BUU24" s="890"/>
      <c r="BVG24" s="890"/>
      <c r="BVH24" s="890"/>
      <c r="BVT24" s="890"/>
      <c r="BVU24" s="890"/>
      <c r="BWG24" s="890"/>
      <c r="BWH24" s="890"/>
      <c r="BWT24" s="890"/>
      <c r="BWU24" s="890"/>
      <c r="BXG24" s="890"/>
      <c r="BXH24" s="890"/>
      <c r="BXT24" s="890"/>
      <c r="BXU24" s="890"/>
      <c r="BYG24" s="890"/>
      <c r="BYH24" s="890"/>
      <c r="BYT24" s="890"/>
      <c r="BYU24" s="890"/>
      <c r="BZG24" s="890"/>
      <c r="BZH24" s="890"/>
      <c r="BZT24" s="890"/>
      <c r="BZU24" s="890"/>
      <c r="CAG24" s="890"/>
      <c r="CAH24" s="890"/>
      <c r="CAT24" s="890"/>
      <c r="CAU24" s="890"/>
      <c r="CBG24" s="890"/>
      <c r="CBH24" s="890"/>
      <c r="CBT24" s="890"/>
      <c r="CBU24" s="890"/>
      <c r="CCG24" s="890"/>
      <c r="CCH24" s="890"/>
      <c r="CCT24" s="890"/>
      <c r="CCU24" s="890"/>
      <c r="CDG24" s="890"/>
      <c r="CDH24" s="890"/>
      <c r="CDT24" s="890"/>
      <c r="CDU24" s="890"/>
      <c r="CEG24" s="890"/>
      <c r="CEH24" s="890"/>
      <c r="CET24" s="890"/>
      <c r="CEU24" s="890"/>
      <c r="CFG24" s="890"/>
      <c r="CFH24" s="890"/>
      <c r="CFT24" s="890"/>
      <c r="CFU24" s="890"/>
      <c r="CGG24" s="890"/>
      <c r="CGH24" s="890"/>
      <c r="CGT24" s="890"/>
      <c r="CGU24" s="890"/>
      <c r="CHG24" s="890"/>
      <c r="CHH24" s="890"/>
      <c r="CHT24" s="890"/>
      <c r="CHU24" s="890"/>
      <c r="CIG24" s="890"/>
      <c r="CIH24" s="890"/>
      <c r="CIT24" s="890"/>
      <c r="CIU24" s="890"/>
      <c r="CJG24" s="890"/>
      <c r="CJH24" s="890"/>
      <c r="CJT24" s="890"/>
      <c r="CJU24" s="890"/>
      <c r="CKG24" s="890"/>
      <c r="CKH24" s="890"/>
      <c r="CKT24" s="890"/>
      <c r="CKU24" s="890"/>
      <c r="CLG24" s="890"/>
      <c r="CLH24" s="890"/>
      <c r="CLT24" s="890"/>
      <c r="CLU24" s="890"/>
      <c r="CMG24" s="890"/>
      <c r="CMH24" s="890"/>
      <c r="CMT24" s="890"/>
      <c r="CMU24" s="890"/>
      <c r="CNG24" s="890"/>
      <c r="CNH24" s="890"/>
      <c r="CNT24" s="890"/>
      <c r="CNU24" s="890"/>
      <c r="COG24" s="890"/>
      <c r="COH24" s="890"/>
      <c r="COT24" s="890"/>
      <c r="COU24" s="890"/>
      <c r="CPG24" s="890"/>
      <c r="CPH24" s="890"/>
      <c r="CPT24" s="890"/>
      <c r="CPU24" s="890"/>
      <c r="CQG24" s="890"/>
      <c r="CQH24" s="890"/>
      <c r="CQT24" s="890"/>
      <c r="CQU24" s="890"/>
      <c r="CRG24" s="890"/>
      <c r="CRH24" s="890"/>
      <c r="CRT24" s="890"/>
      <c r="CRU24" s="890"/>
      <c r="CSG24" s="890"/>
      <c r="CSH24" s="890"/>
      <c r="CST24" s="890"/>
      <c r="CSU24" s="890"/>
      <c r="CTG24" s="890"/>
      <c r="CTH24" s="890"/>
      <c r="CTT24" s="890"/>
      <c r="CTU24" s="890"/>
      <c r="CUG24" s="890"/>
      <c r="CUH24" s="890"/>
      <c r="CUT24" s="890"/>
      <c r="CUU24" s="890"/>
      <c r="CVG24" s="890"/>
      <c r="CVH24" s="890"/>
      <c r="CVT24" s="890"/>
      <c r="CVU24" s="890"/>
      <c r="CWG24" s="890"/>
      <c r="CWH24" s="890"/>
      <c r="CWT24" s="890"/>
      <c r="CWU24" s="890"/>
      <c r="CXG24" s="890"/>
      <c r="CXH24" s="890"/>
      <c r="CXT24" s="890"/>
      <c r="CXU24" s="890"/>
      <c r="CYG24" s="890"/>
      <c r="CYH24" s="890"/>
      <c r="CYT24" s="890"/>
      <c r="CYU24" s="890"/>
      <c r="CZG24" s="890"/>
      <c r="CZH24" s="890"/>
      <c r="CZT24" s="890"/>
      <c r="CZU24" s="890"/>
      <c r="DAG24" s="890"/>
      <c r="DAH24" s="890"/>
      <c r="DAT24" s="890"/>
      <c r="DAU24" s="890"/>
      <c r="DBG24" s="890"/>
      <c r="DBH24" s="890"/>
      <c r="DBT24" s="890"/>
      <c r="DBU24" s="890"/>
      <c r="DCG24" s="890"/>
      <c r="DCH24" s="890"/>
      <c r="DCT24" s="890"/>
      <c r="DCU24" s="890"/>
      <c r="DDG24" s="890"/>
      <c r="DDH24" s="890"/>
      <c r="DDT24" s="890"/>
      <c r="DDU24" s="890"/>
      <c r="DEG24" s="890"/>
      <c r="DEH24" s="890"/>
      <c r="DET24" s="890"/>
      <c r="DEU24" s="890"/>
      <c r="DFG24" s="890"/>
      <c r="DFH24" s="890"/>
      <c r="DFT24" s="890"/>
      <c r="DFU24" s="890"/>
      <c r="DGG24" s="890"/>
      <c r="DGH24" s="890"/>
      <c r="DGT24" s="890"/>
      <c r="DGU24" s="890"/>
      <c r="DHG24" s="890"/>
      <c r="DHH24" s="890"/>
      <c r="DHT24" s="890"/>
      <c r="DHU24" s="890"/>
      <c r="DIG24" s="890"/>
      <c r="DIH24" s="890"/>
      <c r="DIT24" s="890"/>
      <c r="DIU24" s="890"/>
      <c r="DJG24" s="890"/>
      <c r="DJH24" s="890"/>
      <c r="DJT24" s="890"/>
      <c r="DJU24" s="890"/>
      <c r="DKG24" s="890"/>
      <c r="DKH24" s="890"/>
      <c r="DKT24" s="890"/>
      <c r="DKU24" s="890"/>
      <c r="DLG24" s="890"/>
      <c r="DLH24" s="890"/>
      <c r="DLT24" s="890"/>
      <c r="DLU24" s="890"/>
      <c r="DMG24" s="890"/>
      <c r="DMH24" s="890"/>
      <c r="DMT24" s="890"/>
      <c r="DMU24" s="890"/>
      <c r="DNG24" s="890"/>
      <c r="DNH24" s="890"/>
      <c r="DNT24" s="890"/>
      <c r="DNU24" s="890"/>
      <c r="DOG24" s="890"/>
      <c r="DOH24" s="890"/>
      <c r="DOT24" s="890"/>
      <c r="DOU24" s="890"/>
      <c r="DPG24" s="890"/>
      <c r="DPH24" s="890"/>
      <c r="DPT24" s="890"/>
      <c r="DPU24" s="890"/>
      <c r="DQG24" s="890"/>
      <c r="DQH24" s="890"/>
      <c r="DQT24" s="890"/>
      <c r="DQU24" s="890"/>
      <c r="DRG24" s="890"/>
      <c r="DRH24" s="890"/>
      <c r="DRT24" s="890"/>
      <c r="DRU24" s="890"/>
      <c r="DSG24" s="890"/>
      <c r="DSH24" s="890"/>
      <c r="DST24" s="890"/>
      <c r="DSU24" s="890"/>
      <c r="DTG24" s="890"/>
      <c r="DTH24" s="890"/>
      <c r="DTT24" s="890"/>
      <c r="DTU24" s="890"/>
      <c r="DUG24" s="890"/>
      <c r="DUH24" s="890"/>
      <c r="DUT24" s="890"/>
      <c r="DUU24" s="890"/>
      <c r="DVG24" s="890"/>
      <c r="DVH24" s="890"/>
      <c r="DVT24" s="890"/>
      <c r="DVU24" s="890"/>
      <c r="DWG24" s="890"/>
      <c r="DWH24" s="890"/>
      <c r="DWT24" s="890"/>
      <c r="DWU24" s="890"/>
      <c r="DXG24" s="890"/>
      <c r="DXH24" s="890"/>
      <c r="DXT24" s="890"/>
      <c r="DXU24" s="890"/>
      <c r="DYG24" s="890"/>
      <c r="DYH24" s="890"/>
      <c r="DYT24" s="890"/>
      <c r="DYU24" s="890"/>
      <c r="DZG24" s="890"/>
      <c r="DZH24" s="890"/>
      <c r="DZT24" s="890"/>
      <c r="DZU24" s="890"/>
      <c r="EAG24" s="890"/>
      <c r="EAH24" s="890"/>
      <c r="EAT24" s="890"/>
      <c r="EAU24" s="890"/>
      <c r="EBG24" s="890"/>
      <c r="EBH24" s="890"/>
      <c r="EBT24" s="890"/>
      <c r="EBU24" s="890"/>
      <c r="ECG24" s="890"/>
      <c r="ECH24" s="890"/>
      <c r="ECT24" s="890"/>
      <c r="ECU24" s="890"/>
      <c r="EDG24" s="890"/>
      <c r="EDH24" s="890"/>
      <c r="EDT24" s="890"/>
      <c r="EDU24" s="890"/>
      <c r="EEG24" s="890"/>
      <c r="EEH24" s="890"/>
      <c r="EET24" s="890"/>
      <c r="EEU24" s="890"/>
      <c r="EFG24" s="890"/>
      <c r="EFH24" s="890"/>
      <c r="EFT24" s="890"/>
      <c r="EFU24" s="890"/>
      <c r="EGG24" s="890"/>
      <c r="EGH24" s="890"/>
      <c r="EGT24" s="890"/>
      <c r="EGU24" s="890"/>
      <c r="EHG24" s="890"/>
      <c r="EHH24" s="890"/>
      <c r="EHT24" s="890"/>
      <c r="EHU24" s="890"/>
      <c r="EIG24" s="890"/>
      <c r="EIH24" s="890"/>
      <c r="EIT24" s="890"/>
      <c r="EIU24" s="890"/>
      <c r="EJG24" s="890"/>
      <c r="EJH24" s="890"/>
      <c r="EJT24" s="890"/>
      <c r="EJU24" s="890"/>
      <c r="EKG24" s="890"/>
      <c r="EKH24" s="890"/>
      <c r="EKT24" s="890"/>
      <c r="EKU24" s="890"/>
      <c r="ELG24" s="890"/>
      <c r="ELH24" s="890"/>
      <c r="ELT24" s="890"/>
      <c r="ELU24" s="890"/>
      <c r="EMG24" s="890"/>
      <c r="EMH24" s="890"/>
      <c r="EMT24" s="890"/>
      <c r="EMU24" s="890"/>
      <c r="ENG24" s="890"/>
      <c r="ENH24" s="890"/>
      <c r="ENT24" s="890"/>
      <c r="ENU24" s="890"/>
      <c r="EOG24" s="890"/>
      <c r="EOH24" s="890"/>
      <c r="EOT24" s="890"/>
      <c r="EOU24" s="890"/>
      <c r="EPG24" s="890"/>
      <c r="EPH24" s="890"/>
      <c r="EPT24" s="890"/>
      <c r="EPU24" s="890"/>
      <c r="EQG24" s="890"/>
      <c r="EQH24" s="890"/>
      <c r="EQT24" s="890"/>
      <c r="EQU24" s="890"/>
      <c r="ERG24" s="890"/>
      <c r="ERH24" s="890"/>
      <c r="ERT24" s="890"/>
      <c r="ERU24" s="890"/>
      <c r="ESG24" s="890"/>
      <c r="ESH24" s="890"/>
      <c r="EST24" s="890"/>
      <c r="ESU24" s="890"/>
      <c r="ETG24" s="890"/>
      <c r="ETH24" s="890"/>
      <c r="ETT24" s="890"/>
      <c r="ETU24" s="890"/>
      <c r="EUG24" s="890"/>
      <c r="EUH24" s="890"/>
      <c r="EUT24" s="890"/>
      <c r="EUU24" s="890"/>
      <c r="EVG24" s="890"/>
      <c r="EVH24" s="890"/>
      <c r="EVT24" s="890"/>
      <c r="EVU24" s="890"/>
      <c r="EWG24" s="890"/>
      <c r="EWH24" s="890"/>
      <c r="EWT24" s="890"/>
      <c r="EWU24" s="890"/>
      <c r="EXG24" s="890"/>
      <c r="EXH24" s="890"/>
      <c r="EXT24" s="890"/>
      <c r="EXU24" s="890"/>
      <c r="EYG24" s="890"/>
      <c r="EYH24" s="890"/>
      <c r="EYT24" s="890"/>
      <c r="EYU24" s="890"/>
      <c r="EZG24" s="890"/>
      <c r="EZH24" s="890"/>
      <c r="EZT24" s="890"/>
      <c r="EZU24" s="890"/>
      <c r="FAG24" s="890"/>
      <c r="FAH24" s="890"/>
      <c r="FAT24" s="890"/>
      <c r="FAU24" s="890"/>
      <c r="FBG24" s="890"/>
      <c r="FBH24" s="890"/>
      <c r="FBT24" s="890"/>
      <c r="FBU24" s="890"/>
      <c r="FCG24" s="890"/>
      <c r="FCH24" s="890"/>
      <c r="FCT24" s="890"/>
      <c r="FCU24" s="890"/>
      <c r="FDG24" s="890"/>
      <c r="FDH24" s="890"/>
      <c r="FDT24" s="890"/>
      <c r="FDU24" s="890"/>
      <c r="FEG24" s="890"/>
      <c r="FEH24" s="890"/>
      <c r="FET24" s="890"/>
      <c r="FEU24" s="890"/>
      <c r="FFG24" s="890"/>
      <c r="FFH24" s="890"/>
      <c r="FFT24" s="890"/>
      <c r="FFU24" s="890"/>
      <c r="FGG24" s="890"/>
      <c r="FGH24" s="890"/>
      <c r="FGT24" s="890"/>
      <c r="FGU24" s="890"/>
      <c r="FHG24" s="890"/>
      <c r="FHH24" s="890"/>
      <c r="FHT24" s="890"/>
      <c r="FHU24" s="890"/>
      <c r="FIG24" s="890"/>
      <c r="FIH24" s="890"/>
      <c r="FIT24" s="890"/>
      <c r="FIU24" s="890"/>
      <c r="FJG24" s="890"/>
      <c r="FJH24" s="890"/>
      <c r="FJT24" s="890"/>
      <c r="FJU24" s="890"/>
      <c r="FKG24" s="890"/>
      <c r="FKH24" s="890"/>
      <c r="FKT24" s="890"/>
      <c r="FKU24" s="890"/>
      <c r="FLG24" s="890"/>
      <c r="FLH24" s="890"/>
      <c r="FLT24" s="890"/>
      <c r="FLU24" s="890"/>
      <c r="FMG24" s="890"/>
      <c r="FMH24" s="890"/>
      <c r="FMT24" s="890"/>
      <c r="FMU24" s="890"/>
      <c r="FNG24" s="890"/>
      <c r="FNH24" s="890"/>
      <c r="FNT24" s="890"/>
      <c r="FNU24" s="890"/>
      <c r="FOG24" s="890"/>
      <c r="FOH24" s="890"/>
      <c r="FOT24" s="890"/>
      <c r="FOU24" s="890"/>
      <c r="FPG24" s="890"/>
      <c r="FPH24" s="890"/>
      <c r="FPT24" s="890"/>
      <c r="FPU24" s="890"/>
      <c r="FQG24" s="890"/>
      <c r="FQH24" s="890"/>
      <c r="FQT24" s="890"/>
      <c r="FQU24" s="890"/>
      <c r="FRG24" s="890"/>
      <c r="FRH24" s="890"/>
      <c r="FRT24" s="890"/>
      <c r="FRU24" s="890"/>
      <c r="FSG24" s="890"/>
      <c r="FSH24" s="890"/>
      <c r="FST24" s="890"/>
      <c r="FSU24" s="890"/>
      <c r="FTG24" s="890"/>
      <c r="FTH24" s="890"/>
      <c r="FTT24" s="890"/>
      <c r="FTU24" s="890"/>
      <c r="FUG24" s="890"/>
      <c r="FUH24" s="890"/>
      <c r="FUT24" s="890"/>
      <c r="FUU24" s="890"/>
      <c r="FVG24" s="890"/>
      <c r="FVH24" s="890"/>
      <c r="FVT24" s="890"/>
      <c r="FVU24" s="890"/>
      <c r="FWG24" s="890"/>
      <c r="FWH24" s="890"/>
      <c r="FWT24" s="890"/>
      <c r="FWU24" s="890"/>
      <c r="FXG24" s="890"/>
      <c r="FXH24" s="890"/>
      <c r="FXT24" s="890"/>
      <c r="FXU24" s="890"/>
      <c r="FYG24" s="890"/>
      <c r="FYH24" s="890"/>
      <c r="FYT24" s="890"/>
      <c r="FYU24" s="890"/>
      <c r="FZG24" s="890"/>
      <c r="FZH24" s="890"/>
      <c r="FZT24" s="890"/>
      <c r="FZU24" s="890"/>
      <c r="GAG24" s="890"/>
      <c r="GAH24" s="890"/>
      <c r="GAT24" s="890"/>
      <c r="GAU24" s="890"/>
      <c r="GBG24" s="890"/>
      <c r="GBH24" s="890"/>
      <c r="GBT24" s="890"/>
      <c r="GBU24" s="890"/>
      <c r="GCG24" s="890"/>
      <c r="GCH24" s="890"/>
      <c r="GCT24" s="890"/>
      <c r="GCU24" s="890"/>
      <c r="GDG24" s="890"/>
      <c r="GDH24" s="890"/>
      <c r="GDT24" s="890"/>
      <c r="GDU24" s="890"/>
      <c r="GEG24" s="890"/>
      <c r="GEH24" s="890"/>
      <c r="GET24" s="890"/>
      <c r="GEU24" s="890"/>
      <c r="GFG24" s="890"/>
      <c r="GFH24" s="890"/>
      <c r="GFT24" s="890"/>
      <c r="GFU24" s="890"/>
      <c r="GGG24" s="890"/>
      <c r="GGH24" s="890"/>
      <c r="GGT24" s="890"/>
      <c r="GGU24" s="890"/>
      <c r="GHG24" s="890"/>
      <c r="GHH24" s="890"/>
      <c r="GHT24" s="890"/>
      <c r="GHU24" s="890"/>
      <c r="GIG24" s="890"/>
      <c r="GIH24" s="890"/>
      <c r="GIT24" s="890"/>
      <c r="GIU24" s="890"/>
      <c r="GJG24" s="890"/>
      <c r="GJH24" s="890"/>
      <c r="GJT24" s="890"/>
      <c r="GJU24" s="890"/>
      <c r="GKG24" s="890"/>
      <c r="GKH24" s="890"/>
      <c r="GKT24" s="890"/>
      <c r="GKU24" s="890"/>
      <c r="GLG24" s="890"/>
      <c r="GLH24" s="890"/>
      <c r="GLT24" s="890"/>
      <c r="GLU24" s="890"/>
      <c r="GMG24" s="890"/>
      <c r="GMH24" s="890"/>
      <c r="GMT24" s="890"/>
      <c r="GMU24" s="890"/>
      <c r="GNG24" s="890"/>
      <c r="GNH24" s="890"/>
      <c r="GNT24" s="890"/>
      <c r="GNU24" s="890"/>
      <c r="GOG24" s="890"/>
      <c r="GOH24" s="890"/>
      <c r="GOT24" s="890"/>
      <c r="GOU24" s="890"/>
      <c r="GPG24" s="890"/>
      <c r="GPH24" s="890"/>
      <c r="GPT24" s="890"/>
      <c r="GPU24" s="890"/>
      <c r="GQG24" s="890"/>
      <c r="GQH24" s="890"/>
      <c r="GQT24" s="890"/>
      <c r="GQU24" s="890"/>
      <c r="GRG24" s="890"/>
      <c r="GRH24" s="890"/>
      <c r="GRT24" s="890"/>
      <c r="GRU24" s="890"/>
      <c r="GSG24" s="890"/>
      <c r="GSH24" s="890"/>
      <c r="GST24" s="890"/>
      <c r="GSU24" s="890"/>
      <c r="GTG24" s="890"/>
      <c r="GTH24" s="890"/>
      <c r="GTT24" s="890"/>
      <c r="GTU24" s="890"/>
      <c r="GUG24" s="890"/>
      <c r="GUH24" s="890"/>
      <c r="GUT24" s="890"/>
      <c r="GUU24" s="890"/>
      <c r="GVG24" s="890"/>
      <c r="GVH24" s="890"/>
      <c r="GVT24" s="890"/>
      <c r="GVU24" s="890"/>
      <c r="GWG24" s="890"/>
      <c r="GWH24" s="890"/>
      <c r="GWT24" s="890"/>
      <c r="GWU24" s="890"/>
      <c r="GXG24" s="890"/>
      <c r="GXH24" s="890"/>
      <c r="GXT24" s="890"/>
      <c r="GXU24" s="890"/>
      <c r="GYG24" s="890"/>
      <c r="GYH24" s="890"/>
      <c r="GYT24" s="890"/>
      <c r="GYU24" s="890"/>
      <c r="GZG24" s="890"/>
      <c r="GZH24" s="890"/>
      <c r="GZT24" s="890"/>
      <c r="GZU24" s="890"/>
      <c r="HAG24" s="890"/>
      <c r="HAH24" s="890"/>
      <c r="HAT24" s="890"/>
      <c r="HAU24" s="890"/>
      <c r="HBG24" s="890"/>
      <c r="HBH24" s="890"/>
      <c r="HBT24" s="890"/>
      <c r="HBU24" s="890"/>
      <c r="HCG24" s="890"/>
      <c r="HCH24" s="890"/>
      <c r="HCT24" s="890"/>
      <c r="HCU24" s="890"/>
      <c r="HDG24" s="890"/>
      <c r="HDH24" s="890"/>
      <c r="HDT24" s="890"/>
      <c r="HDU24" s="890"/>
      <c r="HEG24" s="890"/>
      <c r="HEH24" s="890"/>
      <c r="HET24" s="890"/>
      <c r="HEU24" s="890"/>
      <c r="HFG24" s="890"/>
      <c r="HFH24" s="890"/>
      <c r="HFT24" s="890"/>
      <c r="HFU24" s="890"/>
      <c r="HGG24" s="890"/>
      <c r="HGH24" s="890"/>
      <c r="HGT24" s="890"/>
      <c r="HGU24" s="890"/>
      <c r="HHG24" s="890"/>
      <c r="HHH24" s="890"/>
      <c r="HHT24" s="890"/>
      <c r="HHU24" s="890"/>
      <c r="HIG24" s="890"/>
      <c r="HIH24" s="890"/>
      <c r="HIT24" s="890"/>
      <c r="HIU24" s="890"/>
      <c r="HJG24" s="890"/>
      <c r="HJH24" s="890"/>
      <c r="HJT24" s="890"/>
      <c r="HJU24" s="890"/>
      <c r="HKG24" s="890"/>
      <c r="HKH24" s="890"/>
      <c r="HKT24" s="890"/>
      <c r="HKU24" s="890"/>
      <c r="HLG24" s="890"/>
      <c r="HLH24" s="890"/>
      <c r="HLT24" s="890"/>
      <c r="HLU24" s="890"/>
      <c r="HMG24" s="890"/>
      <c r="HMH24" s="890"/>
      <c r="HMT24" s="890"/>
      <c r="HMU24" s="890"/>
      <c r="HNG24" s="890"/>
      <c r="HNH24" s="890"/>
      <c r="HNT24" s="890"/>
      <c r="HNU24" s="890"/>
      <c r="HOG24" s="890"/>
      <c r="HOH24" s="890"/>
      <c r="HOT24" s="890"/>
      <c r="HOU24" s="890"/>
      <c r="HPG24" s="890"/>
      <c r="HPH24" s="890"/>
      <c r="HPT24" s="890"/>
      <c r="HPU24" s="890"/>
      <c r="HQG24" s="890"/>
      <c r="HQH24" s="890"/>
      <c r="HQT24" s="890"/>
      <c r="HQU24" s="890"/>
      <c r="HRG24" s="890"/>
      <c r="HRH24" s="890"/>
      <c r="HRT24" s="890"/>
      <c r="HRU24" s="890"/>
      <c r="HSG24" s="890"/>
      <c r="HSH24" s="890"/>
      <c r="HST24" s="890"/>
      <c r="HSU24" s="890"/>
      <c r="HTG24" s="890"/>
      <c r="HTH24" s="890"/>
      <c r="HTT24" s="890"/>
      <c r="HTU24" s="890"/>
      <c r="HUG24" s="890"/>
      <c r="HUH24" s="890"/>
      <c r="HUT24" s="890"/>
      <c r="HUU24" s="890"/>
      <c r="HVG24" s="890"/>
      <c r="HVH24" s="890"/>
      <c r="HVT24" s="890"/>
      <c r="HVU24" s="890"/>
      <c r="HWG24" s="890"/>
      <c r="HWH24" s="890"/>
      <c r="HWT24" s="890"/>
      <c r="HWU24" s="890"/>
      <c r="HXG24" s="890"/>
      <c r="HXH24" s="890"/>
      <c r="HXT24" s="890"/>
      <c r="HXU24" s="890"/>
      <c r="HYG24" s="890"/>
      <c r="HYH24" s="890"/>
      <c r="HYT24" s="890"/>
      <c r="HYU24" s="890"/>
      <c r="HZG24" s="890"/>
      <c r="HZH24" s="890"/>
      <c r="HZT24" s="890"/>
      <c r="HZU24" s="890"/>
      <c r="IAG24" s="890"/>
      <c r="IAH24" s="890"/>
      <c r="IAT24" s="890"/>
      <c r="IAU24" s="890"/>
      <c r="IBG24" s="890"/>
      <c r="IBH24" s="890"/>
      <c r="IBT24" s="890"/>
      <c r="IBU24" s="890"/>
      <c r="ICG24" s="890"/>
      <c r="ICH24" s="890"/>
      <c r="ICT24" s="890"/>
      <c r="ICU24" s="890"/>
      <c r="IDG24" s="890"/>
      <c r="IDH24" s="890"/>
      <c r="IDT24" s="890"/>
      <c r="IDU24" s="890"/>
      <c r="IEG24" s="890"/>
      <c r="IEH24" s="890"/>
      <c r="IET24" s="890"/>
      <c r="IEU24" s="890"/>
      <c r="IFG24" s="890"/>
      <c r="IFH24" s="890"/>
      <c r="IFT24" s="890"/>
      <c r="IFU24" s="890"/>
      <c r="IGG24" s="890"/>
      <c r="IGH24" s="890"/>
      <c r="IGT24" s="890"/>
      <c r="IGU24" s="890"/>
      <c r="IHG24" s="890"/>
      <c r="IHH24" s="890"/>
      <c r="IHT24" s="890"/>
      <c r="IHU24" s="890"/>
      <c r="IIG24" s="890"/>
      <c r="IIH24" s="890"/>
      <c r="IIT24" s="890"/>
      <c r="IIU24" s="890"/>
      <c r="IJG24" s="890"/>
      <c r="IJH24" s="890"/>
      <c r="IJT24" s="890"/>
      <c r="IJU24" s="890"/>
      <c r="IKG24" s="890"/>
      <c r="IKH24" s="890"/>
      <c r="IKT24" s="890"/>
      <c r="IKU24" s="890"/>
      <c r="ILG24" s="890"/>
      <c r="ILH24" s="890"/>
      <c r="ILT24" s="890"/>
      <c r="ILU24" s="890"/>
      <c r="IMG24" s="890"/>
      <c r="IMH24" s="890"/>
      <c r="IMT24" s="890"/>
      <c r="IMU24" s="890"/>
      <c r="ING24" s="890"/>
      <c r="INH24" s="890"/>
      <c r="INT24" s="890"/>
      <c r="INU24" s="890"/>
      <c r="IOG24" s="890"/>
      <c r="IOH24" s="890"/>
      <c r="IOT24" s="890"/>
      <c r="IOU24" s="890"/>
      <c r="IPG24" s="890"/>
      <c r="IPH24" s="890"/>
      <c r="IPT24" s="890"/>
      <c r="IPU24" s="890"/>
      <c r="IQG24" s="890"/>
      <c r="IQH24" s="890"/>
      <c r="IQT24" s="890"/>
      <c r="IQU24" s="890"/>
      <c r="IRG24" s="890"/>
      <c r="IRH24" s="890"/>
      <c r="IRT24" s="890"/>
      <c r="IRU24" s="890"/>
      <c r="ISG24" s="890"/>
      <c r="ISH24" s="890"/>
      <c r="IST24" s="890"/>
      <c r="ISU24" s="890"/>
      <c r="ITG24" s="890"/>
      <c r="ITH24" s="890"/>
      <c r="ITT24" s="890"/>
      <c r="ITU24" s="890"/>
      <c r="IUG24" s="890"/>
      <c r="IUH24" s="890"/>
      <c r="IUT24" s="890"/>
      <c r="IUU24" s="890"/>
      <c r="IVG24" s="890"/>
      <c r="IVH24" s="890"/>
      <c r="IVT24" s="890"/>
      <c r="IVU24" s="890"/>
      <c r="IWG24" s="890"/>
      <c r="IWH24" s="890"/>
      <c r="IWT24" s="890"/>
      <c r="IWU24" s="890"/>
      <c r="IXG24" s="890"/>
      <c r="IXH24" s="890"/>
      <c r="IXT24" s="890"/>
      <c r="IXU24" s="890"/>
      <c r="IYG24" s="890"/>
      <c r="IYH24" s="890"/>
      <c r="IYT24" s="890"/>
      <c r="IYU24" s="890"/>
      <c r="IZG24" s="890"/>
      <c r="IZH24" s="890"/>
      <c r="IZT24" s="890"/>
      <c r="IZU24" s="890"/>
      <c r="JAG24" s="890"/>
      <c r="JAH24" s="890"/>
      <c r="JAT24" s="890"/>
      <c r="JAU24" s="890"/>
      <c r="JBG24" s="890"/>
      <c r="JBH24" s="890"/>
      <c r="JBT24" s="890"/>
      <c r="JBU24" s="890"/>
      <c r="JCG24" s="890"/>
      <c r="JCH24" s="890"/>
      <c r="JCT24" s="890"/>
      <c r="JCU24" s="890"/>
      <c r="JDG24" s="890"/>
      <c r="JDH24" s="890"/>
      <c r="JDT24" s="890"/>
      <c r="JDU24" s="890"/>
      <c r="JEG24" s="890"/>
      <c r="JEH24" s="890"/>
      <c r="JET24" s="890"/>
      <c r="JEU24" s="890"/>
      <c r="JFG24" s="890"/>
      <c r="JFH24" s="890"/>
      <c r="JFT24" s="890"/>
      <c r="JFU24" s="890"/>
      <c r="JGG24" s="890"/>
      <c r="JGH24" s="890"/>
      <c r="JGT24" s="890"/>
      <c r="JGU24" s="890"/>
      <c r="JHG24" s="890"/>
      <c r="JHH24" s="890"/>
      <c r="JHT24" s="890"/>
      <c r="JHU24" s="890"/>
      <c r="JIG24" s="890"/>
      <c r="JIH24" s="890"/>
      <c r="JIT24" s="890"/>
      <c r="JIU24" s="890"/>
      <c r="JJG24" s="890"/>
      <c r="JJH24" s="890"/>
      <c r="JJT24" s="890"/>
      <c r="JJU24" s="890"/>
      <c r="JKG24" s="890"/>
      <c r="JKH24" s="890"/>
      <c r="JKT24" s="890"/>
      <c r="JKU24" s="890"/>
      <c r="JLG24" s="890"/>
      <c r="JLH24" s="890"/>
      <c r="JLT24" s="890"/>
      <c r="JLU24" s="890"/>
      <c r="JMG24" s="890"/>
      <c r="JMH24" s="890"/>
      <c r="JMT24" s="890"/>
      <c r="JMU24" s="890"/>
      <c r="JNG24" s="890"/>
      <c r="JNH24" s="890"/>
      <c r="JNT24" s="890"/>
      <c r="JNU24" s="890"/>
      <c r="JOG24" s="890"/>
      <c r="JOH24" s="890"/>
      <c r="JOT24" s="890"/>
      <c r="JOU24" s="890"/>
      <c r="JPG24" s="890"/>
      <c r="JPH24" s="890"/>
      <c r="JPT24" s="890"/>
      <c r="JPU24" s="890"/>
      <c r="JQG24" s="890"/>
      <c r="JQH24" s="890"/>
      <c r="JQT24" s="890"/>
      <c r="JQU24" s="890"/>
      <c r="JRG24" s="890"/>
      <c r="JRH24" s="890"/>
      <c r="JRT24" s="890"/>
      <c r="JRU24" s="890"/>
      <c r="JSG24" s="890"/>
      <c r="JSH24" s="890"/>
      <c r="JST24" s="890"/>
      <c r="JSU24" s="890"/>
      <c r="JTG24" s="890"/>
      <c r="JTH24" s="890"/>
      <c r="JTT24" s="890"/>
      <c r="JTU24" s="890"/>
      <c r="JUG24" s="890"/>
      <c r="JUH24" s="890"/>
      <c r="JUT24" s="890"/>
      <c r="JUU24" s="890"/>
      <c r="JVG24" s="890"/>
      <c r="JVH24" s="890"/>
      <c r="JVT24" s="890"/>
      <c r="JVU24" s="890"/>
      <c r="JWG24" s="890"/>
      <c r="JWH24" s="890"/>
      <c r="JWT24" s="890"/>
      <c r="JWU24" s="890"/>
      <c r="JXG24" s="890"/>
      <c r="JXH24" s="890"/>
      <c r="JXT24" s="890"/>
      <c r="JXU24" s="890"/>
      <c r="JYG24" s="890"/>
      <c r="JYH24" s="890"/>
      <c r="JYT24" s="890"/>
      <c r="JYU24" s="890"/>
      <c r="JZG24" s="890"/>
      <c r="JZH24" s="890"/>
      <c r="JZT24" s="890"/>
      <c r="JZU24" s="890"/>
      <c r="KAG24" s="890"/>
      <c r="KAH24" s="890"/>
      <c r="KAT24" s="890"/>
      <c r="KAU24" s="890"/>
      <c r="KBG24" s="890"/>
      <c r="KBH24" s="890"/>
      <c r="KBT24" s="890"/>
      <c r="KBU24" s="890"/>
      <c r="KCG24" s="890"/>
      <c r="KCH24" s="890"/>
      <c r="KCT24" s="890"/>
      <c r="KCU24" s="890"/>
      <c r="KDG24" s="890"/>
      <c r="KDH24" s="890"/>
      <c r="KDT24" s="890"/>
      <c r="KDU24" s="890"/>
      <c r="KEG24" s="890"/>
      <c r="KEH24" s="890"/>
      <c r="KET24" s="890"/>
      <c r="KEU24" s="890"/>
      <c r="KFG24" s="890"/>
      <c r="KFH24" s="890"/>
      <c r="KFT24" s="890"/>
      <c r="KFU24" s="890"/>
      <c r="KGG24" s="890"/>
      <c r="KGH24" s="890"/>
      <c r="KGT24" s="890"/>
      <c r="KGU24" s="890"/>
      <c r="KHG24" s="890"/>
      <c r="KHH24" s="890"/>
      <c r="KHT24" s="890"/>
      <c r="KHU24" s="890"/>
      <c r="KIG24" s="890"/>
      <c r="KIH24" s="890"/>
      <c r="KIT24" s="890"/>
      <c r="KIU24" s="890"/>
      <c r="KJG24" s="890"/>
      <c r="KJH24" s="890"/>
      <c r="KJT24" s="890"/>
      <c r="KJU24" s="890"/>
      <c r="KKG24" s="890"/>
      <c r="KKH24" s="890"/>
      <c r="KKT24" s="890"/>
      <c r="KKU24" s="890"/>
      <c r="KLG24" s="890"/>
      <c r="KLH24" s="890"/>
      <c r="KLT24" s="890"/>
      <c r="KLU24" s="890"/>
      <c r="KMG24" s="890"/>
      <c r="KMH24" s="890"/>
      <c r="KMT24" s="890"/>
      <c r="KMU24" s="890"/>
      <c r="KNG24" s="890"/>
      <c r="KNH24" s="890"/>
      <c r="KNT24" s="890"/>
      <c r="KNU24" s="890"/>
      <c r="KOG24" s="890"/>
      <c r="KOH24" s="890"/>
      <c r="KOT24" s="890"/>
      <c r="KOU24" s="890"/>
      <c r="KPG24" s="890"/>
      <c r="KPH24" s="890"/>
      <c r="KPT24" s="890"/>
      <c r="KPU24" s="890"/>
      <c r="KQG24" s="890"/>
      <c r="KQH24" s="890"/>
      <c r="KQT24" s="890"/>
      <c r="KQU24" s="890"/>
      <c r="KRG24" s="890"/>
      <c r="KRH24" s="890"/>
      <c r="KRT24" s="890"/>
      <c r="KRU24" s="890"/>
      <c r="KSG24" s="890"/>
      <c r="KSH24" s="890"/>
      <c r="KST24" s="890"/>
      <c r="KSU24" s="890"/>
      <c r="KTG24" s="890"/>
      <c r="KTH24" s="890"/>
      <c r="KTT24" s="890"/>
      <c r="KTU24" s="890"/>
      <c r="KUG24" s="890"/>
      <c r="KUH24" s="890"/>
      <c r="KUT24" s="890"/>
      <c r="KUU24" s="890"/>
      <c r="KVG24" s="890"/>
      <c r="KVH24" s="890"/>
      <c r="KVT24" s="890"/>
      <c r="KVU24" s="890"/>
      <c r="KWG24" s="890"/>
      <c r="KWH24" s="890"/>
      <c r="KWT24" s="890"/>
      <c r="KWU24" s="890"/>
      <c r="KXG24" s="890"/>
      <c r="KXH24" s="890"/>
      <c r="KXT24" s="890"/>
      <c r="KXU24" s="890"/>
      <c r="KYG24" s="890"/>
      <c r="KYH24" s="890"/>
      <c r="KYT24" s="890"/>
      <c r="KYU24" s="890"/>
      <c r="KZG24" s="890"/>
      <c r="KZH24" s="890"/>
      <c r="KZT24" s="890"/>
      <c r="KZU24" s="890"/>
      <c r="LAG24" s="890"/>
      <c r="LAH24" s="890"/>
      <c r="LAT24" s="890"/>
      <c r="LAU24" s="890"/>
      <c r="LBG24" s="890"/>
      <c r="LBH24" s="890"/>
      <c r="LBT24" s="890"/>
      <c r="LBU24" s="890"/>
      <c r="LCG24" s="890"/>
      <c r="LCH24" s="890"/>
      <c r="LCT24" s="890"/>
      <c r="LCU24" s="890"/>
      <c r="LDG24" s="890"/>
      <c r="LDH24" s="890"/>
      <c r="LDT24" s="890"/>
      <c r="LDU24" s="890"/>
      <c r="LEG24" s="890"/>
      <c r="LEH24" s="890"/>
      <c r="LET24" s="890"/>
      <c r="LEU24" s="890"/>
      <c r="LFG24" s="890"/>
      <c r="LFH24" s="890"/>
      <c r="LFT24" s="890"/>
      <c r="LFU24" s="890"/>
      <c r="LGG24" s="890"/>
      <c r="LGH24" s="890"/>
      <c r="LGT24" s="890"/>
      <c r="LGU24" s="890"/>
      <c r="LHG24" s="890"/>
      <c r="LHH24" s="890"/>
      <c r="LHT24" s="890"/>
      <c r="LHU24" s="890"/>
      <c r="LIG24" s="890"/>
      <c r="LIH24" s="890"/>
      <c r="LIT24" s="890"/>
      <c r="LIU24" s="890"/>
      <c r="LJG24" s="890"/>
      <c r="LJH24" s="890"/>
      <c r="LJT24" s="890"/>
      <c r="LJU24" s="890"/>
      <c r="LKG24" s="890"/>
      <c r="LKH24" s="890"/>
      <c r="LKT24" s="890"/>
      <c r="LKU24" s="890"/>
      <c r="LLG24" s="890"/>
      <c r="LLH24" s="890"/>
      <c r="LLT24" s="890"/>
      <c r="LLU24" s="890"/>
      <c r="LMG24" s="890"/>
      <c r="LMH24" s="890"/>
      <c r="LMT24" s="890"/>
      <c r="LMU24" s="890"/>
      <c r="LNG24" s="890"/>
      <c r="LNH24" s="890"/>
      <c r="LNT24" s="890"/>
      <c r="LNU24" s="890"/>
      <c r="LOG24" s="890"/>
      <c r="LOH24" s="890"/>
      <c r="LOT24" s="890"/>
      <c r="LOU24" s="890"/>
      <c r="LPG24" s="890"/>
      <c r="LPH24" s="890"/>
      <c r="LPT24" s="890"/>
      <c r="LPU24" s="890"/>
      <c r="LQG24" s="890"/>
      <c r="LQH24" s="890"/>
      <c r="LQT24" s="890"/>
      <c r="LQU24" s="890"/>
      <c r="LRG24" s="890"/>
      <c r="LRH24" s="890"/>
      <c r="LRT24" s="890"/>
      <c r="LRU24" s="890"/>
      <c r="LSG24" s="890"/>
      <c r="LSH24" s="890"/>
      <c r="LST24" s="890"/>
      <c r="LSU24" s="890"/>
      <c r="LTG24" s="890"/>
      <c r="LTH24" s="890"/>
      <c r="LTT24" s="890"/>
      <c r="LTU24" s="890"/>
      <c r="LUG24" s="890"/>
      <c r="LUH24" s="890"/>
      <c r="LUT24" s="890"/>
      <c r="LUU24" s="890"/>
      <c r="LVG24" s="890"/>
      <c r="LVH24" s="890"/>
      <c r="LVT24" s="890"/>
      <c r="LVU24" s="890"/>
      <c r="LWG24" s="890"/>
      <c r="LWH24" s="890"/>
      <c r="LWT24" s="890"/>
      <c r="LWU24" s="890"/>
      <c r="LXG24" s="890"/>
      <c r="LXH24" s="890"/>
      <c r="LXT24" s="890"/>
      <c r="LXU24" s="890"/>
      <c r="LYG24" s="890"/>
      <c r="LYH24" s="890"/>
      <c r="LYT24" s="890"/>
      <c r="LYU24" s="890"/>
      <c r="LZG24" s="890"/>
      <c r="LZH24" s="890"/>
      <c r="LZT24" s="890"/>
      <c r="LZU24" s="890"/>
      <c r="MAG24" s="890"/>
      <c r="MAH24" s="890"/>
      <c r="MAT24" s="890"/>
      <c r="MAU24" s="890"/>
      <c r="MBG24" s="890"/>
      <c r="MBH24" s="890"/>
      <c r="MBT24" s="890"/>
      <c r="MBU24" s="890"/>
      <c r="MCG24" s="890"/>
      <c r="MCH24" s="890"/>
      <c r="MCT24" s="890"/>
      <c r="MCU24" s="890"/>
      <c r="MDG24" s="890"/>
      <c r="MDH24" s="890"/>
      <c r="MDT24" s="890"/>
      <c r="MDU24" s="890"/>
      <c r="MEG24" s="890"/>
      <c r="MEH24" s="890"/>
      <c r="MET24" s="890"/>
      <c r="MEU24" s="890"/>
      <c r="MFG24" s="890"/>
      <c r="MFH24" s="890"/>
      <c r="MFT24" s="890"/>
      <c r="MFU24" s="890"/>
      <c r="MGG24" s="890"/>
      <c r="MGH24" s="890"/>
      <c r="MGT24" s="890"/>
      <c r="MGU24" s="890"/>
      <c r="MHG24" s="890"/>
      <c r="MHH24" s="890"/>
      <c r="MHT24" s="890"/>
      <c r="MHU24" s="890"/>
      <c r="MIG24" s="890"/>
      <c r="MIH24" s="890"/>
      <c r="MIT24" s="890"/>
      <c r="MIU24" s="890"/>
      <c r="MJG24" s="890"/>
      <c r="MJH24" s="890"/>
      <c r="MJT24" s="890"/>
      <c r="MJU24" s="890"/>
      <c r="MKG24" s="890"/>
      <c r="MKH24" s="890"/>
      <c r="MKT24" s="890"/>
      <c r="MKU24" s="890"/>
      <c r="MLG24" s="890"/>
      <c r="MLH24" s="890"/>
      <c r="MLT24" s="890"/>
      <c r="MLU24" s="890"/>
      <c r="MMG24" s="890"/>
      <c r="MMH24" s="890"/>
      <c r="MMT24" s="890"/>
      <c r="MMU24" s="890"/>
      <c r="MNG24" s="890"/>
      <c r="MNH24" s="890"/>
      <c r="MNT24" s="890"/>
      <c r="MNU24" s="890"/>
      <c r="MOG24" s="890"/>
      <c r="MOH24" s="890"/>
      <c r="MOT24" s="890"/>
      <c r="MOU24" s="890"/>
      <c r="MPG24" s="890"/>
      <c r="MPH24" s="890"/>
      <c r="MPT24" s="890"/>
      <c r="MPU24" s="890"/>
      <c r="MQG24" s="890"/>
      <c r="MQH24" s="890"/>
      <c r="MQT24" s="890"/>
      <c r="MQU24" s="890"/>
      <c r="MRG24" s="890"/>
      <c r="MRH24" s="890"/>
      <c r="MRT24" s="890"/>
      <c r="MRU24" s="890"/>
      <c r="MSG24" s="890"/>
      <c r="MSH24" s="890"/>
      <c r="MST24" s="890"/>
      <c r="MSU24" s="890"/>
      <c r="MTG24" s="890"/>
      <c r="MTH24" s="890"/>
      <c r="MTT24" s="890"/>
      <c r="MTU24" s="890"/>
      <c r="MUG24" s="890"/>
      <c r="MUH24" s="890"/>
      <c r="MUT24" s="890"/>
      <c r="MUU24" s="890"/>
      <c r="MVG24" s="890"/>
      <c r="MVH24" s="890"/>
      <c r="MVT24" s="890"/>
      <c r="MVU24" s="890"/>
      <c r="MWG24" s="890"/>
      <c r="MWH24" s="890"/>
      <c r="MWT24" s="890"/>
      <c r="MWU24" s="890"/>
      <c r="MXG24" s="890"/>
      <c r="MXH24" s="890"/>
      <c r="MXT24" s="890"/>
      <c r="MXU24" s="890"/>
      <c r="MYG24" s="890"/>
      <c r="MYH24" s="890"/>
      <c r="MYT24" s="890"/>
      <c r="MYU24" s="890"/>
      <c r="MZG24" s="890"/>
      <c r="MZH24" s="890"/>
      <c r="MZT24" s="890"/>
      <c r="MZU24" s="890"/>
      <c r="NAG24" s="890"/>
      <c r="NAH24" s="890"/>
      <c r="NAT24" s="890"/>
      <c r="NAU24" s="890"/>
      <c r="NBG24" s="890"/>
      <c r="NBH24" s="890"/>
      <c r="NBT24" s="890"/>
      <c r="NBU24" s="890"/>
      <c r="NCG24" s="890"/>
      <c r="NCH24" s="890"/>
      <c r="NCT24" s="890"/>
      <c r="NCU24" s="890"/>
      <c r="NDG24" s="890"/>
      <c r="NDH24" s="890"/>
      <c r="NDT24" s="890"/>
      <c r="NDU24" s="890"/>
      <c r="NEG24" s="890"/>
      <c r="NEH24" s="890"/>
      <c r="NET24" s="890"/>
      <c r="NEU24" s="890"/>
      <c r="NFG24" s="890"/>
      <c r="NFH24" s="890"/>
      <c r="NFT24" s="890"/>
      <c r="NFU24" s="890"/>
      <c r="NGG24" s="890"/>
      <c r="NGH24" s="890"/>
      <c r="NGT24" s="890"/>
      <c r="NGU24" s="890"/>
      <c r="NHG24" s="890"/>
      <c r="NHH24" s="890"/>
      <c r="NHT24" s="890"/>
      <c r="NHU24" s="890"/>
      <c r="NIG24" s="890"/>
      <c r="NIH24" s="890"/>
      <c r="NIT24" s="890"/>
      <c r="NIU24" s="890"/>
      <c r="NJG24" s="890"/>
      <c r="NJH24" s="890"/>
      <c r="NJT24" s="890"/>
      <c r="NJU24" s="890"/>
      <c r="NKG24" s="890"/>
      <c r="NKH24" s="890"/>
      <c r="NKT24" s="890"/>
      <c r="NKU24" s="890"/>
      <c r="NLG24" s="890"/>
      <c r="NLH24" s="890"/>
      <c r="NLT24" s="890"/>
      <c r="NLU24" s="890"/>
      <c r="NMG24" s="890"/>
      <c r="NMH24" s="890"/>
      <c r="NMT24" s="890"/>
      <c r="NMU24" s="890"/>
      <c r="NNG24" s="890"/>
      <c r="NNH24" s="890"/>
      <c r="NNT24" s="890"/>
      <c r="NNU24" s="890"/>
      <c r="NOG24" s="890"/>
      <c r="NOH24" s="890"/>
      <c r="NOT24" s="890"/>
      <c r="NOU24" s="890"/>
      <c r="NPG24" s="890"/>
      <c r="NPH24" s="890"/>
      <c r="NPT24" s="890"/>
      <c r="NPU24" s="890"/>
      <c r="NQG24" s="890"/>
      <c r="NQH24" s="890"/>
      <c r="NQT24" s="890"/>
      <c r="NQU24" s="890"/>
      <c r="NRG24" s="890"/>
      <c r="NRH24" s="890"/>
      <c r="NRT24" s="890"/>
      <c r="NRU24" s="890"/>
      <c r="NSG24" s="890"/>
      <c r="NSH24" s="890"/>
      <c r="NST24" s="890"/>
      <c r="NSU24" s="890"/>
      <c r="NTG24" s="890"/>
      <c r="NTH24" s="890"/>
      <c r="NTT24" s="890"/>
      <c r="NTU24" s="890"/>
      <c r="NUG24" s="890"/>
      <c r="NUH24" s="890"/>
      <c r="NUT24" s="890"/>
      <c r="NUU24" s="890"/>
      <c r="NVG24" s="890"/>
      <c r="NVH24" s="890"/>
      <c r="NVT24" s="890"/>
      <c r="NVU24" s="890"/>
      <c r="NWG24" s="890"/>
      <c r="NWH24" s="890"/>
      <c r="NWT24" s="890"/>
      <c r="NWU24" s="890"/>
      <c r="NXG24" s="890"/>
      <c r="NXH24" s="890"/>
      <c r="NXT24" s="890"/>
      <c r="NXU24" s="890"/>
      <c r="NYG24" s="890"/>
      <c r="NYH24" s="890"/>
      <c r="NYT24" s="890"/>
      <c r="NYU24" s="890"/>
      <c r="NZG24" s="890"/>
      <c r="NZH24" s="890"/>
      <c r="NZT24" s="890"/>
      <c r="NZU24" s="890"/>
      <c r="OAG24" s="890"/>
      <c r="OAH24" s="890"/>
      <c r="OAT24" s="890"/>
      <c r="OAU24" s="890"/>
      <c r="OBG24" s="890"/>
      <c r="OBH24" s="890"/>
      <c r="OBT24" s="890"/>
      <c r="OBU24" s="890"/>
      <c r="OCG24" s="890"/>
      <c r="OCH24" s="890"/>
      <c r="OCT24" s="890"/>
      <c r="OCU24" s="890"/>
      <c r="ODG24" s="890"/>
      <c r="ODH24" s="890"/>
      <c r="ODT24" s="890"/>
      <c r="ODU24" s="890"/>
      <c r="OEG24" s="890"/>
      <c r="OEH24" s="890"/>
      <c r="OET24" s="890"/>
      <c r="OEU24" s="890"/>
      <c r="OFG24" s="890"/>
      <c r="OFH24" s="890"/>
      <c r="OFT24" s="890"/>
      <c r="OFU24" s="890"/>
      <c r="OGG24" s="890"/>
      <c r="OGH24" s="890"/>
      <c r="OGT24" s="890"/>
      <c r="OGU24" s="890"/>
      <c r="OHG24" s="890"/>
      <c r="OHH24" s="890"/>
      <c r="OHT24" s="890"/>
      <c r="OHU24" s="890"/>
      <c r="OIG24" s="890"/>
      <c r="OIH24" s="890"/>
      <c r="OIT24" s="890"/>
      <c r="OIU24" s="890"/>
      <c r="OJG24" s="890"/>
      <c r="OJH24" s="890"/>
      <c r="OJT24" s="890"/>
      <c r="OJU24" s="890"/>
      <c r="OKG24" s="890"/>
      <c r="OKH24" s="890"/>
      <c r="OKT24" s="890"/>
      <c r="OKU24" s="890"/>
      <c r="OLG24" s="890"/>
      <c r="OLH24" s="890"/>
      <c r="OLT24" s="890"/>
      <c r="OLU24" s="890"/>
      <c r="OMG24" s="890"/>
      <c r="OMH24" s="890"/>
      <c r="OMT24" s="890"/>
      <c r="OMU24" s="890"/>
      <c r="ONG24" s="890"/>
      <c r="ONH24" s="890"/>
      <c r="ONT24" s="890"/>
      <c r="ONU24" s="890"/>
      <c r="OOG24" s="890"/>
      <c r="OOH24" s="890"/>
      <c r="OOT24" s="890"/>
      <c r="OOU24" s="890"/>
      <c r="OPG24" s="890"/>
      <c r="OPH24" s="890"/>
      <c r="OPT24" s="890"/>
      <c r="OPU24" s="890"/>
      <c r="OQG24" s="890"/>
      <c r="OQH24" s="890"/>
      <c r="OQT24" s="890"/>
      <c r="OQU24" s="890"/>
      <c r="ORG24" s="890"/>
      <c r="ORH24" s="890"/>
      <c r="ORT24" s="890"/>
      <c r="ORU24" s="890"/>
      <c r="OSG24" s="890"/>
      <c r="OSH24" s="890"/>
      <c r="OST24" s="890"/>
      <c r="OSU24" s="890"/>
      <c r="OTG24" s="890"/>
      <c r="OTH24" s="890"/>
      <c r="OTT24" s="890"/>
      <c r="OTU24" s="890"/>
      <c r="OUG24" s="890"/>
      <c r="OUH24" s="890"/>
      <c r="OUT24" s="890"/>
      <c r="OUU24" s="890"/>
      <c r="OVG24" s="890"/>
      <c r="OVH24" s="890"/>
      <c r="OVT24" s="890"/>
      <c r="OVU24" s="890"/>
      <c r="OWG24" s="890"/>
      <c r="OWH24" s="890"/>
      <c r="OWT24" s="890"/>
      <c r="OWU24" s="890"/>
      <c r="OXG24" s="890"/>
      <c r="OXH24" s="890"/>
      <c r="OXT24" s="890"/>
      <c r="OXU24" s="890"/>
      <c r="OYG24" s="890"/>
      <c r="OYH24" s="890"/>
      <c r="OYT24" s="890"/>
      <c r="OYU24" s="890"/>
      <c r="OZG24" s="890"/>
      <c r="OZH24" s="890"/>
      <c r="OZT24" s="890"/>
      <c r="OZU24" s="890"/>
      <c r="PAG24" s="890"/>
      <c r="PAH24" s="890"/>
      <c r="PAT24" s="890"/>
      <c r="PAU24" s="890"/>
      <c r="PBG24" s="890"/>
      <c r="PBH24" s="890"/>
      <c r="PBT24" s="890"/>
      <c r="PBU24" s="890"/>
      <c r="PCG24" s="890"/>
      <c r="PCH24" s="890"/>
      <c r="PCT24" s="890"/>
      <c r="PCU24" s="890"/>
      <c r="PDG24" s="890"/>
      <c r="PDH24" s="890"/>
      <c r="PDT24" s="890"/>
      <c r="PDU24" s="890"/>
      <c r="PEG24" s="890"/>
      <c r="PEH24" s="890"/>
      <c r="PET24" s="890"/>
      <c r="PEU24" s="890"/>
      <c r="PFG24" s="890"/>
      <c r="PFH24" s="890"/>
      <c r="PFT24" s="890"/>
      <c r="PFU24" s="890"/>
      <c r="PGG24" s="890"/>
      <c r="PGH24" s="890"/>
      <c r="PGT24" s="890"/>
      <c r="PGU24" s="890"/>
      <c r="PHG24" s="890"/>
      <c r="PHH24" s="890"/>
      <c r="PHT24" s="890"/>
      <c r="PHU24" s="890"/>
      <c r="PIG24" s="890"/>
      <c r="PIH24" s="890"/>
      <c r="PIT24" s="890"/>
      <c r="PIU24" s="890"/>
      <c r="PJG24" s="890"/>
      <c r="PJH24" s="890"/>
      <c r="PJT24" s="890"/>
      <c r="PJU24" s="890"/>
      <c r="PKG24" s="890"/>
      <c r="PKH24" s="890"/>
      <c r="PKT24" s="890"/>
      <c r="PKU24" s="890"/>
      <c r="PLG24" s="890"/>
      <c r="PLH24" s="890"/>
      <c r="PLT24" s="890"/>
      <c r="PLU24" s="890"/>
      <c r="PMG24" s="890"/>
      <c r="PMH24" s="890"/>
      <c r="PMT24" s="890"/>
      <c r="PMU24" s="890"/>
      <c r="PNG24" s="890"/>
      <c r="PNH24" s="890"/>
      <c r="PNT24" s="890"/>
      <c r="PNU24" s="890"/>
      <c r="POG24" s="890"/>
      <c r="POH24" s="890"/>
      <c r="POT24" s="890"/>
      <c r="POU24" s="890"/>
      <c r="PPG24" s="890"/>
      <c r="PPH24" s="890"/>
      <c r="PPT24" s="890"/>
      <c r="PPU24" s="890"/>
      <c r="PQG24" s="890"/>
      <c r="PQH24" s="890"/>
      <c r="PQT24" s="890"/>
      <c r="PQU24" s="890"/>
      <c r="PRG24" s="890"/>
      <c r="PRH24" s="890"/>
      <c r="PRT24" s="890"/>
      <c r="PRU24" s="890"/>
      <c r="PSG24" s="890"/>
      <c r="PSH24" s="890"/>
      <c r="PST24" s="890"/>
      <c r="PSU24" s="890"/>
      <c r="PTG24" s="890"/>
      <c r="PTH24" s="890"/>
      <c r="PTT24" s="890"/>
      <c r="PTU24" s="890"/>
      <c r="PUG24" s="890"/>
      <c r="PUH24" s="890"/>
      <c r="PUT24" s="890"/>
      <c r="PUU24" s="890"/>
      <c r="PVG24" s="890"/>
      <c r="PVH24" s="890"/>
      <c r="PVT24" s="890"/>
      <c r="PVU24" s="890"/>
      <c r="PWG24" s="890"/>
      <c r="PWH24" s="890"/>
      <c r="PWT24" s="890"/>
      <c r="PWU24" s="890"/>
      <c r="PXG24" s="890"/>
      <c r="PXH24" s="890"/>
      <c r="PXT24" s="890"/>
      <c r="PXU24" s="890"/>
      <c r="PYG24" s="890"/>
      <c r="PYH24" s="890"/>
      <c r="PYT24" s="890"/>
      <c r="PYU24" s="890"/>
      <c r="PZG24" s="890"/>
      <c r="PZH24" s="890"/>
      <c r="PZT24" s="890"/>
      <c r="PZU24" s="890"/>
      <c r="QAG24" s="890"/>
      <c r="QAH24" s="890"/>
      <c r="QAT24" s="890"/>
      <c r="QAU24" s="890"/>
      <c r="QBG24" s="890"/>
      <c r="QBH24" s="890"/>
      <c r="QBT24" s="890"/>
      <c r="QBU24" s="890"/>
      <c r="QCG24" s="890"/>
      <c r="QCH24" s="890"/>
      <c r="QCT24" s="890"/>
      <c r="QCU24" s="890"/>
      <c r="QDG24" s="890"/>
      <c r="QDH24" s="890"/>
      <c r="QDT24" s="890"/>
      <c r="QDU24" s="890"/>
      <c r="QEG24" s="890"/>
      <c r="QEH24" s="890"/>
      <c r="QET24" s="890"/>
      <c r="QEU24" s="890"/>
      <c r="QFG24" s="890"/>
      <c r="QFH24" s="890"/>
      <c r="QFT24" s="890"/>
      <c r="QFU24" s="890"/>
      <c r="QGG24" s="890"/>
      <c r="QGH24" s="890"/>
      <c r="QGT24" s="890"/>
      <c r="QGU24" s="890"/>
      <c r="QHG24" s="890"/>
      <c r="QHH24" s="890"/>
      <c r="QHT24" s="890"/>
      <c r="QHU24" s="890"/>
      <c r="QIG24" s="890"/>
      <c r="QIH24" s="890"/>
      <c r="QIT24" s="890"/>
      <c r="QIU24" s="890"/>
      <c r="QJG24" s="890"/>
      <c r="QJH24" s="890"/>
      <c r="QJT24" s="890"/>
      <c r="QJU24" s="890"/>
      <c r="QKG24" s="890"/>
      <c r="QKH24" s="890"/>
      <c r="QKT24" s="890"/>
      <c r="QKU24" s="890"/>
      <c r="QLG24" s="890"/>
      <c r="QLH24" s="890"/>
      <c r="QLT24" s="890"/>
      <c r="QLU24" s="890"/>
      <c r="QMG24" s="890"/>
      <c r="QMH24" s="890"/>
      <c r="QMT24" s="890"/>
      <c r="QMU24" s="890"/>
      <c r="QNG24" s="890"/>
      <c r="QNH24" s="890"/>
      <c r="QNT24" s="890"/>
      <c r="QNU24" s="890"/>
      <c r="QOG24" s="890"/>
      <c r="QOH24" s="890"/>
      <c r="QOT24" s="890"/>
      <c r="QOU24" s="890"/>
      <c r="QPG24" s="890"/>
      <c r="QPH24" s="890"/>
      <c r="QPT24" s="890"/>
      <c r="QPU24" s="890"/>
      <c r="QQG24" s="890"/>
      <c r="QQH24" s="890"/>
      <c r="QQT24" s="890"/>
      <c r="QQU24" s="890"/>
      <c r="QRG24" s="890"/>
      <c r="QRH24" s="890"/>
      <c r="QRT24" s="890"/>
      <c r="QRU24" s="890"/>
      <c r="QSG24" s="890"/>
      <c r="QSH24" s="890"/>
      <c r="QST24" s="890"/>
      <c r="QSU24" s="890"/>
      <c r="QTG24" s="890"/>
      <c r="QTH24" s="890"/>
      <c r="QTT24" s="890"/>
      <c r="QTU24" s="890"/>
      <c r="QUG24" s="890"/>
      <c r="QUH24" s="890"/>
      <c r="QUT24" s="890"/>
      <c r="QUU24" s="890"/>
      <c r="QVG24" s="890"/>
      <c r="QVH24" s="890"/>
      <c r="QVT24" s="890"/>
      <c r="QVU24" s="890"/>
      <c r="QWG24" s="890"/>
      <c r="QWH24" s="890"/>
      <c r="QWT24" s="890"/>
      <c r="QWU24" s="890"/>
      <c r="QXG24" s="890"/>
      <c r="QXH24" s="890"/>
      <c r="QXT24" s="890"/>
      <c r="QXU24" s="890"/>
      <c r="QYG24" s="890"/>
      <c r="QYH24" s="890"/>
      <c r="QYT24" s="890"/>
      <c r="QYU24" s="890"/>
      <c r="QZG24" s="890"/>
      <c r="QZH24" s="890"/>
      <c r="QZT24" s="890"/>
      <c r="QZU24" s="890"/>
      <c r="RAG24" s="890"/>
      <c r="RAH24" s="890"/>
      <c r="RAT24" s="890"/>
      <c r="RAU24" s="890"/>
      <c r="RBG24" s="890"/>
      <c r="RBH24" s="890"/>
      <c r="RBT24" s="890"/>
      <c r="RBU24" s="890"/>
      <c r="RCG24" s="890"/>
      <c r="RCH24" s="890"/>
      <c r="RCT24" s="890"/>
      <c r="RCU24" s="890"/>
      <c r="RDG24" s="890"/>
      <c r="RDH24" s="890"/>
      <c r="RDT24" s="890"/>
      <c r="RDU24" s="890"/>
      <c r="REG24" s="890"/>
      <c r="REH24" s="890"/>
      <c r="RET24" s="890"/>
      <c r="REU24" s="890"/>
      <c r="RFG24" s="890"/>
      <c r="RFH24" s="890"/>
      <c r="RFT24" s="890"/>
      <c r="RFU24" s="890"/>
      <c r="RGG24" s="890"/>
      <c r="RGH24" s="890"/>
      <c r="RGT24" s="890"/>
      <c r="RGU24" s="890"/>
      <c r="RHG24" s="890"/>
      <c r="RHH24" s="890"/>
      <c r="RHT24" s="890"/>
      <c r="RHU24" s="890"/>
      <c r="RIG24" s="890"/>
      <c r="RIH24" s="890"/>
      <c r="RIT24" s="890"/>
      <c r="RIU24" s="890"/>
      <c r="RJG24" s="890"/>
      <c r="RJH24" s="890"/>
      <c r="RJT24" s="890"/>
      <c r="RJU24" s="890"/>
      <c r="RKG24" s="890"/>
      <c r="RKH24" s="890"/>
      <c r="RKT24" s="890"/>
      <c r="RKU24" s="890"/>
      <c r="RLG24" s="890"/>
      <c r="RLH24" s="890"/>
      <c r="RLT24" s="890"/>
      <c r="RLU24" s="890"/>
      <c r="RMG24" s="890"/>
      <c r="RMH24" s="890"/>
      <c r="RMT24" s="890"/>
      <c r="RMU24" s="890"/>
      <c r="RNG24" s="890"/>
      <c r="RNH24" s="890"/>
      <c r="RNT24" s="890"/>
      <c r="RNU24" s="890"/>
      <c r="ROG24" s="890"/>
      <c r="ROH24" s="890"/>
      <c r="ROT24" s="890"/>
      <c r="ROU24" s="890"/>
      <c r="RPG24" s="890"/>
      <c r="RPH24" s="890"/>
      <c r="RPT24" s="890"/>
      <c r="RPU24" s="890"/>
      <c r="RQG24" s="890"/>
      <c r="RQH24" s="890"/>
      <c r="RQT24" s="890"/>
      <c r="RQU24" s="890"/>
      <c r="RRG24" s="890"/>
      <c r="RRH24" s="890"/>
      <c r="RRT24" s="890"/>
      <c r="RRU24" s="890"/>
      <c r="RSG24" s="890"/>
      <c r="RSH24" s="890"/>
      <c r="RST24" s="890"/>
      <c r="RSU24" s="890"/>
      <c r="RTG24" s="890"/>
      <c r="RTH24" s="890"/>
      <c r="RTT24" s="890"/>
      <c r="RTU24" s="890"/>
      <c r="RUG24" s="890"/>
      <c r="RUH24" s="890"/>
      <c r="RUT24" s="890"/>
      <c r="RUU24" s="890"/>
      <c r="RVG24" s="890"/>
      <c r="RVH24" s="890"/>
      <c r="RVT24" s="890"/>
      <c r="RVU24" s="890"/>
      <c r="RWG24" s="890"/>
      <c r="RWH24" s="890"/>
      <c r="RWT24" s="890"/>
      <c r="RWU24" s="890"/>
      <c r="RXG24" s="890"/>
      <c r="RXH24" s="890"/>
      <c r="RXT24" s="890"/>
      <c r="RXU24" s="890"/>
      <c r="RYG24" s="890"/>
      <c r="RYH24" s="890"/>
      <c r="RYT24" s="890"/>
      <c r="RYU24" s="890"/>
      <c r="RZG24" s="890"/>
      <c r="RZH24" s="890"/>
      <c r="RZT24" s="890"/>
      <c r="RZU24" s="890"/>
      <c r="SAG24" s="890"/>
      <c r="SAH24" s="890"/>
      <c r="SAT24" s="890"/>
      <c r="SAU24" s="890"/>
      <c r="SBG24" s="890"/>
      <c r="SBH24" s="890"/>
      <c r="SBT24" s="890"/>
      <c r="SBU24" s="890"/>
      <c r="SCG24" s="890"/>
      <c r="SCH24" s="890"/>
      <c r="SCT24" s="890"/>
      <c r="SCU24" s="890"/>
      <c r="SDG24" s="890"/>
      <c r="SDH24" s="890"/>
      <c r="SDT24" s="890"/>
      <c r="SDU24" s="890"/>
      <c r="SEG24" s="890"/>
      <c r="SEH24" s="890"/>
      <c r="SET24" s="890"/>
      <c r="SEU24" s="890"/>
      <c r="SFG24" s="890"/>
      <c r="SFH24" s="890"/>
      <c r="SFT24" s="890"/>
      <c r="SFU24" s="890"/>
      <c r="SGG24" s="890"/>
      <c r="SGH24" s="890"/>
      <c r="SGT24" s="890"/>
      <c r="SGU24" s="890"/>
      <c r="SHG24" s="890"/>
      <c r="SHH24" s="890"/>
      <c r="SHT24" s="890"/>
      <c r="SHU24" s="890"/>
      <c r="SIG24" s="890"/>
      <c r="SIH24" s="890"/>
      <c r="SIT24" s="890"/>
      <c r="SIU24" s="890"/>
      <c r="SJG24" s="890"/>
      <c r="SJH24" s="890"/>
      <c r="SJT24" s="890"/>
      <c r="SJU24" s="890"/>
      <c r="SKG24" s="890"/>
      <c r="SKH24" s="890"/>
      <c r="SKT24" s="890"/>
      <c r="SKU24" s="890"/>
      <c r="SLG24" s="890"/>
      <c r="SLH24" s="890"/>
      <c r="SLT24" s="890"/>
      <c r="SLU24" s="890"/>
      <c r="SMG24" s="890"/>
      <c r="SMH24" s="890"/>
      <c r="SMT24" s="890"/>
      <c r="SMU24" s="890"/>
      <c r="SNG24" s="890"/>
      <c r="SNH24" s="890"/>
      <c r="SNT24" s="890"/>
      <c r="SNU24" s="890"/>
      <c r="SOG24" s="890"/>
      <c r="SOH24" s="890"/>
      <c r="SOT24" s="890"/>
      <c r="SOU24" s="890"/>
      <c r="SPG24" s="890"/>
      <c r="SPH24" s="890"/>
      <c r="SPT24" s="890"/>
      <c r="SPU24" s="890"/>
      <c r="SQG24" s="890"/>
      <c r="SQH24" s="890"/>
      <c r="SQT24" s="890"/>
      <c r="SQU24" s="890"/>
      <c r="SRG24" s="890"/>
      <c r="SRH24" s="890"/>
      <c r="SRT24" s="890"/>
      <c r="SRU24" s="890"/>
      <c r="SSG24" s="890"/>
      <c r="SSH24" s="890"/>
      <c r="SST24" s="890"/>
      <c r="SSU24" s="890"/>
      <c r="STG24" s="890"/>
      <c r="STH24" s="890"/>
      <c r="STT24" s="890"/>
      <c r="STU24" s="890"/>
      <c r="SUG24" s="890"/>
      <c r="SUH24" s="890"/>
      <c r="SUT24" s="890"/>
      <c r="SUU24" s="890"/>
      <c r="SVG24" s="890"/>
      <c r="SVH24" s="890"/>
      <c r="SVT24" s="890"/>
      <c r="SVU24" s="890"/>
      <c r="SWG24" s="890"/>
      <c r="SWH24" s="890"/>
      <c r="SWT24" s="890"/>
      <c r="SWU24" s="890"/>
      <c r="SXG24" s="890"/>
      <c r="SXH24" s="890"/>
      <c r="SXT24" s="890"/>
      <c r="SXU24" s="890"/>
      <c r="SYG24" s="890"/>
      <c r="SYH24" s="890"/>
      <c r="SYT24" s="890"/>
      <c r="SYU24" s="890"/>
      <c r="SZG24" s="890"/>
      <c r="SZH24" s="890"/>
      <c r="SZT24" s="890"/>
      <c r="SZU24" s="890"/>
      <c r="TAG24" s="890"/>
      <c r="TAH24" s="890"/>
      <c r="TAT24" s="890"/>
      <c r="TAU24" s="890"/>
      <c r="TBG24" s="890"/>
      <c r="TBH24" s="890"/>
      <c r="TBT24" s="890"/>
      <c r="TBU24" s="890"/>
      <c r="TCG24" s="890"/>
      <c r="TCH24" s="890"/>
      <c r="TCT24" s="890"/>
      <c r="TCU24" s="890"/>
      <c r="TDG24" s="890"/>
      <c r="TDH24" s="890"/>
      <c r="TDT24" s="890"/>
      <c r="TDU24" s="890"/>
      <c r="TEG24" s="890"/>
      <c r="TEH24" s="890"/>
      <c r="TET24" s="890"/>
      <c r="TEU24" s="890"/>
      <c r="TFG24" s="890"/>
      <c r="TFH24" s="890"/>
      <c r="TFT24" s="890"/>
      <c r="TFU24" s="890"/>
      <c r="TGG24" s="890"/>
      <c r="TGH24" s="890"/>
      <c r="TGT24" s="890"/>
      <c r="TGU24" s="890"/>
      <c r="THG24" s="890"/>
      <c r="THH24" s="890"/>
      <c r="THT24" s="890"/>
      <c r="THU24" s="890"/>
      <c r="TIG24" s="890"/>
      <c r="TIH24" s="890"/>
      <c r="TIT24" s="890"/>
      <c r="TIU24" s="890"/>
      <c r="TJG24" s="890"/>
      <c r="TJH24" s="890"/>
      <c r="TJT24" s="890"/>
      <c r="TJU24" s="890"/>
      <c r="TKG24" s="890"/>
      <c r="TKH24" s="890"/>
      <c r="TKT24" s="890"/>
      <c r="TKU24" s="890"/>
      <c r="TLG24" s="890"/>
      <c r="TLH24" s="890"/>
      <c r="TLT24" s="890"/>
      <c r="TLU24" s="890"/>
      <c r="TMG24" s="890"/>
      <c r="TMH24" s="890"/>
      <c r="TMT24" s="890"/>
      <c r="TMU24" s="890"/>
      <c r="TNG24" s="890"/>
      <c r="TNH24" s="890"/>
      <c r="TNT24" s="890"/>
      <c r="TNU24" s="890"/>
      <c r="TOG24" s="890"/>
      <c r="TOH24" s="890"/>
      <c r="TOT24" s="890"/>
      <c r="TOU24" s="890"/>
      <c r="TPG24" s="890"/>
      <c r="TPH24" s="890"/>
      <c r="TPT24" s="890"/>
      <c r="TPU24" s="890"/>
      <c r="TQG24" s="890"/>
      <c r="TQH24" s="890"/>
      <c r="TQT24" s="890"/>
      <c r="TQU24" s="890"/>
      <c r="TRG24" s="890"/>
      <c r="TRH24" s="890"/>
      <c r="TRT24" s="890"/>
      <c r="TRU24" s="890"/>
      <c r="TSG24" s="890"/>
      <c r="TSH24" s="890"/>
      <c r="TST24" s="890"/>
      <c r="TSU24" s="890"/>
      <c r="TTG24" s="890"/>
      <c r="TTH24" s="890"/>
      <c r="TTT24" s="890"/>
      <c r="TTU24" s="890"/>
      <c r="TUG24" s="890"/>
      <c r="TUH24" s="890"/>
      <c r="TUT24" s="890"/>
      <c r="TUU24" s="890"/>
      <c r="TVG24" s="890"/>
      <c r="TVH24" s="890"/>
      <c r="TVT24" s="890"/>
      <c r="TVU24" s="890"/>
      <c r="TWG24" s="890"/>
      <c r="TWH24" s="890"/>
      <c r="TWT24" s="890"/>
      <c r="TWU24" s="890"/>
      <c r="TXG24" s="890"/>
      <c r="TXH24" s="890"/>
      <c r="TXT24" s="890"/>
      <c r="TXU24" s="890"/>
      <c r="TYG24" s="890"/>
      <c r="TYH24" s="890"/>
      <c r="TYT24" s="890"/>
      <c r="TYU24" s="890"/>
      <c r="TZG24" s="890"/>
      <c r="TZH24" s="890"/>
      <c r="TZT24" s="890"/>
      <c r="TZU24" s="890"/>
      <c r="UAG24" s="890"/>
      <c r="UAH24" s="890"/>
      <c r="UAT24" s="890"/>
      <c r="UAU24" s="890"/>
      <c r="UBG24" s="890"/>
      <c r="UBH24" s="890"/>
      <c r="UBT24" s="890"/>
      <c r="UBU24" s="890"/>
      <c r="UCG24" s="890"/>
      <c r="UCH24" s="890"/>
      <c r="UCT24" s="890"/>
      <c r="UCU24" s="890"/>
      <c r="UDG24" s="890"/>
      <c r="UDH24" s="890"/>
      <c r="UDT24" s="890"/>
      <c r="UDU24" s="890"/>
      <c r="UEG24" s="890"/>
      <c r="UEH24" s="890"/>
      <c r="UET24" s="890"/>
      <c r="UEU24" s="890"/>
      <c r="UFG24" s="890"/>
      <c r="UFH24" s="890"/>
      <c r="UFT24" s="890"/>
      <c r="UFU24" s="890"/>
      <c r="UGG24" s="890"/>
      <c r="UGH24" s="890"/>
      <c r="UGT24" s="890"/>
      <c r="UGU24" s="890"/>
      <c r="UHG24" s="890"/>
      <c r="UHH24" s="890"/>
      <c r="UHT24" s="890"/>
      <c r="UHU24" s="890"/>
      <c r="UIG24" s="890"/>
      <c r="UIH24" s="890"/>
      <c r="UIT24" s="890"/>
      <c r="UIU24" s="890"/>
      <c r="UJG24" s="890"/>
      <c r="UJH24" s="890"/>
      <c r="UJT24" s="890"/>
      <c r="UJU24" s="890"/>
      <c r="UKG24" s="890"/>
      <c r="UKH24" s="890"/>
      <c r="UKT24" s="890"/>
      <c r="UKU24" s="890"/>
      <c r="ULG24" s="890"/>
      <c r="ULH24" s="890"/>
      <c r="ULT24" s="890"/>
      <c r="ULU24" s="890"/>
      <c r="UMG24" s="890"/>
      <c r="UMH24" s="890"/>
      <c r="UMT24" s="890"/>
      <c r="UMU24" s="890"/>
      <c r="UNG24" s="890"/>
      <c r="UNH24" s="890"/>
      <c r="UNT24" s="890"/>
      <c r="UNU24" s="890"/>
      <c r="UOG24" s="890"/>
      <c r="UOH24" s="890"/>
      <c r="UOT24" s="890"/>
      <c r="UOU24" s="890"/>
      <c r="UPG24" s="890"/>
      <c r="UPH24" s="890"/>
      <c r="UPT24" s="890"/>
      <c r="UPU24" s="890"/>
      <c r="UQG24" s="890"/>
      <c r="UQH24" s="890"/>
      <c r="UQT24" s="890"/>
      <c r="UQU24" s="890"/>
      <c r="URG24" s="890"/>
      <c r="URH24" s="890"/>
      <c r="URT24" s="890"/>
      <c r="URU24" s="890"/>
      <c r="USG24" s="890"/>
      <c r="USH24" s="890"/>
      <c r="UST24" s="890"/>
      <c r="USU24" s="890"/>
      <c r="UTG24" s="890"/>
      <c r="UTH24" s="890"/>
      <c r="UTT24" s="890"/>
      <c r="UTU24" s="890"/>
      <c r="UUG24" s="890"/>
      <c r="UUH24" s="890"/>
      <c r="UUT24" s="890"/>
      <c r="UUU24" s="890"/>
      <c r="UVG24" s="890"/>
      <c r="UVH24" s="890"/>
      <c r="UVT24" s="890"/>
      <c r="UVU24" s="890"/>
      <c r="UWG24" s="890"/>
      <c r="UWH24" s="890"/>
      <c r="UWT24" s="890"/>
      <c r="UWU24" s="890"/>
      <c r="UXG24" s="890"/>
      <c r="UXH24" s="890"/>
      <c r="UXT24" s="890"/>
      <c r="UXU24" s="890"/>
      <c r="UYG24" s="890"/>
      <c r="UYH24" s="890"/>
      <c r="UYT24" s="890"/>
      <c r="UYU24" s="890"/>
      <c r="UZG24" s="890"/>
      <c r="UZH24" s="890"/>
      <c r="UZT24" s="890"/>
      <c r="UZU24" s="890"/>
      <c r="VAG24" s="890"/>
      <c r="VAH24" s="890"/>
      <c r="VAT24" s="890"/>
      <c r="VAU24" s="890"/>
      <c r="VBG24" s="890"/>
      <c r="VBH24" s="890"/>
      <c r="VBT24" s="890"/>
      <c r="VBU24" s="890"/>
      <c r="VCG24" s="890"/>
      <c r="VCH24" s="890"/>
      <c r="VCT24" s="890"/>
      <c r="VCU24" s="890"/>
      <c r="VDG24" s="890"/>
      <c r="VDH24" s="890"/>
      <c r="VDT24" s="890"/>
      <c r="VDU24" s="890"/>
      <c r="VEG24" s="890"/>
      <c r="VEH24" s="890"/>
      <c r="VET24" s="890"/>
      <c r="VEU24" s="890"/>
      <c r="VFG24" s="890"/>
      <c r="VFH24" s="890"/>
      <c r="VFT24" s="890"/>
      <c r="VFU24" s="890"/>
      <c r="VGG24" s="890"/>
      <c r="VGH24" s="890"/>
      <c r="VGT24" s="890"/>
      <c r="VGU24" s="890"/>
      <c r="VHG24" s="890"/>
      <c r="VHH24" s="890"/>
      <c r="VHT24" s="890"/>
      <c r="VHU24" s="890"/>
      <c r="VIG24" s="890"/>
      <c r="VIH24" s="890"/>
      <c r="VIT24" s="890"/>
      <c r="VIU24" s="890"/>
      <c r="VJG24" s="890"/>
      <c r="VJH24" s="890"/>
      <c r="VJT24" s="890"/>
      <c r="VJU24" s="890"/>
      <c r="VKG24" s="890"/>
      <c r="VKH24" s="890"/>
      <c r="VKT24" s="890"/>
      <c r="VKU24" s="890"/>
      <c r="VLG24" s="890"/>
      <c r="VLH24" s="890"/>
      <c r="VLT24" s="890"/>
      <c r="VLU24" s="890"/>
      <c r="VMG24" s="890"/>
      <c r="VMH24" s="890"/>
      <c r="VMT24" s="890"/>
      <c r="VMU24" s="890"/>
      <c r="VNG24" s="890"/>
      <c r="VNH24" s="890"/>
      <c r="VNT24" s="890"/>
      <c r="VNU24" s="890"/>
      <c r="VOG24" s="890"/>
      <c r="VOH24" s="890"/>
      <c r="VOT24" s="890"/>
      <c r="VOU24" s="890"/>
      <c r="VPG24" s="890"/>
      <c r="VPH24" s="890"/>
      <c r="VPT24" s="890"/>
      <c r="VPU24" s="890"/>
      <c r="VQG24" s="890"/>
      <c r="VQH24" s="890"/>
      <c r="VQT24" s="890"/>
      <c r="VQU24" s="890"/>
      <c r="VRG24" s="890"/>
      <c r="VRH24" s="890"/>
      <c r="VRT24" s="890"/>
      <c r="VRU24" s="890"/>
      <c r="VSG24" s="890"/>
      <c r="VSH24" s="890"/>
      <c r="VST24" s="890"/>
      <c r="VSU24" s="890"/>
      <c r="VTG24" s="890"/>
      <c r="VTH24" s="890"/>
      <c r="VTT24" s="890"/>
      <c r="VTU24" s="890"/>
      <c r="VUG24" s="890"/>
      <c r="VUH24" s="890"/>
      <c r="VUT24" s="890"/>
      <c r="VUU24" s="890"/>
      <c r="VVG24" s="890"/>
      <c r="VVH24" s="890"/>
      <c r="VVT24" s="890"/>
      <c r="VVU24" s="890"/>
      <c r="VWG24" s="890"/>
      <c r="VWH24" s="890"/>
      <c r="VWT24" s="890"/>
      <c r="VWU24" s="890"/>
      <c r="VXG24" s="890"/>
      <c r="VXH24" s="890"/>
      <c r="VXT24" s="890"/>
      <c r="VXU24" s="890"/>
      <c r="VYG24" s="890"/>
      <c r="VYH24" s="890"/>
      <c r="VYT24" s="890"/>
      <c r="VYU24" s="890"/>
      <c r="VZG24" s="890"/>
      <c r="VZH24" s="890"/>
      <c r="VZT24" s="890"/>
      <c r="VZU24" s="890"/>
      <c r="WAG24" s="890"/>
      <c r="WAH24" s="890"/>
      <c r="WAT24" s="890"/>
      <c r="WAU24" s="890"/>
      <c r="WBG24" s="890"/>
      <c r="WBH24" s="890"/>
      <c r="WBT24" s="890"/>
      <c r="WBU24" s="890"/>
      <c r="WCG24" s="890"/>
      <c r="WCH24" s="890"/>
      <c r="WCT24" s="890"/>
      <c r="WCU24" s="890"/>
      <c r="WDG24" s="890"/>
      <c r="WDH24" s="890"/>
      <c r="WDT24" s="890"/>
      <c r="WDU24" s="890"/>
      <c r="WEG24" s="890"/>
      <c r="WEH24" s="890"/>
      <c r="WET24" s="890"/>
      <c r="WEU24" s="890"/>
      <c r="WFG24" s="890"/>
      <c r="WFH24" s="890"/>
      <c r="WFT24" s="890"/>
      <c r="WFU24" s="890"/>
      <c r="WGG24" s="890"/>
      <c r="WGH24" s="890"/>
      <c r="WGT24" s="890"/>
      <c r="WGU24" s="890"/>
      <c r="WHG24" s="890"/>
      <c r="WHH24" s="890"/>
      <c r="WHT24" s="890"/>
      <c r="WHU24" s="890"/>
      <c r="WIG24" s="890"/>
      <c r="WIH24" s="890"/>
      <c r="WIT24" s="890"/>
      <c r="WIU24" s="890"/>
      <c r="WJG24" s="890"/>
      <c r="WJH24" s="890"/>
      <c r="WJT24" s="890"/>
      <c r="WJU24" s="890"/>
      <c r="WKG24" s="890"/>
      <c r="WKH24" s="890"/>
      <c r="WKT24" s="890"/>
      <c r="WKU24" s="890"/>
      <c r="WLG24" s="890"/>
      <c r="WLH24" s="890"/>
      <c r="WLT24" s="890"/>
      <c r="WLU24" s="890"/>
      <c r="WMG24" s="890"/>
      <c r="WMH24" s="890"/>
      <c r="WMT24" s="890"/>
      <c r="WMU24" s="890"/>
      <c r="WNG24" s="890"/>
      <c r="WNH24" s="890"/>
      <c r="WNT24" s="890"/>
      <c r="WNU24" s="890"/>
      <c r="WOG24" s="890"/>
      <c r="WOH24" s="890"/>
      <c r="WOT24" s="890"/>
      <c r="WOU24" s="890"/>
      <c r="WPG24" s="890"/>
      <c r="WPH24" s="890"/>
      <c r="WPT24" s="890"/>
      <c r="WPU24" s="890"/>
      <c r="WQG24" s="890"/>
      <c r="WQH24" s="890"/>
      <c r="WQT24" s="890"/>
      <c r="WQU24" s="890"/>
      <c r="WRG24" s="890"/>
      <c r="WRH24" s="890"/>
      <c r="WRT24" s="890"/>
      <c r="WRU24" s="890"/>
      <c r="WSG24" s="890"/>
      <c r="WSH24" s="890"/>
      <c r="WST24" s="890"/>
      <c r="WSU24" s="890"/>
      <c r="WTG24" s="890"/>
      <c r="WTH24" s="890"/>
      <c r="WTT24" s="890"/>
      <c r="WTU24" s="890"/>
      <c r="WUG24" s="890"/>
      <c r="WUH24" s="890"/>
      <c r="WUT24" s="890"/>
      <c r="WUU24" s="890"/>
      <c r="WVG24" s="890"/>
      <c r="WVH24" s="890"/>
      <c r="WVT24" s="890"/>
      <c r="WVU24" s="890"/>
      <c r="WWG24" s="890"/>
      <c r="WWH24" s="890"/>
      <c r="WWT24" s="890"/>
      <c r="WWU24" s="890"/>
      <c r="WXG24" s="890"/>
      <c r="WXH24" s="890"/>
      <c r="WXT24" s="890"/>
      <c r="WXU24" s="890"/>
      <c r="WYG24" s="890"/>
      <c r="WYH24" s="890"/>
      <c r="WYT24" s="890"/>
      <c r="WYU24" s="890"/>
      <c r="WZG24" s="890"/>
      <c r="WZH24" s="890"/>
      <c r="WZT24" s="890"/>
      <c r="WZU24" s="890"/>
      <c r="XAG24" s="890"/>
      <c r="XAH24" s="890"/>
      <c r="XAT24" s="890"/>
      <c r="XAU24" s="890"/>
      <c r="XBG24" s="890"/>
      <c r="XBH24" s="890"/>
      <c r="XBT24" s="890"/>
      <c r="XBU24" s="890"/>
      <c r="XCG24" s="890"/>
      <c r="XCH24" s="890"/>
      <c r="XCT24" s="890"/>
      <c r="XCU24" s="890"/>
      <c r="XDG24" s="890"/>
      <c r="XDH24" s="890"/>
      <c r="XDT24" s="890"/>
      <c r="XDU24" s="890"/>
      <c r="XEG24" s="890"/>
      <c r="XEH24" s="890"/>
      <c r="XET24" s="890"/>
      <c r="XEU24" s="890"/>
    </row>
    <row r="25" spans="1:1022 1034:3063 3075:4090 4102:5117 5129:6144 6156:7158 7170:8185 8197:9212 9224:10239 10251:11253 11265:12280 12292:13307 13319:14334 14346:16375" ht="18" customHeight="1">
      <c r="A25" s="1761" t="str">
        <f>IFERROR(INDEX('Summary Data'!B:B,MATCH(1,'Summary Data'!GS:GS,0),1),"N")</f>
        <v>Box</v>
      </c>
      <c r="B25" s="3732">
        <v>300</v>
      </c>
      <c r="C25" s="3591" t="s">
        <v>1393</v>
      </c>
      <c r="D25" s="3591" t="s">
        <v>1350</v>
      </c>
      <c r="E25" s="4077" t="str">
        <f>+'Cost EST. GM target'!L8</f>
        <v>Import</v>
      </c>
      <c r="F25" s="3591">
        <v>2</v>
      </c>
      <c r="G25" s="1614">
        <v>1</v>
      </c>
      <c r="H25" s="1614">
        <v>1</v>
      </c>
      <c r="I25" s="1614">
        <f>VALUE(LEFT(I23,1)+RIGHT(I23,1))</f>
        <v>1</v>
      </c>
      <c r="J25" s="1763">
        <v>638</v>
      </c>
      <c r="K25" s="1764">
        <v>407</v>
      </c>
      <c r="L25" s="4075">
        <f>VLOOKUP($E$25&amp;$B$4,$AS$26:$AW$31,4,0)*0+650</f>
        <v>650</v>
      </c>
      <c r="M25" s="3449">
        <f>VLOOKUP($E$25&amp;$J$14,$AS$26:$AW$31,5,0)</f>
        <v>410</v>
      </c>
      <c r="N25" s="1771"/>
      <c r="O25" s="2150" t="s">
        <v>106</v>
      </c>
      <c r="P25" s="2150" t="s">
        <v>2040</v>
      </c>
      <c r="T25" s="136" t="s">
        <v>3573</v>
      </c>
      <c r="AK25" s="3450" t="str">
        <f>AM25&amp;AR25</f>
        <v>GBlấy</v>
      </c>
      <c r="AL25" s="3450" t="str">
        <f>AM25&amp;AQ25</f>
        <v>GBtừ từ</v>
      </c>
      <c r="AM25" s="3450" t="s">
        <v>1393</v>
      </c>
      <c r="AN25" s="3450">
        <v>650</v>
      </c>
      <c r="AO25" s="3450">
        <f>AN25/2</f>
        <v>325</v>
      </c>
      <c r="AP25" s="3460">
        <f>AN25/$J$25</f>
        <v>1.0188087774294672</v>
      </c>
      <c r="AQ25" s="3450" t="str">
        <f>IF(AP25&gt;2,"lấy","từ từ")</f>
        <v>từ từ</v>
      </c>
      <c r="AR25" s="3450" t="str">
        <f>IF(AP25&gt;1,"lấy","từ từ")</f>
        <v>lấy</v>
      </c>
      <c r="AS25" s="3459"/>
      <c r="AT25" s="3450" t="e">
        <f>MATCH(C25&amp;"lấy",AL:AL,0)</f>
        <v>#N/A</v>
      </c>
      <c r="AU25" s="3450">
        <f>MATCH(C25&amp;"lấy",AK:AK,0)</f>
        <v>25</v>
      </c>
      <c r="AV25" s="3450">
        <f>IFERROR(INDEX(AO:AO,AT25,1),INDEX(AN:AN,AU25,1))</f>
        <v>650</v>
      </c>
      <c r="AW25" s="3450"/>
      <c r="BA25" s="3450" t="e">
        <f t="shared" ref="BA25:BA42" ca="1" si="0">BC25&amp;BH25</f>
        <v>#DIV/0!</v>
      </c>
      <c r="BB25" s="3450" t="e">
        <f t="shared" ref="BB25:BB42" ca="1" si="1">BC25&amp;BG25</f>
        <v>#DIV/0!</v>
      </c>
      <c r="BC25" s="3450" t="s">
        <v>1393</v>
      </c>
      <c r="BD25" s="3450">
        <v>650</v>
      </c>
      <c r="BE25" s="3450">
        <f>BD25/2</f>
        <v>325</v>
      </c>
      <c r="BF25" s="3715" t="e">
        <f t="shared" ref="BF25:BF42" ca="1" si="2">BD25/OFFSET($J$25,BF$24,0)</f>
        <v>#DIV/0!</v>
      </c>
      <c r="BG25" s="3450" t="e">
        <f t="shared" ref="BG25:BG42" ca="1" si="3">IF(BF25&gt;2,"lấy","từ từ")</f>
        <v>#DIV/0!</v>
      </c>
      <c r="BH25" s="3450" t="e">
        <f t="shared" ref="BH25:BH42" ca="1" si="4">IF(BF25&gt;1,"lấy","từ từ")</f>
        <v>#DIV/0!</v>
      </c>
      <c r="BJ25" s="3450" t="e">
        <f t="shared" ref="BJ25:BJ42" ca="1" si="5">BL25&amp;BQ25</f>
        <v>#DIV/0!</v>
      </c>
      <c r="BK25" s="3450" t="e">
        <f t="shared" ref="BK25:BK42" ca="1" si="6">BL25&amp;BP25</f>
        <v>#DIV/0!</v>
      </c>
      <c r="BL25" s="3450" t="s">
        <v>1393</v>
      </c>
      <c r="BM25" s="3450">
        <v>650</v>
      </c>
      <c r="BN25" s="3450">
        <f>BM25/2</f>
        <v>325</v>
      </c>
      <c r="BO25" s="3715" t="e">
        <f t="shared" ref="BO25:BO42" ca="1" si="7">BM25/OFFSET($J$25,BO$24,0)</f>
        <v>#DIV/0!</v>
      </c>
      <c r="BP25" s="3450" t="e">
        <f t="shared" ref="BP25:BP42" ca="1" si="8">IF(BO25&gt;2,"lấy","từ từ")</f>
        <v>#DIV/0!</v>
      </c>
      <c r="BQ25" s="3450" t="e">
        <f t="shared" ref="BQ25:BQ42" ca="1" si="9">IF(BO25&gt;1,"lấy","từ từ")</f>
        <v>#DIV/0!</v>
      </c>
      <c r="BS25" s="3450" t="e">
        <f t="shared" ref="BS25:BS42" ca="1" si="10">BU25&amp;BZ25</f>
        <v>#DIV/0!</v>
      </c>
      <c r="BT25" s="3450" t="e">
        <f t="shared" ref="BT25:BT42" ca="1" si="11">BU25&amp;BY25</f>
        <v>#DIV/0!</v>
      </c>
      <c r="BU25" s="3450" t="s">
        <v>1393</v>
      </c>
      <c r="BV25" s="3450">
        <v>650</v>
      </c>
      <c r="BW25" s="3450">
        <f>BV25/2</f>
        <v>325</v>
      </c>
      <c r="BX25" s="3715" t="e">
        <f t="shared" ref="BX25:BX42" ca="1" si="12">BV25/OFFSET($J$25,BX$24,0)</f>
        <v>#DIV/0!</v>
      </c>
      <c r="BY25" s="3450" t="e">
        <f t="shared" ref="BY25:BY42" ca="1" si="13">IF(BX25&gt;2,"lấy","từ từ")</f>
        <v>#DIV/0!</v>
      </c>
      <c r="BZ25" s="3450" t="e">
        <f t="shared" ref="BZ25:BZ42" ca="1" si="14">IF(BX25&gt;1,"lấy","từ từ")</f>
        <v>#DIV/0!</v>
      </c>
      <c r="CB25" s="3450" t="e">
        <f t="shared" ref="CB25:CB42" ca="1" si="15">CD25&amp;CI25</f>
        <v>#DIV/0!</v>
      </c>
      <c r="CC25" s="3450" t="e">
        <f t="shared" ref="CC25:CC42" ca="1" si="16">CD25&amp;CH25</f>
        <v>#DIV/0!</v>
      </c>
      <c r="CD25" s="3450" t="s">
        <v>1393</v>
      </c>
      <c r="CE25" s="3450">
        <v>650</v>
      </c>
      <c r="CF25" s="3450">
        <f>CE25/2</f>
        <v>325</v>
      </c>
      <c r="CG25" s="3715" t="e">
        <f t="shared" ref="CG25:CG42" ca="1" si="17">CE25/OFFSET($J$25,CG$24,0)</f>
        <v>#DIV/0!</v>
      </c>
      <c r="CH25" s="3450" t="e">
        <f t="shared" ref="CH25:CH42" ca="1" si="18">IF(CG25&gt;2,"lấy","từ từ")</f>
        <v>#DIV/0!</v>
      </c>
      <c r="CI25" s="3450" t="e">
        <f t="shared" ref="CI25:CI42" ca="1" si="19">IF(CG25&gt;1,"lấy","từ từ")</f>
        <v>#DIV/0!</v>
      </c>
      <c r="CK25" s="3450" t="e">
        <f t="shared" ref="CK25:CK42" ca="1" si="20">CM25&amp;CR25</f>
        <v>#DIV/0!</v>
      </c>
      <c r="CL25" s="3450" t="e">
        <f t="shared" ref="CL25:CL42" ca="1" si="21">CM25&amp;CQ25</f>
        <v>#DIV/0!</v>
      </c>
      <c r="CM25" s="3450" t="s">
        <v>1393</v>
      </c>
      <c r="CN25" s="3450">
        <v>650</v>
      </c>
      <c r="CO25" s="3450">
        <f>CN25/2</f>
        <v>325</v>
      </c>
      <c r="CP25" s="3715" t="e">
        <f t="shared" ref="CP25:CP42" ca="1" si="22">CN25/OFFSET($J$25,CP$24,0)</f>
        <v>#DIV/0!</v>
      </c>
      <c r="CQ25" s="3450" t="e">
        <f t="shared" ref="CQ25:CQ42" ca="1" si="23">IF(CP25&gt;2,"lấy","từ từ")</f>
        <v>#DIV/0!</v>
      </c>
      <c r="CR25" s="3450" t="e">
        <f t="shared" ref="CR25:CR42" ca="1" si="24">IF(CP25&gt;1,"lấy","từ từ")</f>
        <v>#DIV/0!</v>
      </c>
      <c r="CT25" s="3450" t="e">
        <f t="shared" ref="CT25:CT42" ca="1" si="25">CV25&amp;DA25</f>
        <v>#DIV/0!</v>
      </c>
      <c r="CU25" s="3450" t="e">
        <f t="shared" ref="CU25:CU42" ca="1" si="26">CV25&amp;CZ25</f>
        <v>#DIV/0!</v>
      </c>
      <c r="CV25" s="3450" t="s">
        <v>1393</v>
      </c>
      <c r="CW25" s="3450">
        <v>650</v>
      </c>
      <c r="CX25" s="3450">
        <f>CW25/2</f>
        <v>325</v>
      </c>
      <c r="CY25" s="3715" t="e">
        <f t="shared" ref="CY25:CY42" ca="1" si="27">CW25/OFFSET($J$25,CY$24,0)</f>
        <v>#DIV/0!</v>
      </c>
      <c r="CZ25" s="3450" t="e">
        <f t="shared" ref="CZ25:CZ42" ca="1" si="28">IF(CY25&gt;2,"lấy","từ từ")</f>
        <v>#DIV/0!</v>
      </c>
      <c r="DA25" s="3450" t="e">
        <f t="shared" ref="DA25:DA42" ca="1" si="29">IF(CY25&gt;1,"lấy","từ từ")</f>
        <v>#DIV/0!</v>
      </c>
      <c r="DC25" s="3450" t="e">
        <f t="shared" ref="DC25:DC42" ca="1" si="30">DE25&amp;DJ25</f>
        <v>#DIV/0!</v>
      </c>
      <c r="DD25" s="3450" t="e">
        <f t="shared" ref="DD25:DD42" ca="1" si="31">DE25&amp;DI25</f>
        <v>#DIV/0!</v>
      </c>
      <c r="DE25" s="3450" t="s">
        <v>1393</v>
      </c>
      <c r="DF25" s="3450">
        <v>650</v>
      </c>
      <c r="DG25" s="3450">
        <f>DF25/2</f>
        <v>325</v>
      </c>
      <c r="DH25" s="3715" t="e">
        <f t="shared" ref="DH25:DH42" ca="1" si="32">DF25/OFFSET($J$25,DH$24,0)</f>
        <v>#DIV/0!</v>
      </c>
      <c r="DI25" s="3450" t="e">
        <f t="shared" ref="DI25:DI42" ca="1" si="33">IF(DH25&gt;2,"lấy","từ từ")</f>
        <v>#DIV/0!</v>
      </c>
      <c r="DJ25" s="3450" t="e">
        <f t="shared" ref="DJ25:DJ42" ca="1" si="34">IF(DH25&gt;1,"lấy","từ từ")</f>
        <v>#DIV/0!</v>
      </c>
      <c r="DL25" s="3450" t="e">
        <f t="shared" ref="DL25:DL42" ca="1" si="35">DN25&amp;DS25</f>
        <v>#DIV/0!</v>
      </c>
      <c r="DM25" s="3450" t="e">
        <f t="shared" ref="DM25:DM42" ca="1" si="36">DN25&amp;DR25</f>
        <v>#DIV/0!</v>
      </c>
      <c r="DN25" s="3450" t="s">
        <v>1393</v>
      </c>
      <c r="DO25" s="3450">
        <v>650</v>
      </c>
      <c r="DP25" s="3450">
        <f>DO25/2</f>
        <v>325</v>
      </c>
      <c r="DQ25" s="3715" t="e">
        <f t="shared" ref="DQ25:DQ42" ca="1" si="37">DO25/OFFSET($J$25,DQ$24,0)</f>
        <v>#DIV/0!</v>
      </c>
      <c r="DR25" s="3450" t="e">
        <f t="shared" ref="DR25:DR42" ca="1" si="38">IF(DQ25&gt;2,"lấy","từ từ")</f>
        <v>#DIV/0!</v>
      </c>
      <c r="DS25" s="3450" t="e">
        <f t="shared" ref="DS25:DS42" ca="1" si="39">IF(DQ25&gt;1,"lấy","từ từ")</f>
        <v>#DIV/0!</v>
      </c>
      <c r="DU25" s="3450" t="e">
        <f t="shared" ref="DU25:DU42" ca="1" si="40">DW25&amp;EB25</f>
        <v>#DIV/0!</v>
      </c>
      <c r="DV25" s="3450" t="e">
        <f t="shared" ref="DV25:DV42" ca="1" si="41">DW25&amp;EA25</f>
        <v>#DIV/0!</v>
      </c>
      <c r="DW25" s="3450" t="s">
        <v>1393</v>
      </c>
      <c r="DX25" s="3450">
        <v>650</v>
      </c>
      <c r="DY25" s="3450">
        <f>DX25/2</f>
        <v>325</v>
      </c>
      <c r="DZ25" s="3715" t="e">
        <f t="shared" ref="DZ25:DZ42" ca="1" si="42">DX25/OFFSET($J$25,DZ$24,0)</f>
        <v>#DIV/0!</v>
      </c>
      <c r="EA25" s="3450" t="e">
        <f t="shared" ref="EA25:EA42" ca="1" si="43">IF(DZ25&gt;2,"lấy","từ từ")</f>
        <v>#DIV/0!</v>
      </c>
      <c r="EB25" s="3450" t="e">
        <f t="shared" ref="EB25:EB42" ca="1" si="44">IF(DZ25&gt;1,"lấy","từ từ")</f>
        <v>#DIV/0!</v>
      </c>
      <c r="ED25" s="3450" t="e">
        <f t="shared" ref="ED25:ED42" ca="1" si="45">EF25&amp;EK25</f>
        <v>#DIV/0!</v>
      </c>
      <c r="EE25" s="3450" t="e">
        <f t="shared" ref="EE25:EE42" ca="1" si="46">EF25&amp;EJ25</f>
        <v>#DIV/0!</v>
      </c>
      <c r="EF25" s="3450" t="s">
        <v>1393</v>
      </c>
      <c r="EG25" s="3450">
        <v>650</v>
      </c>
      <c r="EH25" s="3450">
        <f>EG25/2</f>
        <v>325</v>
      </c>
      <c r="EI25" s="3715" t="e">
        <f t="shared" ref="EI25:EI42" ca="1" si="47">EG25/OFFSET($J$25,EI$24,0)</f>
        <v>#DIV/0!</v>
      </c>
      <c r="EJ25" s="3450" t="e">
        <f t="shared" ref="EJ25:EJ42" ca="1" si="48">IF(EI25&gt;2,"lấy","từ từ")</f>
        <v>#DIV/0!</v>
      </c>
      <c r="EK25" s="3450" t="e">
        <f t="shared" ref="EK25:EK42" ca="1" si="49">IF(EI25&gt;1,"lấy","từ từ")</f>
        <v>#DIV/0!</v>
      </c>
      <c r="EM25" s="3450" t="e">
        <f t="shared" ref="EM25:EM42" ca="1" si="50">EO25&amp;ET25</f>
        <v>#DIV/0!</v>
      </c>
      <c r="EN25" s="3450" t="e">
        <f t="shared" ref="EN25:EN42" ca="1" si="51">EO25&amp;ES25</f>
        <v>#DIV/0!</v>
      </c>
      <c r="EO25" s="3450" t="s">
        <v>1393</v>
      </c>
      <c r="EP25" s="3450">
        <v>650</v>
      </c>
      <c r="EQ25" s="3450">
        <f>EP25/2</f>
        <v>325</v>
      </c>
      <c r="ER25" s="3715" t="e">
        <f t="shared" ref="ER25:ER42" ca="1" si="52">EP25/OFFSET($J$25,ER$24,0)</f>
        <v>#DIV/0!</v>
      </c>
      <c r="ES25" s="3450" t="e">
        <f t="shared" ref="ES25:ES42" ca="1" si="53">IF(ER25&gt;2,"lấy","từ từ")</f>
        <v>#DIV/0!</v>
      </c>
      <c r="ET25" s="3450" t="e">
        <f t="shared" ref="ET25:ET42" ca="1" si="54">IF(ER25&gt;1,"lấy","từ từ")</f>
        <v>#DIV/0!</v>
      </c>
      <c r="EV25" s="3450" t="e">
        <f t="shared" ref="EV25:EV42" ca="1" si="55">EX25&amp;FC25</f>
        <v>#DIV/0!</v>
      </c>
      <c r="EW25" s="3450" t="e">
        <f t="shared" ref="EW25:EW42" ca="1" si="56">EX25&amp;FB25</f>
        <v>#DIV/0!</v>
      </c>
      <c r="EX25" s="3450" t="s">
        <v>1393</v>
      </c>
      <c r="EY25" s="3450">
        <v>650</v>
      </c>
      <c r="EZ25" s="3450">
        <f>EY25/2</f>
        <v>325</v>
      </c>
      <c r="FA25" s="3715" t="e">
        <f t="shared" ref="FA25:FA42" ca="1" si="57">EY25/OFFSET($J$25,FA$24,0)</f>
        <v>#DIV/0!</v>
      </c>
      <c r="FB25" s="3450" t="e">
        <f t="shared" ref="FB25:FB42" ca="1" si="58">IF(FA25&gt;2,"lấy","từ từ")</f>
        <v>#DIV/0!</v>
      </c>
      <c r="FC25" s="3450" t="e">
        <f t="shared" ref="FC25:FC42" ca="1" si="59">IF(FA25&gt;1,"lấy","từ từ")</f>
        <v>#DIV/0!</v>
      </c>
      <c r="FE25" s="3450" t="e">
        <f t="shared" ref="FE25:FE42" ca="1" si="60">FG25&amp;FL25</f>
        <v>#DIV/0!</v>
      </c>
      <c r="FF25" s="3450" t="e">
        <f t="shared" ref="FF25:FF42" ca="1" si="61">FG25&amp;FK25</f>
        <v>#DIV/0!</v>
      </c>
      <c r="FG25" s="3450" t="s">
        <v>1393</v>
      </c>
      <c r="FH25" s="3450">
        <v>650</v>
      </c>
      <c r="FI25" s="3450">
        <f>FH25/2</f>
        <v>325</v>
      </c>
      <c r="FJ25" s="3715" t="e">
        <f t="shared" ref="FJ25:FJ42" ca="1" si="62">FH25/OFFSET($J$25,FJ$24,0)</f>
        <v>#DIV/0!</v>
      </c>
      <c r="FK25" s="3450" t="e">
        <f t="shared" ref="FK25:FK42" ca="1" si="63">IF(FJ25&gt;2,"lấy","từ từ")</f>
        <v>#DIV/0!</v>
      </c>
      <c r="FL25" s="3450" t="e">
        <f t="shared" ref="FL25:FL42" ca="1" si="64">IF(FJ25&gt;1,"lấy","từ từ")</f>
        <v>#DIV/0!</v>
      </c>
      <c r="FN25" s="3450" t="e">
        <f t="shared" ref="FN25:FN42" ca="1" si="65">FP25&amp;FU25</f>
        <v>#DIV/0!</v>
      </c>
      <c r="FO25" s="3450" t="e">
        <f t="shared" ref="FO25:FO42" ca="1" si="66">FP25&amp;FT25</f>
        <v>#DIV/0!</v>
      </c>
      <c r="FP25" s="3450" t="s">
        <v>1393</v>
      </c>
      <c r="FQ25" s="3450">
        <v>650</v>
      </c>
      <c r="FR25" s="3450">
        <f>FQ25/2</f>
        <v>325</v>
      </c>
      <c r="FS25" s="3715" t="e">
        <f t="shared" ref="FS25:FS42" ca="1" si="67">FQ25/OFFSET($J$25,FS$24,0)</f>
        <v>#DIV/0!</v>
      </c>
      <c r="FT25" s="3450" t="e">
        <f t="shared" ref="FT25:FT42" ca="1" si="68">IF(FS25&gt;2,"lấy","từ từ")</f>
        <v>#DIV/0!</v>
      </c>
      <c r="FU25" s="3450" t="e">
        <f t="shared" ref="FU25:FU42" ca="1" si="69">IF(FS25&gt;1,"lấy","từ từ")</f>
        <v>#DIV/0!</v>
      </c>
      <c r="FW25" s="3450" t="e">
        <f t="shared" ref="FW25:FW42" ca="1" si="70">FY25&amp;GD25</f>
        <v>#VALUE!</v>
      </c>
      <c r="FX25" s="3450" t="e">
        <f t="shared" ref="FX25:FX42" ca="1" si="71">FY25&amp;GC25</f>
        <v>#VALUE!</v>
      </c>
      <c r="FY25" s="3450" t="s">
        <v>1393</v>
      </c>
      <c r="FZ25" s="3450">
        <v>650</v>
      </c>
      <c r="GA25" s="3450">
        <f>FZ25/2</f>
        <v>325</v>
      </c>
      <c r="GB25" s="3715" t="e">
        <f t="shared" ref="GB25:GB42" ca="1" si="72">FZ25/OFFSET($J$25,GB$24,0)</f>
        <v>#VALUE!</v>
      </c>
      <c r="GC25" s="3450" t="e">
        <f t="shared" ref="GC25:GC42" ca="1" si="73">IF(GB25&gt;2,"lấy","từ từ")</f>
        <v>#VALUE!</v>
      </c>
      <c r="GD25" s="3450" t="e">
        <f t="shared" ref="GD25:GD42" ca="1" si="74">IF(GB25&gt;1,"lấy","từ từ")</f>
        <v>#VALUE!</v>
      </c>
    </row>
    <row r="26" spans="1:1022 1034:3063 3075:4090 4102:5117 5129:6144 6156:7158 7170:8185 8197:9212 9224:10239 10251:11253 11265:12280 12292:13307 13319:14334 14346:16375" ht="18" customHeight="1">
      <c r="A26" s="1766" t="s">
        <v>213</v>
      </c>
      <c r="B26" s="1767" t="s">
        <v>1469</v>
      </c>
      <c r="C26" s="1767" t="s">
        <v>445</v>
      </c>
      <c r="D26" s="3104">
        <v>2.5</v>
      </c>
      <c r="E26" s="1766" t="s">
        <v>1610</v>
      </c>
      <c r="F26" s="1767" t="s">
        <v>1470</v>
      </c>
      <c r="G26" s="1767" t="s">
        <v>1469</v>
      </c>
      <c r="H26" s="1767" t="s">
        <v>445</v>
      </c>
      <c r="I26" s="319"/>
      <c r="J26" s="1766" t="s">
        <v>495</v>
      </c>
      <c r="K26" s="1767" t="s">
        <v>183</v>
      </c>
      <c r="L26" s="1769" t="s">
        <v>1471</v>
      </c>
      <c r="M26" s="1766" t="s">
        <v>215</v>
      </c>
      <c r="N26" s="1767" t="s">
        <v>1469</v>
      </c>
      <c r="O26" s="1769" t="s">
        <v>1473</v>
      </c>
      <c r="Q26" s="3450" t="s">
        <v>3568</v>
      </c>
      <c r="R26" s="3450" t="s">
        <v>3569</v>
      </c>
      <c r="S26" s="3450" t="s">
        <v>3570</v>
      </c>
      <c r="T26" s="3450" t="s">
        <v>3571</v>
      </c>
      <c r="U26" s="3450" t="s">
        <v>3572</v>
      </c>
      <c r="V26" s="3450"/>
      <c r="W26" s="3450" t="s">
        <v>3574</v>
      </c>
      <c r="X26" s="3450"/>
      <c r="AJ26" s="320"/>
      <c r="AK26" s="3450" t="str">
        <f t="shared" ref="AK26:AK42" si="75">AM26&amp;AR26</f>
        <v>GBlấy</v>
      </c>
      <c r="AL26" s="3450" t="str">
        <f t="shared" ref="AL26:AL42" si="76">AM26&amp;AQ26</f>
        <v>GBtừ từ</v>
      </c>
      <c r="AM26" s="3450" t="s">
        <v>1393</v>
      </c>
      <c r="AN26" s="3450">
        <v>790</v>
      </c>
      <c r="AO26" s="3450">
        <f t="shared" ref="AO26:AO42" si="77">AN26/2</f>
        <v>395</v>
      </c>
      <c r="AP26" s="3460">
        <f t="shared" ref="AP26:AP42" si="78">AN26/$J$25</f>
        <v>1.238244514106583</v>
      </c>
      <c r="AQ26" s="3450" t="str">
        <f t="shared" ref="AQ26:AQ42" si="79">IF(AP26&gt;2,"lấy","từ từ")</f>
        <v>từ từ</v>
      </c>
      <c r="AR26" s="3450" t="str">
        <f t="shared" ref="AR26:AR42" si="80">IF(AP26&gt;1,"lấy","từ từ")</f>
        <v>lấy</v>
      </c>
      <c r="AS26" s="3459" t="str">
        <f t="shared" ref="AS26:AS31" si="81">AT26&amp;AU26</f>
        <v>importNon Metalize</v>
      </c>
      <c r="AT26" s="3450" t="s">
        <v>3562</v>
      </c>
      <c r="AU26" s="3450" t="s">
        <v>800</v>
      </c>
      <c r="AV26" s="3450">
        <f>IF(E25="local",AV25,CEILING(J25+3,5))</f>
        <v>645</v>
      </c>
      <c r="AW26" s="3458">
        <f>K25+3</f>
        <v>410</v>
      </c>
      <c r="BA26" s="3450" t="e">
        <f t="shared" ca="1" si="0"/>
        <v>#DIV/0!</v>
      </c>
      <c r="BB26" s="3450" t="e">
        <f t="shared" ca="1" si="1"/>
        <v>#DIV/0!</v>
      </c>
      <c r="BC26" s="3450" t="s">
        <v>1393</v>
      </c>
      <c r="BD26" s="3450">
        <v>790</v>
      </c>
      <c r="BE26" s="3450">
        <f t="shared" ref="BE26:BE42" si="82">BD26/2</f>
        <v>395</v>
      </c>
      <c r="BF26" s="3460" t="e">
        <f t="shared" ca="1" si="2"/>
        <v>#DIV/0!</v>
      </c>
      <c r="BG26" s="3450" t="e">
        <f t="shared" ca="1" si="3"/>
        <v>#DIV/0!</v>
      </c>
      <c r="BH26" s="3450" t="e">
        <f t="shared" ca="1" si="4"/>
        <v>#DIV/0!</v>
      </c>
      <c r="BJ26" s="3450" t="e">
        <f t="shared" ca="1" si="5"/>
        <v>#DIV/0!</v>
      </c>
      <c r="BK26" s="3450" t="e">
        <f t="shared" ca="1" si="6"/>
        <v>#DIV/0!</v>
      </c>
      <c r="BL26" s="3450" t="s">
        <v>1393</v>
      </c>
      <c r="BM26" s="3450">
        <v>790</v>
      </c>
      <c r="BN26" s="3450">
        <f t="shared" ref="BN26:BN42" si="83">BM26/2</f>
        <v>395</v>
      </c>
      <c r="BO26" s="3460" t="e">
        <f t="shared" ca="1" si="7"/>
        <v>#DIV/0!</v>
      </c>
      <c r="BP26" s="3450" t="e">
        <f t="shared" ca="1" si="8"/>
        <v>#DIV/0!</v>
      </c>
      <c r="BQ26" s="3450" t="e">
        <f t="shared" ca="1" si="9"/>
        <v>#DIV/0!</v>
      </c>
      <c r="BS26" s="3450" t="e">
        <f t="shared" ca="1" si="10"/>
        <v>#DIV/0!</v>
      </c>
      <c r="BT26" s="3450" t="e">
        <f t="shared" ca="1" si="11"/>
        <v>#DIV/0!</v>
      </c>
      <c r="BU26" s="3450" t="s">
        <v>1393</v>
      </c>
      <c r="BV26" s="3450">
        <v>790</v>
      </c>
      <c r="BW26" s="3450">
        <f t="shared" ref="BW26:BW42" si="84">BV26/2</f>
        <v>395</v>
      </c>
      <c r="BX26" s="3460" t="e">
        <f t="shared" ca="1" si="12"/>
        <v>#DIV/0!</v>
      </c>
      <c r="BY26" s="3450" t="e">
        <f t="shared" ca="1" si="13"/>
        <v>#DIV/0!</v>
      </c>
      <c r="BZ26" s="3450" t="e">
        <f t="shared" ca="1" si="14"/>
        <v>#DIV/0!</v>
      </c>
      <c r="CB26" s="3450" t="e">
        <f t="shared" ca="1" si="15"/>
        <v>#DIV/0!</v>
      </c>
      <c r="CC26" s="3450" t="e">
        <f t="shared" ca="1" si="16"/>
        <v>#DIV/0!</v>
      </c>
      <c r="CD26" s="3450" t="s">
        <v>1393</v>
      </c>
      <c r="CE26" s="3450">
        <v>790</v>
      </c>
      <c r="CF26" s="3450">
        <f t="shared" ref="CF26:CF42" si="85">CE26/2</f>
        <v>395</v>
      </c>
      <c r="CG26" s="3460" t="e">
        <f t="shared" ca="1" si="17"/>
        <v>#DIV/0!</v>
      </c>
      <c r="CH26" s="3450" t="e">
        <f t="shared" ca="1" si="18"/>
        <v>#DIV/0!</v>
      </c>
      <c r="CI26" s="3450" t="e">
        <f t="shared" ca="1" si="19"/>
        <v>#DIV/0!</v>
      </c>
      <c r="CK26" s="3450" t="e">
        <f t="shared" ca="1" si="20"/>
        <v>#DIV/0!</v>
      </c>
      <c r="CL26" s="3450" t="e">
        <f t="shared" ca="1" si="21"/>
        <v>#DIV/0!</v>
      </c>
      <c r="CM26" s="3450" t="s">
        <v>1393</v>
      </c>
      <c r="CN26" s="3450">
        <v>790</v>
      </c>
      <c r="CO26" s="3450">
        <f t="shared" ref="CO26:CO42" si="86">CN26/2</f>
        <v>395</v>
      </c>
      <c r="CP26" s="3460" t="e">
        <f t="shared" ca="1" si="22"/>
        <v>#DIV/0!</v>
      </c>
      <c r="CQ26" s="3450" t="e">
        <f t="shared" ca="1" si="23"/>
        <v>#DIV/0!</v>
      </c>
      <c r="CR26" s="3450" t="e">
        <f t="shared" ca="1" si="24"/>
        <v>#DIV/0!</v>
      </c>
      <c r="CT26" s="3450" t="e">
        <f t="shared" ca="1" si="25"/>
        <v>#DIV/0!</v>
      </c>
      <c r="CU26" s="3450" t="e">
        <f t="shared" ca="1" si="26"/>
        <v>#DIV/0!</v>
      </c>
      <c r="CV26" s="3450" t="s">
        <v>1393</v>
      </c>
      <c r="CW26" s="3450">
        <v>790</v>
      </c>
      <c r="CX26" s="3450">
        <f t="shared" ref="CX26:CX42" si="87">CW26/2</f>
        <v>395</v>
      </c>
      <c r="CY26" s="3460" t="e">
        <f t="shared" ca="1" si="27"/>
        <v>#DIV/0!</v>
      </c>
      <c r="CZ26" s="3450" t="e">
        <f t="shared" ca="1" si="28"/>
        <v>#DIV/0!</v>
      </c>
      <c r="DA26" s="3450" t="e">
        <f t="shared" ca="1" si="29"/>
        <v>#DIV/0!</v>
      </c>
      <c r="DC26" s="3450" t="e">
        <f t="shared" ca="1" si="30"/>
        <v>#DIV/0!</v>
      </c>
      <c r="DD26" s="3450" t="e">
        <f t="shared" ca="1" si="31"/>
        <v>#DIV/0!</v>
      </c>
      <c r="DE26" s="3450" t="s">
        <v>1393</v>
      </c>
      <c r="DF26" s="3450">
        <v>790</v>
      </c>
      <c r="DG26" s="3450">
        <f t="shared" ref="DG26:DG42" si="88">DF26/2</f>
        <v>395</v>
      </c>
      <c r="DH26" s="3460" t="e">
        <f t="shared" ca="1" si="32"/>
        <v>#DIV/0!</v>
      </c>
      <c r="DI26" s="3450" t="e">
        <f t="shared" ca="1" si="33"/>
        <v>#DIV/0!</v>
      </c>
      <c r="DJ26" s="3450" t="e">
        <f t="shared" ca="1" si="34"/>
        <v>#DIV/0!</v>
      </c>
      <c r="DL26" s="3450" t="e">
        <f t="shared" ca="1" si="35"/>
        <v>#DIV/0!</v>
      </c>
      <c r="DM26" s="3450" t="e">
        <f t="shared" ca="1" si="36"/>
        <v>#DIV/0!</v>
      </c>
      <c r="DN26" s="3450" t="s">
        <v>1393</v>
      </c>
      <c r="DO26" s="3450">
        <v>790</v>
      </c>
      <c r="DP26" s="3450">
        <f t="shared" ref="DP26:DP42" si="89">DO26/2</f>
        <v>395</v>
      </c>
      <c r="DQ26" s="3460" t="e">
        <f t="shared" ca="1" si="37"/>
        <v>#DIV/0!</v>
      </c>
      <c r="DR26" s="3450" t="e">
        <f t="shared" ca="1" si="38"/>
        <v>#DIV/0!</v>
      </c>
      <c r="DS26" s="3450" t="e">
        <f t="shared" ca="1" si="39"/>
        <v>#DIV/0!</v>
      </c>
      <c r="DU26" s="3450" t="e">
        <f t="shared" ca="1" si="40"/>
        <v>#DIV/0!</v>
      </c>
      <c r="DV26" s="3450" t="e">
        <f t="shared" ca="1" si="41"/>
        <v>#DIV/0!</v>
      </c>
      <c r="DW26" s="3450" t="s">
        <v>1393</v>
      </c>
      <c r="DX26" s="3450">
        <v>790</v>
      </c>
      <c r="DY26" s="3450">
        <f t="shared" ref="DY26:DY42" si="90">DX26/2</f>
        <v>395</v>
      </c>
      <c r="DZ26" s="3460" t="e">
        <f t="shared" ca="1" si="42"/>
        <v>#DIV/0!</v>
      </c>
      <c r="EA26" s="3450" t="e">
        <f t="shared" ca="1" si="43"/>
        <v>#DIV/0!</v>
      </c>
      <c r="EB26" s="3450" t="e">
        <f t="shared" ca="1" si="44"/>
        <v>#DIV/0!</v>
      </c>
      <c r="ED26" s="3450" t="e">
        <f t="shared" ca="1" si="45"/>
        <v>#DIV/0!</v>
      </c>
      <c r="EE26" s="3450" t="e">
        <f t="shared" ca="1" si="46"/>
        <v>#DIV/0!</v>
      </c>
      <c r="EF26" s="3450" t="s">
        <v>1393</v>
      </c>
      <c r="EG26" s="3450">
        <v>790</v>
      </c>
      <c r="EH26" s="3450">
        <f t="shared" ref="EH26:EH42" si="91">EG26/2</f>
        <v>395</v>
      </c>
      <c r="EI26" s="3460" t="e">
        <f t="shared" ca="1" si="47"/>
        <v>#DIV/0!</v>
      </c>
      <c r="EJ26" s="3450" t="e">
        <f t="shared" ca="1" si="48"/>
        <v>#DIV/0!</v>
      </c>
      <c r="EK26" s="3450" t="e">
        <f t="shared" ca="1" si="49"/>
        <v>#DIV/0!</v>
      </c>
      <c r="EM26" s="3450" t="e">
        <f t="shared" ca="1" si="50"/>
        <v>#DIV/0!</v>
      </c>
      <c r="EN26" s="3450" t="e">
        <f t="shared" ca="1" si="51"/>
        <v>#DIV/0!</v>
      </c>
      <c r="EO26" s="3450" t="s">
        <v>1393</v>
      </c>
      <c r="EP26" s="3450">
        <v>790</v>
      </c>
      <c r="EQ26" s="3450">
        <f t="shared" ref="EQ26:EQ42" si="92">EP26/2</f>
        <v>395</v>
      </c>
      <c r="ER26" s="3460" t="e">
        <f t="shared" ca="1" si="52"/>
        <v>#DIV/0!</v>
      </c>
      <c r="ES26" s="3450" t="e">
        <f t="shared" ca="1" si="53"/>
        <v>#DIV/0!</v>
      </c>
      <c r="ET26" s="3450" t="e">
        <f t="shared" ca="1" si="54"/>
        <v>#DIV/0!</v>
      </c>
      <c r="EV26" s="3450" t="e">
        <f t="shared" ca="1" si="55"/>
        <v>#DIV/0!</v>
      </c>
      <c r="EW26" s="3450" t="e">
        <f t="shared" ca="1" si="56"/>
        <v>#DIV/0!</v>
      </c>
      <c r="EX26" s="3450" t="s">
        <v>1393</v>
      </c>
      <c r="EY26" s="3450">
        <v>790</v>
      </c>
      <c r="EZ26" s="3450">
        <f t="shared" ref="EZ26:EZ42" si="93">EY26/2</f>
        <v>395</v>
      </c>
      <c r="FA26" s="3460" t="e">
        <f t="shared" ca="1" si="57"/>
        <v>#DIV/0!</v>
      </c>
      <c r="FB26" s="3450" t="e">
        <f t="shared" ca="1" si="58"/>
        <v>#DIV/0!</v>
      </c>
      <c r="FC26" s="3450" t="e">
        <f t="shared" ca="1" si="59"/>
        <v>#DIV/0!</v>
      </c>
      <c r="FE26" s="3450" t="e">
        <f t="shared" ca="1" si="60"/>
        <v>#DIV/0!</v>
      </c>
      <c r="FF26" s="3450" t="e">
        <f t="shared" ca="1" si="61"/>
        <v>#DIV/0!</v>
      </c>
      <c r="FG26" s="3450" t="s">
        <v>1393</v>
      </c>
      <c r="FH26" s="3450">
        <v>790</v>
      </c>
      <c r="FI26" s="3450">
        <f t="shared" ref="FI26:FI42" si="94">FH26/2</f>
        <v>395</v>
      </c>
      <c r="FJ26" s="3460" t="e">
        <f t="shared" ca="1" si="62"/>
        <v>#DIV/0!</v>
      </c>
      <c r="FK26" s="3450" t="e">
        <f t="shared" ca="1" si="63"/>
        <v>#DIV/0!</v>
      </c>
      <c r="FL26" s="3450" t="e">
        <f t="shared" ca="1" si="64"/>
        <v>#DIV/0!</v>
      </c>
      <c r="FN26" s="3450" t="e">
        <f t="shared" ca="1" si="65"/>
        <v>#DIV/0!</v>
      </c>
      <c r="FO26" s="3450" t="e">
        <f t="shared" ca="1" si="66"/>
        <v>#DIV/0!</v>
      </c>
      <c r="FP26" s="3450" t="s">
        <v>1393</v>
      </c>
      <c r="FQ26" s="3450">
        <v>790</v>
      </c>
      <c r="FR26" s="3450">
        <f t="shared" ref="FR26:FR42" si="95">FQ26/2</f>
        <v>395</v>
      </c>
      <c r="FS26" s="3460" t="e">
        <f t="shared" ca="1" si="67"/>
        <v>#DIV/0!</v>
      </c>
      <c r="FT26" s="3450" t="e">
        <f t="shared" ca="1" si="68"/>
        <v>#DIV/0!</v>
      </c>
      <c r="FU26" s="3450" t="e">
        <f t="shared" ca="1" si="69"/>
        <v>#DIV/0!</v>
      </c>
      <c r="FW26" s="3450" t="e">
        <f t="shared" ca="1" si="70"/>
        <v>#VALUE!</v>
      </c>
      <c r="FX26" s="3450" t="e">
        <f t="shared" ca="1" si="71"/>
        <v>#VALUE!</v>
      </c>
      <c r="FY26" s="3450" t="s">
        <v>1393</v>
      </c>
      <c r="FZ26" s="3450">
        <v>790</v>
      </c>
      <c r="GA26" s="3450">
        <f t="shared" ref="GA26:GA42" si="96">FZ26/2</f>
        <v>395</v>
      </c>
      <c r="GB26" s="3460" t="e">
        <f t="shared" ca="1" si="72"/>
        <v>#VALUE!</v>
      </c>
      <c r="GC26" s="3450" t="e">
        <f t="shared" ca="1" si="73"/>
        <v>#VALUE!</v>
      </c>
      <c r="GD26" s="3450" t="e">
        <f t="shared" ca="1" si="74"/>
        <v>#VALUE!</v>
      </c>
    </row>
    <row r="27" spans="1:1022 1034:3063 3075:4090 4102:5117 5129:6144 6156:7158 7170:8185 8197:9212 9224:10239 10251:11253 11265:12280 12292:13307 13319:14334 14346:16375" ht="18" customHeight="1">
      <c r="A27" s="3452" t="str">
        <f t="shared" ref="A27:A40" ca="1" si="97">IF($Q27=1,VLOOKUP($T27,OFFSET($W$27,Z27,0,15,2),2,0),"None")</f>
        <v>Black (60-914386-2.1200 Nutri-2 Proc Black ISO 2846-1)</v>
      </c>
      <c r="B27" s="3453">
        <f>500/1000</f>
        <v>0.5</v>
      </c>
      <c r="C27" s="1768"/>
      <c r="D27" s="3104">
        <v>2.1</v>
      </c>
      <c r="E27" s="3452" t="s">
        <v>1892</v>
      </c>
      <c r="F27" s="1705" t="s">
        <v>1112</v>
      </c>
      <c r="G27" s="1768">
        <v>11.5</v>
      </c>
      <c r="H27" s="1768"/>
      <c r="J27" s="1705" t="s">
        <v>127</v>
      </c>
      <c r="K27" s="3571">
        <f>IF(VLOOKUP(J27,Data!$AN$943:$AO$959,2,0)="No",CEILING(K29+3,50),HLOOKUP(J27,Data!$AJ$943:$AL$2000,K30,0))</f>
        <v>50</v>
      </c>
      <c r="L27" s="1770" t="s">
        <v>1472</v>
      </c>
      <c r="M27" s="3452" t="s">
        <v>1226</v>
      </c>
      <c r="N27" s="1768">
        <v>68.5</v>
      </c>
      <c r="O27" s="1705" t="s">
        <v>1196</v>
      </c>
      <c r="Q27" s="3450">
        <f t="shared" ref="Q27:Q40" ca="1" si="98">IFERROR(FIND("M",U27),2)</f>
        <v>1</v>
      </c>
      <c r="R27" s="3451">
        <v>1</v>
      </c>
      <c r="S27" s="3450" t="str">
        <f>IF(R27&lt;=VALUE(LEFT($I$23,1)),"MẶT TRƯỚC","MẶT SAU")</f>
        <v>MẶT TRƯỚC</v>
      </c>
      <c r="T27" s="3450">
        <f t="shared" ref="T27:T40" si="99">IF(S27="MẶT TRƯỚC",R27,IF(S26="mặt sau",T26+1,1))</f>
        <v>1</v>
      </c>
      <c r="U27" s="3450" t="str">
        <f t="shared" ref="U27:U40" ca="1" si="100">IF(S27="MẶT SAU",IF(T27&lt;=VALUE(RIGHT(OFFSET($I$23,Z27,0),1)),"MẶT SAU",""),S27)</f>
        <v>MẶT TRƯỚC</v>
      </c>
      <c r="V27" s="3450"/>
      <c r="W27" s="3450">
        <v>1</v>
      </c>
      <c r="X27" s="3450" t="str">
        <f ca="1">IF(VLOOKUP(OFFSET($A$25,Z27,0),'Summary Data'!$C:$AV,45,0)&gt;0,"UV ink",Y27)</f>
        <v>Black (60-914386-2.1200 Nutri-2 Proc Black ISO 2846-1)</v>
      </c>
      <c r="Y27" s="136" t="s">
        <v>3359</v>
      </c>
      <c r="AJ27" s="320"/>
      <c r="AK27" s="3450" t="str">
        <f t="shared" si="75"/>
        <v>GBlấy</v>
      </c>
      <c r="AL27" s="3450" t="str">
        <f t="shared" si="76"/>
        <v>GBtừ từ</v>
      </c>
      <c r="AM27" s="3450" t="s">
        <v>1393</v>
      </c>
      <c r="AN27" s="3450">
        <v>890</v>
      </c>
      <c r="AO27" s="3450">
        <f t="shared" si="77"/>
        <v>445</v>
      </c>
      <c r="AP27" s="3460">
        <f t="shared" si="78"/>
        <v>1.3949843260188088</v>
      </c>
      <c r="AQ27" s="3450" t="str">
        <f t="shared" si="79"/>
        <v>từ từ</v>
      </c>
      <c r="AR27" s="3450" t="str">
        <f t="shared" si="80"/>
        <v>lấy</v>
      </c>
      <c r="AS27" s="3459" t="str">
        <f t="shared" si="81"/>
        <v>importMetalize</v>
      </c>
      <c r="AT27" s="3450" t="s">
        <v>3562</v>
      </c>
      <c r="AU27" s="3450" t="s">
        <v>230</v>
      </c>
      <c r="AV27" s="3450">
        <f>IF(AX27="cộng 3",AV26,CEILING(J25+6,5))</f>
        <v>645</v>
      </c>
      <c r="AW27" s="3450">
        <f>IF(AY27="cộng 6",AW26+3,AW26)</f>
        <v>410</v>
      </c>
      <c r="AX27" s="3477" t="str">
        <f>IF(AV26&lt;AW26,"cộng 3","cộng 6")</f>
        <v>cộng 6</v>
      </c>
      <c r="AY27" s="3476" t="str">
        <f>IF(AX27="cộng 3","cộng 6","cộng 3")</f>
        <v>cộng 3</v>
      </c>
      <c r="BA27" s="3450" t="e">
        <f t="shared" ca="1" si="0"/>
        <v>#DIV/0!</v>
      </c>
      <c r="BB27" s="3450" t="e">
        <f t="shared" ca="1" si="1"/>
        <v>#DIV/0!</v>
      </c>
      <c r="BC27" s="3450" t="s">
        <v>1393</v>
      </c>
      <c r="BD27" s="3450">
        <v>890</v>
      </c>
      <c r="BE27" s="3450">
        <f t="shared" si="82"/>
        <v>445</v>
      </c>
      <c r="BF27" s="3460" t="e">
        <f t="shared" ca="1" si="2"/>
        <v>#DIV/0!</v>
      </c>
      <c r="BG27" s="3450" t="e">
        <f t="shared" ca="1" si="3"/>
        <v>#DIV/0!</v>
      </c>
      <c r="BH27" s="3450" t="e">
        <f t="shared" ca="1" si="4"/>
        <v>#DIV/0!</v>
      </c>
      <c r="BJ27" s="3450" t="e">
        <f t="shared" ca="1" si="5"/>
        <v>#DIV/0!</v>
      </c>
      <c r="BK27" s="3450" t="e">
        <f t="shared" ca="1" si="6"/>
        <v>#DIV/0!</v>
      </c>
      <c r="BL27" s="3450" t="s">
        <v>1393</v>
      </c>
      <c r="BM27" s="3450">
        <v>890</v>
      </c>
      <c r="BN27" s="3450">
        <f t="shared" si="83"/>
        <v>445</v>
      </c>
      <c r="BO27" s="3460" t="e">
        <f t="shared" ca="1" si="7"/>
        <v>#DIV/0!</v>
      </c>
      <c r="BP27" s="3450" t="e">
        <f t="shared" ca="1" si="8"/>
        <v>#DIV/0!</v>
      </c>
      <c r="BQ27" s="3450" t="e">
        <f t="shared" ca="1" si="9"/>
        <v>#DIV/0!</v>
      </c>
      <c r="BS27" s="3450" t="e">
        <f t="shared" ca="1" si="10"/>
        <v>#DIV/0!</v>
      </c>
      <c r="BT27" s="3450" t="e">
        <f t="shared" ca="1" si="11"/>
        <v>#DIV/0!</v>
      </c>
      <c r="BU27" s="3450" t="s">
        <v>1393</v>
      </c>
      <c r="BV27" s="3450">
        <v>890</v>
      </c>
      <c r="BW27" s="3450">
        <f t="shared" si="84"/>
        <v>445</v>
      </c>
      <c r="BX27" s="3460" t="e">
        <f t="shared" ca="1" si="12"/>
        <v>#DIV/0!</v>
      </c>
      <c r="BY27" s="3450" t="e">
        <f t="shared" ca="1" si="13"/>
        <v>#DIV/0!</v>
      </c>
      <c r="BZ27" s="3450" t="e">
        <f t="shared" ca="1" si="14"/>
        <v>#DIV/0!</v>
      </c>
      <c r="CB27" s="3450" t="e">
        <f t="shared" ca="1" si="15"/>
        <v>#DIV/0!</v>
      </c>
      <c r="CC27" s="3450" t="e">
        <f t="shared" ca="1" si="16"/>
        <v>#DIV/0!</v>
      </c>
      <c r="CD27" s="3450" t="s">
        <v>1393</v>
      </c>
      <c r="CE27" s="3450">
        <v>890</v>
      </c>
      <c r="CF27" s="3450">
        <f t="shared" si="85"/>
        <v>445</v>
      </c>
      <c r="CG27" s="3460" t="e">
        <f t="shared" ca="1" si="17"/>
        <v>#DIV/0!</v>
      </c>
      <c r="CH27" s="3450" t="e">
        <f t="shared" ca="1" si="18"/>
        <v>#DIV/0!</v>
      </c>
      <c r="CI27" s="3450" t="e">
        <f t="shared" ca="1" si="19"/>
        <v>#DIV/0!</v>
      </c>
      <c r="CK27" s="3450" t="e">
        <f t="shared" ca="1" si="20"/>
        <v>#DIV/0!</v>
      </c>
      <c r="CL27" s="3450" t="e">
        <f t="shared" ca="1" si="21"/>
        <v>#DIV/0!</v>
      </c>
      <c r="CM27" s="3450" t="s">
        <v>1393</v>
      </c>
      <c r="CN27" s="3450">
        <v>890</v>
      </c>
      <c r="CO27" s="3450">
        <f t="shared" si="86"/>
        <v>445</v>
      </c>
      <c r="CP27" s="3460" t="e">
        <f t="shared" ca="1" si="22"/>
        <v>#DIV/0!</v>
      </c>
      <c r="CQ27" s="3450" t="e">
        <f t="shared" ca="1" si="23"/>
        <v>#DIV/0!</v>
      </c>
      <c r="CR27" s="3450" t="e">
        <f t="shared" ca="1" si="24"/>
        <v>#DIV/0!</v>
      </c>
      <c r="CT27" s="3450" t="e">
        <f t="shared" ca="1" si="25"/>
        <v>#DIV/0!</v>
      </c>
      <c r="CU27" s="3450" t="e">
        <f t="shared" ca="1" si="26"/>
        <v>#DIV/0!</v>
      </c>
      <c r="CV27" s="3450" t="s">
        <v>1393</v>
      </c>
      <c r="CW27" s="3450">
        <v>890</v>
      </c>
      <c r="CX27" s="3450">
        <f t="shared" si="87"/>
        <v>445</v>
      </c>
      <c r="CY27" s="3460" t="e">
        <f t="shared" ca="1" si="27"/>
        <v>#DIV/0!</v>
      </c>
      <c r="CZ27" s="3450" t="e">
        <f t="shared" ca="1" si="28"/>
        <v>#DIV/0!</v>
      </c>
      <c r="DA27" s="3450" t="e">
        <f t="shared" ca="1" si="29"/>
        <v>#DIV/0!</v>
      </c>
      <c r="DC27" s="3450" t="e">
        <f t="shared" ca="1" si="30"/>
        <v>#DIV/0!</v>
      </c>
      <c r="DD27" s="3450" t="e">
        <f t="shared" ca="1" si="31"/>
        <v>#DIV/0!</v>
      </c>
      <c r="DE27" s="3450" t="s">
        <v>1393</v>
      </c>
      <c r="DF27" s="3450">
        <v>890</v>
      </c>
      <c r="DG27" s="3450">
        <f t="shared" si="88"/>
        <v>445</v>
      </c>
      <c r="DH27" s="3460" t="e">
        <f t="shared" ca="1" si="32"/>
        <v>#DIV/0!</v>
      </c>
      <c r="DI27" s="3450" t="e">
        <f t="shared" ca="1" si="33"/>
        <v>#DIV/0!</v>
      </c>
      <c r="DJ27" s="3450" t="e">
        <f t="shared" ca="1" si="34"/>
        <v>#DIV/0!</v>
      </c>
      <c r="DL27" s="3450" t="e">
        <f t="shared" ca="1" si="35"/>
        <v>#DIV/0!</v>
      </c>
      <c r="DM27" s="3450" t="e">
        <f t="shared" ca="1" si="36"/>
        <v>#DIV/0!</v>
      </c>
      <c r="DN27" s="3450" t="s">
        <v>1393</v>
      </c>
      <c r="DO27" s="3450">
        <v>890</v>
      </c>
      <c r="DP27" s="3450">
        <f t="shared" si="89"/>
        <v>445</v>
      </c>
      <c r="DQ27" s="3460" t="e">
        <f t="shared" ca="1" si="37"/>
        <v>#DIV/0!</v>
      </c>
      <c r="DR27" s="3450" t="e">
        <f t="shared" ca="1" si="38"/>
        <v>#DIV/0!</v>
      </c>
      <c r="DS27" s="3450" t="e">
        <f t="shared" ca="1" si="39"/>
        <v>#DIV/0!</v>
      </c>
      <c r="DU27" s="3450" t="e">
        <f t="shared" ca="1" si="40"/>
        <v>#DIV/0!</v>
      </c>
      <c r="DV27" s="3450" t="e">
        <f t="shared" ca="1" si="41"/>
        <v>#DIV/0!</v>
      </c>
      <c r="DW27" s="3450" t="s">
        <v>1393</v>
      </c>
      <c r="DX27" s="3450">
        <v>890</v>
      </c>
      <c r="DY27" s="3450">
        <f t="shared" si="90"/>
        <v>445</v>
      </c>
      <c r="DZ27" s="3460" t="e">
        <f t="shared" ca="1" si="42"/>
        <v>#DIV/0!</v>
      </c>
      <c r="EA27" s="3450" t="e">
        <f t="shared" ca="1" si="43"/>
        <v>#DIV/0!</v>
      </c>
      <c r="EB27" s="3450" t="e">
        <f t="shared" ca="1" si="44"/>
        <v>#DIV/0!</v>
      </c>
      <c r="ED27" s="3450" t="e">
        <f t="shared" ca="1" si="45"/>
        <v>#DIV/0!</v>
      </c>
      <c r="EE27" s="3450" t="e">
        <f t="shared" ca="1" si="46"/>
        <v>#DIV/0!</v>
      </c>
      <c r="EF27" s="3450" t="s">
        <v>1393</v>
      </c>
      <c r="EG27" s="3450">
        <v>890</v>
      </c>
      <c r="EH27" s="3450">
        <f t="shared" si="91"/>
        <v>445</v>
      </c>
      <c r="EI27" s="3460" t="e">
        <f t="shared" ca="1" si="47"/>
        <v>#DIV/0!</v>
      </c>
      <c r="EJ27" s="3450" t="e">
        <f t="shared" ca="1" si="48"/>
        <v>#DIV/0!</v>
      </c>
      <c r="EK27" s="3450" t="e">
        <f t="shared" ca="1" si="49"/>
        <v>#DIV/0!</v>
      </c>
      <c r="EM27" s="3450" t="e">
        <f t="shared" ca="1" si="50"/>
        <v>#DIV/0!</v>
      </c>
      <c r="EN27" s="3450" t="e">
        <f t="shared" ca="1" si="51"/>
        <v>#DIV/0!</v>
      </c>
      <c r="EO27" s="3450" t="s">
        <v>1393</v>
      </c>
      <c r="EP27" s="3450">
        <v>890</v>
      </c>
      <c r="EQ27" s="3450">
        <f t="shared" si="92"/>
        <v>445</v>
      </c>
      <c r="ER27" s="3460" t="e">
        <f t="shared" ca="1" si="52"/>
        <v>#DIV/0!</v>
      </c>
      <c r="ES27" s="3450" t="e">
        <f t="shared" ca="1" si="53"/>
        <v>#DIV/0!</v>
      </c>
      <c r="ET27" s="3450" t="e">
        <f t="shared" ca="1" si="54"/>
        <v>#DIV/0!</v>
      </c>
      <c r="EV27" s="3450" t="e">
        <f t="shared" ca="1" si="55"/>
        <v>#DIV/0!</v>
      </c>
      <c r="EW27" s="3450" t="e">
        <f t="shared" ca="1" si="56"/>
        <v>#DIV/0!</v>
      </c>
      <c r="EX27" s="3450" t="s">
        <v>1393</v>
      </c>
      <c r="EY27" s="3450">
        <v>890</v>
      </c>
      <c r="EZ27" s="3450">
        <f t="shared" si="93"/>
        <v>445</v>
      </c>
      <c r="FA27" s="3460" t="e">
        <f t="shared" ca="1" si="57"/>
        <v>#DIV/0!</v>
      </c>
      <c r="FB27" s="3450" t="e">
        <f t="shared" ca="1" si="58"/>
        <v>#DIV/0!</v>
      </c>
      <c r="FC27" s="3450" t="e">
        <f t="shared" ca="1" si="59"/>
        <v>#DIV/0!</v>
      </c>
      <c r="FE27" s="3450" t="e">
        <f t="shared" ca="1" si="60"/>
        <v>#DIV/0!</v>
      </c>
      <c r="FF27" s="3450" t="e">
        <f t="shared" ca="1" si="61"/>
        <v>#DIV/0!</v>
      </c>
      <c r="FG27" s="3450" t="s">
        <v>1393</v>
      </c>
      <c r="FH27" s="3450">
        <v>890</v>
      </c>
      <c r="FI27" s="3450">
        <f t="shared" si="94"/>
        <v>445</v>
      </c>
      <c r="FJ27" s="3460" t="e">
        <f t="shared" ca="1" si="62"/>
        <v>#DIV/0!</v>
      </c>
      <c r="FK27" s="3450" t="e">
        <f t="shared" ca="1" si="63"/>
        <v>#DIV/0!</v>
      </c>
      <c r="FL27" s="3450" t="e">
        <f t="shared" ca="1" si="64"/>
        <v>#DIV/0!</v>
      </c>
      <c r="FN27" s="3450" t="e">
        <f t="shared" ca="1" si="65"/>
        <v>#DIV/0!</v>
      </c>
      <c r="FO27" s="3450" t="e">
        <f t="shared" ca="1" si="66"/>
        <v>#DIV/0!</v>
      </c>
      <c r="FP27" s="3450" t="s">
        <v>1393</v>
      </c>
      <c r="FQ27" s="3450">
        <v>890</v>
      </c>
      <c r="FR27" s="3450">
        <f t="shared" si="95"/>
        <v>445</v>
      </c>
      <c r="FS27" s="3460" t="e">
        <f t="shared" ca="1" si="67"/>
        <v>#DIV/0!</v>
      </c>
      <c r="FT27" s="3450" t="e">
        <f t="shared" ca="1" si="68"/>
        <v>#DIV/0!</v>
      </c>
      <c r="FU27" s="3450" t="e">
        <f t="shared" ca="1" si="69"/>
        <v>#DIV/0!</v>
      </c>
      <c r="FW27" s="3450" t="e">
        <f t="shared" ca="1" si="70"/>
        <v>#VALUE!</v>
      </c>
      <c r="FX27" s="3450" t="e">
        <f t="shared" ca="1" si="71"/>
        <v>#VALUE!</v>
      </c>
      <c r="FY27" s="3450" t="s">
        <v>1393</v>
      </c>
      <c r="FZ27" s="3450">
        <v>890</v>
      </c>
      <c r="GA27" s="3450">
        <f t="shared" si="96"/>
        <v>445</v>
      </c>
      <c r="GB27" s="3460" t="e">
        <f t="shared" ca="1" si="72"/>
        <v>#VALUE!</v>
      </c>
      <c r="GC27" s="3450" t="e">
        <f t="shared" ca="1" si="73"/>
        <v>#VALUE!</v>
      </c>
      <c r="GD27" s="3450" t="e">
        <f t="shared" ca="1" si="74"/>
        <v>#VALUE!</v>
      </c>
    </row>
    <row r="28" spans="1:1022 1034:3063 3075:4090 4102:5117 5129:6144 6156:7158 7170:8185 8197:9212 9224:10239 10251:11253 11265:12280 12292:13307 13319:14334 14346:16375" ht="18" customHeight="1">
      <c r="A28" s="3452" t="str">
        <f t="shared" ca="1" si="97"/>
        <v>None</v>
      </c>
      <c r="B28" s="3453">
        <f t="shared" ref="B28:B40" ca="1" si="101">IF($Q28=1,IF($U28="mặt trước",ROUNDUP(OFFSET($J$25,Z28,0)*OFFSET($K$25,Z28,0)*OFFSET($D$26,Z28,0)/10^9*10000/VALUE(LEFT(OFFSET($I$23,Z28,0),1)),2),ROUNDUP(OFFSET($J$25,Z28,0)*OFFSET($K$25,Z28,0)*OFFSET($D$27,Z28,0)/10^9*10000/VALUE(RIGHT(OFFSET($I$23,Z28,0),1)),2)),0)</f>
        <v>0</v>
      </c>
      <c r="C28" s="1768"/>
      <c r="E28" s="3452" t="s">
        <v>127</v>
      </c>
      <c r="F28" s="1705" t="s">
        <v>1112</v>
      </c>
      <c r="G28" s="1768"/>
      <c r="H28" s="1768"/>
      <c r="J28" s="1705" t="s">
        <v>127</v>
      </c>
      <c r="K28" s="1705"/>
      <c r="L28" s="1770" t="s">
        <v>1472</v>
      </c>
      <c r="M28" s="3452" t="s">
        <v>1231</v>
      </c>
      <c r="N28" s="1768">
        <v>1</v>
      </c>
      <c r="O28" s="1705" t="s">
        <v>1259</v>
      </c>
      <c r="Q28" s="3450">
        <f t="shared" ca="1" si="98"/>
        <v>2</v>
      </c>
      <c r="R28" s="3451">
        <f>R27+1</f>
        <v>2</v>
      </c>
      <c r="S28" s="3450" t="str">
        <f t="shared" ref="S28:S40" si="102">IF(R28&lt;=VALUE(LEFT($I$23,1)),"MẶT TRƯỚC","MẶT SAU")</f>
        <v>MẶT SAU</v>
      </c>
      <c r="T28" s="3450">
        <f t="shared" si="99"/>
        <v>1</v>
      </c>
      <c r="U28" s="3450" t="str">
        <f t="shared" ca="1" si="100"/>
        <v/>
      </c>
      <c r="V28" s="3450"/>
      <c r="W28" s="3450">
        <v>2</v>
      </c>
      <c r="X28" s="3450" t="str">
        <f ca="1">IF(VLOOKUP(OFFSET($A$25,Z28,0),'Summary Data'!$C:$AV,45,0)&gt;0,"UV ink",Y28)</f>
        <v>Magenta (61-804489-5.1290 Tempo Mix Magenta A)</v>
      </c>
      <c r="Y28" s="136" t="s">
        <v>3357</v>
      </c>
      <c r="AJ28" s="320"/>
      <c r="AK28" s="3450" t="str">
        <f t="shared" si="75"/>
        <v>GBlấy</v>
      </c>
      <c r="AL28" s="3450" t="str">
        <f t="shared" si="76"/>
        <v>GBtừ từ</v>
      </c>
      <c r="AM28" s="3450" t="s">
        <v>1393</v>
      </c>
      <c r="AN28" s="3450">
        <v>1090</v>
      </c>
      <c r="AO28" s="3450">
        <f t="shared" si="77"/>
        <v>545</v>
      </c>
      <c r="AP28" s="3460">
        <f t="shared" si="78"/>
        <v>1.7084639498432601</v>
      </c>
      <c r="AQ28" s="3450" t="str">
        <f t="shared" si="79"/>
        <v>từ từ</v>
      </c>
      <c r="AR28" s="3450" t="str">
        <f t="shared" si="80"/>
        <v>lấy</v>
      </c>
      <c r="AS28" s="3459" t="str">
        <f t="shared" si="81"/>
        <v>importRigid box</v>
      </c>
      <c r="AT28" s="3450" t="s">
        <v>3562</v>
      </c>
      <c r="AU28" s="3450" t="s">
        <v>3214</v>
      </c>
      <c r="AV28" s="3450">
        <f>AV26</f>
        <v>645</v>
      </c>
      <c r="AW28" s="3450">
        <f>AW26</f>
        <v>410</v>
      </c>
      <c r="BA28" s="3450" t="e">
        <f t="shared" ca="1" si="0"/>
        <v>#DIV/0!</v>
      </c>
      <c r="BB28" s="3450" t="e">
        <f t="shared" ca="1" si="1"/>
        <v>#DIV/0!</v>
      </c>
      <c r="BC28" s="3450" t="s">
        <v>1393</v>
      </c>
      <c r="BD28" s="3450">
        <v>1090</v>
      </c>
      <c r="BE28" s="3450">
        <f t="shared" si="82"/>
        <v>545</v>
      </c>
      <c r="BF28" s="3460" t="e">
        <f t="shared" ca="1" si="2"/>
        <v>#DIV/0!</v>
      </c>
      <c r="BG28" s="3450" t="e">
        <f t="shared" ca="1" si="3"/>
        <v>#DIV/0!</v>
      </c>
      <c r="BH28" s="3450" t="e">
        <f t="shared" ca="1" si="4"/>
        <v>#DIV/0!</v>
      </c>
      <c r="BJ28" s="3450" t="e">
        <f t="shared" ca="1" si="5"/>
        <v>#DIV/0!</v>
      </c>
      <c r="BK28" s="3450" t="e">
        <f t="shared" ca="1" si="6"/>
        <v>#DIV/0!</v>
      </c>
      <c r="BL28" s="3450" t="s">
        <v>1393</v>
      </c>
      <c r="BM28" s="3450">
        <v>1090</v>
      </c>
      <c r="BN28" s="3450">
        <f t="shared" si="83"/>
        <v>545</v>
      </c>
      <c r="BO28" s="3460" t="e">
        <f t="shared" ca="1" si="7"/>
        <v>#DIV/0!</v>
      </c>
      <c r="BP28" s="3450" t="e">
        <f t="shared" ca="1" si="8"/>
        <v>#DIV/0!</v>
      </c>
      <c r="BQ28" s="3450" t="e">
        <f t="shared" ca="1" si="9"/>
        <v>#DIV/0!</v>
      </c>
      <c r="BS28" s="3450" t="e">
        <f t="shared" ca="1" si="10"/>
        <v>#DIV/0!</v>
      </c>
      <c r="BT28" s="3450" t="e">
        <f t="shared" ca="1" si="11"/>
        <v>#DIV/0!</v>
      </c>
      <c r="BU28" s="3450" t="s">
        <v>1393</v>
      </c>
      <c r="BV28" s="3450">
        <v>1090</v>
      </c>
      <c r="BW28" s="3450">
        <f t="shared" si="84"/>
        <v>545</v>
      </c>
      <c r="BX28" s="3460" t="e">
        <f t="shared" ca="1" si="12"/>
        <v>#DIV/0!</v>
      </c>
      <c r="BY28" s="3450" t="e">
        <f t="shared" ca="1" si="13"/>
        <v>#DIV/0!</v>
      </c>
      <c r="BZ28" s="3450" t="e">
        <f t="shared" ca="1" si="14"/>
        <v>#DIV/0!</v>
      </c>
      <c r="CB28" s="3450" t="e">
        <f t="shared" ca="1" si="15"/>
        <v>#DIV/0!</v>
      </c>
      <c r="CC28" s="3450" t="e">
        <f t="shared" ca="1" si="16"/>
        <v>#DIV/0!</v>
      </c>
      <c r="CD28" s="3450" t="s">
        <v>1393</v>
      </c>
      <c r="CE28" s="3450">
        <v>1090</v>
      </c>
      <c r="CF28" s="3450">
        <f t="shared" si="85"/>
        <v>545</v>
      </c>
      <c r="CG28" s="3460" t="e">
        <f t="shared" ca="1" si="17"/>
        <v>#DIV/0!</v>
      </c>
      <c r="CH28" s="3450" t="e">
        <f t="shared" ca="1" si="18"/>
        <v>#DIV/0!</v>
      </c>
      <c r="CI28" s="3450" t="e">
        <f t="shared" ca="1" si="19"/>
        <v>#DIV/0!</v>
      </c>
      <c r="CK28" s="3450" t="e">
        <f t="shared" ca="1" si="20"/>
        <v>#DIV/0!</v>
      </c>
      <c r="CL28" s="3450" t="e">
        <f t="shared" ca="1" si="21"/>
        <v>#DIV/0!</v>
      </c>
      <c r="CM28" s="3450" t="s">
        <v>1393</v>
      </c>
      <c r="CN28" s="3450">
        <v>1090</v>
      </c>
      <c r="CO28" s="3450">
        <f t="shared" si="86"/>
        <v>545</v>
      </c>
      <c r="CP28" s="3460" t="e">
        <f t="shared" ca="1" si="22"/>
        <v>#DIV/0!</v>
      </c>
      <c r="CQ28" s="3450" t="e">
        <f t="shared" ca="1" si="23"/>
        <v>#DIV/0!</v>
      </c>
      <c r="CR28" s="3450" t="e">
        <f t="shared" ca="1" si="24"/>
        <v>#DIV/0!</v>
      </c>
      <c r="CT28" s="3450" t="e">
        <f t="shared" ca="1" si="25"/>
        <v>#DIV/0!</v>
      </c>
      <c r="CU28" s="3450" t="e">
        <f t="shared" ca="1" si="26"/>
        <v>#DIV/0!</v>
      </c>
      <c r="CV28" s="3450" t="s">
        <v>1393</v>
      </c>
      <c r="CW28" s="3450">
        <v>1090</v>
      </c>
      <c r="CX28" s="3450">
        <f t="shared" si="87"/>
        <v>545</v>
      </c>
      <c r="CY28" s="3460" t="e">
        <f t="shared" ca="1" si="27"/>
        <v>#DIV/0!</v>
      </c>
      <c r="CZ28" s="3450" t="e">
        <f t="shared" ca="1" si="28"/>
        <v>#DIV/0!</v>
      </c>
      <c r="DA28" s="3450" t="e">
        <f t="shared" ca="1" si="29"/>
        <v>#DIV/0!</v>
      </c>
      <c r="DC28" s="3450" t="e">
        <f t="shared" ca="1" si="30"/>
        <v>#DIV/0!</v>
      </c>
      <c r="DD28" s="3450" t="e">
        <f t="shared" ca="1" si="31"/>
        <v>#DIV/0!</v>
      </c>
      <c r="DE28" s="3450" t="s">
        <v>1393</v>
      </c>
      <c r="DF28" s="3450">
        <v>1090</v>
      </c>
      <c r="DG28" s="3450">
        <f t="shared" si="88"/>
        <v>545</v>
      </c>
      <c r="DH28" s="3460" t="e">
        <f t="shared" ca="1" si="32"/>
        <v>#DIV/0!</v>
      </c>
      <c r="DI28" s="3450" t="e">
        <f t="shared" ca="1" si="33"/>
        <v>#DIV/0!</v>
      </c>
      <c r="DJ28" s="3450" t="e">
        <f t="shared" ca="1" si="34"/>
        <v>#DIV/0!</v>
      </c>
      <c r="DL28" s="3450" t="e">
        <f t="shared" ca="1" si="35"/>
        <v>#DIV/0!</v>
      </c>
      <c r="DM28" s="3450" t="e">
        <f t="shared" ca="1" si="36"/>
        <v>#DIV/0!</v>
      </c>
      <c r="DN28" s="3450" t="s">
        <v>1393</v>
      </c>
      <c r="DO28" s="3450">
        <v>1090</v>
      </c>
      <c r="DP28" s="3450">
        <f t="shared" si="89"/>
        <v>545</v>
      </c>
      <c r="DQ28" s="3460" t="e">
        <f t="shared" ca="1" si="37"/>
        <v>#DIV/0!</v>
      </c>
      <c r="DR28" s="3450" t="e">
        <f t="shared" ca="1" si="38"/>
        <v>#DIV/0!</v>
      </c>
      <c r="DS28" s="3450" t="e">
        <f t="shared" ca="1" si="39"/>
        <v>#DIV/0!</v>
      </c>
      <c r="DU28" s="3450" t="e">
        <f t="shared" ca="1" si="40"/>
        <v>#DIV/0!</v>
      </c>
      <c r="DV28" s="3450" t="e">
        <f t="shared" ca="1" si="41"/>
        <v>#DIV/0!</v>
      </c>
      <c r="DW28" s="3450" t="s">
        <v>1393</v>
      </c>
      <c r="DX28" s="3450">
        <v>1090</v>
      </c>
      <c r="DY28" s="3450">
        <f t="shared" si="90"/>
        <v>545</v>
      </c>
      <c r="DZ28" s="3460" t="e">
        <f t="shared" ca="1" si="42"/>
        <v>#DIV/0!</v>
      </c>
      <c r="EA28" s="3450" t="e">
        <f t="shared" ca="1" si="43"/>
        <v>#DIV/0!</v>
      </c>
      <c r="EB28" s="3450" t="e">
        <f t="shared" ca="1" si="44"/>
        <v>#DIV/0!</v>
      </c>
      <c r="ED28" s="3450" t="e">
        <f t="shared" ca="1" si="45"/>
        <v>#DIV/0!</v>
      </c>
      <c r="EE28" s="3450" t="e">
        <f t="shared" ca="1" si="46"/>
        <v>#DIV/0!</v>
      </c>
      <c r="EF28" s="3450" t="s">
        <v>1393</v>
      </c>
      <c r="EG28" s="3450">
        <v>1090</v>
      </c>
      <c r="EH28" s="3450">
        <f t="shared" si="91"/>
        <v>545</v>
      </c>
      <c r="EI28" s="3460" t="e">
        <f t="shared" ca="1" si="47"/>
        <v>#DIV/0!</v>
      </c>
      <c r="EJ28" s="3450" t="e">
        <f t="shared" ca="1" si="48"/>
        <v>#DIV/0!</v>
      </c>
      <c r="EK28" s="3450" t="e">
        <f t="shared" ca="1" si="49"/>
        <v>#DIV/0!</v>
      </c>
      <c r="EM28" s="3450" t="e">
        <f t="shared" ca="1" si="50"/>
        <v>#DIV/0!</v>
      </c>
      <c r="EN28" s="3450" t="e">
        <f t="shared" ca="1" si="51"/>
        <v>#DIV/0!</v>
      </c>
      <c r="EO28" s="3450" t="s">
        <v>1393</v>
      </c>
      <c r="EP28" s="3450">
        <v>1090</v>
      </c>
      <c r="EQ28" s="3450">
        <f t="shared" si="92"/>
        <v>545</v>
      </c>
      <c r="ER28" s="3460" t="e">
        <f t="shared" ca="1" si="52"/>
        <v>#DIV/0!</v>
      </c>
      <c r="ES28" s="3450" t="e">
        <f t="shared" ca="1" si="53"/>
        <v>#DIV/0!</v>
      </c>
      <c r="ET28" s="3450" t="e">
        <f t="shared" ca="1" si="54"/>
        <v>#DIV/0!</v>
      </c>
      <c r="EV28" s="3450" t="e">
        <f t="shared" ca="1" si="55"/>
        <v>#DIV/0!</v>
      </c>
      <c r="EW28" s="3450" t="e">
        <f t="shared" ca="1" si="56"/>
        <v>#DIV/0!</v>
      </c>
      <c r="EX28" s="3450" t="s">
        <v>1393</v>
      </c>
      <c r="EY28" s="3450">
        <v>1090</v>
      </c>
      <c r="EZ28" s="3450">
        <f t="shared" si="93"/>
        <v>545</v>
      </c>
      <c r="FA28" s="3460" t="e">
        <f t="shared" ca="1" si="57"/>
        <v>#DIV/0!</v>
      </c>
      <c r="FB28" s="3450" t="e">
        <f t="shared" ca="1" si="58"/>
        <v>#DIV/0!</v>
      </c>
      <c r="FC28" s="3450" t="e">
        <f t="shared" ca="1" si="59"/>
        <v>#DIV/0!</v>
      </c>
      <c r="FE28" s="3450" t="e">
        <f t="shared" ca="1" si="60"/>
        <v>#DIV/0!</v>
      </c>
      <c r="FF28" s="3450" t="e">
        <f t="shared" ca="1" si="61"/>
        <v>#DIV/0!</v>
      </c>
      <c r="FG28" s="3450" t="s">
        <v>1393</v>
      </c>
      <c r="FH28" s="3450">
        <v>1090</v>
      </c>
      <c r="FI28" s="3450">
        <f t="shared" si="94"/>
        <v>545</v>
      </c>
      <c r="FJ28" s="3460" t="e">
        <f t="shared" ca="1" si="62"/>
        <v>#DIV/0!</v>
      </c>
      <c r="FK28" s="3450" t="e">
        <f t="shared" ca="1" si="63"/>
        <v>#DIV/0!</v>
      </c>
      <c r="FL28" s="3450" t="e">
        <f t="shared" ca="1" si="64"/>
        <v>#DIV/0!</v>
      </c>
      <c r="FN28" s="3450" t="e">
        <f t="shared" ca="1" si="65"/>
        <v>#DIV/0!</v>
      </c>
      <c r="FO28" s="3450" t="e">
        <f t="shared" ca="1" si="66"/>
        <v>#DIV/0!</v>
      </c>
      <c r="FP28" s="3450" t="s">
        <v>1393</v>
      </c>
      <c r="FQ28" s="3450">
        <v>1090</v>
      </c>
      <c r="FR28" s="3450">
        <f t="shared" si="95"/>
        <v>545</v>
      </c>
      <c r="FS28" s="3460" t="e">
        <f t="shared" ca="1" si="67"/>
        <v>#DIV/0!</v>
      </c>
      <c r="FT28" s="3450" t="e">
        <f t="shared" ca="1" si="68"/>
        <v>#DIV/0!</v>
      </c>
      <c r="FU28" s="3450" t="e">
        <f t="shared" ca="1" si="69"/>
        <v>#DIV/0!</v>
      </c>
      <c r="FW28" s="3450" t="e">
        <f t="shared" ca="1" si="70"/>
        <v>#VALUE!</v>
      </c>
      <c r="FX28" s="3450" t="e">
        <f t="shared" ca="1" si="71"/>
        <v>#VALUE!</v>
      </c>
      <c r="FY28" s="3450" t="s">
        <v>1393</v>
      </c>
      <c r="FZ28" s="3450">
        <v>1090</v>
      </c>
      <c r="GA28" s="3450">
        <f t="shared" si="96"/>
        <v>545</v>
      </c>
      <c r="GB28" s="3460" t="e">
        <f t="shared" ca="1" si="72"/>
        <v>#VALUE!</v>
      </c>
      <c r="GC28" s="3450" t="e">
        <f t="shared" ca="1" si="73"/>
        <v>#VALUE!</v>
      </c>
      <c r="GD28" s="3450" t="e">
        <f t="shared" ca="1" si="74"/>
        <v>#VALUE!</v>
      </c>
    </row>
    <row r="29" spans="1:1022 1034:3063 3075:4090 4102:5117 5129:6144 6156:7158 7170:8185 8197:9212 9224:10239 10251:11253 11265:12280 12292:13307 13319:14334 14346:16375" ht="18" hidden="1" customHeight="1" outlineLevel="1">
      <c r="A29" s="3452" t="str">
        <f t="shared" ca="1" si="97"/>
        <v>None</v>
      </c>
      <c r="B29" s="3453">
        <f t="shared" ca="1" si="101"/>
        <v>0</v>
      </c>
      <c r="C29" s="1768"/>
      <c r="E29" s="1705" t="s">
        <v>127</v>
      </c>
      <c r="F29" s="1705" t="s">
        <v>1112</v>
      </c>
      <c r="G29" s="1768"/>
      <c r="H29" s="1768"/>
      <c r="J29" s="314" t="s">
        <v>3471</v>
      </c>
      <c r="K29" s="3385"/>
      <c r="L29" s="991"/>
      <c r="M29" s="1705" t="s">
        <v>127</v>
      </c>
      <c r="N29" s="1768"/>
      <c r="O29" s="1705" t="s">
        <v>1259</v>
      </c>
      <c r="Q29" s="3450">
        <f t="shared" ca="1" si="98"/>
        <v>2</v>
      </c>
      <c r="R29" s="3451">
        <f t="shared" ref="R29:R40" si="103">R28+1</f>
        <v>3</v>
      </c>
      <c r="S29" s="3450" t="str">
        <f>IF(R29&lt;=VALUE(LEFT($I$23,1)),"MẶT TRƯỚC","MẶT SAU")</f>
        <v>MẶT SAU</v>
      </c>
      <c r="T29" s="3450">
        <f t="shared" si="99"/>
        <v>2</v>
      </c>
      <c r="U29" s="3450" t="str">
        <f t="shared" ca="1" si="100"/>
        <v/>
      </c>
      <c r="V29" s="3450"/>
      <c r="W29" s="3450">
        <v>3</v>
      </c>
      <c r="X29" s="3450" t="str">
        <f ca="1">IF(VLOOKUP(OFFSET($A$25,Z29,0),'Summary Data'!$C:$AV,45,0)&gt;0,"UV ink",Y29)</f>
        <v>Yellow (61-312039-3.1290 Tempo Mix Yellow 4220)</v>
      </c>
      <c r="Y29" s="136" t="s">
        <v>3358</v>
      </c>
      <c r="AJ29" s="320"/>
      <c r="AK29" s="3450" t="str">
        <f t="shared" si="75"/>
        <v>WBBlấy</v>
      </c>
      <c r="AL29" s="3450" t="str">
        <f t="shared" si="76"/>
        <v>WBBtừ từ</v>
      </c>
      <c r="AM29" s="3450" t="s">
        <v>1394</v>
      </c>
      <c r="AN29" s="3450">
        <v>650</v>
      </c>
      <c r="AO29" s="3450">
        <f t="shared" si="77"/>
        <v>325</v>
      </c>
      <c r="AP29" s="3460">
        <f t="shared" si="78"/>
        <v>1.0188087774294672</v>
      </c>
      <c r="AQ29" s="3450" t="str">
        <f t="shared" si="79"/>
        <v>từ từ</v>
      </c>
      <c r="AR29" s="3450" t="str">
        <f t="shared" si="80"/>
        <v>lấy</v>
      </c>
      <c r="AS29" s="3459" t="str">
        <f t="shared" si="81"/>
        <v>localNon Metalize</v>
      </c>
      <c r="AT29" s="3450" t="s">
        <v>3563</v>
      </c>
      <c r="AU29" s="3450" t="s">
        <v>800</v>
      </c>
      <c r="AV29" s="3450">
        <f>AV25</f>
        <v>650</v>
      </c>
      <c r="AW29" s="3458">
        <f>AW26</f>
        <v>410</v>
      </c>
      <c r="BA29" s="3450" t="e">
        <f t="shared" ca="1" si="0"/>
        <v>#DIV/0!</v>
      </c>
      <c r="BB29" s="3450" t="e">
        <f t="shared" ca="1" si="1"/>
        <v>#DIV/0!</v>
      </c>
      <c r="BC29" s="3450" t="s">
        <v>1394</v>
      </c>
      <c r="BD29" s="3450">
        <v>650</v>
      </c>
      <c r="BE29" s="3450">
        <f t="shared" si="82"/>
        <v>325</v>
      </c>
      <c r="BF29" s="3460" t="e">
        <f t="shared" ca="1" si="2"/>
        <v>#DIV/0!</v>
      </c>
      <c r="BG29" s="3450" t="e">
        <f t="shared" ca="1" si="3"/>
        <v>#DIV/0!</v>
      </c>
      <c r="BH29" s="3450" t="e">
        <f t="shared" ca="1" si="4"/>
        <v>#DIV/0!</v>
      </c>
      <c r="BJ29" s="3450" t="e">
        <f t="shared" ca="1" si="5"/>
        <v>#DIV/0!</v>
      </c>
      <c r="BK29" s="3450" t="e">
        <f t="shared" ca="1" si="6"/>
        <v>#DIV/0!</v>
      </c>
      <c r="BL29" s="3450" t="s">
        <v>1394</v>
      </c>
      <c r="BM29" s="3450">
        <v>650</v>
      </c>
      <c r="BN29" s="3450">
        <f t="shared" si="83"/>
        <v>325</v>
      </c>
      <c r="BO29" s="3460" t="e">
        <f t="shared" ca="1" si="7"/>
        <v>#DIV/0!</v>
      </c>
      <c r="BP29" s="3450" t="e">
        <f t="shared" ca="1" si="8"/>
        <v>#DIV/0!</v>
      </c>
      <c r="BQ29" s="3450" t="e">
        <f t="shared" ca="1" si="9"/>
        <v>#DIV/0!</v>
      </c>
      <c r="BS29" s="3450" t="e">
        <f t="shared" ca="1" si="10"/>
        <v>#DIV/0!</v>
      </c>
      <c r="BT29" s="3450" t="e">
        <f t="shared" ca="1" si="11"/>
        <v>#DIV/0!</v>
      </c>
      <c r="BU29" s="3450" t="s">
        <v>1394</v>
      </c>
      <c r="BV29" s="3450">
        <v>650</v>
      </c>
      <c r="BW29" s="3450">
        <f t="shared" si="84"/>
        <v>325</v>
      </c>
      <c r="BX29" s="3460" t="e">
        <f t="shared" ca="1" si="12"/>
        <v>#DIV/0!</v>
      </c>
      <c r="BY29" s="3450" t="e">
        <f t="shared" ca="1" si="13"/>
        <v>#DIV/0!</v>
      </c>
      <c r="BZ29" s="3450" t="e">
        <f t="shared" ca="1" si="14"/>
        <v>#DIV/0!</v>
      </c>
      <c r="CB29" s="3450" t="e">
        <f t="shared" ca="1" si="15"/>
        <v>#DIV/0!</v>
      </c>
      <c r="CC29" s="3450" t="e">
        <f t="shared" ca="1" si="16"/>
        <v>#DIV/0!</v>
      </c>
      <c r="CD29" s="3450" t="s">
        <v>1394</v>
      </c>
      <c r="CE29" s="3450">
        <v>650</v>
      </c>
      <c r="CF29" s="3450">
        <f t="shared" si="85"/>
        <v>325</v>
      </c>
      <c r="CG29" s="3460" t="e">
        <f t="shared" ca="1" si="17"/>
        <v>#DIV/0!</v>
      </c>
      <c r="CH29" s="3450" t="e">
        <f t="shared" ca="1" si="18"/>
        <v>#DIV/0!</v>
      </c>
      <c r="CI29" s="3450" t="e">
        <f t="shared" ca="1" si="19"/>
        <v>#DIV/0!</v>
      </c>
      <c r="CK29" s="3450" t="e">
        <f t="shared" ca="1" si="20"/>
        <v>#DIV/0!</v>
      </c>
      <c r="CL29" s="3450" t="e">
        <f t="shared" ca="1" si="21"/>
        <v>#DIV/0!</v>
      </c>
      <c r="CM29" s="3450" t="s">
        <v>1394</v>
      </c>
      <c r="CN29" s="3450">
        <v>650</v>
      </c>
      <c r="CO29" s="3450">
        <f t="shared" si="86"/>
        <v>325</v>
      </c>
      <c r="CP29" s="3460" t="e">
        <f t="shared" ca="1" si="22"/>
        <v>#DIV/0!</v>
      </c>
      <c r="CQ29" s="3450" t="e">
        <f t="shared" ca="1" si="23"/>
        <v>#DIV/0!</v>
      </c>
      <c r="CR29" s="3450" t="e">
        <f t="shared" ca="1" si="24"/>
        <v>#DIV/0!</v>
      </c>
      <c r="CT29" s="3450" t="e">
        <f t="shared" ca="1" si="25"/>
        <v>#DIV/0!</v>
      </c>
      <c r="CU29" s="3450" t="e">
        <f t="shared" ca="1" si="26"/>
        <v>#DIV/0!</v>
      </c>
      <c r="CV29" s="3450" t="s">
        <v>1394</v>
      </c>
      <c r="CW29" s="3450">
        <v>650</v>
      </c>
      <c r="CX29" s="3450">
        <f t="shared" si="87"/>
        <v>325</v>
      </c>
      <c r="CY29" s="3460" t="e">
        <f t="shared" ca="1" si="27"/>
        <v>#DIV/0!</v>
      </c>
      <c r="CZ29" s="3450" t="e">
        <f t="shared" ca="1" si="28"/>
        <v>#DIV/0!</v>
      </c>
      <c r="DA29" s="3450" t="e">
        <f t="shared" ca="1" si="29"/>
        <v>#DIV/0!</v>
      </c>
      <c r="DC29" s="3450" t="e">
        <f t="shared" ca="1" si="30"/>
        <v>#DIV/0!</v>
      </c>
      <c r="DD29" s="3450" t="e">
        <f t="shared" ca="1" si="31"/>
        <v>#DIV/0!</v>
      </c>
      <c r="DE29" s="3450" t="s">
        <v>1394</v>
      </c>
      <c r="DF29" s="3450">
        <v>650</v>
      </c>
      <c r="DG29" s="3450">
        <f t="shared" si="88"/>
        <v>325</v>
      </c>
      <c r="DH29" s="3460" t="e">
        <f t="shared" ca="1" si="32"/>
        <v>#DIV/0!</v>
      </c>
      <c r="DI29" s="3450" t="e">
        <f t="shared" ca="1" si="33"/>
        <v>#DIV/0!</v>
      </c>
      <c r="DJ29" s="3450" t="e">
        <f t="shared" ca="1" si="34"/>
        <v>#DIV/0!</v>
      </c>
      <c r="DL29" s="3450" t="e">
        <f t="shared" ca="1" si="35"/>
        <v>#DIV/0!</v>
      </c>
      <c r="DM29" s="3450" t="e">
        <f t="shared" ca="1" si="36"/>
        <v>#DIV/0!</v>
      </c>
      <c r="DN29" s="3450" t="s">
        <v>1394</v>
      </c>
      <c r="DO29" s="3450">
        <v>650</v>
      </c>
      <c r="DP29" s="3450">
        <f t="shared" si="89"/>
        <v>325</v>
      </c>
      <c r="DQ29" s="3460" t="e">
        <f t="shared" ca="1" si="37"/>
        <v>#DIV/0!</v>
      </c>
      <c r="DR29" s="3450" t="e">
        <f t="shared" ca="1" si="38"/>
        <v>#DIV/0!</v>
      </c>
      <c r="DS29" s="3450" t="e">
        <f t="shared" ca="1" si="39"/>
        <v>#DIV/0!</v>
      </c>
      <c r="DU29" s="3450" t="e">
        <f t="shared" ca="1" si="40"/>
        <v>#DIV/0!</v>
      </c>
      <c r="DV29" s="3450" t="e">
        <f t="shared" ca="1" si="41"/>
        <v>#DIV/0!</v>
      </c>
      <c r="DW29" s="3450" t="s">
        <v>1394</v>
      </c>
      <c r="DX29" s="3450">
        <v>650</v>
      </c>
      <c r="DY29" s="3450">
        <f t="shared" si="90"/>
        <v>325</v>
      </c>
      <c r="DZ29" s="3460" t="e">
        <f t="shared" ca="1" si="42"/>
        <v>#DIV/0!</v>
      </c>
      <c r="EA29" s="3450" t="e">
        <f t="shared" ca="1" si="43"/>
        <v>#DIV/0!</v>
      </c>
      <c r="EB29" s="3450" t="e">
        <f t="shared" ca="1" si="44"/>
        <v>#DIV/0!</v>
      </c>
      <c r="ED29" s="3450" t="e">
        <f t="shared" ca="1" si="45"/>
        <v>#DIV/0!</v>
      </c>
      <c r="EE29" s="3450" t="e">
        <f t="shared" ca="1" si="46"/>
        <v>#DIV/0!</v>
      </c>
      <c r="EF29" s="3450" t="s">
        <v>1394</v>
      </c>
      <c r="EG29" s="3450">
        <v>650</v>
      </c>
      <c r="EH29" s="3450">
        <f t="shared" si="91"/>
        <v>325</v>
      </c>
      <c r="EI29" s="3460" t="e">
        <f t="shared" ca="1" si="47"/>
        <v>#DIV/0!</v>
      </c>
      <c r="EJ29" s="3450" t="e">
        <f t="shared" ca="1" si="48"/>
        <v>#DIV/0!</v>
      </c>
      <c r="EK29" s="3450" t="e">
        <f t="shared" ca="1" si="49"/>
        <v>#DIV/0!</v>
      </c>
      <c r="EM29" s="3450" t="e">
        <f t="shared" ca="1" si="50"/>
        <v>#DIV/0!</v>
      </c>
      <c r="EN29" s="3450" t="e">
        <f t="shared" ca="1" si="51"/>
        <v>#DIV/0!</v>
      </c>
      <c r="EO29" s="3450" t="s">
        <v>1394</v>
      </c>
      <c r="EP29" s="3450">
        <v>650</v>
      </c>
      <c r="EQ29" s="3450">
        <f t="shared" si="92"/>
        <v>325</v>
      </c>
      <c r="ER29" s="3460" t="e">
        <f t="shared" ca="1" si="52"/>
        <v>#DIV/0!</v>
      </c>
      <c r="ES29" s="3450" t="e">
        <f t="shared" ca="1" si="53"/>
        <v>#DIV/0!</v>
      </c>
      <c r="ET29" s="3450" t="e">
        <f t="shared" ca="1" si="54"/>
        <v>#DIV/0!</v>
      </c>
      <c r="EV29" s="3450" t="e">
        <f t="shared" ca="1" si="55"/>
        <v>#DIV/0!</v>
      </c>
      <c r="EW29" s="3450" t="e">
        <f t="shared" ca="1" si="56"/>
        <v>#DIV/0!</v>
      </c>
      <c r="EX29" s="3450" t="s">
        <v>1394</v>
      </c>
      <c r="EY29" s="3450">
        <v>650</v>
      </c>
      <c r="EZ29" s="3450">
        <f t="shared" si="93"/>
        <v>325</v>
      </c>
      <c r="FA29" s="3460" t="e">
        <f t="shared" ca="1" si="57"/>
        <v>#DIV/0!</v>
      </c>
      <c r="FB29" s="3450" t="e">
        <f t="shared" ca="1" si="58"/>
        <v>#DIV/0!</v>
      </c>
      <c r="FC29" s="3450" t="e">
        <f t="shared" ca="1" si="59"/>
        <v>#DIV/0!</v>
      </c>
      <c r="FE29" s="3450" t="e">
        <f t="shared" ca="1" si="60"/>
        <v>#DIV/0!</v>
      </c>
      <c r="FF29" s="3450" t="e">
        <f t="shared" ca="1" si="61"/>
        <v>#DIV/0!</v>
      </c>
      <c r="FG29" s="3450" t="s">
        <v>1394</v>
      </c>
      <c r="FH29" s="3450">
        <v>650</v>
      </c>
      <c r="FI29" s="3450">
        <f t="shared" si="94"/>
        <v>325</v>
      </c>
      <c r="FJ29" s="3460" t="e">
        <f t="shared" ca="1" si="62"/>
        <v>#DIV/0!</v>
      </c>
      <c r="FK29" s="3450" t="e">
        <f t="shared" ca="1" si="63"/>
        <v>#DIV/0!</v>
      </c>
      <c r="FL29" s="3450" t="e">
        <f t="shared" ca="1" si="64"/>
        <v>#DIV/0!</v>
      </c>
      <c r="FN29" s="3450" t="e">
        <f t="shared" ca="1" si="65"/>
        <v>#DIV/0!</v>
      </c>
      <c r="FO29" s="3450" t="e">
        <f t="shared" ca="1" si="66"/>
        <v>#DIV/0!</v>
      </c>
      <c r="FP29" s="3450" t="s">
        <v>1394</v>
      </c>
      <c r="FQ29" s="3450">
        <v>650</v>
      </c>
      <c r="FR29" s="3450">
        <f t="shared" si="95"/>
        <v>325</v>
      </c>
      <c r="FS29" s="3460" t="e">
        <f t="shared" ca="1" si="67"/>
        <v>#DIV/0!</v>
      </c>
      <c r="FT29" s="3450" t="e">
        <f t="shared" ca="1" si="68"/>
        <v>#DIV/0!</v>
      </c>
      <c r="FU29" s="3450" t="e">
        <f t="shared" ca="1" si="69"/>
        <v>#DIV/0!</v>
      </c>
      <c r="FW29" s="3450" t="e">
        <f t="shared" ca="1" si="70"/>
        <v>#VALUE!</v>
      </c>
      <c r="FX29" s="3450" t="e">
        <f t="shared" ca="1" si="71"/>
        <v>#VALUE!</v>
      </c>
      <c r="FY29" s="3450" t="s">
        <v>1394</v>
      </c>
      <c r="FZ29" s="3450">
        <v>650</v>
      </c>
      <c r="GA29" s="3450">
        <f t="shared" si="96"/>
        <v>325</v>
      </c>
      <c r="GB29" s="3460" t="e">
        <f t="shared" ca="1" si="72"/>
        <v>#VALUE!</v>
      </c>
      <c r="GC29" s="3450" t="e">
        <f t="shared" ca="1" si="73"/>
        <v>#VALUE!</v>
      </c>
      <c r="GD29" s="3450" t="e">
        <f t="shared" ca="1" si="74"/>
        <v>#VALUE!</v>
      </c>
    </row>
    <row r="30" spans="1:1022 1034:3063 3075:4090 4102:5117 5129:6144 6156:7158 7170:8185 8197:9212 9224:10239 10251:11253 11265:12280 12292:13307 13319:14334 14346:16375" ht="18" hidden="1" customHeight="1" outlineLevel="1">
      <c r="A30" s="3452" t="str">
        <f t="shared" ca="1" si="97"/>
        <v>None</v>
      </c>
      <c r="B30" s="3453">
        <f t="shared" ca="1" si="101"/>
        <v>0</v>
      </c>
      <c r="C30" s="1768"/>
      <c r="E30" s="1705" t="s">
        <v>127</v>
      </c>
      <c r="F30" s="1705" t="s">
        <v>1112</v>
      </c>
      <c r="G30" s="1768"/>
      <c r="H30" s="1768"/>
      <c r="K30" s="3568">
        <v>2</v>
      </c>
      <c r="L30" s="991"/>
      <c r="M30" s="1705" t="s">
        <v>127</v>
      </c>
      <c r="N30" s="1768"/>
      <c r="O30" s="1705" t="s">
        <v>1259</v>
      </c>
      <c r="Q30" s="3450">
        <f t="shared" ca="1" si="98"/>
        <v>2</v>
      </c>
      <c r="R30" s="3451">
        <f t="shared" si="103"/>
        <v>4</v>
      </c>
      <c r="S30" s="3450" t="str">
        <f>IF(R30&lt;=VALUE(LEFT($I$23,1)),"MẶT TRƯỚC","MẶT SAU")</f>
        <v>MẶT SAU</v>
      </c>
      <c r="T30" s="3450">
        <f t="shared" si="99"/>
        <v>3</v>
      </c>
      <c r="U30" s="3450" t="str">
        <f t="shared" ca="1" si="100"/>
        <v/>
      </c>
      <c r="V30" s="3450"/>
      <c r="W30" s="3450">
        <v>4</v>
      </c>
      <c r="X30" s="3450" t="str">
        <f ca="1">IF(VLOOKUP(OFFSET($A$25,Z30,0),'Summary Data'!$C:$AV,45,0)&gt;0,"UV ink",Y30)</f>
        <v>Black (60-914386-2.1200 Nutri-2 Proc Black ISO 2846-1)</v>
      </c>
      <c r="Y30" s="136" t="s">
        <v>3359</v>
      </c>
      <c r="AJ30" s="320"/>
      <c r="AK30" s="3450" t="str">
        <f t="shared" si="75"/>
        <v>WBBlấy</v>
      </c>
      <c r="AL30" s="3450" t="str">
        <f t="shared" si="76"/>
        <v>WBBtừ từ</v>
      </c>
      <c r="AM30" s="3450" t="s">
        <v>1394</v>
      </c>
      <c r="AN30" s="3450">
        <v>790</v>
      </c>
      <c r="AO30" s="3450">
        <f t="shared" si="77"/>
        <v>395</v>
      </c>
      <c r="AP30" s="3460">
        <f t="shared" si="78"/>
        <v>1.238244514106583</v>
      </c>
      <c r="AQ30" s="3450" t="str">
        <f t="shared" si="79"/>
        <v>từ từ</v>
      </c>
      <c r="AR30" s="3450" t="str">
        <f t="shared" si="80"/>
        <v>lấy</v>
      </c>
      <c r="AS30" s="3459" t="str">
        <f t="shared" si="81"/>
        <v>localMetalize</v>
      </c>
      <c r="AT30" s="3450" t="s">
        <v>3563</v>
      </c>
      <c r="AU30" s="3450" t="s">
        <v>230</v>
      </c>
      <c r="AV30" s="3450">
        <f>AV25</f>
        <v>650</v>
      </c>
      <c r="AW30" s="3450">
        <f>IF(AY27="cộng 6",AW26+3,AW26)</f>
        <v>410</v>
      </c>
      <c r="BA30" s="3450" t="e">
        <f t="shared" ca="1" si="0"/>
        <v>#DIV/0!</v>
      </c>
      <c r="BB30" s="3450" t="e">
        <f t="shared" ca="1" si="1"/>
        <v>#DIV/0!</v>
      </c>
      <c r="BC30" s="3450" t="s">
        <v>1394</v>
      </c>
      <c r="BD30" s="3450">
        <v>790</v>
      </c>
      <c r="BE30" s="3450">
        <f t="shared" si="82"/>
        <v>395</v>
      </c>
      <c r="BF30" s="3460" t="e">
        <f t="shared" ca="1" si="2"/>
        <v>#DIV/0!</v>
      </c>
      <c r="BG30" s="3450" t="e">
        <f t="shared" ca="1" si="3"/>
        <v>#DIV/0!</v>
      </c>
      <c r="BH30" s="3450" t="e">
        <f t="shared" ca="1" si="4"/>
        <v>#DIV/0!</v>
      </c>
      <c r="BJ30" s="3450" t="e">
        <f t="shared" ca="1" si="5"/>
        <v>#DIV/0!</v>
      </c>
      <c r="BK30" s="3450" t="e">
        <f t="shared" ca="1" si="6"/>
        <v>#DIV/0!</v>
      </c>
      <c r="BL30" s="3450" t="s">
        <v>1394</v>
      </c>
      <c r="BM30" s="3450">
        <v>790</v>
      </c>
      <c r="BN30" s="3450">
        <f t="shared" si="83"/>
        <v>395</v>
      </c>
      <c r="BO30" s="3460" t="e">
        <f t="shared" ca="1" si="7"/>
        <v>#DIV/0!</v>
      </c>
      <c r="BP30" s="3450" t="e">
        <f t="shared" ca="1" si="8"/>
        <v>#DIV/0!</v>
      </c>
      <c r="BQ30" s="3450" t="e">
        <f t="shared" ca="1" si="9"/>
        <v>#DIV/0!</v>
      </c>
      <c r="BS30" s="3450" t="e">
        <f t="shared" ca="1" si="10"/>
        <v>#DIV/0!</v>
      </c>
      <c r="BT30" s="3450" t="e">
        <f t="shared" ca="1" si="11"/>
        <v>#DIV/0!</v>
      </c>
      <c r="BU30" s="3450" t="s">
        <v>1394</v>
      </c>
      <c r="BV30" s="3450">
        <v>790</v>
      </c>
      <c r="BW30" s="3450">
        <f t="shared" si="84"/>
        <v>395</v>
      </c>
      <c r="BX30" s="3460" t="e">
        <f t="shared" ca="1" si="12"/>
        <v>#DIV/0!</v>
      </c>
      <c r="BY30" s="3450" t="e">
        <f t="shared" ca="1" si="13"/>
        <v>#DIV/0!</v>
      </c>
      <c r="BZ30" s="3450" t="e">
        <f t="shared" ca="1" si="14"/>
        <v>#DIV/0!</v>
      </c>
      <c r="CB30" s="3450" t="e">
        <f t="shared" ca="1" si="15"/>
        <v>#DIV/0!</v>
      </c>
      <c r="CC30" s="3450" t="e">
        <f t="shared" ca="1" si="16"/>
        <v>#DIV/0!</v>
      </c>
      <c r="CD30" s="3450" t="s">
        <v>1394</v>
      </c>
      <c r="CE30" s="3450">
        <v>790</v>
      </c>
      <c r="CF30" s="3450">
        <f t="shared" si="85"/>
        <v>395</v>
      </c>
      <c r="CG30" s="3460" t="e">
        <f t="shared" ca="1" si="17"/>
        <v>#DIV/0!</v>
      </c>
      <c r="CH30" s="3450" t="e">
        <f t="shared" ca="1" si="18"/>
        <v>#DIV/0!</v>
      </c>
      <c r="CI30" s="3450" t="e">
        <f t="shared" ca="1" si="19"/>
        <v>#DIV/0!</v>
      </c>
      <c r="CK30" s="3450" t="e">
        <f t="shared" ca="1" si="20"/>
        <v>#DIV/0!</v>
      </c>
      <c r="CL30" s="3450" t="e">
        <f t="shared" ca="1" si="21"/>
        <v>#DIV/0!</v>
      </c>
      <c r="CM30" s="3450" t="s">
        <v>1394</v>
      </c>
      <c r="CN30" s="3450">
        <v>790</v>
      </c>
      <c r="CO30" s="3450">
        <f t="shared" si="86"/>
        <v>395</v>
      </c>
      <c r="CP30" s="3460" t="e">
        <f t="shared" ca="1" si="22"/>
        <v>#DIV/0!</v>
      </c>
      <c r="CQ30" s="3450" t="e">
        <f t="shared" ca="1" si="23"/>
        <v>#DIV/0!</v>
      </c>
      <c r="CR30" s="3450" t="e">
        <f t="shared" ca="1" si="24"/>
        <v>#DIV/0!</v>
      </c>
      <c r="CT30" s="3450" t="e">
        <f t="shared" ca="1" si="25"/>
        <v>#DIV/0!</v>
      </c>
      <c r="CU30" s="3450" t="e">
        <f t="shared" ca="1" si="26"/>
        <v>#DIV/0!</v>
      </c>
      <c r="CV30" s="3450" t="s">
        <v>1394</v>
      </c>
      <c r="CW30" s="3450">
        <v>790</v>
      </c>
      <c r="CX30" s="3450">
        <f t="shared" si="87"/>
        <v>395</v>
      </c>
      <c r="CY30" s="3460" t="e">
        <f t="shared" ca="1" si="27"/>
        <v>#DIV/0!</v>
      </c>
      <c r="CZ30" s="3450" t="e">
        <f t="shared" ca="1" si="28"/>
        <v>#DIV/0!</v>
      </c>
      <c r="DA30" s="3450" t="e">
        <f t="shared" ca="1" si="29"/>
        <v>#DIV/0!</v>
      </c>
      <c r="DC30" s="3450" t="e">
        <f t="shared" ca="1" si="30"/>
        <v>#DIV/0!</v>
      </c>
      <c r="DD30" s="3450" t="e">
        <f t="shared" ca="1" si="31"/>
        <v>#DIV/0!</v>
      </c>
      <c r="DE30" s="3450" t="s">
        <v>1394</v>
      </c>
      <c r="DF30" s="3450">
        <v>790</v>
      </c>
      <c r="DG30" s="3450">
        <f t="shared" si="88"/>
        <v>395</v>
      </c>
      <c r="DH30" s="3460" t="e">
        <f t="shared" ca="1" si="32"/>
        <v>#DIV/0!</v>
      </c>
      <c r="DI30" s="3450" t="e">
        <f t="shared" ca="1" si="33"/>
        <v>#DIV/0!</v>
      </c>
      <c r="DJ30" s="3450" t="e">
        <f t="shared" ca="1" si="34"/>
        <v>#DIV/0!</v>
      </c>
      <c r="DL30" s="3450" t="e">
        <f t="shared" ca="1" si="35"/>
        <v>#DIV/0!</v>
      </c>
      <c r="DM30" s="3450" t="e">
        <f t="shared" ca="1" si="36"/>
        <v>#DIV/0!</v>
      </c>
      <c r="DN30" s="3450" t="s">
        <v>1394</v>
      </c>
      <c r="DO30" s="3450">
        <v>790</v>
      </c>
      <c r="DP30" s="3450">
        <f t="shared" si="89"/>
        <v>395</v>
      </c>
      <c r="DQ30" s="3460" t="e">
        <f t="shared" ca="1" si="37"/>
        <v>#DIV/0!</v>
      </c>
      <c r="DR30" s="3450" t="e">
        <f t="shared" ca="1" si="38"/>
        <v>#DIV/0!</v>
      </c>
      <c r="DS30" s="3450" t="e">
        <f t="shared" ca="1" si="39"/>
        <v>#DIV/0!</v>
      </c>
      <c r="DU30" s="3450" t="e">
        <f t="shared" ca="1" si="40"/>
        <v>#DIV/0!</v>
      </c>
      <c r="DV30" s="3450" t="e">
        <f t="shared" ca="1" si="41"/>
        <v>#DIV/0!</v>
      </c>
      <c r="DW30" s="3450" t="s">
        <v>1394</v>
      </c>
      <c r="DX30" s="3450">
        <v>790</v>
      </c>
      <c r="DY30" s="3450">
        <f t="shared" si="90"/>
        <v>395</v>
      </c>
      <c r="DZ30" s="3460" t="e">
        <f t="shared" ca="1" si="42"/>
        <v>#DIV/0!</v>
      </c>
      <c r="EA30" s="3450" t="e">
        <f t="shared" ca="1" si="43"/>
        <v>#DIV/0!</v>
      </c>
      <c r="EB30" s="3450" t="e">
        <f t="shared" ca="1" si="44"/>
        <v>#DIV/0!</v>
      </c>
      <c r="ED30" s="3450" t="e">
        <f t="shared" ca="1" si="45"/>
        <v>#DIV/0!</v>
      </c>
      <c r="EE30" s="3450" t="e">
        <f t="shared" ca="1" si="46"/>
        <v>#DIV/0!</v>
      </c>
      <c r="EF30" s="3450" t="s">
        <v>1394</v>
      </c>
      <c r="EG30" s="3450">
        <v>790</v>
      </c>
      <c r="EH30" s="3450">
        <f t="shared" si="91"/>
        <v>395</v>
      </c>
      <c r="EI30" s="3460" t="e">
        <f t="shared" ca="1" si="47"/>
        <v>#DIV/0!</v>
      </c>
      <c r="EJ30" s="3450" t="e">
        <f t="shared" ca="1" si="48"/>
        <v>#DIV/0!</v>
      </c>
      <c r="EK30" s="3450" t="e">
        <f t="shared" ca="1" si="49"/>
        <v>#DIV/0!</v>
      </c>
      <c r="EM30" s="3450" t="e">
        <f t="shared" ca="1" si="50"/>
        <v>#DIV/0!</v>
      </c>
      <c r="EN30" s="3450" t="e">
        <f t="shared" ca="1" si="51"/>
        <v>#DIV/0!</v>
      </c>
      <c r="EO30" s="3450" t="s">
        <v>1394</v>
      </c>
      <c r="EP30" s="3450">
        <v>790</v>
      </c>
      <c r="EQ30" s="3450">
        <f t="shared" si="92"/>
        <v>395</v>
      </c>
      <c r="ER30" s="3460" t="e">
        <f t="shared" ca="1" si="52"/>
        <v>#DIV/0!</v>
      </c>
      <c r="ES30" s="3450" t="e">
        <f t="shared" ca="1" si="53"/>
        <v>#DIV/0!</v>
      </c>
      <c r="ET30" s="3450" t="e">
        <f t="shared" ca="1" si="54"/>
        <v>#DIV/0!</v>
      </c>
      <c r="EV30" s="3450" t="e">
        <f t="shared" ca="1" si="55"/>
        <v>#DIV/0!</v>
      </c>
      <c r="EW30" s="3450" t="e">
        <f t="shared" ca="1" si="56"/>
        <v>#DIV/0!</v>
      </c>
      <c r="EX30" s="3450" t="s">
        <v>1394</v>
      </c>
      <c r="EY30" s="3450">
        <v>790</v>
      </c>
      <c r="EZ30" s="3450">
        <f t="shared" si="93"/>
        <v>395</v>
      </c>
      <c r="FA30" s="3460" t="e">
        <f t="shared" ca="1" si="57"/>
        <v>#DIV/0!</v>
      </c>
      <c r="FB30" s="3450" t="e">
        <f t="shared" ca="1" si="58"/>
        <v>#DIV/0!</v>
      </c>
      <c r="FC30" s="3450" t="e">
        <f t="shared" ca="1" si="59"/>
        <v>#DIV/0!</v>
      </c>
      <c r="FE30" s="3450" t="e">
        <f t="shared" ca="1" si="60"/>
        <v>#DIV/0!</v>
      </c>
      <c r="FF30" s="3450" t="e">
        <f t="shared" ca="1" si="61"/>
        <v>#DIV/0!</v>
      </c>
      <c r="FG30" s="3450" t="s">
        <v>1394</v>
      </c>
      <c r="FH30" s="3450">
        <v>790</v>
      </c>
      <c r="FI30" s="3450">
        <f t="shared" si="94"/>
        <v>395</v>
      </c>
      <c r="FJ30" s="3460" t="e">
        <f t="shared" ca="1" si="62"/>
        <v>#DIV/0!</v>
      </c>
      <c r="FK30" s="3450" t="e">
        <f t="shared" ca="1" si="63"/>
        <v>#DIV/0!</v>
      </c>
      <c r="FL30" s="3450" t="e">
        <f t="shared" ca="1" si="64"/>
        <v>#DIV/0!</v>
      </c>
      <c r="FN30" s="3450" t="e">
        <f t="shared" ca="1" si="65"/>
        <v>#DIV/0!</v>
      </c>
      <c r="FO30" s="3450" t="e">
        <f t="shared" ca="1" si="66"/>
        <v>#DIV/0!</v>
      </c>
      <c r="FP30" s="3450" t="s">
        <v>1394</v>
      </c>
      <c r="FQ30" s="3450">
        <v>790</v>
      </c>
      <c r="FR30" s="3450">
        <f t="shared" si="95"/>
        <v>395</v>
      </c>
      <c r="FS30" s="3460" t="e">
        <f t="shared" ca="1" si="67"/>
        <v>#DIV/0!</v>
      </c>
      <c r="FT30" s="3450" t="e">
        <f t="shared" ca="1" si="68"/>
        <v>#DIV/0!</v>
      </c>
      <c r="FU30" s="3450" t="e">
        <f t="shared" ca="1" si="69"/>
        <v>#DIV/0!</v>
      </c>
      <c r="FW30" s="3450" t="e">
        <f t="shared" ca="1" si="70"/>
        <v>#VALUE!</v>
      </c>
      <c r="FX30" s="3450" t="e">
        <f t="shared" ca="1" si="71"/>
        <v>#VALUE!</v>
      </c>
      <c r="FY30" s="3450" t="s">
        <v>1394</v>
      </c>
      <c r="FZ30" s="3450">
        <v>790</v>
      </c>
      <c r="GA30" s="3450">
        <f t="shared" si="96"/>
        <v>395</v>
      </c>
      <c r="GB30" s="3460" t="e">
        <f t="shared" ca="1" si="72"/>
        <v>#VALUE!</v>
      </c>
      <c r="GC30" s="3450" t="e">
        <f t="shared" ca="1" si="73"/>
        <v>#VALUE!</v>
      </c>
      <c r="GD30" s="3450" t="e">
        <f t="shared" ca="1" si="74"/>
        <v>#VALUE!</v>
      </c>
    </row>
    <row r="31" spans="1:1022 1034:3063 3075:4090 4102:5117 5129:6144 6156:7158 7170:8185 8197:9212 9224:10239 10251:11253 11265:12280 12292:13307 13319:14334 14346:16375" ht="18" hidden="1" customHeight="1" outlineLevel="1">
      <c r="A31" s="3452" t="str">
        <f t="shared" ca="1" si="97"/>
        <v>None</v>
      </c>
      <c r="B31" s="3453">
        <f t="shared" ca="1" si="101"/>
        <v>0</v>
      </c>
      <c r="C31" s="1768"/>
      <c r="E31" s="1705" t="s">
        <v>127</v>
      </c>
      <c r="F31" s="1705" t="s">
        <v>1112</v>
      </c>
      <c r="G31" s="1768"/>
      <c r="H31" s="1768"/>
      <c r="J31" s="320"/>
      <c r="K31" s="1579"/>
      <c r="L31" s="991"/>
      <c r="M31" s="1705" t="s">
        <v>127</v>
      </c>
      <c r="N31" s="1768"/>
      <c r="O31" s="1705" t="s">
        <v>1259</v>
      </c>
      <c r="Q31" s="3450">
        <f t="shared" ca="1" si="98"/>
        <v>2</v>
      </c>
      <c r="R31" s="3451">
        <f t="shared" si="103"/>
        <v>5</v>
      </c>
      <c r="S31" s="3450" t="str">
        <f t="shared" si="102"/>
        <v>MẶT SAU</v>
      </c>
      <c r="T31" s="3450">
        <f t="shared" si="99"/>
        <v>4</v>
      </c>
      <c r="U31" s="3450" t="str">
        <f t="shared" ca="1" si="100"/>
        <v/>
      </c>
      <c r="V31" s="3450"/>
      <c r="W31" s="3450"/>
      <c r="X31" s="3450">
        <f ca="1">IF(VLOOKUP(OFFSET($A$25,Z31,0),'Summary Data'!$C:$AV,45,0)&gt;0,"UV ink",Y31)</f>
        <v>0</v>
      </c>
      <c r="AJ31" s="320"/>
      <c r="AK31" s="3450" t="str">
        <f t="shared" si="75"/>
        <v>WBBlấy</v>
      </c>
      <c r="AL31" s="3450" t="str">
        <f t="shared" si="76"/>
        <v>WBBtừ từ</v>
      </c>
      <c r="AM31" s="3450" t="s">
        <v>1394</v>
      </c>
      <c r="AN31" s="3450">
        <v>890</v>
      </c>
      <c r="AO31" s="3450">
        <f t="shared" si="77"/>
        <v>445</v>
      </c>
      <c r="AP31" s="3460">
        <f t="shared" si="78"/>
        <v>1.3949843260188088</v>
      </c>
      <c r="AQ31" s="3450" t="str">
        <f t="shared" si="79"/>
        <v>từ từ</v>
      </c>
      <c r="AR31" s="3450" t="str">
        <f t="shared" si="80"/>
        <v>lấy</v>
      </c>
      <c r="AS31" s="3459" t="str">
        <f t="shared" si="81"/>
        <v>localRigid box</v>
      </c>
      <c r="AT31" s="3450" t="s">
        <v>3563</v>
      </c>
      <c r="AU31" s="3450" t="s">
        <v>3214</v>
      </c>
      <c r="AV31" s="3450">
        <f>AV29</f>
        <v>650</v>
      </c>
      <c r="AW31" s="3458">
        <f>AW29</f>
        <v>410</v>
      </c>
      <c r="BA31" s="3450" t="e">
        <f t="shared" ca="1" si="0"/>
        <v>#DIV/0!</v>
      </c>
      <c r="BB31" s="3450" t="e">
        <f t="shared" ca="1" si="1"/>
        <v>#DIV/0!</v>
      </c>
      <c r="BC31" s="3450" t="s">
        <v>1394</v>
      </c>
      <c r="BD31" s="3450">
        <v>890</v>
      </c>
      <c r="BE31" s="3450">
        <f t="shared" si="82"/>
        <v>445</v>
      </c>
      <c r="BF31" s="3460" t="e">
        <f t="shared" ca="1" si="2"/>
        <v>#DIV/0!</v>
      </c>
      <c r="BG31" s="3450" t="e">
        <f t="shared" ca="1" si="3"/>
        <v>#DIV/0!</v>
      </c>
      <c r="BH31" s="3450" t="e">
        <f t="shared" ca="1" si="4"/>
        <v>#DIV/0!</v>
      </c>
      <c r="BJ31" s="3450" t="e">
        <f t="shared" ca="1" si="5"/>
        <v>#DIV/0!</v>
      </c>
      <c r="BK31" s="3450" t="e">
        <f t="shared" ca="1" si="6"/>
        <v>#DIV/0!</v>
      </c>
      <c r="BL31" s="3450" t="s">
        <v>1394</v>
      </c>
      <c r="BM31" s="3450">
        <v>890</v>
      </c>
      <c r="BN31" s="3450">
        <f t="shared" si="83"/>
        <v>445</v>
      </c>
      <c r="BO31" s="3460" t="e">
        <f t="shared" ca="1" si="7"/>
        <v>#DIV/0!</v>
      </c>
      <c r="BP31" s="3450" t="e">
        <f t="shared" ca="1" si="8"/>
        <v>#DIV/0!</v>
      </c>
      <c r="BQ31" s="3450" t="e">
        <f t="shared" ca="1" si="9"/>
        <v>#DIV/0!</v>
      </c>
      <c r="BS31" s="3450" t="e">
        <f t="shared" ca="1" si="10"/>
        <v>#DIV/0!</v>
      </c>
      <c r="BT31" s="3450" t="e">
        <f t="shared" ca="1" si="11"/>
        <v>#DIV/0!</v>
      </c>
      <c r="BU31" s="3450" t="s">
        <v>1394</v>
      </c>
      <c r="BV31" s="3450">
        <v>890</v>
      </c>
      <c r="BW31" s="3450">
        <f t="shared" si="84"/>
        <v>445</v>
      </c>
      <c r="BX31" s="3460" t="e">
        <f t="shared" ca="1" si="12"/>
        <v>#DIV/0!</v>
      </c>
      <c r="BY31" s="3450" t="e">
        <f t="shared" ca="1" si="13"/>
        <v>#DIV/0!</v>
      </c>
      <c r="BZ31" s="3450" t="e">
        <f t="shared" ca="1" si="14"/>
        <v>#DIV/0!</v>
      </c>
      <c r="CB31" s="3450" t="e">
        <f t="shared" ca="1" si="15"/>
        <v>#DIV/0!</v>
      </c>
      <c r="CC31" s="3450" t="e">
        <f t="shared" ca="1" si="16"/>
        <v>#DIV/0!</v>
      </c>
      <c r="CD31" s="3450" t="s">
        <v>1394</v>
      </c>
      <c r="CE31" s="3450">
        <v>890</v>
      </c>
      <c r="CF31" s="3450">
        <f t="shared" si="85"/>
        <v>445</v>
      </c>
      <c r="CG31" s="3460" t="e">
        <f t="shared" ca="1" si="17"/>
        <v>#DIV/0!</v>
      </c>
      <c r="CH31" s="3450" t="e">
        <f t="shared" ca="1" si="18"/>
        <v>#DIV/0!</v>
      </c>
      <c r="CI31" s="3450" t="e">
        <f t="shared" ca="1" si="19"/>
        <v>#DIV/0!</v>
      </c>
      <c r="CK31" s="3450" t="e">
        <f t="shared" ca="1" si="20"/>
        <v>#DIV/0!</v>
      </c>
      <c r="CL31" s="3450" t="e">
        <f t="shared" ca="1" si="21"/>
        <v>#DIV/0!</v>
      </c>
      <c r="CM31" s="3450" t="s">
        <v>1394</v>
      </c>
      <c r="CN31" s="3450">
        <v>890</v>
      </c>
      <c r="CO31" s="3450">
        <f t="shared" si="86"/>
        <v>445</v>
      </c>
      <c r="CP31" s="3460" t="e">
        <f t="shared" ca="1" si="22"/>
        <v>#DIV/0!</v>
      </c>
      <c r="CQ31" s="3450" t="e">
        <f t="shared" ca="1" si="23"/>
        <v>#DIV/0!</v>
      </c>
      <c r="CR31" s="3450" t="e">
        <f t="shared" ca="1" si="24"/>
        <v>#DIV/0!</v>
      </c>
      <c r="CT31" s="3450" t="e">
        <f t="shared" ca="1" si="25"/>
        <v>#DIV/0!</v>
      </c>
      <c r="CU31" s="3450" t="e">
        <f t="shared" ca="1" si="26"/>
        <v>#DIV/0!</v>
      </c>
      <c r="CV31" s="3450" t="s">
        <v>1394</v>
      </c>
      <c r="CW31" s="3450">
        <v>890</v>
      </c>
      <c r="CX31" s="3450">
        <f t="shared" si="87"/>
        <v>445</v>
      </c>
      <c r="CY31" s="3460" t="e">
        <f t="shared" ca="1" si="27"/>
        <v>#DIV/0!</v>
      </c>
      <c r="CZ31" s="3450" t="e">
        <f t="shared" ca="1" si="28"/>
        <v>#DIV/0!</v>
      </c>
      <c r="DA31" s="3450" t="e">
        <f t="shared" ca="1" si="29"/>
        <v>#DIV/0!</v>
      </c>
      <c r="DC31" s="3450" t="e">
        <f t="shared" ca="1" si="30"/>
        <v>#DIV/0!</v>
      </c>
      <c r="DD31" s="3450" t="e">
        <f t="shared" ca="1" si="31"/>
        <v>#DIV/0!</v>
      </c>
      <c r="DE31" s="3450" t="s">
        <v>1394</v>
      </c>
      <c r="DF31" s="3450">
        <v>890</v>
      </c>
      <c r="DG31" s="3450">
        <f t="shared" si="88"/>
        <v>445</v>
      </c>
      <c r="DH31" s="3460" t="e">
        <f t="shared" ca="1" si="32"/>
        <v>#DIV/0!</v>
      </c>
      <c r="DI31" s="3450" t="e">
        <f t="shared" ca="1" si="33"/>
        <v>#DIV/0!</v>
      </c>
      <c r="DJ31" s="3450" t="e">
        <f t="shared" ca="1" si="34"/>
        <v>#DIV/0!</v>
      </c>
      <c r="DL31" s="3450" t="e">
        <f t="shared" ca="1" si="35"/>
        <v>#DIV/0!</v>
      </c>
      <c r="DM31" s="3450" t="e">
        <f t="shared" ca="1" si="36"/>
        <v>#DIV/0!</v>
      </c>
      <c r="DN31" s="3450" t="s">
        <v>1394</v>
      </c>
      <c r="DO31" s="3450">
        <v>890</v>
      </c>
      <c r="DP31" s="3450">
        <f t="shared" si="89"/>
        <v>445</v>
      </c>
      <c r="DQ31" s="3460" t="e">
        <f t="shared" ca="1" si="37"/>
        <v>#DIV/0!</v>
      </c>
      <c r="DR31" s="3450" t="e">
        <f t="shared" ca="1" si="38"/>
        <v>#DIV/0!</v>
      </c>
      <c r="DS31" s="3450" t="e">
        <f t="shared" ca="1" si="39"/>
        <v>#DIV/0!</v>
      </c>
      <c r="DU31" s="3450" t="e">
        <f t="shared" ca="1" si="40"/>
        <v>#DIV/0!</v>
      </c>
      <c r="DV31" s="3450" t="e">
        <f t="shared" ca="1" si="41"/>
        <v>#DIV/0!</v>
      </c>
      <c r="DW31" s="3450" t="s">
        <v>1394</v>
      </c>
      <c r="DX31" s="3450">
        <v>890</v>
      </c>
      <c r="DY31" s="3450">
        <f t="shared" si="90"/>
        <v>445</v>
      </c>
      <c r="DZ31" s="3460" t="e">
        <f t="shared" ca="1" si="42"/>
        <v>#DIV/0!</v>
      </c>
      <c r="EA31" s="3450" t="e">
        <f t="shared" ca="1" si="43"/>
        <v>#DIV/0!</v>
      </c>
      <c r="EB31" s="3450" t="e">
        <f t="shared" ca="1" si="44"/>
        <v>#DIV/0!</v>
      </c>
      <c r="ED31" s="3450" t="e">
        <f t="shared" ca="1" si="45"/>
        <v>#DIV/0!</v>
      </c>
      <c r="EE31" s="3450" t="e">
        <f t="shared" ca="1" si="46"/>
        <v>#DIV/0!</v>
      </c>
      <c r="EF31" s="3450" t="s">
        <v>1394</v>
      </c>
      <c r="EG31" s="3450">
        <v>890</v>
      </c>
      <c r="EH31" s="3450">
        <f t="shared" si="91"/>
        <v>445</v>
      </c>
      <c r="EI31" s="3460" t="e">
        <f t="shared" ca="1" si="47"/>
        <v>#DIV/0!</v>
      </c>
      <c r="EJ31" s="3450" t="e">
        <f t="shared" ca="1" si="48"/>
        <v>#DIV/0!</v>
      </c>
      <c r="EK31" s="3450" t="e">
        <f t="shared" ca="1" si="49"/>
        <v>#DIV/0!</v>
      </c>
      <c r="EM31" s="3450" t="e">
        <f t="shared" ca="1" si="50"/>
        <v>#DIV/0!</v>
      </c>
      <c r="EN31" s="3450" t="e">
        <f t="shared" ca="1" si="51"/>
        <v>#DIV/0!</v>
      </c>
      <c r="EO31" s="3450" t="s">
        <v>1394</v>
      </c>
      <c r="EP31" s="3450">
        <v>890</v>
      </c>
      <c r="EQ31" s="3450">
        <f t="shared" si="92"/>
        <v>445</v>
      </c>
      <c r="ER31" s="3460" t="e">
        <f t="shared" ca="1" si="52"/>
        <v>#DIV/0!</v>
      </c>
      <c r="ES31" s="3450" t="e">
        <f t="shared" ca="1" si="53"/>
        <v>#DIV/0!</v>
      </c>
      <c r="ET31" s="3450" t="e">
        <f t="shared" ca="1" si="54"/>
        <v>#DIV/0!</v>
      </c>
      <c r="EV31" s="3450" t="e">
        <f t="shared" ca="1" si="55"/>
        <v>#DIV/0!</v>
      </c>
      <c r="EW31" s="3450" t="e">
        <f t="shared" ca="1" si="56"/>
        <v>#DIV/0!</v>
      </c>
      <c r="EX31" s="3450" t="s">
        <v>1394</v>
      </c>
      <c r="EY31" s="3450">
        <v>890</v>
      </c>
      <c r="EZ31" s="3450">
        <f t="shared" si="93"/>
        <v>445</v>
      </c>
      <c r="FA31" s="3460" t="e">
        <f t="shared" ca="1" si="57"/>
        <v>#DIV/0!</v>
      </c>
      <c r="FB31" s="3450" t="e">
        <f t="shared" ca="1" si="58"/>
        <v>#DIV/0!</v>
      </c>
      <c r="FC31" s="3450" t="e">
        <f t="shared" ca="1" si="59"/>
        <v>#DIV/0!</v>
      </c>
      <c r="FE31" s="3450" t="e">
        <f t="shared" ca="1" si="60"/>
        <v>#DIV/0!</v>
      </c>
      <c r="FF31" s="3450" t="e">
        <f t="shared" ca="1" si="61"/>
        <v>#DIV/0!</v>
      </c>
      <c r="FG31" s="3450" t="s">
        <v>1394</v>
      </c>
      <c r="FH31" s="3450">
        <v>890</v>
      </c>
      <c r="FI31" s="3450">
        <f t="shared" si="94"/>
        <v>445</v>
      </c>
      <c r="FJ31" s="3460" t="e">
        <f t="shared" ca="1" si="62"/>
        <v>#DIV/0!</v>
      </c>
      <c r="FK31" s="3450" t="e">
        <f t="shared" ca="1" si="63"/>
        <v>#DIV/0!</v>
      </c>
      <c r="FL31" s="3450" t="e">
        <f t="shared" ca="1" si="64"/>
        <v>#DIV/0!</v>
      </c>
      <c r="FN31" s="3450" t="e">
        <f t="shared" ca="1" si="65"/>
        <v>#DIV/0!</v>
      </c>
      <c r="FO31" s="3450" t="e">
        <f t="shared" ca="1" si="66"/>
        <v>#DIV/0!</v>
      </c>
      <c r="FP31" s="3450" t="s">
        <v>1394</v>
      </c>
      <c r="FQ31" s="3450">
        <v>890</v>
      </c>
      <c r="FR31" s="3450">
        <f t="shared" si="95"/>
        <v>445</v>
      </c>
      <c r="FS31" s="3460" t="e">
        <f t="shared" ca="1" si="67"/>
        <v>#DIV/0!</v>
      </c>
      <c r="FT31" s="3450" t="e">
        <f t="shared" ca="1" si="68"/>
        <v>#DIV/0!</v>
      </c>
      <c r="FU31" s="3450" t="e">
        <f t="shared" ca="1" si="69"/>
        <v>#DIV/0!</v>
      </c>
      <c r="FW31" s="3450" t="e">
        <f t="shared" ca="1" si="70"/>
        <v>#VALUE!</v>
      </c>
      <c r="FX31" s="3450" t="e">
        <f t="shared" ca="1" si="71"/>
        <v>#VALUE!</v>
      </c>
      <c r="FY31" s="3450" t="s">
        <v>1394</v>
      </c>
      <c r="FZ31" s="3450">
        <v>890</v>
      </c>
      <c r="GA31" s="3450">
        <f t="shared" si="96"/>
        <v>445</v>
      </c>
      <c r="GB31" s="3460" t="e">
        <f t="shared" ca="1" si="72"/>
        <v>#VALUE!</v>
      </c>
      <c r="GC31" s="3450" t="e">
        <f t="shared" ca="1" si="73"/>
        <v>#VALUE!</v>
      </c>
      <c r="GD31" s="3450" t="e">
        <f t="shared" ca="1" si="74"/>
        <v>#VALUE!</v>
      </c>
    </row>
    <row r="32" spans="1:1022 1034:3063 3075:4090 4102:5117 5129:6144 6156:7158 7170:8185 8197:9212 9224:10239 10251:11253 11265:12280 12292:13307 13319:14334 14346:16375" ht="18" hidden="1" customHeight="1" outlineLevel="1">
      <c r="A32" s="3452" t="str">
        <f t="shared" ca="1" si="97"/>
        <v>None</v>
      </c>
      <c r="B32" s="3453">
        <f t="shared" ca="1" si="101"/>
        <v>0</v>
      </c>
      <c r="C32" s="1768"/>
      <c r="E32" s="320"/>
      <c r="F32" s="320"/>
      <c r="G32" s="320"/>
      <c r="H32" s="320"/>
      <c r="J32" s="2472" t="s">
        <v>2341</v>
      </c>
      <c r="K32" s="2473" t="s">
        <v>1417</v>
      </c>
      <c r="L32" s="2473" t="s">
        <v>2342</v>
      </c>
      <c r="Q32" s="3450">
        <f t="shared" ca="1" si="98"/>
        <v>2</v>
      </c>
      <c r="R32" s="3451">
        <f t="shared" si="103"/>
        <v>6</v>
      </c>
      <c r="S32" s="3450" t="str">
        <f t="shared" si="102"/>
        <v>MẶT SAU</v>
      </c>
      <c r="T32" s="3450">
        <f t="shared" si="99"/>
        <v>5</v>
      </c>
      <c r="U32" s="3450" t="str">
        <f t="shared" ca="1" si="100"/>
        <v/>
      </c>
      <c r="V32" s="3450"/>
      <c r="W32" s="3450">
        <v>5</v>
      </c>
      <c r="X32" s="3450" t="str">
        <f ca="1">IF(VLOOKUP(OFFSET($A$25,Z32,0),'Summary Data'!$C:$AV,45,0)&gt;0,"UV ink",Y32)</f>
        <v>Special Ink</v>
      </c>
      <c r="Y32" s="136" t="s">
        <v>1105</v>
      </c>
      <c r="AJ32" s="320"/>
      <c r="AK32" s="3450" t="str">
        <f t="shared" si="75"/>
        <v>WBBlấy</v>
      </c>
      <c r="AL32" s="3450" t="str">
        <f t="shared" si="76"/>
        <v>WBBtừ từ</v>
      </c>
      <c r="AM32" s="3450" t="s">
        <v>1394</v>
      </c>
      <c r="AN32" s="3450">
        <v>1090</v>
      </c>
      <c r="AO32" s="3450">
        <f t="shared" si="77"/>
        <v>545</v>
      </c>
      <c r="AP32" s="3460">
        <f t="shared" si="78"/>
        <v>1.7084639498432601</v>
      </c>
      <c r="AQ32" s="3450" t="str">
        <f t="shared" si="79"/>
        <v>từ từ</v>
      </c>
      <c r="AR32" s="3450" t="str">
        <f t="shared" si="80"/>
        <v>lấy</v>
      </c>
      <c r="BA32" s="3450" t="e">
        <f t="shared" ca="1" si="0"/>
        <v>#DIV/0!</v>
      </c>
      <c r="BB32" s="3450" t="e">
        <f t="shared" ca="1" si="1"/>
        <v>#DIV/0!</v>
      </c>
      <c r="BC32" s="3450" t="s">
        <v>1394</v>
      </c>
      <c r="BD32" s="3450">
        <v>1090</v>
      </c>
      <c r="BE32" s="3450">
        <f t="shared" si="82"/>
        <v>545</v>
      </c>
      <c r="BF32" s="3460" t="e">
        <f t="shared" ca="1" si="2"/>
        <v>#DIV/0!</v>
      </c>
      <c r="BG32" s="3450" t="e">
        <f t="shared" ca="1" si="3"/>
        <v>#DIV/0!</v>
      </c>
      <c r="BH32" s="3450" t="e">
        <f t="shared" ca="1" si="4"/>
        <v>#DIV/0!</v>
      </c>
      <c r="BJ32" s="3450" t="e">
        <f t="shared" ca="1" si="5"/>
        <v>#DIV/0!</v>
      </c>
      <c r="BK32" s="3450" t="e">
        <f t="shared" ca="1" si="6"/>
        <v>#DIV/0!</v>
      </c>
      <c r="BL32" s="3450" t="s">
        <v>1394</v>
      </c>
      <c r="BM32" s="3450">
        <v>1090</v>
      </c>
      <c r="BN32" s="3450">
        <f t="shared" si="83"/>
        <v>545</v>
      </c>
      <c r="BO32" s="3460" t="e">
        <f t="shared" ca="1" si="7"/>
        <v>#DIV/0!</v>
      </c>
      <c r="BP32" s="3450" t="e">
        <f t="shared" ca="1" si="8"/>
        <v>#DIV/0!</v>
      </c>
      <c r="BQ32" s="3450" t="e">
        <f t="shared" ca="1" si="9"/>
        <v>#DIV/0!</v>
      </c>
      <c r="BS32" s="3450" t="e">
        <f t="shared" ca="1" si="10"/>
        <v>#DIV/0!</v>
      </c>
      <c r="BT32" s="3450" t="e">
        <f t="shared" ca="1" si="11"/>
        <v>#DIV/0!</v>
      </c>
      <c r="BU32" s="3450" t="s">
        <v>1394</v>
      </c>
      <c r="BV32" s="3450">
        <v>1090</v>
      </c>
      <c r="BW32" s="3450">
        <f t="shared" si="84"/>
        <v>545</v>
      </c>
      <c r="BX32" s="3460" t="e">
        <f t="shared" ca="1" si="12"/>
        <v>#DIV/0!</v>
      </c>
      <c r="BY32" s="3450" t="e">
        <f t="shared" ca="1" si="13"/>
        <v>#DIV/0!</v>
      </c>
      <c r="BZ32" s="3450" t="e">
        <f t="shared" ca="1" si="14"/>
        <v>#DIV/0!</v>
      </c>
      <c r="CB32" s="3450" t="e">
        <f t="shared" ca="1" si="15"/>
        <v>#DIV/0!</v>
      </c>
      <c r="CC32" s="3450" t="e">
        <f t="shared" ca="1" si="16"/>
        <v>#DIV/0!</v>
      </c>
      <c r="CD32" s="3450" t="s">
        <v>1394</v>
      </c>
      <c r="CE32" s="3450">
        <v>1090</v>
      </c>
      <c r="CF32" s="3450">
        <f t="shared" si="85"/>
        <v>545</v>
      </c>
      <c r="CG32" s="3460" t="e">
        <f t="shared" ca="1" si="17"/>
        <v>#DIV/0!</v>
      </c>
      <c r="CH32" s="3450" t="e">
        <f t="shared" ca="1" si="18"/>
        <v>#DIV/0!</v>
      </c>
      <c r="CI32" s="3450" t="e">
        <f t="shared" ca="1" si="19"/>
        <v>#DIV/0!</v>
      </c>
      <c r="CK32" s="3450" t="e">
        <f t="shared" ca="1" si="20"/>
        <v>#DIV/0!</v>
      </c>
      <c r="CL32" s="3450" t="e">
        <f t="shared" ca="1" si="21"/>
        <v>#DIV/0!</v>
      </c>
      <c r="CM32" s="3450" t="s">
        <v>1394</v>
      </c>
      <c r="CN32" s="3450">
        <v>1090</v>
      </c>
      <c r="CO32" s="3450">
        <f t="shared" si="86"/>
        <v>545</v>
      </c>
      <c r="CP32" s="3460" t="e">
        <f t="shared" ca="1" si="22"/>
        <v>#DIV/0!</v>
      </c>
      <c r="CQ32" s="3450" t="e">
        <f t="shared" ca="1" si="23"/>
        <v>#DIV/0!</v>
      </c>
      <c r="CR32" s="3450" t="e">
        <f t="shared" ca="1" si="24"/>
        <v>#DIV/0!</v>
      </c>
      <c r="CT32" s="3450" t="e">
        <f t="shared" ca="1" si="25"/>
        <v>#DIV/0!</v>
      </c>
      <c r="CU32" s="3450" t="e">
        <f t="shared" ca="1" si="26"/>
        <v>#DIV/0!</v>
      </c>
      <c r="CV32" s="3450" t="s">
        <v>1394</v>
      </c>
      <c r="CW32" s="3450">
        <v>1090</v>
      </c>
      <c r="CX32" s="3450">
        <f t="shared" si="87"/>
        <v>545</v>
      </c>
      <c r="CY32" s="3460" t="e">
        <f t="shared" ca="1" si="27"/>
        <v>#DIV/0!</v>
      </c>
      <c r="CZ32" s="3450" t="e">
        <f t="shared" ca="1" si="28"/>
        <v>#DIV/0!</v>
      </c>
      <c r="DA32" s="3450" t="e">
        <f t="shared" ca="1" si="29"/>
        <v>#DIV/0!</v>
      </c>
      <c r="DC32" s="3450" t="e">
        <f t="shared" ca="1" si="30"/>
        <v>#DIV/0!</v>
      </c>
      <c r="DD32" s="3450" t="e">
        <f t="shared" ca="1" si="31"/>
        <v>#DIV/0!</v>
      </c>
      <c r="DE32" s="3450" t="s">
        <v>1394</v>
      </c>
      <c r="DF32" s="3450">
        <v>1090</v>
      </c>
      <c r="DG32" s="3450">
        <f t="shared" si="88"/>
        <v>545</v>
      </c>
      <c r="DH32" s="3460" t="e">
        <f t="shared" ca="1" si="32"/>
        <v>#DIV/0!</v>
      </c>
      <c r="DI32" s="3450" t="e">
        <f t="shared" ca="1" si="33"/>
        <v>#DIV/0!</v>
      </c>
      <c r="DJ32" s="3450" t="e">
        <f t="shared" ca="1" si="34"/>
        <v>#DIV/0!</v>
      </c>
      <c r="DL32" s="3450" t="e">
        <f t="shared" ca="1" si="35"/>
        <v>#DIV/0!</v>
      </c>
      <c r="DM32" s="3450" t="e">
        <f t="shared" ca="1" si="36"/>
        <v>#DIV/0!</v>
      </c>
      <c r="DN32" s="3450" t="s">
        <v>1394</v>
      </c>
      <c r="DO32" s="3450">
        <v>1090</v>
      </c>
      <c r="DP32" s="3450">
        <f t="shared" si="89"/>
        <v>545</v>
      </c>
      <c r="DQ32" s="3460" t="e">
        <f t="shared" ca="1" si="37"/>
        <v>#DIV/0!</v>
      </c>
      <c r="DR32" s="3450" t="e">
        <f t="shared" ca="1" si="38"/>
        <v>#DIV/0!</v>
      </c>
      <c r="DS32" s="3450" t="e">
        <f t="shared" ca="1" si="39"/>
        <v>#DIV/0!</v>
      </c>
      <c r="DU32" s="3450" t="e">
        <f t="shared" ca="1" si="40"/>
        <v>#DIV/0!</v>
      </c>
      <c r="DV32" s="3450" t="e">
        <f t="shared" ca="1" si="41"/>
        <v>#DIV/0!</v>
      </c>
      <c r="DW32" s="3450" t="s">
        <v>1394</v>
      </c>
      <c r="DX32" s="3450">
        <v>1090</v>
      </c>
      <c r="DY32" s="3450">
        <f t="shared" si="90"/>
        <v>545</v>
      </c>
      <c r="DZ32" s="3460" t="e">
        <f t="shared" ca="1" si="42"/>
        <v>#DIV/0!</v>
      </c>
      <c r="EA32" s="3450" t="e">
        <f t="shared" ca="1" si="43"/>
        <v>#DIV/0!</v>
      </c>
      <c r="EB32" s="3450" t="e">
        <f t="shared" ca="1" si="44"/>
        <v>#DIV/0!</v>
      </c>
      <c r="ED32" s="3450" t="e">
        <f t="shared" ca="1" si="45"/>
        <v>#DIV/0!</v>
      </c>
      <c r="EE32" s="3450" t="e">
        <f t="shared" ca="1" si="46"/>
        <v>#DIV/0!</v>
      </c>
      <c r="EF32" s="3450" t="s">
        <v>1394</v>
      </c>
      <c r="EG32" s="3450">
        <v>1090</v>
      </c>
      <c r="EH32" s="3450">
        <f t="shared" si="91"/>
        <v>545</v>
      </c>
      <c r="EI32" s="3460" t="e">
        <f t="shared" ca="1" si="47"/>
        <v>#DIV/0!</v>
      </c>
      <c r="EJ32" s="3450" t="e">
        <f t="shared" ca="1" si="48"/>
        <v>#DIV/0!</v>
      </c>
      <c r="EK32" s="3450" t="e">
        <f t="shared" ca="1" si="49"/>
        <v>#DIV/0!</v>
      </c>
      <c r="EM32" s="3450" t="e">
        <f t="shared" ca="1" si="50"/>
        <v>#DIV/0!</v>
      </c>
      <c r="EN32" s="3450" t="e">
        <f t="shared" ca="1" si="51"/>
        <v>#DIV/0!</v>
      </c>
      <c r="EO32" s="3450" t="s">
        <v>1394</v>
      </c>
      <c r="EP32" s="3450">
        <v>1090</v>
      </c>
      <c r="EQ32" s="3450">
        <f t="shared" si="92"/>
        <v>545</v>
      </c>
      <c r="ER32" s="3460" t="e">
        <f t="shared" ca="1" si="52"/>
        <v>#DIV/0!</v>
      </c>
      <c r="ES32" s="3450" t="e">
        <f t="shared" ca="1" si="53"/>
        <v>#DIV/0!</v>
      </c>
      <c r="ET32" s="3450" t="e">
        <f t="shared" ca="1" si="54"/>
        <v>#DIV/0!</v>
      </c>
      <c r="EV32" s="3450" t="e">
        <f t="shared" ca="1" si="55"/>
        <v>#DIV/0!</v>
      </c>
      <c r="EW32" s="3450" t="e">
        <f t="shared" ca="1" si="56"/>
        <v>#DIV/0!</v>
      </c>
      <c r="EX32" s="3450" t="s">
        <v>1394</v>
      </c>
      <c r="EY32" s="3450">
        <v>1090</v>
      </c>
      <c r="EZ32" s="3450">
        <f t="shared" si="93"/>
        <v>545</v>
      </c>
      <c r="FA32" s="3460" t="e">
        <f t="shared" ca="1" si="57"/>
        <v>#DIV/0!</v>
      </c>
      <c r="FB32" s="3450" t="e">
        <f t="shared" ca="1" si="58"/>
        <v>#DIV/0!</v>
      </c>
      <c r="FC32" s="3450" t="e">
        <f t="shared" ca="1" si="59"/>
        <v>#DIV/0!</v>
      </c>
      <c r="FE32" s="3450" t="e">
        <f t="shared" ca="1" si="60"/>
        <v>#DIV/0!</v>
      </c>
      <c r="FF32" s="3450" t="e">
        <f t="shared" ca="1" si="61"/>
        <v>#DIV/0!</v>
      </c>
      <c r="FG32" s="3450" t="s">
        <v>1394</v>
      </c>
      <c r="FH32" s="3450">
        <v>1090</v>
      </c>
      <c r="FI32" s="3450">
        <f t="shared" si="94"/>
        <v>545</v>
      </c>
      <c r="FJ32" s="3460" t="e">
        <f t="shared" ca="1" si="62"/>
        <v>#DIV/0!</v>
      </c>
      <c r="FK32" s="3450" t="e">
        <f t="shared" ca="1" si="63"/>
        <v>#DIV/0!</v>
      </c>
      <c r="FL32" s="3450" t="e">
        <f t="shared" ca="1" si="64"/>
        <v>#DIV/0!</v>
      </c>
      <c r="FN32" s="3450" t="e">
        <f t="shared" ca="1" si="65"/>
        <v>#DIV/0!</v>
      </c>
      <c r="FO32" s="3450" t="e">
        <f t="shared" ca="1" si="66"/>
        <v>#DIV/0!</v>
      </c>
      <c r="FP32" s="3450" t="s">
        <v>1394</v>
      </c>
      <c r="FQ32" s="3450">
        <v>1090</v>
      </c>
      <c r="FR32" s="3450">
        <f t="shared" si="95"/>
        <v>545</v>
      </c>
      <c r="FS32" s="3460" t="e">
        <f t="shared" ca="1" si="67"/>
        <v>#DIV/0!</v>
      </c>
      <c r="FT32" s="3450" t="e">
        <f t="shared" ca="1" si="68"/>
        <v>#DIV/0!</v>
      </c>
      <c r="FU32" s="3450" t="e">
        <f t="shared" ca="1" si="69"/>
        <v>#DIV/0!</v>
      </c>
      <c r="FW32" s="3450" t="e">
        <f t="shared" ca="1" si="70"/>
        <v>#VALUE!</v>
      </c>
      <c r="FX32" s="3450" t="e">
        <f t="shared" ca="1" si="71"/>
        <v>#VALUE!</v>
      </c>
      <c r="FY32" s="3450" t="s">
        <v>1394</v>
      </c>
      <c r="FZ32" s="3450">
        <v>1090</v>
      </c>
      <c r="GA32" s="3450">
        <f t="shared" si="96"/>
        <v>545</v>
      </c>
      <c r="GB32" s="3460" t="e">
        <f t="shared" ca="1" si="72"/>
        <v>#VALUE!</v>
      </c>
      <c r="GC32" s="3450" t="e">
        <f t="shared" ca="1" si="73"/>
        <v>#VALUE!</v>
      </c>
      <c r="GD32" s="3450" t="e">
        <f t="shared" ca="1" si="74"/>
        <v>#VALUE!</v>
      </c>
    </row>
    <row r="33" spans="1:186" ht="18" hidden="1" customHeight="1" outlineLevel="1">
      <c r="A33" s="3452" t="str">
        <f t="shared" ca="1" si="97"/>
        <v>None</v>
      </c>
      <c r="B33" s="3453">
        <f t="shared" ca="1" si="101"/>
        <v>0</v>
      </c>
      <c r="C33" s="1768"/>
      <c r="E33" s="146" t="s">
        <v>2055</v>
      </c>
      <c r="F33" s="919" t="str">
        <f>A25</f>
        <v>Box</v>
      </c>
      <c r="G33" s="320"/>
      <c r="H33" s="320"/>
      <c r="I33" s="320"/>
      <c r="J33" s="2474" t="str">
        <f>Data!$P$817</f>
        <v>LDPE HANWHA 955</v>
      </c>
      <c r="K33" s="2474" t="s">
        <v>106</v>
      </c>
      <c r="L33" s="2475"/>
      <c r="M33" s="1000"/>
      <c r="Q33" s="3450">
        <f t="shared" ca="1" si="98"/>
        <v>2</v>
      </c>
      <c r="R33" s="3451">
        <f t="shared" si="103"/>
        <v>7</v>
      </c>
      <c r="S33" s="3450" t="str">
        <f t="shared" si="102"/>
        <v>MẶT SAU</v>
      </c>
      <c r="T33" s="3450">
        <f t="shared" si="99"/>
        <v>6</v>
      </c>
      <c r="U33" s="3450" t="str">
        <f t="shared" ca="1" si="100"/>
        <v/>
      </c>
      <c r="V33" s="3450"/>
      <c r="W33" s="3450">
        <f>W32+1</f>
        <v>6</v>
      </c>
      <c r="X33" s="3450" t="str">
        <f ca="1">IF(VLOOKUP(OFFSET($A$25,Z33,0),'Summary Data'!$C:$AV,45,0)&gt;0,"UV ink",Y33)</f>
        <v>Special Ink</v>
      </c>
      <c r="Y33" s="136" t="s">
        <v>1105</v>
      </c>
      <c r="AJ33" s="320"/>
      <c r="AK33" s="3450" t="str">
        <f t="shared" si="75"/>
        <v>ivorylấy</v>
      </c>
      <c r="AL33" s="3450" t="str">
        <f t="shared" si="76"/>
        <v>ivorytừ từ</v>
      </c>
      <c r="AM33" s="3451" t="s">
        <v>3564</v>
      </c>
      <c r="AN33" s="3451">
        <v>650</v>
      </c>
      <c r="AO33" s="3450">
        <f t="shared" si="77"/>
        <v>325</v>
      </c>
      <c r="AP33" s="3461">
        <f t="shared" si="78"/>
        <v>1.0188087774294672</v>
      </c>
      <c r="AQ33" s="3451" t="str">
        <f t="shared" si="79"/>
        <v>từ từ</v>
      </c>
      <c r="AR33" s="3450" t="str">
        <f t="shared" si="80"/>
        <v>lấy</v>
      </c>
      <c r="BA33" s="3450" t="e">
        <f t="shared" ca="1" si="0"/>
        <v>#DIV/0!</v>
      </c>
      <c r="BB33" s="3450" t="e">
        <f t="shared" ca="1" si="1"/>
        <v>#DIV/0!</v>
      </c>
      <c r="BC33" s="3451" t="s">
        <v>3564</v>
      </c>
      <c r="BD33" s="3451">
        <v>650</v>
      </c>
      <c r="BE33" s="3450">
        <f t="shared" si="82"/>
        <v>325</v>
      </c>
      <c r="BF33" s="3461" t="e">
        <f t="shared" ca="1" si="2"/>
        <v>#DIV/0!</v>
      </c>
      <c r="BG33" s="3451" t="e">
        <f t="shared" ca="1" si="3"/>
        <v>#DIV/0!</v>
      </c>
      <c r="BH33" s="3450" t="e">
        <f t="shared" ca="1" si="4"/>
        <v>#DIV/0!</v>
      </c>
      <c r="BJ33" s="3450" t="e">
        <f t="shared" ca="1" si="5"/>
        <v>#DIV/0!</v>
      </c>
      <c r="BK33" s="3450" t="e">
        <f t="shared" ca="1" si="6"/>
        <v>#DIV/0!</v>
      </c>
      <c r="BL33" s="3451" t="s">
        <v>3564</v>
      </c>
      <c r="BM33" s="3451">
        <v>650</v>
      </c>
      <c r="BN33" s="3450">
        <f t="shared" si="83"/>
        <v>325</v>
      </c>
      <c r="BO33" s="3461" t="e">
        <f t="shared" ca="1" si="7"/>
        <v>#DIV/0!</v>
      </c>
      <c r="BP33" s="3451" t="e">
        <f t="shared" ca="1" si="8"/>
        <v>#DIV/0!</v>
      </c>
      <c r="BQ33" s="3450" t="e">
        <f t="shared" ca="1" si="9"/>
        <v>#DIV/0!</v>
      </c>
      <c r="BS33" s="3450" t="e">
        <f t="shared" ca="1" si="10"/>
        <v>#DIV/0!</v>
      </c>
      <c r="BT33" s="3450" t="e">
        <f t="shared" ca="1" si="11"/>
        <v>#DIV/0!</v>
      </c>
      <c r="BU33" s="3451" t="s">
        <v>3564</v>
      </c>
      <c r="BV33" s="3451">
        <v>650</v>
      </c>
      <c r="BW33" s="3450">
        <f t="shared" si="84"/>
        <v>325</v>
      </c>
      <c r="BX33" s="3461" t="e">
        <f t="shared" ca="1" si="12"/>
        <v>#DIV/0!</v>
      </c>
      <c r="BY33" s="3451" t="e">
        <f t="shared" ca="1" si="13"/>
        <v>#DIV/0!</v>
      </c>
      <c r="BZ33" s="3450" t="e">
        <f t="shared" ca="1" si="14"/>
        <v>#DIV/0!</v>
      </c>
      <c r="CB33" s="3450" t="e">
        <f t="shared" ca="1" si="15"/>
        <v>#DIV/0!</v>
      </c>
      <c r="CC33" s="3450" t="e">
        <f t="shared" ca="1" si="16"/>
        <v>#DIV/0!</v>
      </c>
      <c r="CD33" s="3451" t="s">
        <v>3564</v>
      </c>
      <c r="CE33" s="3451">
        <v>650</v>
      </c>
      <c r="CF33" s="3450">
        <f t="shared" si="85"/>
        <v>325</v>
      </c>
      <c r="CG33" s="3461" t="e">
        <f t="shared" ca="1" si="17"/>
        <v>#DIV/0!</v>
      </c>
      <c r="CH33" s="3451" t="e">
        <f t="shared" ca="1" si="18"/>
        <v>#DIV/0!</v>
      </c>
      <c r="CI33" s="3450" t="e">
        <f t="shared" ca="1" si="19"/>
        <v>#DIV/0!</v>
      </c>
      <c r="CK33" s="3450" t="e">
        <f t="shared" ca="1" si="20"/>
        <v>#DIV/0!</v>
      </c>
      <c r="CL33" s="3450" t="e">
        <f t="shared" ca="1" si="21"/>
        <v>#DIV/0!</v>
      </c>
      <c r="CM33" s="3451" t="s">
        <v>3564</v>
      </c>
      <c r="CN33" s="3451">
        <v>650</v>
      </c>
      <c r="CO33" s="3450">
        <f t="shared" si="86"/>
        <v>325</v>
      </c>
      <c r="CP33" s="3461" t="e">
        <f t="shared" ca="1" si="22"/>
        <v>#DIV/0!</v>
      </c>
      <c r="CQ33" s="3451" t="e">
        <f t="shared" ca="1" si="23"/>
        <v>#DIV/0!</v>
      </c>
      <c r="CR33" s="3450" t="e">
        <f t="shared" ca="1" si="24"/>
        <v>#DIV/0!</v>
      </c>
      <c r="CT33" s="3450" t="e">
        <f t="shared" ca="1" si="25"/>
        <v>#DIV/0!</v>
      </c>
      <c r="CU33" s="3450" t="e">
        <f t="shared" ca="1" si="26"/>
        <v>#DIV/0!</v>
      </c>
      <c r="CV33" s="3451" t="s">
        <v>3564</v>
      </c>
      <c r="CW33" s="3451">
        <v>650</v>
      </c>
      <c r="CX33" s="3450">
        <f t="shared" si="87"/>
        <v>325</v>
      </c>
      <c r="CY33" s="3461" t="e">
        <f t="shared" ca="1" si="27"/>
        <v>#DIV/0!</v>
      </c>
      <c r="CZ33" s="3451" t="e">
        <f t="shared" ca="1" si="28"/>
        <v>#DIV/0!</v>
      </c>
      <c r="DA33" s="3450" t="e">
        <f t="shared" ca="1" si="29"/>
        <v>#DIV/0!</v>
      </c>
      <c r="DC33" s="3450" t="e">
        <f t="shared" ca="1" si="30"/>
        <v>#DIV/0!</v>
      </c>
      <c r="DD33" s="3450" t="e">
        <f t="shared" ca="1" si="31"/>
        <v>#DIV/0!</v>
      </c>
      <c r="DE33" s="3451" t="s">
        <v>3564</v>
      </c>
      <c r="DF33" s="3451">
        <v>650</v>
      </c>
      <c r="DG33" s="3450">
        <f t="shared" si="88"/>
        <v>325</v>
      </c>
      <c r="DH33" s="3461" t="e">
        <f t="shared" ca="1" si="32"/>
        <v>#DIV/0!</v>
      </c>
      <c r="DI33" s="3451" t="e">
        <f t="shared" ca="1" si="33"/>
        <v>#DIV/0!</v>
      </c>
      <c r="DJ33" s="3450" t="e">
        <f t="shared" ca="1" si="34"/>
        <v>#DIV/0!</v>
      </c>
      <c r="DL33" s="3450" t="e">
        <f t="shared" ca="1" si="35"/>
        <v>#DIV/0!</v>
      </c>
      <c r="DM33" s="3450" t="e">
        <f t="shared" ca="1" si="36"/>
        <v>#DIV/0!</v>
      </c>
      <c r="DN33" s="3451" t="s">
        <v>3564</v>
      </c>
      <c r="DO33" s="3451">
        <v>650</v>
      </c>
      <c r="DP33" s="3450">
        <f t="shared" si="89"/>
        <v>325</v>
      </c>
      <c r="DQ33" s="3461" t="e">
        <f t="shared" ca="1" si="37"/>
        <v>#DIV/0!</v>
      </c>
      <c r="DR33" s="3451" t="e">
        <f t="shared" ca="1" si="38"/>
        <v>#DIV/0!</v>
      </c>
      <c r="DS33" s="3450" t="e">
        <f t="shared" ca="1" si="39"/>
        <v>#DIV/0!</v>
      </c>
      <c r="DU33" s="3450" t="e">
        <f t="shared" ca="1" si="40"/>
        <v>#DIV/0!</v>
      </c>
      <c r="DV33" s="3450" t="e">
        <f t="shared" ca="1" si="41"/>
        <v>#DIV/0!</v>
      </c>
      <c r="DW33" s="3451" t="s">
        <v>3564</v>
      </c>
      <c r="DX33" s="3451">
        <v>650</v>
      </c>
      <c r="DY33" s="3450">
        <f t="shared" si="90"/>
        <v>325</v>
      </c>
      <c r="DZ33" s="3461" t="e">
        <f t="shared" ca="1" si="42"/>
        <v>#DIV/0!</v>
      </c>
      <c r="EA33" s="3451" t="e">
        <f t="shared" ca="1" si="43"/>
        <v>#DIV/0!</v>
      </c>
      <c r="EB33" s="3450" t="e">
        <f t="shared" ca="1" si="44"/>
        <v>#DIV/0!</v>
      </c>
      <c r="ED33" s="3450" t="e">
        <f t="shared" ca="1" si="45"/>
        <v>#DIV/0!</v>
      </c>
      <c r="EE33" s="3450" t="e">
        <f t="shared" ca="1" si="46"/>
        <v>#DIV/0!</v>
      </c>
      <c r="EF33" s="3451" t="s">
        <v>3564</v>
      </c>
      <c r="EG33" s="3451">
        <v>650</v>
      </c>
      <c r="EH33" s="3450">
        <f t="shared" si="91"/>
        <v>325</v>
      </c>
      <c r="EI33" s="3461" t="e">
        <f t="shared" ca="1" si="47"/>
        <v>#DIV/0!</v>
      </c>
      <c r="EJ33" s="3451" t="e">
        <f t="shared" ca="1" si="48"/>
        <v>#DIV/0!</v>
      </c>
      <c r="EK33" s="3450" t="e">
        <f t="shared" ca="1" si="49"/>
        <v>#DIV/0!</v>
      </c>
      <c r="EM33" s="3450" t="e">
        <f t="shared" ca="1" si="50"/>
        <v>#DIV/0!</v>
      </c>
      <c r="EN33" s="3450" t="e">
        <f t="shared" ca="1" si="51"/>
        <v>#DIV/0!</v>
      </c>
      <c r="EO33" s="3451" t="s">
        <v>3564</v>
      </c>
      <c r="EP33" s="3451">
        <v>650</v>
      </c>
      <c r="EQ33" s="3450">
        <f t="shared" si="92"/>
        <v>325</v>
      </c>
      <c r="ER33" s="3461" t="e">
        <f t="shared" ca="1" si="52"/>
        <v>#DIV/0!</v>
      </c>
      <c r="ES33" s="3451" t="e">
        <f t="shared" ca="1" si="53"/>
        <v>#DIV/0!</v>
      </c>
      <c r="ET33" s="3450" t="e">
        <f t="shared" ca="1" si="54"/>
        <v>#DIV/0!</v>
      </c>
      <c r="EV33" s="3450" t="e">
        <f t="shared" ca="1" si="55"/>
        <v>#DIV/0!</v>
      </c>
      <c r="EW33" s="3450" t="e">
        <f t="shared" ca="1" si="56"/>
        <v>#DIV/0!</v>
      </c>
      <c r="EX33" s="3451" t="s">
        <v>3564</v>
      </c>
      <c r="EY33" s="3451">
        <v>650</v>
      </c>
      <c r="EZ33" s="3450">
        <f t="shared" si="93"/>
        <v>325</v>
      </c>
      <c r="FA33" s="3461" t="e">
        <f t="shared" ca="1" si="57"/>
        <v>#DIV/0!</v>
      </c>
      <c r="FB33" s="3451" t="e">
        <f t="shared" ca="1" si="58"/>
        <v>#DIV/0!</v>
      </c>
      <c r="FC33" s="3450" t="e">
        <f t="shared" ca="1" si="59"/>
        <v>#DIV/0!</v>
      </c>
      <c r="FE33" s="3450" t="e">
        <f t="shared" ca="1" si="60"/>
        <v>#DIV/0!</v>
      </c>
      <c r="FF33" s="3450" t="e">
        <f t="shared" ca="1" si="61"/>
        <v>#DIV/0!</v>
      </c>
      <c r="FG33" s="3451" t="s">
        <v>3564</v>
      </c>
      <c r="FH33" s="3451">
        <v>650</v>
      </c>
      <c r="FI33" s="3450">
        <f t="shared" si="94"/>
        <v>325</v>
      </c>
      <c r="FJ33" s="3461" t="e">
        <f t="shared" ca="1" si="62"/>
        <v>#DIV/0!</v>
      </c>
      <c r="FK33" s="3451" t="e">
        <f t="shared" ca="1" si="63"/>
        <v>#DIV/0!</v>
      </c>
      <c r="FL33" s="3450" t="e">
        <f t="shared" ca="1" si="64"/>
        <v>#DIV/0!</v>
      </c>
      <c r="FN33" s="3450" t="e">
        <f t="shared" ca="1" si="65"/>
        <v>#DIV/0!</v>
      </c>
      <c r="FO33" s="3450" t="e">
        <f t="shared" ca="1" si="66"/>
        <v>#DIV/0!</v>
      </c>
      <c r="FP33" s="3451" t="s">
        <v>3564</v>
      </c>
      <c r="FQ33" s="3451">
        <v>650</v>
      </c>
      <c r="FR33" s="3450">
        <f t="shared" si="95"/>
        <v>325</v>
      </c>
      <c r="FS33" s="3461" t="e">
        <f t="shared" ca="1" si="67"/>
        <v>#DIV/0!</v>
      </c>
      <c r="FT33" s="3451" t="e">
        <f t="shared" ca="1" si="68"/>
        <v>#DIV/0!</v>
      </c>
      <c r="FU33" s="3450" t="e">
        <f t="shared" ca="1" si="69"/>
        <v>#DIV/0!</v>
      </c>
      <c r="FW33" s="3450" t="e">
        <f t="shared" ca="1" si="70"/>
        <v>#VALUE!</v>
      </c>
      <c r="FX33" s="3450" t="e">
        <f t="shared" ca="1" si="71"/>
        <v>#VALUE!</v>
      </c>
      <c r="FY33" s="3451" t="s">
        <v>3564</v>
      </c>
      <c r="FZ33" s="3451">
        <v>650</v>
      </c>
      <c r="GA33" s="3450">
        <f t="shared" si="96"/>
        <v>325</v>
      </c>
      <c r="GB33" s="3461" t="e">
        <f t="shared" ca="1" si="72"/>
        <v>#VALUE!</v>
      </c>
      <c r="GC33" s="3451" t="e">
        <f t="shared" ca="1" si="73"/>
        <v>#VALUE!</v>
      </c>
      <c r="GD33" s="3450" t="e">
        <f t="shared" ca="1" si="74"/>
        <v>#VALUE!</v>
      </c>
    </row>
    <row r="34" spans="1:186" ht="18" hidden="1" customHeight="1" outlineLevel="1">
      <c r="A34" s="3452" t="str">
        <f t="shared" ca="1" si="97"/>
        <v>None</v>
      </c>
      <c r="B34" s="3453">
        <f t="shared" ca="1" si="101"/>
        <v>0</v>
      </c>
      <c r="C34" s="1768"/>
      <c r="E34" s="320"/>
      <c r="F34" s="320"/>
      <c r="G34" s="320"/>
      <c r="H34" s="320"/>
      <c r="I34" s="320"/>
      <c r="K34" s="950" t="s">
        <v>2343</v>
      </c>
      <c r="L34" s="833"/>
      <c r="M34" s="1000"/>
      <c r="Q34" s="3450">
        <f t="shared" ca="1" si="98"/>
        <v>2</v>
      </c>
      <c r="R34" s="3451">
        <f t="shared" si="103"/>
        <v>8</v>
      </c>
      <c r="S34" s="3450" t="str">
        <f t="shared" si="102"/>
        <v>MẶT SAU</v>
      </c>
      <c r="T34" s="3450">
        <f t="shared" si="99"/>
        <v>7</v>
      </c>
      <c r="U34" s="3450" t="str">
        <f t="shared" ca="1" si="100"/>
        <v/>
      </c>
      <c r="V34" s="3450"/>
      <c r="W34" s="3450">
        <f>W33+1</f>
        <v>7</v>
      </c>
      <c r="X34" s="3450" t="str">
        <f ca="1">IF(VLOOKUP(OFFSET($A$25,Z34,0),'Summary Data'!$C:$AV,45,0)&gt;0,"UV ink",Y34)</f>
        <v>Special Ink</v>
      </c>
      <c r="Y34" s="136" t="s">
        <v>1105</v>
      </c>
      <c r="AJ34" s="320"/>
      <c r="AK34" s="3450" t="str">
        <f t="shared" si="75"/>
        <v>ivorylấy</v>
      </c>
      <c r="AL34" s="3450" t="str">
        <f t="shared" si="76"/>
        <v>ivorytừ từ</v>
      </c>
      <c r="AM34" s="3451" t="s">
        <v>3564</v>
      </c>
      <c r="AN34" s="3451">
        <v>790</v>
      </c>
      <c r="AO34" s="3450">
        <f t="shared" si="77"/>
        <v>395</v>
      </c>
      <c r="AP34" s="3461">
        <f t="shared" si="78"/>
        <v>1.238244514106583</v>
      </c>
      <c r="AQ34" s="3451" t="str">
        <f t="shared" si="79"/>
        <v>từ từ</v>
      </c>
      <c r="AR34" s="3450" t="str">
        <f t="shared" si="80"/>
        <v>lấy</v>
      </c>
      <c r="BA34" s="3450" t="e">
        <f t="shared" ca="1" si="0"/>
        <v>#DIV/0!</v>
      </c>
      <c r="BB34" s="3450" t="e">
        <f t="shared" ca="1" si="1"/>
        <v>#DIV/0!</v>
      </c>
      <c r="BC34" s="3451" t="s">
        <v>3564</v>
      </c>
      <c r="BD34" s="3451">
        <v>790</v>
      </c>
      <c r="BE34" s="3450">
        <f t="shared" si="82"/>
        <v>395</v>
      </c>
      <c r="BF34" s="3461" t="e">
        <f t="shared" ca="1" si="2"/>
        <v>#DIV/0!</v>
      </c>
      <c r="BG34" s="3451" t="e">
        <f t="shared" ca="1" si="3"/>
        <v>#DIV/0!</v>
      </c>
      <c r="BH34" s="3450" t="e">
        <f t="shared" ca="1" si="4"/>
        <v>#DIV/0!</v>
      </c>
      <c r="BJ34" s="3450" t="e">
        <f t="shared" ca="1" si="5"/>
        <v>#DIV/0!</v>
      </c>
      <c r="BK34" s="3450" t="e">
        <f t="shared" ca="1" si="6"/>
        <v>#DIV/0!</v>
      </c>
      <c r="BL34" s="3451" t="s">
        <v>3564</v>
      </c>
      <c r="BM34" s="3451">
        <v>790</v>
      </c>
      <c r="BN34" s="3450">
        <f t="shared" si="83"/>
        <v>395</v>
      </c>
      <c r="BO34" s="3461" t="e">
        <f t="shared" ca="1" si="7"/>
        <v>#DIV/0!</v>
      </c>
      <c r="BP34" s="3451" t="e">
        <f t="shared" ca="1" si="8"/>
        <v>#DIV/0!</v>
      </c>
      <c r="BQ34" s="3450" t="e">
        <f t="shared" ca="1" si="9"/>
        <v>#DIV/0!</v>
      </c>
      <c r="BS34" s="3450" t="e">
        <f t="shared" ca="1" si="10"/>
        <v>#DIV/0!</v>
      </c>
      <c r="BT34" s="3450" t="e">
        <f t="shared" ca="1" si="11"/>
        <v>#DIV/0!</v>
      </c>
      <c r="BU34" s="3451" t="s">
        <v>3564</v>
      </c>
      <c r="BV34" s="3451">
        <v>790</v>
      </c>
      <c r="BW34" s="3450">
        <f t="shared" si="84"/>
        <v>395</v>
      </c>
      <c r="BX34" s="3461" t="e">
        <f t="shared" ca="1" si="12"/>
        <v>#DIV/0!</v>
      </c>
      <c r="BY34" s="3451" t="e">
        <f t="shared" ca="1" si="13"/>
        <v>#DIV/0!</v>
      </c>
      <c r="BZ34" s="3450" t="e">
        <f t="shared" ca="1" si="14"/>
        <v>#DIV/0!</v>
      </c>
      <c r="CB34" s="3450" t="e">
        <f t="shared" ca="1" si="15"/>
        <v>#DIV/0!</v>
      </c>
      <c r="CC34" s="3450" t="e">
        <f t="shared" ca="1" si="16"/>
        <v>#DIV/0!</v>
      </c>
      <c r="CD34" s="3451" t="s">
        <v>3564</v>
      </c>
      <c r="CE34" s="3451">
        <v>790</v>
      </c>
      <c r="CF34" s="3450">
        <f t="shared" si="85"/>
        <v>395</v>
      </c>
      <c r="CG34" s="3461" t="e">
        <f t="shared" ca="1" si="17"/>
        <v>#DIV/0!</v>
      </c>
      <c r="CH34" s="3451" t="e">
        <f t="shared" ca="1" si="18"/>
        <v>#DIV/0!</v>
      </c>
      <c r="CI34" s="3450" t="e">
        <f t="shared" ca="1" si="19"/>
        <v>#DIV/0!</v>
      </c>
      <c r="CK34" s="3450" t="e">
        <f t="shared" ca="1" si="20"/>
        <v>#DIV/0!</v>
      </c>
      <c r="CL34" s="3450" t="e">
        <f t="shared" ca="1" si="21"/>
        <v>#DIV/0!</v>
      </c>
      <c r="CM34" s="3451" t="s">
        <v>3564</v>
      </c>
      <c r="CN34" s="3451">
        <v>790</v>
      </c>
      <c r="CO34" s="3450">
        <f t="shared" si="86"/>
        <v>395</v>
      </c>
      <c r="CP34" s="3461" t="e">
        <f t="shared" ca="1" si="22"/>
        <v>#DIV/0!</v>
      </c>
      <c r="CQ34" s="3451" t="e">
        <f t="shared" ca="1" si="23"/>
        <v>#DIV/0!</v>
      </c>
      <c r="CR34" s="3450" t="e">
        <f t="shared" ca="1" si="24"/>
        <v>#DIV/0!</v>
      </c>
      <c r="CT34" s="3450" t="e">
        <f t="shared" ca="1" si="25"/>
        <v>#DIV/0!</v>
      </c>
      <c r="CU34" s="3450" t="e">
        <f t="shared" ca="1" si="26"/>
        <v>#DIV/0!</v>
      </c>
      <c r="CV34" s="3451" t="s">
        <v>3564</v>
      </c>
      <c r="CW34" s="3451">
        <v>790</v>
      </c>
      <c r="CX34" s="3450">
        <f t="shared" si="87"/>
        <v>395</v>
      </c>
      <c r="CY34" s="3461" t="e">
        <f t="shared" ca="1" si="27"/>
        <v>#DIV/0!</v>
      </c>
      <c r="CZ34" s="3451" t="e">
        <f t="shared" ca="1" si="28"/>
        <v>#DIV/0!</v>
      </c>
      <c r="DA34" s="3450" t="e">
        <f t="shared" ca="1" si="29"/>
        <v>#DIV/0!</v>
      </c>
      <c r="DC34" s="3450" t="e">
        <f t="shared" ca="1" si="30"/>
        <v>#DIV/0!</v>
      </c>
      <c r="DD34" s="3450" t="e">
        <f t="shared" ca="1" si="31"/>
        <v>#DIV/0!</v>
      </c>
      <c r="DE34" s="3451" t="s">
        <v>3564</v>
      </c>
      <c r="DF34" s="3451">
        <v>790</v>
      </c>
      <c r="DG34" s="3450">
        <f t="shared" si="88"/>
        <v>395</v>
      </c>
      <c r="DH34" s="3461" t="e">
        <f t="shared" ca="1" si="32"/>
        <v>#DIV/0!</v>
      </c>
      <c r="DI34" s="3451" t="e">
        <f t="shared" ca="1" si="33"/>
        <v>#DIV/0!</v>
      </c>
      <c r="DJ34" s="3450" t="e">
        <f t="shared" ca="1" si="34"/>
        <v>#DIV/0!</v>
      </c>
      <c r="DL34" s="3450" t="e">
        <f t="shared" ca="1" si="35"/>
        <v>#DIV/0!</v>
      </c>
      <c r="DM34" s="3450" t="e">
        <f t="shared" ca="1" si="36"/>
        <v>#DIV/0!</v>
      </c>
      <c r="DN34" s="3451" t="s">
        <v>3564</v>
      </c>
      <c r="DO34" s="3451">
        <v>790</v>
      </c>
      <c r="DP34" s="3450">
        <f t="shared" si="89"/>
        <v>395</v>
      </c>
      <c r="DQ34" s="3461" t="e">
        <f t="shared" ca="1" si="37"/>
        <v>#DIV/0!</v>
      </c>
      <c r="DR34" s="3451" t="e">
        <f t="shared" ca="1" si="38"/>
        <v>#DIV/0!</v>
      </c>
      <c r="DS34" s="3450" t="e">
        <f t="shared" ca="1" si="39"/>
        <v>#DIV/0!</v>
      </c>
      <c r="DU34" s="3450" t="e">
        <f t="shared" ca="1" si="40"/>
        <v>#DIV/0!</v>
      </c>
      <c r="DV34" s="3450" t="e">
        <f t="shared" ca="1" si="41"/>
        <v>#DIV/0!</v>
      </c>
      <c r="DW34" s="3451" t="s">
        <v>3564</v>
      </c>
      <c r="DX34" s="3451">
        <v>790</v>
      </c>
      <c r="DY34" s="3450">
        <f t="shared" si="90"/>
        <v>395</v>
      </c>
      <c r="DZ34" s="3461" t="e">
        <f t="shared" ca="1" si="42"/>
        <v>#DIV/0!</v>
      </c>
      <c r="EA34" s="3451" t="e">
        <f t="shared" ca="1" si="43"/>
        <v>#DIV/0!</v>
      </c>
      <c r="EB34" s="3450" t="e">
        <f t="shared" ca="1" si="44"/>
        <v>#DIV/0!</v>
      </c>
      <c r="ED34" s="3450" t="e">
        <f t="shared" ca="1" si="45"/>
        <v>#DIV/0!</v>
      </c>
      <c r="EE34" s="3450" t="e">
        <f t="shared" ca="1" si="46"/>
        <v>#DIV/0!</v>
      </c>
      <c r="EF34" s="3451" t="s">
        <v>3564</v>
      </c>
      <c r="EG34" s="3451">
        <v>790</v>
      </c>
      <c r="EH34" s="3450">
        <f t="shared" si="91"/>
        <v>395</v>
      </c>
      <c r="EI34" s="3461" t="e">
        <f t="shared" ca="1" si="47"/>
        <v>#DIV/0!</v>
      </c>
      <c r="EJ34" s="3451" t="e">
        <f t="shared" ca="1" si="48"/>
        <v>#DIV/0!</v>
      </c>
      <c r="EK34" s="3450" t="e">
        <f t="shared" ca="1" si="49"/>
        <v>#DIV/0!</v>
      </c>
      <c r="EM34" s="3450" t="e">
        <f t="shared" ca="1" si="50"/>
        <v>#DIV/0!</v>
      </c>
      <c r="EN34" s="3450" t="e">
        <f t="shared" ca="1" si="51"/>
        <v>#DIV/0!</v>
      </c>
      <c r="EO34" s="3451" t="s">
        <v>3564</v>
      </c>
      <c r="EP34" s="3451">
        <v>790</v>
      </c>
      <c r="EQ34" s="3450">
        <f t="shared" si="92"/>
        <v>395</v>
      </c>
      <c r="ER34" s="3461" t="e">
        <f t="shared" ca="1" si="52"/>
        <v>#DIV/0!</v>
      </c>
      <c r="ES34" s="3451" t="e">
        <f t="shared" ca="1" si="53"/>
        <v>#DIV/0!</v>
      </c>
      <c r="ET34" s="3450" t="e">
        <f t="shared" ca="1" si="54"/>
        <v>#DIV/0!</v>
      </c>
      <c r="EV34" s="3450" t="e">
        <f t="shared" ca="1" si="55"/>
        <v>#DIV/0!</v>
      </c>
      <c r="EW34" s="3450" t="e">
        <f t="shared" ca="1" si="56"/>
        <v>#DIV/0!</v>
      </c>
      <c r="EX34" s="3451" t="s">
        <v>3564</v>
      </c>
      <c r="EY34" s="3451">
        <v>790</v>
      </c>
      <c r="EZ34" s="3450">
        <f t="shared" si="93"/>
        <v>395</v>
      </c>
      <c r="FA34" s="3461" t="e">
        <f t="shared" ca="1" si="57"/>
        <v>#DIV/0!</v>
      </c>
      <c r="FB34" s="3451" t="e">
        <f t="shared" ca="1" si="58"/>
        <v>#DIV/0!</v>
      </c>
      <c r="FC34" s="3450" t="e">
        <f t="shared" ca="1" si="59"/>
        <v>#DIV/0!</v>
      </c>
      <c r="FE34" s="3450" t="e">
        <f t="shared" ca="1" si="60"/>
        <v>#DIV/0!</v>
      </c>
      <c r="FF34" s="3450" t="e">
        <f t="shared" ca="1" si="61"/>
        <v>#DIV/0!</v>
      </c>
      <c r="FG34" s="3451" t="s">
        <v>3564</v>
      </c>
      <c r="FH34" s="3451">
        <v>790</v>
      </c>
      <c r="FI34" s="3450">
        <f t="shared" si="94"/>
        <v>395</v>
      </c>
      <c r="FJ34" s="3461" t="e">
        <f t="shared" ca="1" si="62"/>
        <v>#DIV/0!</v>
      </c>
      <c r="FK34" s="3451" t="e">
        <f t="shared" ca="1" si="63"/>
        <v>#DIV/0!</v>
      </c>
      <c r="FL34" s="3450" t="e">
        <f t="shared" ca="1" si="64"/>
        <v>#DIV/0!</v>
      </c>
      <c r="FN34" s="3450" t="e">
        <f t="shared" ca="1" si="65"/>
        <v>#DIV/0!</v>
      </c>
      <c r="FO34" s="3450" t="e">
        <f t="shared" ca="1" si="66"/>
        <v>#DIV/0!</v>
      </c>
      <c r="FP34" s="3451" t="s">
        <v>3564</v>
      </c>
      <c r="FQ34" s="3451">
        <v>790</v>
      </c>
      <c r="FR34" s="3450">
        <f t="shared" si="95"/>
        <v>395</v>
      </c>
      <c r="FS34" s="3461" t="e">
        <f t="shared" ca="1" si="67"/>
        <v>#DIV/0!</v>
      </c>
      <c r="FT34" s="3451" t="e">
        <f t="shared" ca="1" si="68"/>
        <v>#DIV/0!</v>
      </c>
      <c r="FU34" s="3450" t="e">
        <f t="shared" ca="1" si="69"/>
        <v>#DIV/0!</v>
      </c>
      <c r="FW34" s="3450" t="e">
        <f t="shared" ca="1" si="70"/>
        <v>#VALUE!</v>
      </c>
      <c r="FX34" s="3450" t="e">
        <f t="shared" ca="1" si="71"/>
        <v>#VALUE!</v>
      </c>
      <c r="FY34" s="3451" t="s">
        <v>3564</v>
      </c>
      <c r="FZ34" s="3451">
        <v>790</v>
      </c>
      <c r="GA34" s="3450">
        <f t="shared" si="96"/>
        <v>395</v>
      </c>
      <c r="GB34" s="3461" t="e">
        <f t="shared" ca="1" si="72"/>
        <v>#VALUE!</v>
      </c>
      <c r="GC34" s="3451" t="e">
        <f t="shared" ca="1" si="73"/>
        <v>#VALUE!</v>
      </c>
      <c r="GD34" s="3450" t="e">
        <f t="shared" ca="1" si="74"/>
        <v>#VALUE!</v>
      </c>
    </row>
    <row r="35" spans="1:186" ht="18" hidden="1" customHeight="1" outlineLevel="1">
      <c r="A35" s="3452" t="str">
        <f t="shared" ca="1" si="97"/>
        <v>None</v>
      </c>
      <c r="B35" s="3453">
        <f t="shared" ca="1" si="101"/>
        <v>0</v>
      </c>
      <c r="C35" s="1768"/>
      <c r="D35" s="3573"/>
      <c r="E35" s="320"/>
      <c r="F35" s="320"/>
      <c r="G35" s="320"/>
      <c r="H35" s="320"/>
      <c r="I35" s="320"/>
      <c r="J35" s="1579"/>
      <c r="K35" s="950" t="s">
        <v>2393</v>
      </c>
      <c r="L35" s="833"/>
      <c r="M35" s="1000"/>
      <c r="Q35" s="3450">
        <f t="shared" ca="1" si="98"/>
        <v>2</v>
      </c>
      <c r="R35" s="3451">
        <f t="shared" si="103"/>
        <v>9</v>
      </c>
      <c r="S35" s="3450" t="str">
        <f t="shared" si="102"/>
        <v>MẶT SAU</v>
      </c>
      <c r="T35" s="3450">
        <f t="shared" si="99"/>
        <v>8</v>
      </c>
      <c r="U35" s="3450" t="str">
        <f t="shared" ca="1" si="100"/>
        <v/>
      </c>
      <c r="V35" s="3450"/>
      <c r="W35" s="3450">
        <f>W34+1</f>
        <v>8</v>
      </c>
      <c r="X35" s="3450" t="str">
        <f ca="1">IF(VLOOKUP(OFFSET($A$25,Z35,0),'Summary Data'!$C:$AV,45,0)&gt;0,"UV ink",Y35)</f>
        <v>Special Ink</v>
      </c>
      <c r="Y35" s="136" t="s">
        <v>1105</v>
      </c>
      <c r="AJ35" s="320"/>
      <c r="AK35" s="3450" t="str">
        <f t="shared" si="75"/>
        <v>ivorylấy</v>
      </c>
      <c r="AL35" s="3450" t="str">
        <f t="shared" si="76"/>
        <v>ivorytừ từ</v>
      </c>
      <c r="AM35" s="3451" t="s">
        <v>3564</v>
      </c>
      <c r="AN35" s="3451">
        <v>890</v>
      </c>
      <c r="AO35" s="3450">
        <f t="shared" si="77"/>
        <v>445</v>
      </c>
      <c r="AP35" s="3461">
        <f t="shared" si="78"/>
        <v>1.3949843260188088</v>
      </c>
      <c r="AQ35" s="3451" t="str">
        <f t="shared" si="79"/>
        <v>từ từ</v>
      </c>
      <c r="AR35" s="3450" t="str">
        <f t="shared" si="80"/>
        <v>lấy</v>
      </c>
      <c r="BA35" s="3450" t="e">
        <f t="shared" ca="1" si="0"/>
        <v>#DIV/0!</v>
      </c>
      <c r="BB35" s="3450" t="e">
        <f t="shared" ca="1" si="1"/>
        <v>#DIV/0!</v>
      </c>
      <c r="BC35" s="3451" t="s">
        <v>3564</v>
      </c>
      <c r="BD35" s="3451">
        <v>890</v>
      </c>
      <c r="BE35" s="3450">
        <f t="shared" si="82"/>
        <v>445</v>
      </c>
      <c r="BF35" s="3461" t="e">
        <f t="shared" ca="1" si="2"/>
        <v>#DIV/0!</v>
      </c>
      <c r="BG35" s="3451" t="e">
        <f t="shared" ca="1" si="3"/>
        <v>#DIV/0!</v>
      </c>
      <c r="BH35" s="3450" t="e">
        <f t="shared" ca="1" si="4"/>
        <v>#DIV/0!</v>
      </c>
      <c r="BJ35" s="3450" t="e">
        <f t="shared" ca="1" si="5"/>
        <v>#DIV/0!</v>
      </c>
      <c r="BK35" s="3450" t="e">
        <f t="shared" ca="1" si="6"/>
        <v>#DIV/0!</v>
      </c>
      <c r="BL35" s="3451" t="s">
        <v>3564</v>
      </c>
      <c r="BM35" s="3451">
        <v>890</v>
      </c>
      <c r="BN35" s="3450">
        <f t="shared" si="83"/>
        <v>445</v>
      </c>
      <c r="BO35" s="3461" t="e">
        <f t="shared" ca="1" si="7"/>
        <v>#DIV/0!</v>
      </c>
      <c r="BP35" s="3451" t="e">
        <f t="shared" ca="1" si="8"/>
        <v>#DIV/0!</v>
      </c>
      <c r="BQ35" s="3450" t="e">
        <f t="shared" ca="1" si="9"/>
        <v>#DIV/0!</v>
      </c>
      <c r="BS35" s="3450" t="e">
        <f t="shared" ca="1" si="10"/>
        <v>#DIV/0!</v>
      </c>
      <c r="BT35" s="3450" t="e">
        <f t="shared" ca="1" si="11"/>
        <v>#DIV/0!</v>
      </c>
      <c r="BU35" s="3451" t="s">
        <v>3564</v>
      </c>
      <c r="BV35" s="3451">
        <v>890</v>
      </c>
      <c r="BW35" s="3450">
        <f t="shared" si="84"/>
        <v>445</v>
      </c>
      <c r="BX35" s="3461" t="e">
        <f t="shared" ca="1" si="12"/>
        <v>#DIV/0!</v>
      </c>
      <c r="BY35" s="3451" t="e">
        <f t="shared" ca="1" si="13"/>
        <v>#DIV/0!</v>
      </c>
      <c r="BZ35" s="3450" t="e">
        <f t="shared" ca="1" si="14"/>
        <v>#DIV/0!</v>
      </c>
      <c r="CB35" s="3450" t="e">
        <f t="shared" ca="1" si="15"/>
        <v>#DIV/0!</v>
      </c>
      <c r="CC35" s="3450" t="e">
        <f t="shared" ca="1" si="16"/>
        <v>#DIV/0!</v>
      </c>
      <c r="CD35" s="3451" t="s">
        <v>3564</v>
      </c>
      <c r="CE35" s="3451">
        <v>890</v>
      </c>
      <c r="CF35" s="3450">
        <f t="shared" si="85"/>
        <v>445</v>
      </c>
      <c r="CG35" s="3461" t="e">
        <f t="shared" ca="1" si="17"/>
        <v>#DIV/0!</v>
      </c>
      <c r="CH35" s="3451" t="e">
        <f t="shared" ca="1" si="18"/>
        <v>#DIV/0!</v>
      </c>
      <c r="CI35" s="3450" t="e">
        <f t="shared" ca="1" si="19"/>
        <v>#DIV/0!</v>
      </c>
      <c r="CK35" s="3450" t="e">
        <f t="shared" ca="1" si="20"/>
        <v>#DIV/0!</v>
      </c>
      <c r="CL35" s="3450" t="e">
        <f t="shared" ca="1" si="21"/>
        <v>#DIV/0!</v>
      </c>
      <c r="CM35" s="3451" t="s">
        <v>3564</v>
      </c>
      <c r="CN35" s="3451">
        <v>890</v>
      </c>
      <c r="CO35" s="3450">
        <f t="shared" si="86"/>
        <v>445</v>
      </c>
      <c r="CP35" s="3461" t="e">
        <f t="shared" ca="1" si="22"/>
        <v>#DIV/0!</v>
      </c>
      <c r="CQ35" s="3451" t="e">
        <f t="shared" ca="1" si="23"/>
        <v>#DIV/0!</v>
      </c>
      <c r="CR35" s="3450" t="e">
        <f t="shared" ca="1" si="24"/>
        <v>#DIV/0!</v>
      </c>
      <c r="CT35" s="3450" t="e">
        <f t="shared" ca="1" si="25"/>
        <v>#DIV/0!</v>
      </c>
      <c r="CU35" s="3450" t="e">
        <f t="shared" ca="1" si="26"/>
        <v>#DIV/0!</v>
      </c>
      <c r="CV35" s="3451" t="s">
        <v>3564</v>
      </c>
      <c r="CW35" s="3451">
        <v>890</v>
      </c>
      <c r="CX35" s="3450">
        <f t="shared" si="87"/>
        <v>445</v>
      </c>
      <c r="CY35" s="3461" t="e">
        <f t="shared" ca="1" si="27"/>
        <v>#DIV/0!</v>
      </c>
      <c r="CZ35" s="3451" t="e">
        <f t="shared" ca="1" si="28"/>
        <v>#DIV/0!</v>
      </c>
      <c r="DA35" s="3450" t="e">
        <f t="shared" ca="1" si="29"/>
        <v>#DIV/0!</v>
      </c>
      <c r="DC35" s="3450" t="e">
        <f t="shared" ca="1" si="30"/>
        <v>#DIV/0!</v>
      </c>
      <c r="DD35" s="3450" t="e">
        <f t="shared" ca="1" si="31"/>
        <v>#DIV/0!</v>
      </c>
      <c r="DE35" s="3451" t="s">
        <v>3564</v>
      </c>
      <c r="DF35" s="3451">
        <v>890</v>
      </c>
      <c r="DG35" s="3450">
        <f t="shared" si="88"/>
        <v>445</v>
      </c>
      <c r="DH35" s="3461" t="e">
        <f t="shared" ca="1" si="32"/>
        <v>#DIV/0!</v>
      </c>
      <c r="DI35" s="3451" t="e">
        <f t="shared" ca="1" si="33"/>
        <v>#DIV/0!</v>
      </c>
      <c r="DJ35" s="3450" t="e">
        <f t="shared" ca="1" si="34"/>
        <v>#DIV/0!</v>
      </c>
      <c r="DL35" s="3450" t="e">
        <f t="shared" ca="1" si="35"/>
        <v>#DIV/0!</v>
      </c>
      <c r="DM35" s="3450" t="e">
        <f t="shared" ca="1" si="36"/>
        <v>#DIV/0!</v>
      </c>
      <c r="DN35" s="3451" t="s">
        <v>3564</v>
      </c>
      <c r="DO35" s="3451">
        <v>890</v>
      </c>
      <c r="DP35" s="3450">
        <f t="shared" si="89"/>
        <v>445</v>
      </c>
      <c r="DQ35" s="3461" t="e">
        <f t="shared" ca="1" si="37"/>
        <v>#DIV/0!</v>
      </c>
      <c r="DR35" s="3451" t="e">
        <f t="shared" ca="1" si="38"/>
        <v>#DIV/0!</v>
      </c>
      <c r="DS35" s="3450" t="e">
        <f t="shared" ca="1" si="39"/>
        <v>#DIV/0!</v>
      </c>
      <c r="DU35" s="3450" t="e">
        <f t="shared" ca="1" si="40"/>
        <v>#DIV/0!</v>
      </c>
      <c r="DV35" s="3450" t="e">
        <f t="shared" ca="1" si="41"/>
        <v>#DIV/0!</v>
      </c>
      <c r="DW35" s="3451" t="s">
        <v>3564</v>
      </c>
      <c r="DX35" s="3451">
        <v>890</v>
      </c>
      <c r="DY35" s="3450">
        <f t="shared" si="90"/>
        <v>445</v>
      </c>
      <c r="DZ35" s="3461" t="e">
        <f t="shared" ca="1" si="42"/>
        <v>#DIV/0!</v>
      </c>
      <c r="EA35" s="3451" t="e">
        <f t="shared" ca="1" si="43"/>
        <v>#DIV/0!</v>
      </c>
      <c r="EB35" s="3450" t="e">
        <f t="shared" ca="1" si="44"/>
        <v>#DIV/0!</v>
      </c>
      <c r="ED35" s="3450" t="e">
        <f t="shared" ca="1" si="45"/>
        <v>#DIV/0!</v>
      </c>
      <c r="EE35" s="3450" t="e">
        <f t="shared" ca="1" si="46"/>
        <v>#DIV/0!</v>
      </c>
      <c r="EF35" s="3451" t="s">
        <v>3564</v>
      </c>
      <c r="EG35" s="3451">
        <v>890</v>
      </c>
      <c r="EH35" s="3450">
        <f t="shared" si="91"/>
        <v>445</v>
      </c>
      <c r="EI35" s="3461" t="e">
        <f t="shared" ca="1" si="47"/>
        <v>#DIV/0!</v>
      </c>
      <c r="EJ35" s="3451" t="e">
        <f t="shared" ca="1" si="48"/>
        <v>#DIV/0!</v>
      </c>
      <c r="EK35" s="3450" t="e">
        <f t="shared" ca="1" si="49"/>
        <v>#DIV/0!</v>
      </c>
      <c r="EM35" s="3450" t="e">
        <f t="shared" ca="1" si="50"/>
        <v>#DIV/0!</v>
      </c>
      <c r="EN35" s="3450" t="e">
        <f t="shared" ca="1" si="51"/>
        <v>#DIV/0!</v>
      </c>
      <c r="EO35" s="3451" t="s">
        <v>3564</v>
      </c>
      <c r="EP35" s="3451">
        <v>890</v>
      </c>
      <c r="EQ35" s="3450">
        <f t="shared" si="92"/>
        <v>445</v>
      </c>
      <c r="ER35" s="3461" t="e">
        <f t="shared" ca="1" si="52"/>
        <v>#DIV/0!</v>
      </c>
      <c r="ES35" s="3451" t="e">
        <f t="shared" ca="1" si="53"/>
        <v>#DIV/0!</v>
      </c>
      <c r="ET35" s="3450" t="e">
        <f t="shared" ca="1" si="54"/>
        <v>#DIV/0!</v>
      </c>
      <c r="EV35" s="3450" t="e">
        <f t="shared" ca="1" si="55"/>
        <v>#DIV/0!</v>
      </c>
      <c r="EW35" s="3450" t="e">
        <f t="shared" ca="1" si="56"/>
        <v>#DIV/0!</v>
      </c>
      <c r="EX35" s="3451" t="s">
        <v>3564</v>
      </c>
      <c r="EY35" s="3451">
        <v>890</v>
      </c>
      <c r="EZ35" s="3450">
        <f t="shared" si="93"/>
        <v>445</v>
      </c>
      <c r="FA35" s="3461" t="e">
        <f t="shared" ca="1" si="57"/>
        <v>#DIV/0!</v>
      </c>
      <c r="FB35" s="3451" t="e">
        <f t="shared" ca="1" si="58"/>
        <v>#DIV/0!</v>
      </c>
      <c r="FC35" s="3450" t="e">
        <f t="shared" ca="1" si="59"/>
        <v>#DIV/0!</v>
      </c>
      <c r="FE35" s="3450" t="e">
        <f t="shared" ca="1" si="60"/>
        <v>#DIV/0!</v>
      </c>
      <c r="FF35" s="3450" t="e">
        <f t="shared" ca="1" si="61"/>
        <v>#DIV/0!</v>
      </c>
      <c r="FG35" s="3451" t="s">
        <v>3564</v>
      </c>
      <c r="FH35" s="3451">
        <v>890</v>
      </c>
      <c r="FI35" s="3450">
        <f t="shared" si="94"/>
        <v>445</v>
      </c>
      <c r="FJ35" s="3461" t="e">
        <f t="shared" ca="1" si="62"/>
        <v>#DIV/0!</v>
      </c>
      <c r="FK35" s="3451" t="e">
        <f t="shared" ca="1" si="63"/>
        <v>#DIV/0!</v>
      </c>
      <c r="FL35" s="3450" t="e">
        <f t="shared" ca="1" si="64"/>
        <v>#DIV/0!</v>
      </c>
      <c r="FN35" s="3450" t="e">
        <f t="shared" ca="1" si="65"/>
        <v>#DIV/0!</v>
      </c>
      <c r="FO35" s="3450" t="e">
        <f t="shared" ca="1" si="66"/>
        <v>#DIV/0!</v>
      </c>
      <c r="FP35" s="3451" t="s">
        <v>3564</v>
      </c>
      <c r="FQ35" s="3451">
        <v>890</v>
      </c>
      <c r="FR35" s="3450">
        <f t="shared" si="95"/>
        <v>445</v>
      </c>
      <c r="FS35" s="3461" t="e">
        <f t="shared" ca="1" si="67"/>
        <v>#DIV/0!</v>
      </c>
      <c r="FT35" s="3451" t="e">
        <f t="shared" ca="1" si="68"/>
        <v>#DIV/0!</v>
      </c>
      <c r="FU35" s="3450" t="e">
        <f t="shared" ca="1" si="69"/>
        <v>#DIV/0!</v>
      </c>
      <c r="FW35" s="3450" t="e">
        <f t="shared" ca="1" si="70"/>
        <v>#VALUE!</v>
      </c>
      <c r="FX35" s="3450" t="e">
        <f t="shared" ca="1" si="71"/>
        <v>#VALUE!</v>
      </c>
      <c r="FY35" s="3451" t="s">
        <v>3564</v>
      </c>
      <c r="FZ35" s="3451">
        <v>890</v>
      </c>
      <c r="GA35" s="3450">
        <f t="shared" si="96"/>
        <v>445</v>
      </c>
      <c r="GB35" s="3461" t="e">
        <f t="shared" ca="1" si="72"/>
        <v>#VALUE!</v>
      </c>
      <c r="GC35" s="3451" t="e">
        <f t="shared" ca="1" si="73"/>
        <v>#VALUE!</v>
      </c>
      <c r="GD35" s="3450" t="e">
        <f t="shared" ca="1" si="74"/>
        <v>#VALUE!</v>
      </c>
    </row>
    <row r="36" spans="1:186" ht="18" hidden="1" customHeight="1" outlineLevel="1">
      <c r="A36" s="3452" t="str">
        <f t="shared" ca="1" si="97"/>
        <v>None</v>
      </c>
      <c r="B36" s="3453">
        <f t="shared" ca="1" si="101"/>
        <v>0</v>
      </c>
      <c r="C36" s="1768"/>
      <c r="E36" s="320"/>
      <c r="F36" s="320"/>
      <c r="G36" s="320"/>
      <c r="H36" s="320"/>
      <c r="I36" s="320"/>
      <c r="J36" s="1579" t="str">
        <f>VLOOKUP(J27,Data!$AN$943:$AO$959,2,0)</f>
        <v>No</v>
      </c>
      <c r="K36" s="991"/>
      <c r="L36" s="833"/>
      <c r="M36" s="1000"/>
      <c r="Q36" s="3450">
        <f t="shared" ca="1" si="98"/>
        <v>2</v>
      </c>
      <c r="R36" s="3451">
        <f t="shared" si="103"/>
        <v>10</v>
      </c>
      <c r="S36" s="3450" t="str">
        <f t="shared" si="102"/>
        <v>MẶT SAU</v>
      </c>
      <c r="T36" s="3450">
        <f t="shared" si="99"/>
        <v>9</v>
      </c>
      <c r="U36" s="3450" t="str">
        <f t="shared" ca="1" si="100"/>
        <v/>
      </c>
      <c r="V36" s="3450"/>
      <c r="W36" s="3450">
        <f>W35+1</f>
        <v>9</v>
      </c>
      <c r="X36" s="3450" t="str">
        <f ca="1">IF(VLOOKUP(OFFSET($A$25,Z36,0),'Summary Data'!$C:$AV,45,0)&gt;0,"UV ink",Y36)</f>
        <v>Special Ink</v>
      </c>
      <c r="Y36" s="136" t="s">
        <v>1105</v>
      </c>
      <c r="AJ36" s="320"/>
      <c r="AK36" s="3450" t="str">
        <f t="shared" si="75"/>
        <v>woodfreelấy</v>
      </c>
      <c r="AL36" s="3450" t="str">
        <f t="shared" si="76"/>
        <v>woodfreetừ từ</v>
      </c>
      <c r="AM36" s="3450" t="s">
        <v>3565</v>
      </c>
      <c r="AN36" s="3450">
        <v>650</v>
      </c>
      <c r="AO36" s="3450">
        <f t="shared" si="77"/>
        <v>325</v>
      </c>
      <c r="AP36" s="3460">
        <f t="shared" si="78"/>
        <v>1.0188087774294672</v>
      </c>
      <c r="AQ36" s="3450" t="str">
        <f t="shared" si="79"/>
        <v>từ từ</v>
      </c>
      <c r="AR36" s="3450" t="str">
        <f t="shared" si="80"/>
        <v>lấy</v>
      </c>
      <c r="BA36" s="3450" t="e">
        <f t="shared" ca="1" si="0"/>
        <v>#DIV/0!</v>
      </c>
      <c r="BB36" s="3450" t="e">
        <f t="shared" ca="1" si="1"/>
        <v>#DIV/0!</v>
      </c>
      <c r="BC36" s="3450" t="s">
        <v>3565</v>
      </c>
      <c r="BD36" s="3450">
        <v>650</v>
      </c>
      <c r="BE36" s="3450">
        <f t="shared" si="82"/>
        <v>325</v>
      </c>
      <c r="BF36" s="3460" t="e">
        <f t="shared" ca="1" si="2"/>
        <v>#DIV/0!</v>
      </c>
      <c r="BG36" s="3450" t="e">
        <f t="shared" ca="1" si="3"/>
        <v>#DIV/0!</v>
      </c>
      <c r="BH36" s="3450" t="e">
        <f t="shared" ca="1" si="4"/>
        <v>#DIV/0!</v>
      </c>
      <c r="BJ36" s="3450" t="e">
        <f t="shared" ca="1" si="5"/>
        <v>#DIV/0!</v>
      </c>
      <c r="BK36" s="3450" t="e">
        <f t="shared" ca="1" si="6"/>
        <v>#DIV/0!</v>
      </c>
      <c r="BL36" s="3450" t="s">
        <v>3565</v>
      </c>
      <c r="BM36" s="3450">
        <v>650</v>
      </c>
      <c r="BN36" s="3450">
        <f t="shared" si="83"/>
        <v>325</v>
      </c>
      <c r="BO36" s="3460" t="e">
        <f t="shared" ca="1" si="7"/>
        <v>#DIV/0!</v>
      </c>
      <c r="BP36" s="3450" t="e">
        <f t="shared" ca="1" si="8"/>
        <v>#DIV/0!</v>
      </c>
      <c r="BQ36" s="3450" t="e">
        <f t="shared" ca="1" si="9"/>
        <v>#DIV/0!</v>
      </c>
      <c r="BS36" s="3450" t="e">
        <f t="shared" ca="1" si="10"/>
        <v>#DIV/0!</v>
      </c>
      <c r="BT36" s="3450" t="e">
        <f t="shared" ca="1" si="11"/>
        <v>#DIV/0!</v>
      </c>
      <c r="BU36" s="3450" t="s">
        <v>3565</v>
      </c>
      <c r="BV36" s="3450">
        <v>650</v>
      </c>
      <c r="BW36" s="3450">
        <f t="shared" si="84"/>
        <v>325</v>
      </c>
      <c r="BX36" s="3460" t="e">
        <f t="shared" ca="1" si="12"/>
        <v>#DIV/0!</v>
      </c>
      <c r="BY36" s="3450" t="e">
        <f t="shared" ca="1" si="13"/>
        <v>#DIV/0!</v>
      </c>
      <c r="BZ36" s="3450" t="e">
        <f t="shared" ca="1" si="14"/>
        <v>#DIV/0!</v>
      </c>
      <c r="CB36" s="3450" t="e">
        <f t="shared" ca="1" si="15"/>
        <v>#DIV/0!</v>
      </c>
      <c r="CC36" s="3450" t="e">
        <f t="shared" ca="1" si="16"/>
        <v>#DIV/0!</v>
      </c>
      <c r="CD36" s="3450" t="s">
        <v>3565</v>
      </c>
      <c r="CE36" s="3450">
        <v>650</v>
      </c>
      <c r="CF36" s="3450">
        <f t="shared" si="85"/>
        <v>325</v>
      </c>
      <c r="CG36" s="3460" t="e">
        <f t="shared" ca="1" si="17"/>
        <v>#DIV/0!</v>
      </c>
      <c r="CH36" s="3450" t="e">
        <f t="shared" ca="1" si="18"/>
        <v>#DIV/0!</v>
      </c>
      <c r="CI36" s="3450" t="e">
        <f t="shared" ca="1" si="19"/>
        <v>#DIV/0!</v>
      </c>
      <c r="CK36" s="3450" t="e">
        <f t="shared" ca="1" si="20"/>
        <v>#DIV/0!</v>
      </c>
      <c r="CL36" s="3450" t="e">
        <f t="shared" ca="1" si="21"/>
        <v>#DIV/0!</v>
      </c>
      <c r="CM36" s="3450" t="s">
        <v>3565</v>
      </c>
      <c r="CN36" s="3450">
        <v>650</v>
      </c>
      <c r="CO36" s="3450">
        <f t="shared" si="86"/>
        <v>325</v>
      </c>
      <c r="CP36" s="3460" t="e">
        <f t="shared" ca="1" si="22"/>
        <v>#DIV/0!</v>
      </c>
      <c r="CQ36" s="3450" t="e">
        <f t="shared" ca="1" si="23"/>
        <v>#DIV/0!</v>
      </c>
      <c r="CR36" s="3450" t="e">
        <f t="shared" ca="1" si="24"/>
        <v>#DIV/0!</v>
      </c>
      <c r="CT36" s="3450" t="e">
        <f t="shared" ca="1" si="25"/>
        <v>#DIV/0!</v>
      </c>
      <c r="CU36" s="3450" t="e">
        <f t="shared" ca="1" si="26"/>
        <v>#DIV/0!</v>
      </c>
      <c r="CV36" s="3450" t="s">
        <v>3565</v>
      </c>
      <c r="CW36" s="3450">
        <v>650</v>
      </c>
      <c r="CX36" s="3450">
        <f t="shared" si="87"/>
        <v>325</v>
      </c>
      <c r="CY36" s="3460" t="e">
        <f t="shared" ca="1" si="27"/>
        <v>#DIV/0!</v>
      </c>
      <c r="CZ36" s="3450" t="e">
        <f t="shared" ca="1" si="28"/>
        <v>#DIV/0!</v>
      </c>
      <c r="DA36" s="3450" t="e">
        <f t="shared" ca="1" si="29"/>
        <v>#DIV/0!</v>
      </c>
      <c r="DC36" s="3450" t="e">
        <f t="shared" ca="1" si="30"/>
        <v>#DIV/0!</v>
      </c>
      <c r="DD36" s="3450" t="e">
        <f t="shared" ca="1" si="31"/>
        <v>#DIV/0!</v>
      </c>
      <c r="DE36" s="3450" t="s">
        <v>3565</v>
      </c>
      <c r="DF36" s="3450">
        <v>650</v>
      </c>
      <c r="DG36" s="3450">
        <f t="shared" si="88"/>
        <v>325</v>
      </c>
      <c r="DH36" s="3460" t="e">
        <f t="shared" ca="1" si="32"/>
        <v>#DIV/0!</v>
      </c>
      <c r="DI36" s="3450" t="e">
        <f t="shared" ca="1" si="33"/>
        <v>#DIV/0!</v>
      </c>
      <c r="DJ36" s="3450" t="e">
        <f t="shared" ca="1" si="34"/>
        <v>#DIV/0!</v>
      </c>
      <c r="DL36" s="3450" t="e">
        <f t="shared" ca="1" si="35"/>
        <v>#DIV/0!</v>
      </c>
      <c r="DM36" s="3450" t="e">
        <f t="shared" ca="1" si="36"/>
        <v>#DIV/0!</v>
      </c>
      <c r="DN36" s="3450" t="s">
        <v>3565</v>
      </c>
      <c r="DO36" s="3450">
        <v>650</v>
      </c>
      <c r="DP36" s="3450">
        <f t="shared" si="89"/>
        <v>325</v>
      </c>
      <c r="DQ36" s="3460" t="e">
        <f t="shared" ca="1" si="37"/>
        <v>#DIV/0!</v>
      </c>
      <c r="DR36" s="3450" t="e">
        <f t="shared" ca="1" si="38"/>
        <v>#DIV/0!</v>
      </c>
      <c r="DS36" s="3450" t="e">
        <f t="shared" ca="1" si="39"/>
        <v>#DIV/0!</v>
      </c>
      <c r="DU36" s="3450" t="e">
        <f t="shared" ca="1" si="40"/>
        <v>#DIV/0!</v>
      </c>
      <c r="DV36" s="3450" t="e">
        <f t="shared" ca="1" si="41"/>
        <v>#DIV/0!</v>
      </c>
      <c r="DW36" s="3450" t="s">
        <v>3565</v>
      </c>
      <c r="DX36" s="3450">
        <v>650</v>
      </c>
      <c r="DY36" s="3450">
        <f t="shared" si="90"/>
        <v>325</v>
      </c>
      <c r="DZ36" s="3460" t="e">
        <f t="shared" ca="1" si="42"/>
        <v>#DIV/0!</v>
      </c>
      <c r="EA36" s="3450" t="e">
        <f t="shared" ca="1" si="43"/>
        <v>#DIV/0!</v>
      </c>
      <c r="EB36" s="3450" t="e">
        <f t="shared" ca="1" si="44"/>
        <v>#DIV/0!</v>
      </c>
      <c r="ED36" s="3450" t="e">
        <f t="shared" ca="1" si="45"/>
        <v>#DIV/0!</v>
      </c>
      <c r="EE36" s="3450" t="e">
        <f t="shared" ca="1" si="46"/>
        <v>#DIV/0!</v>
      </c>
      <c r="EF36" s="3450" t="s">
        <v>3565</v>
      </c>
      <c r="EG36" s="3450">
        <v>650</v>
      </c>
      <c r="EH36" s="3450">
        <f t="shared" si="91"/>
        <v>325</v>
      </c>
      <c r="EI36" s="3460" t="e">
        <f t="shared" ca="1" si="47"/>
        <v>#DIV/0!</v>
      </c>
      <c r="EJ36" s="3450" t="e">
        <f t="shared" ca="1" si="48"/>
        <v>#DIV/0!</v>
      </c>
      <c r="EK36" s="3450" t="e">
        <f t="shared" ca="1" si="49"/>
        <v>#DIV/0!</v>
      </c>
      <c r="EM36" s="3450" t="e">
        <f t="shared" ca="1" si="50"/>
        <v>#DIV/0!</v>
      </c>
      <c r="EN36" s="3450" t="e">
        <f t="shared" ca="1" si="51"/>
        <v>#DIV/0!</v>
      </c>
      <c r="EO36" s="3450" t="s">
        <v>3565</v>
      </c>
      <c r="EP36" s="3450">
        <v>650</v>
      </c>
      <c r="EQ36" s="3450">
        <f t="shared" si="92"/>
        <v>325</v>
      </c>
      <c r="ER36" s="3460" t="e">
        <f t="shared" ca="1" si="52"/>
        <v>#DIV/0!</v>
      </c>
      <c r="ES36" s="3450" t="e">
        <f t="shared" ca="1" si="53"/>
        <v>#DIV/0!</v>
      </c>
      <c r="ET36" s="3450" t="e">
        <f t="shared" ca="1" si="54"/>
        <v>#DIV/0!</v>
      </c>
      <c r="EV36" s="3450" t="e">
        <f t="shared" ca="1" si="55"/>
        <v>#DIV/0!</v>
      </c>
      <c r="EW36" s="3450" t="e">
        <f t="shared" ca="1" si="56"/>
        <v>#DIV/0!</v>
      </c>
      <c r="EX36" s="3450" t="s">
        <v>3565</v>
      </c>
      <c r="EY36" s="3450">
        <v>650</v>
      </c>
      <c r="EZ36" s="3450">
        <f t="shared" si="93"/>
        <v>325</v>
      </c>
      <c r="FA36" s="3460" t="e">
        <f t="shared" ca="1" si="57"/>
        <v>#DIV/0!</v>
      </c>
      <c r="FB36" s="3450" t="e">
        <f t="shared" ca="1" si="58"/>
        <v>#DIV/0!</v>
      </c>
      <c r="FC36" s="3450" t="e">
        <f t="shared" ca="1" si="59"/>
        <v>#DIV/0!</v>
      </c>
      <c r="FE36" s="3450" t="e">
        <f t="shared" ca="1" si="60"/>
        <v>#DIV/0!</v>
      </c>
      <c r="FF36" s="3450" t="e">
        <f t="shared" ca="1" si="61"/>
        <v>#DIV/0!</v>
      </c>
      <c r="FG36" s="3450" t="s">
        <v>3565</v>
      </c>
      <c r="FH36" s="3450">
        <v>650</v>
      </c>
      <c r="FI36" s="3450">
        <f t="shared" si="94"/>
        <v>325</v>
      </c>
      <c r="FJ36" s="3460" t="e">
        <f t="shared" ca="1" si="62"/>
        <v>#DIV/0!</v>
      </c>
      <c r="FK36" s="3450" t="e">
        <f t="shared" ca="1" si="63"/>
        <v>#DIV/0!</v>
      </c>
      <c r="FL36" s="3450" t="e">
        <f t="shared" ca="1" si="64"/>
        <v>#DIV/0!</v>
      </c>
      <c r="FN36" s="3450" t="e">
        <f t="shared" ca="1" si="65"/>
        <v>#DIV/0!</v>
      </c>
      <c r="FO36" s="3450" t="e">
        <f t="shared" ca="1" si="66"/>
        <v>#DIV/0!</v>
      </c>
      <c r="FP36" s="3450" t="s">
        <v>3565</v>
      </c>
      <c r="FQ36" s="3450">
        <v>650</v>
      </c>
      <c r="FR36" s="3450">
        <f t="shared" si="95"/>
        <v>325</v>
      </c>
      <c r="FS36" s="3460" t="e">
        <f t="shared" ca="1" si="67"/>
        <v>#DIV/0!</v>
      </c>
      <c r="FT36" s="3450" t="e">
        <f t="shared" ca="1" si="68"/>
        <v>#DIV/0!</v>
      </c>
      <c r="FU36" s="3450" t="e">
        <f t="shared" ca="1" si="69"/>
        <v>#DIV/0!</v>
      </c>
      <c r="FW36" s="3450" t="e">
        <f t="shared" ca="1" si="70"/>
        <v>#VALUE!</v>
      </c>
      <c r="FX36" s="3450" t="e">
        <f t="shared" ca="1" si="71"/>
        <v>#VALUE!</v>
      </c>
      <c r="FY36" s="3450" t="s">
        <v>3565</v>
      </c>
      <c r="FZ36" s="3450">
        <v>650</v>
      </c>
      <c r="GA36" s="3450">
        <f t="shared" si="96"/>
        <v>325</v>
      </c>
      <c r="GB36" s="3460" t="e">
        <f t="shared" ca="1" si="72"/>
        <v>#VALUE!</v>
      </c>
      <c r="GC36" s="3450" t="e">
        <f t="shared" ca="1" si="73"/>
        <v>#VALUE!</v>
      </c>
      <c r="GD36" s="3450" t="e">
        <f t="shared" ca="1" si="74"/>
        <v>#VALUE!</v>
      </c>
    </row>
    <row r="37" spans="1:186" ht="18" hidden="1" customHeight="1" outlineLevel="1">
      <c r="A37" s="3452" t="str">
        <f t="shared" ca="1" si="97"/>
        <v>None</v>
      </c>
      <c r="B37" s="3453">
        <f t="shared" ca="1" si="101"/>
        <v>0</v>
      </c>
      <c r="C37" s="1768"/>
      <c r="E37" s="320"/>
      <c r="F37" s="320"/>
      <c r="G37" s="320"/>
      <c r="H37" s="320"/>
      <c r="I37" s="320"/>
      <c r="J37" s="1579"/>
      <c r="K37" s="991"/>
      <c r="L37" s="833"/>
      <c r="M37" s="1000"/>
      <c r="Q37" s="3450">
        <f t="shared" ca="1" si="98"/>
        <v>2</v>
      </c>
      <c r="R37" s="3451">
        <f t="shared" si="103"/>
        <v>11</v>
      </c>
      <c r="S37" s="3450" t="str">
        <f t="shared" si="102"/>
        <v>MẶT SAU</v>
      </c>
      <c r="T37" s="3450">
        <f t="shared" si="99"/>
        <v>10</v>
      </c>
      <c r="U37" s="3450" t="str">
        <f t="shared" ca="1" si="100"/>
        <v/>
      </c>
      <c r="V37" s="3450"/>
      <c r="W37" s="3450"/>
      <c r="X37" s="3450">
        <f ca="1">IF(VLOOKUP(OFFSET($A$25,Z37,0),'Summary Data'!$C:$AV,45,0)&gt;0,"UV ink",Y37)</f>
        <v>0</v>
      </c>
      <c r="AJ37" s="320"/>
      <c r="AK37" s="3450" t="str">
        <f t="shared" si="75"/>
        <v>woodfreelấy</v>
      </c>
      <c r="AL37" s="3450" t="str">
        <f t="shared" si="76"/>
        <v>woodfreetừ từ</v>
      </c>
      <c r="AM37" s="3450" t="s">
        <v>3565</v>
      </c>
      <c r="AN37" s="3450">
        <v>790</v>
      </c>
      <c r="AO37" s="3450">
        <f t="shared" si="77"/>
        <v>395</v>
      </c>
      <c r="AP37" s="3460">
        <f t="shared" si="78"/>
        <v>1.238244514106583</v>
      </c>
      <c r="AQ37" s="3450" t="str">
        <f t="shared" si="79"/>
        <v>từ từ</v>
      </c>
      <c r="AR37" s="3450" t="str">
        <f t="shared" si="80"/>
        <v>lấy</v>
      </c>
      <c r="BA37" s="3450" t="e">
        <f t="shared" ca="1" si="0"/>
        <v>#DIV/0!</v>
      </c>
      <c r="BB37" s="3450" t="e">
        <f t="shared" ca="1" si="1"/>
        <v>#DIV/0!</v>
      </c>
      <c r="BC37" s="3450" t="s">
        <v>3565</v>
      </c>
      <c r="BD37" s="3450">
        <v>790</v>
      </c>
      <c r="BE37" s="3450">
        <f t="shared" si="82"/>
        <v>395</v>
      </c>
      <c r="BF37" s="3460" t="e">
        <f t="shared" ca="1" si="2"/>
        <v>#DIV/0!</v>
      </c>
      <c r="BG37" s="3450" t="e">
        <f t="shared" ca="1" si="3"/>
        <v>#DIV/0!</v>
      </c>
      <c r="BH37" s="3450" t="e">
        <f t="shared" ca="1" si="4"/>
        <v>#DIV/0!</v>
      </c>
      <c r="BJ37" s="3450" t="e">
        <f t="shared" ca="1" si="5"/>
        <v>#DIV/0!</v>
      </c>
      <c r="BK37" s="3450" t="e">
        <f t="shared" ca="1" si="6"/>
        <v>#DIV/0!</v>
      </c>
      <c r="BL37" s="3450" t="s">
        <v>3565</v>
      </c>
      <c r="BM37" s="3450">
        <v>790</v>
      </c>
      <c r="BN37" s="3450">
        <f t="shared" si="83"/>
        <v>395</v>
      </c>
      <c r="BO37" s="3460" t="e">
        <f t="shared" ca="1" si="7"/>
        <v>#DIV/0!</v>
      </c>
      <c r="BP37" s="3450" t="e">
        <f t="shared" ca="1" si="8"/>
        <v>#DIV/0!</v>
      </c>
      <c r="BQ37" s="3450" t="e">
        <f t="shared" ca="1" si="9"/>
        <v>#DIV/0!</v>
      </c>
      <c r="BS37" s="3450" t="e">
        <f t="shared" ca="1" si="10"/>
        <v>#DIV/0!</v>
      </c>
      <c r="BT37" s="3450" t="e">
        <f t="shared" ca="1" si="11"/>
        <v>#DIV/0!</v>
      </c>
      <c r="BU37" s="3450" t="s">
        <v>3565</v>
      </c>
      <c r="BV37" s="3450">
        <v>790</v>
      </c>
      <c r="BW37" s="3450">
        <f t="shared" si="84"/>
        <v>395</v>
      </c>
      <c r="BX37" s="3460" t="e">
        <f t="shared" ca="1" si="12"/>
        <v>#DIV/0!</v>
      </c>
      <c r="BY37" s="3450" t="e">
        <f t="shared" ca="1" si="13"/>
        <v>#DIV/0!</v>
      </c>
      <c r="BZ37" s="3450" t="e">
        <f t="shared" ca="1" si="14"/>
        <v>#DIV/0!</v>
      </c>
      <c r="CB37" s="3450" t="e">
        <f t="shared" ca="1" si="15"/>
        <v>#DIV/0!</v>
      </c>
      <c r="CC37" s="3450" t="e">
        <f t="shared" ca="1" si="16"/>
        <v>#DIV/0!</v>
      </c>
      <c r="CD37" s="3450" t="s">
        <v>3565</v>
      </c>
      <c r="CE37" s="3450">
        <v>790</v>
      </c>
      <c r="CF37" s="3450">
        <f t="shared" si="85"/>
        <v>395</v>
      </c>
      <c r="CG37" s="3460" t="e">
        <f t="shared" ca="1" si="17"/>
        <v>#DIV/0!</v>
      </c>
      <c r="CH37" s="3450" t="e">
        <f t="shared" ca="1" si="18"/>
        <v>#DIV/0!</v>
      </c>
      <c r="CI37" s="3450" t="e">
        <f t="shared" ca="1" si="19"/>
        <v>#DIV/0!</v>
      </c>
      <c r="CK37" s="3450" t="e">
        <f t="shared" ca="1" si="20"/>
        <v>#DIV/0!</v>
      </c>
      <c r="CL37" s="3450" t="e">
        <f t="shared" ca="1" si="21"/>
        <v>#DIV/0!</v>
      </c>
      <c r="CM37" s="3450" t="s">
        <v>3565</v>
      </c>
      <c r="CN37" s="3450">
        <v>790</v>
      </c>
      <c r="CO37" s="3450">
        <f t="shared" si="86"/>
        <v>395</v>
      </c>
      <c r="CP37" s="3460" t="e">
        <f t="shared" ca="1" si="22"/>
        <v>#DIV/0!</v>
      </c>
      <c r="CQ37" s="3450" t="e">
        <f t="shared" ca="1" si="23"/>
        <v>#DIV/0!</v>
      </c>
      <c r="CR37" s="3450" t="e">
        <f t="shared" ca="1" si="24"/>
        <v>#DIV/0!</v>
      </c>
      <c r="CT37" s="3450" t="e">
        <f t="shared" ca="1" si="25"/>
        <v>#DIV/0!</v>
      </c>
      <c r="CU37" s="3450" t="e">
        <f t="shared" ca="1" si="26"/>
        <v>#DIV/0!</v>
      </c>
      <c r="CV37" s="3450" t="s">
        <v>3565</v>
      </c>
      <c r="CW37" s="3450">
        <v>790</v>
      </c>
      <c r="CX37" s="3450">
        <f t="shared" si="87"/>
        <v>395</v>
      </c>
      <c r="CY37" s="3460" t="e">
        <f t="shared" ca="1" si="27"/>
        <v>#DIV/0!</v>
      </c>
      <c r="CZ37" s="3450" t="e">
        <f t="shared" ca="1" si="28"/>
        <v>#DIV/0!</v>
      </c>
      <c r="DA37" s="3450" t="e">
        <f t="shared" ca="1" si="29"/>
        <v>#DIV/0!</v>
      </c>
      <c r="DC37" s="3450" t="e">
        <f t="shared" ca="1" si="30"/>
        <v>#DIV/0!</v>
      </c>
      <c r="DD37" s="3450" t="e">
        <f t="shared" ca="1" si="31"/>
        <v>#DIV/0!</v>
      </c>
      <c r="DE37" s="3450" t="s">
        <v>3565</v>
      </c>
      <c r="DF37" s="3450">
        <v>790</v>
      </c>
      <c r="DG37" s="3450">
        <f t="shared" si="88"/>
        <v>395</v>
      </c>
      <c r="DH37" s="3460" t="e">
        <f t="shared" ca="1" si="32"/>
        <v>#DIV/0!</v>
      </c>
      <c r="DI37" s="3450" t="e">
        <f t="shared" ca="1" si="33"/>
        <v>#DIV/0!</v>
      </c>
      <c r="DJ37" s="3450" t="e">
        <f t="shared" ca="1" si="34"/>
        <v>#DIV/0!</v>
      </c>
      <c r="DL37" s="3450" t="e">
        <f t="shared" ca="1" si="35"/>
        <v>#DIV/0!</v>
      </c>
      <c r="DM37" s="3450" t="e">
        <f t="shared" ca="1" si="36"/>
        <v>#DIV/0!</v>
      </c>
      <c r="DN37" s="3450" t="s">
        <v>3565</v>
      </c>
      <c r="DO37" s="3450">
        <v>790</v>
      </c>
      <c r="DP37" s="3450">
        <f t="shared" si="89"/>
        <v>395</v>
      </c>
      <c r="DQ37" s="3460" t="e">
        <f t="shared" ca="1" si="37"/>
        <v>#DIV/0!</v>
      </c>
      <c r="DR37" s="3450" t="e">
        <f t="shared" ca="1" si="38"/>
        <v>#DIV/0!</v>
      </c>
      <c r="DS37" s="3450" t="e">
        <f t="shared" ca="1" si="39"/>
        <v>#DIV/0!</v>
      </c>
      <c r="DU37" s="3450" t="e">
        <f t="shared" ca="1" si="40"/>
        <v>#DIV/0!</v>
      </c>
      <c r="DV37" s="3450" t="e">
        <f t="shared" ca="1" si="41"/>
        <v>#DIV/0!</v>
      </c>
      <c r="DW37" s="3450" t="s">
        <v>3565</v>
      </c>
      <c r="DX37" s="3450">
        <v>790</v>
      </c>
      <c r="DY37" s="3450">
        <f t="shared" si="90"/>
        <v>395</v>
      </c>
      <c r="DZ37" s="3460" t="e">
        <f t="shared" ca="1" si="42"/>
        <v>#DIV/0!</v>
      </c>
      <c r="EA37" s="3450" t="e">
        <f t="shared" ca="1" si="43"/>
        <v>#DIV/0!</v>
      </c>
      <c r="EB37" s="3450" t="e">
        <f t="shared" ca="1" si="44"/>
        <v>#DIV/0!</v>
      </c>
      <c r="ED37" s="3450" t="e">
        <f t="shared" ca="1" si="45"/>
        <v>#DIV/0!</v>
      </c>
      <c r="EE37" s="3450" t="e">
        <f t="shared" ca="1" si="46"/>
        <v>#DIV/0!</v>
      </c>
      <c r="EF37" s="3450" t="s">
        <v>3565</v>
      </c>
      <c r="EG37" s="3450">
        <v>790</v>
      </c>
      <c r="EH37" s="3450">
        <f t="shared" si="91"/>
        <v>395</v>
      </c>
      <c r="EI37" s="3460" t="e">
        <f t="shared" ca="1" si="47"/>
        <v>#DIV/0!</v>
      </c>
      <c r="EJ37" s="3450" t="e">
        <f t="shared" ca="1" si="48"/>
        <v>#DIV/0!</v>
      </c>
      <c r="EK37" s="3450" t="e">
        <f t="shared" ca="1" si="49"/>
        <v>#DIV/0!</v>
      </c>
      <c r="EM37" s="3450" t="e">
        <f t="shared" ca="1" si="50"/>
        <v>#DIV/0!</v>
      </c>
      <c r="EN37" s="3450" t="e">
        <f t="shared" ca="1" si="51"/>
        <v>#DIV/0!</v>
      </c>
      <c r="EO37" s="3450" t="s">
        <v>3565</v>
      </c>
      <c r="EP37" s="3450">
        <v>790</v>
      </c>
      <c r="EQ37" s="3450">
        <f t="shared" si="92"/>
        <v>395</v>
      </c>
      <c r="ER37" s="3460" t="e">
        <f t="shared" ca="1" si="52"/>
        <v>#DIV/0!</v>
      </c>
      <c r="ES37" s="3450" t="e">
        <f t="shared" ca="1" si="53"/>
        <v>#DIV/0!</v>
      </c>
      <c r="ET37" s="3450" t="e">
        <f t="shared" ca="1" si="54"/>
        <v>#DIV/0!</v>
      </c>
      <c r="EV37" s="3450" t="e">
        <f t="shared" ca="1" si="55"/>
        <v>#DIV/0!</v>
      </c>
      <c r="EW37" s="3450" t="e">
        <f t="shared" ca="1" si="56"/>
        <v>#DIV/0!</v>
      </c>
      <c r="EX37" s="3450" t="s">
        <v>3565</v>
      </c>
      <c r="EY37" s="3450">
        <v>790</v>
      </c>
      <c r="EZ37" s="3450">
        <f t="shared" si="93"/>
        <v>395</v>
      </c>
      <c r="FA37" s="3460" t="e">
        <f t="shared" ca="1" si="57"/>
        <v>#DIV/0!</v>
      </c>
      <c r="FB37" s="3450" t="e">
        <f t="shared" ca="1" si="58"/>
        <v>#DIV/0!</v>
      </c>
      <c r="FC37" s="3450" t="e">
        <f t="shared" ca="1" si="59"/>
        <v>#DIV/0!</v>
      </c>
      <c r="FE37" s="3450" t="e">
        <f t="shared" ca="1" si="60"/>
        <v>#DIV/0!</v>
      </c>
      <c r="FF37" s="3450" t="e">
        <f t="shared" ca="1" si="61"/>
        <v>#DIV/0!</v>
      </c>
      <c r="FG37" s="3450" t="s">
        <v>3565</v>
      </c>
      <c r="FH37" s="3450">
        <v>790</v>
      </c>
      <c r="FI37" s="3450">
        <f t="shared" si="94"/>
        <v>395</v>
      </c>
      <c r="FJ37" s="3460" t="e">
        <f t="shared" ca="1" si="62"/>
        <v>#DIV/0!</v>
      </c>
      <c r="FK37" s="3450" t="e">
        <f t="shared" ca="1" si="63"/>
        <v>#DIV/0!</v>
      </c>
      <c r="FL37" s="3450" t="e">
        <f t="shared" ca="1" si="64"/>
        <v>#DIV/0!</v>
      </c>
      <c r="FN37" s="3450" t="e">
        <f t="shared" ca="1" si="65"/>
        <v>#DIV/0!</v>
      </c>
      <c r="FO37" s="3450" t="e">
        <f t="shared" ca="1" si="66"/>
        <v>#DIV/0!</v>
      </c>
      <c r="FP37" s="3450" t="s">
        <v>3565</v>
      </c>
      <c r="FQ37" s="3450">
        <v>790</v>
      </c>
      <c r="FR37" s="3450">
        <f t="shared" si="95"/>
        <v>395</v>
      </c>
      <c r="FS37" s="3460" t="e">
        <f t="shared" ca="1" si="67"/>
        <v>#DIV/0!</v>
      </c>
      <c r="FT37" s="3450" t="e">
        <f t="shared" ca="1" si="68"/>
        <v>#DIV/0!</v>
      </c>
      <c r="FU37" s="3450" t="e">
        <f t="shared" ca="1" si="69"/>
        <v>#DIV/0!</v>
      </c>
      <c r="FW37" s="3450" t="e">
        <f t="shared" ca="1" si="70"/>
        <v>#VALUE!</v>
      </c>
      <c r="FX37" s="3450" t="e">
        <f t="shared" ca="1" si="71"/>
        <v>#VALUE!</v>
      </c>
      <c r="FY37" s="3450" t="s">
        <v>3565</v>
      </c>
      <c r="FZ37" s="3450">
        <v>790</v>
      </c>
      <c r="GA37" s="3450">
        <f t="shared" si="96"/>
        <v>395</v>
      </c>
      <c r="GB37" s="3460" t="e">
        <f t="shared" ca="1" si="72"/>
        <v>#VALUE!</v>
      </c>
      <c r="GC37" s="3450" t="e">
        <f t="shared" ca="1" si="73"/>
        <v>#VALUE!</v>
      </c>
      <c r="GD37" s="3450" t="e">
        <f t="shared" ca="1" si="74"/>
        <v>#VALUE!</v>
      </c>
    </row>
    <row r="38" spans="1:186" ht="18" hidden="1" customHeight="1" outlineLevel="1">
      <c r="A38" s="3452" t="str">
        <f t="shared" ca="1" si="97"/>
        <v>None</v>
      </c>
      <c r="B38" s="3453">
        <f t="shared" ca="1" si="101"/>
        <v>0</v>
      </c>
      <c r="C38" s="1768"/>
      <c r="E38" s="320"/>
      <c r="F38" s="320"/>
      <c r="G38" s="320"/>
      <c r="H38" s="320"/>
      <c r="I38" s="320"/>
      <c r="J38" s="1579"/>
      <c r="K38" s="991"/>
      <c r="L38" s="833"/>
      <c r="M38" s="1000"/>
      <c r="Q38" s="3450">
        <f t="shared" ca="1" si="98"/>
        <v>2</v>
      </c>
      <c r="R38" s="3451">
        <f t="shared" si="103"/>
        <v>12</v>
      </c>
      <c r="S38" s="3450" t="str">
        <f t="shared" si="102"/>
        <v>MẶT SAU</v>
      </c>
      <c r="T38" s="3450">
        <f t="shared" si="99"/>
        <v>11</v>
      </c>
      <c r="U38" s="3450" t="str">
        <f t="shared" ca="1" si="100"/>
        <v/>
      </c>
      <c r="V38" s="3450"/>
      <c r="W38" s="3450"/>
      <c r="X38" s="3450">
        <f ca="1">IF(VLOOKUP(OFFSET($A$25,Z38,0),'Summary Data'!$C:$AV,45,0)&gt;0,"UV ink",Y38)</f>
        <v>0</v>
      </c>
      <c r="AJ38" s="320"/>
      <c r="AK38" s="3450" t="str">
        <f t="shared" si="75"/>
        <v>woodfreelấy</v>
      </c>
      <c r="AL38" s="3450" t="str">
        <f t="shared" si="76"/>
        <v>woodfreetừ từ</v>
      </c>
      <c r="AM38" s="3450" t="s">
        <v>3565</v>
      </c>
      <c r="AN38" s="3450">
        <v>840</v>
      </c>
      <c r="AO38" s="3450">
        <f t="shared" si="77"/>
        <v>420</v>
      </c>
      <c r="AP38" s="3460">
        <f t="shared" si="78"/>
        <v>1.3166144200626959</v>
      </c>
      <c r="AQ38" s="3450" t="str">
        <f t="shared" si="79"/>
        <v>từ từ</v>
      </c>
      <c r="AR38" s="3450" t="str">
        <f t="shared" si="80"/>
        <v>lấy</v>
      </c>
      <c r="BA38" s="3450" t="e">
        <f t="shared" ca="1" si="0"/>
        <v>#DIV/0!</v>
      </c>
      <c r="BB38" s="3450" t="e">
        <f t="shared" ca="1" si="1"/>
        <v>#DIV/0!</v>
      </c>
      <c r="BC38" s="3450" t="s">
        <v>3565</v>
      </c>
      <c r="BD38" s="3450">
        <v>840</v>
      </c>
      <c r="BE38" s="3450">
        <f t="shared" si="82"/>
        <v>420</v>
      </c>
      <c r="BF38" s="3460" t="e">
        <f t="shared" ca="1" si="2"/>
        <v>#DIV/0!</v>
      </c>
      <c r="BG38" s="3450" t="e">
        <f t="shared" ca="1" si="3"/>
        <v>#DIV/0!</v>
      </c>
      <c r="BH38" s="3450" t="e">
        <f t="shared" ca="1" si="4"/>
        <v>#DIV/0!</v>
      </c>
      <c r="BJ38" s="3450" t="e">
        <f t="shared" ca="1" si="5"/>
        <v>#DIV/0!</v>
      </c>
      <c r="BK38" s="3450" t="e">
        <f t="shared" ca="1" si="6"/>
        <v>#DIV/0!</v>
      </c>
      <c r="BL38" s="3450" t="s">
        <v>3565</v>
      </c>
      <c r="BM38" s="3450">
        <v>840</v>
      </c>
      <c r="BN38" s="3450">
        <f t="shared" si="83"/>
        <v>420</v>
      </c>
      <c r="BO38" s="3460" t="e">
        <f t="shared" ca="1" si="7"/>
        <v>#DIV/0!</v>
      </c>
      <c r="BP38" s="3450" t="e">
        <f t="shared" ca="1" si="8"/>
        <v>#DIV/0!</v>
      </c>
      <c r="BQ38" s="3450" t="e">
        <f t="shared" ca="1" si="9"/>
        <v>#DIV/0!</v>
      </c>
      <c r="BS38" s="3450" t="e">
        <f t="shared" ca="1" si="10"/>
        <v>#DIV/0!</v>
      </c>
      <c r="BT38" s="3450" t="e">
        <f t="shared" ca="1" si="11"/>
        <v>#DIV/0!</v>
      </c>
      <c r="BU38" s="3450" t="s">
        <v>3565</v>
      </c>
      <c r="BV38" s="3450">
        <v>840</v>
      </c>
      <c r="BW38" s="3450">
        <f t="shared" si="84"/>
        <v>420</v>
      </c>
      <c r="BX38" s="3460" t="e">
        <f t="shared" ca="1" si="12"/>
        <v>#DIV/0!</v>
      </c>
      <c r="BY38" s="3450" t="e">
        <f t="shared" ca="1" si="13"/>
        <v>#DIV/0!</v>
      </c>
      <c r="BZ38" s="3450" t="e">
        <f t="shared" ca="1" si="14"/>
        <v>#DIV/0!</v>
      </c>
      <c r="CB38" s="3450" t="e">
        <f t="shared" ca="1" si="15"/>
        <v>#DIV/0!</v>
      </c>
      <c r="CC38" s="3450" t="e">
        <f t="shared" ca="1" si="16"/>
        <v>#DIV/0!</v>
      </c>
      <c r="CD38" s="3450" t="s">
        <v>3565</v>
      </c>
      <c r="CE38" s="3450">
        <v>840</v>
      </c>
      <c r="CF38" s="3450">
        <f t="shared" si="85"/>
        <v>420</v>
      </c>
      <c r="CG38" s="3460" t="e">
        <f t="shared" ca="1" si="17"/>
        <v>#DIV/0!</v>
      </c>
      <c r="CH38" s="3450" t="e">
        <f t="shared" ca="1" si="18"/>
        <v>#DIV/0!</v>
      </c>
      <c r="CI38" s="3450" t="e">
        <f t="shared" ca="1" si="19"/>
        <v>#DIV/0!</v>
      </c>
      <c r="CK38" s="3450" t="e">
        <f t="shared" ca="1" si="20"/>
        <v>#DIV/0!</v>
      </c>
      <c r="CL38" s="3450" t="e">
        <f t="shared" ca="1" si="21"/>
        <v>#DIV/0!</v>
      </c>
      <c r="CM38" s="3450" t="s">
        <v>3565</v>
      </c>
      <c r="CN38" s="3450">
        <v>840</v>
      </c>
      <c r="CO38" s="3450">
        <f t="shared" si="86"/>
        <v>420</v>
      </c>
      <c r="CP38" s="3460" t="e">
        <f t="shared" ca="1" si="22"/>
        <v>#DIV/0!</v>
      </c>
      <c r="CQ38" s="3450" t="e">
        <f t="shared" ca="1" si="23"/>
        <v>#DIV/0!</v>
      </c>
      <c r="CR38" s="3450" t="e">
        <f t="shared" ca="1" si="24"/>
        <v>#DIV/0!</v>
      </c>
      <c r="CT38" s="3450" t="e">
        <f t="shared" ca="1" si="25"/>
        <v>#DIV/0!</v>
      </c>
      <c r="CU38" s="3450" t="e">
        <f t="shared" ca="1" si="26"/>
        <v>#DIV/0!</v>
      </c>
      <c r="CV38" s="3450" t="s">
        <v>3565</v>
      </c>
      <c r="CW38" s="3450">
        <v>840</v>
      </c>
      <c r="CX38" s="3450">
        <f t="shared" si="87"/>
        <v>420</v>
      </c>
      <c r="CY38" s="3460" t="e">
        <f t="shared" ca="1" si="27"/>
        <v>#DIV/0!</v>
      </c>
      <c r="CZ38" s="3450" t="e">
        <f t="shared" ca="1" si="28"/>
        <v>#DIV/0!</v>
      </c>
      <c r="DA38" s="3450" t="e">
        <f t="shared" ca="1" si="29"/>
        <v>#DIV/0!</v>
      </c>
      <c r="DC38" s="3450" t="e">
        <f t="shared" ca="1" si="30"/>
        <v>#DIV/0!</v>
      </c>
      <c r="DD38" s="3450" t="e">
        <f t="shared" ca="1" si="31"/>
        <v>#DIV/0!</v>
      </c>
      <c r="DE38" s="3450" t="s">
        <v>3565</v>
      </c>
      <c r="DF38" s="3450">
        <v>840</v>
      </c>
      <c r="DG38" s="3450">
        <f t="shared" si="88"/>
        <v>420</v>
      </c>
      <c r="DH38" s="3460" t="e">
        <f t="shared" ca="1" si="32"/>
        <v>#DIV/0!</v>
      </c>
      <c r="DI38" s="3450" t="e">
        <f t="shared" ca="1" si="33"/>
        <v>#DIV/0!</v>
      </c>
      <c r="DJ38" s="3450" t="e">
        <f t="shared" ca="1" si="34"/>
        <v>#DIV/0!</v>
      </c>
      <c r="DL38" s="3450" t="e">
        <f t="shared" ca="1" si="35"/>
        <v>#DIV/0!</v>
      </c>
      <c r="DM38" s="3450" t="e">
        <f t="shared" ca="1" si="36"/>
        <v>#DIV/0!</v>
      </c>
      <c r="DN38" s="3450" t="s">
        <v>3565</v>
      </c>
      <c r="DO38" s="3450">
        <v>840</v>
      </c>
      <c r="DP38" s="3450">
        <f t="shared" si="89"/>
        <v>420</v>
      </c>
      <c r="DQ38" s="3460" t="e">
        <f t="shared" ca="1" si="37"/>
        <v>#DIV/0!</v>
      </c>
      <c r="DR38" s="3450" t="e">
        <f t="shared" ca="1" si="38"/>
        <v>#DIV/0!</v>
      </c>
      <c r="DS38" s="3450" t="e">
        <f t="shared" ca="1" si="39"/>
        <v>#DIV/0!</v>
      </c>
      <c r="DU38" s="3450" t="e">
        <f t="shared" ca="1" si="40"/>
        <v>#DIV/0!</v>
      </c>
      <c r="DV38" s="3450" t="e">
        <f t="shared" ca="1" si="41"/>
        <v>#DIV/0!</v>
      </c>
      <c r="DW38" s="3450" t="s">
        <v>3565</v>
      </c>
      <c r="DX38" s="3450">
        <v>840</v>
      </c>
      <c r="DY38" s="3450">
        <f t="shared" si="90"/>
        <v>420</v>
      </c>
      <c r="DZ38" s="3460" t="e">
        <f t="shared" ca="1" si="42"/>
        <v>#DIV/0!</v>
      </c>
      <c r="EA38" s="3450" t="e">
        <f t="shared" ca="1" si="43"/>
        <v>#DIV/0!</v>
      </c>
      <c r="EB38" s="3450" t="e">
        <f t="shared" ca="1" si="44"/>
        <v>#DIV/0!</v>
      </c>
      <c r="ED38" s="3450" t="e">
        <f t="shared" ca="1" si="45"/>
        <v>#DIV/0!</v>
      </c>
      <c r="EE38" s="3450" t="e">
        <f t="shared" ca="1" si="46"/>
        <v>#DIV/0!</v>
      </c>
      <c r="EF38" s="3450" t="s">
        <v>3565</v>
      </c>
      <c r="EG38" s="3450">
        <v>840</v>
      </c>
      <c r="EH38" s="3450">
        <f t="shared" si="91"/>
        <v>420</v>
      </c>
      <c r="EI38" s="3460" t="e">
        <f t="shared" ca="1" si="47"/>
        <v>#DIV/0!</v>
      </c>
      <c r="EJ38" s="3450" t="e">
        <f t="shared" ca="1" si="48"/>
        <v>#DIV/0!</v>
      </c>
      <c r="EK38" s="3450" t="e">
        <f t="shared" ca="1" si="49"/>
        <v>#DIV/0!</v>
      </c>
      <c r="EM38" s="3450" t="e">
        <f t="shared" ca="1" si="50"/>
        <v>#DIV/0!</v>
      </c>
      <c r="EN38" s="3450" t="e">
        <f t="shared" ca="1" si="51"/>
        <v>#DIV/0!</v>
      </c>
      <c r="EO38" s="3450" t="s">
        <v>3565</v>
      </c>
      <c r="EP38" s="3450">
        <v>840</v>
      </c>
      <c r="EQ38" s="3450">
        <f t="shared" si="92"/>
        <v>420</v>
      </c>
      <c r="ER38" s="3460" t="e">
        <f t="shared" ca="1" si="52"/>
        <v>#DIV/0!</v>
      </c>
      <c r="ES38" s="3450" t="e">
        <f t="shared" ca="1" si="53"/>
        <v>#DIV/0!</v>
      </c>
      <c r="ET38" s="3450" t="e">
        <f t="shared" ca="1" si="54"/>
        <v>#DIV/0!</v>
      </c>
      <c r="EV38" s="3450" t="e">
        <f t="shared" ca="1" si="55"/>
        <v>#DIV/0!</v>
      </c>
      <c r="EW38" s="3450" t="e">
        <f t="shared" ca="1" si="56"/>
        <v>#DIV/0!</v>
      </c>
      <c r="EX38" s="3450" t="s">
        <v>3565</v>
      </c>
      <c r="EY38" s="3450">
        <v>840</v>
      </c>
      <c r="EZ38" s="3450">
        <f t="shared" si="93"/>
        <v>420</v>
      </c>
      <c r="FA38" s="3460" t="e">
        <f t="shared" ca="1" si="57"/>
        <v>#DIV/0!</v>
      </c>
      <c r="FB38" s="3450" t="e">
        <f t="shared" ca="1" si="58"/>
        <v>#DIV/0!</v>
      </c>
      <c r="FC38" s="3450" t="e">
        <f t="shared" ca="1" si="59"/>
        <v>#DIV/0!</v>
      </c>
      <c r="FE38" s="3450" t="e">
        <f t="shared" ca="1" si="60"/>
        <v>#DIV/0!</v>
      </c>
      <c r="FF38" s="3450" t="e">
        <f t="shared" ca="1" si="61"/>
        <v>#DIV/0!</v>
      </c>
      <c r="FG38" s="3450" t="s">
        <v>3565</v>
      </c>
      <c r="FH38" s="3450">
        <v>840</v>
      </c>
      <c r="FI38" s="3450">
        <f t="shared" si="94"/>
        <v>420</v>
      </c>
      <c r="FJ38" s="3460" t="e">
        <f t="shared" ca="1" si="62"/>
        <v>#DIV/0!</v>
      </c>
      <c r="FK38" s="3450" t="e">
        <f t="shared" ca="1" si="63"/>
        <v>#DIV/0!</v>
      </c>
      <c r="FL38" s="3450" t="e">
        <f t="shared" ca="1" si="64"/>
        <v>#DIV/0!</v>
      </c>
      <c r="FN38" s="3450" t="e">
        <f t="shared" ca="1" si="65"/>
        <v>#DIV/0!</v>
      </c>
      <c r="FO38" s="3450" t="e">
        <f t="shared" ca="1" si="66"/>
        <v>#DIV/0!</v>
      </c>
      <c r="FP38" s="3450" t="s">
        <v>3565</v>
      </c>
      <c r="FQ38" s="3450">
        <v>840</v>
      </c>
      <c r="FR38" s="3450">
        <f t="shared" si="95"/>
        <v>420</v>
      </c>
      <c r="FS38" s="3460" t="e">
        <f t="shared" ca="1" si="67"/>
        <v>#DIV/0!</v>
      </c>
      <c r="FT38" s="3450" t="e">
        <f t="shared" ca="1" si="68"/>
        <v>#DIV/0!</v>
      </c>
      <c r="FU38" s="3450" t="e">
        <f t="shared" ca="1" si="69"/>
        <v>#DIV/0!</v>
      </c>
      <c r="FW38" s="3450" t="e">
        <f t="shared" ca="1" si="70"/>
        <v>#VALUE!</v>
      </c>
      <c r="FX38" s="3450" t="e">
        <f t="shared" ca="1" si="71"/>
        <v>#VALUE!</v>
      </c>
      <c r="FY38" s="3450" t="s">
        <v>3565</v>
      </c>
      <c r="FZ38" s="3450">
        <v>840</v>
      </c>
      <c r="GA38" s="3450">
        <f t="shared" si="96"/>
        <v>420</v>
      </c>
      <c r="GB38" s="3460" t="e">
        <f t="shared" ca="1" si="72"/>
        <v>#VALUE!</v>
      </c>
      <c r="GC38" s="3450" t="e">
        <f t="shared" ca="1" si="73"/>
        <v>#VALUE!</v>
      </c>
      <c r="GD38" s="3450" t="e">
        <f t="shared" ca="1" si="74"/>
        <v>#VALUE!</v>
      </c>
    </row>
    <row r="39" spans="1:186" ht="18" hidden="1" customHeight="1" outlineLevel="1">
      <c r="A39" s="3452" t="str">
        <f t="shared" ca="1" si="97"/>
        <v>None</v>
      </c>
      <c r="B39" s="3453">
        <f t="shared" ca="1" si="101"/>
        <v>0</v>
      </c>
      <c r="C39" s="1768"/>
      <c r="E39" s="320"/>
      <c r="F39" s="320"/>
      <c r="G39" s="320"/>
      <c r="H39" s="320"/>
      <c r="I39" s="320"/>
      <c r="J39" s="1579"/>
      <c r="K39" s="991"/>
      <c r="L39" s="833"/>
      <c r="M39" s="1000"/>
      <c r="Q39" s="3450">
        <f t="shared" ca="1" si="98"/>
        <v>2</v>
      </c>
      <c r="R39" s="3451">
        <f t="shared" si="103"/>
        <v>13</v>
      </c>
      <c r="S39" s="3450" t="str">
        <f t="shared" si="102"/>
        <v>MẶT SAU</v>
      </c>
      <c r="T39" s="3450">
        <f t="shared" si="99"/>
        <v>12</v>
      </c>
      <c r="U39" s="3450" t="str">
        <f t="shared" ca="1" si="100"/>
        <v/>
      </c>
      <c r="V39" s="3450"/>
      <c r="W39" s="3450"/>
      <c r="X39" s="3450">
        <f ca="1">IF(VLOOKUP(OFFSET($A$25,Z39,0),'Summary Data'!$C:$AV,45,0)&gt;0,"UV ink",Y39)</f>
        <v>0</v>
      </c>
      <c r="AJ39" s="320"/>
      <c r="AK39" s="3450" t="str">
        <f t="shared" si="75"/>
        <v>artboardlấy</v>
      </c>
      <c r="AL39" s="3450" t="str">
        <f t="shared" si="76"/>
        <v>artboardtừ từ</v>
      </c>
      <c r="AM39" s="3450" t="s">
        <v>3566</v>
      </c>
      <c r="AN39" s="3450">
        <v>650</v>
      </c>
      <c r="AO39" s="3450">
        <f t="shared" si="77"/>
        <v>325</v>
      </c>
      <c r="AP39" s="3460">
        <f t="shared" si="78"/>
        <v>1.0188087774294672</v>
      </c>
      <c r="AQ39" s="3450" t="str">
        <f t="shared" si="79"/>
        <v>từ từ</v>
      </c>
      <c r="AR39" s="3450" t="str">
        <f t="shared" si="80"/>
        <v>lấy</v>
      </c>
      <c r="BA39" s="3450" t="e">
        <f t="shared" ca="1" si="0"/>
        <v>#DIV/0!</v>
      </c>
      <c r="BB39" s="3450" t="e">
        <f t="shared" ca="1" si="1"/>
        <v>#DIV/0!</v>
      </c>
      <c r="BC39" s="3450" t="s">
        <v>3566</v>
      </c>
      <c r="BD39" s="3450">
        <v>650</v>
      </c>
      <c r="BE39" s="3450">
        <f t="shared" si="82"/>
        <v>325</v>
      </c>
      <c r="BF39" s="3460" t="e">
        <f t="shared" ca="1" si="2"/>
        <v>#DIV/0!</v>
      </c>
      <c r="BG39" s="3450" t="e">
        <f t="shared" ca="1" si="3"/>
        <v>#DIV/0!</v>
      </c>
      <c r="BH39" s="3450" t="e">
        <f t="shared" ca="1" si="4"/>
        <v>#DIV/0!</v>
      </c>
      <c r="BJ39" s="3450" t="e">
        <f t="shared" ca="1" si="5"/>
        <v>#DIV/0!</v>
      </c>
      <c r="BK39" s="3450" t="e">
        <f t="shared" ca="1" si="6"/>
        <v>#DIV/0!</v>
      </c>
      <c r="BL39" s="3450" t="s">
        <v>3566</v>
      </c>
      <c r="BM39" s="3450">
        <v>650</v>
      </c>
      <c r="BN39" s="3450">
        <f t="shared" si="83"/>
        <v>325</v>
      </c>
      <c r="BO39" s="3460" t="e">
        <f t="shared" ca="1" si="7"/>
        <v>#DIV/0!</v>
      </c>
      <c r="BP39" s="3450" t="e">
        <f t="shared" ca="1" si="8"/>
        <v>#DIV/0!</v>
      </c>
      <c r="BQ39" s="3450" t="e">
        <f t="shared" ca="1" si="9"/>
        <v>#DIV/0!</v>
      </c>
      <c r="BS39" s="3450" t="e">
        <f t="shared" ca="1" si="10"/>
        <v>#DIV/0!</v>
      </c>
      <c r="BT39" s="3450" t="e">
        <f t="shared" ca="1" si="11"/>
        <v>#DIV/0!</v>
      </c>
      <c r="BU39" s="3450" t="s">
        <v>3566</v>
      </c>
      <c r="BV39" s="3450">
        <v>650</v>
      </c>
      <c r="BW39" s="3450">
        <f t="shared" si="84"/>
        <v>325</v>
      </c>
      <c r="BX39" s="3460" t="e">
        <f t="shared" ca="1" si="12"/>
        <v>#DIV/0!</v>
      </c>
      <c r="BY39" s="3450" t="e">
        <f t="shared" ca="1" si="13"/>
        <v>#DIV/0!</v>
      </c>
      <c r="BZ39" s="3450" t="e">
        <f t="shared" ca="1" si="14"/>
        <v>#DIV/0!</v>
      </c>
      <c r="CB39" s="3450" t="e">
        <f t="shared" ca="1" si="15"/>
        <v>#DIV/0!</v>
      </c>
      <c r="CC39" s="3450" t="e">
        <f t="shared" ca="1" si="16"/>
        <v>#DIV/0!</v>
      </c>
      <c r="CD39" s="3450" t="s">
        <v>3566</v>
      </c>
      <c r="CE39" s="3450">
        <v>650</v>
      </c>
      <c r="CF39" s="3450">
        <f t="shared" si="85"/>
        <v>325</v>
      </c>
      <c r="CG39" s="3460" t="e">
        <f t="shared" ca="1" si="17"/>
        <v>#DIV/0!</v>
      </c>
      <c r="CH39" s="3450" t="e">
        <f t="shared" ca="1" si="18"/>
        <v>#DIV/0!</v>
      </c>
      <c r="CI39" s="3450" t="e">
        <f t="shared" ca="1" si="19"/>
        <v>#DIV/0!</v>
      </c>
      <c r="CK39" s="3450" t="e">
        <f t="shared" ca="1" si="20"/>
        <v>#DIV/0!</v>
      </c>
      <c r="CL39" s="3450" t="e">
        <f t="shared" ca="1" si="21"/>
        <v>#DIV/0!</v>
      </c>
      <c r="CM39" s="3450" t="s">
        <v>3566</v>
      </c>
      <c r="CN39" s="3450">
        <v>650</v>
      </c>
      <c r="CO39" s="3450">
        <f t="shared" si="86"/>
        <v>325</v>
      </c>
      <c r="CP39" s="3460" t="e">
        <f t="shared" ca="1" si="22"/>
        <v>#DIV/0!</v>
      </c>
      <c r="CQ39" s="3450" t="e">
        <f t="shared" ca="1" si="23"/>
        <v>#DIV/0!</v>
      </c>
      <c r="CR39" s="3450" t="e">
        <f t="shared" ca="1" si="24"/>
        <v>#DIV/0!</v>
      </c>
      <c r="CT39" s="3450" t="e">
        <f t="shared" ca="1" si="25"/>
        <v>#DIV/0!</v>
      </c>
      <c r="CU39" s="3450" t="e">
        <f t="shared" ca="1" si="26"/>
        <v>#DIV/0!</v>
      </c>
      <c r="CV39" s="3450" t="s">
        <v>3566</v>
      </c>
      <c r="CW39" s="3450">
        <v>650</v>
      </c>
      <c r="CX39" s="3450">
        <f t="shared" si="87"/>
        <v>325</v>
      </c>
      <c r="CY39" s="3460" t="e">
        <f t="shared" ca="1" si="27"/>
        <v>#DIV/0!</v>
      </c>
      <c r="CZ39" s="3450" t="e">
        <f t="shared" ca="1" si="28"/>
        <v>#DIV/0!</v>
      </c>
      <c r="DA39" s="3450" t="e">
        <f t="shared" ca="1" si="29"/>
        <v>#DIV/0!</v>
      </c>
      <c r="DC39" s="3450" t="e">
        <f t="shared" ca="1" si="30"/>
        <v>#DIV/0!</v>
      </c>
      <c r="DD39" s="3450" t="e">
        <f t="shared" ca="1" si="31"/>
        <v>#DIV/0!</v>
      </c>
      <c r="DE39" s="3450" t="s">
        <v>3566</v>
      </c>
      <c r="DF39" s="3450">
        <v>650</v>
      </c>
      <c r="DG39" s="3450">
        <f t="shared" si="88"/>
        <v>325</v>
      </c>
      <c r="DH39" s="3460" t="e">
        <f t="shared" ca="1" si="32"/>
        <v>#DIV/0!</v>
      </c>
      <c r="DI39" s="3450" t="e">
        <f t="shared" ca="1" si="33"/>
        <v>#DIV/0!</v>
      </c>
      <c r="DJ39" s="3450" t="e">
        <f t="shared" ca="1" si="34"/>
        <v>#DIV/0!</v>
      </c>
      <c r="DL39" s="3450" t="e">
        <f t="shared" ca="1" si="35"/>
        <v>#DIV/0!</v>
      </c>
      <c r="DM39" s="3450" t="e">
        <f t="shared" ca="1" si="36"/>
        <v>#DIV/0!</v>
      </c>
      <c r="DN39" s="3450" t="s">
        <v>3566</v>
      </c>
      <c r="DO39" s="3450">
        <v>650</v>
      </c>
      <c r="DP39" s="3450">
        <f t="shared" si="89"/>
        <v>325</v>
      </c>
      <c r="DQ39" s="3460" t="e">
        <f t="shared" ca="1" si="37"/>
        <v>#DIV/0!</v>
      </c>
      <c r="DR39" s="3450" t="e">
        <f t="shared" ca="1" si="38"/>
        <v>#DIV/0!</v>
      </c>
      <c r="DS39" s="3450" t="e">
        <f t="shared" ca="1" si="39"/>
        <v>#DIV/0!</v>
      </c>
      <c r="DU39" s="3450" t="e">
        <f t="shared" ca="1" si="40"/>
        <v>#DIV/0!</v>
      </c>
      <c r="DV39" s="3450" t="e">
        <f t="shared" ca="1" si="41"/>
        <v>#DIV/0!</v>
      </c>
      <c r="DW39" s="3450" t="s">
        <v>3566</v>
      </c>
      <c r="DX39" s="3450">
        <v>650</v>
      </c>
      <c r="DY39" s="3450">
        <f t="shared" si="90"/>
        <v>325</v>
      </c>
      <c r="DZ39" s="3460" t="e">
        <f t="shared" ca="1" si="42"/>
        <v>#DIV/0!</v>
      </c>
      <c r="EA39" s="3450" t="e">
        <f t="shared" ca="1" si="43"/>
        <v>#DIV/0!</v>
      </c>
      <c r="EB39" s="3450" t="e">
        <f t="shared" ca="1" si="44"/>
        <v>#DIV/0!</v>
      </c>
      <c r="ED39" s="3450" t="e">
        <f t="shared" ca="1" si="45"/>
        <v>#DIV/0!</v>
      </c>
      <c r="EE39" s="3450" t="e">
        <f t="shared" ca="1" si="46"/>
        <v>#DIV/0!</v>
      </c>
      <c r="EF39" s="3450" t="s">
        <v>3566</v>
      </c>
      <c r="EG39" s="3450">
        <v>650</v>
      </c>
      <c r="EH39" s="3450">
        <f t="shared" si="91"/>
        <v>325</v>
      </c>
      <c r="EI39" s="3460" t="e">
        <f t="shared" ca="1" si="47"/>
        <v>#DIV/0!</v>
      </c>
      <c r="EJ39" s="3450" t="e">
        <f t="shared" ca="1" si="48"/>
        <v>#DIV/0!</v>
      </c>
      <c r="EK39" s="3450" t="e">
        <f t="shared" ca="1" si="49"/>
        <v>#DIV/0!</v>
      </c>
      <c r="EM39" s="3450" t="e">
        <f t="shared" ca="1" si="50"/>
        <v>#DIV/0!</v>
      </c>
      <c r="EN39" s="3450" t="e">
        <f t="shared" ca="1" si="51"/>
        <v>#DIV/0!</v>
      </c>
      <c r="EO39" s="3450" t="s">
        <v>3566</v>
      </c>
      <c r="EP39" s="3450">
        <v>650</v>
      </c>
      <c r="EQ39" s="3450">
        <f t="shared" si="92"/>
        <v>325</v>
      </c>
      <c r="ER39" s="3460" t="e">
        <f t="shared" ca="1" si="52"/>
        <v>#DIV/0!</v>
      </c>
      <c r="ES39" s="3450" t="e">
        <f t="shared" ca="1" si="53"/>
        <v>#DIV/0!</v>
      </c>
      <c r="ET39" s="3450" t="e">
        <f t="shared" ca="1" si="54"/>
        <v>#DIV/0!</v>
      </c>
      <c r="EV39" s="3450" t="e">
        <f t="shared" ca="1" si="55"/>
        <v>#DIV/0!</v>
      </c>
      <c r="EW39" s="3450" t="e">
        <f t="shared" ca="1" si="56"/>
        <v>#DIV/0!</v>
      </c>
      <c r="EX39" s="3450" t="s">
        <v>3566</v>
      </c>
      <c r="EY39" s="3450">
        <v>650</v>
      </c>
      <c r="EZ39" s="3450">
        <f t="shared" si="93"/>
        <v>325</v>
      </c>
      <c r="FA39" s="3460" t="e">
        <f t="shared" ca="1" si="57"/>
        <v>#DIV/0!</v>
      </c>
      <c r="FB39" s="3450" t="e">
        <f t="shared" ca="1" si="58"/>
        <v>#DIV/0!</v>
      </c>
      <c r="FC39" s="3450" t="e">
        <f t="shared" ca="1" si="59"/>
        <v>#DIV/0!</v>
      </c>
      <c r="FE39" s="3450" t="e">
        <f t="shared" ca="1" si="60"/>
        <v>#DIV/0!</v>
      </c>
      <c r="FF39" s="3450" t="e">
        <f t="shared" ca="1" si="61"/>
        <v>#DIV/0!</v>
      </c>
      <c r="FG39" s="3450" t="s">
        <v>3566</v>
      </c>
      <c r="FH39" s="3450">
        <v>650</v>
      </c>
      <c r="FI39" s="3450">
        <f t="shared" si="94"/>
        <v>325</v>
      </c>
      <c r="FJ39" s="3460" t="e">
        <f t="shared" ca="1" si="62"/>
        <v>#DIV/0!</v>
      </c>
      <c r="FK39" s="3450" t="e">
        <f t="shared" ca="1" si="63"/>
        <v>#DIV/0!</v>
      </c>
      <c r="FL39" s="3450" t="e">
        <f t="shared" ca="1" si="64"/>
        <v>#DIV/0!</v>
      </c>
      <c r="FN39" s="3450" t="e">
        <f t="shared" ca="1" si="65"/>
        <v>#DIV/0!</v>
      </c>
      <c r="FO39" s="3450" t="e">
        <f t="shared" ca="1" si="66"/>
        <v>#DIV/0!</v>
      </c>
      <c r="FP39" s="3450" t="s">
        <v>3566</v>
      </c>
      <c r="FQ39" s="3450">
        <v>650</v>
      </c>
      <c r="FR39" s="3450">
        <f t="shared" si="95"/>
        <v>325</v>
      </c>
      <c r="FS39" s="3460" t="e">
        <f t="shared" ca="1" si="67"/>
        <v>#DIV/0!</v>
      </c>
      <c r="FT39" s="3450" t="e">
        <f t="shared" ca="1" si="68"/>
        <v>#DIV/0!</v>
      </c>
      <c r="FU39" s="3450" t="e">
        <f t="shared" ca="1" si="69"/>
        <v>#DIV/0!</v>
      </c>
      <c r="FW39" s="3450" t="e">
        <f t="shared" ca="1" si="70"/>
        <v>#VALUE!</v>
      </c>
      <c r="FX39" s="3450" t="e">
        <f t="shared" ca="1" si="71"/>
        <v>#VALUE!</v>
      </c>
      <c r="FY39" s="3450" t="s">
        <v>3566</v>
      </c>
      <c r="FZ39" s="3450">
        <v>650</v>
      </c>
      <c r="GA39" s="3450">
        <f t="shared" si="96"/>
        <v>325</v>
      </c>
      <c r="GB39" s="3460" t="e">
        <f t="shared" ca="1" si="72"/>
        <v>#VALUE!</v>
      </c>
      <c r="GC39" s="3450" t="e">
        <f t="shared" ca="1" si="73"/>
        <v>#VALUE!</v>
      </c>
      <c r="GD39" s="3450" t="e">
        <f t="shared" ca="1" si="74"/>
        <v>#VALUE!</v>
      </c>
    </row>
    <row r="40" spans="1:186" ht="18" hidden="1" customHeight="1" outlineLevel="1">
      <c r="A40" s="3452" t="str">
        <f t="shared" ca="1" si="97"/>
        <v>None</v>
      </c>
      <c r="B40" s="3454">
        <f t="shared" ca="1" si="101"/>
        <v>0</v>
      </c>
      <c r="C40" s="1772"/>
      <c r="E40" s="320"/>
      <c r="F40" s="320"/>
      <c r="G40" s="320"/>
      <c r="H40" s="320"/>
      <c r="I40" s="3455" t="s">
        <v>3625</v>
      </c>
      <c r="J40" s="3570" t="str">
        <f>VLOOKUP(J44,Data!$AA$943:$AB$959,2,0)</f>
        <v>Non Metalize</v>
      </c>
      <c r="K40" s="991"/>
      <c r="L40" s="833"/>
      <c r="M40" s="1000"/>
      <c r="Q40" s="3450">
        <f t="shared" ca="1" si="98"/>
        <v>2</v>
      </c>
      <c r="R40" s="3451">
        <f t="shared" si="103"/>
        <v>14</v>
      </c>
      <c r="S40" s="3450" t="str">
        <f t="shared" si="102"/>
        <v>MẶT SAU</v>
      </c>
      <c r="T40" s="3450">
        <f t="shared" si="99"/>
        <v>13</v>
      </c>
      <c r="U40" s="3450" t="str">
        <f t="shared" ca="1" si="100"/>
        <v/>
      </c>
      <c r="V40" s="3450"/>
      <c r="W40" s="3450"/>
      <c r="X40" s="3450">
        <f ca="1">IF(VLOOKUP(OFFSET($A$25,Z40,0),'Summary Data'!$C:$AV,45,0)&gt;0,"UV ink",Y40)</f>
        <v>0</v>
      </c>
      <c r="AJ40" s="320"/>
      <c r="AK40" s="3450" t="str">
        <f t="shared" si="75"/>
        <v>artboardlấy</v>
      </c>
      <c r="AL40" s="3450" t="str">
        <f t="shared" si="76"/>
        <v>artboardtừ từ</v>
      </c>
      <c r="AM40" s="3450" t="s">
        <v>3566</v>
      </c>
      <c r="AN40" s="3450">
        <v>790</v>
      </c>
      <c r="AO40" s="3450">
        <f t="shared" si="77"/>
        <v>395</v>
      </c>
      <c r="AP40" s="3460">
        <f t="shared" si="78"/>
        <v>1.238244514106583</v>
      </c>
      <c r="AQ40" s="3450" t="str">
        <f t="shared" si="79"/>
        <v>từ từ</v>
      </c>
      <c r="AR40" s="3450" t="str">
        <f t="shared" si="80"/>
        <v>lấy</v>
      </c>
      <c r="BA40" s="3450" t="e">
        <f t="shared" ca="1" si="0"/>
        <v>#DIV/0!</v>
      </c>
      <c r="BB40" s="3450" t="e">
        <f t="shared" ca="1" si="1"/>
        <v>#DIV/0!</v>
      </c>
      <c r="BC40" s="3450" t="s">
        <v>3566</v>
      </c>
      <c r="BD40" s="3450">
        <v>790</v>
      </c>
      <c r="BE40" s="3450">
        <f t="shared" si="82"/>
        <v>395</v>
      </c>
      <c r="BF40" s="3460" t="e">
        <f t="shared" ca="1" si="2"/>
        <v>#DIV/0!</v>
      </c>
      <c r="BG40" s="3450" t="e">
        <f t="shared" ca="1" si="3"/>
        <v>#DIV/0!</v>
      </c>
      <c r="BH40" s="3450" t="e">
        <f t="shared" ca="1" si="4"/>
        <v>#DIV/0!</v>
      </c>
      <c r="BJ40" s="3450" t="e">
        <f t="shared" ca="1" si="5"/>
        <v>#DIV/0!</v>
      </c>
      <c r="BK40" s="3450" t="e">
        <f t="shared" ca="1" si="6"/>
        <v>#DIV/0!</v>
      </c>
      <c r="BL40" s="3450" t="s">
        <v>3566</v>
      </c>
      <c r="BM40" s="3450">
        <v>790</v>
      </c>
      <c r="BN40" s="3450">
        <f t="shared" si="83"/>
        <v>395</v>
      </c>
      <c r="BO40" s="3460" t="e">
        <f t="shared" ca="1" si="7"/>
        <v>#DIV/0!</v>
      </c>
      <c r="BP40" s="3450" t="e">
        <f t="shared" ca="1" si="8"/>
        <v>#DIV/0!</v>
      </c>
      <c r="BQ40" s="3450" t="e">
        <f t="shared" ca="1" si="9"/>
        <v>#DIV/0!</v>
      </c>
      <c r="BS40" s="3450" t="e">
        <f t="shared" ca="1" si="10"/>
        <v>#DIV/0!</v>
      </c>
      <c r="BT40" s="3450" t="e">
        <f t="shared" ca="1" si="11"/>
        <v>#DIV/0!</v>
      </c>
      <c r="BU40" s="3450" t="s">
        <v>3566</v>
      </c>
      <c r="BV40" s="3450">
        <v>790</v>
      </c>
      <c r="BW40" s="3450">
        <f t="shared" si="84"/>
        <v>395</v>
      </c>
      <c r="BX40" s="3460" t="e">
        <f t="shared" ca="1" si="12"/>
        <v>#DIV/0!</v>
      </c>
      <c r="BY40" s="3450" t="e">
        <f t="shared" ca="1" si="13"/>
        <v>#DIV/0!</v>
      </c>
      <c r="BZ40" s="3450" t="e">
        <f t="shared" ca="1" si="14"/>
        <v>#DIV/0!</v>
      </c>
      <c r="CB40" s="3450" t="e">
        <f t="shared" ca="1" si="15"/>
        <v>#DIV/0!</v>
      </c>
      <c r="CC40" s="3450" t="e">
        <f t="shared" ca="1" si="16"/>
        <v>#DIV/0!</v>
      </c>
      <c r="CD40" s="3450" t="s">
        <v>3566</v>
      </c>
      <c r="CE40" s="3450">
        <v>790</v>
      </c>
      <c r="CF40" s="3450">
        <f t="shared" si="85"/>
        <v>395</v>
      </c>
      <c r="CG40" s="3460" t="e">
        <f t="shared" ca="1" si="17"/>
        <v>#DIV/0!</v>
      </c>
      <c r="CH40" s="3450" t="e">
        <f t="shared" ca="1" si="18"/>
        <v>#DIV/0!</v>
      </c>
      <c r="CI40" s="3450" t="e">
        <f t="shared" ca="1" si="19"/>
        <v>#DIV/0!</v>
      </c>
      <c r="CK40" s="3450" t="e">
        <f t="shared" ca="1" si="20"/>
        <v>#DIV/0!</v>
      </c>
      <c r="CL40" s="3450" t="e">
        <f t="shared" ca="1" si="21"/>
        <v>#DIV/0!</v>
      </c>
      <c r="CM40" s="3450" t="s">
        <v>3566</v>
      </c>
      <c r="CN40" s="3450">
        <v>790</v>
      </c>
      <c r="CO40" s="3450">
        <f t="shared" si="86"/>
        <v>395</v>
      </c>
      <c r="CP40" s="3460" t="e">
        <f t="shared" ca="1" si="22"/>
        <v>#DIV/0!</v>
      </c>
      <c r="CQ40" s="3450" t="e">
        <f t="shared" ca="1" si="23"/>
        <v>#DIV/0!</v>
      </c>
      <c r="CR40" s="3450" t="e">
        <f t="shared" ca="1" si="24"/>
        <v>#DIV/0!</v>
      </c>
      <c r="CT40" s="3450" t="e">
        <f t="shared" ca="1" si="25"/>
        <v>#DIV/0!</v>
      </c>
      <c r="CU40" s="3450" t="e">
        <f t="shared" ca="1" si="26"/>
        <v>#DIV/0!</v>
      </c>
      <c r="CV40" s="3450" t="s">
        <v>3566</v>
      </c>
      <c r="CW40" s="3450">
        <v>790</v>
      </c>
      <c r="CX40" s="3450">
        <f t="shared" si="87"/>
        <v>395</v>
      </c>
      <c r="CY40" s="3460" t="e">
        <f t="shared" ca="1" si="27"/>
        <v>#DIV/0!</v>
      </c>
      <c r="CZ40" s="3450" t="e">
        <f t="shared" ca="1" si="28"/>
        <v>#DIV/0!</v>
      </c>
      <c r="DA40" s="3450" t="e">
        <f t="shared" ca="1" si="29"/>
        <v>#DIV/0!</v>
      </c>
      <c r="DC40" s="3450" t="e">
        <f t="shared" ca="1" si="30"/>
        <v>#DIV/0!</v>
      </c>
      <c r="DD40" s="3450" t="e">
        <f t="shared" ca="1" si="31"/>
        <v>#DIV/0!</v>
      </c>
      <c r="DE40" s="3450" t="s">
        <v>3566</v>
      </c>
      <c r="DF40" s="3450">
        <v>790</v>
      </c>
      <c r="DG40" s="3450">
        <f t="shared" si="88"/>
        <v>395</v>
      </c>
      <c r="DH40" s="3460" t="e">
        <f t="shared" ca="1" si="32"/>
        <v>#DIV/0!</v>
      </c>
      <c r="DI40" s="3450" t="e">
        <f t="shared" ca="1" si="33"/>
        <v>#DIV/0!</v>
      </c>
      <c r="DJ40" s="3450" t="e">
        <f t="shared" ca="1" si="34"/>
        <v>#DIV/0!</v>
      </c>
      <c r="DL40" s="3450" t="e">
        <f t="shared" ca="1" si="35"/>
        <v>#DIV/0!</v>
      </c>
      <c r="DM40" s="3450" t="e">
        <f t="shared" ca="1" si="36"/>
        <v>#DIV/0!</v>
      </c>
      <c r="DN40" s="3450" t="s">
        <v>3566</v>
      </c>
      <c r="DO40" s="3450">
        <v>790</v>
      </c>
      <c r="DP40" s="3450">
        <f t="shared" si="89"/>
        <v>395</v>
      </c>
      <c r="DQ40" s="3460" t="e">
        <f t="shared" ca="1" si="37"/>
        <v>#DIV/0!</v>
      </c>
      <c r="DR40" s="3450" t="e">
        <f t="shared" ca="1" si="38"/>
        <v>#DIV/0!</v>
      </c>
      <c r="DS40" s="3450" t="e">
        <f t="shared" ca="1" si="39"/>
        <v>#DIV/0!</v>
      </c>
      <c r="DU40" s="3450" t="e">
        <f t="shared" ca="1" si="40"/>
        <v>#DIV/0!</v>
      </c>
      <c r="DV40" s="3450" t="e">
        <f t="shared" ca="1" si="41"/>
        <v>#DIV/0!</v>
      </c>
      <c r="DW40" s="3450" t="s">
        <v>3566</v>
      </c>
      <c r="DX40" s="3450">
        <v>790</v>
      </c>
      <c r="DY40" s="3450">
        <f t="shared" si="90"/>
        <v>395</v>
      </c>
      <c r="DZ40" s="3460" t="e">
        <f t="shared" ca="1" si="42"/>
        <v>#DIV/0!</v>
      </c>
      <c r="EA40" s="3450" t="e">
        <f t="shared" ca="1" si="43"/>
        <v>#DIV/0!</v>
      </c>
      <c r="EB40" s="3450" t="e">
        <f t="shared" ca="1" si="44"/>
        <v>#DIV/0!</v>
      </c>
      <c r="ED40" s="3450" t="e">
        <f t="shared" ca="1" si="45"/>
        <v>#DIV/0!</v>
      </c>
      <c r="EE40" s="3450" t="e">
        <f t="shared" ca="1" si="46"/>
        <v>#DIV/0!</v>
      </c>
      <c r="EF40" s="3450" t="s">
        <v>3566</v>
      </c>
      <c r="EG40" s="3450">
        <v>790</v>
      </c>
      <c r="EH40" s="3450">
        <f t="shared" si="91"/>
        <v>395</v>
      </c>
      <c r="EI40" s="3460" t="e">
        <f t="shared" ca="1" si="47"/>
        <v>#DIV/0!</v>
      </c>
      <c r="EJ40" s="3450" t="e">
        <f t="shared" ca="1" si="48"/>
        <v>#DIV/0!</v>
      </c>
      <c r="EK40" s="3450" t="e">
        <f t="shared" ca="1" si="49"/>
        <v>#DIV/0!</v>
      </c>
      <c r="EM40" s="3450" t="e">
        <f t="shared" ca="1" si="50"/>
        <v>#DIV/0!</v>
      </c>
      <c r="EN40" s="3450" t="e">
        <f t="shared" ca="1" si="51"/>
        <v>#DIV/0!</v>
      </c>
      <c r="EO40" s="3450" t="s">
        <v>3566</v>
      </c>
      <c r="EP40" s="3450">
        <v>790</v>
      </c>
      <c r="EQ40" s="3450">
        <f t="shared" si="92"/>
        <v>395</v>
      </c>
      <c r="ER40" s="3460" t="e">
        <f t="shared" ca="1" si="52"/>
        <v>#DIV/0!</v>
      </c>
      <c r="ES40" s="3450" t="e">
        <f t="shared" ca="1" si="53"/>
        <v>#DIV/0!</v>
      </c>
      <c r="ET40" s="3450" t="e">
        <f t="shared" ca="1" si="54"/>
        <v>#DIV/0!</v>
      </c>
      <c r="EV40" s="3450" t="e">
        <f t="shared" ca="1" si="55"/>
        <v>#DIV/0!</v>
      </c>
      <c r="EW40" s="3450" t="e">
        <f t="shared" ca="1" si="56"/>
        <v>#DIV/0!</v>
      </c>
      <c r="EX40" s="3450" t="s">
        <v>3566</v>
      </c>
      <c r="EY40" s="3450">
        <v>790</v>
      </c>
      <c r="EZ40" s="3450">
        <f t="shared" si="93"/>
        <v>395</v>
      </c>
      <c r="FA40" s="3460" t="e">
        <f t="shared" ca="1" si="57"/>
        <v>#DIV/0!</v>
      </c>
      <c r="FB40" s="3450" t="e">
        <f t="shared" ca="1" si="58"/>
        <v>#DIV/0!</v>
      </c>
      <c r="FC40" s="3450" t="e">
        <f t="shared" ca="1" si="59"/>
        <v>#DIV/0!</v>
      </c>
      <c r="FE40" s="3450" t="e">
        <f t="shared" ca="1" si="60"/>
        <v>#DIV/0!</v>
      </c>
      <c r="FF40" s="3450" t="e">
        <f t="shared" ca="1" si="61"/>
        <v>#DIV/0!</v>
      </c>
      <c r="FG40" s="3450" t="s">
        <v>3566</v>
      </c>
      <c r="FH40" s="3450">
        <v>790</v>
      </c>
      <c r="FI40" s="3450">
        <f t="shared" si="94"/>
        <v>395</v>
      </c>
      <c r="FJ40" s="3460" t="e">
        <f t="shared" ca="1" si="62"/>
        <v>#DIV/0!</v>
      </c>
      <c r="FK40" s="3450" t="e">
        <f t="shared" ca="1" si="63"/>
        <v>#DIV/0!</v>
      </c>
      <c r="FL40" s="3450" t="e">
        <f t="shared" ca="1" si="64"/>
        <v>#DIV/0!</v>
      </c>
      <c r="FN40" s="3450" t="e">
        <f t="shared" ca="1" si="65"/>
        <v>#DIV/0!</v>
      </c>
      <c r="FO40" s="3450" t="e">
        <f t="shared" ca="1" si="66"/>
        <v>#DIV/0!</v>
      </c>
      <c r="FP40" s="3450" t="s">
        <v>3566</v>
      </c>
      <c r="FQ40" s="3450">
        <v>790</v>
      </c>
      <c r="FR40" s="3450">
        <f t="shared" si="95"/>
        <v>395</v>
      </c>
      <c r="FS40" s="3460" t="e">
        <f t="shared" ca="1" si="67"/>
        <v>#DIV/0!</v>
      </c>
      <c r="FT40" s="3450" t="e">
        <f t="shared" ca="1" si="68"/>
        <v>#DIV/0!</v>
      </c>
      <c r="FU40" s="3450" t="e">
        <f t="shared" ca="1" si="69"/>
        <v>#DIV/0!</v>
      </c>
      <c r="FW40" s="3450" t="e">
        <f t="shared" ca="1" si="70"/>
        <v>#VALUE!</v>
      </c>
      <c r="FX40" s="3450" t="e">
        <f t="shared" ca="1" si="71"/>
        <v>#VALUE!</v>
      </c>
      <c r="FY40" s="3450" t="s">
        <v>3566</v>
      </c>
      <c r="FZ40" s="3450">
        <v>790</v>
      </c>
      <c r="GA40" s="3450">
        <f t="shared" si="96"/>
        <v>395</v>
      </c>
      <c r="GB40" s="3460" t="e">
        <f t="shared" ca="1" si="72"/>
        <v>#VALUE!</v>
      </c>
      <c r="GC40" s="3450" t="e">
        <f t="shared" ca="1" si="73"/>
        <v>#VALUE!</v>
      </c>
      <c r="GD40" s="3450" t="e">
        <f t="shared" ca="1" si="74"/>
        <v>#VALUE!</v>
      </c>
    </row>
    <row r="41" spans="1:186" ht="18" hidden="1" customHeight="1" outlineLevel="1">
      <c r="A41" s="919"/>
      <c r="B41" s="919"/>
      <c r="C41" s="320"/>
      <c r="D41" s="320"/>
      <c r="E41" s="320"/>
      <c r="F41" s="320"/>
      <c r="G41" s="320"/>
      <c r="H41" s="320"/>
      <c r="I41" s="3572"/>
      <c r="K41" s="991"/>
      <c r="L41" s="833"/>
      <c r="M41" s="1000"/>
      <c r="AJ41" s="320"/>
      <c r="AK41" s="3450" t="str">
        <f t="shared" si="75"/>
        <v>art paperlấy</v>
      </c>
      <c r="AL41" s="3450" t="str">
        <f t="shared" si="76"/>
        <v>art papertừ từ</v>
      </c>
      <c r="AM41" s="3450" t="s">
        <v>3567</v>
      </c>
      <c r="AN41" s="3450">
        <v>650</v>
      </c>
      <c r="AO41" s="3450">
        <f t="shared" si="77"/>
        <v>325</v>
      </c>
      <c r="AP41" s="3460">
        <f t="shared" si="78"/>
        <v>1.0188087774294672</v>
      </c>
      <c r="AQ41" s="3450" t="str">
        <f t="shared" si="79"/>
        <v>từ từ</v>
      </c>
      <c r="AR41" s="3450" t="str">
        <f t="shared" si="80"/>
        <v>lấy</v>
      </c>
      <c r="AS41" s="3457" t="s">
        <v>2055</v>
      </c>
      <c r="AT41" s="3457" t="s">
        <v>3559</v>
      </c>
      <c r="AU41" s="3457" t="s">
        <v>3560</v>
      </c>
      <c r="AV41" s="3457" t="s">
        <v>3561</v>
      </c>
      <c r="AW41" s="3457"/>
      <c r="AX41" s="146"/>
      <c r="AY41" s="146"/>
      <c r="BA41" s="3450" t="e">
        <f t="shared" ca="1" si="0"/>
        <v>#DIV/0!</v>
      </c>
      <c r="BB41" s="3450" t="e">
        <f t="shared" ca="1" si="1"/>
        <v>#DIV/0!</v>
      </c>
      <c r="BC41" s="3450" t="s">
        <v>3567</v>
      </c>
      <c r="BD41" s="3450">
        <v>650</v>
      </c>
      <c r="BE41" s="3450">
        <f t="shared" si="82"/>
        <v>325</v>
      </c>
      <c r="BF41" s="3460" t="e">
        <f t="shared" ca="1" si="2"/>
        <v>#DIV/0!</v>
      </c>
      <c r="BG41" s="3450" t="e">
        <f t="shared" ca="1" si="3"/>
        <v>#DIV/0!</v>
      </c>
      <c r="BH41" s="3450" t="e">
        <f t="shared" ca="1" si="4"/>
        <v>#DIV/0!</v>
      </c>
      <c r="BJ41" s="3450" t="e">
        <f t="shared" ca="1" si="5"/>
        <v>#DIV/0!</v>
      </c>
      <c r="BK41" s="3450" t="e">
        <f t="shared" ca="1" si="6"/>
        <v>#DIV/0!</v>
      </c>
      <c r="BL41" s="3450" t="s">
        <v>3567</v>
      </c>
      <c r="BM41" s="3450">
        <v>650</v>
      </c>
      <c r="BN41" s="3450">
        <f t="shared" si="83"/>
        <v>325</v>
      </c>
      <c r="BO41" s="3460" t="e">
        <f t="shared" ca="1" si="7"/>
        <v>#DIV/0!</v>
      </c>
      <c r="BP41" s="3450" t="e">
        <f t="shared" ca="1" si="8"/>
        <v>#DIV/0!</v>
      </c>
      <c r="BQ41" s="3450" t="e">
        <f t="shared" ca="1" si="9"/>
        <v>#DIV/0!</v>
      </c>
      <c r="BS41" s="3450" t="e">
        <f t="shared" ca="1" si="10"/>
        <v>#DIV/0!</v>
      </c>
      <c r="BT41" s="3450" t="e">
        <f t="shared" ca="1" si="11"/>
        <v>#DIV/0!</v>
      </c>
      <c r="BU41" s="3450" t="s">
        <v>3567</v>
      </c>
      <c r="BV41" s="3450">
        <v>650</v>
      </c>
      <c r="BW41" s="3450">
        <f t="shared" si="84"/>
        <v>325</v>
      </c>
      <c r="BX41" s="3460" t="e">
        <f t="shared" ca="1" si="12"/>
        <v>#DIV/0!</v>
      </c>
      <c r="BY41" s="3450" t="e">
        <f t="shared" ca="1" si="13"/>
        <v>#DIV/0!</v>
      </c>
      <c r="BZ41" s="3450" t="e">
        <f t="shared" ca="1" si="14"/>
        <v>#DIV/0!</v>
      </c>
      <c r="CB41" s="3450" t="e">
        <f t="shared" ca="1" si="15"/>
        <v>#DIV/0!</v>
      </c>
      <c r="CC41" s="3450" t="e">
        <f t="shared" ca="1" si="16"/>
        <v>#DIV/0!</v>
      </c>
      <c r="CD41" s="3450" t="s">
        <v>3567</v>
      </c>
      <c r="CE41" s="3450">
        <v>650</v>
      </c>
      <c r="CF41" s="3450">
        <f t="shared" si="85"/>
        <v>325</v>
      </c>
      <c r="CG41" s="3460" t="e">
        <f t="shared" ca="1" si="17"/>
        <v>#DIV/0!</v>
      </c>
      <c r="CH41" s="3450" t="e">
        <f t="shared" ca="1" si="18"/>
        <v>#DIV/0!</v>
      </c>
      <c r="CI41" s="3450" t="e">
        <f t="shared" ca="1" si="19"/>
        <v>#DIV/0!</v>
      </c>
      <c r="CK41" s="3450" t="e">
        <f t="shared" ca="1" si="20"/>
        <v>#DIV/0!</v>
      </c>
      <c r="CL41" s="3450" t="e">
        <f t="shared" ca="1" si="21"/>
        <v>#DIV/0!</v>
      </c>
      <c r="CM41" s="3450" t="s">
        <v>3567</v>
      </c>
      <c r="CN41" s="3450">
        <v>650</v>
      </c>
      <c r="CO41" s="3450">
        <f t="shared" si="86"/>
        <v>325</v>
      </c>
      <c r="CP41" s="3460" t="e">
        <f t="shared" ca="1" si="22"/>
        <v>#DIV/0!</v>
      </c>
      <c r="CQ41" s="3450" t="e">
        <f t="shared" ca="1" si="23"/>
        <v>#DIV/0!</v>
      </c>
      <c r="CR41" s="3450" t="e">
        <f t="shared" ca="1" si="24"/>
        <v>#DIV/0!</v>
      </c>
      <c r="CT41" s="3450" t="e">
        <f t="shared" ca="1" si="25"/>
        <v>#DIV/0!</v>
      </c>
      <c r="CU41" s="3450" t="e">
        <f t="shared" ca="1" si="26"/>
        <v>#DIV/0!</v>
      </c>
      <c r="CV41" s="3450" t="s">
        <v>3567</v>
      </c>
      <c r="CW41" s="3450">
        <v>650</v>
      </c>
      <c r="CX41" s="3450">
        <f t="shared" si="87"/>
        <v>325</v>
      </c>
      <c r="CY41" s="3460" t="e">
        <f t="shared" ca="1" si="27"/>
        <v>#DIV/0!</v>
      </c>
      <c r="CZ41" s="3450" t="e">
        <f t="shared" ca="1" si="28"/>
        <v>#DIV/0!</v>
      </c>
      <c r="DA41" s="3450" t="e">
        <f t="shared" ca="1" si="29"/>
        <v>#DIV/0!</v>
      </c>
      <c r="DC41" s="3450" t="e">
        <f t="shared" ca="1" si="30"/>
        <v>#DIV/0!</v>
      </c>
      <c r="DD41" s="3450" t="e">
        <f t="shared" ca="1" si="31"/>
        <v>#DIV/0!</v>
      </c>
      <c r="DE41" s="3450" t="s">
        <v>3567</v>
      </c>
      <c r="DF41" s="3450">
        <v>650</v>
      </c>
      <c r="DG41" s="3450">
        <f t="shared" si="88"/>
        <v>325</v>
      </c>
      <c r="DH41" s="3460" t="e">
        <f t="shared" ca="1" si="32"/>
        <v>#DIV/0!</v>
      </c>
      <c r="DI41" s="3450" t="e">
        <f t="shared" ca="1" si="33"/>
        <v>#DIV/0!</v>
      </c>
      <c r="DJ41" s="3450" t="e">
        <f t="shared" ca="1" si="34"/>
        <v>#DIV/0!</v>
      </c>
      <c r="DL41" s="3450" t="e">
        <f t="shared" ca="1" si="35"/>
        <v>#DIV/0!</v>
      </c>
      <c r="DM41" s="3450" t="e">
        <f t="shared" ca="1" si="36"/>
        <v>#DIV/0!</v>
      </c>
      <c r="DN41" s="3450" t="s">
        <v>3567</v>
      </c>
      <c r="DO41" s="3450">
        <v>650</v>
      </c>
      <c r="DP41" s="3450">
        <f t="shared" si="89"/>
        <v>325</v>
      </c>
      <c r="DQ41" s="3460" t="e">
        <f t="shared" ca="1" si="37"/>
        <v>#DIV/0!</v>
      </c>
      <c r="DR41" s="3450" t="e">
        <f t="shared" ca="1" si="38"/>
        <v>#DIV/0!</v>
      </c>
      <c r="DS41" s="3450" t="e">
        <f t="shared" ca="1" si="39"/>
        <v>#DIV/0!</v>
      </c>
      <c r="DU41" s="3450" t="e">
        <f t="shared" ca="1" si="40"/>
        <v>#DIV/0!</v>
      </c>
      <c r="DV41" s="3450" t="e">
        <f t="shared" ca="1" si="41"/>
        <v>#DIV/0!</v>
      </c>
      <c r="DW41" s="3450" t="s">
        <v>3567</v>
      </c>
      <c r="DX41" s="3450">
        <v>650</v>
      </c>
      <c r="DY41" s="3450">
        <f t="shared" si="90"/>
        <v>325</v>
      </c>
      <c r="DZ41" s="3460" t="e">
        <f t="shared" ca="1" si="42"/>
        <v>#DIV/0!</v>
      </c>
      <c r="EA41" s="3450" t="e">
        <f t="shared" ca="1" si="43"/>
        <v>#DIV/0!</v>
      </c>
      <c r="EB41" s="3450" t="e">
        <f t="shared" ca="1" si="44"/>
        <v>#DIV/0!</v>
      </c>
      <c r="ED41" s="3450" t="e">
        <f t="shared" ca="1" si="45"/>
        <v>#DIV/0!</v>
      </c>
      <c r="EE41" s="3450" t="e">
        <f t="shared" ca="1" si="46"/>
        <v>#DIV/0!</v>
      </c>
      <c r="EF41" s="3450" t="s">
        <v>3567</v>
      </c>
      <c r="EG41" s="3450">
        <v>650</v>
      </c>
      <c r="EH41" s="3450">
        <f t="shared" si="91"/>
        <v>325</v>
      </c>
      <c r="EI41" s="3460" t="e">
        <f t="shared" ca="1" si="47"/>
        <v>#DIV/0!</v>
      </c>
      <c r="EJ41" s="3450" t="e">
        <f t="shared" ca="1" si="48"/>
        <v>#DIV/0!</v>
      </c>
      <c r="EK41" s="3450" t="e">
        <f t="shared" ca="1" si="49"/>
        <v>#DIV/0!</v>
      </c>
      <c r="EM41" s="3450" t="e">
        <f t="shared" ca="1" si="50"/>
        <v>#DIV/0!</v>
      </c>
      <c r="EN41" s="3450" t="e">
        <f t="shared" ca="1" si="51"/>
        <v>#DIV/0!</v>
      </c>
      <c r="EO41" s="3450" t="s">
        <v>3567</v>
      </c>
      <c r="EP41" s="3450">
        <v>650</v>
      </c>
      <c r="EQ41" s="3450">
        <f t="shared" si="92"/>
        <v>325</v>
      </c>
      <c r="ER41" s="3460" t="e">
        <f t="shared" ca="1" si="52"/>
        <v>#DIV/0!</v>
      </c>
      <c r="ES41" s="3450" t="e">
        <f t="shared" ca="1" si="53"/>
        <v>#DIV/0!</v>
      </c>
      <c r="ET41" s="3450" t="e">
        <f t="shared" ca="1" si="54"/>
        <v>#DIV/0!</v>
      </c>
      <c r="EV41" s="3450" t="e">
        <f t="shared" ca="1" si="55"/>
        <v>#DIV/0!</v>
      </c>
      <c r="EW41" s="3450" t="e">
        <f t="shared" ca="1" si="56"/>
        <v>#DIV/0!</v>
      </c>
      <c r="EX41" s="3450" t="s">
        <v>3567</v>
      </c>
      <c r="EY41" s="3450">
        <v>650</v>
      </c>
      <c r="EZ41" s="3450">
        <f t="shared" si="93"/>
        <v>325</v>
      </c>
      <c r="FA41" s="3460" t="e">
        <f t="shared" ca="1" si="57"/>
        <v>#DIV/0!</v>
      </c>
      <c r="FB41" s="3450" t="e">
        <f t="shared" ca="1" si="58"/>
        <v>#DIV/0!</v>
      </c>
      <c r="FC41" s="3450" t="e">
        <f t="shared" ca="1" si="59"/>
        <v>#DIV/0!</v>
      </c>
      <c r="FE41" s="3450" t="e">
        <f t="shared" ca="1" si="60"/>
        <v>#DIV/0!</v>
      </c>
      <c r="FF41" s="3450" t="e">
        <f t="shared" ca="1" si="61"/>
        <v>#DIV/0!</v>
      </c>
      <c r="FG41" s="3450" t="s">
        <v>3567</v>
      </c>
      <c r="FH41" s="3450">
        <v>650</v>
      </c>
      <c r="FI41" s="3450">
        <f t="shared" si="94"/>
        <v>325</v>
      </c>
      <c r="FJ41" s="3460" t="e">
        <f t="shared" ca="1" si="62"/>
        <v>#DIV/0!</v>
      </c>
      <c r="FK41" s="3450" t="e">
        <f t="shared" ca="1" si="63"/>
        <v>#DIV/0!</v>
      </c>
      <c r="FL41" s="3450" t="e">
        <f t="shared" ca="1" si="64"/>
        <v>#DIV/0!</v>
      </c>
      <c r="FN41" s="3450" t="e">
        <f t="shared" ca="1" si="65"/>
        <v>#DIV/0!</v>
      </c>
      <c r="FO41" s="3450" t="e">
        <f t="shared" ca="1" si="66"/>
        <v>#DIV/0!</v>
      </c>
      <c r="FP41" s="3450" t="s">
        <v>3567</v>
      </c>
      <c r="FQ41" s="3450">
        <v>650</v>
      </c>
      <c r="FR41" s="3450">
        <f t="shared" si="95"/>
        <v>325</v>
      </c>
      <c r="FS41" s="3460" t="e">
        <f t="shared" ca="1" si="67"/>
        <v>#DIV/0!</v>
      </c>
      <c r="FT41" s="3450" t="e">
        <f t="shared" ca="1" si="68"/>
        <v>#DIV/0!</v>
      </c>
      <c r="FU41" s="3450" t="e">
        <f t="shared" ca="1" si="69"/>
        <v>#DIV/0!</v>
      </c>
      <c r="FW41" s="3450" t="e">
        <f t="shared" ca="1" si="70"/>
        <v>#VALUE!</v>
      </c>
      <c r="FX41" s="3450" t="e">
        <f t="shared" ca="1" si="71"/>
        <v>#VALUE!</v>
      </c>
      <c r="FY41" s="3450" t="s">
        <v>3567</v>
      </c>
      <c r="FZ41" s="3450">
        <v>650</v>
      </c>
      <c r="GA41" s="3450">
        <f t="shared" si="96"/>
        <v>325</v>
      </c>
      <c r="GB41" s="3460" t="e">
        <f t="shared" ca="1" si="72"/>
        <v>#VALUE!</v>
      </c>
      <c r="GC41" s="3450" t="e">
        <f t="shared" ca="1" si="73"/>
        <v>#VALUE!</v>
      </c>
      <c r="GD41" s="3450" t="e">
        <f t="shared" ca="1" si="74"/>
        <v>#VALUE!</v>
      </c>
    </row>
    <row r="42" spans="1:186" ht="18" hidden="1" customHeight="1" outlineLevel="1">
      <c r="A42" s="1761" t="str">
        <f>IFERROR(INDEX('Summary Data'!B:B,MATCH(2,'Summary Data'!GS:GS,0),1),"N")</f>
        <v>N</v>
      </c>
      <c r="B42" s="1762"/>
      <c r="C42" s="1614" t="s">
        <v>1393</v>
      </c>
      <c r="D42" s="1614"/>
      <c r="E42" s="1614" t="s">
        <v>649</v>
      </c>
      <c r="F42" s="1614"/>
      <c r="G42" s="1614"/>
      <c r="H42" s="1614">
        <v>0</v>
      </c>
      <c r="I42" s="1614">
        <f>VALUE(LEFT(I40,1)+RIGHT(I40,1))</f>
        <v>0</v>
      </c>
      <c r="J42" s="1763"/>
      <c r="K42" s="1764"/>
      <c r="L42" s="3448" t="e">
        <f ca="1">VLOOKUP(E42&amp;J40,AS43:AW48,4,0)</f>
        <v>#N/A</v>
      </c>
      <c r="M42" s="3449">
        <f>VLOOKUP(E42&amp;J40,AS43:AW48,5,0)</f>
        <v>3</v>
      </c>
      <c r="N42" s="1771"/>
      <c r="O42" s="2150" t="s">
        <v>106</v>
      </c>
      <c r="P42" s="2150" t="s">
        <v>2040</v>
      </c>
      <c r="Y42" s="136" t="str">
        <f ca="1">OFFSET($A$25,17,0)</f>
        <v>N</v>
      </c>
      <c r="AJ42" s="320"/>
      <c r="AK42" s="3450" t="str">
        <f t="shared" si="75"/>
        <v>art paperlấy</v>
      </c>
      <c r="AL42" s="3450" t="str">
        <f t="shared" si="76"/>
        <v>art papertừ từ</v>
      </c>
      <c r="AM42" s="3450" t="s">
        <v>3567</v>
      </c>
      <c r="AN42" s="3450">
        <v>790</v>
      </c>
      <c r="AO42" s="3450">
        <f t="shared" si="77"/>
        <v>395</v>
      </c>
      <c r="AP42" s="3460">
        <f t="shared" si="78"/>
        <v>1.238244514106583</v>
      </c>
      <c r="AQ42" s="3450" t="str">
        <f t="shared" si="79"/>
        <v>từ từ</v>
      </c>
      <c r="AR42" s="3450" t="str">
        <f t="shared" si="80"/>
        <v>lấy</v>
      </c>
      <c r="AS42" s="3459"/>
      <c r="AT42" s="3450" t="e">
        <f ca="1">MATCH(C42&amp;"lấy",BB:BB,0)</f>
        <v>#N/A</v>
      </c>
      <c r="AU42" s="3450" t="e">
        <f ca="1">MATCH(C42&amp;"lấy",BA:BA,0)</f>
        <v>#N/A</v>
      </c>
      <c r="AV42" s="3450" t="e">
        <f ca="1">IFERROR(INDEX(AO:AO,AT42,1),INDEX(AN:AN,AU42,1))</f>
        <v>#N/A</v>
      </c>
      <c r="AW42" s="3450"/>
      <c r="BA42" s="3450" t="e">
        <f t="shared" ca="1" si="0"/>
        <v>#DIV/0!</v>
      </c>
      <c r="BB42" s="3450" t="e">
        <f t="shared" ca="1" si="1"/>
        <v>#DIV/0!</v>
      </c>
      <c r="BC42" s="3450" t="s">
        <v>3567</v>
      </c>
      <c r="BD42" s="3450">
        <v>790</v>
      </c>
      <c r="BE42" s="3450">
        <f t="shared" si="82"/>
        <v>395</v>
      </c>
      <c r="BF42" s="3460" t="e">
        <f t="shared" ca="1" si="2"/>
        <v>#DIV/0!</v>
      </c>
      <c r="BG42" s="3450" t="e">
        <f t="shared" ca="1" si="3"/>
        <v>#DIV/0!</v>
      </c>
      <c r="BH42" s="3450" t="e">
        <f t="shared" ca="1" si="4"/>
        <v>#DIV/0!</v>
      </c>
      <c r="BJ42" s="3450" t="e">
        <f t="shared" ca="1" si="5"/>
        <v>#DIV/0!</v>
      </c>
      <c r="BK42" s="3450" t="e">
        <f t="shared" ca="1" si="6"/>
        <v>#DIV/0!</v>
      </c>
      <c r="BL42" s="3450" t="s">
        <v>3567</v>
      </c>
      <c r="BM42" s="3450">
        <v>790</v>
      </c>
      <c r="BN42" s="3450">
        <f t="shared" si="83"/>
        <v>395</v>
      </c>
      <c r="BO42" s="3460" t="e">
        <f t="shared" ca="1" si="7"/>
        <v>#DIV/0!</v>
      </c>
      <c r="BP42" s="3450" t="e">
        <f t="shared" ca="1" si="8"/>
        <v>#DIV/0!</v>
      </c>
      <c r="BQ42" s="3450" t="e">
        <f t="shared" ca="1" si="9"/>
        <v>#DIV/0!</v>
      </c>
      <c r="BS42" s="3450" t="e">
        <f t="shared" ca="1" si="10"/>
        <v>#DIV/0!</v>
      </c>
      <c r="BT42" s="3450" t="e">
        <f t="shared" ca="1" si="11"/>
        <v>#DIV/0!</v>
      </c>
      <c r="BU42" s="3450" t="s">
        <v>3567</v>
      </c>
      <c r="BV42" s="3450">
        <v>790</v>
      </c>
      <c r="BW42" s="3450">
        <f t="shared" si="84"/>
        <v>395</v>
      </c>
      <c r="BX42" s="3460" t="e">
        <f t="shared" ca="1" si="12"/>
        <v>#DIV/0!</v>
      </c>
      <c r="BY42" s="3450" t="e">
        <f t="shared" ca="1" si="13"/>
        <v>#DIV/0!</v>
      </c>
      <c r="BZ42" s="3450" t="e">
        <f t="shared" ca="1" si="14"/>
        <v>#DIV/0!</v>
      </c>
      <c r="CB42" s="3450" t="e">
        <f t="shared" ca="1" si="15"/>
        <v>#DIV/0!</v>
      </c>
      <c r="CC42" s="3450" t="e">
        <f t="shared" ca="1" si="16"/>
        <v>#DIV/0!</v>
      </c>
      <c r="CD42" s="3450" t="s">
        <v>3567</v>
      </c>
      <c r="CE42" s="3450">
        <v>790</v>
      </c>
      <c r="CF42" s="3450">
        <f t="shared" si="85"/>
        <v>395</v>
      </c>
      <c r="CG42" s="3460" t="e">
        <f t="shared" ca="1" si="17"/>
        <v>#DIV/0!</v>
      </c>
      <c r="CH42" s="3450" t="e">
        <f t="shared" ca="1" si="18"/>
        <v>#DIV/0!</v>
      </c>
      <c r="CI42" s="3450" t="e">
        <f t="shared" ca="1" si="19"/>
        <v>#DIV/0!</v>
      </c>
      <c r="CK42" s="3450" t="e">
        <f t="shared" ca="1" si="20"/>
        <v>#DIV/0!</v>
      </c>
      <c r="CL42" s="3450" t="e">
        <f t="shared" ca="1" si="21"/>
        <v>#DIV/0!</v>
      </c>
      <c r="CM42" s="3450" t="s">
        <v>3567</v>
      </c>
      <c r="CN42" s="3450">
        <v>790</v>
      </c>
      <c r="CO42" s="3450">
        <f t="shared" si="86"/>
        <v>395</v>
      </c>
      <c r="CP42" s="3460" t="e">
        <f t="shared" ca="1" si="22"/>
        <v>#DIV/0!</v>
      </c>
      <c r="CQ42" s="3450" t="e">
        <f t="shared" ca="1" si="23"/>
        <v>#DIV/0!</v>
      </c>
      <c r="CR42" s="3450" t="e">
        <f t="shared" ca="1" si="24"/>
        <v>#DIV/0!</v>
      </c>
      <c r="CT42" s="3450" t="e">
        <f t="shared" ca="1" si="25"/>
        <v>#DIV/0!</v>
      </c>
      <c r="CU42" s="3450" t="e">
        <f t="shared" ca="1" si="26"/>
        <v>#DIV/0!</v>
      </c>
      <c r="CV42" s="3450" t="s">
        <v>3567</v>
      </c>
      <c r="CW42" s="3450">
        <v>790</v>
      </c>
      <c r="CX42" s="3450">
        <f t="shared" si="87"/>
        <v>395</v>
      </c>
      <c r="CY42" s="3460" t="e">
        <f t="shared" ca="1" si="27"/>
        <v>#DIV/0!</v>
      </c>
      <c r="CZ42" s="3450" t="e">
        <f t="shared" ca="1" si="28"/>
        <v>#DIV/0!</v>
      </c>
      <c r="DA42" s="3450" t="e">
        <f t="shared" ca="1" si="29"/>
        <v>#DIV/0!</v>
      </c>
      <c r="DC42" s="3450" t="e">
        <f t="shared" ca="1" si="30"/>
        <v>#DIV/0!</v>
      </c>
      <c r="DD42" s="3450" t="e">
        <f t="shared" ca="1" si="31"/>
        <v>#DIV/0!</v>
      </c>
      <c r="DE42" s="3450" t="s">
        <v>3567</v>
      </c>
      <c r="DF42" s="3450">
        <v>790</v>
      </c>
      <c r="DG42" s="3450">
        <f t="shared" si="88"/>
        <v>395</v>
      </c>
      <c r="DH42" s="3460" t="e">
        <f t="shared" ca="1" si="32"/>
        <v>#DIV/0!</v>
      </c>
      <c r="DI42" s="3450" t="e">
        <f t="shared" ca="1" si="33"/>
        <v>#DIV/0!</v>
      </c>
      <c r="DJ42" s="3450" t="e">
        <f t="shared" ca="1" si="34"/>
        <v>#DIV/0!</v>
      </c>
      <c r="DL42" s="3450" t="e">
        <f t="shared" ca="1" si="35"/>
        <v>#DIV/0!</v>
      </c>
      <c r="DM42" s="3450" t="e">
        <f t="shared" ca="1" si="36"/>
        <v>#DIV/0!</v>
      </c>
      <c r="DN42" s="3450" t="s">
        <v>3567</v>
      </c>
      <c r="DO42" s="3450">
        <v>790</v>
      </c>
      <c r="DP42" s="3450">
        <f t="shared" si="89"/>
        <v>395</v>
      </c>
      <c r="DQ42" s="3460" t="e">
        <f t="shared" ca="1" si="37"/>
        <v>#DIV/0!</v>
      </c>
      <c r="DR42" s="3450" t="e">
        <f t="shared" ca="1" si="38"/>
        <v>#DIV/0!</v>
      </c>
      <c r="DS42" s="3450" t="e">
        <f t="shared" ca="1" si="39"/>
        <v>#DIV/0!</v>
      </c>
      <c r="DU42" s="3450" t="e">
        <f t="shared" ca="1" si="40"/>
        <v>#DIV/0!</v>
      </c>
      <c r="DV42" s="3450" t="e">
        <f t="shared" ca="1" si="41"/>
        <v>#DIV/0!</v>
      </c>
      <c r="DW42" s="3450" t="s">
        <v>3567</v>
      </c>
      <c r="DX42" s="3450">
        <v>790</v>
      </c>
      <c r="DY42" s="3450">
        <f t="shared" si="90"/>
        <v>395</v>
      </c>
      <c r="DZ42" s="3460" t="e">
        <f t="shared" ca="1" si="42"/>
        <v>#DIV/0!</v>
      </c>
      <c r="EA42" s="3450" t="e">
        <f t="shared" ca="1" si="43"/>
        <v>#DIV/0!</v>
      </c>
      <c r="EB42" s="3450" t="e">
        <f t="shared" ca="1" si="44"/>
        <v>#DIV/0!</v>
      </c>
      <c r="ED42" s="3450" t="e">
        <f t="shared" ca="1" si="45"/>
        <v>#DIV/0!</v>
      </c>
      <c r="EE42" s="3450" t="e">
        <f t="shared" ca="1" si="46"/>
        <v>#DIV/0!</v>
      </c>
      <c r="EF42" s="3450" t="s">
        <v>3567</v>
      </c>
      <c r="EG42" s="3450">
        <v>790</v>
      </c>
      <c r="EH42" s="3450">
        <f t="shared" si="91"/>
        <v>395</v>
      </c>
      <c r="EI42" s="3460" t="e">
        <f t="shared" ca="1" si="47"/>
        <v>#DIV/0!</v>
      </c>
      <c r="EJ42" s="3450" t="e">
        <f t="shared" ca="1" si="48"/>
        <v>#DIV/0!</v>
      </c>
      <c r="EK42" s="3450" t="e">
        <f t="shared" ca="1" si="49"/>
        <v>#DIV/0!</v>
      </c>
      <c r="EM42" s="3450" t="e">
        <f t="shared" ca="1" si="50"/>
        <v>#DIV/0!</v>
      </c>
      <c r="EN42" s="3450" t="e">
        <f t="shared" ca="1" si="51"/>
        <v>#DIV/0!</v>
      </c>
      <c r="EO42" s="3450" t="s">
        <v>3567</v>
      </c>
      <c r="EP42" s="3450">
        <v>790</v>
      </c>
      <c r="EQ42" s="3450">
        <f t="shared" si="92"/>
        <v>395</v>
      </c>
      <c r="ER42" s="3460" t="e">
        <f t="shared" ca="1" si="52"/>
        <v>#DIV/0!</v>
      </c>
      <c r="ES42" s="3450" t="e">
        <f t="shared" ca="1" si="53"/>
        <v>#DIV/0!</v>
      </c>
      <c r="ET42" s="3450" t="e">
        <f t="shared" ca="1" si="54"/>
        <v>#DIV/0!</v>
      </c>
      <c r="EV42" s="3450" t="e">
        <f t="shared" ca="1" si="55"/>
        <v>#DIV/0!</v>
      </c>
      <c r="EW42" s="3450" t="e">
        <f t="shared" ca="1" si="56"/>
        <v>#DIV/0!</v>
      </c>
      <c r="EX42" s="3450" t="s">
        <v>3567</v>
      </c>
      <c r="EY42" s="3450">
        <v>790</v>
      </c>
      <c r="EZ42" s="3450">
        <f t="shared" si="93"/>
        <v>395</v>
      </c>
      <c r="FA42" s="3460" t="e">
        <f t="shared" ca="1" si="57"/>
        <v>#DIV/0!</v>
      </c>
      <c r="FB42" s="3450" t="e">
        <f t="shared" ca="1" si="58"/>
        <v>#DIV/0!</v>
      </c>
      <c r="FC42" s="3450" t="e">
        <f t="shared" ca="1" si="59"/>
        <v>#DIV/0!</v>
      </c>
      <c r="FE42" s="3450" t="e">
        <f t="shared" ca="1" si="60"/>
        <v>#DIV/0!</v>
      </c>
      <c r="FF42" s="3450" t="e">
        <f t="shared" ca="1" si="61"/>
        <v>#DIV/0!</v>
      </c>
      <c r="FG42" s="3450" t="s">
        <v>3567</v>
      </c>
      <c r="FH42" s="3450">
        <v>790</v>
      </c>
      <c r="FI42" s="3450">
        <f t="shared" si="94"/>
        <v>395</v>
      </c>
      <c r="FJ42" s="3460" t="e">
        <f t="shared" ca="1" si="62"/>
        <v>#DIV/0!</v>
      </c>
      <c r="FK42" s="3450" t="e">
        <f t="shared" ca="1" si="63"/>
        <v>#DIV/0!</v>
      </c>
      <c r="FL42" s="3450" t="e">
        <f t="shared" ca="1" si="64"/>
        <v>#DIV/0!</v>
      </c>
      <c r="FN42" s="3450" t="e">
        <f t="shared" ca="1" si="65"/>
        <v>#DIV/0!</v>
      </c>
      <c r="FO42" s="3450" t="e">
        <f t="shared" ca="1" si="66"/>
        <v>#DIV/0!</v>
      </c>
      <c r="FP42" s="3450" t="s">
        <v>3567</v>
      </c>
      <c r="FQ42" s="3450">
        <v>790</v>
      </c>
      <c r="FR42" s="3450">
        <f t="shared" si="95"/>
        <v>395</v>
      </c>
      <c r="FS42" s="3460" t="e">
        <f t="shared" ca="1" si="67"/>
        <v>#DIV/0!</v>
      </c>
      <c r="FT42" s="3450" t="e">
        <f t="shared" ca="1" si="68"/>
        <v>#DIV/0!</v>
      </c>
      <c r="FU42" s="3450" t="e">
        <f t="shared" ca="1" si="69"/>
        <v>#DIV/0!</v>
      </c>
      <c r="FW42" s="3450" t="e">
        <f t="shared" ca="1" si="70"/>
        <v>#VALUE!</v>
      </c>
      <c r="FX42" s="3450" t="e">
        <f t="shared" ca="1" si="71"/>
        <v>#VALUE!</v>
      </c>
      <c r="FY42" s="3450" t="s">
        <v>3567</v>
      </c>
      <c r="FZ42" s="3450">
        <v>790</v>
      </c>
      <c r="GA42" s="3450">
        <f t="shared" si="96"/>
        <v>395</v>
      </c>
      <c r="GB42" s="3460" t="e">
        <f t="shared" ca="1" si="72"/>
        <v>#VALUE!</v>
      </c>
      <c r="GC42" s="3450" t="e">
        <f t="shared" ca="1" si="73"/>
        <v>#VALUE!</v>
      </c>
      <c r="GD42" s="3450" t="e">
        <f t="shared" ca="1" si="74"/>
        <v>#VALUE!</v>
      </c>
    </row>
    <row r="43" spans="1:186" ht="18" hidden="1" customHeight="1" outlineLevel="1">
      <c r="A43" s="1766" t="s">
        <v>213</v>
      </c>
      <c r="B43" s="1767" t="s">
        <v>1469</v>
      </c>
      <c r="C43" s="1767" t="s">
        <v>445</v>
      </c>
      <c r="D43" s="3104">
        <v>2.2000000000000002</v>
      </c>
      <c r="E43" s="1766" t="s">
        <v>1610</v>
      </c>
      <c r="F43" s="1767" t="s">
        <v>1470</v>
      </c>
      <c r="G43" s="1767" t="s">
        <v>1469</v>
      </c>
      <c r="H43" s="1767" t="s">
        <v>445</v>
      </c>
      <c r="I43" s="319"/>
      <c r="J43" s="1766" t="s">
        <v>495</v>
      </c>
      <c r="K43" s="1767" t="s">
        <v>183</v>
      </c>
      <c r="L43" s="1769" t="s">
        <v>1471</v>
      </c>
      <c r="M43" s="1766" t="s">
        <v>215</v>
      </c>
      <c r="N43" s="1767" t="s">
        <v>1469</v>
      </c>
      <c r="O43" s="1767" t="s">
        <v>1473</v>
      </c>
      <c r="Q43" s="3450" t="s">
        <v>3568</v>
      </c>
      <c r="R43" s="3450" t="s">
        <v>3569</v>
      </c>
      <c r="S43" s="3450" t="s">
        <v>3570</v>
      </c>
      <c r="T43" s="3450" t="s">
        <v>3571</v>
      </c>
      <c r="U43" s="3450" t="s">
        <v>3572</v>
      </c>
      <c r="V43" s="3450"/>
      <c r="W43" s="3450" t="s">
        <v>3574</v>
      </c>
      <c r="X43" s="3450"/>
      <c r="AJ43" s="320"/>
      <c r="AM43" s="320"/>
      <c r="AS43" s="3459" t="str">
        <f t="shared" ref="AS43:AS48" si="104">AT43&amp;AU43</f>
        <v>importNon Metalize</v>
      </c>
      <c r="AT43" s="3450" t="s">
        <v>3562</v>
      </c>
      <c r="AU43" s="3450" t="s">
        <v>800</v>
      </c>
      <c r="AV43" s="3450" t="e">
        <f ca="1">IF(E42="local",AV42,CEILING(J42+3,5))</f>
        <v>#N/A</v>
      </c>
      <c r="AW43" s="3458">
        <f>K42+3</f>
        <v>3</v>
      </c>
    </row>
    <row r="44" spans="1:186" ht="18" hidden="1" customHeight="1" outlineLevel="1">
      <c r="A44" s="3452" t="str">
        <f t="shared" ref="A44:A57" ca="1" si="105">IF($Q44=1,VLOOKUP($T44,OFFSET($W$27,Z44,0,15,2),2,0),"None")</f>
        <v>None</v>
      </c>
      <c r="B44" s="3453">
        <f t="shared" ref="B44:B57" ca="1" si="106">IF($Q44=1,IF($U44="mặt trước",ROUNDUP(OFFSET($J$25,Z44,0)*OFFSET($K$25,Z44,0)*OFFSET($D$26,Z44,0)/10^9*10000/VALUE(LEFT(OFFSET($I$23,Z44,0),1)),2),ROUNDUP(OFFSET($J$25,Z44,0)*OFFSET($K$25,Z44,0)*OFFSET($D$27,Z44,0)/10^9*10000/VALUE(RIGHT(OFFSET($I$23,Z44,0),1)),2)),0)</f>
        <v>0</v>
      </c>
      <c r="C44" s="1768"/>
      <c r="D44" s="3104">
        <v>2.1</v>
      </c>
      <c r="E44" s="1705" t="s">
        <v>127</v>
      </c>
      <c r="F44" s="1705" t="s">
        <v>1112</v>
      </c>
      <c r="G44" s="1768"/>
      <c r="H44" s="1768"/>
      <c r="J44" s="1705" t="s">
        <v>127</v>
      </c>
      <c r="K44" s="3571">
        <f>IF(VLOOKUP(J44,Data!$AN$943:$AO$959,2,0)="No",CEILING(K46+3,50),HLOOKUP(J44,Data!$AJ$943:$AL$2000,K47,0))</f>
        <v>50</v>
      </c>
      <c r="L44" s="1770" t="s">
        <v>1472</v>
      </c>
      <c r="M44" s="1705" t="s">
        <v>127</v>
      </c>
      <c r="N44" s="1768"/>
      <c r="O44" s="1705" t="s">
        <v>1259</v>
      </c>
      <c r="Q44" s="3450">
        <f t="shared" ref="Q44:Q57" ca="1" si="107">IFERROR(FIND("M",U44),2)</f>
        <v>2</v>
      </c>
      <c r="R44" s="3451">
        <v>1</v>
      </c>
      <c r="S44" s="3450" t="str">
        <f>IF(R44&lt;=VALUE(LEFT($I$40,1)),"MẶT TRƯỚC","MẶT SAU")</f>
        <v>MẶT SAU</v>
      </c>
      <c r="T44" s="3450">
        <f t="shared" ref="T44:T57" si="108">IF(S44="MẶT TRƯỚC",R44,IF(S43="mặt sau",T43+1,1))</f>
        <v>1</v>
      </c>
      <c r="U44" s="3450" t="str">
        <f t="shared" ref="U44:U57" ca="1" si="109">IF(S44="MẶT SAU",IF(T44&lt;=VALUE(RIGHT(OFFSET($I$23,Z44,0),1)),"MẶT SAU",""),S44)</f>
        <v/>
      </c>
      <c r="V44" s="3450"/>
      <c r="W44" s="3450">
        <v>1</v>
      </c>
      <c r="X44" s="3450" t="str">
        <f ca="1">IF(VLOOKUP(OFFSET($A$25,Z44,0),'Summary Data'!$C:$AV,45,0)&gt;0,"UV ink",Y44)</f>
        <v>Cyan (60-124773-7.1200 Nutri-2 Proc Cyan ISO 2846-1)</v>
      </c>
      <c r="Y44" s="136" t="s">
        <v>3356</v>
      </c>
      <c r="Z44" s="136">
        <v>17</v>
      </c>
      <c r="AB44" s="136" t="e">
        <f ca="1">OFFSET($W$44,1,1,15,2)</f>
        <v>#VALUE!</v>
      </c>
      <c r="AJ44" s="320"/>
      <c r="AM44" s="320"/>
      <c r="AS44" s="3459" t="str">
        <f t="shared" si="104"/>
        <v>importMetalize</v>
      </c>
      <c r="AT44" s="3450" t="s">
        <v>3562</v>
      </c>
      <c r="AU44" s="3450" t="s">
        <v>230</v>
      </c>
      <c r="AV44" s="3450" t="e">
        <f ca="1">IF(AX44="cộng 3",AV43,CEILING(J42+6,5))</f>
        <v>#N/A</v>
      </c>
      <c r="AW44" s="3450" t="e">
        <f ca="1">IF(AY44="cộng 6",AW43+3,AW43)</f>
        <v>#N/A</v>
      </c>
      <c r="AX44" s="3477" t="e">
        <f ca="1">IF(AV43&lt;AW43,"cộng 3","cộng 6")</f>
        <v>#N/A</v>
      </c>
      <c r="AY44" s="3476" t="e">
        <f ca="1">IF(AX44="cộng 3","cộng 6","cộng 3")</f>
        <v>#N/A</v>
      </c>
    </row>
    <row r="45" spans="1:186" ht="18" hidden="1" customHeight="1" outlineLevel="1">
      <c r="A45" s="3452" t="str">
        <f t="shared" ca="1" si="105"/>
        <v>None</v>
      </c>
      <c r="B45" s="3453">
        <f t="shared" ca="1" si="106"/>
        <v>0</v>
      </c>
      <c r="C45" s="1768"/>
      <c r="E45" s="1705" t="s">
        <v>127</v>
      </c>
      <c r="F45" s="1705" t="s">
        <v>1112</v>
      </c>
      <c r="G45" s="1768"/>
      <c r="H45" s="1768"/>
      <c r="J45" s="1705" t="s">
        <v>127</v>
      </c>
      <c r="K45" s="1705"/>
      <c r="L45" s="1770" t="s">
        <v>1472</v>
      </c>
      <c r="M45" s="1705" t="s">
        <v>127</v>
      </c>
      <c r="N45" s="1768"/>
      <c r="O45" s="1705" t="s">
        <v>1259</v>
      </c>
      <c r="Q45" s="3450">
        <f t="shared" ca="1" si="107"/>
        <v>2</v>
      </c>
      <c r="R45" s="3451">
        <f>R44+1</f>
        <v>2</v>
      </c>
      <c r="S45" s="3450" t="str">
        <f t="shared" ref="S45:S57" si="110">IF(R45&lt;=VALUE(LEFT($I$40,1)),"MẶT TRƯỚC","MẶT SAU")</f>
        <v>MẶT SAU</v>
      </c>
      <c r="T45" s="3450">
        <f t="shared" si="108"/>
        <v>2</v>
      </c>
      <c r="U45" s="3450" t="str">
        <f t="shared" ca="1" si="109"/>
        <v/>
      </c>
      <c r="V45" s="3450"/>
      <c r="W45" s="3450">
        <v>2</v>
      </c>
      <c r="X45" s="3450" t="str">
        <f ca="1">IF(VLOOKUP(OFFSET($A$25,Z45,0),'Summary Data'!$C:$AV,45,0)&gt;0,"UV ink",Y45)</f>
        <v>Magenta (61-804489-5.1290 Tempo Mix Magenta A)</v>
      </c>
      <c r="Y45" s="136" t="s">
        <v>3357</v>
      </c>
      <c r="Z45" s="136">
        <f>Z44</f>
        <v>17</v>
      </c>
      <c r="AB45" s="136" t="str">
        <f ca="1">IF($Q44=1,VLOOKUP($T44,OFFSET($W$44,0,0,15,2),2,0),"None")</f>
        <v>None</v>
      </c>
      <c r="AJ45" s="320"/>
      <c r="AM45" s="320"/>
      <c r="AS45" s="3459" t="str">
        <f t="shared" si="104"/>
        <v>importRigid box</v>
      </c>
      <c r="AT45" s="3450" t="s">
        <v>3562</v>
      </c>
      <c r="AU45" s="3450" t="s">
        <v>3214</v>
      </c>
      <c r="AV45" s="3450" t="e">
        <f ca="1">AV43</f>
        <v>#N/A</v>
      </c>
      <c r="AW45" s="3450">
        <f>AW43</f>
        <v>3</v>
      </c>
    </row>
    <row r="46" spans="1:186" ht="18" hidden="1" customHeight="1" outlineLevel="1">
      <c r="A46" s="3452" t="str">
        <f t="shared" ca="1" si="105"/>
        <v>None</v>
      </c>
      <c r="B46" s="3453">
        <f t="shared" ca="1" si="106"/>
        <v>0</v>
      </c>
      <c r="C46" s="1768"/>
      <c r="E46" s="1705" t="s">
        <v>127</v>
      </c>
      <c r="F46" s="1705" t="s">
        <v>1112</v>
      </c>
      <c r="G46" s="1768"/>
      <c r="H46" s="1768"/>
      <c r="J46" s="314" t="s">
        <v>3471</v>
      </c>
      <c r="K46" s="3385"/>
      <c r="L46" s="991"/>
      <c r="M46" s="1705" t="s">
        <v>127</v>
      </c>
      <c r="N46" s="1768"/>
      <c r="O46" s="1705" t="s">
        <v>1259</v>
      </c>
      <c r="Q46" s="3450">
        <f t="shared" ca="1" si="107"/>
        <v>2</v>
      </c>
      <c r="R46" s="3451">
        <f t="shared" ref="R46:R57" si="111">R45+1</f>
        <v>3</v>
      </c>
      <c r="S46" s="3450" t="str">
        <f t="shared" si="110"/>
        <v>MẶT SAU</v>
      </c>
      <c r="T46" s="3450">
        <f t="shared" si="108"/>
        <v>3</v>
      </c>
      <c r="U46" s="3450" t="str">
        <f t="shared" ca="1" si="109"/>
        <v/>
      </c>
      <c r="V46" s="3450"/>
      <c r="W46" s="3450">
        <v>3</v>
      </c>
      <c r="X46" s="3450" t="str">
        <f ca="1">IF(VLOOKUP(OFFSET($A$25,Z46,0),'Summary Data'!$C:$AV,45,0)&gt;0,"UV ink",Y46)</f>
        <v>Yellow (61-312039-3.1290 Tempo Mix Yellow 4220)</v>
      </c>
      <c r="Y46" s="136" t="s">
        <v>3358</v>
      </c>
      <c r="Z46" s="136">
        <f t="shared" ref="Z46:Z57" si="112">Z45</f>
        <v>17</v>
      </c>
      <c r="AJ46" s="320"/>
      <c r="AM46" s="320"/>
      <c r="AS46" s="3459" t="str">
        <f t="shared" si="104"/>
        <v>localNon Metalize</v>
      </c>
      <c r="AT46" s="3450" t="s">
        <v>3563</v>
      </c>
      <c r="AU46" s="3450" t="s">
        <v>800</v>
      </c>
      <c r="AV46" s="3450" t="e">
        <f ca="1">AV42</f>
        <v>#N/A</v>
      </c>
      <c r="AW46" s="3458">
        <f>AW43</f>
        <v>3</v>
      </c>
    </row>
    <row r="47" spans="1:186" ht="18" hidden="1" customHeight="1" outlineLevel="1">
      <c r="A47" s="3452" t="str">
        <f t="shared" ca="1" si="105"/>
        <v>None</v>
      </c>
      <c r="B47" s="3453">
        <f t="shared" ca="1" si="106"/>
        <v>0</v>
      </c>
      <c r="C47" s="1768"/>
      <c r="E47" s="1705" t="s">
        <v>127</v>
      </c>
      <c r="F47" s="1705" t="s">
        <v>1112</v>
      </c>
      <c r="G47" s="1768"/>
      <c r="H47" s="1768"/>
      <c r="K47" s="3568">
        <f>K30+2</f>
        <v>4</v>
      </c>
      <c r="L47" s="991"/>
      <c r="M47" s="1705" t="s">
        <v>127</v>
      </c>
      <c r="N47" s="1768"/>
      <c r="O47" s="1705" t="s">
        <v>1259</v>
      </c>
      <c r="Q47" s="3450">
        <f t="shared" ca="1" si="107"/>
        <v>2</v>
      </c>
      <c r="R47" s="3451">
        <f t="shared" si="111"/>
        <v>4</v>
      </c>
      <c r="S47" s="3450" t="str">
        <f t="shared" si="110"/>
        <v>MẶT SAU</v>
      </c>
      <c r="T47" s="3450">
        <f t="shared" si="108"/>
        <v>4</v>
      </c>
      <c r="U47" s="3450" t="str">
        <f t="shared" ca="1" si="109"/>
        <v/>
      </c>
      <c r="V47" s="3450"/>
      <c r="W47" s="3450">
        <v>4</v>
      </c>
      <c r="X47" s="3450" t="str">
        <f ca="1">IF(VLOOKUP(OFFSET($A$25,Z47,0),'Summary Data'!$C:$AV,45,0)&gt;0,"UV ink",Y47)</f>
        <v>Black (60-914386-2.1200 Nutri-2 Proc Black ISO 2846-1)</v>
      </c>
      <c r="Y47" s="136" t="s">
        <v>3359</v>
      </c>
      <c r="Z47" s="136">
        <f t="shared" si="112"/>
        <v>17</v>
      </c>
      <c r="AJ47" s="320"/>
      <c r="AM47" s="320"/>
      <c r="AS47" s="3459" t="str">
        <f t="shared" si="104"/>
        <v>localMetalize</v>
      </c>
      <c r="AT47" s="3450" t="s">
        <v>3563</v>
      </c>
      <c r="AU47" s="3450" t="s">
        <v>230</v>
      </c>
      <c r="AV47" s="3450" t="e">
        <f ca="1">AV42</f>
        <v>#N/A</v>
      </c>
      <c r="AW47" s="3450" t="e">
        <f ca="1">IF(AY44="cộng 6",AW43+3,AW43)</f>
        <v>#N/A</v>
      </c>
    </row>
    <row r="48" spans="1:186" ht="18" hidden="1" customHeight="1" outlineLevel="1">
      <c r="A48" s="3452" t="str">
        <f t="shared" ca="1" si="105"/>
        <v>None</v>
      </c>
      <c r="B48" s="3453">
        <f t="shared" ca="1" si="106"/>
        <v>0</v>
      </c>
      <c r="C48" s="1768"/>
      <c r="E48" s="1705" t="s">
        <v>127</v>
      </c>
      <c r="F48" s="1705" t="s">
        <v>1112</v>
      </c>
      <c r="G48" s="1768"/>
      <c r="H48" s="1768"/>
      <c r="J48" s="320"/>
      <c r="K48" s="1579"/>
      <c r="L48" s="991"/>
      <c r="M48" s="1705" t="s">
        <v>127</v>
      </c>
      <c r="N48" s="1768"/>
      <c r="O48" s="1705" t="s">
        <v>1259</v>
      </c>
      <c r="Q48" s="3450">
        <f t="shared" ca="1" si="107"/>
        <v>2</v>
      </c>
      <c r="R48" s="3451">
        <f t="shared" si="111"/>
        <v>5</v>
      </c>
      <c r="S48" s="3450" t="str">
        <f t="shared" si="110"/>
        <v>MẶT SAU</v>
      </c>
      <c r="T48" s="3450">
        <f t="shared" si="108"/>
        <v>5</v>
      </c>
      <c r="U48" s="3450" t="str">
        <f t="shared" ca="1" si="109"/>
        <v/>
      </c>
      <c r="V48" s="3450"/>
      <c r="W48" s="3450"/>
      <c r="X48" s="3450">
        <f ca="1">IF(VLOOKUP(OFFSET($A$25,Z48,0),'Summary Data'!$C:$AV,45,0)&gt;0,"UV ink",Y48)</f>
        <v>0</v>
      </c>
      <c r="Z48" s="136">
        <f t="shared" si="112"/>
        <v>17</v>
      </c>
      <c r="AJ48" s="320"/>
      <c r="AM48" s="320"/>
      <c r="AS48" s="3459" t="str">
        <f t="shared" si="104"/>
        <v>localRigid box</v>
      </c>
      <c r="AT48" s="3450" t="s">
        <v>3563</v>
      </c>
      <c r="AU48" s="3450" t="s">
        <v>3214</v>
      </c>
      <c r="AV48" s="3450" t="e">
        <f ca="1">AV46</f>
        <v>#N/A</v>
      </c>
      <c r="AW48" s="3458">
        <f>AW46</f>
        <v>3</v>
      </c>
    </row>
    <row r="49" spans="1:51" ht="18" hidden="1" customHeight="1" outlineLevel="1">
      <c r="A49" s="3452" t="str">
        <f t="shared" ca="1" si="105"/>
        <v>None</v>
      </c>
      <c r="B49" s="3453">
        <f t="shared" ca="1" si="106"/>
        <v>0</v>
      </c>
      <c r="C49" s="1768"/>
      <c r="E49" s="320"/>
      <c r="F49" s="320"/>
      <c r="G49" s="320"/>
      <c r="H49" s="320"/>
      <c r="J49" s="2472" t="s">
        <v>2341</v>
      </c>
      <c r="K49" s="2473" t="s">
        <v>1417</v>
      </c>
      <c r="L49" s="2473" t="s">
        <v>2342</v>
      </c>
      <c r="Q49" s="3450">
        <f t="shared" ca="1" si="107"/>
        <v>2</v>
      </c>
      <c r="R49" s="3451">
        <f t="shared" si="111"/>
        <v>6</v>
      </c>
      <c r="S49" s="3450" t="str">
        <f t="shared" si="110"/>
        <v>MẶT SAU</v>
      </c>
      <c r="T49" s="3450">
        <f t="shared" si="108"/>
        <v>6</v>
      </c>
      <c r="U49" s="3450" t="str">
        <f t="shared" ca="1" si="109"/>
        <v/>
      </c>
      <c r="V49" s="3450"/>
      <c r="W49" s="3450">
        <v>5</v>
      </c>
      <c r="X49" s="3450" t="str">
        <f ca="1">IF(VLOOKUP(OFFSET($A$25,Z49,0),'Summary Data'!$C:$AV,45,0)&gt;0,"UV ink",Y49)</f>
        <v>Special Ink</v>
      </c>
      <c r="Y49" s="136" t="s">
        <v>1105</v>
      </c>
      <c r="Z49" s="136">
        <f t="shared" si="112"/>
        <v>17</v>
      </c>
      <c r="AJ49" s="320"/>
      <c r="AM49" s="320"/>
    </row>
    <row r="50" spans="1:51" ht="18" hidden="1" customHeight="1" outlineLevel="1">
      <c r="A50" s="3452" t="str">
        <f t="shared" ca="1" si="105"/>
        <v>None</v>
      </c>
      <c r="B50" s="3453">
        <f t="shared" ca="1" si="106"/>
        <v>0</v>
      </c>
      <c r="C50" s="1768"/>
      <c r="E50" s="146" t="s">
        <v>2055</v>
      </c>
      <c r="F50" s="919" t="str">
        <f>A42</f>
        <v>N</v>
      </c>
      <c r="G50" s="320"/>
      <c r="H50" s="320"/>
      <c r="I50" s="320"/>
      <c r="J50" s="2474" t="str">
        <f>Data!$P$817</f>
        <v>LDPE HANWHA 955</v>
      </c>
      <c r="K50" s="2474" t="s">
        <v>106</v>
      </c>
      <c r="L50" s="2475"/>
      <c r="M50" s="1000"/>
      <c r="Q50" s="3450">
        <f t="shared" ca="1" si="107"/>
        <v>2</v>
      </c>
      <c r="R50" s="3451">
        <f t="shared" si="111"/>
        <v>7</v>
      </c>
      <c r="S50" s="3450" t="str">
        <f t="shared" si="110"/>
        <v>MẶT SAU</v>
      </c>
      <c r="T50" s="3450">
        <f t="shared" si="108"/>
        <v>7</v>
      </c>
      <c r="U50" s="3450" t="str">
        <f t="shared" ca="1" si="109"/>
        <v/>
      </c>
      <c r="V50" s="3450"/>
      <c r="W50" s="3450">
        <f>W49+1</f>
        <v>6</v>
      </c>
      <c r="X50" s="3450" t="str">
        <f ca="1">IF(VLOOKUP(OFFSET($A$25,Z50,0),'Summary Data'!$C:$AV,45,0)&gt;0,"UV ink",Y50)</f>
        <v>Special Ink</v>
      </c>
      <c r="Y50" s="136" t="s">
        <v>1105</v>
      </c>
      <c r="Z50" s="136">
        <f t="shared" si="112"/>
        <v>17</v>
      </c>
      <c r="AJ50" s="320"/>
      <c r="AM50" s="320"/>
    </row>
    <row r="51" spans="1:51" ht="18" hidden="1" customHeight="1" outlineLevel="1">
      <c r="A51" s="3452" t="str">
        <f t="shared" ca="1" si="105"/>
        <v>None</v>
      </c>
      <c r="B51" s="3453">
        <f t="shared" ca="1" si="106"/>
        <v>0</v>
      </c>
      <c r="C51" s="1768"/>
      <c r="E51" s="320"/>
      <c r="F51" s="320"/>
      <c r="G51" s="320"/>
      <c r="H51" s="320"/>
      <c r="I51" s="320"/>
      <c r="K51" s="950" t="s">
        <v>2343</v>
      </c>
      <c r="L51" s="833"/>
      <c r="M51" s="1000"/>
      <c r="Q51" s="3450">
        <f t="shared" ca="1" si="107"/>
        <v>2</v>
      </c>
      <c r="R51" s="3451">
        <f t="shared" si="111"/>
        <v>8</v>
      </c>
      <c r="S51" s="3450" t="str">
        <f t="shared" si="110"/>
        <v>MẶT SAU</v>
      </c>
      <c r="T51" s="3450">
        <f t="shared" si="108"/>
        <v>8</v>
      </c>
      <c r="U51" s="3450" t="str">
        <f t="shared" ca="1" si="109"/>
        <v/>
      </c>
      <c r="V51" s="3450"/>
      <c r="W51" s="3450">
        <f>W50+1</f>
        <v>7</v>
      </c>
      <c r="X51" s="3450" t="str">
        <f ca="1">IF(VLOOKUP(OFFSET($A$25,Z51,0),'Summary Data'!$C:$AV,45,0)&gt;0,"UV ink",Y51)</f>
        <v>Special Ink</v>
      </c>
      <c r="Y51" s="136" t="s">
        <v>1105</v>
      </c>
      <c r="Z51" s="136">
        <f t="shared" si="112"/>
        <v>17</v>
      </c>
      <c r="AJ51" s="320"/>
      <c r="AM51" s="320"/>
    </row>
    <row r="52" spans="1:51" ht="18" hidden="1" customHeight="1" outlineLevel="1">
      <c r="A52" s="3452" t="str">
        <f t="shared" ca="1" si="105"/>
        <v>None</v>
      </c>
      <c r="B52" s="3453">
        <f t="shared" ca="1" si="106"/>
        <v>0</v>
      </c>
      <c r="C52" s="1768"/>
      <c r="E52" s="320"/>
      <c r="F52" s="320"/>
      <c r="G52" s="320"/>
      <c r="H52" s="320"/>
      <c r="I52" s="320"/>
      <c r="J52" s="1579"/>
      <c r="K52" s="991"/>
      <c r="L52" s="833"/>
      <c r="M52" s="1000"/>
      <c r="Q52" s="3450">
        <f t="shared" ca="1" si="107"/>
        <v>2</v>
      </c>
      <c r="R52" s="3451">
        <f t="shared" si="111"/>
        <v>9</v>
      </c>
      <c r="S52" s="3450" t="str">
        <f t="shared" si="110"/>
        <v>MẶT SAU</v>
      </c>
      <c r="T52" s="3450">
        <f t="shared" si="108"/>
        <v>9</v>
      </c>
      <c r="U52" s="3450" t="str">
        <f t="shared" ca="1" si="109"/>
        <v/>
      </c>
      <c r="V52" s="3450"/>
      <c r="W52" s="3450">
        <f>W51+1</f>
        <v>8</v>
      </c>
      <c r="X52" s="3450" t="str">
        <f ca="1">IF(VLOOKUP(OFFSET($A$25,Z52,0),'Summary Data'!$C:$AV,45,0)&gt;0,"UV ink",Y52)</f>
        <v>Special Ink</v>
      </c>
      <c r="Y52" s="136" t="s">
        <v>1105</v>
      </c>
      <c r="Z52" s="136">
        <f t="shared" si="112"/>
        <v>17</v>
      </c>
      <c r="AJ52" s="320"/>
      <c r="AM52" s="320"/>
    </row>
    <row r="53" spans="1:51" ht="18" hidden="1" customHeight="1" outlineLevel="1">
      <c r="A53" s="3452" t="str">
        <f t="shared" ca="1" si="105"/>
        <v>None</v>
      </c>
      <c r="B53" s="3453">
        <f t="shared" ca="1" si="106"/>
        <v>0</v>
      </c>
      <c r="C53" s="1768"/>
      <c r="E53" s="320"/>
      <c r="F53" s="320"/>
      <c r="G53" s="320"/>
      <c r="H53" s="320"/>
      <c r="I53" s="320"/>
      <c r="J53" s="1579"/>
      <c r="K53" s="991"/>
      <c r="L53" s="833"/>
      <c r="M53" s="1000"/>
      <c r="Q53" s="3450">
        <f t="shared" ca="1" si="107"/>
        <v>2</v>
      </c>
      <c r="R53" s="3451">
        <f t="shared" si="111"/>
        <v>10</v>
      </c>
      <c r="S53" s="3450" t="str">
        <f t="shared" si="110"/>
        <v>MẶT SAU</v>
      </c>
      <c r="T53" s="3450">
        <f t="shared" si="108"/>
        <v>10</v>
      </c>
      <c r="U53" s="3450" t="str">
        <f t="shared" ca="1" si="109"/>
        <v/>
      </c>
      <c r="V53" s="3450"/>
      <c r="W53" s="3450">
        <f>W52+1</f>
        <v>9</v>
      </c>
      <c r="X53" s="3450" t="str">
        <f ca="1">IF(VLOOKUP(OFFSET($A$25,Z53,0),'Summary Data'!$C:$AV,45,0)&gt;0,"UV ink",Y53)</f>
        <v>Special Ink</v>
      </c>
      <c r="Y53" s="136" t="s">
        <v>1105</v>
      </c>
      <c r="Z53" s="136">
        <f t="shared" si="112"/>
        <v>17</v>
      </c>
      <c r="AJ53" s="320"/>
      <c r="AM53" s="320"/>
    </row>
    <row r="54" spans="1:51" ht="18" hidden="1" customHeight="1" outlineLevel="1">
      <c r="A54" s="3452" t="str">
        <f t="shared" ca="1" si="105"/>
        <v>None</v>
      </c>
      <c r="B54" s="3453">
        <f t="shared" ca="1" si="106"/>
        <v>0</v>
      </c>
      <c r="C54" s="1768"/>
      <c r="E54" s="320"/>
      <c r="F54" s="320"/>
      <c r="G54" s="320"/>
      <c r="H54" s="320"/>
      <c r="I54" s="320"/>
      <c r="J54" s="1579"/>
      <c r="K54" s="991"/>
      <c r="L54" s="833"/>
      <c r="M54" s="1000"/>
      <c r="Q54" s="3450">
        <f t="shared" ca="1" si="107"/>
        <v>2</v>
      </c>
      <c r="R54" s="3451">
        <f t="shared" si="111"/>
        <v>11</v>
      </c>
      <c r="S54" s="3450" t="str">
        <f t="shared" si="110"/>
        <v>MẶT SAU</v>
      </c>
      <c r="T54" s="3450">
        <f t="shared" si="108"/>
        <v>11</v>
      </c>
      <c r="U54" s="3450" t="str">
        <f t="shared" ca="1" si="109"/>
        <v/>
      </c>
      <c r="V54" s="3450"/>
      <c r="W54" s="3450"/>
      <c r="X54" s="3450">
        <f ca="1">IF(VLOOKUP(OFFSET($A$25,Z54,0),'Summary Data'!$C:$AV,45,0)&gt;0,"UV ink",Y54)</f>
        <v>0</v>
      </c>
      <c r="Z54" s="136">
        <f t="shared" si="112"/>
        <v>17</v>
      </c>
      <c r="AJ54" s="320"/>
      <c r="AM54" s="320"/>
    </row>
    <row r="55" spans="1:51" ht="18" hidden="1" customHeight="1" outlineLevel="1">
      <c r="A55" s="3452" t="str">
        <f t="shared" ca="1" si="105"/>
        <v>None</v>
      </c>
      <c r="B55" s="3453">
        <f t="shared" ca="1" si="106"/>
        <v>0</v>
      </c>
      <c r="C55" s="1768"/>
      <c r="E55" s="320"/>
      <c r="F55" s="320"/>
      <c r="G55" s="320"/>
      <c r="H55" s="320"/>
      <c r="I55" s="320"/>
      <c r="J55" s="1579"/>
      <c r="K55" s="991"/>
      <c r="L55" s="833"/>
      <c r="M55" s="1000"/>
      <c r="Q55" s="3450">
        <f t="shared" ca="1" si="107"/>
        <v>2</v>
      </c>
      <c r="R55" s="3451">
        <f t="shared" si="111"/>
        <v>12</v>
      </c>
      <c r="S55" s="3450" t="str">
        <f t="shared" si="110"/>
        <v>MẶT SAU</v>
      </c>
      <c r="T55" s="3450">
        <f t="shared" si="108"/>
        <v>12</v>
      </c>
      <c r="U55" s="3450" t="str">
        <f t="shared" ca="1" si="109"/>
        <v/>
      </c>
      <c r="V55" s="3450"/>
      <c r="W55" s="3450"/>
      <c r="X55" s="3450">
        <f ca="1">IF(VLOOKUP(OFFSET($A$25,Z55,0),'Summary Data'!$C:$AV,45,0)&gt;0,"UV ink",Y55)</f>
        <v>0</v>
      </c>
      <c r="Z55" s="136">
        <f t="shared" si="112"/>
        <v>17</v>
      </c>
      <c r="AJ55" s="320"/>
      <c r="AM55" s="320"/>
    </row>
    <row r="56" spans="1:51" ht="18" hidden="1" customHeight="1" outlineLevel="1">
      <c r="A56" s="3452" t="str">
        <f t="shared" ca="1" si="105"/>
        <v>None</v>
      </c>
      <c r="B56" s="3453">
        <f t="shared" ca="1" si="106"/>
        <v>0</v>
      </c>
      <c r="C56" s="1768"/>
      <c r="E56" s="320"/>
      <c r="F56" s="320"/>
      <c r="G56" s="320"/>
      <c r="H56" s="320"/>
      <c r="I56" s="320"/>
      <c r="J56" s="1579"/>
      <c r="K56" s="991"/>
      <c r="L56" s="833"/>
      <c r="M56" s="1000"/>
      <c r="Q56" s="3450">
        <f t="shared" ca="1" si="107"/>
        <v>2</v>
      </c>
      <c r="R56" s="3451">
        <f t="shared" si="111"/>
        <v>13</v>
      </c>
      <c r="S56" s="3450" t="str">
        <f t="shared" si="110"/>
        <v>MẶT SAU</v>
      </c>
      <c r="T56" s="3450">
        <f t="shared" si="108"/>
        <v>13</v>
      </c>
      <c r="U56" s="3450" t="str">
        <f t="shared" ca="1" si="109"/>
        <v/>
      </c>
      <c r="V56" s="3450"/>
      <c r="W56" s="3450"/>
      <c r="X56" s="3450">
        <f ca="1">IF(VLOOKUP(OFFSET($A$25,Z56,0),'Summary Data'!$C:$AV,45,0)&gt;0,"UV ink",Y56)</f>
        <v>0</v>
      </c>
      <c r="Z56" s="136">
        <f t="shared" si="112"/>
        <v>17</v>
      </c>
      <c r="AJ56" s="320"/>
      <c r="AM56" s="320"/>
    </row>
    <row r="57" spans="1:51" ht="18" hidden="1" customHeight="1" outlineLevel="1">
      <c r="A57" s="3452" t="str">
        <f t="shared" ca="1" si="105"/>
        <v>None</v>
      </c>
      <c r="B57" s="3454">
        <f t="shared" ca="1" si="106"/>
        <v>0</v>
      </c>
      <c r="C57" s="1772"/>
      <c r="E57" s="320"/>
      <c r="F57" s="320"/>
      <c r="G57" s="320"/>
      <c r="H57" s="320"/>
      <c r="I57" s="3455" t="s">
        <v>3625</v>
      </c>
      <c r="J57" s="3570" t="str">
        <f>VLOOKUP(J61,Data!$AA$943:$AB$959,2,0)</f>
        <v>Non Metalize</v>
      </c>
      <c r="K57" s="991"/>
      <c r="L57" s="833"/>
      <c r="M57" s="1000"/>
      <c r="Q57" s="3450">
        <f t="shared" ca="1" si="107"/>
        <v>2</v>
      </c>
      <c r="R57" s="3451">
        <f t="shared" si="111"/>
        <v>14</v>
      </c>
      <c r="S57" s="3450" t="str">
        <f t="shared" si="110"/>
        <v>MẶT SAU</v>
      </c>
      <c r="T57" s="3450">
        <f t="shared" si="108"/>
        <v>14</v>
      </c>
      <c r="U57" s="3450" t="str">
        <f t="shared" ca="1" si="109"/>
        <v/>
      </c>
      <c r="V57" s="3450"/>
      <c r="W57" s="3450"/>
      <c r="X57" s="3450">
        <f ca="1">IF(VLOOKUP(OFFSET($A$25,Z57,0),'Summary Data'!$C:$AV,45,0)&gt;0,"UV ink",Y57)</f>
        <v>0</v>
      </c>
      <c r="Z57" s="136">
        <f t="shared" si="112"/>
        <v>17</v>
      </c>
      <c r="AJ57" s="320"/>
      <c r="AM57" s="320"/>
    </row>
    <row r="58" spans="1:51" ht="18" hidden="1" customHeight="1" outlineLevel="1">
      <c r="A58" s="919"/>
      <c r="B58" s="919"/>
      <c r="C58" s="320"/>
      <c r="D58" s="320"/>
      <c r="E58" s="320"/>
      <c r="F58" s="320"/>
      <c r="G58" s="320"/>
      <c r="H58" s="320"/>
      <c r="I58" s="320"/>
      <c r="J58" s="1579"/>
      <c r="K58" s="991"/>
      <c r="L58" s="833"/>
      <c r="M58" s="1000"/>
      <c r="AJ58" s="320"/>
      <c r="AM58" s="320"/>
      <c r="AS58" s="3457" t="s">
        <v>2055</v>
      </c>
      <c r="AT58" s="3457" t="s">
        <v>3559</v>
      </c>
      <c r="AU58" s="3457" t="s">
        <v>3560</v>
      </c>
      <c r="AV58" s="3457" t="s">
        <v>3561</v>
      </c>
      <c r="AW58" s="3457"/>
    </row>
    <row r="59" spans="1:51" ht="18" hidden="1" customHeight="1" outlineLevel="1">
      <c r="A59" s="1761" t="str">
        <f>IFERROR(INDEX('Summary Data'!B:B,MATCH(3,'Summary Data'!GS:GS,0),1),"N")</f>
        <v>N</v>
      </c>
      <c r="B59" s="1762"/>
      <c r="C59" s="1614" t="s">
        <v>1393</v>
      </c>
      <c r="D59" s="1614"/>
      <c r="E59" s="1614" t="s">
        <v>649</v>
      </c>
      <c r="F59" s="1614"/>
      <c r="G59" s="1614"/>
      <c r="H59" s="1614">
        <v>0</v>
      </c>
      <c r="I59" s="1614">
        <f>VALUE(LEFT(I57,1)+RIGHT(I57,1))</f>
        <v>0</v>
      </c>
      <c r="J59" s="1763"/>
      <c r="K59" s="1764"/>
      <c r="L59" s="3448" t="e">
        <f ca="1">VLOOKUP(E59&amp;J57,AS60:AW65,4,0)</f>
        <v>#N/A</v>
      </c>
      <c r="M59" s="3449">
        <f>VLOOKUP(E59&amp;J57,AS60:AW65,5,0)</f>
        <v>3</v>
      </c>
      <c r="N59" s="1771"/>
      <c r="O59" s="2150" t="s">
        <v>106</v>
      </c>
      <c r="P59" s="2150" t="s">
        <v>2040</v>
      </c>
      <c r="AJ59" s="320"/>
      <c r="AM59" s="320"/>
      <c r="AS59" s="3459"/>
      <c r="AT59" s="3450" t="e">
        <f ca="1">MATCH(C59&amp;"lấy",BK:BK,0)</f>
        <v>#N/A</v>
      </c>
      <c r="AU59" s="3450" t="e">
        <f ca="1">MATCH(C59&amp;"lấy",BJ:BJ,0)</f>
        <v>#N/A</v>
      </c>
      <c r="AV59" s="3450" t="e">
        <f ca="1">IFERROR(INDEX(AO:AO,AT59,1),INDEX(AN:AN,AU59,1))</f>
        <v>#N/A</v>
      </c>
      <c r="AW59" s="3450"/>
    </row>
    <row r="60" spans="1:51" ht="18" hidden="1" customHeight="1" outlineLevel="1">
      <c r="A60" s="1766" t="s">
        <v>213</v>
      </c>
      <c r="B60" s="1767" t="s">
        <v>1469</v>
      </c>
      <c r="C60" s="1767" t="s">
        <v>445</v>
      </c>
      <c r="D60" s="3104">
        <v>2.2000000000000002</v>
      </c>
      <c r="E60" s="1766" t="s">
        <v>1610</v>
      </c>
      <c r="F60" s="1767" t="s">
        <v>1470</v>
      </c>
      <c r="G60" s="1767" t="s">
        <v>1469</v>
      </c>
      <c r="H60" s="1767" t="s">
        <v>445</v>
      </c>
      <c r="I60" s="319"/>
      <c r="J60" s="1766" t="s">
        <v>495</v>
      </c>
      <c r="K60" s="1767" t="s">
        <v>183</v>
      </c>
      <c r="L60" s="1769" t="s">
        <v>1471</v>
      </c>
      <c r="M60" s="1766" t="s">
        <v>215</v>
      </c>
      <c r="N60" s="1767" t="s">
        <v>1469</v>
      </c>
      <c r="O60" s="1767" t="s">
        <v>1473</v>
      </c>
      <c r="Q60" s="3450" t="s">
        <v>3568</v>
      </c>
      <c r="R60" s="3450" t="s">
        <v>3569</v>
      </c>
      <c r="S60" s="3450" t="s">
        <v>3570</v>
      </c>
      <c r="T60" s="3450" t="s">
        <v>3571</v>
      </c>
      <c r="U60" s="3450" t="s">
        <v>3572</v>
      </c>
      <c r="V60" s="3450"/>
      <c r="W60" s="3450" t="s">
        <v>3574</v>
      </c>
      <c r="X60" s="3450"/>
      <c r="AJ60" s="320"/>
      <c r="AM60" s="320"/>
      <c r="AS60" s="3459" t="str">
        <f t="shared" ref="AS60:AS65" si="113">AT60&amp;AU60</f>
        <v>importNon Metalize</v>
      </c>
      <c r="AT60" s="3450" t="s">
        <v>3562</v>
      </c>
      <c r="AU60" s="3450" t="s">
        <v>800</v>
      </c>
      <c r="AV60" s="3450" t="e">
        <f ca="1">IF(E59="local",AV59,CEILING(J59+3,5))</f>
        <v>#N/A</v>
      </c>
      <c r="AW60" s="3458">
        <f>K59+3</f>
        <v>3</v>
      </c>
    </row>
    <row r="61" spans="1:51" ht="18" hidden="1" customHeight="1" outlineLevel="1">
      <c r="A61" s="3452" t="str">
        <f t="shared" ref="A61:A74" ca="1" si="114">IF($Q61=1,VLOOKUP($T61,OFFSET($W$27,Z61,0,15,2),2,0),"None")</f>
        <v>None</v>
      </c>
      <c r="B61" s="3453">
        <f t="shared" ref="B61:B74" ca="1" si="115">IF($Q61=1,IF($U61="mặt trước",ROUNDUP(OFFSET($J$25,Z61,0)*OFFSET($K$25,Z61,0)*OFFSET($D$26,Z61,0)/10^9*10000/VALUE(LEFT(OFFSET($I$23,Z61,0),1)),2),ROUNDUP(OFFSET($J$25,Z61,0)*OFFSET($K$25,Z61,0)*OFFSET($D$27,Z61,0)/10^9*10000/VALUE(RIGHT(OFFSET($I$23,Z61,0),1)),2)),0)</f>
        <v>0</v>
      </c>
      <c r="C61" s="1768"/>
      <c r="D61" s="3104">
        <v>2.1</v>
      </c>
      <c r="E61" s="1705" t="s">
        <v>127</v>
      </c>
      <c r="F61" s="1705" t="s">
        <v>1112</v>
      </c>
      <c r="G61" s="1768"/>
      <c r="H61" s="1768"/>
      <c r="J61" s="1705" t="s">
        <v>127</v>
      </c>
      <c r="K61" s="3571">
        <f>IF(VLOOKUP(J61,Data!$AN$943:$AO$959,2,0)="No",CEILING(K63+3,50),HLOOKUP(J61,Data!$AJ$943:$AL$2000,K64,0))</f>
        <v>50</v>
      </c>
      <c r="L61" s="1770" t="s">
        <v>1472</v>
      </c>
      <c r="M61" s="1705" t="s">
        <v>127</v>
      </c>
      <c r="N61" s="1768"/>
      <c r="O61" s="1705" t="s">
        <v>1259</v>
      </c>
      <c r="Q61" s="3450">
        <f t="shared" ref="Q61:Q74" ca="1" si="116">IFERROR(FIND("M",U61),2)</f>
        <v>2</v>
      </c>
      <c r="R61" s="3451">
        <v>1</v>
      </c>
      <c r="S61" s="3450" t="str">
        <f>IF(R61&lt;=VALUE(LEFT($I$57,1)),"MẶT TRƯỚC","MẶT SAU")</f>
        <v>MẶT SAU</v>
      </c>
      <c r="T61" s="3450">
        <f t="shared" ref="T61:T74" si="117">IF(S61="MẶT TRƯỚC",R61,IF(S60="mặt sau",T60+1,1))</f>
        <v>1</v>
      </c>
      <c r="U61" s="3450" t="str">
        <f t="shared" ref="U61:U74" ca="1" si="118">IF(S61="MẶT SAU",IF(T61&lt;=VALUE(RIGHT(OFFSET($I$23,Z61,0),1)),"MẶT SAU",""),S61)</f>
        <v/>
      </c>
      <c r="V61" s="3450"/>
      <c r="W61" s="3450">
        <v>1</v>
      </c>
      <c r="X61" s="3450" t="str">
        <f ca="1">IF(VLOOKUP(OFFSET($A$25,Z61,0),'Summary Data'!$C:$AV,45,0)&gt;0,"UV ink",Y61)</f>
        <v>Cyan (60-124773-7.1200 Nutri-2 Proc Cyan ISO 2846-1)</v>
      </c>
      <c r="Y61" s="136" t="s">
        <v>3356</v>
      </c>
      <c r="Z61" s="136">
        <f>Z44+17</f>
        <v>34</v>
      </c>
      <c r="AJ61" s="320"/>
      <c r="AM61" s="320"/>
      <c r="AS61" s="3459" t="str">
        <f t="shared" si="113"/>
        <v>importMetalize</v>
      </c>
      <c r="AT61" s="3450" t="s">
        <v>3562</v>
      </c>
      <c r="AU61" s="3450" t="s">
        <v>230</v>
      </c>
      <c r="AV61" s="3450" t="e">
        <f ca="1">IF(AX61="cộng 3",AV60,CEILING(J59+6,5))</f>
        <v>#N/A</v>
      </c>
      <c r="AW61" s="3450" t="e">
        <f ca="1">IF(AY61="cộng 6",AW60+3,AW60)</f>
        <v>#N/A</v>
      </c>
      <c r="AX61" s="3477" t="e">
        <f ca="1">IF(AV60&lt;AW60,"cộng 3","cộng 6")</f>
        <v>#N/A</v>
      </c>
      <c r="AY61" s="3476" t="e">
        <f ca="1">IF(AX61="cộng 3","cộng 6","cộng 3")</f>
        <v>#N/A</v>
      </c>
    </row>
    <row r="62" spans="1:51" ht="18" hidden="1" customHeight="1" outlineLevel="1">
      <c r="A62" s="3452" t="str">
        <f t="shared" ca="1" si="114"/>
        <v>None</v>
      </c>
      <c r="B62" s="3453">
        <f t="shared" ca="1" si="115"/>
        <v>0</v>
      </c>
      <c r="C62" s="1768"/>
      <c r="E62" s="1705" t="s">
        <v>127</v>
      </c>
      <c r="F62" s="1705" t="s">
        <v>1112</v>
      </c>
      <c r="G62" s="1768"/>
      <c r="H62" s="1768"/>
      <c r="J62" s="1705" t="s">
        <v>127</v>
      </c>
      <c r="K62" s="1705"/>
      <c r="L62" s="1770" t="s">
        <v>1472</v>
      </c>
      <c r="M62" s="1705" t="s">
        <v>127</v>
      </c>
      <c r="N62" s="1768"/>
      <c r="O62" s="1705" t="s">
        <v>1259</v>
      </c>
      <c r="Q62" s="3450">
        <f t="shared" ca="1" si="116"/>
        <v>2</v>
      </c>
      <c r="R62" s="3451">
        <f>R61+1</f>
        <v>2</v>
      </c>
      <c r="S62" s="3450" t="str">
        <f t="shared" ref="S62:S74" si="119">IF(R62&lt;=VALUE(LEFT($I$57,1)),"MẶT TRƯỚC","MẶT SAU")</f>
        <v>MẶT SAU</v>
      </c>
      <c r="T62" s="3450">
        <f t="shared" si="117"/>
        <v>2</v>
      </c>
      <c r="U62" s="3450" t="str">
        <f t="shared" ca="1" si="118"/>
        <v/>
      </c>
      <c r="V62" s="3450"/>
      <c r="W62" s="3450">
        <v>2</v>
      </c>
      <c r="X62" s="3450" t="str">
        <f ca="1">IF(VLOOKUP(OFFSET($A$25,Z62,0),'Summary Data'!$C:$AV,45,0)&gt;0,"UV ink",Y62)</f>
        <v>Magenta (61-804489-5.1290 Tempo Mix Magenta A)</v>
      </c>
      <c r="Y62" s="136" t="s">
        <v>3357</v>
      </c>
      <c r="Z62" s="136">
        <f>Z61</f>
        <v>34</v>
      </c>
      <c r="AJ62" s="320"/>
      <c r="AM62" s="320"/>
      <c r="AS62" s="3459" t="str">
        <f t="shared" si="113"/>
        <v>importRigid box</v>
      </c>
      <c r="AT62" s="3450" t="s">
        <v>3562</v>
      </c>
      <c r="AU62" s="3450" t="s">
        <v>3214</v>
      </c>
      <c r="AV62" s="3450" t="e">
        <f ca="1">AV60</f>
        <v>#N/A</v>
      </c>
      <c r="AW62" s="3450">
        <f>AW60</f>
        <v>3</v>
      </c>
    </row>
    <row r="63" spans="1:51" ht="18" hidden="1" customHeight="1" outlineLevel="1">
      <c r="A63" s="3452" t="str">
        <f t="shared" ca="1" si="114"/>
        <v>None</v>
      </c>
      <c r="B63" s="3453">
        <f t="shared" ca="1" si="115"/>
        <v>0</v>
      </c>
      <c r="C63" s="1768"/>
      <c r="E63" s="1705" t="s">
        <v>127</v>
      </c>
      <c r="F63" s="1705" t="s">
        <v>1112</v>
      </c>
      <c r="G63" s="1768"/>
      <c r="H63" s="1768"/>
      <c r="J63" s="314" t="s">
        <v>3471</v>
      </c>
      <c r="K63" s="3385"/>
      <c r="L63" s="991"/>
      <c r="M63" s="1705" t="s">
        <v>127</v>
      </c>
      <c r="N63" s="1768"/>
      <c r="O63" s="1705" t="s">
        <v>1259</v>
      </c>
      <c r="Q63" s="3450">
        <f t="shared" ca="1" si="116"/>
        <v>2</v>
      </c>
      <c r="R63" s="3451">
        <f t="shared" ref="R63:R74" si="120">R62+1</f>
        <v>3</v>
      </c>
      <c r="S63" s="3450" t="str">
        <f t="shared" si="119"/>
        <v>MẶT SAU</v>
      </c>
      <c r="T63" s="3450">
        <f t="shared" si="117"/>
        <v>3</v>
      </c>
      <c r="U63" s="3450" t="str">
        <f t="shared" ca="1" si="118"/>
        <v/>
      </c>
      <c r="V63" s="3450"/>
      <c r="W63" s="3450">
        <v>3</v>
      </c>
      <c r="X63" s="3450" t="str">
        <f ca="1">IF(VLOOKUP(OFFSET($A$25,Z63,0),'Summary Data'!$C:$AV,45,0)&gt;0,"UV ink",Y63)</f>
        <v>Yellow (61-312039-3.1290 Tempo Mix Yellow 4220)</v>
      </c>
      <c r="Y63" s="136" t="s">
        <v>3358</v>
      </c>
      <c r="Z63" s="136">
        <f t="shared" ref="Z63:Z74" si="121">Z62</f>
        <v>34</v>
      </c>
      <c r="AJ63" s="320"/>
      <c r="AM63" s="320"/>
      <c r="AS63" s="3459" t="str">
        <f t="shared" si="113"/>
        <v>localNon Metalize</v>
      </c>
      <c r="AT63" s="3450" t="s">
        <v>3563</v>
      </c>
      <c r="AU63" s="3450" t="s">
        <v>800</v>
      </c>
      <c r="AV63" s="3450" t="e">
        <f ca="1">AV59</f>
        <v>#N/A</v>
      </c>
      <c r="AW63" s="3458">
        <f>AW60</f>
        <v>3</v>
      </c>
    </row>
    <row r="64" spans="1:51" ht="18" hidden="1" customHeight="1" outlineLevel="1">
      <c r="A64" s="3452" t="str">
        <f t="shared" ca="1" si="114"/>
        <v>None</v>
      </c>
      <c r="B64" s="3453">
        <f t="shared" ca="1" si="115"/>
        <v>0</v>
      </c>
      <c r="C64" s="1768"/>
      <c r="E64" s="1705" t="s">
        <v>127</v>
      </c>
      <c r="F64" s="1705" t="s">
        <v>1112</v>
      </c>
      <c r="G64" s="1768"/>
      <c r="H64" s="1768"/>
      <c r="K64" s="3568">
        <f>K47+2</f>
        <v>6</v>
      </c>
      <c r="L64" s="991"/>
      <c r="M64" s="1705" t="s">
        <v>127</v>
      </c>
      <c r="N64" s="1768"/>
      <c r="O64" s="1705" t="s">
        <v>1259</v>
      </c>
      <c r="Q64" s="3450">
        <f t="shared" ca="1" si="116"/>
        <v>2</v>
      </c>
      <c r="R64" s="3451">
        <f t="shared" si="120"/>
        <v>4</v>
      </c>
      <c r="S64" s="3450" t="str">
        <f t="shared" si="119"/>
        <v>MẶT SAU</v>
      </c>
      <c r="T64" s="3450">
        <f t="shared" si="117"/>
        <v>4</v>
      </c>
      <c r="U64" s="3450" t="str">
        <f t="shared" ca="1" si="118"/>
        <v/>
      </c>
      <c r="V64" s="3450"/>
      <c r="W64" s="3450">
        <v>4</v>
      </c>
      <c r="X64" s="3450" t="str">
        <f ca="1">IF(VLOOKUP(OFFSET($A$25,Z64,0),'Summary Data'!$C:$AV,45,0)&gt;0,"UV ink",Y64)</f>
        <v>Black (60-914386-2.1200 Nutri-2 Proc Black ISO 2846-1)</v>
      </c>
      <c r="Y64" s="136" t="s">
        <v>3359</v>
      </c>
      <c r="Z64" s="136">
        <f t="shared" si="121"/>
        <v>34</v>
      </c>
      <c r="AJ64" s="320"/>
      <c r="AM64" s="320"/>
      <c r="AS64" s="3459" t="str">
        <f t="shared" si="113"/>
        <v>localMetalize</v>
      </c>
      <c r="AT64" s="3450" t="s">
        <v>3563</v>
      </c>
      <c r="AU64" s="3450" t="s">
        <v>230</v>
      </c>
      <c r="AV64" s="3450" t="e">
        <f ca="1">AV59</f>
        <v>#N/A</v>
      </c>
      <c r="AW64" s="3450" t="e">
        <f ca="1">IF(AY61="cộng 6",AW60+3,AW60)</f>
        <v>#N/A</v>
      </c>
    </row>
    <row r="65" spans="1:51" ht="18" hidden="1" customHeight="1" outlineLevel="1">
      <c r="A65" s="3452" t="str">
        <f t="shared" ca="1" si="114"/>
        <v>None</v>
      </c>
      <c r="B65" s="3453">
        <f t="shared" ca="1" si="115"/>
        <v>0</v>
      </c>
      <c r="C65" s="1768"/>
      <c r="E65" s="1705" t="s">
        <v>127</v>
      </c>
      <c r="F65" s="1705" t="s">
        <v>1112</v>
      </c>
      <c r="G65" s="1768"/>
      <c r="H65" s="1768"/>
      <c r="J65" s="320"/>
      <c r="K65" s="1579"/>
      <c r="L65" s="991"/>
      <c r="M65" s="1705" t="s">
        <v>127</v>
      </c>
      <c r="N65" s="1768"/>
      <c r="O65" s="1705" t="s">
        <v>1259</v>
      </c>
      <c r="Q65" s="3450">
        <f t="shared" ca="1" si="116"/>
        <v>2</v>
      </c>
      <c r="R65" s="3451">
        <f t="shared" si="120"/>
        <v>5</v>
      </c>
      <c r="S65" s="3450" t="str">
        <f t="shared" si="119"/>
        <v>MẶT SAU</v>
      </c>
      <c r="T65" s="3450">
        <f t="shared" si="117"/>
        <v>5</v>
      </c>
      <c r="U65" s="3450" t="str">
        <f t="shared" ca="1" si="118"/>
        <v/>
      </c>
      <c r="V65" s="3450"/>
      <c r="W65" s="3450"/>
      <c r="X65" s="3450">
        <f ca="1">IF(VLOOKUP(OFFSET($A$25,Z65,0),'Summary Data'!$C:$AV,45,0)&gt;0,"UV ink",Y65)</f>
        <v>0</v>
      </c>
      <c r="Z65" s="136">
        <f t="shared" si="121"/>
        <v>34</v>
      </c>
      <c r="AJ65" s="320"/>
      <c r="AM65" s="320"/>
      <c r="AS65" s="3459" t="str">
        <f t="shared" si="113"/>
        <v>localRigid box</v>
      </c>
      <c r="AT65" s="3450" t="s">
        <v>3563</v>
      </c>
      <c r="AU65" s="3450" t="s">
        <v>3214</v>
      </c>
      <c r="AV65" s="3450" t="e">
        <f ca="1">AV63</f>
        <v>#N/A</v>
      </c>
      <c r="AW65" s="3458">
        <f>AW63</f>
        <v>3</v>
      </c>
    </row>
    <row r="66" spans="1:51" ht="18" hidden="1" customHeight="1" outlineLevel="1">
      <c r="A66" s="3452" t="str">
        <f t="shared" ca="1" si="114"/>
        <v>None</v>
      </c>
      <c r="B66" s="3453">
        <f t="shared" ca="1" si="115"/>
        <v>0</v>
      </c>
      <c r="C66" s="1768"/>
      <c r="E66" s="320"/>
      <c r="F66" s="320"/>
      <c r="G66" s="320"/>
      <c r="H66" s="320"/>
      <c r="J66" s="2472" t="s">
        <v>2341</v>
      </c>
      <c r="K66" s="2473" t="s">
        <v>1417</v>
      </c>
      <c r="L66" s="2473" t="s">
        <v>2342</v>
      </c>
      <c r="Q66" s="3450">
        <f t="shared" ca="1" si="116"/>
        <v>2</v>
      </c>
      <c r="R66" s="3451">
        <f t="shared" si="120"/>
        <v>6</v>
      </c>
      <c r="S66" s="3450" t="str">
        <f t="shared" si="119"/>
        <v>MẶT SAU</v>
      </c>
      <c r="T66" s="3450">
        <f t="shared" si="117"/>
        <v>6</v>
      </c>
      <c r="U66" s="3450" t="str">
        <f t="shared" ca="1" si="118"/>
        <v/>
      </c>
      <c r="V66" s="3450"/>
      <c r="W66" s="3450">
        <v>5</v>
      </c>
      <c r="X66" s="3450" t="str">
        <f ca="1">IF(VLOOKUP(OFFSET($A$25,Z66,0),'Summary Data'!$C:$AV,45,0)&gt;0,"UV ink",Y66)</f>
        <v>Special Ink</v>
      </c>
      <c r="Y66" s="136" t="s">
        <v>1105</v>
      </c>
      <c r="Z66" s="136">
        <f t="shared" si="121"/>
        <v>34</v>
      </c>
      <c r="AJ66" s="320"/>
      <c r="AM66" s="320"/>
    </row>
    <row r="67" spans="1:51" ht="18" hidden="1" customHeight="1" outlineLevel="1">
      <c r="A67" s="3452" t="str">
        <f t="shared" ca="1" si="114"/>
        <v>None</v>
      </c>
      <c r="B67" s="3453">
        <f t="shared" ca="1" si="115"/>
        <v>0</v>
      </c>
      <c r="C67" s="1768"/>
      <c r="E67" s="146" t="s">
        <v>2055</v>
      </c>
      <c r="F67" s="919" t="str">
        <f>A59</f>
        <v>N</v>
      </c>
      <c r="G67" s="320"/>
      <c r="H67" s="320"/>
      <c r="I67" s="320"/>
      <c r="J67" s="2474" t="str">
        <f>Data!$P$817</f>
        <v>LDPE HANWHA 955</v>
      </c>
      <c r="K67" s="2474" t="s">
        <v>106</v>
      </c>
      <c r="L67" s="2475"/>
      <c r="M67" s="1000"/>
      <c r="Q67" s="3450">
        <f t="shared" ca="1" si="116"/>
        <v>2</v>
      </c>
      <c r="R67" s="3451">
        <f t="shared" si="120"/>
        <v>7</v>
      </c>
      <c r="S67" s="3450" t="str">
        <f t="shared" si="119"/>
        <v>MẶT SAU</v>
      </c>
      <c r="T67" s="3450">
        <f t="shared" si="117"/>
        <v>7</v>
      </c>
      <c r="U67" s="3450" t="str">
        <f t="shared" ca="1" si="118"/>
        <v/>
      </c>
      <c r="V67" s="3450"/>
      <c r="W67" s="3450">
        <f>W66+1</f>
        <v>6</v>
      </c>
      <c r="X67" s="3450" t="str">
        <f ca="1">IF(VLOOKUP(OFFSET($A$25,Z67,0),'Summary Data'!$C:$AV,45,0)&gt;0,"UV ink",Y67)</f>
        <v>Special Ink</v>
      </c>
      <c r="Y67" s="136" t="s">
        <v>1105</v>
      </c>
      <c r="Z67" s="136">
        <f t="shared" si="121"/>
        <v>34</v>
      </c>
      <c r="AJ67" s="320"/>
      <c r="AM67" s="320"/>
    </row>
    <row r="68" spans="1:51" ht="18" hidden="1" customHeight="1" outlineLevel="1">
      <c r="A68" s="3452" t="str">
        <f t="shared" ca="1" si="114"/>
        <v>None</v>
      </c>
      <c r="B68" s="3453">
        <f t="shared" ca="1" si="115"/>
        <v>0</v>
      </c>
      <c r="C68" s="1768"/>
      <c r="E68" s="320"/>
      <c r="F68" s="320"/>
      <c r="G68" s="320"/>
      <c r="H68" s="320"/>
      <c r="I68" s="320"/>
      <c r="K68" s="950" t="s">
        <v>2343</v>
      </c>
      <c r="L68" s="833"/>
      <c r="M68" s="1000"/>
      <c r="Q68" s="3450">
        <f t="shared" ca="1" si="116"/>
        <v>2</v>
      </c>
      <c r="R68" s="3451">
        <f t="shared" si="120"/>
        <v>8</v>
      </c>
      <c r="S68" s="3450" t="str">
        <f t="shared" si="119"/>
        <v>MẶT SAU</v>
      </c>
      <c r="T68" s="3450">
        <f t="shared" si="117"/>
        <v>8</v>
      </c>
      <c r="U68" s="3450" t="str">
        <f t="shared" ca="1" si="118"/>
        <v/>
      </c>
      <c r="V68" s="3450"/>
      <c r="W68" s="3450">
        <f>W67+1</f>
        <v>7</v>
      </c>
      <c r="X68" s="3450" t="str">
        <f ca="1">IF(VLOOKUP(OFFSET($A$25,Z68,0),'Summary Data'!$C:$AV,45,0)&gt;0,"UV ink",Y68)</f>
        <v>Special Ink</v>
      </c>
      <c r="Y68" s="136" t="s">
        <v>1105</v>
      </c>
      <c r="Z68" s="136">
        <f t="shared" si="121"/>
        <v>34</v>
      </c>
      <c r="AJ68" s="320"/>
      <c r="AM68" s="320"/>
    </row>
    <row r="69" spans="1:51" ht="18" hidden="1" customHeight="1" outlineLevel="1">
      <c r="A69" s="3452" t="str">
        <f t="shared" ca="1" si="114"/>
        <v>None</v>
      </c>
      <c r="B69" s="3453">
        <f t="shared" ca="1" si="115"/>
        <v>0</v>
      </c>
      <c r="C69" s="1768"/>
      <c r="E69" s="320"/>
      <c r="F69" s="320"/>
      <c r="G69" s="320"/>
      <c r="H69" s="320"/>
      <c r="I69" s="320"/>
      <c r="J69" s="1579"/>
      <c r="K69" s="950" t="s">
        <v>2393</v>
      </c>
      <c r="L69" s="833"/>
      <c r="M69" s="1000"/>
      <c r="Q69" s="3450">
        <f t="shared" ca="1" si="116"/>
        <v>2</v>
      </c>
      <c r="R69" s="3451">
        <f t="shared" si="120"/>
        <v>9</v>
      </c>
      <c r="S69" s="3450" t="str">
        <f t="shared" si="119"/>
        <v>MẶT SAU</v>
      </c>
      <c r="T69" s="3450">
        <f t="shared" si="117"/>
        <v>9</v>
      </c>
      <c r="U69" s="3450" t="str">
        <f t="shared" ca="1" si="118"/>
        <v/>
      </c>
      <c r="V69" s="3450"/>
      <c r="W69" s="3450">
        <f>W68+1</f>
        <v>8</v>
      </c>
      <c r="X69" s="3450" t="str">
        <f ca="1">IF(VLOOKUP(OFFSET($A$25,Z69,0),'Summary Data'!$C:$AV,45,0)&gt;0,"UV ink",Y69)</f>
        <v>Special Ink</v>
      </c>
      <c r="Y69" s="136" t="s">
        <v>1105</v>
      </c>
      <c r="Z69" s="136">
        <f t="shared" si="121"/>
        <v>34</v>
      </c>
      <c r="AJ69" s="320"/>
      <c r="AM69" s="320"/>
    </row>
    <row r="70" spans="1:51" ht="18" hidden="1" customHeight="1" outlineLevel="1">
      <c r="A70" s="3452" t="str">
        <f t="shared" ca="1" si="114"/>
        <v>None</v>
      </c>
      <c r="B70" s="3453">
        <f t="shared" ca="1" si="115"/>
        <v>0</v>
      </c>
      <c r="C70" s="1768"/>
      <c r="E70" s="320"/>
      <c r="F70" s="320"/>
      <c r="G70" s="320"/>
      <c r="H70" s="320"/>
      <c r="I70" s="320"/>
      <c r="J70" s="1579"/>
      <c r="K70" s="991"/>
      <c r="L70" s="833"/>
      <c r="M70" s="1000"/>
      <c r="Q70" s="3450">
        <f t="shared" ca="1" si="116"/>
        <v>2</v>
      </c>
      <c r="R70" s="3451">
        <f t="shared" si="120"/>
        <v>10</v>
      </c>
      <c r="S70" s="3450" t="str">
        <f t="shared" si="119"/>
        <v>MẶT SAU</v>
      </c>
      <c r="T70" s="3450">
        <f t="shared" si="117"/>
        <v>10</v>
      </c>
      <c r="U70" s="3450" t="str">
        <f t="shared" ca="1" si="118"/>
        <v/>
      </c>
      <c r="V70" s="3450"/>
      <c r="W70" s="3450">
        <f>W69+1</f>
        <v>9</v>
      </c>
      <c r="X70" s="3450" t="str">
        <f ca="1">IF(VLOOKUP(OFFSET($A$25,Z70,0),'Summary Data'!$C:$AV,45,0)&gt;0,"UV ink",Y70)</f>
        <v>Special Ink</v>
      </c>
      <c r="Y70" s="136" t="s">
        <v>1105</v>
      </c>
      <c r="Z70" s="136">
        <f t="shared" si="121"/>
        <v>34</v>
      </c>
      <c r="AJ70" s="320"/>
      <c r="AM70" s="320"/>
    </row>
    <row r="71" spans="1:51" ht="18" hidden="1" customHeight="1" outlineLevel="1">
      <c r="A71" s="3452" t="str">
        <f t="shared" ca="1" si="114"/>
        <v>None</v>
      </c>
      <c r="B71" s="3453">
        <f t="shared" ca="1" si="115"/>
        <v>0</v>
      </c>
      <c r="C71" s="1768"/>
      <c r="E71" s="320"/>
      <c r="F71" s="320"/>
      <c r="G71" s="320"/>
      <c r="H71" s="320"/>
      <c r="I71" s="320"/>
      <c r="J71" s="1579"/>
      <c r="K71" s="991"/>
      <c r="L71" s="833"/>
      <c r="M71" s="1000"/>
      <c r="Q71" s="3450">
        <f t="shared" ca="1" si="116"/>
        <v>2</v>
      </c>
      <c r="R71" s="3451">
        <f t="shared" si="120"/>
        <v>11</v>
      </c>
      <c r="S71" s="3450" t="str">
        <f t="shared" si="119"/>
        <v>MẶT SAU</v>
      </c>
      <c r="T71" s="3450">
        <f t="shared" si="117"/>
        <v>11</v>
      </c>
      <c r="U71" s="3450" t="str">
        <f t="shared" ca="1" si="118"/>
        <v/>
      </c>
      <c r="V71" s="3450"/>
      <c r="W71" s="3450"/>
      <c r="X71" s="3450">
        <f ca="1">IF(VLOOKUP(OFFSET($A$25,Z71,0),'Summary Data'!$C:$AV,45,0)&gt;0,"UV ink",Y71)</f>
        <v>0</v>
      </c>
      <c r="Z71" s="136">
        <f t="shared" si="121"/>
        <v>34</v>
      </c>
      <c r="AJ71" s="320"/>
      <c r="AM71" s="320"/>
    </row>
    <row r="72" spans="1:51" ht="18" hidden="1" customHeight="1" outlineLevel="1">
      <c r="A72" s="3452" t="str">
        <f t="shared" ca="1" si="114"/>
        <v>None</v>
      </c>
      <c r="B72" s="3453">
        <f t="shared" ca="1" si="115"/>
        <v>0</v>
      </c>
      <c r="C72" s="1768"/>
      <c r="E72" s="320"/>
      <c r="F72" s="320"/>
      <c r="G72" s="320"/>
      <c r="H72" s="320"/>
      <c r="I72" s="320"/>
      <c r="J72" s="1579"/>
      <c r="K72" s="991"/>
      <c r="L72" s="833"/>
      <c r="M72" s="1000"/>
      <c r="Q72" s="3450">
        <f t="shared" ca="1" si="116"/>
        <v>2</v>
      </c>
      <c r="R72" s="3451">
        <f t="shared" si="120"/>
        <v>12</v>
      </c>
      <c r="S72" s="3450" t="str">
        <f t="shared" si="119"/>
        <v>MẶT SAU</v>
      </c>
      <c r="T72" s="3450">
        <f t="shared" si="117"/>
        <v>12</v>
      </c>
      <c r="U72" s="3450" t="str">
        <f t="shared" ca="1" si="118"/>
        <v/>
      </c>
      <c r="V72" s="3450"/>
      <c r="W72" s="3450"/>
      <c r="X72" s="3450">
        <f ca="1">IF(VLOOKUP(OFFSET($A$25,Z72,0),'Summary Data'!$C:$AV,45,0)&gt;0,"UV ink",Y72)</f>
        <v>0</v>
      </c>
      <c r="Z72" s="136">
        <f t="shared" si="121"/>
        <v>34</v>
      </c>
      <c r="AJ72" s="320"/>
      <c r="AM72" s="320"/>
    </row>
    <row r="73" spans="1:51" ht="18" hidden="1" customHeight="1" outlineLevel="1">
      <c r="A73" s="3452" t="str">
        <f t="shared" ca="1" si="114"/>
        <v>None</v>
      </c>
      <c r="B73" s="3453">
        <f t="shared" ca="1" si="115"/>
        <v>0</v>
      </c>
      <c r="C73" s="1768"/>
      <c r="E73" s="320"/>
      <c r="F73" s="320"/>
      <c r="G73" s="320"/>
      <c r="H73" s="320"/>
      <c r="I73" s="320"/>
      <c r="J73" s="1579"/>
      <c r="K73" s="991"/>
      <c r="L73" s="833"/>
      <c r="M73" s="1000"/>
      <c r="Q73" s="3450">
        <f t="shared" ca="1" si="116"/>
        <v>2</v>
      </c>
      <c r="R73" s="3451">
        <f t="shared" si="120"/>
        <v>13</v>
      </c>
      <c r="S73" s="3450" t="str">
        <f t="shared" si="119"/>
        <v>MẶT SAU</v>
      </c>
      <c r="T73" s="3450">
        <f t="shared" si="117"/>
        <v>13</v>
      </c>
      <c r="U73" s="3450" t="str">
        <f t="shared" ca="1" si="118"/>
        <v/>
      </c>
      <c r="V73" s="3450"/>
      <c r="W73" s="3450"/>
      <c r="X73" s="3450">
        <f ca="1">IF(VLOOKUP(OFFSET($A$25,Z73,0),'Summary Data'!$C:$AV,45,0)&gt;0,"UV ink",Y73)</f>
        <v>0</v>
      </c>
      <c r="Z73" s="136">
        <f t="shared" si="121"/>
        <v>34</v>
      </c>
      <c r="AJ73" s="320"/>
      <c r="AM73" s="320"/>
    </row>
    <row r="74" spans="1:51" ht="18" hidden="1" customHeight="1" outlineLevel="1">
      <c r="A74" s="3452" t="str">
        <f t="shared" ca="1" si="114"/>
        <v>None</v>
      </c>
      <c r="B74" s="3454">
        <f t="shared" ca="1" si="115"/>
        <v>0</v>
      </c>
      <c r="C74" s="1772"/>
      <c r="E74" s="320"/>
      <c r="F74" s="320"/>
      <c r="G74" s="320"/>
      <c r="H74" s="320"/>
      <c r="I74" s="3455" t="s">
        <v>3625</v>
      </c>
      <c r="J74" s="3570" t="str">
        <f>VLOOKUP(J78,Data!$AA$943:$AB$959,2,0)</f>
        <v>Non Metalize</v>
      </c>
      <c r="K74" s="991"/>
      <c r="L74" s="833"/>
      <c r="M74" s="1000"/>
      <c r="Q74" s="3450">
        <f t="shared" ca="1" si="116"/>
        <v>2</v>
      </c>
      <c r="R74" s="3451">
        <f t="shared" si="120"/>
        <v>14</v>
      </c>
      <c r="S74" s="3450" t="str">
        <f t="shared" si="119"/>
        <v>MẶT SAU</v>
      </c>
      <c r="T74" s="3450">
        <f t="shared" si="117"/>
        <v>14</v>
      </c>
      <c r="U74" s="3450" t="str">
        <f t="shared" ca="1" si="118"/>
        <v/>
      </c>
      <c r="V74" s="3450"/>
      <c r="W74" s="3450"/>
      <c r="X74" s="3450">
        <f ca="1">IF(VLOOKUP(OFFSET($A$25,Z74,0),'Summary Data'!$C:$AV,45,0)&gt;0,"UV ink",Y74)</f>
        <v>0</v>
      </c>
      <c r="Z74" s="136">
        <f t="shared" si="121"/>
        <v>34</v>
      </c>
      <c r="AJ74" s="320"/>
      <c r="AM74" s="320"/>
      <c r="AU74" s="136">
        <v>0</v>
      </c>
    </row>
    <row r="75" spans="1:51" ht="18" hidden="1" customHeight="1" outlineLevel="1">
      <c r="A75" s="919"/>
      <c r="B75" s="919"/>
      <c r="C75" s="320"/>
      <c r="D75" s="320"/>
      <c r="E75" s="320"/>
      <c r="F75" s="320"/>
      <c r="G75" s="320"/>
      <c r="H75" s="320"/>
      <c r="I75" s="320"/>
      <c r="J75" s="1579"/>
      <c r="K75" s="991"/>
      <c r="L75" s="833"/>
      <c r="M75" s="1000"/>
      <c r="AJ75" s="320"/>
      <c r="AM75" s="320"/>
      <c r="AS75" s="3457" t="s">
        <v>2055</v>
      </c>
      <c r="AT75" s="3457" t="s">
        <v>3559</v>
      </c>
      <c r="AU75" s="3457" t="s">
        <v>3560</v>
      </c>
      <c r="AV75" s="3457" t="s">
        <v>3561</v>
      </c>
      <c r="AW75" s="3457"/>
    </row>
    <row r="76" spans="1:51" ht="18" hidden="1" customHeight="1" outlineLevel="1">
      <c r="A76" s="1761" t="str">
        <f>IFERROR(INDEX('Summary Data'!B:B,MATCH(4,'Summary Data'!GS:GS,0),1),"N")</f>
        <v>N</v>
      </c>
      <c r="B76" s="1762"/>
      <c r="C76" s="1614" t="s">
        <v>1393</v>
      </c>
      <c r="D76" s="1614" t="s">
        <v>1351</v>
      </c>
      <c r="E76" s="1614" t="s">
        <v>649</v>
      </c>
      <c r="F76" s="1614"/>
      <c r="G76" s="1614"/>
      <c r="H76" s="1614">
        <v>0</v>
      </c>
      <c r="I76" s="1614">
        <f>VALUE(LEFT(I74,1)+RIGHT(I74,1))</f>
        <v>0</v>
      </c>
      <c r="J76" s="1763"/>
      <c r="K76" s="1764"/>
      <c r="L76" s="3448" t="e">
        <f ca="1">VLOOKUP(E76&amp;J74,AS77:AW82,4,0)</f>
        <v>#N/A</v>
      </c>
      <c r="M76" s="3449">
        <f>VLOOKUP(E76&amp;J74,AS77:AW82,5,0)</f>
        <v>3</v>
      </c>
      <c r="N76" s="1771"/>
      <c r="O76" s="2150" t="s">
        <v>106</v>
      </c>
      <c r="P76" s="2150" t="s">
        <v>2040</v>
      </c>
      <c r="AJ76" s="320"/>
      <c r="AM76" s="320"/>
      <c r="AS76" s="3459"/>
      <c r="AT76" s="3450" t="e">
        <f ca="1">MATCH(C76&amp;"lấy",OFFSET($BT:$BT,0,AU74),0)</f>
        <v>#N/A</v>
      </c>
      <c r="AU76" s="3450" t="e">
        <f ca="1">MATCH(C76&amp;"lấy",OFFSET($BS:$BS,0,AU74),0)</f>
        <v>#N/A</v>
      </c>
      <c r="AV76" s="3450" t="e">
        <f ca="1">IFERROR(INDEX(AO:AO,AT76,1),INDEX(AN:AN,AU76,1))</f>
        <v>#N/A</v>
      </c>
      <c r="AW76" s="3450"/>
    </row>
    <row r="77" spans="1:51" ht="18" hidden="1" customHeight="1" outlineLevel="1">
      <c r="A77" s="1766" t="s">
        <v>213</v>
      </c>
      <c r="B77" s="1767" t="s">
        <v>1469</v>
      </c>
      <c r="C77" s="1767" t="s">
        <v>445</v>
      </c>
      <c r="D77" s="3104">
        <v>2.2000000000000002</v>
      </c>
      <c r="E77" s="1766" t="s">
        <v>1610</v>
      </c>
      <c r="F77" s="1767" t="s">
        <v>1470</v>
      </c>
      <c r="G77" s="1767" t="s">
        <v>1469</v>
      </c>
      <c r="H77" s="1767" t="s">
        <v>445</v>
      </c>
      <c r="I77" s="319"/>
      <c r="J77" s="1766" t="s">
        <v>495</v>
      </c>
      <c r="K77" s="1767" t="s">
        <v>183</v>
      </c>
      <c r="L77" s="1769" t="s">
        <v>1471</v>
      </c>
      <c r="M77" s="1766" t="s">
        <v>215</v>
      </c>
      <c r="N77" s="1767" t="s">
        <v>1469</v>
      </c>
      <c r="O77" s="1767" t="s">
        <v>1473</v>
      </c>
      <c r="Q77" s="3450" t="s">
        <v>3568</v>
      </c>
      <c r="R77" s="3450" t="s">
        <v>3569</v>
      </c>
      <c r="S77" s="3450" t="s">
        <v>3570</v>
      </c>
      <c r="T77" s="3450" t="s">
        <v>3571</v>
      </c>
      <c r="U77" s="3450" t="s">
        <v>3572</v>
      </c>
      <c r="V77" s="3450"/>
      <c r="W77" s="3450" t="s">
        <v>3574</v>
      </c>
      <c r="X77" s="3450"/>
      <c r="AJ77" s="320"/>
      <c r="AM77" s="320"/>
      <c r="AS77" s="3459" t="str">
        <f t="shared" ref="AS77:AS82" si="122">AT77&amp;AU77</f>
        <v>importNon Metalize</v>
      </c>
      <c r="AT77" s="3450" t="s">
        <v>3562</v>
      </c>
      <c r="AU77" s="3450" t="s">
        <v>800</v>
      </c>
      <c r="AV77" s="3450" t="e">
        <f ca="1">IF(E76="local",AV76,CEILING(J76+3,5))</f>
        <v>#N/A</v>
      </c>
      <c r="AW77" s="3458">
        <f>K76+3</f>
        <v>3</v>
      </c>
    </row>
    <row r="78" spans="1:51" ht="18" hidden="1" customHeight="1" outlineLevel="1">
      <c r="A78" s="3452" t="str">
        <f t="shared" ref="A78:A91" ca="1" si="123">IF($Q78=1,VLOOKUP($T78,OFFSET($W$27,Z78,0,15,2),2,0),"None")</f>
        <v>None</v>
      </c>
      <c r="B78" s="3453">
        <f t="shared" ref="B78:B91" ca="1" si="124">IF($Q78=1,IF($U78="mặt trước",ROUNDUP(OFFSET($J$25,Z78,0)*OFFSET($K$25,Z78,0)*OFFSET($D$26,Z78,0)/10^9*10000/VALUE(LEFT(OFFSET($I$23,Z78,0),1)),2),ROUNDUP(OFFSET($J$25,Z78,0)*OFFSET($K$25,Z78,0)*OFFSET($D$27,Z78,0)/10^9*10000/VALUE(RIGHT(OFFSET($I$23,Z78,0),1)),2)),0)</f>
        <v>0</v>
      </c>
      <c r="C78" s="1768"/>
      <c r="D78" s="3104">
        <v>2.1</v>
      </c>
      <c r="E78" s="1705" t="s">
        <v>127</v>
      </c>
      <c r="F78" s="1705" t="s">
        <v>1112</v>
      </c>
      <c r="G78" s="1768"/>
      <c r="H78" s="1768"/>
      <c r="J78" s="1705" t="s">
        <v>127</v>
      </c>
      <c r="K78" s="3571">
        <f>IF(VLOOKUP(J78,Data!$AN$943:$AO$959,2,0)="No",CEILING(K80+3,50),HLOOKUP(J78,Data!$AJ$943:$AL$2000,K81,0))</f>
        <v>50</v>
      </c>
      <c r="L78" s="1770" t="s">
        <v>1472</v>
      </c>
      <c r="M78" s="1705" t="s">
        <v>127</v>
      </c>
      <c r="N78" s="1768"/>
      <c r="O78" s="1705" t="s">
        <v>1259</v>
      </c>
      <c r="Q78" s="3450">
        <f t="shared" ref="Q78:Q91" ca="1" si="125">IFERROR(FIND("M",U78),2)</f>
        <v>2</v>
      </c>
      <c r="R78" s="3451">
        <v>1</v>
      </c>
      <c r="S78" s="3450" t="str">
        <f>IF(R78&lt;=VALUE(LEFT($I$74,1)),"MẶT TRƯỚC","MẶT SAU")</f>
        <v>MẶT SAU</v>
      </c>
      <c r="T78" s="3450">
        <f t="shared" ref="T78:T91" si="126">IF(S78="MẶT TRƯỚC",R78,IF(S77="mặt sau",T77+1,1))</f>
        <v>1</v>
      </c>
      <c r="U78" s="3450" t="str">
        <f t="shared" ref="U78:U91" ca="1" si="127">IF(S78="MẶT SAU",IF(T78&lt;=VALUE(RIGHT(OFFSET($I$23,Z78,0),1)),"MẶT SAU",""),S78)</f>
        <v/>
      </c>
      <c r="V78" s="3450"/>
      <c r="W78" s="3450">
        <v>1</v>
      </c>
      <c r="X78" s="3450" t="str">
        <f ca="1">IF(VLOOKUP(OFFSET($A$25,Z78,0),'Summary Data'!$C:$AV,45,0)&gt;0,"UV ink",Y78)</f>
        <v>Cyan (60-124773-7.1200 Nutri-2 Proc Cyan ISO 2846-1)</v>
      </c>
      <c r="Y78" s="136" t="s">
        <v>3356</v>
      </c>
      <c r="Z78" s="136">
        <f>Z61+17</f>
        <v>51</v>
      </c>
      <c r="AJ78" s="320"/>
      <c r="AM78" s="320"/>
      <c r="AS78" s="3459" t="str">
        <f t="shared" si="122"/>
        <v>importMetalize</v>
      </c>
      <c r="AT78" s="3450" t="s">
        <v>3562</v>
      </c>
      <c r="AU78" s="3450" t="s">
        <v>230</v>
      </c>
      <c r="AV78" s="3450" t="e">
        <f ca="1">IF(AX78="cộng 3",AV77,CEILING(J76+6,5))</f>
        <v>#N/A</v>
      </c>
      <c r="AW78" s="3450" t="e">
        <f ca="1">IF(AY78="cộng 6",AW77+3,AW77)</f>
        <v>#N/A</v>
      </c>
      <c r="AX78" s="3477" t="e">
        <f ca="1">IF(AV77&lt;AW77,"cộng 3","cộng 6")</f>
        <v>#N/A</v>
      </c>
      <c r="AY78" s="3476" t="e">
        <f ca="1">IF(AX78="cộng 3","cộng 6","cộng 3")</f>
        <v>#N/A</v>
      </c>
    </row>
    <row r="79" spans="1:51" ht="18" hidden="1" customHeight="1" outlineLevel="1">
      <c r="A79" s="3452" t="str">
        <f t="shared" ca="1" si="123"/>
        <v>None</v>
      </c>
      <c r="B79" s="3453">
        <f t="shared" ca="1" si="124"/>
        <v>0</v>
      </c>
      <c r="C79" s="1768"/>
      <c r="D79" s="3104"/>
      <c r="E79" s="1705" t="s">
        <v>127</v>
      </c>
      <c r="F79" s="1705" t="s">
        <v>1112</v>
      </c>
      <c r="G79" s="1768"/>
      <c r="H79" s="1768"/>
      <c r="J79" s="1705" t="s">
        <v>127</v>
      </c>
      <c r="K79" s="1705"/>
      <c r="L79" s="1770" t="s">
        <v>1472</v>
      </c>
      <c r="M79" s="1705" t="s">
        <v>127</v>
      </c>
      <c r="N79" s="1768"/>
      <c r="O79" s="1705" t="s">
        <v>1259</v>
      </c>
      <c r="Q79" s="3450">
        <f t="shared" ca="1" si="125"/>
        <v>2</v>
      </c>
      <c r="R79" s="3451">
        <f>R78+1</f>
        <v>2</v>
      </c>
      <c r="S79" s="3450" t="str">
        <f t="shared" ref="S79:S91" si="128">IF(R79&lt;=VALUE(LEFT($I$74,1)),"MẶT TRƯỚC","MẶT SAU")</f>
        <v>MẶT SAU</v>
      </c>
      <c r="T79" s="3450">
        <f t="shared" si="126"/>
        <v>2</v>
      </c>
      <c r="U79" s="3450" t="str">
        <f t="shared" ca="1" si="127"/>
        <v/>
      </c>
      <c r="V79" s="3450"/>
      <c r="W79" s="3450">
        <v>2</v>
      </c>
      <c r="X79" s="3450" t="str">
        <f ca="1">IF(VLOOKUP(OFFSET($A$25,Z79,0),'Summary Data'!$C:$AV,45,0)&gt;0,"UV ink",Y79)</f>
        <v>Magenta (61-804489-5.1290 Tempo Mix Magenta A)</v>
      </c>
      <c r="Y79" s="136" t="s">
        <v>3357</v>
      </c>
      <c r="Z79" s="136">
        <f>Z78</f>
        <v>51</v>
      </c>
      <c r="AJ79" s="320"/>
      <c r="AM79" s="320"/>
      <c r="AS79" s="3459" t="str">
        <f t="shared" si="122"/>
        <v>importRigid box</v>
      </c>
      <c r="AT79" s="3450" t="s">
        <v>3562</v>
      </c>
      <c r="AU79" s="3450" t="s">
        <v>3214</v>
      </c>
      <c r="AV79" s="3450" t="e">
        <f ca="1">AV77</f>
        <v>#N/A</v>
      </c>
      <c r="AW79" s="3450">
        <f>AW77</f>
        <v>3</v>
      </c>
    </row>
    <row r="80" spans="1:51" ht="18" hidden="1" customHeight="1" outlineLevel="1">
      <c r="A80" s="3452" t="str">
        <f t="shared" ca="1" si="123"/>
        <v>None</v>
      </c>
      <c r="B80" s="3453">
        <f t="shared" ca="1" si="124"/>
        <v>0</v>
      </c>
      <c r="C80" s="1768"/>
      <c r="E80" s="1705" t="s">
        <v>127</v>
      </c>
      <c r="F80" s="1705" t="s">
        <v>1112</v>
      </c>
      <c r="G80" s="1768"/>
      <c r="H80" s="1768"/>
      <c r="J80" s="314" t="s">
        <v>3471</v>
      </c>
      <c r="K80" s="3385"/>
      <c r="L80" s="991"/>
      <c r="M80" s="1705" t="s">
        <v>127</v>
      </c>
      <c r="N80" s="1768"/>
      <c r="O80" s="1705" t="s">
        <v>1259</v>
      </c>
      <c r="Q80" s="3450">
        <f t="shared" ca="1" si="125"/>
        <v>2</v>
      </c>
      <c r="R80" s="3451">
        <f t="shared" ref="R80:R91" si="129">R79+1</f>
        <v>3</v>
      </c>
      <c r="S80" s="3450" t="str">
        <f t="shared" si="128"/>
        <v>MẶT SAU</v>
      </c>
      <c r="T80" s="3450">
        <f t="shared" si="126"/>
        <v>3</v>
      </c>
      <c r="U80" s="3450" t="str">
        <f t="shared" ca="1" si="127"/>
        <v/>
      </c>
      <c r="V80" s="3450"/>
      <c r="W80" s="3450">
        <v>3</v>
      </c>
      <c r="X80" s="3450" t="str">
        <f ca="1">IF(VLOOKUP(OFFSET($A$25,Z80,0),'Summary Data'!$C:$AV,45,0)&gt;0,"UV ink",Y80)</f>
        <v>Yellow (61-312039-3.1290 Tempo Mix Yellow 4220)</v>
      </c>
      <c r="Y80" s="136" t="s">
        <v>3358</v>
      </c>
      <c r="Z80" s="136">
        <f t="shared" ref="Z80:Z91" si="130">Z79</f>
        <v>51</v>
      </c>
      <c r="AJ80" s="320"/>
      <c r="AM80" s="320"/>
      <c r="AS80" s="3459" t="str">
        <f t="shared" si="122"/>
        <v>localNon Metalize</v>
      </c>
      <c r="AT80" s="3450" t="s">
        <v>3563</v>
      </c>
      <c r="AU80" s="3450" t="s">
        <v>800</v>
      </c>
      <c r="AV80" s="3450" t="e">
        <f ca="1">AV76</f>
        <v>#N/A</v>
      </c>
      <c r="AW80" s="3458">
        <f>AW77</f>
        <v>3</v>
      </c>
    </row>
    <row r="81" spans="1:51" ht="18" hidden="1" customHeight="1" outlineLevel="1">
      <c r="A81" s="3452" t="str">
        <f t="shared" ca="1" si="123"/>
        <v>None</v>
      </c>
      <c r="B81" s="3453">
        <f t="shared" ca="1" si="124"/>
        <v>0</v>
      </c>
      <c r="C81" s="1768"/>
      <c r="E81" s="1705" t="s">
        <v>127</v>
      </c>
      <c r="F81" s="1705" t="s">
        <v>1112</v>
      </c>
      <c r="G81" s="1768"/>
      <c r="H81" s="1768"/>
      <c r="K81" s="3568">
        <f>K64+2</f>
        <v>8</v>
      </c>
      <c r="L81" s="991"/>
      <c r="M81" s="1705" t="s">
        <v>127</v>
      </c>
      <c r="N81" s="1768"/>
      <c r="O81" s="1705" t="s">
        <v>1259</v>
      </c>
      <c r="Q81" s="3450">
        <f t="shared" ca="1" si="125"/>
        <v>2</v>
      </c>
      <c r="R81" s="3451">
        <f t="shared" si="129"/>
        <v>4</v>
      </c>
      <c r="S81" s="3450" t="str">
        <f t="shared" si="128"/>
        <v>MẶT SAU</v>
      </c>
      <c r="T81" s="3450">
        <f t="shared" si="126"/>
        <v>4</v>
      </c>
      <c r="U81" s="3450" t="str">
        <f t="shared" ca="1" si="127"/>
        <v/>
      </c>
      <c r="V81" s="3450"/>
      <c r="W81" s="3450">
        <v>4</v>
      </c>
      <c r="X81" s="3450" t="str">
        <f ca="1">IF(VLOOKUP(OFFSET($A$25,Z81,0),'Summary Data'!$C:$AV,45,0)&gt;0,"UV ink",Y81)</f>
        <v>Black (60-914386-2.1200 Nutri-2 Proc Black ISO 2846-1)</v>
      </c>
      <c r="Y81" s="136" t="s">
        <v>3359</v>
      </c>
      <c r="Z81" s="136">
        <f t="shared" si="130"/>
        <v>51</v>
      </c>
      <c r="AJ81" s="320"/>
      <c r="AM81" s="320"/>
      <c r="AS81" s="3459" t="str">
        <f t="shared" si="122"/>
        <v>localMetalize</v>
      </c>
      <c r="AT81" s="3450" t="s">
        <v>3563</v>
      </c>
      <c r="AU81" s="3450" t="s">
        <v>230</v>
      </c>
      <c r="AV81" s="3450" t="e">
        <f ca="1">AV76</f>
        <v>#N/A</v>
      </c>
      <c r="AW81" s="3450" t="e">
        <f ca="1">IF(AY78="cộng 6",AW77+3,AW77)</f>
        <v>#N/A</v>
      </c>
    </row>
    <row r="82" spans="1:51" ht="18" hidden="1" customHeight="1" outlineLevel="1">
      <c r="A82" s="3452" t="str">
        <f t="shared" ca="1" si="123"/>
        <v>None</v>
      </c>
      <c r="B82" s="3453">
        <f t="shared" ca="1" si="124"/>
        <v>0</v>
      </c>
      <c r="C82" s="1768"/>
      <c r="E82" s="1705" t="s">
        <v>127</v>
      </c>
      <c r="F82" s="1705" t="s">
        <v>1112</v>
      </c>
      <c r="G82" s="1768"/>
      <c r="H82" s="1768"/>
      <c r="J82" s="320"/>
      <c r="K82" s="1579"/>
      <c r="L82" s="991"/>
      <c r="M82" s="1705" t="s">
        <v>127</v>
      </c>
      <c r="N82" s="1768"/>
      <c r="O82" s="1705" t="s">
        <v>1259</v>
      </c>
      <c r="Q82" s="3450">
        <f t="shared" ca="1" si="125"/>
        <v>2</v>
      </c>
      <c r="R82" s="3451">
        <f t="shared" si="129"/>
        <v>5</v>
      </c>
      <c r="S82" s="3450" t="str">
        <f t="shared" si="128"/>
        <v>MẶT SAU</v>
      </c>
      <c r="T82" s="3450">
        <f t="shared" si="126"/>
        <v>5</v>
      </c>
      <c r="U82" s="3450" t="str">
        <f t="shared" ca="1" si="127"/>
        <v/>
      </c>
      <c r="V82" s="3450"/>
      <c r="W82" s="3450"/>
      <c r="X82" s="3450">
        <f ca="1">IF(VLOOKUP(OFFSET($A$25,Z82,0),'Summary Data'!$C:$AV,45,0)&gt;0,"UV ink",Y82)</f>
        <v>0</v>
      </c>
      <c r="Z82" s="136">
        <f t="shared" si="130"/>
        <v>51</v>
      </c>
      <c r="AJ82" s="320"/>
      <c r="AM82" s="320"/>
      <c r="AS82" s="3459" t="str">
        <f t="shared" si="122"/>
        <v>localRigid box</v>
      </c>
      <c r="AT82" s="3450" t="s">
        <v>3563</v>
      </c>
      <c r="AU82" s="3450" t="s">
        <v>3214</v>
      </c>
      <c r="AV82" s="3450" t="e">
        <f ca="1">AV80</f>
        <v>#N/A</v>
      </c>
      <c r="AW82" s="3458">
        <f>AW80</f>
        <v>3</v>
      </c>
    </row>
    <row r="83" spans="1:51" ht="18" hidden="1" customHeight="1" outlineLevel="1">
      <c r="A83" s="3452" t="str">
        <f t="shared" ca="1" si="123"/>
        <v>None</v>
      </c>
      <c r="B83" s="3453">
        <f t="shared" ca="1" si="124"/>
        <v>0</v>
      </c>
      <c r="C83" s="1768"/>
      <c r="E83" s="320"/>
      <c r="F83" s="320"/>
      <c r="G83" s="320"/>
      <c r="H83" s="320"/>
      <c r="J83" s="2472" t="s">
        <v>2341</v>
      </c>
      <c r="K83" s="2473" t="s">
        <v>1417</v>
      </c>
      <c r="L83" s="2473" t="s">
        <v>2342</v>
      </c>
      <c r="Q83" s="3450">
        <f t="shared" ca="1" si="125"/>
        <v>2</v>
      </c>
      <c r="R83" s="3451">
        <f t="shared" si="129"/>
        <v>6</v>
      </c>
      <c r="S83" s="3450" t="str">
        <f t="shared" si="128"/>
        <v>MẶT SAU</v>
      </c>
      <c r="T83" s="3450">
        <f t="shared" si="126"/>
        <v>6</v>
      </c>
      <c r="U83" s="3450" t="str">
        <f t="shared" ca="1" si="127"/>
        <v/>
      </c>
      <c r="V83" s="3450"/>
      <c r="W83" s="3450">
        <v>5</v>
      </c>
      <c r="X83" s="3450" t="str">
        <f ca="1">IF(VLOOKUP(OFFSET($A$25,Z83,0),'Summary Data'!$C:$AV,45,0)&gt;0,"UV ink",Y83)</f>
        <v>Special Ink</v>
      </c>
      <c r="Y83" s="136" t="s">
        <v>1105</v>
      </c>
      <c r="Z83" s="136">
        <f t="shared" si="130"/>
        <v>51</v>
      </c>
      <c r="AJ83" s="320"/>
      <c r="AM83" s="320"/>
    </row>
    <row r="84" spans="1:51" ht="18" hidden="1" customHeight="1" outlineLevel="1">
      <c r="A84" s="3452" t="str">
        <f t="shared" ca="1" si="123"/>
        <v>None</v>
      </c>
      <c r="B84" s="3453">
        <f t="shared" ca="1" si="124"/>
        <v>0</v>
      </c>
      <c r="C84" s="1768"/>
      <c r="E84" s="146" t="s">
        <v>2055</v>
      </c>
      <c r="F84" s="919" t="str">
        <f>A76</f>
        <v>N</v>
      </c>
      <c r="G84" s="320"/>
      <c r="H84" s="320"/>
      <c r="I84" s="320"/>
      <c r="J84" s="2474" t="str">
        <f>Data!$P$817</f>
        <v>LDPE HANWHA 955</v>
      </c>
      <c r="K84" s="2474" t="s">
        <v>106</v>
      </c>
      <c r="L84" s="2475"/>
      <c r="M84" s="1000"/>
      <c r="Q84" s="3450">
        <f t="shared" ca="1" si="125"/>
        <v>2</v>
      </c>
      <c r="R84" s="3451">
        <f t="shared" si="129"/>
        <v>7</v>
      </c>
      <c r="S84" s="3450" t="str">
        <f t="shared" si="128"/>
        <v>MẶT SAU</v>
      </c>
      <c r="T84" s="3450">
        <f t="shared" si="126"/>
        <v>7</v>
      </c>
      <c r="U84" s="3450" t="str">
        <f t="shared" ca="1" si="127"/>
        <v/>
      </c>
      <c r="V84" s="3450"/>
      <c r="W84" s="3450">
        <f>W83+1</f>
        <v>6</v>
      </c>
      <c r="X84" s="3450" t="str">
        <f ca="1">IF(VLOOKUP(OFFSET($A$25,Z84,0),'Summary Data'!$C:$AV,45,0)&gt;0,"UV ink",Y84)</f>
        <v>Special Ink</v>
      </c>
      <c r="Y84" s="136" t="s">
        <v>1105</v>
      </c>
      <c r="Z84" s="136">
        <f t="shared" si="130"/>
        <v>51</v>
      </c>
      <c r="AJ84" s="320"/>
      <c r="AM84" s="320"/>
    </row>
    <row r="85" spans="1:51" ht="18" hidden="1" customHeight="1" outlineLevel="1">
      <c r="A85" s="3452" t="str">
        <f t="shared" ca="1" si="123"/>
        <v>None</v>
      </c>
      <c r="B85" s="3453">
        <f t="shared" ca="1" si="124"/>
        <v>0</v>
      </c>
      <c r="C85" s="1768"/>
      <c r="E85" s="320"/>
      <c r="F85" s="320"/>
      <c r="G85" s="320"/>
      <c r="H85" s="320"/>
      <c r="I85" s="320"/>
      <c r="K85" s="950" t="s">
        <v>2343</v>
      </c>
      <c r="L85" s="833"/>
      <c r="M85" s="1000"/>
      <c r="Q85" s="3450">
        <f t="shared" ca="1" si="125"/>
        <v>2</v>
      </c>
      <c r="R85" s="3451">
        <f t="shared" si="129"/>
        <v>8</v>
      </c>
      <c r="S85" s="3450" t="str">
        <f t="shared" si="128"/>
        <v>MẶT SAU</v>
      </c>
      <c r="T85" s="3450">
        <f t="shared" si="126"/>
        <v>8</v>
      </c>
      <c r="U85" s="3450" t="str">
        <f t="shared" ca="1" si="127"/>
        <v/>
      </c>
      <c r="V85" s="3450"/>
      <c r="W85" s="3450">
        <f>W84+1</f>
        <v>7</v>
      </c>
      <c r="X85" s="3450" t="str">
        <f ca="1">IF(VLOOKUP(OFFSET($A$25,Z85,0),'Summary Data'!$C:$AV,45,0)&gt;0,"UV ink",Y85)</f>
        <v>Special Ink</v>
      </c>
      <c r="Y85" s="136" t="s">
        <v>1105</v>
      </c>
      <c r="Z85" s="136">
        <f t="shared" si="130"/>
        <v>51</v>
      </c>
      <c r="AJ85" s="320"/>
      <c r="AM85" s="320"/>
    </row>
    <row r="86" spans="1:51" ht="18" hidden="1" customHeight="1" outlineLevel="1">
      <c r="A86" s="3452" t="str">
        <f t="shared" ca="1" si="123"/>
        <v>None</v>
      </c>
      <c r="B86" s="3453">
        <f t="shared" ca="1" si="124"/>
        <v>0</v>
      </c>
      <c r="C86" s="1768"/>
      <c r="E86" s="320"/>
      <c r="F86" s="320"/>
      <c r="G86" s="320"/>
      <c r="H86" s="320"/>
      <c r="I86" s="320"/>
      <c r="J86" s="1579"/>
      <c r="K86" s="950" t="s">
        <v>2393</v>
      </c>
      <c r="L86" s="833"/>
      <c r="M86" s="1000"/>
      <c r="Q86" s="3450">
        <f t="shared" ca="1" si="125"/>
        <v>2</v>
      </c>
      <c r="R86" s="3451">
        <f t="shared" si="129"/>
        <v>9</v>
      </c>
      <c r="S86" s="3450" t="str">
        <f t="shared" si="128"/>
        <v>MẶT SAU</v>
      </c>
      <c r="T86" s="3450">
        <f t="shared" si="126"/>
        <v>9</v>
      </c>
      <c r="U86" s="3450" t="str">
        <f t="shared" ca="1" si="127"/>
        <v/>
      </c>
      <c r="V86" s="3450"/>
      <c r="W86" s="3450">
        <f>W85+1</f>
        <v>8</v>
      </c>
      <c r="X86" s="3450" t="str">
        <f ca="1">IF(VLOOKUP(OFFSET($A$25,Z86,0),'Summary Data'!$C:$AV,45,0)&gt;0,"UV ink",Y86)</f>
        <v>Special Ink</v>
      </c>
      <c r="Y86" s="136" t="s">
        <v>1105</v>
      </c>
      <c r="Z86" s="136">
        <f t="shared" si="130"/>
        <v>51</v>
      </c>
      <c r="AJ86" s="320"/>
      <c r="AM86" s="320"/>
    </row>
    <row r="87" spans="1:51" ht="18" hidden="1" customHeight="1" outlineLevel="1">
      <c r="A87" s="3452" t="str">
        <f t="shared" ca="1" si="123"/>
        <v>None</v>
      </c>
      <c r="B87" s="3453">
        <f t="shared" ca="1" si="124"/>
        <v>0</v>
      </c>
      <c r="C87" s="1768"/>
      <c r="E87" s="320"/>
      <c r="F87" s="320"/>
      <c r="G87" s="320"/>
      <c r="H87" s="320"/>
      <c r="I87" s="320"/>
      <c r="J87" s="1579"/>
      <c r="K87" s="991"/>
      <c r="L87" s="833"/>
      <c r="M87" s="1000"/>
      <c r="Q87" s="3450">
        <f t="shared" ca="1" si="125"/>
        <v>2</v>
      </c>
      <c r="R87" s="3451">
        <f t="shared" si="129"/>
        <v>10</v>
      </c>
      <c r="S87" s="3450" t="str">
        <f t="shared" si="128"/>
        <v>MẶT SAU</v>
      </c>
      <c r="T87" s="3450">
        <f t="shared" si="126"/>
        <v>10</v>
      </c>
      <c r="U87" s="3450" t="str">
        <f t="shared" ca="1" si="127"/>
        <v/>
      </c>
      <c r="V87" s="3450"/>
      <c r="W87" s="3450">
        <f>W86+1</f>
        <v>9</v>
      </c>
      <c r="X87" s="3450" t="str">
        <f ca="1">IF(VLOOKUP(OFFSET($A$25,Z87,0),'Summary Data'!$C:$AV,45,0)&gt;0,"UV ink",Y87)</f>
        <v>Special Ink</v>
      </c>
      <c r="Y87" s="136" t="s">
        <v>1105</v>
      </c>
      <c r="Z87" s="136">
        <f t="shared" si="130"/>
        <v>51</v>
      </c>
      <c r="AJ87" s="320"/>
      <c r="AM87" s="320"/>
    </row>
    <row r="88" spans="1:51" ht="18" hidden="1" customHeight="1" outlineLevel="1">
      <c r="A88" s="3452" t="str">
        <f t="shared" ca="1" si="123"/>
        <v>None</v>
      </c>
      <c r="B88" s="3453">
        <f t="shared" ca="1" si="124"/>
        <v>0</v>
      </c>
      <c r="C88" s="1768"/>
      <c r="E88" s="320"/>
      <c r="F88" s="320"/>
      <c r="G88" s="320"/>
      <c r="H88" s="320"/>
      <c r="I88" s="320"/>
      <c r="J88" s="1579"/>
      <c r="K88" s="991"/>
      <c r="L88" s="833"/>
      <c r="M88" s="1000"/>
      <c r="Q88" s="3450">
        <f t="shared" ca="1" si="125"/>
        <v>2</v>
      </c>
      <c r="R88" s="3451">
        <f t="shared" si="129"/>
        <v>11</v>
      </c>
      <c r="S88" s="3450" t="str">
        <f t="shared" si="128"/>
        <v>MẶT SAU</v>
      </c>
      <c r="T88" s="3450">
        <f t="shared" si="126"/>
        <v>11</v>
      </c>
      <c r="U88" s="3450" t="str">
        <f t="shared" ca="1" si="127"/>
        <v/>
      </c>
      <c r="V88" s="3450"/>
      <c r="W88" s="3450"/>
      <c r="X88" s="3450">
        <f ca="1">IF(VLOOKUP(OFFSET($A$25,Z88,0),'Summary Data'!$C:$AV,45,0)&gt;0,"UV ink",Y88)</f>
        <v>0</v>
      </c>
      <c r="Z88" s="136">
        <f t="shared" si="130"/>
        <v>51</v>
      </c>
      <c r="AJ88" s="320"/>
      <c r="AM88" s="320"/>
    </row>
    <row r="89" spans="1:51" ht="18" hidden="1" customHeight="1" outlineLevel="1">
      <c r="A89" s="3452" t="str">
        <f t="shared" ca="1" si="123"/>
        <v>None</v>
      </c>
      <c r="B89" s="3453">
        <f t="shared" ca="1" si="124"/>
        <v>0</v>
      </c>
      <c r="C89" s="1768"/>
      <c r="E89" s="320"/>
      <c r="F89" s="320"/>
      <c r="G89" s="320"/>
      <c r="H89" s="320"/>
      <c r="I89" s="320"/>
      <c r="J89" s="1579"/>
      <c r="K89" s="991"/>
      <c r="L89" s="833"/>
      <c r="M89" s="1000"/>
      <c r="Q89" s="3450">
        <f t="shared" ca="1" si="125"/>
        <v>2</v>
      </c>
      <c r="R89" s="3451">
        <f t="shared" si="129"/>
        <v>12</v>
      </c>
      <c r="S89" s="3450" t="str">
        <f t="shared" si="128"/>
        <v>MẶT SAU</v>
      </c>
      <c r="T89" s="3450">
        <f t="shared" si="126"/>
        <v>12</v>
      </c>
      <c r="U89" s="3450" t="str">
        <f t="shared" ca="1" si="127"/>
        <v/>
      </c>
      <c r="V89" s="3450"/>
      <c r="W89" s="3450"/>
      <c r="X89" s="3450">
        <f ca="1">IF(VLOOKUP(OFFSET($A$25,Z89,0),'Summary Data'!$C:$AV,45,0)&gt;0,"UV ink",Y89)</f>
        <v>0</v>
      </c>
      <c r="Z89" s="136">
        <f t="shared" si="130"/>
        <v>51</v>
      </c>
      <c r="AJ89" s="320"/>
      <c r="AM89" s="320"/>
    </row>
    <row r="90" spans="1:51" ht="18" hidden="1" customHeight="1" outlineLevel="1">
      <c r="A90" s="3452" t="str">
        <f t="shared" ca="1" si="123"/>
        <v>None</v>
      </c>
      <c r="B90" s="3453">
        <f t="shared" ca="1" si="124"/>
        <v>0</v>
      </c>
      <c r="C90" s="1768"/>
      <c r="E90" s="320"/>
      <c r="F90" s="320"/>
      <c r="G90" s="320"/>
      <c r="H90" s="320"/>
      <c r="I90" s="320"/>
      <c r="J90" s="1579"/>
      <c r="K90" s="991"/>
      <c r="L90" s="833"/>
      <c r="M90" s="1000"/>
      <c r="Q90" s="3450">
        <f t="shared" ca="1" si="125"/>
        <v>2</v>
      </c>
      <c r="R90" s="3451">
        <f t="shared" si="129"/>
        <v>13</v>
      </c>
      <c r="S90" s="3450" t="str">
        <f t="shared" si="128"/>
        <v>MẶT SAU</v>
      </c>
      <c r="T90" s="3450">
        <f t="shared" si="126"/>
        <v>13</v>
      </c>
      <c r="U90" s="3450" t="str">
        <f t="shared" ca="1" si="127"/>
        <v/>
      </c>
      <c r="V90" s="3450"/>
      <c r="W90" s="3450"/>
      <c r="X90" s="3450">
        <f ca="1">IF(VLOOKUP(OFFSET($A$25,Z90,0),'Summary Data'!$C:$AV,45,0)&gt;0,"UV ink",Y90)</f>
        <v>0</v>
      </c>
      <c r="Z90" s="136">
        <f t="shared" si="130"/>
        <v>51</v>
      </c>
      <c r="AJ90" s="320"/>
      <c r="AM90" s="320"/>
    </row>
    <row r="91" spans="1:51" ht="18" hidden="1" customHeight="1" outlineLevel="1">
      <c r="A91" s="3452" t="str">
        <f t="shared" ca="1" si="123"/>
        <v>None</v>
      </c>
      <c r="B91" s="3454">
        <f t="shared" ca="1" si="124"/>
        <v>0</v>
      </c>
      <c r="C91" s="1772"/>
      <c r="E91" s="320"/>
      <c r="F91" s="320"/>
      <c r="G91" s="320"/>
      <c r="H91" s="320"/>
      <c r="I91" s="3455" t="s">
        <v>3625</v>
      </c>
      <c r="J91" s="3570" t="str">
        <f>VLOOKUP(J95,Data!$AA$943:$AB$959,2,0)</f>
        <v>Non Metalize</v>
      </c>
      <c r="K91" s="991"/>
      <c r="L91" s="833"/>
      <c r="M91" s="1000"/>
      <c r="Q91" s="3450">
        <f t="shared" ca="1" si="125"/>
        <v>2</v>
      </c>
      <c r="R91" s="3451">
        <f t="shared" si="129"/>
        <v>14</v>
      </c>
      <c r="S91" s="3450" t="str">
        <f t="shared" si="128"/>
        <v>MẶT SAU</v>
      </c>
      <c r="T91" s="3450">
        <f t="shared" si="126"/>
        <v>14</v>
      </c>
      <c r="U91" s="3450" t="str">
        <f t="shared" ca="1" si="127"/>
        <v/>
      </c>
      <c r="V91" s="3450"/>
      <c r="W91" s="3450"/>
      <c r="X91" s="3450">
        <f ca="1">IF(VLOOKUP(OFFSET($A$25,Z91,0),'Summary Data'!$C:$AV,45,0)&gt;0,"UV ink",Y91)</f>
        <v>0</v>
      </c>
      <c r="Z91" s="136">
        <f t="shared" si="130"/>
        <v>51</v>
      </c>
      <c r="AJ91" s="320"/>
      <c r="AM91" s="320"/>
      <c r="AU91" s="136">
        <f>AU74+9</f>
        <v>9</v>
      </c>
    </row>
    <row r="92" spans="1:51" ht="18" hidden="1" customHeight="1" outlineLevel="1">
      <c r="A92" s="919"/>
      <c r="B92" s="919"/>
      <c r="C92" s="320"/>
      <c r="D92" s="320"/>
      <c r="E92" s="320"/>
      <c r="F92" s="320"/>
      <c r="G92" s="320"/>
      <c r="H92" s="320"/>
      <c r="I92" s="320"/>
      <c r="J92" s="1579"/>
      <c r="K92" s="991"/>
      <c r="L92" s="833"/>
      <c r="M92" s="1000"/>
      <c r="AJ92" s="320"/>
      <c r="AM92" s="320"/>
      <c r="AS92" s="3457" t="s">
        <v>2055</v>
      </c>
      <c r="AT92" s="3457" t="s">
        <v>3559</v>
      </c>
      <c r="AU92" s="3457" t="s">
        <v>3560</v>
      </c>
      <c r="AV92" s="3457" t="s">
        <v>3561</v>
      </c>
      <c r="AW92" s="3457"/>
    </row>
    <row r="93" spans="1:51" ht="18" hidden="1" customHeight="1" outlineLevel="1">
      <c r="A93" s="1761" t="str">
        <f>IFERROR(INDEX('Summary Data'!B:B,MATCH(5,'Summary Data'!GS:GS,0),1),"N")</f>
        <v>N</v>
      </c>
      <c r="B93" s="1762"/>
      <c r="C93" s="1614" t="s">
        <v>1393</v>
      </c>
      <c r="D93" s="1614"/>
      <c r="E93" s="1614" t="s">
        <v>649</v>
      </c>
      <c r="F93" s="1614"/>
      <c r="G93" s="1614"/>
      <c r="H93" s="1614">
        <v>0</v>
      </c>
      <c r="I93" s="1614">
        <f>VALUE(LEFT(I91,1)+RIGHT(I91,1))</f>
        <v>0</v>
      </c>
      <c r="J93" s="1763"/>
      <c r="K93" s="1764"/>
      <c r="L93" s="3448" t="e">
        <f ca="1">VLOOKUP(E93&amp;J91,AS94:AW99,4,0)</f>
        <v>#N/A</v>
      </c>
      <c r="M93" s="3449">
        <f>VLOOKUP(E93&amp;J91,AS94:AW99,5,0)</f>
        <v>3</v>
      </c>
      <c r="N93" s="1771"/>
      <c r="O93" s="2150" t="s">
        <v>106</v>
      </c>
      <c r="P93" s="2150" t="s">
        <v>2040</v>
      </c>
      <c r="AJ93" s="320"/>
      <c r="AM93" s="320"/>
      <c r="AS93" s="3459"/>
      <c r="AT93" s="3450" t="e">
        <f ca="1">MATCH(C93&amp;"lấy",OFFSET($BT:$BT,0,AU91),0)</f>
        <v>#N/A</v>
      </c>
      <c r="AU93" s="3450" t="e">
        <f ca="1">MATCH(C93&amp;"lấy",OFFSET($BS:$BS,0,AU91),0)</f>
        <v>#N/A</v>
      </c>
      <c r="AV93" s="3450" t="e">
        <f ca="1">IFERROR(INDEX(AO:AO,AT93,1),INDEX(AN:AN,AU93,1))</f>
        <v>#N/A</v>
      </c>
      <c r="AW93" s="3450"/>
    </row>
    <row r="94" spans="1:51" ht="18" hidden="1" customHeight="1" outlineLevel="1">
      <c r="A94" s="1766" t="s">
        <v>213</v>
      </c>
      <c r="B94" s="1767" t="s">
        <v>1469</v>
      </c>
      <c r="C94" s="1767" t="s">
        <v>445</v>
      </c>
      <c r="D94" s="3104">
        <v>2.2000000000000002</v>
      </c>
      <c r="E94" s="1766" t="s">
        <v>1610</v>
      </c>
      <c r="F94" s="1767" t="s">
        <v>1470</v>
      </c>
      <c r="G94" s="1767" t="s">
        <v>1469</v>
      </c>
      <c r="H94" s="1767" t="s">
        <v>445</v>
      </c>
      <c r="I94" s="319"/>
      <c r="J94" s="1766" t="s">
        <v>495</v>
      </c>
      <c r="K94" s="1767" t="s">
        <v>183</v>
      </c>
      <c r="L94" s="1769" t="s">
        <v>1471</v>
      </c>
      <c r="M94" s="1766" t="s">
        <v>215</v>
      </c>
      <c r="N94" s="1767" t="s">
        <v>1469</v>
      </c>
      <c r="O94" s="1767" t="s">
        <v>1473</v>
      </c>
      <c r="Q94" s="3450" t="s">
        <v>3568</v>
      </c>
      <c r="R94" s="3450" t="s">
        <v>3569</v>
      </c>
      <c r="S94" s="3450" t="s">
        <v>3570</v>
      </c>
      <c r="T94" s="3450" t="s">
        <v>3571</v>
      </c>
      <c r="U94" s="3450" t="s">
        <v>3572</v>
      </c>
      <c r="V94" s="3450"/>
      <c r="W94" s="3450" t="s">
        <v>3574</v>
      </c>
      <c r="X94" s="3450"/>
      <c r="AJ94" s="320"/>
      <c r="AM94" s="320"/>
      <c r="AS94" s="3459" t="str">
        <f t="shared" ref="AS94:AS99" si="131">AT94&amp;AU94</f>
        <v>importNon Metalize</v>
      </c>
      <c r="AT94" s="3450" t="s">
        <v>3562</v>
      </c>
      <c r="AU94" s="3450" t="s">
        <v>800</v>
      </c>
      <c r="AV94" s="3450" t="e">
        <f ca="1">IF(E93="local",AV93,CEILING(J93+3,5))</f>
        <v>#N/A</v>
      </c>
      <c r="AW94" s="3458">
        <f>K93+3</f>
        <v>3</v>
      </c>
    </row>
    <row r="95" spans="1:51" ht="18" hidden="1" customHeight="1" outlineLevel="1">
      <c r="A95" s="3452" t="str">
        <f t="shared" ref="A95:A108" ca="1" si="132">IF($Q95=1,VLOOKUP($T95,OFFSET($W$27,Z95,0,15,2),2,0),"None")</f>
        <v>None</v>
      </c>
      <c r="B95" s="3453">
        <f t="shared" ref="B95:B108" ca="1" si="133">IF($Q95=1,IF($U95="mặt trước",ROUNDUP(OFFSET($J$25,Z95,0)*OFFSET($K$25,Z95,0)*OFFSET($D$26,Z95,0)/10^9*10000/VALUE(LEFT(OFFSET($I$23,Z95,0),1)),2),ROUNDUP(OFFSET($J$25,Z95,0)*OFFSET($K$25,Z95,0)*OFFSET($D$27,Z95,0)/10^9*10000/VALUE(RIGHT(OFFSET($I$23,Z95,0),1)),2)),0)</f>
        <v>0</v>
      </c>
      <c r="C95" s="1768"/>
      <c r="D95" s="3104">
        <v>2.1</v>
      </c>
      <c r="E95" s="1705" t="s">
        <v>127</v>
      </c>
      <c r="F95" s="1705" t="s">
        <v>1112</v>
      </c>
      <c r="G95" s="1768"/>
      <c r="H95" s="1768"/>
      <c r="J95" s="1705" t="s">
        <v>127</v>
      </c>
      <c r="K95" s="3571">
        <f>IF(VLOOKUP(J95,Data!$AN$943:$AO$959,2,0)="No",CEILING(K97+3,50),HLOOKUP(J95,Data!$AJ$943:$AL$2000,K98,0))</f>
        <v>50</v>
      </c>
      <c r="L95" s="1770" t="s">
        <v>1472</v>
      </c>
      <c r="M95" s="1705" t="s">
        <v>127</v>
      </c>
      <c r="N95" s="1768"/>
      <c r="O95" s="1705" t="s">
        <v>1259</v>
      </c>
      <c r="Q95" s="3450">
        <f t="shared" ref="Q95:Q108" ca="1" si="134">IFERROR(FIND("M",U95),2)</f>
        <v>2</v>
      </c>
      <c r="R95" s="3451">
        <v>1</v>
      </c>
      <c r="S95" s="3450" t="str">
        <f>IF(R95&lt;=VALUE(LEFT($I$91,1)),"MẶT TRƯỚC","MẶT SAU")</f>
        <v>MẶT SAU</v>
      </c>
      <c r="T95" s="3450">
        <f t="shared" ref="T95:T108" si="135">IF(S95="MẶT TRƯỚC",R95,IF(S94="mặt sau",T94+1,1))</f>
        <v>1</v>
      </c>
      <c r="U95" s="3450" t="str">
        <f t="shared" ref="U95:U108" ca="1" si="136">IF(S95="MẶT SAU",IF(T95&lt;=VALUE(RIGHT(OFFSET($I$23,Z95,0),1)),"MẶT SAU",""),S95)</f>
        <v/>
      </c>
      <c r="V95" s="3450"/>
      <c r="W95" s="3450">
        <v>1</v>
      </c>
      <c r="X95" s="3450" t="str">
        <f ca="1">IF(VLOOKUP(OFFSET($A$25,Z95,0),'Summary Data'!$C:$AV,45,0)&gt;0,"UV ink",Y95)</f>
        <v>Cyan (60-124773-7.1200 Nutri-2 Proc Cyan ISO 2846-1)</v>
      </c>
      <c r="Y95" s="136" t="s">
        <v>3356</v>
      </c>
      <c r="Z95" s="136">
        <f>Z78+17</f>
        <v>68</v>
      </c>
      <c r="AJ95" s="320"/>
      <c r="AM95" s="320"/>
      <c r="AS95" s="3459" t="str">
        <f t="shared" si="131"/>
        <v>importMetalize</v>
      </c>
      <c r="AT95" s="3450" t="s">
        <v>3562</v>
      </c>
      <c r="AU95" s="3450" t="s">
        <v>230</v>
      </c>
      <c r="AV95" s="3450" t="e">
        <f ca="1">IF(AX95="cộng 3",AV94,CEILING(J93+6,5))</f>
        <v>#N/A</v>
      </c>
      <c r="AW95" s="3450" t="e">
        <f ca="1">IF(AY95="cộng 6",AW94+3,AW94)</f>
        <v>#N/A</v>
      </c>
      <c r="AX95" s="3477" t="e">
        <f ca="1">IF(AV94&lt;AW94,"cộng 3","cộng 6")</f>
        <v>#N/A</v>
      </c>
      <c r="AY95" s="3476" t="e">
        <f ca="1">IF(AX95="cộng 3","cộng 6","cộng 3")</f>
        <v>#N/A</v>
      </c>
    </row>
    <row r="96" spans="1:51" ht="18" hidden="1" customHeight="1" outlineLevel="1">
      <c r="A96" s="3452" t="str">
        <f t="shared" ca="1" si="132"/>
        <v>None</v>
      </c>
      <c r="B96" s="3453">
        <f t="shared" ca="1" si="133"/>
        <v>0</v>
      </c>
      <c r="C96" s="1768"/>
      <c r="E96" s="1705" t="s">
        <v>127</v>
      </c>
      <c r="F96" s="1705" t="s">
        <v>1112</v>
      </c>
      <c r="G96" s="1768"/>
      <c r="H96" s="1768"/>
      <c r="J96" s="1705" t="s">
        <v>127</v>
      </c>
      <c r="K96" s="1705"/>
      <c r="L96" s="1770" t="s">
        <v>1472</v>
      </c>
      <c r="M96" s="1705" t="s">
        <v>127</v>
      </c>
      <c r="N96" s="1768"/>
      <c r="O96" s="1705" t="s">
        <v>1259</v>
      </c>
      <c r="Q96" s="3450">
        <f t="shared" ca="1" si="134"/>
        <v>2</v>
      </c>
      <c r="R96" s="3451">
        <f>R95+1</f>
        <v>2</v>
      </c>
      <c r="S96" s="3450" t="str">
        <f t="shared" ref="S96:S108" si="137">IF(R96&lt;=VALUE(LEFT($I$91,1)),"MẶT TRƯỚC","MẶT SAU")</f>
        <v>MẶT SAU</v>
      </c>
      <c r="T96" s="3450">
        <f t="shared" si="135"/>
        <v>2</v>
      </c>
      <c r="U96" s="3450" t="str">
        <f t="shared" ca="1" si="136"/>
        <v/>
      </c>
      <c r="V96" s="3450"/>
      <c r="W96" s="3450">
        <v>2</v>
      </c>
      <c r="X96" s="3450" t="str">
        <f ca="1">IF(VLOOKUP(OFFSET($A$25,Z96,0),'Summary Data'!$C:$AV,45,0)&gt;0,"UV ink",Y96)</f>
        <v>Magenta (61-804489-5.1290 Tempo Mix Magenta A)</v>
      </c>
      <c r="Y96" s="136" t="s">
        <v>3357</v>
      </c>
      <c r="Z96" s="136">
        <f>Z95</f>
        <v>68</v>
      </c>
      <c r="AJ96" s="320"/>
      <c r="AM96" s="320"/>
      <c r="AS96" s="3459" t="str">
        <f t="shared" si="131"/>
        <v>importRigid box</v>
      </c>
      <c r="AT96" s="3450" t="s">
        <v>3562</v>
      </c>
      <c r="AU96" s="3450" t="s">
        <v>3214</v>
      </c>
      <c r="AV96" s="3450" t="e">
        <f ca="1">AV94</f>
        <v>#N/A</v>
      </c>
      <c r="AW96" s="3450">
        <f>AW94</f>
        <v>3</v>
      </c>
    </row>
    <row r="97" spans="1:51" ht="18" hidden="1" customHeight="1" outlineLevel="1">
      <c r="A97" s="3452" t="str">
        <f t="shared" ca="1" si="132"/>
        <v>None</v>
      </c>
      <c r="B97" s="3453">
        <f t="shared" ca="1" si="133"/>
        <v>0</v>
      </c>
      <c r="C97" s="1768"/>
      <c r="E97" s="1705" t="s">
        <v>127</v>
      </c>
      <c r="F97" s="1705" t="s">
        <v>1112</v>
      </c>
      <c r="G97" s="1768"/>
      <c r="H97" s="1768"/>
      <c r="J97" s="314" t="s">
        <v>3471</v>
      </c>
      <c r="K97" s="3385"/>
      <c r="L97" s="991"/>
      <c r="M97" s="1705" t="s">
        <v>127</v>
      </c>
      <c r="N97" s="1768"/>
      <c r="O97" s="1705" t="s">
        <v>1259</v>
      </c>
      <c r="Q97" s="3450">
        <f t="shared" ca="1" si="134"/>
        <v>2</v>
      </c>
      <c r="R97" s="3451">
        <f t="shared" ref="R97:R108" si="138">R96+1</f>
        <v>3</v>
      </c>
      <c r="S97" s="3450" t="str">
        <f t="shared" si="137"/>
        <v>MẶT SAU</v>
      </c>
      <c r="T97" s="3450">
        <f t="shared" si="135"/>
        <v>3</v>
      </c>
      <c r="U97" s="3450" t="str">
        <f t="shared" ca="1" si="136"/>
        <v/>
      </c>
      <c r="V97" s="3450"/>
      <c r="W97" s="3450">
        <v>3</v>
      </c>
      <c r="X97" s="3450" t="str">
        <f ca="1">IF(VLOOKUP(OFFSET($A$25,Z97,0),'Summary Data'!$C:$AV,45,0)&gt;0,"UV ink",Y97)</f>
        <v>Yellow (61-312039-3.1290 Tempo Mix Yellow 4220)</v>
      </c>
      <c r="Y97" s="136" t="s">
        <v>3358</v>
      </c>
      <c r="Z97" s="136">
        <f t="shared" ref="Z97:Z108" si="139">Z96</f>
        <v>68</v>
      </c>
      <c r="AJ97" s="320"/>
      <c r="AM97" s="320"/>
      <c r="AS97" s="3459" t="str">
        <f t="shared" si="131"/>
        <v>localNon Metalize</v>
      </c>
      <c r="AT97" s="3450" t="s">
        <v>3563</v>
      </c>
      <c r="AU97" s="3450" t="s">
        <v>800</v>
      </c>
      <c r="AV97" s="3450" t="e">
        <f ca="1">AV93</f>
        <v>#N/A</v>
      </c>
      <c r="AW97" s="3458">
        <f>AW94</f>
        <v>3</v>
      </c>
    </row>
    <row r="98" spans="1:51" ht="18" hidden="1" customHeight="1" outlineLevel="1">
      <c r="A98" s="3452" t="str">
        <f t="shared" ca="1" si="132"/>
        <v>None</v>
      </c>
      <c r="B98" s="3453">
        <f t="shared" ca="1" si="133"/>
        <v>0</v>
      </c>
      <c r="C98" s="1768"/>
      <c r="E98" s="1705" t="s">
        <v>127</v>
      </c>
      <c r="F98" s="1705" t="s">
        <v>1112</v>
      </c>
      <c r="G98" s="1768"/>
      <c r="H98" s="1768"/>
      <c r="K98" s="3568">
        <f>K81+2</f>
        <v>10</v>
      </c>
      <c r="L98" s="991"/>
      <c r="M98" s="1705" t="s">
        <v>127</v>
      </c>
      <c r="N98" s="1768"/>
      <c r="O98" s="1705" t="s">
        <v>1259</v>
      </c>
      <c r="Q98" s="3450">
        <f t="shared" ca="1" si="134"/>
        <v>2</v>
      </c>
      <c r="R98" s="3451">
        <f t="shared" si="138"/>
        <v>4</v>
      </c>
      <c r="S98" s="3450" t="str">
        <f t="shared" si="137"/>
        <v>MẶT SAU</v>
      </c>
      <c r="T98" s="3450">
        <f t="shared" si="135"/>
        <v>4</v>
      </c>
      <c r="U98" s="3450" t="str">
        <f t="shared" ca="1" si="136"/>
        <v/>
      </c>
      <c r="V98" s="3450"/>
      <c r="W98" s="3450">
        <v>4</v>
      </c>
      <c r="X98" s="3450" t="str">
        <f ca="1">IF(VLOOKUP(OFFSET($A$25,Z98,0),'Summary Data'!$C:$AV,45,0)&gt;0,"UV ink",Y98)</f>
        <v>Black (60-914386-2.1200 Nutri-2 Proc Black ISO 2846-1)</v>
      </c>
      <c r="Y98" s="136" t="s">
        <v>3359</v>
      </c>
      <c r="Z98" s="136">
        <f t="shared" si="139"/>
        <v>68</v>
      </c>
      <c r="AJ98" s="320"/>
      <c r="AM98" s="320"/>
      <c r="AS98" s="3459" t="str">
        <f t="shared" si="131"/>
        <v>localMetalize</v>
      </c>
      <c r="AT98" s="3450" t="s">
        <v>3563</v>
      </c>
      <c r="AU98" s="3450" t="s">
        <v>230</v>
      </c>
      <c r="AV98" s="3450" t="e">
        <f ca="1">AV93</f>
        <v>#N/A</v>
      </c>
      <c r="AW98" s="3450" t="e">
        <f ca="1">IF(AY95="cộng 6",AW94+3,AW94)</f>
        <v>#N/A</v>
      </c>
    </row>
    <row r="99" spans="1:51" ht="18" hidden="1" customHeight="1" outlineLevel="1">
      <c r="A99" s="3452" t="str">
        <f t="shared" ca="1" si="132"/>
        <v>None</v>
      </c>
      <c r="B99" s="3453">
        <f t="shared" ca="1" si="133"/>
        <v>0</v>
      </c>
      <c r="C99" s="1768"/>
      <c r="E99" s="1705" t="s">
        <v>127</v>
      </c>
      <c r="F99" s="1705" t="s">
        <v>1112</v>
      </c>
      <c r="G99" s="1768"/>
      <c r="H99" s="1768"/>
      <c r="J99" s="320"/>
      <c r="K99" s="1579"/>
      <c r="L99" s="991"/>
      <c r="M99" s="1705" t="s">
        <v>127</v>
      </c>
      <c r="N99" s="1768"/>
      <c r="O99" s="1705" t="s">
        <v>1259</v>
      </c>
      <c r="Q99" s="3450">
        <f t="shared" ca="1" si="134"/>
        <v>2</v>
      </c>
      <c r="R99" s="3451">
        <f t="shared" si="138"/>
        <v>5</v>
      </c>
      <c r="S99" s="3450" t="str">
        <f t="shared" si="137"/>
        <v>MẶT SAU</v>
      </c>
      <c r="T99" s="3450">
        <f t="shared" si="135"/>
        <v>5</v>
      </c>
      <c r="U99" s="3450" t="str">
        <f t="shared" ca="1" si="136"/>
        <v/>
      </c>
      <c r="V99" s="3450"/>
      <c r="W99" s="3450"/>
      <c r="X99" s="3450">
        <f ca="1">IF(VLOOKUP(OFFSET($A$25,Z99,0),'Summary Data'!$C:$AV,45,0)&gt;0,"UV ink",Y99)</f>
        <v>0</v>
      </c>
      <c r="Z99" s="136">
        <f t="shared" si="139"/>
        <v>68</v>
      </c>
      <c r="AJ99" s="320"/>
      <c r="AM99" s="320"/>
      <c r="AS99" s="3459" t="str">
        <f t="shared" si="131"/>
        <v>localRigid box</v>
      </c>
      <c r="AT99" s="3450" t="s">
        <v>3563</v>
      </c>
      <c r="AU99" s="3450" t="s">
        <v>3214</v>
      </c>
      <c r="AV99" s="3450" t="e">
        <f ca="1">AV97</f>
        <v>#N/A</v>
      </c>
      <c r="AW99" s="3458">
        <f>AW97</f>
        <v>3</v>
      </c>
    </row>
    <row r="100" spans="1:51" ht="18" hidden="1" customHeight="1" outlineLevel="1">
      <c r="A100" s="3452" t="str">
        <f t="shared" ca="1" si="132"/>
        <v>None</v>
      </c>
      <c r="B100" s="3453">
        <f t="shared" ca="1" si="133"/>
        <v>0</v>
      </c>
      <c r="C100" s="1768"/>
      <c r="E100" s="320"/>
      <c r="F100" s="320"/>
      <c r="G100" s="320"/>
      <c r="H100" s="320"/>
      <c r="J100" s="2472" t="s">
        <v>2341</v>
      </c>
      <c r="K100" s="2473" t="s">
        <v>1417</v>
      </c>
      <c r="L100" s="2473" t="s">
        <v>2342</v>
      </c>
      <c r="Q100" s="3450">
        <f t="shared" ca="1" si="134"/>
        <v>2</v>
      </c>
      <c r="R100" s="3451">
        <f t="shared" si="138"/>
        <v>6</v>
      </c>
      <c r="S100" s="3450" t="str">
        <f t="shared" si="137"/>
        <v>MẶT SAU</v>
      </c>
      <c r="T100" s="3450">
        <f t="shared" si="135"/>
        <v>6</v>
      </c>
      <c r="U100" s="3450" t="str">
        <f t="shared" ca="1" si="136"/>
        <v/>
      </c>
      <c r="V100" s="3450"/>
      <c r="W100" s="3450">
        <v>5</v>
      </c>
      <c r="X100" s="3450" t="str">
        <f ca="1">IF(VLOOKUP(OFFSET($A$25,Z100,0),'Summary Data'!$C:$AV,45,0)&gt;0,"UV ink",Y100)</f>
        <v>Special Ink</v>
      </c>
      <c r="Y100" s="136" t="s">
        <v>1105</v>
      </c>
      <c r="Z100" s="136">
        <f t="shared" si="139"/>
        <v>68</v>
      </c>
      <c r="AJ100" s="320"/>
      <c r="AM100" s="320"/>
    </row>
    <row r="101" spans="1:51" ht="18" hidden="1" customHeight="1" outlineLevel="1">
      <c r="A101" s="3452" t="str">
        <f t="shared" ca="1" si="132"/>
        <v>None</v>
      </c>
      <c r="B101" s="3453">
        <f t="shared" ca="1" si="133"/>
        <v>0</v>
      </c>
      <c r="C101" s="1768"/>
      <c r="E101" s="146" t="s">
        <v>2055</v>
      </c>
      <c r="F101" s="919" t="str">
        <f>A93</f>
        <v>N</v>
      </c>
      <c r="G101" s="320"/>
      <c r="H101" s="320"/>
      <c r="I101" s="320"/>
      <c r="J101" s="2474" t="str">
        <f>Data!$P$817</f>
        <v>LDPE HANWHA 955</v>
      </c>
      <c r="K101" s="2474" t="s">
        <v>106</v>
      </c>
      <c r="L101" s="2475"/>
      <c r="M101" s="1000"/>
      <c r="Q101" s="3450">
        <f t="shared" ca="1" si="134"/>
        <v>2</v>
      </c>
      <c r="R101" s="3451">
        <f t="shared" si="138"/>
        <v>7</v>
      </c>
      <c r="S101" s="3450" t="str">
        <f t="shared" si="137"/>
        <v>MẶT SAU</v>
      </c>
      <c r="T101" s="3450">
        <f t="shared" si="135"/>
        <v>7</v>
      </c>
      <c r="U101" s="3450" t="str">
        <f t="shared" ca="1" si="136"/>
        <v/>
      </c>
      <c r="V101" s="3450"/>
      <c r="W101" s="3450">
        <f>W100+1</f>
        <v>6</v>
      </c>
      <c r="X101" s="3450" t="str">
        <f ca="1">IF(VLOOKUP(OFFSET($A$25,Z101,0),'Summary Data'!$C:$AV,45,0)&gt;0,"UV ink",Y101)</f>
        <v>Special Ink</v>
      </c>
      <c r="Y101" s="136" t="s">
        <v>1105</v>
      </c>
      <c r="Z101" s="136">
        <f t="shared" si="139"/>
        <v>68</v>
      </c>
      <c r="AJ101" s="320"/>
      <c r="AM101" s="320"/>
    </row>
    <row r="102" spans="1:51" ht="18" hidden="1" customHeight="1" outlineLevel="1">
      <c r="A102" s="3452" t="str">
        <f t="shared" ca="1" si="132"/>
        <v>None</v>
      </c>
      <c r="B102" s="3453">
        <f t="shared" ca="1" si="133"/>
        <v>0</v>
      </c>
      <c r="C102" s="1768"/>
      <c r="E102" s="320"/>
      <c r="F102" s="320"/>
      <c r="G102" s="320"/>
      <c r="H102" s="320"/>
      <c r="I102" s="320"/>
      <c r="K102" s="950" t="s">
        <v>2343</v>
      </c>
      <c r="L102" s="833"/>
      <c r="M102" s="1000"/>
      <c r="Q102" s="3450">
        <f t="shared" ca="1" si="134"/>
        <v>2</v>
      </c>
      <c r="R102" s="3451">
        <f t="shared" si="138"/>
        <v>8</v>
      </c>
      <c r="S102" s="3450" t="str">
        <f t="shared" si="137"/>
        <v>MẶT SAU</v>
      </c>
      <c r="T102" s="3450">
        <f t="shared" si="135"/>
        <v>8</v>
      </c>
      <c r="U102" s="3450" t="str">
        <f t="shared" ca="1" si="136"/>
        <v/>
      </c>
      <c r="V102" s="3450"/>
      <c r="W102" s="3450">
        <f>W101+1</f>
        <v>7</v>
      </c>
      <c r="X102" s="3450" t="str">
        <f ca="1">IF(VLOOKUP(OFFSET($A$25,Z102,0),'Summary Data'!$C:$AV,45,0)&gt;0,"UV ink",Y102)</f>
        <v>Special Ink</v>
      </c>
      <c r="Y102" s="136" t="s">
        <v>1105</v>
      </c>
      <c r="Z102" s="136">
        <f t="shared" si="139"/>
        <v>68</v>
      </c>
      <c r="AJ102" s="320"/>
      <c r="AM102" s="320"/>
    </row>
    <row r="103" spans="1:51" ht="18" hidden="1" customHeight="1" outlineLevel="1">
      <c r="A103" s="3452" t="str">
        <f t="shared" ca="1" si="132"/>
        <v>None</v>
      </c>
      <c r="B103" s="3453">
        <f t="shared" ca="1" si="133"/>
        <v>0</v>
      </c>
      <c r="C103" s="1768"/>
      <c r="E103" s="320"/>
      <c r="F103" s="320"/>
      <c r="G103" s="320"/>
      <c r="H103" s="320"/>
      <c r="I103" s="320"/>
      <c r="J103" s="1579"/>
      <c r="K103" s="950" t="s">
        <v>2393</v>
      </c>
      <c r="L103" s="833"/>
      <c r="M103" s="1000"/>
      <c r="Q103" s="3450">
        <f t="shared" ca="1" si="134"/>
        <v>2</v>
      </c>
      <c r="R103" s="3451">
        <f t="shared" si="138"/>
        <v>9</v>
      </c>
      <c r="S103" s="3450" t="str">
        <f t="shared" si="137"/>
        <v>MẶT SAU</v>
      </c>
      <c r="T103" s="3450">
        <f t="shared" si="135"/>
        <v>9</v>
      </c>
      <c r="U103" s="3450" t="str">
        <f t="shared" ca="1" si="136"/>
        <v/>
      </c>
      <c r="V103" s="3450"/>
      <c r="W103" s="3450">
        <f>W102+1</f>
        <v>8</v>
      </c>
      <c r="X103" s="3450" t="str">
        <f ca="1">IF(VLOOKUP(OFFSET($A$25,Z103,0),'Summary Data'!$C:$AV,45,0)&gt;0,"UV ink",Y103)</f>
        <v>Special Ink</v>
      </c>
      <c r="Y103" s="136" t="s">
        <v>1105</v>
      </c>
      <c r="Z103" s="136">
        <f t="shared" si="139"/>
        <v>68</v>
      </c>
      <c r="AJ103" s="320"/>
      <c r="AM103" s="320"/>
    </row>
    <row r="104" spans="1:51" ht="18" hidden="1" customHeight="1" outlineLevel="1">
      <c r="A104" s="3452" t="str">
        <f t="shared" ca="1" si="132"/>
        <v>None</v>
      </c>
      <c r="B104" s="3453">
        <f t="shared" ca="1" si="133"/>
        <v>0</v>
      </c>
      <c r="C104" s="1768"/>
      <c r="E104" s="320"/>
      <c r="F104" s="320"/>
      <c r="G104" s="320"/>
      <c r="H104" s="320"/>
      <c r="I104" s="320"/>
      <c r="J104" s="1579"/>
      <c r="K104" s="991"/>
      <c r="L104" s="833"/>
      <c r="M104" s="1000"/>
      <c r="Q104" s="3450">
        <f t="shared" ca="1" si="134"/>
        <v>2</v>
      </c>
      <c r="R104" s="3451">
        <f t="shared" si="138"/>
        <v>10</v>
      </c>
      <c r="S104" s="3450" t="str">
        <f t="shared" si="137"/>
        <v>MẶT SAU</v>
      </c>
      <c r="T104" s="3450">
        <f t="shared" si="135"/>
        <v>10</v>
      </c>
      <c r="U104" s="3450" t="str">
        <f t="shared" ca="1" si="136"/>
        <v/>
      </c>
      <c r="V104" s="3450"/>
      <c r="W104" s="3450">
        <f>W103+1</f>
        <v>9</v>
      </c>
      <c r="X104" s="3450" t="str">
        <f ca="1">IF(VLOOKUP(OFFSET($A$25,Z104,0),'Summary Data'!$C:$AV,45,0)&gt;0,"UV ink",Y104)</f>
        <v>Special Ink</v>
      </c>
      <c r="Y104" s="136" t="s">
        <v>1105</v>
      </c>
      <c r="Z104" s="136">
        <f t="shared" si="139"/>
        <v>68</v>
      </c>
      <c r="AJ104" s="320"/>
      <c r="AM104" s="320"/>
    </row>
    <row r="105" spans="1:51" ht="18" hidden="1" customHeight="1" outlineLevel="1">
      <c r="A105" s="3452" t="str">
        <f t="shared" ca="1" si="132"/>
        <v>None</v>
      </c>
      <c r="B105" s="3453">
        <f t="shared" ca="1" si="133"/>
        <v>0</v>
      </c>
      <c r="C105" s="1768"/>
      <c r="E105" s="320"/>
      <c r="F105" s="320"/>
      <c r="G105" s="320"/>
      <c r="H105" s="320"/>
      <c r="I105" s="320"/>
      <c r="J105" s="1579"/>
      <c r="K105" s="991"/>
      <c r="L105" s="833"/>
      <c r="M105" s="1000"/>
      <c r="Q105" s="3450">
        <f t="shared" ca="1" si="134"/>
        <v>2</v>
      </c>
      <c r="R105" s="3451">
        <f t="shared" si="138"/>
        <v>11</v>
      </c>
      <c r="S105" s="3450" t="str">
        <f t="shared" si="137"/>
        <v>MẶT SAU</v>
      </c>
      <c r="T105" s="3450">
        <f t="shared" si="135"/>
        <v>11</v>
      </c>
      <c r="U105" s="3450" t="str">
        <f t="shared" ca="1" si="136"/>
        <v/>
      </c>
      <c r="V105" s="3450"/>
      <c r="W105" s="3450"/>
      <c r="X105" s="3450">
        <f ca="1">IF(VLOOKUP(OFFSET($A$25,Z105,0),'Summary Data'!$C:$AV,45,0)&gt;0,"UV ink",Y105)</f>
        <v>0</v>
      </c>
      <c r="Z105" s="136">
        <f t="shared" si="139"/>
        <v>68</v>
      </c>
      <c r="AJ105" s="320"/>
      <c r="AM105" s="320"/>
    </row>
    <row r="106" spans="1:51" ht="18" hidden="1" customHeight="1" outlineLevel="1">
      <c r="A106" s="3452" t="str">
        <f t="shared" ca="1" si="132"/>
        <v>None</v>
      </c>
      <c r="B106" s="3453">
        <f t="shared" ca="1" si="133"/>
        <v>0</v>
      </c>
      <c r="C106" s="1768"/>
      <c r="E106" s="320"/>
      <c r="F106" s="320"/>
      <c r="G106" s="320"/>
      <c r="H106" s="320"/>
      <c r="I106" s="320"/>
      <c r="J106" s="1579"/>
      <c r="K106" s="991"/>
      <c r="L106" s="833"/>
      <c r="M106" s="1000"/>
      <c r="Q106" s="3450">
        <f t="shared" ca="1" si="134"/>
        <v>2</v>
      </c>
      <c r="R106" s="3451">
        <f t="shared" si="138"/>
        <v>12</v>
      </c>
      <c r="S106" s="3450" t="str">
        <f t="shared" si="137"/>
        <v>MẶT SAU</v>
      </c>
      <c r="T106" s="3450">
        <f t="shared" si="135"/>
        <v>12</v>
      </c>
      <c r="U106" s="3450" t="str">
        <f t="shared" ca="1" si="136"/>
        <v/>
      </c>
      <c r="V106" s="3450"/>
      <c r="W106" s="3450"/>
      <c r="X106" s="3450">
        <f ca="1">IF(VLOOKUP(OFFSET($A$25,Z106,0),'Summary Data'!$C:$AV,45,0)&gt;0,"UV ink",Y106)</f>
        <v>0</v>
      </c>
      <c r="Z106" s="136">
        <f t="shared" si="139"/>
        <v>68</v>
      </c>
      <c r="AJ106" s="320"/>
      <c r="AM106" s="320"/>
    </row>
    <row r="107" spans="1:51" ht="18" hidden="1" customHeight="1" outlineLevel="1">
      <c r="A107" s="3452" t="str">
        <f t="shared" ca="1" si="132"/>
        <v>None</v>
      </c>
      <c r="B107" s="3453">
        <f t="shared" ca="1" si="133"/>
        <v>0</v>
      </c>
      <c r="C107" s="1768"/>
      <c r="E107" s="320"/>
      <c r="F107" s="320"/>
      <c r="G107" s="320"/>
      <c r="H107" s="320"/>
      <c r="I107" s="320"/>
      <c r="J107" s="1579"/>
      <c r="K107" s="991"/>
      <c r="L107" s="833"/>
      <c r="M107" s="1000"/>
      <c r="Q107" s="3450">
        <f t="shared" ca="1" si="134"/>
        <v>2</v>
      </c>
      <c r="R107" s="3451">
        <f t="shared" si="138"/>
        <v>13</v>
      </c>
      <c r="S107" s="3450" t="str">
        <f t="shared" si="137"/>
        <v>MẶT SAU</v>
      </c>
      <c r="T107" s="3450">
        <f t="shared" si="135"/>
        <v>13</v>
      </c>
      <c r="U107" s="3450" t="str">
        <f t="shared" ca="1" si="136"/>
        <v/>
      </c>
      <c r="V107" s="3450"/>
      <c r="W107" s="3450"/>
      <c r="X107" s="3450">
        <f ca="1">IF(VLOOKUP(OFFSET($A$25,Z107,0),'Summary Data'!$C:$AV,45,0)&gt;0,"UV ink",Y107)</f>
        <v>0</v>
      </c>
      <c r="Z107" s="136">
        <f t="shared" si="139"/>
        <v>68</v>
      </c>
      <c r="AJ107" s="320"/>
      <c r="AM107" s="320"/>
    </row>
    <row r="108" spans="1:51" ht="18" hidden="1" customHeight="1" outlineLevel="1">
      <c r="A108" s="3452" t="str">
        <f t="shared" ca="1" si="132"/>
        <v>None</v>
      </c>
      <c r="B108" s="3454">
        <f t="shared" ca="1" si="133"/>
        <v>0</v>
      </c>
      <c r="C108" s="1772"/>
      <c r="E108" s="320"/>
      <c r="F108" s="320"/>
      <c r="G108" s="320"/>
      <c r="H108" s="320"/>
      <c r="I108" s="3455" t="s">
        <v>3625</v>
      </c>
      <c r="J108" s="3570" t="str">
        <f>VLOOKUP(J112,Data!$AA$943:$AB$959,2,0)</f>
        <v>Non Metalize</v>
      </c>
      <c r="K108" s="991"/>
      <c r="L108" s="833"/>
      <c r="M108" s="1000"/>
      <c r="Q108" s="3450">
        <f t="shared" ca="1" si="134"/>
        <v>2</v>
      </c>
      <c r="R108" s="3451">
        <f t="shared" si="138"/>
        <v>14</v>
      </c>
      <c r="S108" s="3450" t="str">
        <f t="shared" si="137"/>
        <v>MẶT SAU</v>
      </c>
      <c r="T108" s="3450">
        <f t="shared" si="135"/>
        <v>14</v>
      </c>
      <c r="U108" s="3450" t="str">
        <f t="shared" ca="1" si="136"/>
        <v/>
      </c>
      <c r="V108" s="3450"/>
      <c r="W108" s="3450"/>
      <c r="X108" s="3450">
        <f ca="1">IF(VLOOKUP(OFFSET($A$25,Z108,0),'Summary Data'!$C:$AV,45,0)&gt;0,"UV ink",Y108)</f>
        <v>0</v>
      </c>
      <c r="Z108" s="136">
        <f t="shared" si="139"/>
        <v>68</v>
      </c>
      <c r="AJ108" s="320"/>
      <c r="AM108" s="320"/>
      <c r="AU108" s="136">
        <f>AU91+9</f>
        <v>18</v>
      </c>
    </row>
    <row r="109" spans="1:51" ht="18" hidden="1" customHeight="1" outlineLevel="1">
      <c r="A109" s="919"/>
      <c r="B109" s="919"/>
      <c r="C109" s="320"/>
      <c r="D109" s="320"/>
      <c r="E109" s="320"/>
      <c r="F109" s="320"/>
      <c r="G109" s="320"/>
      <c r="H109" s="320"/>
      <c r="I109" s="320"/>
      <c r="J109" s="1579"/>
      <c r="K109" s="991"/>
      <c r="L109" s="833"/>
      <c r="M109" s="1000"/>
      <c r="AJ109" s="320"/>
      <c r="AM109" s="320"/>
      <c r="AS109" s="3457" t="s">
        <v>2055</v>
      </c>
      <c r="AT109" s="3457" t="s">
        <v>3559</v>
      </c>
      <c r="AU109" s="3457" t="s">
        <v>3560</v>
      </c>
      <c r="AV109" s="3457" t="s">
        <v>3561</v>
      </c>
      <c r="AW109" s="3457"/>
    </row>
    <row r="110" spans="1:51" ht="18" hidden="1" customHeight="1" outlineLevel="1">
      <c r="A110" s="1761" t="str">
        <f>IFERROR(INDEX('Summary Data'!B:B,MATCH(6,'Summary Data'!GS:GS,0),1),"N")</f>
        <v>N</v>
      </c>
      <c r="B110" s="1762"/>
      <c r="C110" s="1614" t="s">
        <v>1393</v>
      </c>
      <c r="D110" s="1614"/>
      <c r="E110" s="1614" t="s">
        <v>649</v>
      </c>
      <c r="F110" s="1614"/>
      <c r="G110" s="1614"/>
      <c r="H110" s="1614">
        <v>0</v>
      </c>
      <c r="I110" s="1614">
        <f>VALUE(LEFT(I108,1)+RIGHT(I108,1))</f>
        <v>0</v>
      </c>
      <c r="J110" s="1763"/>
      <c r="K110" s="1764"/>
      <c r="L110" s="3448" t="e">
        <f ca="1">VLOOKUP(E110&amp;J108,AS111:AW116,4,0)</f>
        <v>#N/A</v>
      </c>
      <c r="M110" s="3449">
        <f>VLOOKUP(E110&amp;J108,AS111:AW116,5,0)</f>
        <v>3</v>
      </c>
      <c r="N110" s="1771"/>
      <c r="O110" s="2150" t="s">
        <v>106</v>
      </c>
      <c r="P110" s="2150" t="s">
        <v>2040</v>
      </c>
      <c r="AJ110" s="320"/>
      <c r="AM110" s="320"/>
      <c r="AS110" s="3459"/>
      <c r="AT110" s="3450" t="e">
        <f ca="1">MATCH(C110&amp;"lấy",OFFSET($BT:$BT,0,AU108),0)</f>
        <v>#N/A</v>
      </c>
      <c r="AU110" s="3450" t="e">
        <f ca="1">MATCH(C110&amp;"lấy",OFFSET($BS:$BS,0,AU108),0)</f>
        <v>#N/A</v>
      </c>
      <c r="AV110" s="3450" t="e">
        <f ca="1">IFERROR(INDEX(AO:AO,AT110,1),INDEX(AN:AN,AU110,1))</f>
        <v>#N/A</v>
      </c>
      <c r="AW110" s="3450"/>
    </row>
    <row r="111" spans="1:51" ht="18" hidden="1" customHeight="1" outlineLevel="1">
      <c r="A111" s="1766" t="s">
        <v>213</v>
      </c>
      <c r="B111" s="1767" t="s">
        <v>1469</v>
      </c>
      <c r="C111" s="1767" t="s">
        <v>445</v>
      </c>
      <c r="D111" s="3104">
        <v>2.2000000000000002</v>
      </c>
      <c r="E111" s="1766" t="s">
        <v>1610</v>
      </c>
      <c r="F111" s="1767" t="s">
        <v>1470</v>
      </c>
      <c r="G111" s="1767" t="s">
        <v>1469</v>
      </c>
      <c r="H111" s="1767" t="s">
        <v>445</v>
      </c>
      <c r="I111" s="319"/>
      <c r="J111" s="1766" t="s">
        <v>495</v>
      </c>
      <c r="K111" s="1767" t="s">
        <v>183</v>
      </c>
      <c r="L111" s="1769" t="s">
        <v>1471</v>
      </c>
      <c r="M111" s="1766" t="s">
        <v>215</v>
      </c>
      <c r="N111" s="1767" t="s">
        <v>1469</v>
      </c>
      <c r="O111" s="1767" t="s">
        <v>1473</v>
      </c>
      <c r="Q111" s="3450" t="s">
        <v>3568</v>
      </c>
      <c r="R111" s="3450" t="s">
        <v>3569</v>
      </c>
      <c r="S111" s="3450" t="s">
        <v>3570</v>
      </c>
      <c r="T111" s="3450" t="s">
        <v>3571</v>
      </c>
      <c r="U111" s="3450" t="s">
        <v>3572</v>
      </c>
      <c r="V111" s="3450"/>
      <c r="W111" s="3450" t="s">
        <v>3574</v>
      </c>
      <c r="X111" s="3450"/>
      <c r="AJ111" s="320"/>
      <c r="AM111" s="320"/>
      <c r="AS111" s="3459" t="str">
        <f t="shared" ref="AS111:AS116" si="140">AT111&amp;AU111</f>
        <v>importNon Metalize</v>
      </c>
      <c r="AT111" s="3450" t="s">
        <v>3562</v>
      </c>
      <c r="AU111" s="3450" t="s">
        <v>800</v>
      </c>
      <c r="AV111" s="3450" t="e">
        <f ca="1">IF(E110="local",AV110,CEILING(J110+3,5))</f>
        <v>#N/A</v>
      </c>
      <c r="AW111" s="3458">
        <f>K110+3</f>
        <v>3</v>
      </c>
    </row>
    <row r="112" spans="1:51" ht="18" hidden="1" customHeight="1" outlineLevel="1">
      <c r="A112" s="3452" t="str">
        <f t="shared" ref="A112:A125" ca="1" si="141">IF($Q112=1,VLOOKUP($T112,OFFSET($W$27,Z112,0,15,2),2,0),"None")</f>
        <v>None</v>
      </c>
      <c r="B112" s="3453">
        <f t="shared" ref="B112:B125" ca="1" si="142">IF($Q112=1,IF($U112="mặt trước",ROUNDUP(OFFSET($J$25,Z112,0)*OFFSET($K$25,Z112,0)*OFFSET($D$26,Z112,0)/10^9*10000/VALUE(LEFT(OFFSET($I$23,Z112,0),1)),2),ROUNDUP(OFFSET($J$25,Z112,0)*OFFSET($K$25,Z112,0)*OFFSET($D$27,Z112,0)/10^9*10000/VALUE(RIGHT(OFFSET($I$23,Z112,0),1)),2)),0)</f>
        <v>0</v>
      </c>
      <c r="C112" s="1768"/>
      <c r="D112" s="3104">
        <v>2.1</v>
      </c>
      <c r="E112" s="1705" t="s">
        <v>127</v>
      </c>
      <c r="F112" s="1705" t="s">
        <v>1112</v>
      </c>
      <c r="G112" s="1768"/>
      <c r="H112" s="1768"/>
      <c r="J112" s="1705" t="s">
        <v>127</v>
      </c>
      <c r="K112" s="3571">
        <f>IF(VLOOKUP(J112,Data!$AN$943:$AO$959,2,0)="No",CEILING(K114+3,50),HLOOKUP(J112,Data!$AJ$943:$AL$2000,K115,0))</f>
        <v>50</v>
      </c>
      <c r="L112" s="1770" t="s">
        <v>1472</v>
      </c>
      <c r="M112" s="1705" t="s">
        <v>127</v>
      </c>
      <c r="N112" s="1768"/>
      <c r="O112" s="1705" t="s">
        <v>1259</v>
      </c>
      <c r="Q112" s="3450">
        <f t="shared" ref="Q112:Q125" ca="1" si="143">IFERROR(FIND("M",U112),2)</f>
        <v>2</v>
      </c>
      <c r="R112" s="3451">
        <v>1</v>
      </c>
      <c r="S112" s="3450" t="str">
        <f>IF(R112&lt;=VALUE(LEFT($I$108,1)),"MẶT TRƯỚC","MẶT SAU")</f>
        <v>MẶT SAU</v>
      </c>
      <c r="T112" s="3450">
        <f t="shared" ref="T112:T125" si="144">IF(S112="MẶT TRƯỚC",R112,IF(S111="mặt sau",T111+1,1))</f>
        <v>1</v>
      </c>
      <c r="U112" s="3450" t="str">
        <f t="shared" ref="U112:U125" ca="1" si="145">IF(S112="MẶT SAU",IF(T112&lt;=VALUE(RIGHT(OFFSET($I$23,Z112,0),1)),"MẶT SAU",""),S112)</f>
        <v/>
      </c>
      <c r="V112" s="3450"/>
      <c r="W112" s="3450">
        <v>1</v>
      </c>
      <c r="X112" s="3450" t="str">
        <f ca="1">IF(VLOOKUP(OFFSET($A$25,Z112,0),'Summary Data'!$C:$AV,45,0)&gt;0,"UV ink",Y112)</f>
        <v>Cyan (60-124773-7.1200 Nutri-2 Proc Cyan ISO 2846-1)</v>
      </c>
      <c r="Y112" s="136" t="s">
        <v>3356</v>
      </c>
      <c r="Z112" s="136">
        <f>Z95+17</f>
        <v>85</v>
      </c>
      <c r="AJ112" s="320"/>
      <c r="AM112" s="320"/>
      <c r="AS112" s="3459" t="str">
        <f t="shared" si="140"/>
        <v>importMetalize</v>
      </c>
      <c r="AT112" s="3450" t="s">
        <v>3562</v>
      </c>
      <c r="AU112" s="3450" t="s">
        <v>230</v>
      </c>
      <c r="AV112" s="3450" t="e">
        <f ca="1">IF(AX112="cộng 3",AV111,CEILING(J110+6,5))</f>
        <v>#N/A</v>
      </c>
      <c r="AW112" s="3450" t="e">
        <f ca="1">IF(AY112="cộng 6",AW111+3,AW111)</f>
        <v>#N/A</v>
      </c>
      <c r="AX112" s="3477" t="e">
        <f ca="1">IF(AV111&lt;AW111,"cộng 3","cộng 6")</f>
        <v>#N/A</v>
      </c>
      <c r="AY112" s="3476" t="e">
        <f ca="1">IF(AX112="cộng 3","cộng 6","cộng 3")</f>
        <v>#N/A</v>
      </c>
    </row>
    <row r="113" spans="1:51" ht="18" hidden="1" customHeight="1" outlineLevel="1">
      <c r="A113" s="3452" t="str">
        <f t="shared" ca="1" si="141"/>
        <v>None</v>
      </c>
      <c r="B113" s="3453">
        <f t="shared" ca="1" si="142"/>
        <v>0</v>
      </c>
      <c r="C113" s="1768"/>
      <c r="E113" s="1705" t="s">
        <v>127</v>
      </c>
      <c r="F113" s="1705" t="s">
        <v>1112</v>
      </c>
      <c r="G113" s="1768"/>
      <c r="H113" s="1768"/>
      <c r="J113" s="1705" t="s">
        <v>127</v>
      </c>
      <c r="K113" s="1705"/>
      <c r="L113" s="1770" t="s">
        <v>1472</v>
      </c>
      <c r="M113" s="1705" t="s">
        <v>127</v>
      </c>
      <c r="N113" s="1768"/>
      <c r="O113" s="1705" t="s">
        <v>1259</v>
      </c>
      <c r="Q113" s="3450">
        <f t="shared" ca="1" si="143"/>
        <v>2</v>
      </c>
      <c r="R113" s="3451">
        <f>R112+1</f>
        <v>2</v>
      </c>
      <c r="S113" s="3450" t="str">
        <f t="shared" ref="S113:S125" si="146">IF(R113&lt;=VALUE(LEFT($I$108,1)),"MẶT TRƯỚC","MẶT SAU")</f>
        <v>MẶT SAU</v>
      </c>
      <c r="T113" s="3450">
        <f t="shared" si="144"/>
        <v>2</v>
      </c>
      <c r="U113" s="3450" t="str">
        <f t="shared" ca="1" si="145"/>
        <v/>
      </c>
      <c r="V113" s="3450"/>
      <c r="W113" s="3450">
        <v>2</v>
      </c>
      <c r="X113" s="3450" t="str">
        <f ca="1">IF(VLOOKUP(OFFSET($A$25,Z113,0),'Summary Data'!$C:$AV,45,0)&gt;0,"UV ink",Y113)</f>
        <v>Magenta (61-804489-5.1290 Tempo Mix Magenta A)</v>
      </c>
      <c r="Y113" s="136" t="s">
        <v>3357</v>
      </c>
      <c r="Z113" s="136">
        <f>Z112</f>
        <v>85</v>
      </c>
      <c r="AJ113" s="320"/>
      <c r="AM113" s="320"/>
      <c r="AS113" s="3459" t="str">
        <f t="shared" si="140"/>
        <v>importRigid box</v>
      </c>
      <c r="AT113" s="3450" t="s">
        <v>3562</v>
      </c>
      <c r="AU113" s="3450" t="s">
        <v>3214</v>
      </c>
      <c r="AV113" s="3450" t="e">
        <f ca="1">AV111</f>
        <v>#N/A</v>
      </c>
      <c r="AW113" s="3450">
        <f>AW111</f>
        <v>3</v>
      </c>
    </row>
    <row r="114" spans="1:51" ht="18" hidden="1" customHeight="1" outlineLevel="1">
      <c r="A114" s="3452" t="str">
        <f t="shared" ca="1" si="141"/>
        <v>None</v>
      </c>
      <c r="B114" s="3453">
        <f t="shared" ca="1" si="142"/>
        <v>0</v>
      </c>
      <c r="C114" s="1768"/>
      <c r="E114" s="1705" t="s">
        <v>127</v>
      </c>
      <c r="F114" s="1705" t="s">
        <v>1112</v>
      </c>
      <c r="G114" s="1768"/>
      <c r="H114" s="1768"/>
      <c r="J114" s="314" t="s">
        <v>3471</v>
      </c>
      <c r="K114" s="3385"/>
      <c r="L114" s="991"/>
      <c r="M114" s="1705" t="s">
        <v>127</v>
      </c>
      <c r="N114" s="1768"/>
      <c r="O114" s="1705" t="s">
        <v>1259</v>
      </c>
      <c r="Q114" s="3450">
        <f t="shared" ca="1" si="143"/>
        <v>2</v>
      </c>
      <c r="R114" s="3451">
        <f t="shared" ref="R114:R125" si="147">R113+1</f>
        <v>3</v>
      </c>
      <c r="S114" s="3450" t="str">
        <f t="shared" si="146"/>
        <v>MẶT SAU</v>
      </c>
      <c r="T114" s="3450">
        <f t="shared" si="144"/>
        <v>3</v>
      </c>
      <c r="U114" s="3450" t="str">
        <f t="shared" ca="1" si="145"/>
        <v/>
      </c>
      <c r="V114" s="3450"/>
      <c r="W114" s="3450">
        <v>3</v>
      </c>
      <c r="X114" s="3450" t="str">
        <f ca="1">IF(VLOOKUP(OFFSET($A$25,Z114,0),'Summary Data'!$C:$AV,45,0)&gt;0,"UV ink",Y114)</f>
        <v>Yellow (61-312039-3.1290 Tempo Mix Yellow 4220)</v>
      </c>
      <c r="Y114" s="136" t="s">
        <v>3358</v>
      </c>
      <c r="Z114" s="136">
        <f t="shared" ref="Z114:Z125" si="148">Z113</f>
        <v>85</v>
      </c>
      <c r="AJ114" s="320"/>
      <c r="AM114" s="320"/>
      <c r="AS114" s="3459" t="str">
        <f t="shared" si="140"/>
        <v>localNon Metalize</v>
      </c>
      <c r="AT114" s="3450" t="s">
        <v>3563</v>
      </c>
      <c r="AU114" s="3450" t="s">
        <v>800</v>
      </c>
      <c r="AV114" s="3450" t="e">
        <f ca="1">AV110</f>
        <v>#N/A</v>
      </c>
      <c r="AW114" s="3458">
        <f>AW111</f>
        <v>3</v>
      </c>
    </row>
    <row r="115" spans="1:51" ht="18" hidden="1" customHeight="1" outlineLevel="1">
      <c r="A115" s="3452" t="str">
        <f t="shared" ca="1" si="141"/>
        <v>None</v>
      </c>
      <c r="B115" s="3453">
        <f t="shared" ca="1" si="142"/>
        <v>0</v>
      </c>
      <c r="C115" s="1768"/>
      <c r="E115" s="1705" t="s">
        <v>127</v>
      </c>
      <c r="F115" s="1705" t="s">
        <v>1112</v>
      </c>
      <c r="G115" s="1768"/>
      <c r="H115" s="1768"/>
      <c r="K115" s="3568">
        <f>K98+2</f>
        <v>12</v>
      </c>
      <c r="L115" s="991"/>
      <c r="M115" s="1705" t="s">
        <v>127</v>
      </c>
      <c r="N115" s="1768"/>
      <c r="O115" s="1705" t="s">
        <v>1259</v>
      </c>
      <c r="Q115" s="3450">
        <f t="shared" ca="1" si="143"/>
        <v>2</v>
      </c>
      <c r="R115" s="3451">
        <f t="shared" si="147"/>
        <v>4</v>
      </c>
      <c r="S115" s="3450" t="str">
        <f t="shared" si="146"/>
        <v>MẶT SAU</v>
      </c>
      <c r="T115" s="3450">
        <f t="shared" si="144"/>
        <v>4</v>
      </c>
      <c r="U115" s="3450" t="str">
        <f t="shared" ca="1" si="145"/>
        <v/>
      </c>
      <c r="V115" s="3450"/>
      <c r="W115" s="3450">
        <v>4</v>
      </c>
      <c r="X115" s="3450" t="str">
        <f ca="1">IF(VLOOKUP(OFFSET($A$25,Z115,0),'Summary Data'!$C:$AV,45,0)&gt;0,"UV ink",Y115)</f>
        <v>Black (60-914386-2.1200 Nutri-2 Proc Black ISO 2846-1)</v>
      </c>
      <c r="Y115" s="136" t="s">
        <v>3359</v>
      </c>
      <c r="Z115" s="136">
        <f t="shared" si="148"/>
        <v>85</v>
      </c>
      <c r="AJ115" s="320"/>
      <c r="AM115" s="320"/>
      <c r="AS115" s="3459" t="str">
        <f t="shared" si="140"/>
        <v>localMetalize</v>
      </c>
      <c r="AT115" s="3450" t="s">
        <v>3563</v>
      </c>
      <c r="AU115" s="3450" t="s">
        <v>230</v>
      </c>
      <c r="AV115" s="3450" t="e">
        <f ca="1">AV110</f>
        <v>#N/A</v>
      </c>
      <c r="AW115" s="3450" t="e">
        <f ca="1">IF(AY112="cộng 6",AW111+3,AW111)</f>
        <v>#N/A</v>
      </c>
    </row>
    <row r="116" spans="1:51" ht="18" hidden="1" customHeight="1" outlineLevel="1">
      <c r="A116" s="3452" t="str">
        <f t="shared" ca="1" si="141"/>
        <v>None</v>
      </c>
      <c r="B116" s="3453">
        <f t="shared" ca="1" si="142"/>
        <v>0</v>
      </c>
      <c r="C116" s="1768"/>
      <c r="E116" s="1705" t="s">
        <v>127</v>
      </c>
      <c r="F116" s="1705" t="s">
        <v>1112</v>
      </c>
      <c r="G116" s="1768"/>
      <c r="H116" s="1768"/>
      <c r="J116" s="320"/>
      <c r="K116" s="1579"/>
      <c r="L116" s="991"/>
      <c r="M116" s="1705" t="s">
        <v>127</v>
      </c>
      <c r="N116" s="1768"/>
      <c r="O116" s="1705" t="s">
        <v>1259</v>
      </c>
      <c r="Q116" s="3450">
        <f t="shared" ca="1" si="143"/>
        <v>2</v>
      </c>
      <c r="R116" s="3451">
        <f t="shared" si="147"/>
        <v>5</v>
      </c>
      <c r="S116" s="3450" t="str">
        <f t="shared" si="146"/>
        <v>MẶT SAU</v>
      </c>
      <c r="T116" s="3450">
        <f t="shared" si="144"/>
        <v>5</v>
      </c>
      <c r="U116" s="3450" t="str">
        <f t="shared" ca="1" si="145"/>
        <v/>
      </c>
      <c r="V116" s="3450"/>
      <c r="W116" s="3450"/>
      <c r="X116" s="3450">
        <f ca="1">IF(VLOOKUP(OFFSET($A$25,Z116,0),'Summary Data'!$C:$AV,45,0)&gt;0,"UV ink",Y116)</f>
        <v>0</v>
      </c>
      <c r="Z116" s="136">
        <f t="shared" si="148"/>
        <v>85</v>
      </c>
      <c r="AJ116" s="320"/>
      <c r="AM116" s="320"/>
      <c r="AS116" s="3459" t="str">
        <f t="shared" si="140"/>
        <v>localRigid box</v>
      </c>
      <c r="AT116" s="3450" t="s">
        <v>3563</v>
      </c>
      <c r="AU116" s="3450" t="s">
        <v>3214</v>
      </c>
      <c r="AV116" s="3450" t="e">
        <f ca="1">AV114</f>
        <v>#N/A</v>
      </c>
      <c r="AW116" s="3458">
        <f>AW114</f>
        <v>3</v>
      </c>
    </row>
    <row r="117" spans="1:51" ht="18" hidden="1" customHeight="1" outlineLevel="1">
      <c r="A117" s="3452" t="str">
        <f t="shared" ca="1" si="141"/>
        <v>None</v>
      </c>
      <c r="B117" s="3453">
        <f t="shared" ca="1" si="142"/>
        <v>0</v>
      </c>
      <c r="C117" s="1768"/>
      <c r="E117" s="320"/>
      <c r="F117" s="320"/>
      <c r="G117" s="320"/>
      <c r="H117" s="320"/>
      <c r="J117" s="2472" t="s">
        <v>2341</v>
      </c>
      <c r="K117" s="2473" t="s">
        <v>1417</v>
      </c>
      <c r="L117" s="2473" t="s">
        <v>2342</v>
      </c>
      <c r="Q117" s="3450">
        <f t="shared" ca="1" si="143"/>
        <v>2</v>
      </c>
      <c r="R117" s="3451">
        <f t="shared" si="147"/>
        <v>6</v>
      </c>
      <c r="S117" s="3450" t="str">
        <f t="shared" si="146"/>
        <v>MẶT SAU</v>
      </c>
      <c r="T117" s="3450">
        <f t="shared" si="144"/>
        <v>6</v>
      </c>
      <c r="U117" s="3450" t="str">
        <f t="shared" ca="1" si="145"/>
        <v/>
      </c>
      <c r="V117" s="3450"/>
      <c r="W117" s="3450">
        <v>5</v>
      </c>
      <c r="X117" s="3450" t="str">
        <f ca="1">IF(VLOOKUP(OFFSET($A$25,Z117,0),'Summary Data'!$C:$AV,45,0)&gt;0,"UV ink",Y117)</f>
        <v>Special Ink</v>
      </c>
      <c r="Y117" s="136" t="s">
        <v>1105</v>
      </c>
      <c r="Z117" s="136">
        <f t="shared" si="148"/>
        <v>85</v>
      </c>
      <c r="AJ117" s="320"/>
      <c r="AM117" s="320"/>
    </row>
    <row r="118" spans="1:51" ht="18" hidden="1" customHeight="1" outlineLevel="1">
      <c r="A118" s="3452" t="str">
        <f t="shared" ca="1" si="141"/>
        <v>None</v>
      </c>
      <c r="B118" s="3453">
        <f t="shared" ca="1" si="142"/>
        <v>0</v>
      </c>
      <c r="C118" s="1768"/>
      <c r="E118" s="146" t="s">
        <v>2055</v>
      </c>
      <c r="F118" s="919" t="str">
        <f>A110</f>
        <v>N</v>
      </c>
      <c r="G118" s="320"/>
      <c r="H118" s="320"/>
      <c r="I118" s="320"/>
      <c r="J118" s="2474" t="str">
        <f>Data!$P$817</f>
        <v>LDPE HANWHA 955</v>
      </c>
      <c r="K118" s="2474" t="s">
        <v>106</v>
      </c>
      <c r="L118" s="2475"/>
      <c r="M118" s="1000"/>
      <c r="Q118" s="3450">
        <f t="shared" ca="1" si="143"/>
        <v>2</v>
      </c>
      <c r="R118" s="3451">
        <f t="shared" si="147"/>
        <v>7</v>
      </c>
      <c r="S118" s="3450" t="str">
        <f t="shared" si="146"/>
        <v>MẶT SAU</v>
      </c>
      <c r="T118" s="3450">
        <f t="shared" si="144"/>
        <v>7</v>
      </c>
      <c r="U118" s="3450" t="str">
        <f t="shared" ca="1" si="145"/>
        <v/>
      </c>
      <c r="V118" s="3450"/>
      <c r="W118" s="3450">
        <f>W117+1</f>
        <v>6</v>
      </c>
      <c r="X118" s="3450" t="str">
        <f ca="1">IF(VLOOKUP(OFFSET($A$25,Z118,0),'Summary Data'!$C:$AV,45,0)&gt;0,"UV ink",Y118)</f>
        <v>Special Ink</v>
      </c>
      <c r="Y118" s="136" t="s">
        <v>1105</v>
      </c>
      <c r="Z118" s="136">
        <f t="shared" si="148"/>
        <v>85</v>
      </c>
      <c r="AJ118" s="320"/>
      <c r="AM118" s="320"/>
    </row>
    <row r="119" spans="1:51" ht="18" hidden="1" customHeight="1" outlineLevel="1">
      <c r="A119" s="3452" t="str">
        <f t="shared" ca="1" si="141"/>
        <v>None</v>
      </c>
      <c r="B119" s="3453">
        <f t="shared" ca="1" si="142"/>
        <v>0</v>
      </c>
      <c r="C119" s="1768"/>
      <c r="E119" s="320"/>
      <c r="F119" s="320"/>
      <c r="G119" s="320"/>
      <c r="H119" s="320"/>
      <c r="I119" s="320"/>
      <c r="K119" s="950" t="s">
        <v>2343</v>
      </c>
      <c r="L119" s="833"/>
      <c r="M119" s="1000"/>
      <c r="Q119" s="3450">
        <f t="shared" ca="1" si="143"/>
        <v>2</v>
      </c>
      <c r="R119" s="3451">
        <f t="shared" si="147"/>
        <v>8</v>
      </c>
      <c r="S119" s="3450" t="str">
        <f t="shared" si="146"/>
        <v>MẶT SAU</v>
      </c>
      <c r="T119" s="3450">
        <f t="shared" si="144"/>
        <v>8</v>
      </c>
      <c r="U119" s="3450" t="str">
        <f t="shared" ca="1" si="145"/>
        <v/>
      </c>
      <c r="V119" s="3450"/>
      <c r="W119" s="3450">
        <f>W118+1</f>
        <v>7</v>
      </c>
      <c r="X119" s="3450" t="str">
        <f ca="1">IF(VLOOKUP(OFFSET($A$25,Z119,0),'Summary Data'!$C:$AV,45,0)&gt;0,"UV ink",Y119)</f>
        <v>Special Ink</v>
      </c>
      <c r="Y119" s="136" t="s">
        <v>1105</v>
      </c>
      <c r="Z119" s="136">
        <f t="shared" si="148"/>
        <v>85</v>
      </c>
      <c r="AJ119" s="320"/>
      <c r="AM119" s="320"/>
    </row>
    <row r="120" spans="1:51" ht="18" hidden="1" customHeight="1" outlineLevel="1">
      <c r="A120" s="3452" t="str">
        <f t="shared" ca="1" si="141"/>
        <v>None</v>
      </c>
      <c r="B120" s="3453">
        <f t="shared" ca="1" si="142"/>
        <v>0</v>
      </c>
      <c r="C120" s="1768"/>
      <c r="E120" s="320"/>
      <c r="F120" s="320"/>
      <c r="G120" s="320"/>
      <c r="H120" s="320"/>
      <c r="I120" s="320"/>
      <c r="J120" s="1579"/>
      <c r="K120" s="950" t="s">
        <v>2393</v>
      </c>
      <c r="L120" s="833"/>
      <c r="M120" s="1000"/>
      <c r="Q120" s="3450">
        <f t="shared" ca="1" si="143"/>
        <v>2</v>
      </c>
      <c r="R120" s="3451">
        <f t="shared" si="147"/>
        <v>9</v>
      </c>
      <c r="S120" s="3450" t="str">
        <f t="shared" si="146"/>
        <v>MẶT SAU</v>
      </c>
      <c r="T120" s="3450">
        <f t="shared" si="144"/>
        <v>9</v>
      </c>
      <c r="U120" s="3450" t="str">
        <f t="shared" ca="1" si="145"/>
        <v/>
      </c>
      <c r="V120" s="3450"/>
      <c r="W120" s="3450">
        <f>W119+1</f>
        <v>8</v>
      </c>
      <c r="X120" s="3450" t="str">
        <f ca="1">IF(VLOOKUP(OFFSET($A$25,Z120,0),'Summary Data'!$C:$AV,45,0)&gt;0,"UV ink",Y120)</f>
        <v>Special Ink</v>
      </c>
      <c r="Y120" s="136" t="s">
        <v>1105</v>
      </c>
      <c r="Z120" s="136">
        <f t="shared" si="148"/>
        <v>85</v>
      </c>
      <c r="AJ120" s="320"/>
      <c r="AM120" s="320"/>
    </row>
    <row r="121" spans="1:51" ht="18" hidden="1" customHeight="1" outlineLevel="1">
      <c r="A121" s="3452" t="str">
        <f t="shared" ca="1" si="141"/>
        <v>None</v>
      </c>
      <c r="B121" s="3453">
        <f t="shared" ca="1" si="142"/>
        <v>0</v>
      </c>
      <c r="C121" s="1768"/>
      <c r="E121" s="320"/>
      <c r="F121" s="320"/>
      <c r="G121" s="320"/>
      <c r="H121" s="320"/>
      <c r="I121" s="320"/>
      <c r="J121" s="1579"/>
      <c r="K121" s="991"/>
      <c r="L121" s="833"/>
      <c r="M121" s="1000"/>
      <c r="Q121" s="3450">
        <f t="shared" ca="1" si="143"/>
        <v>2</v>
      </c>
      <c r="R121" s="3451">
        <f t="shared" si="147"/>
        <v>10</v>
      </c>
      <c r="S121" s="3450" t="str">
        <f t="shared" si="146"/>
        <v>MẶT SAU</v>
      </c>
      <c r="T121" s="3450">
        <f t="shared" si="144"/>
        <v>10</v>
      </c>
      <c r="U121" s="3450" t="str">
        <f t="shared" ca="1" si="145"/>
        <v/>
      </c>
      <c r="V121" s="3450"/>
      <c r="W121" s="3450">
        <f>W120+1</f>
        <v>9</v>
      </c>
      <c r="X121" s="3450" t="str">
        <f ca="1">IF(VLOOKUP(OFFSET($A$25,Z121,0),'Summary Data'!$C:$AV,45,0)&gt;0,"UV ink",Y121)</f>
        <v>Special Ink</v>
      </c>
      <c r="Y121" s="136" t="s">
        <v>1105</v>
      </c>
      <c r="Z121" s="136">
        <f t="shared" si="148"/>
        <v>85</v>
      </c>
      <c r="AJ121" s="320"/>
      <c r="AM121" s="320"/>
    </row>
    <row r="122" spans="1:51" ht="18" hidden="1" customHeight="1" outlineLevel="1">
      <c r="A122" s="3452" t="str">
        <f t="shared" ca="1" si="141"/>
        <v>None</v>
      </c>
      <c r="B122" s="3453">
        <f t="shared" ca="1" si="142"/>
        <v>0</v>
      </c>
      <c r="C122" s="1768"/>
      <c r="E122" s="320"/>
      <c r="F122" s="320"/>
      <c r="G122" s="320"/>
      <c r="H122" s="320"/>
      <c r="I122" s="320"/>
      <c r="J122" s="1579"/>
      <c r="K122" s="991"/>
      <c r="L122" s="833"/>
      <c r="M122" s="1000"/>
      <c r="Q122" s="3450">
        <f t="shared" ca="1" si="143"/>
        <v>2</v>
      </c>
      <c r="R122" s="3451">
        <f t="shared" si="147"/>
        <v>11</v>
      </c>
      <c r="S122" s="3450" t="str">
        <f t="shared" si="146"/>
        <v>MẶT SAU</v>
      </c>
      <c r="T122" s="3450">
        <f t="shared" si="144"/>
        <v>11</v>
      </c>
      <c r="U122" s="3450" t="str">
        <f t="shared" ca="1" si="145"/>
        <v/>
      </c>
      <c r="V122" s="3450"/>
      <c r="W122" s="3450"/>
      <c r="X122" s="3450">
        <f ca="1">IF(VLOOKUP(OFFSET($A$25,Z122,0),'Summary Data'!$C:$AV,45,0)&gt;0,"UV ink",Y122)</f>
        <v>0</v>
      </c>
      <c r="Z122" s="136">
        <f t="shared" si="148"/>
        <v>85</v>
      </c>
      <c r="AJ122" s="320"/>
      <c r="AM122" s="320"/>
    </row>
    <row r="123" spans="1:51" ht="18" hidden="1" customHeight="1" outlineLevel="1">
      <c r="A123" s="3452" t="str">
        <f t="shared" ca="1" si="141"/>
        <v>None</v>
      </c>
      <c r="B123" s="3453">
        <f t="shared" ca="1" si="142"/>
        <v>0</v>
      </c>
      <c r="C123" s="1768"/>
      <c r="E123" s="320"/>
      <c r="F123" s="320"/>
      <c r="G123" s="320"/>
      <c r="H123" s="320"/>
      <c r="I123" s="320"/>
      <c r="J123" s="1579"/>
      <c r="K123" s="991"/>
      <c r="L123" s="833"/>
      <c r="M123" s="1000"/>
      <c r="Q123" s="3450">
        <f t="shared" ca="1" si="143"/>
        <v>2</v>
      </c>
      <c r="R123" s="3451">
        <f t="shared" si="147"/>
        <v>12</v>
      </c>
      <c r="S123" s="3450" t="str">
        <f t="shared" si="146"/>
        <v>MẶT SAU</v>
      </c>
      <c r="T123" s="3450">
        <f t="shared" si="144"/>
        <v>12</v>
      </c>
      <c r="U123" s="3450" t="str">
        <f t="shared" ca="1" si="145"/>
        <v/>
      </c>
      <c r="V123" s="3450"/>
      <c r="W123" s="3450"/>
      <c r="X123" s="3450">
        <f ca="1">IF(VLOOKUP(OFFSET($A$25,Z123,0),'Summary Data'!$C:$AV,45,0)&gt;0,"UV ink",Y123)</f>
        <v>0</v>
      </c>
      <c r="Z123" s="136">
        <f t="shared" si="148"/>
        <v>85</v>
      </c>
      <c r="AJ123" s="320"/>
      <c r="AM123" s="320"/>
    </row>
    <row r="124" spans="1:51" ht="18" hidden="1" customHeight="1" outlineLevel="1">
      <c r="A124" s="3452" t="str">
        <f t="shared" ca="1" si="141"/>
        <v>None</v>
      </c>
      <c r="B124" s="3453">
        <f t="shared" ca="1" si="142"/>
        <v>0</v>
      </c>
      <c r="C124" s="1768"/>
      <c r="E124" s="320"/>
      <c r="F124" s="320"/>
      <c r="G124" s="320"/>
      <c r="H124" s="320"/>
      <c r="I124" s="320"/>
      <c r="J124" s="1579"/>
      <c r="K124" s="991"/>
      <c r="L124" s="833"/>
      <c r="M124" s="1000"/>
      <c r="Q124" s="3450">
        <f t="shared" ca="1" si="143"/>
        <v>2</v>
      </c>
      <c r="R124" s="3451">
        <f t="shared" si="147"/>
        <v>13</v>
      </c>
      <c r="S124" s="3450" t="str">
        <f t="shared" si="146"/>
        <v>MẶT SAU</v>
      </c>
      <c r="T124" s="3450">
        <f t="shared" si="144"/>
        <v>13</v>
      </c>
      <c r="U124" s="3450" t="str">
        <f t="shared" ca="1" si="145"/>
        <v/>
      </c>
      <c r="V124" s="3450"/>
      <c r="W124" s="3450"/>
      <c r="X124" s="3450">
        <f ca="1">IF(VLOOKUP(OFFSET($A$25,Z124,0),'Summary Data'!$C:$AV,45,0)&gt;0,"UV ink",Y124)</f>
        <v>0</v>
      </c>
      <c r="Z124" s="136">
        <f t="shared" si="148"/>
        <v>85</v>
      </c>
      <c r="AJ124" s="320"/>
      <c r="AM124" s="320"/>
    </row>
    <row r="125" spans="1:51" ht="18" hidden="1" customHeight="1" outlineLevel="1">
      <c r="A125" s="3452" t="str">
        <f t="shared" ca="1" si="141"/>
        <v>None</v>
      </c>
      <c r="B125" s="3454">
        <f t="shared" ca="1" si="142"/>
        <v>0</v>
      </c>
      <c r="C125" s="1772"/>
      <c r="E125" s="320"/>
      <c r="F125" s="320"/>
      <c r="G125" s="320"/>
      <c r="H125" s="320"/>
      <c r="I125" s="3455" t="s">
        <v>3625</v>
      </c>
      <c r="J125" s="3570" t="str">
        <f>VLOOKUP(J129,Data!$AA$943:$AB$959,2,0)</f>
        <v>Non Metalize</v>
      </c>
      <c r="K125" s="991"/>
      <c r="L125" s="833"/>
      <c r="M125" s="1000"/>
      <c r="Q125" s="3450">
        <f t="shared" ca="1" si="143"/>
        <v>2</v>
      </c>
      <c r="R125" s="3451">
        <f t="shared" si="147"/>
        <v>14</v>
      </c>
      <c r="S125" s="3450" t="str">
        <f t="shared" si="146"/>
        <v>MẶT SAU</v>
      </c>
      <c r="T125" s="3450">
        <f t="shared" si="144"/>
        <v>14</v>
      </c>
      <c r="U125" s="3450" t="str">
        <f t="shared" ca="1" si="145"/>
        <v/>
      </c>
      <c r="V125" s="3450"/>
      <c r="W125" s="3450"/>
      <c r="X125" s="3450">
        <f ca="1">IF(VLOOKUP(OFFSET($A$25,Z125,0),'Summary Data'!$C:$AV,45,0)&gt;0,"UV ink",Y125)</f>
        <v>0</v>
      </c>
      <c r="Z125" s="136">
        <f t="shared" si="148"/>
        <v>85</v>
      </c>
      <c r="AJ125" s="320"/>
      <c r="AM125" s="320"/>
      <c r="AU125" s="136">
        <f>AU108+9</f>
        <v>27</v>
      </c>
    </row>
    <row r="126" spans="1:51" ht="18" hidden="1" customHeight="1" outlineLevel="1">
      <c r="A126" s="919"/>
      <c r="B126" s="919"/>
      <c r="C126" s="320"/>
      <c r="D126" s="320"/>
      <c r="E126" s="320"/>
      <c r="F126" s="320"/>
      <c r="G126" s="320"/>
      <c r="H126" s="320"/>
      <c r="I126" s="320"/>
      <c r="J126" s="1579"/>
      <c r="K126" s="991"/>
      <c r="L126" s="833"/>
      <c r="M126" s="1000"/>
      <c r="AJ126" s="320"/>
      <c r="AM126" s="320"/>
      <c r="AS126" s="3457" t="s">
        <v>2055</v>
      </c>
      <c r="AT126" s="3457" t="s">
        <v>3559</v>
      </c>
      <c r="AU126" s="3457" t="s">
        <v>3560</v>
      </c>
      <c r="AV126" s="3457" t="s">
        <v>3561</v>
      </c>
      <c r="AW126" s="3457"/>
    </row>
    <row r="127" spans="1:51" ht="18" hidden="1" customHeight="1" outlineLevel="1">
      <c r="A127" s="1761" t="str">
        <f>IFERROR(INDEX('Summary Data'!B:B,MATCH(7,'Summary Data'!GS:GS,0),1),"N")</f>
        <v>N</v>
      </c>
      <c r="B127" s="1762"/>
      <c r="C127" s="1614" t="s">
        <v>1393</v>
      </c>
      <c r="D127" s="1614"/>
      <c r="E127" s="1614" t="s">
        <v>649</v>
      </c>
      <c r="F127" s="1614"/>
      <c r="G127" s="1614"/>
      <c r="H127" s="1614">
        <v>0</v>
      </c>
      <c r="I127" s="1614">
        <f>VALUE(LEFT(I125,1)+RIGHT(I125,1))</f>
        <v>0</v>
      </c>
      <c r="J127" s="1763"/>
      <c r="K127" s="1764"/>
      <c r="L127" s="3448" t="e">
        <f ca="1">VLOOKUP(E127&amp;J125,AS128:AW133,4,0)</f>
        <v>#N/A</v>
      </c>
      <c r="M127" s="3449">
        <f>VLOOKUP(E127&amp;J125,AS128:AW133,5,0)</f>
        <v>3</v>
      </c>
      <c r="N127" s="1771"/>
      <c r="O127" s="2150" t="s">
        <v>106</v>
      </c>
      <c r="P127" s="2150" t="s">
        <v>2040</v>
      </c>
      <c r="AJ127" s="320"/>
      <c r="AM127" s="320"/>
      <c r="AS127" s="3459"/>
      <c r="AT127" s="3450" t="e">
        <f ca="1">MATCH(C127&amp;"lấy",OFFSET($BT:$BT,0,AU125),0)</f>
        <v>#N/A</v>
      </c>
      <c r="AU127" s="3450" t="e">
        <f ca="1">MATCH(C127&amp;"lấy",OFFSET($BS:$BS,0,AU125),0)</f>
        <v>#N/A</v>
      </c>
      <c r="AV127" s="3450" t="e">
        <f ca="1">IFERROR(INDEX(AO:AO,AT127,1),INDEX(AN:AN,AU127,1))</f>
        <v>#N/A</v>
      </c>
      <c r="AW127" s="3450"/>
    </row>
    <row r="128" spans="1:51" ht="18" hidden="1" customHeight="1" outlineLevel="1">
      <c r="A128" s="1766" t="s">
        <v>213</v>
      </c>
      <c r="B128" s="1767" t="s">
        <v>1469</v>
      </c>
      <c r="C128" s="1767" t="s">
        <v>445</v>
      </c>
      <c r="D128" s="3104">
        <v>2.2000000000000002</v>
      </c>
      <c r="E128" s="1766" t="s">
        <v>1610</v>
      </c>
      <c r="F128" s="1767" t="s">
        <v>1470</v>
      </c>
      <c r="G128" s="1767" t="s">
        <v>1469</v>
      </c>
      <c r="H128" s="1767" t="s">
        <v>445</v>
      </c>
      <c r="I128" s="319"/>
      <c r="J128" s="1766" t="s">
        <v>495</v>
      </c>
      <c r="K128" s="1767" t="s">
        <v>183</v>
      </c>
      <c r="L128" s="1769" t="s">
        <v>1471</v>
      </c>
      <c r="M128" s="1766" t="s">
        <v>215</v>
      </c>
      <c r="N128" s="1767" t="s">
        <v>1469</v>
      </c>
      <c r="O128" s="1767" t="s">
        <v>1473</v>
      </c>
      <c r="Q128" s="3450" t="s">
        <v>3568</v>
      </c>
      <c r="R128" s="3450" t="s">
        <v>3569</v>
      </c>
      <c r="S128" s="3450" t="s">
        <v>3570</v>
      </c>
      <c r="T128" s="3450" t="s">
        <v>3571</v>
      </c>
      <c r="U128" s="3450" t="s">
        <v>3572</v>
      </c>
      <c r="V128" s="3450"/>
      <c r="W128" s="3450" t="s">
        <v>3574</v>
      </c>
      <c r="X128" s="3450"/>
      <c r="AJ128" s="320"/>
      <c r="AM128" s="320"/>
      <c r="AS128" s="3459" t="str">
        <f t="shared" ref="AS128:AS133" si="149">AT128&amp;AU128</f>
        <v>importNon Metalize</v>
      </c>
      <c r="AT128" s="3450" t="s">
        <v>3562</v>
      </c>
      <c r="AU128" s="3450" t="s">
        <v>800</v>
      </c>
      <c r="AV128" s="3450" t="e">
        <f ca="1">IF(E127="local",AV127,CEILING(J127+3,5))</f>
        <v>#N/A</v>
      </c>
      <c r="AW128" s="3458">
        <f>K127+3</f>
        <v>3</v>
      </c>
      <c r="AX128" s="3477"/>
      <c r="AY128" s="3476"/>
    </row>
    <row r="129" spans="1:51" ht="18" hidden="1" customHeight="1" outlineLevel="1">
      <c r="A129" s="3452" t="str">
        <f t="shared" ref="A129:A142" ca="1" si="150">IF($Q129=1,VLOOKUP($T129,OFFSET($W$27,Z129,0,15,2),2,0),"None")</f>
        <v>None</v>
      </c>
      <c r="B129" s="3453">
        <f t="shared" ref="B129:B142" ca="1" si="151">IF($Q129=1,IF($U129="mặt trước",ROUNDUP(OFFSET($J$25,Z129,0)*OFFSET($K$25,Z129,0)*OFFSET($D$26,Z129,0)/10^9*10000/VALUE(LEFT(OFFSET($I$23,Z129,0),1)),2),ROUNDUP(OFFSET($J$25,Z129,0)*OFFSET($K$25,Z129,0)*OFFSET($D$27,Z129,0)/10^9*10000/VALUE(RIGHT(OFFSET($I$23,Z129,0),1)),2)),0)</f>
        <v>0</v>
      </c>
      <c r="C129" s="1768"/>
      <c r="D129" s="3104">
        <v>2.1</v>
      </c>
      <c r="E129" s="1705" t="s">
        <v>127</v>
      </c>
      <c r="F129" s="1705" t="s">
        <v>1112</v>
      </c>
      <c r="G129" s="1768"/>
      <c r="H129" s="1768"/>
      <c r="J129" s="1705" t="s">
        <v>127</v>
      </c>
      <c r="K129" s="3571">
        <f>IF(VLOOKUP(J129,Data!$AN$943:$AO$959,2,0)="No",CEILING(K131+3,50),HLOOKUP(J129,Data!$AJ$943:$AL$2000,K132,0))</f>
        <v>50</v>
      </c>
      <c r="L129" s="1770" t="s">
        <v>1472</v>
      </c>
      <c r="M129" s="1705" t="s">
        <v>127</v>
      </c>
      <c r="N129" s="1768"/>
      <c r="O129" s="1705" t="s">
        <v>1259</v>
      </c>
      <c r="Q129" s="3450">
        <f t="shared" ref="Q129:Q142" ca="1" si="152">IFERROR(FIND("M",U129),2)</f>
        <v>2</v>
      </c>
      <c r="R129" s="3451">
        <v>1</v>
      </c>
      <c r="S129" s="3450" t="str">
        <f>IF(R129&lt;=VALUE(LEFT($I$125,1)),"MẶT TRƯỚC","MẶT SAU")</f>
        <v>MẶT SAU</v>
      </c>
      <c r="T129" s="3450">
        <f t="shared" ref="T129:T142" si="153">IF(S129="MẶT TRƯỚC",R129,IF(S128="mặt sau",T128+1,1))</f>
        <v>1</v>
      </c>
      <c r="U129" s="3450" t="str">
        <f t="shared" ref="U129:U142" ca="1" si="154">IF(S129="MẶT SAU",IF(T129&lt;=VALUE(RIGHT(OFFSET($I$23,Z129,0),1)),"MẶT SAU",""),S129)</f>
        <v/>
      </c>
      <c r="V129" s="3450"/>
      <c r="W129" s="3450">
        <v>1</v>
      </c>
      <c r="X129" s="3450" t="str">
        <f ca="1">IF(VLOOKUP(OFFSET($A$25,Z129,0),'Summary Data'!$C:$AV,45,0)&gt;0,"UV ink",Y129)</f>
        <v>Cyan (60-124773-7.1200 Nutri-2 Proc Cyan ISO 2846-1)</v>
      </c>
      <c r="Y129" s="136" t="s">
        <v>3356</v>
      </c>
      <c r="Z129" s="136">
        <f>Z112+17</f>
        <v>102</v>
      </c>
      <c r="AJ129" s="320"/>
      <c r="AM129" s="320"/>
      <c r="AS129" s="3459" t="str">
        <f t="shared" si="149"/>
        <v>importMetalize</v>
      </c>
      <c r="AT129" s="3450" t="s">
        <v>3562</v>
      </c>
      <c r="AU129" s="3450" t="s">
        <v>230</v>
      </c>
      <c r="AV129" s="3450" t="e">
        <f ca="1">IF(AX129="cộng 3",AV128,CEILING(J127+6,5))</f>
        <v>#N/A</v>
      </c>
      <c r="AW129" s="3450" t="e">
        <f ca="1">IF(AY129="cộng 6",AW128+3,AW128)</f>
        <v>#N/A</v>
      </c>
      <c r="AX129" s="3477" t="e">
        <f ca="1">IF(AV128&lt;AW128,"cộng 3","cộng 6")</f>
        <v>#N/A</v>
      </c>
      <c r="AY129" s="3476" t="e">
        <f ca="1">IF(AX129="cộng 3","cộng 6","cộng 3")</f>
        <v>#N/A</v>
      </c>
    </row>
    <row r="130" spans="1:51" ht="18" hidden="1" customHeight="1" outlineLevel="1">
      <c r="A130" s="3452" t="str">
        <f t="shared" ca="1" si="150"/>
        <v>None</v>
      </c>
      <c r="B130" s="3453">
        <f t="shared" ca="1" si="151"/>
        <v>0</v>
      </c>
      <c r="C130" s="1768"/>
      <c r="E130" s="1705" t="s">
        <v>127</v>
      </c>
      <c r="F130" s="1705" t="s">
        <v>1112</v>
      </c>
      <c r="G130" s="1768"/>
      <c r="H130" s="1768"/>
      <c r="J130" s="1705" t="s">
        <v>127</v>
      </c>
      <c r="K130" s="1705"/>
      <c r="L130" s="1770" t="s">
        <v>1472</v>
      </c>
      <c r="M130" s="1705" t="s">
        <v>127</v>
      </c>
      <c r="N130" s="1768"/>
      <c r="O130" s="1705" t="s">
        <v>1259</v>
      </c>
      <c r="Q130" s="3450">
        <f t="shared" ca="1" si="152"/>
        <v>2</v>
      </c>
      <c r="R130" s="3451">
        <f>R129+1</f>
        <v>2</v>
      </c>
      <c r="S130" s="3450" t="str">
        <f t="shared" ref="S130:S142" si="155">IF(R130&lt;=VALUE(LEFT($I$125,1)),"MẶT TRƯỚC","MẶT SAU")</f>
        <v>MẶT SAU</v>
      </c>
      <c r="T130" s="3450">
        <f t="shared" si="153"/>
        <v>2</v>
      </c>
      <c r="U130" s="3450" t="str">
        <f t="shared" ca="1" si="154"/>
        <v/>
      </c>
      <c r="V130" s="3450"/>
      <c r="W130" s="3450">
        <v>2</v>
      </c>
      <c r="X130" s="3450" t="str">
        <f ca="1">IF(VLOOKUP(OFFSET($A$25,Z130,0),'Summary Data'!$C:$AV,45,0)&gt;0,"UV ink",Y130)</f>
        <v>Magenta (61-804489-5.1290 Tempo Mix Magenta A)</v>
      </c>
      <c r="Y130" s="136" t="s">
        <v>3357</v>
      </c>
      <c r="Z130" s="136">
        <f>Z129</f>
        <v>102</v>
      </c>
      <c r="AJ130" s="320"/>
      <c r="AM130" s="320"/>
      <c r="AS130" s="3459" t="str">
        <f t="shared" si="149"/>
        <v>importRigid box</v>
      </c>
      <c r="AT130" s="3450" t="s">
        <v>3562</v>
      </c>
      <c r="AU130" s="3450" t="s">
        <v>3214</v>
      </c>
      <c r="AV130" s="3450" t="e">
        <f ca="1">AV128</f>
        <v>#N/A</v>
      </c>
      <c r="AW130" s="3450">
        <f>AW128</f>
        <v>3</v>
      </c>
    </row>
    <row r="131" spans="1:51" ht="18" hidden="1" customHeight="1" outlineLevel="1">
      <c r="A131" s="3452" t="str">
        <f t="shared" ca="1" si="150"/>
        <v>None</v>
      </c>
      <c r="B131" s="3453">
        <f t="shared" ca="1" si="151"/>
        <v>0</v>
      </c>
      <c r="C131" s="1768"/>
      <c r="E131" s="1705" t="s">
        <v>127</v>
      </c>
      <c r="F131" s="1705" t="s">
        <v>1112</v>
      </c>
      <c r="G131" s="1768"/>
      <c r="H131" s="1768"/>
      <c r="J131" s="314" t="s">
        <v>3471</v>
      </c>
      <c r="K131" s="3385"/>
      <c r="L131" s="991"/>
      <c r="M131" s="1705" t="s">
        <v>127</v>
      </c>
      <c r="N131" s="1768"/>
      <c r="O131" s="1705" t="s">
        <v>1259</v>
      </c>
      <c r="Q131" s="3450">
        <f t="shared" ca="1" si="152"/>
        <v>2</v>
      </c>
      <c r="R131" s="3451">
        <f t="shared" ref="R131:R142" si="156">R130+1</f>
        <v>3</v>
      </c>
      <c r="S131" s="3450" t="str">
        <f t="shared" si="155"/>
        <v>MẶT SAU</v>
      </c>
      <c r="T131" s="3450">
        <f t="shared" si="153"/>
        <v>3</v>
      </c>
      <c r="U131" s="3450" t="str">
        <f t="shared" ca="1" si="154"/>
        <v/>
      </c>
      <c r="V131" s="3450"/>
      <c r="W131" s="3450">
        <v>3</v>
      </c>
      <c r="X131" s="3450" t="str">
        <f ca="1">IF(VLOOKUP(OFFSET($A$25,Z131,0),'Summary Data'!$C:$AV,45,0)&gt;0,"UV ink",Y131)</f>
        <v>Yellow (61-312039-3.1290 Tempo Mix Yellow 4220)</v>
      </c>
      <c r="Y131" s="136" t="s">
        <v>3358</v>
      </c>
      <c r="Z131" s="136">
        <f t="shared" ref="Z131:Z142" si="157">Z130</f>
        <v>102</v>
      </c>
      <c r="AJ131" s="320"/>
      <c r="AM131" s="320"/>
      <c r="AS131" s="3459" t="str">
        <f t="shared" si="149"/>
        <v>localNon Metalize</v>
      </c>
      <c r="AT131" s="3450" t="s">
        <v>3563</v>
      </c>
      <c r="AU131" s="3450" t="s">
        <v>800</v>
      </c>
      <c r="AV131" s="3450" t="e">
        <f ca="1">AV127</f>
        <v>#N/A</v>
      </c>
      <c r="AW131" s="3458">
        <f>AW128</f>
        <v>3</v>
      </c>
    </row>
    <row r="132" spans="1:51" ht="18" hidden="1" customHeight="1" outlineLevel="1">
      <c r="A132" s="3452" t="str">
        <f t="shared" ca="1" si="150"/>
        <v>None</v>
      </c>
      <c r="B132" s="3453">
        <f t="shared" ca="1" si="151"/>
        <v>0</v>
      </c>
      <c r="C132" s="1768"/>
      <c r="E132" s="1705" t="s">
        <v>127</v>
      </c>
      <c r="F132" s="1705" t="s">
        <v>1112</v>
      </c>
      <c r="G132" s="1768"/>
      <c r="H132" s="1768"/>
      <c r="K132" s="3568">
        <f>K115+2</f>
        <v>14</v>
      </c>
      <c r="L132" s="991"/>
      <c r="M132" s="1705" t="s">
        <v>127</v>
      </c>
      <c r="N132" s="1768"/>
      <c r="O132" s="1705" t="s">
        <v>1259</v>
      </c>
      <c r="Q132" s="3450">
        <f t="shared" ca="1" si="152"/>
        <v>2</v>
      </c>
      <c r="R132" s="3451">
        <f t="shared" si="156"/>
        <v>4</v>
      </c>
      <c r="S132" s="3450" t="str">
        <f t="shared" si="155"/>
        <v>MẶT SAU</v>
      </c>
      <c r="T132" s="3450">
        <f t="shared" si="153"/>
        <v>4</v>
      </c>
      <c r="U132" s="3450" t="str">
        <f t="shared" ca="1" si="154"/>
        <v/>
      </c>
      <c r="V132" s="3450"/>
      <c r="W132" s="3450">
        <v>4</v>
      </c>
      <c r="X132" s="3450" t="str">
        <f ca="1">IF(VLOOKUP(OFFSET($A$25,Z132,0),'Summary Data'!$C:$AV,45,0)&gt;0,"UV ink",Y132)</f>
        <v>Black (60-914386-2.1200 Nutri-2 Proc Black ISO 2846-1)</v>
      </c>
      <c r="Y132" s="136" t="s">
        <v>3359</v>
      </c>
      <c r="Z132" s="136">
        <f t="shared" si="157"/>
        <v>102</v>
      </c>
      <c r="AJ132" s="320"/>
      <c r="AM132" s="320"/>
      <c r="AS132" s="3459" t="str">
        <f t="shared" si="149"/>
        <v>localMetalize</v>
      </c>
      <c r="AT132" s="3450" t="s">
        <v>3563</v>
      </c>
      <c r="AU132" s="3450" t="s">
        <v>230</v>
      </c>
      <c r="AV132" s="3450" t="e">
        <f ca="1">AV127</f>
        <v>#N/A</v>
      </c>
      <c r="AW132" s="3450" t="e">
        <f ca="1">IF(AY129="cộng 6",AW128+3,AW128)</f>
        <v>#N/A</v>
      </c>
    </row>
    <row r="133" spans="1:51" ht="18" hidden="1" customHeight="1" outlineLevel="1">
      <c r="A133" s="3452" t="str">
        <f t="shared" ca="1" si="150"/>
        <v>None</v>
      </c>
      <c r="B133" s="3453">
        <f t="shared" ca="1" si="151"/>
        <v>0</v>
      </c>
      <c r="C133" s="1768"/>
      <c r="E133" s="1705" t="s">
        <v>127</v>
      </c>
      <c r="F133" s="1705" t="s">
        <v>1112</v>
      </c>
      <c r="G133" s="1768"/>
      <c r="H133" s="1768"/>
      <c r="J133" s="320"/>
      <c r="K133" s="1579"/>
      <c r="L133" s="991"/>
      <c r="M133" s="1705" t="s">
        <v>127</v>
      </c>
      <c r="N133" s="1768"/>
      <c r="O133" s="1705" t="s">
        <v>1259</v>
      </c>
      <c r="Q133" s="3450">
        <f t="shared" ca="1" si="152"/>
        <v>2</v>
      </c>
      <c r="R133" s="3451">
        <f t="shared" si="156"/>
        <v>5</v>
      </c>
      <c r="S133" s="3450" t="str">
        <f t="shared" si="155"/>
        <v>MẶT SAU</v>
      </c>
      <c r="T133" s="3450">
        <f t="shared" si="153"/>
        <v>5</v>
      </c>
      <c r="U133" s="3450" t="str">
        <f t="shared" ca="1" si="154"/>
        <v/>
      </c>
      <c r="V133" s="3450"/>
      <c r="W133" s="3450"/>
      <c r="X133" s="3450">
        <f ca="1">IF(VLOOKUP(OFFSET($A$25,Z133,0),'Summary Data'!$C:$AV,45,0)&gt;0,"UV ink",Y133)</f>
        <v>0</v>
      </c>
      <c r="Z133" s="136">
        <f t="shared" si="157"/>
        <v>102</v>
      </c>
      <c r="AJ133" s="320"/>
      <c r="AM133" s="320"/>
      <c r="AS133" s="3459" t="str">
        <f t="shared" si="149"/>
        <v>localRigid box</v>
      </c>
      <c r="AT133" s="3450" t="s">
        <v>3563</v>
      </c>
      <c r="AU133" s="3450" t="s">
        <v>3214</v>
      </c>
      <c r="AV133" s="3450" t="e">
        <f ca="1">AV131</f>
        <v>#N/A</v>
      </c>
      <c r="AW133" s="3458">
        <f>AW131</f>
        <v>3</v>
      </c>
    </row>
    <row r="134" spans="1:51" ht="18" hidden="1" customHeight="1" outlineLevel="1">
      <c r="A134" s="3452" t="str">
        <f t="shared" ca="1" si="150"/>
        <v>None</v>
      </c>
      <c r="B134" s="3453">
        <f t="shared" ca="1" si="151"/>
        <v>0</v>
      </c>
      <c r="C134" s="1768"/>
      <c r="E134" s="320"/>
      <c r="F134" s="320"/>
      <c r="G134" s="320"/>
      <c r="H134" s="320"/>
      <c r="J134" s="2472" t="s">
        <v>2341</v>
      </c>
      <c r="K134" s="2473" t="s">
        <v>1417</v>
      </c>
      <c r="L134" s="2473" t="s">
        <v>2342</v>
      </c>
      <c r="Q134" s="3450">
        <f t="shared" ca="1" si="152"/>
        <v>2</v>
      </c>
      <c r="R134" s="3451">
        <f t="shared" si="156"/>
        <v>6</v>
      </c>
      <c r="S134" s="3450" t="str">
        <f t="shared" si="155"/>
        <v>MẶT SAU</v>
      </c>
      <c r="T134" s="3450">
        <f t="shared" si="153"/>
        <v>6</v>
      </c>
      <c r="U134" s="3450" t="str">
        <f t="shared" ca="1" si="154"/>
        <v/>
      </c>
      <c r="V134" s="3450"/>
      <c r="W134" s="3450">
        <v>5</v>
      </c>
      <c r="X134" s="3450" t="str">
        <f ca="1">IF(VLOOKUP(OFFSET($A$25,Z134,0),'Summary Data'!$C:$AV,45,0)&gt;0,"UV ink",Y134)</f>
        <v>Special Ink</v>
      </c>
      <c r="Y134" s="136" t="s">
        <v>1105</v>
      </c>
      <c r="Z134" s="136">
        <f t="shared" si="157"/>
        <v>102</v>
      </c>
      <c r="AJ134" s="320"/>
      <c r="AM134" s="320"/>
    </row>
    <row r="135" spans="1:51" ht="18" hidden="1" customHeight="1" outlineLevel="1">
      <c r="A135" s="3452" t="str">
        <f t="shared" ca="1" si="150"/>
        <v>None</v>
      </c>
      <c r="B135" s="3453">
        <f t="shared" ca="1" si="151"/>
        <v>0</v>
      </c>
      <c r="C135" s="1768"/>
      <c r="E135" s="146" t="s">
        <v>2055</v>
      </c>
      <c r="F135" s="919" t="str">
        <f>A127</f>
        <v>N</v>
      </c>
      <c r="G135" s="320"/>
      <c r="H135" s="320"/>
      <c r="I135" s="320"/>
      <c r="J135" s="2474" t="str">
        <f>Data!$P$817</f>
        <v>LDPE HANWHA 955</v>
      </c>
      <c r="K135" s="2474" t="s">
        <v>106</v>
      </c>
      <c r="L135" s="2475"/>
      <c r="M135" s="1000"/>
      <c r="Q135" s="3450">
        <f t="shared" ca="1" si="152"/>
        <v>2</v>
      </c>
      <c r="R135" s="3451">
        <f t="shared" si="156"/>
        <v>7</v>
      </c>
      <c r="S135" s="3450" t="str">
        <f t="shared" si="155"/>
        <v>MẶT SAU</v>
      </c>
      <c r="T135" s="3450">
        <f t="shared" si="153"/>
        <v>7</v>
      </c>
      <c r="U135" s="3450" t="str">
        <f t="shared" ca="1" si="154"/>
        <v/>
      </c>
      <c r="V135" s="3450"/>
      <c r="W135" s="3450">
        <f>W134+1</f>
        <v>6</v>
      </c>
      <c r="X135" s="3450" t="str">
        <f ca="1">IF(VLOOKUP(OFFSET($A$25,Z135,0),'Summary Data'!$C:$AV,45,0)&gt;0,"UV ink",Y135)</f>
        <v>Special Ink</v>
      </c>
      <c r="Y135" s="136" t="s">
        <v>1105</v>
      </c>
      <c r="Z135" s="136">
        <f t="shared" si="157"/>
        <v>102</v>
      </c>
      <c r="AJ135" s="320"/>
      <c r="AM135" s="320"/>
    </row>
    <row r="136" spans="1:51" ht="18" hidden="1" customHeight="1" outlineLevel="1">
      <c r="A136" s="3452" t="str">
        <f t="shared" ca="1" si="150"/>
        <v>None</v>
      </c>
      <c r="B136" s="3453">
        <f t="shared" ca="1" si="151"/>
        <v>0</v>
      </c>
      <c r="C136" s="1768"/>
      <c r="E136" s="320"/>
      <c r="F136" s="320"/>
      <c r="G136" s="320"/>
      <c r="H136" s="320"/>
      <c r="I136" s="320"/>
      <c r="K136" s="950" t="s">
        <v>2343</v>
      </c>
      <c r="L136" s="833"/>
      <c r="M136" s="1000"/>
      <c r="Q136" s="3450">
        <f t="shared" ca="1" si="152"/>
        <v>2</v>
      </c>
      <c r="R136" s="3451">
        <f t="shared" si="156"/>
        <v>8</v>
      </c>
      <c r="S136" s="3450" t="str">
        <f t="shared" si="155"/>
        <v>MẶT SAU</v>
      </c>
      <c r="T136" s="3450">
        <f t="shared" si="153"/>
        <v>8</v>
      </c>
      <c r="U136" s="3450" t="str">
        <f t="shared" ca="1" si="154"/>
        <v/>
      </c>
      <c r="V136" s="3450"/>
      <c r="W136" s="3450">
        <f>W135+1</f>
        <v>7</v>
      </c>
      <c r="X136" s="3450" t="str">
        <f ca="1">IF(VLOOKUP(OFFSET($A$25,Z136,0),'Summary Data'!$C:$AV,45,0)&gt;0,"UV ink",Y136)</f>
        <v>Special Ink</v>
      </c>
      <c r="Y136" s="136" t="s">
        <v>1105</v>
      </c>
      <c r="Z136" s="136">
        <f t="shared" si="157"/>
        <v>102</v>
      </c>
      <c r="AJ136" s="320"/>
      <c r="AM136" s="320"/>
    </row>
    <row r="137" spans="1:51" ht="18" hidden="1" customHeight="1" outlineLevel="1">
      <c r="A137" s="3452" t="str">
        <f t="shared" ca="1" si="150"/>
        <v>None</v>
      </c>
      <c r="B137" s="3453">
        <f t="shared" ca="1" si="151"/>
        <v>0</v>
      </c>
      <c r="C137" s="1768"/>
      <c r="E137" s="320"/>
      <c r="F137" s="320"/>
      <c r="G137" s="320"/>
      <c r="H137" s="320"/>
      <c r="I137" s="320"/>
      <c r="J137" s="1579"/>
      <c r="K137" s="950" t="s">
        <v>2393</v>
      </c>
      <c r="L137" s="833"/>
      <c r="M137" s="1000"/>
      <c r="Q137" s="3450">
        <f t="shared" ca="1" si="152"/>
        <v>2</v>
      </c>
      <c r="R137" s="3451">
        <f t="shared" si="156"/>
        <v>9</v>
      </c>
      <c r="S137" s="3450" t="str">
        <f t="shared" si="155"/>
        <v>MẶT SAU</v>
      </c>
      <c r="T137" s="3450">
        <f t="shared" si="153"/>
        <v>9</v>
      </c>
      <c r="U137" s="3450" t="str">
        <f t="shared" ca="1" si="154"/>
        <v/>
      </c>
      <c r="V137" s="3450"/>
      <c r="W137" s="3450">
        <f>W136+1</f>
        <v>8</v>
      </c>
      <c r="X137" s="3450" t="str">
        <f ca="1">IF(VLOOKUP(OFFSET($A$25,Z137,0),'Summary Data'!$C:$AV,45,0)&gt;0,"UV ink",Y137)</f>
        <v>Special Ink</v>
      </c>
      <c r="Y137" s="136" t="s">
        <v>1105</v>
      </c>
      <c r="Z137" s="136">
        <f t="shared" si="157"/>
        <v>102</v>
      </c>
      <c r="AJ137" s="320"/>
      <c r="AM137" s="320"/>
    </row>
    <row r="138" spans="1:51" ht="18" hidden="1" customHeight="1" outlineLevel="1">
      <c r="A138" s="3452" t="str">
        <f t="shared" ca="1" si="150"/>
        <v>None</v>
      </c>
      <c r="B138" s="3453">
        <f t="shared" ca="1" si="151"/>
        <v>0</v>
      </c>
      <c r="C138" s="1768"/>
      <c r="E138" s="320"/>
      <c r="F138" s="320"/>
      <c r="G138" s="320"/>
      <c r="H138" s="320"/>
      <c r="I138" s="320"/>
      <c r="J138" s="1579"/>
      <c r="K138" s="991"/>
      <c r="L138" s="833"/>
      <c r="M138" s="1000"/>
      <c r="Q138" s="3450">
        <f t="shared" ca="1" si="152"/>
        <v>2</v>
      </c>
      <c r="R138" s="3451">
        <f t="shared" si="156"/>
        <v>10</v>
      </c>
      <c r="S138" s="3450" t="str">
        <f t="shared" si="155"/>
        <v>MẶT SAU</v>
      </c>
      <c r="T138" s="3450">
        <f t="shared" si="153"/>
        <v>10</v>
      </c>
      <c r="U138" s="3450" t="str">
        <f t="shared" ca="1" si="154"/>
        <v/>
      </c>
      <c r="V138" s="3450"/>
      <c r="W138" s="3450">
        <f>W137+1</f>
        <v>9</v>
      </c>
      <c r="X138" s="3450" t="str">
        <f ca="1">IF(VLOOKUP(OFFSET($A$25,Z138,0),'Summary Data'!$C:$AV,45,0)&gt;0,"UV ink",Y138)</f>
        <v>Special Ink</v>
      </c>
      <c r="Y138" s="136" t="s">
        <v>1105</v>
      </c>
      <c r="Z138" s="136">
        <f t="shared" si="157"/>
        <v>102</v>
      </c>
      <c r="AJ138" s="320"/>
      <c r="AM138" s="320"/>
    </row>
    <row r="139" spans="1:51" ht="18" hidden="1" customHeight="1" outlineLevel="1">
      <c r="A139" s="3452" t="str">
        <f t="shared" ca="1" si="150"/>
        <v>None</v>
      </c>
      <c r="B139" s="3453">
        <f t="shared" ca="1" si="151"/>
        <v>0</v>
      </c>
      <c r="C139" s="1768"/>
      <c r="E139" s="320"/>
      <c r="F139" s="320"/>
      <c r="G139" s="320"/>
      <c r="H139" s="320"/>
      <c r="I139" s="320"/>
      <c r="J139" s="1579"/>
      <c r="K139" s="991"/>
      <c r="L139" s="833"/>
      <c r="M139" s="1000"/>
      <c r="Q139" s="3450">
        <f t="shared" ca="1" si="152"/>
        <v>2</v>
      </c>
      <c r="R139" s="3451">
        <f t="shared" si="156"/>
        <v>11</v>
      </c>
      <c r="S139" s="3450" t="str">
        <f t="shared" si="155"/>
        <v>MẶT SAU</v>
      </c>
      <c r="T139" s="3450">
        <f t="shared" si="153"/>
        <v>11</v>
      </c>
      <c r="U139" s="3450" t="str">
        <f t="shared" ca="1" si="154"/>
        <v/>
      </c>
      <c r="V139" s="3450"/>
      <c r="W139" s="3450"/>
      <c r="X139" s="3450">
        <f ca="1">IF(VLOOKUP(OFFSET($A$25,Z139,0),'Summary Data'!$C:$AV,45,0)&gt;0,"UV ink",Y139)</f>
        <v>0</v>
      </c>
      <c r="Z139" s="136">
        <f t="shared" si="157"/>
        <v>102</v>
      </c>
      <c r="AJ139" s="320"/>
      <c r="AM139" s="320"/>
    </row>
    <row r="140" spans="1:51" ht="18" hidden="1" customHeight="1" outlineLevel="1">
      <c r="A140" s="3452" t="str">
        <f t="shared" ca="1" si="150"/>
        <v>None</v>
      </c>
      <c r="B140" s="3453">
        <f t="shared" ca="1" si="151"/>
        <v>0</v>
      </c>
      <c r="C140" s="1768"/>
      <c r="E140" s="320"/>
      <c r="F140" s="320"/>
      <c r="G140" s="320"/>
      <c r="H140" s="320"/>
      <c r="I140" s="320"/>
      <c r="J140" s="1579"/>
      <c r="K140" s="991"/>
      <c r="L140" s="833"/>
      <c r="M140" s="1000"/>
      <c r="Q140" s="3450">
        <f t="shared" ca="1" si="152"/>
        <v>2</v>
      </c>
      <c r="R140" s="3451">
        <f t="shared" si="156"/>
        <v>12</v>
      </c>
      <c r="S140" s="3450" t="str">
        <f t="shared" si="155"/>
        <v>MẶT SAU</v>
      </c>
      <c r="T140" s="3450">
        <f t="shared" si="153"/>
        <v>12</v>
      </c>
      <c r="U140" s="3450" t="str">
        <f t="shared" ca="1" si="154"/>
        <v/>
      </c>
      <c r="V140" s="3450"/>
      <c r="W140" s="3450"/>
      <c r="X140" s="3450">
        <f ca="1">IF(VLOOKUP(OFFSET($A$25,Z140,0),'Summary Data'!$C:$AV,45,0)&gt;0,"UV ink",Y140)</f>
        <v>0</v>
      </c>
      <c r="Z140" s="136">
        <f t="shared" si="157"/>
        <v>102</v>
      </c>
      <c r="AJ140" s="320"/>
      <c r="AM140" s="320"/>
    </row>
    <row r="141" spans="1:51" ht="18" hidden="1" customHeight="1" outlineLevel="1">
      <c r="A141" s="3452" t="str">
        <f t="shared" ca="1" si="150"/>
        <v>None</v>
      </c>
      <c r="B141" s="3453">
        <f t="shared" ca="1" si="151"/>
        <v>0</v>
      </c>
      <c r="C141" s="1768"/>
      <c r="E141" s="320"/>
      <c r="F141" s="320"/>
      <c r="G141" s="320"/>
      <c r="H141" s="320"/>
      <c r="I141" s="320"/>
      <c r="J141" s="1579"/>
      <c r="K141" s="991"/>
      <c r="L141" s="833"/>
      <c r="M141" s="1000"/>
      <c r="Q141" s="3450">
        <f t="shared" ca="1" si="152"/>
        <v>2</v>
      </c>
      <c r="R141" s="3451">
        <f t="shared" si="156"/>
        <v>13</v>
      </c>
      <c r="S141" s="3450" t="str">
        <f t="shared" si="155"/>
        <v>MẶT SAU</v>
      </c>
      <c r="T141" s="3450">
        <f t="shared" si="153"/>
        <v>13</v>
      </c>
      <c r="U141" s="3450" t="str">
        <f t="shared" ca="1" si="154"/>
        <v/>
      </c>
      <c r="V141" s="3450"/>
      <c r="W141" s="3450"/>
      <c r="X141" s="3450">
        <f ca="1">IF(VLOOKUP(OFFSET($A$25,Z141,0),'Summary Data'!$C:$AV,45,0)&gt;0,"UV ink",Y141)</f>
        <v>0</v>
      </c>
      <c r="Z141" s="136">
        <f t="shared" si="157"/>
        <v>102</v>
      </c>
      <c r="AJ141" s="320"/>
      <c r="AM141" s="320"/>
    </row>
    <row r="142" spans="1:51" ht="18" hidden="1" customHeight="1" outlineLevel="1">
      <c r="A142" s="3452" t="str">
        <f t="shared" ca="1" si="150"/>
        <v>None</v>
      </c>
      <c r="B142" s="3454">
        <f t="shared" ca="1" si="151"/>
        <v>0</v>
      </c>
      <c r="C142" s="1772"/>
      <c r="E142" s="320"/>
      <c r="F142" s="320"/>
      <c r="G142" s="320"/>
      <c r="H142" s="320"/>
      <c r="I142" s="3455" t="s">
        <v>3625</v>
      </c>
      <c r="J142" s="3570" t="str">
        <f>VLOOKUP(J146,Data!$AA$943:$AB$959,2,0)</f>
        <v>Non Metalize</v>
      </c>
      <c r="K142" s="991"/>
      <c r="L142" s="833"/>
      <c r="M142" s="1000"/>
      <c r="Q142" s="3450">
        <f t="shared" ca="1" si="152"/>
        <v>2</v>
      </c>
      <c r="R142" s="3451">
        <f t="shared" si="156"/>
        <v>14</v>
      </c>
      <c r="S142" s="3450" t="str">
        <f t="shared" si="155"/>
        <v>MẶT SAU</v>
      </c>
      <c r="T142" s="3450">
        <f t="shared" si="153"/>
        <v>14</v>
      </c>
      <c r="U142" s="3450" t="str">
        <f t="shared" ca="1" si="154"/>
        <v/>
      </c>
      <c r="V142" s="3450"/>
      <c r="W142" s="3450"/>
      <c r="X142" s="3450">
        <f ca="1">IF(VLOOKUP(OFFSET($A$25,Z142,0),'Summary Data'!$C:$AV,45,0)&gt;0,"UV ink",Y142)</f>
        <v>0</v>
      </c>
      <c r="Z142" s="136">
        <f t="shared" si="157"/>
        <v>102</v>
      </c>
      <c r="AJ142" s="320"/>
      <c r="AM142" s="320"/>
      <c r="AU142" s="136">
        <f>AU125+9</f>
        <v>36</v>
      </c>
    </row>
    <row r="143" spans="1:51" ht="18" hidden="1" customHeight="1" outlineLevel="1">
      <c r="A143" s="919"/>
      <c r="B143" s="919"/>
      <c r="C143" s="320"/>
      <c r="D143" s="320"/>
      <c r="E143" s="320"/>
      <c r="F143" s="320"/>
      <c r="G143" s="320"/>
      <c r="H143" s="320"/>
      <c r="I143" s="320"/>
      <c r="J143" s="1579"/>
      <c r="K143" s="991"/>
      <c r="L143" s="833"/>
      <c r="M143" s="1000"/>
      <c r="AJ143" s="320"/>
      <c r="AM143" s="320"/>
      <c r="AS143" s="3457" t="s">
        <v>2055</v>
      </c>
      <c r="AT143" s="3457" t="s">
        <v>3559</v>
      </c>
      <c r="AU143" s="3457" t="s">
        <v>3560</v>
      </c>
      <c r="AV143" s="3457" t="s">
        <v>3561</v>
      </c>
      <c r="AW143" s="3457"/>
    </row>
    <row r="144" spans="1:51" ht="18" hidden="1" customHeight="1" outlineLevel="1">
      <c r="A144" s="1761" t="str">
        <f>IFERROR(INDEX('Summary Data'!B:B,MATCH(8,'Summary Data'!GS:GS,0),1),"N")</f>
        <v>N</v>
      </c>
      <c r="B144" s="1762"/>
      <c r="C144" s="1614" t="s">
        <v>1393</v>
      </c>
      <c r="D144" s="1614"/>
      <c r="E144" s="1614" t="s">
        <v>649</v>
      </c>
      <c r="F144" s="1614"/>
      <c r="G144" s="1614"/>
      <c r="H144" s="1614">
        <v>0</v>
      </c>
      <c r="I144" s="1614">
        <f>VALUE(LEFT(I142,1)+RIGHT(I142,1))</f>
        <v>0</v>
      </c>
      <c r="J144" s="1763"/>
      <c r="K144" s="1764"/>
      <c r="L144" s="3448" t="e">
        <f ca="1">VLOOKUP(E144&amp;J142,AS145:AW150,4,0)</f>
        <v>#N/A</v>
      </c>
      <c r="M144" s="3449">
        <f>VLOOKUP(E144&amp;J142,AS145:AW150,5,0)</f>
        <v>3</v>
      </c>
      <c r="N144" s="1771"/>
      <c r="O144" s="2150" t="s">
        <v>106</v>
      </c>
      <c r="P144" s="2150" t="s">
        <v>2040</v>
      </c>
      <c r="AJ144" s="320"/>
      <c r="AM144" s="320"/>
      <c r="AS144" s="3459"/>
      <c r="AT144" s="3450" t="e">
        <f ca="1">MATCH(C144&amp;"lấy",OFFSET($BT:$BT,0,AU142),0)</f>
        <v>#N/A</v>
      </c>
      <c r="AU144" s="3450" t="e">
        <f ca="1">MATCH(C144&amp;"lấy",OFFSET($BS:$BS,0,AU142),0)</f>
        <v>#N/A</v>
      </c>
      <c r="AV144" s="3450" t="e">
        <f ca="1">IFERROR(INDEX(AO:AO,AT144,1),INDEX(AN:AN,AU144,1))</f>
        <v>#N/A</v>
      </c>
      <c r="AW144" s="3450"/>
    </row>
    <row r="145" spans="1:51" ht="18" hidden="1" customHeight="1" outlineLevel="1">
      <c r="A145" s="1766" t="s">
        <v>213</v>
      </c>
      <c r="B145" s="1767" t="s">
        <v>1469</v>
      </c>
      <c r="C145" s="1767" t="s">
        <v>445</v>
      </c>
      <c r="D145" s="3104">
        <v>2.2000000000000002</v>
      </c>
      <c r="E145" s="1766" t="s">
        <v>1610</v>
      </c>
      <c r="F145" s="1767" t="s">
        <v>1470</v>
      </c>
      <c r="G145" s="1767" t="s">
        <v>1469</v>
      </c>
      <c r="H145" s="1767" t="s">
        <v>445</v>
      </c>
      <c r="I145" s="319"/>
      <c r="J145" s="1766" t="s">
        <v>495</v>
      </c>
      <c r="K145" s="1767" t="s">
        <v>183</v>
      </c>
      <c r="L145" s="1769" t="s">
        <v>1471</v>
      </c>
      <c r="M145" s="1766" t="s">
        <v>215</v>
      </c>
      <c r="N145" s="1767" t="s">
        <v>1469</v>
      </c>
      <c r="O145" s="1767" t="s">
        <v>1473</v>
      </c>
      <c r="Q145" s="3450" t="s">
        <v>3568</v>
      </c>
      <c r="R145" s="3450" t="s">
        <v>3569</v>
      </c>
      <c r="S145" s="3450" t="s">
        <v>3570</v>
      </c>
      <c r="T145" s="3450" t="s">
        <v>3571</v>
      </c>
      <c r="U145" s="3450" t="s">
        <v>3572</v>
      </c>
      <c r="V145" s="3450"/>
      <c r="W145" s="3450" t="s">
        <v>3574</v>
      </c>
      <c r="X145" s="3450"/>
      <c r="AJ145" s="320"/>
      <c r="AM145" s="320"/>
      <c r="AS145" s="3459" t="str">
        <f t="shared" ref="AS145:AS150" si="158">AT145&amp;AU145</f>
        <v>importNon Metalize</v>
      </c>
      <c r="AT145" s="3450" t="s">
        <v>3562</v>
      </c>
      <c r="AU145" s="3450" t="s">
        <v>800</v>
      </c>
      <c r="AV145" s="3450" t="e">
        <f ca="1">IF(E144="local",AV144,CEILING(J144+3,5))</f>
        <v>#N/A</v>
      </c>
      <c r="AW145" s="3458">
        <f>K144+3</f>
        <v>3</v>
      </c>
      <c r="AX145" s="3477"/>
      <c r="AY145" s="3476"/>
    </row>
    <row r="146" spans="1:51" ht="18" hidden="1" customHeight="1" outlineLevel="1">
      <c r="A146" s="3452" t="str">
        <f t="shared" ref="A146:A159" ca="1" si="159">IF($Q146=1,VLOOKUP($T146,OFFSET($W$27,Z146,0,15,2),2,0),"None")</f>
        <v>None</v>
      </c>
      <c r="B146" s="3453">
        <f t="shared" ref="B146:B159" ca="1" si="160">IF($Q146=1,IF($U146="mặt trước",ROUNDUP(OFFSET($J$25,Z146,0)*OFFSET($K$25,Z146,0)*OFFSET($D$26,Z146,0)/10^9*10000/VALUE(LEFT(OFFSET($I$23,Z146,0),1)),2),ROUNDUP(OFFSET($J$25,Z146,0)*OFFSET($K$25,Z146,0)*OFFSET($D$27,Z146,0)/10^9*10000/VALUE(RIGHT(OFFSET($I$23,Z146,0),1)),2)),0)</f>
        <v>0</v>
      </c>
      <c r="C146" s="1768"/>
      <c r="D146" s="3104">
        <v>2.1</v>
      </c>
      <c r="E146" s="1705" t="s">
        <v>127</v>
      </c>
      <c r="F146" s="1705" t="s">
        <v>1112</v>
      </c>
      <c r="G146" s="1768"/>
      <c r="H146" s="1768"/>
      <c r="J146" s="1705" t="s">
        <v>127</v>
      </c>
      <c r="K146" s="3571">
        <f>IF(VLOOKUP(J146,Data!$AN$943:$AO$959,2,0)="No",CEILING(K148+3,50),HLOOKUP(J146,Data!$AJ$943:$AL$2000,K149,0))</f>
        <v>50</v>
      </c>
      <c r="L146" s="1770" t="s">
        <v>1472</v>
      </c>
      <c r="M146" s="1705" t="s">
        <v>127</v>
      </c>
      <c r="N146" s="1768"/>
      <c r="O146" s="1705" t="s">
        <v>1259</v>
      </c>
      <c r="Q146" s="3450">
        <f t="shared" ref="Q146:Q159" ca="1" si="161">IFERROR(FIND("M",U146),2)</f>
        <v>2</v>
      </c>
      <c r="R146" s="3451">
        <v>1</v>
      </c>
      <c r="S146" s="3450" t="str">
        <f>IF(R146&lt;=VALUE(LEFT($I$142,1)),"MẶT TRƯỚC","MẶT SAU")</f>
        <v>MẶT SAU</v>
      </c>
      <c r="T146" s="3450">
        <f t="shared" ref="T146:T159" si="162">IF(S146="MẶT TRƯỚC",R146,IF(S145="mặt sau",T145+1,1))</f>
        <v>1</v>
      </c>
      <c r="U146" s="3450" t="str">
        <f t="shared" ref="U146:U159" ca="1" si="163">IF(S146="MẶT SAU",IF(T146&lt;=VALUE(RIGHT(OFFSET($I$23,Z146,0),1)),"MẶT SAU",""),S146)</f>
        <v/>
      </c>
      <c r="V146" s="3450"/>
      <c r="W146" s="3450">
        <v>1</v>
      </c>
      <c r="X146" s="3450" t="str">
        <f ca="1">IF(VLOOKUP(OFFSET($A$25,Z146,0),'Summary Data'!$C:$AV,45,0)&gt;0,"UV ink",Y146)</f>
        <v>Cyan (60-124773-7.1200 Nutri-2 Proc Cyan ISO 2846-1)</v>
      </c>
      <c r="Y146" s="136" t="s">
        <v>3356</v>
      </c>
      <c r="Z146" s="136">
        <f>Z129+17</f>
        <v>119</v>
      </c>
      <c r="AJ146" s="320"/>
      <c r="AM146" s="320"/>
      <c r="AS146" s="3459" t="str">
        <f t="shared" si="158"/>
        <v>importMetalize</v>
      </c>
      <c r="AT146" s="3450" t="s">
        <v>3562</v>
      </c>
      <c r="AU146" s="3450" t="s">
        <v>230</v>
      </c>
      <c r="AV146" s="3450" t="e">
        <f ca="1">IF(AX146="cộng 3",AV145,CEILING(J144+6,5))</f>
        <v>#N/A</v>
      </c>
      <c r="AW146" s="3450" t="e">
        <f ca="1">IF(AY146="cộng 6",AW145+3,AW145)</f>
        <v>#N/A</v>
      </c>
      <c r="AX146" s="3477" t="e">
        <f ca="1">IF(AV145&lt;AW145,"cộng 3","cộng 6")</f>
        <v>#N/A</v>
      </c>
      <c r="AY146" s="3476" t="e">
        <f ca="1">IF(AX146="cộng 3","cộng 6","cộng 3")</f>
        <v>#N/A</v>
      </c>
    </row>
    <row r="147" spans="1:51" ht="18" hidden="1" customHeight="1" outlineLevel="1">
      <c r="A147" s="3452" t="str">
        <f t="shared" ca="1" si="159"/>
        <v>None</v>
      </c>
      <c r="B147" s="3453">
        <f t="shared" ca="1" si="160"/>
        <v>0</v>
      </c>
      <c r="C147" s="1768"/>
      <c r="E147" s="1705" t="s">
        <v>127</v>
      </c>
      <c r="F147" s="1705" t="s">
        <v>1112</v>
      </c>
      <c r="G147" s="1768"/>
      <c r="H147" s="1768"/>
      <c r="J147" s="1705" t="s">
        <v>127</v>
      </c>
      <c r="K147" s="1705"/>
      <c r="L147" s="1770" t="s">
        <v>1472</v>
      </c>
      <c r="M147" s="1705" t="s">
        <v>127</v>
      </c>
      <c r="N147" s="1768"/>
      <c r="O147" s="1705" t="s">
        <v>1259</v>
      </c>
      <c r="Q147" s="3450">
        <f t="shared" ca="1" si="161"/>
        <v>2</v>
      </c>
      <c r="R147" s="3451">
        <f>R146+1</f>
        <v>2</v>
      </c>
      <c r="S147" s="3450" t="str">
        <f t="shared" ref="S147:S159" si="164">IF(R147&lt;=VALUE(LEFT($I$142,1)),"MẶT TRƯỚC","MẶT SAU")</f>
        <v>MẶT SAU</v>
      </c>
      <c r="T147" s="3450">
        <f t="shared" si="162"/>
        <v>2</v>
      </c>
      <c r="U147" s="3450" t="str">
        <f t="shared" ca="1" si="163"/>
        <v/>
      </c>
      <c r="V147" s="3450"/>
      <c r="W147" s="3450">
        <v>2</v>
      </c>
      <c r="X147" s="3450" t="str">
        <f ca="1">IF(VLOOKUP(OFFSET($A$25,Z147,0),'Summary Data'!$C:$AV,45,0)&gt;0,"UV ink",Y147)</f>
        <v>Magenta (61-804489-5.1290 Tempo Mix Magenta A)</v>
      </c>
      <c r="Y147" s="136" t="s">
        <v>3357</v>
      </c>
      <c r="Z147" s="136">
        <f>Z146</f>
        <v>119</v>
      </c>
      <c r="AJ147" s="320"/>
      <c r="AM147" s="320"/>
      <c r="AS147" s="3459" t="str">
        <f t="shared" si="158"/>
        <v>importRigid box</v>
      </c>
      <c r="AT147" s="3450" t="s">
        <v>3562</v>
      </c>
      <c r="AU147" s="3450" t="s">
        <v>3214</v>
      </c>
      <c r="AV147" s="3450" t="e">
        <f ca="1">AV145</f>
        <v>#N/A</v>
      </c>
      <c r="AW147" s="3450">
        <f>AW145</f>
        <v>3</v>
      </c>
    </row>
    <row r="148" spans="1:51" ht="18" hidden="1" customHeight="1" outlineLevel="1">
      <c r="A148" s="3452" t="str">
        <f t="shared" ca="1" si="159"/>
        <v>None</v>
      </c>
      <c r="B148" s="3453">
        <f t="shared" ca="1" si="160"/>
        <v>0</v>
      </c>
      <c r="C148" s="1768"/>
      <c r="E148" s="1705" t="s">
        <v>127</v>
      </c>
      <c r="F148" s="1705" t="s">
        <v>1112</v>
      </c>
      <c r="G148" s="1768"/>
      <c r="H148" s="1768"/>
      <c r="J148" s="314" t="s">
        <v>3471</v>
      </c>
      <c r="K148" s="3385"/>
      <c r="L148" s="991"/>
      <c r="M148" s="1705" t="s">
        <v>127</v>
      </c>
      <c r="N148" s="1768"/>
      <c r="O148" s="1705" t="s">
        <v>1259</v>
      </c>
      <c r="Q148" s="3450">
        <f t="shared" ca="1" si="161"/>
        <v>2</v>
      </c>
      <c r="R148" s="3451">
        <f t="shared" ref="R148:R159" si="165">R147+1</f>
        <v>3</v>
      </c>
      <c r="S148" s="3450" t="str">
        <f t="shared" si="164"/>
        <v>MẶT SAU</v>
      </c>
      <c r="T148" s="3450">
        <f t="shared" si="162"/>
        <v>3</v>
      </c>
      <c r="U148" s="3450" t="str">
        <f t="shared" ca="1" si="163"/>
        <v/>
      </c>
      <c r="V148" s="3450"/>
      <c r="W148" s="3450">
        <v>3</v>
      </c>
      <c r="X148" s="3450" t="str">
        <f ca="1">IF(VLOOKUP(OFFSET($A$25,Z148,0),'Summary Data'!$C:$AV,45,0)&gt;0,"UV ink",Y148)</f>
        <v>Yellow (61-312039-3.1290 Tempo Mix Yellow 4220)</v>
      </c>
      <c r="Y148" s="136" t="s">
        <v>3358</v>
      </c>
      <c r="Z148" s="136">
        <f t="shared" ref="Z148:Z159" si="166">Z147</f>
        <v>119</v>
      </c>
      <c r="AJ148" s="320"/>
      <c r="AM148" s="320"/>
      <c r="AS148" s="3459" t="str">
        <f t="shared" si="158"/>
        <v>localNon Metalize</v>
      </c>
      <c r="AT148" s="3450" t="s">
        <v>3563</v>
      </c>
      <c r="AU148" s="3450" t="s">
        <v>800</v>
      </c>
      <c r="AV148" s="3450" t="e">
        <f ca="1">AV144</f>
        <v>#N/A</v>
      </c>
      <c r="AW148" s="3458">
        <f>AW145</f>
        <v>3</v>
      </c>
    </row>
    <row r="149" spans="1:51" ht="18" hidden="1" customHeight="1" outlineLevel="1">
      <c r="A149" s="3452" t="str">
        <f t="shared" ca="1" si="159"/>
        <v>None</v>
      </c>
      <c r="B149" s="3453">
        <f t="shared" ca="1" si="160"/>
        <v>0</v>
      </c>
      <c r="C149" s="1768"/>
      <c r="E149" s="1705" t="s">
        <v>127</v>
      </c>
      <c r="F149" s="1705" t="s">
        <v>1112</v>
      </c>
      <c r="G149" s="1768"/>
      <c r="H149" s="1768"/>
      <c r="K149" s="3568">
        <f>K132+2</f>
        <v>16</v>
      </c>
      <c r="L149" s="991"/>
      <c r="M149" s="1705" t="s">
        <v>127</v>
      </c>
      <c r="N149" s="1768"/>
      <c r="O149" s="1705" t="s">
        <v>1259</v>
      </c>
      <c r="Q149" s="3450">
        <f t="shared" ca="1" si="161"/>
        <v>2</v>
      </c>
      <c r="R149" s="3451">
        <f t="shared" si="165"/>
        <v>4</v>
      </c>
      <c r="S149" s="3450" t="str">
        <f t="shared" si="164"/>
        <v>MẶT SAU</v>
      </c>
      <c r="T149" s="3450">
        <f t="shared" si="162"/>
        <v>4</v>
      </c>
      <c r="U149" s="3450" t="str">
        <f t="shared" ca="1" si="163"/>
        <v/>
      </c>
      <c r="V149" s="3450"/>
      <c r="W149" s="3450">
        <v>4</v>
      </c>
      <c r="X149" s="3450" t="str">
        <f ca="1">IF(VLOOKUP(OFFSET($A$25,Z149,0),'Summary Data'!$C:$AV,45,0)&gt;0,"UV ink",Y149)</f>
        <v>Black (60-914386-2.1200 Nutri-2 Proc Black ISO 2846-1)</v>
      </c>
      <c r="Y149" s="136" t="s">
        <v>3359</v>
      </c>
      <c r="Z149" s="136">
        <f t="shared" si="166"/>
        <v>119</v>
      </c>
      <c r="AJ149" s="320"/>
      <c r="AM149" s="320"/>
      <c r="AS149" s="3459" t="str">
        <f t="shared" si="158"/>
        <v>localMetalize</v>
      </c>
      <c r="AT149" s="3450" t="s">
        <v>3563</v>
      </c>
      <c r="AU149" s="3450" t="s">
        <v>230</v>
      </c>
      <c r="AV149" s="3450" t="e">
        <f ca="1">AV144</f>
        <v>#N/A</v>
      </c>
      <c r="AW149" s="3450" t="e">
        <f ca="1">IF(AY146="cộng 6",AW145+3,AW145)</f>
        <v>#N/A</v>
      </c>
    </row>
    <row r="150" spans="1:51" ht="18" hidden="1" customHeight="1" outlineLevel="1">
      <c r="A150" s="3452" t="str">
        <f t="shared" ca="1" si="159"/>
        <v>None</v>
      </c>
      <c r="B150" s="3453">
        <f t="shared" ca="1" si="160"/>
        <v>0</v>
      </c>
      <c r="C150" s="1768"/>
      <c r="E150" s="1705" t="s">
        <v>127</v>
      </c>
      <c r="F150" s="1705" t="s">
        <v>1112</v>
      </c>
      <c r="G150" s="1768"/>
      <c r="H150" s="1768"/>
      <c r="J150" s="320"/>
      <c r="K150" s="1579"/>
      <c r="L150" s="991"/>
      <c r="M150" s="1705" t="s">
        <v>127</v>
      </c>
      <c r="N150" s="1768"/>
      <c r="O150" s="1705" t="s">
        <v>1259</v>
      </c>
      <c r="Q150" s="3450">
        <f t="shared" ca="1" si="161"/>
        <v>2</v>
      </c>
      <c r="R150" s="3451">
        <f t="shared" si="165"/>
        <v>5</v>
      </c>
      <c r="S150" s="3450" t="str">
        <f t="shared" si="164"/>
        <v>MẶT SAU</v>
      </c>
      <c r="T150" s="3450">
        <f t="shared" si="162"/>
        <v>5</v>
      </c>
      <c r="U150" s="3450" t="str">
        <f t="shared" ca="1" si="163"/>
        <v/>
      </c>
      <c r="V150" s="3450"/>
      <c r="W150" s="3450"/>
      <c r="X150" s="3450">
        <f ca="1">IF(VLOOKUP(OFFSET($A$25,Z150,0),'Summary Data'!$C:$AV,45,0)&gt;0,"UV ink",Y150)</f>
        <v>0</v>
      </c>
      <c r="Z150" s="136">
        <f t="shared" si="166"/>
        <v>119</v>
      </c>
      <c r="AJ150" s="320"/>
      <c r="AM150" s="320"/>
      <c r="AS150" s="3459" t="str">
        <f t="shared" si="158"/>
        <v>localRigid box</v>
      </c>
      <c r="AT150" s="3450" t="s">
        <v>3563</v>
      </c>
      <c r="AU150" s="3450" t="s">
        <v>3214</v>
      </c>
      <c r="AV150" s="3450" t="e">
        <f ca="1">AV148</f>
        <v>#N/A</v>
      </c>
      <c r="AW150" s="3458">
        <f>AW148</f>
        <v>3</v>
      </c>
    </row>
    <row r="151" spans="1:51" ht="18" hidden="1" customHeight="1" outlineLevel="1">
      <c r="A151" s="3452" t="str">
        <f t="shared" ca="1" si="159"/>
        <v>None</v>
      </c>
      <c r="B151" s="3453">
        <f t="shared" ca="1" si="160"/>
        <v>0</v>
      </c>
      <c r="C151" s="1768"/>
      <c r="E151" s="320"/>
      <c r="F151" s="320"/>
      <c r="G151" s="320"/>
      <c r="H151" s="320"/>
      <c r="J151" s="2472" t="s">
        <v>2341</v>
      </c>
      <c r="K151" s="2473" t="s">
        <v>1417</v>
      </c>
      <c r="L151" s="2473" t="s">
        <v>2342</v>
      </c>
      <c r="Q151" s="3450">
        <f t="shared" ca="1" si="161"/>
        <v>2</v>
      </c>
      <c r="R151" s="3451">
        <f t="shared" si="165"/>
        <v>6</v>
      </c>
      <c r="S151" s="3450" t="str">
        <f t="shared" si="164"/>
        <v>MẶT SAU</v>
      </c>
      <c r="T151" s="3450">
        <f t="shared" si="162"/>
        <v>6</v>
      </c>
      <c r="U151" s="3450" t="str">
        <f t="shared" ca="1" si="163"/>
        <v/>
      </c>
      <c r="V151" s="3450"/>
      <c r="W151" s="3450">
        <v>5</v>
      </c>
      <c r="X151" s="3450" t="str">
        <f ca="1">IF(VLOOKUP(OFFSET($A$25,Z151,0),'Summary Data'!$C:$AV,45,0)&gt;0,"UV ink",Y151)</f>
        <v>Special Ink</v>
      </c>
      <c r="Y151" s="136" t="s">
        <v>1105</v>
      </c>
      <c r="Z151" s="136">
        <f t="shared" si="166"/>
        <v>119</v>
      </c>
      <c r="AJ151" s="320"/>
      <c r="AM151" s="320"/>
    </row>
    <row r="152" spans="1:51" ht="18" hidden="1" customHeight="1" outlineLevel="1">
      <c r="A152" s="3452" t="str">
        <f t="shared" ca="1" si="159"/>
        <v>None</v>
      </c>
      <c r="B152" s="3453">
        <f t="shared" ca="1" si="160"/>
        <v>0</v>
      </c>
      <c r="C152" s="1768"/>
      <c r="E152" s="146" t="s">
        <v>2055</v>
      </c>
      <c r="F152" s="919" t="str">
        <f>A144</f>
        <v>N</v>
      </c>
      <c r="G152" s="320"/>
      <c r="H152" s="320"/>
      <c r="I152" s="320"/>
      <c r="J152" s="2474" t="str">
        <f>Data!$P$817</f>
        <v>LDPE HANWHA 955</v>
      </c>
      <c r="K152" s="2474" t="s">
        <v>106</v>
      </c>
      <c r="L152" s="2475"/>
      <c r="M152" s="1000"/>
      <c r="Q152" s="3450">
        <f t="shared" ca="1" si="161"/>
        <v>2</v>
      </c>
      <c r="R152" s="3451">
        <f t="shared" si="165"/>
        <v>7</v>
      </c>
      <c r="S152" s="3450" t="str">
        <f t="shared" si="164"/>
        <v>MẶT SAU</v>
      </c>
      <c r="T152" s="3450">
        <f t="shared" si="162"/>
        <v>7</v>
      </c>
      <c r="U152" s="3450" t="str">
        <f t="shared" ca="1" si="163"/>
        <v/>
      </c>
      <c r="V152" s="3450"/>
      <c r="W152" s="3450">
        <f>W151+1</f>
        <v>6</v>
      </c>
      <c r="X152" s="3450" t="str">
        <f ca="1">IF(VLOOKUP(OFFSET($A$25,Z152,0),'Summary Data'!$C:$AV,45,0)&gt;0,"UV ink",Y152)</f>
        <v>Special Ink</v>
      </c>
      <c r="Y152" s="136" t="s">
        <v>1105</v>
      </c>
      <c r="Z152" s="136">
        <f t="shared" si="166"/>
        <v>119</v>
      </c>
      <c r="AJ152" s="320"/>
      <c r="AM152" s="320"/>
    </row>
    <row r="153" spans="1:51" ht="18" hidden="1" customHeight="1" outlineLevel="1">
      <c r="A153" s="3452" t="str">
        <f t="shared" ca="1" si="159"/>
        <v>None</v>
      </c>
      <c r="B153" s="3453">
        <f t="shared" ca="1" si="160"/>
        <v>0</v>
      </c>
      <c r="C153" s="1768"/>
      <c r="E153" s="320"/>
      <c r="F153" s="320"/>
      <c r="G153" s="320"/>
      <c r="H153" s="320"/>
      <c r="I153" s="320"/>
      <c r="K153" s="950" t="s">
        <v>2343</v>
      </c>
      <c r="L153" s="833"/>
      <c r="M153" s="1000"/>
      <c r="Q153" s="3450">
        <f t="shared" ca="1" si="161"/>
        <v>2</v>
      </c>
      <c r="R153" s="3451">
        <f t="shared" si="165"/>
        <v>8</v>
      </c>
      <c r="S153" s="3450" t="str">
        <f t="shared" si="164"/>
        <v>MẶT SAU</v>
      </c>
      <c r="T153" s="3450">
        <f t="shared" si="162"/>
        <v>8</v>
      </c>
      <c r="U153" s="3450" t="str">
        <f t="shared" ca="1" si="163"/>
        <v/>
      </c>
      <c r="V153" s="3450"/>
      <c r="W153" s="3450">
        <f>W152+1</f>
        <v>7</v>
      </c>
      <c r="X153" s="3450" t="str">
        <f ca="1">IF(VLOOKUP(OFFSET($A$25,Z153,0),'Summary Data'!$C:$AV,45,0)&gt;0,"UV ink",Y153)</f>
        <v>Special Ink</v>
      </c>
      <c r="Y153" s="136" t="s">
        <v>1105</v>
      </c>
      <c r="Z153" s="136">
        <f t="shared" si="166"/>
        <v>119</v>
      </c>
      <c r="AJ153" s="320"/>
      <c r="AM153" s="320"/>
    </row>
    <row r="154" spans="1:51" ht="18" hidden="1" customHeight="1" outlineLevel="1">
      <c r="A154" s="3452" t="str">
        <f t="shared" ca="1" si="159"/>
        <v>None</v>
      </c>
      <c r="B154" s="3453">
        <f t="shared" ca="1" si="160"/>
        <v>0</v>
      </c>
      <c r="C154" s="1768"/>
      <c r="E154" s="320"/>
      <c r="F154" s="320"/>
      <c r="G154" s="320"/>
      <c r="H154" s="320"/>
      <c r="I154" s="320"/>
      <c r="J154" s="1579"/>
      <c r="K154" s="950" t="s">
        <v>2393</v>
      </c>
      <c r="L154" s="833"/>
      <c r="M154" s="1000"/>
      <c r="Q154" s="3450">
        <f t="shared" ca="1" si="161"/>
        <v>2</v>
      </c>
      <c r="R154" s="3451">
        <f t="shared" si="165"/>
        <v>9</v>
      </c>
      <c r="S154" s="3450" t="str">
        <f t="shared" si="164"/>
        <v>MẶT SAU</v>
      </c>
      <c r="T154" s="3450">
        <f t="shared" si="162"/>
        <v>9</v>
      </c>
      <c r="U154" s="3450" t="str">
        <f t="shared" ca="1" si="163"/>
        <v/>
      </c>
      <c r="V154" s="3450"/>
      <c r="W154" s="3450">
        <f>W153+1</f>
        <v>8</v>
      </c>
      <c r="X154" s="3450" t="str">
        <f ca="1">IF(VLOOKUP(OFFSET($A$25,Z154,0),'Summary Data'!$C:$AV,45,0)&gt;0,"UV ink",Y154)</f>
        <v>Special Ink</v>
      </c>
      <c r="Y154" s="136" t="s">
        <v>1105</v>
      </c>
      <c r="Z154" s="136">
        <f t="shared" si="166"/>
        <v>119</v>
      </c>
      <c r="AJ154" s="320"/>
      <c r="AM154" s="320"/>
    </row>
    <row r="155" spans="1:51" ht="18" hidden="1" customHeight="1" outlineLevel="1">
      <c r="A155" s="3452" t="str">
        <f t="shared" ca="1" si="159"/>
        <v>None</v>
      </c>
      <c r="B155" s="3453">
        <f t="shared" ca="1" si="160"/>
        <v>0</v>
      </c>
      <c r="C155" s="1768"/>
      <c r="E155" s="320"/>
      <c r="F155" s="320"/>
      <c r="G155" s="320"/>
      <c r="H155" s="320"/>
      <c r="I155" s="320"/>
      <c r="J155" s="1579"/>
      <c r="K155" s="991"/>
      <c r="L155" s="833"/>
      <c r="M155" s="1000"/>
      <c r="Q155" s="3450">
        <f t="shared" ca="1" si="161"/>
        <v>2</v>
      </c>
      <c r="R155" s="3451">
        <f t="shared" si="165"/>
        <v>10</v>
      </c>
      <c r="S155" s="3450" t="str">
        <f t="shared" si="164"/>
        <v>MẶT SAU</v>
      </c>
      <c r="T155" s="3450">
        <f t="shared" si="162"/>
        <v>10</v>
      </c>
      <c r="U155" s="3450" t="str">
        <f t="shared" ca="1" si="163"/>
        <v/>
      </c>
      <c r="V155" s="3450"/>
      <c r="W155" s="3450">
        <f>W154+1</f>
        <v>9</v>
      </c>
      <c r="X155" s="3450" t="str">
        <f ca="1">IF(VLOOKUP(OFFSET($A$25,Z155,0),'Summary Data'!$C:$AV,45,0)&gt;0,"UV ink",Y155)</f>
        <v>Special Ink</v>
      </c>
      <c r="Y155" s="136" t="s">
        <v>1105</v>
      </c>
      <c r="Z155" s="136">
        <f t="shared" si="166"/>
        <v>119</v>
      </c>
      <c r="AJ155" s="320"/>
      <c r="AM155" s="320"/>
    </row>
    <row r="156" spans="1:51" ht="18" hidden="1" customHeight="1" outlineLevel="1">
      <c r="A156" s="3452" t="str">
        <f t="shared" ca="1" si="159"/>
        <v>None</v>
      </c>
      <c r="B156" s="3453">
        <f t="shared" ca="1" si="160"/>
        <v>0</v>
      </c>
      <c r="C156" s="1768"/>
      <c r="E156" s="320"/>
      <c r="F156" s="320"/>
      <c r="G156" s="320"/>
      <c r="H156" s="320"/>
      <c r="I156" s="320"/>
      <c r="J156" s="1579"/>
      <c r="K156" s="991"/>
      <c r="L156" s="833"/>
      <c r="M156" s="1000"/>
      <c r="Q156" s="3450">
        <f t="shared" ca="1" si="161"/>
        <v>2</v>
      </c>
      <c r="R156" s="3451">
        <f t="shared" si="165"/>
        <v>11</v>
      </c>
      <c r="S156" s="3450" t="str">
        <f t="shared" si="164"/>
        <v>MẶT SAU</v>
      </c>
      <c r="T156" s="3450">
        <f t="shared" si="162"/>
        <v>11</v>
      </c>
      <c r="U156" s="3450" t="str">
        <f t="shared" ca="1" si="163"/>
        <v/>
      </c>
      <c r="V156" s="3450"/>
      <c r="W156" s="3450"/>
      <c r="X156" s="3450">
        <f ca="1">IF(VLOOKUP(OFFSET($A$25,Z156,0),'Summary Data'!$C:$AV,45,0)&gt;0,"UV ink",Y156)</f>
        <v>0</v>
      </c>
      <c r="Z156" s="136">
        <f t="shared" si="166"/>
        <v>119</v>
      </c>
      <c r="AJ156" s="320"/>
      <c r="AM156" s="320"/>
    </row>
    <row r="157" spans="1:51" ht="18" hidden="1" customHeight="1" outlineLevel="1">
      <c r="A157" s="3452" t="str">
        <f t="shared" ca="1" si="159"/>
        <v>None</v>
      </c>
      <c r="B157" s="3453">
        <f t="shared" ca="1" si="160"/>
        <v>0</v>
      </c>
      <c r="C157" s="1768"/>
      <c r="E157" s="320"/>
      <c r="F157" s="320"/>
      <c r="G157" s="320"/>
      <c r="H157" s="320"/>
      <c r="I157" s="320"/>
      <c r="J157" s="1579"/>
      <c r="K157" s="991"/>
      <c r="L157" s="833"/>
      <c r="M157" s="1000"/>
      <c r="Q157" s="3450">
        <f t="shared" ca="1" si="161"/>
        <v>2</v>
      </c>
      <c r="R157" s="3451">
        <f t="shared" si="165"/>
        <v>12</v>
      </c>
      <c r="S157" s="3450" t="str">
        <f t="shared" si="164"/>
        <v>MẶT SAU</v>
      </c>
      <c r="T157" s="3450">
        <f t="shared" si="162"/>
        <v>12</v>
      </c>
      <c r="U157" s="3450" t="str">
        <f t="shared" ca="1" si="163"/>
        <v/>
      </c>
      <c r="V157" s="3450"/>
      <c r="W157" s="3450"/>
      <c r="X157" s="3450">
        <f ca="1">IF(VLOOKUP(OFFSET($A$25,Z157,0),'Summary Data'!$C:$AV,45,0)&gt;0,"UV ink",Y157)</f>
        <v>0</v>
      </c>
      <c r="Z157" s="136">
        <f t="shared" si="166"/>
        <v>119</v>
      </c>
      <c r="AJ157" s="320"/>
      <c r="AM157" s="320"/>
    </row>
    <row r="158" spans="1:51" ht="18" hidden="1" customHeight="1" outlineLevel="1">
      <c r="A158" s="3452" t="str">
        <f t="shared" ca="1" si="159"/>
        <v>None</v>
      </c>
      <c r="B158" s="3453">
        <f t="shared" ca="1" si="160"/>
        <v>0</v>
      </c>
      <c r="C158" s="1768"/>
      <c r="E158" s="320"/>
      <c r="F158" s="320"/>
      <c r="G158" s="320"/>
      <c r="H158" s="320"/>
      <c r="I158" s="320"/>
      <c r="J158" s="1579"/>
      <c r="K158" s="991"/>
      <c r="L158" s="833"/>
      <c r="M158" s="1000"/>
      <c r="Q158" s="3450">
        <f t="shared" ca="1" si="161"/>
        <v>2</v>
      </c>
      <c r="R158" s="3451">
        <f t="shared" si="165"/>
        <v>13</v>
      </c>
      <c r="S158" s="3450" t="str">
        <f t="shared" si="164"/>
        <v>MẶT SAU</v>
      </c>
      <c r="T158" s="3450">
        <f t="shared" si="162"/>
        <v>13</v>
      </c>
      <c r="U158" s="3450" t="str">
        <f t="shared" ca="1" si="163"/>
        <v/>
      </c>
      <c r="V158" s="3450"/>
      <c r="W158" s="3450"/>
      <c r="X158" s="3450">
        <f ca="1">IF(VLOOKUP(OFFSET($A$25,Z158,0),'Summary Data'!$C:$AV,45,0)&gt;0,"UV ink",Y158)</f>
        <v>0</v>
      </c>
      <c r="Z158" s="136">
        <f t="shared" si="166"/>
        <v>119</v>
      </c>
      <c r="AJ158" s="320"/>
      <c r="AM158" s="320"/>
    </row>
    <row r="159" spans="1:51" ht="18" hidden="1" customHeight="1" outlineLevel="1">
      <c r="A159" s="3452" t="str">
        <f t="shared" ca="1" si="159"/>
        <v>None</v>
      </c>
      <c r="B159" s="3454">
        <f t="shared" ca="1" si="160"/>
        <v>0</v>
      </c>
      <c r="C159" s="1772"/>
      <c r="E159" s="320"/>
      <c r="F159" s="320"/>
      <c r="G159" s="320"/>
      <c r="H159" s="320"/>
      <c r="I159" s="3455" t="s">
        <v>3625</v>
      </c>
      <c r="J159" s="3570" t="str">
        <f>VLOOKUP(J163,Data!$AA$943:$AB$959,2,0)</f>
        <v>Non Metalize</v>
      </c>
      <c r="K159" s="991"/>
      <c r="L159" s="833"/>
      <c r="M159" s="1000"/>
      <c r="Q159" s="3450">
        <f t="shared" ca="1" si="161"/>
        <v>2</v>
      </c>
      <c r="R159" s="3451">
        <f t="shared" si="165"/>
        <v>14</v>
      </c>
      <c r="S159" s="3450" t="str">
        <f t="shared" si="164"/>
        <v>MẶT SAU</v>
      </c>
      <c r="T159" s="3450">
        <f t="shared" si="162"/>
        <v>14</v>
      </c>
      <c r="U159" s="3450" t="str">
        <f t="shared" ca="1" si="163"/>
        <v/>
      </c>
      <c r="V159" s="3450"/>
      <c r="W159" s="3450"/>
      <c r="X159" s="3450">
        <f ca="1">IF(VLOOKUP(OFFSET($A$25,Z159,0),'Summary Data'!$C:$AV,45,0)&gt;0,"UV ink",Y159)</f>
        <v>0</v>
      </c>
      <c r="Z159" s="136">
        <f t="shared" si="166"/>
        <v>119</v>
      </c>
      <c r="AJ159" s="320"/>
      <c r="AM159" s="320"/>
      <c r="AU159" s="136">
        <f>AU142+9</f>
        <v>45</v>
      </c>
    </row>
    <row r="160" spans="1:51" ht="18" hidden="1" customHeight="1" outlineLevel="1">
      <c r="A160" s="919"/>
      <c r="B160" s="919"/>
      <c r="C160" s="320"/>
      <c r="D160" s="320"/>
      <c r="E160" s="320"/>
      <c r="F160" s="320"/>
      <c r="G160" s="320"/>
      <c r="H160" s="320"/>
      <c r="I160" s="320"/>
      <c r="J160" s="1579"/>
      <c r="K160" s="991"/>
      <c r="L160" s="833"/>
      <c r="M160" s="1000"/>
      <c r="AJ160" s="320"/>
      <c r="AM160" s="320"/>
      <c r="AS160" s="3457" t="s">
        <v>2055</v>
      </c>
      <c r="AT160" s="3457" t="s">
        <v>3559</v>
      </c>
      <c r="AU160" s="3457" t="s">
        <v>3560</v>
      </c>
      <c r="AV160" s="3457" t="s">
        <v>3561</v>
      </c>
      <c r="AW160" s="3457"/>
    </row>
    <row r="161" spans="1:51" ht="18" hidden="1" customHeight="1" outlineLevel="1">
      <c r="A161" s="1761" t="str">
        <f>IFERROR(INDEX('Summary Data'!B:B,MATCH(9,'Summary Data'!GS:GS,0),1),"N")</f>
        <v>N</v>
      </c>
      <c r="B161" s="1762"/>
      <c r="C161" s="1614" t="s">
        <v>1393</v>
      </c>
      <c r="D161" s="1614"/>
      <c r="E161" s="1614" t="s">
        <v>649</v>
      </c>
      <c r="F161" s="1614"/>
      <c r="G161" s="1614"/>
      <c r="H161" s="1614">
        <v>0</v>
      </c>
      <c r="I161" s="1614">
        <f>VALUE(LEFT(I159,1)+RIGHT(I159,1))</f>
        <v>0</v>
      </c>
      <c r="J161" s="1763"/>
      <c r="K161" s="1764"/>
      <c r="L161" s="3448" t="e">
        <f ca="1">VLOOKUP(E161&amp;J159,AS162:AW167,4,0)</f>
        <v>#N/A</v>
      </c>
      <c r="M161" s="3449">
        <f>VLOOKUP(E161&amp;J159,AS162:AW167,5,0)</f>
        <v>3</v>
      </c>
      <c r="N161" s="1771"/>
      <c r="O161" s="2150" t="s">
        <v>106</v>
      </c>
      <c r="P161" s="2150" t="s">
        <v>2040</v>
      </c>
      <c r="AJ161" s="320"/>
      <c r="AM161" s="320"/>
      <c r="AS161" s="3459"/>
      <c r="AT161" s="3450" t="e">
        <f ca="1">MATCH(C161&amp;"lấy",OFFSET($BT:$BT,0,AU159),0)</f>
        <v>#N/A</v>
      </c>
      <c r="AU161" s="3450" t="e">
        <f ca="1">MATCH(C161&amp;"lấy",OFFSET($BS:$BS,0,AU159),0)</f>
        <v>#N/A</v>
      </c>
      <c r="AV161" s="3450" t="e">
        <f ca="1">IFERROR(INDEX(AO:AO,AT161,1),INDEX(AN:AN,AU161,1))</f>
        <v>#N/A</v>
      </c>
      <c r="AW161" s="3450"/>
    </row>
    <row r="162" spans="1:51" ht="18" hidden="1" customHeight="1" outlineLevel="1">
      <c r="A162" s="1766" t="s">
        <v>213</v>
      </c>
      <c r="B162" s="1767" t="s">
        <v>1469</v>
      </c>
      <c r="C162" s="1767" t="s">
        <v>445</v>
      </c>
      <c r="D162" s="3104">
        <v>2.2000000000000002</v>
      </c>
      <c r="E162" s="1766" t="s">
        <v>1610</v>
      </c>
      <c r="F162" s="1767" t="s">
        <v>1470</v>
      </c>
      <c r="G162" s="1767" t="s">
        <v>1469</v>
      </c>
      <c r="H162" s="1767" t="s">
        <v>445</v>
      </c>
      <c r="I162" s="319"/>
      <c r="J162" s="1766" t="s">
        <v>495</v>
      </c>
      <c r="K162" s="1767" t="s">
        <v>183</v>
      </c>
      <c r="L162" s="1769" t="s">
        <v>1471</v>
      </c>
      <c r="M162" s="1766" t="s">
        <v>215</v>
      </c>
      <c r="N162" s="1767" t="s">
        <v>1469</v>
      </c>
      <c r="O162" s="1767" t="s">
        <v>1473</v>
      </c>
      <c r="Q162" s="3450" t="s">
        <v>3568</v>
      </c>
      <c r="R162" s="3450" t="s">
        <v>3569</v>
      </c>
      <c r="S162" s="3450" t="s">
        <v>3570</v>
      </c>
      <c r="T162" s="3450" t="s">
        <v>3571</v>
      </c>
      <c r="U162" s="3450" t="s">
        <v>3572</v>
      </c>
      <c r="V162" s="3450"/>
      <c r="W162" s="3450" t="s">
        <v>3574</v>
      </c>
      <c r="X162" s="3450"/>
      <c r="AJ162" s="320"/>
      <c r="AM162" s="320"/>
      <c r="AS162" s="3459" t="str">
        <f t="shared" ref="AS162:AS167" si="167">AT162&amp;AU162</f>
        <v>importNon Metalize</v>
      </c>
      <c r="AT162" s="3450" t="s">
        <v>3562</v>
      </c>
      <c r="AU162" s="3450" t="s">
        <v>800</v>
      </c>
      <c r="AV162" s="3450" t="e">
        <f ca="1">IF(E161="local",AV161,CEILING(J161+3,5))</f>
        <v>#N/A</v>
      </c>
      <c r="AW162" s="3458">
        <f>K161+3</f>
        <v>3</v>
      </c>
      <c r="AX162" s="3477"/>
      <c r="AY162" s="3476"/>
    </row>
    <row r="163" spans="1:51" ht="18" hidden="1" customHeight="1" outlineLevel="1">
      <c r="A163" s="3452" t="str">
        <f t="shared" ref="A163:A176" ca="1" si="168">IF($Q163=1,VLOOKUP($T163,OFFSET($W$27,Z163,0,15,2),2,0),"None")</f>
        <v>None</v>
      </c>
      <c r="B163" s="3453">
        <f t="shared" ref="B163:B176" ca="1" si="169">IF($Q163=1,IF($U163="mặt trước",ROUNDUP(OFFSET($J$25,Z163,0)*OFFSET($K$25,Z163,0)*OFFSET($D$26,Z163,0)/10^9*10000/VALUE(LEFT(OFFSET($I$23,Z163,0),1)),2),ROUNDUP(OFFSET($J$25,Z163,0)*OFFSET($K$25,Z163,0)*OFFSET($D$27,Z163,0)/10^9*10000/VALUE(RIGHT(OFFSET($I$23,Z163,0),1)),2)),0)</f>
        <v>0</v>
      </c>
      <c r="C163" s="1768"/>
      <c r="D163" s="3104">
        <v>2.1</v>
      </c>
      <c r="E163" s="1705" t="s">
        <v>127</v>
      </c>
      <c r="F163" s="1705" t="s">
        <v>1112</v>
      </c>
      <c r="G163" s="1768"/>
      <c r="H163" s="1768"/>
      <c r="J163" s="1705" t="s">
        <v>127</v>
      </c>
      <c r="K163" s="3571">
        <f>IF(VLOOKUP(J163,Data!$AN$943:$AO$959,2,0)="No",CEILING(K165+3,50),HLOOKUP(J163,Data!$AJ$943:$AL$2000,K166,0))</f>
        <v>50</v>
      </c>
      <c r="L163" s="1770" t="s">
        <v>1472</v>
      </c>
      <c r="M163" s="1705" t="s">
        <v>127</v>
      </c>
      <c r="N163" s="1768"/>
      <c r="O163" s="1705" t="s">
        <v>1259</v>
      </c>
      <c r="Q163" s="3450">
        <f t="shared" ref="Q163:Q176" ca="1" si="170">IFERROR(FIND("M",U163),2)</f>
        <v>2</v>
      </c>
      <c r="R163" s="3451">
        <v>1</v>
      </c>
      <c r="S163" s="3450" t="str">
        <f>IF(R163&lt;=VALUE(LEFT($I$159,1)),"MẶT TRƯỚC","MẶT SAU")</f>
        <v>MẶT SAU</v>
      </c>
      <c r="T163" s="3450">
        <f t="shared" ref="T163:T176" si="171">IF(S163="MẶT TRƯỚC",R163,IF(S162="mặt sau",T162+1,1))</f>
        <v>1</v>
      </c>
      <c r="U163" s="3450" t="str">
        <f t="shared" ref="U163:U176" ca="1" si="172">IF(S163="MẶT SAU",IF(T163&lt;=VALUE(RIGHT(OFFSET($I$23,Z163,0),1)),"MẶT SAU",""),S163)</f>
        <v/>
      </c>
      <c r="V163" s="3450"/>
      <c r="W163" s="3450">
        <v>1</v>
      </c>
      <c r="X163" s="3450" t="str">
        <f ca="1">IF(VLOOKUP(OFFSET($A$25,Z163,0),'Summary Data'!$C:$AV,45,0)&gt;0,"UV ink",Y163)</f>
        <v>Cyan (60-124773-7.1200 Nutri-2 Proc Cyan ISO 2846-1)</v>
      </c>
      <c r="Y163" s="136" t="s">
        <v>3356</v>
      </c>
      <c r="Z163" s="136">
        <f>Z146+17</f>
        <v>136</v>
      </c>
      <c r="AJ163" s="320"/>
      <c r="AM163" s="320"/>
      <c r="AS163" s="3459" t="str">
        <f t="shared" si="167"/>
        <v>importMetalize</v>
      </c>
      <c r="AT163" s="3450" t="s">
        <v>3562</v>
      </c>
      <c r="AU163" s="3450" t="s">
        <v>230</v>
      </c>
      <c r="AV163" s="3450" t="e">
        <f ca="1">IF(AX163="cộng 3",AV162,CEILING(J161+6,5))</f>
        <v>#N/A</v>
      </c>
      <c r="AW163" s="3450" t="e">
        <f ca="1">IF(AY163="cộng 6",AW162+3,AW162)</f>
        <v>#N/A</v>
      </c>
      <c r="AX163" s="3477" t="e">
        <f ca="1">IF(AV162&lt;AW162,"cộng 3","cộng 6")</f>
        <v>#N/A</v>
      </c>
      <c r="AY163" s="3476" t="e">
        <f ca="1">IF(AX163="cộng 3","cộng 6","cộng 3")</f>
        <v>#N/A</v>
      </c>
    </row>
    <row r="164" spans="1:51" ht="18" hidden="1" customHeight="1" outlineLevel="1">
      <c r="A164" s="3452" t="str">
        <f t="shared" ca="1" si="168"/>
        <v>None</v>
      </c>
      <c r="B164" s="3453">
        <f t="shared" ca="1" si="169"/>
        <v>0</v>
      </c>
      <c r="C164" s="1768"/>
      <c r="E164" s="1705" t="s">
        <v>127</v>
      </c>
      <c r="F164" s="1705" t="s">
        <v>1112</v>
      </c>
      <c r="G164" s="1768"/>
      <c r="H164" s="1768"/>
      <c r="J164" s="1705" t="s">
        <v>127</v>
      </c>
      <c r="K164" s="1705"/>
      <c r="L164" s="1770" t="s">
        <v>1472</v>
      </c>
      <c r="M164" s="1705" t="s">
        <v>127</v>
      </c>
      <c r="N164" s="1768"/>
      <c r="O164" s="1705" t="s">
        <v>1259</v>
      </c>
      <c r="Q164" s="3450">
        <f t="shared" ca="1" si="170"/>
        <v>2</v>
      </c>
      <c r="R164" s="3451">
        <f>R163+1</f>
        <v>2</v>
      </c>
      <c r="S164" s="3450" t="str">
        <f t="shared" ref="S164:S176" si="173">IF(R164&lt;=VALUE(LEFT($I$159,1)),"MẶT TRƯỚC","MẶT SAU")</f>
        <v>MẶT SAU</v>
      </c>
      <c r="T164" s="3450">
        <f t="shared" si="171"/>
        <v>2</v>
      </c>
      <c r="U164" s="3450" t="str">
        <f t="shared" ca="1" si="172"/>
        <v/>
      </c>
      <c r="V164" s="3450"/>
      <c r="W164" s="3450">
        <v>2</v>
      </c>
      <c r="X164" s="3450" t="str">
        <f ca="1">IF(VLOOKUP(OFFSET($A$25,Z164,0),'Summary Data'!$C:$AV,45,0)&gt;0,"UV ink",Y164)</f>
        <v>Magenta (61-804489-5.1290 Tempo Mix Magenta A)</v>
      </c>
      <c r="Y164" s="136" t="s">
        <v>3357</v>
      </c>
      <c r="Z164" s="136">
        <f>Z163</f>
        <v>136</v>
      </c>
      <c r="AJ164" s="320"/>
      <c r="AM164" s="320"/>
      <c r="AS164" s="3459" t="str">
        <f t="shared" si="167"/>
        <v>importRigid box</v>
      </c>
      <c r="AT164" s="3450" t="s">
        <v>3562</v>
      </c>
      <c r="AU164" s="3450" t="s">
        <v>3214</v>
      </c>
      <c r="AV164" s="3450" t="e">
        <f ca="1">AV162</f>
        <v>#N/A</v>
      </c>
      <c r="AW164" s="3450">
        <f>AW162</f>
        <v>3</v>
      </c>
    </row>
    <row r="165" spans="1:51" ht="18" hidden="1" customHeight="1" outlineLevel="1">
      <c r="A165" s="3452" t="str">
        <f t="shared" ca="1" si="168"/>
        <v>None</v>
      </c>
      <c r="B165" s="3453">
        <f t="shared" ca="1" si="169"/>
        <v>0</v>
      </c>
      <c r="C165" s="1768"/>
      <c r="E165" s="1705" t="s">
        <v>127</v>
      </c>
      <c r="F165" s="1705" t="s">
        <v>1112</v>
      </c>
      <c r="G165" s="1768"/>
      <c r="H165" s="1768"/>
      <c r="J165" s="314" t="s">
        <v>3471</v>
      </c>
      <c r="K165" s="3385"/>
      <c r="L165" s="991"/>
      <c r="M165" s="1705" t="s">
        <v>127</v>
      </c>
      <c r="N165" s="1768"/>
      <c r="O165" s="1705" t="s">
        <v>1259</v>
      </c>
      <c r="Q165" s="3450">
        <f t="shared" ca="1" si="170"/>
        <v>2</v>
      </c>
      <c r="R165" s="3451">
        <f t="shared" ref="R165:R176" si="174">R164+1</f>
        <v>3</v>
      </c>
      <c r="S165" s="3450" t="str">
        <f t="shared" si="173"/>
        <v>MẶT SAU</v>
      </c>
      <c r="T165" s="3450">
        <f t="shared" si="171"/>
        <v>3</v>
      </c>
      <c r="U165" s="3450" t="str">
        <f t="shared" ca="1" si="172"/>
        <v/>
      </c>
      <c r="V165" s="3450"/>
      <c r="W165" s="3450">
        <v>3</v>
      </c>
      <c r="X165" s="3450" t="str">
        <f ca="1">IF(VLOOKUP(OFFSET($A$25,Z165,0),'Summary Data'!$C:$AV,45,0)&gt;0,"UV ink",Y165)</f>
        <v>Yellow (61-312039-3.1290 Tempo Mix Yellow 4220)</v>
      </c>
      <c r="Y165" s="136" t="s">
        <v>3358</v>
      </c>
      <c r="Z165" s="136">
        <f t="shared" ref="Z165:Z176" si="175">Z164</f>
        <v>136</v>
      </c>
      <c r="AJ165" s="320"/>
      <c r="AM165" s="320"/>
      <c r="AS165" s="3459" t="str">
        <f t="shared" si="167"/>
        <v>localNon Metalize</v>
      </c>
      <c r="AT165" s="3450" t="s">
        <v>3563</v>
      </c>
      <c r="AU165" s="3450" t="s">
        <v>800</v>
      </c>
      <c r="AV165" s="3450" t="e">
        <f ca="1">AV161</f>
        <v>#N/A</v>
      </c>
      <c r="AW165" s="3458">
        <f>AW162</f>
        <v>3</v>
      </c>
    </row>
    <row r="166" spans="1:51" ht="18" hidden="1" customHeight="1" outlineLevel="1">
      <c r="A166" s="3452" t="str">
        <f t="shared" ca="1" si="168"/>
        <v>None</v>
      </c>
      <c r="B166" s="3453">
        <f t="shared" ca="1" si="169"/>
        <v>0</v>
      </c>
      <c r="C166" s="1768"/>
      <c r="E166" s="1705" t="s">
        <v>127</v>
      </c>
      <c r="F166" s="1705" t="s">
        <v>1112</v>
      </c>
      <c r="G166" s="1768"/>
      <c r="H166" s="1768"/>
      <c r="K166" s="3568">
        <f>K149+2</f>
        <v>18</v>
      </c>
      <c r="L166" s="991"/>
      <c r="M166" s="1705" t="s">
        <v>127</v>
      </c>
      <c r="N166" s="1768"/>
      <c r="O166" s="1705" t="s">
        <v>1259</v>
      </c>
      <c r="Q166" s="3450">
        <f t="shared" ca="1" si="170"/>
        <v>2</v>
      </c>
      <c r="R166" s="3451">
        <f t="shared" si="174"/>
        <v>4</v>
      </c>
      <c r="S166" s="3450" t="str">
        <f t="shared" si="173"/>
        <v>MẶT SAU</v>
      </c>
      <c r="T166" s="3450">
        <f t="shared" si="171"/>
        <v>4</v>
      </c>
      <c r="U166" s="3450" t="str">
        <f t="shared" ca="1" si="172"/>
        <v/>
      </c>
      <c r="V166" s="3450"/>
      <c r="W166" s="3450">
        <v>4</v>
      </c>
      <c r="X166" s="3450" t="str">
        <f ca="1">IF(VLOOKUP(OFFSET($A$25,Z166,0),'Summary Data'!$C:$AV,45,0)&gt;0,"UV ink",Y166)</f>
        <v>Black (60-914386-2.1200 Nutri-2 Proc Black ISO 2846-1)</v>
      </c>
      <c r="Y166" s="136" t="s">
        <v>3359</v>
      </c>
      <c r="Z166" s="136">
        <f t="shared" si="175"/>
        <v>136</v>
      </c>
      <c r="AJ166" s="320"/>
      <c r="AM166" s="320"/>
      <c r="AS166" s="3459" t="str">
        <f t="shared" si="167"/>
        <v>localMetalize</v>
      </c>
      <c r="AT166" s="3450" t="s">
        <v>3563</v>
      </c>
      <c r="AU166" s="3450" t="s">
        <v>230</v>
      </c>
      <c r="AV166" s="3450" t="e">
        <f ca="1">AV161</f>
        <v>#N/A</v>
      </c>
      <c r="AW166" s="3450" t="e">
        <f ca="1">IF(AY163="cộng 6",AW162+3,AW162)</f>
        <v>#N/A</v>
      </c>
    </row>
    <row r="167" spans="1:51" ht="18" hidden="1" customHeight="1" outlineLevel="1">
      <c r="A167" s="3452" t="str">
        <f t="shared" ca="1" si="168"/>
        <v>None</v>
      </c>
      <c r="B167" s="3453">
        <f t="shared" ca="1" si="169"/>
        <v>0</v>
      </c>
      <c r="C167" s="1768"/>
      <c r="E167" s="1705" t="s">
        <v>127</v>
      </c>
      <c r="F167" s="1705" t="s">
        <v>1112</v>
      </c>
      <c r="G167" s="1768"/>
      <c r="H167" s="1768"/>
      <c r="J167" s="320"/>
      <c r="K167" s="1579"/>
      <c r="L167" s="991"/>
      <c r="M167" s="1705" t="s">
        <v>127</v>
      </c>
      <c r="N167" s="1768"/>
      <c r="O167" s="1705" t="s">
        <v>1259</v>
      </c>
      <c r="Q167" s="3450">
        <f t="shared" ca="1" si="170"/>
        <v>2</v>
      </c>
      <c r="R167" s="3451">
        <f t="shared" si="174"/>
        <v>5</v>
      </c>
      <c r="S167" s="3450" t="str">
        <f t="shared" si="173"/>
        <v>MẶT SAU</v>
      </c>
      <c r="T167" s="3450">
        <f t="shared" si="171"/>
        <v>5</v>
      </c>
      <c r="U167" s="3450" t="str">
        <f t="shared" ca="1" si="172"/>
        <v/>
      </c>
      <c r="V167" s="3450"/>
      <c r="W167" s="3450"/>
      <c r="X167" s="3450">
        <f ca="1">IF(VLOOKUP(OFFSET($A$25,Z167,0),'Summary Data'!$C:$AV,45,0)&gt;0,"UV ink",Y167)</f>
        <v>0</v>
      </c>
      <c r="Z167" s="136">
        <f t="shared" si="175"/>
        <v>136</v>
      </c>
      <c r="AJ167" s="320"/>
      <c r="AM167" s="320"/>
      <c r="AS167" s="3459" t="str">
        <f t="shared" si="167"/>
        <v>localRigid box</v>
      </c>
      <c r="AT167" s="3450" t="s">
        <v>3563</v>
      </c>
      <c r="AU167" s="3450" t="s">
        <v>3214</v>
      </c>
      <c r="AV167" s="3450" t="e">
        <f ca="1">AV165</f>
        <v>#N/A</v>
      </c>
      <c r="AW167" s="3458">
        <f>AW165</f>
        <v>3</v>
      </c>
    </row>
    <row r="168" spans="1:51" ht="18" hidden="1" customHeight="1" outlineLevel="1">
      <c r="A168" s="3452" t="str">
        <f t="shared" ca="1" si="168"/>
        <v>None</v>
      </c>
      <c r="B168" s="3453">
        <f t="shared" ca="1" si="169"/>
        <v>0</v>
      </c>
      <c r="C168" s="1768"/>
      <c r="E168" s="320"/>
      <c r="F168" s="320"/>
      <c r="G168" s="320"/>
      <c r="H168" s="320"/>
      <c r="J168" s="2472" t="s">
        <v>2341</v>
      </c>
      <c r="K168" s="2473" t="s">
        <v>1417</v>
      </c>
      <c r="L168" s="2473" t="s">
        <v>2342</v>
      </c>
      <c r="Q168" s="3450">
        <f t="shared" ca="1" si="170"/>
        <v>2</v>
      </c>
      <c r="R168" s="3451">
        <f t="shared" si="174"/>
        <v>6</v>
      </c>
      <c r="S168" s="3450" t="str">
        <f t="shared" si="173"/>
        <v>MẶT SAU</v>
      </c>
      <c r="T168" s="3450">
        <f t="shared" si="171"/>
        <v>6</v>
      </c>
      <c r="U168" s="3450" t="str">
        <f t="shared" ca="1" si="172"/>
        <v/>
      </c>
      <c r="V168" s="3450"/>
      <c r="W168" s="3450">
        <v>5</v>
      </c>
      <c r="X168" s="3450" t="str">
        <f ca="1">IF(VLOOKUP(OFFSET($A$25,Z168,0),'Summary Data'!$C:$AV,45,0)&gt;0,"UV ink",Y168)</f>
        <v>Special Ink</v>
      </c>
      <c r="Y168" s="136" t="s">
        <v>1105</v>
      </c>
      <c r="Z168" s="136">
        <f t="shared" si="175"/>
        <v>136</v>
      </c>
      <c r="AJ168" s="320"/>
      <c r="AM168" s="320"/>
    </row>
    <row r="169" spans="1:51" ht="18" hidden="1" customHeight="1" outlineLevel="1">
      <c r="A169" s="3452" t="str">
        <f t="shared" ca="1" si="168"/>
        <v>None</v>
      </c>
      <c r="B169" s="3453">
        <f t="shared" ca="1" si="169"/>
        <v>0</v>
      </c>
      <c r="C169" s="1768"/>
      <c r="E169" s="146" t="s">
        <v>2055</v>
      </c>
      <c r="F169" s="919" t="str">
        <f>A161</f>
        <v>N</v>
      </c>
      <c r="G169" s="320"/>
      <c r="H169" s="320"/>
      <c r="I169" s="320"/>
      <c r="J169" s="2474" t="str">
        <f>Data!$P$817</f>
        <v>LDPE HANWHA 955</v>
      </c>
      <c r="K169" s="2474" t="s">
        <v>106</v>
      </c>
      <c r="L169" s="2475"/>
      <c r="M169" s="1000"/>
      <c r="Q169" s="3450">
        <f t="shared" ca="1" si="170"/>
        <v>2</v>
      </c>
      <c r="R169" s="3451">
        <f t="shared" si="174"/>
        <v>7</v>
      </c>
      <c r="S169" s="3450" t="str">
        <f t="shared" si="173"/>
        <v>MẶT SAU</v>
      </c>
      <c r="T169" s="3450">
        <f t="shared" si="171"/>
        <v>7</v>
      </c>
      <c r="U169" s="3450" t="str">
        <f t="shared" ca="1" si="172"/>
        <v/>
      </c>
      <c r="V169" s="3450"/>
      <c r="W169" s="3450">
        <f>W168+1</f>
        <v>6</v>
      </c>
      <c r="X169" s="3450" t="str">
        <f ca="1">IF(VLOOKUP(OFFSET($A$25,Z169,0),'Summary Data'!$C:$AV,45,0)&gt;0,"UV ink",Y169)</f>
        <v>Special Ink</v>
      </c>
      <c r="Y169" s="136" t="s">
        <v>1105</v>
      </c>
      <c r="Z169" s="136">
        <f t="shared" si="175"/>
        <v>136</v>
      </c>
      <c r="AJ169" s="320"/>
      <c r="AM169" s="320"/>
    </row>
    <row r="170" spans="1:51" ht="18" hidden="1" customHeight="1" outlineLevel="1">
      <c r="A170" s="3452" t="str">
        <f t="shared" ca="1" si="168"/>
        <v>None</v>
      </c>
      <c r="B170" s="3453">
        <f t="shared" ca="1" si="169"/>
        <v>0</v>
      </c>
      <c r="C170" s="1768"/>
      <c r="E170" s="320"/>
      <c r="F170" s="320"/>
      <c r="G170" s="320"/>
      <c r="H170" s="320"/>
      <c r="I170" s="320"/>
      <c r="K170" s="950" t="s">
        <v>2343</v>
      </c>
      <c r="L170" s="833"/>
      <c r="M170" s="1000"/>
      <c r="Q170" s="3450">
        <f t="shared" ca="1" si="170"/>
        <v>2</v>
      </c>
      <c r="R170" s="3451">
        <f t="shared" si="174"/>
        <v>8</v>
      </c>
      <c r="S170" s="3450" t="str">
        <f t="shared" si="173"/>
        <v>MẶT SAU</v>
      </c>
      <c r="T170" s="3450">
        <f t="shared" si="171"/>
        <v>8</v>
      </c>
      <c r="U170" s="3450" t="str">
        <f t="shared" ca="1" si="172"/>
        <v/>
      </c>
      <c r="V170" s="3450"/>
      <c r="W170" s="3450">
        <f>W169+1</f>
        <v>7</v>
      </c>
      <c r="X170" s="3450" t="str">
        <f ca="1">IF(VLOOKUP(OFFSET($A$25,Z170,0),'Summary Data'!$C:$AV,45,0)&gt;0,"UV ink",Y170)</f>
        <v>Special Ink</v>
      </c>
      <c r="Y170" s="136" t="s">
        <v>1105</v>
      </c>
      <c r="Z170" s="136">
        <f t="shared" si="175"/>
        <v>136</v>
      </c>
      <c r="AJ170" s="320"/>
      <c r="AM170" s="320"/>
    </row>
    <row r="171" spans="1:51" ht="18" hidden="1" customHeight="1" outlineLevel="1">
      <c r="A171" s="3452" t="str">
        <f t="shared" ca="1" si="168"/>
        <v>None</v>
      </c>
      <c r="B171" s="3453">
        <f t="shared" ca="1" si="169"/>
        <v>0</v>
      </c>
      <c r="C171" s="1768"/>
      <c r="E171" s="320"/>
      <c r="F171" s="320"/>
      <c r="G171" s="320"/>
      <c r="H171" s="320"/>
      <c r="I171" s="320"/>
      <c r="J171" s="1579"/>
      <c r="K171" s="950" t="s">
        <v>2393</v>
      </c>
      <c r="L171" s="833"/>
      <c r="M171" s="1000"/>
      <c r="Q171" s="3450">
        <f t="shared" ca="1" si="170"/>
        <v>2</v>
      </c>
      <c r="R171" s="3451">
        <f t="shared" si="174"/>
        <v>9</v>
      </c>
      <c r="S171" s="3450" t="str">
        <f t="shared" si="173"/>
        <v>MẶT SAU</v>
      </c>
      <c r="T171" s="3450">
        <f t="shared" si="171"/>
        <v>9</v>
      </c>
      <c r="U171" s="3450" t="str">
        <f t="shared" ca="1" si="172"/>
        <v/>
      </c>
      <c r="V171" s="3450"/>
      <c r="W171" s="3450">
        <f>W170+1</f>
        <v>8</v>
      </c>
      <c r="X171" s="3450" t="str">
        <f ca="1">IF(VLOOKUP(OFFSET($A$25,Z171,0),'Summary Data'!$C:$AV,45,0)&gt;0,"UV ink",Y171)</f>
        <v>Special Ink</v>
      </c>
      <c r="Y171" s="136" t="s">
        <v>1105</v>
      </c>
      <c r="Z171" s="136">
        <f t="shared" si="175"/>
        <v>136</v>
      </c>
      <c r="AJ171" s="320"/>
      <c r="AM171" s="320"/>
    </row>
    <row r="172" spans="1:51" ht="18" hidden="1" customHeight="1" outlineLevel="1">
      <c r="A172" s="3452" t="str">
        <f t="shared" ca="1" si="168"/>
        <v>None</v>
      </c>
      <c r="B172" s="3453">
        <f t="shared" ca="1" si="169"/>
        <v>0</v>
      </c>
      <c r="C172" s="1768"/>
      <c r="E172" s="320"/>
      <c r="F172" s="320"/>
      <c r="G172" s="320"/>
      <c r="H172" s="320"/>
      <c r="I172" s="320"/>
      <c r="J172" s="1579"/>
      <c r="K172" s="991"/>
      <c r="L172" s="833"/>
      <c r="M172" s="1000"/>
      <c r="Q172" s="3450">
        <f t="shared" ca="1" si="170"/>
        <v>2</v>
      </c>
      <c r="R172" s="3451">
        <f t="shared" si="174"/>
        <v>10</v>
      </c>
      <c r="S172" s="3450" t="str">
        <f t="shared" si="173"/>
        <v>MẶT SAU</v>
      </c>
      <c r="T172" s="3450">
        <f t="shared" si="171"/>
        <v>10</v>
      </c>
      <c r="U172" s="3450" t="str">
        <f t="shared" ca="1" si="172"/>
        <v/>
      </c>
      <c r="V172" s="3450"/>
      <c r="W172" s="3450">
        <f>W171+1</f>
        <v>9</v>
      </c>
      <c r="X172" s="3450" t="str">
        <f ca="1">IF(VLOOKUP(OFFSET($A$25,Z172,0),'Summary Data'!$C:$AV,45,0)&gt;0,"UV ink",Y172)</f>
        <v>Special Ink</v>
      </c>
      <c r="Y172" s="136" t="s">
        <v>1105</v>
      </c>
      <c r="Z172" s="136">
        <f t="shared" si="175"/>
        <v>136</v>
      </c>
      <c r="AJ172" s="320"/>
      <c r="AM172" s="320"/>
    </row>
    <row r="173" spans="1:51" ht="18" hidden="1" customHeight="1" outlineLevel="1">
      <c r="A173" s="3452" t="str">
        <f t="shared" ca="1" si="168"/>
        <v>None</v>
      </c>
      <c r="B173" s="3453">
        <f t="shared" ca="1" si="169"/>
        <v>0</v>
      </c>
      <c r="C173" s="1768"/>
      <c r="E173" s="320"/>
      <c r="F173" s="320"/>
      <c r="G173" s="320"/>
      <c r="H173" s="320"/>
      <c r="I173" s="320"/>
      <c r="J173" s="1579"/>
      <c r="K173" s="991"/>
      <c r="L173" s="833"/>
      <c r="M173" s="1000"/>
      <c r="Q173" s="3450">
        <f t="shared" ca="1" si="170"/>
        <v>2</v>
      </c>
      <c r="R173" s="3451">
        <f t="shared" si="174"/>
        <v>11</v>
      </c>
      <c r="S173" s="3450" t="str">
        <f t="shared" si="173"/>
        <v>MẶT SAU</v>
      </c>
      <c r="T173" s="3450">
        <f t="shared" si="171"/>
        <v>11</v>
      </c>
      <c r="U173" s="3450" t="str">
        <f t="shared" ca="1" si="172"/>
        <v/>
      </c>
      <c r="V173" s="3450"/>
      <c r="W173" s="3450"/>
      <c r="X173" s="3450">
        <f ca="1">IF(VLOOKUP(OFFSET($A$25,Z173,0),'Summary Data'!$C:$AV,45,0)&gt;0,"UV ink",Y173)</f>
        <v>0</v>
      </c>
      <c r="Z173" s="136">
        <f t="shared" si="175"/>
        <v>136</v>
      </c>
      <c r="AJ173" s="320"/>
      <c r="AM173" s="320"/>
    </row>
    <row r="174" spans="1:51" ht="18" hidden="1" customHeight="1" outlineLevel="1">
      <c r="A174" s="3452" t="str">
        <f t="shared" ca="1" si="168"/>
        <v>None</v>
      </c>
      <c r="B174" s="3453">
        <f t="shared" ca="1" si="169"/>
        <v>0</v>
      </c>
      <c r="C174" s="1768"/>
      <c r="E174" s="320"/>
      <c r="F174" s="320"/>
      <c r="G174" s="320"/>
      <c r="H174" s="320"/>
      <c r="I174" s="320"/>
      <c r="J174" s="1579"/>
      <c r="K174" s="991"/>
      <c r="L174" s="833"/>
      <c r="M174" s="1000"/>
      <c r="Q174" s="3450">
        <f t="shared" ca="1" si="170"/>
        <v>2</v>
      </c>
      <c r="R174" s="3451">
        <f t="shared" si="174"/>
        <v>12</v>
      </c>
      <c r="S174" s="3450" t="str">
        <f t="shared" si="173"/>
        <v>MẶT SAU</v>
      </c>
      <c r="T174" s="3450">
        <f t="shared" si="171"/>
        <v>12</v>
      </c>
      <c r="U174" s="3450" t="str">
        <f t="shared" ca="1" si="172"/>
        <v/>
      </c>
      <c r="V174" s="3450"/>
      <c r="W174" s="3450"/>
      <c r="X174" s="3450">
        <f ca="1">IF(VLOOKUP(OFFSET($A$25,Z174,0),'Summary Data'!$C:$AV,45,0)&gt;0,"UV ink",Y174)</f>
        <v>0</v>
      </c>
      <c r="Z174" s="136">
        <f t="shared" si="175"/>
        <v>136</v>
      </c>
      <c r="AJ174" s="320"/>
      <c r="AM174" s="320"/>
    </row>
    <row r="175" spans="1:51" ht="18" hidden="1" customHeight="1" outlineLevel="1">
      <c r="A175" s="3452" t="str">
        <f t="shared" ca="1" si="168"/>
        <v>None</v>
      </c>
      <c r="B175" s="3453">
        <f t="shared" ca="1" si="169"/>
        <v>0</v>
      </c>
      <c r="C175" s="1768"/>
      <c r="E175" s="320"/>
      <c r="F175" s="320"/>
      <c r="G175" s="320"/>
      <c r="H175" s="320"/>
      <c r="I175" s="320"/>
      <c r="J175" s="1579"/>
      <c r="K175" s="991"/>
      <c r="L175" s="833"/>
      <c r="M175" s="1000"/>
      <c r="Q175" s="3450">
        <f t="shared" ca="1" si="170"/>
        <v>2</v>
      </c>
      <c r="R175" s="3451">
        <f t="shared" si="174"/>
        <v>13</v>
      </c>
      <c r="S175" s="3450" t="str">
        <f t="shared" si="173"/>
        <v>MẶT SAU</v>
      </c>
      <c r="T175" s="3450">
        <f t="shared" si="171"/>
        <v>13</v>
      </c>
      <c r="U175" s="3450" t="str">
        <f t="shared" ca="1" si="172"/>
        <v/>
      </c>
      <c r="V175" s="3450"/>
      <c r="W175" s="3450"/>
      <c r="X175" s="3450">
        <f ca="1">IF(VLOOKUP(OFFSET($A$25,Z175,0),'Summary Data'!$C:$AV,45,0)&gt;0,"UV ink",Y175)</f>
        <v>0</v>
      </c>
      <c r="Z175" s="136">
        <f t="shared" si="175"/>
        <v>136</v>
      </c>
      <c r="AJ175" s="320"/>
      <c r="AM175" s="320"/>
    </row>
    <row r="176" spans="1:51" ht="18" hidden="1" customHeight="1" outlineLevel="1">
      <c r="A176" s="3452" t="str">
        <f t="shared" ca="1" si="168"/>
        <v>None</v>
      </c>
      <c r="B176" s="3454">
        <f t="shared" ca="1" si="169"/>
        <v>0</v>
      </c>
      <c r="C176" s="1772"/>
      <c r="E176" s="320"/>
      <c r="F176" s="320"/>
      <c r="G176" s="320"/>
      <c r="H176" s="320"/>
      <c r="I176" s="3455" t="s">
        <v>3625</v>
      </c>
      <c r="J176" s="3570" t="str">
        <f>VLOOKUP(J180,Data!$AA$943:$AB$959,2,0)</f>
        <v>Non Metalize</v>
      </c>
      <c r="K176" s="991"/>
      <c r="L176" s="833"/>
      <c r="M176" s="1000"/>
      <c r="Q176" s="3450">
        <f t="shared" ca="1" si="170"/>
        <v>2</v>
      </c>
      <c r="R176" s="3451">
        <f t="shared" si="174"/>
        <v>14</v>
      </c>
      <c r="S176" s="3450" t="str">
        <f t="shared" si="173"/>
        <v>MẶT SAU</v>
      </c>
      <c r="T176" s="3450">
        <f t="shared" si="171"/>
        <v>14</v>
      </c>
      <c r="U176" s="3450" t="str">
        <f t="shared" ca="1" si="172"/>
        <v/>
      </c>
      <c r="V176" s="3450"/>
      <c r="W176" s="3450"/>
      <c r="X176" s="3450">
        <f ca="1">IF(VLOOKUP(OFFSET($A$25,Z176,0),'Summary Data'!$C:$AV,45,0)&gt;0,"UV ink",Y176)</f>
        <v>0</v>
      </c>
      <c r="Z176" s="136">
        <f t="shared" si="175"/>
        <v>136</v>
      </c>
      <c r="AJ176" s="320"/>
      <c r="AM176" s="320"/>
      <c r="AU176" s="136">
        <f>AU159+9</f>
        <v>54</v>
      </c>
    </row>
    <row r="177" spans="1:51" ht="18" hidden="1" customHeight="1" outlineLevel="1">
      <c r="A177" s="919"/>
      <c r="B177" s="919"/>
      <c r="C177" s="320"/>
      <c r="D177" s="320"/>
      <c r="E177" s="320"/>
      <c r="F177" s="320"/>
      <c r="G177" s="320"/>
      <c r="H177" s="320"/>
      <c r="I177" s="320"/>
      <c r="J177" s="1579"/>
      <c r="K177" s="991"/>
      <c r="L177" s="833"/>
      <c r="M177" s="1000"/>
      <c r="AJ177" s="320"/>
      <c r="AM177" s="320"/>
      <c r="AS177" s="3457" t="s">
        <v>2055</v>
      </c>
      <c r="AT177" s="3457" t="s">
        <v>3559</v>
      </c>
      <c r="AU177" s="3457" t="s">
        <v>3560</v>
      </c>
      <c r="AV177" s="3457" t="s">
        <v>3561</v>
      </c>
      <c r="AW177" s="3457"/>
    </row>
    <row r="178" spans="1:51" ht="18" hidden="1" customHeight="1" outlineLevel="1">
      <c r="A178" s="1761" t="str">
        <f>IFERROR(INDEX('Summary Data'!B:B,MATCH(10,'Summary Data'!GS:GS,0),1),"N")</f>
        <v>N</v>
      </c>
      <c r="B178" s="1762"/>
      <c r="C178" s="1614" t="s">
        <v>1393</v>
      </c>
      <c r="D178" s="1614"/>
      <c r="E178" s="1614" t="s">
        <v>649</v>
      </c>
      <c r="F178" s="1614"/>
      <c r="G178" s="1614"/>
      <c r="H178" s="1614">
        <v>0</v>
      </c>
      <c r="I178" s="1614">
        <f>VALUE(LEFT(I176,1)+RIGHT(I176,1))</f>
        <v>0</v>
      </c>
      <c r="J178" s="1763"/>
      <c r="K178" s="1764"/>
      <c r="L178" s="3448" t="e">
        <f ca="1">VLOOKUP(E178&amp;J176,AS179:AW184,4,0)</f>
        <v>#N/A</v>
      </c>
      <c r="M178" s="3449">
        <f>VLOOKUP(E178&amp;J176,AS179:AW184,5,0)</f>
        <v>3</v>
      </c>
      <c r="N178" s="1771"/>
      <c r="O178" s="2150" t="s">
        <v>106</v>
      </c>
      <c r="P178" s="2150" t="s">
        <v>2040</v>
      </c>
      <c r="AJ178" s="320"/>
      <c r="AM178" s="320"/>
      <c r="AS178" s="3459"/>
      <c r="AT178" s="3450" t="e">
        <f ca="1">MATCH(C178&amp;"lấy",OFFSET($BT:$BT,0,AU176),0)</f>
        <v>#N/A</v>
      </c>
      <c r="AU178" s="3450" t="e">
        <f ca="1">MATCH(C178&amp;"lấy",OFFSET($BS:$BS,0,AU176),0)</f>
        <v>#N/A</v>
      </c>
      <c r="AV178" s="3450" t="e">
        <f ca="1">IFERROR(INDEX(AO:AO,AT178,1),INDEX(AN:AN,AU178,1))</f>
        <v>#N/A</v>
      </c>
      <c r="AW178" s="3450"/>
    </row>
    <row r="179" spans="1:51" ht="18" hidden="1" customHeight="1" outlineLevel="1">
      <c r="A179" s="1766" t="s">
        <v>213</v>
      </c>
      <c r="B179" s="1767" t="s">
        <v>1469</v>
      </c>
      <c r="C179" s="1767" t="s">
        <v>445</v>
      </c>
      <c r="D179" s="3104">
        <v>2.2000000000000002</v>
      </c>
      <c r="E179" s="1766" t="s">
        <v>1610</v>
      </c>
      <c r="F179" s="1767" t="s">
        <v>1470</v>
      </c>
      <c r="G179" s="1767" t="s">
        <v>1469</v>
      </c>
      <c r="H179" s="1767" t="s">
        <v>445</v>
      </c>
      <c r="I179" s="319"/>
      <c r="J179" s="1766" t="s">
        <v>495</v>
      </c>
      <c r="K179" s="1767" t="s">
        <v>183</v>
      </c>
      <c r="L179" s="1769" t="s">
        <v>1471</v>
      </c>
      <c r="M179" s="1766" t="s">
        <v>215</v>
      </c>
      <c r="N179" s="1767" t="s">
        <v>1469</v>
      </c>
      <c r="O179" s="1767" t="s">
        <v>1473</v>
      </c>
      <c r="Q179" s="3450" t="s">
        <v>3568</v>
      </c>
      <c r="R179" s="3450" t="s">
        <v>3569</v>
      </c>
      <c r="S179" s="3450" t="s">
        <v>3570</v>
      </c>
      <c r="T179" s="3450" t="s">
        <v>3571</v>
      </c>
      <c r="U179" s="3450" t="s">
        <v>3572</v>
      </c>
      <c r="V179" s="3450"/>
      <c r="W179" s="3450" t="s">
        <v>3574</v>
      </c>
      <c r="X179" s="3450"/>
      <c r="AJ179" s="320"/>
      <c r="AM179" s="320"/>
      <c r="AS179" s="3459" t="str">
        <f t="shared" ref="AS179:AS184" si="176">AT179&amp;AU179</f>
        <v>importNon Metalize</v>
      </c>
      <c r="AT179" s="3450" t="s">
        <v>3562</v>
      </c>
      <c r="AU179" s="3450" t="s">
        <v>800</v>
      </c>
      <c r="AV179" s="3450" t="e">
        <f ca="1">IF(E178="local",AV178,CEILING(J178+3,5))</f>
        <v>#N/A</v>
      </c>
      <c r="AW179" s="3458">
        <f>K178+3</f>
        <v>3</v>
      </c>
      <c r="AX179" s="3477"/>
      <c r="AY179" s="3476"/>
    </row>
    <row r="180" spans="1:51" ht="18" hidden="1" customHeight="1" outlineLevel="1">
      <c r="A180" s="3452" t="str">
        <f t="shared" ref="A180:A193" ca="1" si="177">IF($Q180=1,VLOOKUP($T180,OFFSET($W$27,Z180,0,15,2),2,0),"None")</f>
        <v>None</v>
      </c>
      <c r="B180" s="3453">
        <f t="shared" ref="B180:B193" ca="1" si="178">IF($Q180=1,IF($U180="mặt trước",ROUNDUP(OFFSET($J$25,Z180,0)*OFFSET($K$25,Z180,0)*OFFSET($D$26,Z180,0)/10^9*10000/VALUE(LEFT(OFFSET($I$23,Z180,0),1)),2),ROUNDUP(OFFSET($J$25,Z180,0)*OFFSET($K$25,Z180,0)*OFFSET($D$27,Z180,0)/10^9*10000/VALUE(RIGHT(OFFSET($I$23,Z180,0),1)),2)),0)</f>
        <v>0</v>
      </c>
      <c r="C180" s="1768"/>
      <c r="D180" s="3104">
        <v>2.1</v>
      </c>
      <c r="E180" s="1705" t="s">
        <v>127</v>
      </c>
      <c r="F180" s="1705" t="s">
        <v>1112</v>
      </c>
      <c r="G180" s="1768"/>
      <c r="H180" s="1768"/>
      <c r="J180" s="1705" t="s">
        <v>127</v>
      </c>
      <c r="K180" s="3571">
        <f>IF(VLOOKUP(J180,Data!$AN$943:$AO$959,2,0)="No",CEILING(K182+3,50),HLOOKUP(J180,Data!$AJ$943:$AL$2000,K183,0))</f>
        <v>50</v>
      </c>
      <c r="L180" s="1770" t="s">
        <v>1472</v>
      </c>
      <c r="M180" s="1705" t="s">
        <v>127</v>
      </c>
      <c r="N180" s="1768"/>
      <c r="O180" s="1705" t="s">
        <v>1259</v>
      </c>
      <c r="Q180" s="3450">
        <f t="shared" ref="Q180:Q193" ca="1" si="179">IFERROR(FIND("M",U180),2)</f>
        <v>2</v>
      </c>
      <c r="R180" s="3451">
        <v>1</v>
      </c>
      <c r="S180" s="3450" t="str">
        <f>IF(R180&lt;=VALUE(LEFT($I$176,1)),"MẶT TRƯỚC","MẶT SAU")</f>
        <v>MẶT SAU</v>
      </c>
      <c r="T180" s="3450">
        <f t="shared" ref="T180:T193" si="180">IF(S180="MẶT TRƯỚC",R180,IF(S179="mặt sau",T179+1,1))</f>
        <v>1</v>
      </c>
      <c r="U180" s="3450" t="str">
        <f t="shared" ref="U180:U193" ca="1" si="181">IF(S180="MẶT SAU",IF(T180&lt;=VALUE(RIGHT(OFFSET($I$23,Z180,0),1)),"MẶT SAU",""),S180)</f>
        <v/>
      </c>
      <c r="V180" s="3450"/>
      <c r="W180" s="3450">
        <v>1</v>
      </c>
      <c r="X180" s="3450" t="str">
        <f ca="1">IF(VLOOKUP(OFFSET($A$25,Z180,0),'Summary Data'!$C:$AV,45,0)&gt;0,"UV ink",Y180)</f>
        <v>Cyan (60-124773-7.1200 Nutri-2 Proc Cyan ISO 2846-1)</v>
      </c>
      <c r="Y180" s="136" t="s">
        <v>3356</v>
      </c>
      <c r="Z180" s="136">
        <f>Z163+17</f>
        <v>153</v>
      </c>
      <c r="AJ180" s="320"/>
      <c r="AM180" s="320"/>
      <c r="AS180" s="3459" t="str">
        <f t="shared" si="176"/>
        <v>importMetalize</v>
      </c>
      <c r="AT180" s="3450" t="s">
        <v>3562</v>
      </c>
      <c r="AU180" s="3450" t="s">
        <v>230</v>
      </c>
      <c r="AV180" s="3450" t="e">
        <f ca="1">IF(AX180="cộng 3",AV179,CEILING(J178+6,5))</f>
        <v>#N/A</v>
      </c>
      <c r="AW180" s="3450" t="e">
        <f ca="1">IF(AY180="cộng 6",AW179+3,AW179)</f>
        <v>#N/A</v>
      </c>
      <c r="AX180" s="3477" t="e">
        <f ca="1">IF(AV179&lt;AW179,"cộng 3","cộng 6")</f>
        <v>#N/A</v>
      </c>
      <c r="AY180" s="3476" t="e">
        <f ca="1">IF(AX180="cộng 3","cộng 6","cộng 3")</f>
        <v>#N/A</v>
      </c>
    </row>
    <row r="181" spans="1:51" ht="18" hidden="1" customHeight="1" outlineLevel="1">
      <c r="A181" s="3452" t="str">
        <f t="shared" ca="1" si="177"/>
        <v>None</v>
      </c>
      <c r="B181" s="3453">
        <f t="shared" ca="1" si="178"/>
        <v>0</v>
      </c>
      <c r="C181" s="1768"/>
      <c r="E181" s="1705" t="s">
        <v>127</v>
      </c>
      <c r="F181" s="1705" t="s">
        <v>1112</v>
      </c>
      <c r="G181" s="1768"/>
      <c r="H181" s="1768"/>
      <c r="J181" s="1705" t="s">
        <v>127</v>
      </c>
      <c r="K181" s="1705"/>
      <c r="L181" s="1770" t="s">
        <v>1472</v>
      </c>
      <c r="M181" s="1705" t="s">
        <v>127</v>
      </c>
      <c r="N181" s="1768"/>
      <c r="O181" s="1705" t="s">
        <v>1259</v>
      </c>
      <c r="Q181" s="3450">
        <f t="shared" ca="1" si="179"/>
        <v>2</v>
      </c>
      <c r="R181" s="3451">
        <f>R180+1</f>
        <v>2</v>
      </c>
      <c r="S181" s="3450" t="str">
        <f t="shared" ref="S181:S193" si="182">IF(R181&lt;=VALUE(LEFT($I$176,1)),"MẶT TRƯỚC","MẶT SAU")</f>
        <v>MẶT SAU</v>
      </c>
      <c r="T181" s="3450">
        <f t="shared" si="180"/>
        <v>2</v>
      </c>
      <c r="U181" s="3450" t="str">
        <f t="shared" ca="1" si="181"/>
        <v/>
      </c>
      <c r="V181" s="3450"/>
      <c r="W181" s="3450">
        <v>2</v>
      </c>
      <c r="X181" s="3450" t="str">
        <f ca="1">IF(VLOOKUP(OFFSET($A$25,Z181,0),'Summary Data'!$C:$AV,45,0)&gt;0,"UV ink",Y181)</f>
        <v>Magenta (61-804489-5.1290 Tempo Mix Magenta A)</v>
      </c>
      <c r="Y181" s="136" t="s">
        <v>3357</v>
      </c>
      <c r="Z181" s="136">
        <f>Z180</f>
        <v>153</v>
      </c>
      <c r="AJ181" s="320"/>
      <c r="AM181" s="320"/>
      <c r="AS181" s="3459" t="str">
        <f t="shared" si="176"/>
        <v>importRigid box</v>
      </c>
      <c r="AT181" s="3450" t="s">
        <v>3562</v>
      </c>
      <c r="AU181" s="3450" t="s">
        <v>3214</v>
      </c>
      <c r="AV181" s="3450" t="e">
        <f ca="1">AV179</f>
        <v>#N/A</v>
      </c>
      <c r="AW181" s="3450">
        <f>AW179</f>
        <v>3</v>
      </c>
    </row>
    <row r="182" spans="1:51" ht="18" hidden="1" customHeight="1" outlineLevel="1">
      <c r="A182" s="3452" t="str">
        <f t="shared" ca="1" si="177"/>
        <v>None</v>
      </c>
      <c r="B182" s="3453">
        <f t="shared" ca="1" si="178"/>
        <v>0</v>
      </c>
      <c r="C182" s="1768"/>
      <c r="E182" s="1705" t="s">
        <v>127</v>
      </c>
      <c r="F182" s="1705" t="s">
        <v>1112</v>
      </c>
      <c r="G182" s="1768"/>
      <c r="H182" s="1768"/>
      <c r="J182" s="314" t="s">
        <v>3471</v>
      </c>
      <c r="K182" s="3385"/>
      <c r="L182" s="991"/>
      <c r="M182" s="1705" t="s">
        <v>127</v>
      </c>
      <c r="N182" s="1768"/>
      <c r="O182" s="1705" t="s">
        <v>1259</v>
      </c>
      <c r="Q182" s="3450">
        <f t="shared" ca="1" si="179"/>
        <v>2</v>
      </c>
      <c r="R182" s="3451">
        <f t="shared" ref="R182:R193" si="183">R181+1</f>
        <v>3</v>
      </c>
      <c r="S182" s="3450" t="str">
        <f t="shared" si="182"/>
        <v>MẶT SAU</v>
      </c>
      <c r="T182" s="3450">
        <f t="shared" si="180"/>
        <v>3</v>
      </c>
      <c r="U182" s="3450" t="str">
        <f t="shared" ca="1" si="181"/>
        <v/>
      </c>
      <c r="V182" s="3450"/>
      <c r="W182" s="3450">
        <v>3</v>
      </c>
      <c r="X182" s="3450" t="str">
        <f ca="1">IF(VLOOKUP(OFFSET($A$25,Z182,0),'Summary Data'!$C:$AV,45,0)&gt;0,"UV ink",Y182)</f>
        <v>Yellow (61-312039-3.1290 Tempo Mix Yellow 4220)</v>
      </c>
      <c r="Y182" s="136" t="s">
        <v>3358</v>
      </c>
      <c r="Z182" s="136">
        <f t="shared" ref="Z182:Z193" si="184">Z181</f>
        <v>153</v>
      </c>
      <c r="AJ182" s="320"/>
      <c r="AM182" s="320"/>
      <c r="AS182" s="3459" t="str">
        <f t="shared" si="176"/>
        <v>localNon Metalize</v>
      </c>
      <c r="AT182" s="3450" t="s">
        <v>3563</v>
      </c>
      <c r="AU182" s="3450" t="s">
        <v>800</v>
      </c>
      <c r="AV182" s="3450" t="e">
        <f ca="1">AV178</f>
        <v>#N/A</v>
      </c>
      <c r="AW182" s="3458">
        <f>AW179</f>
        <v>3</v>
      </c>
    </row>
    <row r="183" spans="1:51" ht="18" hidden="1" customHeight="1" outlineLevel="1">
      <c r="A183" s="3452" t="str">
        <f t="shared" ca="1" si="177"/>
        <v>None</v>
      </c>
      <c r="B183" s="3453">
        <f t="shared" ca="1" si="178"/>
        <v>0</v>
      </c>
      <c r="C183" s="1768"/>
      <c r="E183" s="1705" t="s">
        <v>127</v>
      </c>
      <c r="F183" s="1705" t="s">
        <v>1112</v>
      </c>
      <c r="G183" s="1768"/>
      <c r="H183" s="1768"/>
      <c r="K183" s="3568">
        <f>K166+2</f>
        <v>20</v>
      </c>
      <c r="L183" s="991"/>
      <c r="M183" s="1705" t="s">
        <v>127</v>
      </c>
      <c r="N183" s="1768"/>
      <c r="O183" s="1705" t="s">
        <v>1259</v>
      </c>
      <c r="Q183" s="3450">
        <f t="shared" ca="1" si="179"/>
        <v>2</v>
      </c>
      <c r="R183" s="3451">
        <f t="shared" si="183"/>
        <v>4</v>
      </c>
      <c r="S183" s="3450" t="str">
        <f t="shared" si="182"/>
        <v>MẶT SAU</v>
      </c>
      <c r="T183" s="3450">
        <f t="shared" si="180"/>
        <v>4</v>
      </c>
      <c r="U183" s="3450" t="str">
        <f t="shared" ca="1" si="181"/>
        <v/>
      </c>
      <c r="V183" s="3450"/>
      <c r="W183" s="3450">
        <v>4</v>
      </c>
      <c r="X183" s="3450" t="str">
        <f ca="1">IF(VLOOKUP(OFFSET($A$25,Z183,0),'Summary Data'!$C:$AV,45,0)&gt;0,"UV ink",Y183)</f>
        <v>Black (60-914386-2.1200 Nutri-2 Proc Black ISO 2846-1)</v>
      </c>
      <c r="Y183" s="136" t="s">
        <v>3359</v>
      </c>
      <c r="Z183" s="136">
        <f t="shared" si="184"/>
        <v>153</v>
      </c>
      <c r="AJ183" s="320"/>
      <c r="AM183" s="320"/>
      <c r="AS183" s="3459" t="str">
        <f t="shared" si="176"/>
        <v>localMetalize</v>
      </c>
      <c r="AT183" s="3450" t="s">
        <v>3563</v>
      </c>
      <c r="AU183" s="3450" t="s">
        <v>230</v>
      </c>
      <c r="AV183" s="3450" t="e">
        <f ca="1">AV178</f>
        <v>#N/A</v>
      </c>
      <c r="AW183" s="3450" t="e">
        <f ca="1">IF(AY180="cộng 6",AW179+3,AW179)</f>
        <v>#N/A</v>
      </c>
    </row>
    <row r="184" spans="1:51" ht="18" hidden="1" customHeight="1" outlineLevel="1">
      <c r="A184" s="3452" t="str">
        <f t="shared" ca="1" si="177"/>
        <v>None</v>
      </c>
      <c r="B184" s="3453">
        <f t="shared" ca="1" si="178"/>
        <v>0</v>
      </c>
      <c r="C184" s="1768"/>
      <c r="E184" s="1705" t="s">
        <v>127</v>
      </c>
      <c r="F184" s="1705" t="s">
        <v>1112</v>
      </c>
      <c r="G184" s="1768"/>
      <c r="H184" s="1768"/>
      <c r="J184" s="320"/>
      <c r="K184" s="1579"/>
      <c r="L184" s="991"/>
      <c r="M184" s="1705" t="s">
        <v>127</v>
      </c>
      <c r="N184" s="1768"/>
      <c r="O184" s="1705" t="s">
        <v>1259</v>
      </c>
      <c r="Q184" s="3450">
        <f t="shared" ca="1" si="179"/>
        <v>2</v>
      </c>
      <c r="R184" s="3451">
        <f t="shared" si="183"/>
        <v>5</v>
      </c>
      <c r="S184" s="3450" t="str">
        <f t="shared" si="182"/>
        <v>MẶT SAU</v>
      </c>
      <c r="T184" s="3450">
        <f t="shared" si="180"/>
        <v>5</v>
      </c>
      <c r="U184" s="3450" t="str">
        <f t="shared" ca="1" si="181"/>
        <v/>
      </c>
      <c r="V184" s="3450"/>
      <c r="W184" s="3450"/>
      <c r="X184" s="3450">
        <f ca="1">IF(VLOOKUP(OFFSET($A$25,Z184,0),'Summary Data'!$C:$AV,45,0)&gt;0,"UV ink",Y184)</f>
        <v>0</v>
      </c>
      <c r="Z184" s="136">
        <f t="shared" si="184"/>
        <v>153</v>
      </c>
      <c r="AJ184" s="320"/>
      <c r="AM184" s="320"/>
      <c r="AS184" s="3459" t="str">
        <f t="shared" si="176"/>
        <v>localRigid box</v>
      </c>
      <c r="AT184" s="3450" t="s">
        <v>3563</v>
      </c>
      <c r="AU184" s="3450" t="s">
        <v>3214</v>
      </c>
      <c r="AV184" s="3450" t="e">
        <f ca="1">AV182</f>
        <v>#N/A</v>
      </c>
      <c r="AW184" s="3458">
        <f>AW182</f>
        <v>3</v>
      </c>
    </row>
    <row r="185" spans="1:51" ht="18" hidden="1" customHeight="1" outlineLevel="1">
      <c r="A185" s="3452" t="str">
        <f t="shared" ca="1" si="177"/>
        <v>None</v>
      </c>
      <c r="B185" s="3453">
        <f t="shared" ca="1" si="178"/>
        <v>0</v>
      </c>
      <c r="C185" s="1768"/>
      <c r="E185" s="320"/>
      <c r="F185" s="320"/>
      <c r="G185" s="320"/>
      <c r="H185" s="320"/>
      <c r="J185" s="2472" t="s">
        <v>2341</v>
      </c>
      <c r="K185" s="2473" t="s">
        <v>1417</v>
      </c>
      <c r="L185" s="2473" t="s">
        <v>2342</v>
      </c>
      <c r="Q185" s="3450">
        <f t="shared" ca="1" si="179"/>
        <v>2</v>
      </c>
      <c r="R185" s="3451">
        <f t="shared" si="183"/>
        <v>6</v>
      </c>
      <c r="S185" s="3450" t="str">
        <f t="shared" si="182"/>
        <v>MẶT SAU</v>
      </c>
      <c r="T185" s="3450">
        <f t="shared" si="180"/>
        <v>6</v>
      </c>
      <c r="U185" s="3450" t="str">
        <f t="shared" ca="1" si="181"/>
        <v/>
      </c>
      <c r="V185" s="3450"/>
      <c r="W185" s="3450">
        <v>5</v>
      </c>
      <c r="X185" s="3450" t="str">
        <f ca="1">IF(VLOOKUP(OFFSET($A$25,Z185,0),'Summary Data'!$C:$AV,45,0)&gt;0,"UV ink",Y185)</f>
        <v>Special Ink</v>
      </c>
      <c r="Y185" s="136" t="s">
        <v>1105</v>
      </c>
      <c r="Z185" s="136">
        <f t="shared" si="184"/>
        <v>153</v>
      </c>
      <c r="AJ185" s="320"/>
      <c r="AM185" s="320"/>
    </row>
    <row r="186" spans="1:51" ht="18" hidden="1" customHeight="1" outlineLevel="1">
      <c r="A186" s="3452" t="str">
        <f t="shared" ca="1" si="177"/>
        <v>None</v>
      </c>
      <c r="B186" s="3453">
        <f t="shared" ca="1" si="178"/>
        <v>0</v>
      </c>
      <c r="C186" s="1768"/>
      <c r="E186" s="146" t="s">
        <v>2055</v>
      </c>
      <c r="F186" s="919" t="str">
        <f>A178</f>
        <v>N</v>
      </c>
      <c r="G186" s="320"/>
      <c r="H186" s="320"/>
      <c r="I186" s="320"/>
      <c r="J186" s="2474" t="str">
        <f>Data!$P$817</f>
        <v>LDPE HANWHA 955</v>
      </c>
      <c r="K186" s="2474" t="s">
        <v>106</v>
      </c>
      <c r="L186" s="2475"/>
      <c r="M186" s="1000"/>
      <c r="Q186" s="3450">
        <f t="shared" ca="1" si="179"/>
        <v>2</v>
      </c>
      <c r="R186" s="3451">
        <f t="shared" si="183"/>
        <v>7</v>
      </c>
      <c r="S186" s="3450" t="str">
        <f t="shared" si="182"/>
        <v>MẶT SAU</v>
      </c>
      <c r="T186" s="3450">
        <f t="shared" si="180"/>
        <v>7</v>
      </c>
      <c r="U186" s="3450" t="str">
        <f t="shared" ca="1" si="181"/>
        <v/>
      </c>
      <c r="V186" s="3450"/>
      <c r="W186" s="3450">
        <f>W185+1</f>
        <v>6</v>
      </c>
      <c r="X186" s="3450" t="str">
        <f ca="1">IF(VLOOKUP(OFFSET($A$25,Z186,0),'Summary Data'!$C:$AV,45,0)&gt;0,"UV ink",Y186)</f>
        <v>Special Ink</v>
      </c>
      <c r="Y186" s="136" t="s">
        <v>1105</v>
      </c>
      <c r="Z186" s="136">
        <f t="shared" si="184"/>
        <v>153</v>
      </c>
      <c r="AJ186" s="320"/>
      <c r="AM186" s="320"/>
    </row>
    <row r="187" spans="1:51" ht="18" hidden="1" customHeight="1" outlineLevel="1">
      <c r="A187" s="3452" t="str">
        <f t="shared" ca="1" si="177"/>
        <v>None</v>
      </c>
      <c r="B187" s="3453">
        <f t="shared" ca="1" si="178"/>
        <v>0</v>
      </c>
      <c r="C187" s="1768"/>
      <c r="E187" s="320"/>
      <c r="F187" s="320"/>
      <c r="G187" s="320"/>
      <c r="H187" s="320"/>
      <c r="I187" s="320"/>
      <c r="K187" s="950" t="s">
        <v>2343</v>
      </c>
      <c r="L187" s="833"/>
      <c r="M187" s="1000"/>
      <c r="Q187" s="3450">
        <f t="shared" ca="1" si="179"/>
        <v>2</v>
      </c>
      <c r="R187" s="3451">
        <f t="shared" si="183"/>
        <v>8</v>
      </c>
      <c r="S187" s="3450" t="str">
        <f t="shared" si="182"/>
        <v>MẶT SAU</v>
      </c>
      <c r="T187" s="3450">
        <f t="shared" si="180"/>
        <v>8</v>
      </c>
      <c r="U187" s="3450" t="str">
        <f t="shared" ca="1" si="181"/>
        <v/>
      </c>
      <c r="V187" s="3450"/>
      <c r="W187" s="3450">
        <f>W186+1</f>
        <v>7</v>
      </c>
      <c r="X187" s="3450" t="str">
        <f ca="1">IF(VLOOKUP(OFFSET($A$25,Z187,0),'Summary Data'!$C:$AV,45,0)&gt;0,"UV ink",Y187)</f>
        <v>Special Ink</v>
      </c>
      <c r="Y187" s="136" t="s">
        <v>1105</v>
      </c>
      <c r="Z187" s="136">
        <f t="shared" si="184"/>
        <v>153</v>
      </c>
      <c r="AJ187" s="320"/>
      <c r="AM187" s="320"/>
    </row>
    <row r="188" spans="1:51" ht="18" hidden="1" customHeight="1" outlineLevel="1">
      <c r="A188" s="3452" t="str">
        <f t="shared" ca="1" si="177"/>
        <v>None</v>
      </c>
      <c r="B188" s="3453">
        <f t="shared" ca="1" si="178"/>
        <v>0</v>
      </c>
      <c r="C188" s="1768"/>
      <c r="E188" s="320"/>
      <c r="F188" s="320"/>
      <c r="G188" s="320"/>
      <c r="H188" s="320"/>
      <c r="I188" s="320"/>
      <c r="J188" s="1579"/>
      <c r="K188" s="950" t="s">
        <v>2393</v>
      </c>
      <c r="L188" s="833"/>
      <c r="M188" s="1000"/>
      <c r="Q188" s="3450">
        <f t="shared" ca="1" si="179"/>
        <v>2</v>
      </c>
      <c r="R188" s="3451">
        <f t="shared" si="183"/>
        <v>9</v>
      </c>
      <c r="S188" s="3450" t="str">
        <f t="shared" si="182"/>
        <v>MẶT SAU</v>
      </c>
      <c r="T188" s="3450">
        <f t="shared" si="180"/>
        <v>9</v>
      </c>
      <c r="U188" s="3450" t="str">
        <f t="shared" ca="1" si="181"/>
        <v/>
      </c>
      <c r="V188" s="3450"/>
      <c r="W188" s="3450">
        <f>W187+1</f>
        <v>8</v>
      </c>
      <c r="X188" s="3450" t="str">
        <f ca="1">IF(VLOOKUP(OFFSET($A$25,Z188,0),'Summary Data'!$C:$AV,45,0)&gt;0,"UV ink",Y188)</f>
        <v>Special Ink</v>
      </c>
      <c r="Y188" s="136" t="s">
        <v>1105</v>
      </c>
      <c r="Z188" s="136">
        <f t="shared" si="184"/>
        <v>153</v>
      </c>
      <c r="AJ188" s="320"/>
      <c r="AM188" s="320"/>
    </row>
    <row r="189" spans="1:51" ht="18" hidden="1" customHeight="1" outlineLevel="1">
      <c r="A189" s="3452" t="str">
        <f t="shared" ca="1" si="177"/>
        <v>None</v>
      </c>
      <c r="B189" s="3453">
        <f t="shared" ca="1" si="178"/>
        <v>0</v>
      </c>
      <c r="C189" s="1768"/>
      <c r="E189" s="320"/>
      <c r="F189" s="320"/>
      <c r="G189" s="320"/>
      <c r="H189" s="320"/>
      <c r="I189" s="320"/>
      <c r="J189" s="1579"/>
      <c r="K189" s="991"/>
      <c r="L189" s="833"/>
      <c r="M189" s="1000"/>
      <c r="Q189" s="3450">
        <f t="shared" ca="1" si="179"/>
        <v>2</v>
      </c>
      <c r="R189" s="3451">
        <f t="shared" si="183"/>
        <v>10</v>
      </c>
      <c r="S189" s="3450" t="str">
        <f t="shared" si="182"/>
        <v>MẶT SAU</v>
      </c>
      <c r="T189" s="3450">
        <f t="shared" si="180"/>
        <v>10</v>
      </c>
      <c r="U189" s="3450" t="str">
        <f t="shared" ca="1" si="181"/>
        <v/>
      </c>
      <c r="V189" s="3450"/>
      <c r="W189" s="3450">
        <f>W188+1</f>
        <v>9</v>
      </c>
      <c r="X189" s="3450" t="str">
        <f ca="1">IF(VLOOKUP(OFFSET($A$25,Z189,0),'Summary Data'!$C:$AV,45,0)&gt;0,"UV ink",Y189)</f>
        <v>Special Ink</v>
      </c>
      <c r="Y189" s="136" t="s">
        <v>1105</v>
      </c>
      <c r="Z189" s="136">
        <f t="shared" si="184"/>
        <v>153</v>
      </c>
      <c r="AJ189" s="320"/>
      <c r="AM189" s="320"/>
    </row>
    <row r="190" spans="1:51" ht="18" hidden="1" customHeight="1" outlineLevel="1">
      <c r="A190" s="3452" t="str">
        <f t="shared" ca="1" si="177"/>
        <v>None</v>
      </c>
      <c r="B190" s="3453">
        <f t="shared" ca="1" si="178"/>
        <v>0</v>
      </c>
      <c r="C190" s="1768"/>
      <c r="E190" s="320"/>
      <c r="F190" s="320"/>
      <c r="G190" s="320"/>
      <c r="H190" s="320"/>
      <c r="I190" s="320"/>
      <c r="J190" s="1579"/>
      <c r="K190" s="991"/>
      <c r="L190" s="833"/>
      <c r="M190" s="1000"/>
      <c r="Q190" s="3450">
        <f t="shared" ca="1" si="179"/>
        <v>2</v>
      </c>
      <c r="R190" s="3451">
        <f t="shared" si="183"/>
        <v>11</v>
      </c>
      <c r="S190" s="3450" t="str">
        <f t="shared" si="182"/>
        <v>MẶT SAU</v>
      </c>
      <c r="T190" s="3450">
        <f t="shared" si="180"/>
        <v>11</v>
      </c>
      <c r="U190" s="3450" t="str">
        <f t="shared" ca="1" si="181"/>
        <v/>
      </c>
      <c r="V190" s="3450"/>
      <c r="W190" s="3450"/>
      <c r="X190" s="3450">
        <f ca="1">IF(VLOOKUP(OFFSET($A$25,Z190,0),'Summary Data'!$C:$AV,45,0)&gt;0,"UV ink",Y190)</f>
        <v>0</v>
      </c>
      <c r="Z190" s="136">
        <f t="shared" si="184"/>
        <v>153</v>
      </c>
      <c r="AJ190" s="320"/>
      <c r="AM190" s="320"/>
    </row>
    <row r="191" spans="1:51" ht="18" hidden="1" customHeight="1" outlineLevel="1">
      <c r="A191" s="3452" t="str">
        <f t="shared" ca="1" si="177"/>
        <v>None</v>
      </c>
      <c r="B191" s="3453">
        <f t="shared" ca="1" si="178"/>
        <v>0</v>
      </c>
      <c r="C191" s="1768"/>
      <c r="E191" s="320"/>
      <c r="F191" s="320"/>
      <c r="G191" s="320"/>
      <c r="H191" s="320"/>
      <c r="I191" s="320"/>
      <c r="J191" s="1579"/>
      <c r="K191" s="991"/>
      <c r="L191" s="833"/>
      <c r="M191" s="1000"/>
      <c r="Q191" s="3450">
        <f t="shared" ca="1" si="179"/>
        <v>2</v>
      </c>
      <c r="R191" s="3451">
        <f t="shared" si="183"/>
        <v>12</v>
      </c>
      <c r="S191" s="3450" t="str">
        <f t="shared" si="182"/>
        <v>MẶT SAU</v>
      </c>
      <c r="T191" s="3450">
        <f t="shared" si="180"/>
        <v>12</v>
      </c>
      <c r="U191" s="3450" t="str">
        <f t="shared" ca="1" si="181"/>
        <v/>
      </c>
      <c r="V191" s="3450"/>
      <c r="W191" s="3450"/>
      <c r="X191" s="3450">
        <f ca="1">IF(VLOOKUP(OFFSET($A$25,Z191,0),'Summary Data'!$C:$AV,45,0)&gt;0,"UV ink",Y191)</f>
        <v>0</v>
      </c>
      <c r="Z191" s="136">
        <f t="shared" si="184"/>
        <v>153</v>
      </c>
      <c r="AJ191" s="320"/>
      <c r="AM191" s="320"/>
    </row>
    <row r="192" spans="1:51" ht="18" hidden="1" customHeight="1" outlineLevel="1">
      <c r="A192" s="3452" t="str">
        <f t="shared" ca="1" si="177"/>
        <v>None</v>
      </c>
      <c r="B192" s="3453">
        <f t="shared" ca="1" si="178"/>
        <v>0</v>
      </c>
      <c r="C192" s="1768"/>
      <c r="E192" s="320"/>
      <c r="F192" s="320"/>
      <c r="G192" s="320"/>
      <c r="H192" s="320"/>
      <c r="I192" s="320"/>
      <c r="J192" s="1579"/>
      <c r="K192" s="991"/>
      <c r="L192" s="833"/>
      <c r="M192" s="1000"/>
      <c r="Q192" s="3450">
        <f t="shared" ca="1" si="179"/>
        <v>2</v>
      </c>
      <c r="R192" s="3451">
        <f t="shared" si="183"/>
        <v>13</v>
      </c>
      <c r="S192" s="3450" t="str">
        <f t="shared" si="182"/>
        <v>MẶT SAU</v>
      </c>
      <c r="T192" s="3450">
        <f t="shared" si="180"/>
        <v>13</v>
      </c>
      <c r="U192" s="3450" t="str">
        <f t="shared" ca="1" si="181"/>
        <v/>
      </c>
      <c r="V192" s="3450"/>
      <c r="W192" s="3450"/>
      <c r="X192" s="3450">
        <f ca="1">IF(VLOOKUP(OFFSET($A$25,Z192,0),'Summary Data'!$C:$AV,45,0)&gt;0,"UV ink",Y192)</f>
        <v>0</v>
      </c>
      <c r="Z192" s="136">
        <f t="shared" si="184"/>
        <v>153</v>
      </c>
      <c r="AJ192" s="320"/>
      <c r="AM192" s="320"/>
    </row>
    <row r="193" spans="1:51" ht="18" hidden="1" customHeight="1" outlineLevel="1">
      <c r="A193" s="3452" t="str">
        <f t="shared" ca="1" si="177"/>
        <v>None</v>
      </c>
      <c r="B193" s="3454">
        <f t="shared" ca="1" si="178"/>
        <v>0</v>
      </c>
      <c r="C193" s="1772"/>
      <c r="E193" s="320"/>
      <c r="F193" s="320"/>
      <c r="G193" s="320"/>
      <c r="H193" s="320"/>
      <c r="I193" s="3455" t="s">
        <v>3625</v>
      </c>
      <c r="J193" s="3570" t="str">
        <f>VLOOKUP(J197,Data!$AA$943:$AB$959,2,0)</f>
        <v>Non Metalize</v>
      </c>
      <c r="K193" s="991"/>
      <c r="L193" s="833"/>
      <c r="M193" s="1000"/>
      <c r="Q193" s="3450">
        <f t="shared" ca="1" si="179"/>
        <v>2</v>
      </c>
      <c r="R193" s="3451">
        <f t="shared" si="183"/>
        <v>14</v>
      </c>
      <c r="S193" s="3450" t="str">
        <f t="shared" si="182"/>
        <v>MẶT SAU</v>
      </c>
      <c r="T193" s="3450">
        <f t="shared" si="180"/>
        <v>14</v>
      </c>
      <c r="U193" s="3450" t="str">
        <f t="shared" ca="1" si="181"/>
        <v/>
      </c>
      <c r="V193" s="3450"/>
      <c r="W193" s="3450"/>
      <c r="X193" s="3450">
        <f ca="1">IF(VLOOKUP(OFFSET($A$25,Z193,0),'Summary Data'!$C:$AV,45,0)&gt;0,"UV ink",Y193)</f>
        <v>0</v>
      </c>
      <c r="Z193" s="136">
        <f t="shared" si="184"/>
        <v>153</v>
      </c>
      <c r="AJ193" s="320"/>
      <c r="AM193" s="320"/>
      <c r="AU193" s="136">
        <f>AU176+9</f>
        <v>63</v>
      </c>
    </row>
    <row r="194" spans="1:51" ht="18" hidden="1" customHeight="1" outlineLevel="1">
      <c r="A194" s="919"/>
      <c r="B194" s="919"/>
      <c r="C194" s="320"/>
      <c r="D194" s="320"/>
      <c r="E194" s="320"/>
      <c r="F194" s="320"/>
      <c r="G194" s="320"/>
      <c r="H194" s="320"/>
      <c r="I194" s="320"/>
      <c r="J194" s="1579"/>
      <c r="K194" s="991"/>
      <c r="L194" s="833"/>
      <c r="M194" s="1000"/>
      <c r="AJ194" s="320"/>
      <c r="AM194" s="320"/>
      <c r="AS194" s="3457" t="s">
        <v>2055</v>
      </c>
      <c r="AT194" s="3457" t="s">
        <v>3559</v>
      </c>
      <c r="AU194" s="3457" t="s">
        <v>3560</v>
      </c>
      <c r="AV194" s="3457" t="s">
        <v>3561</v>
      </c>
      <c r="AW194" s="3457"/>
    </row>
    <row r="195" spans="1:51" ht="18" hidden="1" customHeight="1" outlineLevel="1">
      <c r="A195" s="3695" t="str">
        <f>IFERROR(INDEX('Summary Data'!B:B,MATCH(11,'Summary Data'!GS:GS,0),1),"N")</f>
        <v>N</v>
      </c>
      <c r="B195" s="1762"/>
      <c r="C195" s="1614" t="s">
        <v>1393</v>
      </c>
      <c r="D195" s="1614"/>
      <c r="E195" s="1614" t="s">
        <v>649</v>
      </c>
      <c r="F195" s="1614"/>
      <c r="G195" s="1614"/>
      <c r="H195" s="1614">
        <v>0</v>
      </c>
      <c r="I195" s="1614">
        <f>VALUE(LEFT(I193,1)+RIGHT(I193,1))</f>
        <v>0</v>
      </c>
      <c r="J195" s="1763"/>
      <c r="K195" s="1764"/>
      <c r="L195" s="3448" t="e">
        <f ca="1">VLOOKUP(E195&amp;J193,AS196:AW201,4,0)</f>
        <v>#N/A</v>
      </c>
      <c r="M195" s="3449">
        <f>VLOOKUP(E195&amp;J193,AS196:AW201,5,0)</f>
        <v>3</v>
      </c>
      <c r="N195" s="1771"/>
      <c r="O195" s="2150" t="s">
        <v>106</v>
      </c>
      <c r="P195" s="2150" t="s">
        <v>2040</v>
      </c>
      <c r="AJ195" s="320"/>
      <c r="AM195" s="320"/>
      <c r="AS195" s="3459"/>
      <c r="AT195" s="3450" t="e">
        <f ca="1">MATCH(C195&amp;"lấy",OFFSET($BT:$BT,0,AU193),0)</f>
        <v>#N/A</v>
      </c>
      <c r="AU195" s="3450" t="e">
        <f ca="1">MATCH(C195&amp;"lấy",OFFSET($BS:$BS,0,AU193),0)</f>
        <v>#N/A</v>
      </c>
      <c r="AV195" s="3450" t="e">
        <f ca="1">IFERROR(INDEX(AO:AO,AT195,1),INDEX(AN:AN,AU195,1))</f>
        <v>#N/A</v>
      </c>
      <c r="AW195" s="3450"/>
    </row>
    <row r="196" spans="1:51" ht="18" hidden="1" customHeight="1" outlineLevel="1">
      <c r="A196" s="1766" t="s">
        <v>213</v>
      </c>
      <c r="B196" s="1767" t="s">
        <v>1469</v>
      </c>
      <c r="C196" s="1767" t="s">
        <v>445</v>
      </c>
      <c r="D196" s="3104">
        <v>2.2000000000000002</v>
      </c>
      <c r="E196" s="1766" t="s">
        <v>1610</v>
      </c>
      <c r="F196" s="1767" t="s">
        <v>1470</v>
      </c>
      <c r="G196" s="1767" t="s">
        <v>1469</v>
      </c>
      <c r="H196" s="1767" t="s">
        <v>445</v>
      </c>
      <c r="I196" s="319"/>
      <c r="J196" s="1766" t="s">
        <v>495</v>
      </c>
      <c r="K196" s="1767" t="s">
        <v>183</v>
      </c>
      <c r="L196" s="1769" t="s">
        <v>1471</v>
      </c>
      <c r="M196" s="1766" t="s">
        <v>215</v>
      </c>
      <c r="N196" s="1767" t="s">
        <v>1469</v>
      </c>
      <c r="O196" s="1767" t="s">
        <v>1473</v>
      </c>
      <c r="Q196" s="3450" t="s">
        <v>3568</v>
      </c>
      <c r="R196" s="3450" t="s">
        <v>3569</v>
      </c>
      <c r="S196" s="3450" t="s">
        <v>3570</v>
      </c>
      <c r="T196" s="3450" t="s">
        <v>3571</v>
      </c>
      <c r="U196" s="3450" t="s">
        <v>3572</v>
      </c>
      <c r="V196" s="3450"/>
      <c r="W196" s="3450" t="s">
        <v>3574</v>
      </c>
      <c r="X196" s="3450"/>
      <c r="AJ196" s="320"/>
      <c r="AM196" s="320"/>
      <c r="AS196" s="3459" t="str">
        <f t="shared" ref="AS196:AS201" si="185">AT196&amp;AU196</f>
        <v>importNon Metalize</v>
      </c>
      <c r="AT196" s="3450" t="s">
        <v>3562</v>
      </c>
      <c r="AU196" s="3450" t="s">
        <v>800</v>
      </c>
      <c r="AV196" s="3450" t="e">
        <f ca="1">IF(E195="local",AV195,CEILING(J195+3,5))</f>
        <v>#N/A</v>
      </c>
      <c r="AW196" s="3458">
        <f>K195+3</f>
        <v>3</v>
      </c>
    </row>
    <row r="197" spans="1:51" ht="18" hidden="1" customHeight="1" outlineLevel="1">
      <c r="A197" s="3452" t="str">
        <f t="shared" ref="A197:A210" ca="1" si="186">IF($Q197=1,VLOOKUP($T197,OFFSET($W$27,Z197,0,15,2),2,0),"None")</f>
        <v>None</v>
      </c>
      <c r="B197" s="3453">
        <f t="shared" ref="B197:B210" ca="1" si="187">IF($Q197=1,IF($U197="mặt trước",ROUNDUP(OFFSET($J$25,Z197,0)*OFFSET($K$25,Z197,0)*OFFSET($D$26,Z197,0)/10^9*10000/VALUE(LEFT(OFFSET($I$23,Z197,0),1)),2),ROUNDUP(OFFSET($J$25,Z197,0)*OFFSET($K$25,Z197,0)*OFFSET($D$27,Z197,0)/10^9*10000/VALUE(RIGHT(OFFSET($I$23,Z197,0),1)),2)),0)</f>
        <v>0</v>
      </c>
      <c r="C197" s="1768"/>
      <c r="D197" s="3104">
        <v>2.1</v>
      </c>
      <c r="E197" s="1705" t="s">
        <v>127</v>
      </c>
      <c r="F197" s="1705" t="s">
        <v>1112</v>
      </c>
      <c r="G197" s="1768"/>
      <c r="H197" s="1768"/>
      <c r="J197" s="1705" t="s">
        <v>127</v>
      </c>
      <c r="K197" s="3571">
        <f>IF(VLOOKUP(J197,Data!$AN$943:$AO$959,2,0)="No",CEILING(K199+3,50),HLOOKUP(J197,Data!$AJ$943:$AL$2000,K200,0))</f>
        <v>50</v>
      </c>
      <c r="L197" s="1770" t="s">
        <v>1472</v>
      </c>
      <c r="M197" s="1705" t="s">
        <v>127</v>
      </c>
      <c r="N197" s="1768"/>
      <c r="O197" s="1705" t="s">
        <v>1259</v>
      </c>
      <c r="Q197" s="3450">
        <f t="shared" ref="Q197:Q210" ca="1" si="188">IFERROR(FIND("M",U197),2)</f>
        <v>2</v>
      </c>
      <c r="R197" s="3451">
        <v>1</v>
      </c>
      <c r="S197" s="3450" t="str">
        <f>IF(R197&lt;=VALUE(LEFT($I$176,1)),"MẶT TRƯỚC","MẶT SAU")</f>
        <v>MẶT SAU</v>
      </c>
      <c r="T197" s="3450">
        <f t="shared" ref="T197:T210" si="189">IF(S197="MẶT TRƯỚC",R197,IF(S196="mặt sau",T196+1,1))</f>
        <v>1</v>
      </c>
      <c r="U197" s="3450" t="str">
        <f t="shared" ref="U197:U210" ca="1" si="190">IF(S197="MẶT SAU",IF(T197&lt;=VALUE(RIGHT(OFFSET($I$23,Z197,0),1)),"MẶT SAU",""),S197)</f>
        <v/>
      </c>
      <c r="V197" s="3450"/>
      <c r="W197" s="3450">
        <v>1</v>
      </c>
      <c r="X197" s="3450" t="str">
        <f ca="1">IF(VLOOKUP(OFFSET($A$25,Z197,0),'Summary Data'!$C:$AV,45,0)&gt;0,"UV ink",Y197)</f>
        <v>Cyan (60-124773-7.1200 Nutri-2 Proc Cyan ISO 2846-1)</v>
      </c>
      <c r="Y197" s="136" t="s">
        <v>3356</v>
      </c>
      <c r="Z197" s="136">
        <f>Z180+17</f>
        <v>170</v>
      </c>
      <c r="AJ197" s="320"/>
      <c r="AM197" s="320"/>
      <c r="AS197" s="3459" t="str">
        <f t="shared" si="185"/>
        <v>importMetalize</v>
      </c>
      <c r="AT197" s="3450" t="s">
        <v>3562</v>
      </c>
      <c r="AU197" s="3450" t="s">
        <v>230</v>
      </c>
      <c r="AV197" s="3450" t="e">
        <f ca="1">IF(AX197="cộng 3",AV196,CEILING(J195+6,5))</f>
        <v>#N/A</v>
      </c>
      <c r="AW197" s="3450" t="e">
        <f ca="1">IF(AY197="cộng 6",AW196+3,AW196)</f>
        <v>#N/A</v>
      </c>
      <c r="AX197" s="3477" t="e">
        <f ca="1">IF(AV196&lt;AW196,"cộng 3","cộng 6")</f>
        <v>#N/A</v>
      </c>
      <c r="AY197" s="3476" t="e">
        <f ca="1">IF(AX197="cộng 3","cộng 6","cộng 3")</f>
        <v>#N/A</v>
      </c>
    </row>
    <row r="198" spans="1:51" ht="18" hidden="1" customHeight="1" outlineLevel="1">
      <c r="A198" s="3452" t="str">
        <f t="shared" ca="1" si="186"/>
        <v>None</v>
      </c>
      <c r="B198" s="3453">
        <f t="shared" ca="1" si="187"/>
        <v>0</v>
      </c>
      <c r="C198" s="1768"/>
      <c r="E198" s="1705" t="s">
        <v>127</v>
      </c>
      <c r="F198" s="1705" t="s">
        <v>1112</v>
      </c>
      <c r="G198" s="1768"/>
      <c r="H198" s="1768"/>
      <c r="J198" s="1705" t="s">
        <v>127</v>
      </c>
      <c r="K198" s="1705"/>
      <c r="L198" s="1770" t="s">
        <v>1472</v>
      </c>
      <c r="M198" s="1705" t="s">
        <v>127</v>
      </c>
      <c r="N198" s="1768"/>
      <c r="O198" s="1705" t="s">
        <v>1259</v>
      </c>
      <c r="Q198" s="3450">
        <f t="shared" ca="1" si="188"/>
        <v>2</v>
      </c>
      <c r="R198" s="3451">
        <f>R197+1</f>
        <v>2</v>
      </c>
      <c r="S198" s="3450" t="str">
        <f t="shared" ref="S198:S210" si="191">IF(R198&lt;=VALUE(LEFT($I$176,1)),"MẶT TRƯỚC","MẶT SAU")</f>
        <v>MẶT SAU</v>
      </c>
      <c r="T198" s="3450">
        <f t="shared" si="189"/>
        <v>2</v>
      </c>
      <c r="U198" s="3450" t="str">
        <f t="shared" ca="1" si="190"/>
        <v/>
      </c>
      <c r="V198" s="3450"/>
      <c r="W198" s="3450">
        <v>2</v>
      </c>
      <c r="X198" s="3450" t="str">
        <f ca="1">IF(VLOOKUP(OFFSET($A$25,Z198,0),'Summary Data'!$C:$AV,45,0)&gt;0,"UV ink",Y198)</f>
        <v>Magenta (61-804489-5.1290 Tempo Mix Magenta A)</v>
      </c>
      <c r="Y198" s="136" t="s">
        <v>3357</v>
      </c>
      <c r="Z198" s="136">
        <f>Z197</f>
        <v>170</v>
      </c>
      <c r="AJ198" s="320"/>
      <c r="AM198" s="320"/>
      <c r="AS198" s="3459" t="str">
        <f t="shared" si="185"/>
        <v>importRigid box</v>
      </c>
      <c r="AT198" s="3450" t="s">
        <v>3562</v>
      </c>
      <c r="AU198" s="3450" t="s">
        <v>3214</v>
      </c>
      <c r="AV198" s="3450" t="e">
        <f ca="1">AV196</f>
        <v>#N/A</v>
      </c>
      <c r="AW198" s="3458">
        <f>AW196</f>
        <v>3</v>
      </c>
      <c r="AX198" s="3477"/>
      <c r="AY198" s="3476"/>
    </row>
    <row r="199" spans="1:51" ht="18" hidden="1" customHeight="1" outlineLevel="1">
      <c r="A199" s="3452" t="str">
        <f t="shared" ca="1" si="186"/>
        <v>None</v>
      </c>
      <c r="B199" s="3453">
        <f t="shared" ca="1" si="187"/>
        <v>0</v>
      </c>
      <c r="C199" s="1768"/>
      <c r="E199" s="1705" t="s">
        <v>127</v>
      </c>
      <c r="F199" s="1705" t="s">
        <v>1112</v>
      </c>
      <c r="G199" s="1768"/>
      <c r="H199" s="1768"/>
      <c r="J199" s="314" t="s">
        <v>3471</v>
      </c>
      <c r="K199" s="3385"/>
      <c r="L199" s="991"/>
      <c r="M199" s="1705" t="s">
        <v>127</v>
      </c>
      <c r="N199" s="1768"/>
      <c r="O199" s="1705" t="s">
        <v>1259</v>
      </c>
      <c r="Q199" s="3450">
        <f t="shared" ca="1" si="188"/>
        <v>2</v>
      </c>
      <c r="R199" s="3451">
        <f t="shared" ref="R199:R210" si="192">R198+1</f>
        <v>3</v>
      </c>
      <c r="S199" s="3450" t="str">
        <f t="shared" si="191"/>
        <v>MẶT SAU</v>
      </c>
      <c r="T199" s="3450">
        <f t="shared" si="189"/>
        <v>3</v>
      </c>
      <c r="U199" s="3450" t="str">
        <f t="shared" ca="1" si="190"/>
        <v/>
      </c>
      <c r="V199" s="3450"/>
      <c r="W199" s="3450">
        <v>3</v>
      </c>
      <c r="X199" s="3450" t="str">
        <f ca="1">IF(VLOOKUP(OFFSET($A$25,Z199,0),'Summary Data'!$C:$AV,45,0)&gt;0,"UV ink",Y199)</f>
        <v>Yellow (61-312039-3.1290 Tempo Mix Yellow 4220)</v>
      </c>
      <c r="Y199" s="136" t="s">
        <v>3358</v>
      </c>
      <c r="Z199" s="136">
        <f t="shared" ref="Z199:Z210" si="193">Z198</f>
        <v>170</v>
      </c>
      <c r="AJ199" s="320"/>
      <c r="AM199" s="320"/>
      <c r="AS199" s="3459" t="str">
        <f t="shared" si="185"/>
        <v>localNon Metalize</v>
      </c>
      <c r="AT199" s="3450" t="s">
        <v>3563</v>
      </c>
      <c r="AU199" s="3450" t="s">
        <v>800</v>
      </c>
      <c r="AV199" s="3450" t="e">
        <f ca="1">AV195</f>
        <v>#N/A</v>
      </c>
      <c r="AW199" s="3458">
        <f>AW196</f>
        <v>3</v>
      </c>
    </row>
    <row r="200" spans="1:51" ht="18" hidden="1" customHeight="1" outlineLevel="1">
      <c r="A200" s="3452" t="str">
        <f t="shared" ca="1" si="186"/>
        <v>None</v>
      </c>
      <c r="B200" s="3453">
        <f t="shared" ca="1" si="187"/>
        <v>0</v>
      </c>
      <c r="C200" s="1768"/>
      <c r="E200" s="1705" t="s">
        <v>127</v>
      </c>
      <c r="F200" s="1705" t="s">
        <v>1112</v>
      </c>
      <c r="G200" s="1768"/>
      <c r="H200" s="1768"/>
      <c r="K200" s="3568">
        <f>K183+2</f>
        <v>22</v>
      </c>
      <c r="L200" s="991"/>
      <c r="M200" s="1705" t="s">
        <v>127</v>
      </c>
      <c r="N200" s="1768"/>
      <c r="O200" s="1705" t="s">
        <v>1259</v>
      </c>
      <c r="Q200" s="3450">
        <f t="shared" ca="1" si="188"/>
        <v>2</v>
      </c>
      <c r="R200" s="3451">
        <f t="shared" si="192"/>
        <v>4</v>
      </c>
      <c r="S200" s="3450" t="str">
        <f t="shared" si="191"/>
        <v>MẶT SAU</v>
      </c>
      <c r="T200" s="3450">
        <f t="shared" si="189"/>
        <v>4</v>
      </c>
      <c r="U200" s="3450" t="str">
        <f t="shared" ca="1" si="190"/>
        <v/>
      </c>
      <c r="V200" s="3450"/>
      <c r="W200" s="3450">
        <v>4</v>
      </c>
      <c r="X200" s="3450" t="str">
        <f ca="1">IF(VLOOKUP(OFFSET($A$25,Z200,0),'Summary Data'!$C:$AV,45,0)&gt;0,"UV ink",Y200)</f>
        <v>Black (60-914386-2.1200 Nutri-2 Proc Black ISO 2846-1)</v>
      </c>
      <c r="Y200" s="136" t="s">
        <v>3359</v>
      </c>
      <c r="Z200" s="136">
        <f t="shared" si="193"/>
        <v>170</v>
      </c>
      <c r="AJ200" s="320"/>
      <c r="AM200" s="320"/>
      <c r="AS200" s="3459" t="str">
        <f t="shared" si="185"/>
        <v>localMetalize</v>
      </c>
      <c r="AT200" s="3450" t="s">
        <v>3563</v>
      </c>
      <c r="AU200" s="3450" t="s">
        <v>230</v>
      </c>
      <c r="AV200" s="3450" t="e">
        <f ca="1">AV195</f>
        <v>#N/A</v>
      </c>
      <c r="AW200" s="3450" t="e">
        <f ca="1">IF(AY197="cộng 6",AW196+3,AW196)</f>
        <v>#N/A</v>
      </c>
    </row>
    <row r="201" spans="1:51" ht="18" hidden="1" customHeight="1" outlineLevel="1">
      <c r="A201" s="3452" t="str">
        <f t="shared" ca="1" si="186"/>
        <v>None</v>
      </c>
      <c r="B201" s="3453">
        <f t="shared" ca="1" si="187"/>
        <v>0</v>
      </c>
      <c r="C201" s="1768"/>
      <c r="E201" s="1705" t="s">
        <v>127</v>
      </c>
      <c r="F201" s="1705" t="s">
        <v>1112</v>
      </c>
      <c r="G201" s="1768"/>
      <c r="H201" s="1768"/>
      <c r="J201" s="320"/>
      <c r="K201" s="1579"/>
      <c r="L201" s="991"/>
      <c r="M201" s="1705" t="s">
        <v>127</v>
      </c>
      <c r="N201" s="1768"/>
      <c r="O201" s="1705" t="s">
        <v>1259</v>
      </c>
      <c r="Q201" s="3450">
        <f t="shared" ca="1" si="188"/>
        <v>2</v>
      </c>
      <c r="R201" s="3451">
        <f t="shared" si="192"/>
        <v>5</v>
      </c>
      <c r="S201" s="3450" t="str">
        <f t="shared" si="191"/>
        <v>MẶT SAU</v>
      </c>
      <c r="T201" s="3450">
        <f t="shared" si="189"/>
        <v>5</v>
      </c>
      <c r="U201" s="3450" t="str">
        <f t="shared" ca="1" si="190"/>
        <v/>
      </c>
      <c r="V201" s="3450"/>
      <c r="W201" s="3450"/>
      <c r="X201" s="3450">
        <f ca="1">IF(VLOOKUP(OFFSET($A$25,Z201,0),'Summary Data'!$C:$AV,45,0)&gt;0,"UV ink",Y201)</f>
        <v>0</v>
      </c>
      <c r="Z201" s="136">
        <f t="shared" si="193"/>
        <v>170</v>
      </c>
      <c r="AJ201" s="320"/>
      <c r="AM201" s="320"/>
      <c r="AS201" s="3459" t="str">
        <f t="shared" si="185"/>
        <v>localRigid box</v>
      </c>
      <c r="AT201" s="3450" t="s">
        <v>3563</v>
      </c>
      <c r="AU201" s="3450" t="s">
        <v>3214</v>
      </c>
      <c r="AV201" s="3450" t="e">
        <f ca="1">AV199</f>
        <v>#N/A</v>
      </c>
      <c r="AW201" s="3458">
        <f>AW199</f>
        <v>3</v>
      </c>
    </row>
    <row r="202" spans="1:51" ht="18" hidden="1" customHeight="1" outlineLevel="1">
      <c r="A202" s="3452" t="str">
        <f t="shared" ca="1" si="186"/>
        <v>None</v>
      </c>
      <c r="B202" s="3453">
        <f t="shared" ca="1" si="187"/>
        <v>0</v>
      </c>
      <c r="C202" s="1768"/>
      <c r="E202" s="320"/>
      <c r="F202" s="320"/>
      <c r="G202" s="320"/>
      <c r="H202" s="320"/>
      <c r="J202" s="2472" t="s">
        <v>2341</v>
      </c>
      <c r="K202" s="2473" t="s">
        <v>1417</v>
      </c>
      <c r="L202" s="2473" t="s">
        <v>2342</v>
      </c>
      <c r="Q202" s="3450">
        <f t="shared" ca="1" si="188"/>
        <v>2</v>
      </c>
      <c r="R202" s="3451">
        <f t="shared" si="192"/>
        <v>6</v>
      </c>
      <c r="S202" s="3450" t="str">
        <f t="shared" si="191"/>
        <v>MẶT SAU</v>
      </c>
      <c r="T202" s="3450">
        <f t="shared" si="189"/>
        <v>6</v>
      </c>
      <c r="U202" s="3450" t="str">
        <f t="shared" ca="1" si="190"/>
        <v/>
      </c>
      <c r="V202" s="3450"/>
      <c r="W202" s="3450">
        <v>5</v>
      </c>
      <c r="X202" s="3450" t="str">
        <f ca="1">IF(VLOOKUP(OFFSET($A$25,Z202,0),'Summary Data'!$C:$AV,45,0)&gt;0,"UV ink",Y202)</f>
        <v>Special Ink</v>
      </c>
      <c r="Y202" s="136" t="s">
        <v>1105</v>
      </c>
      <c r="Z202" s="136">
        <f t="shared" si="193"/>
        <v>170</v>
      </c>
      <c r="AJ202" s="320"/>
      <c r="AM202" s="320"/>
    </row>
    <row r="203" spans="1:51" ht="18" hidden="1" customHeight="1" outlineLevel="1">
      <c r="A203" s="3452" t="str">
        <f t="shared" ca="1" si="186"/>
        <v>None</v>
      </c>
      <c r="B203" s="3453">
        <f t="shared" ca="1" si="187"/>
        <v>0</v>
      </c>
      <c r="C203" s="1768"/>
      <c r="E203" s="146" t="s">
        <v>2055</v>
      </c>
      <c r="F203" s="919" t="str">
        <f>A195</f>
        <v>N</v>
      </c>
      <c r="G203" s="320"/>
      <c r="H203" s="320"/>
      <c r="I203" s="320"/>
      <c r="J203" s="2474" t="str">
        <f>Data!$P$817</f>
        <v>LDPE HANWHA 955</v>
      </c>
      <c r="K203" s="2474" t="s">
        <v>106</v>
      </c>
      <c r="L203" s="2475"/>
      <c r="M203" s="1000"/>
      <c r="Q203" s="3450">
        <f t="shared" ca="1" si="188"/>
        <v>2</v>
      </c>
      <c r="R203" s="3451">
        <f t="shared" si="192"/>
        <v>7</v>
      </c>
      <c r="S203" s="3450" t="str">
        <f t="shared" si="191"/>
        <v>MẶT SAU</v>
      </c>
      <c r="T203" s="3450">
        <f t="shared" si="189"/>
        <v>7</v>
      </c>
      <c r="U203" s="3450" t="str">
        <f t="shared" ca="1" si="190"/>
        <v/>
      </c>
      <c r="V203" s="3450"/>
      <c r="W203" s="3450">
        <f>W202+1</f>
        <v>6</v>
      </c>
      <c r="X203" s="3450" t="str">
        <f ca="1">IF(VLOOKUP(OFFSET($A$25,Z203,0),'Summary Data'!$C:$AV,45,0)&gt;0,"UV ink",Y203)</f>
        <v>Special Ink</v>
      </c>
      <c r="Y203" s="136" t="s">
        <v>1105</v>
      </c>
      <c r="Z203" s="136">
        <f t="shared" si="193"/>
        <v>170</v>
      </c>
      <c r="AJ203" s="320"/>
      <c r="AM203" s="320"/>
    </row>
    <row r="204" spans="1:51" ht="18" hidden="1" customHeight="1" outlineLevel="1">
      <c r="A204" s="3452" t="str">
        <f t="shared" ca="1" si="186"/>
        <v>None</v>
      </c>
      <c r="B204" s="3453">
        <f t="shared" ca="1" si="187"/>
        <v>0</v>
      </c>
      <c r="C204" s="1768"/>
      <c r="E204" s="320"/>
      <c r="F204" s="320"/>
      <c r="G204" s="320"/>
      <c r="H204" s="320"/>
      <c r="I204" s="320"/>
      <c r="K204" s="950" t="s">
        <v>2343</v>
      </c>
      <c r="L204" s="833"/>
      <c r="M204" s="1000"/>
      <c r="Q204" s="3450">
        <f t="shared" ca="1" si="188"/>
        <v>2</v>
      </c>
      <c r="R204" s="3451">
        <f t="shared" si="192"/>
        <v>8</v>
      </c>
      <c r="S204" s="3450" t="str">
        <f t="shared" si="191"/>
        <v>MẶT SAU</v>
      </c>
      <c r="T204" s="3450">
        <f t="shared" si="189"/>
        <v>8</v>
      </c>
      <c r="U204" s="3450" t="str">
        <f t="shared" ca="1" si="190"/>
        <v/>
      </c>
      <c r="V204" s="3450"/>
      <c r="W204" s="3450">
        <f>W203+1</f>
        <v>7</v>
      </c>
      <c r="X204" s="3450" t="str">
        <f ca="1">IF(VLOOKUP(OFFSET($A$25,Z204,0),'Summary Data'!$C:$AV,45,0)&gt;0,"UV ink",Y204)</f>
        <v>Special Ink</v>
      </c>
      <c r="Y204" s="136" t="s">
        <v>1105</v>
      </c>
      <c r="Z204" s="136">
        <f t="shared" si="193"/>
        <v>170</v>
      </c>
      <c r="AJ204" s="320"/>
      <c r="AM204" s="320"/>
    </row>
    <row r="205" spans="1:51" ht="18" hidden="1" customHeight="1" outlineLevel="1">
      <c r="A205" s="3452" t="str">
        <f t="shared" ca="1" si="186"/>
        <v>None</v>
      </c>
      <c r="B205" s="3453">
        <f t="shared" ca="1" si="187"/>
        <v>0</v>
      </c>
      <c r="C205" s="1768"/>
      <c r="E205" s="320"/>
      <c r="F205" s="320"/>
      <c r="G205" s="320"/>
      <c r="H205" s="320"/>
      <c r="I205" s="320"/>
      <c r="J205" s="1579"/>
      <c r="K205" s="950" t="s">
        <v>2393</v>
      </c>
      <c r="L205" s="833"/>
      <c r="M205" s="1000"/>
      <c r="Q205" s="3450">
        <f t="shared" ca="1" si="188"/>
        <v>2</v>
      </c>
      <c r="R205" s="3451">
        <f t="shared" si="192"/>
        <v>9</v>
      </c>
      <c r="S205" s="3450" t="str">
        <f t="shared" si="191"/>
        <v>MẶT SAU</v>
      </c>
      <c r="T205" s="3450">
        <f t="shared" si="189"/>
        <v>9</v>
      </c>
      <c r="U205" s="3450" t="str">
        <f t="shared" ca="1" si="190"/>
        <v/>
      </c>
      <c r="V205" s="3450"/>
      <c r="W205" s="3450">
        <f>W204+1</f>
        <v>8</v>
      </c>
      <c r="X205" s="3450" t="str">
        <f ca="1">IF(VLOOKUP(OFFSET($A$25,Z205,0),'Summary Data'!$C:$AV,45,0)&gt;0,"UV ink",Y205)</f>
        <v>Special Ink</v>
      </c>
      <c r="Y205" s="136" t="s">
        <v>1105</v>
      </c>
      <c r="Z205" s="136">
        <f t="shared" si="193"/>
        <v>170</v>
      </c>
      <c r="AJ205" s="320"/>
      <c r="AM205" s="320"/>
    </row>
    <row r="206" spans="1:51" ht="18" hidden="1" customHeight="1" outlineLevel="1">
      <c r="A206" s="3452" t="str">
        <f t="shared" ca="1" si="186"/>
        <v>None</v>
      </c>
      <c r="B206" s="3453">
        <f t="shared" ca="1" si="187"/>
        <v>0</v>
      </c>
      <c r="C206" s="1768"/>
      <c r="E206" s="320"/>
      <c r="F206" s="320"/>
      <c r="G206" s="320"/>
      <c r="H206" s="320"/>
      <c r="I206" s="320"/>
      <c r="J206" s="1579"/>
      <c r="K206" s="991"/>
      <c r="L206" s="833"/>
      <c r="M206" s="1000"/>
      <c r="Q206" s="3450">
        <f t="shared" ca="1" si="188"/>
        <v>2</v>
      </c>
      <c r="R206" s="3451">
        <f t="shared" si="192"/>
        <v>10</v>
      </c>
      <c r="S206" s="3450" t="str">
        <f t="shared" si="191"/>
        <v>MẶT SAU</v>
      </c>
      <c r="T206" s="3450">
        <f t="shared" si="189"/>
        <v>10</v>
      </c>
      <c r="U206" s="3450" t="str">
        <f t="shared" ca="1" si="190"/>
        <v/>
      </c>
      <c r="V206" s="3450"/>
      <c r="W206" s="3450">
        <f>W205+1</f>
        <v>9</v>
      </c>
      <c r="X206" s="3450" t="str">
        <f ca="1">IF(VLOOKUP(OFFSET($A$25,Z206,0),'Summary Data'!$C:$AV,45,0)&gt;0,"UV ink",Y206)</f>
        <v>Special Ink</v>
      </c>
      <c r="Y206" s="136" t="s">
        <v>1105</v>
      </c>
      <c r="Z206" s="136">
        <f t="shared" si="193"/>
        <v>170</v>
      </c>
      <c r="AJ206" s="320"/>
      <c r="AM206" s="320"/>
    </row>
    <row r="207" spans="1:51" ht="18" hidden="1" customHeight="1" outlineLevel="1">
      <c r="A207" s="3452" t="str">
        <f t="shared" ca="1" si="186"/>
        <v>None</v>
      </c>
      <c r="B207" s="3453">
        <f t="shared" ca="1" si="187"/>
        <v>0</v>
      </c>
      <c r="C207" s="1768"/>
      <c r="E207" s="320"/>
      <c r="F207" s="320"/>
      <c r="G207" s="320"/>
      <c r="H207" s="320"/>
      <c r="I207" s="320"/>
      <c r="J207" s="1579"/>
      <c r="K207" s="991"/>
      <c r="L207" s="833"/>
      <c r="M207" s="1000"/>
      <c r="Q207" s="3450">
        <f t="shared" ca="1" si="188"/>
        <v>2</v>
      </c>
      <c r="R207" s="3451">
        <f t="shared" si="192"/>
        <v>11</v>
      </c>
      <c r="S207" s="3450" t="str">
        <f t="shared" si="191"/>
        <v>MẶT SAU</v>
      </c>
      <c r="T207" s="3450">
        <f t="shared" si="189"/>
        <v>11</v>
      </c>
      <c r="U207" s="3450" t="str">
        <f t="shared" ca="1" si="190"/>
        <v/>
      </c>
      <c r="V207" s="3450"/>
      <c r="W207" s="3450"/>
      <c r="X207" s="3450">
        <f ca="1">IF(VLOOKUP(OFFSET($A$25,Z207,0),'Summary Data'!$C:$AV,45,0)&gt;0,"UV ink",Y207)</f>
        <v>0</v>
      </c>
      <c r="Z207" s="136">
        <f t="shared" si="193"/>
        <v>170</v>
      </c>
      <c r="AJ207" s="320"/>
      <c r="AM207" s="320"/>
    </row>
    <row r="208" spans="1:51" ht="18" hidden="1" customHeight="1" outlineLevel="1">
      <c r="A208" s="3452" t="str">
        <f t="shared" ca="1" si="186"/>
        <v>None</v>
      </c>
      <c r="B208" s="3453">
        <f t="shared" ca="1" si="187"/>
        <v>0</v>
      </c>
      <c r="C208" s="1768"/>
      <c r="E208" s="320"/>
      <c r="F208" s="320"/>
      <c r="G208" s="320"/>
      <c r="H208" s="320"/>
      <c r="I208" s="320"/>
      <c r="J208" s="1579"/>
      <c r="K208" s="991"/>
      <c r="L208" s="833"/>
      <c r="M208" s="1000"/>
      <c r="Q208" s="3450">
        <f t="shared" ca="1" si="188"/>
        <v>2</v>
      </c>
      <c r="R208" s="3451">
        <f t="shared" si="192"/>
        <v>12</v>
      </c>
      <c r="S208" s="3450" t="str">
        <f t="shared" si="191"/>
        <v>MẶT SAU</v>
      </c>
      <c r="T208" s="3450">
        <f t="shared" si="189"/>
        <v>12</v>
      </c>
      <c r="U208" s="3450" t="str">
        <f t="shared" ca="1" si="190"/>
        <v/>
      </c>
      <c r="V208" s="3450"/>
      <c r="W208" s="3450"/>
      <c r="X208" s="3450">
        <f ca="1">IF(VLOOKUP(OFFSET($A$25,Z208,0),'Summary Data'!$C:$AV,45,0)&gt;0,"UV ink",Y208)</f>
        <v>0</v>
      </c>
      <c r="Z208" s="136">
        <f t="shared" si="193"/>
        <v>170</v>
      </c>
      <c r="AJ208" s="320"/>
      <c r="AM208" s="320"/>
    </row>
    <row r="209" spans="1:51" ht="18" hidden="1" customHeight="1" outlineLevel="1">
      <c r="A209" s="3452" t="str">
        <f t="shared" ca="1" si="186"/>
        <v>None</v>
      </c>
      <c r="B209" s="3453">
        <f t="shared" ca="1" si="187"/>
        <v>0</v>
      </c>
      <c r="C209" s="1768"/>
      <c r="E209" s="320"/>
      <c r="F209" s="320"/>
      <c r="G209" s="320"/>
      <c r="H209" s="320"/>
      <c r="I209" s="320"/>
      <c r="J209" s="1579"/>
      <c r="K209" s="991"/>
      <c r="L209" s="833"/>
      <c r="M209" s="1000"/>
      <c r="Q209" s="3450">
        <f t="shared" ca="1" si="188"/>
        <v>2</v>
      </c>
      <c r="R209" s="3451">
        <f t="shared" si="192"/>
        <v>13</v>
      </c>
      <c r="S209" s="3450" t="str">
        <f t="shared" si="191"/>
        <v>MẶT SAU</v>
      </c>
      <c r="T209" s="3450">
        <f t="shared" si="189"/>
        <v>13</v>
      </c>
      <c r="U209" s="3450" t="str">
        <f t="shared" ca="1" si="190"/>
        <v/>
      </c>
      <c r="V209" s="3450"/>
      <c r="W209" s="3450"/>
      <c r="X209" s="3450">
        <f ca="1">IF(VLOOKUP(OFFSET($A$25,Z209,0),'Summary Data'!$C:$AV,45,0)&gt;0,"UV ink",Y209)</f>
        <v>0</v>
      </c>
      <c r="Z209" s="136">
        <f t="shared" si="193"/>
        <v>170</v>
      </c>
      <c r="AJ209" s="320"/>
      <c r="AM209" s="320"/>
    </row>
    <row r="210" spans="1:51" ht="18" hidden="1" customHeight="1" outlineLevel="1">
      <c r="A210" s="3452" t="str">
        <f t="shared" ca="1" si="186"/>
        <v>None</v>
      </c>
      <c r="B210" s="3454">
        <f t="shared" ca="1" si="187"/>
        <v>0</v>
      </c>
      <c r="C210" s="1772"/>
      <c r="E210" s="320"/>
      <c r="F210" s="320"/>
      <c r="G210" s="320"/>
      <c r="H210" s="320"/>
      <c r="I210" s="3455" t="s">
        <v>3625</v>
      </c>
      <c r="J210" s="3570" t="str">
        <f>VLOOKUP(J214,Data!$AA$943:$AB$959,2,0)</f>
        <v>Non Metalize</v>
      </c>
      <c r="K210" s="991"/>
      <c r="L210" s="833"/>
      <c r="M210" s="1000"/>
      <c r="Q210" s="3450">
        <f t="shared" ca="1" si="188"/>
        <v>2</v>
      </c>
      <c r="R210" s="3451">
        <f t="shared" si="192"/>
        <v>14</v>
      </c>
      <c r="S210" s="3450" t="str">
        <f t="shared" si="191"/>
        <v>MẶT SAU</v>
      </c>
      <c r="T210" s="3450">
        <f t="shared" si="189"/>
        <v>14</v>
      </c>
      <c r="U210" s="3450" t="str">
        <f t="shared" ca="1" si="190"/>
        <v/>
      </c>
      <c r="V210" s="3450"/>
      <c r="W210" s="3450"/>
      <c r="X210" s="3450">
        <f ca="1">IF(VLOOKUP(OFFSET($A$25,Z210,0),'Summary Data'!$C:$AV,45,0)&gt;0,"UV ink",Y210)</f>
        <v>0</v>
      </c>
      <c r="Z210" s="136">
        <f t="shared" si="193"/>
        <v>170</v>
      </c>
      <c r="AJ210" s="320"/>
      <c r="AM210" s="320"/>
      <c r="AU210" s="136">
        <f>AU193+9</f>
        <v>72</v>
      </c>
    </row>
    <row r="211" spans="1:51" ht="18" hidden="1" customHeight="1" outlineLevel="1">
      <c r="A211" s="919"/>
      <c r="B211" s="919"/>
      <c r="C211" s="320"/>
      <c r="D211" s="320"/>
      <c r="E211" s="320"/>
      <c r="F211" s="320"/>
      <c r="G211" s="320"/>
      <c r="H211" s="320"/>
      <c r="I211" s="320"/>
      <c r="J211" s="1579"/>
      <c r="K211" s="991"/>
      <c r="L211" s="833"/>
      <c r="M211" s="1000"/>
      <c r="AJ211" s="320"/>
      <c r="AM211" s="320"/>
      <c r="AS211" s="3457" t="s">
        <v>2055</v>
      </c>
      <c r="AT211" s="3457" t="s">
        <v>3559</v>
      </c>
      <c r="AU211" s="3457" t="s">
        <v>3560</v>
      </c>
      <c r="AV211" s="3457" t="s">
        <v>3561</v>
      </c>
      <c r="AW211" s="3457"/>
    </row>
    <row r="212" spans="1:51" ht="18" hidden="1" customHeight="1" outlineLevel="1">
      <c r="A212" s="3695" t="str">
        <f>IFERROR(INDEX('Summary Data'!B:B,MATCH(12,'Summary Data'!GS:GS,0),1),"N")</f>
        <v>N</v>
      </c>
      <c r="B212" s="1762"/>
      <c r="C212" s="1614" t="s">
        <v>1393</v>
      </c>
      <c r="D212" s="1614"/>
      <c r="E212" s="1614" t="s">
        <v>649</v>
      </c>
      <c r="F212" s="1614"/>
      <c r="G212" s="1614"/>
      <c r="H212" s="1614">
        <v>0</v>
      </c>
      <c r="I212" s="1614">
        <f>VALUE(LEFT(I210,1)+RIGHT(I210,1))</f>
        <v>0</v>
      </c>
      <c r="J212" s="1763"/>
      <c r="K212" s="1764"/>
      <c r="L212" s="3448" t="e">
        <f ca="1">VLOOKUP(E212&amp;J210,AS213:AW218,4,0)</f>
        <v>#N/A</v>
      </c>
      <c r="M212" s="3449">
        <f>VLOOKUP(E212&amp;J210,AS213:AW218,5,0)</f>
        <v>3</v>
      </c>
      <c r="N212" s="1771"/>
      <c r="O212" s="2150" t="s">
        <v>106</v>
      </c>
      <c r="P212" s="2150" t="s">
        <v>2040</v>
      </c>
      <c r="AJ212" s="320"/>
      <c r="AM212" s="320"/>
      <c r="AS212" s="3459"/>
      <c r="AT212" s="3450" t="e">
        <f ca="1">MATCH(C212&amp;"lấy",OFFSET($BT:$BT,0,AU210),0)</f>
        <v>#N/A</v>
      </c>
      <c r="AU212" s="3450" t="e">
        <f ca="1">MATCH(C212&amp;"lấy",OFFSET($BS:$BS,0,AU210),0)</f>
        <v>#N/A</v>
      </c>
      <c r="AV212" s="3450" t="e">
        <f ca="1">IFERROR(INDEX(AO:AO,AT212,1),INDEX(AN:AN,AU212,1))</f>
        <v>#N/A</v>
      </c>
      <c r="AW212" s="3450"/>
    </row>
    <row r="213" spans="1:51" ht="18" hidden="1" customHeight="1" outlineLevel="1">
      <c r="A213" s="1766" t="s">
        <v>213</v>
      </c>
      <c r="B213" s="1767" t="s">
        <v>1469</v>
      </c>
      <c r="C213" s="1767" t="s">
        <v>445</v>
      </c>
      <c r="D213" s="3104">
        <v>2.2000000000000002</v>
      </c>
      <c r="E213" s="1766" t="s">
        <v>1610</v>
      </c>
      <c r="F213" s="1767" t="s">
        <v>1470</v>
      </c>
      <c r="G213" s="1767" t="s">
        <v>1469</v>
      </c>
      <c r="H213" s="1767" t="s">
        <v>445</v>
      </c>
      <c r="I213" s="319"/>
      <c r="J213" s="1766" t="s">
        <v>495</v>
      </c>
      <c r="K213" s="1767" t="s">
        <v>183</v>
      </c>
      <c r="L213" s="1769" t="s">
        <v>1471</v>
      </c>
      <c r="M213" s="1766" t="s">
        <v>215</v>
      </c>
      <c r="N213" s="1767" t="s">
        <v>1469</v>
      </c>
      <c r="O213" s="1767" t="s">
        <v>1473</v>
      </c>
      <c r="Q213" s="3450" t="s">
        <v>3568</v>
      </c>
      <c r="R213" s="3450" t="s">
        <v>3569</v>
      </c>
      <c r="S213" s="3450" t="s">
        <v>3570</v>
      </c>
      <c r="T213" s="3450" t="s">
        <v>3571</v>
      </c>
      <c r="U213" s="3450" t="s">
        <v>3572</v>
      </c>
      <c r="V213" s="3450"/>
      <c r="W213" s="3450" t="s">
        <v>3574</v>
      </c>
      <c r="X213" s="3450"/>
      <c r="AJ213" s="320"/>
      <c r="AM213" s="320"/>
      <c r="AS213" s="3459" t="str">
        <f t="shared" ref="AS213:AS218" si="194">AT213&amp;AU213</f>
        <v>importNon Metalize</v>
      </c>
      <c r="AT213" s="3450" t="s">
        <v>3562</v>
      </c>
      <c r="AU213" s="3450" t="s">
        <v>800</v>
      </c>
      <c r="AV213" s="3450" t="e">
        <f ca="1">IF(E212="local",AV212,CEILING(J212+3,5))</f>
        <v>#N/A</v>
      </c>
      <c r="AW213" s="3458">
        <f>K212+3</f>
        <v>3</v>
      </c>
    </row>
    <row r="214" spans="1:51" ht="18" hidden="1" customHeight="1" outlineLevel="1">
      <c r="A214" s="3452" t="str">
        <f t="shared" ref="A214:A227" ca="1" si="195">IF($Q214=1,VLOOKUP($T214,OFFSET($W$27,Z214,0,15,2),2,0),"None")</f>
        <v>None</v>
      </c>
      <c r="B214" s="3453">
        <f t="shared" ref="B214:B227" ca="1" si="196">IF($Q214=1,IF($U214="mặt trước",ROUNDUP(OFFSET($J$25,Z214,0)*OFFSET($K$25,Z214,0)*OFFSET($D$26,Z214,0)/10^9*10000/VALUE(LEFT(OFFSET($I$23,Z214,0),1)),2),ROUNDUP(OFFSET($J$25,Z214,0)*OFFSET($K$25,Z214,0)*OFFSET($D$27,Z214,0)/10^9*10000/VALUE(RIGHT(OFFSET($I$23,Z214,0),1)),2)),0)</f>
        <v>0</v>
      </c>
      <c r="C214" s="1768"/>
      <c r="D214" s="3104">
        <v>2.1</v>
      </c>
      <c r="E214" s="1705" t="s">
        <v>127</v>
      </c>
      <c r="F214" s="1705" t="s">
        <v>1112</v>
      </c>
      <c r="G214" s="1768"/>
      <c r="H214" s="1768"/>
      <c r="J214" s="1705" t="s">
        <v>127</v>
      </c>
      <c r="K214" s="3571">
        <f>IF(VLOOKUP(J214,Data!$AN$943:$AO$959,2,0)="No",CEILING(K216+3,50),HLOOKUP(J214,Data!$AJ$943:$AL$2000,K217,0))</f>
        <v>50</v>
      </c>
      <c r="L214" s="1770" t="s">
        <v>1472</v>
      </c>
      <c r="M214" s="1705" t="s">
        <v>127</v>
      </c>
      <c r="N214" s="1768"/>
      <c r="O214" s="1705" t="s">
        <v>1259</v>
      </c>
      <c r="Q214" s="3450">
        <f t="shared" ref="Q214:Q227" ca="1" si="197">IFERROR(FIND("M",U214),2)</f>
        <v>2</v>
      </c>
      <c r="R214" s="3451">
        <v>1</v>
      </c>
      <c r="S214" s="3450" t="str">
        <f>IF(R214&lt;=VALUE(LEFT($I$176,1)),"MẶT TRƯỚC","MẶT SAU")</f>
        <v>MẶT SAU</v>
      </c>
      <c r="T214" s="3450">
        <f t="shared" ref="T214:T227" si="198">IF(S214="MẶT TRƯỚC",R214,IF(S213="mặt sau",T213+1,1))</f>
        <v>1</v>
      </c>
      <c r="U214" s="3450" t="str">
        <f t="shared" ref="U214:U227" ca="1" si="199">IF(S214="MẶT SAU",IF(T214&lt;=VALUE(RIGHT(OFFSET($I$23,Z214,0),1)),"MẶT SAU",""),S214)</f>
        <v/>
      </c>
      <c r="V214" s="3450"/>
      <c r="W214" s="3450">
        <v>1</v>
      </c>
      <c r="X214" s="3450" t="str">
        <f ca="1">IF(VLOOKUP(OFFSET($A$25,Z214,0),'Summary Data'!$C:$AV,45,0)&gt;0,"UV ink",Y214)</f>
        <v>Cyan (60-124773-7.1200 Nutri-2 Proc Cyan ISO 2846-1)</v>
      </c>
      <c r="Y214" s="136" t="s">
        <v>3356</v>
      </c>
      <c r="Z214" s="136">
        <f>Z197+17</f>
        <v>187</v>
      </c>
      <c r="AJ214" s="320"/>
      <c r="AM214" s="320"/>
      <c r="AS214" s="3459" t="str">
        <f t="shared" si="194"/>
        <v>importMetalize</v>
      </c>
      <c r="AT214" s="3450" t="s">
        <v>3562</v>
      </c>
      <c r="AU214" s="3450" t="s">
        <v>230</v>
      </c>
      <c r="AV214" s="3450" t="e">
        <f ca="1">IF(AX214="cộng 3",AV213,CEILING(J212+6,5))</f>
        <v>#N/A</v>
      </c>
      <c r="AW214" s="3450" t="e">
        <f ca="1">IF(AY214="cộng 6",AW213+3,AW213)</f>
        <v>#N/A</v>
      </c>
      <c r="AX214" s="3477" t="e">
        <f ca="1">IF(AV213&lt;AW213,"cộng 3","cộng 6")</f>
        <v>#N/A</v>
      </c>
      <c r="AY214" s="3476" t="e">
        <f ca="1">IF(AX214="cộng 3","cộng 6","cộng 3")</f>
        <v>#N/A</v>
      </c>
    </row>
    <row r="215" spans="1:51" ht="18" hidden="1" customHeight="1" outlineLevel="1">
      <c r="A215" s="3452" t="str">
        <f t="shared" ca="1" si="195"/>
        <v>None</v>
      </c>
      <c r="B215" s="3453">
        <f t="shared" ca="1" si="196"/>
        <v>0</v>
      </c>
      <c r="C215" s="1768"/>
      <c r="E215" s="1705" t="s">
        <v>127</v>
      </c>
      <c r="F215" s="1705" t="s">
        <v>1112</v>
      </c>
      <c r="G215" s="1768"/>
      <c r="H215" s="1768"/>
      <c r="J215" s="1705" t="s">
        <v>127</v>
      </c>
      <c r="K215" s="1705"/>
      <c r="L215" s="1770" t="s">
        <v>1472</v>
      </c>
      <c r="M215" s="1705" t="s">
        <v>127</v>
      </c>
      <c r="N215" s="1768"/>
      <c r="O215" s="1705" t="s">
        <v>1259</v>
      </c>
      <c r="Q215" s="3450">
        <f t="shared" ca="1" si="197"/>
        <v>2</v>
      </c>
      <c r="R215" s="3451">
        <f>R214+1</f>
        <v>2</v>
      </c>
      <c r="S215" s="3450" t="str">
        <f t="shared" ref="S215:S227" si="200">IF(R215&lt;=VALUE(LEFT($I$176,1)),"MẶT TRƯỚC","MẶT SAU")</f>
        <v>MẶT SAU</v>
      </c>
      <c r="T215" s="3450">
        <f t="shared" si="198"/>
        <v>2</v>
      </c>
      <c r="U215" s="3450" t="str">
        <f t="shared" ca="1" si="199"/>
        <v/>
      </c>
      <c r="V215" s="3450"/>
      <c r="W215" s="3450">
        <v>2</v>
      </c>
      <c r="X215" s="3450" t="str">
        <f ca="1">IF(VLOOKUP(OFFSET($A$25,Z215,0),'Summary Data'!$C:$AV,45,0)&gt;0,"UV ink",Y215)</f>
        <v>Magenta (61-804489-5.1290 Tempo Mix Magenta A)</v>
      </c>
      <c r="Y215" s="136" t="s">
        <v>3357</v>
      </c>
      <c r="Z215" s="136">
        <f>Z214</f>
        <v>187</v>
      </c>
      <c r="AJ215" s="320"/>
      <c r="AM215" s="320"/>
      <c r="AS215" s="3459" t="str">
        <f t="shared" si="194"/>
        <v>importRigid box</v>
      </c>
      <c r="AT215" s="3450" t="s">
        <v>3562</v>
      </c>
      <c r="AU215" s="3450" t="s">
        <v>3214</v>
      </c>
      <c r="AV215" s="3450" t="e">
        <f ca="1">AV213</f>
        <v>#N/A</v>
      </c>
      <c r="AW215" s="3450">
        <f>AW213</f>
        <v>3</v>
      </c>
      <c r="AX215" s="3477"/>
      <c r="AY215" s="3476"/>
    </row>
    <row r="216" spans="1:51" ht="18" hidden="1" customHeight="1" outlineLevel="1">
      <c r="A216" s="3452" t="str">
        <f t="shared" ca="1" si="195"/>
        <v>None</v>
      </c>
      <c r="B216" s="3453">
        <f t="shared" ca="1" si="196"/>
        <v>0</v>
      </c>
      <c r="C216" s="1768"/>
      <c r="E216" s="1705" t="s">
        <v>127</v>
      </c>
      <c r="F216" s="1705" t="s">
        <v>1112</v>
      </c>
      <c r="G216" s="1768"/>
      <c r="H216" s="1768"/>
      <c r="J216" s="314" t="s">
        <v>3471</v>
      </c>
      <c r="K216" s="3385"/>
      <c r="L216" s="991"/>
      <c r="M216" s="1705" t="s">
        <v>127</v>
      </c>
      <c r="N216" s="1768"/>
      <c r="O216" s="1705" t="s">
        <v>1259</v>
      </c>
      <c r="Q216" s="3450">
        <f t="shared" ca="1" si="197"/>
        <v>2</v>
      </c>
      <c r="R216" s="3451">
        <f t="shared" ref="R216:R227" si="201">R215+1</f>
        <v>3</v>
      </c>
      <c r="S216" s="3450" t="str">
        <f t="shared" si="200"/>
        <v>MẶT SAU</v>
      </c>
      <c r="T216" s="3450">
        <f t="shared" si="198"/>
        <v>3</v>
      </c>
      <c r="U216" s="3450" t="str">
        <f t="shared" ca="1" si="199"/>
        <v/>
      </c>
      <c r="V216" s="3450"/>
      <c r="W216" s="3450">
        <v>3</v>
      </c>
      <c r="X216" s="3450" t="str">
        <f ca="1">IF(VLOOKUP(OFFSET($A$25,Z216,0),'Summary Data'!$C:$AV,45,0)&gt;0,"UV ink",Y216)</f>
        <v>Yellow (61-312039-3.1290 Tempo Mix Yellow 4220)</v>
      </c>
      <c r="Y216" s="136" t="s">
        <v>3358</v>
      </c>
      <c r="Z216" s="136">
        <f t="shared" ref="Z216:Z227" si="202">Z215</f>
        <v>187</v>
      </c>
      <c r="AJ216" s="320"/>
      <c r="AM216" s="320"/>
      <c r="AS216" s="3459" t="str">
        <f t="shared" si="194"/>
        <v>localNon Metalize</v>
      </c>
      <c r="AT216" s="3450" t="s">
        <v>3563</v>
      </c>
      <c r="AU216" s="3450" t="s">
        <v>800</v>
      </c>
      <c r="AV216" s="3450" t="e">
        <f ca="1">AV212</f>
        <v>#N/A</v>
      </c>
      <c r="AW216" s="3458">
        <f>AW213</f>
        <v>3</v>
      </c>
    </row>
    <row r="217" spans="1:51" ht="18" hidden="1" customHeight="1" outlineLevel="1">
      <c r="A217" s="3452" t="str">
        <f t="shared" ca="1" si="195"/>
        <v>None</v>
      </c>
      <c r="B217" s="3453">
        <f t="shared" ca="1" si="196"/>
        <v>0</v>
      </c>
      <c r="C217" s="1768"/>
      <c r="E217" s="1705" t="s">
        <v>127</v>
      </c>
      <c r="F217" s="1705" t="s">
        <v>1112</v>
      </c>
      <c r="G217" s="1768"/>
      <c r="H217" s="1768"/>
      <c r="K217" s="3568">
        <f>K200+2</f>
        <v>24</v>
      </c>
      <c r="L217" s="991"/>
      <c r="M217" s="1705" t="s">
        <v>127</v>
      </c>
      <c r="N217" s="1768"/>
      <c r="O217" s="1705" t="s">
        <v>1259</v>
      </c>
      <c r="Q217" s="3450">
        <f t="shared" ca="1" si="197"/>
        <v>2</v>
      </c>
      <c r="R217" s="3451">
        <f t="shared" si="201"/>
        <v>4</v>
      </c>
      <c r="S217" s="3450" t="str">
        <f t="shared" si="200"/>
        <v>MẶT SAU</v>
      </c>
      <c r="T217" s="3450">
        <f t="shared" si="198"/>
        <v>4</v>
      </c>
      <c r="U217" s="3450" t="str">
        <f t="shared" ca="1" si="199"/>
        <v/>
      </c>
      <c r="V217" s="3450"/>
      <c r="W217" s="3450">
        <v>4</v>
      </c>
      <c r="X217" s="3450" t="str">
        <f ca="1">IF(VLOOKUP(OFFSET($A$25,Z217,0),'Summary Data'!$C:$AV,45,0)&gt;0,"UV ink",Y217)</f>
        <v>Black (60-914386-2.1200 Nutri-2 Proc Black ISO 2846-1)</v>
      </c>
      <c r="Y217" s="136" t="s">
        <v>3359</v>
      </c>
      <c r="Z217" s="136">
        <f t="shared" si="202"/>
        <v>187</v>
      </c>
      <c r="AJ217" s="320"/>
      <c r="AM217" s="320"/>
      <c r="AS217" s="3459" t="str">
        <f t="shared" si="194"/>
        <v>localMetalize</v>
      </c>
      <c r="AT217" s="3450" t="s">
        <v>3563</v>
      </c>
      <c r="AU217" s="3450" t="s">
        <v>230</v>
      </c>
      <c r="AV217" s="3450" t="e">
        <f ca="1">AV212</f>
        <v>#N/A</v>
      </c>
      <c r="AW217" s="3450" t="e">
        <f ca="1">IF(AY214="cộng 6",AW213+3,AW213)</f>
        <v>#N/A</v>
      </c>
    </row>
    <row r="218" spans="1:51" ht="18" hidden="1" customHeight="1" outlineLevel="1">
      <c r="A218" s="3452" t="str">
        <f t="shared" ca="1" si="195"/>
        <v>None</v>
      </c>
      <c r="B218" s="3453">
        <f t="shared" ca="1" si="196"/>
        <v>0</v>
      </c>
      <c r="C218" s="1768"/>
      <c r="E218" s="1705" t="s">
        <v>127</v>
      </c>
      <c r="F218" s="1705" t="s">
        <v>1112</v>
      </c>
      <c r="G218" s="1768"/>
      <c r="H218" s="1768"/>
      <c r="J218" s="320"/>
      <c r="K218" s="1579"/>
      <c r="L218" s="991"/>
      <c r="M218" s="1705" t="s">
        <v>127</v>
      </c>
      <c r="N218" s="1768"/>
      <c r="O218" s="1705" t="s">
        <v>1259</v>
      </c>
      <c r="Q218" s="3450">
        <f t="shared" ca="1" si="197"/>
        <v>2</v>
      </c>
      <c r="R218" s="3451">
        <f t="shared" si="201"/>
        <v>5</v>
      </c>
      <c r="S218" s="3450" t="str">
        <f t="shared" si="200"/>
        <v>MẶT SAU</v>
      </c>
      <c r="T218" s="3450">
        <f t="shared" si="198"/>
        <v>5</v>
      </c>
      <c r="U218" s="3450" t="str">
        <f t="shared" ca="1" si="199"/>
        <v/>
      </c>
      <c r="V218" s="3450"/>
      <c r="W218" s="3450"/>
      <c r="X218" s="3450">
        <f ca="1">IF(VLOOKUP(OFFSET($A$25,Z218,0),'Summary Data'!$C:$AV,45,0)&gt;0,"UV ink",Y218)</f>
        <v>0</v>
      </c>
      <c r="Z218" s="136">
        <f t="shared" si="202"/>
        <v>187</v>
      </c>
      <c r="AJ218" s="320"/>
      <c r="AM218" s="320"/>
      <c r="AS218" s="3459" t="str">
        <f t="shared" si="194"/>
        <v>localRigid box</v>
      </c>
      <c r="AT218" s="3450" t="s">
        <v>3563</v>
      </c>
      <c r="AU218" s="3450" t="s">
        <v>3214</v>
      </c>
      <c r="AV218" s="3450" t="e">
        <f ca="1">AV216</f>
        <v>#N/A</v>
      </c>
      <c r="AW218" s="3458">
        <f>AW216</f>
        <v>3</v>
      </c>
    </row>
    <row r="219" spans="1:51" ht="18" hidden="1" customHeight="1" outlineLevel="1">
      <c r="A219" s="3452" t="str">
        <f t="shared" ca="1" si="195"/>
        <v>None</v>
      </c>
      <c r="B219" s="3453">
        <f t="shared" ca="1" si="196"/>
        <v>0</v>
      </c>
      <c r="C219" s="1768"/>
      <c r="E219" s="320"/>
      <c r="F219" s="320"/>
      <c r="G219" s="320"/>
      <c r="H219" s="320"/>
      <c r="J219" s="2472" t="s">
        <v>2341</v>
      </c>
      <c r="K219" s="2473" t="s">
        <v>1417</v>
      </c>
      <c r="L219" s="2473" t="s">
        <v>2342</v>
      </c>
      <c r="Q219" s="3450">
        <f t="shared" ca="1" si="197"/>
        <v>2</v>
      </c>
      <c r="R219" s="3451">
        <f t="shared" si="201"/>
        <v>6</v>
      </c>
      <c r="S219" s="3450" t="str">
        <f t="shared" si="200"/>
        <v>MẶT SAU</v>
      </c>
      <c r="T219" s="3450">
        <f t="shared" si="198"/>
        <v>6</v>
      </c>
      <c r="U219" s="3450" t="str">
        <f t="shared" ca="1" si="199"/>
        <v/>
      </c>
      <c r="V219" s="3450"/>
      <c r="W219" s="3450">
        <v>5</v>
      </c>
      <c r="X219" s="3450" t="str">
        <f ca="1">IF(VLOOKUP(OFFSET($A$25,Z219,0),'Summary Data'!$C:$AV,45,0)&gt;0,"UV ink",Y219)</f>
        <v>Special Ink</v>
      </c>
      <c r="Y219" s="136" t="s">
        <v>1105</v>
      </c>
      <c r="Z219" s="136">
        <f t="shared" si="202"/>
        <v>187</v>
      </c>
      <c r="AJ219" s="320"/>
      <c r="AM219" s="320"/>
    </row>
    <row r="220" spans="1:51" ht="18" hidden="1" customHeight="1" outlineLevel="1">
      <c r="A220" s="3452" t="str">
        <f t="shared" ca="1" si="195"/>
        <v>None</v>
      </c>
      <c r="B220" s="3453">
        <f t="shared" ca="1" si="196"/>
        <v>0</v>
      </c>
      <c r="C220" s="1768"/>
      <c r="E220" s="146" t="s">
        <v>2055</v>
      </c>
      <c r="F220" s="919" t="str">
        <f>A212</f>
        <v>N</v>
      </c>
      <c r="G220" s="320"/>
      <c r="H220" s="320"/>
      <c r="I220" s="320"/>
      <c r="J220" s="2474" t="str">
        <f>Data!$P$817</f>
        <v>LDPE HANWHA 955</v>
      </c>
      <c r="K220" s="2474" t="s">
        <v>106</v>
      </c>
      <c r="L220" s="2475"/>
      <c r="M220" s="1000"/>
      <c r="Q220" s="3450">
        <f t="shared" ca="1" si="197"/>
        <v>2</v>
      </c>
      <c r="R220" s="3451">
        <f t="shared" si="201"/>
        <v>7</v>
      </c>
      <c r="S220" s="3450" t="str">
        <f t="shared" si="200"/>
        <v>MẶT SAU</v>
      </c>
      <c r="T220" s="3450">
        <f t="shared" si="198"/>
        <v>7</v>
      </c>
      <c r="U220" s="3450" t="str">
        <f t="shared" ca="1" si="199"/>
        <v/>
      </c>
      <c r="V220" s="3450"/>
      <c r="W220" s="3450">
        <f>W219+1</f>
        <v>6</v>
      </c>
      <c r="X220" s="3450" t="str">
        <f ca="1">IF(VLOOKUP(OFFSET($A$25,Z220,0),'Summary Data'!$C:$AV,45,0)&gt;0,"UV ink",Y220)</f>
        <v>Special Ink</v>
      </c>
      <c r="Y220" s="136" t="s">
        <v>1105</v>
      </c>
      <c r="Z220" s="136">
        <f t="shared" si="202"/>
        <v>187</v>
      </c>
      <c r="AJ220" s="320"/>
      <c r="AM220" s="320"/>
    </row>
    <row r="221" spans="1:51" ht="18" hidden="1" customHeight="1" outlineLevel="1">
      <c r="A221" s="3452" t="str">
        <f t="shared" ca="1" si="195"/>
        <v>None</v>
      </c>
      <c r="B221" s="3453">
        <f t="shared" ca="1" si="196"/>
        <v>0</v>
      </c>
      <c r="C221" s="1768"/>
      <c r="E221" s="320"/>
      <c r="F221" s="320"/>
      <c r="G221" s="320"/>
      <c r="H221" s="320"/>
      <c r="I221" s="320"/>
      <c r="K221" s="950" t="s">
        <v>2343</v>
      </c>
      <c r="L221" s="833"/>
      <c r="M221" s="1000"/>
      <c r="Q221" s="3450">
        <f t="shared" ca="1" si="197"/>
        <v>2</v>
      </c>
      <c r="R221" s="3451">
        <f t="shared" si="201"/>
        <v>8</v>
      </c>
      <c r="S221" s="3450" t="str">
        <f t="shared" si="200"/>
        <v>MẶT SAU</v>
      </c>
      <c r="T221" s="3450">
        <f t="shared" si="198"/>
        <v>8</v>
      </c>
      <c r="U221" s="3450" t="str">
        <f t="shared" ca="1" si="199"/>
        <v/>
      </c>
      <c r="V221" s="3450"/>
      <c r="W221" s="3450">
        <f>W220+1</f>
        <v>7</v>
      </c>
      <c r="X221" s="3450" t="str">
        <f ca="1">IF(VLOOKUP(OFFSET($A$25,Z221,0),'Summary Data'!$C:$AV,45,0)&gt;0,"UV ink",Y221)</f>
        <v>Special Ink</v>
      </c>
      <c r="Y221" s="136" t="s">
        <v>1105</v>
      </c>
      <c r="Z221" s="136">
        <f t="shared" si="202"/>
        <v>187</v>
      </c>
      <c r="AJ221" s="320"/>
      <c r="AM221" s="320"/>
    </row>
    <row r="222" spans="1:51" ht="18" hidden="1" customHeight="1" outlineLevel="1">
      <c r="A222" s="3452" t="str">
        <f t="shared" ca="1" si="195"/>
        <v>None</v>
      </c>
      <c r="B222" s="3453">
        <f t="shared" ca="1" si="196"/>
        <v>0</v>
      </c>
      <c r="C222" s="1768"/>
      <c r="E222" s="320"/>
      <c r="F222" s="320"/>
      <c r="G222" s="320"/>
      <c r="H222" s="320"/>
      <c r="I222" s="320"/>
      <c r="J222" s="1579"/>
      <c r="K222" s="950" t="s">
        <v>2393</v>
      </c>
      <c r="L222" s="833"/>
      <c r="M222" s="1000"/>
      <c r="Q222" s="3450">
        <f t="shared" ca="1" si="197"/>
        <v>2</v>
      </c>
      <c r="R222" s="3451">
        <f t="shared" si="201"/>
        <v>9</v>
      </c>
      <c r="S222" s="3450" t="str">
        <f t="shared" si="200"/>
        <v>MẶT SAU</v>
      </c>
      <c r="T222" s="3450">
        <f t="shared" si="198"/>
        <v>9</v>
      </c>
      <c r="U222" s="3450" t="str">
        <f t="shared" ca="1" si="199"/>
        <v/>
      </c>
      <c r="V222" s="3450"/>
      <c r="W222" s="3450">
        <f>W221+1</f>
        <v>8</v>
      </c>
      <c r="X222" s="3450" t="str">
        <f ca="1">IF(VLOOKUP(OFFSET($A$25,Z222,0),'Summary Data'!$C:$AV,45,0)&gt;0,"UV ink",Y222)</f>
        <v>Special Ink</v>
      </c>
      <c r="Y222" s="136" t="s">
        <v>1105</v>
      </c>
      <c r="Z222" s="136">
        <f t="shared" si="202"/>
        <v>187</v>
      </c>
      <c r="AJ222" s="320"/>
      <c r="AM222" s="320"/>
    </row>
    <row r="223" spans="1:51" ht="18" hidden="1" customHeight="1" outlineLevel="1">
      <c r="A223" s="3452" t="str">
        <f t="shared" ca="1" si="195"/>
        <v>None</v>
      </c>
      <c r="B223" s="3453">
        <f t="shared" ca="1" si="196"/>
        <v>0</v>
      </c>
      <c r="C223" s="1768"/>
      <c r="E223" s="320"/>
      <c r="F223" s="320"/>
      <c r="G223" s="320"/>
      <c r="H223" s="320"/>
      <c r="I223" s="320"/>
      <c r="J223" s="1579"/>
      <c r="K223" s="991"/>
      <c r="L223" s="833"/>
      <c r="M223" s="1000"/>
      <c r="Q223" s="3450">
        <f t="shared" ca="1" si="197"/>
        <v>2</v>
      </c>
      <c r="R223" s="3451">
        <f t="shared" si="201"/>
        <v>10</v>
      </c>
      <c r="S223" s="3450" t="str">
        <f t="shared" si="200"/>
        <v>MẶT SAU</v>
      </c>
      <c r="T223" s="3450">
        <f t="shared" si="198"/>
        <v>10</v>
      </c>
      <c r="U223" s="3450" t="str">
        <f t="shared" ca="1" si="199"/>
        <v/>
      </c>
      <c r="V223" s="3450"/>
      <c r="W223" s="3450">
        <f>W222+1</f>
        <v>9</v>
      </c>
      <c r="X223" s="3450" t="str">
        <f ca="1">IF(VLOOKUP(OFFSET($A$25,Z223,0),'Summary Data'!$C:$AV,45,0)&gt;0,"UV ink",Y223)</f>
        <v>Special Ink</v>
      </c>
      <c r="Y223" s="136" t="s">
        <v>1105</v>
      </c>
      <c r="Z223" s="136">
        <f t="shared" si="202"/>
        <v>187</v>
      </c>
      <c r="AJ223" s="320"/>
      <c r="AM223" s="320"/>
    </row>
    <row r="224" spans="1:51" ht="18" hidden="1" customHeight="1" outlineLevel="1">
      <c r="A224" s="3452" t="str">
        <f t="shared" ca="1" si="195"/>
        <v>None</v>
      </c>
      <c r="B224" s="3453">
        <f t="shared" ca="1" si="196"/>
        <v>0</v>
      </c>
      <c r="C224" s="1768"/>
      <c r="E224" s="320"/>
      <c r="F224" s="320"/>
      <c r="G224" s="320"/>
      <c r="H224" s="320"/>
      <c r="I224" s="320"/>
      <c r="J224" s="1579"/>
      <c r="K224" s="991"/>
      <c r="L224" s="833"/>
      <c r="M224" s="1000"/>
      <c r="Q224" s="3450">
        <f t="shared" ca="1" si="197"/>
        <v>2</v>
      </c>
      <c r="R224" s="3451">
        <f t="shared" si="201"/>
        <v>11</v>
      </c>
      <c r="S224" s="3450" t="str">
        <f t="shared" si="200"/>
        <v>MẶT SAU</v>
      </c>
      <c r="T224" s="3450">
        <f t="shared" si="198"/>
        <v>11</v>
      </c>
      <c r="U224" s="3450" t="str">
        <f t="shared" ca="1" si="199"/>
        <v/>
      </c>
      <c r="V224" s="3450"/>
      <c r="W224" s="3450"/>
      <c r="X224" s="3450">
        <f ca="1">IF(VLOOKUP(OFFSET($A$25,Z224,0),'Summary Data'!$C:$AV,45,0)&gt;0,"UV ink",Y224)</f>
        <v>0</v>
      </c>
      <c r="Z224" s="136">
        <f t="shared" si="202"/>
        <v>187</v>
      </c>
      <c r="AJ224" s="320"/>
      <c r="AM224" s="320"/>
    </row>
    <row r="225" spans="1:51" ht="18" hidden="1" customHeight="1" outlineLevel="1">
      <c r="A225" s="3452" t="str">
        <f t="shared" ca="1" si="195"/>
        <v>None</v>
      </c>
      <c r="B225" s="3453">
        <f t="shared" ca="1" si="196"/>
        <v>0</v>
      </c>
      <c r="C225" s="1768"/>
      <c r="E225" s="320"/>
      <c r="F225" s="320"/>
      <c r="G225" s="320"/>
      <c r="H225" s="320"/>
      <c r="I225" s="320"/>
      <c r="J225" s="1579"/>
      <c r="K225" s="991"/>
      <c r="L225" s="833"/>
      <c r="M225" s="1000"/>
      <c r="Q225" s="3450">
        <f t="shared" ca="1" si="197"/>
        <v>2</v>
      </c>
      <c r="R225" s="3451">
        <f t="shared" si="201"/>
        <v>12</v>
      </c>
      <c r="S225" s="3450" t="str">
        <f t="shared" si="200"/>
        <v>MẶT SAU</v>
      </c>
      <c r="T225" s="3450">
        <f t="shared" si="198"/>
        <v>12</v>
      </c>
      <c r="U225" s="3450" t="str">
        <f t="shared" ca="1" si="199"/>
        <v/>
      </c>
      <c r="V225" s="3450"/>
      <c r="W225" s="3450"/>
      <c r="X225" s="3450">
        <f ca="1">IF(VLOOKUP(OFFSET($A$25,Z225,0),'Summary Data'!$C:$AV,45,0)&gt;0,"UV ink",Y225)</f>
        <v>0</v>
      </c>
      <c r="Z225" s="136">
        <f t="shared" si="202"/>
        <v>187</v>
      </c>
      <c r="AJ225" s="320"/>
      <c r="AM225" s="320"/>
    </row>
    <row r="226" spans="1:51" ht="18" hidden="1" customHeight="1" outlineLevel="1">
      <c r="A226" s="3452" t="str">
        <f t="shared" ca="1" si="195"/>
        <v>None</v>
      </c>
      <c r="B226" s="3453">
        <f t="shared" ca="1" si="196"/>
        <v>0</v>
      </c>
      <c r="C226" s="1768"/>
      <c r="E226" s="320"/>
      <c r="F226" s="320"/>
      <c r="G226" s="320"/>
      <c r="H226" s="320"/>
      <c r="I226" s="320"/>
      <c r="J226" s="1579"/>
      <c r="K226" s="991"/>
      <c r="L226" s="833"/>
      <c r="M226" s="1000"/>
      <c r="Q226" s="3450">
        <f t="shared" ca="1" si="197"/>
        <v>2</v>
      </c>
      <c r="R226" s="3451">
        <f t="shared" si="201"/>
        <v>13</v>
      </c>
      <c r="S226" s="3450" t="str">
        <f t="shared" si="200"/>
        <v>MẶT SAU</v>
      </c>
      <c r="T226" s="3450">
        <f t="shared" si="198"/>
        <v>13</v>
      </c>
      <c r="U226" s="3450" t="str">
        <f t="shared" ca="1" si="199"/>
        <v/>
      </c>
      <c r="V226" s="3450"/>
      <c r="W226" s="3450"/>
      <c r="X226" s="3450">
        <f ca="1">IF(VLOOKUP(OFFSET($A$25,Z226,0),'Summary Data'!$C:$AV,45,0)&gt;0,"UV ink",Y226)</f>
        <v>0</v>
      </c>
      <c r="Z226" s="136">
        <f t="shared" si="202"/>
        <v>187</v>
      </c>
      <c r="AJ226" s="320"/>
      <c r="AM226" s="320"/>
    </row>
    <row r="227" spans="1:51" ht="18" hidden="1" customHeight="1" outlineLevel="1">
      <c r="A227" s="3452" t="str">
        <f t="shared" ca="1" si="195"/>
        <v>None</v>
      </c>
      <c r="B227" s="3454">
        <f t="shared" ca="1" si="196"/>
        <v>0</v>
      </c>
      <c r="C227" s="1772"/>
      <c r="E227" s="320"/>
      <c r="F227" s="320"/>
      <c r="G227" s="320"/>
      <c r="H227" s="320"/>
      <c r="I227" s="3455" t="s">
        <v>3625</v>
      </c>
      <c r="J227" s="3570" t="str">
        <f>VLOOKUP(J231,Data!$AA$943:$AB$959,2,0)</f>
        <v>Non Metalize</v>
      </c>
      <c r="K227" s="991"/>
      <c r="L227" s="833"/>
      <c r="M227" s="1000"/>
      <c r="Q227" s="3450">
        <f t="shared" ca="1" si="197"/>
        <v>2</v>
      </c>
      <c r="R227" s="3451">
        <f t="shared" si="201"/>
        <v>14</v>
      </c>
      <c r="S227" s="3450" t="str">
        <f t="shared" si="200"/>
        <v>MẶT SAU</v>
      </c>
      <c r="T227" s="3450">
        <f t="shared" si="198"/>
        <v>14</v>
      </c>
      <c r="U227" s="3450" t="str">
        <f t="shared" ca="1" si="199"/>
        <v/>
      </c>
      <c r="V227" s="3450"/>
      <c r="W227" s="3450"/>
      <c r="X227" s="3450">
        <f ca="1">IF(VLOOKUP(OFFSET($A$25,Z227,0),'Summary Data'!$C:$AV,45,0)&gt;0,"UV ink",Y227)</f>
        <v>0</v>
      </c>
      <c r="Z227" s="136">
        <f t="shared" si="202"/>
        <v>187</v>
      </c>
      <c r="AJ227" s="320"/>
      <c r="AM227" s="320"/>
      <c r="AU227" s="136">
        <f>AU210+9</f>
        <v>81</v>
      </c>
    </row>
    <row r="228" spans="1:51" ht="18" hidden="1" customHeight="1" outlineLevel="1">
      <c r="A228" s="919"/>
      <c r="B228" s="919"/>
      <c r="C228" s="320"/>
      <c r="D228" s="320"/>
      <c r="E228" s="320"/>
      <c r="F228" s="320"/>
      <c r="G228" s="320"/>
      <c r="H228" s="320"/>
      <c r="I228" s="320"/>
      <c r="J228" s="1579"/>
      <c r="K228" s="991"/>
      <c r="L228" s="833"/>
      <c r="M228" s="1000"/>
      <c r="AJ228" s="320"/>
      <c r="AM228" s="320"/>
      <c r="AS228" s="3457" t="s">
        <v>2055</v>
      </c>
      <c r="AT228" s="3457" t="s">
        <v>3559</v>
      </c>
      <c r="AU228" s="3457" t="s">
        <v>3560</v>
      </c>
      <c r="AV228" s="3457" t="s">
        <v>3561</v>
      </c>
      <c r="AW228" s="3457"/>
    </row>
    <row r="229" spans="1:51" ht="18" hidden="1" customHeight="1" outlineLevel="1">
      <c r="A229" s="3695" t="str">
        <f>IFERROR(INDEX('Summary Data'!B:B,MATCH(13,'Summary Data'!GS:GS,0),1),"N")</f>
        <v>N</v>
      </c>
      <c r="B229" s="1762"/>
      <c r="C229" s="1614" t="s">
        <v>1393</v>
      </c>
      <c r="D229" s="1614"/>
      <c r="E229" s="1614" t="s">
        <v>649</v>
      </c>
      <c r="F229" s="1614"/>
      <c r="G229" s="1614"/>
      <c r="H229" s="1614">
        <v>0</v>
      </c>
      <c r="I229" s="1614">
        <f>VALUE(LEFT(I227,1)+RIGHT(I227,1))</f>
        <v>0</v>
      </c>
      <c r="J229" s="1763"/>
      <c r="K229" s="1764"/>
      <c r="L229" s="3448" t="e">
        <f ca="1">VLOOKUP(E229&amp;J227,AS230:AW235,4,0)</f>
        <v>#N/A</v>
      </c>
      <c r="M229" s="3449">
        <f>VLOOKUP(E229&amp;J227,AS230:AW235,5,0)</f>
        <v>3</v>
      </c>
      <c r="N229" s="1771"/>
      <c r="O229" s="2150" t="s">
        <v>106</v>
      </c>
      <c r="P229" s="2150" t="s">
        <v>2040</v>
      </c>
      <c r="AJ229" s="320"/>
      <c r="AM229" s="320"/>
      <c r="AS229" s="3459"/>
      <c r="AT229" s="3450" t="e">
        <f ca="1">MATCH(C229&amp;"lấy",OFFSET($BT:$BT,0,AU227),0)</f>
        <v>#N/A</v>
      </c>
      <c r="AU229" s="3450" t="e">
        <f ca="1">MATCH(C229&amp;"lấy",OFFSET($BS:$BS,0,AU227),0)</f>
        <v>#N/A</v>
      </c>
      <c r="AV229" s="3450" t="e">
        <f ca="1">IFERROR(INDEX(AO:AO,AT229,1),INDEX(AN:AN,AU229,1))</f>
        <v>#N/A</v>
      </c>
      <c r="AW229" s="3450"/>
    </row>
    <row r="230" spans="1:51" ht="18" hidden="1" customHeight="1" outlineLevel="1">
      <c r="A230" s="1766" t="s">
        <v>213</v>
      </c>
      <c r="B230" s="1767" t="s">
        <v>1469</v>
      </c>
      <c r="C230" s="1767" t="s">
        <v>445</v>
      </c>
      <c r="D230" s="3104">
        <v>2.2000000000000002</v>
      </c>
      <c r="E230" s="1766" t="s">
        <v>1610</v>
      </c>
      <c r="F230" s="1767" t="s">
        <v>1470</v>
      </c>
      <c r="G230" s="1767" t="s">
        <v>1469</v>
      </c>
      <c r="H230" s="1767" t="s">
        <v>445</v>
      </c>
      <c r="I230" s="319"/>
      <c r="J230" s="1766" t="s">
        <v>495</v>
      </c>
      <c r="K230" s="1767" t="s">
        <v>183</v>
      </c>
      <c r="L230" s="1769" t="s">
        <v>1471</v>
      </c>
      <c r="M230" s="1766" t="s">
        <v>215</v>
      </c>
      <c r="N230" s="1767" t="s">
        <v>1469</v>
      </c>
      <c r="O230" s="1767" t="s">
        <v>1473</v>
      </c>
      <c r="Q230" s="3450" t="s">
        <v>3568</v>
      </c>
      <c r="R230" s="3450" t="s">
        <v>3569</v>
      </c>
      <c r="S230" s="3450" t="s">
        <v>3570</v>
      </c>
      <c r="T230" s="3450" t="s">
        <v>3571</v>
      </c>
      <c r="U230" s="3450" t="s">
        <v>3572</v>
      </c>
      <c r="V230" s="3450"/>
      <c r="W230" s="3450" t="s">
        <v>3574</v>
      </c>
      <c r="X230" s="3450"/>
      <c r="AJ230" s="320"/>
      <c r="AM230" s="320"/>
      <c r="AS230" s="3459" t="str">
        <f t="shared" ref="AS230:AS235" si="203">AT230&amp;AU230</f>
        <v>importNon Metalize</v>
      </c>
      <c r="AT230" s="3450" t="s">
        <v>3562</v>
      </c>
      <c r="AU230" s="3450" t="s">
        <v>800</v>
      </c>
      <c r="AV230" s="3450" t="e">
        <f ca="1">IF(E229="local",AV229,CEILING(J229+3,5))</f>
        <v>#N/A</v>
      </c>
      <c r="AW230" s="3458">
        <f>K229+3</f>
        <v>3</v>
      </c>
    </row>
    <row r="231" spans="1:51" ht="18" hidden="1" customHeight="1" outlineLevel="1">
      <c r="A231" s="3452" t="str">
        <f t="shared" ref="A231:A244" ca="1" si="204">IF($Q231=1,VLOOKUP($T231,OFFSET($W$27,Z231,0,15,2),2,0),"None")</f>
        <v>None</v>
      </c>
      <c r="B231" s="3453">
        <f t="shared" ref="B231:B244" ca="1" si="205">IF($Q231=1,IF($U231="mặt trước",ROUNDUP(OFFSET($J$25,Z231,0)*OFFSET($K$25,Z231,0)*OFFSET($D$26,Z231,0)/10^9*10000/VALUE(LEFT(OFFSET($I$23,Z231,0),1)),2),ROUNDUP(OFFSET($J$25,Z231,0)*OFFSET($K$25,Z231,0)*OFFSET($D$27,Z231,0)/10^9*10000/VALUE(RIGHT(OFFSET($I$23,Z231,0),1)),2)),0)</f>
        <v>0</v>
      </c>
      <c r="C231" s="1768"/>
      <c r="D231" s="3104">
        <v>2.1</v>
      </c>
      <c r="E231" s="1705" t="s">
        <v>127</v>
      </c>
      <c r="F231" s="1705" t="s">
        <v>1112</v>
      </c>
      <c r="G231" s="1768"/>
      <c r="H231" s="1768"/>
      <c r="J231" s="1705" t="s">
        <v>127</v>
      </c>
      <c r="K231" s="3571">
        <f>IF(VLOOKUP(J231,Data!$AN$943:$AO$959,2,0)="No",CEILING(K233+3,50),HLOOKUP(J231,Data!$AJ$943:$AL$2000,K234,0))</f>
        <v>50</v>
      </c>
      <c r="L231" s="1770" t="s">
        <v>1472</v>
      </c>
      <c r="M231" s="1705" t="s">
        <v>127</v>
      </c>
      <c r="N231" s="1768"/>
      <c r="O231" s="1705" t="s">
        <v>1259</v>
      </c>
      <c r="Q231" s="3450">
        <f t="shared" ref="Q231:Q244" ca="1" si="206">IFERROR(FIND("M",U231),2)</f>
        <v>2</v>
      </c>
      <c r="R231" s="3451">
        <v>1</v>
      </c>
      <c r="S231" s="3450" t="str">
        <f>IF(R231&lt;=VALUE(LEFT($I$176,1)),"MẶT TRƯỚC","MẶT SAU")</f>
        <v>MẶT SAU</v>
      </c>
      <c r="T231" s="3450">
        <f t="shared" ref="T231:T244" si="207">IF(S231="MẶT TRƯỚC",R231,IF(S230="mặt sau",T230+1,1))</f>
        <v>1</v>
      </c>
      <c r="U231" s="3450" t="str">
        <f t="shared" ref="U231:U244" ca="1" si="208">IF(S231="MẶT SAU",IF(T231&lt;=VALUE(RIGHT(OFFSET($I$23,Z231,0),1)),"MẶT SAU",""),S231)</f>
        <v/>
      </c>
      <c r="V231" s="3450"/>
      <c r="W231" s="3450">
        <v>1</v>
      </c>
      <c r="X231" s="3450" t="str">
        <f ca="1">IF(VLOOKUP(OFFSET($A$25,Z231,0),'Summary Data'!$C:$AV,45,0)&gt;0,"UV ink",Y231)</f>
        <v>Cyan (60-124773-7.1200 Nutri-2 Proc Cyan ISO 2846-1)</v>
      </c>
      <c r="Y231" s="136" t="s">
        <v>3356</v>
      </c>
      <c r="Z231" s="136">
        <f>Z214+17</f>
        <v>204</v>
      </c>
      <c r="AJ231" s="320"/>
      <c r="AM231" s="320"/>
      <c r="AS231" s="3459" t="str">
        <f t="shared" si="203"/>
        <v>importMetalize</v>
      </c>
      <c r="AT231" s="3450" t="s">
        <v>3562</v>
      </c>
      <c r="AU231" s="3450" t="s">
        <v>230</v>
      </c>
      <c r="AV231" s="3450" t="e">
        <f ca="1">IF(AX231="cộng 3",AV230,CEILING(J229+6,5))</f>
        <v>#N/A</v>
      </c>
      <c r="AW231" s="3450" t="e">
        <f ca="1">IF(AY231="cộng 6",AW230+3,AW230)</f>
        <v>#N/A</v>
      </c>
      <c r="AX231" s="3477" t="e">
        <f ca="1">IF(AV230&lt;AW230,"cộng 3","cộng 6")</f>
        <v>#N/A</v>
      </c>
      <c r="AY231" s="3476" t="e">
        <f ca="1">IF(AX231="cộng 3","cộng 6","cộng 3")</f>
        <v>#N/A</v>
      </c>
    </row>
    <row r="232" spans="1:51" ht="18" hidden="1" customHeight="1" outlineLevel="1">
      <c r="A232" s="3452" t="str">
        <f t="shared" ca="1" si="204"/>
        <v>None</v>
      </c>
      <c r="B232" s="3453">
        <f t="shared" ca="1" si="205"/>
        <v>0</v>
      </c>
      <c r="C232" s="1768"/>
      <c r="E232" s="1705" t="s">
        <v>127</v>
      </c>
      <c r="F232" s="1705" t="s">
        <v>1112</v>
      </c>
      <c r="G232" s="1768"/>
      <c r="H232" s="1768"/>
      <c r="J232" s="1705" t="s">
        <v>127</v>
      </c>
      <c r="K232" s="1705"/>
      <c r="L232" s="1770" t="s">
        <v>1472</v>
      </c>
      <c r="M232" s="1705" t="s">
        <v>127</v>
      </c>
      <c r="N232" s="1768"/>
      <c r="O232" s="1705" t="s">
        <v>1259</v>
      </c>
      <c r="Q232" s="3450">
        <f t="shared" ca="1" si="206"/>
        <v>2</v>
      </c>
      <c r="R232" s="3451">
        <f>R231+1</f>
        <v>2</v>
      </c>
      <c r="S232" s="3450" t="str">
        <f t="shared" ref="S232:S244" si="209">IF(R232&lt;=VALUE(LEFT($I$176,1)),"MẶT TRƯỚC","MẶT SAU")</f>
        <v>MẶT SAU</v>
      </c>
      <c r="T232" s="3450">
        <f t="shared" si="207"/>
        <v>2</v>
      </c>
      <c r="U232" s="3450" t="str">
        <f t="shared" ca="1" si="208"/>
        <v/>
      </c>
      <c r="V232" s="3450"/>
      <c r="W232" s="3450">
        <v>2</v>
      </c>
      <c r="X232" s="3450" t="str">
        <f ca="1">IF(VLOOKUP(OFFSET($A$25,Z232,0),'Summary Data'!$C:$AV,45,0)&gt;0,"UV ink",Y232)</f>
        <v>Magenta (61-804489-5.1290 Tempo Mix Magenta A)</v>
      </c>
      <c r="Y232" s="136" t="s">
        <v>3357</v>
      </c>
      <c r="Z232" s="136">
        <f>Z231</f>
        <v>204</v>
      </c>
      <c r="AJ232" s="320"/>
      <c r="AM232" s="320"/>
      <c r="AS232" s="3459" t="str">
        <f t="shared" si="203"/>
        <v>importRigid box</v>
      </c>
      <c r="AT232" s="3450" t="s">
        <v>3562</v>
      </c>
      <c r="AU232" s="3450" t="s">
        <v>3214</v>
      </c>
      <c r="AV232" s="3450" t="e">
        <f ca="1">AV230</f>
        <v>#N/A</v>
      </c>
      <c r="AW232" s="3450">
        <f>AW230</f>
        <v>3</v>
      </c>
      <c r="AX232" s="3477"/>
      <c r="AY232" s="3476"/>
    </row>
    <row r="233" spans="1:51" ht="18" hidden="1" customHeight="1" outlineLevel="1">
      <c r="A233" s="3452" t="str">
        <f t="shared" ca="1" si="204"/>
        <v>None</v>
      </c>
      <c r="B233" s="3453">
        <f t="shared" ca="1" si="205"/>
        <v>0</v>
      </c>
      <c r="C233" s="1768"/>
      <c r="E233" s="1705" t="s">
        <v>127</v>
      </c>
      <c r="F233" s="1705" t="s">
        <v>1112</v>
      </c>
      <c r="G233" s="1768"/>
      <c r="H233" s="1768"/>
      <c r="J233" s="314" t="s">
        <v>3471</v>
      </c>
      <c r="K233" s="3385"/>
      <c r="L233" s="991"/>
      <c r="M233" s="1705" t="s">
        <v>127</v>
      </c>
      <c r="N233" s="1768"/>
      <c r="O233" s="1705" t="s">
        <v>1259</v>
      </c>
      <c r="Q233" s="3450">
        <f t="shared" ca="1" si="206"/>
        <v>2</v>
      </c>
      <c r="R233" s="3451">
        <f t="shared" ref="R233:R244" si="210">R232+1</f>
        <v>3</v>
      </c>
      <c r="S233" s="3450" t="str">
        <f t="shared" si="209"/>
        <v>MẶT SAU</v>
      </c>
      <c r="T233" s="3450">
        <f t="shared" si="207"/>
        <v>3</v>
      </c>
      <c r="U233" s="3450" t="str">
        <f t="shared" ca="1" si="208"/>
        <v/>
      </c>
      <c r="V233" s="3450"/>
      <c r="W233" s="3450">
        <v>3</v>
      </c>
      <c r="X233" s="3450" t="str">
        <f ca="1">IF(VLOOKUP(OFFSET($A$25,Z233,0),'Summary Data'!$C:$AV,45,0)&gt;0,"UV ink",Y233)</f>
        <v>Yellow (61-312039-3.1290 Tempo Mix Yellow 4220)</v>
      </c>
      <c r="Y233" s="136" t="s">
        <v>3358</v>
      </c>
      <c r="Z233" s="136">
        <f t="shared" ref="Z233:Z244" si="211">Z232</f>
        <v>204</v>
      </c>
      <c r="AJ233" s="320"/>
      <c r="AM233" s="320"/>
      <c r="AS233" s="3459" t="str">
        <f t="shared" si="203"/>
        <v>localNon Metalize</v>
      </c>
      <c r="AT233" s="3450" t="s">
        <v>3563</v>
      </c>
      <c r="AU233" s="3450" t="s">
        <v>800</v>
      </c>
      <c r="AV233" s="3450" t="e">
        <f ca="1">AV229</f>
        <v>#N/A</v>
      </c>
      <c r="AW233" s="3458">
        <f>AW230</f>
        <v>3</v>
      </c>
    </row>
    <row r="234" spans="1:51" ht="18" hidden="1" customHeight="1" outlineLevel="1">
      <c r="A234" s="3452" t="str">
        <f t="shared" ca="1" si="204"/>
        <v>None</v>
      </c>
      <c r="B234" s="3453">
        <f t="shared" ca="1" si="205"/>
        <v>0</v>
      </c>
      <c r="C234" s="1768"/>
      <c r="E234" s="1705" t="s">
        <v>127</v>
      </c>
      <c r="F234" s="1705" t="s">
        <v>1112</v>
      </c>
      <c r="G234" s="1768"/>
      <c r="H234" s="1768"/>
      <c r="K234" s="3568">
        <f>K217+2</f>
        <v>26</v>
      </c>
      <c r="L234" s="991"/>
      <c r="M234" s="1705" t="s">
        <v>127</v>
      </c>
      <c r="N234" s="1768"/>
      <c r="O234" s="1705" t="s">
        <v>1259</v>
      </c>
      <c r="Q234" s="3450">
        <f t="shared" ca="1" si="206"/>
        <v>2</v>
      </c>
      <c r="R234" s="3451">
        <f t="shared" si="210"/>
        <v>4</v>
      </c>
      <c r="S234" s="3450" t="str">
        <f t="shared" si="209"/>
        <v>MẶT SAU</v>
      </c>
      <c r="T234" s="3450">
        <f t="shared" si="207"/>
        <v>4</v>
      </c>
      <c r="U234" s="3450" t="str">
        <f t="shared" ca="1" si="208"/>
        <v/>
      </c>
      <c r="V234" s="3450"/>
      <c r="W234" s="3450">
        <v>4</v>
      </c>
      <c r="X234" s="3450" t="str">
        <f ca="1">IF(VLOOKUP(OFFSET($A$25,Z234,0),'Summary Data'!$C:$AV,45,0)&gt;0,"UV ink",Y234)</f>
        <v>Black (60-914386-2.1200 Nutri-2 Proc Black ISO 2846-1)</v>
      </c>
      <c r="Y234" s="136" t="s">
        <v>3359</v>
      </c>
      <c r="Z234" s="136">
        <f t="shared" si="211"/>
        <v>204</v>
      </c>
      <c r="AJ234" s="320"/>
      <c r="AM234" s="320"/>
      <c r="AS234" s="3459" t="str">
        <f t="shared" si="203"/>
        <v>localMetalize</v>
      </c>
      <c r="AT234" s="3450" t="s">
        <v>3563</v>
      </c>
      <c r="AU234" s="3450" t="s">
        <v>230</v>
      </c>
      <c r="AV234" s="3450" t="e">
        <f ca="1">AV229</f>
        <v>#N/A</v>
      </c>
      <c r="AW234" s="3450" t="e">
        <f ca="1">IF(AY231="cộng 6",AW230+3,AW230)</f>
        <v>#N/A</v>
      </c>
    </row>
    <row r="235" spans="1:51" ht="18" hidden="1" customHeight="1" outlineLevel="1">
      <c r="A235" s="3452" t="str">
        <f t="shared" ca="1" si="204"/>
        <v>None</v>
      </c>
      <c r="B235" s="3453">
        <f t="shared" ca="1" si="205"/>
        <v>0</v>
      </c>
      <c r="C235" s="1768"/>
      <c r="E235" s="1705" t="s">
        <v>127</v>
      </c>
      <c r="F235" s="1705" t="s">
        <v>1112</v>
      </c>
      <c r="G235" s="1768"/>
      <c r="H235" s="1768"/>
      <c r="J235" s="320"/>
      <c r="K235" s="1579"/>
      <c r="L235" s="991"/>
      <c r="M235" s="1705" t="s">
        <v>127</v>
      </c>
      <c r="N235" s="1768"/>
      <c r="O235" s="1705" t="s">
        <v>1259</v>
      </c>
      <c r="Q235" s="3450">
        <f t="shared" ca="1" si="206"/>
        <v>2</v>
      </c>
      <c r="R235" s="3451">
        <f t="shared" si="210"/>
        <v>5</v>
      </c>
      <c r="S235" s="3450" t="str">
        <f t="shared" si="209"/>
        <v>MẶT SAU</v>
      </c>
      <c r="T235" s="3450">
        <f t="shared" si="207"/>
        <v>5</v>
      </c>
      <c r="U235" s="3450" t="str">
        <f t="shared" ca="1" si="208"/>
        <v/>
      </c>
      <c r="V235" s="3450"/>
      <c r="W235" s="3450"/>
      <c r="X235" s="3450">
        <f ca="1">IF(VLOOKUP(OFFSET($A$25,Z235,0),'Summary Data'!$C:$AV,45,0)&gt;0,"UV ink",Y235)</f>
        <v>0</v>
      </c>
      <c r="Z235" s="136">
        <f t="shared" si="211"/>
        <v>204</v>
      </c>
      <c r="AJ235" s="320"/>
      <c r="AM235" s="320"/>
      <c r="AS235" s="3459" t="str">
        <f t="shared" si="203"/>
        <v>localRigid box</v>
      </c>
      <c r="AT235" s="3450" t="s">
        <v>3563</v>
      </c>
      <c r="AU235" s="3450" t="s">
        <v>3214</v>
      </c>
      <c r="AV235" s="3450" t="e">
        <f ca="1">AV233</f>
        <v>#N/A</v>
      </c>
      <c r="AW235" s="3458">
        <f>AW233</f>
        <v>3</v>
      </c>
    </row>
    <row r="236" spans="1:51" ht="18" hidden="1" customHeight="1" outlineLevel="1">
      <c r="A236" s="3452" t="str">
        <f t="shared" ca="1" si="204"/>
        <v>None</v>
      </c>
      <c r="B236" s="3453">
        <f t="shared" ca="1" si="205"/>
        <v>0</v>
      </c>
      <c r="C236" s="1768"/>
      <c r="E236" s="320"/>
      <c r="F236" s="320"/>
      <c r="G236" s="320"/>
      <c r="H236" s="320"/>
      <c r="J236" s="2472" t="s">
        <v>2341</v>
      </c>
      <c r="K236" s="2473" t="s">
        <v>1417</v>
      </c>
      <c r="L236" s="2473" t="s">
        <v>2342</v>
      </c>
      <c r="Q236" s="3450">
        <f t="shared" ca="1" si="206"/>
        <v>2</v>
      </c>
      <c r="R236" s="3451">
        <f t="shared" si="210"/>
        <v>6</v>
      </c>
      <c r="S236" s="3450" t="str">
        <f t="shared" si="209"/>
        <v>MẶT SAU</v>
      </c>
      <c r="T236" s="3450">
        <f t="shared" si="207"/>
        <v>6</v>
      </c>
      <c r="U236" s="3450" t="str">
        <f t="shared" ca="1" si="208"/>
        <v/>
      </c>
      <c r="V236" s="3450"/>
      <c r="W236" s="3450">
        <v>5</v>
      </c>
      <c r="X236" s="3450" t="str">
        <f ca="1">IF(VLOOKUP(OFFSET($A$25,Z236,0),'Summary Data'!$C:$AV,45,0)&gt;0,"UV ink",Y236)</f>
        <v>Special Ink</v>
      </c>
      <c r="Y236" s="136" t="s">
        <v>1105</v>
      </c>
      <c r="Z236" s="136">
        <f t="shared" si="211"/>
        <v>204</v>
      </c>
      <c r="AJ236" s="320"/>
      <c r="AM236" s="320"/>
    </row>
    <row r="237" spans="1:51" ht="18" hidden="1" customHeight="1" outlineLevel="1">
      <c r="A237" s="3452" t="str">
        <f t="shared" ca="1" si="204"/>
        <v>None</v>
      </c>
      <c r="B237" s="3453">
        <f t="shared" ca="1" si="205"/>
        <v>0</v>
      </c>
      <c r="C237" s="1768"/>
      <c r="E237" s="146" t="s">
        <v>2055</v>
      </c>
      <c r="F237" s="919" t="str">
        <f>A229</f>
        <v>N</v>
      </c>
      <c r="G237" s="320"/>
      <c r="H237" s="320"/>
      <c r="I237" s="320"/>
      <c r="J237" s="2474" t="str">
        <f>Data!$P$817</f>
        <v>LDPE HANWHA 955</v>
      </c>
      <c r="K237" s="2474" t="s">
        <v>106</v>
      </c>
      <c r="L237" s="2475"/>
      <c r="M237" s="1000"/>
      <c r="Q237" s="3450">
        <f t="shared" ca="1" si="206"/>
        <v>2</v>
      </c>
      <c r="R237" s="3451">
        <f t="shared" si="210"/>
        <v>7</v>
      </c>
      <c r="S237" s="3450" t="str">
        <f t="shared" si="209"/>
        <v>MẶT SAU</v>
      </c>
      <c r="T237" s="3450">
        <f t="shared" si="207"/>
        <v>7</v>
      </c>
      <c r="U237" s="3450" t="str">
        <f t="shared" ca="1" si="208"/>
        <v/>
      </c>
      <c r="V237" s="3450"/>
      <c r="W237" s="3450">
        <f>W236+1</f>
        <v>6</v>
      </c>
      <c r="X237" s="3450" t="str">
        <f ca="1">IF(VLOOKUP(OFFSET($A$25,Z237,0),'Summary Data'!$C:$AV,45,0)&gt;0,"UV ink",Y237)</f>
        <v>Special Ink</v>
      </c>
      <c r="Y237" s="136" t="s">
        <v>1105</v>
      </c>
      <c r="Z237" s="136">
        <f t="shared" si="211"/>
        <v>204</v>
      </c>
      <c r="AJ237" s="320"/>
      <c r="AM237" s="320"/>
    </row>
    <row r="238" spans="1:51" ht="18" hidden="1" customHeight="1" outlineLevel="1">
      <c r="A238" s="3452" t="str">
        <f t="shared" ca="1" si="204"/>
        <v>None</v>
      </c>
      <c r="B238" s="3453">
        <f t="shared" ca="1" si="205"/>
        <v>0</v>
      </c>
      <c r="C238" s="1768"/>
      <c r="E238" s="320"/>
      <c r="F238" s="320"/>
      <c r="G238" s="320"/>
      <c r="H238" s="320"/>
      <c r="I238" s="320"/>
      <c r="K238" s="950" t="s">
        <v>2343</v>
      </c>
      <c r="L238" s="833"/>
      <c r="M238" s="1000"/>
      <c r="Q238" s="3450">
        <f t="shared" ca="1" si="206"/>
        <v>2</v>
      </c>
      <c r="R238" s="3451">
        <f t="shared" si="210"/>
        <v>8</v>
      </c>
      <c r="S238" s="3450" t="str">
        <f t="shared" si="209"/>
        <v>MẶT SAU</v>
      </c>
      <c r="T238" s="3450">
        <f t="shared" si="207"/>
        <v>8</v>
      </c>
      <c r="U238" s="3450" t="str">
        <f t="shared" ca="1" si="208"/>
        <v/>
      </c>
      <c r="V238" s="3450"/>
      <c r="W238" s="3450">
        <f>W237+1</f>
        <v>7</v>
      </c>
      <c r="X238" s="3450" t="str">
        <f ca="1">IF(VLOOKUP(OFFSET($A$25,Z238,0),'Summary Data'!$C:$AV,45,0)&gt;0,"UV ink",Y238)</f>
        <v>Special Ink</v>
      </c>
      <c r="Y238" s="136" t="s">
        <v>1105</v>
      </c>
      <c r="Z238" s="136">
        <f t="shared" si="211"/>
        <v>204</v>
      </c>
      <c r="AJ238" s="320"/>
      <c r="AM238" s="320"/>
    </row>
    <row r="239" spans="1:51" ht="18" hidden="1" customHeight="1" outlineLevel="1">
      <c r="A239" s="3452" t="str">
        <f t="shared" ca="1" si="204"/>
        <v>None</v>
      </c>
      <c r="B239" s="3453">
        <f t="shared" ca="1" si="205"/>
        <v>0</v>
      </c>
      <c r="C239" s="1768"/>
      <c r="E239" s="320"/>
      <c r="F239" s="320"/>
      <c r="G239" s="320"/>
      <c r="H239" s="320"/>
      <c r="I239" s="320"/>
      <c r="J239" s="1579"/>
      <c r="K239" s="950" t="s">
        <v>2393</v>
      </c>
      <c r="L239" s="833"/>
      <c r="M239" s="1000"/>
      <c r="Q239" s="3450">
        <f t="shared" ca="1" si="206"/>
        <v>2</v>
      </c>
      <c r="R239" s="3451">
        <f t="shared" si="210"/>
        <v>9</v>
      </c>
      <c r="S239" s="3450" t="str">
        <f t="shared" si="209"/>
        <v>MẶT SAU</v>
      </c>
      <c r="T239" s="3450">
        <f t="shared" si="207"/>
        <v>9</v>
      </c>
      <c r="U239" s="3450" t="str">
        <f t="shared" ca="1" si="208"/>
        <v/>
      </c>
      <c r="V239" s="3450"/>
      <c r="W239" s="3450">
        <f>W238+1</f>
        <v>8</v>
      </c>
      <c r="X239" s="3450" t="str">
        <f ca="1">IF(VLOOKUP(OFFSET($A$25,Z239,0),'Summary Data'!$C:$AV,45,0)&gt;0,"UV ink",Y239)</f>
        <v>Special Ink</v>
      </c>
      <c r="Y239" s="136" t="s">
        <v>1105</v>
      </c>
      <c r="Z239" s="136">
        <f t="shared" si="211"/>
        <v>204</v>
      </c>
      <c r="AJ239" s="320"/>
      <c r="AM239" s="320"/>
    </row>
    <row r="240" spans="1:51" ht="18" hidden="1" customHeight="1" outlineLevel="1">
      <c r="A240" s="3452" t="str">
        <f t="shared" ca="1" si="204"/>
        <v>None</v>
      </c>
      <c r="B240" s="3453">
        <f t="shared" ca="1" si="205"/>
        <v>0</v>
      </c>
      <c r="C240" s="1768"/>
      <c r="E240" s="320"/>
      <c r="F240" s="320"/>
      <c r="G240" s="320"/>
      <c r="H240" s="320"/>
      <c r="I240" s="320"/>
      <c r="J240" s="1579"/>
      <c r="K240" s="991"/>
      <c r="L240" s="833"/>
      <c r="M240" s="1000"/>
      <c r="Q240" s="3450">
        <f t="shared" ca="1" si="206"/>
        <v>2</v>
      </c>
      <c r="R240" s="3451">
        <f t="shared" si="210"/>
        <v>10</v>
      </c>
      <c r="S240" s="3450" t="str">
        <f t="shared" si="209"/>
        <v>MẶT SAU</v>
      </c>
      <c r="T240" s="3450">
        <f t="shared" si="207"/>
        <v>10</v>
      </c>
      <c r="U240" s="3450" t="str">
        <f t="shared" ca="1" si="208"/>
        <v/>
      </c>
      <c r="V240" s="3450"/>
      <c r="W240" s="3450">
        <f>W239+1</f>
        <v>9</v>
      </c>
      <c r="X240" s="3450" t="str">
        <f ca="1">IF(VLOOKUP(OFFSET($A$25,Z240,0),'Summary Data'!$C:$AV,45,0)&gt;0,"UV ink",Y240)</f>
        <v>Special Ink</v>
      </c>
      <c r="Y240" s="136" t="s">
        <v>1105</v>
      </c>
      <c r="Z240" s="136">
        <f t="shared" si="211"/>
        <v>204</v>
      </c>
      <c r="AJ240" s="320"/>
      <c r="AM240" s="320"/>
    </row>
    <row r="241" spans="1:51" ht="18" hidden="1" customHeight="1" outlineLevel="1">
      <c r="A241" s="3452" t="str">
        <f t="shared" ca="1" si="204"/>
        <v>None</v>
      </c>
      <c r="B241" s="3453">
        <f t="shared" ca="1" si="205"/>
        <v>0</v>
      </c>
      <c r="C241" s="1768"/>
      <c r="E241" s="320"/>
      <c r="F241" s="320"/>
      <c r="G241" s="320"/>
      <c r="H241" s="320"/>
      <c r="I241" s="320"/>
      <c r="J241" s="1579"/>
      <c r="K241" s="991"/>
      <c r="L241" s="833"/>
      <c r="M241" s="1000"/>
      <c r="Q241" s="3450">
        <f t="shared" ca="1" si="206"/>
        <v>2</v>
      </c>
      <c r="R241" s="3451">
        <f t="shared" si="210"/>
        <v>11</v>
      </c>
      <c r="S241" s="3450" t="str">
        <f t="shared" si="209"/>
        <v>MẶT SAU</v>
      </c>
      <c r="T241" s="3450">
        <f t="shared" si="207"/>
        <v>11</v>
      </c>
      <c r="U241" s="3450" t="str">
        <f t="shared" ca="1" si="208"/>
        <v/>
      </c>
      <c r="V241" s="3450"/>
      <c r="W241" s="3450"/>
      <c r="X241" s="3450">
        <f ca="1">IF(VLOOKUP(OFFSET($A$25,Z241,0),'Summary Data'!$C:$AV,45,0)&gt;0,"UV ink",Y241)</f>
        <v>0</v>
      </c>
      <c r="Z241" s="136">
        <f t="shared" si="211"/>
        <v>204</v>
      </c>
      <c r="AJ241" s="320"/>
      <c r="AM241" s="320"/>
    </row>
    <row r="242" spans="1:51" ht="18" hidden="1" customHeight="1" outlineLevel="1">
      <c r="A242" s="3452" t="str">
        <f t="shared" ca="1" si="204"/>
        <v>None</v>
      </c>
      <c r="B242" s="3453">
        <f t="shared" ca="1" si="205"/>
        <v>0</v>
      </c>
      <c r="C242" s="1768"/>
      <c r="E242" s="320"/>
      <c r="F242" s="320"/>
      <c r="G242" s="320"/>
      <c r="H242" s="320"/>
      <c r="I242" s="320"/>
      <c r="J242" s="1579"/>
      <c r="K242" s="991"/>
      <c r="L242" s="833"/>
      <c r="M242" s="1000"/>
      <c r="Q242" s="3450">
        <f t="shared" ca="1" si="206"/>
        <v>2</v>
      </c>
      <c r="R242" s="3451">
        <f t="shared" si="210"/>
        <v>12</v>
      </c>
      <c r="S242" s="3450" t="str">
        <f t="shared" si="209"/>
        <v>MẶT SAU</v>
      </c>
      <c r="T242" s="3450">
        <f t="shared" si="207"/>
        <v>12</v>
      </c>
      <c r="U242" s="3450" t="str">
        <f t="shared" ca="1" si="208"/>
        <v/>
      </c>
      <c r="V242" s="3450"/>
      <c r="W242" s="3450"/>
      <c r="X242" s="3450">
        <f ca="1">IF(VLOOKUP(OFFSET($A$25,Z242,0),'Summary Data'!$C:$AV,45,0)&gt;0,"UV ink",Y242)</f>
        <v>0</v>
      </c>
      <c r="Z242" s="136">
        <f t="shared" si="211"/>
        <v>204</v>
      </c>
      <c r="AJ242" s="320"/>
      <c r="AM242" s="320"/>
    </row>
    <row r="243" spans="1:51" ht="18" hidden="1" customHeight="1" outlineLevel="1">
      <c r="A243" s="3452" t="str">
        <f t="shared" ca="1" si="204"/>
        <v>None</v>
      </c>
      <c r="B243" s="3453">
        <f t="shared" ca="1" si="205"/>
        <v>0</v>
      </c>
      <c r="C243" s="1768"/>
      <c r="E243" s="320"/>
      <c r="F243" s="320"/>
      <c r="G243" s="320"/>
      <c r="H243" s="320"/>
      <c r="I243" s="320"/>
      <c r="J243" s="1579"/>
      <c r="K243" s="991"/>
      <c r="L243" s="833"/>
      <c r="M243" s="1000"/>
      <c r="Q243" s="3450">
        <f t="shared" ca="1" si="206"/>
        <v>2</v>
      </c>
      <c r="R243" s="3451">
        <f t="shared" si="210"/>
        <v>13</v>
      </c>
      <c r="S243" s="3450" t="str">
        <f t="shared" si="209"/>
        <v>MẶT SAU</v>
      </c>
      <c r="T243" s="3450">
        <f t="shared" si="207"/>
        <v>13</v>
      </c>
      <c r="U243" s="3450" t="str">
        <f t="shared" ca="1" si="208"/>
        <v/>
      </c>
      <c r="V243" s="3450"/>
      <c r="W243" s="3450"/>
      <c r="X243" s="3450">
        <f ca="1">IF(VLOOKUP(OFFSET($A$25,Z243,0),'Summary Data'!$C:$AV,45,0)&gt;0,"UV ink",Y243)</f>
        <v>0</v>
      </c>
      <c r="Z243" s="136">
        <f t="shared" si="211"/>
        <v>204</v>
      </c>
      <c r="AJ243" s="320"/>
      <c r="AM243" s="320"/>
    </row>
    <row r="244" spans="1:51" ht="18" hidden="1" customHeight="1" outlineLevel="1">
      <c r="A244" s="3452" t="str">
        <f t="shared" ca="1" si="204"/>
        <v>None</v>
      </c>
      <c r="B244" s="3454">
        <f t="shared" ca="1" si="205"/>
        <v>0</v>
      </c>
      <c r="C244" s="1772"/>
      <c r="E244" s="320"/>
      <c r="F244" s="320"/>
      <c r="G244" s="320"/>
      <c r="H244" s="320"/>
      <c r="I244" s="3455" t="s">
        <v>3625</v>
      </c>
      <c r="J244" s="3570" t="str">
        <f>VLOOKUP(J248,Data!$AA$943:$AB$959,2,0)</f>
        <v>Non Metalize</v>
      </c>
      <c r="K244" s="991"/>
      <c r="L244" s="833"/>
      <c r="M244" s="1000"/>
      <c r="Q244" s="3450">
        <f t="shared" ca="1" si="206"/>
        <v>2</v>
      </c>
      <c r="R244" s="3451">
        <f t="shared" si="210"/>
        <v>14</v>
      </c>
      <c r="S244" s="3450" t="str">
        <f t="shared" si="209"/>
        <v>MẶT SAU</v>
      </c>
      <c r="T244" s="3450">
        <f t="shared" si="207"/>
        <v>14</v>
      </c>
      <c r="U244" s="3450" t="str">
        <f t="shared" ca="1" si="208"/>
        <v/>
      </c>
      <c r="V244" s="3450"/>
      <c r="W244" s="3450"/>
      <c r="X244" s="3450">
        <f ca="1">IF(VLOOKUP(OFFSET($A$25,Z244,0),'Summary Data'!$C:$AV,45,0)&gt;0,"UV ink",Y244)</f>
        <v>0</v>
      </c>
      <c r="Z244" s="136">
        <f t="shared" si="211"/>
        <v>204</v>
      </c>
      <c r="AJ244" s="320"/>
      <c r="AM244" s="320"/>
      <c r="AU244" s="136">
        <f>AU227+9</f>
        <v>90</v>
      </c>
    </row>
    <row r="245" spans="1:51" ht="18" hidden="1" customHeight="1" outlineLevel="1">
      <c r="A245" s="919"/>
      <c r="B245" s="919"/>
      <c r="C245" s="320"/>
      <c r="D245" s="320"/>
      <c r="E245" s="320"/>
      <c r="F245" s="320"/>
      <c r="G245" s="320"/>
      <c r="H245" s="320"/>
      <c r="I245" s="320"/>
      <c r="J245" s="1579"/>
      <c r="K245" s="991"/>
      <c r="L245" s="833"/>
      <c r="M245" s="1000"/>
      <c r="AJ245" s="320"/>
      <c r="AM245" s="320"/>
      <c r="AS245" s="3457" t="s">
        <v>2055</v>
      </c>
      <c r="AT245" s="3457" t="s">
        <v>3559</v>
      </c>
      <c r="AU245" s="3457" t="s">
        <v>3560</v>
      </c>
      <c r="AV245" s="3457" t="s">
        <v>3561</v>
      </c>
      <c r="AW245" s="3457"/>
    </row>
    <row r="246" spans="1:51" ht="18" hidden="1" customHeight="1" outlineLevel="1">
      <c r="A246" s="3695" t="str">
        <f>IFERROR(INDEX('Summary Data'!B:B,MATCH(14,'Summary Data'!GS:GS,0),1),"N")</f>
        <v>1st</v>
      </c>
      <c r="B246" s="1762"/>
      <c r="C246" s="1614" t="s">
        <v>1393</v>
      </c>
      <c r="D246" s="1614"/>
      <c r="E246" s="1614" t="s">
        <v>649</v>
      </c>
      <c r="F246" s="1614"/>
      <c r="G246" s="1614"/>
      <c r="H246" s="1614">
        <v>0</v>
      </c>
      <c r="I246" s="1614">
        <f>VALUE(LEFT(I244,1)+RIGHT(I244,1))</f>
        <v>0</v>
      </c>
      <c r="J246" s="1763"/>
      <c r="K246" s="1764"/>
      <c r="L246" s="3448" t="e">
        <f ca="1">VLOOKUP(E246&amp;J244,AS247:AW252,4,0)</f>
        <v>#N/A</v>
      </c>
      <c r="M246" s="3449">
        <f>VLOOKUP(E246&amp;J244,AS247:AW252,5,0)</f>
        <v>3</v>
      </c>
      <c r="N246" s="1771"/>
      <c r="O246" s="2150" t="s">
        <v>106</v>
      </c>
      <c r="P246" s="2150" t="s">
        <v>2040</v>
      </c>
      <c r="AJ246" s="320"/>
      <c r="AM246" s="320"/>
      <c r="AS246" s="3459"/>
      <c r="AT246" s="3450" t="e">
        <f ca="1">MATCH(C246&amp;"lấy",OFFSET($BT:$BT,0,AU244),0)</f>
        <v>#N/A</v>
      </c>
      <c r="AU246" s="3450" t="e">
        <f ca="1">MATCH(C246&amp;"lấy",OFFSET($BS:$BS,0,AU244),0)</f>
        <v>#N/A</v>
      </c>
      <c r="AV246" s="3450" t="e">
        <f ca="1">IFERROR(INDEX(AO:AO,AT246,1),INDEX(AN:AN,AU246,1))</f>
        <v>#N/A</v>
      </c>
      <c r="AW246" s="3450"/>
    </row>
    <row r="247" spans="1:51" ht="18" hidden="1" customHeight="1" outlineLevel="1">
      <c r="A247" s="1766" t="s">
        <v>213</v>
      </c>
      <c r="B247" s="1767" t="s">
        <v>1469</v>
      </c>
      <c r="C247" s="1767" t="s">
        <v>445</v>
      </c>
      <c r="D247" s="3104">
        <v>2.2000000000000002</v>
      </c>
      <c r="E247" s="1766" t="s">
        <v>1610</v>
      </c>
      <c r="F247" s="1767" t="s">
        <v>1470</v>
      </c>
      <c r="G247" s="1767" t="s">
        <v>1469</v>
      </c>
      <c r="H247" s="1767" t="s">
        <v>445</v>
      </c>
      <c r="I247" s="319"/>
      <c r="J247" s="1766" t="s">
        <v>495</v>
      </c>
      <c r="K247" s="1767" t="s">
        <v>183</v>
      </c>
      <c r="L247" s="1769" t="s">
        <v>1471</v>
      </c>
      <c r="M247" s="1766" t="s">
        <v>215</v>
      </c>
      <c r="N247" s="1767" t="s">
        <v>1469</v>
      </c>
      <c r="O247" s="1767" t="s">
        <v>1473</v>
      </c>
      <c r="Q247" s="3450" t="s">
        <v>3568</v>
      </c>
      <c r="R247" s="3450" t="s">
        <v>3569</v>
      </c>
      <c r="S247" s="3450" t="s">
        <v>3570</v>
      </c>
      <c r="T247" s="3450" t="s">
        <v>3571</v>
      </c>
      <c r="U247" s="3450" t="s">
        <v>3572</v>
      </c>
      <c r="V247" s="3450"/>
      <c r="W247" s="3450" t="s">
        <v>3574</v>
      </c>
      <c r="X247" s="3450"/>
      <c r="AJ247" s="320"/>
      <c r="AM247" s="320"/>
      <c r="AS247" s="3459" t="str">
        <f t="shared" ref="AS247:AS252" si="212">AT247&amp;AU247</f>
        <v>importNon Metalize</v>
      </c>
      <c r="AT247" s="3450" t="s">
        <v>3562</v>
      </c>
      <c r="AU247" s="3450" t="s">
        <v>800</v>
      </c>
      <c r="AV247" s="3450" t="e">
        <f ca="1">IF(E246="local",AV246,CEILING(J246+3,5))</f>
        <v>#N/A</v>
      </c>
      <c r="AW247" s="3458">
        <f>K246+3</f>
        <v>3</v>
      </c>
    </row>
    <row r="248" spans="1:51" ht="18" hidden="1" customHeight="1" outlineLevel="1">
      <c r="A248" s="3452" t="str">
        <f t="shared" ref="A248:A261" ca="1" si="213">IF($Q248=1,VLOOKUP($T248,OFFSET($W$27,Z248,0,15,2),2,0),"None")</f>
        <v>None</v>
      </c>
      <c r="B248" s="3453">
        <f t="shared" ref="B248:B261" ca="1" si="214">IF($Q248=1,IF($U248="mặt trước",ROUNDUP(OFFSET($J$25,Z248,0)*OFFSET($K$25,Z248,0)*OFFSET($D$26,Z248,0)/10^9*10000/VALUE(LEFT(OFFSET($I$23,Z248,0),1)),2),ROUNDUP(OFFSET($J$25,Z248,0)*OFFSET($K$25,Z248,0)*OFFSET($D$27,Z248,0)/10^9*10000/VALUE(RIGHT(OFFSET($I$23,Z248,0),1)),2)),0)</f>
        <v>0</v>
      </c>
      <c r="C248" s="1768"/>
      <c r="D248" s="3104">
        <v>2.1</v>
      </c>
      <c r="E248" s="1705" t="s">
        <v>127</v>
      </c>
      <c r="F248" s="1705" t="s">
        <v>1112</v>
      </c>
      <c r="G248" s="1768"/>
      <c r="H248" s="1768"/>
      <c r="J248" s="1705" t="s">
        <v>127</v>
      </c>
      <c r="K248" s="3571">
        <f>IF(VLOOKUP(J248,Data!$AN$943:$AO$959,2,0)="No",CEILING(K250+3,50),HLOOKUP(J248,Data!$AJ$943:$AL$2000,K251,0))</f>
        <v>50</v>
      </c>
      <c r="L248" s="1770" t="s">
        <v>1472</v>
      </c>
      <c r="M248" s="1705" t="s">
        <v>127</v>
      </c>
      <c r="N248" s="1768"/>
      <c r="O248" s="1705" t="s">
        <v>1259</v>
      </c>
      <c r="Q248" s="3450">
        <f t="shared" ref="Q248:Q261" ca="1" si="215">IFERROR(FIND("M",U248),2)</f>
        <v>2</v>
      </c>
      <c r="R248" s="3451">
        <v>1</v>
      </c>
      <c r="S248" s="3450" t="str">
        <f>IF(R248&lt;=VALUE(LEFT($I$176,1)),"MẶT TRƯỚC","MẶT SAU")</f>
        <v>MẶT SAU</v>
      </c>
      <c r="T248" s="3450">
        <f t="shared" ref="T248:T261" si="216">IF(S248="MẶT TRƯỚC",R248,IF(S247="mặt sau",T247+1,1))</f>
        <v>1</v>
      </c>
      <c r="U248" s="3450" t="str">
        <f t="shared" ref="U248:U261" ca="1" si="217">IF(S248="MẶT SAU",IF(T248&lt;=VALUE(RIGHT(OFFSET($I$23,Z248,0),1)),"MẶT SAU",""),S248)</f>
        <v/>
      </c>
      <c r="V248" s="3450"/>
      <c r="W248" s="3450">
        <v>1</v>
      </c>
      <c r="X248" s="3450" t="str">
        <f ca="1">IF(VLOOKUP(OFFSET($A$25,Z248,0),'Summary Data'!$C:$AV,45,0)&gt;0,"UV ink",Y248)</f>
        <v>Cyan (60-124773-7.1200 Nutri-2 Proc Cyan ISO 2846-1)</v>
      </c>
      <c r="Y248" s="136" t="s">
        <v>3356</v>
      </c>
      <c r="Z248" s="136">
        <f>Z231+17</f>
        <v>221</v>
      </c>
      <c r="AJ248" s="320"/>
      <c r="AM248" s="320"/>
      <c r="AS248" s="3459" t="str">
        <f t="shared" si="212"/>
        <v>importMetalize</v>
      </c>
      <c r="AT248" s="3450" t="s">
        <v>3562</v>
      </c>
      <c r="AU248" s="3450" t="s">
        <v>230</v>
      </c>
      <c r="AV248" s="3450" t="e">
        <f ca="1">IF(AX248="cộng 3",AV247,CEILING(J246+6,5))</f>
        <v>#N/A</v>
      </c>
      <c r="AW248" s="3450" t="e">
        <f ca="1">IF(AY248="cộng 6",AW247+3,AW247)</f>
        <v>#N/A</v>
      </c>
      <c r="AX248" s="3477" t="e">
        <f ca="1">IF(AV247&lt;AW247,"cộng 3","cộng 6")</f>
        <v>#N/A</v>
      </c>
      <c r="AY248" s="3476" t="e">
        <f ca="1">IF(AX248="cộng 3","cộng 6","cộng 3")</f>
        <v>#N/A</v>
      </c>
    </row>
    <row r="249" spans="1:51" ht="18" hidden="1" customHeight="1" outlineLevel="1">
      <c r="A249" s="3452" t="str">
        <f t="shared" ca="1" si="213"/>
        <v>None</v>
      </c>
      <c r="B249" s="3453">
        <f t="shared" ca="1" si="214"/>
        <v>0</v>
      </c>
      <c r="C249" s="1768"/>
      <c r="E249" s="1705" t="s">
        <v>127</v>
      </c>
      <c r="F249" s="1705" t="s">
        <v>1112</v>
      </c>
      <c r="G249" s="1768"/>
      <c r="H249" s="1768"/>
      <c r="J249" s="1705" t="s">
        <v>127</v>
      </c>
      <c r="K249" s="1705"/>
      <c r="L249" s="1770" t="s">
        <v>1472</v>
      </c>
      <c r="M249" s="1705" t="s">
        <v>127</v>
      </c>
      <c r="N249" s="1768"/>
      <c r="O249" s="1705" t="s">
        <v>1259</v>
      </c>
      <c r="Q249" s="3450">
        <f t="shared" ca="1" si="215"/>
        <v>2</v>
      </c>
      <c r="R249" s="3451">
        <f>R248+1</f>
        <v>2</v>
      </c>
      <c r="S249" s="3450" t="str">
        <f t="shared" ref="S249:S261" si="218">IF(R249&lt;=VALUE(LEFT($I$176,1)),"MẶT TRƯỚC","MẶT SAU")</f>
        <v>MẶT SAU</v>
      </c>
      <c r="T249" s="3450">
        <f t="shared" si="216"/>
        <v>2</v>
      </c>
      <c r="U249" s="3450" t="str">
        <f t="shared" ca="1" si="217"/>
        <v/>
      </c>
      <c r="V249" s="3450"/>
      <c r="W249" s="3450">
        <v>2</v>
      </c>
      <c r="X249" s="3450" t="str">
        <f ca="1">IF(VLOOKUP(OFFSET($A$25,Z249,0),'Summary Data'!$C:$AV,45,0)&gt;0,"UV ink",Y249)</f>
        <v>Magenta (61-804489-5.1290 Tempo Mix Magenta A)</v>
      </c>
      <c r="Y249" s="136" t="s">
        <v>3357</v>
      </c>
      <c r="Z249" s="136">
        <f>Z248</f>
        <v>221</v>
      </c>
      <c r="AJ249" s="320"/>
      <c r="AM249" s="320"/>
      <c r="AS249" s="3459" t="str">
        <f t="shared" si="212"/>
        <v>importRigid box</v>
      </c>
      <c r="AT249" s="3450" t="s">
        <v>3562</v>
      </c>
      <c r="AU249" s="3450" t="s">
        <v>3214</v>
      </c>
      <c r="AV249" s="3450" t="e">
        <f ca="1">AV247</f>
        <v>#N/A</v>
      </c>
      <c r="AW249" s="3450">
        <f>AW247</f>
        <v>3</v>
      </c>
      <c r="AX249" s="3477"/>
      <c r="AY249" s="3476"/>
    </row>
    <row r="250" spans="1:51" ht="18" hidden="1" customHeight="1" outlineLevel="1">
      <c r="A250" s="3452" t="str">
        <f t="shared" ca="1" si="213"/>
        <v>None</v>
      </c>
      <c r="B250" s="3453">
        <f t="shared" ca="1" si="214"/>
        <v>0</v>
      </c>
      <c r="C250" s="1768"/>
      <c r="E250" s="1705" t="s">
        <v>127</v>
      </c>
      <c r="F250" s="1705" t="s">
        <v>1112</v>
      </c>
      <c r="G250" s="1768"/>
      <c r="H250" s="1768"/>
      <c r="J250" s="314" t="s">
        <v>3471</v>
      </c>
      <c r="K250" s="3385"/>
      <c r="L250" s="991"/>
      <c r="M250" s="1705" t="s">
        <v>127</v>
      </c>
      <c r="N250" s="1768"/>
      <c r="O250" s="1705" t="s">
        <v>1259</v>
      </c>
      <c r="Q250" s="3450">
        <f t="shared" ca="1" si="215"/>
        <v>2</v>
      </c>
      <c r="R250" s="3451">
        <f t="shared" ref="R250:R261" si="219">R249+1</f>
        <v>3</v>
      </c>
      <c r="S250" s="3450" t="str">
        <f t="shared" si="218"/>
        <v>MẶT SAU</v>
      </c>
      <c r="T250" s="3450">
        <f t="shared" si="216"/>
        <v>3</v>
      </c>
      <c r="U250" s="3450" t="str">
        <f t="shared" ca="1" si="217"/>
        <v/>
      </c>
      <c r="V250" s="3450"/>
      <c r="W250" s="3450">
        <v>3</v>
      </c>
      <c r="X250" s="3450" t="str">
        <f ca="1">IF(VLOOKUP(OFFSET($A$25,Z250,0),'Summary Data'!$C:$AV,45,0)&gt;0,"UV ink",Y250)</f>
        <v>Yellow (61-312039-3.1290 Tempo Mix Yellow 4220)</v>
      </c>
      <c r="Y250" s="136" t="s">
        <v>3358</v>
      </c>
      <c r="Z250" s="136">
        <f t="shared" ref="Z250:Z261" si="220">Z249</f>
        <v>221</v>
      </c>
      <c r="AJ250" s="320"/>
      <c r="AM250" s="320"/>
      <c r="AS250" s="3459" t="str">
        <f t="shared" si="212"/>
        <v>localNon Metalize</v>
      </c>
      <c r="AT250" s="3450" t="s">
        <v>3563</v>
      </c>
      <c r="AU250" s="3450" t="s">
        <v>800</v>
      </c>
      <c r="AV250" s="3450" t="e">
        <f ca="1">AV246</f>
        <v>#N/A</v>
      </c>
      <c r="AW250" s="3458">
        <f>AW247</f>
        <v>3</v>
      </c>
    </row>
    <row r="251" spans="1:51" ht="18" hidden="1" customHeight="1" outlineLevel="1">
      <c r="A251" s="3452" t="str">
        <f t="shared" ca="1" si="213"/>
        <v>None</v>
      </c>
      <c r="B251" s="3453">
        <f t="shared" ca="1" si="214"/>
        <v>0</v>
      </c>
      <c r="C251" s="1768"/>
      <c r="E251" s="1705" t="s">
        <v>127</v>
      </c>
      <c r="F251" s="1705" t="s">
        <v>1112</v>
      </c>
      <c r="G251" s="1768"/>
      <c r="H251" s="1768"/>
      <c r="K251" s="3568">
        <f>K234+2</f>
        <v>28</v>
      </c>
      <c r="L251" s="991"/>
      <c r="M251" s="1705" t="s">
        <v>127</v>
      </c>
      <c r="N251" s="1768"/>
      <c r="O251" s="1705" t="s">
        <v>1259</v>
      </c>
      <c r="Q251" s="3450">
        <f t="shared" ca="1" si="215"/>
        <v>2</v>
      </c>
      <c r="R251" s="3451">
        <f t="shared" si="219"/>
        <v>4</v>
      </c>
      <c r="S251" s="3450" t="str">
        <f t="shared" si="218"/>
        <v>MẶT SAU</v>
      </c>
      <c r="T251" s="3450">
        <f t="shared" si="216"/>
        <v>4</v>
      </c>
      <c r="U251" s="3450" t="str">
        <f t="shared" ca="1" si="217"/>
        <v/>
      </c>
      <c r="V251" s="3450"/>
      <c r="W251" s="3450">
        <v>4</v>
      </c>
      <c r="X251" s="3450" t="str">
        <f ca="1">IF(VLOOKUP(OFFSET($A$25,Z251,0),'Summary Data'!$C:$AV,45,0)&gt;0,"UV ink",Y251)</f>
        <v>Black (60-914386-2.1200 Nutri-2 Proc Black ISO 2846-1)</v>
      </c>
      <c r="Y251" s="136" t="s">
        <v>3359</v>
      </c>
      <c r="Z251" s="136">
        <f t="shared" si="220"/>
        <v>221</v>
      </c>
      <c r="AJ251" s="320"/>
      <c r="AM251" s="320"/>
      <c r="AS251" s="3459" t="str">
        <f t="shared" si="212"/>
        <v>localMetalize</v>
      </c>
      <c r="AT251" s="3450" t="s">
        <v>3563</v>
      </c>
      <c r="AU251" s="3450" t="s">
        <v>230</v>
      </c>
      <c r="AV251" s="3450" t="e">
        <f ca="1">AV246</f>
        <v>#N/A</v>
      </c>
      <c r="AW251" s="3450" t="e">
        <f ca="1">IF(AY248="cộng 6",AW247+3,AW247)</f>
        <v>#N/A</v>
      </c>
    </row>
    <row r="252" spans="1:51" ht="18" hidden="1" customHeight="1" outlineLevel="1">
      <c r="A252" s="3452" t="str">
        <f t="shared" ca="1" si="213"/>
        <v>None</v>
      </c>
      <c r="B252" s="3453">
        <f t="shared" ca="1" si="214"/>
        <v>0</v>
      </c>
      <c r="C252" s="1768"/>
      <c r="E252" s="1705" t="s">
        <v>127</v>
      </c>
      <c r="F252" s="1705" t="s">
        <v>1112</v>
      </c>
      <c r="G252" s="1768"/>
      <c r="H252" s="1768"/>
      <c r="J252" s="320"/>
      <c r="K252" s="1579"/>
      <c r="L252" s="991"/>
      <c r="M252" s="1705" t="s">
        <v>127</v>
      </c>
      <c r="N252" s="1768"/>
      <c r="O252" s="1705" t="s">
        <v>1259</v>
      </c>
      <c r="Q252" s="3450">
        <f t="shared" ca="1" si="215"/>
        <v>2</v>
      </c>
      <c r="R252" s="3451">
        <f t="shared" si="219"/>
        <v>5</v>
      </c>
      <c r="S252" s="3450" t="str">
        <f t="shared" si="218"/>
        <v>MẶT SAU</v>
      </c>
      <c r="T252" s="3450">
        <f t="shared" si="216"/>
        <v>5</v>
      </c>
      <c r="U252" s="3450" t="str">
        <f t="shared" ca="1" si="217"/>
        <v/>
      </c>
      <c r="V252" s="3450"/>
      <c r="W252" s="3450"/>
      <c r="X252" s="3450">
        <f ca="1">IF(VLOOKUP(OFFSET($A$25,Z252,0),'Summary Data'!$C:$AV,45,0)&gt;0,"UV ink",Y252)</f>
        <v>0</v>
      </c>
      <c r="Z252" s="136">
        <f t="shared" si="220"/>
        <v>221</v>
      </c>
      <c r="AJ252" s="320"/>
      <c r="AM252" s="320"/>
      <c r="AS252" s="3459" t="str">
        <f t="shared" si="212"/>
        <v>localRigid box</v>
      </c>
      <c r="AT252" s="3450" t="s">
        <v>3563</v>
      </c>
      <c r="AU252" s="3450" t="s">
        <v>3214</v>
      </c>
      <c r="AV252" s="3450" t="e">
        <f ca="1">AV250</f>
        <v>#N/A</v>
      </c>
      <c r="AW252" s="3458">
        <f>AW250</f>
        <v>3</v>
      </c>
    </row>
    <row r="253" spans="1:51" ht="18" hidden="1" customHeight="1" outlineLevel="1">
      <c r="A253" s="3452" t="str">
        <f t="shared" ca="1" si="213"/>
        <v>None</v>
      </c>
      <c r="B253" s="3453">
        <f t="shared" ca="1" si="214"/>
        <v>0</v>
      </c>
      <c r="C253" s="1768"/>
      <c r="E253" s="320"/>
      <c r="F253" s="320"/>
      <c r="G253" s="320"/>
      <c r="H253" s="320"/>
      <c r="J253" s="2472" t="s">
        <v>2341</v>
      </c>
      <c r="K253" s="2473" t="s">
        <v>1417</v>
      </c>
      <c r="L253" s="2473" t="s">
        <v>2342</v>
      </c>
      <c r="Q253" s="3450">
        <f t="shared" ca="1" si="215"/>
        <v>2</v>
      </c>
      <c r="R253" s="3451">
        <f t="shared" si="219"/>
        <v>6</v>
      </c>
      <c r="S253" s="3450" t="str">
        <f t="shared" si="218"/>
        <v>MẶT SAU</v>
      </c>
      <c r="T253" s="3450">
        <f t="shared" si="216"/>
        <v>6</v>
      </c>
      <c r="U253" s="3450" t="str">
        <f t="shared" ca="1" si="217"/>
        <v/>
      </c>
      <c r="V253" s="3450"/>
      <c r="W253" s="3450">
        <v>5</v>
      </c>
      <c r="X253" s="3450" t="str">
        <f ca="1">IF(VLOOKUP(OFFSET($A$25,Z253,0),'Summary Data'!$C:$AV,45,0)&gt;0,"UV ink",Y253)</f>
        <v>Special Ink</v>
      </c>
      <c r="Y253" s="136" t="s">
        <v>1105</v>
      </c>
      <c r="Z253" s="136">
        <f t="shared" si="220"/>
        <v>221</v>
      </c>
      <c r="AJ253" s="320"/>
      <c r="AM253" s="320"/>
    </row>
    <row r="254" spans="1:51" ht="18" hidden="1" customHeight="1" outlineLevel="1">
      <c r="A254" s="3452" t="str">
        <f t="shared" ca="1" si="213"/>
        <v>None</v>
      </c>
      <c r="B254" s="3453">
        <f t="shared" ca="1" si="214"/>
        <v>0</v>
      </c>
      <c r="C254" s="1768"/>
      <c r="E254" s="146" t="s">
        <v>2055</v>
      </c>
      <c r="F254" s="919" t="str">
        <f>A246</f>
        <v>1st</v>
      </c>
      <c r="G254" s="320"/>
      <c r="H254" s="320"/>
      <c r="I254" s="320"/>
      <c r="J254" s="2474" t="str">
        <f>Data!$P$817</f>
        <v>LDPE HANWHA 955</v>
      </c>
      <c r="K254" s="2474" t="s">
        <v>106</v>
      </c>
      <c r="L254" s="2475"/>
      <c r="M254" s="1000"/>
      <c r="Q254" s="3450">
        <f t="shared" ca="1" si="215"/>
        <v>2</v>
      </c>
      <c r="R254" s="3451">
        <f t="shared" si="219"/>
        <v>7</v>
      </c>
      <c r="S254" s="3450" t="str">
        <f t="shared" si="218"/>
        <v>MẶT SAU</v>
      </c>
      <c r="T254" s="3450">
        <f t="shared" si="216"/>
        <v>7</v>
      </c>
      <c r="U254" s="3450" t="str">
        <f t="shared" ca="1" si="217"/>
        <v/>
      </c>
      <c r="V254" s="3450"/>
      <c r="W254" s="3450">
        <f>W253+1</f>
        <v>6</v>
      </c>
      <c r="X254" s="3450" t="str">
        <f ca="1">IF(VLOOKUP(OFFSET($A$25,Z254,0),'Summary Data'!$C:$AV,45,0)&gt;0,"UV ink",Y254)</f>
        <v>Special Ink</v>
      </c>
      <c r="Y254" s="136" t="s">
        <v>1105</v>
      </c>
      <c r="Z254" s="136">
        <f t="shared" si="220"/>
        <v>221</v>
      </c>
      <c r="AJ254" s="320"/>
      <c r="AM254" s="320"/>
    </row>
    <row r="255" spans="1:51" ht="18" hidden="1" customHeight="1" outlineLevel="1">
      <c r="A255" s="3452" t="str">
        <f t="shared" ca="1" si="213"/>
        <v>None</v>
      </c>
      <c r="B255" s="3453">
        <f t="shared" ca="1" si="214"/>
        <v>0</v>
      </c>
      <c r="C255" s="1768"/>
      <c r="E255" s="320"/>
      <c r="F255" s="320"/>
      <c r="G255" s="320"/>
      <c r="H255" s="320"/>
      <c r="I255" s="320"/>
      <c r="K255" s="950" t="s">
        <v>2343</v>
      </c>
      <c r="L255" s="833"/>
      <c r="M255" s="1000"/>
      <c r="Q255" s="3450">
        <f t="shared" ca="1" si="215"/>
        <v>2</v>
      </c>
      <c r="R255" s="3451">
        <f t="shared" si="219"/>
        <v>8</v>
      </c>
      <c r="S255" s="3450" t="str">
        <f t="shared" si="218"/>
        <v>MẶT SAU</v>
      </c>
      <c r="T255" s="3450">
        <f t="shared" si="216"/>
        <v>8</v>
      </c>
      <c r="U255" s="3450" t="str">
        <f t="shared" ca="1" si="217"/>
        <v/>
      </c>
      <c r="V255" s="3450"/>
      <c r="W255" s="3450">
        <f>W254+1</f>
        <v>7</v>
      </c>
      <c r="X255" s="3450" t="str">
        <f ca="1">IF(VLOOKUP(OFFSET($A$25,Z255,0),'Summary Data'!$C:$AV,45,0)&gt;0,"UV ink",Y255)</f>
        <v>Special Ink</v>
      </c>
      <c r="Y255" s="136" t="s">
        <v>1105</v>
      </c>
      <c r="Z255" s="136">
        <f t="shared" si="220"/>
        <v>221</v>
      </c>
      <c r="AJ255" s="320"/>
      <c r="AM255" s="320"/>
    </row>
    <row r="256" spans="1:51" ht="18" hidden="1" customHeight="1" outlineLevel="1">
      <c r="A256" s="3452" t="str">
        <f t="shared" ca="1" si="213"/>
        <v>None</v>
      </c>
      <c r="B256" s="3453">
        <f t="shared" ca="1" si="214"/>
        <v>0</v>
      </c>
      <c r="C256" s="1768"/>
      <c r="E256" s="320"/>
      <c r="F256" s="320"/>
      <c r="G256" s="320"/>
      <c r="H256" s="320"/>
      <c r="I256" s="320"/>
      <c r="J256" s="1579"/>
      <c r="K256" s="950" t="s">
        <v>2393</v>
      </c>
      <c r="L256" s="833"/>
      <c r="M256" s="1000"/>
      <c r="Q256" s="3450">
        <f t="shared" ca="1" si="215"/>
        <v>2</v>
      </c>
      <c r="R256" s="3451">
        <f t="shared" si="219"/>
        <v>9</v>
      </c>
      <c r="S256" s="3450" t="str">
        <f t="shared" si="218"/>
        <v>MẶT SAU</v>
      </c>
      <c r="T256" s="3450">
        <f t="shared" si="216"/>
        <v>9</v>
      </c>
      <c r="U256" s="3450" t="str">
        <f t="shared" ca="1" si="217"/>
        <v/>
      </c>
      <c r="V256" s="3450"/>
      <c r="W256" s="3450">
        <f>W255+1</f>
        <v>8</v>
      </c>
      <c r="X256" s="3450" t="str">
        <f ca="1">IF(VLOOKUP(OFFSET($A$25,Z256,0),'Summary Data'!$C:$AV,45,0)&gt;0,"UV ink",Y256)</f>
        <v>Special Ink</v>
      </c>
      <c r="Y256" s="136" t="s">
        <v>1105</v>
      </c>
      <c r="Z256" s="136">
        <f t="shared" si="220"/>
        <v>221</v>
      </c>
      <c r="AJ256" s="320"/>
      <c r="AM256" s="320"/>
    </row>
    <row r="257" spans="1:51" ht="18" hidden="1" customHeight="1" outlineLevel="1">
      <c r="A257" s="3452" t="str">
        <f t="shared" ca="1" si="213"/>
        <v>None</v>
      </c>
      <c r="B257" s="3453">
        <f t="shared" ca="1" si="214"/>
        <v>0</v>
      </c>
      <c r="C257" s="1768"/>
      <c r="E257" s="320"/>
      <c r="F257" s="320"/>
      <c r="G257" s="320"/>
      <c r="H257" s="320"/>
      <c r="I257" s="320"/>
      <c r="J257" s="1579"/>
      <c r="K257" s="991"/>
      <c r="L257" s="833"/>
      <c r="M257" s="1000"/>
      <c r="Q257" s="3450">
        <f t="shared" ca="1" si="215"/>
        <v>2</v>
      </c>
      <c r="R257" s="3451">
        <f t="shared" si="219"/>
        <v>10</v>
      </c>
      <c r="S257" s="3450" t="str">
        <f t="shared" si="218"/>
        <v>MẶT SAU</v>
      </c>
      <c r="T257" s="3450">
        <f t="shared" si="216"/>
        <v>10</v>
      </c>
      <c r="U257" s="3450" t="str">
        <f t="shared" ca="1" si="217"/>
        <v/>
      </c>
      <c r="V257" s="3450"/>
      <c r="W257" s="3450">
        <f>W256+1</f>
        <v>9</v>
      </c>
      <c r="X257" s="3450" t="str">
        <f ca="1">IF(VLOOKUP(OFFSET($A$25,Z257,0),'Summary Data'!$C:$AV,45,0)&gt;0,"UV ink",Y257)</f>
        <v>Special Ink</v>
      </c>
      <c r="Y257" s="136" t="s">
        <v>1105</v>
      </c>
      <c r="Z257" s="136">
        <f t="shared" si="220"/>
        <v>221</v>
      </c>
      <c r="AJ257" s="320"/>
      <c r="AM257" s="320"/>
    </row>
    <row r="258" spans="1:51" ht="18" hidden="1" customHeight="1" outlineLevel="1">
      <c r="A258" s="3452" t="str">
        <f t="shared" ca="1" si="213"/>
        <v>None</v>
      </c>
      <c r="B258" s="3453">
        <f t="shared" ca="1" si="214"/>
        <v>0</v>
      </c>
      <c r="C258" s="1768"/>
      <c r="E258" s="320"/>
      <c r="F258" s="320"/>
      <c r="G258" s="320"/>
      <c r="H258" s="320"/>
      <c r="I258" s="320"/>
      <c r="J258" s="1579"/>
      <c r="K258" s="991"/>
      <c r="L258" s="833"/>
      <c r="M258" s="1000"/>
      <c r="Q258" s="3450">
        <f t="shared" ca="1" si="215"/>
        <v>2</v>
      </c>
      <c r="R258" s="3451">
        <f t="shared" si="219"/>
        <v>11</v>
      </c>
      <c r="S258" s="3450" t="str">
        <f t="shared" si="218"/>
        <v>MẶT SAU</v>
      </c>
      <c r="T258" s="3450">
        <f t="shared" si="216"/>
        <v>11</v>
      </c>
      <c r="U258" s="3450" t="str">
        <f t="shared" ca="1" si="217"/>
        <v/>
      </c>
      <c r="V258" s="3450"/>
      <c r="W258" s="3450"/>
      <c r="X258" s="3450">
        <f ca="1">IF(VLOOKUP(OFFSET($A$25,Z258,0),'Summary Data'!$C:$AV,45,0)&gt;0,"UV ink",Y258)</f>
        <v>0</v>
      </c>
      <c r="Z258" s="136">
        <f t="shared" si="220"/>
        <v>221</v>
      </c>
      <c r="AJ258" s="320"/>
      <c r="AM258" s="320"/>
    </row>
    <row r="259" spans="1:51" ht="18" hidden="1" customHeight="1" outlineLevel="1">
      <c r="A259" s="3452" t="str">
        <f t="shared" ca="1" si="213"/>
        <v>None</v>
      </c>
      <c r="B259" s="3453">
        <f t="shared" ca="1" si="214"/>
        <v>0</v>
      </c>
      <c r="C259" s="1768"/>
      <c r="E259" s="320"/>
      <c r="F259" s="320"/>
      <c r="G259" s="320"/>
      <c r="H259" s="320"/>
      <c r="I259" s="320"/>
      <c r="J259" s="1579"/>
      <c r="K259" s="991"/>
      <c r="L259" s="833"/>
      <c r="M259" s="1000"/>
      <c r="Q259" s="3450">
        <f t="shared" ca="1" si="215"/>
        <v>2</v>
      </c>
      <c r="R259" s="3451">
        <f t="shared" si="219"/>
        <v>12</v>
      </c>
      <c r="S259" s="3450" t="str">
        <f t="shared" si="218"/>
        <v>MẶT SAU</v>
      </c>
      <c r="T259" s="3450">
        <f t="shared" si="216"/>
        <v>12</v>
      </c>
      <c r="U259" s="3450" t="str">
        <f t="shared" ca="1" si="217"/>
        <v/>
      </c>
      <c r="V259" s="3450"/>
      <c r="W259" s="3450"/>
      <c r="X259" s="3450">
        <f ca="1">IF(VLOOKUP(OFFSET($A$25,Z259,0),'Summary Data'!$C:$AV,45,0)&gt;0,"UV ink",Y259)</f>
        <v>0</v>
      </c>
      <c r="Z259" s="136">
        <f t="shared" si="220"/>
        <v>221</v>
      </c>
      <c r="AJ259" s="320"/>
      <c r="AM259" s="320"/>
    </row>
    <row r="260" spans="1:51" ht="18" hidden="1" customHeight="1" outlineLevel="1">
      <c r="A260" s="3452" t="str">
        <f t="shared" ca="1" si="213"/>
        <v>None</v>
      </c>
      <c r="B260" s="3453">
        <f t="shared" ca="1" si="214"/>
        <v>0</v>
      </c>
      <c r="C260" s="1768"/>
      <c r="E260" s="320"/>
      <c r="F260" s="320"/>
      <c r="G260" s="320"/>
      <c r="H260" s="320"/>
      <c r="I260" s="320"/>
      <c r="J260" s="1579"/>
      <c r="K260" s="991"/>
      <c r="L260" s="833"/>
      <c r="M260" s="1000"/>
      <c r="Q260" s="3450">
        <f t="shared" ca="1" si="215"/>
        <v>2</v>
      </c>
      <c r="R260" s="3451">
        <f t="shared" si="219"/>
        <v>13</v>
      </c>
      <c r="S260" s="3450" t="str">
        <f t="shared" si="218"/>
        <v>MẶT SAU</v>
      </c>
      <c r="T260" s="3450">
        <f t="shared" si="216"/>
        <v>13</v>
      </c>
      <c r="U260" s="3450" t="str">
        <f t="shared" ca="1" si="217"/>
        <v/>
      </c>
      <c r="V260" s="3450"/>
      <c r="W260" s="3450"/>
      <c r="X260" s="3450">
        <f ca="1">IF(VLOOKUP(OFFSET($A$25,Z260,0),'Summary Data'!$C:$AV,45,0)&gt;0,"UV ink",Y260)</f>
        <v>0</v>
      </c>
      <c r="Z260" s="136">
        <f t="shared" si="220"/>
        <v>221</v>
      </c>
      <c r="AJ260" s="320"/>
      <c r="AM260" s="320"/>
    </row>
    <row r="261" spans="1:51" ht="18" hidden="1" customHeight="1" outlineLevel="1">
      <c r="A261" s="3452" t="str">
        <f t="shared" ca="1" si="213"/>
        <v>None</v>
      </c>
      <c r="B261" s="3454">
        <f t="shared" ca="1" si="214"/>
        <v>0</v>
      </c>
      <c r="C261" s="1772"/>
      <c r="E261" s="320"/>
      <c r="F261" s="320"/>
      <c r="G261" s="320"/>
      <c r="H261" s="320"/>
      <c r="I261" s="3455" t="s">
        <v>3625</v>
      </c>
      <c r="J261" s="3570" t="str">
        <f>VLOOKUP(J265,Data!$AA$943:$AB$959,2,0)</f>
        <v>Non Metalize</v>
      </c>
      <c r="K261" s="991"/>
      <c r="L261" s="833"/>
      <c r="M261" s="1000"/>
      <c r="Q261" s="3450">
        <f t="shared" ca="1" si="215"/>
        <v>2</v>
      </c>
      <c r="R261" s="3451">
        <f t="shared" si="219"/>
        <v>14</v>
      </c>
      <c r="S261" s="3450" t="str">
        <f t="shared" si="218"/>
        <v>MẶT SAU</v>
      </c>
      <c r="T261" s="3450">
        <f t="shared" si="216"/>
        <v>14</v>
      </c>
      <c r="U261" s="3450" t="str">
        <f t="shared" ca="1" si="217"/>
        <v/>
      </c>
      <c r="V261" s="3450"/>
      <c r="W261" s="3450"/>
      <c r="X261" s="3450">
        <f ca="1">IF(VLOOKUP(OFFSET($A$25,Z261,0),'Summary Data'!$C:$AV,45,0)&gt;0,"UV ink",Y261)</f>
        <v>0</v>
      </c>
      <c r="Z261" s="136">
        <f t="shared" si="220"/>
        <v>221</v>
      </c>
      <c r="AJ261" s="320"/>
      <c r="AM261" s="320"/>
      <c r="AU261" s="136">
        <f>AU244+9</f>
        <v>99</v>
      </c>
    </row>
    <row r="262" spans="1:51" ht="18" hidden="1" customHeight="1" outlineLevel="1">
      <c r="A262" s="919"/>
      <c r="B262" s="919"/>
      <c r="C262" s="320"/>
      <c r="D262" s="320"/>
      <c r="E262" s="320"/>
      <c r="F262" s="320"/>
      <c r="G262" s="320"/>
      <c r="H262" s="320"/>
      <c r="I262" s="320"/>
      <c r="J262" s="1579"/>
      <c r="K262" s="991"/>
      <c r="L262" s="833"/>
      <c r="M262" s="1000"/>
      <c r="AJ262" s="320"/>
      <c r="AM262" s="320"/>
      <c r="AS262" s="3457" t="s">
        <v>2055</v>
      </c>
      <c r="AT262" s="3457" t="s">
        <v>3559</v>
      </c>
      <c r="AU262" s="3457" t="s">
        <v>3560</v>
      </c>
      <c r="AV262" s="3457" t="s">
        <v>3561</v>
      </c>
      <c r="AW262" s="3457"/>
    </row>
    <row r="263" spans="1:51" ht="18" hidden="1" customHeight="1" outlineLevel="1">
      <c r="A263" s="3695" t="str">
        <f>IFERROR(INDEX('Summary Data'!B:B,MATCH(14,'Summary Data'!GS:GS,0),1),"N")</f>
        <v>1st</v>
      </c>
      <c r="B263" s="1762"/>
      <c r="C263" s="1614" t="s">
        <v>1393</v>
      </c>
      <c r="D263" s="1614" t="s">
        <v>1350</v>
      </c>
      <c r="E263" s="1614" t="s">
        <v>649</v>
      </c>
      <c r="F263" s="1614"/>
      <c r="G263" s="1614"/>
      <c r="H263" s="1614">
        <v>0</v>
      </c>
      <c r="I263" s="1614">
        <f>VALUE(LEFT(I261,1)+RIGHT(I261,1))</f>
        <v>0</v>
      </c>
      <c r="J263" s="1763"/>
      <c r="K263" s="1764"/>
      <c r="L263" s="3448" t="e">
        <f ca="1">VLOOKUP(E263&amp;J261,AS264:AW269,4,0)</f>
        <v>#N/A</v>
      </c>
      <c r="M263" s="3449">
        <f>VLOOKUP(E263&amp;J261,AS264:AW269,5,0)</f>
        <v>3</v>
      </c>
      <c r="N263" s="1771"/>
      <c r="O263" s="2150" t="s">
        <v>106</v>
      </c>
      <c r="P263" s="2150" t="s">
        <v>2040</v>
      </c>
      <c r="AJ263" s="320"/>
      <c r="AM263" s="320"/>
      <c r="AS263" s="3459"/>
      <c r="AT263" s="3450" t="e">
        <f ca="1">MATCH(C263&amp;"lấy",OFFSET($BT:$BT,0,AU261),0)</f>
        <v>#N/A</v>
      </c>
      <c r="AU263" s="3450" t="e">
        <f ca="1">MATCH(C263&amp;"lấy",OFFSET($BS:$BS,0,AU261),0)</f>
        <v>#N/A</v>
      </c>
      <c r="AV263" s="3450" t="e">
        <f ca="1">IFERROR(INDEX(AO:AO,AT263,1),INDEX(AN:AN,AU263,1))</f>
        <v>#N/A</v>
      </c>
      <c r="AW263" s="3450"/>
    </row>
    <row r="264" spans="1:51" ht="18" hidden="1" customHeight="1" outlineLevel="1">
      <c r="A264" s="1766" t="s">
        <v>213</v>
      </c>
      <c r="B264" s="1767" t="s">
        <v>1469</v>
      </c>
      <c r="C264" s="1767" t="s">
        <v>445</v>
      </c>
      <c r="D264" s="3104">
        <v>2.2000000000000002</v>
      </c>
      <c r="E264" s="1766" t="s">
        <v>1610</v>
      </c>
      <c r="F264" s="1767" t="s">
        <v>1470</v>
      </c>
      <c r="G264" s="1767" t="s">
        <v>1469</v>
      </c>
      <c r="H264" s="1767" t="s">
        <v>445</v>
      </c>
      <c r="I264" s="319"/>
      <c r="J264" s="1766" t="s">
        <v>495</v>
      </c>
      <c r="K264" s="1767" t="s">
        <v>183</v>
      </c>
      <c r="L264" s="1769" t="s">
        <v>1471</v>
      </c>
      <c r="M264" s="1766" t="s">
        <v>215</v>
      </c>
      <c r="N264" s="1767" t="s">
        <v>1469</v>
      </c>
      <c r="O264" s="1767" t="s">
        <v>1473</v>
      </c>
      <c r="Q264" s="3450" t="s">
        <v>3568</v>
      </c>
      <c r="R264" s="3450" t="s">
        <v>3569</v>
      </c>
      <c r="S264" s="3450" t="s">
        <v>3570</v>
      </c>
      <c r="T264" s="3450" t="s">
        <v>3571</v>
      </c>
      <c r="U264" s="3450" t="s">
        <v>3572</v>
      </c>
      <c r="V264" s="3450"/>
      <c r="W264" s="3450" t="s">
        <v>3574</v>
      </c>
      <c r="X264" s="3450"/>
      <c r="AJ264" s="320"/>
      <c r="AM264" s="320"/>
      <c r="AS264" s="3459" t="str">
        <f t="shared" ref="AS264:AS269" si="221">AT264&amp;AU264</f>
        <v>importNon Metalize</v>
      </c>
      <c r="AT264" s="3450" t="s">
        <v>3562</v>
      </c>
      <c r="AU264" s="3450" t="s">
        <v>800</v>
      </c>
      <c r="AV264" s="3450" t="e">
        <f ca="1">IF(E263="local",AV263,CEILING(J263+3,5))</f>
        <v>#N/A</v>
      </c>
      <c r="AW264" s="3458">
        <f>K263+3</f>
        <v>3</v>
      </c>
    </row>
    <row r="265" spans="1:51" ht="18" hidden="1" customHeight="1" outlineLevel="1">
      <c r="A265" s="3452" t="str">
        <f t="shared" ref="A265:A278" ca="1" si="222">IF($Q265=1,VLOOKUP($T265,OFFSET($W$27,Z265,0,15,2),2,0),"None")</f>
        <v>None</v>
      </c>
      <c r="B265" s="3453">
        <f t="shared" ref="B265:B278" ca="1" si="223">IF($Q265=1,IF($U265="mặt trước",ROUNDUP(OFFSET($J$25,Z265,0)*OFFSET($K$25,Z265,0)*OFFSET($D$26,Z265,0)/10^9*10000/VALUE(LEFT(OFFSET($I$23,Z265,0),1)),2),ROUNDUP(OFFSET($J$25,Z265,0)*OFFSET($K$25,Z265,0)*OFFSET($D$27,Z265,0)/10^9*10000/VALUE(RIGHT(OFFSET($I$23,Z265,0),1)),2)),0)</f>
        <v>0</v>
      </c>
      <c r="C265" s="1768"/>
      <c r="D265" s="3104">
        <v>2.1</v>
      </c>
      <c r="E265" s="1705" t="s">
        <v>127</v>
      </c>
      <c r="F265" s="1705" t="s">
        <v>1112</v>
      </c>
      <c r="G265" s="1768"/>
      <c r="H265" s="1768"/>
      <c r="J265" s="1705" t="s">
        <v>127</v>
      </c>
      <c r="K265" s="3571">
        <f>IF(VLOOKUP(J265,Data!$AN$943:$AO$959,2,0)="No",CEILING(K267+3,50),HLOOKUP(J265,Data!$AJ$943:$AL$2000,K268,0))</f>
        <v>50</v>
      </c>
      <c r="L265" s="1770" t="s">
        <v>1472</v>
      </c>
      <c r="M265" s="1705" t="s">
        <v>127</v>
      </c>
      <c r="N265" s="1768"/>
      <c r="O265" s="1705" t="s">
        <v>1259</v>
      </c>
      <c r="Q265" s="3450">
        <f t="shared" ref="Q265:Q278" ca="1" si="224">IFERROR(FIND("M",U265),2)</f>
        <v>2</v>
      </c>
      <c r="R265" s="3451">
        <v>1</v>
      </c>
      <c r="S265" s="3450" t="str">
        <f>IF(R265&lt;=VALUE(LEFT($I$176,1)),"MẶT TRƯỚC","MẶT SAU")</f>
        <v>MẶT SAU</v>
      </c>
      <c r="T265" s="3450">
        <f t="shared" ref="T265:T278" si="225">IF(S265="MẶT TRƯỚC",R265,IF(S264="mặt sau",T264+1,1))</f>
        <v>1</v>
      </c>
      <c r="U265" s="3450" t="str">
        <f t="shared" ref="U265:U278" ca="1" si="226">IF(S265="MẶT SAU",IF(T265&lt;=VALUE(RIGHT(OFFSET($I$23,Z265,0),1)),"MẶT SAU",""),S265)</f>
        <v/>
      </c>
      <c r="V265" s="3450"/>
      <c r="W265" s="3450">
        <v>1</v>
      </c>
      <c r="X265" s="3450" t="str">
        <f ca="1">IF(VLOOKUP(OFFSET($A$25,Z265,0),'Summary Data'!$C:$AV,45,0)&gt;0,"UV ink",Y265)</f>
        <v>Cyan (60-124773-7.1200 Nutri-2 Proc Cyan ISO 2846-1)</v>
      </c>
      <c r="Y265" s="136" t="s">
        <v>3356</v>
      </c>
      <c r="Z265" s="136">
        <f>Z180+17</f>
        <v>170</v>
      </c>
      <c r="AJ265" s="320"/>
      <c r="AM265" s="320"/>
      <c r="AS265" s="3459" t="str">
        <f t="shared" si="221"/>
        <v>importMetalize</v>
      </c>
      <c r="AT265" s="3450" t="s">
        <v>3562</v>
      </c>
      <c r="AU265" s="3450" t="s">
        <v>230</v>
      </c>
      <c r="AV265" s="3450" t="e">
        <f ca="1">IF(AX265="cộng 3",AV264,CEILING(J263+6,5))</f>
        <v>#N/A</v>
      </c>
      <c r="AW265" s="3450" t="e">
        <f ca="1">IF(AY265="cộng 6",AW264+3,AW264)</f>
        <v>#N/A</v>
      </c>
      <c r="AX265" s="3477" t="e">
        <f ca="1">IF(AV264&lt;AW264,"cộng 3","cộng 6")</f>
        <v>#N/A</v>
      </c>
      <c r="AY265" s="3476" t="e">
        <f ca="1">IF(AX265="cộng 3","cộng 6","cộng 3")</f>
        <v>#N/A</v>
      </c>
    </row>
    <row r="266" spans="1:51" ht="18" hidden="1" customHeight="1" outlineLevel="1">
      <c r="A266" s="3452" t="str">
        <f t="shared" ca="1" si="222"/>
        <v>None</v>
      </c>
      <c r="B266" s="3453">
        <f t="shared" ca="1" si="223"/>
        <v>0</v>
      </c>
      <c r="C266" s="1768"/>
      <c r="E266" s="1705" t="s">
        <v>127</v>
      </c>
      <c r="F266" s="1705" t="s">
        <v>1112</v>
      </c>
      <c r="G266" s="1768"/>
      <c r="H266" s="1768"/>
      <c r="J266" s="1705" t="s">
        <v>127</v>
      </c>
      <c r="K266" s="1705"/>
      <c r="L266" s="1770" t="s">
        <v>1472</v>
      </c>
      <c r="M266" s="1705" t="s">
        <v>127</v>
      </c>
      <c r="N266" s="1768"/>
      <c r="O266" s="1705" t="s">
        <v>1259</v>
      </c>
      <c r="Q266" s="3450">
        <f t="shared" ca="1" si="224"/>
        <v>2</v>
      </c>
      <c r="R266" s="3451">
        <f>R265+1</f>
        <v>2</v>
      </c>
      <c r="S266" s="3450" t="str">
        <f t="shared" ref="S266:S278" si="227">IF(R266&lt;=VALUE(LEFT($I$176,1)),"MẶT TRƯỚC","MẶT SAU")</f>
        <v>MẶT SAU</v>
      </c>
      <c r="T266" s="3450">
        <f t="shared" si="225"/>
        <v>2</v>
      </c>
      <c r="U266" s="3450" t="str">
        <f t="shared" ca="1" si="226"/>
        <v/>
      </c>
      <c r="V266" s="3450"/>
      <c r="W266" s="3450">
        <v>2</v>
      </c>
      <c r="X266" s="3450" t="str">
        <f ca="1">IF(VLOOKUP(OFFSET($A$25,Z266,0),'Summary Data'!$C:$AV,45,0)&gt;0,"UV ink",Y266)</f>
        <v>Magenta (61-804489-5.1290 Tempo Mix Magenta A)</v>
      </c>
      <c r="Y266" s="136" t="s">
        <v>3357</v>
      </c>
      <c r="Z266" s="136">
        <f>Z265</f>
        <v>170</v>
      </c>
      <c r="AJ266" s="320"/>
      <c r="AM266" s="320"/>
      <c r="AS266" s="3459" t="str">
        <f t="shared" si="221"/>
        <v>importRigid box</v>
      </c>
      <c r="AT266" s="3450" t="s">
        <v>3562</v>
      </c>
      <c r="AU266" s="3450" t="s">
        <v>3214</v>
      </c>
      <c r="AV266" s="3450" t="e">
        <f ca="1">AV264</f>
        <v>#N/A</v>
      </c>
      <c r="AW266" s="3450">
        <f>AW264</f>
        <v>3</v>
      </c>
      <c r="AX266" s="3477"/>
      <c r="AY266" s="3476"/>
    </row>
    <row r="267" spans="1:51" ht="18" hidden="1" customHeight="1" outlineLevel="1">
      <c r="A267" s="3452" t="str">
        <f t="shared" ca="1" si="222"/>
        <v>None</v>
      </c>
      <c r="B267" s="3453">
        <f t="shared" ca="1" si="223"/>
        <v>0</v>
      </c>
      <c r="C267" s="1768"/>
      <c r="E267" s="1705" t="s">
        <v>127</v>
      </c>
      <c r="F267" s="1705" t="s">
        <v>1112</v>
      </c>
      <c r="G267" s="1768"/>
      <c r="H267" s="1768"/>
      <c r="J267" s="314" t="s">
        <v>3471</v>
      </c>
      <c r="K267" s="3385"/>
      <c r="L267" s="991"/>
      <c r="M267" s="1705" t="s">
        <v>127</v>
      </c>
      <c r="N267" s="1768"/>
      <c r="O267" s="1705" t="s">
        <v>1259</v>
      </c>
      <c r="Q267" s="3450">
        <f t="shared" ca="1" si="224"/>
        <v>2</v>
      </c>
      <c r="R267" s="3451">
        <f t="shared" ref="R267:R278" si="228">R266+1</f>
        <v>3</v>
      </c>
      <c r="S267" s="3450" t="str">
        <f t="shared" si="227"/>
        <v>MẶT SAU</v>
      </c>
      <c r="T267" s="3450">
        <f t="shared" si="225"/>
        <v>3</v>
      </c>
      <c r="U267" s="3450" t="str">
        <f t="shared" ca="1" si="226"/>
        <v/>
      </c>
      <c r="V267" s="3450"/>
      <c r="W267" s="3450">
        <v>3</v>
      </c>
      <c r="X267" s="3450" t="str">
        <f ca="1">IF(VLOOKUP(OFFSET($A$25,Z267,0),'Summary Data'!$C:$AV,45,0)&gt;0,"UV ink",Y267)</f>
        <v>Yellow (61-312039-3.1290 Tempo Mix Yellow 4220)</v>
      </c>
      <c r="Y267" s="136" t="s">
        <v>3358</v>
      </c>
      <c r="Z267" s="136">
        <f t="shared" ref="Z267:Z278" si="229">Z266</f>
        <v>170</v>
      </c>
      <c r="AJ267" s="320"/>
      <c r="AM267" s="320"/>
      <c r="AS267" s="3459" t="str">
        <f t="shared" si="221"/>
        <v>localNon Metalize</v>
      </c>
      <c r="AT267" s="3450" t="s">
        <v>3563</v>
      </c>
      <c r="AU267" s="3450" t="s">
        <v>800</v>
      </c>
      <c r="AV267" s="3450" t="e">
        <f ca="1">AV263</f>
        <v>#N/A</v>
      </c>
      <c r="AW267" s="3458">
        <f>AW264</f>
        <v>3</v>
      </c>
    </row>
    <row r="268" spans="1:51" ht="18" hidden="1" customHeight="1" outlineLevel="1">
      <c r="A268" s="3452" t="str">
        <f t="shared" ca="1" si="222"/>
        <v>None</v>
      </c>
      <c r="B268" s="3453">
        <f t="shared" ca="1" si="223"/>
        <v>0</v>
      </c>
      <c r="C268" s="1768"/>
      <c r="E268" s="1705" t="s">
        <v>127</v>
      </c>
      <c r="F268" s="1705" t="s">
        <v>1112</v>
      </c>
      <c r="G268" s="1768"/>
      <c r="H268" s="1768"/>
      <c r="K268" s="3568">
        <f>K251+2</f>
        <v>30</v>
      </c>
      <c r="L268" s="991"/>
      <c r="M268" s="1705" t="s">
        <v>127</v>
      </c>
      <c r="N268" s="1768"/>
      <c r="O268" s="1705" t="s">
        <v>1259</v>
      </c>
      <c r="Q268" s="3450">
        <f t="shared" ca="1" si="224"/>
        <v>2</v>
      </c>
      <c r="R268" s="3451">
        <f t="shared" si="228"/>
        <v>4</v>
      </c>
      <c r="S268" s="3450" t="str">
        <f t="shared" si="227"/>
        <v>MẶT SAU</v>
      </c>
      <c r="T268" s="3450">
        <f t="shared" si="225"/>
        <v>4</v>
      </c>
      <c r="U268" s="3450" t="str">
        <f t="shared" ca="1" si="226"/>
        <v/>
      </c>
      <c r="V268" s="3450"/>
      <c r="W268" s="3450">
        <v>4</v>
      </c>
      <c r="X268" s="3450" t="str">
        <f ca="1">IF(VLOOKUP(OFFSET($A$25,Z268,0),'Summary Data'!$C:$AV,45,0)&gt;0,"UV ink",Y268)</f>
        <v>Black (60-914386-2.1200 Nutri-2 Proc Black ISO 2846-1)</v>
      </c>
      <c r="Y268" s="136" t="s">
        <v>3359</v>
      </c>
      <c r="Z268" s="136">
        <f t="shared" si="229"/>
        <v>170</v>
      </c>
      <c r="AJ268" s="320"/>
      <c r="AM268" s="320"/>
      <c r="AS268" s="3459" t="str">
        <f t="shared" si="221"/>
        <v>localMetalize</v>
      </c>
      <c r="AT268" s="3450" t="s">
        <v>3563</v>
      </c>
      <c r="AU268" s="3450" t="s">
        <v>230</v>
      </c>
      <c r="AV268" s="3450" t="e">
        <f ca="1">AV263</f>
        <v>#N/A</v>
      </c>
      <c r="AW268" s="3450" t="e">
        <f ca="1">IF(AY265="cộng 6",AW264+3,AW264)</f>
        <v>#N/A</v>
      </c>
    </row>
    <row r="269" spans="1:51" ht="18" hidden="1" customHeight="1" outlineLevel="1">
      <c r="A269" s="3452" t="str">
        <f t="shared" ca="1" si="222"/>
        <v>None</v>
      </c>
      <c r="B269" s="3453">
        <f t="shared" ca="1" si="223"/>
        <v>0</v>
      </c>
      <c r="C269" s="1768"/>
      <c r="E269" s="1705" t="s">
        <v>127</v>
      </c>
      <c r="F269" s="1705" t="s">
        <v>1112</v>
      </c>
      <c r="G269" s="1768"/>
      <c r="H269" s="1768"/>
      <c r="J269" s="320"/>
      <c r="K269" s="1579"/>
      <c r="L269" s="991"/>
      <c r="M269" s="1705" t="s">
        <v>127</v>
      </c>
      <c r="N269" s="1768"/>
      <c r="O269" s="1705" t="s">
        <v>1259</v>
      </c>
      <c r="Q269" s="3450">
        <f t="shared" ca="1" si="224"/>
        <v>2</v>
      </c>
      <c r="R269" s="3451">
        <f t="shared" si="228"/>
        <v>5</v>
      </c>
      <c r="S269" s="3450" t="str">
        <f t="shared" si="227"/>
        <v>MẶT SAU</v>
      </c>
      <c r="T269" s="3450">
        <f t="shared" si="225"/>
        <v>5</v>
      </c>
      <c r="U269" s="3450" t="str">
        <f t="shared" ca="1" si="226"/>
        <v/>
      </c>
      <c r="V269" s="3450"/>
      <c r="W269" s="3450"/>
      <c r="X269" s="3450">
        <f ca="1">IF(VLOOKUP(OFFSET($A$25,Z269,0),'Summary Data'!$C:$AV,45,0)&gt;0,"UV ink",Y269)</f>
        <v>0</v>
      </c>
      <c r="Z269" s="136">
        <f t="shared" si="229"/>
        <v>170</v>
      </c>
      <c r="AJ269" s="320"/>
      <c r="AM269" s="320"/>
      <c r="AS269" s="3459" t="str">
        <f t="shared" si="221"/>
        <v>localRigid box</v>
      </c>
      <c r="AT269" s="3450" t="s">
        <v>3563</v>
      </c>
      <c r="AU269" s="3450" t="s">
        <v>3214</v>
      </c>
      <c r="AV269" s="3450" t="e">
        <f ca="1">AV267</f>
        <v>#N/A</v>
      </c>
      <c r="AW269" s="3458">
        <f>AW267</f>
        <v>3</v>
      </c>
    </row>
    <row r="270" spans="1:51" ht="18" hidden="1" customHeight="1" outlineLevel="1">
      <c r="A270" s="3452" t="str">
        <f t="shared" ca="1" si="222"/>
        <v>None</v>
      </c>
      <c r="B270" s="3453">
        <f t="shared" ca="1" si="223"/>
        <v>0</v>
      </c>
      <c r="C270" s="1768"/>
      <c r="E270" s="320"/>
      <c r="F270" s="320"/>
      <c r="G270" s="320"/>
      <c r="H270" s="320"/>
      <c r="J270" s="2472" t="s">
        <v>2341</v>
      </c>
      <c r="K270" s="2473" t="s">
        <v>1417</v>
      </c>
      <c r="L270" s="2473" t="s">
        <v>2342</v>
      </c>
      <c r="Q270" s="3450">
        <f t="shared" ca="1" si="224"/>
        <v>2</v>
      </c>
      <c r="R270" s="3451">
        <f t="shared" si="228"/>
        <v>6</v>
      </c>
      <c r="S270" s="3450" t="str">
        <f t="shared" si="227"/>
        <v>MẶT SAU</v>
      </c>
      <c r="T270" s="3450">
        <f t="shared" si="225"/>
        <v>6</v>
      </c>
      <c r="U270" s="3450" t="str">
        <f t="shared" ca="1" si="226"/>
        <v/>
      </c>
      <c r="V270" s="3450"/>
      <c r="W270" s="3450">
        <v>5</v>
      </c>
      <c r="X270" s="3450" t="str">
        <f ca="1">IF(VLOOKUP(OFFSET($A$25,Z270,0),'Summary Data'!$C:$AV,45,0)&gt;0,"UV ink",Y270)</f>
        <v>Special Ink</v>
      </c>
      <c r="Y270" s="136" t="s">
        <v>1105</v>
      </c>
      <c r="Z270" s="136">
        <f t="shared" si="229"/>
        <v>170</v>
      </c>
      <c r="AJ270" s="320"/>
      <c r="AM270" s="320"/>
    </row>
    <row r="271" spans="1:51" ht="18" hidden="1" customHeight="1" outlineLevel="1">
      <c r="A271" s="3452" t="str">
        <f t="shared" ca="1" si="222"/>
        <v>None</v>
      </c>
      <c r="B271" s="3453">
        <f t="shared" ca="1" si="223"/>
        <v>0</v>
      </c>
      <c r="C271" s="1768"/>
      <c r="E271" s="146" t="s">
        <v>2055</v>
      </c>
      <c r="F271" s="919" t="str">
        <f>A263</f>
        <v>1st</v>
      </c>
      <c r="G271" s="320"/>
      <c r="H271" s="320"/>
      <c r="I271" s="320"/>
      <c r="J271" s="2474" t="str">
        <f>Data!$P$817</f>
        <v>LDPE HANWHA 955</v>
      </c>
      <c r="K271" s="2474" t="s">
        <v>106</v>
      </c>
      <c r="L271" s="2475"/>
      <c r="M271" s="1000"/>
      <c r="Q271" s="3450">
        <f t="shared" ca="1" si="224"/>
        <v>2</v>
      </c>
      <c r="R271" s="3451">
        <f t="shared" si="228"/>
        <v>7</v>
      </c>
      <c r="S271" s="3450" t="str">
        <f t="shared" si="227"/>
        <v>MẶT SAU</v>
      </c>
      <c r="T271" s="3450">
        <f t="shared" si="225"/>
        <v>7</v>
      </c>
      <c r="U271" s="3450" t="str">
        <f t="shared" ca="1" si="226"/>
        <v/>
      </c>
      <c r="V271" s="3450"/>
      <c r="W271" s="3450">
        <f>W270+1</f>
        <v>6</v>
      </c>
      <c r="X271" s="3450" t="str">
        <f ca="1">IF(VLOOKUP(OFFSET($A$25,Z271,0),'Summary Data'!$C:$AV,45,0)&gt;0,"UV ink",Y271)</f>
        <v>Special Ink</v>
      </c>
      <c r="Y271" s="136" t="s">
        <v>1105</v>
      </c>
      <c r="Z271" s="136">
        <f t="shared" si="229"/>
        <v>170</v>
      </c>
      <c r="AJ271" s="320"/>
      <c r="AM271" s="320"/>
    </row>
    <row r="272" spans="1:51" ht="18" hidden="1" customHeight="1" outlineLevel="1">
      <c r="A272" s="3452" t="str">
        <f t="shared" ca="1" si="222"/>
        <v>None</v>
      </c>
      <c r="B272" s="3453">
        <f t="shared" ca="1" si="223"/>
        <v>0</v>
      </c>
      <c r="C272" s="1768"/>
      <c r="E272" s="320"/>
      <c r="F272" s="320"/>
      <c r="G272" s="320"/>
      <c r="H272" s="320"/>
      <c r="I272" s="320"/>
      <c r="K272" s="950" t="s">
        <v>2343</v>
      </c>
      <c r="L272" s="833"/>
      <c r="M272" s="1000"/>
      <c r="Q272" s="3450">
        <f t="shared" ca="1" si="224"/>
        <v>2</v>
      </c>
      <c r="R272" s="3451">
        <f t="shared" si="228"/>
        <v>8</v>
      </c>
      <c r="S272" s="3450" t="str">
        <f t="shared" si="227"/>
        <v>MẶT SAU</v>
      </c>
      <c r="T272" s="3450">
        <f t="shared" si="225"/>
        <v>8</v>
      </c>
      <c r="U272" s="3450" t="str">
        <f t="shared" ca="1" si="226"/>
        <v/>
      </c>
      <c r="V272" s="3450"/>
      <c r="W272" s="3450">
        <f>W271+1</f>
        <v>7</v>
      </c>
      <c r="X272" s="3450" t="str">
        <f ca="1">IF(VLOOKUP(OFFSET($A$25,Z272,0),'Summary Data'!$C:$AV,45,0)&gt;0,"UV ink",Y272)</f>
        <v>Special Ink</v>
      </c>
      <c r="Y272" s="136" t="s">
        <v>1105</v>
      </c>
      <c r="Z272" s="136">
        <f t="shared" si="229"/>
        <v>170</v>
      </c>
      <c r="AJ272" s="320"/>
      <c r="AM272" s="320"/>
    </row>
    <row r="273" spans="1:1022 1034:3063 3075:4090 4102:5117 5129:6144 6156:7158 7170:8185 8197:9212 9224:10239 10251:11253 11265:12280 12292:13307 13319:14334 14346:16375" ht="18" hidden="1" customHeight="1" outlineLevel="1">
      <c r="A273" s="3452" t="str">
        <f t="shared" ca="1" si="222"/>
        <v>None</v>
      </c>
      <c r="B273" s="3453">
        <f t="shared" ca="1" si="223"/>
        <v>0</v>
      </c>
      <c r="C273" s="1768"/>
      <c r="E273" s="320"/>
      <c r="F273" s="320"/>
      <c r="G273" s="320"/>
      <c r="H273" s="320"/>
      <c r="I273" s="320"/>
      <c r="J273" s="1579"/>
      <c r="K273" s="950" t="s">
        <v>2393</v>
      </c>
      <c r="L273" s="833"/>
      <c r="M273" s="1000"/>
      <c r="Q273" s="3450">
        <f t="shared" ca="1" si="224"/>
        <v>2</v>
      </c>
      <c r="R273" s="3451">
        <f t="shared" si="228"/>
        <v>9</v>
      </c>
      <c r="S273" s="3450" t="str">
        <f t="shared" si="227"/>
        <v>MẶT SAU</v>
      </c>
      <c r="T273" s="3450">
        <f t="shared" si="225"/>
        <v>9</v>
      </c>
      <c r="U273" s="3450" t="str">
        <f t="shared" ca="1" si="226"/>
        <v/>
      </c>
      <c r="V273" s="3450"/>
      <c r="W273" s="3450">
        <f>W272+1</f>
        <v>8</v>
      </c>
      <c r="X273" s="3450" t="str">
        <f ca="1">IF(VLOOKUP(OFFSET($A$25,Z273,0),'Summary Data'!$C:$AV,45,0)&gt;0,"UV ink",Y273)</f>
        <v>Special Ink</v>
      </c>
      <c r="Y273" s="136" t="s">
        <v>1105</v>
      </c>
      <c r="Z273" s="136">
        <f t="shared" si="229"/>
        <v>170</v>
      </c>
      <c r="AJ273" s="320"/>
      <c r="AM273" s="320"/>
    </row>
    <row r="274" spans="1:1022 1034:3063 3075:4090 4102:5117 5129:6144 6156:7158 7170:8185 8197:9212 9224:10239 10251:11253 11265:12280 12292:13307 13319:14334 14346:16375" ht="18" hidden="1" customHeight="1" outlineLevel="1">
      <c r="A274" s="3452" t="str">
        <f t="shared" ca="1" si="222"/>
        <v>None</v>
      </c>
      <c r="B274" s="3453">
        <f t="shared" ca="1" si="223"/>
        <v>0</v>
      </c>
      <c r="C274" s="1768"/>
      <c r="E274" s="320"/>
      <c r="F274" s="320"/>
      <c r="G274" s="320"/>
      <c r="H274" s="320"/>
      <c r="I274" s="320"/>
      <c r="J274" s="1579"/>
      <c r="K274" s="991"/>
      <c r="L274" s="833"/>
      <c r="M274" s="1000"/>
      <c r="Q274" s="3450">
        <f t="shared" ca="1" si="224"/>
        <v>2</v>
      </c>
      <c r="R274" s="3451">
        <f t="shared" si="228"/>
        <v>10</v>
      </c>
      <c r="S274" s="3450" t="str">
        <f t="shared" si="227"/>
        <v>MẶT SAU</v>
      </c>
      <c r="T274" s="3450">
        <f t="shared" si="225"/>
        <v>10</v>
      </c>
      <c r="U274" s="3450" t="str">
        <f t="shared" ca="1" si="226"/>
        <v/>
      </c>
      <c r="V274" s="3450"/>
      <c r="W274" s="3450">
        <f>W273+1</f>
        <v>9</v>
      </c>
      <c r="X274" s="3450" t="str">
        <f ca="1">IF(VLOOKUP(OFFSET($A$25,Z274,0),'Summary Data'!$C:$AV,45,0)&gt;0,"UV ink",Y274)</f>
        <v>Special Ink</v>
      </c>
      <c r="Y274" s="136" t="s">
        <v>1105</v>
      </c>
      <c r="Z274" s="136">
        <f t="shared" si="229"/>
        <v>170</v>
      </c>
      <c r="AJ274" s="320"/>
      <c r="AM274" s="320"/>
    </row>
    <row r="275" spans="1:1022 1034:3063 3075:4090 4102:5117 5129:6144 6156:7158 7170:8185 8197:9212 9224:10239 10251:11253 11265:12280 12292:13307 13319:14334 14346:16375" ht="18" hidden="1" customHeight="1" outlineLevel="1">
      <c r="A275" s="3452" t="str">
        <f t="shared" ca="1" si="222"/>
        <v>None</v>
      </c>
      <c r="B275" s="3453">
        <f t="shared" ca="1" si="223"/>
        <v>0</v>
      </c>
      <c r="C275" s="1768"/>
      <c r="E275" s="320"/>
      <c r="F275" s="320"/>
      <c r="G275" s="320"/>
      <c r="H275" s="320"/>
      <c r="I275" s="320"/>
      <c r="J275" s="1579"/>
      <c r="K275" s="991"/>
      <c r="L275" s="833"/>
      <c r="M275" s="1000"/>
      <c r="Q275" s="3450">
        <f t="shared" ca="1" si="224"/>
        <v>2</v>
      </c>
      <c r="R275" s="3451">
        <f t="shared" si="228"/>
        <v>11</v>
      </c>
      <c r="S275" s="3450" t="str">
        <f t="shared" si="227"/>
        <v>MẶT SAU</v>
      </c>
      <c r="T275" s="3450">
        <f t="shared" si="225"/>
        <v>11</v>
      </c>
      <c r="U275" s="3450" t="str">
        <f t="shared" ca="1" si="226"/>
        <v/>
      </c>
      <c r="V275" s="3450"/>
      <c r="W275" s="3450"/>
      <c r="X275" s="3450">
        <f ca="1">IF(VLOOKUP(OFFSET($A$25,Z275,0),'Summary Data'!$C:$AV,45,0)&gt;0,"UV ink",Y275)</f>
        <v>0</v>
      </c>
      <c r="Z275" s="136">
        <f t="shared" si="229"/>
        <v>170</v>
      </c>
      <c r="AJ275" s="320"/>
      <c r="AM275" s="320"/>
    </row>
    <row r="276" spans="1:1022 1034:3063 3075:4090 4102:5117 5129:6144 6156:7158 7170:8185 8197:9212 9224:10239 10251:11253 11265:12280 12292:13307 13319:14334 14346:16375" ht="18" hidden="1" customHeight="1" outlineLevel="1">
      <c r="A276" s="3452" t="str">
        <f t="shared" ca="1" si="222"/>
        <v>None</v>
      </c>
      <c r="B276" s="3453">
        <f t="shared" ca="1" si="223"/>
        <v>0</v>
      </c>
      <c r="C276" s="1768"/>
      <c r="E276" s="320"/>
      <c r="F276" s="320"/>
      <c r="G276" s="320"/>
      <c r="H276" s="320"/>
      <c r="I276" s="320"/>
      <c r="J276" s="1579"/>
      <c r="K276" s="991"/>
      <c r="L276" s="833"/>
      <c r="M276" s="1000"/>
      <c r="Q276" s="3450">
        <f t="shared" ca="1" si="224"/>
        <v>2</v>
      </c>
      <c r="R276" s="3451">
        <f t="shared" si="228"/>
        <v>12</v>
      </c>
      <c r="S276" s="3450" t="str">
        <f t="shared" si="227"/>
        <v>MẶT SAU</v>
      </c>
      <c r="T276" s="3450">
        <f t="shared" si="225"/>
        <v>12</v>
      </c>
      <c r="U276" s="3450" t="str">
        <f t="shared" ca="1" si="226"/>
        <v/>
      </c>
      <c r="V276" s="3450"/>
      <c r="W276" s="3450"/>
      <c r="X276" s="3450">
        <f ca="1">IF(VLOOKUP(OFFSET($A$25,Z276,0),'Summary Data'!$C:$AV,45,0)&gt;0,"UV ink",Y276)</f>
        <v>0</v>
      </c>
      <c r="Z276" s="136">
        <f t="shared" si="229"/>
        <v>170</v>
      </c>
      <c r="AJ276" s="320"/>
      <c r="AM276" s="320"/>
    </row>
    <row r="277" spans="1:1022 1034:3063 3075:4090 4102:5117 5129:6144 6156:7158 7170:8185 8197:9212 9224:10239 10251:11253 11265:12280 12292:13307 13319:14334 14346:16375" ht="18" hidden="1" customHeight="1" outlineLevel="1">
      <c r="A277" s="3452" t="str">
        <f t="shared" ca="1" si="222"/>
        <v>None</v>
      </c>
      <c r="B277" s="3453">
        <f t="shared" ca="1" si="223"/>
        <v>0</v>
      </c>
      <c r="C277" s="1768"/>
      <c r="E277" s="320"/>
      <c r="F277" s="320"/>
      <c r="G277" s="320"/>
      <c r="H277" s="320"/>
      <c r="I277" s="320"/>
      <c r="J277" s="1579"/>
      <c r="K277" s="991"/>
      <c r="L277" s="833"/>
      <c r="M277" s="1000"/>
      <c r="Q277" s="3450">
        <f t="shared" ca="1" si="224"/>
        <v>2</v>
      </c>
      <c r="R277" s="3451">
        <f t="shared" si="228"/>
        <v>13</v>
      </c>
      <c r="S277" s="3450" t="str">
        <f t="shared" si="227"/>
        <v>MẶT SAU</v>
      </c>
      <c r="T277" s="3450">
        <f t="shared" si="225"/>
        <v>13</v>
      </c>
      <c r="U277" s="3450" t="str">
        <f t="shared" ca="1" si="226"/>
        <v/>
      </c>
      <c r="V277" s="3450"/>
      <c r="W277" s="3450"/>
      <c r="X277" s="3450">
        <f ca="1">IF(VLOOKUP(OFFSET($A$25,Z277,0),'Summary Data'!$C:$AV,45,0)&gt;0,"UV ink",Y277)</f>
        <v>0</v>
      </c>
      <c r="Z277" s="136">
        <f t="shared" si="229"/>
        <v>170</v>
      </c>
      <c r="AJ277" s="320"/>
      <c r="AM277" s="320"/>
    </row>
    <row r="278" spans="1:1022 1034:3063 3075:4090 4102:5117 5129:6144 6156:7158 7170:8185 8197:9212 9224:10239 10251:11253 11265:12280 12292:13307 13319:14334 14346:16375" ht="18" hidden="1" customHeight="1" outlineLevel="1">
      <c r="A278" s="3452" t="str">
        <f t="shared" ca="1" si="222"/>
        <v>None</v>
      </c>
      <c r="B278" s="3454">
        <f t="shared" ca="1" si="223"/>
        <v>0</v>
      </c>
      <c r="C278" s="1772"/>
      <c r="E278" s="320"/>
      <c r="F278" s="320"/>
      <c r="G278" s="320"/>
      <c r="H278" s="320"/>
      <c r="I278" s="320"/>
      <c r="J278" s="1579"/>
      <c r="K278" s="991"/>
      <c r="L278" s="833"/>
      <c r="M278" s="1000"/>
      <c r="Q278" s="3450">
        <f t="shared" ca="1" si="224"/>
        <v>2</v>
      </c>
      <c r="R278" s="3451">
        <f t="shared" si="228"/>
        <v>14</v>
      </c>
      <c r="S278" s="3450" t="str">
        <f t="shared" si="227"/>
        <v>MẶT SAU</v>
      </c>
      <c r="T278" s="3450">
        <f t="shared" si="225"/>
        <v>14</v>
      </c>
      <c r="U278" s="3450" t="str">
        <f t="shared" ca="1" si="226"/>
        <v/>
      </c>
      <c r="V278" s="3450"/>
      <c r="W278" s="3450"/>
      <c r="X278" s="3450">
        <f ca="1">IF(VLOOKUP(OFFSET($A$25,Z278,0),'Summary Data'!$C:$AV,45,0)&gt;0,"UV ink",Y278)</f>
        <v>0</v>
      </c>
      <c r="Z278" s="136">
        <f t="shared" si="229"/>
        <v>170</v>
      </c>
      <c r="AJ278" s="320"/>
      <c r="AM278" s="320"/>
    </row>
    <row r="279" spans="1:1022 1034:3063 3075:4090 4102:5117 5129:6144 6156:7158 7170:8185 8197:9212 9224:10239 10251:11253 11265:12280 12292:13307 13319:14334 14346:16375" ht="18" hidden="1" customHeight="1" outlineLevel="1">
      <c r="A279" s="919"/>
      <c r="B279" s="919"/>
      <c r="C279" s="320"/>
      <c r="D279" s="320"/>
      <c r="E279" s="320"/>
      <c r="F279" s="320"/>
      <c r="G279" s="320"/>
      <c r="H279" s="320"/>
      <c r="I279" s="320"/>
      <c r="J279" s="1579"/>
      <c r="K279" s="991"/>
      <c r="L279" s="833"/>
      <c r="M279" s="1000"/>
      <c r="AJ279" s="320"/>
      <c r="AM279" s="320"/>
    </row>
    <row r="280" spans="1:1022 1034:3063 3075:4090 4102:5117 5129:6144 6156:7158 7170:8185 8197:9212 9224:10239 10251:11253 11265:12280 12292:13307 13319:14334 14346:16375" s="146" customFormat="1" ht="18" hidden="1" customHeight="1" outlineLevel="1">
      <c r="A280" s="1776" t="s">
        <v>594</v>
      </c>
      <c r="B280" s="1776" t="s">
        <v>1496</v>
      </c>
      <c r="C280" s="1776"/>
      <c r="D280" s="1776" t="s">
        <v>1174</v>
      </c>
      <c r="E280" s="1776" t="s">
        <v>1099</v>
      </c>
      <c r="F280" s="1776" t="s">
        <v>17</v>
      </c>
      <c r="G280" s="1809" t="s">
        <v>12</v>
      </c>
      <c r="H280" s="1809" t="s">
        <v>1343</v>
      </c>
      <c r="I280" s="1776" t="s">
        <v>1088</v>
      </c>
      <c r="J280" s="1776" t="s">
        <v>212</v>
      </c>
      <c r="K280" s="1776" t="s">
        <v>1089</v>
      </c>
      <c r="L280" s="1776" t="s">
        <v>212</v>
      </c>
      <c r="M280" s="1777" t="s">
        <v>1090</v>
      </c>
      <c r="N280" s="1777" t="s">
        <v>1875</v>
      </c>
      <c r="T280" s="890"/>
      <c r="U280" s="890"/>
      <c r="AG280" s="890"/>
      <c r="AH280" s="890"/>
      <c r="AT280" s="890"/>
      <c r="AU280" s="890"/>
      <c r="BG280" s="890"/>
      <c r="BH280" s="890"/>
      <c r="BT280" s="890"/>
      <c r="BU280" s="890"/>
      <c r="CG280" s="890"/>
      <c r="CH280" s="890"/>
      <c r="CT280" s="890"/>
      <c r="CU280" s="890"/>
      <c r="DG280" s="890"/>
      <c r="DH280" s="890"/>
      <c r="DT280" s="890"/>
      <c r="DU280" s="890"/>
      <c r="EG280" s="890"/>
      <c r="EH280" s="890"/>
      <c r="ET280" s="890"/>
      <c r="EU280" s="890"/>
      <c r="FG280" s="890"/>
      <c r="FH280" s="890"/>
      <c r="FT280" s="890"/>
      <c r="FU280" s="890"/>
      <c r="GG280" s="890"/>
      <c r="GH280" s="890"/>
      <c r="GT280" s="890"/>
      <c r="GU280" s="890"/>
      <c r="HG280" s="890"/>
      <c r="HH280" s="890"/>
      <c r="HT280" s="890"/>
      <c r="HU280" s="890"/>
      <c r="IG280" s="890"/>
      <c r="IH280" s="890"/>
      <c r="IT280" s="890"/>
      <c r="IU280" s="890"/>
      <c r="JG280" s="890"/>
      <c r="JH280" s="890"/>
      <c r="JT280" s="890"/>
      <c r="JU280" s="890"/>
      <c r="KG280" s="890"/>
      <c r="KH280" s="890"/>
      <c r="KT280" s="890"/>
      <c r="KU280" s="890"/>
      <c r="LG280" s="890"/>
      <c r="LH280" s="890"/>
      <c r="LT280" s="890"/>
      <c r="LU280" s="890"/>
      <c r="MG280" s="890"/>
      <c r="MH280" s="890"/>
      <c r="MT280" s="890"/>
      <c r="MU280" s="890"/>
      <c r="NG280" s="890"/>
      <c r="NH280" s="890"/>
      <c r="NT280" s="890"/>
      <c r="NU280" s="890"/>
      <c r="OG280" s="890"/>
      <c r="OH280" s="890"/>
      <c r="OT280" s="890"/>
      <c r="OU280" s="890"/>
      <c r="PG280" s="890"/>
      <c r="PH280" s="890"/>
      <c r="PT280" s="890"/>
      <c r="PU280" s="890"/>
      <c r="QG280" s="890"/>
      <c r="QH280" s="890"/>
      <c r="QT280" s="890"/>
      <c r="QU280" s="890"/>
      <c r="RG280" s="890"/>
      <c r="RH280" s="890"/>
      <c r="RT280" s="890"/>
      <c r="RU280" s="890"/>
      <c r="SG280" s="890"/>
      <c r="SH280" s="890"/>
      <c r="ST280" s="890"/>
      <c r="SU280" s="890"/>
      <c r="TG280" s="890"/>
      <c r="TH280" s="890"/>
      <c r="TT280" s="890"/>
      <c r="TU280" s="890"/>
      <c r="UG280" s="890"/>
      <c r="UH280" s="890"/>
      <c r="UT280" s="890"/>
      <c r="UU280" s="890"/>
      <c r="VG280" s="890"/>
      <c r="VH280" s="890"/>
      <c r="VT280" s="890"/>
      <c r="VU280" s="890"/>
      <c r="WG280" s="890"/>
      <c r="WH280" s="890"/>
      <c r="WT280" s="890"/>
      <c r="WU280" s="890"/>
      <c r="XG280" s="890"/>
      <c r="XH280" s="890"/>
      <c r="XT280" s="890"/>
      <c r="XU280" s="890"/>
      <c r="YG280" s="890"/>
      <c r="YH280" s="890"/>
      <c r="YT280" s="890"/>
      <c r="YU280" s="890"/>
      <c r="ZG280" s="890"/>
      <c r="ZH280" s="890"/>
      <c r="ZT280" s="890"/>
      <c r="ZU280" s="890"/>
      <c r="AAG280" s="890"/>
      <c r="AAH280" s="890"/>
      <c r="AAT280" s="890"/>
      <c r="AAU280" s="890"/>
      <c r="ABG280" s="890"/>
      <c r="ABH280" s="890"/>
      <c r="ABT280" s="890"/>
      <c r="ABU280" s="890"/>
      <c r="ACG280" s="890"/>
      <c r="ACH280" s="890"/>
      <c r="ACT280" s="890"/>
      <c r="ACU280" s="890"/>
      <c r="ADG280" s="890"/>
      <c r="ADH280" s="890"/>
      <c r="ADT280" s="890"/>
      <c r="ADU280" s="890"/>
      <c r="AEG280" s="890"/>
      <c r="AEH280" s="890"/>
      <c r="AET280" s="890"/>
      <c r="AEU280" s="890"/>
      <c r="AFG280" s="890"/>
      <c r="AFH280" s="890"/>
      <c r="AFT280" s="890"/>
      <c r="AFU280" s="890"/>
      <c r="AGG280" s="890"/>
      <c r="AGH280" s="890"/>
      <c r="AGT280" s="890"/>
      <c r="AGU280" s="890"/>
      <c r="AHG280" s="890"/>
      <c r="AHH280" s="890"/>
      <c r="AHT280" s="890"/>
      <c r="AHU280" s="890"/>
      <c r="AIG280" s="890"/>
      <c r="AIH280" s="890"/>
      <c r="AIT280" s="890"/>
      <c r="AIU280" s="890"/>
      <c r="AJG280" s="890"/>
      <c r="AJH280" s="890"/>
      <c r="AJT280" s="890"/>
      <c r="AJU280" s="890"/>
      <c r="AKG280" s="890"/>
      <c r="AKH280" s="890"/>
      <c r="AKT280" s="890"/>
      <c r="AKU280" s="890"/>
      <c r="ALG280" s="890"/>
      <c r="ALH280" s="890"/>
      <c r="ALT280" s="890"/>
      <c r="ALU280" s="890"/>
      <c r="AMG280" s="890"/>
      <c r="AMH280" s="890"/>
      <c r="AMT280" s="890"/>
      <c r="AMU280" s="890"/>
      <c r="ANG280" s="890"/>
      <c r="ANH280" s="890"/>
      <c r="ANT280" s="890"/>
      <c r="ANU280" s="890"/>
      <c r="AOG280" s="890"/>
      <c r="AOH280" s="890"/>
      <c r="AOT280" s="890"/>
      <c r="AOU280" s="890"/>
      <c r="APG280" s="890"/>
      <c r="APH280" s="890"/>
      <c r="APT280" s="890"/>
      <c r="APU280" s="890"/>
      <c r="AQG280" s="890"/>
      <c r="AQH280" s="890"/>
      <c r="AQT280" s="890"/>
      <c r="AQU280" s="890"/>
      <c r="ARG280" s="890"/>
      <c r="ARH280" s="890"/>
      <c r="ART280" s="890"/>
      <c r="ARU280" s="890"/>
      <c r="ASG280" s="890"/>
      <c r="ASH280" s="890"/>
      <c r="AST280" s="890"/>
      <c r="ASU280" s="890"/>
      <c r="ATG280" s="890"/>
      <c r="ATH280" s="890"/>
      <c r="ATT280" s="890"/>
      <c r="ATU280" s="890"/>
      <c r="AUG280" s="890"/>
      <c r="AUH280" s="890"/>
      <c r="AUT280" s="890"/>
      <c r="AUU280" s="890"/>
      <c r="AVG280" s="890"/>
      <c r="AVH280" s="890"/>
      <c r="AVT280" s="890"/>
      <c r="AVU280" s="890"/>
      <c r="AWG280" s="890"/>
      <c r="AWH280" s="890"/>
      <c r="AWT280" s="890"/>
      <c r="AWU280" s="890"/>
      <c r="AXG280" s="890"/>
      <c r="AXH280" s="890"/>
      <c r="AXT280" s="890"/>
      <c r="AXU280" s="890"/>
      <c r="AYG280" s="890"/>
      <c r="AYH280" s="890"/>
      <c r="AYT280" s="890"/>
      <c r="AYU280" s="890"/>
      <c r="AZG280" s="890"/>
      <c r="AZH280" s="890"/>
      <c r="AZT280" s="890"/>
      <c r="AZU280" s="890"/>
      <c r="BAG280" s="890"/>
      <c r="BAH280" s="890"/>
      <c r="BAT280" s="890"/>
      <c r="BAU280" s="890"/>
      <c r="BBG280" s="890"/>
      <c r="BBH280" s="890"/>
      <c r="BBT280" s="890"/>
      <c r="BBU280" s="890"/>
      <c r="BCG280" s="890"/>
      <c r="BCH280" s="890"/>
      <c r="BCT280" s="890"/>
      <c r="BCU280" s="890"/>
      <c r="BDG280" s="890"/>
      <c r="BDH280" s="890"/>
      <c r="BDT280" s="890"/>
      <c r="BDU280" s="890"/>
      <c r="BEG280" s="890"/>
      <c r="BEH280" s="890"/>
      <c r="BET280" s="890"/>
      <c r="BEU280" s="890"/>
      <c r="BFG280" s="890"/>
      <c r="BFH280" s="890"/>
      <c r="BFT280" s="890"/>
      <c r="BFU280" s="890"/>
      <c r="BGG280" s="890"/>
      <c r="BGH280" s="890"/>
      <c r="BGT280" s="890"/>
      <c r="BGU280" s="890"/>
      <c r="BHG280" s="890"/>
      <c r="BHH280" s="890"/>
      <c r="BHT280" s="890"/>
      <c r="BHU280" s="890"/>
      <c r="BIG280" s="890"/>
      <c r="BIH280" s="890"/>
      <c r="BIT280" s="890"/>
      <c r="BIU280" s="890"/>
      <c r="BJG280" s="890"/>
      <c r="BJH280" s="890"/>
      <c r="BJT280" s="890"/>
      <c r="BJU280" s="890"/>
      <c r="BKG280" s="890"/>
      <c r="BKH280" s="890"/>
      <c r="BKT280" s="890"/>
      <c r="BKU280" s="890"/>
      <c r="BLG280" s="890"/>
      <c r="BLH280" s="890"/>
      <c r="BLT280" s="890"/>
      <c r="BLU280" s="890"/>
      <c r="BMG280" s="890"/>
      <c r="BMH280" s="890"/>
      <c r="BMT280" s="890"/>
      <c r="BMU280" s="890"/>
      <c r="BNG280" s="890"/>
      <c r="BNH280" s="890"/>
      <c r="BNT280" s="890"/>
      <c r="BNU280" s="890"/>
      <c r="BOG280" s="890"/>
      <c r="BOH280" s="890"/>
      <c r="BOT280" s="890"/>
      <c r="BOU280" s="890"/>
      <c r="BPG280" s="890"/>
      <c r="BPH280" s="890"/>
      <c r="BPT280" s="890"/>
      <c r="BPU280" s="890"/>
      <c r="BQG280" s="890"/>
      <c r="BQH280" s="890"/>
      <c r="BQT280" s="890"/>
      <c r="BQU280" s="890"/>
      <c r="BRG280" s="890"/>
      <c r="BRH280" s="890"/>
      <c r="BRT280" s="890"/>
      <c r="BRU280" s="890"/>
      <c r="BSG280" s="890"/>
      <c r="BSH280" s="890"/>
      <c r="BST280" s="890"/>
      <c r="BSU280" s="890"/>
      <c r="BTG280" s="890"/>
      <c r="BTH280" s="890"/>
      <c r="BTT280" s="890"/>
      <c r="BTU280" s="890"/>
      <c r="BUG280" s="890"/>
      <c r="BUH280" s="890"/>
      <c r="BUT280" s="890"/>
      <c r="BUU280" s="890"/>
      <c r="BVG280" s="890"/>
      <c r="BVH280" s="890"/>
      <c r="BVT280" s="890"/>
      <c r="BVU280" s="890"/>
      <c r="BWG280" s="890"/>
      <c r="BWH280" s="890"/>
      <c r="BWT280" s="890"/>
      <c r="BWU280" s="890"/>
      <c r="BXG280" s="890"/>
      <c r="BXH280" s="890"/>
      <c r="BXT280" s="890"/>
      <c r="BXU280" s="890"/>
      <c r="BYG280" s="890"/>
      <c r="BYH280" s="890"/>
      <c r="BYT280" s="890"/>
      <c r="BYU280" s="890"/>
      <c r="BZG280" s="890"/>
      <c r="BZH280" s="890"/>
      <c r="BZT280" s="890"/>
      <c r="BZU280" s="890"/>
      <c r="CAG280" s="890"/>
      <c r="CAH280" s="890"/>
      <c r="CAT280" s="890"/>
      <c r="CAU280" s="890"/>
      <c r="CBG280" s="890"/>
      <c r="CBH280" s="890"/>
      <c r="CBT280" s="890"/>
      <c r="CBU280" s="890"/>
      <c r="CCG280" s="890"/>
      <c r="CCH280" s="890"/>
      <c r="CCT280" s="890"/>
      <c r="CCU280" s="890"/>
      <c r="CDG280" s="890"/>
      <c r="CDH280" s="890"/>
      <c r="CDT280" s="890"/>
      <c r="CDU280" s="890"/>
      <c r="CEG280" s="890"/>
      <c r="CEH280" s="890"/>
      <c r="CET280" s="890"/>
      <c r="CEU280" s="890"/>
      <c r="CFG280" s="890"/>
      <c r="CFH280" s="890"/>
      <c r="CFT280" s="890"/>
      <c r="CFU280" s="890"/>
      <c r="CGG280" s="890"/>
      <c r="CGH280" s="890"/>
      <c r="CGT280" s="890"/>
      <c r="CGU280" s="890"/>
      <c r="CHG280" s="890"/>
      <c r="CHH280" s="890"/>
      <c r="CHT280" s="890"/>
      <c r="CHU280" s="890"/>
      <c r="CIG280" s="890"/>
      <c r="CIH280" s="890"/>
      <c r="CIT280" s="890"/>
      <c r="CIU280" s="890"/>
      <c r="CJG280" s="890"/>
      <c r="CJH280" s="890"/>
      <c r="CJT280" s="890"/>
      <c r="CJU280" s="890"/>
      <c r="CKG280" s="890"/>
      <c r="CKH280" s="890"/>
      <c r="CKT280" s="890"/>
      <c r="CKU280" s="890"/>
      <c r="CLG280" s="890"/>
      <c r="CLH280" s="890"/>
      <c r="CLT280" s="890"/>
      <c r="CLU280" s="890"/>
      <c r="CMG280" s="890"/>
      <c r="CMH280" s="890"/>
      <c r="CMT280" s="890"/>
      <c r="CMU280" s="890"/>
      <c r="CNG280" s="890"/>
      <c r="CNH280" s="890"/>
      <c r="CNT280" s="890"/>
      <c r="CNU280" s="890"/>
      <c r="COG280" s="890"/>
      <c r="COH280" s="890"/>
      <c r="COT280" s="890"/>
      <c r="COU280" s="890"/>
      <c r="CPG280" s="890"/>
      <c r="CPH280" s="890"/>
      <c r="CPT280" s="890"/>
      <c r="CPU280" s="890"/>
      <c r="CQG280" s="890"/>
      <c r="CQH280" s="890"/>
      <c r="CQT280" s="890"/>
      <c r="CQU280" s="890"/>
      <c r="CRG280" s="890"/>
      <c r="CRH280" s="890"/>
      <c r="CRT280" s="890"/>
      <c r="CRU280" s="890"/>
      <c r="CSG280" s="890"/>
      <c r="CSH280" s="890"/>
      <c r="CST280" s="890"/>
      <c r="CSU280" s="890"/>
      <c r="CTG280" s="890"/>
      <c r="CTH280" s="890"/>
      <c r="CTT280" s="890"/>
      <c r="CTU280" s="890"/>
      <c r="CUG280" s="890"/>
      <c r="CUH280" s="890"/>
      <c r="CUT280" s="890"/>
      <c r="CUU280" s="890"/>
      <c r="CVG280" s="890"/>
      <c r="CVH280" s="890"/>
      <c r="CVT280" s="890"/>
      <c r="CVU280" s="890"/>
      <c r="CWG280" s="890"/>
      <c r="CWH280" s="890"/>
      <c r="CWT280" s="890"/>
      <c r="CWU280" s="890"/>
      <c r="CXG280" s="890"/>
      <c r="CXH280" s="890"/>
      <c r="CXT280" s="890"/>
      <c r="CXU280" s="890"/>
      <c r="CYG280" s="890"/>
      <c r="CYH280" s="890"/>
      <c r="CYT280" s="890"/>
      <c r="CYU280" s="890"/>
      <c r="CZG280" s="890"/>
      <c r="CZH280" s="890"/>
      <c r="CZT280" s="890"/>
      <c r="CZU280" s="890"/>
      <c r="DAG280" s="890"/>
      <c r="DAH280" s="890"/>
      <c r="DAT280" s="890"/>
      <c r="DAU280" s="890"/>
      <c r="DBG280" s="890"/>
      <c r="DBH280" s="890"/>
      <c r="DBT280" s="890"/>
      <c r="DBU280" s="890"/>
      <c r="DCG280" s="890"/>
      <c r="DCH280" s="890"/>
      <c r="DCT280" s="890"/>
      <c r="DCU280" s="890"/>
      <c r="DDG280" s="890"/>
      <c r="DDH280" s="890"/>
      <c r="DDT280" s="890"/>
      <c r="DDU280" s="890"/>
      <c r="DEG280" s="890"/>
      <c r="DEH280" s="890"/>
      <c r="DET280" s="890"/>
      <c r="DEU280" s="890"/>
      <c r="DFG280" s="890"/>
      <c r="DFH280" s="890"/>
      <c r="DFT280" s="890"/>
      <c r="DFU280" s="890"/>
      <c r="DGG280" s="890"/>
      <c r="DGH280" s="890"/>
      <c r="DGT280" s="890"/>
      <c r="DGU280" s="890"/>
      <c r="DHG280" s="890"/>
      <c r="DHH280" s="890"/>
      <c r="DHT280" s="890"/>
      <c r="DHU280" s="890"/>
      <c r="DIG280" s="890"/>
      <c r="DIH280" s="890"/>
      <c r="DIT280" s="890"/>
      <c r="DIU280" s="890"/>
      <c r="DJG280" s="890"/>
      <c r="DJH280" s="890"/>
      <c r="DJT280" s="890"/>
      <c r="DJU280" s="890"/>
      <c r="DKG280" s="890"/>
      <c r="DKH280" s="890"/>
      <c r="DKT280" s="890"/>
      <c r="DKU280" s="890"/>
      <c r="DLG280" s="890"/>
      <c r="DLH280" s="890"/>
      <c r="DLT280" s="890"/>
      <c r="DLU280" s="890"/>
      <c r="DMG280" s="890"/>
      <c r="DMH280" s="890"/>
      <c r="DMT280" s="890"/>
      <c r="DMU280" s="890"/>
      <c r="DNG280" s="890"/>
      <c r="DNH280" s="890"/>
      <c r="DNT280" s="890"/>
      <c r="DNU280" s="890"/>
      <c r="DOG280" s="890"/>
      <c r="DOH280" s="890"/>
      <c r="DOT280" s="890"/>
      <c r="DOU280" s="890"/>
      <c r="DPG280" s="890"/>
      <c r="DPH280" s="890"/>
      <c r="DPT280" s="890"/>
      <c r="DPU280" s="890"/>
      <c r="DQG280" s="890"/>
      <c r="DQH280" s="890"/>
      <c r="DQT280" s="890"/>
      <c r="DQU280" s="890"/>
      <c r="DRG280" s="890"/>
      <c r="DRH280" s="890"/>
      <c r="DRT280" s="890"/>
      <c r="DRU280" s="890"/>
      <c r="DSG280" s="890"/>
      <c r="DSH280" s="890"/>
      <c r="DST280" s="890"/>
      <c r="DSU280" s="890"/>
      <c r="DTG280" s="890"/>
      <c r="DTH280" s="890"/>
      <c r="DTT280" s="890"/>
      <c r="DTU280" s="890"/>
      <c r="DUG280" s="890"/>
      <c r="DUH280" s="890"/>
      <c r="DUT280" s="890"/>
      <c r="DUU280" s="890"/>
      <c r="DVG280" s="890"/>
      <c r="DVH280" s="890"/>
      <c r="DVT280" s="890"/>
      <c r="DVU280" s="890"/>
      <c r="DWG280" s="890"/>
      <c r="DWH280" s="890"/>
      <c r="DWT280" s="890"/>
      <c r="DWU280" s="890"/>
      <c r="DXG280" s="890"/>
      <c r="DXH280" s="890"/>
      <c r="DXT280" s="890"/>
      <c r="DXU280" s="890"/>
      <c r="DYG280" s="890"/>
      <c r="DYH280" s="890"/>
      <c r="DYT280" s="890"/>
      <c r="DYU280" s="890"/>
      <c r="DZG280" s="890"/>
      <c r="DZH280" s="890"/>
      <c r="DZT280" s="890"/>
      <c r="DZU280" s="890"/>
      <c r="EAG280" s="890"/>
      <c r="EAH280" s="890"/>
      <c r="EAT280" s="890"/>
      <c r="EAU280" s="890"/>
      <c r="EBG280" s="890"/>
      <c r="EBH280" s="890"/>
      <c r="EBT280" s="890"/>
      <c r="EBU280" s="890"/>
      <c r="ECG280" s="890"/>
      <c r="ECH280" s="890"/>
      <c r="ECT280" s="890"/>
      <c r="ECU280" s="890"/>
      <c r="EDG280" s="890"/>
      <c r="EDH280" s="890"/>
      <c r="EDT280" s="890"/>
      <c r="EDU280" s="890"/>
      <c r="EEG280" s="890"/>
      <c r="EEH280" s="890"/>
      <c r="EET280" s="890"/>
      <c r="EEU280" s="890"/>
      <c r="EFG280" s="890"/>
      <c r="EFH280" s="890"/>
      <c r="EFT280" s="890"/>
      <c r="EFU280" s="890"/>
      <c r="EGG280" s="890"/>
      <c r="EGH280" s="890"/>
      <c r="EGT280" s="890"/>
      <c r="EGU280" s="890"/>
      <c r="EHG280" s="890"/>
      <c r="EHH280" s="890"/>
      <c r="EHT280" s="890"/>
      <c r="EHU280" s="890"/>
      <c r="EIG280" s="890"/>
      <c r="EIH280" s="890"/>
      <c r="EIT280" s="890"/>
      <c r="EIU280" s="890"/>
      <c r="EJG280" s="890"/>
      <c r="EJH280" s="890"/>
      <c r="EJT280" s="890"/>
      <c r="EJU280" s="890"/>
      <c r="EKG280" s="890"/>
      <c r="EKH280" s="890"/>
      <c r="EKT280" s="890"/>
      <c r="EKU280" s="890"/>
      <c r="ELG280" s="890"/>
      <c r="ELH280" s="890"/>
      <c r="ELT280" s="890"/>
      <c r="ELU280" s="890"/>
      <c r="EMG280" s="890"/>
      <c r="EMH280" s="890"/>
      <c r="EMT280" s="890"/>
      <c r="EMU280" s="890"/>
      <c r="ENG280" s="890"/>
      <c r="ENH280" s="890"/>
      <c r="ENT280" s="890"/>
      <c r="ENU280" s="890"/>
      <c r="EOG280" s="890"/>
      <c r="EOH280" s="890"/>
      <c r="EOT280" s="890"/>
      <c r="EOU280" s="890"/>
      <c r="EPG280" s="890"/>
      <c r="EPH280" s="890"/>
      <c r="EPT280" s="890"/>
      <c r="EPU280" s="890"/>
      <c r="EQG280" s="890"/>
      <c r="EQH280" s="890"/>
      <c r="EQT280" s="890"/>
      <c r="EQU280" s="890"/>
      <c r="ERG280" s="890"/>
      <c r="ERH280" s="890"/>
      <c r="ERT280" s="890"/>
      <c r="ERU280" s="890"/>
      <c r="ESG280" s="890"/>
      <c r="ESH280" s="890"/>
      <c r="EST280" s="890"/>
      <c r="ESU280" s="890"/>
      <c r="ETG280" s="890"/>
      <c r="ETH280" s="890"/>
      <c r="ETT280" s="890"/>
      <c r="ETU280" s="890"/>
      <c r="EUG280" s="890"/>
      <c r="EUH280" s="890"/>
      <c r="EUT280" s="890"/>
      <c r="EUU280" s="890"/>
      <c r="EVG280" s="890"/>
      <c r="EVH280" s="890"/>
      <c r="EVT280" s="890"/>
      <c r="EVU280" s="890"/>
      <c r="EWG280" s="890"/>
      <c r="EWH280" s="890"/>
      <c r="EWT280" s="890"/>
      <c r="EWU280" s="890"/>
      <c r="EXG280" s="890"/>
      <c r="EXH280" s="890"/>
      <c r="EXT280" s="890"/>
      <c r="EXU280" s="890"/>
      <c r="EYG280" s="890"/>
      <c r="EYH280" s="890"/>
      <c r="EYT280" s="890"/>
      <c r="EYU280" s="890"/>
      <c r="EZG280" s="890"/>
      <c r="EZH280" s="890"/>
      <c r="EZT280" s="890"/>
      <c r="EZU280" s="890"/>
      <c r="FAG280" s="890"/>
      <c r="FAH280" s="890"/>
      <c r="FAT280" s="890"/>
      <c r="FAU280" s="890"/>
      <c r="FBG280" s="890"/>
      <c r="FBH280" s="890"/>
      <c r="FBT280" s="890"/>
      <c r="FBU280" s="890"/>
      <c r="FCG280" s="890"/>
      <c r="FCH280" s="890"/>
      <c r="FCT280" s="890"/>
      <c r="FCU280" s="890"/>
      <c r="FDG280" s="890"/>
      <c r="FDH280" s="890"/>
      <c r="FDT280" s="890"/>
      <c r="FDU280" s="890"/>
      <c r="FEG280" s="890"/>
      <c r="FEH280" s="890"/>
      <c r="FET280" s="890"/>
      <c r="FEU280" s="890"/>
      <c r="FFG280" s="890"/>
      <c r="FFH280" s="890"/>
      <c r="FFT280" s="890"/>
      <c r="FFU280" s="890"/>
      <c r="FGG280" s="890"/>
      <c r="FGH280" s="890"/>
      <c r="FGT280" s="890"/>
      <c r="FGU280" s="890"/>
      <c r="FHG280" s="890"/>
      <c r="FHH280" s="890"/>
      <c r="FHT280" s="890"/>
      <c r="FHU280" s="890"/>
      <c r="FIG280" s="890"/>
      <c r="FIH280" s="890"/>
      <c r="FIT280" s="890"/>
      <c r="FIU280" s="890"/>
      <c r="FJG280" s="890"/>
      <c r="FJH280" s="890"/>
      <c r="FJT280" s="890"/>
      <c r="FJU280" s="890"/>
      <c r="FKG280" s="890"/>
      <c r="FKH280" s="890"/>
      <c r="FKT280" s="890"/>
      <c r="FKU280" s="890"/>
      <c r="FLG280" s="890"/>
      <c r="FLH280" s="890"/>
      <c r="FLT280" s="890"/>
      <c r="FLU280" s="890"/>
      <c r="FMG280" s="890"/>
      <c r="FMH280" s="890"/>
      <c r="FMT280" s="890"/>
      <c r="FMU280" s="890"/>
      <c r="FNG280" s="890"/>
      <c r="FNH280" s="890"/>
      <c r="FNT280" s="890"/>
      <c r="FNU280" s="890"/>
      <c r="FOG280" s="890"/>
      <c r="FOH280" s="890"/>
      <c r="FOT280" s="890"/>
      <c r="FOU280" s="890"/>
      <c r="FPG280" s="890"/>
      <c r="FPH280" s="890"/>
      <c r="FPT280" s="890"/>
      <c r="FPU280" s="890"/>
      <c r="FQG280" s="890"/>
      <c r="FQH280" s="890"/>
      <c r="FQT280" s="890"/>
      <c r="FQU280" s="890"/>
      <c r="FRG280" s="890"/>
      <c r="FRH280" s="890"/>
      <c r="FRT280" s="890"/>
      <c r="FRU280" s="890"/>
      <c r="FSG280" s="890"/>
      <c r="FSH280" s="890"/>
      <c r="FST280" s="890"/>
      <c r="FSU280" s="890"/>
      <c r="FTG280" s="890"/>
      <c r="FTH280" s="890"/>
      <c r="FTT280" s="890"/>
      <c r="FTU280" s="890"/>
      <c r="FUG280" s="890"/>
      <c r="FUH280" s="890"/>
      <c r="FUT280" s="890"/>
      <c r="FUU280" s="890"/>
      <c r="FVG280" s="890"/>
      <c r="FVH280" s="890"/>
      <c r="FVT280" s="890"/>
      <c r="FVU280" s="890"/>
      <c r="FWG280" s="890"/>
      <c r="FWH280" s="890"/>
      <c r="FWT280" s="890"/>
      <c r="FWU280" s="890"/>
      <c r="FXG280" s="890"/>
      <c r="FXH280" s="890"/>
      <c r="FXT280" s="890"/>
      <c r="FXU280" s="890"/>
      <c r="FYG280" s="890"/>
      <c r="FYH280" s="890"/>
      <c r="FYT280" s="890"/>
      <c r="FYU280" s="890"/>
      <c r="FZG280" s="890"/>
      <c r="FZH280" s="890"/>
      <c r="FZT280" s="890"/>
      <c r="FZU280" s="890"/>
      <c r="GAG280" s="890"/>
      <c r="GAH280" s="890"/>
      <c r="GAT280" s="890"/>
      <c r="GAU280" s="890"/>
      <c r="GBG280" s="890"/>
      <c r="GBH280" s="890"/>
      <c r="GBT280" s="890"/>
      <c r="GBU280" s="890"/>
      <c r="GCG280" s="890"/>
      <c r="GCH280" s="890"/>
      <c r="GCT280" s="890"/>
      <c r="GCU280" s="890"/>
      <c r="GDG280" s="890"/>
      <c r="GDH280" s="890"/>
      <c r="GDT280" s="890"/>
      <c r="GDU280" s="890"/>
      <c r="GEG280" s="890"/>
      <c r="GEH280" s="890"/>
      <c r="GET280" s="890"/>
      <c r="GEU280" s="890"/>
      <c r="GFG280" s="890"/>
      <c r="GFH280" s="890"/>
      <c r="GFT280" s="890"/>
      <c r="GFU280" s="890"/>
      <c r="GGG280" s="890"/>
      <c r="GGH280" s="890"/>
      <c r="GGT280" s="890"/>
      <c r="GGU280" s="890"/>
      <c r="GHG280" s="890"/>
      <c r="GHH280" s="890"/>
      <c r="GHT280" s="890"/>
      <c r="GHU280" s="890"/>
      <c r="GIG280" s="890"/>
      <c r="GIH280" s="890"/>
      <c r="GIT280" s="890"/>
      <c r="GIU280" s="890"/>
      <c r="GJG280" s="890"/>
      <c r="GJH280" s="890"/>
      <c r="GJT280" s="890"/>
      <c r="GJU280" s="890"/>
      <c r="GKG280" s="890"/>
      <c r="GKH280" s="890"/>
      <c r="GKT280" s="890"/>
      <c r="GKU280" s="890"/>
      <c r="GLG280" s="890"/>
      <c r="GLH280" s="890"/>
      <c r="GLT280" s="890"/>
      <c r="GLU280" s="890"/>
      <c r="GMG280" s="890"/>
      <c r="GMH280" s="890"/>
      <c r="GMT280" s="890"/>
      <c r="GMU280" s="890"/>
      <c r="GNG280" s="890"/>
      <c r="GNH280" s="890"/>
      <c r="GNT280" s="890"/>
      <c r="GNU280" s="890"/>
      <c r="GOG280" s="890"/>
      <c r="GOH280" s="890"/>
      <c r="GOT280" s="890"/>
      <c r="GOU280" s="890"/>
      <c r="GPG280" s="890"/>
      <c r="GPH280" s="890"/>
      <c r="GPT280" s="890"/>
      <c r="GPU280" s="890"/>
      <c r="GQG280" s="890"/>
      <c r="GQH280" s="890"/>
      <c r="GQT280" s="890"/>
      <c r="GQU280" s="890"/>
      <c r="GRG280" s="890"/>
      <c r="GRH280" s="890"/>
      <c r="GRT280" s="890"/>
      <c r="GRU280" s="890"/>
      <c r="GSG280" s="890"/>
      <c r="GSH280" s="890"/>
      <c r="GST280" s="890"/>
      <c r="GSU280" s="890"/>
      <c r="GTG280" s="890"/>
      <c r="GTH280" s="890"/>
      <c r="GTT280" s="890"/>
      <c r="GTU280" s="890"/>
      <c r="GUG280" s="890"/>
      <c r="GUH280" s="890"/>
      <c r="GUT280" s="890"/>
      <c r="GUU280" s="890"/>
      <c r="GVG280" s="890"/>
      <c r="GVH280" s="890"/>
      <c r="GVT280" s="890"/>
      <c r="GVU280" s="890"/>
      <c r="GWG280" s="890"/>
      <c r="GWH280" s="890"/>
      <c r="GWT280" s="890"/>
      <c r="GWU280" s="890"/>
      <c r="GXG280" s="890"/>
      <c r="GXH280" s="890"/>
      <c r="GXT280" s="890"/>
      <c r="GXU280" s="890"/>
      <c r="GYG280" s="890"/>
      <c r="GYH280" s="890"/>
      <c r="GYT280" s="890"/>
      <c r="GYU280" s="890"/>
      <c r="GZG280" s="890"/>
      <c r="GZH280" s="890"/>
      <c r="GZT280" s="890"/>
      <c r="GZU280" s="890"/>
      <c r="HAG280" s="890"/>
      <c r="HAH280" s="890"/>
      <c r="HAT280" s="890"/>
      <c r="HAU280" s="890"/>
      <c r="HBG280" s="890"/>
      <c r="HBH280" s="890"/>
      <c r="HBT280" s="890"/>
      <c r="HBU280" s="890"/>
      <c r="HCG280" s="890"/>
      <c r="HCH280" s="890"/>
      <c r="HCT280" s="890"/>
      <c r="HCU280" s="890"/>
      <c r="HDG280" s="890"/>
      <c r="HDH280" s="890"/>
      <c r="HDT280" s="890"/>
      <c r="HDU280" s="890"/>
      <c r="HEG280" s="890"/>
      <c r="HEH280" s="890"/>
      <c r="HET280" s="890"/>
      <c r="HEU280" s="890"/>
      <c r="HFG280" s="890"/>
      <c r="HFH280" s="890"/>
      <c r="HFT280" s="890"/>
      <c r="HFU280" s="890"/>
      <c r="HGG280" s="890"/>
      <c r="HGH280" s="890"/>
      <c r="HGT280" s="890"/>
      <c r="HGU280" s="890"/>
      <c r="HHG280" s="890"/>
      <c r="HHH280" s="890"/>
      <c r="HHT280" s="890"/>
      <c r="HHU280" s="890"/>
      <c r="HIG280" s="890"/>
      <c r="HIH280" s="890"/>
      <c r="HIT280" s="890"/>
      <c r="HIU280" s="890"/>
      <c r="HJG280" s="890"/>
      <c r="HJH280" s="890"/>
      <c r="HJT280" s="890"/>
      <c r="HJU280" s="890"/>
      <c r="HKG280" s="890"/>
      <c r="HKH280" s="890"/>
      <c r="HKT280" s="890"/>
      <c r="HKU280" s="890"/>
      <c r="HLG280" s="890"/>
      <c r="HLH280" s="890"/>
      <c r="HLT280" s="890"/>
      <c r="HLU280" s="890"/>
      <c r="HMG280" s="890"/>
      <c r="HMH280" s="890"/>
      <c r="HMT280" s="890"/>
      <c r="HMU280" s="890"/>
      <c r="HNG280" s="890"/>
      <c r="HNH280" s="890"/>
      <c r="HNT280" s="890"/>
      <c r="HNU280" s="890"/>
      <c r="HOG280" s="890"/>
      <c r="HOH280" s="890"/>
      <c r="HOT280" s="890"/>
      <c r="HOU280" s="890"/>
      <c r="HPG280" s="890"/>
      <c r="HPH280" s="890"/>
      <c r="HPT280" s="890"/>
      <c r="HPU280" s="890"/>
      <c r="HQG280" s="890"/>
      <c r="HQH280" s="890"/>
      <c r="HQT280" s="890"/>
      <c r="HQU280" s="890"/>
      <c r="HRG280" s="890"/>
      <c r="HRH280" s="890"/>
      <c r="HRT280" s="890"/>
      <c r="HRU280" s="890"/>
      <c r="HSG280" s="890"/>
      <c r="HSH280" s="890"/>
      <c r="HST280" s="890"/>
      <c r="HSU280" s="890"/>
      <c r="HTG280" s="890"/>
      <c r="HTH280" s="890"/>
      <c r="HTT280" s="890"/>
      <c r="HTU280" s="890"/>
      <c r="HUG280" s="890"/>
      <c r="HUH280" s="890"/>
      <c r="HUT280" s="890"/>
      <c r="HUU280" s="890"/>
      <c r="HVG280" s="890"/>
      <c r="HVH280" s="890"/>
      <c r="HVT280" s="890"/>
      <c r="HVU280" s="890"/>
      <c r="HWG280" s="890"/>
      <c r="HWH280" s="890"/>
      <c r="HWT280" s="890"/>
      <c r="HWU280" s="890"/>
      <c r="HXG280" s="890"/>
      <c r="HXH280" s="890"/>
      <c r="HXT280" s="890"/>
      <c r="HXU280" s="890"/>
      <c r="HYG280" s="890"/>
      <c r="HYH280" s="890"/>
      <c r="HYT280" s="890"/>
      <c r="HYU280" s="890"/>
      <c r="HZG280" s="890"/>
      <c r="HZH280" s="890"/>
      <c r="HZT280" s="890"/>
      <c r="HZU280" s="890"/>
      <c r="IAG280" s="890"/>
      <c r="IAH280" s="890"/>
      <c r="IAT280" s="890"/>
      <c r="IAU280" s="890"/>
      <c r="IBG280" s="890"/>
      <c r="IBH280" s="890"/>
      <c r="IBT280" s="890"/>
      <c r="IBU280" s="890"/>
      <c r="ICG280" s="890"/>
      <c r="ICH280" s="890"/>
      <c r="ICT280" s="890"/>
      <c r="ICU280" s="890"/>
      <c r="IDG280" s="890"/>
      <c r="IDH280" s="890"/>
      <c r="IDT280" s="890"/>
      <c r="IDU280" s="890"/>
      <c r="IEG280" s="890"/>
      <c r="IEH280" s="890"/>
      <c r="IET280" s="890"/>
      <c r="IEU280" s="890"/>
      <c r="IFG280" s="890"/>
      <c r="IFH280" s="890"/>
      <c r="IFT280" s="890"/>
      <c r="IFU280" s="890"/>
      <c r="IGG280" s="890"/>
      <c r="IGH280" s="890"/>
      <c r="IGT280" s="890"/>
      <c r="IGU280" s="890"/>
      <c r="IHG280" s="890"/>
      <c r="IHH280" s="890"/>
      <c r="IHT280" s="890"/>
      <c r="IHU280" s="890"/>
      <c r="IIG280" s="890"/>
      <c r="IIH280" s="890"/>
      <c r="IIT280" s="890"/>
      <c r="IIU280" s="890"/>
      <c r="IJG280" s="890"/>
      <c r="IJH280" s="890"/>
      <c r="IJT280" s="890"/>
      <c r="IJU280" s="890"/>
      <c r="IKG280" s="890"/>
      <c r="IKH280" s="890"/>
      <c r="IKT280" s="890"/>
      <c r="IKU280" s="890"/>
      <c r="ILG280" s="890"/>
      <c r="ILH280" s="890"/>
      <c r="ILT280" s="890"/>
      <c r="ILU280" s="890"/>
      <c r="IMG280" s="890"/>
      <c r="IMH280" s="890"/>
      <c r="IMT280" s="890"/>
      <c r="IMU280" s="890"/>
      <c r="ING280" s="890"/>
      <c r="INH280" s="890"/>
      <c r="INT280" s="890"/>
      <c r="INU280" s="890"/>
      <c r="IOG280" s="890"/>
      <c r="IOH280" s="890"/>
      <c r="IOT280" s="890"/>
      <c r="IOU280" s="890"/>
      <c r="IPG280" s="890"/>
      <c r="IPH280" s="890"/>
      <c r="IPT280" s="890"/>
      <c r="IPU280" s="890"/>
      <c r="IQG280" s="890"/>
      <c r="IQH280" s="890"/>
      <c r="IQT280" s="890"/>
      <c r="IQU280" s="890"/>
      <c r="IRG280" s="890"/>
      <c r="IRH280" s="890"/>
      <c r="IRT280" s="890"/>
      <c r="IRU280" s="890"/>
      <c r="ISG280" s="890"/>
      <c r="ISH280" s="890"/>
      <c r="IST280" s="890"/>
      <c r="ISU280" s="890"/>
      <c r="ITG280" s="890"/>
      <c r="ITH280" s="890"/>
      <c r="ITT280" s="890"/>
      <c r="ITU280" s="890"/>
      <c r="IUG280" s="890"/>
      <c r="IUH280" s="890"/>
      <c r="IUT280" s="890"/>
      <c r="IUU280" s="890"/>
      <c r="IVG280" s="890"/>
      <c r="IVH280" s="890"/>
      <c r="IVT280" s="890"/>
      <c r="IVU280" s="890"/>
      <c r="IWG280" s="890"/>
      <c r="IWH280" s="890"/>
      <c r="IWT280" s="890"/>
      <c r="IWU280" s="890"/>
      <c r="IXG280" s="890"/>
      <c r="IXH280" s="890"/>
      <c r="IXT280" s="890"/>
      <c r="IXU280" s="890"/>
      <c r="IYG280" s="890"/>
      <c r="IYH280" s="890"/>
      <c r="IYT280" s="890"/>
      <c r="IYU280" s="890"/>
      <c r="IZG280" s="890"/>
      <c r="IZH280" s="890"/>
      <c r="IZT280" s="890"/>
      <c r="IZU280" s="890"/>
      <c r="JAG280" s="890"/>
      <c r="JAH280" s="890"/>
      <c r="JAT280" s="890"/>
      <c r="JAU280" s="890"/>
      <c r="JBG280" s="890"/>
      <c r="JBH280" s="890"/>
      <c r="JBT280" s="890"/>
      <c r="JBU280" s="890"/>
      <c r="JCG280" s="890"/>
      <c r="JCH280" s="890"/>
      <c r="JCT280" s="890"/>
      <c r="JCU280" s="890"/>
      <c r="JDG280" s="890"/>
      <c r="JDH280" s="890"/>
      <c r="JDT280" s="890"/>
      <c r="JDU280" s="890"/>
      <c r="JEG280" s="890"/>
      <c r="JEH280" s="890"/>
      <c r="JET280" s="890"/>
      <c r="JEU280" s="890"/>
      <c r="JFG280" s="890"/>
      <c r="JFH280" s="890"/>
      <c r="JFT280" s="890"/>
      <c r="JFU280" s="890"/>
      <c r="JGG280" s="890"/>
      <c r="JGH280" s="890"/>
      <c r="JGT280" s="890"/>
      <c r="JGU280" s="890"/>
      <c r="JHG280" s="890"/>
      <c r="JHH280" s="890"/>
      <c r="JHT280" s="890"/>
      <c r="JHU280" s="890"/>
      <c r="JIG280" s="890"/>
      <c r="JIH280" s="890"/>
      <c r="JIT280" s="890"/>
      <c r="JIU280" s="890"/>
      <c r="JJG280" s="890"/>
      <c r="JJH280" s="890"/>
      <c r="JJT280" s="890"/>
      <c r="JJU280" s="890"/>
      <c r="JKG280" s="890"/>
      <c r="JKH280" s="890"/>
      <c r="JKT280" s="890"/>
      <c r="JKU280" s="890"/>
      <c r="JLG280" s="890"/>
      <c r="JLH280" s="890"/>
      <c r="JLT280" s="890"/>
      <c r="JLU280" s="890"/>
      <c r="JMG280" s="890"/>
      <c r="JMH280" s="890"/>
      <c r="JMT280" s="890"/>
      <c r="JMU280" s="890"/>
      <c r="JNG280" s="890"/>
      <c r="JNH280" s="890"/>
      <c r="JNT280" s="890"/>
      <c r="JNU280" s="890"/>
      <c r="JOG280" s="890"/>
      <c r="JOH280" s="890"/>
      <c r="JOT280" s="890"/>
      <c r="JOU280" s="890"/>
      <c r="JPG280" s="890"/>
      <c r="JPH280" s="890"/>
      <c r="JPT280" s="890"/>
      <c r="JPU280" s="890"/>
      <c r="JQG280" s="890"/>
      <c r="JQH280" s="890"/>
      <c r="JQT280" s="890"/>
      <c r="JQU280" s="890"/>
      <c r="JRG280" s="890"/>
      <c r="JRH280" s="890"/>
      <c r="JRT280" s="890"/>
      <c r="JRU280" s="890"/>
      <c r="JSG280" s="890"/>
      <c r="JSH280" s="890"/>
      <c r="JST280" s="890"/>
      <c r="JSU280" s="890"/>
      <c r="JTG280" s="890"/>
      <c r="JTH280" s="890"/>
      <c r="JTT280" s="890"/>
      <c r="JTU280" s="890"/>
      <c r="JUG280" s="890"/>
      <c r="JUH280" s="890"/>
      <c r="JUT280" s="890"/>
      <c r="JUU280" s="890"/>
      <c r="JVG280" s="890"/>
      <c r="JVH280" s="890"/>
      <c r="JVT280" s="890"/>
      <c r="JVU280" s="890"/>
      <c r="JWG280" s="890"/>
      <c r="JWH280" s="890"/>
      <c r="JWT280" s="890"/>
      <c r="JWU280" s="890"/>
      <c r="JXG280" s="890"/>
      <c r="JXH280" s="890"/>
      <c r="JXT280" s="890"/>
      <c r="JXU280" s="890"/>
      <c r="JYG280" s="890"/>
      <c r="JYH280" s="890"/>
      <c r="JYT280" s="890"/>
      <c r="JYU280" s="890"/>
      <c r="JZG280" s="890"/>
      <c r="JZH280" s="890"/>
      <c r="JZT280" s="890"/>
      <c r="JZU280" s="890"/>
      <c r="KAG280" s="890"/>
      <c r="KAH280" s="890"/>
      <c r="KAT280" s="890"/>
      <c r="KAU280" s="890"/>
      <c r="KBG280" s="890"/>
      <c r="KBH280" s="890"/>
      <c r="KBT280" s="890"/>
      <c r="KBU280" s="890"/>
      <c r="KCG280" s="890"/>
      <c r="KCH280" s="890"/>
      <c r="KCT280" s="890"/>
      <c r="KCU280" s="890"/>
      <c r="KDG280" s="890"/>
      <c r="KDH280" s="890"/>
      <c r="KDT280" s="890"/>
      <c r="KDU280" s="890"/>
      <c r="KEG280" s="890"/>
      <c r="KEH280" s="890"/>
      <c r="KET280" s="890"/>
      <c r="KEU280" s="890"/>
      <c r="KFG280" s="890"/>
      <c r="KFH280" s="890"/>
      <c r="KFT280" s="890"/>
      <c r="KFU280" s="890"/>
      <c r="KGG280" s="890"/>
      <c r="KGH280" s="890"/>
      <c r="KGT280" s="890"/>
      <c r="KGU280" s="890"/>
      <c r="KHG280" s="890"/>
      <c r="KHH280" s="890"/>
      <c r="KHT280" s="890"/>
      <c r="KHU280" s="890"/>
      <c r="KIG280" s="890"/>
      <c r="KIH280" s="890"/>
      <c r="KIT280" s="890"/>
      <c r="KIU280" s="890"/>
      <c r="KJG280" s="890"/>
      <c r="KJH280" s="890"/>
      <c r="KJT280" s="890"/>
      <c r="KJU280" s="890"/>
      <c r="KKG280" s="890"/>
      <c r="KKH280" s="890"/>
      <c r="KKT280" s="890"/>
      <c r="KKU280" s="890"/>
      <c r="KLG280" s="890"/>
      <c r="KLH280" s="890"/>
      <c r="KLT280" s="890"/>
      <c r="KLU280" s="890"/>
      <c r="KMG280" s="890"/>
      <c r="KMH280" s="890"/>
      <c r="KMT280" s="890"/>
      <c r="KMU280" s="890"/>
      <c r="KNG280" s="890"/>
      <c r="KNH280" s="890"/>
      <c r="KNT280" s="890"/>
      <c r="KNU280" s="890"/>
      <c r="KOG280" s="890"/>
      <c r="KOH280" s="890"/>
      <c r="KOT280" s="890"/>
      <c r="KOU280" s="890"/>
      <c r="KPG280" s="890"/>
      <c r="KPH280" s="890"/>
      <c r="KPT280" s="890"/>
      <c r="KPU280" s="890"/>
      <c r="KQG280" s="890"/>
      <c r="KQH280" s="890"/>
      <c r="KQT280" s="890"/>
      <c r="KQU280" s="890"/>
      <c r="KRG280" s="890"/>
      <c r="KRH280" s="890"/>
      <c r="KRT280" s="890"/>
      <c r="KRU280" s="890"/>
      <c r="KSG280" s="890"/>
      <c r="KSH280" s="890"/>
      <c r="KST280" s="890"/>
      <c r="KSU280" s="890"/>
      <c r="KTG280" s="890"/>
      <c r="KTH280" s="890"/>
      <c r="KTT280" s="890"/>
      <c r="KTU280" s="890"/>
      <c r="KUG280" s="890"/>
      <c r="KUH280" s="890"/>
      <c r="KUT280" s="890"/>
      <c r="KUU280" s="890"/>
      <c r="KVG280" s="890"/>
      <c r="KVH280" s="890"/>
      <c r="KVT280" s="890"/>
      <c r="KVU280" s="890"/>
      <c r="KWG280" s="890"/>
      <c r="KWH280" s="890"/>
      <c r="KWT280" s="890"/>
      <c r="KWU280" s="890"/>
      <c r="KXG280" s="890"/>
      <c r="KXH280" s="890"/>
      <c r="KXT280" s="890"/>
      <c r="KXU280" s="890"/>
      <c r="KYG280" s="890"/>
      <c r="KYH280" s="890"/>
      <c r="KYT280" s="890"/>
      <c r="KYU280" s="890"/>
      <c r="KZG280" s="890"/>
      <c r="KZH280" s="890"/>
      <c r="KZT280" s="890"/>
      <c r="KZU280" s="890"/>
      <c r="LAG280" s="890"/>
      <c r="LAH280" s="890"/>
      <c r="LAT280" s="890"/>
      <c r="LAU280" s="890"/>
      <c r="LBG280" s="890"/>
      <c r="LBH280" s="890"/>
      <c r="LBT280" s="890"/>
      <c r="LBU280" s="890"/>
      <c r="LCG280" s="890"/>
      <c r="LCH280" s="890"/>
      <c r="LCT280" s="890"/>
      <c r="LCU280" s="890"/>
      <c r="LDG280" s="890"/>
      <c r="LDH280" s="890"/>
      <c r="LDT280" s="890"/>
      <c r="LDU280" s="890"/>
      <c r="LEG280" s="890"/>
      <c r="LEH280" s="890"/>
      <c r="LET280" s="890"/>
      <c r="LEU280" s="890"/>
      <c r="LFG280" s="890"/>
      <c r="LFH280" s="890"/>
      <c r="LFT280" s="890"/>
      <c r="LFU280" s="890"/>
      <c r="LGG280" s="890"/>
      <c r="LGH280" s="890"/>
      <c r="LGT280" s="890"/>
      <c r="LGU280" s="890"/>
      <c r="LHG280" s="890"/>
      <c r="LHH280" s="890"/>
      <c r="LHT280" s="890"/>
      <c r="LHU280" s="890"/>
      <c r="LIG280" s="890"/>
      <c r="LIH280" s="890"/>
      <c r="LIT280" s="890"/>
      <c r="LIU280" s="890"/>
      <c r="LJG280" s="890"/>
      <c r="LJH280" s="890"/>
      <c r="LJT280" s="890"/>
      <c r="LJU280" s="890"/>
      <c r="LKG280" s="890"/>
      <c r="LKH280" s="890"/>
      <c r="LKT280" s="890"/>
      <c r="LKU280" s="890"/>
      <c r="LLG280" s="890"/>
      <c r="LLH280" s="890"/>
      <c r="LLT280" s="890"/>
      <c r="LLU280" s="890"/>
      <c r="LMG280" s="890"/>
      <c r="LMH280" s="890"/>
      <c r="LMT280" s="890"/>
      <c r="LMU280" s="890"/>
      <c r="LNG280" s="890"/>
      <c r="LNH280" s="890"/>
      <c r="LNT280" s="890"/>
      <c r="LNU280" s="890"/>
      <c r="LOG280" s="890"/>
      <c r="LOH280" s="890"/>
      <c r="LOT280" s="890"/>
      <c r="LOU280" s="890"/>
      <c r="LPG280" s="890"/>
      <c r="LPH280" s="890"/>
      <c r="LPT280" s="890"/>
      <c r="LPU280" s="890"/>
      <c r="LQG280" s="890"/>
      <c r="LQH280" s="890"/>
      <c r="LQT280" s="890"/>
      <c r="LQU280" s="890"/>
      <c r="LRG280" s="890"/>
      <c r="LRH280" s="890"/>
      <c r="LRT280" s="890"/>
      <c r="LRU280" s="890"/>
      <c r="LSG280" s="890"/>
      <c r="LSH280" s="890"/>
      <c r="LST280" s="890"/>
      <c r="LSU280" s="890"/>
      <c r="LTG280" s="890"/>
      <c r="LTH280" s="890"/>
      <c r="LTT280" s="890"/>
      <c r="LTU280" s="890"/>
      <c r="LUG280" s="890"/>
      <c r="LUH280" s="890"/>
      <c r="LUT280" s="890"/>
      <c r="LUU280" s="890"/>
      <c r="LVG280" s="890"/>
      <c r="LVH280" s="890"/>
      <c r="LVT280" s="890"/>
      <c r="LVU280" s="890"/>
      <c r="LWG280" s="890"/>
      <c r="LWH280" s="890"/>
      <c r="LWT280" s="890"/>
      <c r="LWU280" s="890"/>
      <c r="LXG280" s="890"/>
      <c r="LXH280" s="890"/>
      <c r="LXT280" s="890"/>
      <c r="LXU280" s="890"/>
      <c r="LYG280" s="890"/>
      <c r="LYH280" s="890"/>
      <c r="LYT280" s="890"/>
      <c r="LYU280" s="890"/>
      <c r="LZG280" s="890"/>
      <c r="LZH280" s="890"/>
      <c r="LZT280" s="890"/>
      <c r="LZU280" s="890"/>
      <c r="MAG280" s="890"/>
      <c r="MAH280" s="890"/>
      <c r="MAT280" s="890"/>
      <c r="MAU280" s="890"/>
      <c r="MBG280" s="890"/>
      <c r="MBH280" s="890"/>
      <c r="MBT280" s="890"/>
      <c r="MBU280" s="890"/>
      <c r="MCG280" s="890"/>
      <c r="MCH280" s="890"/>
      <c r="MCT280" s="890"/>
      <c r="MCU280" s="890"/>
      <c r="MDG280" s="890"/>
      <c r="MDH280" s="890"/>
      <c r="MDT280" s="890"/>
      <c r="MDU280" s="890"/>
      <c r="MEG280" s="890"/>
      <c r="MEH280" s="890"/>
      <c r="MET280" s="890"/>
      <c r="MEU280" s="890"/>
      <c r="MFG280" s="890"/>
      <c r="MFH280" s="890"/>
      <c r="MFT280" s="890"/>
      <c r="MFU280" s="890"/>
      <c r="MGG280" s="890"/>
      <c r="MGH280" s="890"/>
      <c r="MGT280" s="890"/>
      <c r="MGU280" s="890"/>
      <c r="MHG280" s="890"/>
      <c r="MHH280" s="890"/>
      <c r="MHT280" s="890"/>
      <c r="MHU280" s="890"/>
      <c r="MIG280" s="890"/>
      <c r="MIH280" s="890"/>
      <c r="MIT280" s="890"/>
      <c r="MIU280" s="890"/>
      <c r="MJG280" s="890"/>
      <c r="MJH280" s="890"/>
      <c r="MJT280" s="890"/>
      <c r="MJU280" s="890"/>
      <c r="MKG280" s="890"/>
      <c r="MKH280" s="890"/>
      <c r="MKT280" s="890"/>
      <c r="MKU280" s="890"/>
      <c r="MLG280" s="890"/>
      <c r="MLH280" s="890"/>
      <c r="MLT280" s="890"/>
      <c r="MLU280" s="890"/>
      <c r="MMG280" s="890"/>
      <c r="MMH280" s="890"/>
      <c r="MMT280" s="890"/>
      <c r="MMU280" s="890"/>
      <c r="MNG280" s="890"/>
      <c r="MNH280" s="890"/>
      <c r="MNT280" s="890"/>
      <c r="MNU280" s="890"/>
      <c r="MOG280" s="890"/>
      <c r="MOH280" s="890"/>
      <c r="MOT280" s="890"/>
      <c r="MOU280" s="890"/>
      <c r="MPG280" s="890"/>
      <c r="MPH280" s="890"/>
      <c r="MPT280" s="890"/>
      <c r="MPU280" s="890"/>
      <c r="MQG280" s="890"/>
      <c r="MQH280" s="890"/>
      <c r="MQT280" s="890"/>
      <c r="MQU280" s="890"/>
      <c r="MRG280" s="890"/>
      <c r="MRH280" s="890"/>
      <c r="MRT280" s="890"/>
      <c r="MRU280" s="890"/>
      <c r="MSG280" s="890"/>
      <c r="MSH280" s="890"/>
      <c r="MST280" s="890"/>
      <c r="MSU280" s="890"/>
      <c r="MTG280" s="890"/>
      <c r="MTH280" s="890"/>
      <c r="MTT280" s="890"/>
      <c r="MTU280" s="890"/>
      <c r="MUG280" s="890"/>
      <c r="MUH280" s="890"/>
      <c r="MUT280" s="890"/>
      <c r="MUU280" s="890"/>
      <c r="MVG280" s="890"/>
      <c r="MVH280" s="890"/>
      <c r="MVT280" s="890"/>
      <c r="MVU280" s="890"/>
      <c r="MWG280" s="890"/>
      <c r="MWH280" s="890"/>
      <c r="MWT280" s="890"/>
      <c r="MWU280" s="890"/>
      <c r="MXG280" s="890"/>
      <c r="MXH280" s="890"/>
      <c r="MXT280" s="890"/>
      <c r="MXU280" s="890"/>
      <c r="MYG280" s="890"/>
      <c r="MYH280" s="890"/>
      <c r="MYT280" s="890"/>
      <c r="MYU280" s="890"/>
      <c r="MZG280" s="890"/>
      <c r="MZH280" s="890"/>
      <c r="MZT280" s="890"/>
      <c r="MZU280" s="890"/>
      <c r="NAG280" s="890"/>
      <c r="NAH280" s="890"/>
      <c r="NAT280" s="890"/>
      <c r="NAU280" s="890"/>
      <c r="NBG280" s="890"/>
      <c r="NBH280" s="890"/>
      <c r="NBT280" s="890"/>
      <c r="NBU280" s="890"/>
      <c r="NCG280" s="890"/>
      <c r="NCH280" s="890"/>
      <c r="NCT280" s="890"/>
      <c r="NCU280" s="890"/>
      <c r="NDG280" s="890"/>
      <c r="NDH280" s="890"/>
      <c r="NDT280" s="890"/>
      <c r="NDU280" s="890"/>
      <c r="NEG280" s="890"/>
      <c r="NEH280" s="890"/>
      <c r="NET280" s="890"/>
      <c r="NEU280" s="890"/>
      <c r="NFG280" s="890"/>
      <c r="NFH280" s="890"/>
      <c r="NFT280" s="890"/>
      <c r="NFU280" s="890"/>
      <c r="NGG280" s="890"/>
      <c r="NGH280" s="890"/>
      <c r="NGT280" s="890"/>
      <c r="NGU280" s="890"/>
      <c r="NHG280" s="890"/>
      <c r="NHH280" s="890"/>
      <c r="NHT280" s="890"/>
      <c r="NHU280" s="890"/>
      <c r="NIG280" s="890"/>
      <c r="NIH280" s="890"/>
      <c r="NIT280" s="890"/>
      <c r="NIU280" s="890"/>
      <c r="NJG280" s="890"/>
      <c r="NJH280" s="890"/>
      <c r="NJT280" s="890"/>
      <c r="NJU280" s="890"/>
      <c r="NKG280" s="890"/>
      <c r="NKH280" s="890"/>
      <c r="NKT280" s="890"/>
      <c r="NKU280" s="890"/>
      <c r="NLG280" s="890"/>
      <c r="NLH280" s="890"/>
      <c r="NLT280" s="890"/>
      <c r="NLU280" s="890"/>
      <c r="NMG280" s="890"/>
      <c r="NMH280" s="890"/>
      <c r="NMT280" s="890"/>
      <c r="NMU280" s="890"/>
      <c r="NNG280" s="890"/>
      <c r="NNH280" s="890"/>
      <c r="NNT280" s="890"/>
      <c r="NNU280" s="890"/>
      <c r="NOG280" s="890"/>
      <c r="NOH280" s="890"/>
      <c r="NOT280" s="890"/>
      <c r="NOU280" s="890"/>
      <c r="NPG280" s="890"/>
      <c r="NPH280" s="890"/>
      <c r="NPT280" s="890"/>
      <c r="NPU280" s="890"/>
      <c r="NQG280" s="890"/>
      <c r="NQH280" s="890"/>
      <c r="NQT280" s="890"/>
      <c r="NQU280" s="890"/>
      <c r="NRG280" s="890"/>
      <c r="NRH280" s="890"/>
      <c r="NRT280" s="890"/>
      <c r="NRU280" s="890"/>
      <c r="NSG280" s="890"/>
      <c r="NSH280" s="890"/>
      <c r="NST280" s="890"/>
      <c r="NSU280" s="890"/>
      <c r="NTG280" s="890"/>
      <c r="NTH280" s="890"/>
      <c r="NTT280" s="890"/>
      <c r="NTU280" s="890"/>
      <c r="NUG280" s="890"/>
      <c r="NUH280" s="890"/>
      <c r="NUT280" s="890"/>
      <c r="NUU280" s="890"/>
      <c r="NVG280" s="890"/>
      <c r="NVH280" s="890"/>
      <c r="NVT280" s="890"/>
      <c r="NVU280" s="890"/>
      <c r="NWG280" s="890"/>
      <c r="NWH280" s="890"/>
      <c r="NWT280" s="890"/>
      <c r="NWU280" s="890"/>
      <c r="NXG280" s="890"/>
      <c r="NXH280" s="890"/>
      <c r="NXT280" s="890"/>
      <c r="NXU280" s="890"/>
      <c r="NYG280" s="890"/>
      <c r="NYH280" s="890"/>
      <c r="NYT280" s="890"/>
      <c r="NYU280" s="890"/>
      <c r="NZG280" s="890"/>
      <c r="NZH280" s="890"/>
      <c r="NZT280" s="890"/>
      <c r="NZU280" s="890"/>
      <c r="OAG280" s="890"/>
      <c r="OAH280" s="890"/>
      <c r="OAT280" s="890"/>
      <c r="OAU280" s="890"/>
      <c r="OBG280" s="890"/>
      <c r="OBH280" s="890"/>
      <c r="OBT280" s="890"/>
      <c r="OBU280" s="890"/>
      <c r="OCG280" s="890"/>
      <c r="OCH280" s="890"/>
      <c r="OCT280" s="890"/>
      <c r="OCU280" s="890"/>
      <c r="ODG280" s="890"/>
      <c r="ODH280" s="890"/>
      <c r="ODT280" s="890"/>
      <c r="ODU280" s="890"/>
      <c r="OEG280" s="890"/>
      <c r="OEH280" s="890"/>
      <c r="OET280" s="890"/>
      <c r="OEU280" s="890"/>
      <c r="OFG280" s="890"/>
      <c r="OFH280" s="890"/>
      <c r="OFT280" s="890"/>
      <c r="OFU280" s="890"/>
      <c r="OGG280" s="890"/>
      <c r="OGH280" s="890"/>
      <c r="OGT280" s="890"/>
      <c r="OGU280" s="890"/>
      <c r="OHG280" s="890"/>
      <c r="OHH280" s="890"/>
      <c r="OHT280" s="890"/>
      <c r="OHU280" s="890"/>
      <c r="OIG280" s="890"/>
      <c r="OIH280" s="890"/>
      <c r="OIT280" s="890"/>
      <c r="OIU280" s="890"/>
      <c r="OJG280" s="890"/>
      <c r="OJH280" s="890"/>
      <c r="OJT280" s="890"/>
      <c r="OJU280" s="890"/>
      <c r="OKG280" s="890"/>
      <c r="OKH280" s="890"/>
      <c r="OKT280" s="890"/>
      <c r="OKU280" s="890"/>
      <c r="OLG280" s="890"/>
      <c r="OLH280" s="890"/>
      <c r="OLT280" s="890"/>
      <c r="OLU280" s="890"/>
      <c r="OMG280" s="890"/>
      <c r="OMH280" s="890"/>
      <c r="OMT280" s="890"/>
      <c r="OMU280" s="890"/>
      <c r="ONG280" s="890"/>
      <c r="ONH280" s="890"/>
      <c r="ONT280" s="890"/>
      <c r="ONU280" s="890"/>
      <c r="OOG280" s="890"/>
      <c r="OOH280" s="890"/>
      <c r="OOT280" s="890"/>
      <c r="OOU280" s="890"/>
      <c r="OPG280" s="890"/>
      <c r="OPH280" s="890"/>
      <c r="OPT280" s="890"/>
      <c r="OPU280" s="890"/>
      <c r="OQG280" s="890"/>
      <c r="OQH280" s="890"/>
      <c r="OQT280" s="890"/>
      <c r="OQU280" s="890"/>
      <c r="ORG280" s="890"/>
      <c r="ORH280" s="890"/>
      <c r="ORT280" s="890"/>
      <c r="ORU280" s="890"/>
      <c r="OSG280" s="890"/>
      <c r="OSH280" s="890"/>
      <c r="OST280" s="890"/>
      <c r="OSU280" s="890"/>
      <c r="OTG280" s="890"/>
      <c r="OTH280" s="890"/>
      <c r="OTT280" s="890"/>
      <c r="OTU280" s="890"/>
      <c r="OUG280" s="890"/>
      <c r="OUH280" s="890"/>
      <c r="OUT280" s="890"/>
      <c r="OUU280" s="890"/>
      <c r="OVG280" s="890"/>
      <c r="OVH280" s="890"/>
      <c r="OVT280" s="890"/>
      <c r="OVU280" s="890"/>
      <c r="OWG280" s="890"/>
      <c r="OWH280" s="890"/>
      <c r="OWT280" s="890"/>
      <c r="OWU280" s="890"/>
      <c r="OXG280" s="890"/>
      <c r="OXH280" s="890"/>
      <c r="OXT280" s="890"/>
      <c r="OXU280" s="890"/>
      <c r="OYG280" s="890"/>
      <c r="OYH280" s="890"/>
      <c r="OYT280" s="890"/>
      <c r="OYU280" s="890"/>
      <c r="OZG280" s="890"/>
      <c r="OZH280" s="890"/>
      <c r="OZT280" s="890"/>
      <c r="OZU280" s="890"/>
      <c r="PAG280" s="890"/>
      <c r="PAH280" s="890"/>
      <c r="PAT280" s="890"/>
      <c r="PAU280" s="890"/>
      <c r="PBG280" s="890"/>
      <c r="PBH280" s="890"/>
      <c r="PBT280" s="890"/>
      <c r="PBU280" s="890"/>
      <c r="PCG280" s="890"/>
      <c r="PCH280" s="890"/>
      <c r="PCT280" s="890"/>
      <c r="PCU280" s="890"/>
      <c r="PDG280" s="890"/>
      <c r="PDH280" s="890"/>
      <c r="PDT280" s="890"/>
      <c r="PDU280" s="890"/>
      <c r="PEG280" s="890"/>
      <c r="PEH280" s="890"/>
      <c r="PET280" s="890"/>
      <c r="PEU280" s="890"/>
      <c r="PFG280" s="890"/>
      <c r="PFH280" s="890"/>
      <c r="PFT280" s="890"/>
      <c r="PFU280" s="890"/>
      <c r="PGG280" s="890"/>
      <c r="PGH280" s="890"/>
      <c r="PGT280" s="890"/>
      <c r="PGU280" s="890"/>
      <c r="PHG280" s="890"/>
      <c r="PHH280" s="890"/>
      <c r="PHT280" s="890"/>
      <c r="PHU280" s="890"/>
      <c r="PIG280" s="890"/>
      <c r="PIH280" s="890"/>
      <c r="PIT280" s="890"/>
      <c r="PIU280" s="890"/>
      <c r="PJG280" s="890"/>
      <c r="PJH280" s="890"/>
      <c r="PJT280" s="890"/>
      <c r="PJU280" s="890"/>
      <c r="PKG280" s="890"/>
      <c r="PKH280" s="890"/>
      <c r="PKT280" s="890"/>
      <c r="PKU280" s="890"/>
      <c r="PLG280" s="890"/>
      <c r="PLH280" s="890"/>
      <c r="PLT280" s="890"/>
      <c r="PLU280" s="890"/>
      <c r="PMG280" s="890"/>
      <c r="PMH280" s="890"/>
      <c r="PMT280" s="890"/>
      <c r="PMU280" s="890"/>
      <c r="PNG280" s="890"/>
      <c r="PNH280" s="890"/>
      <c r="PNT280" s="890"/>
      <c r="PNU280" s="890"/>
      <c r="POG280" s="890"/>
      <c r="POH280" s="890"/>
      <c r="POT280" s="890"/>
      <c r="POU280" s="890"/>
      <c r="PPG280" s="890"/>
      <c r="PPH280" s="890"/>
      <c r="PPT280" s="890"/>
      <c r="PPU280" s="890"/>
      <c r="PQG280" s="890"/>
      <c r="PQH280" s="890"/>
      <c r="PQT280" s="890"/>
      <c r="PQU280" s="890"/>
      <c r="PRG280" s="890"/>
      <c r="PRH280" s="890"/>
      <c r="PRT280" s="890"/>
      <c r="PRU280" s="890"/>
      <c r="PSG280" s="890"/>
      <c r="PSH280" s="890"/>
      <c r="PST280" s="890"/>
      <c r="PSU280" s="890"/>
      <c r="PTG280" s="890"/>
      <c r="PTH280" s="890"/>
      <c r="PTT280" s="890"/>
      <c r="PTU280" s="890"/>
      <c r="PUG280" s="890"/>
      <c r="PUH280" s="890"/>
      <c r="PUT280" s="890"/>
      <c r="PUU280" s="890"/>
      <c r="PVG280" s="890"/>
      <c r="PVH280" s="890"/>
      <c r="PVT280" s="890"/>
      <c r="PVU280" s="890"/>
      <c r="PWG280" s="890"/>
      <c r="PWH280" s="890"/>
      <c r="PWT280" s="890"/>
      <c r="PWU280" s="890"/>
      <c r="PXG280" s="890"/>
      <c r="PXH280" s="890"/>
      <c r="PXT280" s="890"/>
      <c r="PXU280" s="890"/>
      <c r="PYG280" s="890"/>
      <c r="PYH280" s="890"/>
      <c r="PYT280" s="890"/>
      <c r="PYU280" s="890"/>
      <c r="PZG280" s="890"/>
      <c r="PZH280" s="890"/>
      <c r="PZT280" s="890"/>
      <c r="PZU280" s="890"/>
      <c r="QAG280" s="890"/>
      <c r="QAH280" s="890"/>
      <c r="QAT280" s="890"/>
      <c r="QAU280" s="890"/>
      <c r="QBG280" s="890"/>
      <c r="QBH280" s="890"/>
      <c r="QBT280" s="890"/>
      <c r="QBU280" s="890"/>
      <c r="QCG280" s="890"/>
      <c r="QCH280" s="890"/>
      <c r="QCT280" s="890"/>
      <c r="QCU280" s="890"/>
      <c r="QDG280" s="890"/>
      <c r="QDH280" s="890"/>
      <c r="QDT280" s="890"/>
      <c r="QDU280" s="890"/>
      <c r="QEG280" s="890"/>
      <c r="QEH280" s="890"/>
      <c r="QET280" s="890"/>
      <c r="QEU280" s="890"/>
      <c r="QFG280" s="890"/>
      <c r="QFH280" s="890"/>
      <c r="QFT280" s="890"/>
      <c r="QFU280" s="890"/>
      <c r="QGG280" s="890"/>
      <c r="QGH280" s="890"/>
      <c r="QGT280" s="890"/>
      <c r="QGU280" s="890"/>
      <c r="QHG280" s="890"/>
      <c r="QHH280" s="890"/>
      <c r="QHT280" s="890"/>
      <c r="QHU280" s="890"/>
      <c r="QIG280" s="890"/>
      <c r="QIH280" s="890"/>
      <c r="QIT280" s="890"/>
      <c r="QIU280" s="890"/>
      <c r="QJG280" s="890"/>
      <c r="QJH280" s="890"/>
      <c r="QJT280" s="890"/>
      <c r="QJU280" s="890"/>
      <c r="QKG280" s="890"/>
      <c r="QKH280" s="890"/>
      <c r="QKT280" s="890"/>
      <c r="QKU280" s="890"/>
      <c r="QLG280" s="890"/>
      <c r="QLH280" s="890"/>
      <c r="QLT280" s="890"/>
      <c r="QLU280" s="890"/>
      <c r="QMG280" s="890"/>
      <c r="QMH280" s="890"/>
      <c r="QMT280" s="890"/>
      <c r="QMU280" s="890"/>
      <c r="QNG280" s="890"/>
      <c r="QNH280" s="890"/>
      <c r="QNT280" s="890"/>
      <c r="QNU280" s="890"/>
      <c r="QOG280" s="890"/>
      <c r="QOH280" s="890"/>
      <c r="QOT280" s="890"/>
      <c r="QOU280" s="890"/>
      <c r="QPG280" s="890"/>
      <c r="QPH280" s="890"/>
      <c r="QPT280" s="890"/>
      <c r="QPU280" s="890"/>
      <c r="QQG280" s="890"/>
      <c r="QQH280" s="890"/>
      <c r="QQT280" s="890"/>
      <c r="QQU280" s="890"/>
      <c r="QRG280" s="890"/>
      <c r="QRH280" s="890"/>
      <c r="QRT280" s="890"/>
      <c r="QRU280" s="890"/>
      <c r="QSG280" s="890"/>
      <c r="QSH280" s="890"/>
      <c r="QST280" s="890"/>
      <c r="QSU280" s="890"/>
      <c r="QTG280" s="890"/>
      <c r="QTH280" s="890"/>
      <c r="QTT280" s="890"/>
      <c r="QTU280" s="890"/>
      <c r="QUG280" s="890"/>
      <c r="QUH280" s="890"/>
      <c r="QUT280" s="890"/>
      <c r="QUU280" s="890"/>
      <c r="QVG280" s="890"/>
      <c r="QVH280" s="890"/>
      <c r="QVT280" s="890"/>
      <c r="QVU280" s="890"/>
      <c r="QWG280" s="890"/>
      <c r="QWH280" s="890"/>
      <c r="QWT280" s="890"/>
      <c r="QWU280" s="890"/>
      <c r="QXG280" s="890"/>
      <c r="QXH280" s="890"/>
      <c r="QXT280" s="890"/>
      <c r="QXU280" s="890"/>
      <c r="QYG280" s="890"/>
      <c r="QYH280" s="890"/>
      <c r="QYT280" s="890"/>
      <c r="QYU280" s="890"/>
      <c r="QZG280" s="890"/>
      <c r="QZH280" s="890"/>
      <c r="QZT280" s="890"/>
      <c r="QZU280" s="890"/>
      <c r="RAG280" s="890"/>
      <c r="RAH280" s="890"/>
      <c r="RAT280" s="890"/>
      <c r="RAU280" s="890"/>
      <c r="RBG280" s="890"/>
      <c r="RBH280" s="890"/>
      <c r="RBT280" s="890"/>
      <c r="RBU280" s="890"/>
      <c r="RCG280" s="890"/>
      <c r="RCH280" s="890"/>
      <c r="RCT280" s="890"/>
      <c r="RCU280" s="890"/>
      <c r="RDG280" s="890"/>
      <c r="RDH280" s="890"/>
      <c r="RDT280" s="890"/>
      <c r="RDU280" s="890"/>
      <c r="REG280" s="890"/>
      <c r="REH280" s="890"/>
      <c r="RET280" s="890"/>
      <c r="REU280" s="890"/>
      <c r="RFG280" s="890"/>
      <c r="RFH280" s="890"/>
      <c r="RFT280" s="890"/>
      <c r="RFU280" s="890"/>
      <c r="RGG280" s="890"/>
      <c r="RGH280" s="890"/>
      <c r="RGT280" s="890"/>
      <c r="RGU280" s="890"/>
      <c r="RHG280" s="890"/>
      <c r="RHH280" s="890"/>
      <c r="RHT280" s="890"/>
      <c r="RHU280" s="890"/>
      <c r="RIG280" s="890"/>
      <c r="RIH280" s="890"/>
      <c r="RIT280" s="890"/>
      <c r="RIU280" s="890"/>
      <c r="RJG280" s="890"/>
      <c r="RJH280" s="890"/>
      <c r="RJT280" s="890"/>
      <c r="RJU280" s="890"/>
      <c r="RKG280" s="890"/>
      <c r="RKH280" s="890"/>
      <c r="RKT280" s="890"/>
      <c r="RKU280" s="890"/>
      <c r="RLG280" s="890"/>
      <c r="RLH280" s="890"/>
      <c r="RLT280" s="890"/>
      <c r="RLU280" s="890"/>
      <c r="RMG280" s="890"/>
      <c r="RMH280" s="890"/>
      <c r="RMT280" s="890"/>
      <c r="RMU280" s="890"/>
      <c r="RNG280" s="890"/>
      <c r="RNH280" s="890"/>
      <c r="RNT280" s="890"/>
      <c r="RNU280" s="890"/>
      <c r="ROG280" s="890"/>
      <c r="ROH280" s="890"/>
      <c r="ROT280" s="890"/>
      <c r="ROU280" s="890"/>
      <c r="RPG280" s="890"/>
      <c r="RPH280" s="890"/>
      <c r="RPT280" s="890"/>
      <c r="RPU280" s="890"/>
      <c r="RQG280" s="890"/>
      <c r="RQH280" s="890"/>
      <c r="RQT280" s="890"/>
      <c r="RQU280" s="890"/>
      <c r="RRG280" s="890"/>
      <c r="RRH280" s="890"/>
      <c r="RRT280" s="890"/>
      <c r="RRU280" s="890"/>
      <c r="RSG280" s="890"/>
      <c r="RSH280" s="890"/>
      <c r="RST280" s="890"/>
      <c r="RSU280" s="890"/>
      <c r="RTG280" s="890"/>
      <c r="RTH280" s="890"/>
      <c r="RTT280" s="890"/>
      <c r="RTU280" s="890"/>
      <c r="RUG280" s="890"/>
      <c r="RUH280" s="890"/>
      <c r="RUT280" s="890"/>
      <c r="RUU280" s="890"/>
      <c r="RVG280" s="890"/>
      <c r="RVH280" s="890"/>
      <c r="RVT280" s="890"/>
      <c r="RVU280" s="890"/>
      <c r="RWG280" s="890"/>
      <c r="RWH280" s="890"/>
      <c r="RWT280" s="890"/>
      <c r="RWU280" s="890"/>
      <c r="RXG280" s="890"/>
      <c r="RXH280" s="890"/>
      <c r="RXT280" s="890"/>
      <c r="RXU280" s="890"/>
      <c r="RYG280" s="890"/>
      <c r="RYH280" s="890"/>
      <c r="RYT280" s="890"/>
      <c r="RYU280" s="890"/>
      <c r="RZG280" s="890"/>
      <c r="RZH280" s="890"/>
      <c r="RZT280" s="890"/>
      <c r="RZU280" s="890"/>
      <c r="SAG280" s="890"/>
      <c r="SAH280" s="890"/>
      <c r="SAT280" s="890"/>
      <c r="SAU280" s="890"/>
      <c r="SBG280" s="890"/>
      <c r="SBH280" s="890"/>
      <c r="SBT280" s="890"/>
      <c r="SBU280" s="890"/>
      <c r="SCG280" s="890"/>
      <c r="SCH280" s="890"/>
      <c r="SCT280" s="890"/>
      <c r="SCU280" s="890"/>
      <c r="SDG280" s="890"/>
      <c r="SDH280" s="890"/>
      <c r="SDT280" s="890"/>
      <c r="SDU280" s="890"/>
      <c r="SEG280" s="890"/>
      <c r="SEH280" s="890"/>
      <c r="SET280" s="890"/>
      <c r="SEU280" s="890"/>
      <c r="SFG280" s="890"/>
      <c r="SFH280" s="890"/>
      <c r="SFT280" s="890"/>
      <c r="SFU280" s="890"/>
      <c r="SGG280" s="890"/>
      <c r="SGH280" s="890"/>
      <c r="SGT280" s="890"/>
      <c r="SGU280" s="890"/>
      <c r="SHG280" s="890"/>
      <c r="SHH280" s="890"/>
      <c r="SHT280" s="890"/>
      <c r="SHU280" s="890"/>
      <c r="SIG280" s="890"/>
      <c r="SIH280" s="890"/>
      <c r="SIT280" s="890"/>
      <c r="SIU280" s="890"/>
      <c r="SJG280" s="890"/>
      <c r="SJH280" s="890"/>
      <c r="SJT280" s="890"/>
      <c r="SJU280" s="890"/>
      <c r="SKG280" s="890"/>
      <c r="SKH280" s="890"/>
      <c r="SKT280" s="890"/>
      <c r="SKU280" s="890"/>
      <c r="SLG280" s="890"/>
      <c r="SLH280" s="890"/>
      <c r="SLT280" s="890"/>
      <c r="SLU280" s="890"/>
      <c r="SMG280" s="890"/>
      <c r="SMH280" s="890"/>
      <c r="SMT280" s="890"/>
      <c r="SMU280" s="890"/>
      <c r="SNG280" s="890"/>
      <c r="SNH280" s="890"/>
      <c r="SNT280" s="890"/>
      <c r="SNU280" s="890"/>
      <c r="SOG280" s="890"/>
      <c r="SOH280" s="890"/>
      <c r="SOT280" s="890"/>
      <c r="SOU280" s="890"/>
      <c r="SPG280" s="890"/>
      <c r="SPH280" s="890"/>
      <c r="SPT280" s="890"/>
      <c r="SPU280" s="890"/>
      <c r="SQG280" s="890"/>
      <c r="SQH280" s="890"/>
      <c r="SQT280" s="890"/>
      <c r="SQU280" s="890"/>
      <c r="SRG280" s="890"/>
      <c r="SRH280" s="890"/>
      <c r="SRT280" s="890"/>
      <c r="SRU280" s="890"/>
      <c r="SSG280" s="890"/>
      <c r="SSH280" s="890"/>
      <c r="SST280" s="890"/>
      <c r="SSU280" s="890"/>
      <c r="STG280" s="890"/>
      <c r="STH280" s="890"/>
      <c r="STT280" s="890"/>
      <c r="STU280" s="890"/>
      <c r="SUG280" s="890"/>
      <c r="SUH280" s="890"/>
      <c r="SUT280" s="890"/>
      <c r="SUU280" s="890"/>
      <c r="SVG280" s="890"/>
      <c r="SVH280" s="890"/>
      <c r="SVT280" s="890"/>
      <c r="SVU280" s="890"/>
      <c r="SWG280" s="890"/>
      <c r="SWH280" s="890"/>
      <c r="SWT280" s="890"/>
      <c r="SWU280" s="890"/>
      <c r="SXG280" s="890"/>
      <c r="SXH280" s="890"/>
      <c r="SXT280" s="890"/>
      <c r="SXU280" s="890"/>
      <c r="SYG280" s="890"/>
      <c r="SYH280" s="890"/>
      <c r="SYT280" s="890"/>
      <c r="SYU280" s="890"/>
      <c r="SZG280" s="890"/>
      <c r="SZH280" s="890"/>
      <c r="SZT280" s="890"/>
      <c r="SZU280" s="890"/>
      <c r="TAG280" s="890"/>
      <c r="TAH280" s="890"/>
      <c r="TAT280" s="890"/>
      <c r="TAU280" s="890"/>
      <c r="TBG280" s="890"/>
      <c r="TBH280" s="890"/>
      <c r="TBT280" s="890"/>
      <c r="TBU280" s="890"/>
      <c r="TCG280" s="890"/>
      <c r="TCH280" s="890"/>
      <c r="TCT280" s="890"/>
      <c r="TCU280" s="890"/>
      <c r="TDG280" s="890"/>
      <c r="TDH280" s="890"/>
      <c r="TDT280" s="890"/>
      <c r="TDU280" s="890"/>
      <c r="TEG280" s="890"/>
      <c r="TEH280" s="890"/>
      <c r="TET280" s="890"/>
      <c r="TEU280" s="890"/>
      <c r="TFG280" s="890"/>
      <c r="TFH280" s="890"/>
      <c r="TFT280" s="890"/>
      <c r="TFU280" s="890"/>
      <c r="TGG280" s="890"/>
      <c r="TGH280" s="890"/>
      <c r="TGT280" s="890"/>
      <c r="TGU280" s="890"/>
      <c r="THG280" s="890"/>
      <c r="THH280" s="890"/>
      <c r="THT280" s="890"/>
      <c r="THU280" s="890"/>
      <c r="TIG280" s="890"/>
      <c r="TIH280" s="890"/>
      <c r="TIT280" s="890"/>
      <c r="TIU280" s="890"/>
      <c r="TJG280" s="890"/>
      <c r="TJH280" s="890"/>
      <c r="TJT280" s="890"/>
      <c r="TJU280" s="890"/>
      <c r="TKG280" s="890"/>
      <c r="TKH280" s="890"/>
      <c r="TKT280" s="890"/>
      <c r="TKU280" s="890"/>
      <c r="TLG280" s="890"/>
      <c r="TLH280" s="890"/>
      <c r="TLT280" s="890"/>
      <c r="TLU280" s="890"/>
      <c r="TMG280" s="890"/>
      <c r="TMH280" s="890"/>
      <c r="TMT280" s="890"/>
      <c r="TMU280" s="890"/>
      <c r="TNG280" s="890"/>
      <c r="TNH280" s="890"/>
      <c r="TNT280" s="890"/>
      <c r="TNU280" s="890"/>
      <c r="TOG280" s="890"/>
      <c r="TOH280" s="890"/>
      <c r="TOT280" s="890"/>
      <c r="TOU280" s="890"/>
      <c r="TPG280" s="890"/>
      <c r="TPH280" s="890"/>
      <c r="TPT280" s="890"/>
      <c r="TPU280" s="890"/>
      <c r="TQG280" s="890"/>
      <c r="TQH280" s="890"/>
      <c r="TQT280" s="890"/>
      <c r="TQU280" s="890"/>
      <c r="TRG280" s="890"/>
      <c r="TRH280" s="890"/>
      <c r="TRT280" s="890"/>
      <c r="TRU280" s="890"/>
      <c r="TSG280" s="890"/>
      <c r="TSH280" s="890"/>
      <c r="TST280" s="890"/>
      <c r="TSU280" s="890"/>
      <c r="TTG280" s="890"/>
      <c r="TTH280" s="890"/>
      <c r="TTT280" s="890"/>
      <c r="TTU280" s="890"/>
      <c r="TUG280" s="890"/>
      <c r="TUH280" s="890"/>
      <c r="TUT280" s="890"/>
      <c r="TUU280" s="890"/>
      <c r="TVG280" s="890"/>
      <c r="TVH280" s="890"/>
      <c r="TVT280" s="890"/>
      <c r="TVU280" s="890"/>
      <c r="TWG280" s="890"/>
      <c r="TWH280" s="890"/>
      <c r="TWT280" s="890"/>
      <c r="TWU280" s="890"/>
      <c r="TXG280" s="890"/>
      <c r="TXH280" s="890"/>
      <c r="TXT280" s="890"/>
      <c r="TXU280" s="890"/>
      <c r="TYG280" s="890"/>
      <c r="TYH280" s="890"/>
      <c r="TYT280" s="890"/>
      <c r="TYU280" s="890"/>
      <c r="TZG280" s="890"/>
      <c r="TZH280" s="890"/>
      <c r="TZT280" s="890"/>
      <c r="TZU280" s="890"/>
      <c r="UAG280" s="890"/>
      <c r="UAH280" s="890"/>
      <c r="UAT280" s="890"/>
      <c r="UAU280" s="890"/>
      <c r="UBG280" s="890"/>
      <c r="UBH280" s="890"/>
      <c r="UBT280" s="890"/>
      <c r="UBU280" s="890"/>
      <c r="UCG280" s="890"/>
      <c r="UCH280" s="890"/>
      <c r="UCT280" s="890"/>
      <c r="UCU280" s="890"/>
      <c r="UDG280" s="890"/>
      <c r="UDH280" s="890"/>
      <c r="UDT280" s="890"/>
      <c r="UDU280" s="890"/>
      <c r="UEG280" s="890"/>
      <c r="UEH280" s="890"/>
      <c r="UET280" s="890"/>
      <c r="UEU280" s="890"/>
      <c r="UFG280" s="890"/>
      <c r="UFH280" s="890"/>
      <c r="UFT280" s="890"/>
      <c r="UFU280" s="890"/>
      <c r="UGG280" s="890"/>
      <c r="UGH280" s="890"/>
      <c r="UGT280" s="890"/>
      <c r="UGU280" s="890"/>
      <c r="UHG280" s="890"/>
      <c r="UHH280" s="890"/>
      <c r="UHT280" s="890"/>
      <c r="UHU280" s="890"/>
      <c r="UIG280" s="890"/>
      <c r="UIH280" s="890"/>
      <c r="UIT280" s="890"/>
      <c r="UIU280" s="890"/>
      <c r="UJG280" s="890"/>
      <c r="UJH280" s="890"/>
      <c r="UJT280" s="890"/>
      <c r="UJU280" s="890"/>
      <c r="UKG280" s="890"/>
      <c r="UKH280" s="890"/>
      <c r="UKT280" s="890"/>
      <c r="UKU280" s="890"/>
      <c r="ULG280" s="890"/>
      <c r="ULH280" s="890"/>
      <c r="ULT280" s="890"/>
      <c r="ULU280" s="890"/>
      <c r="UMG280" s="890"/>
      <c r="UMH280" s="890"/>
      <c r="UMT280" s="890"/>
      <c r="UMU280" s="890"/>
      <c r="UNG280" s="890"/>
      <c r="UNH280" s="890"/>
      <c r="UNT280" s="890"/>
      <c r="UNU280" s="890"/>
      <c r="UOG280" s="890"/>
      <c r="UOH280" s="890"/>
      <c r="UOT280" s="890"/>
      <c r="UOU280" s="890"/>
      <c r="UPG280" s="890"/>
      <c r="UPH280" s="890"/>
      <c r="UPT280" s="890"/>
      <c r="UPU280" s="890"/>
      <c r="UQG280" s="890"/>
      <c r="UQH280" s="890"/>
      <c r="UQT280" s="890"/>
      <c r="UQU280" s="890"/>
      <c r="URG280" s="890"/>
      <c r="URH280" s="890"/>
      <c r="URT280" s="890"/>
      <c r="URU280" s="890"/>
      <c r="USG280" s="890"/>
      <c r="USH280" s="890"/>
      <c r="UST280" s="890"/>
      <c r="USU280" s="890"/>
      <c r="UTG280" s="890"/>
      <c r="UTH280" s="890"/>
      <c r="UTT280" s="890"/>
      <c r="UTU280" s="890"/>
      <c r="UUG280" s="890"/>
      <c r="UUH280" s="890"/>
      <c r="UUT280" s="890"/>
      <c r="UUU280" s="890"/>
      <c r="UVG280" s="890"/>
      <c r="UVH280" s="890"/>
      <c r="UVT280" s="890"/>
      <c r="UVU280" s="890"/>
      <c r="UWG280" s="890"/>
      <c r="UWH280" s="890"/>
      <c r="UWT280" s="890"/>
      <c r="UWU280" s="890"/>
      <c r="UXG280" s="890"/>
      <c r="UXH280" s="890"/>
      <c r="UXT280" s="890"/>
      <c r="UXU280" s="890"/>
      <c r="UYG280" s="890"/>
      <c r="UYH280" s="890"/>
      <c r="UYT280" s="890"/>
      <c r="UYU280" s="890"/>
      <c r="UZG280" s="890"/>
      <c r="UZH280" s="890"/>
      <c r="UZT280" s="890"/>
      <c r="UZU280" s="890"/>
      <c r="VAG280" s="890"/>
      <c r="VAH280" s="890"/>
      <c r="VAT280" s="890"/>
      <c r="VAU280" s="890"/>
      <c r="VBG280" s="890"/>
      <c r="VBH280" s="890"/>
      <c r="VBT280" s="890"/>
      <c r="VBU280" s="890"/>
      <c r="VCG280" s="890"/>
      <c r="VCH280" s="890"/>
      <c r="VCT280" s="890"/>
      <c r="VCU280" s="890"/>
      <c r="VDG280" s="890"/>
      <c r="VDH280" s="890"/>
      <c r="VDT280" s="890"/>
      <c r="VDU280" s="890"/>
      <c r="VEG280" s="890"/>
      <c r="VEH280" s="890"/>
      <c r="VET280" s="890"/>
      <c r="VEU280" s="890"/>
      <c r="VFG280" s="890"/>
      <c r="VFH280" s="890"/>
      <c r="VFT280" s="890"/>
      <c r="VFU280" s="890"/>
      <c r="VGG280" s="890"/>
      <c r="VGH280" s="890"/>
      <c r="VGT280" s="890"/>
      <c r="VGU280" s="890"/>
      <c r="VHG280" s="890"/>
      <c r="VHH280" s="890"/>
      <c r="VHT280" s="890"/>
      <c r="VHU280" s="890"/>
      <c r="VIG280" s="890"/>
      <c r="VIH280" s="890"/>
      <c r="VIT280" s="890"/>
      <c r="VIU280" s="890"/>
      <c r="VJG280" s="890"/>
      <c r="VJH280" s="890"/>
      <c r="VJT280" s="890"/>
      <c r="VJU280" s="890"/>
      <c r="VKG280" s="890"/>
      <c r="VKH280" s="890"/>
      <c r="VKT280" s="890"/>
      <c r="VKU280" s="890"/>
      <c r="VLG280" s="890"/>
      <c r="VLH280" s="890"/>
      <c r="VLT280" s="890"/>
      <c r="VLU280" s="890"/>
      <c r="VMG280" s="890"/>
      <c r="VMH280" s="890"/>
      <c r="VMT280" s="890"/>
      <c r="VMU280" s="890"/>
      <c r="VNG280" s="890"/>
      <c r="VNH280" s="890"/>
      <c r="VNT280" s="890"/>
      <c r="VNU280" s="890"/>
      <c r="VOG280" s="890"/>
      <c r="VOH280" s="890"/>
      <c r="VOT280" s="890"/>
      <c r="VOU280" s="890"/>
      <c r="VPG280" s="890"/>
      <c r="VPH280" s="890"/>
      <c r="VPT280" s="890"/>
      <c r="VPU280" s="890"/>
      <c r="VQG280" s="890"/>
      <c r="VQH280" s="890"/>
      <c r="VQT280" s="890"/>
      <c r="VQU280" s="890"/>
      <c r="VRG280" s="890"/>
      <c r="VRH280" s="890"/>
      <c r="VRT280" s="890"/>
      <c r="VRU280" s="890"/>
      <c r="VSG280" s="890"/>
      <c r="VSH280" s="890"/>
      <c r="VST280" s="890"/>
      <c r="VSU280" s="890"/>
      <c r="VTG280" s="890"/>
      <c r="VTH280" s="890"/>
      <c r="VTT280" s="890"/>
      <c r="VTU280" s="890"/>
      <c r="VUG280" s="890"/>
      <c r="VUH280" s="890"/>
      <c r="VUT280" s="890"/>
      <c r="VUU280" s="890"/>
      <c r="VVG280" s="890"/>
      <c r="VVH280" s="890"/>
      <c r="VVT280" s="890"/>
      <c r="VVU280" s="890"/>
      <c r="VWG280" s="890"/>
      <c r="VWH280" s="890"/>
      <c r="VWT280" s="890"/>
      <c r="VWU280" s="890"/>
      <c r="VXG280" s="890"/>
      <c r="VXH280" s="890"/>
      <c r="VXT280" s="890"/>
      <c r="VXU280" s="890"/>
      <c r="VYG280" s="890"/>
      <c r="VYH280" s="890"/>
      <c r="VYT280" s="890"/>
      <c r="VYU280" s="890"/>
      <c r="VZG280" s="890"/>
      <c r="VZH280" s="890"/>
      <c r="VZT280" s="890"/>
      <c r="VZU280" s="890"/>
      <c r="WAG280" s="890"/>
      <c r="WAH280" s="890"/>
      <c r="WAT280" s="890"/>
      <c r="WAU280" s="890"/>
      <c r="WBG280" s="890"/>
      <c r="WBH280" s="890"/>
      <c r="WBT280" s="890"/>
      <c r="WBU280" s="890"/>
      <c r="WCG280" s="890"/>
      <c r="WCH280" s="890"/>
      <c r="WCT280" s="890"/>
      <c r="WCU280" s="890"/>
      <c r="WDG280" s="890"/>
      <c r="WDH280" s="890"/>
      <c r="WDT280" s="890"/>
      <c r="WDU280" s="890"/>
      <c r="WEG280" s="890"/>
      <c r="WEH280" s="890"/>
      <c r="WET280" s="890"/>
      <c r="WEU280" s="890"/>
      <c r="WFG280" s="890"/>
      <c r="WFH280" s="890"/>
      <c r="WFT280" s="890"/>
      <c r="WFU280" s="890"/>
      <c r="WGG280" s="890"/>
      <c r="WGH280" s="890"/>
      <c r="WGT280" s="890"/>
      <c r="WGU280" s="890"/>
      <c r="WHG280" s="890"/>
      <c r="WHH280" s="890"/>
      <c r="WHT280" s="890"/>
      <c r="WHU280" s="890"/>
      <c r="WIG280" s="890"/>
      <c r="WIH280" s="890"/>
      <c r="WIT280" s="890"/>
      <c r="WIU280" s="890"/>
      <c r="WJG280" s="890"/>
      <c r="WJH280" s="890"/>
      <c r="WJT280" s="890"/>
      <c r="WJU280" s="890"/>
      <c r="WKG280" s="890"/>
      <c r="WKH280" s="890"/>
      <c r="WKT280" s="890"/>
      <c r="WKU280" s="890"/>
      <c r="WLG280" s="890"/>
      <c r="WLH280" s="890"/>
      <c r="WLT280" s="890"/>
      <c r="WLU280" s="890"/>
      <c r="WMG280" s="890"/>
      <c r="WMH280" s="890"/>
      <c r="WMT280" s="890"/>
      <c r="WMU280" s="890"/>
      <c r="WNG280" s="890"/>
      <c r="WNH280" s="890"/>
      <c r="WNT280" s="890"/>
      <c r="WNU280" s="890"/>
      <c r="WOG280" s="890"/>
      <c r="WOH280" s="890"/>
      <c r="WOT280" s="890"/>
      <c r="WOU280" s="890"/>
      <c r="WPG280" s="890"/>
      <c r="WPH280" s="890"/>
      <c r="WPT280" s="890"/>
      <c r="WPU280" s="890"/>
      <c r="WQG280" s="890"/>
      <c r="WQH280" s="890"/>
      <c r="WQT280" s="890"/>
      <c r="WQU280" s="890"/>
      <c r="WRG280" s="890"/>
      <c r="WRH280" s="890"/>
      <c r="WRT280" s="890"/>
      <c r="WRU280" s="890"/>
      <c r="WSG280" s="890"/>
      <c r="WSH280" s="890"/>
      <c r="WST280" s="890"/>
      <c r="WSU280" s="890"/>
      <c r="WTG280" s="890"/>
      <c r="WTH280" s="890"/>
      <c r="WTT280" s="890"/>
      <c r="WTU280" s="890"/>
      <c r="WUG280" s="890"/>
      <c r="WUH280" s="890"/>
      <c r="WUT280" s="890"/>
      <c r="WUU280" s="890"/>
      <c r="WVG280" s="890"/>
      <c r="WVH280" s="890"/>
      <c r="WVT280" s="890"/>
      <c r="WVU280" s="890"/>
      <c r="WWG280" s="890"/>
      <c r="WWH280" s="890"/>
      <c r="WWT280" s="890"/>
      <c r="WWU280" s="890"/>
      <c r="WXG280" s="890"/>
      <c r="WXH280" s="890"/>
      <c r="WXT280" s="890"/>
      <c r="WXU280" s="890"/>
      <c r="WYG280" s="890"/>
      <c r="WYH280" s="890"/>
      <c r="WYT280" s="890"/>
      <c r="WYU280" s="890"/>
      <c r="WZG280" s="890"/>
      <c r="WZH280" s="890"/>
      <c r="WZT280" s="890"/>
      <c r="WZU280" s="890"/>
      <c r="XAG280" s="890"/>
      <c r="XAH280" s="890"/>
      <c r="XAT280" s="890"/>
      <c r="XAU280" s="890"/>
      <c r="XBG280" s="890"/>
      <c r="XBH280" s="890"/>
      <c r="XBT280" s="890"/>
      <c r="XBU280" s="890"/>
      <c r="XCG280" s="890"/>
      <c r="XCH280" s="890"/>
      <c r="XCT280" s="890"/>
      <c r="XCU280" s="890"/>
      <c r="XDG280" s="890"/>
      <c r="XDH280" s="890"/>
      <c r="XDT280" s="890"/>
      <c r="XDU280" s="890"/>
      <c r="XEG280" s="890"/>
      <c r="XEH280" s="890"/>
      <c r="XET280" s="890"/>
      <c r="XEU280" s="890"/>
    </row>
    <row r="281" spans="1:1022 1034:3063 3075:4090 4102:5117 5129:6144 6156:7158 7170:8185 8197:9212 9224:10239 10251:11253 11265:12280 12292:13307 13319:14334 14346:16375" ht="18" hidden="1" customHeight="1" outlineLevel="1">
      <c r="A281" s="1761" t="str">
        <f>IFERROR(INDEX('Summary Data'!B:B,MATCH(1,'Summary Data'!GQ:GQ,0),1),"N")</f>
        <v>N</v>
      </c>
      <c r="B281" s="1762"/>
      <c r="C281" s="1614"/>
      <c r="D281" s="1614"/>
      <c r="E281" s="1614" t="s">
        <v>649</v>
      </c>
      <c r="F281" s="1614"/>
      <c r="G281" s="1614"/>
      <c r="H281" s="1614">
        <v>0</v>
      </c>
      <c r="I281" s="1614">
        <v>0</v>
      </c>
      <c r="J281" s="1763"/>
      <c r="K281" s="1764"/>
      <c r="L281" s="1765"/>
      <c r="M281" s="1771"/>
      <c r="N281" s="1771"/>
      <c r="AJ281" s="320"/>
      <c r="AM281" s="320"/>
    </row>
    <row r="282" spans="1:1022 1034:3063 3075:4090 4102:5117 5129:6144 6156:7158 7170:8185 8197:9212 9224:10239 10251:11253 11265:12280 12292:13307 13319:14334 14346:16375" ht="18" hidden="1" customHeight="1" outlineLevel="1">
      <c r="A282" s="1766" t="s">
        <v>213</v>
      </c>
      <c r="B282" s="1767" t="s">
        <v>1469</v>
      </c>
      <c r="C282" s="1767" t="s">
        <v>445</v>
      </c>
      <c r="E282" s="1766" t="s">
        <v>1610</v>
      </c>
      <c r="F282" s="1767" t="s">
        <v>1470</v>
      </c>
      <c r="G282" s="1767" t="s">
        <v>1469</v>
      </c>
      <c r="H282" s="1767" t="s">
        <v>445</v>
      </c>
      <c r="J282" s="1766" t="s">
        <v>495</v>
      </c>
      <c r="K282" s="1767" t="s">
        <v>183</v>
      </c>
      <c r="L282" s="1769" t="s">
        <v>1471</v>
      </c>
      <c r="M282" s="1766" t="s">
        <v>215</v>
      </c>
      <c r="N282" s="1767" t="s">
        <v>1469</v>
      </c>
      <c r="O282" s="1767" t="s">
        <v>1473</v>
      </c>
      <c r="AJ282" s="320"/>
      <c r="AM282" s="320"/>
    </row>
    <row r="283" spans="1:1022 1034:3063 3075:4090 4102:5117 5129:6144 6156:7158 7170:8185 8197:9212 9224:10239 10251:11253 11265:12280 12292:13307 13319:14334 14346:16375" ht="18" hidden="1" customHeight="1" outlineLevel="1">
      <c r="A283" s="1705" t="s">
        <v>127</v>
      </c>
      <c r="B283" s="1768"/>
      <c r="C283" s="1768"/>
      <c r="E283" s="1705" t="s">
        <v>127</v>
      </c>
      <c r="F283" s="1705" t="s">
        <v>1112</v>
      </c>
      <c r="G283" s="1768"/>
      <c r="H283" s="1768"/>
      <c r="J283" s="1705" t="s">
        <v>127</v>
      </c>
      <c r="K283" s="1705"/>
      <c r="L283" s="1770" t="s">
        <v>1472</v>
      </c>
      <c r="M283" s="1705" t="s">
        <v>127</v>
      </c>
      <c r="N283" s="1768"/>
      <c r="O283" s="1705" t="s">
        <v>1259</v>
      </c>
      <c r="AJ283" s="320"/>
      <c r="AM283" s="320"/>
    </row>
    <row r="284" spans="1:1022 1034:3063 3075:4090 4102:5117 5129:6144 6156:7158 7170:8185 8197:9212 9224:10239 10251:11253 11265:12280 12292:13307 13319:14334 14346:16375" ht="18" hidden="1" customHeight="1" outlineLevel="1">
      <c r="A284" s="1705" t="s">
        <v>127</v>
      </c>
      <c r="B284" s="1768"/>
      <c r="C284" s="1768"/>
      <c r="E284" s="1705" t="s">
        <v>127</v>
      </c>
      <c r="F284" s="1705" t="s">
        <v>1112</v>
      </c>
      <c r="G284" s="1768"/>
      <c r="H284" s="1768"/>
      <c r="J284" s="1705" t="s">
        <v>127</v>
      </c>
      <c r="K284" s="1705"/>
      <c r="L284" s="1770" t="s">
        <v>1472</v>
      </c>
      <c r="M284" s="1705" t="s">
        <v>127</v>
      </c>
      <c r="N284" s="1768"/>
      <c r="O284" s="1705" t="s">
        <v>1259</v>
      </c>
      <c r="AJ284" s="320"/>
      <c r="AM284" s="320"/>
    </row>
    <row r="285" spans="1:1022 1034:3063 3075:4090 4102:5117 5129:6144 6156:7158 7170:8185 8197:9212 9224:10239 10251:11253 11265:12280 12292:13307 13319:14334 14346:16375" ht="18" hidden="1" customHeight="1" outlineLevel="1">
      <c r="A285" s="1705" t="s">
        <v>127</v>
      </c>
      <c r="B285" s="1768"/>
      <c r="C285" s="1768"/>
      <c r="E285" s="1705" t="s">
        <v>127</v>
      </c>
      <c r="F285" s="1705" t="s">
        <v>1112</v>
      </c>
      <c r="G285" s="1768"/>
      <c r="H285" s="1768"/>
      <c r="K285" s="1579"/>
      <c r="L285" s="991"/>
      <c r="M285" s="1705" t="s">
        <v>127</v>
      </c>
      <c r="N285" s="1768"/>
      <c r="O285" s="1705" t="s">
        <v>1259</v>
      </c>
      <c r="AJ285" s="320"/>
      <c r="AM285" s="320"/>
    </row>
    <row r="286" spans="1:1022 1034:3063 3075:4090 4102:5117 5129:6144 6156:7158 7170:8185 8197:9212 9224:10239 10251:11253 11265:12280 12292:13307 13319:14334 14346:16375" ht="18" hidden="1" customHeight="1" outlineLevel="1">
      <c r="A286" s="1705" t="s">
        <v>127</v>
      </c>
      <c r="B286" s="1768"/>
      <c r="C286" s="1768"/>
      <c r="E286" s="1705" t="s">
        <v>127</v>
      </c>
      <c r="F286" s="1705" t="s">
        <v>1112</v>
      </c>
      <c r="G286" s="1768"/>
      <c r="H286" s="1768"/>
      <c r="K286" s="1579"/>
      <c r="L286" s="991"/>
      <c r="M286" s="1705" t="s">
        <v>127</v>
      </c>
      <c r="N286" s="1768"/>
      <c r="O286" s="1705" t="s">
        <v>1259</v>
      </c>
      <c r="AJ286" s="320"/>
      <c r="AM286" s="320"/>
    </row>
    <row r="287" spans="1:1022 1034:3063 3075:4090 4102:5117 5129:6144 6156:7158 7170:8185 8197:9212 9224:10239 10251:11253 11265:12280 12292:13307 13319:14334 14346:16375" ht="18" hidden="1" customHeight="1" outlineLevel="1">
      <c r="A287" s="1705" t="s">
        <v>127</v>
      </c>
      <c r="B287" s="1768"/>
      <c r="C287" s="1768"/>
      <c r="E287" s="1705" t="s">
        <v>127</v>
      </c>
      <c r="F287" s="1705" t="s">
        <v>1112</v>
      </c>
      <c r="G287" s="1768"/>
      <c r="H287" s="1768"/>
      <c r="J287" s="320"/>
      <c r="K287" s="1579"/>
      <c r="L287" s="991"/>
      <c r="M287" s="1705" t="s">
        <v>127</v>
      </c>
      <c r="N287" s="1768"/>
      <c r="O287" s="1705" t="s">
        <v>1259</v>
      </c>
      <c r="AJ287" s="320"/>
      <c r="AM287" s="320"/>
    </row>
    <row r="288" spans="1:1022 1034:3063 3075:4090 4102:5117 5129:6144 6156:7158 7170:8185 8197:9212 9224:10239 10251:11253 11265:12280 12292:13307 13319:14334 14346:16375" ht="18" hidden="1" customHeight="1" outlineLevel="1">
      <c r="A288" s="1705" t="s">
        <v>127</v>
      </c>
      <c r="B288" s="1768"/>
      <c r="C288" s="1768"/>
      <c r="D288" s="320"/>
      <c r="E288" s="320"/>
      <c r="F288" s="320"/>
      <c r="G288" s="320"/>
      <c r="K288" s="136"/>
      <c r="AJ288" s="320"/>
      <c r="AM288" s="320"/>
    </row>
    <row r="289" spans="1:39" ht="18" hidden="1" customHeight="1" outlineLevel="1">
      <c r="A289" s="1705" t="s">
        <v>127</v>
      </c>
      <c r="B289" s="1772"/>
      <c r="C289" s="1772"/>
      <c r="D289" s="320"/>
      <c r="E289" s="146" t="s">
        <v>2055</v>
      </c>
      <c r="F289" s="919" t="str">
        <f>A281</f>
        <v>N</v>
      </c>
      <c r="G289" s="320"/>
      <c r="H289" s="320"/>
      <c r="I289" s="1579"/>
      <c r="J289" s="991"/>
      <c r="K289" s="833"/>
      <c r="L289" s="1000"/>
      <c r="AJ289" s="320"/>
      <c r="AM289" s="320"/>
    </row>
    <row r="290" spans="1:39" ht="18" hidden="1" customHeight="1" outlineLevel="1">
      <c r="A290" s="919"/>
      <c r="B290" s="919"/>
      <c r="C290" s="320"/>
      <c r="D290" s="320"/>
      <c r="E290" s="320"/>
      <c r="F290" s="320"/>
      <c r="G290" s="320"/>
      <c r="H290" s="320"/>
      <c r="I290" s="320"/>
      <c r="J290" s="1579"/>
      <c r="K290" s="991"/>
      <c r="L290" s="833"/>
      <c r="M290" s="1000"/>
      <c r="AJ290" s="320"/>
      <c r="AM290" s="320"/>
    </row>
    <row r="291" spans="1:39" ht="18" hidden="1" customHeight="1" outlineLevel="1">
      <c r="A291" s="1761" t="str">
        <f>IFERROR(INDEX('Summary Data'!B:B,MATCH(2,'Summary Data'!GQ:GQ,0),1),"N")</f>
        <v>N</v>
      </c>
      <c r="B291" s="1762"/>
      <c r="C291" s="1614"/>
      <c r="D291" s="1614"/>
      <c r="E291" s="1614" t="s">
        <v>649</v>
      </c>
      <c r="F291" s="1614"/>
      <c r="G291" s="1614"/>
      <c r="H291" s="1614">
        <v>0</v>
      </c>
      <c r="I291" s="1614">
        <v>0</v>
      </c>
      <c r="J291" s="1763"/>
      <c r="K291" s="1764"/>
      <c r="L291" s="1765"/>
      <c r="M291" s="1771"/>
      <c r="N291" s="1771"/>
      <c r="AJ291" s="320"/>
      <c r="AM291" s="320"/>
    </row>
    <row r="292" spans="1:39" ht="18" hidden="1" customHeight="1" outlineLevel="1">
      <c r="A292" s="1766" t="s">
        <v>213</v>
      </c>
      <c r="B292" s="1767" t="s">
        <v>1469</v>
      </c>
      <c r="C292" s="1767" t="s">
        <v>445</v>
      </c>
      <c r="E292" s="1766" t="s">
        <v>1610</v>
      </c>
      <c r="F292" s="1767" t="s">
        <v>1470</v>
      </c>
      <c r="G292" s="1767" t="s">
        <v>1469</v>
      </c>
      <c r="H292" s="1767" t="s">
        <v>445</v>
      </c>
      <c r="J292" s="1766" t="s">
        <v>495</v>
      </c>
      <c r="K292" s="1767" t="s">
        <v>183</v>
      </c>
      <c r="L292" s="1769" t="s">
        <v>1471</v>
      </c>
      <c r="M292" s="1766" t="s">
        <v>215</v>
      </c>
      <c r="N292" s="1767" t="s">
        <v>1469</v>
      </c>
      <c r="O292" s="1767" t="s">
        <v>1473</v>
      </c>
      <c r="AJ292" s="320"/>
      <c r="AM292" s="320"/>
    </row>
    <row r="293" spans="1:39" ht="18" hidden="1" customHeight="1" outlineLevel="1">
      <c r="A293" s="1705" t="s">
        <v>127</v>
      </c>
      <c r="B293" s="1768"/>
      <c r="C293" s="1768"/>
      <c r="E293" s="1705" t="s">
        <v>127</v>
      </c>
      <c r="F293" s="1705" t="s">
        <v>1112</v>
      </c>
      <c r="G293" s="1768"/>
      <c r="H293" s="1768"/>
      <c r="J293" s="1705" t="s">
        <v>127</v>
      </c>
      <c r="K293" s="1705"/>
      <c r="L293" s="1770" t="s">
        <v>1472</v>
      </c>
      <c r="M293" s="1705" t="s">
        <v>127</v>
      </c>
      <c r="N293" s="1768"/>
      <c r="O293" s="1705" t="s">
        <v>1259</v>
      </c>
      <c r="AJ293" s="320"/>
      <c r="AM293" s="320"/>
    </row>
    <row r="294" spans="1:39" ht="18" hidden="1" customHeight="1" outlineLevel="1">
      <c r="A294" s="1705" t="s">
        <v>127</v>
      </c>
      <c r="B294" s="1768"/>
      <c r="C294" s="1768"/>
      <c r="E294" s="1705" t="s">
        <v>127</v>
      </c>
      <c r="F294" s="1705" t="s">
        <v>1112</v>
      </c>
      <c r="G294" s="1768"/>
      <c r="H294" s="1768"/>
      <c r="J294" s="1705" t="s">
        <v>127</v>
      </c>
      <c r="K294" s="1705"/>
      <c r="L294" s="1770" t="s">
        <v>1472</v>
      </c>
      <c r="M294" s="1705" t="s">
        <v>127</v>
      </c>
      <c r="N294" s="1768"/>
      <c r="O294" s="1705" t="s">
        <v>1259</v>
      </c>
      <c r="AJ294" s="320"/>
      <c r="AM294" s="320"/>
    </row>
    <row r="295" spans="1:39" ht="18" hidden="1" customHeight="1" outlineLevel="1">
      <c r="A295" s="1705" t="s">
        <v>127</v>
      </c>
      <c r="B295" s="1768"/>
      <c r="C295" s="1768"/>
      <c r="E295" s="1705" t="s">
        <v>127</v>
      </c>
      <c r="F295" s="1705" t="s">
        <v>1112</v>
      </c>
      <c r="G295" s="1768"/>
      <c r="H295" s="1768"/>
      <c r="K295" s="1579"/>
      <c r="L295" s="991"/>
      <c r="M295" s="1705" t="s">
        <v>127</v>
      </c>
      <c r="N295" s="1768"/>
      <c r="O295" s="1705" t="s">
        <v>1259</v>
      </c>
      <c r="AJ295" s="320"/>
      <c r="AM295" s="320"/>
    </row>
    <row r="296" spans="1:39" ht="18" hidden="1" customHeight="1" outlineLevel="1">
      <c r="A296" s="1705" t="s">
        <v>127</v>
      </c>
      <c r="B296" s="1768"/>
      <c r="C296" s="1768"/>
      <c r="E296" s="1705" t="s">
        <v>127</v>
      </c>
      <c r="F296" s="1705" t="s">
        <v>1112</v>
      </c>
      <c r="G296" s="1768"/>
      <c r="H296" s="1768"/>
      <c r="K296" s="1579"/>
      <c r="L296" s="991"/>
      <c r="M296" s="1705" t="s">
        <v>127</v>
      </c>
      <c r="N296" s="1768"/>
      <c r="O296" s="1705" t="s">
        <v>1259</v>
      </c>
      <c r="AJ296" s="320"/>
      <c r="AM296" s="320"/>
    </row>
    <row r="297" spans="1:39" ht="18" hidden="1" customHeight="1" outlineLevel="1">
      <c r="A297" s="1705" t="s">
        <v>127</v>
      </c>
      <c r="B297" s="1768"/>
      <c r="C297" s="1768"/>
      <c r="E297" s="1705" t="s">
        <v>127</v>
      </c>
      <c r="F297" s="1705" t="s">
        <v>1112</v>
      </c>
      <c r="G297" s="1768"/>
      <c r="H297" s="1768"/>
      <c r="J297" s="320"/>
      <c r="K297" s="1579"/>
      <c r="L297" s="991"/>
      <c r="M297" s="1705" t="s">
        <v>127</v>
      </c>
      <c r="N297" s="1768"/>
      <c r="O297" s="1705" t="s">
        <v>1259</v>
      </c>
      <c r="AJ297" s="320"/>
      <c r="AM297" s="320"/>
    </row>
    <row r="298" spans="1:39" ht="18" hidden="1" customHeight="1" outlineLevel="1">
      <c r="A298" s="1705" t="s">
        <v>127</v>
      </c>
      <c r="B298" s="1768"/>
      <c r="C298" s="1768"/>
      <c r="D298" s="320"/>
      <c r="E298" s="320"/>
      <c r="F298" s="320"/>
      <c r="G298" s="320"/>
      <c r="K298" s="136"/>
      <c r="AJ298" s="320"/>
      <c r="AM298" s="320"/>
    </row>
    <row r="299" spans="1:39" ht="18" hidden="1" customHeight="1" outlineLevel="1">
      <c r="A299" s="1705" t="s">
        <v>127</v>
      </c>
      <c r="B299" s="1772"/>
      <c r="C299" s="1772"/>
      <c r="D299" s="320"/>
      <c r="E299" s="146" t="s">
        <v>2055</v>
      </c>
      <c r="F299" s="919" t="str">
        <f>A291</f>
        <v>N</v>
      </c>
      <c r="G299" s="320"/>
      <c r="H299" s="320"/>
      <c r="I299" s="1579"/>
      <c r="J299" s="991"/>
      <c r="K299" s="833"/>
      <c r="L299" s="1000"/>
      <c r="AJ299" s="320"/>
      <c r="AM299" s="320"/>
    </row>
    <row r="300" spans="1:39" ht="18" hidden="1" customHeight="1" outlineLevel="1">
      <c r="A300" s="919"/>
      <c r="B300" s="919"/>
      <c r="C300" s="320"/>
      <c r="D300" s="320"/>
      <c r="E300" s="320"/>
      <c r="F300" s="320"/>
      <c r="G300" s="320"/>
      <c r="H300" s="320"/>
      <c r="I300" s="320"/>
      <c r="J300" s="1579"/>
      <c r="K300" s="991"/>
      <c r="L300" s="833"/>
      <c r="M300" s="1000"/>
      <c r="AJ300" s="320"/>
      <c r="AM300" s="320"/>
    </row>
    <row r="301" spans="1:39" ht="18" hidden="1" customHeight="1" outlineLevel="1">
      <c r="A301" s="1761" t="str">
        <f>IFERROR(INDEX('Summary Data'!B:B,MATCH(3,'Summary Data'!GQ:GQ,0),1),"N")</f>
        <v>N</v>
      </c>
      <c r="B301" s="1762"/>
      <c r="C301" s="1614"/>
      <c r="D301" s="1614"/>
      <c r="E301" s="1614" t="s">
        <v>649</v>
      </c>
      <c r="F301" s="1614"/>
      <c r="G301" s="1614"/>
      <c r="H301" s="1614">
        <v>0</v>
      </c>
      <c r="I301" s="1614">
        <v>0</v>
      </c>
      <c r="J301" s="1763"/>
      <c r="K301" s="1764"/>
      <c r="L301" s="1765"/>
      <c r="M301" s="1771"/>
      <c r="N301" s="1771"/>
      <c r="AJ301" s="320"/>
      <c r="AM301" s="320"/>
    </row>
    <row r="302" spans="1:39" ht="18" hidden="1" customHeight="1" outlineLevel="1">
      <c r="A302" s="1766" t="s">
        <v>213</v>
      </c>
      <c r="B302" s="1767" t="s">
        <v>1469</v>
      </c>
      <c r="C302" s="1767" t="s">
        <v>445</v>
      </c>
      <c r="E302" s="1766" t="s">
        <v>1610</v>
      </c>
      <c r="F302" s="1767" t="s">
        <v>1470</v>
      </c>
      <c r="G302" s="1767" t="s">
        <v>1469</v>
      </c>
      <c r="H302" s="1767" t="s">
        <v>445</v>
      </c>
      <c r="J302" s="1766" t="s">
        <v>495</v>
      </c>
      <c r="K302" s="1767" t="s">
        <v>183</v>
      </c>
      <c r="L302" s="1769" t="s">
        <v>1471</v>
      </c>
      <c r="M302" s="1766" t="s">
        <v>215</v>
      </c>
      <c r="N302" s="1767" t="s">
        <v>1469</v>
      </c>
      <c r="O302" s="1767" t="s">
        <v>1473</v>
      </c>
      <c r="AJ302" s="320"/>
      <c r="AM302" s="320"/>
    </row>
    <row r="303" spans="1:39" ht="18" hidden="1" customHeight="1" outlineLevel="1">
      <c r="A303" s="1705" t="s">
        <v>127</v>
      </c>
      <c r="B303" s="1768"/>
      <c r="C303" s="1768"/>
      <c r="E303" s="1705" t="s">
        <v>127</v>
      </c>
      <c r="F303" s="1705" t="s">
        <v>1112</v>
      </c>
      <c r="G303" s="1768"/>
      <c r="H303" s="1768"/>
      <c r="J303" s="1705" t="s">
        <v>127</v>
      </c>
      <c r="K303" s="1705"/>
      <c r="L303" s="1770" t="s">
        <v>1472</v>
      </c>
      <c r="M303" s="1705" t="s">
        <v>127</v>
      </c>
      <c r="N303" s="1768"/>
      <c r="O303" s="1705" t="s">
        <v>1259</v>
      </c>
      <c r="AJ303" s="320"/>
      <c r="AM303" s="320"/>
    </row>
    <row r="304" spans="1:39" ht="18" hidden="1" customHeight="1" outlineLevel="1">
      <c r="A304" s="1705" t="s">
        <v>127</v>
      </c>
      <c r="B304" s="1768"/>
      <c r="C304" s="1768"/>
      <c r="E304" s="1705" t="s">
        <v>127</v>
      </c>
      <c r="F304" s="1705" t="s">
        <v>1112</v>
      </c>
      <c r="G304" s="1768"/>
      <c r="H304" s="1768"/>
      <c r="J304" s="1705" t="s">
        <v>127</v>
      </c>
      <c r="K304" s="1705"/>
      <c r="L304" s="1770" t="s">
        <v>1472</v>
      </c>
      <c r="M304" s="1705" t="s">
        <v>127</v>
      </c>
      <c r="N304" s="1768"/>
      <c r="O304" s="1705" t="s">
        <v>1259</v>
      </c>
      <c r="AJ304" s="320"/>
      <c r="AM304" s="320"/>
    </row>
    <row r="305" spans="1:1022 1034:3063 3075:4090 4102:5117 5129:6144 6156:7158 7170:8185 8197:9212 9224:10239 10251:11253 11265:12280 12292:13307 13319:14334 14346:16375" ht="18" hidden="1" customHeight="1" outlineLevel="1">
      <c r="A305" s="1705" t="s">
        <v>127</v>
      </c>
      <c r="B305" s="1768"/>
      <c r="C305" s="1768"/>
      <c r="E305" s="1705" t="s">
        <v>127</v>
      </c>
      <c r="F305" s="1705" t="s">
        <v>1112</v>
      </c>
      <c r="G305" s="1768"/>
      <c r="H305" s="1768"/>
      <c r="K305" s="1579"/>
      <c r="L305" s="991"/>
      <c r="M305" s="1705" t="s">
        <v>127</v>
      </c>
      <c r="N305" s="1768"/>
      <c r="O305" s="1705" t="s">
        <v>1259</v>
      </c>
      <c r="AJ305" s="320"/>
      <c r="AM305" s="320"/>
    </row>
    <row r="306" spans="1:1022 1034:3063 3075:4090 4102:5117 5129:6144 6156:7158 7170:8185 8197:9212 9224:10239 10251:11253 11265:12280 12292:13307 13319:14334 14346:16375" ht="18" hidden="1" customHeight="1" outlineLevel="1">
      <c r="A306" s="1705" t="s">
        <v>127</v>
      </c>
      <c r="B306" s="1768"/>
      <c r="C306" s="1768"/>
      <c r="E306" s="1705" t="s">
        <v>127</v>
      </c>
      <c r="F306" s="1705" t="s">
        <v>1112</v>
      </c>
      <c r="G306" s="1768"/>
      <c r="H306" s="1768"/>
      <c r="K306" s="1579"/>
      <c r="L306" s="991"/>
      <c r="M306" s="1705" t="s">
        <v>127</v>
      </c>
      <c r="N306" s="1768"/>
      <c r="O306" s="1705" t="s">
        <v>1259</v>
      </c>
      <c r="AJ306" s="320"/>
      <c r="AM306" s="320"/>
    </row>
    <row r="307" spans="1:1022 1034:3063 3075:4090 4102:5117 5129:6144 6156:7158 7170:8185 8197:9212 9224:10239 10251:11253 11265:12280 12292:13307 13319:14334 14346:16375" ht="18" hidden="1" customHeight="1" outlineLevel="1">
      <c r="A307" s="1705" t="s">
        <v>127</v>
      </c>
      <c r="B307" s="1768"/>
      <c r="C307" s="1768"/>
      <c r="E307" s="1705" t="s">
        <v>127</v>
      </c>
      <c r="F307" s="1705" t="s">
        <v>1112</v>
      </c>
      <c r="G307" s="1768"/>
      <c r="H307" s="1768"/>
      <c r="J307" s="320"/>
      <c r="K307" s="1579"/>
      <c r="L307" s="991"/>
      <c r="M307" s="1705" t="s">
        <v>127</v>
      </c>
      <c r="N307" s="1768"/>
      <c r="O307" s="1705" t="s">
        <v>1259</v>
      </c>
      <c r="AJ307" s="320"/>
      <c r="AM307" s="320"/>
    </row>
    <row r="308" spans="1:1022 1034:3063 3075:4090 4102:5117 5129:6144 6156:7158 7170:8185 8197:9212 9224:10239 10251:11253 11265:12280 12292:13307 13319:14334 14346:16375" ht="18" hidden="1" customHeight="1" outlineLevel="1">
      <c r="A308" s="1705" t="s">
        <v>127</v>
      </c>
      <c r="B308" s="1768"/>
      <c r="C308" s="1768"/>
      <c r="D308" s="320"/>
      <c r="E308" s="320"/>
      <c r="F308" s="320"/>
      <c r="G308" s="320"/>
      <c r="K308" s="136"/>
      <c r="AJ308" s="320"/>
      <c r="AM308" s="320"/>
    </row>
    <row r="309" spans="1:1022 1034:3063 3075:4090 4102:5117 5129:6144 6156:7158 7170:8185 8197:9212 9224:10239 10251:11253 11265:12280 12292:13307 13319:14334 14346:16375" ht="18" hidden="1" customHeight="1" outlineLevel="1">
      <c r="A309" s="1705" t="s">
        <v>127</v>
      </c>
      <c r="B309" s="1772"/>
      <c r="C309" s="1772"/>
      <c r="D309" s="320"/>
      <c r="E309" s="146" t="s">
        <v>2055</v>
      </c>
      <c r="F309" s="919" t="str">
        <f>A301</f>
        <v>N</v>
      </c>
      <c r="G309" s="320"/>
      <c r="H309" s="320"/>
      <c r="I309" s="1579"/>
      <c r="J309" s="991"/>
      <c r="K309" s="833"/>
      <c r="L309" s="1000"/>
      <c r="AJ309" s="320"/>
      <c r="AM309" s="320"/>
    </row>
    <row r="310" spans="1:1022 1034:3063 3075:4090 4102:5117 5129:6144 6156:7158 7170:8185 8197:9212 9224:10239 10251:11253 11265:12280 12292:13307 13319:14334 14346:16375" ht="18" hidden="1" customHeight="1" outlineLevel="1">
      <c r="A310" s="919"/>
      <c r="B310" s="919"/>
      <c r="C310" s="320"/>
      <c r="D310" s="320"/>
      <c r="E310" s="320"/>
      <c r="F310" s="320"/>
      <c r="G310" s="320"/>
      <c r="H310" s="320"/>
      <c r="I310" s="320"/>
      <c r="J310" s="1579"/>
      <c r="K310" s="991"/>
      <c r="L310" s="833"/>
      <c r="M310" s="1000"/>
      <c r="AJ310" s="320"/>
      <c r="AM310" s="320"/>
    </row>
    <row r="311" spans="1:1022 1034:3063 3075:4090 4102:5117 5129:6144 6156:7158 7170:8185 8197:9212 9224:10239 10251:11253 11265:12280 12292:13307 13319:14334 14346:16375" s="146" customFormat="1" ht="18" hidden="1" customHeight="1" outlineLevel="1">
      <c r="A311" s="1776" t="s">
        <v>594</v>
      </c>
      <c r="B311" s="1776" t="s">
        <v>235</v>
      </c>
      <c r="C311" s="1776" t="s">
        <v>1457</v>
      </c>
      <c r="D311" s="1776" t="s">
        <v>1119</v>
      </c>
      <c r="E311" s="1776" t="s">
        <v>1099</v>
      </c>
      <c r="F311" s="1776" t="s">
        <v>17</v>
      </c>
      <c r="G311" s="1809" t="s">
        <v>12</v>
      </c>
      <c r="H311" s="1809" t="s">
        <v>1343</v>
      </c>
      <c r="I311" s="1776" t="s">
        <v>1100</v>
      </c>
      <c r="J311" s="1776" t="s">
        <v>212</v>
      </c>
      <c r="K311" s="1776" t="s">
        <v>1089</v>
      </c>
      <c r="L311" s="1776" t="s">
        <v>212</v>
      </c>
      <c r="M311" s="1777" t="s">
        <v>1090</v>
      </c>
      <c r="O311" s="1777" t="s">
        <v>2038</v>
      </c>
      <c r="T311" s="890"/>
      <c r="U311" s="890"/>
      <c r="AG311" s="890"/>
      <c r="AH311" s="890"/>
      <c r="AT311" s="890"/>
      <c r="AU311" s="890"/>
      <c r="BG311" s="890"/>
      <c r="BH311" s="890"/>
      <c r="BT311" s="890"/>
      <c r="BU311" s="890"/>
      <c r="CG311" s="890"/>
      <c r="CH311" s="890"/>
      <c r="CT311" s="890"/>
      <c r="CU311" s="890"/>
      <c r="DG311" s="890"/>
      <c r="DH311" s="890"/>
      <c r="DT311" s="890"/>
      <c r="DU311" s="890"/>
      <c r="EG311" s="890"/>
      <c r="EH311" s="890"/>
      <c r="ET311" s="890"/>
      <c r="EU311" s="890"/>
      <c r="FG311" s="890"/>
      <c r="FH311" s="890"/>
      <c r="FT311" s="890"/>
      <c r="FU311" s="890"/>
      <c r="GG311" s="890"/>
      <c r="GH311" s="890"/>
      <c r="GT311" s="890"/>
      <c r="GU311" s="890"/>
      <c r="HG311" s="890"/>
      <c r="HH311" s="890"/>
      <c r="HT311" s="890"/>
      <c r="HU311" s="890"/>
      <c r="IG311" s="890"/>
      <c r="IH311" s="890"/>
      <c r="IT311" s="890"/>
      <c r="IU311" s="890"/>
      <c r="JG311" s="890"/>
      <c r="JH311" s="890"/>
      <c r="JT311" s="890"/>
      <c r="JU311" s="890"/>
      <c r="KG311" s="890"/>
      <c r="KH311" s="890"/>
      <c r="KT311" s="890"/>
      <c r="KU311" s="890"/>
      <c r="LG311" s="890"/>
      <c r="LH311" s="890"/>
      <c r="LT311" s="890"/>
      <c r="LU311" s="890"/>
      <c r="MG311" s="890"/>
      <c r="MH311" s="890"/>
      <c r="MT311" s="890"/>
      <c r="MU311" s="890"/>
      <c r="NG311" s="890"/>
      <c r="NH311" s="890"/>
      <c r="NT311" s="890"/>
      <c r="NU311" s="890"/>
      <c r="OG311" s="890"/>
      <c r="OH311" s="890"/>
      <c r="OT311" s="890"/>
      <c r="OU311" s="890"/>
      <c r="PG311" s="890"/>
      <c r="PH311" s="890"/>
      <c r="PT311" s="890"/>
      <c r="PU311" s="890"/>
      <c r="QG311" s="890"/>
      <c r="QH311" s="890"/>
      <c r="QT311" s="890"/>
      <c r="QU311" s="890"/>
      <c r="RG311" s="890"/>
      <c r="RH311" s="890"/>
      <c r="RT311" s="890"/>
      <c r="RU311" s="890"/>
      <c r="SG311" s="890"/>
      <c r="SH311" s="890"/>
      <c r="ST311" s="890"/>
      <c r="SU311" s="890"/>
      <c r="TG311" s="890"/>
      <c r="TH311" s="890"/>
      <c r="TT311" s="890"/>
      <c r="TU311" s="890"/>
      <c r="UG311" s="890"/>
      <c r="UH311" s="890"/>
      <c r="UT311" s="890"/>
      <c r="UU311" s="890"/>
      <c r="VG311" s="890"/>
      <c r="VH311" s="890"/>
      <c r="VT311" s="890"/>
      <c r="VU311" s="890"/>
      <c r="WG311" s="890"/>
      <c r="WH311" s="890"/>
      <c r="WT311" s="890"/>
      <c r="WU311" s="890"/>
      <c r="XG311" s="890"/>
      <c r="XH311" s="890"/>
      <c r="XT311" s="890"/>
      <c r="XU311" s="890"/>
      <c r="YG311" s="890"/>
      <c r="YH311" s="890"/>
      <c r="YT311" s="890"/>
      <c r="YU311" s="890"/>
      <c r="ZG311" s="890"/>
      <c r="ZH311" s="890"/>
      <c r="ZT311" s="890"/>
      <c r="ZU311" s="890"/>
      <c r="AAG311" s="890"/>
      <c r="AAH311" s="890"/>
      <c r="AAT311" s="890"/>
      <c r="AAU311" s="890"/>
      <c r="ABG311" s="890"/>
      <c r="ABH311" s="890"/>
      <c r="ABT311" s="890"/>
      <c r="ABU311" s="890"/>
      <c r="ACG311" s="890"/>
      <c r="ACH311" s="890"/>
      <c r="ACT311" s="890"/>
      <c r="ACU311" s="890"/>
      <c r="ADG311" s="890"/>
      <c r="ADH311" s="890"/>
      <c r="ADT311" s="890"/>
      <c r="ADU311" s="890"/>
      <c r="AEG311" s="890"/>
      <c r="AEH311" s="890"/>
      <c r="AET311" s="890"/>
      <c r="AEU311" s="890"/>
      <c r="AFG311" s="890"/>
      <c r="AFH311" s="890"/>
      <c r="AFT311" s="890"/>
      <c r="AFU311" s="890"/>
      <c r="AGG311" s="890"/>
      <c r="AGH311" s="890"/>
      <c r="AGT311" s="890"/>
      <c r="AGU311" s="890"/>
      <c r="AHG311" s="890"/>
      <c r="AHH311" s="890"/>
      <c r="AHT311" s="890"/>
      <c r="AHU311" s="890"/>
      <c r="AIG311" s="890"/>
      <c r="AIH311" s="890"/>
      <c r="AIT311" s="890"/>
      <c r="AIU311" s="890"/>
      <c r="AJG311" s="890"/>
      <c r="AJH311" s="890"/>
      <c r="AJT311" s="890"/>
      <c r="AJU311" s="890"/>
      <c r="AKG311" s="890"/>
      <c r="AKH311" s="890"/>
      <c r="AKT311" s="890"/>
      <c r="AKU311" s="890"/>
      <c r="ALG311" s="890"/>
      <c r="ALH311" s="890"/>
      <c r="ALT311" s="890"/>
      <c r="ALU311" s="890"/>
      <c r="AMG311" s="890"/>
      <c r="AMH311" s="890"/>
      <c r="AMT311" s="890"/>
      <c r="AMU311" s="890"/>
      <c r="ANG311" s="890"/>
      <c r="ANH311" s="890"/>
      <c r="ANT311" s="890"/>
      <c r="ANU311" s="890"/>
      <c r="AOG311" s="890"/>
      <c r="AOH311" s="890"/>
      <c r="AOT311" s="890"/>
      <c r="AOU311" s="890"/>
      <c r="APG311" s="890"/>
      <c r="APH311" s="890"/>
      <c r="APT311" s="890"/>
      <c r="APU311" s="890"/>
      <c r="AQG311" s="890"/>
      <c r="AQH311" s="890"/>
      <c r="AQT311" s="890"/>
      <c r="AQU311" s="890"/>
      <c r="ARG311" s="890"/>
      <c r="ARH311" s="890"/>
      <c r="ART311" s="890"/>
      <c r="ARU311" s="890"/>
      <c r="ASG311" s="890"/>
      <c r="ASH311" s="890"/>
      <c r="AST311" s="890"/>
      <c r="ASU311" s="890"/>
      <c r="ATG311" s="890"/>
      <c r="ATH311" s="890"/>
      <c r="ATT311" s="890"/>
      <c r="ATU311" s="890"/>
      <c r="AUG311" s="890"/>
      <c r="AUH311" s="890"/>
      <c r="AUT311" s="890"/>
      <c r="AUU311" s="890"/>
      <c r="AVG311" s="890"/>
      <c r="AVH311" s="890"/>
      <c r="AVT311" s="890"/>
      <c r="AVU311" s="890"/>
      <c r="AWG311" s="890"/>
      <c r="AWH311" s="890"/>
      <c r="AWT311" s="890"/>
      <c r="AWU311" s="890"/>
      <c r="AXG311" s="890"/>
      <c r="AXH311" s="890"/>
      <c r="AXT311" s="890"/>
      <c r="AXU311" s="890"/>
      <c r="AYG311" s="890"/>
      <c r="AYH311" s="890"/>
      <c r="AYT311" s="890"/>
      <c r="AYU311" s="890"/>
      <c r="AZG311" s="890"/>
      <c r="AZH311" s="890"/>
      <c r="AZT311" s="890"/>
      <c r="AZU311" s="890"/>
      <c r="BAG311" s="890"/>
      <c r="BAH311" s="890"/>
      <c r="BAT311" s="890"/>
      <c r="BAU311" s="890"/>
      <c r="BBG311" s="890"/>
      <c r="BBH311" s="890"/>
      <c r="BBT311" s="890"/>
      <c r="BBU311" s="890"/>
      <c r="BCG311" s="890"/>
      <c r="BCH311" s="890"/>
      <c r="BCT311" s="890"/>
      <c r="BCU311" s="890"/>
      <c r="BDG311" s="890"/>
      <c r="BDH311" s="890"/>
      <c r="BDT311" s="890"/>
      <c r="BDU311" s="890"/>
      <c r="BEG311" s="890"/>
      <c r="BEH311" s="890"/>
      <c r="BET311" s="890"/>
      <c r="BEU311" s="890"/>
      <c r="BFG311" s="890"/>
      <c r="BFH311" s="890"/>
      <c r="BFT311" s="890"/>
      <c r="BFU311" s="890"/>
      <c r="BGG311" s="890"/>
      <c r="BGH311" s="890"/>
      <c r="BGT311" s="890"/>
      <c r="BGU311" s="890"/>
      <c r="BHG311" s="890"/>
      <c r="BHH311" s="890"/>
      <c r="BHT311" s="890"/>
      <c r="BHU311" s="890"/>
      <c r="BIG311" s="890"/>
      <c r="BIH311" s="890"/>
      <c r="BIT311" s="890"/>
      <c r="BIU311" s="890"/>
      <c r="BJG311" s="890"/>
      <c r="BJH311" s="890"/>
      <c r="BJT311" s="890"/>
      <c r="BJU311" s="890"/>
      <c r="BKG311" s="890"/>
      <c r="BKH311" s="890"/>
      <c r="BKT311" s="890"/>
      <c r="BKU311" s="890"/>
      <c r="BLG311" s="890"/>
      <c r="BLH311" s="890"/>
      <c r="BLT311" s="890"/>
      <c r="BLU311" s="890"/>
      <c r="BMG311" s="890"/>
      <c r="BMH311" s="890"/>
      <c r="BMT311" s="890"/>
      <c r="BMU311" s="890"/>
      <c r="BNG311" s="890"/>
      <c r="BNH311" s="890"/>
      <c r="BNT311" s="890"/>
      <c r="BNU311" s="890"/>
      <c r="BOG311" s="890"/>
      <c r="BOH311" s="890"/>
      <c r="BOT311" s="890"/>
      <c r="BOU311" s="890"/>
      <c r="BPG311" s="890"/>
      <c r="BPH311" s="890"/>
      <c r="BPT311" s="890"/>
      <c r="BPU311" s="890"/>
      <c r="BQG311" s="890"/>
      <c r="BQH311" s="890"/>
      <c r="BQT311" s="890"/>
      <c r="BQU311" s="890"/>
      <c r="BRG311" s="890"/>
      <c r="BRH311" s="890"/>
      <c r="BRT311" s="890"/>
      <c r="BRU311" s="890"/>
      <c r="BSG311" s="890"/>
      <c r="BSH311" s="890"/>
      <c r="BST311" s="890"/>
      <c r="BSU311" s="890"/>
      <c r="BTG311" s="890"/>
      <c r="BTH311" s="890"/>
      <c r="BTT311" s="890"/>
      <c r="BTU311" s="890"/>
      <c r="BUG311" s="890"/>
      <c r="BUH311" s="890"/>
      <c r="BUT311" s="890"/>
      <c r="BUU311" s="890"/>
      <c r="BVG311" s="890"/>
      <c r="BVH311" s="890"/>
      <c r="BVT311" s="890"/>
      <c r="BVU311" s="890"/>
      <c r="BWG311" s="890"/>
      <c r="BWH311" s="890"/>
      <c r="BWT311" s="890"/>
      <c r="BWU311" s="890"/>
      <c r="BXG311" s="890"/>
      <c r="BXH311" s="890"/>
      <c r="BXT311" s="890"/>
      <c r="BXU311" s="890"/>
      <c r="BYG311" s="890"/>
      <c r="BYH311" s="890"/>
      <c r="BYT311" s="890"/>
      <c r="BYU311" s="890"/>
      <c r="BZG311" s="890"/>
      <c r="BZH311" s="890"/>
      <c r="BZT311" s="890"/>
      <c r="BZU311" s="890"/>
      <c r="CAG311" s="890"/>
      <c r="CAH311" s="890"/>
      <c r="CAT311" s="890"/>
      <c r="CAU311" s="890"/>
      <c r="CBG311" s="890"/>
      <c r="CBH311" s="890"/>
      <c r="CBT311" s="890"/>
      <c r="CBU311" s="890"/>
      <c r="CCG311" s="890"/>
      <c r="CCH311" s="890"/>
      <c r="CCT311" s="890"/>
      <c r="CCU311" s="890"/>
      <c r="CDG311" s="890"/>
      <c r="CDH311" s="890"/>
      <c r="CDT311" s="890"/>
      <c r="CDU311" s="890"/>
      <c r="CEG311" s="890"/>
      <c r="CEH311" s="890"/>
      <c r="CET311" s="890"/>
      <c r="CEU311" s="890"/>
      <c r="CFG311" s="890"/>
      <c r="CFH311" s="890"/>
      <c r="CFT311" s="890"/>
      <c r="CFU311" s="890"/>
      <c r="CGG311" s="890"/>
      <c r="CGH311" s="890"/>
      <c r="CGT311" s="890"/>
      <c r="CGU311" s="890"/>
      <c r="CHG311" s="890"/>
      <c r="CHH311" s="890"/>
      <c r="CHT311" s="890"/>
      <c r="CHU311" s="890"/>
      <c r="CIG311" s="890"/>
      <c r="CIH311" s="890"/>
      <c r="CIT311" s="890"/>
      <c r="CIU311" s="890"/>
      <c r="CJG311" s="890"/>
      <c r="CJH311" s="890"/>
      <c r="CJT311" s="890"/>
      <c r="CJU311" s="890"/>
      <c r="CKG311" s="890"/>
      <c r="CKH311" s="890"/>
      <c r="CKT311" s="890"/>
      <c r="CKU311" s="890"/>
      <c r="CLG311" s="890"/>
      <c r="CLH311" s="890"/>
      <c r="CLT311" s="890"/>
      <c r="CLU311" s="890"/>
      <c r="CMG311" s="890"/>
      <c r="CMH311" s="890"/>
      <c r="CMT311" s="890"/>
      <c r="CMU311" s="890"/>
      <c r="CNG311" s="890"/>
      <c r="CNH311" s="890"/>
      <c r="CNT311" s="890"/>
      <c r="CNU311" s="890"/>
      <c r="COG311" s="890"/>
      <c r="COH311" s="890"/>
      <c r="COT311" s="890"/>
      <c r="COU311" s="890"/>
      <c r="CPG311" s="890"/>
      <c r="CPH311" s="890"/>
      <c r="CPT311" s="890"/>
      <c r="CPU311" s="890"/>
      <c r="CQG311" s="890"/>
      <c r="CQH311" s="890"/>
      <c r="CQT311" s="890"/>
      <c r="CQU311" s="890"/>
      <c r="CRG311" s="890"/>
      <c r="CRH311" s="890"/>
      <c r="CRT311" s="890"/>
      <c r="CRU311" s="890"/>
      <c r="CSG311" s="890"/>
      <c r="CSH311" s="890"/>
      <c r="CST311" s="890"/>
      <c r="CSU311" s="890"/>
      <c r="CTG311" s="890"/>
      <c r="CTH311" s="890"/>
      <c r="CTT311" s="890"/>
      <c r="CTU311" s="890"/>
      <c r="CUG311" s="890"/>
      <c r="CUH311" s="890"/>
      <c r="CUT311" s="890"/>
      <c r="CUU311" s="890"/>
      <c r="CVG311" s="890"/>
      <c r="CVH311" s="890"/>
      <c r="CVT311" s="890"/>
      <c r="CVU311" s="890"/>
      <c r="CWG311" s="890"/>
      <c r="CWH311" s="890"/>
      <c r="CWT311" s="890"/>
      <c r="CWU311" s="890"/>
      <c r="CXG311" s="890"/>
      <c r="CXH311" s="890"/>
      <c r="CXT311" s="890"/>
      <c r="CXU311" s="890"/>
      <c r="CYG311" s="890"/>
      <c r="CYH311" s="890"/>
      <c r="CYT311" s="890"/>
      <c r="CYU311" s="890"/>
      <c r="CZG311" s="890"/>
      <c r="CZH311" s="890"/>
      <c r="CZT311" s="890"/>
      <c r="CZU311" s="890"/>
      <c r="DAG311" s="890"/>
      <c r="DAH311" s="890"/>
      <c r="DAT311" s="890"/>
      <c r="DAU311" s="890"/>
      <c r="DBG311" s="890"/>
      <c r="DBH311" s="890"/>
      <c r="DBT311" s="890"/>
      <c r="DBU311" s="890"/>
      <c r="DCG311" s="890"/>
      <c r="DCH311" s="890"/>
      <c r="DCT311" s="890"/>
      <c r="DCU311" s="890"/>
      <c r="DDG311" s="890"/>
      <c r="DDH311" s="890"/>
      <c r="DDT311" s="890"/>
      <c r="DDU311" s="890"/>
      <c r="DEG311" s="890"/>
      <c r="DEH311" s="890"/>
      <c r="DET311" s="890"/>
      <c r="DEU311" s="890"/>
      <c r="DFG311" s="890"/>
      <c r="DFH311" s="890"/>
      <c r="DFT311" s="890"/>
      <c r="DFU311" s="890"/>
      <c r="DGG311" s="890"/>
      <c r="DGH311" s="890"/>
      <c r="DGT311" s="890"/>
      <c r="DGU311" s="890"/>
      <c r="DHG311" s="890"/>
      <c r="DHH311" s="890"/>
      <c r="DHT311" s="890"/>
      <c r="DHU311" s="890"/>
      <c r="DIG311" s="890"/>
      <c r="DIH311" s="890"/>
      <c r="DIT311" s="890"/>
      <c r="DIU311" s="890"/>
      <c r="DJG311" s="890"/>
      <c r="DJH311" s="890"/>
      <c r="DJT311" s="890"/>
      <c r="DJU311" s="890"/>
      <c r="DKG311" s="890"/>
      <c r="DKH311" s="890"/>
      <c r="DKT311" s="890"/>
      <c r="DKU311" s="890"/>
      <c r="DLG311" s="890"/>
      <c r="DLH311" s="890"/>
      <c r="DLT311" s="890"/>
      <c r="DLU311" s="890"/>
      <c r="DMG311" s="890"/>
      <c r="DMH311" s="890"/>
      <c r="DMT311" s="890"/>
      <c r="DMU311" s="890"/>
      <c r="DNG311" s="890"/>
      <c r="DNH311" s="890"/>
      <c r="DNT311" s="890"/>
      <c r="DNU311" s="890"/>
      <c r="DOG311" s="890"/>
      <c r="DOH311" s="890"/>
      <c r="DOT311" s="890"/>
      <c r="DOU311" s="890"/>
      <c r="DPG311" s="890"/>
      <c r="DPH311" s="890"/>
      <c r="DPT311" s="890"/>
      <c r="DPU311" s="890"/>
      <c r="DQG311" s="890"/>
      <c r="DQH311" s="890"/>
      <c r="DQT311" s="890"/>
      <c r="DQU311" s="890"/>
      <c r="DRG311" s="890"/>
      <c r="DRH311" s="890"/>
      <c r="DRT311" s="890"/>
      <c r="DRU311" s="890"/>
      <c r="DSG311" s="890"/>
      <c r="DSH311" s="890"/>
      <c r="DST311" s="890"/>
      <c r="DSU311" s="890"/>
      <c r="DTG311" s="890"/>
      <c r="DTH311" s="890"/>
      <c r="DTT311" s="890"/>
      <c r="DTU311" s="890"/>
      <c r="DUG311" s="890"/>
      <c r="DUH311" s="890"/>
      <c r="DUT311" s="890"/>
      <c r="DUU311" s="890"/>
      <c r="DVG311" s="890"/>
      <c r="DVH311" s="890"/>
      <c r="DVT311" s="890"/>
      <c r="DVU311" s="890"/>
      <c r="DWG311" s="890"/>
      <c r="DWH311" s="890"/>
      <c r="DWT311" s="890"/>
      <c r="DWU311" s="890"/>
      <c r="DXG311" s="890"/>
      <c r="DXH311" s="890"/>
      <c r="DXT311" s="890"/>
      <c r="DXU311" s="890"/>
      <c r="DYG311" s="890"/>
      <c r="DYH311" s="890"/>
      <c r="DYT311" s="890"/>
      <c r="DYU311" s="890"/>
      <c r="DZG311" s="890"/>
      <c r="DZH311" s="890"/>
      <c r="DZT311" s="890"/>
      <c r="DZU311" s="890"/>
      <c r="EAG311" s="890"/>
      <c r="EAH311" s="890"/>
      <c r="EAT311" s="890"/>
      <c r="EAU311" s="890"/>
      <c r="EBG311" s="890"/>
      <c r="EBH311" s="890"/>
      <c r="EBT311" s="890"/>
      <c r="EBU311" s="890"/>
      <c r="ECG311" s="890"/>
      <c r="ECH311" s="890"/>
      <c r="ECT311" s="890"/>
      <c r="ECU311" s="890"/>
      <c r="EDG311" s="890"/>
      <c r="EDH311" s="890"/>
      <c r="EDT311" s="890"/>
      <c r="EDU311" s="890"/>
      <c r="EEG311" s="890"/>
      <c r="EEH311" s="890"/>
      <c r="EET311" s="890"/>
      <c r="EEU311" s="890"/>
      <c r="EFG311" s="890"/>
      <c r="EFH311" s="890"/>
      <c r="EFT311" s="890"/>
      <c r="EFU311" s="890"/>
      <c r="EGG311" s="890"/>
      <c r="EGH311" s="890"/>
      <c r="EGT311" s="890"/>
      <c r="EGU311" s="890"/>
      <c r="EHG311" s="890"/>
      <c r="EHH311" s="890"/>
      <c r="EHT311" s="890"/>
      <c r="EHU311" s="890"/>
      <c r="EIG311" s="890"/>
      <c r="EIH311" s="890"/>
      <c r="EIT311" s="890"/>
      <c r="EIU311" s="890"/>
      <c r="EJG311" s="890"/>
      <c r="EJH311" s="890"/>
      <c r="EJT311" s="890"/>
      <c r="EJU311" s="890"/>
      <c r="EKG311" s="890"/>
      <c r="EKH311" s="890"/>
      <c r="EKT311" s="890"/>
      <c r="EKU311" s="890"/>
      <c r="ELG311" s="890"/>
      <c r="ELH311" s="890"/>
      <c r="ELT311" s="890"/>
      <c r="ELU311" s="890"/>
      <c r="EMG311" s="890"/>
      <c r="EMH311" s="890"/>
      <c r="EMT311" s="890"/>
      <c r="EMU311" s="890"/>
      <c r="ENG311" s="890"/>
      <c r="ENH311" s="890"/>
      <c r="ENT311" s="890"/>
      <c r="ENU311" s="890"/>
      <c r="EOG311" s="890"/>
      <c r="EOH311" s="890"/>
      <c r="EOT311" s="890"/>
      <c r="EOU311" s="890"/>
      <c r="EPG311" s="890"/>
      <c r="EPH311" s="890"/>
      <c r="EPT311" s="890"/>
      <c r="EPU311" s="890"/>
      <c r="EQG311" s="890"/>
      <c r="EQH311" s="890"/>
      <c r="EQT311" s="890"/>
      <c r="EQU311" s="890"/>
      <c r="ERG311" s="890"/>
      <c r="ERH311" s="890"/>
      <c r="ERT311" s="890"/>
      <c r="ERU311" s="890"/>
      <c r="ESG311" s="890"/>
      <c r="ESH311" s="890"/>
      <c r="EST311" s="890"/>
      <c r="ESU311" s="890"/>
      <c r="ETG311" s="890"/>
      <c r="ETH311" s="890"/>
      <c r="ETT311" s="890"/>
      <c r="ETU311" s="890"/>
      <c r="EUG311" s="890"/>
      <c r="EUH311" s="890"/>
      <c r="EUT311" s="890"/>
      <c r="EUU311" s="890"/>
      <c r="EVG311" s="890"/>
      <c r="EVH311" s="890"/>
      <c r="EVT311" s="890"/>
      <c r="EVU311" s="890"/>
      <c r="EWG311" s="890"/>
      <c r="EWH311" s="890"/>
      <c r="EWT311" s="890"/>
      <c r="EWU311" s="890"/>
      <c r="EXG311" s="890"/>
      <c r="EXH311" s="890"/>
      <c r="EXT311" s="890"/>
      <c r="EXU311" s="890"/>
      <c r="EYG311" s="890"/>
      <c r="EYH311" s="890"/>
      <c r="EYT311" s="890"/>
      <c r="EYU311" s="890"/>
      <c r="EZG311" s="890"/>
      <c r="EZH311" s="890"/>
      <c r="EZT311" s="890"/>
      <c r="EZU311" s="890"/>
      <c r="FAG311" s="890"/>
      <c r="FAH311" s="890"/>
      <c r="FAT311" s="890"/>
      <c r="FAU311" s="890"/>
      <c r="FBG311" s="890"/>
      <c r="FBH311" s="890"/>
      <c r="FBT311" s="890"/>
      <c r="FBU311" s="890"/>
      <c r="FCG311" s="890"/>
      <c r="FCH311" s="890"/>
      <c r="FCT311" s="890"/>
      <c r="FCU311" s="890"/>
      <c r="FDG311" s="890"/>
      <c r="FDH311" s="890"/>
      <c r="FDT311" s="890"/>
      <c r="FDU311" s="890"/>
      <c r="FEG311" s="890"/>
      <c r="FEH311" s="890"/>
      <c r="FET311" s="890"/>
      <c r="FEU311" s="890"/>
      <c r="FFG311" s="890"/>
      <c r="FFH311" s="890"/>
      <c r="FFT311" s="890"/>
      <c r="FFU311" s="890"/>
      <c r="FGG311" s="890"/>
      <c r="FGH311" s="890"/>
      <c r="FGT311" s="890"/>
      <c r="FGU311" s="890"/>
      <c r="FHG311" s="890"/>
      <c r="FHH311" s="890"/>
      <c r="FHT311" s="890"/>
      <c r="FHU311" s="890"/>
      <c r="FIG311" s="890"/>
      <c r="FIH311" s="890"/>
      <c r="FIT311" s="890"/>
      <c r="FIU311" s="890"/>
      <c r="FJG311" s="890"/>
      <c r="FJH311" s="890"/>
      <c r="FJT311" s="890"/>
      <c r="FJU311" s="890"/>
      <c r="FKG311" s="890"/>
      <c r="FKH311" s="890"/>
      <c r="FKT311" s="890"/>
      <c r="FKU311" s="890"/>
      <c r="FLG311" s="890"/>
      <c r="FLH311" s="890"/>
      <c r="FLT311" s="890"/>
      <c r="FLU311" s="890"/>
      <c r="FMG311" s="890"/>
      <c r="FMH311" s="890"/>
      <c r="FMT311" s="890"/>
      <c r="FMU311" s="890"/>
      <c r="FNG311" s="890"/>
      <c r="FNH311" s="890"/>
      <c r="FNT311" s="890"/>
      <c r="FNU311" s="890"/>
      <c r="FOG311" s="890"/>
      <c r="FOH311" s="890"/>
      <c r="FOT311" s="890"/>
      <c r="FOU311" s="890"/>
      <c r="FPG311" s="890"/>
      <c r="FPH311" s="890"/>
      <c r="FPT311" s="890"/>
      <c r="FPU311" s="890"/>
      <c r="FQG311" s="890"/>
      <c r="FQH311" s="890"/>
      <c r="FQT311" s="890"/>
      <c r="FQU311" s="890"/>
      <c r="FRG311" s="890"/>
      <c r="FRH311" s="890"/>
      <c r="FRT311" s="890"/>
      <c r="FRU311" s="890"/>
      <c r="FSG311" s="890"/>
      <c r="FSH311" s="890"/>
      <c r="FST311" s="890"/>
      <c r="FSU311" s="890"/>
      <c r="FTG311" s="890"/>
      <c r="FTH311" s="890"/>
      <c r="FTT311" s="890"/>
      <c r="FTU311" s="890"/>
      <c r="FUG311" s="890"/>
      <c r="FUH311" s="890"/>
      <c r="FUT311" s="890"/>
      <c r="FUU311" s="890"/>
      <c r="FVG311" s="890"/>
      <c r="FVH311" s="890"/>
      <c r="FVT311" s="890"/>
      <c r="FVU311" s="890"/>
      <c r="FWG311" s="890"/>
      <c r="FWH311" s="890"/>
      <c r="FWT311" s="890"/>
      <c r="FWU311" s="890"/>
      <c r="FXG311" s="890"/>
      <c r="FXH311" s="890"/>
      <c r="FXT311" s="890"/>
      <c r="FXU311" s="890"/>
      <c r="FYG311" s="890"/>
      <c r="FYH311" s="890"/>
      <c r="FYT311" s="890"/>
      <c r="FYU311" s="890"/>
      <c r="FZG311" s="890"/>
      <c r="FZH311" s="890"/>
      <c r="FZT311" s="890"/>
      <c r="FZU311" s="890"/>
      <c r="GAG311" s="890"/>
      <c r="GAH311" s="890"/>
      <c r="GAT311" s="890"/>
      <c r="GAU311" s="890"/>
      <c r="GBG311" s="890"/>
      <c r="GBH311" s="890"/>
      <c r="GBT311" s="890"/>
      <c r="GBU311" s="890"/>
      <c r="GCG311" s="890"/>
      <c r="GCH311" s="890"/>
      <c r="GCT311" s="890"/>
      <c r="GCU311" s="890"/>
      <c r="GDG311" s="890"/>
      <c r="GDH311" s="890"/>
      <c r="GDT311" s="890"/>
      <c r="GDU311" s="890"/>
      <c r="GEG311" s="890"/>
      <c r="GEH311" s="890"/>
      <c r="GET311" s="890"/>
      <c r="GEU311" s="890"/>
      <c r="GFG311" s="890"/>
      <c r="GFH311" s="890"/>
      <c r="GFT311" s="890"/>
      <c r="GFU311" s="890"/>
      <c r="GGG311" s="890"/>
      <c r="GGH311" s="890"/>
      <c r="GGT311" s="890"/>
      <c r="GGU311" s="890"/>
      <c r="GHG311" s="890"/>
      <c r="GHH311" s="890"/>
      <c r="GHT311" s="890"/>
      <c r="GHU311" s="890"/>
      <c r="GIG311" s="890"/>
      <c r="GIH311" s="890"/>
      <c r="GIT311" s="890"/>
      <c r="GIU311" s="890"/>
      <c r="GJG311" s="890"/>
      <c r="GJH311" s="890"/>
      <c r="GJT311" s="890"/>
      <c r="GJU311" s="890"/>
      <c r="GKG311" s="890"/>
      <c r="GKH311" s="890"/>
      <c r="GKT311" s="890"/>
      <c r="GKU311" s="890"/>
      <c r="GLG311" s="890"/>
      <c r="GLH311" s="890"/>
      <c r="GLT311" s="890"/>
      <c r="GLU311" s="890"/>
      <c r="GMG311" s="890"/>
      <c r="GMH311" s="890"/>
      <c r="GMT311" s="890"/>
      <c r="GMU311" s="890"/>
      <c r="GNG311" s="890"/>
      <c r="GNH311" s="890"/>
      <c r="GNT311" s="890"/>
      <c r="GNU311" s="890"/>
      <c r="GOG311" s="890"/>
      <c r="GOH311" s="890"/>
      <c r="GOT311" s="890"/>
      <c r="GOU311" s="890"/>
      <c r="GPG311" s="890"/>
      <c r="GPH311" s="890"/>
      <c r="GPT311" s="890"/>
      <c r="GPU311" s="890"/>
      <c r="GQG311" s="890"/>
      <c r="GQH311" s="890"/>
      <c r="GQT311" s="890"/>
      <c r="GQU311" s="890"/>
      <c r="GRG311" s="890"/>
      <c r="GRH311" s="890"/>
      <c r="GRT311" s="890"/>
      <c r="GRU311" s="890"/>
      <c r="GSG311" s="890"/>
      <c r="GSH311" s="890"/>
      <c r="GST311" s="890"/>
      <c r="GSU311" s="890"/>
      <c r="GTG311" s="890"/>
      <c r="GTH311" s="890"/>
      <c r="GTT311" s="890"/>
      <c r="GTU311" s="890"/>
      <c r="GUG311" s="890"/>
      <c r="GUH311" s="890"/>
      <c r="GUT311" s="890"/>
      <c r="GUU311" s="890"/>
      <c r="GVG311" s="890"/>
      <c r="GVH311" s="890"/>
      <c r="GVT311" s="890"/>
      <c r="GVU311" s="890"/>
      <c r="GWG311" s="890"/>
      <c r="GWH311" s="890"/>
      <c r="GWT311" s="890"/>
      <c r="GWU311" s="890"/>
      <c r="GXG311" s="890"/>
      <c r="GXH311" s="890"/>
      <c r="GXT311" s="890"/>
      <c r="GXU311" s="890"/>
      <c r="GYG311" s="890"/>
      <c r="GYH311" s="890"/>
      <c r="GYT311" s="890"/>
      <c r="GYU311" s="890"/>
      <c r="GZG311" s="890"/>
      <c r="GZH311" s="890"/>
      <c r="GZT311" s="890"/>
      <c r="GZU311" s="890"/>
      <c r="HAG311" s="890"/>
      <c r="HAH311" s="890"/>
      <c r="HAT311" s="890"/>
      <c r="HAU311" s="890"/>
      <c r="HBG311" s="890"/>
      <c r="HBH311" s="890"/>
      <c r="HBT311" s="890"/>
      <c r="HBU311" s="890"/>
      <c r="HCG311" s="890"/>
      <c r="HCH311" s="890"/>
      <c r="HCT311" s="890"/>
      <c r="HCU311" s="890"/>
      <c r="HDG311" s="890"/>
      <c r="HDH311" s="890"/>
      <c r="HDT311" s="890"/>
      <c r="HDU311" s="890"/>
      <c r="HEG311" s="890"/>
      <c r="HEH311" s="890"/>
      <c r="HET311" s="890"/>
      <c r="HEU311" s="890"/>
      <c r="HFG311" s="890"/>
      <c r="HFH311" s="890"/>
      <c r="HFT311" s="890"/>
      <c r="HFU311" s="890"/>
      <c r="HGG311" s="890"/>
      <c r="HGH311" s="890"/>
      <c r="HGT311" s="890"/>
      <c r="HGU311" s="890"/>
      <c r="HHG311" s="890"/>
      <c r="HHH311" s="890"/>
      <c r="HHT311" s="890"/>
      <c r="HHU311" s="890"/>
      <c r="HIG311" s="890"/>
      <c r="HIH311" s="890"/>
      <c r="HIT311" s="890"/>
      <c r="HIU311" s="890"/>
      <c r="HJG311" s="890"/>
      <c r="HJH311" s="890"/>
      <c r="HJT311" s="890"/>
      <c r="HJU311" s="890"/>
      <c r="HKG311" s="890"/>
      <c r="HKH311" s="890"/>
      <c r="HKT311" s="890"/>
      <c r="HKU311" s="890"/>
      <c r="HLG311" s="890"/>
      <c r="HLH311" s="890"/>
      <c r="HLT311" s="890"/>
      <c r="HLU311" s="890"/>
      <c r="HMG311" s="890"/>
      <c r="HMH311" s="890"/>
      <c r="HMT311" s="890"/>
      <c r="HMU311" s="890"/>
      <c r="HNG311" s="890"/>
      <c r="HNH311" s="890"/>
      <c r="HNT311" s="890"/>
      <c r="HNU311" s="890"/>
      <c r="HOG311" s="890"/>
      <c r="HOH311" s="890"/>
      <c r="HOT311" s="890"/>
      <c r="HOU311" s="890"/>
      <c r="HPG311" s="890"/>
      <c r="HPH311" s="890"/>
      <c r="HPT311" s="890"/>
      <c r="HPU311" s="890"/>
      <c r="HQG311" s="890"/>
      <c r="HQH311" s="890"/>
      <c r="HQT311" s="890"/>
      <c r="HQU311" s="890"/>
      <c r="HRG311" s="890"/>
      <c r="HRH311" s="890"/>
      <c r="HRT311" s="890"/>
      <c r="HRU311" s="890"/>
      <c r="HSG311" s="890"/>
      <c r="HSH311" s="890"/>
      <c r="HST311" s="890"/>
      <c r="HSU311" s="890"/>
      <c r="HTG311" s="890"/>
      <c r="HTH311" s="890"/>
      <c r="HTT311" s="890"/>
      <c r="HTU311" s="890"/>
      <c r="HUG311" s="890"/>
      <c r="HUH311" s="890"/>
      <c r="HUT311" s="890"/>
      <c r="HUU311" s="890"/>
      <c r="HVG311" s="890"/>
      <c r="HVH311" s="890"/>
      <c r="HVT311" s="890"/>
      <c r="HVU311" s="890"/>
      <c r="HWG311" s="890"/>
      <c r="HWH311" s="890"/>
      <c r="HWT311" s="890"/>
      <c r="HWU311" s="890"/>
      <c r="HXG311" s="890"/>
      <c r="HXH311" s="890"/>
      <c r="HXT311" s="890"/>
      <c r="HXU311" s="890"/>
      <c r="HYG311" s="890"/>
      <c r="HYH311" s="890"/>
      <c r="HYT311" s="890"/>
      <c r="HYU311" s="890"/>
      <c r="HZG311" s="890"/>
      <c r="HZH311" s="890"/>
      <c r="HZT311" s="890"/>
      <c r="HZU311" s="890"/>
      <c r="IAG311" s="890"/>
      <c r="IAH311" s="890"/>
      <c r="IAT311" s="890"/>
      <c r="IAU311" s="890"/>
      <c r="IBG311" s="890"/>
      <c r="IBH311" s="890"/>
      <c r="IBT311" s="890"/>
      <c r="IBU311" s="890"/>
      <c r="ICG311" s="890"/>
      <c r="ICH311" s="890"/>
      <c r="ICT311" s="890"/>
      <c r="ICU311" s="890"/>
      <c r="IDG311" s="890"/>
      <c r="IDH311" s="890"/>
      <c r="IDT311" s="890"/>
      <c r="IDU311" s="890"/>
      <c r="IEG311" s="890"/>
      <c r="IEH311" s="890"/>
      <c r="IET311" s="890"/>
      <c r="IEU311" s="890"/>
      <c r="IFG311" s="890"/>
      <c r="IFH311" s="890"/>
      <c r="IFT311" s="890"/>
      <c r="IFU311" s="890"/>
      <c r="IGG311" s="890"/>
      <c r="IGH311" s="890"/>
      <c r="IGT311" s="890"/>
      <c r="IGU311" s="890"/>
      <c r="IHG311" s="890"/>
      <c r="IHH311" s="890"/>
      <c r="IHT311" s="890"/>
      <c r="IHU311" s="890"/>
      <c r="IIG311" s="890"/>
      <c r="IIH311" s="890"/>
      <c r="IIT311" s="890"/>
      <c r="IIU311" s="890"/>
      <c r="IJG311" s="890"/>
      <c r="IJH311" s="890"/>
      <c r="IJT311" s="890"/>
      <c r="IJU311" s="890"/>
      <c r="IKG311" s="890"/>
      <c r="IKH311" s="890"/>
      <c r="IKT311" s="890"/>
      <c r="IKU311" s="890"/>
      <c r="ILG311" s="890"/>
      <c r="ILH311" s="890"/>
      <c r="ILT311" s="890"/>
      <c r="ILU311" s="890"/>
      <c r="IMG311" s="890"/>
      <c r="IMH311" s="890"/>
      <c r="IMT311" s="890"/>
      <c r="IMU311" s="890"/>
      <c r="ING311" s="890"/>
      <c r="INH311" s="890"/>
      <c r="INT311" s="890"/>
      <c r="INU311" s="890"/>
      <c r="IOG311" s="890"/>
      <c r="IOH311" s="890"/>
      <c r="IOT311" s="890"/>
      <c r="IOU311" s="890"/>
      <c r="IPG311" s="890"/>
      <c r="IPH311" s="890"/>
      <c r="IPT311" s="890"/>
      <c r="IPU311" s="890"/>
      <c r="IQG311" s="890"/>
      <c r="IQH311" s="890"/>
      <c r="IQT311" s="890"/>
      <c r="IQU311" s="890"/>
      <c r="IRG311" s="890"/>
      <c r="IRH311" s="890"/>
      <c r="IRT311" s="890"/>
      <c r="IRU311" s="890"/>
      <c r="ISG311" s="890"/>
      <c r="ISH311" s="890"/>
      <c r="IST311" s="890"/>
      <c r="ISU311" s="890"/>
      <c r="ITG311" s="890"/>
      <c r="ITH311" s="890"/>
      <c r="ITT311" s="890"/>
      <c r="ITU311" s="890"/>
      <c r="IUG311" s="890"/>
      <c r="IUH311" s="890"/>
      <c r="IUT311" s="890"/>
      <c r="IUU311" s="890"/>
      <c r="IVG311" s="890"/>
      <c r="IVH311" s="890"/>
      <c r="IVT311" s="890"/>
      <c r="IVU311" s="890"/>
      <c r="IWG311" s="890"/>
      <c r="IWH311" s="890"/>
      <c r="IWT311" s="890"/>
      <c r="IWU311" s="890"/>
      <c r="IXG311" s="890"/>
      <c r="IXH311" s="890"/>
      <c r="IXT311" s="890"/>
      <c r="IXU311" s="890"/>
      <c r="IYG311" s="890"/>
      <c r="IYH311" s="890"/>
      <c r="IYT311" s="890"/>
      <c r="IYU311" s="890"/>
      <c r="IZG311" s="890"/>
      <c r="IZH311" s="890"/>
      <c r="IZT311" s="890"/>
      <c r="IZU311" s="890"/>
      <c r="JAG311" s="890"/>
      <c r="JAH311" s="890"/>
      <c r="JAT311" s="890"/>
      <c r="JAU311" s="890"/>
      <c r="JBG311" s="890"/>
      <c r="JBH311" s="890"/>
      <c r="JBT311" s="890"/>
      <c r="JBU311" s="890"/>
      <c r="JCG311" s="890"/>
      <c r="JCH311" s="890"/>
      <c r="JCT311" s="890"/>
      <c r="JCU311" s="890"/>
      <c r="JDG311" s="890"/>
      <c r="JDH311" s="890"/>
      <c r="JDT311" s="890"/>
      <c r="JDU311" s="890"/>
      <c r="JEG311" s="890"/>
      <c r="JEH311" s="890"/>
      <c r="JET311" s="890"/>
      <c r="JEU311" s="890"/>
      <c r="JFG311" s="890"/>
      <c r="JFH311" s="890"/>
      <c r="JFT311" s="890"/>
      <c r="JFU311" s="890"/>
      <c r="JGG311" s="890"/>
      <c r="JGH311" s="890"/>
      <c r="JGT311" s="890"/>
      <c r="JGU311" s="890"/>
      <c r="JHG311" s="890"/>
      <c r="JHH311" s="890"/>
      <c r="JHT311" s="890"/>
      <c r="JHU311" s="890"/>
      <c r="JIG311" s="890"/>
      <c r="JIH311" s="890"/>
      <c r="JIT311" s="890"/>
      <c r="JIU311" s="890"/>
      <c r="JJG311" s="890"/>
      <c r="JJH311" s="890"/>
      <c r="JJT311" s="890"/>
      <c r="JJU311" s="890"/>
      <c r="JKG311" s="890"/>
      <c r="JKH311" s="890"/>
      <c r="JKT311" s="890"/>
      <c r="JKU311" s="890"/>
      <c r="JLG311" s="890"/>
      <c r="JLH311" s="890"/>
      <c r="JLT311" s="890"/>
      <c r="JLU311" s="890"/>
      <c r="JMG311" s="890"/>
      <c r="JMH311" s="890"/>
      <c r="JMT311" s="890"/>
      <c r="JMU311" s="890"/>
      <c r="JNG311" s="890"/>
      <c r="JNH311" s="890"/>
      <c r="JNT311" s="890"/>
      <c r="JNU311" s="890"/>
      <c r="JOG311" s="890"/>
      <c r="JOH311" s="890"/>
      <c r="JOT311" s="890"/>
      <c r="JOU311" s="890"/>
      <c r="JPG311" s="890"/>
      <c r="JPH311" s="890"/>
      <c r="JPT311" s="890"/>
      <c r="JPU311" s="890"/>
      <c r="JQG311" s="890"/>
      <c r="JQH311" s="890"/>
      <c r="JQT311" s="890"/>
      <c r="JQU311" s="890"/>
      <c r="JRG311" s="890"/>
      <c r="JRH311" s="890"/>
      <c r="JRT311" s="890"/>
      <c r="JRU311" s="890"/>
      <c r="JSG311" s="890"/>
      <c r="JSH311" s="890"/>
      <c r="JST311" s="890"/>
      <c r="JSU311" s="890"/>
      <c r="JTG311" s="890"/>
      <c r="JTH311" s="890"/>
      <c r="JTT311" s="890"/>
      <c r="JTU311" s="890"/>
      <c r="JUG311" s="890"/>
      <c r="JUH311" s="890"/>
      <c r="JUT311" s="890"/>
      <c r="JUU311" s="890"/>
      <c r="JVG311" s="890"/>
      <c r="JVH311" s="890"/>
      <c r="JVT311" s="890"/>
      <c r="JVU311" s="890"/>
      <c r="JWG311" s="890"/>
      <c r="JWH311" s="890"/>
      <c r="JWT311" s="890"/>
      <c r="JWU311" s="890"/>
      <c r="JXG311" s="890"/>
      <c r="JXH311" s="890"/>
      <c r="JXT311" s="890"/>
      <c r="JXU311" s="890"/>
      <c r="JYG311" s="890"/>
      <c r="JYH311" s="890"/>
      <c r="JYT311" s="890"/>
      <c r="JYU311" s="890"/>
      <c r="JZG311" s="890"/>
      <c r="JZH311" s="890"/>
      <c r="JZT311" s="890"/>
      <c r="JZU311" s="890"/>
      <c r="KAG311" s="890"/>
      <c r="KAH311" s="890"/>
      <c r="KAT311" s="890"/>
      <c r="KAU311" s="890"/>
      <c r="KBG311" s="890"/>
      <c r="KBH311" s="890"/>
      <c r="KBT311" s="890"/>
      <c r="KBU311" s="890"/>
      <c r="KCG311" s="890"/>
      <c r="KCH311" s="890"/>
      <c r="KCT311" s="890"/>
      <c r="KCU311" s="890"/>
      <c r="KDG311" s="890"/>
      <c r="KDH311" s="890"/>
      <c r="KDT311" s="890"/>
      <c r="KDU311" s="890"/>
      <c r="KEG311" s="890"/>
      <c r="KEH311" s="890"/>
      <c r="KET311" s="890"/>
      <c r="KEU311" s="890"/>
      <c r="KFG311" s="890"/>
      <c r="KFH311" s="890"/>
      <c r="KFT311" s="890"/>
      <c r="KFU311" s="890"/>
      <c r="KGG311" s="890"/>
      <c r="KGH311" s="890"/>
      <c r="KGT311" s="890"/>
      <c r="KGU311" s="890"/>
      <c r="KHG311" s="890"/>
      <c r="KHH311" s="890"/>
      <c r="KHT311" s="890"/>
      <c r="KHU311" s="890"/>
      <c r="KIG311" s="890"/>
      <c r="KIH311" s="890"/>
      <c r="KIT311" s="890"/>
      <c r="KIU311" s="890"/>
      <c r="KJG311" s="890"/>
      <c r="KJH311" s="890"/>
      <c r="KJT311" s="890"/>
      <c r="KJU311" s="890"/>
      <c r="KKG311" s="890"/>
      <c r="KKH311" s="890"/>
      <c r="KKT311" s="890"/>
      <c r="KKU311" s="890"/>
      <c r="KLG311" s="890"/>
      <c r="KLH311" s="890"/>
      <c r="KLT311" s="890"/>
      <c r="KLU311" s="890"/>
      <c r="KMG311" s="890"/>
      <c r="KMH311" s="890"/>
      <c r="KMT311" s="890"/>
      <c r="KMU311" s="890"/>
      <c r="KNG311" s="890"/>
      <c r="KNH311" s="890"/>
      <c r="KNT311" s="890"/>
      <c r="KNU311" s="890"/>
      <c r="KOG311" s="890"/>
      <c r="KOH311" s="890"/>
      <c r="KOT311" s="890"/>
      <c r="KOU311" s="890"/>
      <c r="KPG311" s="890"/>
      <c r="KPH311" s="890"/>
      <c r="KPT311" s="890"/>
      <c r="KPU311" s="890"/>
      <c r="KQG311" s="890"/>
      <c r="KQH311" s="890"/>
      <c r="KQT311" s="890"/>
      <c r="KQU311" s="890"/>
      <c r="KRG311" s="890"/>
      <c r="KRH311" s="890"/>
      <c r="KRT311" s="890"/>
      <c r="KRU311" s="890"/>
      <c r="KSG311" s="890"/>
      <c r="KSH311" s="890"/>
      <c r="KST311" s="890"/>
      <c r="KSU311" s="890"/>
      <c r="KTG311" s="890"/>
      <c r="KTH311" s="890"/>
      <c r="KTT311" s="890"/>
      <c r="KTU311" s="890"/>
      <c r="KUG311" s="890"/>
      <c r="KUH311" s="890"/>
      <c r="KUT311" s="890"/>
      <c r="KUU311" s="890"/>
      <c r="KVG311" s="890"/>
      <c r="KVH311" s="890"/>
      <c r="KVT311" s="890"/>
      <c r="KVU311" s="890"/>
      <c r="KWG311" s="890"/>
      <c r="KWH311" s="890"/>
      <c r="KWT311" s="890"/>
      <c r="KWU311" s="890"/>
      <c r="KXG311" s="890"/>
      <c r="KXH311" s="890"/>
      <c r="KXT311" s="890"/>
      <c r="KXU311" s="890"/>
      <c r="KYG311" s="890"/>
      <c r="KYH311" s="890"/>
      <c r="KYT311" s="890"/>
      <c r="KYU311" s="890"/>
      <c r="KZG311" s="890"/>
      <c r="KZH311" s="890"/>
      <c r="KZT311" s="890"/>
      <c r="KZU311" s="890"/>
      <c r="LAG311" s="890"/>
      <c r="LAH311" s="890"/>
      <c r="LAT311" s="890"/>
      <c r="LAU311" s="890"/>
      <c r="LBG311" s="890"/>
      <c r="LBH311" s="890"/>
      <c r="LBT311" s="890"/>
      <c r="LBU311" s="890"/>
      <c r="LCG311" s="890"/>
      <c r="LCH311" s="890"/>
      <c r="LCT311" s="890"/>
      <c r="LCU311" s="890"/>
      <c r="LDG311" s="890"/>
      <c r="LDH311" s="890"/>
      <c r="LDT311" s="890"/>
      <c r="LDU311" s="890"/>
      <c r="LEG311" s="890"/>
      <c r="LEH311" s="890"/>
      <c r="LET311" s="890"/>
      <c r="LEU311" s="890"/>
      <c r="LFG311" s="890"/>
      <c r="LFH311" s="890"/>
      <c r="LFT311" s="890"/>
      <c r="LFU311" s="890"/>
      <c r="LGG311" s="890"/>
      <c r="LGH311" s="890"/>
      <c r="LGT311" s="890"/>
      <c r="LGU311" s="890"/>
      <c r="LHG311" s="890"/>
      <c r="LHH311" s="890"/>
      <c r="LHT311" s="890"/>
      <c r="LHU311" s="890"/>
      <c r="LIG311" s="890"/>
      <c r="LIH311" s="890"/>
      <c r="LIT311" s="890"/>
      <c r="LIU311" s="890"/>
      <c r="LJG311" s="890"/>
      <c r="LJH311" s="890"/>
      <c r="LJT311" s="890"/>
      <c r="LJU311" s="890"/>
      <c r="LKG311" s="890"/>
      <c r="LKH311" s="890"/>
      <c r="LKT311" s="890"/>
      <c r="LKU311" s="890"/>
      <c r="LLG311" s="890"/>
      <c r="LLH311" s="890"/>
      <c r="LLT311" s="890"/>
      <c r="LLU311" s="890"/>
      <c r="LMG311" s="890"/>
      <c r="LMH311" s="890"/>
      <c r="LMT311" s="890"/>
      <c r="LMU311" s="890"/>
      <c r="LNG311" s="890"/>
      <c r="LNH311" s="890"/>
      <c r="LNT311" s="890"/>
      <c r="LNU311" s="890"/>
      <c r="LOG311" s="890"/>
      <c r="LOH311" s="890"/>
      <c r="LOT311" s="890"/>
      <c r="LOU311" s="890"/>
      <c r="LPG311" s="890"/>
      <c r="LPH311" s="890"/>
      <c r="LPT311" s="890"/>
      <c r="LPU311" s="890"/>
      <c r="LQG311" s="890"/>
      <c r="LQH311" s="890"/>
      <c r="LQT311" s="890"/>
      <c r="LQU311" s="890"/>
      <c r="LRG311" s="890"/>
      <c r="LRH311" s="890"/>
      <c r="LRT311" s="890"/>
      <c r="LRU311" s="890"/>
      <c r="LSG311" s="890"/>
      <c r="LSH311" s="890"/>
      <c r="LST311" s="890"/>
      <c r="LSU311" s="890"/>
      <c r="LTG311" s="890"/>
      <c r="LTH311" s="890"/>
      <c r="LTT311" s="890"/>
      <c r="LTU311" s="890"/>
      <c r="LUG311" s="890"/>
      <c r="LUH311" s="890"/>
      <c r="LUT311" s="890"/>
      <c r="LUU311" s="890"/>
      <c r="LVG311" s="890"/>
      <c r="LVH311" s="890"/>
      <c r="LVT311" s="890"/>
      <c r="LVU311" s="890"/>
      <c r="LWG311" s="890"/>
      <c r="LWH311" s="890"/>
      <c r="LWT311" s="890"/>
      <c r="LWU311" s="890"/>
      <c r="LXG311" s="890"/>
      <c r="LXH311" s="890"/>
      <c r="LXT311" s="890"/>
      <c r="LXU311" s="890"/>
      <c r="LYG311" s="890"/>
      <c r="LYH311" s="890"/>
      <c r="LYT311" s="890"/>
      <c r="LYU311" s="890"/>
      <c r="LZG311" s="890"/>
      <c r="LZH311" s="890"/>
      <c r="LZT311" s="890"/>
      <c r="LZU311" s="890"/>
      <c r="MAG311" s="890"/>
      <c r="MAH311" s="890"/>
      <c r="MAT311" s="890"/>
      <c r="MAU311" s="890"/>
      <c r="MBG311" s="890"/>
      <c r="MBH311" s="890"/>
      <c r="MBT311" s="890"/>
      <c r="MBU311" s="890"/>
      <c r="MCG311" s="890"/>
      <c r="MCH311" s="890"/>
      <c r="MCT311" s="890"/>
      <c r="MCU311" s="890"/>
      <c r="MDG311" s="890"/>
      <c r="MDH311" s="890"/>
      <c r="MDT311" s="890"/>
      <c r="MDU311" s="890"/>
      <c r="MEG311" s="890"/>
      <c r="MEH311" s="890"/>
      <c r="MET311" s="890"/>
      <c r="MEU311" s="890"/>
      <c r="MFG311" s="890"/>
      <c r="MFH311" s="890"/>
      <c r="MFT311" s="890"/>
      <c r="MFU311" s="890"/>
      <c r="MGG311" s="890"/>
      <c r="MGH311" s="890"/>
      <c r="MGT311" s="890"/>
      <c r="MGU311" s="890"/>
      <c r="MHG311" s="890"/>
      <c r="MHH311" s="890"/>
      <c r="MHT311" s="890"/>
      <c r="MHU311" s="890"/>
      <c r="MIG311" s="890"/>
      <c r="MIH311" s="890"/>
      <c r="MIT311" s="890"/>
      <c r="MIU311" s="890"/>
      <c r="MJG311" s="890"/>
      <c r="MJH311" s="890"/>
      <c r="MJT311" s="890"/>
      <c r="MJU311" s="890"/>
      <c r="MKG311" s="890"/>
      <c r="MKH311" s="890"/>
      <c r="MKT311" s="890"/>
      <c r="MKU311" s="890"/>
      <c r="MLG311" s="890"/>
      <c r="MLH311" s="890"/>
      <c r="MLT311" s="890"/>
      <c r="MLU311" s="890"/>
      <c r="MMG311" s="890"/>
      <c r="MMH311" s="890"/>
      <c r="MMT311" s="890"/>
      <c r="MMU311" s="890"/>
      <c r="MNG311" s="890"/>
      <c r="MNH311" s="890"/>
      <c r="MNT311" s="890"/>
      <c r="MNU311" s="890"/>
      <c r="MOG311" s="890"/>
      <c r="MOH311" s="890"/>
      <c r="MOT311" s="890"/>
      <c r="MOU311" s="890"/>
      <c r="MPG311" s="890"/>
      <c r="MPH311" s="890"/>
      <c r="MPT311" s="890"/>
      <c r="MPU311" s="890"/>
      <c r="MQG311" s="890"/>
      <c r="MQH311" s="890"/>
      <c r="MQT311" s="890"/>
      <c r="MQU311" s="890"/>
      <c r="MRG311" s="890"/>
      <c r="MRH311" s="890"/>
      <c r="MRT311" s="890"/>
      <c r="MRU311" s="890"/>
      <c r="MSG311" s="890"/>
      <c r="MSH311" s="890"/>
      <c r="MST311" s="890"/>
      <c r="MSU311" s="890"/>
      <c r="MTG311" s="890"/>
      <c r="MTH311" s="890"/>
      <c r="MTT311" s="890"/>
      <c r="MTU311" s="890"/>
      <c r="MUG311" s="890"/>
      <c r="MUH311" s="890"/>
      <c r="MUT311" s="890"/>
      <c r="MUU311" s="890"/>
      <c r="MVG311" s="890"/>
      <c r="MVH311" s="890"/>
      <c r="MVT311" s="890"/>
      <c r="MVU311" s="890"/>
      <c r="MWG311" s="890"/>
      <c r="MWH311" s="890"/>
      <c r="MWT311" s="890"/>
      <c r="MWU311" s="890"/>
      <c r="MXG311" s="890"/>
      <c r="MXH311" s="890"/>
      <c r="MXT311" s="890"/>
      <c r="MXU311" s="890"/>
      <c r="MYG311" s="890"/>
      <c r="MYH311" s="890"/>
      <c r="MYT311" s="890"/>
      <c r="MYU311" s="890"/>
      <c r="MZG311" s="890"/>
      <c r="MZH311" s="890"/>
      <c r="MZT311" s="890"/>
      <c r="MZU311" s="890"/>
      <c r="NAG311" s="890"/>
      <c r="NAH311" s="890"/>
      <c r="NAT311" s="890"/>
      <c r="NAU311" s="890"/>
      <c r="NBG311" s="890"/>
      <c r="NBH311" s="890"/>
      <c r="NBT311" s="890"/>
      <c r="NBU311" s="890"/>
      <c r="NCG311" s="890"/>
      <c r="NCH311" s="890"/>
      <c r="NCT311" s="890"/>
      <c r="NCU311" s="890"/>
      <c r="NDG311" s="890"/>
      <c r="NDH311" s="890"/>
      <c r="NDT311" s="890"/>
      <c r="NDU311" s="890"/>
      <c r="NEG311" s="890"/>
      <c r="NEH311" s="890"/>
      <c r="NET311" s="890"/>
      <c r="NEU311" s="890"/>
      <c r="NFG311" s="890"/>
      <c r="NFH311" s="890"/>
      <c r="NFT311" s="890"/>
      <c r="NFU311" s="890"/>
      <c r="NGG311" s="890"/>
      <c r="NGH311" s="890"/>
      <c r="NGT311" s="890"/>
      <c r="NGU311" s="890"/>
      <c r="NHG311" s="890"/>
      <c r="NHH311" s="890"/>
      <c r="NHT311" s="890"/>
      <c r="NHU311" s="890"/>
      <c r="NIG311" s="890"/>
      <c r="NIH311" s="890"/>
      <c r="NIT311" s="890"/>
      <c r="NIU311" s="890"/>
      <c r="NJG311" s="890"/>
      <c r="NJH311" s="890"/>
      <c r="NJT311" s="890"/>
      <c r="NJU311" s="890"/>
      <c r="NKG311" s="890"/>
      <c r="NKH311" s="890"/>
      <c r="NKT311" s="890"/>
      <c r="NKU311" s="890"/>
      <c r="NLG311" s="890"/>
      <c r="NLH311" s="890"/>
      <c r="NLT311" s="890"/>
      <c r="NLU311" s="890"/>
      <c r="NMG311" s="890"/>
      <c r="NMH311" s="890"/>
      <c r="NMT311" s="890"/>
      <c r="NMU311" s="890"/>
      <c r="NNG311" s="890"/>
      <c r="NNH311" s="890"/>
      <c r="NNT311" s="890"/>
      <c r="NNU311" s="890"/>
      <c r="NOG311" s="890"/>
      <c r="NOH311" s="890"/>
      <c r="NOT311" s="890"/>
      <c r="NOU311" s="890"/>
      <c r="NPG311" s="890"/>
      <c r="NPH311" s="890"/>
      <c r="NPT311" s="890"/>
      <c r="NPU311" s="890"/>
      <c r="NQG311" s="890"/>
      <c r="NQH311" s="890"/>
      <c r="NQT311" s="890"/>
      <c r="NQU311" s="890"/>
      <c r="NRG311" s="890"/>
      <c r="NRH311" s="890"/>
      <c r="NRT311" s="890"/>
      <c r="NRU311" s="890"/>
      <c r="NSG311" s="890"/>
      <c r="NSH311" s="890"/>
      <c r="NST311" s="890"/>
      <c r="NSU311" s="890"/>
      <c r="NTG311" s="890"/>
      <c r="NTH311" s="890"/>
      <c r="NTT311" s="890"/>
      <c r="NTU311" s="890"/>
      <c r="NUG311" s="890"/>
      <c r="NUH311" s="890"/>
      <c r="NUT311" s="890"/>
      <c r="NUU311" s="890"/>
      <c r="NVG311" s="890"/>
      <c r="NVH311" s="890"/>
      <c r="NVT311" s="890"/>
      <c r="NVU311" s="890"/>
      <c r="NWG311" s="890"/>
      <c r="NWH311" s="890"/>
      <c r="NWT311" s="890"/>
      <c r="NWU311" s="890"/>
      <c r="NXG311" s="890"/>
      <c r="NXH311" s="890"/>
      <c r="NXT311" s="890"/>
      <c r="NXU311" s="890"/>
      <c r="NYG311" s="890"/>
      <c r="NYH311" s="890"/>
      <c r="NYT311" s="890"/>
      <c r="NYU311" s="890"/>
      <c r="NZG311" s="890"/>
      <c r="NZH311" s="890"/>
      <c r="NZT311" s="890"/>
      <c r="NZU311" s="890"/>
      <c r="OAG311" s="890"/>
      <c r="OAH311" s="890"/>
      <c r="OAT311" s="890"/>
      <c r="OAU311" s="890"/>
      <c r="OBG311" s="890"/>
      <c r="OBH311" s="890"/>
      <c r="OBT311" s="890"/>
      <c r="OBU311" s="890"/>
      <c r="OCG311" s="890"/>
      <c r="OCH311" s="890"/>
      <c r="OCT311" s="890"/>
      <c r="OCU311" s="890"/>
      <c r="ODG311" s="890"/>
      <c r="ODH311" s="890"/>
      <c r="ODT311" s="890"/>
      <c r="ODU311" s="890"/>
      <c r="OEG311" s="890"/>
      <c r="OEH311" s="890"/>
      <c r="OET311" s="890"/>
      <c r="OEU311" s="890"/>
      <c r="OFG311" s="890"/>
      <c r="OFH311" s="890"/>
      <c r="OFT311" s="890"/>
      <c r="OFU311" s="890"/>
      <c r="OGG311" s="890"/>
      <c r="OGH311" s="890"/>
      <c r="OGT311" s="890"/>
      <c r="OGU311" s="890"/>
      <c r="OHG311" s="890"/>
      <c r="OHH311" s="890"/>
      <c r="OHT311" s="890"/>
      <c r="OHU311" s="890"/>
      <c r="OIG311" s="890"/>
      <c r="OIH311" s="890"/>
      <c r="OIT311" s="890"/>
      <c r="OIU311" s="890"/>
      <c r="OJG311" s="890"/>
      <c r="OJH311" s="890"/>
      <c r="OJT311" s="890"/>
      <c r="OJU311" s="890"/>
      <c r="OKG311" s="890"/>
      <c r="OKH311" s="890"/>
      <c r="OKT311" s="890"/>
      <c r="OKU311" s="890"/>
      <c r="OLG311" s="890"/>
      <c r="OLH311" s="890"/>
      <c r="OLT311" s="890"/>
      <c r="OLU311" s="890"/>
      <c r="OMG311" s="890"/>
      <c r="OMH311" s="890"/>
      <c r="OMT311" s="890"/>
      <c r="OMU311" s="890"/>
      <c r="ONG311" s="890"/>
      <c r="ONH311" s="890"/>
      <c r="ONT311" s="890"/>
      <c r="ONU311" s="890"/>
      <c r="OOG311" s="890"/>
      <c r="OOH311" s="890"/>
      <c r="OOT311" s="890"/>
      <c r="OOU311" s="890"/>
      <c r="OPG311" s="890"/>
      <c r="OPH311" s="890"/>
      <c r="OPT311" s="890"/>
      <c r="OPU311" s="890"/>
      <c r="OQG311" s="890"/>
      <c r="OQH311" s="890"/>
      <c r="OQT311" s="890"/>
      <c r="OQU311" s="890"/>
      <c r="ORG311" s="890"/>
      <c r="ORH311" s="890"/>
      <c r="ORT311" s="890"/>
      <c r="ORU311" s="890"/>
      <c r="OSG311" s="890"/>
      <c r="OSH311" s="890"/>
      <c r="OST311" s="890"/>
      <c r="OSU311" s="890"/>
      <c r="OTG311" s="890"/>
      <c r="OTH311" s="890"/>
      <c r="OTT311" s="890"/>
      <c r="OTU311" s="890"/>
      <c r="OUG311" s="890"/>
      <c r="OUH311" s="890"/>
      <c r="OUT311" s="890"/>
      <c r="OUU311" s="890"/>
      <c r="OVG311" s="890"/>
      <c r="OVH311" s="890"/>
      <c r="OVT311" s="890"/>
      <c r="OVU311" s="890"/>
      <c r="OWG311" s="890"/>
      <c r="OWH311" s="890"/>
      <c r="OWT311" s="890"/>
      <c r="OWU311" s="890"/>
      <c r="OXG311" s="890"/>
      <c r="OXH311" s="890"/>
      <c r="OXT311" s="890"/>
      <c r="OXU311" s="890"/>
      <c r="OYG311" s="890"/>
      <c r="OYH311" s="890"/>
      <c r="OYT311" s="890"/>
      <c r="OYU311" s="890"/>
      <c r="OZG311" s="890"/>
      <c r="OZH311" s="890"/>
      <c r="OZT311" s="890"/>
      <c r="OZU311" s="890"/>
      <c r="PAG311" s="890"/>
      <c r="PAH311" s="890"/>
      <c r="PAT311" s="890"/>
      <c r="PAU311" s="890"/>
      <c r="PBG311" s="890"/>
      <c r="PBH311" s="890"/>
      <c r="PBT311" s="890"/>
      <c r="PBU311" s="890"/>
      <c r="PCG311" s="890"/>
      <c r="PCH311" s="890"/>
      <c r="PCT311" s="890"/>
      <c r="PCU311" s="890"/>
      <c r="PDG311" s="890"/>
      <c r="PDH311" s="890"/>
      <c r="PDT311" s="890"/>
      <c r="PDU311" s="890"/>
      <c r="PEG311" s="890"/>
      <c r="PEH311" s="890"/>
      <c r="PET311" s="890"/>
      <c r="PEU311" s="890"/>
      <c r="PFG311" s="890"/>
      <c r="PFH311" s="890"/>
      <c r="PFT311" s="890"/>
      <c r="PFU311" s="890"/>
      <c r="PGG311" s="890"/>
      <c r="PGH311" s="890"/>
      <c r="PGT311" s="890"/>
      <c r="PGU311" s="890"/>
      <c r="PHG311" s="890"/>
      <c r="PHH311" s="890"/>
      <c r="PHT311" s="890"/>
      <c r="PHU311" s="890"/>
      <c r="PIG311" s="890"/>
      <c r="PIH311" s="890"/>
      <c r="PIT311" s="890"/>
      <c r="PIU311" s="890"/>
      <c r="PJG311" s="890"/>
      <c r="PJH311" s="890"/>
      <c r="PJT311" s="890"/>
      <c r="PJU311" s="890"/>
      <c r="PKG311" s="890"/>
      <c r="PKH311" s="890"/>
      <c r="PKT311" s="890"/>
      <c r="PKU311" s="890"/>
      <c r="PLG311" s="890"/>
      <c r="PLH311" s="890"/>
      <c r="PLT311" s="890"/>
      <c r="PLU311" s="890"/>
      <c r="PMG311" s="890"/>
      <c r="PMH311" s="890"/>
      <c r="PMT311" s="890"/>
      <c r="PMU311" s="890"/>
      <c r="PNG311" s="890"/>
      <c r="PNH311" s="890"/>
      <c r="PNT311" s="890"/>
      <c r="PNU311" s="890"/>
      <c r="POG311" s="890"/>
      <c r="POH311" s="890"/>
      <c r="POT311" s="890"/>
      <c r="POU311" s="890"/>
      <c r="PPG311" s="890"/>
      <c r="PPH311" s="890"/>
      <c r="PPT311" s="890"/>
      <c r="PPU311" s="890"/>
      <c r="PQG311" s="890"/>
      <c r="PQH311" s="890"/>
      <c r="PQT311" s="890"/>
      <c r="PQU311" s="890"/>
      <c r="PRG311" s="890"/>
      <c r="PRH311" s="890"/>
      <c r="PRT311" s="890"/>
      <c r="PRU311" s="890"/>
      <c r="PSG311" s="890"/>
      <c r="PSH311" s="890"/>
      <c r="PST311" s="890"/>
      <c r="PSU311" s="890"/>
      <c r="PTG311" s="890"/>
      <c r="PTH311" s="890"/>
      <c r="PTT311" s="890"/>
      <c r="PTU311" s="890"/>
      <c r="PUG311" s="890"/>
      <c r="PUH311" s="890"/>
      <c r="PUT311" s="890"/>
      <c r="PUU311" s="890"/>
      <c r="PVG311" s="890"/>
      <c r="PVH311" s="890"/>
      <c r="PVT311" s="890"/>
      <c r="PVU311" s="890"/>
      <c r="PWG311" s="890"/>
      <c r="PWH311" s="890"/>
      <c r="PWT311" s="890"/>
      <c r="PWU311" s="890"/>
      <c r="PXG311" s="890"/>
      <c r="PXH311" s="890"/>
      <c r="PXT311" s="890"/>
      <c r="PXU311" s="890"/>
      <c r="PYG311" s="890"/>
      <c r="PYH311" s="890"/>
      <c r="PYT311" s="890"/>
      <c r="PYU311" s="890"/>
      <c r="PZG311" s="890"/>
      <c r="PZH311" s="890"/>
      <c r="PZT311" s="890"/>
      <c r="PZU311" s="890"/>
      <c r="QAG311" s="890"/>
      <c r="QAH311" s="890"/>
      <c r="QAT311" s="890"/>
      <c r="QAU311" s="890"/>
      <c r="QBG311" s="890"/>
      <c r="QBH311" s="890"/>
      <c r="QBT311" s="890"/>
      <c r="QBU311" s="890"/>
      <c r="QCG311" s="890"/>
      <c r="QCH311" s="890"/>
      <c r="QCT311" s="890"/>
      <c r="QCU311" s="890"/>
      <c r="QDG311" s="890"/>
      <c r="QDH311" s="890"/>
      <c r="QDT311" s="890"/>
      <c r="QDU311" s="890"/>
      <c r="QEG311" s="890"/>
      <c r="QEH311" s="890"/>
      <c r="QET311" s="890"/>
      <c r="QEU311" s="890"/>
      <c r="QFG311" s="890"/>
      <c r="QFH311" s="890"/>
      <c r="QFT311" s="890"/>
      <c r="QFU311" s="890"/>
      <c r="QGG311" s="890"/>
      <c r="QGH311" s="890"/>
      <c r="QGT311" s="890"/>
      <c r="QGU311" s="890"/>
      <c r="QHG311" s="890"/>
      <c r="QHH311" s="890"/>
      <c r="QHT311" s="890"/>
      <c r="QHU311" s="890"/>
      <c r="QIG311" s="890"/>
      <c r="QIH311" s="890"/>
      <c r="QIT311" s="890"/>
      <c r="QIU311" s="890"/>
      <c r="QJG311" s="890"/>
      <c r="QJH311" s="890"/>
      <c r="QJT311" s="890"/>
      <c r="QJU311" s="890"/>
      <c r="QKG311" s="890"/>
      <c r="QKH311" s="890"/>
      <c r="QKT311" s="890"/>
      <c r="QKU311" s="890"/>
      <c r="QLG311" s="890"/>
      <c r="QLH311" s="890"/>
      <c r="QLT311" s="890"/>
      <c r="QLU311" s="890"/>
      <c r="QMG311" s="890"/>
      <c r="QMH311" s="890"/>
      <c r="QMT311" s="890"/>
      <c r="QMU311" s="890"/>
      <c r="QNG311" s="890"/>
      <c r="QNH311" s="890"/>
      <c r="QNT311" s="890"/>
      <c r="QNU311" s="890"/>
      <c r="QOG311" s="890"/>
      <c r="QOH311" s="890"/>
      <c r="QOT311" s="890"/>
      <c r="QOU311" s="890"/>
      <c r="QPG311" s="890"/>
      <c r="QPH311" s="890"/>
      <c r="QPT311" s="890"/>
      <c r="QPU311" s="890"/>
      <c r="QQG311" s="890"/>
      <c r="QQH311" s="890"/>
      <c r="QQT311" s="890"/>
      <c r="QQU311" s="890"/>
      <c r="QRG311" s="890"/>
      <c r="QRH311" s="890"/>
      <c r="QRT311" s="890"/>
      <c r="QRU311" s="890"/>
      <c r="QSG311" s="890"/>
      <c r="QSH311" s="890"/>
      <c r="QST311" s="890"/>
      <c r="QSU311" s="890"/>
      <c r="QTG311" s="890"/>
      <c r="QTH311" s="890"/>
      <c r="QTT311" s="890"/>
      <c r="QTU311" s="890"/>
      <c r="QUG311" s="890"/>
      <c r="QUH311" s="890"/>
      <c r="QUT311" s="890"/>
      <c r="QUU311" s="890"/>
      <c r="QVG311" s="890"/>
      <c r="QVH311" s="890"/>
      <c r="QVT311" s="890"/>
      <c r="QVU311" s="890"/>
      <c r="QWG311" s="890"/>
      <c r="QWH311" s="890"/>
      <c r="QWT311" s="890"/>
      <c r="QWU311" s="890"/>
      <c r="QXG311" s="890"/>
      <c r="QXH311" s="890"/>
      <c r="QXT311" s="890"/>
      <c r="QXU311" s="890"/>
      <c r="QYG311" s="890"/>
      <c r="QYH311" s="890"/>
      <c r="QYT311" s="890"/>
      <c r="QYU311" s="890"/>
      <c r="QZG311" s="890"/>
      <c r="QZH311" s="890"/>
      <c r="QZT311" s="890"/>
      <c r="QZU311" s="890"/>
      <c r="RAG311" s="890"/>
      <c r="RAH311" s="890"/>
      <c r="RAT311" s="890"/>
      <c r="RAU311" s="890"/>
      <c r="RBG311" s="890"/>
      <c r="RBH311" s="890"/>
      <c r="RBT311" s="890"/>
      <c r="RBU311" s="890"/>
      <c r="RCG311" s="890"/>
      <c r="RCH311" s="890"/>
      <c r="RCT311" s="890"/>
      <c r="RCU311" s="890"/>
      <c r="RDG311" s="890"/>
      <c r="RDH311" s="890"/>
      <c r="RDT311" s="890"/>
      <c r="RDU311" s="890"/>
      <c r="REG311" s="890"/>
      <c r="REH311" s="890"/>
      <c r="RET311" s="890"/>
      <c r="REU311" s="890"/>
      <c r="RFG311" s="890"/>
      <c r="RFH311" s="890"/>
      <c r="RFT311" s="890"/>
      <c r="RFU311" s="890"/>
      <c r="RGG311" s="890"/>
      <c r="RGH311" s="890"/>
      <c r="RGT311" s="890"/>
      <c r="RGU311" s="890"/>
      <c r="RHG311" s="890"/>
      <c r="RHH311" s="890"/>
      <c r="RHT311" s="890"/>
      <c r="RHU311" s="890"/>
      <c r="RIG311" s="890"/>
      <c r="RIH311" s="890"/>
      <c r="RIT311" s="890"/>
      <c r="RIU311" s="890"/>
      <c r="RJG311" s="890"/>
      <c r="RJH311" s="890"/>
      <c r="RJT311" s="890"/>
      <c r="RJU311" s="890"/>
      <c r="RKG311" s="890"/>
      <c r="RKH311" s="890"/>
      <c r="RKT311" s="890"/>
      <c r="RKU311" s="890"/>
      <c r="RLG311" s="890"/>
      <c r="RLH311" s="890"/>
      <c r="RLT311" s="890"/>
      <c r="RLU311" s="890"/>
      <c r="RMG311" s="890"/>
      <c r="RMH311" s="890"/>
      <c r="RMT311" s="890"/>
      <c r="RMU311" s="890"/>
      <c r="RNG311" s="890"/>
      <c r="RNH311" s="890"/>
      <c r="RNT311" s="890"/>
      <c r="RNU311" s="890"/>
      <c r="ROG311" s="890"/>
      <c r="ROH311" s="890"/>
      <c r="ROT311" s="890"/>
      <c r="ROU311" s="890"/>
      <c r="RPG311" s="890"/>
      <c r="RPH311" s="890"/>
      <c r="RPT311" s="890"/>
      <c r="RPU311" s="890"/>
      <c r="RQG311" s="890"/>
      <c r="RQH311" s="890"/>
      <c r="RQT311" s="890"/>
      <c r="RQU311" s="890"/>
      <c r="RRG311" s="890"/>
      <c r="RRH311" s="890"/>
      <c r="RRT311" s="890"/>
      <c r="RRU311" s="890"/>
      <c r="RSG311" s="890"/>
      <c r="RSH311" s="890"/>
      <c r="RST311" s="890"/>
      <c r="RSU311" s="890"/>
      <c r="RTG311" s="890"/>
      <c r="RTH311" s="890"/>
      <c r="RTT311" s="890"/>
      <c r="RTU311" s="890"/>
      <c r="RUG311" s="890"/>
      <c r="RUH311" s="890"/>
      <c r="RUT311" s="890"/>
      <c r="RUU311" s="890"/>
      <c r="RVG311" s="890"/>
      <c r="RVH311" s="890"/>
      <c r="RVT311" s="890"/>
      <c r="RVU311" s="890"/>
      <c r="RWG311" s="890"/>
      <c r="RWH311" s="890"/>
      <c r="RWT311" s="890"/>
      <c r="RWU311" s="890"/>
      <c r="RXG311" s="890"/>
      <c r="RXH311" s="890"/>
      <c r="RXT311" s="890"/>
      <c r="RXU311" s="890"/>
      <c r="RYG311" s="890"/>
      <c r="RYH311" s="890"/>
      <c r="RYT311" s="890"/>
      <c r="RYU311" s="890"/>
      <c r="RZG311" s="890"/>
      <c r="RZH311" s="890"/>
      <c r="RZT311" s="890"/>
      <c r="RZU311" s="890"/>
      <c r="SAG311" s="890"/>
      <c r="SAH311" s="890"/>
      <c r="SAT311" s="890"/>
      <c r="SAU311" s="890"/>
      <c r="SBG311" s="890"/>
      <c r="SBH311" s="890"/>
      <c r="SBT311" s="890"/>
      <c r="SBU311" s="890"/>
      <c r="SCG311" s="890"/>
      <c r="SCH311" s="890"/>
      <c r="SCT311" s="890"/>
      <c r="SCU311" s="890"/>
      <c r="SDG311" s="890"/>
      <c r="SDH311" s="890"/>
      <c r="SDT311" s="890"/>
      <c r="SDU311" s="890"/>
      <c r="SEG311" s="890"/>
      <c r="SEH311" s="890"/>
      <c r="SET311" s="890"/>
      <c r="SEU311" s="890"/>
      <c r="SFG311" s="890"/>
      <c r="SFH311" s="890"/>
      <c r="SFT311" s="890"/>
      <c r="SFU311" s="890"/>
      <c r="SGG311" s="890"/>
      <c r="SGH311" s="890"/>
      <c r="SGT311" s="890"/>
      <c r="SGU311" s="890"/>
      <c r="SHG311" s="890"/>
      <c r="SHH311" s="890"/>
      <c r="SHT311" s="890"/>
      <c r="SHU311" s="890"/>
      <c r="SIG311" s="890"/>
      <c r="SIH311" s="890"/>
      <c r="SIT311" s="890"/>
      <c r="SIU311" s="890"/>
      <c r="SJG311" s="890"/>
      <c r="SJH311" s="890"/>
      <c r="SJT311" s="890"/>
      <c r="SJU311" s="890"/>
      <c r="SKG311" s="890"/>
      <c r="SKH311" s="890"/>
      <c r="SKT311" s="890"/>
      <c r="SKU311" s="890"/>
      <c r="SLG311" s="890"/>
      <c r="SLH311" s="890"/>
      <c r="SLT311" s="890"/>
      <c r="SLU311" s="890"/>
      <c r="SMG311" s="890"/>
      <c r="SMH311" s="890"/>
      <c r="SMT311" s="890"/>
      <c r="SMU311" s="890"/>
      <c r="SNG311" s="890"/>
      <c r="SNH311" s="890"/>
      <c r="SNT311" s="890"/>
      <c r="SNU311" s="890"/>
      <c r="SOG311" s="890"/>
      <c r="SOH311" s="890"/>
      <c r="SOT311" s="890"/>
      <c r="SOU311" s="890"/>
      <c r="SPG311" s="890"/>
      <c r="SPH311" s="890"/>
      <c r="SPT311" s="890"/>
      <c r="SPU311" s="890"/>
      <c r="SQG311" s="890"/>
      <c r="SQH311" s="890"/>
      <c r="SQT311" s="890"/>
      <c r="SQU311" s="890"/>
      <c r="SRG311" s="890"/>
      <c r="SRH311" s="890"/>
      <c r="SRT311" s="890"/>
      <c r="SRU311" s="890"/>
      <c r="SSG311" s="890"/>
      <c r="SSH311" s="890"/>
      <c r="SST311" s="890"/>
      <c r="SSU311" s="890"/>
      <c r="STG311" s="890"/>
      <c r="STH311" s="890"/>
      <c r="STT311" s="890"/>
      <c r="STU311" s="890"/>
      <c r="SUG311" s="890"/>
      <c r="SUH311" s="890"/>
      <c r="SUT311" s="890"/>
      <c r="SUU311" s="890"/>
      <c r="SVG311" s="890"/>
      <c r="SVH311" s="890"/>
      <c r="SVT311" s="890"/>
      <c r="SVU311" s="890"/>
      <c r="SWG311" s="890"/>
      <c r="SWH311" s="890"/>
      <c r="SWT311" s="890"/>
      <c r="SWU311" s="890"/>
      <c r="SXG311" s="890"/>
      <c r="SXH311" s="890"/>
      <c r="SXT311" s="890"/>
      <c r="SXU311" s="890"/>
      <c r="SYG311" s="890"/>
      <c r="SYH311" s="890"/>
      <c r="SYT311" s="890"/>
      <c r="SYU311" s="890"/>
      <c r="SZG311" s="890"/>
      <c r="SZH311" s="890"/>
      <c r="SZT311" s="890"/>
      <c r="SZU311" s="890"/>
      <c r="TAG311" s="890"/>
      <c r="TAH311" s="890"/>
      <c r="TAT311" s="890"/>
      <c r="TAU311" s="890"/>
      <c r="TBG311" s="890"/>
      <c r="TBH311" s="890"/>
      <c r="TBT311" s="890"/>
      <c r="TBU311" s="890"/>
      <c r="TCG311" s="890"/>
      <c r="TCH311" s="890"/>
      <c r="TCT311" s="890"/>
      <c r="TCU311" s="890"/>
      <c r="TDG311" s="890"/>
      <c r="TDH311" s="890"/>
      <c r="TDT311" s="890"/>
      <c r="TDU311" s="890"/>
      <c r="TEG311" s="890"/>
      <c r="TEH311" s="890"/>
      <c r="TET311" s="890"/>
      <c r="TEU311" s="890"/>
      <c r="TFG311" s="890"/>
      <c r="TFH311" s="890"/>
      <c r="TFT311" s="890"/>
      <c r="TFU311" s="890"/>
      <c r="TGG311" s="890"/>
      <c r="TGH311" s="890"/>
      <c r="TGT311" s="890"/>
      <c r="TGU311" s="890"/>
      <c r="THG311" s="890"/>
      <c r="THH311" s="890"/>
      <c r="THT311" s="890"/>
      <c r="THU311" s="890"/>
      <c r="TIG311" s="890"/>
      <c r="TIH311" s="890"/>
      <c r="TIT311" s="890"/>
      <c r="TIU311" s="890"/>
      <c r="TJG311" s="890"/>
      <c r="TJH311" s="890"/>
      <c r="TJT311" s="890"/>
      <c r="TJU311" s="890"/>
      <c r="TKG311" s="890"/>
      <c r="TKH311" s="890"/>
      <c r="TKT311" s="890"/>
      <c r="TKU311" s="890"/>
      <c r="TLG311" s="890"/>
      <c r="TLH311" s="890"/>
      <c r="TLT311" s="890"/>
      <c r="TLU311" s="890"/>
      <c r="TMG311" s="890"/>
      <c r="TMH311" s="890"/>
      <c r="TMT311" s="890"/>
      <c r="TMU311" s="890"/>
      <c r="TNG311" s="890"/>
      <c r="TNH311" s="890"/>
      <c r="TNT311" s="890"/>
      <c r="TNU311" s="890"/>
      <c r="TOG311" s="890"/>
      <c r="TOH311" s="890"/>
      <c r="TOT311" s="890"/>
      <c r="TOU311" s="890"/>
      <c r="TPG311" s="890"/>
      <c r="TPH311" s="890"/>
      <c r="TPT311" s="890"/>
      <c r="TPU311" s="890"/>
      <c r="TQG311" s="890"/>
      <c r="TQH311" s="890"/>
      <c r="TQT311" s="890"/>
      <c r="TQU311" s="890"/>
      <c r="TRG311" s="890"/>
      <c r="TRH311" s="890"/>
      <c r="TRT311" s="890"/>
      <c r="TRU311" s="890"/>
      <c r="TSG311" s="890"/>
      <c r="TSH311" s="890"/>
      <c r="TST311" s="890"/>
      <c r="TSU311" s="890"/>
      <c r="TTG311" s="890"/>
      <c r="TTH311" s="890"/>
      <c r="TTT311" s="890"/>
      <c r="TTU311" s="890"/>
      <c r="TUG311" s="890"/>
      <c r="TUH311" s="890"/>
      <c r="TUT311" s="890"/>
      <c r="TUU311" s="890"/>
      <c r="TVG311" s="890"/>
      <c r="TVH311" s="890"/>
      <c r="TVT311" s="890"/>
      <c r="TVU311" s="890"/>
      <c r="TWG311" s="890"/>
      <c r="TWH311" s="890"/>
      <c r="TWT311" s="890"/>
      <c r="TWU311" s="890"/>
      <c r="TXG311" s="890"/>
      <c r="TXH311" s="890"/>
      <c r="TXT311" s="890"/>
      <c r="TXU311" s="890"/>
      <c r="TYG311" s="890"/>
      <c r="TYH311" s="890"/>
      <c r="TYT311" s="890"/>
      <c r="TYU311" s="890"/>
      <c r="TZG311" s="890"/>
      <c r="TZH311" s="890"/>
      <c r="TZT311" s="890"/>
      <c r="TZU311" s="890"/>
      <c r="UAG311" s="890"/>
      <c r="UAH311" s="890"/>
      <c r="UAT311" s="890"/>
      <c r="UAU311" s="890"/>
      <c r="UBG311" s="890"/>
      <c r="UBH311" s="890"/>
      <c r="UBT311" s="890"/>
      <c r="UBU311" s="890"/>
      <c r="UCG311" s="890"/>
      <c r="UCH311" s="890"/>
      <c r="UCT311" s="890"/>
      <c r="UCU311" s="890"/>
      <c r="UDG311" s="890"/>
      <c r="UDH311" s="890"/>
      <c r="UDT311" s="890"/>
      <c r="UDU311" s="890"/>
      <c r="UEG311" s="890"/>
      <c r="UEH311" s="890"/>
      <c r="UET311" s="890"/>
      <c r="UEU311" s="890"/>
      <c r="UFG311" s="890"/>
      <c r="UFH311" s="890"/>
      <c r="UFT311" s="890"/>
      <c r="UFU311" s="890"/>
      <c r="UGG311" s="890"/>
      <c r="UGH311" s="890"/>
      <c r="UGT311" s="890"/>
      <c r="UGU311" s="890"/>
      <c r="UHG311" s="890"/>
      <c r="UHH311" s="890"/>
      <c r="UHT311" s="890"/>
      <c r="UHU311" s="890"/>
      <c r="UIG311" s="890"/>
      <c r="UIH311" s="890"/>
      <c r="UIT311" s="890"/>
      <c r="UIU311" s="890"/>
      <c r="UJG311" s="890"/>
      <c r="UJH311" s="890"/>
      <c r="UJT311" s="890"/>
      <c r="UJU311" s="890"/>
      <c r="UKG311" s="890"/>
      <c r="UKH311" s="890"/>
      <c r="UKT311" s="890"/>
      <c r="UKU311" s="890"/>
      <c r="ULG311" s="890"/>
      <c r="ULH311" s="890"/>
      <c r="ULT311" s="890"/>
      <c r="ULU311" s="890"/>
      <c r="UMG311" s="890"/>
      <c r="UMH311" s="890"/>
      <c r="UMT311" s="890"/>
      <c r="UMU311" s="890"/>
      <c r="UNG311" s="890"/>
      <c r="UNH311" s="890"/>
      <c r="UNT311" s="890"/>
      <c r="UNU311" s="890"/>
      <c r="UOG311" s="890"/>
      <c r="UOH311" s="890"/>
      <c r="UOT311" s="890"/>
      <c r="UOU311" s="890"/>
      <c r="UPG311" s="890"/>
      <c r="UPH311" s="890"/>
      <c r="UPT311" s="890"/>
      <c r="UPU311" s="890"/>
      <c r="UQG311" s="890"/>
      <c r="UQH311" s="890"/>
      <c r="UQT311" s="890"/>
      <c r="UQU311" s="890"/>
      <c r="URG311" s="890"/>
      <c r="URH311" s="890"/>
      <c r="URT311" s="890"/>
      <c r="URU311" s="890"/>
      <c r="USG311" s="890"/>
      <c r="USH311" s="890"/>
      <c r="UST311" s="890"/>
      <c r="USU311" s="890"/>
      <c r="UTG311" s="890"/>
      <c r="UTH311" s="890"/>
      <c r="UTT311" s="890"/>
      <c r="UTU311" s="890"/>
      <c r="UUG311" s="890"/>
      <c r="UUH311" s="890"/>
      <c r="UUT311" s="890"/>
      <c r="UUU311" s="890"/>
      <c r="UVG311" s="890"/>
      <c r="UVH311" s="890"/>
      <c r="UVT311" s="890"/>
      <c r="UVU311" s="890"/>
      <c r="UWG311" s="890"/>
      <c r="UWH311" s="890"/>
      <c r="UWT311" s="890"/>
      <c r="UWU311" s="890"/>
      <c r="UXG311" s="890"/>
      <c r="UXH311" s="890"/>
      <c r="UXT311" s="890"/>
      <c r="UXU311" s="890"/>
      <c r="UYG311" s="890"/>
      <c r="UYH311" s="890"/>
      <c r="UYT311" s="890"/>
      <c r="UYU311" s="890"/>
      <c r="UZG311" s="890"/>
      <c r="UZH311" s="890"/>
      <c r="UZT311" s="890"/>
      <c r="UZU311" s="890"/>
      <c r="VAG311" s="890"/>
      <c r="VAH311" s="890"/>
      <c r="VAT311" s="890"/>
      <c r="VAU311" s="890"/>
      <c r="VBG311" s="890"/>
      <c r="VBH311" s="890"/>
      <c r="VBT311" s="890"/>
      <c r="VBU311" s="890"/>
      <c r="VCG311" s="890"/>
      <c r="VCH311" s="890"/>
      <c r="VCT311" s="890"/>
      <c r="VCU311" s="890"/>
      <c r="VDG311" s="890"/>
      <c r="VDH311" s="890"/>
      <c r="VDT311" s="890"/>
      <c r="VDU311" s="890"/>
      <c r="VEG311" s="890"/>
      <c r="VEH311" s="890"/>
      <c r="VET311" s="890"/>
      <c r="VEU311" s="890"/>
      <c r="VFG311" s="890"/>
      <c r="VFH311" s="890"/>
      <c r="VFT311" s="890"/>
      <c r="VFU311" s="890"/>
      <c r="VGG311" s="890"/>
      <c r="VGH311" s="890"/>
      <c r="VGT311" s="890"/>
      <c r="VGU311" s="890"/>
      <c r="VHG311" s="890"/>
      <c r="VHH311" s="890"/>
      <c r="VHT311" s="890"/>
      <c r="VHU311" s="890"/>
      <c r="VIG311" s="890"/>
      <c r="VIH311" s="890"/>
      <c r="VIT311" s="890"/>
      <c r="VIU311" s="890"/>
      <c r="VJG311" s="890"/>
      <c r="VJH311" s="890"/>
      <c r="VJT311" s="890"/>
      <c r="VJU311" s="890"/>
      <c r="VKG311" s="890"/>
      <c r="VKH311" s="890"/>
      <c r="VKT311" s="890"/>
      <c r="VKU311" s="890"/>
      <c r="VLG311" s="890"/>
      <c r="VLH311" s="890"/>
      <c r="VLT311" s="890"/>
      <c r="VLU311" s="890"/>
      <c r="VMG311" s="890"/>
      <c r="VMH311" s="890"/>
      <c r="VMT311" s="890"/>
      <c r="VMU311" s="890"/>
      <c r="VNG311" s="890"/>
      <c r="VNH311" s="890"/>
      <c r="VNT311" s="890"/>
      <c r="VNU311" s="890"/>
      <c r="VOG311" s="890"/>
      <c r="VOH311" s="890"/>
      <c r="VOT311" s="890"/>
      <c r="VOU311" s="890"/>
      <c r="VPG311" s="890"/>
      <c r="VPH311" s="890"/>
      <c r="VPT311" s="890"/>
      <c r="VPU311" s="890"/>
      <c r="VQG311" s="890"/>
      <c r="VQH311" s="890"/>
      <c r="VQT311" s="890"/>
      <c r="VQU311" s="890"/>
      <c r="VRG311" s="890"/>
      <c r="VRH311" s="890"/>
      <c r="VRT311" s="890"/>
      <c r="VRU311" s="890"/>
      <c r="VSG311" s="890"/>
      <c r="VSH311" s="890"/>
      <c r="VST311" s="890"/>
      <c r="VSU311" s="890"/>
      <c r="VTG311" s="890"/>
      <c r="VTH311" s="890"/>
      <c r="VTT311" s="890"/>
      <c r="VTU311" s="890"/>
      <c r="VUG311" s="890"/>
      <c r="VUH311" s="890"/>
      <c r="VUT311" s="890"/>
      <c r="VUU311" s="890"/>
      <c r="VVG311" s="890"/>
      <c r="VVH311" s="890"/>
      <c r="VVT311" s="890"/>
      <c r="VVU311" s="890"/>
      <c r="VWG311" s="890"/>
      <c r="VWH311" s="890"/>
      <c r="VWT311" s="890"/>
      <c r="VWU311" s="890"/>
      <c r="VXG311" s="890"/>
      <c r="VXH311" s="890"/>
      <c r="VXT311" s="890"/>
      <c r="VXU311" s="890"/>
      <c r="VYG311" s="890"/>
      <c r="VYH311" s="890"/>
      <c r="VYT311" s="890"/>
      <c r="VYU311" s="890"/>
      <c r="VZG311" s="890"/>
      <c r="VZH311" s="890"/>
      <c r="VZT311" s="890"/>
      <c r="VZU311" s="890"/>
      <c r="WAG311" s="890"/>
      <c r="WAH311" s="890"/>
      <c r="WAT311" s="890"/>
      <c r="WAU311" s="890"/>
      <c r="WBG311" s="890"/>
      <c r="WBH311" s="890"/>
      <c r="WBT311" s="890"/>
      <c r="WBU311" s="890"/>
      <c r="WCG311" s="890"/>
      <c r="WCH311" s="890"/>
      <c r="WCT311" s="890"/>
      <c r="WCU311" s="890"/>
      <c r="WDG311" s="890"/>
      <c r="WDH311" s="890"/>
      <c r="WDT311" s="890"/>
      <c r="WDU311" s="890"/>
      <c r="WEG311" s="890"/>
      <c r="WEH311" s="890"/>
      <c r="WET311" s="890"/>
      <c r="WEU311" s="890"/>
      <c r="WFG311" s="890"/>
      <c r="WFH311" s="890"/>
      <c r="WFT311" s="890"/>
      <c r="WFU311" s="890"/>
      <c r="WGG311" s="890"/>
      <c r="WGH311" s="890"/>
      <c r="WGT311" s="890"/>
      <c r="WGU311" s="890"/>
      <c r="WHG311" s="890"/>
      <c r="WHH311" s="890"/>
      <c r="WHT311" s="890"/>
      <c r="WHU311" s="890"/>
      <c r="WIG311" s="890"/>
      <c r="WIH311" s="890"/>
      <c r="WIT311" s="890"/>
      <c r="WIU311" s="890"/>
      <c r="WJG311" s="890"/>
      <c r="WJH311" s="890"/>
      <c r="WJT311" s="890"/>
      <c r="WJU311" s="890"/>
      <c r="WKG311" s="890"/>
      <c r="WKH311" s="890"/>
      <c r="WKT311" s="890"/>
      <c r="WKU311" s="890"/>
      <c r="WLG311" s="890"/>
      <c r="WLH311" s="890"/>
      <c r="WLT311" s="890"/>
      <c r="WLU311" s="890"/>
      <c r="WMG311" s="890"/>
      <c r="WMH311" s="890"/>
      <c r="WMT311" s="890"/>
      <c r="WMU311" s="890"/>
      <c r="WNG311" s="890"/>
      <c r="WNH311" s="890"/>
      <c r="WNT311" s="890"/>
      <c r="WNU311" s="890"/>
      <c r="WOG311" s="890"/>
      <c r="WOH311" s="890"/>
      <c r="WOT311" s="890"/>
      <c r="WOU311" s="890"/>
      <c r="WPG311" s="890"/>
      <c r="WPH311" s="890"/>
      <c r="WPT311" s="890"/>
      <c r="WPU311" s="890"/>
      <c r="WQG311" s="890"/>
      <c r="WQH311" s="890"/>
      <c r="WQT311" s="890"/>
      <c r="WQU311" s="890"/>
      <c r="WRG311" s="890"/>
      <c r="WRH311" s="890"/>
      <c r="WRT311" s="890"/>
      <c r="WRU311" s="890"/>
      <c r="WSG311" s="890"/>
      <c r="WSH311" s="890"/>
      <c r="WST311" s="890"/>
      <c r="WSU311" s="890"/>
      <c r="WTG311" s="890"/>
      <c r="WTH311" s="890"/>
      <c r="WTT311" s="890"/>
      <c r="WTU311" s="890"/>
      <c r="WUG311" s="890"/>
      <c r="WUH311" s="890"/>
      <c r="WUT311" s="890"/>
      <c r="WUU311" s="890"/>
      <c r="WVG311" s="890"/>
      <c r="WVH311" s="890"/>
      <c r="WVT311" s="890"/>
      <c r="WVU311" s="890"/>
      <c r="WWG311" s="890"/>
      <c r="WWH311" s="890"/>
      <c r="WWT311" s="890"/>
      <c r="WWU311" s="890"/>
      <c r="WXG311" s="890"/>
      <c r="WXH311" s="890"/>
      <c r="WXT311" s="890"/>
      <c r="WXU311" s="890"/>
      <c r="WYG311" s="890"/>
      <c r="WYH311" s="890"/>
      <c r="WYT311" s="890"/>
      <c r="WYU311" s="890"/>
      <c r="WZG311" s="890"/>
      <c r="WZH311" s="890"/>
      <c r="WZT311" s="890"/>
      <c r="WZU311" s="890"/>
      <c r="XAG311" s="890"/>
      <c r="XAH311" s="890"/>
      <c r="XAT311" s="890"/>
      <c r="XAU311" s="890"/>
      <c r="XBG311" s="890"/>
      <c r="XBH311" s="890"/>
      <c r="XBT311" s="890"/>
      <c r="XBU311" s="890"/>
      <c r="XCG311" s="890"/>
      <c r="XCH311" s="890"/>
      <c r="XCT311" s="890"/>
      <c r="XCU311" s="890"/>
      <c r="XDG311" s="890"/>
      <c r="XDH311" s="890"/>
      <c r="XDT311" s="890"/>
      <c r="XDU311" s="890"/>
      <c r="XEG311" s="890"/>
      <c r="XEH311" s="890"/>
      <c r="XET311" s="890"/>
      <c r="XEU311" s="890"/>
    </row>
    <row r="312" spans="1:1022 1034:3063 3075:4090 4102:5117 5129:6144 6156:7158 7170:8185 8197:9212 9224:10239 10251:11253 11265:12280 12292:13307 13319:14334 14346:16375" ht="18" hidden="1" customHeight="1" outlineLevel="1">
      <c r="A312" s="1761" t="str">
        <f>IFERROR(INDEX('Summary Data'!B:B,MATCH(1,'Summary Data'!GP:GP,0),1),"N")</f>
        <v>N</v>
      </c>
      <c r="B312" s="1762"/>
      <c r="C312" s="1614"/>
      <c r="D312" s="1614"/>
      <c r="E312" s="1614" t="s">
        <v>202</v>
      </c>
      <c r="F312" s="1614"/>
      <c r="G312" s="1614"/>
      <c r="H312" s="1614">
        <v>0</v>
      </c>
      <c r="I312" s="1614" t="s">
        <v>106</v>
      </c>
      <c r="J312" s="1763"/>
      <c r="K312" s="1764"/>
      <c r="L312" s="1765">
        <f>J312</f>
        <v>0</v>
      </c>
      <c r="M312" s="1771">
        <f>K312</f>
        <v>0</v>
      </c>
      <c r="O312" s="2150" t="s">
        <v>106</v>
      </c>
      <c r="Q312" s="284" t="s">
        <v>2992</v>
      </c>
      <c r="R312" s="1582"/>
      <c r="S312" s="1582"/>
      <c r="T312" s="1582"/>
      <c r="U312" s="1582"/>
      <c r="V312" s="1582"/>
      <c r="AJ312" s="320"/>
      <c r="AM312" s="320"/>
    </row>
    <row r="313" spans="1:1022 1034:3063 3075:4090 4102:5117 5129:6144 6156:7158 7170:8185 8197:9212 9224:10239 10251:11253 11265:12280 12292:13307 13319:14334 14346:16375" ht="18" hidden="1" customHeight="1" outlineLevel="1">
      <c r="A313" s="1581"/>
      <c r="C313" s="320"/>
      <c r="D313" s="194"/>
      <c r="E313" s="146" t="s">
        <v>2055</v>
      </c>
      <c r="F313" s="919" t="str">
        <f>A312</f>
        <v>N</v>
      </c>
      <c r="G313" s="320"/>
      <c r="H313" s="320"/>
      <c r="I313" s="376"/>
      <c r="J313" s="1579"/>
      <c r="K313" s="1766" t="s">
        <v>215</v>
      </c>
      <c r="L313" s="1767" t="s">
        <v>1469</v>
      </c>
      <c r="M313" s="1767" t="s">
        <v>1473</v>
      </c>
      <c r="Q313" s="284" t="s">
        <v>3249</v>
      </c>
      <c r="R313" s="1582"/>
      <c r="S313" s="1582"/>
      <c r="T313" s="1582"/>
      <c r="U313" s="1582"/>
      <c r="V313" s="1582"/>
      <c r="AJ313" s="320"/>
      <c r="AM313" s="320"/>
    </row>
    <row r="314" spans="1:1022 1034:3063 3075:4090 4102:5117 5129:6144 6156:7158 7170:8185 8197:9212 9224:10239 10251:11253 11265:12280 12292:13307 13319:14334 14346:16375" ht="18" hidden="1" customHeight="1" outlineLevel="1">
      <c r="A314" s="1581">
        <v>2</v>
      </c>
      <c r="C314" s="320"/>
      <c r="D314" s="194"/>
      <c r="F314" s="320"/>
      <c r="G314" s="320"/>
      <c r="H314" s="320"/>
      <c r="I314" s="376"/>
      <c r="J314" s="1579"/>
      <c r="K314" s="1705" t="s">
        <v>127</v>
      </c>
      <c r="L314" s="1768"/>
      <c r="M314" s="1705" t="s">
        <v>1196</v>
      </c>
      <c r="Q314" s="284" t="s">
        <v>2336</v>
      </c>
      <c r="R314" s="1582"/>
      <c r="S314" s="1582"/>
      <c r="T314" s="1582"/>
      <c r="U314" s="1582"/>
      <c r="V314" s="1582"/>
      <c r="AJ314" s="320"/>
      <c r="AM314" s="320"/>
    </row>
    <row r="315" spans="1:1022 1034:3063 3075:4090 4102:5117 5129:6144 6156:7158 7170:8185 8197:9212 9224:10239 10251:11253 11265:12280 12292:13307 13319:14334 14346:16375" ht="18" hidden="1" customHeight="1" outlineLevel="1" collapsed="1">
      <c r="A315" s="1761" t="str">
        <f>IFERROR(INDEX('Summary Data'!B:B,MATCH(A314,'Summary Data'!GP:GP,0),1),"N")</f>
        <v>N</v>
      </c>
      <c r="B315" s="1762"/>
      <c r="C315" s="1614"/>
      <c r="D315" s="1614"/>
      <c r="E315" s="1614" t="s">
        <v>202</v>
      </c>
      <c r="F315" s="1614"/>
      <c r="G315" s="1614"/>
      <c r="H315" s="1614">
        <v>0</v>
      </c>
      <c r="I315" s="1614" t="s">
        <v>106</v>
      </c>
      <c r="J315" s="1763"/>
      <c r="K315" s="1764"/>
      <c r="L315" s="1765">
        <f>J315</f>
        <v>0</v>
      </c>
      <c r="M315" s="1771">
        <f>K315</f>
        <v>0</v>
      </c>
      <c r="O315" s="2150" t="s">
        <v>106</v>
      </c>
      <c r="Q315" s="319" t="s">
        <v>2213</v>
      </c>
      <c r="AJ315" s="320"/>
      <c r="AM315" s="320"/>
    </row>
    <row r="316" spans="1:1022 1034:3063 3075:4090 4102:5117 5129:6144 6156:7158 7170:8185 8197:9212 9224:10239 10251:11253 11265:12280 12292:13307 13319:14334 14346:16375" ht="18" hidden="1" customHeight="1" outlineLevel="1">
      <c r="A316" s="1581"/>
      <c r="C316" s="320"/>
      <c r="D316" s="194"/>
      <c r="E316" s="146" t="s">
        <v>2055</v>
      </c>
      <c r="F316" s="919" t="str">
        <f>A315</f>
        <v>N</v>
      </c>
      <c r="G316" s="320"/>
      <c r="H316" s="320"/>
      <c r="I316" s="376"/>
      <c r="J316" s="1579"/>
      <c r="K316" s="1766" t="s">
        <v>215</v>
      </c>
      <c r="L316" s="1767" t="s">
        <v>1469</v>
      </c>
      <c r="M316" s="1767" t="s">
        <v>1473</v>
      </c>
      <c r="Q316" s="319" t="s">
        <v>3121</v>
      </c>
      <c r="AJ316" s="320"/>
      <c r="AM316" s="320"/>
    </row>
    <row r="317" spans="1:1022 1034:3063 3075:4090 4102:5117 5129:6144 6156:7158 7170:8185 8197:9212 9224:10239 10251:11253 11265:12280 12292:13307 13319:14334 14346:16375" ht="18" hidden="1" customHeight="1" outlineLevel="1">
      <c r="A317" s="1581">
        <f>A314+1</f>
        <v>3</v>
      </c>
      <c r="C317" s="320"/>
      <c r="D317" s="194"/>
      <c r="F317" s="320"/>
      <c r="G317" s="320"/>
      <c r="H317" s="320"/>
      <c r="I317" s="376"/>
      <c r="J317" s="1579"/>
      <c r="K317" s="1705" t="s">
        <v>127</v>
      </c>
      <c r="L317" s="1768"/>
      <c r="M317" s="1705" t="s">
        <v>1196</v>
      </c>
      <c r="AJ317" s="320"/>
      <c r="AM317" s="320"/>
    </row>
    <row r="318" spans="1:1022 1034:3063 3075:4090 4102:5117 5129:6144 6156:7158 7170:8185 8197:9212 9224:10239 10251:11253 11265:12280 12292:13307 13319:14334 14346:16375" ht="18" hidden="1" customHeight="1" outlineLevel="1">
      <c r="A318" s="1761" t="str">
        <f>IFERROR(INDEX('Summary Data'!B:B,MATCH(A317,'Summary Data'!GP:GP,0),1),"N")</f>
        <v>N</v>
      </c>
      <c r="B318" s="1762"/>
      <c r="C318" s="1614"/>
      <c r="D318" s="1614"/>
      <c r="E318" s="1614" t="s">
        <v>202</v>
      </c>
      <c r="F318" s="1614"/>
      <c r="G318" s="1614"/>
      <c r="H318" s="1614">
        <v>0</v>
      </c>
      <c r="I318" s="1614" t="s">
        <v>106</v>
      </c>
      <c r="J318" s="1763"/>
      <c r="K318" s="1764"/>
      <c r="L318" s="1765">
        <f>J318</f>
        <v>0</v>
      </c>
      <c r="M318" s="1771">
        <f>K318</f>
        <v>0</v>
      </c>
      <c r="O318" s="2150" t="s">
        <v>106</v>
      </c>
      <c r="AJ318" s="320"/>
      <c r="AM318" s="320"/>
    </row>
    <row r="319" spans="1:1022 1034:3063 3075:4090 4102:5117 5129:6144 6156:7158 7170:8185 8197:9212 9224:10239 10251:11253 11265:12280 12292:13307 13319:14334 14346:16375" ht="18" hidden="1" customHeight="1" outlineLevel="1">
      <c r="A319" s="1581"/>
      <c r="C319" s="320"/>
      <c r="D319" s="194"/>
      <c r="E319" s="146" t="s">
        <v>2055</v>
      </c>
      <c r="F319" s="919" t="str">
        <f>A318</f>
        <v>N</v>
      </c>
      <c r="G319" s="320"/>
      <c r="H319" s="320"/>
      <c r="I319" s="376"/>
      <c r="J319" s="1579"/>
      <c r="K319" s="1766" t="s">
        <v>215</v>
      </c>
      <c r="L319" s="1767" t="s">
        <v>1469</v>
      </c>
      <c r="M319" s="1767" t="s">
        <v>1473</v>
      </c>
      <c r="AJ319" s="320"/>
      <c r="AM319" s="320"/>
    </row>
    <row r="320" spans="1:1022 1034:3063 3075:4090 4102:5117 5129:6144 6156:7158 7170:8185 8197:9212 9224:10239 10251:11253 11265:12280 12292:13307 13319:14334 14346:16375" ht="18" hidden="1" customHeight="1" outlineLevel="1">
      <c r="A320" s="1581">
        <f>A317+1</f>
        <v>4</v>
      </c>
      <c r="C320" s="320"/>
      <c r="D320" s="194"/>
      <c r="F320" s="320"/>
      <c r="G320" s="320"/>
      <c r="H320" s="320"/>
      <c r="I320" s="376"/>
      <c r="J320" s="1579"/>
      <c r="K320" s="1705" t="s">
        <v>127</v>
      </c>
      <c r="L320" s="1768"/>
      <c r="M320" s="1705" t="s">
        <v>1196</v>
      </c>
      <c r="AJ320" s="320"/>
      <c r="AM320" s="320"/>
    </row>
    <row r="321" spans="1:39" ht="18" hidden="1" customHeight="1" outlineLevel="1">
      <c r="A321" s="1761" t="str">
        <f>IFERROR(INDEX('Summary Data'!B:B,MATCH(A320,'Summary Data'!GP:GP,0),1),"N")</f>
        <v>N</v>
      </c>
      <c r="B321" s="1762"/>
      <c r="C321" s="1614"/>
      <c r="D321" s="1614"/>
      <c r="E321" s="1614" t="s">
        <v>202</v>
      </c>
      <c r="F321" s="1614"/>
      <c r="G321" s="1614"/>
      <c r="H321" s="1614">
        <v>0</v>
      </c>
      <c r="I321" s="1614" t="s">
        <v>106</v>
      </c>
      <c r="J321" s="1763"/>
      <c r="K321" s="1764"/>
      <c r="L321" s="1765">
        <f>J321</f>
        <v>0</v>
      </c>
      <c r="M321" s="1771">
        <f>K321</f>
        <v>0</v>
      </c>
      <c r="O321" s="2150" t="s">
        <v>106</v>
      </c>
      <c r="AJ321" s="320"/>
      <c r="AM321" s="320"/>
    </row>
    <row r="322" spans="1:39" ht="18" hidden="1" customHeight="1" outlineLevel="1">
      <c r="A322" s="1581"/>
      <c r="C322" s="320"/>
      <c r="D322" s="194"/>
      <c r="E322" s="146" t="s">
        <v>2055</v>
      </c>
      <c r="F322" s="919" t="str">
        <f>A321</f>
        <v>N</v>
      </c>
      <c r="G322" s="320"/>
      <c r="H322" s="320"/>
      <c r="I322" s="376"/>
      <c r="J322" s="1579"/>
      <c r="K322" s="1766" t="s">
        <v>215</v>
      </c>
      <c r="L322" s="1767" t="s">
        <v>1469</v>
      </c>
      <c r="M322" s="1767" t="s">
        <v>1473</v>
      </c>
      <c r="AJ322" s="320"/>
      <c r="AM322" s="320"/>
    </row>
    <row r="323" spans="1:39" ht="18" hidden="1" customHeight="1" outlineLevel="1">
      <c r="A323" s="1581">
        <f>A320+1</f>
        <v>5</v>
      </c>
      <c r="C323" s="320"/>
      <c r="D323" s="194"/>
      <c r="F323" s="320"/>
      <c r="G323" s="320"/>
      <c r="H323" s="320"/>
      <c r="I323" s="376"/>
      <c r="J323" s="1579"/>
      <c r="K323" s="1705" t="s">
        <v>127</v>
      </c>
      <c r="L323" s="1768"/>
      <c r="M323" s="1705" t="s">
        <v>1196</v>
      </c>
      <c r="AJ323" s="320"/>
      <c r="AM323" s="320"/>
    </row>
    <row r="324" spans="1:39" ht="18" hidden="1" customHeight="1" outlineLevel="1">
      <c r="A324" s="1761" t="str">
        <f>IFERROR(INDEX('Summary Data'!B:B,MATCH(A323,'Summary Data'!GP:GP,0),1),"N")</f>
        <v>N</v>
      </c>
      <c r="B324" s="1762"/>
      <c r="C324" s="1614"/>
      <c r="D324" s="1614"/>
      <c r="E324" s="1614" t="s">
        <v>202</v>
      </c>
      <c r="F324" s="1614"/>
      <c r="G324" s="1614"/>
      <c r="H324" s="1614">
        <v>0</v>
      </c>
      <c r="I324" s="1614" t="s">
        <v>106</v>
      </c>
      <c r="J324" s="1763">
        <f>IF(I324="N",0,SUMIF($A$25:$A$194,$I324,$J$25:$J$194)-10)</f>
        <v>0</v>
      </c>
      <c r="K324" s="1764">
        <f>IF(I324="N",0,SUMIF($A$25:$A$194,$I324,$K$25:$K$194)-10)</f>
        <v>0</v>
      </c>
      <c r="L324" s="1765">
        <f>J324</f>
        <v>0</v>
      </c>
      <c r="M324" s="1771">
        <f>K324</f>
        <v>0</v>
      </c>
      <c r="O324" s="2150" t="s">
        <v>106</v>
      </c>
      <c r="AJ324" s="320"/>
      <c r="AM324" s="320"/>
    </row>
    <row r="325" spans="1:39" ht="18" hidden="1" customHeight="1" outlineLevel="1">
      <c r="A325" s="1581"/>
      <c r="C325" s="320"/>
      <c r="D325" s="194"/>
      <c r="E325" s="146" t="s">
        <v>2055</v>
      </c>
      <c r="F325" s="919" t="str">
        <f>A324</f>
        <v>N</v>
      </c>
      <c r="G325" s="320"/>
      <c r="H325" s="320"/>
      <c r="I325" s="376"/>
      <c r="J325" s="1579"/>
      <c r="K325" s="1766" t="s">
        <v>215</v>
      </c>
      <c r="L325" s="1767" t="s">
        <v>1469</v>
      </c>
      <c r="M325" s="1767" t="s">
        <v>1473</v>
      </c>
      <c r="AJ325" s="320"/>
      <c r="AM325" s="320"/>
    </row>
    <row r="326" spans="1:39" ht="18" hidden="1" customHeight="1" outlineLevel="1">
      <c r="A326" s="1581">
        <f>A323+1</f>
        <v>6</v>
      </c>
      <c r="C326" s="320"/>
      <c r="D326" s="194"/>
      <c r="F326" s="320"/>
      <c r="G326" s="320"/>
      <c r="H326" s="320"/>
      <c r="I326" s="376"/>
      <c r="J326" s="1579"/>
      <c r="K326" s="1705" t="s">
        <v>127</v>
      </c>
      <c r="L326" s="1768"/>
      <c r="M326" s="1705" t="s">
        <v>1196</v>
      </c>
      <c r="AJ326" s="320"/>
      <c r="AM326" s="320"/>
    </row>
    <row r="327" spans="1:39" ht="20.25" hidden="1" customHeight="1" outlineLevel="1">
      <c r="A327" s="1761" t="str">
        <f>IFERROR(INDEX('Summary Data'!B:B,MATCH(A326,'Summary Data'!GP:GP,0),1),"N")</f>
        <v>N</v>
      </c>
      <c r="B327" s="1762"/>
      <c r="C327" s="1614"/>
      <c r="D327" s="1614"/>
      <c r="E327" s="1614" t="s">
        <v>202</v>
      </c>
      <c r="F327" s="1614"/>
      <c r="G327" s="1614"/>
      <c r="H327" s="1614">
        <v>0</v>
      </c>
      <c r="I327" s="1614" t="s">
        <v>106</v>
      </c>
      <c r="J327" s="1763">
        <f>IF(I327="N",0,SUMIF($A$25:$A$194,$I327,$J$25:$J$194)-10)</f>
        <v>0</v>
      </c>
      <c r="K327" s="1764">
        <f>IF(I327="N",0,SUMIF($A$25:$A$194,$I327,$K$25:$K$194)-10)</f>
        <v>0</v>
      </c>
      <c r="L327" s="1765">
        <f>J327</f>
        <v>0</v>
      </c>
      <c r="M327" s="1771">
        <f>K327</f>
        <v>0</v>
      </c>
      <c r="O327" s="2150" t="s">
        <v>106</v>
      </c>
      <c r="AJ327" s="320"/>
      <c r="AM327" s="320"/>
    </row>
    <row r="328" spans="1:39" ht="18" hidden="1" customHeight="1" outlineLevel="1">
      <c r="A328" s="1581"/>
      <c r="C328" s="320"/>
      <c r="D328" s="194"/>
      <c r="E328" s="146" t="s">
        <v>2055</v>
      </c>
      <c r="F328" s="919" t="str">
        <f>A327</f>
        <v>N</v>
      </c>
      <c r="G328" s="320"/>
      <c r="H328" s="320"/>
      <c r="I328" s="376"/>
      <c r="J328" s="1579"/>
      <c r="K328" s="1766" t="s">
        <v>215</v>
      </c>
      <c r="L328" s="1767" t="s">
        <v>1469</v>
      </c>
      <c r="M328" s="1767" t="s">
        <v>1473</v>
      </c>
      <c r="AJ328" s="320"/>
      <c r="AM328" s="320"/>
    </row>
    <row r="329" spans="1:39" ht="18" hidden="1" customHeight="1" outlineLevel="1">
      <c r="A329" s="1581">
        <f>A326+1</f>
        <v>7</v>
      </c>
      <c r="C329" s="320"/>
      <c r="D329" s="194"/>
      <c r="F329" s="320"/>
      <c r="G329" s="320"/>
      <c r="H329" s="320"/>
      <c r="I329" s="376"/>
      <c r="J329" s="1579"/>
      <c r="K329" s="1705" t="s">
        <v>127</v>
      </c>
      <c r="L329" s="1768"/>
      <c r="M329" s="1705" t="s">
        <v>1196</v>
      </c>
      <c r="AJ329" s="320"/>
      <c r="AM329" s="320"/>
    </row>
    <row r="330" spans="1:39" ht="18" hidden="1" customHeight="1" outlineLevel="1">
      <c r="A330" s="1761" t="str">
        <f>IFERROR(INDEX('Summary Data'!B:B,MATCH(A329,'Summary Data'!GP:GP,0),1),"N")</f>
        <v>N</v>
      </c>
      <c r="B330" s="1762"/>
      <c r="C330" s="1614"/>
      <c r="D330" s="1614"/>
      <c r="E330" s="1614" t="s">
        <v>202</v>
      </c>
      <c r="F330" s="1614"/>
      <c r="G330" s="1614"/>
      <c r="H330" s="1614">
        <v>0</v>
      </c>
      <c r="I330" s="1614" t="s">
        <v>106</v>
      </c>
      <c r="J330" s="1763">
        <f>IF(I330="N",0,SUMIF($A$25:$A$194,$I330,$J$25:$J$194)-10)</f>
        <v>0</v>
      </c>
      <c r="K330" s="1764">
        <f>IF(I330="N",0,SUMIF($A$25:$A$194,$I330,$K$25:$K$194)-10)</f>
        <v>0</v>
      </c>
      <c r="L330" s="1765">
        <f>J330</f>
        <v>0</v>
      </c>
      <c r="M330" s="1771">
        <f>K330</f>
        <v>0</v>
      </c>
      <c r="O330" s="2150" t="s">
        <v>106</v>
      </c>
      <c r="AJ330" s="320"/>
      <c r="AM330" s="320"/>
    </row>
    <row r="331" spans="1:39" ht="18" hidden="1" customHeight="1" outlineLevel="1">
      <c r="A331" s="1581"/>
      <c r="C331" s="320"/>
      <c r="D331" s="194"/>
      <c r="E331" s="146" t="s">
        <v>2055</v>
      </c>
      <c r="F331" s="919" t="str">
        <f>A330</f>
        <v>N</v>
      </c>
      <c r="G331" s="320"/>
      <c r="H331" s="320"/>
      <c r="I331" s="376"/>
      <c r="J331" s="1579"/>
      <c r="K331" s="1766" t="s">
        <v>215</v>
      </c>
      <c r="L331" s="1767" t="s">
        <v>1469</v>
      </c>
      <c r="M331" s="1767" t="s">
        <v>1473</v>
      </c>
      <c r="AJ331" s="320"/>
      <c r="AM331" s="320"/>
    </row>
    <row r="332" spans="1:39" ht="18" hidden="1" customHeight="1" outlineLevel="1">
      <c r="A332" s="1581">
        <f>A329+1</f>
        <v>8</v>
      </c>
      <c r="C332" s="320"/>
      <c r="D332" s="194"/>
      <c r="F332" s="320"/>
      <c r="G332" s="320"/>
      <c r="H332" s="320"/>
      <c r="I332" s="376"/>
      <c r="J332" s="1579"/>
      <c r="K332" s="1705" t="s">
        <v>127</v>
      </c>
      <c r="L332" s="1768"/>
      <c r="M332" s="1705" t="s">
        <v>1196</v>
      </c>
      <c r="AJ332" s="320"/>
      <c r="AM332" s="320"/>
    </row>
    <row r="333" spans="1:39" ht="18" hidden="1" customHeight="1" outlineLevel="1">
      <c r="A333" s="1761" t="str">
        <f>IFERROR(INDEX('Summary Data'!B:B,MATCH(A332,'Summary Data'!GP:GP,0),1),"N")</f>
        <v>N</v>
      </c>
      <c r="B333" s="1762"/>
      <c r="C333" s="1614"/>
      <c r="D333" s="1614"/>
      <c r="E333" s="1614" t="s">
        <v>202</v>
      </c>
      <c r="F333" s="1614"/>
      <c r="G333" s="1614"/>
      <c r="H333" s="1614">
        <v>0</v>
      </c>
      <c r="I333" s="1614" t="s">
        <v>106</v>
      </c>
      <c r="J333" s="1763">
        <f>IF(I333="N",0,SUMIF($A$25:$A$194,$I333,$J$25:$J$194)-10)</f>
        <v>0</v>
      </c>
      <c r="K333" s="1764">
        <f>IF(I333="N",0,SUMIF($A$25:$A$194,$I333,$K$25:$K$194)-10)</f>
        <v>0</v>
      </c>
      <c r="L333" s="1765">
        <f>J333</f>
        <v>0</v>
      </c>
      <c r="M333" s="1771">
        <f>K333</f>
        <v>0</v>
      </c>
      <c r="O333" s="2150" t="s">
        <v>106</v>
      </c>
      <c r="AJ333" s="320"/>
      <c r="AM333" s="320"/>
    </row>
    <row r="334" spans="1:39" ht="18" hidden="1" customHeight="1" outlineLevel="1">
      <c r="A334" s="1581"/>
      <c r="C334" s="320"/>
      <c r="D334" s="194"/>
      <c r="E334" s="146" t="s">
        <v>2055</v>
      </c>
      <c r="F334" s="919" t="str">
        <f>A333</f>
        <v>N</v>
      </c>
      <c r="G334" s="320"/>
      <c r="H334" s="320"/>
      <c r="I334" s="376"/>
      <c r="J334" s="1579"/>
      <c r="K334" s="1766" t="s">
        <v>215</v>
      </c>
      <c r="L334" s="1767" t="s">
        <v>1469</v>
      </c>
      <c r="M334" s="1767" t="s">
        <v>1473</v>
      </c>
      <c r="AJ334" s="320"/>
      <c r="AM334" s="320"/>
    </row>
    <row r="335" spans="1:39" ht="18" hidden="1" customHeight="1" outlineLevel="1">
      <c r="A335" s="1581">
        <f>A332+1</f>
        <v>9</v>
      </c>
      <c r="C335" s="320"/>
      <c r="D335" s="194"/>
      <c r="F335" s="320"/>
      <c r="G335" s="320"/>
      <c r="H335" s="320"/>
      <c r="I335" s="376"/>
      <c r="J335" s="1579"/>
      <c r="K335" s="1705" t="s">
        <v>127</v>
      </c>
      <c r="L335" s="1768"/>
      <c r="M335" s="1705" t="s">
        <v>1196</v>
      </c>
      <c r="AJ335" s="320"/>
      <c r="AM335" s="320"/>
    </row>
    <row r="336" spans="1:39" ht="18" hidden="1" customHeight="1" outlineLevel="1">
      <c r="A336" s="1761" t="str">
        <f>IFERROR(INDEX('Summary Data'!B:B,MATCH(A335,'Summary Data'!GP:GP,0),1),"N")</f>
        <v>N</v>
      </c>
      <c r="B336" s="1762"/>
      <c r="C336" s="1614"/>
      <c r="D336" s="1614"/>
      <c r="E336" s="1614" t="s">
        <v>202</v>
      </c>
      <c r="F336" s="1614"/>
      <c r="G336" s="1614"/>
      <c r="H336" s="1614">
        <v>0</v>
      </c>
      <c r="I336" s="1614" t="s">
        <v>106</v>
      </c>
      <c r="J336" s="1763">
        <f>IF(I336="N",0,SUMIF($A$25:$A$194,$I336,$J$25:$J$194)-10)</f>
        <v>0</v>
      </c>
      <c r="K336" s="1764">
        <f>IF(I336="N",0,SUMIF($A$25:$A$194,$I336,$K$25:$K$194)-10)</f>
        <v>0</v>
      </c>
      <c r="L336" s="1765">
        <f>J336</f>
        <v>0</v>
      </c>
      <c r="M336" s="1771">
        <f>K336</f>
        <v>0</v>
      </c>
      <c r="O336" s="2150" t="s">
        <v>106</v>
      </c>
      <c r="AJ336" s="320"/>
      <c r="AM336" s="320"/>
    </row>
    <row r="337" spans="1:39" ht="18" hidden="1" customHeight="1" outlineLevel="1">
      <c r="A337" s="1581"/>
      <c r="C337" s="320"/>
      <c r="D337" s="194"/>
      <c r="E337" s="146" t="s">
        <v>2055</v>
      </c>
      <c r="F337" s="919" t="str">
        <f>A336</f>
        <v>N</v>
      </c>
      <c r="G337" s="320"/>
      <c r="H337" s="320"/>
      <c r="I337" s="376"/>
      <c r="J337" s="1579"/>
      <c r="K337" s="1766" t="s">
        <v>215</v>
      </c>
      <c r="L337" s="1767" t="s">
        <v>1469</v>
      </c>
      <c r="M337" s="1767" t="s">
        <v>1473</v>
      </c>
      <c r="AJ337" s="320"/>
      <c r="AM337" s="320"/>
    </row>
    <row r="338" spans="1:39" ht="18" hidden="1" customHeight="1" outlineLevel="1">
      <c r="A338" s="1581">
        <f>A335+1</f>
        <v>10</v>
      </c>
      <c r="C338" s="320"/>
      <c r="D338" s="194"/>
      <c r="F338" s="320"/>
      <c r="G338" s="320"/>
      <c r="H338" s="320"/>
      <c r="I338" s="376"/>
      <c r="J338" s="1579"/>
      <c r="K338" s="1705" t="s">
        <v>127</v>
      </c>
      <c r="L338" s="1768"/>
      <c r="M338" s="1705" t="s">
        <v>1196</v>
      </c>
      <c r="AJ338" s="320"/>
      <c r="AM338" s="320"/>
    </row>
    <row r="339" spans="1:39" ht="18" hidden="1" customHeight="1" outlineLevel="1">
      <c r="A339" s="1761" t="str">
        <f>IFERROR(INDEX('Summary Data'!B:B,MATCH(A338,'Summary Data'!GP:GP,0),1),"N")</f>
        <v>N</v>
      </c>
      <c r="B339" s="1762"/>
      <c r="C339" s="1614"/>
      <c r="D339" s="1614"/>
      <c r="E339" s="1614" t="s">
        <v>202</v>
      </c>
      <c r="F339" s="1614"/>
      <c r="G339" s="1614"/>
      <c r="H339" s="1614">
        <v>0</v>
      </c>
      <c r="I339" s="1614" t="s">
        <v>106</v>
      </c>
      <c r="J339" s="1763">
        <f>IF(I339="N",0,SUMIF($A$25:$A$194,$I339,$J$25:$J$194)-10)</f>
        <v>0</v>
      </c>
      <c r="K339" s="1764">
        <f>IF(I339="N",0,SUMIF($A$25:$A$194,$I339,$K$25:$K$194)-10)</f>
        <v>0</v>
      </c>
      <c r="L339" s="1765">
        <f>J339</f>
        <v>0</v>
      </c>
      <c r="M339" s="1771">
        <f>K339</f>
        <v>0</v>
      </c>
      <c r="O339" s="2150" t="s">
        <v>106</v>
      </c>
      <c r="AJ339" s="320"/>
      <c r="AM339" s="320"/>
    </row>
    <row r="340" spans="1:39" ht="18" hidden="1" customHeight="1" outlineLevel="1">
      <c r="A340" s="1581"/>
      <c r="C340" s="320"/>
      <c r="D340" s="194"/>
      <c r="E340" s="146" t="s">
        <v>2055</v>
      </c>
      <c r="F340" s="919" t="str">
        <f>A339</f>
        <v>N</v>
      </c>
      <c r="G340" s="320"/>
      <c r="H340" s="320"/>
      <c r="I340" s="376"/>
      <c r="J340" s="1579"/>
      <c r="K340" s="1766" t="s">
        <v>215</v>
      </c>
      <c r="L340" s="1767" t="s">
        <v>1469</v>
      </c>
      <c r="M340" s="1767" t="s">
        <v>1473</v>
      </c>
      <c r="AJ340" s="320"/>
      <c r="AM340" s="320"/>
    </row>
    <row r="341" spans="1:39" ht="18" hidden="1" customHeight="1" outlineLevel="1">
      <c r="A341" s="1581">
        <f>A338+1</f>
        <v>11</v>
      </c>
      <c r="C341" s="320"/>
      <c r="D341" s="194"/>
      <c r="F341" s="320"/>
      <c r="G341" s="320"/>
      <c r="H341" s="320"/>
      <c r="I341" s="376"/>
      <c r="J341" s="1579"/>
      <c r="K341" s="1705" t="s">
        <v>127</v>
      </c>
      <c r="L341" s="1768"/>
      <c r="M341" s="1705" t="s">
        <v>1196</v>
      </c>
      <c r="AJ341" s="320"/>
      <c r="AM341" s="320"/>
    </row>
    <row r="342" spans="1:39" ht="18" hidden="1" customHeight="1" outlineLevel="1">
      <c r="A342" s="1761" t="str">
        <f>IFERROR(INDEX('Summary Data'!B:B,MATCH(A341,'Summary Data'!GP:GP,0),1),"N")</f>
        <v>N</v>
      </c>
      <c r="B342" s="1762"/>
      <c r="C342" s="1614"/>
      <c r="D342" s="1614"/>
      <c r="E342" s="1614" t="s">
        <v>202</v>
      </c>
      <c r="F342" s="1614"/>
      <c r="G342" s="1614"/>
      <c r="H342" s="1614">
        <v>0</v>
      </c>
      <c r="I342" s="1614" t="s">
        <v>106</v>
      </c>
      <c r="J342" s="1763">
        <f>IF(I342="N",0,SUMIF($A$25:$A$194,$I342,$J$25:$J$194)-10)</f>
        <v>0</v>
      </c>
      <c r="K342" s="1764">
        <f>IF(I342="N",0,SUMIF($A$25:$A$194,$I342,$K$25:$K$194)-10)</f>
        <v>0</v>
      </c>
      <c r="L342" s="1765">
        <f>J342</f>
        <v>0</v>
      </c>
      <c r="M342" s="1771">
        <f>K342</f>
        <v>0</v>
      </c>
      <c r="O342" s="2150" t="s">
        <v>106</v>
      </c>
      <c r="AJ342" s="320"/>
      <c r="AM342" s="320"/>
    </row>
    <row r="343" spans="1:39" ht="18" hidden="1" customHeight="1" outlineLevel="1">
      <c r="A343" s="1581"/>
      <c r="C343" s="320"/>
      <c r="D343" s="194"/>
      <c r="E343" s="146" t="s">
        <v>2055</v>
      </c>
      <c r="F343" s="919" t="str">
        <f>A342</f>
        <v>N</v>
      </c>
      <c r="G343" s="320"/>
      <c r="H343" s="320"/>
      <c r="I343" s="376"/>
      <c r="J343" s="1579"/>
      <c r="K343" s="1766" t="s">
        <v>215</v>
      </c>
      <c r="L343" s="1767" t="s">
        <v>1469</v>
      </c>
      <c r="M343" s="1767" t="s">
        <v>1473</v>
      </c>
      <c r="AJ343" s="320"/>
      <c r="AM343" s="320"/>
    </row>
    <row r="344" spans="1:39" ht="18" hidden="1" customHeight="1" outlineLevel="1">
      <c r="A344" s="1581">
        <f>A341+1</f>
        <v>12</v>
      </c>
      <c r="C344" s="320"/>
      <c r="D344" s="194"/>
      <c r="F344" s="320"/>
      <c r="G344" s="320"/>
      <c r="H344" s="320"/>
      <c r="I344" s="376"/>
      <c r="J344" s="1579"/>
      <c r="K344" s="1705" t="s">
        <v>127</v>
      </c>
      <c r="L344" s="1768"/>
      <c r="M344" s="1705" t="s">
        <v>1196</v>
      </c>
      <c r="AJ344" s="320"/>
      <c r="AM344" s="320"/>
    </row>
    <row r="345" spans="1:39" ht="18" hidden="1" customHeight="1" outlineLevel="1">
      <c r="A345" s="1761" t="str">
        <f>IFERROR(INDEX('Summary Data'!B:B,MATCH(A344,'Summary Data'!GP:GP,0),1),"N")</f>
        <v>N</v>
      </c>
      <c r="B345" s="1762"/>
      <c r="C345" s="1614"/>
      <c r="D345" s="1614"/>
      <c r="E345" s="1614" t="s">
        <v>202</v>
      </c>
      <c r="F345" s="1614"/>
      <c r="G345" s="1614"/>
      <c r="H345" s="1614">
        <v>0</v>
      </c>
      <c r="I345" s="1614" t="s">
        <v>106</v>
      </c>
      <c r="J345" s="1763">
        <f>IF(I345="N",0,SUMIF($A$25:$A$194,$I345,$J$25:$J$194)-10)</f>
        <v>0</v>
      </c>
      <c r="K345" s="1764">
        <f>IF(I345="N",0,SUMIF($A$25:$A$194,$I345,$K$25:$K$194)-10)</f>
        <v>0</v>
      </c>
      <c r="L345" s="1765">
        <f>J345</f>
        <v>0</v>
      </c>
      <c r="M345" s="1771">
        <f>K345</f>
        <v>0</v>
      </c>
      <c r="O345" s="2150" t="s">
        <v>106</v>
      </c>
      <c r="AJ345" s="320"/>
      <c r="AM345" s="320"/>
    </row>
    <row r="346" spans="1:39" ht="18" hidden="1" customHeight="1" outlineLevel="1">
      <c r="A346" s="1581"/>
      <c r="C346" s="320"/>
      <c r="D346" s="194"/>
      <c r="E346" s="146" t="s">
        <v>2055</v>
      </c>
      <c r="F346" s="919" t="str">
        <f>A345</f>
        <v>N</v>
      </c>
      <c r="G346" s="320"/>
      <c r="H346" s="320"/>
      <c r="I346" s="376"/>
      <c r="J346" s="1579"/>
      <c r="K346" s="1766" t="s">
        <v>215</v>
      </c>
      <c r="L346" s="1767" t="s">
        <v>1469</v>
      </c>
      <c r="M346" s="1767" t="s">
        <v>1473</v>
      </c>
      <c r="AJ346" s="320"/>
      <c r="AM346" s="320"/>
    </row>
    <row r="347" spans="1:39" ht="18" hidden="1" customHeight="1" outlineLevel="1">
      <c r="A347" s="1581">
        <f>A344+1</f>
        <v>13</v>
      </c>
      <c r="C347" s="320"/>
      <c r="D347" s="194"/>
      <c r="F347" s="320"/>
      <c r="G347" s="320"/>
      <c r="H347" s="320"/>
      <c r="I347" s="376"/>
      <c r="J347" s="1579"/>
      <c r="K347" s="1705" t="s">
        <v>127</v>
      </c>
      <c r="L347" s="1768"/>
      <c r="M347" s="1705" t="s">
        <v>1196</v>
      </c>
      <c r="AJ347" s="320"/>
      <c r="AM347" s="320"/>
    </row>
    <row r="348" spans="1:39" ht="18" hidden="1" customHeight="1" outlineLevel="1">
      <c r="A348" s="1761" t="str">
        <f>IFERROR(INDEX('Summary Data'!B:B,MATCH(A347,'Summary Data'!GP:GP,0),1),"N")</f>
        <v>N</v>
      </c>
      <c r="B348" s="1762"/>
      <c r="C348" s="1614"/>
      <c r="D348" s="1614"/>
      <c r="E348" s="1614" t="s">
        <v>202</v>
      </c>
      <c r="F348" s="1614"/>
      <c r="G348" s="1614"/>
      <c r="H348" s="1614">
        <v>0</v>
      </c>
      <c r="I348" s="1614" t="s">
        <v>106</v>
      </c>
      <c r="J348" s="1763">
        <f>IF(I348="N",0,SUMIF($A$25:$A$194,$I348,$J$25:$J$194)-10)</f>
        <v>0</v>
      </c>
      <c r="K348" s="1764">
        <f>IF(I348="N",0,SUMIF($A$25:$A$194,$I348,$K$25:$K$194)-10)</f>
        <v>0</v>
      </c>
      <c r="L348" s="1765">
        <f>J348</f>
        <v>0</v>
      </c>
      <c r="M348" s="1771">
        <f>K348</f>
        <v>0</v>
      </c>
      <c r="O348" s="2150" t="s">
        <v>106</v>
      </c>
      <c r="AJ348" s="320"/>
      <c r="AM348" s="320"/>
    </row>
    <row r="349" spans="1:39" ht="18" hidden="1" customHeight="1" outlineLevel="1">
      <c r="A349" s="1581"/>
      <c r="C349" s="320"/>
      <c r="D349" s="194"/>
      <c r="E349" s="146" t="s">
        <v>2055</v>
      </c>
      <c r="F349" s="919" t="str">
        <f>A348</f>
        <v>N</v>
      </c>
      <c r="G349" s="320"/>
      <c r="H349" s="320"/>
      <c r="I349" s="376"/>
      <c r="J349" s="1579"/>
      <c r="K349" s="1766" t="s">
        <v>215</v>
      </c>
      <c r="L349" s="1767" t="s">
        <v>1469</v>
      </c>
      <c r="M349" s="1767" t="s">
        <v>1473</v>
      </c>
      <c r="AJ349" s="320"/>
      <c r="AM349" s="320"/>
    </row>
    <row r="350" spans="1:39" ht="18" hidden="1" customHeight="1" outlineLevel="1">
      <c r="A350" s="1581">
        <f>A347+1</f>
        <v>14</v>
      </c>
      <c r="C350" s="320"/>
      <c r="D350" s="194"/>
      <c r="F350" s="320"/>
      <c r="G350" s="320"/>
      <c r="H350" s="320"/>
      <c r="I350" s="376"/>
      <c r="J350" s="1579"/>
      <c r="K350" s="1705" t="s">
        <v>127</v>
      </c>
      <c r="L350" s="1768"/>
      <c r="M350" s="1705" t="s">
        <v>1196</v>
      </c>
      <c r="AJ350" s="320"/>
      <c r="AM350" s="320"/>
    </row>
    <row r="351" spans="1:39" ht="18" hidden="1" customHeight="1" outlineLevel="1">
      <c r="A351" s="1761" t="str">
        <f>IFERROR(INDEX('Summary Data'!B:B,MATCH(A350,'Summary Data'!GP:GP,0),1),"N")</f>
        <v>N</v>
      </c>
      <c r="B351" s="1762"/>
      <c r="C351" s="1614"/>
      <c r="D351" s="1614"/>
      <c r="E351" s="1614" t="s">
        <v>202</v>
      </c>
      <c r="F351" s="1614"/>
      <c r="G351" s="1614"/>
      <c r="H351" s="1614">
        <v>0</v>
      </c>
      <c r="I351" s="1614" t="s">
        <v>106</v>
      </c>
      <c r="J351" s="1763">
        <f>IF(I351="N",0,SUMIF($A$25:$A$194,$I351,$J$25:$J$194)-10)</f>
        <v>0</v>
      </c>
      <c r="K351" s="1764">
        <f>IF(I351="N",0,SUMIF($A$25:$A$194,$I351,$K$25:$K$194)-10)</f>
        <v>0</v>
      </c>
      <c r="L351" s="1765">
        <f>J351</f>
        <v>0</v>
      </c>
      <c r="M351" s="1771">
        <f>K351</f>
        <v>0</v>
      </c>
      <c r="O351" s="2150" t="s">
        <v>106</v>
      </c>
      <c r="AJ351" s="320"/>
      <c r="AM351" s="320"/>
    </row>
    <row r="352" spans="1:39" ht="18" hidden="1" customHeight="1" outlineLevel="1">
      <c r="A352" s="1581"/>
      <c r="C352" s="320"/>
      <c r="D352" s="194"/>
      <c r="E352" s="146" t="s">
        <v>2055</v>
      </c>
      <c r="F352" s="919" t="str">
        <f>A351</f>
        <v>N</v>
      </c>
      <c r="G352" s="320"/>
      <c r="H352" s="320"/>
      <c r="I352" s="376"/>
      <c r="J352" s="1579"/>
      <c r="K352" s="1766" t="s">
        <v>215</v>
      </c>
      <c r="L352" s="1767" t="s">
        <v>1469</v>
      </c>
      <c r="M352" s="1767" t="s">
        <v>1473</v>
      </c>
      <c r="AJ352" s="320"/>
      <c r="AM352" s="320"/>
    </row>
    <row r="353" spans="1:1022 1034:3063 3075:4090 4102:5117 5129:6144 6156:7158 7170:8185 8197:9212 9224:10239 10251:11253 11265:12280 12292:13307 13319:14334 14346:16375" ht="18" hidden="1" customHeight="1" outlineLevel="1">
      <c r="A353" s="1581">
        <f>A350+1</f>
        <v>15</v>
      </c>
      <c r="C353" s="320"/>
      <c r="D353" s="194"/>
      <c r="F353" s="320"/>
      <c r="G353" s="320"/>
      <c r="H353" s="320"/>
      <c r="I353" s="376"/>
      <c r="J353" s="1579"/>
      <c r="K353" s="1705" t="s">
        <v>127</v>
      </c>
      <c r="L353" s="1768"/>
      <c r="M353" s="1705" t="s">
        <v>1196</v>
      </c>
      <c r="AJ353" s="320"/>
      <c r="AM353" s="320"/>
    </row>
    <row r="354" spans="1:1022 1034:3063 3075:4090 4102:5117 5129:6144 6156:7158 7170:8185 8197:9212 9224:10239 10251:11253 11265:12280 12292:13307 13319:14334 14346:16375" ht="18" hidden="1" customHeight="1" outlineLevel="1">
      <c r="A354" s="1761" t="str">
        <f>IFERROR(INDEX('Summary Data'!B:B,MATCH(A353,'Summary Data'!GP:GP,0),1),"N")</f>
        <v>N</v>
      </c>
      <c r="B354" s="1762"/>
      <c r="C354" s="1614"/>
      <c r="D354" s="1614"/>
      <c r="E354" s="1614" t="s">
        <v>202</v>
      </c>
      <c r="F354" s="1614"/>
      <c r="G354" s="1614"/>
      <c r="H354" s="1614"/>
      <c r="I354" s="1614" t="s">
        <v>106</v>
      </c>
      <c r="J354" s="1763">
        <f>IF(I354="N",0,SUMIF($A$25:$A$194,$I354,$J$25:$J$194)-10)</f>
        <v>0</v>
      </c>
      <c r="K354" s="1764">
        <f>IF(I354="N",0,SUMIF($A$25:$A$194,$I354,$K$25:$K$194)-10)</f>
        <v>0</v>
      </c>
      <c r="L354" s="1765">
        <f>J354</f>
        <v>0</v>
      </c>
      <c r="M354" s="1771">
        <f>K354</f>
        <v>0</v>
      </c>
      <c r="O354" s="2150" t="s">
        <v>106</v>
      </c>
      <c r="AJ354" s="320"/>
      <c r="AM354" s="320"/>
    </row>
    <row r="355" spans="1:1022 1034:3063 3075:4090 4102:5117 5129:6144 6156:7158 7170:8185 8197:9212 9224:10239 10251:11253 11265:12280 12292:13307 13319:14334 14346:16375" ht="18" hidden="1" customHeight="1" outlineLevel="1">
      <c r="A355" s="1581"/>
      <c r="C355" s="320"/>
      <c r="D355" s="194"/>
      <c r="E355" s="146" t="s">
        <v>2055</v>
      </c>
      <c r="F355" s="919" t="str">
        <f>A354</f>
        <v>N</v>
      </c>
      <c r="G355" s="320"/>
      <c r="H355" s="320"/>
      <c r="I355" s="376"/>
      <c r="J355" s="1579"/>
      <c r="K355" s="1766" t="s">
        <v>215</v>
      </c>
      <c r="L355" s="1767" t="s">
        <v>1469</v>
      </c>
      <c r="M355" s="1767" t="s">
        <v>1473</v>
      </c>
      <c r="AJ355" s="320"/>
      <c r="AM355" s="320"/>
    </row>
    <row r="356" spans="1:1022 1034:3063 3075:4090 4102:5117 5129:6144 6156:7158 7170:8185 8197:9212 9224:10239 10251:11253 11265:12280 12292:13307 13319:14334 14346:16375" ht="18" hidden="1" customHeight="1" outlineLevel="1">
      <c r="A356" s="1581"/>
      <c r="C356" s="320"/>
      <c r="D356" s="194"/>
      <c r="F356" s="320"/>
      <c r="G356" s="320"/>
      <c r="H356" s="320"/>
      <c r="I356" s="376"/>
      <c r="J356" s="1579"/>
      <c r="K356" s="1705" t="s">
        <v>127</v>
      </c>
      <c r="L356" s="1768"/>
      <c r="M356" s="1705" t="s">
        <v>1196</v>
      </c>
      <c r="AJ356" s="320"/>
      <c r="AM356" s="320"/>
    </row>
    <row r="357" spans="1:1022 1034:3063 3075:4090 4102:5117 5129:6144 6156:7158 7170:8185 8197:9212 9224:10239 10251:11253 11265:12280 12292:13307 13319:14334 14346:16375" s="146" customFormat="1" ht="18" customHeight="1" collapsed="1">
      <c r="A357" s="1776" t="s">
        <v>594</v>
      </c>
      <c r="B357" s="1776" t="s">
        <v>1086</v>
      </c>
      <c r="C357" s="1776" t="s">
        <v>1495</v>
      </c>
      <c r="D357" s="1776" t="s">
        <v>1258</v>
      </c>
      <c r="E357" s="1776" t="s">
        <v>1099</v>
      </c>
      <c r="F357" s="1776" t="s">
        <v>17</v>
      </c>
      <c r="G357" s="1809" t="s">
        <v>12</v>
      </c>
      <c r="H357" s="1809" t="s">
        <v>1343</v>
      </c>
      <c r="I357" s="1776" t="s">
        <v>1100</v>
      </c>
      <c r="J357" s="1776" t="s">
        <v>212</v>
      </c>
      <c r="K357" s="1776" t="s">
        <v>1089</v>
      </c>
      <c r="L357" s="1776" t="s">
        <v>212</v>
      </c>
      <c r="M357" s="1777" t="s">
        <v>1090</v>
      </c>
      <c r="T357" s="890"/>
      <c r="U357" s="890"/>
      <c r="AG357" s="890"/>
      <c r="AH357" s="890"/>
      <c r="AT357" s="890"/>
      <c r="AU357" s="890"/>
      <c r="BG357" s="890"/>
      <c r="BH357" s="890"/>
      <c r="BT357" s="890"/>
      <c r="BU357" s="890"/>
      <c r="CG357" s="890"/>
      <c r="CH357" s="890"/>
      <c r="CT357" s="890"/>
      <c r="CU357" s="890"/>
      <c r="DG357" s="890"/>
      <c r="DH357" s="890"/>
      <c r="DT357" s="890"/>
      <c r="DU357" s="890"/>
      <c r="EG357" s="890"/>
      <c r="EH357" s="890"/>
      <c r="ET357" s="890"/>
      <c r="EU357" s="890"/>
      <c r="FG357" s="890"/>
      <c r="FH357" s="890"/>
      <c r="FT357" s="890"/>
      <c r="FU357" s="890"/>
      <c r="GG357" s="890"/>
      <c r="GH357" s="890"/>
      <c r="GT357" s="890"/>
      <c r="GU357" s="890"/>
      <c r="HG357" s="890"/>
      <c r="HH357" s="890"/>
      <c r="HT357" s="890"/>
      <c r="HU357" s="890"/>
      <c r="IG357" s="890"/>
      <c r="IH357" s="890"/>
      <c r="IT357" s="890"/>
      <c r="IU357" s="890"/>
      <c r="JG357" s="890"/>
      <c r="JH357" s="890"/>
      <c r="JT357" s="890"/>
      <c r="JU357" s="890"/>
      <c r="KG357" s="890"/>
      <c r="KH357" s="890"/>
      <c r="KT357" s="890"/>
      <c r="KU357" s="890"/>
      <c r="LG357" s="890"/>
      <c r="LH357" s="890"/>
      <c r="LT357" s="890"/>
      <c r="LU357" s="890"/>
      <c r="MG357" s="890"/>
      <c r="MH357" s="890"/>
      <c r="MT357" s="890"/>
      <c r="MU357" s="890"/>
      <c r="NG357" s="890"/>
      <c r="NH357" s="890"/>
      <c r="NT357" s="890"/>
      <c r="NU357" s="890"/>
      <c r="OG357" s="890"/>
      <c r="OH357" s="890"/>
      <c r="OT357" s="890"/>
      <c r="OU357" s="890"/>
      <c r="PG357" s="890"/>
      <c r="PH357" s="890"/>
      <c r="PT357" s="890"/>
      <c r="PU357" s="890"/>
      <c r="QG357" s="890"/>
      <c r="QH357" s="890"/>
      <c r="QT357" s="890"/>
      <c r="QU357" s="890"/>
      <c r="RG357" s="890"/>
      <c r="RH357" s="890"/>
      <c r="RT357" s="890"/>
      <c r="RU357" s="890"/>
      <c r="SG357" s="890"/>
      <c r="SH357" s="890"/>
      <c r="ST357" s="890"/>
      <c r="SU357" s="890"/>
      <c r="TG357" s="890"/>
      <c r="TH357" s="890"/>
      <c r="TT357" s="890"/>
      <c r="TU357" s="890"/>
      <c r="UG357" s="890"/>
      <c r="UH357" s="890"/>
      <c r="UT357" s="890"/>
      <c r="UU357" s="890"/>
      <c r="VG357" s="890"/>
      <c r="VH357" s="890"/>
      <c r="VT357" s="890"/>
      <c r="VU357" s="890"/>
      <c r="WG357" s="890"/>
      <c r="WH357" s="890"/>
      <c r="WT357" s="890"/>
      <c r="WU357" s="890"/>
      <c r="XG357" s="890"/>
      <c r="XH357" s="890"/>
      <c r="XT357" s="890"/>
      <c r="XU357" s="890"/>
      <c r="YG357" s="890"/>
      <c r="YH357" s="890"/>
      <c r="YT357" s="890"/>
      <c r="YU357" s="890"/>
      <c r="ZG357" s="890"/>
      <c r="ZH357" s="890"/>
      <c r="ZT357" s="890"/>
      <c r="ZU357" s="890"/>
      <c r="AAG357" s="890"/>
      <c r="AAH357" s="890"/>
      <c r="AAT357" s="890"/>
      <c r="AAU357" s="890"/>
      <c r="ABG357" s="890"/>
      <c r="ABH357" s="890"/>
      <c r="ABT357" s="890"/>
      <c r="ABU357" s="890"/>
      <c r="ACG357" s="890"/>
      <c r="ACH357" s="890"/>
      <c r="ACT357" s="890"/>
      <c r="ACU357" s="890"/>
      <c r="ADG357" s="890"/>
      <c r="ADH357" s="890"/>
      <c r="ADT357" s="890"/>
      <c r="ADU357" s="890"/>
      <c r="AEG357" s="890"/>
      <c r="AEH357" s="890"/>
      <c r="AET357" s="890"/>
      <c r="AEU357" s="890"/>
      <c r="AFG357" s="890"/>
      <c r="AFH357" s="890"/>
      <c r="AFT357" s="890"/>
      <c r="AFU357" s="890"/>
      <c r="AGG357" s="890"/>
      <c r="AGH357" s="890"/>
      <c r="AGT357" s="890"/>
      <c r="AGU357" s="890"/>
      <c r="AHG357" s="890"/>
      <c r="AHH357" s="890"/>
      <c r="AHT357" s="890"/>
      <c r="AHU357" s="890"/>
      <c r="AIG357" s="890"/>
      <c r="AIH357" s="890"/>
      <c r="AIT357" s="890"/>
      <c r="AIU357" s="890"/>
      <c r="AJG357" s="890"/>
      <c r="AJH357" s="890"/>
      <c r="AJT357" s="890"/>
      <c r="AJU357" s="890"/>
      <c r="AKG357" s="890"/>
      <c r="AKH357" s="890"/>
      <c r="AKT357" s="890"/>
      <c r="AKU357" s="890"/>
      <c r="ALG357" s="890"/>
      <c r="ALH357" s="890"/>
      <c r="ALT357" s="890"/>
      <c r="ALU357" s="890"/>
      <c r="AMG357" s="890"/>
      <c r="AMH357" s="890"/>
      <c r="AMT357" s="890"/>
      <c r="AMU357" s="890"/>
      <c r="ANG357" s="890"/>
      <c r="ANH357" s="890"/>
      <c r="ANT357" s="890"/>
      <c r="ANU357" s="890"/>
      <c r="AOG357" s="890"/>
      <c r="AOH357" s="890"/>
      <c r="AOT357" s="890"/>
      <c r="AOU357" s="890"/>
      <c r="APG357" s="890"/>
      <c r="APH357" s="890"/>
      <c r="APT357" s="890"/>
      <c r="APU357" s="890"/>
      <c r="AQG357" s="890"/>
      <c r="AQH357" s="890"/>
      <c r="AQT357" s="890"/>
      <c r="AQU357" s="890"/>
      <c r="ARG357" s="890"/>
      <c r="ARH357" s="890"/>
      <c r="ART357" s="890"/>
      <c r="ARU357" s="890"/>
      <c r="ASG357" s="890"/>
      <c r="ASH357" s="890"/>
      <c r="AST357" s="890"/>
      <c r="ASU357" s="890"/>
      <c r="ATG357" s="890"/>
      <c r="ATH357" s="890"/>
      <c r="ATT357" s="890"/>
      <c r="ATU357" s="890"/>
      <c r="AUG357" s="890"/>
      <c r="AUH357" s="890"/>
      <c r="AUT357" s="890"/>
      <c r="AUU357" s="890"/>
      <c r="AVG357" s="890"/>
      <c r="AVH357" s="890"/>
      <c r="AVT357" s="890"/>
      <c r="AVU357" s="890"/>
      <c r="AWG357" s="890"/>
      <c r="AWH357" s="890"/>
      <c r="AWT357" s="890"/>
      <c r="AWU357" s="890"/>
      <c r="AXG357" s="890"/>
      <c r="AXH357" s="890"/>
      <c r="AXT357" s="890"/>
      <c r="AXU357" s="890"/>
      <c r="AYG357" s="890"/>
      <c r="AYH357" s="890"/>
      <c r="AYT357" s="890"/>
      <c r="AYU357" s="890"/>
      <c r="AZG357" s="890"/>
      <c r="AZH357" s="890"/>
      <c r="AZT357" s="890"/>
      <c r="AZU357" s="890"/>
      <c r="BAG357" s="890"/>
      <c r="BAH357" s="890"/>
      <c r="BAT357" s="890"/>
      <c r="BAU357" s="890"/>
      <c r="BBG357" s="890"/>
      <c r="BBH357" s="890"/>
      <c r="BBT357" s="890"/>
      <c r="BBU357" s="890"/>
      <c r="BCG357" s="890"/>
      <c r="BCH357" s="890"/>
      <c r="BCT357" s="890"/>
      <c r="BCU357" s="890"/>
      <c r="BDG357" s="890"/>
      <c r="BDH357" s="890"/>
      <c r="BDT357" s="890"/>
      <c r="BDU357" s="890"/>
      <c r="BEG357" s="890"/>
      <c r="BEH357" s="890"/>
      <c r="BET357" s="890"/>
      <c r="BEU357" s="890"/>
      <c r="BFG357" s="890"/>
      <c r="BFH357" s="890"/>
      <c r="BFT357" s="890"/>
      <c r="BFU357" s="890"/>
      <c r="BGG357" s="890"/>
      <c r="BGH357" s="890"/>
      <c r="BGT357" s="890"/>
      <c r="BGU357" s="890"/>
      <c r="BHG357" s="890"/>
      <c r="BHH357" s="890"/>
      <c r="BHT357" s="890"/>
      <c r="BHU357" s="890"/>
      <c r="BIG357" s="890"/>
      <c r="BIH357" s="890"/>
      <c r="BIT357" s="890"/>
      <c r="BIU357" s="890"/>
      <c r="BJG357" s="890"/>
      <c r="BJH357" s="890"/>
      <c r="BJT357" s="890"/>
      <c r="BJU357" s="890"/>
      <c r="BKG357" s="890"/>
      <c r="BKH357" s="890"/>
      <c r="BKT357" s="890"/>
      <c r="BKU357" s="890"/>
      <c r="BLG357" s="890"/>
      <c r="BLH357" s="890"/>
      <c r="BLT357" s="890"/>
      <c r="BLU357" s="890"/>
      <c r="BMG357" s="890"/>
      <c r="BMH357" s="890"/>
      <c r="BMT357" s="890"/>
      <c r="BMU357" s="890"/>
      <c r="BNG357" s="890"/>
      <c r="BNH357" s="890"/>
      <c r="BNT357" s="890"/>
      <c r="BNU357" s="890"/>
      <c r="BOG357" s="890"/>
      <c r="BOH357" s="890"/>
      <c r="BOT357" s="890"/>
      <c r="BOU357" s="890"/>
      <c r="BPG357" s="890"/>
      <c r="BPH357" s="890"/>
      <c r="BPT357" s="890"/>
      <c r="BPU357" s="890"/>
      <c r="BQG357" s="890"/>
      <c r="BQH357" s="890"/>
      <c r="BQT357" s="890"/>
      <c r="BQU357" s="890"/>
      <c r="BRG357" s="890"/>
      <c r="BRH357" s="890"/>
      <c r="BRT357" s="890"/>
      <c r="BRU357" s="890"/>
      <c r="BSG357" s="890"/>
      <c r="BSH357" s="890"/>
      <c r="BST357" s="890"/>
      <c r="BSU357" s="890"/>
      <c r="BTG357" s="890"/>
      <c r="BTH357" s="890"/>
      <c r="BTT357" s="890"/>
      <c r="BTU357" s="890"/>
      <c r="BUG357" s="890"/>
      <c r="BUH357" s="890"/>
      <c r="BUT357" s="890"/>
      <c r="BUU357" s="890"/>
      <c r="BVG357" s="890"/>
      <c r="BVH357" s="890"/>
      <c r="BVT357" s="890"/>
      <c r="BVU357" s="890"/>
      <c r="BWG357" s="890"/>
      <c r="BWH357" s="890"/>
      <c r="BWT357" s="890"/>
      <c r="BWU357" s="890"/>
      <c r="BXG357" s="890"/>
      <c r="BXH357" s="890"/>
      <c r="BXT357" s="890"/>
      <c r="BXU357" s="890"/>
      <c r="BYG357" s="890"/>
      <c r="BYH357" s="890"/>
      <c r="BYT357" s="890"/>
      <c r="BYU357" s="890"/>
      <c r="BZG357" s="890"/>
      <c r="BZH357" s="890"/>
      <c r="BZT357" s="890"/>
      <c r="BZU357" s="890"/>
      <c r="CAG357" s="890"/>
      <c r="CAH357" s="890"/>
      <c r="CAT357" s="890"/>
      <c r="CAU357" s="890"/>
      <c r="CBG357" s="890"/>
      <c r="CBH357" s="890"/>
      <c r="CBT357" s="890"/>
      <c r="CBU357" s="890"/>
      <c r="CCG357" s="890"/>
      <c r="CCH357" s="890"/>
      <c r="CCT357" s="890"/>
      <c r="CCU357" s="890"/>
      <c r="CDG357" s="890"/>
      <c r="CDH357" s="890"/>
      <c r="CDT357" s="890"/>
      <c r="CDU357" s="890"/>
      <c r="CEG357" s="890"/>
      <c r="CEH357" s="890"/>
      <c r="CET357" s="890"/>
      <c r="CEU357" s="890"/>
      <c r="CFG357" s="890"/>
      <c r="CFH357" s="890"/>
      <c r="CFT357" s="890"/>
      <c r="CFU357" s="890"/>
      <c r="CGG357" s="890"/>
      <c r="CGH357" s="890"/>
      <c r="CGT357" s="890"/>
      <c r="CGU357" s="890"/>
      <c r="CHG357" s="890"/>
      <c r="CHH357" s="890"/>
      <c r="CHT357" s="890"/>
      <c r="CHU357" s="890"/>
      <c r="CIG357" s="890"/>
      <c r="CIH357" s="890"/>
      <c r="CIT357" s="890"/>
      <c r="CIU357" s="890"/>
      <c r="CJG357" s="890"/>
      <c r="CJH357" s="890"/>
      <c r="CJT357" s="890"/>
      <c r="CJU357" s="890"/>
      <c r="CKG357" s="890"/>
      <c r="CKH357" s="890"/>
      <c r="CKT357" s="890"/>
      <c r="CKU357" s="890"/>
      <c r="CLG357" s="890"/>
      <c r="CLH357" s="890"/>
      <c r="CLT357" s="890"/>
      <c r="CLU357" s="890"/>
      <c r="CMG357" s="890"/>
      <c r="CMH357" s="890"/>
      <c r="CMT357" s="890"/>
      <c r="CMU357" s="890"/>
      <c r="CNG357" s="890"/>
      <c r="CNH357" s="890"/>
      <c r="CNT357" s="890"/>
      <c r="CNU357" s="890"/>
      <c r="COG357" s="890"/>
      <c r="COH357" s="890"/>
      <c r="COT357" s="890"/>
      <c r="COU357" s="890"/>
      <c r="CPG357" s="890"/>
      <c r="CPH357" s="890"/>
      <c r="CPT357" s="890"/>
      <c r="CPU357" s="890"/>
      <c r="CQG357" s="890"/>
      <c r="CQH357" s="890"/>
      <c r="CQT357" s="890"/>
      <c r="CQU357" s="890"/>
      <c r="CRG357" s="890"/>
      <c r="CRH357" s="890"/>
      <c r="CRT357" s="890"/>
      <c r="CRU357" s="890"/>
      <c r="CSG357" s="890"/>
      <c r="CSH357" s="890"/>
      <c r="CST357" s="890"/>
      <c r="CSU357" s="890"/>
      <c r="CTG357" s="890"/>
      <c r="CTH357" s="890"/>
      <c r="CTT357" s="890"/>
      <c r="CTU357" s="890"/>
      <c r="CUG357" s="890"/>
      <c r="CUH357" s="890"/>
      <c r="CUT357" s="890"/>
      <c r="CUU357" s="890"/>
      <c r="CVG357" s="890"/>
      <c r="CVH357" s="890"/>
      <c r="CVT357" s="890"/>
      <c r="CVU357" s="890"/>
      <c r="CWG357" s="890"/>
      <c r="CWH357" s="890"/>
      <c r="CWT357" s="890"/>
      <c r="CWU357" s="890"/>
      <c r="CXG357" s="890"/>
      <c r="CXH357" s="890"/>
      <c r="CXT357" s="890"/>
      <c r="CXU357" s="890"/>
      <c r="CYG357" s="890"/>
      <c r="CYH357" s="890"/>
      <c r="CYT357" s="890"/>
      <c r="CYU357" s="890"/>
      <c r="CZG357" s="890"/>
      <c r="CZH357" s="890"/>
      <c r="CZT357" s="890"/>
      <c r="CZU357" s="890"/>
      <c r="DAG357" s="890"/>
      <c r="DAH357" s="890"/>
      <c r="DAT357" s="890"/>
      <c r="DAU357" s="890"/>
      <c r="DBG357" s="890"/>
      <c r="DBH357" s="890"/>
      <c r="DBT357" s="890"/>
      <c r="DBU357" s="890"/>
      <c r="DCG357" s="890"/>
      <c r="DCH357" s="890"/>
      <c r="DCT357" s="890"/>
      <c r="DCU357" s="890"/>
      <c r="DDG357" s="890"/>
      <c r="DDH357" s="890"/>
      <c r="DDT357" s="890"/>
      <c r="DDU357" s="890"/>
      <c r="DEG357" s="890"/>
      <c r="DEH357" s="890"/>
      <c r="DET357" s="890"/>
      <c r="DEU357" s="890"/>
      <c r="DFG357" s="890"/>
      <c r="DFH357" s="890"/>
      <c r="DFT357" s="890"/>
      <c r="DFU357" s="890"/>
      <c r="DGG357" s="890"/>
      <c r="DGH357" s="890"/>
      <c r="DGT357" s="890"/>
      <c r="DGU357" s="890"/>
      <c r="DHG357" s="890"/>
      <c r="DHH357" s="890"/>
      <c r="DHT357" s="890"/>
      <c r="DHU357" s="890"/>
      <c r="DIG357" s="890"/>
      <c r="DIH357" s="890"/>
      <c r="DIT357" s="890"/>
      <c r="DIU357" s="890"/>
      <c r="DJG357" s="890"/>
      <c r="DJH357" s="890"/>
      <c r="DJT357" s="890"/>
      <c r="DJU357" s="890"/>
      <c r="DKG357" s="890"/>
      <c r="DKH357" s="890"/>
      <c r="DKT357" s="890"/>
      <c r="DKU357" s="890"/>
      <c r="DLG357" s="890"/>
      <c r="DLH357" s="890"/>
      <c r="DLT357" s="890"/>
      <c r="DLU357" s="890"/>
      <c r="DMG357" s="890"/>
      <c r="DMH357" s="890"/>
      <c r="DMT357" s="890"/>
      <c r="DMU357" s="890"/>
      <c r="DNG357" s="890"/>
      <c r="DNH357" s="890"/>
      <c r="DNT357" s="890"/>
      <c r="DNU357" s="890"/>
      <c r="DOG357" s="890"/>
      <c r="DOH357" s="890"/>
      <c r="DOT357" s="890"/>
      <c r="DOU357" s="890"/>
      <c r="DPG357" s="890"/>
      <c r="DPH357" s="890"/>
      <c r="DPT357" s="890"/>
      <c r="DPU357" s="890"/>
      <c r="DQG357" s="890"/>
      <c r="DQH357" s="890"/>
      <c r="DQT357" s="890"/>
      <c r="DQU357" s="890"/>
      <c r="DRG357" s="890"/>
      <c r="DRH357" s="890"/>
      <c r="DRT357" s="890"/>
      <c r="DRU357" s="890"/>
      <c r="DSG357" s="890"/>
      <c r="DSH357" s="890"/>
      <c r="DST357" s="890"/>
      <c r="DSU357" s="890"/>
      <c r="DTG357" s="890"/>
      <c r="DTH357" s="890"/>
      <c r="DTT357" s="890"/>
      <c r="DTU357" s="890"/>
      <c r="DUG357" s="890"/>
      <c r="DUH357" s="890"/>
      <c r="DUT357" s="890"/>
      <c r="DUU357" s="890"/>
      <c r="DVG357" s="890"/>
      <c r="DVH357" s="890"/>
      <c r="DVT357" s="890"/>
      <c r="DVU357" s="890"/>
      <c r="DWG357" s="890"/>
      <c r="DWH357" s="890"/>
      <c r="DWT357" s="890"/>
      <c r="DWU357" s="890"/>
      <c r="DXG357" s="890"/>
      <c r="DXH357" s="890"/>
      <c r="DXT357" s="890"/>
      <c r="DXU357" s="890"/>
      <c r="DYG357" s="890"/>
      <c r="DYH357" s="890"/>
      <c r="DYT357" s="890"/>
      <c r="DYU357" s="890"/>
      <c r="DZG357" s="890"/>
      <c r="DZH357" s="890"/>
      <c r="DZT357" s="890"/>
      <c r="DZU357" s="890"/>
      <c r="EAG357" s="890"/>
      <c r="EAH357" s="890"/>
      <c r="EAT357" s="890"/>
      <c r="EAU357" s="890"/>
      <c r="EBG357" s="890"/>
      <c r="EBH357" s="890"/>
      <c r="EBT357" s="890"/>
      <c r="EBU357" s="890"/>
      <c r="ECG357" s="890"/>
      <c r="ECH357" s="890"/>
      <c r="ECT357" s="890"/>
      <c r="ECU357" s="890"/>
      <c r="EDG357" s="890"/>
      <c r="EDH357" s="890"/>
      <c r="EDT357" s="890"/>
      <c r="EDU357" s="890"/>
      <c r="EEG357" s="890"/>
      <c r="EEH357" s="890"/>
      <c r="EET357" s="890"/>
      <c r="EEU357" s="890"/>
      <c r="EFG357" s="890"/>
      <c r="EFH357" s="890"/>
      <c r="EFT357" s="890"/>
      <c r="EFU357" s="890"/>
      <c r="EGG357" s="890"/>
      <c r="EGH357" s="890"/>
      <c r="EGT357" s="890"/>
      <c r="EGU357" s="890"/>
      <c r="EHG357" s="890"/>
      <c r="EHH357" s="890"/>
      <c r="EHT357" s="890"/>
      <c r="EHU357" s="890"/>
      <c r="EIG357" s="890"/>
      <c r="EIH357" s="890"/>
      <c r="EIT357" s="890"/>
      <c r="EIU357" s="890"/>
      <c r="EJG357" s="890"/>
      <c r="EJH357" s="890"/>
      <c r="EJT357" s="890"/>
      <c r="EJU357" s="890"/>
      <c r="EKG357" s="890"/>
      <c r="EKH357" s="890"/>
      <c r="EKT357" s="890"/>
      <c r="EKU357" s="890"/>
      <c r="ELG357" s="890"/>
      <c r="ELH357" s="890"/>
      <c r="ELT357" s="890"/>
      <c r="ELU357" s="890"/>
      <c r="EMG357" s="890"/>
      <c r="EMH357" s="890"/>
      <c r="EMT357" s="890"/>
      <c r="EMU357" s="890"/>
      <c r="ENG357" s="890"/>
      <c r="ENH357" s="890"/>
      <c r="ENT357" s="890"/>
      <c r="ENU357" s="890"/>
      <c r="EOG357" s="890"/>
      <c r="EOH357" s="890"/>
      <c r="EOT357" s="890"/>
      <c r="EOU357" s="890"/>
      <c r="EPG357" s="890"/>
      <c r="EPH357" s="890"/>
      <c r="EPT357" s="890"/>
      <c r="EPU357" s="890"/>
      <c r="EQG357" s="890"/>
      <c r="EQH357" s="890"/>
      <c r="EQT357" s="890"/>
      <c r="EQU357" s="890"/>
      <c r="ERG357" s="890"/>
      <c r="ERH357" s="890"/>
      <c r="ERT357" s="890"/>
      <c r="ERU357" s="890"/>
      <c r="ESG357" s="890"/>
      <c r="ESH357" s="890"/>
      <c r="EST357" s="890"/>
      <c r="ESU357" s="890"/>
      <c r="ETG357" s="890"/>
      <c r="ETH357" s="890"/>
      <c r="ETT357" s="890"/>
      <c r="ETU357" s="890"/>
      <c r="EUG357" s="890"/>
      <c r="EUH357" s="890"/>
      <c r="EUT357" s="890"/>
      <c r="EUU357" s="890"/>
      <c r="EVG357" s="890"/>
      <c r="EVH357" s="890"/>
      <c r="EVT357" s="890"/>
      <c r="EVU357" s="890"/>
      <c r="EWG357" s="890"/>
      <c r="EWH357" s="890"/>
      <c r="EWT357" s="890"/>
      <c r="EWU357" s="890"/>
      <c r="EXG357" s="890"/>
      <c r="EXH357" s="890"/>
      <c r="EXT357" s="890"/>
      <c r="EXU357" s="890"/>
      <c r="EYG357" s="890"/>
      <c r="EYH357" s="890"/>
      <c r="EYT357" s="890"/>
      <c r="EYU357" s="890"/>
      <c r="EZG357" s="890"/>
      <c r="EZH357" s="890"/>
      <c r="EZT357" s="890"/>
      <c r="EZU357" s="890"/>
      <c r="FAG357" s="890"/>
      <c r="FAH357" s="890"/>
      <c r="FAT357" s="890"/>
      <c r="FAU357" s="890"/>
      <c r="FBG357" s="890"/>
      <c r="FBH357" s="890"/>
      <c r="FBT357" s="890"/>
      <c r="FBU357" s="890"/>
      <c r="FCG357" s="890"/>
      <c r="FCH357" s="890"/>
      <c r="FCT357" s="890"/>
      <c r="FCU357" s="890"/>
      <c r="FDG357" s="890"/>
      <c r="FDH357" s="890"/>
      <c r="FDT357" s="890"/>
      <c r="FDU357" s="890"/>
      <c r="FEG357" s="890"/>
      <c r="FEH357" s="890"/>
      <c r="FET357" s="890"/>
      <c r="FEU357" s="890"/>
      <c r="FFG357" s="890"/>
      <c r="FFH357" s="890"/>
      <c r="FFT357" s="890"/>
      <c r="FFU357" s="890"/>
      <c r="FGG357" s="890"/>
      <c r="FGH357" s="890"/>
      <c r="FGT357" s="890"/>
      <c r="FGU357" s="890"/>
      <c r="FHG357" s="890"/>
      <c r="FHH357" s="890"/>
      <c r="FHT357" s="890"/>
      <c r="FHU357" s="890"/>
      <c r="FIG357" s="890"/>
      <c r="FIH357" s="890"/>
      <c r="FIT357" s="890"/>
      <c r="FIU357" s="890"/>
      <c r="FJG357" s="890"/>
      <c r="FJH357" s="890"/>
      <c r="FJT357" s="890"/>
      <c r="FJU357" s="890"/>
      <c r="FKG357" s="890"/>
      <c r="FKH357" s="890"/>
      <c r="FKT357" s="890"/>
      <c r="FKU357" s="890"/>
      <c r="FLG357" s="890"/>
      <c r="FLH357" s="890"/>
      <c r="FLT357" s="890"/>
      <c r="FLU357" s="890"/>
      <c r="FMG357" s="890"/>
      <c r="FMH357" s="890"/>
      <c r="FMT357" s="890"/>
      <c r="FMU357" s="890"/>
      <c r="FNG357" s="890"/>
      <c r="FNH357" s="890"/>
      <c r="FNT357" s="890"/>
      <c r="FNU357" s="890"/>
      <c r="FOG357" s="890"/>
      <c r="FOH357" s="890"/>
      <c r="FOT357" s="890"/>
      <c r="FOU357" s="890"/>
      <c r="FPG357" s="890"/>
      <c r="FPH357" s="890"/>
      <c r="FPT357" s="890"/>
      <c r="FPU357" s="890"/>
      <c r="FQG357" s="890"/>
      <c r="FQH357" s="890"/>
      <c r="FQT357" s="890"/>
      <c r="FQU357" s="890"/>
      <c r="FRG357" s="890"/>
      <c r="FRH357" s="890"/>
      <c r="FRT357" s="890"/>
      <c r="FRU357" s="890"/>
      <c r="FSG357" s="890"/>
      <c r="FSH357" s="890"/>
      <c r="FST357" s="890"/>
      <c r="FSU357" s="890"/>
      <c r="FTG357" s="890"/>
      <c r="FTH357" s="890"/>
      <c r="FTT357" s="890"/>
      <c r="FTU357" s="890"/>
      <c r="FUG357" s="890"/>
      <c r="FUH357" s="890"/>
      <c r="FUT357" s="890"/>
      <c r="FUU357" s="890"/>
      <c r="FVG357" s="890"/>
      <c r="FVH357" s="890"/>
      <c r="FVT357" s="890"/>
      <c r="FVU357" s="890"/>
      <c r="FWG357" s="890"/>
      <c r="FWH357" s="890"/>
      <c r="FWT357" s="890"/>
      <c r="FWU357" s="890"/>
      <c r="FXG357" s="890"/>
      <c r="FXH357" s="890"/>
      <c r="FXT357" s="890"/>
      <c r="FXU357" s="890"/>
      <c r="FYG357" s="890"/>
      <c r="FYH357" s="890"/>
      <c r="FYT357" s="890"/>
      <c r="FYU357" s="890"/>
      <c r="FZG357" s="890"/>
      <c r="FZH357" s="890"/>
      <c r="FZT357" s="890"/>
      <c r="FZU357" s="890"/>
      <c r="GAG357" s="890"/>
      <c r="GAH357" s="890"/>
      <c r="GAT357" s="890"/>
      <c r="GAU357" s="890"/>
      <c r="GBG357" s="890"/>
      <c r="GBH357" s="890"/>
      <c r="GBT357" s="890"/>
      <c r="GBU357" s="890"/>
      <c r="GCG357" s="890"/>
      <c r="GCH357" s="890"/>
      <c r="GCT357" s="890"/>
      <c r="GCU357" s="890"/>
      <c r="GDG357" s="890"/>
      <c r="GDH357" s="890"/>
      <c r="GDT357" s="890"/>
      <c r="GDU357" s="890"/>
      <c r="GEG357" s="890"/>
      <c r="GEH357" s="890"/>
      <c r="GET357" s="890"/>
      <c r="GEU357" s="890"/>
      <c r="GFG357" s="890"/>
      <c r="GFH357" s="890"/>
      <c r="GFT357" s="890"/>
      <c r="GFU357" s="890"/>
      <c r="GGG357" s="890"/>
      <c r="GGH357" s="890"/>
      <c r="GGT357" s="890"/>
      <c r="GGU357" s="890"/>
      <c r="GHG357" s="890"/>
      <c r="GHH357" s="890"/>
      <c r="GHT357" s="890"/>
      <c r="GHU357" s="890"/>
      <c r="GIG357" s="890"/>
      <c r="GIH357" s="890"/>
      <c r="GIT357" s="890"/>
      <c r="GIU357" s="890"/>
      <c r="GJG357" s="890"/>
      <c r="GJH357" s="890"/>
      <c r="GJT357" s="890"/>
      <c r="GJU357" s="890"/>
      <c r="GKG357" s="890"/>
      <c r="GKH357" s="890"/>
      <c r="GKT357" s="890"/>
      <c r="GKU357" s="890"/>
      <c r="GLG357" s="890"/>
      <c r="GLH357" s="890"/>
      <c r="GLT357" s="890"/>
      <c r="GLU357" s="890"/>
      <c r="GMG357" s="890"/>
      <c r="GMH357" s="890"/>
      <c r="GMT357" s="890"/>
      <c r="GMU357" s="890"/>
      <c r="GNG357" s="890"/>
      <c r="GNH357" s="890"/>
      <c r="GNT357" s="890"/>
      <c r="GNU357" s="890"/>
      <c r="GOG357" s="890"/>
      <c r="GOH357" s="890"/>
      <c r="GOT357" s="890"/>
      <c r="GOU357" s="890"/>
      <c r="GPG357" s="890"/>
      <c r="GPH357" s="890"/>
      <c r="GPT357" s="890"/>
      <c r="GPU357" s="890"/>
      <c r="GQG357" s="890"/>
      <c r="GQH357" s="890"/>
      <c r="GQT357" s="890"/>
      <c r="GQU357" s="890"/>
      <c r="GRG357" s="890"/>
      <c r="GRH357" s="890"/>
      <c r="GRT357" s="890"/>
      <c r="GRU357" s="890"/>
      <c r="GSG357" s="890"/>
      <c r="GSH357" s="890"/>
      <c r="GST357" s="890"/>
      <c r="GSU357" s="890"/>
      <c r="GTG357" s="890"/>
      <c r="GTH357" s="890"/>
      <c r="GTT357" s="890"/>
      <c r="GTU357" s="890"/>
      <c r="GUG357" s="890"/>
      <c r="GUH357" s="890"/>
      <c r="GUT357" s="890"/>
      <c r="GUU357" s="890"/>
      <c r="GVG357" s="890"/>
      <c r="GVH357" s="890"/>
      <c r="GVT357" s="890"/>
      <c r="GVU357" s="890"/>
      <c r="GWG357" s="890"/>
      <c r="GWH357" s="890"/>
      <c r="GWT357" s="890"/>
      <c r="GWU357" s="890"/>
      <c r="GXG357" s="890"/>
      <c r="GXH357" s="890"/>
      <c r="GXT357" s="890"/>
      <c r="GXU357" s="890"/>
      <c r="GYG357" s="890"/>
      <c r="GYH357" s="890"/>
      <c r="GYT357" s="890"/>
      <c r="GYU357" s="890"/>
      <c r="GZG357" s="890"/>
      <c r="GZH357" s="890"/>
      <c r="GZT357" s="890"/>
      <c r="GZU357" s="890"/>
      <c r="HAG357" s="890"/>
      <c r="HAH357" s="890"/>
      <c r="HAT357" s="890"/>
      <c r="HAU357" s="890"/>
      <c r="HBG357" s="890"/>
      <c r="HBH357" s="890"/>
      <c r="HBT357" s="890"/>
      <c r="HBU357" s="890"/>
      <c r="HCG357" s="890"/>
      <c r="HCH357" s="890"/>
      <c r="HCT357" s="890"/>
      <c r="HCU357" s="890"/>
      <c r="HDG357" s="890"/>
      <c r="HDH357" s="890"/>
      <c r="HDT357" s="890"/>
      <c r="HDU357" s="890"/>
      <c r="HEG357" s="890"/>
      <c r="HEH357" s="890"/>
      <c r="HET357" s="890"/>
      <c r="HEU357" s="890"/>
      <c r="HFG357" s="890"/>
      <c r="HFH357" s="890"/>
      <c r="HFT357" s="890"/>
      <c r="HFU357" s="890"/>
      <c r="HGG357" s="890"/>
      <c r="HGH357" s="890"/>
      <c r="HGT357" s="890"/>
      <c r="HGU357" s="890"/>
      <c r="HHG357" s="890"/>
      <c r="HHH357" s="890"/>
      <c r="HHT357" s="890"/>
      <c r="HHU357" s="890"/>
      <c r="HIG357" s="890"/>
      <c r="HIH357" s="890"/>
      <c r="HIT357" s="890"/>
      <c r="HIU357" s="890"/>
      <c r="HJG357" s="890"/>
      <c r="HJH357" s="890"/>
      <c r="HJT357" s="890"/>
      <c r="HJU357" s="890"/>
      <c r="HKG357" s="890"/>
      <c r="HKH357" s="890"/>
      <c r="HKT357" s="890"/>
      <c r="HKU357" s="890"/>
      <c r="HLG357" s="890"/>
      <c r="HLH357" s="890"/>
      <c r="HLT357" s="890"/>
      <c r="HLU357" s="890"/>
      <c r="HMG357" s="890"/>
      <c r="HMH357" s="890"/>
      <c r="HMT357" s="890"/>
      <c r="HMU357" s="890"/>
      <c r="HNG357" s="890"/>
      <c r="HNH357" s="890"/>
      <c r="HNT357" s="890"/>
      <c r="HNU357" s="890"/>
      <c r="HOG357" s="890"/>
      <c r="HOH357" s="890"/>
      <c r="HOT357" s="890"/>
      <c r="HOU357" s="890"/>
      <c r="HPG357" s="890"/>
      <c r="HPH357" s="890"/>
      <c r="HPT357" s="890"/>
      <c r="HPU357" s="890"/>
      <c r="HQG357" s="890"/>
      <c r="HQH357" s="890"/>
      <c r="HQT357" s="890"/>
      <c r="HQU357" s="890"/>
      <c r="HRG357" s="890"/>
      <c r="HRH357" s="890"/>
      <c r="HRT357" s="890"/>
      <c r="HRU357" s="890"/>
      <c r="HSG357" s="890"/>
      <c r="HSH357" s="890"/>
      <c r="HST357" s="890"/>
      <c r="HSU357" s="890"/>
      <c r="HTG357" s="890"/>
      <c r="HTH357" s="890"/>
      <c r="HTT357" s="890"/>
      <c r="HTU357" s="890"/>
      <c r="HUG357" s="890"/>
      <c r="HUH357" s="890"/>
      <c r="HUT357" s="890"/>
      <c r="HUU357" s="890"/>
      <c r="HVG357" s="890"/>
      <c r="HVH357" s="890"/>
      <c r="HVT357" s="890"/>
      <c r="HVU357" s="890"/>
      <c r="HWG357" s="890"/>
      <c r="HWH357" s="890"/>
      <c r="HWT357" s="890"/>
      <c r="HWU357" s="890"/>
      <c r="HXG357" s="890"/>
      <c r="HXH357" s="890"/>
      <c r="HXT357" s="890"/>
      <c r="HXU357" s="890"/>
      <c r="HYG357" s="890"/>
      <c r="HYH357" s="890"/>
      <c r="HYT357" s="890"/>
      <c r="HYU357" s="890"/>
      <c r="HZG357" s="890"/>
      <c r="HZH357" s="890"/>
      <c r="HZT357" s="890"/>
      <c r="HZU357" s="890"/>
      <c r="IAG357" s="890"/>
      <c r="IAH357" s="890"/>
      <c r="IAT357" s="890"/>
      <c r="IAU357" s="890"/>
      <c r="IBG357" s="890"/>
      <c r="IBH357" s="890"/>
      <c r="IBT357" s="890"/>
      <c r="IBU357" s="890"/>
      <c r="ICG357" s="890"/>
      <c r="ICH357" s="890"/>
      <c r="ICT357" s="890"/>
      <c r="ICU357" s="890"/>
      <c r="IDG357" s="890"/>
      <c r="IDH357" s="890"/>
      <c r="IDT357" s="890"/>
      <c r="IDU357" s="890"/>
      <c r="IEG357" s="890"/>
      <c r="IEH357" s="890"/>
      <c r="IET357" s="890"/>
      <c r="IEU357" s="890"/>
      <c r="IFG357" s="890"/>
      <c r="IFH357" s="890"/>
      <c r="IFT357" s="890"/>
      <c r="IFU357" s="890"/>
      <c r="IGG357" s="890"/>
      <c r="IGH357" s="890"/>
      <c r="IGT357" s="890"/>
      <c r="IGU357" s="890"/>
      <c r="IHG357" s="890"/>
      <c r="IHH357" s="890"/>
      <c r="IHT357" s="890"/>
      <c r="IHU357" s="890"/>
      <c r="IIG357" s="890"/>
      <c r="IIH357" s="890"/>
      <c r="IIT357" s="890"/>
      <c r="IIU357" s="890"/>
      <c r="IJG357" s="890"/>
      <c r="IJH357" s="890"/>
      <c r="IJT357" s="890"/>
      <c r="IJU357" s="890"/>
      <c r="IKG357" s="890"/>
      <c r="IKH357" s="890"/>
      <c r="IKT357" s="890"/>
      <c r="IKU357" s="890"/>
      <c r="ILG357" s="890"/>
      <c r="ILH357" s="890"/>
      <c r="ILT357" s="890"/>
      <c r="ILU357" s="890"/>
      <c r="IMG357" s="890"/>
      <c r="IMH357" s="890"/>
      <c r="IMT357" s="890"/>
      <c r="IMU357" s="890"/>
      <c r="ING357" s="890"/>
      <c r="INH357" s="890"/>
      <c r="INT357" s="890"/>
      <c r="INU357" s="890"/>
      <c r="IOG357" s="890"/>
      <c r="IOH357" s="890"/>
      <c r="IOT357" s="890"/>
      <c r="IOU357" s="890"/>
      <c r="IPG357" s="890"/>
      <c r="IPH357" s="890"/>
      <c r="IPT357" s="890"/>
      <c r="IPU357" s="890"/>
      <c r="IQG357" s="890"/>
      <c r="IQH357" s="890"/>
      <c r="IQT357" s="890"/>
      <c r="IQU357" s="890"/>
      <c r="IRG357" s="890"/>
      <c r="IRH357" s="890"/>
      <c r="IRT357" s="890"/>
      <c r="IRU357" s="890"/>
      <c r="ISG357" s="890"/>
      <c r="ISH357" s="890"/>
      <c r="IST357" s="890"/>
      <c r="ISU357" s="890"/>
      <c r="ITG357" s="890"/>
      <c r="ITH357" s="890"/>
      <c r="ITT357" s="890"/>
      <c r="ITU357" s="890"/>
      <c r="IUG357" s="890"/>
      <c r="IUH357" s="890"/>
      <c r="IUT357" s="890"/>
      <c r="IUU357" s="890"/>
      <c r="IVG357" s="890"/>
      <c r="IVH357" s="890"/>
      <c r="IVT357" s="890"/>
      <c r="IVU357" s="890"/>
      <c r="IWG357" s="890"/>
      <c r="IWH357" s="890"/>
      <c r="IWT357" s="890"/>
      <c r="IWU357" s="890"/>
      <c r="IXG357" s="890"/>
      <c r="IXH357" s="890"/>
      <c r="IXT357" s="890"/>
      <c r="IXU357" s="890"/>
      <c r="IYG357" s="890"/>
      <c r="IYH357" s="890"/>
      <c r="IYT357" s="890"/>
      <c r="IYU357" s="890"/>
      <c r="IZG357" s="890"/>
      <c r="IZH357" s="890"/>
      <c r="IZT357" s="890"/>
      <c r="IZU357" s="890"/>
      <c r="JAG357" s="890"/>
      <c r="JAH357" s="890"/>
      <c r="JAT357" s="890"/>
      <c r="JAU357" s="890"/>
      <c r="JBG357" s="890"/>
      <c r="JBH357" s="890"/>
      <c r="JBT357" s="890"/>
      <c r="JBU357" s="890"/>
      <c r="JCG357" s="890"/>
      <c r="JCH357" s="890"/>
      <c r="JCT357" s="890"/>
      <c r="JCU357" s="890"/>
      <c r="JDG357" s="890"/>
      <c r="JDH357" s="890"/>
      <c r="JDT357" s="890"/>
      <c r="JDU357" s="890"/>
      <c r="JEG357" s="890"/>
      <c r="JEH357" s="890"/>
      <c r="JET357" s="890"/>
      <c r="JEU357" s="890"/>
      <c r="JFG357" s="890"/>
      <c r="JFH357" s="890"/>
      <c r="JFT357" s="890"/>
      <c r="JFU357" s="890"/>
      <c r="JGG357" s="890"/>
      <c r="JGH357" s="890"/>
      <c r="JGT357" s="890"/>
      <c r="JGU357" s="890"/>
      <c r="JHG357" s="890"/>
      <c r="JHH357" s="890"/>
      <c r="JHT357" s="890"/>
      <c r="JHU357" s="890"/>
      <c r="JIG357" s="890"/>
      <c r="JIH357" s="890"/>
      <c r="JIT357" s="890"/>
      <c r="JIU357" s="890"/>
      <c r="JJG357" s="890"/>
      <c r="JJH357" s="890"/>
      <c r="JJT357" s="890"/>
      <c r="JJU357" s="890"/>
      <c r="JKG357" s="890"/>
      <c r="JKH357" s="890"/>
      <c r="JKT357" s="890"/>
      <c r="JKU357" s="890"/>
      <c r="JLG357" s="890"/>
      <c r="JLH357" s="890"/>
      <c r="JLT357" s="890"/>
      <c r="JLU357" s="890"/>
      <c r="JMG357" s="890"/>
      <c r="JMH357" s="890"/>
      <c r="JMT357" s="890"/>
      <c r="JMU357" s="890"/>
      <c r="JNG357" s="890"/>
      <c r="JNH357" s="890"/>
      <c r="JNT357" s="890"/>
      <c r="JNU357" s="890"/>
      <c r="JOG357" s="890"/>
      <c r="JOH357" s="890"/>
      <c r="JOT357" s="890"/>
      <c r="JOU357" s="890"/>
      <c r="JPG357" s="890"/>
      <c r="JPH357" s="890"/>
      <c r="JPT357" s="890"/>
      <c r="JPU357" s="890"/>
      <c r="JQG357" s="890"/>
      <c r="JQH357" s="890"/>
      <c r="JQT357" s="890"/>
      <c r="JQU357" s="890"/>
      <c r="JRG357" s="890"/>
      <c r="JRH357" s="890"/>
      <c r="JRT357" s="890"/>
      <c r="JRU357" s="890"/>
      <c r="JSG357" s="890"/>
      <c r="JSH357" s="890"/>
      <c r="JST357" s="890"/>
      <c r="JSU357" s="890"/>
      <c r="JTG357" s="890"/>
      <c r="JTH357" s="890"/>
      <c r="JTT357" s="890"/>
      <c r="JTU357" s="890"/>
      <c r="JUG357" s="890"/>
      <c r="JUH357" s="890"/>
      <c r="JUT357" s="890"/>
      <c r="JUU357" s="890"/>
      <c r="JVG357" s="890"/>
      <c r="JVH357" s="890"/>
      <c r="JVT357" s="890"/>
      <c r="JVU357" s="890"/>
      <c r="JWG357" s="890"/>
      <c r="JWH357" s="890"/>
      <c r="JWT357" s="890"/>
      <c r="JWU357" s="890"/>
      <c r="JXG357" s="890"/>
      <c r="JXH357" s="890"/>
      <c r="JXT357" s="890"/>
      <c r="JXU357" s="890"/>
      <c r="JYG357" s="890"/>
      <c r="JYH357" s="890"/>
      <c r="JYT357" s="890"/>
      <c r="JYU357" s="890"/>
      <c r="JZG357" s="890"/>
      <c r="JZH357" s="890"/>
      <c r="JZT357" s="890"/>
      <c r="JZU357" s="890"/>
      <c r="KAG357" s="890"/>
      <c r="KAH357" s="890"/>
      <c r="KAT357" s="890"/>
      <c r="KAU357" s="890"/>
      <c r="KBG357" s="890"/>
      <c r="KBH357" s="890"/>
      <c r="KBT357" s="890"/>
      <c r="KBU357" s="890"/>
      <c r="KCG357" s="890"/>
      <c r="KCH357" s="890"/>
      <c r="KCT357" s="890"/>
      <c r="KCU357" s="890"/>
      <c r="KDG357" s="890"/>
      <c r="KDH357" s="890"/>
      <c r="KDT357" s="890"/>
      <c r="KDU357" s="890"/>
      <c r="KEG357" s="890"/>
      <c r="KEH357" s="890"/>
      <c r="KET357" s="890"/>
      <c r="KEU357" s="890"/>
      <c r="KFG357" s="890"/>
      <c r="KFH357" s="890"/>
      <c r="KFT357" s="890"/>
      <c r="KFU357" s="890"/>
      <c r="KGG357" s="890"/>
      <c r="KGH357" s="890"/>
      <c r="KGT357" s="890"/>
      <c r="KGU357" s="890"/>
      <c r="KHG357" s="890"/>
      <c r="KHH357" s="890"/>
      <c r="KHT357" s="890"/>
      <c r="KHU357" s="890"/>
      <c r="KIG357" s="890"/>
      <c r="KIH357" s="890"/>
      <c r="KIT357" s="890"/>
      <c r="KIU357" s="890"/>
      <c r="KJG357" s="890"/>
      <c r="KJH357" s="890"/>
      <c r="KJT357" s="890"/>
      <c r="KJU357" s="890"/>
      <c r="KKG357" s="890"/>
      <c r="KKH357" s="890"/>
      <c r="KKT357" s="890"/>
      <c r="KKU357" s="890"/>
      <c r="KLG357" s="890"/>
      <c r="KLH357" s="890"/>
      <c r="KLT357" s="890"/>
      <c r="KLU357" s="890"/>
      <c r="KMG357" s="890"/>
      <c r="KMH357" s="890"/>
      <c r="KMT357" s="890"/>
      <c r="KMU357" s="890"/>
      <c r="KNG357" s="890"/>
      <c r="KNH357" s="890"/>
      <c r="KNT357" s="890"/>
      <c r="KNU357" s="890"/>
      <c r="KOG357" s="890"/>
      <c r="KOH357" s="890"/>
      <c r="KOT357" s="890"/>
      <c r="KOU357" s="890"/>
      <c r="KPG357" s="890"/>
      <c r="KPH357" s="890"/>
      <c r="KPT357" s="890"/>
      <c r="KPU357" s="890"/>
      <c r="KQG357" s="890"/>
      <c r="KQH357" s="890"/>
      <c r="KQT357" s="890"/>
      <c r="KQU357" s="890"/>
      <c r="KRG357" s="890"/>
      <c r="KRH357" s="890"/>
      <c r="KRT357" s="890"/>
      <c r="KRU357" s="890"/>
      <c r="KSG357" s="890"/>
      <c r="KSH357" s="890"/>
      <c r="KST357" s="890"/>
      <c r="KSU357" s="890"/>
      <c r="KTG357" s="890"/>
      <c r="KTH357" s="890"/>
      <c r="KTT357" s="890"/>
      <c r="KTU357" s="890"/>
      <c r="KUG357" s="890"/>
      <c r="KUH357" s="890"/>
      <c r="KUT357" s="890"/>
      <c r="KUU357" s="890"/>
      <c r="KVG357" s="890"/>
      <c r="KVH357" s="890"/>
      <c r="KVT357" s="890"/>
      <c r="KVU357" s="890"/>
      <c r="KWG357" s="890"/>
      <c r="KWH357" s="890"/>
      <c r="KWT357" s="890"/>
      <c r="KWU357" s="890"/>
      <c r="KXG357" s="890"/>
      <c r="KXH357" s="890"/>
      <c r="KXT357" s="890"/>
      <c r="KXU357" s="890"/>
      <c r="KYG357" s="890"/>
      <c r="KYH357" s="890"/>
      <c r="KYT357" s="890"/>
      <c r="KYU357" s="890"/>
      <c r="KZG357" s="890"/>
      <c r="KZH357" s="890"/>
      <c r="KZT357" s="890"/>
      <c r="KZU357" s="890"/>
      <c r="LAG357" s="890"/>
      <c r="LAH357" s="890"/>
      <c r="LAT357" s="890"/>
      <c r="LAU357" s="890"/>
      <c r="LBG357" s="890"/>
      <c r="LBH357" s="890"/>
      <c r="LBT357" s="890"/>
      <c r="LBU357" s="890"/>
      <c r="LCG357" s="890"/>
      <c r="LCH357" s="890"/>
      <c r="LCT357" s="890"/>
      <c r="LCU357" s="890"/>
      <c r="LDG357" s="890"/>
      <c r="LDH357" s="890"/>
      <c r="LDT357" s="890"/>
      <c r="LDU357" s="890"/>
      <c r="LEG357" s="890"/>
      <c r="LEH357" s="890"/>
      <c r="LET357" s="890"/>
      <c r="LEU357" s="890"/>
      <c r="LFG357" s="890"/>
      <c r="LFH357" s="890"/>
      <c r="LFT357" s="890"/>
      <c r="LFU357" s="890"/>
      <c r="LGG357" s="890"/>
      <c r="LGH357" s="890"/>
      <c r="LGT357" s="890"/>
      <c r="LGU357" s="890"/>
      <c r="LHG357" s="890"/>
      <c r="LHH357" s="890"/>
      <c r="LHT357" s="890"/>
      <c r="LHU357" s="890"/>
      <c r="LIG357" s="890"/>
      <c r="LIH357" s="890"/>
      <c r="LIT357" s="890"/>
      <c r="LIU357" s="890"/>
      <c r="LJG357" s="890"/>
      <c r="LJH357" s="890"/>
      <c r="LJT357" s="890"/>
      <c r="LJU357" s="890"/>
      <c r="LKG357" s="890"/>
      <c r="LKH357" s="890"/>
      <c r="LKT357" s="890"/>
      <c r="LKU357" s="890"/>
      <c r="LLG357" s="890"/>
      <c r="LLH357" s="890"/>
      <c r="LLT357" s="890"/>
      <c r="LLU357" s="890"/>
      <c r="LMG357" s="890"/>
      <c r="LMH357" s="890"/>
      <c r="LMT357" s="890"/>
      <c r="LMU357" s="890"/>
      <c r="LNG357" s="890"/>
      <c r="LNH357" s="890"/>
      <c r="LNT357" s="890"/>
      <c r="LNU357" s="890"/>
      <c r="LOG357" s="890"/>
      <c r="LOH357" s="890"/>
      <c r="LOT357" s="890"/>
      <c r="LOU357" s="890"/>
      <c r="LPG357" s="890"/>
      <c r="LPH357" s="890"/>
      <c r="LPT357" s="890"/>
      <c r="LPU357" s="890"/>
      <c r="LQG357" s="890"/>
      <c r="LQH357" s="890"/>
      <c r="LQT357" s="890"/>
      <c r="LQU357" s="890"/>
      <c r="LRG357" s="890"/>
      <c r="LRH357" s="890"/>
      <c r="LRT357" s="890"/>
      <c r="LRU357" s="890"/>
      <c r="LSG357" s="890"/>
      <c r="LSH357" s="890"/>
      <c r="LST357" s="890"/>
      <c r="LSU357" s="890"/>
      <c r="LTG357" s="890"/>
      <c r="LTH357" s="890"/>
      <c r="LTT357" s="890"/>
      <c r="LTU357" s="890"/>
      <c r="LUG357" s="890"/>
      <c r="LUH357" s="890"/>
      <c r="LUT357" s="890"/>
      <c r="LUU357" s="890"/>
      <c r="LVG357" s="890"/>
      <c r="LVH357" s="890"/>
      <c r="LVT357" s="890"/>
      <c r="LVU357" s="890"/>
      <c r="LWG357" s="890"/>
      <c r="LWH357" s="890"/>
      <c r="LWT357" s="890"/>
      <c r="LWU357" s="890"/>
      <c r="LXG357" s="890"/>
      <c r="LXH357" s="890"/>
      <c r="LXT357" s="890"/>
      <c r="LXU357" s="890"/>
      <c r="LYG357" s="890"/>
      <c r="LYH357" s="890"/>
      <c r="LYT357" s="890"/>
      <c r="LYU357" s="890"/>
      <c r="LZG357" s="890"/>
      <c r="LZH357" s="890"/>
      <c r="LZT357" s="890"/>
      <c r="LZU357" s="890"/>
      <c r="MAG357" s="890"/>
      <c r="MAH357" s="890"/>
      <c r="MAT357" s="890"/>
      <c r="MAU357" s="890"/>
      <c r="MBG357" s="890"/>
      <c r="MBH357" s="890"/>
      <c r="MBT357" s="890"/>
      <c r="MBU357" s="890"/>
      <c r="MCG357" s="890"/>
      <c r="MCH357" s="890"/>
      <c r="MCT357" s="890"/>
      <c r="MCU357" s="890"/>
      <c r="MDG357" s="890"/>
      <c r="MDH357" s="890"/>
      <c r="MDT357" s="890"/>
      <c r="MDU357" s="890"/>
      <c r="MEG357" s="890"/>
      <c r="MEH357" s="890"/>
      <c r="MET357" s="890"/>
      <c r="MEU357" s="890"/>
      <c r="MFG357" s="890"/>
      <c r="MFH357" s="890"/>
      <c r="MFT357" s="890"/>
      <c r="MFU357" s="890"/>
      <c r="MGG357" s="890"/>
      <c r="MGH357" s="890"/>
      <c r="MGT357" s="890"/>
      <c r="MGU357" s="890"/>
      <c r="MHG357" s="890"/>
      <c r="MHH357" s="890"/>
      <c r="MHT357" s="890"/>
      <c r="MHU357" s="890"/>
      <c r="MIG357" s="890"/>
      <c r="MIH357" s="890"/>
      <c r="MIT357" s="890"/>
      <c r="MIU357" s="890"/>
      <c r="MJG357" s="890"/>
      <c r="MJH357" s="890"/>
      <c r="MJT357" s="890"/>
      <c r="MJU357" s="890"/>
      <c r="MKG357" s="890"/>
      <c r="MKH357" s="890"/>
      <c r="MKT357" s="890"/>
      <c r="MKU357" s="890"/>
      <c r="MLG357" s="890"/>
      <c r="MLH357" s="890"/>
      <c r="MLT357" s="890"/>
      <c r="MLU357" s="890"/>
      <c r="MMG357" s="890"/>
      <c r="MMH357" s="890"/>
      <c r="MMT357" s="890"/>
      <c r="MMU357" s="890"/>
      <c r="MNG357" s="890"/>
      <c r="MNH357" s="890"/>
      <c r="MNT357" s="890"/>
      <c r="MNU357" s="890"/>
      <c r="MOG357" s="890"/>
      <c r="MOH357" s="890"/>
      <c r="MOT357" s="890"/>
      <c r="MOU357" s="890"/>
      <c r="MPG357" s="890"/>
      <c r="MPH357" s="890"/>
      <c r="MPT357" s="890"/>
      <c r="MPU357" s="890"/>
      <c r="MQG357" s="890"/>
      <c r="MQH357" s="890"/>
      <c r="MQT357" s="890"/>
      <c r="MQU357" s="890"/>
      <c r="MRG357" s="890"/>
      <c r="MRH357" s="890"/>
      <c r="MRT357" s="890"/>
      <c r="MRU357" s="890"/>
      <c r="MSG357" s="890"/>
      <c r="MSH357" s="890"/>
      <c r="MST357" s="890"/>
      <c r="MSU357" s="890"/>
      <c r="MTG357" s="890"/>
      <c r="MTH357" s="890"/>
      <c r="MTT357" s="890"/>
      <c r="MTU357" s="890"/>
      <c r="MUG357" s="890"/>
      <c r="MUH357" s="890"/>
      <c r="MUT357" s="890"/>
      <c r="MUU357" s="890"/>
      <c r="MVG357" s="890"/>
      <c r="MVH357" s="890"/>
      <c r="MVT357" s="890"/>
      <c r="MVU357" s="890"/>
      <c r="MWG357" s="890"/>
      <c r="MWH357" s="890"/>
      <c r="MWT357" s="890"/>
      <c r="MWU357" s="890"/>
      <c r="MXG357" s="890"/>
      <c r="MXH357" s="890"/>
      <c r="MXT357" s="890"/>
      <c r="MXU357" s="890"/>
      <c r="MYG357" s="890"/>
      <c r="MYH357" s="890"/>
      <c r="MYT357" s="890"/>
      <c r="MYU357" s="890"/>
      <c r="MZG357" s="890"/>
      <c r="MZH357" s="890"/>
      <c r="MZT357" s="890"/>
      <c r="MZU357" s="890"/>
      <c r="NAG357" s="890"/>
      <c r="NAH357" s="890"/>
      <c r="NAT357" s="890"/>
      <c r="NAU357" s="890"/>
      <c r="NBG357" s="890"/>
      <c r="NBH357" s="890"/>
      <c r="NBT357" s="890"/>
      <c r="NBU357" s="890"/>
      <c r="NCG357" s="890"/>
      <c r="NCH357" s="890"/>
      <c r="NCT357" s="890"/>
      <c r="NCU357" s="890"/>
      <c r="NDG357" s="890"/>
      <c r="NDH357" s="890"/>
      <c r="NDT357" s="890"/>
      <c r="NDU357" s="890"/>
      <c r="NEG357" s="890"/>
      <c r="NEH357" s="890"/>
      <c r="NET357" s="890"/>
      <c r="NEU357" s="890"/>
      <c r="NFG357" s="890"/>
      <c r="NFH357" s="890"/>
      <c r="NFT357" s="890"/>
      <c r="NFU357" s="890"/>
      <c r="NGG357" s="890"/>
      <c r="NGH357" s="890"/>
      <c r="NGT357" s="890"/>
      <c r="NGU357" s="890"/>
      <c r="NHG357" s="890"/>
      <c r="NHH357" s="890"/>
      <c r="NHT357" s="890"/>
      <c r="NHU357" s="890"/>
      <c r="NIG357" s="890"/>
      <c r="NIH357" s="890"/>
      <c r="NIT357" s="890"/>
      <c r="NIU357" s="890"/>
      <c r="NJG357" s="890"/>
      <c r="NJH357" s="890"/>
      <c r="NJT357" s="890"/>
      <c r="NJU357" s="890"/>
      <c r="NKG357" s="890"/>
      <c r="NKH357" s="890"/>
      <c r="NKT357" s="890"/>
      <c r="NKU357" s="890"/>
      <c r="NLG357" s="890"/>
      <c r="NLH357" s="890"/>
      <c r="NLT357" s="890"/>
      <c r="NLU357" s="890"/>
      <c r="NMG357" s="890"/>
      <c r="NMH357" s="890"/>
      <c r="NMT357" s="890"/>
      <c r="NMU357" s="890"/>
      <c r="NNG357" s="890"/>
      <c r="NNH357" s="890"/>
      <c r="NNT357" s="890"/>
      <c r="NNU357" s="890"/>
      <c r="NOG357" s="890"/>
      <c r="NOH357" s="890"/>
      <c r="NOT357" s="890"/>
      <c r="NOU357" s="890"/>
      <c r="NPG357" s="890"/>
      <c r="NPH357" s="890"/>
      <c r="NPT357" s="890"/>
      <c r="NPU357" s="890"/>
      <c r="NQG357" s="890"/>
      <c r="NQH357" s="890"/>
      <c r="NQT357" s="890"/>
      <c r="NQU357" s="890"/>
      <c r="NRG357" s="890"/>
      <c r="NRH357" s="890"/>
      <c r="NRT357" s="890"/>
      <c r="NRU357" s="890"/>
      <c r="NSG357" s="890"/>
      <c r="NSH357" s="890"/>
      <c r="NST357" s="890"/>
      <c r="NSU357" s="890"/>
      <c r="NTG357" s="890"/>
      <c r="NTH357" s="890"/>
      <c r="NTT357" s="890"/>
      <c r="NTU357" s="890"/>
      <c r="NUG357" s="890"/>
      <c r="NUH357" s="890"/>
      <c r="NUT357" s="890"/>
      <c r="NUU357" s="890"/>
      <c r="NVG357" s="890"/>
      <c r="NVH357" s="890"/>
      <c r="NVT357" s="890"/>
      <c r="NVU357" s="890"/>
      <c r="NWG357" s="890"/>
      <c r="NWH357" s="890"/>
      <c r="NWT357" s="890"/>
      <c r="NWU357" s="890"/>
      <c r="NXG357" s="890"/>
      <c r="NXH357" s="890"/>
      <c r="NXT357" s="890"/>
      <c r="NXU357" s="890"/>
      <c r="NYG357" s="890"/>
      <c r="NYH357" s="890"/>
      <c r="NYT357" s="890"/>
      <c r="NYU357" s="890"/>
      <c r="NZG357" s="890"/>
      <c r="NZH357" s="890"/>
      <c r="NZT357" s="890"/>
      <c r="NZU357" s="890"/>
      <c r="OAG357" s="890"/>
      <c r="OAH357" s="890"/>
      <c r="OAT357" s="890"/>
      <c r="OAU357" s="890"/>
      <c r="OBG357" s="890"/>
      <c r="OBH357" s="890"/>
      <c r="OBT357" s="890"/>
      <c r="OBU357" s="890"/>
      <c r="OCG357" s="890"/>
      <c r="OCH357" s="890"/>
      <c r="OCT357" s="890"/>
      <c r="OCU357" s="890"/>
      <c r="ODG357" s="890"/>
      <c r="ODH357" s="890"/>
      <c r="ODT357" s="890"/>
      <c r="ODU357" s="890"/>
      <c r="OEG357" s="890"/>
      <c r="OEH357" s="890"/>
      <c r="OET357" s="890"/>
      <c r="OEU357" s="890"/>
      <c r="OFG357" s="890"/>
      <c r="OFH357" s="890"/>
      <c r="OFT357" s="890"/>
      <c r="OFU357" s="890"/>
      <c r="OGG357" s="890"/>
      <c r="OGH357" s="890"/>
      <c r="OGT357" s="890"/>
      <c r="OGU357" s="890"/>
      <c r="OHG357" s="890"/>
      <c r="OHH357" s="890"/>
      <c r="OHT357" s="890"/>
      <c r="OHU357" s="890"/>
      <c r="OIG357" s="890"/>
      <c r="OIH357" s="890"/>
      <c r="OIT357" s="890"/>
      <c r="OIU357" s="890"/>
      <c r="OJG357" s="890"/>
      <c r="OJH357" s="890"/>
      <c r="OJT357" s="890"/>
      <c r="OJU357" s="890"/>
      <c r="OKG357" s="890"/>
      <c r="OKH357" s="890"/>
      <c r="OKT357" s="890"/>
      <c r="OKU357" s="890"/>
      <c r="OLG357" s="890"/>
      <c r="OLH357" s="890"/>
      <c r="OLT357" s="890"/>
      <c r="OLU357" s="890"/>
      <c r="OMG357" s="890"/>
      <c r="OMH357" s="890"/>
      <c r="OMT357" s="890"/>
      <c r="OMU357" s="890"/>
      <c r="ONG357" s="890"/>
      <c r="ONH357" s="890"/>
      <c r="ONT357" s="890"/>
      <c r="ONU357" s="890"/>
      <c r="OOG357" s="890"/>
      <c r="OOH357" s="890"/>
      <c r="OOT357" s="890"/>
      <c r="OOU357" s="890"/>
      <c r="OPG357" s="890"/>
      <c r="OPH357" s="890"/>
      <c r="OPT357" s="890"/>
      <c r="OPU357" s="890"/>
      <c r="OQG357" s="890"/>
      <c r="OQH357" s="890"/>
      <c r="OQT357" s="890"/>
      <c r="OQU357" s="890"/>
      <c r="ORG357" s="890"/>
      <c r="ORH357" s="890"/>
      <c r="ORT357" s="890"/>
      <c r="ORU357" s="890"/>
      <c r="OSG357" s="890"/>
      <c r="OSH357" s="890"/>
      <c r="OST357" s="890"/>
      <c r="OSU357" s="890"/>
      <c r="OTG357" s="890"/>
      <c r="OTH357" s="890"/>
      <c r="OTT357" s="890"/>
      <c r="OTU357" s="890"/>
      <c r="OUG357" s="890"/>
      <c r="OUH357" s="890"/>
      <c r="OUT357" s="890"/>
      <c r="OUU357" s="890"/>
      <c r="OVG357" s="890"/>
      <c r="OVH357" s="890"/>
      <c r="OVT357" s="890"/>
      <c r="OVU357" s="890"/>
      <c r="OWG357" s="890"/>
      <c r="OWH357" s="890"/>
      <c r="OWT357" s="890"/>
      <c r="OWU357" s="890"/>
      <c r="OXG357" s="890"/>
      <c r="OXH357" s="890"/>
      <c r="OXT357" s="890"/>
      <c r="OXU357" s="890"/>
      <c r="OYG357" s="890"/>
      <c r="OYH357" s="890"/>
      <c r="OYT357" s="890"/>
      <c r="OYU357" s="890"/>
      <c r="OZG357" s="890"/>
      <c r="OZH357" s="890"/>
      <c r="OZT357" s="890"/>
      <c r="OZU357" s="890"/>
      <c r="PAG357" s="890"/>
      <c r="PAH357" s="890"/>
      <c r="PAT357" s="890"/>
      <c r="PAU357" s="890"/>
      <c r="PBG357" s="890"/>
      <c r="PBH357" s="890"/>
      <c r="PBT357" s="890"/>
      <c r="PBU357" s="890"/>
      <c r="PCG357" s="890"/>
      <c r="PCH357" s="890"/>
      <c r="PCT357" s="890"/>
      <c r="PCU357" s="890"/>
      <c r="PDG357" s="890"/>
      <c r="PDH357" s="890"/>
      <c r="PDT357" s="890"/>
      <c r="PDU357" s="890"/>
      <c r="PEG357" s="890"/>
      <c r="PEH357" s="890"/>
      <c r="PET357" s="890"/>
      <c r="PEU357" s="890"/>
      <c r="PFG357" s="890"/>
      <c r="PFH357" s="890"/>
      <c r="PFT357" s="890"/>
      <c r="PFU357" s="890"/>
      <c r="PGG357" s="890"/>
      <c r="PGH357" s="890"/>
      <c r="PGT357" s="890"/>
      <c r="PGU357" s="890"/>
      <c r="PHG357" s="890"/>
      <c r="PHH357" s="890"/>
      <c r="PHT357" s="890"/>
      <c r="PHU357" s="890"/>
      <c r="PIG357" s="890"/>
      <c r="PIH357" s="890"/>
      <c r="PIT357" s="890"/>
      <c r="PIU357" s="890"/>
      <c r="PJG357" s="890"/>
      <c r="PJH357" s="890"/>
      <c r="PJT357" s="890"/>
      <c r="PJU357" s="890"/>
      <c r="PKG357" s="890"/>
      <c r="PKH357" s="890"/>
      <c r="PKT357" s="890"/>
      <c r="PKU357" s="890"/>
      <c r="PLG357" s="890"/>
      <c r="PLH357" s="890"/>
      <c r="PLT357" s="890"/>
      <c r="PLU357" s="890"/>
      <c r="PMG357" s="890"/>
      <c r="PMH357" s="890"/>
      <c r="PMT357" s="890"/>
      <c r="PMU357" s="890"/>
      <c r="PNG357" s="890"/>
      <c r="PNH357" s="890"/>
      <c r="PNT357" s="890"/>
      <c r="PNU357" s="890"/>
      <c r="POG357" s="890"/>
      <c r="POH357" s="890"/>
      <c r="POT357" s="890"/>
      <c r="POU357" s="890"/>
      <c r="PPG357" s="890"/>
      <c r="PPH357" s="890"/>
      <c r="PPT357" s="890"/>
      <c r="PPU357" s="890"/>
      <c r="PQG357" s="890"/>
      <c r="PQH357" s="890"/>
      <c r="PQT357" s="890"/>
      <c r="PQU357" s="890"/>
      <c r="PRG357" s="890"/>
      <c r="PRH357" s="890"/>
      <c r="PRT357" s="890"/>
      <c r="PRU357" s="890"/>
      <c r="PSG357" s="890"/>
      <c r="PSH357" s="890"/>
      <c r="PST357" s="890"/>
      <c r="PSU357" s="890"/>
      <c r="PTG357" s="890"/>
      <c r="PTH357" s="890"/>
      <c r="PTT357" s="890"/>
      <c r="PTU357" s="890"/>
      <c r="PUG357" s="890"/>
      <c r="PUH357" s="890"/>
      <c r="PUT357" s="890"/>
      <c r="PUU357" s="890"/>
      <c r="PVG357" s="890"/>
      <c r="PVH357" s="890"/>
      <c r="PVT357" s="890"/>
      <c r="PVU357" s="890"/>
      <c r="PWG357" s="890"/>
      <c r="PWH357" s="890"/>
      <c r="PWT357" s="890"/>
      <c r="PWU357" s="890"/>
      <c r="PXG357" s="890"/>
      <c r="PXH357" s="890"/>
      <c r="PXT357" s="890"/>
      <c r="PXU357" s="890"/>
      <c r="PYG357" s="890"/>
      <c r="PYH357" s="890"/>
      <c r="PYT357" s="890"/>
      <c r="PYU357" s="890"/>
      <c r="PZG357" s="890"/>
      <c r="PZH357" s="890"/>
      <c r="PZT357" s="890"/>
      <c r="PZU357" s="890"/>
      <c r="QAG357" s="890"/>
      <c r="QAH357" s="890"/>
      <c r="QAT357" s="890"/>
      <c r="QAU357" s="890"/>
      <c r="QBG357" s="890"/>
      <c r="QBH357" s="890"/>
      <c r="QBT357" s="890"/>
      <c r="QBU357" s="890"/>
      <c r="QCG357" s="890"/>
      <c r="QCH357" s="890"/>
      <c r="QCT357" s="890"/>
      <c r="QCU357" s="890"/>
      <c r="QDG357" s="890"/>
      <c r="QDH357" s="890"/>
      <c r="QDT357" s="890"/>
      <c r="QDU357" s="890"/>
      <c r="QEG357" s="890"/>
      <c r="QEH357" s="890"/>
      <c r="QET357" s="890"/>
      <c r="QEU357" s="890"/>
      <c r="QFG357" s="890"/>
      <c r="QFH357" s="890"/>
      <c r="QFT357" s="890"/>
      <c r="QFU357" s="890"/>
      <c r="QGG357" s="890"/>
      <c r="QGH357" s="890"/>
      <c r="QGT357" s="890"/>
      <c r="QGU357" s="890"/>
      <c r="QHG357" s="890"/>
      <c r="QHH357" s="890"/>
      <c r="QHT357" s="890"/>
      <c r="QHU357" s="890"/>
      <c r="QIG357" s="890"/>
      <c r="QIH357" s="890"/>
      <c r="QIT357" s="890"/>
      <c r="QIU357" s="890"/>
      <c r="QJG357" s="890"/>
      <c r="QJH357" s="890"/>
      <c r="QJT357" s="890"/>
      <c r="QJU357" s="890"/>
      <c r="QKG357" s="890"/>
      <c r="QKH357" s="890"/>
      <c r="QKT357" s="890"/>
      <c r="QKU357" s="890"/>
      <c r="QLG357" s="890"/>
      <c r="QLH357" s="890"/>
      <c r="QLT357" s="890"/>
      <c r="QLU357" s="890"/>
      <c r="QMG357" s="890"/>
      <c r="QMH357" s="890"/>
      <c r="QMT357" s="890"/>
      <c r="QMU357" s="890"/>
      <c r="QNG357" s="890"/>
      <c r="QNH357" s="890"/>
      <c r="QNT357" s="890"/>
      <c r="QNU357" s="890"/>
      <c r="QOG357" s="890"/>
      <c r="QOH357" s="890"/>
      <c r="QOT357" s="890"/>
      <c r="QOU357" s="890"/>
      <c r="QPG357" s="890"/>
      <c r="QPH357" s="890"/>
      <c r="QPT357" s="890"/>
      <c r="QPU357" s="890"/>
      <c r="QQG357" s="890"/>
      <c r="QQH357" s="890"/>
      <c r="QQT357" s="890"/>
      <c r="QQU357" s="890"/>
      <c r="QRG357" s="890"/>
      <c r="QRH357" s="890"/>
      <c r="QRT357" s="890"/>
      <c r="QRU357" s="890"/>
      <c r="QSG357" s="890"/>
      <c r="QSH357" s="890"/>
      <c r="QST357" s="890"/>
      <c r="QSU357" s="890"/>
      <c r="QTG357" s="890"/>
      <c r="QTH357" s="890"/>
      <c r="QTT357" s="890"/>
      <c r="QTU357" s="890"/>
      <c r="QUG357" s="890"/>
      <c r="QUH357" s="890"/>
      <c r="QUT357" s="890"/>
      <c r="QUU357" s="890"/>
      <c r="QVG357" s="890"/>
      <c r="QVH357" s="890"/>
      <c r="QVT357" s="890"/>
      <c r="QVU357" s="890"/>
      <c r="QWG357" s="890"/>
      <c r="QWH357" s="890"/>
      <c r="QWT357" s="890"/>
      <c r="QWU357" s="890"/>
      <c r="QXG357" s="890"/>
      <c r="QXH357" s="890"/>
      <c r="QXT357" s="890"/>
      <c r="QXU357" s="890"/>
      <c r="QYG357" s="890"/>
      <c r="QYH357" s="890"/>
      <c r="QYT357" s="890"/>
      <c r="QYU357" s="890"/>
      <c r="QZG357" s="890"/>
      <c r="QZH357" s="890"/>
      <c r="QZT357" s="890"/>
      <c r="QZU357" s="890"/>
      <c r="RAG357" s="890"/>
      <c r="RAH357" s="890"/>
      <c r="RAT357" s="890"/>
      <c r="RAU357" s="890"/>
      <c r="RBG357" s="890"/>
      <c r="RBH357" s="890"/>
      <c r="RBT357" s="890"/>
      <c r="RBU357" s="890"/>
      <c r="RCG357" s="890"/>
      <c r="RCH357" s="890"/>
      <c r="RCT357" s="890"/>
      <c r="RCU357" s="890"/>
      <c r="RDG357" s="890"/>
      <c r="RDH357" s="890"/>
      <c r="RDT357" s="890"/>
      <c r="RDU357" s="890"/>
      <c r="REG357" s="890"/>
      <c r="REH357" s="890"/>
      <c r="RET357" s="890"/>
      <c r="REU357" s="890"/>
      <c r="RFG357" s="890"/>
      <c r="RFH357" s="890"/>
      <c r="RFT357" s="890"/>
      <c r="RFU357" s="890"/>
      <c r="RGG357" s="890"/>
      <c r="RGH357" s="890"/>
      <c r="RGT357" s="890"/>
      <c r="RGU357" s="890"/>
      <c r="RHG357" s="890"/>
      <c r="RHH357" s="890"/>
      <c r="RHT357" s="890"/>
      <c r="RHU357" s="890"/>
      <c r="RIG357" s="890"/>
      <c r="RIH357" s="890"/>
      <c r="RIT357" s="890"/>
      <c r="RIU357" s="890"/>
      <c r="RJG357" s="890"/>
      <c r="RJH357" s="890"/>
      <c r="RJT357" s="890"/>
      <c r="RJU357" s="890"/>
      <c r="RKG357" s="890"/>
      <c r="RKH357" s="890"/>
      <c r="RKT357" s="890"/>
      <c r="RKU357" s="890"/>
      <c r="RLG357" s="890"/>
      <c r="RLH357" s="890"/>
      <c r="RLT357" s="890"/>
      <c r="RLU357" s="890"/>
      <c r="RMG357" s="890"/>
      <c r="RMH357" s="890"/>
      <c r="RMT357" s="890"/>
      <c r="RMU357" s="890"/>
      <c r="RNG357" s="890"/>
      <c r="RNH357" s="890"/>
      <c r="RNT357" s="890"/>
      <c r="RNU357" s="890"/>
      <c r="ROG357" s="890"/>
      <c r="ROH357" s="890"/>
      <c r="ROT357" s="890"/>
      <c r="ROU357" s="890"/>
      <c r="RPG357" s="890"/>
      <c r="RPH357" s="890"/>
      <c r="RPT357" s="890"/>
      <c r="RPU357" s="890"/>
      <c r="RQG357" s="890"/>
      <c r="RQH357" s="890"/>
      <c r="RQT357" s="890"/>
      <c r="RQU357" s="890"/>
      <c r="RRG357" s="890"/>
      <c r="RRH357" s="890"/>
      <c r="RRT357" s="890"/>
      <c r="RRU357" s="890"/>
      <c r="RSG357" s="890"/>
      <c r="RSH357" s="890"/>
      <c r="RST357" s="890"/>
      <c r="RSU357" s="890"/>
      <c r="RTG357" s="890"/>
      <c r="RTH357" s="890"/>
      <c r="RTT357" s="890"/>
      <c r="RTU357" s="890"/>
      <c r="RUG357" s="890"/>
      <c r="RUH357" s="890"/>
      <c r="RUT357" s="890"/>
      <c r="RUU357" s="890"/>
      <c r="RVG357" s="890"/>
      <c r="RVH357" s="890"/>
      <c r="RVT357" s="890"/>
      <c r="RVU357" s="890"/>
      <c r="RWG357" s="890"/>
      <c r="RWH357" s="890"/>
      <c r="RWT357" s="890"/>
      <c r="RWU357" s="890"/>
      <c r="RXG357" s="890"/>
      <c r="RXH357" s="890"/>
      <c r="RXT357" s="890"/>
      <c r="RXU357" s="890"/>
      <c r="RYG357" s="890"/>
      <c r="RYH357" s="890"/>
      <c r="RYT357" s="890"/>
      <c r="RYU357" s="890"/>
      <c r="RZG357" s="890"/>
      <c r="RZH357" s="890"/>
      <c r="RZT357" s="890"/>
      <c r="RZU357" s="890"/>
      <c r="SAG357" s="890"/>
      <c r="SAH357" s="890"/>
      <c r="SAT357" s="890"/>
      <c r="SAU357" s="890"/>
      <c r="SBG357" s="890"/>
      <c r="SBH357" s="890"/>
      <c r="SBT357" s="890"/>
      <c r="SBU357" s="890"/>
      <c r="SCG357" s="890"/>
      <c r="SCH357" s="890"/>
      <c r="SCT357" s="890"/>
      <c r="SCU357" s="890"/>
      <c r="SDG357" s="890"/>
      <c r="SDH357" s="890"/>
      <c r="SDT357" s="890"/>
      <c r="SDU357" s="890"/>
      <c r="SEG357" s="890"/>
      <c r="SEH357" s="890"/>
      <c r="SET357" s="890"/>
      <c r="SEU357" s="890"/>
      <c r="SFG357" s="890"/>
      <c r="SFH357" s="890"/>
      <c r="SFT357" s="890"/>
      <c r="SFU357" s="890"/>
      <c r="SGG357" s="890"/>
      <c r="SGH357" s="890"/>
      <c r="SGT357" s="890"/>
      <c r="SGU357" s="890"/>
      <c r="SHG357" s="890"/>
      <c r="SHH357" s="890"/>
      <c r="SHT357" s="890"/>
      <c r="SHU357" s="890"/>
      <c r="SIG357" s="890"/>
      <c r="SIH357" s="890"/>
      <c r="SIT357" s="890"/>
      <c r="SIU357" s="890"/>
      <c r="SJG357" s="890"/>
      <c r="SJH357" s="890"/>
      <c r="SJT357" s="890"/>
      <c r="SJU357" s="890"/>
      <c r="SKG357" s="890"/>
      <c r="SKH357" s="890"/>
      <c r="SKT357" s="890"/>
      <c r="SKU357" s="890"/>
      <c r="SLG357" s="890"/>
      <c r="SLH357" s="890"/>
      <c r="SLT357" s="890"/>
      <c r="SLU357" s="890"/>
      <c r="SMG357" s="890"/>
      <c r="SMH357" s="890"/>
      <c r="SMT357" s="890"/>
      <c r="SMU357" s="890"/>
      <c r="SNG357" s="890"/>
      <c r="SNH357" s="890"/>
      <c r="SNT357" s="890"/>
      <c r="SNU357" s="890"/>
      <c r="SOG357" s="890"/>
      <c r="SOH357" s="890"/>
      <c r="SOT357" s="890"/>
      <c r="SOU357" s="890"/>
      <c r="SPG357" s="890"/>
      <c r="SPH357" s="890"/>
      <c r="SPT357" s="890"/>
      <c r="SPU357" s="890"/>
      <c r="SQG357" s="890"/>
      <c r="SQH357" s="890"/>
      <c r="SQT357" s="890"/>
      <c r="SQU357" s="890"/>
      <c r="SRG357" s="890"/>
      <c r="SRH357" s="890"/>
      <c r="SRT357" s="890"/>
      <c r="SRU357" s="890"/>
      <c r="SSG357" s="890"/>
      <c r="SSH357" s="890"/>
      <c r="SST357" s="890"/>
      <c r="SSU357" s="890"/>
      <c r="STG357" s="890"/>
      <c r="STH357" s="890"/>
      <c r="STT357" s="890"/>
      <c r="STU357" s="890"/>
      <c r="SUG357" s="890"/>
      <c r="SUH357" s="890"/>
      <c r="SUT357" s="890"/>
      <c r="SUU357" s="890"/>
      <c r="SVG357" s="890"/>
      <c r="SVH357" s="890"/>
      <c r="SVT357" s="890"/>
      <c r="SVU357" s="890"/>
      <c r="SWG357" s="890"/>
      <c r="SWH357" s="890"/>
      <c r="SWT357" s="890"/>
      <c r="SWU357" s="890"/>
      <c r="SXG357" s="890"/>
      <c r="SXH357" s="890"/>
      <c r="SXT357" s="890"/>
      <c r="SXU357" s="890"/>
      <c r="SYG357" s="890"/>
      <c r="SYH357" s="890"/>
      <c r="SYT357" s="890"/>
      <c r="SYU357" s="890"/>
      <c r="SZG357" s="890"/>
      <c r="SZH357" s="890"/>
      <c r="SZT357" s="890"/>
      <c r="SZU357" s="890"/>
      <c r="TAG357" s="890"/>
      <c r="TAH357" s="890"/>
      <c r="TAT357" s="890"/>
      <c r="TAU357" s="890"/>
      <c r="TBG357" s="890"/>
      <c r="TBH357" s="890"/>
      <c r="TBT357" s="890"/>
      <c r="TBU357" s="890"/>
      <c r="TCG357" s="890"/>
      <c r="TCH357" s="890"/>
      <c r="TCT357" s="890"/>
      <c r="TCU357" s="890"/>
      <c r="TDG357" s="890"/>
      <c r="TDH357" s="890"/>
      <c r="TDT357" s="890"/>
      <c r="TDU357" s="890"/>
      <c r="TEG357" s="890"/>
      <c r="TEH357" s="890"/>
      <c r="TET357" s="890"/>
      <c r="TEU357" s="890"/>
      <c r="TFG357" s="890"/>
      <c r="TFH357" s="890"/>
      <c r="TFT357" s="890"/>
      <c r="TFU357" s="890"/>
      <c r="TGG357" s="890"/>
      <c r="TGH357" s="890"/>
      <c r="TGT357" s="890"/>
      <c r="TGU357" s="890"/>
      <c r="THG357" s="890"/>
      <c r="THH357" s="890"/>
      <c r="THT357" s="890"/>
      <c r="THU357" s="890"/>
      <c r="TIG357" s="890"/>
      <c r="TIH357" s="890"/>
      <c r="TIT357" s="890"/>
      <c r="TIU357" s="890"/>
      <c r="TJG357" s="890"/>
      <c r="TJH357" s="890"/>
      <c r="TJT357" s="890"/>
      <c r="TJU357" s="890"/>
      <c r="TKG357" s="890"/>
      <c r="TKH357" s="890"/>
      <c r="TKT357" s="890"/>
      <c r="TKU357" s="890"/>
      <c r="TLG357" s="890"/>
      <c r="TLH357" s="890"/>
      <c r="TLT357" s="890"/>
      <c r="TLU357" s="890"/>
      <c r="TMG357" s="890"/>
      <c r="TMH357" s="890"/>
      <c r="TMT357" s="890"/>
      <c r="TMU357" s="890"/>
      <c r="TNG357" s="890"/>
      <c r="TNH357" s="890"/>
      <c r="TNT357" s="890"/>
      <c r="TNU357" s="890"/>
      <c r="TOG357" s="890"/>
      <c r="TOH357" s="890"/>
      <c r="TOT357" s="890"/>
      <c r="TOU357" s="890"/>
      <c r="TPG357" s="890"/>
      <c r="TPH357" s="890"/>
      <c r="TPT357" s="890"/>
      <c r="TPU357" s="890"/>
      <c r="TQG357" s="890"/>
      <c r="TQH357" s="890"/>
      <c r="TQT357" s="890"/>
      <c r="TQU357" s="890"/>
      <c r="TRG357" s="890"/>
      <c r="TRH357" s="890"/>
      <c r="TRT357" s="890"/>
      <c r="TRU357" s="890"/>
      <c r="TSG357" s="890"/>
      <c r="TSH357" s="890"/>
      <c r="TST357" s="890"/>
      <c r="TSU357" s="890"/>
      <c r="TTG357" s="890"/>
      <c r="TTH357" s="890"/>
      <c r="TTT357" s="890"/>
      <c r="TTU357" s="890"/>
      <c r="TUG357" s="890"/>
      <c r="TUH357" s="890"/>
      <c r="TUT357" s="890"/>
      <c r="TUU357" s="890"/>
      <c r="TVG357" s="890"/>
      <c r="TVH357" s="890"/>
      <c r="TVT357" s="890"/>
      <c r="TVU357" s="890"/>
      <c r="TWG357" s="890"/>
      <c r="TWH357" s="890"/>
      <c r="TWT357" s="890"/>
      <c r="TWU357" s="890"/>
      <c r="TXG357" s="890"/>
      <c r="TXH357" s="890"/>
      <c r="TXT357" s="890"/>
      <c r="TXU357" s="890"/>
      <c r="TYG357" s="890"/>
      <c r="TYH357" s="890"/>
      <c r="TYT357" s="890"/>
      <c r="TYU357" s="890"/>
      <c r="TZG357" s="890"/>
      <c r="TZH357" s="890"/>
      <c r="TZT357" s="890"/>
      <c r="TZU357" s="890"/>
      <c r="UAG357" s="890"/>
      <c r="UAH357" s="890"/>
      <c r="UAT357" s="890"/>
      <c r="UAU357" s="890"/>
      <c r="UBG357" s="890"/>
      <c r="UBH357" s="890"/>
      <c r="UBT357" s="890"/>
      <c r="UBU357" s="890"/>
      <c r="UCG357" s="890"/>
      <c r="UCH357" s="890"/>
      <c r="UCT357" s="890"/>
      <c r="UCU357" s="890"/>
      <c r="UDG357" s="890"/>
      <c r="UDH357" s="890"/>
      <c r="UDT357" s="890"/>
      <c r="UDU357" s="890"/>
      <c r="UEG357" s="890"/>
      <c r="UEH357" s="890"/>
      <c r="UET357" s="890"/>
      <c r="UEU357" s="890"/>
      <c r="UFG357" s="890"/>
      <c r="UFH357" s="890"/>
      <c r="UFT357" s="890"/>
      <c r="UFU357" s="890"/>
      <c r="UGG357" s="890"/>
      <c r="UGH357" s="890"/>
      <c r="UGT357" s="890"/>
      <c r="UGU357" s="890"/>
      <c r="UHG357" s="890"/>
      <c r="UHH357" s="890"/>
      <c r="UHT357" s="890"/>
      <c r="UHU357" s="890"/>
      <c r="UIG357" s="890"/>
      <c r="UIH357" s="890"/>
      <c r="UIT357" s="890"/>
      <c r="UIU357" s="890"/>
      <c r="UJG357" s="890"/>
      <c r="UJH357" s="890"/>
      <c r="UJT357" s="890"/>
      <c r="UJU357" s="890"/>
      <c r="UKG357" s="890"/>
      <c r="UKH357" s="890"/>
      <c r="UKT357" s="890"/>
      <c r="UKU357" s="890"/>
      <c r="ULG357" s="890"/>
      <c r="ULH357" s="890"/>
      <c r="ULT357" s="890"/>
      <c r="ULU357" s="890"/>
      <c r="UMG357" s="890"/>
      <c r="UMH357" s="890"/>
      <c r="UMT357" s="890"/>
      <c r="UMU357" s="890"/>
      <c r="UNG357" s="890"/>
      <c r="UNH357" s="890"/>
      <c r="UNT357" s="890"/>
      <c r="UNU357" s="890"/>
      <c r="UOG357" s="890"/>
      <c r="UOH357" s="890"/>
      <c r="UOT357" s="890"/>
      <c r="UOU357" s="890"/>
      <c r="UPG357" s="890"/>
      <c r="UPH357" s="890"/>
      <c r="UPT357" s="890"/>
      <c r="UPU357" s="890"/>
      <c r="UQG357" s="890"/>
      <c r="UQH357" s="890"/>
      <c r="UQT357" s="890"/>
      <c r="UQU357" s="890"/>
      <c r="URG357" s="890"/>
      <c r="URH357" s="890"/>
      <c r="URT357" s="890"/>
      <c r="URU357" s="890"/>
      <c r="USG357" s="890"/>
      <c r="USH357" s="890"/>
      <c r="UST357" s="890"/>
      <c r="USU357" s="890"/>
      <c r="UTG357" s="890"/>
      <c r="UTH357" s="890"/>
      <c r="UTT357" s="890"/>
      <c r="UTU357" s="890"/>
      <c r="UUG357" s="890"/>
      <c r="UUH357" s="890"/>
      <c r="UUT357" s="890"/>
      <c r="UUU357" s="890"/>
      <c r="UVG357" s="890"/>
      <c r="UVH357" s="890"/>
      <c r="UVT357" s="890"/>
      <c r="UVU357" s="890"/>
      <c r="UWG357" s="890"/>
      <c r="UWH357" s="890"/>
      <c r="UWT357" s="890"/>
      <c r="UWU357" s="890"/>
      <c r="UXG357" s="890"/>
      <c r="UXH357" s="890"/>
      <c r="UXT357" s="890"/>
      <c r="UXU357" s="890"/>
      <c r="UYG357" s="890"/>
      <c r="UYH357" s="890"/>
      <c r="UYT357" s="890"/>
      <c r="UYU357" s="890"/>
      <c r="UZG357" s="890"/>
      <c r="UZH357" s="890"/>
      <c r="UZT357" s="890"/>
      <c r="UZU357" s="890"/>
      <c r="VAG357" s="890"/>
      <c r="VAH357" s="890"/>
      <c r="VAT357" s="890"/>
      <c r="VAU357" s="890"/>
      <c r="VBG357" s="890"/>
      <c r="VBH357" s="890"/>
      <c r="VBT357" s="890"/>
      <c r="VBU357" s="890"/>
      <c r="VCG357" s="890"/>
      <c r="VCH357" s="890"/>
      <c r="VCT357" s="890"/>
      <c r="VCU357" s="890"/>
      <c r="VDG357" s="890"/>
      <c r="VDH357" s="890"/>
      <c r="VDT357" s="890"/>
      <c r="VDU357" s="890"/>
      <c r="VEG357" s="890"/>
      <c r="VEH357" s="890"/>
      <c r="VET357" s="890"/>
      <c r="VEU357" s="890"/>
      <c r="VFG357" s="890"/>
      <c r="VFH357" s="890"/>
      <c r="VFT357" s="890"/>
      <c r="VFU357" s="890"/>
      <c r="VGG357" s="890"/>
      <c r="VGH357" s="890"/>
      <c r="VGT357" s="890"/>
      <c r="VGU357" s="890"/>
      <c r="VHG357" s="890"/>
      <c r="VHH357" s="890"/>
      <c r="VHT357" s="890"/>
      <c r="VHU357" s="890"/>
      <c r="VIG357" s="890"/>
      <c r="VIH357" s="890"/>
      <c r="VIT357" s="890"/>
      <c r="VIU357" s="890"/>
      <c r="VJG357" s="890"/>
      <c r="VJH357" s="890"/>
      <c r="VJT357" s="890"/>
      <c r="VJU357" s="890"/>
      <c r="VKG357" s="890"/>
      <c r="VKH357" s="890"/>
      <c r="VKT357" s="890"/>
      <c r="VKU357" s="890"/>
      <c r="VLG357" s="890"/>
      <c r="VLH357" s="890"/>
      <c r="VLT357" s="890"/>
      <c r="VLU357" s="890"/>
      <c r="VMG357" s="890"/>
      <c r="VMH357" s="890"/>
      <c r="VMT357" s="890"/>
      <c r="VMU357" s="890"/>
      <c r="VNG357" s="890"/>
      <c r="VNH357" s="890"/>
      <c r="VNT357" s="890"/>
      <c r="VNU357" s="890"/>
      <c r="VOG357" s="890"/>
      <c r="VOH357" s="890"/>
      <c r="VOT357" s="890"/>
      <c r="VOU357" s="890"/>
      <c r="VPG357" s="890"/>
      <c r="VPH357" s="890"/>
      <c r="VPT357" s="890"/>
      <c r="VPU357" s="890"/>
      <c r="VQG357" s="890"/>
      <c r="VQH357" s="890"/>
      <c r="VQT357" s="890"/>
      <c r="VQU357" s="890"/>
      <c r="VRG357" s="890"/>
      <c r="VRH357" s="890"/>
      <c r="VRT357" s="890"/>
      <c r="VRU357" s="890"/>
      <c r="VSG357" s="890"/>
      <c r="VSH357" s="890"/>
      <c r="VST357" s="890"/>
      <c r="VSU357" s="890"/>
      <c r="VTG357" s="890"/>
      <c r="VTH357" s="890"/>
      <c r="VTT357" s="890"/>
      <c r="VTU357" s="890"/>
      <c r="VUG357" s="890"/>
      <c r="VUH357" s="890"/>
      <c r="VUT357" s="890"/>
      <c r="VUU357" s="890"/>
      <c r="VVG357" s="890"/>
      <c r="VVH357" s="890"/>
      <c r="VVT357" s="890"/>
      <c r="VVU357" s="890"/>
      <c r="VWG357" s="890"/>
      <c r="VWH357" s="890"/>
      <c r="VWT357" s="890"/>
      <c r="VWU357" s="890"/>
      <c r="VXG357" s="890"/>
      <c r="VXH357" s="890"/>
      <c r="VXT357" s="890"/>
      <c r="VXU357" s="890"/>
      <c r="VYG357" s="890"/>
      <c r="VYH357" s="890"/>
      <c r="VYT357" s="890"/>
      <c r="VYU357" s="890"/>
      <c r="VZG357" s="890"/>
      <c r="VZH357" s="890"/>
      <c r="VZT357" s="890"/>
      <c r="VZU357" s="890"/>
      <c r="WAG357" s="890"/>
      <c r="WAH357" s="890"/>
      <c r="WAT357" s="890"/>
      <c r="WAU357" s="890"/>
      <c r="WBG357" s="890"/>
      <c r="WBH357" s="890"/>
      <c r="WBT357" s="890"/>
      <c r="WBU357" s="890"/>
      <c r="WCG357" s="890"/>
      <c r="WCH357" s="890"/>
      <c r="WCT357" s="890"/>
      <c r="WCU357" s="890"/>
      <c r="WDG357" s="890"/>
      <c r="WDH357" s="890"/>
      <c r="WDT357" s="890"/>
      <c r="WDU357" s="890"/>
      <c r="WEG357" s="890"/>
      <c r="WEH357" s="890"/>
      <c r="WET357" s="890"/>
      <c r="WEU357" s="890"/>
      <c r="WFG357" s="890"/>
      <c r="WFH357" s="890"/>
      <c r="WFT357" s="890"/>
      <c r="WFU357" s="890"/>
      <c r="WGG357" s="890"/>
      <c r="WGH357" s="890"/>
      <c r="WGT357" s="890"/>
      <c r="WGU357" s="890"/>
      <c r="WHG357" s="890"/>
      <c r="WHH357" s="890"/>
      <c r="WHT357" s="890"/>
      <c r="WHU357" s="890"/>
      <c r="WIG357" s="890"/>
      <c r="WIH357" s="890"/>
      <c r="WIT357" s="890"/>
      <c r="WIU357" s="890"/>
      <c r="WJG357" s="890"/>
      <c r="WJH357" s="890"/>
      <c r="WJT357" s="890"/>
      <c r="WJU357" s="890"/>
      <c r="WKG357" s="890"/>
      <c r="WKH357" s="890"/>
      <c r="WKT357" s="890"/>
      <c r="WKU357" s="890"/>
      <c r="WLG357" s="890"/>
      <c r="WLH357" s="890"/>
      <c r="WLT357" s="890"/>
      <c r="WLU357" s="890"/>
      <c r="WMG357" s="890"/>
      <c r="WMH357" s="890"/>
      <c r="WMT357" s="890"/>
      <c r="WMU357" s="890"/>
      <c r="WNG357" s="890"/>
      <c r="WNH357" s="890"/>
      <c r="WNT357" s="890"/>
      <c r="WNU357" s="890"/>
      <c r="WOG357" s="890"/>
      <c r="WOH357" s="890"/>
      <c r="WOT357" s="890"/>
      <c r="WOU357" s="890"/>
      <c r="WPG357" s="890"/>
      <c r="WPH357" s="890"/>
      <c r="WPT357" s="890"/>
      <c r="WPU357" s="890"/>
      <c r="WQG357" s="890"/>
      <c r="WQH357" s="890"/>
      <c r="WQT357" s="890"/>
      <c r="WQU357" s="890"/>
      <c r="WRG357" s="890"/>
      <c r="WRH357" s="890"/>
      <c r="WRT357" s="890"/>
      <c r="WRU357" s="890"/>
      <c r="WSG357" s="890"/>
      <c r="WSH357" s="890"/>
      <c r="WST357" s="890"/>
      <c r="WSU357" s="890"/>
      <c r="WTG357" s="890"/>
      <c r="WTH357" s="890"/>
      <c r="WTT357" s="890"/>
      <c r="WTU357" s="890"/>
      <c r="WUG357" s="890"/>
      <c r="WUH357" s="890"/>
      <c r="WUT357" s="890"/>
      <c r="WUU357" s="890"/>
      <c r="WVG357" s="890"/>
      <c r="WVH357" s="890"/>
      <c r="WVT357" s="890"/>
      <c r="WVU357" s="890"/>
      <c r="WWG357" s="890"/>
      <c r="WWH357" s="890"/>
      <c r="WWT357" s="890"/>
      <c r="WWU357" s="890"/>
      <c r="WXG357" s="890"/>
      <c r="WXH357" s="890"/>
      <c r="WXT357" s="890"/>
      <c r="WXU357" s="890"/>
      <c r="WYG357" s="890"/>
      <c r="WYH357" s="890"/>
      <c r="WYT357" s="890"/>
      <c r="WYU357" s="890"/>
      <c r="WZG357" s="890"/>
      <c r="WZH357" s="890"/>
      <c r="WZT357" s="890"/>
      <c r="WZU357" s="890"/>
      <c r="XAG357" s="890"/>
      <c r="XAH357" s="890"/>
      <c r="XAT357" s="890"/>
      <c r="XAU357" s="890"/>
      <c r="XBG357" s="890"/>
      <c r="XBH357" s="890"/>
      <c r="XBT357" s="890"/>
      <c r="XBU357" s="890"/>
      <c r="XCG357" s="890"/>
      <c r="XCH357" s="890"/>
      <c r="XCT357" s="890"/>
      <c r="XCU357" s="890"/>
      <c r="XDG357" s="890"/>
      <c r="XDH357" s="890"/>
      <c r="XDT357" s="890"/>
      <c r="XDU357" s="890"/>
      <c r="XEG357" s="890"/>
      <c r="XEH357" s="890"/>
      <c r="XET357" s="890"/>
      <c r="XEU357" s="890"/>
    </row>
    <row r="358" spans="1:1022 1034:3063 3075:4090 4102:5117 5129:6144 6156:7158 7170:8185 8197:9212 9224:10239 10251:11253 11265:12280 12292:13307 13319:14334 14346:16375" ht="18" customHeight="1">
      <c r="A358" s="1761" t="str">
        <f>IFERROR(INDEX('Summary Data'!B:B,MATCH(1,'Summary Data'!GR:GR,0),1),"N")</f>
        <v>E-flute 115/105</v>
      </c>
      <c r="B358" s="1762" t="s">
        <v>174</v>
      </c>
      <c r="C358" s="1614" t="s">
        <v>3972</v>
      </c>
      <c r="D358" s="1614">
        <v>5100</v>
      </c>
      <c r="E358" s="1614" t="s">
        <v>1170</v>
      </c>
      <c r="F358" s="1614">
        <f t="shared" ref="F358:H358" si="230">+F25</f>
        <v>2</v>
      </c>
      <c r="G358" s="1614">
        <f t="shared" si="230"/>
        <v>1</v>
      </c>
      <c r="H358" s="1614">
        <f t="shared" si="230"/>
        <v>1</v>
      </c>
      <c r="I358" s="1762" t="str">
        <f>+A25</f>
        <v>Box</v>
      </c>
      <c r="J358" s="1763">
        <f ca="1">IF(I358="N",0,SUMIF($A$25:$A$194,$I358,$J$25:$J$194)-10)</f>
        <v>628</v>
      </c>
      <c r="K358" s="1764">
        <f ca="1">IF(I358="N",0,SUMIF($A$25:$A$194,$I358,$K$25:$K$194)-10)</f>
        <v>397</v>
      </c>
      <c r="L358" s="1765">
        <f ca="1">J358</f>
        <v>628</v>
      </c>
      <c r="M358" s="1771">
        <f ca="1">K358</f>
        <v>397</v>
      </c>
      <c r="AJ358" s="320"/>
      <c r="AM358" s="320"/>
    </row>
    <row r="359" spans="1:1022 1034:3063 3075:4090 4102:5117 5129:6144 6156:7158 7170:8185 8197:9212 9224:10239 10251:11253 11265:12280 12292:13307 13319:14334 14346:16375" ht="18" hidden="1" customHeight="1" outlineLevel="1">
      <c r="A359" s="1581"/>
      <c r="C359" s="320"/>
      <c r="D359" s="194"/>
      <c r="E359" s="146" t="s">
        <v>2055</v>
      </c>
      <c r="F359" s="919" t="str">
        <f>A358</f>
        <v>E-flute 115/105</v>
      </c>
      <c r="G359" s="320"/>
      <c r="H359" s="320"/>
      <c r="I359" s="376"/>
      <c r="J359" s="1579"/>
      <c r="K359" s="1766" t="s">
        <v>215</v>
      </c>
      <c r="L359" s="1767" t="s">
        <v>1469</v>
      </c>
      <c r="M359" s="1767" t="s">
        <v>1473</v>
      </c>
      <c r="AJ359" s="320"/>
      <c r="AM359" s="320"/>
    </row>
    <row r="360" spans="1:1022 1034:3063 3075:4090 4102:5117 5129:6144 6156:7158 7170:8185 8197:9212 9224:10239 10251:11253 11265:12280 12292:13307 13319:14334 14346:16375" ht="18" hidden="1" customHeight="1" outlineLevel="1">
      <c r="A360" s="1581"/>
      <c r="C360" s="320"/>
      <c r="D360" s="194"/>
      <c r="F360" s="320"/>
      <c r="G360" s="320"/>
      <c r="H360" s="320"/>
      <c r="I360" s="376"/>
      <c r="J360" s="1579"/>
      <c r="K360" s="1705" t="s">
        <v>127</v>
      </c>
      <c r="L360" s="1768"/>
      <c r="M360" s="1705" t="s">
        <v>1196</v>
      </c>
      <c r="AJ360" s="320"/>
      <c r="AM360" s="320"/>
    </row>
    <row r="361" spans="1:1022 1034:3063 3075:4090 4102:5117 5129:6144 6156:7158 7170:8185 8197:9212 9224:10239 10251:11253 11265:12280 12292:13307 13319:14334 14346:16375" ht="18" hidden="1" customHeight="1" outlineLevel="1" collapsed="1">
      <c r="A361" s="1761" t="str">
        <f>IFERROR(INDEX('Summary Data'!B:B,MATCH(2,'Summary Data'!GR:GR,0),1),"N")</f>
        <v>N</v>
      </c>
      <c r="B361" s="1762" t="s">
        <v>174</v>
      </c>
      <c r="C361" s="1614"/>
      <c r="D361" s="1614"/>
      <c r="E361" s="1614" t="s">
        <v>1096</v>
      </c>
      <c r="F361" s="1614"/>
      <c r="G361" s="1614"/>
      <c r="H361" s="1614">
        <v>0</v>
      </c>
      <c r="I361" s="1614" t="s">
        <v>106</v>
      </c>
      <c r="J361" s="1763">
        <f>IF(I361="N",0,SUMIF($A$25:$A$194,$I361,$J$25:$J$194)-10)</f>
        <v>0</v>
      </c>
      <c r="K361" s="1764">
        <f>IF(I361="N",0,SUMIF($A$25:$A$194,$I361,$K$25:$K$194)-10)</f>
        <v>0</v>
      </c>
      <c r="L361" s="1765">
        <f>J361</f>
        <v>0</v>
      </c>
      <c r="M361" s="1771">
        <f>K361</f>
        <v>0</v>
      </c>
      <c r="AJ361" s="320"/>
      <c r="AM361" s="320"/>
    </row>
    <row r="362" spans="1:1022 1034:3063 3075:4090 4102:5117 5129:6144 6156:7158 7170:8185 8197:9212 9224:10239 10251:11253 11265:12280 12292:13307 13319:14334 14346:16375" ht="18" hidden="1" customHeight="1" outlineLevel="1">
      <c r="A362" s="1581"/>
      <c r="C362" s="320"/>
      <c r="D362" s="194"/>
      <c r="E362" s="146" t="s">
        <v>2055</v>
      </c>
      <c r="F362" s="919" t="str">
        <f>A361</f>
        <v>N</v>
      </c>
      <c r="G362" s="320"/>
      <c r="H362" s="320"/>
      <c r="I362" s="376"/>
      <c r="J362" s="1579"/>
      <c r="K362" s="1766" t="s">
        <v>215</v>
      </c>
      <c r="L362" s="1767" t="s">
        <v>1469</v>
      </c>
      <c r="M362" s="1767" t="s">
        <v>1473</v>
      </c>
      <c r="AJ362" s="320"/>
      <c r="AM362" s="320"/>
    </row>
    <row r="363" spans="1:1022 1034:3063 3075:4090 4102:5117 5129:6144 6156:7158 7170:8185 8197:9212 9224:10239 10251:11253 11265:12280 12292:13307 13319:14334 14346:16375" ht="18" hidden="1" customHeight="1" outlineLevel="1">
      <c r="A363" s="1581"/>
      <c r="C363" s="320"/>
      <c r="D363" s="194"/>
      <c r="F363" s="320"/>
      <c r="G363" s="320"/>
      <c r="H363" s="320"/>
      <c r="I363" s="376"/>
      <c r="J363" s="1579"/>
      <c r="K363" s="1705" t="s">
        <v>127</v>
      </c>
      <c r="L363" s="1768"/>
      <c r="M363" s="1705" t="s">
        <v>1196</v>
      </c>
      <c r="AJ363" s="320"/>
      <c r="AM363" s="320"/>
    </row>
    <row r="364" spans="1:1022 1034:3063 3075:4090 4102:5117 5129:6144 6156:7158 7170:8185 8197:9212 9224:10239 10251:11253 11265:12280 12292:13307 13319:14334 14346:16375" ht="18" hidden="1" customHeight="1" outlineLevel="1">
      <c r="A364" s="1761" t="str">
        <f>IFERROR(INDEX('Summary Data'!B:B,MATCH(3,'Summary Data'!GR:GR,0),1),"N")</f>
        <v>N</v>
      </c>
      <c r="B364" s="1762" t="s">
        <v>174</v>
      </c>
      <c r="C364" s="1614"/>
      <c r="D364" s="1614"/>
      <c r="E364" s="1614" t="s">
        <v>1096</v>
      </c>
      <c r="F364" s="1614"/>
      <c r="G364" s="1614"/>
      <c r="H364" s="1614">
        <v>0</v>
      </c>
      <c r="I364" s="1614" t="s">
        <v>106</v>
      </c>
      <c r="J364" s="1763">
        <f>IF(I364="N",0,SUMIF($A$25:$A$194,$I364,$J$25:$J$194)-10)</f>
        <v>0</v>
      </c>
      <c r="K364" s="1764">
        <f>IF(I364="N",0,SUMIF($A$25:$A$194,$I364,$K$25:$K$194)-10)</f>
        <v>0</v>
      </c>
      <c r="L364" s="1765">
        <f>J364</f>
        <v>0</v>
      </c>
      <c r="M364" s="1771">
        <f>K364</f>
        <v>0</v>
      </c>
      <c r="AJ364" s="320"/>
      <c r="AM364" s="320"/>
    </row>
    <row r="365" spans="1:1022 1034:3063 3075:4090 4102:5117 5129:6144 6156:7158 7170:8185 8197:9212 9224:10239 10251:11253 11265:12280 12292:13307 13319:14334 14346:16375" ht="18" hidden="1" customHeight="1" outlineLevel="1">
      <c r="A365" s="1581"/>
      <c r="C365" s="320"/>
      <c r="D365" s="194"/>
      <c r="E365" s="146" t="s">
        <v>2055</v>
      </c>
      <c r="F365" s="919" t="str">
        <f>A364</f>
        <v>N</v>
      </c>
      <c r="G365" s="320"/>
      <c r="H365" s="320"/>
      <c r="I365" s="376"/>
      <c r="J365" s="1579"/>
      <c r="K365" s="1766" t="s">
        <v>215</v>
      </c>
      <c r="L365" s="1767" t="s">
        <v>1469</v>
      </c>
      <c r="M365" s="1767" t="s">
        <v>1473</v>
      </c>
      <c r="AJ365" s="320"/>
      <c r="AM365" s="320"/>
    </row>
    <row r="366" spans="1:1022 1034:3063 3075:4090 4102:5117 5129:6144 6156:7158 7170:8185 8197:9212 9224:10239 10251:11253 11265:12280 12292:13307 13319:14334 14346:16375" ht="18" hidden="1" customHeight="1" outlineLevel="1">
      <c r="A366" s="1581"/>
      <c r="C366" s="320"/>
      <c r="D366" s="194"/>
      <c r="F366" s="320"/>
      <c r="G366" s="320"/>
      <c r="H366" s="320"/>
      <c r="I366" s="376"/>
      <c r="J366" s="1579"/>
      <c r="K366" s="1705" t="s">
        <v>127</v>
      </c>
      <c r="L366" s="1768"/>
      <c r="M366" s="1705" t="s">
        <v>1196</v>
      </c>
      <c r="AJ366" s="320"/>
      <c r="AM366" s="320"/>
    </row>
    <row r="367" spans="1:1022 1034:3063 3075:4090 4102:5117 5129:6144 6156:7158 7170:8185 8197:9212 9224:10239 10251:11253 11265:12280 12292:13307 13319:14334 14346:16375" ht="18" hidden="1" customHeight="1" outlineLevel="1">
      <c r="A367" s="1761" t="str">
        <f>IFERROR(INDEX('Summary Data'!B:B,MATCH(4,'Summary Data'!GR:GR,0),1),"N")</f>
        <v>N</v>
      </c>
      <c r="B367" s="1762" t="s">
        <v>174</v>
      </c>
      <c r="C367" s="1614"/>
      <c r="D367" s="1614"/>
      <c r="E367" s="1614" t="s">
        <v>1096</v>
      </c>
      <c r="F367" s="1614"/>
      <c r="G367" s="1614"/>
      <c r="H367" s="1614">
        <v>0</v>
      </c>
      <c r="I367" s="1614" t="s">
        <v>106</v>
      </c>
      <c r="J367" s="1763">
        <f>IF(I367="N",0,SUMIF($A$25:$A$194,$I367,$J$25:$J$194)-10)</f>
        <v>0</v>
      </c>
      <c r="K367" s="1764">
        <f>IF(I367="N",0,SUMIF($A$25:$A$194,$I367,$K$25:$K$194)-10)</f>
        <v>0</v>
      </c>
      <c r="L367" s="1765">
        <f>J367</f>
        <v>0</v>
      </c>
      <c r="M367" s="1771">
        <f>K367</f>
        <v>0</v>
      </c>
      <c r="AJ367" s="320"/>
      <c r="AM367" s="320"/>
    </row>
    <row r="368" spans="1:1022 1034:3063 3075:4090 4102:5117 5129:6144 6156:7158 7170:8185 8197:9212 9224:10239 10251:11253 11265:12280 12292:13307 13319:14334 14346:16375" ht="18" hidden="1" customHeight="1" outlineLevel="1">
      <c r="A368" s="1581"/>
      <c r="C368" s="320"/>
      <c r="D368" s="194"/>
      <c r="E368" s="146" t="s">
        <v>2055</v>
      </c>
      <c r="F368" s="919" t="str">
        <f>A367</f>
        <v>N</v>
      </c>
      <c r="G368" s="320"/>
      <c r="H368" s="320"/>
      <c r="I368" s="376"/>
      <c r="J368" s="1579"/>
      <c r="K368" s="1766" t="s">
        <v>215</v>
      </c>
      <c r="L368" s="1767" t="s">
        <v>1469</v>
      </c>
      <c r="M368" s="1767" t="s">
        <v>1473</v>
      </c>
      <c r="AJ368" s="320"/>
      <c r="AM368" s="320"/>
    </row>
    <row r="369" spans="1:39" ht="18" hidden="1" customHeight="1" outlineLevel="1">
      <c r="A369" s="1581"/>
      <c r="C369" s="320"/>
      <c r="D369" s="194"/>
      <c r="F369" s="320"/>
      <c r="G369" s="320"/>
      <c r="H369" s="320"/>
      <c r="I369" s="376"/>
      <c r="J369" s="1579"/>
      <c r="K369" s="1705" t="s">
        <v>127</v>
      </c>
      <c r="L369" s="1768"/>
      <c r="M369" s="1705" t="s">
        <v>1196</v>
      </c>
      <c r="AJ369" s="320"/>
      <c r="AM369" s="320"/>
    </row>
    <row r="370" spans="1:39" ht="18" hidden="1" customHeight="1" outlineLevel="1">
      <c r="A370" s="1761" t="str">
        <f>IFERROR(INDEX('Summary Data'!B:B,MATCH(5,'Summary Data'!GR:GR,0),1),"N")</f>
        <v>N</v>
      </c>
      <c r="B370" s="1762" t="s">
        <v>174</v>
      </c>
      <c r="C370" s="1614"/>
      <c r="D370" s="1614"/>
      <c r="E370" s="1614" t="s">
        <v>1096</v>
      </c>
      <c r="F370" s="1614"/>
      <c r="G370" s="1614"/>
      <c r="H370" s="1614">
        <v>0</v>
      </c>
      <c r="I370" s="1614" t="s">
        <v>106</v>
      </c>
      <c r="J370" s="1763">
        <f>IF(I370="N",0,SUMIF($A$25:$A$194,$I370,$J$25:$J$194)-10)</f>
        <v>0</v>
      </c>
      <c r="K370" s="1764">
        <f>IF(I370="N",0,SUMIF($A$25:$A$194,$I370,$K$25:$K$194)-10)</f>
        <v>0</v>
      </c>
      <c r="L370" s="1765">
        <f>J370</f>
        <v>0</v>
      </c>
      <c r="M370" s="1771">
        <f>K370</f>
        <v>0</v>
      </c>
      <c r="AJ370" s="320"/>
      <c r="AM370" s="320"/>
    </row>
    <row r="371" spans="1:39" ht="18" hidden="1" customHeight="1" outlineLevel="1">
      <c r="A371" s="1581"/>
      <c r="C371" s="320"/>
      <c r="D371" s="194"/>
      <c r="E371" s="146" t="s">
        <v>2055</v>
      </c>
      <c r="F371" s="919" t="str">
        <f>A370</f>
        <v>N</v>
      </c>
      <c r="G371" s="320"/>
      <c r="H371" s="320"/>
      <c r="I371" s="376"/>
      <c r="J371" s="1579"/>
      <c r="K371" s="1766" t="s">
        <v>215</v>
      </c>
      <c r="L371" s="1767" t="s">
        <v>1469</v>
      </c>
      <c r="M371" s="1767" t="s">
        <v>1473</v>
      </c>
      <c r="AJ371" s="320"/>
      <c r="AM371" s="320"/>
    </row>
    <row r="372" spans="1:39" ht="18" hidden="1" customHeight="1" outlineLevel="1">
      <c r="A372" s="1581"/>
      <c r="C372" s="320"/>
      <c r="D372" s="194"/>
      <c r="F372" s="320"/>
      <c r="G372" s="320"/>
      <c r="H372" s="320"/>
      <c r="I372" s="376"/>
      <c r="J372" s="1579"/>
      <c r="K372" s="1705" t="s">
        <v>127</v>
      </c>
      <c r="L372" s="1768"/>
      <c r="M372" s="1705" t="s">
        <v>1196</v>
      </c>
      <c r="AJ372" s="320"/>
      <c r="AM372" s="320"/>
    </row>
    <row r="373" spans="1:39" ht="25.5" customHeight="1" collapsed="1">
      <c r="B373" s="1583" t="s">
        <v>1491</v>
      </c>
      <c r="C373" s="1584"/>
      <c r="D373" s="320"/>
      <c r="E373" s="320"/>
      <c r="F373" s="320"/>
      <c r="G373" s="320"/>
      <c r="H373" s="320"/>
      <c r="I373" s="320"/>
      <c r="J373" s="2387">
        <f>F1</f>
        <v>2023</v>
      </c>
      <c r="K373" s="320"/>
      <c r="L373" s="320"/>
      <c r="M373" s="320"/>
      <c r="N373" s="320"/>
      <c r="O373" s="320"/>
    </row>
    <row r="374" spans="1:39" ht="25.5" customHeight="1">
      <c r="A374" s="1775" t="s">
        <v>274</v>
      </c>
      <c r="B374" s="1777"/>
      <c r="C374" s="1778"/>
      <c r="D374" s="1779"/>
      <c r="E374" s="1780"/>
      <c r="F374" s="1776" t="s">
        <v>746</v>
      </c>
      <c r="G374" s="1776" t="s">
        <v>1518</v>
      </c>
      <c r="H374" s="1776" t="s">
        <v>167</v>
      </c>
      <c r="I374" s="320"/>
      <c r="J374" s="1776" t="s">
        <v>2055</v>
      </c>
      <c r="K374" s="3113" t="s">
        <v>3235</v>
      </c>
      <c r="L374" s="385"/>
      <c r="M374" s="385"/>
      <c r="N374" s="1585"/>
      <c r="O374" s="385"/>
      <c r="P374" s="385"/>
      <c r="Q374" s="1586"/>
      <c r="R374" s="1585"/>
      <c r="S374" s="1585"/>
    </row>
    <row r="375" spans="1:39" ht="16.899999999999999" customHeight="1">
      <c r="A375" s="385" t="s">
        <v>3693</v>
      </c>
      <c r="B375" s="1773" t="s">
        <v>185</v>
      </c>
      <c r="C375" s="1774" t="s">
        <v>28</v>
      </c>
      <c r="D375" s="1628">
        <v>0</v>
      </c>
      <c r="E375" s="1761" t="str">
        <f t="shared" ref="E375:E389" ca="1" si="231">OFFSET($A$25,D375,0)</f>
        <v>Box</v>
      </c>
      <c r="F375" s="1591" t="str">
        <f t="shared" ref="F375:F397" ca="1" si="232">IF(G375=0,"N",E375)</f>
        <v>Box</v>
      </c>
      <c r="G375" s="1591" t="str">
        <f ca="1">INDEX('Summary Data'!$AS$6:$FZ$57,MATCH($E375,'Summary Data'!$C$6:$C$57,0),MATCH($C375,'Summary Data'!$AS$3:$FZ$3,0))</f>
        <v>8000</v>
      </c>
      <c r="H375" s="1591" t="str">
        <f ca="1">INDEX('Summary Data'!$AS$6:$FZ$57,MATCH($E375,'Summary Data'!$C$6:$C$57,0),MATCH($C375,'Summary Data'!$AS$3:$FZ$3,0)+1)</f>
        <v>3</v>
      </c>
      <c r="I375" s="320"/>
      <c r="J375" s="4002" t="str">
        <f ca="1">F375</f>
        <v>Box</v>
      </c>
      <c r="K375" s="3114" t="s">
        <v>3174</v>
      </c>
      <c r="L375" s="313"/>
      <c r="M375" s="313"/>
      <c r="N375" s="983"/>
      <c r="O375" s="313"/>
      <c r="P375" s="313"/>
      <c r="Q375" s="313"/>
      <c r="R375" s="313"/>
      <c r="S375" s="313"/>
    </row>
    <row r="376" spans="1:39" ht="16.899999999999999" hidden="1" customHeight="1" outlineLevel="1">
      <c r="A376" s="385"/>
      <c r="B376" s="1750" t="s">
        <v>185</v>
      </c>
      <c r="C376" s="1717" t="s">
        <v>28</v>
      </c>
      <c r="D376" s="1638">
        <f>D375+17</f>
        <v>17</v>
      </c>
      <c r="E376" s="1761" t="str">
        <f t="shared" ca="1" si="231"/>
        <v>N</v>
      </c>
      <c r="F376" s="1591" t="str">
        <f t="shared" ca="1" si="232"/>
        <v>N</v>
      </c>
      <c r="G376" s="1591">
        <f ca="1">INDEX('Summary Data'!$AS$6:$FZ$57,MATCH($E376,'Summary Data'!$C$6:$C$57,0),MATCH($C376,'Summary Data'!$AS$3:$FZ$3,0))</f>
        <v>0</v>
      </c>
      <c r="H376" s="1591">
        <f ca="1">INDEX('Summary Data'!$AS$6:$FZ$57,MATCH($E376,'Summary Data'!$C$6:$C$57,0),MATCH($C376,'Summary Data'!$AS$3:$FZ$3,0)+1)</f>
        <v>0</v>
      </c>
      <c r="I376" s="320"/>
      <c r="J376" s="4002" t="str">
        <f t="shared" ref="J376:J409" ca="1" si="233">F376</f>
        <v>N</v>
      </c>
      <c r="K376" s="3114" t="s">
        <v>3174</v>
      </c>
      <c r="L376" s="313"/>
      <c r="M376" s="313"/>
      <c r="N376" s="983"/>
      <c r="O376" s="313"/>
      <c r="P376" s="313"/>
      <c r="Q376" s="313"/>
      <c r="R376" s="313"/>
      <c r="S376" s="313"/>
    </row>
    <row r="377" spans="1:39" ht="16.899999999999999" hidden="1" customHeight="1" outlineLevel="1">
      <c r="A377" s="385"/>
      <c r="B377" s="1750" t="s">
        <v>185</v>
      </c>
      <c r="C377" s="1717" t="s">
        <v>28</v>
      </c>
      <c r="D377" s="1638">
        <f t="shared" ref="D377:D389" si="234">D376+17</f>
        <v>34</v>
      </c>
      <c r="E377" s="1761" t="str">
        <f t="shared" ca="1" si="231"/>
        <v>N</v>
      </c>
      <c r="F377" s="1591" t="str">
        <f t="shared" ca="1" si="232"/>
        <v>N</v>
      </c>
      <c r="G377" s="1591">
        <f ca="1">INDEX('Summary Data'!$AS$6:$FZ$57,MATCH($E377,'Summary Data'!$C$6:$C$57,0),MATCH($C377,'Summary Data'!$AS$3:$FZ$3,0))</f>
        <v>0</v>
      </c>
      <c r="H377" s="1591">
        <f ca="1">INDEX('Summary Data'!$AS$6:$FZ$57,MATCH($E377,'Summary Data'!$C$6:$C$57,0),MATCH($C377,'Summary Data'!$AS$3:$FZ$3,0)+1)</f>
        <v>0</v>
      </c>
      <c r="I377" s="320"/>
      <c r="J377" s="4002" t="str">
        <f t="shared" ca="1" si="233"/>
        <v>N</v>
      </c>
      <c r="K377" s="3114" t="s">
        <v>3174</v>
      </c>
      <c r="L377" s="313"/>
      <c r="M377" s="313"/>
      <c r="N377" s="983"/>
      <c r="O377" s="313"/>
      <c r="P377" s="313"/>
      <c r="Q377" s="313"/>
      <c r="R377" s="313"/>
      <c r="S377" s="313"/>
    </row>
    <row r="378" spans="1:39" ht="16.899999999999999" hidden="1" customHeight="1" outlineLevel="1">
      <c r="A378" s="385"/>
      <c r="B378" s="1750" t="s">
        <v>185</v>
      </c>
      <c r="C378" s="1717" t="s">
        <v>28</v>
      </c>
      <c r="D378" s="1638">
        <f t="shared" si="234"/>
        <v>51</v>
      </c>
      <c r="E378" s="1761" t="str">
        <f t="shared" ca="1" si="231"/>
        <v>N</v>
      </c>
      <c r="F378" s="1591" t="str">
        <f t="shared" ca="1" si="232"/>
        <v>N</v>
      </c>
      <c r="G378" s="1591">
        <f ca="1">INDEX('Summary Data'!$AS$6:$FZ$57,MATCH($E378,'Summary Data'!$C$6:$C$57,0),MATCH($C378,'Summary Data'!$AS$3:$FZ$3,0))</f>
        <v>0</v>
      </c>
      <c r="H378" s="1591">
        <f ca="1">INDEX('Summary Data'!$AS$6:$FZ$57,MATCH($E378,'Summary Data'!$C$6:$C$57,0),MATCH($C378,'Summary Data'!$AS$3:$FZ$3,0)+1)</f>
        <v>0</v>
      </c>
      <c r="I378" s="320"/>
      <c r="J378" s="4002" t="str">
        <f t="shared" ca="1" si="233"/>
        <v>N</v>
      </c>
      <c r="K378" s="3114" t="s">
        <v>3174</v>
      </c>
      <c r="L378" s="313"/>
      <c r="M378" s="313"/>
      <c r="N378" s="983"/>
      <c r="O378" s="313"/>
      <c r="P378" s="313"/>
      <c r="Q378" s="313"/>
      <c r="R378" s="313"/>
      <c r="S378" s="313"/>
    </row>
    <row r="379" spans="1:39" ht="16.899999999999999" hidden="1" customHeight="1" outlineLevel="1">
      <c r="A379" s="385"/>
      <c r="B379" s="1750" t="s">
        <v>185</v>
      </c>
      <c r="C379" s="1717" t="s">
        <v>28</v>
      </c>
      <c r="D379" s="1638">
        <f t="shared" si="234"/>
        <v>68</v>
      </c>
      <c r="E379" s="1761" t="str">
        <f t="shared" ca="1" si="231"/>
        <v>N</v>
      </c>
      <c r="F379" s="1591" t="str">
        <f t="shared" ca="1" si="232"/>
        <v>N</v>
      </c>
      <c r="G379" s="1591">
        <f ca="1">INDEX('Summary Data'!$AS$6:$FZ$57,MATCH($E379,'Summary Data'!$C$6:$C$57,0),MATCH($C379,'Summary Data'!$AS$3:$FZ$3,0))</f>
        <v>0</v>
      </c>
      <c r="H379" s="1591">
        <f ca="1">INDEX('Summary Data'!$AS$6:$FZ$57,MATCH($E379,'Summary Data'!$C$6:$C$57,0),MATCH($C379,'Summary Data'!$AS$3:$FZ$3,0)+1)</f>
        <v>0</v>
      </c>
      <c r="I379" s="320"/>
      <c r="J379" s="4002" t="str">
        <f t="shared" ca="1" si="233"/>
        <v>N</v>
      </c>
      <c r="K379" s="3114" t="s">
        <v>3174</v>
      </c>
      <c r="L379" s="313"/>
      <c r="M379" s="313"/>
      <c r="N379" s="983"/>
      <c r="O379" s="313"/>
      <c r="P379" s="313"/>
      <c r="Q379" s="313"/>
      <c r="R379" s="313"/>
      <c r="S379" s="313"/>
    </row>
    <row r="380" spans="1:39" ht="16.899999999999999" hidden="1" customHeight="1" outlineLevel="1">
      <c r="A380" s="385"/>
      <c r="B380" s="1750" t="s">
        <v>185</v>
      </c>
      <c r="C380" s="1717" t="s">
        <v>28</v>
      </c>
      <c r="D380" s="1638">
        <f t="shared" si="234"/>
        <v>85</v>
      </c>
      <c r="E380" s="1761" t="str">
        <f t="shared" ca="1" si="231"/>
        <v>N</v>
      </c>
      <c r="F380" s="1591" t="str">
        <f t="shared" ca="1" si="232"/>
        <v>N</v>
      </c>
      <c r="G380" s="1591">
        <f ca="1">INDEX('Summary Data'!$AS$6:$FZ$57,MATCH($E380,'Summary Data'!$C$6:$C$57,0),MATCH($C380,'Summary Data'!$AS$3:$FZ$3,0))</f>
        <v>0</v>
      </c>
      <c r="H380" s="1591">
        <f ca="1">INDEX('Summary Data'!$AS$6:$FZ$57,MATCH($E380,'Summary Data'!$C$6:$C$57,0),MATCH($C380,'Summary Data'!$AS$3:$FZ$3,0)+1)</f>
        <v>0</v>
      </c>
      <c r="I380" s="320"/>
      <c r="J380" s="4002" t="str">
        <f t="shared" ca="1" si="233"/>
        <v>N</v>
      </c>
      <c r="K380" s="3114" t="s">
        <v>3174</v>
      </c>
      <c r="L380" s="313"/>
      <c r="M380" s="313"/>
      <c r="N380" s="983"/>
      <c r="O380" s="313"/>
      <c r="P380" s="313"/>
      <c r="Q380" s="313"/>
      <c r="R380" s="313"/>
      <c r="S380" s="313"/>
    </row>
    <row r="381" spans="1:39" ht="16.899999999999999" hidden="1" customHeight="1" outlineLevel="1">
      <c r="A381" s="385"/>
      <c r="B381" s="1750" t="s">
        <v>185</v>
      </c>
      <c r="C381" s="1717" t="s">
        <v>28</v>
      </c>
      <c r="D381" s="1638">
        <f t="shared" si="234"/>
        <v>102</v>
      </c>
      <c r="E381" s="1761" t="str">
        <f t="shared" ca="1" si="231"/>
        <v>N</v>
      </c>
      <c r="F381" s="1591" t="str">
        <f t="shared" ca="1" si="232"/>
        <v>N</v>
      </c>
      <c r="G381" s="1591">
        <f ca="1">INDEX('Summary Data'!$AS$6:$FZ$57,MATCH($E381,'Summary Data'!$C$6:$C$57,0),MATCH($C381,'Summary Data'!$AS$3:$FZ$3,0))</f>
        <v>0</v>
      </c>
      <c r="H381" s="1591">
        <f ca="1">INDEX('Summary Data'!$AS$6:$FZ$57,MATCH($E381,'Summary Data'!$C$6:$C$57,0),MATCH($C381,'Summary Data'!$AS$3:$FZ$3,0)+1)</f>
        <v>0</v>
      </c>
      <c r="I381" s="320"/>
      <c r="J381" s="4002" t="str">
        <f t="shared" ca="1" si="233"/>
        <v>N</v>
      </c>
      <c r="K381" s="3114" t="s">
        <v>3174</v>
      </c>
      <c r="L381" s="313"/>
      <c r="M381" s="313"/>
      <c r="N381" s="983"/>
      <c r="O381" s="313"/>
      <c r="P381" s="313"/>
      <c r="Q381" s="313"/>
      <c r="R381" s="313"/>
      <c r="S381" s="313"/>
    </row>
    <row r="382" spans="1:39" ht="16.899999999999999" hidden="1" customHeight="1" outlineLevel="1">
      <c r="A382" s="385"/>
      <c r="B382" s="1750" t="s">
        <v>185</v>
      </c>
      <c r="C382" s="1717" t="s">
        <v>28</v>
      </c>
      <c r="D382" s="1638">
        <f t="shared" si="234"/>
        <v>119</v>
      </c>
      <c r="E382" s="1761" t="str">
        <f t="shared" ca="1" si="231"/>
        <v>N</v>
      </c>
      <c r="F382" s="1591" t="str">
        <f t="shared" ca="1" si="232"/>
        <v>N</v>
      </c>
      <c r="G382" s="1591">
        <f ca="1">INDEX('Summary Data'!$AS$6:$FZ$57,MATCH($E382,'Summary Data'!$C$6:$C$57,0),MATCH($C382,'Summary Data'!$AS$3:$FZ$3,0))</f>
        <v>0</v>
      </c>
      <c r="H382" s="1591">
        <f ca="1">INDEX('Summary Data'!$AS$6:$FZ$57,MATCH($E382,'Summary Data'!$C$6:$C$57,0),MATCH($C382,'Summary Data'!$AS$3:$FZ$3,0)+1)</f>
        <v>0</v>
      </c>
      <c r="I382" s="320"/>
      <c r="J382" s="4002" t="str">
        <f t="shared" ca="1" si="233"/>
        <v>N</v>
      </c>
      <c r="K382" s="3114" t="s">
        <v>3174</v>
      </c>
      <c r="L382" s="313"/>
      <c r="M382" s="313"/>
      <c r="N382" s="983"/>
      <c r="O382" s="313"/>
      <c r="P382" s="313"/>
      <c r="Q382" s="313"/>
      <c r="R382" s="313"/>
      <c r="S382" s="313"/>
    </row>
    <row r="383" spans="1:39" ht="16.899999999999999" hidden="1" customHeight="1" outlineLevel="1">
      <c r="A383" s="385"/>
      <c r="B383" s="1750" t="s">
        <v>185</v>
      </c>
      <c r="C383" s="1717" t="s">
        <v>28</v>
      </c>
      <c r="D383" s="1638">
        <f t="shared" si="234"/>
        <v>136</v>
      </c>
      <c r="E383" s="1761" t="str">
        <f t="shared" ca="1" si="231"/>
        <v>N</v>
      </c>
      <c r="F383" s="1591" t="str">
        <f t="shared" ca="1" si="232"/>
        <v>N</v>
      </c>
      <c r="G383" s="1591">
        <f ca="1">INDEX('Summary Data'!$AS$6:$FZ$57,MATCH($E383,'Summary Data'!$C$6:$C$57,0),MATCH($C383,'Summary Data'!$AS$3:$FZ$3,0))</f>
        <v>0</v>
      </c>
      <c r="H383" s="1591">
        <f ca="1">INDEX('Summary Data'!$AS$6:$FZ$57,MATCH($E383,'Summary Data'!$C$6:$C$57,0),MATCH($C383,'Summary Data'!$AS$3:$FZ$3,0)+1)</f>
        <v>0</v>
      </c>
      <c r="I383" s="320"/>
      <c r="J383" s="4002" t="str">
        <f t="shared" ca="1" si="233"/>
        <v>N</v>
      </c>
      <c r="K383" s="3114" t="s">
        <v>3174</v>
      </c>
      <c r="L383" s="313"/>
      <c r="M383" s="313"/>
      <c r="N383" s="983"/>
      <c r="O383" s="313"/>
      <c r="P383" s="313"/>
      <c r="Q383" s="313"/>
      <c r="R383" s="313"/>
      <c r="S383" s="313"/>
    </row>
    <row r="384" spans="1:39" ht="16.899999999999999" hidden="1" customHeight="1" outlineLevel="1">
      <c r="A384" s="385"/>
      <c r="B384" s="1750" t="s">
        <v>185</v>
      </c>
      <c r="C384" s="1717" t="s">
        <v>28</v>
      </c>
      <c r="D384" s="1638">
        <f t="shared" si="234"/>
        <v>153</v>
      </c>
      <c r="E384" s="1761" t="str">
        <f t="shared" ca="1" si="231"/>
        <v>N</v>
      </c>
      <c r="F384" s="1591" t="str">
        <f t="shared" ca="1" si="232"/>
        <v>N</v>
      </c>
      <c r="G384" s="1591">
        <f ca="1">INDEX('Summary Data'!$AS$6:$FZ$57,MATCH($E384,'Summary Data'!$C$6:$C$57,0),MATCH($C384,'Summary Data'!$AS$3:$FZ$3,0))</f>
        <v>0</v>
      </c>
      <c r="H384" s="1591">
        <f ca="1">INDEX('Summary Data'!$AS$6:$FZ$57,MATCH($E384,'Summary Data'!$C$6:$C$57,0),MATCH($C384,'Summary Data'!$AS$3:$FZ$3,0)+1)</f>
        <v>0</v>
      </c>
      <c r="I384" s="320"/>
      <c r="J384" s="4002" t="str">
        <f t="shared" ca="1" si="233"/>
        <v>N</v>
      </c>
      <c r="K384" s="3114" t="s">
        <v>3174</v>
      </c>
      <c r="L384" s="313"/>
      <c r="M384" s="313"/>
      <c r="N384" s="983"/>
      <c r="O384" s="313"/>
      <c r="P384" s="313"/>
      <c r="Q384" s="313"/>
      <c r="R384" s="313"/>
      <c r="S384" s="313"/>
    </row>
    <row r="385" spans="1:19" ht="16.899999999999999" hidden="1" customHeight="1" outlineLevel="1">
      <c r="A385" s="385"/>
      <c r="B385" s="1750" t="s">
        <v>185</v>
      </c>
      <c r="C385" s="1717" t="s">
        <v>28</v>
      </c>
      <c r="D385" s="1638">
        <f t="shared" si="234"/>
        <v>170</v>
      </c>
      <c r="E385" s="1761" t="str">
        <f t="shared" ca="1" si="231"/>
        <v>N</v>
      </c>
      <c r="F385" s="1591" t="str">
        <f t="shared" ca="1" si="232"/>
        <v>N</v>
      </c>
      <c r="G385" s="1591">
        <f ca="1">INDEX('Summary Data'!$AS$6:$FZ$57,MATCH($E385,'Summary Data'!$C$6:$C$57,0),MATCH($C385,'Summary Data'!$AS$3:$FZ$3,0))</f>
        <v>0</v>
      </c>
      <c r="H385" s="1591">
        <f ca="1">INDEX('Summary Data'!$AS$6:$FZ$57,MATCH($E385,'Summary Data'!$C$6:$C$57,0),MATCH($C385,'Summary Data'!$AS$3:$FZ$3,0)+1)</f>
        <v>0</v>
      </c>
      <c r="I385" s="320"/>
      <c r="J385" s="4002" t="str">
        <f t="shared" ca="1" si="233"/>
        <v>N</v>
      </c>
      <c r="K385" s="3114" t="s">
        <v>3174</v>
      </c>
      <c r="L385" s="313"/>
      <c r="M385" s="313"/>
      <c r="N385" s="983"/>
      <c r="O385" s="313"/>
      <c r="P385" s="313"/>
      <c r="Q385" s="313"/>
      <c r="R385" s="313"/>
      <c r="S385" s="313"/>
    </row>
    <row r="386" spans="1:19" ht="16.899999999999999" hidden="1" customHeight="1" outlineLevel="1">
      <c r="A386" s="385"/>
      <c r="B386" s="1750" t="s">
        <v>185</v>
      </c>
      <c r="C386" s="1717" t="s">
        <v>28</v>
      </c>
      <c r="D386" s="1638">
        <f t="shared" si="234"/>
        <v>187</v>
      </c>
      <c r="E386" s="1761" t="str">
        <f t="shared" ca="1" si="231"/>
        <v>N</v>
      </c>
      <c r="F386" s="1591" t="str">
        <f t="shared" ca="1" si="232"/>
        <v>N</v>
      </c>
      <c r="G386" s="1591">
        <f ca="1">INDEX('Summary Data'!$AS$6:$FZ$57,MATCH($E386,'Summary Data'!$C$6:$C$57,0),MATCH($C386,'Summary Data'!$AS$3:$FZ$3,0))</f>
        <v>0</v>
      </c>
      <c r="H386" s="1591">
        <f ca="1">INDEX('Summary Data'!$AS$6:$FZ$57,MATCH($E386,'Summary Data'!$C$6:$C$57,0),MATCH($C386,'Summary Data'!$AS$3:$FZ$3,0)+1)</f>
        <v>0</v>
      </c>
      <c r="I386" s="320"/>
      <c r="J386" s="4002" t="str">
        <f t="shared" ca="1" si="233"/>
        <v>N</v>
      </c>
      <c r="K386" s="3114" t="s">
        <v>3174</v>
      </c>
      <c r="L386" s="313"/>
      <c r="M386" s="313"/>
      <c r="N386" s="983"/>
      <c r="O386" s="313"/>
      <c r="P386" s="313"/>
      <c r="Q386" s="313"/>
      <c r="R386" s="313"/>
      <c r="S386" s="313"/>
    </row>
    <row r="387" spans="1:19" ht="16.899999999999999" hidden="1" customHeight="1" outlineLevel="1">
      <c r="A387" s="385"/>
      <c r="B387" s="1750" t="s">
        <v>185</v>
      </c>
      <c r="C387" s="1717" t="s">
        <v>28</v>
      </c>
      <c r="D387" s="1638">
        <f t="shared" si="234"/>
        <v>204</v>
      </c>
      <c r="E387" s="1761" t="str">
        <f t="shared" ca="1" si="231"/>
        <v>N</v>
      </c>
      <c r="F387" s="1591" t="str">
        <f t="shared" ca="1" si="232"/>
        <v>N</v>
      </c>
      <c r="G387" s="1591">
        <f ca="1">INDEX('Summary Data'!$AS$6:$FZ$57,MATCH($E387,'Summary Data'!$C$6:$C$57,0),MATCH($C387,'Summary Data'!$AS$3:$FZ$3,0))</f>
        <v>0</v>
      </c>
      <c r="H387" s="1591">
        <f ca="1">INDEX('Summary Data'!$AS$6:$FZ$57,MATCH($E387,'Summary Data'!$C$6:$C$57,0),MATCH($C387,'Summary Data'!$AS$3:$FZ$3,0)+1)</f>
        <v>0</v>
      </c>
      <c r="I387" s="320"/>
      <c r="J387" s="4002" t="str">
        <f t="shared" ca="1" si="233"/>
        <v>N</v>
      </c>
      <c r="K387" s="3114" t="s">
        <v>3174</v>
      </c>
      <c r="L387" s="313"/>
      <c r="M387" s="313"/>
      <c r="N387" s="983"/>
      <c r="O387" s="313"/>
      <c r="P387" s="313"/>
      <c r="Q387" s="313"/>
      <c r="R387" s="313"/>
      <c r="S387" s="313"/>
    </row>
    <row r="388" spans="1:19" ht="16.899999999999999" hidden="1" customHeight="1" outlineLevel="1">
      <c r="A388" s="385"/>
      <c r="B388" s="1750" t="s">
        <v>185</v>
      </c>
      <c r="C388" s="1717" t="s">
        <v>28</v>
      </c>
      <c r="D388" s="1638">
        <f t="shared" si="234"/>
        <v>221</v>
      </c>
      <c r="E388" s="1761" t="str">
        <f t="shared" ca="1" si="231"/>
        <v>1st</v>
      </c>
      <c r="F388" s="1591" t="str">
        <f t="shared" ca="1" si="232"/>
        <v>N</v>
      </c>
      <c r="G388" s="1591">
        <f ca="1">INDEX('Summary Data'!$AS$6:$FZ$57,MATCH($E388,'Summary Data'!$C$6:$C$57,0),MATCH($C388,'Summary Data'!$AS$3:$FZ$3,0))</f>
        <v>0</v>
      </c>
      <c r="H388" s="1591">
        <f ca="1">INDEX('Summary Data'!$AS$6:$FZ$57,MATCH($E388,'Summary Data'!$C$6:$C$57,0),MATCH($C388,'Summary Data'!$AS$3:$FZ$3,0)+1)</f>
        <v>0</v>
      </c>
      <c r="I388" s="320"/>
      <c r="J388" s="4002" t="str">
        <f t="shared" ca="1" si="233"/>
        <v>N</v>
      </c>
      <c r="K388" s="3114" t="s">
        <v>3174</v>
      </c>
      <c r="L388" s="313"/>
      <c r="M388" s="313"/>
      <c r="N388" s="983"/>
      <c r="O388" s="313"/>
      <c r="P388" s="313"/>
      <c r="Q388" s="313"/>
      <c r="R388" s="313"/>
      <c r="S388" s="313"/>
    </row>
    <row r="389" spans="1:19" ht="16.899999999999999" hidden="1" customHeight="1" outlineLevel="1">
      <c r="A389" s="385"/>
      <c r="B389" s="1750" t="s">
        <v>185</v>
      </c>
      <c r="C389" s="1717" t="s">
        <v>28</v>
      </c>
      <c r="D389" s="1638">
        <f t="shared" si="234"/>
        <v>238</v>
      </c>
      <c r="E389" s="1761" t="str">
        <f t="shared" ca="1" si="231"/>
        <v>1st</v>
      </c>
      <c r="F389" s="1591" t="str">
        <f t="shared" ca="1" si="232"/>
        <v>N</v>
      </c>
      <c r="G389" s="1591">
        <f ca="1">INDEX('Summary Data'!$AS$6:$FZ$57,MATCH($E389,'Summary Data'!$C$6:$C$57,0),MATCH($C389,'Summary Data'!$AS$3:$FZ$3,0))</f>
        <v>0</v>
      </c>
      <c r="H389" s="1591">
        <f ca="1">INDEX('Summary Data'!$AS$6:$FZ$57,MATCH($E389,'Summary Data'!$C$6:$C$57,0),MATCH($C389,'Summary Data'!$AS$3:$FZ$3,0)+1)</f>
        <v>0</v>
      </c>
      <c r="I389" s="320"/>
      <c r="J389" s="4002" t="str">
        <f t="shared" ca="1" si="233"/>
        <v>N</v>
      </c>
      <c r="K389" s="3114" t="s">
        <v>3174</v>
      </c>
      <c r="L389" s="313"/>
      <c r="M389" s="313"/>
      <c r="N389" s="983"/>
      <c r="O389" s="313"/>
      <c r="P389" s="313"/>
      <c r="Q389" s="313"/>
      <c r="R389" s="313"/>
      <c r="S389" s="313"/>
    </row>
    <row r="390" spans="1:19" ht="16.899999999999999" hidden="1" customHeight="1" outlineLevel="1">
      <c r="A390" s="385" t="s">
        <v>1418</v>
      </c>
      <c r="B390" s="1750" t="s">
        <v>185</v>
      </c>
      <c r="C390" s="1717" t="s">
        <v>28</v>
      </c>
      <c r="D390" s="1638">
        <v>0</v>
      </c>
      <c r="E390" s="3690" t="str">
        <f t="shared" ref="E390:E404" ca="1" si="235">OFFSET($A$312,D390,0)</f>
        <v>N</v>
      </c>
      <c r="F390" s="1591" t="str">
        <f t="shared" ca="1" si="232"/>
        <v>N</v>
      </c>
      <c r="G390" s="1591">
        <f ca="1">INDEX('Summary Data'!$AS$6:$FZ$57,MATCH($E390,'Summary Data'!$C$6:$C$57,0),MATCH($C390,'Summary Data'!$AS$3:$FZ$3,0))</f>
        <v>0</v>
      </c>
      <c r="H390" s="1591">
        <f ca="1">INDEX('Summary Data'!$AS$6:$FZ$57,MATCH($E390,'Summary Data'!$C$6:$C$57,0),MATCH($C390,'Summary Data'!$AS$3:$FZ$3,0)+1)</f>
        <v>0</v>
      </c>
      <c r="I390" s="320"/>
      <c r="J390" s="4002" t="str">
        <f t="shared" ca="1" si="233"/>
        <v>N</v>
      </c>
      <c r="K390" s="3114" t="s">
        <v>3174</v>
      </c>
      <c r="L390" s="313"/>
      <c r="M390" s="313"/>
      <c r="N390" s="983"/>
      <c r="O390" s="313"/>
      <c r="P390" s="313"/>
      <c r="Q390" s="313"/>
      <c r="R390" s="313"/>
      <c r="S390" s="313"/>
    </row>
    <row r="391" spans="1:19" ht="16.899999999999999" hidden="1" customHeight="1" outlineLevel="1">
      <c r="A391" s="385"/>
      <c r="B391" s="1750" t="s">
        <v>185</v>
      </c>
      <c r="C391" s="1717" t="s">
        <v>28</v>
      </c>
      <c r="D391" s="1638">
        <f>D390+3</f>
        <v>3</v>
      </c>
      <c r="E391" s="3690" t="str">
        <f t="shared" ca="1" si="235"/>
        <v>N</v>
      </c>
      <c r="F391" s="1591" t="str">
        <f t="shared" ca="1" si="232"/>
        <v>N</v>
      </c>
      <c r="G391" s="1591">
        <f ca="1">INDEX('Summary Data'!$AS$6:$FZ$57,MATCH($E391,'Summary Data'!$C$6:$C$57,0),MATCH($C391,'Summary Data'!$AS$3:$FZ$3,0))</f>
        <v>0</v>
      </c>
      <c r="H391" s="1591">
        <f ca="1">INDEX('Summary Data'!$AS$6:$FZ$57,MATCH($E391,'Summary Data'!$C$6:$C$57,0),MATCH($C391,'Summary Data'!$AS$3:$FZ$3,0)+1)</f>
        <v>0</v>
      </c>
      <c r="I391" s="320"/>
      <c r="J391" s="4002" t="str">
        <f t="shared" ca="1" si="233"/>
        <v>N</v>
      </c>
      <c r="K391" s="3114" t="s">
        <v>3174</v>
      </c>
      <c r="L391" s="313"/>
      <c r="M391" s="313"/>
      <c r="N391" s="983"/>
      <c r="O391" s="313"/>
      <c r="P391" s="313"/>
      <c r="Q391" s="313"/>
      <c r="R391" s="313"/>
      <c r="S391" s="313"/>
    </row>
    <row r="392" spans="1:19" ht="16.899999999999999" hidden="1" customHeight="1" outlineLevel="1">
      <c r="A392" s="385"/>
      <c r="B392" s="1750" t="s">
        <v>185</v>
      </c>
      <c r="C392" s="1717" t="s">
        <v>28</v>
      </c>
      <c r="D392" s="1638">
        <f t="shared" ref="D392:D404" si="236">D391+3</f>
        <v>6</v>
      </c>
      <c r="E392" s="3690" t="str">
        <f t="shared" ca="1" si="235"/>
        <v>N</v>
      </c>
      <c r="F392" s="1591" t="str">
        <f t="shared" ca="1" si="232"/>
        <v>N</v>
      </c>
      <c r="G392" s="1591">
        <f ca="1">INDEX('Summary Data'!$AS$6:$FZ$57,MATCH($E392,'Summary Data'!$C$6:$C$57,0),MATCH($C392,'Summary Data'!$AS$3:$FZ$3,0))</f>
        <v>0</v>
      </c>
      <c r="H392" s="1591">
        <f ca="1">INDEX('Summary Data'!$AS$6:$FZ$57,MATCH($E392,'Summary Data'!$C$6:$C$57,0),MATCH($C392,'Summary Data'!$AS$3:$FZ$3,0)+1)</f>
        <v>0</v>
      </c>
      <c r="I392" s="320"/>
      <c r="J392" s="4002" t="str">
        <f t="shared" ca="1" si="233"/>
        <v>N</v>
      </c>
      <c r="K392" s="3114" t="s">
        <v>3174</v>
      </c>
      <c r="L392" s="313"/>
      <c r="M392" s="313"/>
      <c r="N392" s="983"/>
      <c r="O392" s="313"/>
      <c r="P392" s="313"/>
      <c r="Q392" s="313"/>
      <c r="R392" s="313"/>
      <c r="S392" s="313"/>
    </row>
    <row r="393" spans="1:19" ht="16.899999999999999" hidden="1" customHeight="1" outlineLevel="1">
      <c r="A393" s="385"/>
      <c r="B393" s="1750" t="s">
        <v>185</v>
      </c>
      <c r="C393" s="1717" t="s">
        <v>28</v>
      </c>
      <c r="D393" s="1638">
        <f t="shared" si="236"/>
        <v>9</v>
      </c>
      <c r="E393" s="3690" t="str">
        <f t="shared" ca="1" si="235"/>
        <v>N</v>
      </c>
      <c r="F393" s="1591" t="str">
        <f t="shared" ca="1" si="232"/>
        <v>N</v>
      </c>
      <c r="G393" s="1591">
        <f ca="1">INDEX('Summary Data'!$AS$6:$FZ$57,MATCH($E393,'Summary Data'!$C$6:$C$57,0),MATCH($C393,'Summary Data'!$AS$3:$FZ$3,0))</f>
        <v>0</v>
      </c>
      <c r="H393" s="1591">
        <f ca="1">INDEX('Summary Data'!$AS$6:$FZ$57,MATCH($E393,'Summary Data'!$C$6:$C$57,0),MATCH($C393,'Summary Data'!$AS$3:$FZ$3,0)+1)</f>
        <v>0</v>
      </c>
      <c r="I393" s="320"/>
      <c r="J393" s="4002" t="str">
        <f t="shared" ca="1" si="233"/>
        <v>N</v>
      </c>
      <c r="K393" s="3114" t="s">
        <v>3174</v>
      </c>
      <c r="L393" s="313"/>
      <c r="M393" s="313"/>
      <c r="N393" s="983"/>
      <c r="O393" s="313"/>
      <c r="P393" s="313"/>
      <c r="Q393" s="313"/>
      <c r="R393" s="313"/>
      <c r="S393" s="313"/>
    </row>
    <row r="394" spans="1:19" ht="16.899999999999999" hidden="1" customHeight="1" outlineLevel="1">
      <c r="A394" s="385"/>
      <c r="B394" s="1750" t="s">
        <v>185</v>
      </c>
      <c r="C394" s="1717" t="s">
        <v>28</v>
      </c>
      <c r="D394" s="1638">
        <f t="shared" si="236"/>
        <v>12</v>
      </c>
      <c r="E394" s="3690" t="str">
        <f t="shared" ca="1" si="235"/>
        <v>N</v>
      </c>
      <c r="F394" s="1591" t="str">
        <f t="shared" ca="1" si="232"/>
        <v>N</v>
      </c>
      <c r="G394" s="1591">
        <f ca="1">INDEX('Summary Data'!$AS$6:$FZ$57,MATCH($E394,'Summary Data'!$C$6:$C$57,0),MATCH($C394,'Summary Data'!$AS$3:$FZ$3,0))</f>
        <v>0</v>
      </c>
      <c r="H394" s="1591">
        <f ca="1">INDEX('Summary Data'!$AS$6:$FZ$57,MATCH($E394,'Summary Data'!$C$6:$C$57,0),MATCH($C394,'Summary Data'!$AS$3:$FZ$3,0)+1)</f>
        <v>0</v>
      </c>
      <c r="I394" s="320"/>
      <c r="J394" s="4002" t="str">
        <f t="shared" ca="1" si="233"/>
        <v>N</v>
      </c>
      <c r="K394" s="3114" t="s">
        <v>3174</v>
      </c>
      <c r="L394" s="313"/>
      <c r="M394" s="313"/>
      <c r="N394" s="983"/>
      <c r="O394" s="313"/>
      <c r="P394" s="313"/>
      <c r="Q394" s="313"/>
      <c r="R394" s="313"/>
      <c r="S394" s="313"/>
    </row>
    <row r="395" spans="1:19" ht="16.899999999999999" hidden="1" customHeight="1" outlineLevel="1">
      <c r="A395" s="385"/>
      <c r="B395" s="1750" t="s">
        <v>185</v>
      </c>
      <c r="C395" s="1717" t="s">
        <v>28</v>
      </c>
      <c r="D395" s="1638">
        <f t="shared" si="236"/>
        <v>15</v>
      </c>
      <c r="E395" s="3690" t="str">
        <f t="shared" ca="1" si="235"/>
        <v>N</v>
      </c>
      <c r="F395" s="1591" t="str">
        <f t="shared" ca="1" si="232"/>
        <v>N</v>
      </c>
      <c r="G395" s="1591">
        <f ca="1">INDEX('Summary Data'!$AS$6:$FZ$57,MATCH($E395,'Summary Data'!$C$6:$C$57,0),MATCH($C395,'Summary Data'!$AS$3:$FZ$3,0))</f>
        <v>0</v>
      </c>
      <c r="H395" s="1591">
        <f ca="1">INDEX('Summary Data'!$AS$6:$FZ$57,MATCH($E395,'Summary Data'!$C$6:$C$57,0),MATCH($C395,'Summary Data'!$AS$3:$FZ$3,0)+1)</f>
        <v>0</v>
      </c>
      <c r="I395" s="320"/>
      <c r="J395" s="4002" t="str">
        <f t="shared" ca="1" si="233"/>
        <v>N</v>
      </c>
      <c r="K395" s="3114" t="s">
        <v>3174</v>
      </c>
      <c r="L395" s="313"/>
      <c r="M395" s="313"/>
      <c r="N395" s="983"/>
      <c r="O395" s="313"/>
      <c r="P395" s="313"/>
      <c r="Q395" s="313"/>
      <c r="R395" s="313"/>
      <c r="S395" s="313"/>
    </row>
    <row r="396" spans="1:19" ht="16.899999999999999" hidden="1" customHeight="1" outlineLevel="1">
      <c r="A396" s="385"/>
      <c r="B396" s="1750" t="s">
        <v>185</v>
      </c>
      <c r="C396" s="1717" t="s">
        <v>28</v>
      </c>
      <c r="D396" s="1638">
        <f t="shared" si="236"/>
        <v>18</v>
      </c>
      <c r="E396" s="3690" t="str">
        <f t="shared" ca="1" si="235"/>
        <v>N</v>
      </c>
      <c r="F396" s="1591" t="str">
        <f t="shared" ca="1" si="232"/>
        <v>N</v>
      </c>
      <c r="G396" s="1591">
        <f ca="1">INDEX('Summary Data'!$AS$6:$FZ$57,MATCH($E396,'Summary Data'!$C$6:$C$57,0),MATCH($C396,'Summary Data'!$AS$3:$FZ$3,0))</f>
        <v>0</v>
      </c>
      <c r="H396" s="1591">
        <f ca="1">INDEX('Summary Data'!$AS$6:$FZ$57,MATCH($E396,'Summary Data'!$C$6:$C$57,0),MATCH($C396,'Summary Data'!$AS$3:$FZ$3,0)+1)</f>
        <v>0</v>
      </c>
      <c r="I396" s="320"/>
      <c r="J396" s="4002" t="str">
        <f t="shared" ca="1" si="233"/>
        <v>N</v>
      </c>
      <c r="K396" s="3114" t="s">
        <v>3174</v>
      </c>
      <c r="L396" s="313"/>
      <c r="M396" s="313"/>
      <c r="N396" s="983"/>
      <c r="O396" s="313"/>
      <c r="P396" s="313"/>
      <c r="Q396" s="313"/>
      <c r="R396" s="313"/>
      <c r="S396" s="313"/>
    </row>
    <row r="397" spans="1:19" ht="16.899999999999999" hidden="1" customHeight="1" outlineLevel="1">
      <c r="A397" s="385"/>
      <c r="B397" s="1750" t="s">
        <v>185</v>
      </c>
      <c r="C397" s="1717" t="s">
        <v>28</v>
      </c>
      <c r="D397" s="1638">
        <f t="shared" si="236"/>
        <v>21</v>
      </c>
      <c r="E397" s="3690" t="str">
        <f t="shared" ca="1" si="235"/>
        <v>N</v>
      </c>
      <c r="F397" s="1591" t="str">
        <f t="shared" ca="1" si="232"/>
        <v>N</v>
      </c>
      <c r="G397" s="1591">
        <f ca="1">INDEX('Summary Data'!$AS$6:$FZ$57,MATCH($E397,'Summary Data'!$C$6:$C$57,0),MATCH($C397,'Summary Data'!$AS$3:$FZ$3,0))</f>
        <v>0</v>
      </c>
      <c r="H397" s="1591">
        <f ca="1">INDEX('Summary Data'!$AS$6:$FZ$57,MATCH($E397,'Summary Data'!$C$6:$C$57,0),MATCH($C397,'Summary Data'!$AS$3:$FZ$3,0)+1)</f>
        <v>0</v>
      </c>
      <c r="I397" s="320"/>
      <c r="J397" s="4002" t="str">
        <f t="shared" ca="1" si="233"/>
        <v>N</v>
      </c>
      <c r="K397" s="3114" t="s">
        <v>3174</v>
      </c>
      <c r="L397" s="313"/>
      <c r="M397" s="313"/>
      <c r="N397" s="983"/>
      <c r="O397" s="313"/>
      <c r="P397" s="313"/>
      <c r="Q397" s="313"/>
      <c r="R397" s="313"/>
      <c r="S397" s="313"/>
    </row>
    <row r="398" spans="1:19" ht="16.899999999999999" hidden="1" customHeight="1" outlineLevel="1">
      <c r="A398" s="385"/>
      <c r="B398" s="1750" t="s">
        <v>185</v>
      </c>
      <c r="C398" s="1717" t="s">
        <v>28</v>
      </c>
      <c r="D398" s="1638">
        <f t="shared" si="236"/>
        <v>24</v>
      </c>
      <c r="E398" s="3690" t="str">
        <f t="shared" ca="1" si="235"/>
        <v>N</v>
      </c>
      <c r="F398" s="1591" t="str">
        <f ca="1">IFERROR(IF(G398=0,"N",E398),"N")</f>
        <v>N</v>
      </c>
      <c r="G398" s="1591">
        <f ca="1">INDEX('Summary Data'!$AS$6:$FZ$57,MATCH($E398,'Summary Data'!$C$6:$C$57,0),MATCH($C398,'Summary Data'!$AS$3:$FZ$3,0))</f>
        <v>0</v>
      </c>
      <c r="H398" s="1591">
        <f ca="1">INDEX('Summary Data'!$AS$6:$FZ$57,MATCH($E398,'Summary Data'!$C$6:$C$57,0),MATCH($C398,'Summary Data'!$AS$3:$FZ$3,0)+1)</f>
        <v>0</v>
      </c>
      <c r="I398" s="320"/>
      <c r="J398" s="4002" t="str">
        <f t="shared" ca="1" si="233"/>
        <v>N</v>
      </c>
      <c r="K398" s="3114" t="s">
        <v>3174</v>
      </c>
      <c r="L398" s="313"/>
      <c r="M398" s="313"/>
      <c r="N398" s="983"/>
      <c r="O398" s="313"/>
      <c r="P398" s="313"/>
      <c r="Q398" s="313"/>
      <c r="R398" s="313"/>
      <c r="S398" s="313"/>
    </row>
    <row r="399" spans="1:19" ht="16.899999999999999" hidden="1" customHeight="1" outlineLevel="1">
      <c r="A399" s="385"/>
      <c r="B399" s="1750" t="s">
        <v>185</v>
      </c>
      <c r="C399" s="1717" t="s">
        <v>28</v>
      </c>
      <c r="D399" s="1638">
        <f t="shared" si="236"/>
        <v>27</v>
      </c>
      <c r="E399" s="3690" t="str">
        <f t="shared" ca="1" si="235"/>
        <v>N</v>
      </c>
      <c r="F399" s="1591" t="str">
        <f t="shared" ref="F399:F407" ca="1" si="237">IF(G399=0,"N",E399)</f>
        <v>N</v>
      </c>
      <c r="G399" s="1591">
        <f ca="1">INDEX('Summary Data'!$AS$6:$FZ$57,MATCH($E399,'Summary Data'!$C$6:$C$57,0),MATCH($C399,'Summary Data'!$AS$3:$FZ$3,0))</f>
        <v>0</v>
      </c>
      <c r="H399" s="1591">
        <f ca="1">INDEX('Summary Data'!$AS$6:$FZ$57,MATCH($E399,'Summary Data'!$C$6:$C$57,0),MATCH($C399,'Summary Data'!$AS$3:$FZ$3,0)+1)</f>
        <v>0</v>
      </c>
      <c r="I399" s="320"/>
      <c r="J399" s="4002" t="str">
        <f t="shared" ca="1" si="233"/>
        <v>N</v>
      </c>
      <c r="K399" s="3114" t="s">
        <v>3174</v>
      </c>
      <c r="L399" s="313"/>
      <c r="M399" s="313"/>
      <c r="N399" s="983"/>
      <c r="O399" s="313"/>
      <c r="P399" s="313"/>
      <c r="Q399" s="313"/>
      <c r="R399" s="313"/>
      <c r="S399" s="313"/>
    </row>
    <row r="400" spans="1:19" ht="16.899999999999999" hidden="1" customHeight="1" outlineLevel="1">
      <c r="A400" s="385"/>
      <c r="B400" s="1750" t="s">
        <v>185</v>
      </c>
      <c r="C400" s="1717" t="s">
        <v>28</v>
      </c>
      <c r="D400" s="1638">
        <f t="shared" si="236"/>
        <v>30</v>
      </c>
      <c r="E400" s="3690" t="str">
        <f t="shared" ca="1" si="235"/>
        <v>N</v>
      </c>
      <c r="F400" s="1591" t="str">
        <f t="shared" ca="1" si="237"/>
        <v>N</v>
      </c>
      <c r="G400" s="1591">
        <f ca="1">INDEX('Summary Data'!$AS$6:$FZ$57,MATCH($E400,'Summary Data'!$C$6:$C$57,0),MATCH($C400,'Summary Data'!$AS$3:$FZ$3,0))</f>
        <v>0</v>
      </c>
      <c r="H400" s="1591">
        <f ca="1">INDEX('Summary Data'!$AS$6:$FZ$57,MATCH($E400,'Summary Data'!$C$6:$C$57,0),MATCH($C400,'Summary Data'!$AS$3:$FZ$3,0)+1)</f>
        <v>0</v>
      </c>
      <c r="I400" s="320"/>
      <c r="J400" s="4002" t="str">
        <f t="shared" ca="1" si="233"/>
        <v>N</v>
      </c>
      <c r="K400" s="3114" t="s">
        <v>3174</v>
      </c>
      <c r="L400" s="313"/>
      <c r="M400" s="313"/>
      <c r="N400" s="983"/>
      <c r="O400" s="313"/>
      <c r="P400" s="313"/>
      <c r="Q400" s="313"/>
      <c r="R400" s="313"/>
      <c r="S400" s="313"/>
    </row>
    <row r="401" spans="1:19" ht="16.899999999999999" hidden="1" customHeight="1" outlineLevel="1">
      <c r="A401" s="385"/>
      <c r="B401" s="1750" t="s">
        <v>185</v>
      </c>
      <c r="C401" s="1717" t="s">
        <v>28</v>
      </c>
      <c r="D401" s="1638">
        <f t="shared" si="236"/>
        <v>33</v>
      </c>
      <c r="E401" s="3690" t="str">
        <f t="shared" ca="1" si="235"/>
        <v>N</v>
      </c>
      <c r="F401" s="1591" t="str">
        <f t="shared" ca="1" si="237"/>
        <v>N</v>
      </c>
      <c r="G401" s="1591">
        <f ca="1">INDEX('Summary Data'!$AS$6:$FZ$57,MATCH($E401,'Summary Data'!$C$6:$C$57,0),MATCH($C401,'Summary Data'!$AS$3:$FZ$3,0))</f>
        <v>0</v>
      </c>
      <c r="H401" s="1591">
        <f ca="1">INDEX('Summary Data'!$AS$6:$FZ$57,MATCH($E401,'Summary Data'!$C$6:$C$57,0),MATCH($C401,'Summary Data'!$AS$3:$FZ$3,0)+1)</f>
        <v>0</v>
      </c>
      <c r="I401" s="320"/>
      <c r="J401" s="4002" t="str">
        <f t="shared" ca="1" si="233"/>
        <v>N</v>
      </c>
      <c r="K401" s="3114" t="s">
        <v>3174</v>
      </c>
      <c r="L401" s="313"/>
      <c r="M401" s="313"/>
      <c r="N401" s="983"/>
      <c r="O401" s="313"/>
      <c r="P401" s="313"/>
      <c r="Q401" s="313"/>
      <c r="R401" s="313"/>
      <c r="S401" s="313"/>
    </row>
    <row r="402" spans="1:19" ht="16.899999999999999" hidden="1" customHeight="1" outlineLevel="1">
      <c r="A402" s="385"/>
      <c r="B402" s="1750" t="s">
        <v>185</v>
      </c>
      <c r="C402" s="1717" t="s">
        <v>28</v>
      </c>
      <c r="D402" s="1638">
        <f t="shared" si="236"/>
        <v>36</v>
      </c>
      <c r="E402" s="3690" t="str">
        <f t="shared" ca="1" si="235"/>
        <v>N</v>
      </c>
      <c r="F402" s="1591" t="str">
        <f t="shared" ca="1" si="237"/>
        <v>N</v>
      </c>
      <c r="G402" s="1591">
        <f ca="1">INDEX('Summary Data'!$AS$6:$FZ$57,MATCH($E402,'Summary Data'!$C$6:$C$57,0),MATCH($C402,'Summary Data'!$AS$3:$FZ$3,0))</f>
        <v>0</v>
      </c>
      <c r="H402" s="1591">
        <f ca="1">INDEX('Summary Data'!$AS$6:$FZ$57,MATCH($E402,'Summary Data'!$C$6:$C$57,0),MATCH($C402,'Summary Data'!$AS$3:$FZ$3,0)+1)</f>
        <v>0</v>
      </c>
      <c r="I402" s="320"/>
      <c r="J402" s="4002" t="str">
        <f t="shared" ca="1" si="233"/>
        <v>N</v>
      </c>
      <c r="K402" s="3114" t="s">
        <v>3174</v>
      </c>
      <c r="L402" s="313"/>
      <c r="M402" s="313"/>
      <c r="N402" s="983"/>
      <c r="O402" s="313"/>
      <c r="P402" s="313"/>
      <c r="Q402" s="313"/>
      <c r="R402" s="313"/>
      <c r="S402" s="313"/>
    </row>
    <row r="403" spans="1:19" ht="16.899999999999999" hidden="1" customHeight="1" outlineLevel="1">
      <c r="A403" s="385"/>
      <c r="B403" s="1750" t="s">
        <v>185</v>
      </c>
      <c r="C403" s="1717" t="s">
        <v>28</v>
      </c>
      <c r="D403" s="1638">
        <f t="shared" si="236"/>
        <v>39</v>
      </c>
      <c r="E403" s="3690" t="str">
        <f t="shared" ca="1" si="235"/>
        <v>N</v>
      </c>
      <c r="F403" s="1591" t="str">
        <f t="shared" ca="1" si="237"/>
        <v>N</v>
      </c>
      <c r="G403" s="1591">
        <f ca="1">INDEX('Summary Data'!$AS$6:$FZ$57,MATCH($E403,'Summary Data'!$C$6:$C$57,0),MATCH($C403,'Summary Data'!$AS$3:$FZ$3,0))</f>
        <v>0</v>
      </c>
      <c r="H403" s="1591">
        <f ca="1">INDEX('Summary Data'!$AS$6:$FZ$57,MATCH($E403,'Summary Data'!$C$6:$C$57,0),MATCH($C403,'Summary Data'!$AS$3:$FZ$3,0)+1)</f>
        <v>0</v>
      </c>
      <c r="I403" s="320"/>
      <c r="J403" s="4002" t="str">
        <f t="shared" ca="1" si="233"/>
        <v>N</v>
      </c>
      <c r="K403" s="3114" t="s">
        <v>3174</v>
      </c>
      <c r="L403" s="313"/>
      <c r="M403" s="313"/>
      <c r="N403" s="983"/>
      <c r="O403" s="313"/>
      <c r="P403" s="313"/>
      <c r="Q403" s="313"/>
      <c r="R403" s="313"/>
      <c r="S403" s="313"/>
    </row>
    <row r="404" spans="1:19" ht="16.899999999999999" hidden="1" customHeight="1" outlineLevel="1">
      <c r="A404" s="385"/>
      <c r="B404" s="1750" t="s">
        <v>185</v>
      </c>
      <c r="C404" s="1717" t="s">
        <v>28</v>
      </c>
      <c r="D404" s="1638">
        <f t="shared" si="236"/>
        <v>42</v>
      </c>
      <c r="E404" s="3690" t="str">
        <f t="shared" ca="1" si="235"/>
        <v>N</v>
      </c>
      <c r="F404" s="1591" t="str">
        <f t="shared" ca="1" si="237"/>
        <v>N</v>
      </c>
      <c r="G404" s="1591">
        <f ca="1">INDEX('Summary Data'!$AS$6:$FZ$57,MATCH($E404,'Summary Data'!$C$6:$C$57,0),MATCH($C404,'Summary Data'!$AS$3:$FZ$3,0))</f>
        <v>0</v>
      </c>
      <c r="H404" s="1591">
        <f ca="1">INDEX('Summary Data'!$AS$6:$FZ$57,MATCH($E404,'Summary Data'!$C$6:$C$57,0),MATCH($C404,'Summary Data'!$AS$3:$FZ$3,0)+1)</f>
        <v>0</v>
      </c>
      <c r="I404" s="320"/>
      <c r="J404" s="4002" t="str">
        <f t="shared" ca="1" si="233"/>
        <v>N</v>
      </c>
      <c r="K404" s="3114" t="s">
        <v>3174</v>
      </c>
      <c r="L404" s="313"/>
      <c r="M404" s="313"/>
      <c r="N404" s="983"/>
      <c r="O404" s="313"/>
      <c r="P404" s="313"/>
      <c r="Q404" s="313"/>
      <c r="R404" s="313"/>
      <c r="S404" s="313"/>
    </row>
    <row r="405" spans="1:19" ht="16.899999999999999" hidden="1" customHeight="1" outlineLevel="1">
      <c r="A405" s="385" t="s">
        <v>1750</v>
      </c>
      <c r="B405" s="1750" t="s">
        <v>185</v>
      </c>
      <c r="C405" s="1717" t="s">
        <v>28</v>
      </c>
      <c r="D405" s="1638">
        <v>0</v>
      </c>
      <c r="E405" s="3690" t="str">
        <f ca="1">OFFSET($A$281,D405,0)</f>
        <v>N</v>
      </c>
      <c r="F405" s="1591" t="str">
        <f t="shared" ca="1" si="237"/>
        <v>N</v>
      </c>
      <c r="G405" s="1591">
        <f ca="1">INDEX('Summary Data'!$AS$6:$FZ$57,MATCH($E405,'Summary Data'!$C$6:$C$57,0),MATCH($C405,'Summary Data'!$AS$3:$FZ$3,0))</f>
        <v>0</v>
      </c>
      <c r="H405" s="1591">
        <f ca="1">INDEX('Summary Data'!$AS$6:$FZ$57,MATCH($E405,'Summary Data'!$C$6:$C$57,0),MATCH($C405,'Summary Data'!$AS$3:$FZ$3,0)+1)</f>
        <v>0</v>
      </c>
      <c r="I405" s="320"/>
      <c r="J405" s="4002" t="str">
        <f t="shared" ca="1" si="233"/>
        <v>N</v>
      </c>
      <c r="K405" s="3114" t="s">
        <v>3174</v>
      </c>
      <c r="L405" s="313"/>
      <c r="M405" s="313"/>
      <c r="N405" s="983"/>
      <c r="O405" s="313"/>
      <c r="P405" s="313"/>
      <c r="Q405" s="313"/>
      <c r="R405" s="313"/>
      <c r="S405" s="313"/>
    </row>
    <row r="406" spans="1:19" ht="16.899999999999999" hidden="1" customHeight="1" outlineLevel="1">
      <c r="A406" s="385"/>
      <c r="B406" s="1750" t="s">
        <v>185</v>
      </c>
      <c r="C406" s="1717" t="s">
        <v>28</v>
      </c>
      <c r="D406" s="1638">
        <f>D405+10</f>
        <v>10</v>
      </c>
      <c r="E406" s="3690" t="str">
        <f ca="1">OFFSET($A$281,D406,0)</f>
        <v>N</v>
      </c>
      <c r="F406" s="1591" t="str">
        <f t="shared" ca="1" si="237"/>
        <v>N</v>
      </c>
      <c r="G406" s="1591">
        <f ca="1">INDEX('Summary Data'!$AS$6:$FZ$57,MATCH($E406,'Summary Data'!$C$6:$C$57,0),MATCH($C406,'Summary Data'!$AS$3:$FZ$3,0))</f>
        <v>0</v>
      </c>
      <c r="H406" s="1591">
        <f ca="1">INDEX('Summary Data'!$AS$6:$FZ$57,MATCH($E406,'Summary Data'!$C$6:$C$57,0),MATCH($C406,'Summary Data'!$AS$3:$FZ$3,0)+1)</f>
        <v>0</v>
      </c>
      <c r="I406" s="320"/>
      <c r="J406" s="4002" t="str">
        <f t="shared" ca="1" si="233"/>
        <v>N</v>
      </c>
      <c r="K406" s="3114" t="s">
        <v>3174</v>
      </c>
      <c r="L406" s="313"/>
      <c r="M406" s="313"/>
      <c r="N406" s="983"/>
      <c r="O406" s="313"/>
      <c r="P406" s="313"/>
      <c r="Q406" s="313"/>
      <c r="R406" s="313"/>
      <c r="S406" s="313"/>
    </row>
    <row r="407" spans="1:19" ht="16.899999999999999" hidden="1" customHeight="1" outlineLevel="1">
      <c r="A407" s="385"/>
      <c r="B407" s="1750" t="s">
        <v>185</v>
      </c>
      <c r="C407" s="1717" t="s">
        <v>28</v>
      </c>
      <c r="D407" s="1638">
        <f>D406+10</f>
        <v>20</v>
      </c>
      <c r="E407" s="3690" t="str">
        <f ca="1">OFFSET($A$281,D407,0)</f>
        <v>N</v>
      </c>
      <c r="F407" s="1591" t="str">
        <f t="shared" ca="1" si="237"/>
        <v>N</v>
      </c>
      <c r="G407" s="1591">
        <f ca="1">INDEX('Summary Data'!$AS$6:$FZ$57,MATCH($E407,'Summary Data'!$C$6:$C$57,0),MATCH($C407,'Summary Data'!$AS$3:$FZ$3,0))</f>
        <v>0</v>
      </c>
      <c r="H407" s="1591">
        <f ca="1">INDEX('Summary Data'!$AS$6:$FZ$57,MATCH($E407,'Summary Data'!$C$6:$C$57,0),MATCH($C407,'Summary Data'!$AS$3:$FZ$3,0)+1)</f>
        <v>0</v>
      </c>
      <c r="I407" s="320"/>
      <c r="J407" s="4002" t="str">
        <f t="shared" ca="1" si="233"/>
        <v>N</v>
      </c>
      <c r="K407" s="3114" t="s">
        <v>3174</v>
      </c>
      <c r="L407" s="313"/>
      <c r="M407" s="313"/>
      <c r="N407" s="983"/>
      <c r="O407" s="313"/>
      <c r="P407" s="313"/>
      <c r="Q407" s="313"/>
      <c r="R407" s="313"/>
      <c r="S407" s="313"/>
    </row>
    <row r="408" spans="1:19" ht="16.899999999999999" hidden="1" customHeight="1" outlineLevel="1">
      <c r="A408" s="385"/>
      <c r="B408" s="1750" t="s">
        <v>185</v>
      </c>
      <c r="C408" s="1717" t="s">
        <v>28</v>
      </c>
      <c r="D408" s="1638"/>
      <c r="E408" s="1807"/>
      <c r="F408" s="1591"/>
      <c r="G408" s="1591"/>
      <c r="H408" s="1591"/>
      <c r="I408" s="320"/>
      <c r="J408" s="4002">
        <f t="shared" si="233"/>
        <v>0</v>
      </c>
      <c r="K408" s="3114" t="s">
        <v>3174</v>
      </c>
      <c r="L408" s="313"/>
      <c r="M408" s="313"/>
      <c r="N408" s="983"/>
      <c r="O408" s="313"/>
      <c r="P408" s="313"/>
      <c r="Q408" s="313"/>
      <c r="R408" s="313"/>
      <c r="S408" s="313"/>
    </row>
    <row r="409" spans="1:19" ht="16.899999999999999" hidden="1" customHeight="1" outlineLevel="1">
      <c r="A409" s="385"/>
      <c r="B409" s="1750" t="s">
        <v>185</v>
      </c>
      <c r="C409" s="1717" t="s">
        <v>28</v>
      </c>
      <c r="D409" s="1638"/>
      <c r="E409" s="1401"/>
      <c r="F409" s="1591"/>
      <c r="G409" s="1591"/>
      <c r="H409" s="1591"/>
      <c r="I409" s="320"/>
      <c r="J409" s="4002">
        <f t="shared" si="233"/>
        <v>0</v>
      </c>
      <c r="K409" s="3114" t="s">
        <v>3174</v>
      </c>
      <c r="L409" s="313"/>
      <c r="M409" s="313"/>
      <c r="N409" s="983"/>
      <c r="O409" s="313"/>
      <c r="P409" s="313"/>
      <c r="Q409" s="313"/>
      <c r="R409" s="313"/>
      <c r="S409" s="313"/>
    </row>
    <row r="410" spans="1:19" ht="16.899999999999999" hidden="1" customHeight="1" outlineLevel="1">
      <c r="A410" s="385"/>
      <c r="B410" s="313"/>
      <c r="C410" s="313"/>
      <c r="D410" s="313"/>
      <c r="E410" s="313"/>
      <c r="F410" s="313"/>
      <c r="G410" s="313"/>
      <c r="H410" s="313"/>
      <c r="I410" s="313"/>
      <c r="J410" s="313"/>
      <c r="K410" s="313"/>
      <c r="L410" s="313"/>
      <c r="M410" s="313"/>
      <c r="N410" s="313"/>
      <c r="O410" s="313"/>
      <c r="P410" s="313"/>
      <c r="Q410" s="313"/>
      <c r="R410" s="313"/>
      <c r="S410" s="313"/>
    </row>
    <row r="411" spans="1:19" s="333" customFormat="1" ht="16.899999999999999" customHeight="1" collapsed="1">
      <c r="A411" s="1587" t="s">
        <v>1586</v>
      </c>
      <c r="B411" s="1751"/>
      <c r="C411" s="384" t="s">
        <v>316</v>
      </c>
      <c r="D411" s="384" t="s">
        <v>1585</v>
      </c>
      <c r="E411" s="384" t="s">
        <v>13</v>
      </c>
      <c r="F411" s="384" t="s">
        <v>746</v>
      </c>
      <c r="G411" s="384" t="s">
        <v>1498</v>
      </c>
      <c r="H411" s="384" t="s">
        <v>1497</v>
      </c>
      <c r="I411" s="384" t="s">
        <v>510</v>
      </c>
      <c r="K411" s="384"/>
      <c r="L411" s="384"/>
      <c r="M411" s="384"/>
      <c r="N411" s="1588"/>
      <c r="O411" s="384"/>
      <c r="P411" s="384"/>
      <c r="Q411" s="384"/>
      <c r="R411" s="384"/>
      <c r="S411" s="384"/>
    </row>
    <row r="412" spans="1:19" ht="16.899999999999999" customHeight="1">
      <c r="A412" s="1782">
        <f>SUMIF(Data!$L$1140:$L$1146,input!$C412,Data!$O$1140:$O$1146)</f>
        <v>2</v>
      </c>
      <c r="B412" s="1277" t="s">
        <v>139</v>
      </c>
      <c r="C412" s="3574" t="s">
        <v>1522</v>
      </c>
      <c r="D412" s="3575" t="s">
        <v>1519</v>
      </c>
      <c r="E412" s="3575" t="str">
        <f ca="1">LOOKUP(OFFSET($B$25,L412,0),Data!$AA$1139:$AA$1143,Data!$AB$1139:$AB$1143)</f>
        <v>220 - 350gsm</v>
      </c>
      <c r="F412" s="3576" t="str">
        <f>IF(I25&gt;0,A25,"N")</f>
        <v>Box</v>
      </c>
      <c r="G412" s="1783">
        <f t="shared" ref="G412:G441" ca="1" si="238">SUMIF($A$24:$A$310,$F412,$I$24:$I$310)</f>
        <v>1</v>
      </c>
      <c r="H412" s="1784">
        <f t="shared" ref="H412:H421" ca="1" si="239">G412</f>
        <v>1</v>
      </c>
      <c r="I412" s="384"/>
      <c r="J412" s="2177"/>
      <c r="K412" s="3114" t="s">
        <v>139</v>
      </c>
      <c r="L412" s="391">
        <v>0</v>
      </c>
      <c r="M412" s="391">
        <f t="shared" ref="M412:M421" ca="1" si="240">OFFSET($B$25,L412,0)</f>
        <v>300</v>
      </c>
      <c r="N412" s="391"/>
      <c r="O412" s="313"/>
      <c r="P412" s="313"/>
      <c r="Q412" s="313"/>
      <c r="R412" s="313"/>
      <c r="S412" s="313"/>
    </row>
    <row r="413" spans="1:19" ht="16.899999999999999" hidden="1" customHeight="1" outlineLevel="1">
      <c r="A413" s="1782">
        <f ca="1">SUMIF(Data!$L$1140:$L$1146,input!$C413,Data!$O$1140:$O$1146)</f>
        <v>7</v>
      </c>
      <c r="B413" s="1277" t="s">
        <v>139</v>
      </c>
      <c r="C413" s="3574" t="str">
        <f ca="1">IFERROR(VLOOKUP(SUM(E1161:F1161),Data!$X$1140:$Y$1145,2,0),"KBA")</f>
        <v>KBA</v>
      </c>
      <c r="D413" s="3575" t="s">
        <v>1519</v>
      </c>
      <c r="E413" s="3575">
        <f ca="1">LOOKUP(OFFSET($B$25,L413,0),Data!$AA$1139:$AA$1143,Data!$AB$1139:$AB$1143)</f>
        <v>0</v>
      </c>
      <c r="F413" s="3576" t="str">
        <f>IF(I42&gt;0,A42,"N")</f>
        <v>N</v>
      </c>
      <c r="G413" s="1783">
        <f t="shared" ca="1" si="238"/>
        <v>0</v>
      </c>
      <c r="H413" s="1784">
        <f t="shared" ca="1" si="239"/>
        <v>0</v>
      </c>
      <c r="I413" s="384"/>
      <c r="J413" s="4003" t="str">
        <f>F413</f>
        <v>N</v>
      </c>
      <c r="K413" s="3114" t="s">
        <v>139</v>
      </c>
      <c r="L413" s="391">
        <v>17</v>
      </c>
      <c r="M413" s="391">
        <f t="shared" ca="1" si="240"/>
        <v>0</v>
      </c>
      <c r="N413" s="391"/>
      <c r="O413" s="313"/>
      <c r="P413" s="313"/>
      <c r="Q413" s="313"/>
      <c r="R413" s="313"/>
      <c r="S413" s="313"/>
    </row>
    <row r="414" spans="1:19" ht="16.899999999999999" hidden="1" customHeight="1" outlineLevel="1">
      <c r="A414" s="1782">
        <f ca="1">SUMIF(Data!$L$1140:$L$1146,input!$C414,Data!$O$1140:$O$1146)</f>
        <v>7</v>
      </c>
      <c r="B414" s="1277" t="s">
        <v>139</v>
      </c>
      <c r="C414" s="3574" t="str">
        <f ca="1">IFERROR(VLOOKUP(SUM(E1162:F1162),Data!$X$1140:$Y$1145,2,0),"KBA")</f>
        <v>KBA</v>
      </c>
      <c r="D414" s="3575" t="s">
        <v>1519</v>
      </c>
      <c r="E414" s="3575">
        <f ca="1">LOOKUP(OFFSET($B$25,L414,0),Data!$AA$1139:$AA$1143,Data!$AB$1139:$AB$1143)</f>
        <v>0</v>
      </c>
      <c r="F414" s="3576" t="str">
        <f>IF(I59&gt;0,A59,"N")</f>
        <v>N</v>
      </c>
      <c r="G414" s="1783">
        <f t="shared" ca="1" si="238"/>
        <v>0</v>
      </c>
      <c r="H414" s="1784">
        <f t="shared" ca="1" si="239"/>
        <v>0</v>
      </c>
      <c r="I414" s="384"/>
      <c r="J414" s="4003" t="str">
        <f t="shared" ref="J414:J441" si="241">F414</f>
        <v>N</v>
      </c>
      <c r="K414" s="3114" t="s">
        <v>139</v>
      </c>
      <c r="L414" s="391">
        <f>L413+17</f>
        <v>34</v>
      </c>
      <c r="M414" s="391">
        <f t="shared" ca="1" si="240"/>
        <v>0</v>
      </c>
      <c r="N414" s="391"/>
      <c r="O414" s="313"/>
      <c r="P414" s="313"/>
      <c r="Q414" s="313"/>
      <c r="R414" s="313"/>
      <c r="S414" s="313"/>
    </row>
    <row r="415" spans="1:19" ht="16.899999999999999" hidden="1" customHeight="1" outlineLevel="1">
      <c r="A415" s="1782">
        <f ca="1">SUMIF(Data!$L$1140:$L$1146,input!$C415,Data!$O$1140:$O$1146)</f>
        <v>7</v>
      </c>
      <c r="B415" s="1277" t="s">
        <v>139</v>
      </c>
      <c r="C415" s="3574" t="str">
        <f ca="1">IFERROR(VLOOKUP(SUM(E1163:F1163),Data!$X$1140:$Y$1145,2,0),"KBA")</f>
        <v>KBA</v>
      </c>
      <c r="D415" s="3575" t="s">
        <v>1519</v>
      </c>
      <c r="E415" s="3575">
        <f ca="1">LOOKUP(OFFSET($B$25,L415,0),Data!$AA$1139:$AA$1143,Data!$AB$1139:$AB$1143)</f>
        <v>0</v>
      </c>
      <c r="F415" s="3576" t="str">
        <f>IF(I76&gt;0,A76,"N")</f>
        <v>N</v>
      </c>
      <c r="G415" s="1783">
        <f t="shared" ca="1" si="238"/>
        <v>0</v>
      </c>
      <c r="H415" s="1784">
        <f t="shared" ca="1" si="239"/>
        <v>0</v>
      </c>
      <c r="I415" s="384"/>
      <c r="J415" s="4003" t="str">
        <f t="shared" si="241"/>
        <v>N</v>
      </c>
      <c r="K415" s="3114" t="s">
        <v>139</v>
      </c>
      <c r="L415" s="391">
        <f t="shared" ref="L415:L421" si="242">L414+17</f>
        <v>51</v>
      </c>
      <c r="M415" s="391">
        <f t="shared" ca="1" si="240"/>
        <v>0</v>
      </c>
      <c r="N415" s="391"/>
      <c r="O415" s="313"/>
      <c r="P415" s="313"/>
      <c r="Q415" s="313"/>
      <c r="R415" s="313"/>
      <c r="S415" s="313"/>
    </row>
    <row r="416" spans="1:19" ht="16.899999999999999" hidden="1" customHeight="1" outlineLevel="1">
      <c r="A416" s="1782">
        <f ca="1">SUMIF(Data!$L$1140:$L$1146,input!$C416,Data!$O$1140:$O$1146)</f>
        <v>7</v>
      </c>
      <c r="B416" s="1277" t="s">
        <v>139</v>
      </c>
      <c r="C416" s="3574" t="str">
        <f ca="1">IFERROR(VLOOKUP(SUM(E1164:F1164),Data!$X$1140:$Y$1145,2,0),"KBA")</f>
        <v>KBA</v>
      </c>
      <c r="D416" s="3575" t="s">
        <v>1519</v>
      </c>
      <c r="E416" s="3575">
        <f ca="1">LOOKUP(OFFSET($B$25,L416,0),Data!$AA$1139:$AA$1143,Data!$AB$1139:$AB$1143)</f>
        <v>0</v>
      </c>
      <c r="F416" s="3576" t="str">
        <f>IF(I93&gt;0,A93,"N")</f>
        <v>N</v>
      </c>
      <c r="G416" s="1783">
        <f t="shared" ca="1" si="238"/>
        <v>0</v>
      </c>
      <c r="H416" s="1784">
        <f t="shared" ca="1" si="239"/>
        <v>0</v>
      </c>
      <c r="I416" s="384"/>
      <c r="J416" s="4003" t="str">
        <f t="shared" si="241"/>
        <v>N</v>
      </c>
      <c r="K416" s="3114" t="s">
        <v>139</v>
      </c>
      <c r="L416" s="391">
        <f t="shared" si="242"/>
        <v>68</v>
      </c>
      <c r="M416" s="391">
        <f t="shared" ca="1" si="240"/>
        <v>0</v>
      </c>
      <c r="N416" s="391"/>
      <c r="O416" s="313"/>
      <c r="P416" s="313"/>
      <c r="Q416" s="313"/>
      <c r="R416" s="313"/>
      <c r="S416" s="313"/>
    </row>
    <row r="417" spans="1:19" ht="16.899999999999999" hidden="1" customHeight="1" outlineLevel="1">
      <c r="A417" s="1782">
        <f ca="1">SUMIF(Data!$L$1140:$L$1146,input!$C417,Data!$O$1140:$O$1146)</f>
        <v>7</v>
      </c>
      <c r="B417" s="1277" t="s">
        <v>139</v>
      </c>
      <c r="C417" s="3574" t="str">
        <f ca="1">IFERROR(VLOOKUP(SUM(E1165:F1165),Data!$X$1140:$Y$1145,2,0),"KBA")</f>
        <v>KBA</v>
      </c>
      <c r="D417" s="3575" t="s">
        <v>1519</v>
      </c>
      <c r="E417" s="3575">
        <f ca="1">LOOKUP(OFFSET($B$25,L417,0),Data!$AA$1139:$AA$1143,Data!$AB$1139:$AB$1143)</f>
        <v>0</v>
      </c>
      <c r="F417" s="3576" t="str">
        <f>IF(I110&gt;0,A110,"N")</f>
        <v>N</v>
      </c>
      <c r="G417" s="1783">
        <f t="shared" ca="1" si="238"/>
        <v>0</v>
      </c>
      <c r="H417" s="1784">
        <f t="shared" ca="1" si="239"/>
        <v>0</v>
      </c>
      <c r="I417" s="384"/>
      <c r="J417" s="4003" t="str">
        <f t="shared" si="241"/>
        <v>N</v>
      </c>
      <c r="K417" s="3114" t="s">
        <v>139</v>
      </c>
      <c r="L417" s="391">
        <f t="shared" si="242"/>
        <v>85</v>
      </c>
      <c r="M417" s="391">
        <f t="shared" ca="1" si="240"/>
        <v>0</v>
      </c>
      <c r="N417" s="391"/>
      <c r="O417" s="313"/>
      <c r="P417" s="313"/>
      <c r="Q417" s="313"/>
      <c r="R417" s="313"/>
      <c r="S417" s="313"/>
    </row>
    <row r="418" spans="1:19" ht="16.899999999999999" hidden="1" customHeight="1" outlineLevel="1">
      <c r="A418" s="1782">
        <f ca="1">SUMIF(Data!$L$1140:$L$1146,input!$C418,Data!$O$1140:$O$1146)</f>
        <v>7</v>
      </c>
      <c r="B418" s="1277" t="s">
        <v>139</v>
      </c>
      <c r="C418" s="3574" t="str">
        <f ca="1">IFERROR(VLOOKUP(SUM(E1166:F1166),Data!$X$1140:$Y$1145,2,0),"KBA")</f>
        <v>KBA</v>
      </c>
      <c r="D418" s="3575" t="s">
        <v>1519</v>
      </c>
      <c r="E418" s="3575">
        <f ca="1">LOOKUP(OFFSET($B$25,L418,0),Data!$AA$1139:$AA$1143,Data!$AB$1139:$AB$1143)</f>
        <v>0</v>
      </c>
      <c r="F418" s="3576" t="str">
        <f>IF(I127&gt;0,A127,"N")</f>
        <v>N</v>
      </c>
      <c r="G418" s="1783">
        <f t="shared" ca="1" si="238"/>
        <v>0</v>
      </c>
      <c r="H418" s="1784">
        <f t="shared" ca="1" si="239"/>
        <v>0</v>
      </c>
      <c r="I418" s="384"/>
      <c r="J418" s="4003" t="str">
        <f t="shared" si="241"/>
        <v>N</v>
      </c>
      <c r="K418" s="3114" t="s">
        <v>139</v>
      </c>
      <c r="L418" s="391">
        <f t="shared" si="242"/>
        <v>102</v>
      </c>
      <c r="M418" s="391">
        <f t="shared" ca="1" si="240"/>
        <v>0</v>
      </c>
      <c r="N418" s="391"/>
      <c r="O418" s="313"/>
      <c r="P418" s="313"/>
      <c r="Q418" s="313"/>
      <c r="R418" s="313"/>
      <c r="S418" s="313"/>
    </row>
    <row r="419" spans="1:19" ht="16.899999999999999" hidden="1" customHeight="1" outlineLevel="1">
      <c r="A419" s="1782">
        <f ca="1">SUMIF(Data!$L$1140:$L$1146,input!$C419,Data!$O$1140:$O$1146)</f>
        <v>7</v>
      </c>
      <c r="B419" s="1277" t="s">
        <v>139</v>
      </c>
      <c r="C419" s="3574" t="str">
        <f ca="1">IFERROR(VLOOKUP(SUM(E1167:F1167),Data!$X$1140:$Y$1145,2,0),"KBA")</f>
        <v>KBA</v>
      </c>
      <c r="D419" s="3575" t="s">
        <v>1519</v>
      </c>
      <c r="E419" s="3575">
        <f ca="1">LOOKUP(OFFSET($B$25,L419,0),Data!$AA$1139:$AA$1143,Data!$AB$1139:$AB$1143)</f>
        <v>0</v>
      </c>
      <c r="F419" s="3576" t="str">
        <f>IF(I144&gt;0,A144,"N")</f>
        <v>N</v>
      </c>
      <c r="G419" s="1783">
        <f t="shared" ca="1" si="238"/>
        <v>0</v>
      </c>
      <c r="H419" s="1784">
        <f t="shared" ca="1" si="239"/>
        <v>0</v>
      </c>
      <c r="I419" s="384"/>
      <c r="J419" s="4003" t="str">
        <f t="shared" si="241"/>
        <v>N</v>
      </c>
      <c r="K419" s="3114" t="s">
        <v>139</v>
      </c>
      <c r="L419" s="391">
        <f t="shared" si="242"/>
        <v>119</v>
      </c>
      <c r="M419" s="391">
        <f t="shared" ca="1" si="240"/>
        <v>0</v>
      </c>
      <c r="N419" s="391"/>
      <c r="O419" s="313"/>
      <c r="P419" s="313"/>
      <c r="Q419" s="313"/>
      <c r="R419" s="313"/>
      <c r="S419" s="313"/>
    </row>
    <row r="420" spans="1:19" ht="16.899999999999999" hidden="1" customHeight="1" outlineLevel="1">
      <c r="A420" s="1782">
        <f ca="1">SUMIF(Data!$L$1140:$L$1146,input!$C420,Data!$O$1140:$O$1146)</f>
        <v>7</v>
      </c>
      <c r="B420" s="1277" t="s">
        <v>139</v>
      </c>
      <c r="C420" s="3574" t="str">
        <f ca="1">IFERROR(VLOOKUP(SUM(E1168:F1168),Data!$X$1140:$Y$1145,2,0),"KBA")</f>
        <v>KBA</v>
      </c>
      <c r="D420" s="3575" t="s">
        <v>1519</v>
      </c>
      <c r="E420" s="3575">
        <f ca="1">LOOKUP(OFFSET($B$25,L420,0),Data!$AA$1139:$AA$1143,Data!$AB$1139:$AB$1143)</f>
        <v>0</v>
      </c>
      <c r="F420" s="3576" t="str">
        <f>IF(I161&gt;0,A161,"N")</f>
        <v>N</v>
      </c>
      <c r="G420" s="1783">
        <f t="shared" ca="1" si="238"/>
        <v>0</v>
      </c>
      <c r="H420" s="1784">
        <f t="shared" ca="1" si="239"/>
        <v>0</v>
      </c>
      <c r="I420" s="384"/>
      <c r="J420" s="4003" t="str">
        <f t="shared" si="241"/>
        <v>N</v>
      </c>
      <c r="K420" s="3114" t="s">
        <v>139</v>
      </c>
      <c r="L420" s="391">
        <f t="shared" si="242"/>
        <v>136</v>
      </c>
      <c r="M420" s="391">
        <f t="shared" ca="1" si="240"/>
        <v>0</v>
      </c>
      <c r="N420" s="391"/>
      <c r="O420" s="313"/>
      <c r="P420" s="313"/>
      <c r="Q420" s="313"/>
      <c r="R420" s="313"/>
      <c r="S420" s="313"/>
    </row>
    <row r="421" spans="1:19" ht="16.899999999999999" hidden="1" customHeight="1" outlineLevel="1">
      <c r="A421" s="1782">
        <f ca="1">SUMIF(Data!$L$1140:$L$1146,input!$C421,Data!$O$1140:$O$1146)</f>
        <v>7</v>
      </c>
      <c r="B421" s="1277" t="s">
        <v>139</v>
      </c>
      <c r="C421" s="3574" t="str">
        <f ca="1">IFERROR(VLOOKUP(SUM(E1169:F1169),Data!$X$1140:$Y$1145,2,0),"KBA")</f>
        <v>KBA</v>
      </c>
      <c r="D421" s="3575" t="s">
        <v>1519</v>
      </c>
      <c r="E421" s="3575">
        <f ca="1">LOOKUP(OFFSET($B$25,L421,0),Data!$AA$1139:$AA$1143,Data!$AB$1139:$AB$1143)</f>
        <v>0</v>
      </c>
      <c r="F421" s="3576" t="str">
        <f>IF(I178&gt;0,A178,"N")</f>
        <v>N</v>
      </c>
      <c r="G421" s="1783">
        <f t="shared" ca="1" si="238"/>
        <v>0</v>
      </c>
      <c r="H421" s="1784">
        <f t="shared" ca="1" si="239"/>
        <v>0</v>
      </c>
      <c r="I421" s="384"/>
      <c r="J421" s="4003" t="str">
        <f t="shared" si="241"/>
        <v>N</v>
      </c>
      <c r="K421" s="3114" t="s">
        <v>139</v>
      </c>
      <c r="L421" s="391">
        <f t="shared" si="242"/>
        <v>153</v>
      </c>
      <c r="M421" s="391">
        <f t="shared" ca="1" si="240"/>
        <v>0</v>
      </c>
      <c r="N421" s="391"/>
      <c r="O421" s="313"/>
      <c r="P421" s="313"/>
      <c r="Q421" s="313"/>
      <c r="R421" s="313"/>
      <c r="S421" s="313"/>
    </row>
    <row r="422" spans="1:19" ht="16.899999999999999" hidden="1" customHeight="1" outlineLevel="1">
      <c r="A422" s="1782">
        <f ca="1">SUMIF(Data!$L$1140:$L$1146,input!$C422,Data!$O$1140:$O$1146)</f>
        <v>7</v>
      </c>
      <c r="B422" s="1277" t="s">
        <v>139</v>
      </c>
      <c r="C422" s="1589" t="str">
        <f ca="1">IFERROR(VLOOKUP(SUM(E1170:F1170),Data!$X$1140:$Y$1145,2,0),"KBA")</f>
        <v>KBA</v>
      </c>
      <c r="D422" s="1590" t="s">
        <v>1519</v>
      </c>
      <c r="E422" s="1590" t="str">
        <f t="shared" ref="E422:E431" ca="1" si="243">E412</f>
        <v>220 - 350gsm</v>
      </c>
      <c r="F422" s="1781" t="s">
        <v>106</v>
      </c>
      <c r="G422" s="1783">
        <f t="shared" ca="1" si="238"/>
        <v>0</v>
      </c>
      <c r="H422" s="1784">
        <v>0</v>
      </c>
      <c r="I422" s="384"/>
      <c r="J422" s="4003" t="str">
        <f t="shared" si="241"/>
        <v>N</v>
      </c>
      <c r="K422" s="3114" t="s">
        <v>139</v>
      </c>
      <c r="L422" s="391" t="s">
        <v>3626</v>
      </c>
      <c r="M422" s="391"/>
      <c r="N422" s="391"/>
      <c r="O422" s="313"/>
      <c r="P422" s="313"/>
      <c r="Q422" s="313"/>
      <c r="R422" s="313"/>
      <c r="S422" s="313"/>
    </row>
    <row r="423" spans="1:19" ht="16.899999999999999" hidden="1" customHeight="1" outlineLevel="1">
      <c r="A423" s="1782">
        <f ca="1">SUMIF(Data!$L$1140:$L$1146,input!$C423,Data!$O$1140:$O$1146)</f>
        <v>7</v>
      </c>
      <c r="B423" s="1277" t="s">
        <v>139</v>
      </c>
      <c r="C423" s="1589" t="str">
        <f ca="1">IFERROR(VLOOKUP(SUM(E1171:F1171),Data!$X$1140:$Y$1145,2,0),"KBA")</f>
        <v>KBA</v>
      </c>
      <c r="D423" s="1590" t="s">
        <v>1519</v>
      </c>
      <c r="E423" s="1590">
        <f t="shared" ca="1" si="243"/>
        <v>0</v>
      </c>
      <c r="F423" s="1781" t="s">
        <v>106</v>
      </c>
      <c r="G423" s="1783">
        <f t="shared" ca="1" si="238"/>
        <v>0</v>
      </c>
      <c r="H423" s="1784">
        <v>0</v>
      </c>
      <c r="I423" s="384"/>
      <c r="J423" s="4003" t="str">
        <f t="shared" si="241"/>
        <v>N</v>
      </c>
      <c r="K423" s="3114" t="s">
        <v>139</v>
      </c>
      <c r="L423" s="391"/>
      <c r="M423" s="391"/>
      <c r="N423" s="391"/>
      <c r="O423" s="313"/>
      <c r="P423" s="313"/>
      <c r="Q423" s="313"/>
      <c r="R423" s="313"/>
      <c r="S423" s="313"/>
    </row>
    <row r="424" spans="1:19" ht="16.899999999999999" hidden="1" customHeight="1" outlineLevel="1">
      <c r="A424" s="1782">
        <f ca="1">SUMIF(Data!$L$1140:$L$1146,input!$C424,Data!$O$1140:$O$1146)</f>
        <v>7</v>
      </c>
      <c r="B424" s="1277" t="s">
        <v>139</v>
      </c>
      <c r="C424" s="1589" t="str">
        <f ca="1">IFERROR(VLOOKUP(SUM(E1172:F1172),Data!$X$1140:$Y$1145,2,0),"KBA")</f>
        <v>KBA</v>
      </c>
      <c r="D424" s="1590" t="s">
        <v>1519</v>
      </c>
      <c r="E424" s="1590">
        <f t="shared" ca="1" si="243"/>
        <v>0</v>
      </c>
      <c r="F424" s="1781" t="s">
        <v>106</v>
      </c>
      <c r="G424" s="1783">
        <f t="shared" ca="1" si="238"/>
        <v>0</v>
      </c>
      <c r="H424" s="1784">
        <v>0</v>
      </c>
      <c r="I424" s="384"/>
      <c r="J424" s="4003" t="str">
        <f t="shared" si="241"/>
        <v>N</v>
      </c>
      <c r="K424" s="3114" t="s">
        <v>139</v>
      </c>
      <c r="L424" s="391"/>
      <c r="M424" s="391"/>
      <c r="N424" s="391"/>
      <c r="O424" s="313"/>
      <c r="P424" s="313"/>
      <c r="Q424" s="313"/>
      <c r="R424" s="313"/>
      <c r="S424" s="313"/>
    </row>
    <row r="425" spans="1:19" ht="16.899999999999999" hidden="1" customHeight="1" outlineLevel="1">
      <c r="A425" s="1782">
        <f ca="1">SUMIF(Data!$L$1140:$L$1146,input!$C425,Data!$O$1140:$O$1146)</f>
        <v>7</v>
      </c>
      <c r="B425" s="1277" t="s">
        <v>139</v>
      </c>
      <c r="C425" s="1589" t="str">
        <f ca="1">IFERROR(VLOOKUP(SUM(E1173:F1173),Data!$X$1140:$Y$1145,2,0),"KBA")</f>
        <v>KBA</v>
      </c>
      <c r="D425" s="1590" t="s">
        <v>1519</v>
      </c>
      <c r="E425" s="1590">
        <f t="shared" ca="1" si="243"/>
        <v>0</v>
      </c>
      <c r="F425" s="1781" t="s">
        <v>106</v>
      </c>
      <c r="G425" s="1783">
        <f t="shared" ca="1" si="238"/>
        <v>0</v>
      </c>
      <c r="H425" s="1784">
        <v>0</v>
      </c>
      <c r="I425" s="384"/>
      <c r="J425" s="4003" t="str">
        <f t="shared" si="241"/>
        <v>N</v>
      </c>
      <c r="K425" s="3114" t="s">
        <v>139</v>
      </c>
      <c r="L425" s="391"/>
      <c r="M425" s="391"/>
      <c r="N425" s="391"/>
      <c r="O425" s="313"/>
      <c r="P425" s="313"/>
      <c r="Q425" s="313"/>
      <c r="R425" s="313"/>
      <c r="S425" s="313"/>
    </row>
    <row r="426" spans="1:19" ht="16.899999999999999" hidden="1" customHeight="1" outlineLevel="1">
      <c r="A426" s="1782">
        <f ca="1">SUMIF(Data!$L$1140:$L$1146,input!$C426,Data!$O$1140:$O$1146)</f>
        <v>7</v>
      </c>
      <c r="B426" s="1277" t="s">
        <v>139</v>
      </c>
      <c r="C426" s="1589" t="str">
        <f ca="1">IFERROR(VLOOKUP(SUM(E1174:F1174),Data!$X$1140:$Y$1145,2,0),"KBA")</f>
        <v>KBA</v>
      </c>
      <c r="D426" s="1590" t="s">
        <v>1519</v>
      </c>
      <c r="E426" s="1590">
        <f t="shared" ca="1" si="243"/>
        <v>0</v>
      </c>
      <c r="F426" s="1781" t="s">
        <v>106</v>
      </c>
      <c r="G426" s="1783">
        <f t="shared" ca="1" si="238"/>
        <v>0</v>
      </c>
      <c r="H426" s="1784">
        <v>0</v>
      </c>
      <c r="I426" s="384"/>
      <c r="J426" s="4003" t="str">
        <f t="shared" si="241"/>
        <v>N</v>
      </c>
      <c r="K426" s="3114" t="s">
        <v>139</v>
      </c>
      <c r="L426" s="391"/>
      <c r="M426" s="391"/>
      <c r="N426" s="391"/>
      <c r="O426" s="313"/>
      <c r="P426" s="313"/>
      <c r="Q426" s="313"/>
      <c r="R426" s="313"/>
      <c r="S426" s="313"/>
    </row>
    <row r="427" spans="1:19" ht="16.899999999999999" hidden="1" customHeight="1" outlineLevel="1">
      <c r="A427" s="1782">
        <f>SUMIF(Data!$L$1140:$L$1146,input!$C427,Data!$O$1140:$O$1146)</f>
        <v>7</v>
      </c>
      <c r="B427" s="1277" t="s">
        <v>139</v>
      </c>
      <c r="C427" s="1589" t="str">
        <f>IFERROR(VLOOKUP(SUM(E1175:F1175),Data!$X$1140:$Y$1145,2,0),"KBA")</f>
        <v>KBA</v>
      </c>
      <c r="D427" s="1590" t="s">
        <v>1519</v>
      </c>
      <c r="E427" s="1590">
        <f t="shared" ca="1" si="243"/>
        <v>0</v>
      </c>
      <c r="F427" s="1781" t="s">
        <v>106</v>
      </c>
      <c r="G427" s="1783">
        <f t="shared" ca="1" si="238"/>
        <v>0</v>
      </c>
      <c r="H427" s="1784">
        <v>0</v>
      </c>
      <c r="I427" s="384"/>
      <c r="J427" s="4003" t="str">
        <f t="shared" si="241"/>
        <v>N</v>
      </c>
      <c r="K427" s="3114" t="s">
        <v>139</v>
      </c>
      <c r="L427" s="391"/>
      <c r="M427" s="391"/>
      <c r="N427" s="391"/>
      <c r="O427" s="313"/>
      <c r="P427" s="313"/>
      <c r="Q427" s="313"/>
      <c r="R427" s="313"/>
      <c r="S427" s="313"/>
    </row>
    <row r="428" spans="1:19" ht="16.899999999999999" hidden="1" customHeight="1" outlineLevel="1">
      <c r="A428" s="1782">
        <f>SUMIF(Data!$L$1140:$L$1146,input!$C428,Data!$O$1140:$O$1146)</f>
        <v>7</v>
      </c>
      <c r="B428" s="1277" t="s">
        <v>139</v>
      </c>
      <c r="C428" s="1589" t="str">
        <f>IFERROR(VLOOKUP(SUM(E1176:F1176),Data!$X$1140:$Y$1145,2,0),"KBA")</f>
        <v>KBA</v>
      </c>
      <c r="D428" s="1590" t="s">
        <v>1519</v>
      </c>
      <c r="E428" s="1590">
        <f t="shared" ca="1" si="243"/>
        <v>0</v>
      </c>
      <c r="F428" s="1781" t="s">
        <v>106</v>
      </c>
      <c r="G428" s="1783">
        <f t="shared" ca="1" si="238"/>
        <v>0</v>
      </c>
      <c r="H428" s="1784">
        <v>0</v>
      </c>
      <c r="I428" s="384"/>
      <c r="J428" s="4003" t="str">
        <f t="shared" si="241"/>
        <v>N</v>
      </c>
      <c r="K428" s="3114" t="s">
        <v>139</v>
      </c>
      <c r="L428" s="391"/>
      <c r="M428" s="391"/>
      <c r="N428" s="391"/>
      <c r="O428" s="313"/>
      <c r="P428" s="313"/>
      <c r="Q428" s="313"/>
      <c r="R428" s="313"/>
      <c r="S428" s="313"/>
    </row>
    <row r="429" spans="1:19" ht="16.899999999999999" hidden="1" customHeight="1" outlineLevel="1">
      <c r="A429" s="1782">
        <f>SUMIF(Data!$L$1140:$L$1146,input!$C429,Data!$O$1140:$O$1146)</f>
        <v>7</v>
      </c>
      <c r="B429" s="1277" t="s">
        <v>139</v>
      </c>
      <c r="C429" s="1589" t="str">
        <f>IFERROR(VLOOKUP(SUM(E1177:F1177),Data!$X$1140:$Y$1145,2,0),"KBA")</f>
        <v>KBA</v>
      </c>
      <c r="D429" s="1590" t="s">
        <v>1519</v>
      </c>
      <c r="E429" s="1590">
        <f t="shared" ca="1" si="243"/>
        <v>0</v>
      </c>
      <c r="F429" s="1781" t="s">
        <v>106</v>
      </c>
      <c r="G429" s="1783">
        <f t="shared" ca="1" si="238"/>
        <v>0</v>
      </c>
      <c r="H429" s="1784">
        <v>0</v>
      </c>
      <c r="I429" s="384"/>
      <c r="J429" s="4003" t="str">
        <f t="shared" si="241"/>
        <v>N</v>
      </c>
      <c r="K429" s="3114" t="s">
        <v>139</v>
      </c>
      <c r="L429" s="391"/>
      <c r="M429" s="391"/>
      <c r="N429" s="391"/>
      <c r="O429" s="313"/>
      <c r="P429" s="313"/>
      <c r="Q429" s="313"/>
      <c r="R429" s="313"/>
      <c r="S429" s="313"/>
    </row>
    <row r="430" spans="1:19" ht="16.899999999999999" hidden="1" customHeight="1" outlineLevel="1">
      <c r="A430" s="1782">
        <f>SUMIF(Data!$L$1140:$L$1146,input!$C430,Data!$O$1140:$O$1146)</f>
        <v>7</v>
      </c>
      <c r="B430" s="1277" t="s">
        <v>139</v>
      </c>
      <c r="C430" s="1589" t="str">
        <f>IFERROR(VLOOKUP(SUM(E1178:F1178),Data!$X$1140:$Y$1145,2,0),"KBA")</f>
        <v>KBA</v>
      </c>
      <c r="D430" s="1590" t="s">
        <v>1519</v>
      </c>
      <c r="E430" s="1590">
        <f t="shared" ca="1" si="243"/>
        <v>0</v>
      </c>
      <c r="F430" s="1781" t="s">
        <v>106</v>
      </c>
      <c r="G430" s="1783">
        <f t="shared" ca="1" si="238"/>
        <v>0</v>
      </c>
      <c r="H430" s="1784">
        <v>0</v>
      </c>
      <c r="I430" s="384"/>
      <c r="J430" s="4003" t="str">
        <f t="shared" si="241"/>
        <v>N</v>
      </c>
      <c r="K430" s="3114" t="s">
        <v>139</v>
      </c>
      <c r="L430" s="391"/>
      <c r="M430" s="391"/>
      <c r="N430" s="391"/>
      <c r="O430" s="313"/>
      <c r="P430" s="313"/>
      <c r="Q430" s="313"/>
      <c r="R430" s="313"/>
      <c r="S430" s="313"/>
    </row>
    <row r="431" spans="1:19" ht="16.899999999999999" hidden="1" customHeight="1" outlineLevel="1">
      <c r="A431" s="1782">
        <f>SUMIF(Data!$L$1140:$L$1146,input!$C431,Data!$O$1140:$O$1146)</f>
        <v>7</v>
      </c>
      <c r="B431" s="1277" t="s">
        <v>139</v>
      </c>
      <c r="C431" s="1589" t="str">
        <f>IFERROR(VLOOKUP(SUM(E1179:F1179),Data!$X$1140:$Y$1145,2,0),"KBA")</f>
        <v>KBA</v>
      </c>
      <c r="D431" s="1590" t="s">
        <v>1519</v>
      </c>
      <c r="E431" s="1590">
        <f t="shared" ca="1" si="243"/>
        <v>0</v>
      </c>
      <c r="F431" s="1781" t="s">
        <v>106</v>
      </c>
      <c r="G431" s="1783">
        <f t="shared" ca="1" si="238"/>
        <v>0</v>
      </c>
      <c r="H431" s="1784">
        <v>0</v>
      </c>
      <c r="I431" s="384"/>
      <c r="J431" s="4003" t="str">
        <f t="shared" si="241"/>
        <v>N</v>
      </c>
      <c r="K431" s="3114" t="s">
        <v>139</v>
      </c>
      <c r="L431" s="391"/>
      <c r="M431" s="391"/>
      <c r="N431" s="391"/>
      <c r="O431" s="313"/>
      <c r="P431" s="313"/>
      <c r="Q431" s="313"/>
      <c r="R431" s="313"/>
      <c r="S431" s="313"/>
    </row>
    <row r="432" spans="1:19" ht="16.899999999999999" hidden="1" customHeight="1" outlineLevel="1">
      <c r="A432" s="1782">
        <f>SUMIF(Data!$L$1140:$L$1146,input!$C432,Data!$O$1140:$O$1146)</f>
        <v>7</v>
      </c>
      <c r="B432" s="1277" t="s">
        <v>139</v>
      </c>
      <c r="C432" s="1589" t="str">
        <f>IFERROR(VLOOKUP(SUM(E1180:F1180),Data!$X$1140:$Y$1145,2,0),"KBA")</f>
        <v>KBA</v>
      </c>
      <c r="D432" s="3586" t="s">
        <v>1519</v>
      </c>
      <c r="E432" s="3586" t="s">
        <v>1140</v>
      </c>
      <c r="F432" s="3587" t="s">
        <v>106</v>
      </c>
      <c r="G432" s="1783">
        <f t="shared" ca="1" si="238"/>
        <v>0</v>
      </c>
      <c r="H432" s="1784">
        <v>0</v>
      </c>
      <c r="I432" s="384"/>
      <c r="J432" s="4003" t="str">
        <f t="shared" si="241"/>
        <v>N</v>
      </c>
      <c r="K432" s="3114" t="s">
        <v>139</v>
      </c>
      <c r="L432" s="391"/>
      <c r="M432" s="391"/>
      <c r="N432" s="391"/>
      <c r="O432" s="313"/>
      <c r="P432" s="313"/>
      <c r="Q432" s="313"/>
      <c r="R432" s="313"/>
      <c r="S432" s="313"/>
    </row>
    <row r="433" spans="1:19" ht="16.899999999999999" hidden="1" customHeight="1" outlineLevel="1">
      <c r="A433" s="1782">
        <f>SUMIF(Data!$L$1140:$L$1146,input!$C433,Data!$O$1140:$O$1146)</f>
        <v>7</v>
      </c>
      <c r="B433" s="1277" t="s">
        <v>139</v>
      </c>
      <c r="C433" s="1589" t="str">
        <f>IFERROR(VLOOKUP(SUM(E1181:F1181),Data!$X$1140:$Y$1145,2,0),"KBA")</f>
        <v>KBA</v>
      </c>
      <c r="D433" s="3586" t="s">
        <v>1519</v>
      </c>
      <c r="E433" s="3586" t="s">
        <v>1140</v>
      </c>
      <c r="F433" s="3587" t="s">
        <v>106</v>
      </c>
      <c r="G433" s="1783">
        <f t="shared" ca="1" si="238"/>
        <v>0</v>
      </c>
      <c r="H433" s="1784">
        <v>0</v>
      </c>
      <c r="I433" s="384"/>
      <c r="J433" s="4003" t="str">
        <f t="shared" si="241"/>
        <v>N</v>
      </c>
      <c r="K433" s="3114" t="s">
        <v>139</v>
      </c>
      <c r="L433" s="391"/>
      <c r="M433" s="391"/>
      <c r="N433" s="391"/>
      <c r="O433" s="313"/>
      <c r="P433" s="313"/>
      <c r="Q433" s="313"/>
      <c r="R433" s="313"/>
      <c r="S433" s="313"/>
    </row>
    <row r="434" spans="1:19" ht="16.899999999999999" hidden="1" customHeight="1" outlineLevel="1">
      <c r="A434" s="1782">
        <f>SUMIF(Data!$L$1140:$L$1146,input!$C434,Data!$O$1140:$O$1146)</f>
        <v>7</v>
      </c>
      <c r="B434" s="1277" t="s">
        <v>139</v>
      </c>
      <c r="C434" s="1589" t="str">
        <f>IFERROR(VLOOKUP(SUM(E1182:F1182),Data!$X$1140:$Y$1145,2,0),"KBA")</f>
        <v>KBA</v>
      </c>
      <c r="D434" s="3586" t="s">
        <v>1519</v>
      </c>
      <c r="E434" s="3586" t="s">
        <v>1140</v>
      </c>
      <c r="F434" s="3587" t="s">
        <v>106</v>
      </c>
      <c r="G434" s="1783">
        <f t="shared" ca="1" si="238"/>
        <v>0</v>
      </c>
      <c r="H434" s="1784">
        <v>0</v>
      </c>
      <c r="I434" s="384"/>
      <c r="J434" s="4003" t="str">
        <f t="shared" si="241"/>
        <v>N</v>
      </c>
      <c r="K434" s="3114" t="s">
        <v>139</v>
      </c>
      <c r="L434" s="391"/>
      <c r="M434" s="391"/>
      <c r="N434" s="391"/>
      <c r="O434" s="313"/>
      <c r="P434" s="313"/>
      <c r="Q434" s="313"/>
      <c r="R434" s="313"/>
      <c r="S434" s="313"/>
    </row>
    <row r="435" spans="1:19" ht="16.899999999999999" hidden="1" customHeight="1" outlineLevel="1">
      <c r="A435" s="1782">
        <f>SUMIF(Data!$L$1140:$L$1146,input!$C435,Data!$O$1140:$O$1146)</f>
        <v>7</v>
      </c>
      <c r="B435" s="1277" t="s">
        <v>139</v>
      </c>
      <c r="C435" s="1589" t="str">
        <f>IFERROR(VLOOKUP(SUM(E1183:F1183),Data!$X$1140:$Y$1145,2,0),"KBA")</f>
        <v>KBA</v>
      </c>
      <c r="D435" s="3586" t="s">
        <v>1519</v>
      </c>
      <c r="E435" s="3586" t="s">
        <v>1140</v>
      </c>
      <c r="F435" s="3587" t="s">
        <v>106</v>
      </c>
      <c r="G435" s="1783">
        <f t="shared" ca="1" si="238"/>
        <v>0</v>
      </c>
      <c r="H435" s="1784">
        <v>0</v>
      </c>
      <c r="I435" s="384"/>
      <c r="J435" s="4003" t="str">
        <f t="shared" si="241"/>
        <v>N</v>
      </c>
      <c r="K435" s="3114" t="s">
        <v>139</v>
      </c>
      <c r="L435" s="391"/>
      <c r="M435" s="391"/>
      <c r="N435" s="391"/>
      <c r="O435" s="313"/>
      <c r="P435" s="313"/>
      <c r="Q435" s="313"/>
      <c r="R435" s="313"/>
      <c r="S435" s="313"/>
    </row>
    <row r="436" spans="1:19" ht="16.899999999999999" hidden="1" customHeight="1" outlineLevel="1">
      <c r="A436" s="1782">
        <f>SUMIF(Data!$L$1140:$L$1146,input!$C436,Data!$O$1140:$O$1146)</f>
        <v>7</v>
      </c>
      <c r="B436" s="1277" t="s">
        <v>139</v>
      </c>
      <c r="C436" s="1589" t="str">
        <f>IFERROR(VLOOKUP(SUM(E1184:F1184),Data!$X$1140:$Y$1145,2,0),"KBA")</f>
        <v>KBA</v>
      </c>
      <c r="D436" s="3586" t="s">
        <v>1519</v>
      </c>
      <c r="E436" s="3586" t="s">
        <v>1140</v>
      </c>
      <c r="F436" s="3587" t="s">
        <v>106</v>
      </c>
      <c r="G436" s="1783">
        <f t="shared" ca="1" si="238"/>
        <v>0</v>
      </c>
      <c r="H436" s="1784">
        <v>0</v>
      </c>
      <c r="I436" s="384"/>
      <c r="J436" s="4003" t="str">
        <f t="shared" si="241"/>
        <v>N</v>
      </c>
      <c r="K436" s="3114" t="s">
        <v>139</v>
      </c>
      <c r="L436" s="391"/>
      <c r="M436" s="391"/>
      <c r="N436" s="391"/>
      <c r="O436" s="313"/>
      <c r="P436" s="313"/>
      <c r="Q436" s="313"/>
      <c r="R436" s="313"/>
      <c r="S436" s="313"/>
    </row>
    <row r="437" spans="1:19" ht="16.899999999999999" hidden="1" customHeight="1" outlineLevel="1">
      <c r="A437" s="1782">
        <f>SUMIF(Data!$L$1140:$L$1146,input!$C437,Data!$O$1140:$O$1146)</f>
        <v>7</v>
      </c>
      <c r="B437" s="1277" t="s">
        <v>139</v>
      </c>
      <c r="C437" s="1589" t="str">
        <f>IFERROR(VLOOKUP(SUM(E1185:F1185),Data!$X$1140:$Y$1145,2,0),"KBA")</f>
        <v>KBA</v>
      </c>
      <c r="D437" s="3586" t="s">
        <v>1519</v>
      </c>
      <c r="E437" s="3586" t="s">
        <v>1140</v>
      </c>
      <c r="F437" s="3587" t="s">
        <v>106</v>
      </c>
      <c r="G437" s="1783">
        <f t="shared" ca="1" si="238"/>
        <v>0</v>
      </c>
      <c r="H437" s="1784">
        <v>0</v>
      </c>
      <c r="I437" s="384"/>
      <c r="J437" s="4003" t="str">
        <f t="shared" si="241"/>
        <v>N</v>
      </c>
      <c r="K437" s="3114" t="s">
        <v>139</v>
      </c>
      <c r="L437" s="391"/>
      <c r="M437" s="391"/>
      <c r="N437" s="391"/>
      <c r="O437" s="313"/>
      <c r="P437" s="313"/>
      <c r="Q437" s="313"/>
      <c r="R437" s="313"/>
      <c r="S437" s="313"/>
    </row>
    <row r="438" spans="1:19" ht="16.899999999999999" hidden="1" customHeight="1" outlineLevel="1">
      <c r="A438" s="1782">
        <f>SUMIF(Data!$L$1140:$L$1146,input!$C438,Data!$O$1140:$O$1146)</f>
        <v>7</v>
      </c>
      <c r="B438" s="1277" t="s">
        <v>139</v>
      </c>
      <c r="C438" s="1589" t="str">
        <f>IFERROR(VLOOKUP(SUM(E1186:F1186),Data!$X$1140:$Y$1145,2,0),"KBA")</f>
        <v>KBA</v>
      </c>
      <c r="D438" s="3586" t="s">
        <v>1519</v>
      </c>
      <c r="E438" s="3586" t="s">
        <v>1140</v>
      </c>
      <c r="F438" s="3587" t="s">
        <v>106</v>
      </c>
      <c r="G438" s="1783">
        <f t="shared" ca="1" si="238"/>
        <v>0</v>
      </c>
      <c r="H438" s="1784">
        <v>0</v>
      </c>
      <c r="I438" s="384"/>
      <c r="J438" s="4003" t="str">
        <f t="shared" si="241"/>
        <v>N</v>
      </c>
      <c r="K438" s="3114" t="s">
        <v>139</v>
      </c>
      <c r="L438" s="391"/>
      <c r="M438" s="391"/>
      <c r="N438" s="391"/>
      <c r="O438" s="313"/>
      <c r="P438" s="313"/>
      <c r="Q438" s="313"/>
      <c r="R438" s="313"/>
      <c r="S438" s="313"/>
    </row>
    <row r="439" spans="1:19" ht="16.899999999999999" hidden="1" customHeight="1" outlineLevel="1">
      <c r="A439" s="1782">
        <f>SUMIF(Data!$L$1140:$L$1146,input!$C439,Data!$O$1140:$O$1146)</f>
        <v>7</v>
      </c>
      <c r="B439" s="1277" t="s">
        <v>139</v>
      </c>
      <c r="C439" s="1589" t="str">
        <f>IFERROR(VLOOKUP(SUM(E1187:F1187),Data!$X$1140:$Y$1145,2,0),"KBA")</f>
        <v>KBA</v>
      </c>
      <c r="D439" s="3586" t="s">
        <v>1519</v>
      </c>
      <c r="E439" s="3586" t="s">
        <v>1140</v>
      </c>
      <c r="F439" s="3587" t="s">
        <v>106</v>
      </c>
      <c r="G439" s="1783">
        <f t="shared" ca="1" si="238"/>
        <v>0</v>
      </c>
      <c r="H439" s="1784">
        <v>0</v>
      </c>
      <c r="I439" s="384"/>
      <c r="J439" s="4003" t="str">
        <f t="shared" si="241"/>
        <v>N</v>
      </c>
      <c r="K439" s="3114" t="s">
        <v>139</v>
      </c>
      <c r="L439" s="391"/>
      <c r="M439" s="391"/>
      <c r="N439" s="391"/>
      <c r="O439" s="313"/>
      <c r="P439" s="313"/>
      <c r="Q439" s="313"/>
      <c r="R439" s="313"/>
      <c r="S439" s="313"/>
    </row>
    <row r="440" spans="1:19" ht="16.899999999999999" hidden="1" customHeight="1" outlineLevel="1">
      <c r="A440" s="1782">
        <f>SUMIF(Data!$L$1140:$L$1146,input!$C440,Data!$O$1140:$O$1146)</f>
        <v>7</v>
      </c>
      <c r="B440" s="1277" t="s">
        <v>139</v>
      </c>
      <c r="C440" s="1589" t="str">
        <f>IFERROR(VLOOKUP(SUM(E1188:F1188),Data!$X$1140:$Y$1145,2,0),"KBA")</f>
        <v>KBA</v>
      </c>
      <c r="D440" s="3586" t="s">
        <v>1519</v>
      </c>
      <c r="E440" s="3586" t="s">
        <v>1140</v>
      </c>
      <c r="F440" s="3587" t="s">
        <v>106</v>
      </c>
      <c r="G440" s="1783">
        <f t="shared" ca="1" si="238"/>
        <v>0</v>
      </c>
      <c r="H440" s="1784">
        <v>0</v>
      </c>
      <c r="I440" s="384"/>
      <c r="J440" s="4003" t="str">
        <f t="shared" si="241"/>
        <v>N</v>
      </c>
      <c r="K440" s="3114" t="s">
        <v>139</v>
      </c>
      <c r="L440" s="391"/>
      <c r="M440" s="391"/>
      <c r="N440" s="391"/>
      <c r="O440" s="313"/>
      <c r="P440" s="313"/>
      <c r="Q440" s="313"/>
      <c r="R440" s="313"/>
      <c r="S440" s="313"/>
    </row>
    <row r="441" spans="1:19" ht="16.899999999999999" hidden="1" customHeight="1" outlineLevel="1">
      <c r="A441" s="1782">
        <f>SUMIF(Data!$L$1140:$L$1146,input!$C441,Data!$O$1140:$O$1146)</f>
        <v>7</v>
      </c>
      <c r="B441" s="1277" t="s">
        <v>139</v>
      </c>
      <c r="C441" s="1589" t="str">
        <f>IFERROR(VLOOKUP(SUM(E1189:F1189),Data!$X$1140:$Y$1145,2,0),"KBA")</f>
        <v>KBA</v>
      </c>
      <c r="D441" s="3586" t="s">
        <v>1519</v>
      </c>
      <c r="E441" s="3586" t="s">
        <v>1140</v>
      </c>
      <c r="F441" s="3587" t="s">
        <v>106</v>
      </c>
      <c r="G441" s="1783">
        <f t="shared" ca="1" si="238"/>
        <v>0</v>
      </c>
      <c r="H441" s="1784">
        <v>0</v>
      </c>
      <c r="I441" s="384"/>
      <c r="J441" s="4003" t="str">
        <f t="shared" si="241"/>
        <v>N</v>
      </c>
      <c r="K441" s="3114" t="s">
        <v>139</v>
      </c>
      <c r="L441" s="391"/>
      <c r="M441" s="391"/>
      <c r="N441" s="391"/>
      <c r="O441" s="313"/>
      <c r="P441" s="313"/>
      <c r="Q441" s="313"/>
      <c r="R441" s="313"/>
      <c r="S441" s="313"/>
    </row>
    <row r="442" spans="1:19" ht="16.899999999999999" hidden="1" customHeight="1" outlineLevel="1">
      <c r="A442" s="313"/>
      <c r="B442" s="313"/>
      <c r="C442" s="313"/>
      <c r="D442" s="313"/>
      <c r="E442" s="313"/>
      <c r="F442" s="384"/>
      <c r="G442" s="363"/>
      <c r="H442" s="363"/>
      <c r="I442" s="313"/>
      <c r="J442" s="313"/>
      <c r="K442" s="391"/>
      <c r="L442" s="313"/>
      <c r="M442" s="313"/>
      <c r="N442" s="391"/>
      <c r="O442" s="313"/>
      <c r="P442" s="391"/>
      <c r="Q442" s="313"/>
      <c r="R442" s="313"/>
      <c r="S442" s="363"/>
    </row>
    <row r="443" spans="1:19" s="333" customFormat="1" ht="16.899999999999999" hidden="1" customHeight="1" outlineLevel="1">
      <c r="A443" s="384"/>
      <c r="B443" s="1751"/>
      <c r="C443" s="384">
        <f>178+16</f>
        <v>194</v>
      </c>
      <c r="F443" s="384" t="s">
        <v>746</v>
      </c>
      <c r="G443" s="384" t="s">
        <v>1518</v>
      </c>
      <c r="H443" s="384" t="s">
        <v>1409</v>
      </c>
      <c r="I443" s="384" t="s">
        <v>1587</v>
      </c>
      <c r="J443" s="384"/>
      <c r="K443" s="384"/>
      <c r="L443" s="384"/>
      <c r="M443" s="384"/>
      <c r="N443" s="1588"/>
      <c r="O443" s="384"/>
      <c r="P443" s="384"/>
      <c r="Q443" s="384"/>
      <c r="R443" s="384"/>
      <c r="S443" s="384"/>
    </row>
    <row r="444" spans="1:19" ht="16.899999999999999" hidden="1" customHeight="1" outlineLevel="1">
      <c r="A444" s="1269"/>
      <c r="B444" s="1752" t="s">
        <v>140</v>
      </c>
      <c r="C444" s="1718" t="s">
        <v>1474</v>
      </c>
      <c r="D444" s="1719">
        <v>0</v>
      </c>
      <c r="E444" s="1761" t="str">
        <f t="shared" ref="E444:E475" ca="1" si="244">OFFSET($A$25,D444,0)</f>
        <v>Box</v>
      </c>
      <c r="F444" s="1591" t="str">
        <f t="shared" ref="F444:F475" ca="1" si="245">IF(G444=0,"N",E444)</f>
        <v>N</v>
      </c>
      <c r="G444" s="1591">
        <f ca="1">INDEX('Summary Data'!$AS$6:$FZ$57,MATCH($E444,'Summary Data'!$C$6:$C$57,0),MATCH($C444,'Summary Data'!$AS$3:$FZ$3,0))</f>
        <v>0</v>
      </c>
      <c r="H444" s="1592" t="s">
        <v>5</v>
      </c>
      <c r="I444" s="1591">
        <f ca="1">INDEX('Summary Data'!$AS$6:$FZ$57,MATCH($E444,'Summary Data'!$C$6:$C$57,0),MATCH($C444,'Summary Data'!$AS$3:$FZ$3,0)+1)</f>
        <v>0</v>
      </c>
      <c r="J444" s="4002" t="str">
        <f ca="1">F444</f>
        <v>N</v>
      </c>
      <c r="K444" s="3114" t="s">
        <v>3174</v>
      </c>
      <c r="L444" s="313"/>
      <c r="M444" s="313"/>
      <c r="N444" s="391"/>
      <c r="O444" s="313"/>
      <c r="P444" s="313"/>
      <c r="Q444" s="313"/>
      <c r="R444" s="313"/>
      <c r="S444" s="363"/>
    </row>
    <row r="445" spans="1:19" ht="16.899999999999999" hidden="1" customHeight="1" outlineLevel="1">
      <c r="A445" s="313"/>
      <c r="B445" s="1752" t="s">
        <v>140</v>
      </c>
      <c r="C445" s="1718" t="s">
        <v>1474</v>
      </c>
      <c r="D445" s="1719">
        <f>D444+17</f>
        <v>17</v>
      </c>
      <c r="E445" s="1761" t="str">
        <f t="shared" ca="1" si="244"/>
        <v>N</v>
      </c>
      <c r="F445" s="1591" t="str">
        <f t="shared" ca="1" si="245"/>
        <v>N</v>
      </c>
      <c r="G445" s="1591">
        <f ca="1">INDEX('Summary Data'!$AS$6:$FZ$57,MATCH($E445,'Summary Data'!$C$6:$C$57,0),MATCH($C445,'Summary Data'!$AS$3:$FZ$3,0))</f>
        <v>0</v>
      </c>
      <c r="H445" s="1592" t="s">
        <v>5</v>
      </c>
      <c r="I445" s="1591">
        <f ca="1">INDEX('Summary Data'!$AS$6:$FZ$57,MATCH($E445,'Summary Data'!$C$6:$C$57,0),MATCH($C445,'Summary Data'!$AS$3:$FZ$3,0)+1)</f>
        <v>0</v>
      </c>
      <c r="J445" s="4002" t="str">
        <f t="shared" ref="J445:J508" ca="1" si="246">F445</f>
        <v>N</v>
      </c>
      <c r="K445" s="3114" t="s">
        <v>3174</v>
      </c>
      <c r="L445" s="313"/>
      <c r="M445" s="313"/>
      <c r="N445" s="391"/>
      <c r="O445" s="313"/>
      <c r="P445" s="313"/>
      <c r="Q445" s="313"/>
      <c r="R445" s="313"/>
      <c r="S445" s="363"/>
    </row>
    <row r="446" spans="1:19" ht="16.899999999999999" hidden="1" customHeight="1" outlineLevel="1">
      <c r="A446" s="313"/>
      <c r="B446" s="1752" t="s">
        <v>140</v>
      </c>
      <c r="C446" s="1718" t="s">
        <v>1474</v>
      </c>
      <c r="D446" s="1719">
        <f t="shared" ref="D446:D458" si="247">D445+17</f>
        <v>34</v>
      </c>
      <c r="E446" s="1761" t="str">
        <f t="shared" ca="1" si="244"/>
        <v>N</v>
      </c>
      <c r="F446" s="1591" t="str">
        <f t="shared" ca="1" si="245"/>
        <v>N</v>
      </c>
      <c r="G446" s="1591">
        <f ca="1">INDEX('Summary Data'!$AS$6:$FZ$57,MATCH($E446,'Summary Data'!$C$6:$C$57,0),MATCH($C446,'Summary Data'!$AS$3:$FZ$3,0))</f>
        <v>0</v>
      </c>
      <c r="H446" s="1592" t="s">
        <v>5</v>
      </c>
      <c r="I446" s="1591">
        <f ca="1">INDEX('Summary Data'!$AS$6:$FZ$57,MATCH($E446,'Summary Data'!$C$6:$C$57,0),MATCH($C446,'Summary Data'!$AS$3:$FZ$3,0)+1)</f>
        <v>0</v>
      </c>
      <c r="J446" s="4002" t="str">
        <f t="shared" ca="1" si="246"/>
        <v>N</v>
      </c>
      <c r="K446" s="3114" t="s">
        <v>3174</v>
      </c>
      <c r="L446" s="313"/>
      <c r="M446" s="313"/>
      <c r="N446" s="391"/>
      <c r="O446" s="313"/>
      <c r="P446" s="313"/>
      <c r="Q446" s="313"/>
      <c r="R446" s="313"/>
      <c r="S446" s="363"/>
    </row>
    <row r="447" spans="1:19" ht="16.899999999999999" hidden="1" customHeight="1" outlineLevel="1">
      <c r="A447" s="313"/>
      <c r="B447" s="1752" t="s">
        <v>140</v>
      </c>
      <c r="C447" s="1718" t="s">
        <v>1474</v>
      </c>
      <c r="D447" s="1719">
        <f t="shared" si="247"/>
        <v>51</v>
      </c>
      <c r="E447" s="1761" t="str">
        <f t="shared" ca="1" si="244"/>
        <v>N</v>
      </c>
      <c r="F447" s="1591" t="str">
        <f t="shared" ca="1" si="245"/>
        <v>N</v>
      </c>
      <c r="G447" s="1591">
        <f ca="1">INDEX('Summary Data'!$AS$6:$FZ$57,MATCH($E447,'Summary Data'!$C$6:$C$57,0),MATCH($C447,'Summary Data'!$AS$3:$FZ$3,0))</f>
        <v>0</v>
      </c>
      <c r="H447" s="1592" t="s">
        <v>5</v>
      </c>
      <c r="I447" s="1591">
        <f ca="1">INDEX('Summary Data'!$AS$6:$FZ$57,MATCH($E447,'Summary Data'!$C$6:$C$57,0),MATCH($C447,'Summary Data'!$AS$3:$FZ$3,0)+1)</f>
        <v>0</v>
      </c>
      <c r="J447" s="4002" t="str">
        <f t="shared" ca="1" si="246"/>
        <v>N</v>
      </c>
      <c r="K447" s="3114" t="s">
        <v>3174</v>
      </c>
      <c r="L447" s="313"/>
      <c r="M447" s="313"/>
      <c r="N447" s="391"/>
      <c r="O447" s="313"/>
      <c r="P447" s="313"/>
      <c r="Q447" s="313"/>
      <c r="R447" s="313"/>
      <c r="S447" s="363"/>
    </row>
    <row r="448" spans="1:19" ht="16.899999999999999" hidden="1" customHeight="1" outlineLevel="1">
      <c r="A448" s="313"/>
      <c r="B448" s="1752" t="s">
        <v>140</v>
      </c>
      <c r="C448" s="1718" t="s">
        <v>1474</v>
      </c>
      <c r="D448" s="1719">
        <f t="shared" si="247"/>
        <v>68</v>
      </c>
      <c r="E448" s="1761" t="str">
        <f t="shared" ca="1" si="244"/>
        <v>N</v>
      </c>
      <c r="F448" s="1591" t="str">
        <f t="shared" ca="1" si="245"/>
        <v>N</v>
      </c>
      <c r="G448" s="1591">
        <f ca="1">INDEX('Summary Data'!$AS$6:$FZ$57,MATCH($E448,'Summary Data'!$C$6:$C$57,0),MATCH($C448,'Summary Data'!$AS$3:$FZ$3,0))</f>
        <v>0</v>
      </c>
      <c r="H448" s="1592" t="s">
        <v>5</v>
      </c>
      <c r="I448" s="1591">
        <f ca="1">INDEX('Summary Data'!$AS$6:$FZ$57,MATCH($E448,'Summary Data'!$C$6:$C$57,0),MATCH($C448,'Summary Data'!$AS$3:$FZ$3,0)+1)</f>
        <v>0</v>
      </c>
      <c r="J448" s="4002" t="str">
        <f t="shared" ca="1" si="246"/>
        <v>N</v>
      </c>
      <c r="K448" s="3114" t="s">
        <v>3174</v>
      </c>
      <c r="L448" s="313"/>
      <c r="M448" s="313"/>
      <c r="N448" s="391"/>
      <c r="O448" s="313"/>
      <c r="P448" s="313"/>
      <c r="Q448" s="313"/>
      <c r="R448" s="313"/>
      <c r="S448" s="363"/>
    </row>
    <row r="449" spans="1:19" ht="16.899999999999999" hidden="1" customHeight="1" outlineLevel="1">
      <c r="A449" s="313"/>
      <c r="B449" s="1752" t="s">
        <v>140</v>
      </c>
      <c r="C449" s="1718" t="s">
        <v>1474</v>
      </c>
      <c r="D449" s="1719">
        <f t="shared" si="247"/>
        <v>85</v>
      </c>
      <c r="E449" s="1761" t="str">
        <f t="shared" ca="1" si="244"/>
        <v>N</v>
      </c>
      <c r="F449" s="1591" t="str">
        <f t="shared" ca="1" si="245"/>
        <v>N</v>
      </c>
      <c r="G449" s="1591">
        <f ca="1">INDEX('Summary Data'!$AS$6:$FZ$57,MATCH($E449,'Summary Data'!$C$6:$C$57,0),MATCH($C449,'Summary Data'!$AS$3:$FZ$3,0))</f>
        <v>0</v>
      </c>
      <c r="H449" s="1592" t="s">
        <v>5</v>
      </c>
      <c r="I449" s="1591">
        <f ca="1">INDEX('Summary Data'!$AS$6:$FZ$57,MATCH($E449,'Summary Data'!$C$6:$C$57,0),MATCH($C449,'Summary Data'!$AS$3:$FZ$3,0)+1)</f>
        <v>0</v>
      </c>
      <c r="J449" s="4002" t="str">
        <f t="shared" ca="1" si="246"/>
        <v>N</v>
      </c>
      <c r="K449" s="3114" t="s">
        <v>3174</v>
      </c>
      <c r="L449" s="313"/>
      <c r="M449" s="313"/>
      <c r="N449" s="391"/>
      <c r="O449" s="313"/>
      <c r="P449" s="313"/>
      <c r="Q449" s="313"/>
      <c r="R449" s="313"/>
      <c r="S449" s="363"/>
    </row>
    <row r="450" spans="1:19" ht="16.899999999999999" hidden="1" customHeight="1" outlineLevel="1">
      <c r="A450" s="313"/>
      <c r="B450" s="1752" t="s">
        <v>140</v>
      </c>
      <c r="C450" s="1718" t="s">
        <v>1474</v>
      </c>
      <c r="D450" s="1719">
        <f t="shared" si="247"/>
        <v>102</v>
      </c>
      <c r="E450" s="1761" t="str">
        <f t="shared" ca="1" si="244"/>
        <v>N</v>
      </c>
      <c r="F450" s="1591" t="str">
        <f t="shared" ca="1" si="245"/>
        <v>N</v>
      </c>
      <c r="G450" s="1591">
        <f ca="1">INDEX('Summary Data'!$AS$6:$FZ$57,MATCH($E450,'Summary Data'!$C$6:$C$57,0),MATCH($C450,'Summary Data'!$AS$3:$FZ$3,0))</f>
        <v>0</v>
      </c>
      <c r="H450" s="1592" t="s">
        <v>5</v>
      </c>
      <c r="I450" s="1591">
        <f ca="1">INDEX('Summary Data'!$AS$6:$FZ$57,MATCH($E450,'Summary Data'!$C$6:$C$57,0),MATCH($C450,'Summary Data'!$AS$3:$FZ$3,0)+1)</f>
        <v>0</v>
      </c>
      <c r="J450" s="4002" t="str">
        <f t="shared" ca="1" si="246"/>
        <v>N</v>
      </c>
      <c r="K450" s="3114" t="s">
        <v>3174</v>
      </c>
      <c r="L450" s="313"/>
      <c r="M450" s="313"/>
      <c r="N450" s="391"/>
      <c r="O450" s="313"/>
      <c r="P450" s="313"/>
      <c r="Q450" s="313"/>
      <c r="R450" s="313"/>
      <c r="S450" s="363"/>
    </row>
    <row r="451" spans="1:19" ht="16.899999999999999" hidden="1" customHeight="1" outlineLevel="1">
      <c r="A451" s="313"/>
      <c r="B451" s="1752" t="s">
        <v>140</v>
      </c>
      <c r="C451" s="1718" t="s">
        <v>1474</v>
      </c>
      <c r="D451" s="1719">
        <f t="shared" si="247"/>
        <v>119</v>
      </c>
      <c r="E451" s="1761" t="str">
        <f t="shared" ca="1" si="244"/>
        <v>N</v>
      </c>
      <c r="F451" s="1591" t="str">
        <f t="shared" ca="1" si="245"/>
        <v>N</v>
      </c>
      <c r="G451" s="1591">
        <f ca="1">INDEX('Summary Data'!$AS$6:$FZ$57,MATCH($E451,'Summary Data'!$C$6:$C$57,0),MATCH($C451,'Summary Data'!$AS$3:$FZ$3,0))</f>
        <v>0</v>
      </c>
      <c r="H451" s="1592" t="s">
        <v>5</v>
      </c>
      <c r="I451" s="1591">
        <f ca="1">INDEX('Summary Data'!$AS$6:$FZ$57,MATCH($E451,'Summary Data'!$C$6:$C$57,0),MATCH($C451,'Summary Data'!$AS$3:$FZ$3,0)+1)</f>
        <v>0</v>
      </c>
      <c r="J451" s="4002" t="str">
        <f t="shared" ca="1" si="246"/>
        <v>N</v>
      </c>
      <c r="K451" s="3114" t="s">
        <v>3174</v>
      </c>
      <c r="L451" s="313"/>
      <c r="M451" s="313"/>
      <c r="N451" s="391"/>
      <c r="O451" s="313"/>
      <c r="P451" s="313"/>
      <c r="Q451" s="313"/>
      <c r="R451" s="313"/>
      <c r="S451" s="363"/>
    </row>
    <row r="452" spans="1:19" ht="16.899999999999999" hidden="1" customHeight="1" outlineLevel="1">
      <c r="A452" s="313"/>
      <c r="B452" s="1752" t="s">
        <v>140</v>
      </c>
      <c r="C452" s="1718" t="s">
        <v>1474</v>
      </c>
      <c r="D452" s="1719">
        <f t="shared" si="247"/>
        <v>136</v>
      </c>
      <c r="E452" s="1761" t="str">
        <f t="shared" ca="1" si="244"/>
        <v>N</v>
      </c>
      <c r="F452" s="1591" t="str">
        <f t="shared" ca="1" si="245"/>
        <v>N</v>
      </c>
      <c r="G452" s="1591">
        <f ca="1">INDEX('Summary Data'!$AS$6:$FZ$57,MATCH($E452,'Summary Data'!$C$6:$C$57,0),MATCH($C452,'Summary Data'!$AS$3:$FZ$3,0))</f>
        <v>0</v>
      </c>
      <c r="H452" s="1592" t="s">
        <v>5</v>
      </c>
      <c r="I452" s="1591">
        <f ca="1">INDEX('Summary Data'!$AS$6:$FZ$57,MATCH($E452,'Summary Data'!$C$6:$C$57,0),MATCH($C452,'Summary Data'!$AS$3:$FZ$3,0)+1)</f>
        <v>0</v>
      </c>
      <c r="J452" s="4002" t="str">
        <f t="shared" ca="1" si="246"/>
        <v>N</v>
      </c>
      <c r="K452" s="3114" t="s">
        <v>3174</v>
      </c>
      <c r="L452" s="313"/>
      <c r="M452" s="313"/>
      <c r="N452" s="391"/>
      <c r="O452" s="313"/>
      <c r="P452" s="313"/>
      <c r="Q452" s="313"/>
      <c r="R452" s="313"/>
      <c r="S452" s="363"/>
    </row>
    <row r="453" spans="1:19" ht="16.899999999999999" hidden="1" customHeight="1" outlineLevel="1">
      <c r="A453" s="313"/>
      <c r="B453" s="1752" t="s">
        <v>140</v>
      </c>
      <c r="C453" s="1718" t="s">
        <v>1474</v>
      </c>
      <c r="D453" s="1719">
        <f t="shared" si="247"/>
        <v>153</v>
      </c>
      <c r="E453" s="1761" t="str">
        <f t="shared" ca="1" si="244"/>
        <v>N</v>
      </c>
      <c r="F453" s="1591" t="str">
        <f t="shared" ca="1" si="245"/>
        <v>N</v>
      </c>
      <c r="G453" s="1591">
        <f ca="1">INDEX('Summary Data'!$AS$6:$FZ$57,MATCH($E453,'Summary Data'!$C$6:$C$57,0),MATCH($C453,'Summary Data'!$AS$3:$FZ$3,0))</f>
        <v>0</v>
      </c>
      <c r="H453" s="1592" t="s">
        <v>5</v>
      </c>
      <c r="I453" s="1591">
        <f ca="1">INDEX('Summary Data'!$AS$6:$FZ$57,MATCH($E453,'Summary Data'!$C$6:$C$57,0),MATCH($C453,'Summary Data'!$AS$3:$FZ$3,0)+1)</f>
        <v>0</v>
      </c>
      <c r="J453" s="4002" t="str">
        <f t="shared" ca="1" si="246"/>
        <v>N</v>
      </c>
      <c r="K453" s="3114" t="s">
        <v>3174</v>
      </c>
      <c r="L453" s="313"/>
      <c r="M453" s="313"/>
      <c r="N453" s="391"/>
      <c r="O453" s="313"/>
      <c r="P453" s="313"/>
      <c r="Q453" s="313"/>
      <c r="R453" s="313"/>
      <c r="S453" s="363"/>
    </row>
    <row r="454" spans="1:19" ht="16.899999999999999" hidden="1" customHeight="1" outlineLevel="1">
      <c r="A454" s="313"/>
      <c r="B454" s="1752" t="s">
        <v>140</v>
      </c>
      <c r="C454" s="1718" t="s">
        <v>1474</v>
      </c>
      <c r="D454" s="1719">
        <f t="shared" si="247"/>
        <v>170</v>
      </c>
      <c r="E454" s="1761" t="str">
        <f t="shared" ca="1" si="244"/>
        <v>N</v>
      </c>
      <c r="F454" s="1591" t="str">
        <f t="shared" ca="1" si="245"/>
        <v>N</v>
      </c>
      <c r="G454" s="1591">
        <f ca="1">INDEX('Summary Data'!$AS$6:$FZ$57,MATCH($E454,'Summary Data'!$C$6:$C$57,0),MATCH($C454,'Summary Data'!$AS$3:$FZ$3,0))</f>
        <v>0</v>
      </c>
      <c r="H454" s="1592" t="s">
        <v>5</v>
      </c>
      <c r="I454" s="1591">
        <f ca="1">INDEX('Summary Data'!$AS$6:$FZ$57,MATCH($E454,'Summary Data'!$C$6:$C$57,0),MATCH($C454,'Summary Data'!$AS$3:$FZ$3,0)+1)</f>
        <v>0</v>
      </c>
      <c r="J454" s="4002" t="str">
        <f t="shared" ca="1" si="246"/>
        <v>N</v>
      </c>
      <c r="K454" s="3114" t="s">
        <v>3174</v>
      </c>
      <c r="L454" s="313"/>
      <c r="M454" s="313"/>
      <c r="N454" s="391"/>
      <c r="O454" s="313"/>
      <c r="P454" s="313"/>
      <c r="Q454" s="313"/>
      <c r="R454" s="313"/>
      <c r="S454" s="363"/>
    </row>
    <row r="455" spans="1:19" ht="16.899999999999999" hidden="1" customHeight="1" outlineLevel="1">
      <c r="A455" s="313"/>
      <c r="B455" s="1752" t="s">
        <v>140</v>
      </c>
      <c r="C455" s="1718" t="s">
        <v>1474</v>
      </c>
      <c r="D455" s="1719">
        <f t="shared" si="247"/>
        <v>187</v>
      </c>
      <c r="E455" s="1761" t="str">
        <f t="shared" ca="1" si="244"/>
        <v>N</v>
      </c>
      <c r="F455" s="1591" t="str">
        <f t="shared" ca="1" si="245"/>
        <v>N</v>
      </c>
      <c r="G455" s="1591">
        <f ca="1">INDEX('Summary Data'!$AS$6:$FZ$57,MATCH($E455,'Summary Data'!$C$6:$C$57,0),MATCH($C455,'Summary Data'!$AS$3:$FZ$3,0))</f>
        <v>0</v>
      </c>
      <c r="H455" s="1592" t="s">
        <v>5</v>
      </c>
      <c r="I455" s="1591">
        <f ca="1">INDEX('Summary Data'!$AS$6:$FZ$57,MATCH($E455,'Summary Data'!$C$6:$C$57,0),MATCH($C455,'Summary Data'!$AS$3:$FZ$3,0)+1)</f>
        <v>0</v>
      </c>
      <c r="J455" s="4002" t="str">
        <f t="shared" ca="1" si="246"/>
        <v>N</v>
      </c>
      <c r="K455" s="3114" t="s">
        <v>3174</v>
      </c>
      <c r="L455" s="313"/>
      <c r="M455" s="313"/>
      <c r="N455" s="391"/>
      <c r="O455" s="313"/>
      <c r="P455" s="313"/>
      <c r="Q455" s="313"/>
      <c r="R455" s="313"/>
      <c r="S455" s="363"/>
    </row>
    <row r="456" spans="1:19" ht="16.899999999999999" hidden="1" customHeight="1" outlineLevel="1">
      <c r="A456" s="313"/>
      <c r="B456" s="1752" t="s">
        <v>140</v>
      </c>
      <c r="C456" s="1718" t="s">
        <v>1474</v>
      </c>
      <c r="D456" s="1719">
        <f t="shared" si="247"/>
        <v>204</v>
      </c>
      <c r="E456" s="1761" t="str">
        <f t="shared" ca="1" si="244"/>
        <v>N</v>
      </c>
      <c r="F456" s="1591" t="str">
        <f t="shared" ca="1" si="245"/>
        <v>N</v>
      </c>
      <c r="G456" s="1591">
        <f ca="1">INDEX('Summary Data'!$AS$6:$FZ$57,MATCH($E456,'Summary Data'!$C$6:$C$57,0),MATCH($C456,'Summary Data'!$AS$3:$FZ$3,0))</f>
        <v>0</v>
      </c>
      <c r="H456" s="1592" t="s">
        <v>5</v>
      </c>
      <c r="I456" s="1591">
        <f ca="1">INDEX('Summary Data'!$AS$6:$FZ$57,MATCH($E456,'Summary Data'!$C$6:$C$57,0),MATCH($C456,'Summary Data'!$AS$3:$FZ$3,0)+1)</f>
        <v>0</v>
      </c>
      <c r="J456" s="4002" t="str">
        <f t="shared" ca="1" si="246"/>
        <v>N</v>
      </c>
      <c r="K456" s="3114" t="s">
        <v>3174</v>
      </c>
      <c r="L456" s="313"/>
      <c r="M456" s="313"/>
      <c r="N456" s="391"/>
      <c r="O456" s="313"/>
      <c r="P456" s="313"/>
      <c r="Q456" s="313"/>
      <c r="R456" s="313"/>
      <c r="S456" s="363"/>
    </row>
    <row r="457" spans="1:19" ht="16.899999999999999" hidden="1" customHeight="1" outlineLevel="1">
      <c r="A457" s="313"/>
      <c r="B457" s="1752" t="s">
        <v>140</v>
      </c>
      <c r="C457" s="1718" t="s">
        <v>1474</v>
      </c>
      <c r="D457" s="1719">
        <f t="shared" si="247"/>
        <v>221</v>
      </c>
      <c r="E457" s="1761" t="str">
        <f t="shared" ca="1" si="244"/>
        <v>1st</v>
      </c>
      <c r="F457" s="1591" t="str">
        <f t="shared" ca="1" si="245"/>
        <v>N</v>
      </c>
      <c r="G457" s="1591">
        <f ca="1">INDEX('Summary Data'!$AS$6:$FZ$57,MATCH($E457,'Summary Data'!$C$6:$C$57,0),MATCH($C457,'Summary Data'!$AS$3:$FZ$3,0))</f>
        <v>0</v>
      </c>
      <c r="H457" s="1592" t="s">
        <v>5</v>
      </c>
      <c r="I457" s="1591">
        <f ca="1">INDEX('Summary Data'!$AS$6:$FZ$57,MATCH($E457,'Summary Data'!$C$6:$C$57,0),MATCH($C457,'Summary Data'!$AS$3:$FZ$3,0)+1)</f>
        <v>0</v>
      </c>
      <c r="J457" s="4002" t="str">
        <f t="shared" ca="1" si="246"/>
        <v>N</v>
      </c>
      <c r="K457" s="3114" t="s">
        <v>3174</v>
      </c>
      <c r="L457" s="313"/>
      <c r="M457" s="313"/>
      <c r="N457" s="391"/>
      <c r="O457" s="313"/>
      <c r="P457" s="313"/>
      <c r="Q457" s="313"/>
      <c r="R457" s="313"/>
      <c r="S457" s="363"/>
    </row>
    <row r="458" spans="1:19" ht="16.899999999999999" hidden="1" customHeight="1" outlineLevel="1">
      <c r="A458" s="313"/>
      <c r="B458" s="1752" t="s">
        <v>140</v>
      </c>
      <c r="C458" s="1718" t="s">
        <v>1474</v>
      </c>
      <c r="D458" s="1719">
        <f t="shared" si="247"/>
        <v>238</v>
      </c>
      <c r="E458" s="1761" t="str">
        <f t="shared" ca="1" si="244"/>
        <v>1st</v>
      </c>
      <c r="F458" s="1591" t="str">
        <f t="shared" ca="1" si="245"/>
        <v>N</v>
      </c>
      <c r="G458" s="1591">
        <f ca="1">INDEX('Summary Data'!$AS$6:$FZ$57,MATCH($E458,'Summary Data'!$C$6:$C$57,0),MATCH($C458,'Summary Data'!$AS$3:$FZ$3,0))</f>
        <v>0</v>
      </c>
      <c r="H458" s="1592" t="s">
        <v>5</v>
      </c>
      <c r="I458" s="1591">
        <f ca="1">INDEX('Summary Data'!$AS$6:$FZ$57,MATCH($E458,'Summary Data'!$C$6:$C$57,0),MATCH($C458,'Summary Data'!$AS$3:$FZ$3,0)+1)</f>
        <v>0</v>
      </c>
      <c r="J458" s="4002" t="str">
        <f t="shared" ca="1" si="246"/>
        <v>N</v>
      </c>
      <c r="K458" s="3114" t="s">
        <v>3174</v>
      </c>
      <c r="L458" s="313"/>
      <c r="M458" s="313"/>
      <c r="N458" s="391"/>
      <c r="O458" s="313"/>
      <c r="P458" s="313"/>
      <c r="Q458" s="313"/>
      <c r="R458" s="313"/>
      <c r="S458" s="363"/>
    </row>
    <row r="459" spans="1:19" ht="16.899999999999999" hidden="1" customHeight="1" outlineLevel="1">
      <c r="A459" s="313"/>
      <c r="B459" s="1752" t="s">
        <v>140</v>
      </c>
      <c r="C459" s="1718" t="s">
        <v>172</v>
      </c>
      <c r="D459" s="1719">
        <v>0</v>
      </c>
      <c r="E459" s="1761" t="str">
        <f t="shared" ca="1" si="244"/>
        <v>Box</v>
      </c>
      <c r="F459" s="1591" t="str">
        <f t="shared" ca="1" si="245"/>
        <v>N</v>
      </c>
      <c r="G459" s="1591">
        <f ca="1">INDEX('Summary Data'!$AS$6:$FZ$57,MATCH($E459,'Summary Data'!$C$6:$C$57,0),MATCH($C459,'Summary Data'!$AS$3:$FZ$3,0))</f>
        <v>0</v>
      </c>
      <c r="H459" s="1592" t="s">
        <v>5</v>
      </c>
      <c r="I459" s="1591">
        <f ca="1">INDEX('Summary Data'!$AS$6:$FZ$57,MATCH($E459,'Summary Data'!$C$6:$C$57,0),MATCH($C459,'Summary Data'!$AS$3:$FZ$3,0)+1)</f>
        <v>0</v>
      </c>
      <c r="J459" s="4002" t="str">
        <f t="shared" ca="1" si="246"/>
        <v>N</v>
      </c>
      <c r="K459" s="3114" t="s">
        <v>3174</v>
      </c>
      <c r="L459" s="313"/>
      <c r="M459" s="313"/>
      <c r="N459" s="391"/>
      <c r="O459" s="313"/>
      <c r="P459" s="313"/>
      <c r="Q459" s="313"/>
      <c r="R459" s="313"/>
      <c r="S459" s="363"/>
    </row>
    <row r="460" spans="1:19" ht="16.899999999999999" hidden="1" customHeight="1" outlineLevel="1">
      <c r="A460" s="313"/>
      <c r="B460" s="1752" t="s">
        <v>140</v>
      </c>
      <c r="C460" s="1718" t="s">
        <v>172</v>
      </c>
      <c r="D460" s="1719">
        <f>D459+17</f>
        <v>17</v>
      </c>
      <c r="E460" s="1761" t="str">
        <f t="shared" ca="1" si="244"/>
        <v>N</v>
      </c>
      <c r="F460" s="1591" t="str">
        <f t="shared" ca="1" si="245"/>
        <v>N</v>
      </c>
      <c r="G460" s="1591">
        <f ca="1">INDEX('Summary Data'!$AS$6:$FZ$57,MATCH($E460,'Summary Data'!$C$6:$C$57,0),MATCH($C460,'Summary Data'!$AS$3:$FZ$3,0))</f>
        <v>0</v>
      </c>
      <c r="H460" s="1592" t="s">
        <v>5</v>
      </c>
      <c r="I460" s="1591">
        <f ca="1">INDEX('Summary Data'!$AS$6:$FZ$57,MATCH($E460,'Summary Data'!$C$6:$C$57,0),MATCH($C460,'Summary Data'!$AS$3:$FZ$3,0)+1)</f>
        <v>0</v>
      </c>
      <c r="J460" s="4002" t="str">
        <f t="shared" ca="1" si="246"/>
        <v>N</v>
      </c>
      <c r="K460" s="3114" t="s">
        <v>3174</v>
      </c>
      <c r="L460" s="313"/>
      <c r="M460" s="313"/>
      <c r="N460" s="391"/>
      <c r="O460" s="313"/>
      <c r="P460" s="313"/>
      <c r="Q460" s="313"/>
      <c r="R460" s="313"/>
      <c r="S460" s="363"/>
    </row>
    <row r="461" spans="1:19" ht="16.899999999999999" hidden="1" customHeight="1" outlineLevel="1">
      <c r="A461" s="313"/>
      <c r="B461" s="1752" t="s">
        <v>140</v>
      </c>
      <c r="C461" s="1718" t="s">
        <v>172</v>
      </c>
      <c r="D461" s="1719">
        <f t="shared" ref="D461:D473" si="248">D460+17</f>
        <v>34</v>
      </c>
      <c r="E461" s="1761" t="str">
        <f t="shared" ca="1" si="244"/>
        <v>N</v>
      </c>
      <c r="F461" s="1591" t="str">
        <f t="shared" ca="1" si="245"/>
        <v>N</v>
      </c>
      <c r="G461" s="1591">
        <f ca="1">INDEX('Summary Data'!$AS$6:$FZ$57,MATCH($E461,'Summary Data'!$C$6:$C$57,0),MATCH($C461,'Summary Data'!$AS$3:$FZ$3,0))</f>
        <v>0</v>
      </c>
      <c r="H461" s="1592" t="s">
        <v>5</v>
      </c>
      <c r="I461" s="1591">
        <f ca="1">INDEX('Summary Data'!$AS$6:$FZ$57,MATCH($E461,'Summary Data'!$C$6:$C$57,0),MATCH($C461,'Summary Data'!$AS$3:$FZ$3,0)+1)</f>
        <v>0</v>
      </c>
      <c r="J461" s="4002" t="str">
        <f t="shared" ca="1" si="246"/>
        <v>N</v>
      </c>
      <c r="K461" s="3114" t="s">
        <v>3174</v>
      </c>
      <c r="L461" s="313"/>
      <c r="M461" s="313"/>
      <c r="N461" s="391"/>
      <c r="O461" s="313"/>
      <c r="P461" s="313"/>
      <c r="Q461" s="313"/>
      <c r="R461" s="313"/>
      <c r="S461" s="363"/>
    </row>
    <row r="462" spans="1:19" ht="16.899999999999999" hidden="1" customHeight="1" outlineLevel="1">
      <c r="A462" s="313"/>
      <c r="B462" s="1752" t="s">
        <v>140</v>
      </c>
      <c r="C462" s="1718" t="s">
        <v>172</v>
      </c>
      <c r="D462" s="1719">
        <f t="shared" si="248"/>
        <v>51</v>
      </c>
      <c r="E462" s="1761" t="str">
        <f t="shared" ca="1" si="244"/>
        <v>N</v>
      </c>
      <c r="F462" s="1591" t="str">
        <f t="shared" ca="1" si="245"/>
        <v>N</v>
      </c>
      <c r="G462" s="1591">
        <f ca="1">INDEX('Summary Data'!$AS$6:$FZ$57,MATCH($E462,'Summary Data'!$C$6:$C$57,0),MATCH($C462,'Summary Data'!$AS$3:$FZ$3,0))</f>
        <v>0</v>
      </c>
      <c r="H462" s="1592" t="s">
        <v>5</v>
      </c>
      <c r="I462" s="1591">
        <f ca="1">INDEX('Summary Data'!$AS$6:$FZ$57,MATCH($E462,'Summary Data'!$C$6:$C$57,0),MATCH($C462,'Summary Data'!$AS$3:$FZ$3,0)+1)</f>
        <v>0</v>
      </c>
      <c r="J462" s="4002" t="str">
        <f t="shared" ca="1" si="246"/>
        <v>N</v>
      </c>
      <c r="K462" s="3114" t="s">
        <v>3174</v>
      </c>
      <c r="L462" s="313"/>
      <c r="M462" s="313"/>
      <c r="N462" s="391"/>
      <c r="O462" s="313"/>
      <c r="P462" s="313"/>
      <c r="Q462" s="313"/>
      <c r="R462" s="313"/>
      <c r="S462" s="363"/>
    </row>
    <row r="463" spans="1:19" ht="16.899999999999999" hidden="1" customHeight="1" outlineLevel="1">
      <c r="A463" s="313"/>
      <c r="B463" s="1752" t="s">
        <v>140</v>
      </c>
      <c r="C463" s="1718" t="s">
        <v>172</v>
      </c>
      <c r="D463" s="1719">
        <f t="shared" si="248"/>
        <v>68</v>
      </c>
      <c r="E463" s="1761" t="str">
        <f t="shared" ca="1" si="244"/>
        <v>N</v>
      </c>
      <c r="F463" s="1591" t="str">
        <f t="shared" ca="1" si="245"/>
        <v>N</v>
      </c>
      <c r="G463" s="1591">
        <f ca="1">INDEX('Summary Data'!$AS$6:$FZ$57,MATCH($E463,'Summary Data'!$C$6:$C$57,0),MATCH($C463,'Summary Data'!$AS$3:$FZ$3,0))</f>
        <v>0</v>
      </c>
      <c r="H463" s="1592" t="s">
        <v>5</v>
      </c>
      <c r="I463" s="1591">
        <f ca="1">INDEX('Summary Data'!$AS$6:$FZ$57,MATCH($E463,'Summary Data'!$C$6:$C$57,0),MATCH($C463,'Summary Data'!$AS$3:$FZ$3,0)+1)</f>
        <v>0</v>
      </c>
      <c r="J463" s="4002" t="str">
        <f t="shared" ca="1" si="246"/>
        <v>N</v>
      </c>
      <c r="K463" s="3114" t="s">
        <v>3174</v>
      </c>
      <c r="L463" s="313"/>
      <c r="M463" s="313"/>
      <c r="N463" s="391"/>
      <c r="O463" s="313"/>
      <c r="P463" s="313"/>
      <c r="Q463" s="313"/>
      <c r="R463" s="313"/>
      <c r="S463" s="363"/>
    </row>
    <row r="464" spans="1:19" ht="16.899999999999999" hidden="1" customHeight="1" outlineLevel="1">
      <c r="A464" s="313"/>
      <c r="B464" s="1752" t="s">
        <v>140</v>
      </c>
      <c r="C464" s="1718" t="s">
        <v>172</v>
      </c>
      <c r="D464" s="1719">
        <f t="shared" si="248"/>
        <v>85</v>
      </c>
      <c r="E464" s="1761" t="str">
        <f t="shared" ca="1" si="244"/>
        <v>N</v>
      </c>
      <c r="F464" s="1591" t="str">
        <f t="shared" ca="1" si="245"/>
        <v>N</v>
      </c>
      <c r="G464" s="1591">
        <f ca="1">INDEX('Summary Data'!$AS$6:$FZ$57,MATCH($E464,'Summary Data'!$C$6:$C$57,0),MATCH($C464,'Summary Data'!$AS$3:$FZ$3,0))</f>
        <v>0</v>
      </c>
      <c r="H464" s="1592" t="s">
        <v>5</v>
      </c>
      <c r="I464" s="1591">
        <f ca="1">INDEX('Summary Data'!$AS$6:$FZ$57,MATCH($E464,'Summary Data'!$C$6:$C$57,0),MATCH($C464,'Summary Data'!$AS$3:$FZ$3,0)+1)</f>
        <v>0</v>
      </c>
      <c r="J464" s="4002" t="str">
        <f t="shared" ca="1" si="246"/>
        <v>N</v>
      </c>
      <c r="K464" s="3114" t="s">
        <v>3174</v>
      </c>
      <c r="L464" s="313"/>
      <c r="M464" s="313"/>
      <c r="N464" s="391"/>
      <c r="O464" s="313"/>
      <c r="P464" s="313"/>
      <c r="Q464" s="313"/>
      <c r="R464" s="313"/>
      <c r="S464" s="363"/>
    </row>
    <row r="465" spans="1:19" ht="16.899999999999999" hidden="1" customHeight="1" outlineLevel="1">
      <c r="A465" s="313"/>
      <c r="B465" s="1752" t="s">
        <v>140</v>
      </c>
      <c r="C465" s="1718" t="s">
        <v>172</v>
      </c>
      <c r="D465" s="1719">
        <f t="shared" si="248"/>
        <v>102</v>
      </c>
      <c r="E465" s="1761" t="str">
        <f t="shared" ca="1" si="244"/>
        <v>N</v>
      </c>
      <c r="F465" s="1591" t="str">
        <f t="shared" ca="1" si="245"/>
        <v>N</v>
      </c>
      <c r="G465" s="1591">
        <f ca="1">INDEX('Summary Data'!$AS$6:$FZ$57,MATCH($E465,'Summary Data'!$C$6:$C$57,0),MATCH($C465,'Summary Data'!$AS$3:$FZ$3,0))</f>
        <v>0</v>
      </c>
      <c r="H465" s="1592" t="s">
        <v>5</v>
      </c>
      <c r="I465" s="1591">
        <f ca="1">INDEX('Summary Data'!$AS$6:$FZ$57,MATCH($E465,'Summary Data'!$C$6:$C$57,0),MATCH($C465,'Summary Data'!$AS$3:$FZ$3,0)+1)</f>
        <v>0</v>
      </c>
      <c r="J465" s="4002" t="str">
        <f t="shared" ca="1" si="246"/>
        <v>N</v>
      </c>
      <c r="K465" s="3114" t="s">
        <v>3174</v>
      </c>
      <c r="L465" s="313"/>
      <c r="M465" s="313"/>
      <c r="N465" s="391"/>
      <c r="O465" s="313"/>
      <c r="P465" s="313"/>
      <c r="Q465" s="313"/>
      <c r="R465" s="313"/>
      <c r="S465" s="363"/>
    </row>
    <row r="466" spans="1:19" ht="16.899999999999999" hidden="1" customHeight="1" outlineLevel="1">
      <c r="A466" s="313"/>
      <c r="B466" s="1752" t="s">
        <v>140</v>
      </c>
      <c r="C466" s="1718" t="s">
        <v>172</v>
      </c>
      <c r="D466" s="1719">
        <f t="shared" si="248"/>
        <v>119</v>
      </c>
      <c r="E466" s="1761" t="str">
        <f t="shared" ca="1" si="244"/>
        <v>N</v>
      </c>
      <c r="F466" s="1591" t="str">
        <f t="shared" ca="1" si="245"/>
        <v>N</v>
      </c>
      <c r="G466" s="1591">
        <f ca="1">INDEX('Summary Data'!$AS$6:$FZ$57,MATCH($E466,'Summary Data'!$C$6:$C$57,0),MATCH($C466,'Summary Data'!$AS$3:$FZ$3,0))</f>
        <v>0</v>
      </c>
      <c r="H466" s="1592" t="s">
        <v>5</v>
      </c>
      <c r="I466" s="1591">
        <f ca="1">INDEX('Summary Data'!$AS$6:$FZ$57,MATCH($E466,'Summary Data'!$C$6:$C$57,0),MATCH($C466,'Summary Data'!$AS$3:$FZ$3,0)+1)</f>
        <v>0</v>
      </c>
      <c r="J466" s="4002" t="str">
        <f t="shared" ca="1" si="246"/>
        <v>N</v>
      </c>
      <c r="K466" s="3114" t="s">
        <v>3174</v>
      </c>
      <c r="L466" s="313"/>
      <c r="M466" s="313"/>
      <c r="N466" s="391"/>
      <c r="O466" s="313"/>
      <c r="P466" s="313"/>
      <c r="Q466" s="313"/>
      <c r="R466" s="313"/>
      <c r="S466" s="363"/>
    </row>
    <row r="467" spans="1:19" ht="16.899999999999999" hidden="1" customHeight="1" outlineLevel="1">
      <c r="A467" s="313"/>
      <c r="B467" s="1752" t="s">
        <v>140</v>
      </c>
      <c r="C467" s="1718" t="s">
        <v>172</v>
      </c>
      <c r="D467" s="1719">
        <f t="shared" si="248"/>
        <v>136</v>
      </c>
      <c r="E467" s="1761" t="str">
        <f t="shared" ca="1" si="244"/>
        <v>N</v>
      </c>
      <c r="F467" s="1591" t="str">
        <f t="shared" ca="1" si="245"/>
        <v>N</v>
      </c>
      <c r="G467" s="1591">
        <f ca="1">INDEX('Summary Data'!$AS$6:$FZ$57,MATCH($E467,'Summary Data'!$C$6:$C$57,0),MATCH($C467,'Summary Data'!$AS$3:$FZ$3,0))</f>
        <v>0</v>
      </c>
      <c r="H467" s="1592" t="s">
        <v>5</v>
      </c>
      <c r="I467" s="1591">
        <f ca="1">INDEX('Summary Data'!$AS$6:$FZ$57,MATCH($E467,'Summary Data'!$C$6:$C$57,0),MATCH($C467,'Summary Data'!$AS$3:$FZ$3,0)+1)</f>
        <v>0</v>
      </c>
      <c r="J467" s="4002" t="str">
        <f t="shared" ca="1" si="246"/>
        <v>N</v>
      </c>
      <c r="K467" s="3114" t="s">
        <v>3174</v>
      </c>
      <c r="L467" s="313"/>
      <c r="M467" s="313"/>
      <c r="N467" s="391"/>
      <c r="O467" s="313"/>
      <c r="P467" s="313"/>
      <c r="Q467" s="313"/>
      <c r="R467" s="313"/>
      <c r="S467" s="363"/>
    </row>
    <row r="468" spans="1:19" ht="16.899999999999999" hidden="1" customHeight="1" outlineLevel="1">
      <c r="A468" s="313"/>
      <c r="B468" s="1752" t="s">
        <v>140</v>
      </c>
      <c r="C468" s="1718" t="s">
        <v>172</v>
      </c>
      <c r="D468" s="1719">
        <f t="shared" si="248"/>
        <v>153</v>
      </c>
      <c r="E468" s="1761" t="str">
        <f t="shared" ca="1" si="244"/>
        <v>N</v>
      </c>
      <c r="F468" s="1591" t="str">
        <f t="shared" ca="1" si="245"/>
        <v>N</v>
      </c>
      <c r="G468" s="1591">
        <f ca="1">INDEX('Summary Data'!$AS$6:$FZ$57,MATCH($E468,'Summary Data'!$C$6:$C$57,0),MATCH($C468,'Summary Data'!$AS$3:$FZ$3,0))</f>
        <v>0</v>
      </c>
      <c r="H468" s="1592" t="s">
        <v>5</v>
      </c>
      <c r="I468" s="1591">
        <f ca="1">INDEX('Summary Data'!$AS$6:$FZ$57,MATCH($E468,'Summary Data'!$C$6:$C$57,0),MATCH($C468,'Summary Data'!$AS$3:$FZ$3,0)+1)</f>
        <v>0</v>
      </c>
      <c r="J468" s="4002" t="str">
        <f t="shared" ca="1" si="246"/>
        <v>N</v>
      </c>
      <c r="K468" s="3114" t="s">
        <v>3174</v>
      </c>
      <c r="L468" s="313"/>
      <c r="M468" s="313"/>
      <c r="N468" s="391"/>
      <c r="O468" s="313"/>
      <c r="P468" s="313"/>
      <c r="Q468" s="313"/>
      <c r="R468" s="313"/>
      <c r="S468" s="363"/>
    </row>
    <row r="469" spans="1:19" ht="16.899999999999999" hidden="1" customHeight="1" outlineLevel="1">
      <c r="A469" s="313"/>
      <c r="B469" s="1752" t="s">
        <v>140</v>
      </c>
      <c r="C469" s="1718" t="s">
        <v>172</v>
      </c>
      <c r="D469" s="1719">
        <f t="shared" si="248"/>
        <v>170</v>
      </c>
      <c r="E469" s="1761" t="str">
        <f t="shared" ca="1" si="244"/>
        <v>N</v>
      </c>
      <c r="F469" s="1591" t="str">
        <f t="shared" ca="1" si="245"/>
        <v>N</v>
      </c>
      <c r="G469" s="1591">
        <f ca="1">INDEX('Summary Data'!$AS$6:$FZ$57,MATCH($E469,'Summary Data'!$C$6:$C$57,0),MATCH($C469,'Summary Data'!$AS$3:$FZ$3,0))</f>
        <v>0</v>
      </c>
      <c r="H469" s="1592" t="s">
        <v>5</v>
      </c>
      <c r="I469" s="1591">
        <f ca="1">INDEX('Summary Data'!$AS$6:$FZ$57,MATCH($E469,'Summary Data'!$C$6:$C$57,0),MATCH($C469,'Summary Data'!$AS$3:$FZ$3,0)+1)</f>
        <v>0</v>
      </c>
      <c r="J469" s="4002" t="str">
        <f t="shared" ca="1" si="246"/>
        <v>N</v>
      </c>
      <c r="K469" s="3114" t="s">
        <v>3174</v>
      </c>
      <c r="L469" s="313"/>
      <c r="M469" s="313"/>
      <c r="N469" s="391"/>
      <c r="O469" s="313"/>
      <c r="P469" s="313"/>
      <c r="Q469" s="313"/>
      <c r="R469" s="313"/>
      <c r="S469" s="363"/>
    </row>
    <row r="470" spans="1:19" ht="16.899999999999999" hidden="1" customHeight="1" outlineLevel="1">
      <c r="A470" s="313"/>
      <c r="B470" s="1752" t="s">
        <v>140</v>
      </c>
      <c r="C470" s="1718" t="s">
        <v>172</v>
      </c>
      <c r="D470" s="1719">
        <f t="shared" si="248"/>
        <v>187</v>
      </c>
      <c r="E470" s="1761" t="str">
        <f t="shared" ca="1" si="244"/>
        <v>N</v>
      </c>
      <c r="F470" s="1591" t="str">
        <f t="shared" ca="1" si="245"/>
        <v>N</v>
      </c>
      <c r="G470" s="1591">
        <f ca="1">INDEX('Summary Data'!$AS$6:$FZ$57,MATCH($E470,'Summary Data'!$C$6:$C$57,0),MATCH($C470,'Summary Data'!$AS$3:$FZ$3,0))</f>
        <v>0</v>
      </c>
      <c r="H470" s="1592" t="s">
        <v>5</v>
      </c>
      <c r="I470" s="1591">
        <f ca="1">INDEX('Summary Data'!$AS$6:$FZ$57,MATCH($E470,'Summary Data'!$C$6:$C$57,0),MATCH($C470,'Summary Data'!$AS$3:$FZ$3,0)+1)</f>
        <v>0</v>
      </c>
      <c r="J470" s="4002" t="str">
        <f t="shared" ca="1" si="246"/>
        <v>N</v>
      </c>
      <c r="K470" s="3114" t="s">
        <v>3174</v>
      </c>
      <c r="L470" s="313"/>
      <c r="M470" s="313"/>
      <c r="N470" s="391"/>
      <c r="O470" s="313"/>
      <c r="P470" s="313"/>
      <c r="Q470" s="313"/>
      <c r="R470" s="313"/>
      <c r="S470" s="363"/>
    </row>
    <row r="471" spans="1:19" ht="16.899999999999999" hidden="1" customHeight="1" outlineLevel="1">
      <c r="A471" s="313"/>
      <c r="B471" s="1752" t="s">
        <v>140</v>
      </c>
      <c r="C471" s="1718" t="s">
        <v>172</v>
      </c>
      <c r="D471" s="1719">
        <f t="shared" si="248"/>
        <v>204</v>
      </c>
      <c r="E471" s="1761" t="str">
        <f t="shared" ca="1" si="244"/>
        <v>N</v>
      </c>
      <c r="F471" s="1591" t="str">
        <f t="shared" ca="1" si="245"/>
        <v>N</v>
      </c>
      <c r="G471" s="1591">
        <f ca="1">INDEX('Summary Data'!$AS$6:$FZ$57,MATCH($E471,'Summary Data'!$C$6:$C$57,0),MATCH($C471,'Summary Data'!$AS$3:$FZ$3,0))</f>
        <v>0</v>
      </c>
      <c r="H471" s="1592" t="s">
        <v>5</v>
      </c>
      <c r="I471" s="1591">
        <f ca="1">INDEX('Summary Data'!$AS$6:$FZ$57,MATCH($E471,'Summary Data'!$C$6:$C$57,0),MATCH($C471,'Summary Data'!$AS$3:$FZ$3,0)+1)</f>
        <v>0</v>
      </c>
      <c r="J471" s="4002" t="str">
        <f t="shared" ca="1" si="246"/>
        <v>N</v>
      </c>
      <c r="K471" s="3114" t="s">
        <v>3174</v>
      </c>
      <c r="L471" s="313"/>
      <c r="M471" s="313"/>
      <c r="N471" s="391"/>
      <c r="O471" s="313"/>
      <c r="P471" s="313"/>
      <c r="Q471" s="313"/>
      <c r="R471" s="313"/>
      <c r="S471" s="363"/>
    </row>
    <row r="472" spans="1:19" ht="16.899999999999999" hidden="1" customHeight="1" outlineLevel="1">
      <c r="A472" s="313"/>
      <c r="B472" s="1752" t="s">
        <v>140</v>
      </c>
      <c r="C472" s="1718" t="s">
        <v>172</v>
      </c>
      <c r="D472" s="1719">
        <f t="shared" si="248"/>
        <v>221</v>
      </c>
      <c r="E472" s="1761" t="str">
        <f t="shared" ca="1" si="244"/>
        <v>1st</v>
      </c>
      <c r="F472" s="1591" t="str">
        <f t="shared" ca="1" si="245"/>
        <v>N</v>
      </c>
      <c r="G472" s="1591">
        <f ca="1">INDEX('Summary Data'!$AS$6:$FZ$57,MATCH($E472,'Summary Data'!$C$6:$C$57,0),MATCH($C472,'Summary Data'!$AS$3:$FZ$3,0))</f>
        <v>0</v>
      </c>
      <c r="H472" s="1592" t="s">
        <v>5</v>
      </c>
      <c r="I472" s="1591">
        <f ca="1">INDEX('Summary Data'!$AS$6:$FZ$57,MATCH($E472,'Summary Data'!$C$6:$C$57,0),MATCH($C472,'Summary Data'!$AS$3:$FZ$3,0)+1)</f>
        <v>0</v>
      </c>
      <c r="J472" s="4002" t="str">
        <f t="shared" ca="1" si="246"/>
        <v>N</v>
      </c>
      <c r="K472" s="3114" t="s">
        <v>3174</v>
      </c>
      <c r="L472" s="313"/>
      <c r="M472" s="313"/>
      <c r="N472" s="391"/>
      <c r="O472" s="313"/>
      <c r="P472" s="313"/>
      <c r="Q472" s="313"/>
      <c r="R472" s="313"/>
      <c r="S472" s="363"/>
    </row>
    <row r="473" spans="1:19" ht="16.899999999999999" hidden="1" customHeight="1" outlineLevel="1">
      <c r="A473" s="313"/>
      <c r="B473" s="1752" t="s">
        <v>140</v>
      </c>
      <c r="C473" s="1718" t="s">
        <v>172</v>
      </c>
      <c r="D473" s="1719">
        <f t="shared" si="248"/>
        <v>238</v>
      </c>
      <c r="E473" s="1761" t="str">
        <f t="shared" ca="1" si="244"/>
        <v>1st</v>
      </c>
      <c r="F473" s="1591" t="str">
        <f t="shared" ca="1" si="245"/>
        <v>N</v>
      </c>
      <c r="G473" s="1591">
        <f ca="1">INDEX('Summary Data'!$AS$6:$FZ$57,MATCH($E473,'Summary Data'!$C$6:$C$57,0),MATCH($C473,'Summary Data'!$AS$3:$FZ$3,0))</f>
        <v>0</v>
      </c>
      <c r="H473" s="1592" t="s">
        <v>5</v>
      </c>
      <c r="I473" s="1591">
        <f ca="1">INDEX('Summary Data'!$AS$6:$FZ$57,MATCH($E473,'Summary Data'!$C$6:$C$57,0),MATCH($C473,'Summary Data'!$AS$3:$FZ$3,0)+1)</f>
        <v>0</v>
      </c>
      <c r="J473" s="4002" t="str">
        <f t="shared" ca="1" si="246"/>
        <v>N</v>
      </c>
      <c r="K473" s="3114" t="s">
        <v>3174</v>
      </c>
      <c r="L473" s="313"/>
      <c r="M473" s="313"/>
      <c r="N473" s="391"/>
      <c r="O473" s="313"/>
      <c r="P473" s="313"/>
      <c r="Q473" s="313"/>
      <c r="R473" s="313"/>
      <c r="S473" s="363"/>
    </row>
    <row r="474" spans="1:19" ht="16.899999999999999" hidden="1" customHeight="1" outlineLevel="1">
      <c r="A474" s="313"/>
      <c r="B474" s="1752" t="s">
        <v>140</v>
      </c>
      <c r="C474" s="1718" t="s">
        <v>171</v>
      </c>
      <c r="D474" s="1719">
        <v>0</v>
      </c>
      <c r="E474" s="1761" t="str">
        <f t="shared" ca="1" si="244"/>
        <v>Box</v>
      </c>
      <c r="F474" s="1591" t="str">
        <f t="shared" ca="1" si="245"/>
        <v>N</v>
      </c>
      <c r="G474" s="1591">
        <f ca="1">INDEX('Summary Data'!$AS$6:$FZ$57,MATCH($E474,'Summary Data'!$C$6:$C$57,0),MATCH($C474,'Summary Data'!$AS$3:$FZ$3,0))</f>
        <v>0</v>
      </c>
      <c r="H474" s="1592" t="s">
        <v>5</v>
      </c>
      <c r="I474" s="1591">
        <f ca="1">INDEX('Summary Data'!$AS$6:$FZ$57,MATCH($E474,'Summary Data'!$C$6:$C$57,0),MATCH($C474,'Summary Data'!$AS$3:$FZ$3,0)+1)</f>
        <v>0</v>
      </c>
      <c r="J474" s="4002" t="str">
        <f t="shared" ca="1" si="246"/>
        <v>N</v>
      </c>
      <c r="K474" s="3114" t="s">
        <v>3174</v>
      </c>
      <c r="L474" s="313"/>
      <c r="M474" s="313"/>
      <c r="N474" s="391"/>
      <c r="O474" s="313"/>
      <c r="P474" s="313"/>
      <c r="Q474" s="313"/>
      <c r="R474" s="313"/>
      <c r="S474" s="363"/>
    </row>
    <row r="475" spans="1:19" ht="16.899999999999999" hidden="1" customHeight="1" outlineLevel="1">
      <c r="A475" s="313"/>
      <c r="B475" s="1752" t="s">
        <v>140</v>
      </c>
      <c r="C475" s="1718" t="s">
        <v>171</v>
      </c>
      <c r="D475" s="1719">
        <f>D474+17</f>
        <v>17</v>
      </c>
      <c r="E475" s="1761" t="str">
        <f t="shared" ca="1" si="244"/>
        <v>N</v>
      </c>
      <c r="F475" s="1591" t="str">
        <f t="shared" ca="1" si="245"/>
        <v>N</v>
      </c>
      <c r="G475" s="1591">
        <f ca="1">INDEX('Summary Data'!$AS$6:$FZ$57,MATCH($E475,'Summary Data'!$C$6:$C$57,0),MATCH($C475,'Summary Data'!$AS$3:$FZ$3,0))</f>
        <v>0</v>
      </c>
      <c r="H475" s="1592" t="s">
        <v>5</v>
      </c>
      <c r="I475" s="1591">
        <f ca="1">INDEX('Summary Data'!$AS$6:$FZ$57,MATCH($E475,'Summary Data'!$C$6:$C$57,0),MATCH($C475,'Summary Data'!$AS$3:$FZ$3,0)+1)</f>
        <v>0</v>
      </c>
      <c r="J475" s="4002" t="str">
        <f t="shared" ca="1" si="246"/>
        <v>N</v>
      </c>
      <c r="K475" s="3114" t="s">
        <v>3174</v>
      </c>
      <c r="L475" s="313"/>
      <c r="M475" s="313"/>
      <c r="N475" s="391"/>
      <c r="O475" s="313"/>
      <c r="P475" s="313"/>
      <c r="Q475" s="313"/>
      <c r="R475" s="313"/>
      <c r="S475" s="363"/>
    </row>
    <row r="476" spans="1:19" ht="16.899999999999999" hidden="1" customHeight="1" outlineLevel="1">
      <c r="A476" s="313"/>
      <c r="B476" s="1752" t="s">
        <v>140</v>
      </c>
      <c r="C476" s="1718" t="s">
        <v>171</v>
      </c>
      <c r="D476" s="1719">
        <f t="shared" ref="D476:D488" si="249">D475+17</f>
        <v>34</v>
      </c>
      <c r="E476" s="1761" t="str">
        <f t="shared" ref="E476:E507" ca="1" si="250">OFFSET($A$25,D476,0)</f>
        <v>N</v>
      </c>
      <c r="F476" s="1591" t="str">
        <f t="shared" ref="F476:F507" ca="1" si="251">IF(G476=0,"N",E476)</f>
        <v>N</v>
      </c>
      <c r="G476" s="1591">
        <f ca="1">INDEX('Summary Data'!$AS$6:$FZ$57,MATCH($E476,'Summary Data'!$C$6:$C$57,0),MATCH($C476,'Summary Data'!$AS$3:$FZ$3,0))</f>
        <v>0</v>
      </c>
      <c r="H476" s="1592" t="s">
        <v>5</v>
      </c>
      <c r="I476" s="1591">
        <f ca="1">INDEX('Summary Data'!$AS$6:$FZ$57,MATCH($E476,'Summary Data'!$C$6:$C$57,0),MATCH($C476,'Summary Data'!$AS$3:$FZ$3,0)+1)</f>
        <v>0</v>
      </c>
      <c r="J476" s="4002" t="str">
        <f t="shared" ca="1" si="246"/>
        <v>N</v>
      </c>
      <c r="K476" s="3114" t="s">
        <v>3174</v>
      </c>
      <c r="L476" s="313"/>
      <c r="M476" s="313"/>
      <c r="N476" s="391"/>
      <c r="O476" s="313"/>
      <c r="P476" s="313"/>
      <c r="Q476" s="313"/>
      <c r="R476" s="313"/>
      <c r="S476" s="363"/>
    </row>
    <row r="477" spans="1:19" ht="16.899999999999999" hidden="1" customHeight="1" outlineLevel="1">
      <c r="A477" s="313"/>
      <c r="B477" s="1752" t="s">
        <v>140</v>
      </c>
      <c r="C477" s="1718" t="s">
        <v>171</v>
      </c>
      <c r="D477" s="1719">
        <f t="shared" si="249"/>
        <v>51</v>
      </c>
      <c r="E477" s="1761" t="str">
        <f t="shared" ca="1" si="250"/>
        <v>N</v>
      </c>
      <c r="F477" s="1591" t="str">
        <f t="shared" ca="1" si="251"/>
        <v>N</v>
      </c>
      <c r="G477" s="1591">
        <f ca="1">INDEX('Summary Data'!$AS$6:$FZ$57,MATCH($E477,'Summary Data'!$C$6:$C$57,0),MATCH($C477,'Summary Data'!$AS$3:$FZ$3,0))</f>
        <v>0</v>
      </c>
      <c r="H477" s="1592" t="s">
        <v>5</v>
      </c>
      <c r="I477" s="1591">
        <f ca="1">INDEX('Summary Data'!$AS$6:$FZ$57,MATCH($E477,'Summary Data'!$C$6:$C$57,0),MATCH($C477,'Summary Data'!$AS$3:$FZ$3,0)+1)</f>
        <v>0</v>
      </c>
      <c r="J477" s="4002" t="str">
        <f t="shared" ca="1" si="246"/>
        <v>N</v>
      </c>
      <c r="K477" s="3114" t="s">
        <v>3174</v>
      </c>
      <c r="L477" s="313"/>
      <c r="M477" s="313"/>
      <c r="N477" s="391"/>
      <c r="O477" s="313"/>
      <c r="P477" s="313"/>
      <c r="Q477" s="313"/>
      <c r="R477" s="313"/>
      <c r="S477" s="363"/>
    </row>
    <row r="478" spans="1:19" ht="16.899999999999999" hidden="1" customHeight="1" outlineLevel="1">
      <c r="A478" s="313"/>
      <c r="B478" s="1752" t="s">
        <v>140</v>
      </c>
      <c r="C478" s="1718" t="s">
        <v>171</v>
      </c>
      <c r="D478" s="1719">
        <f t="shared" si="249"/>
        <v>68</v>
      </c>
      <c r="E478" s="1761" t="str">
        <f t="shared" ca="1" si="250"/>
        <v>N</v>
      </c>
      <c r="F478" s="1591" t="str">
        <f t="shared" ca="1" si="251"/>
        <v>N</v>
      </c>
      <c r="G478" s="1591">
        <f ca="1">INDEX('Summary Data'!$AS$6:$FZ$57,MATCH($E478,'Summary Data'!$C$6:$C$57,0),MATCH($C478,'Summary Data'!$AS$3:$FZ$3,0))</f>
        <v>0</v>
      </c>
      <c r="H478" s="1592" t="s">
        <v>5</v>
      </c>
      <c r="I478" s="1591">
        <f ca="1">INDEX('Summary Data'!$AS$6:$FZ$57,MATCH($E478,'Summary Data'!$C$6:$C$57,0),MATCH($C478,'Summary Data'!$AS$3:$FZ$3,0)+1)</f>
        <v>0</v>
      </c>
      <c r="J478" s="4002" t="str">
        <f t="shared" ca="1" si="246"/>
        <v>N</v>
      </c>
      <c r="K478" s="3114" t="s">
        <v>3174</v>
      </c>
      <c r="L478" s="313"/>
      <c r="M478" s="313"/>
      <c r="N478" s="391"/>
      <c r="O478" s="313"/>
      <c r="P478" s="313"/>
      <c r="Q478" s="313"/>
      <c r="R478" s="313"/>
      <c r="S478" s="363"/>
    </row>
    <row r="479" spans="1:19" ht="16.899999999999999" hidden="1" customHeight="1" outlineLevel="1">
      <c r="A479" s="313"/>
      <c r="B479" s="1752" t="s">
        <v>140</v>
      </c>
      <c r="C479" s="1718" t="s">
        <v>171</v>
      </c>
      <c r="D479" s="1719">
        <f t="shared" si="249"/>
        <v>85</v>
      </c>
      <c r="E479" s="1761" t="str">
        <f t="shared" ca="1" si="250"/>
        <v>N</v>
      </c>
      <c r="F479" s="1591" t="str">
        <f t="shared" ca="1" si="251"/>
        <v>N</v>
      </c>
      <c r="G479" s="1591">
        <f ca="1">INDEX('Summary Data'!$AS$6:$FZ$57,MATCH($E479,'Summary Data'!$C$6:$C$57,0),MATCH($C479,'Summary Data'!$AS$3:$FZ$3,0))</f>
        <v>0</v>
      </c>
      <c r="H479" s="1592" t="s">
        <v>5</v>
      </c>
      <c r="I479" s="1591">
        <f ca="1">INDEX('Summary Data'!$AS$6:$FZ$57,MATCH($E479,'Summary Data'!$C$6:$C$57,0),MATCH($C479,'Summary Data'!$AS$3:$FZ$3,0)+1)</f>
        <v>0</v>
      </c>
      <c r="J479" s="4002" t="str">
        <f t="shared" ca="1" si="246"/>
        <v>N</v>
      </c>
      <c r="K479" s="3114" t="s">
        <v>3174</v>
      </c>
      <c r="L479" s="313"/>
      <c r="M479" s="313"/>
      <c r="N479" s="391"/>
      <c r="O479" s="313"/>
      <c r="P479" s="313"/>
      <c r="Q479" s="313"/>
      <c r="R479" s="313"/>
      <c r="S479" s="363"/>
    </row>
    <row r="480" spans="1:19" ht="16.899999999999999" hidden="1" customHeight="1" outlineLevel="1">
      <c r="A480" s="313"/>
      <c r="B480" s="1752" t="s">
        <v>140</v>
      </c>
      <c r="C480" s="1718" t="s">
        <v>171</v>
      </c>
      <c r="D480" s="1719">
        <f t="shared" si="249"/>
        <v>102</v>
      </c>
      <c r="E480" s="1761" t="str">
        <f t="shared" ca="1" si="250"/>
        <v>N</v>
      </c>
      <c r="F480" s="1591" t="str">
        <f t="shared" ca="1" si="251"/>
        <v>N</v>
      </c>
      <c r="G480" s="1591">
        <f ca="1">INDEX('Summary Data'!$AS$6:$FZ$57,MATCH($E480,'Summary Data'!$C$6:$C$57,0),MATCH($C480,'Summary Data'!$AS$3:$FZ$3,0))</f>
        <v>0</v>
      </c>
      <c r="H480" s="1592" t="s">
        <v>5</v>
      </c>
      <c r="I480" s="1591">
        <f ca="1">INDEX('Summary Data'!$AS$6:$FZ$57,MATCH($E480,'Summary Data'!$C$6:$C$57,0),MATCH($C480,'Summary Data'!$AS$3:$FZ$3,0)+1)</f>
        <v>0</v>
      </c>
      <c r="J480" s="4002" t="str">
        <f t="shared" ca="1" si="246"/>
        <v>N</v>
      </c>
      <c r="K480" s="3114" t="s">
        <v>3174</v>
      </c>
      <c r="L480" s="313"/>
      <c r="M480" s="313"/>
      <c r="N480" s="391"/>
      <c r="O480" s="313"/>
      <c r="P480" s="313"/>
      <c r="Q480" s="313"/>
      <c r="R480" s="313"/>
      <c r="S480" s="363"/>
    </row>
    <row r="481" spans="1:19" ht="16.899999999999999" hidden="1" customHeight="1" outlineLevel="1">
      <c r="A481" s="313"/>
      <c r="B481" s="1752" t="s">
        <v>140</v>
      </c>
      <c r="C481" s="1718" t="s">
        <v>171</v>
      </c>
      <c r="D481" s="1719">
        <f t="shared" si="249"/>
        <v>119</v>
      </c>
      <c r="E481" s="1761" t="str">
        <f t="shared" ca="1" si="250"/>
        <v>N</v>
      </c>
      <c r="F481" s="1591" t="str">
        <f t="shared" ca="1" si="251"/>
        <v>N</v>
      </c>
      <c r="G481" s="1591">
        <f ca="1">INDEX('Summary Data'!$AS$6:$FZ$57,MATCH($E481,'Summary Data'!$C$6:$C$57,0),MATCH($C481,'Summary Data'!$AS$3:$FZ$3,0))</f>
        <v>0</v>
      </c>
      <c r="H481" s="1592" t="s">
        <v>5</v>
      </c>
      <c r="I481" s="1591">
        <f ca="1">INDEX('Summary Data'!$AS$6:$FZ$57,MATCH($E481,'Summary Data'!$C$6:$C$57,0),MATCH($C481,'Summary Data'!$AS$3:$FZ$3,0)+1)</f>
        <v>0</v>
      </c>
      <c r="J481" s="4002" t="str">
        <f t="shared" ca="1" si="246"/>
        <v>N</v>
      </c>
      <c r="K481" s="3114" t="s">
        <v>3174</v>
      </c>
      <c r="L481" s="313"/>
      <c r="M481" s="313"/>
      <c r="N481" s="391"/>
      <c r="O481" s="313"/>
      <c r="P481" s="313"/>
      <c r="Q481" s="313"/>
      <c r="R481" s="313"/>
      <c r="S481" s="363"/>
    </row>
    <row r="482" spans="1:19" ht="16.899999999999999" hidden="1" customHeight="1" outlineLevel="1">
      <c r="A482" s="313"/>
      <c r="B482" s="1752" t="s">
        <v>140</v>
      </c>
      <c r="C482" s="1718" t="s">
        <v>171</v>
      </c>
      <c r="D482" s="1719">
        <f t="shared" si="249"/>
        <v>136</v>
      </c>
      <c r="E482" s="1761" t="str">
        <f t="shared" ca="1" si="250"/>
        <v>N</v>
      </c>
      <c r="F482" s="1591" t="str">
        <f t="shared" ca="1" si="251"/>
        <v>N</v>
      </c>
      <c r="G482" s="1591">
        <f ca="1">INDEX('Summary Data'!$AS$6:$FZ$57,MATCH($E482,'Summary Data'!$C$6:$C$57,0),MATCH($C482,'Summary Data'!$AS$3:$FZ$3,0))</f>
        <v>0</v>
      </c>
      <c r="H482" s="1592" t="s">
        <v>5</v>
      </c>
      <c r="I482" s="1591">
        <f ca="1">INDEX('Summary Data'!$AS$6:$FZ$57,MATCH($E482,'Summary Data'!$C$6:$C$57,0),MATCH($C482,'Summary Data'!$AS$3:$FZ$3,0)+1)</f>
        <v>0</v>
      </c>
      <c r="J482" s="4002" t="str">
        <f t="shared" ca="1" si="246"/>
        <v>N</v>
      </c>
      <c r="K482" s="3114" t="s">
        <v>3174</v>
      </c>
      <c r="L482" s="313"/>
      <c r="M482" s="313"/>
      <c r="N482" s="391"/>
      <c r="O482" s="313"/>
      <c r="P482" s="313"/>
      <c r="Q482" s="313"/>
      <c r="R482" s="313"/>
      <c r="S482" s="363"/>
    </row>
    <row r="483" spans="1:19" ht="16.899999999999999" hidden="1" customHeight="1" outlineLevel="1">
      <c r="A483" s="313"/>
      <c r="B483" s="1752" t="s">
        <v>140</v>
      </c>
      <c r="C483" s="1718" t="s">
        <v>171</v>
      </c>
      <c r="D483" s="1719">
        <f t="shared" si="249"/>
        <v>153</v>
      </c>
      <c r="E483" s="1761" t="str">
        <f t="shared" ca="1" si="250"/>
        <v>N</v>
      </c>
      <c r="F483" s="1591" t="str">
        <f t="shared" ca="1" si="251"/>
        <v>N</v>
      </c>
      <c r="G483" s="1591">
        <f ca="1">INDEX('Summary Data'!$AS$6:$FZ$57,MATCH($E483,'Summary Data'!$C$6:$C$57,0),MATCH($C483,'Summary Data'!$AS$3:$FZ$3,0))</f>
        <v>0</v>
      </c>
      <c r="H483" s="1592" t="s">
        <v>5</v>
      </c>
      <c r="I483" s="1591">
        <f ca="1">INDEX('Summary Data'!$AS$6:$FZ$57,MATCH($E483,'Summary Data'!$C$6:$C$57,0),MATCH($C483,'Summary Data'!$AS$3:$FZ$3,0)+1)</f>
        <v>0</v>
      </c>
      <c r="J483" s="4002" t="str">
        <f t="shared" ca="1" si="246"/>
        <v>N</v>
      </c>
      <c r="K483" s="3114" t="s">
        <v>3174</v>
      </c>
      <c r="L483" s="313"/>
      <c r="M483" s="313"/>
      <c r="N483" s="391"/>
      <c r="O483" s="313"/>
      <c r="P483" s="313"/>
      <c r="Q483" s="313"/>
      <c r="R483" s="313"/>
      <c r="S483" s="363"/>
    </row>
    <row r="484" spans="1:19" ht="16.899999999999999" hidden="1" customHeight="1" outlineLevel="1">
      <c r="A484" s="313"/>
      <c r="B484" s="1752" t="s">
        <v>140</v>
      </c>
      <c r="C484" s="1718" t="s">
        <v>171</v>
      </c>
      <c r="D484" s="1719">
        <f t="shared" si="249"/>
        <v>170</v>
      </c>
      <c r="E484" s="1761" t="str">
        <f t="shared" ca="1" si="250"/>
        <v>N</v>
      </c>
      <c r="F484" s="1591" t="str">
        <f t="shared" ca="1" si="251"/>
        <v>N</v>
      </c>
      <c r="G484" s="1591">
        <f ca="1">INDEX('Summary Data'!$AS$6:$FZ$57,MATCH($E484,'Summary Data'!$C$6:$C$57,0),MATCH($C484,'Summary Data'!$AS$3:$FZ$3,0))</f>
        <v>0</v>
      </c>
      <c r="H484" s="1592" t="s">
        <v>5</v>
      </c>
      <c r="I484" s="1591">
        <f ca="1">INDEX('Summary Data'!$AS$6:$FZ$57,MATCH($E484,'Summary Data'!$C$6:$C$57,0),MATCH($C484,'Summary Data'!$AS$3:$FZ$3,0)+1)</f>
        <v>0</v>
      </c>
      <c r="J484" s="4002" t="str">
        <f t="shared" ca="1" si="246"/>
        <v>N</v>
      </c>
      <c r="K484" s="3114" t="s">
        <v>3174</v>
      </c>
      <c r="L484" s="313"/>
      <c r="M484" s="313"/>
      <c r="N484" s="391"/>
      <c r="O484" s="313"/>
      <c r="P484" s="313"/>
      <c r="Q484" s="313"/>
      <c r="R484" s="313"/>
      <c r="S484" s="363"/>
    </row>
    <row r="485" spans="1:19" ht="16.899999999999999" hidden="1" customHeight="1" outlineLevel="1">
      <c r="A485" s="313"/>
      <c r="B485" s="1752" t="s">
        <v>140</v>
      </c>
      <c r="C485" s="1718" t="s">
        <v>171</v>
      </c>
      <c r="D485" s="1719">
        <f t="shared" si="249"/>
        <v>187</v>
      </c>
      <c r="E485" s="1761" t="str">
        <f t="shared" ca="1" si="250"/>
        <v>N</v>
      </c>
      <c r="F485" s="1591" t="str">
        <f t="shared" ca="1" si="251"/>
        <v>N</v>
      </c>
      <c r="G485" s="1591">
        <f ca="1">INDEX('Summary Data'!$AS$6:$FZ$57,MATCH($E485,'Summary Data'!$C$6:$C$57,0),MATCH($C485,'Summary Data'!$AS$3:$FZ$3,0))</f>
        <v>0</v>
      </c>
      <c r="H485" s="1592" t="s">
        <v>5</v>
      </c>
      <c r="I485" s="1591">
        <f ca="1">INDEX('Summary Data'!$AS$6:$FZ$57,MATCH($E485,'Summary Data'!$C$6:$C$57,0),MATCH($C485,'Summary Data'!$AS$3:$FZ$3,0)+1)</f>
        <v>0</v>
      </c>
      <c r="J485" s="4002" t="str">
        <f t="shared" ca="1" si="246"/>
        <v>N</v>
      </c>
      <c r="K485" s="3114" t="s">
        <v>3174</v>
      </c>
      <c r="L485" s="313"/>
      <c r="M485" s="313"/>
      <c r="N485" s="391"/>
      <c r="O485" s="313"/>
      <c r="P485" s="313"/>
      <c r="Q485" s="313"/>
      <c r="R485" s="313"/>
      <c r="S485" s="363"/>
    </row>
    <row r="486" spans="1:19" ht="16.899999999999999" hidden="1" customHeight="1" outlineLevel="1">
      <c r="A486" s="313"/>
      <c r="B486" s="1752" t="s">
        <v>140</v>
      </c>
      <c r="C486" s="1718" t="s">
        <v>171</v>
      </c>
      <c r="D486" s="1719">
        <f t="shared" si="249"/>
        <v>204</v>
      </c>
      <c r="E486" s="1761" t="str">
        <f t="shared" ca="1" si="250"/>
        <v>N</v>
      </c>
      <c r="F486" s="1591" t="str">
        <f t="shared" ca="1" si="251"/>
        <v>N</v>
      </c>
      <c r="G486" s="1591">
        <f ca="1">INDEX('Summary Data'!$AS$6:$FZ$57,MATCH($E486,'Summary Data'!$C$6:$C$57,0),MATCH($C486,'Summary Data'!$AS$3:$FZ$3,0))</f>
        <v>0</v>
      </c>
      <c r="H486" s="1592" t="s">
        <v>5</v>
      </c>
      <c r="I486" s="1591">
        <f ca="1">INDEX('Summary Data'!$AS$6:$FZ$57,MATCH($E486,'Summary Data'!$C$6:$C$57,0),MATCH($C486,'Summary Data'!$AS$3:$FZ$3,0)+1)</f>
        <v>0</v>
      </c>
      <c r="J486" s="4002" t="str">
        <f t="shared" ca="1" si="246"/>
        <v>N</v>
      </c>
      <c r="K486" s="3114" t="s">
        <v>3174</v>
      </c>
      <c r="L486" s="313"/>
      <c r="M486" s="313"/>
      <c r="N486" s="391"/>
      <c r="O486" s="313"/>
      <c r="P486" s="313"/>
      <c r="Q486" s="313"/>
      <c r="R486" s="313"/>
      <c r="S486" s="363"/>
    </row>
    <row r="487" spans="1:19" ht="16.899999999999999" hidden="1" customHeight="1" outlineLevel="1">
      <c r="A487" s="313"/>
      <c r="B487" s="1752" t="s">
        <v>140</v>
      </c>
      <c r="C487" s="1718" t="s">
        <v>171</v>
      </c>
      <c r="D487" s="1719">
        <f t="shared" si="249"/>
        <v>221</v>
      </c>
      <c r="E487" s="1761" t="str">
        <f t="shared" ca="1" si="250"/>
        <v>1st</v>
      </c>
      <c r="F487" s="1591" t="str">
        <f t="shared" ca="1" si="251"/>
        <v>N</v>
      </c>
      <c r="G487" s="1591">
        <f ca="1">INDEX('Summary Data'!$AS$6:$FZ$57,MATCH($E487,'Summary Data'!$C$6:$C$57,0),MATCH($C487,'Summary Data'!$AS$3:$FZ$3,0))</f>
        <v>0</v>
      </c>
      <c r="H487" s="1592" t="s">
        <v>5</v>
      </c>
      <c r="I487" s="1591">
        <f ca="1">INDEX('Summary Data'!$AS$6:$FZ$57,MATCH($E487,'Summary Data'!$C$6:$C$57,0),MATCH($C487,'Summary Data'!$AS$3:$FZ$3,0)+1)</f>
        <v>0</v>
      </c>
      <c r="J487" s="4002" t="str">
        <f t="shared" ca="1" si="246"/>
        <v>N</v>
      </c>
      <c r="K487" s="3114" t="s">
        <v>3174</v>
      </c>
      <c r="L487" s="313"/>
      <c r="M487" s="313"/>
      <c r="N487" s="391"/>
      <c r="O487" s="313"/>
      <c r="P487" s="313"/>
      <c r="Q487" s="313"/>
      <c r="R487" s="313"/>
      <c r="S487" s="363"/>
    </row>
    <row r="488" spans="1:19" ht="16.899999999999999" hidden="1" customHeight="1" outlineLevel="1">
      <c r="A488" s="313"/>
      <c r="B488" s="1752" t="s">
        <v>140</v>
      </c>
      <c r="C488" s="1718" t="s">
        <v>171</v>
      </c>
      <c r="D488" s="1719">
        <f t="shared" si="249"/>
        <v>238</v>
      </c>
      <c r="E488" s="1761" t="str">
        <f t="shared" ca="1" si="250"/>
        <v>1st</v>
      </c>
      <c r="F488" s="1591" t="str">
        <f t="shared" ca="1" si="251"/>
        <v>N</v>
      </c>
      <c r="G488" s="1591">
        <f ca="1">INDEX('Summary Data'!$AS$6:$FZ$57,MATCH($E488,'Summary Data'!$C$6:$C$57,0),MATCH($C488,'Summary Data'!$AS$3:$FZ$3,0))</f>
        <v>0</v>
      </c>
      <c r="H488" s="1592" t="s">
        <v>5</v>
      </c>
      <c r="I488" s="1591">
        <f ca="1">INDEX('Summary Data'!$AS$6:$FZ$57,MATCH($E488,'Summary Data'!$C$6:$C$57,0),MATCH($C488,'Summary Data'!$AS$3:$FZ$3,0)+1)</f>
        <v>0</v>
      </c>
      <c r="J488" s="4002" t="str">
        <f t="shared" ca="1" si="246"/>
        <v>N</v>
      </c>
      <c r="K488" s="3114" t="s">
        <v>3174</v>
      </c>
      <c r="L488" s="313"/>
      <c r="M488" s="313"/>
      <c r="N488" s="391"/>
      <c r="O488" s="313"/>
      <c r="P488" s="313"/>
      <c r="Q488" s="313"/>
      <c r="R488" s="313"/>
      <c r="S488" s="363"/>
    </row>
    <row r="489" spans="1:19" ht="16.899999999999999" hidden="1" customHeight="1" outlineLevel="1">
      <c r="A489" s="313"/>
      <c r="B489" s="1752" t="s">
        <v>140</v>
      </c>
      <c r="C489" s="1718" t="s">
        <v>1475</v>
      </c>
      <c r="D489" s="1719">
        <v>0</v>
      </c>
      <c r="E489" s="1761" t="str">
        <f t="shared" ca="1" si="250"/>
        <v>Box</v>
      </c>
      <c r="F489" s="1591" t="str">
        <f t="shared" ca="1" si="251"/>
        <v>N</v>
      </c>
      <c r="G489" s="1591">
        <f ca="1">INDEX('Summary Data'!$AS$6:$FZ$57,MATCH($E489,'Summary Data'!$C$6:$C$57,0),MATCH($C489,'Summary Data'!$AS$3:$FZ$3,0))</f>
        <v>0</v>
      </c>
      <c r="H489" s="1592" t="s">
        <v>5</v>
      </c>
      <c r="I489" s="1591">
        <f ca="1">INDEX('Summary Data'!$AS$6:$FZ$57,MATCH($E489,'Summary Data'!$C$6:$C$57,0),MATCH($C489,'Summary Data'!$AS$3:$FZ$3,0)+1)</f>
        <v>0</v>
      </c>
      <c r="J489" s="4002" t="str">
        <f t="shared" ca="1" si="246"/>
        <v>N</v>
      </c>
      <c r="K489" s="3114" t="s">
        <v>3174</v>
      </c>
      <c r="L489" s="313"/>
      <c r="M489" s="313"/>
      <c r="N489" s="391"/>
      <c r="O489" s="313"/>
      <c r="P489" s="313"/>
      <c r="Q489" s="313"/>
      <c r="R489" s="313"/>
      <c r="S489" s="363"/>
    </row>
    <row r="490" spans="1:19" ht="16.899999999999999" hidden="1" customHeight="1" outlineLevel="1">
      <c r="A490" s="313"/>
      <c r="B490" s="1752" t="s">
        <v>140</v>
      </c>
      <c r="C490" s="1718" t="s">
        <v>1475</v>
      </c>
      <c r="D490" s="1719">
        <f>D489+17</f>
        <v>17</v>
      </c>
      <c r="E490" s="1761" t="str">
        <f t="shared" ca="1" si="250"/>
        <v>N</v>
      </c>
      <c r="F490" s="1591" t="str">
        <f t="shared" ca="1" si="251"/>
        <v>N</v>
      </c>
      <c r="G490" s="1591">
        <f ca="1">INDEX('Summary Data'!$AS$6:$FZ$57,MATCH($E490,'Summary Data'!$C$6:$C$57,0),MATCH($C490,'Summary Data'!$AS$3:$FZ$3,0))</f>
        <v>0</v>
      </c>
      <c r="H490" s="1592" t="s">
        <v>5</v>
      </c>
      <c r="I490" s="1591">
        <f ca="1">INDEX('Summary Data'!$AS$6:$FZ$57,MATCH($E490,'Summary Data'!$C$6:$C$57,0),MATCH($C490,'Summary Data'!$AS$3:$FZ$3,0)+1)</f>
        <v>0</v>
      </c>
      <c r="J490" s="4002" t="str">
        <f t="shared" ca="1" si="246"/>
        <v>N</v>
      </c>
      <c r="K490" s="3114" t="s">
        <v>3174</v>
      </c>
      <c r="L490" s="313"/>
      <c r="M490" s="313"/>
      <c r="N490" s="391"/>
      <c r="O490" s="313"/>
      <c r="P490" s="313"/>
      <c r="Q490" s="313"/>
      <c r="R490" s="313"/>
      <c r="S490" s="363"/>
    </row>
    <row r="491" spans="1:19" ht="16.899999999999999" hidden="1" customHeight="1" outlineLevel="1">
      <c r="A491" s="313"/>
      <c r="B491" s="1752" t="s">
        <v>140</v>
      </c>
      <c r="C491" s="1718" t="s">
        <v>1475</v>
      </c>
      <c r="D491" s="1719">
        <f t="shared" ref="D491:D503" si="252">D490+17</f>
        <v>34</v>
      </c>
      <c r="E491" s="1761" t="str">
        <f t="shared" ca="1" si="250"/>
        <v>N</v>
      </c>
      <c r="F491" s="1591" t="str">
        <f t="shared" ca="1" si="251"/>
        <v>N</v>
      </c>
      <c r="G491" s="1591">
        <f ca="1">INDEX('Summary Data'!$AS$6:$FZ$57,MATCH($E491,'Summary Data'!$C$6:$C$57,0),MATCH($C491,'Summary Data'!$AS$3:$FZ$3,0))</f>
        <v>0</v>
      </c>
      <c r="H491" s="1592" t="s">
        <v>5</v>
      </c>
      <c r="I491" s="1591">
        <f ca="1">INDEX('Summary Data'!$AS$6:$FZ$57,MATCH($E491,'Summary Data'!$C$6:$C$57,0),MATCH($C491,'Summary Data'!$AS$3:$FZ$3,0)+1)</f>
        <v>0</v>
      </c>
      <c r="J491" s="4002" t="str">
        <f t="shared" ca="1" si="246"/>
        <v>N</v>
      </c>
      <c r="K491" s="3114" t="s">
        <v>3174</v>
      </c>
      <c r="L491" s="313"/>
      <c r="M491" s="313"/>
      <c r="N491" s="391"/>
      <c r="O491" s="313"/>
      <c r="P491" s="313"/>
      <c r="Q491" s="313"/>
      <c r="R491" s="313"/>
      <c r="S491" s="363"/>
    </row>
    <row r="492" spans="1:19" ht="16.899999999999999" hidden="1" customHeight="1" outlineLevel="1">
      <c r="A492" s="313"/>
      <c r="B492" s="1752" t="s">
        <v>140</v>
      </c>
      <c r="C492" s="1718" t="s">
        <v>1475</v>
      </c>
      <c r="D492" s="1719">
        <f t="shared" si="252"/>
        <v>51</v>
      </c>
      <c r="E492" s="1761" t="str">
        <f t="shared" ca="1" si="250"/>
        <v>N</v>
      </c>
      <c r="F492" s="1591" t="str">
        <f t="shared" ca="1" si="251"/>
        <v>N</v>
      </c>
      <c r="G492" s="1591">
        <f ca="1">INDEX('Summary Data'!$AS$6:$FZ$57,MATCH($E492,'Summary Data'!$C$6:$C$57,0),MATCH($C492,'Summary Data'!$AS$3:$FZ$3,0))</f>
        <v>0</v>
      </c>
      <c r="H492" s="1592" t="s">
        <v>5</v>
      </c>
      <c r="I492" s="1591">
        <f ca="1">INDEX('Summary Data'!$AS$6:$FZ$57,MATCH($E492,'Summary Data'!$C$6:$C$57,0),MATCH($C492,'Summary Data'!$AS$3:$FZ$3,0)+1)</f>
        <v>0</v>
      </c>
      <c r="J492" s="4002" t="str">
        <f t="shared" ca="1" si="246"/>
        <v>N</v>
      </c>
      <c r="K492" s="3114" t="s">
        <v>3174</v>
      </c>
      <c r="L492" s="313"/>
      <c r="M492" s="313"/>
      <c r="N492" s="391"/>
      <c r="O492" s="313"/>
      <c r="P492" s="313"/>
      <c r="Q492" s="313"/>
      <c r="R492" s="313"/>
      <c r="S492" s="363"/>
    </row>
    <row r="493" spans="1:19" ht="16.899999999999999" hidden="1" customHeight="1" outlineLevel="1">
      <c r="A493" s="313"/>
      <c r="B493" s="1752" t="s">
        <v>140</v>
      </c>
      <c r="C493" s="1718" t="s">
        <v>1475</v>
      </c>
      <c r="D493" s="1719">
        <f t="shared" si="252"/>
        <v>68</v>
      </c>
      <c r="E493" s="1761" t="str">
        <f t="shared" ca="1" si="250"/>
        <v>N</v>
      </c>
      <c r="F493" s="1591" t="str">
        <f t="shared" ca="1" si="251"/>
        <v>N</v>
      </c>
      <c r="G493" s="1591">
        <f ca="1">INDEX('Summary Data'!$AS$6:$FZ$57,MATCH($E493,'Summary Data'!$C$6:$C$57,0),MATCH($C493,'Summary Data'!$AS$3:$FZ$3,0))</f>
        <v>0</v>
      </c>
      <c r="H493" s="1592" t="s">
        <v>5</v>
      </c>
      <c r="I493" s="1591">
        <f ca="1">INDEX('Summary Data'!$AS$6:$FZ$57,MATCH($E493,'Summary Data'!$C$6:$C$57,0),MATCH($C493,'Summary Data'!$AS$3:$FZ$3,0)+1)</f>
        <v>0</v>
      </c>
      <c r="J493" s="4002" t="str">
        <f t="shared" ca="1" si="246"/>
        <v>N</v>
      </c>
      <c r="K493" s="3114" t="s">
        <v>3174</v>
      </c>
      <c r="L493" s="313"/>
      <c r="M493" s="313"/>
      <c r="N493" s="391"/>
      <c r="O493" s="313"/>
      <c r="P493" s="313"/>
      <c r="Q493" s="313"/>
      <c r="R493" s="313"/>
      <c r="S493" s="363"/>
    </row>
    <row r="494" spans="1:19" ht="16.899999999999999" hidden="1" customHeight="1" outlineLevel="1">
      <c r="A494" s="313"/>
      <c r="B494" s="1752" t="s">
        <v>140</v>
      </c>
      <c r="C494" s="1718" t="s">
        <v>1475</v>
      </c>
      <c r="D494" s="1719">
        <f t="shared" si="252"/>
        <v>85</v>
      </c>
      <c r="E494" s="1761" t="str">
        <f t="shared" ca="1" si="250"/>
        <v>N</v>
      </c>
      <c r="F494" s="1591" t="str">
        <f t="shared" ca="1" si="251"/>
        <v>N</v>
      </c>
      <c r="G494" s="1591">
        <f ca="1">INDEX('Summary Data'!$AS$6:$FZ$57,MATCH($E494,'Summary Data'!$C$6:$C$57,0),MATCH($C494,'Summary Data'!$AS$3:$FZ$3,0))</f>
        <v>0</v>
      </c>
      <c r="H494" s="1592" t="s">
        <v>5</v>
      </c>
      <c r="I494" s="1591">
        <f ca="1">INDEX('Summary Data'!$AS$6:$FZ$57,MATCH($E494,'Summary Data'!$C$6:$C$57,0),MATCH($C494,'Summary Data'!$AS$3:$FZ$3,0)+1)</f>
        <v>0</v>
      </c>
      <c r="J494" s="4002" t="str">
        <f t="shared" ca="1" si="246"/>
        <v>N</v>
      </c>
      <c r="K494" s="3114" t="s">
        <v>3174</v>
      </c>
      <c r="L494" s="313"/>
      <c r="M494" s="313"/>
      <c r="N494" s="391"/>
      <c r="O494" s="313"/>
      <c r="P494" s="313"/>
      <c r="Q494" s="313"/>
      <c r="R494" s="313"/>
      <c r="S494" s="363"/>
    </row>
    <row r="495" spans="1:19" ht="16.899999999999999" hidden="1" customHeight="1" outlineLevel="1">
      <c r="A495" s="313"/>
      <c r="B495" s="1752" t="s">
        <v>140</v>
      </c>
      <c r="C495" s="1718" t="s">
        <v>1475</v>
      </c>
      <c r="D495" s="1719">
        <f t="shared" si="252"/>
        <v>102</v>
      </c>
      <c r="E495" s="1761" t="str">
        <f t="shared" ca="1" si="250"/>
        <v>N</v>
      </c>
      <c r="F495" s="1591" t="str">
        <f t="shared" ca="1" si="251"/>
        <v>N</v>
      </c>
      <c r="G495" s="1591">
        <f ca="1">INDEX('Summary Data'!$AS$6:$FZ$57,MATCH($E495,'Summary Data'!$C$6:$C$57,0),MATCH($C495,'Summary Data'!$AS$3:$FZ$3,0))</f>
        <v>0</v>
      </c>
      <c r="H495" s="1592" t="s">
        <v>5</v>
      </c>
      <c r="I495" s="1591">
        <f ca="1">INDEX('Summary Data'!$AS$6:$FZ$57,MATCH($E495,'Summary Data'!$C$6:$C$57,0),MATCH($C495,'Summary Data'!$AS$3:$FZ$3,0)+1)</f>
        <v>0</v>
      </c>
      <c r="J495" s="4002" t="str">
        <f t="shared" ca="1" si="246"/>
        <v>N</v>
      </c>
      <c r="K495" s="3114" t="s">
        <v>3174</v>
      </c>
      <c r="L495" s="313"/>
      <c r="M495" s="313"/>
      <c r="N495" s="391"/>
      <c r="O495" s="313"/>
      <c r="P495" s="313"/>
      <c r="Q495" s="313"/>
      <c r="R495" s="313"/>
      <c r="S495" s="363"/>
    </row>
    <row r="496" spans="1:19" ht="16.899999999999999" hidden="1" customHeight="1" outlineLevel="1">
      <c r="A496" s="313"/>
      <c r="B496" s="1752" t="s">
        <v>140</v>
      </c>
      <c r="C496" s="1718" t="s">
        <v>1475</v>
      </c>
      <c r="D496" s="1719">
        <f t="shared" si="252"/>
        <v>119</v>
      </c>
      <c r="E496" s="1761" t="str">
        <f t="shared" ca="1" si="250"/>
        <v>N</v>
      </c>
      <c r="F496" s="1591" t="str">
        <f t="shared" ca="1" si="251"/>
        <v>N</v>
      </c>
      <c r="G496" s="1591">
        <f ca="1">INDEX('Summary Data'!$AS$6:$FZ$57,MATCH($E496,'Summary Data'!$C$6:$C$57,0),MATCH($C496,'Summary Data'!$AS$3:$FZ$3,0))</f>
        <v>0</v>
      </c>
      <c r="H496" s="1592" t="s">
        <v>5</v>
      </c>
      <c r="I496" s="1591">
        <f ca="1">INDEX('Summary Data'!$AS$6:$FZ$57,MATCH($E496,'Summary Data'!$C$6:$C$57,0),MATCH($C496,'Summary Data'!$AS$3:$FZ$3,0)+1)</f>
        <v>0</v>
      </c>
      <c r="J496" s="4002" t="str">
        <f t="shared" ca="1" si="246"/>
        <v>N</v>
      </c>
      <c r="K496" s="3114" t="s">
        <v>3174</v>
      </c>
      <c r="L496" s="313"/>
      <c r="M496" s="313"/>
      <c r="N496" s="391"/>
      <c r="O496" s="313"/>
      <c r="P496" s="313"/>
      <c r="Q496" s="313"/>
      <c r="R496" s="313"/>
      <c r="S496" s="363"/>
    </row>
    <row r="497" spans="1:19" ht="16.899999999999999" hidden="1" customHeight="1" outlineLevel="1">
      <c r="A497" s="313"/>
      <c r="B497" s="1752" t="s">
        <v>140</v>
      </c>
      <c r="C497" s="1718" t="s">
        <v>1475</v>
      </c>
      <c r="D497" s="1719">
        <f t="shared" si="252"/>
        <v>136</v>
      </c>
      <c r="E497" s="1761" t="str">
        <f t="shared" ca="1" si="250"/>
        <v>N</v>
      </c>
      <c r="F497" s="1591" t="str">
        <f t="shared" ca="1" si="251"/>
        <v>N</v>
      </c>
      <c r="G497" s="1591">
        <f ca="1">INDEX('Summary Data'!$AS$6:$FZ$57,MATCH($E497,'Summary Data'!$C$6:$C$57,0),MATCH($C497,'Summary Data'!$AS$3:$FZ$3,0))</f>
        <v>0</v>
      </c>
      <c r="H497" s="1592" t="s">
        <v>5</v>
      </c>
      <c r="I497" s="1591">
        <f ca="1">INDEX('Summary Data'!$AS$6:$FZ$57,MATCH($E497,'Summary Data'!$C$6:$C$57,0),MATCH($C497,'Summary Data'!$AS$3:$FZ$3,0)+1)</f>
        <v>0</v>
      </c>
      <c r="J497" s="4002" t="str">
        <f t="shared" ca="1" si="246"/>
        <v>N</v>
      </c>
      <c r="K497" s="3114" t="s">
        <v>3174</v>
      </c>
      <c r="L497" s="313"/>
      <c r="M497" s="313"/>
      <c r="N497" s="391"/>
      <c r="O497" s="313"/>
      <c r="P497" s="313"/>
      <c r="Q497" s="313"/>
      <c r="R497" s="313"/>
      <c r="S497" s="363"/>
    </row>
    <row r="498" spans="1:19" ht="16.899999999999999" hidden="1" customHeight="1" outlineLevel="1">
      <c r="A498" s="313"/>
      <c r="B498" s="1752" t="s">
        <v>140</v>
      </c>
      <c r="C498" s="1718" t="s">
        <v>1475</v>
      </c>
      <c r="D498" s="1719">
        <f t="shared" si="252"/>
        <v>153</v>
      </c>
      <c r="E498" s="1761" t="str">
        <f t="shared" ca="1" si="250"/>
        <v>N</v>
      </c>
      <c r="F498" s="1591" t="str">
        <f t="shared" ca="1" si="251"/>
        <v>N</v>
      </c>
      <c r="G498" s="1591">
        <f ca="1">INDEX('Summary Data'!$AS$6:$FZ$57,MATCH($E498,'Summary Data'!$C$6:$C$57,0),MATCH($C498,'Summary Data'!$AS$3:$FZ$3,0))</f>
        <v>0</v>
      </c>
      <c r="H498" s="1592" t="s">
        <v>5</v>
      </c>
      <c r="I498" s="1591">
        <f ca="1">INDEX('Summary Data'!$AS$6:$FZ$57,MATCH($E498,'Summary Data'!$C$6:$C$57,0),MATCH($C498,'Summary Data'!$AS$3:$FZ$3,0)+1)</f>
        <v>0</v>
      </c>
      <c r="J498" s="4002" t="str">
        <f t="shared" ca="1" si="246"/>
        <v>N</v>
      </c>
      <c r="K498" s="3114" t="s">
        <v>3174</v>
      </c>
      <c r="L498" s="313"/>
      <c r="M498" s="313"/>
      <c r="N498" s="391"/>
      <c r="O498" s="313"/>
      <c r="P498" s="313"/>
      <c r="Q498" s="313"/>
      <c r="R498" s="313"/>
      <c r="S498" s="363"/>
    </row>
    <row r="499" spans="1:19" ht="16.899999999999999" hidden="1" customHeight="1" outlineLevel="1">
      <c r="A499" s="313"/>
      <c r="B499" s="1752" t="s">
        <v>140</v>
      </c>
      <c r="C499" s="1718" t="s">
        <v>1475</v>
      </c>
      <c r="D499" s="1719">
        <f t="shared" si="252"/>
        <v>170</v>
      </c>
      <c r="E499" s="1761" t="str">
        <f t="shared" ca="1" si="250"/>
        <v>N</v>
      </c>
      <c r="F499" s="1591" t="str">
        <f t="shared" ca="1" si="251"/>
        <v>N</v>
      </c>
      <c r="G499" s="1591">
        <f ca="1">INDEX('Summary Data'!$AS$6:$FZ$57,MATCH($E499,'Summary Data'!$C$6:$C$57,0),MATCH($C499,'Summary Data'!$AS$3:$FZ$3,0))</f>
        <v>0</v>
      </c>
      <c r="H499" s="1592" t="s">
        <v>5</v>
      </c>
      <c r="I499" s="1591">
        <f ca="1">INDEX('Summary Data'!$AS$6:$FZ$57,MATCH($E499,'Summary Data'!$C$6:$C$57,0),MATCH($C499,'Summary Data'!$AS$3:$FZ$3,0)+1)</f>
        <v>0</v>
      </c>
      <c r="J499" s="4002" t="str">
        <f t="shared" ca="1" si="246"/>
        <v>N</v>
      </c>
      <c r="K499" s="3114" t="s">
        <v>3174</v>
      </c>
      <c r="L499" s="313"/>
      <c r="M499" s="313"/>
      <c r="N499" s="391"/>
      <c r="O499" s="313"/>
      <c r="P499" s="313"/>
      <c r="Q499" s="313"/>
      <c r="R499" s="313"/>
      <c r="S499" s="363"/>
    </row>
    <row r="500" spans="1:19" ht="16.899999999999999" hidden="1" customHeight="1" outlineLevel="1">
      <c r="A500" s="313"/>
      <c r="B500" s="1752" t="s">
        <v>140</v>
      </c>
      <c r="C500" s="1718" t="s">
        <v>1475</v>
      </c>
      <c r="D500" s="1719">
        <f t="shared" si="252"/>
        <v>187</v>
      </c>
      <c r="E500" s="1761" t="str">
        <f t="shared" ca="1" si="250"/>
        <v>N</v>
      </c>
      <c r="F500" s="1591" t="str">
        <f t="shared" ca="1" si="251"/>
        <v>N</v>
      </c>
      <c r="G500" s="1591">
        <f ca="1">INDEX('Summary Data'!$AS$6:$FZ$57,MATCH($E500,'Summary Data'!$C$6:$C$57,0),MATCH($C500,'Summary Data'!$AS$3:$FZ$3,0))</f>
        <v>0</v>
      </c>
      <c r="H500" s="1592" t="s">
        <v>5</v>
      </c>
      <c r="I500" s="1591">
        <f ca="1">INDEX('Summary Data'!$AS$6:$FZ$57,MATCH($E500,'Summary Data'!$C$6:$C$57,0),MATCH($C500,'Summary Data'!$AS$3:$FZ$3,0)+1)</f>
        <v>0</v>
      </c>
      <c r="J500" s="4002" t="str">
        <f t="shared" ca="1" si="246"/>
        <v>N</v>
      </c>
      <c r="K500" s="3114" t="s">
        <v>3174</v>
      </c>
      <c r="L500" s="313"/>
      <c r="M500" s="313"/>
      <c r="N500" s="391"/>
      <c r="O500" s="313"/>
      <c r="P500" s="313"/>
      <c r="Q500" s="313"/>
      <c r="R500" s="313"/>
      <c r="S500" s="363"/>
    </row>
    <row r="501" spans="1:19" ht="16.899999999999999" hidden="1" customHeight="1" outlineLevel="1">
      <c r="A501" s="313"/>
      <c r="B501" s="1752" t="s">
        <v>140</v>
      </c>
      <c r="C501" s="1718" t="s">
        <v>1475</v>
      </c>
      <c r="D501" s="1719">
        <f t="shared" si="252"/>
        <v>204</v>
      </c>
      <c r="E501" s="1761" t="str">
        <f t="shared" ca="1" si="250"/>
        <v>N</v>
      </c>
      <c r="F501" s="1591" t="str">
        <f t="shared" ca="1" si="251"/>
        <v>N</v>
      </c>
      <c r="G501" s="1591">
        <f ca="1">INDEX('Summary Data'!$AS$6:$FZ$57,MATCH($E501,'Summary Data'!$C$6:$C$57,0),MATCH($C501,'Summary Data'!$AS$3:$FZ$3,0))</f>
        <v>0</v>
      </c>
      <c r="H501" s="1592" t="s">
        <v>5</v>
      </c>
      <c r="I501" s="1591">
        <f ca="1">INDEX('Summary Data'!$AS$6:$FZ$57,MATCH($E501,'Summary Data'!$C$6:$C$57,0),MATCH($C501,'Summary Data'!$AS$3:$FZ$3,0)+1)</f>
        <v>0</v>
      </c>
      <c r="J501" s="4002" t="str">
        <f t="shared" ca="1" si="246"/>
        <v>N</v>
      </c>
      <c r="K501" s="3114" t="s">
        <v>3174</v>
      </c>
      <c r="L501" s="313"/>
      <c r="M501" s="313"/>
      <c r="N501" s="391"/>
      <c r="O501" s="313"/>
      <c r="P501" s="313"/>
      <c r="Q501" s="313"/>
      <c r="R501" s="313"/>
      <c r="S501" s="363"/>
    </row>
    <row r="502" spans="1:19" ht="16.899999999999999" hidden="1" customHeight="1" outlineLevel="1">
      <c r="A502" s="313"/>
      <c r="B502" s="1752" t="s">
        <v>140</v>
      </c>
      <c r="C502" s="1718" t="s">
        <v>1475</v>
      </c>
      <c r="D502" s="1719">
        <f t="shared" si="252"/>
        <v>221</v>
      </c>
      <c r="E502" s="1761" t="str">
        <f t="shared" ca="1" si="250"/>
        <v>1st</v>
      </c>
      <c r="F502" s="1591" t="str">
        <f t="shared" ca="1" si="251"/>
        <v>N</v>
      </c>
      <c r="G502" s="1591">
        <f ca="1">INDEX('Summary Data'!$AS$6:$FZ$57,MATCH($E502,'Summary Data'!$C$6:$C$57,0),MATCH($C502,'Summary Data'!$AS$3:$FZ$3,0))</f>
        <v>0</v>
      </c>
      <c r="H502" s="1592" t="s">
        <v>5</v>
      </c>
      <c r="I502" s="1591">
        <f ca="1">INDEX('Summary Data'!$AS$6:$FZ$57,MATCH($E502,'Summary Data'!$C$6:$C$57,0),MATCH($C502,'Summary Data'!$AS$3:$FZ$3,0)+1)</f>
        <v>0</v>
      </c>
      <c r="J502" s="4002" t="str">
        <f t="shared" ca="1" si="246"/>
        <v>N</v>
      </c>
      <c r="K502" s="3114" t="s">
        <v>3174</v>
      </c>
      <c r="L502" s="313"/>
      <c r="M502" s="313"/>
      <c r="N502" s="391"/>
      <c r="O502" s="313"/>
      <c r="P502" s="313"/>
      <c r="Q502" s="313"/>
      <c r="R502" s="313"/>
      <c r="S502" s="363"/>
    </row>
    <row r="503" spans="1:19" ht="16.899999999999999" hidden="1" customHeight="1" outlineLevel="1">
      <c r="A503" s="313"/>
      <c r="B503" s="1752" t="s">
        <v>140</v>
      </c>
      <c r="C503" s="1718" t="s">
        <v>1475</v>
      </c>
      <c r="D503" s="1719">
        <f t="shared" si="252"/>
        <v>238</v>
      </c>
      <c r="E503" s="1761" t="str">
        <f t="shared" ca="1" si="250"/>
        <v>1st</v>
      </c>
      <c r="F503" s="1591" t="str">
        <f t="shared" ca="1" si="251"/>
        <v>N</v>
      </c>
      <c r="G503" s="1591">
        <f ca="1">INDEX('Summary Data'!$AS$6:$FZ$57,MATCH($E503,'Summary Data'!$C$6:$C$57,0),MATCH($C503,'Summary Data'!$AS$3:$FZ$3,0))</f>
        <v>0</v>
      </c>
      <c r="H503" s="1592" t="s">
        <v>5</v>
      </c>
      <c r="I503" s="1591">
        <f ca="1">INDEX('Summary Data'!$AS$6:$FZ$57,MATCH($E503,'Summary Data'!$C$6:$C$57,0),MATCH($C503,'Summary Data'!$AS$3:$FZ$3,0)+1)</f>
        <v>0</v>
      </c>
      <c r="J503" s="4002" t="str">
        <f t="shared" ca="1" si="246"/>
        <v>N</v>
      </c>
      <c r="K503" s="3114" t="s">
        <v>3174</v>
      </c>
      <c r="L503" s="313"/>
      <c r="M503" s="313"/>
      <c r="N503" s="391"/>
      <c r="O503" s="313"/>
      <c r="P503" s="313"/>
      <c r="Q503" s="313"/>
      <c r="R503" s="313"/>
      <c r="S503" s="363"/>
    </row>
    <row r="504" spans="1:19" ht="16.899999999999999" hidden="1" customHeight="1" outlineLevel="1">
      <c r="B504" s="1752" t="s">
        <v>140</v>
      </c>
      <c r="C504" s="1718" t="s">
        <v>1142</v>
      </c>
      <c r="D504" s="1719">
        <v>0</v>
      </c>
      <c r="E504" s="1761" t="str">
        <f t="shared" ca="1" si="250"/>
        <v>Box</v>
      </c>
      <c r="F504" s="1591" t="str">
        <f t="shared" ca="1" si="251"/>
        <v>N</v>
      </c>
      <c r="G504" s="1591">
        <f ca="1">INDEX('Summary Data'!$AS$6:$FZ$57,MATCH($E504,'Summary Data'!$C$6:$C$57,0),MATCH($C504,'Summary Data'!$AS$3:$FZ$3,0))</f>
        <v>0</v>
      </c>
      <c r="H504" s="1592" t="s">
        <v>5</v>
      </c>
      <c r="I504" s="1591">
        <f ca="1">INDEX('Summary Data'!$AS$6:$FZ$57,MATCH($E504,'Summary Data'!$C$6:$C$57,0),MATCH($C504,'Summary Data'!$AS$3:$FZ$3,0)+1)</f>
        <v>0</v>
      </c>
      <c r="J504" s="4002" t="str">
        <f t="shared" ca="1" si="246"/>
        <v>N</v>
      </c>
      <c r="K504" s="3114" t="s">
        <v>3174</v>
      </c>
      <c r="M504" s="391"/>
      <c r="N504" s="391"/>
      <c r="O504" s="313"/>
      <c r="P504" s="313"/>
      <c r="Q504" s="313"/>
      <c r="R504" s="313"/>
      <c r="S504" s="313"/>
    </row>
    <row r="505" spans="1:19" ht="16.899999999999999" hidden="1" customHeight="1" outlineLevel="1">
      <c r="A505" s="1269"/>
      <c r="B505" s="1752" t="s">
        <v>140</v>
      </c>
      <c r="C505" s="1718" t="s">
        <v>1142</v>
      </c>
      <c r="D505" s="1719">
        <f>D504+17</f>
        <v>17</v>
      </c>
      <c r="E505" s="1761" t="str">
        <f t="shared" ca="1" si="250"/>
        <v>N</v>
      </c>
      <c r="F505" s="1591" t="str">
        <f t="shared" ca="1" si="251"/>
        <v>N</v>
      </c>
      <c r="G505" s="1591">
        <f ca="1">INDEX('Summary Data'!$AS$6:$FZ$57,MATCH($E505,'Summary Data'!$C$6:$C$57,0),MATCH($C505,'Summary Data'!$AS$3:$FZ$3,0))</f>
        <v>0</v>
      </c>
      <c r="H505" s="1592" t="s">
        <v>5</v>
      </c>
      <c r="I505" s="1591">
        <f ca="1">INDEX('Summary Data'!$AS$6:$FZ$57,MATCH($E505,'Summary Data'!$C$6:$C$57,0),MATCH($C505,'Summary Data'!$AS$3:$FZ$3,0)+1)</f>
        <v>0</v>
      </c>
      <c r="J505" s="4002" t="str">
        <f t="shared" ca="1" si="246"/>
        <v>N</v>
      </c>
      <c r="K505" s="3114" t="s">
        <v>3174</v>
      </c>
      <c r="M505" s="391"/>
      <c r="N505" s="391"/>
      <c r="O505" s="313"/>
      <c r="P505" s="313"/>
      <c r="Q505" s="313"/>
      <c r="R505" s="313"/>
      <c r="S505" s="313"/>
    </row>
    <row r="506" spans="1:19" ht="16.899999999999999" hidden="1" customHeight="1" outlineLevel="1">
      <c r="A506" s="1269"/>
      <c r="B506" s="1752" t="s">
        <v>140</v>
      </c>
      <c r="C506" s="1718" t="s">
        <v>1142</v>
      </c>
      <c r="D506" s="1719">
        <f t="shared" ref="D506:D518" si="253">D505+17</f>
        <v>34</v>
      </c>
      <c r="E506" s="1761" t="str">
        <f t="shared" ca="1" si="250"/>
        <v>N</v>
      </c>
      <c r="F506" s="1591" t="str">
        <f t="shared" ca="1" si="251"/>
        <v>N</v>
      </c>
      <c r="G506" s="1591">
        <f ca="1">INDEX('Summary Data'!$AS$6:$FZ$57,MATCH($E506,'Summary Data'!$C$6:$C$57,0),MATCH($C506,'Summary Data'!$AS$3:$FZ$3,0))</f>
        <v>0</v>
      </c>
      <c r="H506" s="1592" t="s">
        <v>5</v>
      </c>
      <c r="I506" s="1591">
        <f ca="1">INDEX('Summary Data'!$AS$6:$FZ$57,MATCH($E506,'Summary Data'!$C$6:$C$57,0),MATCH($C506,'Summary Data'!$AS$3:$FZ$3,0)+1)</f>
        <v>0</v>
      </c>
      <c r="J506" s="4002" t="str">
        <f t="shared" ca="1" si="246"/>
        <v>N</v>
      </c>
      <c r="K506" s="3114" t="s">
        <v>3174</v>
      </c>
      <c r="M506" s="391"/>
      <c r="N506" s="391"/>
      <c r="O506" s="313"/>
      <c r="P506" s="313"/>
      <c r="Q506" s="313"/>
      <c r="R506" s="313"/>
      <c r="S506" s="313"/>
    </row>
    <row r="507" spans="1:19" ht="16.899999999999999" hidden="1" customHeight="1" outlineLevel="1">
      <c r="A507" s="1269"/>
      <c r="B507" s="1752" t="s">
        <v>140</v>
      </c>
      <c r="C507" s="1718" t="s">
        <v>1142</v>
      </c>
      <c r="D507" s="1719">
        <f t="shared" si="253"/>
        <v>51</v>
      </c>
      <c r="E507" s="1761" t="str">
        <f t="shared" ca="1" si="250"/>
        <v>N</v>
      </c>
      <c r="F507" s="1591" t="str">
        <f t="shared" ca="1" si="251"/>
        <v>N</v>
      </c>
      <c r="G507" s="1591">
        <f ca="1">INDEX('Summary Data'!$AS$6:$FZ$57,MATCH($E507,'Summary Data'!$C$6:$C$57,0),MATCH($C507,'Summary Data'!$AS$3:$FZ$3,0))</f>
        <v>0</v>
      </c>
      <c r="H507" s="1592" t="s">
        <v>5</v>
      </c>
      <c r="I507" s="1591">
        <f ca="1">INDEX('Summary Data'!$AS$6:$FZ$57,MATCH($E507,'Summary Data'!$C$6:$C$57,0),MATCH($C507,'Summary Data'!$AS$3:$FZ$3,0)+1)</f>
        <v>0</v>
      </c>
      <c r="J507" s="4002" t="str">
        <f t="shared" ca="1" si="246"/>
        <v>N</v>
      </c>
      <c r="K507" s="3114" t="s">
        <v>3174</v>
      </c>
      <c r="M507" s="391"/>
      <c r="N507" s="391"/>
      <c r="O507" s="313"/>
      <c r="P507" s="313"/>
      <c r="Q507" s="313"/>
      <c r="R507" s="313"/>
      <c r="S507" s="313"/>
    </row>
    <row r="508" spans="1:19" ht="16.899999999999999" hidden="1" customHeight="1" outlineLevel="1">
      <c r="A508" s="1269"/>
      <c r="B508" s="1752" t="s">
        <v>140</v>
      </c>
      <c r="C508" s="1718" t="s">
        <v>1142</v>
      </c>
      <c r="D508" s="1719">
        <f t="shared" si="253"/>
        <v>68</v>
      </c>
      <c r="E508" s="1761" t="str">
        <f t="shared" ref="E508:E539" ca="1" si="254">OFFSET($A$25,D508,0)</f>
        <v>N</v>
      </c>
      <c r="F508" s="1591" t="str">
        <f t="shared" ref="F508:F539" ca="1" si="255">IF(G508=0,"N",E508)</f>
        <v>N</v>
      </c>
      <c r="G508" s="1591">
        <f ca="1">INDEX('Summary Data'!$AS$6:$FZ$57,MATCH($E508,'Summary Data'!$C$6:$C$57,0),MATCH($C508,'Summary Data'!$AS$3:$FZ$3,0))</f>
        <v>0</v>
      </c>
      <c r="H508" s="1592" t="s">
        <v>5</v>
      </c>
      <c r="I508" s="1591">
        <f ca="1">INDEX('Summary Data'!$AS$6:$FZ$57,MATCH($E508,'Summary Data'!$C$6:$C$57,0),MATCH($C508,'Summary Data'!$AS$3:$FZ$3,0)+1)</f>
        <v>0</v>
      </c>
      <c r="J508" s="4002" t="str">
        <f t="shared" ca="1" si="246"/>
        <v>N</v>
      </c>
      <c r="K508" s="3114" t="s">
        <v>3174</v>
      </c>
      <c r="M508" s="391"/>
      <c r="N508" s="391"/>
      <c r="O508" s="313"/>
      <c r="P508" s="313"/>
      <c r="Q508" s="313"/>
      <c r="R508" s="313"/>
      <c r="S508" s="313"/>
    </row>
    <row r="509" spans="1:19" ht="16.899999999999999" hidden="1" customHeight="1" outlineLevel="1">
      <c r="A509" s="1269"/>
      <c r="B509" s="1752" t="s">
        <v>140</v>
      </c>
      <c r="C509" s="1718" t="s">
        <v>1142</v>
      </c>
      <c r="D509" s="1719">
        <f t="shared" si="253"/>
        <v>85</v>
      </c>
      <c r="E509" s="1761" t="str">
        <f t="shared" ca="1" si="254"/>
        <v>N</v>
      </c>
      <c r="F509" s="1591" t="str">
        <f t="shared" ca="1" si="255"/>
        <v>N</v>
      </c>
      <c r="G509" s="1591">
        <f ca="1">INDEX('Summary Data'!$AS$6:$FZ$57,MATCH($E509,'Summary Data'!$C$6:$C$57,0),MATCH($C509,'Summary Data'!$AS$3:$FZ$3,0))</f>
        <v>0</v>
      </c>
      <c r="H509" s="1592" t="s">
        <v>5</v>
      </c>
      <c r="I509" s="1591">
        <f ca="1">INDEX('Summary Data'!$AS$6:$FZ$57,MATCH($E509,'Summary Data'!$C$6:$C$57,0),MATCH($C509,'Summary Data'!$AS$3:$FZ$3,0)+1)</f>
        <v>0</v>
      </c>
      <c r="J509" s="4002" t="str">
        <f t="shared" ref="J509:J563" ca="1" si="256">F509</f>
        <v>N</v>
      </c>
      <c r="K509" s="3114" t="s">
        <v>3174</v>
      </c>
      <c r="M509" s="391"/>
      <c r="N509" s="391"/>
      <c r="O509" s="313"/>
      <c r="P509" s="313"/>
      <c r="Q509" s="313"/>
      <c r="R509" s="313"/>
      <c r="S509" s="313"/>
    </row>
    <row r="510" spans="1:19" ht="16.899999999999999" hidden="1" customHeight="1" outlineLevel="1">
      <c r="A510" s="1269"/>
      <c r="B510" s="1752" t="s">
        <v>140</v>
      </c>
      <c r="C510" s="1718" t="s">
        <v>1142</v>
      </c>
      <c r="D510" s="1719">
        <f t="shared" si="253"/>
        <v>102</v>
      </c>
      <c r="E510" s="1761" t="str">
        <f t="shared" ca="1" si="254"/>
        <v>N</v>
      </c>
      <c r="F510" s="1591" t="str">
        <f t="shared" ca="1" si="255"/>
        <v>N</v>
      </c>
      <c r="G510" s="1591">
        <f ca="1">INDEX('Summary Data'!$AS$6:$FZ$57,MATCH($E510,'Summary Data'!$C$6:$C$57,0),MATCH($C510,'Summary Data'!$AS$3:$FZ$3,0))</f>
        <v>0</v>
      </c>
      <c r="H510" s="1592" t="s">
        <v>5</v>
      </c>
      <c r="I510" s="1591">
        <f ca="1">INDEX('Summary Data'!$AS$6:$FZ$57,MATCH($E510,'Summary Data'!$C$6:$C$57,0),MATCH($C510,'Summary Data'!$AS$3:$FZ$3,0)+1)</f>
        <v>0</v>
      </c>
      <c r="J510" s="4002" t="str">
        <f t="shared" ca="1" si="256"/>
        <v>N</v>
      </c>
      <c r="K510" s="3114" t="s">
        <v>3174</v>
      </c>
      <c r="M510" s="391"/>
      <c r="N510" s="391"/>
      <c r="O510" s="313"/>
      <c r="P510" s="313"/>
      <c r="Q510" s="313"/>
      <c r="R510" s="313"/>
      <c r="S510" s="313"/>
    </row>
    <row r="511" spans="1:19" ht="16.899999999999999" hidden="1" customHeight="1" outlineLevel="1">
      <c r="A511" s="1269"/>
      <c r="B511" s="1752" t="s">
        <v>140</v>
      </c>
      <c r="C511" s="1718" t="s">
        <v>1142</v>
      </c>
      <c r="D511" s="1719">
        <f t="shared" si="253"/>
        <v>119</v>
      </c>
      <c r="E511" s="1761" t="str">
        <f t="shared" ca="1" si="254"/>
        <v>N</v>
      </c>
      <c r="F511" s="1591" t="str">
        <f t="shared" ca="1" si="255"/>
        <v>N</v>
      </c>
      <c r="G511" s="1591">
        <f ca="1">INDEX('Summary Data'!$AS$6:$FZ$57,MATCH($E511,'Summary Data'!$C$6:$C$57,0),MATCH($C511,'Summary Data'!$AS$3:$FZ$3,0))</f>
        <v>0</v>
      </c>
      <c r="H511" s="1592" t="s">
        <v>5</v>
      </c>
      <c r="I511" s="1591">
        <f ca="1">INDEX('Summary Data'!$AS$6:$FZ$57,MATCH($E511,'Summary Data'!$C$6:$C$57,0),MATCH($C511,'Summary Data'!$AS$3:$FZ$3,0)+1)</f>
        <v>0</v>
      </c>
      <c r="J511" s="4002" t="str">
        <f t="shared" ca="1" si="256"/>
        <v>N</v>
      </c>
      <c r="K511" s="3114" t="s">
        <v>3174</v>
      </c>
      <c r="M511" s="391"/>
      <c r="N511" s="391"/>
      <c r="O511" s="313"/>
      <c r="P511" s="313"/>
      <c r="Q511" s="313"/>
      <c r="R511" s="313"/>
      <c r="S511" s="313"/>
    </row>
    <row r="512" spans="1:19" ht="16.899999999999999" hidden="1" customHeight="1" outlineLevel="1">
      <c r="A512" s="1269"/>
      <c r="B512" s="1752" t="s">
        <v>140</v>
      </c>
      <c r="C512" s="1718" t="s">
        <v>1142</v>
      </c>
      <c r="D512" s="1719">
        <f t="shared" si="253"/>
        <v>136</v>
      </c>
      <c r="E512" s="1761" t="str">
        <f t="shared" ca="1" si="254"/>
        <v>N</v>
      </c>
      <c r="F512" s="1591" t="str">
        <f t="shared" ca="1" si="255"/>
        <v>N</v>
      </c>
      <c r="G512" s="1591">
        <f ca="1">INDEX('Summary Data'!$AS$6:$FZ$57,MATCH($E512,'Summary Data'!$C$6:$C$57,0),MATCH($C512,'Summary Data'!$AS$3:$FZ$3,0))</f>
        <v>0</v>
      </c>
      <c r="H512" s="1592" t="s">
        <v>5</v>
      </c>
      <c r="I512" s="1591">
        <f ca="1">INDEX('Summary Data'!$AS$6:$FZ$57,MATCH($E512,'Summary Data'!$C$6:$C$57,0),MATCH($C512,'Summary Data'!$AS$3:$FZ$3,0)+1)</f>
        <v>0</v>
      </c>
      <c r="J512" s="4002" t="str">
        <f t="shared" ca="1" si="256"/>
        <v>N</v>
      </c>
      <c r="K512" s="3114" t="s">
        <v>3174</v>
      </c>
      <c r="M512" s="391"/>
      <c r="N512" s="391"/>
      <c r="O512" s="313"/>
      <c r="P512" s="313"/>
      <c r="Q512" s="313"/>
      <c r="R512" s="313"/>
      <c r="S512" s="313"/>
    </row>
    <row r="513" spans="1:19" ht="16.899999999999999" hidden="1" customHeight="1" outlineLevel="1">
      <c r="A513" s="1269"/>
      <c r="B513" s="1752" t="s">
        <v>140</v>
      </c>
      <c r="C513" s="1718" t="s">
        <v>1142</v>
      </c>
      <c r="D513" s="1719">
        <f t="shared" si="253"/>
        <v>153</v>
      </c>
      <c r="E513" s="1761" t="str">
        <f t="shared" ca="1" si="254"/>
        <v>N</v>
      </c>
      <c r="F513" s="1591" t="str">
        <f t="shared" ca="1" si="255"/>
        <v>N</v>
      </c>
      <c r="G513" s="1591">
        <f ca="1">INDEX('Summary Data'!$AS$6:$FZ$57,MATCH($E513,'Summary Data'!$C$6:$C$57,0),MATCH($C513,'Summary Data'!$AS$3:$FZ$3,0))</f>
        <v>0</v>
      </c>
      <c r="H513" s="1592" t="s">
        <v>5</v>
      </c>
      <c r="I513" s="1591">
        <f ca="1">INDEX('Summary Data'!$AS$6:$FZ$57,MATCH($E513,'Summary Data'!$C$6:$C$57,0),MATCH($C513,'Summary Data'!$AS$3:$FZ$3,0)+1)</f>
        <v>0</v>
      </c>
      <c r="J513" s="4002" t="str">
        <f t="shared" ca="1" si="256"/>
        <v>N</v>
      </c>
      <c r="K513" s="3114" t="s">
        <v>3174</v>
      </c>
      <c r="M513" s="391"/>
      <c r="N513" s="391"/>
      <c r="O513" s="313"/>
      <c r="P513" s="313"/>
      <c r="Q513" s="313"/>
      <c r="R513" s="313"/>
      <c r="S513" s="313"/>
    </row>
    <row r="514" spans="1:19" ht="16.899999999999999" hidden="1" customHeight="1" outlineLevel="1">
      <c r="A514" s="1269"/>
      <c r="B514" s="1752" t="s">
        <v>140</v>
      </c>
      <c r="C514" s="1718" t="s">
        <v>1142</v>
      </c>
      <c r="D514" s="1719">
        <f t="shared" si="253"/>
        <v>170</v>
      </c>
      <c r="E514" s="1761" t="str">
        <f t="shared" ca="1" si="254"/>
        <v>N</v>
      </c>
      <c r="F514" s="1591" t="str">
        <f t="shared" ca="1" si="255"/>
        <v>N</v>
      </c>
      <c r="G514" s="1591">
        <f ca="1">INDEX('Summary Data'!$AS$6:$FZ$57,MATCH($E514,'Summary Data'!$C$6:$C$57,0),MATCH($C514,'Summary Data'!$AS$3:$FZ$3,0))</f>
        <v>0</v>
      </c>
      <c r="H514" s="1592" t="s">
        <v>5</v>
      </c>
      <c r="I514" s="1591">
        <f ca="1">INDEX('Summary Data'!$AS$6:$FZ$57,MATCH($E514,'Summary Data'!$C$6:$C$57,0),MATCH($C514,'Summary Data'!$AS$3:$FZ$3,0)+1)</f>
        <v>0</v>
      </c>
      <c r="J514" s="4002" t="str">
        <f t="shared" ca="1" si="256"/>
        <v>N</v>
      </c>
      <c r="K514" s="3114" t="s">
        <v>3174</v>
      </c>
      <c r="M514" s="391"/>
      <c r="N514" s="391"/>
      <c r="O514" s="313"/>
      <c r="P514" s="313"/>
      <c r="Q514" s="313"/>
      <c r="R514" s="313"/>
      <c r="S514" s="313"/>
    </row>
    <row r="515" spans="1:19" ht="16.899999999999999" hidden="1" customHeight="1" outlineLevel="1">
      <c r="A515" s="1269"/>
      <c r="B515" s="1752" t="s">
        <v>140</v>
      </c>
      <c r="C515" s="1718" t="s">
        <v>1142</v>
      </c>
      <c r="D515" s="1719">
        <f t="shared" si="253"/>
        <v>187</v>
      </c>
      <c r="E515" s="1761" t="str">
        <f t="shared" ca="1" si="254"/>
        <v>N</v>
      </c>
      <c r="F515" s="1591" t="str">
        <f t="shared" ca="1" si="255"/>
        <v>N</v>
      </c>
      <c r="G515" s="1591">
        <f ca="1">INDEX('Summary Data'!$AS$6:$FZ$57,MATCH($E515,'Summary Data'!$C$6:$C$57,0),MATCH($C515,'Summary Data'!$AS$3:$FZ$3,0))</f>
        <v>0</v>
      </c>
      <c r="H515" s="1592" t="s">
        <v>5</v>
      </c>
      <c r="I515" s="1591">
        <f ca="1">INDEX('Summary Data'!$AS$6:$FZ$57,MATCH($E515,'Summary Data'!$C$6:$C$57,0),MATCH($C515,'Summary Data'!$AS$3:$FZ$3,0)+1)</f>
        <v>0</v>
      </c>
      <c r="J515" s="4002" t="str">
        <f t="shared" ca="1" si="256"/>
        <v>N</v>
      </c>
      <c r="K515" s="3114" t="s">
        <v>3174</v>
      </c>
      <c r="M515" s="391"/>
      <c r="N515" s="391"/>
      <c r="O515" s="313"/>
      <c r="P515" s="313"/>
      <c r="Q515" s="313"/>
      <c r="R515" s="313"/>
      <c r="S515" s="313"/>
    </row>
    <row r="516" spans="1:19" ht="16.899999999999999" hidden="1" customHeight="1" outlineLevel="1">
      <c r="A516" s="1269"/>
      <c r="B516" s="1752" t="s">
        <v>140</v>
      </c>
      <c r="C516" s="1718" t="s">
        <v>1142</v>
      </c>
      <c r="D516" s="1719">
        <f t="shared" si="253"/>
        <v>204</v>
      </c>
      <c r="E516" s="1761" t="str">
        <f t="shared" ca="1" si="254"/>
        <v>N</v>
      </c>
      <c r="F516" s="1591" t="str">
        <f t="shared" ca="1" si="255"/>
        <v>N</v>
      </c>
      <c r="G516" s="1591">
        <f ca="1">INDEX('Summary Data'!$AS$6:$FZ$57,MATCH($E516,'Summary Data'!$C$6:$C$57,0),MATCH($C516,'Summary Data'!$AS$3:$FZ$3,0))</f>
        <v>0</v>
      </c>
      <c r="H516" s="1592" t="s">
        <v>5</v>
      </c>
      <c r="I516" s="1591">
        <f ca="1">INDEX('Summary Data'!$AS$6:$FZ$57,MATCH($E516,'Summary Data'!$C$6:$C$57,0),MATCH($C516,'Summary Data'!$AS$3:$FZ$3,0)+1)</f>
        <v>0</v>
      </c>
      <c r="J516" s="4002" t="str">
        <f t="shared" ca="1" si="256"/>
        <v>N</v>
      </c>
      <c r="K516" s="3114" t="s">
        <v>3174</v>
      </c>
      <c r="M516" s="391"/>
      <c r="N516" s="391"/>
      <c r="O516" s="313"/>
      <c r="P516" s="313"/>
      <c r="Q516" s="313"/>
      <c r="R516" s="313"/>
      <c r="S516" s="313"/>
    </row>
    <row r="517" spans="1:19" ht="16.899999999999999" hidden="1" customHeight="1" outlineLevel="1">
      <c r="A517" s="1269"/>
      <c r="B517" s="1752" t="s">
        <v>140</v>
      </c>
      <c r="C517" s="1718" t="s">
        <v>1142</v>
      </c>
      <c r="D517" s="1719">
        <f t="shared" si="253"/>
        <v>221</v>
      </c>
      <c r="E517" s="1761" t="str">
        <f t="shared" ca="1" si="254"/>
        <v>1st</v>
      </c>
      <c r="F517" s="1591" t="str">
        <f t="shared" ca="1" si="255"/>
        <v>N</v>
      </c>
      <c r="G517" s="1591">
        <f ca="1">INDEX('Summary Data'!$AS$6:$FZ$57,MATCH($E517,'Summary Data'!$C$6:$C$57,0),MATCH($C517,'Summary Data'!$AS$3:$FZ$3,0))</f>
        <v>0</v>
      </c>
      <c r="H517" s="1592" t="s">
        <v>5</v>
      </c>
      <c r="I517" s="1591">
        <f ca="1">INDEX('Summary Data'!$AS$6:$FZ$57,MATCH($E517,'Summary Data'!$C$6:$C$57,0),MATCH($C517,'Summary Data'!$AS$3:$FZ$3,0)+1)</f>
        <v>0</v>
      </c>
      <c r="J517" s="4002" t="str">
        <f t="shared" ca="1" si="256"/>
        <v>N</v>
      </c>
      <c r="K517" s="3114" t="s">
        <v>3174</v>
      </c>
      <c r="M517" s="391"/>
      <c r="N517" s="391"/>
      <c r="O517" s="313"/>
      <c r="P517" s="313"/>
      <c r="Q517" s="313"/>
      <c r="R517" s="313"/>
      <c r="S517" s="313"/>
    </row>
    <row r="518" spans="1:19" ht="16.899999999999999" hidden="1" customHeight="1" outlineLevel="1">
      <c r="A518" s="1269"/>
      <c r="B518" s="1752" t="s">
        <v>140</v>
      </c>
      <c r="C518" s="1718" t="s">
        <v>1142</v>
      </c>
      <c r="D518" s="1719">
        <f t="shared" si="253"/>
        <v>238</v>
      </c>
      <c r="E518" s="1761" t="str">
        <f t="shared" ca="1" si="254"/>
        <v>1st</v>
      </c>
      <c r="F518" s="1591" t="str">
        <f t="shared" ca="1" si="255"/>
        <v>N</v>
      </c>
      <c r="G518" s="1591">
        <f ca="1">INDEX('Summary Data'!$AS$6:$FZ$57,MATCH($E518,'Summary Data'!$C$6:$C$57,0),MATCH($C518,'Summary Data'!$AS$3:$FZ$3,0))</f>
        <v>0</v>
      </c>
      <c r="H518" s="1592" t="s">
        <v>5</v>
      </c>
      <c r="I518" s="1591">
        <f ca="1">INDEX('Summary Data'!$AS$6:$FZ$57,MATCH($E518,'Summary Data'!$C$6:$C$57,0),MATCH($C518,'Summary Data'!$AS$3:$FZ$3,0)+1)</f>
        <v>0</v>
      </c>
      <c r="J518" s="4002" t="str">
        <f t="shared" ca="1" si="256"/>
        <v>N</v>
      </c>
      <c r="K518" s="3114" t="s">
        <v>3174</v>
      </c>
      <c r="M518" s="391"/>
      <c r="N518" s="391"/>
      <c r="O518" s="313"/>
      <c r="P518" s="313"/>
      <c r="Q518" s="313"/>
      <c r="R518" s="313"/>
      <c r="S518" s="313"/>
    </row>
    <row r="519" spans="1:19" ht="16.899999999999999" hidden="1" customHeight="1" outlineLevel="1">
      <c r="A519" s="1269"/>
      <c r="B519" s="1752" t="s">
        <v>140</v>
      </c>
      <c r="C519" s="1718" t="s">
        <v>3498</v>
      </c>
      <c r="D519" s="1719">
        <v>0</v>
      </c>
      <c r="E519" s="1761" t="str">
        <f t="shared" ca="1" si="254"/>
        <v>Box</v>
      </c>
      <c r="F519" s="1591" t="str">
        <f t="shared" ca="1" si="255"/>
        <v>N</v>
      </c>
      <c r="G519" s="1591">
        <f ca="1">INDEX('Summary Data'!$AS$6:$FZ$57,MATCH($E519,'Summary Data'!$C$6:$C$57,0),MATCH($C519,'Summary Data'!$AS$3:$FZ$3,0))</f>
        <v>0</v>
      </c>
      <c r="H519" s="1592" t="s">
        <v>5</v>
      </c>
      <c r="I519" s="1591">
        <f ca="1">INDEX('Summary Data'!$AS$6:$FZ$57,MATCH($E519,'Summary Data'!$C$6:$C$57,0),MATCH($C519,'Summary Data'!$AS$3:$FZ$3,0)+1)</f>
        <v>0</v>
      </c>
      <c r="J519" s="4002" t="str">
        <f t="shared" ca="1" si="256"/>
        <v>N</v>
      </c>
      <c r="K519" s="3114" t="s">
        <v>3174</v>
      </c>
      <c r="M519" s="391"/>
      <c r="N519" s="391"/>
      <c r="O519" s="313"/>
      <c r="P519" s="313"/>
      <c r="Q519" s="313"/>
      <c r="R519" s="313"/>
      <c r="S519" s="313"/>
    </row>
    <row r="520" spans="1:19" ht="16.899999999999999" hidden="1" customHeight="1" outlineLevel="1">
      <c r="A520" s="1269"/>
      <c r="B520" s="1752" t="s">
        <v>140</v>
      </c>
      <c r="C520" s="1718" t="s">
        <v>3498</v>
      </c>
      <c r="D520" s="1719">
        <f>D519+17</f>
        <v>17</v>
      </c>
      <c r="E520" s="1761" t="str">
        <f t="shared" ca="1" si="254"/>
        <v>N</v>
      </c>
      <c r="F520" s="1591" t="str">
        <f t="shared" ca="1" si="255"/>
        <v>N</v>
      </c>
      <c r="G520" s="1591">
        <f ca="1">INDEX('Summary Data'!$AS$6:$FZ$57,MATCH($E520,'Summary Data'!$C$6:$C$57,0),MATCH($C520,'Summary Data'!$AS$3:$FZ$3,0))</f>
        <v>0</v>
      </c>
      <c r="H520" s="1592" t="s">
        <v>5</v>
      </c>
      <c r="I520" s="1591">
        <f ca="1">INDEX('Summary Data'!$AS$6:$FZ$57,MATCH($E520,'Summary Data'!$C$6:$C$57,0),MATCH($C520,'Summary Data'!$AS$3:$FZ$3,0)+1)</f>
        <v>0</v>
      </c>
      <c r="J520" s="4002" t="str">
        <f t="shared" ca="1" si="256"/>
        <v>N</v>
      </c>
      <c r="K520" s="3114" t="s">
        <v>3174</v>
      </c>
      <c r="M520" s="391"/>
      <c r="N520" s="391"/>
      <c r="O520" s="313"/>
      <c r="P520" s="313"/>
      <c r="Q520" s="313"/>
      <c r="R520" s="313"/>
      <c r="S520" s="313"/>
    </row>
    <row r="521" spans="1:19" ht="16.899999999999999" hidden="1" customHeight="1" outlineLevel="1">
      <c r="A521" s="1269"/>
      <c r="B521" s="1752" t="s">
        <v>140</v>
      </c>
      <c r="C521" s="1718" t="s">
        <v>3498</v>
      </c>
      <c r="D521" s="1719">
        <f t="shared" ref="D521:D533" si="257">D520+17</f>
        <v>34</v>
      </c>
      <c r="E521" s="1761" t="str">
        <f t="shared" ca="1" si="254"/>
        <v>N</v>
      </c>
      <c r="F521" s="1591" t="str">
        <f t="shared" ca="1" si="255"/>
        <v>N</v>
      </c>
      <c r="G521" s="1591">
        <f ca="1">INDEX('Summary Data'!$AS$6:$FZ$57,MATCH($E521,'Summary Data'!$C$6:$C$57,0),MATCH($C521,'Summary Data'!$AS$3:$FZ$3,0))</f>
        <v>0</v>
      </c>
      <c r="H521" s="1592" t="s">
        <v>5</v>
      </c>
      <c r="I521" s="1591">
        <f ca="1">INDEX('Summary Data'!$AS$6:$FZ$57,MATCH($E521,'Summary Data'!$C$6:$C$57,0),MATCH($C521,'Summary Data'!$AS$3:$FZ$3,0)+1)</f>
        <v>0</v>
      </c>
      <c r="J521" s="4002" t="str">
        <f t="shared" ca="1" si="256"/>
        <v>N</v>
      </c>
      <c r="K521" s="3114" t="s">
        <v>3174</v>
      </c>
      <c r="M521" s="391"/>
      <c r="N521" s="391"/>
      <c r="O521" s="313"/>
      <c r="P521" s="313"/>
      <c r="Q521" s="313"/>
      <c r="R521" s="313"/>
      <c r="S521" s="313"/>
    </row>
    <row r="522" spans="1:19" ht="16.899999999999999" hidden="1" customHeight="1" outlineLevel="1">
      <c r="A522" s="1269"/>
      <c r="B522" s="1752" t="s">
        <v>140</v>
      </c>
      <c r="C522" s="1718" t="s">
        <v>3498</v>
      </c>
      <c r="D522" s="1719">
        <f t="shared" si="257"/>
        <v>51</v>
      </c>
      <c r="E522" s="1761" t="str">
        <f t="shared" ca="1" si="254"/>
        <v>N</v>
      </c>
      <c r="F522" s="1591" t="str">
        <f t="shared" ca="1" si="255"/>
        <v>N</v>
      </c>
      <c r="G522" s="1591">
        <f ca="1">INDEX('Summary Data'!$AS$6:$FZ$57,MATCH($E522,'Summary Data'!$C$6:$C$57,0),MATCH($C522,'Summary Data'!$AS$3:$FZ$3,0))</f>
        <v>0</v>
      </c>
      <c r="H522" s="1592" t="s">
        <v>5</v>
      </c>
      <c r="I522" s="1591">
        <f ca="1">INDEX('Summary Data'!$AS$6:$FZ$57,MATCH($E522,'Summary Data'!$C$6:$C$57,0),MATCH($C522,'Summary Data'!$AS$3:$FZ$3,0)+1)</f>
        <v>0</v>
      </c>
      <c r="J522" s="4002" t="str">
        <f t="shared" ca="1" si="256"/>
        <v>N</v>
      </c>
      <c r="K522" s="3114" t="s">
        <v>3174</v>
      </c>
      <c r="M522" s="391"/>
      <c r="N522" s="391"/>
      <c r="O522" s="313"/>
      <c r="P522" s="313"/>
      <c r="Q522" s="313"/>
      <c r="R522" s="313"/>
      <c r="S522" s="313"/>
    </row>
    <row r="523" spans="1:19" ht="16.899999999999999" hidden="1" customHeight="1" outlineLevel="1">
      <c r="A523" s="1269"/>
      <c r="B523" s="1752" t="s">
        <v>140</v>
      </c>
      <c r="C523" s="1718" t="s">
        <v>3498</v>
      </c>
      <c r="D523" s="1719">
        <f t="shared" si="257"/>
        <v>68</v>
      </c>
      <c r="E523" s="1761" t="str">
        <f t="shared" ca="1" si="254"/>
        <v>N</v>
      </c>
      <c r="F523" s="1591" t="str">
        <f t="shared" ca="1" si="255"/>
        <v>N</v>
      </c>
      <c r="G523" s="1591">
        <f ca="1">INDEX('Summary Data'!$AS$6:$FZ$57,MATCH($E523,'Summary Data'!$C$6:$C$57,0),MATCH($C523,'Summary Data'!$AS$3:$FZ$3,0))</f>
        <v>0</v>
      </c>
      <c r="H523" s="1592" t="s">
        <v>5</v>
      </c>
      <c r="I523" s="1591">
        <f ca="1">INDEX('Summary Data'!$AS$6:$FZ$57,MATCH($E523,'Summary Data'!$C$6:$C$57,0),MATCH($C523,'Summary Data'!$AS$3:$FZ$3,0)+1)</f>
        <v>0</v>
      </c>
      <c r="J523" s="4002" t="str">
        <f t="shared" ca="1" si="256"/>
        <v>N</v>
      </c>
      <c r="K523" s="3114" t="s">
        <v>3174</v>
      </c>
      <c r="M523" s="391"/>
      <c r="N523" s="391"/>
      <c r="O523" s="313"/>
      <c r="P523" s="313"/>
      <c r="Q523" s="313"/>
      <c r="R523" s="313"/>
      <c r="S523" s="313"/>
    </row>
    <row r="524" spans="1:19" ht="16.899999999999999" hidden="1" customHeight="1" outlineLevel="1">
      <c r="A524" s="1269"/>
      <c r="B524" s="1752" t="s">
        <v>140</v>
      </c>
      <c r="C524" s="1718" t="s">
        <v>3498</v>
      </c>
      <c r="D524" s="1719">
        <f t="shared" si="257"/>
        <v>85</v>
      </c>
      <c r="E524" s="1761" t="str">
        <f t="shared" ca="1" si="254"/>
        <v>N</v>
      </c>
      <c r="F524" s="1591" t="str">
        <f t="shared" ca="1" si="255"/>
        <v>N</v>
      </c>
      <c r="G524" s="1591">
        <f ca="1">INDEX('Summary Data'!$AS$6:$FZ$57,MATCH($E524,'Summary Data'!$C$6:$C$57,0),MATCH($C524,'Summary Data'!$AS$3:$FZ$3,0))</f>
        <v>0</v>
      </c>
      <c r="H524" s="1592" t="s">
        <v>5</v>
      </c>
      <c r="I524" s="1591">
        <f ca="1">INDEX('Summary Data'!$AS$6:$FZ$57,MATCH($E524,'Summary Data'!$C$6:$C$57,0),MATCH($C524,'Summary Data'!$AS$3:$FZ$3,0)+1)</f>
        <v>0</v>
      </c>
      <c r="J524" s="4002" t="str">
        <f t="shared" ca="1" si="256"/>
        <v>N</v>
      </c>
      <c r="K524" s="3114" t="s">
        <v>3174</v>
      </c>
      <c r="M524" s="391"/>
      <c r="N524" s="391"/>
      <c r="O524" s="313"/>
      <c r="P524" s="313"/>
      <c r="Q524" s="313"/>
      <c r="R524" s="313"/>
      <c r="S524" s="313"/>
    </row>
    <row r="525" spans="1:19" ht="16.899999999999999" hidden="1" customHeight="1" outlineLevel="1">
      <c r="A525" s="1269"/>
      <c r="B525" s="1752" t="s">
        <v>140</v>
      </c>
      <c r="C525" s="1718" t="s">
        <v>3498</v>
      </c>
      <c r="D525" s="1719">
        <f t="shared" si="257"/>
        <v>102</v>
      </c>
      <c r="E525" s="1761" t="str">
        <f t="shared" ca="1" si="254"/>
        <v>N</v>
      </c>
      <c r="F525" s="1591" t="str">
        <f t="shared" ca="1" si="255"/>
        <v>N</v>
      </c>
      <c r="G525" s="1591">
        <f ca="1">INDEX('Summary Data'!$AS$6:$FZ$57,MATCH($E525,'Summary Data'!$C$6:$C$57,0),MATCH($C525,'Summary Data'!$AS$3:$FZ$3,0))</f>
        <v>0</v>
      </c>
      <c r="H525" s="1592" t="s">
        <v>5</v>
      </c>
      <c r="I525" s="1591">
        <f ca="1">INDEX('Summary Data'!$AS$6:$FZ$57,MATCH($E525,'Summary Data'!$C$6:$C$57,0),MATCH($C525,'Summary Data'!$AS$3:$FZ$3,0)+1)</f>
        <v>0</v>
      </c>
      <c r="J525" s="4002" t="str">
        <f t="shared" ca="1" si="256"/>
        <v>N</v>
      </c>
      <c r="K525" s="3114" t="s">
        <v>3174</v>
      </c>
      <c r="M525" s="391"/>
      <c r="N525" s="391"/>
      <c r="O525" s="313"/>
      <c r="P525" s="313"/>
      <c r="Q525" s="313"/>
      <c r="R525" s="313"/>
      <c r="S525" s="313"/>
    </row>
    <row r="526" spans="1:19" ht="16.899999999999999" hidden="1" customHeight="1" outlineLevel="1">
      <c r="A526" s="1269"/>
      <c r="B526" s="1752" t="s">
        <v>140</v>
      </c>
      <c r="C526" s="1718" t="s">
        <v>3498</v>
      </c>
      <c r="D526" s="1719">
        <f t="shared" si="257"/>
        <v>119</v>
      </c>
      <c r="E526" s="1761" t="str">
        <f t="shared" ca="1" si="254"/>
        <v>N</v>
      </c>
      <c r="F526" s="1591" t="str">
        <f t="shared" ca="1" si="255"/>
        <v>N</v>
      </c>
      <c r="G526" s="1591">
        <f ca="1">INDEX('Summary Data'!$AS$6:$FZ$57,MATCH($E526,'Summary Data'!$C$6:$C$57,0),MATCH($C526,'Summary Data'!$AS$3:$FZ$3,0))</f>
        <v>0</v>
      </c>
      <c r="H526" s="1592" t="s">
        <v>5</v>
      </c>
      <c r="I526" s="1591">
        <f ca="1">INDEX('Summary Data'!$AS$6:$FZ$57,MATCH($E526,'Summary Data'!$C$6:$C$57,0),MATCH($C526,'Summary Data'!$AS$3:$FZ$3,0)+1)</f>
        <v>0</v>
      </c>
      <c r="J526" s="4002" t="str">
        <f t="shared" ca="1" si="256"/>
        <v>N</v>
      </c>
      <c r="K526" s="3114" t="s">
        <v>3174</v>
      </c>
      <c r="M526" s="391"/>
      <c r="N526" s="391"/>
      <c r="O526" s="313"/>
      <c r="P526" s="313"/>
      <c r="Q526" s="313"/>
      <c r="R526" s="313"/>
      <c r="S526" s="313"/>
    </row>
    <row r="527" spans="1:19" ht="16.899999999999999" hidden="1" customHeight="1" outlineLevel="1">
      <c r="A527" s="1269"/>
      <c r="B527" s="1752" t="s">
        <v>140</v>
      </c>
      <c r="C527" s="1718" t="s">
        <v>3498</v>
      </c>
      <c r="D527" s="1719">
        <f t="shared" si="257"/>
        <v>136</v>
      </c>
      <c r="E527" s="1761" t="str">
        <f t="shared" ca="1" si="254"/>
        <v>N</v>
      </c>
      <c r="F527" s="1591" t="str">
        <f t="shared" ca="1" si="255"/>
        <v>N</v>
      </c>
      <c r="G527" s="1591">
        <f ca="1">INDEX('Summary Data'!$AS$6:$FZ$57,MATCH($E527,'Summary Data'!$C$6:$C$57,0),MATCH($C527,'Summary Data'!$AS$3:$FZ$3,0))</f>
        <v>0</v>
      </c>
      <c r="H527" s="1592" t="s">
        <v>5</v>
      </c>
      <c r="I527" s="1591">
        <f ca="1">INDEX('Summary Data'!$AS$6:$FZ$57,MATCH($E527,'Summary Data'!$C$6:$C$57,0),MATCH($C527,'Summary Data'!$AS$3:$FZ$3,0)+1)</f>
        <v>0</v>
      </c>
      <c r="J527" s="4002" t="str">
        <f t="shared" ca="1" si="256"/>
        <v>N</v>
      </c>
      <c r="K527" s="3114" t="s">
        <v>3174</v>
      </c>
      <c r="M527" s="391"/>
      <c r="N527" s="391"/>
      <c r="O527" s="313"/>
      <c r="P527" s="313"/>
      <c r="Q527" s="313"/>
      <c r="R527" s="313"/>
      <c r="S527" s="313"/>
    </row>
    <row r="528" spans="1:19" ht="16.899999999999999" hidden="1" customHeight="1" outlineLevel="1">
      <c r="A528" s="1269"/>
      <c r="B528" s="1752" t="s">
        <v>140</v>
      </c>
      <c r="C528" s="1718" t="s">
        <v>3498</v>
      </c>
      <c r="D528" s="1719">
        <f t="shared" si="257"/>
        <v>153</v>
      </c>
      <c r="E528" s="1761" t="str">
        <f t="shared" ca="1" si="254"/>
        <v>N</v>
      </c>
      <c r="F528" s="1591" t="str">
        <f t="shared" ca="1" si="255"/>
        <v>N</v>
      </c>
      <c r="G528" s="1591">
        <f ca="1">INDEX('Summary Data'!$AS$6:$FZ$57,MATCH($E528,'Summary Data'!$C$6:$C$57,0),MATCH($C528,'Summary Data'!$AS$3:$FZ$3,0))</f>
        <v>0</v>
      </c>
      <c r="H528" s="1592" t="s">
        <v>5</v>
      </c>
      <c r="I528" s="1591">
        <f ca="1">INDEX('Summary Data'!$AS$6:$FZ$57,MATCH($E528,'Summary Data'!$C$6:$C$57,0),MATCH($C528,'Summary Data'!$AS$3:$FZ$3,0)+1)</f>
        <v>0</v>
      </c>
      <c r="J528" s="4002" t="str">
        <f t="shared" ca="1" si="256"/>
        <v>N</v>
      </c>
      <c r="K528" s="3114" t="s">
        <v>3174</v>
      </c>
      <c r="M528" s="391"/>
      <c r="N528" s="391"/>
      <c r="O528" s="313"/>
      <c r="P528" s="313"/>
      <c r="Q528" s="313"/>
      <c r="R528" s="313"/>
      <c r="S528" s="313"/>
    </row>
    <row r="529" spans="1:19" ht="16.899999999999999" hidden="1" customHeight="1" outlineLevel="1">
      <c r="A529" s="1269"/>
      <c r="B529" s="1752" t="s">
        <v>140</v>
      </c>
      <c r="C529" s="1718" t="s">
        <v>3498</v>
      </c>
      <c r="D529" s="1719">
        <f t="shared" si="257"/>
        <v>170</v>
      </c>
      <c r="E529" s="1761" t="str">
        <f t="shared" ca="1" si="254"/>
        <v>N</v>
      </c>
      <c r="F529" s="1591" t="str">
        <f t="shared" ca="1" si="255"/>
        <v>N</v>
      </c>
      <c r="G529" s="1591">
        <f ca="1">INDEX('Summary Data'!$AS$6:$FZ$57,MATCH($E529,'Summary Data'!$C$6:$C$57,0),MATCH($C529,'Summary Data'!$AS$3:$FZ$3,0))</f>
        <v>0</v>
      </c>
      <c r="H529" s="1592" t="s">
        <v>5</v>
      </c>
      <c r="I529" s="1591">
        <f ca="1">INDEX('Summary Data'!$AS$6:$FZ$57,MATCH($E529,'Summary Data'!$C$6:$C$57,0),MATCH($C529,'Summary Data'!$AS$3:$FZ$3,0)+1)</f>
        <v>0</v>
      </c>
      <c r="J529" s="4002" t="str">
        <f t="shared" ca="1" si="256"/>
        <v>N</v>
      </c>
      <c r="K529" s="3114" t="s">
        <v>3174</v>
      </c>
      <c r="M529" s="391"/>
      <c r="N529" s="391"/>
      <c r="O529" s="313"/>
      <c r="P529" s="313"/>
      <c r="Q529" s="313"/>
      <c r="R529" s="313"/>
      <c r="S529" s="313"/>
    </row>
    <row r="530" spans="1:19" ht="16.899999999999999" hidden="1" customHeight="1" outlineLevel="1">
      <c r="A530" s="1269"/>
      <c r="B530" s="1752" t="s">
        <v>140</v>
      </c>
      <c r="C530" s="1718" t="s">
        <v>3498</v>
      </c>
      <c r="D530" s="1719">
        <f t="shared" si="257"/>
        <v>187</v>
      </c>
      <c r="E530" s="1761" t="str">
        <f t="shared" ca="1" si="254"/>
        <v>N</v>
      </c>
      <c r="F530" s="1591" t="str">
        <f t="shared" ca="1" si="255"/>
        <v>N</v>
      </c>
      <c r="G530" s="1591">
        <f ca="1">INDEX('Summary Data'!$AS$6:$FZ$57,MATCH($E530,'Summary Data'!$C$6:$C$57,0),MATCH($C530,'Summary Data'!$AS$3:$FZ$3,0))</f>
        <v>0</v>
      </c>
      <c r="H530" s="1592" t="s">
        <v>5</v>
      </c>
      <c r="I530" s="1591">
        <f ca="1">INDEX('Summary Data'!$AS$6:$FZ$57,MATCH($E530,'Summary Data'!$C$6:$C$57,0),MATCH($C530,'Summary Data'!$AS$3:$FZ$3,0)+1)</f>
        <v>0</v>
      </c>
      <c r="J530" s="4002" t="str">
        <f t="shared" ca="1" si="256"/>
        <v>N</v>
      </c>
      <c r="K530" s="3114" t="s">
        <v>3174</v>
      </c>
      <c r="M530" s="391"/>
      <c r="N530" s="391"/>
      <c r="O530" s="313"/>
      <c r="P530" s="313"/>
      <c r="Q530" s="313"/>
      <c r="R530" s="313"/>
      <c r="S530" s="313"/>
    </row>
    <row r="531" spans="1:19" ht="16.899999999999999" hidden="1" customHeight="1" outlineLevel="1">
      <c r="A531" s="1269"/>
      <c r="B531" s="1752" t="s">
        <v>140</v>
      </c>
      <c r="C531" s="1718" t="s">
        <v>3498</v>
      </c>
      <c r="D531" s="1719">
        <f t="shared" si="257"/>
        <v>204</v>
      </c>
      <c r="E531" s="1761" t="str">
        <f t="shared" ca="1" si="254"/>
        <v>N</v>
      </c>
      <c r="F531" s="1591" t="str">
        <f t="shared" ca="1" si="255"/>
        <v>N</v>
      </c>
      <c r="G531" s="1591">
        <f ca="1">INDEX('Summary Data'!$AS$6:$FZ$57,MATCH($E531,'Summary Data'!$C$6:$C$57,0),MATCH($C531,'Summary Data'!$AS$3:$FZ$3,0))</f>
        <v>0</v>
      </c>
      <c r="H531" s="1592" t="s">
        <v>5</v>
      </c>
      <c r="I531" s="1591">
        <f ca="1">INDEX('Summary Data'!$AS$6:$FZ$57,MATCH($E531,'Summary Data'!$C$6:$C$57,0),MATCH($C531,'Summary Data'!$AS$3:$FZ$3,0)+1)</f>
        <v>0</v>
      </c>
      <c r="J531" s="4002" t="str">
        <f t="shared" ca="1" si="256"/>
        <v>N</v>
      </c>
      <c r="K531" s="3114" t="s">
        <v>3174</v>
      </c>
      <c r="M531" s="391"/>
      <c r="N531" s="391"/>
      <c r="O531" s="313"/>
      <c r="P531" s="313"/>
      <c r="Q531" s="313"/>
      <c r="R531" s="313"/>
      <c r="S531" s="313"/>
    </row>
    <row r="532" spans="1:19" ht="16.899999999999999" hidden="1" customHeight="1" outlineLevel="1">
      <c r="A532" s="1269"/>
      <c r="B532" s="1752" t="s">
        <v>140</v>
      </c>
      <c r="C532" s="1718" t="s">
        <v>3498</v>
      </c>
      <c r="D532" s="1719">
        <f t="shared" si="257"/>
        <v>221</v>
      </c>
      <c r="E532" s="1761" t="str">
        <f t="shared" ca="1" si="254"/>
        <v>1st</v>
      </c>
      <c r="F532" s="1591" t="str">
        <f t="shared" ca="1" si="255"/>
        <v>N</v>
      </c>
      <c r="G532" s="1591">
        <f ca="1">INDEX('Summary Data'!$AS$6:$FZ$57,MATCH($E532,'Summary Data'!$C$6:$C$57,0),MATCH($C532,'Summary Data'!$AS$3:$FZ$3,0))</f>
        <v>0</v>
      </c>
      <c r="H532" s="1592" t="s">
        <v>5</v>
      </c>
      <c r="I532" s="1591">
        <f ca="1">INDEX('Summary Data'!$AS$6:$FZ$57,MATCH($E532,'Summary Data'!$C$6:$C$57,0),MATCH($C532,'Summary Data'!$AS$3:$FZ$3,0)+1)</f>
        <v>0</v>
      </c>
      <c r="J532" s="4002" t="str">
        <f t="shared" ca="1" si="256"/>
        <v>N</v>
      </c>
      <c r="K532" s="3114" t="s">
        <v>3174</v>
      </c>
      <c r="M532" s="391"/>
      <c r="N532" s="391"/>
      <c r="O532" s="313"/>
      <c r="P532" s="313"/>
      <c r="Q532" s="313"/>
      <c r="R532" s="313"/>
      <c r="S532" s="313"/>
    </row>
    <row r="533" spans="1:19" ht="16.899999999999999" hidden="1" customHeight="1" outlineLevel="1">
      <c r="A533" s="1269"/>
      <c r="B533" s="1752" t="s">
        <v>140</v>
      </c>
      <c r="C533" s="1718" t="s">
        <v>3498</v>
      </c>
      <c r="D533" s="1719">
        <f t="shared" si="257"/>
        <v>238</v>
      </c>
      <c r="E533" s="1761" t="str">
        <f t="shared" ca="1" si="254"/>
        <v>1st</v>
      </c>
      <c r="F533" s="1591" t="str">
        <f t="shared" ca="1" si="255"/>
        <v>N</v>
      </c>
      <c r="G533" s="1591">
        <f ca="1">INDEX('Summary Data'!$AS$6:$FZ$57,MATCH($E533,'Summary Data'!$C$6:$C$57,0),MATCH($C533,'Summary Data'!$AS$3:$FZ$3,0))</f>
        <v>0</v>
      </c>
      <c r="H533" s="1592" t="s">
        <v>5</v>
      </c>
      <c r="I533" s="1591">
        <f ca="1">INDEX('Summary Data'!$AS$6:$FZ$57,MATCH($E533,'Summary Data'!$C$6:$C$57,0),MATCH($C533,'Summary Data'!$AS$3:$FZ$3,0)+1)</f>
        <v>0</v>
      </c>
      <c r="J533" s="4002" t="str">
        <f t="shared" ca="1" si="256"/>
        <v>N</v>
      </c>
      <c r="K533" s="3114" t="s">
        <v>3174</v>
      </c>
      <c r="M533" s="391"/>
      <c r="N533" s="391"/>
      <c r="O533" s="313"/>
      <c r="P533" s="313"/>
      <c r="Q533" s="313"/>
      <c r="R533" s="313"/>
      <c r="S533" s="313"/>
    </row>
    <row r="534" spans="1:19" ht="16.899999999999999" hidden="1" customHeight="1" outlineLevel="1">
      <c r="A534" s="1269"/>
      <c r="B534" s="1752" t="s">
        <v>140</v>
      </c>
      <c r="C534" s="1718" t="s">
        <v>223</v>
      </c>
      <c r="D534" s="1719">
        <v>0</v>
      </c>
      <c r="E534" s="1761" t="str">
        <f t="shared" ca="1" si="254"/>
        <v>Box</v>
      </c>
      <c r="F534" s="1591" t="str">
        <f t="shared" ca="1" si="255"/>
        <v>N</v>
      </c>
      <c r="G534" s="1591">
        <f ca="1">INDEX('Summary Data'!$AS$6:$FZ$57,MATCH($E534,'Summary Data'!$C$6:$C$57,0),MATCH($C534,'Summary Data'!$AS$3:$FZ$3,0))</f>
        <v>0</v>
      </c>
      <c r="H534" s="1592" t="s">
        <v>5</v>
      </c>
      <c r="I534" s="1591">
        <f ca="1">INDEX('Summary Data'!$AS$6:$FZ$57,MATCH($E534,'Summary Data'!$C$6:$C$57,0),MATCH($C534,'Summary Data'!$AS$3:$FZ$3,0)+1)</f>
        <v>0</v>
      </c>
      <c r="J534" s="4002" t="str">
        <f t="shared" ca="1" si="256"/>
        <v>N</v>
      </c>
      <c r="K534" s="3114" t="s">
        <v>3174</v>
      </c>
      <c r="M534" s="391"/>
      <c r="N534" s="391"/>
      <c r="O534" s="313"/>
      <c r="P534" s="313"/>
      <c r="Q534" s="313"/>
      <c r="R534" s="313"/>
      <c r="S534" s="313"/>
    </row>
    <row r="535" spans="1:19" ht="16.899999999999999" hidden="1" customHeight="1" outlineLevel="1">
      <c r="A535" s="1269"/>
      <c r="B535" s="1752" t="s">
        <v>140</v>
      </c>
      <c r="C535" s="1718" t="s">
        <v>223</v>
      </c>
      <c r="D535" s="1719">
        <f>D534+17</f>
        <v>17</v>
      </c>
      <c r="E535" s="1761" t="str">
        <f t="shared" ca="1" si="254"/>
        <v>N</v>
      </c>
      <c r="F535" s="1591" t="str">
        <f t="shared" ca="1" si="255"/>
        <v>N</v>
      </c>
      <c r="G535" s="1591">
        <f ca="1">INDEX('Summary Data'!$AS$6:$FZ$57,MATCH($E535,'Summary Data'!$C$6:$C$57,0),MATCH($C535,'Summary Data'!$AS$3:$FZ$3,0))</f>
        <v>0</v>
      </c>
      <c r="H535" s="1592" t="s">
        <v>5</v>
      </c>
      <c r="I535" s="1591">
        <f ca="1">INDEX('Summary Data'!$AS$6:$FZ$57,MATCH($E535,'Summary Data'!$C$6:$C$57,0),MATCH($C535,'Summary Data'!$AS$3:$FZ$3,0)+1)</f>
        <v>0</v>
      </c>
      <c r="J535" s="4002" t="str">
        <f t="shared" ca="1" si="256"/>
        <v>N</v>
      </c>
      <c r="K535" s="3114" t="s">
        <v>3174</v>
      </c>
      <c r="M535" s="391"/>
      <c r="N535" s="391"/>
      <c r="O535" s="313"/>
      <c r="P535" s="313"/>
      <c r="Q535" s="313"/>
      <c r="R535" s="313"/>
      <c r="S535" s="313"/>
    </row>
    <row r="536" spans="1:19" ht="16.899999999999999" hidden="1" customHeight="1" outlineLevel="1">
      <c r="A536" s="1269"/>
      <c r="B536" s="1752" t="s">
        <v>140</v>
      </c>
      <c r="C536" s="1718" t="s">
        <v>223</v>
      </c>
      <c r="D536" s="1719">
        <f t="shared" ref="D536:D548" si="258">D535+17</f>
        <v>34</v>
      </c>
      <c r="E536" s="1761" t="str">
        <f t="shared" ca="1" si="254"/>
        <v>N</v>
      </c>
      <c r="F536" s="1591" t="str">
        <f t="shared" ca="1" si="255"/>
        <v>N</v>
      </c>
      <c r="G536" s="1591">
        <f ca="1">INDEX('Summary Data'!$AS$6:$FZ$57,MATCH($E536,'Summary Data'!$C$6:$C$57,0),MATCH($C536,'Summary Data'!$AS$3:$FZ$3,0))</f>
        <v>0</v>
      </c>
      <c r="H536" s="1592" t="s">
        <v>5</v>
      </c>
      <c r="I536" s="1591">
        <f ca="1">INDEX('Summary Data'!$AS$6:$FZ$57,MATCH($E536,'Summary Data'!$C$6:$C$57,0),MATCH($C536,'Summary Data'!$AS$3:$FZ$3,0)+1)</f>
        <v>0</v>
      </c>
      <c r="J536" s="4002" t="str">
        <f t="shared" ca="1" si="256"/>
        <v>N</v>
      </c>
      <c r="K536" s="3114" t="s">
        <v>3174</v>
      </c>
      <c r="M536" s="391"/>
      <c r="N536" s="391"/>
      <c r="O536" s="313"/>
      <c r="P536" s="313"/>
      <c r="Q536" s="313"/>
      <c r="R536" s="313"/>
      <c r="S536" s="313"/>
    </row>
    <row r="537" spans="1:19" ht="16.899999999999999" hidden="1" customHeight="1" outlineLevel="1">
      <c r="A537" s="1269"/>
      <c r="B537" s="1752" t="s">
        <v>140</v>
      </c>
      <c r="C537" s="1718" t="s">
        <v>223</v>
      </c>
      <c r="D537" s="1719">
        <f t="shared" si="258"/>
        <v>51</v>
      </c>
      <c r="E537" s="1761" t="str">
        <f t="shared" ca="1" si="254"/>
        <v>N</v>
      </c>
      <c r="F537" s="1591" t="str">
        <f t="shared" ca="1" si="255"/>
        <v>N</v>
      </c>
      <c r="G537" s="1591">
        <f ca="1">INDEX('Summary Data'!$AS$6:$FZ$57,MATCH($E537,'Summary Data'!$C$6:$C$57,0),MATCH($C537,'Summary Data'!$AS$3:$FZ$3,0))</f>
        <v>0</v>
      </c>
      <c r="H537" s="1592" t="s">
        <v>5</v>
      </c>
      <c r="I537" s="1591">
        <f ca="1">INDEX('Summary Data'!$AS$6:$FZ$57,MATCH($E537,'Summary Data'!$C$6:$C$57,0),MATCH($C537,'Summary Data'!$AS$3:$FZ$3,0)+1)</f>
        <v>0</v>
      </c>
      <c r="J537" s="4002" t="str">
        <f t="shared" ca="1" si="256"/>
        <v>N</v>
      </c>
      <c r="K537" s="3114" t="s">
        <v>3174</v>
      </c>
      <c r="M537" s="391"/>
      <c r="N537" s="391"/>
      <c r="O537" s="313"/>
      <c r="P537" s="313"/>
      <c r="Q537" s="313"/>
      <c r="R537" s="313"/>
      <c r="S537" s="313"/>
    </row>
    <row r="538" spans="1:19" ht="16.899999999999999" hidden="1" customHeight="1" outlineLevel="1">
      <c r="A538" s="1269"/>
      <c r="B538" s="1752" t="s">
        <v>140</v>
      </c>
      <c r="C538" s="1718" t="s">
        <v>223</v>
      </c>
      <c r="D538" s="1719">
        <f t="shared" si="258"/>
        <v>68</v>
      </c>
      <c r="E538" s="1761" t="str">
        <f t="shared" ca="1" si="254"/>
        <v>N</v>
      </c>
      <c r="F538" s="1591" t="str">
        <f t="shared" ca="1" si="255"/>
        <v>N</v>
      </c>
      <c r="G538" s="1591">
        <f ca="1">INDEX('Summary Data'!$AS$6:$FZ$57,MATCH($E538,'Summary Data'!$C$6:$C$57,0),MATCH($C538,'Summary Data'!$AS$3:$FZ$3,0))</f>
        <v>0</v>
      </c>
      <c r="H538" s="1592" t="s">
        <v>5</v>
      </c>
      <c r="I538" s="1591">
        <f ca="1">INDEX('Summary Data'!$AS$6:$FZ$57,MATCH($E538,'Summary Data'!$C$6:$C$57,0),MATCH($C538,'Summary Data'!$AS$3:$FZ$3,0)+1)</f>
        <v>0</v>
      </c>
      <c r="J538" s="4002" t="str">
        <f t="shared" ca="1" si="256"/>
        <v>N</v>
      </c>
      <c r="K538" s="3114" t="s">
        <v>3174</v>
      </c>
      <c r="M538" s="391"/>
      <c r="N538" s="391"/>
      <c r="O538" s="313"/>
      <c r="P538" s="313"/>
      <c r="Q538" s="313"/>
      <c r="R538" s="313"/>
      <c r="S538" s="313"/>
    </row>
    <row r="539" spans="1:19" ht="16.899999999999999" hidden="1" customHeight="1" outlineLevel="1">
      <c r="A539" s="1269"/>
      <c r="B539" s="1752" t="s">
        <v>140</v>
      </c>
      <c r="C539" s="1718" t="s">
        <v>223</v>
      </c>
      <c r="D539" s="1719">
        <f t="shared" si="258"/>
        <v>85</v>
      </c>
      <c r="E539" s="1761" t="str">
        <f t="shared" ca="1" si="254"/>
        <v>N</v>
      </c>
      <c r="F539" s="1591" t="str">
        <f t="shared" ca="1" si="255"/>
        <v>N</v>
      </c>
      <c r="G539" s="1591">
        <f ca="1">INDEX('Summary Data'!$AS$6:$FZ$57,MATCH($E539,'Summary Data'!$C$6:$C$57,0),MATCH($C539,'Summary Data'!$AS$3:$FZ$3,0))</f>
        <v>0</v>
      </c>
      <c r="H539" s="1592" t="s">
        <v>5</v>
      </c>
      <c r="I539" s="1591">
        <f ca="1">INDEX('Summary Data'!$AS$6:$FZ$57,MATCH($E539,'Summary Data'!$C$6:$C$57,0),MATCH($C539,'Summary Data'!$AS$3:$FZ$3,0)+1)</f>
        <v>0</v>
      </c>
      <c r="J539" s="4002" t="str">
        <f t="shared" ca="1" si="256"/>
        <v>N</v>
      </c>
      <c r="K539" s="3114" t="s">
        <v>3174</v>
      </c>
      <c r="M539" s="391"/>
      <c r="N539" s="391"/>
      <c r="O539" s="313"/>
      <c r="P539" s="313"/>
      <c r="Q539" s="313"/>
      <c r="R539" s="313"/>
      <c r="S539" s="313"/>
    </row>
    <row r="540" spans="1:19" ht="16.899999999999999" hidden="1" customHeight="1" outlineLevel="1">
      <c r="A540" s="1269"/>
      <c r="B540" s="1752" t="s">
        <v>140</v>
      </c>
      <c r="C540" s="1718" t="s">
        <v>223</v>
      </c>
      <c r="D540" s="1719">
        <f t="shared" si="258"/>
        <v>102</v>
      </c>
      <c r="E540" s="1761" t="str">
        <f t="shared" ref="E540:E563" ca="1" si="259">OFFSET($A$25,D540,0)</f>
        <v>N</v>
      </c>
      <c r="F540" s="1591" t="str">
        <f t="shared" ref="F540:F563" ca="1" si="260">IF(G540=0,"N",E540)</f>
        <v>N</v>
      </c>
      <c r="G540" s="1591">
        <f ca="1">INDEX('Summary Data'!$AS$6:$FZ$57,MATCH($E540,'Summary Data'!$C$6:$C$57,0),MATCH($C540,'Summary Data'!$AS$3:$FZ$3,0))</f>
        <v>0</v>
      </c>
      <c r="H540" s="1592" t="s">
        <v>5</v>
      </c>
      <c r="I540" s="1591">
        <f ca="1">INDEX('Summary Data'!$AS$6:$FZ$57,MATCH($E540,'Summary Data'!$C$6:$C$57,0),MATCH($C540,'Summary Data'!$AS$3:$FZ$3,0)+1)</f>
        <v>0</v>
      </c>
      <c r="J540" s="4002" t="str">
        <f t="shared" ca="1" si="256"/>
        <v>N</v>
      </c>
      <c r="K540" s="3114" t="s">
        <v>3174</v>
      </c>
      <c r="M540" s="391"/>
      <c r="N540" s="391"/>
      <c r="O540" s="313"/>
      <c r="P540" s="313"/>
      <c r="Q540" s="313"/>
      <c r="R540" s="313"/>
      <c r="S540" s="313"/>
    </row>
    <row r="541" spans="1:19" ht="16.899999999999999" hidden="1" customHeight="1" outlineLevel="1">
      <c r="A541" s="1269"/>
      <c r="B541" s="1752" t="s">
        <v>140</v>
      </c>
      <c r="C541" s="1718" t="s">
        <v>223</v>
      </c>
      <c r="D541" s="1719">
        <f t="shared" si="258"/>
        <v>119</v>
      </c>
      <c r="E541" s="1761" t="str">
        <f t="shared" ca="1" si="259"/>
        <v>N</v>
      </c>
      <c r="F541" s="1591" t="str">
        <f t="shared" ca="1" si="260"/>
        <v>N</v>
      </c>
      <c r="G541" s="1591">
        <f ca="1">INDEX('Summary Data'!$AS$6:$FZ$57,MATCH($E541,'Summary Data'!$C$6:$C$57,0),MATCH($C541,'Summary Data'!$AS$3:$FZ$3,0))</f>
        <v>0</v>
      </c>
      <c r="H541" s="1592" t="s">
        <v>5</v>
      </c>
      <c r="I541" s="1591">
        <f ca="1">INDEX('Summary Data'!$AS$6:$FZ$57,MATCH($E541,'Summary Data'!$C$6:$C$57,0),MATCH($C541,'Summary Data'!$AS$3:$FZ$3,0)+1)</f>
        <v>0</v>
      </c>
      <c r="J541" s="4002" t="str">
        <f t="shared" ca="1" si="256"/>
        <v>N</v>
      </c>
      <c r="K541" s="3114" t="s">
        <v>3174</v>
      </c>
      <c r="M541" s="391"/>
      <c r="N541" s="391"/>
      <c r="O541" s="313"/>
      <c r="P541" s="313"/>
      <c r="Q541" s="313"/>
      <c r="R541" s="313"/>
      <c r="S541" s="313"/>
    </row>
    <row r="542" spans="1:19" ht="16.899999999999999" hidden="1" customHeight="1" outlineLevel="1">
      <c r="A542" s="1269"/>
      <c r="B542" s="1752" t="s">
        <v>140</v>
      </c>
      <c r="C542" s="1718" t="s">
        <v>223</v>
      </c>
      <c r="D542" s="1719">
        <f t="shared" si="258"/>
        <v>136</v>
      </c>
      <c r="E542" s="1761" t="str">
        <f t="shared" ca="1" si="259"/>
        <v>N</v>
      </c>
      <c r="F542" s="1591" t="str">
        <f t="shared" ca="1" si="260"/>
        <v>N</v>
      </c>
      <c r="G542" s="1591">
        <f ca="1">INDEX('Summary Data'!$AS$6:$FZ$57,MATCH($E542,'Summary Data'!$C$6:$C$57,0),MATCH($C542,'Summary Data'!$AS$3:$FZ$3,0))</f>
        <v>0</v>
      </c>
      <c r="H542" s="1592" t="s">
        <v>5</v>
      </c>
      <c r="I542" s="1591">
        <f ca="1">INDEX('Summary Data'!$AS$6:$FZ$57,MATCH($E542,'Summary Data'!$C$6:$C$57,0),MATCH($C542,'Summary Data'!$AS$3:$FZ$3,0)+1)</f>
        <v>0</v>
      </c>
      <c r="J542" s="4002" t="str">
        <f t="shared" ca="1" si="256"/>
        <v>N</v>
      </c>
      <c r="K542" s="3114" t="s">
        <v>3174</v>
      </c>
      <c r="M542" s="391"/>
      <c r="N542" s="391"/>
      <c r="O542" s="313"/>
      <c r="P542" s="313"/>
      <c r="Q542" s="313"/>
      <c r="R542" s="313"/>
      <c r="S542" s="313"/>
    </row>
    <row r="543" spans="1:19" ht="16.899999999999999" hidden="1" customHeight="1" outlineLevel="1">
      <c r="A543" s="1269"/>
      <c r="B543" s="1752" t="s">
        <v>140</v>
      </c>
      <c r="C543" s="1718" t="s">
        <v>223</v>
      </c>
      <c r="D543" s="1719">
        <f t="shared" si="258"/>
        <v>153</v>
      </c>
      <c r="E543" s="1761" t="str">
        <f t="shared" ca="1" si="259"/>
        <v>N</v>
      </c>
      <c r="F543" s="1591" t="str">
        <f t="shared" ca="1" si="260"/>
        <v>N</v>
      </c>
      <c r="G543" s="1591">
        <f ca="1">INDEX('Summary Data'!$AS$6:$FZ$57,MATCH($E543,'Summary Data'!$C$6:$C$57,0),MATCH($C543,'Summary Data'!$AS$3:$FZ$3,0))</f>
        <v>0</v>
      </c>
      <c r="H543" s="1592" t="s">
        <v>5</v>
      </c>
      <c r="I543" s="1591">
        <f ca="1">INDEX('Summary Data'!$AS$6:$FZ$57,MATCH($E543,'Summary Data'!$C$6:$C$57,0),MATCH($C543,'Summary Data'!$AS$3:$FZ$3,0)+1)</f>
        <v>0</v>
      </c>
      <c r="J543" s="4002" t="str">
        <f t="shared" ca="1" si="256"/>
        <v>N</v>
      </c>
      <c r="K543" s="3114" t="s">
        <v>3174</v>
      </c>
      <c r="M543" s="391"/>
      <c r="N543" s="391"/>
      <c r="O543" s="313"/>
      <c r="P543" s="313"/>
      <c r="Q543" s="313"/>
      <c r="R543" s="313"/>
      <c r="S543" s="313"/>
    </row>
    <row r="544" spans="1:19" ht="16.899999999999999" hidden="1" customHeight="1" outlineLevel="1">
      <c r="A544" s="1269"/>
      <c r="B544" s="1752" t="s">
        <v>140</v>
      </c>
      <c r="C544" s="1718" t="s">
        <v>223</v>
      </c>
      <c r="D544" s="1719">
        <f t="shared" si="258"/>
        <v>170</v>
      </c>
      <c r="E544" s="1761" t="str">
        <f t="shared" ca="1" si="259"/>
        <v>N</v>
      </c>
      <c r="F544" s="1591" t="str">
        <f t="shared" ca="1" si="260"/>
        <v>N</v>
      </c>
      <c r="G544" s="1591">
        <f ca="1">INDEX('Summary Data'!$AS$6:$FZ$57,MATCH($E544,'Summary Data'!$C$6:$C$57,0),MATCH($C544,'Summary Data'!$AS$3:$FZ$3,0))</f>
        <v>0</v>
      </c>
      <c r="H544" s="1592" t="s">
        <v>5</v>
      </c>
      <c r="I544" s="1591">
        <f ca="1">INDEX('Summary Data'!$AS$6:$FZ$57,MATCH($E544,'Summary Data'!$C$6:$C$57,0),MATCH($C544,'Summary Data'!$AS$3:$FZ$3,0)+1)</f>
        <v>0</v>
      </c>
      <c r="J544" s="4002" t="str">
        <f t="shared" ca="1" si="256"/>
        <v>N</v>
      </c>
      <c r="K544" s="3114" t="s">
        <v>3174</v>
      </c>
      <c r="M544" s="391"/>
      <c r="N544" s="391"/>
      <c r="O544" s="313"/>
      <c r="P544" s="313"/>
      <c r="Q544" s="313"/>
      <c r="R544" s="313"/>
      <c r="S544" s="313"/>
    </row>
    <row r="545" spans="1:19" ht="16.899999999999999" hidden="1" customHeight="1" outlineLevel="1">
      <c r="A545" s="1269"/>
      <c r="B545" s="1752" t="s">
        <v>140</v>
      </c>
      <c r="C545" s="1718" t="s">
        <v>223</v>
      </c>
      <c r="D545" s="1719">
        <f t="shared" si="258"/>
        <v>187</v>
      </c>
      <c r="E545" s="1761" t="str">
        <f t="shared" ca="1" si="259"/>
        <v>N</v>
      </c>
      <c r="F545" s="1591" t="str">
        <f t="shared" ca="1" si="260"/>
        <v>N</v>
      </c>
      <c r="G545" s="1591">
        <f ca="1">INDEX('Summary Data'!$AS$6:$FZ$57,MATCH($E545,'Summary Data'!$C$6:$C$57,0),MATCH($C545,'Summary Data'!$AS$3:$FZ$3,0))</f>
        <v>0</v>
      </c>
      <c r="H545" s="1592" t="s">
        <v>5</v>
      </c>
      <c r="I545" s="1591">
        <f ca="1">INDEX('Summary Data'!$AS$6:$FZ$57,MATCH($E545,'Summary Data'!$C$6:$C$57,0),MATCH($C545,'Summary Data'!$AS$3:$FZ$3,0)+1)</f>
        <v>0</v>
      </c>
      <c r="J545" s="4002" t="str">
        <f t="shared" ca="1" si="256"/>
        <v>N</v>
      </c>
      <c r="K545" s="3114" t="s">
        <v>3174</v>
      </c>
      <c r="M545" s="391"/>
      <c r="N545" s="391"/>
      <c r="O545" s="313"/>
      <c r="P545" s="313"/>
      <c r="Q545" s="313"/>
      <c r="R545" s="313"/>
      <c r="S545" s="313"/>
    </row>
    <row r="546" spans="1:19" ht="16.899999999999999" hidden="1" customHeight="1" outlineLevel="1">
      <c r="A546" s="1269"/>
      <c r="B546" s="1752" t="s">
        <v>140</v>
      </c>
      <c r="C546" s="1718" t="s">
        <v>223</v>
      </c>
      <c r="D546" s="1719">
        <f t="shared" si="258"/>
        <v>204</v>
      </c>
      <c r="E546" s="1761" t="str">
        <f t="shared" ca="1" si="259"/>
        <v>N</v>
      </c>
      <c r="F546" s="1591" t="str">
        <f t="shared" ca="1" si="260"/>
        <v>N</v>
      </c>
      <c r="G546" s="1591">
        <f ca="1">INDEX('Summary Data'!$AS$6:$FZ$57,MATCH($E546,'Summary Data'!$C$6:$C$57,0),MATCH($C546,'Summary Data'!$AS$3:$FZ$3,0))</f>
        <v>0</v>
      </c>
      <c r="H546" s="1592" t="s">
        <v>5</v>
      </c>
      <c r="I546" s="1591">
        <f ca="1">INDEX('Summary Data'!$AS$6:$FZ$57,MATCH($E546,'Summary Data'!$C$6:$C$57,0),MATCH($C546,'Summary Data'!$AS$3:$FZ$3,0)+1)</f>
        <v>0</v>
      </c>
      <c r="J546" s="4002" t="str">
        <f t="shared" ca="1" si="256"/>
        <v>N</v>
      </c>
      <c r="K546" s="3114" t="s">
        <v>3174</v>
      </c>
      <c r="M546" s="391"/>
      <c r="N546" s="391"/>
      <c r="O546" s="313"/>
      <c r="P546" s="313"/>
      <c r="Q546" s="313"/>
      <c r="R546" s="313"/>
      <c r="S546" s="313"/>
    </row>
    <row r="547" spans="1:19" ht="16.899999999999999" hidden="1" customHeight="1" outlineLevel="1">
      <c r="A547" s="1269"/>
      <c r="B547" s="1752" t="s">
        <v>140</v>
      </c>
      <c r="C547" s="1718" t="s">
        <v>223</v>
      </c>
      <c r="D547" s="1719">
        <f t="shared" si="258"/>
        <v>221</v>
      </c>
      <c r="E547" s="1761" t="str">
        <f t="shared" ca="1" si="259"/>
        <v>1st</v>
      </c>
      <c r="F547" s="1591" t="str">
        <f t="shared" ca="1" si="260"/>
        <v>N</v>
      </c>
      <c r="G547" s="1591">
        <f ca="1">INDEX('Summary Data'!$AS$6:$FZ$57,MATCH($E547,'Summary Data'!$C$6:$C$57,0),MATCH($C547,'Summary Data'!$AS$3:$FZ$3,0))</f>
        <v>0</v>
      </c>
      <c r="H547" s="1592" t="s">
        <v>5</v>
      </c>
      <c r="I547" s="1591">
        <f ca="1">INDEX('Summary Data'!$AS$6:$FZ$57,MATCH($E547,'Summary Data'!$C$6:$C$57,0),MATCH($C547,'Summary Data'!$AS$3:$FZ$3,0)+1)</f>
        <v>0</v>
      </c>
      <c r="J547" s="4002" t="str">
        <f t="shared" ca="1" si="256"/>
        <v>N</v>
      </c>
      <c r="K547" s="3114" t="s">
        <v>3174</v>
      </c>
      <c r="M547" s="391"/>
      <c r="N547" s="391"/>
      <c r="O547" s="313"/>
      <c r="P547" s="313"/>
      <c r="Q547" s="313"/>
      <c r="R547" s="313"/>
      <c r="S547" s="313"/>
    </row>
    <row r="548" spans="1:19" ht="16.899999999999999" hidden="1" customHeight="1" outlineLevel="1">
      <c r="A548" s="1269"/>
      <c r="B548" s="1752" t="s">
        <v>140</v>
      </c>
      <c r="C548" s="1718" t="s">
        <v>223</v>
      </c>
      <c r="D548" s="1719">
        <f t="shared" si="258"/>
        <v>238</v>
      </c>
      <c r="E548" s="1761" t="str">
        <f t="shared" ca="1" si="259"/>
        <v>1st</v>
      </c>
      <c r="F548" s="1591" t="str">
        <f t="shared" ca="1" si="260"/>
        <v>N</v>
      </c>
      <c r="G548" s="1591">
        <f ca="1">INDEX('Summary Data'!$AS$6:$FZ$57,MATCH($E548,'Summary Data'!$C$6:$C$57,0),MATCH($C548,'Summary Data'!$AS$3:$FZ$3,0))</f>
        <v>0</v>
      </c>
      <c r="H548" s="1592" t="s">
        <v>5</v>
      </c>
      <c r="I548" s="1591">
        <f ca="1">INDEX('Summary Data'!$AS$6:$FZ$57,MATCH($E548,'Summary Data'!$C$6:$C$57,0),MATCH($C548,'Summary Data'!$AS$3:$FZ$3,0)+1)</f>
        <v>0</v>
      </c>
      <c r="J548" s="4002" t="str">
        <f t="shared" ca="1" si="256"/>
        <v>N</v>
      </c>
      <c r="K548" s="3114" t="s">
        <v>3174</v>
      </c>
      <c r="M548" s="391"/>
      <c r="N548" s="391"/>
      <c r="O548" s="313"/>
      <c r="P548" s="313"/>
      <c r="Q548" s="313"/>
      <c r="R548" s="313"/>
      <c r="S548" s="313"/>
    </row>
    <row r="549" spans="1:19" ht="16.899999999999999" hidden="1" customHeight="1" outlineLevel="1">
      <c r="A549" s="1269"/>
      <c r="B549" s="1752" t="s">
        <v>140</v>
      </c>
      <c r="C549" s="1718" t="s">
        <v>1899</v>
      </c>
      <c r="D549" s="1719">
        <v>0</v>
      </c>
      <c r="E549" s="1761" t="str">
        <f t="shared" ca="1" si="259"/>
        <v>Box</v>
      </c>
      <c r="F549" s="1591" t="str">
        <f t="shared" ca="1" si="260"/>
        <v>N</v>
      </c>
      <c r="G549" s="1591">
        <f ca="1">INDEX('Summary Data'!$AS$6:$FZ$57,MATCH($E549,'Summary Data'!$C$6:$C$57,0),MATCH($C549,'Summary Data'!$AS$3:$FZ$3,0))</f>
        <v>0</v>
      </c>
      <c r="H549" s="1592" t="s">
        <v>5</v>
      </c>
      <c r="I549" s="1591">
        <f ca="1">INDEX('Summary Data'!$AS$6:$FZ$57,MATCH($E549,'Summary Data'!$C$6:$C$57,0),MATCH($C549,'Summary Data'!$AS$3:$FZ$3,0)+1)</f>
        <v>0</v>
      </c>
      <c r="J549" s="4002" t="str">
        <f t="shared" ca="1" si="256"/>
        <v>N</v>
      </c>
      <c r="K549" s="3114" t="s">
        <v>3174</v>
      </c>
      <c r="M549" s="391"/>
      <c r="N549" s="391"/>
      <c r="O549" s="313"/>
      <c r="P549" s="313"/>
      <c r="Q549" s="313"/>
      <c r="R549" s="313"/>
      <c r="S549" s="313"/>
    </row>
    <row r="550" spans="1:19" ht="16.899999999999999" hidden="1" customHeight="1" outlineLevel="1">
      <c r="A550" s="1269"/>
      <c r="B550" s="1752" t="s">
        <v>140</v>
      </c>
      <c r="C550" s="1718" t="s">
        <v>1899</v>
      </c>
      <c r="D550" s="1719">
        <f>D549+17</f>
        <v>17</v>
      </c>
      <c r="E550" s="1761" t="str">
        <f t="shared" ca="1" si="259"/>
        <v>N</v>
      </c>
      <c r="F550" s="1591" t="str">
        <f t="shared" ca="1" si="260"/>
        <v>N</v>
      </c>
      <c r="G550" s="1591">
        <f ca="1">INDEX('Summary Data'!$AS$6:$FZ$57,MATCH($E550,'Summary Data'!$C$6:$C$57,0),MATCH($C550,'Summary Data'!$AS$3:$FZ$3,0))</f>
        <v>0</v>
      </c>
      <c r="H550" s="1592" t="s">
        <v>5</v>
      </c>
      <c r="I550" s="1591">
        <f ca="1">INDEX('Summary Data'!$AS$6:$FZ$57,MATCH($E550,'Summary Data'!$C$6:$C$57,0),MATCH($C550,'Summary Data'!$AS$3:$FZ$3,0)+1)</f>
        <v>0</v>
      </c>
      <c r="J550" s="4002" t="str">
        <f t="shared" ca="1" si="256"/>
        <v>N</v>
      </c>
      <c r="K550" s="3114" t="s">
        <v>3174</v>
      </c>
      <c r="M550" s="391"/>
      <c r="N550" s="391"/>
      <c r="O550" s="313"/>
      <c r="P550" s="313"/>
      <c r="Q550" s="313"/>
      <c r="R550" s="313"/>
      <c r="S550" s="313"/>
    </row>
    <row r="551" spans="1:19" ht="16.899999999999999" hidden="1" customHeight="1" outlineLevel="1">
      <c r="A551" s="1269"/>
      <c r="B551" s="1752" t="s">
        <v>140</v>
      </c>
      <c r="C551" s="1718" t="s">
        <v>1899</v>
      </c>
      <c r="D551" s="1719">
        <f t="shared" ref="D551:D563" si="261">D550+17</f>
        <v>34</v>
      </c>
      <c r="E551" s="1761" t="str">
        <f t="shared" ca="1" si="259"/>
        <v>N</v>
      </c>
      <c r="F551" s="1591" t="str">
        <f t="shared" ca="1" si="260"/>
        <v>N</v>
      </c>
      <c r="G551" s="1591">
        <f ca="1">INDEX('Summary Data'!$AS$6:$FZ$57,MATCH($E551,'Summary Data'!$C$6:$C$57,0),MATCH($C551,'Summary Data'!$AS$3:$FZ$3,0))</f>
        <v>0</v>
      </c>
      <c r="H551" s="1592" t="s">
        <v>5</v>
      </c>
      <c r="I551" s="1591">
        <f ca="1">INDEX('Summary Data'!$AS$6:$FZ$57,MATCH($E551,'Summary Data'!$C$6:$C$57,0),MATCH($C551,'Summary Data'!$AS$3:$FZ$3,0)+1)</f>
        <v>0</v>
      </c>
      <c r="J551" s="4002" t="str">
        <f t="shared" ca="1" si="256"/>
        <v>N</v>
      </c>
      <c r="K551" s="3114" t="s">
        <v>3174</v>
      </c>
      <c r="M551" s="391"/>
      <c r="N551" s="391"/>
      <c r="O551" s="313"/>
      <c r="P551" s="313"/>
      <c r="Q551" s="313"/>
      <c r="R551" s="313"/>
      <c r="S551" s="313"/>
    </row>
    <row r="552" spans="1:19" ht="16.899999999999999" hidden="1" customHeight="1" outlineLevel="1">
      <c r="A552" s="1269"/>
      <c r="B552" s="1752" t="s">
        <v>140</v>
      </c>
      <c r="C552" s="1718" t="s">
        <v>1899</v>
      </c>
      <c r="D552" s="1719">
        <f t="shared" si="261"/>
        <v>51</v>
      </c>
      <c r="E552" s="1761" t="str">
        <f t="shared" ca="1" si="259"/>
        <v>N</v>
      </c>
      <c r="F552" s="1591" t="str">
        <f t="shared" ca="1" si="260"/>
        <v>N</v>
      </c>
      <c r="G552" s="1591">
        <f ca="1">INDEX('Summary Data'!$AS$6:$FZ$57,MATCH($E552,'Summary Data'!$C$6:$C$57,0),MATCH($C552,'Summary Data'!$AS$3:$FZ$3,0))</f>
        <v>0</v>
      </c>
      <c r="H552" s="1592" t="s">
        <v>5</v>
      </c>
      <c r="I552" s="1591">
        <f ca="1">INDEX('Summary Data'!$AS$6:$FZ$57,MATCH($E552,'Summary Data'!$C$6:$C$57,0),MATCH($C552,'Summary Data'!$AS$3:$FZ$3,0)+1)</f>
        <v>0</v>
      </c>
      <c r="J552" s="4002" t="str">
        <f t="shared" ca="1" si="256"/>
        <v>N</v>
      </c>
      <c r="K552" s="3114" t="s">
        <v>3174</v>
      </c>
      <c r="M552" s="391"/>
      <c r="N552" s="391"/>
      <c r="O552" s="313"/>
      <c r="P552" s="313"/>
      <c r="Q552" s="313"/>
      <c r="R552" s="313"/>
      <c r="S552" s="313"/>
    </row>
    <row r="553" spans="1:19" ht="16.899999999999999" hidden="1" customHeight="1" outlineLevel="1">
      <c r="A553" s="1269"/>
      <c r="B553" s="1752" t="s">
        <v>140</v>
      </c>
      <c r="C553" s="1718" t="s">
        <v>1899</v>
      </c>
      <c r="D553" s="1719">
        <f t="shared" si="261"/>
        <v>68</v>
      </c>
      <c r="E553" s="1761" t="str">
        <f t="shared" ca="1" si="259"/>
        <v>N</v>
      </c>
      <c r="F553" s="1591" t="str">
        <f t="shared" ca="1" si="260"/>
        <v>N</v>
      </c>
      <c r="G553" s="1591">
        <f ca="1">INDEX('Summary Data'!$AS$6:$FZ$57,MATCH($E553,'Summary Data'!$C$6:$C$57,0),MATCH($C553,'Summary Data'!$AS$3:$FZ$3,0))</f>
        <v>0</v>
      </c>
      <c r="H553" s="1592" t="s">
        <v>5</v>
      </c>
      <c r="I553" s="1591">
        <f ca="1">INDEX('Summary Data'!$AS$6:$FZ$57,MATCH($E553,'Summary Data'!$C$6:$C$57,0),MATCH($C553,'Summary Data'!$AS$3:$FZ$3,0)+1)</f>
        <v>0</v>
      </c>
      <c r="J553" s="4002" t="str">
        <f t="shared" ca="1" si="256"/>
        <v>N</v>
      </c>
      <c r="K553" s="3114" t="s">
        <v>3174</v>
      </c>
      <c r="M553" s="391"/>
      <c r="N553" s="391"/>
      <c r="O553" s="313"/>
      <c r="P553" s="313"/>
      <c r="Q553" s="313"/>
      <c r="R553" s="313"/>
      <c r="S553" s="313"/>
    </row>
    <row r="554" spans="1:19" ht="16.899999999999999" hidden="1" customHeight="1" outlineLevel="1">
      <c r="A554" s="313"/>
      <c r="B554" s="1752" t="s">
        <v>140</v>
      </c>
      <c r="C554" s="1718" t="s">
        <v>1899</v>
      </c>
      <c r="D554" s="1719">
        <f t="shared" si="261"/>
        <v>85</v>
      </c>
      <c r="E554" s="1761" t="str">
        <f t="shared" ca="1" si="259"/>
        <v>N</v>
      </c>
      <c r="F554" s="1591" t="str">
        <f t="shared" ca="1" si="260"/>
        <v>N</v>
      </c>
      <c r="G554" s="1591">
        <f ca="1">INDEX('Summary Data'!$AS$6:$FZ$57,MATCH($E554,'Summary Data'!$C$6:$C$57,0),MATCH($C554,'Summary Data'!$AS$3:$FZ$3,0))</f>
        <v>0</v>
      </c>
      <c r="H554" s="1592" t="s">
        <v>5</v>
      </c>
      <c r="I554" s="1591">
        <f ca="1">INDEX('Summary Data'!$AS$6:$FZ$57,MATCH($E554,'Summary Data'!$C$6:$C$57,0),MATCH($C554,'Summary Data'!$AS$3:$FZ$3,0)+1)</f>
        <v>0</v>
      </c>
      <c r="J554" s="4002" t="str">
        <f t="shared" ca="1" si="256"/>
        <v>N</v>
      </c>
      <c r="K554" s="3114" t="s">
        <v>3174</v>
      </c>
      <c r="M554" s="391"/>
      <c r="N554" s="391"/>
      <c r="O554" s="313"/>
      <c r="P554" s="313"/>
      <c r="Q554" s="313"/>
      <c r="R554" s="313"/>
      <c r="S554" s="313"/>
    </row>
    <row r="555" spans="1:19" ht="16.899999999999999" hidden="1" customHeight="1" outlineLevel="1">
      <c r="A555" s="313"/>
      <c r="B555" s="1752" t="s">
        <v>140</v>
      </c>
      <c r="C555" s="1718" t="s">
        <v>1899</v>
      </c>
      <c r="D555" s="1719">
        <f t="shared" si="261"/>
        <v>102</v>
      </c>
      <c r="E555" s="1761" t="str">
        <f t="shared" ca="1" si="259"/>
        <v>N</v>
      </c>
      <c r="F555" s="1591" t="str">
        <f t="shared" ca="1" si="260"/>
        <v>N</v>
      </c>
      <c r="G555" s="1591">
        <f ca="1">INDEX('Summary Data'!$AS$6:$FZ$57,MATCH($E555,'Summary Data'!$C$6:$C$57,0),MATCH($C555,'Summary Data'!$AS$3:$FZ$3,0))</f>
        <v>0</v>
      </c>
      <c r="H555" s="1592" t="s">
        <v>5</v>
      </c>
      <c r="I555" s="1591">
        <f ca="1">INDEX('Summary Data'!$AS$6:$FZ$57,MATCH($E555,'Summary Data'!$C$6:$C$57,0),MATCH($C555,'Summary Data'!$AS$3:$FZ$3,0)+1)</f>
        <v>0</v>
      </c>
      <c r="J555" s="4002" t="str">
        <f t="shared" ca="1" si="256"/>
        <v>N</v>
      </c>
      <c r="K555" s="3114" t="s">
        <v>3174</v>
      </c>
      <c r="M555" s="391"/>
      <c r="N555" s="391"/>
      <c r="O555" s="313"/>
      <c r="P555" s="313"/>
      <c r="Q555" s="313"/>
      <c r="R555" s="313"/>
      <c r="S555" s="313"/>
    </row>
    <row r="556" spans="1:19" ht="16.899999999999999" hidden="1" customHeight="1" outlineLevel="1">
      <c r="A556" s="313"/>
      <c r="B556" s="1752" t="s">
        <v>140</v>
      </c>
      <c r="C556" s="1718" t="s">
        <v>1899</v>
      </c>
      <c r="D556" s="1719">
        <f t="shared" si="261"/>
        <v>119</v>
      </c>
      <c r="E556" s="1761" t="str">
        <f t="shared" ca="1" si="259"/>
        <v>N</v>
      </c>
      <c r="F556" s="1591" t="str">
        <f t="shared" ca="1" si="260"/>
        <v>N</v>
      </c>
      <c r="G556" s="1591">
        <f ca="1">INDEX('Summary Data'!$AS$6:$FZ$57,MATCH($E556,'Summary Data'!$C$6:$C$57,0),MATCH($C556,'Summary Data'!$AS$3:$FZ$3,0))</f>
        <v>0</v>
      </c>
      <c r="H556" s="1592" t="s">
        <v>5</v>
      </c>
      <c r="I556" s="1591">
        <f ca="1">INDEX('Summary Data'!$AS$6:$FZ$57,MATCH($E556,'Summary Data'!$C$6:$C$57,0),MATCH($C556,'Summary Data'!$AS$3:$FZ$3,0)+1)</f>
        <v>0</v>
      </c>
      <c r="J556" s="4002" t="str">
        <f t="shared" ca="1" si="256"/>
        <v>N</v>
      </c>
      <c r="K556" s="3114" t="s">
        <v>3174</v>
      </c>
      <c r="M556" s="391"/>
      <c r="N556" s="391"/>
      <c r="O556" s="313"/>
      <c r="P556" s="313"/>
      <c r="Q556" s="313"/>
      <c r="R556" s="313"/>
      <c r="S556" s="313"/>
    </row>
    <row r="557" spans="1:19" ht="16.899999999999999" hidden="1" customHeight="1" outlineLevel="1">
      <c r="A557" s="313"/>
      <c r="B557" s="1752" t="s">
        <v>140</v>
      </c>
      <c r="C557" s="1718" t="s">
        <v>1899</v>
      </c>
      <c r="D557" s="1719">
        <f t="shared" si="261"/>
        <v>136</v>
      </c>
      <c r="E557" s="1761" t="str">
        <f t="shared" ca="1" si="259"/>
        <v>N</v>
      </c>
      <c r="F557" s="1591" t="str">
        <f t="shared" ca="1" si="260"/>
        <v>N</v>
      </c>
      <c r="G557" s="1591">
        <f ca="1">INDEX('Summary Data'!$AS$6:$FZ$57,MATCH($E557,'Summary Data'!$C$6:$C$57,0),MATCH($C557,'Summary Data'!$AS$3:$FZ$3,0))</f>
        <v>0</v>
      </c>
      <c r="H557" s="1592" t="s">
        <v>5</v>
      </c>
      <c r="I557" s="1591">
        <f ca="1">INDEX('Summary Data'!$AS$6:$FZ$57,MATCH($E557,'Summary Data'!$C$6:$C$57,0),MATCH($C557,'Summary Data'!$AS$3:$FZ$3,0)+1)</f>
        <v>0</v>
      </c>
      <c r="J557" s="4002" t="str">
        <f t="shared" ca="1" si="256"/>
        <v>N</v>
      </c>
      <c r="K557" s="3114" t="s">
        <v>3174</v>
      </c>
      <c r="M557" s="391"/>
      <c r="N557" s="391"/>
      <c r="O557" s="313"/>
      <c r="P557" s="313"/>
      <c r="Q557" s="313"/>
      <c r="R557" s="313"/>
      <c r="S557" s="313"/>
    </row>
    <row r="558" spans="1:19" ht="16.899999999999999" hidden="1" customHeight="1" outlineLevel="1">
      <c r="A558" s="313"/>
      <c r="B558" s="1752" t="s">
        <v>140</v>
      </c>
      <c r="C558" s="1718" t="s">
        <v>1899</v>
      </c>
      <c r="D558" s="1719">
        <f t="shared" si="261"/>
        <v>153</v>
      </c>
      <c r="E558" s="1761" t="str">
        <f t="shared" ca="1" si="259"/>
        <v>N</v>
      </c>
      <c r="F558" s="1591" t="str">
        <f t="shared" ca="1" si="260"/>
        <v>N</v>
      </c>
      <c r="G558" s="1591">
        <f ca="1">INDEX('Summary Data'!$AS$6:$FZ$57,MATCH($E558,'Summary Data'!$C$6:$C$57,0),MATCH($C558,'Summary Data'!$AS$3:$FZ$3,0))</f>
        <v>0</v>
      </c>
      <c r="H558" s="1592" t="s">
        <v>5</v>
      </c>
      <c r="I558" s="1591">
        <f ca="1">INDEX('Summary Data'!$AS$6:$FZ$57,MATCH($E558,'Summary Data'!$C$6:$C$57,0),MATCH($C558,'Summary Data'!$AS$3:$FZ$3,0))</f>
        <v>0</v>
      </c>
      <c r="J558" s="4002" t="str">
        <f t="shared" ca="1" si="256"/>
        <v>N</v>
      </c>
      <c r="K558" s="3114" t="s">
        <v>3174</v>
      </c>
      <c r="M558" s="391"/>
      <c r="N558" s="391"/>
      <c r="O558" s="313"/>
      <c r="P558" s="313"/>
      <c r="Q558" s="313"/>
      <c r="R558" s="313"/>
      <c r="S558" s="313"/>
    </row>
    <row r="559" spans="1:19" ht="16.899999999999999" hidden="1" customHeight="1" outlineLevel="1">
      <c r="A559" s="313"/>
      <c r="B559" s="1752" t="s">
        <v>140</v>
      </c>
      <c r="C559" s="1718" t="s">
        <v>1899</v>
      </c>
      <c r="D559" s="1719">
        <f t="shared" si="261"/>
        <v>170</v>
      </c>
      <c r="E559" s="1761" t="str">
        <f t="shared" ca="1" si="259"/>
        <v>N</v>
      </c>
      <c r="F559" s="1591" t="str">
        <f t="shared" ca="1" si="260"/>
        <v>N</v>
      </c>
      <c r="G559" s="1591">
        <f ca="1">INDEX('Summary Data'!$AS$6:$FZ$57,MATCH($E559,'Summary Data'!$C$6:$C$57,0),MATCH($C559,'Summary Data'!$AS$3:$FZ$3,0))</f>
        <v>0</v>
      </c>
      <c r="H559" s="1592" t="s">
        <v>5</v>
      </c>
      <c r="I559" s="1591">
        <f ca="1">INDEX('Summary Data'!$AS$6:$FZ$57,MATCH($E559,'Summary Data'!$C$6:$C$57,0),MATCH($C559,'Summary Data'!$AS$3:$FZ$3,0))</f>
        <v>0</v>
      </c>
      <c r="J559" s="4002" t="str">
        <f t="shared" ca="1" si="256"/>
        <v>N</v>
      </c>
      <c r="K559" s="3114" t="s">
        <v>3174</v>
      </c>
      <c r="M559" s="391"/>
      <c r="N559" s="391"/>
      <c r="O559" s="313"/>
      <c r="P559" s="313"/>
      <c r="Q559" s="313"/>
      <c r="R559" s="313"/>
      <c r="S559" s="313"/>
    </row>
    <row r="560" spans="1:19" ht="16.899999999999999" hidden="1" customHeight="1" outlineLevel="1">
      <c r="A560" s="313"/>
      <c r="B560" s="1752" t="s">
        <v>140</v>
      </c>
      <c r="C560" s="1718" t="s">
        <v>1899</v>
      </c>
      <c r="D560" s="1719">
        <f t="shared" si="261"/>
        <v>187</v>
      </c>
      <c r="E560" s="1761" t="str">
        <f t="shared" ca="1" si="259"/>
        <v>N</v>
      </c>
      <c r="F560" s="1591" t="str">
        <f t="shared" ca="1" si="260"/>
        <v>N</v>
      </c>
      <c r="G560" s="1591">
        <f ca="1">INDEX('Summary Data'!$AS$6:$FZ$57,MATCH($E560,'Summary Data'!$C$6:$C$57,0),MATCH($C560,'Summary Data'!$AS$3:$FZ$3,0))</f>
        <v>0</v>
      </c>
      <c r="H560" s="1592" t="s">
        <v>5</v>
      </c>
      <c r="I560" s="1591">
        <f ca="1">INDEX('Summary Data'!$AS$6:$FZ$57,MATCH($E560,'Summary Data'!$C$6:$C$57,0),MATCH($C560,'Summary Data'!$AS$3:$FZ$3,0))</f>
        <v>0</v>
      </c>
      <c r="J560" s="4002" t="str">
        <f t="shared" ca="1" si="256"/>
        <v>N</v>
      </c>
      <c r="K560" s="3114" t="s">
        <v>3174</v>
      </c>
      <c r="M560" s="391"/>
      <c r="N560" s="391"/>
      <c r="O560" s="313"/>
      <c r="P560" s="313"/>
      <c r="Q560" s="313"/>
      <c r="R560" s="313"/>
      <c r="S560" s="313"/>
    </row>
    <row r="561" spans="1:19" ht="16.899999999999999" hidden="1" customHeight="1" outlineLevel="1">
      <c r="A561" s="313"/>
      <c r="B561" s="1752" t="s">
        <v>140</v>
      </c>
      <c r="C561" s="1718" t="s">
        <v>1899</v>
      </c>
      <c r="D561" s="1719">
        <f t="shared" si="261"/>
        <v>204</v>
      </c>
      <c r="E561" s="1761" t="str">
        <f t="shared" ca="1" si="259"/>
        <v>N</v>
      </c>
      <c r="F561" s="1591" t="str">
        <f t="shared" ca="1" si="260"/>
        <v>N</v>
      </c>
      <c r="G561" s="1591">
        <f ca="1">INDEX('Summary Data'!$AS$6:$FZ$57,MATCH($E561,'Summary Data'!$C$6:$C$57,0),MATCH($C561,'Summary Data'!$AS$3:$FZ$3,0))</f>
        <v>0</v>
      </c>
      <c r="H561" s="1592" t="s">
        <v>5</v>
      </c>
      <c r="I561" s="1591">
        <f ca="1">INDEX('Summary Data'!$AS$6:$FZ$57,MATCH($E561,'Summary Data'!$C$6:$C$57,0),MATCH($C561,'Summary Data'!$AS$3:$FZ$3,0))</f>
        <v>0</v>
      </c>
      <c r="J561" s="4002" t="str">
        <f t="shared" ca="1" si="256"/>
        <v>N</v>
      </c>
      <c r="K561" s="3114" t="s">
        <v>3174</v>
      </c>
      <c r="M561" s="391"/>
      <c r="N561" s="391"/>
      <c r="O561" s="313"/>
      <c r="P561" s="313"/>
      <c r="Q561" s="313"/>
      <c r="R561" s="313"/>
      <c r="S561" s="313"/>
    </row>
    <row r="562" spans="1:19" ht="16.899999999999999" hidden="1" customHeight="1" outlineLevel="1">
      <c r="A562" s="313"/>
      <c r="B562" s="1752" t="s">
        <v>140</v>
      </c>
      <c r="C562" s="1718" t="s">
        <v>1899</v>
      </c>
      <c r="D562" s="1719">
        <f t="shared" si="261"/>
        <v>221</v>
      </c>
      <c r="E562" s="1761" t="str">
        <f t="shared" ca="1" si="259"/>
        <v>1st</v>
      </c>
      <c r="F562" s="1591" t="str">
        <f t="shared" ca="1" si="260"/>
        <v>N</v>
      </c>
      <c r="G562" s="1591">
        <f ca="1">INDEX('Summary Data'!$AS$6:$FZ$57,MATCH($E562,'Summary Data'!$C$6:$C$57,0),MATCH($C562,'Summary Data'!$AS$3:$FZ$3,0))</f>
        <v>0</v>
      </c>
      <c r="H562" s="1592" t="s">
        <v>5</v>
      </c>
      <c r="I562" s="1591">
        <f ca="1">INDEX('Summary Data'!$AS$6:$FZ$57,MATCH($E562,'Summary Data'!$C$6:$C$57,0),MATCH($C562,'Summary Data'!$AS$3:$FZ$3,0))</f>
        <v>0</v>
      </c>
      <c r="J562" s="4002" t="str">
        <f t="shared" ca="1" si="256"/>
        <v>N</v>
      </c>
      <c r="K562" s="3114" t="s">
        <v>3174</v>
      </c>
      <c r="M562" s="391"/>
      <c r="N562" s="391"/>
      <c r="O562" s="313"/>
      <c r="P562" s="313"/>
      <c r="Q562" s="313"/>
      <c r="R562" s="313"/>
      <c r="S562" s="313"/>
    </row>
    <row r="563" spans="1:19" ht="16.899999999999999" hidden="1" customHeight="1" outlineLevel="1">
      <c r="A563" s="313"/>
      <c r="B563" s="1752" t="s">
        <v>140</v>
      </c>
      <c r="C563" s="1718" t="s">
        <v>1899</v>
      </c>
      <c r="D563" s="1719">
        <f t="shared" si="261"/>
        <v>238</v>
      </c>
      <c r="E563" s="1761" t="str">
        <f t="shared" ca="1" si="259"/>
        <v>1st</v>
      </c>
      <c r="F563" s="1591" t="str">
        <f t="shared" ca="1" si="260"/>
        <v>N</v>
      </c>
      <c r="G563" s="1591">
        <f ca="1">INDEX('Summary Data'!$AS$6:$FZ$57,MATCH($E563,'Summary Data'!$C$6:$C$57,0),MATCH($C563,'Summary Data'!$AS$3:$FZ$3,0))</f>
        <v>0</v>
      </c>
      <c r="H563" s="1592" t="s">
        <v>5</v>
      </c>
      <c r="I563" s="1591">
        <f ca="1">INDEX('Summary Data'!$AS$6:$FZ$57,MATCH($E563,'Summary Data'!$C$6:$C$57,0),MATCH($C563,'Summary Data'!$AS$3:$FZ$3,0))</f>
        <v>0</v>
      </c>
      <c r="J563" s="4002" t="str">
        <f t="shared" ca="1" si="256"/>
        <v>N</v>
      </c>
      <c r="K563" s="3114" t="s">
        <v>3174</v>
      </c>
      <c r="M563" s="391"/>
      <c r="N563" s="391"/>
      <c r="O563" s="313"/>
      <c r="P563" s="313"/>
      <c r="Q563" s="313"/>
      <c r="R563" s="313"/>
      <c r="S563" s="313"/>
    </row>
    <row r="564" spans="1:19" ht="16.899999999999999" hidden="1" customHeight="1" outlineLevel="1">
      <c r="A564" s="313"/>
      <c r="B564" s="1753"/>
      <c r="C564" s="385"/>
      <c r="D564" s="313"/>
      <c r="E564" s="313"/>
      <c r="F564" s="313"/>
      <c r="G564" s="1270"/>
      <c r="I564" s="313"/>
      <c r="J564" s="313"/>
      <c r="K564" s="313"/>
      <c r="M564" s="391"/>
      <c r="N564" s="391"/>
      <c r="O564" s="313"/>
      <c r="P564" s="313"/>
      <c r="Q564" s="313"/>
      <c r="R564" s="313"/>
      <c r="S564" s="313"/>
    </row>
    <row r="565" spans="1:19" ht="16.899999999999999" customHeight="1" collapsed="1">
      <c r="A565" s="313"/>
      <c r="B565" s="1753"/>
      <c r="C565" s="385"/>
      <c r="F565" s="384" t="s">
        <v>746</v>
      </c>
      <c r="G565" s="384" t="s">
        <v>1518</v>
      </c>
      <c r="H565" s="384" t="s">
        <v>1409</v>
      </c>
      <c r="I565" s="384" t="s">
        <v>1587</v>
      </c>
      <c r="J565" s="313"/>
      <c r="K565" s="313"/>
      <c r="M565" s="391"/>
      <c r="N565" s="391"/>
      <c r="O565" s="313"/>
      <c r="P565" s="313"/>
      <c r="Q565" s="313"/>
      <c r="R565" s="313"/>
      <c r="S565" s="313"/>
    </row>
    <row r="566" spans="1:19" ht="16.899999999999999" hidden="1" customHeight="1" outlineLevel="1">
      <c r="A566" s="1269"/>
      <c r="B566" s="1752" t="s">
        <v>173</v>
      </c>
      <c r="C566" s="1718" t="s">
        <v>2341</v>
      </c>
      <c r="D566" s="1719">
        <v>0</v>
      </c>
      <c r="E566" s="1761" t="str">
        <f t="shared" ref="E566:E610" ca="1" si="262">OFFSET($A$25,D566,0)</f>
        <v>Box</v>
      </c>
      <c r="F566" s="1591" t="str">
        <f t="shared" ref="F566:F610" ca="1" si="263">IF(G566=0,"N",E566)</f>
        <v>N</v>
      </c>
      <c r="G566" s="1591">
        <f ca="1">INDEX('Summary Data'!$AS$6:$FZ$57,MATCH($E566,'Summary Data'!$C$6:$C$57,0),MATCH($C566,'Summary Data'!$AS$3:$FZ$3,0))</f>
        <v>0</v>
      </c>
      <c r="H566" s="1592" t="s">
        <v>5</v>
      </c>
      <c r="I566" s="1591">
        <f ca="1">INDEX('Summary Data'!$AS$6:$FZ$57,MATCH($E566,'Summary Data'!$C$6:$C$57,0),MATCH($C566,'Summary Data'!$AS$3:$FZ$3,0)+1)</f>
        <v>0</v>
      </c>
      <c r="J566" s="4002" t="str">
        <f ca="1">F566</f>
        <v>N</v>
      </c>
      <c r="K566" s="3114" t="s">
        <v>3174</v>
      </c>
      <c r="M566" s="391"/>
      <c r="N566" s="391"/>
      <c r="O566" s="313"/>
      <c r="P566" s="313"/>
      <c r="Q566" s="313"/>
      <c r="R566" s="313"/>
      <c r="S566" s="313"/>
    </row>
    <row r="567" spans="1:19" ht="16.899999999999999" hidden="1" customHeight="1" outlineLevel="1">
      <c r="A567" s="1269"/>
      <c r="B567" s="1752" t="s">
        <v>173</v>
      </c>
      <c r="C567" s="1718" t="s">
        <v>2341</v>
      </c>
      <c r="D567" s="1719">
        <f>D566+17</f>
        <v>17</v>
      </c>
      <c r="E567" s="1761" t="str">
        <f t="shared" ca="1" si="262"/>
        <v>N</v>
      </c>
      <c r="F567" s="1591" t="str">
        <f t="shared" ca="1" si="263"/>
        <v>N</v>
      </c>
      <c r="G567" s="1591">
        <f ca="1">INDEX('Summary Data'!$AS$6:$FZ$57,MATCH($E567,'Summary Data'!$C$6:$C$57,0),MATCH($C567,'Summary Data'!$AS$3:$FZ$3,0))</f>
        <v>0</v>
      </c>
      <c r="H567" s="1592" t="s">
        <v>5</v>
      </c>
      <c r="I567" s="1591">
        <f ca="1">INDEX('Summary Data'!$AS$6:$FZ$57,MATCH($E567,'Summary Data'!$C$6:$C$57,0),MATCH($C567,'Summary Data'!$AS$3:$FZ$3,0)+1)</f>
        <v>0</v>
      </c>
      <c r="J567" s="4002" t="str">
        <f t="shared" ref="J567:J625" ca="1" si="264">F567</f>
        <v>N</v>
      </c>
      <c r="K567" s="3114" t="s">
        <v>3174</v>
      </c>
      <c r="M567" s="391"/>
      <c r="N567" s="391"/>
      <c r="O567" s="313"/>
      <c r="P567" s="313"/>
      <c r="Q567" s="313"/>
      <c r="R567" s="313"/>
      <c r="S567" s="313"/>
    </row>
    <row r="568" spans="1:19" ht="16.899999999999999" hidden="1" customHeight="1" outlineLevel="1">
      <c r="A568" s="1269"/>
      <c r="B568" s="1752" t="s">
        <v>173</v>
      </c>
      <c r="C568" s="1718" t="s">
        <v>2341</v>
      </c>
      <c r="D568" s="1719">
        <f t="shared" ref="D568:D580" si="265">D567+17</f>
        <v>34</v>
      </c>
      <c r="E568" s="1761" t="str">
        <f t="shared" ca="1" si="262"/>
        <v>N</v>
      </c>
      <c r="F568" s="1591" t="str">
        <f t="shared" ca="1" si="263"/>
        <v>N</v>
      </c>
      <c r="G568" s="1591">
        <f ca="1">INDEX('Summary Data'!$AS$6:$FZ$57,MATCH($E568,'Summary Data'!$C$6:$C$57,0),MATCH($C568,'Summary Data'!$AS$3:$FZ$3,0))</f>
        <v>0</v>
      </c>
      <c r="H568" s="1592" t="s">
        <v>5</v>
      </c>
      <c r="I568" s="1591">
        <f ca="1">INDEX('Summary Data'!$AS$6:$FZ$57,MATCH($E568,'Summary Data'!$C$6:$C$57,0),MATCH($C568,'Summary Data'!$AS$3:$FZ$3,0)+1)</f>
        <v>0</v>
      </c>
      <c r="J568" s="4002" t="str">
        <f t="shared" ca="1" si="264"/>
        <v>N</v>
      </c>
      <c r="K568" s="3114" t="s">
        <v>3174</v>
      </c>
      <c r="M568" s="391"/>
      <c r="N568" s="391"/>
      <c r="O568" s="313"/>
      <c r="P568" s="313"/>
      <c r="Q568" s="313"/>
      <c r="R568" s="313"/>
      <c r="S568" s="313"/>
    </row>
    <row r="569" spans="1:19" ht="16.899999999999999" hidden="1" customHeight="1" outlineLevel="1">
      <c r="A569" s="1269"/>
      <c r="B569" s="1752" t="s">
        <v>173</v>
      </c>
      <c r="C569" s="1718" t="s">
        <v>2341</v>
      </c>
      <c r="D569" s="1719">
        <f t="shared" si="265"/>
        <v>51</v>
      </c>
      <c r="E569" s="1761" t="str">
        <f t="shared" ca="1" si="262"/>
        <v>N</v>
      </c>
      <c r="F569" s="1591" t="str">
        <f t="shared" ca="1" si="263"/>
        <v>N</v>
      </c>
      <c r="G569" s="1591">
        <f ca="1">INDEX('Summary Data'!$AS$6:$FZ$57,MATCH($E569,'Summary Data'!$C$6:$C$57,0),MATCH($C569,'Summary Data'!$AS$3:$FZ$3,0))</f>
        <v>0</v>
      </c>
      <c r="H569" s="1592" t="s">
        <v>5</v>
      </c>
      <c r="I569" s="1591">
        <f ca="1">INDEX('Summary Data'!$AS$6:$FZ$57,MATCH($E569,'Summary Data'!$C$6:$C$57,0),MATCH($C569,'Summary Data'!$AS$3:$FZ$3,0)+1)</f>
        <v>0</v>
      </c>
      <c r="J569" s="4002" t="str">
        <f t="shared" ca="1" si="264"/>
        <v>N</v>
      </c>
      <c r="K569" s="3114" t="s">
        <v>3174</v>
      </c>
      <c r="M569" s="391"/>
      <c r="N569" s="391"/>
      <c r="O569" s="313"/>
      <c r="P569" s="313"/>
      <c r="Q569" s="313"/>
      <c r="R569" s="313"/>
      <c r="S569" s="313"/>
    </row>
    <row r="570" spans="1:19" ht="16.899999999999999" hidden="1" customHeight="1" outlineLevel="1">
      <c r="A570" s="1269"/>
      <c r="B570" s="1752" t="s">
        <v>173</v>
      </c>
      <c r="C570" s="1718" t="s">
        <v>2341</v>
      </c>
      <c r="D570" s="1719">
        <f t="shared" si="265"/>
        <v>68</v>
      </c>
      <c r="E570" s="1761" t="str">
        <f t="shared" ca="1" si="262"/>
        <v>N</v>
      </c>
      <c r="F570" s="1591" t="str">
        <f t="shared" ca="1" si="263"/>
        <v>N</v>
      </c>
      <c r="G570" s="1591">
        <f ca="1">INDEX('Summary Data'!$AS$6:$FZ$57,MATCH($E570,'Summary Data'!$C$6:$C$57,0),MATCH($C570,'Summary Data'!$AS$3:$FZ$3,0))</f>
        <v>0</v>
      </c>
      <c r="H570" s="1592" t="s">
        <v>5</v>
      </c>
      <c r="I570" s="1591">
        <f ca="1">INDEX('Summary Data'!$AS$6:$FZ$57,MATCH($E570,'Summary Data'!$C$6:$C$57,0),MATCH($C570,'Summary Data'!$AS$3:$FZ$3,0)+1)</f>
        <v>0</v>
      </c>
      <c r="J570" s="4002" t="str">
        <f t="shared" ca="1" si="264"/>
        <v>N</v>
      </c>
      <c r="K570" s="3114" t="s">
        <v>3174</v>
      </c>
      <c r="M570" s="391"/>
      <c r="N570" s="391"/>
      <c r="O570" s="313"/>
      <c r="P570" s="313"/>
      <c r="Q570" s="313"/>
      <c r="R570" s="313"/>
      <c r="S570" s="313"/>
    </row>
    <row r="571" spans="1:19" ht="16.899999999999999" hidden="1" customHeight="1" outlineLevel="1">
      <c r="A571" s="1269"/>
      <c r="B571" s="1752" t="s">
        <v>173</v>
      </c>
      <c r="C571" s="1718" t="s">
        <v>2341</v>
      </c>
      <c r="D571" s="1719">
        <f t="shared" si="265"/>
        <v>85</v>
      </c>
      <c r="E571" s="1761" t="str">
        <f t="shared" ca="1" si="262"/>
        <v>N</v>
      </c>
      <c r="F571" s="1591" t="str">
        <f t="shared" ca="1" si="263"/>
        <v>N</v>
      </c>
      <c r="G571" s="1591">
        <f ca="1">INDEX('Summary Data'!$AS$6:$FZ$57,MATCH($E571,'Summary Data'!$C$6:$C$57,0),MATCH($C571,'Summary Data'!$AS$3:$FZ$3,0))</f>
        <v>0</v>
      </c>
      <c r="H571" s="1592" t="s">
        <v>5</v>
      </c>
      <c r="I571" s="1591">
        <f ca="1">INDEX('Summary Data'!$AS$6:$FZ$57,MATCH($E571,'Summary Data'!$C$6:$C$57,0),MATCH($C571,'Summary Data'!$AS$3:$FZ$3,0)+1)</f>
        <v>0</v>
      </c>
      <c r="J571" s="4002" t="str">
        <f t="shared" ca="1" si="264"/>
        <v>N</v>
      </c>
      <c r="K571" s="3114" t="s">
        <v>3174</v>
      </c>
      <c r="M571" s="391"/>
      <c r="N571" s="391"/>
      <c r="O571" s="313"/>
      <c r="P571" s="313"/>
      <c r="Q571" s="313"/>
      <c r="R571" s="313"/>
      <c r="S571" s="313"/>
    </row>
    <row r="572" spans="1:19" ht="16.899999999999999" hidden="1" customHeight="1" outlineLevel="1">
      <c r="A572" s="1269"/>
      <c r="B572" s="1752" t="s">
        <v>173</v>
      </c>
      <c r="C572" s="1718" t="s">
        <v>2341</v>
      </c>
      <c r="D572" s="1719">
        <f t="shared" si="265"/>
        <v>102</v>
      </c>
      <c r="E572" s="1761" t="str">
        <f t="shared" ca="1" si="262"/>
        <v>N</v>
      </c>
      <c r="F572" s="1591" t="str">
        <f t="shared" ca="1" si="263"/>
        <v>N</v>
      </c>
      <c r="G572" s="1591">
        <f ca="1">INDEX('Summary Data'!$AS$6:$FZ$57,MATCH($E572,'Summary Data'!$C$6:$C$57,0),MATCH($C572,'Summary Data'!$AS$3:$FZ$3,0))</f>
        <v>0</v>
      </c>
      <c r="H572" s="1592" t="s">
        <v>5</v>
      </c>
      <c r="I572" s="1591">
        <f ca="1">INDEX('Summary Data'!$AS$6:$FZ$57,MATCH($E572,'Summary Data'!$C$6:$C$57,0),MATCH($C572,'Summary Data'!$AS$3:$FZ$3,0)+1)</f>
        <v>0</v>
      </c>
      <c r="J572" s="4002" t="str">
        <f t="shared" ca="1" si="264"/>
        <v>N</v>
      </c>
      <c r="K572" s="3114" t="s">
        <v>3174</v>
      </c>
      <c r="M572" s="391"/>
      <c r="N572" s="391"/>
      <c r="O572" s="313"/>
      <c r="P572" s="313"/>
      <c r="Q572" s="313"/>
      <c r="R572" s="313"/>
      <c r="S572" s="313"/>
    </row>
    <row r="573" spans="1:19" ht="16.899999999999999" hidden="1" customHeight="1" outlineLevel="1">
      <c r="A573" s="1269"/>
      <c r="B573" s="1752" t="s">
        <v>173</v>
      </c>
      <c r="C573" s="1718" t="s">
        <v>2341</v>
      </c>
      <c r="D573" s="1719">
        <f t="shared" si="265"/>
        <v>119</v>
      </c>
      <c r="E573" s="1761" t="str">
        <f t="shared" ca="1" si="262"/>
        <v>N</v>
      </c>
      <c r="F573" s="1591" t="str">
        <f t="shared" ca="1" si="263"/>
        <v>N</v>
      </c>
      <c r="G573" s="1591">
        <f ca="1">INDEX('Summary Data'!$AS$6:$FZ$57,MATCH($E573,'Summary Data'!$C$6:$C$57,0),MATCH($C573,'Summary Data'!$AS$3:$FZ$3,0))</f>
        <v>0</v>
      </c>
      <c r="H573" s="1592" t="s">
        <v>5</v>
      </c>
      <c r="I573" s="1591">
        <f ca="1">INDEX('Summary Data'!$AS$6:$FZ$57,MATCH($E573,'Summary Data'!$C$6:$C$57,0),MATCH($C573,'Summary Data'!$AS$3:$FZ$3,0)+1)</f>
        <v>0</v>
      </c>
      <c r="J573" s="4002" t="str">
        <f t="shared" ca="1" si="264"/>
        <v>N</v>
      </c>
      <c r="K573" s="3114" t="s">
        <v>3174</v>
      </c>
      <c r="M573" s="391"/>
      <c r="N573" s="391"/>
      <c r="O573" s="313"/>
      <c r="P573" s="313"/>
      <c r="Q573" s="313"/>
      <c r="R573" s="313"/>
      <c r="S573" s="313"/>
    </row>
    <row r="574" spans="1:19" ht="16.899999999999999" hidden="1" customHeight="1" outlineLevel="1">
      <c r="A574" s="1269"/>
      <c r="B574" s="1752" t="s">
        <v>173</v>
      </c>
      <c r="C574" s="1718" t="s">
        <v>2341</v>
      </c>
      <c r="D574" s="1719">
        <f t="shared" si="265"/>
        <v>136</v>
      </c>
      <c r="E574" s="1761" t="str">
        <f t="shared" ca="1" si="262"/>
        <v>N</v>
      </c>
      <c r="F574" s="1591" t="str">
        <f t="shared" ca="1" si="263"/>
        <v>N</v>
      </c>
      <c r="G574" s="1591">
        <f ca="1">INDEX('Summary Data'!$AS$6:$FZ$57,MATCH($E574,'Summary Data'!$C$6:$C$57,0),MATCH($C574,'Summary Data'!$AS$3:$FZ$3,0))</f>
        <v>0</v>
      </c>
      <c r="H574" s="1592" t="s">
        <v>5</v>
      </c>
      <c r="I574" s="1591">
        <f ca="1">INDEX('Summary Data'!$AS$6:$FZ$57,MATCH($E574,'Summary Data'!$C$6:$C$57,0),MATCH($C574,'Summary Data'!$AS$3:$FZ$3,0)+1)</f>
        <v>0</v>
      </c>
      <c r="J574" s="4002" t="str">
        <f t="shared" ca="1" si="264"/>
        <v>N</v>
      </c>
      <c r="K574" s="3114" t="s">
        <v>3174</v>
      </c>
      <c r="M574" s="391"/>
      <c r="N574" s="391"/>
      <c r="O574" s="313"/>
      <c r="P574" s="313"/>
      <c r="Q574" s="313"/>
      <c r="R574" s="313"/>
      <c r="S574" s="313"/>
    </row>
    <row r="575" spans="1:19" ht="16.899999999999999" hidden="1" customHeight="1" outlineLevel="1">
      <c r="A575" s="1269"/>
      <c r="B575" s="1752" t="s">
        <v>173</v>
      </c>
      <c r="C575" s="1718" t="s">
        <v>2341</v>
      </c>
      <c r="D575" s="1719">
        <f t="shared" si="265"/>
        <v>153</v>
      </c>
      <c r="E575" s="1761" t="str">
        <f t="shared" ca="1" si="262"/>
        <v>N</v>
      </c>
      <c r="F575" s="1591" t="str">
        <f t="shared" ca="1" si="263"/>
        <v>N</v>
      </c>
      <c r="G575" s="1591">
        <f ca="1">INDEX('Summary Data'!$AS$6:$FZ$57,MATCH($E575,'Summary Data'!$C$6:$C$57,0),MATCH($C575,'Summary Data'!$AS$3:$FZ$3,0))</f>
        <v>0</v>
      </c>
      <c r="H575" s="1592" t="s">
        <v>5</v>
      </c>
      <c r="I575" s="1591">
        <f ca="1">INDEX('Summary Data'!$AS$6:$FZ$57,MATCH($E575,'Summary Data'!$C$6:$C$57,0),MATCH($C575,'Summary Data'!$AS$3:$FZ$3,0)+1)</f>
        <v>0</v>
      </c>
      <c r="J575" s="4002" t="str">
        <f t="shared" ca="1" si="264"/>
        <v>N</v>
      </c>
      <c r="K575" s="3114" t="s">
        <v>3174</v>
      </c>
      <c r="M575" s="391"/>
      <c r="N575" s="391"/>
      <c r="O575" s="313"/>
      <c r="P575" s="313"/>
      <c r="Q575" s="313"/>
      <c r="R575" s="313"/>
      <c r="S575" s="313"/>
    </row>
    <row r="576" spans="1:19" ht="16.899999999999999" hidden="1" customHeight="1" outlineLevel="1">
      <c r="A576" s="1269"/>
      <c r="B576" s="1752" t="s">
        <v>173</v>
      </c>
      <c r="C576" s="1718" t="s">
        <v>2341</v>
      </c>
      <c r="D576" s="1719">
        <f t="shared" si="265"/>
        <v>170</v>
      </c>
      <c r="E576" s="1761" t="str">
        <f t="shared" ca="1" si="262"/>
        <v>N</v>
      </c>
      <c r="F576" s="1591" t="str">
        <f t="shared" ca="1" si="263"/>
        <v>N</v>
      </c>
      <c r="G576" s="1591">
        <f ca="1">INDEX('Summary Data'!$AS$6:$FZ$57,MATCH($E576,'Summary Data'!$C$6:$C$57,0),MATCH($C576,'Summary Data'!$AS$3:$FZ$3,0))</f>
        <v>0</v>
      </c>
      <c r="H576" s="1592" t="s">
        <v>5</v>
      </c>
      <c r="I576" s="1591">
        <f ca="1">INDEX('Summary Data'!$AS$6:$FZ$57,MATCH($E576,'Summary Data'!$C$6:$C$57,0),MATCH($C576,'Summary Data'!$AS$3:$FZ$3,0)+1)</f>
        <v>0</v>
      </c>
      <c r="J576" s="4002" t="str">
        <f t="shared" ca="1" si="264"/>
        <v>N</v>
      </c>
      <c r="K576" s="3114" t="s">
        <v>3174</v>
      </c>
      <c r="M576" s="391"/>
      <c r="N576" s="391"/>
      <c r="O576" s="313"/>
      <c r="P576" s="313"/>
      <c r="Q576" s="313"/>
      <c r="R576" s="313"/>
      <c r="S576" s="313"/>
    </row>
    <row r="577" spans="1:19" ht="16.899999999999999" hidden="1" customHeight="1" outlineLevel="1">
      <c r="A577" s="1269"/>
      <c r="B577" s="1752" t="s">
        <v>173</v>
      </c>
      <c r="C577" s="1718" t="s">
        <v>2341</v>
      </c>
      <c r="D577" s="1719">
        <f t="shared" si="265"/>
        <v>187</v>
      </c>
      <c r="E577" s="1761" t="str">
        <f t="shared" ca="1" si="262"/>
        <v>N</v>
      </c>
      <c r="F577" s="1591" t="str">
        <f t="shared" ca="1" si="263"/>
        <v>N</v>
      </c>
      <c r="G577" s="1591">
        <f ca="1">INDEX('Summary Data'!$AS$6:$FZ$57,MATCH($E577,'Summary Data'!$C$6:$C$57,0),MATCH($C577,'Summary Data'!$AS$3:$FZ$3,0))</f>
        <v>0</v>
      </c>
      <c r="H577" s="1592" t="s">
        <v>5</v>
      </c>
      <c r="I577" s="1591">
        <f ca="1">INDEX('Summary Data'!$AS$6:$FZ$57,MATCH($E577,'Summary Data'!$C$6:$C$57,0),MATCH($C577,'Summary Data'!$AS$3:$FZ$3,0)+1)</f>
        <v>0</v>
      </c>
      <c r="J577" s="4002" t="str">
        <f t="shared" ca="1" si="264"/>
        <v>N</v>
      </c>
      <c r="K577" s="3114" t="s">
        <v>3174</v>
      </c>
      <c r="M577" s="391"/>
      <c r="N577" s="391"/>
      <c r="O577" s="313"/>
      <c r="P577" s="313"/>
      <c r="Q577" s="313"/>
      <c r="R577" s="313"/>
      <c r="S577" s="313"/>
    </row>
    <row r="578" spans="1:19" ht="16.899999999999999" hidden="1" customHeight="1" outlineLevel="1">
      <c r="A578" s="1269"/>
      <c r="B578" s="1752" t="s">
        <v>173</v>
      </c>
      <c r="C578" s="1718" t="s">
        <v>2341</v>
      </c>
      <c r="D578" s="1719">
        <f t="shared" si="265"/>
        <v>204</v>
      </c>
      <c r="E578" s="1761" t="str">
        <f t="shared" ca="1" si="262"/>
        <v>N</v>
      </c>
      <c r="F578" s="1591" t="str">
        <f t="shared" ca="1" si="263"/>
        <v>N</v>
      </c>
      <c r="G578" s="1591">
        <f ca="1">INDEX('Summary Data'!$AS$6:$FZ$57,MATCH($E578,'Summary Data'!$C$6:$C$57,0),MATCH($C578,'Summary Data'!$AS$3:$FZ$3,0))</f>
        <v>0</v>
      </c>
      <c r="H578" s="1592" t="s">
        <v>5</v>
      </c>
      <c r="I578" s="1591">
        <f ca="1">INDEX('Summary Data'!$AS$6:$FZ$57,MATCH($E578,'Summary Data'!$C$6:$C$57,0),MATCH($C578,'Summary Data'!$AS$3:$FZ$3,0)+1)</f>
        <v>0</v>
      </c>
      <c r="J578" s="4002" t="str">
        <f t="shared" ca="1" si="264"/>
        <v>N</v>
      </c>
      <c r="K578" s="3114" t="s">
        <v>3174</v>
      </c>
      <c r="M578" s="391"/>
      <c r="N578" s="391"/>
      <c r="O578" s="313"/>
      <c r="P578" s="313"/>
      <c r="Q578" s="313"/>
      <c r="R578" s="313"/>
      <c r="S578" s="313"/>
    </row>
    <row r="579" spans="1:19" ht="16.899999999999999" hidden="1" customHeight="1" outlineLevel="1">
      <c r="A579" s="1269"/>
      <c r="B579" s="1752" t="s">
        <v>173</v>
      </c>
      <c r="C579" s="1718" t="s">
        <v>2341</v>
      </c>
      <c r="D579" s="1719">
        <f t="shared" si="265"/>
        <v>221</v>
      </c>
      <c r="E579" s="1761" t="str">
        <f t="shared" ca="1" si="262"/>
        <v>1st</v>
      </c>
      <c r="F579" s="1591" t="str">
        <f t="shared" ca="1" si="263"/>
        <v>N</v>
      </c>
      <c r="G579" s="1591">
        <f ca="1">INDEX('Summary Data'!$AS$6:$FZ$57,MATCH($E579,'Summary Data'!$C$6:$C$57,0),MATCH($C579,'Summary Data'!$AS$3:$FZ$3,0))</f>
        <v>0</v>
      </c>
      <c r="H579" s="1592" t="s">
        <v>5</v>
      </c>
      <c r="I579" s="1591">
        <f ca="1">INDEX('Summary Data'!$AS$6:$FZ$57,MATCH($E579,'Summary Data'!$C$6:$C$57,0),MATCH($C579,'Summary Data'!$AS$3:$FZ$3,0)+1)</f>
        <v>0</v>
      </c>
      <c r="J579" s="4002" t="str">
        <f t="shared" ca="1" si="264"/>
        <v>N</v>
      </c>
      <c r="K579" s="3114" t="s">
        <v>3174</v>
      </c>
      <c r="M579" s="391"/>
      <c r="N579" s="391"/>
      <c r="O579" s="313"/>
      <c r="P579" s="313"/>
      <c r="Q579" s="313"/>
      <c r="R579" s="313"/>
      <c r="S579" s="313"/>
    </row>
    <row r="580" spans="1:19" ht="16.899999999999999" hidden="1" customHeight="1" outlineLevel="1">
      <c r="A580" s="1269"/>
      <c r="B580" s="1752" t="s">
        <v>173</v>
      </c>
      <c r="C580" s="1718" t="s">
        <v>2341</v>
      </c>
      <c r="D580" s="1719">
        <f t="shared" si="265"/>
        <v>238</v>
      </c>
      <c r="E580" s="1761" t="str">
        <f t="shared" ca="1" si="262"/>
        <v>1st</v>
      </c>
      <c r="F580" s="1591" t="str">
        <f t="shared" ca="1" si="263"/>
        <v>N</v>
      </c>
      <c r="G580" s="1591">
        <f ca="1">INDEX('Summary Data'!$AS$6:$FZ$57,MATCH($E580,'Summary Data'!$C$6:$C$57,0),MATCH($C580,'Summary Data'!$AS$3:$FZ$3,0))</f>
        <v>0</v>
      </c>
      <c r="H580" s="1592" t="s">
        <v>5</v>
      </c>
      <c r="I580" s="1591">
        <f ca="1">INDEX('Summary Data'!$AS$6:$FZ$57,MATCH($E580,'Summary Data'!$C$6:$C$57,0),MATCH($C580,'Summary Data'!$AS$3:$FZ$3,0)+1)</f>
        <v>0</v>
      </c>
      <c r="J580" s="4002" t="str">
        <f t="shared" ca="1" si="264"/>
        <v>N</v>
      </c>
      <c r="K580" s="3114" t="s">
        <v>3174</v>
      </c>
      <c r="M580" s="391"/>
      <c r="N580" s="391"/>
      <c r="O580" s="313"/>
      <c r="P580" s="313"/>
      <c r="Q580" s="313"/>
      <c r="R580" s="313"/>
      <c r="S580" s="313"/>
    </row>
    <row r="581" spans="1:19" ht="16.899999999999999" customHeight="1" collapsed="1">
      <c r="A581" s="1269"/>
      <c r="B581" s="1752" t="s">
        <v>173</v>
      </c>
      <c r="C581" s="1718" t="s">
        <v>174</v>
      </c>
      <c r="D581" s="1719">
        <v>0</v>
      </c>
      <c r="E581" s="1761" t="str">
        <f t="shared" ca="1" si="262"/>
        <v>Box</v>
      </c>
      <c r="F581" s="1591" t="str">
        <f t="shared" ca="1" si="263"/>
        <v>Box</v>
      </c>
      <c r="G581" s="1591" t="str">
        <f ca="1">INDEX('Summary Data'!$AS$6:$FZ$57,MATCH($E581,'Summary Data'!$C$6:$C$57,0),MATCH($C581,'Summary Data'!$AS$3:$FZ$3,0))</f>
        <v>4000</v>
      </c>
      <c r="H581" s="1592" t="s">
        <v>5</v>
      </c>
      <c r="I581" s="1591" t="str">
        <f ca="1">INDEX('Summary Data'!$AS$6:$FZ$57,MATCH($E581,'Summary Data'!$C$6:$C$57,0),MATCH($C581,'Summary Data'!$AS$3:$FZ$3,0)+1)</f>
        <v>3</v>
      </c>
      <c r="J581" s="4002" t="str">
        <f t="shared" ca="1" si="264"/>
        <v>Box</v>
      </c>
      <c r="K581" s="3114" t="s">
        <v>3174</v>
      </c>
      <c r="M581" s="391"/>
      <c r="N581" s="391"/>
      <c r="O581" s="313"/>
      <c r="P581" s="313"/>
      <c r="Q581" s="313"/>
      <c r="R581" s="313"/>
      <c r="S581" s="313"/>
    </row>
    <row r="582" spans="1:19" ht="16.899999999999999" hidden="1" customHeight="1" outlineLevel="1">
      <c r="A582" s="1269"/>
      <c r="B582" s="1752" t="s">
        <v>173</v>
      </c>
      <c r="C582" s="1718" t="s">
        <v>174</v>
      </c>
      <c r="D582" s="1719">
        <f>D581+17</f>
        <v>17</v>
      </c>
      <c r="E582" s="1761" t="str">
        <f t="shared" ca="1" si="262"/>
        <v>N</v>
      </c>
      <c r="F582" s="1591" t="str">
        <f t="shared" ca="1" si="263"/>
        <v>N</v>
      </c>
      <c r="G582" s="1591">
        <f ca="1">INDEX('Summary Data'!$AS$6:$FZ$57,MATCH($E582,'Summary Data'!$C$6:$C$57,0),MATCH($C582,'Summary Data'!$AS$3:$FZ$3,0))</f>
        <v>0</v>
      </c>
      <c r="H582" s="1592" t="s">
        <v>5</v>
      </c>
      <c r="I582" s="1591">
        <f ca="1">INDEX('Summary Data'!$AS$6:$FZ$57,MATCH($E582,'Summary Data'!$C$6:$C$57,0),MATCH($C582,'Summary Data'!$AS$3:$FZ$3,0)+1)</f>
        <v>0</v>
      </c>
      <c r="J582" s="4002" t="str">
        <f t="shared" ca="1" si="264"/>
        <v>N</v>
      </c>
      <c r="K582" s="3114" t="s">
        <v>3174</v>
      </c>
      <c r="M582" s="391"/>
      <c r="N582" s="391"/>
      <c r="O582" s="313"/>
      <c r="P582" s="313"/>
      <c r="Q582" s="313"/>
      <c r="R582" s="313"/>
      <c r="S582" s="313"/>
    </row>
    <row r="583" spans="1:19" ht="16.899999999999999" hidden="1" customHeight="1" outlineLevel="1">
      <c r="A583" s="1269"/>
      <c r="B583" s="1752" t="s">
        <v>173</v>
      </c>
      <c r="C583" s="1718" t="s">
        <v>174</v>
      </c>
      <c r="D583" s="1719">
        <f t="shared" ref="D583:D595" si="266">D582+17</f>
        <v>34</v>
      </c>
      <c r="E583" s="1761" t="str">
        <f t="shared" ca="1" si="262"/>
        <v>N</v>
      </c>
      <c r="F583" s="1591" t="str">
        <f t="shared" ca="1" si="263"/>
        <v>N</v>
      </c>
      <c r="G583" s="1591">
        <f ca="1">INDEX('Summary Data'!$AS$6:$FZ$57,MATCH($E583,'Summary Data'!$C$6:$C$57,0),MATCH($C583,'Summary Data'!$AS$3:$FZ$3,0))</f>
        <v>0</v>
      </c>
      <c r="H583" s="1592" t="s">
        <v>5</v>
      </c>
      <c r="I583" s="1591">
        <f ca="1">INDEX('Summary Data'!$AS$6:$FZ$57,MATCH($E583,'Summary Data'!$C$6:$C$57,0),MATCH($C583,'Summary Data'!$AS$3:$FZ$3,0)+1)</f>
        <v>0</v>
      </c>
      <c r="J583" s="4002" t="str">
        <f t="shared" ca="1" si="264"/>
        <v>N</v>
      </c>
      <c r="K583" s="3114" t="s">
        <v>3174</v>
      </c>
      <c r="M583" s="391"/>
      <c r="N583" s="391"/>
      <c r="O583" s="313"/>
      <c r="P583" s="313"/>
      <c r="Q583" s="313"/>
      <c r="R583" s="313"/>
      <c r="S583" s="313"/>
    </row>
    <row r="584" spans="1:19" ht="16.899999999999999" hidden="1" customHeight="1" outlineLevel="1">
      <c r="A584" s="1269"/>
      <c r="B584" s="1752" t="s">
        <v>173</v>
      </c>
      <c r="C584" s="1718" t="s">
        <v>174</v>
      </c>
      <c r="D584" s="1719">
        <f t="shared" si="266"/>
        <v>51</v>
      </c>
      <c r="E584" s="1761" t="str">
        <f t="shared" ca="1" si="262"/>
        <v>N</v>
      </c>
      <c r="F584" s="1591" t="str">
        <f t="shared" ca="1" si="263"/>
        <v>N</v>
      </c>
      <c r="G584" s="1591">
        <f ca="1">INDEX('Summary Data'!$AS$6:$FZ$57,MATCH($E584,'Summary Data'!$C$6:$C$57,0),MATCH($C584,'Summary Data'!$AS$3:$FZ$3,0))</f>
        <v>0</v>
      </c>
      <c r="H584" s="1592" t="s">
        <v>5</v>
      </c>
      <c r="I584" s="1591">
        <f ca="1">INDEX('Summary Data'!$AS$6:$FZ$57,MATCH($E584,'Summary Data'!$C$6:$C$57,0),MATCH($C584,'Summary Data'!$AS$3:$FZ$3,0)+1)</f>
        <v>0</v>
      </c>
      <c r="J584" s="4002" t="str">
        <f t="shared" ca="1" si="264"/>
        <v>N</v>
      </c>
      <c r="K584" s="3114" t="s">
        <v>3174</v>
      </c>
      <c r="M584" s="391"/>
      <c r="N584" s="391"/>
      <c r="O584" s="313"/>
      <c r="P584" s="313"/>
      <c r="Q584" s="313"/>
      <c r="R584" s="313"/>
      <c r="S584" s="313"/>
    </row>
    <row r="585" spans="1:19" ht="16.899999999999999" hidden="1" customHeight="1" outlineLevel="1">
      <c r="A585" s="1269"/>
      <c r="B585" s="1752" t="s">
        <v>173</v>
      </c>
      <c r="C585" s="1718" t="s">
        <v>174</v>
      </c>
      <c r="D585" s="1719">
        <f t="shared" si="266"/>
        <v>68</v>
      </c>
      <c r="E585" s="1761" t="str">
        <f t="shared" ca="1" si="262"/>
        <v>N</v>
      </c>
      <c r="F585" s="1591" t="str">
        <f t="shared" ca="1" si="263"/>
        <v>N</v>
      </c>
      <c r="G585" s="1591">
        <f ca="1">INDEX('Summary Data'!$AS$6:$FZ$57,MATCH($E585,'Summary Data'!$C$6:$C$57,0),MATCH($C585,'Summary Data'!$AS$3:$FZ$3,0))</f>
        <v>0</v>
      </c>
      <c r="H585" s="1592" t="s">
        <v>5</v>
      </c>
      <c r="I585" s="1591">
        <f ca="1">INDEX('Summary Data'!$AS$6:$FZ$57,MATCH($E585,'Summary Data'!$C$6:$C$57,0),MATCH($C585,'Summary Data'!$AS$3:$FZ$3,0)+1)</f>
        <v>0</v>
      </c>
      <c r="J585" s="4002" t="str">
        <f t="shared" ca="1" si="264"/>
        <v>N</v>
      </c>
      <c r="K585" s="3114" t="s">
        <v>3174</v>
      </c>
      <c r="M585" s="391"/>
      <c r="N585" s="391"/>
      <c r="O585" s="313"/>
      <c r="P585" s="313"/>
      <c r="Q585" s="313"/>
      <c r="R585" s="313"/>
      <c r="S585" s="313"/>
    </row>
    <row r="586" spans="1:19" ht="16.899999999999999" hidden="1" customHeight="1" outlineLevel="1">
      <c r="A586" s="1269"/>
      <c r="B586" s="1752" t="s">
        <v>173</v>
      </c>
      <c r="C586" s="1718" t="s">
        <v>174</v>
      </c>
      <c r="D586" s="1719">
        <f t="shared" si="266"/>
        <v>85</v>
      </c>
      <c r="E586" s="1761" t="str">
        <f t="shared" ca="1" si="262"/>
        <v>N</v>
      </c>
      <c r="F586" s="1591" t="str">
        <f t="shared" ca="1" si="263"/>
        <v>N</v>
      </c>
      <c r="G586" s="1591">
        <f ca="1">INDEX('Summary Data'!$AS$6:$FZ$57,MATCH($E586,'Summary Data'!$C$6:$C$57,0),MATCH($C586,'Summary Data'!$AS$3:$FZ$3,0))</f>
        <v>0</v>
      </c>
      <c r="H586" s="1592" t="s">
        <v>5</v>
      </c>
      <c r="I586" s="1591">
        <f ca="1">INDEX('Summary Data'!$AS$6:$FZ$57,MATCH($E586,'Summary Data'!$C$6:$C$57,0),MATCH($C586,'Summary Data'!$AS$3:$FZ$3,0)+1)</f>
        <v>0</v>
      </c>
      <c r="J586" s="4002" t="str">
        <f t="shared" ca="1" si="264"/>
        <v>N</v>
      </c>
      <c r="K586" s="3114" t="s">
        <v>3174</v>
      </c>
      <c r="M586" s="391"/>
      <c r="N586" s="391"/>
      <c r="O586" s="313"/>
      <c r="P586" s="313"/>
      <c r="Q586" s="313"/>
      <c r="R586" s="313"/>
      <c r="S586" s="313"/>
    </row>
    <row r="587" spans="1:19" ht="16.899999999999999" hidden="1" customHeight="1" outlineLevel="1">
      <c r="A587" s="1269"/>
      <c r="B587" s="1752" t="s">
        <v>173</v>
      </c>
      <c r="C587" s="1718" t="s">
        <v>174</v>
      </c>
      <c r="D587" s="1719">
        <f t="shared" si="266"/>
        <v>102</v>
      </c>
      <c r="E587" s="1761" t="str">
        <f t="shared" ca="1" si="262"/>
        <v>N</v>
      </c>
      <c r="F587" s="1591" t="str">
        <f t="shared" ca="1" si="263"/>
        <v>N</v>
      </c>
      <c r="G587" s="1591">
        <f ca="1">INDEX('Summary Data'!$AS$6:$FZ$57,MATCH($E587,'Summary Data'!$C$6:$C$57,0),MATCH($C587,'Summary Data'!$AS$3:$FZ$3,0))</f>
        <v>0</v>
      </c>
      <c r="H587" s="1592" t="s">
        <v>5</v>
      </c>
      <c r="I587" s="1591">
        <f ca="1">INDEX('Summary Data'!$AS$6:$FZ$57,MATCH($E587,'Summary Data'!$C$6:$C$57,0),MATCH($C587,'Summary Data'!$AS$3:$FZ$3,0)+1)</f>
        <v>0</v>
      </c>
      <c r="J587" s="4002" t="str">
        <f t="shared" ca="1" si="264"/>
        <v>N</v>
      </c>
      <c r="K587" s="3114" t="s">
        <v>3174</v>
      </c>
      <c r="M587" s="391"/>
      <c r="N587" s="391"/>
      <c r="O587" s="313"/>
      <c r="P587" s="313"/>
      <c r="Q587" s="313"/>
      <c r="R587" s="313"/>
      <c r="S587" s="313"/>
    </row>
    <row r="588" spans="1:19" ht="16.899999999999999" hidden="1" customHeight="1" outlineLevel="1">
      <c r="A588" s="1269"/>
      <c r="B588" s="1752" t="s">
        <v>173</v>
      </c>
      <c r="C588" s="1718" t="s">
        <v>174</v>
      </c>
      <c r="D588" s="1719">
        <f t="shared" si="266"/>
        <v>119</v>
      </c>
      <c r="E588" s="1761" t="str">
        <f t="shared" ca="1" si="262"/>
        <v>N</v>
      </c>
      <c r="F588" s="1591" t="str">
        <f t="shared" ca="1" si="263"/>
        <v>N</v>
      </c>
      <c r="G588" s="1591">
        <f ca="1">INDEX('Summary Data'!$AS$6:$FZ$57,MATCH($E588,'Summary Data'!$C$6:$C$57,0),MATCH($C588,'Summary Data'!$AS$3:$FZ$3,0))</f>
        <v>0</v>
      </c>
      <c r="H588" s="1592" t="s">
        <v>5</v>
      </c>
      <c r="I588" s="1591">
        <f ca="1">INDEX('Summary Data'!$AS$6:$FZ$57,MATCH($E588,'Summary Data'!$C$6:$C$57,0),MATCH($C588,'Summary Data'!$AS$3:$FZ$3,0)+1)</f>
        <v>0</v>
      </c>
      <c r="J588" s="4002" t="str">
        <f t="shared" ca="1" si="264"/>
        <v>N</v>
      </c>
      <c r="K588" s="3114" t="s">
        <v>3174</v>
      </c>
      <c r="M588" s="391"/>
      <c r="N588" s="391"/>
      <c r="O588" s="313"/>
      <c r="P588" s="313"/>
      <c r="Q588" s="313"/>
      <c r="R588" s="313"/>
      <c r="S588" s="313"/>
    </row>
    <row r="589" spans="1:19" ht="16.899999999999999" hidden="1" customHeight="1" outlineLevel="1">
      <c r="A589" s="1269"/>
      <c r="B589" s="1752" t="s">
        <v>173</v>
      </c>
      <c r="C589" s="1718" t="s">
        <v>174</v>
      </c>
      <c r="D589" s="1719">
        <f t="shared" si="266"/>
        <v>136</v>
      </c>
      <c r="E589" s="1761" t="str">
        <f t="shared" ca="1" si="262"/>
        <v>N</v>
      </c>
      <c r="F589" s="1591" t="str">
        <f t="shared" ca="1" si="263"/>
        <v>N</v>
      </c>
      <c r="G589" s="1591">
        <f ca="1">INDEX('Summary Data'!$AS$6:$FZ$57,MATCH($E589,'Summary Data'!$C$6:$C$57,0),MATCH($C589,'Summary Data'!$AS$3:$FZ$3,0))</f>
        <v>0</v>
      </c>
      <c r="H589" s="1592" t="s">
        <v>5</v>
      </c>
      <c r="I589" s="1591">
        <f ca="1">INDEX('Summary Data'!$AS$6:$FZ$57,MATCH($E589,'Summary Data'!$C$6:$C$57,0),MATCH($C589,'Summary Data'!$AS$3:$FZ$3,0)+1)</f>
        <v>0</v>
      </c>
      <c r="J589" s="4002" t="str">
        <f t="shared" ca="1" si="264"/>
        <v>N</v>
      </c>
      <c r="K589" s="3114" t="s">
        <v>3174</v>
      </c>
      <c r="M589" s="391"/>
      <c r="N589" s="391"/>
      <c r="O589" s="313"/>
      <c r="P589" s="313"/>
      <c r="Q589" s="313"/>
      <c r="R589" s="313"/>
      <c r="S589" s="313"/>
    </row>
    <row r="590" spans="1:19" ht="16.899999999999999" hidden="1" customHeight="1" outlineLevel="1">
      <c r="A590" s="1269"/>
      <c r="B590" s="1752" t="s">
        <v>173</v>
      </c>
      <c r="C590" s="1718" t="s">
        <v>174</v>
      </c>
      <c r="D590" s="1719">
        <f t="shared" si="266"/>
        <v>153</v>
      </c>
      <c r="E590" s="1761" t="str">
        <f t="shared" ca="1" si="262"/>
        <v>N</v>
      </c>
      <c r="F590" s="1591" t="str">
        <f t="shared" ca="1" si="263"/>
        <v>N</v>
      </c>
      <c r="G590" s="1591">
        <f ca="1">INDEX('Summary Data'!$AS$6:$FZ$57,MATCH($E590,'Summary Data'!$C$6:$C$57,0),MATCH($C590,'Summary Data'!$AS$3:$FZ$3,0))</f>
        <v>0</v>
      </c>
      <c r="H590" s="1592" t="s">
        <v>5</v>
      </c>
      <c r="I590" s="1591">
        <f ca="1">INDEX('Summary Data'!$AS$6:$FZ$57,MATCH($E590,'Summary Data'!$C$6:$C$57,0),MATCH($C590,'Summary Data'!$AS$3:$FZ$3,0)+1)</f>
        <v>0</v>
      </c>
      <c r="J590" s="4002" t="str">
        <f t="shared" ca="1" si="264"/>
        <v>N</v>
      </c>
      <c r="K590" s="3114" t="s">
        <v>3174</v>
      </c>
      <c r="M590" s="391"/>
      <c r="N590" s="391"/>
      <c r="O590" s="313"/>
      <c r="P590" s="313"/>
      <c r="Q590" s="313"/>
      <c r="R590" s="313"/>
      <c r="S590" s="313"/>
    </row>
    <row r="591" spans="1:19" ht="16.899999999999999" hidden="1" customHeight="1" outlineLevel="1">
      <c r="A591" s="1269"/>
      <c r="B591" s="1752" t="s">
        <v>173</v>
      </c>
      <c r="C591" s="1718" t="s">
        <v>174</v>
      </c>
      <c r="D591" s="1719">
        <f t="shared" si="266"/>
        <v>170</v>
      </c>
      <c r="E591" s="1761" t="str">
        <f t="shared" ca="1" si="262"/>
        <v>N</v>
      </c>
      <c r="F591" s="1591" t="str">
        <f t="shared" ca="1" si="263"/>
        <v>N</v>
      </c>
      <c r="G591" s="1591">
        <f ca="1">INDEX('Summary Data'!$AS$6:$FZ$57,MATCH($E591,'Summary Data'!$C$6:$C$57,0),MATCH($C591,'Summary Data'!$AS$3:$FZ$3,0))</f>
        <v>0</v>
      </c>
      <c r="H591" s="1592" t="s">
        <v>5</v>
      </c>
      <c r="I591" s="1591">
        <f ca="1">INDEX('Summary Data'!$AS$6:$FZ$57,MATCH($E591,'Summary Data'!$C$6:$C$57,0),MATCH($C591,'Summary Data'!$AS$3:$FZ$3,0)+1)</f>
        <v>0</v>
      </c>
      <c r="J591" s="4002" t="str">
        <f t="shared" ca="1" si="264"/>
        <v>N</v>
      </c>
      <c r="K591" s="3114" t="s">
        <v>3174</v>
      </c>
      <c r="M591" s="391"/>
      <c r="N591" s="391"/>
      <c r="O591" s="313"/>
      <c r="P591" s="313"/>
      <c r="Q591" s="313"/>
      <c r="R591" s="313"/>
      <c r="S591" s="313"/>
    </row>
    <row r="592" spans="1:19" ht="16.899999999999999" hidden="1" customHeight="1" outlineLevel="1">
      <c r="A592" s="1269"/>
      <c r="B592" s="1752" t="s">
        <v>173</v>
      </c>
      <c r="C592" s="1718" t="s">
        <v>174</v>
      </c>
      <c r="D592" s="1719">
        <f t="shared" si="266"/>
        <v>187</v>
      </c>
      <c r="E592" s="1761" t="str">
        <f t="shared" ca="1" si="262"/>
        <v>N</v>
      </c>
      <c r="F592" s="1591" t="str">
        <f t="shared" ca="1" si="263"/>
        <v>N</v>
      </c>
      <c r="G592" s="1591">
        <f ca="1">INDEX('Summary Data'!$AS$6:$FZ$57,MATCH($E592,'Summary Data'!$C$6:$C$57,0),MATCH($C592,'Summary Data'!$AS$3:$FZ$3,0))</f>
        <v>0</v>
      </c>
      <c r="H592" s="1592" t="s">
        <v>5</v>
      </c>
      <c r="I592" s="1591">
        <f ca="1">INDEX('Summary Data'!$AS$6:$FZ$57,MATCH($E592,'Summary Data'!$C$6:$C$57,0),MATCH($C592,'Summary Data'!$AS$3:$FZ$3,0)+1)</f>
        <v>0</v>
      </c>
      <c r="J592" s="4002" t="str">
        <f t="shared" ca="1" si="264"/>
        <v>N</v>
      </c>
      <c r="K592" s="3114" t="s">
        <v>3174</v>
      </c>
      <c r="M592" s="391"/>
      <c r="N592" s="391"/>
      <c r="O592" s="313"/>
      <c r="P592" s="313"/>
      <c r="Q592" s="313"/>
      <c r="R592" s="313"/>
      <c r="S592" s="313"/>
    </row>
    <row r="593" spans="1:19" ht="16.899999999999999" hidden="1" customHeight="1" outlineLevel="1">
      <c r="A593" s="1269"/>
      <c r="B593" s="1752" t="s">
        <v>173</v>
      </c>
      <c r="C593" s="1718" t="s">
        <v>174</v>
      </c>
      <c r="D593" s="1719">
        <f t="shared" si="266"/>
        <v>204</v>
      </c>
      <c r="E593" s="1761" t="str">
        <f t="shared" ca="1" si="262"/>
        <v>N</v>
      </c>
      <c r="F593" s="1591" t="str">
        <f t="shared" ca="1" si="263"/>
        <v>N</v>
      </c>
      <c r="G593" s="1591">
        <f ca="1">INDEX('Summary Data'!$AS$6:$FZ$57,MATCH($E593,'Summary Data'!$C$6:$C$57,0),MATCH($C593,'Summary Data'!$AS$3:$FZ$3,0))</f>
        <v>0</v>
      </c>
      <c r="H593" s="1592" t="s">
        <v>5</v>
      </c>
      <c r="I593" s="1591">
        <f ca="1">INDEX('Summary Data'!$AS$6:$FZ$57,MATCH($E593,'Summary Data'!$C$6:$C$57,0),MATCH($C593,'Summary Data'!$AS$3:$FZ$3,0)+1)</f>
        <v>0</v>
      </c>
      <c r="J593" s="4002" t="str">
        <f t="shared" ca="1" si="264"/>
        <v>N</v>
      </c>
      <c r="K593" s="3114" t="s">
        <v>3174</v>
      </c>
      <c r="M593" s="391"/>
      <c r="N593" s="391"/>
      <c r="O593" s="313"/>
      <c r="P593" s="313"/>
      <c r="Q593" s="313"/>
      <c r="R593" s="313"/>
      <c r="S593" s="313"/>
    </row>
    <row r="594" spans="1:19" ht="16.899999999999999" hidden="1" customHeight="1" outlineLevel="1">
      <c r="A594" s="1269"/>
      <c r="B594" s="1752" t="s">
        <v>173</v>
      </c>
      <c r="C594" s="1718" t="s">
        <v>174</v>
      </c>
      <c r="D594" s="1719">
        <f t="shared" si="266"/>
        <v>221</v>
      </c>
      <c r="E594" s="1761" t="str">
        <f t="shared" ca="1" si="262"/>
        <v>1st</v>
      </c>
      <c r="F594" s="1591" t="str">
        <f t="shared" ca="1" si="263"/>
        <v>N</v>
      </c>
      <c r="G594" s="1591">
        <f ca="1">INDEX('Summary Data'!$AS$6:$FZ$57,MATCH($E594,'Summary Data'!$C$6:$C$57,0),MATCH($C594,'Summary Data'!$AS$3:$FZ$3,0))</f>
        <v>0</v>
      </c>
      <c r="H594" s="1592" t="s">
        <v>5</v>
      </c>
      <c r="I594" s="1591">
        <f ca="1">INDEX('Summary Data'!$AS$6:$FZ$57,MATCH($E594,'Summary Data'!$C$6:$C$57,0),MATCH($C594,'Summary Data'!$AS$3:$FZ$3,0)+1)</f>
        <v>0</v>
      </c>
      <c r="J594" s="4002" t="str">
        <f t="shared" ca="1" si="264"/>
        <v>N</v>
      </c>
      <c r="K594" s="3114" t="s">
        <v>3174</v>
      </c>
      <c r="M594" s="391"/>
      <c r="N594" s="391"/>
      <c r="O594" s="313"/>
      <c r="P594" s="313"/>
      <c r="Q594" s="313"/>
      <c r="R594" s="313"/>
      <c r="S594" s="313"/>
    </row>
    <row r="595" spans="1:19" ht="16.899999999999999" hidden="1" customHeight="1" outlineLevel="1">
      <c r="A595" s="1269"/>
      <c r="B595" s="1752" t="s">
        <v>173</v>
      </c>
      <c r="C595" s="1718" t="s">
        <v>174</v>
      </c>
      <c r="D595" s="1719">
        <f t="shared" si="266"/>
        <v>238</v>
      </c>
      <c r="E595" s="1761" t="str">
        <f t="shared" ca="1" si="262"/>
        <v>1st</v>
      </c>
      <c r="F595" s="1591" t="str">
        <f t="shared" ca="1" si="263"/>
        <v>N</v>
      </c>
      <c r="G595" s="1591">
        <f ca="1">INDEX('Summary Data'!$AS$6:$FZ$57,MATCH($E595,'Summary Data'!$C$6:$C$57,0),MATCH($C595,'Summary Data'!$AS$3:$FZ$3,0))</f>
        <v>0</v>
      </c>
      <c r="H595" s="1592" t="s">
        <v>5</v>
      </c>
      <c r="I595" s="1591">
        <f ca="1">INDEX('Summary Data'!$AS$6:$FZ$57,MATCH($E595,'Summary Data'!$C$6:$C$57,0),MATCH($C595,'Summary Data'!$AS$3:$FZ$3,0)+1)</f>
        <v>0</v>
      </c>
      <c r="J595" s="4002" t="str">
        <f t="shared" ca="1" si="264"/>
        <v>N</v>
      </c>
      <c r="K595" s="3114" t="s">
        <v>3174</v>
      </c>
      <c r="M595" s="391"/>
      <c r="N595" s="391"/>
      <c r="O595" s="313"/>
      <c r="P595" s="313"/>
      <c r="Q595" s="313"/>
      <c r="R595" s="313"/>
      <c r="S595" s="313"/>
    </row>
    <row r="596" spans="1:19" ht="16.899999999999999" hidden="1" customHeight="1" outlineLevel="1">
      <c r="A596" s="313"/>
      <c r="B596" s="1752" t="s">
        <v>173</v>
      </c>
      <c r="C596" s="1718" t="s">
        <v>1143</v>
      </c>
      <c r="D596" s="1719">
        <v>0</v>
      </c>
      <c r="E596" s="1761" t="str">
        <f t="shared" ca="1" si="262"/>
        <v>Box</v>
      </c>
      <c r="F596" s="1591" t="str">
        <f t="shared" ca="1" si="263"/>
        <v>N</v>
      </c>
      <c r="G596" s="1591">
        <f ca="1">INDEX('Summary Data'!$AS$6:$FZ$57,MATCH($E596,'Summary Data'!$C$6:$C$57,0),MATCH($C596,'Summary Data'!$AS$3:$FZ$3,0))</f>
        <v>0</v>
      </c>
      <c r="H596" s="1592" t="s">
        <v>5</v>
      </c>
      <c r="I596" s="1591">
        <f ca="1">INDEX('Summary Data'!$AS$6:$FZ$57,MATCH($E596,'Summary Data'!$C$6:$C$57,0),MATCH($C596,'Summary Data'!$AS$3:$FZ$3,0)+1)</f>
        <v>0</v>
      </c>
      <c r="J596" s="4002" t="str">
        <f t="shared" ca="1" si="264"/>
        <v>N</v>
      </c>
      <c r="K596" s="3114" t="s">
        <v>3174</v>
      </c>
      <c r="M596" s="391"/>
      <c r="N596" s="391"/>
      <c r="O596" s="313"/>
      <c r="P596" s="313"/>
      <c r="Q596" s="313"/>
      <c r="R596" s="313"/>
      <c r="S596" s="313"/>
    </row>
    <row r="597" spans="1:19" ht="16.899999999999999" hidden="1" customHeight="1" outlineLevel="1">
      <c r="A597" s="313"/>
      <c r="B597" s="1752" t="s">
        <v>173</v>
      </c>
      <c r="C597" s="1718" t="s">
        <v>1143</v>
      </c>
      <c r="D597" s="1719">
        <f>D596+17</f>
        <v>17</v>
      </c>
      <c r="E597" s="1761" t="str">
        <f t="shared" ca="1" si="262"/>
        <v>N</v>
      </c>
      <c r="F597" s="1591" t="str">
        <f t="shared" ca="1" si="263"/>
        <v>N</v>
      </c>
      <c r="G597" s="1591">
        <f ca="1">INDEX('Summary Data'!$AS$6:$FZ$57,MATCH($E597,'Summary Data'!$C$6:$C$57,0),MATCH($C597,'Summary Data'!$AS$3:$FZ$3,0))</f>
        <v>0</v>
      </c>
      <c r="H597" s="1592" t="s">
        <v>5</v>
      </c>
      <c r="I597" s="1591">
        <f ca="1">INDEX('Summary Data'!$AS$6:$FZ$57,MATCH($E597,'Summary Data'!$C$6:$C$57,0),MATCH($C597,'Summary Data'!$AS$3:$FZ$3,0)+1)</f>
        <v>0</v>
      </c>
      <c r="J597" s="4002" t="str">
        <f t="shared" ca="1" si="264"/>
        <v>N</v>
      </c>
      <c r="K597" s="3114" t="s">
        <v>3174</v>
      </c>
      <c r="M597" s="391"/>
      <c r="N597" s="391"/>
      <c r="O597" s="313"/>
      <c r="P597" s="313"/>
      <c r="Q597" s="313"/>
      <c r="R597" s="313"/>
      <c r="S597" s="313"/>
    </row>
    <row r="598" spans="1:19" ht="16.899999999999999" hidden="1" customHeight="1" outlineLevel="1">
      <c r="A598" s="313"/>
      <c r="B598" s="1752" t="s">
        <v>173</v>
      </c>
      <c r="C598" s="1718" t="s">
        <v>1143</v>
      </c>
      <c r="D598" s="1719">
        <f t="shared" ref="D598:D610" si="267">D597+17</f>
        <v>34</v>
      </c>
      <c r="E598" s="1761" t="str">
        <f t="shared" ca="1" si="262"/>
        <v>N</v>
      </c>
      <c r="F598" s="1591" t="str">
        <f t="shared" ca="1" si="263"/>
        <v>N</v>
      </c>
      <c r="G598" s="1591">
        <f ca="1">INDEX('Summary Data'!$AS$6:$FZ$57,MATCH($E598,'Summary Data'!$C$6:$C$57,0),MATCH($C598,'Summary Data'!$AS$3:$FZ$3,0))</f>
        <v>0</v>
      </c>
      <c r="H598" s="1592" t="s">
        <v>5</v>
      </c>
      <c r="I598" s="1591">
        <f ca="1">INDEX('Summary Data'!$AS$6:$FZ$57,MATCH($E598,'Summary Data'!$C$6:$C$57,0),MATCH($C598,'Summary Data'!$AS$3:$FZ$3,0)+1)</f>
        <v>0</v>
      </c>
      <c r="J598" s="4002" t="str">
        <f t="shared" ca="1" si="264"/>
        <v>N</v>
      </c>
      <c r="K598" s="3114" t="s">
        <v>3174</v>
      </c>
      <c r="M598" s="391"/>
      <c r="N598" s="391"/>
      <c r="O598" s="313"/>
      <c r="P598" s="313"/>
      <c r="Q598" s="313"/>
      <c r="R598" s="313"/>
      <c r="S598" s="313"/>
    </row>
    <row r="599" spans="1:19" ht="16.899999999999999" hidden="1" customHeight="1" outlineLevel="1">
      <c r="A599" s="313"/>
      <c r="B599" s="1752" t="s">
        <v>173</v>
      </c>
      <c r="C599" s="1718" t="s">
        <v>1143</v>
      </c>
      <c r="D599" s="1719">
        <f t="shared" si="267"/>
        <v>51</v>
      </c>
      <c r="E599" s="1761" t="str">
        <f t="shared" ca="1" si="262"/>
        <v>N</v>
      </c>
      <c r="F599" s="1591" t="str">
        <f t="shared" ca="1" si="263"/>
        <v>N</v>
      </c>
      <c r="G599" s="1591">
        <f ca="1">INDEX('Summary Data'!$AS$6:$FZ$57,MATCH($E599,'Summary Data'!$C$6:$C$57,0),MATCH($C599,'Summary Data'!$AS$3:$FZ$3,0))</f>
        <v>0</v>
      </c>
      <c r="H599" s="1592" t="s">
        <v>5</v>
      </c>
      <c r="I599" s="1591">
        <f ca="1">INDEX('Summary Data'!$AS$6:$FZ$57,MATCH($E599,'Summary Data'!$C$6:$C$57,0),MATCH($C599,'Summary Data'!$AS$3:$FZ$3,0)+1)</f>
        <v>0</v>
      </c>
      <c r="J599" s="4002" t="str">
        <f t="shared" ca="1" si="264"/>
        <v>N</v>
      </c>
      <c r="K599" s="3114" t="s">
        <v>3174</v>
      </c>
      <c r="M599" s="391"/>
      <c r="N599" s="391"/>
      <c r="O599" s="313"/>
      <c r="P599" s="313"/>
      <c r="Q599" s="313"/>
      <c r="R599" s="313"/>
      <c r="S599" s="313"/>
    </row>
    <row r="600" spans="1:19" ht="16.899999999999999" hidden="1" customHeight="1" outlineLevel="1">
      <c r="A600" s="313"/>
      <c r="B600" s="1752" t="s">
        <v>173</v>
      </c>
      <c r="C600" s="1718" t="s">
        <v>1143</v>
      </c>
      <c r="D600" s="1719">
        <f t="shared" si="267"/>
        <v>68</v>
      </c>
      <c r="E600" s="1761" t="str">
        <f t="shared" ca="1" si="262"/>
        <v>N</v>
      </c>
      <c r="F600" s="1591" t="str">
        <f t="shared" ca="1" si="263"/>
        <v>N</v>
      </c>
      <c r="G600" s="1591">
        <f ca="1">INDEX('Summary Data'!$AS$6:$FZ$57,MATCH($E600,'Summary Data'!$C$6:$C$57,0),MATCH($C600,'Summary Data'!$AS$3:$FZ$3,0))</f>
        <v>0</v>
      </c>
      <c r="H600" s="1592" t="s">
        <v>5</v>
      </c>
      <c r="I600" s="1591">
        <f ca="1">INDEX('Summary Data'!$AS$6:$FZ$57,MATCH($E600,'Summary Data'!$C$6:$C$57,0),MATCH($C600,'Summary Data'!$AS$3:$FZ$3,0)+1)</f>
        <v>0</v>
      </c>
      <c r="J600" s="4002" t="str">
        <f t="shared" ca="1" si="264"/>
        <v>N</v>
      </c>
      <c r="K600" s="3114" t="s">
        <v>3174</v>
      </c>
      <c r="M600" s="391"/>
      <c r="N600" s="391"/>
      <c r="O600" s="313"/>
      <c r="P600" s="313"/>
      <c r="Q600" s="313"/>
      <c r="R600" s="313"/>
      <c r="S600" s="313"/>
    </row>
    <row r="601" spans="1:19" ht="16.899999999999999" hidden="1" customHeight="1" outlineLevel="1">
      <c r="A601" s="313"/>
      <c r="B601" s="1752" t="s">
        <v>173</v>
      </c>
      <c r="C601" s="1718" t="s">
        <v>1143</v>
      </c>
      <c r="D601" s="1719">
        <f t="shared" si="267"/>
        <v>85</v>
      </c>
      <c r="E601" s="1761" t="str">
        <f t="shared" ca="1" si="262"/>
        <v>N</v>
      </c>
      <c r="F601" s="1591" t="str">
        <f t="shared" ca="1" si="263"/>
        <v>N</v>
      </c>
      <c r="G601" s="1591">
        <f ca="1">INDEX('Summary Data'!$AS$6:$FZ$57,MATCH($E601,'Summary Data'!$C$6:$C$57,0),MATCH($C601,'Summary Data'!$AS$3:$FZ$3,0))</f>
        <v>0</v>
      </c>
      <c r="H601" s="1592" t="s">
        <v>5</v>
      </c>
      <c r="I601" s="1591">
        <f ca="1">INDEX('Summary Data'!$AS$6:$FZ$57,MATCH($E601,'Summary Data'!$C$6:$C$57,0),MATCH($C601,'Summary Data'!$AS$3:$FZ$3,0)+1)</f>
        <v>0</v>
      </c>
      <c r="J601" s="4002" t="str">
        <f t="shared" ca="1" si="264"/>
        <v>N</v>
      </c>
      <c r="K601" s="3114" t="s">
        <v>3174</v>
      </c>
      <c r="M601" s="391"/>
      <c r="N601" s="391"/>
      <c r="O601" s="313"/>
      <c r="P601" s="313"/>
      <c r="Q601" s="313"/>
      <c r="R601" s="313"/>
      <c r="S601" s="313"/>
    </row>
    <row r="602" spans="1:19" ht="16.899999999999999" hidden="1" customHeight="1" outlineLevel="1">
      <c r="A602" s="313"/>
      <c r="B602" s="1752" t="s">
        <v>173</v>
      </c>
      <c r="C602" s="1718" t="s">
        <v>1143</v>
      </c>
      <c r="D602" s="1719">
        <f t="shared" si="267"/>
        <v>102</v>
      </c>
      <c r="E602" s="1761" t="str">
        <f t="shared" ca="1" si="262"/>
        <v>N</v>
      </c>
      <c r="F602" s="1591" t="str">
        <f t="shared" ca="1" si="263"/>
        <v>N</v>
      </c>
      <c r="G602" s="1591">
        <f ca="1">INDEX('Summary Data'!$AS$6:$FZ$57,MATCH($E602,'Summary Data'!$C$6:$C$57,0),MATCH($C602,'Summary Data'!$AS$3:$FZ$3,0))</f>
        <v>0</v>
      </c>
      <c r="H602" s="1592" t="s">
        <v>5</v>
      </c>
      <c r="I602" s="1591">
        <f ca="1">INDEX('Summary Data'!$AS$6:$FZ$57,MATCH($E602,'Summary Data'!$C$6:$C$57,0),MATCH($C602,'Summary Data'!$AS$3:$FZ$3,0)+1)</f>
        <v>0</v>
      </c>
      <c r="J602" s="4002" t="str">
        <f t="shared" ca="1" si="264"/>
        <v>N</v>
      </c>
      <c r="K602" s="3114" t="s">
        <v>3174</v>
      </c>
      <c r="M602" s="391"/>
      <c r="N602" s="391"/>
      <c r="O602" s="313"/>
      <c r="P602" s="313"/>
      <c r="Q602" s="313"/>
      <c r="R602" s="313"/>
      <c r="S602" s="313"/>
    </row>
    <row r="603" spans="1:19" ht="16.899999999999999" hidden="1" customHeight="1" outlineLevel="1">
      <c r="A603" s="313"/>
      <c r="B603" s="1752" t="s">
        <v>173</v>
      </c>
      <c r="C603" s="1718" t="s">
        <v>1143</v>
      </c>
      <c r="D603" s="1719">
        <f t="shared" si="267"/>
        <v>119</v>
      </c>
      <c r="E603" s="1761" t="str">
        <f t="shared" ca="1" si="262"/>
        <v>N</v>
      </c>
      <c r="F603" s="1591" t="str">
        <f t="shared" ca="1" si="263"/>
        <v>N</v>
      </c>
      <c r="G603" s="1591">
        <f ca="1">INDEX('Summary Data'!$AS$6:$FZ$57,MATCH($E603,'Summary Data'!$C$6:$C$57,0),MATCH($C603,'Summary Data'!$AS$3:$FZ$3,0))</f>
        <v>0</v>
      </c>
      <c r="H603" s="1592" t="s">
        <v>5</v>
      </c>
      <c r="I603" s="1591">
        <f ca="1">INDEX('Summary Data'!$AS$6:$FZ$57,MATCH($E603,'Summary Data'!$C$6:$C$57,0),MATCH($C603,'Summary Data'!$AS$3:$FZ$3,0)+1)</f>
        <v>0</v>
      </c>
      <c r="J603" s="4002" t="str">
        <f t="shared" ca="1" si="264"/>
        <v>N</v>
      </c>
      <c r="K603" s="3114" t="s">
        <v>3174</v>
      </c>
      <c r="M603" s="391"/>
      <c r="N603" s="391"/>
      <c r="O603" s="313"/>
      <c r="P603" s="313"/>
      <c r="Q603" s="313"/>
      <c r="R603" s="313"/>
      <c r="S603" s="313"/>
    </row>
    <row r="604" spans="1:19" ht="16.899999999999999" hidden="1" customHeight="1" outlineLevel="1">
      <c r="A604" s="313"/>
      <c r="B604" s="1752" t="s">
        <v>173</v>
      </c>
      <c r="C604" s="1718" t="s">
        <v>1143</v>
      </c>
      <c r="D604" s="1719">
        <f t="shared" si="267"/>
        <v>136</v>
      </c>
      <c r="E604" s="1761" t="str">
        <f t="shared" ca="1" si="262"/>
        <v>N</v>
      </c>
      <c r="F604" s="1591" t="str">
        <f t="shared" ca="1" si="263"/>
        <v>N</v>
      </c>
      <c r="G604" s="1591">
        <f ca="1">INDEX('Summary Data'!$AS$6:$FZ$57,MATCH($E604,'Summary Data'!$C$6:$C$57,0),MATCH($C604,'Summary Data'!$AS$3:$FZ$3,0))</f>
        <v>0</v>
      </c>
      <c r="H604" s="1592" t="s">
        <v>5</v>
      </c>
      <c r="I604" s="1591">
        <f ca="1">INDEX('Summary Data'!$AS$6:$FZ$57,MATCH($E604,'Summary Data'!$C$6:$C$57,0),MATCH($C604,'Summary Data'!$AS$3:$FZ$3,0)+1)</f>
        <v>0</v>
      </c>
      <c r="J604" s="4002" t="str">
        <f t="shared" ca="1" si="264"/>
        <v>N</v>
      </c>
      <c r="K604" s="3114" t="s">
        <v>3174</v>
      </c>
      <c r="M604" s="391"/>
      <c r="N604" s="391"/>
      <c r="O604" s="313"/>
      <c r="P604" s="313"/>
      <c r="Q604" s="313"/>
      <c r="R604" s="313"/>
      <c r="S604" s="313"/>
    </row>
    <row r="605" spans="1:19" ht="16.899999999999999" hidden="1" customHeight="1" outlineLevel="1">
      <c r="A605" s="313"/>
      <c r="B605" s="1752" t="s">
        <v>173</v>
      </c>
      <c r="C605" s="1718" t="s">
        <v>1143</v>
      </c>
      <c r="D605" s="1719">
        <f t="shared" si="267"/>
        <v>153</v>
      </c>
      <c r="E605" s="1761" t="str">
        <f t="shared" ca="1" si="262"/>
        <v>N</v>
      </c>
      <c r="F605" s="1591" t="str">
        <f t="shared" ca="1" si="263"/>
        <v>N</v>
      </c>
      <c r="G605" s="1591">
        <f ca="1">INDEX('Summary Data'!$AS$6:$FZ$57,MATCH($E605,'Summary Data'!$C$6:$C$57,0),MATCH($C605,'Summary Data'!$AS$3:$FZ$3,0))</f>
        <v>0</v>
      </c>
      <c r="H605" s="1592" t="s">
        <v>5</v>
      </c>
      <c r="I605" s="1591">
        <f ca="1">INDEX('Summary Data'!$AS$6:$FZ$57,MATCH($E605,'Summary Data'!$C$6:$C$57,0),MATCH($C605,'Summary Data'!$AS$3:$FZ$3,0)+1)</f>
        <v>0</v>
      </c>
      <c r="J605" s="4002" t="str">
        <f t="shared" ca="1" si="264"/>
        <v>N</v>
      </c>
      <c r="K605" s="3114" t="s">
        <v>3174</v>
      </c>
      <c r="M605" s="391"/>
      <c r="N605" s="391"/>
      <c r="O605" s="313"/>
      <c r="P605" s="313"/>
      <c r="Q605" s="313"/>
      <c r="R605" s="313"/>
      <c r="S605" s="313"/>
    </row>
    <row r="606" spans="1:19" ht="16.899999999999999" hidden="1" customHeight="1" outlineLevel="1">
      <c r="A606" s="313"/>
      <c r="B606" s="1752" t="s">
        <v>173</v>
      </c>
      <c r="C606" s="1718" t="s">
        <v>1143</v>
      </c>
      <c r="D606" s="1719">
        <f t="shared" si="267"/>
        <v>170</v>
      </c>
      <c r="E606" s="1761" t="str">
        <f t="shared" ca="1" si="262"/>
        <v>N</v>
      </c>
      <c r="F606" s="1591" t="str">
        <f t="shared" ca="1" si="263"/>
        <v>N</v>
      </c>
      <c r="G606" s="1591">
        <f ca="1">INDEX('Summary Data'!$AS$6:$FZ$57,MATCH($E606,'Summary Data'!$C$6:$C$57,0),MATCH($C606,'Summary Data'!$AS$3:$FZ$3,0))</f>
        <v>0</v>
      </c>
      <c r="H606" s="1592" t="s">
        <v>5</v>
      </c>
      <c r="I606" s="1591">
        <f ca="1">INDEX('Summary Data'!$AS$6:$FZ$57,MATCH($E606,'Summary Data'!$C$6:$C$57,0),MATCH($C606,'Summary Data'!$AS$3:$FZ$3,0)+1)</f>
        <v>0</v>
      </c>
      <c r="J606" s="4002" t="str">
        <f t="shared" ca="1" si="264"/>
        <v>N</v>
      </c>
      <c r="K606" s="3114" t="s">
        <v>3174</v>
      </c>
      <c r="M606" s="391"/>
      <c r="N606" s="391"/>
      <c r="O606" s="313"/>
      <c r="P606" s="313"/>
      <c r="Q606" s="313"/>
      <c r="R606" s="313"/>
      <c r="S606" s="313"/>
    </row>
    <row r="607" spans="1:19" ht="16.899999999999999" hidden="1" customHeight="1" outlineLevel="1">
      <c r="A607" s="313"/>
      <c r="B607" s="1752" t="s">
        <v>173</v>
      </c>
      <c r="C607" s="1718" t="s">
        <v>1143</v>
      </c>
      <c r="D607" s="1719">
        <f t="shared" si="267"/>
        <v>187</v>
      </c>
      <c r="E607" s="1761" t="str">
        <f t="shared" ca="1" si="262"/>
        <v>N</v>
      </c>
      <c r="F607" s="1591" t="str">
        <f t="shared" ca="1" si="263"/>
        <v>N</v>
      </c>
      <c r="G607" s="1591">
        <f ca="1">INDEX('Summary Data'!$AS$6:$FZ$57,MATCH($E607,'Summary Data'!$C$6:$C$57,0),MATCH($C607,'Summary Data'!$AS$3:$FZ$3,0))</f>
        <v>0</v>
      </c>
      <c r="H607" s="1592" t="s">
        <v>5</v>
      </c>
      <c r="I607" s="1591">
        <f ca="1">INDEX('Summary Data'!$AS$6:$FZ$57,MATCH($E607,'Summary Data'!$C$6:$C$57,0),MATCH($C607,'Summary Data'!$AS$3:$FZ$3,0)+1)</f>
        <v>0</v>
      </c>
      <c r="J607" s="4002" t="str">
        <f t="shared" ca="1" si="264"/>
        <v>N</v>
      </c>
      <c r="K607" s="3114" t="s">
        <v>3174</v>
      </c>
      <c r="M607" s="391"/>
      <c r="N607" s="391"/>
      <c r="O607" s="313"/>
      <c r="P607" s="313"/>
      <c r="Q607" s="313"/>
      <c r="R607" s="313"/>
      <c r="S607" s="313"/>
    </row>
    <row r="608" spans="1:19" ht="16.899999999999999" hidden="1" customHeight="1" outlineLevel="1">
      <c r="A608" s="313"/>
      <c r="B608" s="1752" t="s">
        <v>173</v>
      </c>
      <c r="C608" s="1718" t="s">
        <v>1143</v>
      </c>
      <c r="D608" s="1719">
        <f t="shared" si="267"/>
        <v>204</v>
      </c>
      <c r="E608" s="1761" t="str">
        <f t="shared" ca="1" si="262"/>
        <v>N</v>
      </c>
      <c r="F608" s="1591" t="str">
        <f t="shared" ca="1" si="263"/>
        <v>N</v>
      </c>
      <c r="G608" s="1591">
        <f ca="1">INDEX('Summary Data'!$AS$6:$FZ$57,MATCH($E608,'Summary Data'!$C$6:$C$57,0),MATCH($C608,'Summary Data'!$AS$3:$FZ$3,0))</f>
        <v>0</v>
      </c>
      <c r="H608" s="1592" t="s">
        <v>5</v>
      </c>
      <c r="I608" s="1591">
        <f ca="1">INDEX('Summary Data'!$AS$6:$FZ$57,MATCH($E608,'Summary Data'!$C$6:$C$57,0),MATCH($C608,'Summary Data'!$AS$3:$FZ$3,0)+1)</f>
        <v>0</v>
      </c>
      <c r="J608" s="4002" t="str">
        <f t="shared" ca="1" si="264"/>
        <v>N</v>
      </c>
      <c r="K608" s="3114" t="s">
        <v>3174</v>
      </c>
      <c r="M608" s="391"/>
      <c r="N608" s="391"/>
      <c r="O608" s="313"/>
      <c r="P608" s="313"/>
      <c r="Q608" s="313"/>
      <c r="R608" s="313"/>
      <c r="S608" s="313"/>
    </row>
    <row r="609" spans="1:19" ht="16.899999999999999" hidden="1" customHeight="1" outlineLevel="1">
      <c r="A609" s="313"/>
      <c r="B609" s="1752" t="s">
        <v>173</v>
      </c>
      <c r="C609" s="1718" t="s">
        <v>1143</v>
      </c>
      <c r="D609" s="1719">
        <f t="shared" si="267"/>
        <v>221</v>
      </c>
      <c r="E609" s="1761" t="str">
        <f t="shared" ca="1" si="262"/>
        <v>1st</v>
      </c>
      <c r="F609" s="1591" t="str">
        <f t="shared" ca="1" si="263"/>
        <v>N</v>
      </c>
      <c r="G609" s="1591">
        <f ca="1">INDEX('Summary Data'!$AS$6:$FZ$57,MATCH($E609,'Summary Data'!$C$6:$C$57,0),MATCH($C609,'Summary Data'!$AS$3:$FZ$3,0))</f>
        <v>0</v>
      </c>
      <c r="H609" s="1592" t="s">
        <v>5</v>
      </c>
      <c r="I609" s="1591">
        <f ca="1">INDEX('Summary Data'!$AS$6:$FZ$57,MATCH($E609,'Summary Data'!$C$6:$C$57,0),MATCH($C609,'Summary Data'!$AS$3:$FZ$3,0)+1)</f>
        <v>0</v>
      </c>
      <c r="J609" s="4002" t="str">
        <f t="shared" ca="1" si="264"/>
        <v>N</v>
      </c>
      <c r="K609" s="3114" t="s">
        <v>3174</v>
      </c>
      <c r="M609" s="391"/>
      <c r="N609" s="391"/>
      <c r="O609" s="313"/>
      <c r="P609" s="313"/>
      <c r="Q609" s="313"/>
      <c r="R609" s="313"/>
      <c r="S609" s="313"/>
    </row>
    <row r="610" spans="1:19" ht="16.899999999999999" hidden="1" customHeight="1" outlineLevel="1">
      <c r="A610" s="313"/>
      <c r="B610" s="1752" t="s">
        <v>173</v>
      </c>
      <c r="C610" s="1718" t="s">
        <v>1143</v>
      </c>
      <c r="D610" s="1719">
        <f t="shared" si="267"/>
        <v>238</v>
      </c>
      <c r="E610" s="1761" t="str">
        <f t="shared" ca="1" si="262"/>
        <v>1st</v>
      </c>
      <c r="F610" s="1591" t="str">
        <f t="shared" ca="1" si="263"/>
        <v>N</v>
      </c>
      <c r="G610" s="1591">
        <f ca="1">INDEX('Summary Data'!$AS$6:$FZ$57,MATCH($E610,'Summary Data'!$C$6:$C$57,0),MATCH($C610,'Summary Data'!$AS$3:$FZ$3,0))</f>
        <v>0</v>
      </c>
      <c r="H610" s="1592" t="s">
        <v>5</v>
      </c>
      <c r="I610" s="1591">
        <f ca="1">INDEX('Summary Data'!$AS$6:$FZ$57,MATCH($E610,'Summary Data'!$C$6:$C$57,0),MATCH($C610,'Summary Data'!$AS$3:$FZ$3,0)+1)</f>
        <v>0</v>
      </c>
      <c r="J610" s="4002" t="str">
        <f t="shared" ca="1" si="264"/>
        <v>N</v>
      </c>
      <c r="K610" s="3114" t="s">
        <v>3174</v>
      </c>
      <c r="M610" s="391"/>
      <c r="N610" s="391"/>
      <c r="O610" s="313"/>
      <c r="P610" s="313"/>
      <c r="Q610" s="313"/>
      <c r="R610" s="313"/>
      <c r="S610" s="313"/>
    </row>
    <row r="611" spans="1:19" ht="16.899999999999999" hidden="1" customHeight="1" outlineLevel="1">
      <c r="A611" s="313"/>
      <c r="B611" s="1752" t="s">
        <v>173</v>
      </c>
      <c r="C611" s="1718" t="s">
        <v>1899</v>
      </c>
      <c r="D611" s="1719"/>
      <c r="E611" s="1761" t="str">
        <f t="shared" ref="E611:E625" si="268">$A$178</f>
        <v>N</v>
      </c>
      <c r="F611" s="1591" t="str">
        <f t="shared" ref="F611:F625" si="269">IF(G611=0,"N",E611)</f>
        <v>N</v>
      </c>
      <c r="G611" s="1591">
        <f>INDEX('Summary Data'!$AS$6:$FZ$57,MATCH($E611,'Summary Data'!$C$6:$C$57,0),MATCH($C611,'Summary Data'!$AS$3:$FZ$3,0))</f>
        <v>0</v>
      </c>
      <c r="H611" s="1592" t="s">
        <v>5</v>
      </c>
      <c r="I611" s="1591">
        <f>INDEX('Summary Data'!$AS$6:$FZ$57,MATCH($E611,'Summary Data'!$C$6:$C$57,0),MATCH($C611,'Summary Data'!$AS$3:$FZ$3,0)+1)</f>
        <v>0</v>
      </c>
      <c r="J611" s="4002" t="str">
        <f t="shared" si="264"/>
        <v>N</v>
      </c>
      <c r="K611" s="3114" t="s">
        <v>3174</v>
      </c>
      <c r="M611" s="391"/>
      <c r="N611" s="391"/>
      <c r="O611" s="313"/>
      <c r="P611" s="313"/>
      <c r="Q611" s="313"/>
      <c r="R611" s="313"/>
      <c r="S611" s="313"/>
    </row>
    <row r="612" spans="1:19" ht="16.899999999999999" hidden="1" customHeight="1" outlineLevel="1">
      <c r="A612" s="313"/>
      <c r="B612" s="1752" t="s">
        <v>173</v>
      </c>
      <c r="C612" s="1718" t="s">
        <v>1899</v>
      </c>
      <c r="D612" s="1719"/>
      <c r="E612" s="1761" t="str">
        <f t="shared" si="268"/>
        <v>N</v>
      </c>
      <c r="F612" s="1591" t="str">
        <f t="shared" si="269"/>
        <v>N</v>
      </c>
      <c r="G612" s="1591">
        <f>INDEX('Summary Data'!$AS$6:$FZ$57,MATCH($E612,'Summary Data'!$C$6:$C$57,0),MATCH($C612,'Summary Data'!$AS$3:$FZ$3,0))</f>
        <v>0</v>
      </c>
      <c r="H612" s="1592" t="s">
        <v>5</v>
      </c>
      <c r="I612" s="1591">
        <f>INDEX('Summary Data'!$AS$6:$FZ$57,MATCH($E612,'Summary Data'!$C$6:$C$57,0),MATCH($C612,'Summary Data'!$AS$3:$FZ$3,0)+1)</f>
        <v>0</v>
      </c>
      <c r="J612" s="4002" t="str">
        <f t="shared" si="264"/>
        <v>N</v>
      </c>
      <c r="K612" s="3114" t="s">
        <v>3174</v>
      </c>
      <c r="M612" s="391"/>
      <c r="N612" s="391"/>
      <c r="O612" s="313"/>
      <c r="P612" s="313"/>
      <c r="Q612" s="313"/>
      <c r="R612" s="313"/>
      <c r="S612" s="313"/>
    </row>
    <row r="613" spans="1:19" ht="16.899999999999999" hidden="1" customHeight="1" outlineLevel="1">
      <c r="A613" s="313"/>
      <c r="B613" s="1752" t="s">
        <v>173</v>
      </c>
      <c r="C613" s="1718" t="s">
        <v>1899</v>
      </c>
      <c r="D613" s="1719"/>
      <c r="E613" s="1761" t="str">
        <f t="shared" si="268"/>
        <v>N</v>
      </c>
      <c r="F613" s="1591" t="str">
        <f t="shared" si="269"/>
        <v>N</v>
      </c>
      <c r="G613" s="1591">
        <f>INDEX('Summary Data'!$AS$6:$FZ$57,MATCH($E613,'Summary Data'!$C$6:$C$57,0),MATCH($C613,'Summary Data'!$AS$3:$FZ$3,0))</f>
        <v>0</v>
      </c>
      <c r="H613" s="1592" t="s">
        <v>5</v>
      </c>
      <c r="I613" s="1591">
        <f>INDEX('Summary Data'!$AS$6:$FZ$57,MATCH($E613,'Summary Data'!$C$6:$C$57,0),MATCH($C613,'Summary Data'!$AS$3:$FZ$3,0)+1)</f>
        <v>0</v>
      </c>
      <c r="J613" s="4002" t="str">
        <f t="shared" si="264"/>
        <v>N</v>
      </c>
      <c r="K613" s="3114" t="s">
        <v>3174</v>
      </c>
      <c r="M613" s="391"/>
      <c r="N613" s="391"/>
      <c r="O613" s="313"/>
      <c r="P613" s="313"/>
      <c r="Q613" s="313"/>
      <c r="R613" s="313"/>
      <c r="S613" s="313"/>
    </row>
    <row r="614" spans="1:19" ht="16.899999999999999" hidden="1" customHeight="1" outlineLevel="1">
      <c r="A614" s="313"/>
      <c r="B614" s="1752" t="s">
        <v>173</v>
      </c>
      <c r="C614" s="1718" t="s">
        <v>1899</v>
      </c>
      <c r="D614" s="1719"/>
      <c r="E614" s="1761" t="str">
        <f t="shared" si="268"/>
        <v>N</v>
      </c>
      <c r="F614" s="1591" t="str">
        <f t="shared" si="269"/>
        <v>N</v>
      </c>
      <c r="G614" s="1591">
        <f>INDEX('Summary Data'!$AS$6:$FZ$57,MATCH($E614,'Summary Data'!$C$6:$C$57,0),MATCH($C614,'Summary Data'!$AS$3:$FZ$3,0))</f>
        <v>0</v>
      </c>
      <c r="H614" s="1592" t="s">
        <v>5</v>
      </c>
      <c r="I614" s="1591">
        <f>INDEX('Summary Data'!$AS$6:$FZ$57,MATCH($E614,'Summary Data'!$C$6:$C$57,0),MATCH($C614,'Summary Data'!$AS$3:$FZ$3,0)+1)</f>
        <v>0</v>
      </c>
      <c r="J614" s="4002" t="str">
        <f t="shared" si="264"/>
        <v>N</v>
      </c>
      <c r="K614" s="3114" t="s">
        <v>3174</v>
      </c>
      <c r="M614" s="391"/>
      <c r="N614" s="391"/>
      <c r="O614" s="313"/>
      <c r="P614" s="313"/>
      <c r="Q614" s="313"/>
      <c r="R614" s="313"/>
      <c r="S614" s="313"/>
    </row>
    <row r="615" spans="1:19" ht="16.899999999999999" hidden="1" customHeight="1" outlineLevel="1">
      <c r="A615" s="313"/>
      <c r="B615" s="1752" t="s">
        <v>173</v>
      </c>
      <c r="C615" s="1718" t="s">
        <v>1899</v>
      </c>
      <c r="D615" s="1719"/>
      <c r="E615" s="1761" t="str">
        <f t="shared" si="268"/>
        <v>N</v>
      </c>
      <c r="F615" s="1591" t="str">
        <f t="shared" si="269"/>
        <v>N</v>
      </c>
      <c r="G615" s="1591">
        <f>INDEX('Summary Data'!$AS$6:$FZ$57,MATCH($E615,'Summary Data'!$C$6:$C$57,0),MATCH($C615,'Summary Data'!$AS$3:$FZ$3,0))</f>
        <v>0</v>
      </c>
      <c r="H615" s="1592" t="s">
        <v>5</v>
      </c>
      <c r="I615" s="1591">
        <f>INDEX('Summary Data'!$AS$6:$FZ$57,MATCH($E615,'Summary Data'!$C$6:$C$57,0),MATCH($C615,'Summary Data'!$AS$3:$FZ$3,0)+1)</f>
        <v>0</v>
      </c>
      <c r="J615" s="4002" t="str">
        <f t="shared" si="264"/>
        <v>N</v>
      </c>
      <c r="K615" s="3114" t="s">
        <v>3174</v>
      </c>
      <c r="M615" s="391"/>
      <c r="N615" s="391"/>
      <c r="O615" s="313"/>
      <c r="P615" s="313"/>
      <c r="Q615" s="313"/>
      <c r="R615" s="313"/>
      <c r="S615" s="313"/>
    </row>
    <row r="616" spans="1:19" ht="16.899999999999999" hidden="1" customHeight="1" outlineLevel="1">
      <c r="A616" s="313"/>
      <c r="B616" s="1752" t="s">
        <v>173</v>
      </c>
      <c r="C616" s="1718" t="s">
        <v>1899</v>
      </c>
      <c r="D616" s="1719"/>
      <c r="E616" s="1761" t="str">
        <f t="shared" si="268"/>
        <v>N</v>
      </c>
      <c r="F616" s="1591" t="str">
        <f t="shared" si="269"/>
        <v>N</v>
      </c>
      <c r="G616" s="1591">
        <f>INDEX('Summary Data'!$AS$6:$FZ$57,MATCH($E616,'Summary Data'!$C$6:$C$57,0),MATCH($C616,'Summary Data'!$AS$3:$FZ$3,0))</f>
        <v>0</v>
      </c>
      <c r="H616" s="1592" t="s">
        <v>5</v>
      </c>
      <c r="I616" s="1591">
        <f>INDEX('Summary Data'!$AS$6:$FZ$57,MATCH($E616,'Summary Data'!$C$6:$C$57,0),MATCH($C616,'Summary Data'!$AS$3:$FZ$3,0)+1)</f>
        <v>0</v>
      </c>
      <c r="J616" s="4002" t="str">
        <f t="shared" si="264"/>
        <v>N</v>
      </c>
      <c r="K616" s="3114" t="s">
        <v>3174</v>
      </c>
      <c r="M616" s="391"/>
      <c r="N616" s="391"/>
      <c r="O616" s="313"/>
      <c r="P616" s="313"/>
      <c r="Q616" s="313"/>
      <c r="R616" s="313"/>
      <c r="S616" s="313"/>
    </row>
    <row r="617" spans="1:19" ht="16.899999999999999" hidden="1" customHeight="1" outlineLevel="1">
      <c r="A617" s="313"/>
      <c r="B617" s="1752" t="s">
        <v>173</v>
      </c>
      <c r="C617" s="1718" t="s">
        <v>1899</v>
      </c>
      <c r="D617" s="1719"/>
      <c r="E617" s="1761" t="str">
        <f t="shared" si="268"/>
        <v>N</v>
      </c>
      <c r="F617" s="1591" t="str">
        <f t="shared" si="269"/>
        <v>N</v>
      </c>
      <c r="G617" s="1591">
        <f>INDEX('Summary Data'!$AS$6:$FZ$57,MATCH($E617,'Summary Data'!$C$6:$C$57,0),MATCH($C617,'Summary Data'!$AS$3:$FZ$3,0))</f>
        <v>0</v>
      </c>
      <c r="H617" s="1592" t="s">
        <v>5</v>
      </c>
      <c r="I617" s="1591">
        <f>INDEX('Summary Data'!$AS$6:$FZ$57,MATCH($E617,'Summary Data'!$C$6:$C$57,0),MATCH($C617,'Summary Data'!$AS$3:$FZ$3,0)+1)</f>
        <v>0</v>
      </c>
      <c r="J617" s="4002" t="str">
        <f t="shared" si="264"/>
        <v>N</v>
      </c>
      <c r="K617" s="3114" t="s">
        <v>3174</v>
      </c>
      <c r="M617" s="391"/>
      <c r="N617" s="391"/>
      <c r="O617" s="313"/>
      <c r="P617" s="313"/>
      <c r="Q617" s="313"/>
      <c r="R617" s="313"/>
      <c r="S617" s="313"/>
    </row>
    <row r="618" spans="1:19" ht="16.899999999999999" hidden="1" customHeight="1" outlineLevel="1">
      <c r="A618" s="313"/>
      <c r="B618" s="1752" t="s">
        <v>173</v>
      </c>
      <c r="C618" s="1718" t="s">
        <v>1899</v>
      </c>
      <c r="D618" s="1719"/>
      <c r="E618" s="1761" t="str">
        <f t="shared" si="268"/>
        <v>N</v>
      </c>
      <c r="F618" s="1591" t="str">
        <f t="shared" si="269"/>
        <v>N</v>
      </c>
      <c r="G618" s="1591">
        <f>INDEX('Summary Data'!$AS$6:$FZ$57,MATCH($E618,'Summary Data'!$C$6:$C$57,0),MATCH($C618,'Summary Data'!$AS$3:$FZ$3,0))</f>
        <v>0</v>
      </c>
      <c r="H618" s="1592" t="s">
        <v>5</v>
      </c>
      <c r="I618" s="1591">
        <f>INDEX('Summary Data'!$AS$6:$FZ$57,MATCH($E618,'Summary Data'!$C$6:$C$57,0),MATCH($C618,'Summary Data'!$AS$3:$FZ$3,0)+1)</f>
        <v>0</v>
      </c>
      <c r="J618" s="4002" t="str">
        <f t="shared" si="264"/>
        <v>N</v>
      </c>
      <c r="K618" s="3114" t="s">
        <v>3174</v>
      </c>
      <c r="M618" s="391"/>
      <c r="N618" s="391"/>
      <c r="O618" s="313"/>
      <c r="P618" s="313"/>
      <c r="Q618" s="313"/>
      <c r="R618" s="313"/>
      <c r="S618" s="313"/>
    </row>
    <row r="619" spans="1:19" ht="16.899999999999999" hidden="1" customHeight="1" outlineLevel="1">
      <c r="A619" s="313"/>
      <c r="B619" s="1752" t="s">
        <v>173</v>
      </c>
      <c r="C619" s="1718" t="s">
        <v>1899</v>
      </c>
      <c r="D619" s="1719"/>
      <c r="E619" s="1761" t="str">
        <f t="shared" si="268"/>
        <v>N</v>
      </c>
      <c r="F619" s="1591" t="str">
        <f t="shared" si="269"/>
        <v>N</v>
      </c>
      <c r="G619" s="1591">
        <f>INDEX('Summary Data'!$AS$6:$FZ$57,MATCH($E619,'Summary Data'!$C$6:$C$57,0),MATCH($C619,'Summary Data'!$AS$3:$FZ$3,0))</f>
        <v>0</v>
      </c>
      <c r="H619" s="1592" t="s">
        <v>5</v>
      </c>
      <c r="I619" s="1591">
        <f>INDEX('Summary Data'!$AS$6:$FZ$57,MATCH($E619,'Summary Data'!$C$6:$C$57,0),MATCH($C619,'Summary Data'!$AS$3:$FZ$3,0)+1)</f>
        <v>0</v>
      </c>
      <c r="J619" s="4002" t="str">
        <f t="shared" si="264"/>
        <v>N</v>
      </c>
      <c r="K619" s="3114" t="s">
        <v>3174</v>
      </c>
      <c r="M619" s="391"/>
      <c r="N619" s="391"/>
      <c r="O619" s="313"/>
      <c r="P619" s="313"/>
      <c r="Q619" s="313"/>
      <c r="R619" s="313"/>
      <c r="S619" s="313"/>
    </row>
    <row r="620" spans="1:19" ht="16.899999999999999" hidden="1" customHeight="1" outlineLevel="1">
      <c r="A620" s="313"/>
      <c r="B620" s="1752" t="s">
        <v>173</v>
      </c>
      <c r="C620" s="1718" t="s">
        <v>1899</v>
      </c>
      <c r="D620" s="1719"/>
      <c r="E620" s="1761" t="str">
        <f t="shared" si="268"/>
        <v>N</v>
      </c>
      <c r="F620" s="1591" t="str">
        <f t="shared" si="269"/>
        <v>N</v>
      </c>
      <c r="G620" s="1591">
        <f>INDEX('Summary Data'!$AS$6:$FZ$57,MATCH($E620,'Summary Data'!$C$6:$C$57,0),MATCH($C620,'Summary Data'!$AS$3:$FZ$3,0))</f>
        <v>0</v>
      </c>
      <c r="H620" s="1592" t="s">
        <v>5</v>
      </c>
      <c r="I620" s="1591">
        <f>INDEX('Summary Data'!$AS$6:$FZ$57,MATCH($E620,'Summary Data'!$C$6:$C$57,0),MATCH($C620,'Summary Data'!$AS$3:$FZ$3,0)+1)</f>
        <v>0</v>
      </c>
      <c r="J620" s="4002" t="str">
        <f t="shared" si="264"/>
        <v>N</v>
      </c>
      <c r="K620" s="3114" t="s">
        <v>3174</v>
      </c>
      <c r="M620" s="391"/>
      <c r="N620" s="391"/>
      <c r="O620" s="313"/>
      <c r="P620" s="313"/>
      <c r="Q620" s="313"/>
      <c r="R620" s="313"/>
      <c r="S620" s="313"/>
    </row>
    <row r="621" spans="1:19" ht="16.899999999999999" hidden="1" customHeight="1" outlineLevel="1">
      <c r="A621" s="313"/>
      <c r="B621" s="1752" t="s">
        <v>173</v>
      </c>
      <c r="C621" s="1718" t="s">
        <v>1899</v>
      </c>
      <c r="D621" s="1719"/>
      <c r="E621" s="1761" t="str">
        <f t="shared" si="268"/>
        <v>N</v>
      </c>
      <c r="F621" s="1591" t="str">
        <f t="shared" si="269"/>
        <v>N</v>
      </c>
      <c r="G621" s="1591">
        <f>INDEX('Summary Data'!$AS$6:$FZ$57,MATCH($E621,'Summary Data'!$C$6:$C$57,0),MATCH($C621,'Summary Data'!$AS$3:$FZ$3,0))</f>
        <v>0</v>
      </c>
      <c r="H621" s="1592" t="s">
        <v>5</v>
      </c>
      <c r="I621" s="1591">
        <f>INDEX('Summary Data'!$AS$6:$FZ$57,MATCH($E621,'Summary Data'!$C$6:$C$57,0),MATCH($C621,'Summary Data'!$AS$3:$FZ$3,0)+1)</f>
        <v>0</v>
      </c>
      <c r="J621" s="4002" t="str">
        <f t="shared" si="264"/>
        <v>N</v>
      </c>
      <c r="K621" s="3114" t="s">
        <v>3174</v>
      </c>
      <c r="M621" s="391"/>
      <c r="N621" s="391"/>
      <c r="O621" s="313"/>
      <c r="P621" s="313"/>
      <c r="Q621" s="313"/>
      <c r="R621" s="313"/>
      <c r="S621" s="313"/>
    </row>
    <row r="622" spans="1:19" ht="16.899999999999999" hidden="1" customHeight="1" outlineLevel="1">
      <c r="A622" s="313"/>
      <c r="B622" s="1752" t="s">
        <v>173</v>
      </c>
      <c r="C622" s="1718" t="s">
        <v>1899</v>
      </c>
      <c r="D622" s="1719"/>
      <c r="E622" s="1761" t="str">
        <f t="shared" si="268"/>
        <v>N</v>
      </c>
      <c r="F622" s="1591" t="str">
        <f t="shared" si="269"/>
        <v>N</v>
      </c>
      <c r="G622" s="1591">
        <f>INDEX('Summary Data'!$AS$6:$FZ$57,MATCH($E622,'Summary Data'!$C$6:$C$57,0),MATCH($C622,'Summary Data'!$AS$3:$FZ$3,0))</f>
        <v>0</v>
      </c>
      <c r="H622" s="1592" t="s">
        <v>5</v>
      </c>
      <c r="I622" s="1591">
        <f>INDEX('Summary Data'!$AS$6:$FZ$57,MATCH($E622,'Summary Data'!$C$6:$C$57,0),MATCH($C622,'Summary Data'!$AS$3:$FZ$3,0)+1)</f>
        <v>0</v>
      </c>
      <c r="J622" s="4002" t="str">
        <f t="shared" si="264"/>
        <v>N</v>
      </c>
      <c r="K622" s="3114" t="s">
        <v>3174</v>
      </c>
      <c r="M622" s="391"/>
      <c r="N622" s="391"/>
      <c r="O622" s="313"/>
      <c r="P622" s="313"/>
      <c r="Q622" s="313"/>
      <c r="R622" s="313"/>
      <c r="S622" s="313"/>
    </row>
    <row r="623" spans="1:19" ht="16.899999999999999" hidden="1" customHeight="1" outlineLevel="1">
      <c r="A623" s="313"/>
      <c r="B623" s="1752" t="s">
        <v>173</v>
      </c>
      <c r="C623" s="1718" t="s">
        <v>1899</v>
      </c>
      <c r="D623" s="1719"/>
      <c r="E623" s="1761" t="str">
        <f t="shared" si="268"/>
        <v>N</v>
      </c>
      <c r="F623" s="1591" t="str">
        <f t="shared" si="269"/>
        <v>N</v>
      </c>
      <c r="G623" s="1591">
        <f>INDEX('Summary Data'!$AS$6:$FZ$57,MATCH($E623,'Summary Data'!$C$6:$C$57,0),MATCH($C623,'Summary Data'!$AS$3:$FZ$3,0))</f>
        <v>0</v>
      </c>
      <c r="H623" s="1592" t="s">
        <v>5</v>
      </c>
      <c r="I623" s="1591">
        <f>INDEX('Summary Data'!$AS$6:$FZ$57,MATCH($E623,'Summary Data'!$C$6:$C$57,0),MATCH($C623,'Summary Data'!$AS$3:$FZ$3,0)+1)</f>
        <v>0</v>
      </c>
      <c r="J623" s="4002" t="str">
        <f t="shared" si="264"/>
        <v>N</v>
      </c>
      <c r="K623" s="3114" t="s">
        <v>3174</v>
      </c>
      <c r="M623" s="391"/>
      <c r="N623" s="391"/>
      <c r="O623" s="313"/>
      <c r="P623" s="313"/>
      <c r="Q623" s="313"/>
      <c r="R623" s="313"/>
      <c r="S623" s="313"/>
    </row>
    <row r="624" spans="1:19" ht="16.899999999999999" hidden="1" customHeight="1" outlineLevel="1">
      <c r="A624" s="313"/>
      <c r="B624" s="1752" t="s">
        <v>173</v>
      </c>
      <c r="C624" s="1718" t="s">
        <v>1899</v>
      </c>
      <c r="D624" s="1719"/>
      <c r="E624" s="1761" t="str">
        <f t="shared" si="268"/>
        <v>N</v>
      </c>
      <c r="F624" s="1591" t="str">
        <f t="shared" si="269"/>
        <v>N</v>
      </c>
      <c r="G624" s="1591">
        <f>INDEX('Summary Data'!$AS$6:$FZ$57,MATCH($E624,'Summary Data'!$C$6:$C$57,0),MATCH($C624,'Summary Data'!$AS$3:$FZ$3,0))</f>
        <v>0</v>
      </c>
      <c r="H624" s="1592" t="s">
        <v>5</v>
      </c>
      <c r="I624" s="1591">
        <f>INDEX('Summary Data'!$AS$6:$FZ$57,MATCH($E624,'Summary Data'!$C$6:$C$57,0),MATCH($C624,'Summary Data'!$AS$3:$FZ$3,0)+1)</f>
        <v>0</v>
      </c>
      <c r="J624" s="4002" t="str">
        <f t="shared" si="264"/>
        <v>N</v>
      </c>
      <c r="K624" s="3114" t="s">
        <v>3174</v>
      </c>
      <c r="M624" s="391"/>
      <c r="N624" s="391"/>
      <c r="O624" s="313"/>
      <c r="P624" s="313"/>
      <c r="Q624" s="313"/>
      <c r="R624" s="313"/>
      <c r="S624" s="313"/>
    </row>
    <row r="625" spans="1:19" ht="16.899999999999999" hidden="1" customHeight="1" outlineLevel="1">
      <c r="A625" s="313"/>
      <c r="B625" s="1752" t="s">
        <v>173</v>
      </c>
      <c r="C625" s="1718" t="s">
        <v>1899</v>
      </c>
      <c r="D625" s="1719"/>
      <c r="E625" s="1761" t="str">
        <f t="shared" si="268"/>
        <v>N</v>
      </c>
      <c r="F625" s="1591" t="str">
        <f t="shared" si="269"/>
        <v>N</v>
      </c>
      <c r="G625" s="1591">
        <f>INDEX('Summary Data'!$AS$6:$FZ$57,MATCH($E625,'Summary Data'!$C$6:$C$57,0),MATCH($C625,'Summary Data'!$AS$3:$FZ$3,0))</f>
        <v>0</v>
      </c>
      <c r="H625" s="1592" t="s">
        <v>5</v>
      </c>
      <c r="I625" s="1591">
        <f>INDEX('Summary Data'!$AS$6:$FZ$57,MATCH($E625,'Summary Data'!$C$6:$C$57,0),MATCH($C625,'Summary Data'!$AS$3:$FZ$3,0)+1)</f>
        <v>0</v>
      </c>
      <c r="J625" s="4002" t="str">
        <f t="shared" si="264"/>
        <v>N</v>
      </c>
      <c r="K625" s="3114" t="s">
        <v>3174</v>
      </c>
      <c r="M625" s="391"/>
      <c r="N625" s="391"/>
      <c r="O625" s="313"/>
      <c r="P625" s="313"/>
      <c r="Q625" s="313"/>
      <c r="R625" s="313"/>
      <c r="S625" s="313"/>
    </row>
    <row r="626" spans="1:19" ht="16.899999999999999" hidden="1" customHeight="1" outlineLevel="1">
      <c r="A626" s="313"/>
      <c r="B626" s="313"/>
      <c r="C626" s="313"/>
      <c r="D626" s="313"/>
      <c r="E626" s="313"/>
      <c r="F626" s="384"/>
      <c r="G626" s="363"/>
      <c r="I626" s="313"/>
      <c r="J626" s="313"/>
      <c r="K626" s="391"/>
      <c r="M626" s="391"/>
      <c r="N626" s="391"/>
      <c r="O626" s="313"/>
      <c r="P626" s="313"/>
      <c r="Q626" s="313"/>
      <c r="R626" s="313"/>
      <c r="S626" s="313"/>
    </row>
    <row r="627" spans="1:19" ht="16.899999999999999" customHeight="1" collapsed="1">
      <c r="A627" s="313"/>
      <c r="B627" s="1753"/>
      <c r="C627" s="385"/>
      <c r="F627" s="384" t="s">
        <v>746</v>
      </c>
      <c r="G627" s="384" t="s">
        <v>1518</v>
      </c>
      <c r="H627" s="384" t="s">
        <v>1409</v>
      </c>
      <c r="I627" s="384" t="s">
        <v>1587</v>
      </c>
      <c r="J627" s="313"/>
      <c r="K627" s="313"/>
      <c r="M627" s="391"/>
      <c r="N627" s="391"/>
      <c r="O627" s="313"/>
      <c r="P627" s="313"/>
      <c r="Q627" s="313"/>
      <c r="R627" s="313"/>
      <c r="S627" s="313"/>
    </row>
    <row r="628" spans="1:19" ht="16.899999999999999" customHeight="1">
      <c r="A628" s="1269"/>
      <c r="B628" s="1752" t="s">
        <v>3501</v>
      </c>
      <c r="C628" s="1718" t="s">
        <v>559</v>
      </c>
      <c r="D628" s="1759">
        <v>0</v>
      </c>
      <c r="E628" s="1761" t="str">
        <f t="shared" ref="E628:E642" ca="1" si="270">OFFSET($A$25,D628,0)</f>
        <v>Box</v>
      </c>
      <c r="F628" s="1591" t="str">
        <f t="shared" ref="F628:F691" ca="1" si="271">IF(G628=0,"N",E628)</f>
        <v>Box</v>
      </c>
      <c r="G628" s="1591" t="str">
        <f ca="1">INDEX('Summary Data'!$AS$6:$FZ$57,MATCH($E628,'Summary Data'!$C$6:$C$57,0),MATCH($B628,'Summary Data'!$AS$3:$FZ$3,0))</f>
        <v>3500</v>
      </c>
      <c r="H628" s="1592" t="s">
        <v>5</v>
      </c>
      <c r="I628" s="1591" t="str">
        <f ca="1">INDEX('Summary Data'!$AS$6:$FZ$57,MATCH($E628,'Summary Data'!$C$6:$C$57,0),MATCH($B628,'Summary Data'!$AS$3:$FZ$3,0)+1)</f>
        <v>2</v>
      </c>
      <c r="J628" s="4002" t="str">
        <f ca="1">F628</f>
        <v>Box</v>
      </c>
      <c r="K628" s="3114" t="s">
        <v>3174</v>
      </c>
      <c r="M628" s="391"/>
      <c r="N628" s="391"/>
      <c r="O628" s="313"/>
      <c r="P628" s="313"/>
      <c r="Q628" s="313"/>
      <c r="R628" s="313"/>
      <c r="S628" s="313"/>
    </row>
    <row r="629" spans="1:19" ht="16.899999999999999" hidden="1" customHeight="1" outlineLevel="1">
      <c r="A629" s="1269"/>
      <c r="B629" s="1752" t="s">
        <v>3501</v>
      </c>
      <c r="C629" s="1718" t="s">
        <v>559</v>
      </c>
      <c r="D629" s="1759">
        <f>D628+17</f>
        <v>17</v>
      </c>
      <c r="E629" s="1761" t="str">
        <f t="shared" ca="1" si="270"/>
        <v>N</v>
      </c>
      <c r="F629" s="1591" t="str">
        <f t="shared" ca="1" si="271"/>
        <v>N</v>
      </c>
      <c r="G629" s="1591">
        <f ca="1">INDEX('Summary Data'!$AS$6:$FZ$57,MATCH($E629,'Summary Data'!$C$6:$C$57,0),MATCH($B629,'Summary Data'!$AS$3:$FZ$3,0))</f>
        <v>0</v>
      </c>
      <c r="H629" s="1592" t="s">
        <v>5</v>
      </c>
      <c r="I629" s="1591">
        <f ca="1">INDEX('Summary Data'!$AS$6:$FZ$57,MATCH($E629,'Summary Data'!$C$6:$C$57,0),MATCH($B629,'Summary Data'!$AS$3:$FZ$3,0)+1)</f>
        <v>0</v>
      </c>
      <c r="J629" s="4002" t="str">
        <f t="shared" ref="J629:J692" ca="1" si="272">F629</f>
        <v>N</v>
      </c>
      <c r="K629" s="3114" t="s">
        <v>3174</v>
      </c>
      <c r="M629" s="391"/>
      <c r="N629" s="391"/>
      <c r="O629" s="313"/>
      <c r="P629" s="313"/>
      <c r="Q629" s="313"/>
      <c r="R629" s="313"/>
      <c r="S629" s="313"/>
    </row>
    <row r="630" spans="1:19" ht="16.899999999999999" hidden="1" customHeight="1" outlineLevel="1">
      <c r="A630" s="1269"/>
      <c r="B630" s="1752" t="s">
        <v>3501</v>
      </c>
      <c r="C630" s="1718" t="s">
        <v>559</v>
      </c>
      <c r="D630" s="1759">
        <f t="shared" ref="D630:D642" si="273">D629+17</f>
        <v>34</v>
      </c>
      <c r="E630" s="1761" t="str">
        <f t="shared" ca="1" si="270"/>
        <v>N</v>
      </c>
      <c r="F630" s="1591" t="str">
        <f t="shared" ca="1" si="271"/>
        <v>N</v>
      </c>
      <c r="G630" s="1591">
        <f ca="1">INDEX('Summary Data'!$AS$6:$FZ$57,MATCH($E630,'Summary Data'!$C$6:$C$57,0),MATCH($B630,'Summary Data'!$AS$3:$FZ$3,0))</f>
        <v>0</v>
      </c>
      <c r="H630" s="1592" t="s">
        <v>5</v>
      </c>
      <c r="I630" s="1591">
        <f ca="1">INDEX('Summary Data'!$AS$6:$FZ$57,MATCH($E630,'Summary Data'!$C$6:$C$57,0),MATCH($B630,'Summary Data'!$AS$3:$FZ$3,0)+1)</f>
        <v>0</v>
      </c>
      <c r="J630" s="4002" t="str">
        <f t="shared" ca="1" si="272"/>
        <v>N</v>
      </c>
      <c r="K630" s="3114" t="s">
        <v>3174</v>
      </c>
      <c r="M630" s="391"/>
      <c r="N630" s="391"/>
      <c r="O630" s="313"/>
      <c r="P630" s="313"/>
      <c r="Q630" s="313"/>
      <c r="R630" s="313"/>
      <c r="S630" s="313"/>
    </row>
    <row r="631" spans="1:19" ht="16.899999999999999" hidden="1" customHeight="1" outlineLevel="1">
      <c r="A631" s="1269"/>
      <c r="B631" s="1752" t="s">
        <v>3501</v>
      </c>
      <c r="C631" s="1718" t="s">
        <v>559</v>
      </c>
      <c r="D631" s="1759">
        <f t="shared" si="273"/>
        <v>51</v>
      </c>
      <c r="E631" s="1761" t="str">
        <f t="shared" ca="1" si="270"/>
        <v>N</v>
      </c>
      <c r="F631" s="1591" t="str">
        <f t="shared" ca="1" si="271"/>
        <v>N</v>
      </c>
      <c r="G631" s="1591">
        <f ca="1">INDEX('Summary Data'!$AS$6:$FZ$57,MATCH($E631,'Summary Data'!$C$6:$C$57,0),MATCH($B631,'Summary Data'!$AS$3:$FZ$3,0))</f>
        <v>0</v>
      </c>
      <c r="H631" s="1592" t="s">
        <v>5</v>
      </c>
      <c r="I631" s="1591">
        <f ca="1">INDEX('Summary Data'!$AS$6:$FZ$57,MATCH($E631,'Summary Data'!$C$6:$C$57,0),MATCH($B631,'Summary Data'!$AS$3:$FZ$3,0)+1)</f>
        <v>0</v>
      </c>
      <c r="J631" s="4002" t="str">
        <f t="shared" ca="1" si="272"/>
        <v>N</v>
      </c>
      <c r="K631" s="3114" t="s">
        <v>3174</v>
      </c>
      <c r="M631" s="391"/>
      <c r="N631" s="391"/>
      <c r="O631" s="313"/>
      <c r="P631" s="313"/>
      <c r="Q631" s="313"/>
      <c r="R631" s="313"/>
      <c r="S631" s="313"/>
    </row>
    <row r="632" spans="1:19" ht="16.899999999999999" hidden="1" customHeight="1" outlineLevel="1">
      <c r="A632" s="1269"/>
      <c r="B632" s="1752" t="s">
        <v>3501</v>
      </c>
      <c r="C632" s="1718" t="s">
        <v>559</v>
      </c>
      <c r="D632" s="1759">
        <f t="shared" si="273"/>
        <v>68</v>
      </c>
      <c r="E632" s="1761" t="str">
        <f t="shared" ca="1" si="270"/>
        <v>N</v>
      </c>
      <c r="F632" s="1591" t="str">
        <f t="shared" ca="1" si="271"/>
        <v>N</v>
      </c>
      <c r="G632" s="1591">
        <f ca="1">INDEX('Summary Data'!$AS$6:$FZ$57,MATCH($E632,'Summary Data'!$C$6:$C$57,0),MATCH($B632,'Summary Data'!$AS$3:$FZ$3,0))</f>
        <v>0</v>
      </c>
      <c r="H632" s="1592" t="s">
        <v>5</v>
      </c>
      <c r="I632" s="1591">
        <f ca="1">INDEX('Summary Data'!$AS$6:$FZ$57,MATCH($E632,'Summary Data'!$C$6:$C$57,0),MATCH($B632,'Summary Data'!$AS$3:$FZ$3,0)+1)</f>
        <v>0</v>
      </c>
      <c r="J632" s="4002" t="str">
        <f t="shared" ca="1" si="272"/>
        <v>N</v>
      </c>
      <c r="K632" s="3114" t="s">
        <v>3174</v>
      </c>
      <c r="M632" s="391"/>
      <c r="N632" s="391"/>
      <c r="O632" s="313"/>
      <c r="P632" s="313"/>
      <c r="Q632" s="313"/>
      <c r="R632" s="313"/>
      <c r="S632" s="313"/>
    </row>
    <row r="633" spans="1:19" ht="16.899999999999999" hidden="1" customHeight="1" outlineLevel="1">
      <c r="A633" s="1269"/>
      <c r="B633" s="1752" t="s">
        <v>3501</v>
      </c>
      <c r="C633" s="1718" t="s">
        <v>559</v>
      </c>
      <c r="D633" s="1759">
        <f t="shared" si="273"/>
        <v>85</v>
      </c>
      <c r="E633" s="1761" t="str">
        <f t="shared" ca="1" si="270"/>
        <v>N</v>
      </c>
      <c r="F633" s="1591" t="str">
        <f t="shared" ca="1" si="271"/>
        <v>N</v>
      </c>
      <c r="G633" s="1591">
        <f ca="1">INDEX('Summary Data'!$AS$6:$FZ$57,MATCH($E633,'Summary Data'!$C$6:$C$57,0),MATCH($B633,'Summary Data'!$AS$3:$FZ$3,0))</f>
        <v>0</v>
      </c>
      <c r="H633" s="1592" t="s">
        <v>5</v>
      </c>
      <c r="I633" s="1591">
        <f ca="1">INDEX('Summary Data'!$AS$6:$FZ$57,MATCH($E633,'Summary Data'!$C$6:$C$57,0),MATCH($B633,'Summary Data'!$AS$3:$FZ$3,0)+1)</f>
        <v>0</v>
      </c>
      <c r="J633" s="4002" t="str">
        <f t="shared" ca="1" si="272"/>
        <v>N</v>
      </c>
      <c r="K633" s="3114" t="s">
        <v>3174</v>
      </c>
      <c r="M633" s="391"/>
      <c r="N633" s="391"/>
      <c r="O633" s="313"/>
      <c r="P633" s="313"/>
      <c r="Q633" s="313"/>
      <c r="R633" s="313"/>
      <c r="S633" s="313"/>
    </row>
    <row r="634" spans="1:19" ht="16.899999999999999" hidden="1" customHeight="1" outlineLevel="1">
      <c r="A634" s="1269"/>
      <c r="B634" s="1752" t="s">
        <v>3501</v>
      </c>
      <c r="C634" s="1718" t="s">
        <v>559</v>
      </c>
      <c r="D634" s="1759">
        <f t="shared" si="273"/>
        <v>102</v>
      </c>
      <c r="E634" s="1761" t="str">
        <f t="shared" ca="1" si="270"/>
        <v>N</v>
      </c>
      <c r="F634" s="1591" t="str">
        <f t="shared" ca="1" si="271"/>
        <v>N</v>
      </c>
      <c r="G634" s="1591">
        <f ca="1">INDEX('Summary Data'!$AS$6:$FZ$57,MATCH($E634,'Summary Data'!$C$6:$C$57,0),MATCH($B634,'Summary Data'!$AS$3:$FZ$3,0))</f>
        <v>0</v>
      </c>
      <c r="H634" s="1592" t="s">
        <v>5</v>
      </c>
      <c r="I634" s="1591">
        <f ca="1">INDEX('Summary Data'!$AS$6:$FZ$57,MATCH($E634,'Summary Data'!$C$6:$C$57,0),MATCH($B634,'Summary Data'!$AS$3:$FZ$3,0)+1)</f>
        <v>0</v>
      </c>
      <c r="J634" s="4002" t="str">
        <f t="shared" ca="1" si="272"/>
        <v>N</v>
      </c>
      <c r="K634" s="3114" t="s">
        <v>3174</v>
      </c>
      <c r="M634" s="391"/>
      <c r="N634" s="391"/>
      <c r="O634" s="313"/>
      <c r="P634" s="313"/>
      <c r="Q634" s="313"/>
      <c r="R634" s="313"/>
      <c r="S634" s="313"/>
    </row>
    <row r="635" spans="1:19" ht="16.899999999999999" hidden="1" customHeight="1" outlineLevel="1">
      <c r="A635" s="1269"/>
      <c r="B635" s="1752" t="s">
        <v>3501</v>
      </c>
      <c r="C635" s="1718" t="s">
        <v>559</v>
      </c>
      <c r="D635" s="1759">
        <f t="shared" si="273"/>
        <v>119</v>
      </c>
      <c r="E635" s="1761" t="str">
        <f t="shared" ca="1" si="270"/>
        <v>N</v>
      </c>
      <c r="F635" s="1591" t="str">
        <f t="shared" ca="1" si="271"/>
        <v>N</v>
      </c>
      <c r="G635" s="1591">
        <f ca="1">INDEX('Summary Data'!$AS$6:$FZ$57,MATCH($E635,'Summary Data'!$C$6:$C$57,0),MATCH($B635,'Summary Data'!$AS$3:$FZ$3,0))</f>
        <v>0</v>
      </c>
      <c r="H635" s="1592" t="s">
        <v>5</v>
      </c>
      <c r="I635" s="1591">
        <f ca="1">INDEX('Summary Data'!$AS$6:$FZ$57,MATCH($E635,'Summary Data'!$C$6:$C$57,0),MATCH($B635,'Summary Data'!$AS$3:$FZ$3,0)+1)</f>
        <v>0</v>
      </c>
      <c r="J635" s="4002" t="str">
        <f t="shared" ca="1" si="272"/>
        <v>N</v>
      </c>
      <c r="K635" s="3114" t="s">
        <v>3174</v>
      </c>
      <c r="M635" s="391"/>
      <c r="N635" s="391"/>
      <c r="O635" s="313"/>
      <c r="P635" s="313"/>
      <c r="Q635" s="313"/>
      <c r="R635" s="313"/>
      <c r="S635" s="313"/>
    </row>
    <row r="636" spans="1:19" ht="16.899999999999999" hidden="1" customHeight="1" outlineLevel="1">
      <c r="A636" s="1269"/>
      <c r="B636" s="1752" t="s">
        <v>3501</v>
      </c>
      <c r="C636" s="1718" t="s">
        <v>559</v>
      </c>
      <c r="D636" s="1759">
        <f t="shared" si="273"/>
        <v>136</v>
      </c>
      <c r="E636" s="1761" t="str">
        <f t="shared" ca="1" si="270"/>
        <v>N</v>
      </c>
      <c r="F636" s="1591" t="str">
        <f t="shared" ca="1" si="271"/>
        <v>N</v>
      </c>
      <c r="G636" s="1591">
        <f ca="1">INDEX('Summary Data'!$AS$6:$FZ$57,MATCH($E636,'Summary Data'!$C$6:$C$57,0),MATCH($B636,'Summary Data'!$AS$3:$FZ$3,0))</f>
        <v>0</v>
      </c>
      <c r="H636" s="1592" t="s">
        <v>5</v>
      </c>
      <c r="I636" s="1591">
        <f ca="1">INDEX('Summary Data'!$AS$6:$FZ$57,MATCH($E636,'Summary Data'!$C$6:$C$57,0),MATCH($B636,'Summary Data'!$AS$3:$FZ$3,0)+1)</f>
        <v>0</v>
      </c>
      <c r="J636" s="4002" t="str">
        <f t="shared" ca="1" si="272"/>
        <v>N</v>
      </c>
      <c r="K636" s="3114" t="s">
        <v>3174</v>
      </c>
      <c r="M636" s="391"/>
      <c r="N636" s="391"/>
      <c r="O636" s="313"/>
      <c r="P636" s="313"/>
      <c r="Q636" s="313"/>
      <c r="R636" s="313"/>
      <c r="S636" s="313"/>
    </row>
    <row r="637" spans="1:19" ht="16.899999999999999" hidden="1" customHeight="1" outlineLevel="1">
      <c r="A637" s="1269"/>
      <c r="B637" s="1752" t="s">
        <v>3501</v>
      </c>
      <c r="C637" s="1718" t="s">
        <v>559</v>
      </c>
      <c r="D637" s="1759">
        <f t="shared" si="273"/>
        <v>153</v>
      </c>
      <c r="E637" s="1761" t="str">
        <f t="shared" ca="1" si="270"/>
        <v>N</v>
      </c>
      <c r="F637" s="1591" t="str">
        <f t="shared" ca="1" si="271"/>
        <v>N</v>
      </c>
      <c r="G637" s="1591">
        <f ca="1">INDEX('Summary Data'!$AS$6:$FZ$57,MATCH($E637,'Summary Data'!$C$6:$C$57,0),MATCH($B637,'Summary Data'!$AS$3:$FZ$3,0))</f>
        <v>0</v>
      </c>
      <c r="H637" s="1592" t="s">
        <v>5</v>
      </c>
      <c r="I637" s="1591">
        <f ca="1">INDEX('Summary Data'!$AS$6:$FZ$57,MATCH($E637,'Summary Data'!$C$6:$C$57,0),MATCH($B637,'Summary Data'!$AS$3:$FZ$3,0)+1)</f>
        <v>0</v>
      </c>
      <c r="J637" s="4002" t="str">
        <f t="shared" ca="1" si="272"/>
        <v>N</v>
      </c>
      <c r="K637" s="3114" t="s">
        <v>3174</v>
      </c>
      <c r="M637" s="391"/>
      <c r="N637" s="391"/>
      <c r="O637" s="313"/>
      <c r="P637" s="313"/>
      <c r="Q637" s="313"/>
      <c r="R637" s="313"/>
      <c r="S637" s="313"/>
    </row>
    <row r="638" spans="1:19" ht="16.899999999999999" hidden="1" customHeight="1" outlineLevel="1">
      <c r="A638" s="1269"/>
      <c r="B638" s="1752" t="s">
        <v>3501</v>
      </c>
      <c r="C638" s="1718" t="s">
        <v>559</v>
      </c>
      <c r="D638" s="1759">
        <f t="shared" si="273"/>
        <v>170</v>
      </c>
      <c r="E638" s="1761" t="str">
        <f t="shared" ca="1" si="270"/>
        <v>N</v>
      </c>
      <c r="F638" s="1591" t="str">
        <f t="shared" ca="1" si="271"/>
        <v>N</v>
      </c>
      <c r="G638" s="1591">
        <f ca="1">INDEX('Summary Data'!$AS$6:$FZ$57,MATCH($E638,'Summary Data'!$C$6:$C$57,0),MATCH($B638,'Summary Data'!$AS$3:$FZ$3,0))</f>
        <v>0</v>
      </c>
      <c r="H638" s="1592" t="s">
        <v>5</v>
      </c>
      <c r="I638" s="1591">
        <f ca="1">INDEX('Summary Data'!$AS$6:$FZ$57,MATCH($E638,'Summary Data'!$C$6:$C$57,0),MATCH($B638,'Summary Data'!$AS$3:$FZ$3,0)+1)</f>
        <v>0</v>
      </c>
      <c r="J638" s="4002" t="str">
        <f t="shared" ca="1" si="272"/>
        <v>N</v>
      </c>
      <c r="K638" s="3114" t="s">
        <v>3174</v>
      </c>
      <c r="M638" s="391"/>
      <c r="N638" s="391"/>
      <c r="O638" s="313"/>
      <c r="P638" s="313"/>
      <c r="Q638" s="313"/>
      <c r="R638" s="313"/>
      <c r="S638" s="313"/>
    </row>
    <row r="639" spans="1:19" ht="16.899999999999999" hidden="1" customHeight="1" outlineLevel="1">
      <c r="A639" s="1269"/>
      <c r="B639" s="1752" t="s">
        <v>3501</v>
      </c>
      <c r="C639" s="1718" t="s">
        <v>559</v>
      </c>
      <c r="D639" s="1759">
        <f t="shared" si="273"/>
        <v>187</v>
      </c>
      <c r="E639" s="1761" t="str">
        <f t="shared" ca="1" si="270"/>
        <v>N</v>
      </c>
      <c r="F639" s="1591" t="str">
        <f t="shared" ca="1" si="271"/>
        <v>N</v>
      </c>
      <c r="G639" s="1591">
        <f ca="1">INDEX('Summary Data'!$AS$6:$FZ$57,MATCH($E639,'Summary Data'!$C$6:$C$57,0),MATCH($B639,'Summary Data'!$AS$3:$FZ$3,0))</f>
        <v>0</v>
      </c>
      <c r="H639" s="1592" t="s">
        <v>5</v>
      </c>
      <c r="I639" s="1591">
        <f ca="1">INDEX('Summary Data'!$AS$6:$FZ$57,MATCH($E639,'Summary Data'!$C$6:$C$57,0),MATCH($B639,'Summary Data'!$AS$3:$FZ$3,0)+1)</f>
        <v>0</v>
      </c>
      <c r="J639" s="4002" t="str">
        <f t="shared" ca="1" si="272"/>
        <v>N</v>
      </c>
      <c r="K639" s="3114" t="s">
        <v>3174</v>
      </c>
      <c r="M639" s="391"/>
      <c r="N639" s="391"/>
      <c r="O639" s="313"/>
      <c r="P639" s="313"/>
      <c r="Q639" s="313"/>
      <c r="R639" s="313"/>
      <c r="S639" s="313"/>
    </row>
    <row r="640" spans="1:19" ht="16.899999999999999" hidden="1" customHeight="1" outlineLevel="1">
      <c r="A640" s="1269"/>
      <c r="B640" s="1752" t="s">
        <v>3501</v>
      </c>
      <c r="C640" s="1718" t="s">
        <v>559</v>
      </c>
      <c r="D640" s="1759">
        <f t="shared" si="273"/>
        <v>204</v>
      </c>
      <c r="E640" s="1761" t="str">
        <f t="shared" ca="1" si="270"/>
        <v>N</v>
      </c>
      <c r="F640" s="1591" t="str">
        <f t="shared" ca="1" si="271"/>
        <v>N</v>
      </c>
      <c r="G640" s="1591">
        <f ca="1">INDEX('Summary Data'!$AS$6:$FZ$57,MATCH($E640,'Summary Data'!$C$6:$C$57,0),MATCH($B640,'Summary Data'!$AS$3:$FZ$3,0))</f>
        <v>0</v>
      </c>
      <c r="H640" s="1592" t="s">
        <v>5</v>
      </c>
      <c r="I640" s="1591">
        <f ca="1">INDEX('Summary Data'!$AS$6:$FZ$57,MATCH($E640,'Summary Data'!$C$6:$C$57,0),MATCH($B640,'Summary Data'!$AS$3:$FZ$3,0)+1)</f>
        <v>0</v>
      </c>
      <c r="J640" s="4002" t="str">
        <f t="shared" ca="1" si="272"/>
        <v>N</v>
      </c>
      <c r="K640" s="3114" t="s">
        <v>3174</v>
      </c>
      <c r="M640" s="391"/>
      <c r="N640" s="391"/>
      <c r="O640" s="313"/>
      <c r="P640" s="313"/>
      <c r="Q640" s="313"/>
      <c r="R640" s="313"/>
      <c r="S640" s="313"/>
    </row>
    <row r="641" spans="1:19" ht="16.899999999999999" hidden="1" customHeight="1" outlineLevel="1">
      <c r="A641" s="1269"/>
      <c r="B641" s="1752" t="s">
        <v>3501</v>
      </c>
      <c r="C641" s="1718" t="s">
        <v>559</v>
      </c>
      <c r="D641" s="1759">
        <f t="shared" si="273"/>
        <v>221</v>
      </c>
      <c r="E641" s="1761" t="str">
        <f t="shared" ca="1" si="270"/>
        <v>1st</v>
      </c>
      <c r="F641" s="1591" t="str">
        <f t="shared" ca="1" si="271"/>
        <v>N</v>
      </c>
      <c r="G641" s="1591">
        <f ca="1">INDEX('Summary Data'!$AS$6:$FZ$57,MATCH($E641,'Summary Data'!$C$6:$C$57,0),MATCH($B641,'Summary Data'!$AS$3:$FZ$3,0))</f>
        <v>0</v>
      </c>
      <c r="H641" s="1592" t="s">
        <v>5</v>
      </c>
      <c r="I641" s="1591">
        <f ca="1">INDEX('Summary Data'!$AS$6:$FZ$57,MATCH($E641,'Summary Data'!$C$6:$C$57,0),MATCH($B641,'Summary Data'!$AS$3:$FZ$3,0)+1)</f>
        <v>0</v>
      </c>
      <c r="J641" s="4002" t="str">
        <f t="shared" ca="1" si="272"/>
        <v>N</v>
      </c>
      <c r="K641" s="3114" t="s">
        <v>3174</v>
      </c>
      <c r="M641" s="391"/>
      <c r="N641" s="391"/>
      <c r="O641" s="313"/>
      <c r="P641" s="313"/>
      <c r="Q641" s="313"/>
      <c r="R641" s="313"/>
      <c r="S641" s="313"/>
    </row>
    <row r="642" spans="1:19" ht="16.899999999999999" hidden="1" customHeight="1" outlineLevel="1">
      <c r="A642" s="1269"/>
      <c r="B642" s="1752" t="s">
        <v>3501</v>
      </c>
      <c r="C642" s="1718" t="s">
        <v>559</v>
      </c>
      <c r="D642" s="1759">
        <f t="shared" si="273"/>
        <v>238</v>
      </c>
      <c r="E642" s="1761" t="str">
        <f t="shared" ca="1" si="270"/>
        <v>1st</v>
      </c>
      <c r="F642" s="1591" t="str">
        <f t="shared" ca="1" si="271"/>
        <v>N</v>
      </c>
      <c r="G642" s="1591">
        <f ca="1">INDEX('Summary Data'!$AS$6:$FZ$57,MATCH($E642,'Summary Data'!$C$6:$C$57,0),MATCH($B642,'Summary Data'!$AS$3:$FZ$3,0))</f>
        <v>0</v>
      </c>
      <c r="H642" s="1592" t="s">
        <v>5</v>
      </c>
      <c r="I642" s="1591">
        <f ca="1">INDEX('Summary Data'!$AS$6:$FZ$57,MATCH($E642,'Summary Data'!$C$6:$C$57,0),MATCH($B642,'Summary Data'!$AS$3:$FZ$3,0)+1)</f>
        <v>0</v>
      </c>
      <c r="J642" s="4002" t="str">
        <f t="shared" ca="1" si="272"/>
        <v>N</v>
      </c>
      <c r="K642" s="3114" t="s">
        <v>3174</v>
      </c>
      <c r="M642" s="391"/>
      <c r="N642" s="391"/>
      <c r="O642" s="313"/>
      <c r="P642" s="313"/>
      <c r="Q642" s="313"/>
      <c r="R642" s="313"/>
      <c r="S642" s="313"/>
    </row>
    <row r="643" spans="1:19" ht="16.899999999999999" hidden="1" customHeight="1" outlineLevel="1">
      <c r="A643" s="1269"/>
      <c r="B643" s="1752" t="s">
        <v>3501</v>
      </c>
      <c r="C643" s="1718" t="s">
        <v>559</v>
      </c>
      <c r="D643" s="1759">
        <v>0</v>
      </c>
      <c r="E643" s="3475" t="str">
        <f ca="1">OFFSET($A$281,D643,0)</f>
        <v>N</v>
      </c>
      <c r="F643" s="1591" t="str">
        <f t="shared" ca="1" si="271"/>
        <v>N</v>
      </c>
      <c r="G643" s="1591">
        <f ca="1">INDEX('Summary Data'!$AS$6:$FZ$57,MATCH($E643,'Summary Data'!$C$6:$C$57,0),MATCH($B643,'Summary Data'!$AS$3:$FZ$3,0))</f>
        <v>0</v>
      </c>
      <c r="H643" s="1592" t="s">
        <v>5</v>
      </c>
      <c r="I643" s="1591">
        <f ca="1">INDEX('Summary Data'!$AS$6:$FZ$57,MATCH($E643,'Summary Data'!$C$6:$C$57,0),MATCH($B643,'Summary Data'!$AS$3:$FZ$3,0)+1)</f>
        <v>0</v>
      </c>
      <c r="J643" s="4002" t="str">
        <f t="shared" ca="1" si="272"/>
        <v>N</v>
      </c>
      <c r="K643" s="3114" t="s">
        <v>3174</v>
      </c>
      <c r="M643" s="391"/>
      <c r="N643" s="391"/>
      <c r="O643" s="313"/>
      <c r="P643" s="313"/>
      <c r="Q643" s="313"/>
      <c r="R643" s="313"/>
      <c r="S643" s="313"/>
    </row>
    <row r="644" spans="1:19" ht="16.899999999999999" hidden="1" customHeight="1" outlineLevel="1">
      <c r="A644" s="1269"/>
      <c r="B644" s="1752" t="s">
        <v>3501</v>
      </c>
      <c r="C644" s="1718" t="s">
        <v>559</v>
      </c>
      <c r="D644" s="1759">
        <f>D643+10</f>
        <v>10</v>
      </c>
      <c r="E644" s="3475" t="str">
        <f ca="1">OFFSET($A$281,D644,0)</f>
        <v>N</v>
      </c>
      <c r="F644" s="1591" t="str">
        <f t="shared" ca="1" si="271"/>
        <v>N</v>
      </c>
      <c r="G644" s="1591">
        <f ca="1">INDEX('Summary Data'!$AS$6:$FZ$57,MATCH($E644,'Summary Data'!$C$6:$C$57,0),MATCH($B644,'Summary Data'!$AS$3:$FZ$3,0))</f>
        <v>0</v>
      </c>
      <c r="H644" s="1592" t="s">
        <v>5</v>
      </c>
      <c r="I644" s="1591">
        <f ca="1">INDEX('Summary Data'!$AS$6:$FZ$57,MATCH($E644,'Summary Data'!$C$6:$C$57,0),MATCH($B644,'Summary Data'!$AS$3:$FZ$3,0)+1)</f>
        <v>0</v>
      </c>
      <c r="J644" s="4002" t="str">
        <f t="shared" ca="1" si="272"/>
        <v>N</v>
      </c>
      <c r="K644" s="3114" t="s">
        <v>3174</v>
      </c>
      <c r="M644" s="391"/>
      <c r="N644" s="391"/>
      <c r="O644" s="313"/>
      <c r="P644" s="313"/>
      <c r="Q644" s="313"/>
      <c r="R644" s="313"/>
      <c r="S644" s="313"/>
    </row>
    <row r="645" spans="1:19" ht="16.899999999999999" hidden="1" customHeight="1" outlineLevel="1">
      <c r="A645" s="1269"/>
      <c r="B645" s="1752" t="s">
        <v>3501</v>
      </c>
      <c r="C645" s="1718" t="s">
        <v>559</v>
      </c>
      <c r="D645" s="1759">
        <f>D644+10</f>
        <v>20</v>
      </c>
      <c r="E645" s="3475" t="str">
        <f ca="1">OFFSET($A$281,D645,0)</f>
        <v>N</v>
      </c>
      <c r="F645" s="1591" t="str">
        <f t="shared" ca="1" si="271"/>
        <v>N</v>
      </c>
      <c r="G645" s="1591">
        <f ca="1">INDEX('Summary Data'!$AS$6:$FZ$57,MATCH($E645,'Summary Data'!$C$6:$C$57,0),MATCH($B645,'Summary Data'!$AS$3:$FZ$3,0))</f>
        <v>0</v>
      </c>
      <c r="H645" s="1592" t="s">
        <v>5</v>
      </c>
      <c r="I645" s="1591">
        <f ca="1">INDEX('Summary Data'!$AS$6:$FZ$57,MATCH($E645,'Summary Data'!$C$6:$C$57,0),MATCH($B645,'Summary Data'!$AS$3:$FZ$3,0)+1)</f>
        <v>0</v>
      </c>
      <c r="J645" s="4002" t="str">
        <f t="shared" ca="1" si="272"/>
        <v>N</v>
      </c>
      <c r="K645" s="3114" t="s">
        <v>3174</v>
      </c>
      <c r="M645" s="391"/>
      <c r="N645" s="391"/>
      <c r="O645" s="313"/>
      <c r="P645" s="313"/>
      <c r="Q645" s="313"/>
      <c r="R645" s="313"/>
      <c r="S645" s="313"/>
    </row>
    <row r="646" spans="1:19" ht="16.899999999999999" hidden="1" customHeight="1" outlineLevel="1">
      <c r="A646" s="1269"/>
      <c r="B646" s="1752" t="s">
        <v>3501</v>
      </c>
      <c r="C646" s="1718" t="s">
        <v>192</v>
      </c>
      <c r="D646" s="1759">
        <v>0</v>
      </c>
      <c r="E646" s="3691" t="str">
        <f t="shared" ref="E646:E660" ca="1" si="274">OFFSET($A$312,D646,0)</f>
        <v>N</v>
      </c>
      <c r="F646" s="1591" t="str">
        <f t="shared" ca="1" si="271"/>
        <v>N</v>
      </c>
      <c r="G646" s="1591">
        <f ca="1">INDEX('Summary Data'!$AS$6:$FZ$57,MATCH($E646,'Summary Data'!$C$6:$C$57,0),MATCH($B646,'Summary Data'!$AS$3:$FZ$3,0))</f>
        <v>0</v>
      </c>
      <c r="H646" s="1592" t="s">
        <v>5</v>
      </c>
      <c r="I646" s="1591">
        <f ca="1">INDEX('Summary Data'!$AS$6:$FZ$57,MATCH($E646,'Summary Data'!$C$6:$C$57,0),MATCH($B646,'Summary Data'!$AS$3:$FZ$3,0)+1)</f>
        <v>0</v>
      </c>
      <c r="J646" s="4002" t="str">
        <f t="shared" ca="1" si="272"/>
        <v>N</v>
      </c>
      <c r="K646" s="3114" t="s">
        <v>3174</v>
      </c>
      <c r="M646" s="391"/>
      <c r="N646" s="391"/>
      <c r="O646" s="313"/>
      <c r="P646" s="313"/>
      <c r="Q646" s="313"/>
      <c r="R646" s="313"/>
      <c r="S646" s="313"/>
    </row>
    <row r="647" spans="1:19" ht="16.899999999999999" hidden="1" customHeight="1" outlineLevel="1">
      <c r="A647" s="1269"/>
      <c r="B647" s="1752" t="s">
        <v>3501</v>
      </c>
      <c r="C647" s="1718" t="s">
        <v>192</v>
      </c>
      <c r="D647" s="1759">
        <f>D646+3</f>
        <v>3</v>
      </c>
      <c r="E647" s="3691" t="str">
        <f t="shared" ca="1" si="274"/>
        <v>N</v>
      </c>
      <c r="F647" s="1591" t="str">
        <f t="shared" ca="1" si="271"/>
        <v>N</v>
      </c>
      <c r="G647" s="1591">
        <f ca="1">INDEX('Summary Data'!$AS$6:$FZ$57,MATCH($E647,'Summary Data'!$C$6:$C$57,0),MATCH($B647,'Summary Data'!$AS$3:$FZ$3,0))</f>
        <v>0</v>
      </c>
      <c r="H647" s="1592" t="s">
        <v>5</v>
      </c>
      <c r="I647" s="1591">
        <f ca="1">INDEX('Summary Data'!$AS$6:$FZ$57,MATCH($E647,'Summary Data'!$C$6:$C$57,0),MATCH($B647,'Summary Data'!$AS$3:$FZ$3,0)+1)</f>
        <v>0</v>
      </c>
      <c r="J647" s="4002" t="str">
        <f t="shared" ca="1" si="272"/>
        <v>N</v>
      </c>
      <c r="K647" s="3114" t="s">
        <v>3174</v>
      </c>
      <c r="M647" s="391"/>
      <c r="N647" s="391"/>
      <c r="O647" s="313"/>
      <c r="P647" s="313"/>
      <c r="Q647" s="313"/>
      <c r="R647" s="313"/>
      <c r="S647" s="313"/>
    </row>
    <row r="648" spans="1:19" ht="16.899999999999999" hidden="1" customHeight="1" outlineLevel="1">
      <c r="A648" s="1269"/>
      <c r="B648" s="1752" t="s">
        <v>3501</v>
      </c>
      <c r="C648" s="1718" t="s">
        <v>192</v>
      </c>
      <c r="D648" s="1759">
        <f t="shared" ref="D648:D660" si="275">D647+3</f>
        <v>6</v>
      </c>
      <c r="E648" s="3691" t="str">
        <f t="shared" ca="1" si="274"/>
        <v>N</v>
      </c>
      <c r="F648" s="1591" t="str">
        <f t="shared" ca="1" si="271"/>
        <v>N</v>
      </c>
      <c r="G648" s="1591">
        <f ca="1">INDEX('Summary Data'!$AS$6:$FZ$57,MATCH($E648,'Summary Data'!$C$6:$C$57,0),MATCH($B648,'Summary Data'!$AS$3:$FZ$3,0))</f>
        <v>0</v>
      </c>
      <c r="H648" s="1592" t="s">
        <v>5</v>
      </c>
      <c r="I648" s="1591">
        <f ca="1">INDEX('Summary Data'!$AS$6:$FZ$57,MATCH($E648,'Summary Data'!$C$6:$C$57,0),MATCH($B648,'Summary Data'!$AS$3:$FZ$3,0)+1)</f>
        <v>0</v>
      </c>
      <c r="J648" s="4002" t="str">
        <f t="shared" ca="1" si="272"/>
        <v>N</v>
      </c>
      <c r="K648" s="3114" t="s">
        <v>3174</v>
      </c>
      <c r="M648" s="391"/>
      <c r="N648" s="391"/>
      <c r="O648" s="313"/>
      <c r="P648" s="313"/>
      <c r="Q648" s="313"/>
      <c r="R648" s="313"/>
      <c r="S648" s="313"/>
    </row>
    <row r="649" spans="1:19" ht="16.899999999999999" hidden="1" customHeight="1" outlineLevel="1">
      <c r="A649" s="1269"/>
      <c r="B649" s="1752" t="s">
        <v>3501</v>
      </c>
      <c r="C649" s="1718" t="s">
        <v>192</v>
      </c>
      <c r="D649" s="1759">
        <f t="shared" si="275"/>
        <v>9</v>
      </c>
      <c r="E649" s="3691" t="str">
        <f t="shared" ca="1" si="274"/>
        <v>N</v>
      </c>
      <c r="F649" s="1591" t="str">
        <f t="shared" ca="1" si="271"/>
        <v>N</v>
      </c>
      <c r="G649" s="1591">
        <f ca="1">INDEX('Summary Data'!$AS$6:$FZ$57,MATCH($E649,'Summary Data'!$C$6:$C$57,0),MATCH($B649,'Summary Data'!$AS$3:$FZ$3,0))</f>
        <v>0</v>
      </c>
      <c r="H649" s="1592" t="s">
        <v>5</v>
      </c>
      <c r="I649" s="1591">
        <f ca="1">INDEX('Summary Data'!$AS$6:$FZ$57,MATCH($E649,'Summary Data'!$C$6:$C$57,0),MATCH($B649,'Summary Data'!$AS$3:$FZ$3,0)+1)</f>
        <v>0</v>
      </c>
      <c r="J649" s="4002" t="str">
        <f t="shared" ca="1" si="272"/>
        <v>N</v>
      </c>
      <c r="K649" s="3114" t="s">
        <v>3174</v>
      </c>
      <c r="M649" s="391"/>
      <c r="N649" s="391"/>
      <c r="O649" s="313"/>
      <c r="P649" s="313"/>
      <c r="Q649" s="313"/>
      <c r="R649" s="313"/>
      <c r="S649" s="313"/>
    </row>
    <row r="650" spans="1:19" ht="16.899999999999999" hidden="1" customHeight="1" outlineLevel="1">
      <c r="A650" s="1269"/>
      <c r="B650" s="1752" t="s">
        <v>3501</v>
      </c>
      <c r="C650" s="1718" t="s">
        <v>192</v>
      </c>
      <c r="D650" s="1759">
        <f t="shared" si="275"/>
        <v>12</v>
      </c>
      <c r="E650" s="3691" t="str">
        <f t="shared" ca="1" si="274"/>
        <v>N</v>
      </c>
      <c r="F650" s="1591" t="str">
        <f t="shared" ca="1" si="271"/>
        <v>N</v>
      </c>
      <c r="G650" s="1591">
        <f ca="1">INDEX('Summary Data'!$AS$6:$FZ$57,MATCH($E650,'Summary Data'!$C$6:$C$57,0),MATCH($B650,'Summary Data'!$AS$3:$FZ$3,0))</f>
        <v>0</v>
      </c>
      <c r="H650" s="1592" t="s">
        <v>5</v>
      </c>
      <c r="I650" s="1591">
        <f ca="1">INDEX('Summary Data'!$AS$6:$FZ$57,MATCH($E650,'Summary Data'!$C$6:$C$57,0),MATCH($B650,'Summary Data'!$AS$3:$FZ$3,0)+1)</f>
        <v>0</v>
      </c>
      <c r="J650" s="4002" t="str">
        <f t="shared" ca="1" si="272"/>
        <v>N</v>
      </c>
      <c r="K650" s="3114" t="s">
        <v>3174</v>
      </c>
      <c r="M650" s="391"/>
      <c r="N650" s="391"/>
      <c r="O650" s="313"/>
      <c r="P650" s="313"/>
      <c r="Q650" s="313"/>
      <c r="R650" s="313"/>
      <c r="S650" s="313"/>
    </row>
    <row r="651" spans="1:19" ht="16.899999999999999" hidden="1" customHeight="1" outlineLevel="1">
      <c r="A651" s="1269"/>
      <c r="B651" s="1752" t="s">
        <v>3501</v>
      </c>
      <c r="C651" s="1718" t="s">
        <v>192</v>
      </c>
      <c r="D651" s="1759">
        <f t="shared" si="275"/>
        <v>15</v>
      </c>
      <c r="E651" s="3691" t="str">
        <f t="shared" ca="1" si="274"/>
        <v>N</v>
      </c>
      <c r="F651" s="1591" t="str">
        <f t="shared" ca="1" si="271"/>
        <v>N</v>
      </c>
      <c r="G651" s="1591">
        <f ca="1">INDEX('Summary Data'!$AS$6:$FZ$57,MATCH($E651,'Summary Data'!$C$6:$C$57,0),MATCH($B651,'Summary Data'!$AS$3:$FZ$3,0))</f>
        <v>0</v>
      </c>
      <c r="H651" s="1592" t="s">
        <v>5</v>
      </c>
      <c r="I651" s="1591">
        <f ca="1">INDEX('Summary Data'!$AS$6:$FZ$57,MATCH($E651,'Summary Data'!$C$6:$C$57,0),MATCH($B651,'Summary Data'!$AS$3:$FZ$3,0)+1)</f>
        <v>0</v>
      </c>
      <c r="J651" s="4002" t="str">
        <f t="shared" ca="1" si="272"/>
        <v>N</v>
      </c>
      <c r="K651" s="3114" t="s">
        <v>3174</v>
      </c>
      <c r="M651" s="391"/>
      <c r="N651" s="391"/>
      <c r="O651" s="313"/>
      <c r="P651" s="313"/>
      <c r="Q651" s="313"/>
      <c r="R651" s="313"/>
      <c r="S651" s="313"/>
    </row>
    <row r="652" spans="1:19" ht="16.899999999999999" hidden="1" customHeight="1" outlineLevel="1">
      <c r="A652" s="1269"/>
      <c r="B652" s="1752" t="s">
        <v>3501</v>
      </c>
      <c r="C652" s="1718" t="s">
        <v>192</v>
      </c>
      <c r="D652" s="1759">
        <f t="shared" si="275"/>
        <v>18</v>
      </c>
      <c r="E652" s="3691" t="str">
        <f t="shared" ca="1" si="274"/>
        <v>N</v>
      </c>
      <c r="F652" s="1591" t="str">
        <f t="shared" ca="1" si="271"/>
        <v>N</v>
      </c>
      <c r="G652" s="1591">
        <f ca="1">INDEX('Summary Data'!$AS$6:$FZ$57,MATCH($E652,'Summary Data'!$C$6:$C$57,0),MATCH($B652,'Summary Data'!$AS$3:$FZ$3,0))</f>
        <v>0</v>
      </c>
      <c r="H652" s="1592" t="s">
        <v>5</v>
      </c>
      <c r="I652" s="1591">
        <f ca="1">INDEX('Summary Data'!$AS$6:$FZ$57,MATCH($E652,'Summary Data'!$C$6:$C$57,0),MATCH($B652,'Summary Data'!$AS$3:$FZ$3,0)+1)</f>
        <v>0</v>
      </c>
      <c r="J652" s="4002" t="str">
        <f t="shared" ca="1" si="272"/>
        <v>N</v>
      </c>
      <c r="K652" s="3114" t="s">
        <v>3174</v>
      </c>
      <c r="M652" s="391"/>
      <c r="N652" s="391"/>
      <c r="O652" s="313"/>
      <c r="P652" s="313"/>
      <c r="Q652" s="313"/>
      <c r="R652" s="313"/>
      <c r="S652" s="313"/>
    </row>
    <row r="653" spans="1:19" ht="16.899999999999999" hidden="1" customHeight="1" outlineLevel="1">
      <c r="A653" s="1269"/>
      <c r="B653" s="1752" t="s">
        <v>3501</v>
      </c>
      <c r="C653" s="1718" t="s">
        <v>192</v>
      </c>
      <c r="D653" s="1759">
        <f t="shared" si="275"/>
        <v>21</v>
      </c>
      <c r="E653" s="3691" t="str">
        <f t="shared" ca="1" si="274"/>
        <v>N</v>
      </c>
      <c r="F653" s="1591" t="str">
        <f t="shared" ca="1" si="271"/>
        <v>N</v>
      </c>
      <c r="G653" s="1591">
        <f ca="1">INDEX('Summary Data'!$AS$6:$FZ$57,MATCH($E653,'Summary Data'!$C$6:$C$57,0),MATCH($B653,'Summary Data'!$AS$3:$FZ$3,0))</f>
        <v>0</v>
      </c>
      <c r="H653" s="1592" t="s">
        <v>5</v>
      </c>
      <c r="I653" s="1591">
        <f ca="1">INDEX('Summary Data'!$AS$6:$FZ$57,MATCH($E653,'Summary Data'!$C$6:$C$57,0),MATCH($B653,'Summary Data'!$AS$3:$FZ$3,0)+1)</f>
        <v>0</v>
      </c>
      <c r="J653" s="4002" t="str">
        <f t="shared" ca="1" si="272"/>
        <v>N</v>
      </c>
      <c r="K653" s="3114" t="s">
        <v>3174</v>
      </c>
      <c r="M653" s="391"/>
      <c r="N653" s="391"/>
      <c r="O653" s="313"/>
      <c r="P653" s="313"/>
      <c r="Q653" s="313"/>
      <c r="R653" s="313"/>
      <c r="S653" s="313"/>
    </row>
    <row r="654" spans="1:19" ht="16.899999999999999" hidden="1" customHeight="1" outlineLevel="1">
      <c r="A654" s="1269"/>
      <c r="B654" s="1752" t="s">
        <v>3501</v>
      </c>
      <c r="C654" s="1718" t="s">
        <v>192</v>
      </c>
      <c r="D654" s="1759">
        <f t="shared" si="275"/>
        <v>24</v>
      </c>
      <c r="E654" s="3691" t="str">
        <f t="shared" ca="1" si="274"/>
        <v>N</v>
      </c>
      <c r="F654" s="1591" t="str">
        <f t="shared" ca="1" si="271"/>
        <v>N</v>
      </c>
      <c r="G654" s="1591">
        <f ca="1">INDEX('Summary Data'!$AS$6:$FZ$57,MATCH($E654,'Summary Data'!$C$6:$C$57,0),MATCH($B654,'Summary Data'!$AS$3:$FZ$3,0))</f>
        <v>0</v>
      </c>
      <c r="H654" s="1592" t="s">
        <v>5</v>
      </c>
      <c r="I654" s="1591">
        <f ca="1">INDEX('Summary Data'!$AS$6:$FZ$57,MATCH($E654,'Summary Data'!$C$6:$C$57,0),MATCH($B654,'Summary Data'!$AS$3:$FZ$3,0)+1)</f>
        <v>0</v>
      </c>
      <c r="J654" s="4002" t="str">
        <f t="shared" ca="1" si="272"/>
        <v>N</v>
      </c>
      <c r="K654" s="3114" t="s">
        <v>3174</v>
      </c>
      <c r="M654" s="391"/>
      <c r="N654" s="391"/>
      <c r="O654" s="313"/>
      <c r="P654" s="313"/>
      <c r="Q654" s="313"/>
      <c r="R654" s="313"/>
      <c r="S654" s="313"/>
    </row>
    <row r="655" spans="1:19" ht="16.899999999999999" hidden="1" customHeight="1" outlineLevel="1">
      <c r="A655" s="1269"/>
      <c r="B655" s="1752" t="s">
        <v>3501</v>
      </c>
      <c r="C655" s="1718" t="s">
        <v>192</v>
      </c>
      <c r="D655" s="1759">
        <f t="shared" si="275"/>
        <v>27</v>
      </c>
      <c r="E655" s="3691" t="str">
        <f t="shared" ca="1" si="274"/>
        <v>N</v>
      </c>
      <c r="F655" s="1591" t="str">
        <f t="shared" ca="1" si="271"/>
        <v>N</v>
      </c>
      <c r="G655" s="1591">
        <f ca="1">INDEX('Summary Data'!$AS$6:$FZ$57,MATCH($E655,'Summary Data'!$C$6:$C$57,0),MATCH($B655,'Summary Data'!$AS$3:$FZ$3,0))</f>
        <v>0</v>
      </c>
      <c r="H655" s="1592" t="s">
        <v>5</v>
      </c>
      <c r="I655" s="1591">
        <f ca="1">INDEX('Summary Data'!$AS$6:$FZ$57,MATCH($E655,'Summary Data'!$C$6:$C$57,0),MATCH($B655,'Summary Data'!$AS$3:$FZ$3,0)+1)</f>
        <v>0</v>
      </c>
      <c r="J655" s="4002" t="str">
        <f t="shared" ca="1" si="272"/>
        <v>N</v>
      </c>
      <c r="K655" s="3114" t="s">
        <v>3174</v>
      </c>
      <c r="M655" s="391"/>
      <c r="N655" s="391"/>
      <c r="O655" s="313"/>
      <c r="P655" s="313"/>
      <c r="Q655" s="313"/>
      <c r="R655" s="313"/>
      <c r="S655" s="313"/>
    </row>
    <row r="656" spans="1:19" ht="16.899999999999999" hidden="1" customHeight="1" outlineLevel="1">
      <c r="A656" s="1269"/>
      <c r="B656" s="1752" t="s">
        <v>3501</v>
      </c>
      <c r="C656" s="1718" t="s">
        <v>192</v>
      </c>
      <c r="D656" s="1759">
        <f t="shared" si="275"/>
        <v>30</v>
      </c>
      <c r="E656" s="3691" t="str">
        <f t="shared" ca="1" si="274"/>
        <v>N</v>
      </c>
      <c r="F656" s="1591" t="str">
        <f t="shared" ca="1" si="271"/>
        <v>N</v>
      </c>
      <c r="G656" s="1591">
        <f ca="1">INDEX('Summary Data'!$AS$6:$FZ$57,MATCH($E656,'Summary Data'!$C$6:$C$57,0),MATCH($B656,'Summary Data'!$AS$3:$FZ$3,0))</f>
        <v>0</v>
      </c>
      <c r="H656" s="1592" t="s">
        <v>5</v>
      </c>
      <c r="I656" s="1591">
        <f ca="1">INDEX('Summary Data'!$AS$6:$FZ$57,MATCH($E656,'Summary Data'!$C$6:$C$57,0),MATCH($B656,'Summary Data'!$AS$3:$FZ$3,0)+1)</f>
        <v>0</v>
      </c>
      <c r="J656" s="4002" t="str">
        <f t="shared" ca="1" si="272"/>
        <v>N</v>
      </c>
      <c r="K656" s="3114" t="s">
        <v>3174</v>
      </c>
      <c r="M656" s="391"/>
      <c r="N656" s="391"/>
      <c r="O656" s="313"/>
      <c r="P656" s="313"/>
      <c r="Q656" s="313"/>
      <c r="R656" s="313"/>
      <c r="S656" s="313"/>
    </row>
    <row r="657" spans="1:19" ht="16.899999999999999" hidden="1" customHeight="1" outlineLevel="1">
      <c r="A657" s="1269"/>
      <c r="B657" s="1752" t="s">
        <v>3501</v>
      </c>
      <c r="C657" s="1718" t="s">
        <v>192</v>
      </c>
      <c r="D657" s="1759">
        <f t="shared" si="275"/>
        <v>33</v>
      </c>
      <c r="E657" s="3691" t="str">
        <f t="shared" ca="1" si="274"/>
        <v>N</v>
      </c>
      <c r="F657" s="1591" t="str">
        <f t="shared" ca="1" si="271"/>
        <v>N</v>
      </c>
      <c r="G657" s="1591">
        <f ca="1">INDEX('Summary Data'!$AS$6:$FZ$57,MATCH($E657,'Summary Data'!$C$6:$C$57,0),MATCH($B657,'Summary Data'!$AS$3:$FZ$3,0))</f>
        <v>0</v>
      </c>
      <c r="H657" s="1592" t="s">
        <v>5</v>
      </c>
      <c r="I657" s="1591">
        <f ca="1">INDEX('Summary Data'!$AS$6:$FZ$57,MATCH($E657,'Summary Data'!$C$6:$C$57,0),MATCH($B657,'Summary Data'!$AS$3:$FZ$3,0)+1)</f>
        <v>0</v>
      </c>
      <c r="J657" s="4002" t="str">
        <f t="shared" ca="1" si="272"/>
        <v>N</v>
      </c>
      <c r="K657" s="3114" t="s">
        <v>3174</v>
      </c>
      <c r="M657" s="391"/>
      <c r="N657" s="391"/>
      <c r="O657" s="313"/>
      <c r="P657" s="313"/>
      <c r="Q657" s="313"/>
      <c r="R657" s="313"/>
      <c r="S657" s="313"/>
    </row>
    <row r="658" spans="1:19" ht="16.899999999999999" hidden="1" customHeight="1" outlineLevel="1">
      <c r="A658" s="1269"/>
      <c r="B658" s="1752" t="s">
        <v>3501</v>
      </c>
      <c r="C658" s="1718" t="s">
        <v>192</v>
      </c>
      <c r="D658" s="1759">
        <f t="shared" si="275"/>
        <v>36</v>
      </c>
      <c r="E658" s="3691" t="str">
        <f t="shared" ca="1" si="274"/>
        <v>N</v>
      </c>
      <c r="F658" s="1591" t="str">
        <f t="shared" ca="1" si="271"/>
        <v>N</v>
      </c>
      <c r="G658" s="1591">
        <f ca="1">INDEX('Summary Data'!$AS$6:$FZ$57,MATCH($E658,'Summary Data'!$C$6:$C$57,0),MATCH($B658,'Summary Data'!$AS$3:$FZ$3,0))</f>
        <v>0</v>
      </c>
      <c r="H658" s="1592" t="s">
        <v>5</v>
      </c>
      <c r="I658" s="1591">
        <f ca="1">INDEX('Summary Data'!$AS$6:$FZ$57,MATCH($E658,'Summary Data'!$C$6:$C$57,0),MATCH($B658,'Summary Data'!$AS$3:$FZ$3,0)+1)</f>
        <v>0</v>
      </c>
      <c r="J658" s="4002" t="str">
        <f t="shared" ca="1" si="272"/>
        <v>N</v>
      </c>
      <c r="K658" s="3114" t="s">
        <v>3174</v>
      </c>
      <c r="M658" s="391"/>
      <c r="N658" s="391"/>
      <c r="O658" s="313"/>
      <c r="P658" s="313"/>
      <c r="Q658" s="313"/>
      <c r="R658" s="313"/>
      <c r="S658" s="313"/>
    </row>
    <row r="659" spans="1:19" ht="16.899999999999999" hidden="1" customHeight="1" outlineLevel="1">
      <c r="A659" s="1269"/>
      <c r="B659" s="1752" t="s">
        <v>3501</v>
      </c>
      <c r="C659" s="1718" t="s">
        <v>192</v>
      </c>
      <c r="D659" s="1759">
        <f t="shared" si="275"/>
        <v>39</v>
      </c>
      <c r="E659" s="3691" t="str">
        <f t="shared" ca="1" si="274"/>
        <v>N</v>
      </c>
      <c r="F659" s="1591" t="str">
        <f t="shared" ca="1" si="271"/>
        <v>N</v>
      </c>
      <c r="G659" s="1591">
        <f ca="1">INDEX('Summary Data'!$AS$6:$FZ$57,MATCH($E659,'Summary Data'!$C$6:$C$57,0),MATCH($B659,'Summary Data'!$AS$3:$FZ$3,0))</f>
        <v>0</v>
      </c>
      <c r="H659" s="1592" t="s">
        <v>5</v>
      </c>
      <c r="I659" s="1591">
        <f ca="1">INDEX('Summary Data'!$AS$6:$FZ$57,MATCH($E659,'Summary Data'!$C$6:$C$57,0),MATCH($B659,'Summary Data'!$AS$3:$FZ$3,0)+1)</f>
        <v>0</v>
      </c>
      <c r="J659" s="4002" t="str">
        <f t="shared" ca="1" si="272"/>
        <v>N</v>
      </c>
      <c r="K659" s="3114" t="s">
        <v>3174</v>
      </c>
      <c r="M659" s="391"/>
      <c r="N659" s="391"/>
      <c r="O659" s="313"/>
      <c r="P659" s="313"/>
      <c r="Q659" s="313"/>
      <c r="R659" s="313"/>
      <c r="S659" s="313"/>
    </row>
    <row r="660" spans="1:19" ht="16.899999999999999" hidden="1" customHeight="1" outlineLevel="1">
      <c r="A660" s="1269"/>
      <c r="B660" s="1752" t="s">
        <v>3501</v>
      </c>
      <c r="C660" s="1718" t="s">
        <v>192</v>
      </c>
      <c r="D660" s="1759">
        <f t="shared" si="275"/>
        <v>42</v>
      </c>
      <c r="E660" s="3691" t="str">
        <f t="shared" ca="1" si="274"/>
        <v>N</v>
      </c>
      <c r="F660" s="1591" t="str">
        <f t="shared" ca="1" si="271"/>
        <v>N</v>
      </c>
      <c r="G660" s="1591">
        <f ca="1">INDEX('Summary Data'!$AS$6:$FZ$57,MATCH($E660,'Summary Data'!$C$6:$C$57,0),MATCH($B660,'Summary Data'!$AS$3:$FZ$3,0))</f>
        <v>0</v>
      </c>
      <c r="H660" s="1592" t="s">
        <v>5</v>
      </c>
      <c r="I660" s="1591">
        <f ca="1">INDEX('Summary Data'!$AS$6:$FZ$57,MATCH($E660,'Summary Data'!$C$6:$C$57,0),MATCH($B660,'Summary Data'!$AS$3:$FZ$3,0)+1)</f>
        <v>0</v>
      </c>
      <c r="J660" s="4002" t="str">
        <f t="shared" ca="1" si="272"/>
        <v>N</v>
      </c>
      <c r="K660" s="3114" t="s">
        <v>3174</v>
      </c>
      <c r="M660" s="391"/>
      <c r="N660" s="391"/>
      <c r="O660" s="313"/>
      <c r="P660" s="313"/>
      <c r="Q660" s="313"/>
      <c r="R660" s="313"/>
      <c r="S660" s="313"/>
    </row>
    <row r="661" spans="1:19" ht="16.899999999999999" hidden="1" customHeight="1" outlineLevel="1">
      <c r="A661" s="1269"/>
      <c r="B661" s="1752" t="s">
        <v>3501</v>
      </c>
      <c r="C661" s="1718" t="s">
        <v>252</v>
      </c>
      <c r="D661" s="1759">
        <v>0</v>
      </c>
      <c r="E661" s="3693" t="str">
        <f ca="1">OFFSET($A$358,D661,0)</f>
        <v>E-flute 115/105</v>
      </c>
      <c r="F661" s="1591" t="str">
        <f t="shared" ca="1" si="271"/>
        <v>N</v>
      </c>
      <c r="G661" s="1591">
        <f ca="1">INDEX('Summary Data'!$AS$6:$FZ$57,MATCH($E661,'Summary Data'!$C$6:$C$57,0),MATCH($B661,'Summary Data'!$AS$3:$FZ$3,0))</f>
        <v>0</v>
      </c>
      <c r="H661" s="1592" t="s">
        <v>5</v>
      </c>
      <c r="I661" s="1591">
        <f ca="1">INDEX('Summary Data'!$AS$6:$FZ$57,MATCH($E661,'Summary Data'!$C$6:$C$57,0),MATCH($B661,'Summary Data'!$AS$3:$FZ$3,0)+1)</f>
        <v>0</v>
      </c>
      <c r="J661" s="4002" t="str">
        <f t="shared" ca="1" si="272"/>
        <v>N</v>
      </c>
      <c r="K661" s="3114" t="s">
        <v>3174</v>
      </c>
      <c r="M661" s="391"/>
      <c r="N661" s="391"/>
      <c r="O661" s="313"/>
      <c r="P661" s="313"/>
      <c r="Q661" s="313"/>
      <c r="R661" s="313"/>
      <c r="S661" s="313"/>
    </row>
    <row r="662" spans="1:19" ht="16.899999999999999" hidden="1" customHeight="1" outlineLevel="1">
      <c r="A662" s="1269"/>
      <c r="B662" s="1752" t="s">
        <v>3501</v>
      </c>
      <c r="C662" s="1718" t="s">
        <v>252</v>
      </c>
      <c r="D662" s="1759">
        <f>D661+3</f>
        <v>3</v>
      </c>
      <c r="E662" s="3693" t="str">
        <f ca="1">OFFSET($A$358,D662,0)</f>
        <v>N</v>
      </c>
      <c r="F662" s="1591" t="str">
        <f t="shared" ca="1" si="271"/>
        <v>N</v>
      </c>
      <c r="G662" s="1591">
        <f ca="1">INDEX('Summary Data'!$AS$6:$FZ$57,MATCH($E662,'Summary Data'!$C$6:$C$57,0),MATCH($B662,'Summary Data'!$AS$3:$FZ$3,0))</f>
        <v>0</v>
      </c>
      <c r="H662" s="1592" t="s">
        <v>5</v>
      </c>
      <c r="I662" s="1591">
        <f ca="1">INDEX('Summary Data'!$AS$6:$FZ$57,MATCH($E662,'Summary Data'!$C$6:$C$57,0),MATCH($B662,'Summary Data'!$AS$3:$FZ$3,0)+1)</f>
        <v>0</v>
      </c>
      <c r="J662" s="4002" t="str">
        <f t="shared" ca="1" si="272"/>
        <v>N</v>
      </c>
      <c r="K662" s="3114" t="s">
        <v>3174</v>
      </c>
      <c r="M662" s="391"/>
      <c r="N662" s="391"/>
      <c r="O662" s="313"/>
      <c r="P662" s="313"/>
      <c r="Q662" s="313"/>
      <c r="R662" s="313"/>
      <c r="S662" s="313"/>
    </row>
    <row r="663" spans="1:19" ht="16.899999999999999" hidden="1" customHeight="1" outlineLevel="1">
      <c r="A663" s="1269"/>
      <c r="B663" s="1752" t="s">
        <v>3501</v>
      </c>
      <c r="C663" s="1718" t="s">
        <v>252</v>
      </c>
      <c r="D663" s="1759">
        <f t="shared" ref="D663:D665" si="276">D662+3</f>
        <v>6</v>
      </c>
      <c r="E663" s="3693" t="str">
        <f ca="1">OFFSET($A$358,D663,0)</f>
        <v>N</v>
      </c>
      <c r="F663" s="1591" t="str">
        <f t="shared" ca="1" si="271"/>
        <v>N</v>
      </c>
      <c r="G663" s="1591">
        <f ca="1">INDEX('Summary Data'!$AS$6:$FZ$57,MATCH($E663,'Summary Data'!$C$6:$C$57,0),MATCH($B663,'Summary Data'!$AS$3:$FZ$3,0))</f>
        <v>0</v>
      </c>
      <c r="H663" s="1592" t="s">
        <v>5</v>
      </c>
      <c r="I663" s="1591">
        <f ca="1">INDEX('Summary Data'!$AS$6:$FZ$57,MATCH($E663,'Summary Data'!$C$6:$C$57,0),MATCH($B663,'Summary Data'!$AS$3:$FZ$3,0)+1)</f>
        <v>0</v>
      </c>
      <c r="J663" s="4002" t="str">
        <f t="shared" ca="1" si="272"/>
        <v>N</v>
      </c>
      <c r="K663" s="3114" t="s">
        <v>3174</v>
      </c>
      <c r="M663" s="391"/>
      <c r="N663" s="391"/>
      <c r="O663" s="313"/>
      <c r="P663" s="313"/>
      <c r="Q663" s="313"/>
      <c r="R663" s="313"/>
      <c r="S663" s="313"/>
    </row>
    <row r="664" spans="1:19" ht="16.899999999999999" hidden="1" customHeight="1" outlineLevel="1">
      <c r="A664" s="1269"/>
      <c r="B664" s="1752" t="s">
        <v>3501</v>
      </c>
      <c r="C664" s="1718" t="s">
        <v>252</v>
      </c>
      <c r="D664" s="1759">
        <f t="shared" si="276"/>
        <v>9</v>
      </c>
      <c r="E664" s="3693" t="str">
        <f ca="1">OFFSET($A$358,D664,0)</f>
        <v>N</v>
      </c>
      <c r="F664" s="1591" t="str">
        <f t="shared" ca="1" si="271"/>
        <v>N</v>
      </c>
      <c r="G664" s="1591">
        <f ca="1">INDEX('Summary Data'!$AS$6:$FZ$57,MATCH($E664,'Summary Data'!$C$6:$C$57,0),MATCH($B664,'Summary Data'!$AS$3:$FZ$3,0))</f>
        <v>0</v>
      </c>
      <c r="H664" s="1592" t="s">
        <v>5</v>
      </c>
      <c r="I664" s="1591">
        <f ca="1">INDEX('Summary Data'!$AS$6:$FZ$57,MATCH($E664,'Summary Data'!$C$6:$C$57,0),MATCH($B664,'Summary Data'!$AS$3:$FZ$3,0)+1)</f>
        <v>0</v>
      </c>
      <c r="J664" s="4002" t="str">
        <f t="shared" ca="1" si="272"/>
        <v>N</v>
      </c>
      <c r="K664" s="3114" t="s">
        <v>3174</v>
      </c>
      <c r="M664" s="391"/>
      <c r="N664" s="391"/>
      <c r="O664" s="313"/>
      <c r="P664" s="313"/>
      <c r="Q664" s="313"/>
      <c r="R664" s="313"/>
      <c r="S664" s="313"/>
    </row>
    <row r="665" spans="1:19" ht="16.899999999999999" hidden="1" customHeight="1" outlineLevel="1">
      <c r="A665" s="1269"/>
      <c r="B665" s="1752" t="s">
        <v>3501</v>
      </c>
      <c r="C665" s="1718" t="s">
        <v>252</v>
      </c>
      <c r="D665" s="1759">
        <f t="shared" si="276"/>
        <v>12</v>
      </c>
      <c r="E665" s="3693" t="str">
        <f ca="1">OFFSET($A$358,D665,0)</f>
        <v>N</v>
      </c>
      <c r="F665" s="1591" t="str">
        <f t="shared" ca="1" si="271"/>
        <v>N</v>
      </c>
      <c r="G665" s="1591">
        <f ca="1">INDEX('Summary Data'!$AS$6:$FZ$57,MATCH($E665,'Summary Data'!$C$6:$C$57,0),MATCH($B665,'Summary Data'!$AS$3:$FZ$3,0))</f>
        <v>0</v>
      </c>
      <c r="H665" s="1592" t="s">
        <v>5</v>
      </c>
      <c r="I665" s="1591">
        <f ca="1">INDEX('Summary Data'!$AS$6:$FZ$57,MATCH($E665,'Summary Data'!$C$6:$C$57,0),MATCH($B665,'Summary Data'!$AS$3:$FZ$3,0)+1)</f>
        <v>0</v>
      </c>
      <c r="J665" s="4002" t="str">
        <f t="shared" ca="1" si="272"/>
        <v>N</v>
      </c>
      <c r="K665" s="3114" t="s">
        <v>3174</v>
      </c>
      <c r="M665" s="391"/>
      <c r="N665" s="391"/>
      <c r="O665" s="313"/>
      <c r="P665" s="313"/>
      <c r="Q665" s="313"/>
      <c r="R665" s="313"/>
      <c r="S665" s="313"/>
    </row>
    <row r="666" spans="1:19" ht="16.899999999999999" hidden="1" customHeight="1" outlineLevel="1">
      <c r="A666" s="1269"/>
      <c r="B666" s="1752" t="s">
        <v>3501</v>
      </c>
      <c r="C666" s="1718" t="s">
        <v>559</v>
      </c>
      <c r="D666" s="1759">
        <f>0</f>
        <v>0</v>
      </c>
      <c r="E666" s="1761" t="str">
        <f t="shared" ref="E666:E680" ca="1" si="277">OFFSET($A$25,D666,0)</f>
        <v>Box</v>
      </c>
      <c r="F666" s="1591" t="str">
        <f t="shared" ca="1" si="271"/>
        <v>N</v>
      </c>
      <c r="G666" s="1591">
        <f ca="1">INDEX('Summary Data'!$AS$6:$FZ$57,MATCH($E666,'Summary Data'!$C$6:$C$57,0),MATCH($B666,'Summary Data'!$AS$3:$FZ$3,0)+2)</f>
        <v>0</v>
      </c>
      <c r="H666" s="1592" t="s">
        <v>5</v>
      </c>
      <c r="I666" s="1591">
        <f ca="1">INDEX('Summary Data'!$AS$6:$FZ$57,MATCH($E666,'Summary Data'!$C$6:$C$57,0),MATCH($B666,'Summary Data'!$AS$3:$FZ$3,0)+1+2)</f>
        <v>0</v>
      </c>
      <c r="J666" s="4002" t="str">
        <f t="shared" ca="1" si="272"/>
        <v>N</v>
      </c>
      <c r="K666" s="3114" t="s">
        <v>3174</v>
      </c>
      <c r="M666" s="391"/>
      <c r="N666" s="391"/>
      <c r="O666" s="313"/>
      <c r="P666" s="313"/>
      <c r="Q666" s="313"/>
      <c r="R666" s="313"/>
      <c r="S666" s="313"/>
    </row>
    <row r="667" spans="1:19" ht="16.899999999999999" hidden="1" customHeight="1" outlineLevel="1">
      <c r="A667" s="1269"/>
      <c r="B667" s="1752" t="s">
        <v>3501</v>
      </c>
      <c r="C667" s="1718" t="s">
        <v>559</v>
      </c>
      <c r="D667" s="1759">
        <f>D666+17</f>
        <v>17</v>
      </c>
      <c r="E667" s="1761" t="str">
        <f t="shared" ca="1" si="277"/>
        <v>N</v>
      </c>
      <c r="F667" s="1591" t="str">
        <f t="shared" ca="1" si="271"/>
        <v>N</v>
      </c>
      <c r="G667" s="1591">
        <f ca="1">INDEX('Summary Data'!$AS$6:$FZ$57,MATCH($E667,'Summary Data'!$C$6:$C$57,0),MATCH($B667,'Summary Data'!$AS$3:$FZ$3,0)+2)</f>
        <v>0</v>
      </c>
      <c r="H667" s="1592" t="s">
        <v>5</v>
      </c>
      <c r="I667" s="1591">
        <f ca="1">INDEX('Summary Data'!$AS$6:$FZ$57,MATCH($E667,'Summary Data'!$C$6:$C$57,0),MATCH($B667,'Summary Data'!$AS$3:$FZ$3,0)+1+2)</f>
        <v>0</v>
      </c>
      <c r="J667" s="4002" t="str">
        <f t="shared" ca="1" si="272"/>
        <v>N</v>
      </c>
      <c r="K667" s="3114" t="s">
        <v>3174</v>
      </c>
      <c r="M667" s="391"/>
      <c r="N667" s="391"/>
      <c r="O667" s="313"/>
      <c r="P667" s="313"/>
      <c r="Q667" s="313"/>
      <c r="R667" s="313"/>
      <c r="S667" s="313"/>
    </row>
    <row r="668" spans="1:19" ht="16.899999999999999" hidden="1" customHeight="1" outlineLevel="1">
      <c r="A668" s="1269"/>
      <c r="B668" s="1752" t="s">
        <v>3501</v>
      </c>
      <c r="C668" s="1718" t="s">
        <v>559</v>
      </c>
      <c r="D668" s="1759">
        <f t="shared" ref="D668:D680" si="278">D667+17</f>
        <v>34</v>
      </c>
      <c r="E668" s="1761" t="str">
        <f t="shared" ca="1" si="277"/>
        <v>N</v>
      </c>
      <c r="F668" s="1591" t="str">
        <f t="shared" ca="1" si="271"/>
        <v>N</v>
      </c>
      <c r="G668" s="1591">
        <f ca="1">INDEX('Summary Data'!$AS$6:$FZ$57,MATCH($E668,'Summary Data'!$C$6:$C$57,0),MATCH($B668,'Summary Data'!$AS$3:$FZ$3,0)+2)</f>
        <v>0</v>
      </c>
      <c r="H668" s="1592" t="s">
        <v>5</v>
      </c>
      <c r="I668" s="1591">
        <f ca="1">INDEX('Summary Data'!$AS$6:$FZ$57,MATCH($E668,'Summary Data'!$C$6:$C$57,0),MATCH($B668,'Summary Data'!$AS$3:$FZ$3,0)+1+2)</f>
        <v>0</v>
      </c>
      <c r="J668" s="4002" t="str">
        <f t="shared" ca="1" si="272"/>
        <v>N</v>
      </c>
      <c r="K668" s="3114" t="s">
        <v>3174</v>
      </c>
      <c r="M668" s="391"/>
      <c r="N668" s="391"/>
      <c r="O668" s="313"/>
      <c r="P668" s="313"/>
      <c r="Q668" s="313"/>
      <c r="R668" s="313"/>
      <c r="S668" s="313"/>
    </row>
    <row r="669" spans="1:19" ht="16.899999999999999" hidden="1" customHeight="1" outlineLevel="1">
      <c r="A669" s="1269"/>
      <c r="B669" s="1752" t="s">
        <v>3501</v>
      </c>
      <c r="C669" s="1718" t="s">
        <v>559</v>
      </c>
      <c r="D669" s="1759">
        <f t="shared" si="278"/>
        <v>51</v>
      </c>
      <c r="E669" s="1761" t="str">
        <f t="shared" ca="1" si="277"/>
        <v>N</v>
      </c>
      <c r="F669" s="1591" t="str">
        <f t="shared" ca="1" si="271"/>
        <v>N</v>
      </c>
      <c r="G669" s="1591">
        <f ca="1">INDEX('Summary Data'!$AS$6:$FZ$57,MATCH($E669,'Summary Data'!$C$6:$C$57,0),MATCH($B669,'Summary Data'!$AS$3:$FZ$3,0)+2)</f>
        <v>0</v>
      </c>
      <c r="H669" s="1592" t="s">
        <v>5</v>
      </c>
      <c r="I669" s="1591">
        <f ca="1">INDEX('Summary Data'!$AS$6:$FZ$57,MATCH($E669,'Summary Data'!$C$6:$C$57,0),MATCH($B669,'Summary Data'!$AS$3:$FZ$3,0)+1+2)</f>
        <v>0</v>
      </c>
      <c r="J669" s="4002" t="str">
        <f t="shared" ca="1" si="272"/>
        <v>N</v>
      </c>
      <c r="K669" s="3114" t="s">
        <v>3174</v>
      </c>
      <c r="M669" s="391"/>
      <c r="N669" s="391"/>
      <c r="O669" s="313"/>
      <c r="P669" s="313"/>
      <c r="Q669" s="313"/>
      <c r="R669" s="313"/>
      <c r="S669" s="313"/>
    </row>
    <row r="670" spans="1:19" ht="16.899999999999999" hidden="1" customHeight="1" outlineLevel="1">
      <c r="A670" s="1269"/>
      <c r="B670" s="1752" t="s">
        <v>3501</v>
      </c>
      <c r="C670" s="1718" t="s">
        <v>559</v>
      </c>
      <c r="D670" s="1759">
        <f t="shared" si="278"/>
        <v>68</v>
      </c>
      <c r="E670" s="1761" t="str">
        <f t="shared" ca="1" si="277"/>
        <v>N</v>
      </c>
      <c r="F670" s="1591" t="str">
        <f t="shared" ca="1" si="271"/>
        <v>N</v>
      </c>
      <c r="G670" s="1591">
        <f ca="1">INDEX('Summary Data'!$AS$6:$FZ$57,MATCH($E670,'Summary Data'!$C$6:$C$57,0),MATCH($B670,'Summary Data'!$AS$3:$FZ$3,0)+2)</f>
        <v>0</v>
      </c>
      <c r="H670" s="1592" t="s">
        <v>5</v>
      </c>
      <c r="I670" s="1591">
        <f ca="1">INDEX('Summary Data'!$AS$6:$FZ$57,MATCH($E670,'Summary Data'!$C$6:$C$57,0),MATCH($B670,'Summary Data'!$AS$3:$FZ$3,0)+1+2)</f>
        <v>0</v>
      </c>
      <c r="J670" s="4002" t="str">
        <f t="shared" ca="1" si="272"/>
        <v>N</v>
      </c>
      <c r="K670" s="3114" t="s">
        <v>3174</v>
      </c>
      <c r="M670" s="391"/>
      <c r="N670" s="391"/>
      <c r="O670" s="313"/>
      <c r="P670" s="313"/>
      <c r="Q670" s="313"/>
      <c r="R670" s="313"/>
      <c r="S670" s="313"/>
    </row>
    <row r="671" spans="1:19" ht="16.899999999999999" hidden="1" customHeight="1" outlineLevel="1">
      <c r="A671" s="1269"/>
      <c r="B671" s="1752" t="s">
        <v>3501</v>
      </c>
      <c r="C671" s="1718" t="s">
        <v>559</v>
      </c>
      <c r="D671" s="1759">
        <f t="shared" si="278"/>
        <v>85</v>
      </c>
      <c r="E671" s="1761" t="str">
        <f t="shared" ca="1" si="277"/>
        <v>N</v>
      </c>
      <c r="F671" s="1591" t="str">
        <f t="shared" ca="1" si="271"/>
        <v>N</v>
      </c>
      <c r="G671" s="1591">
        <f ca="1">INDEX('Summary Data'!$AS$6:$FZ$57,MATCH($E671,'Summary Data'!$C$6:$C$57,0),MATCH($B671,'Summary Data'!$AS$3:$FZ$3,0)+2)</f>
        <v>0</v>
      </c>
      <c r="H671" s="1592" t="s">
        <v>5</v>
      </c>
      <c r="I671" s="1591">
        <f ca="1">INDEX('Summary Data'!$AS$6:$FZ$57,MATCH($E671,'Summary Data'!$C$6:$C$57,0),MATCH($B671,'Summary Data'!$AS$3:$FZ$3,0)+1+2)</f>
        <v>0</v>
      </c>
      <c r="J671" s="4002" t="str">
        <f t="shared" ca="1" si="272"/>
        <v>N</v>
      </c>
      <c r="K671" s="3114" t="s">
        <v>3174</v>
      </c>
      <c r="M671" s="391"/>
      <c r="N671" s="391"/>
      <c r="O671" s="313"/>
      <c r="P671" s="313"/>
      <c r="Q671" s="313"/>
      <c r="R671" s="313"/>
      <c r="S671" s="313"/>
    </row>
    <row r="672" spans="1:19" ht="16.899999999999999" hidden="1" customHeight="1" outlineLevel="1">
      <c r="A672" s="1269"/>
      <c r="B672" s="1752" t="s">
        <v>3501</v>
      </c>
      <c r="C672" s="1718" t="s">
        <v>559</v>
      </c>
      <c r="D672" s="1759">
        <f t="shared" si="278"/>
        <v>102</v>
      </c>
      <c r="E672" s="1761" t="str">
        <f t="shared" ca="1" si="277"/>
        <v>N</v>
      </c>
      <c r="F672" s="1591" t="str">
        <f t="shared" ca="1" si="271"/>
        <v>N</v>
      </c>
      <c r="G672" s="1591">
        <f ca="1">INDEX('Summary Data'!$AS$6:$FZ$57,MATCH($E672,'Summary Data'!$C$6:$C$57,0),MATCH($B672,'Summary Data'!$AS$3:$FZ$3,0)+2)</f>
        <v>0</v>
      </c>
      <c r="H672" s="1592" t="s">
        <v>5</v>
      </c>
      <c r="I672" s="1591">
        <f ca="1">INDEX('Summary Data'!$AS$6:$FZ$57,MATCH($E672,'Summary Data'!$C$6:$C$57,0),MATCH($B672,'Summary Data'!$AS$3:$FZ$3,0)+1+2)</f>
        <v>0</v>
      </c>
      <c r="J672" s="4002" t="str">
        <f t="shared" ca="1" si="272"/>
        <v>N</v>
      </c>
      <c r="K672" s="3114" t="s">
        <v>3174</v>
      </c>
      <c r="M672" s="391"/>
      <c r="N672" s="391"/>
      <c r="O672" s="313"/>
      <c r="P672" s="313"/>
      <c r="Q672" s="313"/>
      <c r="R672" s="313"/>
      <c r="S672" s="313"/>
    </row>
    <row r="673" spans="1:19" ht="16.899999999999999" hidden="1" customHeight="1" outlineLevel="1">
      <c r="A673" s="1269"/>
      <c r="B673" s="1752" t="s">
        <v>3501</v>
      </c>
      <c r="C673" s="1718" t="s">
        <v>559</v>
      </c>
      <c r="D673" s="1759">
        <f t="shared" si="278"/>
        <v>119</v>
      </c>
      <c r="E673" s="1761" t="str">
        <f t="shared" ca="1" si="277"/>
        <v>N</v>
      </c>
      <c r="F673" s="1591" t="str">
        <f t="shared" ca="1" si="271"/>
        <v>N</v>
      </c>
      <c r="G673" s="1591">
        <f ca="1">INDEX('Summary Data'!$AS$6:$FZ$57,MATCH($E673,'Summary Data'!$C$6:$C$57,0),MATCH($B673,'Summary Data'!$AS$3:$FZ$3,0)+2)</f>
        <v>0</v>
      </c>
      <c r="H673" s="1592" t="s">
        <v>5</v>
      </c>
      <c r="I673" s="1591">
        <f ca="1">INDEX('Summary Data'!$AS$6:$FZ$57,MATCH($E673,'Summary Data'!$C$6:$C$57,0),MATCH($B673,'Summary Data'!$AS$3:$FZ$3,0)+1+2)</f>
        <v>0</v>
      </c>
      <c r="J673" s="4002" t="str">
        <f t="shared" ca="1" si="272"/>
        <v>N</v>
      </c>
      <c r="K673" s="3114" t="s">
        <v>3174</v>
      </c>
      <c r="M673" s="391"/>
      <c r="N673" s="391"/>
      <c r="O673" s="313"/>
      <c r="P673" s="313"/>
      <c r="Q673" s="313"/>
      <c r="R673" s="313"/>
      <c r="S673" s="313"/>
    </row>
    <row r="674" spans="1:19" ht="16.899999999999999" hidden="1" customHeight="1" outlineLevel="1">
      <c r="A674" s="1269"/>
      <c r="B674" s="1752" t="s">
        <v>3501</v>
      </c>
      <c r="C674" s="1718" t="s">
        <v>559</v>
      </c>
      <c r="D674" s="1759">
        <f t="shared" si="278"/>
        <v>136</v>
      </c>
      <c r="E674" s="1761" t="str">
        <f t="shared" ca="1" si="277"/>
        <v>N</v>
      </c>
      <c r="F674" s="1591" t="str">
        <f t="shared" ca="1" si="271"/>
        <v>N</v>
      </c>
      <c r="G674" s="1591">
        <f ca="1">INDEX('Summary Data'!$AS$6:$FZ$57,MATCH($E674,'Summary Data'!$C$6:$C$57,0),MATCH($B674,'Summary Data'!$AS$3:$FZ$3,0)+2)</f>
        <v>0</v>
      </c>
      <c r="H674" s="1592" t="s">
        <v>5</v>
      </c>
      <c r="I674" s="1591">
        <f ca="1">INDEX('Summary Data'!$AS$6:$FZ$57,MATCH($E674,'Summary Data'!$C$6:$C$57,0),MATCH($B674,'Summary Data'!$AS$3:$FZ$3,0)+1+2)</f>
        <v>0</v>
      </c>
      <c r="J674" s="4002" t="str">
        <f t="shared" ca="1" si="272"/>
        <v>N</v>
      </c>
      <c r="K674" s="3114" t="s">
        <v>3174</v>
      </c>
      <c r="M674" s="391"/>
      <c r="N674" s="391"/>
      <c r="O674" s="313"/>
      <c r="P674" s="313"/>
      <c r="Q674" s="313"/>
      <c r="R674" s="313"/>
      <c r="S674" s="313"/>
    </row>
    <row r="675" spans="1:19" ht="16.899999999999999" hidden="1" customHeight="1" outlineLevel="1">
      <c r="A675" s="1269"/>
      <c r="B675" s="1752" t="s">
        <v>3501</v>
      </c>
      <c r="C675" s="1718" t="s">
        <v>559</v>
      </c>
      <c r="D675" s="1759">
        <f t="shared" si="278"/>
        <v>153</v>
      </c>
      <c r="E675" s="1761" t="str">
        <f t="shared" ca="1" si="277"/>
        <v>N</v>
      </c>
      <c r="F675" s="1591" t="str">
        <f t="shared" ca="1" si="271"/>
        <v>N</v>
      </c>
      <c r="G675" s="1591">
        <f ca="1">INDEX('Summary Data'!$AS$6:$FZ$57,MATCH($E675,'Summary Data'!$C$6:$C$57,0),MATCH($B675,'Summary Data'!$AS$3:$FZ$3,0)+2)</f>
        <v>0</v>
      </c>
      <c r="H675" s="1592" t="s">
        <v>5</v>
      </c>
      <c r="I675" s="1591">
        <f ca="1">INDEX('Summary Data'!$AS$6:$FZ$57,MATCH($E675,'Summary Data'!$C$6:$C$57,0),MATCH($B675,'Summary Data'!$AS$3:$FZ$3,0)+1+2)</f>
        <v>0</v>
      </c>
      <c r="J675" s="4002" t="str">
        <f t="shared" ca="1" si="272"/>
        <v>N</v>
      </c>
      <c r="K675" s="3114" t="s">
        <v>3174</v>
      </c>
      <c r="M675" s="391"/>
      <c r="N675" s="391"/>
      <c r="O675" s="313"/>
      <c r="P675" s="313"/>
      <c r="Q675" s="313"/>
      <c r="R675" s="313"/>
      <c r="S675" s="313"/>
    </row>
    <row r="676" spans="1:19" ht="16.899999999999999" hidden="1" customHeight="1" outlineLevel="1">
      <c r="A676" s="1269"/>
      <c r="B676" s="1752" t="s">
        <v>3501</v>
      </c>
      <c r="C676" s="1718" t="s">
        <v>559</v>
      </c>
      <c r="D676" s="1759">
        <f t="shared" si="278"/>
        <v>170</v>
      </c>
      <c r="E676" s="1761" t="str">
        <f t="shared" ca="1" si="277"/>
        <v>N</v>
      </c>
      <c r="F676" s="1591" t="str">
        <f t="shared" ca="1" si="271"/>
        <v>N</v>
      </c>
      <c r="G676" s="1591">
        <f ca="1">INDEX('Summary Data'!$AS$6:$FZ$57,MATCH($E676,'Summary Data'!$C$6:$C$57,0),MATCH($B676,'Summary Data'!$AS$3:$FZ$3,0)+2)</f>
        <v>0</v>
      </c>
      <c r="H676" s="1592" t="s">
        <v>5</v>
      </c>
      <c r="I676" s="1591">
        <f ca="1">INDEX('Summary Data'!$AS$6:$FZ$57,MATCH($E676,'Summary Data'!$C$6:$C$57,0),MATCH($B676,'Summary Data'!$AS$3:$FZ$3,0)+1+2)</f>
        <v>0</v>
      </c>
      <c r="J676" s="4002" t="str">
        <f t="shared" ca="1" si="272"/>
        <v>N</v>
      </c>
      <c r="K676" s="3114" t="s">
        <v>3174</v>
      </c>
      <c r="M676" s="391"/>
      <c r="N676" s="391"/>
      <c r="O676" s="313"/>
      <c r="P676" s="313"/>
      <c r="Q676" s="313"/>
      <c r="R676" s="313"/>
      <c r="S676" s="313"/>
    </row>
    <row r="677" spans="1:19" ht="16.899999999999999" hidden="1" customHeight="1" outlineLevel="1">
      <c r="A677" s="1269"/>
      <c r="B677" s="1752" t="s">
        <v>3501</v>
      </c>
      <c r="C677" s="1718" t="s">
        <v>559</v>
      </c>
      <c r="D677" s="1759">
        <f t="shared" si="278"/>
        <v>187</v>
      </c>
      <c r="E677" s="1761" t="str">
        <f t="shared" ca="1" si="277"/>
        <v>N</v>
      </c>
      <c r="F677" s="1591" t="str">
        <f t="shared" ca="1" si="271"/>
        <v>N</v>
      </c>
      <c r="G677" s="1591">
        <f ca="1">INDEX('Summary Data'!$AS$6:$FZ$57,MATCH($E677,'Summary Data'!$C$6:$C$57,0),MATCH($B677,'Summary Data'!$AS$3:$FZ$3,0)+2)</f>
        <v>0</v>
      </c>
      <c r="H677" s="1592" t="s">
        <v>5</v>
      </c>
      <c r="I677" s="1591">
        <f ca="1">INDEX('Summary Data'!$AS$6:$FZ$57,MATCH($E677,'Summary Data'!$C$6:$C$57,0),MATCH($B677,'Summary Data'!$AS$3:$FZ$3,0)+1+2)</f>
        <v>0</v>
      </c>
      <c r="J677" s="4002" t="str">
        <f t="shared" ca="1" si="272"/>
        <v>N</v>
      </c>
      <c r="K677" s="3114" t="s">
        <v>3174</v>
      </c>
      <c r="M677" s="391"/>
      <c r="N677" s="391"/>
      <c r="O677" s="313"/>
      <c r="P677" s="313"/>
      <c r="Q677" s="313"/>
      <c r="R677" s="313"/>
      <c r="S677" s="313"/>
    </row>
    <row r="678" spans="1:19" ht="16.899999999999999" hidden="1" customHeight="1" outlineLevel="1">
      <c r="A678" s="1269"/>
      <c r="B678" s="1752" t="s">
        <v>3501</v>
      </c>
      <c r="C678" s="1718" t="s">
        <v>559</v>
      </c>
      <c r="D678" s="1759">
        <f t="shared" si="278"/>
        <v>204</v>
      </c>
      <c r="E678" s="1761" t="str">
        <f t="shared" ca="1" si="277"/>
        <v>N</v>
      </c>
      <c r="F678" s="1591" t="str">
        <f t="shared" ca="1" si="271"/>
        <v>N</v>
      </c>
      <c r="G678" s="1591">
        <f ca="1">INDEX('Summary Data'!$AS$6:$FZ$57,MATCH($E678,'Summary Data'!$C$6:$C$57,0),MATCH($B678,'Summary Data'!$AS$3:$FZ$3,0)+2)</f>
        <v>0</v>
      </c>
      <c r="H678" s="1592" t="s">
        <v>5</v>
      </c>
      <c r="I678" s="1591">
        <f ca="1">INDEX('Summary Data'!$AS$6:$FZ$57,MATCH($E678,'Summary Data'!$C$6:$C$57,0),MATCH($B678,'Summary Data'!$AS$3:$FZ$3,0)+1+2)</f>
        <v>0</v>
      </c>
      <c r="J678" s="4002" t="str">
        <f t="shared" ca="1" si="272"/>
        <v>N</v>
      </c>
      <c r="K678" s="3114" t="s">
        <v>3174</v>
      </c>
      <c r="M678" s="391"/>
      <c r="N678" s="391"/>
      <c r="O678" s="313"/>
      <c r="P678" s="313"/>
      <c r="Q678" s="313"/>
      <c r="R678" s="313"/>
      <c r="S678" s="313"/>
    </row>
    <row r="679" spans="1:19" ht="16.899999999999999" hidden="1" customHeight="1" outlineLevel="1">
      <c r="A679" s="1269"/>
      <c r="B679" s="1752" t="s">
        <v>3501</v>
      </c>
      <c r="C679" s="1718" t="s">
        <v>559</v>
      </c>
      <c r="D679" s="1759">
        <f t="shared" si="278"/>
        <v>221</v>
      </c>
      <c r="E679" s="1761" t="str">
        <f t="shared" ca="1" si="277"/>
        <v>1st</v>
      </c>
      <c r="F679" s="1591" t="str">
        <f t="shared" ca="1" si="271"/>
        <v>N</v>
      </c>
      <c r="G679" s="1591">
        <f ca="1">INDEX('Summary Data'!$AS$6:$FZ$57,MATCH($E679,'Summary Data'!$C$6:$C$57,0),MATCH($B679,'Summary Data'!$AS$3:$FZ$3,0)+2)</f>
        <v>0</v>
      </c>
      <c r="H679" s="1592" t="s">
        <v>5</v>
      </c>
      <c r="I679" s="1591">
        <f ca="1">INDEX('Summary Data'!$AS$6:$FZ$57,MATCH($E679,'Summary Data'!$C$6:$C$57,0),MATCH($B679,'Summary Data'!$AS$3:$FZ$3,0)+1+2)</f>
        <v>0</v>
      </c>
      <c r="J679" s="4002" t="str">
        <f t="shared" ca="1" si="272"/>
        <v>N</v>
      </c>
      <c r="K679" s="3114" t="s">
        <v>3174</v>
      </c>
      <c r="M679" s="391"/>
      <c r="N679" s="391"/>
      <c r="O679" s="313"/>
      <c r="P679" s="313"/>
      <c r="Q679" s="313"/>
      <c r="R679" s="313"/>
      <c r="S679" s="313"/>
    </row>
    <row r="680" spans="1:19" ht="16.899999999999999" hidden="1" customHeight="1" outlineLevel="1">
      <c r="A680" s="1269"/>
      <c r="B680" s="1752" t="s">
        <v>3501</v>
      </c>
      <c r="C680" s="1718" t="s">
        <v>559</v>
      </c>
      <c r="D680" s="1759">
        <f t="shared" si="278"/>
        <v>238</v>
      </c>
      <c r="E680" s="1761" t="str">
        <f t="shared" ca="1" si="277"/>
        <v>1st</v>
      </c>
      <c r="F680" s="1591" t="str">
        <f t="shared" ca="1" si="271"/>
        <v>N</v>
      </c>
      <c r="G680" s="1591">
        <f ca="1">INDEX('Summary Data'!$AS$6:$FZ$57,MATCH($E680,'Summary Data'!$C$6:$C$57,0),MATCH($B680,'Summary Data'!$AS$3:$FZ$3,0)+2)</f>
        <v>0</v>
      </c>
      <c r="H680" s="1592" t="s">
        <v>5</v>
      </c>
      <c r="I680" s="1591">
        <f ca="1">INDEX('Summary Data'!$AS$6:$FZ$57,MATCH($E680,'Summary Data'!$C$6:$C$57,0),MATCH($B680,'Summary Data'!$AS$3:$FZ$3,0)+1+2)</f>
        <v>0</v>
      </c>
      <c r="J680" s="4002" t="str">
        <f t="shared" ca="1" si="272"/>
        <v>N</v>
      </c>
      <c r="K680" s="3114" t="s">
        <v>3174</v>
      </c>
      <c r="M680" s="391"/>
      <c r="N680" s="391"/>
      <c r="O680" s="313"/>
      <c r="P680" s="313"/>
      <c r="Q680" s="313"/>
      <c r="R680" s="313"/>
      <c r="S680" s="313"/>
    </row>
    <row r="681" spans="1:19" ht="16.899999999999999" hidden="1" customHeight="1" outlineLevel="1">
      <c r="A681" s="1269"/>
      <c r="B681" s="1752" t="s">
        <v>3501</v>
      </c>
      <c r="C681" s="1718" t="s">
        <v>559</v>
      </c>
      <c r="D681" s="1759">
        <v>0</v>
      </c>
      <c r="E681" s="3475" t="str">
        <f ca="1">OFFSET($A$281,D681,0)</f>
        <v>N</v>
      </c>
      <c r="F681" s="1591" t="str">
        <f t="shared" ca="1" si="271"/>
        <v>N</v>
      </c>
      <c r="G681" s="1591">
        <f ca="1">INDEX('Summary Data'!$AS$6:$FZ$57,MATCH($E681,'Summary Data'!$C$6:$C$57,0),MATCH($B681,'Summary Data'!$AS$3:$FZ$3,0)+2)</f>
        <v>0</v>
      </c>
      <c r="H681" s="1592" t="s">
        <v>5</v>
      </c>
      <c r="I681" s="1591">
        <f ca="1">INDEX('Summary Data'!$AS$6:$FZ$57,MATCH($E681,'Summary Data'!$C$6:$C$57,0),MATCH($B681,'Summary Data'!$AS$3:$FZ$3,0)+1+2)</f>
        <v>0</v>
      </c>
      <c r="J681" s="4002" t="str">
        <f t="shared" ca="1" si="272"/>
        <v>N</v>
      </c>
      <c r="K681" s="3114" t="s">
        <v>3174</v>
      </c>
      <c r="M681" s="391"/>
      <c r="N681" s="391"/>
      <c r="O681" s="313"/>
      <c r="P681" s="313"/>
      <c r="Q681" s="313"/>
      <c r="R681" s="313"/>
      <c r="S681" s="313"/>
    </row>
    <row r="682" spans="1:19" ht="16.899999999999999" hidden="1" customHeight="1" outlineLevel="1">
      <c r="A682" s="1269"/>
      <c r="B682" s="1752" t="s">
        <v>3501</v>
      </c>
      <c r="C682" s="1718" t="s">
        <v>559</v>
      </c>
      <c r="D682" s="1759">
        <f>D681+10</f>
        <v>10</v>
      </c>
      <c r="E682" s="3475" t="str">
        <f ca="1">OFFSET($A$281,D682,0)</f>
        <v>N</v>
      </c>
      <c r="F682" s="1591" t="str">
        <f t="shared" ca="1" si="271"/>
        <v>N</v>
      </c>
      <c r="G682" s="1591">
        <f ca="1">INDEX('Summary Data'!$AS$6:$FZ$57,MATCH($E682,'Summary Data'!$C$6:$C$57,0),MATCH($B682,'Summary Data'!$AS$3:$FZ$3,0)+2)</f>
        <v>0</v>
      </c>
      <c r="H682" s="1592" t="s">
        <v>5</v>
      </c>
      <c r="I682" s="1591">
        <f ca="1">INDEX('Summary Data'!$AS$6:$FZ$57,MATCH($E682,'Summary Data'!$C$6:$C$57,0),MATCH($B682,'Summary Data'!$AS$3:$FZ$3,0)+1+2)</f>
        <v>0</v>
      </c>
      <c r="J682" s="4002" t="str">
        <f t="shared" ca="1" si="272"/>
        <v>N</v>
      </c>
      <c r="K682" s="3114" t="s">
        <v>3174</v>
      </c>
      <c r="M682" s="391"/>
      <c r="N682" s="391"/>
      <c r="O682" s="313"/>
      <c r="P682" s="313"/>
      <c r="Q682" s="313"/>
      <c r="R682" s="313"/>
      <c r="S682" s="313"/>
    </row>
    <row r="683" spans="1:19" ht="16.899999999999999" hidden="1" customHeight="1" outlineLevel="1">
      <c r="A683" s="1269"/>
      <c r="B683" s="1752" t="s">
        <v>3501</v>
      </c>
      <c r="C683" s="1718" t="s">
        <v>559</v>
      </c>
      <c r="D683" s="1759">
        <f>D682+10</f>
        <v>20</v>
      </c>
      <c r="E683" s="3475" t="str">
        <f ca="1">OFFSET($A$281,D683,0)</f>
        <v>N</v>
      </c>
      <c r="F683" s="1591" t="str">
        <f t="shared" ca="1" si="271"/>
        <v>N</v>
      </c>
      <c r="G683" s="1591">
        <f ca="1">INDEX('Summary Data'!$AS$6:$FZ$57,MATCH($E683,'Summary Data'!$C$6:$C$57,0),MATCH($B683,'Summary Data'!$AS$3:$FZ$3,0)+2)</f>
        <v>0</v>
      </c>
      <c r="H683" s="1592" t="s">
        <v>5</v>
      </c>
      <c r="I683" s="1591">
        <f ca="1">INDEX('Summary Data'!$AS$6:$FZ$57,MATCH($E683,'Summary Data'!$C$6:$C$57,0),MATCH($B683,'Summary Data'!$AS$3:$FZ$3,0)+1+2)</f>
        <v>0</v>
      </c>
      <c r="J683" s="4002" t="str">
        <f t="shared" ca="1" si="272"/>
        <v>N</v>
      </c>
      <c r="K683" s="3114" t="s">
        <v>3174</v>
      </c>
      <c r="M683" s="391"/>
      <c r="N683" s="391"/>
      <c r="O683" s="313"/>
      <c r="P683" s="313"/>
      <c r="Q683" s="313"/>
      <c r="R683" s="313"/>
      <c r="S683" s="313"/>
    </row>
    <row r="684" spans="1:19" ht="16.899999999999999" hidden="1" customHeight="1" outlineLevel="1">
      <c r="A684" s="1269"/>
      <c r="B684" s="1752" t="s">
        <v>3501</v>
      </c>
      <c r="C684" s="1718" t="s">
        <v>192</v>
      </c>
      <c r="D684" s="1759">
        <v>0</v>
      </c>
      <c r="E684" s="3691" t="str">
        <f t="shared" ref="E684:E698" ca="1" si="279">OFFSET($A$312,D684,0)</f>
        <v>N</v>
      </c>
      <c r="F684" s="1591" t="str">
        <f t="shared" ca="1" si="271"/>
        <v>N</v>
      </c>
      <c r="G684" s="1591">
        <f ca="1">INDEX('Summary Data'!$AS$6:$FZ$57,MATCH($E684,'Summary Data'!$C$6:$C$57,0),MATCH($B684,'Summary Data'!$AS$3:$FZ$3,0)+2)</f>
        <v>0</v>
      </c>
      <c r="H684" s="1592" t="s">
        <v>5</v>
      </c>
      <c r="I684" s="1591">
        <f ca="1">INDEX('Summary Data'!$AS$6:$FZ$57,MATCH($E684,'Summary Data'!$C$6:$C$57,0),MATCH($B684,'Summary Data'!$AS$3:$FZ$3,0)+1+2)</f>
        <v>0</v>
      </c>
      <c r="J684" s="4002" t="str">
        <f t="shared" ca="1" si="272"/>
        <v>N</v>
      </c>
      <c r="K684" s="3114" t="s">
        <v>3174</v>
      </c>
      <c r="M684" s="391"/>
      <c r="N684" s="391"/>
      <c r="O684" s="313"/>
      <c r="P684" s="313"/>
      <c r="Q684" s="313"/>
      <c r="R684" s="313"/>
      <c r="S684" s="313"/>
    </row>
    <row r="685" spans="1:19" ht="16.899999999999999" hidden="1" customHeight="1" outlineLevel="1">
      <c r="A685" s="1269"/>
      <c r="B685" s="1752" t="s">
        <v>3501</v>
      </c>
      <c r="C685" s="1718" t="s">
        <v>192</v>
      </c>
      <c r="D685" s="1759">
        <f>D684+3</f>
        <v>3</v>
      </c>
      <c r="E685" s="3691" t="str">
        <f t="shared" ca="1" si="279"/>
        <v>N</v>
      </c>
      <c r="F685" s="1591" t="str">
        <f t="shared" ca="1" si="271"/>
        <v>N</v>
      </c>
      <c r="G685" s="1591">
        <f ca="1">INDEX('Summary Data'!$AS$6:$FZ$57,MATCH($E685,'Summary Data'!$C$6:$C$57,0),MATCH($B685,'Summary Data'!$AS$3:$FZ$3,0)+2)</f>
        <v>0</v>
      </c>
      <c r="H685" s="1592" t="s">
        <v>5</v>
      </c>
      <c r="I685" s="1591">
        <f ca="1">INDEX('Summary Data'!$AS$6:$FZ$57,MATCH($E685,'Summary Data'!$C$6:$C$57,0),MATCH($B685,'Summary Data'!$AS$3:$FZ$3,0)+1+2)</f>
        <v>0</v>
      </c>
      <c r="J685" s="4002" t="str">
        <f t="shared" ca="1" si="272"/>
        <v>N</v>
      </c>
      <c r="K685" s="3114" t="s">
        <v>3174</v>
      </c>
      <c r="M685" s="391"/>
      <c r="N685" s="391"/>
      <c r="O685" s="313"/>
      <c r="P685" s="313"/>
      <c r="Q685" s="313"/>
      <c r="R685" s="313"/>
      <c r="S685" s="313"/>
    </row>
    <row r="686" spans="1:19" ht="16.899999999999999" hidden="1" customHeight="1" outlineLevel="1">
      <c r="A686" s="1269"/>
      <c r="B686" s="1752" t="s">
        <v>3501</v>
      </c>
      <c r="C686" s="1718" t="s">
        <v>192</v>
      </c>
      <c r="D686" s="1759">
        <f t="shared" ref="D686:D698" si="280">D685+3</f>
        <v>6</v>
      </c>
      <c r="E686" s="3691" t="str">
        <f t="shared" ca="1" si="279"/>
        <v>N</v>
      </c>
      <c r="F686" s="1591" t="str">
        <f t="shared" ca="1" si="271"/>
        <v>N</v>
      </c>
      <c r="G686" s="1591">
        <f ca="1">INDEX('Summary Data'!$AS$6:$FZ$57,MATCH($E686,'Summary Data'!$C$6:$C$57,0),MATCH($B686,'Summary Data'!$AS$3:$FZ$3,0)+2)</f>
        <v>0</v>
      </c>
      <c r="H686" s="1592" t="s">
        <v>5</v>
      </c>
      <c r="I686" s="1591">
        <f ca="1">INDEX('Summary Data'!$AS$6:$FZ$57,MATCH($E686,'Summary Data'!$C$6:$C$57,0),MATCH($B686,'Summary Data'!$AS$3:$FZ$3,0)+1+2)</f>
        <v>0</v>
      </c>
      <c r="J686" s="4002" t="str">
        <f t="shared" ca="1" si="272"/>
        <v>N</v>
      </c>
      <c r="K686" s="3114" t="s">
        <v>3174</v>
      </c>
      <c r="M686" s="391"/>
      <c r="N686" s="391"/>
      <c r="O686" s="313"/>
      <c r="P686" s="313"/>
      <c r="Q686" s="313"/>
      <c r="R686" s="313"/>
      <c r="S686" s="313"/>
    </row>
    <row r="687" spans="1:19" ht="16.899999999999999" hidden="1" customHeight="1" outlineLevel="1">
      <c r="A687" s="1269"/>
      <c r="B687" s="1752" t="s">
        <v>3501</v>
      </c>
      <c r="C687" s="1718" t="s">
        <v>192</v>
      </c>
      <c r="D687" s="1759">
        <f t="shared" si="280"/>
        <v>9</v>
      </c>
      <c r="E687" s="3691" t="str">
        <f t="shared" ca="1" si="279"/>
        <v>N</v>
      </c>
      <c r="F687" s="1591" t="str">
        <f t="shared" ca="1" si="271"/>
        <v>N</v>
      </c>
      <c r="G687" s="1591">
        <f ca="1">INDEX('Summary Data'!$AS$6:$FZ$57,MATCH($E687,'Summary Data'!$C$6:$C$57,0),MATCH($B687,'Summary Data'!$AS$3:$FZ$3,0)+2)</f>
        <v>0</v>
      </c>
      <c r="H687" s="1592" t="s">
        <v>5</v>
      </c>
      <c r="I687" s="1591">
        <f ca="1">INDEX('Summary Data'!$AS$6:$FZ$57,MATCH($E687,'Summary Data'!$C$6:$C$57,0),MATCH($B687,'Summary Data'!$AS$3:$FZ$3,0)+1+2)</f>
        <v>0</v>
      </c>
      <c r="J687" s="4002" t="str">
        <f t="shared" ca="1" si="272"/>
        <v>N</v>
      </c>
      <c r="K687" s="3114" t="s">
        <v>3174</v>
      </c>
      <c r="M687" s="391"/>
      <c r="N687" s="391"/>
      <c r="O687" s="313"/>
      <c r="P687" s="313"/>
      <c r="Q687" s="313"/>
      <c r="R687" s="313"/>
      <c r="S687" s="313"/>
    </row>
    <row r="688" spans="1:19" ht="16.899999999999999" hidden="1" customHeight="1" outlineLevel="1">
      <c r="A688" s="1269"/>
      <c r="B688" s="1752" t="s">
        <v>3501</v>
      </c>
      <c r="C688" s="1718" t="s">
        <v>192</v>
      </c>
      <c r="D688" s="1759">
        <f t="shared" si="280"/>
        <v>12</v>
      </c>
      <c r="E688" s="3691" t="str">
        <f t="shared" ca="1" si="279"/>
        <v>N</v>
      </c>
      <c r="F688" s="1591" t="str">
        <f t="shared" ca="1" si="271"/>
        <v>N</v>
      </c>
      <c r="G688" s="1591">
        <f ca="1">INDEX('Summary Data'!$AS$6:$FZ$57,MATCH($E688,'Summary Data'!$C$6:$C$57,0),MATCH($B688,'Summary Data'!$AS$3:$FZ$3,0)+2)</f>
        <v>0</v>
      </c>
      <c r="H688" s="1592" t="s">
        <v>5</v>
      </c>
      <c r="I688" s="1591">
        <f ca="1">INDEX('Summary Data'!$AS$6:$FZ$57,MATCH($E688,'Summary Data'!$C$6:$C$57,0),MATCH($B688,'Summary Data'!$AS$3:$FZ$3,0)+1+2)</f>
        <v>0</v>
      </c>
      <c r="J688" s="4002" t="str">
        <f t="shared" ca="1" si="272"/>
        <v>N</v>
      </c>
      <c r="K688" s="3114" t="s">
        <v>3174</v>
      </c>
      <c r="M688" s="391"/>
      <c r="N688" s="391"/>
      <c r="O688" s="313"/>
      <c r="P688" s="313"/>
      <c r="Q688" s="313"/>
      <c r="R688" s="313"/>
      <c r="S688" s="313"/>
    </row>
    <row r="689" spans="1:19" ht="16.899999999999999" hidden="1" customHeight="1" outlineLevel="1">
      <c r="A689" s="1269"/>
      <c r="B689" s="1752" t="s">
        <v>3501</v>
      </c>
      <c r="C689" s="1718" t="s">
        <v>192</v>
      </c>
      <c r="D689" s="1759">
        <f t="shared" si="280"/>
        <v>15</v>
      </c>
      <c r="E689" s="3691" t="str">
        <f t="shared" ca="1" si="279"/>
        <v>N</v>
      </c>
      <c r="F689" s="1591" t="str">
        <f t="shared" ca="1" si="271"/>
        <v>N</v>
      </c>
      <c r="G689" s="1591">
        <f ca="1">INDEX('Summary Data'!$AS$6:$FZ$57,MATCH($E689,'Summary Data'!$C$6:$C$57,0),MATCH($B689,'Summary Data'!$AS$3:$FZ$3,0)+2)</f>
        <v>0</v>
      </c>
      <c r="H689" s="1592" t="s">
        <v>5</v>
      </c>
      <c r="I689" s="1591">
        <f ca="1">INDEX('Summary Data'!$AS$6:$FZ$57,MATCH($E689,'Summary Data'!$C$6:$C$57,0),MATCH($B689,'Summary Data'!$AS$3:$FZ$3,0)+1+2)</f>
        <v>0</v>
      </c>
      <c r="J689" s="4002" t="str">
        <f t="shared" ca="1" si="272"/>
        <v>N</v>
      </c>
      <c r="K689" s="3114" t="s">
        <v>3174</v>
      </c>
      <c r="M689" s="391"/>
      <c r="N689" s="391"/>
      <c r="O689" s="313"/>
      <c r="P689" s="313"/>
      <c r="Q689" s="313"/>
      <c r="R689" s="313"/>
      <c r="S689" s="313"/>
    </row>
    <row r="690" spans="1:19" ht="16.899999999999999" hidden="1" customHeight="1" outlineLevel="1">
      <c r="A690" s="1269"/>
      <c r="B690" s="1752" t="s">
        <v>3501</v>
      </c>
      <c r="C690" s="1718" t="s">
        <v>192</v>
      </c>
      <c r="D690" s="1759">
        <f t="shared" si="280"/>
        <v>18</v>
      </c>
      <c r="E690" s="3691" t="str">
        <f t="shared" ca="1" si="279"/>
        <v>N</v>
      </c>
      <c r="F690" s="1591" t="str">
        <f t="shared" ca="1" si="271"/>
        <v>N</v>
      </c>
      <c r="G690" s="1591">
        <f ca="1">INDEX('Summary Data'!$AS$6:$FZ$57,MATCH($E690,'Summary Data'!$C$6:$C$57,0),MATCH($B690,'Summary Data'!$AS$3:$FZ$3,0)+2)</f>
        <v>0</v>
      </c>
      <c r="H690" s="1592" t="s">
        <v>5</v>
      </c>
      <c r="I690" s="1591">
        <f ca="1">INDEX('Summary Data'!$AS$6:$FZ$57,MATCH($E690,'Summary Data'!$C$6:$C$57,0),MATCH($B690,'Summary Data'!$AS$3:$FZ$3,0)+1+2)</f>
        <v>0</v>
      </c>
      <c r="J690" s="4002" t="str">
        <f t="shared" ca="1" si="272"/>
        <v>N</v>
      </c>
      <c r="K690" s="3114" t="s">
        <v>3174</v>
      </c>
      <c r="M690" s="391"/>
      <c r="N690" s="391"/>
      <c r="O690" s="313"/>
      <c r="P690" s="313"/>
      <c r="Q690" s="313"/>
      <c r="R690" s="313"/>
      <c r="S690" s="313"/>
    </row>
    <row r="691" spans="1:19" ht="16.899999999999999" hidden="1" customHeight="1" outlineLevel="1">
      <c r="A691" s="1269"/>
      <c r="B691" s="1752" t="s">
        <v>3501</v>
      </c>
      <c r="C691" s="1718" t="s">
        <v>192</v>
      </c>
      <c r="D691" s="1759">
        <f t="shared" si="280"/>
        <v>21</v>
      </c>
      <c r="E691" s="3691" t="str">
        <f t="shared" ca="1" si="279"/>
        <v>N</v>
      </c>
      <c r="F691" s="1591" t="str">
        <f t="shared" ca="1" si="271"/>
        <v>N</v>
      </c>
      <c r="G691" s="1591">
        <f ca="1">INDEX('Summary Data'!$AS$6:$FZ$57,MATCH($E691,'Summary Data'!$C$6:$C$57,0),MATCH($B691,'Summary Data'!$AS$3:$FZ$3,0)+2)</f>
        <v>0</v>
      </c>
      <c r="H691" s="1592" t="s">
        <v>5</v>
      </c>
      <c r="I691" s="1591">
        <f ca="1">INDEX('Summary Data'!$AS$6:$FZ$57,MATCH($E691,'Summary Data'!$C$6:$C$57,0),MATCH($B691,'Summary Data'!$AS$3:$FZ$3,0)+1+2)</f>
        <v>0</v>
      </c>
      <c r="J691" s="4002" t="str">
        <f t="shared" ca="1" si="272"/>
        <v>N</v>
      </c>
      <c r="K691" s="3114" t="s">
        <v>3174</v>
      </c>
      <c r="M691" s="391"/>
      <c r="N691" s="391"/>
      <c r="O691" s="313"/>
      <c r="P691" s="313"/>
      <c r="Q691" s="313"/>
      <c r="R691" s="313"/>
      <c r="S691" s="313"/>
    </row>
    <row r="692" spans="1:19" ht="16.899999999999999" hidden="1" customHeight="1" outlineLevel="1">
      <c r="A692" s="1269"/>
      <c r="B692" s="1752" t="s">
        <v>3501</v>
      </c>
      <c r="C692" s="1718" t="s">
        <v>192</v>
      </c>
      <c r="D692" s="1759">
        <f t="shared" si="280"/>
        <v>24</v>
      </c>
      <c r="E692" s="3691" t="str">
        <f t="shared" ca="1" si="279"/>
        <v>N</v>
      </c>
      <c r="F692" s="1591" t="str">
        <f t="shared" ref="F692:F755" ca="1" si="281">IF(G692=0,"N",E692)</f>
        <v>N</v>
      </c>
      <c r="G692" s="1591">
        <f ca="1">INDEX('Summary Data'!$AS$6:$FZ$57,MATCH($E692,'Summary Data'!$C$6:$C$57,0),MATCH($B692,'Summary Data'!$AS$3:$FZ$3,0)+2)</f>
        <v>0</v>
      </c>
      <c r="H692" s="1592" t="s">
        <v>5</v>
      </c>
      <c r="I692" s="1591">
        <f ca="1">INDEX('Summary Data'!$AS$6:$FZ$57,MATCH($E692,'Summary Data'!$C$6:$C$57,0),MATCH($B692,'Summary Data'!$AS$3:$FZ$3,0)+1+2)</f>
        <v>0</v>
      </c>
      <c r="J692" s="4002" t="str">
        <f t="shared" ca="1" si="272"/>
        <v>N</v>
      </c>
      <c r="K692" s="3114" t="s">
        <v>3174</v>
      </c>
      <c r="M692" s="391"/>
      <c r="N692" s="391"/>
      <c r="O692" s="313"/>
      <c r="P692" s="313"/>
      <c r="Q692" s="313"/>
      <c r="R692" s="313"/>
      <c r="S692" s="313"/>
    </row>
    <row r="693" spans="1:19" ht="16.899999999999999" hidden="1" customHeight="1" outlineLevel="1">
      <c r="A693" s="1269"/>
      <c r="B693" s="1752" t="s">
        <v>3501</v>
      </c>
      <c r="C693" s="1718" t="s">
        <v>192</v>
      </c>
      <c r="D693" s="1759">
        <f t="shared" si="280"/>
        <v>27</v>
      </c>
      <c r="E693" s="3691" t="str">
        <f t="shared" ca="1" si="279"/>
        <v>N</v>
      </c>
      <c r="F693" s="1591" t="str">
        <f t="shared" ca="1" si="281"/>
        <v>N</v>
      </c>
      <c r="G693" s="1591">
        <f ca="1">INDEX('Summary Data'!$AS$6:$FZ$57,MATCH($E693,'Summary Data'!$C$6:$C$57,0),MATCH($B693,'Summary Data'!$AS$3:$FZ$3,0)+2)</f>
        <v>0</v>
      </c>
      <c r="H693" s="1592" t="s">
        <v>5</v>
      </c>
      <c r="I693" s="1591">
        <f ca="1">INDEX('Summary Data'!$AS$6:$FZ$57,MATCH($E693,'Summary Data'!$C$6:$C$57,0),MATCH($B693,'Summary Data'!$AS$3:$FZ$3,0)+1+2)</f>
        <v>0</v>
      </c>
      <c r="J693" s="4002" t="str">
        <f t="shared" ref="J693:J756" ca="1" si="282">F693</f>
        <v>N</v>
      </c>
      <c r="K693" s="3114" t="s">
        <v>3174</v>
      </c>
      <c r="M693" s="391"/>
      <c r="N693" s="391"/>
      <c r="O693" s="313"/>
      <c r="P693" s="313"/>
      <c r="Q693" s="313"/>
      <c r="R693" s="313"/>
      <c r="S693" s="313"/>
    </row>
    <row r="694" spans="1:19" ht="16.899999999999999" hidden="1" customHeight="1" outlineLevel="1">
      <c r="A694" s="1269"/>
      <c r="B694" s="1752" t="s">
        <v>3501</v>
      </c>
      <c r="C694" s="1718" t="s">
        <v>192</v>
      </c>
      <c r="D694" s="1759">
        <f t="shared" si="280"/>
        <v>30</v>
      </c>
      <c r="E694" s="3691" t="str">
        <f t="shared" ca="1" si="279"/>
        <v>N</v>
      </c>
      <c r="F694" s="1591" t="str">
        <f t="shared" ca="1" si="281"/>
        <v>N</v>
      </c>
      <c r="G694" s="1591">
        <f ca="1">INDEX('Summary Data'!$AS$6:$FZ$57,MATCH($E694,'Summary Data'!$C$6:$C$57,0),MATCH($B694,'Summary Data'!$AS$3:$FZ$3,0)+2)</f>
        <v>0</v>
      </c>
      <c r="H694" s="1592" t="s">
        <v>5</v>
      </c>
      <c r="I694" s="1591">
        <f ca="1">INDEX('Summary Data'!$AS$6:$FZ$57,MATCH($E694,'Summary Data'!$C$6:$C$57,0),MATCH($B694,'Summary Data'!$AS$3:$FZ$3,0)+1+2)</f>
        <v>0</v>
      </c>
      <c r="J694" s="4002" t="str">
        <f t="shared" ca="1" si="282"/>
        <v>N</v>
      </c>
      <c r="K694" s="3114" t="s">
        <v>3174</v>
      </c>
      <c r="M694" s="391"/>
      <c r="N694" s="391"/>
      <c r="O694" s="313"/>
      <c r="P694" s="313"/>
      <c r="Q694" s="313"/>
      <c r="R694" s="313"/>
      <c r="S694" s="313"/>
    </row>
    <row r="695" spans="1:19" ht="16.899999999999999" hidden="1" customHeight="1" outlineLevel="1">
      <c r="A695" s="1269"/>
      <c r="B695" s="1752" t="s">
        <v>3501</v>
      </c>
      <c r="C695" s="1718" t="s">
        <v>192</v>
      </c>
      <c r="D695" s="1759">
        <f t="shared" si="280"/>
        <v>33</v>
      </c>
      <c r="E695" s="3691" t="str">
        <f t="shared" ca="1" si="279"/>
        <v>N</v>
      </c>
      <c r="F695" s="1591" t="str">
        <f t="shared" ca="1" si="281"/>
        <v>N</v>
      </c>
      <c r="G695" s="1591">
        <f ca="1">INDEX('Summary Data'!$AS$6:$FZ$57,MATCH($E695,'Summary Data'!$C$6:$C$57,0),MATCH($B695,'Summary Data'!$AS$3:$FZ$3,0)+2)</f>
        <v>0</v>
      </c>
      <c r="H695" s="1592" t="s">
        <v>5</v>
      </c>
      <c r="I695" s="1591">
        <f ca="1">INDEX('Summary Data'!$AS$6:$FZ$57,MATCH($E695,'Summary Data'!$C$6:$C$57,0),MATCH($B695,'Summary Data'!$AS$3:$FZ$3,0)+1+2)</f>
        <v>0</v>
      </c>
      <c r="J695" s="4002" t="str">
        <f t="shared" ca="1" si="282"/>
        <v>N</v>
      </c>
      <c r="K695" s="3114" t="s">
        <v>3174</v>
      </c>
      <c r="M695" s="391"/>
      <c r="N695" s="391"/>
      <c r="O695" s="313"/>
      <c r="P695" s="313"/>
      <c r="Q695" s="313"/>
      <c r="R695" s="313"/>
      <c r="S695" s="313"/>
    </row>
    <row r="696" spans="1:19" ht="16.899999999999999" hidden="1" customHeight="1" outlineLevel="1">
      <c r="A696" s="1269"/>
      <c r="B696" s="1752" t="s">
        <v>3501</v>
      </c>
      <c r="C696" s="1718" t="s">
        <v>192</v>
      </c>
      <c r="D696" s="1759">
        <f t="shared" si="280"/>
        <v>36</v>
      </c>
      <c r="E696" s="3691" t="str">
        <f t="shared" ca="1" si="279"/>
        <v>N</v>
      </c>
      <c r="F696" s="1591" t="str">
        <f t="shared" ca="1" si="281"/>
        <v>N</v>
      </c>
      <c r="G696" s="1591">
        <f ca="1">INDEX('Summary Data'!$AS$6:$FZ$57,MATCH($E696,'Summary Data'!$C$6:$C$57,0),MATCH($B696,'Summary Data'!$AS$3:$FZ$3,0)+2)</f>
        <v>0</v>
      </c>
      <c r="H696" s="1592" t="s">
        <v>5</v>
      </c>
      <c r="I696" s="1591">
        <f ca="1">INDEX('Summary Data'!$AS$6:$FZ$57,MATCH($E696,'Summary Data'!$C$6:$C$57,0),MATCH($B696,'Summary Data'!$AS$3:$FZ$3,0)+1+2)</f>
        <v>0</v>
      </c>
      <c r="J696" s="4002" t="str">
        <f t="shared" ca="1" si="282"/>
        <v>N</v>
      </c>
      <c r="K696" s="3114" t="s">
        <v>3174</v>
      </c>
      <c r="M696" s="391"/>
      <c r="N696" s="391"/>
      <c r="O696" s="313"/>
      <c r="P696" s="313"/>
      <c r="Q696" s="313"/>
      <c r="R696" s="313"/>
      <c r="S696" s="313"/>
    </row>
    <row r="697" spans="1:19" ht="16.899999999999999" hidden="1" customHeight="1" outlineLevel="1">
      <c r="A697" s="1269"/>
      <c r="B697" s="1752" t="s">
        <v>3501</v>
      </c>
      <c r="C697" s="1718" t="s">
        <v>192</v>
      </c>
      <c r="D697" s="1759">
        <f t="shared" si="280"/>
        <v>39</v>
      </c>
      <c r="E697" s="3691" t="str">
        <f t="shared" ca="1" si="279"/>
        <v>N</v>
      </c>
      <c r="F697" s="1591" t="str">
        <f t="shared" ca="1" si="281"/>
        <v>N</v>
      </c>
      <c r="G697" s="1591">
        <f ca="1">INDEX('Summary Data'!$AS$6:$FZ$57,MATCH($E697,'Summary Data'!$C$6:$C$57,0),MATCH($B697,'Summary Data'!$AS$3:$FZ$3,0)+2)</f>
        <v>0</v>
      </c>
      <c r="H697" s="1592" t="s">
        <v>5</v>
      </c>
      <c r="I697" s="1591">
        <f ca="1">INDEX('Summary Data'!$AS$6:$FZ$57,MATCH($E697,'Summary Data'!$C$6:$C$57,0),MATCH($B697,'Summary Data'!$AS$3:$FZ$3,0)+1+2)</f>
        <v>0</v>
      </c>
      <c r="J697" s="4002" t="str">
        <f t="shared" ca="1" si="282"/>
        <v>N</v>
      </c>
      <c r="K697" s="3114" t="s">
        <v>3174</v>
      </c>
      <c r="M697" s="391"/>
      <c r="N697" s="391"/>
      <c r="O697" s="313"/>
      <c r="P697" s="313"/>
      <c r="Q697" s="313"/>
      <c r="R697" s="313"/>
      <c r="S697" s="313"/>
    </row>
    <row r="698" spans="1:19" ht="16.899999999999999" hidden="1" customHeight="1" outlineLevel="1">
      <c r="A698" s="1269"/>
      <c r="B698" s="1752" t="s">
        <v>3501</v>
      </c>
      <c r="C698" s="1718" t="s">
        <v>192</v>
      </c>
      <c r="D698" s="1759">
        <f t="shared" si="280"/>
        <v>42</v>
      </c>
      <c r="E698" s="3691" t="str">
        <f t="shared" ca="1" si="279"/>
        <v>N</v>
      </c>
      <c r="F698" s="1591" t="str">
        <f t="shared" ca="1" si="281"/>
        <v>N</v>
      </c>
      <c r="G698" s="1591">
        <f ca="1">INDEX('Summary Data'!$AS$6:$FZ$57,MATCH($E698,'Summary Data'!$C$6:$C$57,0),MATCH($B698,'Summary Data'!$AS$3:$FZ$3,0)+2)</f>
        <v>0</v>
      </c>
      <c r="H698" s="1592" t="s">
        <v>5</v>
      </c>
      <c r="I698" s="1591">
        <f ca="1">INDEX('Summary Data'!$AS$6:$FZ$57,MATCH($E698,'Summary Data'!$C$6:$C$57,0),MATCH($B698,'Summary Data'!$AS$3:$FZ$3,0)+1+2)</f>
        <v>0</v>
      </c>
      <c r="J698" s="4002" t="str">
        <f t="shared" ca="1" si="282"/>
        <v>N</v>
      </c>
      <c r="K698" s="3114" t="s">
        <v>3174</v>
      </c>
      <c r="M698" s="391"/>
      <c r="N698" s="391"/>
      <c r="O698" s="313"/>
      <c r="P698" s="313"/>
      <c r="Q698" s="313"/>
      <c r="R698" s="313"/>
      <c r="S698" s="313"/>
    </row>
    <row r="699" spans="1:19" ht="16.899999999999999" hidden="1" customHeight="1" outlineLevel="1">
      <c r="A699" s="1269"/>
      <c r="B699" s="1752" t="s">
        <v>3501</v>
      </c>
      <c r="C699" s="1718" t="s">
        <v>252</v>
      </c>
      <c r="D699" s="1759">
        <v>0</v>
      </c>
      <c r="E699" s="3693" t="str">
        <f ca="1">OFFSET($A$358,D699,0)</f>
        <v>E-flute 115/105</v>
      </c>
      <c r="F699" s="1591" t="str">
        <f t="shared" ca="1" si="281"/>
        <v>N</v>
      </c>
      <c r="G699" s="1591">
        <f ca="1">INDEX('Summary Data'!$AS$6:$FZ$57,MATCH($E699,'Summary Data'!$C$6:$C$57,0),MATCH($B699,'Summary Data'!$AS$3:$FZ$3,0)+2)</f>
        <v>0</v>
      </c>
      <c r="H699" s="1592" t="s">
        <v>5</v>
      </c>
      <c r="I699" s="1591">
        <f ca="1">INDEX('Summary Data'!$AS$6:$FZ$57,MATCH($E699,'Summary Data'!$C$6:$C$57,0),MATCH($B699,'Summary Data'!$AS$3:$FZ$3,0)+1+2)</f>
        <v>0</v>
      </c>
      <c r="J699" s="4002" t="str">
        <f t="shared" ca="1" si="282"/>
        <v>N</v>
      </c>
      <c r="K699" s="3114" t="s">
        <v>3174</v>
      </c>
      <c r="M699" s="391"/>
      <c r="N699" s="391"/>
      <c r="O699" s="313"/>
      <c r="P699" s="313"/>
      <c r="Q699" s="313"/>
      <c r="R699" s="313"/>
      <c r="S699" s="313"/>
    </row>
    <row r="700" spans="1:19" ht="16.899999999999999" hidden="1" customHeight="1" outlineLevel="1">
      <c r="A700" s="1269"/>
      <c r="B700" s="1752" t="s">
        <v>3501</v>
      </c>
      <c r="C700" s="1718" t="s">
        <v>252</v>
      </c>
      <c r="D700" s="1759">
        <f>D699+3</f>
        <v>3</v>
      </c>
      <c r="E700" s="3693" t="str">
        <f ca="1">OFFSET($A$358,D700,0)</f>
        <v>N</v>
      </c>
      <c r="F700" s="1591" t="str">
        <f t="shared" ca="1" si="281"/>
        <v>N</v>
      </c>
      <c r="G700" s="1591">
        <f ca="1">INDEX('Summary Data'!$AS$6:$FZ$57,MATCH($E700,'Summary Data'!$C$6:$C$57,0),MATCH($B700,'Summary Data'!$AS$3:$FZ$3,0)+2)</f>
        <v>0</v>
      </c>
      <c r="H700" s="1592" t="s">
        <v>5</v>
      </c>
      <c r="I700" s="1591">
        <f ca="1">INDEX('Summary Data'!$AS$6:$FZ$57,MATCH($E700,'Summary Data'!$C$6:$C$57,0),MATCH($B700,'Summary Data'!$AS$3:$FZ$3,0)+1+2)</f>
        <v>0</v>
      </c>
      <c r="J700" s="4002" t="str">
        <f t="shared" ca="1" si="282"/>
        <v>N</v>
      </c>
      <c r="K700" s="3114" t="s">
        <v>3174</v>
      </c>
      <c r="M700" s="391"/>
      <c r="N700" s="391"/>
      <c r="O700" s="313"/>
      <c r="P700" s="313"/>
      <c r="Q700" s="313"/>
      <c r="R700" s="313"/>
      <c r="S700" s="313"/>
    </row>
    <row r="701" spans="1:19" ht="16.899999999999999" hidden="1" customHeight="1" outlineLevel="1">
      <c r="A701" s="1269"/>
      <c r="B701" s="1752" t="s">
        <v>3501</v>
      </c>
      <c r="C701" s="1718" t="s">
        <v>252</v>
      </c>
      <c r="D701" s="1759">
        <f t="shared" ref="D701:D703" si="283">D700+3</f>
        <v>6</v>
      </c>
      <c r="E701" s="3693" t="str">
        <f ca="1">OFFSET($A$358,D701,0)</f>
        <v>N</v>
      </c>
      <c r="F701" s="1591" t="str">
        <f t="shared" ca="1" si="281"/>
        <v>N</v>
      </c>
      <c r="G701" s="1591">
        <f ca="1">INDEX('Summary Data'!$AS$6:$FZ$57,MATCH($E701,'Summary Data'!$C$6:$C$57,0),MATCH($B701,'Summary Data'!$AS$3:$FZ$3,0)+2)</f>
        <v>0</v>
      </c>
      <c r="H701" s="1592" t="s">
        <v>5</v>
      </c>
      <c r="I701" s="1591">
        <f ca="1">INDEX('Summary Data'!$AS$6:$FZ$57,MATCH($E701,'Summary Data'!$C$6:$C$57,0),MATCH($B701,'Summary Data'!$AS$3:$FZ$3,0)+1+2)</f>
        <v>0</v>
      </c>
      <c r="J701" s="4002" t="str">
        <f t="shared" ca="1" si="282"/>
        <v>N</v>
      </c>
      <c r="K701" s="3114" t="s">
        <v>3174</v>
      </c>
      <c r="M701" s="391"/>
      <c r="N701" s="391"/>
      <c r="O701" s="313"/>
      <c r="P701" s="313"/>
      <c r="Q701" s="313"/>
      <c r="R701" s="313"/>
      <c r="S701" s="313"/>
    </row>
    <row r="702" spans="1:19" ht="16.899999999999999" hidden="1" customHeight="1" outlineLevel="1">
      <c r="A702" s="1269"/>
      <c r="B702" s="1752" t="s">
        <v>3501</v>
      </c>
      <c r="C702" s="1718" t="s">
        <v>252</v>
      </c>
      <c r="D702" s="1759">
        <f t="shared" si="283"/>
        <v>9</v>
      </c>
      <c r="E702" s="3693" t="str">
        <f ca="1">OFFSET($A$358,D702,0)</f>
        <v>N</v>
      </c>
      <c r="F702" s="1591" t="str">
        <f t="shared" ca="1" si="281"/>
        <v>N</v>
      </c>
      <c r="G702" s="1591">
        <f ca="1">INDEX('Summary Data'!$AS$6:$FZ$57,MATCH($E702,'Summary Data'!$C$6:$C$57,0),MATCH($B702,'Summary Data'!$AS$3:$FZ$3,0)+2)</f>
        <v>0</v>
      </c>
      <c r="H702" s="1592" t="s">
        <v>5</v>
      </c>
      <c r="I702" s="1591">
        <f ca="1">INDEX('Summary Data'!$AS$6:$FZ$57,MATCH($E702,'Summary Data'!$C$6:$C$57,0),MATCH($B702,'Summary Data'!$AS$3:$FZ$3,0)+1+2)</f>
        <v>0</v>
      </c>
      <c r="J702" s="4002" t="str">
        <f t="shared" ca="1" si="282"/>
        <v>N</v>
      </c>
      <c r="K702" s="3114" t="s">
        <v>3174</v>
      </c>
      <c r="M702" s="391"/>
      <c r="N702" s="391"/>
      <c r="O702" s="313"/>
      <c r="P702" s="313"/>
      <c r="Q702" s="313"/>
      <c r="R702" s="313"/>
      <c r="S702" s="313"/>
    </row>
    <row r="703" spans="1:19" ht="16.899999999999999" hidden="1" customHeight="1" outlineLevel="1">
      <c r="A703" s="1269"/>
      <c r="B703" s="1752" t="s">
        <v>3501</v>
      </c>
      <c r="C703" s="1718" t="s">
        <v>252</v>
      </c>
      <c r="D703" s="1759">
        <f t="shared" si="283"/>
        <v>12</v>
      </c>
      <c r="E703" s="3693" t="str">
        <f ca="1">OFFSET($A$358,D703,0)</f>
        <v>N</v>
      </c>
      <c r="F703" s="1591" t="str">
        <f t="shared" ca="1" si="281"/>
        <v>N</v>
      </c>
      <c r="G703" s="1591">
        <f ca="1">INDEX('Summary Data'!$AS$6:$FZ$57,MATCH($E703,'Summary Data'!$C$6:$C$57,0),MATCH($B703,'Summary Data'!$AS$3:$FZ$3,0)+2)</f>
        <v>0</v>
      </c>
      <c r="H703" s="1592" t="s">
        <v>5</v>
      </c>
      <c r="I703" s="1591">
        <f ca="1">INDEX('Summary Data'!$AS$6:$FZ$57,MATCH($E703,'Summary Data'!$C$6:$C$57,0),MATCH($B703,'Summary Data'!$AS$3:$FZ$3,0)+1+2)</f>
        <v>0</v>
      </c>
      <c r="J703" s="4002" t="str">
        <f t="shared" ca="1" si="282"/>
        <v>N</v>
      </c>
      <c r="K703" s="3114" t="s">
        <v>3174</v>
      </c>
      <c r="M703" s="391"/>
      <c r="N703" s="391"/>
      <c r="O703" s="313"/>
      <c r="P703" s="313"/>
      <c r="Q703" s="313"/>
      <c r="R703" s="313"/>
      <c r="S703" s="313"/>
    </row>
    <row r="704" spans="1:19" ht="16.899999999999999" hidden="1" customHeight="1" outlineLevel="1">
      <c r="A704" s="1269"/>
      <c r="B704" s="1752" t="s">
        <v>3501</v>
      </c>
      <c r="C704" s="1718" t="s">
        <v>559</v>
      </c>
      <c r="D704" s="1759">
        <f>0</f>
        <v>0</v>
      </c>
      <c r="E704" s="1761" t="str">
        <f t="shared" ref="E704:E718" ca="1" si="284">OFFSET($A$25,D704,0)</f>
        <v>Box</v>
      </c>
      <c r="F704" s="1591" t="str">
        <f t="shared" ca="1" si="281"/>
        <v>N</v>
      </c>
      <c r="G704" s="1591">
        <f ca="1">INDEX('Summary Data'!$AS$6:$FZ$57,MATCH($E704,'Summary Data'!$C$6:$C$57,0),MATCH($B704,'Summary Data'!$AS$3:$FZ$3,0)+4)</f>
        <v>0</v>
      </c>
      <c r="H704" s="1592" t="s">
        <v>5</v>
      </c>
      <c r="I704" s="1591">
        <f ca="1">INDEX('Summary Data'!$AS$6:$FZ$57,MATCH($E704,'Summary Data'!$C$6:$C$57,0),MATCH($B704,'Summary Data'!$AS$3:$FZ$3,0)+1+4)</f>
        <v>0</v>
      </c>
      <c r="J704" s="4002" t="str">
        <f t="shared" ca="1" si="282"/>
        <v>N</v>
      </c>
      <c r="K704" s="3114" t="s">
        <v>3174</v>
      </c>
      <c r="M704" s="391"/>
      <c r="N704" s="391"/>
      <c r="O704" s="313"/>
      <c r="P704" s="313"/>
      <c r="Q704" s="313"/>
      <c r="R704" s="313"/>
      <c r="S704" s="313"/>
    </row>
    <row r="705" spans="1:19" ht="16.899999999999999" hidden="1" customHeight="1" outlineLevel="1">
      <c r="A705" s="1269"/>
      <c r="B705" s="1752" t="s">
        <v>3501</v>
      </c>
      <c r="C705" s="1718" t="s">
        <v>559</v>
      </c>
      <c r="D705" s="1759">
        <f>D704+17</f>
        <v>17</v>
      </c>
      <c r="E705" s="1761" t="str">
        <f t="shared" ca="1" si="284"/>
        <v>N</v>
      </c>
      <c r="F705" s="1591" t="str">
        <f t="shared" ca="1" si="281"/>
        <v>N</v>
      </c>
      <c r="G705" s="1591">
        <f ca="1">INDEX('Summary Data'!$AS$6:$FZ$57,MATCH($E705,'Summary Data'!$C$6:$C$57,0),MATCH($B705,'Summary Data'!$AS$3:$FZ$3,0)+4)</f>
        <v>0</v>
      </c>
      <c r="H705" s="1592" t="s">
        <v>5</v>
      </c>
      <c r="I705" s="1591">
        <f ca="1">INDEX('Summary Data'!$AS$6:$FZ$57,MATCH($E705,'Summary Data'!$C$6:$C$57,0),MATCH($B705,'Summary Data'!$AS$3:$FZ$3,0)+1+4)</f>
        <v>0</v>
      </c>
      <c r="J705" s="4002" t="str">
        <f t="shared" ca="1" si="282"/>
        <v>N</v>
      </c>
      <c r="K705" s="3114" t="s">
        <v>3174</v>
      </c>
      <c r="M705" s="391"/>
      <c r="N705" s="391"/>
      <c r="O705" s="313"/>
      <c r="P705" s="313"/>
      <c r="Q705" s="313"/>
      <c r="R705" s="313"/>
      <c r="S705" s="313"/>
    </row>
    <row r="706" spans="1:19" ht="16.899999999999999" hidden="1" customHeight="1" outlineLevel="1">
      <c r="A706" s="1269"/>
      <c r="B706" s="1752" t="s">
        <v>3501</v>
      </c>
      <c r="C706" s="1718" t="s">
        <v>559</v>
      </c>
      <c r="D706" s="1759">
        <f t="shared" ref="D706:D718" si="285">D705+17</f>
        <v>34</v>
      </c>
      <c r="E706" s="1761" t="str">
        <f t="shared" ca="1" si="284"/>
        <v>N</v>
      </c>
      <c r="F706" s="1591" t="str">
        <f t="shared" ca="1" si="281"/>
        <v>N</v>
      </c>
      <c r="G706" s="1591">
        <f ca="1">INDEX('Summary Data'!$AS$6:$FZ$57,MATCH($E706,'Summary Data'!$C$6:$C$57,0),MATCH($B706,'Summary Data'!$AS$3:$FZ$3,0)+4)</f>
        <v>0</v>
      </c>
      <c r="H706" s="1592" t="s">
        <v>5</v>
      </c>
      <c r="I706" s="1591">
        <f ca="1">INDEX('Summary Data'!$AS$6:$FZ$57,MATCH($E706,'Summary Data'!$C$6:$C$57,0),MATCH($B706,'Summary Data'!$AS$3:$FZ$3,0)+1+4)</f>
        <v>0</v>
      </c>
      <c r="J706" s="4002" t="str">
        <f t="shared" ca="1" si="282"/>
        <v>N</v>
      </c>
      <c r="K706" s="3114" t="s">
        <v>3174</v>
      </c>
      <c r="M706" s="391"/>
      <c r="N706" s="391"/>
      <c r="O706" s="313"/>
      <c r="P706" s="313"/>
      <c r="Q706" s="313"/>
      <c r="R706" s="313"/>
      <c r="S706" s="313"/>
    </row>
    <row r="707" spans="1:19" ht="16.899999999999999" hidden="1" customHeight="1" outlineLevel="1">
      <c r="A707" s="1269"/>
      <c r="B707" s="1752" t="s">
        <v>3501</v>
      </c>
      <c r="C707" s="1718" t="s">
        <v>559</v>
      </c>
      <c r="D707" s="1759">
        <f t="shared" si="285"/>
        <v>51</v>
      </c>
      <c r="E707" s="1761" t="str">
        <f t="shared" ca="1" si="284"/>
        <v>N</v>
      </c>
      <c r="F707" s="1591" t="str">
        <f t="shared" ca="1" si="281"/>
        <v>N</v>
      </c>
      <c r="G707" s="1591">
        <f ca="1">INDEX('Summary Data'!$AS$6:$FZ$57,MATCH($E707,'Summary Data'!$C$6:$C$57,0),MATCH($B707,'Summary Data'!$AS$3:$FZ$3,0)+4)</f>
        <v>0</v>
      </c>
      <c r="H707" s="1592" t="s">
        <v>5</v>
      </c>
      <c r="I707" s="1591">
        <f ca="1">INDEX('Summary Data'!$AS$6:$FZ$57,MATCH($E707,'Summary Data'!$C$6:$C$57,0),MATCH($B707,'Summary Data'!$AS$3:$FZ$3,0)+1+4)</f>
        <v>0</v>
      </c>
      <c r="J707" s="4002" t="str">
        <f t="shared" ca="1" si="282"/>
        <v>N</v>
      </c>
      <c r="K707" s="3114" t="s">
        <v>3174</v>
      </c>
      <c r="M707" s="391"/>
      <c r="N707" s="391"/>
      <c r="O707" s="313"/>
      <c r="P707" s="313"/>
      <c r="Q707" s="313"/>
      <c r="R707" s="313"/>
      <c r="S707" s="313"/>
    </row>
    <row r="708" spans="1:19" ht="16.899999999999999" hidden="1" customHeight="1" outlineLevel="1">
      <c r="A708" s="1269"/>
      <c r="B708" s="1752" t="s">
        <v>3501</v>
      </c>
      <c r="C708" s="1718" t="s">
        <v>559</v>
      </c>
      <c r="D708" s="1759">
        <f t="shared" si="285"/>
        <v>68</v>
      </c>
      <c r="E708" s="1761" t="str">
        <f t="shared" ca="1" si="284"/>
        <v>N</v>
      </c>
      <c r="F708" s="1591" t="str">
        <f t="shared" ca="1" si="281"/>
        <v>N</v>
      </c>
      <c r="G708" s="1591">
        <f ca="1">INDEX('Summary Data'!$AS$6:$FZ$57,MATCH($E708,'Summary Data'!$C$6:$C$57,0),MATCH($B708,'Summary Data'!$AS$3:$FZ$3,0)+4)</f>
        <v>0</v>
      </c>
      <c r="H708" s="1592" t="s">
        <v>5</v>
      </c>
      <c r="I708" s="1591">
        <f ca="1">INDEX('Summary Data'!$AS$6:$FZ$57,MATCH($E708,'Summary Data'!$C$6:$C$57,0),MATCH($B708,'Summary Data'!$AS$3:$FZ$3,0)+1+4)</f>
        <v>0</v>
      </c>
      <c r="J708" s="4002" t="str">
        <f t="shared" ca="1" si="282"/>
        <v>N</v>
      </c>
      <c r="K708" s="3114" t="s">
        <v>3174</v>
      </c>
      <c r="M708" s="391"/>
      <c r="N708" s="391"/>
      <c r="O708" s="313"/>
      <c r="P708" s="313"/>
      <c r="Q708" s="313"/>
      <c r="R708" s="313"/>
      <c r="S708" s="313"/>
    </row>
    <row r="709" spans="1:19" ht="16.899999999999999" hidden="1" customHeight="1" outlineLevel="1">
      <c r="A709" s="1269"/>
      <c r="B709" s="1752" t="s">
        <v>3501</v>
      </c>
      <c r="C709" s="1718" t="s">
        <v>559</v>
      </c>
      <c r="D709" s="1759">
        <f t="shared" si="285"/>
        <v>85</v>
      </c>
      <c r="E709" s="1761" t="str">
        <f t="shared" ca="1" si="284"/>
        <v>N</v>
      </c>
      <c r="F709" s="1591" t="str">
        <f t="shared" ca="1" si="281"/>
        <v>N</v>
      </c>
      <c r="G709" s="1591">
        <f ca="1">INDEX('Summary Data'!$AS$6:$FZ$57,MATCH($E709,'Summary Data'!$C$6:$C$57,0),MATCH($B709,'Summary Data'!$AS$3:$FZ$3,0)+4)</f>
        <v>0</v>
      </c>
      <c r="H709" s="1592" t="s">
        <v>5</v>
      </c>
      <c r="I709" s="1591">
        <f ca="1">INDEX('Summary Data'!$AS$6:$FZ$57,MATCH($E709,'Summary Data'!$C$6:$C$57,0),MATCH($B709,'Summary Data'!$AS$3:$FZ$3,0)+1+4)</f>
        <v>0</v>
      </c>
      <c r="J709" s="4002" t="str">
        <f t="shared" ca="1" si="282"/>
        <v>N</v>
      </c>
      <c r="K709" s="3114" t="s">
        <v>3174</v>
      </c>
      <c r="M709" s="391"/>
      <c r="N709" s="391"/>
      <c r="O709" s="313"/>
      <c r="P709" s="313"/>
      <c r="Q709" s="313"/>
      <c r="R709" s="313"/>
      <c r="S709" s="313"/>
    </row>
    <row r="710" spans="1:19" ht="16.899999999999999" hidden="1" customHeight="1" outlineLevel="1">
      <c r="A710" s="1269"/>
      <c r="B710" s="1752" t="s">
        <v>3501</v>
      </c>
      <c r="C710" s="1718" t="s">
        <v>559</v>
      </c>
      <c r="D710" s="1759">
        <f t="shared" si="285"/>
        <v>102</v>
      </c>
      <c r="E710" s="1761" t="str">
        <f t="shared" ca="1" si="284"/>
        <v>N</v>
      </c>
      <c r="F710" s="1591" t="str">
        <f t="shared" ca="1" si="281"/>
        <v>N</v>
      </c>
      <c r="G710" s="1591">
        <f ca="1">INDEX('Summary Data'!$AS$6:$FZ$57,MATCH($E710,'Summary Data'!$C$6:$C$57,0),MATCH($B710,'Summary Data'!$AS$3:$FZ$3,0)+4)</f>
        <v>0</v>
      </c>
      <c r="H710" s="1592" t="s">
        <v>5</v>
      </c>
      <c r="I710" s="1591">
        <f ca="1">INDEX('Summary Data'!$AS$6:$FZ$57,MATCH($E710,'Summary Data'!$C$6:$C$57,0),MATCH($B710,'Summary Data'!$AS$3:$FZ$3,0)+1+4)</f>
        <v>0</v>
      </c>
      <c r="J710" s="4002" t="str">
        <f t="shared" ca="1" si="282"/>
        <v>N</v>
      </c>
      <c r="K710" s="3114" t="s">
        <v>3174</v>
      </c>
      <c r="M710" s="391"/>
      <c r="N710" s="391"/>
      <c r="O710" s="313"/>
      <c r="P710" s="313"/>
      <c r="Q710" s="313"/>
      <c r="R710" s="313"/>
      <c r="S710" s="313"/>
    </row>
    <row r="711" spans="1:19" ht="16.899999999999999" hidden="1" customHeight="1" outlineLevel="1">
      <c r="A711" s="1269"/>
      <c r="B711" s="1752" t="s">
        <v>3501</v>
      </c>
      <c r="C711" s="1718" t="s">
        <v>559</v>
      </c>
      <c r="D711" s="1759">
        <f t="shared" si="285"/>
        <v>119</v>
      </c>
      <c r="E711" s="1761" t="str">
        <f t="shared" ca="1" si="284"/>
        <v>N</v>
      </c>
      <c r="F711" s="1591" t="str">
        <f t="shared" ca="1" si="281"/>
        <v>N</v>
      </c>
      <c r="G711" s="1591">
        <f ca="1">INDEX('Summary Data'!$AS$6:$FZ$57,MATCH($E711,'Summary Data'!$C$6:$C$57,0),MATCH($B711,'Summary Data'!$AS$3:$FZ$3,0)+4)</f>
        <v>0</v>
      </c>
      <c r="H711" s="1592" t="s">
        <v>5</v>
      </c>
      <c r="I711" s="1591">
        <f ca="1">INDEX('Summary Data'!$AS$6:$FZ$57,MATCH($E711,'Summary Data'!$C$6:$C$57,0),MATCH($B711,'Summary Data'!$AS$3:$FZ$3,0)+1+4)</f>
        <v>0</v>
      </c>
      <c r="J711" s="4002" t="str">
        <f t="shared" ca="1" si="282"/>
        <v>N</v>
      </c>
      <c r="K711" s="3114" t="s">
        <v>3174</v>
      </c>
      <c r="M711" s="391"/>
      <c r="N711" s="391"/>
      <c r="O711" s="313"/>
      <c r="P711" s="313"/>
      <c r="Q711" s="313"/>
      <c r="R711" s="313"/>
      <c r="S711" s="313"/>
    </row>
    <row r="712" spans="1:19" ht="16.899999999999999" hidden="1" customHeight="1" outlineLevel="1">
      <c r="A712" s="1269"/>
      <c r="B712" s="1752" t="s">
        <v>3501</v>
      </c>
      <c r="C712" s="1718" t="s">
        <v>559</v>
      </c>
      <c r="D712" s="1759">
        <f t="shared" si="285"/>
        <v>136</v>
      </c>
      <c r="E712" s="1761" t="str">
        <f t="shared" ca="1" si="284"/>
        <v>N</v>
      </c>
      <c r="F712" s="1591" t="str">
        <f t="shared" ca="1" si="281"/>
        <v>N</v>
      </c>
      <c r="G712" s="1591">
        <f ca="1">INDEX('Summary Data'!$AS$6:$FZ$57,MATCH($E712,'Summary Data'!$C$6:$C$57,0),MATCH($B712,'Summary Data'!$AS$3:$FZ$3,0)+4)</f>
        <v>0</v>
      </c>
      <c r="H712" s="1592" t="s">
        <v>5</v>
      </c>
      <c r="I712" s="1591">
        <f ca="1">INDEX('Summary Data'!$AS$6:$FZ$57,MATCH($E712,'Summary Data'!$C$6:$C$57,0),MATCH($B712,'Summary Data'!$AS$3:$FZ$3,0)+1+4)</f>
        <v>0</v>
      </c>
      <c r="J712" s="4002" t="str">
        <f t="shared" ca="1" si="282"/>
        <v>N</v>
      </c>
      <c r="K712" s="3114" t="s">
        <v>3174</v>
      </c>
      <c r="M712" s="391"/>
      <c r="N712" s="391"/>
      <c r="O712" s="313"/>
      <c r="P712" s="313"/>
      <c r="Q712" s="313"/>
      <c r="R712" s="313"/>
      <c r="S712" s="313"/>
    </row>
    <row r="713" spans="1:19" ht="16.899999999999999" hidden="1" customHeight="1" outlineLevel="1">
      <c r="A713" s="1269"/>
      <c r="B713" s="1752" t="s">
        <v>3501</v>
      </c>
      <c r="C713" s="1718" t="s">
        <v>559</v>
      </c>
      <c r="D713" s="1759">
        <f t="shared" si="285"/>
        <v>153</v>
      </c>
      <c r="E713" s="1761" t="str">
        <f t="shared" ca="1" si="284"/>
        <v>N</v>
      </c>
      <c r="F713" s="1591" t="str">
        <f t="shared" ca="1" si="281"/>
        <v>N</v>
      </c>
      <c r="G713" s="1591">
        <f ca="1">INDEX('Summary Data'!$AS$6:$FZ$57,MATCH($E713,'Summary Data'!$C$6:$C$57,0),MATCH($B713,'Summary Data'!$AS$3:$FZ$3,0)+4)</f>
        <v>0</v>
      </c>
      <c r="H713" s="1592" t="s">
        <v>5</v>
      </c>
      <c r="I713" s="1591">
        <f ca="1">INDEX('Summary Data'!$AS$6:$FZ$57,MATCH($E713,'Summary Data'!$C$6:$C$57,0),MATCH($B713,'Summary Data'!$AS$3:$FZ$3,0)+1+4)</f>
        <v>0</v>
      </c>
      <c r="J713" s="4002" t="str">
        <f t="shared" ca="1" si="282"/>
        <v>N</v>
      </c>
      <c r="K713" s="3114" t="s">
        <v>3174</v>
      </c>
      <c r="M713" s="391"/>
      <c r="N713" s="391"/>
      <c r="O713" s="313"/>
      <c r="P713" s="313"/>
      <c r="Q713" s="313"/>
      <c r="R713" s="313"/>
      <c r="S713" s="313"/>
    </row>
    <row r="714" spans="1:19" ht="16.899999999999999" hidden="1" customHeight="1" outlineLevel="1">
      <c r="A714" s="1269"/>
      <c r="B714" s="1752" t="s">
        <v>3501</v>
      </c>
      <c r="C714" s="1718" t="s">
        <v>559</v>
      </c>
      <c r="D714" s="1759">
        <f t="shared" si="285"/>
        <v>170</v>
      </c>
      <c r="E714" s="1761" t="str">
        <f t="shared" ca="1" si="284"/>
        <v>N</v>
      </c>
      <c r="F714" s="1591" t="str">
        <f t="shared" ca="1" si="281"/>
        <v>N</v>
      </c>
      <c r="G714" s="1591">
        <f ca="1">INDEX('Summary Data'!$AS$6:$FZ$57,MATCH($E714,'Summary Data'!$C$6:$C$57,0),MATCH($B714,'Summary Data'!$AS$3:$FZ$3,0)+4)</f>
        <v>0</v>
      </c>
      <c r="H714" s="1592" t="s">
        <v>5</v>
      </c>
      <c r="I714" s="1591">
        <f ca="1">INDEX('Summary Data'!$AS$6:$FZ$57,MATCH($E714,'Summary Data'!$C$6:$C$57,0),MATCH($B714,'Summary Data'!$AS$3:$FZ$3,0)+1+4)</f>
        <v>0</v>
      </c>
      <c r="J714" s="4002" t="str">
        <f t="shared" ca="1" si="282"/>
        <v>N</v>
      </c>
      <c r="K714" s="3114" t="s">
        <v>3174</v>
      </c>
      <c r="M714" s="391"/>
      <c r="N714" s="391"/>
      <c r="O714" s="313"/>
      <c r="P714" s="313"/>
      <c r="Q714" s="313"/>
      <c r="R714" s="313"/>
      <c r="S714" s="313"/>
    </row>
    <row r="715" spans="1:19" ht="16.899999999999999" hidden="1" customHeight="1" outlineLevel="1">
      <c r="A715" s="1269"/>
      <c r="B715" s="1752" t="s">
        <v>3501</v>
      </c>
      <c r="C715" s="1718" t="s">
        <v>559</v>
      </c>
      <c r="D715" s="1759">
        <f t="shared" si="285"/>
        <v>187</v>
      </c>
      <c r="E715" s="1761" t="str">
        <f t="shared" ca="1" si="284"/>
        <v>N</v>
      </c>
      <c r="F715" s="1591" t="str">
        <f t="shared" ca="1" si="281"/>
        <v>N</v>
      </c>
      <c r="G715" s="1591">
        <f ca="1">INDEX('Summary Data'!$AS$6:$FZ$57,MATCH($E715,'Summary Data'!$C$6:$C$57,0),MATCH($B715,'Summary Data'!$AS$3:$FZ$3,0)+4)</f>
        <v>0</v>
      </c>
      <c r="H715" s="1592" t="s">
        <v>5</v>
      </c>
      <c r="I715" s="1591">
        <f ca="1">INDEX('Summary Data'!$AS$6:$FZ$57,MATCH($E715,'Summary Data'!$C$6:$C$57,0),MATCH($B715,'Summary Data'!$AS$3:$FZ$3,0)+1+4)</f>
        <v>0</v>
      </c>
      <c r="J715" s="4002" t="str">
        <f t="shared" ca="1" si="282"/>
        <v>N</v>
      </c>
      <c r="K715" s="3114" t="s">
        <v>3174</v>
      </c>
      <c r="M715" s="391"/>
      <c r="N715" s="391"/>
      <c r="O715" s="313"/>
      <c r="P715" s="313"/>
      <c r="Q715" s="313"/>
      <c r="R715" s="313"/>
      <c r="S715" s="313"/>
    </row>
    <row r="716" spans="1:19" ht="16.899999999999999" hidden="1" customHeight="1" outlineLevel="1">
      <c r="A716" s="1269"/>
      <c r="B716" s="1752" t="s">
        <v>3501</v>
      </c>
      <c r="C716" s="1718" t="s">
        <v>559</v>
      </c>
      <c r="D716" s="1759">
        <f t="shared" si="285"/>
        <v>204</v>
      </c>
      <c r="E716" s="1761" t="str">
        <f t="shared" ca="1" si="284"/>
        <v>N</v>
      </c>
      <c r="F716" s="1591" t="str">
        <f t="shared" ca="1" si="281"/>
        <v>N</v>
      </c>
      <c r="G716" s="1591">
        <f ca="1">INDEX('Summary Data'!$AS$6:$FZ$57,MATCH($E716,'Summary Data'!$C$6:$C$57,0),MATCH($B716,'Summary Data'!$AS$3:$FZ$3,0)+4)</f>
        <v>0</v>
      </c>
      <c r="H716" s="1592" t="s">
        <v>5</v>
      </c>
      <c r="I716" s="1591">
        <f ca="1">INDEX('Summary Data'!$AS$6:$FZ$57,MATCH($E716,'Summary Data'!$C$6:$C$57,0),MATCH($B716,'Summary Data'!$AS$3:$FZ$3,0)+1+4)</f>
        <v>0</v>
      </c>
      <c r="J716" s="4002" t="str">
        <f t="shared" ca="1" si="282"/>
        <v>N</v>
      </c>
      <c r="K716" s="3114" t="s">
        <v>3174</v>
      </c>
      <c r="M716" s="391"/>
      <c r="N716" s="391"/>
      <c r="O716" s="313"/>
      <c r="P716" s="313"/>
      <c r="Q716" s="313"/>
      <c r="R716" s="313"/>
      <c r="S716" s="313"/>
    </row>
    <row r="717" spans="1:19" ht="16.899999999999999" hidden="1" customHeight="1" outlineLevel="1">
      <c r="A717" s="1269"/>
      <c r="B717" s="1752" t="s">
        <v>3501</v>
      </c>
      <c r="C717" s="1718" t="s">
        <v>559</v>
      </c>
      <c r="D717" s="1759">
        <f t="shared" si="285"/>
        <v>221</v>
      </c>
      <c r="E717" s="1761" t="str">
        <f t="shared" ca="1" si="284"/>
        <v>1st</v>
      </c>
      <c r="F717" s="1591" t="str">
        <f t="shared" ca="1" si="281"/>
        <v>N</v>
      </c>
      <c r="G717" s="1591">
        <f ca="1">INDEX('Summary Data'!$AS$6:$FZ$57,MATCH($E717,'Summary Data'!$C$6:$C$57,0),MATCH($B717,'Summary Data'!$AS$3:$FZ$3,0)+4)</f>
        <v>0</v>
      </c>
      <c r="H717" s="1592" t="s">
        <v>5</v>
      </c>
      <c r="I717" s="1591">
        <f ca="1">INDEX('Summary Data'!$AS$6:$FZ$57,MATCH($E717,'Summary Data'!$C$6:$C$57,0),MATCH($B717,'Summary Data'!$AS$3:$FZ$3,0)+1+4)</f>
        <v>0</v>
      </c>
      <c r="J717" s="4002" t="str">
        <f t="shared" ca="1" si="282"/>
        <v>N</v>
      </c>
      <c r="K717" s="3114" t="s">
        <v>3174</v>
      </c>
      <c r="M717" s="391"/>
      <c r="N717" s="391"/>
      <c r="O717" s="313"/>
      <c r="P717" s="313"/>
      <c r="Q717" s="313"/>
      <c r="R717" s="313"/>
      <c r="S717" s="313"/>
    </row>
    <row r="718" spans="1:19" ht="16.899999999999999" hidden="1" customHeight="1" outlineLevel="1">
      <c r="A718" s="1269"/>
      <c r="B718" s="1752" t="s">
        <v>3501</v>
      </c>
      <c r="C718" s="1718" t="s">
        <v>559</v>
      </c>
      <c r="D718" s="1759">
        <f t="shared" si="285"/>
        <v>238</v>
      </c>
      <c r="E718" s="1761" t="str">
        <f t="shared" ca="1" si="284"/>
        <v>1st</v>
      </c>
      <c r="F718" s="1591" t="str">
        <f t="shared" ca="1" si="281"/>
        <v>N</v>
      </c>
      <c r="G718" s="1591">
        <f ca="1">INDEX('Summary Data'!$AS$6:$FZ$57,MATCH($E718,'Summary Data'!$C$6:$C$57,0),MATCH($B718,'Summary Data'!$AS$3:$FZ$3,0)+4)</f>
        <v>0</v>
      </c>
      <c r="H718" s="1592" t="s">
        <v>5</v>
      </c>
      <c r="I718" s="1591">
        <f ca="1">INDEX('Summary Data'!$AS$6:$FZ$57,MATCH($E718,'Summary Data'!$C$6:$C$57,0),MATCH($B718,'Summary Data'!$AS$3:$FZ$3,0)+1+4)</f>
        <v>0</v>
      </c>
      <c r="J718" s="4002" t="str">
        <f t="shared" ca="1" si="282"/>
        <v>N</v>
      </c>
      <c r="K718" s="3114" t="s">
        <v>3174</v>
      </c>
      <c r="M718" s="391"/>
      <c r="N718" s="391"/>
      <c r="O718" s="313"/>
      <c r="P718" s="313"/>
      <c r="Q718" s="313"/>
      <c r="R718" s="313"/>
      <c r="S718" s="313"/>
    </row>
    <row r="719" spans="1:19" ht="16.899999999999999" hidden="1" customHeight="1" outlineLevel="1">
      <c r="A719" s="1269"/>
      <c r="B719" s="1752" t="s">
        <v>3501</v>
      </c>
      <c r="C719" s="1718" t="s">
        <v>559</v>
      </c>
      <c r="D719" s="1759">
        <v>0</v>
      </c>
      <c r="E719" s="3475" t="str">
        <f ca="1">OFFSET($A$281,D719,0)</f>
        <v>N</v>
      </c>
      <c r="F719" s="1591" t="str">
        <f t="shared" ca="1" si="281"/>
        <v>N</v>
      </c>
      <c r="G719" s="1591">
        <f ca="1">INDEX('Summary Data'!$AS$6:$FZ$57,MATCH($E719,'Summary Data'!$C$6:$C$57,0),MATCH($B719,'Summary Data'!$AS$3:$FZ$3,0)+4)</f>
        <v>0</v>
      </c>
      <c r="H719" s="1592" t="s">
        <v>5</v>
      </c>
      <c r="I719" s="1591">
        <f ca="1">INDEX('Summary Data'!$AS$6:$FZ$57,MATCH($E719,'Summary Data'!$C$6:$C$57,0),MATCH($B719,'Summary Data'!$AS$3:$FZ$3,0)+1+4)</f>
        <v>0</v>
      </c>
      <c r="J719" s="4002" t="str">
        <f t="shared" ca="1" si="282"/>
        <v>N</v>
      </c>
      <c r="K719" s="3114" t="s">
        <v>3174</v>
      </c>
      <c r="M719" s="391"/>
      <c r="N719" s="391"/>
      <c r="O719" s="313"/>
      <c r="P719" s="313"/>
      <c r="Q719" s="313"/>
      <c r="R719" s="313"/>
      <c r="S719" s="313"/>
    </row>
    <row r="720" spans="1:19" ht="16.899999999999999" hidden="1" customHeight="1" outlineLevel="1">
      <c r="A720" s="1269"/>
      <c r="B720" s="1752" t="s">
        <v>3501</v>
      </c>
      <c r="C720" s="1718" t="s">
        <v>559</v>
      </c>
      <c r="D720" s="1759">
        <f>D719+10</f>
        <v>10</v>
      </c>
      <c r="E720" s="3475" t="str">
        <f ca="1">OFFSET($A$281,D720,0)</f>
        <v>N</v>
      </c>
      <c r="F720" s="1591" t="str">
        <f t="shared" ca="1" si="281"/>
        <v>N</v>
      </c>
      <c r="G720" s="1591">
        <f ca="1">INDEX('Summary Data'!$AS$6:$FZ$57,MATCH($E720,'Summary Data'!$C$6:$C$57,0),MATCH($B720,'Summary Data'!$AS$3:$FZ$3,0)+4)</f>
        <v>0</v>
      </c>
      <c r="H720" s="1592" t="s">
        <v>5</v>
      </c>
      <c r="I720" s="1591">
        <f ca="1">INDEX('Summary Data'!$AS$6:$FZ$57,MATCH($E720,'Summary Data'!$C$6:$C$57,0),MATCH($B720,'Summary Data'!$AS$3:$FZ$3,0)+1+4)</f>
        <v>0</v>
      </c>
      <c r="J720" s="4002" t="str">
        <f t="shared" ca="1" si="282"/>
        <v>N</v>
      </c>
      <c r="K720" s="3114" t="s">
        <v>3174</v>
      </c>
      <c r="M720" s="391"/>
      <c r="N720" s="391"/>
      <c r="O720" s="313"/>
      <c r="P720" s="313"/>
      <c r="Q720" s="313"/>
      <c r="R720" s="313"/>
      <c r="S720" s="313"/>
    </row>
    <row r="721" spans="1:19" ht="16.899999999999999" hidden="1" customHeight="1" outlineLevel="1">
      <c r="A721" s="1269"/>
      <c r="B721" s="1752" t="s">
        <v>3501</v>
      </c>
      <c r="C721" s="1718" t="s">
        <v>559</v>
      </c>
      <c r="D721" s="1759">
        <f>D720+10</f>
        <v>20</v>
      </c>
      <c r="E721" s="3475" t="str">
        <f ca="1">OFFSET($A$281,D721,0)</f>
        <v>N</v>
      </c>
      <c r="F721" s="1591" t="str">
        <f t="shared" ca="1" si="281"/>
        <v>N</v>
      </c>
      <c r="G721" s="1591">
        <f ca="1">INDEX('Summary Data'!$AS$6:$FZ$57,MATCH($E721,'Summary Data'!$C$6:$C$57,0),MATCH($B721,'Summary Data'!$AS$3:$FZ$3,0)+4)</f>
        <v>0</v>
      </c>
      <c r="H721" s="1592" t="s">
        <v>5</v>
      </c>
      <c r="I721" s="1591">
        <f ca="1">INDEX('Summary Data'!$AS$6:$FZ$57,MATCH($E721,'Summary Data'!$C$6:$C$57,0),MATCH($B721,'Summary Data'!$AS$3:$FZ$3,0)+1+4)</f>
        <v>0</v>
      </c>
      <c r="J721" s="4002" t="str">
        <f t="shared" ca="1" si="282"/>
        <v>N</v>
      </c>
      <c r="K721" s="3114" t="s">
        <v>3174</v>
      </c>
      <c r="M721" s="391"/>
      <c r="N721" s="391"/>
      <c r="O721" s="313"/>
      <c r="P721" s="313"/>
      <c r="Q721" s="313"/>
      <c r="R721" s="313"/>
      <c r="S721" s="313"/>
    </row>
    <row r="722" spans="1:19" ht="16.899999999999999" hidden="1" customHeight="1" outlineLevel="1">
      <c r="A722" s="1269"/>
      <c r="B722" s="1752" t="s">
        <v>3501</v>
      </c>
      <c r="C722" s="1718" t="s">
        <v>192</v>
      </c>
      <c r="D722" s="1759">
        <v>0</v>
      </c>
      <c r="E722" s="3691" t="str">
        <f t="shared" ref="E722:E736" ca="1" si="286">OFFSET($A$312,D722,0)</f>
        <v>N</v>
      </c>
      <c r="F722" s="1591" t="str">
        <f t="shared" ca="1" si="281"/>
        <v>N</v>
      </c>
      <c r="G722" s="1591">
        <f ca="1">INDEX('Summary Data'!$AS$6:$FZ$57,MATCH($E722,'Summary Data'!$C$6:$C$57,0),MATCH($B722,'Summary Data'!$AS$3:$FZ$3,0)+4)</f>
        <v>0</v>
      </c>
      <c r="H722" s="1592" t="s">
        <v>5</v>
      </c>
      <c r="I722" s="1591">
        <f ca="1">INDEX('Summary Data'!$AS$6:$FZ$57,MATCH($E722,'Summary Data'!$C$6:$C$57,0),MATCH($B722,'Summary Data'!$AS$3:$FZ$3,0)+1+4)</f>
        <v>0</v>
      </c>
      <c r="J722" s="4002" t="str">
        <f t="shared" ca="1" si="282"/>
        <v>N</v>
      </c>
      <c r="K722" s="3114" t="s">
        <v>3174</v>
      </c>
      <c r="M722" s="391"/>
      <c r="N722" s="391"/>
      <c r="O722" s="313"/>
      <c r="P722" s="313"/>
      <c r="Q722" s="313"/>
      <c r="R722" s="313"/>
      <c r="S722" s="313"/>
    </row>
    <row r="723" spans="1:19" ht="16.899999999999999" hidden="1" customHeight="1" outlineLevel="1">
      <c r="A723" s="1269"/>
      <c r="B723" s="1752" t="s">
        <v>3501</v>
      </c>
      <c r="C723" s="1718" t="s">
        <v>192</v>
      </c>
      <c r="D723" s="1759">
        <f>D722+3</f>
        <v>3</v>
      </c>
      <c r="E723" s="3691" t="str">
        <f t="shared" ca="1" si="286"/>
        <v>N</v>
      </c>
      <c r="F723" s="1591" t="str">
        <f t="shared" ca="1" si="281"/>
        <v>N</v>
      </c>
      <c r="G723" s="1591">
        <f ca="1">INDEX('Summary Data'!$AS$6:$FZ$57,MATCH($E723,'Summary Data'!$C$6:$C$57,0),MATCH($B723,'Summary Data'!$AS$3:$FZ$3,0)+4)</f>
        <v>0</v>
      </c>
      <c r="H723" s="1592" t="s">
        <v>5</v>
      </c>
      <c r="I723" s="1591">
        <f ca="1">INDEX('Summary Data'!$AS$6:$FZ$57,MATCH($E723,'Summary Data'!$C$6:$C$57,0),MATCH($B723,'Summary Data'!$AS$3:$FZ$3,0)+1+4)</f>
        <v>0</v>
      </c>
      <c r="J723" s="4002" t="str">
        <f t="shared" ca="1" si="282"/>
        <v>N</v>
      </c>
      <c r="K723" s="3114" t="s">
        <v>3174</v>
      </c>
      <c r="M723" s="391"/>
      <c r="N723" s="391"/>
      <c r="O723" s="313"/>
      <c r="P723" s="313"/>
      <c r="Q723" s="313"/>
      <c r="R723" s="313"/>
      <c r="S723" s="313"/>
    </row>
    <row r="724" spans="1:19" ht="16.899999999999999" hidden="1" customHeight="1" outlineLevel="1">
      <c r="A724" s="1269"/>
      <c r="B724" s="1752" t="s">
        <v>3501</v>
      </c>
      <c r="C724" s="1718" t="s">
        <v>192</v>
      </c>
      <c r="D724" s="1759">
        <f t="shared" ref="D724:D736" si="287">D723+3</f>
        <v>6</v>
      </c>
      <c r="E724" s="3691" t="str">
        <f t="shared" ca="1" si="286"/>
        <v>N</v>
      </c>
      <c r="F724" s="1591" t="str">
        <f t="shared" ca="1" si="281"/>
        <v>N</v>
      </c>
      <c r="G724" s="1591">
        <f ca="1">INDEX('Summary Data'!$AS$6:$FZ$57,MATCH($E724,'Summary Data'!$C$6:$C$57,0),MATCH($B724,'Summary Data'!$AS$3:$FZ$3,0)+4)</f>
        <v>0</v>
      </c>
      <c r="H724" s="1592" t="s">
        <v>5</v>
      </c>
      <c r="I724" s="1591">
        <f ca="1">INDEX('Summary Data'!$AS$6:$FZ$57,MATCH($E724,'Summary Data'!$C$6:$C$57,0),MATCH($B724,'Summary Data'!$AS$3:$FZ$3,0)+1+4)</f>
        <v>0</v>
      </c>
      <c r="J724" s="4002" t="str">
        <f t="shared" ca="1" si="282"/>
        <v>N</v>
      </c>
      <c r="K724" s="3114" t="s">
        <v>3174</v>
      </c>
      <c r="M724" s="391"/>
      <c r="N724" s="391"/>
      <c r="O724" s="313"/>
      <c r="P724" s="313"/>
      <c r="Q724" s="313"/>
      <c r="R724" s="313"/>
      <c r="S724" s="313"/>
    </row>
    <row r="725" spans="1:19" ht="16.899999999999999" hidden="1" customHeight="1" outlineLevel="1">
      <c r="A725" s="1269"/>
      <c r="B725" s="1752" t="s">
        <v>3501</v>
      </c>
      <c r="C725" s="1718" t="s">
        <v>192</v>
      </c>
      <c r="D725" s="1759">
        <f t="shared" si="287"/>
        <v>9</v>
      </c>
      <c r="E725" s="3691" t="str">
        <f t="shared" ca="1" si="286"/>
        <v>N</v>
      </c>
      <c r="F725" s="1591" t="str">
        <f t="shared" ca="1" si="281"/>
        <v>N</v>
      </c>
      <c r="G725" s="1591">
        <f ca="1">INDEX('Summary Data'!$AS$6:$FZ$57,MATCH($E725,'Summary Data'!$C$6:$C$57,0),MATCH($B725,'Summary Data'!$AS$3:$FZ$3,0)+4)</f>
        <v>0</v>
      </c>
      <c r="H725" s="1592" t="s">
        <v>5</v>
      </c>
      <c r="I725" s="1591">
        <f ca="1">INDEX('Summary Data'!$AS$6:$FZ$57,MATCH($E725,'Summary Data'!$C$6:$C$57,0),MATCH($B725,'Summary Data'!$AS$3:$FZ$3,0)+1+4)</f>
        <v>0</v>
      </c>
      <c r="J725" s="4002" t="str">
        <f t="shared" ca="1" si="282"/>
        <v>N</v>
      </c>
      <c r="K725" s="3114" t="s">
        <v>3174</v>
      </c>
      <c r="M725" s="391"/>
      <c r="N725" s="391"/>
      <c r="O725" s="313"/>
      <c r="P725" s="313"/>
      <c r="Q725" s="313"/>
      <c r="R725" s="313"/>
      <c r="S725" s="313"/>
    </row>
    <row r="726" spans="1:19" ht="16.899999999999999" hidden="1" customHeight="1" outlineLevel="1">
      <c r="A726" s="1269"/>
      <c r="B726" s="1752" t="s">
        <v>3501</v>
      </c>
      <c r="C726" s="1718" t="s">
        <v>192</v>
      </c>
      <c r="D726" s="1759">
        <f t="shared" si="287"/>
        <v>12</v>
      </c>
      <c r="E726" s="3691" t="str">
        <f t="shared" ca="1" si="286"/>
        <v>N</v>
      </c>
      <c r="F726" s="1591" t="str">
        <f t="shared" ca="1" si="281"/>
        <v>N</v>
      </c>
      <c r="G726" s="1591">
        <f ca="1">INDEX('Summary Data'!$AS$6:$FZ$57,MATCH($E726,'Summary Data'!$C$6:$C$57,0),MATCH($B726,'Summary Data'!$AS$3:$FZ$3,0)+4)</f>
        <v>0</v>
      </c>
      <c r="H726" s="1592" t="s">
        <v>5</v>
      </c>
      <c r="I726" s="1591">
        <f ca="1">INDEX('Summary Data'!$AS$6:$FZ$57,MATCH($E726,'Summary Data'!$C$6:$C$57,0),MATCH($B726,'Summary Data'!$AS$3:$FZ$3,0)+1+4)</f>
        <v>0</v>
      </c>
      <c r="J726" s="4002" t="str">
        <f t="shared" ca="1" si="282"/>
        <v>N</v>
      </c>
      <c r="K726" s="3114" t="s">
        <v>3174</v>
      </c>
      <c r="M726" s="391"/>
      <c r="N726" s="391"/>
      <c r="O726" s="313"/>
      <c r="P726" s="313"/>
      <c r="Q726" s="313"/>
      <c r="R726" s="313"/>
      <c r="S726" s="313"/>
    </row>
    <row r="727" spans="1:19" ht="16.899999999999999" hidden="1" customHeight="1" outlineLevel="1">
      <c r="A727" s="1269"/>
      <c r="B727" s="1752" t="s">
        <v>3501</v>
      </c>
      <c r="C727" s="1718" t="s">
        <v>192</v>
      </c>
      <c r="D727" s="1759">
        <f t="shared" si="287"/>
        <v>15</v>
      </c>
      <c r="E727" s="3691" t="str">
        <f t="shared" ca="1" si="286"/>
        <v>N</v>
      </c>
      <c r="F727" s="1591" t="str">
        <f t="shared" ca="1" si="281"/>
        <v>N</v>
      </c>
      <c r="G727" s="1591">
        <f ca="1">INDEX('Summary Data'!$AS$6:$FZ$57,MATCH($E727,'Summary Data'!$C$6:$C$57,0),MATCH($B727,'Summary Data'!$AS$3:$FZ$3,0)+4)</f>
        <v>0</v>
      </c>
      <c r="H727" s="1592" t="s">
        <v>5</v>
      </c>
      <c r="I727" s="1591">
        <f ca="1">INDEX('Summary Data'!$AS$6:$FZ$57,MATCH($E727,'Summary Data'!$C$6:$C$57,0),MATCH($B727,'Summary Data'!$AS$3:$FZ$3,0)+1+4)</f>
        <v>0</v>
      </c>
      <c r="J727" s="4002" t="str">
        <f t="shared" ca="1" si="282"/>
        <v>N</v>
      </c>
      <c r="K727" s="3114" t="s">
        <v>3174</v>
      </c>
      <c r="M727" s="391"/>
      <c r="N727" s="391"/>
      <c r="O727" s="313"/>
      <c r="P727" s="313"/>
      <c r="Q727" s="313"/>
      <c r="R727" s="313"/>
      <c r="S727" s="313"/>
    </row>
    <row r="728" spans="1:19" ht="16.899999999999999" hidden="1" customHeight="1" outlineLevel="1">
      <c r="A728" s="1269"/>
      <c r="B728" s="1752" t="s">
        <v>3501</v>
      </c>
      <c r="C728" s="1718" t="s">
        <v>192</v>
      </c>
      <c r="D728" s="1759">
        <f t="shared" si="287"/>
        <v>18</v>
      </c>
      <c r="E728" s="3691" t="str">
        <f t="shared" ca="1" si="286"/>
        <v>N</v>
      </c>
      <c r="F728" s="1591" t="str">
        <f t="shared" ca="1" si="281"/>
        <v>N</v>
      </c>
      <c r="G728" s="1591">
        <f ca="1">INDEX('Summary Data'!$AS$6:$FZ$57,MATCH($E728,'Summary Data'!$C$6:$C$57,0),MATCH($B728,'Summary Data'!$AS$3:$FZ$3,0)+4)</f>
        <v>0</v>
      </c>
      <c r="H728" s="1592" t="s">
        <v>5</v>
      </c>
      <c r="I728" s="1591">
        <f ca="1">INDEX('Summary Data'!$AS$6:$FZ$57,MATCH($E728,'Summary Data'!$C$6:$C$57,0),MATCH($B728,'Summary Data'!$AS$3:$FZ$3,0)+1+4)</f>
        <v>0</v>
      </c>
      <c r="J728" s="4002" t="str">
        <f t="shared" ca="1" si="282"/>
        <v>N</v>
      </c>
      <c r="K728" s="3114" t="s">
        <v>3174</v>
      </c>
      <c r="M728" s="391"/>
      <c r="N728" s="391"/>
      <c r="O728" s="313"/>
      <c r="P728" s="313"/>
      <c r="Q728" s="313"/>
      <c r="R728" s="313"/>
      <c r="S728" s="313"/>
    </row>
    <row r="729" spans="1:19" ht="16.899999999999999" hidden="1" customHeight="1" outlineLevel="1">
      <c r="A729" s="1269"/>
      <c r="B729" s="1752" t="s">
        <v>3501</v>
      </c>
      <c r="C729" s="1718" t="s">
        <v>192</v>
      </c>
      <c r="D729" s="1759">
        <f t="shared" si="287"/>
        <v>21</v>
      </c>
      <c r="E729" s="3691" t="str">
        <f t="shared" ca="1" si="286"/>
        <v>N</v>
      </c>
      <c r="F729" s="1591" t="str">
        <f t="shared" ca="1" si="281"/>
        <v>N</v>
      </c>
      <c r="G729" s="1591">
        <f ca="1">INDEX('Summary Data'!$AS$6:$FZ$57,MATCH($E729,'Summary Data'!$C$6:$C$57,0),MATCH($B729,'Summary Data'!$AS$3:$FZ$3,0)+4)</f>
        <v>0</v>
      </c>
      <c r="H729" s="1592" t="s">
        <v>5</v>
      </c>
      <c r="I729" s="1591">
        <f ca="1">INDEX('Summary Data'!$AS$6:$FZ$57,MATCH($E729,'Summary Data'!$C$6:$C$57,0),MATCH($B729,'Summary Data'!$AS$3:$FZ$3,0)+1+4)</f>
        <v>0</v>
      </c>
      <c r="J729" s="4002" t="str">
        <f t="shared" ca="1" si="282"/>
        <v>N</v>
      </c>
      <c r="K729" s="3114" t="s">
        <v>3174</v>
      </c>
      <c r="M729" s="391"/>
      <c r="N729" s="391"/>
      <c r="O729" s="313"/>
      <c r="P729" s="313"/>
      <c r="Q729" s="313"/>
      <c r="R729" s="313"/>
      <c r="S729" s="313"/>
    </row>
    <row r="730" spans="1:19" ht="16.899999999999999" hidden="1" customHeight="1" outlineLevel="1">
      <c r="A730" s="1269"/>
      <c r="B730" s="1752" t="s">
        <v>3501</v>
      </c>
      <c r="C730" s="1718" t="s">
        <v>192</v>
      </c>
      <c r="D730" s="1759">
        <f t="shared" si="287"/>
        <v>24</v>
      </c>
      <c r="E730" s="3691" t="str">
        <f t="shared" ca="1" si="286"/>
        <v>N</v>
      </c>
      <c r="F730" s="1591" t="str">
        <f t="shared" ca="1" si="281"/>
        <v>N</v>
      </c>
      <c r="G730" s="1591">
        <f ca="1">INDEX('Summary Data'!$AS$6:$FZ$57,MATCH($E730,'Summary Data'!$C$6:$C$57,0),MATCH($B730,'Summary Data'!$AS$3:$FZ$3,0)+4)</f>
        <v>0</v>
      </c>
      <c r="H730" s="1592" t="s">
        <v>5</v>
      </c>
      <c r="I730" s="1591">
        <f ca="1">INDEX('Summary Data'!$AS$6:$FZ$57,MATCH($E730,'Summary Data'!$C$6:$C$57,0),MATCH($B730,'Summary Data'!$AS$3:$FZ$3,0)+1+4)</f>
        <v>0</v>
      </c>
      <c r="J730" s="4002" t="str">
        <f t="shared" ca="1" si="282"/>
        <v>N</v>
      </c>
      <c r="K730" s="3114" t="s">
        <v>3174</v>
      </c>
      <c r="M730" s="391"/>
      <c r="N730" s="391"/>
      <c r="O730" s="313"/>
      <c r="P730" s="313"/>
      <c r="Q730" s="313"/>
      <c r="R730" s="313"/>
      <c r="S730" s="313"/>
    </row>
    <row r="731" spans="1:19" ht="16.899999999999999" hidden="1" customHeight="1" outlineLevel="1">
      <c r="A731" s="1269"/>
      <c r="B731" s="1752" t="s">
        <v>3501</v>
      </c>
      <c r="C731" s="1718" t="s">
        <v>192</v>
      </c>
      <c r="D731" s="1759">
        <f t="shared" si="287"/>
        <v>27</v>
      </c>
      <c r="E731" s="3691" t="str">
        <f t="shared" ca="1" si="286"/>
        <v>N</v>
      </c>
      <c r="F731" s="1591" t="str">
        <f t="shared" ca="1" si="281"/>
        <v>N</v>
      </c>
      <c r="G731" s="1591">
        <f ca="1">INDEX('Summary Data'!$AS$6:$FZ$57,MATCH($E731,'Summary Data'!$C$6:$C$57,0),MATCH($B731,'Summary Data'!$AS$3:$FZ$3,0)+4)</f>
        <v>0</v>
      </c>
      <c r="H731" s="1592" t="s">
        <v>5</v>
      </c>
      <c r="I731" s="1591">
        <f ca="1">INDEX('Summary Data'!$AS$6:$FZ$57,MATCH($E731,'Summary Data'!$C$6:$C$57,0),MATCH($B731,'Summary Data'!$AS$3:$FZ$3,0)+1+4)</f>
        <v>0</v>
      </c>
      <c r="J731" s="4002" t="str">
        <f t="shared" ca="1" si="282"/>
        <v>N</v>
      </c>
      <c r="K731" s="3114" t="s">
        <v>3174</v>
      </c>
      <c r="M731" s="391"/>
      <c r="N731" s="391"/>
      <c r="O731" s="313"/>
      <c r="P731" s="313"/>
      <c r="Q731" s="313"/>
      <c r="R731" s="313"/>
      <c r="S731" s="313"/>
    </row>
    <row r="732" spans="1:19" ht="16.899999999999999" hidden="1" customHeight="1" outlineLevel="1">
      <c r="A732" s="1269"/>
      <c r="B732" s="1752" t="s">
        <v>3501</v>
      </c>
      <c r="C732" s="1718" t="s">
        <v>192</v>
      </c>
      <c r="D732" s="1759">
        <f t="shared" si="287"/>
        <v>30</v>
      </c>
      <c r="E732" s="3691" t="str">
        <f t="shared" ca="1" si="286"/>
        <v>N</v>
      </c>
      <c r="F732" s="1591" t="str">
        <f t="shared" ca="1" si="281"/>
        <v>N</v>
      </c>
      <c r="G732" s="1591">
        <f ca="1">INDEX('Summary Data'!$AS$6:$FZ$57,MATCH($E732,'Summary Data'!$C$6:$C$57,0),MATCH($B732,'Summary Data'!$AS$3:$FZ$3,0)+4)</f>
        <v>0</v>
      </c>
      <c r="H732" s="1592" t="s">
        <v>5</v>
      </c>
      <c r="I732" s="1591">
        <f ca="1">INDEX('Summary Data'!$AS$6:$FZ$57,MATCH($E732,'Summary Data'!$C$6:$C$57,0),MATCH($B732,'Summary Data'!$AS$3:$FZ$3,0)+1+4)</f>
        <v>0</v>
      </c>
      <c r="J732" s="4002" t="str">
        <f t="shared" ca="1" si="282"/>
        <v>N</v>
      </c>
      <c r="K732" s="3114" t="s">
        <v>3174</v>
      </c>
      <c r="M732" s="391"/>
      <c r="N732" s="391"/>
      <c r="O732" s="313"/>
      <c r="P732" s="313"/>
      <c r="Q732" s="313"/>
      <c r="R732" s="313"/>
      <c r="S732" s="313"/>
    </row>
    <row r="733" spans="1:19" ht="16.899999999999999" hidden="1" customHeight="1" outlineLevel="1">
      <c r="A733" s="1269"/>
      <c r="B733" s="1752" t="s">
        <v>3501</v>
      </c>
      <c r="C733" s="1718" t="s">
        <v>192</v>
      </c>
      <c r="D733" s="1759">
        <f t="shared" si="287"/>
        <v>33</v>
      </c>
      <c r="E733" s="3691" t="str">
        <f t="shared" ca="1" si="286"/>
        <v>N</v>
      </c>
      <c r="F733" s="1591" t="str">
        <f t="shared" ca="1" si="281"/>
        <v>N</v>
      </c>
      <c r="G733" s="1591">
        <f ca="1">INDEX('Summary Data'!$AS$6:$FZ$57,MATCH($E733,'Summary Data'!$C$6:$C$57,0),MATCH($B733,'Summary Data'!$AS$3:$FZ$3,0)+4)</f>
        <v>0</v>
      </c>
      <c r="H733" s="1592" t="s">
        <v>5</v>
      </c>
      <c r="I733" s="1591">
        <f ca="1">INDEX('Summary Data'!$AS$6:$FZ$57,MATCH($E733,'Summary Data'!$C$6:$C$57,0),MATCH($B733,'Summary Data'!$AS$3:$FZ$3,0)+1+4)</f>
        <v>0</v>
      </c>
      <c r="J733" s="4002" t="str">
        <f t="shared" ca="1" si="282"/>
        <v>N</v>
      </c>
      <c r="K733" s="3114" t="s">
        <v>3174</v>
      </c>
      <c r="M733" s="391"/>
      <c r="N733" s="391"/>
      <c r="O733" s="313"/>
      <c r="P733" s="313"/>
      <c r="Q733" s="313"/>
      <c r="R733" s="313"/>
      <c r="S733" s="313"/>
    </row>
    <row r="734" spans="1:19" ht="16.899999999999999" hidden="1" customHeight="1" outlineLevel="1">
      <c r="A734" s="1269"/>
      <c r="B734" s="1752" t="s">
        <v>3501</v>
      </c>
      <c r="C734" s="1718" t="s">
        <v>192</v>
      </c>
      <c r="D734" s="1759">
        <f t="shared" si="287"/>
        <v>36</v>
      </c>
      <c r="E734" s="3691" t="str">
        <f t="shared" ca="1" si="286"/>
        <v>N</v>
      </c>
      <c r="F734" s="1591" t="str">
        <f t="shared" ca="1" si="281"/>
        <v>N</v>
      </c>
      <c r="G734" s="1591">
        <f ca="1">INDEX('Summary Data'!$AS$6:$FZ$57,MATCH($E734,'Summary Data'!$C$6:$C$57,0),MATCH($B734,'Summary Data'!$AS$3:$FZ$3,0)+4)</f>
        <v>0</v>
      </c>
      <c r="H734" s="1592" t="s">
        <v>5</v>
      </c>
      <c r="I734" s="1591">
        <f ca="1">INDEX('Summary Data'!$AS$6:$FZ$57,MATCH($E734,'Summary Data'!$C$6:$C$57,0),MATCH($B734,'Summary Data'!$AS$3:$FZ$3,0)+1+4)</f>
        <v>0</v>
      </c>
      <c r="J734" s="4002" t="str">
        <f t="shared" ca="1" si="282"/>
        <v>N</v>
      </c>
      <c r="K734" s="3114" t="s">
        <v>3174</v>
      </c>
      <c r="M734" s="391"/>
      <c r="N734" s="391"/>
      <c r="O734" s="313"/>
      <c r="P734" s="313"/>
      <c r="Q734" s="313"/>
      <c r="R734" s="313"/>
      <c r="S734" s="313"/>
    </row>
    <row r="735" spans="1:19" ht="16.899999999999999" hidden="1" customHeight="1" outlineLevel="1">
      <c r="A735" s="1269"/>
      <c r="B735" s="1752" t="s">
        <v>3501</v>
      </c>
      <c r="C735" s="1718" t="s">
        <v>192</v>
      </c>
      <c r="D735" s="1759">
        <f t="shared" si="287"/>
        <v>39</v>
      </c>
      <c r="E735" s="3691" t="str">
        <f t="shared" ca="1" si="286"/>
        <v>N</v>
      </c>
      <c r="F735" s="1591" t="str">
        <f t="shared" ca="1" si="281"/>
        <v>N</v>
      </c>
      <c r="G735" s="1591">
        <f ca="1">INDEX('Summary Data'!$AS$6:$FZ$57,MATCH($E735,'Summary Data'!$C$6:$C$57,0),MATCH($B735,'Summary Data'!$AS$3:$FZ$3,0)+4)</f>
        <v>0</v>
      </c>
      <c r="H735" s="1592" t="s">
        <v>5</v>
      </c>
      <c r="I735" s="1591">
        <f ca="1">INDEX('Summary Data'!$AS$6:$FZ$57,MATCH($E735,'Summary Data'!$C$6:$C$57,0),MATCH($B735,'Summary Data'!$AS$3:$FZ$3,0)+1+4)</f>
        <v>0</v>
      </c>
      <c r="J735" s="4002" t="str">
        <f t="shared" ca="1" si="282"/>
        <v>N</v>
      </c>
      <c r="K735" s="3114" t="s">
        <v>3174</v>
      </c>
      <c r="M735" s="391"/>
      <c r="N735" s="391"/>
      <c r="O735" s="313"/>
      <c r="P735" s="313"/>
      <c r="Q735" s="313"/>
      <c r="R735" s="313"/>
      <c r="S735" s="313"/>
    </row>
    <row r="736" spans="1:19" ht="16.899999999999999" hidden="1" customHeight="1" outlineLevel="1">
      <c r="A736" s="1269"/>
      <c r="B736" s="1752" t="s">
        <v>3501</v>
      </c>
      <c r="C736" s="1718" t="s">
        <v>192</v>
      </c>
      <c r="D736" s="1759">
        <f t="shared" si="287"/>
        <v>42</v>
      </c>
      <c r="E736" s="3691" t="str">
        <f t="shared" ca="1" si="286"/>
        <v>N</v>
      </c>
      <c r="F736" s="1591" t="str">
        <f t="shared" ca="1" si="281"/>
        <v>N</v>
      </c>
      <c r="G736" s="1591">
        <f ca="1">INDEX('Summary Data'!$AS$6:$FZ$57,MATCH($E736,'Summary Data'!$C$6:$C$57,0),MATCH($B736,'Summary Data'!$AS$3:$FZ$3,0)+4)</f>
        <v>0</v>
      </c>
      <c r="H736" s="1592" t="s">
        <v>5</v>
      </c>
      <c r="I736" s="1591">
        <f ca="1">INDEX('Summary Data'!$AS$6:$FZ$57,MATCH($E736,'Summary Data'!$C$6:$C$57,0),MATCH($B736,'Summary Data'!$AS$3:$FZ$3,0)+1+4)</f>
        <v>0</v>
      </c>
      <c r="J736" s="4002" t="str">
        <f t="shared" ca="1" si="282"/>
        <v>N</v>
      </c>
      <c r="K736" s="3114" t="s">
        <v>3174</v>
      </c>
      <c r="M736" s="391"/>
      <c r="N736" s="391"/>
      <c r="O736" s="313"/>
      <c r="P736" s="313"/>
      <c r="Q736" s="313"/>
      <c r="R736" s="313"/>
      <c r="S736" s="313"/>
    </row>
    <row r="737" spans="1:19" ht="16.899999999999999" hidden="1" customHeight="1" outlineLevel="1">
      <c r="A737" s="1269"/>
      <c r="B737" s="1752" t="s">
        <v>3501</v>
      </c>
      <c r="C737" s="1718" t="s">
        <v>252</v>
      </c>
      <c r="D737" s="1759">
        <v>0</v>
      </c>
      <c r="E737" s="3693" t="str">
        <f ca="1">OFFSET($A$358,D737,0)</f>
        <v>E-flute 115/105</v>
      </c>
      <c r="F737" s="1591" t="str">
        <f t="shared" ca="1" si="281"/>
        <v>N</v>
      </c>
      <c r="G737" s="1591">
        <f ca="1">INDEX('Summary Data'!$AS$6:$FZ$57,MATCH($E737,'Summary Data'!$C$6:$C$57,0),MATCH($B737,'Summary Data'!$AS$3:$FZ$3,0)+4)</f>
        <v>0</v>
      </c>
      <c r="H737" s="1592" t="s">
        <v>5</v>
      </c>
      <c r="I737" s="1591">
        <f ca="1">INDEX('Summary Data'!$AS$6:$FZ$57,MATCH($E737,'Summary Data'!$C$6:$C$57,0),MATCH($B737,'Summary Data'!$AS$3:$FZ$3,0)+1+4)</f>
        <v>0</v>
      </c>
      <c r="J737" s="4002" t="str">
        <f t="shared" ca="1" si="282"/>
        <v>N</v>
      </c>
      <c r="K737" s="3114" t="s">
        <v>3174</v>
      </c>
      <c r="M737" s="391"/>
      <c r="N737" s="391"/>
      <c r="O737" s="313"/>
      <c r="P737" s="313"/>
      <c r="Q737" s="313"/>
      <c r="R737" s="313"/>
      <c r="S737" s="313"/>
    </row>
    <row r="738" spans="1:19" ht="16.899999999999999" hidden="1" customHeight="1" outlineLevel="1">
      <c r="A738" s="1269"/>
      <c r="B738" s="1752" t="s">
        <v>3501</v>
      </c>
      <c r="C738" s="1718" t="s">
        <v>252</v>
      </c>
      <c r="D738" s="1759">
        <f>D737+3</f>
        <v>3</v>
      </c>
      <c r="E738" s="3693" t="str">
        <f ca="1">OFFSET($A$358,D738,0)</f>
        <v>N</v>
      </c>
      <c r="F738" s="1591" t="str">
        <f t="shared" ca="1" si="281"/>
        <v>N</v>
      </c>
      <c r="G738" s="1591">
        <f ca="1">INDEX('Summary Data'!$AS$6:$FZ$57,MATCH($E738,'Summary Data'!$C$6:$C$57,0),MATCH($B738,'Summary Data'!$AS$3:$FZ$3,0)+4)</f>
        <v>0</v>
      </c>
      <c r="H738" s="1592" t="s">
        <v>5</v>
      </c>
      <c r="I738" s="1591">
        <f ca="1">INDEX('Summary Data'!$AS$6:$FZ$57,MATCH($E738,'Summary Data'!$C$6:$C$57,0),MATCH($B738,'Summary Data'!$AS$3:$FZ$3,0)+1+4)</f>
        <v>0</v>
      </c>
      <c r="J738" s="4002" t="str">
        <f t="shared" ca="1" si="282"/>
        <v>N</v>
      </c>
      <c r="K738" s="3114" t="s">
        <v>3174</v>
      </c>
      <c r="M738" s="391"/>
      <c r="N738" s="391"/>
      <c r="O738" s="313"/>
      <c r="P738" s="313"/>
      <c r="Q738" s="313"/>
      <c r="R738" s="313"/>
      <c r="S738" s="313"/>
    </row>
    <row r="739" spans="1:19" ht="16.899999999999999" hidden="1" customHeight="1" outlineLevel="1">
      <c r="A739" s="1269"/>
      <c r="B739" s="1752" t="s">
        <v>3501</v>
      </c>
      <c r="C739" s="1718" t="s">
        <v>252</v>
      </c>
      <c r="D739" s="1759">
        <f t="shared" ref="D739:D741" si="288">D738+3</f>
        <v>6</v>
      </c>
      <c r="E739" s="3693" t="str">
        <f ca="1">OFFSET($A$358,D739,0)</f>
        <v>N</v>
      </c>
      <c r="F739" s="1591" t="str">
        <f t="shared" ca="1" si="281"/>
        <v>N</v>
      </c>
      <c r="G739" s="1591">
        <f ca="1">INDEX('Summary Data'!$AS$6:$FZ$57,MATCH($E739,'Summary Data'!$C$6:$C$57,0),MATCH($B739,'Summary Data'!$AS$3:$FZ$3,0)+4)</f>
        <v>0</v>
      </c>
      <c r="H739" s="1592" t="s">
        <v>5</v>
      </c>
      <c r="I739" s="1591">
        <f ca="1">INDEX('Summary Data'!$AS$6:$FZ$57,MATCH($E739,'Summary Data'!$C$6:$C$57,0),MATCH($B739,'Summary Data'!$AS$3:$FZ$3,0)+1+4)</f>
        <v>0</v>
      </c>
      <c r="J739" s="4002" t="str">
        <f t="shared" ca="1" si="282"/>
        <v>N</v>
      </c>
      <c r="K739" s="3114" t="s">
        <v>3174</v>
      </c>
      <c r="M739" s="391"/>
      <c r="N739" s="391"/>
      <c r="O739" s="313"/>
      <c r="P739" s="313"/>
      <c r="Q739" s="313"/>
      <c r="R739" s="313"/>
      <c r="S739" s="313"/>
    </row>
    <row r="740" spans="1:19" ht="16.899999999999999" hidden="1" customHeight="1" outlineLevel="1">
      <c r="A740" s="1269"/>
      <c r="B740" s="1752" t="s">
        <v>3501</v>
      </c>
      <c r="C740" s="1718" t="s">
        <v>252</v>
      </c>
      <c r="D740" s="1759">
        <f t="shared" si="288"/>
        <v>9</v>
      </c>
      <c r="E740" s="3693" t="str">
        <f ca="1">OFFSET($A$358,D740,0)</f>
        <v>N</v>
      </c>
      <c r="F740" s="1591" t="str">
        <f t="shared" ca="1" si="281"/>
        <v>N</v>
      </c>
      <c r="G740" s="1591">
        <f ca="1">INDEX('Summary Data'!$AS$6:$FZ$57,MATCH($E740,'Summary Data'!$C$6:$C$57,0),MATCH($B740,'Summary Data'!$AS$3:$FZ$3,0)+4)</f>
        <v>0</v>
      </c>
      <c r="H740" s="1592" t="s">
        <v>5</v>
      </c>
      <c r="I740" s="1591">
        <f ca="1">INDEX('Summary Data'!$AS$6:$FZ$57,MATCH($E740,'Summary Data'!$C$6:$C$57,0),MATCH($B740,'Summary Data'!$AS$3:$FZ$3,0)+1+4)</f>
        <v>0</v>
      </c>
      <c r="J740" s="4002" t="str">
        <f t="shared" ca="1" si="282"/>
        <v>N</v>
      </c>
      <c r="K740" s="3114" t="s">
        <v>3174</v>
      </c>
      <c r="M740" s="391"/>
      <c r="N740" s="391"/>
      <c r="O740" s="313"/>
      <c r="P740" s="313"/>
      <c r="Q740" s="313"/>
      <c r="R740" s="313"/>
      <c r="S740" s="313"/>
    </row>
    <row r="741" spans="1:19" ht="16.899999999999999" hidden="1" customHeight="1" outlineLevel="1">
      <c r="A741" s="1269"/>
      <c r="B741" s="1752" t="s">
        <v>3501</v>
      </c>
      <c r="C741" s="1718" t="s">
        <v>252</v>
      </c>
      <c r="D741" s="1759">
        <f t="shared" si="288"/>
        <v>12</v>
      </c>
      <c r="E741" s="3693" t="str">
        <f ca="1">OFFSET($A$358,D741,0)</f>
        <v>N</v>
      </c>
      <c r="F741" s="1591" t="str">
        <f t="shared" ca="1" si="281"/>
        <v>N</v>
      </c>
      <c r="G741" s="1591">
        <f ca="1">INDEX('Summary Data'!$AS$6:$FZ$57,MATCH($E741,'Summary Data'!$C$6:$C$57,0),MATCH($B741,'Summary Data'!$AS$3:$FZ$3,0)+4)</f>
        <v>0</v>
      </c>
      <c r="H741" s="1592" t="s">
        <v>5</v>
      </c>
      <c r="I741" s="1591">
        <f ca="1">INDEX('Summary Data'!$AS$6:$FZ$57,MATCH($E741,'Summary Data'!$C$6:$C$57,0),MATCH($B741,'Summary Data'!$AS$3:$FZ$3,0)+1+4)</f>
        <v>0</v>
      </c>
      <c r="J741" s="4002" t="str">
        <f t="shared" ca="1" si="282"/>
        <v>N</v>
      </c>
      <c r="K741" s="3114" t="s">
        <v>3174</v>
      </c>
      <c r="M741" s="391"/>
      <c r="N741" s="391"/>
      <c r="O741" s="313"/>
      <c r="P741" s="313"/>
      <c r="Q741" s="313"/>
      <c r="R741" s="313"/>
      <c r="S741" s="313"/>
    </row>
    <row r="742" spans="1:19" ht="16.899999999999999" hidden="1" customHeight="1" outlineLevel="1">
      <c r="A742" s="1269"/>
      <c r="B742" s="1752" t="s">
        <v>3501</v>
      </c>
      <c r="C742" s="1718" t="s">
        <v>1477</v>
      </c>
      <c r="D742" s="1759">
        <v>0</v>
      </c>
      <c r="E742" s="1761" t="str">
        <f t="shared" ref="E742:E773" ca="1" si="289">OFFSET($A$25,D742,0)</f>
        <v>Box</v>
      </c>
      <c r="F742" s="1591" t="str">
        <f t="shared" ca="1" si="281"/>
        <v>N</v>
      </c>
      <c r="G742" s="1591">
        <f ca="1">INDEX('Summary Data'!$AS$6:$FZ$57,MATCH($E742,'Summary Data'!$C$6:$C$57,0),MATCH($C742,'Summary Data'!$AS$3:$FZ$3,0))</f>
        <v>0</v>
      </c>
      <c r="H742" s="1592" t="s">
        <v>5</v>
      </c>
      <c r="I742" s="1591">
        <f ca="1">INDEX('Summary Data'!$AS$6:$FZ$57,MATCH($E742,'Summary Data'!$C$6:$C$57,0),MATCH($C742,'Summary Data'!$AS$3:$FZ$3,0)+1)</f>
        <v>0</v>
      </c>
      <c r="J742" s="4002" t="str">
        <f t="shared" ca="1" si="282"/>
        <v>N</v>
      </c>
      <c r="K742" s="3114" t="s">
        <v>3174</v>
      </c>
      <c r="M742" s="391"/>
      <c r="N742" s="391"/>
      <c r="O742" s="313"/>
      <c r="P742" s="313"/>
      <c r="Q742" s="313"/>
      <c r="R742" s="313"/>
      <c r="S742" s="313"/>
    </row>
    <row r="743" spans="1:19" ht="16.899999999999999" hidden="1" customHeight="1" outlineLevel="1">
      <c r="A743" s="1269"/>
      <c r="B743" s="1752" t="s">
        <v>3501</v>
      </c>
      <c r="C743" s="1718" t="s">
        <v>1477</v>
      </c>
      <c r="D743" s="1759">
        <f>D742+17</f>
        <v>17</v>
      </c>
      <c r="E743" s="1761" t="str">
        <f t="shared" ca="1" si="289"/>
        <v>N</v>
      </c>
      <c r="F743" s="1591" t="str">
        <f t="shared" ca="1" si="281"/>
        <v>N</v>
      </c>
      <c r="G743" s="1591">
        <f ca="1">INDEX('Summary Data'!$AS$6:$FZ$57,MATCH($E743,'Summary Data'!$C$6:$C$57,0),MATCH($C743,'Summary Data'!$AS$3:$FZ$3,0))</f>
        <v>0</v>
      </c>
      <c r="H743" s="1592" t="s">
        <v>5</v>
      </c>
      <c r="I743" s="1591">
        <f ca="1">INDEX('Summary Data'!$AS$6:$FZ$57,MATCH($E743,'Summary Data'!$C$6:$C$57,0),MATCH($C743,'Summary Data'!$AS$3:$FZ$3,0)+1)</f>
        <v>0</v>
      </c>
      <c r="J743" s="4002" t="str">
        <f t="shared" ca="1" si="282"/>
        <v>N</v>
      </c>
      <c r="K743" s="3114" t="s">
        <v>3174</v>
      </c>
      <c r="M743" s="391"/>
      <c r="N743" s="391"/>
      <c r="O743" s="313"/>
      <c r="P743" s="313"/>
      <c r="Q743" s="313"/>
      <c r="R743" s="313"/>
      <c r="S743" s="313"/>
    </row>
    <row r="744" spans="1:19" ht="16.899999999999999" hidden="1" customHeight="1" outlineLevel="1">
      <c r="A744" s="1269"/>
      <c r="B744" s="1752" t="s">
        <v>3501</v>
      </c>
      <c r="C744" s="1718" t="s">
        <v>1477</v>
      </c>
      <c r="D744" s="1759">
        <f t="shared" ref="D744:D756" si="290">D743+17</f>
        <v>34</v>
      </c>
      <c r="E744" s="1761" t="str">
        <f t="shared" ca="1" si="289"/>
        <v>N</v>
      </c>
      <c r="F744" s="1591" t="str">
        <f t="shared" ca="1" si="281"/>
        <v>N</v>
      </c>
      <c r="G744" s="1591">
        <f ca="1">INDEX('Summary Data'!$AS$6:$FZ$57,MATCH($E744,'Summary Data'!$C$6:$C$57,0),MATCH($C744,'Summary Data'!$AS$3:$FZ$3,0))</f>
        <v>0</v>
      </c>
      <c r="H744" s="1592" t="s">
        <v>5</v>
      </c>
      <c r="I744" s="1591">
        <f ca="1">INDEX('Summary Data'!$AS$6:$FZ$57,MATCH($E744,'Summary Data'!$C$6:$C$57,0),MATCH($C744,'Summary Data'!$AS$3:$FZ$3,0)+1)</f>
        <v>0</v>
      </c>
      <c r="J744" s="4002" t="str">
        <f t="shared" ca="1" si="282"/>
        <v>N</v>
      </c>
      <c r="K744" s="3114" t="s">
        <v>3174</v>
      </c>
      <c r="M744" s="391"/>
      <c r="N744" s="391"/>
      <c r="O744" s="313"/>
      <c r="P744" s="313"/>
      <c r="Q744" s="313"/>
      <c r="R744" s="313"/>
      <c r="S744" s="313"/>
    </row>
    <row r="745" spans="1:19" ht="16.899999999999999" hidden="1" customHeight="1" outlineLevel="1">
      <c r="A745" s="1269"/>
      <c r="B745" s="1752" t="s">
        <v>3501</v>
      </c>
      <c r="C745" s="1718" t="s">
        <v>1477</v>
      </c>
      <c r="D745" s="1759">
        <f t="shared" si="290"/>
        <v>51</v>
      </c>
      <c r="E745" s="1761" t="str">
        <f t="shared" ca="1" si="289"/>
        <v>N</v>
      </c>
      <c r="F745" s="1591" t="str">
        <f t="shared" ca="1" si="281"/>
        <v>N</v>
      </c>
      <c r="G745" s="1591">
        <f ca="1">INDEX('Summary Data'!$AS$6:$FZ$57,MATCH($E745,'Summary Data'!$C$6:$C$57,0),MATCH($C745,'Summary Data'!$AS$3:$FZ$3,0))</f>
        <v>0</v>
      </c>
      <c r="H745" s="1592" t="s">
        <v>5</v>
      </c>
      <c r="I745" s="1591">
        <f ca="1">INDEX('Summary Data'!$AS$6:$FZ$57,MATCH($E745,'Summary Data'!$C$6:$C$57,0),MATCH($C745,'Summary Data'!$AS$3:$FZ$3,0)+1)</f>
        <v>0</v>
      </c>
      <c r="J745" s="4002" t="str">
        <f t="shared" ca="1" si="282"/>
        <v>N</v>
      </c>
      <c r="K745" s="3114" t="s">
        <v>3174</v>
      </c>
      <c r="M745" s="391"/>
      <c r="N745" s="391"/>
      <c r="O745" s="313"/>
      <c r="P745" s="313"/>
      <c r="Q745" s="313"/>
      <c r="R745" s="313"/>
      <c r="S745" s="313"/>
    </row>
    <row r="746" spans="1:19" ht="16.899999999999999" hidden="1" customHeight="1" outlineLevel="1">
      <c r="A746" s="1269"/>
      <c r="B746" s="1752" t="s">
        <v>3501</v>
      </c>
      <c r="C746" s="1718" t="s">
        <v>1477</v>
      </c>
      <c r="D746" s="1759">
        <f t="shared" si="290"/>
        <v>68</v>
      </c>
      <c r="E746" s="1761" t="str">
        <f t="shared" ca="1" si="289"/>
        <v>N</v>
      </c>
      <c r="F746" s="1591" t="str">
        <f t="shared" ca="1" si="281"/>
        <v>N</v>
      </c>
      <c r="G746" s="1591">
        <f ca="1">INDEX('Summary Data'!$AS$6:$FZ$57,MATCH($E746,'Summary Data'!$C$6:$C$57,0),MATCH($C746,'Summary Data'!$AS$3:$FZ$3,0))</f>
        <v>0</v>
      </c>
      <c r="H746" s="1592" t="s">
        <v>5</v>
      </c>
      <c r="I746" s="1591">
        <f ca="1">INDEX('Summary Data'!$AS$6:$FZ$57,MATCH($E746,'Summary Data'!$C$6:$C$57,0),MATCH($C746,'Summary Data'!$AS$3:$FZ$3,0)+1)</f>
        <v>0</v>
      </c>
      <c r="J746" s="4002" t="str">
        <f t="shared" ca="1" si="282"/>
        <v>N</v>
      </c>
      <c r="K746" s="3114" t="s">
        <v>3174</v>
      </c>
      <c r="M746" s="391"/>
      <c r="N746" s="391"/>
      <c r="O746" s="313"/>
      <c r="P746" s="313"/>
      <c r="Q746" s="313"/>
      <c r="R746" s="313"/>
      <c r="S746" s="313"/>
    </row>
    <row r="747" spans="1:19" ht="16.899999999999999" hidden="1" customHeight="1" outlineLevel="1">
      <c r="A747" s="1269"/>
      <c r="B747" s="1752" t="s">
        <v>3501</v>
      </c>
      <c r="C747" s="1718" t="s">
        <v>1477</v>
      </c>
      <c r="D747" s="1759">
        <f t="shared" si="290"/>
        <v>85</v>
      </c>
      <c r="E747" s="1761" t="str">
        <f t="shared" ca="1" si="289"/>
        <v>N</v>
      </c>
      <c r="F747" s="1591" t="str">
        <f t="shared" ca="1" si="281"/>
        <v>N</v>
      </c>
      <c r="G747" s="1591">
        <f ca="1">INDEX('Summary Data'!$AS$6:$FZ$57,MATCH($E747,'Summary Data'!$C$6:$C$57,0),MATCH($C747,'Summary Data'!$AS$3:$FZ$3,0))</f>
        <v>0</v>
      </c>
      <c r="H747" s="1592" t="s">
        <v>5</v>
      </c>
      <c r="I747" s="1591">
        <f ca="1">INDEX('Summary Data'!$AS$6:$FZ$57,MATCH($E747,'Summary Data'!$C$6:$C$57,0),MATCH($C747,'Summary Data'!$AS$3:$FZ$3,0)+1)</f>
        <v>0</v>
      </c>
      <c r="J747" s="4002" t="str">
        <f t="shared" ca="1" si="282"/>
        <v>N</v>
      </c>
      <c r="K747" s="3114" t="s">
        <v>3174</v>
      </c>
      <c r="M747" s="391"/>
      <c r="N747" s="391"/>
      <c r="O747" s="313"/>
      <c r="P747" s="313"/>
      <c r="Q747" s="313"/>
      <c r="R747" s="313"/>
      <c r="S747" s="313"/>
    </row>
    <row r="748" spans="1:19" ht="16.899999999999999" hidden="1" customHeight="1" outlineLevel="1">
      <c r="A748" s="1269"/>
      <c r="B748" s="1752" t="s">
        <v>3501</v>
      </c>
      <c r="C748" s="1718" t="s">
        <v>1477</v>
      </c>
      <c r="D748" s="1759">
        <f t="shared" si="290"/>
        <v>102</v>
      </c>
      <c r="E748" s="1761" t="str">
        <f t="shared" ca="1" si="289"/>
        <v>N</v>
      </c>
      <c r="F748" s="1591" t="str">
        <f t="shared" ca="1" si="281"/>
        <v>N</v>
      </c>
      <c r="G748" s="1591">
        <f ca="1">INDEX('Summary Data'!$AS$6:$FZ$57,MATCH($E748,'Summary Data'!$C$6:$C$57,0),MATCH($C748,'Summary Data'!$AS$3:$FZ$3,0))</f>
        <v>0</v>
      </c>
      <c r="H748" s="1592" t="s">
        <v>5</v>
      </c>
      <c r="I748" s="1591">
        <f ca="1">INDEX('Summary Data'!$AS$6:$FZ$57,MATCH($E748,'Summary Data'!$C$6:$C$57,0),MATCH($C748,'Summary Data'!$AS$3:$FZ$3,0)+1)</f>
        <v>0</v>
      </c>
      <c r="J748" s="4002" t="str">
        <f t="shared" ca="1" si="282"/>
        <v>N</v>
      </c>
      <c r="K748" s="3114" t="s">
        <v>3174</v>
      </c>
      <c r="M748" s="391"/>
      <c r="N748" s="391"/>
      <c r="O748" s="313"/>
      <c r="P748" s="313"/>
      <c r="Q748" s="313"/>
      <c r="R748" s="313"/>
      <c r="S748" s="313"/>
    </row>
    <row r="749" spans="1:19" ht="16.899999999999999" hidden="1" customHeight="1" outlineLevel="1">
      <c r="A749" s="1269"/>
      <c r="B749" s="1752" t="s">
        <v>3501</v>
      </c>
      <c r="C749" s="1718" t="s">
        <v>1477</v>
      </c>
      <c r="D749" s="1759">
        <f t="shared" si="290"/>
        <v>119</v>
      </c>
      <c r="E749" s="1761" t="str">
        <f t="shared" ca="1" si="289"/>
        <v>N</v>
      </c>
      <c r="F749" s="1591" t="str">
        <f t="shared" ca="1" si="281"/>
        <v>N</v>
      </c>
      <c r="G749" s="1591">
        <f ca="1">INDEX('Summary Data'!$AS$6:$FZ$57,MATCH($E749,'Summary Data'!$C$6:$C$57,0),MATCH($C749,'Summary Data'!$AS$3:$FZ$3,0))</f>
        <v>0</v>
      </c>
      <c r="H749" s="1592" t="s">
        <v>5</v>
      </c>
      <c r="I749" s="1591">
        <f ca="1">INDEX('Summary Data'!$AS$6:$FZ$57,MATCH($E749,'Summary Data'!$C$6:$C$57,0),MATCH($C749,'Summary Data'!$AS$3:$FZ$3,0)+1)</f>
        <v>0</v>
      </c>
      <c r="J749" s="4002" t="str">
        <f t="shared" ca="1" si="282"/>
        <v>N</v>
      </c>
      <c r="K749" s="3114" t="s">
        <v>3174</v>
      </c>
      <c r="M749" s="391"/>
      <c r="N749" s="391"/>
      <c r="O749" s="313"/>
      <c r="P749" s="313"/>
      <c r="Q749" s="313"/>
      <c r="R749" s="313"/>
      <c r="S749" s="313"/>
    </row>
    <row r="750" spans="1:19" ht="16.899999999999999" hidden="1" customHeight="1" outlineLevel="1">
      <c r="A750" s="1269"/>
      <c r="B750" s="1752" t="s">
        <v>3501</v>
      </c>
      <c r="C750" s="1718" t="s">
        <v>1477</v>
      </c>
      <c r="D750" s="1759">
        <f t="shared" si="290"/>
        <v>136</v>
      </c>
      <c r="E750" s="1761" t="str">
        <f t="shared" ca="1" si="289"/>
        <v>N</v>
      </c>
      <c r="F750" s="1591" t="str">
        <f t="shared" ca="1" si="281"/>
        <v>N</v>
      </c>
      <c r="G750" s="1591">
        <f ca="1">INDEX('Summary Data'!$AS$6:$FZ$57,MATCH($E750,'Summary Data'!$C$6:$C$57,0),MATCH($C750,'Summary Data'!$AS$3:$FZ$3,0))</f>
        <v>0</v>
      </c>
      <c r="H750" s="1592" t="s">
        <v>5</v>
      </c>
      <c r="I750" s="1591">
        <f ca="1">INDEX('Summary Data'!$AS$6:$FZ$57,MATCH($E750,'Summary Data'!$C$6:$C$57,0),MATCH($C750,'Summary Data'!$AS$3:$FZ$3,0)+1)</f>
        <v>0</v>
      </c>
      <c r="J750" s="4002" t="str">
        <f t="shared" ca="1" si="282"/>
        <v>N</v>
      </c>
      <c r="K750" s="3114" t="s">
        <v>3174</v>
      </c>
      <c r="M750" s="391"/>
      <c r="N750" s="391"/>
      <c r="O750" s="313"/>
      <c r="P750" s="313"/>
      <c r="Q750" s="313"/>
      <c r="R750" s="313"/>
      <c r="S750" s="313"/>
    </row>
    <row r="751" spans="1:19" ht="16.899999999999999" hidden="1" customHeight="1" outlineLevel="1">
      <c r="A751" s="1269"/>
      <c r="B751" s="1752" t="s">
        <v>3501</v>
      </c>
      <c r="C751" s="1718" t="s">
        <v>1477</v>
      </c>
      <c r="D751" s="1759">
        <f t="shared" si="290"/>
        <v>153</v>
      </c>
      <c r="E751" s="1761" t="str">
        <f t="shared" ca="1" si="289"/>
        <v>N</v>
      </c>
      <c r="F751" s="1591" t="str">
        <f t="shared" ca="1" si="281"/>
        <v>N</v>
      </c>
      <c r="G751" s="1591">
        <f ca="1">INDEX('Summary Data'!$AS$6:$FZ$57,MATCH($E751,'Summary Data'!$C$6:$C$57,0),MATCH($C751,'Summary Data'!$AS$3:$FZ$3,0))</f>
        <v>0</v>
      </c>
      <c r="H751" s="1592" t="s">
        <v>5</v>
      </c>
      <c r="I751" s="1591">
        <f ca="1">INDEX('Summary Data'!$AS$6:$FZ$57,MATCH($E751,'Summary Data'!$C$6:$C$57,0),MATCH($C751,'Summary Data'!$AS$3:$FZ$3,0)+1)</f>
        <v>0</v>
      </c>
      <c r="J751" s="4002" t="str">
        <f t="shared" ca="1" si="282"/>
        <v>N</v>
      </c>
      <c r="K751" s="3114" t="s">
        <v>3174</v>
      </c>
      <c r="M751" s="391"/>
      <c r="N751" s="391"/>
      <c r="O751" s="313"/>
      <c r="P751" s="313"/>
      <c r="Q751" s="313"/>
      <c r="R751" s="313"/>
      <c r="S751" s="313"/>
    </row>
    <row r="752" spans="1:19" ht="16.899999999999999" hidden="1" customHeight="1" outlineLevel="1">
      <c r="A752" s="1269"/>
      <c r="B752" s="1752" t="s">
        <v>3501</v>
      </c>
      <c r="C752" s="1718" t="s">
        <v>1477</v>
      </c>
      <c r="D752" s="1759">
        <f t="shared" si="290"/>
        <v>170</v>
      </c>
      <c r="E752" s="1761" t="str">
        <f t="shared" ca="1" si="289"/>
        <v>N</v>
      </c>
      <c r="F752" s="1591" t="str">
        <f t="shared" ca="1" si="281"/>
        <v>N</v>
      </c>
      <c r="G752" s="1591">
        <f ca="1">INDEX('Summary Data'!$AS$6:$FZ$57,MATCH($E752,'Summary Data'!$C$6:$C$57,0),MATCH($C752,'Summary Data'!$AS$3:$FZ$3,0))</f>
        <v>0</v>
      </c>
      <c r="H752" s="1592" t="s">
        <v>5</v>
      </c>
      <c r="I752" s="1591">
        <f ca="1">INDEX('Summary Data'!$AS$6:$FZ$57,MATCH($E752,'Summary Data'!$C$6:$C$57,0),MATCH($C752,'Summary Data'!$AS$3:$FZ$3,0)+1)</f>
        <v>0</v>
      </c>
      <c r="J752" s="4002" t="str">
        <f t="shared" ca="1" si="282"/>
        <v>N</v>
      </c>
      <c r="K752" s="3114" t="s">
        <v>3174</v>
      </c>
      <c r="M752" s="391"/>
      <c r="N752" s="391"/>
      <c r="O752" s="313"/>
      <c r="P752" s="313"/>
      <c r="Q752" s="313"/>
      <c r="R752" s="313"/>
      <c r="S752" s="313"/>
    </row>
    <row r="753" spans="1:19" ht="16.899999999999999" hidden="1" customHeight="1" outlineLevel="1">
      <c r="A753" s="1269"/>
      <c r="B753" s="1752" t="s">
        <v>3501</v>
      </c>
      <c r="C753" s="1718" t="s">
        <v>1477</v>
      </c>
      <c r="D753" s="1759">
        <f t="shared" si="290"/>
        <v>187</v>
      </c>
      <c r="E753" s="1761" t="str">
        <f t="shared" ca="1" si="289"/>
        <v>N</v>
      </c>
      <c r="F753" s="1591" t="str">
        <f t="shared" ca="1" si="281"/>
        <v>N</v>
      </c>
      <c r="G753" s="1591">
        <f ca="1">INDEX('Summary Data'!$AS$6:$FZ$57,MATCH($E753,'Summary Data'!$C$6:$C$57,0),MATCH($C753,'Summary Data'!$AS$3:$FZ$3,0))</f>
        <v>0</v>
      </c>
      <c r="H753" s="1592" t="s">
        <v>5</v>
      </c>
      <c r="I753" s="1591">
        <f ca="1">INDEX('Summary Data'!$AS$6:$FZ$57,MATCH($E753,'Summary Data'!$C$6:$C$57,0),MATCH($C753,'Summary Data'!$AS$3:$FZ$3,0)+1)</f>
        <v>0</v>
      </c>
      <c r="J753" s="4002" t="str">
        <f t="shared" ca="1" si="282"/>
        <v>N</v>
      </c>
      <c r="K753" s="3114" t="s">
        <v>3174</v>
      </c>
      <c r="M753" s="391"/>
      <c r="N753" s="391"/>
      <c r="O753" s="313"/>
      <c r="P753" s="313"/>
      <c r="Q753" s="313"/>
      <c r="R753" s="313"/>
      <c r="S753" s="313"/>
    </row>
    <row r="754" spans="1:19" ht="16.899999999999999" hidden="1" customHeight="1" outlineLevel="1">
      <c r="A754" s="1269"/>
      <c r="B754" s="1752" t="s">
        <v>3501</v>
      </c>
      <c r="C754" s="1718" t="s">
        <v>1477</v>
      </c>
      <c r="D754" s="1759">
        <f t="shared" si="290"/>
        <v>204</v>
      </c>
      <c r="E754" s="1761" t="str">
        <f t="shared" ca="1" si="289"/>
        <v>N</v>
      </c>
      <c r="F754" s="1591" t="str">
        <f t="shared" ca="1" si="281"/>
        <v>N</v>
      </c>
      <c r="G754" s="1591">
        <f ca="1">INDEX('Summary Data'!$AS$6:$FZ$57,MATCH($E754,'Summary Data'!$C$6:$C$57,0),MATCH($C754,'Summary Data'!$AS$3:$FZ$3,0))</f>
        <v>0</v>
      </c>
      <c r="H754" s="1592" t="s">
        <v>5</v>
      </c>
      <c r="I754" s="1591">
        <f ca="1">INDEX('Summary Data'!$AS$6:$FZ$57,MATCH($E754,'Summary Data'!$C$6:$C$57,0),MATCH($C754,'Summary Data'!$AS$3:$FZ$3,0)+1)</f>
        <v>0</v>
      </c>
      <c r="J754" s="4002" t="str">
        <f t="shared" ca="1" si="282"/>
        <v>N</v>
      </c>
      <c r="K754" s="3114" t="s">
        <v>3174</v>
      </c>
      <c r="M754" s="391"/>
      <c r="N754" s="391"/>
      <c r="O754" s="313"/>
      <c r="P754" s="313"/>
      <c r="Q754" s="313"/>
      <c r="R754" s="313"/>
      <c r="S754" s="313"/>
    </row>
    <row r="755" spans="1:19" ht="16.899999999999999" hidden="1" customHeight="1" outlineLevel="1">
      <c r="A755" s="1269"/>
      <c r="B755" s="1752" t="s">
        <v>3501</v>
      </c>
      <c r="C755" s="1718" t="s">
        <v>1477</v>
      </c>
      <c r="D755" s="1759">
        <f t="shared" si="290"/>
        <v>221</v>
      </c>
      <c r="E755" s="1761" t="str">
        <f t="shared" ca="1" si="289"/>
        <v>1st</v>
      </c>
      <c r="F755" s="1591" t="str">
        <f t="shared" ca="1" si="281"/>
        <v>N</v>
      </c>
      <c r="G755" s="1591">
        <f ca="1">INDEX('Summary Data'!$AS$6:$FZ$57,MATCH($E755,'Summary Data'!$C$6:$C$57,0),MATCH($C755,'Summary Data'!$AS$3:$FZ$3,0))</f>
        <v>0</v>
      </c>
      <c r="H755" s="1592" t="s">
        <v>5</v>
      </c>
      <c r="I755" s="1591">
        <f ca="1">INDEX('Summary Data'!$AS$6:$FZ$57,MATCH($E755,'Summary Data'!$C$6:$C$57,0),MATCH($C755,'Summary Data'!$AS$3:$FZ$3,0)+1)</f>
        <v>0</v>
      </c>
      <c r="J755" s="4002" t="str">
        <f t="shared" ca="1" si="282"/>
        <v>N</v>
      </c>
      <c r="K755" s="3114" t="s">
        <v>3174</v>
      </c>
      <c r="M755" s="391"/>
      <c r="N755" s="391"/>
      <c r="O755" s="313"/>
      <c r="P755" s="313"/>
      <c r="Q755" s="313"/>
      <c r="R755" s="313"/>
      <c r="S755" s="313"/>
    </row>
    <row r="756" spans="1:19" ht="16.899999999999999" hidden="1" customHeight="1" outlineLevel="1">
      <c r="A756" s="1269"/>
      <c r="B756" s="1752" t="s">
        <v>3501</v>
      </c>
      <c r="C756" s="1718" t="s">
        <v>1477</v>
      </c>
      <c r="D756" s="1759">
        <f t="shared" si="290"/>
        <v>238</v>
      </c>
      <c r="E756" s="1761" t="str">
        <f t="shared" ca="1" si="289"/>
        <v>1st</v>
      </c>
      <c r="F756" s="1591" t="str">
        <f t="shared" ref="F756:F819" ca="1" si="291">IF(G756=0,"N",E756)</f>
        <v>N</v>
      </c>
      <c r="G756" s="1591">
        <f ca="1">INDEX('Summary Data'!$AS$6:$FZ$57,MATCH($E756,'Summary Data'!$C$6:$C$57,0),MATCH($C756,'Summary Data'!$AS$3:$FZ$3,0))</f>
        <v>0</v>
      </c>
      <c r="H756" s="1592" t="s">
        <v>5</v>
      </c>
      <c r="I756" s="1591">
        <f ca="1">INDEX('Summary Data'!$AS$6:$FZ$57,MATCH($E756,'Summary Data'!$C$6:$C$57,0),MATCH($C756,'Summary Data'!$AS$3:$FZ$3,0)+1)</f>
        <v>0</v>
      </c>
      <c r="J756" s="4002" t="str">
        <f t="shared" ca="1" si="282"/>
        <v>N</v>
      </c>
      <c r="K756" s="3114" t="s">
        <v>3174</v>
      </c>
      <c r="M756" s="391"/>
      <c r="N756" s="391"/>
      <c r="O756" s="313"/>
      <c r="P756" s="313"/>
      <c r="Q756" s="313"/>
      <c r="R756" s="313"/>
      <c r="S756" s="313"/>
    </row>
    <row r="757" spans="1:19" ht="16.899999999999999" hidden="1" customHeight="1" outlineLevel="1">
      <c r="A757" s="1269"/>
      <c r="B757" s="1752" t="s">
        <v>3501</v>
      </c>
      <c r="C757" s="1718" t="s">
        <v>1477</v>
      </c>
      <c r="D757" s="1759">
        <v>0</v>
      </c>
      <c r="E757" s="1761" t="str">
        <f t="shared" ca="1" si="289"/>
        <v>Box</v>
      </c>
      <c r="F757" s="1591" t="str">
        <f t="shared" ca="1" si="291"/>
        <v>N</v>
      </c>
      <c r="G757" s="1591">
        <f ca="1">INDEX('Summary Data'!$AS$6:$FZ$57,MATCH($E757,'Summary Data'!$C$6:$C$57,0),MATCH($C757,'Summary Data'!$AS$3:$FZ$3,0)+2)</f>
        <v>0</v>
      </c>
      <c r="H757" s="1592" t="s">
        <v>5</v>
      </c>
      <c r="I757" s="1591">
        <f ca="1">INDEX('Summary Data'!$AS$6:$FZ$57,MATCH($E757,'Summary Data'!$C$6:$C$57,0),MATCH($C757,'Summary Data'!$AS$3:$FZ$3,0)+1+2)</f>
        <v>0</v>
      </c>
      <c r="J757" s="4002" t="str">
        <f t="shared" ref="J757:J820" ca="1" si="292">F757</f>
        <v>N</v>
      </c>
      <c r="K757" s="3114" t="s">
        <v>3174</v>
      </c>
      <c r="M757" s="391"/>
      <c r="N757" s="391"/>
      <c r="O757" s="313"/>
      <c r="P757" s="313"/>
      <c r="Q757" s="313"/>
      <c r="R757" s="313"/>
      <c r="S757" s="313"/>
    </row>
    <row r="758" spans="1:19" ht="16.899999999999999" hidden="1" customHeight="1" outlineLevel="1">
      <c r="A758" s="1269"/>
      <c r="B758" s="1752" t="s">
        <v>3501</v>
      </c>
      <c r="C758" s="1718" t="s">
        <v>1477</v>
      </c>
      <c r="D758" s="1759">
        <f>D757+17</f>
        <v>17</v>
      </c>
      <c r="E758" s="1761" t="str">
        <f t="shared" ca="1" si="289"/>
        <v>N</v>
      </c>
      <c r="F758" s="1591" t="str">
        <f t="shared" ca="1" si="291"/>
        <v>N</v>
      </c>
      <c r="G758" s="1591">
        <f ca="1">INDEX('Summary Data'!$AS$6:$FZ$57,MATCH($E758,'Summary Data'!$C$6:$C$57,0),MATCH($C758,'Summary Data'!$AS$3:$FZ$3,0)+2)</f>
        <v>0</v>
      </c>
      <c r="H758" s="1592" t="s">
        <v>5</v>
      </c>
      <c r="I758" s="1591">
        <f ca="1">INDEX('Summary Data'!$AS$6:$FZ$57,MATCH($E758,'Summary Data'!$C$6:$C$57,0),MATCH($C758,'Summary Data'!$AS$3:$FZ$3,0)+1+2)</f>
        <v>0</v>
      </c>
      <c r="J758" s="4002" t="str">
        <f t="shared" ca="1" si="292"/>
        <v>N</v>
      </c>
      <c r="K758" s="3114" t="s">
        <v>3174</v>
      </c>
      <c r="M758" s="391"/>
      <c r="N758" s="391"/>
      <c r="O758" s="313"/>
      <c r="P758" s="313"/>
      <c r="Q758" s="313"/>
      <c r="R758" s="313"/>
      <c r="S758" s="313"/>
    </row>
    <row r="759" spans="1:19" ht="16.899999999999999" hidden="1" customHeight="1" outlineLevel="1">
      <c r="A759" s="1269"/>
      <c r="B759" s="1752" t="s">
        <v>3501</v>
      </c>
      <c r="C759" s="1718" t="s">
        <v>1477</v>
      </c>
      <c r="D759" s="1759">
        <f t="shared" ref="D759:D771" si="293">D758+17</f>
        <v>34</v>
      </c>
      <c r="E759" s="1761" t="str">
        <f t="shared" ca="1" si="289"/>
        <v>N</v>
      </c>
      <c r="F759" s="1591" t="str">
        <f t="shared" ca="1" si="291"/>
        <v>N</v>
      </c>
      <c r="G759" s="1591">
        <f ca="1">INDEX('Summary Data'!$AS$6:$FZ$57,MATCH($E759,'Summary Data'!$C$6:$C$57,0),MATCH($C759,'Summary Data'!$AS$3:$FZ$3,0)+2)</f>
        <v>0</v>
      </c>
      <c r="H759" s="1592" t="s">
        <v>5</v>
      </c>
      <c r="I759" s="1591">
        <f ca="1">INDEX('Summary Data'!$AS$6:$FZ$57,MATCH($E759,'Summary Data'!$C$6:$C$57,0),MATCH($C759,'Summary Data'!$AS$3:$FZ$3,0)+1+2)</f>
        <v>0</v>
      </c>
      <c r="J759" s="4002" t="str">
        <f t="shared" ca="1" si="292"/>
        <v>N</v>
      </c>
      <c r="K759" s="3114" t="s">
        <v>3174</v>
      </c>
      <c r="M759" s="391"/>
      <c r="N759" s="391"/>
      <c r="O759" s="313"/>
      <c r="P759" s="313"/>
      <c r="Q759" s="313"/>
      <c r="R759" s="313"/>
      <c r="S759" s="313"/>
    </row>
    <row r="760" spans="1:19" ht="16.899999999999999" hidden="1" customHeight="1" outlineLevel="1">
      <c r="A760" s="1269"/>
      <c r="B760" s="1752" t="s">
        <v>3501</v>
      </c>
      <c r="C760" s="1718" t="s">
        <v>1477</v>
      </c>
      <c r="D760" s="1759">
        <f t="shared" si="293"/>
        <v>51</v>
      </c>
      <c r="E760" s="1761" t="str">
        <f t="shared" ca="1" si="289"/>
        <v>N</v>
      </c>
      <c r="F760" s="1591" t="str">
        <f t="shared" ca="1" si="291"/>
        <v>N</v>
      </c>
      <c r="G760" s="1591">
        <f ca="1">INDEX('Summary Data'!$AS$6:$FZ$57,MATCH($E760,'Summary Data'!$C$6:$C$57,0),MATCH($C760,'Summary Data'!$AS$3:$FZ$3,0)+2)</f>
        <v>0</v>
      </c>
      <c r="H760" s="1592" t="s">
        <v>5</v>
      </c>
      <c r="I760" s="1591">
        <f ca="1">INDEX('Summary Data'!$AS$6:$FZ$57,MATCH($E760,'Summary Data'!$C$6:$C$57,0),MATCH($C760,'Summary Data'!$AS$3:$FZ$3,0)+1+2)</f>
        <v>0</v>
      </c>
      <c r="J760" s="4002" t="str">
        <f t="shared" ca="1" si="292"/>
        <v>N</v>
      </c>
      <c r="K760" s="3114" t="s">
        <v>3174</v>
      </c>
      <c r="M760" s="391"/>
      <c r="N760" s="391"/>
      <c r="O760" s="313"/>
      <c r="P760" s="313"/>
      <c r="Q760" s="313"/>
      <c r="R760" s="313"/>
      <c r="S760" s="313"/>
    </row>
    <row r="761" spans="1:19" ht="16.899999999999999" hidden="1" customHeight="1" outlineLevel="1">
      <c r="A761" s="1269"/>
      <c r="B761" s="1752" t="s">
        <v>3501</v>
      </c>
      <c r="C761" s="1718" t="s">
        <v>1477</v>
      </c>
      <c r="D761" s="1759">
        <f t="shared" si="293"/>
        <v>68</v>
      </c>
      <c r="E761" s="1761" t="str">
        <f t="shared" ca="1" si="289"/>
        <v>N</v>
      </c>
      <c r="F761" s="1591" t="str">
        <f t="shared" ca="1" si="291"/>
        <v>N</v>
      </c>
      <c r="G761" s="1591">
        <f ca="1">INDEX('Summary Data'!$AS$6:$FZ$57,MATCH($E761,'Summary Data'!$C$6:$C$57,0),MATCH($C761,'Summary Data'!$AS$3:$FZ$3,0)+2)</f>
        <v>0</v>
      </c>
      <c r="H761" s="1592" t="s">
        <v>5</v>
      </c>
      <c r="I761" s="1591">
        <f ca="1">INDEX('Summary Data'!$AS$6:$FZ$57,MATCH($E761,'Summary Data'!$C$6:$C$57,0),MATCH($C761,'Summary Data'!$AS$3:$FZ$3,0)+1+2)</f>
        <v>0</v>
      </c>
      <c r="J761" s="4002" t="str">
        <f t="shared" ca="1" si="292"/>
        <v>N</v>
      </c>
      <c r="K761" s="3114" t="s">
        <v>3174</v>
      </c>
      <c r="M761" s="391"/>
      <c r="N761" s="391"/>
      <c r="O761" s="313"/>
      <c r="P761" s="313"/>
      <c r="Q761" s="313"/>
      <c r="R761" s="313"/>
      <c r="S761" s="313"/>
    </row>
    <row r="762" spans="1:19" ht="16.899999999999999" hidden="1" customHeight="1" outlineLevel="1">
      <c r="A762" s="1269"/>
      <c r="B762" s="1752" t="s">
        <v>3501</v>
      </c>
      <c r="C762" s="1718" t="s">
        <v>1477</v>
      </c>
      <c r="D762" s="1759">
        <f t="shared" si="293"/>
        <v>85</v>
      </c>
      <c r="E762" s="1761" t="str">
        <f t="shared" ca="1" si="289"/>
        <v>N</v>
      </c>
      <c r="F762" s="1591" t="str">
        <f t="shared" ca="1" si="291"/>
        <v>N</v>
      </c>
      <c r="G762" s="1591">
        <f ca="1">INDEX('Summary Data'!$AS$6:$FZ$57,MATCH($E762,'Summary Data'!$C$6:$C$57,0),MATCH($C762,'Summary Data'!$AS$3:$FZ$3,0)+2)</f>
        <v>0</v>
      </c>
      <c r="H762" s="1592" t="s">
        <v>5</v>
      </c>
      <c r="I762" s="1591">
        <f ca="1">INDEX('Summary Data'!$AS$6:$FZ$57,MATCH($E762,'Summary Data'!$C$6:$C$57,0),MATCH($C762,'Summary Data'!$AS$3:$FZ$3,0)+1+2)</f>
        <v>0</v>
      </c>
      <c r="J762" s="4002" t="str">
        <f t="shared" ca="1" si="292"/>
        <v>N</v>
      </c>
      <c r="K762" s="3114" t="s">
        <v>3174</v>
      </c>
      <c r="M762" s="391"/>
      <c r="N762" s="391"/>
      <c r="O762" s="313"/>
      <c r="P762" s="313"/>
      <c r="Q762" s="313"/>
      <c r="R762" s="313"/>
      <c r="S762" s="313"/>
    </row>
    <row r="763" spans="1:19" ht="16.899999999999999" hidden="1" customHeight="1" outlineLevel="1">
      <c r="A763" s="1269"/>
      <c r="B763" s="1752" t="s">
        <v>3501</v>
      </c>
      <c r="C763" s="1718" t="s">
        <v>1477</v>
      </c>
      <c r="D763" s="1759">
        <f t="shared" si="293"/>
        <v>102</v>
      </c>
      <c r="E763" s="1761" t="str">
        <f t="shared" ca="1" si="289"/>
        <v>N</v>
      </c>
      <c r="F763" s="1591" t="str">
        <f t="shared" ca="1" si="291"/>
        <v>N</v>
      </c>
      <c r="G763" s="1591">
        <f ca="1">INDEX('Summary Data'!$AS$6:$FZ$57,MATCH($E763,'Summary Data'!$C$6:$C$57,0),MATCH($C763,'Summary Data'!$AS$3:$FZ$3,0)+2)</f>
        <v>0</v>
      </c>
      <c r="H763" s="1592" t="s">
        <v>5</v>
      </c>
      <c r="I763" s="1591">
        <f ca="1">INDEX('Summary Data'!$AS$6:$FZ$57,MATCH($E763,'Summary Data'!$C$6:$C$57,0),MATCH($C763,'Summary Data'!$AS$3:$FZ$3,0)+1+2)</f>
        <v>0</v>
      </c>
      <c r="J763" s="4002" t="str">
        <f t="shared" ca="1" si="292"/>
        <v>N</v>
      </c>
      <c r="K763" s="3114" t="s">
        <v>3174</v>
      </c>
      <c r="M763" s="391"/>
      <c r="N763" s="391"/>
      <c r="O763" s="313"/>
      <c r="P763" s="313"/>
      <c r="Q763" s="313"/>
      <c r="R763" s="313"/>
      <c r="S763" s="313"/>
    </row>
    <row r="764" spans="1:19" ht="16.899999999999999" hidden="1" customHeight="1" outlineLevel="1">
      <c r="A764" s="1269"/>
      <c r="B764" s="1752" t="s">
        <v>3501</v>
      </c>
      <c r="C764" s="1718" t="s">
        <v>1477</v>
      </c>
      <c r="D764" s="1759">
        <f t="shared" si="293"/>
        <v>119</v>
      </c>
      <c r="E764" s="1761" t="str">
        <f t="shared" ca="1" si="289"/>
        <v>N</v>
      </c>
      <c r="F764" s="1591" t="str">
        <f t="shared" ca="1" si="291"/>
        <v>N</v>
      </c>
      <c r="G764" s="1591">
        <f ca="1">INDEX('Summary Data'!$AS$6:$FZ$57,MATCH($E764,'Summary Data'!$C$6:$C$57,0),MATCH($C764,'Summary Data'!$AS$3:$FZ$3,0)+2)</f>
        <v>0</v>
      </c>
      <c r="H764" s="1592" t="s">
        <v>5</v>
      </c>
      <c r="I764" s="1591">
        <f ca="1">INDEX('Summary Data'!$AS$6:$FZ$57,MATCH($E764,'Summary Data'!$C$6:$C$57,0),MATCH($C764,'Summary Data'!$AS$3:$FZ$3,0)+1+2)</f>
        <v>0</v>
      </c>
      <c r="J764" s="4002" t="str">
        <f t="shared" ca="1" si="292"/>
        <v>N</v>
      </c>
      <c r="K764" s="3114" t="s">
        <v>3174</v>
      </c>
      <c r="M764" s="391"/>
      <c r="N764" s="391"/>
      <c r="O764" s="313"/>
      <c r="P764" s="313"/>
      <c r="Q764" s="313"/>
      <c r="R764" s="313"/>
      <c r="S764" s="313"/>
    </row>
    <row r="765" spans="1:19" ht="16.899999999999999" hidden="1" customHeight="1" outlineLevel="1">
      <c r="A765" s="1269"/>
      <c r="B765" s="1752" t="s">
        <v>3501</v>
      </c>
      <c r="C765" s="1718" t="s">
        <v>1477</v>
      </c>
      <c r="D765" s="1759">
        <f t="shared" si="293"/>
        <v>136</v>
      </c>
      <c r="E765" s="1761" t="str">
        <f t="shared" ca="1" si="289"/>
        <v>N</v>
      </c>
      <c r="F765" s="1591" t="str">
        <f t="shared" ca="1" si="291"/>
        <v>N</v>
      </c>
      <c r="G765" s="1591">
        <f ca="1">INDEX('Summary Data'!$AS$6:$FZ$57,MATCH($E765,'Summary Data'!$C$6:$C$57,0),MATCH($C765,'Summary Data'!$AS$3:$FZ$3,0)+2)</f>
        <v>0</v>
      </c>
      <c r="H765" s="1592" t="s">
        <v>5</v>
      </c>
      <c r="I765" s="1591">
        <f ca="1">INDEX('Summary Data'!$AS$6:$FZ$57,MATCH($E765,'Summary Data'!$C$6:$C$57,0),MATCH($C765,'Summary Data'!$AS$3:$FZ$3,0)+1+2)</f>
        <v>0</v>
      </c>
      <c r="J765" s="4002" t="str">
        <f t="shared" ca="1" si="292"/>
        <v>N</v>
      </c>
      <c r="K765" s="3114" t="s">
        <v>3174</v>
      </c>
      <c r="M765" s="391"/>
      <c r="N765" s="391"/>
      <c r="O765" s="313"/>
      <c r="P765" s="313"/>
      <c r="Q765" s="313"/>
      <c r="R765" s="313"/>
      <c r="S765" s="313"/>
    </row>
    <row r="766" spans="1:19" ht="16.899999999999999" hidden="1" customHeight="1" outlineLevel="1">
      <c r="A766" s="1269"/>
      <c r="B766" s="1752" t="s">
        <v>3501</v>
      </c>
      <c r="C766" s="1718" t="s">
        <v>1477</v>
      </c>
      <c r="D766" s="1759">
        <f t="shared" si="293"/>
        <v>153</v>
      </c>
      <c r="E766" s="1761" t="str">
        <f t="shared" ca="1" si="289"/>
        <v>N</v>
      </c>
      <c r="F766" s="1591" t="str">
        <f t="shared" ca="1" si="291"/>
        <v>N</v>
      </c>
      <c r="G766" s="1591">
        <f ca="1">INDEX('Summary Data'!$AS$6:$FZ$57,MATCH($E766,'Summary Data'!$C$6:$C$57,0),MATCH($C766,'Summary Data'!$AS$3:$FZ$3,0)+2)</f>
        <v>0</v>
      </c>
      <c r="H766" s="1592" t="s">
        <v>5</v>
      </c>
      <c r="I766" s="1591">
        <f ca="1">INDEX('Summary Data'!$AS$6:$FZ$57,MATCH($E766,'Summary Data'!$C$6:$C$57,0),MATCH($C766,'Summary Data'!$AS$3:$FZ$3,0)+1+2)</f>
        <v>0</v>
      </c>
      <c r="J766" s="4002" t="str">
        <f t="shared" ca="1" si="292"/>
        <v>N</v>
      </c>
      <c r="K766" s="3114" t="s">
        <v>3174</v>
      </c>
      <c r="M766" s="391"/>
      <c r="N766" s="391"/>
      <c r="O766" s="313"/>
      <c r="P766" s="313"/>
      <c r="Q766" s="313"/>
      <c r="R766" s="313"/>
      <c r="S766" s="313"/>
    </row>
    <row r="767" spans="1:19" ht="16.899999999999999" hidden="1" customHeight="1" outlineLevel="1">
      <c r="A767" s="1269"/>
      <c r="B767" s="1752" t="s">
        <v>3501</v>
      </c>
      <c r="C767" s="1718" t="s">
        <v>1477</v>
      </c>
      <c r="D767" s="1759">
        <f t="shared" si="293"/>
        <v>170</v>
      </c>
      <c r="E767" s="1761" t="str">
        <f t="shared" ca="1" si="289"/>
        <v>N</v>
      </c>
      <c r="F767" s="1591" t="str">
        <f t="shared" ca="1" si="291"/>
        <v>N</v>
      </c>
      <c r="G767" s="1591">
        <f ca="1">INDEX('Summary Data'!$AS$6:$FZ$57,MATCH($E767,'Summary Data'!$C$6:$C$57,0),MATCH($C767,'Summary Data'!$AS$3:$FZ$3,0)+2)</f>
        <v>0</v>
      </c>
      <c r="H767" s="1592" t="s">
        <v>5</v>
      </c>
      <c r="I767" s="1591">
        <f ca="1">INDEX('Summary Data'!$AS$6:$FZ$57,MATCH($E767,'Summary Data'!$C$6:$C$57,0),MATCH($C767,'Summary Data'!$AS$3:$FZ$3,0)+1+2)</f>
        <v>0</v>
      </c>
      <c r="J767" s="4002" t="str">
        <f t="shared" ca="1" si="292"/>
        <v>N</v>
      </c>
      <c r="K767" s="3114" t="s">
        <v>3174</v>
      </c>
      <c r="M767" s="391"/>
      <c r="N767" s="391"/>
      <c r="O767" s="313"/>
      <c r="P767" s="313"/>
      <c r="Q767" s="313"/>
      <c r="R767" s="313"/>
      <c r="S767" s="313"/>
    </row>
    <row r="768" spans="1:19" ht="16.899999999999999" hidden="1" customHeight="1" outlineLevel="1">
      <c r="A768" s="1269"/>
      <c r="B768" s="1752" t="s">
        <v>3501</v>
      </c>
      <c r="C768" s="1718" t="s">
        <v>1477</v>
      </c>
      <c r="D768" s="1759">
        <f t="shared" si="293"/>
        <v>187</v>
      </c>
      <c r="E768" s="1761" t="str">
        <f t="shared" ca="1" si="289"/>
        <v>N</v>
      </c>
      <c r="F768" s="1591" t="str">
        <f t="shared" ca="1" si="291"/>
        <v>N</v>
      </c>
      <c r="G768" s="1591">
        <f ca="1">INDEX('Summary Data'!$AS$6:$FZ$57,MATCH($E768,'Summary Data'!$C$6:$C$57,0),MATCH($C768,'Summary Data'!$AS$3:$FZ$3,0)+2)</f>
        <v>0</v>
      </c>
      <c r="H768" s="1592" t="s">
        <v>5</v>
      </c>
      <c r="I768" s="1591">
        <f ca="1">INDEX('Summary Data'!$AS$6:$FZ$57,MATCH($E768,'Summary Data'!$C$6:$C$57,0),MATCH($C768,'Summary Data'!$AS$3:$FZ$3,0)+1+2)</f>
        <v>0</v>
      </c>
      <c r="J768" s="4002" t="str">
        <f t="shared" ca="1" si="292"/>
        <v>N</v>
      </c>
      <c r="K768" s="3114" t="s">
        <v>3174</v>
      </c>
      <c r="M768" s="391"/>
      <c r="N768" s="391"/>
      <c r="O768" s="313"/>
      <c r="P768" s="313"/>
      <c r="Q768" s="313"/>
      <c r="R768" s="313"/>
      <c r="S768" s="313"/>
    </row>
    <row r="769" spans="1:19" ht="16.899999999999999" hidden="1" customHeight="1" outlineLevel="1">
      <c r="A769" s="1269"/>
      <c r="B769" s="1752" t="s">
        <v>3501</v>
      </c>
      <c r="C769" s="1718" t="s">
        <v>1477</v>
      </c>
      <c r="D769" s="1759">
        <f t="shared" si="293"/>
        <v>204</v>
      </c>
      <c r="E769" s="1761" t="str">
        <f t="shared" ca="1" si="289"/>
        <v>N</v>
      </c>
      <c r="F769" s="1591" t="str">
        <f t="shared" ca="1" si="291"/>
        <v>N</v>
      </c>
      <c r="G769" s="1591">
        <f ca="1">INDEX('Summary Data'!$AS$6:$FZ$57,MATCH($E769,'Summary Data'!$C$6:$C$57,0),MATCH($C769,'Summary Data'!$AS$3:$FZ$3,0)+2)</f>
        <v>0</v>
      </c>
      <c r="H769" s="1592" t="s">
        <v>5</v>
      </c>
      <c r="I769" s="1591">
        <f ca="1">INDEX('Summary Data'!$AS$6:$FZ$57,MATCH($E769,'Summary Data'!$C$6:$C$57,0),MATCH($C769,'Summary Data'!$AS$3:$FZ$3,0)+1+2)</f>
        <v>0</v>
      </c>
      <c r="J769" s="4002" t="str">
        <f t="shared" ca="1" si="292"/>
        <v>N</v>
      </c>
      <c r="K769" s="3114" t="s">
        <v>3174</v>
      </c>
      <c r="M769" s="391"/>
      <c r="N769" s="391"/>
      <c r="O769" s="313"/>
      <c r="P769" s="313"/>
      <c r="Q769" s="313"/>
      <c r="R769" s="313"/>
      <c r="S769" s="313"/>
    </row>
    <row r="770" spans="1:19" ht="16.899999999999999" hidden="1" customHeight="1" outlineLevel="1">
      <c r="A770" s="1269"/>
      <c r="B770" s="1752" t="s">
        <v>3501</v>
      </c>
      <c r="C770" s="1718" t="s">
        <v>1477</v>
      </c>
      <c r="D770" s="1759">
        <f t="shared" si="293"/>
        <v>221</v>
      </c>
      <c r="E770" s="1761" t="str">
        <f t="shared" ca="1" si="289"/>
        <v>1st</v>
      </c>
      <c r="F770" s="1591" t="str">
        <f t="shared" ca="1" si="291"/>
        <v>N</v>
      </c>
      <c r="G770" s="1591">
        <f ca="1">INDEX('Summary Data'!$AS$6:$FZ$57,MATCH($E770,'Summary Data'!$C$6:$C$57,0),MATCH($C770,'Summary Data'!$AS$3:$FZ$3,0)+2)</f>
        <v>0</v>
      </c>
      <c r="H770" s="1592" t="s">
        <v>5</v>
      </c>
      <c r="I770" s="1591">
        <f ca="1">INDEX('Summary Data'!$AS$6:$FZ$57,MATCH($E770,'Summary Data'!$C$6:$C$57,0),MATCH($C770,'Summary Data'!$AS$3:$FZ$3,0)+1+2)</f>
        <v>0</v>
      </c>
      <c r="J770" s="4002" t="str">
        <f t="shared" ca="1" si="292"/>
        <v>N</v>
      </c>
      <c r="K770" s="3114" t="s">
        <v>3174</v>
      </c>
      <c r="M770" s="391"/>
      <c r="N770" s="391"/>
      <c r="O770" s="313"/>
      <c r="P770" s="313"/>
      <c r="Q770" s="313"/>
      <c r="R770" s="313"/>
      <c r="S770" s="313"/>
    </row>
    <row r="771" spans="1:19" ht="16.899999999999999" hidden="1" customHeight="1" outlineLevel="1">
      <c r="A771" s="1269"/>
      <c r="B771" s="1752" t="s">
        <v>3501</v>
      </c>
      <c r="C771" s="1718" t="s">
        <v>1477</v>
      </c>
      <c r="D771" s="1759">
        <f t="shared" si="293"/>
        <v>238</v>
      </c>
      <c r="E771" s="1761" t="str">
        <f t="shared" ca="1" si="289"/>
        <v>1st</v>
      </c>
      <c r="F771" s="1591" t="str">
        <f t="shared" ca="1" si="291"/>
        <v>N</v>
      </c>
      <c r="G771" s="1591">
        <f ca="1">INDEX('Summary Data'!$AS$6:$FZ$57,MATCH($E771,'Summary Data'!$C$6:$C$57,0),MATCH($C771,'Summary Data'!$AS$3:$FZ$3,0)+2)</f>
        <v>0</v>
      </c>
      <c r="H771" s="1592" t="s">
        <v>5</v>
      </c>
      <c r="I771" s="1591">
        <f ca="1">INDEX('Summary Data'!$AS$6:$FZ$57,MATCH($E771,'Summary Data'!$C$6:$C$57,0),MATCH($C771,'Summary Data'!$AS$3:$FZ$3,0)+1+2)</f>
        <v>0</v>
      </c>
      <c r="J771" s="4002" t="str">
        <f t="shared" ca="1" si="292"/>
        <v>N</v>
      </c>
      <c r="K771" s="3114" t="s">
        <v>3174</v>
      </c>
      <c r="M771" s="391"/>
      <c r="N771" s="391"/>
      <c r="O771" s="313"/>
      <c r="P771" s="313"/>
      <c r="Q771" s="313"/>
      <c r="R771" s="313"/>
      <c r="S771" s="313"/>
    </row>
    <row r="772" spans="1:19" ht="16.899999999999999" hidden="1" customHeight="1" outlineLevel="1">
      <c r="A772" s="1269"/>
      <c r="B772" s="1752" t="s">
        <v>3501</v>
      </c>
      <c r="C772" s="1718" t="s">
        <v>1477</v>
      </c>
      <c r="D772" s="1759">
        <v>0</v>
      </c>
      <c r="E772" s="1761" t="str">
        <f t="shared" ca="1" si="289"/>
        <v>Box</v>
      </c>
      <c r="F772" s="1591" t="str">
        <f t="shared" ca="1" si="291"/>
        <v>N</v>
      </c>
      <c r="G772" s="1591">
        <f ca="1">INDEX('Summary Data'!$AS$6:$FZ$57,MATCH($E772,'Summary Data'!$C$6:$C$57,0),MATCH($C772,'Summary Data'!$AS$3:$FZ$3,0)+4)</f>
        <v>0</v>
      </c>
      <c r="H772" s="1592" t="s">
        <v>5</v>
      </c>
      <c r="I772" s="1591">
        <f ca="1">INDEX('Summary Data'!$AS$6:$FZ$57,MATCH($E772,'Summary Data'!$C$6:$C$57,0),MATCH($C772,'Summary Data'!$AS$3:$FZ$3,0)+1+4)</f>
        <v>0</v>
      </c>
      <c r="J772" s="4002" t="str">
        <f t="shared" ca="1" si="292"/>
        <v>N</v>
      </c>
      <c r="K772" s="3114" t="s">
        <v>3174</v>
      </c>
      <c r="M772" s="391"/>
      <c r="N772" s="391"/>
      <c r="O772" s="313"/>
      <c r="P772" s="313"/>
      <c r="Q772" s="313"/>
      <c r="R772" s="313"/>
      <c r="S772" s="313"/>
    </row>
    <row r="773" spans="1:19" ht="16.899999999999999" hidden="1" customHeight="1" outlineLevel="1">
      <c r="A773" s="1269"/>
      <c r="B773" s="1752" t="s">
        <v>3501</v>
      </c>
      <c r="C773" s="1718" t="s">
        <v>1477</v>
      </c>
      <c r="D773" s="1759">
        <f>D772+17</f>
        <v>17</v>
      </c>
      <c r="E773" s="1761" t="str">
        <f t="shared" ca="1" si="289"/>
        <v>N</v>
      </c>
      <c r="F773" s="1591" t="str">
        <f t="shared" ca="1" si="291"/>
        <v>N</v>
      </c>
      <c r="G773" s="1591">
        <f ca="1">INDEX('Summary Data'!$AS$6:$FZ$57,MATCH($E773,'Summary Data'!$C$6:$C$57,0),MATCH($C773,'Summary Data'!$AS$3:$FZ$3,0)+4)</f>
        <v>0</v>
      </c>
      <c r="H773" s="1592" t="s">
        <v>5</v>
      </c>
      <c r="I773" s="1591">
        <f ca="1">INDEX('Summary Data'!$AS$6:$FZ$57,MATCH($E773,'Summary Data'!$C$6:$C$57,0),MATCH($C773,'Summary Data'!$AS$3:$FZ$3,0)+1+4)</f>
        <v>0</v>
      </c>
      <c r="J773" s="4002" t="str">
        <f t="shared" ca="1" si="292"/>
        <v>N</v>
      </c>
      <c r="K773" s="3114" t="s">
        <v>3174</v>
      </c>
      <c r="M773" s="391"/>
      <c r="N773" s="391"/>
      <c r="O773" s="313"/>
      <c r="P773" s="313"/>
      <c r="Q773" s="313"/>
      <c r="R773" s="313"/>
      <c r="S773" s="313"/>
    </row>
    <row r="774" spans="1:19" ht="16.899999999999999" hidden="1" customHeight="1" outlineLevel="1">
      <c r="A774" s="1269"/>
      <c r="B774" s="1752" t="s">
        <v>3501</v>
      </c>
      <c r="C774" s="1718" t="s">
        <v>1477</v>
      </c>
      <c r="D774" s="1759">
        <f t="shared" ref="D774:D786" si="294">D773+17</f>
        <v>34</v>
      </c>
      <c r="E774" s="1761" t="str">
        <f t="shared" ref="E774:E805" ca="1" si="295">OFFSET($A$25,D774,0)</f>
        <v>N</v>
      </c>
      <c r="F774" s="1591" t="str">
        <f t="shared" ca="1" si="291"/>
        <v>N</v>
      </c>
      <c r="G774" s="1591">
        <f ca="1">INDEX('Summary Data'!$AS$6:$FZ$57,MATCH($E774,'Summary Data'!$C$6:$C$57,0),MATCH($C774,'Summary Data'!$AS$3:$FZ$3,0)+4)</f>
        <v>0</v>
      </c>
      <c r="H774" s="1592" t="s">
        <v>5</v>
      </c>
      <c r="I774" s="1591">
        <f ca="1">INDEX('Summary Data'!$AS$6:$FZ$57,MATCH($E774,'Summary Data'!$C$6:$C$57,0),MATCH($C774,'Summary Data'!$AS$3:$FZ$3,0)+1+4)</f>
        <v>0</v>
      </c>
      <c r="J774" s="4002" t="str">
        <f t="shared" ca="1" si="292"/>
        <v>N</v>
      </c>
      <c r="K774" s="3114" t="s">
        <v>3174</v>
      </c>
      <c r="M774" s="391"/>
      <c r="N774" s="391"/>
      <c r="O774" s="313"/>
      <c r="P774" s="313"/>
      <c r="Q774" s="313"/>
      <c r="R774" s="313"/>
      <c r="S774" s="313"/>
    </row>
    <row r="775" spans="1:19" ht="16.899999999999999" hidden="1" customHeight="1" outlineLevel="1">
      <c r="A775" s="1269"/>
      <c r="B775" s="1752" t="s">
        <v>3501</v>
      </c>
      <c r="C775" s="1718" t="s">
        <v>1477</v>
      </c>
      <c r="D775" s="1759">
        <f t="shared" si="294"/>
        <v>51</v>
      </c>
      <c r="E775" s="1761" t="str">
        <f t="shared" ca="1" si="295"/>
        <v>N</v>
      </c>
      <c r="F775" s="1591" t="str">
        <f t="shared" ca="1" si="291"/>
        <v>N</v>
      </c>
      <c r="G775" s="1591">
        <f ca="1">INDEX('Summary Data'!$AS$6:$FZ$57,MATCH($E775,'Summary Data'!$C$6:$C$57,0),MATCH($C775,'Summary Data'!$AS$3:$FZ$3,0)+4)</f>
        <v>0</v>
      </c>
      <c r="H775" s="1592" t="s">
        <v>5</v>
      </c>
      <c r="I775" s="1591">
        <f ca="1">INDEX('Summary Data'!$AS$6:$FZ$57,MATCH($E775,'Summary Data'!$C$6:$C$57,0),MATCH($C775,'Summary Data'!$AS$3:$FZ$3,0)+1+4)</f>
        <v>0</v>
      </c>
      <c r="J775" s="4002" t="str">
        <f t="shared" ca="1" si="292"/>
        <v>N</v>
      </c>
      <c r="K775" s="3114" t="s">
        <v>3174</v>
      </c>
      <c r="M775" s="391"/>
      <c r="N775" s="391"/>
      <c r="O775" s="313"/>
      <c r="P775" s="313"/>
      <c r="Q775" s="313"/>
      <c r="R775" s="313"/>
      <c r="S775" s="313"/>
    </row>
    <row r="776" spans="1:19" ht="16.899999999999999" hidden="1" customHeight="1" outlineLevel="1">
      <c r="A776" s="1269"/>
      <c r="B776" s="1752" t="s">
        <v>3501</v>
      </c>
      <c r="C776" s="1718" t="s">
        <v>1477</v>
      </c>
      <c r="D776" s="1759">
        <f t="shared" si="294"/>
        <v>68</v>
      </c>
      <c r="E776" s="1761" t="str">
        <f t="shared" ca="1" si="295"/>
        <v>N</v>
      </c>
      <c r="F776" s="1591" t="str">
        <f t="shared" ca="1" si="291"/>
        <v>N</v>
      </c>
      <c r="G776" s="1591">
        <f ca="1">INDEX('Summary Data'!$AS$6:$FZ$57,MATCH($E776,'Summary Data'!$C$6:$C$57,0),MATCH($C776,'Summary Data'!$AS$3:$FZ$3,0)+4)</f>
        <v>0</v>
      </c>
      <c r="H776" s="1592" t="s">
        <v>5</v>
      </c>
      <c r="I776" s="1591">
        <f ca="1">INDEX('Summary Data'!$AS$6:$FZ$57,MATCH($E776,'Summary Data'!$C$6:$C$57,0),MATCH($C776,'Summary Data'!$AS$3:$FZ$3,0)+1+4)</f>
        <v>0</v>
      </c>
      <c r="J776" s="4002" t="str">
        <f t="shared" ca="1" si="292"/>
        <v>N</v>
      </c>
      <c r="K776" s="3114" t="s">
        <v>3174</v>
      </c>
      <c r="M776" s="391"/>
      <c r="N776" s="391"/>
      <c r="O776" s="313"/>
      <c r="P776" s="313"/>
      <c r="Q776" s="313"/>
      <c r="R776" s="313"/>
      <c r="S776" s="313"/>
    </row>
    <row r="777" spans="1:19" ht="16.899999999999999" hidden="1" customHeight="1" outlineLevel="1">
      <c r="A777" s="1269"/>
      <c r="B777" s="1752" t="s">
        <v>3501</v>
      </c>
      <c r="C777" s="1718" t="s">
        <v>1477</v>
      </c>
      <c r="D777" s="1759">
        <f t="shared" si="294"/>
        <v>85</v>
      </c>
      <c r="E777" s="1761" t="str">
        <f t="shared" ca="1" si="295"/>
        <v>N</v>
      </c>
      <c r="F777" s="1591" t="str">
        <f t="shared" ca="1" si="291"/>
        <v>N</v>
      </c>
      <c r="G777" s="1591">
        <f ca="1">INDEX('Summary Data'!$AS$6:$FZ$57,MATCH($E777,'Summary Data'!$C$6:$C$57,0),MATCH($C777,'Summary Data'!$AS$3:$FZ$3,0)+4)</f>
        <v>0</v>
      </c>
      <c r="H777" s="1592" t="s">
        <v>5</v>
      </c>
      <c r="I777" s="1591">
        <f ca="1">INDEX('Summary Data'!$AS$6:$FZ$57,MATCH($E777,'Summary Data'!$C$6:$C$57,0),MATCH($C777,'Summary Data'!$AS$3:$FZ$3,0)+1+4)</f>
        <v>0</v>
      </c>
      <c r="J777" s="4002" t="str">
        <f t="shared" ca="1" si="292"/>
        <v>N</v>
      </c>
      <c r="K777" s="3114" t="s">
        <v>3174</v>
      </c>
      <c r="M777" s="391"/>
      <c r="N777" s="391"/>
      <c r="O777" s="313"/>
      <c r="P777" s="313"/>
      <c r="Q777" s="313"/>
      <c r="R777" s="313"/>
      <c r="S777" s="313"/>
    </row>
    <row r="778" spans="1:19" ht="16.899999999999999" hidden="1" customHeight="1" outlineLevel="1">
      <c r="A778" s="1269"/>
      <c r="B778" s="1752" t="s">
        <v>3501</v>
      </c>
      <c r="C778" s="1718" t="s">
        <v>1477</v>
      </c>
      <c r="D778" s="1759">
        <f t="shared" si="294"/>
        <v>102</v>
      </c>
      <c r="E778" s="1761" t="str">
        <f t="shared" ca="1" si="295"/>
        <v>N</v>
      </c>
      <c r="F778" s="1591" t="str">
        <f t="shared" ca="1" si="291"/>
        <v>N</v>
      </c>
      <c r="G778" s="1591">
        <f ca="1">INDEX('Summary Data'!$AS$6:$FZ$57,MATCH($E778,'Summary Data'!$C$6:$C$57,0),MATCH($C778,'Summary Data'!$AS$3:$FZ$3,0)+4)</f>
        <v>0</v>
      </c>
      <c r="H778" s="1592" t="s">
        <v>5</v>
      </c>
      <c r="I778" s="1591">
        <f ca="1">INDEX('Summary Data'!$AS$6:$FZ$57,MATCH($E778,'Summary Data'!$C$6:$C$57,0),MATCH($C778,'Summary Data'!$AS$3:$FZ$3,0)+1+4)</f>
        <v>0</v>
      </c>
      <c r="J778" s="4002" t="str">
        <f t="shared" ca="1" si="292"/>
        <v>N</v>
      </c>
      <c r="K778" s="3114" t="s">
        <v>3174</v>
      </c>
      <c r="M778" s="391"/>
      <c r="N778" s="391"/>
      <c r="O778" s="313"/>
      <c r="P778" s="313"/>
      <c r="Q778" s="313"/>
      <c r="R778" s="313"/>
      <c r="S778" s="313"/>
    </row>
    <row r="779" spans="1:19" ht="16.899999999999999" hidden="1" customHeight="1" outlineLevel="1">
      <c r="A779" s="1269"/>
      <c r="B779" s="1752" t="s">
        <v>3501</v>
      </c>
      <c r="C779" s="1718" t="s">
        <v>1477</v>
      </c>
      <c r="D779" s="1759">
        <f t="shared" si="294"/>
        <v>119</v>
      </c>
      <c r="E779" s="1761" t="str">
        <f t="shared" ca="1" si="295"/>
        <v>N</v>
      </c>
      <c r="F779" s="1591" t="str">
        <f t="shared" ca="1" si="291"/>
        <v>N</v>
      </c>
      <c r="G779" s="1591">
        <f ca="1">INDEX('Summary Data'!$AS$6:$FZ$57,MATCH($E779,'Summary Data'!$C$6:$C$57,0),MATCH($C779,'Summary Data'!$AS$3:$FZ$3,0)+4)</f>
        <v>0</v>
      </c>
      <c r="H779" s="1592" t="s">
        <v>5</v>
      </c>
      <c r="I779" s="1591">
        <f ca="1">INDEX('Summary Data'!$AS$6:$FZ$57,MATCH($E779,'Summary Data'!$C$6:$C$57,0),MATCH($C779,'Summary Data'!$AS$3:$FZ$3,0)+1+4)</f>
        <v>0</v>
      </c>
      <c r="J779" s="4002" t="str">
        <f t="shared" ca="1" si="292"/>
        <v>N</v>
      </c>
      <c r="K779" s="3114" t="s">
        <v>3174</v>
      </c>
      <c r="M779" s="391"/>
      <c r="N779" s="391"/>
      <c r="O779" s="313"/>
      <c r="P779" s="313"/>
      <c r="Q779" s="313"/>
      <c r="R779" s="313"/>
      <c r="S779" s="313"/>
    </row>
    <row r="780" spans="1:19" ht="16.899999999999999" hidden="1" customHeight="1" outlineLevel="1">
      <c r="A780" s="1269"/>
      <c r="B780" s="1752" t="s">
        <v>3501</v>
      </c>
      <c r="C780" s="1718" t="s">
        <v>1477</v>
      </c>
      <c r="D780" s="1759">
        <f t="shared" si="294"/>
        <v>136</v>
      </c>
      <c r="E780" s="1761" t="str">
        <f t="shared" ca="1" si="295"/>
        <v>N</v>
      </c>
      <c r="F780" s="1591" t="str">
        <f t="shared" ca="1" si="291"/>
        <v>N</v>
      </c>
      <c r="G780" s="1591">
        <f ca="1">INDEX('Summary Data'!$AS$6:$FZ$57,MATCH($E780,'Summary Data'!$C$6:$C$57,0),MATCH($C780,'Summary Data'!$AS$3:$FZ$3,0)+4)</f>
        <v>0</v>
      </c>
      <c r="H780" s="1592" t="s">
        <v>5</v>
      </c>
      <c r="I780" s="1591">
        <f ca="1">INDEX('Summary Data'!$AS$6:$FZ$57,MATCH($E780,'Summary Data'!$C$6:$C$57,0),MATCH($C780,'Summary Data'!$AS$3:$FZ$3,0)+1+4)</f>
        <v>0</v>
      </c>
      <c r="J780" s="4002" t="str">
        <f t="shared" ca="1" si="292"/>
        <v>N</v>
      </c>
      <c r="K780" s="3114" t="s">
        <v>3174</v>
      </c>
      <c r="M780" s="391"/>
      <c r="N780" s="391"/>
      <c r="O780" s="313"/>
      <c r="P780" s="313"/>
      <c r="Q780" s="313"/>
      <c r="R780" s="313"/>
      <c r="S780" s="313"/>
    </row>
    <row r="781" spans="1:19" ht="16.899999999999999" hidden="1" customHeight="1" outlineLevel="1">
      <c r="A781" s="1269"/>
      <c r="B781" s="1752" t="s">
        <v>3501</v>
      </c>
      <c r="C781" s="1718" t="s">
        <v>1477</v>
      </c>
      <c r="D781" s="1759">
        <f t="shared" si="294"/>
        <v>153</v>
      </c>
      <c r="E781" s="1761" t="str">
        <f t="shared" ca="1" si="295"/>
        <v>N</v>
      </c>
      <c r="F781" s="1591" t="str">
        <f t="shared" ca="1" si="291"/>
        <v>N</v>
      </c>
      <c r="G781" s="1591">
        <f ca="1">INDEX('Summary Data'!$AS$6:$FZ$57,MATCH($E781,'Summary Data'!$C$6:$C$57,0),MATCH($C781,'Summary Data'!$AS$3:$FZ$3,0)+4)</f>
        <v>0</v>
      </c>
      <c r="H781" s="1592" t="s">
        <v>5</v>
      </c>
      <c r="I781" s="1591">
        <f ca="1">INDEX('Summary Data'!$AS$6:$FZ$57,MATCH($E781,'Summary Data'!$C$6:$C$57,0),MATCH($C781,'Summary Data'!$AS$3:$FZ$3,0)+1+4)</f>
        <v>0</v>
      </c>
      <c r="J781" s="4002" t="str">
        <f t="shared" ca="1" si="292"/>
        <v>N</v>
      </c>
      <c r="K781" s="3114" t="s">
        <v>3174</v>
      </c>
      <c r="M781" s="391"/>
      <c r="N781" s="391"/>
      <c r="O781" s="313"/>
      <c r="P781" s="313"/>
      <c r="Q781" s="313"/>
      <c r="R781" s="313"/>
      <c r="S781" s="313"/>
    </row>
    <row r="782" spans="1:19" ht="16.899999999999999" hidden="1" customHeight="1" outlineLevel="1">
      <c r="A782" s="1269"/>
      <c r="B782" s="1752" t="s">
        <v>3501</v>
      </c>
      <c r="C782" s="1718" t="s">
        <v>1477</v>
      </c>
      <c r="D782" s="1759">
        <f t="shared" si="294"/>
        <v>170</v>
      </c>
      <c r="E782" s="1761" t="str">
        <f t="shared" ca="1" si="295"/>
        <v>N</v>
      </c>
      <c r="F782" s="1591" t="str">
        <f t="shared" ca="1" si="291"/>
        <v>N</v>
      </c>
      <c r="G782" s="1591">
        <f ca="1">INDEX('Summary Data'!$AS$6:$FZ$57,MATCH($E782,'Summary Data'!$C$6:$C$57,0),MATCH($C782,'Summary Data'!$AS$3:$FZ$3,0)+4)</f>
        <v>0</v>
      </c>
      <c r="H782" s="1592" t="s">
        <v>5</v>
      </c>
      <c r="I782" s="1591">
        <f ca="1">INDEX('Summary Data'!$AS$6:$FZ$57,MATCH($E782,'Summary Data'!$C$6:$C$57,0),MATCH($C782,'Summary Data'!$AS$3:$FZ$3,0)+1+4)</f>
        <v>0</v>
      </c>
      <c r="J782" s="4002" t="str">
        <f t="shared" ca="1" si="292"/>
        <v>N</v>
      </c>
      <c r="K782" s="3114" t="s">
        <v>3174</v>
      </c>
      <c r="M782" s="391"/>
      <c r="N782" s="391"/>
      <c r="O782" s="313"/>
      <c r="P782" s="313"/>
      <c r="Q782" s="313"/>
      <c r="R782" s="313"/>
      <c r="S782" s="313"/>
    </row>
    <row r="783" spans="1:19" ht="16.899999999999999" hidden="1" customHeight="1" outlineLevel="1">
      <c r="A783" s="1269"/>
      <c r="B783" s="1752" t="s">
        <v>3501</v>
      </c>
      <c r="C783" s="1718" t="s">
        <v>1477</v>
      </c>
      <c r="D783" s="1759">
        <f t="shared" si="294"/>
        <v>187</v>
      </c>
      <c r="E783" s="1761" t="str">
        <f t="shared" ca="1" si="295"/>
        <v>N</v>
      </c>
      <c r="F783" s="1591" t="str">
        <f t="shared" ca="1" si="291"/>
        <v>N</v>
      </c>
      <c r="G783" s="1591">
        <f ca="1">INDEX('Summary Data'!$AS$6:$FZ$57,MATCH($E783,'Summary Data'!$C$6:$C$57,0),MATCH($C783,'Summary Data'!$AS$3:$FZ$3,0)+4)</f>
        <v>0</v>
      </c>
      <c r="H783" s="1592" t="s">
        <v>5</v>
      </c>
      <c r="I783" s="1591">
        <f ca="1">INDEX('Summary Data'!$AS$6:$FZ$57,MATCH($E783,'Summary Data'!$C$6:$C$57,0),MATCH($C783,'Summary Data'!$AS$3:$FZ$3,0)+1+4)</f>
        <v>0</v>
      </c>
      <c r="J783" s="4002" t="str">
        <f t="shared" ca="1" si="292"/>
        <v>N</v>
      </c>
      <c r="K783" s="3114" t="s">
        <v>3174</v>
      </c>
      <c r="M783" s="391"/>
      <c r="N783" s="391"/>
      <c r="O783" s="313"/>
      <c r="P783" s="313"/>
      <c r="Q783" s="313"/>
      <c r="R783" s="313"/>
      <c r="S783" s="313"/>
    </row>
    <row r="784" spans="1:19" ht="16.899999999999999" hidden="1" customHeight="1" outlineLevel="1">
      <c r="A784" s="1269"/>
      <c r="B784" s="1752" t="s">
        <v>3501</v>
      </c>
      <c r="C784" s="1718" t="s">
        <v>1477</v>
      </c>
      <c r="D784" s="1759">
        <f t="shared" si="294"/>
        <v>204</v>
      </c>
      <c r="E784" s="1761" t="str">
        <f t="shared" ca="1" si="295"/>
        <v>N</v>
      </c>
      <c r="F784" s="1591" t="str">
        <f t="shared" ca="1" si="291"/>
        <v>N</v>
      </c>
      <c r="G784" s="1591">
        <f ca="1">INDEX('Summary Data'!$AS$6:$FZ$57,MATCH($E784,'Summary Data'!$C$6:$C$57,0),MATCH($C784,'Summary Data'!$AS$3:$FZ$3,0)+4)</f>
        <v>0</v>
      </c>
      <c r="H784" s="1592" t="s">
        <v>5</v>
      </c>
      <c r="I784" s="1591">
        <f ca="1">INDEX('Summary Data'!$AS$6:$FZ$57,MATCH($E784,'Summary Data'!$C$6:$C$57,0),MATCH($C784,'Summary Data'!$AS$3:$FZ$3,0)+1+4)</f>
        <v>0</v>
      </c>
      <c r="J784" s="4002" t="str">
        <f t="shared" ca="1" si="292"/>
        <v>N</v>
      </c>
      <c r="K784" s="3114" t="s">
        <v>3174</v>
      </c>
      <c r="M784" s="391"/>
      <c r="N784" s="391"/>
      <c r="O784" s="313"/>
      <c r="P784" s="313"/>
      <c r="Q784" s="313"/>
      <c r="R784" s="313"/>
      <c r="S784" s="313"/>
    </row>
    <row r="785" spans="1:19" ht="16.899999999999999" hidden="1" customHeight="1" outlineLevel="1">
      <c r="A785" s="1269"/>
      <c r="B785" s="1752" t="s">
        <v>3501</v>
      </c>
      <c r="C785" s="1718" t="s">
        <v>1477</v>
      </c>
      <c r="D785" s="1759">
        <f t="shared" si="294"/>
        <v>221</v>
      </c>
      <c r="E785" s="1761" t="str">
        <f t="shared" ca="1" si="295"/>
        <v>1st</v>
      </c>
      <c r="F785" s="1591" t="str">
        <f t="shared" ca="1" si="291"/>
        <v>N</v>
      </c>
      <c r="G785" s="1591">
        <f ca="1">INDEX('Summary Data'!$AS$6:$FZ$57,MATCH($E785,'Summary Data'!$C$6:$C$57,0),MATCH($C785,'Summary Data'!$AS$3:$FZ$3,0)+4)</f>
        <v>0</v>
      </c>
      <c r="H785" s="1592" t="s">
        <v>5</v>
      </c>
      <c r="I785" s="1591">
        <f ca="1">INDEX('Summary Data'!$AS$6:$FZ$57,MATCH($E785,'Summary Data'!$C$6:$C$57,0),MATCH($C785,'Summary Data'!$AS$3:$FZ$3,0)+1+4)</f>
        <v>0</v>
      </c>
      <c r="J785" s="4002" t="str">
        <f t="shared" ca="1" si="292"/>
        <v>N</v>
      </c>
      <c r="K785" s="3114" t="s">
        <v>3174</v>
      </c>
      <c r="M785" s="391"/>
      <c r="N785" s="391"/>
      <c r="O785" s="313"/>
      <c r="P785" s="313"/>
      <c r="Q785" s="313"/>
      <c r="R785" s="313"/>
      <c r="S785" s="313"/>
    </row>
    <row r="786" spans="1:19" ht="16.899999999999999" hidden="1" customHeight="1" outlineLevel="1">
      <c r="A786" s="1269"/>
      <c r="B786" s="1752" t="s">
        <v>3501</v>
      </c>
      <c r="C786" s="1718" t="s">
        <v>1477</v>
      </c>
      <c r="D786" s="1759">
        <f t="shared" si="294"/>
        <v>238</v>
      </c>
      <c r="E786" s="1761" t="str">
        <f t="shared" ca="1" si="295"/>
        <v>1st</v>
      </c>
      <c r="F786" s="1591" t="str">
        <f t="shared" ca="1" si="291"/>
        <v>N</v>
      </c>
      <c r="G786" s="1591">
        <f ca="1">INDEX('Summary Data'!$AS$6:$FZ$57,MATCH($E786,'Summary Data'!$C$6:$C$57,0),MATCH($C786,'Summary Data'!$AS$3:$FZ$3,0)+4)</f>
        <v>0</v>
      </c>
      <c r="H786" s="1592" t="s">
        <v>5</v>
      </c>
      <c r="I786" s="1591">
        <f ca="1">INDEX('Summary Data'!$AS$6:$FZ$57,MATCH($E786,'Summary Data'!$C$6:$C$57,0),MATCH($C786,'Summary Data'!$AS$3:$FZ$3,0)+1+4)</f>
        <v>0</v>
      </c>
      <c r="J786" s="4002" t="str">
        <f t="shared" ca="1" si="292"/>
        <v>N</v>
      </c>
      <c r="K786" s="3114" t="s">
        <v>3174</v>
      </c>
      <c r="M786" s="391"/>
      <c r="N786" s="391"/>
      <c r="O786" s="313"/>
      <c r="P786" s="313"/>
      <c r="Q786" s="313"/>
      <c r="R786" s="313"/>
      <c r="S786" s="313"/>
    </row>
    <row r="787" spans="1:19" ht="16.899999999999999" hidden="1" customHeight="1" outlineLevel="1">
      <c r="A787" s="313"/>
      <c r="B787" s="1752" t="s">
        <v>3501</v>
      </c>
      <c r="C787" s="1718" t="s">
        <v>1476</v>
      </c>
      <c r="D787" s="1759">
        <v>0</v>
      </c>
      <c r="E787" s="1761" t="str">
        <f t="shared" ca="1" si="295"/>
        <v>Box</v>
      </c>
      <c r="F787" s="1591" t="str">
        <f t="shared" ca="1" si="291"/>
        <v>N</v>
      </c>
      <c r="G787" s="1591">
        <f ca="1">INDEX('Summary Data'!$AS$6:$FZ$57,MATCH($E787,'Summary Data'!$C$6:$C$57,0),MATCH($C787,'Summary Data'!$AS$3:$FZ$3,0))</f>
        <v>0</v>
      </c>
      <c r="H787" s="1592" t="s">
        <v>5</v>
      </c>
      <c r="I787" s="1591">
        <f ca="1">INDEX('Summary Data'!$AS$6:$FZ$57,MATCH($E787,'Summary Data'!$C$6:$C$57,0),MATCH($C787,'Summary Data'!$AS$3:$FZ$3,0)+1)</f>
        <v>0</v>
      </c>
      <c r="J787" s="4002" t="str">
        <f t="shared" ca="1" si="292"/>
        <v>N</v>
      </c>
      <c r="K787" s="3114" t="s">
        <v>3174</v>
      </c>
      <c r="M787" s="391"/>
      <c r="N787" s="391"/>
      <c r="O787" s="313"/>
      <c r="P787" s="313"/>
      <c r="Q787" s="313"/>
      <c r="R787" s="313"/>
      <c r="S787" s="313"/>
    </row>
    <row r="788" spans="1:19" ht="16.899999999999999" hidden="1" customHeight="1" outlineLevel="1">
      <c r="A788" s="313"/>
      <c r="B788" s="1752" t="s">
        <v>3501</v>
      </c>
      <c r="C788" s="1718" t="s">
        <v>1476</v>
      </c>
      <c r="D788" s="1759">
        <f>D787+17</f>
        <v>17</v>
      </c>
      <c r="E788" s="1761" t="str">
        <f t="shared" ca="1" si="295"/>
        <v>N</v>
      </c>
      <c r="F788" s="1591" t="str">
        <f t="shared" ca="1" si="291"/>
        <v>N</v>
      </c>
      <c r="G788" s="1591">
        <f ca="1">INDEX('Summary Data'!$AS$6:$FZ$57,MATCH($E788,'Summary Data'!$C$6:$C$57,0),MATCH($C788,'Summary Data'!$AS$3:$FZ$3,0))</f>
        <v>0</v>
      </c>
      <c r="H788" s="1592" t="s">
        <v>5</v>
      </c>
      <c r="I788" s="1591">
        <f ca="1">INDEX('Summary Data'!$AS$6:$FZ$57,MATCH($E788,'Summary Data'!$C$6:$C$57,0),MATCH($C788,'Summary Data'!$AS$3:$FZ$3,0)+1)</f>
        <v>0</v>
      </c>
      <c r="J788" s="4002" t="str">
        <f t="shared" ca="1" si="292"/>
        <v>N</v>
      </c>
      <c r="K788" s="3114" t="s">
        <v>3174</v>
      </c>
      <c r="M788" s="391"/>
      <c r="N788" s="391"/>
      <c r="O788" s="313"/>
      <c r="P788" s="313"/>
      <c r="Q788" s="313"/>
      <c r="R788" s="313"/>
      <c r="S788" s="313"/>
    </row>
    <row r="789" spans="1:19" ht="16.899999999999999" hidden="1" customHeight="1" outlineLevel="1">
      <c r="A789" s="313"/>
      <c r="B789" s="1752" t="s">
        <v>3501</v>
      </c>
      <c r="C789" s="1718" t="s">
        <v>1476</v>
      </c>
      <c r="D789" s="1759">
        <f t="shared" ref="D789:D801" si="296">D788+17</f>
        <v>34</v>
      </c>
      <c r="E789" s="1761" t="str">
        <f t="shared" ca="1" si="295"/>
        <v>N</v>
      </c>
      <c r="F789" s="1591" t="str">
        <f t="shared" ca="1" si="291"/>
        <v>N</v>
      </c>
      <c r="G789" s="1591">
        <f ca="1">INDEX('Summary Data'!$AS$6:$FZ$57,MATCH($E789,'Summary Data'!$C$6:$C$57,0),MATCH($C789,'Summary Data'!$AS$3:$FZ$3,0))</f>
        <v>0</v>
      </c>
      <c r="H789" s="1592" t="s">
        <v>5</v>
      </c>
      <c r="I789" s="1591">
        <f ca="1">INDEX('Summary Data'!$AS$6:$FZ$57,MATCH($E789,'Summary Data'!$C$6:$C$57,0),MATCH($C789,'Summary Data'!$AS$3:$FZ$3,0)+1)</f>
        <v>0</v>
      </c>
      <c r="J789" s="4002" t="str">
        <f t="shared" ca="1" si="292"/>
        <v>N</v>
      </c>
      <c r="K789" s="3114" t="s">
        <v>3174</v>
      </c>
      <c r="M789" s="391"/>
      <c r="N789" s="391"/>
      <c r="O789" s="313"/>
      <c r="P789" s="313"/>
      <c r="Q789" s="313"/>
      <c r="R789" s="313"/>
      <c r="S789" s="313"/>
    </row>
    <row r="790" spans="1:19" ht="16.899999999999999" hidden="1" customHeight="1" outlineLevel="1">
      <c r="A790" s="313"/>
      <c r="B790" s="1752" t="s">
        <v>3501</v>
      </c>
      <c r="C790" s="1718" t="s">
        <v>1476</v>
      </c>
      <c r="D790" s="1759">
        <f t="shared" si="296"/>
        <v>51</v>
      </c>
      <c r="E790" s="1761" t="str">
        <f t="shared" ca="1" si="295"/>
        <v>N</v>
      </c>
      <c r="F790" s="1591" t="str">
        <f t="shared" ca="1" si="291"/>
        <v>N</v>
      </c>
      <c r="G790" s="1591">
        <f ca="1">INDEX('Summary Data'!$AS$6:$FZ$57,MATCH($E790,'Summary Data'!$C$6:$C$57,0),MATCH($C790,'Summary Data'!$AS$3:$FZ$3,0))</f>
        <v>0</v>
      </c>
      <c r="H790" s="1592" t="s">
        <v>5</v>
      </c>
      <c r="I790" s="1591">
        <f ca="1">INDEX('Summary Data'!$AS$6:$FZ$57,MATCH($E790,'Summary Data'!$C$6:$C$57,0),MATCH($C790,'Summary Data'!$AS$3:$FZ$3,0)+1)</f>
        <v>0</v>
      </c>
      <c r="J790" s="4002" t="str">
        <f t="shared" ca="1" si="292"/>
        <v>N</v>
      </c>
      <c r="K790" s="3114" t="s">
        <v>3174</v>
      </c>
      <c r="M790" s="391"/>
      <c r="N790" s="391"/>
      <c r="O790" s="313"/>
      <c r="P790" s="313"/>
      <c r="Q790" s="313"/>
      <c r="R790" s="313"/>
      <c r="S790" s="313"/>
    </row>
    <row r="791" spans="1:19" ht="16.899999999999999" hidden="1" customHeight="1" outlineLevel="1">
      <c r="A791" s="313"/>
      <c r="B791" s="1752" t="s">
        <v>3501</v>
      </c>
      <c r="C791" s="1718" t="s">
        <v>1476</v>
      </c>
      <c r="D791" s="1759">
        <f t="shared" si="296"/>
        <v>68</v>
      </c>
      <c r="E791" s="1761" t="str">
        <f t="shared" ca="1" si="295"/>
        <v>N</v>
      </c>
      <c r="F791" s="1591" t="str">
        <f t="shared" ca="1" si="291"/>
        <v>N</v>
      </c>
      <c r="G791" s="1591">
        <f ca="1">INDEX('Summary Data'!$AS$6:$FZ$57,MATCH($E791,'Summary Data'!$C$6:$C$57,0),MATCH($C791,'Summary Data'!$AS$3:$FZ$3,0))</f>
        <v>0</v>
      </c>
      <c r="H791" s="1592" t="s">
        <v>5</v>
      </c>
      <c r="I791" s="1591">
        <f ca="1">INDEX('Summary Data'!$AS$6:$FZ$57,MATCH($E791,'Summary Data'!$C$6:$C$57,0),MATCH($C791,'Summary Data'!$AS$3:$FZ$3,0)+1)</f>
        <v>0</v>
      </c>
      <c r="J791" s="4002" t="str">
        <f t="shared" ca="1" si="292"/>
        <v>N</v>
      </c>
      <c r="K791" s="3114" t="s">
        <v>3174</v>
      </c>
      <c r="M791" s="391"/>
      <c r="N791" s="391"/>
      <c r="O791" s="313"/>
      <c r="P791" s="313"/>
      <c r="Q791" s="313"/>
      <c r="R791" s="313"/>
      <c r="S791" s="313"/>
    </row>
    <row r="792" spans="1:19" ht="16.899999999999999" hidden="1" customHeight="1" outlineLevel="1">
      <c r="A792" s="313"/>
      <c r="B792" s="1752" t="s">
        <v>3501</v>
      </c>
      <c r="C792" s="1718" t="s">
        <v>1476</v>
      </c>
      <c r="D792" s="1759">
        <f t="shared" si="296"/>
        <v>85</v>
      </c>
      <c r="E792" s="1761" t="str">
        <f t="shared" ca="1" si="295"/>
        <v>N</v>
      </c>
      <c r="F792" s="1591" t="str">
        <f t="shared" ca="1" si="291"/>
        <v>N</v>
      </c>
      <c r="G792" s="1591">
        <f ca="1">INDEX('Summary Data'!$AS$6:$FZ$57,MATCH($E792,'Summary Data'!$C$6:$C$57,0),MATCH($C792,'Summary Data'!$AS$3:$FZ$3,0))</f>
        <v>0</v>
      </c>
      <c r="H792" s="1592" t="s">
        <v>5</v>
      </c>
      <c r="I792" s="1591">
        <f ca="1">INDEX('Summary Data'!$AS$6:$FZ$57,MATCH($E792,'Summary Data'!$C$6:$C$57,0),MATCH($C792,'Summary Data'!$AS$3:$FZ$3,0)+1)</f>
        <v>0</v>
      </c>
      <c r="J792" s="4002" t="str">
        <f t="shared" ca="1" si="292"/>
        <v>N</v>
      </c>
      <c r="K792" s="3114" t="s">
        <v>3174</v>
      </c>
      <c r="M792" s="391"/>
      <c r="N792" s="391"/>
      <c r="O792" s="313"/>
      <c r="P792" s="313"/>
      <c r="Q792" s="313"/>
      <c r="R792" s="313"/>
      <c r="S792" s="313"/>
    </row>
    <row r="793" spans="1:19" ht="16.899999999999999" hidden="1" customHeight="1" outlineLevel="1">
      <c r="A793" s="313"/>
      <c r="B793" s="1752" t="s">
        <v>3501</v>
      </c>
      <c r="C793" s="1718" t="s">
        <v>1476</v>
      </c>
      <c r="D793" s="1759">
        <f t="shared" si="296"/>
        <v>102</v>
      </c>
      <c r="E793" s="1761" t="str">
        <f t="shared" ca="1" si="295"/>
        <v>N</v>
      </c>
      <c r="F793" s="1591" t="str">
        <f t="shared" ca="1" si="291"/>
        <v>N</v>
      </c>
      <c r="G793" s="1591">
        <f ca="1">INDEX('Summary Data'!$AS$6:$FZ$57,MATCH($E793,'Summary Data'!$C$6:$C$57,0),MATCH($C793,'Summary Data'!$AS$3:$FZ$3,0))</f>
        <v>0</v>
      </c>
      <c r="H793" s="1592" t="s">
        <v>5</v>
      </c>
      <c r="I793" s="1591">
        <f ca="1">INDEX('Summary Data'!$AS$6:$FZ$57,MATCH($E793,'Summary Data'!$C$6:$C$57,0),MATCH($C793,'Summary Data'!$AS$3:$FZ$3,0)+1)</f>
        <v>0</v>
      </c>
      <c r="J793" s="4002" t="str">
        <f t="shared" ca="1" si="292"/>
        <v>N</v>
      </c>
      <c r="K793" s="3114" t="s">
        <v>3174</v>
      </c>
      <c r="M793" s="391"/>
      <c r="N793" s="391"/>
      <c r="O793" s="313"/>
      <c r="P793" s="313"/>
      <c r="Q793" s="313"/>
      <c r="R793" s="313"/>
      <c r="S793" s="313"/>
    </row>
    <row r="794" spans="1:19" ht="16.899999999999999" hidden="1" customHeight="1" outlineLevel="1">
      <c r="A794" s="313"/>
      <c r="B794" s="1752" t="s">
        <v>3501</v>
      </c>
      <c r="C794" s="1718" t="s">
        <v>1476</v>
      </c>
      <c r="D794" s="1759">
        <f t="shared" si="296"/>
        <v>119</v>
      </c>
      <c r="E794" s="1761" t="str">
        <f t="shared" ca="1" si="295"/>
        <v>N</v>
      </c>
      <c r="F794" s="1591" t="str">
        <f t="shared" ca="1" si="291"/>
        <v>N</v>
      </c>
      <c r="G794" s="1591">
        <f ca="1">INDEX('Summary Data'!$AS$6:$FZ$57,MATCH($E794,'Summary Data'!$C$6:$C$57,0),MATCH($C794,'Summary Data'!$AS$3:$FZ$3,0))</f>
        <v>0</v>
      </c>
      <c r="H794" s="1592" t="s">
        <v>5</v>
      </c>
      <c r="I794" s="1591">
        <f ca="1">INDEX('Summary Data'!$AS$6:$FZ$57,MATCH($E794,'Summary Data'!$C$6:$C$57,0),MATCH($C794,'Summary Data'!$AS$3:$FZ$3,0)+1)</f>
        <v>0</v>
      </c>
      <c r="J794" s="4002" t="str">
        <f t="shared" ca="1" si="292"/>
        <v>N</v>
      </c>
      <c r="K794" s="3114" t="s">
        <v>3174</v>
      </c>
      <c r="M794" s="391"/>
      <c r="N794" s="391"/>
      <c r="O794" s="313"/>
      <c r="P794" s="313"/>
      <c r="Q794" s="313"/>
      <c r="R794" s="313"/>
      <c r="S794" s="313"/>
    </row>
    <row r="795" spans="1:19" ht="16.899999999999999" hidden="1" customHeight="1" outlineLevel="1">
      <c r="A795" s="313"/>
      <c r="B795" s="1752" t="s">
        <v>3501</v>
      </c>
      <c r="C795" s="1718" t="s">
        <v>1476</v>
      </c>
      <c r="D795" s="1759">
        <f t="shared" si="296"/>
        <v>136</v>
      </c>
      <c r="E795" s="1761" t="str">
        <f t="shared" ca="1" si="295"/>
        <v>N</v>
      </c>
      <c r="F795" s="1591" t="str">
        <f t="shared" ca="1" si="291"/>
        <v>N</v>
      </c>
      <c r="G795" s="1591">
        <f ca="1">INDEX('Summary Data'!$AS$6:$FZ$57,MATCH($E795,'Summary Data'!$C$6:$C$57,0),MATCH($C795,'Summary Data'!$AS$3:$FZ$3,0))</f>
        <v>0</v>
      </c>
      <c r="H795" s="1592" t="s">
        <v>5</v>
      </c>
      <c r="I795" s="1591">
        <f ca="1">INDEX('Summary Data'!$AS$6:$FZ$57,MATCH($E795,'Summary Data'!$C$6:$C$57,0),MATCH($C795,'Summary Data'!$AS$3:$FZ$3,0)+1)</f>
        <v>0</v>
      </c>
      <c r="J795" s="4002" t="str">
        <f t="shared" ca="1" si="292"/>
        <v>N</v>
      </c>
      <c r="K795" s="3114" t="s">
        <v>3174</v>
      </c>
      <c r="M795" s="391"/>
      <c r="N795" s="391"/>
      <c r="O795" s="313"/>
      <c r="P795" s="313"/>
      <c r="Q795" s="313"/>
      <c r="R795" s="313"/>
      <c r="S795" s="313"/>
    </row>
    <row r="796" spans="1:19" ht="16.899999999999999" hidden="1" customHeight="1" outlineLevel="1">
      <c r="A796" s="313"/>
      <c r="B796" s="1752" t="s">
        <v>3501</v>
      </c>
      <c r="C796" s="1718" t="s">
        <v>1476</v>
      </c>
      <c r="D796" s="1759">
        <f t="shared" si="296"/>
        <v>153</v>
      </c>
      <c r="E796" s="1761" t="str">
        <f t="shared" ca="1" si="295"/>
        <v>N</v>
      </c>
      <c r="F796" s="1591" t="str">
        <f t="shared" ca="1" si="291"/>
        <v>N</v>
      </c>
      <c r="G796" s="1591">
        <f ca="1">INDEX('Summary Data'!$AS$6:$FZ$57,MATCH($E796,'Summary Data'!$C$6:$C$57,0),MATCH($C796,'Summary Data'!$AS$3:$FZ$3,0))</f>
        <v>0</v>
      </c>
      <c r="H796" s="1592" t="s">
        <v>5</v>
      </c>
      <c r="I796" s="1591">
        <f ca="1">INDEX('Summary Data'!$AS$6:$FZ$57,MATCH($E796,'Summary Data'!$C$6:$C$57,0),MATCH($C796,'Summary Data'!$AS$3:$FZ$3,0)+1)</f>
        <v>0</v>
      </c>
      <c r="J796" s="4002" t="str">
        <f t="shared" ca="1" si="292"/>
        <v>N</v>
      </c>
      <c r="K796" s="3114" t="s">
        <v>3174</v>
      </c>
      <c r="M796" s="391"/>
      <c r="N796" s="391"/>
      <c r="O796" s="313"/>
      <c r="P796" s="313"/>
      <c r="Q796" s="313"/>
      <c r="R796" s="313"/>
      <c r="S796" s="313"/>
    </row>
    <row r="797" spans="1:19" ht="16.899999999999999" hidden="1" customHeight="1" outlineLevel="1">
      <c r="A797" s="313"/>
      <c r="B797" s="1752" t="s">
        <v>3501</v>
      </c>
      <c r="C797" s="1718" t="s">
        <v>1476</v>
      </c>
      <c r="D797" s="1759">
        <f t="shared" si="296"/>
        <v>170</v>
      </c>
      <c r="E797" s="1761" t="str">
        <f t="shared" ca="1" si="295"/>
        <v>N</v>
      </c>
      <c r="F797" s="1591" t="str">
        <f t="shared" ca="1" si="291"/>
        <v>N</v>
      </c>
      <c r="G797" s="1591">
        <f ca="1">INDEX('Summary Data'!$AS$6:$FZ$57,MATCH($E797,'Summary Data'!$C$6:$C$57,0),MATCH($C797,'Summary Data'!$AS$3:$FZ$3,0))</f>
        <v>0</v>
      </c>
      <c r="H797" s="1592" t="s">
        <v>5</v>
      </c>
      <c r="I797" s="1591">
        <f ca="1">INDEX('Summary Data'!$AS$6:$FZ$57,MATCH($E797,'Summary Data'!$C$6:$C$57,0),MATCH($C797,'Summary Data'!$AS$3:$FZ$3,0)+1)</f>
        <v>0</v>
      </c>
      <c r="J797" s="4002" t="str">
        <f t="shared" ca="1" si="292"/>
        <v>N</v>
      </c>
      <c r="K797" s="3114" t="s">
        <v>3174</v>
      </c>
      <c r="M797" s="391"/>
      <c r="N797" s="391"/>
      <c r="O797" s="313"/>
      <c r="P797" s="313"/>
      <c r="Q797" s="313"/>
      <c r="R797" s="313"/>
      <c r="S797" s="313"/>
    </row>
    <row r="798" spans="1:19" ht="16.899999999999999" hidden="1" customHeight="1" outlineLevel="1">
      <c r="A798" s="313"/>
      <c r="B798" s="1752" t="s">
        <v>3501</v>
      </c>
      <c r="C798" s="1718" t="s">
        <v>1476</v>
      </c>
      <c r="D798" s="1759">
        <f t="shared" si="296"/>
        <v>187</v>
      </c>
      <c r="E798" s="1761" t="str">
        <f t="shared" ca="1" si="295"/>
        <v>N</v>
      </c>
      <c r="F798" s="1591" t="str">
        <f t="shared" ca="1" si="291"/>
        <v>N</v>
      </c>
      <c r="G798" s="1591">
        <f ca="1">INDEX('Summary Data'!$AS$6:$FZ$57,MATCH($E798,'Summary Data'!$C$6:$C$57,0),MATCH($C798,'Summary Data'!$AS$3:$FZ$3,0))</f>
        <v>0</v>
      </c>
      <c r="H798" s="1592" t="s">
        <v>5</v>
      </c>
      <c r="I798" s="1591">
        <f ca="1">INDEX('Summary Data'!$AS$6:$FZ$57,MATCH($E798,'Summary Data'!$C$6:$C$57,0),MATCH($C798,'Summary Data'!$AS$3:$FZ$3,0)+1)</f>
        <v>0</v>
      </c>
      <c r="J798" s="4002" t="str">
        <f t="shared" ca="1" si="292"/>
        <v>N</v>
      </c>
      <c r="K798" s="3114" t="s">
        <v>3174</v>
      </c>
      <c r="M798" s="391"/>
      <c r="N798" s="391"/>
      <c r="O798" s="313"/>
      <c r="P798" s="313"/>
      <c r="Q798" s="313"/>
      <c r="R798" s="313"/>
      <c r="S798" s="313"/>
    </row>
    <row r="799" spans="1:19" ht="16.899999999999999" hidden="1" customHeight="1" outlineLevel="1">
      <c r="A799" s="313"/>
      <c r="B799" s="1752" t="s">
        <v>3501</v>
      </c>
      <c r="C799" s="1718" t="s">
        <v>1476</v>
      </c>
      <c r="D799" s="1759">
        <f t="shared" si="296"/>
        <v>204</v>
      </c>
      <c r="E799" s="1761" t="str">
        <f t="shared" ca="1" si="295"/>
        <v>N</v>
      </c>
      <c r="F799" s="1591" t="str">
        <f t="shared" ca="1" si="291"/>
        <v>N</v>
      </c>
      <c r="G799" s="1591">
        <f ca="1">INDEX('Summary Data'!$AS$6:$FZ$57,MATCH($E799,'Summary Data'!$C$6:$C$57,0),MATCH($C799,'Summary Data'!$AS$3:$FZ$3,0))</f>
        <v>0</v>
      </c>
      <c r="H799" s="1592" t="s">
        <v>5</v>
      </c>
      <c r="I799" s="1591">
        <f ca="1">INDEX('Summary Data'!$AS$6:$FZ$57,MATCH($E799,'Summary Data'!$C$6:$C$57,0),MATCH($C799,'Summary Data'!$AS$3:$FZ$3,0)+1)</f>
        <v>0</v>
      </c>
      <c r="J799" s="4002" t="str">
        <f t="shared" ca="1" si="292"/>
        <v>N</v>
      </c>
      <c r="K799" s="3114" t="s">
        <v>3174</v>
      </c>
      <c r="M799" s="391"/>
      <c r="N799" s="391"/>
      <c r="O799" s="313"/>
      <c r="P799" s="313"/>
      <c r="Q799" s="313"/>
      <c r="R799" s="313"/>
      <c r="S799" s="313"/>
    </row>
    <row r="800" spans="1:19" ht="16.899999999999999" hidden="1" customHeight="1" outlineLevel="1">
      <c r="A800" s="313"/>
      <c r="B800" s="1752" t="s">
        <v>3501</v>
      </c>
      <c r="C800" s="1718" t="s">
        <v>1476</v>
      </c>
      <c r="D800" s="1759">
        <f t="shared" si="296"/>
        <v>221</v>
      </c>
      <c r="E800" s="1761" t="str">
        <f t="shared" ca="1" si="295"/>
        <v>1st</v>
      </c>
      <c r="F800" s="1591" t="str">
        <f t="shared" ca="1" si="291"/>
        <v>N</v>
      </c>
      <c r="G800" s="1591">
        <f ca="1">INDEX('Summary Data'!$AS$6:$FZ$57,MATCH($E800,'Summary Data'!$C$6:$C$57,0),MATCH($C800,'Summary Data'!$AS$3:$FZ$3,0))</f>
        <v>0</v>
      </c>
      <c r="H800" s="1592" t="s">
        <v>5</v>
      </c>
      <c r="I800" s="1591">
        <f ca="1">INDEX('Summary Data'!$AS$6:$FZ$57,MATCH($E800,'Summary Data'!$C$6:$C$57,0),MATCH($C800,'Summary Data'!$AS$3:$FZ$3,0)+1)</f>
        <v>0</v>
      </c>
      <c r="J800" s="4002" t="str">
        <f t="shared" ca="1" si="292"/>
        <v>N</v>
      </c>
      <c r="K800" s="3114" t="s">
        <v>3174</v>
      </c>
      <c r="M800" s="391"/>
      <c r="N800" s="391"/>
      <c r="O800" s="313"/>
      <c r="P800" s="313"/>
      <c r="Q800" s="313"/>
      <c r="R800" s="313"/>
      <c r="S800" s="313"/>
    </row>
    <row r="801" spans="1:19" ht="16.899999999999999" hidden="1" customHeight="1" outlineLevel="1">
      <c r="A801" s="313"/>
      <c r="B801" s="1752" t="s">
        <v>3501</v>
      </c>
      <c r="C801" s="1718" t="s">
        <v>1476</v>
      </c>
      <c r="D801" s="1759">
        <f t="shared" si="296"/>
        <v>238</v>
      </c>
      <c r="E801" s="1761" t="str">
        <f t="shared" ca="1" si="295"/>
        <v>1st</v>
      </c>
      <c r="F801" s="1591" t="str">
        <f t="shared" ca="1" si="291"/>
        <v>N</v>
      </c>
      <c r="G801" s="1591">
        <f ca="1">INDEX('Summary Data'!$AS$6:$FZ$57,MATCH($E801,'Summary Data'!$C$6:$C$57,0),MATCH($C801,'Summary Data'!$AS$3:$FZ$3,0))</f>
        <v>0</v>
      </c>
      <c r="H801" s="1592" t="s">
        <v>5</v>
      </c>
      <c r="I801" s="1591">
        <f ca="1">INDEX('Summary Data'!$AS$6:$FZ$57,MATCH($E801,'Summary Data'!$C$6:$C$57,0),MATCH($C801,'Summary Data'!$AS$3:$FZ$3,0)+1)</f>
        <v>0</v>
      </c>
      <c r="J801" s="4002" t="str">
        <f t="shared" ca="1" si="292"/>
        <v>N</v>
      </c>
      <c r="K801" s="3114" t="s">
        <v>3174</v>
      </c>
      <c r="M801" s="391"/>
      <c r="N801" s="391"/>
      <c r="O801" s="313"/>
      <c r="P801" s="313"/>
      <c r="Q801" s="313"/>
      <c r="R801" s="313"/>
      <c r="S801" s="313"/>
    </row>
    <row r="802" spans="1:19" ht="16.899999999999999" hidden="1" customHeight="1" outlineLevel="1">
      <c r="A802" s="313"/>
      <c r="B802" s="1752" t="s">
        <v>3501</v>
      </c>
      <c r="C802" s="1718" t="s">
        <v>1476</v>
      </c>
      <c r="D802" s="1759">
        <v>0</v>
      </c>
      <c r="E802" s="1761" t="str">
        <f t="shared" ca="1" si="295"/>
        <v>Box</v>
      </c>
      <c r="F802" s="1591" t="str">
        <f t="shared" ca="1" si="291"/>
        <v>N</v>
      </c>
      <c r="G802" s="1591">
        <f ca="1">INDEX('Summary Data'!$AS$6:$FZ$57,MATCH($E802,'Summary Data'!$C$6:$C$57,0),MATCH($C802,'Summary Data'!$AS$3:$FZ$3,0)+2)</f>
        <v>0</v>
      </c>
      <c r="H802" s="1592" t="s">
        <v>5</v>
      </c>
      <c r="I802" s="1591">
        <f ca="1">INDEX('Summary Data'!$AS$6:$FZ$57,MATCH($E802,'Summary Data'!$C$6:$C$57,0),MATCH($C802,'Summary Data'!$AS$3:$FZ$3,0)+1+2)</f>
        <v>0</v>
      </c>
      <c r="J802" s="4002" t="str">
        <f t="shared" ca="1" si="292"/>
        <v>N</v>
      </c>
      <c r="K802" s="3114" t="s">
        <v>3174</v>
      </c>
      <c r="M802" s="391"/>
      <c r="N802" s="391"/>
      <c r="O802" s="313"/>
      <c r="P802" s="313"/>
      <c r="Q802" s="313"/>
      <c r="R802" s="313"/>
      <c r="S802" s="313"/>
    </row>
    <row r="803" spans="1:19" ht="16.899999999999999" hidden="1" customHeight="1" outlineLevel="1">
      <c r="A803" s="313"/>
      <c r="B803" s="1752" t="s">
        <v>3501</v>
      </c>
      <c r="C803" s="1718" t="s">
        <v>1476</v>
      </c>
      <c r="D803" s="1759">
        <f>D802+17</f>
        <v>17</v>
      </c>
      <c r="E803" s="1761" t="str">
        <f t="shared" ca="1" si="295"/>
        <v>N</v>
      </c>
      <c r="F803" s="1591" t="str">
        <f t="shared" ca="1" si="291"/>
        <v>N</v>
      </c>
      <c r="G803" s="1591">
        <f ca="1">INDEX('Summary Data'!$AS$6:$FZ$57,MATCH($E803,'Summary Data'!$C$6:$C$57,0),MATCH($C803,'Summary Data'!$AS$3:$FZ$3,0)+2)</f>
        <v>0</v>
      </c>
      <c r="H803" s="1592" t="s">
        <v>5</v>
      </c>
      <c r="I803" s="1591">
        <f ca="1">INDEX('Summary Data'!$AS$6:$FZ$57,MATCH($E803,'Summary Data'!$C$6:$C$57,0),MATCH($C803,'Summary Data'!$AS$3:$FZ$3,0)+1+2)</f>
        <v>0</v>
      </c>
      <c r="J803" s="4002" t="str">
        <f t="shared" ca="1" si="292"/>
        <v>N</v>
      </c>
      <c r="K803" s="3114" t="s">
        <v>3174</v>
      </c>
      <c r="M803" s="391"/>
      <c r="N803" s="391"/>
      <c r="O803" s="313"/>
      <c r="P803" s="313"/>
      <c r="Q803" s="313"/>
      <c r="R803" s="313"/>
      <c r="S803" s="313"/>
    </row>
    <row r="804" spans="1:19" ht="16.899999999999999" hidden="1" customHeight="1" outlineLevel="1">
      <c r="A804" s="313"/>
      <c r="B804" s="1752" t="s">
        <v>3501</v>
      </c>
      <c r="C804" s="1718" t="s">
        <v>1476</v>
      </c>
      <c r="D804" s="1759">
        <f t="shared" ref="D804:D816" si="297">D803+17</f>
        <v>34</v>
      </c>
      <c r="E804" s="1761" t="str">
        <f t="shared" ca="1" si="295"/>
        <v>N</v>
      </c>
      <c r="F804" s="1591" t="str">
        <f t="shared" ca="1" si="291"/>
        <v>N</v>
      </c>
      <c r="G804" s="1591">
        <f ca="1">INDEX('Summary Data'!$AS$6:$FZ$57,MATCH($E804,'Summary Data'!$C$6:$C$57,0),MATCH($C804,'Summary Data'!$AS$3:$FZ$3,0)+2)</f>
        <v>0</v>
      </c>
      <c r="H804" s="1592" t="s">
        <v>5</v>
      </c>
      <c r="I804" s="1591">
        <f ca="1">INDEX('Summary Data'!$AS$6:$FZ$57,MATCH($E804,'Summary Data'!$C$6:$C$57,0),MATCH($C804,'Summary Data'!$AS$3:$FZ$3,0)+1+2)</f>
        <v>0</v>
      </c>
      <c r="J804" s="4002" t="str">
        <f t="shared" ca="1" si="292"/>
        <v>N</v>
      </c>
      <c r="K804" s="3114" t="s">
        <v>3174</v>
      </c>
      <c r="M804" s="391"/>
      <c r="N804" s="391"/>
      <c r="O804" s="313"/>
      <c r="P804" s="313"/>
      <c r="Q804" s="313"/>
      <c r="R804" s="313"/>
      <c r="S804" s="313"/>
    </row>
    <row r="805" spans="1:19" ht="16.899999999999999" hidden="1" customHeight="1" outlineLevel="1">
      <c r="A805" s="313"/>
      <c r="B805" s="1752" t="s">
        <v>3501</v>
      </c>
      <c r="C805" s="1718" t="s">
        <v>1476</v>
      </c>
      <c r="D805" s="1759">
        <f t="shared" si="297"/>
        <v>51</v>
      </c>
      <c r="E805" s="1761" t="str">
        <f t="shared" ca="1" si="295"/>
        <v>N</v>
      </c>
      <c r="F805" s="1591" t="str">
        <f t="shared" ca="1" si="291"/>
        <v>N</v>
      </c>
      <c r="G805" s="1591">
        <f ca="1">INDEX('Summary Data'!$AS$6:$FZ$57,MATCH($E805,'Summary Data'!$C$6:$C$57,0),MATCH($C805,'Summary Data'!$AS$3:$FZ$3,0)+2)</f>
        <v>0</v>
      </c>
      <c r="H805" s="1592" t="s">
        <v>5</v>
      </c>
      <c r="I805" s="1591">
        <f ca="1">INDEX('Summary Data'!$AS$6:$FZ$57,MATCH($E805,'Summary Data'!$C$6:$C$57,0),MATCH($C805,'Summary Data'!$AS$3:$FZ$3,0)+1+2)</f>
        <v>0</v>
      </c>
      <c r="J805" s="4002" t="str">
        <f t="shared" ca="1" si="292"/>
        <v>N</v>
      </c>
      <c r="K805" s="3114" t="s">
        <v>3174</v>
      </c>
      <c r="M805" s="391"/>
      <c r="N805" s="391"/>
      <c r="O805" s="313"/>
      <c r="P805" s="313"/>
      <c r="Q805" s="313"/>
      <c r="R805" s="313"/>
      <c r="S805" s="313"/>
    </row>
    <row r="806" spans="1:19" ht="16.899999999999999" hidden="1" customHeight="1" outlineLevel="1">
      <c r="A806" s="313"/>
      <c r="B806" s="1752" t="s">
        <v>3501</v>
      </c>
      <c r="C806" s="1718" t="s">
        <v>1476</v>
      </c>
      <c r="D806" s="1759">
        <f t="shared" si="297"/>
        <v>68</v>
      </c>
      <c r="E806" s="1761" t="str">
        <f t="shared" ref="E806:E831" ca="1" si="298">OFFSET($A$25,D806,0)</f>
        <v>N</v>
      </c>
      <c r="F806" s="1591" t="str">
        <f t="shared" ca="1" si="291"/>
        <v>N</v>
      </c>
      <c r="G806" s="1591">
        <f ca="1">INDEX('Summary Data'!$AS$6:$FZ$57,MATCH($E806,'Summary Data'!$C$6:$C$57,0),MATCH($C806,'Summary Data'!$AS$3:$FZ$3,0)+2)</f>
        <v>0</v>
      </c>
      <c r="H806" s="1592" t="s">
        <v>5</v>
      </c>
      <c r="I806" s="1591">
        <f ca="1">INDEX('Summary Data'!$AS$6:$FZ$57,MATCH($E806,'Summary Data'!$C$6:$C$57,0),MATCH($C806,'Summary Data'!$AS$3:$FZ$3,0)+1+2)</f>
        <v>0</v>
      </c>
      <c r="J806" s="4002" t="str">
        <f t="shared" ca="1" si="292"/>
        <v>N</v>
      </c>
      <c r="K806" s="3114" t="s">
        <v>3174</v>
      </c>
      <c r="M806" s="391"/>
      <c r="N806" s="391"/>
      <c r="O806" s="313"/>
      <c r="P806" s="313"/>
      <c r="Q806" s="313"/>
      <c r="R806" s="313"/>
      <c r="S806" s="313"/>
    </row>
    <row r="807" spans="1:19" ht="16.899999999999999" hidden="1" customHeight="1" outlineLevel="1">
      <c r="A807" s="313"/>
      <c r="B807" s="1752" t="s">
        <v>3501</v>
      </c>
      <c r="C807" s="1718" t="s">
        <v>1476</v>
      </c>
      <c r="D807" s="1759">
        <f t="shared" si="297"/>
        <v>85</v>
      </c>
      <c r="E807" s="1761" t="str">
        <f t="shared" ca="1" si="298"/>
        <v>N</v>
      </c>
      <c r="F807" s="1591" t="str">
        <f t="shared" ca="1" si="291"/>
        <v>N</v>
      </c>
      <c r="G807" s="1591">
        <f ca="1">INDEX('Summary Data'!$AS$6:$FZ$57,MATCH($E807,'Summary Data'!$C$6:$C$57,0),MATCH($C807,'Summary Data'!$AS$3:$FZ$3,0)+2)</f>
        <v>0</v>
      </c>
      <c r="H807" s="1592" t="s">
        <v>5</v>
      </c>
      <c r="I807" s="1591">
        <f ca="1">INDEX('Summary Data'!$AS$6:$FZ$57,MATCH($E807,'Summary Data'!$C$6:$C$57,0),MATCH($C807,'Summary Data'!$AS$3:$FZ$3,0)+1+2)</f>
        <v>0</v>
      </c>
      <c r="J807" s="4002" t="str">
        <f t="shared" ca="1" si="292"/>
        <v>N</v>
      </c>
      <c r="K807" s="3114" t="s">
        <v>3174</v>
      </c>
      <c r="M807" s="391"/>
      <c r="N807" s="391"/>
      <c r="O807" s="313"/>
      <c r="P807" s="313"/>
      <c r="Q807" s="313"/>
      <c r="R807" s="313"/>
      <c r="S807" s="313"/>
    </row>
    <row r="808" spans="1:19" ht="16.899999999999999" hidden="1" customHeight="1" outlineLevel="1">
      <c r="A808" s="313"/>
      <c r="B808" s="1752" t="s">
        <v>3501</v>
      </c>
      <c r="C808" s="1718" t="s">
        <v>1476</v>
      </c>
      <c r="D808" s="1759">
        <f t="shared" si="297"/>
        <v>102</v>
      </c>
      <c r="E808" s="1761" t="str">
        <f t="shared" ca="1" si="298"/>
        <v>N</v>
      </c>
      <c r="F808" s="1591" t="str">
        <f t="shared" ca="1" si="291"/>
        <v>N</v>
      </c>
      <c r="G808" s="1591">
        <f ca="1">INDEX('Summary Data'!$AS$6:$FZ$57,MATCH($E808,'Summary Data'!$C$6:$C$57,0),MATCH($C808,'Summary Data'!$AS$3:$FZ$3,0)+2)</f>
        <v>0</v>
      </c>
      <c r="H808" s="1592" t="s">
        <v>5</v>
      </c>
      <c r="I808" s="1591">
        <f ca="1">INDEX('Summary Data'!$AS$6:$FZ$57,MATCH($E808,'Summary Data'!$C$6:$C$57,0),MATCH($C808,'Summary Data'!$AS$3:$FZ$3,0)+1+2)</f>
        <v>0</v>
      </c>
      <c r="J808" s="4002" t="str">
        <f t="shared" ca="1" si="292"/>
        <v>N</v>
      </c>
      <c r="K808" s="3114" t="s">
        <v>3174</v>
      </c>
      <c r="M808" s="391"/>
      <c r="N808" s="391"/>
      <c r="O808" s="313"/>
      <c r="P808" s="313"/>
      <c r="Q808" s="313"/>
      <c r="R808" s="313"/>
      <c r="S808" s="313"/>
    </row>
    <row r="809" spans="1:19" ht="16.899999999999999" hidden="1" customHeight="1" outlineLevel="1">
      <c r="A809" s="313"/>
      <c r="B809" s="1752" t="s">
        <v>3501</v>
      </c>
      <c r="C809" s="1718" t="s">
        <v>1476</v>
      </c>
      <c r="D809" s="1759">
        <f t="shared" si="297"/>
        <v>119</v>
      </c>
      <c r="E809" s="1761" t="str">
        <f t="shared" ca="1" si="298"/>
        <v>N</v>
      </c>
      <c r="F809" s="1591" t="str">
        <f t="shared" ca="1" si="291"/>
        <v>N</v>
      </c>
      <c r="G809" s="1591">
        <f ca="1">INDEX('Summary Data'!$AS$6:$FZ$57,MATCH($E809,'Summary Data'!$C$6:$C$57,0),MATCH($C809,'Summary Data'!$AS$3:$FZ$3,0)+2)</f>
        <v>0</v>
      </c>
      <c r="H809" s="1592" t="s">
        <v>5</v>
      </c>
      <c r="I809" s="1591">
        <f ca="1">INDEX('Summary Data'!$AS$6:$FZ$57,MATCH($E809,'Summary Data'!$C$6:$C$57,0),MATCH($C809,'Summary Data'!$AS$3:$FZ$3,0)+1+2)</f>
        <v>0</v>
      </c>
      <c r="J809" s="4002" t="str">
        <f t="shared" ca="1" si="292"/>
        <v>N</v>
      </c>
      <c r="K809" s="3114" t="s">
        <v>3174</v>
      </c>
      <c r="M809" s="391"/>
      <c r="N809" s="391"/>
      <c r="O809" s="313"/>
      <c r="P809" s="313"/>
      <c r="Q809" s="313"/>
      <c r="R809" s="313"/>
      <c r="S809" s="313"/>
    </row>
    <row r="810" spans="1:19" ht="16.899999999999999" hidden="1" customHeight="1" outlineLevel="1">
      <c r="A810" s="313"/>
      <c r="B810" s="1752" t="s">
        <v>3501</v>
      </c>
      <c r="C810" s="1718" t="s">
        <v>1476</v>
      </c>
      <c r="D810" s="1759">
        <f t="shared" si="297"/>
        <v>136</v>
      </c>
      <c r="E810" s="1761" t="str">
        <f t="shared" ca="1" si="298"/>
        <v>N</v>
      </c>
      <c r="F810" s="1591" t="str">
        <f t="shared" ca="1" si="291"/>
        <v>N</v>
      </c>
      <c r="G810" s="1591">
        <f ca="1">INDEX('Summary Data'!$AS$6:$FZ$57,MATCH($E810,'Summary Data'!$C$6:$C$57,0),MATCH($C810,'Summary Data'!$AS$3:$FZ$3,0)+2)</f>
        <v>0</v>
      </c>
      <c r="H810" s="1592" t="s">
        <v>5</v>
      </c>
      <c r="I810" s="1591">
        <f ca="1">INDEX('Summary Data'!$AS$6:$FZ$57,MATCH($E810,'Summary Data'!$C$6:$C$57,0),MATCH($C810,'Summary Data'!$AS$3:$FZ$3,0)+1+2)</f>
        <v>0</v>
      </c>
      <c r="J810" s="4002" t="str">
        <f t="shared" ca="1" si="292"/>
        <v>N</v>
      </c>
      <c r="K810" s="3114" t="s">
        <v>3174</v>
      </c>
      <c r="M810" s="391"/>
      <c r="N810" s="391"/>
      <c r="O810" s="313"/>
      <c r="P810" s="313"/>
      <c r="Q810" s="313"/>
      <c r="R810" s="313"/>
      <c r="S810" s="313"/>
    </row>
    <row r="811" spans="1:19" ht="16.899999999999999" hidden="1" customHeight="1" outlineLevel="1">
      <c r="A811" s="313"/>
      <c r="B811" s="1752" t="s">
        <v>3501</v>
      </c>
      <c r="C811" s="1718" t="s">
        <v>1476</v>
      </c>
      <c r="D811" s="1759">
        <f t="shared" si="297"/>
        <v>153</v>
      </c>
      <c r="E811" s="1761" t="str">
        <f t="shared" ca="1" si="298"/>
        <v>N</v>
      </c>
      <c r="F811" s="1591" t="str">
        <f t="shared" ca="1" si="291"/>
        <v>N</v>
      </c>
      <c r="G811" s="1591">
        <f ca="1">INDEX('Summary Data'!$AS$6:$FZ$57,MATCH($E811,'Summary Data'!$C$6:$C$57,0),MATCH($C811,'Summary Data'!$AS$3:$FZ$3,0)+2)</f>
        <v>0</v>
      </c>
      <c r="H811" s="1592" t="s">
        <v>5</v>
      </c>
      <c r="I811" s="1591">
        <f ca="1">INDEX('Summary Data'!$AS$6:$FZ$57,MATCH($E811,'Summary Data'!$C$6:$C$57,0),MATCH($C811,'Summary Data'!$AS$3:$FZ$3,0)+1+2)</f>
        <v>0</v>
      </c>
      <c r="J811" s="4002" t="str">
        <f t="shared" ca="1" si="292"/>
        <v>N</v>
      </c>
      <c r="K811" s="3114" t="s">
        <v>3174</v>
      </c>
      <c r="M811" s="391"/>
      <c r="N811" s="391"/>
      <c r="O811" s="313"/>
      <c r="P811" s="313"/>
      <c r="Q811" s="313"/>
      <c r="R811" s="313"/>
      <c r="S811" s="313"/>
    </row>
    <row r="812" spans="1:19" ht="16.899999999999999" hidden="1" customHeight="1" outlineLevel="1">
      <c r="A812" s="313"/>
      <c r="B812" s="1752" t="s">
        <v>3501</v>
      </c>
      <c r="C812" s="1718" t="s">
        <v>1476</v>
      </c>
      <c r="D812" s="1759">
        <f t="shared" si="297"/>
        <v>170</v>
      </c>
      <c r="E812" s="1761" t="str">
        <f t="shared" ca="1" si="298"/>
        <v>N</v>
      </c>
      <c r="F812" s="1591" t="str">
        <f t="shared" ca="1" si="291"/>
        <v>N</v>
      </c>
      <c r="G812" s="1591">
        <f ca="1">INDEX('Summary Data'!$AS$6:$FZ$57,MATCH($E812,'Summary Data'!$C$6:$C$57,0),MATCH($C812,'Summary Data'!$AS$3:$FZ$3,0)+2)</f>
        <v>0</v>
      </c>
      <c r="H812" s="1592" t="s">
        <v>5</v>
      </c>
      <c r="I812" s="1591">
        <f ca="1">INDEX('Summary Data'!$AS$6:$FZ$57,MATCH($E812,'Summary Data'!$C$6:$C$57,0),MATCH($C812,'Summary Data'!$AS$3:$FZ$3,0)+1+2)</f>
        <v>0</v>
      </c>
      <c r="J812" s="4002" t="str">
        <f t="shared" ca="1" si="292"/>
        <v>N</v>
      </c>
      <c r="K812" s="3114" t="s">
        <v>3174</v>
      </c>
      <c r="M812" s="391"/>
      <c r="N812" s="391"/>
      <c r="O812" s="313"/>
      <c r="P812" s="313"/>
      <c r="Q812" s="313"/>
      <c r="R812" s="313"/>
      <c r="S812" s="313"/>
    </row>
    <row r="813" spans="1:19" ht="16.899999999999999" hidden="1" customHeight="1" outlineLevel="1">
      <c r="A813" s="313"/>
      <c r="B813" s="1752" t="s">
        <v>3501</v>
      </c>
      <c r="C813" s="1718" t="s">
        <v>1476</v>
      </c>
      <c r="D813" s="1759">
        <f t="shared" si="297"/>
        <v>187</v>
      </c>
      <c r="E813" s="1761" t="str">
        <f t="shared" ca="1" si="298"/>
        <v>N</v>
      </c>
      <c r="F813" s="1591" t="str">
        <f t="shared" ca="1" si="291"/>
        <v>N</v>
      </c>
      <c r="G813" s="1591">
        <f ca="1">INDEX('Summary Data'!$AS$6:$FZ$57,MATCH($E813,'Summary Data'!$C$6:$C$57,0),MATCH($C813,'Summary Data'!$AS$3:$FZ$3,0)+2)</f>
        <v>0</v>
      </c>
      <c r="H813" s="1592" t="s">
        <v>5</v>
      </c>
      <c r="I813" s="1591">
        <f ca="1">INDEX('Summary Data'!$AS$6:$FZ$57,MATCH($E813,'Summary Data'!$C$6:$C$57,0),MATCH($C813,'Summary Data'!$AS$3:$FZ$3,0)+1+2)</f>
        <v>0</v>
      </c>
      <c r="J813" s="4002" t="str">
        <f t="shared" ca="1" si="292"/>
        <v>N</v>
      </c>
      <c r="K813" s="3114" t="s">
        <v>3174</v>
      </c>
      <c r="M813" s="391"/>
      <c r="N813" s="391"/>
      <c r="O813" s="313"/>
      <c r="P813" s="313"/>
      <c r="Q813" s="313"/>
      <c r="R813" s="313"/>
      <c r="S813" s="313"/>
    </row>
    <row r="814" spans="1:19" ht="16.899999999999999" hidden="1" customHeight="1" outlineLevel="1">
      <c r="A814" s="313"/>
      <c r="B814" s="1752" t="s">
        <v>3501</v>
      </c>
      <c r="C814" s="1718" t="s">
        <v>1476</v>
      </c>
      <c r="D814" s="1759">
        <f t="shared" si="297"/>
        <v>204</v>
      </c>
      <c r="E814" s="1761" t="str">
        <f t="shared" ca="1" si="298"/>
        <v>N</v>
      </c>
      <c r="F814" s="1591" t="str">
        <f t="shared" ca="1" si="291"/>
        <v>N</v>
      </c>
      <c r="G814" s="1591">
        <f ca="1">INDEX('Summary Data'!$AS$6:$FZ$57,MATCH($E814,'Summary Data'!$C$6:$C$57,0),MATCH($C814,'Summary Data'!$AS$3:$FZ$3,0)+2)</f>
        <v>0</v>
      </c>
      <c r="H814" s="1592" t="s">
        <v>5</v>
      </c>
      <c r="I814" s="1591">
        <f ca="1">INDEX('Summary Data'!$AS$6:$FZ$57,MATCH($E814,'Summary Data'!$C$6:$C$57,0),MATCH($C814,'Summary Data'!$AS$3:$FZ$3,0)+1+2)</f>
        <v>0</v>
      </c>
      <c r="J814" s="4002" t="str">
        <f t="shared" ca="1" si="292"/>
        <v>N</v>
      </c>
      <c r="K814" s="3114" t="s">
        <v>3174</v>
      </c>
      <c r="M814" s="391"/>
      <c r="N814" s="391"/>
      <c r="O814" s="313"/>
      <c r="P814" s="313"/>
      <c r="Q814" s="313"/>
      <c r="R814" s="313"/>
      <c r="S814" s="313"/>
    </row>
    <row r="815" spans="1:19" ht="16.899999999999999" hidden="1" customHeight="1" outlineLevel="1">
      <c r="A815" s="313"/>
      <c r="B815" s="1752" t="s">
        <v>3501</v>
      </c>
      <c r="C815" s="1718" t="s">
        <v>1476</v>
      </c>
      <c r="D815" s="1759">
        <f t="shared" si="297"/>
        <v>221</v>
      </c>
      <c r="E815" s="1761" t="str">
        <f t="shared" ca="1" si="298"/>
        <v>1st</v>
      </c>
      <c r="F815" s="1591" t="str">
        <f t="shared" ca="1" si="291"/>
        <v>N</v>
      </c>
      <c r="G815" s="1591">
        <f ca="1">INDEX('Summary Data'!$AS$6:$FZ$57,MATCH($E815,'Summary Data'!$C$6:$C$57,0),MATCH($C815,'Summary Data'!$AS$3:$FZ$3,0)+2)</f>
        <v>0</v>
      </c>
      <c r="H815" s="1592" t="s">
        <v>5</v>
      </c>
      <c r="I815" s="1591">
        <f ca="1">INDEX('Summary Data'!$AS$6:$FZ$57,MATCH($E815,'Summary Data'!$C$6:$C$57,0),MATCH($C815,'Summary Data'!$AS$3:$FZ$3,0)+1+2)</f>
        <v>0</v>
      </c>
      <c r="J815" s="4002" t="str">
        <f t="shared" ca="1" si="292"/>
        <v>N</v>
      </c>
      <c r="K815" s="3114" t="s">
        <v>3174</v>
      </c>
      <c r="M815" s="391"/>
      <c r="N815" s="391"/>
      <c r="O815" s="313"/>
      <c r="P815" s="313"/>
      <c r="Q815" s="313"/>
      <c r="R815" s="313"/>
      <c r="S815" s="313"/>
    </row>
    <row r="816" spans="1:19" ht="16.899999999999999" hidden="1" customHeight="1" outlineLevel="1">
      <c r="A816" s="313"/>
      <c r="B816" s="1752" t="s">
        <v>3501</v>
      </c>
      <c r="C816" s="1718" t="s">
        <v>1476</v>
      </c>
      <c r="D816" s="1759">
        <f t="shared" si="297"/>
        <v>238</v>
      </c>
      <c r="E816" s="1761" t="str">
        <f t="shared" ca="1" si="298"/>
        <v>1st</v>
      </c>
      <c r="F816" s="1591" t="str">
        <f t="shared" ca="1" si="291"/>
        <v>N</v>
      </c>
      <c r="G816" s="1591">
        <f ca="1">INDEX('Summary Data'!$AS$6:$FZ$57,MATCH($E816,'Summary Data'!$C$6:$C$57,0),MATCH($C816,'Summary Data'!$AS$3:$FZ$3,0)+2)</f>
        <v>0</v>
      </c>
      <c r="H816" s="1592" t="s">
        <v>5</v>
      </c>
      <c r="I816" s="1591">
        <f ca="1">INDEX('Summary Data'!$AS$6:$FZ$57,MATCH($E816,'Summary Data'!$C$6:$C$57,0),MATCH($C816,'Summary Data'!$AS$3:$FZ$3,0)+1+2)</f>
        <v>0</v>
      </c>
      <c r="J816" s="4002" t="str">
        <f t="shared" ca="1" si="292"/>
        <v>N</v>
      </c>
      <c r="K816" s="3114" t="s">
        <v>3174</v>
      </c>
      <c r="M816" s="391"/>
      <c r="N816" s="391"/>
      <c r="O816" s="313"/>
      <c r="P816" s="313"/>
      <c r="Q816" s="313"/>
      <c r="R816" s="313"/>
      <c r="S816" s="313"/>
    </row>
    <row r="817" spans="1:19" ht="16.899999999999999" hidden="1" customHeight="1" outlineLevel="1">
      <c r="A817" s="313"/>
      <c r="B817" s="1752" t="s">
        <v>3501</v>
      </c>
      <c r="C817" s="1718" t="s">
        <v>1476</v>
      </c>
      <c r="D817" s="1759">
        <v>0</v>
      </c>
      <c r="E817" s="1761" t="str">
        <f t="shared" ca="1" si="298"/>
        <v>Box</v>
      </c>
      <c r="F817" s="1591" t="str">
        <f t="shared" ca="1" si="291"/>
        <v>N</v>
      </c>
      <c r="G817" s="1591">
        <f ca="1">INDEX('Summary Data'!$AS$6:$FZ$57,MATCH($E817,'Summary Data'!$C$6:$C$57,0),MATCH($C817,'Summary Data'!$AS$3:$FZ$3,0)+4)</f>
        <v>0</v>
      </c>
      <c r="H817" s="1592" t="s">
        <v>5</v>
      </c>
      <c r="I817" s="1591">
        <f ca="1">INDEX('Summary Data'!$AS$6:$FZ$57,MATCH($E817,'Summary Data'!$C$6:$C$57,0),MATCH($C817,'Summary Data'!$AS$3:$FZ$3,0)+1+4)</f>
        <v>0</v>
      </c>
      <c r="J817" s="4002" t="str">
        <f t="shared" ca="1" si="292"/>
        <v>N</v>
      </c>
      <c r="K817" s="3114" t="s">
        <v>3174</v>
      </c>
      <c r="M817" s="391"/>
      <c r="N817" s="391"/>
      <c r="O817" s="313"/>
      <c r="P817" s="313"/>
      <c r="Q817" s="313"/>
      <c r="R817" s="313"/>
      <c r="S817" s="313"/>
    </row>
    <row r="818" spans="1:19" ht="16.899999999999999" hidden="1" customHeight="1" outlineLevel="1">
      <c r="A818" s="313"/>
      <c r="B818" s="1752" t="s">
        <v>3501</v>
      </c>
      <c r="C818" s="1718" t="s">
        <v>1476</v>
      </c>
      <c r="D818" s="1759">
        <f>D817+17</f>
        <v>17</v>
      </c>
      <c r="E818" s="1761" t="str">
        <f t="shared" ca="1" si="298"/>
        <v>N</v>
      </c>
      <c r="F818" s="1591" t="str">
        <f t="shared" ca="1" si="291"/>
        <v>N</v>
      </c>
      <c r="G818" s="1591">
        <f ca="1">INDEX('Summary Data'!$AS$6:$FZ$57,MATCH($E818,'Summary Data'!$C$6:$C$57,0),MATCH($C818,'Summary Data'!$AS$3:$FZ$3,0)+4)</f>
        <v>0</v>
      </c>
      <c r="H818" s="1592" t="s">
        <v>5</v>
      </c>
      <c r="I818" s="1591">
        <f ca="1">INDEX('Summary Data'!$AS$6:$FZ$57,MATCH($E818,'Summary Data'!$C$6:$C$57,0),MATCH($C818,'Summary Data'!$AS$3:$FZ$3,0)+1+4)</f>
        <v>0</v>
      </c>
      <c r="J818" s="4002" t="str">
        <f t="shared" ca="1" si="292"/>
        <v>N</v>
      </c>
      <c r="K818" s="3114" t="s">
        <v>3174</v>
      </c>
      <c r="M818" s="391"/>
      <c r="N818" s="391"/>
      <c r="O818" s="313"/>
      <c r="P818" s="313"/>
      <c r="Q818" s="313"/>
      <c r="R818" s="313"/>
      <c r="S818" s="313"/>
    </row>
    <row r="819" spans="1:19" ht="16.899999999999999" hidden="1" customHeight="1" outlineLevel="1">
      <c r="A819" s="313"/>
      <c r="B819" s="1752" t="s">
        <v>3501</v>
      </c>
      <c r="C819" s="1718" t="s">
        <v>1476</v>
      </c>
      <c r="D819" s="1759">
        <f t="shared" ref="D819:D831" si="299">D818+17</f>
        <v>34</v>
      </c>
      <c r="E819" s="1761" t="str">
        <f t="shared" ca="1" si="298"/>
        <v>N</v>
      </c>
      <c r="F819" s="1591" t="str">
        <f t="shared" ca="1" si="291"/>
        <v>N</v>
      </c>
      <c r="G819" s="1591">
        <f ca="1">INDEX('Summary Data'!$AS$6:$FZ$57,MATCH($E819,'Summary Data'!$C$6:$C$57,0),MATCH($C819,'Summary Data'!$AS$3:$FZ$3,0)+4)</f>
        <v>0</v>
      </c>
      <c r="H819" s="1592" t="s">
        <v>5</v>
      </c>
      <c r="I819" s="1591">
        <f ca="1">INDEX('Summary Data'!$AS$6:$FZ$57,MATCH($E819,'Summary Data'!$C$6:$C$57,0),MATCH($C819,'Summary Data'!$AS$3:$FZ$3,0)+1+4)</f>
        <v>0</v>
      </c>
      <c r="J819" s="4002" t="str">
        <f t="shared" ca="1" si="292"/>
        <v>N</v>
      </c>
      <c r="K819" s="3114" t="s">
        <v>3174</v>
      </c>
      <c r="M819" s="391"/>
      <c r="N819" s="391"/>
      <c r="O819" s="313"/>
      <c r="P819" s="313"/>
      <c r="Q819" s="313"/>
      <c r="R819" s="313"/>
      <c r="S819" s="313"/>
    </row>
    <row r="820" spans="1:19" ht="16.899999999999999" hidden="1" customHeight="1" outlineLevel="1">
      <c r="A820" s="313"/>
      <c r="B820" s="1752" t="s">
        <v>3501</v>
      </c>
      <c r="C820" s="1718" t="s">
        <v>1476</v>
      </c>
      <c r="D820" s="1759">
        <f t="shared" si="299"/>
        <v>51</v>
      </c>
      <c r="E820" s="1761" t="str">
        <f t="shared" ca="1" si="298"/>
        <v>N</v>
      </c>
      <c r="F820" s="1591" t="str">
        <f t="shared" ref="F820:F831" ca="1" si="300">IF(G820=0,"N",E820)</f>
        <v>N</v>
      </c>
      <c r="G820" s="1591">
        <f ca="1">INDEX('Summary Data'!$AS$6:$FZ$57,MATCH($E820,'Summary Data'!$C$6:$C$57,0),MATCH($C820,'Summary Data'!$AS$3:$FZ$3,0)+4)</f>
        <v>0</v>
      </c>
      <c r="H820" s="1592" t="s">
        <v>5</v>
      </c>
      <c r="I820" s="1591">
        <f ca="1">INDEX('Summary Data'!$AS$6:$FZ$57,MATCH($E820,'Summary Data'!$C$6:$C$57,0),MATCH($C820,'Summary Data'!$AS$3:$FZ$3,0)+1+4)</f>
        <v>0</v>
      </c>
      <c r="J820" s="4002" t="str">
        <f t="shared" ca="1" si="292"/>
        <v>N</v>
      </c>
      <c r="K820" s="3114" t="s">
        <v>3174</v>
      </c>
      <c r="M820" s="391"/>
      <c r="N820" s="391"/>
      <c r="O820" s="313"/>
      <c r="P820" s="313"/>
      <c r="Q820" s="313"/>
      <c r="R820" s="313"/>
      <c r="S820" s="313"/>
    </row>
    <row r="821" spans="1:19" ht="16.899999999999999" hidden="1" customHeight="1" outlineLevel="1">
      <c r="A821" s="313"/>
      <c r="B821" s="1752" t="s">
        <v>3501</v>
      </c>
      <c r="C821" s="1718" t="s">
        <v>1476</v>
      </c>
      <c r="D821" s="1759">
        <f t="shared" si="299"/>
        <v>68</v>
      </c>
      <c r="E821" s="1761" t="str">
        <f t="shared" ca="1" si="298"/>
        <v>N</v>
      </c>
      <c r="F821" s="1591" t="str">
        <f t="shared" ca="1" si="300"/>
        <v>N</v>
      </c>
      <c r="G821" s="1591">
        <f ca="1">INDEX('Summary Data'!$AS$6:$FZ$57,MATCH($E821,'Summary Data'!$C$6:$C$57,0),MATCH($C821,'Summary Data'!$AS$3:$FZ$3,0)+4)</f>
        <v>0</v>
      </c>
      <c r="H821" s="1592" t="s">
        <v>5</v>
      </c>
      <c r="I821" s="1591">
        <f ca="1">INDEX('Summary Data'!$AS$6:$FZ$57,MATCH($E821,'Summary Data'!$C$6:$C$57,0),MATCH($C821,'Summary Data'!$AS$3:$FZ$3,0)+1+4)</f>
        <v>0</v>
      </c>
      <c r="J821" s="4002" t="str">
        <f t="shared" ref="J821:J836" ca="1" si="301">F821</f>
        <v>N</v>
      </c>
      <c r="K821" s="3114" t="s">
        <v>3174</v>
      </c>
      <c r="M821" s="391"/>
      <c r="N821" s="391"/>
      <c r="O821" s="313"/>
      <c r="P821" s="313"/>
      <c r="Q821" s="313"/>
      <c r="R821" s="313"/>
      <c r="S821" s="313"/>
    </row>
    <row r="822" spans="1:19" ht="16.899999999999999" hidden="1" customHeight="1" outlineLevel="1">
      <c r="A822" s="313"/>
      <c r="B822" s="1752" t="s">
        <v>3501</v>
      </c>
      <c r="C822" s="1718" t="s">
        <v>1476</v>
      </c>
      <c r="D822" s="1759">
        <f t="shared" si="299"/>
        <v>85</v>
      </c>
      <c r="E822" s="1761" t="str">
        <f t="shared" ca="1" si="298"/>
        <v>N</v>
      </c>
      <c r="F822" s="1591" t="str">
        <f t="shared" ca="1" si="300"/>
        <v>N</v>
      </c>
      <c r="G822" s="1591">
        <f ca="1">INDEX('Summary Data'!$AS$6:$FZ$57,MATCH($E822,'Summary Data'!$C$6:$C$57,0),MATCH($C822,'Summary Data'!$AS$3:$FZ$3,0)+4)</f>
        <v>0</v>
      </c>
      <c r="H822" s="1592" t="s">
        <v>5</v>
      </c>
      <c r="I822" s="1591">
        <f ca="1">INDEX('Summary Data'!$AS$6:$FZ$57,MATCH($E822,'Summary Data'!$C$6:$C$57,0),MATCH($C822,'Summary Data'!$AS$3:$FZ$3,0)+1+4)</f>
        <v>0</v>
      </c>
      <c r="J822" s="4002" t="str">
        <f t="shared" ca="1" si="301"/>
        <v>N</v>
      </c>
      <c r="K822" s="3114" t="s">
        <v>3174</v>
      </c>
      <c r="M822" s="391"/>
      <c r="N822" s="391"/>
      <c r="O822" s="313"/>
      <c r="P822" s="313"/>
      <c r="Q822" s="313"/>
      <c r="R822" s="313"/>
      <c r="S822" s="313"/>
    </row>
    <row r="823" spans="1:19" ht="16.899999999999999" hidden="1" customHeight="1" outlineLevel="1">
      <c r="A823" s="313"/>
      <c r="B823" s="1752" t="s">
        <v>3501</v>
      </c>
      <c r="C823" s="1718" t="s">
        <v>1476</v>
      </c>
      <c r="D823" s="1759">
        <f t="shared" si="299"/>
        <v>102</v>
      </c>
      <c r="E823" s="1761" t="str">
        <f t="shared" ca="1" si="298"/>
        <v>N</v>
      </c>
      <c r="F823" s="1591" t="str">
        <f t="shared" ca="1" si="300"/>
        <v>N</v>
      </c>
      <c r="G823" s="1591">
        <f ca="1">INDEX('Summary Data'!$AS$6:$FZ$57,MATCH($E823,'Summary Data'!$C$6:$C$57,0),MATCH($C823,'Summary Data'!$AS$3:$FZ$3,0)+4)</f>
        <v>0</v>
      </c>
      <c r="H823" s="1592" t="s">
        <v>5</v>
      </c>
      <c r="I823" s="1591">
        <f ca="1">INDEX('Summary Data'!$AS$6:$FZ$57,MATCH($E823,'Summary Data'!$C$6:$C$57,0),MATCH($C823,'Summary Data'!$AS$3:$FZ$3,0)+1+4)</f>
        <v>0</v>
      </c>
      <c r="J823" s="4002" t="str">
        <f t="shared" ca="1" si="301"/>
        <v>N</v>
      </c>
      <c r="K823" s="3114" t="s">
        <v>3174</v>
      </c>
      <c r="M823" s="391"/>
      <c r="N823" s="391"/>
      <c r="O823" s="313"/>
      <c r="P823" s="313"/>
      <c r="Q823" s="313"/>
      <c r="R823" s="313"/>
      <c r="S823" s="313"/>
    </row>
    <row r="824" spans="1:19" ht="16.899999999999999" hidden="1" customHeight="1" outlineLevel="1">
      <c r="A824" s="313"/>
      <c r="B824" s="1752" t="s">
        <v>3501</v>
      </c>
      <c r="C824" s="1718" t="s">
        <v>1476</v>
      </c>
      <c r="D824" s="1759">
        <f t="shared" si="299"/>
        <v>119</v>
      </c>
      <c r="E824" s="1761" t="str">
        <f t="shared" ca="1" si="298"/>
        <v>N</v>
      </c>
      <c r="F824" s="1591" t="str">
        <f t="shared" ca="1" si="300"/>
        <v>N</v>
      </c>
      <c r="G824" s="1591">
        <f ca="1">INDEX('Summary Data'!$AS$6:$FZ$57,MATCH($E824,'Summary Data'!$C$6:$C$57,0),MATCH($C824,'Summary Data'!$AS$3:$FZ$3,0)+4)</f>
        <v>0</v>
      </c>
      <c r="H824" s="1592" t="s">
        <v>5</v>
      </c>
      <c r="I824" s="1591">
        <f ca="1">INDEX('Summary Data'!$AS$6:$FZ$57,MATCH($E824,'Summary Data'!$C$6:$C$57,0),MATCH($C824,'Summary Data'!$AS$3:$FZ$3,0)+1+4)</f>
        <v>0</v>
      </c>
      <c r="J824" s="4002" t="str">
        <f t="shared" ca="1" si="301"/>
        <v>N</v>
      </c>
      <c r="K824" s="3114" t="s">
        <v>3174</v>
      </c>
      <c r="M824" s="391"/>
      <c r="N824" s="391"/>
      <c r="O824" s="313"/>
      <c r="P824" s="313"/>
      <c r="Q824" s="313"/>
      <c r="R824" s="313"/>
      <c r="S824" s="313"/>
    </row>
    <row r="825" spans="1:19" ht="16.899999999999999" hidden="1" customHeight="1" outlineLevel="1">
      <c r="A825" s="313"/>
      <c r="B825" s="1752" t="s">
        <v>3501</v>
      </c>
      <c r="C825" s="1718" t="s">
        <v>1476</v>
      </c>
      <c r="D825" s="1759">
        <f t="shared" si="299"/>
        <v>136</v>
      </c>
      <c r="E825" s="1761" t="str">
        <f t="shared" ca="1" si="298"/>
        <v>N</v>
      </c>
      <c r="F825" s="1591" t="str">
        <f t="shared" ca="1" si="300"/>
        <v>N</v>
      </c>
      <c r="G825" s="1591">
        <f ca="1">INDEX('Summary Data'!$AS$6:$FZ$57,MATCH($E825,'Summary Data'!$C$6:$C$57,0),MATCH($C825,'Summary Data'!$AS$3:$FZ$3,0)+4)</f>
        <v>0</v>
      </c>
      <c r="H825" s="1592" t="s">
        <v>5</v>
      </c>
      <c r="I825" s="1591">
        <f ca="1">INDEX('Summary Data'!$AS$6:$FZ$57,MATCH($E825,'Summary Data'!$C$6:$C$57,0),MATCH($C825,'Summary Data'!$AS$3:$FZ$3,0)+1+4)</f>
        <v>0</v>
      </c>
      <c r="J825" s="4002" t="str">
        <f t="shared" ca="1" si="301"/>
        <v>N</v>
      </c>
      <c r="K825" s="3114" t="s">
        <v>3174</v>
      </c>
      <c r="M825" s="391"/>
      <c r="N825" s="391"/>
      <c r="O825" s="313"/>
      <c r="P825" s="313"/>
      <c r="Q825" s="313"/>
      <c r="R825" s="313"/>
      <c r="S825" s="313"/>
    </row>
    <row r="826" spans="1:19" ht="16.899999999999999" hidden="1" customHeight="1" outlineLevel="1">
      <c r="A826" s="313"/>
      <c r="B826" s="1752" t="s">
        <v>3501</v>
      </c>
      <c r="C826" s="1718" t="s">
        <v>1476</v>
      </c>
      <c r="D826" s="1759">
        <f t="shared" si="299"/>
        <v>153</v>
      </c>
      <c r="E826" s="1761" t="str">
        <f t="shared" ca="1" si="298"/>
        <v>N</v>
      </c>
      <c r="F826" s="1591" t="str">
        <f t="shared" ca="1" si="300"/>
        <v>N</v>
      </c>
      <c r="G826" s="1591">
        <f ca="1">INDEX('Summary Data'!$AS$6:$FZ$57,MATCH($E826,'Summary Data'!$C$6:$C$57,0),MATCH($C826,'Summary Data'!$AS$3:$FZ$3,0)+4)</f>
        <v>0</v>
      </c>
      <c r="H826" s="1592" t="s">
        <v>5</v>
      </c>
      <c r="I826" s="1591">
        <f ca="1">INDEX('Summary Data'!$AS$6:$FZ$57,MATCH($E826,'Summary Data'!$C$6:$C$57,0),MATCH($C826,'Summary Data'!$AS$3:$FZ$3,0)+1+4)</f>
        <v>0</v>
      </c>
      <c r="J826" s="4002" t="str">
        <f t="shared" ca="1" si="301"/>
        <v>N</v>
      </c>
      <c r="K826" s="3114" t="s">
        <v>3174</v>
      </c>
      <c r="M826" s="391"/>
      <c r="N826" s="391"/>
      <c r="O826" s="313"/>
      <c r="P826" s="313"/>
      <c r="Q826" s="313"/>
      <c r="R826" s="313"/>
      <c r="S826" s="313"/>
    </row>
    <row r="827" spans="1:19" ht="16.899999999999999" hidden="1" customHeight="1" outlineLevel="1">
      <c r="A827" s="313"/>
      <c r="B827" s="1752" t="s">
        <v>3501</v>
      </c>
      <c r="C827" s="1718" t="s">
        <v>1476</v>
      </c>
      <c r="D827" s="1759">
        <f t="shared" si="299"/>
        <v>170</v>
      </c>
      <c r="E827" s="1761" t="str">
        <f t="shared" ca="1" si="298"/>
        <v>N</v>
      </c>
      <c r="F827" s="1591" t="str">
        <f t="shared" ca="1" si="300"/>
        <v>N</v>
      </c>
      <c r="G827" s="1591">
        <f ca="1">INDEX('Summary Data'!$AS$6:$FZ$57,MATCH($E827,'Summary Data'!$C$6:$C$57,0),MATCH($C827,'Summary Data'!$AS$3:$FZ$3,0)+4)</f>
        <v>0</v>
      </c>
      <c r="H827" s="1592" t="s">
        <v>5</v>
      </c>
      <c r="I827" s="1591">
        <f ca="1">INDEX('Summary Data'!$AS$6:$FZ$57,MATCH($E827,'Summary Data'!$C$6:$C$57,0),MATCH($C827,'Summary Data'!$AS$3:$FZ$3,0)+1+4)</f>
        <v>0</v>
      </c>
      <c r="J827" s="4002" t="str">
        <f t="shared" ca="1" si="301"/>
        <v>N</v>
      </c>
      <c r="K827" s="3114" t="s">
        <v>3174</v>
      </c>
      <c r="M827" s="391"/>
      <c r="N827" s="391"/>
      <c r="O827" s="313"/>
      <c r="P827" s="313"/>
      <c r="Q827" s="313"/>
      <c r="R827" s="313"/>
      <c r="S827" s="313"/>
    </row>
    <row r="828" spans="1:19" ht="16.899999999999999" hidden="1" customHeight="1" outlineLevel="1">
      <c r="A828" s="313"/>
      <c r="B828" s="1752" t="s">
        <v>3501</v>
      </c>
      <c r="C828" s="1718" t="s">
        <v>1476</v>
      </c>
      <c r="D828" s="1759">
        <f t="shared" si="299"/>
        <v>187</v>
      </c>
      <c r="E828" s="1761" t="str">
        <f t="shared" ca="1" si="298"/>
        <v>N</v>
      </c>
      <c r="F828" s="1591" t="str">
        <f t="shared" ca="1" si="300"/>
        <v>N</v>
      </c>
      <c r="G828" s="1591">
        <f ca="1">INDEX('Summary Data'!$AS$6:$FZ$57,MATCH($E828,'Summary Data'!$C$6:$C$57,0),MATCH($C828,'Summary Data'!$AS$3:$FZ$3,0)+4)</f>
        <v>0</v>
      </c>
      <c r="H828" s="1592" t="s">
        <v>5</v>
      </c>
      <c r="I828" s="1591">
        <f ca="1">INDEX('Summary Data'!$AS$6:$FZ$57,MATCH($E828,'Summary Data'!$C$6:$C$57,0),MATCH($C828,'Summary Data'!$AS$3:$FZ$3,0)+1+4)</f>
        <v>0</v>
      </c>
      <c r="J828" s="4002" t="str">
        <f t="shared" ca="1" si="301"/>
        <v>N</v>
      </c>
      <c r="K828" s="3114" t="s">
        <v>3174</v>
      </c>
      <c r="M828" s="391"/>
      <c r="N828" s="391"/>
      <c r="O828" s="313"/>
      <c r="P828" s="313"/>
      <c r="Q828" s="313"/>
      <c r="R828" s="313"/>
      <c r="S828" s="313"/>
    </row>
    <row r="829" spans="1:19" ht="16.899999999999999" hidden="1" customHeight="1" outlineLevel="1">
      <c r="A829" s="313"/>
      <c r="B829" s="1752" t="s">
        <v>3501</v>
      </c>
      <c r="C829" s="1718" t="s">
        <v>1476</v>
      </c>
      <c r="D829" s="1759">
        <f t="shared" si="299"/>
        <v>204</v>
      </c>
      <c r="E829" s="1761" t="str">
        <f t="shared" ca="1" si="298"/>
        <v>N</v>
      </c>
      <c r="F829" s="1591" t="str">
        <f t="shared" ca="1" si="300"/>
        <v>N</v>
      </c>
      <c r="G829" s="1591">
        <f ca="1">INDEX('Summary Data'!$AS$6:$FZ$57,MATCH($E829,'Summary Data'!$C$6:$C$57,0),MATCH($C829,'Summary Data'!$AS$3:$FZ$3,0)+4)</f>
        <v>0</v>
      </c>
      <c r="H829" s="1592" t="s">
        <v>5</v>
      </c>
      <c r="I829" s="1591">
        <f ca="1">INDEX('Summary Data'!$AS$6:$FZ$57,MATCH($E829,'Summary Data'!$C$6:$C$57,0),MATCH($C829,'Summary Data'!$AS$3:$FZ$3,0)+1+4)</f>
        <v>0</v>
      </c>
      <c r="J829" s="4002" t="str">
        <f t="shared" ca="1" si="301"/>
        <v>N</v>
      </c>
      <c r="K829" s="3114" t="s">
        <v>3174</v>
      </c>
      <c r="M829" s="391"/>
      <c r="N829" s="391"/>
      <c r="O829" s="313"/>
      <c r="P829" s="313"/>
      <c r="Q829" s="313"/>
      <c r="R829" s="313"/>
      <c r="S829" s="313"/>
    </row>
    <row r="830" spans="1:19" ht="16.899999999999999" hidden="1" customHeight="1" outlineLevel="1">
      <c r="A830" s="313"/>
      <c r="B830" s="1752" t="s">
        <v>3501</v>
      </c>
      <c r="C830" s="1718" t="s">
        <v>1476</v>
      </c>
      <c r="D830" s="1759">
        <f t="shared" si="299"/>
        <v>221</v>
      </c>
      <c r="E830" s="1761" t="str">
        <f t="shared" ca="1" si="298"/>
        <v>1st</v>
      </c>
      <c r="F830" s="1591" t="str">
        <f t="shared" ca="1" si="300"/>
        <v>N</v>
      </c>
      <c r="G830" s="1591">
        <f ca="1">INDEX('Summary Data'!$AS$6:$FZ$57,MATCH($E830,'Summary Data'!$C$6:$C$57,0),MATCH($C830,'Summary Data'!$AS$3:$FZ$3,0)+4)</f>
        <v>0</v>
      </c>
      <c r="H830" s="1592" t="s">
        <v>5</v>
      </c>
      <c r="I830" s="1591">
        <f ca="1">INDEX('Summary Data'!$AS$6:$FZ$57,MATCH($E830,'Summary Data'!$C$6:$C$57,0),MATCH($C830,'Summary Data'!$AS$3:$FZ$3,0)+1+4)</f>
        <v>0</v>
      </c>
      <c r="J830" s="4002" t="str">
        <f t="shared" ca="1" si="301"/>
        <v>N</v>
      </c>
      <c r="K830" s="3114" t="s">
        <v>3174</v>
      </c>
      <c r="M830" s="391"/>
      <c r="N830" s="391"/>
      <c r="O830" s="313"/>
      <c r="P830" s="313"/>
      <c r="Q830" s="313"/>
      <c r="R830" s="313"/>
      <c r="S830" s="313"/>
    </row>
    <row r="831" spans="1:19" ht="16.899999999999999" hidden="1" customHeight="1" outlineLevel="1">
      <c r="A831" s="313"/>
      <c r="B831" s="1752" t="s">
        <v>3501</v>
      </c>
      <c r="C831" s="1718" t="s">
        <v>1476</v>
      </c>
      <c r="D831" s="1759">
        <f t="shared" si="299"/>
        <v>238</v>
      </c>
      <c r="E831" s="1761" t="str">
        <f t="shared" ca="1" si="298"/>
        <v>1st</v>
      </c>
      <c r="F831" s="1591" t="str">
        <f t="shared" ca="1" si="300"/>
        <v>N</v>
      </c>
      <c r="G831" s="1591">
        <f ca="1">INDEX('Summary Data'!$AS$6:$FZ$57,MATCH($E831,'Summary Data'!$C$6:$C$57,0),MATCH($C831,'Summary Data'!$AS$3:$FZ$3,0)+4)</f>
        <v>0</v>
      </c>
      <c r="H831" s="1592" t="s">
        <v>5</v>
      </c>
      <c r="I831" s="1591">
        <f ca="1">INDEX('Summary Data'!$AS$6:$FZ$57,MATCH($E831,'Summary Data'!$C$6:$C$57,0),MATCH($C831,'Summary Data'!$AS$3:$FZ$3,0)+1+4)</f>
        <v>0</v>
      </c>
      <c r="J831" s="4002" t="str">
        <f t="shared" ca="1" si="301"/>
        <v>N</v>
      </c>
      <c r="K831" s="3114" t="s">
        <v>3174</v>
      </c>
      <c r="M831" s="391"/>
      <c r="N831" s="391"/>
      <c r="O831" s="313"/>
      <c r="P831" s="313"/>
      <c r="Q831" s="313"/>
      <c r="R831" s="313"/>
      <c r="S831" s="313"/>
    </row>
    <row r="832" spans="1:19" ht="16.899999999999999" hidden="1" customHeight="1" outlineLevel="1">
      <c r="A832" s="313"/>
      <c r="B832" s="1752" t="s">
        <v>1618</v>
      </c>
      <c r="C832" s="1718" t="s">
        <v>3501</v>
      </c>
      <c r="D832" s="1721"/>
      <c r="E832" s="3694" t="str">
        <f>'ACC &amp; Other Material '!B106</f>
        <v>PET 2</v>
      </c>
      <c r="F832" s="1591" t="str">
        <f t="shared" ref="F832:F836" si="302">IF(G832=0,"N",E832)</f>
        <v>N</v>
      </c>
      <c r="G832" s="1591"/>
      <c r="H832" s="1592" t="s">
        <v>5</v>
      </c>
      <c r="I832" s="1591"/>
      <c r="J832" s="4002" t="str">
        <f t="shared" si="301"/>
        <v>N</v>
      </c>
      <c r="K832" s="3114" t="s">
        <v>3174</v>
      </c>
      <c r="M832" s="391"/>
      <c r="N832" s="391"/>
      <c r="O832" s="313"/>
      <c r="P832" s="313"/>
      <c r="Q832" s="313"/>
      <c r="R832" s="313"/>
      <c r="S832" s="313"/>
    </row>
    <row r="833" spans="1:19" ht="16.899999999999999" hidden="1" customHeight="1" outlineLevel="1">
      <c r="A833" s="313"/>
      <c r="B833" s="1752" t="s">
        <v>1618</v>
      </c>
      <c r="C833" s="1718" t="s">
        <v>3501</v>
      </c>
      <c r="D833" s="1721"/>
      <c r="E833" s="3694" t="str">
        <f>'ACC &amp; Other Material '!B107</f>
        <v>PET 3</v>
      </c>
      <c r="F833" s="1591" t="str">
        <f t="shared" si="302"/>
        <v>N</v>
      </c>
      <c r="G833" s="1591"/>
      <c r="H833" s="1592" t="s">
        <v>5</v>
      </c>
      <c r="I833" s="1591"/>
      <c r="J833" s="4002" t="str">
        <f t="shared" si="301"/>
        <v>N</v>
      </c>
      <c r="K833" s="3114" t="s">
        <v>3174</v>
      </c>
      <c r="M833" s="391"/>
      <c r="N833" s="391"/>
      <c r="O833" s="313"/>
      <c r="P833" s="313"/>
      <c r="Q833" s="313"/>
      <c r="R833" s="313"/>
      <c r="S833" s="313"/>
    </row>
    <row r="834" spans="1:19" ht="16.899999999999999" hidden="1" customHeight="1" outlineLevel="1">
      <c r="A834" s="313"/>
      <c r="B834" s="1752" t="s">
        <v>1618</v>
      </c>
      <c r="C834" s="1718" t="s">
        <v>3501</v>
      </c>
      <c r="D834" s="1721"/>
      <c r="E834" s="3694" t="str">
        <f>'ACC &amp; Other Material '!B110</f>
        <v>EVA 1</v>
      </c>
      <c r="F834" s="1591" t="str">
        <f t="shared" si="302"/>
        <v>N</v>
      </c>
      <c r="G834" s="1591"/>
      <c r="H834" s="1592" t="s">
        <v>5</v>
      </c>
      <c r="I834" s="1591"/>
      <c r="J834" s="4002" t="str">
        <f t="shared" si="301"/>
        <v>N</v>
      </c>
      <c r="K834" s="3114" t="s">
        <v>3174</v>
      </c>
      <c r="M834" s="391"/>
      <c r="N834" s="391"/>
      <c r="O834" s="313"/>
      <c r="P834" s="313"/>
      <c r="Q834" s="313"/>
      <c r="R834" s="313"/>
      <c r="S834" s="313"/>
    </row>
    <row r="835" spans="1:19" ht="16.899999999999999" hidden="1" customHeight="1" outlineLevel="1">
      <c r="A835" s="313"/>
      <c r="B835" s="1752" t="s">
        <v>1618</v>
      </c>
      <c r="C835" s="1718" t="s">
        <v>3501</v>
      </c>
      <c r="D835" s="1721"/>
      <c r="E835" s="3694" t="str">
        <f>'ACC &amp; Other Material '!B111</f>
        <v>EVA 2</v>
      </c>
      <c r="F835" s="1591" t="str">
        <f t="shared" si="302"/>
        <v>N</v>
      </c>
      <c r="G835" s="1591"/>
      <c r="H835" s="1592" t="s">
        <v>5</v>
      </c>
      <c r="I835" s="1591"/>
      <c r="J835" s="4002" t="str">
        <f t="shared" si="301"/>
        <v>N</v>
      </c>
      <c r="K835" s="3114" t="s">
        <v>3174</v>
      </c>
      <c r="M835" s="391"/>
      <c r="N835" s="391"/>
      <c r="O835" s="313"/>
      <c r="P835" s="313"/>
      <c r="Q835" s="313"/>
      <c r="R835" s="313"/>
      <c r="S835" s="313"/>
    </row>
    <row r="836" spans="1:19" ht="16.899999999999999" hidden="1" customHeight="1" outlineLevel="1">
      <c r="A836" s="313"/>
      <c r="B836" s="1752" t="s">
        <v>1618</v>
      </c>
      <c r="C836" s="1718" t="s">
        <v>3501</v>
      </c>
      <c r="D836" s="1721"/>
      <c r="E836" s="3694" t="str">
        <f>'ACC &amp; Other Material '!B112</f>
        <v>EVA 3</v>
      </c>
      <c r="F836" s="1591" t="str">
        <f t="shared" si="302"/>
        <v>N</v>
      </c>
      <c r="G836" s="1591"/>
      <c r="H836" s="1592" t="s">
        <v>5</v>
      </c>
      <c r="I836" s="1591"/>
      <c r="J836" s="4002" t="str">
        <f t="shared" si="301"/>
        <v>N</v>
      </c>
      <c r="K836" s="3114" t="s">
        <v>3174</v>
      </c>
      <c r="M836" s="391"/>
      <c r="N836" s="391"/>
      <c r="O836" s="313"/>
      <c r="P836" s="313"/>
      <c r="Q836" s="313"/>
      <c r="R836" s="313"/>
      <c r="S836" s="313"/>
    </row>
    <row r="837" spans="1:19" ht="16.899999999999999" hidden="1" customHeight="1" outlineLevel="1">
      <c r="A837" s="313"/>
      <c r="B837" s="313"/>
      <c r="C837" s="313"/>
      <c r="D837" s="313"/>
      <c r="E837" s="313"/>
      <c r="F837" s="384"/>
      <c r="G837" s="363"/>
      <c r="H837" s="363"/>
      <c r="I837" s="313"/>
      <c r="J837" s="313"/>
      <c r="K837" s="391"/>
      <c r="M837" s="391"/>
      <c r="N837" s="391"/>
      <c r="O837" s="313"/>
      <c r="P837" s="313"/>
      <c r="Q837" s="313"/>
      <c r="R837" s="313"/>
      <c r="S837" s="313"/>
    </row>
    <row r="838" spans="1:19" ht="16.899999999999999" customHeight="1" collapsed="1">
      <c r="A838" s="313"/>
      <c r="B838" s="1753"/>
      <c r="C838" s="385"/>
      <c r="F838" s="384" t="s">
        <v>746</v>
      </c>
      <c r="G838" s="384" t="s">
        <v>1518</v>
      </c>
      <c r="H838" s="384" t="s">
        <v>1409</v>
      </c>
      <c r="I838" s="384" t="s">
        <v>1587</v>
      </c>
      <c r="J838" s="313"/>
      <c r="K838" s="313"/>
      <c r="M838" s="391"/>
      <c r="N838" s="391"/>
      <c r="O838" s="313"/>
      <c r="P838" s="313"/>
      <c r="Q838" s="313"/>
      <c r="R838" s="313"/>
      <c r="S838" s="313"/>
    </row>
    <row r="839" spans="1:19" ht="16.899999999999999" customHeight="1">
      <c r="A839" s="1269"/>
      <c r="B839" s="1752" t="s">
        <v>159</v>
      </c>
      <c r="C839" s="1720" t="s">
        <v>3502</v>
      </c>
      <c r="D839" s="1759">
        <f>0</f>
        <v>0</v>
      </c>
      <c r="E839" s="1761" t="str">
        <f t="shared" ref="E839:E853" ca="1" si="303">OFFSET($A$25,D839,0)</f>
        <v>Box</v>
      </c>
      <c r="F839" s="1591" t="str">
        <f t="shared" ref="F839:F858" ca="1" si="304">IF(G839&gt;0,"Pcs","N")</f>
        <v>Pcs</v>
      </c>
      <c r="G839" s="1591" t="str">
        <f ca="1">INDEX('Summary Data'!$AS$6:$FZ$57,MATCH($E839,'Summary Data'!$C$6:$C$57,0),MATCH($C839,'Summary Data'!$AS$3:$FZ$3,0))</f>
        <v>4000</v>
      </c>
      <c r="H839" s="1592" t="s">
        <v>175</v>
      </c>
      <c r="I839" s="1591" t="str">
        <f ca="1">INDEX('Summary Data'!$AS$6:$FZ$57,MATCH($E839,'Summary Data'!$C$6:$C$57,0),MATCH($C839,'Summary Data'!$AS$3:$FZ$3,0)+1)</f>
        <v>7</v>
      </c>
      <c r="J839" s="4002" t="str">
        <f ca="1">E839</f>
        <v>Box</v>
      </c>
      <c r="K839" s="3114" t="s">
        <v>3174</v>
      </c>
      <c r="M839" s="391"/>
      <c r="N839" s="391"/>
      <c r="O839" s="313"/>
      <c r="P839" s="313"/>
      <c r="Q839" s="313"/>
      <c r="R839" s="313"/>
      <c r="S839" s="313"/>
    </row>
    <row r="840" spans="1:19" ht="16.899999999999999" hidden="1" customHeight="1" outlineLevel="1">
      <c r="A840" s="1269"/>
      <c r="B840" s="1752" t="s">
        <v>159</v>
      </c>
      <c r="C840" s="1720" t="s">
        <v>3502</v>
      </c>
      <c r="D840" s="1759">
        <f>D839+17</f>
        <v>17</v>
      </c>
      <c r="E840" s="1761" t="str">
        <f t="shared" ca="1" si="303"/>
        <v>N</v>
      </c>
      <c r="F840" s="1591" t="str">
        <f t="shared" ca="1" si="304"/>
        <v>N</v>
      </c>
      <c r="G840" s="1591">
        <f ca="1">INDEX('Summary Data'!$AS$6:$FZ$57,MATCH($E840,'Summary Data'!$C$6:$C$57,0),MATCH($C840,'Summary Data'!$AS$3:$FZ$3,0))</f>
        <v>0</v>
      </c>
      <c r="H840" s="1592" t="s">
        <v>175</v>
      </c>
      <c r="I840" s="1591">
        <f ca="1">INDEX('Summary Data'!$AS$6:$FZ$57,MATCH($E840,'Summary Data'!$C$6:$C$57,0),MATCH($C840,'Summary Data'!$AS$3:$FZ$3,0)+1)</f>
        <v>0</v>
      </c>
      <c r="J840" s="4002" t="str">
        <f t="shared" ref="J840:J859" ca="1" si="305">E840</f>
        <v>N</v>
      </c>
      <c r="K840" s="3114" t="s">
        <v>3174</v>
      </c>
      <c r="M840" s="391"/>
      <c r="N840" s="391"/>
      <c r="O840" s="313"/>
      <c r="P840" s="313"/>
      <c r="Q840" s="313"/>
      <c r="R840" s="313"/>
      <c r="S840" s="313"/>
    </row>
    <row r="841" spans="1:19" ht="16.899999999999999" hidden="1" customHeight="1" outlineLevel="1">
      <c r="A841" s="1269"/>
      <c r="B841" s="1752" t="s">
        <v>159</v>
      </c>
      <c r="C841" s="1720" t="s">
        <v>3502</v>
      </c>
      <c r="D841" s="1759">
        <f t="shared" ref="D841:D853" si="306">D840+17</f>
        <v>34</v>
      </c>
      <c r="E841" s="1761" t="str">
        <f t="shared" ca="1" si="303"/>
        <v>N</v>
      </c>
      <c r="F841" s="1591" t="str">
        <f t="shared" ca="1" si="304"/>
        <v>N</v>
      </c>
      <c r="G841" s="1591">
        <f ca="1">INDEX('Summary Data'!$AS$6:$FZ$57,MATCH($E841,'Summary Data'!$C$6:$C$57,0),MATCH($C841,'Summary Data'!$AS$3:$FZ$3,0))</f>
        <v>0</v>
      </c>
      <c r="H841" s="1592" t="s">
        <v>175</v>
      </c>
      <c r="I841" s="1591">
        <f ca="1">INDEX('Summary Data'!$AS$6:$FZ$57,MATCH($E841,'Summary Data'!$C$6:$C$57,0),MATCH($C841,'Summary Data'!$AS$3:$FZ$3,0)+1)</f>
        <v>0</v>
      </c>
      <c r="J841" s="4002" t="str">
        <f t="shared" ca="1" si="305"/>
        <v>N</v>
      </c>
      <c r="K841" s="3114" t="s">
        <v>3174</v>
      </c>
      <c r="M841" s="391"/>
      <c r="N841" s="391"/>
      <c r="O841" s="313"/>
      <c r="P841" s="313"/>
      <c r="Q841" s="313"/>
      <c r="R841" s="313"/>
      <c r="S841" s="313"/>
    </row>
    <row r="842" spans="1:19" ht="16.899999999999999" hidden="1" customHeight="1" outlineLevel="1">
      <c r="A842" s="1269"/>
      <c r="B842" s="1752" t="s">
        <v>159</v>
      </c>
      <c r="C842" s="1720" t="s">
        <v>3502</v>
      </c>
      <c r="D842" s="1759">
        <f t="shared" si="306"/>
        <v>51</v>
      </c>
      <c r="E842" s="1761" t="str">
        <f t="shared" ca="1" si="303"/>
        <v>N</v>
      </c>
      <c r="F842" s="1591" t="str">
        <f t="shared" ca="1" si="304"/>
        <v>N</v>
      </c>
      <c r="G842" s="1591">
        <f ca="1">INDEX('Summary Data'!$AS$6:$FZ$57,MATCH($E842,'Summary Data'!$C$6:$C$57,0),MATCH($C842,'Summary Data'!$AS$3:$FZ$3,0))</f>
        <v>0</v>
      </c>
      <c r="H842" s="1592" t="s">
        <v>175</v>
      </c>
      <c r="I842" s="1591">
        <f ca="1">INDEX('Summary Data'!$AS$6:$FZ$57,MATCH($E842,'Summary Data'!$C$6:$C$57,0),MATCH($C842,'Summary Data'!$AS$3:$FZ$3,0)+1)</f>
        <v>0</v>
      </c>
      <c r="J842" s="4002" t="str">
        <f t="shared" ca="1" si="305"/>
        <v>N</v>
      </c>
      <c r="K842" s="3114" t="s">
        <v>3174</v>
      </c>
      <c r="M842" s="391"/>
      <c r="N842" s="391"/>
      <c r="O842" s="313"/>
      <c r="P842" s="313"/>
      <c r="Q842" s="313"/>
      <c r="R842" s="313"/>
      <c r="S842" s="313"/>
    </row>
    <row r="843" spans="1:19" ht="16.899999999999999" hidden="1" customHeight="1" outlineLevel="1">
      <c r="A843" s="1269"/>
      <c r="B843" s="1752" t="s">
        <v>159</v>
      </c>
      <c r="C843" s="1720" t="s">
        <v>3502</v>
      </c>
      <c r="D843" s="1759">
        <f t="shared" si="306"/>
        <v>68</v>
      </c>
      <c r="E843" s="1761" t="str">
        <f t="shared" ca="1" si="303"/>
        <v>N</v>
      </c>
      <c r="F843" s="1591" t="str">
        <f t="shared" ca="1" si="304"/>
        <v>N</v>
      </c>
      <c r="G843" s="1591">
        <f ca="1">INDEX('Summary Data'!$AS$6:$FZ$57,MATCH($E843,'Summary Data'!$C$6:$C$57,0),MATCH($C843,'Summary Data'!$AS$3:$FZ$3,0))</f>
        <v>0</v>
      </c>
      <c r="H843" s="1592" t="s">
        <v>175</v>
      </c>
      <c r="I843" s="1591">
        <f ca="1">INDEX('Summary Data'!$AS$6:$FZ$57,MATCH($E843,'Summary Data'!$C$6:$C$57,0),MATCH($C843,'Summary Data'!$AS$3:$FZ$3,0)+1)</f>
        <v>0</v>
      </c>
      <c r="J843" s="4002" t="str">
        <f t="shared" ca="1" si="305"/>
        <v>N</v>
      </c>
      <c r="K843" s="3114" t="s">
        <v>3174</v>
      </c>
      <c r="M843" s="391"/>
      <c r="N843" s="391"/>
      <c r="O843" s="313"/>
      <c r="P843" s="313"/>
      <c r="Q843" s="313"/>
      <c r="R843" s="313"/>
      <c r="S843" s="313"/>
    </row>
    <row r="844" spans="1:19" ht="16.899999999999999" hidden="1" customHeight="1" outlineLevel="1">
      <c r="A844" s="1269"/>
      <c r="B844" s="1752" t="s">
        <v>159</v>
      </c>
      <c r="C844" s="1720" t="s">
        <v>3502</v>
      </c>
      <c r="D844" s="1759">
        <f t="shared" si="306"/>
        <v>85</v>
      </c>
      <c r="E844" s="1761" t="str">
        <f t="shared" ca="1" si="303"/>
        <v>N</v>
      </c>
      <c r="F844" s="1591" t="str">
        <f t="shared" ca="1" si="304"/>
        <v>N</v>
      </c>
      <c r="G844" s="1591">
        <f ca="1">INDEX('Summary Data'!$AS$6:$FZ$57,MATCH($E844,'Summary Data'!$C$6:$C$57,0),MATCH($C844,'Summary Data'!$AS$3:$FZ$3,0))</f>
        <v>0</v>
      </c>
      <c r="H844" s="1592" t="s">
        <v>175</v>
      </c>
      <c r="I844" s="1591">
        <f ca="1">INDEX('Summary Data'!$AS$6:$FZ$57,MATCH($E844,'Summary Data'!$C$6:$C$57,0),MATCH($C844,'Summary Data'!$AS$3:$FZ$3,0)+1)</f>
        <v>0</v>
      </c>
      <c r="J844" s="4002" t="str">
        <f t="shared" ca="1" si="305"/>
        <v>N</v>
      </c>
      <c r="K844" s="3114" t="s">
        <v>3174</v>
      </c>
      <c r="M844" s="391"/>
      <c r="N844" s="391"/>
      <c r="O844" s="313"/>
      <c r="P844" s="313"/>
      <c r="Q844" s="313"/>
      <c r="R844" s="313"/>
      <c r="S844" s="313"/>
    </row>
    <row r="845" spans="1:19" ht="16.899999999999999" hidden="1" customHeight="1" outlineLevel="1">
      <c r="A845" s="1269"/>
      <c r="B845" s="1752" t="s">
        <v>159</v>
      </c>
      <c r="C845" s="1720" t="s">
        <v>3502</v>
      </c>
      <c r="D845" s="1759">
        <f t="shared" si="306"/>
        <v>102</v>
      </c>
      <c r="E845" s="1761" t="str">
        <f t="shared" ca="1" si="303"/>
        <v>N</v>
      </c>
      <c r="F845" s="1591" t="str">
        <f t="shared" ca="1" si="304"/>
        <v>N</v>
      </c>
      <c r="G845" s="1591">
        <f ca="1">INDEX('Summary Data'!$AS$6:$FZ$57,MATCH($E845,'Summary Data'!$C$6:$C$57,0),MATCH($C845,'Summary Data'!$AS$3:$FZ$3,0))</f>
        <v>0</v>
      </c>
      <c r="H845" s="1592" t="s">
        <v>175</v>
      </c>
      <c r="I845" s="1591">
        <f ca="1">INDEX('Summary Data'!$AS$6:$FZ$57,MATCH($E845,'Summary Data'!$C$6:$C$57,0),MATCH($C845,'Summary Data'!$AS$3:$FZ$3,0)+1)</f>
        <v>0</v>
      </c>
      <c r="J845" s="4002" t="str">
        <f t="shared" ca="1" si="305"/>
        <v>N</v>
      </c>
      <c r="K845" s="3114" t="s">
        <v>3174</v>
      </c>
      <c r="M845" s="391"/>
      <c r="N845" s="391"/>
      <c r="O845" s="313"/>
      <c r="P845" s="313"/>
      <c r="Q845" s="313"/>
      <c r="R845" s="313"/>
      <c r="S845" s="313"/>
    </row>
    <row r="846" spans="1:19" ht="16.899999999999999" hidden="1" customHeight="1" outlineLevel="1">
      <c r="A846" s="1269"/>
      <c r="B846" s="1752" t="s">
        <v>159</v>
      </c>
      <c r="C846" s="1720" t="s">
        <v>3502</v>
      </c>
      <c r="D846" s="1759">
        <f t="shared" si="306"/>
        <v>119</v>
      </c>
      <c r="E846" s="1761" t="str">
        <f t="shared" ca="1" si="303"/>
        <v>N</v>
      </c>
      <c r="F846" s="1591" t="str">
        <f t="shared" ca="1" si="304"/>
        <v>N</v>
      </c>
      <c r="G846" s="1591">
        <f ca="1">INDEX('Summary Data'!$AS$6:$FZ$57,MATCH($E846,'Summary Data'!$C$6:$C$57,0),MATCH($C846,'Summary Data'!$AS$3:$FZ$3,0))</f>
        <v>0</v>
      </c>
      <c r="H846" s="1592" t="s">
        <v>175</v>
      </c>
      <c r="I846" s="1591">
        <f ca="1">INDEX('Summary Data'!$AS$6:$FZ$57,MATCH($E846,'Summary Data'!$C$6:$C$57,0),MATCH($C846,'Summary Data'!$AS$3:$FZ$3,0)+1)</f>
        <v>0</v>
      </c>
      <c r="J846" s="4002" t="str">
        <f t="shared" ca="1" si="305"/>
        <v>N</v>
      </c>
      <c r="K846" s="3114" t="s">
        <v>3174</v>
      </c>
      <c r="M846" s="391"/>
      <c r="N846" s="391"/>
      <c r="O846" s="313"/>
      <c r="P846" s="313"/>
      <c r="Q846" s="313"/>
      <c r="R846" s="313"/>
      <c r="S846" s="313"/>
    </row>
    <row r="847" spans="1:19" ht="16.899999999999999" hidden="1" customHeight="1" outlineLevel="1">
      <c r="A847" s="1269"/>
      <c r="B847" s="1752" t="s">
        <v>159</v>
      </c>
      <c r="C847" s="1720" t="s">
        <v>3502</v>
      </c>
      <c r="D847" s="1759">
        <f t="shared" si="306"/>
        <v>136</v>
      </c>
      <c r="E847" s="1761" t="str">
        <f t="shared" ca="1" si="303"/>
        <v>N</v>
      </c>
      <c r="F847" s="1591" t="str">
        <f t="shared" ca="1" si="304"/>
        <v>N</v>
      </c>
      <c r="G847" s="1591">
        <f ca="1">INDEX('Summary Data'!$AS$6:$FZ$57,MATCH($E847,'Summary Data'!$C$6:$C$57,0),MATCH($C847,'Summary Data'!$AS$3:$FZ$3,0))</f>
        <v>0</v>
      </c>
      <c r="H847" s="1592" t="s">
        <v>175</v>
      </c>
      <c r="I847" s="1591">
        <f ca="1">INDEX('Summary Data'!$AS$6:$FZ$57,MATCH($E847,'Summary Data'!$C$6:$C$57,0),MATCH($C847,'Summary Data'!$AS$3:$FZ$3,0)+1)</f>
        <v>0</v>
      </c>
      <c r="J847" s="4002" t="str">
        <f t="shared" ca="1" si="305"/>
        <v>N</v>
      </c>
      <c r="K847" s="3114" t="s">
        <v>3174</v>
      </c>
      <c r="M847" s="391"/>
      <c r="N847" s="391"/>
      <c r="O847" s="313"/>
      <c r="P847" s="313"/>
      <c r="Q847" s="313"/>
      <c r="R847" s="313"/>
      <c r="S847" s="313"/>
    </row>
    <row r="848" spans="1:19" ht="16.899999999999999" hidden="1" customHeight="1" outlineLevel="1">
      <c r="A848" s="1269"/>
      <c r="B848" s="1752" t="s">
        <v>159</v>
      </c>
      <c r="C848" s="1720" t="s">
        <v>3502</v>
      </c>
      <c r="D848" s="1759">
        <f t="shared" si="306"/>
        <v>153</v>
      </c>
      <c r="E848" s="1761" t="str">
        <f t="shared" ca="1" si="303"/>
        <v>N</v>
      </c>
      <c r="F848" s="1591" t="str">
        <f t="shared" ca="1" si="304"/>
        <v>N</v>
      </c>
      <c r="G848" s="1591">
        <f ca="1">INDEX('Summary Data'!$AS$6:$FZ$57,MATCH($E848,'Summary Data'!$C$6:$C$57,0),MATCH($C848,'Summary Data'!$AS$3:$FZ$3,0))</f>
        <v>0</v>
      </c>
      <c r="H848" s="1592" t="s">
        <v>175</v>
      </c>
      <c r="I848" s="1591">
        <f ca="1">INDEX('Summary Data'!$AS$6:$FZ$57,MATCH($E848,'Summary Data'!$C$6:$C$57,0),MATCH($C848,'Summary Data'!$AS$3:$FZ$3,0)+1)</f>
        <v>0</v>
      </c>
      <c r="J848" s="4002" t="str">
        <f t="shared" ca="1" si="305"/>
        <v>N</v>
      </c>
      <c r="K848" s="3114" t="s">
        <v>3174</v>
      </c>
      <c r="M848" s="391"/>
      <c r="N848" s="391"/>
      <c r="O848" s="313"/>
      <c r="P848" s="313"/>
      <c r="Q848" s="313"/>
      <c r="R848" s="313"/>
      <c r="S848" s="313"/>
    </row>
    <row r="849" spans="1:19" ht="16.899999999999999" hidden="1" customHeight="1" outlineLevel="1">
      <c r="A849" s="1269"/>
      <c r="B849" s="1752" t="s">
        <v>159</v>
      </c>
      <c r="C849" s="1720" t="s">
        <v>3502</v>
      </c>
      <c r="D849" s="1759">
        <f t="shared" si="306"/>
        <v>170</v>
      </c>
      <c r="E849" s="1761" t="str">
        <f t="shared" ca="1" si="303"/>
        <v>N</v>
      </c>
      <c r="F849" s="1591" t="str">
        <f t="shared" ca="1" si="304"/>
        <v>N</v>
      </c>
      <c r="G849" s="1591">
        <f ca="1">INDEX('Summary Data'!$AS$6:$FZ$57,MATCH($E849,'Summary Data'!$C$6:$C$57,0),MATCH($C849,'Summary Data'!$AS$3:$FZ$3,0))</f>
        <v>0</v>
      </c>
      <c r="H849" s="1592" t="s">
        <v>175</v>
      </c>
      <c r="I849" s="1591">
        <f ca="1">INDEX('Summary Data'!$AS$6:$FZ$57,MATCH($E849,'Summary Data'!$C$6:$C$57,0),MATCH($C849,'Summary Data'!$AS$3:$FZ$3,0)+1)</f>
        <v>0</v>
      </c>
      <c r="J849" s="4002" t="str">
        <f t="shared" ca="1" si="305"/>
        <v>N</v>
      </c>
      <c r="K849" s="3114" t="s">
        <v>3174</v>
      </c>
      <c r="M849" s="391"/>
      <c r="N849" s="391"/>
      <c r="O849" s="313"/>
      <c r="P849" s="313"/>
      <c r="Q849" s="313"/>
      <c r="R849" s="313"/>
      <c r="S849" s="313"/>
    </row>
    <row r="850" spans="1:19" ht="16.899999999999999" hidden="1" customHeight="1" outlineLevel="1">
      <c r="A850" s="1269"/>
      <c r="B850" s="1752" t="s">
        <v>159</v>
      </c>
      <c r="C850" s="1720" t="s">
        <v>3502</v>
      </c>
      <c r="D850" s="1759">
        <f t="shared" si="306"/>
        <v>187</v>
      </c>
      <c r="E850" s="1761" t="str">
        <f t="shared" ca="1" si="303"/>
        <v>N</v>
      </c>
      <c r="F850" s="1591" t="str">
        <f t="shared" ca="1" si="304"/>
        <v>N</v>
      </c>
      <c r="G850" s="1591">
        <f ca="1">INDEX('Summary Data'!$AS$6:$FZ$57,MATCH($E850,'Summary Data'!$C$6:$C$57,0),MATCH($C850,'Summary Data'!$AS$3:$FZ$3,0))</f>
        <v>0</v>
      </c>
      <c r="H850" s="1592" t="s">
        <v>175</v>
      </c>
      <c r="I850" s="1591">
        <f ca="1">INDEX('Summary Data'!$AS$6:$FZ$57,MATCH($E850,'Summary Data'!$C$6:$C$57,0),MATCH($C850,'Summary Data'!$AS$3:$FZ$3,0)+1)</f>
        <v>0</v>
      </c>
      <c r="J850" s="4002" t="str">
        <f t="shared" ca="1" si="305"/>
        <v>N</v>
      </c>
      <c r="K850" s="3114" t="s">
        <v>3174</v>
      </c>
      <c r="M850" s="391"/>
      <c r="N850" s="391"/>
      <c r="O850" s="313"/>
      <c r="P850" s="313"/>
      <c r="Q850" s="313"/>
      <c r="R850" s="313"/>
      <c r="S850" s="313"/>
    </row>
    <row r="851" spans="1:19" ht="16.899999999999999" hidden="1" customHeight="1" outlineLevel="1">
      <c r="A851" s="1269"/>
      <c r="B851" s="1752" t="s">
        <v>159</v>
      </c>
      <c r="C851" s="1720" t="s">
        <v>3502</v>
      </c>
      <c r="D851" s="1759">
        <f t="shared" si="306"/>
        <v>204</v>
      </c>
      <c r="E851" s="1761" t="str">
        <f t="shared" ca="1" si="303"/>
        <v>N</v>
      </c>
      <c r="F851" s="1591" t="str">
        <f t="shared" ca="1" si="304"/>
        <v>N</v>
      </c>
      <c r="G851" s="1591">
        <f ca="1">INDEX('Summary Data'!$AS$6:$FZ$57,MATCH($E851,'Summary Data'!$C$6:$C$57,0),MATCH($C851,'Summary Data'!$AS$3:$FZ$3,0))</f>
        <v>0</v>
      </c>
      <c r="H851" s="1592" t="s">
        <v>175</v>
      </c>
      <c r="I851" s="1591">
        <f ca="1">INDEX('Summary Data'!$AS$6:$FZ$57,MATCH($E851,'Summary Data'!$C$6:$C$57,0),MATCH($C851,'Summary Data'!$AS$3:$FZ$3,0)+1)</f>
        <v>0</v>
      </c>
      <c r="J851" s="4002" t="str">
        <f t="shared" ca="1" si="305"/>
        <v>N</v>
      </c>
      <c r="K851" s="3114" t="s">
        <v>3174</v>
      </c>
      <c r="M851" s="391"/>
      <c r="N851" s="391"/>
      <c r="O851" s="313"/>
      <c r="P851" s="313"/>
      <c r="Q851" s="313"/>
      <c r="R851" s="313"/>
      <c r="S851" s="313"/>
    </row>
    <row r="852" spans="1:19" ht="16.899999999999999" hidden="1" customHeight="1" outlineLevel="1">
      <c r="A852" s="1269"/>
      <c r="B852" s="1752" t="s">
        <v>159</v>
      </c>
      <c r="C852" s="1720" t="s">
        <v>3502</v>
      </c>
      <c r="D852" s="1759">
        <f t="shared" si="306"/>
        <v>221</v>
      </c>
      <c r="E852" s="1761" t="str">
        <f t="shared" ca="1" si="303"/>
        <v>1st</v>
      </c>
      <c r="F852" s="1591" t="str">
        <f t="shared" ca="1" si="304"/>
        <v>N</v>
      </c>
      <c r="G852" s="1591">
        <f ca="1">INDEX('Summary Data'!$AS$6:$FZ$57,MATCH($E852,'Summary Data'!$C$6:$C$57,0),MATCH($C852,'Summary Data'!$AS$3:$FZ$3,0))</f>
        <v>0</v>
      </c>
      <c r="H852" s="1592" t="s">
        <v>175</v>
      </c>
      <c r="I852" s="1591">
        <f ca="1">INDEX('Summary Data'!$AS$6:$FZ$57,MATCH($E852,'Summary Data'!$C$6:$C$57,0),MATCH($C852,'Summary Data'!$AS$3:$FZ$3,0)+1)</f>
        <v>0</v>
      </c>
      <c r="J852" s="4002" t="str">
        <f t="shared" ca="1" si="305"/>
        <v>1st</v>
      </c>
      <c r="K852" s="3114" t="s">
        <v>3174</v>
      </c>
      <c r="M852" s="391"/>
      <c r="N852" s="391"/>
      <c r="O852" s="313"/>
      <c r="P852" s="313"/>
      <c r="Q852" s="313"/>
      <c r="R852" s="313"/>
      <c r="S852" s="313"/>
    </row>
    <row r="853" spans="1:19" ht="16.899999999999999" hidden="1" customHeight="1" outlineLevel="1">
      <c r="A853" s="1269"/>
      <c r="B853" s="1752" t="s">
        <v>159</v>
      </c>
      <c r="C853" s="1720" t="s">
        <v>3502</v>
      </c>
      <c r="D853" s="1759">
        <f t="shared" si="306"/>
        <v>238</v>
      </c>
      <c r="E853" s="1761" t="str">
        <f t="shared" ca="1" si="303"/>
        <v>1st</v>
      </c>
      <c r="F853" s="1591" t="str">
        <f t="shared" ca="1" si="304"/>
        <v>N</v>
      </c>
      <c r="G853" s="1591">
        <f ca="1">INDEX('Summary Data'!$AS$6:$FZ$57,MATCH($E853,'Summary Data'!$C$6:$C$57,0),MATCH($C853,'Summary Data'!$AS$3:$FZ$3,0))</f>
        <v>0</v>
      </c>
      <c r="H853" s="1592" t="s">
        <v>175</v>
      </c>
      <c r="I853" s="1591">
        <f ca="1">INDEX('Summary Data'!$AS$6:$FZ$57,MATCH($E853,'Summary Data'!$C$6:$C$57,0),MATCH($C853,'Summary Data'!$AS$3:$FZ$3,0)+1)</f>
        <v>0</v>
      </c>
      <c r="J853" s="4002" t="str">
        <f t="shared" ca="1" si="305"/>
        <v>1st</v>
      </c>
      <c r="K853" s="3114" t="s">
        <v>3174</v>
      </c>
      <c r="M853" s="391"/>
      <c r="N853" s="391"/>
      <c r="O853" s="313"/>
      <c r="P853" s="313"/>
      <c r="Q853" s="313"/>
      <c r="R853" s="313"/>
      <c r="S853" s="313"/>
    </row>
    <row r="854" spans="1:19" ht="16.899999999999999" hidden="1" customHeight="1" outlineLevel="1">
      <c r="A854" s="313" t="s">
        <v>3631</v>
      </c>
      <c r="B854" s="1752" t="s">
        <v>159</v>
      </c>
      <c r="C854" s="1720" t="s">
        <v>3502</v>
      </c>
      <c r="D854" s="1759">
        <v>0</v>
      </c>
      <c r="E854" s="1761" t="str">
        <f ca="1">OFFSET($A$358,D854,0)</f>
        <v>E-flute 115/105</v>
      </c>
      <c r="F854" s="1591" t="str">
        <f t="shared" ca="1" si="304"/>
        <v>N</v>
      </c>
      <c r="G854" s="1591">
        <f ca="1">INDEX('Summary Data'!$AS$6:$FZ$57,MATCH($E854,'Summary Data'!$C$6:$C$57,0),MATCH($C854,'Summary Data'!$AS$3:$FZ$3,0))</f>
        <v>0</v>
      </c>
      <c r="H854" s="1592" t="s">
        <v>175</v>
      </c>
      <c r="I854" s="1591">
        <f ca="1">INDEX('Summary Data'!$AS$6:$FZ$57,MATCH($E854,'Summary Data'!$C$6:$C$57,0),MATCH($C854,'Summary Data'!$AS$3:$FZ$3,0)+1)</f>
        <v>0</v>
      </c>
      <c r="J854" s="4002" t="str">
        <f t="shared" ca="1" si="305"/>
        <v>E-flute 115/105</v>
      </c>
      <c r="K854" s="3114" t="s">
        <v>3174</v>
      </c>
      <c r="M854" s="391"/>
      <c r="N854" s="391"/>
      <c r="O854" s="313"/>
      <c r="P854" s="313"/>
      <c r="Q854" s="313"/>
      <c r="R854" s="313"/>
      <c r="S854" s="313"/>
    </row>
    <row r="855" spans="1:19" ht="16.899999999999999" hidden="1" customHeight="1" outlineLevel="1">
      <c r="A855" s="313"/>
      <c r="B855" s="1752" t="s">
        <v>159</v>
      </c>
      <c r="C855" s="1720" t="s">
        <v>3502</v>
      </c>
      <c r="D855" s="1759">
        <f>D854+3</f>
        <v>3</v>
      </c>
      <c r="E855" s="1761" t="str">
        <f ca="1">OFFSET($A$358,D855,0)</f>
        <v>N</v>
      </c>
      <c r="F855" s="1591" t="str">
        <f t="shared" ca="1" si="304"/>
        <v>N</v>
      </c>
      <c r="G855" s="1591">
        <f ca="1">INDEX('Summary Data'!$AS$6:$FZ$57,MATCH($E855,'Summary Data'!$C$6:$C$57,0),MATCH($C855,'Summary Data'!$AS$3:$FZ$3,0))</f>
        <v>0</v>
      </c>
      <c r="H855" s="1592" t="s">
        <v>175</v>
      </c>
      <c r="I855" s="1591">
        <f ca="1">INDEX('Summary Data'!$AS$6:$FZ$57,MATCH($E855,'Summary Data'!$C$6:$C$57,0),MATCH($C855,'Summary Data'!$AS$3:$FZ$3,0)+1)</f>
        <v>0</v>
      </c>
      <c r="J855" s="4002" t="str">
        <f t="shared" ca="1" si="305"/>
        <v>N</v>
      </c>
      <c r="K855" s="3114" t="s">
        <v>3174</v>
      </c>
      <c r="M855" s="391"/>
      <c r="N855" s="391"/>
      <c r="O855" s="313"/>
      <c r="P855" s="313"/>
      <c r="Q855" s="313"/>
      <c r="R855" s="313"/>
      <c r="S855" s="313"/>
    </row>
    <row r="856" spans="1:19" ht="16.899999999999999" hidden="1" customHeight="1" outlineLevel="1">
      <c r="A856" s="313"/>
      <c r="B856" s="1752" t="s">
        <v>159</v>
      </c>
      <c r="C856" s="1720" t="s">
        <v>3502</v>
      </c>
      <c r="D856" s="1759">
        <f t="shared" ref="D856:D858" si="307">D855+3</f>
        <v>6</v>
      </c>
      <c r="E856" s="1761" t="str">
        <f ca="1">OFFSET($A$358,D856,0)</f>
        <v>N</v>
      </c>
      <c r="F856" s="1591" t="str">
        <f t="shared" ca="1" si="304"/>
        <v>N</v>
      </c>
      <c r="G856" s="1591">
        <f ca="1">INDEX('Summary Data'!$AS$6:$FZ$57,MATCH($E856,'Summary Data'!$C$6:$C$57,0),MATCH($C856,'Summary Data'!$AS$3:$FZ$3,0))</f>
        <v>0</v>
      </c>
      <c r="H856" s="1592" t="s">
        <v>175</v>
      </c>
      <c r="I856" s="1591">
        <f ca="1">INDEX('Summary Data'!$AS$6:$FZ$57,MATCH($E856,'Summary Data'!$C$6:$C$57,0),MATCH($C856,'Summary Data'!$AS$3:$FZ$3,0)+1)</f>
        <v>0</v>
      </c>
      <c r="J856" s="4002" t="str">
        <f t="shared" ca="1" si="305"/>
        <v>N</v>
      </c>
      <c r="K856" s="3114" t="s">
        <v>3174</v>
      </c>
      <c r="M856" s="391"/>
      <c r="N856" s="391"/>
      <c r="O856" s="313"/>
      <c r="P856" s="313"/>
      <c r="Q856" s="313"/>
      <c r="R856" s="313"/>
      <c r="S856" s="313"/>
    </row>
    <row r="857" spans="1:19" ht="16.899999999999999" hidden="1" customHeight="1" outlineLevel="1">
      <c r="A857" s="313"/>
      <c r="B857" s="1752" t="s">
        <v>159</v>
      </c>
      <c r="C857" s="1720" t="s">
        <v>3502</v>
      </c>
      <c r="D857" s="1759">
        <f t="shared" si="307"/>
        <v>9</v>
      </c>
      <c r="E857" s="1761" t="str">
        <f ca="1">OFFSET($A$358,D857,0)</f>
        <v>N</v>
      </c>
      <c r="F857" s="1591" t="str">
        <f t="shared" ca="1" si="304"/>
        <v>N</v>
      </c>
      <c r="G857" s="1591">
        <f ca="1">INDEX('Summary Data'!$AS$6:$FZ$57,MATCH($E857,'Summary Data'!$C$6:$C$57,0),MATCH($C857,'Summary Data'!$AS$3:$FZ$3,0))</f>
        <v>0</v>
      </c>
      <c r="H857" s="1592" t="s">
        <v>175</v>
      </c>
      <c r="I857" s="1591">
        <f ca="1">INDEX('Summary Data'!$AS$6:$FZ$57,MATCH($E857,'Summary Data'!$C$6:$C$57,0),MATCH($C857,'Summary Data'!$AS$3:$FZ$3,0)+1)</f>
        <v>0</v>
      </c>
      <c r="J857" s="4002" t="str">
        <f t="shared" ca="1" si="305"/>
        <v>N</v>
      </c>
      <c r="K857" s="3114" t="s">
        <v>3174</v>
      </c>
      <c r="M857" s="391"/>
      <c r="N857" s="391"/>
      <c r="O857" s="313"/>
      <c r="P857" s="313"/>
      <c r="Q857" s="313"/>
      <c r="R857" s="313"/>
      <c r="S857" s="313"/>
    </row>
    <row r="858" spans="1:19" ht="16.899999999999999" hidden="1" customHeight="1" outlineLevel="1">
      <c r="A858" s="313"/>
      <c r="B858" s="1752" t="s">
        <v>159</v>
      </c>
      <c r="C858" s="1720" t="s">
        <v>3502</v>
      </c>
      <c r="D858" s="1759">
        <f t="shared" si="307"/>
        <v>12</v>
      </c>
      <c r="E858" s="1761" t="str">
        <f ca="1">OFFSET($A$358,D858,0)</f>
        <v>N</v>
      </c>
      <c r="F858" s="1591" t="str">
        <f t="shared" ca="1" si="304"/>
        <v>N</v>
      </c>
      <c r="G858" s="1591">
        <f ca="1">INDEX('Summary Data'!$AS$6:$FZ$57,MATCH($E858,'Summary Data'!$C$6:$C$57,0),MATCH($C858,'Summary Data'!$AS$3:$FZ$3,0))</f>
        <v>0</v>
      </c>
      <c r="H858" s="1592" t="s">
        <v>175</v>
      </c>
      <c r="I858" s="1591">
        <f ca="1">INDEX('Summary Data'!$AS$6:$FZ$57,MATCH($E858,'Summary Data'!$C$6:$C$57,0),MATCH($C858,'Summary Data'!$AS$3:$FZ$3,0)+1)</f>
        <v>0</v>
      </c>
      <c r="J858" s="4002" t="str">
        <f t="shared" ca="1" si="305"/>
        <v>N</v>
      </c>
      <c r="K858" s="3114" t="s">
        <v>3174</v>
      </c>
      <c r="M858" s="391"/>
      <c r="N858" s="391"/>
      <c r="O858" s="313"/>
      <c r="P858" s="313"/>
      <c r="Q858" s="313"/>
      <c r="R858" s="313"/>
      <c r="S858" s="313"/>
    </row>
    <row r="859" spans="1:19" ht="16.899999999999999" hidden="1" customHeight="1" outlineLevel="1">
      <c r="A859" s="313"/>
      <c r="B859" s="1752" t="s">
        <v>159</v>
      </c>
      <c r="C859" s="1720" t="s">
        <v>72</v>
      </c>
      <c r="D859" s="1759"/>
      <c r="E859" s="1760"/>
      <c r="F859" s="1591" t="s">
        <v>106</v>
      </c>
      <c r="G859" s="1591"/>
      <c r="H859" s="1592" t="s">
        <v>175</v>
      </c>
      <c r="I859" s="1591"/>
      <c r="J859" s="4002">
        <f t="shared" si="305"/>
        <v>0</v>
      </c>
      <c r="K859" s="3114" t="s">
        <v>3174</v>
      </c>
      <c r="M859" s="391"/>
      <c r="N859" s="391"/>
      <c r="O859" s="313"/>
      <c r="P859" s="313"/>
      <c r="Q859" s="313"/>
      <c r="R859" s="313"/>
      <c r="S859" s="313"/>
    </row>
    <row r="860" spans="1:19" s="385" customFormat="1" ht="16.899999999999999" hidden="1" customHeight="1" outlineLevel="1">
      <c r="B860" s="313"/>
    </row>
    <row r="861" spans="1:19" ht="16.899999999999999" hidden="1" customHeight="1" outlineLevel="1">
      <c r="A861" s="385"/>
      <c r="B861" s="1754" t="s">
        <v>1588</v>
      </c>
      <c r="C861" s="1582"/>
      <c r="D861" s="355" t="s">
        <v>482</v>
      </c>
      <c r="E861" s="1593" t="str">
        <f>(input!C16&amp;" X "&amp;input!E16&amp;"  X  "&amp;input!E21)</f>
        <v>150 X 150  X  7.93</v>
      </c>
      <c r="F861" s="1594"/>
      <c r="G861" s="1594">
        <f>input!C17</f>
        <v>9</v>
      </c>
      <c r="H861" s="1594" t="s">
        <v>191</v>
      </c>
      <c r="I861" s="1594">
        <f>input!G19+input!G20</f>
        <v>0</v>
      </c>
      <c r="J861" s="1594" t="s">
        <v>639</v>
      </c>
      <c r="K861" s="136"/>
      <c r="M861" s="385"/>
      <c r="N861" s="399"/>
      <c r="O861" s="385"/>
      <c r="P861" s="385"/>
      <c r="Q861" s="385"/>
      <c r="R861" s="385"/>
      <c r="S861" s="385"/>
    </row>
    <row r="862" spans="1:19" ht="16.899999999999999" hidden="1" customHeight="1" outlineLevel="1">
      <c r="A862" s="1269"/>
      <c r="B862" s="1753"/>
      <c r="C862" s="385"/>
      <c r="F862" s="384" t="s">
        <v>746</v>
      </c>
      <c r="G862" s="384" t="s">
        <v>1518</v>
      </c>
      <c r="H862" s="384" t="s">
        <v>1409</v>
      </c>
      <c r="I862" s="384" t="s">
        <v>1587</v>
      </c>
      <c r="K862" s="136"/>
      <c r="M862" s="313"/>
      <c r="N862" s="391"/>
      <c r="O862" s="313"/>
      <c r="P862" s="313"/>
      <c r="Q862" s="313"/>
      <c r="R862" s="313"/>
      <c r="S862" s="313"/>
    </row>
    <row r="863" spans="1:19" ht="16.899999999999999" hidden="1" customHeight="1" outlineLevel="1">
      <c r="A863" s="1269"/>
      <c r="B863" s="1752" t="s">
        <v>159</v>
      </c>
      <c r="C863" s="1720" t="s">
        <v>313</v>
      </c>
      <c r="D863" s="1721"/>
      <c r="E863" s="1722"/>
      <c r="F863" s="1591" t="s">
        <v>106</v>
      </c>
      <c r="G863" s="1591"/>
      <c r="H863" s="1592" t="s">
        <v>190</v>
      </c>
      <c r="I863" s="1591"/>
      <c r="J863" s="4002" t="str">
        <f>F863</f>
        <v>N</v>
      </c>
      <c r="K863" s="3114" t="s">
        <v>3176</v>
      </c>
      <c r="L863" s="313"/>
      <c r="M863" s="313"/>
      <c r="N863" s="391"/>
      <c r="O863" s="313"/>
      <c r="P863" s="313"/>
      <c r="Q863" s="313"/>
      <c r="R863" s="313"/>
      <c r="S863" s="313"/>
    </row>
    <row r="864" spans="1:19" ht="16.899999999999999" hidden="1" customHeight="1" outlineLevel="1">
      <c r="A864" s="1269"/>
      <c r="B864" s="1752" t="s">
        <v>159</v>
      </c>
      <c r="C864" s="1720" t="s">
        <v>313</v>
      </c>
      <c r="D864" s="1721"/>
      <c r="E864" s="1722"/>
      <c r="F864" s="1591" t="s">
        <v>106</v>
      </c>
      <c r="G864" s="1591"/>
      <c r="H864" s="1592" t="s">
        <v>190</v>
      </c>
      <c r="I864" s="1591"/>
      <c r="J864" s="4002" t="str">
        <f t="shared" ref="J864:J927" si="308">F864</f>
        <v>N</v>
      </c>
      <c r="K864" s="3114" t="s">
        <v>3176</v>
      </c>
      <c r="L864" s="313"/>
      <c r="M864" s="313"/>
      <c r="N864" s="391"/>
      <c r="O864" s="313"/>
      <c r="P864" s="313"/>
      <c r="Q864" s="313"/>
      <c r="R864" s="313"/>
      <c r="S864" s="313"/>
    </row>
    <row r="865" spans="1:19" ht="16.899999999999999" hidden="1" customHeight="1" outlineLevel="1">
      <c r="A865" s="1269"/>
      <c r="B865" s="1752" t="s">
        <v>159</v>
      </c>
      <c r="C865" s="1720" t="s">
        <v>313</v>
      </c>
      <c r="D865" s="1721"/>
      <c r="E865" s="1722"/>
      <c r="F865" s="1591" t="s">
        <v>106</v>
      </c>
      <c r="G865" s="1591"/>
      <c r="H865" s="1592" t="s">
        <v>190</v>
      </c>
      <c r="I865" s="1591"/>
      <c r="J865" s="4002" t="str">
        <f t="shared" si="308"/>
        <v>N</v>
      </c>
      <c r="K865" s="3114" t="s">
        <v>3176</v>
      </c>
      <c r="L865" s="313"/>
      <c r="M865" s="313"/>
      <c r="N865" s="391"/>
      <c r="O865" s="313"/>
      <c r="P865" s="313"/>
      <c r="Q865" s="313"/>
      <c r="R865" s="313"/>
      <c r="S865" s="313"/>
    </row>
    <row r="866" spans="1:19" ht="16.899999999999999" hidden="1" customHeight="1" outlineLevel="1">
      <c r="A866" s="1269"/>
      <c r="B866" s="1752" t="s">
        <v>159</v>
      </c>
      <c r="C866" s="1720" t="s">
        <v>313</v>
      </c>
      <c r="D866" s="1721"/>
      <c r="E866" s="1722"/>
      <c r="F866" s="1591" t="s">
        <v>106</v>
      </c>
      <c r="G866" s="1591"/>
      <c r="H866" s="1592" t="s">
        <v>190</v>
      </c>
      <c r="I866" s="1591"/>
      <c r="J866" s="4002" t="str">
        <f t="shared" si="308"/>
        <v>N</v>
      </c>
      <c r="K866" s="3114" t="s">
        <v>3176</v>
      </c>
      <c r="L866" s="313"/>
      <c r="M866" s="313"/>
      <c r="N866" s="391"/>
      <c r="O866" s="313"/>
      <c r="P866" s="313"/>
      <c r="Q866" s="313"/>
      <c r="R866" s="313"/>
      <c r="S866" s="313"/>
    </row>
    <row r="867" spans="1:19" ht="16.899999999999999" hidden="1" customHeight="1" outlineLevel="1">
      <c r="A867" s="1269"/>
      <c r="B867" s="1752" t="s">
        <v>159</v>
      </c>
      <c r="C867" s="1720" t="s">
        <v>313</v>
      </c>
      <c r="D867" s="1721"/>
      <c r="E867" s="1722"/>
      <c r="F867" s="1591" t="s">
        <v>106</v>
      </c>
      <c r="G867" s="1591"/>
      <c r="H867" s="1592" t="s">
        <v>190</v>
      </c>
      <c r="I867" s="1591"/>
      <c r="J867" s="4002" t="str">
        <f t="shared" si="308"/>
        <v>N</v>
      </c>
      <c r="K867" s="3114" t="s">
        <v>3176</v>
      </c>
      <c r="L867" s="313"/>
      <c r="M867" s="313"/>
      <c r="N867" s="391"/>
      <c r="O867" s="313"/>
      <c r="P867" s="313"/>
      <c r="Q867" s="313"/>
      <c r="R867" s="313"/>
      <c r="S867" s="313"/>
    </row>
    <row r="868" spans="1:19" ht="16.899999999999999" hidden="1" customHeight="1" outlineLevel="1">
      <c r="A868" s="1269"/>
      <c r="B868" s="1752" t="s">
        <v>159</v>
      </c>
      <c r="C868" s="1720" t="s">
        <v>3500</v>
      </c>
      <c r="D868" s="1759">
        <f>0</f>
        <v>0</v>
      </c>
      <c r="E868" s="1761" t="str">
        <f t="shared" ref="E868:E882" ca="1" si="309">OFFSET($A$25,D868,0)</f>
        <v>Box</v>
      </c>
      <c r="F868" s="1591" t="str">
        <f t="shared" ref="F868:F882" ca="1" si="310">IF(G868=0,"N",E868)</f>
        <v>N</v>
      </c>
      <c r="G868" s="1591">
        <f ca="1">INDEX('Summary Data'!$AS$6:$FZ$57,MATCH($E868,'Summary Data'!$C$6:$C$57,0),MATCH($C868,'Summary Data'!$AS$3:$FZ$3,0))</f>
        <v>0</v>
      </c>
      <c r="H868" s="1592" t="s">
        <v>5</v>
      </c>
      <c r="I868" s="1591">
        <f ca="1">INDEX('Summary Data'!$AS$6:$FZ$57,MATCH($E868,'Summary Data'!$C$6:$C$57,0),MATCH($C868,'Summary Data'!$AS$3:$FZ$3,0)+1)</f>
        <v>0</v>
      </c>
      <c r="J868" s="4002" t="str">
        <f t="shared" ca="1" si="308"/>
        <v>N</v>
      </c>
      <c r="K868" s="3114" t="s">
        <v>3176</v>
      </c>
      <c r="L868" s="313"/>
      <c r="M868" s="313"/>
      <c r="N868" s="391"/>
      <c r="O868" s="313"/>
      <c r="P868" s="313"/>
      <c r="Q868" s="313"/>
      <c r="R868" s="313"/>
      <c r="S868" s="313"/>
    </row>
    <row r="869" spans="1:19" ht="16.899999999999999" hidden="1" customHeight="1" outlineLevel="1">
      <c r="A869" s="1269"/>
      <c r="B869" s="1752" t="s">
        <v>159</v>
      </c>
      <c r="C869" s="1720" t="s">
        <v>3500</v>
      </c>
      <c r="D869" s="1759">
        <f>D868+17</f>
        <v>17</v>
      </c>
      <c r="E869" s="1761" t="str">
        <f t="shared" ca="1" si="309"/>
        <v>N</v>
      </c>
      <c r="F869" s="1591" t="str">
        <f t="shared" ca="1" si="310"/>
        <v>N</v>
      </c>
      <c r="G869" s="1591">
        <f ca="1">INDEX('Summary Data'!$AS$6:$FZ$57,MATCH($E869,'Summary Data'!$C$6:$C$57,0),MATCH($C869,'Summary Data'!$AS$3:$FZ$3,0))</f>
        <v>0</v>
      </c>
      <c r="H869" s="1592" t="s">
        <v>5</v>
      </c>
      <c r="I869" s="1591">
        <f ca="1">INDEX('Summary Data'!$AS$6:$FZ$57,MATCH($E869,'Summary Data'!$C$6:$C$57,0),MATCH($C869,'Summary Data'!$AS$3:$FZ$3,0)+1)</f>
        <v>0</v>
      </c>
      <c r="J869" s="4002" t="str">
        <f t="shared" ca="1" si="308"/>
        <v>N</v>
      </c>
      <c r="K869" s="3114" t="s">
        <v>3176</v>
      </c>
      <c r="L869" s="313"/>
      <c r="M869" s="313"/>
      <c r="N869" s="391"/>
      <c r="O869" s="313"/>
      <c r="P869" s="313"/>
      <c r="Q869" s="313"/>
      <c r="R869" s="313"/>
      <c r="S869" s="313"/>
    </row>
    <row r="870" spans="1:19" ht="16.899999999999999" hidden="1" customHeight="1" outlineLevel="1">
      <c r="A870" s="1269"/>
      <c r="B870" s="1752" t="s">
        <v>159</v>
      </c>
      <c r="C870" s="1720" t="s">
        <v>3500</v>
      </c>
      <c r="D870" s="1759">
        <f t="shared" ref="D870:D882" si="311">D869+17</f>
        <v>34</v>
      </c>
      <c r="E870" s="1761" t="str">
        <f t="shared" ca="1" si="309"/>
        <v>N</v>
      </c>
      <c r="F870" s="1591" t="str">
        <f t="shared" ca="1" si="310"/>
        <v>N</v>
      </c>
      <c r="G870" s="1591">
        <f ca="1">INDEX('Summary Data'!$AS$6:$FZ$57,MATCH($E870,'Summary Data'!$C$6:$C$57,0),MATCH($C870,'Summary Data'!$AS$3:$FZ$3,0))</f>
        <v>0</v>
      </c>
      <c r="H870" s="1592" t="s">
        <v>5</v>
      </c>
      <c r="I870" s="1591">
        <f ca="1">INDEX('Summary Data'!$AS$6:$FZ$57,MATCH($E870,'Summary Data'!$C$6:$C$57,0),MATCH($C870,'Summary Data'!$AS$3:$FZ$3,0)+1)</f>
        <v>0</v>
      </c>
      <c r="J870" s="4002" t="str">
        <f t="shared" ca="1" si="308"/>
        <v>N</v>
      </c>
      <c r="K870" s="3114" t="s">
        <v>3176</v>
      </c>
      <c r="L870" s="313"/>
      <c r="M870" s="313"/>
      <c r="N870" s="391"/>
      <c r="O870" s="313"/>
      <c r="P870" s="313"/>
      <c r="Q870" s="313"/>
      <c r="R870" s="313"/>
      <c r="S870" s="313"/>
    </row>
    <row r="871" spans="1:19" ht="16.899999999999999" hidden="1" customHeight="1" outlineLevel="1">
      <c r="A871" s="1269"/>
      <c r="B871" s="1752" t="s">
        <v>159</v>
      </c>
      <c r="C871" s="1720" t="s">
        <v>3500</v>
      </c>
      <c r="D871" s="1759">
        <f t="shared" si="311"/>
        <v>51</v>
      </c>
      <c r="E871" s="1761" t="str">
        <f t="shared" ca="1" si="309"/>
        <v>N</v>
      </c>
      <c r="F871" s="1591" t="str">
        <f t="shared" ca="1" si="310"/>
        <v>N</v>
      </c>
      <c r="G871" s="1591">
        <f ca="1">INDEX('Summary Data'!$AS$6:$FZ$57,MATCH($E871,'Summary Data'!$C$6:$C$57,0),MATCH($C871,'Summary Data'!$AS$3:$FZ$3,0))</f>
        <v>0</v>
      </c>
      <c r="H871" s="1592" t="s">
        <v>5</v>
      </c>
      <c r="I871" s="1591">
        <f ca="1">INDEX('Summary Data'!$AS$6:$FZ$57,MATCH($E871,'Summary Data'!$C$6:$C$57,0),MATCH($C871,'Summary Data'!$AS$3:$FZ$3,0)+1)</f>
        <v>0</v>
      </c>
      <c r="J871" s="4002" t="str">
        <f t="shared" ca="1" si="308"/>
        <v>N</v>
      </c>
      <c r="K871" s="3114" t="s">
        <v>3176</v>
      </c>
      <c r="L871" s="313"/>
      <c r="M871" s="313"/>
      <c r="N871" s="391"/>
      <c r="O871" s="313"/>
      <c r="P871" s="313"/>
      <c r="Q871" s="313"/>
      <c r="R871" s="313"/>
      <c r="S871" s="313"/>
    </row>
    <row r="872" spans="1:19" ht="16.899999999999999" hidden="1" customHeight="1" outlineLevel="1">
      <c r="A872" s="1269"/>
      <c r="B872" s="1752" t="s">
        <v>159</v>
      </c>
      <c r="C872" s="1720" t="s">
        <v>3500</v>
      </c>
      <c r="D872" s="1759">
        <f t="shared" si="311"/>
        <v>68</v>
      </c>
      <c r="E872" s="1761" t="str">
        <f t="shared" ca="1" si="309"/>
        <v>N</v>
      </c>
      <c r="F872" s="1591" t="str">
        <f t="shared" ca="1" si="310"/>
        <v>N</v>
      </c>
      <c r="G872" s="1591">
        <f ca="1">INDEX('Summary Data'!$AS$6:$FZ$57,MATCH($E872,'Summary Data'!$C$6:$C$57,0),MATCH($C872,'Summary Data'!$AS$3:$FZ$3,0))</f>
        <v>0</v>
      </c>
      <c r="H872" s="1592" t="s">
        <v>5</v>
      </c>
      <c r="I872" s="1591">
        <f ca="1">INDEX('Summary Data'!$AS$6:$FZ$57,MATCH($E872,'Summary Data'!$C$6:$C$57,0),MATCH($C872,'Summary Data'!$AS$3:$FZ$3,0)+1)</f>
        <v>0</v>
      </c>
      <c r="J872" s="4002" t="str">
        <f t="shared" ca="1" si="308"/>
        <v>N</v>
      </c>
      <c r="K872" s="3114" t="s">
        <v>3176</v>
      </c>
      <c r="L872" s="313"/>
      <c r="M872" s="313"/>
      <c r="N872" s="391"/>
      <c r="O872" s="313"/>
      <c r="P872" s="313"/>
      <c r="Q872" s="313"/>
      <c r="R872" s="313"/>
      <c r="S872" s="313"/>
    </row>
    <row r="873" spans="1:19" ht="16.899999999999999" hidden="1" customHeight="1" outlineLevel="1">
      <c r="A873" s="1269"/>
      <c r="B873" s="1752" t="s">
        <v>159</v>
      </c>
      <c r="C873" s="1720" t="s">
        <v>3500</v>
      </c>
      <c r="D873" s="1759">
        <f t="shared" si="311"/>
        <v>85</v>
      </c>
      <c r="E873" s="1761" t="str">
        <f t="shared" ca="1" si="309"/>
        <v>N</v>
      </c>
      <c r="F873" s="1591" t="str">
        <f t="shared" ca="1" si="310"/>
        <v>N</v>
      </c>
      <c r="G873" s="1591">
        <f ca="1">INDEX('Summary Data'!$AS$6:$FZ$57,MATCH($E873,'Summary Data'!$C$6:$C$57,0),MATCH($C873,'Summary Data'!$AS$3:$FZ$3,0))</f>
        <v>0</v>
      </c>
      <c r="H873" s="1592" t="s">
        <v>5</v>
      </c>
      <c r="I873" s="1591">
        <f ca="1">INDEX('Summary Data'!$AS$6:$FZ$57,MATCH($E873,'Summary Data'!$C$6:$C$57,0),MATCH($C873,'Summary Data'!$AS$3:$FZ$3,0)+1)</f>
        <v>0</v>
      </c>
      <c r="J873" s="4002" t="str">
        <f t="shared" ca="1" si="308"/>
        <v>N</v>
      </c>
      <c r="K873" s="3114" t="s">
        <v>3176</v>
      </c>
      <c r="L873" s="313"/>
      <c r="M873" s="313"/>
      <c r="N873" s="391"/>
      <c r="O873" s="313"/>
      <c r="P873" s="313"/>
      <c r="Q873" s="313"/>
      <c r="R873" s="313"/>
      <c r="S873" s="313"/>
    </row>
    <row r="874" spans="1:19" ht="16.899999999999999" hidden="1" customHeight="1" outlineLevel="1">
      <c r="A874" s="1269"/>
      <c r="B874" s="1752" t="s">
        <v>159</v>
      </c>
      <c r="C874" s="1720" t="s">
        <v>3500</v>
      </c>
      <c r="D874" s="1759">
        <f t="shared" si="311"/>
        <v>102</v>
      </c>
      <c r="E874" s="1761" t="str">
        <f t="shared" ca="1" si="309"/>
        <v>N</v>
      </c>
      <c r="F874" s="1591" t="str">
        <f t="shared" ca="1" si="310"/>
        <v>N</v>
      </c>
      <c r="G874" s="1591">
        <f ca="1">INDEX('Summary Data'!$AS$6:$FZ$57,MATCH($E874,'Summary Data'!$C$6:$C$57,0),MATCH($C874,'Summary Data'!$AS$3:$FZ$3,0))</f>
        <v>0</v>
      </c>
      <c r="H874" s="1592" t="s">
        <v>5</v>
      </c>
      <c r="I874" s="1591">
        <f ca="1">INDEX('Summary Data'!$AS$6:$FZ$57,MATCH($E874,'Summary Data'!$C$6:$C$57,0),MATCH($C874,'Summary Data'!$AS$3:$FZ$3,0)+1)</f>
        <v>0</v>
      </c>
      <c r="J874" s="4002" t="str">
        <f t="shared" ca="1" si="308"/>
        <v>N</v>
      </c>
      <c r="K874" s="3114" t="s">
        <v>3176</v>
      </c>
      <c r="L874" s="313"/>
      <c r="M874" s="313"/>
      <c r="N874" s="391"/>
      <c r="O874" s="313"/>
      <c r="P874" s="313"/>
      <c r="Q874" s="313"/>
      <c r="R874" s="313"/>
      <c r="S874" s="313"/>
    </row>
    <row r="875" spans="1:19" ht="16.899999999999999" hidden="1" customHeight="1" outlineLevel="1">
      <c r="A875" s="1269"/>
      <c r="B875" s="1752" t="s">
        <v>159</v>
      </c>
      <c r="C875" s="1720" t="s">
        <v>3500</v>
      </c>
      <c r="D875" s="1759">
        <f t="shared" si="311"/>
        <v>119</v>
      </c>
      <c r="E875" s="1761" t="str">
        <f t="shared" ca="1" si="309"/>
        <v>N</v>
      </c>
      <c r="F875" s="1591" t="str">
        <f t="shared" ca="1" si="310"/>
        <v>N</v>
      </c>
      <c r="G875" s="1591">
        <f ca="1">INDEX('Summary Data'!$AS$6:$FZ$57,MATCH($E875,'Summary Data'!$C$6:$C$57,0),MATCH($C875,'Summary Data'!$AS$3:$FZ$3,0))</f>
        <v>0</v>
      </c>
      <c r="H875" s="1592" t="s">
        <v>5</v>
      </c>
      <c r="I875" s="1591">
        <f ca="1">INDEX('Summary Data'!$AS$6:$FZ$57,MATCH($E875,'Summary Data'!$C$6:$C$57,0),MATCH($C875,'Summary Data'!$AS$3:$FZ$3,0)+1)</f>
        <v>0</v>
      </c>
      <c r="J875" s="4002" t="str">
        <f t="shared" ca="1" si="308"/>
        <v>N</v>
      </c>
      <c r="K875" s="3114" t="s">
        <v>3176</v>
      </c>
      <c r="L875" s="313"/>
      <c r="M875" s="313"/>
      <c r="N875" s="391"/>
      <c r="O875" s="313"/>
      <c r="P875" s="313"/>
      <c r="Q875" s="313"/>
      <c r="R875" s="313"/>
      <c r="S875" s="313"/>
    </row>
    <row r="876" spans="1:19" ht="16.899999999999999" hidden="1" customHeight="1" outlineLevel="1">
      <c r="A876" s="1269"/>
      <c r="B876" s="1752" t="s">
        <v>159</v>
      </c>
      <c r="C876" s="1720" t="s">
        <v>3500</v>
      </c>
      <c r="D876" s="1759">
        <f t="shared" si="311"/>
        <v>136</v>
      </c>
      <c r="E876" s="1761" t="str">
        <f t="shared" ca="1" si="309"/>
        <v>N</v>
      </c>
      <c r="F876" s="1591" t="str">
        <f t="shared" ca="1" si="310"/>
        <v>N</v>
      </c>
      <c r="G876" s="1591">
        <f ca="1">INDEX('Summary Data'!$AS$6:$FZ$57,MATCH($E876,'Summary Data'!$C$6:$C$57,0),MATCH($C876,'Summary Data'!$AS$3:$FZ$3,0))</f>
        <v>0</v>
      </c>
      <c r="H876" s="1592" t="s">
        <v>5</v>
      </c>
      <c r="I876" s="1591">
        <f ca="1">INDEX('Summary Data'!$AS$6:$FZ$57,MATCH($E876,'Summary Data'!$C$6:$C$57,0),MATCH($C876,'Summary Data'!$AS$3:$FZ$3,0)+1)</f>
        <v>0</v>
      </c>
      <c r="J876" s="4002" t="str">
        <f t="shared" ca="1" si="308"/>
        <v>N</v>
      </c>
      <c r="K876" s="3114" t="s">
        <v>3176</v>
      </c>
      <c r="L876" s="313"/>
      <c r="M876" s="313"/>
      <c r="N876" s="391"/>
      <c r="O876" s="313"/>
      <c r="P876" s="313"/>
      <c r="Q876" s="313"/>
      <c r="R876" s="313"/>
      <c r="S876" s="313"/>
    </row>
    <row r="877" spans="1:19" ht="16.899999999999999" hidden="1" customHeight="1" outlineLevel="1">
      <c r="A877" s="1269"/>
      <c r="B877" s="1752" t="s">
        <v>159</v>
      </c>
      <c r="C877" s="1720" t="s">
        <v>3500</v>
      </c>
      <c r="D877" s="1759">
        <f t="shared" si="311"/>
        <v>153</v>
      </c>
      <c r="E877" s="1761" t="str">
        <f t="shared" ca="1" si="309"/>
        <v>N</v>
      </c>
      <c r="F877" s="1591" t="str">
        <f t="shared" ca="1" si="310"/>
        <v>N</v>
      </c>
      <c r="G877" s="1591">
        <f ca="1">INDEX('Summary Data'!$AS$6:$FZ$57,MATCH($E877,'Summary Data'!$C$6:$C$57,0),MATCH($C877,'Summary Data'!$AS$3:$FZ$3,0))</f>
        <v>0</v>
      </c>
      <c r="H877" s="1592" t="s">
        <v>5</v>
      </c>
      <c r="I877" s="1591">
        <f ca="1">INDEX('Summary Data'!$AS$6:$FZ$57,MATCH($E877,'Summary Data'!$C$6:$C$57,0),MATCH($C877,'Summary Data'!$AS$3:$FZ$3,0)+1)</f>
        <v>0</v>
      </c>
      <c r="J877" s="4002" t="str">
        <f t="shared" ca="1" si="308"/>
        <v>N</v>
      </c>
      <c r="K877" s="3114" t="s">
        <v>3176</v>
      </c>
      <c r="L877" s="313"/>
      <c r="M877" s="313"/>
      <c r="N877" s="391"/>
      <c r="O877" s="313"/>
      <c r="P877" s="313"/>
      <c r="Q877" s="313"/>
      <c r="R877" s="313"/>
      <c r="S877" s="313"/>
    </row>
    <row r="878" spans="1:19" ht="16.899999999999999" hidden="1" customHeight="1" outlineLevel="1">
      <c r="A878" s="1269"/>
      <c r="B878" s="1752" t="s">
        <v>159</v>
      </c>
      <c r="C878" s="1720" t="s">
        <v>3500</v>
      </c>
      <c r="D878" s="1759">
        <f t="shared" si="311"/>
        <v>170</v>
      </c>
      <c r="E878" s="1761" t="str">
        <f t="shared" ca="1" si="309"/>
        <v>N</v>
      </c>
      <c r="F878" s="1591" t="str">
        <f t="shared" ca="1" si="310"/>
        <v>N</v>
      </c>
      <c r="G878" s="1591">
        <f ca="1">INDEX('Summary Data'!$AS$6:$FZ$57,MATCH($E878,'Summary Data'!$C$6:$C$57,0),MATCH($C878,'Summary Data'!$AS$3:$FZ$3,0))</f>
        <v>0</v>
      </c>
      <c r="H878" s="1592" t="s">
        <v>5</v>
      </c>
      <c r="I878" s="1591">
        <f ca="1">INDEX('Summary Data'!$AS$6:$FZ$57,MATCH($E878,'Summary Data'!$C$6:$C$57,0),MATCH($C878,'Summary Data'!$AS$3:$FZ$3,0)+1)</f>
        <v>0</v>
      </c>
      <c r="J878" s="4002" t="str">
        <f t="shared" ca="1" si="308"/>
        <v>N</v>
      </c>
      <c r="K878" s="3114" t="s">
        <v>3176</v>
      </c>
      <c r="L878" s="313"/>
      <c r="M878" s="313"/>
      <c r="N878" s="391"/>
      <c r="O878" s="313"/>
      <c r="P878" s="313"/>
      <c r="Q878" s="313"/>
      <c r="R878" s="313"/>
      <c r="S878" s="313"/>
    </row>
    <row r="879" spans="1:19" ht="16.899999999999999" hidden="1" customHeight="1" outlineLevel="1">
      <c r="A879" s="1269"/>
      <c r="B879" s="1752" t="s">
        <v>159</v>
      </c>
      <c r="C879" s="1720" t="s">
        <v>3500</v>
      </c>
      <c r="D879" s="1759">
        <f t="shared" si="311"/>
        <v>187</v>
      </c>
      <c r="E879" s="1761" t="str">
        <f t="shared" ca="1" si="309"/>
        <v>N</v>
      </c>
      <c r="F879" s="1591" t="str">
        <f t="shared" ca="1" si="310"/>
        <v>N</v>
      </c>
      <c r="G879" s="1591">
        <f ca="1">INDEX('Summary Data'!$AS$6:$FZ$57,MATCH($E879,'Summary Data'!$C$6:$C$57,0),MATCH($C879,'Summary Data'!$AS$3:$FZ$3,0))</f>
        <v>0</v>
      </c>
      <c r="H879" s="1592" t="s">
        <v>5</v>
      </c>
      <c r="I879" s="1591">
        <f ca="1">INDEX('Summary Data'!$AS$6:$FZ$57,MATCH($E879,'Summary Data'!$C$6:$C$57,0),MATCH($C879,'Summary Data'!$AS$3:$FZ$3,0)+1)</f>
        <v>0</v>
      </c>
      <c r="J879" s="4002" t="str">
        <f t="shared" ca="1" si="308"/>
        <v>N</v>
      </c>
      <c r="K879" s="3114" t="s">
        <v>3176</v>
      </c>
      <c r="L879" s="313"/>
      <c r="M879" s="313"/>
      <c r="N879" s="391"/>
      <c r="O879" s="313"/>
      <c r="P879" s="313"/>
      <c r="Q879" s="313"/>
      <c r="R879" s="313"/>
      <c r="S879" s="313"/>
    </row>
    <row r="880" spans="1:19" ht="16.899999999999999" hidden="1" customHeight="1" outlineLevel="1">
      <c r="A880" s="1269"/>
      <c r="B880" s="1752" t="s">
        <v>159</v>
      </c>
      <c r="C880" s="1720" t="s">
        <v>3500</v>
      </c>
      <c r="D880" s="1759">
        <f t="shared" si="311"/>
        <v>204</v>
      </c>
      <c r="E880" s="1761" t="str">
        <f t="shared" ca="1" si="309"/>
        <v>N</v>
      </c>
      <c r="F880" s="1591" t="str">
        <f t="shared" ca="1" si="310"/>
        <v>N</v>
      </c>
      <c r="G880" s="1591">
        <f ca="1">INDEX('Summary Data'!$AS$6:$FZ$57,MATCH($E880,'Summary Data'!$C$6:$C$57,0),MATCH($C880,'Summary Data'!$AS$3:$FZ$3,0))</f>
        <v>0</v>
      </c>
      <c r="H880" s="1592" t="s">
        <v>5</v>
      </c>
      <c r="I880" s="1591">
        <f ca="1">INDEX('Summary Data'!$AS$6:$FZ$57,MATCH($E880,'Summary Data'!$C$6:$C$57,0),MATCH($C880,'Summary Data'!$AS$3:$FZ$3,0)+1)</f>
        <v>0</v>
      </c>
      <c r="J880" s="4002" t="str">
        <f t="shared" ca="1" si="308"/>
        <v>N</v>
      </c>
      <c r="K880" s="3114" t="s">
        <v>3176</v>
      </c>
      <c r="L880" s="313"/>
      <c r="M880" s="313"/>
      <c r="N880" s="391"/>
      <c r="O880" s="313"/>
      <c r="P880" s="313"/>
      <c r="Q880" s="313"/>
      <c r="R880" s="313"/>
      <c r="S880" s="313"/>
    </row>
    <row r="881" spans="1:19" ht="16.899999999999999" hidden="1" customHeight="1" outlineLevel="1">
      <c r="A881" s="1269"/>
      <c r="B881" s="1752" t="s">
        <v>159</v>
      </c>
      <c r="C881" s="1720" t="s">
        <v>3500</v>
      </c>
      <c r="D881" s="1759">
        <f t="shared" si="311"/>
        <v>221</v>
      </c>
      <c r="E881" s="1761" t="str">
        <f t="shared" ca="1" si="309"/>
        <v>1st</v>
      </c>
      <c r="F881" s="1591" t="str">
        <f t="shared" ca="1" si="310"/>
        <v>N</v>
      </c>
      <c r="G881" s="1591">
        <f ca="1">INDEX('Summary Data'!$AS$6:$FZ$57,MATCH($E881,'Summary Data'!$C$6:$C$57,0),MATCH($C881,'Summary Data'!$AS$3:$FZ$3,0))</f>
        <v>0</v>
      </c>
      <c r="H881" s="1592" t="s">
        <v>5</v>
      </c>
      <c r="I881" s="1591">
        <f ca="1">INDEX('Summary Data'!$AS$6:$FZ$57,MATCH($E881,'Summary Data'!$C$6:$C$57,0),MATCH($C881,'Summary Data'!$AS$3:$FZ$3,0)+1)</f>
        <v>0</v>
      </c>
      <c r="J881" s="4002" t="str">
        <f t="shared" ca="1" si="308"/>
        <v>N</v>
      </c>
      <c r="K881" s="3114" t="s">
        <v>3176</v>
      </c>
      <c r="L881" s="313"/>
      <c r="M881" s="313"/>
      <c r="N881" s="391"/>
      <c r="O881" s="313"/>
      <c r="P881" s="313"/>
      <c r="Q881" s="313"/>
      <c r="R881" s="313"/>
      <c r="S881" s="313"/>
    </row>
    <row r="882" spans="1:19" ht="16.899999999999999" hidden="1" customHeight="1" outlineLevel="1">
      <c r="A882" s="1269"/>
      <c r="B882" s="1752" t="s">
        <v>159</v>
      </c>
      <c r="C882" s="1720" t="s">
        <v>3500</v>
      </c>
      <c r="D882" s="1759">
        <f t="shared" si="311"/>
        <v>238</v>
      </c>
      <c r="E882" s="1761" t="str">
        <f t="shared" ca="1" si="309"/>
        <v>1st</v>
      </c>
      <c r="F882" s="1591" t="str">
        <f t="shared" ca="1" si="310"/>
        <v>N</v>
      </c>
      <c r="G882" s="1591">
        <f ca="1">INDEX('Summary Data'!$AS$6:$FZ$57,MATCH($E882,'Summary Data'!$C$6:$C$57,0),MATCH($C882,'Summary Data'!$AS$3:$FZ$3,0))</f>
        <v>0</v>
      </c>
      <c r="H882" s="1592" t="s">
        <v>5</v>
      </c>
      <c r="I882" s="1591">
        <f ca="1">INDEX('Summary Data'!$AS$6:$FZ$57,MATCH($E882,'Summary Data'!$C$6:$C$57,0),MATCH($C882,'Summary Data'!$AS$3:$FZ$3,0)+1)</f>
        <v>0</v>
      </c>
      <c r="J882" s="4002" t="str">
        <f t="shared" ca="1" si="308"/>
        <v>N</v>
      </c>
      <c r="K882" s="3114" t="s">
        <v>3176</v>
      </c>
      <c r="L882" s="313"/>
      <c r="M882" s="313"/>
      <c r="N882" s="391"/>
      <c r="O882" s="313"/>
      <c r="P882" s="313"/>
      <c r="Q882" s="313"/>
      <c r="R882" s="313"/>
      <c r="S882" s="313"/>
    </row>
    <row r="883" spans="1:19" ht="16.899999999999999" hidden="1" customHeight="1" outlineLevel="1">
      <c r="A883" s="313"/>
      <c r="B883" s="1752" t="s">
        <v>159</v>
      </c>
      <c r="C883" s="1720" t="s">
        <v>599</v>
      </c>
      <c r="D883" s="1721"/>
      <c r="E883" s="1722"/>
      <c r="F883" s="1591" t="s">
        <v>106</v>
      </c>
      <c r="G883" s="1591"/>
      <c r="H883" s="1592" t="s">
        <v>190</v>
      </c>
      <c r="I883" s="1591"/>
      <c r="J883" s="4002" t="str">
        <f t="shared" si="308"/>
        <v>N</v>
      </c>
      <c r="K883" s="3114" t="s">
        <v>3176</v>
      </c>
      <c r="M883" s="391"/>
      <c r="N883" s="391"/>
      <c r="O883" s="313"/>
      <c r="P883" s="313"/>
      <c r="Q883" s="313"/>
      <c r="R883" s="313"/>
      <c r="S883" s="313"/>
    </row>
    <row r="884" spans="1:19" ht="16.899999999999999" hidden="1" customHeight="1" outlineLevel="1">
      <c r="A884" s="313"/>
      <c r="B884" s="1752" t="s">
        <v>159</v>
      </c>
      <c r="C884" s="1720" t="s">
        <v>599</v>
      </c>
      <c r="D884" s="1721"/>
      <c r="E884" s="1722"/>
      <c r="F884" s="1591" t="s">
        <v>106</v>
      </c>
      <c r="G884" s="1591"/>
      <c r="H884" s="1592" t="s">
        <v>190</v>
      </c>
      <c r="I884" s="1591"/>
      <c r="J884" s="4002" t="str">
        <f t="shared" si="308"/>
        <v>N</v>
      </c>
      <c r="K884" s="3114" t="s">
        <v>3176</v>
      </c>
      <c r="M884" s="391"/>
      <c r="N884" s="391"/>
      <c r="O884" s="313"/>
      <c r="P884" s="313"/>
      <c r="Q884" s="313"/>
      <c r="R884" s="313"/>
      <c r="S884" s="313"/>
    </row>
    <row r="885" spans="1:19" ht="16.899999999999999" hidden="1" customHeight="1" outlineLevel="1">
      <c r="A885" s="313"/>
      <c r="B885" s="1752" t="s">
        <v>159</v>
      </c>
      <c r="C885" s="1720" t="s">
        <v>599</v>
      </c>
      <c r="D885" s="1721"/>
      <c r="E885" s="1722"/>
      <c r="F885" s="1591" t="s">
        <v>106</v>
      </c>
      <c r="G885" s="1591"/>
      <c r="H885" s="1592" t="s">
        <v>190</v>
      </c>
      <c r="I885" s="1591"/>
      <c r="J885" s="4002" t="str">
        <f t="shared" si="308"/>
        <v>N</v>
      </c>
      <c r="K885" s="3114" t="s">
        <v>3176</v>
      </c>
      <c r="M885" s="391"/>
      <c r="N885" s="391"/>
      <c r="O885" s="313"/>
      <c r="P885" s="313"/>
      <c r="Q885" s="313"/>
      <c r="R885" s="313"/>
      <c r="S885" s="313"/>
    </row>
    <row r="886" spans="1:19" ht="16.899999999999999" hidden="1" customHeight="1" outlineLevel="1">
      <c r="A886" s="313"/>
      <c r="B886" s="1752" t="s">
        <v>159</v>
      </c>
      <c r="C886" s="1720" t="s">
        <v>600</v>
      </c>
      <c r="D886" s="1721"/>
      <c r="E886" s="1722"/>
      <c r="F886" s="1591" t="s">
        <v>106</v>
      </c>
      <c r="G886" s="1591"/>
      <c r="H886" s="1592" t="s">
        <v>190</v>
      </c>
      <c r="I886" s="1591"/>
      <c r="J886" s="4002" t="str">
        <f t="shared" si="308"/>
        <v>N</v>
      </c>
      <c r="K886" s="3114" t="s">
        <v>3176</v>
      </c>
      <c r="M886" s="391"/>
      <c r="N886" s="391"/>
      <c r="O886" s="313"/>
      <c r="P886" s="313"/>
      <c r="Q886" s="313"/>
      <c r="R886" s="313"/>
      <c r="S886" s="313"/>
    </row>
    <row r="887" spans="1:19" ht="16.899999999999999" hidden="1" customHeight="1" outlineLevel="1">
      <c r="A887" s="313"/>
      <c r="B887" s="1752" t="s">
        <v>159</v>
      </c>
      <c r="C887" s="1720" t="s">
        <v>600</v>
      </c>
      <c r="D887" s="1721"/>
      <c r="E887" s="1722"/>
      <c r="F887" s="1591" t="s">
        <v>106</v>
      </c>
      <c r="G887" s="1591"/>
      <c r="H887" s="1592" t="s">
        <v>190</v>
      </c>
      <c r="I887" s="1591"/>
      <c r="J887" s="4002" t="str">
        <f t="shared" si="308"/>
        <v>N</v>
      </c>
      <c r="K887" s="3114" t="s">
        <v>3176</v>
      </c>
      <c r="M887" s="391"/>
      <c r="N887" s="391"/>
      <c r="O887" s="313"/>
      <c r="P887" s="313"/>
      <c r="Q887" s="313"/>
      <c r="R887" s="313"/>
      <c r="S887" s="313"/>
    </row>
    <row r="888" spans="1:19" ht="16.899999999999999" hidden="1" customHeight="1" outlineLevel="1">
      <c r="A888" s="313"/>
      <c r="B888" s="1752" t="s">
        <v>159</v>
      </c>
      <c r="C888" s="1720" t="s">
        <v>600</v>
      </c>
      <c r="D888" s="1721"/>
      <c r="E888" s="1722"/>
      <c r="F888" s="1591" t="s">
        <v>106</v>
      </c>
      <c r="G888" s="1591"/>
      <c r="H888" s="1592" t="s">
        <v>190</v>
      </c>
      <c r="I888" s="1591"/>
      <c r="J888" s="4002" t="str">
        <f t="shared" si="308"/>
        <v>N</v>
      </c>
      <c r="K888" s="3114" t="s">
        <v>3176</v>
      </c>
      <c r="M888" s="391"/>
      <c r="N888" s="391"/>
      <c r="O888" s="313"/>
      <c r="P888" s="313"/>
      <c r="Q888" s="313"/>
      <c r="R888" s="313"/>
      <c r="S888" s="313"/>
    </row>
    <row r="889" spans="1:19" ht="16.899999999999999" hidden="1" customHeight="1" outlineLevel="1">
      <c r="A889" s="313"/>
      <c r="B889" s="1752" t="s">
        <v>159</v>
      </c>
      <c r="C889" s="1720" t="s">
        <v>601</v>
      </c>
      <c r="D889" s="1721"/>
      <c r="E889" s="1722"/>
      <c r="F889" s="1591" t="s">
        <v>106</v>
      </c>
      <c r="G889" s="1591"/>
      <c r="H889" s="1592" t="s">
        <v>190</v>
      </c>
      <c r="I889" s="1591"/>
      <c r="J889" s="4002" t="str">
        <f t="shared" si="308"/>
        <v>N</v>
      </c>
      <c r="K889" s="3114" t="s">
        <v>3176</v>
      </c>
      <c r="M889" s="391"/>
      <c r="N889" s="391"/>
      <c r="O889" s="313"/>
      <c r="P889" s="313"/>
      <c r="Q889" s="313"/>
      <c r="R889" s="313"/>
      <c r="S889" s="313"/>
    </row>
    <row r="890" spans="1:19" ht="16.899999999999999" hidden="1" customHeight="1" outlineLevel="1">
      <c r="A890" s="313"/>
      <c r="B890" s="1752" t="s">
        <v>159</v>
      </c>
      <c r="C890" s="1720" t="s">
        <v>601</v>
      </c>
      <c r="D890" s="1721"/>
      <c r="E890" s="1722"/>
      <c r="F890" s="1591" t="s">
        <v>106</v>
      </c>
      <c r="G890" s="1591"/>
      <c r="H890" s="1592" t="s">
        <v>190</v>
      </c>
      <c r="I890" s="1591"/>
      <c r="J890" s="4002" t="str">
        <f t="shared" si="308"/>
        <v>N</v>
      </c>
      <c r="K890" s="3114" t="s">
        <v>3176</v>
      </c>
      <c r="M890" s="391"/>
      <c r="N890" s="391"/>
      <c r="O890" s="313"/>
      <c r="P890" s="313"/>
      <c r="Q890" s="313"/>
      <c r="R890" s="313"/>
      <c r="S890" s="313"/>
    </row>
    <row r="891" spans="1:19" ht="16.899999999999999" hidden="1" customHeight="1" outlineLevel="1">
      <c r="A891" s="313"/>
      <c r="B891" s="1752" t="s">
        <v>159</v>
      </c>
      <c r="C891" s="1720" t="s">
        <v>601</v>
      </c>
      <c r="D891" s="1721"/>
      <c r="E891" s="1722"/>
      <c r="F891" s="1591" t="s">
        <v>106</v>
      </c>
      <c r="G891" s="1591"/>
      <c r="H891" s="1592" t="s">
        <v>190</v>
      </c>
      <c r="I891" s="1591"/>
      <c r="J891" s="4002" t="str">
        <f t="shared" si="308"/>
        <v>N</v>
      </c>
      <c r="K891" s="3114" t="s">
        <v>3176</v>
      </c>
      <c r="M891" s="391"/>
      <c r="N891" s="391"/>
      <c r="O891" s="313"/>
      <c r="P891" s="313"/>
      <c r="Q891" s="313"/>
      <c r="R891" s="313"/>
      <c r="S891" s="313"/>
    </row>
    <row r="892" spans="1:19" ht="16.899999999999999" hidden="1" customHeight="1" outlineLevel="1">
      <c r="A892" s="313"/>
      <c r="B892" s="1752" t="s">
        <v>159</v>
      </c>
      <c r="C892" s="1720" t="s">
        <v>218</v>
      </c>
      <c r="D892" s="1721"/>
      <c r="E892" s="1722"/>
      <c r="F892" s="1591" t="s">
        <v>106</v>
      </c>
      <c r="G892" s="1591"/>
      <c r="H892" s="1592" t="s">
        <v>31</v>
      </c>
      <c r="I892" s="1591"/>
      <c r="J892" s="4002" t="str">
        <f t="shared" si="308"/>
        <v>N</v>
      </c>
      <c r="K892" s="3114" t="s">
        <v>3176</v>
      </c>
      <c r="M892" s="391"/>
      <c r="N892" s="391"/>
      <c r="O892" s="313"/>
      <c r="P892" s="313"/>
      <c r="Q892" s="313"/>
      <c r="R892" s="313"/>
      <c r="S892" s="313"/>
    </row>
    <row r="893" spans="1:19" ht="16.899999999999999" hidden="1" customHeight="1" outlineLevel="1">
      <c r="A893" s="313"/>
      <c r="B893" s="1752" t="s">
        <v>159</v>
      </c>
      <c r="C893" s="1720" t="s">
        <v>602</v>
      </c>
      <c r="D893" s="1721"/>
      <c r="E893" s="1722"/>
      <c r="F893" s="1591" t="s">
        <v>106</v>
      </c>
      <c r="G893" s="1591"/>
      <c r="H893" s="1592" t="s">
        <v>31</v>
      </c>
      <c r="I893" s="1591"/>
      <c r="J893" s="4002" t="str">
        <f t="shared" si="308"/>
        <v>N</v>
      </c>
      <c r="K893" s="3114" t="s">
        <v>3176</v>
      </c>
      <c r="M893" s="391"/>
      <c r="N893" s="391"/>
      <c r="O893" s="313"/>
      <c r="P893" s="313"/>
      <c r="Q893" s="313"/>
      <c r="R893" s="313"/>
      <c r="S893" s="313"/>
    </row>
    <row r="894" spans="1:19" ht="16.899999999999999" hidden="1" customHeight="1" outlineLevel="1">
      <c r="A894" s="313"/>
      <c r="B894" s="1752" t="s">
        <v>159</v>
      </c>
      <c r="C894" s="1720" t="s">
        <v>314</v>
      </c>
      <c r="D894" s="1721"/>
      <c r="E894" s="1722"/>
      <c r="F894" s="1591" t="s">
        <v>106</v>
      </c>
      <c r="G894" s="1591"/>
      <c r="H894" s="1592" t="s">
        <v>31</v>
      </c>
      <c r="I894" s="1591"/>
      <c r="J894" s="4002" t="str">
        <f t="shared" si="308"/>
        <v>N</v>
      </c>
      <c r="K894" s="3114" t="s">
        <v>3176</v>
      </c>
      <c r="M894" s="391"/>
      <c r="N894" s="391"/>
      <c r="O894" s="313"/>
      <c r="P894" s="313"/>
      <c r="Q894" s="313"/>
      <c r="R894" s="313"/>
      <c r="S894" s="313"/>
    </row>
    <row r="895" spans="1:19" ht="16.899999999999999" hidden="1" customHeight="1" outlineLevel="1">
      <c r="A895" s="313"/>
      <c r="B895" s="1752" t="s">
        <v>159</v>
      </c>
      <c r="C895" s="1720" t="s">
        <v>527</v>
      </c>
      <c r="D895" s="1721"/>
      <c r="E895" s="1722"/>
      <c r="F895" s="1591" t="s">
        <v>106</v>
      </c>
      <c r="G895" s="1591"/>
      <c r="H895" s="1592" t="s">
        <v>31</v>
      </c>
      <c r="I895" s="1591"/>
      <c r="J895" s="4002" t="str">
        <f t="shared" si="308"/>
        <v>N</v>
      </c>
      <c r="K895" s="3114" t="s">
        <v>3176</v>
      </c>
      <c r="M895" s="391"/>
      <c r="N895" s="391"/>
      <c r="O895" s="313"/>
      <c r="P895" s="313"/>
      <c r="Q895" s="313"/>
      <c r="R895" s="313"/>
      <c r="S895" s="313"/>
    </row>
    <row r="896" spans="1:19" ht="16.899999999999999" hidden="1" customHeight="1" outlineLevel="1">
      <c r="A896" s="313"/>
      <c r="B896" s="1752" t="s">
        <v>159</v>
      </c>
      <c r="C896" s="1720" t="s">
        <v>603</v>
      </c>
      <c r="D896" s="1721"/>
      <c r="E896" s="1722"/>
      <c r="F896" s="1591" t="s">
        <v>106</v>
      </c>
      <c r="G896" s="1591"/>
      <c r="H896" s="1592" t="s">
        <v>31</v>
      </c>
      <c r="I896" s="1591"/>
      <c r="J896" s="4002" t="str">
        <f t="shared" si="308"/>
        <v>N</v>
      </c>
      <c r="K896" s="3114" t="s">
        <v>3176</v>
      </c>
      <c r="M896" s="391"/>
      <c r="N896" s="391"/>
      <c r="O896" s="313"/>
      <c r="P896" s="313"/>
      <c r="Q896" s="313"/>
      <c r="R896" s="313"/>
      <c r="S896" s="313"/>
    </row>
    <row r="897" spans="1:19" ht="16.899999999999999" hidden="1" customHeight="1" outlineLevel="1">
      <c r="A897" s="313"/>
      <c r="B897" s="1752" t="s">
        <v>159</v>
      </c>
      <c r="C897" s="1720" t="s">
        <v>603</v>
      </c>
      <c r="D897" s="1721"/>
      <c r="E897" s="1722"/>
      <c r="F897" s="1591" t="s">
        <v>106</v>
      </c>
      <c r="G897" s="1591"/>
      <c r="H897" s="1592" t="s">
        <v>31</v>
      </c>
      <c r="I897" s="1591"/>
      <c r="J897" s="4002" t="str">
        <f t="shared" si="308"/>
        <v>N</v>
      </c>
      <c r="K897" s="3114" t="s">
        <v>3176</v>
      </c>
      <c r="M897" s="391"/>
      <c r="N897" s="391"/>
      <c r="O897" s="313"/>
      <c r="P897" s="313"/>
      <c r="Q897" s="313"/>
      <c r="R897" s="313"/>
      <c r="S897" s="313"/>
    </row>
    <row r="898" spans="1:19" ht="16.899999999999999" hidden="1" customHeight="1" outlineLevel="1">
      <c r="A898" s="313"/>
      <c r="B898" s="1752" t="s">
        <v>159</v>
      </c>
      <c r="C898" s="1720" t="s">
        <v>604</v>
      </c>
      <c r="D898" s="1721"/>
      <c r="E898" s="1722"/>
      <c r="F898" s="1591" t="s">
        <v>106</v>
      </c>
      <c r="G898" s="1591"/>
      <c r="H898" s="1592" t="s">
        <v>31</v>
      </c>
      <c r="I898" s="1591"/>
      <c r="J898" s="4002" t="str">
        <f t="shared" si="308"/>
        <v>N</v>
      </c>
      <c r="K898" s="3114" t="s">
        <v>3176</v>
      </c>
      <c r="M898" s="391"/>
      <c r="N898" s="391"/>
      <c r="O898" s="313"/>
      <c r="P898" s="313"/>
      <c r="Q898" s="313"/>
      <c r="R898" s="313"/>
      <c r="S898" s="313"/>
    </row>
    <row r="899" spans="1:19" ht="16.899999999999999" hidden="1" customHeight="1" outlineLevel="1">
      <c r="A899" s="313"/>
      <c r="B899" s="1752" t="s">
        <v>159</v>
      </c>
      <c r="C899" s="1720" t="s">
        <v>604</v>
      </c>
      <c r="D899" s="1721"/>
      <c r="E899" s="1722"/>
      <c r="F899" s="1591" t="s">
        <v>106</v>
      </c>
      <c r="G899" s="1591"/>
      <c r="H899" s="1592" t="s">
        <v>31</v>
      </c>
      <c r="I899" s="1591"/>
      <c r="J899" s="4002" t="str">
        <f t="shared" si="308"/>
        <v>N</v>
      </c>
      <c r="K899" s="3114" t="s">
        <v>3176</v>
      </c>
      <c r="M899" s="391"/>
      <c r="N899" s="391"/>
      <c r="O899" s="313"/>
      <c r="P899" s="313"/>
      <c r="Q899" s="313"/>
      <c r="R899" s="313"/>
      <c r="S899" s="313"/>
    </row>
    <row r="900" spans="1:19" ht="16.899999999999999" hidden="1" customHeight="1" outlineLevel="1">
      <c r="A900" s="313"/>
      <c r="B900" s="1752" t="s">
        <v>159</v>
      </c>
      <c r="C900" s="1720" t="s">
        <v>523</v>
      </c>
      <c r="D900" s="1721"/>
      <c r="E900" s="1722"/>
      <c r="F900" s="1591" t="s">
        <v>106</v>
      </c>
      <c r="G900" s="1591"/>
      <c r="H900" s="1592" t="s">
        <v>31</v>
      </c>
      <c r="I900" s="1591"/>
      <c r="J900" s="4002" t="str">
        <f t="shared" si="308"/>
        <v>N</v>
      </c>
      <c r="K900" s="3114" t="s">
        <v>3176</v>
      </c>
      <c r="M900" s="391"/>
      <c r="N900" s="391"/>
      <c r="O900" s="313"/>
      <c r="P900" s="313"/>
      <c r="Q900" s="313"/>
      <c r="R900" s="313"/>
      <c r="S900" s="313"/>
    </row>
    <row r="901" spans="1:19" ht="16.899999999999999" hidden="1" customHeight="1" outlineLevel="1">
      <c r="A901" s="313"/>
      <c r="B901" s="1752" t="s">
        <v>159</v>
      </c>
      <c r="C901" s="1720" t="s">
        <v>523</v>
      </c>
      <c r="D901" s="1721"/>
      <c r="E901" s="1722"/>
      <c r="F901" s="1591" t="s">
        <v>106</v>
      </c>
      <c r="G901" s="1591"/>
      <c r="H901" s="1592" t="s">
        <v>31</v>
      </c>
      <c r="I901" s="1591"/>
      <c r="J901" s="4002" t="str">
        <f t="shared" si="308"/>
        <v>N</v>
      </c>
      <c r="K901" s="3114" t="s">
        <v>3176</v>
      </c>
      <c r="M901" s="391"/>
      <c r="N901" s="391"/>
      <c r="O901" s="313"/>
      <c r="P901" s="313"/>
      <c r="Q901" s="313"/>
      <c r="R901" s="313"/>
      <c r="S901" s="313"/>
    </row>
    <row r="902" spans="1:19" ht="16.899999999999999" hidden="1" customHeight="1" outlineLevel="1">
      <c r="A902" s="313"/>
      <c r="B902" s="1752" t="s">
        <v>159</v>
      </c>
      <c r="C902" s="1720" t="s">
        <v>611</v>
      </c>
      <c r="D902" s="1721"/>
      <c r="E902" s="1722"/>
      <c r="F902" s="1591" t="s">
        <v>106</v>
      </c>
      <c r="G902" s="1591"/>
      <c r="H902" s="1592" t="s">
        <v>30</v>
      </c>
      <c r="I902" s="1591"/>
      <c r="J902" s="4002" t="str">
        <f t="shared" si="308"/>
        <v>N</v>
      </c>
      <c r="K902" s="3114" t="s">
        <v>3176</v>
      </c>
      <c r="M902" s="391"/>
      <c r="N902" s="391"/>
      <c r="O902" s="313"/>
      <c r="P902" s="313"/>
      <c r="Q902" s="313"/>
      <c r="R902" s="313"/>
      <c r="S902" s="313"/>
    </row>
    <row r="903" spans="1:19" ht="16.899999999999999" hidden="1" customHeight="1" outlineLevel="1">
      <c r="A903" s="313"/>
      <c r="B903" s="1752" t="s">
        <v>159</v>
      </c>
      <c r="C903" s="1720" t="s">
        <v>612</v>
      </c>
      <c r="D903" s="1721"/>
      <c r="E903" s="1722"/>
      <c r="F903" s="1591" t="s">
        <v>106</v>
      </c>
      <c r="G903" s="1591"/>
      <c r="H903" s="1592" t="s">
        <v>30</v>
      </c>
      <c r="I903" s="1591"/>
      <c r="J903" s="4002" t="str">
        <f t="shared" si="308"/>
        <v>N</v>
      </c>
      <c r="K903" s="3114" t="s">
        <v>3176</v>
      </c>
      <c r="M903" s="391"/>
      <c r="N903" s="391"/>
      <c r="O903" s="313"/>
      <c r="P903" s="313"/>
      <c r="Q903" s="313"/>
      <c r="R903" s="313"/>
      <c r="S903" s="313"/>
    </row>
    <row r="904" spans="1:19" ht="16.899999999999999" hidden="1" customHeight="1" outlineLevel="1">
      <c r="A904" s="313"/>
      <c r="B904" s="1752" t="s">
        <v>159</v>
      </c>
      <c r="C904" s="1046" t="s">
        <v>613</v>
      </c>
      <c r="E904" s="1597" t="s">
        <v>648</v>
      </c>
      <c r="F904" s="1591" t="s">
        <v>106</v>
      </c>
      <c r="G904" s="1591"/>
      <c r="H904" s="1592" t="s">
        <v>31</v>
      </c>
      <c r="I904" s="1591"/>
      <c r="J904" s="4002" t="str">
        <f t="shared" si="308"/>
        <v>N</v>
      </c>
      <c r="K904" s="3114" t="s">
        <v>3176</v>
      </c>
      <c r="M904" s="391"/>
      <c r="N904" s="391"/>
      <c r="O904" s="313"/>
      <c r="P904" s="313"/>
      <c r="Q904" s="313"/>
      <c r="R904" s="313"/>
      <c r="S904" s="313"/>
    </row>
    <row r="905" spans="1:19" ht="16.899999999999999" hidden="1" customHeight="1" outlineLevel="1">
      <c r="A905" s="313"/>
      <c r="B905" s="1752" t="s">
        <v>159</v>
      </c>
      <c r="C905" s="1720" t="s">
        <v>614</v>
      </c>
      <c r="D905" s="1721"/>
      <c r="E905" s="1722"/>
      <c r="F905" s="1591" t="s">
        <v>106</v>
      </c>
      <c r="G905" s="1591"/>
      <c r="H905" s="1592" t="s">
        <v>31</v>
      </c>
      <c r="I905" s="1591"/>
      <c r="J905" s="4002" t="str">
        <f t="shared" si="308"/>
        <v>N</v>
      </c>
      <c r="K905" s="3114" t="s">
        <v>3176</v>
      </c>
      <c r="M905" s="391"/>
      <c r="N905" s="391"/>
      <c r="O905" s="313"/>
      <c r="P905" s="313"/>
      <c r="Q905" s="313"/>
      <c r="R905" s="313"/>
      <c r="S905" s="313"/>
    </row>
    <row r="906" spans="1:19" ht="16.899999999999999" hidden="1" customHeight="1" outlineLevel="1">
      <c r="A906" s="313"/>
      <c r="B906" s="1752" t="s">
        <v>159</v>
      </c>
      <c r="C906" s="1720" t="s">
        <v>615</v>
      </c>
      <c r="D906" s="1721"/>
      <c r="E906" s="1722"/>
      <c r="F906" s="1591" t="s">
        <v>106</v>
      </c>
      <c r="G906" s="1591"/>
      <c r="H906" s="1592" t="s">
        <v>31</v>
      </c>
      <c r="I906" s="1591"/>
      <c r="J906" s="4002" t="str">
        <f t="shared" si="308"/>
        <v>N</v>
      </c>
      <c r="K906" s="3114" t="s">
        <v>3176</v>
      </c>
      <c r="M906" s="391"/>
      <c r="N906" s="391"/>
      <c r="O906" s="313"/>
      <c r="P906" s="313"/>
      <c r="Q906" s="313"/>
      <c r="R906" s="313"/>
      <c r="S906" s="313"/>
    </row>
    <row r="907" spans="1:19" ht="16.899999999999999" hidden="1" customHeight="1" outlineLevel="1">
      <c r="A907" s="313"/>
      <c r="B907" s="1752" t="s">
        <v>159</v>
      </c>
      <c r="C907" s="1720" t="s">
        <v>616</v>
      </c>
      <c r="D907" s="1721"/>
      <c r="E907" s="1722"/>
      <c r="F907" s="1591" t="s">
        <v>106</v>
      </c>
      <c r="G907" s="1591"/>
      <c r="H907" s="1592" t="s">
        <v>31</v>
      </c>
      <c r="I907" s="1591"/>
      <c r="J907" s="4002" t="str">
        <f t="shared" si="308"/>
        <v>N</v>
      </c>
      <c r="K907" s="3114" t="s">
        <v>3176</v>
      </c>
      <c r="M907" s="391"/>
      <c r="N907" s="391"/>
      <c r="O907" s="313"/>
      <c r="P907" s="313"/>
      <c r="Q907" s="313"/>
      <c r="R907" s="313"/>
      <c r="S907" s="313"/>
    </row>
    <row r="908" spans="1:19" ht="16.899999999999999" hidden="1" customHeight="1" outlineLevel="1">
      <c r="A908" s="313"/>
      <c r="B908" s="1752" t="s">
        <v>159</v>
      </c>
      <c r="C908" s="1720" t="s">
        <v>198</v>
      </c>
      <c r="D908" s="1721"/>
      <c r="E908" s="1722"/>
      <c r="F908" s="1591" t="s">
        <v>106</v>
      </c>
      <c r="G908" s="1591"/>
      <c r="H908" s="1592" t="s">
        <v>5</v>
      </c>
      <c r="I908" s="1591"/>
      <c r="J908" s="4002" t="str">
        <f t="shared" si="308"/>
        <v>N</v>
      </c>
      <c r="K908" s="3114" t="s">
        <v>3176</v>
      </c>
      <c r="M908" s="391"/>
      <c r="N908" s="391"/>
      <c r="O908" s="313"/>
      <c r="P908" s="313"/>
      <c r="Q908" s="313"/>
      <c r="R908" s="313"/>
      <c r="S908" s="313"/>
    </row>
    <row r="909" spans="1:19" ht="16.899999999999999" hidden="1" customHeight="1" outlineLevel="1">
      <c r="A909" s="313"/>
      <c r="B909" s="1752" t="s">
        <v>159</v>
      </c>
      <c r="C909" s="1720" t="s">
        <v>198</v>
      </c>
      <c r="D909" s="1721"/>
      <c r="E909" s="1722"/>
      <c r="F909" s="1591" t="s">
        <v>106</v>
      </c>
      <c r="G909" s="1591"/>
      <c r="H909" s="1592" t="s">
        <v>5</v>
      </c>
      <c r="I909" s="1591"/>
      <c r="J909" s="4002" t="str">
        <f t="shared" si="308"/>
        <v>N</v>
      </c>
      <c r="K909" s="3114" t="s">
        <v>3176</v>
      </c>
      <c r="M909" s="391"/>
      <c r="N909" s="391"/>
      <c r="O909" s="313"/>
      <c r="P909" s="313"/>
      <c r="Q909" s="313"/>
      <c r="R909" s="313"/>
      <c r="S909" s="313"/>
    </row>
    <row r="910" spans="1:19" ht="16.899999999999999" hidden="1" customHeight="1" outlineLevel="1">
      <c r="A910" s="313"/>
      <c r="B910" s="1752" t="s">
        <v>159</v>
      </c>
      <c r="C910" s="1720" t="s">
        <v>198</v>
      </c>
      <c r="D910" s="1721"/>
      <c r="E910" s="1722"/>
      <c r="F910" s="1591" t="s">
        <v>106</v>
      </c>
      <c r="G910" s="1591"/>
      <c r="H910" s="1592" t="s">
        <v>5</v>
      </c>
      <c r="I910" s="1591"/>
      <c r="J910" s="4002" t="str">
        <f t="shared" si="308"/>
        <v>N</v>
      </c>
      <c r="K910" s="3114" t="s">
        <v>3176</v>
      </c>
      <c r="M910" s="391"/>
      <c r="N910" s="391"/>
      <c r="O910" s="313"/>
      <c r="P910" s="313"/>
      <c r="Q910" s="313"/>
      <c r="R910" s="313"/>
      <c r="S910" s="313"/>
    </row>
    <row r="911" spans="1:19" ht="16.899999999999999" hidden="1" customHeight="1" outlineLevel="1">
      <c r="A911" s="313"/>
      <c r="B911" s="1752" t="s">
        <v>159</v>
      </c>
      <c r="C911" s="1720" t="s">
        <v>198</v>
      </c>
      <c r="D911" s="1721"/>
      <c r="E911" s="1722"/>
      <c r="F911" s="1591" t="s">
        <v>106</v>
      </c>
      <c r="G911" s="1591"/>
      <c r="H911" s="1592" t="s">
        <v>5</v>
      </c>
      <c r="I911" s="1591"/>
      <c r="J911" s="4002" t="str">
        <f t="shared" si="308"/>
        <v>N</v>
      </c>
      <c r="K911" s="3114" t="s">
        <v>3176</v>
      </c>
      <c r="M911" s="391"/>
      <c r="N911" s="391"/>
      <c r="O911" s="313"/>
      <c r="P911" s="313"/>
      <c r="Q911" s="313"/>
      <c r="R911" s="313"/>
      <c r="S911" s="313"/>
    </row>
    <row r="912" spans="1:19" ht="16.899999999999999" hidden="1" customHeight="1" outlineLevel="1">
      <c r="A912" s="313"/>
      <c r="B912" s="1752" t="s">
        <v>159</v>
      </c>
      <c r="C912" s="1720" t="s">
        <v>198</v>
      </c>
      <c r="D912" s="1721"/>
      <c r="E912" s="1722"/>
      <c r="F912" s="1591" t="s">
        <v>106</v>
      </c>
      <c r="G912" s="1591"/>
      <c r="H912" s="1592" t="s">
        <v>5</v>
      </c>
      <c r="I912" s="1591"/>
      <c r="J912" s="4002" t="str">
        <f t="shared" si="308"/>
        <v>N</v>
      </c>
      <c r="K912" s="3114" t="s">
        <v>3176</v>
      </c>
      <c r="M912" s="391"/>
      <c r="N912" s="391"/>
      <c r="O912" s="313"/>
      <c r="P912" s="313"/>
      <c r="Q912" s="313"/>
      <c r="R912" s="313"/>
      <c r="S912" s="313"/>
    </row>
    <row r="913" spans="1:19" ht="16.899999999999999" hidden="1" customHeight="1" outlineLevel="1">
      <c r="A913" s="313"/>
      <c r="B913" s="1752" t="s">
        <v>159</v>
      </c>
      <c r="C913" s="1720" t="s">
        <v>198</v>
      </c>
      <c r="D913" s="1721"/>
      <c r="E913" s="1722"/>
      <c r="F913" s="1591" t="s">
        <v>106</v>
      </c>
      <c r="G913" s="1591"/>
      <c r="H913" s="1592" t="s">
        <v>5</v>
      </c>
      <c r="I913" s="1591"/>
      <c r="J913" s="4002" t="str">
        <f t="shared" si="308"/>
        <v>N</v>
      </c>
      <c r="K913" s="3114" t="s">
        <v>3176</v>
      </c>
      <c r="M913" s="391"/>
      <c r="N913" s="391"/>
      <c r="O913" s="313"/>
      <c r="P913" s="313"/>
      <c r="Q913" s="313"/>
      <c r="R913" s="313"/>
      <c r="S913" s="313"/>
    </row>
    <row r="914" spans="1:19" ht="16.899999999999999" hidden="1" customHeight="1" outlineLevel="1">
      <c r="A914" s="313"/>
      <c r="B914" s="1752" t="s">
        <v>159</v>
      </c>
      <c r="C914" s="1720" t="s">
        <v>198</v>
      </c>
      <c r="D914" s="1721"/>
      <c r="E914" s="1722"/>
      <c r="F914" s="1591" t="s">
        <v>106</v>
      </c>
      <c r="G914" s="1591"/>
      <c r="H914" s="1592" t="s">
        <v>5</v>
      </c>
      <c r="I914" s="1591"/>
      <c r="J914" s="4002" t="str">
        <f t="shared" si="308"/>
        <v>N</v>
      </c>
      <c r="K914" s="3114" t="s">
        <v>3176</v>
      </c>
      <c r="M914" s="391"/>
      <c r="N914" s="391"/>
      <c r="O914" s="313"/>
      <c r="P914" s="313"/>
      <c r="Q914" s="313"/>
      <c r="R914" s="313"/>
      <c r="S914" s="313"/>
    </row>
    <row r="915" spans="1:19" ht="16.899999999999999" hidden="1" customHeight="1" outlineLevel="1">
      <c r="A915" s="313"/>
      <c r="B915" s="1752" t="s">
        <v>159</v>
      </c>
      <c r="C915" s="1720" t="s">
        <v>198</v>
      </c>
      <c r="D915" s="1721"/>
      <c r="E915" s="1722"/>
      <c r="F915" s="1591" t="s">
        <v>106</v>
      </c>
      <c r="G915" s="1591"/>
      <c r="H915" s="1592" t="s">
        <v>5</v>
      </c>
      <c r="I915" s="1591"/>
      <c r="J915" s="4002" t="str">
        <f t="shared" si="308"/>
        <v>N</v>
      </c>
      <c r="K915" s="3114" t="s">
        <v>3176</v>
      </c>
      <c r="M915" s="391"/>
      <c r="N915" s="391"/>
      <c r="O915" s="313"/>
      <c r="P915" s="313"/>
      <c r="Q915" s="313"/>
      <c r="R915" s="313"/>
      <c r="S915" s="313"/>
    </row>
    <row r="916" spans="1:19" ht="16.899999999999999" hidden="1" customHeight="1" outlineLevel="1">
      <c r="A916" s="313"/>
      <c r="B916" s="1752" t="s">
        <v>159</v>
      </c>
      <c r="C916" s="1720" t="s">
        <v>198</v>
      </c>
      <c r="D916" s="1721"/>
      <c r="E916" s="1722"/>
      <c r="F916" s="1591" t="s">
        <v>106</v>
      </c>
      <c r="G916" s="1591"/>
      <c r="H916" s="1592" t="s">
        <v>5</v>
      </c>
      <c r="I916" s="1591"/>
      <c r="J916" s="4002" t="str">
        <f t="shared" si="308"/>
        <v>N</v>
      </c>
      <c r="K916" s="3114" t="s">
        <v>3176</v>
      </c>
      <c r="M916" s="391"/>
      <c r="N916" s="391"/>
      <c r="O916" s="313"/>
      <c r="P916" s="313"/>
      <c r="Q916" s="313"/>
      <c r="R916" s="313"/>
      <c r="S916" s="313"/>
    </row>
    <row r="917" spans="1:19" ht="16.899999999999999" hidden="1" customHeight="1" outlineLevel="1">
      <c r="A917" s="313"/>
      <c r="B917" s="1752" t="s">
        <v>159</v>
      </c>
      <c r="C917" s="1720" t="s">
        <v>198</v>
      </c>
      <c r="D917" s="1721"/>
      <c r="E917" s="1722"/>
      <c r="F917" s="1591" t="s">
        <v>106</v>
      </c>
      <c r="G917" s="1591"/>
      <c r="H917" s="1592" t="s">
        <v>5</v>
      </c>
      <c r="I917" s="1591"/>
      <c r="J917" s="4002" t="str">
        <f t="shared" si="308"/>
        <v>N</v>
      </c>
      <c r="K917" s="3114" t="s">
        <v>3176</v>
      </c>
      <c r="M917" s="391"/>
      <c r="N917" s="391"/>
      <c r="O917" s="313"/>
      <c r="P917" s="313"/>
      <c r="Q917" s="313"/>
      <c r="R917" s="313"/>
      <c r="S917" s="313"/>
    </row>
    <row r="918" spans="1:19" ht="16.899999999999999" hidden="1" customHeight="1" outlineLevel="1">
      <c r="A918" s="313"/>
      <c r="B918" s="1752" t="s">
        <v>159</v>
      </c>
      <c r="C918" s="1598" t="s">
        <v>617</v>
      </c>
      <c r="D918" s="1723"/>
      <c r="E918" s="1597" t="s">
        <v>622</v>
      </c>
      <c r="F918" s="1591" t="s">
        <v>106</v>
      </c>
      <c r="G918" s="1591"/>
      <c r="H918" s="1592" t="s">
        <v>31</v>
      </c>
      <c r="I918" s="1591"/>
      <c r="J918" s="4002" t="str">
        <f t="shared" si="308"/>
        <v>N</v>
      </c>
      <c r="K918" s="3114" t="s">
        <v>3176</v>
      </c>
      <c r="M918" s="391"/>
      <c r="N918" s="391"/>
      <c r="O918" s="313"/>
      <c r="P918" s="313"/>
      <c r="Q918" s="313"/>
      <c r="R918" s="313"/>
      <c r="S918" s="313"/>
    </row>
    <row r="919" spans="1:19" ht="16.899999999999999" hidden="1" customHeight="1" outlineLevel="1">
      <c r="A919" s="313"/>
      <c r="B919" s="1752" t="s">
        <v>159</v>
      </c>
      <c r="C919" s="1598" t="s">
        <v>618</v>
      </c>
      <c r="D919" s="1723"/>
      <c r="E919" s="1597" t="s">
        <v>622</v>
      </c>
      <c r="F919" s="1591" t="s">
        <v>106</v>
      </c>
      <c r="G919" s="1591"/>
      <c r="H919" s="1592" t="s">
        <v>31</v>
      </c>
      <c r="I919" s="1591"/>
      <c r="J919" s="4002" t="str">
        <f t="shared" si="308"/>
        <v>N</v>
      </c>
      <c r="K919" s="3114" t="s">
        <v>3176</v>
      </c>
      <c r="M919" s="391"/>
      <c r="N919" s="391"/>
      <c r="O919" s="313"/>
      <c r="P919" s="313"/>
      <c r="Q919" s="313"/>
      <c r="R919" s="313"/>
      <c r="S919" s="313"/>
    </row>
    <row r="920" spans="1:19" ht="16.899999999999999" hidden="1" customHeight="1" outlineLevel="1">
      <c r="A920" s="313"/>
      <c r="B920" s="1752" t="s">
        <v>159</v>
      </c>
      <c r="C920" s="1598" t="s">
        <v>641</v>
      </c>
      <c r="D920" s="1723"/>
      <c r="E920" s="1597" t="s">
        <v>622</v>
      </c>
      <c r="F920" s="1591" t="s">
        <v>106</v>
      </c>
      <c r="G920" s="1591"/>
      <c r="H920" s="1592" t="s">
        <v>31</v>
      </c>
      <c r="I920" s="1591"/>
      <c r="J920" s="4002" t="str">
        <f t="shared" si="308"/>
        <v>N</v>
      </c>
      <c r="K920" s="3114" t="s">
        <v>3176</v>
      </c>
      <c r="M920" s="391"/>
      <c r="N920" s="391"/>
      <c r="O920" s="313"/>
      <c r="P920" s="313"/>
      <c r="Q920" s="313"/>
      <c r="R920" s="313"/>
      <c r="S920" s="313"/>
    </row>
    <row r="921" spans="1:19" ht="16.899999999999999" hidden="1" customHeight="1" outlineLevel="1">
      <c r="A921" s="313"/>
      <c r="B921" s="1752" t="s">
        <v>159</v>
      </c>
      <c r="C921" s="1598" t="s">
        <v>620</v>
      </c>
      <c r="D921" s="1723"/>
      <c r="E921" s="1597" t="s">
        <v>622</v>
      </c>
      <c r="F921" s="1591" t="s">
        <v>106</v>
      </c>
      <c r="G921" s="1591"/>
      <c r="H921" s="1592" t="s">
        <v>31</v>
      </c>
      <c r="I921" s="1591"/>
      <c r="J921" s="4002" t="str">
        <f t="shared" si="308"/>
        <v>N</v>
      </c>
      <c r="K921" s="3114" t="s">
        <v>3176</v>
      </c>
      <c r="M921" s="391"/>
      <c r="N921" s="391"/>
      <c r="O921" s="313"/>
      <c r="P921" s="313"/>
      <c r="Q921" s="313"/>
      <c r="R921" s="313"/>
      <c r="S921" s="313"/>
    </row>
    <row r="922" spans="1:19" ht="16.899999999999999" hidden="1" customHeight="1" outlineLevel="1">
      <c r="A922" s="313"/>
      <c r="B922" s="1752" t="s">
        <v>159</v>
      </c>
      <c r="C922" s="1720" t="s">
        <v>261</v>
      </c>
      <c r="D922" s="1721"/>
      <c r="E922" s="1722"/>
      <c r="F922" s="1591" t="s">
        <v>106</v>
      </c>
      <c r="G922" s="1591"/>
      <c r="H922" s="1592" t="s">
        <v>31</v>
      </c>
      <c r="I922" s="1591"/>
      <c r="J922" s="4002" t="str">
        <f t="shared" si="308"/>
        <v>N</v>
      </c>
      <c r="K922" s="3114" t="s">
        <v>3176</v>
      </c>
      <c r="M922" s="391"/>
      <c r="N922" s="391"/>
      <c r="O922" s="313"/>
      <c r="P922" s="313"/>
      <c r="Q922" s="313"/>
      <c r="R922" s="313"/>
      <c r="S922" s="313"/>
    </row>
    <row r="923" spans="1:19" ht="16.899999999999999" hidden="1" customHeight="1" outlineLevel="1">
      <c r="A923" s="313"/>
      <c r="B923" s="1752" t="s">
        <v>159</v>
      </c>
      <c r="C923" s="1720" t="s">
        <v>262</v>
      </c>
      <c r="D923" s="1721"/>
      <c r="E923" s="1722"/>
      <c r="F923" s="1591" t="s">
        <v>106</v>
      </c>
      <c r="G923" s="1591"/>
      <c r="H923" s="1592" t="s">
        <v>31</v>
      </c>
      <c r="I923" s="1591"/>
      <c r="J923" s="4002" t="str">
        <f t="shared" si="308"/>
        <v>N</v>
      </c>
      <c r="K923" s="3114" t="s">
        <v>3176</v>
      </c>
      <c r="M923" s="391"/>
      <c r="N923" s="391"/>
      <c r="O923" s="313"/>
      <c r="P923" s="313"/>
      <c r="Q923" s="313"/>
      <c r="R923" s="313"/>
      <c r="S923" s="313"/>
    </row>
    <row r="924" spans="1:19" ht="16.899999999999999" hidden="1" customHeight="1" outlineLevel="1">
      <c r="A924" s="313"/>
      <c r="B924" s="1752" t="s">
        <v>159</v>
      </c>
      <c r="C924" s="1720" t="s">
        <v>224</v>
      </c>
      <c r="D924" s="1721"/>
      <c r="E924" s="1722"/>
      <c r="F924" s="1591" t="s">
        <v>106</v>
      </c>
      <c r="G924" s="1591"/>
      <c r="H924" s="1592" t="s">
        <v>31</v>
      </c>
      <c r="I924" s="1591"/>
      <c r="J924" s="4002" t="str">
        <f t="shared" si="308"/>
        <v>N</v>
      </c>
      <c r="K924" s="3114" t="s">
        <v>3176</v>
      </c>
      <c r="M924" s="391"/>
      <c r="N924" s="391"/>
      <c r="O924" s="313"/>
      <c r="P924" s="313"/>
      <c r="Q924" s="313"/>
      <c r="R924" s="313"/>
      <c r="S924" s="313"/>
    </row>
    <row r="925" spans="1:19" ht="16.899999999999999" hidden="1" customHeight="1" outlineLevel="1">
      <c r="A925" s="313"/>
      <c r="B925" s="1752" t="s">
        <v>159</v>
      </c>
      <c r="C925" s="1720" t="s">
        <v>228</v>
      </c>
      <c r="D925" s="1721"/>
      <c r="E925" s="1722"/>
      <c r="F925" s="1591" t="s">
        <v>106</v>
      </c>
      <c r="G925" s="1591"/>
      <c r="H925" s="1592" t="s">
        <v>31</v>
      </c>
      <c r="I925" s="1591"/>
      <c r="J925" s="4002" t="str">
        <f t="shared" si="308"/>
        <v>N</v>
      </c>
      <c r="K925" s="3114" t="s">
        <v>3176</v>
      </c>
      <c r="M925" s="391"/>
      <c r="N925" s="391"/>
      <c r="O925" s="313"/>
      <c r="P925" s="313"/>
      <c r="Q925" s="313"/>
      <c r="R925" s="313"/>
      <c r="S925" s="313"/>
    </row>
    <row r="926" spans="1:19" ht="16.899999999999999" hidden="1" customHeight="1" outlineLevel="1">
      <c r="A926" s="313"/>
      <c r="B926" s="1752" t="s">
        <v>159</v>
      </c>
      <c r="C926" s="1720" t="s">
        <v>227</v>
      </c>
      <c r="D926" s="1721"/>
      <c r="E926" s="1722"/>
      <c r="F926" s="1591" t="s">
        <v>106</v>
      </c>
      <c r="G926" s="1591"/>
      <c r="H926" s="1592" t="s">
        <v>31</v>
      </c>
      <c r="I926" s="1591"/>
      <c r="J926" s="4002" t="str">
        <f t="shared" si="308"/>
        <v>N</v>
      </c>
      <c r="K926" s="3114" t="s">
        <v>3176</v>
      </c>
      <c r="M926" s="391"/>
      <c r="N926" s="391"/>
      <c r="O926" s="313"/>
      <c r="P926" s="313"/>
      <c r="Q926" s="313"/>
      <c r="R926" s="313"/>
      <c r="S926" s="313"/>
    </row>
    <row r="927" spans="1:19" ht="16.899999999999999" hidden="1" customHeight="1" outlineLevel="1">
      <c r="A927" s="313"/>
      <c r="B927" s="1752" t="s">
        <v>159</v>
      </c>
      <c r="C927" s="1720" t="s">
        <v>229</v>
      </c>
      <c r="D927" s="1721"/>
      <c r="E927" s="1722"/>
      <c r="F927" s="1591" t="s">
        <v>106</v>
      </c>
      <c r="G927" s="1591"/>
      <c r="H927" s="1592" t="s">
        <v>31</v>
      </c>
      <c r="I927" s="1591"/>
      <c r="J927" s="4002" t="str">
        <f t="shared" si="308"/>
        <v>N</v>
      </c>
      <c r="K927" s="3114" t="s">
        <v>3176</v>
      </c>
      <c r="M927" s="391"/>
      <c r="N927" s="391"/>
      <c r="O927" s="313"/>
      <c r="P927" s="313"/>
      <c r="Q927" s="313"/>
      <c r="R927" s="313"/>
      <c r="S927" s="313"/>
    </row>
    <row r="928" spans="1:19" ht="16.899999999999999" hidden="1" customHeight="1" outlineLevel="1">
      <c r="A928" s="313"/>
      <c r="B928" s="1752" t="s">
        <v>159</v>
      </c>
      <c r="C928" s="1720" t="s">
        <v>72</v>
      </c>
      <c r="D928" s="1721"/>
      <c r="E928" s="1722"/>
      <c r="F928" s="1591" t="s">
        <v>106</v>
      </c>
      <c r="G928" s="1591"/>
      <c r="H928" s="1592" t="s">
        <v>31</v>
      </c>
      <c r="I928" s="1591"/>
      <c r="J928" s="4002" t="str">
        <f t="shared" ref="J928" si="312">F928</f>
        <v>N</v>
      </c>
      <c r="K928" s="3114" t="s">
        <v>3176</v>
      </c>
      <c r="M928" s="391"/>
      <c r="N928" s="391"/>
      <c r="O928" s="313"/>
      <c r="P928" s="313"/>
      <c r="Q928" s="313"/>
      <c r="R928" s="313"/>
      <c r="S928" s="313"/>
    </row>
    <row r="929" spans="1:19" ht="16.899999999999999" hidden="1" customHeight="1" outlineLevel="1">
      <c r="A929" s="313"/>
      <c r="B929" s="313"/>
      <c r="C929" s="313"/>
      <c r="D929" s="313"/>
      <c r="E929" s="1270"/>
      <c r="F929" s="313"/>
      <c r="H929" s="313"/>
      <c r="I929" s="313"/>
      <c r="J929" s="313"/>
      <c r="K929" s="313"/>
      <c r="L929" s="313"/>
      <c r="M929" s="391"/>
      <c r="N929" s="391"/>
      <c r="O929" s="313"/>
      <c r="P929" s="313"/>
      <c r="Q929" s="313"/>
      <c r="R929" s="313"/>
      <c r="S929" s="313"/>
    </row>
    <row r="930" spans="1:19" ht="16.899999999999999" hidden="1" customHeight="1" outlineLevel="1">
      <c r="A930" s="313"/>
      <c r="B930" s="1753"/>
      <c r="C930" s="385"/>
      <c r="D930" s="313"/>
      <c r="E930" s="313"/>
      <c r="F930" s="384" t="s">
        <v>746</v>
      </c>
      <c r="G930" s="384" t="s">
        <v>1518</v>
      </c>
      <c r="H930" s="384" t="s">
        <v>1409</v>
      </c>
      <c r="I930" s="384" t="s">
        <v>1587</v>
      </c>
      <c r="J930" s="313"/>
      <c r="K930" s="313"/>
      <c r="L930" s="313"/>
      <c r="M930" s="313"/>
      <c r="N930" s="391"/>
      <c r="O930" s="313"/>
      <c r="P930" s="313"/>
      <c r="Q930" s="313"/>
      <c r="R930" s="313"/>
      <c r="S930" s="363"/>
    </row>
    <row r="931" spans="1:19" ht="16.899999999999999" hidden="1" customHeight="1" outlineLevel="1">
      <c r="A931" s="1269"/>
      <c r="B931" s="1046" t="s">
        <v>220</v>
      </c>
      <c r="C931" s="1595" t="s">
        <v>197</v>
      </c>
      <c r="D931" s="1599"/>
      <c r="E931" s="1596"/>
      <c r="F931" s="1591" t="s">
        <v>106</v>
      </c>
      <c r="G931" s="1591"/>
      <c r="H931" s="1592" t="s">
        <v>5</v>
      </c>
      <c r="I931" s="1591"/>
      <c r="J931" s="4002" t="str">
        <f>F931</f>
        <v>N</v>
      </c>
      <c r="K931" s="3114" t="s">
        <v>3174</v>
      </c>
      <c r="M931" s="391"/>
      <c r="N931" s="391"/>
      <c r="O931" s="313"/>
      <c r="P931" s="313"/>
      <c r="Q931" s="313"/>
      <c r="R931" s="313"/>
      <c r="S931" s="313"/>
    </row>
    <row r="932" spans="1:19" ht="16.899999999999999" hidden="1" customHeight="1" outlineLevel="1">
      <c r="A932" s="1269"/>
      <c r="B932" s="1046" t="s">
        <v>220</v>
      </c>
      <c r="C932" s="1595" t="s">
        <v>197</v>
      </c>
      <c r="D932" s="1599"/>
      <c r="E932" s="1596"/>
      <c r="F932" s="1591" t="s">
        <v>106</v>
      </c>
      <c r="G932" s="1591"/>
      <c r="H932" s="1592" t="s">
        <v>5</v>
      </c>
      <c r="I932" s="1591"/>
      <c r="J932" s="4002" t="str">
        <f t="shared" ref="J932:J954" si="313">F932</f>
        <v>N</v>
      </c>
      <c r="K932" s="3114" t="s">
        <v>3174</v>
      </c>
      <c r="M932" s="391"/>
      <c r="N932" s="391"/>
      <c r="O932" s="313"/>
      <c r="P932" s="313"/>
      <c r="Q932" s="313"/>
      <c r="R932" s="313"/>
      <c r="S932" s="313"/>
    </row>
    <row r="933" spans="1:19" ht="16.899999999999999" hidden="1" customHeight="1" outlineLevel="1">
      <c r="A933" s="1269"/>
      <c r="B933" s="1046" t="s">
        <v>220</v>
      </c>
      <c r="C933" s="1595" t="s">
        <v>197</v>
      </c>
      <c r="D933" s="1599"/>
      <c r="E933" s="1596"/>
      <c r="F933" s="1591" t="s">
        <v>106</v>
      </c>
      <c r="G933" s="1591"/>
      <c r="H933" s="1592" t="s">
        <v>5</v>
      </c>
      <c r="I933" s="1591"/>
      <c r="J933" s="4002" t="str">
        <f t="shared" si="313"/>
        <v>N</v>
      </c>
      <c r="K933" s="3114" t="s">
        <v>3174</v>
      </c>
      <c r="M933" s="391"/>
      <c r="N933" s="391"/>
      <c r="O933" s="313"/>
      <c r="P933" s="313"/>
      <c r="Q933" s="313"/>
      <c r="R933" s="313"/>
      <c r="S933" s="313"/>
    </row>
    <row r="934" spans="1:19" ht="16.899999999999999" hidden="1" customHeight="1" outlineLevel="1">
      <c r="A934" s="1269"/>
      <c r="B934" s="1046" t="s">
        <v>220</v>
      </c>
      <c r="C934" s="1595" t="s">
        <v>1617</v>
      </c>
      <c r="D934" s="1599"/>
      <c r="E934" s="1596"/>
      <c r="F934" s="1591" t="s">
        <v>106</v>
      </c>
      <c r="G934" s="1591"/>
      <c r="H934" s="1592" t="s">
        <v>5</v>
      </c>
      <c r="I934" s="1591"/>
      <c r="J934" s="4002" t="str">
        <f t="shared" si="313"/>
        <v>N</v>
      </c>
      <c r="K934" s="3114" t="s">
        <v>3174</v>
      </c>
      <c r="M934" s="391"/>
      <c r="N934" s="391"/>
      <c r="O934" s="313"/>
      <c r="P934" s="313"/>
      <c r="Q934" s="313"/>
      <c r="R934" s="313"/>
      <c r="S934" s="313"/>
    </row>
    <row r="935" spans="1:19" ht="16.899999999999999" hidden="1" customHeight="1" outlineLevel="1">
      <c r="A935" s="1269"/>
      <c r="B935" s="1046" t="s">
        <v>220</v>
      </c>
      <c r="C935" s="1595" t="s">
        <v>1617</v>
      </c>
      <c r="D935" s="1599"/>
      <c r="E935" s="1596"/>
      <c r="F935" s="1591" t="s">
        <v>106</v>
      </c>
      <c r="G935" s="1591"/>
      <c r="H935" s="1592" t="s">
        <v>5</v>
      </c>
      <c r="I935" s="1591"/>
      <c r="J935" s="4002" t="str">
        <f t="shared" si="313"/>
        <v>N</v>
      </c>
      <c r="K935" s="3114" t="s">
        <v>3174</v>
      </c>
      <c r="M935" s="391"/>
      <c r="N935" s="391"/>
      <c r="O935" s="313"/>
      <c r="P935" s="313"/>
      <c r="Q935" s="313"/>
      <c r="R935" s="313"/>
      <c r="S935" s="313"/>
    </row>
    <row r="936" spans="1:19" ht="16.899999999999999" hidden="1" customHeight="1" outlineLevel="1">
      <c r="A936" s="1269"/>
      <c r="B936" s="1046" t="s">
        <v>220</v>
      </c>
      <c r="C936" s="1595" t="s">
        <v>1478</v>
      </c>
      <c r="D936" s="1599"/>
      <c r="E936" s="1596"/>
      <c r="F936" s="1591" t="s">
        <v>106</v>
      </c>
      <c r="G936" s="1591"/>
      <c r="H936" s="1592" t="s">
        <v>5</v>
      </c>
      <c r="I936" s="1591"/>
      <c r="J936" s="4002" t="str">
        <f t="shared" si="313"/>
        <v>N</v>
      </c>
      <c r="K936" s="3114" t="s">
        <v>3174</v>
      </c>
      <c r="M936" s="391"/>
      <c r="N936" s="391"/>
      <c r="O936" s="313"/>
      <c r="P936" s="313"/>
      <c r="Q936" s="313"/>
      <c r="R936" s="313"/>
      <c r="S936" s="313"/>
    </row>
    <row r="937" spans="1:19" ht="16.899999999999999" hidden="1" customHeight="1" outlineLevel="1">
      <c r="A937" s="1269"/>
      <c r="B937" s="1046" t="s">
        <v>220</v>
      </c>
      <c r="C937" s="1595" t="s">
        <v>1478</v>
      </c>
      <c r="D937" s="1599"/>
      <c r="E937" s="1596"/>
      <c r="F937" s="1591" t="s">
        <v>106</v>
      </c>
      <c r="G937" s="1591"/>
      <c r="H937" s="1592" t="s">
        <v>5</v>
      </c>
      <c r="I937" s="1591"/>
      <c r="J937" s="4002" t="str">
        <f t="shared" si="313"/>
        <v>N</v>
      </c>
      <c r="K937" s="3114" t="s">
        <v>3174</v>
      </c>
      <c r="M937" s="391"/>
      <c r="N937" s="391"/>
      <c r="O937" s="313"/>
      <c r="P937" s="313"/>
      <c r="Q937" s="313"/>
      <c r="R937" s="313"/>
      <c r="S937" s="313"/>
    </row>
    <row r="938" spans="1:19" ht="16.899999999999999" hidden="1" customHeight="1" outlineLevel="1">
      <c r="A938" s="1269"/>
      <c r="B938" s="1046" t="s">
        <v>220</v>
      </c>
      <c r="C938" s="1595" t="s">
        <v>1478</v>
      </c>
      <c r="D938" s="1599"/>
      <c r="E938" s="1596"/>
      <c r="F938" s="1591" t="s">
        <v>106</v>
      </c>
      <c r="G938" s="1591"/>
      <c r="H938" s="1592" t="s">
        <v>5</v>
      </c>
      <c r="I938" s="1591"/>
      <c r="J938" s="4002" t="str">
        <f t="shared" si="313"/>
        <v>N</v>
      </c>
      <c r="K938" s="3114" t="s">
        <v>3174</v>
      </c>
      <c r="M938" s="391"/>
      <c r="N938" s="391"/>
      <c r="O938" s="313"/>
      <c r="P938" s="313"/>
      <c r="Q938" s="313"/>
      <c r="R938" s="313"/>
      <c r="S938" s="313"/>
    </row>
    <row r="939" spans="1:19" ht="16.899999999999999" hidden="1" customHeight="1" outlineLevel="1">
      <c r="A939" s="1269"/>
      <c r="B939" s="1046" t="s">
        <v>220</v>
      </c>
      <c r="C939" s="1595" t="s">
        <v>1616</v>
      </c>
      <c r="D939" s="1599"/>
      <c r="E939" s="1596"/>
      <c r="F939" s="1591" t="s">
        <v>106</v>
      </c>
      <c r="G939" s="1591"/>
      <c r="H939" s="1592" t="s">
        <v>5</v>
      </c>
      <c r="I939" s="1591"/>
      <c r="J939" s="4002" t="str">
        <f t="shared" si="313"/>
        <v>N</v>
      </c>
      <c r="K939" s="3114" t="s">
        <v>3174</v>
      </c>
      <c r="M939" s="391"/>
      <c r="N939" s="391"/>
      <c r="O939" s="313"/>
      <c r="P939" s="313"/>
      <c r="Q939" s="313"/>
      <c r="R939" s="313"/>
      <c r="S939" s="313"/>
    </row>
    <row r="940" spans="1:19" ht="16.899999999999999" hidden="1" customHeight="1" outlineLevel="1">
      <c r="A940" s="1269"/>
      <c r="B940" s="1046" t="s">
        <v>220</v>
      </c>
      <c r="C940" s="1595" t="s">
        <v>1616</v>
      </c>
      <c r="D940" s="1599"/>
      <c r="E940" s="1596"/>
      <c r="F940" s="1591" t="s">
        <v>106</v>
      </c>
      <c r="G940" s="1591"/>
      <c r="H940" s="1592" t="s">
        <v>5</v>
      </c>
      <c r="I940" s="1591"/>
      <c r="J940" s="4002" t="str">
        <f t="shared" si="313"/>
        <v>N</v>
      </c>
      <c r="K940" s="3114" t="s">
        <v>3174</v>
      </c>
      <c r="M940" s="391"/>
      <c r="N940" s="391"/>
      <c r="O940" s="313"/>
      <c r="P940" s="313"/>
      <c r="Q940" s="313"/>
      <c r="R940" s="313"/>
      <c r="S940" s="313"/>
    </row>
    <row r="941" spans="1:19" ht="16.899999999999999" hidden="1" customHeight="1" outlineLevel="1">
      <c r="A941" s="313"/>
      <c r="B941" s="1046" t="s">
        <v>220</v>
      </c>
      <c r="C941" s="1595" t="s">
        <v>225</v>
      </c>
      <c r="D941" s="1599"/>
      <c r="E941" s="1596"/>
      <c r="F941" s="1591" t="s">
        <v>106</v>
      </c>
      <c r="G941" s="1591"/>
      <c r="H941" s="1592" t="s">
        <v>5</v>
      </c>
      <c r="I941" s="1591"/>
      <c r="J941" s="4002" t="str">
        <f t="shared" si="313"/>
        <v>N</v>
      </c>
      <c r="K941" s="3114" t="s">
        <v>3174</v>
      </c>
      <c r="M941" s="391"/>
      <c r="N941" s="391"/>
      <c r="O941" s="313"/>
      <c r="P941" s="313"/>
      <c r="Q941" s="313"/>
      <c r="R941" s="313"/>
      <c r="S941" s="313"/>
    </row>
    <row r="942" spans="1:19" ht="16.899999999999999" hidden="1" customHeight="1" outlineLevel="1">
      <c r="A942" s="313"/>
      <c r="B942" s="1046" t="s">
        <v>220</v>
      </c>
      <c r="C942" s="1046" t="s">
        <v>628</v>
      </c>
      <c r="D942" s="1600">
        <f>IF(input!$E$21&lt;7,7,IF(AND(input!$E$21&gt;=7,input!$E$21&lt;12),12,IF(AND(input!$E$21&gt;=12,input!$E$21&lt;16),16,"Check")))</f>
        <v>12</v>
      </c>
      <c r="E942" s="1597" t="s">
        <v>263</v>
      </c>
      <c r="F942" s="1591" t="s">
        <v>106</v>
      </c>
      <c r="G942" s="1591"/>
      <c r="H942" s="1592" t="s">
        <v>31</v>
      </c>
      <c r="I942" s="1591"/>
      <c r="J942" s="4002" t="str">
        <f t="shared" si="313"/>
        <v>N</v>
      </c>
      <c r="K942" s="3114" t="s">
        <v>3174</v>
      </c>
      <c r="M942" s="391"/>
      <c r="N942" s="391"/>
      <c r="O942" s="313"/>
      <c r="P942" s="313"/>
      <c r="Q942" s="313"/>
      <c r="R942" s="313"/>
      <c r="S942" s="313"/>
    </row>
    <row r="943" spans="1:19" ht="16.899999999999999" hidden="1" customHeight="1" outlineLevel="1">
      <c r="A943" s="313"/>
      <c r="B943" s="1046" t="s">
        <v>220</v>
      </c>
      <c r="C943" s="1046" t="s">
        <v>628</v>
      </c>
      <c r="D943" s="1600">
        <f>IF(input!$E$21&lt;7,7,IF(AND(input!$E$21&gt;=7,input!$E$21&lt;12),12,IF(AND(input!$E$21&gt;=12,input!$E$21&lt;16),16,"Check")))</f>
        <v>12</v>
      </c>
      <c r="E943" s="1597" t="s">
        <v>263</v>
      </c>
      <c r="F943" s="1591" t="s">
        <v>106</v>
      </c>
      <c r="G943" s="1591"/>
      <c r="H943" s="1592" t="s">
        <v>31</v>
      </c>
      <c r="I943" s="1591"/>
      <c r="J943" s="4002" t="str">
        <f t="shared" si="313"/>
        <v>N</v>
      </c>
      <c r="K943" s="3114" t="s">
        <v>3174</v>
      </c>
      <c r="M943" s="391"/>
      <c r="N943" s="391"/>
      <c r="O943" s="313"/>
      <c r="P943" s="313"/>
      <c r="Q943" s="313"/>
      <c r="R943" s="313"/>
      <c r="S943" s="313"/>
    </row>
    <row r="944" spans="1:19" ht="16.899999999999999" hidden="1" customHeight="1" outlineLevel="1">
      <c r="A944" s="313"/>
      <c r="B944" s="1046" t="s">
        <v>220</v>
      </c>
      <c r="C944" s="1046" t="s">
        <v>628</v>
      </c>
      <c r="D944" s="1600">
        <f>IF(input!$E$21&lt;7,7,IF(AND(input!$E$21&gt;=7,input!$E$21&lt;12),12,IF(AND(input!$E$21&gt;=12,input!$E$21&lt;16),16,"Check")))</f>
        <v>12</v>
      </c>
      <c r="E944" s="1597" t="s">
        <v>263</v>
      </c>
      <c r="F944" s="1591" t="s">
        <v>106</v>
      </c>
      <c r="G944" s="1591"/>
      <c r="H944" s="1592" t="s">
        <v>31</v>
      </c>
      <c r="I944" s="1591"/>
      <c r="J944" s="4002" t="str">
        <f t="shared" si="313"/>
        <v>N</v>
      </c>
      <c r="K944" s="3114" t="s">
        <v>3174</v>
      </c>
      <c r="M944" s="391"/>
      <c r="N944" s="391"/>
      <c r="O944" s="313"/>
      <c r="P944" s="313"/>
      <c r="Q944" s="313"/>
      <c r="R944" s="313"/>
      <c r="S944" s="313"/>
    </row>
    <row r="945" spans="1:19" ht="16.899999999999999" hidden="1" customHeight="1" outlineLevel="1">
      <c r="A945" s="313"/>
      <c r="B945" s="1046" t="s">
        <v>220</v>
      </c>
      <c r="C945" s="1046" t="s">
        <v>629</v>
      </c>
      <c r="D945" s="1600">
        <f>IF(input!$E$21&lt;7,7,IF(AND(input!$E$21&gt;=7,input!$E$21&lt;12),12,IF(AND(input!$E$21&gt;=12,input!$E$21&lt;16),16,"Check")))</f>
        <v>12</v>
      </c>
      <c r="E945" s="1597" t="s">
        <v>263</v>
      </c>
      <c r="F945" s="1591" t="s">
        <v>106</v>
      </c>
      <c r="G945" s="1591"/>
      <c r="H945" s="1592" t="s">
        <v>31</v>
      </c>
      <c r="I945" s="1591"/>
      <c r="J945" s="4002" t="str">
        <f t="shared" si="313"/>
        <v>N</v>
      </c>
      <c r="K945" s="3114" t="s">
        <v>3174</v>
      </c>
      <c r="M945" s="391"/>
      <c r="N945" s="391"/>
      <c r="O945" s="313"/>
      <c r="P945" s="313"/>
      <c r="Q945" s="313"/>
      <c r="R945" s="313"/>
      <c r="S945" s="313"/>
    </row>
    <row r="946" spans="1:19" ht="16.899999999999999" hidden="1" customHeight="1" outlineLevel="1">
      <c r="A946" s="313"/>
      <c r="B946" s="1046" t="s">
        <v>220</v>
      </c>
      <c r="C946" s="1046" t="s">
        <v>629</v>
      </c>
      <c r="D946" s="1600">
        <f>IF(input!$E$21&lt;7,7,IF(AND(input!$E$21&gt;=7,input!$E$21&lt;12),12,IF(AND(input!$E$21&gt;=12,input!$E$21&lt;16),16,"Check")))</f>
        <v>12</v>
      </c>
      <c r="E946" s="1597" t="s">
        <v>263</v>
      </c>
      <c r="F946" s="1591" t="s">
        <v>106</v>
      </c>
      <c r="G946" s="1591"/>
      <c r="H946" s="1592" t="s">
        <v>31</v>
      </c>
      <c r="I946" s="1591"/>
      <c r="J946" s="4002" t="str">
        <f t="shared" si="313"/>
        <v>N</v>
      </c>
      <c r="K946" s="3114" t="s">
        <v>3174</v>
      </c>
      <c r="M946" s="391"/>
      <c r="N946" s="391"/>
      <c r="O946" s="313"/>
      <c r="P946" s="313"/>
      <c r="Q946" s="313"/>
      <c r="R946" s="313"/>
      <c r="S946" s="313"/>
    </row>
    <row r="947" spans="1:19" ht="16.899999999999999" hidden="1" customHeight="1" outlineLevel="1">
      <c r="A947" s="313"/>
      <c r="B947" s="1046" t="s">
        <v>220</v>
      </c>
      <c r="C947" s="1046" t="s">
        <v>629</v>
      </c>
      <c r="D947" s="1600">
        <f>IF(input!$E$21&lt;7,7,IF(AND(input!$E$21&gt;=7,input!$E$21&lt;12),12,IF(AND(input!$E$21&gt;=12,input!$E$21&lt;16),16,"Check")))</f>
        <v>12</v>
      </c>
      <c r="E947" s="1597" t="s">
        <v>263</v>
      </c>
      <c r="F947" s="1591" t="s">
        <v>106</v>
      </c>
      <c r="G947" s="1591"/>
      <c r="H947" s="1592" t="s">
        <v>31</v>
      </c>
      <c r="I947" s="1591"/>
      <c r="J947" s="4002" t="str">
        <f t="shared" si="313"/>
        <v>N</v>
      </c>
      <c r="K947" s="3114" t="s">
        <v>3174</v>
      </c>
      <c r="M947" s="391"/>
      <c r="N947" s="391"/>
      <c r="O947" s="313"/>
      <c r="P947" s="313"/>
      <c r="Q947" s="313"/>
      <c r="R947" s="313"/>
      <c r="S947" s="313"/>
    </row>
    <row r="948" spans="1:19" ht="16.899999999999999" hidden="1" customHeight="1" outlineLevel="1">
      <c r="A948" s="313"/>
      <c r="B948" s="1046" t="s">
        <v>220</v>
      </c>
      <c r="C948" s="1046" t="s">
        <v>630</v>
      </c>
      <c r="D948" s="1600">
        <f>IF(input!$E$21&lt;7,7,IF(AND(input!$E$21&gt;=7,input!$E$21&lt;12),12,IF(AND(input!$E$21&gt;=12,input!$E$21&lt;16),16,"Check")))</f>
        <v>12</v>
      </c>
      <c r="E948" s="1597" t="s">
        <v>263</v>
      </c>
      <c r="F948" s="1591" t="s">
        <v>106</v>
      </c>
      <c r="G948" s="1591"/>
      <c r="H948" s="1592" t="s">
        <v>31</v>
      </c>
      <c r="I948" s="1591"/>
      <c r="J948" s="4002" t="str">
        <f t="shared" si="313"/>
        <v>N</v>
      </c>
      <c r="K948" s="3114" t="s">
        <v>3174</v>
      </c>
      <c r="M948" s="391"/>
      <c r="N948" s="391"/>
      <c r="O948" s="313"/>
      <c r="P948" s="313"/>
      <c r="Q948" s="313"/>
      <c r="R948" s="313"/>
      <c r="S948" s="313"/>
    </row>
    <row r="949" spans="1:19" ht="16.899999999999999" hidden="1" customHeight="1" outlineLevel="1">
      <c r="A949" s="313"/>
      <c r="B949" s="1046" t="s">
        <v>220</v>
      </c>
      <c r="C949" s="1046" t="s">
        <v>630</v>
      </c>
      <c r="D949" s="1600">
        <f>IF(input!$E$21&lt;7,7,IF(AND(input!$E$21&gt;=7,input!$E$21&lt;12),12,IF(AND(input!$E$21&gt;=12,input!$E$21&lt;16),16,"Check")))</f>
        <v>12</v>
      </c>
      <c r="E949" s="1597" t="s">
        <v>263</v>
      </c>
      <c r="F949" s="1591" t="s">
        <v>106</v>
      </c>
      <c r="G949" s="1591"/>
      <c r="H949" s="1592" t="s">
        <v>31</v>
      </c>
      <c r="I949" s="1591"/>
      <c r="J949" s="4002" t="str">
        <f t="shared" si="313"/>
        <v>N</v>
      </c>
      <c r="K949" s="3114" t="s">
        <v>3174</v>
      </c>
      <c r="M949" s="391"/>
      <c r="N949" s="391"/>
      <c r="O949" s="313"/>
      <c r="P949" s="313"/>
      <c r="Q949" s="313"/>
      <c r="R949" s="313"/>
      <c r="S949" s="313"/>
    </row>
    <row r="950" spans="1:19" ht="16.899999999999999" hidden="1" customHeight="1" outlineLevel="1">
      <c r="A950" s="313"/>
      <c r="B950" s="1046" t="s">
        <v>220</v>
      </c>
      <c r="C950" s="1046" t="s">
        <v>630</v>
      </c>
      <c r="D950" s="1600">
        <f>IF(input!$E$21&lt;7,7,IF(AND(input!$E$21&gt;=7,input!$E$21&lt;12),12,IF(AND(input!$E$21&gt;=12,input!$E$21&lt;16),16,"Check")))</f>
        <v>12</v>
      </c>
      <c r="E950" s="1597" t="s">
        <v>263</v>
      </c>
      <c r="F950" s="1591" t="s">
        <v>106</v>
      </c>
      <c r="G950" s="1591"/>
      <c r="H950" s="1592" t="s">
        <v>31</v>
      </c>
      <c r="I950" s="1591"/>
      <c r="J950" s="4002" t="str">
        <f t="shared" si="313"/>
        <v>N</v>
      </c>
      <c r="K950" s="3114" t="s">
        <v>3174</v>
      </c>
      <c r="M950" s="391"/>
      <c r="N950" s="391"/>
      <c r="O950" s="313"/>
      <c r="P950" s="313"/>
      <c r="Q950" s="313"/>
      <c r="R950" s="313"/>
      <c r="S950" s="313"/>
    </row>
    <row r="951" spans="1:19" ht="16.899999999999999" hidden="1" customHeight="1" outlineLevel="1">
      <c r="A951" s="313"/>
      <c r="B951" s="1046" t="s">
        <v>220</v>
      </c>
      <c r="C951" s="1046" t="s">
        <v>631</v>
      </c>
      <c r="D951" s="1600">
        <f>IF(input!$E$21&lt;7,7,IF(AND(input!$E$21&gt;=7,input!$E$21&lt;12),12,IF(AND(input!$E$21&gt;=12,input!$E$21&lt;16),16,"Check")))</f>
        <v>12</v>
      </c>
      <c r="E951" s="1597" t="s">
        <v>263</v>
      </c>
      <c r="F951" s="1591" t="s">
        <v>106</v>
      </c>
      <c r="G951" s="1591"/>
      <c r="H951" s="1592" t="s">
        <v>31</v>
      </c>
      <c r="I951" s="1591"/>
      <c r="J951" s="4002" t="str">
        <f t="shared" si="313"/>
        <v>N</v>
      </c>
      <c r="K951" s="3114" t="s">
        <v>3174</v>
      </c>
      <c r="M951" s="391"/>
      <c r="N951" s="391"/>
      <c r="O951" s="313"/>
      <c r="P951" s="313"/>
      <c r="Q951" s="313"/>
      <c r="R951" s="313"/>
      <c r="S951" s="313"/>
    </row>
    <row r="952" spans="1:19" ht="16.899999999999999" hidden="1" customHeight="1" outlineLevel="1">
      <c r="A952" s="313"/>
      <c r="B952" s="1046" t="s">
        <v>220</v>
      </c>
      <c r="C952" s="1046" t="s">
        <v>631</v>
      </c>
      <c r="D952" s="1600">
        <f>IF(input!$E$21&lt;7,7,IF(AND(input!$E$21&gt;=7,input!$E$21&lt;12),12,IF(AND(input!$E$21&gt;=12,input!$E$21&lt;16),16,"Check")))</f>
        <v>12</v>
      </c>
      <c r="E952" s="1597" t="s">
        <v>263</v>
      </c>
      <c r="F952" s="1591" t="s">
        <v>106</v>
      </c>
      <c r="G952" s="1591"/>
      <c r="H952" s="1592" t="s">
        <v>31</v>
      </c>
      <c r="I952" s="1591"/>
      <c r="J952" s="4002" t="str">
        <f t="shared" si="313"/>
        <v>N</v>
      </c>
      <c r="K952" s="3114" t="s">
        <v>3174</v>
      </c>
      <c r="M952" s="391"/>
      <c r="N952" s="391"/>
      <c r="O952" s="313"/>
      <c r="P952" s="313"/>
      <c r="Q952" s="313"/>
      <c r="R952" s="313"/>
      <c r="S952" s="313"/>
    </row>
    <row r="953" spans="1:19" ht="16.899999999999999" hidden="1" customHeight="1" outlineLevel="1">
      <c r="A953" s="313"/>
      <c r="B953" s="1046" t="s">
        <v>220</v>
      </c>
      <c r="C953" s="1046" t="s">
        <v>631</v>
      </c>
      <c r="D953" s="1600">
        <f>IF(input!$E$21&lt;7,7,IF(AND(input!$E$21&gt;=7,input!$E$21&lt;12),12,IF(AND(input!$E$21&gt;=12,input!$E$21&lt;16),16,"Check")))</f>
        <v>12</v>
      </c>
      <c r="E953" s="1597" t="s">
        <v>263</v>
      </c>
      <c r="F953" s="1591" t="s">
        <v>106</v>
      </c>
      <c r="G953" s="1591"/>
      <c r="H953" s="1592" t="s">
        <v>31</v>
      </c>
      <c r="I953" s="1591"/>
      <c r="J953" s="4002" t="str">
        <f t="shared" si="313"/>
        <v>N</v>
      </c>
      <c r="K953" s="3114" t="s">
        <v>3174</v>
      </c>
      <c r="M953" s="391"/>
      <c r="N953" s="391"/>
      <c r="O953" s="313"/>
      <c r="P953" s="313"/>
      <c r="Q953" s="313"/>
      <c r="R953" s="313"/>
      <c r="S953" s="313"/>
    </row>
    <row r="954" spans="1:19" ht="16.899999999999999" hidden="1" customHeight="1" outlineLevel="1">
      <c r="A954" s="313"/>
      <c r="B954" s="1046" t="s">
        <v>220</v>
      </c>
      <c r="C954" s="1595" t="s">
        <v>72</v>
      </c>
      <c r="D954" s="1599"/>
      <c r="E954" s="1596"/>
      <c r="F954" s="1591" t="s">
        <v>106</v>
      </c>
      <c r="G954" s="1591"/>
      <c r="H954" s="1592"/>
      <c r="I954" s="1591"/>
      <c r="J954" s="4002" t="str">
        <f t="shared" si="313"/>
        <v>N</v>
      </c>
      <c r="K954" s="3114" t="s">
        <v>3174</v>
      </c>
      <c r="M954" s="391"/>
      <c r="N954" s="391"/>
      <c r="O954" s="313"/>
      <c r="P954" s="313"/>
      <c r="Q954" s="313"/>
      <c r="R954" s="313"/>
      <c r="S954" s="313"/>
    </row>
    <row r="955" spans="1:19" ht="16.899999999999999" hidden="1" customHeight="1" outlineLevel="1">
      <c r="A955" s="313"/>
      <c r="B955" s="1753"/>
      <c r="C955" s="385"/>
      <c r="D955" s="313"/>
      <c r="E955" s="313"/>
      <c r="F955" s="313" t="s">
        <v>1259</v>
      </c>
      <c r="G955" s="1270"/>
      <c r="H955" s="313"/>
      <c r="I955" s="313"/>
      <c r="J955" s="313"/>
      <c r="K955" s="313"/>
      <c r="L955" s="313"/>
      <c r="M955" s="313"/>
      <c r="N955" s="391"/>
      <c r="O955" s="313"/>
      <c r="P955" s="313"/>
      <c r="Q955" s="313"/>
      <c r="R955" s="313"/>
      <c r="S955" s="363"/>
    </row>
    <row r="956" spans="1:19" ht="16.899999999999999" customHeight="1" collapsed="1">
      <c r="A956" s="313"/>
      <c r="B956" s="1753"/>
      <c r="C956" s="385"/>
      <c r="D956" s="313"/>
      <c r="E956" s="313"/>
      <c r="F956" s="384" t="s">
        <v>746</v>
      </c>
      <c r="G956" s="384" t="s">
        <v>1518</v>
      </c>
      <c r="H956" s="384" t="s">
        <v>1409</v>
      </c>
      <c r="I956" s="384" t="s">
        <v>1587</v>
      </c>
      <c r="J956" s="313"/>
      <c r="K956" s="313"/>
      <c r="L956" s="313"/>
      <c r="M956" s="313"/>
      <c r="N956" s="391"/>
      <c r="O956" s="313"/>
      <c r="P956" s="313"/>
      <c r="Q956" s="313"/>
      <c r="R956" s="313"/>
      <c r="S956" s="363"/>
    </row>
    <row r="957" spans="1:19" ht="16.899999999999999" hidden="1" customHeight="1" outlineLevel="1">
      <c r="A957" s="1269"/>
      <c r="B957" s="1601" t="s">
        <v>179</v>
      </c>
      <c r="C957" s="1601" t="s">
        <v>164</v>
      </c>
      <c r="D957" s="1602">
        <v>1</v>
      </c>
      <c r="E957" s="1603">
        <v>1</v>
      </c>
      <c r="F957" s="1591" t="s">
        <v>106</v>
      </c>
      <c r="G957" s="1591"/>
      <c r="H957" s="1592" t="str">
        <f t="shared" ref="H957:H1061" si="314">IF(E957&gt;1,"Sets",IF(F957="Pcs","Copies","Sheets"))</f>
        <v>Sheets</v>
      </c>
      <c r="I957" s="1591"/>
      <c r="J957" s="2178" t="s">
        <v>1742</v>
      </c>
      <c r="K957" s="3114" t="s">
        <v>3176</v>
      </c>
      <c r="M957" s="391"/>
      <c r="N957" s="391"/>
      <c r="O957" s="313"/>
      <c r="P957" s="313"/>
      <c r="Q957" s="313"/>
      <c r="R957" s="313"/>
      <c r="S957" s="313"/>
    </row>
    <row r="958" spans="1:19" ht="16.899999999999999" hidden="1" customHeight="1" outlineLevel="1">
      <c r="A958" s="313"/>
      <c r="B958" s="1601" t="s">
        <v>179</v>
      </c>
      <c r="C958" s="1601" t="s">
        <v>526</v>
      </c>
      <c r="D958" s="1602">
        <v>1</v>
      </c>
      <c r="E958" s="1603">
        <v>1</v>
      </c>
      <c r="F958" s="1591" t="s">
        <v>106</v>
      </c>
      <c r="G958" s="1591"/>
      <c r="H958" s="1592" t="str">
        <f t="shared" si="314"/>
        <v>Sheets</v>
      </c>
      <c r="I958" s="1591"/>
      <c r="J958" s="2178" t="s">
        <v>1742</v>
      </c>
      <c r="K958" s="3114" t="s">
        <v>3176</v>
      </c>
      <c r="M958" s="391"/>
      <c r="N958" s="391"/>
      <c r="O958" s="313"/>
      <c r="P958" s="313"/>
      <c r="Q958" s="313"/>
      <c r="R958" s="313"/>
      <c r="S958" s="313"/>
    </row>
    <row r="959" spans="1:19" ht="16.899999999999999" hidden="1" customHeight="1" outlineLevel="1">
      <c r="A959" s="313"/>
      <c r="B959" s="1601" t="s">
        <v>179</v>
      </c>
      <c r="C959" s="1601" t="s">
        <v>525</v>
      </c>
      <c r="D959" s="1602">
        <v>1</v>
      </c>
      <c r="E959" s="1603">
        <f>H1185</f>
        <v>150</v>
      </c>
      <c r="F959" s="1591" t="s">
        <v>106</v>
      </c>
      <c r="G959" s="1591"/>
      <c r="H959" s="1592" t="str">
        <f t="shared" si="314"/>
        <v>Sets</v>
      </c>
      <c r="I959" s="1591"/>
      <c r="J959" s="2178" t="s">
        <v>1742</v>
      </c>
      <c r="K959" s="3114" t="s">
        <v>3176</v>
      </c>
      <c r="M959" s="391"/>
      <c r="N959" s="391"/>
      <c r="O959" s="313"/>
      <c r="P959" s="313"/>
      <c r="Q959" s="313"/>
      <c r="R959" s="313"/>
      <c r="S959" s="313"/>
    </row>
    <row r="960" spans="1:19" ht="16.899999999999999" hidden="1" customHeight="1" outlineLevel="1">
      <c r="A960" s="313"/>
      <c r="B960" s="1601" t="s">
        <v>179</v>
      </c>
      <c r="C960" s="1601" t="s">
        <v>315</v>
      </c>
      <c r="D960" s="1602">
        <v>1</v>
      </c>
      <c r="E960" s="1603">
        <v>1</v>
      </c>
      <c r="F960" s="1591" t="s">
        <v>106</v>
      </c>
      <c r="G960" s="1591"/>
      <c r="H960" s="1592" t="str">
        <f t="shared" si="314"/>
        <v>Sheets</v>
      </c>
      <c r="I960" s="1591"/>
      <c r="J960" s="2178" t="s">
        <v>72</v>
      </c>
      <c r="K960" s="3114" t="s">
        <v>3176</v>
      </c>
      <c r="M960" s="391"/>
      <c r="N960" s="391"/>
      <c r="O960" s="313"/>
      <c r="P960" s="313"/>
      <c r="Q960" s="313"/>
      <c r="R960" s="313"/>
      <c r="S960" s="313"/>
    </row>
    <row r="961" spans="1:19" ht="16.899999999999999" hidden="1" customHeight="1" outlineLevel="1">
      <c r="A961" s="313"/>
      <c r="B961" s="1601" t="s">
        <v>179</v>
      </c>
      <c r="C961" s="1601" t="s">
        <v>315</v>
      </c>
      <c r="D961" s="1602">
        <v>1</v>
      </c>
      <c r="E961" s="1603">
        <v>1</v>
      </c>
      <c r="F961" s="1591" t="s">
        <v>106</v>
      </c>
      <c r="G961" s="1591"/>
      <c r="H961" s="1592" t="str">
        <f t="shared" si="314"/>
        <v>Sheets</v>
      </c>
      <c r="I961" s="1591"/>
      <c r="J961" s="2178" t="s">
        <v>72</v>
      </c>
      <c r="K961" s="3114" t="s">
        <v>3176</v>
      </c>
      <c r="M961" s="391"/>
      <c r="N961" s="391"/>
      <c r="O961" s="313"/>
      <c r="P961" s="313"/>
      <c r="Q961" s="313"/>
      <c r="R961" s="313"/>
      <c r="S961" s="313"/>
    </row>
    <row r="962" spans="1:19" ht="16.899999999999999" hidden="1" customHeight="1" outlineLevel="1">
      <c r="A962" s="313"/>
      <c r="B962" s="1601" t="s">
        <v>179</v>
      </c>
      <c r="C962" s="1601" t="s">
        <v>2052</v>
      </c>
      <c r="D962" s="1602"/>
      <c r="E962" s="1603"/>
      <c r="F962" s="1591" t="s">
        <v>106</v>
      </c>
      <c r="G962" s="1591"/>
      <c r="H962" s="1592" t="str">
        <f t="shared" si="314"/>
        <v>Sheets</v>
      </c>
      <c r="I962" s="1591"/>
      <c r="J962" s="2177"/>
      <c r="K962" s="3114" t="s">
        <v>3176</v>
      </c>
      <c r="M962" s="391"/>
      <c r="N962" s="391"/>
      <c r="O962" s="313"/>
      <c r="P962" s="313"/>
      <c r="Q962" s="313"/>
      <c r="R962" s="313"/>
      <c r="S962" s="313"/>
    </row>
    <row r="963" spans="1:19" ht="16.899999999999999" hidden="1" customHeight="1" outlineLevel="1">
      <c r="A963" s="313"/>
      <c r="B963" s="1601" t="s">
        <v>179</v>
      </c>
      <c r="C963" s="1601" t="s">
        <v>2052</v>
      </c>
      <c r="D963" s="1602"/>
      <c r="E963" s="1603"/>
      <c r="F963" s="1591" t="s">
        <v>106</v>
      </c>
      <c r="G963" s="1591"/>
      <c r="H963" s="1592" t="str">
        <f t="shared" si="314"/>
        <v>Sheets</v>
      </c>
      <c r="I963" s="1591"/>
      <c r="J963" s="2177"/>
      <c r="K963" s="3114" t="s">
        <v>3176</v>
      </c>
      <c r="M963" s="391"/>
      <c r="N963" s="391"/>
      <c r="O963" s="313"/>
      <c r="P963" s="313"/>
      <c r="Q963" s="313"/>
      <c r="R963" s="313"/>
      <c r="S963" s="313"/>
    </row>
    <row r="964" spans="1:19" ht="16.899999999999999" customHeight="1" collapsed="1">
      <c r="A964" s="313">
        <v>0</v>
      </c>
      <c r="B964" s="1601" t="s">
        <v>195</v>
      </c>
      <c r="C964" s="1761" t="str">
        <f t="shared" ref="C964:C978" ca="1" si="315">OFFSET($A$25,A964,0)</f>
        <v>Box</v>
      </c>
      <c r="D964" s="1602">
        <v>1</v>
      </c>
      <c r="E964" s="1603">
        <v>1</v>
      </c>
      <c r="F964" s="1591" t="str">
        <f ca="1">IFERROR(IF(VLOOKUP(C964,'Summary Data'!B:GK,191,0)="Pcs","Pcs",IF(VLOOKUP(C964,'Summary Data'!B:GK,191,0)="sheets",C964,"N")),"N")</f>
        <v>Pcs</v>
      </c>
      <c r="G964" s="1591" t="str">
        <f ca="1">INDEX('Summary Data'!$AS$6:$FZ$57,MATCH($C964,'Summary Data'!$C$6:$C$57,0),MATCH($B964,'Summary Data'!$AS$3:$FZ$3,0))</f>
        <v>4000</v>
      </c>
      <c r="H964" s="1592" t="str">
        <f t="shared" ref="H964:H995" ca="1" si="316">IF(E964&gt;1,"Sets",IF(F964="Pcs","Copies","Sheets"))</f>
        <v>Copies</v>
      </c>
      <c r="I964" s="1591" t="str">
        <f ca="1">INDEX('Summary Data'!$AS$6:$FZ$57,MATCH($C964,'Summary Data'!$C$6:$C$57,0),MATCH($B964,'Summary Data'!$AS$3:$FZ$3,0)+1)</f>
        <v>2</v>
      </c>
      <c r="J964" s="4004" t="str">
        <f ca="1">C964</f>
        <v>Box</v>
      </c>
      <c r="K964" s="3114" t="s">
        <v>3176</v>
      </c>
      <c r="M964" s="391"/>
      <c r="N964" s="391"/>
      <c r="O964" s="313"/>
      <c r="P964" s="313"/>
      <c r="Q964" s="313"/>
      <c r="R964" s="313"/>
      <c r="S964" s="313"/>
    </row>
    <row r="965" spans="1:19" ht="16.899999999999999" hidden="1" customHeight="1" outlineLevel="1">
      <c r="A965" s="313">
        <f>A964+17</f>
        <v>17</v>
      </c>
      <c r="B965" s="1601" t="s">
        <v>195</v>
      </c>
      <c r="C965" s="1761" t="str">
        <f t="shared" ca="1" si="315"/>
        <v>N</v>
      </c>
      <c r="D965" s="1602">
        <v>1</v>
      </c>
      <c r="E965" s="1603">
        <v>1</v>
      </c>
      <c r="F965" s="1591" t="str">
        <f ca="1">IFERROR(IF(VLOOKUP(C965,'Summary Data'!B:GK,191,0)="Pcs","Pcs",IF(VLOOKUP(C965,'Summary Data'!B:GK,191,0)="sheets",C965,"N")),"N")</f>
        <v>N</v>
      </c>
      <c r="G965" s="1591">
        <f ca="1">INDEX('Summary Data'!$AS$6:$FZ$57,MATCH($C965,'Summary Data'!$C$6:$C$57,0),MATCH($B965,'Summary Data'!$AS$3:$FZ$3,0))</f>
        <v>0</v>
      </c>
      <c r="H965" s="1592" t="str">
        <f t="shared" ca="1" si="316"/>
        <v>Sheets</v>
      </c>
      <c r="I965" s="1591">
        <f ca="1">INDEX('Summary Data'!$AS$6:$FZ$57,MATCH($C965,'Summary Data'!$C$6:$C$57,0),MATCH($B965,'Summary Data'!$AS$3:$FZ$3,0)+1)</f>
        <v>0</v>
      </c>
      <c r="J965" s="4004" t="str">
        <f t="shared" ref="J965:J1028" ca="1" si="317">C965</f>
        <v>N</v>
      </c>
      <c r="K965" s="3114" t="s">
        <v>3176</v>
      </c>
      <c r="M965" s="391"/>
      <c r="N965" s="391"/>
      <c r="O965" s="313"/>
      <c r="P965" s="313"/>
      <c r="Q965" s="313"/>
      <c r="R965" s="313"/>
      <c r="S965" s="313"/>
    </row>
    <row r="966" spans="1:19" ht="16.899999999999999" hidden="1" customHeight="1" outlineLevel="1">
      <c r="A966" s="313">
        <f t="shared" ref="A966:A978" si="318">A965+17</f>
        <v>34</v>
      </c>
      <c r="B966" s="1601" t="s">
        <v>195</v>
      </c>
      <c r="C966" s="1761" t="str">
        <f t="shared" ca="1" si="315"/>
        <v>N</v>
      </c>
      <c r="D966" s="1602">
        <v>1</v>
      </c>
      <c r="E966" s="1603">
        <v>1</v>
      </c>
      <c r="F966" s="1591" t="str">
        <f ca="1">IFERROR(IF(VLOOKUP(C966,'Summary Data'!B:GK,191,0)="Pcs","Pcs",IF(VLOOKUP(C966,'Summary Data'!B:GK,191,0)="sheets",C966,"N")),"N")</f>
        <v>N</v>
      </c>
      <c r="G966" s="1591">
        <f ca="1">INDEX('Summary Data'!$AS$6:$FZ$57,MATCH($C966,'Summary Data'!$C$6:$C$57,0),MATCH($B966,'Summary Data'!$AS$3:$FZ$3,0))</f>
        <v>0</v>
      </c>
      <c r="H966" s="1592" t="str">
        <f t="shared" ca="1" si="316"/>
        <v>Sheets</v>
      </c>
      <c r="I966" s="1591">
        <f ca="1">INDEX('Summary Data'!$AS$6:$FZ$57,MATCH($C966,'Summary Data'!$C$6:$C$57,0),MATCH($B966,'Summary Data'!$AS$3:$FZ$3,0)+1)</f>
        <v>0</v>
      </c>
      <c r="J966" s="4004" t="str">
        <f t="shared" ca="1" si="317"/>
        <v>N</v>
      </c>
      <c r="K966" s="3114" t="s">
        <v>3176</v>
      </c>
      <c r="M966" s="391"/>
      <c r="N966" s="391"/>
      <c r="O966" s="313"/>
      <c r="P966" s="313"/>
      <c r="Q966" s="313"/>
      <c r="R966" s="313"/>
      <c r="S966" s="313"/>
    </row>
    <row r="967" spans="1:19" ht="16.899999999999999" hidden="1" customHeight="1" outlineLevel="1">
      <c r="A967" s="313">
        <f t="shared" si="318"/>
        <v>51</v>
      </c>
      <c r="B967" s="1601" t="s">
        <v>195</v>
      </c>
      <c r="C967" s="1761" t="str">
        <f t="shared" ca="1" si="315"/>
        <v>N</v>
      </c>
      <c r="D967" s="1602">
        <v>1</v>
      </c>
      <c r="E967" s="1603">
        <v>1</v>
      </c>
      <c r="F967" s="1591" t="str">
        <f ca="1">IFERROR(IF(VLOOKUP(C967,'Summary Data'!B:GK,191,0)="Pcs","Pcs",IF(VLOOKUP(C967,'Summary Data'!B:GK,191,0)="sheets",C967,"N")),"N")</f>
        <v>N</v>
      </c>
      <c r="G967" s="1591">
        <f ca="1">INDEX('Summary Data'!$AS$6:$FZ$57,MATCH($C967,'Summary Data'!$C$6:$C$57,0),MATCH($B967,'Summary Data'!$AS$3:$FZ$3,0))</f>
        <v>0</v>
      </c>
      <c r="H967" s="1592" t="str">
        <f t="shared" ca="1" si="316"/>
        <v>Sheets</v>
      </c>
      <c r="I967" s="1591">
        <f ca="1">INDEX('Summary Data'!$AS$6:$FZ$57,MATCH($C967,'Summary Data'!$C$6:$C$57,0),MATCH($B967,'Summary Data'!$AS$3:$FZ$3,0)+1)</f>
        <v>0</v>
      </c>
      <c r="J967" s="4004" t="str">
        <f t="shared" ca="1" si="317"/>
        <v>N</v>
      </c>
      <c r="K967" s="3114" t="s">
        <v>3176</v>
      </c>
      <c r="M967" s="391"/>
      <c r="N967" s="391"/>
      <c r="O967" s="313"/>
      <c r="P967" s="313"/>
      <c r="Q967" s="313"/>
      <c r="R967" s="313"/>
      <c r="S967" s="313"/>
    </row>
    <row r="968" spans="1:19" ht="16.899999999999999" hidden="1" customHeight="1" outlineLevel="1">
      <c r="A968" s="313">
        <f t="shared" si="318"/>
        <v>68</v>
      </c>
      <c r="B968" s="1601" t="s">
        <v>195</v>
      </c>
      <c r="C968" s="1761" t="str">
        <f t="shared" ca="1" si="315"/>
        <v>N</v>
      </c>
      <c r="D968" s="1602">
        <v>1</v>
      </c>
      <c r="E968" s="1603">
        <v>1</v>
      </c>
      <c r="F968" s="1591" t="str">
        <f ca="1">IFERROR(IF(VLOOKUP(C968,'Summary Data'!B:GK,191,0)="Pcs","Pcs",IF(VLOOKUP(C968,'Summary Data'!B:GK,191,0)="sheets",C968,"N")),"N")</f>
        <v>N</v>
      </c>
      <c r="G968" s="1591">
        <f ca="1">INDEX('Summary Data'!$AS$6:$FZ$57,MATCH($C968,'Summary Data'!$C$6:$C$57,0),MATCH($B968,'Summary Data'!$AS$3:$FZ$3,0))</f>
        <v>0</v>
      </c>
      <c r="H968" s="1592" t="str">
        <f t="shared" ca="1" si="316"/>
        <v>Sheets</v>
      </c>
      <c r="I968" s="1591">
        <f ca="1">INDEX('Summary Data'!$AS$6:$FZ$57,MATCH($C968,'Summary Data'!$C$6:$C$57,0),MATCH($B968,'Summary Data'!$AS$3:$FZ$3,0)+1)</f>
        <v>0</v>
      </c>
      <c r="J968" s="4004" t="str">
        <f t="shared" ca="1" si="317"/>
        <v>N</v>
      </c>
      <c r="K968" s="3114" t="s">
        <v>3176</v>
      </c>
      <c r="M968" s="391"/>
      <c r="N968" s="391"/>
      <c r="O968" s="313"/>
      <c r="P968" s="313"/>
      <c r="Q968" s="313"/>
      <c r="R968" s="313"/>
      <c r="S968" s="313"/>
    </row>
    <row r="969" spans="1:19" ht="16.899999999999999" hidden="1" customHeight="1" outlineLevel="1">
      <c r="A969" s="313">
        <f t="shared" si="318"/>
        <v>85</v>
      </c>
      <c r="B969" s="1601" t="s">
        <v>195</v>
      </c>
      <c r="C969" s="1761" t="str">
        <f t="shared" ca="1" si="315"/>
        <v>N</v>
      </c>
      <c r="D969" s="1602">
        <v>1</v>
      </c>
      <c r="E969" s="1603">
        <v>1</v>
      </c>
      <c r="F969" s="1591" t="str">
        <f ca="1">IFERROR(IF(VLOOKUP(C969,'Summary Data'!B:GK,191,0)="Pcs","Pcs",IF(VLOOKUP(C969,'Summary Data'!B:GK,191,0)="sheets",C969,"N")),"N")</f>
        <v>N</v>
      </c>
      <c r="G969" s="1591">
        <f ca="1">INDEX('Summary Data'!$AS$6:$FZ$57,MATCH($C969,'Summary Data'!$C$6:$C$57,0),MATCH($B969,'Summary Data'!$AS$3:$FZ$3,0))</f>
        <v>0</v>
      </c>
      <c r="H969" s="1592" t="str">
        <f t="shared" ca="1" si="316"/>
        <v>Sheets</v>
      </c>
      <c r="I969" s="1591">
        <f ca="1">INDEX('Summary Data'!$AS$6:$FZ$57,MATCH($C969,'Summary Data'!$C$6:$C$57,0),MATCH($B969,'Summary Data'!$AS$3:$FZ$3,0)+1)</f>
        <v>0</v>
      </c>
      <c r="J969" s="4004" t="str">
        <f t="shared" ca="1" si="317"/>
        <v>N</v>
      </c>
      <c r="K969" s="3114" t="s">
        <v>3176</v>
      </c>
      <c r="M969" s="391"/>
      <c r="N969" s="391"/>
      <c r="O969" s="313"/>
      <c r="P969" s="313"/>
      <c r="Q969" s="313"/>
      <c r="R969" s="313"/>
      <c r="S969" s="313"/>
    </row>
    <row r="970" spans="1:19" ht="16.899999999999999" hidden="1" customHeight="1" outlineLevel="1">
      <c r="A970" s="313">
        <f t="shared" si="318"/>
        <v>102</v>
      </c>
      <c r="B970" s="1601" t="s">
        <v>195</v>
      </c>
      <c r="C970" s="1761" t="str">
        <f t="shared" ca="1" si="315"/>
        <v>N</v>
      </c>
      <c r="D970" s="1602">
        <v>1</v>
      </c>
      <c r="E970" s="1603">
        <v>1</v>
      </c>
      <c r="F970" s="1591" t="str">
        <f ca="1">IFERROR(IF(VLOOKUP(C970,'Summary Data'!B:GK,191,0)="Pcs","Pcs",IF(VLOOKUP(C970,'Summary Data'!B:GK,191,0)="sheets",C970,"N")),"N")</f>
        <v>N</v>
      </c>
      <c r="G970" s="1591">
        <f ca="1">INDEX('Summary Data'!$AS$6:$FZ$57,MATCH($C970,'Summary Data'!$C$6:$C$57,0),MATCH($B970,'Summary Data'!$AS$3:$FZ$3,0))</f>
        <v>0</v>
      </c>
      <c r="H970" s="1592" t="str">
        <f t="shared" ca="1" si="316"/>
        <v>Sheets</v>
      </c>
      <c r="I970" s="1591">
        <f ca="1">INDEX('Summary Data'!$AS$6:$FZ$57,MATCH($C970,'Summary Data'!$C$6:$C$57,0),MATCH($B970,'Summary Data'!$AS$3:$FZ$3,0)+1)</f>
        <v>0</v>
      </c>
      <c r="J970" s="4004" t="str">
        <f t="shared" ca="1" si="317"/>
        <v>N</v>
      </c>
      <c r="K970" s="3114" t="s">
        <v>3176</v>
      </c>
      <c r="M970" s="391"/>
      <c r="N970" s="391"/>
      <c r="O970" s="313"/>
      <c r="P970" s="313"/>
      <c r="Q970" s="313"/>
      <c r="R970" s="313"/>
      <c r="S970" s="313"/>
    </row>
    <row r="971" spans="1:19" ht="16.899999999999999" hidden="1" customHeight="1" outlineLevel="1">
      <c r="A971" s="313">
        <f t="shared" si="318"/>
        <v>119</v>
      </c>
      <c r="B971" s="1601" t="s">
        <v>195</v>
      </c>
      <c r="C971" s="1761" t="str">
        <f t="shared" ca="1" si="315"/>
        <v>N</v>
      </c>
      <c r="D971" s="1602">
        <v>1</v>
      </c>
      <c r="E971" s="1603">
        <v>1</v>
      </c>
      <c r="F971" s="1591" t="str">
        <f ca="1">IFERROR(IF(VLOOKUP(C971,'Summary Data'!B:GK,191,0)="Pcs","Pcs",IF(VLOOKUP(C971,'Summary Data'!B:GK,191,0)="sheets",C971,"N")),"N")</f>
        <v>N</v>
      </c>
      <c r="G971" s="1591">
        <f ca="1">INDEX('Summary Data'!$AS$6:$FZ$57,MATCH($C971,'Summary Data'!$C$6:$C$57,0),MATCH($B971,'Summary Data'!$AS$3:$FZ$3,0))</f>
        <v>0</v>
      </c>
      <c r="H971" s="1592" t="str">
        <f t="shared" ca="1" si="316"/>
        <v>Sheets</v>
      </c>
      <c r="I971" s="1591">
        <f ca="1">INDEX('Summary Data'!$AS$6:$FZ$57,MATCH($C971,'Summary Data'!$C$6:$C$57,0),MATCH($B971,'Summary Data'!$AS$3:$FZ$3,0)+1)</f>
        <v>0</v>
      </c>
      <c r="J971" s="4004" t="str">
        <f t="shared" ca="1" si="317"/>
        <v>N</v>
      </c>
      <c r="K971" s="3114" t="s">
        <v>3176</v>
      </c>
      <c r="M971" s="391"/>
      <c r="N971" s="391"/>
      <c r="O971" s="313"/>
      <c r="P971" s="313"/>
      <c r="Q971" s="313"/>
      <c r="R971" s="313"/>
      <c r="S971" s="313"/>
    </row>
    <row r="972" spans="1:19" ht="16.899999999999999" hidden="1" customHeight="1" outlineLevel="1">
      <c r="A972" s="313">
        <f t="shared" si="318"/>
        <v>136</v>
      </c>
      <c r="B972" s="1601" t="s">
        <v>195</v>
      </c>
      <c r="C972" s="1761" t="str">
        <f t="shared" ca="1" si="315"/>
        <v>N</v>
      </c>
      <c r="D972" s="1602">
        <v>1</v>
      </c>
      <c r="E972" s="1603">
        <v>1</v>
      </c>
      <c r="F972" s="1591" t="str">
        <f ca="1">IFERROR(IF(VLOOKUP(C972,'Summary Data'!B:GK,191,0)="Pcs","Pcs",IF(VLOOKUP(C972,'Summary Data'!B:GK,191,0)="sheets",C972,"N")),"N")</f>
        <v>N</v>
      </c>
      <c r="G972" s="1591">
        <f ca="1">INDEX('Summary Data'!$AS$6:$FZ$57,MATCH($C972,'Summary Data'!$C$6:$C$57,0),MATCH($B972,'Summary Data'!$AS$3:$FZ$3,0))</f>
        <v>0</v>
      </c>
      <c r="H972" s="1592" t="str">
        <f t="shared" ca="1" si="316"/>
        <v>Sheets</v>
      </c>
      <c r="I972" s="1591">
        <f ca="1">INDEX('Summary Data'!$AS$6:$FZ$57,MATCH($C972,'Summary Data'!$C$6:$C$57,0),MATCH($B972,'Summary Data'!$AS$3:$FZ$3,0)+1)</f>
        <v>0</v>
      </c>
      <c r="J972" s="4004" t="str">
        <f t="shared" ca="1" si="317"/>
        <v>N</v>
      </c>
      <c r="K972" s="3114" t="s">
        <v>3176</v>
      </c>
      <c r="M972" s="391"/>
      <c r="N972" s="391"/>
      <c r="O972" s="313"/>
      <c r="P972" s="313"/>
      <c r="Q972" s="313"/>
      <c r="R972" s="313"/>
      <c r="S972" s="313"/>
    </row>
    <row r="973" spans="1:19" ht="16.899999999999999" hidden="1" customHeight="1" outlineLevel="1">
      <c r="A973" s="313">
        <f t="shared" si="318"/>
        <v>153</v>
      </c>
      <c r="B973" s="1601" t="s">
        <v>195</v>
      </c>
      <c r="C973" s="1761" t="str">
        <f t="shared" ca="1" si="315"/>
        <v>N</v>
      </c>
      <c r="D973" s="1602">
        <v>1</v>
      </c>
      <c r="E973" s="1603">
        <v>1</v>
      </c>
      <c r="F973" s="1591" t="str">
        <f ca="1">IFERROR(IF(VLOOKUP(C973,'Summary Data'!B:GK,191,0)="Pcs","Pcs",IF(VLOOKUP(C973,'Summary Data'!B:GK,191,0)="sheets",C973,"N")),"N")</f>
        <v>N</v>
      </c>
      <c r="G973" s="1591">
        <f ca="1">INDEX('Summary Data'!$AS$6:$FZ$57,MATCH($C973,'Summary Data'!$C$6:$C$57,0),MATCH($B973,'Summary Data'!$AS$3:$FZ$3,0))</f>
        <v>0</v>
      </c>
      <c r="H973" s="1592" t="str">
        <f t="shared" ca="1" si="316"/>
        <v>Sheets</v>
      </c>
      <c r="I973" s="1591">
        <f ca="1">INDEX('Summary Data'!$AS$6:$FZ$57,MATCH($C973,'Summary Data'!$C$6:$C$57,0),MATCH($B973,'Summary Data'!$AS$3:$FZ$3,0)+1)</f>
        <v>0</v>
      </c>
      <c r="J973" s="4004" t="str">
        <f t="shared" ca="1" si="317"/>
        <v>N</v>
      </c>
      <c r="K973" s="3114" t="s">
        <v>3176</v>
      </c>
      <c r="M973" s="391"/>
      <c r="N973" s="391"/>
      <c r="O973" s="313"/>
      <c r="P973" s="313"/>
      <c r="Q973" s="313"/>
      <c r="R973" s="313"/>
      <c r="S973" s="313"/>
    </row>
    <row r="974" spans="1:19" ht="16.899999999999999" hidden="1" customHeight="1" outlineLevel="1">
      <c r="A974" s="313">
        <f t="shared" si="318"/>
        <v>170</v>
      </c>
      <c r="B974" s="1601" t="s">
        <v>195</v>
      </c>
      <c r="C974" s="1761" t="str">
        <f t="shared" ca="1" si="315"/>
        <v>N</v>
      </c>
      <c r="D974" s="1602">
        <v>1</v>
      </c>
      <c r="E974" s="1603">
        <v>1</v>
      </c>
      <c r="F974" s="1591" t="str">
        <f ca="1">IFERROR(IF(VLOOKUP(C974,'Summary Data'!B:GK,191,0)="Pcs","Pcs",IF(VLOOKUP(C974,'Summary Data'!B:GK,191,0)="sheets",C974,"N")),"N")</f>
        <v>N</v>
      </c>
      <c r="G974" s="1591">
        <f ca="1">INDEX('Summary Data'!$AS$6:$FZ$57,MATCH($C974,'Summary Data'!$C$6:$C$57,0),MATCH($B974,'Summary Data'!$AS$3:$FZ$3,0))</f>
        <v>0</v>
      </c>
      <c r="H974" s="1592" t="str">
        <f t="shared" ca="1" si="316"/>
        <v>Sheets</v>
      </c>
      <c r="I974" s="1591">
        <f ca="1">INDEX('Summary Data'!$AS$6:$FZ$57,MATCH($C974,'Summary Data'!$C$6:$C$57,0),MATCH($B974,'Summary Data'!$AS$3:$FZ$3,0)+1)</f>
        <v>0</v>
      </c>
      <c r="J974" s="4004" t="str">
        <f t="shared" ca="1" si="317"/>
        <v>N</v>
      </c>
      <c r="K974" s="3114" t="s">
        <v>3176</v>
      </c>
      <c r="M974" s="391"/>
      <c r="N974" s="391"/>
      <c r="O974" s="313"/>
      <c r="P974" s="313"/>
      <c r="Q974" s="313"/>
      <c r="R974" s="313"/>
      <c r="S974" s="313"/>
    </row>
    <row r="975" spans="1:19" ht="16.899999999999999" hidden="1" customHeight="1" outlineLevel="1">
      <c r="A975" s="313">
        <f t="shared" si="318"/>
        <v>187</v>
      </c>
      <c r="B975" s="1601" t="s">
        <v>195</v>
      </c>
      <c r="C975" s="1761" t="str">
        <f t="shared" ca="1" si="315"/>
        <v>N</v>
      </c>
      <c r="D975" s="1602">
        <v>1</v>
      </c>
      <c r="E975" s="1603">
        <v>1</v>
      </c>
      <c r="F975" s="1591" t="str">
        <f ca="1">IFERROR(IF(VLOOKUP(C975,'Summary Data'!B:GK,191,0)="Pcs","Pcs",IF(VLOOKUP(C975,'Summary Data'!B:GK,191,0)="sheets",C975,"N")),"N")</f>
        <v>N</v>
      </c>
      <c r="G975" s="1591">
        <f ca="1">INDEX('Summary Data'!$AS$6:$FZ$57,MATCH($C975,'Summary Data'!$C$6:$C$57,0),MATCH($B975,'Summary Data'!$AS$3:$FZ$3,0))</f>
        <v>0</v>
      </c>
      <c r="H975" s="1592" t="str">
        <f t="shared" ca="1" si="316"/>
        <v>Sheets</v>
      </c>
      <c r="I975" s="1591">
        <f ca="1">INDEX('Summary Data'!$AS$6:$FZ$57,MATCH($C975,'Summary Data'!$C$6:$C$57,0),MATCH($B975,'Summary Data'!$AS$3:$FZ$3,0)+1)</f>
        <v>0</v>
      </c>
      <c r="J975" s="4004" t="str">
        <f t="shared" ca="1" si="317"/>
        <v>N</v>
      </c>
      <c r="K975" s="3114" t="s">
        <v>3176</v>
      </c>
      <c r="M975" s="391"/>
      <c r="N975" s="391"/>
      <c r="O975" s="313"/>
      <c r="P975" s="313"/>
      <c r="Q975" s="313"/>
      <c r="R975" s="313"/>
      <c r="S975" s="313"/>
    </row>
    <row r="976" spans="1:19" ht="16.899999999999999" hidden="1" customHeight="1" outlineLevel="1">
      <c r="A976" s="313">
        <f t="shared" si="318"/>
        <v>204</v>
      </c>
      <c r="B976" s="1601" t="s">
        <v>195</v>
      </c>
      <c r="C976" s="1761" t="str">
        <f t="shared" ca="1" si="315"/>
        <v>N</v>
      </c>
      <c r="D976" s="1602">
        <v>1</v>
      </c>
      <c r="E976" s="1603">
        <v>1</v>
      </c>
      <c r="F976" s="1591" t="str">
        <f ca="1">IFERROR(IF(VLOOKUP(C976,'Summary Data'!B:GK,191,0)="Pcs","Pcs",IF(VLOOKUP(C976,'Summary Data'!B:GK,191,0)="sheets",C976,"N")),"N")</f>
        <v>N</v>
      </c>
      <c r="G976" s="1591">
        <f ca="1">INDEX('Summary Data'!$AS$6:$FZ$57,MATCH($C976,'Summary Data'!$C$6:$C$57,0),MATCH($B976,'Summary Data'!$AS$3:$FZ$3,0))</f>
        <v>0</v>
      </c>
      <c r="H976" s="1592" t="str">
        <f t="shared" ca="1" si="316"/>
        <v>Sheets</v>
      </c>
      <c r="I976" s="1591">
        <f ca="1">INDEX('Summary Data'!$AS$6:$FZ$57,MATCH($C976,'Summary Data'!$C$6:$C$57,0),MATCH($B976,'Summary Data'!$AS$3:$FZ$3,0)+1)</f>
        <v>0</v>
      </c>
      <c r="J976" s="4004" t="str">
        <f t="shared" ca="1" si="317"/>
        <v>N</v>
      </c>
      <c r="K976" s="3114" t="s">
        <v>3176</v>
      </c>
      <c r="M976" s="391"/>
      <c r="N976" s="391"/>
      <c r="O976" s="313"/>
      <c r="P976" s="313"/>
      <c r="Q976" s="313"/>
      <c r="R976" s="313"/>
      <c r="S976" s="313"/>
    </row>
    <row r="977" spans="1:19" ht="16.899999999999999" hidden="1" customHeight="1" outlineLevel="1">
      <c r="A977" s="313">
        <f t="shared" si="318"/>
        <v>221</v>
      </c>
      <c r="B977" s="1601" t="s">
        <v>195</v>
      </c>
      <c r="C977" s="1761" t="str">
        <f t="shared" ca="1" si="315"/>
        <v>1st</v>
      </c>
      <c r="D977" s="1602">
        <v>1</v>
      </c>
      <c r="E977" s="1603">
        <v>1</v>
      </c>
      <c r="F977" s="1591" t="str">
        <f ca="1">IFERROR(IF(VLOOKUP(C977,'Summary Data'!B:GK,191,0)="Pcs","Pcs",IF(VLOOKUP(C977,'Summary Data'!B:GK,191,0)="sheets",C977,"N")),"N")</f>
        <v>N</v>
      </c>
      <c r="G977" s="1591">
        <f ca="1">INDEX('Summary Data'!$AS$6:$FZ$57,MATCH($C977,'Summary Data'!$C$6:$C$57,0),MATCH($B977,'Summary Data'!$AS$3:$FZ$3,0))</f>
        <v>0</v>
      </c>
      <c r="H977" s="1592" t="str">
        <f t="shared" ca="1" si="316"/>
        <v>Sheets</v>
      </c>
      <c r="I977" s="1591">
        <f ca="1">INDEX('Summary Data'!$AS$6:$FZ$57,MATCH($C977,'Summary Data'!$C$6:$C$57,0),MATCH($B977,'Summary Data'!$AS$3:$FZ$3,0)+1)</f>
        <v>0</v>
      </c>
      <c r="J977" s="4004" t="str">
        <f t="shared" ca="1" si="317"/>
        <v>1st</v>
      </c>
      <c r="K977" s="3114" t="s">
        <v>3176</v>
      </c>
      <c r="M977" s="391"/>
      <c r="N977" s="391"/>
      <c r="O977" s="313"/>
      <c r="P977" s="313"/>
      <c r="Q977" s="313"/>
      <c r="R977" s="313"/>
      <c r="S977" s="313"/>
    </row>
    <row r="978" spans="1:19" ht="16.899999999999999" hidden="1" customHeight="1" outlineLevel="1">
      <c r="A978" s="313">
        <f t="shared" si="318"/>
        <v>238</v>
      </c>
      <c r="B978" s="1601" t="s">
        <v>195</v>
      </c>
      <c r="C978" s="1761" t="str">
        <f t="shared" ca="1" si="315"/>
        <v>1st</v>
      </c>
      <c r="D978" s="1602">
        <v>1</v>
      </c>
      <c r="E978" s="1603">
        <v>1</v>
      </c>
      <c r="F978" s="1591" t="str">
        <f ca="1">IFERROR(IF(VLOOKUP(C978,'Summary Data'!B:GK,191,0)="Pcs","Pcs",IF(VLOOKUP(C978,'Summary Data'!B:GK,191,0)="sheets",C978,"N")),"N")</f>
        <v>N</v>
      </c>
      <c r="G978" s="1591">
        <f ca="1">INDEX('Summary Data'!$AS$6:$FZ$57,MATCH($C978,'Summary Data'!$C$6:$C$57,0),MATCH($B978,'Summary Data'!$AS$3:$FZ$3,0))</f>
        <v>0</v>
      </c>
      <c r="H978" s="1592" t="str">
        <f t="shared" ca="1" si="316"/>
        <v>Sheets</v>
      </c>
      <c r="I978" s="1591">
        <f ca="1">INDEX('Summary Data'!$AS$6:$FZ$57,MATCH($C978,'Summary Data'!$C$6:$C$57,0),MATCH($B978,'Summary Data'!$AS$3:$FZ$3,0)+1)</f>
        <v>0</v>
      </c>
      <c r="J978" s="4004" t="str">
        <f t="shared" ca="1" si="317"/>
        <v>1st</v>
      </c>
      <c r="K978" s="3114" t="s">
        <v>3176</v>
      </c>
      <c r="M978" s="391"/>
      <c r="N978" s="391"/>
      <c r="O978" s="313"/>
      <c r="P978" s="313"/>
      <c r="Q978" s="313"/>
      <c r="R978" s="313"/>
      <c r="S978" s="313"/>
    </row>
    <row r="979" spans="1:19" ht="16.899999999999999" hidden="1" customHeight="1" outlineLevel="1">
      <c r="A979" s="313">
        <f>0</f>
        <v>0</v>
      </c>
      <c r="B979" s="1601" t="s">
        <v>195</v>
      </c>
      <c r="C979" s="3692" t="str">
        <f t="shared" ref="C979:C993" ca="1" si="319">OFFSET($A$312,A979,0)</f>
        <v>N</v>
      </c>
      <c r="D979" s="1602">
        <v>1</v>
      </c>
      <c r="E979" s="1603">
        <v>1</v>
      </c>
      <c r="F979" s="1591" t="str">
        <f ca="1">IFERROR(IF(VLOOKUP(C979,'Summary Data'!B:GK,191,0)="Pcs","Pcs",IF(VLOOKUP(C979,'Summary Data'!B:GK,191,0)="sheets",C979,"N")),"N")</f>
        <v>N</v>
      </c>
      <c r="G979" s="1591">
        <f ca="1">INDEX('Summary Data'!$AS$6:$FZ$57,MATCH($C979,'Summary Data'!$C$6:$C$57,0),MATCH($B979,'Summary Data'!$AS$3:$FZ$3,0))</f>
        <v>0</v>
      </c>
      <c r="H979" s="1592" t="str">
        <f t="shared" ca="1" si="316"/>
        <v>Sheets</v>
      </c>
      <c r="I979" s="1591">
        <f ca="1">INDEX('Summary Data'!$AS$6:$FZ$57,MATCH($C979,'Summary Data'!$C$6:$C$57,0),MATCH($B979,'Summary Data'!$AS$3:$FZ$3,0)+1)</f>
        <v>0</v>
      </c>
      <c r="J979" s="4004" t="str">
        <f t="shared" ca="1" si="317"/>
        <v>N</v>
      </c>
      <c r="K979" s="3114" t="s">
        <v>3176</v>
      </c>
      <c r="M979" s="391"/>
      <c r="N979" s="391"/>
      <c r="O979" s="313"/>
      <c r="P979" s="313"/>
      <c r="Q979" s="313"/>
      <c r="R979" s="313"/>
      <c r="S979" s="313"/>
    </row>
    <row r="980" spans="1:19" ht="16.899999999999999" hidden="1" customHeight="1" outlineLevel="1">
      <c r="A980" s="313">
        <f>A979+3</f>
        <v>3</v>
      </c>
      <c r="B980" s="1601" t="s">
        <v>195</v>
      </c>
      <c r="C980" s="3692" t="str">
        <f t="shared" ca="1" si="319"/>
        <v>N</v>
      </c>
      <c r="D980" s="1602">
        <v>1</v>
      </c>
      <c r="E980" s="1603">
        <v>1</v>
      </c>
      <c r="F980" s="1591" t="str">
        <f ca="1">IFERROR(IF(VLOOKUP(C980,'Summary Data'!B:GK,191,0)="Pcs","Pcs",IF(VLOOKUP(C980,'Summary Data'!B:GK,191,0)="sheets",C980,"N")),"N")</f>
        <v>N</v>
      </c>
      <c r="G980" s="1591">
        <f ca="1">INDEX('Summary Data'!$AS$6:$FZ$57,MATCH($C980,'Summary Data'!$C$6:$C$57,0),MATCH($B980,'Summary Data'!$AS$3:$FZ$3,0))</f>
        <v>0</v>
      </c>
      <c r="H980" s="1592" t="str">
        <f t="shared" ca="1" si="316"/>
        <v>Sheets</v>
      </c>
      <c r="I980" s="1591">
        <f ca="1">INDEX('Summary Data'!$AS$6:$FZ$57,MATCH($C980,'Summary Data'!$C$6:$C$57,0),MATCH($B980,'Summary Data'!$AS$3:$FZ$3,0)+1)</f>
        <v>0</v>
      </c>
      <c r="J980" s="4004" t="str">
        <f t="shared" ca="1" si="317"/>
        <v>N</v>
      </c>
      <c r="K980" s="3114" t="s">
        <v>3176</v>
      </c>
      <c r="M980" s="391"/>
      <c r="N980" s="391"/>
      <c r="O980" s="313"/>
      <c r="P980" s="313"/>
      <c r="Q980" s="313"/>
      <c r="R980" s="313"/>
      <c r="S980" s="313"/>
    </row>
    <row r="981" spans="1:19" ht="16.899999999999999" hidden="1" customHeight="1" outlineLevel="1">
      <c r="A981" s="313">
        <f t="shared" ref="A981:A993" si="320">A980+3</f>
        <v>6</v>
      </c>
      <c r="B981" s="1601" t="s">
        <v>195</v>
      </c>
      <c r="C981" s="3692" t="str">
        <f t="shared" ca="1" si="319"/>
        <v>N</v>
      </c>
      <c r="D981" s="1602">
        <v>1</v>
      </c>
      <c r="E981" s="1603">
        <v>1</v>
      </c>
      <c r="F981" s="1591" t="str">
        <f ca="1">IFERROR(IF(VLOOKUP(C981,'Summary Data'!B:GK,191,0)="Pcs","Pcs",IF(VLOOKUP(C981,'Summary Data'!B:GK,191,0)="sheets",C981,"N")),"N")</f>
        <v>N</v>
      </c>
      <c r="G981" s="1591">
        <f ca="1">INDEX('Summary Data'!$AS$6:$FZ$57,MATCH($C981,'Summary Data'!$C$6:$C$57,0),MATCH($B981,'Summary Data'!$AS$3:$FZ$3,0))</f>
        <v>0</v>
      </c>
      <c r="H981" s="1592" t="str">
        <f t="shared" ca="1" si="316"/>
        <v>Sheets</v>
      </c>
      <c r="I981" s="1591">
        <f ca="1">INDEX('Summary Data'!$AS$6:$FZ$57,MATCH($C981,'Summary Data'!$C$6:$C$57,0),MATCH($B981,'Summary Data'!$AS$3:$FZ$3,0)+1)</f>
        <v>0</v>
      </c>
      <c r="J981" s="4004" t="str">
        <f t="shared" ca="1" si="317"/>
        <v>N</v>
      </c>
      <c r="K981" s="3114" t="s">
        <v>3176</v>
      </c>
      <c r="M981" s="391"/>
      <c r="N981" s="391"/>
      <c r="O981" s="313"/>
      <c r="P981" s="313"/>
      <c r="Q981" s="313"/>
      <c r="R981" s="313"/>
      <c r="S981" s="313"/>
    </row>
    <row r="982" spans="1:19" ht="16.899999999999999" hidden="1" customHeight="1" outlineLevel="1">
      <c r="A982" s="313">
        <f t="shared" si="320"/>
        <v>9</v>
      </c>
      <c r="B982" s="1601" t="s">
        <v>195</v>
      </c>
      <c r="C982" s="3692" t="str">
        <f t="shared" ca="1" si="319"/>
        <v>N</v>
      </c>
      <c r="D982" s="1602">
        <v>1</v>
      </c>
      <c r="E982" s="1603">
        <v>1</v>
      </c>
      <c r="F982" s="1591" t="str">
        <f ca="1">IFERROR(IF(VLOOKUP(C982,'Summary Data'!B:GK,191,0)="Pcs","Pcs",IF(VLOOKUP(C982,'Summary Data'!B:GK,191,0)="sheets",C982,"N")),"N")</f>
        <v>N</v>
      </c>
      <c r="G982" s="1591">
        <f ca="1">INDEX('Summary Data'!$AS$6:$FZ$57,MATCH($C982,'Summary Data'!$C$6:$C$57,0),MATCH($B982,'Summary Data'!$AS$3:$FZ$3,0))</f>
        <v>0</v>
      </c>
      <c r="H982" s="1592" t="str">
        <f t="shared" ca="1" si="316"/>
        <v>Sheets</v>
      </c>
      <c r="I982" s="1591">
        <f ca="1">INDEX('Summary Data'!$AS$6:$FZ$57,MATCH($C982,'Summary Data'!$C$6:$C$57,0),MATCH($B982,'Summary Data'!$AS$3:$FZ$3,0)+1)</f>
        <v>0</v>
      </c>
      <c r="J982" s="4004" t="str">
        <f t="shared" ca="1" si="317"/>
        <v>N</v>
      </c>
      <c r="K982" s="3114" t="s">
        <v>3176</v>
      </c>
      <c r="M982" s="391"/>
      <c r="N982" s="391"/>
      <c r="O982" s="313"/>
      <c r="P982" s="313"/>
      <c r="Q982" s="313"/>
      <c r="R982" s="313"/>
      <c r="S982" s="313"/>
    </row>
    <row r="983" spans="1:19" ht="16.899999999999999" hidden="1" customHeight="1" outlineLevel="1">
      <c r="A983" s="313">
        <f t="shared" si="320"/>
        <v>12</v>
      </c>
      <c r="B983" s="1601" t="s">
        <v>195</v>
      </c>
      <c r="C983" s="3692" t="str">
        <f t="shared" ca="1" si="319"/>
        <v>N</v>
      </c>
      <c r="D983" s="1602">
        <v>1</v>
      </c>
      <c r="E983" s="1603">
        <v>1</v>
      </c>
      <c r="F983" s="1591" t="str">
        <f ca="1">IFERROR(IF(VLOOKUP(C983,'Summary Data'!B:GK,191,0)="Pcs","Pcs",IF(VLOOKUP(C983,'Summary Data'!B:GK,191,0)="sheets",C983,"N")),"N")</f>
        <v>N</v>
      </c>
      <c r="G983" s="1591">
        <f ca="1">INDEX('Summary Data'!$AS$6:$FZ$57,MATCH($C983,'Summary Data'!$C$6:$C$57,0),MATCH($B983,'Summary Data'!$AS$3:$FZ$3,0))</f>
        <v>0</v>
      </c>
      <c r="H983" s="1592" t="str">
        <f t="shared" ca="1" si="316"/>
        <v>Sheets</v>
      </c>
      <c r="I983" s="1591">
        <f ca="1">INDEX('Summary Data'!$AS$6:$FZ$57,MATCH($C983,'Summary Data'!$C$6:$C$57,0),MATCH($B983,'Summary Data'!$AS$3:$FZ$3,0)+1)</f>
        <v>0</v>
      </c>
      <c r="J983" s="4004" t="str">
        <f t="shared" ca="1" si="317"/>
        <v>N</v>
      </c>
      <c r="K983" s="3114" t="s">
        <v>3176</v>
      </c>
      <c r="M983" s="391"/>
      <c r="N983" s="391"/>
      <c r="O983" s="313"/>
      <c r="P983" s="313"/>
      <c r="Q983" s="313"/>
      <c r="R983" s="313"/>
      <c r="S983" s="313"/>
    </row>
    <row r="984" spans="1:19" ht="16.899999999999999" hidden="1" customHeight="1" outlineLevel="1">
      <c r="A984" s="313">
        <f t="shared" si="320"/>
        <v>15</v>
      </c>
      <c r="B984" s="1601" t="s">
        <v>195</v>
      </c>
      <c r="C984" s="3692" t="str">
        <f t="shared" ca="1" si="319"/>
        <v>N</v>
      </c>
      <c r="D984" s="1602">
        <v>1</v>
      </c>
      <c r="E984" s="1603">
        <v>1</v>
      </c>
      <c r="F984" s="1591" t="str">
        <f ca="1">IFERROR(IF(VLOOKUP(C984,'Summary Data'!B:GK,191,0)="Pcs","Pcs",IF(VLOOKUP(C984,'Summary Data'!B:GK,191,0)="sheets",C984,"N")),"N")</f>
        <v>N</v>
      </c>
      <c r="G984" s="1591">
        <f ca="1">INDEX('Summary Data'!$AS$6:$FZ$57,MATCH($C984,'Summary Data'!$C$6:$C$57,0),MATCH($B984,'Summary Data'!$AS$3:$FZ$3,0))</f>
        <v>0</v>
      </c>
      <c r="H984" s="1592" t="str">
        <f t="shared" ca="1" si="316"/>
        <v>Sheets</v>
      </c>
      <c r="I984" s="1591">
        <f ca="1">INDEX('Summary Data'!$AS$6:$FZ$57,MATCH($C984,'Summary Data'!$C$6:$C$57,0),MATCH($B984,'Summary Data'!$AS$3:$FZ$3,0)+1)</f>
        <v>0</v>
      </c>
      <c r="J984" s="4004" t="str">
        <f t="shared" ca="1" si="317"/>
        <v>N</v>
      </c>
      <c r="K984" s="3114" t="s">
        <v>3176</v>
      </c>
      <c r="M984" s="391"/>
      <c r="N984" s="391"/>
      <c r="O984" s="313"/>
      <c r="P984" s="313"/>
      <c r="Q984" s="313"/>
      <c r="R984" s="313"/>
      <c r="S984" s="313"/>
    </row>
    <row r="985" spans="1:19" ht="16.899999999999999" hidden="1" customHeight="1" outlineLevel="1">
      <c r="A985" s="313">
        <f t="shared" si="320"/>
        <v>18</v>
      </c>
      <c r="B985" s="1601" t="s">
        <v>195</v>
      </c>
      <c r="C985" s="3692" t="str">
        <f t="shared" ca="1" si="319"/>
        <v>N</v>
      </c>
      <c r="D985" s="1602">
        <v>1</v>
      </c>
      <c r="E985" s="1603">
        <v>1</v>
      </c>
      <c r="F985" s="1591" t="str">
        <f ca="1">IFERROR(IF(VLOOKUP(C985,'Summary Data'!B:GK,191,0)="Pcs","Pcs",IF(VLOOKUP(C985,'Summary Data'!B:GK,191,0)="sheets",C985,"N")),"N")</f>
        <v>N</v>
      </c>
      <c r="G985" s="1591">
        <f ca="1">INDEX('Summary Data'!$AS$6:$FZ$57,MATCH($C985,'Summary Data'!$C$6:$C$57,0),MATCH($B985,'Summary Data'!$AS$3:$FZ$3,0))</f>
        <v>0</v>
      </c>
      <c r="H985" s="1592" t="str">
        <f t="shared" ca="1" si="316"/>
        <v>Sheets</v>
      </c>
      <c r="I985" s="1591">
        <f ca="1">INDEX('Summary Data'!$AS$6:$FZ$57,MATCH($C985,'Summary Data'!$C$6:$C$57,0),MATCH($B985,'Summary Data'!$AS$3:$FZ$3,0)+1)</f>
        <v>0</v>
      </c>
      <c r="J985" s="4004" t="str">
        <f t="shared" ca="1" si="317"/>
        <v>N</v>
      </c>
      <c r="K985" s="3114" t="s">
        <v>3176</v>
      </c>
      <c r="M985" s="391"/>
      <c r="N985" s="391"/>
      <c r="O985" s="313"/>
      <c r="P985" s="313"/>
      <c r="Q985" s="313"/>
      <c r="R985" s="313"/>
      <c r="S985" s="313"/>
    </row>
    <row r="986" spans="1:19" ht="16.899999999999999" hidden="1" customHeight="1" outlineLevel="1">
      <c r="A986" s="313">
        <f t="shared" si="320"/>
        <v>21</v>
      </c>
      <c r="B986" s="1601" t="s">
        <v>195</v>
      </c>
      <c r="C986" s="3692" t="str">
        <f t="shared" ca="1" si="319"/>
        <v>N</v>
      </c>
      <c r="D986" s="1602">
        <v>1</v>
      </c>
      <c r="E986" s="1603">
        <v>1</v>
      </c>
      <c r="F986" s="1591" t="str">
        <f ca="1">IFERROR(IF(VLOOKUP(C986,'Summary Data'!B:GK,191,0)="Pcs","Pcs",IF(VLOOKUP(C986,'Summary Data'!B:GK,191,0)="sheets",C986,"N")),"N")</f>
        <v>N</v>
      </c>
      <c r="G986" s="1591">
        <f ca="1">INDEX('Summary Data'!$AS$6:$FZ$57,MATCH($C986,'Summary Data'!$C$6:$C$57,0),MATCH($B986,'Summary Data'!$AS$3:$FZ$3,0))</f>
        <v>0</v>
      </c>
      <c r="H986" s="1592" t="str">
        <f t="shared" ca="1" si="316"/>
        <v>Sheets</v>
      </c>
      <c r="I986" s="1591">
        <f ca="1">INDEX('Summary Data'!$AS$6:$FZ$57,MATCH($C986,'Summary Data'!$C$6:$C$57,0),MATCH($B986,'Summary Data'!$AS$3:$FZ$3,0)+1)</f>
        <v>0</v>
      </c>
      <c r="J986" s="4004" t="str">
        <f t="shared" ca="1" si="317"/>
        <v>N</v>
      </c>
      <c r="K986" s="3114" t="s">
        <v>3176</v>
      </c>
      <c r="M986" s="391"/>
      <c r="N986" s="391"/>
      <c r="O986" s="313"/>
      <c r="P986" s="313"/>
      <c r="Q986" s="313"/>
      <c r="R986" s="313"/>
      <c r="S986" s="313"/>
    </row>
    <row r="987" spans="1:19" ht="16.899999999999999" hidden="1" customHeight="1" outlineLevel="1">
      <c r="A987" s="313">
        <f t="shared" si="320"/>
        <v>24</v>
      </c>
      <c r="B987" s="1601" t="s">
        <v>195</v>
      </c>
      <c r="C987" s="3692" t="str">
        <f t="shared" ca="1" si="319"/>
        <v>N</v>
      </c>
      <c r="D987" s="1602">
        <v>1</v>
      </c>
      <c r="E987" s="1603">
        <v>1</v>
      </c>
      <c r="F987" s="1591" t="str">
        <f ca="1">IFERROR(IF(VLOOKUP(C987,'Summary Data'!B:GK,191,0)="Pcs","Pcs",IF(VLOOKUP(C987,'Summary Data'!B:GK,191,0)="sheets",C987,"N")),"N")</f>
        <v>N</v>
      </c>
      <c r="G987" s="1591">
        <f ca="1">INDEX('Summary Data'!$AS$6:$FZ$57,MATCH($C987,'Summary Data'!$C$6:$C$57,0),MATCH($B987,'Summary Data'!$AS$3:$FZ$3,0))</f>
        <v>0</v>
      </c>
      <c r="H987" s="1592" t="str">
        <f t="shared" ca="1" si="316"/>
        <v>Sheets</v>
      </c>
      <c r="I987" s="1591">
        <f ca="1">INDEX('Summary Data'!$AS$6:$FZ$57,MATCH($C987,'Summary Data'!$C$6:$C$57,0),MATCH($B987,'Summary Data'!$AS$3:$FZ$3,0)+1)</f>
        <v>0</v>
      </c>
      <c r="J987" s="4004" t="str">
        <f t="shared" ca="1" si="317"/>
        <v>N</v>
      </c>
      <c r="K987" s="3114" t="s">
        <v>3176</v>
      </c>
      <c r="M987" s="391"/>
      <c r="N987" s="391"/>
      <c r="O987" s="313"/>
      <c r="P987" s="313"/>
      <c r="Q987" s="313"/>
      <c r="R987" s="313"/>
      <c r="S987" s="313"/>
    </row>
    <row r="988" spans="1:19" ht="16.899999999999999" hidden="1" customHeight="1" outlineLevel="1">
      <c r="A988" s="313">
        <f t="shared" si="320"/>
        <v>27</v>
      </c>
      <c r="B988" s="1601" t="s">
        <v>195</v>
      </c>
      <c r="C988" s="3692" t="str">
        <f t="shared" ca="1" si="319"/>
        <v>N</v>
      </c>
      <c r="D988" s="1602">
        <v>1</v>
      </c>
      <c r="E988" s="1603">
        <v>1</v>
      </c>
      <c r="F988" s="1591" t="str">
        <f ca="1">IFERROR(IF(VLOOKUP(C988,'Summary Data'!B:GK,191,0)="Pcs","Pcs",IF(VLOOKUP(C988,'Summary Data'!B:GK,191,0)="sheets",C988,"N")),"N")</f>
        <v>N</v>
      </c>
      <c r="G988" s="1591">
        <f ca="1">INDEX('Summary Data'!$AS$6:$FZ$57,MATCH($C988,'Summary Data'!$C$6:$C$57,0),MATCH($B988,'Summary Data'!$AS$3:$FZ$3,0))</f>
        <v>0</v>
      </c>
      <c r="H988" s="1592" t="str">
        <f t="shared" ca="1" si="316"/>
        <v>Sheets</v>
      </c>
      <c r="I988" s="1591">
        <f ca="1">INDEX('Summary Data'!$AS$6:$FZ$57,MATCH($C988,'Summary Data'!$C$6:$C$57,0),MATCH($B988,'Summary Data'!$AS$3:$FZ$3,0)+1)</f>
        <v>0</v>
      </c>
      <c r="J988" s="4004" t="str">
        <f t="shared" ca="1" si="317"/>
        <v>N</v>
      </c>
      <c r="K988" s="3114" t="s">
        <v>3176</v>
      </c>
      <c r="M988" s="391"/>
      <c r="N988" s="391"/>
      <c r="O988" s="313"/>
      <c r="P988" s="313"/>
      <c r="Q988" s="313"/>
      <c r="R988" s="313"/>
      <c r="S988" s="313"/>
    </row>
    <row r="989" spans="1:19" ht="16.899999999999999" hidden="1" customHeight="1" outlineLevel="1">
      <c r="A989" s="313">
        <f t="shared" si="320"/>
        <v>30</v>
      </c>
      <c r="B989" s="1601" t="s">
        <v>195</v>
      </c>
      <c r="C989" s="3692" t="str">
        <f t="shared" ca="1" si="319"/>
        <v>N</v>
      </c>
      <c r="D989" s="1602">
        <v>1</v>
      </c>
      <c r="E989" s="1603">
        <v>1</v>
      </c>
      <c r="F989" s="1591" t="str">
        <f ca="1">IFERROR(IF(VLOOKUP(C989,'Summary Data'!B:GK,191,0)="Pcs","Pcs",IF(VLOOKUP(C989,'Summary Data'!B:GK,191,0)="sheets",C989,"N")),"N")</f>
        <v>N</v>
      </c>
      <c r="G989" s="1591">
        <f ca="1">INDEX('Summary Data'!$AS$6:$FZ$57,MATCH($C989,'Summary Data'!$C$6:$C$57,0),MATCH($B989,'Summary Data'!$AS$3:$FZ$3,0))</f>
        <v>0</v>
      </c>
      <c r="H989" s="1592" t="str">
        <f t="shared" ca="1" si="316"/>
        <v>Sheets</v>
      </c>
      <c r="I989" s="1591">
        <f ca="1">INDEX('Summary Data'!$AS$6:$FZ$57,MATCH($C989,'Summary Data'!$C$6:$C$57,0),MATCH($B989,'Summary Data'!$AS$3:$FZ$3,0)+1)</f>
        <v>0</v>
      </c>
      <c r="J989" s="4004" t="str">
        <f t="shared" ca="1" si="317"/>
        <v>N</v>
      </c>
      <c r="K989" s="3114" t="s">
        <v>3176</v>
      </c>
      <c r="M989" s="391"/>
      <c r="N989" s="391"/>
      <c r="O989" s="313"/>
      <c r="P989" s="313"/>
      <c r="Q989" s="313"/>
      <c r="R989" s="313"/>
      <c r="S989" s="313"/>
    </row>
    <row r="990" spans="1:19" ht="16.899999999999999" hidden="1" customHeight="1" outlineLevel="1">
      <c r="A990" s="313">
        <f t="shared" si="320"/>
        <v>33</v>
      </c>
      <c r="B990" s="1601" t="s">
        <v>195</v>
      </c>
      <c r="C990" s="3692" t="str">
        <f t="shared" ca="1" si="319"/>
        <v>N</v>
      </c>
      <c r="D990" s="1602">
        <v>1</v>
      </c>
      <c r="E990" s="1603">
        <v>1</v>
      </c>
      <c r="F990" s="1591" t="str">
        <f ca="1">IFERROR(IF(VLOOKUP(C990,'Summary Data'!B:GK,191,0)="Pcs","Pcs",IF(VLOOKUP(C990,'Summary Data'!B:GK,191,0)="sheets",C990,"N")),"N")</f>
        <v>N</v>
      </c>
      <c r="G990" s="1591">
        <f ca="1">INDEX('Summary Data'!$AS$6:$FZ$57,MATCH($C990,'Summary Data'!$C$6:$C$57,0),MATCH($B990,'Summary Data'!$AS$3:$FZ$3,0))</f>
        <v>0</v>
      </c>
      <c r="H990" s="1592" t="str">
        <f t="shared" ca="1" si="316"/>
        <v>Sheets</v>
      </c>
      <c r="I990" s="1591">
        <f ca="1">INDEX('Summary Data'!$AS$6:$FZ$57,MATCH($C990,'Summary Data'!$C$6:$C$57,0),MATCH($B990,'Summary Data'!$AS$3:$FZ$3,0)+1)</f>
        <v>0</v>
      </c>
      <c r="J990" s="4004" t="str">
        <f t="shared" ca="1" si="317"/>
        <v>N</v>
      </c>
      <c r="K990" s="3114" t="s">
        <v>3176</v>
      </c>
      <c r="M990" s="391"/>
      <c r="N990" s="391"/>
      <c r="O990" s="313"/>
      <c r="P990" s="313"/>
      <c r="Q990" s="313"/>
      <c r="R990" s="313"/>
      <c r="S990" s="313"/>
    </row>
    <row r="991" spans="1:19" ht="16.899999999999999" hidden="1" customHeight="1" outlineLevel="1">
      <c r="A991" s="313">
        <f t="shared" si="320"/>
        <v>36</v>
      </c>
      <c r="B991" s="1601" t="s">
        <v>195</v>
      </c>
      <c r="C991" s="3692" t="str">
        <f t="shared" ca="1" si="319"/>
        <v>N</v>
      </c>
      <c r="D991" s="1602">
        <v>1</v>
      </c>
      <c r="E991" s="1603">
        <v>1</v>
      </c>
      <c r="F991" s="1591" t="str">
        <f ca="1">IFERROR(IF(VLOOKUP(C991,'Summary Data'!B:GK,191,0)="Pcs","Pcs",IF(VLOOKUP(C991,'Summary Data'!B:GK,191,0)="sheets",C991,"N")),"N")</f>
        <v>N</v>
      </c>
      <c r="G991" s="1591">
        <f ca="1">INDEX('Summary Data'!$AS$6:$FZ$57,MATCH($C991,'Summary Data'!$C$6:$C$57,0),MATCH($B991,'Summary Data'!$AS$3:$FZ$3,0))</f>
        <v>0</v>
      </c>
      <c r="H991" s="1592" t="str">
        <f t="shared" ca="1" si="316"/>
        <v>Sheets</v>
      </c>
      <c r="I991" s="1591">
        <f ca="1">INDEX('Summary Data'!$AS$6:$FZ$57,MATCH($C991,'Summary Data'!$C$6:$C$57,0),MATCH($B991,'Summary Data'!$AS$3:$FZ$3,0)+1)</f>
        <v>0</v>
      </c>
      <c r="J991" s="4004" t="str">
        <f t="shared" ca="1" si="317"/>
        <v>N</v>
      </c>
      <c r="K991" s="3114" t="s">
        <v>3176</v>
      </c>
      <c r="M991" s="391"/>
      <c r="N991" s="391"/>
      <c r="O991" s="313"/>
      <c r="P991" s="313"/>
      <c r="Q991" s="313"/>
      <c r="R991" s="313"/>
      <c r="S991" s="313"/>
    </row>
    <row r="992" spans="1:19" ht="16.899999999999999" hidden="1" customHeight="1" outlineLevel="1">
      <c r="A992" s="313">
        <f t="shared" si="320"/>
        <v>39</v>
      </c>
      <c r="B992" s="1601" t="s">
        <v>195</v>
      </c>
      <c r="C992" s="3692" t="str">
        <f t="shared" ca="1" si="319"/>
        <v>N</v>
      </c>
      <c r="D992" s="1602">
        <v>1</v>
      </c>
      <c r="E992" s="1603">
        <v>1</v>
      </c>
      <c r="F992" s="1591" t="str">
        <f ca="1">IFERROR(IF(VLOOKUP(C992,'Summary Data'!B:GK,191,0)="Pcs","Pcs",IF(VLOOKUP(C992,'Summary Data'!B:GK,191,0)="sheets",C992,"N")),"N")</f>
        <v>N</v>
      </c>
      <c r="G992" s="1591">
        <f ca="1">INDEX('Summary Data'!$AS$6:$FZ$57,MATCH($C992,'Summary Data'!$C$6:$C$57,0),MATCH($B992,'Summary Data'!$AS$3:$FZ$3,0))</f>
        <v>0</v>
      </c>
      <c r="H992" s="1592" t="str">
        <f t="shared" ca="1" si="316"/>
        <v>Sheets</v>
      </c>
      <c r="I992" s="1591">
        <f ca="1">INDEX('Summary Data'!$AS$6:$FZ$57,MATCH($C992,'Summary Data'!$C$6:$C$57,0),MATCH($B992,'Summary Data'!$AS$3:$FZ$3,0)+1)</f>
        <v>0</v>
      </c>
      <c r="J992" s="4004" t="str">
        <f t="shared" ca="1" si="317"/>
        <v>N</v>
      </c>
      <c r="K992" s="3114" t="s">
        <v>3176</v>
      </c>
      <c r="M992" s="391"/>
      <c r="N992" s="391"/>
      <c r="O992" s="313"/>
      <c r="P992" s="313"/>
      <c r="Q992" s="313"/>
      <c r="R992" s="313"/>
      <c r="S992" s="313"/>
    </row>
    <row r="993" spans="1:19" ht="16.899999999999999" hidden="1" customHeight="1" outlineLevel="1">
      <c r="A993" s="313">
        <f t="shared" si="320"/>
        <v>42</v>
      </c>
      <c r="B993" s="1601" t="s">
        <v>195</v>
      </c>
      <c r="C993" s="3692" t="str">
        <f t="shared" ca="1" si="319"/>
        <v>N</v>
      </c>
      <c r="D993" s="1602">
        <v>1</v>
      </c>
      <c r="E993" s="1603">
        <v>1</v>
      </c>
      <c r="F993" s="1591" t="str">
        <f ca="1">IFERROR(IF(VLOOKUP(C993,'Summary Data'!B:GK,191,0)="Pcs","Pcs",IF(VLOOKUP(C993,'Summary Data'!B:GK,191,0)="sheets",C993,"N")),"N")</f>
        <v>N</v>
      </c>
      <c r="G993" s="1591">
        <f ca="1">INDEX('Summary Data'!$AS$6:$FZ$57,MATCH($C993,'Summary Data'!$C$6:$C$57,0),MATCH($B993,'Summary Data'!$AS$3:$FZ$3,0))</f>
        <v>0</v>
      </c>
      <c r="H993" s="1592" t="str">
        <f t="shared" ca="1" si="316"/>
        <v>Sheets</v>
      </c>
      <c r="I993" s="1591">
        <f ca="1">INDEX('Summary Data'!$AS$6:$FZ$57,MATCH($C993,'Summary Data'!$C$6:$C$57,0),MATCH($B993,'Summary Data'!$AS$3:$FZ$3,0)+1)</f>
        <v>0</v>
      </c>
      <c r="J993" s="4004" t="str">
        <f t="shared" ca="1" si="317"/>
        <v>N</v>
      </c>
      <c r="K993" s="3114" t="s">
        <v>3176</v>
      </c>
      <c r="M993" s="391"/>
      <c r="N993" s="391"/>
      <c r="O993" s="313"/>
      <c r="P993" s="313"/>
      <c r="Q993" s="313"/>
      <c r="R993" s="313"/>
      <c r="S993" s="313"/>
    </row>
    <row r="994" spans="1:19" ht="16.899999999999999" hidden="1" customHeight="1" outlineLevel="1">
      <c r="A994" s="313">
        <v>0</v>
      </c>
      <c r="B994" s="1601" t="s">
        <v>195</v>
      </c>
      <c r="C994" s="3692" t="str">
        <f ca="1">OFFSET($A$358,A994,0)</f>
        <v>E-flute 115/105</v>
      </c>
      <c r="D994" s="1602">
        <v>1</v>
      </c>
      <c r="E994" s="1603">
        <v>1</v>
      </c>
      <c r="F994" s="1591" t="str">
        <f ca="1">IFERROR(IF(VLOOKUP(C994,'Summary Data'!B:GK,191,0)="Pcs","Pcs",IF(VLOOKUP(C994,'Summary Data'!B:GK,191,0)="sheets",C994,"N")),"N")</f>
        <v>N</v>
      </c>
      <c r="G994" s="1591">
        <f ca="1">INDEX('Summary Data'!$AS$6:$FZ$57,MATCH($C994,'Summary Data'!$C$6:$C$57,0),MATCH($B994,'Summary Data'!$AS$3:$FZ$3,0))</f>
        <v>0</v>
      </c>
      <c r="H994" s="1592" t="str">
        <f t="shared" ca="1" si="316"/>
        <v>Sheets</v>
      </c>
      <c r="I994" s="1591">
        <f ca="1">INDEX('Summary Data'!$AS$6:$FZ$57,MATCH($C994,'Summary Data'!$C$6:$C$57,0),MATCH($B994,'Summary Data'!$AS$3:$FZ$3,0)+1)</f>
        <v>0</v>
      </c>
      <c r="J994" s="4004" t="str">
        <f t="shared" ca="1" si="317"/>
        <v>E-flute 115/105</v>
      </c>
      <c r="K994" s="3114" t="s">
        <v>3176</v>
      </c>
      <c r="M994" s="391"/>
      <c r="N994" s="391"/>
      <c r="O994" s="313"/>
      <c r="P994" s="313"/>
      <c r="Q994" s="313"/>
      <c r="R994" s="313"/>
      <c r="S994" s="313"/>
    </row>
    <row r="995" spans="1:19" ht="16.899999999999999" hidden="1" customHeight="1" outlineLevel="1">
      <c r="A995" s="313">
        <f>A994+3</f>
        <v>3</v>
      </c>
      <c r="B995" s="1601" t="s">
        <v>195</v>
      </c>
      <c r="C995" s="3692" t="str">
        <f ca="1">OFFSET($A$358,A995,0)</f>
        <v>N</v>
      </c>
      <c r="D995" s="1602">
        <v>1</v>
      </c>
      <c r="E995" s="1603">
        <v>1</v>
      </c>
      <c r="F995" s="1591" t="str">
        <f ca="1">IFERROR(IF(VLOOKUP(C995,'Summary Data'!B:GK,191,0)="Pcs","Pcs",IF(VLOOKUP(C995,'Summary Data'!B:GK,191,0)="sheets",C995,"N")),"N")</f>
        <v>N</v>
      </c>
      <c r="G995" s="1591">
        <f ca="1">INDEX('Summary Data'!$AS$6:$FZ$57,MATCH($C995,'Summary Data'!$C$6:$C$57,0),MATCH($B995,'Summary Data'!$AS$3:$FZ$3,0))</f>
        <v>0</v>
      </c>
      <c r="H995" s="1592" t="str">
        <f t="shared" ca="1" si="316"/>
        <v>Sheets</v>
      </c>
      <c r="I995" s="1591">
        <f ca="1">INDEX('Summary Data'!$AS$6:$FZ$57,MATCH($C995,'Summary Data'!$C$6:$C$57,0),MATCH($B995,'Summary Data'!$AS$3:$FZ$3,0)+1)</f>
        <v>0</v>
      </c>
      <c r="J995" s="4004" t="str">
        <f t="shared" ca="1" si="317"/>
        <v>N</v>
      </c>
      <c r="K995" s="3114" t="s">
        <v>3176</v>
      </c>
      <c r="M995" s="391"/>
      <c r="N995" s="391"/>
      <c r="O995" s="313"/>
      <c r="P995" s="313"/>
      <c r="Q995" s="313"/>
      <c r="R995" s="313"/>
      <c r="S995" s="313"/>
    </row>
    <row r="996" spans="1:19" ht="16.899999999999999" hidden="1" customHeight="1" outlineLevel="1">
      <c r="A996" s="313">
        <f>A995+3</f>
        <v>6</v>
      </c>
      <c r="B996" s="1601" t="s">
        <v>195</v>
      </c>
      <c r="C996" s="3692" t="str">
        <f ca="1">OFFSET($A$358,A996,0)</f>
        <v>N</v>
      </c>
      <c r="D996" s="1602">
        <v>1</v>
      </c>
      <c r="E996" s="1603">
        <v>1</v>
      </c>
      <c r="F996" s="1591" t="str">
        <f ca="1">IFERROR(IF(VLOOKUP(C996,'Summary Data'!B:GK,191,0)="Pcs","Pcs",IF(VLOOKUP(C996,'Summary Data'!B:GK,191,0)="sheets",C996,"N")),"N")</f>
        <v>N</v>
      </c>
      <c r="G996" s="1591">
        <f ca="1">INDEX('Summary Data'!$AS$6:$FZ$57,MATCH($C996,'Summary Data'!$C$6:$C$57,0),MATCH($B996,'Summary Data'!$AS$3:$FZ$3,0))</f>
        <v>0</v>
      </c>
      <c r="H996" s="1592" t="str">
        <f t="shared" ref="H996:H1027" ca="1" si="321">IF(E996&gt;1,"Sets",IF(F996="Pcs","Copies","Sheets"))</f>
        <v>Sheets</v>
      </c>
      <c r="I996" s="1591">
        <f ca="1">INDEX('Summary Data'!$AS$6:$FZ$57,MATCH($C996,'Summary Data'!$C$6:$C$57,0),MATCH($B996,'Summary Data'!$AS$3:$FZ$3,0)+1)</f>
        <v>0</v>
      </c>
      <c r="J996" s="4004" t="str">
        <f t="shared" ca="1" si="317"/>
        <v>N</v>
      </c>
      <c r="K996" s="3114" t="s">
        <v>3176</v>
      </c>
      <c r="M996" s="391"/>
      <c r="N996" s="391"/>
      <c r="O996" s="313"/>
      <c r="P996" s="313"/>
      <c r="Q996" s="313"/>
      <c r="R996" s="313"/>
      <c r="S996" s="313"/>
    </row>
    <row r="997" spans="1:19" ht="16.899999999999999" hidden="1" customHeight="1" outlineLevel="1">
      <c r="A997" s="313">
        <f t="shared" ref="A997:A998" si="322">A996+3</f>
        <v>9</v>
      </c>
      <c r="B997" s="1601" t="s">
        <v>195</v>
      </c>
      <c r="C997" s="3692" t="str">
        <f ca="1">OFFSET($A$358,A997,0)</f>
        <v>N</v>
      </c>
      <c r="D997" s="1602">
        <v>1</v>
      </c>
      <c r="E997" s="1603">
        <v>1</v>
      </c>
      <c r="F997" s="1591" t="str">
        <f ca="1">IFERROR(IF(VLOOKUP(C997,'Summary Data'!B:GK,191,0)="Pcs","Pcs",IF(VLOOKUP(C997,'Summary Data'!B:GK,191,0)="sheets",C997,"N")),"N")</f>
        <v>N</v>
      </c>
      <c r="G997" s="1591">
        <f ca="1">INDEX('Summary Data'!$AS$6:$FZ$57,MATCH($C997,'Summary Data'!$C$6:$C$57,0),MATCH($B997,'Summary Data'!$AS$3:$FZ$3,0))</f>
        <v>0</v>
      </c>
      <c r="H997" s="1592" t="str">
        <f t="shared" ca="1" si="321"/>
        <v>Sheets</v>
      </c>
      <c r="I997" s="1591">
        <f ca="1">INDEX('Summary Data'!$AS$6:$FZ$57,MATCH($C997,'Summary Data'!$C$6:$C$57,0),MATCH($B997,'Summary Data'!$AS$3:$FZ$3,0)+1)</f>
        <v>0</v>
      </c>
      <c r="J997" s="4004" t="str">
        <f t="shared" ca="1" si="317"/>
        <v>N</v>
      </c>
      <c r="K997" s="3114" t="s">
        <v>3176</v>
      </c>
      <c r="M997" s="391"/>
      <c r="N997" s="391"/>
      <c r="O997" s="313"/>
      <c r="P997" s="313"/>
      <c r="Q997" s="313"/>
      <c r="R997" s="313"/>
      <c r="S997" s="313"/>
    </row>
    <row r="998" spans="1:19" ht="16.899999999999999" hidden="1" customHeight="1" outlineLevel="1">
      <c r="A998" s="313">
        <f t="shared" si="322"/>
        <v>12</v>
      </c>
      <c r="B998" s="1601" t="s">
        <v>195</v>
      </c>
      <c r="C998" s="3692" t="str">
        <f ca="1">OFFSET($A$358,A998,0)</f>
        <v>N</v>
      </c>
      <c r="D998" s="1602">
        <v>1</v>
      </c>
      <c r="E998" s="1603">
        <v>1</v>
      </c>
      <c r="F998" s="1591" t="str">
        <f ca="1">IFERROR(IF(VLOOKUP(C998,'Summary Data'!B:GK,191,0)="Pcs","Pcs",IF(VLOOKUP(C998,'Summary Data'!B:GK,191,0)="sheets",C998,"N")),"N")</f>
        <v>N</v>
      </c>
      <c r="G998" s="1591">
        <f ca="1">INDEX('Summary Data'!$AS$6:$FZ$57,MATCH($C998,'Summary Data'!$C$6:$C$57,0),MATCH($B998,'Summary Data'!$AS$3:$FZ$3,0))</f>
        <v>0</v>
      </c>
      <c r="H998" s="1592" t="str">
        <f t="shared" ca="1" si="321"/>
        <v>Sheets</v>
      </c>
      <c r="I998" s="1591">
        <f ca="1">INDEX('Summary Data'!$AS$6:$FZ$57,MATCH($C998,'Summary Data'!$C$6:$C$57,0),MATCH($B998,'Summary Data'!$AS$3:$FZ$3,0)+1)</f>
        <v>0</v>
      </c>
      <c r="J998" s="4004" t="str">
        <f t="shared" ca="1" si="317"/>
        <v>N</v>
      </c>
      <c r="K998" s="3114" t="s">
        <v>3176</v>
      </c>
      <c r="M998" s="391"/>
      <c r="N998" s="391"/>
      <c r="O998" s="313"/>
      <c r="P998" s="313"/>
      <c r="Q998" s="313"/>
      <c r="R998" s="313"/>
      <c r="S998" s="313"/>
    </row>
    <row r="999" spans="1:19" ht="16.899999999999999" hidden="1" customHeight="1" outlineLevel="1">
      <c r="A999" s="313">
        <v>0</v>
      </c>
      <c r="B999" s="1601" t="s">
        <v>195</v>
      </c>
      <c r="C999" s="3692" t="str">
        <f ca="1">OFFSET($A$281,A999,0)</f>
        <v>N</v>
      </c>
      <c r="D999" s="1602">
        <v>1</v>
      </c>
      <c r="E999" s="1603">
        <v>1</v>
      </c>
      <c r="F999" s="1591" t="str">
        <f ca="1">IFERROR(IF(VLOOKUP(C999,'Summary Data'!B:GK,191,0)="Pcs","Pcs",IF(VLOOKUP(C999,'Summary Data'!B:GK,191,0)="sheets",C999,"N")),"N")</f>
        <v>N</v>
      </c>
      <c r="G999" s="1591">
        <f ca="1">INDEX('Summary Data'!$AS$6:$FZ$57,MATCH($C999,'Summary Data'!$C$6:$C$57,0),MATCH($B999,'Summary Data'!$AS$3:$FZ$3,0))</f>
        <v>0</v>
      </c>
      <c r="H999" s="1592" t="str">
        <f t="shared" ca="1" si="321"/>
        <v>Sheets</v>
      </c>
      <c r="I999" s="1591">
        <f ca="1">INDEX('Summary Data'!$AS$6:$FZ$57,MATCH($C999,'Summary Data'!$C$6:$C$57,0),MATCH($B999,'Summary Data'!$AS$3:$FZ$3,0)+1)</f>
        <v>0</v>
      </c>
      <c r="J999" s="4004" t="str">
        <f t="shared" ca="1" si="317"/>
        <v>N</v>
      </c>
      <c r="K999" s="3114" t="s">
        <v>3176</v>
      </c>
      <c r="M999" s="391"/>
      <c r="N999" s="391"/>
      <c r="O999" s="313"/>
      <c r="P999" s="313"/>
      <c r="Q999" s="313"/>
      <c r="R999" s="313"/>
      <c r="S999" s="313"/>
    </row>
    <row r="1000" spans="1:19" ht="16.899999999999999" hidden="1" customHeight="1" outlineLevel="1">
      <c r="A1000" s="313">
        <f>A999+10</f>
        <v>10</v>
      </c>
      <c r="B1000" s="1601" t="s">
        <v>195</v>
      </c>
      <c r="C1000" s="3692" t="str">
        <f ca="1">OFFSET($A$281,A1000,0)</f>
        <v>N</v>
      </c>
      <c r="D1000" s="1602">
        <v>1</v>
      </c>
      <c r="E1000" s="1603">
        <v>1</v>
      </c>
      <c r="F1000" s="1591" t="str">
        <f ca="1">IFERROR(IF(VLOOKUP(C1000,'Summary Data'!B:GK,191,0)="Pcs","Pcs",IF(VLOOKUP(C1000,'Summary Data'!B:GK,191,0)="sheets",C1000,"N")),"N")</f>
        <v>N</v>
      </c>
      <c r="G1000" s="1591">
        <f ca="1">INDEX('Summary Data'!$AS$6:$FZ$57,MATCH($C1000,'Summary Data'!$C$6:$C$57,0),MATCH($B1000,'Summary Data'!$AS$3:$FZ$3,0))</f>
        <v>0</v>
      </c>
      <c r="H1000" s="1592" t="str">
        <f t="shared" ca="1" si="321"/>
        <v>Sheets</v>
      </c>
      <c r="I1000" s="1591">
        <f ca="1">INDEX('Summary Data'!$AS$6:$FZ$57,MATCH($C1000,'Summary Data'!$C$6:$C$57,0),MATCH($B1000,'Summary Data'!$AS$3:$FZ$3,0)+1)</f>
        <v>0</v>
      </c>
      <c r="J1000" s="4004" t="str">
        <f t="shared" ca="1" si="317"/>
        <v>N</v>
      </c>
      <c r="K1000" s="3114" t="s">
        <v>3176</v>
      </c>
      <c r="M1000" s="391"/>
      <c r="N1000" s="391"/>
      <c r="O1000" s="313"/>
      <c r="P1000" s="313"/>
      <c r="Q1000" s="313"/>
      <c r="R1000" s="313"/>
      <c r="S1000" s="313"/>
    </row>
    <row r="1001" spans="1:19" ht="16.899999999999999" hidden="1" customHeight="1" outlineLevel="1">
      <c r="A1001" s="313">
        <f>A1000+10</f>
        <v>20</v>
      </c>
      <c r="B1001" s="1601" t="s">
        <v>195</v>
      </c>
      <c r="C1001" s="3692" t="str">
        <f ca="1">OFFSET($A$281,A1001,0)</f>
        <v>N</v>
      </c>
      <c r="D1001" s="1602">
        <v>1</v>
      </c>
      <c r="E1001" s="1603">
        <v>1</v>
      </c>
      <c r="F1001" s="1591" t="str">
        <f ca="1">IFERROR(IF(VLOOKUP(C1001,'Summary Data'!B:GK,191,0)="Pcs","Pcs",IF(VLOOKUP(C1001,'Summary Data'!B:GK,191,0)="sheets",C1001,"N")),"N")</f>
        <v>N</v>
      </c>
      <c r="G1001" s="1591">
        <f ca="1">INDEX('Summary Data'!$AS$6:$FZ$57,MATCH($C1001,'Summary Data'!$C$6:$C$57,0),MATCH($B1001,'Summary Data'!$AS$3:$FZ$3,0))</f>
        <v>0</v>
      </c>
      <c r="H1001" s="1592" t="str">
        <f t="shared" ca="1" si="321"/>
        <v>Sheets</v>
      </c>
      <c r="I1001" s="1591">
        <f ca="1">INDEX('Summary Data'!$AS$6:$FZ$57,MATCH($C1001,'Summary Data'!$C$6:$C$57,0),MATCH($B1001,'Summary Data'!$AS$3:$FZ$3,0)+1)</f>
        <v>0</v>
      </c>
      <c r="J1001" s="4004" t="str">
        <f t="shared" ca="1" si="317"/>
        <v>N</v>
      </c>
      <c r="K1001" s="3114" t="s">
        <v>3176</v>
      </c>
      <c r="M1001" s="391"/>
      <c r="N1001" s="391"/>
      <c r="O1001" s="313"/>
      <c r="P1001" s="313"/>
      <c r="Q1001" s="313"/>
      <c r="R1001" s="313"/>
      <c r="S1001" s="313"/>
    </row>
    <row r="1002" spans="1:19" ht="16.899999999999999" hidden="1" customHeight="1" outlineLevel="1">
      <c r="A1002" s="313">
        <v>0</v>
      </c>
      <c r="B1002" s="1601" t="s">
        <v>3503</v>
      </c>
      <c r="C1002" s="1761" t="str">
        <f t="shared" ref="C1002:C1016" ca="1" si="323">OFFSET($A$25,A1002,0)</f>
        <v>Box</v>
      </c>
      <c r="D1002" s="1602">
        <v>1</v>
      </c>
      <c r="E1002" s="1603">
        <v>1</v>
      </c>
      <c r="F1002" s="1591" t="str">
        <f t="shared" ref="F1002:F1046" ca="1" si="324">IF(G1002&gt;0,C1002,"N")</f>
        <v>N</v>
      </c>
      <c r="G1002" s="1591">
        <f ca="1">INDEX('Summary Data'!$AS$6:$FZ$57,MATCH($C1002,'Summary Data'!$C$6:$C$57,0),MATCH($B1002,'Summary Data'!$AS$3:$FZ$3,0))</f>
        <v>0</v>
      </c>
      <c r="H1002" s="1592" t="str">
        <f t="shared" ca="1" si="321"/>
        <v>Sheets</v>
      </c>
      <c r="I1002" s="1591">
        <f ca="1">INDEX('Summary Data'!$AS$6:$FZ$57,MATCH($C1002,'Summary Data'!$C$6:$C$57,0),MATCH($B1002,'Summary Data'!$AS$3:$FZ$3,0)+1)</f>
        <v>0</v>
      </c>
      <c r="J1002" s="4004" t="str">
        <f t="shared" ca="1" si="317"/>
        <v>Box</v>
      </c>
      <c r="K1002" s="3114" t="s">
        <v>3176</v>
      </c>
      <c r="M1002" s="391"/>
      <c r="N1002" s="391"/>
      <c r="O1002" s="313"/>
      <c r="P1002" s="313"/>
      <c r="Q1002" s="313"/>
      <c r="R1002" s="313"/>
      <c r="S1002" s="313"/>
    </row>
    <row r="1003" spans="1:19" ht="16.899999999999999" hidden="1" customHeight="1" outlineLevel="1">
      <c r="A1003" s="313">
        <f>A1002+17</f>
        <v>17</v>
      </c>
      <c r="B1003" s="1601" t="s">
        <v>3503</v>
      </c>
      <c r="C1003" s="1761" t="str">
        <f t="shared" ca="1" si="323"/>
        <v>N</v>
      </c>
      <c r="D1003" s="1602">
        <v>1</v>
      </c>
      <c r="E1003" s="1603">
        <v>1</v>
      </c>
      <c r="F1003" s="1591" t="str">
        <f t="shared" ca="1" si="324"/>
        <v>N</v>
      </c>
      <c r="G1003" s="1591">
        <f ca="1">INDEX('Summary Data'!$AS$6:$FZ$57,MATCH($C1003,'Summary Data'!$C$6:$C$57,0),MATCH($B1003,'Summary Data'!$AS$3:$FZ$3,0))</f>
        <v>0</v>
      </c>
      <c r="H1003" s="1592" t="str">
        <f t="shared" ca="1" si="321"/>
        <v>Sheets</v>
      </c>
      <c r="I1003" s="1591">
        <f ca="1">INDEX('Summary Data'!$AS$6:$FZ$57,MATCH($C1003,'Summary Data'!$C$6:$C$57,0),MATCH($B1003,'Summary Data'!$AS$3:$FZ$3,0)+1)</f>
        <v>0</v>
      </c>
      <c r="J1003" s="4004" t="str">
        <f t="shared" ca="1" si="317"/>
        <v>N</v>
      </c>
      <c r="K1003" s="3114" t="s">
        <v>3176</v>
      </c>
      <c r="M1003" s="391"/>
      <c r="N1003" s="391"/>
      <c r="O1003" s="313"/>
      <c r="P1003" s="313"/>
      <c r="Q1003" s="313"/>
      <c r="R1003" s="313"/>
      <c r="S1003" s="313"/>
    </row>
    <row r="1004" spans="1:19" ht="16.899999999999999" hidden="1" customHeight="1" outlineLevel="1">
      <c r="A1004" s="313">
        <f t="shared" ref="A1004:A1016" si="325">A1003+17</f>
        <v>34</v>
      </c>
      <c r="B1004" s="1601" t="s">
        <v>3503</v>
      </c>
      <c r="C1004" s="1761" t="str">
        <f t="shared" ca="1" si="323"/>
        <v>N</v>
      </c>
      <c r="D1004" s="1602">
        <v>1</v>
      </c>
      <c r="E1004" s="1603">
        <v>1</v>
      </c>
      <c r="F1004" s="1591" t="str">
        <f t="shared" ca="1" si="324"/>
        <v>N</v>
      </c>
      <c r="G1004" s="1591">
        <f ca="1">INDEX('Summary Data'!$AS$6:$FZ$57,MATCH($C1004,'Summary Data'!$C$6:$C$57,0),MATCH($B1004,'Summary Data'!$AS$3:$FZ$3,0))</f>
        <v>0</v>
      </c>
      <c r="H1004" s="1592" t="str">
        <f t="shared" ca="1" si="321"/>
        <v>Sheets</v>
      </c>
      <c r="I1004" s="1591">
        <f ca="1">INDEX('Summary Data'!$AS$6:$FZ$57,MATCH($C1004,'Summary Data'!$C$6:$C$57,0),MATCH($B1004,'Summary Data'!$AS$3:$FZ$3,0)+1)</f>
        <v>0</v>
      </c>
      <c r="J1004" s="4004" t="str">
        <f t="shared" ca="1" si="317"/>
        <v>N</v>
      </c>
      <c r="K1004" s="3114" t="s">
        <v>3176</v>
      </c>
      <c r="M1004" s="391"/>
      <c r="N1004" s="391"/>
      <c r="O1004" s="313"/>
      <c r="P1004" s="313"/>
      <c r="Q1004" s="313"/>
      <c r="R1004" s="313"/>
      <c r="S1004" s="313"/>
    </row>
    <row r="1005" spans="1:19" ht="16.899999999999999" hidden="1" customHeight="1" outlineLevel="1">
      <c r="A1005" s="313">
        <f t="shared" si="325"/>
        <v>51</v>
      </c>
      <c r="B1005" s="1601" t="s">
        <v>3503</v>
      </c>
      <c r="C1005" s="1761" t="str">
        <f t="shared" ca="1" si="323"/>
        <v>N</v>
      </c>
      <c r="D1005" s="1602">
        <v>1</v>
      </c>
      <c r="E1005" s="1603">
        <v>1</v>
      </c>
      <c r="F1005" s="1591" t="str">
        <f t="shared" ca="1" si="324"/>
        <v>N</v>
      </c>
      <c r="G1005" s="1591">
        <f ca="1">INDEX('Summary Data'!$AS$6:$FZ$57,MATCH($C1005,'Summary Data'!$C$6:$C$57,0),MATCH($B1005,'Summary Data'!$AS$3:$FZ$3,0))</f>
        <v>0</v>
      </c>
      <c r="H1005" s="1592" t="str">
        <f t="shared" ca="1" si="321"/>
        <v>Sheets</v>
      </c>
      <c r="I1005" s="1591">
        <f ca="1">INDEX('Summary Data'!$AS$6:$FZ$57,MATCH($C1005,'Summary Data'!$C$6:$C$57,0),MATCH($B1005,'Summary Data'!$AS$3:$FZ$3,0)+1)</f>
        <v>0</v>
      </c>
      <c r="J1005" s="4004" t="str">
        <f t="shared" ca="1" si="317"/>
        <v>N</v>
      </c>
      <c r="K1005" s="3114" t="s">
        <v>3176</v>
      </c>
      <c r="M1005" s="391"/>
      <c r="N1005" s="391"/>
      <c r="O1005" s="313"/>
      <c r="P1005" s="313"/>
      <c r="Q1005" s="313"/>
      <c r="R1005" s="313"/>
      <c r="S1005" s="313"/>
    </row>
    <row r="1006" spans="1:19" ht="16.899999999999999" hidden="1" customHeight="1" outlineLevel="1">
      <c r="A1006" s="313">
        <f t="shared" si="325"/>
        <v>68</v>
      </c>
      <c r="B1006" s="1601" t="s">
        <v>3503</v>
      </c>
      <c r="C1006" s="1761" t="str">
        <f t="shared" ca="1" si="323"/>
        <v>N</v>
      </c>
      <c r="D1006" s="1602">
        <v>1</v>
      </c>
      <c r="E1006" s="1603">
        <v>1</v>
      </c>
      <c r="F1006" s="1591" t="str">
        <f t="shared" ca="1" si="324"/>
        <v>N</v>
      </c>
      <c r="G1006" s="1591">
        <f ca="1">INDEX('Summary Data'!$AS$6:$FZ$57,MATCH($C1006,'Summary Data'!$C$6:$C$57,0),MATCH($B1006,'Summary Data'!$AS$3:$FZ$3,0))</f>
        <v>0</v>
      </c>
      <c r="H1006" s="1592" t="str">
        <f t="shared" ca="1" si="321"/>
        <v>Sheets</v>
      </c>
      <c r="I1006" s="1591">
        <f ca="1">INDEX('Summary Data'!$AS$6:$FZ$57,MATCH($C1006,'Summary Data'!$C$6:$C$57,0),MATCH($B1006,'Summary Data'!$AS$3:$FZ$3,0)+1)</f>
        <v>0</v>
      </c>
      <c r="J1006" s="4004" t="str">
        <f t="shared" ca="1" si="317"/>
        <v>N</v>
      </c>
      <c r="K1006" s="3114" t="s">
        <v>3176</v>
      </c>
      <c r="M1006" s="391"/>
      <c r="N1006" s="391"/>
      <c r="O1006" s="313"/>
      <c r="P1006" s="313"/>
      <c r="Q1006" s="313"/>
      <c r="R1006" s="313"/>
      <c r="S1006" s="313"/>
    </row>
    <row r="1007" spans="1:19" ht="16.899999999999999" hidden="1" customHeight="1" outlineLevel="1">
      <c r="A1007" s="313">
        <f t="shared" si="325"/>
        <v>85</v>
      </c>
      <c r="B1007" s="1601" t="s">
        <v>3503</v>
      </c>
      <c r="C1007" s="1761" t="str">
        <f t="shared" ca="1" si="323"/>
        <v>N</v>
      </c>
      <c r="D1007" s="1602">
        <v>1</v>
      </c>
      <c r="E1007" s="1603">
        <v>1</v>
      </c>
      <c r="F1007" s="1591" t="str">
        <f t="shared" ca="1" si="324"/>
        <v>N</v>
      </c>
      <c r="G1007" s="1591">
        <f ca="1">INDEX('Summary Data'!$AS$6:$FZ$57,MATCH($C1007,'Summary Data'!$C$6:$C$57,0),MATCH($B1007,'Summary Data'!$AS$3:$FZ$3,0))</f>
        <v>0</v>
      </c>
      <c r="H1007" s="1592" t="str">
        <f t="shared" ca="1" si="321"/>
        <v>Sheets</v>
      </c>
      <c r="I1007" s="1591">
        <f ca="1">INDEX('Summary Data'!$AS$6:$FZ$57,MATCH($C1007,'Summary Data'!$C$6:$C$57,0),MATCH($B1007,'Summary Data'!$AS$3:$FZ$3,0)+1)</f>
        <v>0</v>
      </c>
      <c r="J1007" s="4004" t="str">
        <f t="shared" ca="1" si="317"/>
        <v>N</v>
      </c>
      <c r="K1007" s="3114" t="s">
        <v>3176</v>
      </c>
      <c r="M1007" s="391"/>
      <c r="N1007" s="391"/>
      <c r="O1007" s="313"/>
      <c r="P1007" s="313"/>
      <c r="Q1007" s="313"/>
      <c r="R1007" s="313"/>
      <c r="S1007" s="313"/>
    </row>
    <row r="1008" spans="1:19" ht="16.899999999999999" hidden="1" customHeight="1" outlineLevel="1">
      <c r="A1008" s="313">
        <f t="shared" si="325"/>
        <v>102</v>
      </c>
      <c r="B1008" s="1601" t="s">
        <v>3503</v>
      </c>
      <c r="C1008" s="1761" t="str">
        <f t="shared" ca="1" si="323"/>
        <v>N</v>
      </c>
      <c r="D1008" s="1602">
        <v>1</v>
      </c>
      <c r="E1008" s="1603">
        <v>1</v>
      </c>
      <c r="F1008" s="1591" t="str">
        <f t="shared" ca="1" si="324"/>
        <v>N</v>
      </c>
      <c r="G1008" s="1591">
        <f ca="1">INDEX('Summary Data'!$AS$6:$FZ$57,MATCH($C1008,'Summary Data'!$C$6:$C$57,0),MATCH($B1008,'Summary Data'!$AS$3:$FZ$3,0))</f>
        <v>0</v>
      </c>
      <c r="H1008" s="1592" t="str">
        <f t="shared" ca="1" si="321"/>
        <v>Sheets</v>
      </c>
      <c r="I1008" s="1591">
        <f ca="1">INDEX('Summary Data'!$AS$6:$FZ$57,MATCH($C1008,'Summary Data'!$C$6:$C$57,0),MATCH($B1008,'Summary Data'!$AS$3:$FZ$3,0)+1)</f>
        <v>0</v>
      </c>
      <c r="J1008" s="4004" t="str">
        <f t="shared" ca="1" si="317"/>
        <v>N</v>
      </c>
      <c r="K1008" s="3114" t="s">
        <v>3176</v>
      </c>
      <c r="M1008" s="391"/>
      <c r="N1008" s="391"/>
      <c r="O1008" s="313"/>
      <c r="P1008" s="313"/>
      <c r="Q1008" s="313"/>
      <c r="R1008" s="313"/>
      <c r="S1008" s="313"/>
    </row>
    <row r="1009" spans="1:19" ht="16.899999999999999" hidden="1" customHeight="1" outlineLevel="1">
      <c r="A1009" s="313">
        <f t="shared" si="325"/>
        <v>119</v>
      </c>
      <c r="B1009" s="1601" t="s">
        <v>3503</v>
      </c>
      <c r="C1009" s="1761" t="str">
        <f t="shared" ca="1" si="323"/>
        <v>N</v>
      </c>
      <c r="D1009" s="1602">
        <v>1</v>
      </c>
      <c r="E1009" s="1603">
        <v>1</v>
      </c>
      <c r="F1009" s="1591" t="str">
        <f t="shared" ca="1" si="324"/>
        <v>N</v>
      </c>
      <c r="G1009" s="1591">
        <f ca="1">INDEX('Summary Data'!$AS$6:$FZ$57,MATCH($C1009,'Summary Data'!$C$6:$C$57,0),MATCH($B1009,'Summary Data'!$AS$3:$FZ$3,0))</f>
        <v>0</v>
      </c>
      <c r="H1009" s="1592" t="str">
        <f t="shared" ca="1" si="321"/>
        <v>Sheets</v>
      </c>
      <c r="I1009" s="1591">
        <f ca="1">INDEX('Summary Data'!$AS$6:$FZ$57,MATCH($C1009,'Summary Data'!$C$6:$C$57,0),MATCH($B1009,'Summary Data'!$AS$3:$FZ$3,0)+1)</f>
        <v>0</v>
      </c>
      <c r="J1009" s="4004" t="str">
        <f t="shared" ca="1" si="317"/>
        <v>N</v>
      </c>
      <c r="K1009" s="3114" t="s">
        <v>3176</v>
      </c>
      <c r="M1009" s="391"/>
      <c r="N1009" s="391"/>
      <c r="O1009" s="313"/>
      <c r="P1009" s="313"/>
      <c r="Q1009" s="313"/>
      <c r="R1009" s="313"/>
      <c r="S1009" s="313"/>
    </row>
    <row r="1010" spans="1:19" ht="16.899999999999999" hidden="1" customHeight="1" outlineLevel="1">
      <c r="A1010" s="313">
        <f t="shared" si="325"/>
        <v>136</v>
      </c>
      <c r="B1010" s="1601" t="s">
        <v>3503</v>
      </c>
      <c r="C1010" s="1761" t="str">
        <f t="shared" ca="1" si="323"/>
        <v>N</v>
      </c>
      <c r="D1010" s="1602">
        <v>1</v>
      </c>
      <c r="E1010" s="1603">
        <v>1</v>
      </c>
      <c r="F1010" s="1591" t="str">
        <f t="shared" ca="1" si="324"/>
        <v>N</v>
      </c>
      <c r="G1010" s="1591">
        <f ca="1">INDEX('Summary Data'!$AS$6:$FZ$57,MATCH($C1010,'Summary Data'!$C$6:$C$57,0),MATCH($B1010,'Summary Data'!$AS$3:$FZ$3,0))</f>
        <v>0</v>
      </c>
      <c r="H1010" s="1592" t="str">
        <f t="shared" ca="1" si="321"/>
        <v>Sheets</v>
      </c>
      <c r="I1010" s="1591">
        <f ca="1">INDEX('Summary Data'!$AS$6:$FZ$57,MATCH($C1010,'Summary Data'!$C$6:$C$57,0),MATCH($B1010,'Summary Data'!$AS$3:$FZ$3,0)+1)</f>
        <v>0</v>
      </c>
      <c r="J1010" s="4004" t="str">
        <f t="shared" ca="1" si="317"/>
        <v>N</v>
      </c>
      <c r="K1010" s="3114" t="s">
        <v>3176</v>
      </c>
      <c r="M1010" s="391"/>
      <c r="N1010" s="391"/>
      <c r="O1010" s="313"/>
      <c r="P1010" s="313"/>
      <c r="Q1010" s="313"/>
      <c r="R1010" s="313"/>
      <c r="S1010" s="313"/>
    </row>
    <row r="1011" spans="1:19" ht="16.899999999999999" hidden="1" customHeight="1" outlineLevel="1">
      <c r="A1011" s="313">
        <f t="shared" si="325"/>
        <v>153</v>
      </c>
      <c r="B1011" s="1601" t="s">
        <v>3503</v>
      </c>
      <c r="C1011" s="1761" t="str">
        <f t="shared" ca="1" si="323"/>
        <v>N</v>
      </c>
      <c r="D1011" s="1602">
        <v>1</v>
      </c>
      <c r="E1011" s="1603">
        <v>1</v>
      </c>
      <c r="F1011" s="1591" t="str">
        <f t="shared" ca="1" si="324"/>
        <v>N</v>
      </c>
      <c r="G1011" s="1591">
        <f ca="1">INDEX('Summary Data'!$AS$6:$FZ$57,MATCH($C1011,'Summary Data'!$C$6:$C$57,0),MATCH($B1011,'Summary Data'!$AS$3:$FZ$3,0))</f>
        <v>0</v>
      </c>
      <c r="H1011" s="1592" t="str">
        <f t="shared" ca="1" si="321"/>
        <v>Sheets</v>
      </c>
      <c r="I1011" s="1591">
        <f ca="1">INDEX('Summary Data'!$AS$6:$FZ$57,MATCH($C1011,'Summary Data'!$C$6:$C$57,0),MATCH($B1011,'Summary Data'!$AS$3:$FZ$3,0)+1)</f>
        <v>0</v>
      </c>
      <c r="J1011" s="4004" t="str">
        <f t="shared" ca="1" si="317"/>
        <v>N</v>
      </c>
      <c r="K1011" s="3114" t="s">
        <v>3176</v>
      </c>
      <c r="M1011" s="391"/>
      <c r="N1011" s="391"/>
      <c r="O1011" s="313"/>
      <c r="P1011" s="313"/>
      <c r="Q1011" s="313"/>
      <c r="R1011" s="313"/>
      <c r="S1011" s="313"/>
    </row>
    <row r="1012" spans="1:19" ht="16.899999999999999" hidden="1" customHeight="1" outlineLevel="1">
      <c r="A1012" s="313">
        <f t="shared" si="325"/>
        <v>170</v>
      </c>
      <c r="B1012" s="1601" t="s">
        <v>3503</v>
      </c>
      <c r="C1012" s="1761" t="str">
        <f t="shared" ca="1" si="323"/>
        <v>N</v>
      </c>
      <c r="D1012" s="1602">
        <v>1</v>
      </c>
      <c r="E1012" s="1603">
        <v>1</v>
      </c>
      <c r="F1012" s="1591" t="str">
        <f t="shared" ca="1" si="324"/>
        <v>N</v>
      </c>
      <c r="G1012" s="1591">
        <f ca="1">INDEX('Summary Data'!$AS$6:$FZ$57,MATCH($C1012,'Summary Data'!$C$6:$C$57,0),MATCH($B1012,'Summary Data'!$AS$3:$FZ$3,0))</f>
        <v>0</v>
      </c>
      <c r="H1012" s="1592" t="str">
        <f t="shared" ca="1" si="321"/>
        <v>Sheets</v>
      </c>
      <c r="I1012" s="1591">
        <f ca="1">INDEX('Summary Data'!$AS$6:$FZ$57,MATCH($C1012,'Summary Data'!$C$6:$C$57,0),MATCH($B1012,'Summary Data'!$AS$3:$FZ$3,0)+1)</f>
        <v>0</v>
      </c>
      <c r="J1012" s="4004" t="str">
        <f t="shared" ca="1" si="317"/>
        <v>N</v>
      </c>
      <c r="K1012" s="3114" t="s">
        <v>3176</v>
      </c>
      <c r="M1012" s="391"/>
      <c r="N1012" s="391"/>
      <c r="O1012" s="313"/>
      <c r="P1012" s="313"/>
      <c r="Q1012" s="313"/>
      <c r="R1012" s="313"/>
      <c r="S1012" s="313"/>
    </row>
    <row r="1013" spans="1:19" ht="16.899999999999999" hidden="1" customHeight="1" outlineLevel="1">
      <c r="A1013" s="313">
        <f t="shared" si="325"/>
        <v>187</v>
      </c>
      <c r="B1013" s="1601" t="s">
        <v>3503</v>
      </c>
      <c r="C1013" s="1761" t="str">
        <f t="shared" ca="1" si="323"/>
        <v>N</v>
      </c>
      <c r="D1013" s="1602">
        <v>1</v>
      </c>
      <c r="E1013" s="1603">
        <v>1</v>
      </c>
      <c r="F1013" s="1591" t="str">
        <f t="shared" ca="1" si="324"/>
        <v>N</v>
      </c>
      <c r="G1013" s="1591">
        <f ca="1">INDEX('Summary Data'!$AS$6:$FZ$57,MATCH($C1013,'Summary Data'!$C$6:$C$57,0),MATCH($B1013,'Summary Data'!$AS$3:$FZ$3,0))</f>
        <v>0</v>
      </c>
      <c r="H1013" s="1592" t="str">
        <f t="shared" ca="1" si="321"/>
        <v>Sheets</v>
      </c>
      <c r="I1013" s="1591">
        <f ca="1">INDEX('Summary Data'!$AS$6:$FZ$57,MATCH($C1013,'Summary Data'!$C$6:$C$57,0),MATCH($B1013,'Summary Data'!$AS$3:$FZ$3,0)+1)</f>
        <v>0</v>
      </c>
      <c r="J1013" s="4004" t="str">
        <f t="shared" ca="1" si="317"/>
        <v>N</v>
      </c>
      <c r="K1013" s="3114" t="s">
        <v>3176</v>
      </c>
      <c r="M1013" s="391"/>
      <c r="N1013" s="391"/>
      <c r="O1013" s="313"/>
      <c r="P1013" s="313"/>
      <c r="Q1013" s="313"/>
      <c r="R1013" s="313"/>
      <c r="S1013" s="313"/>
    </row>
    <row r="1014" spans="1:19" ht="16.899999999999999" hidden="1" customHeight="1" outlineLevel="1">
      <c r="A1014" s="313">
        <f t="shared" si="325"/>
        <v>204</v>
      </c>
      <c r="B1014" s="1601" t="s">
        <v>3503</v>
      </c>
      <c r="C1014" s="1761" t="str">
        <f t="shared" ca="1" si="323"/>
        <v>N</v>
      </c>
      <c r="D1014" s="1602">
        <v>1</v>
      </c>
      <c r="E1014" s="1603">
        <v>1</v>
      </c>
      <c r="F1014" s="1591" t="str">
        <f t="shared" ca="1" si="324"/>
        <v>N</v>
      </c>
      <c r="G1014" s="1591">
        <f ca="1">INDEX('Summary Data'!$AS$6:$FZ$57,MATCH($C1014,'Summary Data'!$C$6:$C$57,0),MATCH($B1014,'Summary Data'!$AS$3:$FZ$3,0))</f>
        <v>0</v>
      </c>
      <c r="H1014" s="1592" t="str">
        <f t="shared" ca="1" si="321"/>
        <v>Sheets</v>
      </c>
      <c r="I1014" s="1591">
        <f ca="1">INDEX('Summary Data'!$AS$6:$FZ$57,MATCH($C1014,'Summary Data'!$C$6:$C$57,0),MATCH($B1014,'Summary Data'!$AS$3:$FZ$3,0)+1)</f>
        <v>0</v>
      </c>
      <c r="J1014" s="4004" t="str">
        <f t="shared" ca="1" si="317"/>
        <v>N</v>
      </c>
      <c r="K1014" s="3114" t="s">
        <v>3176</v>
      </c>
      <c r="M1014" s="391"/>
      <c r="N1014" s="391"/>
      <c r="O1014" s="313"/>
      <c r="P1014" s="313"/>
      <c r="Q1014" s="313"/>
      <c r="R1014" s="313"/>
      <c r="S1014" s="313"/>
    </row>
    <row r="1015" spans="1:19" ht="16.899999999999999" hidden="1" customHeight="1" outlineLevel="1">
      <c r="A1015" s="313">
        <f t="shared" si="325"/>
        <v>221</v>
      </c>
      <c r="B1015" s="1601" t="s">
        <v>3503</v>
      </c>
      <c r="C1015" s="1761" t="str">
        <f t="shared" ca="1" si="323"/>
        <v>1st</v>
      </c>
      <c r="D1015" s="1602">
        <v>1</v>
      </c>
      <c r="E1015" s="1603">
        <v>1</v>
      </c>
      <c r="F1015" s="1591" t="str">
        <f t="shared" ca="1" si="324"/>
        <v>N</v>
      </c>
      <c r="G1015" s="1591">
        <f ca="1">INDEX('Summary Data'!$AS$6:$FZ$57,MATCH($C1015,'Summary Data'!$C$6:$C$57,0),MATCH($B1015,'Summary Data'!$AS$3:$FZ$3,0))</f>
        <v>0</v>
      </c>
      <c r="H1015" s="1592" t="str">
        <f t="shared" ca="1" si="321"/>
        <v>Sheets</v>
      </c>
      <c r="I1015" s="1591">
        <f ca="1">INDEX('Summary Data'!$AS$6:$FZ$57,MATCH($C1015,'Summary Data'!$C$6:$C$57,0),MATCH($B1015,'Summary Data'!$AS$3:$FZ$3,0)+1)</f>
        <v>0</v>
      </c>
      <c r="J1015" s="4004" t="str">
        <f t="shared" ca="1" si="317"/>
        <v>1st</v>
      </c>
      <c r="K1015" s="3114" t="s">
        <v>3176</v>
      </c>
      <c r="M1015" s="391"/>
      <c r="N1015" s="391"/>
      <c r="O1015" s="313"/>
      <c r="P1015" s="313"/>
      <c r="Q1015" s="313"/>
      <c r="R1015" s="313"/>
      <c r="S1015" s="313"/>
    </row>
    <row r="1016" spans="1:19" ht="16.899999999999999" hidden="1" customHeight="1" outlineLevel="1">
      <c r="A1016" s="313">
        <f t="shared" si="325"/>
        <v>238</v>
      </c>
      <c r="B1016" s="1601" t="s">
        <v>3503</v>
      </c>
      <c r="C1016" s="1761" t="str">
        <f t="shared" ca="1" si="323"/>
        <v>1st</v>
      </c>
      <c r="D1016" s="1602">
        <v>1</v>
      </c>
      <c r="E1016" s="1603">
        <v>1</v>
      </c>
      <c r="F1016" s="1591" t="str">
        <f t="shared" ca="1" si="324"/>
        <v>N</v>
      </c>
      <c r="G1016" s="1591">
        <f ca="1">INDEX('Summary Data'!$AS$6:$FZ$57,MATCH($C1016,'Summary Data'!$C$6:$C$57,0),MATCH($B1016,'Summary Data'!$AS$3:$FZ$3,0))</f>
        <v>0</v>
      </c>
      <c r="H1016" s="1592" t="str">
        <f t="shared" ca="1" si="321"/>
        <v>Sheets</v>
      </c>
      <c r="I1016" s="1591">
        <f ca="1">INDEX('Summary Data'!$AS$6:$FZ$57,MATCH($C1016,'Summary Data'!$C$6:$C$57,0),MATCH($B1016,'Summary Data'!$AS$3:$FZ$3,0)+1)</f>
        <v>0</v>
      </c>
      <c r="J1016" s="4004" t="str">
        <f t="shared" ca="1" si="317"/>
        <v>1st</v>
      </c>
      <c r="K1016" s="3114" t="s">
        <v>3176</v>
      </c>
      <c r="M1016" s="391"/>
      <c r="N1016" s="391"/>
      <c r="O1016" s="313"/>
      <c r="P1016" s="313"/>
      <c r="Q1016" s="313"/>
      <c r="R1016" s="313"/>
      <c r="S1016" s="313"/>
    </row>
    <row r="1017" spans="1:19" ht="16.899999999999999" hidden="1" customHeight="1" outlineLevel="1">
      <c r="A1017" s="313">
        <v>0</v>
      </c>
      <c r="B1017" s="1601" t="s">
        <v>3504</v>
      </c>
      <c r="C1017" s="3727" t="str">
        <f t="shared" ref="C1017:C1046" ca="1" si="326">OFFSET($A$312,A1017,0)</f>
        <v>N</v>
      </c>
      <c r="D1017" s="1602">
        <v>1</v>
      </c>
      <c r="E1017" s="1603">
        <v>1</v>
      </c>
      <c r="F1017" s="1591" t="str">
        <f t="shared" ca="1" si="324"/>
        <v>N</v>
      </c>
      <c r="G1017" s="1591">
        <f ca="1">INDEX('Summary Data'!$AS$6:$FZ$57,MATCH($C1017,'Summary Data'!$C$6:$C$57,0),MATCH($B1017,'Summary Data'!$AS$3:$FZ$3,0))</f>
        <v>0</v>
      </c>
      <c r="H1017" s="1592" t="str">
        <f t="shared" ca="1" si="321"/>
        <v>Sheets</v>
      </c>
      <c r="I1017" s="1591">
        <f ca="1">INDEX('Summary Data'!$AS$6:$FZ$57,MATCH($C1017,'Summary Data'!$C$6:$C$57,0),MATCH($B1017,'Summary Data'!$AS$3:$FZ$3,0)+1)</f>
        <v>0</v>
      </c>
      <c r="J1017" s="4004" t="str">
        <f t="shared" ca="1" si="317"/>
        <v>N</v>
      </c>
      <c r="K1017" s="3114" t="s">
        <v>3176</v>
      </c>
      <c r="M1017" s="391"/>
      <c r="N1017" s="391"/>
      <c r="O1017" s="313"/>
      <c r="P1017" s="313"/>
      <c r="Q1017" s="313"/>
      <c r="R1017" s="313"/>
      <c r="S1017" s="313"/>
    </row>
    <row r="1018" spans="1:19" ht="16.899999999999999" hidden="1" customHeight="1" outlineLevel="1">
      <c r="A1018" s="313">
        <f>A1017+3</f>
        <v>3</v>
      </c>
      <c r="B1018" s="1601" t="s">
        <v>3504</v>
      </c>
      <c r="C1018" s="3727" t="str">
        <f t="shared" ca="1" si="326"/>
        <v>N</v>
      </c>
      <c r="D1018" s="1602">
        <v>1</v>
      </c>
      <c r="E1018" s="1603">
        <v>1</v>
      </c>
      <c r="F1018" s="1591" t="str">
        <f t="shared" ca="1" si="324"/>
        <v>N</v>
      </c>
      <c r="G1018" s="1591">
        <f ca="1">INDEX('Summary Data'!$AS$6:$FZ$57,MATCH($C1018,'Summary Data'!$C$6:$C$57,0),MATCH($B1018,'Summary Data'!$AS$3:$FZ$3,0))</f>
        <v>0</v>
      </c>
      <c r="H1018" s="1592" t="str">
        <f t="shared" ca="1" si="321"/>
        <v>Sheets</v>
      </c>
      <c r="I1018" s="1591">
        <f ca="1">INDEX('Summary Data'!$AS$6:$FZ$57,MATCH($C1018,'Summary Data'!$C$6:$C$57,0),MATCH($B1018,'Summary Data'!$AS$3:$FZ$3,0)+1)</f>
        <v>0</v>
      </c>
      <c r="J1018" s="4004" t="str">
        <f t="shared" ca="1" si="317"/>
        <v>N</v>
      </c>
      <c r="K1018" s="3114" t="s">
        <v>3176</v>
      </c>
      <c r="M1018" s="391"/>
      <c r="N1018" s="391"/>
      <c r="O1018" s="313"/>
      <c r="P1018" s="313"/>
      <c r="Q1018" s="313"/>
      <c r="R1018" s="313"/>
      <c r="S1018" s="313"/>
    </row>
    <row r="1019" spans="1:19" ht="16.899999999999999" hidden="1" customHeight="1" outlineLevel="1">
      <c r="A1019" s="313">
        <f t="shared" ref="A1019:A1031" si="327">A1018+3</f>
        <v>6</v>
      </c>
      <c r="B1019" s="1601" t="s">
        <v>3504</v>
      </c>
      <c r="C1019" s="3727" t="str">
        <f t="shared" ca="1" si="326"/>
        <v>N</v>
      </c>
      <c r="D1019" s="1602">
        <v>1</v>
      </c>
      <c r="E1019" s="1603">
        <v>1</v>
      </c>
      <c r="F1019" s="1591" t="str">
        <f t="shared" ca="1" si="324"/>
        <v>N</v>
      </c>
      <c r="G1019" s="1591">
        <f ca="1">INDEX('Summary Data'!$AS$6:$FZ$57,MATCH($C1019,'Summary Data'!$C$6:$C$57,0),MATCH($B1019,'Summary Data'!$AS$3:$FZ$3,0))</f>
        <v>0</v>
      </c>
      <c r="H1019" s="1592" t="str">
        <f t="shared" ca="1" si="321"/>
        <v>Sheets</v>
      </c>
      <c r="I1019" s="1591">
        <f ca="1">INDEX('Summary Data'!$AS$6:$FZ$57,MATCH($C1019,'Summary Data'!$C$6:$C$57,0),MATCH($B1019,'Summary Data'!$AS$3:$FZ$3,0)+1)</f>
        <v>0</v>
      </c>
      <c r="J1019" s="4004" t="str">
        <f t="shared" ca="1" si="317"/>
        <v>N</v>
      </c>
      <c r="K1019" s="3114" t="s">
        <v>3176</v>
      </c>
      <c r="M1019" s="391"/>
      <c r="N1019" s="391"/>
      <c r="O1019" s="313"/>
      <c r="P1019" s="313"/>
      <c r="Q1019" s="313"/>
      <c r="R1019" s="313"/>
      <c r="S1019" s="313"/>
    </row>
    <row r="1020" spans="1:19" ht="16.899999999999999" hidden="1" customHeight="1" outlineLevel="1">
      <c r="A1020" s="313">
        <f t="shared" si="327"/>
        <v>9</v>
      </c>
      <c r="B1020" s="1601" t="s">
        <v>3504</v>
      </c>
      <c r="C1020" s="3727" t="str">
        <f t="shared" ca="1" si="326"/>
        <v>N</v>
      </c>
      <c r="D1020" s="1602">
        <v>1</v>
      </c>
      <c r="E1020" s="1603">
        <v>1</v>
      </c>
      <c r="F1020" s="1591" t="str">
        <f t="shared" ca="1" si="324"/>
        <v>N</v>
      </c>
      <c r="G1020" s="1591">
        <f ca="1">INDEX('Summary Data'!$AS$6:$FZ$57,MATCH($C1020,'Summary Data'!$C$6:$C$57,0),MATCH($B1020,'Summary Data'!$AS$3:$FZ$3,0))</f>
        <v>0</v>
      </c>
      <c r="H1020" s="1592" t="str">
        <f t="shared" ca="1" si="321"/>
        <v>Sheets</v>
      </c>
      <c r="I1020" s="1591">
        <f ca="1">INDEX('Summary Data'!$AS$6:$FZ$57,MATCH($C1020,'Summary Data'!$C$6:$C$57,0),MATCH($B1020,'Summary Data'!$AS$3:$FZ$3,0)+1)</f>
        <v>0</v>
      </c>
      <c r="J1020" s="4004" t="str">
        <f t="shared" ca="1" si="317"/>
        <v>N</v>
      </c>
      <c r="K1020" s="3114" t="s">
        <v>3176</v>
      </c>
      <c r="M1020" s="391"/>
      <c r="N1020" s="391"/>
      <c r="O1020" s="313"/>
      <c r="P1020" s="313"/>
      <c r="Q1020" s="313"/>
      <c r="R1020" s="313"/>
      <c r="S1020" s="313"/>
    </row>
    <row r="1021" spans="1:19" ht="16.899999999999999" hidden="1" customHeight="1" outlineLevel="1">
      <c r="A1021" s="313">
        <f t="shared" si="327"/>
        <v>12</v>
      </c>
      <c r="B1021" s="1601" t="s">
        <v>3504</v>
      </c>
      <c r="C1021" s="3727" t="str">
        <f t="shared" ca="1" si="326"/>
        <v>N</v>
      </c>
      <c r="D1021" s="1602">
        <v>1</v>
      </c>
      <c r="E1021" s="1603">
        <v>1</v>
      </c>
      <c r="F1021" s="1591" t="str">
        <f t="shared" ca="1" si="324"/>
        <v>N</v>
      </c>
      <c r="G1021" s="1591">
        <f ca="1">INDEX('Summary Data'!$AS$6:$FZ$57,MATCH($C1021,'Summary Data'!$C$6:$C$57,0),MATCH($B1021,'Summary Data'!$AS$3:$FZ$3,0))</f>
        <v>0</v>
      </c>
      <c r="H1021" s="1592" t="str">
        <f t="shared" ca="1" si="321"/>
        <v>Sheets</v>
      </c>
      <c r="I1021" s="1591">
        <f ca="1">INDEX('Summary Data'!$AS$6:$FZ$57,MATCH($C1021,'Summary Data'!$C$6:$C$57,0),MATCH($B1021,'Summary Data'!$AS$3:$FZ$3,0)+1)</f>
        <v>0</v>
      </c>
      <c r="J1021" s="4004" t="str">
        <f t="shared" ca="1" si="317"/>
        <v>N</v>
      </c>
      <c r="K1021" s="3114" t="s">
        <v>3176</v>
      </c>
      <c r="M1021" s="391"/>
      <c r="N1021" s="391"/>
      <c r="O1021" s="313"/>
      <c r="P1021" s="313"/>
      <c r="Q1021" s="313"/>
      <c r="R1021" s="313"/>
      <c r="S1021" s="313"/>
    </row>
    <row r="1022" spans="1:19" ht="16.899999999999999" hidden="1" customHeight="1" outlineLevel="1">
      <c r="A1022" s="313">
        <f t="shared" si="327"/>
        <v>15</v>
      </c>
      <c r="B1022" s="1601" t="s">
        <v>3504</v>
      </c>
      <c r="C1022" s="3727" t="str">
        <f t="shared" ca="1" si="326"/>
        <v>N</v>
      </c>
      <c r="D1022" s="1602">
        <v>1</v>
      </c>
      <c r="E1022" s="1603">
        <v>1</v>
      </c>
      <c r="F1022" s="1591" t="str">
        <f t="shared" ca="1" si="324"/>
        <v>N</v>
      </c>
      <c r="G1022" s="1591">
        <f ca="1">INDEX('Summary Data'!$AS$6:$FZ$57,MATCH($C1022,'Summary Data'!$C$6:$C$57,0),MATCH($B1022,'Summary Data'!$AS$3:$FZ$3,0))</f>
        <v>0</v>
      </c>
      <c r="H1022" s="1592" t="str">
        <f t="shared" ca="1" si="321"/>
        <v>Sheets</v>
      </c>
      <c r="I1022" s="1591">
        <f ca="1">INDEX('Summary Data'!$AS$6:$FZ$57,MATCH($C1022,'Summary Data'!$C$6:$C$57,0),MATCH($B1022,'Summary Data'!$AS$3:$FZ$3,0)+1)</f>
        <v>0</v>
      </c>
      <c r="J1022" s="4004" t="str">
        <f t="shared" ca="1" si="317"/>
        <v>N</v>
      </c>
      <c r="K1022" s="3114" t="s">
        <v>3176</v>
      </c>
      <c r="M1022" s="391"/>
      <c r="N1022" s="391"/>
      <c r="O1022" s="313"/>
      <c r="P1022" s="313"/>
      <c r="Q1022" s="313"/>
      <c r="R1022" s="313"/>
      <c r="S1022" s="313"/>
    </row>
    <row r="1023" spans="1:19" ht="16.899999999999999" hidden="1" customHeight="1" outlineLevel="1">
      <c r="A1023" s="313">
        <f t="shared" si="327"/>
        <v>18</v>
      </c>
      <c r="B1023" s="1601" t="s">
        <v>3504</v>
      </c>
      <c r="C1023" s="3727" t="str">
        <f t="shared" ca="1" si="326"/>
        <v>N</v>
      </c>
      <c r="D1023" s="1602">
        <v>1</v>
      </c>
      <c r="E1023" s="1603">
        <v>1</v>
      </c>
      <c r="F1023" s="1591" t="str">
        <f t="shared" ca="1" si="324"/>
        <v>N</v>
      </c>
      <c r="G1023" s="1591">
        <f ca="1">INDEX('Summary Data'!$AS$6:$FZ$57,MATCH($C1023,'Summary Data'!$C$6:$C$57,0),MATCH($B1023,'Summary Data'!$AS$3:$FZ$3,0))</f>
        <v>0</v>
      </c>
      <c r="H1023" s="1592" t="str">
        <f t="shared" ca="1" si="321"/>
        <v>Sheets</v>
      </c>
      <c r="I1023" s="1591">
        <f ca="1">INDEX('Summary Data'!$AS$6:$FZ$57,MATCH($C1023,'Summary Data'!$C$6:$C$57,0),MATCH($B1023,'Summary Data'!$AS$3:$FZ$3,0)+1)</f>
        <v>0</v>
      </c>
      <c r="J1023" s="4004" t="str">
        <f t="shared" ca="1" si="317"/>
        <v>N</v>
      </c>
      <c r="K1023" s="3114" t="s">
        <v>3176</v>
      </c>
      <c r="M1023" s="391"/>
      <c r="N1023" s="391"/>
      <c r="O1023" s="313"/>
      <c r="P1023" s="313"/>
      <c r="Q1023" s="313"/>
      <c r="R1023" s="313"/>
      <c r="S1023" s="313"/>
    </row>
    <row r="1024" spans="1:19" ht="16.899999999999999" hidden="1" customHeight="1" outlineLevel="1">
      <c r="A1024" s="313">
        <f t="shared" si="327"/>
        <v>21</v>
      </c>
      <c r="B1024" s="1601" t="s">
        <v>3504</v>
      </c>
      <c r="C1024" s="3727" t="str">
        <f t="shared" ca="1" si="326"/>
        <v>N</v>
      </c>
      <c r="D1024" s="1602">
        <v>1</v>
      </c>
      <c r="E1024" s="1603">
        <v>1</v>
      </c>
      <c r="F1024" s="1591" t="str">
        <f t="shared" ca="1" si="324"/>
        <v>N</v>
      </c>
      <c r="G1024" s="1591">
        <f ca="1">INDEX('Summary Data'!$AS$6:$FZ$57,MATCH($C1024,'Summary Data'!$C$6:$C$57,0),MATCH($B1024,'Summary Data'!$AS$3:$FZ$3,0))</f>
        <v>0</v>
      </c>
      <c r="H1024" s="1592" t="str">
        <f t="shared" ca="1" si="321"/>
        <v>Sheets</v>
      </c>
      <c r="I1024" s="1591">
        <f ca="1">INDEX('Summary Data'!$AS$6:$FZ$57,MATCH($C1024,'Summary Data'!$C$6:$C$57,0),MATCH($B1024,'Summary Data'!$AS$3:$FZ$3,0)+1)</f>
        <v>0</v>
      </c>
      <c r="J1024" s="4004" t="str">
        <f t="shared" ca="1" si="317"/>
        <v>N</v>
      </c>
      <c r="K1024" s="3114" t="s">
        <v>3176</v>
      </c>
      <c r="M1024" s="391"/>
      <c r="N1024" s="391"/>
      <c r="O1024" s="313"/>
      <c r="P1024" s="313"/>
      <c r="Q1024" s="313"/>
      <c r="R1024" s="313"/>
      <c r="S1024" s="313"/>
    </row>
    <row r="1025" spans="1:19" ht="16.899999999999999" hidden="1" customHeight="1" outlineLevel="1">
      <c r="A1025" s="313">
        <f t="shared" si="327"/>
        <v>24</v>
      </c>
      <c r="B1025" s="1601" t="s">
        <v>3504</v>
      </c>
      <c r="C1025" s="3727" t="str">
        <f t="shared" ca="1" si="326"/>
        <v>N</v>
      </c>
      <c r="D1025" s="1602">
        <v>1</v>
      </c>
      <c r="E1025" s="1603">
        <v>1</v>
      </c>
      <c r="F1025" s="1591" t="str">
        <f t="shared" ca="1" si="324"/>
        <v>N</v>
      </c>
      <c r="G1025" s="1591">
        <f ca="1">INDEX('Summary Data'!$AS$6:$FZ$57,MATCH($C1025,'Summary Data'!$C$6:$C$57,0),MATCH($B1025,'Summary Data'!$AS$3:$FZ$3,0))</f>
        <v>0</v>
      </c>
      <c r="H1025" s="1592" t="str">
        <f t="shared" ca="1" si="321"/>
        <v>Sheets</v>
      </c>
      <c r="I1025" s="1591">
        <f ca="1">INDEX('Summary Data'!$AS$6:$FZ$57,MATCH($C1025,'Summary Data'!$C$6:$C$57,0),MATCH($B1025,'Summary Data'!$AS$3:$FZ$3,0)+1)</f>
        <v>0</v>
      </c>
      <c r="J1025" s="4004" t="str">
        <f t="shared" ca="1" si="317"/>
        <v>N</v>
      </c>
      <c r="K1025" s="3114" t="s">
        <v>3176</v>
      </c>
      <c r="M1025" s="391"/>
      <c r="N1025" s="391"/>
      <c r="O1025" s="313"/>
      <c r="P1025" s="313"/>
      <c r="Q1025" s="313"/>
      <c r="R1025" s="313"/>
      <c r="S1025" s="313"/>
    </row>
    <row r="1026" spans="1:19" ht="16.899999999999999" hidden="1" customHeight="1" outlineLevel="1">
      <c r="A1026" s="313">
        <f t="shared" si="327"/>
        <v>27</v>
      </c>
      <c r="B1026" s="1601" t="s">
        <v>3504</v>
      </c>
      <c r="C1026" s="3727" t="str">
        <f t="shared" ca="1" si="326"/>
        <v>N</v>
      </c>
      <c r="D1026" s="1602">
        <v>1</v>
      </c>
      <c r="E1026" s="1603">
        <v>1</v>
      </c>
      <c r="F1026" s="1591" t="str">
        <f t="shared" ca="1" si="324"/>
        <v>N</v>
      </c>
      <c r="G1026" s="1591">
        <f ca="1">INDEX('Summary Data'!$AS$6:$FZ$57,MATCH($C1026,'Summary Data'!$C$6:$C$57,0),MATCH($B1026,'Summary Data'!$AS$3:$FZ$3,0))</f>
        <v>0</v>
      </c>
      <c r="H1026" s="1592" t="str">
        <f t="shared" ca="1" si="321"/>
        <v>Sheets</v>
      </c>
      <c r="I1026" s="1591">
        <f ca="1">INDEX('Summary Data'!$AS$6:$FZ$57,MATCH($C1026,'Summary Data'!$C$6:$C$57,0),MATCH($B1026,'Summary Data'!$AS$3:$FZ$3,0)+1)</f>
        <v>0</v>
      </c>
      <c r="J1026" s="4004" t="str">
        <f t="shared" ca="1" si="317"/>
        <v>N</v>
      </c>
      <c r="K1026" s="3114" t="s">
        <v>3176</v>
      </c>
      <c r="M1026" s="391"/>
      <c r="N1026" s="391"/>
      <c r="O1026" s="313"/>
      <c r="P1026" s="313"/>
      <c r="Q1026" s="313"/>
      <c r="R1026" s="313"/>
      <c r="S1026" s="313"/>
    </row>
    <row r="1027" spans="1:19" ht="16.899999999999999" hidden="1" customHeight="1" outlineLevel="1">
      <c r="A1027" s="313">
        <f t="shared" si="327"/>
        <v>30</v>
      </c>
      <c r="B1027" s="1601" t="s">
        <v>3504</v>
      </c>
      <c r="C1027" s="3727" t="str">
        <f t="shared" ca="1" si="326"/>
        <v>N</v>
      </c>
      <c r="D1027" s="1602">
        <v>1</v>
      </c>
      <c r="E1027" s="1603">
        <v>1</v>
      </c>
      <c r="F1027" s="1591" t="str">
        <f t="shared" ca="1" si="324"/>
        <v>N</v>
      </c>
      <c r="G1027" s="1591">
        <f ca="1">INDEX('Summary Data'!$AS$6:$FZ$57,MATCH($C1027,'Summary Data'!$C$6:$C$57,0),MATCH($B1027,'Summary Data'!$AS$3:$FZ$3,0))</f>
        <v>0</v>
      </c>
      <c r="H1027" s="1592" t="str">
        <f t="shared" ca="1" si="321"/>
        <v>Sheets</v>
      </c>
      <c r="I1027" s="1591">
        <f ca="1">INDEX('Summary Data'!$AS$6:$FZ$57,MATCH($C1027,'Summary Data'!$C$6:$C$57,0),MATCH($B1027,'Summary Data'!$AS$3:$FZ$3,0)+1)</f>
        <v>0</v>
      </c>
      <c r="J1027" s="4004" t="str">
        <f t="shared" ca="1" si="317"/>
        <v>N</v>
      </c>
      <c r="K1027" s="3114" t="s">
        <v>3176</v>
      </c>
      <c r="M1027" s="391"/>
      <c r="N1027" s="391"/>
      <c r="O1027" s="313"/>
      <c r="P1027" s="313"/>
      <c r="Q1027" s="313"/>
      <c r="R1027" s="313"/>
      <c r="S1027" s="313"/>
    </row>
    <row r="1028" spans="1:19" ht="16.899999999999999" hidden="1" customHeight="1" outlineLevel="1">
      <c r="A1028" s="313">
        <f t="shared" si="327"/>
        <v>33</v>
      </c>
      <c r="B1028" s="1601" t="s">
        <v>3504</v>
      </c>
      <c r="C1028" s="3727" t="str">
        <f t="shared" ca="1" si="326"/>
        <v>N</v>
      </c>
      <c r="D1028" s="1602">
        <v>1</v>
      </c>
      <c r="E1028" s="1603">
        <v>1</v>
      </c>
      <c r="F1028" s="1591" t="str">
        <f t="shared" ca="1" si="324"/>
        <v>N</v>
      </c>
      <c r="G1028" s="1591">
        <f ca="1">INDEX('Summary Data'!$AS$6:$FZ$57,MATCH($C1028,'Summary Data'!$C$6:$C$57,0),MATCH($B1028,'Summary Data'!$AS$3:$FZ$3,0))</f>
        <v>0</v>
      </c>
      <c r="H1028" s="1592" t="str">
        <f t="shared" ref="H1028:H1046" ca="1" si="328">IF(E1028&gt;1,"Sets",IF(F1028="Pcs","Copies","Sheets"))</f>
        <v>Sheets</v>
      </c>
      <c r="I1028" s="1591">
        <f ca="1">INDEX('Summary Data'!$AS$6:$FZ$57,MATCH($C1028,'Summary Data'!$C$6:$C$57,0),MATCH($B1028,'Summary Data'!$AS$3:$FZ$3,0)+1)</f>
        <v>0</v>
      </c>
      <c r="J1028" s="4004" t="str">
        <f t="shared" ca="1" si="317"/>
        <v>N</v>
      </c>
      <c r="K1028" s="3114" t="s">
        <v>3176</v>
      </c>
      <c r="M1028" s="391"/>
      <c r="N1028" s="391"/>
      <c r="O1028" s="313"/>
      <c r="P1028" s="313"/>
      <c r="Q1028" s="313"/>
      <c r="R1028" s="313"/>
      <c r="S1028" s="313"/>
    </row>
    <row r="1029" spans="1:19" ht="16.899999999999999" hidden="1" customHeight="1" outlineLevel="1">
      <c r="A1029" s="313">
        <f t="shared" si="327"/>
        <v>36</v>
      </c>
      <c r="B1029" s="1601" t="s">
        <v>3504</v>
      </c>
      <c r="C1029" s="3727" t="str">
        <f t="shared" ca="1" si="326"/>
        <v>N</v>
      </c>
      <c r="D1029" s="1602">
        <v>1</v>
      </c>
      <c r="E1029" s="1603">
        <v>1</v>
      </c>
      <c r="F1029" s="1591" t="str">
        <f t="shared" ca="1" si="324"/>
        <v>N</v>
      </c>
      <c r="G1029" s="1591">
        <f ca="1">INDEX('Summary Data'!$AS$6:$FZ$57,MATCH($C1029,'Summary Data'!$C$6:$C$57,0),MATCH($B1029,'Summary Data'!$AS$3:$FZ$3,0))</f>
        <v>0</v>
      </c>
      <c r="H1029" s="1592" t="str">
        <f t="shared" ca="1" si="328"/>
        <v>Sheets</v>
      </c>
      <c r="I1029" s="1591">
        <f ca="1">INDEX('Summary Data'!$AS$6:$FZ$57,MATCH($C1029,'Summary Data'!$C$6:$C$57,0),MATCH($B1029,'Summary Data'!$AS$3:$FZ$3,0)+1)</f>
        <v>0</v>
      </c>
      <c r="J1029" s="4004" t="str">
        <f t="shared" ref="J1029:J1061" ca="1" si="329">C1029</f>
        <v>N</v>
      </c>
      <c r="K1029" s="3114" t="s">
        <v>3176</v>
      </c>
      <c r="M1029" s="391"/>
      <c r="N1029" s="391"/>
      <c r="O1029" s="313"/>
      <c r="P1029" s="313"/>
      <c r="Q1029" s="313"/>
      <c r="R1029" s="313"/>
      <c r="S1029" s="313"/>
    </row>
    <row r="1030" spans="1:19" ht="16.899999999999999" hidden="1" customHeight="1" outlineLevel="1">
      <c r="A1030" s="313">
        <f t="shared" si="327"/>
        <v>39</v>
      </c>
      <c r="B1030" s="1601" t="s">
        <v>3504</v>
      </c>
      <c r="C1030" s="3727" t="str">
        <f t="shared" ca="1" si="326"/>
        <v>N</v>
      </c>
      <c r="D1030" s="1602">
        <v>1</v>
      </c>
      <c r="E1030" s="1603">
        <v>1</v>
      </c>
      <c r="F1030" s="1591" t="str">
        <f t="shared" ca="1" si="324"/>
        <v>N</v>
      </c>
      <c r="G1030" s="1591">
        <f ca="1">INDEX('Summary Data'!$AS$6:$FZ$57,MATCH($C1030,'Summary Data'!$C$6:$C$57,0),MATCH($B1030,'Summary Data'!$AS$3:$FZ$3,0))</f>
        <v>0</v>
      </c>
      <c r="H1030" s="1592" t="str">
        <f t="shared" ca="1" si="328"/>
        <v>Sheets</v>
      </c>
      <c r="I1030" s="1591">
        <f ca="1">INDEX('Summary Data'!$AS$6:$FZ$57,MATCH($C1030,'Summary Data'!$C$6:$C$57,0),MATCH($B1030,'Summary Data'!$AS$3:$FZ$3,0)+1)</f>
        <v>0</v>
      </c>
      <c r="J1030" s="4004" t="str">
        <f t="shared" ca="1" si="329"/>
        <v>N</v>
      </c>
      <c r="K1030" s="3114" t="s">
        <v>3176</v>
      </c>
      <c r="M1030" s="391"/>
      <c r="N1030" s="391"/>
      <c r="O1030" s="313"/>
      <c r="P1030" s="313"/>
      <c r="Q1030" s="313"/>
      <c r="R1030" s="313"/>
      <c r="S1030" s="313"/>
    </row>
    <row r="1031" spans="1:19" ht="16.899999999999999" hidden="1" customHeight="1" outlineLevel="1">
      <c r="A1031" s="313">
        <f t="shared" si="327"/>
        <v>42</v>
      </c>
      <c r="B1031" s="1601" t="s">
        <v>3504</v>
      </c>
      <c r="C1031" s="3727" t="str">
        <f t="shared" ca="1" si="326"/>
        <v>N</v>
      </c>
      <c r="D1031" s="1602">
        <v>1</v>
      </c>
      <c r="E1031" s="1603">
        <v>1</v>
      </c>
      <c r="F1031" s="1591" t="str">
        <f t="shared" ca="1" si="324"/>
        <v>N</v>
      </c>
      <c r="G1031" s="1591">
        <f ca="1">INDEX('Summary Data'!$AS$6:$FZ$57,MATCH($C1031,'Summary Data'!$C$6:$C$57,0),MATCH($B1031,'Summary Data'!$AS$3:$FZ$3,0))</f>
        <v>0</v>
      </c>
      <c r="H1031" s="1592" t="str">
        <f t="shared" ca="1" si="328"/>
        <v>Sheets</v>
      </c>
      <c r="I1031" s="1591">
        <f ca="1">INDEX('Summary Data'!$AS$6:$FZ$57,MATCH($C1031,'Summary Data'!$C$6:$C$57,0),MATCH($B1031,'Summary Data'!$AS$3:$FZ$3,0)+1)</f>
        <v>0</v>
      </c>
      <c r="J1031" s="4004" t="str">
        <f t="shared" ca="1" si="329"/>
        <v>N</v>
      </c>
      <c r="K1031" s="3114" t="s">
        <v>3176</v>
      </c>
      <c r="M1031" s="391"/>
      <c r="N1031" s="391"/>
      <c r="O1031" s="313"/>
      <c r="P1031" s="313"/>
      <c r="Q1031" s="313"/>
      <c r="R1031" s="313"/>
      <c r="S1031" s="313"/>
    </row>
    <row r="1032" spans="1:19" ht="16.899999999999999" hidden="1" customHeight="1" outlineLevel="1">
      <c r="A1032" s="313">
        <v>0</v>
      </c>
      <c r="B1032" s="1601" t="s">
        <v>3505</v>
      </c>
      <c r="C1032" s="3727" t="str">
        <f t="shared" ca="1" si="326"/>
        <v>N</v>
      </c>
      <c r="D1032" s="1602">
        <v>1</v>
      </c>
      <c r="E1032" s="1603">
        <v>1</v>
      </c>
      <c r="F1032" s="1591" t="str">
        <f t="shared" ca="1" si="324"/>
        <v>N</v>
      </c>
      <c r="G1032" s="1591">
        <f ca="1">INDEX('Summary Data'!$AS$6:$FZ$57,MATCH($C1032,'Summary Data'!$C$6:$C$57,0),MATCH($B1032,'Summary Data'!$AS$3:$FZ$3,0))</f>
        <v>0</v>
      </c>
      <c r="H1032" s="1592" t="str">
        <f t="shared" ca="1" si="328"/>
        <v>Sheets</v>
      </c>
      <c r="I1032" s="1591">
        <f ca="1">INDEX('Summary Data'!$AS$6:$FZ$57,MATCH($C1032,'Summary Data'!$C$6:$C$57,0),MATCH($B1032,'Summary Data'!$AS$3:$FZ$3,0)+1)</f>
        <v>0</v>
      </c>
      <c r="J1032" s="4004" t="str">
        <f t="shared" ca="1" si="329"/>
        <v>N</v>
      </c>
      <c r="K1032" s="3114" t="s">
        <v>3176</v>
      </c>
      <c r="M1032" s="391"/>
      <c r="N1032" s="391"/>
      <c r="O1032" s="313"/>
      <c r="P1032" s="313"/>
      <c r="Q1032" s="313"/>
      <c r="R1032" s="313"/>
      <c r="S1032" s="313"/>
    </row>
    <row r="1033" spans="1:19" ht="16.899999999999999" hidden="1" customHeight="1" outlineLevel="1">
      <c r="A1033" s="313">
        <f>A1032+3</f>
        <v>3</v>
      </c>
      <c r="B1033" s="1601" t="s">
        <v>3505</v>
      </c>
      <c r="C1033" s="3727" t="str">
        <f t="shared" ca="1" si="326"/>
        <v>N</v>
      </c>
      <c r="D1033" s="1602">
        <v>1</v>
      </c>
      <c r="E1033" s="1603">
        <v>1</v>
      </c>
      <c r="F1033" s="1591" t="str">
        <f t="shared" ca="1" si="324"/>
        <v>N</v>
      </c>
      <c r="G1033" s="1591">
        <f ca="1">INDEX('Summary Data'!$AS$6:$FZ$57,MATCH($C1033,'Summary Data'!$C$6:$C$57,0),MATCH($B1033,'Summary Data'!$AS$3:$FZ$3,0))</f>
        <v>0</v>
      </c>
      <c r="H1033" s="1592" t="str">
        <f t="shared" ca="1" si="328"/>
        <v>Sheets</v>
      </c>
      <c r="I1033" s="1591">
        <f ca="1">INDEX('Summary Data'!$AS$6:$FZ$57,MATCH($C1033,'Summary Data'!$C$6:$C$57,0),MATCH($B1033,'Summary Data'!$AS$3:$FZ$3,0)+1)</f>
        <v>0</v>
      </c>
      <c r="J1033" s="4004" t="str">
        <f t="shared" ca="1" si="329"/>
        <v>N</v>
      </c>
      <c r="K1033" s="3114" t="s">
        <v>3176</v>
      </c>
      <c r="M1033" s="391"/>
      <c r="N1033" s="391"/>
      <c r="O1033" s="313"/>
      <c r="P1033" s="313"/>
      <c r="Q1033" s="313"/>
      <c r="R1033" s="313"/>
      <c r="S1033" s="313"/>
    </row>
    <row r="1034" spans="1:19" ht="16.899999999999999" hidden="1" customHeight="1" outlineLevel="1">
      <c r="A1034" s="313">
        <f t="shared" ref="A1034:A1046" si="330">A1033+3</f>
        <v>6</v>
      </c>
      <c r="B1034" s="1601" t="s">
        <v>3505</v>
      </c>
      <c r="C1034" s="3727" t="str">
        <f t="shared" ca="1" si="326"/>
        <v>N</v>
      </c>
      <c r="D1034" s="1602">
        <v>1</v>
      </c>
      <c r="E1034" s="1603">
        <v>1</v>
      </c>
      <c r="F1034" s="1591" t="str">
        <f t="shared" ca="1" si="324"/>
        <v>N</v>
      </c>
      <c r="G1034" s="1591">
        <f ca="1">INDEX('Summary Data'!$AS$6:$FZ$57,MATCH($C1034,'Summary Data'!$C$6:$C$57,0),MATCH($B1034,'Summary Data'!$AS$3:$FZ$3,0))</f>
        <v>0</v>
      </c>
      <c r="H1034" s="1592" t="str">
        <f t="shared" ca="1" si="328"/>
        <v>Sheets</v>
      </c>
      <c r="I1034" s="1591">
        <f ca="1">INDEX('Summary Data'!$AS$6:$FZ$57,MATCH($C1034,'Summary Data'!$C$6:$C$57,0),MATCH($B1034,'Summary Data'!$AS$3:$FZ$3,0)+1)</f>
        <v>0</v>
      </c>
      <c r="J1034" s="4004" t="str">
        <f t="shared" ca="1" si="329"/>
        <v>N</v>
      </c>
      <c r="K1034" s="3114" t="s">
        <v>3176</v>
      </c>
      <c r="M1034" s="391"/>
      <c r="N1034" s="391"/>
      <c r="O1034" s="313"/>
      <c r="P1034" s="313"/>
      <c r="Q1034" s="313"/>
      <c r="R1034" s="313"/>
      <c r="S1034" s="313"/>
    </row>
    <row r="1035" spans="1:19" ht="16.899999999999999" hidden="1" customHeight="1" outlineLevel="1">
      <c r="A1035" s="313">
        <f t="shared" si="330"/>
        <v>9</v>
      </c>
      <c r="B1035" s="1601" t="s">
        <v>3505</v>
      </c>
      <c r="C1035" s="3727" t="str">
        <f t="shared" ca="1" si="326"/>
        <v>N</v>
      </c>
      <c r="D1035" s="1602">
        <v>1</v>
      </c>
      <c r="E1035" s="1603">
        <v>1</v>
      </c>
      <c r="F1035" s="1591" t="str">
        <f t="shared" ca="1" si="324"/>
        <v>N</v>
      </c>
      <c r="G1035" s="1591">
        <f ca="1">INDEX('Summary Data'!$AS$6:$FZ$57,MATCH($C1035,'Summary Data'!$C$6:$C$57,0),MATCH($B1035,'Summary Data'!$AS$3:$FZ$3,0))</f>
        <v>0</v>
      </c>
      <c r="H1035" s="1592" t="str">
        <f t="shared" ca="1" si="328"/>
        <v>Sheets</v>
      </c>
      <c r="I1035" s="1591">
        <f ca="1">INDEX('Summary Data'!$AS$6:$FZ$57,MATCH($C1035,'Summary Data'!$C$6:$C$57,0),MATCH($B1035,'Summary Data'!$AS$3:$FZ$3,0)+1)</f>
        <v>0</v>
      </c>
      <c r="J1035" s="4004" t="str">
        <f t="shared" ca="1" si="329"/>
        <v>N</v>
      </c>
      <c r="K1035" s="3114" t="s">
        <v>3176</v>
      </c>
      <c r="M1035" s="391"/>
      <c r="N1035" s="391"/>
      <c r="O1035" s="313"/>
      <c r="P1035" s="313"/>
      <c r="Q1035" s="313"/>
      <c r="R1035" s="313"/>
      <c r="S1035" s="313"/>
    </row>
    <row r="1036" spans="1:19" ht="16.899999999999999" hidden="1" customHeight="1" outlineLevel="1">
      <c r="A1036" s="313">
        <f t="shared" si="330"/>
        <v>12</v>
      </c>
      <c r="B1036" s="1601" t="s">
        <v>3505</v>
      </c>
      <c r="C1036" s="3727" t="str">
        <f t="shared" ca="1" si="326"/>
        <v>N</v>
      </c>
      <c r="D1036" s="1602">
        <v>1</v>
      </c>
      <c r="E1036" s="1603">
        <v>1</v>
      </c>
      <c r="F1036" s="1591" t="str">
        <f t="shared" ca="1" si="324"/>
        <v>N</v>
      </c>
      <c r="G1036" s="1591">
        <f ca="1">INDEX('Summary Data'!$AS$6:$FZ$57,MATCH($C1036,'Summary Data'!$C$6:$C$57,0),MATCH($B1036,'Summary Data'!$AS$3:$FZ$3,0))</f>
        <v>0</v>
      </c>
      <c r="H1036" s="1592" t="str">
        <f t="shared" ca="1" si="328"/>
        <v>Sheets</v>
      </c>
      <c r="I1036" s="1591">
        <f ca="1">INDEX('Summary Data'!$AS$6:$FZ$57,MATCH($C1036,'Summary Data'!$C$6:$C$57,0),MATCH($B1036,'Summary Data'!$AS$3:$FZ$3,0)+1)</f>
        <v>0</v>
      </c>
      <c r="J1036" s="4004" t="str">
        <f t="shared" ca="1" si="329"/>
        <v>N</v>
      </c>
      <c r="K1036" s="3114" t="s">
        <v>3176</v>
      </c>
      <c r="M1036" s="391"/>
      <c r="N1036" s="391"/>
      <c r="O1036" s="313"/>
      <c r="P1036" s="313"/>
      <c r="Q1036" s="313"/>
      <c r="R1036" s="313"/>
      <c r="S1036" s="313"/>
    </row>
    <row r="1037" spans="1:19" ht="16.899999999999999" hidden="1" customHeight="1" outlineLevel="1">
      <c r="A1037" s="313">
        <f t="shared" si="330"/>
        <v>15</v>
      </c>
      <c r="B1037" s="1601" t="s">
        <v>3505</v>
      </c>
      <c r="C1037" s="3727" t="str">
        <f t="shared" ca="1" si="326"/>
        <v>N</v>
      </c>
      <c r="D1037" s="1602">
        <v>1</v>
      </c>
      <c r="E1037" s="1603">
        <v>1</v>
      </c>
      <c r="F1037" s="1591" t="str">
        <f t="shared" ca="1" si="324"/>
        <v>N</v>
      </c>
      <c r="G1037" s="1591">
        <f ca="1">INDEX('Summary Data'!$AS$6:$FZ$57,MATCH($C1037,'Summary Data'!$C$6:$C$57,0),MATCH($B1037,'Summary Data'!$AS$3:$FZ$3,0))</f>
        <v>0</v>
      </c>
      <c r="H1037" s="1592" t="str">
        <f t="shared" ca="1" si="328"/>
        <v>Sheets</v>
      </c>
      <c r="I1037" s="1591">
        <f ca="1">INDEX('Summary Data'!$AS$6:$FZ$57,MATCH($C1037,'Summary Data'!$C$6:$C$57,0),MATCH($B1037,'Summary Data'!$AS$3:$FZ$3,0)+1)</f>
        <v>0</v>
      </c>
      <c r="J1037" s="4004" t="str">
        <f t="shared" ca="1" si="329"/>
        <v>N</v>
      </c>
      <c r="K1037" s="3114" t="s">
        <v>3176</v>
      </c>
      <c r="M1037" s="391"/>
      <c r="N1037" s="391"/>
      <c r="O1037" s="313"/>
      <c r="P1037" s="313"/>
      <c r="Q1037" s="313"/>
      <c r="R1037" s="313"/>
      <c r="S1037" s="313"/>
    </row>
    <row r="1038" spans="1:19" ht="16.899999999999999" hidden="1" customHeight="1" outlineLevel="1">
      <c r="A1038" s="313">
        <f t="shared" si="330"/>
        <v>18</v>
      </c>
      <c r="B1038" s="1601" t="s">
        <v>3505</v>
      </c>
      <c r="C1038" s="3727" t="str">
        <f t="shared" ca="1" si="326"/>
        <v>N</v>
      </c>
      <c r="D1038" s="1602">
        <v>1</v>
      </c>
      <c r="E1038" s="1603">
        <v>1</v>
      </c>
      <c r="F1038" s="1591" t="str">
        <f t="shared" ca="1" si="324"/>
        <v>N</v>
      </c>
      <c r="G1038" s="1591">
        <f ca="1">INDEX('Summary Data'!$AS$6:$FZ$57,MATCH($C1038,'Summary Data'!$C$6:$C$57,0),MATCH($B1038,'Summary Data'!$AS$3:$FZ$3,0))</f>
        <v>0</v>
      </c>
      <c r="H1038" s="1592" t="str">
        <f t="shared" ca="1" si="328"/>
        <v>Sheets</v>
      </c>
      <c r="I1038" s="1591">
        <f ca="1">INDEX('Summary Data'!$AS$6:$FZ$57,MATCH($C1038,'Summary Data'!$C$6:$C$57,0),MATCH($B1038,'Summary Data'!$AS$3:$FZ$3,0)+1)</f>
        <v>0</v>
      </c>
      <c r="J1038" s="4004" t="str">
        <f t="shared" ca="1" si="329"/>
        <v>N</v>
      </c>
      <c r="K1038" s="3114" t="s">
        <v>3176</v>
      </c>
      <c r="M1038" s="391"/>
      <c r="N1038" s="391"/>
      <c r="O1038" s="313"/>
      <c r="P1038" s="313"/>
      <c r="Q1038" s="313"/>
      <c r="R1038" s="313"/>
      <c r="S1038" s="313"/>
    </row>
    <row r="1039" spans="1:19" ht="16.899999999999999" hidden="1" customHeight="1" outlineLevel="1">
      <c r="A1039" s="313">
        <f t="shared" si="330"/>
        <v>21</v>
      </c>
      <c r="B1039" s="1601" t="s">
        <v>3505</v>
      </c>
      <c r="C1039" s="3727" t="str">
        <f t="shared" ca="1" si="326"/>
        <v>N</v>
      </c>
      <c r="D1039" s="1602">
        <v>1</v>
      </c>
      <c r="E1039" s="1603">
        <v>1</v>
      </c>
      <c r="F1039" s="1591" t="str">
        <f t="shared" ca="1" si="324"/>
        <v>N</v>
      </c>
      <c r="G1039" s="1591">
        <f ca="1">INDEX('Summary Data'!$AS$6:$FZ$57,MATCH($C1039,'Summary Data'!$C$6:$C$57,0),MATCH($B1039,'Summary Data'!$AS$3:$FZ$3,0))</f>
        <v>0</v>
      </c>
      <c r="H1039" s="1592" t="str">
        <f t="shared" ca="1" si="328"/>
        <v>Sheets</v>
      </c>
      <c r="I1039" s="1591">
        <f ca="1">INDEX('Summary Data'!$AS$6:$FZ$57,MATCH($C1039,'Summary Data'!$C$6:$C$57,0),MATCH($B1039,'Summary Data'!$AS$3:$FZ$3,0)+1)</f>
        <v>0</v>
      </c>
      <c r="J1039" s="4004" t="str">
        <f t="shared" ca="1" si="329"/>
        <v>N</v>
      </c>
      <c r="K1039" s="3114" t="s">
        <v>3176</v>
      </c>
      <c r="M1039" s="391"/>
      <c r="N1039" s="391"/>
      <c r="O1039" s="313"/>
      <c r="P1039" s="313"/>
      <c r="Q1039" s="313"/>
      <c r="R1039" s="313"/>
      <c r="S1039" s="313"/>
    </row>
    <row r="1040" spans="1:19" ht="16.899999999999999" hidden="1" customHeight="1" outlineLevel="1">
      <c r="A1040" s="313">
        <f t="shared" si="330"/>
        <v>24</v>
      </c>
      <c r="B1040" s="1601" t="s">
        <v>3505</v>
      </c>
      <c r="C1040" s="3727" t="str">
        <f t="shared" ca="1" si="326"/>
        <v>N</v>
      </c>
      <c r="D1040" s="1602">
        <v>1</v>
      </c>
      <c r="E1040" s="1603">
        <v>1</v>
      </c>
      <c r="F1040" s="1591" t="str">
        <f t="shared" ca="1" si="324"/>
        <v>N</v>
      </c>
      <c r="G1040" s="1591">
        <f ca="1">INDEX('Summary Data'!$AS$6:$FZ$57,MATCH($C1040,'Summary Data'!$C$6:$C$57,0),MATCH($B1040,'Summary Data'!$AS$3:$FZ$3,0))</f>
        <v>0</v>
      </c>
      <c r="H1040" s="1592" t="str">
        <f t="shared" ca="1" si="328"/>
        <v>Sheets</v>
      </c>
      <c r="I1040" s="1591">
        <f ca="1">INDEX('Summary Data'!$AS$6:$FZ$57,MATCH($C1040,'Summary Data'!$C$6:$C$57,0),MATCH($B1040,'Summary Data'!$AS$3:$FZ$3,0)+1)</f>
        <v>0</v>
      </c>
      <c r="J1040" s="4004" t="str">
        <f t="shared" ca="1" si="329"/>
        <v>N</v>
      </c>
      <c r="K1040" s="3114" t="s">
        <v>3176</v>
      </c>
      <c r="M1040" s="391"/>
      <c r="N1040" s="391"/>
      <c r="O1040" s="313"/>
      <c r="P1040" s="313"/>
      <c r="Q1040" s="313"/>
      <c r="R1040" s="313"/>
      <c r="S1040" s="313"/>
    </row>
    <row r="1041" spans="1:19" ht="16.899999999999999" hidden="1" customHeight="1" outlineLevel="1">
      <c r="A1041" s="313">
        <f t="shared" si="330"/>
        <v>27</v>
      </c>
      <c r="B1041" s="1601" t="s">
        <v>3505</v>
      </c>
      <c r="C1041" s="3727" t="str">
        <f t="shared" ca="1" si="326"/>
        <v>N</v>
      </c>
      <c r="D1041" s="1602">
        <v>1</v>
      </c>
      <c r="E1041" s="1603">
        <v>1</v>
      </c>
      <c r="F1041" s="1591" t="str">
        <f t="shared" ca="1" si="324"/>
        <v>N</v>
      </c>
      <c r="G1041" s="1591">
        <f ca="1">INDEX('Summary Data'!$AS$6:$FZ$57,MATCH($C1041,'Summary Data'!$C$6:$C$57,0),MATCH($B1041,'Summary Data'!$AS$3:$FZ$3,0))</f>
        <v>0</v>
      </c>
      <c r="H1041" s="1592" t="str">
        <f t="shared" ca="1" si="328"/>
        <v>Sheets</v>
      </c>
      <c r="I1041" s="1591">
        <f ca="1">INDEX('Summary Data'!$AS$6:$FZ$57,MATCH($C1041,'Summary Data'!$C$6:$C$57,0),MATCH($B1041,'Summary Data'!$AS$3:$FZ$3,0)+1)</f>
        <v>0</v>
      </c>
      <c r="J1041" s="4004" t="str">
        <f t="shared" ca="1" si="329"/>
        <v>N</v>
      </c>
      <c r="K1041" s="3114" t="s">
        <v>3176</v>
      </c>
      <c r="M1041" s="391"/>
      <c r="N1041" s="391"/>
      <c r="O1041" s="313"/>
      <c r="P1041" s="313"/>
      <c r="Q1041" s="313"/>
      <c r="R1041" s="313"/>
      <c r="S1041" s="313"/>
    </row>
    <row r="1042" spans="1:19" ht="16.899999999999999" hidden="1" customHeight="1" outlineLevel="1">
      <c r="A1042" s="313">
        <f t="shared" si="330"/>
        <v>30</v>
      </c>
      <c r="B1042" s="1601" t="s">
        <v>3505</v>
      </c>
      <c r="C1042" s="3727" t="str">
        <f t="shared" ca="1" si="326"/>
        <v>N</v>
      </c>
      <c r="D1042" s="1602">
        <v>1</v>
      </c>
      <c r="E1042" s="1603">
        <v>1</v>
      </c>
      <c r="F1042" s="1591" t="str">
        <f t="shared" ca="1" si="324"/>
        <v>N</v>
      </c>
      <c r="G1042" s="1591">
        <f ca="1">INDEX('Summary Data'!$AS$6:$FZ$57,MATCH($C1042,'Summary Data'!$C$6:$C$57,0),MATCH($B1042,'Summary Data'!$AS$3:$FZ$3,0))</f>
        <v>0</v>
      </c>
      <c r="H1042" s="1592" t="str">
        <f t="shared" ca="1" si="328"/>
        <v>Sheets</v>
      </c>
      <c r="I1042" s="1591">
        <f ca="1">INDEX('Summary Data'!$AS$6:$FZ$57,MATCH($C1042,'Summary Data'!$C$6:$C$57,0),MATCH($B1042,'Summary Data'!$AS$3:$FZ$3,0)+1)</f>
        <v>0</v>
      </c>
      <c r="J1042" s="4004" t="str">
        <f t="shared" ca="1" si="329"/>
        <v>N</v>
      </c>
      <c r="K1042" s="3114" t="s">
        <v>3176</v>
      </c>
      <c r="M1042" s="391"/>
      <c r="N1042" s="391"/>
      <c r="O1042" s="313"/>
      <c r="P1042" s="313"/>
      <c r="Q1042" s="313"/>
      <c r="R1042" s="313"/>
      <c r="S1042" s="313"/>
    </row>
    <row r="1043" spans="1:19" ht="16.899999999999999" hidden="1" customHeight="1" outlineLevel="1">
      <c r="A1043" s="313">
        <f t="shared" si="330"/>
        <v>33</v>
      </c>
      <c r="B1043" s="1601" t="s">
        <v>3505</v>
      </c>
      <c r="C1043" s="3727" t="str">
        <f t="shared" ca="1" si="326"/>
        <v>N</v>
      </c>
      <c r="D1043" s="1602">
        <v>1</v>
      </c>
      <c r="E1043" s="1603">
        <v>1</v>
      </c>
      <c r="F1043" s="1591" t="str">
        <f t="shared" ca="1" si="324"/>
        <v>N</v>
      </c>
      <c r="G1043" s="1591">
        <f ca="1">INDEX('Summary Data'!$AS$6:$FZ$57,MATCH($C1043,'Summary Data'!$C$6:$C$57,0),MATCH($B1043,'Summary Data'!$AS$3:$FZ$3,0))</f>
        <v>0</v>
      </c>
      <c r="H1043" s="1592" t="str">
        <f t="shared" ca="1" si="328"/>
        <v>Sheets</v>
      </c>
      <c r="I1043" s="1591">
        <f ca="1">INDEX('Summary Data'!$AS$6:$FZ$57,MATCH($C1043,'Summary Data'!$C$6:$C$57,0),MATCH($B1043,'Summary Data'!$AS$3:$FZ$3,0)+1)</f>
        <v>0</v>
      </c>
      <c r="J1043" s="4004" t="str">
        <f t="shared" ca="1" si="329"/>
        <v>N</v>
      </c>
      <c r="K1043" s="3114" t="s">
        <v>3176</v>
      </c>
      <c r="M1043" s="391"/>
      <c r="N1043" s="391"/>
      <c r="O1043" s="313"/>
      <c r="P1043" s="313"/>
      <c r="Q1043" s="313"/>
      <c r="R1043" s="313"/>
      <c r="S1043" s="313"/>
    </row>
    <row r="1044" spans="1:19" ht="16.899999999999999" hidden="1" customHeight="1" outlineLevel="1">
      <c r="A1044" s="313">
        <f t="shared" si="330"/>
        <v>36</v>
      </c>
      <c r="B1044" s="1601" t="s">
        <v>3505</v>
      </c>
      <c r="C1044" s="3727" t="str">
        <f t="shared" ca="1" si="326"/>
        <v>N</v>
      </c>
      <c r="D1044" s="1602">
        <v>1</v>
      </c>
      <c r="E1044" s="1603">
        <v>1</v>
      </c>
      <c r="F1044" s="1591" t="str">
        <f t="shared" ca="1" si="324"/>
        <v>N</v>
      </c>
      <c r="G1044" s="1591">
        <f ca="1">INDEX('Summary Data'!$AS$6:$FZ$57,MATCH($C1044,'Summary Data'!$C$6:$C$57,0),MATCH($B1044,'Summary Data'!$AS$3:$FZ$3,0))</f>
        <v>0</v>
      </c>
      <c r="H1044" s="1592" t="str">
        <f t="shared" ca="1" si="328"/>
        <v>Sheets</v>
      </c>
      <c r="I1044" s="1591">
        <f ca="1">INDEX('Summary Data'!$AS$6:$FZ$57,MATCH($C1044,'Summary Data'!$C$6:$C$57,0),MATCH($B1044,'Summary Data'!$AS$3:$FZ$3,0)+1)</f>
        <v>0</v>
      </c>
      <c r="J1044" s="4004" t="str">
        <f t="shared" ca="1" si="329"/>
        <v>N</v>
      </c>
      <c r="K1044" s="3114" t="s">
        <v>3176</v>
      </c>
      <c r="M1044" s="391"/>
      <c r="N1044" s="391"/>
      <c r="O1044" s="313"/>
      <c r="P1044" s="313"/>
      <c r="Q1044" s="313"/>
      <c r="R1044" s="313"/>
      <c r="S1044" s="313"/>
    </row>
    <row r="1045" spans="1:19" ht="16.899999999999999" hidden="1" customHeight="1" outlineLevel="1">
      <c r="A1045" s="313">
        <f t="shared" si="330"/>
        <v>39</v>
      </c>
      <c r="B1045" s="1601" t="s">
        <v>3505</v>
      </c>
      <c r="C1045" s="3727" t="str">
        <f t="shared" ca="1" si="326"/>
        <v>N</v>
      </c>
      <c r="D1045" s="1602">
        <v>1</v>
      </c>
      <c r="E1045" s="1603">
        <v>1</v>
      </c>
      <c r="F1045" s="1591" t="str">
        <f t="shared" ca="1" si="324"/>
        <v>N</v>
      </c>
      <c r="G1045" s="1591">
        <f ca="1">INDEX('Summary Data'!$AS$6:$FZ$57,MATCH($C1045,'Summary Data'!$C$6:$C$57,0),MATCH($B1045,'Summary Data'!$AS$3:$FZ$3,0))</f>
        <v>0</v>
      </c>
      <c r="H1045" s="1592" t="str">
        <f t="shared" ca="1" si="328"/>
        <v>Sheets</v>
      </c>
      <c r="I1045" s="1591">
        <f ca="1">INDEX('Summary Data'!$AS$6:$FZ$57,MATCH($C1045,'Summary Data'!$C$6:$C$57,0),MATCH($B1045,'Summary Data'!$AS$3:$FZ$3,0)+1)</f>
        <v>0</v>
      </c>
      <c r="J1045" s="4004" t="str">
        <f t="shared" ca="1" si="329"/>
        <v>N</v>
      </c>
      <c r="K1045" s="3114" t="s">
        <v>3176</v>
      </c>
      <c r="M1045" s="391"/>
      <c r="N1045" s="391"/>
      <c r="O1045" s="313"/>
      <c r="P1045" s="313"/>
      <c r="Q1045" s="313"/>
      <c r="R1045" s="313"/>
      <c r="S1045" s="313"/>
    </row>
    <row r="1046" spans="1:19" ht="16.899999999999999" hidden="1" customHeight="1" outlineLevel="1">
      <c r="A1046" s="313">
        <f t="shared" si="330"/>
        <v>42</v>
      </c>
      <c r="B1046" s="1601" t="s">
        <v>3505</v>
      </c>
      <c r="C1046" s="3727" t="str">
        <f t="shared" ca="1" si="326"/>
        <v>N</v>
      </c>
      <c r="D1046" s="1602">
        <v>1</v>
      </c>
      <c r="E1046" s="1603">
        <v>1</v>
      </c>
      <c r="F1046" s="1591" t="str">
        <f t="shared" ca="1" si="324"/>
        <v>N</v>
      </c>
      <c r="G1046" s="1591">
        <f ca="1">INDEX('Summary Data'!$AS$6:$FZ$57,MATCH($C1046,'Summary Data'!$C$6:$C$57,0),MATCH($B1046,'Summary Data'!$AS$3:$FZ$3,0))</f>
        <v>0</v>
      </c>
      <c r="H1046" s="1592" t="str">
        <f t="shared" ca="1" si="328"/>
        <v>Sheets</v>
      </c>
      <c r="I1046" s="1591">
        <f ca="1">INDEX('Summary Data'!$AS$6:$FZ$57,MATCH($C1046,'Summary Data'!$C$6:$C$57,0),MATCH($B1046,'Summary Data'!$AS$3:$FZ$3,0)+1)</f>
        <v>0</v>
      </c>
      <c r="J1046" s="4004" t="str">
        <f t="shared" ca="1" si="329"/>
        <v>N</v>
      </c>
      <c r="K1046" s="3114" t="s">
        <v>3176</v>
      </c>
      <c r="M1046" s="391"/>
      <c r="N1046" s="391"/>
      <c r="O1046" s="313"/>
      <c r="P1046" s="313"/>
      <c r="Q1046" s="313"/>
      <c r="R1046" s="313"/>
      <c r="S1046" s="313"/>
    </row>
    <row r="1047" spans="1:19" ht="16.899999999999999" hidden="1" customHeight="1" outlineLevel="1">
      <c r="A1047" s="313"/>
      <c r="B1047" s="1601" t="str">
        <f>'Summary Data'!DA3</f>
        <v>Gấp máy</v>
      </c>
      <c r="C1047" s="3727" t="str">
        <f>$A$25</f>
        <v>Box</v>
      </c>
      <c r="D1047" s="1602">
        <v>1</v>
      </c>
      <c r="E1047" s="1603">
        <v>1</v>
      </c>
      <c r="F1047" s="1591" t="str">
        <f>IFERROR(IF(G1047&gt;0,"PCS","N"),"N")</f>
        <v>N</v>
      </c>
      <c r="G1047" s="1591">
        <f>IFERROR(INDEX('Summary Data'!$AS$6:$FZ$57,MATCH($C1047,'Summary Data'!$C$6:$C$57,0),MATCH($B1047,'Summary Data'!$AS$3:$FZ$3,0)),0)</f>
        <v>0</v>
      </c>
      <c r="H1047" s="1592" t="str">
        <f t="shared" ref="H1047:H1060" si="331">IF(E1047&gt;1,"Sets",IF(F1047="Pcs","Copies","Sheets"))</f>
        <v>Sheets</v>
      </c>
      <c r="I1047" s="1591">
        <f>IFERROR(INDEX('Summary Data'!$AS$6:$FZ$57,MATCH($C1047,'Summary Data'!$C$6:$C$57,0),MATCH($B1047,'Summary Data'!$AS$3:$FZ$3,0)+1),0)</f>
        <v>0</v>
      </c>
      <c r="J1047" s="4004" t="str">
        <f t="shared" si="329"/>
        <v>Box</v>
      </c>
      <c r="K1047" s="3114" t="s">
        <v>3176</v>
      </c>
      <c r="M1047" s="391"/>
      <c r="N1047" s="391"/>
      <c r="O1047" s="313"/>
      <c r="P1047" s="313"/>
      <c r="Q1047" s="313"/>
      <c r="R1047" s="313"/>
      <c r="S1047" s="313"/>
    </row>
    <row r="1048" spans="1:19" ht="16.899999999999999" hidden="1" customHeight="1" outlineLevel="1">
      <c r="A1048" s="313"/>
      <c r="B1048" s="1601" t="str">
        <f>'Summary Data'!DC3</f>
        <v>Dán PET</v>
      </c>
      <c r="C1048" s="3727" t="str">
        <f t="shared" ref="C1048:C1057" si="332">$A$25</f>
        <v>Box</v>
      </c>
      <c r="D1048" s="1602">
        <v>1</v>
      </c>
      <c r="E1048" s="1603">
        <v>1</v>
      </c>
      <c r="F1048" s="1591" t="str">
        <f t="shared" ref="F1048:F1061" si="333">IFERROR(IF(G1048&gt;0,"PCS","N"),"N")</f>
        <v>N</v>
      </c>
      <c r="G1048" s="1591">
        <f>IFERROR(INDEX('Summary Data'!$AS$6:$FZ$57,MATCH($C1048,'Summary Data'!$C$6:$C$57,0),MATCH($B1048,'Summary Data'!$AS$3:$FZ$3,0)),0)</f>
        <v>0</v>
      </c>
      <c r="H1048" s="1592" t="str">
        <f t="shared" si="331"/>
        <v>Sheets</v>
      </c>
      <c r="I1048" s="1591">
        <f>IFERROR(INDEX('Summary Data'!$AS$6:$FZ$57,MATCH($C1048,'Summary Data'!$C$6:$C$57,0),MATCH($B1048,'Summary Data'!$AS$3:$FZ$3,0)+1),0)</f>
        <v>0</v>
      </c>
      <c r="J1048" s="4004" t="str">
        <f t="shared" si="329"/>
        <v>Box</v>
      </c>
      <c r="K1048" s="3114" t="s">
        <v>3176</v>
      </c>
      <c r="M1048" s="391"/>
      <c r="N1048" s="391"/>
      <c r="O1048" s="313"/>
      <c r="P1048" s="313"/>
      <c r="Q1048" s="313"/>
      <c r="R1048" s="313"/>
      <c r="S1048" s="313"/>
    </row>
    <row r="1049" spans="1:19" ht="16.899999999999999" hidden="1" customHeight="1" outlineLevel="1">
      <c r="A1049" s="313"/>
      <c r="B1049" s="1601">
        <f>'Summary Data'!DE3</f>
        <v>0</v>
      </c>
      <c r="C1049" s="3727" t="str">
        <f t="shared" si="332"/>
        <v>Box</v>
      </c>
      <c r="D1049" s="1602">
        <v>1</v>
      </c>
      <c r="E1049" s="1603">
        <v>1</v>
      </c>
      <c r="F1049" s="1591" t="str">
        <f t="shared" si="333"/>
        <v>N</v>
      </c>
      <c r="G1049" s="1591">
        <f>IFERROR(INDEX('Summary Data'!$AS$6:$FZ$57,MATCH($C1049,'Summary Data'!$C$6:$C$57,0),MATCH($B1049,'Summary Data'!$AS$3:$FZ$3,0)),0)</f>
        <v>0</v>
      </c>
      <c r="H1049" s="1592" t="str">
        <f t="shared" si="331"/>
        <v>Sheets</v>
      </c>
      <c r="I1049" s="1591">
        <f>IFERROR(INDEX('Summary Data'!$AS$6:$FZ$57,MATCH($C1049,'Summary Data'!$C$6:$C$57,0),MATCH($B1049,'Summary Data'!$AS$3:$FZ$3,0)+1),0)</f>
        <v>0</v>
      </c>
      <c r="J1049" s="4004" t="str">
        <f t="shared" si="329"/>
        <v>Box</v>
      </c>
      <c r="K1049" s="3114" t="s">
        <v>3176</v>
      </c>
      <c r="M1049" s="391"/>
      <c r="N1049" s="391"/>
      <c r="O1049" s="313"/>
      <c r="P1049" s="313"/>
      <c r="Q1049" s="313"/>
      <c r="R1049" s="313"/>
      <c r="S1049" s="313"/>
    </row>
    <row r="1050" spans="1:19" ht="16.899999999999999" hidden="1" customHeight="1" outlineLevel="1">
      <c r="A1050" s="313"/>
      <c r="B1050" s="1601">
        <f>'Summary Data'!DG3</f>
        <v>0</v>
      </c>
      <c r="C1050" s="3727" t="str">
        <f t="shared" si="332"/>
        <v>Box</v>
      </c>
      <c r="D1050" s="1602">
        <v>1</v>
      </c>
      <c r="E1050" s="1603">
        <v>1</v>
      </c>
      <c r="F1050" s="1591" t="str">
        <f t="shared" si="333"/>
        <v>N</v>
      </c>
      <c r="G1050" s="1591">
        <f>IFERROR(INDEX('Summary Data'!$AS$6:$FZ$57,MATCH($C1050,'Summary Data'!$C$6:$C$57,0),MATCH($B1050,'Summary Data'!$AS$3:$FZ$3,0)),0)</f>
        <v>0</v>
      </c>
      <c r="H1050" s="1592" t="str">
        <f t="shared" si="331"/>
        <v>Sheets</v>
      </c>
      <c r="I1050" s="1591">
        <f>IFERROR(INDEX('Summary Data'!$AS$6:$FZ$57,MATCH($C1050,'Summary Data'!$C$6:$C$57,0),MATCH($B1050,'Summary Data'!$AS$3:$FZ$3,0)+1),0)</f>
        <v>0</v>
      </c>
      <c r="J1050" s="4004" t="str">
        <f t="shared" si="329"/>
        <v>Box</v>
      </c>
      <c r="K1050" s="3114" t="s">
        <v>3176</v>
      </c>
      <c r="M1050" s="391"/>
      <c r="N1050" s="391"/>
      <c r="O1050" s="313"/>
      <c r="P1050" s="313"/>
      <c r="Q1050" s="313"/>
      <c r="R1050" s="313"/>
      <c r="S1050" s="313"/>
    </row>
    <row r="1051" spans="1:19" ht="16.899999999999999" hidden="1" customHeight="1" outlineLevel="1">
      <c r="A1051" s="313"/>
      <c r="B1051" s="1601">
        <f>'Summary Data'!DI3</f>
        <v>0</v>
      </c>
      <c r="C1051" s="3727" t="str">
        <f t="shared" si="332"/>
        <v>Box</v>
      </c>
      <c r="D1051" s="1602">
        <v>1</v>
      </c>
      <c r="E1051" s="1603">
        <v>1</v>
      </c>
      <c r="F1051" s="1591" t="str">
        <f t="shared" si="333"/>
        <v>N</v>
      </c>
      <c r="G1051" s="1591">
        <f>IFERROR(INDEX('Summary Data'!$AS$6:$FZ$57,MATCH($C1051,'Summary Data'!$C$6:$C$57,0),MATCH($B1051,'Summary Data'!$AS$3:$FZ$3,0)),0)</f>
        <v>0</v>
      </c>
      <c r="H1051" s="1592" t="str">
        <f t="shared" si="331"/>
        <v>Sheets</v>
      </c>
      <c r="I1051" s="1591">
        <f>IFERROR(INDEX('Summary Data'!$AS$6:$FZ$57,MATCH($C1051,'Summary Data'!$C$6:$C$57,0),MATCH($B1051,'Summary Data'!$AS$3:$FZ$3,0)+1),0)</f>
        <v>0</v>
      </c>
      <c r="J1051" s="4004" t="str">
        <f t="shared" si="329"/>
        <v>Box</v>
      </c>
      <c r="K1051" s="3114" t="s">
        <v>3176</v>
      </c>
      <c r="M1051" s="391"/>
      <c r="N1051" s="391"/>
      <c r="O1051" s="313"/>
      <c r="P1051" s="313"/>
      <c r="Q1051" s="313"/>
      <c r="R1051" s="313"/>
      <c r="S1051" s="313"/>
    </row>
    <row r="1052" spans="1:19" ht="16.899999999999999" hidden="1" customHeight="1" outlineLevel="1">
      <c r="A1052" s="313"/>
      <c r="B1052" s="1601">
        <f>'Summary Data'!DK3</f>
        <v>0</v>
      </c>
      <c r="C1052" s="3727" t="str">
        <f t="shared" si="332"/>
        <v>Box</v>
      </c>
      <c r="D1052" s="1602">
        <v>1</v>
      </c>
      <c r="E1052" s="1603">
        <v>1</v>
      </c>
      <c r="F1052" s="1591" t="str">
        <f t="shared" si="333"/>
        <v>N</v>
      </c>
      <c r="G1052" s="1591">
        <f>IFERROR(INDEX('Summary Data'!$AS$6:$FZ$57,MATCH($C1052,'Summary Data'!$C$6:$C$57,0),MATCH($B1052,'Summary Data'!$AS$3:$FZ$3,0)),0)</f>
        <v>0</v>
      </c>
      <c r="H1052" s="1592" t="str">
        <f t="shared" si="331"/>
        <v>Sheets</v>
      </c>
      <c r="I1052" s="1591">
        <f>IFERROR(INDEX('Summary Data'!$AS$6:$FZ$57,MATCH($C1052,'Summary Data'!$C$6:$C$57,0),MATCH($B1052,'Summary Data'!$AS$3:$FZ$3,0)+1),0)</f>
        <v>0</v>
      </c>
      <c r="J1052" s="4004" t="str">
        <f t="shared" si="329"/>
        <v>Box</v>
      </c>
      <c r="K1052" s="3114" t="s">
        <v>3176</v>
      </c>
      <c r="M1052" s="391"/>
      <c r="N1052" s="391"/>
      <c r="O1052" s="313"/>
      <c r="P1052" s="313"/>
      <c r="Q1052" s="313"/>
      <c r="R1052" s="313"/>
      <c r="S1052" s="313"/>
    </row>
    <row r="1053" spans="1:19" ht="16.899999999999999" hidden="1" customHeight="1" outlineLevel="1">
      <c r="A1053" s="313"/>
      <c r="B1053" s="1601">
        <f>'Summary Data'!DM3</f>
        <v>0</v>
      </c>
      <c r="C1053" s="3727" t="str">
        <f t="shared" si="332"/>
        <v>Box</v>
      </c>
      <c r="D1053" s="1602">
        <v>1</v>
      </c>
      <c r="E1053" s="1603">
        <v>1</v>
      </c>
      <c r="F1053" s="1591" t="str">
        <f t="shared" si="333"/>
        <v>N</v>
      </c>
      <c r="G1053" s="1591">
        <f>IFERROR(INDEX('Summary Data'!$AS$6:$FZ$57,MATCH($C1053,'Summary Data'!$C$6:$C$57,0),MATCH($B1053,'Summary Data'!$AS$3:$FZ$3,0)),0)</f>
        <v>0</v>
      </c>
      <c r="H1053" s="1592" t="str">
        <f t="shared" si="331"/>
        <v>Sheets</v>
      </c>
      <c r="I1053" s="1591">
        <f>IFERROR(INDEX('Summary Data'!$AS$6:$FZ$57,MATCH($C1053,'Summary Data'!$C$6:$C$57,0),MATCH($B1053,'Summary Data'!$AS$3:$FZ$3,0)+1),0)</f>
        <v>0</v>
      </c>
      <c r="J1053" s="4004" t="str">
        <f t="shared" si="329"/>
        <v>Box</v>
      </c>
      <c r="K1053" s="3114" t="s">
        <v>3176</v>
      </c>
      <c r="M1053" s="391"/>
      <c r="N1053" s="391"/>
      <c r="O1053" s="313"/>
      <c r="P1053" s="313"/>
      <c r="Q1053" s="313"/>
      <c r="R1053" s="313"/>
      <c r="S1053" s="313"/>
    </row>
    <row r="1054" spans="1:19" ht="16.899999999999999" hidden="1" customHeight="1" outlineLevel="1">
      <c r="A1054" s="313"/>
      <c r="B1054" s="1601">
        <f>'Summary Data'!DO3</f>
        <v>0</v>
      </c>
      <c r="C1054" s="3727" t="str">
        <f t="shared" si="332"/>
        <v>Box</v>
      </c>
      <c r="D1054" s="1602">
        <v>1</v>
      </c>
      <c r="E1054" s="1603">
        <v>1</v>
      </c>
      <c r="F1054" s="1591" t="str">
        <f t="shared" si="333"/>
        <v>N</v>
      </c>
      <c r="G1054" s="1591">
        <f>IFERROR(INDEX('Summary Data'!$AS$6:$FZ$57,MATCH($C1054,'Summary Data'!$C$6:$C$57,0),MATCH($B1054,'Summary Data'!$AS$3:$FZ$3,0)),0)</f>
        <v>0</v>
      </c>
      <c r="H1054" s="1592" t="str">
        <f t="shared" si="331"/>
        <v>Sheets</v>
      </c>
      <c r="I1054" s="1591">
        <f>IFERROR(INDEX('Summary Data'!$AS$6:$FZ$57,MATCH($C1054,'Summary Data'!$C$6:$C$57,0),MATCH($B1054,'Summary Data'!$AS$3:$FZ$3,0)+1),0)</f>
        <v>0</v>
      </c>
      <c r="J1054" s="4004" t="str">
        <f t="shared" si="329"/>
        <v>Box</v>
      </c>
      <c r="K1054" s="3114" t="s">
        <v>3176</v>
      </c>
      <c r="M1054" s="391"/>
      <c r="N1054" s="391"/>
      <c r="O1054" s="313"/>
      <c r="P1054" s="313"/>
      <c r="Q1054" s="313"/>
      <c r="R1054" s="313"/>
      <c r="S1054" s="313"/>
    </row>
    <row r="1055" spans="1:19" ht="16.899999999999999" hidden="1" customHeight="1" outlineLevel="1">
      <c r="A1055" s="313"/>
      <c r="B1055" s="1601">
        <f>'Summary Data'!DQ3</f>
        <v>0</v>
      </c>
      <c r="C1055" s="3727" t="str">
        <f t="shared" si="332"/>
        <v>Box</v>
      </c>
      <c r="D1055" s="1602">
        <v>1</v>
      </c>
      <c r="E1055" s="1603">
        <v>1</v>
      </c>
      <c r="F1055" s="1591" t="str">
        <f t="shared" si="333"/>
        <v>N</v>
      </c>
      <c r="G1055" s="1591">
        <f>IFERROR(INDEX('Summary Data'!$AS$6:$FZ$57,MATCH($C1055,'Summary Data'!$C$6:$C$57,0),MATCH($B1055,'Summary Data'!$AS$3:$FZ$3,0)),0)</f>
        <v>0</v>
      </c>
      <c r="H1055" s="1592" t="str">
        <f t="shared" si="331"/>
        <v>Sheets</v>
      </c>
      <c r="I1055" s="1591">
        <f>IFERROR(INDEX('Summary Data'!$AS$6:$FZ$57,MATCH($C1055,'Summary Data'!$C$6:$C$57,0),MATCH($B1055,'Summary Data'!$AS$3:$FZ$3,0)+1),0)</f>
        <v>0</v>
      </c>
      <c r="J1055" s="4004" t="str">
        <f t="shared" si="329"/>
        <v>Box</v>
      </c>
      <c r="K1055" s="3114" t="s">
        <v>3176</v>
      </c>
      <c r="M1055" s="391"/>
      <c r="N1055" s="391"/>
      <c r="O1055" s="313"/>
      <c r="P1055" s="313"/>
      <c r="Q1055" s="313"/>
      <c r="R1055" s="313"/>
      <c r="S1055" s="313"/>
    </row>
    <row r="1056" spans="1:19" ht="16.899999999999999" hidden="1" customHeight="1" outlineLevel="1">
      <c r="A1056" s="313"/>
      <c r="B1056" s="1601">
        <f>'Summary Data'!DS3</f>
        <v>0</v>
      </c>
      <c r="C1056" s="3727" t="str">
        <f t="shared" si="332"/>
        <v>Box</v>
      </c>
      <c r="D1056" s="1602">
        <v>1</v>
      </c>
      <c r="E1056" s="1603">
        <v>1</v>
      </c>
      <c r="F1056" s="1591" t="str">
        <f t="shared" si="333"/>
        <v>N</v>
      </c>
      <c r="G1056" s="1591">
        <f>IFERROR(INDEX('Summary Data'!$AS$6:$FZ$57,MATCH($C1056,'Summary Data'!$C$6:$C$57,0),MATCH($B1056,'Summary Data'!$AS$3:$FZ$3,0)),0)</f>
        <v>0</v>
      </c>
      <c r="H1056" s="1592" t="str">
        <f t="shared" si="331"/>
        <v>Sheets</v>
      </c>
      <c r="I1056" s="1591">
        <f>IFERROR(INDEX('Summary Data'!$AS$6:$FZ$57,MATCH($C1056,'Summary Data'!$C$6:$C$57,0),MATCH($B1056,'Summary Data'!$AS$3:$FZ$3,0)+1),0)</f>
        <v>0</v>
      </c>
      <c r="J1056" s="4004" t="str">
        <f t="shared" si="329"/>
        <v>Box</v>
      </c>
      <c r="K1056" s="3114" t="s">
        <v>3176</v>
      </c>
      <c r="M1056" s="391"/>
      <c r="N1056" s="391"/>
      <c r="O1056" s="313"/>
      <c r="P1056" s="313"/>
      <c r="Q1056" s="313"/>
      <c r="R1056" s="313"/>
      <c r="S1056" s="313"/>
    </row>
    <row r="1057" spans="1:19" ht="16.899999999999999" hidden="1" customHeight="1" outlineLevel="1">
      <c r="A1057" s="313"/>
      <c r="B1057" s="1601">
        <f>'Summary Data'!DU3</f>
        <v>0</v>
      </c>
      <c r="C1057" s="3727" t="str">
        <f t="shared" si="332"/>
        <v>Box</v>
      </c>
      <c r="D1057" s="1602">
        <v>1</v>
      </c>
      <c r="E1057" s="1603">
        <v>1</v>
      </c>
      <c r="F1057" s="1591" t="str">
        <f t="shared" si="333"/>
        <v>N</v>
      </c>
      <c r="G1057" s="1591">
        <f>IFERROR(INDEX('Summary Data'!$AS$6:$FZ$57,MATCH($C1057,'Summary Data'!$C$6:$C$57,0),MATCH($B1057,'Summary Data'!$AS$3:$FZ$3,0)),0)</f>
        <v>0</v>
      </c>
      <c r="H1057" s="1592" t="str">
        <f t="shared" si="331"/>
        <v>Sheets</v>
      </c>
      <c r="I1057" s="1591">
        <f>IFERROR(INDEX('Summary Data'!$AS$6:$FZ$57,MATCH($C1057,'Summary Data'!$C$6:$C$57,0),MATCH($B1057,'Summary Data'!$AS$3:$FZ$3,0)+1),0)</f>
        <v>0</v>
      </c>
      <c r="J1057" s="4004" t="str">
        <f t="shared" si="329"/>
        <v>Box</v>
      </c>
      <c r="K1057" s="3114" t="s">
        <v>3176</v>
      </c>
      <c r="M1057" s="391"/>
      <c r="N1057" s="391"/>
      <c r="O1057" s="313"/>
      <c r="P1057" s="313"/>
      <c r="Q1057" s="313"/>
      <c r="R1057" s="313"/>
      <c r="S1057" s="313"/>
    </row>
    <row r="1058" spans="1:19" ht="16.899999999999999" hidden="1" customHeight="1" outlineLevel="1">
      <c r="A1058" s="313"/>
      <c r="B1058" s="1601" t="s">
        <v>179</v>
      </c>
      <c r="C1058" s="3728"/>
      <c r="D1058" s="1602">
        <v>1</v>
      </c>
      <c r="E1058" s="1603">
        <v>1</v>
      </c>
      <c r="F1058" s="1591" t="str">
        <f t="shared" si="333"/>
        <v>N</v>
      </c>
      <c r="G1058" s="1591">
        <f>IFERROR(INDEX('Summary Data'!$AS$6:$FZ$57,MATCH($C1058,'Summary Data'!$C$6:$C$57,0),MATCH($B1058,'Summary Data'!$AS$3:$FZ$3,0)),0)</f>
        <v>0</v>
      </c>
      <c r="H1058" s="1592" t="str">
        <f t="shared" si="331"/>
        <v>Sheets</v>
      </c>
      <c r="I1058" s="1591">
        <f>IFERROR(INDEX('Summary Data'!$AS$6:$FZ$57,MATCH($C1058,'Summary Data'!$C$6:$C$57,0),MATCH($B1058,'Summary Data'!$AS$3:$FZ$3,0)+1),0)</f>
        <v>0</v>
      </c>
      <c r="J1058" s="4004">
        <f t="shared" si="329"/>
        <v>0</v>
      </c>
      <c r="K1058" s="3114" t="s">
        <v>3176</v>
      </c>
      <c r="M1058" s="391"/>
      <c r="N1058" s="391"/>
      <c r="O1058" s="313"/>
      <c r="P1058" s="313"/>
      <c r="Q1058" s="313"/>
      <c r="R1058" s="313"/>
      <c r="S1058" s="313"/>
    </row>
    <row r="1059" spans="1:19" ht="16.899999999999999" hidden="1" customHeight="1" outlineLevel="1">
      <c r="A1059" s="313"/>
      <c r="B1059" s="1601" t="s">
        <v>179</v>
      </c>
      <c r="C1059" s="3728"/>
      <c r="D1059" s="1602">
        <v>1</v>
      </c>
      <c r="E1059" s="1603">
        <v>1</v>
      </c>
      <c r="F1059" s="1591" t="str">
        <f t="shared" si="333"/>
        <v>N</v>
      </c>
      <c r="G1059" s="1591">
        <f>IFERROR(INDEX('Summary Data'!$AS$6:$FZ$57,MATCH($C1059,'Summary Data'!$C$6:$C$57,0),MATCH($B1059,'Summary Data'!$AS$3:$FZ$3,0)),0)</f>
        <v>0</v>
      </c>
      <c r="H1059" s="1592" t="str">
        <f t="shared" si="331"/>
        <v>Sheets</v>
      </c>
      <c r="I1059" s="1591">
        <f>IFERROR(INDEX('Summary Data'!$AS$6:$FZ$57,MATCH($C1059,'Summary Data'!$C$6:$C$57,0),MATCH($B1059,'Summary Data'!$AS$3:$FZ$3,0)+1),0)</f>
        <v>0</v>
      </c>
      <c r="J1059" s="4004">
        <f t="shared" si="329"/>
        <v>0</v>
      </c>
      <c r="K1059" s="3114" t="s">
        <v>3176</v>
      </c>
      <c r="M1059" s="391"/>
      <c r="N1059" s="391"/>
      <c r="O1059" s="313"/>
      <c r="P1059" s="313"/>
      <c r="Q1059" s="313"/>
      <c r="R1059" s="313"/>
      <c r="S1059" s="313"/>
    </row>
    <row r="1060" spans="1:19" ht="16.899999999999999" hidden="1" customHeight="1" outlineLevel="1">
      <c r="A1060" s="313"/>
      <c r="B1060" s="1601" t="s">
        <v>179</v>
      </c>
      <c r="C1060" s="3728"/>
      <c r="D1060" s="1602">
        <v>1</v>
      </c>
      <c r="E1060" s="1603">
        <v>1</v>
      </c>
      <c r="F1060" s="1591" t="str">
        <f t="shared" si="333"/>
        <v>N</v>
      </c>
      <c r="G1060" s="1591">
        <f>IFERROR(INDEX('Summary Data'!$AS$6:$FZ$57,MATCH($C1060,'Summary Data'!$C$6:$C$57,0),MATCH($B1060,'Summary Data'!$AS$3:$FZ$3,0)),0)</f>
        <v>0</v>
      </c>
      <c r="H1060" s="1592" t="str">
        <f t="shared" si="331"/>
        <v>Sheets</v>
      </c>
      <c r="I1060" s="1591">
        <f>IFERROR(INDEX('Summary Data'!$AS$6:$FZ$57,MATCH($C1060,'Summary Data'!$C$6:$C$57,0),MATCH($B1060,'Summary Data'!$AS$3:$FZ$3,0)+1),0)</f>
        <v>0</v>
      </c>
      <c r="J1060" s="4004">
        <f t="shared" si="329"/>
        <v>0</v>
      </c>
      <c r="K1060" s="3114" t="s">
        <v>3176</v>
      </c>
      <c r="M1060" s="391"/>
      <c r="N1060" s="391"/>
      <c r="O1060" s="313"/>
      <c r="P1060" s="313"/>
      <c r="Q1060" s="313"/>
      <c r="R1060" s="313"/>
      <c r="S1060" s="313"/>
    </row>
    <row r="1061" spans="1:19" ht="16.899999999999999" hidden="1" customHeight="1" outlineLevel="1">
      <c r="A1061" s="313"/>
      <c r="B1061" s="1601" t="s">
        <v>179</v>
      </c>
      <c r="C1061" s="3729"/>
      <c r="D1061" s="1602">
        <v>1</v>
      </c>
      <c r="E1061" s="1603">
        <v>1</v>
      </c>
      <c r="F1061" s="1591" t="str">
        <f t="shared" si="333"/>
        <v>N</v>
      </c>
      <c r="G1061" s="1591">
        <f>IFERROR(INDEX('Summary Data'!$AS$6:$FZ$57,MATCH($C1061,'Summary Data'!$C$6:$C$57,0),MATCH($B1061,'Summary Data'!$AS$3:$FZ$3,0)),0)</f>
        <v>0</v>
      </c>
      <c r="H1061" s="1592" t="str">
        <f t="shared" si="314"/>
        <v>Sheets</v>
      </c>
      <c r="I1061" s="1591">
        <f>IFERROR(INDEX('Summary Data'!$AS$6:$FZ$57,MATCH($C1061,'Summary Data'!$C$6:$C$57,0),MATCH($B1061,'Summary Data'!$AS$3:$FZ$3,0)+1),0)</f>
        <v>0</v>
      </c>
      <c r="J1061" s="4004">
        <f t="shared" si="329"/>
        <v>0</v>
      </c>
      <c r="K1061" s="3114" t="s">
        <v>3176</v>
      </c>
      <c r="M1061" s="391"/>
      <c r="N1061" s="391"/>
      <c r="O1061" s="313"/>
      <c r="P1061" s="313"/>
      <c r="Q1061" s="313"/>
      <c r="R1061" s="313"/>
      <c r="S1061" s="313"/>
    </row>
    <row r="1062" spans="1:19" ht="16.899999999999999" hidden="1" customHeight="1" outlineLevel="1">
      <c r="A1062" s="313"/>
      <c r="B1062" s="313"/>
      <c r="C1062" s="313"/>
      <c r="D1062" s="313"/>
      <c r="E1062" s="313"/>
      <c r="F1062" s="313"/>
      <c r="G1062" s="1270"/>
      <c r="I1062" s="313"/>
      <c r="J1062" s="313"/>
      <c r="K1062" s="313"/>
      <c r="M1062" s="313"/>
      <c r="N1062" s="391"/>
      <c r="O1062" s="313"/>
      <c r="P1062" s="313"/>
      <c r="Q1062" s="313"/>
      <c r="R1062" s="313"/>
      <c r="S1062" s="313"/>
    </row>
    <row r="1063" spans="1:19" ht="16.899999999999999" hidden="1" customHeight="1" outlineLevel="1">
      <c r="A1063" s="313"/>
      <c r="B1063" s="313"/>
      <c r="C1063" s="313"/>
      <c r="F1063" s="384"/>
      <c r="G1063" s="384"/>
      <c r="H1063" s="384"/>
      <c r="I1063" s="384"/>
      <c r="J1063" s="313"/>
      <c r="K1063" s="313"/>
      <c r="M1063" s="313"/>
      <c r="N1063" s="391"/>
      <c r="O1063" s="313"/>
      <c r="P1063" s="313"/>
      <c r="Q1063" s="313"/>
      <c r="R1063" s="313"/>
      <c r="S1063" s="313"/>
    </row>
    <row r="1064" spans="1:19" ht="17.25" customHeight="1" collapsed="1">
      <c r="A1064" s="385"/>
      <c r="B1064" s="313"/>
      <c r="C1064" s="313"/>
      <c r="F1064" s="1579"/>
      <c r="G1064" s="1579"/>
      <c r="H1064" s="363"/>
      <c r="I1064" s="1579"/>
      <c r="M1064" s="391"/>
      <c r="N1064" s="391"/>
      <c r="O1064" s="313"/>
      <c r="P1064" s="313"/>
      <c r="Q1064" s="313"/>
      <c r="R1064" s="313"/>
      <c r="S1064" s="313"/>
    </row>
    <row r="1065" spans="1:19" ht="16.899999999999999" customHeight="1">
      <c r="A1065" s="385"/>
      <c r="B1065" s="313"/>
      <c r="C1065" s="313"/>
      <c r="F1065" s="1579"/>
      <c r="G1065" s="1579"/>
      <c r="H1065" s="363"/>
      <c r="I1065" s="1579"/>
      <c r="M1065" s="391"/>
      <c r="N1065" s="391"/>
      <c r="O1065" s="313"/>
      <c r="P1065" s="313"/>
      <c r="Q1065" s="313"/>
      <c r="R1065" s="313"/>
      <c r="S1065" s="313"/>
    </row>
    <row r="1066" spans="1:19" ht="16.899999999999999" customHeight="1">
      <c r="A1066" s="385"/>
      <c r="B1066" s="313"/>
      <c r="C1066" s="313"/>
      <c r="F1066" s="1579"/>
      <c r="G1066" s="1579"/>
      <c r="H1066" s="363"/>
      <c r="I1066" s="1579"/>
      <c r="K1066" s="877"/>
      <c r="M1066" s="391"/>
      <c r="N1066" s="391"/>
      <c r="O1066" s="313"/>
      <c r="P1066" s="313"/>
      <c r="Q1066" s="313"/>
      <c r="R1066" s="313"/>
      <c r="S1066" s="313"/>
    </row>
    <row r="1067" spans="1:19" ht="16.899999999999999" customHeight="1">
      <c r="A1067" s="385"/>
      <c r="B1067" s="313"/>
      <c r="C1067" s="313"/>
      <c r="F1067" s="1579"/>
      <c r="G1067" s="1579"/>
      <c r="H1067" s="363"/>
      <c r="I1067" s="1579"/>
      <c r="M1067" s="391"/>
      <c r="N1067" s="391"/>
      <c r="O1067" s="313"/>
      <c r="P1067" s="313"/>
      <c r="Q1067" s="313"/>
      <c r="R1067" s="313"/>
      <c r="S1067" s="313"/>
    </row>
    <row r="1068" spans="1:19" ht="16.899999999999999" customHeight="1">
      <c r="A1068" s="313"/>
      <c r="B1068" s="313"/>
      <c r="C1068" s="313"/>
      <c r="D1068" s="313"/>
      <c r="E1068" s="313"/>
      <c r="F1068" s="313"/>
      <c r="G1068" s="313"/>
      <c r="H1068" s="313"/>
      <c r="I1068" s="313"/>
      <c r="J1068" s="313"/>
      <c r="K1068" s="313"/>
      <c r="L1068" s="313"/>
      <c r="M1068" s="313"/>
      <c r="N1068" s="313"/>
      <c r="O1068" s="313"/>
      <c r="P1068" s="313"/>
      <c r="Q1068" s="313"/>
      <c r="R1068" s="313"/>
      <c r="S1068" s="313"/>
    </row>
    <row r="1069" spans="1:19" ht="16.899999999999999" customHeight="1">
      <c r="A1069" s="313"/>
      <c r="B1069" s="313"/>
      <c r="C1069" s="313"/>
      <c r="D1069" s="313"/>
      <c r="E1069" s="313"/>
      <c r="F1069" s="313"/>
      <c r="G1069" s="313"/>
      <c r="H1069" s="313"/>
      <c r="I1069" s="313"/>
      <c r="J1069" s="313"/>
      <c r="K1069" s="313"/>
      <c r="L1069" s="313"/>
      <c r="M1069" s="313"/>
      <c r="N1069" s="313"/>
      <c r="O1069" s="313"/>
      <c r="P1069" s="313"/>
      <c r="Q1069" s="313"/>
      <c r="R1069" s="1563"/>
      <c r="S1069" s="393"/>
    </row>
    <row r="1070" spans="1:19" ht="16.899999999999999" customHeight="1">
      <c r="A1070" s="1604" t="s">
        <v>1494</v>
      </c>
      <c r="B1070" s="284" t="s">
        <v>2391</v>
      </c>
      <c r="C1070" s="1605"/>
      <c r="D1070" s="1606">
        <f>CR!G81</f>
        <v>100000</v>
      </c>
      <c r="E1070" s="989" t="s">
        <v>1192</v>
      </c>
      <c r="F1070" s="319">
        <f>'Cost EST. GM target'!M7</f>
        <v>0</v>
      </c>
      <c r="G1070" s="319" t="s">
        <v>1614</v>
      </c>
      <c r="H1070" s="1607" t="s">
        <v>106</v>
      </c>
      <c r="I1070" s="313"/>
      <c r="J1070" s="313"/>
      <c r="K1070" s="313"/>
    </row>
    <row r="1071" spans="1:19" ht="16.899999999999999" customHeight="1">
      <c r="A1071" s="322"/>
      <c r="B1071" s="322"/>
      <c r="C1071" s="322"/>
      <c r="D1071" s="322"/>
      <c r="E1071" s="1608"/>
      <c r="H1071" s="313"/>
      <c r="I1071" s="313"/>
      <c r="J1071" s="313"/>
      <c r="K1071" s="313"/>
    </row>
    <row r="1072" spans="1:19" ht="16.899999999999999" customHeight="1">
      <c r="A1072" s="322"/>
      <c r="B1072" s="322"/>
      <c r="C1072" s="322" t="s">
        <v>746</v>
      </c>
      <c r="D1072" s="322" t="s">
        <v>1589</v>
      </c>
      <c r="E1072" s="322" t="s">
        <v>1590</v>
      </c>
      <c r="H1072" s="313"/>
      <c r="I1072" s="313"/>
      <c r="J1072" s="313" t="s">
        <v>2055</v>
      </c>
      <c r="K1072" s="313"/>
    </row>
    <row r="1073" spans="1:13" ht="16.899999999999999" customHeight="1">
      <c r="A1073" s="1807" t="s">
        <v>1195</v>
      </c>
      <c r="B1073" s="1591" t="s">
        <v>1196</v>
      </c>
      <c r="C1073" s="1591" t="str">
        <f t="shared" ref="C1073:C1082" ca="1" si="334">F628</f>
        <v>Box</v>
      </c>
      <c r="D1073" s="1609" t="s">
        <v>174</v>
      </c>
      <c r="E1073" s="1614" t="s">
        <v>1169</v>
      </c>
      <c r="F1073" s="990"/>
      <c r="G1073" s="990" t="s">
        <v>1194</v>
      </c>
      <c r="H1073" s="1610">
        <f>IF($B$5="ULV",IF($B$4="Non Metalize",Data!$O$1005,Data!$O$1004)*SUMIFS(Paper!$I$7:$I$21,Paper!$A$7:$A$21,input!$C1073),0)</f>
        <v>0</v>
      </c>
      <c r="I1073" s="990" t="s">
        <v>287</v>
      </c>
      <c r="J1073" s="4002" t="str">
        <f ca="1">C1073</f>
        <v>Box</v>
      </c>
      <c r="K1073" s="136"/>
      <c r="L1073" s="1413"/>
      <c r="M1073" s="1004"/>
    </row>
    <row r="1074" spans="1:13" ht="16.899999999999999" hidden="1" customHeight="1" outlineLevel="1">
      <c r="A1074" s="1807" t="s">
        <v>1195</v>
      </c>
      <c r="B1074" s="1591" t="s">
        <v>1196</v>
      </c>
      <c r="C1074" s="1591" t="str">
        <f t="shared" ca="1" si="334"/>
        <v>N</v>
      </c>
      <c r="D1074" s="1609" t="s">
        <v>800</v>
      </c>
      <c r="E1074" s="1614" t="s">
        <v>1169</v>
      </c>
      <c r="F1074" s="990"/>
      <c r="G1074" s="990" t="s">
        <v>1194</v>
      </c>
      <c r="H1074" s="1610">
        <f>IF($B$5="ULV",IF($B$4="Non Metalize",Data!$O$1005,Data!$O$1004)*SUMIFS(Paper!$I$7:$I$21,Paper!$A$7:$A$21,input!$C1074),0)</f>
        <v>0</v>
      </c>
      <c r="I1074" s="990" t="s">
        <v>287</v>
      </c>
      <c r="J1074" s="4002" t="str">
        <f t="shared" ref="J1074:J1092" ca="1" si="335">C1074</f>
        <v>N</v>
      </c>
      <c r="K1074" s="136"/>
      <c r="L1074" s="1413"/>
      <c r="M1074" s="1004"/>
    </row>
    <row r="1075" spans="1:13" ht="16.899999999999999" hidden="1" customHeight="1" outlineLevel="1">
      <c r="A1075" s="1807" t="s">
        <v>1195</v>
      </c>
      <c r="B1075" s="1591" t="s">
        <v>1196</v>
      </c>
      <c r="C1075" s="1591" t="str">
        <f t="shared" ca="1" si="334"/>
        <v>N</v>
      </c>
      <c r="D1075" s="1609" t="s">
        <v>800</v>
      </c>
      <c r="E1075" s="1614" t="s">
        <v>1169</v>
      </c>
      <c r="F1075" s="990"/>
      <c r="G1075" s="990" t="s">
        <v>1194</v>
      </c>
      <c r="H1075" s="1610">
        <f>IF($B$5="ULV",IF($B$4="Non Metalize",Data!$O$1005,Data!$O$1004)*SUMIFS(Paper!$I$7:$I$21,Paper!$A$7:$A$21,input!$C1075),0)</f>
        <v>0</v>
      </c>
      <c r="I1075" s="990" t="s">
        <v>287</v>
      </c>
      <c r="J1075" s="4002" t="str">
        <f t="shared" ca="1" si="335"/>
        <v>N</v>
      </c>
      <c r="K1075" s="136"/>
      <c r="L1075" s="1413"/>
      <c r="M1075" s="1004"/>
    </row>
    <row r="1076" spans="1:13" ht="16.899999999999999" hidden="1" customHeight="1" outlineLevel="1">
      <c r="A1076" s="1807" t="s">
        <v>1195</v>
      </c>
      <c r="B1076" s="1591" t="s">
        <v>1196</v>
      </c>
      <c r="C1076" s="1591" t="str">
        <f t="shared" ca="1" si="334"/>
        <v>N</v>
      </c>
      <c r="D1076" s="1609" t="s">
        <v>800</v>
      </c>
      <c r="E1076" s="1614" t="s">
        <v>1169</v>
      </c>
      <c r="F1076" s="990"/>
      <c r="G1076" s="990" t="s">
        <v>1194</v>
      </c>
      <c r="H1076" s="1610">
        <f>IF($B$5="ULV",IF($B$4="Non Metalize",Data!$O$1005,Data!$O$1004)*SUMIFS(Paper!$I$7:$I$21,Paper!$A$7:$A$21,input!$C1076),0)</f>
        <v>0</v>
      </c>
      <c r="I1076" s="990" t="s">
        <v>287</v>
      </c>
      <c r="J1076" s="4002" t="str">
        <f t="shared" ca="1" si="335"/>
        <v>N</v>
      </c>
      <c r="K1076" s="136"/>
      <c r="L1076" s="1413"/>
      <c r="M1076" s="1004"/>
    </row>
    <row r="1077" spans="1:13" ht="16.899999999999999" hidden="1" customHeight="1" outlineLevel="1">
      <c r="A1077" s="1807" t="s">
        <v>1195</v>
      </c>
      <c r="B1077" s="1591" t="s">
        <v>1196</v>
      </c>
      <c r="C1077" s="1591" t="str">
        <f t="shared" ca="1" si="334"/>
        <v>N</v>
      </c>
      <c r="D1077" s="1609" t="s">
        <v>800</v>
      </c>
      <c r="E1077" s="1614" t="s">
        <v>1169</v>
      </c>
      <c r="F1077" s="990"/>
      <c r="G1077" s="990" t="s">
        <v>1194</v>
      </c>
      <c r="H1077" s="1610">
        <f>IF($B$5="ULV",IF($B$4="Non Metalize",Data!$O$1005,Data!$O$1004)*SUMIFS(Paper!$I$7:$I$21,Paper!$A$7:$A$21,input!$C1077),0)</f>
        <v>0</v>
      </c>
      <c r="I1077" s="990" t="s">
        <v>287</v>
      </c>
      <c r="J1077" s="4002" t="str">
        <f t="shared" ca="1" si="335"/>
        <v>N</v>
      </c>
      <c r="K1077" s="136"/>
      <c r="L1077" s="1413"/>
      <c r="M1077" s="1004"/>
    </row>
    <row r="1078" spans="1:13" ht="16.899999999999999" hidden="1" customHeight="1" outlineLevel="1">
      <c r="A1078" s="1807" t="s">
        <v>1195</v>
      </c>
      <c r="B1078" s="1591" t="s">
        <v>1196</v>
      </c>
      <c r="C1078" s="1591" t="str">
        <f t="shared" ca="1" si="334"/>
        <v>N</v>
      </c>
      <c r="D1078" s="1609" t="s">
        <v>800</v>
      </c>
      <c r="E1078" s="1614" t="s">
        <v>1169</v>
      </c>
      <c r="F1078" s="990"/>
      <c r="G1078" s="990" t="s">
        <v>1194</v>
      </c>
      <c r="H1078" s="1610">
        <f>IF($B$5="ULV",IF($B$4="Non Metalize",Data!$O$1005,Data!$O$1004)*SUMIFS(Paper!$I$7:$I$21,Paper!$A$7:$A$21,input!$C1078),0)</f>
        <v>0</v>
      </c>
      <c r="I1078" s="990" t="s">
        <v>287</v>
      </c>
      <c r="J1078" s="4002" t="str">
        <f t="shared" ca="1" si="335"/>
        <v>N</v>
      </c>
      <c r="K1078" s="136"/>
      <c r="L1078" s="1413"/>
      <c r="M1078" s="1004"/>
    </row>
    <row r="1079" spans="1:13" ht="16.899999999999999" hidden="1" customHeight="1" outlineLevel="1">
      <c r="A1079" s="1807" t="s">
        <v>1195</v>
      </c>
      <c r="B1079" s="1591" t="s">
        <v>1196</v>
      </c>
      <c r="C1079" s="1591" t="str">
        <f t="shared" ca="1" si="334"/>
        <v>N</v>
      </c>
      <c r="D1079" s="1609" t="s">
        <v>800</v>
      </c>
      <c r="E1079" s="1614" t="s">
        <v>1169</v>
      </c>
      <c r="F1079" s="990"/>
      <c r="G1079" s="990" t="s">
        <v>1194</v>
      </c>
      <c r="H1079" s="1610">
        <f>IF($B$5="ULV",IF($B$4="Non Metalize",Data!$O$1005,Data!$O$1004)*SUMIFS(Paper!$I$7:$I$21,Paper!$A$7:$A$21,input!$C1079),0)</f>
        <v>0</v>
      </c>
      <c r="I1079" s="990" t="s">
        <v>287</v>
      </c>
      <c r="J1079" s="4002" t="str">
        <f t="shared" ca="1" si="335"/>
        <v>N</v>
      </c>
      <c r="K1079" s="136"/>
      <c r="L1079" s="1413"/>
      <c r="M1079" s="1004"/>
    </row>
    <row r="1080" spans="1:13" ht="16.899999999999999" hidden="1" customHeight="1" outlineLevel="1">
      <c r="A1080" s="1807" t="s">
        <v>1195</v>
      </c>
      <c r="B1080" s="1591" t="s">
        <v>1196</v>
      </c>
      <c r="C1080" s="1591" t="str">
        <f t="shared" ca="1" si="334"/>
        <v>N</v>
      </c>
      <c r="D1080" s="1609" t="s">
        <v>800</v>
      </c>
      <c r="E1080" s="1614" t="s">
        <v>1169</v>
      </c>
      <c r="F1080" s="990"/>
      <c r="G1080" s="990" t="s">
        <v>1194</v>
      </c>
      <c r="H1080" s="1610">
        <f>IF($B$5="ULV",IF($B$4="Non Metalize",Data!$O$1005,Data!$O$1004)*SUMIFS(Paper!$I$7:$I$21,Paper!$A$7:$A$21,input!$C1080),0)</f>
        <v>0</v>
      </c>
      <c r="I1080" s="990" t="s">
        <v>287</v>
      </c>
      <c r="J1080" s="4002" t="str">
        <f t="shared" ca="1" si="335"/>
        <v>N</v>
      </c>
      <c r="K1080" s="136"/>
      <c r="L1080" s="1413"/>
      <c r="M1080" s="1004"/>
    </row>
    <row r="1081" spans="1:13" ht="16.899999999999999" hidden="1" customHeight="1" outlineLevel="1">
      <c r="A1081" s="1807" t="s">
        <v>1195</v>
      </c>
      <c r="B1081" s="1591" t="s">
        <v>1196</v>
      </c>
      <c r="C1081" s="1591" t="str">
        <f t="shared" ca="1" si="334"/>
        <v>N</v>
      </c>
      <c r="D1081" s="1609" t="s">
        <v>800</v>
      </c>
      <c r="E1081" s="1614" t="s">
        <v>1169</v>
      </c>
      <c r="F1081" s="990"/>
      <c r="G1081" s="990" t="s">
        <v>1194</v>
      </c>
      <c r="H1081" s="1610">
        <f>IF($B$5="ULV",IF($B$4="Non Metalize",Data!$O$1005,Data!$O$1004)*SUMIFS(Paper!$I$7:$I$21,Paper!$A$7:$A$21,input!$C1081),0)</f>
        <v>0</v>
      </c>
      <c r="I1081" s="990" t="s">
        <v>287</v>
      </c>
      <c r="J1081" s="4002" t="str">
        <f t="shared" ca="1" si="335"/>
        <v>N</v>
      </c>
      <c r="K1081" s="136"/>
      <c r="L1081" s="1413"/>
      <c r="M1081" s="1004"/>
    </row>
    <row r="1082" spans="1:13" ht="16.899999999999999" hidden="1" customHeight="1" outlineLevel="1">
      <c r="A1082" s="1807" t="s">
        <v>1195</v>
      </c>
      <c r="B1082" s="1591" t="s">
        <v>1196</v>
      </c>
      <c r="C1082" s="1591" t="str">
        <f t="shared" ca="1" si="334"/>
        <v>N</v>
      </c>
      <c r="D1082" s="1609" t="s">
        <v>800</v>
      </c>
      <c r="E1082" s="1614" t="s">
        <v>1169</v>
      </c>
      <c r="F1082" s="990"/>
      <c r="G1082" s="990" t="s">
        <v>1194</v>
      </c>
      <c r="H1082" s="1610">
        <f>IF($B$5="ULV",IF($B$4="Non Metalize",Data!$O$1005,Data!$O$1004)*SUMIFS(Paper!$I$7:$I$21,Paper!$A$7:$A$21,input!$C1082),0)</f>
        <v>0</v>
      </c>
      <c r="I1082" s="990" t="s">
        <v>287</v>
      </c>
      <c r="J1082" s="4002" t="str">
        <f t="shared" ca="1" si="335"/>
        <v>N</v>
      </c>
      <c r="K1082" s="136"/>
      <c r="L1082" s="1413"/>
      <c r="M1082" s="1004"/>
    </row>
    <row r="1083" spans="1:13" ht="16.899999999999999" hidden="1" customHeight="1" outlineLevel="1">
      <c r="A1083" s="1807" t="s">
        <v>1195</v>
      </c>
      <c r="B1083" s="1591" t="s">
        <v>1196</v>
      </c>
      <c r="C1083" s="1591" t="str">
        <f t="shared" ref="C1083:C1091" ca="1" si="336">F646</f>
        <v>N</v>
      </c>
      <c r="D1083" s="1609" t="s">
        <v>1147</v>
      </c>
      <c r="E1083" s="1614" t="s">
        <v>1169</v>
      </c>
      <c r="F1083" s="990"/>
      <c r="G1083" s="990" t="s">
        <v>1194</v>
      </c>
      <c r="H1083" s="1610">
        <f>IF($B$5="ULV",IF($B$4="Non Metalize",Data!$O$1005,Data!$O$1004)*SUMIFS(Paper!$I$7:$I$21,Paper!$A$7:$A$21,input!$C1083),0)</f>
        <v>0</v>
      </c>
      <c r="I1083" s="990" t="s">
        <v>287</v>
      </c>
      <c r="J1083" s="4002" t="str">
        <f t="shared" ca="1" si="335"/>
        <v>N</v>
      </c>
      <c r="K1083" s="136"/>
      <c r="L1083" s="1413"/>
      <c r="M1083" s="1004"/>
    </row>
    <row r="1084" spans="1:13" ht="16.899999999999999" hidden="1" customHeight="1" outlineLevel="1">
      <c r="A1084" s="1807" t="s">
        <v>1195</v>
      </c>
      <c r="B1084" s="1591" t="s">
        <v>1196</v>
      </c>
      <c r="C1084" s="1591" t="str">
        <f t="shared" ca="1" si="336"/>
        <v>N</v>
      </c>
      <c r="D1084" s="1609" t="s">
        <v>1147</v>
      </c>
      <c r="E1084" s="1614" t="s">
        <v>1169</v>
      </c>
      <c r="F1084" s="990"/>
      <c r="G1084" s="990" t="s">
        <v>1194</v>
      </c>
      <c r="H1084" s="1610">
        <f>IF($B$5="ULV",IF($B$4="Non Metalize",Data!$O$1005,Data!$O$1004)*SUMIFS(Paper!$I$7:$I$21,Paper!$A$7:$A$21,input!$C1084),0)</f>
        <v>0</v>
      </c>
      <c r="I1084" s="990" t="s">
        <v>287</v>
      </c>
      <c r="J1084" s="4002" t="str">
        <f t="shared" ca="1" si="335"/>
        <v>N</v>
      </c>
      <c r="K1084" s="136"/>
      <c r="L1084" s="1413"/>
      <c r="M1084" s="1004"/>
    </row>
    <row r="1085" spans="1:13" ht="16.899999999999999" hidden="1" customHeight="1" outlineLevel="1">
      <c r="A1085" s="1807" t="s">
        <v>1195</v>
      </c>
      <c r="B1085" s="1591" t="s">
        <v>1196</v>
      </c>
      <c r="C1085" s="1591" t="str">
        <f t="shared" ca="1" si="336"/>
        <v>N</v>
      </c>
      <c r="D1085" s="1609" t="s">
        <v>1147</v>
      </c>
      <c r="E1085" s="1614" t="s">
        <v>1169</v>
      </c>
      <c r="F1085" s="990"/>
      <c r="G1085" s="990" t="s">
        <v>1194</v>
      </c>
      <c r="H1085" s="1610">
        <f>IF($B$5="ULV",IF($B$4="Non Metalize",Data!$O$1005,Data!$O$1004)*SUMIFS(Paper!$I$7:$I$21,Paper!$A$7:$A$21,input!$C1085),0)</f>
        <v>0</v>
      </c>
      <c r="I1085" s="990" t="s">
        <v>287</v>
      </c>
      <c r="J1085" s="4002" t="str">
        <f t="shared" ca="1" si="335"/>
        <v>N</v>
      </c>
      <c r="K1085" s="136"/>
      <c r="L1085" s="1413"/>
      <c r="M1085" s="1004"/>
    </row>
    <row r="1086" spans="1:13" ht="16.899999999999999" hidden="1" customHeight="1" outlineLevel="1">
      <c r="A1086" s="1807" t="s">
        <v>1195</v>
      </c>
      <c r="B1086" s="1591" t="s">
        <v>1196</v>
      </c>
      <c r="C1086" s="1591" t="str">
        <f t="shared" ca="1" si="336"/>
        <v>N</v>
      </c>
      <c r="D1086" s="1609" t="s">
        <v>1147</v>
      </c>
      <c r="E1086" s="1614" t="s">
        <v>1169</v>
      </c>
      <c r="F1086" s="990"/>
      <c r="G1086" s="990" t="s">
        <v>1194</v>
      </c>
      <c r="H1086" s="1610">
        <f>IF($B$5="ULV",IF($B$4="Non Metalize",Data!$O$1005,Data!$O$1004)*SUMIFS(Paper!$I$7:$I$21,Paper!$A$7:$A$21,input!$C1086),0)</f>
        <v>0</v>
      </c>
      <c r="I1086" s="990" t="s">
        <v>287</v>
      </c>
      <c r="J1086" s="4002" t="str">
        <f t="shared" ca="1" si="335"/>
        <v>N</v>
      </c>
      <c r="K1086" s="136"/>
      <c r="L1086" s="1413"/>
      <c r="M1086" s="1004"/>
    </row>
    <row r="1087" spans="1:13" ht="16.899999999999999" hidden="1" customHeight="1" outlineLevel="1">
      <c r="A1087" s="1807" t="s">
        <v>1195</v>
      </c>
      <c r="B1087" s="1591" t="s">
        <v>1196</v>
      </c>
      <c r="C1087" s="1591" t="str">
        <f t="shared" ca="1" si="336"/>
        <v>N</v>
      </c>
      <c r="D1087" s="1609" t="s">
        <v>1147</v>
      </c>
      <c r="E1087" s="1614" t="s">
        <v>1169</v>
      </c>
      <c r="F1087" s="990"/>
      <c r="G1087" s="990" t="s">
        <v>1194</v>
      </c>
      <c r="H1087" s="1610">
        <f>IF($B$5="ULV",IF($B$4="Non Metalize",Data!$O$1005,Data!$O$1004)*SUMIFS(Paper!$I$7:$I$21,Paper!$A$7:$A$21,input!$C1087),0)</f>
        <v>0</v>
      </c>
      <c r="I1087" s="990" t="s">
        <v>287</v>
      </c>
      <c r="J1087" s="4002" t="str">
        <f t="shared" ca="1" si="335"/>
        <v>N</v>
      </c>
      <c r="K1087" s="136"/>
      <c r="L1087" s="1413"/>
      <c r="M1087" s="1004"/>
    </row>
    <row r="1088" spans="1:13" ht="16.899999999999999" hidden="1" customHeight="1" outlineLevel="1">
      <c r="A1088" s="1807" t="s">
        <v>1195</v>
      </c>
      <c r="B1088" s="1591" t="s">
        <v>1196</v>
      </c>
      <c r="C1088" s="1591" t="str">
        <f t="shared" ca="1" si="336"/>
        <v>N</v>
      </c>
      <c r="D1088" s="1609" t="s">
        <v>1147</v>
      </c>
      <c r="E1088" s="1614" t="s">
        <v>1169</v>
      </c>
      <c r="F1088" s="990"/>
      <c r="G1088" s="990" t="s">
        <v>1194</v>
      </c>
      <c r="H1088" s="1610">
        <f>IF($B$5="ULV",IF($B$4="Non Metalize",Data!$O$1005,Data!$O$1004)*SUMIFS(Paper!$I$7:$I$21,Paper!$A$7:$A$21,input!$C1088),0)</f>
        <v>0</v>
      </c>
      <c r="I1088" s="990" t="s">
        <v>287</v>
      </c>
      <c r="J1088" s="4002" t="str">
        <f t="shared" ca="1" si="335"/>
        <v>N</v>
      </c>
      <c r="K1088" s="136"/>
      <c r="L1088" s="1413"/>
      <c r="M1088" s="1004"/>
    </row>
    <row r="1089" spans="1:13" ht="16.899999999999999" hidden="1" customHeight="1" outlineLevel="1">
      <c r="A1089" s="1807" t="s">
        <v>1195</v>
      </c>
      <c r="B1089" s="1591" t="s">
        <v>1196</v>
      </c>
      <c r="C1089" s="1591" t="str">
        <f t="shared" ca="1" si="336"/>
        <v>N</v>
      </c>
      <c r="D1089" s="1609" t="s">
        <v>1147</v>
      </c>
      <c r="E1089" s="1614" t="s">
        <v>1169</v>
      </c>
      <c r="F1089" s="990"/>
      <c r="G1089" s="990" t="s">
        <v>1194</v>
      </c>
      <c r="H1089" s="1610">
        <f>IF($B$5="ULV",IF($B$4="Non Metalize",Data!$O$1005,Data!$O$1004)*SUMIFS(Paper!$I$7:$I$21,Paper!$A$7:$A$21,input!$C1089),0)</f>
        <v>0</v>
      </c>
      <c r="I1089" s="990" t="s">
        <v>287</v>
      </c>
      <c r="J1089" s="4002" t="str">
        <f t="shared" ca="1" si="335"/>
        <v>N</v>
      </c>
      <c r="K1089" s="136"/>
      <c r="L1089" s="1413"/>
      <c r="M1089" s="1004"/>
    </row>
    <row r="1090" spans="1:13" ht="16.899999999999999" hidden="1" customHeight="1" outlineLevel="1">
      <c r="A1090" s="1807" t="s">
        <v>1195</v>
      </c>
      <c r="B1090" s="1591" t="s">
        <v>1196</v>
      </c>
      <c r="C1090" s="1591" t="str">
        <f t="shared" ca="1" si="336"/>
        <v>N</v>
      </c>
      <c r="D1090" s="1609" t="s">
        <v>1147</v>
      </c>
      <c r="E1090" s="1614" t="s">
        <v>1169</v>
      </c>
      <c r="F1090" s="990"/>
      <c r="G1090" s="990" t="s">
        <v>1194</v>
      </c>
      <c r="H1090" s="1610">
        <f>IF($B$5="ULV",IF($B$4="Non Metalize",Data!$O$1005,Data!$O$1004)*SUMIFS(Paper!$I$7:$I$21,Paper!$A$7:$A$21,input!$C1090),0)</f>
        <v>0</v>
      </c>
      <c r="I1090" s="990" t="s">
        <v>287</v>
      </c>
      <c r="J1090" s="4002" t="str">
        <f t="shared" ca="1" si="335"/>
        <v>N</v>
      </c>
      <c r="K1090" s="136"/>
      <c r="L1090" s="1413"/>
      <c r="M1090" s="1004"/>
    </row>
    <row r="1091" spans="1:13" ht="16.899999999999999" hidden="1" customHeight="1" outlineLevel="1">
      <c r="A1091" s="1807" t="s">
        <v>1195</v>
      </c>
      <c r="B1091" s="1591" t="s">
        <v>1196</v>
      </c>
      <c r="C1091" s="1591" t="str">
        <f t="shared" ca="1" si="336"/>
        <v>N</v>
      </c>
      <c r="D1091" s="1609" t="s">
        <v>1147</v>
      </c>
      <c r="E1091" s="1614" t="s">
        <v>1169</v>
      </c>
      <c r="F1091" s="990"/>
      <c r="G1091" s="990" t="s">
        <v>1194</v>
      </c>
      <c r="H1091" s="1610">
        <f>IF($B$5="ULV",IF($B$4="Non Metalize",Data!$O$1005,Data!$O$1004)*SUMIFS(Paper!$I$7:$I$21,Paper!$A$7:$A$21,input!$C1091),0)</f>
        <v>0</v>
      </c>
      <c r="I1091" s="990" t="s">
        <v>287</v>
      </c>
      <c r="J1091" s="4002" t="str">
        <f t="shared" ca="1" si="335"/>
        <v>N</v>
      </c>
      <c r="K1091" s="136"/>
      <c r="L1091" s="1413"/>
      <c r="M1091" s="1004"/>
    </row>
    <row r="1092" spans="1:13" ht="16.899999999999999" hidden="1" customHeight="1" outlineLevel="1">
      <c r="A1092" s="1807" t="s">
        <v>1195</v>
      </c>
      <c r="B1092" s="1591" t="s">
        <v>1259</v>
      </c>
      <c r="C1092" s="1591" t="s">
        <v>106</v>
      </c>
      <c r="D1092" s="1609" t="s">
        <v>230</v>
      </c>
      <c r="E1092" s="1614" t="s">
        <v>1169</v>
      </c>
      <c r="F1092" s="990"/>
      <c r="G1092" s="990" t="s">
        <v>1194</v>
      </c>
      <c r="H1092" s="1610">
        <f>IF($B$5="ULV",IF($B$4="Non Metalize",Data!$O$1005,Data!$O$1004)*SUMIFS(Paper!$I$7:$I$21,Paper!$A$7:$A$21,input!$C1092),0)</f>
        <v>0</v>
      </c>
      <c r="I1092" s="990" t="s">
        <v>287</v>
      </c>
      <c r="J1092" s="4002" t="str">
        <f t="shared" si="335"/>
        <v>N</v>
      </c>
      <c r="K1092" s="136"/>
      <c r="L1092" s="1413"/>
      <c r="M1092" s="1004"/>
    </row>
    <row r="1093" spans="1:13" ht="7.5" hidden="1" customHeight="1" outlineLevel="1">
      <c r="A1093" s="333"/>
      <c r="D1093" s="925"/>
      <c r="E1093" s="993"/>
      <c r="H1093" s="994"/>
      <c r="I1093" s="320"/>
      <c r="J1093" s="419"/>
      <c r="K1093" s="1412"/>
      <c r="L1093" s="1413"/>
      <c r="M1093" s="1004"/>
    </row>
    <row r="1094" spans="1:13" ht="16.899999999999999" hidden="1" customHeight="1" outlineLevel="1">
      <c r="A1094" s="1807" t="s">
        <v>1195</v>
      </c>
      <c r="B1094" s="1591" t="s">
        <v>1196</v>
      </c>
      <c r="C1094" s="1614" t="s">
        <v>106</v>
      </c>
      <c r="D1094" s="1609" t="s">
        <v>1151</v>
      </c>
      <c r="E1094" s="1614" t="s">
        <v>1169</v>
      </c>
      <c r="F1094" s="990"/>
      <c r="G1094" s="990" t="s">
        <v>1194</v>
      </c>
      <c r="H1094" s="1610">
        <v>0</v>
      </c>
      <c r="I1094" s="990" t="s">
        <v>287</v>
      </c>
      <c r="J1094" s="2177" t="str">
        <f>C1094</f>
        <v>N</v>
      </c>
      <c r="K1094" s="136"/>
      <c r="L1094" s="1413"/>
      <c r="M1094" s="1004"/>
    </row>
    <row r="1095" spans="1:13" ht="16.899999999999999" hidden="1" customHeight="1" outlineLevel="1">
      <c r="A1095" s="1807" t="s">
        <v>1195</v>
      </c>
      <c r="B1095" s="1591" t="s">
        <v>1196</v>
      </c>
      <c r="C1095" s="1614" t="s">
        <v>106</v>
      </c>
      <c r="D1095" s="1609" t="s">
        <v>1151</v>
      </c>
      <c r="E1095" s="1614" t="s">
        <v>1169</v>
      </c>
      <c r="F1095" s="990"/>
      <c r="G1095" s="990" t="s">
        <v>1194</v>
      </c>
      <c r="H1095" s="1610">
        <v>0</v>
      </c>
      <c r="I1095" s="990" t="s">
        <v>287</v>
      </c>
      <c r="J1095" s="2177" t="str">
        <f t="shared" ref="J1095:J1099" si="337">C1095</f>
        <v>N</v>
      </c>
      <c r="K1095" s="136"/>
      <c r="L1095" s="1413"/>
      <c r="M1095" s="1004"/>
    </row>
    <row r="1096" spans="1:13" ht="16.899999999999999" hidden="1" customHeight="1" outlineLevel="1">
      <c r="A1096" s="1807" t="s">
        <v>1195</v>
      </c>
      <c r="B1096" s="1591" t="s">
        <v>1196</v>
      </c>
      <c r="C1096" s="1614" t="s">
        <v>106</v>
      </c>
      <c r="D1096" s="1609" t="s">
        <v>1151</v>
      </c>
      <c r="E1096" s="1614" t="s">
        <v>1169</v>
      </c>
      <c r="F1096" s="990"/>
      <c r="G1096" s="990" t="s">
        <v>1194</v>
      </c>
      <c r="H1096" s="1610">
        <v>0</v>
      </c>
      <c r="I1096" s="990" t="s">
        <v>287</v>
      </c>
      <c r="J1096" s="2177" t="str">
        <f t="shared" si="337"/>
        <v>N</v>
      </c>
      <c r="K1096" s="136"/>
      <c r="L1096" s="1413"/>
      <c r="M1096" s="1004"/>
    </row>
    <row r="1097" spans="1:13" ht="16.899999999999999" hidden="1" customHeight="1" outlineLevel="1">
      <c r="A1097" s="1807" t="s">
        <v>1195</v>
      </c>
      <c r="B1097" s="1591" t="s">
        <v>1196</v>
      </c>
      <c r="C1097" s="1614" t="s">
        <v>106</v>
      </c>
      <c r="D1097" s="1609" t="s">
        <v>1151</v>
      </c>
      <c r="E1097" s="1614" t="s">
        <v>1169</v>
      </c>
      <c r="F1097" s="990"/>
      <c r="G1097" s="990" t="s">
        <v>1194</v>
      </c>
      <c r="H1097" s="1610">
        <v>0</v>
      </c>
      <c r="I1097" s="990" t="s">
        <v>287</v>
      </c>
      <c r="J1097" s="2177" t="str">
        <f t="shared" si="337"/>
        <v>N</v>
      </c>
      <c r="K1097" s="136"/>
      <c r="L1097" s="1413"/>
      <c r="M1097" s="1004"/>
    </row>
    <row r="1098" spans="1:13" ht="16.899999999999999" hidden="1" customHeight="1" outlineLevel="1">
      <c r="A1098" s="1807" t="s">
        <v>1195</v>
      </c>
      <c r="B1098" s="1591" t="s">
        <v>1196</v>
      </c>
      <c r="C1098" s="1614" t="s">
        <v>106</v>
      </c>
      <c r="D1098" s="1609" t="s">
        <v>1151</v>
      </c>
      <c r="E1098" s="1614" t="s">
        <v>1169</v>
      </c>
      <c r="F1098" s="990"/>
      <c r="G1098" s="990" t="s">
        <v>1194</v>
      </c>
      <c r="H1098" s="1610">
        <v>0</v>
      </c>
      <c r="I1098" s="990" t="s">
        <v>287</v>
      </c>
      <c r="J1098" s="2177" t="str">
        <f t="shared" si="337"/>
        <v>N</v>
      </c>
      <c r="K1098" s="136"/>
      <c r="L1098" s="1413"/>
      <c r="M1098" s="1004"/>
    </row>
    <row r="1099" spans="1:13" ht="16.899999999999999" hidden="1" customHeight="1" outlineLevel="1">
      <c r="A1099" s="1807" t="s">
        <v>1195</v>
      </c>
      <c r="B1099" s="1591" t="s">
        <v>1196</v>
      </c>
      <c r="C1099" s="1614" t="s">
        <v>106</v>
      </c>
      <c r="D1099" s="1609" t="s">
        <v>1151</v>
      </c>
      <c r="E1099" s="1614" t="s">
        <v>1169</v>
      </c>
      <c r="F1099" s="990"/>
      <c r="G1099" s="990" t="s">
        <v>1194</v>
      </c>
      <c r="H1099" s="1610">
        <v>0</v>
      </c>
      <c r="I1099" s="990" t="s">
        <v>287</v>
      </c>
      <c r="J1099" s="2177" t="str">
        <f t="shared" si="337"/>
        <v>N</v>
      </c>
      <c r="K1099" s="136"/>
      <c r="L1099" s="1413"/>
      <c r="M1099" s="1004"/>
    </row>
    <row r="1100" spans="1:13" ht="7.5" hidden="1" customHeight="1" outlineLevel="1">
      <c r="A1100" s="333"/>
      <c r="D1100" s="925"/>
      <c r="E1100" s="925"/>
      <c r="H1100" s="994"/>
      <c r="I1100" s="320"/>
      <c r="J1100" s="419"/>
      <c r="K1100" s="1412"/>
      <c r="L1100" s="1413"/>
      <c r="M1100" s="1004"/>
    </row>
    <row r="1101" spans="1:13" ht="16.899999999999999" hidden="1" customHeight="1" outlineLevel="1">
      <c r="A1101" s="1619"/>
      <c r="B1101" s="1807" t="s">
        <v>1208</v>
      </c>
      <c r="C1101" s="1614" t="s">
        <v>106</v>
      </c>
      <c r="D1101" s="1611">
        <v>200</v>
      </c>
      <c r="E1101" s="1612">
        <v>200</v>
      </c>
      <c r="F1101" s="1613">
        <v>200</v>
      </c>
      <c r="G1101" s="1614">
        <v>1</v>
      </c>
      <c r="H1101" s="1610">
        <v>0</v>
      </c>
      <c r="I1101" s="990" t="s">
        <v>287</v>
      </c>
      <c r="J1101" s="2177" t="str">
        <f>C1101</f>
        <v>N</v>
      </c>
      <c r="K1101" s="136"/>
      <c r="L1101" s="1413"/>
      <c r="M1101" s="1004"/>
    </row>
    <row r="1102" spans="1:13" ht="16.899999999999999" hidden="1" customHeight="1" outlineLevel="1">
      <c r="A1102" s="1619"/>
      <c r="B1102" s="1807" t="s">
        <v>1209</v>
      </c>
      <c r="C1102" s="1614" t="s">
        <v>106</v>
      </c>
      <c r="D1102" s="1611">
        <v>200</v>
      </c>
      <c r="E1102" s="1612">
        <v>200</v>
      </c>
      <c r="F1102" s="1613">
        <v>200</v>
      </c>
      <c r="G1102" s="1614">
        <v>1</v>
      </c>
      <c r="H1102" s="1610">
        <v>0</v>
      </c>
      <c r="I1102" s="990" t="s">
        <v>287</v>
      </c>
      <c r="J1102" s="2177" t="str">
        <f t="shared" ref="J1102:J1110" si="338">C1102</f>
        <v>N</v>
      </c>
      <c r="K1102" s="136"/>
      <c r="L1102" s="1413"/>
      <c r="M1102" s="1004"/>
    </row>
    <row r="1103" spans="1:13" ht="16.899999999999999" hidden="1" customHeight="1" outlineLevel="1">
      <c r="A1103" s="1619"/>
      <c r="B1103" s="1807" t="s">
        <v>1210</v>
      </c>
      <c r="C1103" s="1614" t="s">
        <v>106</v>
      </c>
      <c r="D1103" s="1611">
        <v>200</v>
      </c>
      <c r="E1103" s="1612">
        <v>200</v>
      </c>
      <c r="F1103" s="1613">
        <v>200</v>
      </c>
      <c r="G1103" s="1614">
        <v>1</v>
      </c>
      <c r="H1103" s="1610">
        <v>0</v>
      </c>
      <c r="I1103" s="990" t="s">
        <v>287</v>
      </c>
      <c r="J1103" s="2177" t="str">
        <f t="shared" si="338"/>
        <v>N</v>
      </c>
      <c r="K1103" s="136"/>
      <c r="L1103" s="1413"/>
      <c r="M1103" s="1004"/>
    </row>
    <row r="1104" spans="1:13" ht="16.899999999999999" hidden="1" customHeight="1" outlineLevel="1">
      <c r="A1104" s="1619"/>
      <c r="B1104" s="1807" t="s">
        <v>1197</v>
      </c>
      <c r="C1104" s="1614" t="s">
        <v>106</v>
      </c>
      <c r="D1104" s="1615"/>
      <c r="E1104" s="1616"/>
      <c r="F1104" s="1617">
        <v>300000</v>
      </c>
      <c r="G1104" s="1614">
        <v>1</v>
      </c>
      <c r="H1104" s="1610">
        <v>0</v>
      </c>
      <c r="I1104" s="990" t="s">
        <v>287</v>
      </c>
      <c r="J1104" s="2177" t="str">
        <f t="shared" si="338"/>
        <v>N</v>
      </c>
      <c r="K1104" s="136"/>
      <c r="L1104" s="1413"/>
      <c r="M1104" s="1004"/>
    </row>
    <row r="1105" spans="1:22" ht="16.899999999999999" hidden="1" customHeight="1" outlineLevel="1">
      <c r="A1105" s="1619"/>
      <c r="B1105" s="1807" t="s">
        <v>1197</v>
      </c>
      <c r="C1105" s="1614" t="s">
        <v>106</v>
      </c>
      <c r="D1105" s="1615"/>
      <c r="E1105" s="1616"/>
      <c r="F1105" s="1617">
        <v>300000</v>
      </c>
      <c r="G1105" s="1614">
        <v>1</v>
      </c>
      <c r="H1105" s="1610">
        <v>0</v>
      </c>
      <c r="I1105" s="990" t="s">
        <v>287</v>
      </c>
      <c r="J1105" s="2177" t="str">
        <f t="shared" si="338"/>
        <v>N</v>
      </c>
      <c r="K1105" s="136"/>
      <c r="L1105" s="1413"/>
      <c r="M1105" s="1004"/>
    </row>
    <row r="1106" spans="1:22" ht="16.899999999999999" hidden="1" customHeight="1" outlineLevel="1">
      <c r="A1106" s="1619"/>
      <c r="B1106" s="1807" t="s">
        <v>1197</v>
      </c>
      <c r="C1106" s="1614" t="s">
        <v>106</v>
      </c>
      <c r="D1106" s="1615"/>
      <c r="E1106" s="1616"/>
      <c r="F1106" s="1617">
        <v>300000</v>
      </c>
      <c r="G1106" s="1614">
        <v>1</v>
      </c>
      <c r="H1106" s="1610">
        <v>0</v>
      </c>
      <c r="I1106" s="990" t="s">
        <v>287</v>
      </c>
      <c r="J1106" s="2177" t="str">
        <f t="shared" si="338"/>
        <v>N</v>
      </c>
      <c r="K1106" s="136"/>
      <c r="L1106" s="1413"/>
      <c r="M1106" s="1004"/>
    </row>
    <row r="1107" spans="1:22" ht="16.899999999999999" hidden="1" customHeight="1" outlineLevel="1">
      <c r="A1107" s="1619"/>
      <c r="B1107" s="1807" t="s">
        <v>1197</v>
      </c>
      <c r="C1107" s="1614" t="s">
        <v>106</v>
      </c>
      <c r="D1107" s="1615"/>
      <c r="E1107" s="1616"/>
      <c r="F1107" s="1617">
        <v>300000</v>
      </c>
      <c r="G1107" s="1614">
        <v>1</v>
      </c>
      <c r="H1107" s="1610">
        <v>0</v>
      </c>
      <c r="I1107" s="990" t="s">
        <v>287</v>
      </c>
      <c r="J1107" s="2177" t="str">
        <f t="shared" si="338"/>
        <v>N</v>
      </c>
      <c r="K1107" s="136"/>
      <c r="L1107" s="1413"/>
      <c r="M1107" s="1004"/>
    </row>
    <row r="1108" spans="1:22" ht="16.899999999999999" hidden="1" customHeight="1" outlineLevel="1">
      <c r="A1108" s="1619"/>
      <c r="B1108" s="1807" t="s">
        <v>1197</v>
      </c>
      <c r="C1108" s="1614" t="s">
        <v>106</v>
      </c>
      <c r="D1108" s="1615"/>
      <c r="E1108" s="1616"/>
      <c r="F1108" s="1617">
        <v>300000</v>
      </c>
      <c r="G1108" s="1614">
        <v>1</v>
      </c>
      <c r="H1108" s="1610">
        <v>0</v>
      </c>
      <c r="I1108" s="990" t="s">
        <v>287</v>
      </c>
      <c r="J1108" s="2177" t="str">
        <f t="shared" si="338"/>
        <v>N</v>
      </c>
      <c r="K1108" s="136"/>
      <c r="L1108" s="1413"/>
      <c r="M1108" s="1004"/>
    </row>
    <row r="1109" spans="1:22" ht="16.899999999999999" hidden="1" customHeight="1" outlineLevel="1">
      <c r="A1109" s="1619"/>
      <c r="B1109" s="1807" t="s">
        <v>1217</v>
      </c>
      <c r="C1109" s="1614" t="s">
        <v>106</v>
      </c>
      <c r="D1109" s="1611">
        <v>200</v>
      </c>
      <c r="E1109" s="1611">
        <v>200</v>
      </c>
      <c r="F1109" s="314"/>
      <c r="G1109" s="1614">
        <v>1</v>
      </c>
      <c r="H1109" s="1610">
        <v>0</v>
      </c>
      <c r="I1109" s="990" t="s">
        <v>287</v>
      </c>
      <c r="J1109" s="2177" t="str">
        <f t="shared" si="338"/>
        <v>N</v>
      </c>
      <c r="K1109" s="136"/>
      <c r="L1109" s="1413"/>
      <c r="M1109" s="1004"/>
    </row>
    <row r="1110" spans="1:22" ht="16.899999999999999" hidden="1" customHeight="1" outlineLevel="1">
      <c r="A1110" s="1619"/>
      <c r="B1110" s="1807" t="s">
        <v>1217</v>
      </c>
      <c r="C1110" s="1614" t="s">
        <v>106</v>
      </c>
      <c r="D1110" s="1611">
        <v>200</v>
      </c>
      <c r="E1110" s="1611">
        <v>200</v>
      </c>
      <c r="F1110" s="1618"/>
      <c r="G1110" s="1614">
        <v>1</v>
      </c>
      <c r="H1110" s="1610">
        <v>0</v>
      </c>
      <c r="I1110" s="990" t="s">
        <v>287</v>
      </c>
      <c r="J1110" s="2177" t="str">
        <f t="shared" si="338"/>
        <v>N</v>
      </c>
      <c r="K1110" s="136" t="str">
        <f>IF(VLOOKUP('Summary Data'!C6,'Summary Data'!C:BT,69,0)=0,"N",'Summary Data'!C6)</f>
        <v>N</v>
      </c>
      <c r="L1110" s="1413"/>
      <c r="M1110" s="1004"/>
    </row>
    <row r="1111" spans="1:22" ht="7.5" hidden="1" customHeight="1" outlineLevel="1">
      <c r="A1111" s="333"/>
      <c r="D1111" s="925"/>
      <c r="E1111" s="925"/>
      <c r="H1111" s="994"/>
      <c r="I1111" s="320"/>
      <c r="J1111" s="419"/>
      <c r="K1111" s="1412"/>
      <c r="L1111" s="1413"/>
      <c r="M1111" s="1004"/>
    </row>
    <row r="1112" spans="1:22" ht="16.899999999999999" hidden="1" customHeight="1" outlineLevel="1">
      <c r="A1112" s="1619"/>
      <c r="B1112" s="1807" t="s">
        <v>1180</v>
      </c>
      <c r="C1112" s="1591" t="str">
        <f>IF(VLOOKUP('Summary Data'!C6,'Summary Data'!C:BT,69,0)=0,"N",'Summary Data'!C6)</f>
        <v>N</v>
      </c>
      <c r="D1112" s="1620">
        <v>5</v>
      </c>
      <c r="E1112" s="1620">
        <v>2</v>
      </c>
      <c r="F1112" s="1621">
        <f>IF(C1112="N",0,(SUMIFS(Paper!$I$7:$I$30,Paper!$A$7:$A$30,$C1112)+1))*IF(K1112="Dong",1,2)</f>
        <v>0</v>
      </c>
      <c r="G1112" s="1401"/>
      <c r="H1112" s="1610">
        <v>0</v>
      </c>
      <c r="I1112" s="990" t="s">
        <v>287</v>
      </c>
      <c r="J1112" s="4002" t="str">
        <f>C1112</f>
        <v>N</v>
      </c>
      <c r="K1112" s="1755" t="s">
        <v>1212</v>
      </c>
      <c r="L1112" s="1755" t="s">
        <v>1213</v>
      </c>
      <c r="M1112" s="1756" t="s">
        <v>1584</v>
      </c>
      <c r="N1112" s="1622"/>
      <c r="O1112" s="1622"/>
      <c r="P1112" s="1623"/>
      <c r="Q1112" s="1624"/>
      <c r="T1112" s="136">
        <f>IF(C1112="N",0,1)</f>
        <v>0</v>
      </c>
      <c r="U1112" s="136">
        <f>COUNTIFS($T$1112:T1112,1)</f>
        <v>0</v>
      </c>
      <c r="V1112" s="833" t="str">
        <f>C1112</f>
        <v>N</v>
      </c>
    </row>
    <row r="1113" spans="1:22" ht="16.899999999999999" hidden="1" customHeight="1" outlineLevel="1">
      <c r="A1113" s="1619"/>
      <c r="B1113" s="1807" t="s">
        <v>1180</v>
      </c>
      <c r="C1113" s="1591" t="str">
        <f>IF(VLOOKUP('Summary Data'!C7,'Summary Data'!C:BT,69,0)=0,"N",'Summary Data'!C7)</f>
        <v>N</v>
      </c>
      <c r="D1113" s="1620">
        <v>6</v>
      </c>
      <c r="E1113" s="1620">
        <v>10</v>
      </c>
      <c r="F1113" s="1621">
        <f>IF(C1113="N",0,(SUMIFS(Paper!$I$7:$I$30,Paper!$A$7:$A$30,$C1113)+1))*IF(K1113="Dong",1,2)</f>
        <v>0</v>
      </c>
      <c r="G1113" s="1401"/>
      <c r="H1113" s="1610">
        <v>0</v>
      </c>
      <c r="I1113" s="990" t="s">
        <v>287</v>
      </c>
      <c r="J1113" s="4002" t="str">
        <f t="shared" ref="J1113:J1158" si="339">C1113</f>
        <v>N</v>
      </c>
      <c r="K1113" s="1755" t="s">
        <v>1212</v>
      </c>
      <c r="L1113" s="1755" t="s">
        <v>1213</v>
      </c>
      <c r="M1113" s="1757"/>
      <c r="N1113" s="1004"/>
      <c r="Q1113" s="1626"/>
      <c r="T1113" s="136">
        <f t="shared" ref="T1113:T1123" si="340">IF(C1113="N",0,1)</f>
        <v>0</v>
      </c>
      <c r="U1113" s="136">
        <f>COUNTIFS($T$1112:T1113,1)</f>
        <v>0</v>
      </c>
      <c r="V1113" s="833" t="str">
        <f t="shared" ref="V1113:V1123" si="341">C1113</f>
        <v>N</v>
      </c>
    </row>
    <row r="1114" spans="1:22" ht="16.899999999999999" hidden="1" customHeight="1" outlineLevel="1">
      <c r="A1114" s="1619"/>
      <c r="B1114" s="1807" t="s">
        <v>1180</v>
      </c>
      <c r="C1114" s="1591" t="str">
        <f>IF(VLOOKUP('Summary Data'!C8,'Summary Data'!C:BT,69,0)=0,"N",'Summary Data'!C8)</f>
        <v>N</v>
      </c>
      <c r="D1114" s="1620">
        <v>6</v>
      </c>
      <c r="E1114" s="1620">
        <v>10</v>
      </c>
      <c r="F1114" s="1621">
        <f>IF(C1114="N",0,(SUMIFS(Paper!$I$7:$I$30,Paper!$A$7:$A$30,$C1114)+1))*IF(K1114="Dong",1,2)*5</f>
        <v>0</v>
      </c>
      <c r="G1114" s="1401"/>
      <c r="H1114" s="1610">
        <v>0</v>
      </c>
      <c r="I1114" s="990" t="s">
        <v>287</v>
      </c>
      <c r="J1114" s="4002" t="str">
        <f t="shared" si="339"/>
        <v>N</v>
      </c>
      <c r="K1114" s="1755" t="s">
        <v>1212</v>
      </c>
      <c r="L1114" s="1755" t="s">
        <v>1213</v>
      </c>
      <c r="M1114" s="1757"/>
      <c r="N1114" s="1004"/>
      <c r="Q1114" s="1626"/>
      <c r="T1114" s="136">
        <f t="shared" si="340"/>
        <v>0</v>
      </c>
      <c r="U1114" s="136">
        <f>COUNTIFS($T$1112:T1114,1)</f>
        <v>0</v>
      </c>
      <c r="V1114" s="833" t="str">
        <f t="shared" si="341"/>
        <v>N</v>
      </c>
    </row>
    <row r="1115" spans="1:22" ht="16.899999999999999" hidden="1" customHeight="1" outlineLevel="1">
      <c r="A1115" s="1619"/>
      <c r="B1115" s="1807" t="s">
        <v>1180</v>
      </c>
      <c r="C1115" s="1591" t="str">
        <f>IF(VLOOKUP('Summary Data'!C9,'Summary Data'!C:BT,69,0)=0,"N",'Summary Data'!C9)</f>
        <v>N</v>
      </c>
      <c r="D1115" s="1620">
        <v>6</v>
      </c>
      <c r="E1115" s="1620">
        <v>10</v>
      </c>
      <c r="F1115" s="1621">
        <f>IF(C1115="N",0,(SUMIFS(Paper!$I$7:$I$30,Paper!$A$7:$A$30,$C1115)+1))*IF(K1115="Dong",1,2)</f>
        <v>0</v>
      </c>
      <c r="G1115" s="1401"/>
      <c r="H1115" s="1610">
        <v>0</v>
      </c>
      <c r="I1115" s="990" t="s">
        <v>287</v>
      </c>
      <c r="J1115" s="4002" t="str">
        <f t="shared" si="339"/>
        <v>N</v>
      </c>
      <c r="K1115" s="1755" t="s">
        <v>1212</v>
      </c>
      <c r="L1115" s="1755" t="s">
        <v>1213</v>
      </c>
      <c r="M1115" s="1757"/>
      <c r="N1115" s="1004"/>
      <c r="Q1115" s="1626"/>
      <c r="T1115" s="136">
        <f t="shared" si="340"/>
        <v>0</v>
      </c>
      <c r="U1115" s="136">
        <f>COUNTIFS($T$1112:T1115,1)</f>
        <v>0</v>
      </c>
      <c r="V1115" s="833" t="str">
        <f t="shared" si="341"/>
        <v>N</v>
      </c>
    </row>
    <row r="1116" spans="1:22" ht="16.899999999999999" hidden="1" customHeight="1" outlineLevel="1">
      <c r="A1116" s="1619"/>
      <c r="B1116" s="1807" t="s">
        <v>1180</v>
      </c>
      <c r="C1116" s="1591" t="str">
        <f>IF(VLOOKUP('Summary Data'!C10,'Summary Data'!C:BT,69,0)=0,"N",'Summary Data'!C10)</f>
        <v>N</v>
      </c>
      <c r="D1116" s="1620">
        <v>6</v>
      </c>
      <c r="E1116" s="1620">
        <v>10</v>
      </c>
      <c r="F1116" s="1621">
        <f>IF(C1116="N",0,(SUMIFS(Paper!$I$7:$I$30,Paper!$A$7:$A$30,$C1116)+1))*IF(K1116="Dong",1,2)</f>
        <v>0</v>
      </c>
      <c r="G1116" s="1401"/>
      <c r="H1116" s="1610">
        <v>0</v>
      </c>
      <c r="I1116" s="990" t="s">
        <v>287</v>
      </c>
      <c r="J1116" s="4002" t="str">
        <f t="shared" si="339"/>
        <v>N</v>
      </c>
      <c r="K1116" s="1755" t="s">
        <v>1212</v>
      </c>
      <c r="L1116" s="1755" t="s">
        <v>1213</v>
      </c>
      <c r="M1116" s="1757"/>
      <c r="N1116" s="1004"/>
      <c r="Q1116" s="1626"/>
      <c r="T1116" s="136">
        <f t="shared" si="340"/>
        <v>0</v>
      </c>
      <c r="U1116" s="136">
        <f>COUNTIFS($T$1112:T1116,1)</f>
        <v>0</v>
      </c>
      <c r="V1116" s="833" t="str">
        <f t="shared" si="341"/>
        <v>N</v>
      </c>
    </row>
    <row r="1117" spans="1:22" ht="16.899999999999999" hidden="1" customHeight="1" outlineLevel="1">
      <c r="A1117" s="1619"/>
      <c r="B1117" s="1807" t="s">
        <v>1180</v>
      </c>
      <c r="C1117" s="1591" t="str">
        <f>IF(VLOOKUP('Summary Data'!C11,'Summary Data'!C:BT,69,0)=0,"N",'Summary Data'!C11)</f>
        <v>N</v>
      </c>
      <c r="D1117" s="1620">
        <v>6</v>
      </c>
      <c r="E1117" s="1620">
        <v>10</v>
      </c>
      <c r="F1117" s="1621">
        <f>IF(C1117="N",0,(SUMIFS(Paper!$I$7:$I$30,Paper!$A$7:$A$30,$C1117)+1))*IF(K1117="Dong",1,2)</f>
        <v>0</v>
      </c>
      <c r="G1117" s="1401"/>
      <c r="H1117" s="1610">
        <v>0</v>
      </c>
      <c r="I1117" s="990" t="s">
        <v>287</v>
      </c>
      <c r="J1117" s="4002" t="str">
        <f t="shared" si="339"/>
        <v>N</v>
      </c>
      <c r="K1117" s="1755" t="s">
        <v>1212</v>
      </c>
      <c r="L1117" s="1755" t="s">
        <v>1213</v>
      </c>
      <c r="M1117" s="1758"/>
      <c r="N1117" s="1627"/>
      <c r="O1117" s="1628"/>
      <c r="P1117" s="1628"/>
      <c r="Q1117" s="1629"/>
      <c r="T1117" s="136">
        <f t="shared" si="340"/>
        <v>0</v>
      </c>
      <c r="U1117" s="136">
        <f>COUNTIFS($T$1112:T1117,1)</f>
        <v>0</v>
      </c>
      <c r="V1117" s="833" t="str">
        <f t="shared" si="341"/>
        <v>N</v>
      </c>
    </row>
    <row r="1118" spans="1:22" ht="16.899999999999999" hidden="1" customHeight="1" outlineLevel="1">
      <c r="A1118" s="1619"/>
      <c r="B1118" s="1807" t="s">
        <v>1182</v>
      </c>
      <c r="C1118" s="1591" t="s">
        <v>106</v>
      </c>
      <c r="D1118" s="1620">
        <v>9</v>
      </c>
      <c r="E1118" s="1620">
        <v>8</v>
      </c>
      <c r="F1118" s="1621">
        <f>IF(C1118="N",0,(SUMIFS(Paper!$I$7:$I$30,Paper!$A$7:$A$30,$C1118)+1))</f>
        <v>0</v>
      </c>
      <c r="G1118" s="1401"/>
      <c r="H1118" s="1610">
        <v>0</v>
      </c>
      <c r="I1118" s="990" t="s">
        <v>287</v>
      </c>
      <c r="J1118" s="4002" t="str">
        <f t="shared" si="339"/>
        <v>N</v>
      </c>
      <c r="K1118" s="1755" t="s">
        <v>1212</v>
      </c>
      <c r="L1118" s="1755" t="s">
        <v>1213</v>
      </c>
      <c r="M1118" s="1756" t="s">
        <v>1584</v>
      </c>
      <c r="N1118" s="1622"/>
      <c r="O1118" s="1622"/>
      <c r="P1118" s="1623"/>
      <c r="Q1118" s="1624"/>
      <c r="T1118" s="136">
        <f t="shared" si="340"/>
        <v>0</v>
      </c>
      <c r="U1118" s="136">
        <f>COUNTIFS($T$1112:T1118,1)</f>
        <v>0</v>
      </c>
      <c r="V1118" s="833" t="str">
        <f t="shared" si="341"/>
        <v>N</v>
      </c>
    </row>
    <row r="1119" spans="1:22" ht="16.899999999999999" hidden="1" customHeight="1" outlineLevel="1">
      <c r="A1119" s="1619"/>
      <c r="B1119" s="1807" t="s">
        <v>1182</v>
      </c>
      <c r="C1119" s="1591" t="str">
        <f>IF(VLOOKUP('Summary Data'!C13,'Summary Data'!C:BT,69,0)=0,"N",'Summary Data'!C13)</f>
        <v>N</v>
      </c>
      <c r="D1119" s="1620">
        <v>5</v>
      </c>
      <c r="E1119" s="1620">
        <v>10</v>
      </c>
      <c r="F1119" s="1621">
        <f>IF(C1119="N",0,(SUMIFS(Paper!$I$7:$I$30,Paper!$A$7:$A$30,$C1119)+1))</f>
        <v>0</v>
      </c>
      <c r="G1119" s="1401"/>
      <c r="H1119" s="1610">
        <v>0</v>
      </c>
      <c r="I1119" s="990" t="s">
        <v>287</v>
      </c>
      <c r="J1119" s="4002" t="str">
        <f t="shared" si="339"/>
        <v>N</v>
      </c>
      <c r="K1119" s="1755" t="s">
        <v>1212</v>
      </c>
      <c r="L1119" s="1755" t="s">
        <v>1213</v>
      </c>
      <c r="M1119" s="1757"/>
      <c r="N1119" s="1004"/>
      <c r="Q1119" s="1626"/>
      <c r="T1119" s="136">
        <f t="shared" si="340"/>
        <v>0</v>
      </c>
      <c r="U1119" s="136">
        <f>COUNTIFS($T$1112:T1119,1)</f>
        <v>0</v>
      </c>
      <c r="V1119" s="833" t="str">
        <f t="shared" si="341"/>
        <v>N</v>
      </c>
    </row>
    <row r="1120" spans="1:22" ht="16.899999999999999" hidden="1" customHeight="1" outlineLevel="1">
      <c r="A1120" s="1619"/>
      <c r="B1120" s="1807" t="s">
        <v>1182</v>
      </c>
      <c r="C1120" s="1591" t="str">
        <f>IF(VLOOKUP('Summary Data'!C14,'Summary Data'!C:BT,69,0)=0,"N",'Summary Data'!C14)</f>
        <v>N</v>
      </c>
      <c r="D1120" s="1620">
        <v>5</v>
      </c>
      <c r="E1120" s="1620">
        <v>10</v>
      </c>
      <c r="F1120" s="1621">
        <f>IF(C1120="N",0,(SUMIFS(Paper!$I$7:$I$30,Paper!$A$7:$A$30,$C1120)+1))</f>
        <v>0</v>
      </c>
      <c r="G1120" s="1401"/>
      <c r="H1120" s="1610">
        <v>0</v>
      </c>
      <c r="I1120" s="990" t="s">
        <v>287</v>
      </c>
      <c r="J1120" s="4002" t="str">
        <f t="shared" si="339"/>
        <v>N</v>
      </c>
      <c r="K1120" s="1755" t="s">
        <v>1212</v>
      </c>
      <c r="L1120" s="1755" t="s">
        <v>1213</v>
      </c>
      <c r="M1120" s="1757"/>
      <c r="N1120" s="1004"/>
      <c r="Q1120" s="1626"/>
      <c r="T1120" s="136">
        <f t="shared" si="340"/>
        <v>0</v>
      </c>
      <c r="U1120" s="136">
        <f>COUNTIFS($T$1112:T1120,1)</f>
        <v>0</v>
      </c>
      <c r="V1120" s="833" t="str">
        <f t="shared" si="341"/>
        <v>N</v>
      </c>
    </row>
    <row r="1121" spans="1:22" ht="16.899999999999999" hidden="1" customHeight="1" outlineLevel="1">
      <c r="A1121" s="1619"/>
      <c r="B1121" s="1807" t="s">
        <v>1182</v>
      </c>
      <c r="C1121" s="1591" t="str">
        <f>IF(VLOOKUP('Summary Data'!C15,'Summary Data'!C:BT,69,0)=0,"N",'Summary Data'!C15)</f>
        <v>N</v>
      </c>
      <c r="D1121" s="1620">
        <v>5</v>
      </c>
      <c r="E1121" s="1620">
        <v>10</v>
      </c>
      <c r="F1121" s="1621">
        <f>IF(C1121="N",0,(SUMIFS(Paper!$I$7:$I$30,Paper!$A$7:$A$30,$C1121)+1))*5</f>
        <v>0</v>
      </c>
      <c r="G1121" s="1401"/>
      <c r="H1121" s="1610">
        <v>0</v>
      </c>
      <c r="I1121" s="990" t="s">
        <v>287</v>
      </c>
      <c r="J1121" s="4002" t="str">
        <f t="shared" si="339"/>
        <v>N</v>
      </c>
      <c r="K1121" s="1755" t="s">
        <v>1212</v>
      </c>
      <c r="L1121" s="1755" t="s">
        <v>1213</v>
      </c>
      <c r="M1121" s="1757"/>
      <c r="N1121" s="1004"/>
      <c r="Q1121" s="1626"/>
      <c r="T1121" s="136">
        <f t="shared" si="340"/>
        <v>0</v>
      </c>
      <c r="U1121" s="136">
        <f>COUNTIFS($T$1112:T1121,1)</f>
        <v>0</v>
      </c>
      <c r="V1121" s="833" t="str">
        <f t="shared" si="341"/>
        <v>N</v>
      </c>
    </row>
    <row r="1122" spans="1:22" ht="16.899999999999999" hidden="1" customHeight="1" outlineLevel="1">
      <c r="A1122" s="1619"/>
      <c r="B1122" s="1807" t="s">
        <v>1182</v>
      </c>
      <c r="C1122" s="1591" t="str">
        <f>IF(VLOOKUP('Summary Data'!C16,'Summary Data'!C:BT,69,0)=0,"N",'Summary Data'!C16)</f>
        <v>N</v>
      </c>
      <c r="D1122" s="1620">
        <v>5</v>
      </c>
      <c r="E1122" s="1620">
        <v>10</v>
      </c>
      <c r="F1122" s="1621">
        <f>IF(C1122="N",0,(SUMIFS(Paper!$I$7:$I$30,Paper!$A$7:$A$30,$C1122)+1))</f>
        <v>0</v>
      </c>
      <c r="G1122" s="1401"/>
      <c r="H1122" s="1610">
        <v>0</v>
      </c>
      <c r="I1122" s="990" t="s">
        <v>287</v>
      </c>
      <c r="J1122" s="4002" t="str">
        <f t="shared" si="339"/>
        <v>N</v>
      </c>
      <c r="K1122" s="1755" t="s">
        <v>1212</v>
      </c>
      <c r="L1122" s="1755" t="s">
        <v>1213</v>
      </c>
      <c r="M1122" s="1757"/>
      <c r="N1122" s="1004"/>
      <c r="Q1122" s="1626"/>
      <c r="T1122" s="136">
        <f t="shared" si="340"/>
        <v>0</v>
      </c>
      <c r="U1122" s="136">
        <f>COUNTIFS($T$1112:T1122,1)</f>
        <v>0</v>
      </c>
      <c r="V1122" s="833" t="str">
        <f t="shared" si="341"/>
        <v>N</v>
      </c>
    </row>
    <row r="1123" spans="1:22" ht="16.899999999999999" hidden="1" customHeight="1" outlineLevel="1">
      <c r="A1123" s="1619"/>
      <c r="B1123" s="1807" t="s">
        <v>1182</v>
      </c>
      <c r="C1123" s="1591" t="str">
        <f>IF(VLOOKUP('Summary Data'!C17,'Summary Data'!C:BT,69,0)=0,"N",'Summary Data'!C17)</f>
        <v>N</v>
      </c>
      <c r="D1123" s="1620">
        <v>5</v>
      </c>
      <c r="E1123" s="1620">
        <v>10</v>
      </c>
      <c r="F1123" s="1621">
        <f>IF(C1123="N",0,(SUMIFS(Paper!$I$7:$I$30,Paper!$A$7:$A$30,$C1123)+1))</f>
        <v>0</v>
      </c>
      <c r="G1123" s="1401"/>
      <c r="H1123" s="1610">
        <v>0</v>
      </c>
      <c r="I1123" s="990" t="s">
        <v>287</v>
      </c>
      <c r="J1123" s="4002" t="str">
        <f t="shared" si="339"/>
        <v>N</v>
      </c>
      <c r="K1123" s="1755" t="s">
        <v>1212</v>
      </c>
      <c r="L1123" s="1755" t="s">
        <v>1213</v>
      </c>
      <c r="M1123" s="1758"/>
      <c r="N1123" s="1627"/>
      <c r="O1123" s="1628"/>
      <c r="P1123" s="1628"/>
      <c r="Q1123" s="1629"/>
      <c r="T1123" s="136">
        <f t="shared" si="340"/>
        <v>0</v>
      </c>
      <c r="U1123" s="136">
        <f>COUNTIFS($T$1112:T1123,1)</f>
        <v>0</v>
      </c>
      <c r="V1123" s="833" t="str">
        <f t="shared" si="341"/>
        <v>N</v>
      </c>
    </row>
    <row r="1124" spans="1:22" ht="16.899999999999999" hidden="1" customHeight="1" outlineLevel="1">
      <c r="A1124" s="1630"/>
      <c r="B1124" s="1808" t="s">
        <v>137</v>
      </c>
      <c r="C1124" s="1591" t="str">
        <f>IF(VLOOKUP('Summary Data'!C6,'Summary Data'!C:BT,55,0)=0,"N",'Summary Data'!C6)</f>
        <v>N</v>
      </c>
      <c r="D1124" s="1631" t="s">
        <v>1159</v>
      </c>
      <c r="E1124" s="1632">
        <v>740000</v>
      </c>
      <c r="F1124" s="1633"/>
      <c r="G1124" s="1628"/>
      <c r="H1124" s="1634">
        <v>0</v>
      </c>
      <c r="I1124" s="1629" t="s">
        <v>287</v>
      </c>
      <c r="J1124" s="4002" t="str">
        <f t="shared" si="339"/>
        <v>N</v>
      </c>
      <c r="K1124" s="136"/>
      <c r="M1124" s="1004"/>
      <c r="T1124" s="136">
        <f t="shared" ref="T1124:T1133" si="342">IF(C1124="N",0,1)</f>
        <v>0</v>
      </c>
      <c r="U1124" s="136">
        <f>COUNTIFS($T$1112:T1124,1)</f>
        <v>0</v>
      </c>
      <c r="V1124" s="833" t="str">
        <f t="shared" ref="V1124:V1133" si="343">C1124</f>
        <v>N</v>
      </c>
    </row>
    <row r="1125" spans="1:22" ht="16.899999999999999" hidden="1" customHeight="1" outlineLevel="1">
      <c r="A1125" s="1619"/>
      <c r="B1125" s="1807" t="s">
        <v>137</v>
      </c>
      <c r="C1125" s="1591" t="str">
        <f>IF(VLOOKUP('Summary Data'!C7,'Summary Data'!C:BT,55,0)=0,"N",'Summary Data'!C7)</f>
        <v>N</v>
      </c>
      <c r="D1125" s="1635" t="s">
        <v>1159</v>
      </c>
      <c r="E1125" s="1636">
        <v>740000</v>
      </c>
      <c r="F1125" s="1637"/>
      <c r="G1125" s="1638"/>
      <c r="H1125" s="1610">
        <v>0</v>
      </c>
      <c r="I1125" s="1401" t="s">
        <v>287</v>
      </c>
      <c r="J1125" s="4002" t="str">
        <f t="shared" si="339"/>
        <v>N</v>
      </c>
      <c r="K1125" s="136"/>
      <c r="M1125" s="1004"/>
      <c r="T1125" s="136">
        <f t="shared" si="342"/>
        <v>0</v>
      </c>
      <c r="U1125" s="136">
        <f>COUNTIFS($T$1112:T1125,1)</f>
        <v>0</v>
      </c>
      <c r="V1125" s="833" t="str">
        <f t="shared" si="343"/>
        <v>N</v>
      </c>
    </row>
    <row r="1126" spans="1:22" ht="16.899999999999999" hidden="1" customHeight="1" outlineLevel="1">
      <c r="A1126" s="1619"/>
      <c r="B1126" s="1807" t="s">
        <v>137</v>
      </c>
      <c r="C1126" s="1591" t="str">
        <f>IF(VLOOKUP('Summary Data'!C8,'Summary Data'!C:BT,55,0)=0,"N",'Summary Data'!C8)</f>
        <v>N</v>
      </c>
      <c r="D1126" s="1635" t="s">
        <v>1159</v>
      </c>
      <c r="E1126" s="1636">
        <v>740000</v>
      </c>
      <c r="F1126" s="1637"/>
      <c r="G1126" s="1638"/>
      <c r="H1126" s="1610">
        <v>0</v>
      </c>
      <c r="I1126" s="1401" t="s">
        <v>287</v>
      </c>
      <c r="J1126" s="4002" t="str">
        <f t="shared" si="339"/>
        <v>N</v>
      </c>
      <c r="K1126" s="136"/>
      <c r="M1126" s="1004"/>
      <c r="T1126" s="136">
        <f t="shared" si="342"/>
        <v>0</v>
      </c>
      <c r="U1126" s="136">
        <f>COUNTIFS($T$1112:T1126,1)</f>
        <v>0</v>
      </c>
      <c r="V1126" s="833" t="str">
        <f t="shared" si="343"/>
        <v>N</v>
      </c>
    </row>
    <row r="1127" spans="1:22" ht="16.899999999999999" hidden="1" customHeight="1" outlineLevel="1">
      <c r="A1127" s="1619"/>
      <c r="B1127" s="1807" t="s">
        <v>137</v>
      </c>
      <c r="C1127" s="1591" t="str">
        <f>IF(VLOOKUP('Summary Data'!C9,'Summary Data'!C:BT,55,0)=0,"N",'Summary Data'!C9)</f>
        <v>N</v>
      </c>
      <c r="D1127" s="1635" t="s">
        <v>1159</v>
      </c>
      <c r="E1127" s="1636">
        <v>740000</v>
      </c>
      <c r="F1127" s="1637"/>
      <c r="G1127" s="1638"/>
      <c r="H1127" s="1610">
        <v>0</v>
      </c>
      <c r="I1127" s="1401" t="s">
        <v>287</v>
      </c>
      <c r="J1127" s="4002" t="str">
        <f t="shared" si="339"/>
        <v>N</v>
      </c>
      <c r="K1127" s="136"/>
      <c r="M1127" s="1004"/>
      <c r="T1127" s="136">
        <f t="shared" si="342"/>
        <v>0</v>
      </c>
      <c r="U1127" s="136">
        <f>COUNTIFS($T$1112:T1127,1)</f>
        <v>0</v>
      </c>
      <c r="V1127" s="833" t="str">
        <f t="shared" si="343"/>
        <v>N</v>
      </c>
    </row>
    <row r="1128" spans="1:22" ht="16.899999999999999" hidden="1" customHeight="1" outlineLevel="1">
      <c r="A1128" s="1619"/>
      <c r="B1128" s="1807" t="s">
        <v>137</v>
      </c>
      <c r="C1128" s="1591" t="str">
        <f>IF(VLOOKUP('Summary Data'!C10,'Summary Data'!C:BT,55,0)=0,"N",'Summary Data'!C10)</f>
        <v>N</v>
      </c>
      <c r="D1128" s="1639" t="s">
        <v>1159</v>
      </c>
      <c r="E1128" s="1640">
        <v>740000</v>
      </c>
      <c r="F1128" s="1641"/>
      <c r="G1128" s="1623"/>
      <c r="H1128" s="1610">
        <v>0</v>
      </c>
      <c r="I1128" s="1401" t="s">
        <v>287</v>
      </c>
      <c r="J1128" s="4002" t="str">
        <f t="shared" si="339"/>
        <v>N</v>
      </c>
      <c r="K1128" s="1642"/>
      <c r="L1128" s="1625"/>
      <c r="M1128" s="1004"/>
      <c r="T1128" s="136">
        <f t="shared" si="342"/>
        <v>0</v>
      </c>
      <c r="U1128" s="136">
        <f>COUNTIFS($T$1112:T1128,1)</f>
        <v>0</v>
      </c>
      <c r="V1128" s="833" t="str">
        <f t="shared" si="343"/>
        <v>N</v>
      </c>
    </row>
    <row r="1129" spans="1:22" ht="16.899999999999999" hidden="1" customHeight="1" outlineLevel="1">
      <c r="A1129" s="1619"/>
      <c r="B1129" s="1807" t="s">
        <v>1201</v>
      </c>
      <c r="C1129" s="1591" t="str">
        <f>IF(VLOOKUP('Summary Data'!C6,'Summary Data'!C:BY,75,0)=0,"N",'Summary Data'!C6)</f>
        <v>N</v>
      </c>
      <c r="D1129" s="1619" t="s">
        <v>151</v>
      </c>
      <c r="E1129" s="1643"/>
      <c r="F1129" s="1643"/>
      <c r="G1129" s="1401"/>
      <c r="H1129" s="1610">
        <v>0</v>
      </c>
      <c r="I1129" s="1401" t="s">
        <v>287</v>
      </c>
      <c r="J1129" s="4002" t="str">
        <f t="shared" si="339"/>
        <v>N</v>
      </c>
      <c r="K1129" s="1412"/>
      <c r="L1129" s="1413"/>
      <c r="M1129" s="1004"/>
      <c r="T1129" s="136">
        <f t="shared" si="342"/>
        <v>0</v>
      </c>
      <c r="U1129" s="136">
        <f>COUNTIFS($T$1112:T1129,1)</f>
        <v>0</v>
      </c>
      <c r="V1129" s="833" t="str">
        <f t="shared" si="343"/>
        <v>N</v>
      </c>
    </row>
    <row r="1130" spans="1:22" ht="16.899999999999999" hidden="1" customHeight="1" outlineLevel="1">
      <c r="A1130" s="1619"/>
      <c r="B1130" s="1807" t="s">
        <v>1201</v>
      </c>
      <c r="C1130" s="1591" t="str">
        <f>IF(VLOOKUP('Summary Data'!C7,'Summary Data'!C:BY,75,0)=0,"N",'Summary Data'!C7)</f>
        <v>N</v>
      </c>
      <c r="D1130" s="1619" t="s">
        <v>151</v>
      </c>
      <c r="E1130" s="1643"/>
      <c r="F1130" s="1643"/>
      <c r="G1130" s="1401"/>
      <c r="H1130" s="1610">
        <v>0</v>
      </c>
      <c r="I1130" s="1401" t="s">
        <v>287</v>
      </c>
      <c r="J1130" s="4002" t="str">
        <f t="shared" si="339"/>
        <v>N</v>
      </c>
      <c r="K1130" s="1412"/>
      <c r="L1130" s="1413"/>
      <c r="M1130" s="1004"/>
      <c r="T1130" s="136">
        <f t="shared" si="342"/>
        <v>0</v>
      </c>
      <c r="U1130" s="136">
        <f>COUNTIFS($T$1112:T1130,1)</f>
        <v>0</v>
      </c>
      <c r="V1130" s="833" t="str">
        <f t="shared" si="343"/>
        <v>N</v>
      </c>
    </row>
    <row r="1131" spans="1:22" ht="16.899999999999999" hidden="1" customHeight="1" outlineLevel="1">
      <c r="A1131" s="1619"/>
      <c r="B1131" s="1807" t="s">
        <v>1201</v>
      </c>
      <c r="C1131" s="1591" t="str">
        <f>IF(VLOOKUP('Summary Data'!C8,'Summary Data'!C:BY,75,0)=0,"N",'Summary Data'!C8)</f>
        <v>N</v>
      </c>
      <c r="D1131" s="1619" t="s">
        <v>151</v>
      </c>
      <c r="E1131" s="1643"/>
      <c r="F1131" s="1643"/>
      <c r="G1131" s="1401"/>
      <c r="H1131" s="1610">
        <v>0</v>
      </c>
      <c r="I1131" s="1401" t="s">
        <v>287</v>
      </c>
      <c r="J1131" s="4002" t="str">
        <f t="shared" si="339"/>
        <v>N</v>
      </c>
      <c r="K1131" s="1412"/>
      <c r="L1131" s="1413"/>
      <c r="M1131" s="1004"/>
      <c r="T1131" s="136">
        <f t="shared" si="342"/>
        <v>0</v>
      </c>
      <c r="U1131" s="136">
        <f>COUNTIFS($T$1112:T1131,1)</f>
        <v>0</v>
      </c>
      <c r="V1131" s="833" t="str">
        <f t="shared" si="343"/>
        <v>N</v>
      </c>
    </row>
    <row r="1132" spans="1:22" ht="16.899999999999999" hidden="1" customHeight="1" outlineLevel="1">
      <c r="A1132" s="1619"/>
      <c r="B1132" s="1807" t="s">
        <v>1201</v>
      </c>
      <c r="C1132" s="1591" t="str">
        <f>IF(VLOOKUP('Summary Data'!C9,'Summary Data'!C:BY,75,0)=0,"N",'Summary Data'!C9)</f>
        <v>N</v>
      </c>
      <c r="D1132" s="1619" t="s">
        <v>151</v>
      </c>
      <c r="E1132" s="1643"/>
      <c r="F1132" s="1643"/>
      <c r="G1132" s="1401"/>
      <c r="H1132" s="1610">
        <v>0</v>
      </c>
      <c r="I1132" s="1401" t="s">
        <v>287</v>
      </c>
      <c r="J1132" s="4002" t="str">
        <f t="shared" si="339"/>
        <v>N</v>
      </c>
      <c r="K1132" s="1412"/>
      <c r="L1132" s="1413"/>
      <c r="M1132" s="1004"/>
      <c r="T1132" s="136">
        <f t="shared" si="342"/>
        <v>0</v>
      </c>
      <c r="U1132" s="136">
        <f>COUNTIFS($T$1112:T1132,1)</f>
        <v>0</v>
      </c>
      <c r="V1132" s="833" t="str">
        <f t="shared" si="343"/>
        <v>N</v>
      </c>
    </row>
    <row r="1133" spans="1:22" ht="16.899999999999999" hidden="1" customHeight="1" outlineLevel="1">
      <c r="A1133" s="1619"/>
      <c r="B1133" s="1807" t="s">
        <v>1201</v>
      </c>
      <c r="C1133" s="1591" t="str">
        <f>IF(VLOOKUP('Summary Data'!C10,'Summary Data'!C:BY,75,0)=0,"N",'Summary Data'!C10)</f>
        <v>N</v>
      </c>
      <c r="D1133" s="1619" t="s">
        <v>151</v>
      </c>
      <c r="E1133" s="1643"/>
      <c r="F1133" s="1643"/>
      <c r="G1133" s="1401"/>
      <c r="H1133" s="1610">
        <v>0</v>
      </c>
      <c r="I1133" s="1401" t="s">
        <v>287</v>
      </c>
      <c r="J1133" s="4002" t="str">
        <f t="shared" si="339"/>
        <v>N</v>
      </c>
      <c r="K1133" s="1412"/>
      <c r="L1133" s="1413"/>
      <c r="M1133" s="1004"/>
      <c r="T1133" s="136">
        <f t="shared" si="342"/>
        <v>0</v>
      </c>
      <c r="U1133" s="136">
        <f>COUNTIFS($T$1112:T1133,1)</f>
        <v>0</v>
      </c>
      <c r="V1133" s="833" t="str">
        <f t="shared" si="343"/>
        <v>N</v>
      </c>
    </row>
    <row r="1134" spans="1:22" ht="16.899999999999999" hidden="1" customHeight="1" outlineLevel="1">
      <c r="A1134" s="1619"/>
      <c r="B1134" s="1807" t="s">
        <v>1203</v>
      </c>
      <c r="C1134" s="1591" t="str">
        <f>IFERROR(VLOOKUP(L1134,$U$1112:$V$1133,2,0),"N")</f>
        <v>N</v>
      </c>
      <c r="D1134" s="1619" t="s">
        <v>1185</v>
      </c>
      <c r="E1134" s="1643"/>
      <c r="F1134" s="1621">
        <f>IF(C1134="N",0,IF(C1134=C1133,0,COUNTIFS($C$1112:$C$1133,C1134)))</f>
        <v>0</v>
      </c>
      <c r="G1134" s="1401" t="s">
        <v>12</v>
      </c>
      <c r="H1134" s="1610">
        <v>0</v>
      </c>
      <c r="I1134" s="1401" t="s">
        <v>287</v>
      </c>
      <c r="J1134" s="4002" t="str">
        <f t="shared" si="339"/>
        <v>N</v>
      </c>
      <c r="K1134" s="1412"/>
      <c r="L1134" s="1413">
        <v>1</v>
      </c>
      <c r="M1134" s="1004"/>
    </row>
    <row r="1135" spans="1:22" ht="16.899999999999999" hidden="1" customHeight="1" outlineLevel="1">
      <c r="A1135" s="1619"/>
      <c r="B1135" s="1807" t="s">
        <v>1203</v>
      </c>
      <c r="C1135" s="1591" t="str">
        <f t="shared" ref="C1135:C1143" si="344">IFERROR(VLOOKUP(L1135,$U$1112:$V$1133,2,0),"N")</f>
        <v>N</v>
      </c>
      <c r="D1135" s="1619" t="s">
        <v>1185</v>
      </c>
      <c r="E1135" s="1643"/>
      <c r="F1135" s="1621">
        <f t="shared" ref="F1135:F1143" si="345">IF(C1135="N",0,IF(C1135=C1134,0,COUNTIFS($C$1112:$C$1133,C1135)))</f>
        <v>0</v>
      </c>
      <c r="G1135" s="1401" t="s">
        <v>12</v>
      </c>
      <c r="H1135" s="1610">
        <v>0</v>
      </c>
      <c r="I1135" s="1401" t="s">
        <v>287</v>
      </c>
      <c r="J1135" s="4002" t="str">
        <f t="shared" si="339"/>
        <v>N</v>
      </c>
      <c r="K1135" s="1412"/>
      <c r="L1135" s="1413">
        <f>L1134+1</f>
        <v>2</v>
      </c>
      <c r="M1135" s="1004"/>
    </row>
    <row r="1136" spans="1:22" ht="16.899999999999999" hidden="1" customHeight="1" outlineLevel="1">
      <c r="A1136" s="1619"/>
      <c r="B1136" s="1807" t="s">
        <v>1203</v>
      </c>
      <c r="C1136" s="1591" t="str">
        <f t="shared" si="344"/>
        <v>N</v>
      </c>
      <c r="D1136" s="1619" t="s">
        <v>1185</v>
      </c>
      <c r="E1136" s="1643"/>
      <c r="F1136" s="1621">
        <f t="shared" si="345"/>
        <v>0</v>
      </c>
      <c r="G1136" s="1401" t="s">
        <v>12</v>
      </c>
      <c r="H1136" s="1610">
        <v>0</v>
      </c>
      <c r="I1136" s="1401" t="s">
        <v>287</v>
      </c>
      <c r="J1136" s="4002" t="str">
        <f t="shared" si="339"/>
        <v>N</v>
      </c>
      <c r="K1136" s="1412"/>
      <c r="L1136" s="1413">
        <f t="shared" ref="L1136:L1143" si="346">L1135+1</f>
        <v>3</v>
      </c>
      <c r="M1136" s="1004"/>
    </row>
    <row r="1137" spans="1:13" ht="16.899999999999999" hidden="1" customHeight="1" outlineLevel="1">
      <c r="A1137" s="1619"/>
      <c r="B1137" s="1807" t="s">
        <v>1203</v>
      </c>
      <c r="C1137" s="1591" t="str">
        <f t="shared" si="344"/>
        <v>N</v>
      </c>
      <c r="D1137" s="1619" t="s">
        <v>1185</v>
      </c>
      <c r="E1137" s="1643"/>
      <c r="F1137" s="1621">
        <f t="shared" si="345"/>
        <v>0</v>
      </c>
      <c r="G1137" s="1401" t="s">
        <v>12</v>
      </c>
      <c r="H1137" s="1610">
        <v>0</v>
      </c>
      <c r="I1137" s="1401" t="s">
        <v>287</v>
      </c>
      <c r="J1137" s="4002" t="str">
        <f t="shared" si="339"/>
        <v>N</v>
      </c>
      <c r="K1137" s="1412"/>
      <c r="L1137" s="1413">
        <f t="shared" si="346"/>
        <v>4</v>
      </c>
      <c r="M1137" s="1004"/>
    </row>
    <row r="1138" spans="1:13" ht="16.899999999999999" hidden="1" customHeight="1" outlineLevel="1">
      <c r="A1138" s="1619"/>
      <c r="B1138" s="1807" t="s">
        <v>1203</v>
      </c>
      <c r="C1138" s="1591" t="str">
        <f t="shared" si="344"/>
        <v>N</v>
      </c>
      <c r="D1138" s="1619" t="s">
        <v>1185</v>
      </c>
      <c r="E1138" s="1643"/>
      <c r="F1138" s="1621">
        <f t="shared" si="345"/>
        <v>0</v>
      </c>
      <c r="G1138" s="1401" t="s">
        <v>12</v>
      </c>
      <c r="H1138" s="1610">
        <v>0</v>
      </c>
      <c r="I1138" s="1401" t="s">
        <v>287</v>
      </c>
      <c r="J1138" s="4002" t="str">
        <f t="shared" si="339"/>
        <v>N</v>
      </c>
      <c r="K1138" s="1412" t="s">
        <v>3627</v>
      </c>
      <c r="L1138" s="1413">
        <f t="shared" si="346"/>
        <v>5</v>
      </c>
      <c r="M1138" s="1004"/>
    </row>
    <row r="1139" spans="1:13" ht="16.899999999999999" hidden="1" customHeight="1" outlineLevel="1">
      <c r="A1139" s="1619"/>
      <c r="B1139" s="1807" t="s">
        <v>1203</v>
      </c>
      <c r="C1139" s="1591" t="str">
        <f t="shared" si="344"/>
        <v>N</v>
      </c>
      <c r="D1139" s="1619" t="s">
        <v>1185</v>
      </c>
      <c r="E1139" s="1643"/>
      <c r="F1139" s="1621">
        <f t="shared" si="345"/>
        <v>0</v>
      </c>
      <c r="G1139" s="1401" t="s">
        <v>12</v>
      </c>
      <c r="H1139" s="1610">
        <v>0</v>
      </c>
      <c r="I1139" s="1401" t="s">
        <v>287</v>
      </c>
      <c r="J1139" s="4002" t="str">
        <f t="shared" si="339"/>
        <v>N</v>
      </c>
      <c r="K1139" s="1412"/>
      <c r="L1139" s="1413">
        <f t="shared" si="346"/>
        <v>6</v>
      </c>
      <c r="M1139" s="1004"/>
    </row>
    <row r="1140" spans="1:13" ht="16.899999999999999" hidden="1" customHeight="1" outlineLevel="1">
      <c r="A1140" s="1619"/>
      <c r="B1140" s="1807" t="s">
        <v>1203</v>
      </c>
      <c r="C1140" s="1591" t="str">
        <f t="shared" si="344"/>
        <v>N</v>
      </c>
      <c r="D1140" s="1619" t="s">
        <v>1185</v>
      </c>
      <c r="E1140" s="1643"/>
      <c r="F1140" s="1621">
        <f t="shared" si="345"/>
        <v>0</v>
      </c>
      <c r="G1140" s="1401" t="s">
        <v>12</v>
      </c>
      <c r="H1140" s="1610">
        <v>0</v>
      </c>
      <c r="I1140" s="1401" t="s">
        <v>287</v>
      </c>
      <c r="J1140" s="4002" t="str">
        <f t="shared" si="339"/>
        <v>N</v>
      </c>
      <c r="K1140" s="1412"/>
      <c r="L1140" s="1413">
        <f t="shared" si="346"/>
        <v>7</v>
      </c>
      <c r="M1140" s="1004"/>
    </row>
    <row r="1141" spans="1:13" ht="16.899999999999999" hidden="1" customHeight="1" outlineLevel="1">
      <c r="A1141" s="1619"/>
      <c r="B1141" s="1807" t="s">
        <v>1203</v>
      </c>
      <c r="C1141" s="1591" t="str">
        <f t="shared" si="344"/>
        <v>N</v>
      </c>
      <c r="D1141" s="1619" t="s">
        <v>1185</v>
      </c>
      <c r="E1141" s="1643"/>
      <c r="F1141" s="1621">
        <f t="shared" si="345"/>
        <v>0</v>
      </c>
      <c r="G1141" s="1401" t="s">
        <v>12</v>
      </c>
      <c r="H1141" s="1610">
        <v>0</v>
      </c>
      <c r="I1141" s="1401" t="s">
        <v>287</v>
      </c>
      <c r="J1141" s="4002" t="str">
        <f t="shared" si="339"/>
        <v>N</v>
      </c>
      <c r="K1141" s="1412"/>
      <c r="L1141" s="1413">
        <f t="shared" si="346"/>
        <v>8</v>
      </c>
      <c r="M1141" s="1004"/>
    </row>
    <row r="1142" spans="1:13" ht="16.899999999999999" hidden="1" customHeight="1" outlineLevel="1">
      <c r="A1142" s="1619"/>
      <c r="B1142" s="1807" t="s">
        <v>1203</v>
      </c>
      <c r="C1142" s="1591" t="str">
        <f t="shared" si="344"/>
        <v>N</v>
      </c>
      <c r="D1142" s="1619" t="s">
        <v>1185</v>
      </c>
      <c r="E1142" s="1643"/>
      <c r="F1142" s="1621">
        <f t="shared" si="345"/>
        <v>0</v>
      </c>
      <c r="G1142" s="1401" t="s">
        <v>12</v>
      </c>
      <c r="H1142" s="1610">
        <v>0</v>
      </c>
      <c r="I1142" s="1401" t="s">
        <v>287</v>
      </c>
      <c r="J1142" s="4002" t="str">
        <f t="shared" si="339"/>
        <v>N</v>
      </c>
      <c r="K1142" s="1412"/>
      <c r="L1142" s="1413">
        <f t="shared" si="346"/>
        <v>9</v>
      </c>
      <c r="M1142" s="1004"/>
    </row>
    <row r="1143" spans="1:13" ht="16.899999999999999" hidden="1" customHeight="1" outlineLevel="1">
      <c r="A1143" s="1619"/>
      <c r="B1143" s="1807" t="s">
        <v>1203</v>
      </c>
      <c r="C1143" s="1591" t="str">
        <f t="shared" si="344"/>
        <v>N</v>
      </c>
      <c r="D1143" s="1619" t="s">
        <v>1185</v>
      </c>
      <c r="E1143" s="1643"/>
      <c r="F1143" s="1621">
        <f t="shared" si="345"/>
        <v>0</v>
      </c>
      <c r="G1143" s="1401" t="s">
        <v>12</v>
      </c>
      <c r="H1143" s="1610">
        <v>0</v>
      </c>
      <c r="I1143" s="1401" t="s">
        <v>287</v>
      </c>
      <c r="J1143" s="4002" t="str">
        <f t="shared" si="339"/>
        <v>N</v>
      </c>
      <c r="K1143" s="1412"/>
      <c r="L1143" s="1413">
        <f t="shared" si="346"/>
        <v>10</v>
      </c>
      <c r="M1143" s="1004"/>
    </row>
    <row r="1144" spans="1:13" ht="16.899999999999999" customHeight="1" collapsed="1">
      <c r="A1144" s="1619"/>
      <c r="B1144" s="1807" t="s">
        <v>1205</v>
      </c>
      <c r="C1144" s="1591" t="str">
        <f ca="1">IFERROR(VLOOKUP(1,'Data coating'!R:Z,8,0),"N")</f>
        <v>Box</v>
      </c>
      <c r="D1144" s="1619" t="s">
        <v>1206</v>
      </c>
      <c r="E1144" s="1643"/>
      <c r="F1144" s="1643"/>
      <c r="G1144" s="1401"/>
      <c r="H1144" s="1610">
        <v>0</v>
      </c>
      <c r="I1144" s="1401" t="s">
        <v>287</v>
      </c>
      <c r="J1144" s="4002" t="str">
        <f t="shared" ca="1" si="339"/>
        <v>Box</v>
      </c>
      <c r="K1144" s="924" t="str">
        <f>$E$27</f>
        <v>OPV-CX0186 Water base</v>
      </c>
      <c r="L1144" s="1001"/>
      <c r="M1144" s="1004"/>
    </row>
    <row r="1145" spans="1:13" ht="16.899999999999999" hidden="1" customHeight="1" outlineLevel="1">
      <c r="A1145" s="1619"/>
      <c r="B1145" s="1807" t="s">
        <v>1205</v>
      </c>
      <c r="C1145" s="1591" t="str">
        <f ca="1">IFERROR(VLOOKUP(2,'Data coating'!R:Z,8,0),"N")</f>
        <v>N</v>
      </c>
      <c r="D1145" s="1619" t="s">
        <v>1206</v>
      </c>
      <c r="E1145" s="1643"/>
      <c r="F1145" s="1643"/>
      <c r="G1145" s="1401"/>
      <c r="H1145" s="1610">
        <v>0</v>
      </c>
      <c r="I1145" s="1401" t="s">
        <v>287</v>
      </c>
      <c r="J1145" s="4002" t="str">
        <f t="shared" ca="1" si="339"/>
        <v>N</v>
      </c>
      <c r="K1145" s="924"/>
      <c r="L1145" s="1001"/>
      <c r="M1145" s="1004"/>
    </row>
    <row r="1146" spans="1:13" ht="16.899999999999999" hidden="1" customHeight="1" outlineLevel="1">
      <c r="A1146" s="1619"/>
      <c r="B1146" s="1807" t="s">
        <v>1205</v>
      </c>
      <c r="C1146" s="1591" t="str">
        <f ca="1">IFERROR(VLOOKUP(3,'Data coating'!R:Z,8,0),"N")</f>
        <v>N</v>
      </c>
      <c r="D1146" s="1619" t="s">
        <v>1206</v>
      </c>
      <c r="E1146" s="1643"/>
      <c r="F1146" s="1643"/>
      <c r="G1146" s="1401"/>
      <c r="H1146" s="1610">
        <v>0</v>
      </c>
      <c r="I1146" s="1401" t="s">
        <v>287</v>
      </c>
      <c r="J1146" s="4002" t="str">
        <f t="shared" ca="1" si="339"/>
        <v>N</v>
      </c>
      <c r="K1146" s="924"/>
      <c r="L1146" s="1001" t="s">
        <v>3628</v>
      </c>
      <c r="M1146" s="1004"/>
    </row>
    <row r="1147" spans="1:13" ht="16.899999999999999" hidden="1" customHeight="1" outlineLevel="1">
      <c r="A1147" s="1619"/>
      <c r="B1147" s="1807" t="s">
        <v>1205</v>
      </c>
      <c r="C1147" s="1591" t="str">
        <f ca="1">IFERROR(VLOOKUP(4,'Data coating'!R:Z,8,0),"N")</f>
        <v>N</v>
      </c>
      <c r="D1147" s="1619" t="s">
        <v>1206</v>
      </c>
      <c r="E1147" s="1643"/>
      <c r="F1147" s="1643"/>
      <c r="G1147" s="1401"/>
      <c r="H1147" s="1610">
        <v>0</v>
      </c>
      <c r="I1147" s="1401" t="s">
        <v>287</v>
      </c>
      <c r="J1147" s="4002" t="str">
        <f t="shared" ca="1" si="339"/>
        <v>N</v>
      </c>
      <c r="K1147" s="924"/>
      <c r="L1147" s="1001"/>
      <c r="M1147" s="1004"/>
    </row>
    <row r="1148" spans="1:13" ht="16.899999999999999" hidden="1" customHeight="1" outlineLevel="1">
      <c r="A1148" s="1619"/>
      <c r="B1148" s="1807" t="s">
        <v>1205</v>
      </c>
      <c r="C1148" s="1591" t="str">
        <f ca="1">IFERROR(VLOOKUP(5,'Data coating'!R:Z,8,0),"N")</f>
        <v>N</v>
      </c>
      <c r="D1148" s="1619" t="s">
        <v>1206</v>
      </c>
      <c r="E1148" s="1643"/>
      <c r="F1148" s="1643"/>
      <c r="G1148" s="1401"/>
      <c r="H1148" s="1610">
        <v>0</v>
      </c>
      <c r="I1148" s="1401" t="s">
        <v>287</v>
      </c>
      <c r="J1148" s="4002" t="str">
        <f t="shared" ca="1" si="339"/>
        <v>N</v>
      </c>
      <c r="K1148" s="924"/>
      <c r="L1148" s="1001"/>
      <c r="M1148" s="1004"/>
    </row>
    <row r="1149" spans="1:13" ht="16.899999999999999" hidden="1" customHeight="1" outlineLevel="1">
      <c r="A1149" s="1619"/>
      <c r="B1149" s="1807" t="s">
        <v>1205</v>
      </c>
      <c r="C1149" s="1591" t="str">
        <f ca="1">IFERROR(VLOOKUP(6,'Data coating'!R:Z,8,0),"N")</f>
        <v>N</v>
      </c>
      <c r="D1149" s="1619" t="s">
        <v>1206</v>
      </c>
      <c r="E1149" s="1643"/>
      <c r="F1149" s="1643"/>
      <c r="G1149" s="1401"/>
      <c r="H1149" s="1610">
        <v>0</v>
      </c>
      <c r="I1149" s="1401" t="s">
        <v>287</v>
      </c>
      <c r="J1149" s="4002" t="str">
        <f t="shared" ca="1" si="339"/>
        <v>N</v>
      </c>
      <c r="K1149" s="924"/>
      <c r="L1149" s="1001"/>
      <c r="M1149" s="1004"/>
    </row>
    <row r="1150" spans="1:13" ht="16.899999999999999" hidden="1" customHeight="1" outlineLevel="1">
      <c r="A1150" s="1619"/>
      <c r="B1150" s="1807" t="s">
        <v>1205</v>
      </c>
      <c r="C1150" s="1591" t="str">
        <f ca="1">IFERROR(VLOOKUP(7,'Data coating'!R:Z,8,0),"N")</f>
        <v>N</v>
      </c>
      <c r="D1150" s="1619" t="s">
        <v>1206</v>
      </c>
      <c r="E1150" s="1643"/>
      <c r="F1150" s="1643"/>
      <c r="G1150" s="1401"/>
      <c r="H1150" s="1610">
        <v>0</v>
      </c>
      <c r="I1150" s="1401" t="s">
        <v>287</v>
      </c>
      <c r="J1150" s="4002" t="str">
        <f t="shared" ca="1" si="339"/>
        <v>N</v>
      </c>
      <c r="K1150" s="924"/>
      <c r="L1150" s="1001"/>
      <c r="M1150" s="1004"/>
    </row>
    <row r="1151" spans="1:13" ht="16.899999999999999" hidden="1" customHeight="1" outlineLevel="1">
      <c r="A1151" s="1619"/>
      <c r="B1151" s="1807" t="s">
        <v>1205</v>
      </c>
      <c r="C1151" s="1591" t="str">
        <f ca="1">IFERROR(VLOOKUP(8,'Data coating'!R:Z,8,0),"N")</f>
        <v>N</v>
      </c>
      <c r="D1151" s="1619" t="s">
        <v>1206</v>
      </c>
      <c r="E1151" s="1643"/>
      <c r="F1151" s="1643"/>
      <c r="G1151" s="1401"/>
      <c r="H1151" s="1610">
        <v>0</v>
      </c>
      <c r="I1151" s="1401" t="s">
        <v>287</v>
      </c>
      <c r="J1151" s="4002" t="str">
        <f t="shared" ca="1" si="339"/>
        <v>N</v>
      </c>
      <c r="K1151" s="924"/>
      <c r="L1151" s="1001"/>
      <c r="M1151" s="1004"/>
    </row>
    <row r="1152" spans="1:13" ht="16.899999999999999" hidden="1" customHeight="1" outlineLevel="1">
      <c r="A1152" s="1619"/>
      <c r="B1152" s="1807" t="s">
        <v>1205</v>
      </c>
      <c r="C1152" s="1591" t="str">
        <f ca="1">IFERROR(VLOOKUP(9,'Data coating'!R:Z,8,0),"N")</f>
        <v>N</v>
      </c>
      <c r="D1152" s="1619" t="s">
        <v>1206</v>
      </c>
      <c r="E1152" s="1643"/>
      <c r="F1152" s="1643"/>
      <c r="G1152" s="1401"/>
      <c r="H1152" s="1610">
        <v>0</v>
      </c>
      <c r="I1152" s="1401" t="s">
        <v>287</v>
      </c>
      <c r="J1152" s="4002" t="str">
        <f t="shared" ca="1" si="339"/>
        <v>N</v>
      </c>
      <c r="K1152" s="924"/>
      <c r="L1152" s="1001"/>
      <c r="M1152" s="1004"/>
    </row>
    <row r="1153" spans="1:14" ht="16.899999999999999" hidden="1" customHeight="1" outlineLevel="1">
      <c r="A1153" s="1619"/>
      <c r="B1153" s="1807" t="s">
        <v>1205</v>
      </c>
      <c r="C1153" s="1591" t="str">
        <f ca="1">IFERROR(VLOOKUP(10,'Data coating'!R:Z,8,0),"N")</f>
        <v>N</v>
      </c>
      <c r="D1153" s="1619" t="s">
        <v>1206</v>
      </c>
      <c r="E1153" s="1643"/>
      <c r="F1153" s="1643"/>
      <c r="G1153" s="1401"/>
      <c r="H1153" s="1610">
        <v>0</v>
      </c>
      <c r="I1153" s="1401" t="s">
        <v>287</v>
      </c>
      <c r="J1153" s="4002" t="str">
        <f t="shared" ca="1" si="339"/>
        <v>N</v>
      </c>
      <c r="K1153" s="924"/>
      <c r="L1153" s="1001"/>
      <c r="M1153" s="1004"/>
    </row>
    <row r="1154" spans="1:14" ht="16.899999999999999" hidden="1" customHeight="1" outlineLevel="1">
      <c r="A1154" s="1619"/>
      <c r="B1154" s="1807" t="s">
        <v>1207</v>
      </c>
      <c r="C1154" s="1591" t="str">
        <f ca="1">IFERROR(VLOOKUP(1,'Data coating'!R:Z,9,0),"N")</f>
        <v>N</v>
      </c>
      <c r="D1154" s="1619" t="s">
        <v>1175</v>
      </c>
      <c r="E1154" s="1643"/>
      <c r="F1154" s="1643"/>
      <c r="G1154" s="1401"/>
      <c r="H1154" s="1610">
        <v>0</v>
      </c>
      <c r="I1154" s="1401" t="s">
        <v>287</v>
      </c>
      <c r="J1154" s="4002" t="str">
        <f t="shared" ca="1" si="339"/>
        <v>N</v>
      </c>
      <c r="K1154" s="924"/>
      <c r="L1154" s="1001"/>
      <c r="M1154" s="1004"/>
    </row>
    <row r="1155" spans="1:14" ht="16.899999999999999" hidden="1" customHeight="1" outlineLevel="1">
      <c r="A1155" s="1619"/>
      <c r="B1155" s="1807" t="s">
        <v>1207</v>
      </c>
      <c r="C1155" s="1591" t="str">
        <f ca="1">IFERROR(VLOOKUP(2,'Data coating'!R:Z,9,0),"N")</f>
        <v>N</v>
      </c>
      <c r="D1155" s="1619" t="s">
        <v>1175</v>
      </c>
      <c r="E1155" s="1643"/>
      <c r="F1155" s="1643"/>
      <c r="G1155" s="1401"/>
      <c r="H1155" s="1610">
        <v>0</v>
      </c>
      <c r="I1155" s="1401" t="s">
        <v>287</v>
      </c>
      <c r="J1155" s="4002" t="str">
        <f t="shared" ca="1" si="339"/>
        <v>N</v>
      </c>
      <c r="K1155" s="924"/>
      <c r="L1155" s="1001" t="s">
        <v>3629</v>
      </c>
      <c r="M1155" s="1004"/>
    </row>
    <row r="1156" spans="1:14" ht="16.899999999999999" hidden="1" customHeight="1" outlineLevel="1">
      <c r="A1156" s="1619"/>
      <c r="B1156" s="1807" t="s">
        <v>1207</v>
      </c>
      <c r="C1156" s="1591" t="str">
        <f ca="1">IFERROR(VLOOKUP(3,'Data coating'!R:Z,9,0),"N")</f>
        <v>N</v>
      </c>
      <c r="D1156" s="1619" t="s">
        <v>1175</v>
      </c>
      <c r="E1156" s="1643"/>
      <c r="F1156" s="1643"/>
      <c r="G1156" s="1401"/>
      <c r="H1156" s="1610">
        <v>0</v>
      </c>
      <c r="I1156" s="1401" t="s">
        <v>287</v>
      </c>
      <c r="J1156" s="4002" t="str">
        <f t="shared" ca="1" si="339"/>
        <v>N</v>
      </c>
      <c r="K1156" s="924"/>
      <c r="L1156" s="1001"/>
      <c r="M1156" s="1004"/>
    </row>
    <row r="1157" spans="1:14" ht="16.899999999999999" hidden="1" customHeight="1" outlineLevel="1">
      <c r="A1157" s="1619"/>
      <c r="B1157" s="1807" t="s">
        <v>1207</v>
      </c>
      <c r="C1157" s="1591" t="str">
        <f ca="1">IFERROR(VLOOKUP(4,'Data coating'!R:Z,9,0),"N")</f>
        <v>N</v>
      </c>
      <c r="D1157" s="1619" t="s">
        <v>1175</v>
      </c>
      <c r="E1157" s="1643"/>
      <c r="F1157" s="1643"/>
      <c r="G1157" s="1401"/>
      <c r="H1157" s="1610">
        <v>0</v>
      </c>
      <c r="I1157" s="1401" t="s">
        <v>287</v>
      </c>
      <c r="J1157" s="4002" t="str">
        <f t="shared" ca="1" si="339"/>
        <v>N</v>
      </c>
      <c r="K1157" s="924"/>
      <c r="L1157" s="1001"/>
      <c r="M1157" s="1004"/>
    </row>
    <row r="1158" spans="1:14" ht="16.899999999999999" hidden="1" customHeight="1" outlineLevel="1">
      <c r="A1158" s="1619"/>
      <c r="B1158" s="1807" t="s">
        <v>1207</v>
      </c>
      <c r="C1158" s="1591" t="str">
        <f ca="1">IFERROR(VLOOKUP(5,'Data coating'!R:Z,9,0),"N")</f>
        <v>N</v>
      </c>
      <c r="D1158" s="1619" t="s">
        <v>1175</v>
      </c>
      <c r="E1158" s="1643"/>
      <c r="F1158" s="1643"/>
      <c r="G1158" s="1401"/>
      <c r="H1158" s="1610">
        <v>0</v>
      </c>
      <c r="I1158" s="1401" t="s">
        <v>287</v>
      </c>
      <c r="J1158" s="4002" t="str">
        <f t="shared" ca="1" si="339"/>
        <v>N</v>
      </c>
      <c r="K1158" s="924"/>
      <c r="L1158" s="1001"/>
      <c r="M1158" s="1004"/>
    </row>
    <row r="1159" spans="1:14" ht="16.5" customHeight="1" collapsed="1">
      <c r="A1159" s="333"/>
      <c r="D1159" s="925"/>
      <c r="E1159" s="993"/>
      <c r="H1159" s="994"/>
      <c r="I1159" s="320"/>
      <c r="J1159" s="419"/>
      <c r="K1159" s="1412"/>
      <c r="L1159" s="1413"/>
      <c r="M1159" s="1004" t="s">
        <v>3630</v>
      </c>
    </row>
    <row r="1160" spans="1:14" ht="16.899999999999999" customHeight="1">
      <c r="A1160" s="1619">
        <v>0</v>
      </c>
      <c r="B1160" s="1807" t="s">
        <v>1204</v>
      </c>
      <c r="C1160" s="1591" t="str">
        <f t="shared" ref="C1160:C1172" ca="1" si="347">IF(N1160&gt;0,M1160,"N")</f>
        <v>Box</v>
      </c>
      <c r="D1160" s="1619" t="s">
        <v>1161</v>
      </c>
      <c r="E1160" s="1644">
        <f ca="1">VLOOKUP($C1160,Paper!$A$7:$AB$30,13,0)</f>
        <v>1</v>
      </c>
      <c r="F1160" s="3589">
        <f t="shared" ref="F1160:F1174" ca="1" si="348">VLOOKUP(C1160,$M$1160:$N$1174,2,0)-E1160</f>
        <v>0</v>
      </c>
      <c r="G1160" s="1785" t="s">
        <v>1591</v>
      </c>
      <c r="H1160" s="995"/>
      <c r="I1160" s="995"/>
      <c r="J1160" s="4002" t="str">
        <f ca="1">C1160</f>
        <v>Box</v>
      </c>
      <c r="K1160" s="924"/>
      <c r="L1160" s="1001"/>
      <c r="M1160" s="3588" t="str">
        <f t="shared" ref="M1160:M1174" ca="1" si="349">OFFSET($A$25,A1160,0)</f>
        <v>Box</v>
      </c>
      <c r="N1160" s="3565">
        <f t="shared" ref="N1160:N1174" ca="1" si="350">SUMIFS($H$412:$H$441,$F$412:$F$441,M1160)</f>
        <v>1</v>
      </c>
    </row>
    <row r="1161" spans="1:14" ht="16.899999999999999" hidden="1" customHeight="1" outlineLevel="1">
      <c r="A1161" s="1619">
        <f>A1160+17</f>
        <v>17</v>
      </c>
      <c r="B1161" s="1807" t="s">
        <v>1204</v>
      </c>
      <c r="C1161" s="1591" t="str">
        <f t="shared" ca="1" si="347"/>
        <v>N</v>
      </c>
      <c r="D1161" s="1619" t="s">
        <v>1161</v>
      </c>
      <c r="E1161" s="1644">
        <f ca="1">VLOOKUP($C1161,Paper!$A$7:$AB$30,13,0)</f>
        <v>0</v>
      </c>
      <c r="F1161" s="3589">
        <f t="shared" ca="1" si="348"/>
        <v>0</v>
      </c>
      <c r="G1161" s="319"/>
      <c r="H1161" s="995"/>
      <c r="I1161" s="995"/>
      <c r="J1161" s="4002" t="str">
        <f t="shared" ref="J1161:J1174" ca="1" si="351">C1161</f>
        <v>N</v>
      </c>
      <c r="K1161" s="924"/>
      <c r="L1161" s="1001"/>
      <c r="M1161" s="3588" t="str">
        <f t="shared" ca="1" si="349"/>
        <v>N</v>
      </c>
      <c r="N1161" s="3565">
        <f t="shared" ca="1" si="350"/>
        <v>0</v>
      </c>
    </row>
    <row r="1162" spans="1:14" ht="16.899999999999999" hidden="1" customHeight="1" outlineLevel="1">
      <c r="A1162" s="1619">
        <f t="shared" ref="A1162:A1174" si="352">A1161+17</f>
        <v>34</v>
      </c>
      <c r="B1162" s="1807" t="s">
        <v>1204</v>
      </c>
      <c r="C1162" s="1591" t="str">
        <f t="shared" ca="1" si="347"/>
        <v>N</v>
      </c>
      <c r="D1162" s="1619" t="s">
        <v>1161</v>
      </c>
      <c r="E1162" s="1644">
        <f ca="1">VLOOKUP($C1162,Paper!$A$7:$AB$30,13,0)</f>
        <v>0</v>
      </c>
      <c r="F1162" s="3589">
        <f t="shared" ca="1" si="348"/>
        <v>0</v>
      </c>
      <c r="G1162" s="995"/>
      <c r="H1162" s="995"/>
      <c r="I1162" s="995"/>
      <c r="J1162" s="4002" t="str">
        <f t="shared" ca="1" si="351"/>
        <v>N</v>
      </c>
      <c r="K1162" s="924"/>
      <c r="L1162" s="1001"/>
      <c r="M1162" s="3588" t="str">
        <f t="shared" ca="1" si="349"/>
        <v>N</v>
      </c>
      <c r="N1162" s="3565">
        <f t="shared" ca="1" si="350"/>
        <v>0</v>
      </c>
    </row>
    <row r="1163" spans="1:14" ht="16.899999999999999" hidden="1" customHeight="1" outlineLevel="1">
      <c r="A1163" s="1619">
        <f t="shared" si="352"/>
        <v>51</v>
      </c>
      <c r="B1163" s="1807" t="s">
        <v>1204</v>
      </c>
      <c r="C1163" s="1591" t="str">
        <f t="shared" ca="1" si="347"/>
        <v>N</v>
      </c>
      <c r="D1163" s="1619" t="s">
        <v>1161</v>
      </c>
      <c r="E1163" s="1644">
        <f ca="1">VLOOKUP($C1163,Paper!$A$7:$AB$30,13,0)</f>
        <v>0</v>
      </c>
      <c r="F1163" s="3589">
        <f t="shared" ca="1" si="348"/>
        <v>0</v>
      </c>
      <c r="G1163" s="995"/>
      <c r="H1163" s="995"/>
      <c r="I1163" s="995"/>
      <c r="J1163" s="4002" t="str">
        <f t="shared" ca="1" si="351"/>
        <v>N</v>
      </c>
      <c r="K1163" s="924"/>
      <c r="L1163" s="1001"/>
      <c r="M1163" s="3588" t="str">
        <f t="shared" ca="1" si="349"/>
        <v>N</v>
      </c>
      <c r="N1163" s="3565">
        <f t="shared" ca="1" si="350"/>
        <v>0</v>
      </c>
    </row>
    <row r="1164" spans="1:14" ht="16.899999999999999" hidden="1" customHeight="1" outlineLevel="1">
      <c r="A1164" s="1619">
        <f t="shared" si="352"/>
        <v>68</v>
      </c>
      <c r="B1164" s="1807" t="s">
        <v>1204</v>
      </c>
      <c r="C1164" s="1591" t="str">
        <f t="shared" ca="1" si="347"/>
        <v>N</v>
      </c>
      <c r="D1164" s="1619" t="s">
        <v>1161</v>
      </c>
      <c r="E1164" s="1644">
        <f ca="1">VLOOKUP($C1164,Paper!$A$7:$AB$30,13,0)</f>
        <v>0</v>
      </c>
      <c r="F1164" s="3589">
        <f t="shared" ca="1" si="348"/>
        <v>0</v>
      </c>
      <c r="G1164" s="995"/>
      <c r="H1164" s="995"/>
      <c r="I1164" s="995"/>
      <c r="J1164" s="4002" t="str">
        <f t="shared" ca="1" si="351"/>
        <v>N</v>
      </c>
      <c r="K1164" s="924"/>
      <c r="L1164" s="1001"/>
      <c r="M1164" s="3588" t="str">
        <f t="shared" ca="1" si="349"/>
        <v>N</v>
      </c>
      <c r="N1164" s="3565">
        <f t="shared" ca="1" si="350"/>
        <v>0</v>
      </c>
    </row>
    <row r="1165" spans="1:14" ht="16.899999999999999" hidden="1" customHeight="1" outlineLevel="1">
      <c r="A1165" s="1619">
        <f t="shared" si="352"/>
        <v>85</v>
      </c>
      <c r="B1165" s="1807" t="s">
        <v>1204</v>
      </c>
      <c r="C1165" s="1591" t="str">
        <f t="shared" ca="1" si="347"/>
        <v>N</v>
      </c>
      <c r="D1165" s="1619" t="s">
        <v>1161</v>
      </c>
      <c r="E1165" s="1644">
        <f ca="1">VLOOKUP($C1165,Paper!$A$7:$AB$30,13,0)</f>
        <v>0</v>
      </c>
      <c r="F1165" s="3589">
        <f t="shared" ca="1" si="348"/>
        <v>0</v>
      </c>
      <c r="G1165" s="995"/>
      <c r="H1165" s="995"/>
      <c r="I1165" s="995"/>
      <c r="J1165" s="4002" t="str">
        <f t="shared" ca="1" si="351"/>
        <v>N</v>
      </c>
      <c r="K1165" s="924"/>
      <c r="L1165" s="1001"/>
      <c r="M1165" s="3588" t="str">
        <f t="shared" ca="1" si="349"/>
        <v>N</v>
      </c>
      <c r="N1165" s="3565">
        <f t="shared" ca="1" si="350"/>
        <v>0</v>
      </c>
    </row>
    <row r="1166" spans="1:14" ht="16.899999999999999" hidden="1" customHeight="1" outlineLevel="1">
      <c r="A1166" s="1619">
        <f t="shared" si="352"/>
        <v>102</v>
      </c>
      <c r="B1166" s="1807" t="s">
        <v>1204</v>
      </c>
      <c r="C1166" s="1591" t="str">
        <f t="shared" ca="1" si="347"/>
        <v>N</v>
      </c>
      <c r="D1166" s="1619" t="s">
        <v>1161</v>
      </c>
      <c r="E1166" s="1644">
        <f ca="1">VLOOKUP($C1166,Paper!$A$7:$AB$30,13,0)</f>
        <v>0</v>
      </c>
      <c r="F1166" s="3589">
        <f t="shared" ca="1" si="348"/>
        <v>0</v>
      </c>
      <c r="G1166" s="995"/>
      <c r="H1166" s="995"/>
      <c r="I1166" s="995"/>
      <c r="J1166" s="4002" t="str">
        <f t="shared" ca="1" si="351"/>
        <v>N</v>
      </c>
      <c r="K1166" s="924"/>
      <c r="L1166" s="1001"/>
      <c r="M1166" s="3588" t="str">
        <f t="shared" ca="1" si="349"/>
        <v>N</v>
      </c>
      <c r="N1166" s="3565">
        <f t="shared" ca="1" si="350"/>
        <v>0</v>
      </c>
    </row>
    <row r="1167" spans="1:14" ht="16.899999999999999" hidden="1" customHeight="1" outlineLevel="1">
      <c r="A1167" s="1619">
        <f t="shared" si="352"/>
        <v>119</v>
      </c>
      <c r="B1167" s="1807" t="s">
        <v>1204</v>
      </c>
      <c r="C1167" s="1591" t="str">
        <f t="shared" ca="1" si="347"/>
        <v>N</v>
      </c>
      <c r="D1167" s="1619" t="s">
        <v>1161</v>
      </c>
      <c r="E1167" s="1644">
        <f ca="1">VLOOKUP($C1167,Paper!$A$7:$AB$30,13,0)</f>
        <v>0</v>
      </c>
      <c r="F1167" s="3589">
        <f t="shared" ca="1" si="348"/>
        <v>0</v>
      </c>
      <c r="G1167" s="995"/>
      <c r="H1167" s="995"/>
      <c r="I1167" s="995"/>
      <c r="J1167" s="4002" t="str">
        <f t="shared" ca="1" si="351"/>
        <v>N</v>
      </c>
      <c r="K1167" s="924"/>
      <c r="L1167" s="1001"/>
      <c r="M1167" s="3588" t="str">
        <f t="shared" ca="1" si="349"/>
        <v>N</v>
      </c>
      <c r="N1167" s="3565">
        <f t="shared" ca="1" si="350"/>
        <v>0</v>
      </c>
    </row>
    <row r="1168" spans="1:14" ht="16.899999999999999" hidden="1" customHeight="1" outlineLevel="1">
      <c r="A1168" s="1619">
        <f t="shared" si="352"/>
        <v>136</v>
      </c>
      <c r="B1168" s="1807" t="s">
        <v>1204</v>
      </c>
      <c r="C1168" s="1591" t="str">
        <f t="shared" ca="1" si="347"/>
        <v>N</v>
      </c>
      <c r="D1168" s="1619" t="s">
        <v>1161</v>
      </c>
      <c r="E1168" s="1644">
        <f ca="1">VLOOKUP($C1168,Paper!$A$7:$AB$30,13,0)</f>
        <v>0</v>
      </c>
      <c r="F1168" s="3589">
        <f t="shared" ca="1" si="348"/>
        <v>0</v>
      </c>
      <c r="G1168" s="995"/>
      <c r="H1168" s="995"/>
      <c r="I1168" s="995"/>
      <c r="J1168" s="4002" t="str">
        <f t="shared" ca="1" si="351"/>
        <v>N</v>
      </c>
      <c r="K1168" s="924"/>
      <c r="L1168" s="1001"/>
      <c r="M1168" s="3588" t="str">
        <f t="shared" ca="1" si="349"/>
        <v>N</v>
      </c>
      <c r="N1168" s="3565">
        <f t="shared" ca="1" si="350"/>
        <v>0</v>
      </c>
    </row>
    <row r="1169" spans="1:14" ht="16.899999999999999" hidden="1" customHeight="1" outlineLevel="1">
      <c r="A1169" s="1619">
        <f t="shared" si="352"/>
        <v>153</v>
      </c>
      <c r="B1169" s="1807" t="s">
        <v>1204</v>
      </c>
      <c r="C1169" s="1591" t="str">
        <f t="shared" ca="1" si="347"/>
        <v>N</v>
      </c>
      <c r="D1169" s="1619" t="s">
        <v>1161</v>
      </c>
      <c r="E1169" s="1644">
        <f ca="1">VLOOKUP($C1169,Paper!$A$7:$AB$30,13,0)</f>
        <v>0</v>
      </c>
      <c r="F1169" s="3589">
        <f t="shared" ca="1" si="348"/>
        <v>0</v>
      </c>
      <c r="G1169" s="995"/>
      <c r="H1169" s="995"/>
      <c r="I1169" s="995"/>
      <c r="J1169" s="4002" t="str">
        <f t="shared" ca="1" si="351"/>
        <v>N</v>
      </c>
      <c r="K1169" s="924"/>
      <c r="L1169" s="1001"/>
      <c r="M1169" s="3588" t="str">
        <f t="shared" ca="1" si="349"/>
        <v>N</v>
      </c>
      <c r="N1169" s="3565">
        <f t="shared" ca="1" si="350"/>
        <v>0</v>
      </c>
    </row>
    <row r="1170" spans="1:14" ht="16.899999999999999" hidden="1" customHeight="1" outlineLevel="1">
      <c r="A1170" s="1619">
        <f t="shared" si="352"/>
        <v>170</v>
      </c>
      <c r="B1170" s="1807" t="s">
        <v>1204</v>
      </c>
      <c r="C1170" s="1591" t="str">
        <f t="shared" ca="1" si="347"/>
        <v>N</v>
      </c>
      <c r="D1170" s="1619" t="s">
        <v>1161</v>
      </c>
      <c r="E1170" s="1644">
        <f ca="1">VLOOKUP($C1170,Paper!$A$7:$AB$30,13,0)</f>
        <v>0</v>
      </c>
      <c r="F1170" s="3589">
        <f t="shared" ca="1" si="348"/>
        <v>0</v>
      </c>
      <c r="G1170" s="995"/>
      <c r="H1170" s="995"/>
      <c r="I1170" s="995"/>
      <c r="J1170" s="4002" t="str">
        <f t="shared" ca="1" si="351"/>
        <v>N</v>
      </c>
      <c r="K1170" s="924"/>
      <c r="L1170" s="1001"/>
      <c r="M1170" s="3588" t="str">
        <f t="shared" ca="1" si="349"/>
        <v>N</v>
      </c>
      <c r="N1170" s="3565">
        <f t="shared" ca="1" si="350"/>
        <v>0</v>
      </c>
    </row>
    <row r="1171" spans="1:14" ht="16.899999999999999" hidden="1" customHeight="1" outlineLevel="1">
      <c r="A1171" s="1619">
        <f t="shared" si="352"/>
        <v>187</v>
      </c>
      <c r="B1171" s="1807" t="s">
        <v>1204</v>
      </c>
      <c r="C1171" s="1591" t="str">
        <f t="shared" ca="1" si="347"/>
        <v>N</v>
      </c>
      <c r="D1171" s="1619" t="s">
        <v>1161</v>
      </c>
      <c r="E1171" s="1644">
        <f ca="1">VLOOKUP($C1171,Paper!$A$7:$AB$30,13,0)</f>
        <v>0</v>
      </c>
      <c r="F1171" s="3589">
        <f t="shared" ca="1" si="348"/>
        <v>0</v>
      </c>
      <c r="G1171" s="995"/>
      <c r="H1171" s="995"/>
      <c r="I1171" s="995"/>
      <c r="J1171" s="4002" t="str">
        <f t="shared" ca="1" si="351"/>
        <v>N</v>
      </c>
      <c r="K1171" s="924"/>
      <c r="L1171" s="1001"/>
      <c r="M1171" s="3588" t="str">
        <f t="shared" ca="1" si="349"/>
        <v>N</v>
      </c>
      <c r="N1171" s="3565">
        <f t="shared" ca="1" si="350"/>
        <v>0</v>
      </c>
    </row>
    <row r="1172" spans="1:14" ht="16.899999999999999" hidden="1" customHeight="1" outlineLevel="1">
      <c r="A1172" s="1619">
        <f t="shared" si="352"/>
        <v>204</v>
      </c>
      <c r="B1172" s="1807" t="s">
        <v>1204</v>
      </c>
      <c r="C1172" s="1591" t="str">
        <f t="shared" ca="1" si="347"/>
        <v>N</v>
      </c>
      <c r="D1172" s="1619" t="s">
        <v>1161</v>
      </c>
      <c r="E1172" s="1644">
        <f ca="1">VLOOKUP($C1172,Paper!$A$7:$AB$30,13,0)</f>
        <v>0</v>
      </c>
      <c r="F1172" s="3589">
        <f t="shared" ca="1" si="348"/>
        <v>0</v>
      </c>
      <c r="G1172" s="995"/>
      <c r="H1172" s="995"/>
      <c r="I1172" s="995"/>
      <c r="J1172" s="4002" t="str">
        <f t="shared" ca="1" si="351"/>
        <v>N</v>
      </c>
      <c r="K1172" s="924"/>
      <c r="L1172" s="1001"/>
      <c r="M1172" s="3588" t="str">
        <f t="shared" ca="1" si="349"/>
        <v>N</v>
      </c>
      <c r="N1172" s="3565">
        <f t="shared" ca="1" si="350"/>
        <v>0</v>
      </c>
    </row>
    <row r="1173" spans="1:14" ht="16.899999999999999" hidden="1" customHeight="1" outlineLevel="1">
      <c r="A1173" s="1619">
        <f t="shared" si="352"/>
        <v>221</v>
      </c>
      <c r="B1173" s="1807" t="s">
        <v>1204</v>
      </c>
      <c r="C1173" s="1591" t="s">
        <v>106</v>
      </c>
      <c r="D1173" s="1619" t="s">
        <v>1161</v>
      </c>
      <c r="E1173" s="1644">
        <f>VLOOKUP($C1173,Paper!$A$7:$AB$30,13,0)</f>
        <v>0</v>
      </c>
      <c r="F1173" s="3589">
        <f t="shared" ca="1" si="348"/>
        <v>0</v>
      </c>
      <c r="G1173" s="995"/>
      <c r="H1173" s="995"/>
      <c r="I1173" s="995"/>
      <c r="J1173" s="4002" t="str">
        <f t="shared" si="351"/>
        <v>N</v>
      </c>
      <c r="K1173" s="924"/>
      <c r="L1173" s="1001"/>
      <c r="M1173" s="3588" t="str">
        <f t="shared" ca="1" si="349"/>
        <v>1st</v>
      </c>
      <c r="N1173" s="3565">
        <f t="shared" ca="1" si="350"/>
        <v>0</v>
      </c>
    </row>
    <row r="1174" spans="1:14" ht="16.899999999999999" hidden="1" customHeight="1" outlineLevel="1">
      <c r="A1174" s="1619">
        <f t="shared" si="352"/>
        <v>238</v>
      </c>
      <c r="B1174" s="1807" t="s">
        <v>1204</v>
      </c>
      <c r="C1174" s="1591" t="s">
        <v>106</v>
      </c>
      <c r="D1174" s="1619" t="s">
        <v>1161</v>
      </c>
      <c r="E1174" s="1644">
        <f>VLOOKUP($C1174,Paper!$A$7:$AB$30,13,0)</f>
        <v>0</v>
      </c>
      <c r="F1174" s="3589">
        <f t="shared" ca="1" si="348"/>
        <v>0</v>
      </c>
      <c r="G1174" s="995"/>
      <c r="H1174" s="995"/>
      <c r="I1174" s="995"/>
      <c r="J1174" s="4002" t="str">
        <f t="shared" si="351"/>
        <v>N</v>
      </c>
      <c r="K1174" s="924"/>
      <c r="L1174" s="1001"/>
      <c r="M1174" s="3588" t="str">
        <f t="shared" ca="1" si="349"/>
        <v>1st</v>
      </c>
      <c r="N1174" s="3565">
        <f t="shared" ca="1" si="350"/>
        <v>0</v>
      </c>
    </row>
    <row r="1175" spans="1:14" ht="16.899999999999999" customHeight="1" collapsed="1">
      <c r="B1175" s="319"/>
      <c r="H1175" s="995"/>
      <c r="I1175" s="995"/>
      <c r="L1175" s="1645"/>
    </row>
    <row r="1176" spans="1:14" ht="16.899999999999999" customHeight="1">
      <c r="H1176" s="995"/>
      <c r="I1176" s="995"/>
    </row>
    <row r="1177" spans="1:14" ht="16.899999999999999" customHeight="1">
      <c r="A1177" s="1604" t="s">
        <v>1492</v>
      </c>
      <c r="B1177" s="1605"/>
      <c r="D1177" s="319" t="s">
        <v>1668</v>
      </c>
      <c r="E1177" s="319" t="s">
        <v>1717</v>
      </c>
      <c r="F1177" s="319"/>
      <c r="G1177" s="319"/>
    </row>
    <row r="1178" spans="1:14" ht="16.899999999999999" customHeight="1">
      <c r="A1178" s="319" t="s">
        <v>1511</v>
      </c>
      <c r="B1178" s="763"/>
      <c r="C1178" s="763"/>
      <c r="D1178" s="763"/>
      <c r="E1178" s="763"/>
    </row>
    <row r="1179" spans="1:14" ht="16.899999999999999" customHeight="1">
      <c r="A1179" s="1786" t="s">
        <v>162</v>
      </c>
      <c r="B1179" s="1787" t="s">
        <v>103</v>
      </c>
      <c r="C1179" s="1788" t="s">
        <v>1480</v>
      </c>
      <c r="D1179" s="1789" t="s">
        <v>1579</v>
      </c>
      <c r="E1179" s="1790" t="s">
        <v>226</v>
      </c>
      <c r="G1179" s="319" t="s">
        <v>1538</v>
      </c>
      <c r="K1179" s="136"/>
    </row>
    <row r="1180" spans="1:14" ht="16.899999999999999" customHeight="1">
      <c r="A1180" s="1786" t="s">
        <v>107</v>
      </c>
      <c r="B1180" s="1791" t="s">
        <v>106</v>
      </c>
      <c r="C1180" s="1792">
        <f ca="1">(D1186*2)+(2*(MAX(B1186:C1186)))+110</f>
        <v>1902</v>
      </c>
      <c r="D1180" s="1793">
        <f>(1*(MIN(B1186:C1186)))+166</f>
        <v>529</v>
      </c>
      <c r="G1180" s="136" t="s">
        <v>746</v>
      </c>
      <c r="K1180" s="136"/>
    </row>
    <row r="1181" spans="1:14" ht="16.899999999999999" customHeight="1">
      <c r="A1181" s="1786" t="s">
        <v>155</v>
      </c>
      <c r="B1181" s="1787" t="s">
        <v>106</v>
      </c>
      <c r="D1181" s="375"/>
      <c r="E1181" s="375"/>
      <c r="G1181" s="2864" t="str">
        <f>$A$25</f>
        <v>Box</v>
      </c>
      <c r="H1181" s="2864" t="str">
        <f>+A358</f>
        <v>E-flute 115/105</v>
      </c>
      <c r="I1181" s="2864" t="str">
        <f>$A$59</f>
        <v>N</v>
      </c>
      <c r="J1181" s="2864" t="str">
        <f>$A$76</f>
        <v>N</v>
      </c>
      <c r="K1181" s="2864" t="str">
        <f>$A$93</f>
        <v>N</v>
      </c>
      <c r="M1181" s="1646" t="s">
        <v>132</v>
      </c>
      <c r="N1181" s="1647">
        <f ca="1">((B1185+C1185)*2+40)*(MIN(B1185:C1185)+D1185+IF(C1179="Yuen Foong Yu",30,20))/10^6</f>
        <v>1.2803580000000001</v>
      </c>
    </row>
    <row r="1182" spans="1:14" ht="16.899999999999999" customHeight="1">
      <c r="B1182" s="3995" t="s">
        <v>18</v>
      </c>
      <c r="C1182" s="3995" t="s">
        <v>19</v>
      </c>
      <c r="D1182" s="3995" t="s">
        <v>14</v>
      </c>
      <c r="E1182" s="326"/>
      <c r="G1182" s="2864" t="str">
        <f>$A$312</f>
        <v>N</v>
      </c>
      <c r="H1182" s="2864" t="str">
        <f>$A$315</f>
        <v>N</v>
      </c>
      <c r="I1182" s="2864" t="str">
        <f>$A$318</f>
        <v>N</v>
      </c>
      <c r="J1182" s="2864" t="str">
        <f>$A$321</f>
        <v>N</v>
      </c>
      <c r="K1182" s="2864" t="str">
        <f>$A$324</f>
        <v>N</v>
      </c>
      <c r="M1182" s="1646" t="s">
        <v>133</v>
      </c>
      <c r="N1182" s="1648">
        <f ca="1">(0.175+0.15*1.45+0.175)*N1181*IF(D1179="Single Wall",1,0)</f>
        <v>0</v>
      </c>
    </row>
    <row r="1183" spans="1:14" ht="21.75" customHeight="1">
      <c r="A1183" s="1649" t="s">
        <v>183</v>
      </c>
      <c r="B1183" s="1650">
        <f>+G11</f>
        <v>341</v>
      </c>
      <c r="C1183" s="1650">
        <f>Paper!AI53*4</f>
        <v>6.4</v>
      </c>
      <c r="D1183" s="3994">
        <f ca="1">+D11+E11</f>
        <v>185</v>
      </c>
      <c r="E1183" s="1651" t="s">
        <v>10</v>
      </c>
      <c r="G1183" s="1652"/>
      <c r="H1183" s="1653"/>
      <c r="I1183" s="1654" t="s">
        <v>260</v>
      </c>
      <c r="J1183" s="1655" t="s">
        <v>535</v>
      </c>
      <c r="K1183" s="1401"/>
      <c r="M1183" s="1646" t="s">
        <v>134</v>
      </c>
      <c r="N1183" s="1648">
        <f ca="1">(IF(E1179="TT Kinh Do",0.16+0.115*1.36,0.15+0.125*1.36)+0.1+0.15*1.45+0.15)*N1181*IF(D1179="Double Wall",1,0)</f>
        <v>1.0082819250000001</v>
      </c>
    </row>
    <row r="1184" spans="1:14" ht="21.75" customHeight="1">
      <c r="A1184" s="1649" t="s">
        <v>1479</v>
      </c>
      <c r="B1184" s="1656">
        <v>1</v>
      </c>
      <c r="C1184" s="1656">
        <v>75</v>
      </c>
      <c r="D1184" s="1656">
        <v>2</v>
      </c>
      <c r="E1184" s="1651" t="s">
        <v>11</v>
      </c>
      <c r="G1184" s="1657" t="s">
        <v>1501</v>
      </c>
      <c r="H1184" s="1658">
        <v>1</v>
      </c>
      <c r="I1184" s="1659" t="s">
        <v>34</v>
      </c>
      <c r="J1184" s="1660"/>
      <c r="K1184" s="1661"/>
      <c r="L1184" s="1662"/>
      <c r="M1184" s="1646" t="s">
        <v>364</v>
      </c>
      <c r="N1184" s="1663" t="s">
        <v>363</v>
      </c>
    </row>
    <row r="1185" spans="1:15" ht="21.75" customHeight="1">
      <c r="A1185" s="1649" t="s">
        <v>672</v>
      </c>
      <c r="B1185" s="1651">
        <f>(B1183*B1184+8)</f>
        <v>349</v>
      </c>
      <c r="C1185" s="1651">
        <f>(C1183*C1184+8)</f>
        <v>488</v>
      </c>
      <c r="D1185" s="1651">
        <f ca="1">(D1183*D1184+8)</f>
        <v>378</v>
      </c>
      <c r="E1185" s="1651" t="s">
        <v>10</v>
      </c>
      <c r="G1185" s="1664" t="s">
        <v>108</v>
      </c>
      <c r="H1185" s="1665">
        <f>B1184*C1184*D1184*H1184</f>
        <v>150</v>
      </c>
      <c r="I1185" s="1666">
        <f ca="1">IF(H1186=0,0,(H1185*SUMPRODUCT(SUMIF(weight!$A$6:$A$39,input!$G$1181:$K$1182,weight!$G$6:$G$39)/Paper!$E$1))+SUM(N1182:N1183))</f>
        <v>11.514222705</v>
      </c>
      <c r="J1185" s="1667">
        <f ca="1">IF(H1186=0,0,(B1186*C1186*D1186)/10^9)</f>
        <v>7.1797044000000004E-2</v>
      </c>
      <c r="K1185" s="1668"/>
      <c r="L1185" s="1662"/>
      <c r="M1185" s="1669" t="s">
        <v>365</v>
      </c>
      <c r="N1185" s="1670">
        <v>19</v>
      </c>
    </row>
    <row r="1186" spans="1:15" s="402" customFormat="1" ht="21.75" customHeight="1">
      <c r="A1186" s="1651" t="s">
        <v>35</v>
      </c>
      <c r="B1186" s="1671">
        <f>(B1185+IF($D1179="Single Wall",8,14))</f>
        <v>363</v>
      </c>
      <c r="C1186" s="1671">
        <f>(C1185+IF($D1179="Single Wall",8,14))</f>
        <v>502</v>
      </c>
      <c r="D1186" s="1671">
        <f ca="1">(D1185+IF($D1179="Single Wall",12,16))</f>
        <v>394</v>
      </c>
      <c r="E1186" s="1651" t="s">
        <v>10</v>
      </c>
      <c r="G1186" s="1794" t="s">
        <v>1483</v>
      </c>
      <c r="H1186" s="1795">
        <f>IF(OR(B1179="Y",B1180="Y"),ROUNDUP(Paper!$E$3/H1185,0),0)</f>
        <v>35</v>
      </c>
      <c r="I1186" s="1672"/>
      <c r="J1186" s="1672"/>
      <c r="K1186" s="1673"/>
      <c r="M1186" s="1674" t="s">
        <v>216</v>
      </c>
      <c r="N1186" s="1675">
        <v>28</v>
      </c>
    </row>
    <row r="1187" spans="1:15" ht="21.75" customHeight="1">
      <c r="A1187" s="1649" t="s">
        <v>36</v>
      </c>
      <c r="B1187" s="1650">
        <v>3</v>
      </c>
      <c r="C1187" s="1650">
        <v>3</v>
      </c>
      <c r="D1187" s="1650">
        <v>3</v>
      </c>
      <c r="E1187" s="1651"/>
      <c r="G1187" s="1676" t="s">
        <v>109</v>
      </c>
      <c r="H1187" s="1677">
        <f>(B1187*C1187*D1187)</f>
        <v>27</v>
      </c>
      <c r="I1187" s="1678">
        <f>IF(H1188=0,0,(H1187*I1185)+IF($B1181="y",$N1187,0))</f>
        <v>0</v>
      </c>
      <c r="J1187" s="1667">
        <f>IF(H1188=0,0,(B1188*C1188*D1188)/(100*100*100))</f>
        <v>0</v>
      </c>
      <c r="K1187" s="1668"/>
      <c r="M1187" s="1679">
        <f>IF($B1181="Y",MIN($B1188:$C1188) &amp; " " &amp; "x"&amp;" " &amp; MAX($B1188:$C1188)&amp;"cm",0)</f>
        <v>0</v>
      </c>
      <c r="N1187" s="1680">
        <f>IF($B1181="y",VLOOKUP(M1187,M1185:N1186,2,0),0)</f>
        <v>0</v>
      </c>
    </row>
    <row r="1188" spans="1:15" ht="21.75" customHeight="1">
      <c r="A1188" s="1796" t="s">
        <v>1482</v>
      </c>
      <c r="B1188" s="1797">
        <f>(B1186*B1187/10+IF($D1179="Single Wall",6,8))</f>
        <v>116.9</v>
      </c>
      <c r="C1188" s="1797">
        <f>(C1186*C1187/10+IF($D1179="Single Wall",6,8))</f>
        <v>158.6</v>
      </c>
      <c r="D1188" s="1797">
        <f ca="1">((D1186+5)*D1187/10+20)</f>
        <v>139.69999999999999</v>
      </c>
      <c r="E1188" s="1651" t="s">
        <v>1458</v>
      </c>
      <c r="G1188" s="1676" t="s">
        <v>110</v>
      </c>
      <c r="H1188" s="1798">
        <f>IF($B1181="N",0,ROUNDUP(H1186/H1187,0))</f>
        <v>0</v>
      </c>
      <c r="I1188" s="1638"/>
      <c r="J1188" s="1638"/>
      <c r="K1188" s="1401"/>
    </row>
    <row r="1189" spans="1:15" ht="21.75" customHeight="1">
      <c r="K1189" s="136"/>
    </row>
    <row r="1190" spans="1:15" ht="15.75" hidden="1" outlineLevel="1">
      <c r="A1190" s="319" t="s">
        <v>1512</v>
      </c>
      <c r="B1190" s="763"/>
      <c r="C1190" s="763"/>
      <c r="D1190" s="763"/>
      <c r="E1190" s="763"/>
    </row>
    <row r="1191" spans="1:15" ht="16.899999999999999" hidden="1" customHeight="1" outlineLevel="1">
      <c r="A1191" s="1786" t="s">
        <v>162</v>
      </c>
      <c r="B1191" s="1787" t="s">
        <v>106</v>
      </c>
      <c r="C1191" s="1788" t="s">
        <v>1480</v>
      </c>
      <c r="D1191" s="1789" t="s">
        <v>1481</v>
      </c>
      <c r="E1191" s="1790" t="s">
        <v>226</v>
      </c>
      <c r="G1191" s="319" t="s">
        <v>1538</v>
      </c>
      <c r="K1191" s="136"/>
    </row>
    <row r="1192" spans="1:15" ht="16.899999999999999" hidden="1" customHeight="1" outlineLevel="1">
      <c r="A1192" s="1786" t="s">
        <v>107</v>
      </c>
      <c r="B1192" s="1791" t="s">
        <v>106</v>
      </c>
      <c r="C1192" s="1792">
        <f>(D1198*2)+(2*(MAX(B1198:C1198)))+110</f>
        <v>182</v>
      </c>
      <c r="D1192" s="1793">
        <f>(1*(MIN(B1198:C1198)))+166</f>
        <v>182</v>
      </c>
      <c r="G1192" s="136" t="s">
        <v>746</v>
      </c>
      <c r="K1192" s="136"/>
    </row>
    <row r="1193" spans="1:15" ht="19.5" hidden="1" customHeight="1" outlineLevel="1">
      <c r="A1193" s="1786" t="s">
        <v>155</v>
      </c>
      <c r="B1193" s="1787" t="s">
        <v>106</v>
      </c>
      <c r="D1193" s="375"/>
      <c r="E1193" s="375"/>
      <c r="G1193" s="2864" t="str">
        <f>$A$25</f>
        <v>Box</v>
      </c>
      <c r="H1193" s="2864" t="str">
        <f>$A$42</f>
        <v>N</v>
      </c>
      <c r="I1193" s="2864" t="str">
        <f>$A$59</f>
        <v>N</v>
      </c>
      <c r="J1193" s="2864" t="str">
        <f>$A$76</f>
        <v>N</v>
      </c>
      <c r="K1193" s="2864" t="str">
        <f>$A$93</f>
        <v>N</v>
      </c>
      <c r="M1193" s="1646" t="s">
        <v>132</v>
      </c>
      <c r="N1193" s="1647">
        <f>((B1197+C1197)*2+40)*(MIN(B1197:C1197)+D1197+IF(C1191="Yuen Foong Yu",30,20))/10^6</f>
        <v>2.5920000000000001E-3</v>
      </c>
      <c r="O1193" s="1379"/>
    </row>
    <row r="1194" spans="1:15" ht="19.5" hidden="1" customHeight="1" outlineLevel="1">
      <c r="B1194" s="320" t="s">
        <v>18</v>
      </c>
      <c r="C1194" s="320" t="s">
        <v>19</v>
      </c>
      <c r="D1194" s="320" t="s">
        <v>14</v>
      </c>
      <c r="E1194" s="326"/>
      <c r="G1194" s="2864" t="str">
        <f>$A$312</f>
        <v>N</v>
      </c>
      <c r="H1194" s="2864" t="str">
        <f>$A$315</f>
        <v>N</v>
      </c>
      <c r="I1194" s="2864" t="str">
        <f>$A$318</f>
        <v>N</v>
      </c>
      <c r="J1194" s="2864" t="str">
        <f>$A$321</f>
        <v>N</v>
      </c>
      <c r="K1194" s="2864" t="str">
        <f>$A$324</f>
        <v>N</v>
      </c>
      <c r="M1194" s="1646" t="s">
        <v>133</v>
      </c>
      <c r="N1194" s="1648">
        <f>(0.175+0.15*1.45+0.175)*N1193*IF(D1191="Single Wall",1,0)</f>
        <v>1.4709599999999999E-3</v>
      </c>
    </row>
    <row r="1195" spans="1:15" ht="19.5" hidden="1" customHeight="1" outlineLevel="1">
      <c r="A1195" s="1649" t="s">
        <v>183</v>
      </c>
      <c r="B1195" s="1650"/>
      <c r="C1195" s="1650"/>
      <c r="D1195" s="1650"/>
      <c r="E1195" s="1651" t="s">
        <v>10</v>
      </c>
      <c r="G1195" s="1652"/>
      <c r="H1195" s="1653"/>
      <c r="I1195" s="1654" t="s">
        <v>260</v>
      </c>
      <c r="J1195" s="1655" t="s">
        <v>535</v>
      </c>
      <c r="K1195" s="1401"/>
      <c r="M1195" s="1646" t="s">
        <v>134</v>
      </c>
      <c r="N1195" s="1648">
        <f>(IF(E1191="TT Kinh Do",0.16+0.115*1.36,0.15+0.125*1.36)+0.1+0.15*1.45+0.15)*N1193*IF(D1191="Double Wall",1,0)</f>
        <v>0</v>
      </c>
    </row>
    <row r="1196" spans="1:15" ht="19.5" hidden="1" customHeight="1" outlineLevel="1">
      <c r="A1196" s="1649" t="s">
        <v>1479</v>
      </c>
      <c r="B1196" s="1656">
        <v>1</v>
      </c>
      <c r="C1196" s="1656">
        <v>2</v>
      </c>
      <c r="D1196" s="1656">
        <v>12</v>
      </c>
      <c r="E1196" s="1651" t="s">
        <v>11</v>
      </c>
      <c r="G1196" s="1657" t="s">
        <v>1501</v>
      </c>
      <c r="H1196" s="1658">
        <v>1</v>
      </c>
      <c r="I1196" s="1659" t="s">
        <v>34</v>
      </c>
      <c r="J1196" s="1660"/>
      <c r="K1196" s="1661"/>
      <c r="L1196" s="1662"/>
      <c r="M1196" s="1646" t="s">
        <v>364</v>
      </c>
      <c r="N1196" s="1663" t="s">
        <v>363</v>
      </c>
    </row>
    <row r="1197" spans="1:15" ht="19.5" hidden="1" customHeight="1" outlineLevel="1">
      <c r="A1197" s="1649" t="s">
        <v>672</v>
      </c>
      <c r="B1197" s="1651">
        <f>(B1195*B1196+8)</f>
        <v>8</v>
      </c>
      <c r="C1197" s="1651">
        <f>(C1195*C1196+8)</f>
        <v>8</v>
      </c>
      <c r="D1197" s="1651">
        <f>(D1195*D1196+8)</f>
        <v>8</v>
      </c>
      <c r="E1197" s="1651" t="s">
        <v>10</v>
      </c>
      <c r="G1197" s="1664" t="s">
        <v>108</v>
      </c>
      <c r="H1197" s="1665">
        <f>B1196*C1196*D1196*H1196</f>
        <v>24</v>
      </c>
      <c r="I1197" s="1666">
        <f>IF(H1198=0,0,(H1197*SUMPRODUCT(SUMIF(weight!$A$6:$A$39,input!$G$1193:$K$1194,weight!$G$6:$G$39)/Paper!$E$1))+SUM(N1194:N1195))</f>
        <v>0</v>
      </c>
      <c r="J1197" s="1667">
        <f>IF(H1198=0,0,(B1198*C1198*D1198)/10^9)</f>
        <v>0</v>
      </c>
      <c r="K1197" s="1668"/>
      <c r="L1197" s="1662"/>
      <c r="M1197" s="1669" t="s">
        <v>365</v>
      </c>
      <c r="N1197" s="1670">
        <v>19</v>
      </c>
    </row>
    <row r="1198" spans="1:15" ht="19.5" hidden="1" customHeight="1" outlineLevel="1">
      <c r="A1198" s="1651" t="s">
        <v>35</v>
      </c>
      <c r="B1198" s="1671">
        <f>(B1197+IF($D1191="Single Wall",8,14))</f>
        <v>16</v>
      </c>
      <c r="C1198" s="1671">
        <f>(C1197+IF($D1191="Single Wall",8,14))</f>
        <v>16</v>
      </c>
      <c r="D1198" s="1671">
        <f>(D1197+IF($D1191="Single Wall",12,16))</f>
        <v>20</v>
      </c>
      <c r="E1198" s="1651" t="s">
        <v>10</v>
      </c>
      <c r="F1198" s="402"/>
      <c r="G1198" s="1794" t="s">
        <v>1483</v>
      </c>
      <c r="H1198" s="1795">
        <f>IF(OR(B1191="Y",B1192="Y"),ROUNDUP(Paper!$E$3/H1197,0),0)</f>
        <v>0</v>
      </c>
      <c r="I1198" s="1672"/>
      <c r="J1198" s="1672"/>
      <c r="K1198" s="1673"/>
      <c r="L1198" s="402"/>
      <c r="M1198" s="1674" t="s">
        <v>216</v>
      </c>
      <c r="N1198" s="1675">
        <v>28</v>
      </c>
    </row>
    <row r="1199" spans="1:15" ht="19.5" hidden="1" customHeight="1" outlineLevel="1">
      <c r="A1199" s="1649" t="s">
        <v>36</v>
      </c>
      <c r="B1199" s="1650">
        <v>3</v>
      </c>
      <c r="C1199" s="1650">
        <v>3</v>
      </c>
      <c r="D1199" s="1650">
        <v>3</v>
      </c>
      <c r="E1199" s="1651"/>
      <c r="G1199" s="1676" t="s">
        <v>109</v>
      </c>
      <c r="H1199" s="1677">
        <f>(B1199*C1199*D1199)</f>
        <v>27</v>
      </c>
      <c r="I1199" s="1678">
        <f>IF(H1200=0,0,(H1199*I1197)+IF($B1193="y",$N1199,0))</f>
        <v>0</v>
      </c>
      <c r="J1199" s="1667">
        <f>IF(H1200=0,0,(B1200*C1200*D1200)/(100*100*100))</f>
        <v>0</v>
      </c>
      <c r="K1199" s="1668"/>
      <c r="M1199" s="1679">
        <f>IF($B1193="Y",MIN($B1200:$C1200) &amp; " " &amp; "x"&amp;" " &amp; MAX($B1200:$C1200)&amp;"cm",0)</f>
        <v>0</v>
      </c>
      <c r="N1199" s="1680">
        <f>IF($B1193="y",VLOOKUP(M1199,M1197:N1198,2,0),0)</f>
        <v>0</v>
      </c>
    </row>
    <row r="1200" spans="1:15" ht="19.5" hidden="1" customHeight="1" outlineLevel="1">
      <c r="A1200" s="1796" t="s">
        <v>1482</v>
      </c>
      <c r="B1200" s="1797">
        <f>(B1198*B1199/10+IF($D1191="Single Wall",6,8))</f>
        <v>10.8</v>
      </c>
      <c r="C1200" s="1797">
        <f>(C1198*C1199/10+IF($D1191="Single Wall",6,8))</f>
        <v>10.8</v>
      </c>
      <c r="D1200" s="1797">
        <f>((D1198+5)*D1199/10+20)</f>
        <v>27.5</v>
      </c>
      <c r="E1200" s="1651" t="s">
        <v>1458</v>
      </c>
      <c r="G1200" s="1676" t="s">
        <v>110</v>
      </c>
      <c r="H1200" s="1798">
        <f>IF($B1193="N",0,ROUNDUP(H1198/H1199,0))</f>
        <v>0</v>
      </c>
      <c r="I1200" s="1638"/>
      <c r="J1200" s="1638"/>
      <c r="K1200" s="1401"/>
    </row>
    <row r="1201" spans="1:14" ht="19.5" hidden="1" customHeight="1" outlineLevel="1"/>
    <row r="1202" spans="1:14" ht="19.5" hidden="1" customHeight="1" outlineLevel="1">
      <c r="A1202" s="319" t="s">
        <v>1513</v>
      </c>
      <c r="B1202" s="763"/>
      <c r="C1202" s="763"/>
      <c r="D1202" s="763"/>
      <c r="E1202" s="763"/>
    </row>
    <row r="1203" spans="1:14" ht="19.5" hidden="1" customHeight="1" outlineLevel="1">
      <c r="A1203" s="1786" t="s">
        <v>162</v>
      </c>
      <c r="B1203" s="1787" t="s">
        <v>106</v>
      </c>
      <c r="C1203" s="1788" t="s">
        <v>1480</v>
      </c>
      <c r="D1203" s="1789" t="s">
        <v>1481</v>
      </c>
      <c r="E1203" s="1790" t="s">
        <v>1742</v>
      </c>
      <c r="G1203" s="319" t="s">
        <v>1538</v>
      </c>
      <c r="K1203" s="136"/>
    </row>
    <row r="1204" spans="1:14" ht="19.5" hidden="1" customHeight="1" outlineLevel="1">
      <c r="A1204" s="1786" t="s">
        <v>107</v>
      </c>
      <c r="B1204" s="1791" t="s">
        <v>106</v>
      </c>
      <c r="C1204" s="1792">
        <f>(D1210*2)+(2*(MAX(B1210:C1210)))+110</f>
        <v>182</v>
      </c>
      <c r="D1204" s="1793">
        <f>(1*(MIN(B1210:C1210)))+166</f>
        <v>182</v>
      </c>
      <c r="G1204" s="136" t="s">
        <v>746</v>
      </c>
      <c r="K1204" s="136"/>
    </row>
    <row r="1205" spans="1:14" ht="19.5" hidden="1" customHeight="1" outlineLevel="1">
      <c r="A1205" s="1786" t="s">
        <v>155</v>
      </c>
      <c r="B1205" s="1787" t="s">
        <v>106</v>
      </c>
      <c r="D1205" s="375"/>
      <c r="E1205" s="375"/>
      <c r="G1205" s="2864" t="str">
        <f>$A$25</f>
        <v>Box</v>
      </c>
      <c r="H1205" s="2864" t="str">
        <f>$A$42</f>
        <v>N</v>
      </c>
      <c r="I1205" s="2864" t="str">
        <f>$A$59</f>
        <v>N</v>
      </c>
      <c r="J1205" s="2864" t="str">
        <f>$A$76</f>
        <v>N</v>
      </c>
      <c r="K1205" s="2864" t="str">
        <f>$A$93</f>
        <v>N</v>
      </c>
      <c r="M1205" s="1646" t="s">
        <v>132</v>
      </c>
      <c r="N1205" s="1647">
        <f>((B1209+C1209)*2+40)*(MIN(B1209:C1209)+D1209+IF(C1203="Yuen Foong Yu",30,20))/10^6</f>
        <v>2.5920000000000001E-3</v>
      </c>
    </row>
    <row r="1206" spans="1:14" ht="19.5" hidden="1" customHeight="1" outlineLevel="1">
      <c r="B1206" s="320" t="s">
        <v>18</v>
      </c>
      <c r="C1206" s="320" t="s">
        <v>19</v>
      </c>
      <c r="D1206" s="320" t="s">
        <v>14</v>
      </c>
      <c r="E1206" s="326"/>
      <c r="G1206" s="2864" t="str">
        <f>$A$312</f>
        <v>N</v>
      </c>
      <c r="H1206" s="2864" t="str">
        <f>$A$315</f>
        <v>N</v>
      </c>
      <c r="I1206" s="2864" t="str">
        <f>$A$318</f>
        <v>N</v>
      </c>
      <c r="J1206" s="2864" t="str">
        <f>$A$321</f>
        <v>N</v>
      </c>
      <c r="K1206" s="2864" t="str">
        <f>$A$324</f>
        <v>N</v>
      </c>
      <c r="M1206" s="1646" t="s">
        <v>133</v>
      </c>
      <c r="N1206" s="1648">
        <f>(0.175+0.15*1.45+0.175)*N1205*IF(D1203="Single Wall",1,0)</f>
        <v>1.4709599999999999E-3</v>
      </c>
    </row>
    <row r="1207" spans="1:14" ht="19.5" hidden="1" customHeight="1" outlineLevel="1">
      <c r="A1207" s="1649" t="s">
        <v>183</v>
      </c>
      <c r="B1207" s="1650"/>
      <c r="C1207" s="1650"/>
      <c r="D1207" s="1650"/>
      <c r="E1207" s="1651" t="s">
        <v>10</v>
      </c>
      <c r="G1207" s="1652"/>
      <c r="H1207" s="1653"/>
      <c r="I1207" s="1654" t="s">
        <v>260</v>
      </c>
      <c r="J1207" s="1655" t="s">
        <v>535</v>
      </c>
      <c r="K1207" s="1401"/>
      <c r="M1207" s="1646" t="s">
        <v>134</v>
      </c>
      <c r="N1207" s="1648">
        <f>(IF(E1203="TT Kinh Do",0.16+0.115*1.36,0.15+0.125*1.36)+0.1+0.15*1.45+0.15)*N1205*IF(D1203="Double Wall",1,0)</f>
        <v>0</v>
      </c>
    </row>
    <row r="1208" spans="1:14" ht="19.5" hidden="1" customHeight="1" outlineLevel="1">
      <c r="A1208" s="1649" t="s">
        <v>1479</v>
      </c>
      <c r="B1208" s="1656">
        <v>1</v>
      </c>
      <c r="C1208" s="1656">
        <v>2</v>
      </c>
      <c r="D1208" s="1656">
        <v>12</v>
      </c>
      <c r="E1208" s="1651" t="s">
        <v>11</v>
      </c>
      <c r="G1208" s="1657" t="s">
        <v>1501</v>
      </c>
      <c r="H1208" s="1658">
        <v>1</v>
      </c>
      <c r="I1208" s="1659" t="s">
        <v>34</v>
      </c>
      <c r="J1208" s="1660"/>
      <c r="K1208" s="1661"/>
      <c r="L1208" s="1662"/>
      <c r="M1208" s="1646" t="s">
        <v>364</v>
      </c>
      <c r="N1208" s="1663" t="s">
        <v>363</v>
      </c>
    </row>
    <row r="1209" spans="1:14" ht="19.5" hidden="1" customHeight="1" outlineLevel="1">
      <c r="A1209" s="1649" t="s">
        <v>672</v>
      </c>
      <c r="B1209" s="1651">
        <f>(B1207*B1208+8)</f>
        <v>8</v>
      </c>
      <c r="C1209" s="1651">
        <f>(C1207*C1208+8)</f>
        <v>8</v>
      </c>
      <c r="D1209" s="1651">
        <f>(D1207*D1208+8)</f>
        <v>8</v>
      </c>
      <c r="E1209" s="1651" t="s">
        <v>10</v>
      </c>
      <c r="G1209" s="1664" t="s">
        <v>108</v>
      </c>
      <c r="H1209" s="1665">
        <f>B1208*C1208*D1208*H1208</f>
        <v>24</v>
      </c>
      <c r="I1209" s="1666">
        <f>IF(H1210=0,0,(H1209*SUMPRODUCT(SUMIF(weight!$A$6:$A$39,input!$G$1205:$K$1206,weight!$G$6:$G$39)/Paper!$E$1))+SUM(N1206:N1207))</f>
        <v>0</v>
      </c>
      <c r="J1209" s="1667">
        <f>IF(H1210=0,0,(B1210*C1210*D1210)/10^9)</f>
        <v>0</v>
      </c>
      <c r="K1209" s="1668"/>
      <c r="L1209" s="1662"/>
      <c r="M1209" s="1669" t="s">
        <v>365</v>
      </c>
      <c r="N1209" s="1670">
        <v>19</v>
      </c>
    </row>
    <row r="1210" spans="1:14" ht="19.5" hidden="1" customHeight="1" outlineLevel="1">
      <c r="A1210" s="1651" t="s">
        <v>35</v>
      </c>
      <c r="B1210" s="1671">
        <f>(B1209+IF($D1203="Single Wall",8,14))</f>
        <v>16</v>
      </c>
      <c r="C1210" s="1671">
        <f>(C1209+IF($D1203="Single Wall",8,14))</f>
        <v>16</v>
      </c>
      <c r="D1210" s="1671">
        <f>(D1209+IF($D1203="Single Wall",12,16))</f>
        <v>20</v>
      </c>
      <c r="E1210" s="1651" t="s">
        <v>10</v>
      </c>
      <c r="F1210" s="402"/>
      <c r="G1210" s="1794" t="s">
        <v>1483</v>
      </c>
      <c r="H1210" s="1795">
        <f>IF(OR(B1203="Y",B1204="Y"),ROUNDUP(Paper!$E$3/H1209,0),0)</f>
        <v>0</v>
      </c>
      <c r="I1210" s="1672"/>
      <c r="J1210" s="1672"/>
      <c r="K1210" s="1673"/>
      <c r="L1210" s="402"/>
      <c r="M1210" s="1674" t="s">
        <v>216</v>
      </c>
      <c r="N1210" s="1675">
        <v>28</v>
      </c>
    </row>
    <row r="1211" spans="1:14" ht="19.5" hidden="1" customHeight="1" outlineLevel="1">
      <c r="A1211" s="1649" t="s">
        <v>36</v>
      </c>
      <c r="B1211" s="1650">
        <v>3</v>
      </c>
      <c r="C1211" s="1650">
        <v>3</v>
      </c>
      <c r="D1211" s="1650">
        <v>3</v>
      </c>
      <c r="E1211" s="1651"/>
      <c r="G1211" s="1676" t="s">
        <v>109</v>
      </c>
      <c r="H1211" s="1677">
        <f>(B1211*C1211*D1211)</f>
        <v>27</v>
      </c>
      <c r="I1211" s="1678">
        <f>IF(H1212=0,0,(H1211*I1209)+IF($B1205="y",$N1211,0))</f>
        <v>0</v>
      </c>
      <c r="J1211" s="1667">
        <f>IF(H1212=0,0,(B1212*C1212*D1212)/(100*100*100))</f>
        <v>0</v>
      </c>
      <c r="K1211" s="1668"/>
      <c r="M1211" s="1679">
        <f>IF($B1205="Y",MIN($B1212:$C1212) &amp; " " &amp; "x"&amp;" " &amp; MAX($B1212:$C1212)&amp;"cm",0)</f>
        <v>0</v>
      </c>
      <c r="N1211" s="1680">
        <f>IF($B1205="y",VLOOKUP(M1211,M1209:N1210,2,0),0)</f>
        <v>0</v>
      </c>
    </row>
    <row r="1212" spans="1:14" ht="19.5" hidden="1" customHeight="1" outlineLevel="1">
      <c r="A1212" s="1796" t="s">
        <v>1482</v>
      </c>
      <c r="B1212" s="1797">
        <f>(B1210*B1211/10+IF($D1203="Single Wall",6,8))</f>
        <v>10.8</v>
      </c>
      <c r="C1212" s="1797">
        <f>(C1210*C1211/10+IF($D1203="Single Wall",6,8))</f>
        <v>10.8</v>
      </c>
      <c r="D1212" s="1797">
        <f>((D1210+5)*D1211/10+20)</f>
        <v>27.5</v>
      </c>
      <c r="E1212" s="1651" t="s">
        <v>1458</v>
      </c>
      <c r="G1212" s="1676" t="s">
        <v>110</v>
      </c>
      <c r="H1212" s="1798">
        <f>IF($B1205="N",0,ROUNDUP(H1210/H1211,0))</f>
        <v>0</v>
      </c>
      <c r="I1212" s="1638"/>
      <c r="J1212" s="1638"/>
      <c r="K1212" s="1401"/>
    </row>
    <row r="1213" spans="1:14" ht="19.5" hidden="1" customHeight="1" outlineLevel="1"/>
    <row r="1214" spans="1:14" ht="19.5" customHeight="1" collapsed="1"/>
    <row r="1215" spans="1:14" ht="19.5" customHeight="1">
      <c r="A1215" s="1604" t="s">
        <v>1493</v>
      </c>
      <c r="B1215" s="1681" t="s">
        <v>649</v>
      </c>
      <c r="C1215" s="319" t="str">
        <f>IF(B1215=$A$1217,B1217,B1230)</f>
        <v>KCN Biên Hòa</v>
      </c>
      <c r="E1215" s="319" t="s">
        <v>1311</v>
      </c>
      <c r="F1215" s="315">
        <f>Paper!$E$1</f>
        <v>5000</v>
      </c>
      <c r="G1215" s="136" t="s">
        <v>1876</v>
      </c>
    </row>
    <row r="1216" spans="1:14" ht="19.5" customHeight="1">
      <c r="K1216" s="136"/>
    </row>
    <row r="1217" spans="1:17" ht="19.5" customHeight="1">
      <c r="A1217" s="1682" t="s">
        <v>649</v>
      </c>
      <c r="B1217" s="3456" t="s">
        <v>3363</v>
      </c>
      <c r="C1217" s="319"/>
      <c r="D1217" s="319" t="s">
        <v>1879</v>
      </c>
      <c r="E1217" s="1650"/>
      <c r="F1217" s="319" t="s">
        <v>1259</v>
      </c>
      <c r="K1217" s="136"/>
    </row>
    <row r="1218" spans="1:17" ht="19.5" customHeight="1" outlineLevel="1">
      <c r="A1218" s="1799" t="s">
        <v>1484</v>
      </c>
      <c r="B1218" s="404">
        <f>MAX(B1186,B1198,B1210)/10</f>
        <v>36.299999999999997</v>
      </c>
      <c r="C1218" s="1800">
        <f>MAX(C1186,C1198,C1210)/10</f>
        <v>50.2</v>
      </c>
      <c r="D1218" s="740">
        <f ca="1">MAX(D1186,D1198,D1210)/10</f>
        <v>39.4</v>
      </c>
      <c r="E1218" s="1683" t="s">
        <v>1458</v>
      </c>
      <c r="F1218" s="1638"/>
      <c r="G1218" s="1401"/>
      <c r="I1218" s="1684" t="s">
        <v>7</v>
      </c>
      <c r="J1218" s="1684" t="s">
        <v>9</v>
      </c>
      <c r="K1218" s="1684" t="s">
        <v>38</v>
      </c>
    </row>
    <row r="1219" spans="1:17" ht="19.5" customHeight="1" outlineLevel="1">
      <c r="A1219" s="1799" t="s">
        <v>766</v>
      </c>
      <c r="B1219" s="404">
        <f>MAX(B1188,B1200,B1212)</f>
        <v>116.9</v>
      </c>
      <c r="C1219" s="1800">
        <f>MAX(C1188,C1200,C1212)</f>
        <v>158.6</v>
      </c>
      <c r="D1219" s="740">
        <f ca="1">MAX(D1188,D1200,D1212)</f>
        <v>139.69999999999999</v>
      </c>
      <c r="E1219" s="1683" t="s">
        <v>1458</v>
      </c>
      <c r="F1219" s="1638"/>
      <c r="G1219" s="1401"/>
      <c r="I1219" s="1685">
        <f>IF(B1221&gt;0,AVERAGE($B$1219:$C$1219),MIN($B$1218:$C$1218))</f>
        <v>36.299999999999997</v>
      </c>
      <c r="J1219" s="1685">
        <f>IF(B1221&gt;0,AVERAGE($B$1219:$C$1219),MAX($B$1218:$C$1218))</f>
        <v>50.2</v>
      </c>
      <c r="K1219" s="1686">
        <f ca="1">IF(B1221&gt;0,$D$1219,$D$1218)</f>
        <v>39.4</v>
      </c>
      <c r="L1219" s="402"/>
      <c r="M1219" s="402"/>
      <c r="N1219" s="402"/>
      <c r="O1219" s="402"/>
    </row>
    <row r="1220" spans="1:17" ht="19.5" customHeight="1" outlineLevel="1">
      <c r="A1220" s="1799" t="s">
        <v>1326</v>
      </c>
      <c r="B1220" s="1801">
        <f>IF(H1186&gt;0,ROUNDUP($F$1215/H1185,0),0)+IF(H1198&gt;0,ROUNDUP($F$1215/H1197,0),0)+IF(H1210&gt;0,ROUNDUP($F$1215/H1209,0),0)</f>
        <v>34</v>
      </c>
      <c r="C1220" s="1800" t="s">
        <v>162</v>
      </c>
      <c r="D1220" s="740">
        <f ca="1">B1218*C1218*D1218/10^6</f>
        <v>7.179704399999999E-2</v>
      </c>
      <c r="E1220" s="404" t="s">
        <v>532</v>
      </c>
      <c r="F1220" s="740">
        <f ca="1">MAX(I1185,I1197,I1209)</f>
        <v>11.514222705</v>
      </c>
      <c r="G1220" s="404" t="s">
        <v>1488</v>
      </c>
      <c r="I1220" s="1687">
        <f>(230/$I$1219)</f>
        <v>6.336088154269973</v>
      </c>
      <c r="J1220" s="1687">
        <f>(580/$J$1219)</f>
        <v>11.553784860557768</v>
      </c>
      <c r="K1220" s="1687">
        <f ca="1">(220/$K$1219)</f>
        <v>5.5837563451776653</v>
      </c>
      <c r="L1220" s="1688" t="s">
        <v>37</v>
      </c>
      <c r="M1220" s="1689"/>
      <c r="N1220" s="1690"/>
      <c r="O1220" s="1691"/>
    </row>
    <row r="1221" spans="1:17" ht="19.5" customHeight="1" outlineLevel="1">
      <c r="A1221" s="1799" t="s">
        <v>1327</v>
      </c>
      <c r="B1221" s="1801">
        <f>IF(H1188&gt;0,ROUNDUP($F$1215/H1185/H1187,0),0)+IF(H1200&gt;0,ROUNDUP($F$1215/H1197/H1199,0),0)+IF(H1212&gt;0,ROUNDUP($F$1215/H1209/H1211,0),0)</f>
        <v>0</v>
      </c>
      <c r="C1221" s="1800" t="s">
        <v>155</v>
      </c>
      <c r="D1221" s="740">
        <f ca="1">B1219*C1219*D1219/10^6</f>
        <v>2.5900854979999997</v>
      </c>
      <c r="E1221" s="404" t="s">
        <v>1486</v>
      </c>
      <c r="F1221" s="740">
        <f>MAX(I1187,I1199,I1211)</f>
        <v>0</v>
      </c>
      <c r="G1221" s="404" t="s">
        <v>1489</v>
      </c>
      <c r="I1221" s="1687">
        <f>INT(230/$I$1219)</f>
        <v>6</v>
      </c>
      <c r="J1221" s="1687">
        <f>INT(580/$J$1219)</f>
        <v>11</v>
      </c>
      <c r="K1221" s="1687">
        <f ca="1">INT(220/$K$1219)</f>
        <v>5</v>
      </c>
      <c r="L1221" s="1692">
        <f ca="1">(I1221*J1221*K1221)</f>
        <v>330</v>
      </c>
      <c r="M1221" s="1693" t="str">
        <f>IF($B$1221&gt;0,$C$1221,$C$1220)</f>
        <v>Cartons</v>
      </c>
      <c r="N1221" s="1694">
        <f ca="1">L1221*IF($B$1221&gt;0,$F$1221,$F$1220)/1000</f>
        <v>3.7996934926499999</v>
      </c>
      <c r="O1221" s="1693" t="s">
        <v>59</v>
      </c>
    </row>
    <row r="1222" spans="1:17" s="402" customFormat="1" ht="19.5" customHeight="1" outlineLevel="1">
      <c r="A1222" s="1799" t="s">
        <v>1328</v>
      </c>
      <c r="B1222" s="1802">
        <f ca="1">IF(B1221&gt;0,ROUNDUP($F$1215/H1185/H1187,0)*I1187+ROUNDUP($F$1215/H1197/H1199,0)*I1199+ROUNDUP($F$1215/H1209/H1211,0)*I1211,ROUNDUP($F$1215/H1185,0)*I1185+ROUNDUP($F$1215/H1197,0)*I1197+ROUNDUP($F$1215/H1209,0)*I1209)/1000</f>
        <v>0.39148357197</v>
      </c>
      <c r="C1222" s="1803" t="s">
        <v>563</v>
      </c>
      <c r="D1222" s="1804"/>
      <c r="E1222" s="1804"/>
      <c r="F1222" s="1695"/>
      <c r="G1222" s="1696"/>
      <c r="I1222" s="1687">
        <f>(230/$I$1219)</f>
        <v>6.336088154269973</v>
      </c>
      <c r="J1222" s="1687">
        <f>(1180/$J$1219)</f>
        <v>23.50597609561753</v>
      </c>
      <c r="K1222" s="1687">
        <f ca="1">IF($L$1222="40'Container",220,250)/$K$1219</f>
        <v>5.5837563451776653</v>
      </c>
      <c r="L1222" s="1697" t="s">
        <v>39</v>
      </c>
      <c r="M1222" s="1689"/>
      <c r="N1222" s="1690"/>
      <c r="O1222" s="1691"/>
    </row>
    <row r="1223" spans="1:17" ht="19.5" customHeight="1" outlineLevel="1">
      <c r="I1223" s="1687">
        <f>INT(230/$I$1219)</f>
        <v>6</v>
      </c>
      <c r="J1223" s="1687">
        <f>INT(1180/$J$1219)</f>
        <v>23</v>
      </c>
      <c r="K1223" s="1687">
        <f ca="1">INT(IF($L$1222="40'Container",220,250)/$K$1219)</f>
        <v>5</v>
      </c>
      <c r="L1223" s="1692">
        <f ca="1">(I1223*J1223*K1223)</f>
        <v>690</v>
      </c>
      <c r="M1223" s="1693" t="str">
        <f>IF($B$1221&gt;0,$C$1221,$C$1220)</f>
        <v>Cartons</v>
      </c>
      <c r="N1223" s="1694">
        <f ca="1">L1223*IF($B$1221&gt;0,$F$1221,$F$1220)/1000</f>
        <v>7.94481366645</v>
      </c>
      <c r="O1223" s="1693" t="s">
        <v>59</v>
      </c>
    </row>
    <row r="1224" spans="1:17" ht="19.5" customHeight="1" outlineLevel="1">
      <c r="A1224" s="146" t="s">
        <v>1055</v>
      </c>
      <c r="B1224" s="146"/>
      <c r="C1224" s="146" t="str">
        <f>A1225&amp;"/Truck"</f>
        <v>Cartons/Truck</v>
      </c>
      <c r="D1224" s="146" t="s">
        <v>968</v>
      </c>
      <c r="E1224" s="146" t="s">
        <v>1330</v>
      </c>
      <c r="F1224" s="403" t="s">
        <v>1267</v>
      </c>
      <c r="H1224" s="3335" t="s">
        <v>3408</v>
      </c>
      <c r="I1224" s="1700" t="s">
        <v>106</v>
      </c>
      <c r="J1224" s="739" t="s">
        <v>3411</v>
      </c>
      <c r="K1224" s="136"/>
      <c r="L1224" s="1698"/>
      <c r="M1224" s="1698"/>
      <c r="N1224" s="1698"/>
      <c r="O1224" s="1698"/>
    </row>
    <row r="1225" spans="1:17" ht="19.5" customHeight="1" outlineLevel="1">
      <c r="A1225" s="1699" t="str">
        <f>IF($B$1221&gt;0,$C$1221,$C$1220)</f>
        <v>Cartons</v>
      </c>
      <c r="B1225" s="1700" t="s">
        <v>103</v>
      </c>
      <c r="C1225" s="1701">
        <f ca="1">INDEX('Data transport'!$F$10:$O$10,1,MATCH(D1225,'Data transport'!$F$5:$O$5,0))</f>
        <v>54</v>
      </c>
      <c r="D1225" s="1702" t="str">
        <f ca="1">VLOOKUP(F1215,$A$1253:$G$1264,4,0)</f>
        <v>1.1T</v>
      </c>
      <c r="E1225" s="1650">
        <f ca="1">VLOOKUP($F$1215,$A$1253:$G$1264,5,0)</f>
        <v>1</v>
      </c>
      <c r="F1225" s="1701">
        <f ca="1">IF(B1225="Y",INDEX('Sum local charge July.19'!$C$77:$L$124,MATCH($C$1215,'Sum local charge July.19'!$B$77:$B$124,0),MATCH(D1225,'Sum local charge July.19'!$C$76:$L$76,0)),0)+IF($B$5="Kinh Do",INDEX('Sum local charge July.19'!$C$77:$L$124,MATCH($B$5,'Sum local charge July.19'!$B$77:$B$124,0),MATCH(D1225,'Sum local charge July.19'!$C$76:$L$76,0)))</f>
        <v>602000</v>
      </c>
      <c r="H1225" s="3335" t="s">
        <v>3409</v>
      </c>
      <c r="I1225" s="1700">
        <f>IF(I1224="Y",700000,0)*$K$1225</f>
        <v>0</v>
      </c>
      <c r="J1225" s="320" t="s">
        <v>15</v>
      </c>
      <c r="K1225" s="3336">
        <v>1</v>
      </c>
    </row>
    <row r="1226" spans="1:17" ht="19.5" customHeight="1" outlineLevel="1">
      <c r="A1226" s="1699" t="str">
        <f>IF($B$1221&gt;0,$C$1221,$C$1220)</f>
        <v>Cartons</v>
      </c>
      <c r="B1226" s="1700" t="s">
        <v>103</v>
      </c>
      <c r="C1226" s="1701">
        <f ca="1">INDEX('Data transport'!$F$10:$O$10,1,MATCH(D1226,'Data transport'!$F$5:$O$5,0))</f>
        <v>54</v>
      </c>
      <c r="D1226" s="1702" t="str">
        <f ca="1">VLOOKUP($F$1215,$A$1253:$G$1264,6,0)</f>
        <v>1.1T</v>
      </c>
      <c r="E1226" s="1650">
        <f>VLOOKUP($F$1215,$A$1253:$G$1264,7,0)</f>
        <v>0</v>
      </c>
      <c r="F1226" s="1701">
        <f ca="1">IF(B1226="Y",INDEX('Sum local charge July.19'!$C$77:$L$124,MATCH($C$1215,'Sum local charge July.19'!$B$77:$B$124,0),MATCH(D1226,'Sum local charge July.19'!$C$76:$L$76,0)),0)+IF($B$5="Kinh Do",INDEX('Sum local charge July.19'!$C$77:$L$124,MATCH($B$5,'Sum local charge July.19'!$B$77:$B$124,0),MATCH(D1225,'Sum local charge July.19'!$C$76:$L$76,0)))</f>
        <v>602000</v>
      </c>
      <c r="H1226" s="3335" t="s">
        <v>3410</v>
      </c>
      <c r="I1226" s="1700">
        <f>IF(I1224="Y",HLOOKUP($D$1225,'Sum local charge July.19'!$C$76:$J$124,45,0)*input!$E$1225+HLOOKUP($D$1226,'Sum local charge July.19'!$C$76:$J$124,45,0)*input!E1226,0)</f>
        <v>0</v>
      </c>
    </row>
    <row r="1227" spans="1:17" ht="19.5" customHeight="1" outlineLevel="1">
      <c r="A1227" s="1699" t="str">
        <f>IF($B$1221&gt;0,$C$1221,$C$1220)</f>
        <v>Cartons</v>
      </c>
      <c r="B1227" s="1700" t="s">
        <v>106</v>
      </c>
      <c r="C1227" s="1701">
        <f ca="1">INDEX('Data transport'!$F$10:$O$10,1,MATCH(D1227,'Data transport'!$F$5:$O$5,0))</f>
        <v>54</v>
      </c>
      <c r="D1227" s="1702" t="s">
        <v>2053</v>
      </c>
      <c r="E1227" s="1650"/>
      <c r="F1227" s="1701">
        <f>IF(B1227="Y",INDEX('Sum local charge July.19'!$C$77:$L$124,MATCH($C$1215,'Sum local charge July.19'!$B$77:$B$124,0),MATCH(D1227,'Sum local charge July.19'!$C$76:$L$76,0)),0)</f>
        <v>0</v>
      </c>
    </row>
    <row r="1228" spans="1:17" ht="19.5" customHeight="1" outlineLevel="1">
      <c r="A1228" s="1699" t="str">
        <f>IF($B$1221&gt;0,$C$1221,$C$1220)</f>
        <v>Cartons</v>
      </c>
      <c r="B1228" s="1700" t="s">
        <v>106</v>
      </c>
      <c r="C1228" s="1701">
        <f ca="1">INDEX('Data transport'!$F$10:$O$10,1,MATCH(D1228,'Data transport'!$F$5:$O$5,0))</f>
        <v>54</v>
      </c>
      <c r="D1228" s="1702" t="s">
        <v>2053</v>
      </c>
      <c r="E1228" s="1650"/>
      <c r="F1228" s="1701">
        <f>IF(B1228="Y",INDEX('Sum local charge July.19'!$C$77:$L$124,MATCH($C$1215,'Sum local charge July.19'!$B$77:$B$124,0),MATCH(D1228,'Sum local charge July.19'!$C$76:$L$76,0)),0)</f>
        <v>0</v>
      </c>
    </row>
    <row r="1230" spans="1:17" ht="19.5" hidden="1" customHeight="1" outlineLevel="1">
      <c r="A1230" s="1682" t="s">
        <v>1485</v>
      </c>
      <c r="B1230" s="2969" t="s">
        <v>1060</v>
      </c>
      <c r="C1230" s="1703" t="s">
        <v>1719</v>
      </c>
      <c r="D1230" s="2398" t="s">
        <v>374</v>
      </c>
      <c r="E1230" s="2397" t="s">
        <v>3245</v>
      </c>
    </row>
    <row r="1231" spans="1:17" ht="19.5" hidden="1" customHeight="1" outlineLevel="1">
      <c r="A1231" s="1704" t="s">
        <v>1487</v>
      </c>
      <c r="B1231" s="1705">
        <v>1</v>
      </c>
      <c r="C1231" s="1705">
        <v>0</v>
      </c>
      <c r="D1231" s="1705">
        <v>0</v>
      </c>
      <c r="E1231" s="1705">
        <v>0</v>
      </c>
      <c r="F1231" s="1705">
        <v>0</v>
      </c>
      <c r="G1231" s="1705">
        <v>0</v>
      </c>
      <c r="H1231" s="1705">
        <v>0</v>
      </c>
      <c r="I1231" s="1705">
        <v>0</v>
      </c>
      <c r="J1231" s="1705">
        <v>0</v>
      </c>
      <c r="K1231" s="1706">
        <v>0</v>
      </c>
      <c r="L1231" s="1705">
        <v>0</v>
      </c>
      <c r="M1231" s="1705">
        <v>0</v>
      </c>
      <c r="N1231" s="1705">
        <v>0</v>
      </c>
      <c r="O1231" s="1705">
        <v>0</v>
      </c>
      <c r="P1231" s="1705">
        <v>0</v>
      </c>
      <c r="Q1231" s="1705">
        <v>0</v>
      </c>
    </row>
    <row r="1232" spans="1:17" ht="19.5" hidden="1" customHeight="1" outlineLevel="1">
      <c r="A1232" s="1704" t="s">
        <v>11</v>
      </c>
      <c r="B1232" s="1707">
        <f>'Cost EST. GM target'!$L$6*B1231/SUM($B$1231:$Q$1231)</f>
        <v>5000</v>
      </c>
      <c r="C1232" s="1707">
        <f>'Cost EST. GM target'!$L$6*C1231/SUM($B$1231:$Q$1231)</f>
        <v>0</v>
      </c>
      <c r="D1232" s="1707">
        <f>'Cost EST. GM target'!$L$6*D1231/SUM($B$1231:$Q$1231)</f>
        <v>0</v>
      </c>
      <c r="E1232" s="1707">
        <f>'Cost EST. GM target'!$L$6*E1231/SUM($B$1231:$Q$1231)</f>
        <v>0</v>
      </c>
      <c r="F1232" s="1707">
        <f>'Cost EST. GM target'!$L$6*F1231/SUM($B$1231:$Q$1231)</f>
        <v>0</v>
      </c>
      <c r="G1232" s="1707">
        <f>'Cost EST. GM target'!$L$6*G1231/SUM($B$1231:$Q$1231)</f>
        <v>0</v>
      </c>
      <c r="H1232" s="1707">
        <f>'Cost EST. GM target'!$L$6*H1231/SUM($B$1231:$Q$1231)</f>
        <v>0</v>
      </c>
      <c r="I1232" s="1707">
        <f>'Cost EST. GM target'!$L$6*I1231/SUM($B$1231:$Q$1231)</f>
        <v>0</v>
      </c>
      <c r="J1232" s="1707">
        <f>'Cost EST. GM target'!$L$6*J1231/SUM($B$1231:$Q$1231)</f>
        <v>0</v>
      </c>
      <c r="K1232" s="1707">
        <f>'Cost EST. GM target'!$L$6*K1231/SUM($B$1231:$Q$1231)</f>
        <v>0</v>
      </c>
      <c r="L1232" s="1707">
        <f>'Cost EST. GM target'!$L$6*L1231/SUM($B$1231:$Q$1231)</f>
        <v>0</v>
      </c>
      <c r="M1232" s="1707">
        <f>'Cost EST. GM target'!$L$6*M1231/SUM($B$1231:$Q$1231)</f>
        <v>0</v>
      </c>
      <c r="N1232" s="1707">
        <f>'Cost EST. GM target'!$L$6*N1231/SUM($B$1231:$Q$1231)</f>
        <v>0</v>
      </c>
      <c r="O1232" s="1707">
        <f>'Cost EST. GM target'!$L$6*O1231/SUM($B$1231:$Q$1231)</f>
        <v>0</v>
      </c>
      <c r="P1232" s="1707">
        <f>'Cost EST. GM target'!$L$6*P1231/SUM($B$1231:$Q$1231)</f>
        <v>0</v>
      </c>
      <c r="Q1232" s="1707">
        <f>'Cost EST. GM target'!$L$6*Q1231/SUM($B$1231:$Q$1231)</f>
        <v>0</v>
      </c>
    </row>
    <row r="1233" spans="1:32" ht="19.5" hidden="1" customHeight="1" outlineLevel="1">
      <c r="A1233" s="1704" t="s">
        <v>51</v>
      </c>
      <c r="B1233" s="1707">
        <f>$B$1220*B1231/SUM($B$1231:$Q$1231)</f>
        <v>34</v>
      </c>
      <c r="C1233" s="1707">
        <f t="shared" ref="C1233:Q1233" si="353">$B$1220*C1231/SUM($B$1231:$Q$1231)</f>
        <v>0</v>
      </c>
      <c r="D1233" s="1707">
        <f t="shared" si="353"/>
        <v>0</v>
      </c>
      <c r="E1233" s="1707">
        <f t="shared" si="353"/>
        <v>0</v>
      </c>
      <c r="F1233" s="1707">
        <f t="shared" si="353"/>
        <v>0</v>
      </c>
      <c r="G1233" s="1707">
        <f t="shared" si="353"/>
        <v>0</v>
      </c>
      <c r="H1233" s="1707">
        <f t="shared" si="353"/>
        <v>0</v>
      </c>
      <c r="I1233" s="1707">
        <f t="shared" si="353"/>
        <v>0</v>
      </c>
      <c r="J1233" s="1707">
        <f t="shared" si="353"/>
        <v>0</v>
      </c>
      <c r="K1233" s="1707">
        <f t="shared" si="353"/>
        <v>0</v>
      </c>
      <c r="L1233" s="1707">
        <f t="shared" si="353"/>
        <v>0</v>
      </c>
      <c r="M1233" s="1707">
        <f t="shared" si="353"/>
        <v>0</v>
      </c>
      <c r="N1233" s="1707">
        <f t="shared" si="353"/>
        <v>0</v>
      </c>
      <c r="O1233" s="1707">
        <f t="shared" si="353"/>
        <v>0</v>
      </c>
      <c r="P1233" s="1707">
        <f t="shared" si="353"/>
        <v>0</v>
      </c>
      <c r="Q1233" s="1707">
        <f t="shared" si="353"/>
        <v>0</v>
      </c>
    </row>
    <row r="1234" spans="1:32" ht="19.5" hidden="1" customHeight="1" outlineLevel="1">
      <c r="A1234" s="1704" t="str">
        <f>IF($B$1221&gt;0,$C$1221,$C$1220)</f>
        <v>Cartons</v>
      </c>
      <c r="B1234" s="1708">
        <f ca="1">IF($B$1221&gt;0,$B$1221,$B$1220)*B1231/SUM($B$1231:$Q$1231)*0+VLOOKUP($F$1215,$A$1271:$G$1282,5,0)</f>
        <v>34</v>
      </c>
      <c r="C1234" s="1708">
        <f t="shared" ref="C1234:Q1234" si="354">IF($B$1221&gt;0,$B$1221,$B$1220)*C1231/SUM($B$1231:$Q$1231)</f>
        <v>0</v>
      </c>
      <c r="D1234" s="1708">
        <f t="shared" si="354"/>
        <v>0</v>
      </c>
      <c r="E1234" s="1708">
        <f t="shared" si="354"/>
        <v>0</v>
      </c>
      <c r="F1234" s="1708">
        <f t="shared" si="354"/>
        <v>0</v>
      </c>
      <c r="G1234" s="1708">
        <f t="shared" si="354"/>
        <v>0</v>
      </c>
      <c r="H1234" s="1708">
        <f t="shared" si="354"/>
        <v>0</v>
      </c>
      <c r="I1234" s="1708">
        <f t="shared" si="354"/>
        <v>0</v>
      </c>
      <c r="J1234" s="1708">
        <f t="shared" si="354"/>
        <v>0</v>
      </c>
      <c r="K1234" s="1708">
        <f t="shared" si="354"/>
        <v>0</v>
      </c>
      <c r="L1234" s="1708">
        <f t="shared" si="354"/>
        <v>0</v>
      </c>
      <c r="M1234" s="1708">
        <f t="shared" si="354"/>
        <v>0</v>
      </c>
      <c r="N1234" s="1708">
        <f t="shared" si="354"/>
        <v>0</v>
      </c>
      <c r="O1234" s="1708">
        <f t="shared" si="354"/>
        <v>0</v>
      </c>
      <c r="P1234" s="1708">
        <f t="shared" si="354"/>
        <v>0</v>
      </c>
      <c r="Q1234" s="1708">
        <f t="shared" si="354"/>
        <v>0</v>
      </c>
      <c r="R1234" s="854"/>
    </row>
    <row r="1235" spans="1:32" ht="19.5" hidden="1" customHeight="1" outlineLevel="1">
      <c r="A1235" s="1704" t="s">
        <v>37</v>
      </c>
      <c r="B1235" s="1708">
        <f ca="1">(INT((B1234/$L$1221)-0.1)+1)*0+VLOOKUP($F$1215,$A$1271:$G$1282,6,0)</f>
        <v>0</v>
      </c>
      <c r="C1235" s="1708">
        <f t="shared" ref="C1235:Q1235" ca="1" si="355">(INT((C1234/$L$1221)-0.1)+1)</f>
        <v>0</v>
      </c>
      <c r="D1235" s="1708">
        <f t="shared" ca="1" si="355"/>
        <v>0</v>
      </c>
      <c r="E1235" s="1708">
        <f t="shared" ca="1" si="355"/>
        <v>0</v>
      </c>
      <c r="F1235" s="1708">
        <f t="shared" ca="1" si="355"/>
        <v>0</v>
      </c>
      <c r="G1235" s="1708">
        <f t="shared" ca="1" si="355"/>
        <v>0</v>
      </c>
      <c r="H1235" s="1708">
        <f t="shared" ca="1" si="355"/>
        <v>0</v>
      </c>
      <c r="I1235" s="1708">
        <f t="shared" ca="1" si="355"/>
        <v>0</v>
      </c>
      <c r="J1235" s="1708">
        <f t="shared" ca="1" si="355"/>
        <v>0</v>
      </c>
      <c r="K1235" s="1708">
        <f t="shared" ca="1" si="355"/>
        <v>0</v>
      </c>
      <c r="L1235" s="1708">
        <f t="shared" ca="1" si="355"/>
        <v>0</v>
      </c>
      <c r="M1235" s="1708">
        <f t="shared" ca="1" si="355"/>
        <v>0</v>
      </c>
      <c r="N1235" s="1708">
        <f t="shared" ca="1" si="355"/>
        <v>0</v>
      </c>
      <c r="O1235" s="1708">
        <f t="shared" ca="1" si="355"/>
        <v>0</v>
      </c>
      <c r="P1235" s="1708">
        <f t="shared" ca="1" si="355"/>
        <v>0</v>
      </c>
      <c r="Q1235" s="1708">
        <f t="shared" ca="1" si="355"/>
        <v>0</v>
      </c>
      <c r="R1235" s="854"/>
    </row>
    <row r="1236" spans="1:32" ht="19.5" hidden="1" customHeight="1" outlineLevel="1">
      <c r="A1236" s="1704" t="s">
        <v>39</v>
      </c>
      <c r="B1236" s="1708">
        <f ca="1">(INT((B1234/$L$1223)-0.1)+1)*0+VLOOKUP($F$1215,$A$1271:$G$1282,7,0)</f>
        <v>0</v>
      </c>
      <c r="C1236" s="1708">
        <f t="shared" ref="C1236:Q1236" ca="1" si="356">(INT((C1234/$L$1223)-0.1)+1)</f>
        <v>0</v>
      </c>
      <c r="D1236" s="1708">
        <f t="shared" ca="1" si="356"/>
        <v>0</v>
      </c>
      <c r="E1236" s="1708">
        <f t="shared" ca="1" si="356"/>
        <v>0</v>
      </c>
      <c r="F1236" s="1708">
        <f t="shared" ca="1" si="356"/>
        <v>0</v>
      </c>
      <c r="G1236" s="1708">
        <f t="shared" ca="1" si="356"/>
        <v>0</v>
      </c>
      <c r="H1236" s="1708">
        <f t="shared" ca="1" si="356"/>
        <v>0</v>
      </c>
      <c r="I1236" s="1708">
        <f t="shared" ca="1" si="356"/>
        <v>0</v>
      </c>
      <c r="J1236" s="1708">
        <f t="shared" ca="1" si="356"/>
        <v>0</v>
      </c>
      <c r="K1236" s="1708">
        <f t="shared" ca="1" si="356"/>
        <v>0</v>
      </c>
      <c r="L1236" s="1708">
        <f t="shared" ca="1" si="356"/>
        <v>0</v>
      </c>
      <c r="M1236" s="1708">
        <f t="shared" ca="1" si="356"/>
        <v>0</v>
      </c>
      <c r="N1236" s="1708">
        <f t="shared" ca="1" si="356"/>
        <v>0</v>
      </c>
      <c r="O1236" s="1708">
        <f t="shared" ca="1" si="356"/>
        <v>0</v>
      </c>
      <c r="P1236" s="1708">
        <f t="shared" ca="1" si="356"/>
        <v>0</v>
      </c>
      <c r="Q1236" s="1708">
        <f t="shared" ca="1" si="356"/>
        <v>0</v>
      </c>
      <c r="R1236" s="854"/>
    </row>
    <row r="1237" spans="1:32" ht="19.5" hidden="1" customHeight="1" outlineLevel="1">
      <c r="A1237" s="319" t="s">
        <v>535</v>
      </c>
      <c r="B1237" s="136">
        <f t="shared" ref="B1237:Q1237" ca="1" si="357">IF($B$1221&gt;0,$D$1221,$D$1220)*B1234</f>
        <v>2.4410994959999996</v>
      </c>
      <c r="C1237" s="136">
        <f t="shared" ca="1" si="357"/>
        <v>0</v>
      </c>
      <c r="D1237" s="136">
        <f t="shared" ca="1" si="357"/>
        <v>0</v>
      </c>
      <c r="E1237" s="136">
        <f t="shared" ca="1" si="357"/>
        <v>0</v>
      </c>
      <c r="F1237" s="136">
        <f t="shared" ca="1" si="357"/>
        <v>0</v>
      </c>
      <c r="G1237" s="136">
        <f t="shared" ca="1" si="357"/>
        <v>0</v>
      </c>
      <c r="H1237" s="136">
        <f t="shared" ca="1" si="357"/>
        <v>0</v>
      </c>
      <c r="I1237" s="136">
        <f t="shared" ca="1" si="357"/>
        <v>0</v>
      </c>
      <c r="J1237" s="136">
        <f t="shared" ca="1" si="357"/>
        <v>0</v>
      </c>
      <c r="K1237" s="136">
        <f t="shared" ca="1" si="357"/>
        <v>0</v>
      </c>
      <c r="L1237" s="136">
        <f t="shared" ca="1" si="357"/>
        <v>0</v>
      </c>
      <c r="M1237" s="136">
        <f t="shared" ca="1" si="357"/>
        <v>0</v>
      </c>
      <c r="N1237" s="136">
        <f t="shared" ca="1" si="357"/>
        <v>0</v>
      </c>
      <c r="O1237" s="136">
        <f t="shared" ca="1" si="357"/>
        <v>0</v>
      </c>
      <c r="P1237" s="136">
        <f t="shared" ca="1" si="357"/>
        <v>0</v>
      </c>
      <c r="Q1237" s="136">
        <f t="shared" ca="1" si="357"/>
        <v>0</v>
      </c>
    </row>
    <row r="1238" spans="1:32" ht="19.5" hidden="1" customHeight="1" outlineLevel="1">
      <c r="A1238" s="319" t="s">
        <v>1490</v>
      </c>
      <c r="B1238" s="322"/>
      <c r="C1238" s="322"/>
      <c r="D1238" s="816"/>
      <c r="E1238" s="816"/>
      <c r="F1238" s="816"/>
      <c r="G1238" s="816"/>
      <c r="H1238" s="816"/>
      <c r="I1238" s="816"/>
      <c r="J1238" s="816"/>
      <c r="K1238" s="816"/>
      <c r="L1238" s="816"/>
      <c r="M1238" s="816"/>
      <c r="N1238" s="816"/>
      <c r="O1238" s="816"/>
      <c r="P1238" s="816"/>
      <c r="Q1238" s="816"/>
    </row>
    <row r="1239" spans="1:32" ht="19.5" hidden="1" customHeight="1" outlineLevel="1">
      <c r="A1239" s="1704"/>
      <c r="B1239" s="1053">
        <v>1</v>
      </c>
      <c r="C1239" s="1053">
        <v>2</v>
      </c>
      <c r="D1239" s="1709">
        <v>3</v>
      </c>
      <c r="E1239" s="1709">
        <v>4</v>
      </c>
      <c r="F1239" s="1709">
        <v>5</v>
      </c>
      <c r="G1239" s="1709">
        <v>6</v>
      </c>
      <c r="H1239" s="1709">
        <v>7</v>
      </c>
      <c r="I1239" s="1709">
        <v>8</v>
      </c>
      <c r="J1239" s="1709">
        <v>9</v>
      </c>
      <c r="K1239" s="1709">
        <v>10</v>
      </c>
      <c r="L1239" s="1709">
        <v>11</v>
      </c>
      <c r="M1239" s="1709">
        <v>12</v>
      </c>
      <c r="N1239" s="1709">
        <v>13</v>
      </c>
      <c r="O1239" s="1709">
        <v>14</v>
      </c>
      <c r="P1239" s="1709">
        <v>15</v>
      </c>
      <c r="Q1239" s="1709">
        <v>16</v>
      </c>
    </row>
    <row r="1240" spans="1:32" ht="19.5" hidden="1" customHeight="1" outlineLevel="1">
      <c r="A1240" s="1710" t="s">
        <v>41</v>
      </c>
      <c r="B1240" s="1711"/>
      <c r="C1240" s="1711"/>
      <c r="D1240" s="1711"/>
      <c r="E1240" s="1711"/>
      <c r="F1240" s="1711"/>
      <c r="G1240" s="1711"/>
      <c r="H1240" s="1711"/>
      <c r="I1240" s="1711"/>
      <c r="J1240" s="1711"/>
      <c r="K1240" s="1711"/>
      <c r="L1240" s="1711"/>
      <c r="M1240" s="1711"/>
      <c r="N1240" s="1711"/>
      <c r="O1240" s="1711"/>
      <c r="P1240" s="1711"/>
      <c r="Q1240" s="1711"/>
    </row>
    <row r="1241" spans="1:32" ht="19.5" hidden="1" customHeight="1" outlineLevel="1">
      <c r="A1241" s="1710" t="s">
        <v>49</v>
      </c>
      <c r="B1241" s="1711"/>
      <c r="C1241" s="1711"/>
      <c r="D1241" s="1711"/>
      <c r="E1241" s="1711"/>
      <c r="F1241" s="1711"/>
      <c r="G1241" s="1711"/>
      <c r="H1241" s="1711"/>
      <c r="I1241" s="1711"/>
      <c r="J1241" s="1711"/>
      <c r="K1241" s="1711"/>
      <c r="L1241" s="1711"/>
      <c r="M1241" s="1711"/>
      <c r="N1241" s="1711"/>
      <c r="O1241" s="1711"/>
      <c r="P1241" s="1711"/>
      <c r="Q1241" s="1711"/>
    </row>
    <row r="1242" spans="1:32" ht="19.5" hidden="1" customHeight="1" outlineLevel="1">
      <c r="A1242" s="1710" t="s">
        <v>50</v>
      </c>
      <c r="B1242" s="1711"/>
      <c r="C1242" s="1711"/>
      <c r="D1242" s="1711"/>
      <c r="E1242" s="1711"/>
      <c r="F1242" s="1711"/>
      <c r="G1242" s="1711"/>
      <c r="H1242" s="1711"/>
      <c r="I1242" s="1711"/>
      <c r="J1242" s="1711"/>
      <c r="K1242" s="1711"/>
      <c r="L1242" s="1711"/>
      <c r="M1242" s="1711"/>
      <c r="N1242" s="1711"/>
      <c r="O1242" s="1711"/>
      <c r="P1242" s="1711"/>
      <c r="Q1242" s="1711"/>
    </row>
    <row r="1243" spans="1:32" ht="19.5" customHeight="1" collapsed="1"/>
    <row r="1245" spans="1:32" ht="19.5" hidden="1" customHeight="1" outlineLevel="1">
      <c r="A1245" s="1604" t="s">
        <v>1536</v>
      </c>
      <c r="B1245" s="1712"/>
      <c r="C1245" s="1712"/>
      <c r="D1245" s="1712"/>
      <c r="E1245" s="1712"/>
      <c r="F1245" s="1712"/>
      <c r="G1245" s="1712"/>
      <c r="H1245" s="1712"/>
      <c r="I1245" s="1713"/>
    </row>
    <row r="1246" spans="1:32" ht="19.5" hidden="1" customHeight="1" outlineLevel="1">
      <c r="A1246" s="319"/>
      <c r="B1246" s="319"/>
      <c r="C1246" s="322"/>
      <c r="D1246" s="319"/>
      <c r="E1246" s="319"/>
      <c r="F1246" s="319"/>
      <c r="G1246" s="319"/>
      <c r="H1246" s="385"/>
      <c r="I1246" s="319"/>
    </row>
    <row r="1247" spans="1:32" ht="19.5" hidden="1" customHeight="1" outlineLevel="1">
      <c r="A1247" s="1714" t="s">
        <v>268</v>
      </c>
      <c r="B1247" s="1580" t="s">
        <v>106</v>
      </c>
      <c r="C1247" s="1580"/>
      <c r="D1247" s="966" t="s">
        <v>11</v>
      </c>
      <c r="E1247" s="1580" t="s">
        <v>2356</v>
      </c>
      <c r="F1247" s="1715" t="s">
        <v>270</v>
      </c>
      <c r="G1247" s="1716"/>
      <c r="H1247" s="1580" t="s">
        <v>106</v>
      </c>
      <c r="I1247" s="1715" t="s">
        <v>200</v>
      </c>
      <c r="J1247" s="966"/>
      <c r="K1247" s="1580" t="s">
        <v>106</v>
      </c>
    </row>
    <row r="1248" spans="1:32" ht="19.5" hidden="1" customHeight="1" outlineLevel="1">
      <c r="A1248" s="314"/>
      <c r="D1248" s="320"/>
      <c r="E1248" s="320"/>
      <c r="F1248" s="320"/>
      <c r="H1248" s="995"/>
      <c r="I1248" s="1309"/>
      <c r="K1248" s="136"/>
      <c r="AF1248" s="3465"/>
    </row>
    <row r="1249" spans="1:18" ht="19.5" hidden="1" customHeight="1" outlineLevel="1">
      <c r="A1249" s="1544" t="s">
        <v>1537</v>
      </c>
      <c r="B1249" s="1614" t="str">
        <f>IF(F958="N","N","Y")</f>
        <v>N</v>
      </c>
      <c r="C1249" s="1805">
        <f>Ink!$D$5*IF(B1249="Y",1,0)</f>
        <v>0</v>
      </c>
      <c r="D1249" s="990" t="s">
        <v>11</v>
      </c>
      <c r="K1249" s="136"/>
    </row>
    <row r="1250" spans="1:18" ht="19.5" hidden="1" customHeight="1" outlineLevel="1">
      <c r="B1250" s="1614" t="str">
        <f>IF(F959="N","N","Y")</f>
        <v>N</v>
      </c>
      <c r="C1250" s="1806">
        <f>(H1186+H1198+H1210)*IF(B1250="Y",1,0)</f>
        <v>0</v>
      </c>
      <c r="D1250" s="990" t="s">
        <v>520</v>
      </c>
      <c r="K1250" s="136"/>
    </row>
    <row r="1251" spans="1:18" ht="19.5" customHeight="1" collapsed="1">
      <c r="H1251" s="319"/>
      <c r="R1251" s="319"/>
    </row>
    <row r="1252" spans="1:18" ht="36.6" customHeight="1">
      <c r="A1252" s="2870" t="s">
        <v>1344</v>
      </c>
      <c r="B1252" s="2871" t="str">
        <f>A1225</f>
        <v>Cartons</v>
      </c>
      <c r="C1252" s="2870" t="s">
        <v>2930</v>
      </c>
      <c r="D1252" s="2870" t="s">
        <v>968</v>
      </c>
      <c r="E1252" s="2870" t="s">
        <v>1330</v>
      </c>
      <c r="F1252" s="2870" t="s">
        <v>968</v>
      </c>
      <c r="G1252" s="3742" t="s">
        <v>1330</v>
      </c>
      <c r="K1252" s="136"/>
    </row>
    <row r="1253" spans="1:18" ht="19.5" customHeight="1">
      <c r="A1253" s="2871">
        <f>B7*'Cost EST. GM target'!$N$5</f>
        <v>1000</v>
      </c>
      <c r="B1253" s="2871">
        <f t="shared" ref="B1253:B1264" si="358">IFERROR(ROUNDUP(A1253/$H$1185/IF($H$1188&gt;0,$H$1187,IF($H$1186&gt;0,1,0)),0),0)+IFERROR(ROUNDUP(A1253/$H$1197/IF($H$1200&gt;0,$H$1199,IF($H$1198&gt;0,1,0)),0),0)+IFERROR(ROUNDUP(A1253/$H$1209/IF($H$1212&gt;0,$H$1211,IF($H$1210&gt;0,1,0)),0),0)</f>
        <v>7</v>
      </c>
      <c r="C1253" s="2872">
        <f t="shared" ref="C1253:C1264" ca="1" si="359">ROUNDUP((IFERROR(ROUNDUP(A1253/$H$1185/IF($H$1188&gt;0,$H$1187,IF($H$1186&gt;0,1,0)),0),0)*IF($B$1252="Cartons",$I$1185,$I$1187)+IFERROR(ROUNDUP(A1253/$H$1197/IF($H$1200&gt;0,$H$1199,IF($H$1198&gt;0,1,0)),0),0)*IF($B$1252="Cartons",$I$1197,$I$1199)+IFERROR(ROUNDUP(A1253/$H$1209/IF($H$1212&gt;0,$H$1211,IF($H$1210&gt;0,1,0)),0),0)*IF($B$1252="Cartons",$I$1209,$I$1211))/1000,1)</f>
        <v>0.1</v>
      </c>
      <c r="D1253" s="3462" t="str">
        <f ca="1">'Data transport'!S33</f>
        <v>1.1T</v>
      </c>
      <c r="E1253" s="3462">
        <f ca="1">'Data transport'!T33</f>
        <v>1</v>
      </c>
      <c r="F1253" s="3462" t="str">
        <f ca="1">'Data transport'!AF33</f>
        <v>1.1T</v>
      </c>
      <c r="G1253" s="3945">
        <f>'Data transport'!AJ33</f>
        <v>0</v>
      </c>
      <c r="H1253" s="189">
        <f ca="1">'Data transport'!B33</f>
        <v>54</v>
      </c>
      <c r="K1253" s="136"/>
    </row>
    <row r="1254" spans="1:18" ht="19.5" customHeight="1">
      <c r="A1254" s="2871">
        <f>C7*'Cost EST. GM target'!$N$5</f>
        <v>2000</v>
      </c>
      <c r="B1254" s="2871">
        <f t="shared" si="358"/>
        <v>14</v>
      </c>
      <c r="C1254" s="2872">
        <f t="shared" ca="1" si="359"/>
        <v>0.2</v>
      </c>
      <c r="D1254" s="3462" t="str">
        <f ca="1">'Data transport'!S34</f>
        <v>1.1T</v>
      </c>
      <c r="E1254" s="3462">
        <f ca="1">'Data transport'!T34</f>
        <v>1</v>
      </c>
      <c r="F1254" s="3462" t="str">
        <f ca="1">'Data transport'!AF34</f>
        <v>1.1T</v>
      </c>
      <c r="G1254" s="3945">
        <f>'Data transport'!AJ34</f>
        <v>0</v>
      </c>
      <c r="H1254" s="189">
        <f ca="1">'Data transport'!B34</f>
        <v>54</v>
      </c>
      <c r="K1254" s="136"/>
    </row>
    <row r="1255" spans="1:18" ht="19.5" customHeight="1">
      <c r="A1255" s="2871">
        <f>D7*'Cost EST. GM target'!$N$5</f>
        <v>10000</v>
      </c>
      <c r="B1255" s="2871">
        <f t="shared" si="358"/>
        <v>67</v>
      </c>
      <c r="C1255" s="2872">
        <f t="shared" ca="1" si="359"/>
        <v>0.79999999999999993</v>
      </c>
      <c r="D1255" s="3462" t="str">
        <f ca="1">'Data transport'!S35</f>
        <v>1.8T</v>
      </c>
      <c r="E1255" s="3462">
        <f ca="1">'Data transport'!T35</f>
        <v>1</v>
      </c>
      <c r="F1255" s="3462" t="str">
        <f ca="1">'Data transport'!AF35</f>
        <v>1.1T</v>
      </c>
      <c r="G1255" s="3945">
        <f>'Data transport'!AJ35</f>
        <v>0</v>
      </c>
      <c r="H1255" s="189">
        <f ca="1">'Data transport'!B35</f>
        <v>72</v>
      </c>
      <c r="K1255" s="136"/>
    </row>
    <row r="1256" spans="1:18" ht="19.5" customHeight="1">
      <c r="A1256" s="2871">
        <f>$E$7*'Cost EST. GM target'!$N$5</f>
        <v>30000</v>
      </c>
      <c r="B1256" s="2871">
        <f t="shared" si="358"/>
        <v>200</v>
      </c>
      <c r="C1256" s="2872">
        <f t="shared" ca="1" si="359"/>
        <v>2.4</v>
      </c>
      <c r="D1256" s="3462" t="str">
        <f ca="1">'Data transport'!S36</f>
        <v>8T</v>
      </c>
      <c r="E1256" s="3462">
        <f ca="1">'Data transport'!T36</f>
        <v>1</v>
      </c>
      <c r="F1256" s="3462" t="str">
        <f ca="1">'Data transport'!AF36</f>
        <v>1.1T</v>
      </c>
      <c r="G1256" s="3945">
        <f>'Data transport'!AJ36</f>
        <v>0</v>
      </c>
      <c r="H1256" s="189">
        <f ca="1">'Data transport'!B36</f>
        <v>256</v>
      </c>
      <c r="K1256" s="136"/>
    </row>
    <row r="1257" spans="1:18" ht="19.5" customHeight="1">
      <c r="A1257" s="2871">
        <f>$F$7*'Cost EST. GM target'!$N$5</f>
        <v>50000</v>
      </c>
      <c r="B1257" s="2871">
        <f t="shared" si="358"/>
        <v>334</v>
      </c>
      <c r="C1257" s="2872">
        <f t="shared" ca="1" si="359"/>
        <v>3.9</v>
      </c>
      <c r="D1257" s="3462" t="str">
        <f ca="1">'Data transport'!S37</f>
        <v>12T</v>
      </c>
      <c r="E1257" s="3462">
        <f ca="1">'Data transport'!T37</f>
        <v>1</v>
      </c>
      <c r="F1257" s="3462" t="str">
        <f ca="1">'Data transport'!AF37</f>
        <v>1.1T</v>
      </c>
      <c r="G1257" s="3945">
        <f>'Data transport'!AJ37</f>
        <v>0</v>
      </c>
      <c r="H1257" s="189">
        <f ca="1">'Data transport'!B37</f>
        <v>340</v>
      </c>
      <c r="K1257" s="136"/>
    </row>
    <row r="1258" spans="1:18" ht="19.5" customHeight="1">
      <c r="A1258" s="2871">
        <f>$G$7*'Cost EST. GM target'!$N$5</f>
        <v>3000</v>
      </c>
      <c r="B1258" s="2871">
        <f t="shared" si="358"/>
        <v>20</v>
      </c>
      <c r="C1258" s="2872">
        <f t="shared" ca="1" si="359"/>
        <v>0.30000000000000004</v>
      </c>
      <c r="D1258" s="3462" t="str">
        <f ca="1">'Data transport'!S38</f>
        <v>1.1T</v>
      </c>
      <c r="E1258" s="3462">
        <f ca="1">'Data transport'!T38</f>
        <v>1</v>
      </c>
      <c r="F1258" s="3462" t="str">
        <f ca="1">'Data transport'!AF38</f>
        <v>1.1T</v>
      </c>
      <c r="G1258" s="3945">
        <f>'Data transport'!AJ38</f>
        <v>0</v>
      </c>
      <c r="H1258" s="189">
        <f ca="1">'Data transport'!B38</f>
        <v>54</v>
      </c>
      <c r="K1258" s="136"/>
    </row>
    <row r="1259" spans="1:18" ht="19.5" customHeight="1">
      <c r="A1259" s="2871">
        <f>$H$7*'Cost EST. GM target'!$N$5</f>
        <v>5000</v>
      </c>
      <c r="B1259" s="2871">
        <f t="shared" si="358"/>
        <v>34</v>
      </c>
      <c r="C1259" s="2872">
        <f t="shared" ca="1" si="359"/>
        <v>0.4</v>
      </c>
      <c r="D1259" s="3462" t="str">
        <f ca="1">'Data transport'!S39</f>
        <v>1.1T</v>
      </c>
      <c r="E1259" s="3462">
        <f ca="1">'Data transport'!T39</f>
        <v>1</v>
      </c>
      <c r="F1259" s="3462" t="str">
        <f ca="1">'Data transport'!AF39</f>
        <v>1.1T</v>
      </c>
      <c r="G1259" s="3945">
        <f>'Data transport'!AJ39</f>
        <v>0</v>
      </c>
      <c r="H1259" s="189">
        <f ca="1">'Data transport'!B39</f>
        <v>54</v>
      </c>
      <c r="K1259" s="136"/>
    </row>
    <row r="1260" spans="1:18" ht="19.5" customHeight="1">
      <c r="A1260" s="2871">
        <f>$I$7*'Cost EST. GM target'!$N$5</f>
        <v>0</v>
      </c>
      <c r="B1260" s="2871">
        <f t="shared" si="358"/>
        <v>0</v>
      </c>
      <c r="C1260" s="2872">
        <f t="shared" ca="1" si="359"/>
        <v>0</v>
      </c>
      <c r="D1260" s="3462" t="str">
        <f ca="1">'Data transport'!S40</f>
        <v>1.1T</v>
      </c>
      <c r="E1260" s="3462">
        <f ca="1">'Data transport'!T40</f>
        <v>0</v>
      </c>
      <c r="F1260" s="3462" t="str">
        <f ca="1">'Data transport'!AF40</f>
        <v>1.1T</v>
      </c>
      <c r="G1260" s="3945">
        <f>'Data transport'!AJ40</f>
        <v>0</v>
      </c>
      <c r="H1260" s="189">
        <f ca="1">'Data transport'!B40</f>
        <v>0</v>
      </c>
      <c r="K1260" s="136"/>
    </row>
    <row r="1261" spans="1:18" ht="19.5" customHeight="1">
      <c r="A1261" s="2871">
        <f>$J$7*'Cost EST. GM target'!$N$5</f>
        <v>0</v>
      </c>
      <c r="B1261" s="2871">
        <f t="shared" si="358"/>
        <v>0</v>
      </c>
      <c r="C1261" s="2872">
        <f t="shared" ca="1" si="359"/>
        <v>0</v>
      </c>
      <c r="D1261" s="3462" t="str">
        <f ca="1">'Data transport'!S41</f>
        <v>1.1T</v>
      </c>
      <c r="E1261" s="3462">
        <f ca="1">'Data transport'!T41</f>
        <v>0</v>
      </c>
      <c r="F1261" s="3462" t="str">
        <f ca="1">'Data transport'!AF41</f>
        <v>1.1T</v>
      </c>
      <c r="G1261" s="3945">
        <f>'Data transport'!AJ41</f>
        <v>0</v>
      </c>
      <c r="H1261" s="189">
        <f ca="1">'Data transport'!B41</f>
        <v>0</v>
      </c>
      <c r="K1261" s="136"/>
    </row>
    <row r="1262" spans="1:18" ht="19.5" customHeight="1">
      <c r="A1262" s="2871">
        <f>$K$7*'Cost EST. GM target'!$N$5</f>
        <v>0</v>
      </c>
      <c r="B1262" s="2871">
        <f t="shared" si="358"/>
        <v>0</v>
      </c>
      <c r="C1262" s="2872">
        <f t="shared" ca="1" si="359"/>
        <v>0</v>
      </c>
      <c r="D1262" s="3462" t="str">
        <f ca="1">'Data transport'!S42</f>
        <v>1.1T</v>
      </c>
      <c r="E1262" s="3462">
        <f ca="1">'Data transport'!T42</f>
        <v>0</v>
      </c>
      <c r="F1262" s="3462" t="str">
        <f ca="1">'Data transport'!AF42</f>
        <v>1.1T</v>
      </c>
      <c r="G1262" s="3945">
        <f>'Data transport'!AJ42</f>
        <v>0</v>
      </c>
      <c r="H1262" s="189">
        <f ca="1">'Data transport'!B42</f>
        <v>0</v>
      </c>
      <c r="K1262" s="136"/>
    </row>
    <row r="1263" spans="1:18" ht="19.5" customHeight="1">
      <c r="A1263" s="2871">
        <f>$L$7*'Cost EST. GM target'!$N$5</f>
        <v>0</v>
      </c>
      <c r="B1263" s="2871">
        <f t="shared" si="358"/>
        <v>0</v>
      </c>
      <c r="C1263" s="2872">
        <f t="shared" ca="1" si="359"/>
        <v>0</v>
      </c>
      <c r="D1263" s="3462" t="str">
        <f ca="1">'Data transport'!S43</f>
        <v>1.1T</v>
      </c>
      <c r="E1263" s="3462">
        <f ca="1">'Data transport'!T43</f>
        <v>0</v>
      </c>
      <c r="F1263" s="3462" t="str">
        <f ca="1">'Data transport'!AF43</f>
        <v>1.1T</v>
      </c>
      <c r="G1263" s="3945">
        <f>'Data transport'!AJ43</f>
        <v>0</v>
      </c>
      <c r="H1263" s="189">
        <f ca="1">'Data transport'!B43</f>
        <v>0</v>
      </c>
      <c r="K1263" s="136"/>
    </row>
    <row r="1264" spans="1:18" ht="19.5" customHeight="1">
      <c r="A1264" s="2871">
        <f>$M$7*'Cost EST. GM target'!$N$5</f>
        <v>0</v>
      </c>
      <c r="B1264" s="2871">
        <f t="shared" si="358"/>
        <v>0</v>
      </c>
      <c r="C1264" s="2872">
        <f t="shared" ca="1" si="359"/>
        <v>0</v>
      </c>
      <c r="D1264" s="3462" t="str">
        <f ca="1">'Data transport'!S44</f>
        <v>1.1T</v>
      </c>
      <c r="E1264" s="3462">
        <f ca="1">'Data transport'!T44</f>
        <v>0</v>
      </c>
      <c r="F1264" s="3462" t="str">
        <f ca="1">'Data transport'!AF44</f>
        <v>1.1T</v>
      </c>
      <c r="G1264" s="3945">
        <f>'Data transport'!AJ44</f>
        <v>0</v>
      </c>
      <c r="H1264" s="189">
        <f ca="1">'Data transport'!B44</f>
        <v>0</v>
      </c>
      <c r="K1264" s="136"/>
    </row>
    <row r="1265" spans="1:19" ht="19.5" customHeight="1">
      <c r="K1265" s="136"/>
    </row>
    <row r="1266" spans="1:19" ht="19.5" customHeight="1">
      <c r="K1266" s="136"/>
    </row>
    <row r="1267" spans="1:19" ht="19.5" customHeight="1">
      <c r="K1267" s="136"/>
    </row>
    <row r="1269" spans="1:19" ht="19.5" customHeight="1">
      <c r="F1269" s="313">
        <f ca="1">L1221</f>
        <v>330</v>
      </c>
      <c r="G1269" s="313">
        <f ca="1">L1223</f>
        <v>690</v>
      </c>
    </row>
    <row r="1270" spans="1:19" ht="19.5" customHeight="1">
      <c r="A1270" s="2870" t="s">
        <v>1344</v>
      </c>
      <c r="B1270" s="2871" t="str">
        <f>A1225</f>
        <v>Cartons</v>
      </c>
      <c r="C1270" s="2870" t="s">
        <v>2930</v>
      </c>
      <c r="D1270" s="2870" t="s">
        <v>535</v>
      </c>
      <c r="E1270" s="2870" t="s">
        <v>41</v>
      </c>
      <c r="F1270" s="2870" t="s">
        <v>2941</v>
      </c>
      <c r="G1270" s="2870" t="s">
        <v>2942</v>
      </c>
      <c r="S1270" s="189"/>
    </row>
    <row r="1271" spans="1:19" ht="19.5" customHeight="1">
      <c r="A1271" s="2871">
        <f>B7*'Cost EST. GM target'!$N$5</f>
        <v>1000</v>
      </c>
      <c r="B1271" s="2871">
        <f>IFERROR(ROUNDUP(A1271/$H$1185/IF($H$1188&gt;0,$H$1187,IF($H$1186&gt;0,1,0)),0),0)+IFERROR(ROUNDUP(A1271/$H$1197/IF($H$1200&gt;0,$H$1199,IF($H$1198&gt;0,1,0)),0),0)+IFERROR(ROUNDUP(A1271/$H$1209/IF($H$1212&gt;0,$H$1211,IF($H$1210&gt;0,1,0)),0),0)</f>
        <v>7</v>
      </c>
      <c r="C1271" s="2872">
        <f t="shared" ref="C1271:C1282" ca="1" si="360">ROUNDUP((IFERROR(ROUNDUP(A1271/$H$1185/IF($H$1188&gt;0,$H$1187,IF($H$1186&gt;0,1,0)),0),0)*IF($B$1252="Cartons",$I$1185,$I$1187)+IFERROR(ROUNDUP(A1271/$H$1197/IF($H$1200&gt;0,$H$1199,IF($H$1198&gt;0,1,0)),0),0)*IF($B$1252="Cartons",$I$1197,$I$1199)+IFERROR(ROUNDUP(A1271/$H$1209/IF($H$1212&gt;0,$H$1211,IF($H$1210&gt;0,1,0)),0),0)*IF($B$1252="Cartons",$I$1209,$I$1211))/1000,1)</f>
        <v>0.1</v>
      </c>
      <c r="D1271" s="2873">
        <f t="shared" ref="D1271:D1282" ca="1" si="361">ROUNDUP(IFERROR(ROUNDUP(A1271/$H$1185/IF($H$1188&gt;0,$H$1187,IF($H$1186&gt;0,1,0)),0),0)*IF($B$1252="Cartons",$J$1185,$J$1187)+IFERROR(ROUNDUP(A1271/$H$1197/IF($H$1200&gt;0,$H$1199,IF($H$1198&gt;0,1,0)),0),0)*IF($B$1252="Cartons",$J$1197,$J$1199)+IFERROR(ROUNDUP(A1271/$H$1209/IF($H$1212&gt;0,$H$1211,IF($H$1210&gt;0,1,0)),0),0)*IF($B$1252="Cartons",$J$1209,$J$1211),1)</f>
        <v>0.6</v>
      </c>
      <c r="E1271" s="2889">
        <f t="shared" ref="E1271:E1282" ca="1" si="362">MAX(B1271-$F$1269*F1271-$G$1269*G1271,0)</f>
        <v>0</v>
      </c>
      <c r="F1271" s="2873">
        <v>1</v>
      </c>
      <c r="G1271" s="2873">
        <v>0</v>
      </c>
      <c r="H1271" s="136">
        <f t="shared" ref="H1271:H1282" ca="1" si="363">ROUNDUP(E1271*IF($B$1270="Cartons",$J$1185,$J$1187),1)</f>
        <v>0</v>
      </c>
    </row>
    <row r="1272" spans="1:19" ht="19.5" customHeight="1">
      <c r="A1272" s="2871">
        <f>C7*'Cost EST. GM target'!$N$5</f>
        <v>2000</v>
      </c>
      <c r="B1272" s="2871">
        <f>IFERROR(ROUNDUP(A1272/$H$1185/IF($H$1188&gt;0,$H$1187,IF($H$1186&gt;0,1,0)),0),0)+IFERROR(ROUNDUP(A1272/$H$1197/IF($H$1200&gt;0,$H$1199,IF($H$1198&gt;0,1,0)),0),0)+IFERROR(ROUNDUP(A1272/$H$1209/IF($H$1212&gt;0,$H$1211,IF($H$1210&gt;0,1,0)),0),0)</f>
        <v>14</v>
      </c>
      <c r="C1272" s="2872">
        <f t="shared" ca="1" si="360"/>
        <v>0.2</v>
      </c>
      <c r="D1272" s="2873">
        <f t="shared" ca="1" si="361"/>
        <v>1.1000000000000001</v>
      </c>
      <c r="E1272" s="2889">
        <f t="shared" ca="1" si="362"/>
        <v>0</v>
      </c>
      <c r="F1272" s="2873">
        <v>0</v>
      </c>
      <c r="G1272" s="2873">
        <v>1</v>
      </c>
      <c r="H1272" s="136">
        <f t="shared" ca="1" si="363"/>
        <v>0</v>
      </c>
    </row>
    <row r="1273" spans="1:19" ht="19.5" customHeight="1">
      <c r="A1273" s="2871">
        <f>D7*'Cost EST. GM target'!$N$5</f>
        <v>10000</v>
      </c>
      <c r="B1273" s="2871">
        <f>IFERROR(ROUNDUP(A1273/$H$1185/IF($H$1188&gt;0,$H$1187,IF($H$1186&gt;0,1,0)),0),0)+IFERROR(ROUNDUP(A1273/$H$1197/IF($H$1200&gt;0,$H$1199,IF($H$1198&gt;0,1,0)),0),0)+IFERROR(ROUNDUP(A1273/$H$1209/IF($H$1212&gt;0,$H$1211,IF($H$1210&gt;0,1,0)),0),0)</f>
        <v>67</v>
      </c>
      <c r="C1273" s="2872">
        <f t="shared" ca="1" si="360"/>
        <v>0.79999999999999993</v>
      </c>
      <c r="D1273" s="2873">
        <f t="shared" ca="1" si="361"/>
        <v>4.8999999999999995</v>
      </c>
      <c r="E1273" s="2889">
        <f t="shared" ca="1" si="362"/>
        <v>67</v>
      </c>
      <c r="F1273" s="2873">
        <v>0</v>
      </c>
      <c r="G1273" s="2873">
        <v>0</v>
      </c>
      <c r="H1273" s="136">
        <f t="shared" ca="1" si="363"/>
        <v>4.8999999999999995</v>
      </c>
      <c r="K1273" s="2405"/>
    </row>
    <row r="1274" spans="1:19" ht="19.5" customHeight="1">
      <c r="A1274" s="2871">
        <f>$E$7*'Cost EST. GM target'!$N$5</f>
        <v>30000</v>
      </c>
      <c r="B1274" s="2871">
        <f>IFERROR(ROUNDUP(A1274/$H$1185/IF($H$1188&gt;0,$H$1187,IF($H$1186&gt;0,1,0)),0),0)+IFERROR(ROUNDUP(A1274/$H$1197/IF($H$1200&gt;0,$H$1199,IF($H$1198&gt;0,1,0)),0),0)+IFERROR(ROUNDUP(A1274/$H$1209/IF($H$1212&gt;0,$H$1211,IF($H$1210&gt;0,1,0)),0),0)</f>
        <v>200</v>
      </c>
      <c r="C1274" s="2872">
        <f t="shared" ca="1" si="360"/>
        <v>2.4</v>
      </c>
      <c r="D1274" s="2873">
        <f t="shared" ca="1" si="361"/>
        <v>14.4</v>
      </c>
      <c r="E1274" s="2889">
        <f t="shared" ca="1" si="362"/>
        <v>200</v>
      </c>
      <c r="F1274" s="2873">
        <v>0</v>
      </c>
      <c r="G1274" s="2873">
        <v>0</v>
      </c>
      <c r="H1274" s="136">
        <f t="shared" ca="1" si="363"/>
        <v>14.4</v>
      </c>
      <c r="K1274" s="2887"/>
    </row>
    <row r="1275" spans="1:19" ht="19.5" customHeight="1">
      <c r="A1275" s="2871">
        <f>$F$7*'Cost EST. GM target'!$N$5</f>
        <v>50000</v>
      </c>
      <c r="B1275" s="2871">
        <f>IFERROR(ROUNDUP(A1275/$H$1185/IF($H$1188&gt;0,$H$1187,IF($H$1186&gt;0,1,0)),0),0)+IFERROR(ROUNDUP(A1275/$H$1197/IF($H$1200&gt;0,$H$1199,IF($H$1198&gt;0,1,0)),0),0)+IFERROR(ROUNDUP(A1275/$H$1209/IF($H$1212&gt;0,$H$1211,IF($H$1210&gt;0,1,0)),0),0)</f>
        <v>334</v>
      </c>
      <c r="C1275" s="2872">
        <f t="shared" ca="1" si="360"/>
        <v>3.9</v>
      </c>
      <c r="D1275" s="2873">
        <f t="shared" ca="1" si="361"/>
        <v>24</v>
      </c>
      <c r="E1275" s="2889">
        <f t="shared" ca="1" si="362"/>
        <v>334</v>
      </c>
      <c r="F1275" s="2873">
        <v>0</v>
      </c>
      <c r="G1275" s="2873">
        <v>0</v>
      </c>
      <c r="H1275" s="136">
        <f t="shared" ca="1" si="363"/>
        <v>24</v>
      </c>
      <c r="K1275" s="136"/>
    </row>
    <row r="1276" spans="1:19" ht="19.5" customHeight="1">
      <c r="A1276" s="2871">
        <f>$G$7*'Cost EST. GM target'!$N$5</f>
        <v>3000</v>
      </c>
      <c r="B1276" s="2871">
        <f t="shared" ref="B1276:B1282" si="364">IFERROR(ROUNDUP(A1276/$H$1185/IF($H$1188&gt;0,$H$1187,IF($H$1186&gt;0,1,0)),0),0)+IFERROR(ROUNDUP(A1276/$H$1197/IF($H$1200&gt;0,$H$1199,IF($H$1198&gt;0,1,0)),0),0)+IFERROR(ROUNDUP(A1276/$H$1209/IF($H$1212&gt;0,$H$1211,IF($H$1210&gt;0,1,0)),0),0)</f>
        <v>20</v>
      </c>
      <c r="C1276" s="2872">
        <f t="shared" ca="1" si="360"/>
        <v>0.30000000000000004</v>
      </c>
      <c r="D1276" s="2873">
        <f t="shared" ca="1" si="361"/>
        <v>1.5</v>
      </c>
      <c r="E1276" s="2889">
        <f t="shared" ca="1" si="362"/>
        <v>20</v>
      </c>
      <c r="F1276" s="2873">
        <v>0</v>
      </c>
      <c r="G1276" s="2873">
        <v>0</v>
      </c>
      <c r="H1276" s="136">
        <f t="shared" ca="1" si="363"/>
        <v>1.5</v>
      </c>
      <c r="K1276" s="136"/>
    </row>
    <row r="1277" spans="1:19" ht="19.5" customHeight="1">
      <c r="A1277" s="2871">
        <f>$H$7*'Cost EST. GM target'!$N$5</f>
        <v>5000</v>
      </c>
      <c r="B1277" s="2871">
        <f t="shared" si="364"/>
        <v>34</v>
      </c>
      <c r="C1277" s="2872">
        <f t="shared" ca="1" si="360"/>
        <v>0.4</v>
      </c>
      <c r="D1277" s="2873">
        <f t="shared" ca="1" si="361"/>
        <v>2.5</v>
      </c>
      <c r="E1277" s="2889">
        <f t="shared" ca="1" si="362"/>
        <v>34</v>
      </c>
      <c r="F1277" s="2873">
        <v>0</v>
      </c>
      <c r="G1277" s="2873">
        <v>0</v>
      </c>
      <c r="H1277" s="136">
        <f t="shared" ca="1" si="363"/>
        <v>2.5</v>
      </c>
      <c r="K1277" s="136"/>
    </row>
    <row r="1278" spans="1:19" ht="19.5" customHeight="1">
      <c r="A1278" s="2871">
        <f>$I$7*'Cost EST. GM target'!$N$5</f>
        <v>0</v>
      </c>
      <c r="B1278" s="2871">
        <f t="shared" si="364"/>
        <v>0</v>
      </c>
      <c r="C1278" s="2872">
        <f t="shared" ca="1" si="360"/>
        <v>0</v>
      </c>
      <c r="D1278" s="2873">
        <f t="shared" ca="1" si="361"/>
        <v>0</v>
      </c>
      <c r="E1278" s="2889">
        <f t="shared" ca="1" si="362"/>
        <v>0</v>
      </c>
      <c r="F1278" s="2873">
        <v>0</v>
      </c>
      <c r="G1278" s="2873">
        <v>0</v>
      </c>
      <c r="H1278" s="136">
        <f t="shared" ca="1" si="363"/>
        <v>0</v>
      </c>
      <c r="K1278" s="136"/>
    </row>
    <row r="1279" spans="1:19" ht="19.5" customHeight="1">
      <c r="A1279" s="2871">
        <f>$J$7*'Cost EST. GM target'!$N$5</f>
        <v>0</v>
      </c>
      <c r="B1279" s="2871">
        <f t="shared" si="364"/>
        <v>0</v>
      </c>
      <c r="C1279" s="2872">
        <f t="shared" ca="1" si="360"/>
        <v>0</v>
      </c>
      <c r="D1279" s="2873">
        <f t="shared" ca="1" si="361"/>
        <v>0</v>
      </c>
      <c r="E1279" s="2889">
        <f t="shared" ca="1" si="362"/>
        <v>0</v>
      </c>
      <c r="F1279" s="2873">
        <v>0</v>
      </c>
      <c r="G1279" s="2873">
        <v>0</v>
      </c>
      <c r="H1279" s="136">
        <f t="shared" ca="1" si="363"/>
        <v>0</v>
      </c>
      <c r="K1279" s="136"/>
    </row>
    <row r="1280" spans="1:19" ht="19.5" customHeight="1">
      <c r="A1280" s="2871">
        <f>$K$7*'Cost EST. GM target'!$N$5</f>
        <v>0</v>
      </c>
      <c r="B1280" s="2871">
        <f t="shared" si="364"/>
        <v>0</v>
      </c>
      <c r="C1280" s="2872">
        <f t="shared" ca="1" si="360"/>
        <v>0</v>
      </c>
      <c r="D1280" s="2873">
        <f t="shared" ca="1" si="361"/>
        <v>0</v>
      </c>
      <c r="E1280" s="2889">
        <f t="shared" ca="1" si="362"/>
        <v>0</v>
      </c>
      <c r="F1280" s="2873">
        <v>0</v>
      </c>
      <c r="G1280" s="2873">
        <v>0</v>
      </c>
      <c r="H1280" s="136">
        <f t="shared" ca="1" si="363"/>
        <v>0</v>
      </c>
      <c r="K1280" s="136"/>
    </row>
    <row r="1281" spans="1:18" ht="19.5" customHeight="1">
      <c r="A1281" s="2871">
        <f>$L$7*'Cost EST. GM target'!$N$5</f>
        <v>0</v>
      </c>
      <c r="B1281" s="2871">
        <f t="shared" si="364"/>
        <v>0</v>
      </c>
      <c r="C1281" s="2872">
        <f t="shared" ca="1" si="360"/>
        <v>0</v>
      </c>
      <c r="D1281" s="2873">
        <f t="shared" ca="1" si="361"/>
        <v>0</v>
      </c>
      <c r="E1281" s="2889">
        <f t="shared" ca="1" si="362"/>
        <v>0</v>
      </c>
      <c r="F1281" s="2873">
        <v>0</v>
      </c>
      <c r="G1281" s="2873">
        <v>0</v>
      </c>
      <c r="H1281" s="136">
        <f t="shared" ca="1" si="363"/>
        <v>0</v>
      </c>
      <c r="K1281" s="136"/>
    </row>
    <row r="1282" spans="1:18" ht="19.5" customHeight="1">
      <c r="A1282" s="2871">
        <f>$M$7*'Cost EST. GM target'!$N$5</f>
        <v>0</v>
      </c>
      <c r="B1282" s="2871">
        <f t="shared" si="364"/>
        <v>0</v>
      </c>
      <c r="C1282" s="2872">
        <f t="shared" ca="1" si="360"/>
        <v>0</v>
      </c>
      <c r="D1282" s="2873">
        <f t="shared" ca="1" si="361"/>
        <v>0</v>
      </c>
      <c r="E1282" s="2889">
        <f t="shared" ca="1" si="362"/>
        <v>0</v>
      </c>
      <c r="F1282" s="2873">
        <v>0</v>
      </c>
      <c r="G1282" s="2873">
        <v>0</v>
      </c>
      <c r="H1282" s="136">
        <f t="shared" ca="1" si="363"/>
        <v>0</v>
      </c>
      <c r="K1282" s="136"/>
    </row>
    <row r="1283" spans="1:18" ht="19.5" customHeight="1">
      <c r="K1283" s="136"/>
    </row>
    <row r="1284" spans="1:18" ht="19.5" customHeight="1">
      <c r="K1284" s="136"/>
    </row>
    <row r="1285" spans="1:18" ht="19.5" customHeight="1">
      <c r="K1285" s="136"/>
    </row>
    <row r="1286" spans="1:18" ht="19.5" customHeight="1">
      <c r="K1286" s="136"/>
      <c r="R1286" s="981"/>
    </row>
    <row r="1287" spans="1:18" ht="19.5" customHeight="1">
      <c r="C1287" s="383"/>
      <c r="K1287" s="136"/>
      <c r="R1287" s="981"/>
    </row>
    <row r="1288" spans="1:18" ht="19.5" customHeight="1">
      <c r="C1288" s="981"/>
      <c r="K1288" s="136"/>
      <c r="R1288" s="981"/>
    </row>
    <row r="1289" spans="1:18" ht="19.5" customHeight="1">
      <c r="K1289" s="136"/>
    </row>
    <row r="1290" spans="1:18" ht="19.5" customHeight="1">
      <c r="K1290" s="136"/>
    </row>
    <row r="1291" spans="1:18" ht="19.5" customHeight="1">
      <c r="K1291" s="136"/>
    </row>
    <row r="1292" spans="1:18" ht="19.5" customHeight="1">
      <c r="K1292" s="136"/>
    </row>
    <row r="1293" spans="1:18" ht="19.5" customHeight="1">
      <c r="K1293" s="136"/>
    </row>
    <row r="1294" spans="1:18" ht="19.5" customHeight="1">
      <c r="K1294" s="136"/>
    </row>
    <row r="1295" spans="1:18" ht="19.5" customHeight="1">
      <c r="K1295" s="136"/>
    </row>
    <row r="1296" spans="1:18" ht="19.5" customHeight="1">
      <c r="K1296" s="136"/>
    </row>
    <row r="1297" spans="11:18" ht="19.5" customHeight="1">
      <c r="K1297" s="136"/>
    </row>
    <row r="1298" spans="11:18" ht="19.5" customHeight="1">
      <c r="K1298" s="136"/>
    </row>
    <row r="1299" spans="11:18" ht="19.5" customHeight="1">
      <c r="K1299" s="136"/>
    </row>
    <row r="1300" spans="11:18" ht="19.5" customHeight="1">
      <c r="K1300" s="136"/>
      <c r="R1300" s="383"/>
    </row>
    <row r="1301" spans="11:18" ht="19.5" customHeight="1">
      <c r="K1301" s="136"/>
    </row>
    <row r="1302" spans="11:18" ht="19.5" customHeight="1">
      <c r="K1302" s="136"/>
    </row>
    <row r="1303" spans="11:18" ht="19.5" customHeight="1">
      <c r="K1303" s="136"/>
    </row>
    <row r="1304" spans="11:18" ht="19.5" customHeight="1">
      <c r="K1304" s="136"/>
    </row>
    <row r="1305" spans="11:18" ht="19.5" customHeight="1">
      <c r="K1305" s="136"/>
    </row>
    <row r="1306" spans="11:18" ht="19.5" customHeight="1">
      <c r="K1306" s="136"/>
    </row>
    <row r="1307" spans="11:18" ht="19.5" customHeight="1">
      <c r="K1307" s="136"/>
    </row>
    <row r="1308" spans="11:18" ht="19.5" customHeight="1">
      <c r="K1308" s="136"/>
    </row>
    <row r="1309" spans="11:18" ht="19.5" customHeight="1">
      <c r="K1309" s="136"/>
    </row>
    <row r="1310" spans="11:18" ht="19.5" customHeight="1">
      <c r="K1310" s="136"/>
    </row>
    <row r="1311" spans="11:18" ht="19.5" customHeight="1">
      <c r="K1311" s="136"/>
    </row>
    <row r="1312" spans="11:18" ht="19.5" customHeight="1">
      <c r="K1312" s="136"/>
    </row>
    <row r="1313" spans="11:11" ht="19.5" customHeight="1">
      <c r="K1313" s="136"/>
    </row>
    <row r="1314" spans="11:11" ht="19.5" customHeight="1">
      <c r="K1314" s="136"/>
    </row>
    <row r="1315" spans="11:11" ht="19.5" customHeight="1">
      <c r="K1315" s="136"/>
    </row>
    <row r="1316" spans="11:11" ht="19.5" customHeight="1">
      <c r="K1316" s="136"/>
    </row>
    <row r="1317" spans="11:11" ht="19.5" customHeight="1">
      <c r="K1317" s="136"/>
    </row>
    <row r="1318" spans="11:11" ht="19.5" customHeight="1">
      <c r="K1318" s="136"/>
    </row>
    <row r="1319" spans="11:11" ht="19.5" customHeight="1">
      <c r="K1319" s="136"/>
    </row>
    <row r="1320" spans="11:11" ht="19.5" customHeight="1">
      <c r="K1320" s="136"/>
    </row>
    <row r="1321" spans="11:11" ht="19.5" customHeight="1">
      <c r="K1321" s="136"/>
    </row>
    <row r="1322" spans="11:11" ht="19.5" customHeight="1">
      <c r="K1322" s="136"/>
    </row>
    <row r="1323" spans="11:11" ht="19.5" customHeight="1">
      <c r="K1323" s="136"/>
    </row>
    <row r="1324" spans="11:11" ht="19.5" customHeight="1">
      <c r="K1324" s="136"/>
    </row>
    <row r="1325" spans="11:11" ht="19.5" customHeight="1">
      <c r="K1325" s="136"/>
    </row>
    <row r="1326" spans="11:11" ht="19.5" customHeight="1">
      <c r="K1326" s="136"/>
    </row>
    <row r="1327" spans="11:11" ht="19.5" customHeight="1">
      <c r="K1327" s="136"/>
    </row>
    <row r="1328" spans="11:11" ht="19.5" customHeight="1">
      <c r="K1328" s="136"/>
    </row>
    <row r="1329" spans="11:42" ht="19.5" customHeight="1">
      <c r="K1329" s="136"/>
    </row>
    <row r="1330" spans="11:42" ht="19.5" customHeight="1">
      <c r="K1330" s="136"/>
    </row>
    <row r="1331" spans="11:42" ht="19.5" customHeight="1">
      <c r="K1331" s="136"/>
    </row>
    <row r="1332" spans="11:42" ht="19.5" customHeight="1">
      <c r="K1332" s="136"/>
    </row>
    <row r="1333" spans="11:42" ht="19.5" customHeight="1">
      <c r="K1333" s="136"/>
    </row>
    <row r="1334" spans="11:42" ht="19.5" customHeight="1">
      <c r="K1334" s="136"/>
    </row>
    <row r="1335" spans="11:42" ht="19.5" customHeight="1">
      <c r="K1335" s="136"/>
    </row>
    <row r="1336" spans="11:42" ht="19.5" customHeight="1">
      <c r="K1336" s="136"/>
    </row>
    <row r="1337" spans="11:42" ht="19.5" customHeight="1">
      <c r="K1337" s="136"/>
    </row>
    <row r="1338" spans="11:42" ht="19.5" customHeight="1">
      <c r="K1338" s="136"/>
    </row>
    <row r="1339" spans="11:42" ht="19.5" customHeight="1">
      <c r="K1339" s="136"/>
    </row>
    <row r="1340" spans="11:42" ht="19.5" customHeight="1">
      <c r="X1340" s="315"/>
      <c r="Y1340" s="315"/>
      <c r="Z1340" s="315"/>
      <c r="AA1340" s="315"/>
      <c r="AB1340" s="315"/>
      <c r="AC1340" s="315"/>
      <c r="AD1340" s="315"/>
      <c r="AE1340" s="315"/>
      <c r="AF1340" s="315"/>
      <c r="AG1340" s="315"/>
      <c r="AH1340" s="315"/>
      <c r="AI1340" s="315"/>
      <c r="AJ1340" s="315"/>
      <c r="AO1340" s="383"/>
      <c r="AP1340" s="383"/>
    </row>
    <row r="1341" spans="11:42" ht="19.5" customHeight="1">
      <c r="X1341" s="315"/>
      <c r="Y1341" s="315"/>
      <c r="Z1341" s="315"/>
      <c r="AA1341" s="315"/>
      <c r="AB1341" s="315"/>
      <c r="AC1341" s="315"/>
      <c r="AD1341" s="315"/>
      <c r="AE1341" s="315"/>
      <c r="AF1341" s="315"/>
      <c r="AG1341" s="315"/>
      <c r="AH1341" s="315"/>
      <c r="AI1341" s="315"/>
      <c r="AJ1341" s="315"/>
      <c r="AO1341" s="383"/>
      <c r="AP1341" s="383"/>
    </row>
    <row r="1342" spans="11:42" ht="19.5" customHeight="1">
      <c r="X1342" s="315"/>
      <c r="Y1342" s="315"/>
      <c r="Z1342" s="315"/>
      <c r="AA1342" s="315"/>
      <c r="AB1342" s="315"/>
      <c r="AC1342" s="315"/>
      <c r="AD1342" s="315"/>
      <c r="AE1342" s="315"/>
      <c r="AF1342" s="315"/>
      <c r="AG1342" s="315"/>
      <c r="AH1342" s="315"/>
      <c r="AI1342" s="315"/>
      <c r="AJ1342" s="315"/>
      <c r="AO1342" s="383"/>
      <c r="AP1342" s="383"/>
    </row>
    <row r="1343" spans="11:42" ht="19.5" customHeight="1">
      <c r="X1343" s="315"/>
      <c r="Y1343" s="315"/>
      <c r="Z1343" s="315"/>
      <c r="AA1343" s="315"/>
      <c r="AB1343" s="315"/>
      <c r="AC1343" s="315"/>
      <c r="AD1343" s="315"/>
      <c r="AE1343" s="315"/>
      <c r="AF1343" s="315"/>
      <c r="AG1343" s="315"/>
      <c r="AH1343" s="315"/>
      <c r="AI1343" s="315"/>
      <c r="AJ1343" s="315"/>
      <c r="AO1343" s="383"/>
      <c r="AP1343" s="383"/>
    </row>
    <row r="1344" spans="11:42" ht="19.5" customHeight="1">
      <c r="X1344" s="315"/>
      <c r="Y1344" s="315"/>
      <c r="Z1344" s="315"/>
      <c r="AA1344" s="315"/>
      <c r="AB1344" s="315"/>
      <c r="AC1344" s="315"/>
      <c r="AD1344" s="315"/>
      <c r="AE1344" s="315"/>
      <c r="AF1344" s="315"/>
      <c r="AG1344" s="315"/>
      <c r="AH1344" s="315"/>
      <c r="AI1344" s="315"/>
      <c r="AJ1344" s="315"/>
      <c r="AO1344" s="383"/>
      <c r="AP1344" s="383"/>
    </row>
    <row r="1345" spans="24:42" ht="19.5" customHeight="1">
      <c r="X1345" s="315"/>
      <c r="Y1345" s="315"/>
      <c r="Z1345" s="315"/>
      <c r="AA1345" s="315"/>
      <c r="AB1345" s="315"/>
      <c r="AC1345" s="315"/>
      <c r="AD1345" s="315"/>
      <c r="AE1345" s="315"/>
      <c r="AF1345" s="315"/>
      <c r="AG1345" s="315"/>
      <c r="AH1345" s="315"/>
      <c r="AI1345" s="315"/>
      <c r="AJ1345" s="315"/>
      <c r="AO1345" s="383"/>
      <c r="AP1345" s="383"/>
    </row>
    <row r="1346" spans="24:42" ht="19.5" customHeight="1">
      <c r="X1346" s="315"/>
      <c r="Y1346" s="315"/>
      <c r="Z1346" s="315"/>
      <c r="AA1346" s="315"/>
      <c r="AB1346" s="315"/>
      <c r="AC1346" s="315"/>
      <c r="AD1346" s="315"/>
      <c r="AE1346" s="315"/>
      <c r="AF1346" s="315"/>
      <c r="AG1346" s="315"/>
      <c r="AH1346" s="315"/>
      <c r="AI1346" s="315"/>
      <c r="AJ1346" s="315"/>
      <c r="AO1346" s="383"/>
      <c r="AP1346" s="383"/>
    </row>
    <row r="1347" spans="24:42" ht="19.5" customHeight="1">
      <c r="X1347" s="315"/>
      <c r="Y1347" s="315"/>
      <c r="Z1347" s="315"/>
      <c r="AA1347" s="315"/>
      <c r="AB1347" s="315"/>
      <c r="AC1347" s="315"/>
      <c r="AD1347" s="315"/>
      <c r="AE1347" s="315"/>
      <c r="AF1347" s="315"/>
      <c r="AG1347" s="315"/>
      <c r="AH1347" s="315"/>
      <c r="AI1347" s="315"/>
      <c r="AJ1347" s="315"/>
      <c r="AO1347" s="383"/>
      <c r="AP1347" s="383"/>
    </row>
    <row r="1348" spans="24:42" ht="19.5" customHeight="1">
      <c r="X1348" s="315"/>
      <c r="Y1348" s="315"/>
      <c r="Z1348" s="315"/>
      <c r="AA1348" s="315"/>
      <c r="AB1348" s="315"/>
      <c r="AC1348" s="315"/>
      <c r="AD1348" s="315"/>
      <c r="AE1348" s="315"/>
      <c r="AF1348" s="315"/>
      <c r="AG1348" s="315"/>
      <c r="AH1348" s="315"/>
      <c r="AI1348" s="315"/>
      <c r="AJ1348" s="315"/>
      <c r="AO1348" s="383"/>
      <c r="AP1348" s="383"/>
    </row>
    <row r="1349" spans="24:42" ht="19.5" customHeight="1">
      <c r="X1349" s="315"/>
      <c r="Y1349" s="315"/>
      <c r="Z1349" s="315"/>
      <c r="AA1349" s="315"/>
      <c r="AB1349" s="315"/>
      <c r="AC1349" s="315"/>
      <c r="AD1349" s="315"/>
      <c r="AE1349" s="315"/>
      <c r="AF1349" s="315"/>
      <c r="AG1349" s="315"/>
      <c r="AH1349" s="315"/>
      <c r="AI1349" s="315"/>
      <c r="AJ1349" s="315"/>
      <c r="AO1349" s="383"/>
      <c r="AP1349" s="383"/>
    </row>
    <row r="1350" spans="24:42" ht="19.5" customHeight="1">
      <c r="X1350" s="315"/>
      <c r="Y1350" s="315"/>
      <c r="Z1350" s="315"/>
      <c r="AA1350" s="315"/>
      <c r="AB1350" s="315"/>
      <c r="AC1350" s="315"/>
      <c r="AD1350" s="315"/>
      <c r="AE1350" s="315"/>
      <c r="AF1350" s="315"/>
      <c r="AG1350" s="315"/>
      <c r="AH1350" s="315"/>
      <c r="AI1350" s="315"/>
      <c r="AJ1350" s="315"/>
      <c r="AO1350" s="383"/>
      <c r="AP1350" s="383"/>
    </row>
  </sheetData>
  <mergeCells count="6">
    <mergeCell ref="A16:A21"/>
    <mergeCell ref="A10:A13"/>
    <mergeCell ref="B12:C12"/>
    <mergeCell ref="B13:C13"/>
    <mergeCell ref="B10:C10"/>
    <mergeCell ref="B11:C11"/>
  </mergeCells>
  <conditionalFormatting sqref="F4:G4">
    <cfRule type="cellIs" dxfId="12" priority="1" operator="greaterThan">
      <formula>0</formula>
    </cfRule>
  </conditionalFormatting>
  <conditionalFormatting sqref="G412:G441">
    <cfRule type="expression" dxfId="11" priority="37">
      <formula>$G412&gt;$A412</formula>
    </cfRule>
  </conditionalFormatting>
  <conditionalFormatting sqref="H412:H441">
    <cfRule type="expression" dxfId="10" priority="36">
      <formula>$H412&gt;$A412</formula>
    </cfRule>
  </conditionalFormatting>
  <dataValidations count="34">
    <dataValidation type="list" allowBlank="1" showInputMessage="1" showErrorMessage="1" sqref="E370 E367 E364 E361 E358" xr:uid="{00000000-0002-0000-0900-000000000000}">
      <formula1>"Inhouse,Outsource"</formula1>
    </dataValidation>
    <dataValidation type="list" allowBlank="1" showInputMessage="1" showErrorMessage="1" sqref="F27:F31 F293:F297 F44:F48 F61:F65 F78:F82 F95:F99 F112:F116 F129:F133 F146:F150 F163:F167 F180:F184 F283:F287 F303:F307 F265:F269 F197:F201 F214:F218 F231:F235 F248:F252" xr:uid="{00000000-0002-0000-0900-000001000000}">
      <formula1>"Front Side, Back Side"</formula1>
    </dataValidation>
    <dataValidation type="list" allowBlank="1" showInputMessage="1" showErrorMessage="1" sqref="L27:L28 L293:L294 L44:L45 L61:L62 L78:L79 L95:L96 L112:L113 L129:L130 L146:L147 L163:L164 L180:L181 L283:L284 L303:L304 L265:L266 L197:L198 L214:L215 L231:L232 L248:L249" xr:uid="{00000000-0002-0000-0900-000002000000}">
      <formula1>"Max,Min"</formula1>
    </dataValidation>
    <dataValidation type="list" allowBlank="1" showInputMessage="1" showErrorMessage="1" sqref="O44:O48 M369 O303:O307 O61:O65 O78:O82 O95:O99 O112:O116 O129:O133 O146:O150 O163:O167 O180:O184 O283:O287 O293:O297 M372 M356 M329 M332 O248:O252 M353 M360 M363 M366 M314 M326 M323 M320 M317 O27:O31 O265:O269 O197:O201 O214:O218 O231:O235 M335 M344 M338 M341 M347 M350" xr:uid="{00000000-0002-0000-0900-000003000000}">
      <formula1>"Pcs,Shts"</formula1>
    </dataValidation>
    <dataValidation type="list" allowBlank="1" showInputMessage="1" showErrorMessage="1" sqref="C921" xr:uid="{00000000-0002-0000-0900-000004000000}">
      <formula1>$C$924:$C$925</formula1>
    </dataValidation>
    <dataValidation type="list" allowBlank="1" showInputMessage="1" showErrorMessage="1" sqref="C920" xr:uid="{00000000-0002-0000-0900-000005000000}">
      <formula1>$C$922:$C$923</formula1>
    </dataValidation>
    <dataValidation type="list" allowBlank="1" showInputMessage="1" showErrorMessage="1" sqref="C919" xr:uid="{00000000-0002-0000-0900-000006000000}">
      <formula1>$C$920:$C$921</formula1>
    </dataValidation>
    <dataValidation type="list" allowBlank="1" showInputMessage="1" showErrorMessage="1" sqref="C918" xr:uid="{00000000-0002-0000-0900-000007000000}">
      <formula1>$C$918:$C$919</formula1>
    </dataValidation>
    <dataValidation type="list" allowBlank="1" showInputMessage="1" showErrorMessage="1" sqref="E904" xr:uid="{00000000-0002-0000-0900-000008000000}">
      <formula1>"&lt; 200 x 200,&gt;= 200 x 200"</formula1>
    </dataValidation>
    <dataValidation type="list" allowBlank="1" showInputMessage="1" showErrorMessage="1" sqref="F442 K186 C1101:C1110 B1181 B1193 B1205 H1070 O25 O42 O59 O76 O93 O110 O127 O144 O161 O178 K33 O354 K50 K67 K84 K101 K118 K135 K152 K169 O312 O315 O318 O321 O324 O327 O330 O333 O351 B1225:B1228 I1224 K271 O263 K203 O195 K220 O212 K237 O229 K254 O246 O336 O345 O339 O342 O348" xr:uid="{00000000-0002-0000-0900-000009000000}">
      <formula1>"Y,N"</formula1>
    </dataValidation>
    <dataValidation type="list" allowBlank="1" showInputMessage="1" showErrorMessage="1" sqref="E1094:E1099" xr:uid="{00000000-0002-0000-0900-00000A000000}">
      <formula1>$A$1387:$A$1388</formula1>
    </dataValidation>
    <dataValidation type="list" allowBlank="1" showInputMessage="1" showErrorMessage="1" sqref="C1179 C1191 C1203" xr:uid="{00000000-0002-0000-0900-00000B000000}">
      <formula1>"An Truong Phat,Yuen Foong Yu"</formula1>
    </dataValidation>
    <dataValidation type="list" allowBlank="1" showInputMessage="1" showErrorMessage="1" sqref="B1179:B1180 B1191:B1192 B1203:B1204 B1247 H1247 K1247" xr:uid="{00000000-0002-0000-0900-00000C000000}">
      <formula1>"Y, N"</formula1>
    </dataValidation>
    <dataValidation type="list" allowBlank="1" showInputMessage="1" showErrorMessage="1" sqref="E1179 E1203 E1191" xr:uid="{00000000-0002-0000-0900-00000D000000}">
      <formula1>"Crayola, Others,TT Kinh Do"</formula1>
    </dataValidation>
    <dataValidation type="list" allowBlank="1" showInputMessage="1" showErrorMessage="1" sqref="D1179 D1191 D1203" xr:uid="{00000000-0002-0000-0900-00000E000000}">
      <formula1>"Single Wall,Double Wall"</formula1>
    </dataValidation>
    <dataValidation type="list" allowBlank="1" showInputMessage="1" showErrorMessage="1" sqref="L1222" xr:uid="{00000000-0002-0000-0900-00000F000000}">
      <formula1>"40'Container,40'HQ Container"</formula1>
    </dataValidation>
    <dataValidation type="list" allowBlank="1" showInputMessage="1" showErrorMessage="1" sqref="B1215" xr:uid="{00000000-0002-0000-0900-000010000000}">
      <formula1>"Local,Oversea"</formula1>
    </dataValidation>
    <dataValidation type="list" allowBlank="1" showInputMessage="1" showErrorMessage="1" sqref="D626:G626 D564:G564 D837:G837" xr:uid="{00000000-0002-0000-0900-000011000000}">
      <formula1>$A$25:$A$194</formula1>
    </dataValidation>
    <dataValidation type="list" allowBlank="1" showInputMessage="1" showErrorMessage="1" sqref="B3" xr:uid="{00000000-0002-0000-0900-000012000000}">
      <formula1>"BOOK,PACK"</formula1>
    </dataValidation>
    <dataValidation type="list" allowBlank="1" showInputMessage="1" showErrorMessage="1" sqref="D412:D441" xr:uid="{00000000-0002-0000-0900-000013000000}">
      <formula1>INDIRECT($C412)</formula1>
    </dataValidation>
    <dataValidation type="list" allowBlank="1" showInputMessage="1" showErrorMessage="1" sqref="K10:K13" xr:uid="{00000000-0002-0000-0900-000014000000}">
      <formula1>$O$9:$O$15</formula1>
    </dataValidation>
    <dataValidation type="list" allowBlank="1" showInputMessage="1" showErrorMessage="1" sqref="G442" xr:uid="{00000000-0002-0000-0900-000015000000}">
      <formula1>$D$1062:$D$1070</formula1>
    </dataValidation>
    <dataValidation type="list" allowBlank="1" showInputMessage="1" showErrorMessage="1" sqref="C57 C261 C227 C278 C193 C74 C91 C108 C125 C142 C159 C176 C210 C244" xr:uid="{00000000-0002-0000-0900-000016000000}">
      <formula1>$A$1341:$A$1370</formula1>
    </dataValidation>
    <dataValidation type="list" allowBlank="1" showInputMessage="1" showErrorMessage="1" sqref="J957:J961" xr:uid="{00000000-0002-0000-0900-000017000000}">
      <formula1>"Crayola,Other"</formula1>
    </dataValidation>
    <dataValidation type="list" allowBlank="1" showInputMessage="1" showErrorMessage="1" sqref="P25 P42 P59 P76 P93 P110 P127 P144 P161 P178 P263 P195 P212 P229 P246" xr:uid="{00000000-0002-0000-0900-000018000000}">
      <formula1>"Roll,Ream"</formula1>
    </dataValidation>
    <dataValidation type="list" allowBlank="1" showInputMessage="1" showErrorMessage="1" sqref="B1094:B1099 B1073:B1092" xr:uid="{00000000-0002-0000-0900-000019000000}">
      <formula1>"Shts,Pcs"</formula1>
    </dataValidation>
    <dataValidation type="list" allowBlank="1" showInputMessage="1" sqref="K303:K304 K180:K181 K146:K147 K95:K96 K44:K45 K61:K62 K78:K79 K112:K113 K163:K164 K129:K130 K283:K284 K293:K294 K27:K28 K265:K266 K197:K198 K214:K215 K231:K232 K248:K249" xr:uid="{00000000-0002-0000-0900-00001A000000}">
      <formula1>INDIRECT($J27)</formula1>
    </dataValidation>
    <dataValidation type="list" allowBlank="1" showInputMessage="1" showErrorMessage="1" sqref="L1112:L1123" xr:uid="{00000000-0002-0000-0900-00001B000000}">
      <formula1>INDIRECT($K1112)</formula1>
    </dataValidation>
    <dataValidation type="list" allowBlank="1" showInputMessage="1" showErrorMessage="1" sqref="J373 F1" xr:uid="{00000000-0002-0000-0900-00001D000000}">
      <formula1>"2022,2023"</formula1>
    </dataValidation>
    <dataValidation type="list" allowBlank="1" showInputMessage="1" showErrorMessage="1" sqref="D1230" xr:uid="{00000000-0002-0000-0900-00001E000000}">
      <formula1>"EU,US,JAPAN,CHINA,NONE"</formula1>
    </dataValidation>
    <dataValidation type="list" allowBlank="1" showInputMessage="1" showErrorMessage="1" sqref="F962:F963 F939:F940 F935" xr:uid="{00000000-0002-0000-0900-00001F000000}">
      <formula1>$B$103:$B$113</formula1>
    </dataValidation>
    <dataValidation type="list" allowBlank="1" showInputMessage="1" showErrorMessage="1" sqref="E1070" xr:uid="{00000000-0002-0000-0900-000020000000}">
      <formula1>"Promotion,Regular"</formula1>
    </dataValidation>
    <dataValidation type="list" allowBlank="1" showInputMessage="1" showErrorMessage="1" sqref="B1230" xr:uid="{00000000-0002-0000-0900-000021000000}">
      <formula1>"FOB,CIF,DAP,DDU,EXW-FCA(có bốc xếp + khai hai quan 1 dau)"</formula1>
    </dataValidation>
    <dataValidation type="list" allowBlank="1" showInputMessage="1" showErrorMessage="1" sqref="E5" xr:uid="{00000000-0002-0000-0900-00001C000000}">
      <formula1>$B$178:$B$321</formula1>
    </dataValidation>
  </dataValidations>
  <pageMargins left="0.59055118110236227" right="0.19685039370078741" top="0.98425196850393704" bottom="0.98425196850393704" header="0.51181102362204722" footer="0.51181102362204722"/>
  <pageSetup paperSize="9" scale="84" orientation="portrait" horizontalDpi="300" verticalDpi="300" r:id="rId1"/>
  <headerFooter alignWithMargins="0"/>
  <drawing r:id="rId2"/>
  <legacyDrawing r:id="rId3"/>
  <extLst>
    <ext xmlns:x14="http://schemas.microsoft.com/office/spreadsheetml/2009/9/main" uri="{CCE6A557-97BC-4b89-ADB6-D9C93CAAB3DF}">
      <x14:dataValidations xmlns:xm="http://schemas.microsoft.com/office/excel/2006/main" count="49">
        <x14:dataValidation type="list" allowBlank="1" showInputMessage="1" showErrorMessage="1" xr:uid="{00000000-0002-0000-0900-000022000000}">
          <x14:formula1>
            <xm:f>'ACC &amp; Other Material '!$B$104:$B$114</xm:f>
          </x14:formula1>
          <xm:sqref>C1094:C1099</xm:sqref>
        </x14:dataValidation>
        <x14:dataValidation type="list" allowBlank="1" showInputMessage="1" xr:uid="{00000000-0002-0000-0900-000023000000}">
          <x14:formula1>
            <xm:f>OFFSET(Droplist!$X$3,,,COUNTIF(Droplist!$X:$X,"?*"))</xm:f>
          </x14:formula1>
          <xm:sqref>B1217</xm:sqref>
        </x14:dataValidation>
        <x14:dataValidation type="list" allowBlank="1" showInputMessage="1" showErrorMessage="1" xr:uid="{00000000-0002-0000-0900-000024000000}">
          <x14:formula1>
            <xm:f>'Sum local charge July.19'!$C$2:$P$2</xm:f>
          </x14:formula1>
          <xm:sqref>C1230</xm:sqref>
        </x14:dataValidation>
        <x14:dataValidation type="list" allowBlank="1" showInputMessage="1" showErrorMessage="1" xr:uid="{00000000-0002-0000-0900-000025000000}">
          <x14:formula1>
            <xm:f>'Courier charge (Fedex)'!$C$6:$X$6</xm:f>
          </x14:formula1>
          <xm:sqref>E1247</xm:sqref>
        </x14:dataValidation>
        <x14:dataValidation type="list" allowBlank="1" showInputMessage="1" showErrorMessage="1" xr:uid="{00000000-0002-0000-0900-000029000000}">
          <x14:formula1>
            <xm:f>Data!$O$1:$O$2</xm:f>
          </x14:formula1>
          <xm:sqref>B2</xm:sqref>
        </x14:dataValidation>
        <x14:dataValidation type="list" allowBlank="1" showInputMessage="1" showErrorMessage="1" xr:uid="{00000000-0002-0000-0900-00002A000000}">
          <x14:formula1>
            <xm:f>Data!$O$3:$O$5</xm:f>
          </x14:formula1>
          <xm:sqref>B1</xm:sqref>
        </x14:dataValidation>
        <x14:dataValidation type="list" allowBlank="1" showInputMessage="1" showErrorMessage="1" xr:uid="{00000000-0002-0000-0900-00002B000000}">
          <x14:formula1>
            <xm:f>Data!$P$825:$P$829</xm:f>
          </x14:formula1>
          <xm:sqref>B281 B301 B291</xm:sqref>
        </x14:dataValidation>
        <x14:dataValidation type="list" allowBlank="1" showInputMessage="1" showErrorMessage="1" xr:uid="{00000000-0002-0000-0900-00002C000000}">
          <x14:formula1>
            <xm:f>Data!$T$12:$U$12</xm:f>
          </x14:formula1>
          <xm:sqref>E178 E354 E351 E333 E330 E324 E321 E318 E315 E93 E312 E144 E127 E161 E110 E76 E59 E42 E25 E327 E263 E195 E212 E229 E246 E336 E345 E339 E342 E348</xm:sqref>
        </x14:dataValidation>
        <x14:dataValidation type="list" allowBlank="1" showInputMessage="1" showErrorMessage="1" xr:uid="{00000000-0002-0000-0900-00002D000000}">
          <x14:formula1>
            <xm:f>Data!$L$912:$L$942</xm:f>
          </x14:formula1>
          <xm:sqref>E44:E48 E303:E307 E293:E297 E283:E287 E180:E184 E163:E167 E146:E150 E129:E133 E112:E116 E95:E99 E78:E82 E61:E65 E29:E31 E265:E269 E197:E201 E214:E218 E231:E235 E248:E252</xm:sqref>
        </x14:dataValidation>
        <x14:dataValidation type="list" allowBlank="1" showInputMessage="1" showErrorMessage="1" xr:uid="{00000000-0002-0000-0900-00002E000000}">
          <x14:formula1>
            <xm:f>Data!$L$962:$L$993</xm:f>
          </x14:formula1>
          <xm:sqref>B193 B40:C40 K372 K369 K366 K363 K360 K356 K353 M248:M252 K332 K329 K326 K323 K320 K317 K314 M303:M307 M293:M297 M283:M287 M180:M184 M163:M167 M146:M150 M129:M133 M112:M116 M95:M99 M78:M82 M61:M65 K350 B57 B74 B91 B108 B125 B142 B159 B176 M29:M31 B278 M265:M269 B210 M197:M201 B227 M214:M218 B244 M231:M235 B261 K335 K344 K338 K341 K347 M44:M48</xm:sqref>
        </x14:dataValidation>
        <x14:dataValidation type="list" allowBlank="1" showInputMessage="1" showErrorMessage="1" xr:uid="{00000000-0002-0000-0900-00002F000000}">
          <x14:formula1>
            <xm:f>Data!$L$943:$L$959</xm:f>
          </x14:formula1>
          <xm:sqref>J112:J113 J129:J130 J180:J181 J283:J284 J293:J294 J303:J304 J146:J147 J27:J28 J163:J164 J44:J45 J61:J62 J78:J79 J95:J96 J265:J266 J197:J198 J214:J215 J231:J232 J248:J249</xm:sqref>
        </x14:dataValidation>
        <x14:dataValidation type="list" allowBlank="1" showInputMessage="1" showErrorMessage="1" xr:uid="{00000000-0002-0000-0900-000030000000}">
          <x14:formula1>
            <xm:f>Data!$L$1064:$L$1071</xm:f>
          </x14:formula1>
          <xm:sqref>A163:A176 A248:A261 A303:A309 A27:A40 A61:A74 A78:A91 A95:A108 A112:A125 A129:A142 A146:A159 A283:A289 A293:A299 A180:A193 A44:A57 A197:A210 A214:A227 A231:A244 A265:A278</xm:sqref>
        </x14:dataValidation>
        <x14:dataValidation type="list" allowBlank="1" showInputMessage="1" showErrorMessage="1" xr:uid="{00000000-0002-0000-0900-000031000000}">
          <x14:formula1>
            <xm:f>Data!$L$1079:$L$1083</xm:f>
          </x14:formula1>
          <xm:sqref>B370 B361 B364 B367 B358</xm:sqref>
        </x14:dataValidation>
        <x14:dataValidation type="list" allowBlank="1" showInputMessage="1" showErrorMessage="1" xr:uid="{00000000-0002-0000-0900-000032000000}">
          <x14:formula1>
            <xm:f>Data!$N$1201:$N$1214</xm:f>
          </x14:formula1>
          <xm:sqref>C246 C161 C144 C127 C59 C110 C76 C42 C178 C93 C263 C195 C212 C229</xm:sqref>
        </x14:dataValidation>
        <x14:dataValidation type="list" allowBlank="1" showInputMessage="1" showErrorMessage="1" xr:uid="{00000000-0002-0000-0900-000033000000}">
          <x14:formula1>
            <xm:f>Data!$Q$1112:$S$1112</xm:f>
          </x14:formula1>
          <xm:sqref>E412:E441</xm:sqref>
        </x14:dataValidation>
        <x14:dataValidation type="list" allowBlank="1" showInputMessage="1" showErrorMessage="1" xr:uid="{00000000-0002-0000-0900-000034000000}">
          <x14:formula1>
            <xm:f>Data!$M$1038:$M$1039</xm:f>
          </x14:formula1>
          <xm:sqref>E1124:E1128</xm:sqref>
        </x14:dataValidation>
        <x14:dataValidation type="list" allowBlank="1" showInputMessage="1" showErrorMessage="1" xr:uid="{00000000-0002-0000-0900-000035000000}">
          <x14:formula1>
            <xm:f>Data!$L$1011:$L$1013</xm:f>
          </x14:formula1>
          <xm:sqref>D1094:D1099</xm:sqref>
        </x14:dataValidation>
        <x14:dataValidation type="list" allowBlank="1" showInputMessage="1" showErrorMessage="1" xr:uid="{00000000-0002-0000-0900-000036000000}">
          <x14:formula1>
            <xm:f>Data!$L$1027:$L$1028</xm:f>
          </x14:formula1>
          <xm:sqref>E1073:E1092</xm:sqref>
        </x14:dataValidation>
        <x14:dataValidation type="list" allowBlank="1" showInputMessage="1" showErrorMessage="1" xr:uid="{00000000-0002-0000-0900-000037000000}">
          <x14:formula1>
            <xm:f>Data!$L$1018:$L$1019</xm:f>
          </x14:formula1>
          <xm:sqref>D1124:D1128</xm:sqref>
        </x14:dataValidation>
        <x14:dataValidation type="list" allowBlank="1" showInputMessage="1" showErrorMessage="1" xr:uid="{00000000-0002-0000-0900-000038000000}">
          <x14:formula1>
            <xm:f>Data!$L$1004:$L$1010</xm:f>
          </x14:formula1>
          <xm:sqref>D1073:D1092</xm:sqref>
        </x14:dataValidation>
        <x14:dataValidation type="list" allowBlank="1" showInputMessage="1" showErrorMessage="1" xr:uid="{00000000-0002-0000-0900-000039000000}">
          <x14:formula1>
            <xm:f>Data!$N$1086:$O$1086</xm:f>
          </x14:formula1>
          <xm:sqref>E918:E921</xm:sqref>
        </x14:dataValidation>
        <x14:dataValidation type="list" allowBlank="1" showInputMessage="1" showErrorMessage="1" xr:uid="{00000000-0002-0000-0900-00003A000000}">
          <x14:formula1>
            <xm:f>Data!$N$1097:$S$1097</xm:f>
          </x14:formula1>
          <xm:sqref>E942:E953</xm:sqref>
        </x14:dataValidation>
        <x14:dataValidation type="list" allowBlank="1" showInputMessage="1" showErrorMessage="1" xr:uid="{00000000-0002-0000-0900-00003B000000}">
          <x14:formula1>
            <xm:f>Data!$L$1140:$L$1146</xm:f>
          </x14:formula1>
          <xm:sqref>C412:C441</xm:sqref>
        </x14:dataValidation>
        <x14:dataValidation type="list" allowBlank="1" showInputMessage="1" showErrorMessage="1" xr:uid="{00000000-0002-0000-0900-00003C000000}">
          <x14:formula1>
            <xm:f>Data!$L$1173:$L$1181</xm:f>
          </x14:formula1>
          <xm:sqref>C444:C563</xm:sqref>
        </x14:dataValidation>
        <x14:dataValidation type="list" allowBlank="1" showInputMessage="1" showErrorMessage="1" xr:uid="{00000000-0002-0000-0900-00003D000000}">
          <x14:formula1>
            <xm:f>Data!$L$1158:$L$1164</xm:f>
          </x14:formula1>
          <xm:sqref>C742:C831</xm:sqref>
        </x14:dataValidation>
        <x14:dataValidation type="list" allowBlank="1" showInputMessage="1" showErrorMessage="1" xr:uid="{00000000-0002-0000-0900-00003E000000}">
          <x14:formula1>
            <xm:f>Data!$Y$1061:$Y$1063</xm:f>
          </x14:formula1>
          <xm:sqref>B4</xm:sqref>
        </x14:dataValidation>
        <x14:dataValidation type="list" allowBlank="1" showInputMessage="1" showErrorMessage="1" xr:uid="{00000000-0002-0000-0900-00003F000000}">
          <x14:formula1>
            <xm:f>Data!$R$1201:$R$1208</xm:f>
          </x14:formula1>
          <xm:sqref>B354 B312 B315 B318 B321 B324 B330 B333 B351 B327 B336 B345 B339 B342 B348</xm:sqref>
        </x14:dataValidation>
        <x14:dataValidation type="list" allowBlank="1" showInputMessage="1" showErrorMessage="1" xr:uid="{00000000-0002-0000-0900-000040000000}">
          <x14:formula1>
            <xm:f>Data!$L$1046:$L$1047</xm:f>
          </x14:formula1>
          <xm:sqref>K1112:K1123</xm:sqref>
        </x14:dataValidation>
        <x14:dataValidation type="list" allowBlank="1" showInputMessage="1" showErrorMessage="1" xr:uid="{00000000-0002-0000-0900-000041000000}">
          <x14:formula1>
            <xm:f>Data!$L$1165:$L$1169</xm:f>
          </x14:formula1>
          <xm:sqref>C566:C610</xm:sqref>
        </x14:dataValidation>
        <x14:dataValidation type="list" allowBlank="1" showInputMessage="1" xr:uid="{00000000-0002-0000-0900-000042000000}">
          <x14:formula1>
            <xm:f>Data!$L$1201:$L$1310</xm:f>
          </x14:formula1>
          <xm:sqref>B246 B178 B161 B144 B127 B110 B76 B59 B42 B93 B263 B195 B212 B229</xm:sqref>
        </x14:dataValidation>
        <x14:dataValidation type="list" allowBlank="1" showInputMessage="1" showErrorMessage="1" xr:uid="{00000000-0002-0000-0900-000043000000}">
          <x14:formula1>
            <xm:f>Data!$S$1201:$S$1260</xm:f>
          </x14:formula1>
          <xm:sqref>C312 C354 C351 C333 C330 C324 C321 C318 C315 C327 C336 C345 C339 C342 C348</xm:sqref>
        </x14:dataValidation>
        <x14:dataValidation type="list" allowBlank="1" showInputMessage="1" showErrorMessage="1" xr:uid="{00000000-0002-0000-0900-000044000000}">
          <x14:formula1>
            <xm:f>Data!$M$1201:$M$1269</xm:f>
          </x14:formula1>
          <xm:sqref>D178 D93 D42 D59 D76 D110 D127 D144 D161 D263 D195 D212 D229 D246</xm:sqref>
        </x14:dataValidation>
        <x14:dataValidation type="list" allowBlank="1" showInputMessage="1" showErrorMessage="1" xr:uid="{00000000-0002-0000-0900-000045000000}">
          <x14:formula1>
            <xm:f>'Fix Cost'!$K$177:$K$179</xm:f>
          </x14:formula1>
          <xm:sqref>K628:K836 K863:K928 K412:K441 K839:K859 K444:K563 K566:K625 K375:K409 K931:K954 K957:K1061</xm:sqref>
        </x14:dataValidation>
        <x14:dataValidation type="list" allowBlank="1" showInputMessage="1" showErrorMessage="1" xr:uid="{00000000-0002-0000-0900-000048000000}">
          <x14:formula1>
            <xm:f>'Summary Data'!$C$6:$C$57</xm:f>
          </x14:formula1>
          <xm:sqref>A348 A315 A25 A318 A42 A110 A59 A76 A127 A144 A161 A93 A281 A263 A178 A312 A333 A291 A321 A324 A327 A330 A351 E375:E389 E444:E563 A246 E566:E625 E868:E882 E628:E645 E666:E683 E742:E831 E839:E858 A301 A358 A361 A364 A367 A370 E704:E721 A195 A212 A229 C964:C978 C1002:C1016 A336 A345 A339 A342 A354</xm:sqref>
        </x14:dataValidation>
        <x14:dataValidation type="list" allowBlank="1" showInputMessage="1" xr:uid="{00000000-0002-0000-0900-000049000000}">
          <x14:formula1>
            <xm:f>OFFSET(Droplist!$J$3,,,COUNTIF(Droplist!$J:$J,"?*"))</xm:f>
          </x14:formula1>
          <xm:sqref>B5</xm:sqref>
        </x14:dataValidation>
        <x14:dataValidation type="list" allowBlank="1" showInputMessage="1" xr:uid="{00000000-0002-0000-0900-00004A000000}">
          <x14:formula1>
            <xm:f>OFFSET(Droplist!$R$3,,,COUNTIF(Droplist!$R:$R,"?*"))</xm:f>
          </x14:formula1>
          <xm:sqref>E27</xm:sqref>
        </x14:dataValidation>
        <x14:dataValidation type="list" allowBlank="1" showInputMessage="1" xr:uid="{00000000-0002-0000-0900-00004B000000}">
          <x14:formula1>
            <xm:f>OFFSET(Droplist!$T$3,,,COUNTIF(Droplist!$T:$T,"?*"))</xm:f>
          </x14:formula1>
          <xm:sqref>E28</xm:sqref>
        </x14:dataValidation>
        <x14:dataValidation type="list" allowBlank="1" showInputMessage="1" showErrorMessage="1" xr:uid="{00000000-0002-0000-0900-00004C000000}">
          <x14:formula1>
            <xm:f>'ACC &amp; Other Material '!$B$105:$B$114</xm:f>
          </x14:formula1>
          <xm:sqref>F934</xm:sqref>
        </x14:dataValidation>
        <x14:dataValidation type="list" allowBlank="1" showInputMessage="1" xr:uid="{BE261560-77A1-476B-9A74-805695B6D06D}">
          <x14:formula1>
            <xm:f>OFFSET(Droplist!$D$3,,,COUNTIF(Droplist!$D:$D,"?*"))</xm:f>
          </x14:formula1>
          <xm:sqref>M27</xm:sqref>
        </x14:dataValidation>
        <x14:dataValidation type="list" allowBlank="1" showInputMessage="1" xr:uid="{F045C7F8-9ED5-4C66-A0C5-688AD6A1D0D2}">
          <x14:formula1>
            <xm:f>OFFSET(Droplist!$F$3,,,COUNTIF(Droplist!$F:$F,"?*"))</xm:f>
          </x14:formula1>
          <xm:sqref>M28</xm:sqref>
        </x14:dataValidation>
        <x14:dataValidation type="list" allowBlank="1" showInputMessage="1" xr:uid="{162387E1-5258-457C-8ED0-567A4143333F}">
          <x14:formula1>
            <xm:f>OFFSET(Droplist!$N$3,,,COUNTIF(Droplist!$N:$N,"?*"))</xm:f>
          </x14:formula1>
          <xm:sqref>D25</xm:sqref>
        </x14:dataValidation>
        <x14:dataValidation type="list" allowBlank="1" showInputMessage="1" showErrorMessage="1" xr:uid="{00000000-0002-0000-0900-000026000000}">
          <x14:formula1>
            <xm:f>weight!$A$6:$A$21</xm:f>
          </x14:formula1>
          <xm:sqref>I312 I358 I367 I364 I361 I321 I354 I351 I333 I330 I327 I324 I318 I315 I370 I336 I345 I339 I342 I348</xm:sqref>
        </x14:dataValidation>
        <x14:dataValidation type="list" allowBlank="1" showInputMessage="1" showErrorMessage="1" xr:uid="{00000000-0002-0000-0900-000027000000}">
          <x14:formula1>
            <xm:f>weight!$A$5:$A$39</xm:f>
          </x14:formula1>
          <xm:sqref>F254 F237 F220 F203 F271 J628:J836 F412:F441 F444:F563 F964:F1061 J1094:J1099 J1073:J1092 J962:J1061 J863:J928 J1112:J1158 J375:J409 F349 F371 F368 F365 F362 F359 F355 F352 F334 F331 F328 F325 F322 F319 F316 F313 F309 F289 F186 F169 F152 F135 F118 F101 F84 F67 F50 F33 J1101:J1110 F957:F961 C1073:C1092 F936:F938 F931:F933 F1064:F1067 F941:F954 C1160:C1174 F566:F625 J412:J441 J444:J563 F375:F409 J839:J859 F863:F928 F628:F836 C1124:C1133 C1144:C1158 F337 F346 F340 F343 F859 J566:J625 J931:J954 J1160:J1174</xm:sqref>
        </x14:dataValidation>
        <x14:dataValidation type="list" allowBlank="1" showInputMessage="1" showErrorMessage="1" xr:uid="{00000000-0002-0000-0900-000028000000}">
          <x14:formula1>
            <xm:f>weight!$A$6:$A$39</xm:f>
          </x14:formula1>
          <xm:sqref>G1181:K1182 G1193:K1194 G1205:K1206</xm:sqref>
        </x14:dataValidation>
        <x14:dataValidation type="list" allowBlank="1" showInputMessage="1" xr:uid="{FE4A34FE-1D72-4A92-9A87-1AA6AA4A06DC}">
          <x14:formula1>
            <xm:f>weight!$A$5:$A$39</xm:f>
          </x14:formula1>
          <xm:sqref>C1134:C1143 C1112:C1123</xm:sqref>
        </x14:dataValidation>
        <x14:dataValidation type="list" allowBlank="1" showInputMessage="1" showErrorMessage="1" xr:uid="{00000000-0002-0000-0900-000047000000}">
          <x14:formula1>
            <xm:f>'Sum local charge July.19'!$L$77:$L$85</xm:f>
          </x14:formula1>
          <xm:sqref>D1226</xm:sqref>
        </x14:dataValidation>
        <x14:dataValidation type="list" allowBlank="1" showInputMessage="1" showErrorMessage="1" xr:uid="{00000000-0002-0000-0900-000046000000}">
          <x14:formula1>
            <xm:f>'Sum local charge July.19'!$P$77:$P$86</xm:f>
          </x14:formula1>
          <xm:sqref>D1225 D1227:D1228 D1254:D1264 F1253:F1264</xm:sqref>
        </x14:dataValidation>
        <x14:dataValidation type="list" allowBlank="1" showInputMessage="1" xr:uid="{7167300C-762E-4735-8224-EDC80CDD7B30}">
          <x14:formula1>
            <xm:f>'Sum local charge July.19'!$P$77:$P$86</xm:f>
          </x14:formula1>
          <xm:sqref>D1253</xm:sqref>
        </x14:dataValidation>
        <x14:dataValidation type="list" allowBlank="1" showInputMessage="1" xr:uid="{201308A6-21B9-4A5A-8BD0-FBACC963E2BA}">
          <x14:formula1>
            <xm:f>OFFSET(Droplist!$AB$3,,,COUNTIF(Droplist!$AB:$AB,"?*"))</xm:f>
          </x14:formula1>
          <xm:sqref>C25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23AA1-735D-4C7D-8005-B15254721A17}">
  <sheetPr codeName="Sheet44"/>
  <dimension ref="A3:AO64"/>
  <sheetViews>
    <sheetView zoomScale="85" zoomScaleNormal="85" workbookViewId="0">
      <pane xSplit="5" ySplit="5" topLeftCell="F6" activePane="bottomRight" state="frozen"/>
      <selection pane="topRight" activeCell="F1" sqref="F1"/>
      <selection pane="bottomLeft" activeCell="A6" sqref="A6"/>
      <selection pane="bottomRight" activeCell="F10" sqref="F10"/>
    </sheetView>
  </sheetViews>
  <sheetFormatPr defaultColWidth="8.85546875" defaultRowHeight="12.75"/>
  <cols>
    <col min="1" max="1" width="14.42578125" style="3928" customWidth="1"/>
    <col min="2" max="2" width="8.85546875" style="3928"/>
    <col min="3" max="3" width="9.42578125" style="3928" bestFit="1" customWidth="1"/>
    <col min="4" max="4" width="12" style="3928" bestFit="1" customWidth="1"/>
    <col min="5" max="5" width="9.140625" style="3928" bestFit="1" customWidth="1"/>
    <col min="6" max="16" width="11.42578125" style="3928" bestFit="1" customWidth="1"/>
    <col min="17" max="27" width="8.85546875" style="3928" bestFit="1" customWidth="1"/>
    <col min="28" max="28" width="8.85546875" style="3928"/>
    <col min="29" max="29" width="8.85546875" style="3928" bestFit="1" customWidth="1"/>
    <col min="30" max="32" width="11.42578125" style="3928" bestFit="1" customWidth="1"/>
    <col min="33" max="33" width="8.85546875" style="3928"/>
    <col min="34" max="34" width="8.85546875" style="3928" bestFit="1" customWidth="1"/>
    <col min="35" max="35" width="8.85546875" style="3928"/>
    <col min="36" max="37" width="8.85546875" style="3928" bestFit="1" customWidth="1"/>
    <col min="38" max="38" width="8.85546875" style="3928"/>
    <col min="39" max="40" width="8.85546875" style="3928" bestFit="1" customWidth="1"/>
    <col min="41" max="16384" width="8.85546875" style="3928"/>
  </cols>
  <sheetData>
    <row r="3" spans="2:41">
      <c r="B3" s="3880"/>
      <c r="C3" s="3927" t="s">
        <v>3592</v>
      </c>
      <c r="D3" s="3927"/>
      <c r="E3" s="3880"/>
      <c r="F3" s="3880">
        <v>1.1000000000000001</v>
      </c>
      <c r="G3" s="3880">
        <v>1.8</v>
      </c>
      <c r="H3" s="3880">
        <v>2.2999999999999998</v>
      </c>
      <c r="I3" s="3880">
        <v>3.5</v>
      </c>
      <c r="J3" s="3880">
        <v>4.8</v>
      </c>
      <c r="K3" s="3880">
        <v>5.7</v>
      </c>
      <c r="L3" s="3880">
        <v>8</v>
      </c>
      <c r="M3" s="3880">
        <v>10</v>
      </c>
      <c r="N3" s="3880">
        <v>12</v>
      </c>
      <c r="O3" s="3880">
        <v>14</v>
      </c>
      <c r="P3" s="3880"/>
      <c r="Q3" s="3880"/>
      <c r="R3" s="3880"/>
      <c r="S3" s="3880"/>
      <c r="T3" s="3880"/>
      <c r="U3" s="3880"/>
      <c r="V3" s="3880"/>
      <c r="W3" s="3880"/>
      <c r="X3" s="3880"/>
      <c r="Y3" s="3880"/>
      <c r="Z3" s="3880"/>
      <c r="AA3" s="3880"/>
      <c r="AB3" s="3880"/>
      <c r="AC3" s="3880"/>
      <c r="AD3" s="3880"/>
      <c r="AE3" s="3880"/>
      <c r="AF3" s="3880"/>
      <c r="AG3" s="3880"/>
      <c r="AH3" s="3880"/>
      <c r="AI3" s="3880"/>
      <c r="AJ3" s="3880"/>
      <c r="AK3" s="3880"/>
      <c r="AL3" s="3880"/>
      <c r="AM3" s="3880"/>
      <c r="AN3" s="3880"/>
      <c r="AO3" s="3880"/>
    </row>
    <row r="4" spans="2:41">
      <c r="B4" s="3880"/>
      <c r="C4" s="3929"/>
      <c r="D4" s="3930"/>
      <c r="E4" s="3929"/>
      <c r="F4" s="3929" t="s">
        <v>3577</v>
      </c>
      <c r="G4" s="3929"/>
      <c r="H4" s="3929"/>
      <c r="I4" s="3929"/>
      <c r="J4" s="3929"/>
      <c r="K4" s="3929"/>
      <c r="L4" s="3929"/>
      <c r="M4" s="3929"/>
      <c r="N4" s="3929"/>
      <c r="O4" s="3929"/>
      <c r="P4" s="3929" t="s">
        <v>3578</v>
      </c>
      <c r="Q4" s="3929"/>
      <c r="R4" s="3929"/>
      <c r="S4" s="3929"/>
      <c r="T4" s="3929"/>
      <c r="U4" s="3929"/>
      <c r="V4" s="3929"/>
      <c r="W4" s="3929"/>
      <c r="X4" s="3929"/>
      <c r="Y4" s="3929"/>
      <c r="Z4" s="3929"/>
      <c r="AA4" s="3880"/>
      <c r="AB4" s="3880"/>
      <c r="AC4" s="3880"/>
      <c r="AD4" s="3880"/>
      <c r="AE4" s="3880"/>
      <c r="AF4" s="3880"/>
      <c r="AG4" s="3880"/>
      <c r="AH4" s="3880"/>
      <c r="AI4" s="3880"/>
      <c r="AJ4" s="3880"/>
      <c r="AK4" s="3880"/>
      <c r="AL4" s="3880"/>
      <c r="AM4" s="3880"/>
      <c r="AN4" s="3880"/>
      <c r="AO4" s="3880"/>
    </row>
    <row r="5" spans="2:41">
      <c r="B5" s="3880"/>
      <c r="C5" s="3929"/>
      <c r="D5" s="3930" t="s">
        <v>3576</v>
      </c>
      <c r="E5" s="3929"/>
      <c r="F5" s="3929" t="s">
        <v>2053</v>
      </c>
      <c r="G5" s="3929" t="s">
        <v>565</v>
      </c>
      <c r="H5" s="3929" t="s">
        <v>3360</v>
      </c>
      <c r="I5" s="3929" t="s">
        <v>3374</v>
      </c>
      <c r="J5" s="3929" t="s">
        <v>633</v>
      </c>
      <c r="K5" s="3929" t="s">
        <v>3361</v>
      </c>
      <c r="L5" s="3929" t="s">
        <v>682</v>
      </c>
      <c r="M5" s="3929" t="s">
        <v>3710</v>
      </c>
      <c r="N5" s="3929" t="s">
        <v>3711</v>
      </c>
      <c r="O5" s="3929" t="s">
        <v>3362</v>
      </c>
      <c r="P5" s="3929" t="str">
        <f t="shared" ref="P5:Y5" si="0">F5</f>
        <v>1.1T</v>
      </c>
      <c r="Q5" s="3929" t="str">
        <f t="shared" si="0"/>
        <v>1.8T</v>
      </c>
      <c r="R5" s="3929" t="str">
        <f t="shared" si="0"/>
        <v>2.3T</v>
      </c>
      <c r="S5" s="3929" t="str">
        <f t="shared" si="0"/>
        <v>3.5T</v>
      </c>
      <c r="T5" s="3929" t="str">
        <f t="shared" si="0"/>
        <v>4.8T</v>
      </c>
      <c r="U5" s="3929" t="str">
        <f t="shared" si="0"/>
        <v>5.7T</v>
      </c>
      <c r="V5" s="3929" t="str">
        <f t="shared" si="0"/>
        <v>8T</v>
      </c>
      <c r="W5" s="3929" t="str">
        <f t="shared" si="0"/>
        <v>10T</v>
      </c>
      <c r="X5" s="3929" t="str">
        <f t="shared" si="0"/>
        <v>12T</v>
      </c>
      <c r="Y5" s="3929" t="str">
        <f t="shared" si="0"/>
        <v>14T</v>
      </c>
      <c r="Z5" s="3929" t="s">
        <v>3579</v>
      </c>
      <c r="AA5" s="3880"/>
      <c r="AB5" s="3880"/>
      <c r="AC5" s="3880"/>
      <c r="AD5" s="3880"/>
      <c r="AE5" s="3880"/>
      <c r="AF5" s="3880"/>
      <c r="AG5" s="3880"/>
      <c r="AH5" s="3880"/>
      <c r="AI5" s="3880"/>
      <c r="AJ5" s="3880"/>
      <c r="AK5" s="3880"/>
      <c r="AL5" s="3880"/>
      <c r="AM5" s="3880"/>
      <c r="AN5" s="3880"/>
      <c r="AO5" s="3880"/>
    </row>
    <row r="6" spans="2:41">
      <c r="B6" s="3880"/>
      <c r="C6" s="3929" t="s">
        <v>3555</v>
      </c>
      <c r="D6" s="3930"/>
      <c r="E6" s="3929"/>
      <c r="F6" s="3929">
        <f t="shared" ref="F6:O7" si="1">MIN(INT(P6/$Z$7),INT(P6/$Z$6))</f>
        <v>3</v>
      </c>
      <c r="G6" s="3929">
        <f t="shared" si="1"/>
        <v>3</v>
      </c>
      <c r="H6" s="3929">
        <f t="shared" si="1"/>
        <v>3</v>
      </c>
      <c r="I6" s="3929">
        <f t="shared" si="1"/>
        <v>3</v>
      </c>
      <c r="J6" s="3929">
        <f t="shared" si="1"/>
        <v>4</v>
      </c>
      <c r="K6" s="3929">
        <f t="shared" si="1"/>
        <v>4</v>
      </c>
      <c r="L6" s="3929">
        <f t="shared" si="1"/>
        <v>4</v>
      </c>
      <c r="M6" s="3929">
        <f t="shared" si="1"/>
        <v>4</v>
      </c>
      <c r="N6" s="3929">
        <f t="shared" si="1"/>
        <v>4</v>
      </c>
      <c r="O6" s="3929">
        <f t="shared" si="1"/>
        <v>4</v>
      </c>
      <c r="P6" s="3931">
        <f>VLOOKUP(P$5,'Sum local charge July.19'!$P$77:$U$86,3,0)</f>
        <v>160</v>
      </c>
      <c r="Q6" s="3931">
        <f>VLOOKUP(Q$5,'Sum local charge July.19'!$P$77:$U$86,3,0)</f>
        <v>180</v>
      </c>
      <c r="R6" s="3931">
        <f>VLOOKUP(R$5,'Sum local charge July.19'!$P$77:$U$86,3,0)</f>
        <v>180</v>
      </c>
      <c r="S6" s="3929">
        <f>VLOOKUP(S$5,'Sum local charge July.19'!$P$77:$U$86,3,0)</f>
        <v>180</v>
      </c>
      <c r="T6" s="3929">
        <f>VLOOKUP(T$5,'Sum local charge July.19'!$P$77:$U$86,3,0)</f>
        <v>210</v>
      </c>
      <c r="U6" s="3929">
        <f>VLOOKUP(U$5,'Sum local charge July.19'!$P$77:$U$86,3,0)</f>
        <v>230</v>
      </c>
      <c r="V6" s="3929">
        <f>VLOOKUP(V$5,'Sum local charge July.19'!$P$77:$U$86,3,0)</f>
        <v>230</v>
      </c>
      <c r="W6" s="3929">
        <f>VLOOKUP(W$5,'Sum local charge July.19'!$P$77:$U$86,3,0)</f>
        <v>230</v>
      </c>
      <c r="X6" s="3929">
        <f>VLOOKUP(X$5,'Sum local charge July.19'!$P$77:$U$86,3,0)</f>
        <v>230</v>
      </c>
      <c r="Y6" s="3929">
        <f>VLOOKUP(Y$5,'Sum local charge July.19'!$P$77:$U$86,3,0)</f>
        <v>230</v>
      </c>
      <c r="Z6" s="3931">
        <f>input!B1218</f>
        <v>36.299999999999997</v>
      </c>
      <c r="AA6" s="3880"/>
      <c r="AB6" s="3880"/>
      <c r="AC6" s="3880"/>
      <c r="AD6" s="3880"/>
      <c r="AE6" s="3880"/>
      <c r="AF6" s="3880"/>
      <c r="AG6" s="3880"/>
      <c r="AH6" s="3880"/>
      <c r="AI6" s="3880"/>
      <c r="AJ6" s="3880"/>
      <c r="AK6" s="3880"/>
      <c r="AL6" s="3880"/>
      <c r="AM6" s="3880"/>
      <c r="AN6" s="3880"/>
      <c r="AO6" s="3880"/>
    </row>
    <row r="7" spans="2:41">
      <c r="B7" s="3880"/>
      <c r="C7" s="3929" t="s">
        <v>3580</v>
      </c>
      <c r="D7" s="3932"/>
      <c r="E7" s="3929"/>
      <c r="F7" s="3929">
        <f t="shared" si="1"/>
        <v>6</v>
      </c>
      <c r="G7" s="3929">
        <f t="shared" si="1"/>
        <v>8</v>
      </c>
      <c r="H7" s="3929">
        <f t="shared" si="1"/>
        <v>7</v>
      </c>
      <c r="I7" s="3929">
        <f t="shared" si="1"/>
        <v>9</v>
      </c>
      <c r="J7" s="3929">
        <f t="shared" si="1"/>
        <v>12</v>
      </c>
      <c r="K7" s="3929">
        <f t="shared" si="1"/>
        <v>12</v>
      </c>
      <c r="L7" s="3929">
        <f t="shared" si="1"/>
        <v>16</v>
      </c>
      <c r="M7" s="3929">
        <f t="shared" si="1"/>
        <v>17</v>
      </c>
      <c r="N7" s="3929">
        <f t="shared" si="1"/>
        <v>17</v>
      </c>
      <c r="O7" s="3929">
        <f t="shared" si="1"/>
        <v>18</v>
      </c>
      <c r="P7" s="3929">
        <f>INT(VLOOKUP(P$5,'Sum local charge July.19'!$P$77:$U$86,2,0))</f>
        <v>330</v>
      </c>
      <c r="Q7" s="3929">
        <f>INT(VLOOKUP(Q$5,'Sum local charge July.19'!$P$77:$U$86,2,0))</f>
        <v>430</v>
      </c>
      <c r="R7" s="3929">
        <f>INT(VLOOKUP(R$5,'Sum local charge July.19'!$P$77:$U$86,2,0))</f>
        <v>360</v>
      </c>
      <c r="S7" s="3929">
        <f>INT(VLOOKUP(S$5,'Sum local charge July.19'!$P$77:$U$86,2,0))</f>
        <v>490</v>
      </c>
      <c r="T7" s="3929">
        <f>INT(VLOOKUP(T$5,'Sum local charge July.19'!$P$77:$U$86,2,0))</f>
        <v>610</v>
      </c>
      <c r="U7" s="3929">
        <f>INT(VLOOKUP(U$5,'Sum local charge July.19'!$P$77:$U$86,2,0))</f>
        <v>650</v>
      </c>
      <c r="V7" s="3929">
        <f>INT(VLOOKUP(V$5,'Sum local charge July.19'!$P$77:$U$86,2,0))</f>
        <v>850</v>
      </c>
      <c r="W7" s="3929">
        <f>INT(VLOOKUP(W$5,'Sum local charge July.19'!$P$77:$U$86,2,0))</f>
        <v>900</v>
      </c>
      <c r="X7" s="3929">
        <f>INT(VLOOKUP(X$5,'Sum local charge July.19'!$P$77:$U$86,2,0))</f>
        <v>900</v>
      </c>
      <c r="Y7" s="3929">
        <f>INT(VLOOKUP(Y$5,'Sum local charge July.19'!$P$77:$U$86,2,0))</f>
        <v>915</v>
      </c>
      <c r="Z7" s="3931">
        <f>input!C1218</f>
        <v>50.2</v>
      </c>
      <c r="AA7" s="3880"/>
      <c r="AB7" s="3880"/>
      <c r="AC7" s="3880"/>
      <c r="AD7" s="3880"/>
      <c r="AE7" s="3880"/>
      <c r="AF7" s="3880"/>
      <c r="AG7" s="3880"/>
      <c r="AH7" s="3880"/>
      <c r="AI7" s="3880"/>
      <c r="AJ7" s="3880"/>
      <c r="AK7" s="3880"/>
      <c r="AL7" s="3880"/>
      <c r="AM7" s="3880"/>
      <c r="AN7" s="3880"/>
      <c r="AO7" s="3880"/>
    </row>
    <row r="8" spans="2:41">
      <c r="B8" s="3880"/>
      <c r="C8" s="3929" t="s">
        <v>3581</v>
      </c>
      <c r="D8" s="3932"/>
      <c r="E8" s="3929"/>
      <c r="F8" s="3929">
        <f t="shared" ref="F8:O8" ca="1" si="2">INT(P8/$Z$8)</f>
        <v>3</v>
      </c>
      <c r="G8" s="3929">
        <f t="shared" ca="1" si="2"/>
        <v>3</v>
      </c>
      <c r="H8" s="3929">
        <f t="shared" ca="1" si="2"/>
        <v>3</v>
      </c>
      <c r="I8" s="3929">
        <f t="shared" ca="1" si="2"/>
        <v>4</v>
      </c>
      <c r="J8" s="3929">
        <f t="shared" ca="1" si="2"/>
        <v>4</v>
      </c>
      <c r="K8" s="3929">
        <f t="shared" ca="1" si="2"/>
        <v>4</v>
      </c>
      <c r="L8" s="3929">
        <f t="shared" ca="1" si="2"/>
        <v>4</v>
      </c>
      <c r="M8" s="3929">
        <f t="shared" ca="1" si="2"/>
        <v>4</v>
      </c>
      <c r="N8" s="3929">
        <f t="shared" ca="1" si="2"/>
        <v>5</v>
      </c>
      <c r="O8" s="3929">
        <f t="shared" ca="1" si="2"/>
        <v>5</v>
      </c>
      <c r="P8" s="3929">
        <f>VLOOKUP(P$5,'Sum local charge July.19'!$P$77:$U$86,4,0)</f>
        <v>130</v>
      </c>
      <c r="Q8" s="3929">
        <f>VLOOKUP(Q$5,'Sum local charge July.19'!$P$77:$U$86,4,0)</f>
        <v>150</v>
      </c>
      <c r="R8" s="3929">
        <f>VLOOKUP(R$5,'Sum local charge July.19'!$P$77:$U$86,4,0)</f>
        <v>150</v>
      </c>
      <c r="S8" s="3929">
        <f>VLOOKUP(S$5,'Sum local charge July.19'!$P$77:$U$86,4,0)</f>
        <v>160</v>
      </c>
      <c r="T8" s="3929">
        <f>VLOOKUP(T$5,'Sum local charge July.19'!$P$77:$U$86,4,0)</f>
        <v>180</v>
      </c>
      <c r="U8" s="3929">
        <f>VLOOKUP(U$5,'Sum local charge July.19'!$P$77:$U$86,4,0)</f>
        <v>180</v>
      </c>
      <c r="V8" s="3929">
        <f>VLOOKUP(V$5,'Sum local charge July.19'!$P$77:$U$86,4,0)</f>
        <v>180</v>
      </c>
      <c r="W8" s="3929">
        <f>VLOOKUP(W$5,'Sum local charge July.19'!$P$77:$U$86,4,0)</f>
        <v>180</v>
      </c>
      <c r="X8" s="3929">
        <f>VLOOKUP(X$5,'Sum local charge July.19'!$P$77:$U$86,4,0)</f>
        <v>210</v>
      </c>
      <c r="Y8" s="3929">
        <f>VLOOKUP(Y$5,'Sum local charge July.19'!$P$77:$U$86,4,0)</f>
        <v>210</v>
      </c>
      <c r="Z8" s="3933">
        <f ca="1">input!D1218</f>
        <v>39.4</v>
      </c>
      <c r="AA8" s="3880"/>
      <c r="AB8" s="3880"/>
      <c r="AC8" s="3880"/>
      <c r="AD8" s="3880"/>
      <c r="AE8" s="3880"/>
      <c r="AF8" s="3880"/>
      <c r="AG8" s="3880"/>
      <c r="AH8" s="3880"/>
      <c r="AI8" s="3880"/>
      <c r="AJ8" s="3880"/>
      <c r="AK8" s="3880"/>
      <c r="AL8" s="3880"/>
      <c r="AM8" s="3880"/>
      <c r="AN8" s="3880"/>
      <c r="AO8" s="3880"/>
    </row>
    <row r="9" spans="2:41">
      <c r="B9" s="3880"/>
      <c r="C9" s="3929" t="s">
        <v>3582</v>
      </c>
      <c r="D9" s="3932"/>
      <c r="E9" s="3929"/>
      <c r="F9" s="3934">
        <f t="shared" ref="F9:O9" ca="1" si="3">MIN(F8,$B$64)</f>
        <v>3</v>
      </c>
      <c r="G9" s="3934">
        <f t="shared" ca="1" si="3"/>
        <v>3</v>
      </c>
      <c r="H9" s="3934">
        <f t="shared" ca="1" si="3"/>
        <v>3</v>
      </c>
      <c r="I9" s="3934">
        <f t="shared" ca="1" si="3"/>
        <v>4</v>
      </c>
      <c r="J9" s="3934">
        <f t="shared" ca="1" si="3"/>
        <v>4</v>
      </c>
      <c r="K9" s="3934">
        <f t="shared" ca="1" si="3"/>
        <v>4</v>
      </c>
      <c r="L9" s="3934">
        <f t="shared" ca="1" si="3"/>
        <v>4</v>
      </c>
      <c r="M9" s="3934">
        <f t="shared" ca="1" si="3"/>
        <v>4</v>
      </c>
      <c r="N9" s="3934">
        <f t="shared" ca="1" si="3"/>
        <v>5</v>
      </c>
      <c r="O9" s="3934">
        <f t="shared" ca="1" si="3"/>
        <v>5</v>
      </c>
      <c r="P9" s="3929"/>
      <c r="Q9" s="3929"/>
      <c r="R9" s="3929"/>
      <c r="S9" s="3929"/>
      <c r="T9" s="3929"/>
      <c r="U9" s="3929"/>
      <c r="V9" s="3929"/>
      <c r="W9" s="3929"/>
      <c r="X9" s="3929"/>
      <c r="Y9" s="3929"/>
      <c r="Z9" s="3929"/>
      <c r="AA9" s="3880"/>
      <c r="AB9" s="3880"/>
      <c r="AC9" s="3880"/>
      <c r="AD9" s="3880"/>
      <c r="AE9" s="3880"/>
      <c r="AF9" s="3880"/>
      <c r="AG9" s="3880"/>
      <c r="AH9" s="3880"/>
      <c r="AI9" s="3880"/>
      <c r="AJ9" s="3880"/>
      <c r="AK9" s="3880"/>
      <c r="AL9" s="3880"/>
      <c r="AM9" s="3880"/>
      <c r="AN9" s="3880"/>
      <c r="AO9" s="3880"/>
    </row>
    <row r="10" spans="2:41">
      <c r="B10" s="3935"/>
      <c r="C10" s="3929" t="s">
        <v>3575</v>
      </c>
      <c r="D10" s="3932"/>
      <c r="E10" s="3929"/>
      <c r="F10" s="3936">
        <f ca="1">IF(input!$B$1252="Cartons",F6*F7*F9,VLOOKUP(F5,'Sum local charge July.19'!$P$77:$U$86,5,0))</f>
        <v>54</v>
      </c>
      <c r="G10" s="3936">
        <f ca="1">IF(input!$B$1252="Cartons",G6*G7*G9,VLOOKUP(G5,'Sum local charge July.19'!$P$77:$U$86,5,0))</f>
        <v>72</v>
      </c>
      <c r="H10" s="3936">
        <f ca="1">IF(input!$B$1252="Cartons",H6*H7*H9,VLOOKUP(H5,'Sum local charge July.19'!$P$77:$U$86,5,0))</f>
        <v>63</v>
      </c>
      <c r="I10" s="3936">
        <f ca="1">IF(input!$B$1252="Cartons",I6*I7*I9,VLOOKUP(I5,'Sum local charge July.19'!$P$77:$U$86,5,0))</f>
        <v>108</v>
      </c>
      <c r="J10" s="3936">
        <f ca="1">IF(input!$B$1252="Cartons",J6*J7*J9,VLOOKUP(J5,'Sum local charge July.19'!$P$77:$U$86,5,0))</f>
        <v>192</v>
      </c>
      <c r="K10" s="3936">
        <f ca="1">IF(input!$B$1252="Cartons",K6*K7*K9,VLOOKUP(K5,'Sum local charge July.19'!$P$77:$U$86,5,0))</f>
        <v>192</v>
      </c>
      <c r="L10" s="3936">
        <f ca="1">IF(input!$B$1252="Cartons",L6*L7*L9,VLOOKUP(L5,'Sum local charge July.19'!$P$77:$U$86,5,0))</f>
        <v>256</v>
      </c>
      <c r="M10" s="3936">
        <f ca="1">IF(input!$B$1252="Cartons",M6*M7*M9,VLOOKUP(M5,'Sum local charge July.19'!$P$77:$U$86,5,0))</f>
        <v>272</v>
      </c>
      <c r="N10" s="3936">
        <f ca="1">IF(input!$B$1252="Cartons",N6*N7*N9,VLOOKUP(N5,'Sum local charge July.19'!$P$77:$U$86,5,0))</f>
        <v>340</v>
      </c>
      <c r="O10" s="3936">
        <f ca="1">IF(input!$B$1252="Cartons",O6*O7*O9,VLOOKUP(O5,'Sum local charge July.19'!$P$77:$U$86,5,0))</f>
        <v>360</v>
      </c>
      <c r="P10" s="3929"/>
      <c r="Q10" s="3929"/>
      <c r="R10" s="3929"/>
      <c r="S10" s="3929"/>
      <c r="T10" s="3929"/>
      <c r="U10" s="3929"/>
      <c r="V10" s="3929"/>
      <c r="W10" s="3929"/>
      <c r="X10" s="3929"/>
      <c r="Y10" s="3929"/>
      <c r="Z10" s="3929"/>
      <c r="AA10" s="3880"/>
      <c r="AB10" s="3880"/>
      <c r="AC10" s="3880"/>
      <c r="AD10" s="3880"/>
      <c r="AE10" s="3880"/>
      <c r="AF10" s="3880"/>
      <c r="AG10" s="3880"/>
      <c r="AH10" s="3880"/>
      <c r="AI10" s="3880"/>
      <c r="AJ10" s="3880"/>
      <c r="AK10" s="3880"/>
      <c r="AL10" s="3880"/>
      <c r="AM10" s="3880"/>
      <c r="AN10" s="3880"/>
      <c r="AO10" s="3880"/>
    </row>
    <row r="11" spans="2:41">
      <c r="B11" s="3880" t="s">
        <v>1344</v>
      </c>
      <c r="C11" s="3880" t="s">
        <v>3588</v>
      </c>
      <c r="D11" s="3880"/>
      <c r="E11" s="3880"/>
      <c r="F11" s="3937">
        <f ca="1">input!$P$1275*F10/10^3</f>
        <v>0</v>
      </c>
      <c r="G11" s="3937">
        <f ca="1">input!$P$1275*G10/10^3</f>
        <v>0</v>
      </c>
      <c r="H11" s="3937">
        <f ca="1">input!$P$1275*H10/10^3</f>
        <v>0</v>
      </c>
      <c r="I11" s="3937">
        <f ca="1">input!$P$1275*I10/10^3</f>
        <v>0</v>
      </c>
      <c r="J11" s="3937">
        <f ca="1">input!$P$1275*J10/10^3</f>
        <v>0</v>
      </c>
      <c r="K11" s="3937">
        <f ca="1">input!$P$1275*K10/10^3</f>
        <v>0</v>
      </c>
      <c r="L11" s="3937">
        <f ca="1">input!$P$1275*L10/10^3</f>
        <v>0</v>
      </c>
      <c r="M11" s="3937">
        <f ca="1">input!$P$1275*M10/10^3</f>
        <v>0</v>
      </c>
      <c r="N11" s="3937">
        <f ca="1">input!$P$1275*N10/10^3</f>
        <v>0</v>
      </c>
      <c r="O11" s="3937">
        <f ca="1">input!$P$1275*O10/10^3</f>
        <v>0</v>
      </c>
      <c r="P11" s="3938"/>
      <c r="Q11" s="3938"/>
      <c r="R11" s="3938"/>
      <c r="S11" s="3880"/>
      <c r="T11" s="3880"/>
      <c r="U11" s="3880"/>
      <c r="V11" s="3880"/>
      <c r="W11" s="3880"/>
      <c r="X11" s="3880"/>
      <c r="Y11" s="3880"/>
      <c r="Z11" s="3880"/>
      <c r="AA11" s="3880"/>
      <c r="AB11" s="3880"/>
      <c r="AC11" s="3880"/>
      <c r="AD11" s="3880"/>
      <c r="AE11" s="3880"/>
      <c r="AF11" s="3880"/>
      <c r="AG11" s="3880"/>
      <c r="AH11" s="3880"/>
      <c r="AI11" s="3880"/>
      <c r="AJ11" s="3880"/>
      <c r="AK11" s="3880"/>
      <c r="AL11" s="3880"/>
      <c r="AM11" s="3880"/>
      <c r="AN11" s="3880"/>
      <c r="AO11" s="3880"/>
    </row>
    <row r="12" spans="2:41">
      <c r="B12" s="3938"/>
      <c r="C12" s="3880" t="s">
        <v>3707</v>
      </c>
      <c r="D12" s="3880"/>
      <c r="E12" s="3880"/>
      <c r="F12" s="3941">
        <f>VLOOKUP(input!$B$1217,'Sum local charge July.19'!$B$77:$J$124,2,0)</f>
        <v>602000</v>
      </c>
      <c r="G12" s="3941">
        <f>VLOOKUP(input!$B$1217,'Sum local charge July.19'!$B$77:$J$124,3,0)</f>
        <v>787000</v>
      </c>
      <c r="H12" s="3941">
        <f>VLOOKUP(input!$B$1217,'Sum local charge July.19'!$B$77:$J$124,4,0)</f>
        <v>880000</v>
      </c>
      <c r="I12" s="3941">
        <f>VLOOKUP(input!$B$1217,'Sum local charge July.19'!$B$77:$J$124,5,0)</f>
        <v>1220000</v>
      </c>
      <c r="J12" s="3941">
        <f>VLOOKUP(input!$B$1217,'Sum local charge July.19'!$B$77:$J$124,6,0)</f>
        <v>1430000</v>
      </c>
      <c r="K12" s="3941">
        <f>VLOOKUP(input!$B$1217,'Sum local charge July.19'!$B$77:$J$124,7,0)</f>
        <v>1533000</v>
      </c>
      <c r="L12" s="3941">
        <f>VLOOKUP(input!$B$1217,'Sum local charge July.19'!$B$77:$J$124,8,0)</f>
        <v>1988000</v>
      </c>
      <c r="M12" s="3941">
        <f>VLOOKUP(input!$B$1217,'Sum local charge July.19'!$B$77:$J$124,8,0)</f>
        <v>1988000</v>
      </c>
      <c r="N12" s="3941">
        <f>VLOOKUP(input!$B$1217,'Sum local charge July.19'!$B$77:$J$124,8,0)</f>
        <v>1988000</v>
      </c>
      <c r="O12" s="3941">
        <f>VLOOKUP(input!$B$1217,'Sum local charge July.19'!$B$77:$J$124,9,0)</f>
        <v>2150305.889423077</v>
      </c>
      <c r="P12" s="3880"/>
      <c r="Q12" s="3880"/>
      <c r="R12" s="3880"/>
      <c r="S12" s="3880"/>
      <c r="T12" s="3880"/>
      <c r="U12" s="3940"/>
      <c r="V12" s="3880"/>
      <c r="W12" s="3880"/>
      <c r="X12" s="3880"/>
      <c r="Y12" s="3880"/>
      <c r="Z12" s="3880"/>
      <c r="AA12" s="3880"/>
      <c r="AB12" s="3880"/>
      <c r="AC12" s="3880"/>
      <c r="AD12" s="3880"/>
      <c r="AE12" s="3880"/>
      <c r="AF12" s="3880"/>
      <c r="AG12" s="3880"/>
      <c r="AH12" s="3880"/>
      <c r="AI12" s="3880"/>
      <c r="AJ12" s="3880"/>
      <c r="AK12" s="3880"/>
      <c r="AL12" s="3880"/>
      <c r="AM12" s="3880"/>
      <c r="AN12" s="3880"/>
      <c r="AO12" s="3880"/>
    </row>
    <row r="13" spans="2:41">
      <c r="B13" s="3938"/>
      <c r="C13" s="3880"/>
      <c r="D13" s="3880"/>
      <c r="E13" s="3880"/>
      <c r="F13" s="3941"/>
      <c r="G13" s="3941"/>
      <c r="H13" s="3941"/>
      <c r="I13" s="3941"/>
      <c r="J13" s="3941"/>
      <c r="K13" s="3941"/>
      <c r="L13" s="3941"/>
      <c r="M13" s="3941"/>
      <c r="N13" s="3941"/>
      <c r="O13" s="3941"/>
      <c r="P13" s="3941"/>
      <c r="Q13" s="3941"/>
      <c r="R13" s="3941"/>
      <c r="S13" s="3880"/>
      <c r="T13" s="3880"/>
      <c r="U13" s="3880"/>
      <c r="V13" s="3880"/>
      <c r="W13" s="3937"/>
      <c r="X13" s="3942"/>
      <c r="Y13" s="3880"/>
      <c r="Z13" s="3880"/>
      <c r="AA13" s="3880"/>
      <c r="AB13" s="3880"/>
      <c r="AC13" s="3880"/>
      <c r="AD13" s="3880"/>
      <c r="AE13" s="3880"/>
      <c r="AF13" s="3880"/>
      <c r="AG13" s="3880"/>
      <c r="AH13" s="3880"/>
      <c r="AI13" s="3880"/>
      <c r="AJ13" s="3880"/>
      <c r="AK13" s="3880"/>
      <c r="AL13" s="3880"/>
      <c r="AM13" s="3880"/>
      <c r="AN13" s="3880"/>
      <c r="AO13" s="3880"/>
    </row>
    <row r="14" spans="2:41">
      <c r="B14" s="3938"/>
      <c r="C14" s="3880"/>
      <c r="D14" s="3880"/>
      <c r="E14" s="3880"/>
      <c r="F14" s="3941"/>
      <c r="G14" s="3941"/>
      <c r="H14" s="3941"/>
      <c r="I14" s="3941"/>
      <c r="J14" s="3941"/>
      <c r="K14" s="3941"/>
      <c r="L14" s="3941"/>
      <c r="M14" s="3941"/>
      <c r="N14" s="3941"/>
      <c r="O14" s="3941"/>
      <c r="P14" s="3941"/>
      <c r="Q14" s="3941"/>
      <c r="R14" s="3941"/>
      <c r="S14" s="3880"/>
      <c r="T14" s="3880"/>
      <c r="U14" s="3880"/>
      <c r="V14" s="3880"/>
      <c r="W14" s="3937"/>
      <c r="X14" s="3942"/>
      <c r="Y14" s="3880"/>
      <c r="Z14" s="3880"/>
      <c r="AA14" s="3880"/>
      <c r="AB14" s="3880"/>
      <c r="AC14" s="3880"/>
      <c r="AD14" s="3880"/>
      <c r="AE14" s="3935"/>
      <c r="AF14" s="3935"/>
      <c r="AG14" s="3880"/>
      <c r="AH14" s="3880"/>
      <c r="AI14" s="3880"/>
      <c r="AJ14" s="3880"/>
      <c r="AK14" s="3880"/>
      <c r="AL14" s="3880"/>
      <c r="AM14" s="3880"/>
      <c r="AN14" s="3880"/>
      <c r="AO14" s="3880"/>
    </row>
    <row r="15" spans="2:41">
      <c r="B15" s="3938"/>
      <c r="C15" s="3880"/>
      <c r="D15" s="3880"/>
      <c r="E15" s="3880"/>
      <c r="F15" s="3941"/>
      <c r="G15" s="3941"/>
      <c r="H15" s="3941"/>
      <c r="I15" s="3941"/>
      <c r="J15" s="3941"/>
      <c r="K15" s="3941"/>
      <c r="L15" s="3941"/>
      <c r="M15" s="3941"/>
      <c r="N15" s="3941"/>
      <c r="O15" s="3941"/>
      <c r="P15" s="3941"/>
      <c r="Q15" s="3941"/>
      <c r="R15" s="3941"/>
      <c r="S15" s="3880"/>
      <c r="T15" s="3880"/>
      <c r="U15" s="3880"/>
      <c r="V15" s="3880"/>
      <c r="W15" s="3937"/>
      <c r="X15" s="3942"/>
      <c r="Y15" s="3880"/>
      <c r="Z15" s="3880"/>
      <c r="AA15" s="3880"/>
      <c r="AB15" s="3880"/>
      <c r="AC15" s="3880"/>
      <c r="AD15" s="3880"/>
      <c r="AE15" s="3935"/>
      <c r="AF15" s="3935"/>
      <c r="AG15" s="3880"/>
      <c r="AH15" s="3880"/>
      <c r="AI15" s="3880"/>
      <c r="AJ15" s="3880"/>
      <c r="AK15" s="3880"/>
      <c r="AL15" s="3880"/>
      <c r="AM15" s="3880"/>
      <c r="AN15" s="3880"/>
      <c r="AO15" s="3880"/>
    </row>
    <row r="16" spans="2:41">
      <c r="B16" s="3938"/>
      <c r="C16" s="3880"/>
      <c r="D16" s="3880"/>
      <c r="E16" s="3880"/>
      <c r="F16" s="3941"/>
      <c r="G16" s="3941"/>
      <c r="H16" s="3941"/>
      <c r="I16" s="3941"/>
      <c r="J16" s="3941"/>
      <c r="K16" s="3941"/>
      <c r="L16" s="3941"/>
      <c r="M16" s="3941"/>
      <c r="N16" s="3941"/>
      <c r="O16" s="3941"/>
      <c r="P16" s="3941"/>
      <c r="Q16" s="3941"/>
      <c r="R16" s="3941"/>
      <c r="S16" s="3880"/>
      <c r="T16" s="3880"/>
      <c r="U16" s="3880"/>
      <c r="V16" s="3880"/>
      <c r="W16" s="3937"/>
      <c r="X16" s="3942"/>
      <c r="Y16" s="3880"/>
      <c r="Z16" s="3880"/>
      <c r="AA16" s="3880"/>
      <c r="AB16" s="3880"/>
      <c r="AC16" s="3880"/>
      <c r="AD16" s="3880"/>
      <c r="AE16" s="3935"/>
      <c r="AF16" s="3935"/>
      <c r="AG16" s="3880"/>
      <c r="AH16" s="3880"/>
      <c r="AI16" s="3880"/>
      <c r="AJ16" s="3880"/>
      <c r="AK16" s="3880"/>
      <c r="AL16" s="3880"/>
      <c r="AM16" s="3880"/>
      <c r="AN16" s="3880"/>
      <c r="AO16" s="3880"/>
    </row>
    <row r="17" spans="1:41">
      <c r="B17" s="3938"/>
      <c r="C17" s="3880"/>
      <c r="D17" s="3880"/>
      <c r="E17" s="3880"/>
      <c r="F17" s="3941"/>
      <c r="G17" s="3941"/>
      <c r="H17" s="3941"/>
      <c r="I17" s="3941"/>
      <c r="J17" s="3941"/>
      <c r="K17" s="3941"/>
      <c r="L17" s="3941"/>
      <c r="M17" s="3941"/>
      <c r="N17" s="3941"/>
      <c r="O17" s="3941"/>
      <c r="P17" s="3941"/>
      <c r="Q17" s="3941"/>
      <c r="R17" s="3941"/>
      <c r="S17" s="3880"/>
      <c r="T17" s="3880"/>
      <c r="U17" s="3880"/>
      <c r="V17" s="3880"/>
      <c r="W17" s="3937"/>
      <c r="X17" s="3942"/>
      <c r="Y17" s="3880"/>
      <c r="Z17" s="3880"/>
      <c r="AA17" s="3880"/>
      <c r="AB17" s="3880"/>
      <c r="AC17" s="3880"/>
      <c r="AD17" s="3880"/>
      <c r="AE17" s="3935"/>
      <c r="AF17" s="3935"/>
      <c r="AG17" s="3880"/>
      <c r="AH17" s="3880"/>
      <c r="AI17" s="3880"/>
      <c r="AJ17" s="3880"/>
      <c r="AK17" s="3880"/>
      <c r="AL17" s="3880"/>
      <c r="AM17" s="3880"/>
      <c r="AN17" s="3880"/>
      <c r="AO17" s="3880"/>
    </row>
    <row r="18" spans="1:41">
      <c r="B18" s="3938"/>
      <c r="C18" s="3880"/>
      <c r="D18" s="3880"/>
      <c r="E18" s="3880"/>
      <c r="F18" s="3941"/>
      <c r="G18" s="3941"/>
      <c r="H18" s="3941"/>
      <c r="I18" s="3941"/>
      <c r="J18" s="3941"/>
      <c r="K18" s="3941"/>
      <c r="L18" s="3941"/>
      <c r="M18" s="3941"/>
      <c r="N18" s="3941"/>
      <c r="O18" s="3941"/>
      <c r="P18" s="3941"/>
      <c r="Q18" s="3941"/>
      <c r="R18" s="3941"/>
      <c r="S18" s="3880"/>
      <c r="T18" s="3880"/>
      <c r="U18" s="3880"/>
      <c r="V18" s="3880"/>
      <c r="W18" s="3937"/>
      <c r="X18" s="3942"/>
      <c r="Y18" s="3880"/>
      <c r="Z18" s="3880"/>
      <c r="AA18" s="3880"/>
      <c r="AB18" s="3880"/>
      <c r="AC18" s="3880"/>
      <c r="AD18" s="3880"/>
      <c r="AE18" s="3935"/>
      <c r="AF18" s="3935"/>
      <c r="AG18" s="3880"/>
      <c r="AH18" s="3880"/>
      <c r="AI18" s="3880"/>
      <c r="AJ18" s="3880"/>
      <c r="AK18" s="3880"/>
      <c r="AL18" s="3880"/>
      <c r="AM18" s="3880"/>
      <c r="AN18" s="3880"/>
      <c r="AO18" s="3880"/>
    </row>
    <row r="19" spans="1:41">
      <c r="B19" s="3880"/>
      <c r="C19" s="3880"/>
      <c r="D19" s="3880"/>
      <c r="E19" s="3880"/>
      <c r="F19" s="3937"/>
      <c r="G19" s="3880"/>
      <c r="H19" s="3880"/>
      <c r="I19" s="3880"/>
      <c r="J19" s="3880"/>
      <c r="K19" s="3880"/>
      <c r="L19" s="3880"/>
      <c r="M19" s="3880"/>
      <c r="N19" s="3880"/>
      <c r="O19" s="3880"/>
      <c r="P19" s="3880"/>
      <c r="Q19" s="3880"/>
      <c r="R19" s="3880"/>
      <c r="S19" s="3880"/>
      <c r="T19" s="3880"/>
      <c r="U19" s="3880"/>
      <c r="V19" s="3880"/>
      <c r="W19" s="3880"/>
      <c r="X19" s="3880"/>
      <c r="Y19" s="3880"/>
      <c r="Z19" s="3880"/>
      <c r="AA19" s="3880"/>
      <c r="AB19" s="3880"/>
      <c r="AC19" s="3880"/>
      <c r="AD19" s="3880"/>
      <c r="AE19" s="3935"/>
      <c r="AF19" s="3935"/>
      <c r="AG19" s="3880"/>
      <c r="AH19" s="3880"/>
      <c r="AI19" s="3880"/>
      <c r="AJ19" s="3880"/>
      <c r="AK19" s="3880"/>
      <c r="AL19" s="3880"/>
      <c r="AM19" s="3880"/>
      <c r="AN19" s="3880"/>
      <c r="AO19" s="3880"/>
    </row>
    <row r="20" spans="1:41">
      <c r="A20" s="3880" t="s">
        <v>3706</v>
      </c>
      <c r="B20" s="3938" t="s">
        <v>3719</v>
      </c>
      <c r="C20" s="3880"/>
      <c r="D20" s="3880"/>
      <c r="E20" s="3880"/>
      <c r="F20" s="3937">
        <f ca="1">IF(F$3&gt;F$11,input!$B1253/F$10,input!$B1253/(F$3/input!$P$1275*10^3))</f>
        <v>0.12962962962962962</v>
      </c>
      <c r="G20" s="3937">
        <f ca="1">IF(G$3&gt;G$11,input!$B1253/G$10,input!$B1253/(G$3/input!$P$1275*10^3))</f>
        <v>9.7222222222222224E-2</v>
      </c>
      <c r="H20" s="3937">
        <f ca="1">IF(H$3&gt;H$11,input!$B1253/H$10,input!$B1253/(H$3/input!$P$1275*10^3))</f>
        <v>0.1111111111111111</v>
      </c>
      <c r="I20" s="3937">
        <f ca="1">IF(I$3&gt;I$11,input!$B1253/I$10,input!$B1253/(I$3/input!$P$1275*10^3))</f>
        <v>6.4814814814814811E-2</v>
      </c>
      <c r="J20" s="3937">
        <f ca="1">IF(J$3&gt;J$11,input!$B1253/J$10,input!$B1253/(J$3/input!$P$1275*10^3))</f>
        <v>3.6458333333333336E-2</v>
      </c>
      <c r="K20" s="3937">
        <f ca="1">IF(K$3&gt;K$11,input!$B1253/K$10,input!$B1253/(K$3/input!$P$1275*10^3))</f>
        <v>3.6458333333333336E-2</v>
      </c>
      <c r="L20" s="3937">
        <f ca="1">IF(L$3&gt;L$11,input!$B1253/L$10,input!$B1253/(L$3/input!$P$1275*10^3))</f>
        <v>2.734375E-2</v>
      </c>
      <c r="M20" s="3937">
        <f ca="1">IF(M$3&gt;M$11,input!$B1253/M$10,input!$B1253/(M$3/input!$P$1275*10^3))</f>
        <v>2.5735294117647058E-2</v>
      </c>
      <c r="N20" s="3937">
        <f ca="1">IF(N$3&gt;N$11,input!$B1253/N$10,input!$B1253/(N$3/input!$P$1275*10^3))</f>
        <v>2.0588235294117647E-2</v>
      </c>
      <c r="O20" s="3937">
        <f ca="1">IF(O$3&gt;O$11,input!$B1253/O$10,input!$B1253/(O$3/input!$P$1275*10^3))</f>
        <v>1.9444444444444445E-2</v>
      </c>
      <c r="P20" s="3880"/>
      <c r="Q20" s="3880"/>
      <c r="R20" s="3880"/>
      <c r="S20" s="3880"/>
      <c r="T20" s="3880"/>
      <c r="U20" s="3880"/>
      <c r="V20" s="3880"/>
      <c r="W20" s="3935"/>
      <c r="X20" s="3880"/>
      <c r="Y20" s="3880"/>
      <c r="Z20" s="3880"/>
      <c r="AA20" s="3880"/>
      <c r="AB20" s="3880"/>
      <c r="AC20" s="3880"/>
      <c r="AD20" s="3880"/>
      <c r="AE20" s="3935"/>
      <c r="AF20" s="3935"/>
      <c r="AG20" s="3880"/>
      <c r="AH20" s="3880"/>
      <c r="AI20" s="3880"/>
      <c r="AJ20" s="3880"/>
      <c r="AK20" s="3880"/>
      <c r="AL20" s="3880"/>
      <c r="AM20" s="3880"/>
      <c r="AN20" s="3880"/>
      <c r="AO20" s="3880"/>
    </row>
    <row r="21" spans="1:41">
      <c r="A21" s="3880" t="s">
        <v>3706</v>
      </c>
      <c r="B21" s="3938"/>
      <c r="C21" s="3880"/>
      <c r="D21" s="3880"/>
      <c r="E21" s="3880"/>
      <c r="F21" s="3937">
        <f ca="1">IF(F$3&gt;F$11,input!$B1254/F$10,input!$B1254/(F$3/input!$P$1275*10^3))</f>
        <v>0.25925925925925924</v>
      </c>
      <c r="G21" s="3937">
        <f ca="1">IF(G$3&gt;G$11,input!$B1254/G$10,input!$B1254/(G$3/input!$P$1275*10^3))</f>
        <v>0.19444444444444445</v>
      </c>
      <c r="H21" s="3937">
        <f ca="1">IF(H$3&gt;H$11,input!$B1254/H$10,input!$B1254/(H$3/input!$P$1275*10^3))</f>
        <v>0.22222222222222221</v>
      </c>
      <c r="I21" s="3937">
        <f ca="1">IF(I$3&gt;I$11,input!$B1254/I$10,input!$B1254/(I$3/input!$P$1275*10^3))</f>
        <v>0.12962962962962962</v>
      </c>
      <c r="J21" s="3937">
        <f ca="1">IF(J$3&gt;J$11,input!$B1254/J$10,input!$B1254/(J$3/input!$P$1275*10^3))</f>
        <v>7.2916666666666671E-2</v>
      </c>
      <c r="K21" s="3937">
        <f ca="1">IF(K$3&gt;K$11,input!$B1254/K$10,input!$B1254/(K$3/input!$P$1275*10^3))</f>
        <v>7.2916666666666671E-2</v>
      </c>
      <c r="L21" s="3937">
        <f ca="1">IF(L$3&gt;L$11,input!$B1254/L$10,input!$B1254/(L$3/input!$P$1275*10^3))</f>
        <v>5.46875E-2</v>
      </c>
      <c r="M21" s="3937">
        <f ca="1">IF(M$3&gt;M$11,input!$B1254/M$10,input!$B1254/(M$3/input!$P$1275*10^3))</f>
        <v>5.1470588235294115E-2</v>
      </c>
      <c r="N21" s="3937">
        <f ca="1">IF(N$3&gt;N$11,input!$B1254/N$10,input!$B1254/(N$3/input!$P$1275*10^3))</f>
        <v>4.1176470588235294E-2</v>
      </c>
      <c r="O21" s="3937">
        <f ca="1">IF(O$3&gt;O$11,input!$B1254/O$10,input!$B1254/(O$3/input!$P$1275*10^3))</f>
        <v>3.888888888888889E-2</v>
      </c>
      <c r="P21" s="3880"/>
      <c r="Q21" s="3880"/>
      <c r="R21" s="3880"/>
      <c r="S21" s="3880"/>
      <c r="T21" s="3880"/>
      <c r="U21" s="3880"/>
      <c r="V21" s="3880"/>
      <c r="W21" s="3880"/>
      <c r="X21" s="3880"/>
      <c r="Y21" s="3880"/>
      <c r="Z21" s="3880"/>
      <c r="AA21" s="3880"/>
      <c r="AB21" s="3880"/>
      <c r="AC21" s="3880"/>
      <c r="AD21" s="3880"/>
      <c r="AE21" s="3935"/>
      <c r="AF21" s="3935"/>
      <c r="AG21" s="3880"/>
      <c r="AH21" s="3880"/>
      <c r="AI21" s="3880"/>
      <c r="AJ21" s="3880"/>
      <c r="AK21" s="3880"/>
      <c r="AL21" s="3880"/>
      <c r="AM21" s="3880"/>
      <c r="AN21" s="3880"/>
      <c r="AO21" s="3880"/>
    </row>
    <row r="22" spans="1:41">
      <c r="A22" s="3880" t="s">
        <v>3706</v>
      </c>
      <c r="B22" s="3938"/>
      <c r="C22" s="3880"/>
      <c r="D22" s="3880"/>
      <c r="E22" s="3880"/>
      <c r="F22" s="3937">
        <f ca="1">IF(F$3&gt;F$11,input!$B1255/F$10,input!$B1255/(F$3/input!$P$1275*10^3))</f>
        <v>1.2407407407407407</v>
      </c>
      <c r="G22" s="3937">
        <f ca="1">IF(G$3&gt;G$11,input!$B1255/G$10,input!$B1255/(G$3/input!$P$1275*10^3))</f>
        <v>0.93055555555555558</v>
      </c>
      <c r="H22" s="3937">
        <f ca="1">IF(H$3&gt;H$11,input!$B1255/H$10,input!$B1255/(H$3/input!$P$1275*10^3))</f>
        <v>1.0634920634920635</v>
      </c>
      <c r="I22" s="3937">
        <f ca="1">IF(I$3&gt;I$11,input!$B1255/I$10,input!$B1255/(I$3/input!$P$1275*10^3))</f>
        <v>0.62037037037037035</v>
      </c>
      <c r="J22" s="3937">
        <f ca="1">IF(J$3&gt;J$11,input!$B1255/J$10,input!$B1255/(J$3/input!$P$1275*10^3))</f>
        <v>0.34895833333333331</v>
      </c>
      <c r="K22" s="3937">
        <f ca="1">IF(K$3&gt;K$11,input!$B1255/K$10,input!$B1255/(K$3/input!$P$1275*10^3))</f>
        <v>0.34895833333333331</v>
      </c>
      <c r="L22" s="3937">
        <f ca="1">IF(L$3&gt;L$11,input!$B1255/L$10,input!$B1255/(L$3/input!$P$1275*10^3))</f>
        <v>0.26171875</v>
      </c>
      <c r="M22" s="3937">
        <f ca="1">IF(M$3&gt;M$11,input!$B1255/M$10,input!$B1255/(M$3/input!$P$1275*10^3))</f>
        <v>0.24632352941176472</v>
      </c>
      <c r="N22" s="3937">
        <f ca="1">IF(N$3&gt;N$11,input!$B1255/N$10,input!$B1255/(N$3/input!$P$1275*10^3))</f>
        <v>0.19705882352941176</v>
      </c>
      <c r="O22" s="3937">
        <f ca="1">IF(O$3&gt;O$11,input!$B1255/O$10,input!$B1255/(O$3/input!$P$1275*10^3))</f>
        <v>0.18611111111111112</v>
      </c>
      <c r="P22" s="3880"/>
      <c r="Q22" s="3880"/>
      <c r="R22" s="3880"/>
      <c r="S22" s="3880"/>
      <c r="T22" s="3880"/>
      <c r="U22" s="3880"/>
      <c r="V22" s="3880"/>
      <c r="W22" s="3880"/>
      <c r="X22" s="3880"/>
      <c r="Y22" s="3880"/>
      <c r="Z22" s="3880"/>
      <c r="AA22" s="3880"/>
      <c r="AB22" s="3880"/>
      <c r="AC22" s="3880"/>
      <c r="AD22" s="3880"/>
      <c r="AE22" s="3935"/>
      <c r="AF22" s="3935"/>
      <c r="AG22" s="3880"/>
      <c r="AH22" s="3880"/>
      <c r="AI22" s="3880"/>
      <c r="AJ22" s="3880"/>
      <c r="AK22" s="3880"/>
      <c r="AL22" s="3880"/>
      <c r="AM22" s="3880"/>
      <c r="AN22" s="3880"/>
      <c r="AO22" s="3880"/>
    </row>
    <row r="23" spans="1:41">
      <c r="A23" s="3880" t="s">
        <v>3706</v>
      </c>
      <c r="B23" s="3938"/>
      <c r="C23" s="3880"/>
      <c r="D23" s="3880"/>
      <c r="E23" s="3880"/>
      <c r="F23" s="3937">
        <f ca="1">IF(F$3&gt;F$11,input!$B1256/F$10,input!$B1256/(F$3/input!$P$1275*10^3))</f>
        <v>3.7037037037037037</v>
      </c>
      <c r="G23" s="3937">
        <f ca="1">IF(G$3&gt;G$11,input!$B1256/G$10,input!$B1256/(G$3/input!$P$1275*10^3))</f>
        <v>2.7777777777777777</v>
      </c>
      <c r="H23" s="3937">
        <f ca="1">IF(H$3&gt;H$11,input!$B1256/H$10,input!$B1256/(H$3/input!$P$1275*10^3))</f>
        <v>3.1746031746031744</v>
      </c>
      <c r="I23" s="3937">
        <f ca="1">IF(I$3&gt;I$11,input!$B1256/I$10,input!$B1256/(I$3/input!$P$1275*10^3))</f>
        <v>1.8518518518518519</v>
      </c>
      <c r="J23" s="3937">
        <f ca="1">IF(J$3&gt;J$11,input!$B1256/J$10,input!$B1256/(J$3/input!$P$1275*10^3))</f>
        <v>1.0416666666666667</v>
      </c>
      <c r="K23" s="3937">
        <f ca="1">IF(K$3&gt;K$11,input!$B1256/K$10,input!$B1256/(K$3/input!$P$1275*10^3))</f>
        <v>1.0416666666666667</v>
      </c>
      <c r="L23" s="3937">
        <f ca="1">IF(L$3&gt;L$11,input!$B1256/L$10,input!$B1256/(L$3/input!$P$1275*10^3))</f>
        <v>0.78125</v>
      </c>
      <c r="M23" s="3937">
        <f ca="1">IF(M$3&gt;M$11,input!$B1256/M$10,input!$B1256/(M$3/input!$P$1275*10^3))</f>
        <v>0.73529411764705888</v>
      </c>
      <c r="N23" s="3937">
        <f ca="1">IF(N$3&gt;N$11,input!$B1256/N$10,input!$B1256/(N$3/input!$P$1275*10^3))</f>
        <v>0.58823529411764708</v>
      </c>
      <c r="O23" s="3937">
        <f ca="1">IF(O$3&gt;O$11,input!$B1256/O$10,input!$B1256/(O$3/input!$P$1275*10^3))</f>
        <v>0.55555555555555558</v>
      </c>
      <c r="P23" s="3880"/>
      <c r="Q23" s="3880"/>
      <c r="R23" s="3880"/>
      <c r="S23" s="3880"/>
      <c r="T23" s="3880"/>
      <c r="U23" s="3880"/>
      <c r="V23" s="3880"/>
      <c r="W23" s="3935"/>
      <c r="X23" s="3880"/>
      <c r="Y23" s="3880"/>
      <c r="Z23" s="3880"/>
      <c r="AA23" s="3880"/>
      <c r="AB23" s="3880"/>
      <c r="AC23" s="3880"/>
      <c r="AD23" s="3880"/>
      <c r="AE23" s="3935"/>
      <c r="AF23" s="3935"/>
      <c r="AG23" s="3880"/>
      <c r="AH23" s="3880"/>
      <c r="AI23" s="3880"/>
      <c r="AJ23" s="3880"/>
      <c r="AK23" s="3880"/>
      <c r="AL23" s="3880"/>
      <c r="AM23" s="3880"/>
      <c r="AN23" s="3880"/>
      <c r="AO23" s="3880"/>
    </row>
    <row r="24" spans="1:41">
      <c r="A24" s="3880" t="s">
        <v>3706</v>
      </c>
      <c r="B24" s="3938"/>
      <c r="C24" s="3880"/>
      <c r="D24" s="3880"/>
      <c r="E24" s="3880"/>
      <c r="F24" s="3937">
        <f ca="1">IF(F$3&gt;F$11,input!$B1257/F$10,input!$B1257/(F$3/input!$P$1275*10^3))</f>
        <v>6.1851851851851851</v>
      </c>
      <c r="G24" s="3937">
        <f ca="1">IF(G$3&gt;G$11,input!$B1257/G$10,input!$B1257/(G$3/input!$P$1275*10^3))</f>
        <v>4.6388888888888893</v>
      </c>
      <c r="H24" s="3937">
        <f ca="1">IF(H$3&gt;H$11,input!$B1257/H$10,input!$B1257/(H$3/input!$P$1275*10^3))</f>
        <v>5.3015873015873014</v>
      </c>
      <c r="I24" s="3937">
        <f ca="1">IF(I$3&gt;I$11,input!$B1257/I$10,input!$B1257/(I$3/input!$P$1275*10^3))</f>
        <v>3.0925925925925926</v>
      </c>
      <c r="J24" s="3937">
        <f ca="1">IF(J$3&gt;J$11,input!$B1257/J$10,input!$B1257/(J$3/input!$P$1275*10^3))</f>
        <v>1.7395833333333333</v>
      </c>
      <c r="K24" s="3937">
        <f ca="1">IF(K$3&gt;K$11,input!$B1257/K$10,input!$B1257/(K$3/input!$P$1275*10^3))</f>
        <v>1.7395833333333333</v>
      </c>
      <c r="L24" s="3937">
        <f ca="1">IF(L$3&gt;L$11,input!$B1257/L$10,input!$B1257/(L$3/input!$P$1275*10^3))</f>
        <v>1.3046875</v>
      </c>
      <c r="M24" s="3937">
        <f ca="1">IF(M$3&gt;M$11,input!$B1257/M$10,input!$B1257/(M$3/input!$P$1275*10^3))</f>
        <v>1.2279411764705883</v>
      </c>
      <c r="N24" s="3937">
        <f ca="1">IF(N$3&gt;N$11,input!$B1257/N$10,input!$B1257/(N$3/input!$P$1275*10^3))</f>
        <v>0.98235294117647054</v>
      </c>
      <c r="O24" s="3937">
        <f ca="1">IF(O$3&gt;O$11,input!$B1257/O$10,input!$B1257/(O$3/input!$P$1275*10^3))</f>
        <v>0.92777777777777781</v>
      </c>
      <c r="P24" s="3880"/>
      <c r="Q24" s="3880"/>
      <c r="R24" s="3880"/>
      <c r="S24" s="3880"/>
      <c r="T24" s="3880"/>
      <c r="U24" s="3880"/>
      <c r="V24" s="3880"/>
      <c r="W24" s="3880"/>
      <c r="X24" s="3880"/>
      <c r="Y24" s="3880"/>
      <c r="Z24" s="3880"/>
      <c r="AA24" s="3880"/>
      <c r="AB24" s="3880"/>
      <c r="AC24" s="3880"/>
      <c r="AD24" s="3880"/>
      <c r="AE24" s="3935"/>
      <c r="AF24" s="3935"/>
      <c r="AG24" s="3880"/>
      <c r="AH24" s="3880"/>
      <c r="AI24" s="3880"/>
      <c r="AJ24" s="3880"/>
      <c r="AK24" s="3880"/>
      <c r="AL24" s="3880"/>
      <c r="AM24" s="3880"/>
      <c r="AN24" s="3880"/>
      <c r="AO24" s="3880"/>
    </row>
    <row r="25" spans="1:41">
      <c r="A25" s="3880" t="s">
        <v>3706</v>
      </c>
      <c r="B25" s="3938"/>
      <c r="C25" s="3880"/>
      <c r="D25" s="3880"/>
      <c r="E25" s="3880"/>
      <c r="F25" s="3937">
        <f ca="1">IF(F$3&gt;F$11,input!$B1258/F$10,input!$B1258/(F$3/input!$P$1275*10^3))</f>
        <v>0.37037037037037035</v>
      </c>
      <c r="G25" s="3937">
        <f ca="1">IF(G$3&gt;G$11,input!$B1258/G$10,input!$B1258/(G$3/input!$P$1275*10^3))</f>
        <v>0.27777777777777779</v>
      </c>
      <c r="H25" s="3937">
        <f ca="1">IF(H$3&gt;H$11,input!$B1258/H$10,input!$B1258/(H$3/input!$P$1275*10^3))</f>
        <v>0.31746031746031744</v>
      </c>
      <c r="I25" s="3937">
        <f ca="1">IF(I$3&gt;I$11,input!$B1258/I$10,input!$B1258/(I$3/input!$P$1275*10^3))</f>
        <v>0.18518518518518517</v>
      </c>
      <c r="J25" s="3937">
        <f ca="1">IF(J$3&gt;J$11,input!$B1258/J$10,input!$B1258/(J$3/input!$P$1275*10^3))</f>
        <v>0.10416666666666667</v>
      </c>
      <c r="K25" s="3937">
        <f ca="1">IF(K$3&gt;K$11,input!$B1258/K$10,input!$B1258/(K$3/input!$P$1275*10^3))</f>
        <v>0.10416666666666667</v>
      </c>
      <c r="L25" s="3937">
        <f ca="1">IF(L$3&gt;L$11,input!$B1258/L$10,input!$B1258/(L$3/input!$P$1275*10^3))</f>
        <v>7.8125E-2</v>
      </c>
      <c r="M25" s="3937">
        <f ca="1">IF(M$3&gt;M$11,input!$B1258/M$10,input!$B1258/(M$3/input!$P$1275*10^3))</f>
        <v>7.3529411764705885E-2</v>
      </c>
      <c r="N25" s="3937">
        <f ca="1">IF(N$3&gt;N$11,input!$B1258/N$10,input!$B1258/(N$3/input!$P$1275*10^3))</f>
        <v>5.8823529411764705E-2</v>
      </c>
      <c r="O25" s="3937">
        <f ca="1">IF(O$3&gt;O$11,input!$B1258/O$10,input!$B1258/(O$3/input!$P$1275*10^3))</f>
        <v>5.5555555555555552E-2</v>
      </c>
      <c r="P25" s="3880"/>
      <c r="Q25" s="3880"/>
      <c r="R25" s="3880"/>
      <c r="S25" s="3880"/>
      <c r="T25" s="3880"/>
      <c r="U25" s="3880"/>
      <c r="V25" s="3880"/>
      <c r="W25" s="3880"/>
      <c r="X25" s="3880"/>
      <c r="Y25" s="3880"/>
      <c r="Z25" s="3880"/>
      <c r="AA25" s="3880"/>
      <c r="AB25" s="3880"/>
      <c r="AC25" s="3880"/>
      <c r="AD25" s="3880"/>
      <c r="AE25" s="3935"/>
      <c r="AF25" s="3935"/>
      <c r="AG25" s="3880"/>
      <c r="AH25" s="3880"/>
      <c r="AI25" s="3880"/>
      <c r="AJ25" s="3880"/>
      <c r="AK25" s="3880"/>
      <c r="AL25" s="3880"/>
      <c r="AM25" s="3880"/>
      <c r="AN25" s="3880"/>
      <c r="AO25" s="3880"/>
    </row>
    <row r="26" spans="1:41">
      <c r="A26" s="3880" t="s">
        <v>3706</v>
      </c>
      <c r="B26" s="3938"/>
      <c r="C26" s="3880"/>
      <c r="D26" s="3880"/>
      <c r="E26" s="3880"/>
      <c r="F26" s="3937">
        <f ca="1">IF(F$3&gt;F$11,input!$B1259/F$10,input!$B1259/(F$3/input!$P$1275*10^3))</f>
        <v>0.62962962962962965</v>
      </c>
      <c r="G26" s="3937">
        <f ca="1">IF(G$3&gt;G$11,input!$B1259/G$10,input!$B1259/(G$3/input!$P$1275*10^3))</f>
        <v>0.47222222222222221</v>
      </c>
      <c r="H26" s="3937">
        <f ca="1">IF(H$3&gt;H$11,input!$B1259/H$10,input!$B1259/(H$3/input!$P$1275*10^3))</f>
        <v>0.53968253968253965</v>
      </c>
      <c r="I26" s="3937">
        <f ca="1">IF(I$3&gt;I$11,input!$B1259/I$10,input!$B1259/(I$3/input!$P$1275*10^3))</f>
        <v>0.31481481481481483</v>
      </c>
      <c r="J26" s="3937">
        <f ca="1">IF(J$3&gt;J$11,input!$B1259/J$10,input!$B1259/(J$3/input!$P$1275*10^3))</f>
        <v>0.17708333333333334</v>
      </c>
      <c r="K26" s="3937">
        <f ca="1">IF(K$3&gt;K$11,input!$B1259/K$10,input!$B1259/(K$3/input!$P$1275*10^3))</f>
        <v>0.17708333333333334</v>
      </c>
      <c r="L26" s="3937">
        <f ca="1">IF(L$3&gt;L$11,input!$B1259/L$10,input!$B1259/(L$3/input!$P$1275*10^3))</f>
        <v>0.1328125</v>
      </c>
      <c r="M26" s="3937">
        <f ca="1">IF(M$3&gt;M$11,input!$B1259/M$10,input!$B1259/(M$3/input!$P$1275*10^3))</f>
        <v>0.125</v>
      </c>
      <c r="N26" s="3937">
        <f ca="1">IF(N$3&gt;N$11,input!$B1259/N$10,input!$B1259/(N$3/input!$P$1275*10^3))</f>
        <v>0.1</v>
      </c>
      <c r="O26" s="3937">
        <f ca="1">IF(O$3&gt;O$11,input!$B1259/O$10,input!$B1259/(O$3/input!$P$1275*10^3))</f>
        <v>9.4444444444444442E-2</v>
      </c>
      <c r="P26" s="3880"/>
      <c r="Q26" s="3880"/>
      <c r="R26" s="3880"/>
      <c r="S26" s="3880"/>
      <c r="T26" s="3880"/>
      <c r="U26" s="3880"/>
      <c r="V26" s="3880"/>
      <c r="W26" s="3880"/>
      <c r="X26" s="3880"/>
      <c r="Y26" s="3880"/>
      <c r="Z26" s="3880"/>
      <c r="AA26" s="3880"/>
      <c r="AB26" s="3880"/>
      <c r="AC26" s="3880"/>
      <c r="AD26" s="3880"/>
      <c r="AE26" s="3935"/>
      <c r="AF26" s="3880"/>
      <c r="AG26" s="3880"/>
      <c r="AH26" s="3880"/>
      <c r="AI26" s="3880"/>
      <c r="AJ26" s="3880"/>
      <c r="AK26" s="3880"/>
      <c r="AL26" s="3880"/>
      <c r="AM26" s="3880"/>
      <c r="AN26" s="3880"/>
      <c r="AO26" s="3880"/>
    </row>
    <row r="27" spans="1:41">
      <c r="A27" s="3880" t="s">
        <v>3706</v>
      </c>
      <c r="B27" s="3938"/>
      <c r="C27" s="3880"/>
      <c r="D27" s="3880"/>
      <c r="E27" s="3880"/>
      <c r="F27" s="3937">
        <f ca="1">IF(F$3&gt;F$11,input!$B1260/F$10,input!$B1260/(F$3/input!$P$1275*10^3))</f>
        <v>0</v>
      </c>
      <c r="G27" s="3937">
        <f ca="1">IF(G$3&gt;G$11,input!$B1260/G$10,input!$B1260/(G$3/input!$P$1275*10^3))</f>
        <v>0</v>
      </c>
      <c r="H27" s="3937">
        <f ca="1">IF(H$3&gt;H$11,input!$B1260/H$10,input!$B1260/(H$3/input!$P$1275*10^3))</f>
        <v>0</v>
      </c>
      <c r="I27" s="3937">
        <f ca="1">IF(I$3&gt;I$11,input!$B1260/I$10,input!$B1260/(I$3/input!$P$1275*10^3))</f>
        <v>0</v>
      </c>
      <c r="J27" s="3937">
        <f ca="1">IF(J$3&gt;J$11,input!$B1260/J$10,input!$B1260/(J$3/input!$P$1275*10^3))</f>
        <v>0</v>
      </c>
      <c r="K27" s="3937">
        <f ca="1">IF(K$3&gt;K$11,input!$B1260/K$10,input!$B1260/(K$3/input!$P$1275*10^3))</f>
        <v>0</v>
      </c>
      <c r="L27" s="3937">
        <f ca="1">IF(L$3&gt;L$11,input!$B1260/L$10,input!$B1260/(L$3/input!$P$1275*10^3))</f>
        <v>0</v>
      </c>
      <c r="M27" s="3937">
        <f ca="1">IF(M$3&gt;M$11,input!$B1260/M$10,input!$B1260/(M$3/input!$P$1275*10^3))</f>
        <v>0</v>
      </c>
      <c r="N27" s="3937">
        <f ca="1">IF(N$3&gt;N$11,input!$B1260/N$10,input!$B1260/(N$3/input!$P$1275*10^3))</f>
        <v>0</v>
      </c>
      <c r="O27" s="3937">
        <f ca="1">IF(O$3&gt;O$11,input!$B1260/O$10,input!$B1260/(O$3/input!$P$1275*10^3))</f>
        <v>0</v>
      </c>
      <c r="P27" s="3880"/>
      <c r="Q27" s="3880"/>
      <c r="R27" s="3880"/>
      <c r="S27" s="3880"/>
      <c r="T27" s="3880"/>
      <c r="U27" s="3880"/>
      <c r="V27" s="3880"/>
      <c r="W27" s="3880"/>
      <c r="X27" s="3880"/>
      <c r="Y27" s="3880"/>
      <c r="Z27" s="3880"/>
      <c r="AA27" s="3880"/>
      <c r="AB27" s="3880"/>
      <c r="AC27" s="3880"/>
      <c r="AD27" s="3880"/>
      <c r="AE27" s="3935"/>
      <c r="AF27" s="3880"/>
      <c r="AG27" s="3880"/>
      <c r="AH27" s="3880"/>
      <c r="AI27" s="3880"/>
      <c r="AJ27" s="3880"/>
      <c r="AK27" s="3880"/>
      <c r="AL27" s="3880"/>
      <c r="AM27" s="3880"/>
      <c r="AN27" s="3880"/>
      <c r="AO27" s="3880"/>
    </row>
    <row r="28" spans="1:41">
      <c r="A28" s="3880" t="s">
        <v>3706</v>
      </c>
      <c r="B28" s="3938"/>
      <c r="C28" s="3880"/>
      <c r="D28" s="3880"/>
      <c r="E28" s="3880"/>
      <c r="F28" s="3937">
        <f ca="1">IF(F$3&gt;F$11,input!$B1261/F$10,input!$B1261/(F$3/input!$P$1275*10^3))</f>
        <v>0</v>
      </c>
      <c r="G28" s="3937">
        <f ca="1">IF(G$3&gt;G$11,input!$B1261/G$10,input!$B1261/(G$3/input!$P$1275*10^3))</f>
        <v>0</v>
      </c>
      <c r="H28" s="3937">
        <f ca="1">IF(H$3&gt;H$11,input!$B1261/H$10,input!$B1261/(H$3/input!$P$1275*10^3))</f>
        <v>0</v>
      </c>
      <c r="I28" s="3937">
        <f ca="1">IF(I$3&gt;I$11,input!$B1261/I$10,input!$B1261/(I$3/input!$P$1275*10^3))</f>
        <v>0</v>
      </c>
      <c r="J28" s="3937">
        <f ca="1">IF(J$3&gt;J$11,input!$B1261/J$10,input!$B1261/(J$3/input!$P$1275*10^3))</f>
        <v>0</v>
      </c>
      <c r="K28" s="3937">
        <f ca="1">IF(K$3&gt;K$11,input!$B1261/K$10,input!$B1261/(K$3/input!$P$1275*10^3))</f>
        <v>0</v>
      </c>
      <c r="L28" s="3937">
        <f ca="1">IF(L$3&gt;L$11,input!$B1261/L$10,input!$B1261/(L$3/input!$P$1275*10^3))</f>
        <v>0</v>
      </c>
      <c r="M28" s="3937">
        <f ca="1">IF(M$3&gt;M$11,input!$B1261/M$10,input!$B1261/(M$3/input!$P$1275*10^3))</f>
        <v>0</v>
      </c>
      <c r="N28" s="3937">
        <f ca="1">IF(N$3&gt;N$11,input!$B1261/N$10,input!$B1261/(N$3/input!$P$1275*10^3))</f>
        <v>0</v>
      </c>
      <c r="O28" s="3937">
        <f ca="1">IF(O$3&gt;O$11,input!$B1261/O$10,input!$B1261/(O$3/input!$P$1275*10^3))</f>
        <v>0</v>
      </c>
      <c r="P28" s="3880"/>
      <c r="Q28" s="3880"/>
      <c r="R28" s="3880"/>
      <c r="S28" s="3880"/>
      <c r="T28" s="3880"/>
      <c r="U28" s="3880"/>
      <c r="V28" s="3880"/>
      <c r="W28" s="3880"/>
      <c r="X28" s="3880"/>
      <c r="Y28" s="3880"/>
      <c r="Z28" s="3880"/>
      <c r="AA28" s="3880"/>
      <c r="AB28" s="3880"/>
      <c r="AC28" s="3880"/>
      <c r="AD28" s="3880"/>
      <c r="AE28" s="3880"/>
      <c r="AF28" s="3880"/>
      <c r="AG28" s="3880"/>
      <c r="AH28" s="3880"/>
      <c r="AI28" s="3880"/>
      <c r="AJ28" s="3880"/>
      <c r="AK28" s="3880"/>
      <c r="AL28" s="3880"/>
      <c r="AM28" s="3880"/>
      <c r="AN28" s="3880"/>
      <c r="AO28" s="3880"/>
    </row>
    <row r="29" spans="1:41">
      <c r="A29" s="3880" t="s">
        <v>3706</v>
      </c>
      <c r="B29" s="3938"/>
      <c r="C29" s="3880"/>
      <c r="D29" s="3880"/>
      <c r="E29" s="3880"/>
      <c r="F29" s="3937">
        <f ca="1">IF(F$3&gt;F$11,input!$B1262/F$10,input!$B1262/(F$3/input!$P$1275*10^3))</f>
        <v>0</v>
      </c>
      <c r="G29" s="3937">
        <f ca="1">IF(G$3&gt;G$11,input!$B1262/G$10,input!$B1262/(G$3/input!$P$1275*10^3))</f>
        <v>0</v>
      </c>
      <c r="H29" s="3937">
        <f ca="1">IF(H$3&gt;H$11,input!$B1262/H$10,input!$B1262/(H$3/input!$P$1275*10^3))</f>
        <v>0</v>
      </c>
      <c r="I29" s="3937">
        <f ca="1">IF(I$3&gt;I$11,input!$B1262/I$10,input!$B1262/(I$3/input!$P$1275*10^3))</f>
        <v>0</v>
      </c>
      <c r="J29" s="3937">
        <f ca="1">IF(J$3&gt;J$11,input!$B1262/J$10,input!$B1262/(J$3/input!$P$1275*10^3))</f>
        <v>0</v>
      </c>
      <c r="K29" s="3937">
        <f ca="1">IF(K$3&gt;K$11,input!$B1262/K$10,input!$B1262/(K$3/input!$P$1275*10^3))</f>
        <v>0</v>
      </c>
      <c r="L29" s="3937">
        <f ca="1">IF(L$3&gt;L$11,input!$B1262/L$10,input!$B1262/(L$3/input!$P$1275*10^3))</f>
        <v>0</v>
      </c>
      <c r="M29" s="3937">
        <f ca="1">IF(M$3&gt;M$11,input!$B1262/M$10,input!$B1262/(M$3/input!$P$1275*10^3))</f>
        <v>0</v>
      </c>
      <c r="N29" s="3937">
        <f ca="1">IF(N$3&gt;N$11,input!$B1262/N$10,input!$B1262/(N$3/input!$P$1275*10^3))</f>
        <v>0</v>
      </c>
      <c r="O29" s="3937">
        <f ca="1">IF(O$3&gt;O$11,input!$B1262/O$10,input!$B1262/(O$3/input!$P$1275*10^3))</f>
        <v>0</v>
      </c>
      <c r="P29" s="3880"/>
      <c r="Q29" s="3880"/>
      <c r="R29" s="3880"/>
      <c r="S29" s="3880"/>
      <c r="T29" s="3880"/>
      <c r="U29" s="3880"/>
      <c r="V29" s="3880"/>
      <c r="W29" s="3880"/>
      <c r="X29" s="3880"/>
      <c r="Y29" s="3880"/>
      <c r="Z29" s="3880"/>
      <c r="AA29" s="3880"/>
      <c r="AB29" s="3880"/>
      <c r="AC29" s="3880"/>
      <c r="AD29" s="3880"/>
      <c r="AE29" s="3880"/>
      <c r="AF29" s="3880"/>
      <c r="AG29" s="3880"/>
      <c r="AH29" s="3880"/>
      <c r="AI29" s="3880"/>
      <c r="AJ29" s="3880"/>
      <c r="AK29" s="3880"/>
      <c r="AL29" s="3880"/>
      <c r="AM29" s="3880"/>
      <c r="AN29" s="3880"/>
      <c r="AO29" s="3880"/>
    </row>
    <row r="30" spans="1:41">
      <c r="A30" s="3880" t="s">
        <v>3706</v>
      </c>
      <c r="B30" s="3938"/>
      <c r="C30" s="3880"/>
      <c r="D30" s="3880"/>
      <c r="E30" s="3880"/>
      <c r="F30" s="3937">
        <f ca="1">IF(F$3&gt;F$11,input!$B1263/F$10,input!$B1263/(F$3/input!$P$1275*10^3))</f>
        <v>0</v>
      </c>
      <c r="G30" s="3937">
        <f ca="1">IF(G$3&gt;G$11,input!$B1263/G$10,input!$B1263/(G$3/input!$P$1275*10^3))</f>
        <v>0</v>
      </c>
      <c r="H30" s="3937">
        <f ca="1">IF(H$3&gt;H$11,input!$B1263/H$10,input!$B1263/(H$3/input!$P$1275*10^3))</f>
        <v>0</v>
      </c>
      <c r="I30" s="3937">
        <f ca="1">IF(I$3&gt;I$11,input!$B1263/I$10,input!$B1263/(I$3/input!$P$1275*10^3))</f>
        <v>0</v>
      </c>
      <c r="J30" s="3937">
        <f ca="1">IF(J$3&gt;J$11,input!$B1263/J$10,input!$B1263/(J$3/input!$P$1275*10^3))</f>
        <v>0</v>
      </c>
      <c r="K30" s="3937">
        <f ca="1">IF(K$3&gt;K$11,input!$B1263/K$10,input!$B1263/(K$3/input!$P$1275*10^3))</f>
        <v>0</v>
      </c>
      <c r="L30" s="3937">
        <f ca="1">IF(L$3&gt;L$11,input!$B1263/L$10,input!$B1263/(L$3/input!$P$1275*10^3))</f>
        <v>0</v>
      </c>
      <c r="M30" s="3937">
        <f ca="1">IF(M$3&gt;M$11,input!$B1263/M$10,input!$B1263/(M$3/input!$P$1275*10^3))</f>
        <v>0</v>
      </c>
      <c r="N30" s="3937">
        <f ca="1">IF(N$3&gt;N$11,input!$B1263/N$10,input!$B1263/(N$3/input!$P$1275*10^3))</f>
        <v>0</v>
      </c>
      <c r="O30" s="3937">
        <f ca="1">IF(O$3&gt;O$11,input!$B1263/O$10,input!$B1263/(O$3/input!$P$1275*10^3))</f>
        <v>0</v>
      </c>
      <c r="P30" s="3880"/>
      <c r="Q30" s="3880"/>
      <c r="R30" s="3880"/>
      <c r="S30" s="3880"/>
      <c r="T30" s="3880"/>
      <c r="U30" s="3880"/>
      <c r="V30" s="3880"/>
      <c r="W30" s="3880"/>
      <c r="X30" s="3880"/>
      <c r="Y30" s="3880"/>
      <c r="Z30" s="3880"/>
      <c r="AA30" s="3880"/>
      <c r="AB30" s="3880"/>
      <c r="AC30" s="3880"/>
      <c r="AD30" s="3880"/>
      <c r="AE30" s="3880"/>
      <c r="AF30" s="3880"/>
      <c r="AG30" s="3880"/>
      <c r="AH30" s="3880"/>
      <c r="AI30" s="3880"/>
      <c r="AJ30" s="3880"/>
      <c r="AK30" s="3880"/>
      <c r="AL30" s="3880"/>
      <c r="AM30" s="3880"/>
      <c r="AN30" s="3880"/>
      <c r="AO30" s="3880"/>
    </row>
    <row r="31" spans="1:41">
      <c r="A31" s="3880" t="s">
        <v>3706</v>
      </c>
      <c r="B31" s="3938"/>
      <c r="C31" s="3880"/>
      <c r="D31" s="3880"/>
      <c r="E31" s="3880"/>
      <c r="F31" s="3937">
        <f ca="1">IF(F$3&gt;F$11,input!$B1264/F$10,input!$B1264/(F$3/input!$P$1275*10^3))</f>
        <v>0</v>
      </c>
      <c r="G31" s="3937">
        <f ca="1">IF(G$3&gt;G$11,input!$B1264/G$10,input!$B1264/(G$3/input!$P$1275*10^3))</f>
        <v>0</v>
      </c>
      <c r="H31" s="3937">
        <f ca="1">IF(H$3&gt;H$11,input!$B1264/H$10,input!$B1264/(H$3/input!$P$1275*10^3))</f>
        <v>0</v>
      </c>
      <c r="I31" s="3937">
        <f ca="1">IF(I$3&gt;I$11,input!$B1264/I$10,input!$B1264/(I$3/input!$P$1275*10^3))</f>
        <v>0</v>
      </c>
      <c r="J31" s="3937">
        <f ca="1">IF(J$3&gt;J$11,input!$B1264/J$10,input!$B1264/(J$3/input!$P$1275*10^3))</f>
        <v>0</v>
      </c>
      <c r="K31" s="3937">
        <f ca="1">IF(K$3&gt;K$11,input!$B1264/K$10,input!$B1264/(K$3/input!$P$1275*10^3))</f>
        <v>0</v>
      </c>
      <c r="L31" s="3937">
        <f ca="1">IF(L$3&gt;L$11,input!$B1264/L$10,input!$B1264/(L$3/input!$P$1275*10^3))</f>
        <v>0</v>
      </c>
      <c r="M31" s="3937">
        <f ca="1">IF(M$3&gt;M$11,input!$B1264/M$10,input!$B1264/(M$3/input!$P$1275*10^3))</f>
        <v>0</v>
      </c>
      <c r="N31" s="3937">
        <f ca="1">IF(N$3&gt;N$11,input!$B1264/N$10,input!$B1264/(N$3/input!$P$1275*10^3))</f>
        <v>0</v>
      </c>
      <c r="O31" s="3937">
        <f ca="1">IF(O$3&gt;O$11,input!$B1264/O$10,input!$B1264/(O$3/input!$P$1275*10^3))</f>
        <v>0</v>
      </c>
      <c r="P31" s="3880"/>
      <c r="Q31" s="3880"/>
      <c r="R31" s="3880"/>
      <c r="S31" s="3935">
        <f ca="1">ABS(TRUNC(Q33)-Q33)</f>
        <v>0.12962962962962962</v>
      </c>
      <c r="T31" s="3880"/>
      <c r="U31" s="3880"/>
      <c r="V31" s="3880"/>
      <c r="W31" s="3880"/>
      <c r="X31" s="3880"/>
      <c r="Y31" s="3880"/>
      <c r="Z31" s="3880"/>
      <c r="AA31" s="3880"/>
      <c r="AB31" s="3880"/>
      <c r="AC31" s="3880"/>
      <c r="AD31" s="3880"/>
      <c r="AE31" s="3880"/>
      <c r="AF31" s="3880"/>
      <c r="AG31" s="3880"/>
      <c r="AH31" s="3880"/>
      <c r="AI31" s="3880"/>
      <c r="AJ31" s="3880"/>
      <c r="AK31" s="3880"/>
      <c r="AL31" s="3880"/>
      <c r="AM31" s="3880"/>
      <c r="AN31" s="3880"/>
      <c r="AO31" s="3880"/>
    </row>
    <row r="32" spans="1:41">
      <c r="B32" s="3938" t="s">
        <v>3721</v>
      </c>
      <c r="C32" s="3880" t="s">
        <v>1344</v>
      </c>
      <c r="D32" s="3880" t="s">
        <v>3722</v>
      </c>
      <c r="E32" s="3880" t="s">
        <v>3723</v>
      </c>
      <c r="F32" s="3942"/>
      <c r="G32" s="3880"/>
      <c r="H32" s="3880"/>
      <c r="I32" s="3880"/>
      <c r="J32" s="3880"/>
      <c r="K32" s="3880"/>
      <c r="L32" s="3880"/>
      <c r="M32" s="3880"/>
      <c r="N32" s="3880"/>
      <c r="O32" s="3880"/>
      <c r="P32" s="3880"/>
      <c r="Q32" s="3880" t="s">
        <v>2055</v>
      </c>
      <c r="R32" s="3880"/>
      <c r="S32" s="3880" t="s">
        <v>3724</v>
      </c>
      <c r="T32" s="3880" t="s">
        <v>3725</v>
      </c>
      <c r="U32" s="3880"/>
      <c r="V32" s="3880"/>
      <c r="W32" s="3880" t="s">
        <v>3708</v>
      </c>
      <c r="X32" s="3880" t="s">
        <v>3590</v>
      </c>
      <c r="Y32" s="3880" t="s">
        <v>3589</v>
      </c>
      <c r="Z32" s="3880" t="s">
        <v>3591</v>
      </c>
      <c r="AA32" s="3880" t="s">
        <v>3709</v>
      </c>
      <c r="AB32" s="3880"/>
      <c r="AC32" s="3880" t="s">
        <v>3726</v>
      </c>
      <c r="AD32" s="3880" t="s">
        <v>3717</v>
      </c>
      <c r="AE32" s="3880" t="s">
        <v>3728</v>
      </c>
      <c r="AF32" s="3880" t="s">
        <v>3727</v>
      </c>
      <c r="AG32" s="3880"/>
      <c r="AH32" s="3880"/>
      <c r="AI32" s="3880"/>
      <c r="AJ32" s="3880"/>
      <c r="AK32" s="3880"/>
      <c r="AL32" s="3880"/>
    </row>
    <row r="33" spans="1:41" s="3880" customFormat="1" ht="11.25">
      <c r="A33" s="3880" t="s">
        <v>3720</v>
      </c>
      <c r="B33" s="3938">
        <f t="shared" ref="B33:B44" ca="1" si="4">HLOOKUP(S33,$F$5:$O$10,6,0)*T33+HLOOKUP(AF33,$F$5:$O$10,6,0)*AC33</f>
        <v>54</v>
      </c>
      <c r="C33" s="3941">
        <f>input!A1253</f>
        <v>1000</v>
      </c>
      <c r="D33" s="3941">
        <f>input!B1253</f>
        <v>7</v>
      </c>
      <c r="E33" s="3939">
        <f ca="1">input!C1253</f>
        <v>0.1</v>
      </c>
      <c r="F33" s="3941">
        <f ca="1">IF(ROUNDUP(F20,0)*F$12=0,100000000,ROUNDUP(F20,0)*F$12)</f>
        <v>602000</v>
      </c>
      <c r="G33" s="3941">
        <f t="shared" ref="G33:O33" ca="1" si="5">IF(ROUNDUP(G20,0)*G$12=0,100000000,ROUNDUP(G20,0)*G$12)</f>
        <v>787000</v>
      </c>
      <c r="H33" s="3941">
        <f t="shared" ca="1" si="5"/>
        <v>880000</v>
      </c>
      <c r="I33" s="3941">
        <f t="shared" ca="1" si="5"/>
        <v>1220000</v>
      </c>
      <c r="J33" s="3941">
        <f t="shared" ca="1" si="5"/>
        <v>1430000</v>
      </c>
      <c r="K33" s="3941">
        <f t="shared" ca="1" si="5"/>
        <v>1533000</v>
      </c>
      <c r="L33" s="3941">
        <f t="shared" ca="1" si="5"/>
        <v>1988000</v>
      </c>
      <c r="M33" s="3941">
        <f t="shared" ca="1" si="5"/>
        <v>1988000</v>
      </c>
      <c r="N33" s="3941">
        <f t="shared" ca="1" si="5"/>
        <v>1988000</v>
      </c>
      <c r="O33" s="3941">
        <f t="shared" ca="1" si="5"/>
        <v>2150305.889423077</v>
      </c>
      <c r="P33" s="3941">
        <f t="shared" ref="P33:P44" ca="1" si="6">MIN(F33:O33)</f>
        <v>602000</v>
      </c>
      <c r="Q33" s="3937">
        <f ca="1">INDEX(F20:O20,1,MATCH(P33,F33:O33,0))</f>
        <v>0.12962962962962962</v>
      </c>
      <c r="R33" s="3941"/>
      <c r="S33" s="3944" t="str">
        <f t="shared" ref="S33:S44" ca="1" si="7">INDEX($F$5:$O$5,1,MATCH(P33,$F33:$O33,0))</f>
        <v>1.1T</v>
      </c>
      <c r="T33" s="3944">
        <f ca="1">ROUNDUP(INDEX(F20:O20,1,MATCH(P33,$F33:$O33,0)),0)</f>
        <v>1</v>
      </c>
      <c r="W33" s="3942">
        <f ca="1">input!C1253-INDEX($F$11:$O$11,1,MATCH(P33,$F33:$O33,0))*T33</f>
        <v>0.1</v>
      </c>
      <c r="X33" s="3942">
        <f ca="1">ROUNDUP(input!B1253-INDEX($F$10:$O$10,1,MATCH(S33,$F$5:$O$5,0))*T33,0)</f>
        <v>-47</v>
      </c>
      <c r="Y33" s="3880">
        <f ca="1">IFERROR(IF(W33=0,0,IFERROR(IF(VLOOKUP(W33,input!$P$1253:$P$1261,1,0)&gt;0,W33,LOOKUP(W33,input!$P$1253:$P$1261,input!$Q$1253:$Q$1261)),LOOKUP(W33,input!$P$1253:$P$1261,input!$Q$1253:$Q$1261))),0)</f>
        <v>0</v>
      </c>
      <c r="Z33" s="3880">
        <f ca="1">IF(X33&lt;=0,0,IFERROR(IF(VLOOKUP(X33,input!$O$1253:$O$1261,1,0)&gt;0,VLOOKUP(X33,input!$O$1253:$P$1261,2,0),LOOKUP(X33,input!$O$1253:$O$1261,input!$Q$1253:$Q$1261)),LOOKUP(X33,input!$O$1253:$O$1261,input!$Q$1253:$Q$1261)))</f>
        <v>0</v>
      </c>
      <c r="AA33" s="3880">
        <f t="shared" ref="AA33:AA44" ca="1" si="8">MAX(Y33:Z33)</f>
        <v>0</v>
      </c>
      <c r="AB33" s="3880" t="str">
        <f ca="1">IFERROR(VLOOKUP(AA33,'Sum local charge July.19'!$O$77:$P$86,2,0),"1.1T")</f>
        <v>1.1T</v>
      </c>
      <c r="AC33" s="3943">
        <f t="shared" ref="AC33:AC44" ca="1" si="9">IFERROR(IF(AA33&gt;0,1,0),0)</f>
        <v>0</v>
      </c>
      <c r="AD33" s="3880">
        <f t="shared" ref="AD33:AD44" ca="1" si="10">HLOOKUP(AB33,$F$5:$O$12,8,0)</f>
        <v>602000</v>
      </c>
      <c r="AE33" s="3880">
        <f t="shared" ref="AE33:AE44" ca="1" si="11">INDEX($F$46:$O$46,1,MATCH(AB33,$F$5:$O$5,0))</f>
        <v>2</v>
      </c>
      <c r="AF33" s="3943" t="str">
        <f t="shared" ref="AF33:AF44" ca="1" si="12">IF(AD33&gt;0,AB33,INDEX($F$5:$O$5,1,MATCH(VALUE(AE33+1),$F$46:$O$46,0)))</f>
        <v>1.1T</v>
      </c>
      <c r="AG33" s="3929"/>
      <c r="AH33" s="3929"/>
      <c r="AI33" s="3929"/>
      <c r="AJ33" s="3929"/>
    </row>
    <row r="34" spans="1:41" s="3880" customFormat="1" ht="11.25">
      <c r="A34" s="3880" t="s">
        <v>3720</v>
      </c>
      <c r="B34" s="3938">
        <f t="shared" ca="1" si="4"/>
        <v>54</v>
      </c>
      <c r="C34" s="3941">
        <f>input!A1254</f>
        <v>2000</v>
      </c>
      <c r="D34" s="3941">
        <f>input!B1254</f>
        <v>14</v>
      </c>
      <c r="E34" s="3939">
        <f ca="1">input!C1254</f>
        <v>0.2</v>
      </c>
      <c r="F34" s="3941">
        <f t="shared" ref="F34:O34" ca="1" si="13">IF(ROUNDUP(F21,0)*F$12=0,100000000,ROUNDUP(F21,0)*F$12)</f>
        <v>602000</v>
      </c>
      <c r="G34" s="3941">
        <f t="shared" ca="1" si="13"/>
        <v>787000</v>
      </c>
      <c r="H34" s="3941">
        <f t="shared" ca="1" si="13"/>
        <v>880000</v>
      </c>
      <c r="I34" s="3941">
        <f t="shared" ca="1" si="13"/>
        <v>1220000</v>
      </c>
      <c r="J34" s="3941">
        <f t="shared" ca="1" si="13"/>
        <v>1430000</v>
      </c>
      <c r="K34" s="3941">
        <f t="shared" ca="1" si="13"/>
        <v>1533000</v>
      </c>
      <c r="L34" s="3941">
        <f t="shared" ca="1" si="13"/>
        <v>1988000</v>
      </c>
      <c r="M34" s="3941">
        <f t="shared" ca="1" si="13"/>
        <v>1988000</v>
      </c>
      <c r="N34" s="3941">
        <f t="shared" ca="1" si="13"/>
        <v>1988000</v>
      </c>
      <c r="O34" s="3941">
        <f t="shared" ca="1" si="13"/>
        <v>2150305.889423077</v>
      </c>
      <c r="P34" s="3941">
        <f t="shared" ca="1" si="6"/>
        <v>602000</v>
      </c>
      <c r="Q34" s="3937">
        <f t="shared" ref="Q34:Q44" ca="1" si="14">INDEX(F21:O21,1,MATCH(P34,F34:O34,0))</f>
        <v>0.25925925925925924</v>
      </c>
      <c r="R34" s="3941"/>
      <c r="S34" s="3944" t="str">
        <f t="shared" ca="1" si="7"/>
        <v>1.1T</v>
      </c>
      <c r="T34" s="3944">
        <f t="shared" ref="T34:T44" ca="1" si="15">ROUNDUP(INDEX(F21:O21,1,MATCH(P34,$F34:$O34,0)),0)</f>
        <v>1</v>
      </c>
      <c r="W34" s="3937">
        <f ca="1">input!C1254-INDEX($F$11:$O$11,1,MATCH(P34,$F34:$O34,0))*T34</f>
        <v>0.2</v>
      </c>
      <c r="X34" s="3942">
        <f ca="1">ROUNDUP(input!B1254-INDEX($F$10:$O$10,1,MATCH(S34,$F$5:$O$5,0))*T34,0)</f>
        <v>-40</v>
      </c>
      <c r="Y34" s="3880">
        <f ca="1">IFERROR(IF(W34=0,0,IFERROR(IF(VLOOKUP(W34,input!$P$1253:$P$1261,1,0)&gt;0,W34,LOOKUP(W34,input!$P$1253:$P$1261,input!$Q$1253:$Q$1261)),LOOKUP(W34,input!$P$1253:$P$1261,input!$Q$1253:$Q$1261))),0)</f>
        <v>0</v>
      </c>
      <c r="Z34" s="3880">
        <f ca="1">IF(X34&lt;=0,0,IFERROR(IF(VLOOKUP(X34,input!$O$1253:$O$1261,1,0)&gt;0,VLOOKUP(X34,input!$O$1253:$P$1261,2,0),LOOKUP(X34,input!$O$1253:$O$1261,input!$Q$1253:$Q$1261)),LOOKUP(X34,input!$O$1253:$O$1261,input!$Q$1253:$Q$1261)))</f>
        <v>0</v>
      </c>
      <c r="AA34" s="3880">
        <f t="shared" ca="1" si="8"/>
        <v>0</v>
      </c>
      <c r="AB34" s="3880" t="str">
        <f ca="1">IFERROR(VLOOKUP(AA34,'Sum local charge July.19'!$O$77:$P$86,2,0),"1.1T")</f>
        <v>1.1T</v>
      </c>
      <c r="AC34" s="3943">
        <f t="shared" ca="1" si="9"/>
        <v>0</v>
      </c>
      <c r="AD34" s="3880">
        <f t="shared" ca="1" si="10"/>
        <v>602000</v>
      </c>
      <c r="AE34" s="3880">
        <f t="shared" ca="1" si="11"/>
        <v>2</v>
      </c>
      <c r="AF34" s="3943" t="str">
        <f t="shared" ca="1" si="12"/>
        <v>1.1T</v>
      </c>
      <c r="AG34" s="3929"/>
      <c r="AH34" s="3929"/>
      <c r="AI34" s="3929"/>
      <c r="AJ34" s="3929"/>
    </row>
    <row r="35" spans="1:41" s="3880" customFormat="1" ht="11.25">
      <c r="A35" s="3880" t="s">
        <v>3720</v>
      </c>
      <c r="B35" s="3938">
        <f t="shared" ca="1" si="4"/>
        <v>72</v>
      </c>
      <c r="C35" s="3941">
        <f>input!A1255</f>
        <v>10000</v>
      </c>
      <c r="D35" s="3941">
        <f>input!B1255</f>
        <v>67</v>
      </c>
      <c r="E35" s="3939">
        <f ca="1">input!C1255</f>
        <v>0.79999999999999993</v>
      </c>
      <c r="F35" s="3941">
        <f t="shared" ref="F35:O35" ca="1" si="16">IF(ROUNDUP(F22,0)*F$12=0,100000000,ROUNDUP(F22,0)*F$12)</f>
        <v>1204000</v>
      </c>
      <c r="G35" s="3941">
        <f t="shared" ca="1" si="16"/>
        <v>787000</v>
      </c>
      <c r="H35" s="3941">
        <f t="shared" ca="1" si="16"/>
        <v>1760000</v>
      </c>
      <c r="I35" s="3941">
        <f t="shared" ca="1" si="16"/>
        <v>1220000</v>
      </c>
      <c r="J35" s="3941">
        <f t="shared" ca="1" si="16"/>
        <v>1430000</v>
      </c>
      <c r="K35" s="3941">
        <f t="shared" ca="1" si="16"/>
        <v>1533000</v>
      </c>
      <c r="L35" s="3941">
        <f t="shared" ca="1" si="16"/>
        <v>1988000</v>
      </c>
      <c r="M35" s="3941">
        <f t="shared" ca="1" si="16"/>
        <v>1988000</v>
      </c>
      <c r="N35" s="3941">
        <f t="shared" ca="1" si="16"/>
        <v>1988000</v>
      </c>
      <c r="O35" s="3941">
        <f t="shared" ca="1" si="16"/>
        <v>2150305.889423077</v>
      </c>
      <c r="P35" s="3941">
        <f t="shared" ca="1" si="6"/>
        <v>787000</v>
      </c>
      <c r="Q35" s="3937">
        <f t="shared" ca="1" si="14"/>
        <v>0.93055555555555558</v>
      </c>
      <c r="R35" s="3941"/>
      <c r="S35" s="3944" t="str">
        <f t="shared" ca="1" si="7"/>
        <v>1.8T</v>
      </c>
      <c r="T35" s="3944">
        <f t="shared" ca="1" si="15"/>
        <v>1</v>
      </c>
      <c r="W35" s="3937">
        <f ca="1">input!C1255-INDEX($F$11:$O$11,1,MATCH(P35,$F35:$O35,0))*T35</f>
        <v>0.79999999999999993</v>
      </c>
      <c r="X35" s="3942">
        <f ca="1">ROUNDUP(input!B1255-INDEX($F$10:$O$10,1,MATCH(S35,$F$5:$O$5,0))*T35,0)</f>
        <v>-5</v>
      </c>
      <c r="Y35" s="3880">
        <f ca="1">IFERROR(IF(W35=0,0,IFERROR(IF(VLOOKUP(W35,input!$P$1253:$P$1261,1,0)&gt;0,W35,LOOKUP(W35,input!$P$1253:$P$1261,input!$Q$1253:$Q$1261)),LOOKUP(W35,input!$P$1253:$P$1261,input!$Q$1253:$Q$1261))),0)</f>
        <v>0</v>
      </c>
      <c r="Z35" s="3880">
        <f ca="1">IF(X35&lt;=0,0,IFERROR(IF(VLOOKUP(X35,input!$O$1253:$O$1261,1,0)&gt;0,VLOOKUP(X35,input!$O$1253:$P$1261,2,0),LOOKUP(X35,input!$O$1253:$O$1261,input!$Q$1253:$Q$1261)),LOOKUP(X35,input!$O$1253:$O$1261,input!$Q$1253:$Q$1261)))</f>
        <v>0</v>
      </c>
      <c r="AA35" s="3880">
        <f t="shared" ca="1" si="8"/>
        <v>0</v>
      </c>
      <c r="AB35" s="3880" t="str">
        <f ca="1">IFERROR(VLOOKUP(AA35,'Sum local charge July.19'!$O$77:$P$86,2,0),"1.1T")</f>
        <v>1.1T</v>
      </c>
      <c r="AC35" s="3943">
        <f t="shared" ca="1" si="9"/>
        <v>0</v>
      </c>
      <c r="AD35" s="3880">
        <f t="shared" ca="1" si="10"/>
        <v>602000</v>
      </c>
      <c r="AE35" s="3880">
        <f t="shared" ca="1" si="11"/>
        <v>2</v>
      </c>
      <c r="AF35" s="3943" t="str">
        <f t="shared" ca="1" si="12"/>
        <v>1.1T</v>
      </c>
      <c r="AG35" s="3929"/>
      <c r="AH35" s="3929"/>
      <c r="AI35" s="3929"/>
      <c r="AJ35" s="3929"/>
    </row>
    <row r="36" spans="1:41" s="3880" customFormat="1" ht="11.25">
      <c r="A36" s="3880" t="s">
        <v>3720</v>
      </c>
      <c r="B36" s="3880">
        <f t="shared" ca="1" si="4"/>
        <v>256</v>
      </c>
      <c r="C36" s="3941">
        <f>input!A1256</f>
        <v>30000</v>
      </c>
      <c r="D36" s="3941">
        <f>input!B1256</f>
        <v>200</v>
      </c>
      <c r="E36" s="3939">
        <f ca="1">input!C1256</f>
        <v>2.4</v>
      </c>
      <c r="F36" s="3941">
        <f t="shared" ref="F36:O36" ca="1" si="17">IF(ROUNDUP(F23,0)*F$12=0,100000000,ROUNDUP(F23,0)*F$12)</f>
        <v>2408000</v>
      </c>
      <c r="G36" s="3941">
        <f t="shared" ca="1" si="17"/>
        <v>2361000</v>
      </c>
      <c r="H36" s="3941">
        <f t="shared" ca="1" si="17"/>
        <v>3520000</v>
      </c>
      <c r="I36" s="3941">
        <f t="shared" ca="1" si="17"/>
        <v>2440000</v>
      </c>
      <c r="J36" s="3941">
        <f t="shared" ca="1" si="17"/>
        <v>2860000</v>
      </c>
      <c r="K36" s="3941">
        <f t="shared" ca="1" si="17"/>
        <v>3066000</v>
      </c>
      <c r="L36" s="3941">
        <f t="shared" ca="1" si="17"/>
        <v>1988000</v>
      </c>
      <c r="M36" s="3941">
        <f t="shared" ca="1" si="17"/>
        <v>1988000</v>
      </c>
      <c r="N36" s="3941">
        <f t="shared" ca="1" si="17"/>
        <v>1988000</v>
      </c>
      <c r="O36" s="3941">
        <f t="shared" ca="1" si="17"/>
        <v>2150305.889423077</v>
      </c>
      <c r="P36" s="3941">
        <f t="shared" ca="1" si="6"/>
        <v>1988000</v>
      </c>
      <c r="Q36" s="3937">
        <f t="shared" ca="1" si="14"/>
        <v>0.78125</v>
      </c>
      <c r="R36" s="3941"/>
      <c r="S36" s="3944" t="str">
        <f t="shared" ca="1" si="7"/>
        <v>8T</v>
      </c>
      <c r="T36" s="3944">
        <f t="shared" ca="1" si="15"/>
        <v>1</v>
      </c>
      <c r="W36" s="3937">
        <f ca="1">input!C1256-INDEX($F$11:$O$11,1,MATCH(P36,$F36:$O36,0))*T36</f>
        <v>2.4</v>
      </c>
      <c r="X36" s="3942">
        <f ca="1">ROUNDUP(input!B1256-INDEX($F$10:$O$10,1,MATCH(S36,$F$5:$O$5,0))*T36,0)</f>
        <v>-56</v>
      </c>
      <c r="Y36" s="3880">
        <f ca="1">IFERROR(IF(W36=0,0,IFERROR(IF(VLOOKUP(W36,input!$P$1253:$P$1261,1,0)&gt;0,W36,LOOKUP(W36,input!$P$1253:$P$1261,input!$Q$1253:$Q$1261)),LOOKUP(W36,input!$P$1253:$P$1261,input!$Q$1253:$Q$1261))),0)</f>
        <v>0</v>
      </c>
      <c r="Z36" s="3880">
        <f ca="1">IF(X36&lt;=0,0,IFERROR(IF(VLOOKUP(X36,input!$O$1253:$O$1261,1,0)&gt;0,VLOOKUP(X36,input!$O$1253:$P$1261,2,0),LOOKUP(X36,input!$O$1253:$O$1261,input!$Q$1253:$Q$1261)),LOOKUP(X36,input!$O$1253:$O$1261,input!$Q$1253:$Q$1261)))</f>
        <v>0</v>
      </c>
      <c r="AA36" s="3880">
        <f t="shared" ca="1" si="8"/>
        <v>0</v>
      </c>
      <c r="AB36" s="3880" t="str">
        <f ca="1">IFERROR(VLOOKUP(AA36,'Sum local charge July.19'!$O$77:$P$86,2,0),"1.1T")</f>
        <v>1.1T</v>
      </c>
      <c r="AC36" s="3943">
        <f t="shared" ca="1" si="9"/>
        <v>0</v>
      </c>
      <c r="AD36" s="3880">
        <f t="shared" ca="1" si="10"/>
        <v>602000</v>
      </c>
      <c r="AE36" s="3880">
        <f t="shared" ca="1" si="11"/>
        <v>2</v>
      </c>
      <c r="AF36" s="3943" t="str">
        <f t="shared" ca="1" si="12"/>
        <v>1.1T</v>
      </c>
      <c r="AG36" s="3929"/>
      <c r="AH36" s="3929"/>
      <c r="AI36" s="3929"/>
      <c r="AJ36" s="3929"/>
    </row>
    <row r="37" spans="1:41" s="3880" customFormat="1" ht="11.25">
      <c r="A37" s="3880" t="s">
        <v>3720</v>
      </c>
      <c r="B37" s="3880">
        <f t="shared" ca="1" si="4"/>
        <v>340</v>
      </c>
      <c r="C37" s="3941">
        <f>input!A1257</f>
        <v>50000</v>
      </c>
      <c r="D37" s="3941">
        <f>input!B1257</f>
        <v>334</v>
      </c>
      <c r="E37" s="3939">
        <f ca="1">input!C1257</f>
        <v>3.9</v>
      </c>
      <c r="F37" s="3941">
        <f t="shared" ref="F37:O37" ca="1" si="18">IF(ROUNDUP(F24,0)*F$12=0,100000000,ROUNDUP(F24,0)*F$12)</f>
        <v>4214000</v>
      </c>
      <c r="G37" s="3941">
        <f t="shared" ca="1" si="18"/>
        <v>3935000</v>
      </c>
      <c r="H37" s="3941">
        <f t="shared" ca="1" si="18"/>
        <v>5280000</v>
      </c>
      <c r="I37" s="3941">
        <f t="shared" ca="1" si="18"/>
        <v>4880000</v>
      </c>
      <c r="J37" s="3941">
        <f t="shared" ca="1" si="18"/>
        <v>2860000</v>
      </c>
      <c r="K37" s="3941">
        <f t="shared" ca="1" si="18"/>
        <v>3066000</v>
      </c>
      <c r="L37" s="3941">
        <f t="shared" ca="1" si="18"/>
        <v>3976000</v>
      </c>
      <c r="M37" s="3941">
        <f t="shared" ca="1" si="18"/>
        <v>3976000</v>
      </c>
      <c r="N37" s="3941">
        <f t="shared" ca="1" si="18"/>
        <v>1988000</v>
      </c>
      <c r="O37" s="3941">
        <f t="shared" ca="1" si="18"/>
        <v>2150305.889423077</v>
      </c>
      <c r="P37" s="3941">
        <f t="shared" ca="1" si="6"/>
        <v>1988000</v>
      </c>
      <c r="Q37" s="3937">
        <f t="shared" ca="1" si="14"/>
        <v>0.98235294117647054</v>
      </c>
      <c r="R37" s="3941"/>
      <c r="S37" s="3944" t="str">
        <f t="shared" ca="1" si="7"/>
        <v>12T</v>
      </c>
      <c r="T37" s="3944">
        <f t="shared" ca="1" si="15"/>
        <v>1</v>
      </c>
      <c r="W37" s="3937">
        <f ca="1">input!C1257-INDEX($F$11:$O$11,1,MATCH(P37,$F37:$O37,0))*T37</f>
        <v>3.9</v>
      </c>
      <c r="X37" s="3942">
        <f ca="1">ROUNDUP(input!B1257-INDEX($F$10:$O$10,1,MATCH(S37,$F$5:$O$5,0))*T37,0)</f>
        <v>-6</v>
      </c>
      <c r="Y37" s="3880">
        <f ca="1">IFERROR(IF(W37=0,0,IFERROR(IF(VLOOKUP(W37,input!$P$1253:$P$1261,1,0)&gt;0,W37,LOOKUP(W37,input!$P$1253:$P$1261,input!$Q$1253:$Q$1261)),LOOKUP(W37,input!$P$1253:$P$1261,input!$Q$1253:$Q$1261))),0)</f>
        <v>0</v>
      </c>
      <c r="Z37" s="3880">
        <f ca="1">IF(X37&lt;=0,0,IFERROR(IF(VLOOKUP(X37,input!$O$1253:$O$1261,1,0)&gt;0,VLOOKUP(X37,input!$O$1253:$P$1261,2,0),LOOKUP(X37,input!$O$1253:$O$1261,input!$Q$1253:$Q$1261)),LOOKUP(X37,input!$O$1253:$O$1261,input!$Q$1253:$Q$1261)))</f>
        <v>0</v>
      </c>
      <c r="AA37" s="3880">
        <f t="shared" ca="1" si="8"/>
        <v>0</v>
      </c>
      <c r="AB37" s="3880" t="str">
        <f ca="1">IFERROR(VLOOKUP(AA37,'Sum local charge July.19'!$O$77:$P$86,2,0),"1.1T")</f>
        <v>1.1T</v>
      </c>
      <c r="AC37" s="3943">
        <f t="shared" ca="1" si="9"/>
        <v>0</v>
      </c>
      <c r="AD37" s="3880">
        <f t="shared" ca="1" si="10"/>
        <v>602000</v>
      </c>
      <c r="AE37" s="3880">
        <f t="shared" ca="1" si="11"/>
        <v>2</v>
      </c>
      <c r="AF37" s="3943" t="str">
        <f t="shared" ca="1" si="12"/>
        <v>1.1T</v>
      </c>
      <c r="AG37" s="3929"/>
      <c r="AH37" s="3929"/>
      <c r="AI37" s="3929"/>
      <c r="AJ37" s="3929"/>
    </row>
    <row r="38" spans="1:41" s="3880" customFormat="1" ht="11.25">
      <c r="A38" s="3880" t="s">
        <v>3720</v>
      </c>
      <c r="B38" s="3880">
        <f t="shared" ca="1" si="4"/>
        <v>54</v>
      </c>
      <c r="C38" s="3941">
        <f>input!A1258</f>
        <v>3000</v>
      </c>
      <c r="D38" s="3941">
        <f>input!B1258</f>
        <v>20</v>
      </c>
      <c r="E38" s="3939">
        <f ca="1">input!C1258</f>
        <v>0.30000000000000004</v>
      </c>
      <c r="F38" s="3941">
        <f t="shared" ref="F38:O38" ca="1" si="19">IF(ROUNDUP(F25,0)*F$12=0,100000000,ROUNDUP(F25,0)*F$12)</f>
        <v>602000</v>
      </c>
      <c r="G38" s="3941">
        <f t="shared" ca="1" si="19"/>
        <v>787000</v>
      </c>
      <c r="H38" s="3941">
        <f t="shared" ca="1" si="19"/>
        <v>880000</v>
      </c>
      <c r="I38" s="3941">
        <f t="shared" ca="1" si="19"/>
        <v>1220000</v>
      </c>
      <c r="J38" s="3941">
        <f t="shared" ca="1" si="19"/>
        <v>1430000</v>
      </c>
      <c r="K38" s="3941">
        <f t="shared" ca="1" si="19"/>
        <v>1533000</v>
      </c>
      <c r="L38" s="3941">
        <f t="shared" ca="1" si="19"/>
        <v>1988000</v>
      </c>
      <c r="M38" s="3941">
        <f t="shared" ca="1" si="19"/>
        <v>1988000</v>
      </c>
      <c r="N38" s="3941">
        <f t="shared" ca="1" si="19"/>
        <v>1988000</v>
      </c>
      <c r="O38" s="3941">
        <f t="shared" ca="1" si="19"/>
        <v>2150305.889423077</v>
      </c>
      <c r="P38" s="3941">
        <f t="shared" ca="1" si="6"/>
        <v>602000</v>
      </c>
      <c r="Q38" s="3937">
        <f t="shared" ca="1" si="14"/>
        <v>0.37037037037037035</v>
      </c>
      <c r="R38" s="3941"/>
      <c r="S38" s="3944" t="str">
        <f t="shared" ca="1" si="7"/>
        <v>1.1T</v>
      </c>
      <c r="T38" s="3944">
        <f t="shared" ca="1" si="15"/>
        <v>1</v>
      </c>
      <c r="W38" s="3937">
        <f ca="1">input!C1258-INDEX($F$11:$O$11,1,MATCH(P38,$F38:$O38,0))*T38</f>
        <v>0.30000000000000004</v>
      </c>
      <c r="X38" s="3942">
        <f ca="1">ROUNDUP(input!B1258-INDEX($F$10:$O$10,1,MATCH(S38,$F$5:$O$5,0))*T38,0)</f>
        <v>-34</v>
      </c>
      <c r="Y38" s="3880">
        <f ca="1">IFERROR(IF(W38=0,0,IFERROR(IF(VLOOKUP(W38,input!$P$1253:$P$1261,1,0)&gt;0,W38,LOOKUP(W38,input!$P$1253:$P$1261,input!$Q$1253:$Q$1261)),LOOKUP(W38,input!$P$1253:$P$1261,input!$Q$1253:$Q$1261))),0)</f>
        <v>0</v>
      </c>
      <c r="Z38" s="3880">
        <f ca="1">IF(X38&lt;=0,0,IFERROR(IF(VLOOKUP(X38,input!$O$1253:$O$1261,1,0)&gt;0,VLOOKUP(X38,input!$O$1253:$P$1261,2,0),LOOKUP(X38,input!$O$1253:$O$1261,input!$Q$1253:$Q$1261)),LOOKUP(X38,input!$O$1253:$O$1261,input!$Q$1253:$Q$1261)))</f>
        <v>0</v>
      </c>
      <c r="AA38" s="3880">
        <f t="shared" ca="1" si="8"/>
        <v>0</v>
      </c>
      <c r="AB38" s="3880" t="str">
        <f ca="1">IFERROR(VLOOKUP(AA38,'Sum local charge July.19'!$O$77:$P$86,2,0),"1.1T")</f>
        <v>1.1T</v>
      </c>
      <c r="AC38" s="3943">
        <f t="shared" ca="1" si="9"/>
        <v>0</v>
      </c>
      <c r="AD38" s="3880">
        <f t="shared" ca="1" si="10"/>
        <v>602000</v>
      </c>
      <c r="AE38" s="3880">
        <f t="shared" ca="1" si="11"/>
        <v>2</v>
      </c>
      <c r="AF38" s="3943" t="str">
        <f t="shared" ca="1" si="12"/>
        <v>1.1T</v>
      </c>
      <c r="AG38" s="3929"/>
      <c r="AH38" s="3929"/>
      <c r="AI38" s="3929"/>
      <c r="AJ38" s="3929"/>
    </row>
    <row r="39" spans="1:41" s="3880" customFormat="1" ht="11.25">
      <c r="A39" s="3880" t="s">
        <v>3720</v>
      </c>
      <c r="B39" s="3880">
        <f t="shared" ca="1" si="4"/>
        <v>54</v>
      </c>
      <c r="C39" s="3941">
        <f>input!A1259</f>
        <v>5000</v>
      </c>
      <c r="D39" s="3941">
        <f>input!B1259</f>
        <v>34</v>
      </c>
      <c r="E39" s="3939">
        <f ca="1">input!C1259</f>
        <v>0.4</v>
      </c>
      <c r="F39" s="3941">
        <f t="shared" ref="F39:O39" ca="1" si="20">IF(ROUNDUP(F26,0)*F$12=0,100000000,ROUNDUP(F26,0)*F$12)</f>
        <v>602000</v>
      </c>
      <c r="G39" s="3941">
        <f ca="1">IF(ROUNDUP(G26,0)*G$12=0,100000000,ROUNDUP(G26,0)*G$12)</f>
        <v>787000</v>
      </c>
      <c r="H39" s="3941">
        <f t="shared" ca="1" si="20"/>
        <v>880000</v>
      </c>
      <c r="I39" s="3941">
        <f t="shared" ca="1" si="20"/>
        <v>1220000</v>
      </c>
      <c r="J39" s="3941">
        <f t="shared" ca="1" si="20"/>
        <v>1430000</v>
      </c>
      <c r="K39" s="3941">
        <f t="shared" ca="1" si="20"/>
        <v>1533000</v>
      </c>
      <c r="L39" s="3941">
        <f t="shared" ca="1" si="20"/>
        <v>1988000</v>
      </c>
      <c r="M39" s="3941">
        <f t="shared" ca="1" si="20"/>
        <v>1988000</v>
      </c>
      <c r="N39" s="3941">
        <f t="shared" ca="1" si="20"/>
        <v>1988000</v>
      </c>
      <c r="O39" s="3941">
        <f t="shared" ca="1" si="20"/>
        <v>2150305.889423077</v>
      </c>
      <c r="P39" s="3941">
        <f t="shared" ca="1" si="6"/>
        <v>602000</v>
      </c>
      <c r="Q39" s="3937">
        <f t="shared" ca="1" si="14"/>
        <v>0.62962962962962965</v>
      </c>
      <c r="R39" s="3941"/>
      <c r="S39" s="3944" t="str">
        <f t="shared" ca="1" si="7"/>
        <v>1.1T</v>
      </c>
      <c r="T39" s="3944">
        <f t="shared" ca="1" si="15"/>
        <v>1</v>
      </c>
      <c r="W39" s="3937">
        <f ca="1">input!C1259-INDEX($F$11:$O$11,1,MATCH(P39,$F39:$O39,0))*T39</f>
        <v>0.4</v>
      </c>
      <c r="X39" s="3942">
        <f ca="1">ROUNDUP(input!B1259-INDEX($F$10:$O$10,1,MATCH(S39,$F$5:$O$5,0))*T39,0)</f>
        <v>-20</v>
      </c>
      <c r="Y39" s="3880">
        <f ca="1">IFERROR(IF(W39=0,0,IFERROR(IF(VLOOKUP(W39,input!$P$1253:$P$1261,1,0)&gt;0,W39,LOOKUP(W39,input!$P$1253:$P$1261,input!$Q$1253:$Q$1261)),LOOKUP(W39,input!$P$1253:$P$1261,input!$Q$1253:$Q$1261))),0)</f>
        <v>0</v>
      </c>
      <c r="Z39" s="3880">
        <f ca="1">IF(X39&lt;=0,0,IFERROR(IF(VLOOKUP(X39,input!$O$1253:$O$1261,1,0)&gt;0,VLOOKUP(X39,input!$O$1253:$P$1261,2,0),LOOKUP(X39,input!$O$1253:$O$1261,input!$Q$1253:$Q$1261)),LOOKUP(X39,input!$O$1253:$O$1261,input!$Q$1253:$Q$1261)))</f>
        <v>0</v>
      </c>
      <c r="AA39" s="3880">
        <f t="shared" ca="1" si="8"/>
        <v>0</v>
      </c>
      <c r="AB39" s="3880" t="str">
        <f ca="1">IFERROR(VLOOKUP(AA39,'Sum local charge July.19'!$O$77:$P$86,2,0),"1.1T")</f>
        <v>1.1T</v>
      </c>
      <c r="AC39" s="3943">
        <f t="shared" ca="1" si="9"/>
        <v>0</v>
      </c>
      <c r="AD39" s="3880">
        <f t="shared" ca="1" si="10"/>
        <v>602000</v>
      </c>
      <c r="AE39" s="3880">
        <f t="shared" ca="1" si="11"/>
        <v>2</v>
      </c>
      <c r="AF39" s="3943" t="str">
        <f t="shared" ca="1" si="12"/>
        <v>1.1T</v>
      </c>
      <c r="AG39" s="3929"/>
      <c r="AH39" s="3929"/>
      <c r="AI39" s="3929"/>
      <c r="AJ39" s="3929"/>
    </row>
    <row r="40" spans="1:41" s="3880" customFormat="1" ht="11.25">
      <c r="A40" s="3880" t="s">
        <v>3720</v>
      </c>
      <c r="B40" s="3880">
        <f t="shared" ca="1" si="4"/>
        <v>0</v>
      </c>
      <c r="C40" s="3941">
        <f>input!A1260</f>
        <v>0</v>
      </c>
      <c r="D40" s="3941">
        <f>input!B1260</f>
        <v>0</v>
      </c>
      <c r="E40" s="3939">
        <f ca="1">input!C1260</f>
        <v>0</v>
      </c>
      <c r="F40" s="3941">
        <f t="shared" ref="F40:O40" ca="1" si="21">IF(ROUNDUP(F27,0)*F$12=0,100000000,ROUNDUP(F27,0)*F$12)</f>
        <v>100000000</v>
      </c>
      <c r="G40" s="3941">
        <f t="shared" ca="1" si="21"/>
        <v>100000000</v>
      </c>
      <c r="H40" s="3941">
        <f t="shared" ca="1" si="21"/>
        <v>100000000</v>
      </c>
      <c r="I40" s="3941">
        <f t="shared" ca="1" si="21"/>
        <v>100000000</v>
      </c>
      <c r="J40" s="3941">
        <f t="shared" ca="1" si="21"/>
        <v>100000000</v>
      </c>
      <c r="K40" s="3941">
        <f t="shared" ca="1" si="21"/>
        <v>100000000</v>
      </c>
      <c r="L40" s="3941">
        <f t="shared" ca="1" si="21"/>
        <v>100000000</v>
      </c>
      <c r="M40" s="3941">
        <f t="shared" ca="1" si="21"/>
        <v>100000000</v>
      </c>
      <c r="N40" s="3941">
        <f t="shared" ca="1" si="21"/>
        <v>100000000</v>
      </c>
      <c r="O40" s="3941">
        <f t="shared" ca="1" si="21"/>
        <v>100000000</v>
      </c>
      <c r="P40" s="3941">
        <f t="shared" ca="1" si="6"/>
        <v>100000000</v>
      </c>
      <c r="Q40" s="3937">
        <f t="shared" ca="1" si="14"/>
        <v>0</v>
      </c>
      <c r="R40" s="3941"/>
      <c r="S40" s="3944" t="str">
        <f t="shared" ca="1" si="7"/>
        <v>1.1T</v>
      </c>
      <c r="T40" s="3944">
        <f t="shared" ca="1" si="15"/>
        <v>0</v>
      </c>
      <c r="W40" s="3937">
        <f ca="1">input!C1260-INDEX($F$11:$O$11,1,MATCH(P40,$F40:$O40,0))*T40</f>
        <v>0</v>
      </c>
      <c r="X40" s="3942">
        <f ca="1">ROUNDUP(input!B1260-INDEX($F$10:$O$10,1,MATCH(S40,$F$5:$O$5,0))*T40,0)</f>
        <v>0</v>
      </c>
      <c r="Y40" s="3880">
        <f ca="1">IFERROR(IF(W40=0,0,IFERROR(IF(VLOOKUP(W40,input!$P$1253:$P$1261,1,0)&gt;0,W40,LOOKUP(W40,input!$P$1253:$P$1261,input!$Q$1253:$Q$1261)),LOOKUP(W40,input!$P$1253:$P$1261,input!$Q$1253:$Q$1261))),0)</f>
        <v>0</v>
      </c>
      <c r="Z40" s="3880">
        <f ca="1">IF(X40&lt;=0,0,IFERROR(IF(VLOOKUP(X40,input!$O$1253:$O$1261,1,0)&gt;0,VLOOKUP(X40,input!$O$1253:$P$1261,2,0),LOOKUP(X40,input!$O$1253:$O$1261,input!$Q$1253:$Q$1261)),LOOKUP(X40,input!$O$1253:$O$1261,input!$Q$1253:$Q$1261)))</f>
        <v>0</v>
      </c>
      <c r="AA40" s="3880">
        <f t="shared" ca="1" si="8"/>
        <v>0</v>
      </c>
      <c r="AB40" s="3880" t="str">
        <f ca="1">IFERROR(VLOOKUP(AA40,'Sum local charge July.19'!$O$77:$P$86,2,0),"1.1T")</f>
        <v>1.1T</v>
      </c>
      <c r="AC40" s="3943">
        <f t="shared" ca="1" si="9"/>
        <v>0</v>
      </c>
      <c r="AD40" s="3880">
        <f t="shared" ca="1" si="10"/>
        <v>602000</v>
      </c>
      <c r="AE40" s="3880">
        <f t="shared" ca="1" si="11"/>
        <v>2</v>
      </c>
      <c r="AF40" s="3943" t="str">
        <f t="shared" ca="1" si="12"/>
        <v>1.1T</v>
      </c>
      <c r="AG40" s="3929"/>
      <c r="AH40" s="3929"/>
      <c r="AI40" s="3929"/>
      <c r="AJ40" s="3929"/>
    </row>
    <row r="41" spans="1:41" s="3880" customFormat="1" ht="11.25">
      <c r="A41" s="3880" t="s">
        <v>3720</v>
      </c>
      <c r="B41" s="3880">
        <f t="shared" ca="1" si="4"/>
        <v>0</v>
      </c>
      <c r="C41" s="3941">
        <f>input!A1261</f>
        <v>0</v>
      </c>
      <c r="D41" s="3941">
        <f>input!B1261</f>
        <v>0</v>
      </c>
      <c r="E41" s="3939">
        <f ca="1">input!C1261</f>
        <v>0</v>
      </c>
      <c r="F41" s="3941">
        <f t="shared" ref="F41:O41" ca="1" si="22">IF(ROUNDUP(F28,0)*F$12=0,100000000,ROUNDUP(F28,0)*F$12)</f>
        <v>100000000</v>
      </c>
      <c r="G41" s="3941">
        <f t="shared" ca="1" si="22"/>
        <v>100000000</v>
      </c>
      <c r="H41" s="3941">
        <f t="shared" ca="1" si="22"/>
        <v>100000000</v>
      </c>
      <c r="I41" s="3941">
        <f t="shared" ca="1" si="22"/>
        <v>100000000</v>
      </c>
      <c r="J41" s="3941">
        <f t="shared" ca="1" si="22"/>
        <v>100000000</v>
      </c>
      <c r="K41" s="3941">
        <f t="shared" ca="1" si="22"/>
        <v>100000000</v>
      </c>
      <c r="L41" s="3941">
        <f t="shared" ca="1" si="22"/>
        <v>100000000</v>
      </c>
      <c r="M41" s="3941">
        <f t="shared" ca="1" si="22"/>
        <v>100000000</v>
      </c>
      <c r="N41" s="3941">
        <f t="shared" ca="1" si="22"/>
        <v>100000000</v>
      </c>
      <c r="O41" s="3941">
        <f t="shared" ca="1" si="22"/>
        <v>100000000</v>
      </c>
      <c r="P41" s="3941">
        <f t="shared" ca="1" si="6"/>
        <v>100000000</v>
      </c>
      <c r="Q41" s="3937">
        <f t="shared" ca="1" si="14"/>
        <v>0</v>
      </c>
      <c r="R41" s="3941"/>
      <c r="S41" s="3944" t="str">
        <f t="shared" ca="1" si="7"/>
        <v>1.1T</v>
      </c>
      <c r="T41" s="3944">
        <f t="shared" ca="1" si="15"/>
        <v>0</v>
      </c>
      <c r="W41" s="3937">
        <f ca="1">input!C1261-INDEX($F$11:$O$11,1,MATCH(P41,$F41:$O41,0))*T41</f>
        <v>0</v>
      </c>
      <c r="X41" s="3942">
        <f ca="1">ROUNDUP(input!B1261-INDEX($F$10:$O$10,1,MATCH(S41,$F$5:$O$5,0))*T41,0)</f>
        <v>0</v>
      </c>
      <c r="Y41" s="3880">
        <f ca="1">IFERROR(IF(W41=0,0,IFERROR(IF(VLOOKUP(W41,input!$P$1253:$P$1261,1,0)&gt;0,W41,LOOKUP(W41,input!$P$1253:$P$1261,input!$Q$1253:$Q$1261)),LOOKUP(W41,input!$P$1253:$P$1261,input!$Q$1253:$Q$1261))),0)</f>
        <v>0</v>
      </c>
      <c r="Z41" s="3880">
        <f ca="1">IF(X41&lt;=0,0,IFERROR(IF(VLOOKUP(X41,input!$O$1253:$O$1261,1,0)&gt;0,VLOOKUP(X41,input!$O$1253:$P$1261,2,0),LOOKUP(X41,input!$O$1253:$O$1261,input!$Q$1253:$Q$1261)),LOOKUP(X41,input!$O$1253:$O$1261,input!$Q$1253:$Q$1261)))</f>
        <v>0</v>
      </c>
      <c r="AA41" s="3880">
        <f t="shared" ca="1" si="8"/>
        <v>0</v>
      </c>
      <c r="AB41" s="3880" t="str">
        <f ca="1">IFERROR(VLOOKUP(AA41,'Sum local charge July.19'!$O$77:$P$86,2,0),"1.1T")</f>
        <v>1.1T</v>
      </c>
      <c r="AC41" s="3943">
        <f t="shared" ca="1" si="9"/>
        <v>0</v>
      </c>
      <c r="AD41" s="3880">
        <f t="shared" ca="1" si="10"/>
        <v>602000</v>
      </c>
      <c r="AE41" s="3880">
        <f t="shared" ca="1" si="11"/>
        <v>2</v>
      </c>
      <c r="AF41" s="3943" t="str">
        <f t="shared" ca="1" si="12"/>
        <v>1.1T</v>
      </c>
      <c r="AG41" s="3929"/>
      <c r="AH41" s="3929"/>
      <c r="AI41" s="3929"/>
      <c r="AJ41" s="3929"/>
    </row>
    <row r="42" spans="1:41" s="3880" customFormat="1" ht="11.25">
      <c r="A42" s="3880" t="s">
        <v>3720</v>
      </c>
      <c r="B42" s="3880">
        <f t="shared" ca="1" si="4"/>
        <v>0</v>
      </c>
      <c r="C42" s="3941">
        <f>input!A1262</f>
        <v>0</v>
      </c>
      <c r="D42" s="3941">
        <f>input!B1262</f>
        <v>0</v>
      </c>
      <c r="E42" s="3939">
        <f ca="1">input!C1262</f>
        <v>0</v>
      </c>
      <c r="F42" s="3941">
        <f t="shared" ref="F42:O42" ca="1" si="23">IF(ROUNDUP(F29,0)*F$12=0,100000000,ROUNDUP(F29,0)*F$12)</f>
        <v>100000000</v>
      </c>
      <c r="G42" s="3941">
        <f t="shared" ca="1" si="23"/>
        <v>100000000</v>
      </c>
      <c r="H42" s="3941">
        <f t="shared" ca="1" si="23"/>
        <v>100000000</v>
      </c>
      <c r="I42" s="3941">
        <f t="shared" ca="1" si="23"/>
        <v>100000000</v>
      </c>
      <c r="J42" s="3941">
        <f t="shared" ca="1" si="23"/>
        <v>100000000</v>
      </c>
      <c r="K42" s="3941">
        <f t="shared" ca="1" si="23"/>
        <v>100000000</v>
      </c>
      <c r="L42" s="3941">
        <f t="shared" ca="1" si="23"/>
        <v>100000000</v>
      </c>
      <c r="M42" s="3941">
        <f t="shared" ca="1" si="23"/>
        <v>100000000</v>
      </c>
      <c r="N42" s="3941">
        <f t="shared" ca="1" si="23"/>
        <v>100000000</v>
      </c>
      <c r="O42" s="3941">
        <f t="shared" ca="1" si="23"/>
        <v>100000000</v>
      </c>
      <c r="P42" s="3941">
        <f t="shared" ca="1" si="6"/>
        <v>100000000</v>
      </c>
      <c r="Q42" s="3937">
        <f t="shared" ca="1" si="14"/>
        <v>0</v>
      </c>
      <c r="R42" s="3941"/>
      <c r="S42" s="3944" t="str">
        <f t="shared" ca="1" si="7"/>
        <v>1.1T</v>
      </c>
      <c r="T42" s="3944">
        <f t="shared" ca="1" si="15"/>
        <v>0</v>
      </c>
      <c r="W42" s="3937">
        <f ca="1">input!C1262-INDEX($F$11:$O$11,1,MATCH(P42,$F42:$O42,0))*T42</f>
        <v>0</v>
      </c>
      <c r="X42" s="3942">
        <f ca="1">ROUNDUP(input!B1262-INDEX($F$10:$O$10,1,MATCH(S42,$F$5:$O$5,0))*T42,0)</f>
        <v>0</v>
      </c>
      <c r="Y42" s="3880">
        <f ca="1">IFERROR(IF(W42=0,0,IFERROR(IF(VLOOKUP(W42,input!$P$1253:$P$1261,1,0)&gt;0,W42,LOOKUP(W42,input!$P$1253:$P$1261,input!$Q$1253:$Q$1261)),LOOKUP(W42,input!$P$1253:$P$1261,input!$Q$1253:$Q$1261))),0)</f>
        <v>0</v>
      </c>
      <c r="Z42" s="3880">
        <f ca="1">IF(X42&lt;=0,0,IFERROR(IF(VLOOKUP(X42,input!$O$1253:$O$1261,1,0)&gt;0,VLOOKUP(X42,input!$O$1253:$P$1261,2,0),LOOKUP(X42,input!$O$1253:$O$1261,input!$Q$1253:$Q$1261)),LOOKUP(X42,input!$O$1253:$O$1261,input!$Q$1253:$Q$1261)))</f>
        <v>0</v>
      </c>
      <c r="AA42" s="3880">
        <f t="shared" ca="1" si="8"/>
        <v>0</v>
      </c>
      <c r="AB42" s="3880" t="str">
        <f ca="1">IFERROR(VLOOKUP(AA42,'Sum local charge July.19'!$O$77:$P$86,2,0),"1.1T")</f>
        <v>1.1T</v>
      </c>
      <c r="AC42" s="3943">
        <f t="shared" ca="1" si="9"/>
        <v>0</v>
      </c>
      <c r="AD42" s="3880">
        <f t="shared" ca="1" si="10"/>
        <v>602000</v>
      </c>
      <c r="AE42" s="3880">
        <f t="shared" ca="1" si="11"/>
        <v>2</v>
      </c>
      <c r="AF42" s="3943" t="str">
        <f t="shared" ca="1" si="12"/>
        <v>1.1T</v>
      </c>
      <c r="AG42" s="3929"/>
      <c r="AH42" s="3929"/>
      <c r="AI42" s="3929"/>
      <c r="AJ42" s="3929"/>
    </row>
    <row r="43" spans="1:41" s="3880" customFormat="1" ht="11.25">
      <c r="A43" s="3880" t="s">
        <v>3720</v>
      </c>
      <c r="B43" s="3880">
        <f t="shared" ca="1" si="4"/>
        <v>0</v>
      </c>
      <c r="C43" s="3941">
        <f>input!A1263</f>
        <v>0</v>
      </c>
      <c r="D43" s="3941">
        <f>input!B1263</f>
        <v>0</v>
      </c>
      <c r="E43" s="3939">
        <f ca="1">input!C1263</f>
        <v>0</v>
      </c>
      <c r="F43" s="3941">
        <f t="shared" ref="F43:O43" ca="1" si="24">IF(ROUNDUP(F30,0)*F$12=0,100000000,ROUNDUP(F30,0)*F$12)</f>
        <v>100000000</v>
      </c>
      <c r="G43" s="3941">
        <f t="shared" ca="1" si="24"/>
        <v>100000000</v>
      </c>
      <c r="H43" s="3941">
        <f t="shared" ca="1" si="24"/>
        <v>100000000</v>
      </c>
      <c r="I43" s="3941">
        <f t="shared" ca="1" si="24"/>
        <v>100000000</v>
      </c>
      <c r="J43" s="3941">
        <f t="shared" ca="1" si="24"/>
        <v>100000000</v>
      </c>
      <c r="K43" s="3941">
        <f t="shared" ca="1" si="24"/>
        <v>100000000</v>
      </c>
      <c r="L43" s="3941">
        <f t="shared" ca="1" si="24"/>
        <v>100000000</v>
      </c>
      <c r="M43" s="3941">
        <f t="shared" ca="1" si="24"/>
        <v>100000000</v>
      </c>
      <c r="N43" s="3941">
        <f t="shared" ca="1" si="24"/>
        <v>100000000</v>
      </c>
      <c r="O43" s="3941">
        <f t="shared" ca="1" si="24"/>
        <v>100000000</v>
      </c>
      <c r="P43" s="3941">
        <f t="shared" ca="1" si="6"/>
        <v>100000000</v>
      </c>
      <c r="Q43" s="3937">
        <f t="shared" ca="1" si="14"/>
        <v>0</v>
      </c>
      <c r="R43" s="3941"/>
      <c r="S43" s="3944" t="str">
        <f t="shared" ca="1" si="7"/>
        <v>1.1T</v>
      </c>
      <c r="T43" s="3944">
        <f t="shared" ca="1" si="15"/>
        <v>0</v>
      </c>
      <c r="W43" s="3937">
        <f ca="1">input!C1263-INDEX($F$11:$O$11,1,MATCH(P43,$F43:$O43,0))*T43</f>
        <v>0</v>
      </c>
      <c r="X43" s="3942">
        <f ca="1">ROUNDUP(input!B1263-INDEX($F$10:$O$10,1,MATCH(S43,$F$5:$O$5,0))*T43,0)</f>
        <v>0</v>
      </c>
      <c r="Y43" s="3880">
        <f ca="1">IFERROR(IF(W43=0,0,IFERROR(IF(VLOOKUP(W43,input!$P$1253:$P$1261,1,0)&gt;0,W43,LOOKUP(W43,input!$P$1253:$P$1261,input!$Q$1253:$Q$1261)),LOOKUP(W43,input!$P$1253:$P$1261,input!$Q$1253:$Q$1261))),0)</f>
        <v>0</v>
      </c>
      <c r="Z43" s="3880">
        <f ca="1">IF(X43&lt;=0,0,IFERROR(IF(VLOOKUP(X43,input!$O$1253:$O$1261,1,0)&gt;0,VLOOKUP(X43,input!$O$1253:$P$1261,2,0),LOOKUP(X43,input!$O$1253:$O$1261,input!$Q$1253:$Q$1261)),LOOKUP(X43,input!$O$1253:$O$1261,input!$Q$1253:$Q$1261)))</f>
        <v>0</v>
      </c>
      <c r="AA43" s="3880">
        <f t="shared" ca="1" si="8"/>
        <v>0</v>
      </c>
      <c r="AB43" s="3880" t="str">
        <f ca="1">IFERROR(VLOOKUP(AA43,'Sum local charge July.19'!$O$77:$P$86,2,0),"1.1T")</f>
        <v>1.1T</v>
      </c>
      <c r="AC43" s="3943">
        <f t="shared" ca="1" si="9"/>
        <v>0</v>
      </c>
      <c r="AD43" s="3880">
        <f t="shared" ca="1" si="10"/>
        <v>602000</v>
      </c>
      <c r="AE43" s="3880">
        <f t="shared" ca="1" si="11"/>
        <v>2</v>
      </c>
      <c r="AF43" s="3943" t="str">
        <f t="shared" ca="1" si="12"/>
        <v>1.1T</v>
      </c>
      <c r="AG43" s="3929"/>
      <c r="AH43" s="3929"/>
      <c r="AI43" s="3929"/>
      <c r="AJ43" s="3929"/>
    </row>
    <row r="44" spans="1:41" s="3880" customFormat="1" ht="11.25">
      <c r="A44" s="3880" t="s">
        <v>3720</v>
      </c>
      <c r="B44" s="3880">
        <f t="shared" ca="1" si="4"/>
        <v>0</v>
      </c>
      <c r="C44" s="3941">
        <f>input!A1264</f>
        <v>0</v>
      </c>
      <c r="D44" s="3941">
        <f>input!B1264</f>
        <v>0</v>
      </c>
      <c r="E44" s="3939">
        <f ca="1">input!C1264</f>
        <v>0</v>
      </c>
      <c r="F44" s="3941">
        <f t="shared" ref="F44:O44" ca="1" si="25">IF(ROUNDUP(F31,0)*F$12=0,100000000,ROUNDUP(F31,0)*F$12)</f>
        <v>100000000</v>
      </c>
      <c r="G44" s="3941">
        <f t="shared" ca="1" si="25"/>
        <v>100000000</v>
      </c>
      <c r="H44" s="3941">
        <f t="shared" ca="1" si="25"/>
        <v>100000000</v>
      </c>
      <c r="I44" s="3941">
        <f t="shared" ca="1" si="25"/>
        <v>100000000</v>
      </c>
      <c r="J44" s="3941">
        <f t="shared" ca="1" si="25"/>
        <v>100000000</v>
      </c>
      <c r="K44" s="3941">
        <f t="shared" ca="1" si="25"/>
        <v>100000000</v>
      </c>
      <c r="L44" s="3941">
        <f t="shared" ca="1" si="25"/>
        <v>100000000</v>
      </c>
      <c r="M44" s="3941">
        <f t="shared" ca="1" si="25"/>
        <v>100000000</v>
      </c>
      <c r="N44" s="3941">
        <f t="shared" ca="1" si="25"/>
        <v>100000000</v>
      </c>
      <c r="O44" s="3941">
        <f t="shared" ca="1" si="25"/>
        <v>100000000</v>
      </c>
      <c r="P44" s="3941">
        <f t="shared" ca="1" si="6"/>
        <v>100000000</v>
      </c>
      <c r="Q44" s="3937">
        <f t="shared" ca="1" si="14"/>
        <v>0</v>
      </c>
      <c r="R44" s="3941"/>
      <c r="S44" s="3944" t="str">
        <f t="shared" ca="1" si="7"/>
        <v>1.1T</v>
      </c>
      <c r="T44" s="3944">
        <f t="shared" ca="1" si="15"/>
        <v>0</v>
      </c>
      <c r="W44" s="3937">
        <f ca="1">input!C1264-INDEX($F$11:$O$11,1,MATCH(P44,$F44:$O44,0))*T44</f>
        <v>0</v>
      </c>
      <c r="X44" s="3942">
        <f ca="1">ROUNDUP(input!B1264-INDEX($F$10:$O$10,1,MATCH(S44,$F$5:$O$5,0))*T44,0)</f>
        <v>0</v>
      </c>
      <c r="Y44" s="3880">
        <f ca="1">IFERROR(IF(W44=0,0,IFERROR(IF(VLOOKUP(W44,input!$P$1253:$P$1261,1,0)&gt;0,W44,LOOKUP(W44,input!$P$1253:$P$1261,input!$Q$1253:$Q$1261)),LOOKUP(W44,input!$P$1253:$P$1261,input!$Q$1253:$Q$1261))),0)</f>
        <v>0</v>
      </c>
      <c r="Z44" s="3880">
        <f ca="1">IF(X44&lt;=0,0,IFERROR(IF(VLOOKUP(X44,input!$O$1253:$O$1261,1,0)&gt;0,VLOOKUP(X44,input!$O$1253:$P$1261,2,0),LOOKUP(X44,input!$O$1253:$O$1261,input!$Q$1253:$Q$1261)),LOOKUP(X44,input!$O$1253:$O$1261,input!$Q$1253:$Q$1261)))</f>
        <v>0</v>
      </c>
      <c r="AA44" s="3880">
        <f t="shared" ca="1" si="8"/>
        <v>0</v>
      </c>
      <c r="AB44" s="3880" t="str">
        <f ca="1">IFERROR(VLOOKUP(AA44,'Sum local charge July.19'!$O$77:$P$86,2,0),"1.1T")</f>
        <v>1.1T</v>
      </c>
      <c r="AC44" s="3943">
        <f t="shared" ca="1" si="9"/>
        <v>0</v>
      </c>
      <c r="AD44" s="3880">
        <f t="shared" ca="1" si="10"/>
        <v>602000</v>
      </c>
      <c r="AE44" s="3880">
        <f t="shared" ca="1" si="11"/>
        <v>2</v>
      </c>
      <c r="AF44" s="3943" t="str">
        <f t="shared" ca="1" si="12"/>
        <v>1.1T</v>
      </c>
      <c r="AG44" s="3929"/>
      <c r="AH44" s="3929"/>
      <c r="AI44" s="3929"/>
      <c r="AJ44" s="3929"/>
    </row>
    <row r="45" spans="1:41">
      <c r="B45" s="3880"/>
      <c r="C45" s="3880"/>
      <c r="D45" s="3880"/>
      <c r="E45" s="3880"/>
      <c r="F45" s="3880"/>
      <c r="G45" s="3880"/>
      <c r="H45" s="3880"/>
      <c r="I45" s="3880"/>
      <c r="J45" s="3880"/>
      <c r="K45" s="3880"/>
      <c r="L45" s="3880"/>
      <c r="M45" s="3880"/>
      <c r="N45" s="3880"/>
      <c r="O45" s="3880"/>
      <c r="P45" s="3880"/>
      <c r="Q45" s="3880"/>
      <c r="R45" s="3880"/>
      <c r="S45" s="3880"/>
      <c r="T45" s="3880"/>
      <c r="U45" s="3880"/>
      <c r="V45" s="3880"/>
      <c r="W45" s="3937"/>
      <c r="X45" s="3942"/>
      <c r="Y45" s="3880"/>
      <c r="Z45" s="3880"/>
      <c r="AA45" s="3880"/>
      <c r="AB45" s="3880"/>
      <c r="AC45" s="3880"/>
      <c r="AD45" s="3880" t="s">
        <v>3717</v>
      </c>
      <c r="AE45" s="3880" t="s">
        <v>3718</v>
      </c>
      <c r="AF45" s="3880"/>
      <c r="AG45" s="3880"/>
      <c r="AH45" s="3880"/>
      <c r="AI45" s="3880"/>
      <c r="AJ45" s="3880"/>
      <c r="AK45" s="3880"/>
      <c r="AL45" s="3880"/>
      <c r="AM45" s="3880"/>
      <c r="AN45" s="3880"/>
      <c r="AO45" s="3880"/>
    </row>
    <row r="46" spans="1:41">
      <c r="B46" s="3880" t="s">
        <v>3729</v>
      </c>
      <c r="C46" s="3880"/>
      <c r="D46" s="3880"/>
      <c r="E46" s="3880">
        <v>1</v>
      </c>
      <c r="F46" s="3880">
        <f t="shared" ref="F46:O46" si="26">IF(F47=100000000,E46,E46+1)</f>
        <v>2</v>
      </c>
      <c r="G46" s="3880">
        <f t="shared" si="26"/>
        <v>3</v>
      </c>
      <c r="H46" s="3880">
        <f t="shared" si="26"/>
        <v>4</v>
      </c>
      <c r="I46" s="3880">
        <f t="shared" si="26"/>
        <v>5</v>
      </c>
      <c r="J46" s="3880">
        <f t="shared" si="26"/>
        <v>6</v>
      </c>
      <c r="K46" s="3880">
        <f t="shared" si="26"/>
        <v>7</v>
      </c>
      <c r="L46" s="3880">
        <f t="shared" si="26"/>
        <v>8</v>
      </c>
      <c r="M46" s="3880">
        <f t="shared" si="26"/>
        <v>9</v>
      </c>
      <c r="N46" s="3880">
        <f t="shared" si="26"/>
        <v>10</v>
      </c>
      <c r="O46" s="3880">
        <f t="shared" si="26"/>
        <v>11</v>
      </c>
      <c r="P46" s="3941"/>
      <c r="Q46" s="3941"/>
      <c r="R46" s="3941"/>
      <c r="S46" s="3880"/>
      <c r="T46" s="3880"/>
      <c r="U46" s="3880"/>
      <c r="V46" s="3880"/>
      <c r="W46" s="3942"/>
      <c r="X46" s="3942"/>
      <c r="Y46" s="3880"/>
      <c r="Z46" s="3880"/>
      <c r="AA46" s="3880"/>
      <c r="AB46" s="3880"/>
      <c r="AC46" s="3880"/>
      <c r="AD46" s="3880"/>
      <c r="AE46" s="3880"/>
      <c r="AF46" s="3880"/>
      <c r="AG46" s="3880"/>
      <c r="AH46" s="3880"/>
      <c r="AI46" s="3880"/>
      <c r="AJ46" s="3880"/>
      <c r="AK46" s="3880"/>
      <c r="AL46" s="3880"/>
      <c r="AM46" s="3880"/>
      <c r="AN46" s="3880"/>
      <c r="AO46" s="3880"/>
    </row>
    <row r="47" spans="1:41">
      <c r="B47" s="3880" t="s">
        <v>3729</v>
      </c>
      <c r="C47" s="3880"/>
      <c r="D47" s="3880"/>
      <c r="E47" s="3880"/>
      <c r="F47" s="3941">
        <f t="shared" ref="F47:O47" si="27">IF(F12=0,100000000,F12)</f>
        <v>602000</v>
      </c>
      <c r="G47" s="3941">
        <f t="shared" si="27"/>
        <v>787000</v>
      </c>
      <c r="H47" s="3941">
        <f t="shared" si="27"/>
        <v>880000</v>
      </c>
      <c r="I47" s="3941">
        <f t="shared" si="27"/>
        <v>1220000</v>
      </c>
      <c r="J47" s="3941">
        <f t="shared" si="27"/>
        <v>1430000</v>
      </c>
      <c r="K47" s="3941">
        <f t="shared" si="27"/>
        <v>1533000</v>
      </c>
      <c r="L47" s="3941">
        <f t="shared" si="27"/>
        <v>1988000</v>
      </c>
      <c r="M47" s="3941">
        <f t="shared" si="27"/>
        <v>1988000</v>
      </c>
      <c r="N47" s="3941">
        <f t="shared" si="27"/>
        <v>1988000</v>
      </c>
      <c r="O47" s="3941">
        <f t="shared" si="27"/>
        <v>2150305.889423077</v>
      </c>
      <c r="P47" s="3941"/>
      <c r="Q47" s="3941"/>
      <c r="R47" s="3941"/>
      <c r="S47" s="3880"/>
      <c r="T47" s="3880"/>
      <c r="U47" s="3880"/>
      <c r="V47" s="3880"/>
      <c r="W47" s="3942"/>
      <c r="X47" s="3942"/>
      <c r="Y47" s="3880"/>
      <c r="Z47" s="3880"/>
      <c r="AA47" s="3880"/>
      <c r="AB47" s="3880"/>
      <c r="AC47" s="3880"/>
      <c r="AD47" s="3880"/>
      <c r="AE47" s="3880"/>
      <c r="AF47" s="3880"/>
      <c r="AG47" s="3880"/>
      <c r="AH47" s="3880"/>
      <c r="AI47" s="3880"/>
      <c r="AJ47" s="3880"/>
      <c r="AK47" s="3880"/>
      <c r="AL47" s="3880"/>
      <c r="AM47" s="3880"/>
      <c r="AN47" s="3880"/>
      <c r="AO47" s="3880"/>
    </row>
    <row r="48" spans="1:41">
      <c r="B48" s="3880"/>
      <c r="C48" s="3880"/>
      <c r="D48" s="3880"/>
      <c r="E48" s="3880"/>
      <c r="F48" s="3941"/>
      <c r="G48" s="3941"/>
      <c r="H48" s="3941"/>
      <c r="I48" s="3941"/>
      <c r="J48" s="3941"/>
      <c r="K48" s="3941"/>
      <c r="L48" s="3941"/>
      <c r="M48" s="3941"/>
      <c r="N48" s="3941"/>
      <c r="O48" s="3941"/>
      <c r="P48" s="3941"/>
      <c r="Q48" s="3941"/>
      <c r="R48" s="3941"/>
      <c r="S48" s="3880"/>
      <c r="T48" s="3880"/>
      <c r="U48" s="3880"/>
      <c r="V48" s="3880"/>
      <c r="W48" s="3942"/>
      <c r="X48" s="3942"/>
      <c r="Y48" s="3880"/>
      <c r="Z48" s="3880"/>
      <c r="AA48" s="3880"/>
      <c r="AB48" s="3880"/>
      <c r="AC48" s="3880"/>
      <c r="AD48" s="3880"/>
      <c r="AE48" s="3880"/>
      <c r="AF48" s="3880"/>
      <c r="AG48" s="3880"/>
      <c r="AH48" s="3880"/>
      <c r="AI48" s="3880"/>
      <c r="AJ48" s="3880"/>
      <c r="AK48" s="3880"/>
      <c r="AL48" s="3880"/>
      <c r="AM48" s="3880"/>
      <c r="AN48" s="3880"/>
      <c r="AO48" s="3880"/>
    </row>
    <row r="49" spans="1:41">
      <c r="B49" s="3880"/>
      <c r="C49" s="3880"/>
      <c r="D49" s="3880"/>
      <c r="E49" s="3880"/>
      <c r="F49" s="3941"/>
      <c r="G49" s="3941"/>
      <c r="H49" s="3941"/>
      <c r="I49" s="3941"/>
      <c r="J49" s="3941"/>
      <c r="K49" s="3941"/>
      <c r="L49" s="3941"/>
      <c r="M49" s="3941"/>
      <c r="N49" s="3941"/>
      <c r="O49" s="3941"/>
      <c r="P49" s="3941"/>
      <c r="Q49" s="3941"/>
      <c r="R49" s="3941"/>
      <c r="S49" s="3880"/>
      <c r="T49" s="3880"/>
      <c r="U49" s="3880"/>
      <c r="V49" s="3880"/>
      <c r="W49" s="3942"/>
      <c r="X49" s="3942"/>
      <c r="Y49" s="3880"/>
      <c r="Z49" s="3880"/>
      <c r="AA49" s="3880"/>
      <c r="AB49" s="3880"/>
      <c r="AC49" s="3880"/>
      <c r="AD49" s="3941"/>
      <c r="AE49" s="3880"/>
      <c r="AF49" s="3880"/>
      <c r="AG49" s="3880"/>
      <c r="AH49" s="3880"/>
      <c r="AI49" s="3880"/>
      <c r="AJ49" s="3880"/>
      <c r="AK49" s="3880"/>
      <c r="AL49" s="3880"/>
      <c r="AM49" s="3880"/>
      <c r="AN49" s="3880"/>
      <c r="AO49" s="3880"/>
    </row>
    <row r="50" spans="1:41">
      <c r="B50" s="3880"/>
      <c r="C50" s="3880"/>
      <c r="D50" s="3880"/>
      <c r="E50" s="3880"/>
      <c r="F50" s="3941"/>
      <c r="G50" s="3941"/>
      <c r="H50" s="3941"/>
      <c r="I50" s="3941"/>
      <c r="J50" s="3941"/>
      <c r="K50" s="3941"/>
      <c r="L50" s="3941"/>
      <c r="M50" s="3941"/>
      <c r="N50" s="3941"/>
      <c r="O50" s="3941"/>
      <c r="P50" s="3941"/>
      <c r="Q50" s="3941"/>
      <c r="R50" s="3941"/>
      <c r="S50" s="3880"/>
      <c r="T50" s="3880"/>
      <c r="U50" s="3880"/>
      <c r="V50" s="3880"/>
      <c r="W50" s="3942"/>
      <c r="X50" s="3942"/>
      <c r="Y50" s="3880"/>
      <c r="Z50" s="3880"/>
      <c r="AA50" s="3880"/>
      <c r="AB50" s="3880"/>
      <c r="AC50" s="3880"/>
      <c r="AD50" s="3880"/>
      <c r="AE50" s="3880"/>
      <c r="AF50" s="3880"/>
      <c r="AG50" s="3880"/>
      <c r="AH50" s="3880"/>
      <c r="AI50" s="3880"/>
      <c r="AJ50" s="3880"/>
      <c r="AK50" s="3880"/>
      <c r="AL50" s="3880"/>
      <c r="AM50" s="3880"/>
      <c r="AN50" s="3880"/>
      <c r="AO50" s="3880"/>
    </row>
    <row r="51" spans="1:41" ht="15">
      <c r="A51" s="3464" t="s">
        <v>3583</v>
      </c>
      <c r="B51" s="136"/>
      <c r="C51" s="2887"/>
      <c r="D51" s="136"/>
      <c r="E51" s="136"/>
      <c r="F51" s="3941"/>
      <c r="G51" s="3941"/>
      <c r="H51" s="3941"/>
      <c r="I51" s="3941"/>
      <c r="J51" s="3941"/>
      <c r="K51" s="3941"/>
      <c r="L51" s="3941"/>
      <c r="M51" s="3941"/>
      <c r="N51" s="3941"/>
      <c r="O51" s="3941"/>
      <c r="P51" s="3941"/>
      <c r="Q51" s="3941"/>
      <c r="R51" s="3941"/>
      <c r="S51" s="3880"/>
      <c r="T51" s="3880"/>
      <c r="U51" s="3880"/>
      <c r="V51" s="3880"/>
      <c r="W51" s="3942"/>
      <c r="X51" s="3942"/>
      <c r="Y51" s="3880"/>
      <c r="Z51" s="3880"/>
      <c r="AA51" s="3880"/>
      <c r="AB51" s="3880"/>
      <c r="AC51" s="3880"/>
      <c r="AD51" s="3880"/>
      <c r="AE51" s="3880"/>
      <c r="AF51" s="3880"/>
      <c r="AG51" s="3880"/>
      <c r="AH51" s="3880"/>
      <c r="AI51" s="3880"/>
      <c r="AJ51" s="3880"/>
      <c r="AK51" s="3880"/>
      <c r="AL51" s="3880"/>
      <c r="AM51" s="3880"/>
      <c r="AN51" s="3880"/>
      <c r="AO51" s="3880"/>
    </row>
    <row r="52" spans="1:41" ht="14.25">
      <c r="A52" s="3450" t="s">
        <v>2055</v>
      </c>
      <c r="B52" s="3450" t="s">
        <v>3584</v>
      </c>
      <c r="C52" s="3450" t="s">
        <v>3585</v>
      </c>
      <c r="D52" s="3450"/>
      <c r="F52" s="3941"/>
      <c r="G52" s="136" t="s">
        <v>1481</v>
      </c>
      <c r="H52" s="3450">
        <v>0</v>
      </c>
      <c r="I52" s="3463" t="s">
        <v>3700</v>
      </c>
      <c r="J52" s="3941"/>
      <c r="K52" s="3941"/>
      <c r="L52" s="3941"/>
      <c r="M52" s="3941"/>
      <c r="N52" s="3941"/>
      <c r="O52" s="3941"/>
      <c r="P52" s="3941"/>
      <c r="Q52" s="3941"/>
      <c r="R52" s="3941"/>
      <c r="S52" s="3880"/>
      <c r="T52" s="3880"/>
      <c r="U52" s="3880"/>
      <c r="V52" s="3880"/>
      <c r="W52" s="3942"/>
      <c r="X52" s="3942"/>
      <c r="Y52" s="3880"/>
      <c r="Z52" s="3880"/>
      <c r="AA52" s="3880"/>
      <c r="AB52" s="3880"/>
      <c r="AC52" s="3880"/>
      <c r="AD52" s="3880"/>
      <c r="AE52" s="3880"/>
      <c r="AF52" s="3880"/>
      <c r="AG52" s="3880"/>
      <c r="AH52" s="3880"/>
      <c r="AI52" s="3880"/>
      <c r="AJ52" s="3880"/>
      <c r="AK52" s="3880"/>
      <c r="AL52" s="3880"/>
      <c r="AM52" s="3880"/>
      <c r="AN52" s="3880"/>
      <c r="AO52" s="3880"/>
    </row>
    <row r="53" spans="1:41" ht="14.25">
      <c r="A53" s="3946" t="str">
        <f>B53&amp;C53</f>
        <v>Single Wall&lt;9kg</v>
      </c>
      <c r="B53" s="3947" t="s">
        <v>1481</v>
      </c>
      <c r="C53" s="3948" t="s">
        <v>3700</v>
      </c>
      <c r="D53" s="3948">
        <v>6</v>
      </c>
      <c r="F53" s="3941"/>
      <c r="G53" s="136" t="s">
        <v>1481</v>
      </c>
      <c r="H53" s="3450">
        <v>9</v>
      </c>
      <c r="I53" s="3463" t="s">
        <v>3701</v>
      </c>
      <c r="J53" s="3941"/>
      <c r="K53" s="3941"/>
      <c r="L53" s="3941"/>
      <c r="M53" s="3941"/>
      <c r="N53" s="3941"/>
      <c r="O53" s="3941"/>
      <c r="P53" s="3941"/>
      <c r="Q53" s="3941"/>
      <c r="R53" s="3941"/>
      <c r="S53" s="3880"/>
      <c r="T53" s="3880"/>
      <c r="U53" s="3880"/>
      <c r="V53" s="3880"/>
      <c r="W53" s="3942"/>
      <c r="X53" s="3942"/>
      <c r="Y53" s="3880"/>
      <c r="Z53" s="3880"/>
      <c r="AA53" s="3880"/>
      <c r="AB53" s="3880"/>
      <c r="AC53" s="3880"/>
      <c r="AD53" s="3880"/>
      <c r="AE53" s="3880"/>
      <c r="AF53" s="3880"/>
      <c r="AG53" s="3880"/>
      <c r="AH53" s="3880"/>
      <c r="AI53" s="3880"/>
      <c r="AJ53" s="3880"/>
      <c r="AK53" s="3880"/>
      <c r="AL53" s="3880"/>
      <c r="AM53" s="3880"/>
      <c r="AN53" s="3880"/>
      <c r="AO53" s="3880"/>
    </row>
    <row r="54" spans="1:41" ht="14.25">
      <c r="A54" s="3946" t="str">
        <f t="shared" ref="A54:A59" si="28">B54&amp;C54</f>
        <v>Single Wall9-10kg</v>
      </c>
      <c r="B54" s="3947" t="s">
        <v>1481</v>
      </c>
      <c r="C54" s="3948" t="s">
        <v>3701</v>
      </c>
      <c r="D54" s="3949">
        <v>5</v>
      </c>
      <c r="F54" s="3941"/>
      <c r="G54" s="136" t="s">
        <v>1481</v>
      </c>
      <c r="H54" s="3450">
        <v>10</v>
      </c>
      <c r="I54" s="3463" t="s">
        <v>3702</v>
      </c>
      <c r="J54" s="3941"/>
      <c r="K54" s="3941"/>
      <c r="L54" s="3941"/>
      <c r="M54" s="3941"/>
      <c r="N54" s="3941"/>
      <c r="O54" s="3941"/>
      <c r="P54" s="3941"/>
      <c r="Q54" s="3941"/>
      <c r="R54" s="3941"/>
      <c r="S54" s="3880"/>
      <c r="T54" s="3880"/>
      <c r="U54" s="3880"/>
      <c r="V54" s="3880"/>
      <c r="W54" s="3942"/>
      <c r="X54" s="3942"/>
      <c r="Y54" s="3880"/>
      <c r="Z54" s="3880"/>
      <c r="AA54" s="3880"/>
      <c r="AB54" s="3880"/>
      <c r="AC54" s="3880"/>
      <c r="AD54" s="3880"/>
      <c r="AE54" s="3880"/>
      <c r="AF54" s="3880"/>
      <c r="AG54" s="3880"/>
      <c r="AH54" s="3880"/>
      <c r="AI54" s="3880"/>
      <c r="AJ54" s="3880"/>
      <c r="AK54" s="3880"/>
      <c r="AL54" s="3880"/>
      <c r="AM54" s="3880"/>
      <c r="AN54" s="3880"/>
      <c r="AO54" s="3880"/>
    </row>
    <row r="55" spans="1:41" ht="14.25">
      <c r="A55" s="3946" t="str">
        <f t="shared" si="28"/>
        <v>Single Wall&gt;10kg</v>
      </c>
      <c r="B55" s="3947" t="s">
        <v>1481</v>
      </c>
      <c r="C55" s="3948" t="s">
        <v>3702</v>
      </c>
      <c r="D55" s="3949">
        <v>4</v>
      </c>
      <c r="F55" s="3941"/>
      <c r="G55" s="136" t="s">
        <v>1579</v>
      </c>
      <c r="H55" s="3450">
        <v>0</v>
      </c>
      <c r="I55" s="3463" t="s">
        <v>3586</v>
      </c>
      <c r="J55" s="3941"/>
      <c r="K55" s="3941"/>
      <c r="L55" s="3941"/>
      <c r="M55" s="3941"/>
      <c r="N55" s="3941"/>
      <c r="O55" s="3941"/>
      <c r="P55" s="3941"/>
      <c r="Q55" s="3941"/>
      <c r="R55" s="3941"/>
      <c r="S55" s="3880"/>
      <c r="T55" s="3880"/>
      <c r="U55" s="3880"/>
      <c r="V55" s="3880"/>
      <c r="W55" s="3942"/>
      <c r="X55" s="3942"/>
      <c r="Y55" s="3880"/>
      <c r="Z55" s="3880"/>
      <c r="AA55" s="3880"/>
      <c r="AB55" s="3880"/>
      <c r="AC55" s="3880"/>
      <c r="AD55" s="3880"/>
      <c r="AE55" s="3880"/>
      <c r="AF55" s="3880"/>
      <c r="AG55" s="3880"/>
      <c r="AH55" s="3880"/>
      <c r="AI55" s="3880"/>
      <c r="AJ55" s="3880"/>
      <c r="AK55" s="3880"/>
      <c r="AL55" s="3880"/>
      <c r="AM55" s="3880"/>
      <c r="AN55" s="3880"/>
      <c r="AO55" s="3880"/>
    </row>
    <row r="56" spans="1:41" ht="14.25">
      <c r="A56" s="3946" t="str">
        <f t="shared" si="28"/>
        <v>Double Wall&lt;10kg</v>
      </c>
      <c r="B56" s="3947" t="s">
        <v>1579</v>
      </c>
      <c r="C56" s="3948" t="s">
        <v>3586</v>
      </c>
      <c r="D56" s="3948">
        <v>8</v>
      </c>
      <c r="G56" s="136" t="s">
        <v>1579</v>
      </c>
      <c r="H56" s="3450">
        <v>10</v>
      </c>
      <c r="I56" s="3463" t="s">
        <v>3703</v>
      </c>
    </row>
    <row r="57" spans="1:41" ht="14.25">
      <c r="A57" s="3946" t="str">
        <f t="shared" si="28"/>
        <v>Double Wall10-11kg</v>
      </c>
      <c r="B57" s="3947" t="s">
        <v>1579</v>
      </c>
      <c r="C57" s="3948" t="s">
        <v>3703</v>
      </c>
      <c r="D57" s="3948">
        <v>7</v>
      </c>
      <c r="G57" s="136" t="s">
        <v>1579</v>
      </c>
      <c r="H57" s="3450">
        <v>11</v>
      </c>
      <c r="I57" s="3463" t="s">
        <v>3704</v>
      </c>
    </row>
    <row r="58" spans="1:41" ht="14.25">
      <c r="A58" s="3946" t="str">
        <f t="shared" si="28"/>
        <v>Double Wall11-12kg</v>
      </c>
      <c r="B58" s="3947" t="s">
        <v>1579</v>
      </c>
      <c r="C58" s="3948" t="s">
        <v>3704</v>
      </c>
      <c r="D58" s="3948">
        <v>6</v>
      </c>
      <c r="G58" s="136" t="s">
        <v>1579</v>
      </c>
      <c r="H58" s="3450">
        <v>12</v>
      </c>
      <c r="I58" s="3463" t="s">
        <v>3705</v>
      </c>
    </row>
    <row r="59" spans="1:41" ht="14.25">
      <c r="A59" s="3946" t="str">
        <f t="shared" si="28"/>
        <v>Double Wall&gt;12kg</v>
      </c>
      <c r="B59" s="3947" t="s">
        <v>1579</v>
      </c>
      <c r="C59" s="3948" t="s">
        <v>3705</v>
      </c>
      <c r="D59" s="3948">
        <v>5</v>
      </c>
    </row>
    <row r="60" spans="1:41" ht="14.25">
      <c r="A60" s="3946" t="str">
        <f t="shared" ref="A60" si="29">B60&amp;C60</f>
        <v>Double Wall&gt;15kg</v>
      </c>
      <c r="B60" s="3947" t="s">
        <v>1579</v>
      </c>
      <c r="C60" s="3948" t="s">
        <v>3587</v>
      </c>
      <c r="D60" s="3948">
        <v>5</v>
      </c>
    </row>
    <row r="62" spans="1:41" ht="14.25">
      <c r="A62" s="3565" t="str">
        <f>input!$D$1179</f>
        <v>Double Wall</v>
      </c>
      <c r="B62" s="3565" t="str">
        <f>A62</f>
        <v>Double Wall</v>
      </c>
      <c r="C62" s="136"/>
    </row>
    <row r="63" spans="1:41" ht="14.25">
      <c r="A63" s="3743">
        <f ca="1">IF(input!$B$1252="Pallets",input!$F$1221,input!$F$1220)</f>
        <v>11.514222705</v>
      </c>
      <c r="B63" s="3565" t="str">
        <f ca="1">IF(B62="Single Wall",LOOKUP(A63,$H$52:$H$54,$I$52:$I$54),LOOKUP(A63,$H$55:$H$59,$I$55:$I$59))</f>
        <v>11-12kg</v>
      </c>
      <c r="C63" s="136"/>
    </row>
    <row r="64" spans="1:41" ht="14.25">
      <c r="A64" s="3565"/>
      <c r="B64" s="3744">
        <f ca="1">VLOOKUP(B62&amp;B63,$A$53:$D$59,4,0)</f>
        <v>6</v>
      </c>
      <c r="C64" s="136" t="s">
        <v>3593</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3"/>
  <dimension ref="A2:AL142"/>
  <sheetViews>
    <sheetView zoomScale="85" zoomScaleNormal="85" workbookViewId="0">
      <pane xSplit="2" ySplit="2" topLeftCell="C63" activePane="bottomRight" state="frozen"/>
      <selection activeCell="M28" sqref="M28"/>
      <selection pane="topRight" activeCell="M28" sqref="M28"/>
      <selection pane="bottomLeft" activeCell="M28" sqref="M28"/>
      <selection pane="bottomRight" activeCell="G127" sqref="G127"/>
    </sheetView>
  </sheetViews>
  <sheetFormatPr defaultColWidth="8.85546875" defaultRowHeight="21.75"/>
  <cols>
    <col min="1" max="1" width="3.5703125" style="1428" customWidth="1"/>
    <col min="2" max="2" width="33" customWidth="1"/>
    <col min="3" max="5" width="10.5703125" style="1429" bestFit="1" customWidth="1"/>
    <col min="6" max="7" width="11.5703125" style="1429" bestFit="1" customWidth="1" collapsed="1"/>
    <col min="8" max="8" width="11.5703125" style="1429" customWidth="1" collapsed="1"/>
    <col min="9" max="12" width="11.5703125" style="1429" bestFit="1" customWidth="1" collapsed="1"/>
    <col min="13" max="13" width="12.28515625" style="1429" customWidth="1"/>
    <col min="14" max="14" width="12" style="1429" customWidth="1"/>
    <col min="15" max="15" width="11.85546875" style="1429" customWidth="1"/>
    <col min="16" max="16" width="14.85546875" style="189" customWidth="1"/>
    <col min="17" max="17" width="28.5703125" style="1430" bestFit="1" customWidth="1"/>
    <col min="18" max="18" width="8" style="1430" customWidth="1"/>
    <col min="19" max="24" width="8.7109375" style="1430" customWidth="1"/>
  </cols>
  <sheetData>
    <row r="2" spans="1:25" s="136" customFormat="1" ht="45.75" customHeight="1">
      <c r="A2" s="3658"/>
      <c r="B2" s="3565"/>
      <c r="C2" s="3659" t="s">
        <v>2220</v>
      </c>
      <c r="D2" s="3660" t="s">
        <v>3483</v>
      </c>
      <c r="E2" s="3659" t="s">
        <v>2221</v>
      </c>
      <c r="F2" s="3659" t="s">
        <v>2222</v>
      </c>
      <c r="G2" s="3659" t="s">
        <v>2223</v>
      </c>
      <c r="H2" s="3659" t="s">
        <v>2224</v>
      </c>
      <c r="I2" s="3659" t="s">
        <v>2225</v>
      </c>
      <c r="J2" s="3659" t="s">
        <v>2226</v>
      </c>
      <c r="K2" s="3659" t="s">
        <v>2227</v>
      </c>
      <c r="L2" s="3659" t="s">
        <v>676</v>
      </c>
      <c r="M2" s="3659" t="s">
        <v>2228</v>
      </c>
      <c r="N2" s="3659" t="s">
        <v>1719</v>
      </c>
      <c r="O2" s="3659" t="s">
        <v>593</v>
      </c>
      <c r="P2" s="3659" t="s">
        <v>2900</v>
      </c>
      <c r="Q2" s="189"/>
      <c r="R2" s="188">
        <v>1</v>
      </c>
      <c r="S2" s="1425" t="s">
        <v>0</v>
      </c>
      <c r="T2" s="1424"/>
      <c r="U2" s="1426" t="s">
        <v>1</v>
      </c>
      <c r="V2" s="1427" t="s">
        <v>2</v>
      </c>
      <c r="W2" s="1427" t="s">
        <v>3</v>
      </c>
      <c r="X2" s="1427" t="s">
        <v>100</v>
      </c>
      <c r="Y2" s="189"/>
    </row>
    <row r="3" spans="1:25">
      <c r="A3" s="2975"/>
      <c r="B3" s="2778"/>
      <c r="C3" s="3661"/>
      <c r="D3" s="3662"/>
      <c r="E3" s="3662"/>
      <c r="F3" s="3662"/>
      <c r="G3" s="3662"/>
      <c r="H3" s="3662"/>
      <c r="I3" s="3661" t="s">
        <v>41</v>
      </c>
      <c r="J3" s="3662"/>
      <c r="K3" s="3662"/>
      <c r="L3" s="3662"/>
      <c r="M3" s="3662"/>
      <c r="N3" s="3662"/>
      <c r="O3" s="3663"/>
      <c r="P3" s="3663"/>
      <c r="Q3" s="189"/>
      <c r="R3" s="188">
        <v>2</v>
      </c>
      <c r="S3" s="1425" t="s">
        <v>4</v>
      </c>
      <c r="T3" s="1424" t="s">
        <v>64</v>
      </c>
      <c r="U3" s="3686">
        <f>Freight!D86</f>
        <v>23670</v>
      </c>
      <c r="V3" s="3686">
        <f>Freight!E86</f>
        <v>29756.98</v>
      </c>
      <c r="W3" s="3686">
        <f>Freight!F86</f>
        <v>25594.1</v>
      </c>
      <c r="X3" s="3686">
        <f>Freight!G86</f>
        <v>663.52</v>
      </c>
      <c r="Y3" s="1430"/>
    </row>
    <row r="4" spans="1:25" s="136" customFormat="1" ht="15" customHeight="1">
      <c r="A4" s="3664">
        <v>1</v>
      </c>
      <c r="B4" s="3665" t="s">
        <v>569</v>
      </c>
      <c r="C4" s="3666"/>
      <c r="D4" s="3666"/>
      <c r="E4" s="3666"/>
      <c r="F4" s="3666"/>
      <c r="G4" s="3666"/>
      <c r="H4" s="3666"/>
      <c r="I4" s="3666"/>
      <c r="J4" s="3666"/>
      <c r="K4" s="3666"/>
      <c r="L4" s="3666"/>
      <c r="M4" s="3666"/>
      <c r="N4" s="3666"/>
      <c r="O4" s="3666"/>
      <c r="P4" s="3667"/>
      <c r="Q4" s="189"/>
      <c r="R4" s="188">
        <v>3</v>
      </c>
      <c r="S4" s="1423" t="s">
        <v>62</v>
      </c>
      <c r="T4" s="1424" t="s">
        <v>63</v>
      </c>
      <c r="U4" s="3686">
        <f>Freight!D87</f>
        <v>24010</v>
      </c>
      <c r="V4" s="3686">
        <f>Freight!E87</f>
        <v>30727.67</v>
      </c>
      <c r="W4" s="3686">
        <f>Freight!F87</f>
        <v>26767.49</v>
      </c>
      <c r="X4" s="3686">
        <f>Freight!G87</f>
        <v>689.29</v>
      </c>
      <c r="Y4" s="189"/>
    </row>
    <row r="5" spans="1:25" s="136" customFormat="1" ht="15" customHeight="1" collapsed="1">
      <c r="A5" s="3664">
        <v>2</v>
      </c>
      <c r="B5" s="3665" t="s">
        <v>312</v>
      </c>
      <c r="C5" s="3668">
        <v>500000</v>
      </c>
      <c r="D5" s="3668">
        <v>500000</v>
      </c>
      <c r="E5" s="3668">
        <v>500000</v>
      </c>
      <c r="F5" s="3668">
        <v>500000</v>
      </c>
      <c r="G5" s="3668">
        <v>500000</v>
      </c>
      <c r="H5" s="3668">
        <v>500000</v>
      </c>
      <c r="I5" s="3668">
        <v>500000</v>
      </c>
      <c r="J5" s="3668">
        <v>500000</v>
      </c>
      <c r="K5" s="3668">
        <v>500000</v>
      </c>
      <c r="L5" s="3668">
        <v>500000</v>
      </c>
      <c r="M5" s="3668">
        <v>500000</v>
      </c>
      <c r="N5" s="3668">
        <v>500000</v>
      </c>
      <c r="O5" s="3669">
        <v>500000</v>
      </c>
      <c r="P5" s="3670">
        <v>500000</v>
      </c>
      <c r="Q5" s="136" t="s">
        <v>2229</v>
      </c>
      <c r="R5" s="188">
        <v>4</v>
      </c>
      <c r="S5" s="190"/>
      <c r="T5" s="191"/>
      <c r="U5" s="190"/>
      <c r="V5" s="189"/>
      <c r="W5" s="189"/>
      <c r="X5" s="189"/>
      <c r="Y5" s="189"/>
    </row>
    <row r="6" spans="1:25" s="136" customFormat="1" ht="15" customHeight="1" collapsed="1">
      <c r="A6" s="3664">
        <v>3</v>
      </c>
      <c r="B6" s="3665" t="s">
        <v>311</v>
      </c>
      <c r="C6" s="3668">
        <v>20000</v>
      </c>
      <c r="D6" s="3668">
        <v>20000</v>
      </c>
      <c r="E6" s="3668">
        <v>20000</v>
      </c>
      <c r="F6" s="3668">
        <v>20000</v>
      </c>
      <c r="G6" s="3668">
        <v>20000</v>
      </c>
      <c r="H6" s="3668">
        <v>20000</v>
      </c>
      <c r="I6" s="3668">
        <v>20000</v>
      </c>
      <c r="J6" s="3668">
        <v>20000</v>
      </c>
      <c r="K6" s="3668">
        <v>20000</v>
      </c>
      <c r="L6" s="3668">
        <v>20000</v>
      </c>
      <c r="M6" s="3668">
        <v>20000</v>
      </c>
      <c r="N6" s="3668">
        <v>20000</v>
      </c>
      <c r="O6" s="3669">
        <v>20000</v>
      </c>
      <c r="P6" s="3670">
        <v>20000</v>
      </c>
      <c r="Q6" s="136" t="s">
        <v>2229</v>
      </c>
      <c r="R6" s="188">
        <v>5</v>
      </c>
      <c r="S6" s="192"/>
      <c r="T6" s="192"/>
      <c r="U6" s="192"/>
      <c r="V6" s="189"/>
      <c r="W6" s="189"/>
      <c r="X6" s="189"/>
      <c r="Y6" s="189"/>
    </row>
    <row r="7" spans="1:25" s="136" customFormat="1" ht="15" customHeight="1" collapsed="1">
      <c r="A7" s="3664">
        <v>4</v>
      </c>
      <c r="B7" s="3665" t="s">
        <v>568</v>
      </c>
      <c r="C7" s="3668">
        <v>150000</v>
      </c>
      <c r="D7" s="3668">
        <v>150000</v>
      </c>
      <c r="E7" s="3668">
        <v>150000</v>
      </c>
      <c r="F7" s="3668">
        <v>150000</v>
      </c>
      <c r="G7" s="3668">
        <v>150000</v>
      </c>
      <c r="H7" s="3668">
        <v>150000</v>
      </c>
      <c r="I7" s="3668">
        <v>150000</v>
      </c>
      <c r="J7" s="3668">
        <v>150000</v>
      </c>
      <c r="K7" s="3668">
        <v>150000</v>
      </c>
      <c r="L7" s="3668">
        <v>150000</v>
      </c>
      <c r="M7" s="3668">
        <v>150000</v>
      </c>
      <c r="N7" s="3668">
        <v>150000</v>
      </c>
      <c r="O7" s="3669">
        <v>150000</v>
      </c>
      <c r="P7" s="3670">
        <v>150000</v>
      </c>
      <c r="Q7" s="136" t="s">
        <v>2229</v>
      </c>
      <c r="R7" s="188">
        <v>6</v>
      </c>
      <c r="S7" s="193"/>
      <c r="T7" s="193"/>
      <c r="U7" s="193"/>
      <c r="V7" s="189"/>
      <c r="W7" s="189"/>
      <c r="X7" s="189"/>
      <c r="Y7" s="189"/>
    </row>
    <row r="8" spans="1:25" s="136" customFormat="1" ht="15" customHeight="1" collapsed="1">
      <c r="A8" s="3664">
        <v>5</v>
      </c>
      <c r="B8" s="3665" t="s">
        <v>2299</v>
      </c>
      <c r="C8" s="3671">
        <f>120*$U$4</f>
        <v>2881200</v>
      </c>
      <c r="D8" s="3671">
        <f>120*$U$4</f>
        <v>2881200</v>
      </c>
      <c r="E8" s="3671"/>
      <c r="F8" s="3671"/>
      <c r="G8" s="3671">
        <f>180*$U$4</f>
        <v>4321800</v>
      </c>
      <c r="H8" s="3671">
        <f>280*$U$4</f>
        <v>6722800</v>
      </c>
      <c r="I8" s="3671">
        <f>140*$U$4</f>
        <v>3361400</v>
      </c>
      <c r="J8" s="3671">
        <f>140*$U$4</f>
        <v>3361400</v>
      </c>
      <c r="K8" s="3671">
        <f>160*$U$4</f>
        <v>3841600</v>
      </c>
      <c r="L8" s="3671"/>
      <c r="M8" s="3672">
        <f>135*$U$4</f>
        <v>3241350</v>
      </c>
      <c r="N8" s="3672">
        <f>50*$U$4</f>
        <v>1200500</v>
      </c>
      <c r="O8" s="3671"/>
      <c r="P8" s="3671"/>
      <c r="Q8" s="136" t="s">
        <v>2229</v>
      </c>
      <c r="R8" s="188">
        <v>7</v>
      </c>
      <c r="S8" s="193"/>
      <c r="T8" s="193"/>
      <c r="U8" s="193"/>
      <c r="V8" s="189"/>
      <c r="W8" s="189"/>
      <c r="X8" s="189"/>
      <c r="Y8" s="189"/>
    </row>
    <row r="9" spans="1:25" s="136" customFormat="1" ht="15" customHeight="1">
      <c r="A9" s="3664">
        <v>6</v>
      </c>
      <c r="B9" s="3665" t="s">
        <v>2300</v>
      </c>
      <c r="C9" s="3671">
        <f>(25+1.5)*$U$4</f>
        <v>636265</v>
      </c>
      <c r="D9" s="3671">
        <f>(25+1.5)*$U$4</f>
        <v>636265</v>
      </c>
      <c r="E9" s="3671"/>
      <c r="F9" s="3671"/>
      <c r="G9" s="3671">
        <f>(25+1.5)*$U$4</f>
        <v>636265</v>
      </c>
      <c r="H9" s="3671">
        <f>(35+1.5)*$U$4</f>
        <v>876365</v>
      </c>
      <c r="I9" s="3671">
        <f>(25+1.5)*$U$4</f>
        <v>636265</v>
      </c>
      <c r="J9" s="3671">
        <f>(25+1.5)*$U$4</f>
        <v>636265</v>
      </c>
      <c r="K9" s="3671">
        <f>(25+1.5)*$U$4</f>
        <v>636265</v>
      </c>
      <c r="L9" s="3671"/>
      <c r="M9" s="3672">
        <f>(25+1.5)*$U$4</f>
        <v>636265</v>
      </c>
      <c r="N9" s="3673">
        <f>(53+1.5)*$U$4</f>
        <v>1308545</v>
      </c>
      <c r="O9" s="3674">
        <f>25*$U$4</f>
        <v>600250</v>
      </c>
      <c r="P9" s="3671">
        <f>O9</f>
        <v>600250</v>
      </c>
      <c r="Q9" s="2993" t="s">
        <v>2230</v>
      </c>
      <c r="R9" s="188">
        <v>8</v>
      </c>
      <c r="S9" s="193"/>
      <c r="T9" s="193"/>
      <c r="U9" s="193"/>
      <c r="V9" s="189"/>
      <c r="W9" s="189"/>
      <c r="X9" s="189"/>
      <c r="Y9" s="189"/>
    </row>
    <row r="10" spans="1:25" s="136" customFormat="1" ht="15" customHeight="1" collapsed="1">
      <c r="A10" s="3664">
        <v>7</v>
      </c>
      <c r="B10" s="3665" t="s">
        <v>2301</v>
      </c>
      <c r="C10" s="3671"/>
      <c r="D10" s="3671"/>
      <c r="E10" s="3671">
        <f>40*$U$4</f>
        <v>960400</v>
      </c>
      <c r="F10" s="3671">
        <f>40*$U$4</f>
        <v>960400</v>
      </c>
      <c r="G10" s="3675"/>
      <c r="H10" s="3675"/>
      <c r="I10" s="3671"/>
      <c r="J10" s="3671"/>
      <c r="K10" s="3671"/>
      <c r="L10" s="3671">
        <f>40*$U$4</f>
        <v>960400</v>
      </c>
      <c r="M10" s="3671">
        <f>135*$U$4</f>
        <v>3241350</v>
      </c>
      <c r="N10" s="3673">
        <f>50*$U$4</f>
        <v>1200500</v>
      </c>
      <c r="O10" s="3674">
        <f>(110)*$U$4</f>
        <v>2641100</v>
      </c>
      <c r="P10" s="3671">
        <f>O10</f>
        <v>2641100</v>
      </c>
      <c r="Q10" s="2993" t="s">
        <v>2229</v>
      </c>
      <c r="R10" s="188">
        <v>9</v>
      </c>
      <c r="S10" s="189"/>
      <c r="T10" s="189"/>
      <c r="U10" s="189"/>
      <c r="V10" s="189"/>
      <c r="W10" s="189"/>
      <c r="X10" s="189"/>
      <c r="Y10" s="189"/>
    </row>
    <row r="11" spans="1:25" s="136" customFormat="1" ht="15" customHeight="1" collapsed="1">
      <c r="A11" s="3664">
        <v>8</v>
      </c>
      <c r="B11" s="3665" t="s">
        <v>2302</v>
      </c>
      <c r="C11" s="3675"/>
      <c r="D11" s="3675"/>
      <c r="E11" s="3675">
        <f>35*$U$4</f>
        <v>840350</v>
      </c>
      <c r="F11" s="3675">
        <f>35*$U$4</f>
        <v>840350</v>
      </c>
      <c r="G11" s="3675"/>
      <c r="H11" s="3675"/>
      <c r="I11" s="3675"/>
      <c r="J11" s="3675"/>
      <c r="K11" s="3675"/>
      <c r="L11" s="3675">
        <f>35*$U$4</f>
        <v>840350</v>
      </c>
      <c r="M11" s="3675"/>
      <c r="N11" s="3675"/>
      <c r="O11" s="3671"/>
      <c r="P11" s="3671"/>
      <c r="Q11" s="136" t="s">
        <v>2229</v>
      </c>
      <c r="R11" s="188">
        <v>10</v>
      </c>
      <c r="S11" s="189"/>
      <c r="T11" s="189"/>
      <c r="U11" s="189"/>
      <c r="V11" s="189"/>
      <c r="W11" s="189"/>
      <c r="X11" s="189"/>
      <c r="Y11" s="189"/>
    </row>
    <row r="12" spans="1:25" s="136" customFormat="1" ht="15" customHeight="1" collapsed="1">
      <c r="A12" s="3664">
        <v>9</v>
      </c>
      <c r="B12" s="3665" t="s">
        <v>2303</v>
      </c>
      <c r="C12" s="3675"/>
      <c r="D12" s="3675"/>
      <c r="E12" s="3675">
        <f>25*$U$4</f>
        <v>600250</v>
      </c>
      <c r="F12" s="3675">
        <f>25*$U$4</f>
        <v>600250</v>
      </c>
      <c r="G12" s="3675"/>
      <c r="H12" s="3675"/>
      <c r="I12" s="3675"/>
      <c r="J12" s="3675"/>
      <c r="K12" s="3675"/>
      <c r="L12" s="3675">
        <f>25*$U$4</f>
        <v>600250</v>
      </c>
      <c r="M12" s="3675"/>
      <c r="N12" s="3675"/>
      <c r="O12" s="3671"/>
      <c r="P12" s="3671"/>
      <c r="Q12" s="2423" t="s">
        <v>2311</v>
      </c>
      <c r="R12" s="188">
        <v>11</v>
      </c>
      <c r="S12" s="189"/>
      <c r="T12" s="189"/>
      <c r="U12" s="189"/>
      <c r="V12" s="189"/>
      <c r="W12" s="189"/>
      <c r="X12" s="189"/>
      <c r="Y12" s="189"/>
    </row>
    <row r="13" spans="1:25" s="136" customFormat="1" ht="15" customHeight="1" collapsed="1">
      <c r="A13" s="3664">
        <v>10</v>
      </c>
      <c r="B13" s="3665" t="s">
        <v>2304</v>
      </c>
      <c r="C13" s="3675"/>
      <c r="D13" s="3675"/>
      <c r="E13" s="3675">
        <f>11*$U$4</f>
        <v>264110</v>
      </c>
      <c r="F13" s="3675">
        <f>11*$U$4</f>
        <v>264110</v>
      </c>
      <c r="G13" s="3675"/>
      <c r="H13" s="3675"/>
      <c r="I13" s="3675"/>
      <c r="J13" s="3675"/>
      <c r="K13" s="3675"/>
      <c r="L13" s="3675">
        <f>11*$U$4</f>
        <v>264110</v>
      </c>
      <c r="M13" s="3675"/>
      <c r="N13" s="3675"/>
      <c r="O13" s="3671"/>
      <c r="P13" s="3671"/>
      <c r="Q13" s="2423" t="s">
        <v>2312</v>
      </c>
      <c r="R13" s="188">
        <v>12</v>
      </c>
      <c r="S13" s="189"/>
      <c r="T13" s="189"/>
      <c r="U13" s="189"/>
      <c r="V13" s="189"/>
      <c r="W13" s="189"/>
      <c r="X13" s="189"/>
      <c r="Y13" s="189"/>
    </row>
    <row r="14" spans="1:25" s="136" customFormat="1" ht="15" customHeight="1" collapsed="1">
      <c r="A14" s="3664">
        <v>11</v>
      </c>
      <c r="B14" s="3665" t="s">
        <v>2305</v>
      </c>
      <c r="C14" s="3675"/>
      <c r="D14" s="3675"/>
      <c r="E14" s="3675">
        <f>7*$U$4</f>
        <v>168070</v>
      </c>
      <c r="F14" s="3675">
        <f>7*$U$4</f>
        <v>168070</v>
      </c>
      <c r="G14" s="3675"/>
      <c r="H14" s="3675"/>
      <c r="I14" s="3675"/>
      <c r="J14" s="3675"/>
      <c r="K14" s="3675"/>
      <c r="L14" s="3675">
        <f>7*$U$4</f>
        <v>168070</v>
      </c>
      <c r="M14" s="3675"/>
      <c r="N14" s="3675"/>
      <c r="O14" s="3671"/>
      <c r="P14" s="3671"/>
      <c r="Q14" s="2423" t="s">
        <v>2312</v>
      </c>
      <c r="R14" s="188">
        <v>13</v>
      </c>
      <c r="S14" s="189"/>
      <c r="T14" s="189"/>
      <c r="U14" s="189"/>
      <c r="V14" s="189"/>
      <c r="W14" s="189"/>
      <c r="X14" s="189"/>
      <c r="Y14" s="189"/>
    </row>
    <row r="15" spans="1:25" s="136" customFormat="1" ht="15" customHeight="1" collapsed="1">
      <c r="A15" s="3664">
        <v>12</v>
      </c>
      <c r="B15" s="3665" t="s">
        <v>2306</v>
      </c>
      <c r="C15" s="3675"/>
      <c r="D15" s="3675"/>
      <c r="E15" s="3675">
        <f>5*$U$4</f>
        <v>120050</v>
      </c>
      <c r="F15" s="3675">
        <f>5*$U$4</f>
        <v>120050</v>
      </c>
      <c r="G15" s="3675"/>
      <c r="H15" s="3675"/>
      <c r="I15" s="3675"/>
      <c r="J15" s="3675"/>
      <c r="K15" s="3675"/>
      <c r="L15" s="3675">
        <f>5*$U$4</f>
        <v>120050</v>
      </c>
      <c r="M15" s="3675"/>
      <c r="N15" s="3675"/>
      <c r="O15" s="3671"/>
      <c r="P15" s="3671"/>
      <c r="Q15" s="2423" t="s">
        <v>2312</v>
      </c>
      <c r="R15" s="188">
        <v>14</v>
      </c>
      <c r="S15" s="189"/>
      <c r="T15" s="189"/>
      <c r="U15" s="189"/>
      <c r="V15" s="189"/>
      <c r="W15" s="189"/>
      <c r="X15" s="189"/>
      <c r="Y15" s="189"/>
    </row>
    <row r="16" spans="1:25" s="194" customFormat="1" ht="15" customHeight="1" collapsed="1">
      <c r="A16" s="3664">
        <v>13</v>
      </c>
      <c r="B16" s="3665" t="s">
        <v>2307</v>
      </c>
      <c r="C16" s="3675"/>
      <c r="D16" s="3675"/>
      <c r="E16" s="3675">
        <f>6*$U$4</f>
        <v>144060</v>
      </c>
      <c r="F16" s="3675">
        <f>6*$U$4</f>
        <v>144060</v>
      </c>
      <c r="G16" s="3675"/>
      <c r="H16" s="3675"/>
      <c r="I16" s="3675"/>
      <c r="J16" s="3675"/>
      <c r="K16" s="3675"/>
      <c r="L16" s="3675">
        <f>6*$U$4</f>
        <v>144060</v>
      </c>
      <c r="M16" s="3675"/>
      <c r="N16" s="3675"/>
      <c r="O16" s="3671"/>
      <c r="P16" s="3671"/>
      <c r="Q16" s="2423" t="s">
        <v>2312</v>
      </c>
      <c r="R16" s="188">
        <v>15</v>
      </c>
      <c r="S16" s="189"/>
      <c r="T16" s="189"/>
      <c r="U16" s="189"/>
      <c r="V16" s="189"/>
      <c r="W16" s="189"/>
      <c r="X16" s="189"/>
      <c r="Y16" s="189"/>
    </row>
    <row r="17" spans="1:25" s="194" customFormat="1" ht="15" customHeight="1">
      <c r="A17" s="3664">
        <v>14</v>
      </c>
      <c r="B17" s="3665" t="s">
        <v>2308</v>
      </c>
      <c r="C17" s="3675"/>
      <c r="D17" s="3675"/>
      <c r="E17" s="3675">
        <f>0.5*$U$4</f>
        <v>12005</v>
      </c>
      <c r="F17" s="3675">
        <f>0.5*$U$4</f>
        <v>12005</v>
      </c>
      <c r="G17" s="3675"/>
      <c r="H17" s="3675"/>
      <c r="I17" s="3675"/>
      <c r="J17" s="3675"/>
      <c r="K17" s="3675"/>
      <c r="L17" s="3675">
        <f>0.5*$U$4</f>
        <v>12005</v>
      </c>
      <c r="M17" s="3675"/>
      <c r="N17" s="3675"/>
      <c r="O17" s="3671"/>
      <c r="P17" s="3671"/>
      <c r="Q17" s="2423" t="s">
        <v>2312</v>
      </c>
      <c r="R17" s="188">
        <v>16</v>
      </c>
      <c r="S17" s="189"/>
      <c r="T17" s="189"/>
      <c r="U17" s="189"/>
      <c r="V17" s="189"/>
      <c r="W17" s="189"/>
      <c r="X17" s="189"/>
      <c r="Y17" s="189"/>
    </row>
    <row r="18" spans="1:25" s="194" customFormat="1" ht="15" customHeight="1">
      <c r="A18" s="3664">
        <v>15</v>
      </c>
      <c r="B18" s="3665" t="s">
        <v>2231</v>
      </c>
      <c r="C18" s="3671"/>
      <c r="D18" s="3671"/>
      <c r="E18" s="3671"/>
      <c r="F18" s="3671">
        <f>40*$U$4</f>
        <v>960400</v>
      </c>
      <c r="G18" s="3671"/>
      <c r="H18" s="3671"/>
      <c r="I18" s="3671"/>
      <c r="J18" s="3671"/>
      <c r="K18" s="3671"/>
      <c r="L18" s="3671"/>
      <c r="M18" s="3671">
        <f>40*$U$4</f>
        <v>960400</v>
      </c>
      <c r="N18" s="3673">
        <f>40*$U$4</f>
        <v>960400</v>
      </c>
      <c r="O18" s="3671">
        <f>40*$U$4</f>
        <v>960400</v>
      </c>
      <c r="P18" s="3671">
        <f>O18</f>
        <v>960400</v>
      </c>
      <c r="Q18" s="136" t="s">
        <v>2232</v>
      </c>
      <c r="R18" s="188">
        <v>17</v>
      </c>
      <c r="S18" s="189"/>
      <c r="T18" s="189"/>
      <c r="U18" s="189"/>
      <c r="V18" s="189"/>
      <c r="W18" s="189"/>
      <c r="X18" s="189"/>
      <c r="Y18" s="189"/>
    </row>
    <row r="19" spans="1:25" s="194" customFormat="1" ht="15" customHeight="1">
      <c r="A19" s="3664">
        <v>16</v>
      </c>
      <c r="B19" s="3665" t="s">
        <v>2233</v>
      </c>
      <c r="C19" s="3671"/>
      <c r="D19" s="3671"/>
      <c r="E19" s="3671">
        <f>40*$U$4</f>
        <v>960400</v>
      </c>
      <c r="F19" s="3671"/>
      <c r="G19" s="3671"/>
      <c r="H19" s="3671"/>
      <c r="I19" s="3671"/>
      <c r="J19" s="3671"/>
      <c r="K19" s="3671"/>
      <c r="L19" s="3671">
        <f>40*$U$4</f>
        <v>960400</v>
      </c>
      <c r="M19" s="3671"/>
      <c r="N19" s="3671"/>
      <c r="O19" s="3671">
        <f>40*$U$4</f>
        <v>960400</v>
      </c>
      <c r="P19" s="3671">
        <f>O19</f>
        <v>960400</v>
      </c>
      <c r="Q19" s="136" t="s">
        <v>2234</v>
      </c>
      <c r="R19" s="188">
        <v>18</v>
      </c>
      <c r="S19" s="189"/>
      <c r="T19" s="189"/>
      <c r="U19" s="189"/>
      <c r="V19" s="189"/>
      <c r="W19" s="189"/>
      <c r="X19" s="189"/>
      <c r="Y19" s="189"/>
    </row>
    <row r="20" spans="1:25" s="194" customFormat="1" ht="15" customHeight="1">
      <c r="A20" s="3664">
        <v>17</v>
      </c>
      <c r="B20" s="3665" t="s">
        <v>2235</v>
      </c>
      <c r="C20" s="3671"/>
      <c r="D20" s="3671"/>
      <c r="E20" s="3671"/>
      <c r="F20" s="3671"/>
      <c r="G20" s="3671"/>
      <c r="H20" s="3671"/>
      <c r="I20" s="3671"/>
      <c r="J20" s="3671"/>
      <c r="K20" s="3671"/>
      <c r="L20" s="3671"/>
      <c r="M20" s="3671"/>
      <c r="N20" s="3671"/>
      <c r="O20" s="3671">
        <f>40*$U$4</f>
        <v>960400</v>
      </c>
      <c r="P20" s="3671">
        <f>O20</f>
        <v>960400</v>
      </c>
      <c r="Q20" s="136" t="s">
        <v>2236</v>
      </c>
      <c r="R20" s="188">
        <v>19</v>
      </c>
      <c r="S20" s="189"/>
      <c r="T20" s="189"/>
      <c r="U20" s="189"/>
      <c r="V20" s="189"/>
      <c r="W20" s="189"/>
      <c r="X20" s="189"/>
      <c r="Y20" s="189"/>
    </row>
    <row r="21" spans="1:25" s="194" customFormat="1" ht="15" customHeight="1">
      <c r="A21" s="3664">
        <v>18</v>
      </c>
      <c r="B21" s="3665" t="s">
        <v>3321</v>
      </c>
      <c r="C21" s="3671"/>
      <c r="D21" s="3671"/>
      <c r="E21" s="3676"/>
      <c r="F21" s="3676"/>
      <c r="G21" s="3676"/>
      <c r="H21" s="3676"/>
      <c r="I21" s="3676"/>
      <c r="J21" s="3676"/>
      <c r="K21" s="3676"/>
      <c r="L21" s="3676"/>
      <c r="M21" s="3676"/>
      <c r="N21" s="3676"/>
      <c r="O21" s="3676"/>
      <c r="P21" s="3676"/>
      <c r="Q21" s="136" t="s">
        <v>2238</v>
      </c>
      <c r="R21" s="188">
        <v>20</v>
      </c>
      <c r="S21" s="189"/>
      <c r="T21" s="189"/>
      <c r="U21" s="189"/>
      <c r="V21" s="189"/>
      <c r="W21" s="189"/>
      <c r="X21" s="189"/>
      <c r="Y21" s="189"/>
    </row>
    <row r="22" spans="1:25" s="194" customFormat="1" ht="15" customHeight="1">
      <c r="A22" s="3664">
        <v>19</v>
      </c>
      <c r="B22" s="3665" t="s">
        <v>2237</v>
      </c>
      <c r="C22" s="3676"/>
      <c r="D22" s="3676"/>
      <c r="E22" s="3676"/>
      <c r="F22" s="3676"/>
      <c r="G22" s="3676"/>
      <c r="H22" s="3676"/>
      <c r="I22" s="3676"/>
      <c r="J22" s="3676"/>
      <c r="K22" s="3676"/>
      <c r="L22" s="3676"/>
      <c r="M22" s="3676"/>
      <c r="N22" s="3676"/>
      <c r="O22" s="3671">
        <f>40*$U$4</f>
        <v>960400</v>
      </c>
      <c r="P22" s="3671">
        <f>O22</f>
        <v>960400</v>
      </c>
      <c r="Q22" s="136" t="s">
        <v>2239</v>
      </c>
      <c r="R22" s="188">
        <v>21</v>
      </c>
      <c r="S22" s="189"/>
      <c r="T22" s="189"/>
      <c r="U22" s="189"/>
      <c r="V22" s="189"/>
      <c r="W22" s="189"/>
      <c r="X22" s="189"/>
      <c r="Y22" s="189"/>
    </row>
    <row r="23" spans="1:25" s="194" customFormat="1" ht="15" customHeight="1">
      <c r="A23" s="3664">
        <v>20</v>
      </c>
      <c r="B23" s="3665" t="s">
        <v>677</v>
      </c>
      <c r="C23" s="3676"/>
      <c r="D23" s="3676"/>
      <c r="E23" s="3676"/>
      <c r="F23" s="3676"/>
      <c r="G23" s="3676"/>
      <c r="H23" s="3676"/>
      <c r="I23" s="3676"/>
      <c r="J23" s="3676"/>
      <c r="K23" s="3676"/>
      <c r="L23" s="3676"/>
      <c r="M23" s="3676"/>
      <c r="N23" s="3676"/>
      <c r="O23" s="3676"/>
      <c r="P23" s="3665"/>
      <c r="Q23" s="189" t="s">
        <v>2238</v>
      </c>
      <c r="R23" s="188">
        <v>22</v>
      </c>
      <c r="S23" s="189"/>
      <c r="T23" s="189"/>
      <c r="U23" s="189"/>
      <c r="V23" s="189"/>
      <c r="W23" s="189"/>
      <c r="X23" s="189"/>
      <c r="Y23" s="189"/>
    </row>
    <row r="24" spans="1:25" s="194" customFormat="1" ht="12.75" collapsed="1">
      <c r="A24" s="320"/>
      <c r="B24" s="136"/>
      <c r="Q24" s="189"/>
      <c r="R24" s="188">
        <v>23</v>
      </c>
      <c r="S24" s="189"/>
      <c r="T24" s="189"/>
      <c r="U24" s="189"/>
      <c r="V24" s="189"/>
      <c r="W24" s="189"/>
      <c r="X24" s="189"/>
      <c r="Y24" s="189"/>
    </row>
    <row r="25" spans="1:25" s="194" customFormat="1" ht="18" collapsed="1">
      <c r="A25" s="320"/>
      <c r="B25" s="136"/>
      <c r="C25" s="3677"/>
      <c r="D25" s="3678"/>
      <c r="E25" s="3678"/>
      <c r="F25" s="3678"/>
      <c r="G25" s="3678"/>
      <c r="H25" s="3678"/>
      <c r="I25" s="3678" t="s">
        <v>679</v>
      </c>
      <c r="J25" s="3678"/>
      <c r="K25" s="3678"/>
      <c r="L25" s="3678"/>
      <c r="M25" s="3678"/>
      <c r="N25" s="3678"/>
      <c r="O25" s="3678"/>
      <c r="P25" s="3679"/>
      <c r="Q25" s="189"/>
      <c r="R25" s="188">
        <v>24</v>
      </c>
      <c r="S25" s="189"/>
      <c r="T25" s="189"/>
      <c r="U25" s="189"/>
      <c r="V25" s="189"/>
      <c r="W25" s="189"/>
      <c r="X25" s="189"/>
      <c r="Y25" s="189"/>
    </row>
    <row r="26" spans="1:25" s="194" customFormat="1" ht="15" customHeight="1">
      <c r="A26" s="3680">
        <v>1</v>
      </c>
      <c r="B26" s="3565" t="s">
        <v>569</v>
      </c>
      <c r="C26" s="3681"/>
      <c r="D26" s="3681"/>
      <c r="E26" s="3681"/>
      <c r="F26" s="3681"/>
      <c r="G26" s="3681"/>
      <c r="H26" s="3681"/>
      <c r="I26" s="3681"/>
      <c r="J26" s="3681"/>
      <c r="K26" s="3681"/>
      <c r="L26" s="3681"/>
      <c r="M26" s="3681"/>
      <c r="N26" s="3681"/>
      <c r="O26" s="3681"/>
      <c r="P26" s="3681"/>
      <c r="Q26" s="189" t="s">
        <v>2229</v>
      </c>
      <c r="R26" s="188">
        <v>25</v>
      </c>
      <c r="S26" s="189"/>
      <c r="T26" s="189"/>
      <c r="U26" s="189"/>
      <c r="V26" s="189"/>
      <c r="W26" s="189"/>
      <c r="X26" s="189"/>
      <c r="Y26" s="189"/>
    </row>
    <row r="27" spans="1:25" s="194" customFormat="1" ht="15" customHeight="1" collapsed="1">
      <c r="A27" s="3658">
        <v>2</v>
      </c>
      <c r="B27" s="3565" t="s">
        <v>312</v>
      </c>
      <c r="C27" s="3668">
        <v>500000</v>
      </c>
      <c r="D27" s="3668">
        <v>500000</v>
      </c>
      <c r="E27" s="3668">
        <v>500000</v>
      </c>
      <c r="F27" s="3668">
        <v>500000</v>
      </c>
      <c r="G27" s="3668">
        <v>500000</v>
      </c>
      <c r="H27" s="3668">
        <v>500000</v>
      </c>
      <c r="I27" s="3668">
        <v>500000</v>
      </c>
      <c r="J27" s="3668">
        <v>500000</v>
      </c>
      <c r="K27" s="3668">
        <v>500000</v>
      </c>
      <c r="L27" s="3668">
        <v>500000</v>
      </c>
      <c r="M27" s="3668">
        <v>500000</v>
      </c>
      <c r="N27" s="3668">
        <v>500000</v>
      </c>
      <c r="O27" s="3669">
        <v>500000</v>
      </c>
      <c r="P27" s="3671">
        <v>500000</v>
      </c>
      <c r="Q27" s="189" t="s">
        <v>2229</v>
      </c>
      <c r="R27" s="188">
        <v>26</v>
      </c>
      <c r="S27" s="189"/>
      <c r="T27" s="189"/>
      <c r="U27" s="189"/>
      <c r="V27" s="189"/>
      <c r="W27" s="189"/>
      <c r="X27" s="189"/>
      <c r="Y27" s="189"/>
    </row>
    <row r="28" spans="1:25" s="194" customFormat="1" ht="15" customHeight="1" collapsed="1">
      <c r="A28" s="3658">
        <v>3</v>
      </c>
      <c r="B28" s="3565" t="s">
        <v>311</v>
      </c>
      <c r="C28" s="3668">
        <v>20000</v>
      </c>
      <c r="D28" s="3668">
        <v>20000</v>
      </c>
      <c r="E28" s="3668">
        <v>20000</v>
      </c>
      <c r="F28" s="3668">
        <v>20000</v>
      </c>
      <c r="G28" s="3668">
        <v>20000</v>
      </c>
      <c r="H28" s="3668">
        <v>20000</v>
      </c>
      <c r="I28" s="3668">
        <v>20000</v>
      </c>
      <c r="J28" s="3668">
        <v>20000</v>
      </c>
      <c r="K28" s="3668">
        <v>20000</v>
      </c>
      <c r="L28" s="3668">
        <v>20000</v>
      </c>
      <c r="M28" s="3668">
        <v>20000</v>
      </c>
      <c r="N28" s="3668">
        <v>20000</v>
      </c>
      <c r="O28" s="3669">
        <v>20000</v>
      </c>
      <c r="P28" s="3671">
        <v>20000</v>
      </c>
      <c r="Q28" s="189" t="s">
        <v>2229</v>
      </c>
      <c r="R28" s="188">
        <v>27</v>
      </c>
      <c r="S28" s="189"/>
      <c r="T28" s="189"/>
      <c r="U28" s="189"/>
      <c r="V28" s="189"/>
      <c r="W28" s="189"/>
      <c r="X28" s="189"/>
      <c r="Y28" s="189"/>
    </row>
    <row r="29" spans="1:25" s="194" customFormat="1" ht="15" customHeight="1">
      <c r="A29" s="3658">
        <v>4</v>
      </c>
      <c r="B29" s="3565" t="s">
        <v>568</v>
      </c>
      <c r="C29" s="3668">
        <v>150000</v>
      </c>
      <c r="D29" s="3668">
        <v>150000</v>
      </c>
      <c r="E29" s="3668">
        <v>150000</v>
      </c>
      <c r="F29" s="3668">
        <v>150000</v>
      </c>
      <c r="G29" s="3668">
        <v>150000</v>
      </c>
      <c r="H29" s="3668">
        <v>150000</v>
      </c>
      <c r="I29" s="3668">
        <v>150000</v>
      </c>
      <c r="J29" s="3668">
        <v>150000</v>
      </c>
      <c r="K29" s="3668">
        <v>150000</v>
      </c>
      <c r="L29" s="3668">
        <v>150000</v>
      </c>
      <c r="M29" s="3668">
        <v>150000</v>
      </c>
      <c r="N29" s="3668">
        <v>150000</v>
      </c>
      <c r="O29" s="3669">
        <v>150000</v>
      </c>
      <c r="P29" s="3671">
        <v>150000</v>
      </c>
      <c r="Q29" s="189" t="s">
        <v>2229</v>
      </c>
      <c r="R29" s="188">
        <v>28</v>
      </c>
      <c r="S29" s="189"/>
      <c r="T29" s="189"/>
      <c r="U29" s="189"/>
      <c r="V29" s="189"/>
      <c r="W29" s="189"/>
      <c r="X29" s="189"/>
      <c r="Y29" s="189"/>
    </row>
    <row r="30" spans="1:25" s="136" customFormat="1" ht="15" customHeight="1">
      <c r="A30" s="3680">
        <v>5</v>
      </c>
      <c r="B30" s="3565" t="s">
        <v>2299</v>
      </c>
      <c r="C30" s="3671"/>
      <c r="D30" s="3671"/>
      <c r="E30" s="3671"/>
      <c r="F30" s="3671"/>
      <c r="G30" s="3671"/>
      <c r="H30" s="3671"/>
      <c r="I30" s="3671"/>
      <c r="J30" s="3671"/>
      <c r="K30" s="3671"/>
      <c r="L30" s="3671"/>
      <c r="M30" s="3671"/>
      <c r="N30" s="3671"/>
      <c r="O30" s="3671"/>
      <c r="P30" s="3671"/>
      <c r="Q30" s="189" t="s">
        <v>2229</v>
      </c>
      <c r="R30" s="188">
        <v>29</v>
      </c>
      <c r="S30" s="189"/>
      <c r="T30" s="189"/>
      <c r="U30" s="189"/>
      <c r="V30" s="189"/>
      <c r="W30" s="189"/>
      <c r="X30" s="189"/>
      <c r="Y30" s="189"/>
    </row>
    <row r="31" spans="1:25" s="136" customFormat="1" ht="15" customHeight="1">
      <c r="A31" s="3658">
        <v>6</v>
      </c>
      <c r="B31" s="3565" t="s">
        <v>2300</v>
      </c>
      <c r="C31" s="3671">
        <f>245*$U$4</f>
        <v>5882450</v>
      </c>
      <c r="D31" s="3672">
        <f>IF($D$2="CRAYOLA CHINA",295,250)*$U$4</f>
        <v>6002500</v>
      </c>
      <c r="E31" s="3671">
        <f>320*$U$4</f>
        <v>7683200</v>
      </c>
      <c r="F31" s="3671">
        <f>330*$U$4</f>
        <v>7923300</v>
      </c>
      <c r="G31" s="3671">
        <v>0</v>
      </c>
      <c r="H31" s="3671">
        <v>0</v>
      </c>
      <c r="I31" s="3671">
        <f>295*$U$4</f>
        <v>7082950</v>
      </c>
      <c r="J31" s="3671">
        <f>360*$U$4</f>
        <v>8643600</v>
      </c>
      <c r="K31" s="3671">
        <f>320*$U$4</f>
        <v>7683200</v>
      </c>
      <c r="L31" s="3671">
        <f>275*$U$4</f>
        <v>6602750</v>
      </c>
      <c r="M31" s="3671">
        <f>350*$U$4</f>
        <v>8403500</v>
      </c>
      <c r="N31" s="3673">
        <f>322*$U$4</f>
        <v>7731220</v>
      </c>
      <c r="O31" s="3674">
        <f>(145)*$U$4</f>
        <v>3481450</v>
      </c>
      <c r="P31" s="3671">
        <f>O31</f>
        <v>3481450</v>
      </c>
      <c r="Q31" s="189" t="s">
        <v>2238</v>
      </c>
      <c r="R31" s="188">
        <v>30</v>
      </c>
      <c r="S31" s="189"/>
      <c r="T31" s="189"/>
      <c r="U31" s="189"/>
      <c r="V31" s="189"/>
      <c r="W31" s="189"/>
      <c r="X31" s="189"/>
      <c r="Y31" s="189"/>
    </row>
    <row r="32" spans="1:25" s="194" customFormat="1" ht="15" customHeight="1">
      <c r="A32" s="3680">
        <v>7</v>
      </c>
      <c r="B32" s="3565" t="s">
        <v>2309</v>
      </c>
      <c r="C32" s="3671">
        <f>40*$U$4</f>
        <v>960400</v>
      </c>
      <c r="D32" s="3672">
        <f>IF($D$2="CRAYOLA CHINA",40,70)*$U$4</f>
        <v>1680700</v>
      </c>
      <c r="E32" s="3671">
        <f>40*$U$4</f>
        <v>960400</v>
      </c>
      <c r="F32" s="3671">
        <f>(40)*$U$4</f>
        <v>960400</v>
      </c>
      <c r="G32" s="3671"/>
      <c r="H32" s="3671"/>
      <c r="I32" s="3671">
        <f t="shared" ref="I32:N32" si="0">40*$U$4</f>
        <v>960400</v>
      </c>
      <c r="J32" s="3671">
        <f t="shared" si="0"/>
        <v>960400</v>
      </c>
      <c r="K32" s="3671">
        <f t="shared" si="0"/>
        <v>960400</v>
      </c>
      <c r="L32" s="3671">
        <f t="shared" si="0"/>
        <v>960400</v>
      </c>
      <c r="M32" s="3671">
        <f t="shared" si="0"/>
        <v>960400</v>
      </c>
      <c r="N32" s="3671">
        <f t="shared" si="0"/>
        <v>960400</v>
      </c>
      <c r="O32" s="3674">
        <f>115*$U$4</f>
        <v>2761150</v>
      </c>
      <c r="P32" s="3671">
        <f>O32</f>
        <v>2761150</v>
      </c>
      <c r="Q32" s="136" t="s">
        <v>2229</v>
      </c>
      <c r="R32" s="188">
        <v>31</v>
      </c>
      <c r="S32" s="189"/>
      <c r="T32" s="189"/>
      <c r="U32" s="189"/>
      <c r="V32" s="189"/>
      <c r="W32" s="189"/>
      <c r="X32" s="189"/>
      <c r="Y32" s="189"/>
    </row>
    <row r="33" spans="1:25" s="194" customFormat="1" ht="15" customHeight="1">
      <c r="A33" s="3658">
        <v>8</v>
      </c>
      <c r="B33" s="3565" t="s">
        <v>2302</v>
      </c>
      <c r="C33" s="3671"/>
      <c r="D33" s="3671"/>
      <c r="E33" s="3671"/>
      <c r="F33" s="3671"/>
      <c r="G33" s="3671"/>
      <c r="H33" s="3671"/>
      <c r="I33" s="3671"/>
      <c r="J33" s="3671"/>
      <c r="K33" s="3671"/>
      <c r="L33" s="3671"/>
      <c r="M33" s="3671"/>
      <c r="N33" s="3671"/>
      <c r="O33" s="3671"/>
      <c r="P33" s="3671"/>
      <c r="Q33" s="136" t="s">
        <v>2229</v>
      </c>
      <c r="R33" s="188">
        <v>32</v>
      </c>
      <c r="S33" s="189"/>
      <c r="T33" s="189"/>
      <c r="U33" s="189"/>
      <c r="V33" s="189"/>
      <c r="W33" s="189"/>
      <c r="X33" s="189"/>
      <c r="Y33" s="189"/>
    </row>
    <row r="34" spans="1:25" s="194" customFormat="1" ht="15" customHeight="1" collapsed="1">
      <c r="A34" s="3658">
        <v>9</v>
      </c>
      <c r="B34" s="3565" t="s">
        <v>2303</v>
      </c>
      <c r="C34" s="3671"/>
      <c r="D34" s="3671"/>
      <c r="E34" s="3671"/>
      <c r="F34" s="3671"/>
      <c r="G34" s="3671"/>
      <c r="H34" s="3671"/>
      <c r="I34" s="3671"/>
      <c r="J34" s="3671"/>
      <c r="K34" s="3671"/>
      <c r="L34" s="3671"/>
      <c r="M34" s="3671"/>
      <c r="N34" s="3671"/>
      <c r="O34" s="3671"/>
      <c r="P34" s="3671"/>
      <c r="Q34" s="189" t="s">
        <v>2238</v>
      </c>
      <c r="R34" s="188">
        <v>33</v>
      </c>
      <c r="S34" s="189"/>
      <c r="T34" s="189"/>
      <c r="U34" s="189"/>
      <c r="V34" s="189"/>
      <c r="W34" s="189"/>
      <c r="X34" s="189"/>
      <c r="Y34" s="189"/>
    </row>
    <row r="35" spans="1:25" s="194" customFormat="1" ht="15" customHeight="1" collapsed="1">
      <c r="A35" s="3658">
        <v>10</v>
      </c>
      <c r="B35" s="3565" t="s">
        <v>2304</v>
      </c>
      <c r="C35" s="3671"/>
      <c r="D35" s="3671"/>
      <c r="E35" s="3671"/>
      <c r="F35" s="3671"/>
      <c r="G35" s="3671"/>
      <c r="H35" s="3671"/>
      <c r="I35" s="3671"/>
      <c r="J35" s="3671"/>
      <c r="K35" s="3671"/>
      <c r="L35" s="3671"/>
      <c r="M35" s="3671"/>
      <c r="N35" s="3671"/>
      <c r="O35" s="3671"/>
      <c r="P35" s="3671"/>
      <c r="Q35" s="189" t="s">
        <v>2230</v>
      </c>
      <c r="R35" s="188">
        <v>34</v>
      </c>
      <c r="S35" s="189"/>
      <c r="T35" s="189"/>
      <c r="U35" s="189"/>
      <c r="V35" s="189"/>
      <c r="W35" s="189"/>
      <c r="X35" s="189"/>
      <c r="Y35" s="189"/>
    </row>
    <row r="36" spans="1:25" s="194" customFormat="1" ht="15" customHeight="1" collapsed="1">
      <c r="A36" s="3680">
        <v>11</v>
      </c>
      <c r="B36" s="3565" t="s">
        <v>2305</v>
      </c>
      <c r="C36" s="3671"/>
      <c r="D36" s="3671"/>
      <c r="E36" s="3671"/>
      <c r="F36" s="3671"/>
      <c r="G36" s="3671"/>
      <c r="H36" s="3671"/>
      <c r="I36" s="3671"/>
      <c r="J36" s="3671"/>
      <c r="K36" s="3671"/>
      <c r="L36" s="3671"/>
      <c r="M36" s="3671"/>
      <c r="N36" s="3671"/>
      <c r="O36" s="3671"/>
      <c r="P36" s="3671"/>
      <c r="Q36" s="189" t="s">
        <v>2230</v>
      </c>
      <c r="R36" s="188">
        <v>35</v>
      </c>
      <c r="S36" s="189"/>
      <c r="T36" s="189"/>
      <c r="U36" s="189"/>
      <c r="V36" s="189"/>
      <c r="W36" s="189"/>
      <c r="X36" s="189"/>
      <c r="Y36" s="189"/>
    </row>
    <row r="37" spans="1:25" s="194" customFormat="1" ht="15" customHeight="1" collapsed="1">
      <c r="A37" s="3658">
        <v>12</v>
      </c>
      <c r="B37" s="3565" t="s">
        <v>2306</v>
      </c>
      <c r="C37" s="3671"/>
      <c r="D37" s="3671"/>
      <c r="E37" s="3671"/>
      <c r="F37" s="3671"/>
      <c r="G37" s="3671"/>
      <c r="H37" s="3671"/>
      <c r="I37" s="3671"/>
      <c r="J37" s="3671"/>
      <c r="K37" s="3671"/>
      <c r="L37" s="3671"/>
      <c r="M37" s="3671"/>
      <c r="N37" s="3671"/>
      <c r="O37" s="3671"/>
      <c r="P37" s="3671"/>
      <c r="Q37" s="189" t="s">
        <v>2238</v>
      </c>
      <c r="R37" s="188">
        <v>36</v>
      </c>
      <c r="S37" s="189"/>
      <c r="T37" s="189"/>
      <c r="U37" s="189"/>
      <c r="V37" s="189"/>
      <c r="W37" s="189"/>
      <c r="X37" s="189"/>
      <c r="Y37" s="189"/>
    </row>
    <row r="38" spans="1:25" s="194" customFormat="1" ht="15" customHeight="1" collapsed="1">
      <c r="A38" s="3680">
        <v>13</v>
      </c>
      <c r="B38" s="3565" t="s">
        <v>2307</v>
      </c>
      <c r="C38" s="3671"/>
      <c r="D38" s="3671"/>
      <c r="E38" s="3671"/>
      <c r="F38" s="3671"/>
      <c r="G38" s="3671"/>
      <c r="H38" s="3671"/>
      <c r="I38" s="3671"/>
      <c r="J38" s="3671"/>
      <c r="K38" s="3671"/>
      <c r="L38" s="3671"/>
      <c r="M38" s="3671"/>
      <c r="N38" s="3671"/>
      <c r="O38" s="3671"/>
      <c r="P38" s="3671"/>
      <c r="Q38" s="189" t="s">
        <v>2238</v>
      </c>
      <c r="R38" s="188">
        <v>37</v>
      </c>
      <c r="S38" s="189"/>
      <c r="T38" s="189"/>
      <c r="U38" s="189"/>
      <c r="V38" s="189"/>
      <c r="W38" s="189"/>
      <c r="X38" s="189"/>
      <c r="Y38" s="189"/>
    </row>
    <row r="39" spans="1:25" s="194" customFormat="1" ht="15" customHeight="1">
      <c r="A39" s="3658">
        <v>14</v>
      </c>
      <c r="B39" s="3565" t="s">
        <v>2308</v>
      </c>
      <c r="C39" s="3671"/>
      <c r="D39" s="3671"/>
      <c r="E39" s="3671"/>
      <c r="F39" s="3671"/>
      <c r="G39" s="3671"/>
      <c r="H39" s="3671"/>
      <c r="I39" s="3671"/>
      <c r="J39" s="3671"/>
      <c r="K39" s="3671"/>
      <c r="L39" s="3671"/>
      <c r="M39" s="3671"/>
      <c r="N39" s="3671"/>
      <c r="O39" s="3671"/>
      <c r="P39" s="3671"/>
      <c r="Q39" s="189" t="s">
        <v>2238</v>
      </c>
      <c r="R39" s="188">
        <v>38</v>
      </c>
      <c r="S39" s="189"/>
      <c r="T39" s="189"/>
      <c r="U39" s="189"/>
      <c r="V39" s="189"/>
      <c r="W39" s="189"/>
      <c r="X39" s="189"/>
      <c r="Y39" s="189"/>
    </row>
    <row r="40" spans="1:25" s="194" customFormat="1" ht="15" customHeight="1">
      <c r="A40" s="3658">
        <v>15</v>
      </c>
      <c r="B40" s="3565" t="s">
        <v>2231</v>
      </c>
      <c r="C40" s="3671"/>
      <c r="D40" s="3671"/>
      <c r="E40" s="3671"/>
      <c r="F40" s="3671"/>
      <c r="G40" s="3671"/>
      <c r="H40" s="3671"/>
      <c r="I40" s="3671"/>
      <c r="J40" s="3671"/>
      <c r="K40" s="3671"/>
      <c r="L40" s="3671"/>
      <c r="M40" s="3671"/>
      <c r="N40" s="3673">
        <f>40*$U$4</f>
        <v>960400</v>
      </c>
      <c r="O40" s="3671">
        <f>40*$U$4</f>
        <v>960400</v>
      </c>
      <c r="P40" s="3671">
        <f>O40</f>
        <v>960400</v>
      </c>
      <c r="Q40" s="136" t="s">
        <v>2232</v>
      </c>
      <c r="R40" s="188">
        <v>39</v>
      </c>
      <c r="S40" s="189"/>
      <c r="T40" s="189"/>
      <c r="U40" s="189"/>
      <c r="V40" s="189"/>
      <c r="W40" s="189"/>
      <c r="X40" s="189"/>
      <c r="Y40" s="189"/>
    </row>
    <row r="41" spans="1:25" s="194" customFormat="1" ht="15" customHeight="1">
      <c r="A41" s="3658">
        <v>16</v>
      </c>
      <c r="B41" s="3565" t="s">
        <v>2233</v>
      </c>
      <c r="C41" s="3671"/>
      <c r="D41" s="3671"/>
      <c r="E41" s="3671"/>
      <c r="F41" s="3671"/>
      <c r="G41" s="3671"/>
      <c r="H41" s="3671"/>
      <c r="I41" s="3671"/>
      <c r="J41" s="3671"/>
      <c r="K41" s="3671"/>
      <c r="L41" s="3671"/>
      <c r="M41" s="3671"/>
      <c r="N41" s="3671"/>
      <c r="O41" s="3671">
        <f>O40</f>
        <v>960400</v>
      </c>
      <c r="P41" s="3671">
        <f>O41</f>
        <v>960400</v>
      </c>
      <c r="Q41" s="136" t="s">
        <v>2234</v>
      </c>
      <c r="R41" s="188">
        <v>40</v>
      </c>
      <c r="S41" s="189"/>
      <c r="T41" s="189"/>
      <c r="U41" s="189"/>
      <c r="V41" s="189"/>
      <c r="W41" s="189"/>
      <c r="X41" s="189"/>
      <c r="Y41" s="189"/>
    </row>
    <row r="42" spans="1:25" s="194" customFormat="1" ht="15" customHeight="1">
      <c r="A42" s="3680">
        <v>17</v>
      </c>
      <c r="B42" s="3565" t="s">
        <v>2235</v>
      </c>
      <c r="C42" s="3671"/>
      <c r="D42" s="3671"/>
      <c r="E42" s="3671"/>
      <c r="F42" s="3671"/>
      <c r="G42" s="3671"/>
      <c r="H42" s="3671"/>
      <c r="I42" s="3671"/>
      <c r="J42" s="3671"/>
      <c r="K42" s="3671"/>
      <c r="L42" s="3671"/>
      <c r="M42" s="3671"/>
      <c r="N42" s="3671"/>
      <c r="O42" s="3671">
        <f>O41</f>
        <v>960400</v>
      </c>
      <c r="P42" s="3671">
        <f>O42</f>
        <v>960400</v>
      </c>
      <c r="Q42" s="136" t="s">
        <v>2236</v>
      </c>
      <c r="R42" s="188">
        <v>41</v>
      </c>
      <c r="S42" s="189"/>
      <c r="T42" s="189"/>
      <c r="U42" s="189"/>
      <c r="V42" s="189"/>
      <c r="W42" s="189"/>
      <c r="X42" s="189"/>
      <c r="Y42" s="189"/>
    </row>
    <row r="43" spans="1:25" s="194" customFormat="1" ht="15" customHeight="1">
      <c r="A43" s="3658">
        <v>18</v>
      </c>
      <c r="B43" s="3665" t="s">
        <v>3321</v>
      </c>
      <c r="C43" s="3676">
        <f>180000</f>
        <v>180000</v>
      </c>
      <c r="D43" s="3676">
        <f t="shared" ref="D43:K43" si="1">180000</f>
        <v>180000</v>
      </c>
      <c r="E43" s="3676">
        <f t="shared" si="1"/>
        <v>180000</v>
      </c>
      <c r="F43" s="3676">
        <f t="shared" si="1"/>
        <v>180000</v>
      </c>
      <c r="G43" s="3676">
        <f t="shared" si="1"/>
        <v>180000</v>
      </c>
      <c r="H43" s="3676">
        <f t="shared" si="1"/>
        <v>180000</v>
      </c>
      <c r="I43" s="3676">
        <f t="shared" si="1"/>
        <v>180000</v>
      </c>
      <c r="J43" s="3676">
        <f t="shared" si="1"/>
        <v>180000</v>
      </c>
      <c r="K43" s="3676">
        <f t="shared" si="1"/>
        <v>180000</v>
      </c>
      <c r="L43" s="3676">
        <f>1090000</f>
        <v>1090000</v>
      </c>
      <c r="M43" s="3676">
        <f>1090000</f>
        <v>1090000</v>
      </c>
      <c r="N43" s="3676">
        <f>1090000</f>
        <v>1090000</v>
      </c>
      <c r="O43" s="3676">
        <f>1090000</f>
        <v>1090000</v>
      </c>
      <c r="P43" s="3676">
        <f>1090000</f>
        <v>1090000</v>
      </c>
      <c r="Q43" s="136" t="s">
        <v>2238</v>
      </c>
      <c r="R43" s="188">
        <v>42</v>
      </c>
      <c r="S43" s="189"/>
      <c r="T43" s="189"/>
      <c r="U43" s="189"/>
      <c r="V43" s="189"/>
      <c r="W43" s="189"/>
      <c r="X43" s="189"/>
      <c r="Y43" s="189"/>
    </row>
    <row r="44" spans="1:25" s="194" customFormat="1" ht="15" customHeight="1">
      <c r="A44" s="3680">
        <v>19</v>
      </c>
      <c r="B44" s="3565" t="s">
        <v>2237</v>
      </c>
      <c r="C44" s="3671"/>
      <c r="D44" s="3671"/>
      <c r="E44" s="3671"/>
      <c r="F44" s="3671"/>
      <c r="G44" s="3671"/>
      <c r="H44" s="3671"/>
      <c r="I44" s="3671"/>
      <c r="J44" s="3671"/>
      <c r="K44" s="3671"/>
      <c r="L44" s="3671"/>
      <c r="M44" s="3671"/>
      <c r="N44" s="3671"/>
      <c r="O44" s="3671">
        <f>O42</f>
        <v>960400</v>
      </c>
      <c r="P44" s="3671">
        <f>O44</f>
        <v>960400</v>
      </c>
      <c r="Q44" s="136" t="s">
        <v>2239</v>
      </c>
      <c r="R44" s="188">
        <v>43</v>
      </c>
      <c r="S44" s="189"/>
      <c r="T44" s="189"/>
      <c r="U44" s="189"/>
      <c r="V44" s="189"/>
      <c r="W44" s="189"/>
      <c r="X44" s="189"/>
      <c r="Y44" s="189"/>
    </row>
    <row r="45" spans="1:25" s="194" customFormat="1" ht="15" customHeight="1">
      <c r="A45" s="3658">
        <v>20</v>
      </c>
      <c r="B45" s="3565" t="s">
        <v>677</v>
      </c>
      <c r="C45" s="3681"/>
      <c r="D45" s="3681"/>
      <c r="E45" s="3681"/>
      <c r="F45" s="3681"/>
      <c r="G45" s="3681"/>
      <c r="H45" s="3681"/>
      <c r="I45" s="3681"/>
      <c r="J45" s="3681"/>
      <c r="K45" s="3681"/>
      <c r="L45" s="3681">
        <v>630000</v>
      </c>
      <c r="M45" s="3681">
        <f>L45</f>
        <v>630000</v>
      </c>
      <c r="N45" s="3681">
        <f>M45</f>
        <v>630000</v>
      </c>
      <c r="O45" s="3681">
        <f>N45</f>
        <v>630000</v>
      </c>
      <c r="P45" s="3681">
        <f>O45</f>
        <v>630000</v>
      </c>
      <c r="Q45" s="189" t="s">
        <v>2238</v>
      </c>
      <c r="R45" s="188">
        <v>44</v>
      </c>
      <c r="S45" s="189"/>
      <c r="T45" s="189"/>
      <c r="U45" s="189"/>
      <c r="V45" s="189"/>
      <c r="W45" s="189"/>
      <c r="X45" s="189"/>
      <c r="Y45" s="189"/>
    </row>
    <row r="46" spans="1:25" s="194" customFormat="1" ht="15" customHeight="1">
      <c r="A46" s="2978"/>
      <c r="B46" s="136"/>
      <c r="C46" s="2421"/>
      <c r="D46" s="2421"/>
      <c r="E46" s="2421"/>
      <c r="F46" s="2421"/>
      <c r="G46" s="2421"/>
      <c r="H46" s="2421"/>
      <c r="I46" s="2421"/>
      <c r="J46" s="2421"/>
      <c r="K46" s="2421"/>
      <c r="L46" s="2422"/>
      <c r="M46" s="2421"/>
      <c r="N46" s="3316"/>
      <c r="O46" s="2421"/>
      <c r="Q46" s="189"/>
      <c r="R46" s="188">
        <v>45</v>
      </c>
      <c r="S46" s="189"/>
      <c r="T46" s="189"/>
      <c r="U46" s="189"/>
      <c r="V46" s="189"/>
      <c r="W46" s="189"/>
      <c r="X46" s="189"/>
      <c r="Y46" s="189"/>
    </row>
    <row r="47" spans="1:25" s="194" customFormat="1" ht="12.75" collapsed="1">
      <c r="A47" s="320"/>
      <c r="B47" s="136"/>
      <c r="Q47" s="189"/>
      <c r="R47" s="188">
        <v>46</v>
      </c>
      <c r="S47" s="189"/>
      <c r="T47" s="189"/>
      <c r="U47" s="189"/>
      <c r="V47" s="189"/>
      <c r="W47" s="189"/>
      <c r="X47" s="189"/>
      <c r="Y47" s="189"/>
    </row>
    <row r="48" spans="1:25" s="194" customFormat="1" ht="18" collapsed="1">
      <c r="A48" s="320"/>
      <c r="B48" s="136"/>
      <c r="C48" s="3682"/>
      <c r="D48" s="3678"/>
      <c r="E48" s="3678"/>
      <c r="F48" s="3678"/>
      <c r="G48" s="3678"/>
      <c r="H48" s="3678"/>
      <c r="I48" s="3678" t="s">
        <v>680</v>
      </c>
      <c r="J48" s="3678"/>
      <c r="K48" s="3678"/>
      <c r="L48" s="3678"/>
      <c r="M48" s="3678"/>
      <c r="N48" s="3678"/>
      <c r="O48" s="3678"/>
      <c r="P48" s="3679"/>
      <c r="Q48" s="189"/>
      <c r="R48" s="188">
        <v>47</v>
      </c>
      <c r="S48" s="189"/>
      <c r="T48" s="189"/>
      <c r="U48" s="189"/>
      <c r="V48" s="189"/>
      <c r="W48" s="189"/>
      <c r="X48" s="189"/>
      <c r="Y48" s="189"/>
    </row>
    <row r="49" spans="1:25" s="194" customFormat="1" ht="15" customHeight="1" collapsed="1">
      <c r="A49" s="3680">
        <v>1</v>
      </c>
      <c r="B49" s="3565" t="s">
        <v>569</v>
      </c>
      <c r="C49" s="3670"/>
      <c r="D49" s="3670"/>
      <c r="E49" s="3670"/>
      <c r="F49" s="3670"/>
      <c r="G49" s="3670"/>
      <c r="H49" s="3670"/>
      <c r="I49" s="3670"/>
      <c r="J49" s="3670"/>
      <c r="K49" s="3670"/>
      <c r="L49" s="3670"/>
      <c r="M49" s="3670"/>
      <c r="N49" s="3670"/>
      <c r="O49" s="3670"/>
      <c r="P49" s="3670"/>
      <c r="Q49" s="189" t="s">
        <v>2229</v>
      </c>
      <c r="R49" s="188">
        <v>48</v>
      </c>
      <c r="S49" s="189"/>
      <c r="T49" s="189"/>
      <c r="U49" s="189"/>
      <c r="V49" s="189"/>
      <c r="W49" s="189"/>
      <c r="X49" s="189"/>
      <c r="Y49" s="189"/>
    </row>
    <row r="50" spans="1:25" s="194" customFormat="1" ht="15" customHeight="1" collapsed="1">
      <c r="A50" s="3658">
        <v>2</v>
      </c>
      <c r="B50" s="3565" t="s">
        <v>312</v>
      </c>
      <c r="C50" s="3668">
        <v>500000</v>
      </c>
      <c r="D50" s="3668">
        <v>500000</v>
      </c>
      <c r="E50" s="3668">
        <v>500000</v>
      </c>
      <c r="F50" s="3668">
        <v>500000</v>
      </c>
      <c r="G50" s="3668">
        <v>500000</v>
      </c>
      <c r="H50" s="3668">
        <v>500000</v>
      </c>
      <c r="I50" s="3668">
        <v>500000</v>
      </c>
      <c r="J50" s="3668">
        <v>500000</v>
      </c>
      <c r="K50" s="3668">
        <v>500000</v>
      </c>
      <c r="L50" s="3668">
        <v>500000</v>
      </c>
      <c r="M50" s="3668">
        <v>500000</v>
      </c>
      <c r="N50" s="3668">
        <v>500000</v>
      </c>
      <c r="O50" s="3668">
        <v>500000</v>
      </c>
      <c r="P50" s="3671">
        <v>500000</v>
      </c>
      <c r="Q50" s="189" t="s">
        <v>2229</v>
      </c>
      <c r="R50" s="188">
        <v>49</v>
      </c>
      <c r="S50" s="189"/>
      <c r="T50" s="189"/>
      <c r="U50" s="189"/>
      <c r="V50" s="189"/>
      <c r="W50" s="189"/>
      <c r="X50" s="189"/>
      <c r="Y50" s="189"/>
    </row>
    <row r="51" spans="1:25" s="194" customFormat="1" ht="15" customHeight="1" collapsed="1">
      <c r="A51" s="3658">
        <v>3</v>
      </c>
      <c r="B51" s="3565" t="s">
        <v>311</v>
      </c>
      <c r="C51" s="3668">
        <v>20000</v>
      </c>
      <c r="D51" s="3668">
        <v>20000</v>
      </c>
      <c r="E51" s="3668">
        <v>20000</v>
      </c>
      <c r="F51" s="3668">
        <v>20000</v>
      </c>
      <c r="G51" s="3668">
        <v>20000</v>
      </c>
      <c r="H51" s="3668">
        <v>20000</v>
      </c>
      <c r="I51" s="3668">
        <v>20000</v>
      </c>
      <c r="J51" s="3668">
        <v>20000</v>
      </c>
      <c r="K51" s="3668">
        <v>20000</v>
      </c>
      <c r="L51" s="3668">
        <v>20000</v>
      </c>
      <c r="M51" s="3668">
        <v>20000</v>
      </c>
      <c r="N51" s="3668">
        <v>20000</v>
      </c>
      <c r="O51" s="3668">
        <v>20000</v>
      </c>
      <c r="P51" s="3671">
        <v>20000</v>
      </c>
      <c r="Q51" s="189" t="s">
        <v>2229</v>
      </c>
      <c r="R51" s="188">
        <v>50</v>
      </c>
      <c r="S51" s="189"/>
      <c r="T51" s="189"/>
      <c r="U51" s="189"/>
      <c r="V51" s="189"/>
      <c r="W51" s="189"/>
      <c r="X51" s="189"/>
      <c r="Y51" s="189"/>
    </row>
    <row r="52" spans="1:25" s="194" customFormat="1" ht="15" customHeight="1" collapsed="1">
      <c r="A52" s="3680">
        <v>4</v>
      </c>
      <c r="B52" s="3565" t="s">
        <v>568</v>
      </c>
      <c r="C52" s="3668">
        <v>150000</v>
      </c>
      <c r="D52" s="3668">
        <v>150000</v>
      </c>
      <c r="E52" s="3668">
        <v>150000</v>
      </c>
      <c r="F52" s="3668">
        <v>150000</v>
      </c>
      <c r="G52" s="3668">
        <v>150000</v>
      </c>
      <c r="H52" s="3668">
        <v>150000</v>
      </c>
      <c r="I52" s="3668">
        <v>150000</v>
      </c>
      <c r="J52" s="3668">
        <v>150000</v>
      </c>
      <c r="K52" s="3668">
        <v>150000</v>
      </c>
      <c r="L52" s="3668">
        <v>150000</v>
      </c>
      <c r="M52" s="3668">
        <v>150000</v>
      </c>
      <c r="N52" s="3668">
        <v>150000</v>
      </c>
      <c r="O52" s="3668">
        <v>150000</v>
      </c>
      <c r="P52" s="3671">
        <v>150000</v>
      </c>
      <c r="Q52" s="189" t="s">
        <v>2229</v>
      </c>
      <c r="R52" s="188">
        <v>51</v>
      </c>
      <c r="S52" s="189"/>
      <c r="T52" s="189"/>
      <c r="U52" s="189"/>
      <c r="V52" s="189"/>
      <c r="W52" s="189"/>
      <c r="X52" s="189"/>
      <c r="Y52" s="189"/>
    </row>
    <row r="53" spans="1:25" s="194" customFormat="1" ht="15" customHeight="1" collapsed="1">
      <c r="A53" s="3680">
        <v>5</v>
      </c>
      <c r="B53" s="3565" t="s">
        <v>2299</v>
      </c>
      <c r="C53" s="3683"/>
      <c r="D53" s="3684"/>
      <c r="E53" s="3684"/>
      <c r="F53" s="3684"/>
      <c r="G53" s="3684"/>
      <c r="H53" s="3684"/>
      <c r="I53" s="3684"/>
      <c r="J53" s="3684"/>
      <c r="K53" s="3684"/>
      <c r="L53" s="3684"/>
      <c r="M53" s="3684"/>
      <c r="N53" s="3684"/>
      <c r="O53" s="3685"/>
      <c r="P53" s="3671"/>
      <c r="Q53" s="189" t="s">
        <v>2229</v>
      </c>
      <c r="R53" s="188">
        <v>52</v>
      </c>
      <c r="S53" s="189"/>
      <c r="T53" s="189"/>
      <c r="U53" s="189"/>
      <c r="V53" s="189"/>
      <c r="W53" s="189"/>
      <c r="X53" s="189"/>
      <c r="Y53" s="189"/>
    </row>
    <row r="54" spans="1:25" s="194" customFormat="1" ht="15" customHeight="1">
      <c r="A54" s="3658">
        <v>6</v>
      </c>
      <c r="B54" s="3565" t="s">
        <v>2300</v>
      </c>
      <c r="C54" s="3671">
        <f>350*$U$4</f>
        <v>8403500</v>
      </c>
      <c r="D54" s="3672">
        <f>IF($D$2="CRAYOLA CHINA",370,350)*$U$4</f>
        <v>8403500</v>
      </c>
      <c r="E54" s="3671">
        <f>385*$U$4</f>
        <v>9243850</v>
      </c>
      <c r="F54" s="3671">
        <f>400*$U$4</f>
        <v>9604000</v>
      </c>
      <c r="G54" s="3671">
        <f>370*$U$4</f>
        <v>8883700</v>
      </c>
      <c r="H54" s="3671">
        <f>370*$U$4</f>
        <v>8883700</v>
      </c>
      <c r="I54" s="3671">
        <f>370*$U$4</f>
        <v>8883700</v>
      </c>
      <c r="J54" s="3671">
        <f>400*$U$4</f>
        <v>9604000</v>
      </c>
      <c r="K54" s="3671">
        <f>400*$U$4</f>
        <v>9604000</v>
      </c>
      <c r="L54" s="3671">
        <f>350*$U$4</f>
        <v>8403500</v>
      </c>
      <c r="M54" s="3671">
        <f>440*$U$4</f>
        <v>10564400</v>
      </c>
      <c r="N54" s="3673">
        <f>(392*$U$4)</f>
        <v>9411920</v>
      </c>
      <c r="O54" s="3674">
        <f>(200)*$U$4</f>
        <v>4802000</v>
      </c>
      <c r="P54" s="3671">
        <f>370*$U$4</f>
        <v>8883700</v>
      </c>
      <c r="Q54" s="189" t="s">
        <v>2238</v>
      </c>
      <c r="R54" s="188">
        <v>53</v>
      </c>
      <c r="S54" s="189"/>
      <c r="T54" s="189"/>
      <c r="U54" s="189"/>
      <c r="V54" s="189"/>
      <c r="W54" s="189"/>
      <c r="X54" s="189"/>
      <c r="Y54" s="189"/>
    </row>
    <row r="55" spans="1:25" s="194" customFormat="1" ht="15" customHeight="1">
      <c r="A55" s="3658">
        <v>7</v>
      </c>
      <c r="B55" s="3565" t="s">
        <v>2309</v>
      </c>
      <c r="C55" s="3671">
        <f>40*$U$4</f>
        <v>960400</v>
      </c>
      <c r="D55" s="3672">
        <f>IF($D$2="CRAYOLA CHINA",40,70)*$U$4</f>
        <v>1680700</v>
      </c>
      <c r="E55" s="3671">
        <f>40*$U$4</f>
        <v>960400</v>
      </c>
      <c r="F55" s="3671">
        <f>(40)*$U$4</f>
        <v>960400</v>
      </c>
      <c r="G55" s="3671">
        <f>40*$U$4</f>
        <v>960400</v>
      </c>
      <c r="H55" s="3671">
        <f>40*$U$4</f>
        <v>960400</v>
      </c>
      <c r="I55" s="3671">
        <f>40*$U$4</f>
        <v>960400</v>
      </c>
      <c r="J55" s="3671">
        <f>40*$U$4</f>
        <v>960400</v>
      </c>
      <c r="K55" s="3671">
        <f>(40)*$U$4</f>
        <v>960400</v>
      </c>
      <c r="L55" s="3671">
        <f>40*$U$4</f>
        <v>960400</v>
      </c>
      <c r="M55" s="3671">
        <f>40*$U$4</f>
        <v>960400</v>
      </c>
      <c r="N55" s="3673">
        <f>40*$U$4</f>
        <v>960400</v>
      </c>
      <c r="O55" s="3674">
        <f>115*$U$4</f>
        <v>2761150</v>
      </c>
      <c r="P55" s="3671">
        <f>40*$U$4</f>
        <v>960400</v>
      </c>
      <c r="Q55" s="136" t="s">
        <v>2229</v>
      </c>
      <c r="R55" s="188">
        <v>54</v>
      </c>
      <c r="S55" s="189"/>
      <c r="T55" s="189"/>
      <c r="U55" s="189"/>
      <c r="V55" s="189"/>
      <c r="W55" s="189"/>
      <c r="X55" s="189"/>
      <c r="Y55" s="189"/>
    </row>
    <row r="56" spans="1:25" s="194" customFormat="1" ht="15" customHeight="1" collapsed="1">
      <c r="A56" s="3658">
        <v>8</v>
      </c>
      <c r="B56" s="3565" t="s">
        <v>2302</v>
      </c>
      <c r="C56" s="3671"/>
      <c r="D56" s="3671"/>
      <c r="E56" s="3671"/>
      <c r="F56" s="3671"/>
      <c r="G56" s="3671"/>
      <c r="H56" s="3671"/>
      <c r="I56" s="3671"/>
      <c r="J56" s="3671"/>
      <c r="K56" s="3671"/>
      <c r="L56" s="3671"/>
      <c r="M56" s="3671"/>
      <c r="N56" s="3671"/>
      <c r="O56" s="3671"/>
      <c r="P56" s="3671"/>
      <c r="Q56" s="136" t="s">
        <v>2229</v>
      </c>
      <c r="R56" s="188">
        <v>55</v>
      </c>
      <c r="S56" s="189"/>
      <c r="T56" s="189"/>
      <c r="U56" s="189"/>
      <c r="V56" s="189"/>
      <c r="W56" s="189"/>
      <c r="X56" s="189"/>
      <c r="Y56" s="189"/>
    </row>
    <row r="57" spans="1:25" s="194" customFormat="1" ht="15" customHeight="1" collapsed="1">
      <c r="A57" s="3658">
        <v>9</v>
      </c>
      <c r="B57" s="3565" t="s">
        <v>2303</v>
      </c>
      <c r="C57" s="3671"/>
      <c r="D57" s="3671"/>
      <c r="E57" s="3671"/>
      <c r="F57" s="3671"/>
      <c r="G57" s="3671"/>
      <c r="H57" s="3671"/>
      <c r="I57" s="3671"/>
      <c r="J57" s="3671"/>
      <c r="K57" s="3671"/>
      <c r="L57" s="3671"/>
      <c r="M57" s="3671"/>
      <c r="N57" s="3671"/>
      <c r="O57" s="3671"/>
      <c r="P57" s="3671"/>
      <c r="Q57" s="189" t="s">
        <v>2238</v>
      </c>
      <c r="R57" s="188">
        <v>56</v>
      </c>
      <c r="S57" s="189"/>
      <c r="T57" s="189"/>
      <c r="U57" s="189"/>
      <c r="V57" s="189"/>
      <c r="W57" s="189"/>
      <c r="X57" s="189"/>
      <c r="Y57" s="189"/>
    </row>
    <row r="58" spans="1:25" s="194" customFormat="1" ht="15" customHeight="1">
      <c r="A58" s="3680">
        <v>10</v>
      </c>
      <c r="B58" s="3565" t="s">
        <v>2304</v>
      </c>
      <c r="C58" s="3671"/>
      <c r="D58" s="3671"/>
      <c r="E58" s="3671"/>
      <c r="F58" s="3671"/>
      <c r="G58" s="3671"/>
      <c r="H58" s="3671"/>
      <c r="I58" s="3671"/>
      <c r="J58" s="3671"/>
      <c r="K58" s="3671"/>
      <c r="L58" s="3671"/>
      <c r="M58" s="3671"/>
      <c r="N58" s="3671"/>
      <c r="O58" s="3671"/>
      <c r="P58" s="3671"/>
      <c r="Q58" s="189" t="s">
        <v>2230</v>
      </c>
      <c r="R58" s="188">
        <v>57</v>
      </c>
      <c r="S58" s="189"/>
      <c r="T58" s="189"/>
      <c r="U58" s="189"/>
      <c r="V58" s="189"/>
      <c r="W58" s="189"/>
      <c r="X58" s="189"/>
      <c r="Y58" s="189"/>
    </row>
    <row r="59" spans="1:25" s="136" customFormat="1" ht="15" customHeight="1">
      <c r="A59" s="3680">
        <v>11</v>
      </c>
      <c r="B59" s="3565" t="s">
        <v>2305</v>
      </c>
      <c r="C59" s="3671"/>
      <c r="D59" s="3671"/>
      <c r="E59" s="3671"/>
      <c r="F59" s="3671"/>
      <c r="G59" s="3671"/>
      <c r="H59" s="3671"/>
      <c r="I59" s="3671"/>
      <c r="J59" s="3671"/>
      <c r="K59" s="3671"/>
      <c r="L59" s="3671"/>
      <c r="M59" s="3671"/>
      <c r="N59" s="3671"/>
      <c r="O59" s="3671"/>
      <c r="P59" s="3671"/>
      <c r="Q59" s="189" t="s">
        <v>2230</v>
      </c>
      <c r="R59" s="188">
        <v>58</v>
      </c>
      <c r="S59" s="189"/>
      <c r="T59" s="189"/>
      <c r="U59" s="189"/>
      <c r="V59" s="189"/>
      <c r="W59" s="189"/>
      <c r="X59" s="189"/>
      <c r="Y59" s="189"/>
    </row>
    <row r="60" spans="1:25" s="194" customFormat="1" ht="15" customHeight="1">
      <c r="A60" s="3658">
        <v>12</v>
      </c>
      <c r="B60" s="3565" t="s">
        <v>2310</v>
      </c>
      <c r="C60" s="3671"/>
      <c r="D60" s="3671"/>
      <c r="E60" s="3671"/>
      <c r="F60" s="3671"/>
      <c r="G60" s="3671"/>
      <c r="H60" s="3671"/>
      <c r="I60" s="3671"/>
      <c r="J60" s="3671"/>
      <c r="K60" s="3671"/>
      <c r="L60" s="3671"/>
      <c r="M60" s="3671"/>
      <c r="N60" s="3671"/>
      <c r="O60" s="3671"/>
      <c r="P60" s="3671"/>
      <c r="Q60" s="189" t="s">
        <v>2238</v>
      </c>
      <c r="R60" s="188">
        <v>59</v>
      </c>
      <c r="S60" s="189"/>
      <c r="T60" s="189"/>
      <c r="U60" s="189"/>
      <c r="V60" s="189"/>
      <c r="W60" s="189"/>
      <c r="X60" s="189"/>
      <c r="Y60" s="189"/>
    </row>
    <row r="61" spans="1:25" s="194" customFormat="1" ht="15" customHeight="1">
      <c r="A61" s="3658">
        <v>13</v>
      </c>
      <c r="B61" s="3565" t="s">
        <v>2307</v>
      </c>
      <c r="C61" s="3671"/>
      <c r="D61" s="3671"/>
      <c r="E61" s="3671"/>
      <c r="F61" s="3671"/>
      <c r="G61" s="3671"/>
      <c r="H61" s="3671"/>
      <c r="I61" s="3671"/>
      <c r="J61" s="3671"/>
      <c r="K61" s="3671"/>
      <c r="L61" s="3671"/>
      <c r="M61" s="3671"/>
      <c r="N61" s="3671"/>
      <c r="O61" s="3671"/>
      <c r="P61" s="3671"/>
      <c r="Q61" s="189" t="s">
        <v>2238</v>
      </c>
      <c r="R61" s="188">
        <v>60</v>
      </c>
      <c r="S61" s="189"/>
      <c r="T61" s="189"/>
      <c r="U61" s="189"/>
      <c r="V61" s="189"/>
      <c r="W61" s="189"/>
      <c r="X61" s="189"/>
      <c r="Y61" s="189"/>
    </row>
    <row r="62" spans="1:25" s="194" customFormat="1" ht="12.75">
      <c r="A62" s="3658">
        <v>14</v>
      </c>
      <c r="B62" s="3565" t="s">
        <v>2308</v>
      </c>
      <c r="C62" s="3671"/>
      <c r="D62" s="3671"/>
      <c r="E62" s="3671"/>
      <c r="F62" s="3671"/>
      <c r="G62" s="3671"/>
      <c r="H62" s="3671"/>
      <c r="I62" s="3671"/>
      <c r="J62" s="3671"/>
      <c r="K62" s="3671"/>
      <c r="L62" s="3671"/>
      <c r="M62" s="3671"/>
      <c r="N62" s="3671"/>
      <c r="O62" s="3671"/>
      <c r="P62" s="3671"/>
      <c r="Q62" s="189" t="s">
        <v>2238</v>
      </c>
      <c r="R62" s="188">
        <v>61</v>
      </c>
      <c r="S62" s="189"/>
      <c r="T62" s="189"/>
      <c r="U62" s="189"/>
      <c r="V62" s="189"/>
      <c r="W62" s="189"/>
      <c r="X62" s="189"/>
      <c r="Y62" s="189"/>
    </row>
    <row r="63" spans="1:25" s="194" customFormat="1" ht="12.75">
      <c r="A63" s="3658">
        <v>15</v>
      </c>
      <c r="B63" s="3565" t="s">
        <v>2231</v>
      </c>
      <c r="C63" s="3681"/>
      <c r="D63" s="3681"/>
      <c r="E63" s="3681"/>
      <c r="F63" s="3681"/>
      <c r="G63" s="3681"/>
      <c r="H63" s="3681"/>
      <c r="I63" s="3681"/>
      <c r="J63" s="3681"/>
      <c r="K63" s="3681"/>
      <c r="L63" s="3681"/>
      <c r="M63" s="3681"/>
      <c r="N63" s="3673">
        <f>40*$U$4</f>
        <v>960400</v>
      </c>
      <c r="O63" s="3671">
        <f>40*$U$4</f>
        <v>960400</v>
      </c>
      <c r="P63" s="3671">
        <f>40*$U$4</f>
        <v>960400</v>
      </c>
      <c r="Q63" s="136" t="s">
        <v>2232</v>
      </c>
      <c r="R63" s="188">
        <v>62</v>
      </c>
      <c r="S63" s="189"/>
      <c r="T63" s="189"/>
      <c r="U63" s="189"/>
      <c r="V63" s="189"/>
      <c r="W63" s="189"/>
      <c r="X63" s="189"/>
      <c r="Y63" s="189"/>
    </row>
    <row r="64" spans="1:25" s="194" customFormat="1" ht="12.75">
      <c r="A64" s="3680">
        <v>16</v>
      </c>
      <c r="B64" s="3565" t="s">
        <v>2233</v>
      </c>
      <c r="C64" s="3681"/>
      <c r="D64" s="3681"/>
      <c r="E64" s="3681"/>
      <c r="F64" s="3681"/>
      <c r="G64" s="3681"/>
      <c r="H64" s="3681"/>
      <c r="I64" s="3681"/>
      <c r="J64" s="3681"/>
      <c r="K64" s="3681"/>
      <c r="L64" s="3681"/>
      <c r="M64" s="3681"/>
      <c r="N64" s="3681"/>
      <c r="O64" s="3671">
        <f>O63</f>
        <v>960400</v>
      </c>
      <c r="P64" s="3671">
        <f>40*$U$4</f>
        <v>960400</v>
      </c>
      <c r="Q64" s="136" t="s">
        <v>2234</v>
      </c>
      <c r="R64" s="188">
        <v>63</v>
      </c>
      <c r="S64" s="189"/>
      <c r="T64" s="189"/>
      <c r="U64" s="189"/>
      <c r="V64" s="189"/>
      <c r="W64" s="189"/>
      <c r="X64" s="189"/>
      <c r="Y64" s="189"/>
    </row>
    <row r="65" spans="1:25" s="194" customFormat="1" ht="12.75">
      <c r="A65" s="3680">
        <v>17</v>
      </c>
      <c r="B65" s="3565" t="s">
        <v>2235</v>
      </c>
      <c r="C65" s="3681"/>
      <c r="D65" s="3681"/>
      <c r="E65" s="3681"/>
      <c r="F65" s="3681"/>
      <c r="G65" s="3681"/>
      <c r="H65" s="3681"/>
      <c r="I65" s="3681"/>
      <c r="J65" s="3681"/>
      <c r="K65" s="3681"/>
      <c r="L65" s="3681"/>
      <c r="M65" s="3681"/>
      <c r="N65" s="3681"/>
      <c r="O65" s="3671">
        <f>O64</f>
        <v>960400</v>
      </c>
      <c r="P65" s="3671">
        <f>40*$U$4</f>
        <v>960400</v>
      </c>
      <c r="Q65" s="136" t="s">
        <v>2236</v>
      </c>
      <c r="R65" s="188">
        <v>64</v>
      </c>
      <c r="S65" s="189"/>
      <c r="T65" s="189"/>
      <c r="U65" s="189"/>
      <c r="V65" s="189"/>
      <c r="W65" s="189"/>
      <c r="X65" s="189"/>
      <c r="Y65" s="189"/>
    </row>
    <row r="66" spans="1:25" s="194" customFormat="1" ht="13.5">
      <c r="A66" s="3658">
        <v>18</v>
      </c>
      <c r="B66" s="3665" t="s">
        <v>3321</v>
      </c>
      <c r="C66" s="3676">
        <v>180000</v>
      </c>
      <c r="D66" s="3676">
        <v>180000</v>
      </c>
      <c r="E66" s="3676">
        <v>180000</v>
      </c>
      <c r="F66" s="3676">
        <v>180000</v>
      </c>
      <c r="G66" s="3676">
        <v>180000</v>
      </c>
      <c r="H66" s="3676">
        <v>180000</v>
      </c>
      <c r="I66" s="3676">
        <v>180000</v>
      </c>
      <c r="J66" s="3676">
        <v>180000</v>
      </c>
      <c r="K66" s="3676">
        <v>180000</v>
      </c>
      <c r="L66" s="3676">
        <f>1090000</f>
        <v>1090000</v>
      </c>
      <c r="M66" s="3676">
        <f>1090000</f>
        <v>1090000</v>
      </c>
      <c r="N66" s="3676">
        <f>1090000</f>
        <v>1090000</v>
      </c>
      <c r="O66" s="3676">
        <f>1090000</f>
        <v>1090000</v>
      </c>
      <c r="P66" s="3676">
        <f>1090000</f>
        <v>1090000</v>
      </c>
      <c r="Q66" s="136" t="s">
        <v>2238</v>
      </c>
      <c r="R66" s="188">
        <v>65</v>
      </c>
      <c r="S66" s="189"/>
      <c r="T66" s="189"/>
      <c r="U66" s="189"/>
      <c r="V66" s="189"/>
      <c r="W66" s="189"/>
      <c r="X66" s="189"/>
      <c r="Y66" s="189"/>
    </row>
    <row r="67" spans="1:25" s="194" customFormat="1" ht="12.75">
      <c r="A67" s="3658">
        <v>19</v>
      </c>
      <c r="B67" s="3565" t="s">
        <v>2237</v>
      </c>
      <c r="C67" s="3681"/>
      <c r="D67" s="3681"/>
      <c r="E67" s="3681"/>
      <c r="F67" s="3681"/>
      <c r="G67" s="3681"/>
      <c r="H67" s="3681"/>
      <c r="I67" s="3681"/>
      <c r="J67" s="3681"/>
      <c r="K67" s="3681"/>
      <c r="L67" s="3681"/>
      <c r="M67" s="3681"/>
      <c r="N67" s="3681"/>
      <c r="O67" s="3671">
        <f>O65</f>
        <v>960400</v>
      </c>
      <c r="P67" s="3671">
        <f>40*$U$4</f>
        <v>960400</v>
      </c>
      <c r="Q67" s="136" t="s">
        <v>2239</v>
      </c>
      <c r="R67" s="188">
        <v>66</v>
      </c>
      <c r="S67" s="189"/>
      <c r="T67" s="189"/>
      <c r="U67" s="189"/>
      <c r="V67" s="189"/>
      <c r="W67" s="189"/>
      <c r="X67" s="189"/>
      <c r="Y67" s="189"/>
    </row>
    <row r="68" spans="1:25" s="194" customFormat="1" ht="12.75">
      <c r="A68" s="3658">
        <v>20</v>
      </c>
      <c r="B68" s="3565" t="s">
        <v>677</v>
      </c>
      <c r="C68" s="3681"/>
      <c r="D68" s="3681"/>
      <c r="E68" s="3681"/>
      <c r="F68" s="3681"/>
      <c r="G68" s="3681"/>
      <c r="H68" s="3681"/>
      <c r="I68" s="3681"/>
      <c r="J68" s="3681"/>
      <c r="K68" s="3681"/>
      <c r="L68" s="3681">
        <v>1170000</v>
      </c>
      <c r="M68" s="3681">
        <f>L68</f>
        <v>1170000</v>
      </c>
      <c r="N68" s="3681">
        <f>M68</f>
        <v>1170000</v>
      </c>
      <c r="O68" s="3681">
        <f>N68</f>
        <v>1170000</v>
      </c>
      <c r="P68" s="3681">
        <f>O68</f>
        <v>1170000</v>
      </c>
      <c r="Q68" s="189" t="s">
        <v>2238</v>
      </c>
      <c r="R68" s="188">
        <v>67</v>
      </c>
      <c r="S68" s="189"/>
      <c r="T68" s="189"/>
      <c r="U68" s="189"/>
      <c r="V68" s="189"/>
      <c r="W68" s="189"/>
      <c r="X68" s="189"/>
      <c r="Y68" s="189"/>
    </row>
    <row r="69" spans="1:25" s="194" customFormat="1" ht="12.75">
      <c r="A69" s="320"/>
      <c r="B69" s="136"/>
      <c r="P69" s="189"/>
      <c r="Q69" s="189"/>
      <c r="R69" s="189"/>
      <c r="S69" s="189"/>
      <c r="T69" s="189"/>
      <c r="U69" s="189"/>
      <c r="V69" s="189"/>
      <c r="W69" s="189"/>
      <c r="X69" s="189"/>
    </row>
    <row r="70" spans="1:25" s="194" customFormat="1" ht="12.75">
      <c r="A70" s="320"/>
      <c r="B70" s="136"/>
      <c r="P70" s="189"/>
      <c r="Q70" s="189"/>
      <c r="R70" s="189"/>
      <c r="S70" s="189"/>
      <c r="T70" s="189"/>
      <c r="U70" s="189"/>
      <c r="V70" s="189"/>
      <c r="W70" s="189"/>
      <c r="X70" s="189"/>
    </row>
    <row r="71" spans="1:25" s="136" customFormat="1" ht="12.75">
      <c r="A71" s="320"/>
      <c r="C71" s="194"/>
      <c r="D71" s="194"/>
      <c r="E71" s="194"/>
      <c r="F71" s="194"/>
      <c r="G71" s="194"/>
      <c r="H71" s="194"/>
      <c r="I71" s="194"/>
      <c r="J71" s="194"/>
      <c r="K71" s="194"/>
      <c r="L71" s="194"/>
      <c r="M71" s="194"/>
      <c r="N71" s="194"/>
      <c r="O71" s="194"/>
      <c r="P71" s="189"/>
      <c r="Q71" s="189"/>
      <c r="R71" s="189"/>
      <c r="S71" s="189"/>
      <c r="T71" s="189"/>
      <c r="U71" s="189"/>
      <c r="V71" s="189"/>
      <c r="W71" s="189"/>
      <c r="X71" s="189"/>
    </row>
    <row r="72" spans="1:25" s="136" customFormat="1" ht="12.75">
      <c r="A72" s="320"/>
      <c r="C72" s="194"/>
      <c r="D72" s="194"/>
      <c r="E72" s="194"/>
      <c r="F72" s="194"/>
      <c r="G72" s="194"/>
      <c r="H72" s="194"/>
      <c r="I72" s="194"/>
      <c r="J72" s="194"/>
      <c r="K72" s="194"/>
      <c r="L72" s="194"/>
      <c r="M72" s="194"/>
      <c r="N72" s="194"/>
      <c r="O72" s="194"/>
      <c r="P72" s="189"/>
      <c r="Q72" s="189"/>
      <c r="R72" s="189"/>
      <c r="S72" s="189"/>
      <c r="T72" s="189"/>
      <c r="U72" s="189"/>
      <c r="V72" s="189"/>
      <c r="W72" s="189"/>
      <c r="X72" s="189"/>
    </row>
    <row r="73" spans="1:25" s="136" customFormat="1" ht="12.75">
      <c r="A73" s="320"/>
      <c r="C73" s="194"/>
      <c r="D73" s="194"/>
      <c r="E73" s="194"/>
      <c r="F73" s="194"/>
      <c r="G73" s="194"/>
      <c r="H73" s="194"/>
      <c r="I73" s="194"/>
      <c r="J73" s="194"/>
      <c r="K73" s="194"/>
      <c r="L73" s="194"/>
      <c r="M73" s="194"/>
      <c r="N73" s="194"/>
      <c r="O73" s="194"/>
      <c r="P73" s="189"/>
      <c r="Q73" s="189"/>
      <c r="R73" s="189"/>
      <c r="S73" s="189"/>
      <c r="T73" s="189"/>
      <c r="U73" s="189"/>
      <c r="V73" s="189"/>
      <c r="W73" s="189"/>
      <c r="X73" s="189"/>
    </row>
    <row r="74" spans="1:25" s="136" customFormat="1" ht="12.75">
      <c r="A74" s="320"/>
      <c r="C74" s="194"/>
      <c r="D74" s="194"/>
      <c r="E74" s="194"/>
      <c r="F74" s="194"/>
      <c r="G74" s="194"/>
      <c r="H74" s="194"/>
      <c r="I74" s="194"/>
      <c r="J74" s="194"/>
      <c r="K74" s="194"/>
      <c r="L74" s="194"/>
      <c r="M74" s="194"/>
      <c r="N74" s="194"/>
      <c r="O74" s="194"/>
      <c r="P74" s="189"/>
      <c r="Q74" s="189"/>
      <c r="R74" s="189"/>
      <c r="S74" s="189"/>
      <c r="T74" s="189"/>
      <c r="U74" s="189"/>
      <c r="V74" s="189"/>
      <c r="W74" s="189"/>
      <c r="X74" s="189"/>
    </row>
    <row r="75" spans="1:25" s="136" customFormat="1" ht="14.25">
      <c r="A75" s="320"/>
      <c r="B75" s="3687" t="s">
        <v>1338</v>
      </c>
      <c r="C75" s="3207" t="s">
        <v>3659</v>
      </c>
      <c r="D75" s="1431"/>
      <c r="E75" s="1431"/>
      <c r="F75" s="1431"/>
      <c r="G75" s="1379"/>
      <c r="H75" s="1379"/>
      <c r="J75" s="194"/>
      <c r="K75" s="791"/>
      <c r="L75" s="791"/>
      <c r="M75" s="791"/>
      <c r="N75" s="791"/>
      <c r="O75" s="791"/>
      <c r="P75" s="791"/>
      <c r="Q75" s="791"/>
      <c r="R75" s="189"/>
      <c r="S75" s="189"/>
      <c r="T75" s="189"/>
      <c r="U75" s="189"/>
      <c r="V75" s="189"/>
      <c r="W75" s="189"/>
      <c r="X75" s="189"/>
    </row>
    <row r="76" spans="1:25" s="136" customFormat="1" ht="14.25">
      <c r="A76" s="320"/>
      <c r="B76" s="3688"/>
      <c r="C76" s="3689" t="s">
        <v>2053</v>
      </c>
      <c r="D76" s="3689" t="s">
        <v>565</v>
      </c>
      <c r="E76" s="3689" t="s">
        <v>3360</v>
      </c>
      <c r="F76" s="3689" t="s">
        <v>3374</v>
      </c>
      <c r="G76" s="3689" t="s">
        <v>633</v>
      </c>
      <c r="H76" s="3689" t="s">
        <v>3361</v>
      </c>
      <c r="I76" s="3689" t="s">
        <v>682</v>
      </c>
      <c r="J76" s="3689" t="s">
        <v>3710</v>
      </c>
      <c r="K76" s="3689" t="s">
        <v>3711</v>
      </c>
      <c r="L76" s="3689" t="s">
        <v>3362</v>
      </c>
      <c r="O76" s="791"/>
      <c r="P76" s="3658" t="s">
        <v>260</v>
      </c>
      <c r="Q76" s="3658" t="s">
        <v>1331</v>
      </c>
      <c r="R76" s="3658" t="s">
        <v>1332</v>
      </c>
      <c r="S76" s="3658" t="s">
        <v>1333</v>
      </c>
      <c r="T76" s="3565" t="s">
        <v>1334</v>
      </c>
      <c r="U76" s="3658" t="s">
        <v>1335</v>
      </c>
      <c r="V76" s="189"/>
      <c r="W76" s="189"/>
      <c r="X76" s="189"/>
    </row>
    <row r="77" spans="1:25" s="136" customFormat="1" ht="12.75">
      <c r="A77" s="320">
        <v>1</v>
      </c>
      <c r="B77" s="3565" t="s">
        <v>3660</v>
      </c>
      <c r="C77" s="3730">
        <v>920000</v>
      </c>
      <c r="D77" s="3730">
        <v>1155000</v>
      </c>
      <c r="E77" s="3730">
        <v>1392000</v>
      </c>
      <c r="F77" s="3730">
        <v>1797000</v>
      </c>
      <c r="G77" s="3730">
        <v>1999000</v>
      </c>
      <c r="H77" s="3730">
        <v>2110000</v>
      </c>
      <c r="I77" s="3730">
        <v>2878000</v>
      </c>
      <c r="J77" s="3730">
        <v>2984917.0673076925</v>
      </c>
      <c r="K77" s="3730">
        <v>3577247.596153846</v>
      </c>
      <c r="L77" s="3730">
        <v>4538000</v>
      </c>
      <c r="O77" s="791">
        <v>1.1000000000000001</v>
      </c>
      <c r="P77" s="3735" t="str">
        <f>C76</f>
        <v>1.1T</v>
      </c>
      <c r="Q77" s="3736">
        <v>330</v>
      </c>
      <c r="R77" s="3736">
        <v>160</v>
      </c>
      <c r="S77" s="3736">
        <v>130</v>
      </c>
      <c r="T77" s="3737">
        <f t="shared" ref="T77:T85" si="2">U77</f>
        <v>2</v>
      </c>
      <c r="U77" s="3737">
        <v>2</v>
      </c>
      <c r="V77" s="189"/>
      <c r="W77" s="189"/>
      <c r="X77" s="189"/>
    </row>
    <row r="78" spans="1:25" s="136" customFormat="1" ht="12.75">
      <c r="A78" s="320">
        <v>2</v>
      </c>
      <c r="B78" s="3565" t="s">
        <v>3364</v>
      </c>
      <c r="C78" s="3730">
        <v>5180000</v>
      </c>
      <c r="D78" s="3730">
        <v>6060000</v>
      </c>
      <c r="E78" s="3730">
        <v>7123000</v>
      </c>
      <c r="F78" s="3730">
        <v>7680000</v>
      </c>
      <c r="G78" s="3730">
        <v>8584000</v>
      </c>
      <c r="H78" s="3730">
        <v>9640000</v>
      </c>
      <c r="I78" s="3730">
        <v>11480000</v>
      </c>
      <c r="J78" s="3730">
        <v>11023744.591346154</v>
      </c>
      <c r="K78" s="3730">
        <v>12608690.504807692</v>
      </c>
      <c r="L78" s="3730">
        <v>14540000</v>
      </c>
      <c r="O78" s="791">
        <v>1.8</v>
      </c>
      <c r="P78" s="3735" t="str">
        <f>D76</f>
        <v>1.8T</v>
      </c>
      <c r="Q78" s="3736">
        <v>430</v>
      </c>
      <c r="R78" s="3736">
        <v>180</v>
      </c>
      <c r="S78" s="3736">
        <v>150</v>
      </c>
      <c r="T78" s="3737">
        <f t="shared" si="2"/>
        <v>3</v>
      </c>
      <c r="U78" s="3737">
        <v>3</v>
      </c>
      <c r="V78" s="189"/>
      <c r="W78" s="189"/>
      <c r="X78" s="189"/>
    </row>
    <row r="79" spans="1:25" s="136" customFormat="1" ht="12.75">
      <c r="A79" s="320">
        <v>3</v>
      </c>
      <c r="B79" s="3565" t="s">
        <v>3661</v>
      </c>
      <c r="C79" s="3730">
        <v>3330000</v>
      </c>
      <c r="D79" s="3730">
        <v>3990000</v>
      </c>
      <c r="E79" s="3730">
        <v>4800000</v>
      </c>
      <c r="F79" s="3730">
        <v>5330000</v>
      </c>
      <c r="G79" s="3730">
        <v>5984000</v>
      </c>
      <c r="H79" s="3730">
        <v>6240000</v>
      </c>
      <c r="I79" s="3730">
        <v>7220000</v>
      </c>
      <c r="J79" s="3730">
        <v>9147081.129807692</v>
      </c>
      <c r="K79" s="3730">
        <v>10732996.39423077</v>
      </c>
      <c r="L79" s="3730">
        <v>12740000</v>
      </c>
      <c r="O79" s="791">
        <v>2.2999999999999998</v>
      </c>
      <c r="P79" s="3735" t="str">
        <f>E76</f>
        <v>2.3T</v>
      </c>
      <c r="Q79" s="3736">
        <v>360</v>
      </c>
      <c r="R79" s="3736">
        <v>180</v>
      </c>
      <c r="S79" s="3736">
        <v>150</v>
      </c>
      <c r="T79" s="3737">
        <f t="shared" si="2"/>
        <v>3</v>
      </c>
      <c r="U79" s="3737">
        <v>3</v>
      </c>
      <c r="V79" s="189"/>
      <c r="W79" s="189"/>
      <c r="X79" s="189"/>
    </row>
    <row r="80" spans="1:25" s="136" customFormat="1" ht="12.75">
      <c r="A80" s="320">
        <v>4</v>
      </c>
      <c r="B80" s="3565" t="s">
        <v>3662</v>
      </c>
      <c r="C80" s="3730">
        <v>600000</v>
      </c>
      <c r="D80" s="3730">
        <v>786000</v>
      </c>
      <c r="E80" s="3730">
        <v>950000</v>
      </c>
      <c r="F80" s="3730">
        <v>1315000</v>
      </c>
      <c r="G80" s="3730">
        <v>1534000</v>
      </c>
      <c r="H80" s="3730">
        <v>1630000</v>
      </c>
      <c r="I80" s="3730">
        <v>2226000</v>
      </c>
      <c r="J80" s="3730">
        <v>2356777.644230769</v>
      </c>
      <c r="K80" s="3730">
        <v>2667027.043269231</v>
      </c>
      <c r="L80" s="3730">
        <v>3390219.951923077</v>
      </c>
      <c r="O80" s="791">
        <v>3.5</v>
      </c>
      <c r="P80" s="3735" t="str">
        <f>F76</f>
        <v>3.5T</v>
      </c>
      <c r="Q80" s="3736">
        <v>490</v>
      </c>
      <c r="R80" s="3736">
        <v>180</v>
      </c>
      <c r="S80" s="3736">
        <v>160</v>
      </c>
      <c r="T80" s="3737">
        <f t="shared" si="2"/>
        <v>4</v>
      </c>
      <c r="U80" s="3737">
        <v>4</v>
      </c>
      <c r="V80" s="189"/>
      <c r="W80" s="189"/>
      <c r="X80" s="189"/>
    </row>
    <row r="81" spans="1:38" s="136" customFormat="1" ht="12.75">
      <c r="A81" s="320">
        <v>5</v>
      </c>
      <c r="B81" s="3565" t="s">
        <v>3663</v>
      </c>
      <c r="C81" s="3730">
        <v>945000</v>
      </c>
      <c r="D81" s="3730">
        <v>1205000</v>
      </c>
      <c r="E81" s="3730">
        <v>1455000</v>
      </c>
      <c r="F81" s="3730">
        <v>1850000</v>
      </c>
      <c r="G81" s="3730">
        <v>2136000</v>
      </c>
      <c r="H81" s="3730">
        <v>2230000</v>
      </c>
      <c r="I81" s="3730">
        <v>3004000</v>
      </c>
      <c r="J81" s="3730">
        <v>0</v>
      </c>
      <c r="K81" s="3730">
        <v>0</v>
      </c>
      <c r="L81" s="3730">
        <v>5166000</v>
      </c>
      <c r="O81" s="791">
        <v>4.8</v>
      </c>
      <c r="P81" s="3735" t="str">
        <f>G76</f>
        <v>4.8T</v>
      </c>
      <c r="Q81" s="3736">
        <v>610</v>
      </c>
      <c r="R81" s="3736">
        <v>210</v>
      </c>
      <c r="S81" s="3736">
        <v>180</v>
      </c>
      <c r="T81" s="3737">
        <f t="shared" si="2"/>
        <v>8</v>
      </c>
      <c r="U81" s="3737">
        <v>8</v>
      </c>
      <c r="V81" s="189"/>
      <c r="W81" s="189"/>
      <c r="X81" s="189"/>
    </row>
    <row r="82" spans="1:38" s="136" customFormat="1" ht="12.75">
      <c r="A82" s="320">
        <v>6</v>
      </c>
      <c r="B82" s="3565" t="s">
        <v>3664</v>
      </c>
      <c r="C82" s="3730">
        <v>816000</v>
      </c>
      <c r="D82" s="3730">
        <v>1076000</v>
      </c>
      <c r="E82" s="3730">
        <v>1195000</v>
      </c>
      <c r="F82" s="3730">
        <v>1645000</v>
      </c>
      <c r="G82" s="3730">
        <v>1904000</v>
      </c>
      <c r="H82" s="3730">
        <v>2020000</v>
      </c>
      <c r="I82" s="3730">
        <v>2630000</v>
      </c>
      <c r="J82" s="3730">
        <v>0</v>
      </c>
      <c r="K82" s="3730">
        <v>0</v>
      </c>
      <c r="L82" s="3730">
        <v>4164000</v>
      </c>
      <c r="O82" s="791">
        <v>5.7</v>
      </c>
      <c r="P82" s="3735" t="str">
        <f>H76</f>
        <v>5.7T</v>
      </c>
      <c r="Q82" s="3736">
        <v>650</v>
      </c>
      <c r="R82" s="3736">
        <v>230</v>
      </c>
      <c r="S82" s="3736">
        <v>180</v>
      </c>
      <c r="T82" s="3737">
        <f t="shared" si="2"/>
        <v>10</v>
      </c>
      <c r="U82" s="3737">
        <v>10</v>
      </c>
      <c r="V82" s="189"/>
      <c r="W82" s="189"/>
      <c r="X82" s="189"/>
    </row>
    <row r="83" spans="1:38" s="136" customFormat="1" ht="12.75">
      <c r="A83" s="320">
        <v>7</v>
      </c>
      <c r="B83" s="3565" t="s">
        <v>3665</v>
      </c>
      <c r="C83" s="3730">
        <v>1000000</v>
      </c>
      <c r="D83" s="3730">
        <v>1200000</v>
      </c>
      <c r="E83" s="3730">
        <v>1300000</v>
      </c>
      <c r="F83" s="3730">
        <v>1600000</v>
      </c>
      <c r="G83" s="3730">
        <v>1780000</v>
      </c>
      <c r="H83" s="3730">
        <v>1900000</v>
      </c>
      <c r="I83" s="3730">
        <v>2400000</v>
      </c>
      <c r="J83" s="3730">
        <v>0</v>
      </c>
      <c r="K83" s="3730">
        <v>0</v>
      </c>
      <c r="L83" s="3730">
        <v>3900000</v>
      </c>
      <c r="O83" s="791">
        <v>8</v>
      </c>
      <c r="P83" s="3735" t="str">
        <f>I76</f>
        <v>8T</v>
      </c>
      <c r="Q83" s="3736">
        <v>850</v>
      </c>
      <c r="R83" s="3736">
        <v>230</v>
      </c>
      <c r="S83" s="3736">
        <v>180</v>
      </c>
      <c r="T83" s="3737">
        <f t="shared" si="2"/>
        <v>12</v>
      </c>
      <c r="U83" s="3737">
        <v>12</v>
      </c>
      <c r="V83" s="189"/>
      <c r="W83" s="189"/>
      <c r="X83" s="189"/>
    </row>
    <row r="84" spans="1:38" s="136" customFormat="1" ht="12.75">
      <c r="A84" s="320">
        <v>8</v>
      </c>
      <c r="B84" s="3565" t="s">
        <v>3666</v>
      </c>
      <c r="C84" s="3730">
        <v>1200000</v>
      </c>
      <c r="D84" s="3730">
        <v>1350000</v>
      </c>
      <c r="E84" s="3730">
        <v>1450000</v>
      </c>
      <c r="F84" s="3730">
        <v>1800000</v>
      </c>
      <c r="G84" s="3730">
        <v>2000000</v>
      </c>
      <c r="H84" s="3730">
        <v>2150000</v>
      </c>
      <c r="I84" s="3730">
        <v>2600000</v>
      </c>
      <c r="J84" s="3730">
        <v>0</v>
      </c>
      <c r="K84" s="3730">
        <v>0</v>
      </c>
      <c r="L84" s="3730">
        <v>4200000</v>
      </c>
      <c r="O84" s="791">
        <v>10</v>
      </c>
      <c r="P84" s="3735" t="str">
        <f>+J76</f>
        <v>10T</v>
      </c>
      <c r="Q84" s="3736">
        <v>900</v>
      </c>
      <c r="R84" s="3736">
        <v>230</v>
      </c>
      <c r="S84" s="3736">
        <v>180</v>
      </c>
      <c r="T84" s="3737">
        <f t="shared" si="2"/>
        <v>12</v>
      </c>
      <c r="U84" s="3737">
        <v>12</v>
      </c>
      <c r="V84" s="189"/>
      <c r="W84" s="189"/>
      <c r="X84" s="189"/>
    </row>
    <row r="85" spans="1:38" s="136" customFormat="1" ht="12.75">
      <c r="A85" s="320">
        <v>9</v>
      </c>
      <c r="B85" s="3565" t="s">
        <v>3667</v>
      </c>
      <c r="C85" s="3730">
        <v>980000</v>
      </c>
      <c r="D85" s="3730">
        <v>1285416.4663461538</v>
      </c>
      <c r="E85" s="3730">
        <v>1430000</v>
      </c>
      <c r="F85" s="3730">
        <v>1745000</v>
      </c>
      <c r="G85" s="3730">
        <v>2010000</v>
      </c>
      <c r="H85" s="3730">
        <v>2730832.9326923075</v>
      </c>
      <c r="I85" s="3730">
        <v>3171944.7115384615</v>
      </c>
      <c r="J85" s="3730">
        <v>3519998.798076923</v>
      </c>
      <c r="K85" s="3730">
        <v>3876777.043269231</v>
      </c>
      <c r="L85" s="3730">
        <v>4871388.221153846</v>
      </c>
      <c r="M85" s="791"/>
      <c r="N85" s="791"/>
      <c r="O85" s="791">
        <v>12</v>
      </c>
      <c r="P85" s="3735" t="str">
        <f>+K76</f>
        <v>12T</v>
      </c>
      <c r="Q85" s="3736">
        <v>900</v>
      </c>
      <c r="R85" s="3736">
        <v>230</v>
      </c>
      <c r="S85" s="3736">
        <v>210</v>
      </c>
      <c r="T85" s="3737">
        <f t="shared" si="2"/>
        <v>14</v>
      </c>
      <c r="U85" s="3737">
        <v>14</v>
      </c>
      <c r="V85" s="189"/>
      <c r="W85" s="189"/>
      <c r="X85" s="189"/>
    </row>
    <row r="86" spans="1:38">
      <c r="A86" s="320">
        <v>10</v>
      </c>
      <c r="B86" s="3565" t="s">
        <v>3668</v>
      </c>
      <c r="C86" s="3730">
        <v>552000</v>
      </c>
      <c r="D86" s="3730">
        <v>734000</v>
      </c>
      <c r="E86" s="3730">
        <v>890000</v>
      </c>
      <c r="F86" s="3730">
        <v>1220000</v>
      </c>
      <c r="G86" s="3730">
        <v>1429000</v>
      </c>
      <c r="H86" s="3730">
        <v>1582000</v>
      </c>
      <c r="I86" s="3730">
        <v>2145000</v>
      </c>
      <c r="J86" s="3730">
        <v>2300555.2884615385</v>
      </c>
      <c r="K86" s="3730">
        <v>2667027.043269231</v>
      </c>
      <c r="L86" s="3730">
        <v>3390219.951923077</v>
      </c>
      <c r="M86" s="791"/>
      <c r="N86" s="791"/>
      <c r="O86" s="791">
        <v>14</v>
      </c>
      <c r="P86" s="3735" t="str">
        <f>+L76</f>
        <v>14T</v>
      </c>
      <c r="Q86" s="3736">
        <v>915</v>
      </c>
      <c r="R86" s="3736">
        <v>230</v>
      </c>
      <c r="S86" s="3736">
        <v>210</v>
      </c>
      <c r="T86" s="3737">
        <f>U86</f>
        <v>16</v>
      </c>
      <c r="U86" s="3737">
        <v>16</v>
      </c>
      <c r="V86" s="189"/>
      <c r="W86" s="189"/>
      <c r="X86" s="189"/>
      <c r="Y86" s="136"/>
      <c r="Z86" s="136"/>
      <c r="AA86" s="136"/>
      <c r="AB86" s="136"/>
      <c r="AC86" s="136"/>
      <c r="AD86" s="136"/>
      <c r="AE86" s="136"/>
      <c r="AF86" s="136"/>
      <c r="AG86" s="136"/>
      <c r="AH86" s="136"/>
      <c r="AI86" s="136"/>
      <c r="AJ86" s="136"/>
      <c r="AK86" s="136"/>
      <c r="AL86" s="136"/>
    </row>
    <row r="87" spans="1:38">
      <c r="A87" s="320">
        <v>11</v>
      </c>
      <c r="B87" s="3565" t="s">
        <v>3669</v>
      </c>
      <c r="C87" s="3730">
        <v>0</v>
      </c>
      <c r="D87" s="3730">
        <v>0</v>
      </c>
      <c r="E87" s="3730">
        <v>0</v>
      </c>
      <c r="F87" s="3730">
        <v>0</v>
      </c>
      <c r="G87" s="3730">
        <v>0</v>
      </c>
      <c r="H87" s="3730">
        <v>0</v>
      </c>
      <c r="I87" s="3730">
        <v>2065915.264423077</v>
      </c>
      <c r="J87" s="3730">
        <v>2601054.0865384615</v>
      </c>
      <c r="K87" s="3730">
        <v>3154610.576923077</v>
      </c>
      <c r="L87" s="3730">
        <v>3595722.355769231</v>
      </c>
      <c r="M87" s="791"/>
      <c r="N87" s="791"/>
      <c r="O87" s="791"/>
      <c r="P87" s="791"/>
      <c r="Q87" s="791"/>
      <c r="R87" s="189"/>
      <c r="S87" s="189"/>
      <c r="T87" s="189"/>
      <c r="U87" s="189"/>
      <c r="V87" s="189"/>
      <c r="W87" s="189"/>
      <c r="X87" s="189"/>
      <c r="Y87" s="136"/>
      <c r="Z87" s="136"/>
      <c r="AA87" s="136"/>
      <c r="AB87" s="136"/>
      <c r="AC87" s="136"/>
      <c r="AD87" s="136"/>
      <c r="AE87" s="136"/>
      <c r="AF87" s="136"/>
      <c r="AG87" s="136"/>
      <c r="AH87" s="136"/>
      <c r="AI87" s="136"/>
      <c r="AJ87" s="136"/>
      <c r="AK87" s="136"/>
      <c r="AL87" s="136"/>
    </row>
    <row r="88" spans="1:38">
      <c r="A88" s="320">
        <v>12</v>
      </c>
      <c r="B88" s="3565" t="s">
        <v>3670</v>
      </c>
      <c r="C88" s="3730">
        <v>810000</v>
      </c>
      <c r="D88" s="3730">
        <v>1027000</v>
      </c>
      <c r="E88" s="3730">
        <v>1300000</v>
      </c>
      <c r="F88" s="3730">
        <v>1692000</v>
      </c>
      <c r="G88" s="3730">
        <v>1931000</v>
      </c>
      <c r="H88" s="3730">
        <v>2030000</v>
      </c>
      <c r="I88" s="3730">
        <v>2773000</v>
      </c>
      <c r="J88" s="3730">
        <v>3060526.4423076925</v>
      </c>
      <c r="K88" s="3730">
        <v>3520055.889423077</v>
      </c>
      <c r="L88" s="3730">
        <v>5010000</v>
      </c>
      <c r="M88" s="791"/>
      <c r="N88" s="791"/>
      <c r="O88" s="791"/>
      <c r="P88" s="791"/>
      <c r="Q88" s="791"/>
      <c r="R88" s="189"/>
      <c r="S88" s="189"/>
      <c r="T88" s="189"/>
      <c r="U88" s="189"/>
      <c r="V88" s="189"/>
      <c r="W88" s="189"/>
      <c r="X88" s="189"/>
      <c r="Y88" s="136"/>
      <c r="Z88" s="136"/>
      <c r="AA88" s="136"/>
      <c r="AB88" s="136"/>
      <c r="AC88" s="136"/>
      <c r="AD88" s="136"/>
      <c r="AE88" s="136"/>
      <c r="AF88" s="136"/>
      <c r="AG88" s="136"/>
      <c r="AH88" s="136"/>
      <c r="AI88" s="136"/>
      <c r="AJ88" s="136"/>
      <c r="AK88" s="136"/>
      <c r="AL88" s="136"/>
    </row>
    <row r="89" spans="1:38">
      <c r="A89" s="320">
        <v>13</v>
      </c>
      <c r="B89" s="3565" t="s">
        <v>3363</v>
      </c>
      <c r="C89" s="3730">
        <v>602000</v>
      </c>
      <c r="D89" s="3730">
        <v>787000</v>
      </c>
      <c r="E89" s="3730">
        <v>880000</v>
      </c>
      <c r="F89" s="3730">
        <v>1220000</v>
      </c>
      <c r="G89" s="3730">
        <v>1430000</v>
      </c>
      <c r="H89" s="3730">
        <v>1533000</v>
      </c>
      <c r="I89" s="3730">
        <v>1988000</v>
      </c>
      <c r="J89" s="3730">
        <v>2150305.889423077</v>
      </c>
      <c r="K89" s="3730">
        <v>2704831.730769231</v>
      </c>
      <c r="L89" s="3730">
        <v>3145943.5096153845</v>
      </c>
      <c r="M89" s="791"/>
      <c r="N89" s="791"/>
      <c r="O89" s="791"/>
      <c r="P89" s="791"/>
      <c r="Q89" s="791"/>
      <c r="R89" s="189"/>
      <c r="S89" s="189"/>
      <c r="T89" s="189"/>
      <c r="U89" s="189"/>
      <c r="V89" s="189"/>
      <c r="W89" s="189"/>
      <c r="X89" s="189"/>
      <c r="Y89" s="136"/>
      <c r="Z89" s="136"/>
      <c r="AA89" s="136"/>
      <c r="AB89" s="136"/>
      <c r="AC89" s="136"/>
      <c r="AD89" s="136"/>
      <c r="AE89" s="136"/>
    </row>
    <row r="90" spans="1:38">
      <c r="A90" s="320">
        <v>14</v>
      </c>
      <c r="B90" s="3565" t="s">
        <v>3671</v>
      </c>
      <c r="C90" s="3730">
        <v>1000000</v>
      </c>
      <c r="D90" s="3730">
        <v>1320000</v>
      </c>
      <c r="E90" s="3730">
        <v>1560000</v>
      </c>
      <c r="F90" s="3730">
        <v>1962000</v>
      </c>
      <c r="G90" s="3730">
        <v>2254000</v>
      </c>
      <c r="H90" s="3730">
        <v>2550000</v>
      </c>
      <c r="I90" s="3730">
        <v>3316000</v>
      </c>
      <c r="J90" s="3730">
        <v>3585914.6634615385</v>
      </c>
      <c r="K90" s="3730">
        <v>4045444.110576923</v>
      </c>
      <c r="L90" s="3730">
        <v>5196000</v>
      </c>
      <c r="M90" s="791"/>
      <c r="N90" s="791"/>
      <c r="O90" s="791"/>
      <c r="P90" s="791"/>
      <c r="Q90" s="791"/>
      <c r="R90" s="189"/>
      <c r="S90" s="189"/>
      <c r="T90" s="189"/>
      <c r="U90" s="189"/>
      <c r="V90" s="189"/>
      <c r="W90" s="189"/>
      <c r="X90" s="189"/>
      <c r="Y90" s="136"/>
      <c r="Z90" s="136"/>
      <c r="AA90" s="136"/>
      <c r="AB90" s="136"/>
      <c r="AC90" s="136"/>
      <c r="AD90" s="136"/>
      <c r="AE90" s="136"/>
    </row>
    <row r="91" spans="1:38">
      <c r="A91" s="320">
        <v>15</v>
      </c>
      <c r="B91" s="3565" t="s">
        <v>3672</v>
      </c>
      <c r="C91" s="3730">
        <v>920000</v>
      </c>
      <c r="D91" s="3730">
        <v>1155000</v>
      </c>
      <c r="E91" s="3730">
        <v>1455000</v>
      </c>
      <c r="F91" s="3730">
        <v>1850000</v>
      </c>
      <c r="G91" s="3730">
        <v>1999000</v>
      </c>
      <c r="H91" s="3730">
        <v>2110000</v>
      </c>
      <c r="I91" s="3730">
        <v>2878000</v>
      </c>
      <c r="J91" s="3730">
        <v>3172971.153846154</v>
      </c>
      <c r="K91" s="3730">
        <v>3633469.951923077</v>
      </c>
      <c r="L91" s="3730">
        <v>5010000</v>
      </c>
      <c r="M91" s="791"/>
      <c r="N91" s="791"/>
      <c r="O91" s="791"/>
      <c r="P91" s="791"/>
      <c r="Q91" s="791"/>
      <c r="R91" s="189"/>
      <c r="S91" s="189"/>
      <c r="T91" s="189"/>
      <c r="U91" s="189"/>
      <c r="V91" s="189"/>
      <c r="W91" s="189"/>
      <c r="X91" s="189"/>
      <c r="Y91" s="136"/>
      <c r="Z91" s="136"/>
      <c r="AA91" s="136"/>
      <c r="AB91" s="136"/>
      <c r="AC91" s="136"/>
      <c r="AD91" s="136"/>
      <c r="AE91" s="136"/>
    </row>
    <row r="92" spans="1:38">
      <c r="A92" s="320">
        <v>16</v>
      </c>
      <c r="B92" s="3565" t="s">
        <v>3365</v>
      </c>
      <c r="C92" s="3730">
        <v>743000</v>
      </c>
      <c r="D92" s="3730">
        <v>1210776.4423076923</v>
      </c>
      <c r="E92" s="3730">
        <v>0</v>
      </c>
      <c r="F92" s="3730">
        <v>0</v>
      </c>
      <c r="G92" s="3730">
        <v>1549000</v>
      </c>
      <c r="H92" s="3730">
        <v>1598000</v>
      </c>
      <c r="I92" s="3730">
        <v>2109000</v>
      </c>
      <c r="J92" s="3730">
        <v>3050832.9326923075</v>
      </c>
      <c r="K92" s="3730">
        <v>3698416.466346154</v>
      </c>
      <c r="L92" s="3730">
        <v>3668000</v>
      </c>
      <c r="M92" s="791"/>
      <c r="N92" s="791"/>
      <c r="O92" s="791"/>
      <c r="P92" s="791"/>
      <c r="Q92" s="791"/>
      <c r="R92" s="189"/>
      <c r="S92" s="189"/>
      <c r="T92" s="189"/>
      <c r="U92" s="189"/>
      <c r="V92" s="189"/>
      <c r="W92" s="189"/>
      <c r="X92" s="189"/>
      <c r="Y92" s="136"/>
      <c r="Z92" s="136"/>
      <c r="AA92" s="136"/>
      <c r="AB92" s="136"/>
      <c r="AC92" s="136"/>
      <c r="AD92" s="136"/>
      <c r="AE92" s="136"/>
    </row>
    <row r="93" spans="1:38">
      <c r="A93" s="320">
        <v>17</v>
      </c>
      <c r="B93" s="3565" t="s">
        <v>3673</v>
      </c>
      <c r="C93" s="3730">
        <v>932000</v>
      </c>
      <c r="D93" s="3730">
        <v>1183000</v>
      </c>
      <c r="E93" s="3730">
        <v>1426000</v>
      </c>
      <c r="F93" s="3730">
        <v>1786000</v>
      </c>
      <c r="G93" s="3730">
        <v>2058000</v>
      </c>
      <c r="H93" s="3730">
        <v>2180000</v>
      </c>
      <c r="I93" s="3730">
        <v>2962000</v>
      </c>
      <c r="J93" s="3730">
        <v>3201082.331730769</v>
      </c>
      <c r="K93" s="3730">
        <v>3661581.1298076925</v>
      </c>
      <c r="L93" s="3730">
        <v>4665000</v>
      </c>
      <c r="M93" s="791"/>
      <c r="N93" s="791"/>
      <c r="O93" s="791"/>
      <c r="P93" s="791"/>
      <c r="Q93" s="791"/>
      <c r="R93" s="189"/>
      <c r="S93" s="189"/>
      <c r="T93" s="189"/>
      <c r="U93" s="189"/>
      <c r="V93" s="189"/>
      <c r="W93" s="189"/>
      <c r="X93" s="189"/>
      <c r="Y93" s="136"/>
      <c r="Z93" s="136"/>
      <c r="AA93" s="136"/>
      <c r="AB93" s="136"/>
      <c r="AC93" s="136"/>
      <c r="AD93" s="136"/>
      <c r="AE93" s="136"/>
    </row>
    <row r="94" spans="1:38">
      <c r="A94" s="320">
        <v>18</v>
      </c>
      <c r="B94" s="3565" t="s">
        <v>3674</v>
      </c>
      <c r="C94" s="3730">
        <v>830000</v>
      </c>
      <c r="D94" s="3730">
        <v>1100000</v>
      </c>
      <c r="E94" s="3730">
        <v>1330000</v>
      </c>
      <c r="F94" s="3730">
        <v>1660000</v>
      </c>
      <c r="G94" s="3730">
        <v>1900000</v>
      </c>
      <c r="H94" s="3730">
        <v>2130000</v>
      </c>
      <c r="I94" s="3730">
        <v>2772000</v>
      </c>
      <c r="J94" s="3730">
        <v>2769721.153846154</v>
      </c>
      <c r="K94" s="3730">
        <v>3136192.908653846</v>
      </c>
      <c r="L94" s="3730">
        <v>4382000</v>
      </c>
      <c r="M94" s="791"/>
      <c r="N94" s="791"/>
      <c r="O94" s="791"/>
      <c r="P94" s="791"/>
      <c r="Q94" s="791"/>
      <c r="R94" s="189"/>
      <c r="S94" s="189"/>
      <c r="T94" s="189"/>
      <c r="U94" s="189"/>
      <c r="V94" s="189"/>
      <c r="W94" s="189"/>
      <c r="X94" s="189"/>
      <c r="Y94" s="136"/>
      <c r="Z94" s="136"/>
      <c r="AA94" s="136"/>
      <c r="AB94" s="136"/>
      <c r="AC94" s="136"/>
      <c r="AD94" s="136"/>
      <c r="AE94" s="136"/>
    </row>
    <row r="95" spans="1:38">
      <c r="A95" s="320">
        <v>19</v>
      </c>
      <c r="B95" s="3565" t="s">
        <v>3366</v>
      </c>
      <c r="C95" s="3730">
        <v>892000</v>
      </c>
      <c r="D95" s="3730">
        <v>1160000</v>
      </c>
      <c r="E95" s="3730">
        <v>1400000</v>
      </c>
      <c r="F95" s="3730">
        <v>1745000</v>
      </c>
      <c r="G95" s="3730">
        <v>1990000</v>
      </c>
      <c r="H95" s="3730">
        <v>2175000</v>
      </c>
      <c r="I95" s="3730">
        <v>3025000</v>
      </c>
      <c r="J95" s="3730">
        <v>3050832.9326923075</v>
      </c>
      <c r="K95" s="3730">
        <v>3230219.951923077</v>
      </c>
      <c r="L95" s="3730">
        <v>4760000</v>
      </c>
      <c r="M95" s="791"/>
      <c r="N95" s="791"/>
      <c r="O95" s="791"/>
      <c r="P95" s="791"/>
      <c r="Q95" s="791"/>
      <c r="R95" s="189"/>
      <c r="S95" s="189"/>
      <c r="T95" s="189"/>
      <c r="U95" s="189"/>
      <c r="V95" s="189"/>
      <c r="W95" s="189"/>
      <c r="X95" s="189"/>
      <c r="Y95" s="136"/>
      <c r="Z95" s="136"/>
      <c r="AA95" s="136"/>
      <c r="AB95" s="136"/>
      <c r="AC95" s="136"/>
      <c r="AD95" s="136"/>
      <c r="AE95" s="136"/>
    </row>
    <row r="96" spans="1:38">
      <c r="A96" s="320">
        <v>20</v>
      </c>
      <c r="B96" s="3565" t="s">
        <v>3675</v>
      </c>
      <c r="C96" s="3730">
        <v>862000</v>
      </c>
      <c r="D96" s="3730">
        <v>1050000</v>
      </c>
      <c r="E96" s="3730">
        <v>1350000</v>
      </c>
      <c r="F96" s="3730">
        <v>1745000</v>
      </c>
      <c r="G96" s="3730">
        <v>1954000</v>
      </c>
      <c r="H96" s="3730">
        <v>2110000</v>
      </c>
      <c r="I96" s="3730">
        <v>2878000</v>
      </c>
      <c r="J96" s="3730">
        <v>3172971.153846154</v>
      </c>
      <c r="K96" s="3730">
        <v>3633469.951923077</v>
      </c>
      <c r="L96" s="3730">
        <v>5010000</v>
      </c>
      <c r="M96" s="791"/>
      <c r="N96" s="791"/>
      <c r="O96" s="791"/>
      <c r="P96" s="791"/>
      <c r="Q96" s="791"/>
      <c r="R96" s="189"/>
      <c r="S96" s="189"/>
      <c r="T96" s="189"/>
      <c r="U96" s="189"/>
      <c r="V96" s="189"/>
      <c r="W96" s="189"/>
      <c r="X96" s="189"/>
      <c r="Y96" s="136"/>
      <c r="Z96" s="136"/>
      <c r="AA96" s="136"/>
      <c r="AB96" s="136"/>
      <c r="AC96" s="136"/>
      <c r="AD96" s="136"/>
      <c r="AE96" s="136"/>
    </row>
    <row r="97" spans="1:31">
      <c r="A97" s="320">
        <v>21</v>
      </c>
      <c r="B97" s="3565" t="s">
        <v>3676</v>
      </c>
      <c r="C97" s="3730">
        <v>810000</v>
      </c>
      <c r="D97" s="3730">
        <v>1026000</v>
      </c>
      <c r="E97" s="3730">
        <v>1240000</v>
      </c>
      <c r="F97" s="3730">
        <v>1692000</v>
      </c>
      <c r="G97" s="3730">
        <v>1930000</v>
      </c>
      <c r="H97" s="3730">
        <v>2030000</v>
      </c>
      <c r="I97" s="3730">
        <v>2772000</v>
      </c>
      <c r="J97" s="3730">
        <v>3060526.4423076925</v>
      </c>
      <c r="K97" s="3730">
        <v>3528780.048076923</v>
      </c>
      <c r="L97" s="3730">
        <v>4380000</v>
      </c>
      <c r="M97" s="791"/>
      <c r="N97" s="791"/>
      <c r="O97" s="791"/>
      <c r="P97" s="791"/>
      <c r="Q97" s="791"/>
      <c r="R97" s="189"/>
      <c r="S97" s="189"/>
      <c r="T97" s="189"/>
      <c r="U97" s="189"/>
      <c r="V97" s="189"/>
      <c r="W97" s="189"/>
      <c r="X97" s="189"/>
      <c r="Y97" s="136"/>
      <c r="Z97" s="136"/>
      <c r="AA97" s="136"/>
      <c r="AB97" s="136"/>
      <c r="AC97" s="136"/>
      <c r="AD97" s="136"/>
      <c r="AE97" s="136"/>
    </row>
    <row r="98" spans="1:31">
      <c r="A98" s="320">
        <v>22</v>
      </c>
      <c r="B98" s="3565" t="s">
        <v>3677</v>
      </c>
      <c r="C98" s="3730">
        <v>0</v>
      </c>
      <c r="D98" s="3730">
        <v>928695.3125</v>
      </c>
      <c r="E98" s="3730">
        <v>0</v>
      </c>
      <c r="F98" s="3730">
        <v>0</v>
      </c>
      <c r="G98" s="3730">
        <v>0</v>
      </c>
      <c r="H98" s="3730">
        <v>1942750.6009615385</v>
      </c>
      <c r="I98" s="3730">
        <v>2300498.1971153845</v>
      </c>
      <c r="J98" s="3730">
        <v>2769721.153846154</v>
      </c>
      <c r="K98" s="3730">
        <v>3417304.6875</v>
      </c>
      <c r="L98" s="3730">
        <v>4140497.596153846</v>
      </c>
      <c r="M98" s="791"/>
      <c r="N98" s="791"/>
      <c r="O98" s="791"/>
      <c r="P98" s="791"/>
      <c r="Q98" s="791"/>
      <c r="R98" s="189"/>
      <c r="S98" s="189"/>
      <c r="T98" s="189"/>
      <c r="U98" s="189"/>
      <c r="V98" s="189"/>
      <c r="W98" s="189"/>
      <c r="X98" s="189"/>
      <c r="Y98" s="136"/>
      <c r="Z98" s="136"/>
      <c r="AA98" s="136"/>
      <c r="AB98" s="136"/>
      <c r="AC98" s="136"/>
      <c r="AD98" s="136"/>
      <c r="AE98" s="136"/>
    </row>
    <row r="99" spans="1:31">
      <c r="A99" s="320">
        <v>23</v>
      </c>
      <c r="B99" s="3565" t="s">
        <v>3678</v>
      </c>
      <c r="C99" s="3730">
        <v>840000</v>
      </c>
      <c r="D99" s="3730">
        <v>1100000</v>
      </c>
      <c r="E99" s="3730">
        <v>1350000</v>
      </c>
      <c r="F99" s="3730">
        <v>1752000</v>
      </c>
      <c r="G99" s="3730">
        <v>1974000</v>
      </c>
      <c r="H99" s="3730">
        <v>2080000</v>
      </c>
      <c r="I99" s="3730">
        <v>2846000</v>
      </c>
      <c r="J99" s="3730">
        <v>3144859.9759615385</v>
      </c>
      <c r="K99" s="3730">
        <v>3698416.466346154</v>
      </c>
      <c r="L99" s="3730">
        <v>5010000</v>
      </c>
      <c r="M99" s="791"/>
      <c r="N99" s="791"/>
      <c r="O99" s="791"/>
      <c r="P99" s="791"/>
      <c r="Q99" s="791"/>
      <c r="R99" s="189"/>
      <c r="S99" s="189"/>
      <c r="T99" s="189"/>
      <c r="U99" s="189"/>
      <c r="V99" s="189"/>
      <c r="W99" s="189"/>
      <c r="X99" s="189"/>
      <c r="Y99" s="136"/>
      <c r="Z99" s="136"/>
      <c r="AA99" s="136"/>
      <c r="AB99" s="136"/>
      <c r="AC99" s="136"/>
      <c r="AD99" s="136"/>
      <c r="AE99" s="136"/>
    </row>
    <row r="100" spans="1:31">
      <c r="A100" s="320">
        <v>24</v>
      </c>
      <c r="B100" s="3565" t="s">
        <v>3679</v>
      </c>
      <c r="C100" s="3730">
        <v>550000</v>
      </c>
      <c r="D100" s="3730">
        <v>680000</v>
      </c>
      <c r="E100" s="3730">
        <v>795000</v>
      </c>
      <c r="F100" s="3730">
        <v>1010000</v>
      </c>
      <c r="G100" s="3730">
        <v>1166000</v>
      </c>
      <c r="H100" s="3730">
        <v>1282000</v>
      </c>
      <c r="I100" s="3730">
        <v>1725000</v>
      </c>
      <c r="J100" s="3730">
        <v>0</v>
      </c>
      <c r="K100" s="3730">
        <v>0</v>
      </c>
      <c r="L100" s="3730">
        <v>2546000</v>
      </c>
      <c r="M100"/>
      <c r="N100"/>
      <c r="O100"/>
      <c r="P100"/>
      <c r="Q100"/>
      <c r="R100" s="189"/>
      <c r="S100" s="189"/>
      <c r="T100" s="189"/>
      <c r="U100" s="189"/>
      <c r="V100" s="189"/>
      <c r="W100" s="189"/>
      <c r="X100" s="189"/>
      <c r="Y100" s="136"/>
      <c r="Z100" s="136"/>
      <c r="AA100" s="136"/>
      <c r="AB100" s="136"/>
      <c r="AC100" s="136"/>
      <c r="AD100" s="136"/>
      <c r="AE100" s="136"/>
    </row>
    <row r="101" spans="1:31">
      <c r="A101" s="320">
        <v>25</v>
      </c>
      <c r="B101" s="3565" t="s">
        <v>3680</v>
      </c>
      <c r="C101" s="3730">
        <v>752000</v>
      </c>
      <c r="D101" s="3730">
        <v>940000</v>
      </c>
      <c r="E101" s="3730">
        <v>1245000</v>
      </c>
      <c r="F101" s="3730">
        <v>1620000</v>
      </c>
      <c r="G101" s="3730">
        <v>1774000</v>
      </c>
      <c r="H101" s="3730">
        <v>1481000</v>
      </c>
      <c r="I101" s="3730">
        <v>2636000</v>
      </c>
      <c r="J101" s="3730">
        <v>2675694.110576923</v>
      </c>
      <c r="K101" s="3730">
        <v>3042165.8653846155</v>
      </c>
      <c r="L101" s="3730">
        <v>4175000</v>
      </c>
      <c r="M101"/>
      <c r="N101"/>
      <c r="O101"/>
      <c r="P101"/>
      <c r="Q101"/>
      <c r="R101" s="189"/>
      <c r="S101" s="189"/>
      <c r="T101" s="189"/>
      <c r="U101" s="189"/>
      <c r="V101" s="189"/>
      <c r="W101" s="189"/>
      <c r="X101" s="189"/>
      <c r="Y101" s="136"/>
      <c r="Z101" s="136"/>
      <c r="AA101" s="136"/>
      <c r="AB101" s="136"/>
      <c r="AC101" s="136"/>
      <c r="AD101" s="136"/>
      <c r="AE101" s="136"/>
    </row>
    <row r="102" spans="1:31">
      <c r="A102" s="320">
        <v>26</v>
      </c>
      <c r="B102" s="3565" t="s">
        <v>3681</v>
      </c>
      <c r="C102" s="3730">
        <v>656000</v>
      </c>
      <c r="D102" s="3730">
        <v>762000</v>
      </c>
      <c r="E102" s="3730">
        <v>1122000</v>
      </c>
      <c r="F102" s="3730">
        <v>1122000</v>
      </c>
      <c r="G102" s="3730">
        <v>1376000</v>
      </c>
      <c r="H102" s="3730">
        <v>1481000</v>
      </c>
      <c r="I102" s="3730">
        <v>1906000</v>
      </c>
      <c r="J102" s="3730">
        <v>2675694.110576923</v>
      </c>
      <c r="K102" s="3730">
        <v>3042165.8653846155</v>
      </c>
      <c r="L102" s="3730">
        <v>2858000</v>
      </c>
      <c r="M102"/>
      <c r="N102"/>
      <c r="O102"/>
      <c r="P102"/>
      <c r="Q102"/>
      <c r="R102" s="189"/>
      <c r="S102" s="189"/>
      <c r="T102" s="189"/>
      <c r="U102" s="189"/>
      <c r="V102" s="189"/>
      <c r="W102" s="189"/>
      <c r="X102" s="189"/>
      <c r="Y102" s="136"/>
      <c r="Z102" s="136"/>
      <c r="AA102" s="136"/>
      <c r="AB102" s="136"/>
      <c r="AC102" s="136"/>
      <c r="AD102" s="136"/>
      <c r="AE102" s="136"/>
    </row>
    <row r="103" spans="1:31">
      <c r="A103" s="320">
        <v>27</v>
      </c>
      <c r="B103" s="3565" t="s">
        <v>3682</v>
      </c>
      <c r="C103" s="3730">
        <v>862000</v>
      </c>
      <c r="D103" s="3730">
        <v>1050000</v>
      </c>
      <c r="E103" s="3730">
        <v>1266000</v>
      </c>
      <c r="F103" s="3730">
        <v>1700000</v>
      </c>
      <c r="G103" s="3730">
        <v>1954000</v>
      </c>
      <c r="H103" s="3730">
        <v>2110000</v>
      </c>
      <c r="I103" s="3730">
        <v>2878000</v>
      </c>
      <c r="J103" s="3730">
        <v>3004304.0865384615</v>
      </c>
      <c r="K103" s="3730">
        <v>3230219.951923077</v>
      </c>
      <c r="L103" s="3730">
        <v>4538000</v>
      </c>
      <c r="M103"/>
      <c r="N103"/>
      <c r="O103"/>
      <c r="P103"/>
      <c r="Q103"/>
      <c r="R103" s="189"/>
      <c r="S103" s="189"/>
      <c r="T103" s="189"/>
      <c r="U103" s="189"/>
      <c r="V103" s="189"/>
      <c r="W103" s="189"/>
      <c r="X103" s="189"/>
      <c r="Y103" s="136"/>
      <c r="Z103" s="136"/>
      <c r="AA103" s="136"/>
      <c r="AB103" s="136"/>
      <c r="AC103" s="136"/>
      <c r="AD103" s="136"/>
      <c r="AE103" s="136"/>
    </row>
    <row r="104" spans="1:31">
      <c r="A104" s="320">
        <v>28</v>
      </c>
      <c r="B104" s="3565" t="s">
        <v>3683</v>
      </c>
      <c r="C104" s="3730">
        <v>795000</v>
      </c>
      <c r="D104" s="3730">
        <v>1015000</v>
      </c>
      <c r="E104" s="3730">
        <v>1235000</v>
      </c>
      <c r="F104" s="3730">
        <v>1665000</v>
      </c>
      <c r="G104" s="3730">
        <v>1924000</v>
      </c>
      <c r="H104" s="3730">
        <v>2012000</v>
      </c>
      <c r="I104" s="3730">
        <v>2565000</v>
      </c>
      <c r="J104" s="3730">
        <v>2583605.769230769</v>
      </c>
      <c r="K104" s="3730">
        <v>3136192.908653846</v>
      </c>
      <c r="L104" s="3730">
        <v>4070000</v>
      </c>
      <c r="M104"/>
      <c r="N104"/>
      <c r="O104"/>
      <c r="P104"/>
      <c r="Q104"/>
      <c r="R104" s="189"/>
      <c r="S104" s="189"/>
      <c r="T104" s="189"/>
      <c r="U104" s="189"/>
      <c r="V104" s="189"/>
      <c r="W104" s="189"/>
      <c r="X104" s="189"/>
      <c r="Y104" s="136"/>
      <c r="Z104" s="136"/>
      <c r="AA104" s="136"/>
      <c r="AB104" s="136"/>
      <c r="AC104" s="136"/>
      <c r="AD104" s="136"/>
      <c r="AE104" s="136"/>
    </row>
    <row r="105" spans="1:31">
      <c r="A105" s="320">
        <v>29</v>
      </c>
      <c r="B105" s="3565" t="s">
        <v>3684</v>
      </c>
      <c r="C105" s="3730">
        <v>5180000</v>
      </c>
      <c r="D105" s="3730">
        <v>6060000</v>
      </c>
      <c r="E105" s="3730">
        <v>7200000</v>
      </c>
      <c r="F105" s="3730">
        <v>7680000</v>
      </c>
      <c r="G105" s="3730">
        <v>8584000</v>
      </c>
      <c r="H105" s="3730">
        <v>9640000</v>
      </c>
      <c r="I105" s="3730">
        <v>11480000</v>
      </c>
      <c r="J105" s="3730">
        <v>11238940.504807692</v>
      </c>
      <c r="K105" s="3730">
        <v>12890771.634615384</v>
      </c>
      <c r="L105" s="3730">
        <v>14540000</v>
      </c>
      <c r="M105"/>
      <c r="N105"/>
      <c r="O105"/>
      <c r="P105"/>
      <c r="Q105"/>
      <c r="R105" s="189"/>
      <c r="S105" s="189"/>
      <c r="T105" s="189"/>
      <c r="U105" s="189"/>
      <c r="V105" s="189"/>
      <c r="W105" s="189"/>
      <c r="X105" s="189"/>
      <c r="Y105" s="136"/>
      <c r="Z105" s="136"/>
      <c r="AA105" s="136"/>
      <c r="AB105" s="136"/>
      <c r="AC105" s="136"/>
      <c r="AD105" s="136"/>
      <c r="AE105" s="136"/>
    </row>
    <row r="106" spans="1:31">
      <c r="A106" s="320">
        <v>30</v>
      </c>
      <c r="B106" s="3565" t="s">
        <v>3685</v>
      </c>
      <c r="C106" s="3730">
        <v>7030000</v>
      </c>
      <c r="D106" s="3730">
        <v>7960000</v>
      </c>
      <c r="E106" s="3730">
        <v>9158000</v>
      </c>
      <c r="F106" s="3730">
        <v>10580000</v>
      </c>
      <c r="G106" s="3730">
        <v>11834000</v>
      </c>
      <c r="H106" s="3730">
        <v>12340000</v>
      </c>
      <c r="I106" s="3730">
        <v>15380000</v>
      </c>
      <c r="J106" s="3730">
        <v>15122160.45673077</v>
      </c>
      <c r="K106" s="3730">
        <v>16829244.591346152</v>
      </c>
      <c r="L106" s="3730">
        <v>19740000</v>
      </c>
      <c r="M106"/>
      <c r="N106"/>
      <c r="O106"/>
      <c r="P106"/>
      <c r="Q106"/>
      <c r="R106" s="189"/>
      <c r="S106" s="189"/>
      <c r="T106" s="189"/>
      <c r="U106" s="189"/>
      <c r="V106" s="189"/>
      <c r="W106" s="189"/>
      <c r="X106" s="189"/>
      <c r="Y106" s="136"/>
      <c r="Z106" s="136"/>
      <c r="AA106" s="136"/>
      <c r="AB106" s="136"/>
      <c r="AC106" s="136"/>
      <c r="AD106" s="136"/>
      <c r="AE106" s="136"/>
    </row>
    <row r="107" spans="1:31">
      <c r="A107" s="320">
        <v>31</v>
      </c>
      <c r="B107" s="3565" t="s">
        <v>3686</v>
      </c>
      <c r="C107" s="3730">
        <v>3280000</v>
      </c>
      <c r="D107" s="3730">
        <v>3760000</v>
      </c>
      <c r="E107" s="3730">
        <v>4600000</v>
      </c>
      <c r="F107" s="3730">
        <v>4980000</v>
      </c>
      <c r="G107" s="3730">
        <v>5584000</v>
      </c>
      <c r="H107" s="3730">
        <v>5990000</v>
      </c>
      <c r="I107" s="3730">
        <v>7530000</v>
      </c>
      <c r="J107" s="3730">
        <v>7248122.596153846</v>
      </c>
      <c r="K107" s="3730">
        <v>7825912.860576923</v>
      </c>
      <c r="L107" s="3730">
        <v>9140000</v>
      </c>
      <c r="M107"/>
      <c r="N107"/>
      <c r="O107"/>
      <c r="P107"/>
      <c r="Q107"/>
      <c r="R107" s="189"/>
      <c r="S107" s="189"/>
      <c r="T107" s="189"/>
      <c r="U107" s="189"/>
      <c r="V107" s="189"/>
      <c r="W107" s="189"/>
      <c r="X107" s="189"/>
      <c r="Y107" s="136"/>
      <c r="Z107" s="136"/>
      <c r="AA107" s="136"/>
      <c r="AB107" s="136"/>
      <c r="AC107" s="136"/>
      <c r="AD107" s="136"/>
      <c r="AE107" s="136"/>
    </row>
    <row r="108" spans="1:31">
      <c r="A108" s="320">
        <v>32</v>
      </c>
      <c r="B108" s="3565" t="s">
        <v>3687</v>
      </c>
      <c r="C108" s="3730">
        <v>1520000</v>
      </c>
      <c r="D108" s="3730">
        <v>1886000</v>
      </c>
      <c r="E108" s="3730">
        <v>2270000</v>
      </c>
      <c r="F108" s="3730">
        <v>2610000</v>
      </c>
      <c r="G108" s="3730">
        <v>2974000</v>
      </c>
      <c r="H108" s="3730">
        <v>3175000</v>
      </c>
      <c r="I108" s="3730">
        <v>4485000</v>
      </c>
      <c r="J108" s="3730">
        <v>4458330.528846154</v>
      </c>
      <c r="K108" s="3730">
        <v>4777304.086538462</v>
      </c>
      <c r="L108" s="3730">
        <v>6560000</v>
      </c>
      <c r="M108"/>
      <c r="N108"/>
      <c r="O108"/>
      <c r="P108"/>
      <c r="Q108"/>
      <c r="R108" s="189"/>
      <c r="S108" s="189"/>
      <c r="T108" s="189"/>
      <c r="U108" s="189"/>
      <c r="V108" s="189"/>
      <c r="W108" s="189"/>
      <c r="X108" s="189"/>
      <c r="Y108" s="136"/>
      <c r="Z108" s="136"/>
      <c r="AA108" s="136"/>
      <c r="AB108" s="136"/>
      <c r="AC108" s="136"/>
      <c r="AD108" s="136"/>
      <c r="AE108" s="136"/>
    </row>
    <row r="109" spans="1:31">
      <c r="A109" s="320">
        <v>33</v>
      </c>
      <c r="B109" s="3565" t="s">
        <v>3367</v>
      </c>
      <c r="C109" s="3730">
        <v>3280000</v>
      </c>
      <c r="D109" s="3730">
        <v>3760000</v>
      </c>
      <c r="E109" s="3730">
        <v>4600000</v>
      </c>
      <c r="F109" s="3730">
        <v>4980000</v>
      </c>
      <c r="G109" s="3730">
        <v>5584000</v>
      </c>
      <c r="H109" s="3730">
        <v>5990000</v>
      </c>
      <c r="I109" s="3730">
        <v>7530000</v>
      </c>
      <c r="J109" s="3730">
        <v>7553468.149038462</v>
      </c>
      <c r="K109" s="3730">
        <v>7825912.860576923</v>
      </c>
      <c r="L109" s="3730">
        <v>9140000</v>
      </c>
      <c r="M109"/>
      <c r="N109"/>
      <c r="O109"/>
      <c r="P109"/>
      <c r="Q109"/>
      <c r="R109" s="189"/>
      <c r="S109" s="189"/>
      <c r="T109" s="189"/>
      <c r="U109" s="189"/>
      <c r="V109" s="189"/>
      <c r="W109" s="189"/>
      <c r="X109" s="189"/>
      <c r="Y109" s="136"/>
      <c r="Z109" s="136"/>
      <c r="AA109" s="136"/>
      <c r="AB109" s="136"/>
      <c r="AC109" s="136"/>
      <c r="AD109" s="136"/>
      <c r="AE109" s="136"/>
    </row>
    <row r="110" spans="1:31">
      <c r="A110" s="320">
        <v>34</v>
      </c>
      <c r="B110" s="3565"/>
      <c r="C110" s="3730"/>
      <c r="D110" s="3730"/>
      <c r="E110" s="3730"/>
      <c r="F110" s="3730"/>
      <c r="G110" s="3730"/>
      <c r="H110" s="3730"/>
      <c r="I110" s="3730"/>
      <c r="J110" s="3730"/>
      <c r="K110" s="2405"/>
      <c r="L110" s="3730"/>
      <c r="M110"/>
      <c r="N110"/>
      <c r="O110"/>
      <c r="P110"/>
      <c r="Q110"/>
      <c r="R110" s="189"/>
      <c r="S110" s="189"/>
      <c r="T110" s="189"/>
      <c r="U110" s="189"/>
      <c r="V110" s="189"/>
      <c r="W110" s="189"/>
      <c r="X110" s="189"/>
      <c r="Y110" s="136"/>
      <c r="Z110" s="136"/>
      <c r="AA110" s="136"/>
      <c r="AB110" s="136"/>
      <c r="AC110" s="136"/>
      <c r="AD110" s="136"/>
      <c r="AE110" s="136"/>
    </row>
    <row r="111" spans="1:31">
      <c r="A111" s="320">
        <v>35</v>
      </c>
      <c r="B111" s="3565"/>
      <c r="C111" s="3730"/>
      <c r="D111" s="3730"/>
      <c r="E111" s="3730"/>
      <c r="F111" s="3730"/>
      <c r="G111" s="3730"/>
      <c r="H111" s="3730"/>
      <c r="I111" s="3730"/>
      <c r="J111" s="3730"/>
      <c r="K111" s="2405"/>
      <c r="L111" s="3730"/>
      <c r="M111"/>
      <c r="N111"/>
      <c r="O111"/>
      <c r="P111"/>
      <c r="Q111"/>
      <c r="R111" s="189"/>
      <c r="S111" s="189"/>
      <c r="T111" s="189"/>
      <c r="U111" s="189"/>
      <c r="V111" s="189"/>
      <c r="W111" s="189"/>
      <c r="X111" s="189"/>
      <c r="Y111" s="136"/>
      <c r="Z111" s="136"/>
      <c r="AA111" s="136"/>
      <c r="AB111" s="136"/>
      <c r="AC111" s="136"/>
      <c r="AD111" s="136"/>
      <c r="AE111" s="136"/>
    </row>
    <row r="112" spans="1:31">
      <c r="A112" s="320">
        <v>36</v>
      </c>
      <c r="B112" s="3565"/>
      <c r="C112" s="3730"/>
      <c r="D112" s="3730"/>
      <c r="E112" s="3730"/>
      <c r="F112" s="3730"/>
      <c r="G112" s="3730"/>
      <c r="H112" s="3730"/>
      <c r="I112" s="3730"/>
      <c r="J112" s="3730"/>
      <c r="K112" s="2405"/>
      <c r="L112" s="3730"/>
      <c r="M112"/>
      <c r="N112"/>
      <c r="O112"/>
      <c r="P112"/>
      <c r="Q112"/>
      <c r="R112" s="189"/>
      <c r="S112" s="189"/>
      <c r="T112" s="189"/>
      <c r="U112" s="189"/>
      <c r="V112" s="189"/>
      <c r="W112" s="189"/>
      <c r="X112" s="189"/>
      <c r="Y112" s="136"/>
      <c r="Z112" s="136"/>
      <c r="AA112" s="136"/>
      <c r="AB112" s="136"/>
      <c r="AC112" s="136"/>
      <c r="AD112" s="136"/>
      <c r="AE112" s="136"/>
    </row>
    <row r="113" spans="1:31">
      <c r="A113" s="320">
        <v>37</v>
      </c>
      <c r="B113" s="3565"/>
      <c r="C113" s="3731"/>
      <c r="D113" s="3731"/>
      <c r="E113" s="3731"/>
      <c r="F113" s="3731"/>
      <c r="G113" s="3731"/>
      <c r="H113" s="3731"/>
      <c r="I113" s="3731"/>
      <c r="J113" s="3731"/>
      <c r="K113" s="2405"/>
      <c r="L113" s="3731"/>
      <c r="M113"/>
      <c r="N113"/>
      <c r="O113"/>
      <c r="P113"/>
      <c r="Q113"/>
      <c r="R113" s="189"/>
      <c r="S113" s="189"/>
      <c r="T113" s="189"/>
      <c r="U113" s="189"/>
      <c r="V113" s="189"/>
      <c r="W113" s="189"/>
      <c r="X113" s="189"/>
      <c r="Y113" s="136"/>
      <c r="Z113" s="136"/>
      <c r="AA113" s="136"/>
      <c r="AB113" s="136"/>
      <c r="AC113" s="136"/>
      <c r="AD113" s="136"/>
      <c r="AE113" s="136"/>
    </row>
    <row r="114" spans="1:31">
      <c r="A114" s="320">
        <v>38</v>
      </c>
      <c r="B114" s="3565"/>
      <c r="C114" s="3731"/>
      <c r="D114" s="3731"/>
      <c r="E114" s="3731"/>
      <c r="F114" s="3731"/>
      <c r="G114" s="3731"/>
      <c r="H114" s="3731"/>
      <c r="I114" s="3731"/>
      <c r="J114" s="3731"/>
      <c r="K114" s="791"/>
      <c r="L114" s="3731"/>
      <c r="M114" s="791"/>
      <c r="N114" s="791"/>
      <c r="O114" s="791"/>
      <c r="P114" s="791"/>
      <c r="Q114" s="791"/>
      <c r="R114" s="189"/>
      <c r="S114" s="189"/>
      <c r="T114" s="189"/>
      <c r="U114" s="189"/>
      <c r="V114" s="189"/>
      <c r="W114" s="189"/>
      <c r="X114" s="189"/>
      <c r="Y114" s="136"/>
      <c r="Z114" s="136"/>
      <c r="AA114" s="136"/>
      <c r="AB114" s="136"/>
      <c r="AC114" s="136"/>
      <c r="AD114" s="136"/>
      <c r="AE114" s="136"/>
    </row>
    <row r="115" spans="1:31">
      <c r="A115" s="320">
        <v>39</v>
      </c>
      <c r="B115" s="3565"/>
      <c r="C115" s="3731"/>
      <c r="D115" s="3731"/>
      <c r="E115" s="3731"/>
      <c r="F115" s="3731"/>
      <c r="G115" s="3731"/>
      <c r="H115" s="3731"/>
      <c r="I115" s="3731"/>
      <c r="J115" s="3731"/>
      <c r="K115" s="791"/>
      <c r="L115" s="3731"/>
      <c r="M115" s="791"/>
      <c r="N115" s="791"/>
      <c r="O115" s="791"/>
      <c r="P115" s="791"/>
      <c r="Q115" s="791"/>
      <c r="R115" s="189"/>
      <c r="S115" s="189"/>
      <c r="T115" s="189"/>
      <c r="U115" s="189"/>
      <c r="V115" s="189"/>
      <c r="W115" s="189"/>
      <c r="X115" s="189"/>
      <c r="Y115" s="136"/>
      <c r="Z115" s="136"/>
      <c r="AA115" s="136"/>
      <c r="AB115" s="136"/>
      <c r="AC115" s="136"/>
      <c r="AD115" s="136"/>
      <c r="AE115" s="136"/>
    </row>
    <row r="116" spans="1:31">
      <c r="A116" s="320">
        <v>40</v>
      </c>
      <c r="B116" s="3565"/>
      <c r="C116" s="3731"/>
      <c r="D116" s="3731"/>
      <c r="E116" s="3731"/>
      <c r="F116" s="3731"/>
      <c r="G116" s="3731"/>
      <c r="H116" s="3731"/>
      <c r="I116" s="3731"/>
      <c r="J116" s="3731"/>
      <c r="K116" s="791"/>
      <c r="L116" s="3731"/>
      <c r="M116" s="791"/>
      <c r="N116" s="791"/>
      <c r="O116" s="791"/>
      <c r="P116" s="791"/>
      <c r="Q116" s="791"/>
      <c r="R116" s="189"/>
      <c r="S116" s="189"/>
      <c r="T116" s="189"/>
      <c r="U116" s="189"/>
      <c r="V116" s="189"/>
      <c r="W116" s="189"/>
      <c r="X116" s="189"/>
      <c r="Y116" s="136"/>
      <c r="Z116" s="136"/>
      <c r="AA116" s="136"/>
      <c r="AB116" s="136"/>
      <c r="AC116" s="136"/>
      <c r="AD116" s="136"/>
      <c r="AE116" s="136"/>
    </row>
    <row r="117" spans="1:31">
      <c r="A117" s="320">
        <v>41</v>
      </c>
      <c r="B117" s="3565"/>
      <c r="C117" s="3731"/>
      <c r="D117" s="3731"/>
      <c r="E117" s="3731"/>
      <c r="F117" s="3731"/>
      <c r="G117" s="3731"/>
      <c r="H117" s="3731"/>
      <c r="I117" s="3731"/>
      <c r="J117" s="3731"/>
      <c r="K117" s="791"/>
      <c r="L117" s="3731"/>
      <c r="M117" s="791"/>
      <c r="N117" s="791"/>
      <c r="O117" s="791"/>
      <c r="P117" s="791"/>
      <c r="Q117" s="791"/>
      <c r="R117" s="189"/>
      <c r="S117" s="189"/>
      <c r="T117" s="189"/>
      <c r="U117" s="189"/>
      <c r="V117" s="189"/>
      <c r="W117" s="189"/>
      <c r="X117" s="189"/>
      <c r="Y117" s="136"/>
      <c r="Z117" s="136"/>
      <c r="AA117" s="136"/>
      <c r="AB117" s="136"/>
      <c r="AC117" s="136"/>
      <c r="AD117" s="136"/>
      <c r="AE117" s="136"/>
    </row>
    <row r="118" spans="1:31">
      <c r="A118" s="320">
        <v>42</v>
      </c>
      <c r="B118" s="3565"/>
      <c r="C118" s="3731"/>
      <c r="D118" s="3731"/>
      <c r="E118" s="3731"/>
      <c r="F118" s="3731"/>
      <c r="G118" s="3731"/>
      <c r="H118" s="3731"/>
      <c r="I118" s="3731"/>
      <c r="J118" s="3731"/>
      <c r="K118" s="791"/>
      <c r="L118" s="3731"/>
      <c r="M118" s="791"/>
      <c r="N118" s="791"/>
      <c r="O118" s="791"/>
      <c r="P118" s="791"/>
      <c r="Q118" s="791"/>
      <c r="R118" s="189"/>
      <c r="S118" s="189"/>
      <c r="T118" s="189"/>
      <c r="U118" s="189"/>
      <c r="V118" s="189"/>
      <c r="W118" s="189"/>
      <c r="X118" s="189"/>
      <c r="Y118" s="136"/>
      <c r="Z118" s="136"/>
      <c r="AA118" s="136"/>
      <c r="AB118" s="136"/>
      <c r="AC118" s="136"/>
      <c r="AD118" s="136"/>
      <c r="AE118" s="136"/>
    </row>
    <row r="119" spans="1:31">
      <c r="A119" s="320">
        <v>43</v>
      </c>
      <c r="B119" s="3565"/>
      <c r="C119" s="3731"/>
      <c r="D119" s="3731"/>
      <c r="E119" s="3731"/>
      <c r="F119" s="3731"/>
      <c r="G119" s="3731"/>
      <c r="H119" s="3731"/>
      <c r="I119" s="3731"/>
      <c r="J119" s="3731"/>
      <c r="K119" s="791"/>
      <c r="L119" s="3731"/>
      <c r="M119" s="791"/>
      <c r="N119" s="791"/>
      <c r="O119" s="791"/>
      <c r="P119" s="791"/>
      <c r="Q119" s="791"/>
      <c r="R119" s="189"/>
      <c r="S119" s="189"/>
      <c r="T119" s="189"/>
      <c r="U119" s="189"/>
      <c r="V119" s="189"/>
      <c r="W119" s="189"/>
      <c r="X119" s="189"/>
      <c r="Y119" s="136"/>
      <c r="Z119" s="136"/>
      <c r="AA119" s="136"/>
      <c r="AB119" s="136"/>
      <c r="AC119" s="136"/>
      <c r="AD119" s="136"/>
      <c r="AE119" s="136"/>
    </row>
    <row r="120" spans="1:31">
      <c r="A120" s="320">
        <v>44</v>
      </c>
      <c r="B120" s="3950" t="s">
        <v>3247</v>
      </c>
      <c r="C120" s="3953">
        <v>200000</v>
      </c>
      <c r="D120" s="3953">
        <v>200000</v>
      </c>
      <c r="E120" s="3953">
        <v>200000</v>
      </c>
      <c r="F120" s="3953">
        <v>200000</v>
      </c>
      <c r="G120" s="3953">
        <v>200000</v>
      </c>
      <c r="H120" s="3953">
        <v>200000</v>
      </c>
      <c r="I120" s="3953">
        <v>200000</v>
      </c>
      <c r="J120" s="3953">
        <v>200000</v>
      </c>
      <c r="K120" s="791"/>
      <c r="L120" s="3731"/>
      <c r="M120" s="791"/>
      <c r="N120" s="791"/>
      <c r="O120" s="791"/>
      <c r="P120" s="791"/>
      <c r="Q120" s="791"/>
      <c r="R120" s="189"/>
      <c r="S120" s="189"/>
      <c r="T120" s="189"/>
      <c r="U120" s="189"/>
      <c r="V120" s="189"/>
      <c r="W120" s="189"/>
      <c r="X120" s="189"/>
      <c r="Y120" s="136"/>
      <c r="Z120" s="136"/>
      <c r="AA120" s="136"/>
      <c r="AB120" s="136"/>
      <c r="AC120" s="136"/>
      <c r="AD120" s="136"/>
      <c r="AE120" s="136"/>
    </row>
    <row r="121" spans="1:31">
      <c r="A121" s="320">
        <v>45</v>
      </c>
      <c r="B121" s="3565" t="s">
        <v>1459</v>
      </c>
      <c r="C121" s="3731"/>
      <c r="D121" s="3731"/>
      <c r="E121" s="3731"/>
      <c r="F121" s="3731"/>
      <c r="G121" s="3731"/>
      <c r="H121" s="3731"/>
      <c r="I121" s="3731"/>
      <c r="J121" s="3731"/>
      <c r="K121" s="791"/>
      <c r="L121" s="3731"/>
      <c r="M121" s="791"/>
      <c r="N121" s="791"/>
      <c r="O121" s="791"/>
      <c r="P121" s="791"/>
      <c r="Q121" s="791"/>
      <c r="R121" s="189"/>
      <c r="S121" s="189"/>
      <c r="T121" s="189"/>
      <c r="U121" s="189"/>
      <c r="V121" s="189"/>
      <c r="W121" s="189"/>
      <c r="X121" s="189"/>
      <c r="Y121" s="136"/>
      <c r="Z121" s="136"/>
      <c r="AA121" s="136"/>
      <c r="AB121" s="136"/>
      <c r="AC121" s="136"/>
      <c r="AD121" s="136"/>
      <c r="AE121" s="136"/>
    </row>
    <row r="122" spans="1:31">
      <c r="A122" s="320">
        <v>46</v>
      </c>
      <c r="B122" s="3565" t="s">
        <v>1634</v>
      </c>
      <c r="C122" s="3731">
        <f>+MAX(100000,1000*Freight!$C$15)</f>
        <v>100000</v>
      </c>
      <c r="D122" s="3731">
        <f>+MAX(100000,1000*Freight!$C$15)</f>
        <v>100000</v>
      </c>
      <c r="E122" s="3731">
        <f>+MAX(100000,1000*Freight!$C$15)</f>
        <v>100000</v>
      </c>
      <c r="F122" s="3731">
        <f>+MAX(100000,1000*Freight!$C$15)</f>
        <v>100000</v>
      </c>
      <c r="G122" s="3731">
        <f>+MAX(100000,1000*Freight!$C$15)</f>
        <v>100000</v>
      </c>
      <c r="H122" s="3731">
        <f>+MAX(100000,1000*Freight!$C$15)</f>
        <v>100000</v>
      </c>
      <c r="I122" s="3731">
        <f>+MAX(100000,1000*Freight!$C$15)</f>
        <v>100000</v>
      </c>
      <c r="J122" s="3731">
        <f>+MAX(100000,1000*Freight!$C$15)</f>
        <v>100000</v>
      </c>
      <c r="K122" s="791"/>
      <c r="L122" s="3731">
        <f>+MAX(100000,1000*Freight!$C$15)</f>
        <v>100000</v>
      </c>
      <c r="M122" s="791"/>
      <c r="N122" s="791"/>
      <c r="O122" s="791"/>
      <c r="P122" s="791"/>
      <c r="Q122" s="791"/>
      <c r="R122" s="189"/>
      <c r="S122" s="189"/>
      <c r="T122" s="189"/>
      <c r="U122" s="189"/>
      <c r="V122" s="189"/>
      <c r="W122" s="189"/>
      <c r="X122" s="189"/>
      <c r="Y122" s="136"/>
      <c r="Z122" s="136"/>
      <c r="AA122" s="136"/>
      <c r="AB122" s="136"/>
      <c r="AC122" s="136"/>
      <c r="AD122" s="136"/>
      <c r="AE122" s="136"/>
    </row>
    <row r="123" spans="1:31">
      <c r="A123" s="320">
        <v>47</v>
      </c>
      <c r="B123" s="3565">
        <f t="shared" ref="B123:B124" si="3">T123</f>
        <v>0</v>
      </c>
      <c r="C123" s="3667"/>
      <c r="D123" s="3667"/>
      <c r="E123" s="3667"/>
      <c r="F123" s="3667"/>
      <c r="G123" s="3667"/>
      <c r="H123" s="3667"/>
      <c r="I123" s="3667"/>
      <c r="J123" s="3667"/>
      <c r="L123" s="3667"/>
      <c r="R123" s="189"/>
      <c r="S123" s="189"/>
      <c r="T123" s="189"/>
      <c r="U123" s="189"/>
      <c r="V123" s="189"/>
      <c r="W123" s="189"/>
      <c r="X123" s="189"/>
      <c r="Y123" s="136"/>
      <c r="Z123" s="136"/>
      <c r="AA123" s="136"/>
      <c r="AB123" s="136"/>
      <c r="AC123" s="136"/>
      <c r="AD123" s="136"/>
      <c r="AE123" s="136"/>
    </row>
    <row r="124" spans="1:31">
      <c r="A124" s="320">
        <v>48</v>
      </c>
      <c r="B124" s="3565">
        <f t="shared" si="3"/>
        <v>0</v>
      </c>
      <c r="C124" s="3667"/>
      <c r="D124" s="3667"/>
      <c r="E124" s="3667"/>
      <c r="F124" s="3667"/>
      <c r="G124" s="3667"/>
      <c r="H124" s="3667"/>
      <c r="I124" s="3667"/>
      <c r="J124" s="3667"/>
      <c r="L124" s="3667"/>
      <c r="R124" s="189"/>
      <c r="S124" s="189"/>
      <c r="T124" s="189"/>
      <c r="U124" s="189"/>
      <c r="V124" s="189"/>
      <c r="W124" s="189"/>
      <c r="X124" s="189"/>
      <c r="Y124" s="136"/>
      <c r="Z124" s="136"/>
      <c r="AA124" s="136"/>
      <c r="AB124" s="136"/>
      <c r="AC124" s="136"/>
      <c r="AD124" s="136"/>
      <c r="AE124" s="136"/>
    </row>
    <row r="125" spans="1:31">
      <c r="R125" s="189"/>
      <c r="S125" s="189"/>
      <c r="T125" s="189"/>
      <c r="U125" s="189"/>
      <c r="V125" s="189"/>
      <c r="W125" s="189"/>
      <c r="X125" s="189"/>
      <c r="Y125" s="136"/>
      <c r="Z125" s="136"/>
      <c r="AA125" s="136"/>
      <c r="AB125" s="136"/>
      <c r="AC125" s="136"/>
      <c r="AD125" s="136"/>
      <c r="AE125" s="136"/>
    </row>
    <row r="126" spans="1:31">
      <c r="R126" s="189"/>
      <c r="S126" s="189"/>
      <c r="T126" s="189"/>
      <c r="U126" s="189"/>
      <c r="V126" s="189"/>
      <c r="W126" s="189"/>
      <c r="X126" s="189"/>
      <c r="Y126" s="136"/>
      <c r="Z126" s="136"/>
      <c r="AA126" s="136"/>
      <c r="AB126" s="136"/>
      <c r="AC126" s="136"/>
      <c r="AD126" s="136"/>
      <c r="AE126" s="136"/>
    </row>
    <row r="127" spans="1:31">
      <c r="B127" s="2405" t="s">
        <v>3732</v>
      </c>
      <c r="R127" s="189"/>
      <c r="S127" s="189"/>
      <c r="T127" s="189"/>
      <c r="U127" s="189"/>
      <c r="V127" s="189"/>
      <c r="W127" s="189"/>
      <c r="X127" s="189"/>
      <c r="Y127" s="136"/>
      <c r="Z127" s="136"/>
      <c r="AA127" s="136"/>
      <c r="AB127" s="136"/>
      <c r="AC127" s="136"/>
      <c r="AD127" s="136"/>
      <c r="AE127" s="136"/>
    </row>
    <row r="128" spans="1:31">
      <c r="B128" s="2405" t="s">
        <v>3733</v>
      </c>
      <c r="R128" s="189"/>
      <c r="S128" s="189"/>
      <c r="T128" s="189"/>
      <c r="U128" s="189"/>
      <c r="V128" s="189"/>
      <c r="W128" s="189"/>
      <c r="X128" s="189"/>
      <c r="Y128" s="136"/>
      <c r="Z128" s="136"/>
      <c r="AA128" s="136"/>
      <c r="AB128" s="136"/>
      <c r="AC128" s="136"/>
      <c r="AD128" s="136"/>
      <c r="AE128" s="136"/>
    </row>
    <row r="129" spans="2:2">
      <c r="B129" s="2405" t="s">
        <v>3734</v>
      </c>
    </row>
    <row r="130" spans="2:2">
      <c r="B130" s="2405" t="s">
        <v>3735</v>
      </c>
    </row>
    <row r="131" spans="2:2">
      <c r="B131" s="2405" t="s">
        <v>3736</v>
      </c>
    </row>
    <row r="132" spans="2:2">
      <c r="B132" s="2887"/>
    </row>
    <row r="133" spans="2:2">
      <c r="B133" s="3951" t="s">
        <v>3737</v>
      </c>
    </row>
    <row r="134" spans="2:2">
      <c r="B134" s="3951"/>
    </row>
    <row r="135" spans="2:2">
      <c r="B135" s="3951" t="s">
        <v>3738</v>
      </c>
    </row>
    <row r="136" spans="2:2">
      <c r="B136" s="3951"/>
    </row>
    <row r="137" spans="2:2">
      <c r="B137" s="3952" t="s">
        <v>3739</v>
      </c>
    </row>
    <row r="138" spans="2:2">
      <c r="B138" s="3952" t="s">
        <v>3740</v>
      </c>
    </row>
    <row r="139" spans="2:2">
      <c r="B139" s="3952" t="s">
        <v>3741</v>
      </c>
    </row>
    <row r="140" spans="2:2">
      <c r="B140" s="3952" t="s">
        <v>3742</v>
      </c>
    </row>
    <row r="141" spans="2:2">
      <c r="B141" s="3951" t="s">
        <v>3743</v>
      </c>
    </row>
    <row r="142" spans="2:2">
      <c r="B142" s="3951"/>
    </row>
  </sheetData>
  <autoFilter ref="B2:B85" xr:uid="{00000000-0009-0000-0000-000026000000}"/>
  <dataValidations disablePrompts="1" count="1">
    <dataValidation type="list" allowBlank="1" showInputMessage="1" showErrorMessage="1" sqref="D2" xr:uid="{1AE46DAE-9238-4CD6-80E4-965855002DAE}">
      <formula1>"CRAYOLA CHINA,CRAYOLA AMAZON"</formula1>
    </dataValidation>
  </dataValidations>
  <pageMargins left="0.7" right="0.7" top="0.75" bottom="0.75" header="0.3" footer="0.3"/>
  <pageSetup orientation="portrait" horizontalDpi="4294967295" verticalDpi="4294967295"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tabColor rgb="FFFFC000"/>
  </sheetPr>
  <dimension ref="A1:AU245"/>
  <sheetViews>
    <sheetView showGridLines="0" topLeftCell="AG1" zoomScale="85" zoomScaleNormal="85" workbookViewId="0">
      <pane ySplit="7" topLeftCell="A227" activePane="bottomLeft" state="frozen"/>
      <selection activeCell="C9" sqref="A9:H597"/>
      <selection pane="bottomLeft" activeCell="C9" sqref="A9:H597"/>
    </sheetView>
  </sheetViews>
  <sheetFormatPr defaultColWidth="8.85546875" defaultRowHeight="12.75" outlineLevelRow="1"/>
  <cols>
    <col min="1" max="1" width="8.85546875" style="136"/>
    <col min="2" max="2" width="9.85546875" style="136" customWidth="1"/>
    <col min="3" max="3" width="8.85546875" style="136" customWidth="1"/>
    <col min="4" max="4" width="24.5703125" style="136" customWidth="1"/>
    <col min="5" max="6" width="8" style="136" customWidth="1"/>
    <col min="7" max="7" width="10.42578125" style="136" customWidth="1"/>
    <col min="8" max="8" width="10.85546875" style="136" customWidth="1"/>
    <col min="9" max="11" width="8.85546875" style="136" customWidth="1"/>
    <col min="12" max="12" width="11.42578125" style="136" customWidth="1"/>
    <col min="13" max="13" width="18" style="136" customWidth="1"/>
    <col min="14" max="14" width="8.85546875" style="136" customWidth="1"/>
    <col min="15" max="15" width="8.85546875" style="136"/>
    <col min="16" max="16" width="14.42578125" style="136" bestFit="1" customWidth="1"/>
    <col min="17" max="45" width="8.85546875" style="136"/>
    <col min="46" max="47" width="8.85546875" style="315"/>
    <col min="48" max="16384" width="8.85546875" style="136"/>
  </cols>
  <sheetData>
    <row r="1" spans="1:47" ht="13.5" thickBot="1"/>
    <row r="2" spans="1:47">
      <c r="A2" s="319"/>
      <c r="B2" s="1724" t="s">
        <v>77</v>
      </c>
      <c r="C2" s="1725"/>
      <c r="D2" s="1726">
        <f>'Cost EST. GM target'!$L$6/(1+$F$3)</f>
        <v>5000</v>
      </c>
      <c r="E2" s="1725" t="s">
        <v>11</v>
      </c>
      <c r="F2" s="1725"/>
      <c r="G2" s="432"/>
      <c r="H2" s="791"/>
    </row>
    <row r="3" spans="1:47">
      <c r="A3" s="319"/>
      <c r="B3" s="882" t="s">
        <v>1342</v>
      </c>
      <c r="D3" s="883">
        <f>D2*(1+$F$3)</f>
        <v>5000</v>
      </c>
      <c r="E3" s="791" t="s">
        <v>11</v>
      </c>
      <c r="F3" s="797">
        <f>'Cost EST. GM target'!$N$6</f>
        <v>0</v>
      </c>
      <c r="G3" s="884" t="s">
        <v>1094</v>
      </c>
    </row>
    <row r="4" spans="1:47" ht="13.5" thickBot="1">
      <c r="A4" s="319"/>
      <c r="B4" s="885" t="s">
        <v>1341</v>
      </c>
      <c r="C4" s="886"/>
      <c r="D4" s="887">
        <f>D3*(1+$F$4)</f>
        <v>5225</v>
      </c>
      <c r="E4" s="886" t="s">
        <v>11</v>
      </c>
      <c r="F4" s="888">
        <f>input!$D$4</f>
        <v>4.4999999999999998E-2</v>
      </c>
      <c r="G4" s="889" t="s">
        <v>78</v>
      </c>
      <c r="M4" s="3198" t="s">
        <v>3325</v>
      </c>
      <c r="N4" s="3199">
        <f>IF(input!$F$1=2023,5%,0%)*0</f>
        <v>0</v>
      </c>
    </row>
    <row r="5" spans="1:47">
      <c r="M5" s="319" t="s">
        <v>267</v>
      </c>
      <c r="N5" s="720">
        <f>input!$D$5</f>
        <v>0</v>
      </c>
    </row>
    <row r="6" spans="1:47" s="413" customFormat="1" ht="20.25">
      <c r="B6" s="962" t="s">
        <v>723</v>
      </c>
      <c r="C6" s="963"/>
      <c r="D6" s="963"/>
      <c r="E6" s="963"/>
      <c r="F6" s="963"/>
      <c r="G6" s="963"/>
      <c r="H6" s="963"/>
      <c r="I6" s="963"/>
      <c r="J6" s="943">
        <f ca="1">SUM(J8:J186)</f>
        <v>3.2</v>
      </c>
      <c r="K6" s="943">
        <f ca="1">SUM(K8:K186)</f>
        <v>1</v>
      </c>
      <c r="L6" s="943">
        <f ca="1">SUM(L8:L186)</f>
        <v>88000</v>
      </c>
      <c r="M6" s="943">
        <f ca="1">SUM(M8:M186)</f>
        <v>369600</v>
      </c>
      <c r="N6" s="943">
        <f ca="1">SUM(N8:N186)*(1+$N$4)</f>
        <v>73.92</v>
      </c>
      <c r="AT6" s="315"/>
      <c r="AU6" s="315"/>
    </row>
    <row r="7" spans="1:47" s="403" customFormat="1" ht="25.5">
      <c r="A7" s="146"/>
      <c r="B7" s="890" t="s">
        <v>1407</v>
      </c>
      <c r="D7" s="964"/>
      <c r="E7" s="890" t="s">
        <v>212</v>
      </c>
      <c r="F7" s="890" t="s">
        <v>231</v>
      </c>
      <c r="G7" s="890" t="s">
        <v>1110</v>
      </c>
      <c r="H7" s="890" t="s">
        <v>1409</v>
      </c>
      <c r="I7" s="403" t="s">
        <v>1119</v>
      </c>
      <c r="J7" s="890" t="s">
        <v>1408</v>
      </c>
      <c r="K7" s="4142" t="s">
        <v>20</v>
      </c>
      <c r="L7" s="4142"/>
      <c r="M7" s="146" t="s">
        <v>232</v>
      </c>
      <c r="N7" s="146" t="s">
        <v>146</v>
      </c>
      <c r="O7" s="403" t="s">
        <v>2055</v>
      </c>
      <c r="P7" s="146" t="s">
        <v>3689</v>
      </c>
      <c r="Q7" s="146" t="s">
        <v>3689</v>
      </c>
      <c r="R7" s="403" t="s">
        <v>3690</v>
      </c>
      <c r="AT7" s="3598" t="s">
        <v>135</v>
      </c>
      <c r="AU7" s="3598"/>
    </row>
    <row r="8" spans="1:47" ht="15">
      <c r="A8" s="952" t="str">
        <f ca="1">OFFSET(input!$A$25,Q8,0)</f>
        <v>Box</v>
      </c>
      <c r="B8" s="891">
        <f ca="1">IF(A8="N",0,SUMIFS(Paper!$AC$7:$AC$30,Paper!$A$7:$A$30,Coating!A8))</f>
        <v>2725</v>
      </c>
      <c r="C8" s="965" t="str">
        <f>input!F$27</f>
        <v>Front Side</v>
      </c>
      <c r="D8" s="966" t="str">
        <f ca="1">OFFSET(input!$E$27,P8,0)</f>
        <v>OPV-CX0186 Water base</v>
      </c>
      <c r="E8" s="967">
        <f ca="1">SUMIFS(Paper!$N$7:$N$30,Paper!$A$7:$A$30,A8)</f>
        <v>638</v>
      </c>
      <c r="F8" s="967">
        <f ca="1">SUMIFS(Paper!$O$7:$O$30,Paper!$A$7:$A$30,A8)</f>
        <v>407</v>
      </c>
      <c r="G8" s="968">
        <f ca="1">IF(A8="N",0,IF(OFFSET(input!$G$27,P8,0)&gt;0,OFFSET(input!$G$27,P8,0),SUMIFS(Data!$P$913:$P$942,Data!$L$913:$L$942,D8)*E8*F8*IF(AND(C8="Back Side",OR(D8="OPV Wet Hi-Rub",D8="TK Matt Varnished 22493")),2,1)))</f>
        <v>11.5</v>
      </c>
      <c r="I8" s="967">
        <f ca="1">IF(G8=0,0,IF(OFFSET(input!$H$27,P8,0)&gt;0,OFFSET(input!$H$27,P8,0),SUMIFS(Data!$O$913:$O$942,Data!$L$913:$L$942,D8)))</f>
        <v>88000</v>
      </c>
      <c r="J8" s="967">
        <f ca="1">ROUNDUP(IF(G8&gt;0,((B8/10000)*G8),0),1)</f>
        <v>3.2</v>
      </c>
      <c r="K8" s="967">
        <f ca="1">IF(G8&gt;0,1,0)*OFFSET(Paper!$J$7,R8,0)</f>
        <v>1</v>
      </c>
      <c r="L8" s="967">
        <f ca="1">K8*I8</f>
        <v>88000</v>
      </c>
      <c r="M8" s="967">
        <f ca="1">IF(J8=0,0,I8*(J8+K8))</f>
        <v>369600</v>
      </c>
      <c r="N8" s="967">
        <f ca="1">IF($D$2&gt;0,M8/($D$2),0)*(1+$N$5)</f>
        <v>73.92</v>
      </c>
      <c r="O8" s="136" t="str">
        <f ca="1">OFFSET(input!$F$33,Q8,0)</f>
        <v>Box</v>
      </c>
      <c r="P8" s="136">
        <v>0</v>
      </c>
      <c r="Q8" s="136">
        <v>0</v>
      </c>
      <c r="R8" s="136">
        <v>0</v>
      </c>
      <c r="AT8" s="3598">
        <f ca="1">IF(ISNUMBER(M8),IF(M8&lt;&gt;0,IF(ISNUMBER(SEARCH("to",J8)),0,1),0),"")</f>
        <v>1</v>
      </c>
      <c r="AU8" s="315">
        <f ca="1">COUNTIFS(AT$7:$AT8,1)</f>
        <v>1</v>
      </c>
    </row>
    <row r="9" spans="1:47" ht="15">
      <c r="A9" s="952" t="str">
        <f ca="1">OFFSET(input!$A$25,Q9,0)</f>
        <v>Box</v>
      </c>
      <c r="B9" s="891">
        <f ca="1">IF(A9="N",0,SUMIFS(Paper!$AC$7:$AC$30,Paper!$A$7:$A$30,Coating!A9))</f>
        <v>2725</v>
      </c>
      <c r="C9" s="965" t="str">
        <f>input!F$28</f>
        <v>Front Side</v>
      </c>
      <c r="D9" s="966" t="str">
        <f ca="1">OFFSET(input!$E$27,P9,0)</f>
        <v>None</v>
      </c>
      <c r="E9" s="967">
        <f ca="1">SUMIFS(Paper!$N$7:$N$30,Paper!$A$7:$A$30,A9)</f>
        <v>638</v>
      </c>
      <c r="F9" s="967">
        <f ca="1">SUMIFS(Paper!$O$7:$O$30,Paper!$A$7:$A$30,A9)</f>
        <v>407</v>
      </c>
      <c r="G9" s="968">
        <f ca="1">IF(A9="N",0,IF(OFFSET(input!$G$27,P9,0)&gt;0,OFFSET(input!$G$27,P9,0),SUMIFS(Data!$P$913:$P$942,Data!$L$913:$L$942,D9)*E9*F9*IF(AND(C9="Back Side",OR(D9="OPV Wet Hi-Rub",D9="TK Matt Varnished 22493")),2,1)))</f>
        <v>0</v>
      </c>
      <c r="I9" s="967">
        <f ca="1">IF(G9=0,0,IF(OFFSET(input!$H$27,P9,0)&gt;0,OFFSET(input!$H$27,P9,0),SUMIFS(Data!$O$913:$O$942,Data!$L$913:$L$942,D9)))</f>
        <v>0</v>
      </c>
      <c r="J9" s="967">
        <f ca="1">ROUNDUP(IF(G9&gt;0,((B9/10000)*G9),0),1)</f>
        <v>0</v>
      </c>
      <c r="K9" s="967">
        <f ca="1">IF(G9&gt;0,1,0)*OFFSET(Paper!$J$7,R9,0)</f>
        <v>0</v>
      </c>
      <c r="L9" s="967">
        <f ca="1">K9*I9</f>
        <v>0</v>
      </c>
      <c r="M9" s="967">
        <f ca="1">IF(J9=0,0,I9*(J9+K9))</f>
        <v>0</v>
      </c>
      <c r="N9" s="967">
        <f t="shared" ref="N9:N16" ca="1" si="0">IF($D$2&gt;0,M9/($D$2),0)*(1+$N$5)</f>
        <v>0</v>
      </c>
      <c r="O9" s="136" t="str">
        <f ca="1">OFFSET(input!$F$33,Q9,0)</f>
        <v>Box</v>
      </c>
      <c r="P9" s="136">
        <f>P8+1</f>
        <v>1</v>
      </c>
      <c r="Q9" s="136">
        <f>+Q8</f>
        <v>0</v>
      </c>
      <c r="R9" s="136">
        <f>+R8</f>
        <v>0</v>
      </c>
      <c r="AT9" s="3598">
        <f t="shared" ref="AT9:AT72" ca="1" si="1">IF(ISNUMBER(M9),IF(M9&lt;&gt;0,IF(ISNUMBER(SEARCH("to",J9)),0,1),0),"")</f>
        <v>0</v>
      </c>
      <c r="AU9" s="315">
        <f ca="1">COUNTIFS(AT$7:$AT9,1)</f>
        <v>1</v>
      </c>
    </row>
    <row r="10" spans="1:47" ht="15">
      <c r="A10" s="952" t="str">
        <f ca="1">OFFSET(input!$A$25,Q10,0)</f>
        <v>Box</v>
      </c>
      <c r="B10" s="891">
        <f ca="1">IF(A10="N",0,SUMIFS(Paper!$AC$7:$AC$30,Paper!$A$7:$A$30,Coating!A10))</f>
        <v>2725</v>
      </c>
      <c r="C10" s="965" t="str">
        <f>input!F$29</f>
        <v>Front Side</v>
      </c>
      <c r="D10" s="966" t="str">
        <f ca="1">OFFSET(input!$E$27,P10,0)</f>
        <v>None</v>
      </c>
      <c r="E10" s="967">
        <f ca="1">SUMIFS(Paper!$N$7:$N$30,Paper!$A$7:$A$30,A10)</f>
        <v>638</v>
      </c>
      <c r="F10" s="967">
        <f ca="1">SUMIFS(Paper!$O$7:$O$30,Paper!$A$7:$A$30,A10)</f>
        <v>407</v>
      </c>
      <c r="G10" s="968">
        <f ca="1">IF(A10="N",0,IF(OFFSET(input!$G$27,P10,0)&gt;0,OFFSET(input!$G$27,P10,0),SUMIFS(Data!$P$913:$P$942,Data!$L$913:$L$942,D10)*E10*F10*IF(AND(C10="Back Side",OR(D10="OPV Wet Hi-Rub",D10="TK Matt Varnished 22493")),2,1)))</f>
        <v>0</v>
      </c>
      <c r="I10" s="967">
        <f ca="1">IF(G10=0,0,IF(OFFSET(input!$H$27,P10,0)&gt;0,OFFSET(input!$H$27,P10,0),SUMIFS(Data!$O$913:$O$942,Data!$L$913:$L$942,D10)))</f>
        <v>0</v>
      </c>
      <c r="J10" s="967">
        <f ca="1">ROUNDUP(IF(G10&gt;0,((B10/10000)*G10),0),1)</f>
        <v>0</v>
      </c>
      <c r="K10" s="967">
        <f ca="1">IF(G10&gt;0,1,0)*OFFSET(Paper!$J$7,R10,0)</f>
        <v>0</v>
      </c>
      <c r="L10" s="967">
        <f ca="1">K10*I10</f>
        <v>0</v>
      </c>
      <c r="M10" s="967">
        <f ca="1">IF(J10=0,0,I10*(J10+K10))</f>
        <v>0</v>
      </c>
      <c r="N10" s="967">
        <f t="shared" ca="1" si="0"/>
        <v>0</v>
      </c>
      <c r="O10" s="136" t="str">
        <f ca="1">OFFSET(input!$F$33,Q10,0)</f>
        <v>Box</v>
      </c>
      <c r="P10" s="136">
        <f t="shared" ref="P10:P16" si="2">P9+1</f>
        <v>2</v>
      </c>
      <c r="Q10" s="136">
        <f t="shared" ref="Q10:R16" si="3">+Q9</f>
        <v>0</v>
      </c>
      <c r="R10" s="136">
        <f t="shared" si="3"/>
        <v>0</v>
      </c>
      <c r="AT10" s="3598">
        <f t="shared" ca="1" si="1"/>
        <v>0</v>
      </c>
      <c r="AU10" s="315">
        <f ca="1">COUNTIFS(AT$7:$AT10,1)</f>
        <v>1</v>
      </c>
    </row>
    <row r="11" spans="1:47" ht="15">
      <c r="A11" s="952" t="str">
        <f ca="1">OFFSET(input!$A$25,Q11,0)</f>
        <v>Box</v>
      </c>
      <c r="B11" s="891">
        <f ca="1">IF(A11="N",0,SUMIFS(Paper!$AC$7:$AC$30,Paper!$A$7:$A$30,Coating!A11))</f>
        <v>2725</v>
      </c>
      <c r="C11" s="965" t="str">
        <f>input!F$30</f>
        <v>Front Side</v>
      </c>
      <c r="D11" s="966" t="str">
        <f ca="1">OFFSET(input!$E$27,P11,0)</f>
        <v>None</v>
      </c>
      <c r="E11" s="967">
        <f ca="1">SUMIFS(Paper!$N$7:$N$30,Paper!$A$7:$A$30,A11)</f>
        <v>638</v>
      </c>
      <c r="F11" s="967">
        <f ca="1">SUMIFS(Paper!$O$7:$O$30,Paper!$A$7:$A$30,A11)</f>
        <v>407</v>
      </c>
      <c r="G11" s="968">
        <f ca="1">IF(A11="N",0,IF(OFFSET(input!$G$27,P11,0)&gt;0,OFFSET(input!$G$27,P11,0),SUMIFS(Data!$P$913:$P$942,Data!$L$913:$L$942,D11)*E11*F11*IF(AND(C11="Back Side",OR(D11="OPV Wet Hi-Rub",D11="TK Matt Varnished 22493")),2,1)))</f>
        <v>0</v>
      </c>
      <c r="I11" s="967">
        <f ca="1">IF(G11=0,0,IF(OFFSET(input!$H$27,P11,0)&gt;0,OFFSET(input!$H$27,P11,0),SUMIFS(Data!$O$913:$O$942,Data!$L$913:$L$942,D11)))</f>
        <v>0</v>
      </c>
      <c r="J11" s="967">
        <f ca="1">ROUNDUP(IF(G11&gt;0,((B11/10000)*G11),0),1)</f>
        <v>0</v>
      </c>
      <c r="K11" s="967">
        <f ca="1">IF(G11&gt;0,1,0)*OFFSET(Paper!$J$7,R11,0)</f>
        <v>0</v>
      </c>
      <c r="L11" s="967">
        <f ca="1">K11*I11</f>
        <v>0</v>
      </c>
      <c r="M11" s="967">
        <f ca="1">IF(J11=0,0,I11*(J11+K11))</f>
        <v>0</v>
      </c>
      <c r="N11" s="967">
        <f t="shared" ca="1" si="0"/>
        <v>0</v>
      </c>
      <c r="O11" s="136" t="str">
        <f ca="1">OFFSET(input!$F$33,Q11,0)</f>
        <v>Box</v>
      </c>
      <c r="P11" s="136">
        <f t="shared" si="2"/>
        <v>3</v>
      </c>
      <c r="Q11" s="136">
        <f t="shared" si="3"/>
        <v>0</v>
      </c>
      <c r="R11" s="136">
        <f t="shared" si="3"/>
        <v>0</v>
      </c>
      <c r="AT11" s="3598">
        <f t="shared" ca="1" si="1"/>
        <v>0</v>
      </c>
      <c r="AU11" s="315">
        <f ca="1">COUNTIFS(AT$7:$AT11,1)</f>
        <v>1</v>
      </c>
    </row>
    <row r="12" spans="1:47" ht="15">
      <c r="A12" s="952" t="str">
        <f ca="1">OFFSET(input!$A$25,Q12,0)</f>
        <v>Box</v>
      </c>
      <c r="B12" s="891">
        <f ca="1">IF(A12="N",0,SUMIFS(Paper!$AC$7:$AC$30,Paper!$A$7:$A$30,Coating!A12))</f>
        <v>2725</v>
      </c>
      <c r="C12" s="965" t="str">
        <f>input!F$31</f>
        <v>Front Side</v>
      </c>
      <c r="D12" s="966" t="str">
        <f ca="1">OFFSET(input!$E$27,P12,0)</f>
        <v>None</v>
      </c>
      <c r="E12" s="967">
        <f ca="1">SUMIFS(Paper!$N$7:$N$30,Paper!$A$7:$A$30,A12)</f>
        <v>638</v>
      </c>
      <c r="F12" s="967">
        <f ca="1">SUMIFS(Paper!$O$7:$O$30,Paper!$A$7:$A$30,A12)</f>
        <v>407</v>
      </c>
      <c r="G12" s="968">
        <f ca="1">IF(A12="N",0,IF(OFFSET(input!$G$27,P12,0)&gt;0,OFFSET(input!$G$27,P12,0),SUMIFS(Data!$P$913:$P$942,Data!$L$913:$L$942,D12)*E12*F12*IF(AND(C12="Back Side",OR(D12="OPV Wet Hi-Rub",D12="TK Matt Varnished 22493")),2,1)))</f>
        <v>0</v>
      </c>
      <c r="I12" s="967">
        <f ca="1">IF(G12=0,0,IF(OFFSET(input!$H$27,P12,0)&gt;0,OFFSET(input!$H$27,P12,0),SUMIFS(Data!$O$913:$O$942,Data!$L$913:$L$942,D12)))</f>
        <v>0</v>
      </c>
      <c r="J12" s="967">
        <f ca="1">ROUNDUP(IF(G12&gt;0,((B12/10000)*G12),0),1)</f>
        <v>0</v>
      </c>
      <c r="K12" s="967">
        <f ca="1">IF(G12&gt;0,1,0)*OFFSET(Paper!$J$7,R12,0)</f>
        <v>0</v>
      </c>
      <c r="L12" s="967">
        <f ca="1">K12*I12</f>
        <v>0</v>
      </c>
      <c r="M12" s="967">
        <f ca="1">IF(J12=0,0,I12*(J12+K12))</f>
        <v>0</v>
      </c>
      <c r="N12" s="967">
        <f t="shared" ca="1" si="0"/>
        <v>0</v>
      </c>
      <c r="O12" s="136" t="str">
        <f ca="1">OFFSET(input!$F$33,Q12,0)</f>
        <v>Box</v>
      </c>
      <c r="P12" s="136">
        <f t="shared" si="2"/>
        <v>4</v>
      </c>
      <c r="Q12" s="136">
        <f t="shared" si="3"/>
        <v>0</v>
      </c>
      <c r="R12" s="136">
        <f t="shared" si="3"/>
        <v>0</v>
      </c>
      <c r="AT12" s="3598">
        <f t="shared" ca="1" si="1"/>
        <v>0</v>
      </c>
      <c r="AU12" s="315">
        <f ca="1">COUNTIFS(AT$7:$AT12,1)</f>
        <v>1</v>
      </c>
    </row>
    <row r="13" spans="1:47" ht="15">
      <c r="A13" s="952" t="str">
        <f ca="1">OFFSET(input!$A$25,Q13,0)</f>
        <v>Box</v>
      </c>
      <c r="B13" s="891">
        <f ca="1">IF(A13="N",0,SUMIFS(Paper!$AC$7:$AC$30,Paper!$A$7:$A$30,Coating!A13))</f>
        <v>2725</v>
      </c>
      <c r="C13" s="969">
        <f ca="1">SUMIFS(Data!$M$943:$M$959,Data!$L$943:$L$959,D13)</f>
        <v>0</v>
      </c>
      <c r="D13" s="970" t="str">
        <f ca="1">OFFSET(input!$J$27,P8,0)</f>
        <v>None</v>
      </c>
      <c r="E13" s="967">
        <f ca="1">IF(OFFSET(input!$K$27,P8,0)&gt;0,OFFSET(input!$K$27,P8,0),IF(OFFSET(input!$L$27,P8,0)="min",MAX(SUMIFS(Paper!$O$7:$O$30,Paper!$A$7:$A$30,A13),SUMIFS(Paper!$N$7:$N$30,Paper!$A$7:$A$30,A13)),MIN(SUMIFS(Paper!$O$7:$O$30,Paper!$A$7:$A$30,A13),SUMIFS(Paper!$N$7:$N$30,Paper!$A$7:$A$30,A13)))+2)</f>
        <v>50</v>
      </c>
      <c r="F13" s="967">
        <f ca="1">IF(OFFSET(input!$L$27,P8,0)="min",MIN(SUMIFS(Paper!$O$7:$O$30,Paper!$A$7:$A$30,A13),SUMIFS(Paper!$N$7:$N$30,Paper!$A$7:$A$30,A13)),MAX(SUMIFS(Paper!$O$7:$O$30,Paper!$A$7:$A$30,A13),SUMIFS(Paper!$N$7:$N$30,Paper!$A$7:$A$30,A13)))+3</f>
        <v>410</v>
      </c>
      <c r="G13" s="2441">
        <f ca="1">IF(A13="N",0,IF(OR(D13=Data!$L$943,D13=Data!$L$944,D13=Data!$L$947,D13=Data!$L$948,D13=Data!$L$949,D13=Data!$L$955,D13=Data!$L$956),ROUNDUP((E13/1000)*$C13,0),(ROUNDUP(($C13*(E13/1000)*(SUMIFS(Data!$P$943:$P$959,Data!$L$943:$L$959,D13)/1000)*SUMIFS(Data!$Q$943:$Q$959,Data!$L$943:$L$959,D13)),0))))</f>
        <v>0</v>
      </c>
      <c r="H13" s="2440" t="str">
        <f ca="1">IF(OR(D13=Data!$L$943,D13=Data!$L$944,D13=Data!$L$947,D13=Data!$L$948,D13=Data!$L$949,D13=Data!$L$955,D13=Data!$L$956),"M2/roll","Kg/roll")</f>
        <v>Kg/roll</v>
      </c>
      <c r="I13" s="967">
        <f ca="1">IF(G13=0,0,SUMIFS(Data!$O$938:$O$958,Data!$L$938:$L$958,D13))</f>
        <v>0</v>
      </c>
      <c r="J13" s="972">
        <f ca="1">IF(C13=0,0,(B13/($C13*1000/F13)))</f>
        <v>0</v>
      </c>
      <c r="K13" s="3716">
        <f ca="1">IF(C13=0,0,ROUNDUP((30/$C13)*OFFSET(Paper!$J$7,R13,0),2))</f>
        <v>0</v>
      </c>
      <c r="L13" s="967">
        <f ca="1">(K13*G13*I13)</f>
        <v>0</v>
      </c>
      <c r="M13" s="967">
        <f ca="1">IF(A13="N",0,I13*ROUNDUP(J13+K13,1)*G13)</f>
        <v>0</v>
      </c>
      <c r="N13" s="967">
        <f t="shared" ca="1" si="0"/>
        <v>0</v>
      </c>
      <c r="O13" s="136" t="str">
        <f ca="1">OFFSET(input!$F$33,Q13,0)</f>
        <v>Box</v>
      </c>
      <c r="P13" s="136">
        <f t="shared" si="2"/>
        <v>5</v>
      </c>
      <c r="Q13" s="136">
        <f t="shared" si="3"/>
        <v>0</v>
      </c>
      <c r="R13" s="136">
        <f t="shared" si="3"/>
        <v>0</v>
      </c>
      <c r="AT13" s="3598">
        <f t="shared" ca="1" si="1"/>
        <v>0</v>
      </c>
      <c r="AU13" s="315">
        <f ca="1">COUNTIFS(AT$7:$AT13,1)</f>
        <v>1</v>
      </c>
    </row>
    <row r="14" spans="1:47" ht="25.5">
      <c r="A14" s="2443" t="str">
        <f ca="1">IF(OR(D13=Data!$L$954,D13=Data!$L$958),A13,"N")</f>
        <v>N</v>
      </c>
      <c r="B14" s="891">
        <f ca="1">IF(A13="N",0,SUMIFS(Paper!$AC$7:$AC$30,Paper!$A$7:$A$30,Coating!A13))</f>
        <v>2725</v>
      </c>
      <c r="C14" s="969"/>
      <c r="D14" s="2442" t="str">
        <f ca="1">IF(D13=Data!$L$954,Data!$L$976,Data!$L$977)</f>
        <v>Resin AR 8207B-(for Hologram)</v>
      </c>
      <c r="E14" s="973">
        <f ca="1">SUMIFS(Paper!$N$7:$N$30,Paper!$A$7:$A$30,A13)</f>
        <v>638</v>
      </c>
      <c r="F14" s="967">
        <f ca="1">SUMIFS(Paper!$O$7:$O$30,Paper!$A$7:$A$30,A13)</f>
        <v>407</v>
      </c>
      <c r="G14" s="2441">
        <f ca="1">IF(A14="N",0,ROUNDUP(IF(D14=Data!$L$978,25/(463*686),IF(D14=Data!$L$976,Data!$P$976,Data!$P$977))*E14*F14,1))</f>
        <v>0</v>
      </c>
      <c r="H14" s="971" t="s">
        <v>1114</v>
      </c>
      <c r="I14" s="967">
        <f ca="1">IF(G14=0,0,SUMIFS(Data!$O$976:$O$978,Data!$L$976:$L$978,D14))</f>
        <v>0</v>
      </c>
      <c r="J14" s="967">
        <f ca="1">IF(A14="N",0,ROUNDUP(((B14/10000)*G14),1))</f>
        <v>0</v>
      </c>
      <c r="K14" s="967">
        <f ca="1">IF(G14&gt;0,1,0)*OFFSET(Paper!$J$7,R14,0)</f>
        <v>0</v>
      </c>
      <c r="L14" s="967">
        <f ca="1">K14*I14</f>
        <v>0</v>
      </c>
      <c r="M14" s="967">
        <f ca="1">IF(A14="N",0,I14*(J14+K14))</f>
        <v>0</v>
      </c>
      <c r="N14" s="967">
        <f t="shared" ca="1" si="0"/>
        <v>0</v>
      </c>
      <c r="O14" s="136" t="str">
        <f ca="1">OFFSET(input!$F$33,Q14,0)</f>
        <v>Box</v>
      </c>
      <c r="P14" s="136">
        <f t="shared" si="2"/>
        <v>6</v>
      </c>
      <c r="Q14" s="136">
        <f t="shared" si="3"/>
        <v>0</v>
      </c>
      <c r="R14" s="136">
        <f t="shared" si="3"/>
        <v>0</v>
      </c>
      <c r="AT14" s="3598">
        <f t="shared" ca="1" si="1"/>
        <v>0</v>
      </c>
      <c r="AU14" s="315">
        <f ca="1">COUNTIFS(AT$7:$AT14,1)</f>
        <v>1</v>
      </c>
    </row>
    <row r="15" spans="1:47" ht="15">
      <c r="A15" s="952" t="str">
        <f ca="1">OFFSET(input!$A$25,Q15,0)</f>
        <v>Box</v>
      </c>
      <c r="B15" s="891">
        <f ca="1">IF(A15="N",0,SUMIFS(Paper!$AC$7:$AC$30,Paper!$A$7:$A$30,Coating!A15))</f>
        <v>2725</v>
      </c>
      <c r="C15" s="969">
        <f ca="1">SUMIFS(Data!$M$943:$M$959,Data!$L$943:$L$959,D15)</f>
        <v>0</v>
      </c>
      <c r="D15" s="970" t="str">
        <f ca="1">OFFSET(input!$J$27,P9,0)</f>
        <v>None</v>
      </c>
      <c r="E15" s="967">
        <f ca="1">IF(OFFSET(input!$K$27,P9,0)&gt;0,OFFSET(input!$K$27,P9,0),IF(OFFSET(input!$L$27,P9,0)="min",MAX(SUMIFS(Paper!$O$7:$O$30,Paper!$A$7:$A$30,A15),SUMIFS(Paper!$N$7:$N$30,Paper!$A$7:$A$30,A15)),MIN(SUMIFS(Paper!$O$7:$O$30,Paper!$A$7:$A$30,A15),SUMIFS(Paper!$N$7:$N$30,Paper!$A$7:$A$30,A15)))+2)</f>
        <v>640</v>
      </c>
      <c r="F15" s="967">
        <f ca="1">IF(OFFSET(input!$L$27,P9,0)="min",MIN(SUMIFS(Paper!$O$7:$O$30,Paper!$A$7:$A$30,A15),SUMIFS(Paper!$N$7:$N$30,Paper!$A$7:$A$30,A15)),MAX(SUMIFS(Paper!$O$7:$O$30,Paper!$A$7:$A$30,A15),SUMIFS(Paper!$N$7:$N$30,Paper!$A$7:$A$30,A15)))+3</f>
        <v>410</v>
      </c>
      <c r="G15" s="2441">
        <f ca="1">IF(A15="N",0,IF(OR(D15=Data!$L$943,D15=Data!$L$944,D15=Data!$L$947,D15=Data!$L$948,D15=Data!$L$949,D15=Data!$L$955,D15=Data!$L$956),ROUNDUP((E15/1000)*$C15,0),(ROUNDUP(($C15*(E15/1000)*(SUMIFS(Data!$P$943:$P$959,Data!$L$943:$L$959,D15)/1000)*SUMIFS(Data!$Q$943:$Q$959,Data!$L$943:$L$959,D15)),0))))</f>
        <v>0</v>
      </c>
      <c r="H15" s="2440" t="str">
        <f ca="1">IF(OR(D15=Data!$L$943,D15=Data!$L$944,D15=Data!$L$947,D15=Data!$L$948,D15=Data!$L$949,D15=Data!$L$955,D15=Data!$L$956),"M2/roll","Kg/roll")</f>
        <v>Kg/roll</v>
      </c>
      <c r="I15" s="967">
        <f ca="1">IF(G15=0,0,SUMIFS(Data!$O$938:$O$958,Data!$L$938:$L$958,D15))</f>
        <v>0</v>
      </c>
      <c r="J15" s="967">
        <f ca="1">IF(C15=0,0,(B15/($C15*1000/F15)))</f>
        <v>0</v>
      </c>
      <c r="K15" s="3716">
        <f ca="1">IF(C15=0,0,ROUNDUP((30/$C15)*OFFSET(Paper!$J$7,R15,0),2))</f>
        <v>0</v>
      </c>
      <c r="L15" s="967">
        <f ca="1">(K15*G15*I15)</f>
        <v>0</v>
      </c>
      <c r="M15" s="967">
        <f ca="1">IF(A15="N",0,I15*ROUNDUP(J15+K15,1)*G15)</f>
        <v>0</v>
      </c>
      <c r="N15" s="967">
        <f t="shared" ca="1" si="0"/>
        <v>0</v>
      </c>
      <c r="O15" s="136" t="str">
        <f ca="1">OFFSET(input!$F$33,Q15,0)</f>
        <v>Box</v>
      </c>
      <c r="P15" s="136">
        <f t="shared" si="2"/>
        <v>7</v>
      </c>
      <c r="Q15" s="136">
        <f t="shared" si="3"/>
        <v>0</v>
      </c>
      <c r="R15" s="136">
        <f t="shared" si="3"/>
        <v>0</v>
      </c>
      <c r="AT15" s="3598">
        <f t="shared" ca="1" si="1"/>
        <v>0</v>
      </c>
      <c r="AU15" s="315">
        <f ca="1">COUNTIFS(AT$7:$AT15,1)</f>
        <v>1</v>
      </c>
    </row>
    <row r="16" spans="1:47" ht="25.5">
      <c r="A16" s="2443" t="str">
        <f ca="1">IF(OR(D15=Data!$L$954,D15=Data!$L$958),A15,"N")</f>
        <v>N</v>
      </c>
      <c r="B16" s="891">
        <f ca="1">IF(A15="N",0,SUMIFS(Paper!$AC$7:$AC$30,Paper!$A$7:$A$30,Coating!A15))</f>
        <v>2725</v>
      </c>
      <c r="C16" s="969"/>
      <c r="D16" s="2442" t="str">
        <f ca="1">IF(D15=Data!$L$954,Data!$L$976,Data!$L$977)</f>
        <v>Resin AR 8207B-(for Hologram)</v>
      </c>
      <c r="E16" s="973">
        <f ca="1">SUMIFS(Paper!$N$7:$N$30,Paper!$A$7:$A$30,A15)</f>
        <v>638</v>
      </c>
      <c r="F16" s="967">
        <f ca="1">SUMIFS(Paper!$O$7:$O$30,Paper!$A$7:$A$30,A15)</f>
        <v>407</v>
      </c>
      <c r="G16" s="2441">
        <f ca="1">IF(A16="N",0,ROUNDUP(IF(D16=Data!$L$978,25/(463*686),IF(D16=Data!$L$976,Data!$P$976,Data!$P$977))*E16*F16,1))</f>
        <v>0</v>
      </c>
      <c r="H16" s="971" t="s">
        <v>1114</v>
      </c>
      <c r="I16" s="967">
        <f ca="1">IF(G16=0,0,SUMIFS(Data!$O$976:$O$978,Data!$L$976:$L$978,D16))</f>
        <v>0</v>
      </c>
      <c r="J16" s="967">
        <f ca="1">IF(A16="N",0,ROUNDUP(((B16/10000)*G16),1))</f>
        <v>0</v>
      </c>
      <c r="K16" s="967">
        <f ca="1">IF(G16&gt;0,1,0)*OFFSET(Paper!$J$7,R16,0)</f>
        <v>0</v>
      </c>
      <c r="L16" s="967">
        <f ca="1">K16*I16</f>
        <v>0</v>
      </c>
      <c r="M16" s="967">
        <f ca="1">IF(A16="N",0,I16*(J16+K16))</f>
        <v>0</v>
      </c>
      <c r="N16" s="967">
        <f t="shared" ca="1" si="0"/>
        <v>0</v>
      </c>
      <c r="O16" s="136" t="str">
        <f ca="1">OFFSET(input!$F$33,Q16,0)</f>
        <v>Box</v>
      </c>
      <c r="P16" s="136">
        <f t="shared" si="2"/>
        <v>8</v>
      </c>
      <c r="Q16" s="136">
        <f t="shared" si="3"/>
        <v>0</v>
      </c>
      <c r="R16" s="136">
        <f t="shared" si="3"/>
        <v>0</v>
      </c>
      <c r="AT16" s="3598">
        <f t="shared" ca="1" si="1"/>
        <v>0</v>
      </c>
      <c r="AU16" s="315">
        <f ca="1">COUNTIFS(AT$7:$AT16,1)</f>
        <v>1</v>
      </c>
    </row>
    <row r="17" spans="1:47" ht="15">
      <c r="A17" s="974"/>
      <c r="B17" s="975"/>
      <c r="C17" s="320"/>
      <c r="E17" s="976"/>
      <c r="F17" s="976"/>
      <c r="G17" s="977"/>
      <c r="I17" s="976"/>
      <c r="J17" s="976"/>
      <c r="K17" s="976"/>
      <c r="L17" s="976"/>
      <c r="M17" s="976"/>
      <c r="N17" s="976"/>
      <c r="AT17" s="3598" t="str">
        <f t="shared" si="1"/>
        <v/>
      </c>
      <c r="AU17" s="315">
        <f ca="1">COUNTIFS(AT$7:$AT17,1)</f>
        <v>1</v>
      </c>
    </row>
    <row r="18" spans="1:47" ht="15">
      <c r="A18" s="952" t="str">
        <f ca="1">OFFSET(input!$A$25,Q18,0)</f>
        <v>N</v>
      </c>
      <c r="B18" s="891">
        <f ca="1">IF(A18="N",0,SUMIFS(Paper!$AC$7:$AC$30,Paper!$A$7:$A$30,Coating!A18))</f>
        <v>0</v>
      </c>
      <c r="C18" s="965" t="str">
        <f>input!F$27</f>
        <v>Front Side</v>
      </c>
      <c r="D18" s="966" t="str">
        <f ca="1">OFFSET(input!$E$27,P18,0)</f>
        <v>None</v>
      </c>
      <c r="E18" s="967">
        <f ca="1">SUMIFS(Paper!$N$7:$N$30,Paper!$A$7:$A$30,A18)</f>
        <v>0</v>
      </c>
      <c r="F18" s="967">
        <f ca="1">SUMIFS(Paper!$O$7:$O$30,Paper!$A$7:$A$30,A18)</f>
        <v>0</v>
      </c>
      <c r="G18" s="968">
        <f ca="1">IF(A18="N",0,IF(OFFSET(input!$G$27,P18,0)&gt;0,OFFSET(input!$G$27,P18,0),SUMIFS(Data!$P$913:$P$942,Data!$L$913:$L$942,D18)*E18*F18*IF(AND(C18="Back Side",OR(D18="OPV Wet Hi-Rub",D18="TK Matt Varnished 22493")),2,1)))</f>
        <v>0</v>
      </c>
      <c r="I18" s="967">
        <f ca="1">IF(G18=0,0,IF(OFFSET(input!$H$27,P18,0)&gt;0,OFFSET(input!$H$27,P18,0),SUMIFS(Data!$O$913:$O$942,Data!$L$913:$L$942,D18)))</f>
        <v>0</v>
      </c>
      <c r="J18" s="967">
        <f ca="1">ROUNDUP(IF(G18&gt;0,((B18/10000)*G18),0),1)</f>
        <v>0</v>
      </c>
      <c r="K18" s="967">
        <f ca="1">IF(G18&gt;0,1,0)*OFFSET(Paper!$J$7,R18,0)</f>
        <v>0</v>
      </c>
      <c r="L18" s="967">
        <f ca="1">K18*I18</f>
        <v>0</v>
      </c>
      <c r="M18" s="967">
        <f ca="1">IF(J18=0,0,I18*(J18+K18))</f>
        <v>0</v>
      </c>
      <c r="N18" s="967">
        <f ca="1">IF($D$2&gt;0,M18/($D$2),0)*(1+$N$5)</f>
        <v>0</v>
      </c>
      <c r="O18" s="136" t="str">
        <f ca="1">OFFSET(input!$F$33,Q18,0)</f>
        <v>N</v>
      </c>
      <c r="P18" s="136">
        <f>+P8+17</f>
        <v>17</v>
      </c>
      <c r="Q18" s="136">
        <f>+Q8+17</f>
        <v>17</v>
      </c>
      <c r="R18" s="136">
        <f>+R8+1</f>
        <v>1</v>
      </c>
      <c r="AT18" s="3598">
        <f t="shared" ca="1" si="1"/>
        <v>0</v>
      </c>
      <c r="AU18" s="315">
        <f ca="1">COUNTIFS(AT$7:$AT18,1)</f>
        <v>1</v>
      </c>
    </row>
    <row r="19" spans="1:47" ht="15">
      <c r="A19" s="952" t="str">
        <f ca="1">OFFSET(input!$A$25,Q19,0)</f>
        <v>N</v>
      </c>
      <c r="B19" s="891">
        <f ca="1">IF(A19="N",0,SUMIFS(Paper!$AC$7:$AC$30,Paper!$A$7:$A$30,Coating!A19))</f>
        <v>0</v>
      </c>
      <c r="C19" s="965" t="str">
        <f>input!F$28</f>
        <v>Front Side</v>
      </c>
      <c r="D19" s="966" t="str">
        <f ca="1">OFFSET(input!$E$27,P19,0)</f>
        <v>None</v>
      </c>
      <c r="E19" s="967">
        <f ca="1">SUMIFS(Paper!$N$7:$N$30,Paper!$A$7:$A$30,A19)</f>
        <v>0</v>
      </c>
      <c r="F19" s="967">
        <f ca="1">SUMIFS(Paper!$O$7:$O$30,Paper!$A$7:$A$30,A19)</f>
        <v>0</v>
      </c>
      <c r="G19" s="968">
        <f ca="1">IF(A19="N",0,IF(OFFSET(input!$G$27,P19,0)&gt;0,OFFSET(input!$G$27,P19,0),SUMIFS(Data!$P$913:$P$942,Data!$L$913:$L$942,D19)*E19*F19*IF(AND(C19="Back Side",OR(D19="OPV Wet Hi-Rub",D19="TK Matt Varnished 22493")),2,1)))</f>
        <v>0</v>
      </c>
      <c r="I19" s="967">
        <f ca="1">IF(G19=0,0,IF(OFFSET(input!$H$27,P19,0)&gt;0,OFFSET(input!$H$27,P19,0),SUMIFS(Data!$O$913:$O$942,Data!$L$913:$L$942,D19)))</f>
        <v>0</v>
      </c>
      <c r="J19" s="967">
        <f ca="1">ROUNDUP(IF(G19&gt;0,((B19/10000)*G19),0),1)</f>
        <v>0</v>
      </c>
      <c r="K19" s="967">
        <f ca="1">IF(G19&gt;0,1,0)*OFFSET(Paper!$J$7,R19,0)</f>
        <v>0</v>
      </c>
      <c r="L19" s="967">
        <f ca="1">K19*I19</f>
        <v>0</v>
      </c>
      <c r="M19" s="967">
        <f ca="1">IF(J19=0,0,I19*(J19+K19))</f>
        <v>0</v>
      </c>
      <c r="N19" s="967">
        <f t="shared" ref="N19:N26" ca="1" si="4">IF($D$2&gt;0,M19/($D$2),0)*(1+$N$5)</f>
        <v>0</v>
      </c>
      <c r="O19" s="136" t="str">
        <f ca="1">OFFSET(input!$F$33,Q19,0)</f>
        <v>N</v>
      </c>
      <c r="P19" s="136">
        <f t="shared" ref="P19:Q26" si="5">+P9+17</f>
        <v>18</v>
      </c>
      <c r="Q19" s="136">
        <f t="shared" si="5"/>
        <v>17</v>
      </c>
      <c r="R19" s="136">
        <f t="shared" ref="R19:R26" si="6">+R9+1</f>
        <v>1</v>
      </c>
      <c r="AT19" s="3598">
        <f t="shared" ca="1" si="1"/>
        <v>0</v>
      </c>
      <c r="AU19" s="315">
        <f ca="1">COUNTIFS(AT$7:$AT19,1)</f>
        <v>1</v>
      </c>
    </row>
    <row r="20" spans="1:47" ht="15">
      <c r="A20" s="952" t="str">
        <f ca="1">OFFSET(input!$A$25,Q20,0)</f>
        <v>N</v>
      </c>
      <c r="B20" s="891">
        <f ca="1">IF(A20="N",0,SUMIFS(Paper!$AC$7:$AC$30,Paper!$A$7:$A$30,Coating!A20))</f>
        <v>0</v>
      </c>
      <c r="C20" s="965" t="str">
        <f>input!F$29</f>
        <v>Front Side</v>
      </c>
      <c r="D20" s="966" t="str">
        <f ca="1">OFFSET(input!$E$27,P20,0)</f>
        <v>None</v>
      </c>
      <c r="E20" s="967">
        <f ca="1">SUMIFS(Paper!$N$7:$N$30,Paper!$A$7:$A$30,A20)</f>
        <v>0</v>
      </c>
      <c r="F20" s="967">
        <f ca="1">SUMIFS(Paper!$O$7:$O$30,Paper!$A$7:$A$30,A20)</f>
        <v>0</v>
      </c>
      <c r="G20" s="968">
        <f ca="1">IF(A20="N",0,IF(OFFSET(input!$G$27,P20,0)&gt;0,OFFSET(input!$G$27,P20,0),SUMIFS(Data!$P$913:$P$942,Data!$L$913:$L$942,D20)*E20*F20*IF(AND(C20="Back Side",OR(D20="OPV Wet Hi-Rub",D20="TK Matt Varnished 22493")),2,1)))</f>
        <v>0</v>
      </c>
      <c r="I20" s="967">
        <f ca="1">IF(G20=0,0,IF(OFFSET(input!$H$27,P20,0)&gt;0,OFFSET(input!$H$27,P20,0),SUMIFS(Data!$O$913:$O$942,Data!$L$913:$L$942,D20)))</f>
        <v>0</v>
      </c>
      <c r="J20" s="967">
        <f ca="1">ROUNDUP(IF(G20&gt;0,((B20/10000)*G20),0),1)</f>
        <v>0</v>
      </c>
      <c r="K20" s="967">
        <f ca="1">IF(G20&gt;0,1,0)*OFFSET(Paper!$J$7,R20,0)</f>
        <v>0</v>
      </c>
      <c r="L20" s="967">
        <f ca="1">K20*I20</f>
        <v>0</v>
      </c>
      <c r="M20" s="967">
        <f ca="1">IF(J20=0,0,I20*(J20+K20))</f>
        <v>0</v>
      </c>
      <c r="N20" s="967">
        <f t="shared" ca="1" si="4"/>
        <v>0</v>
      </c>
      <c r="O20" s="136" t="str">
        <f ca="1">OFFSET(input!$F$33,Q20,0)</f>
        <v>N</v>
      </c>
      <c r="P20" s="136">
        <f t="shared" si="5"/>
        <v>19</v>
      </c>
      <c r="Q20" s="136">
        <f t="shared" si="5"/>
        <v>17</v>
      </c>
      <c r="R20" s="136">
        <f t="shared" si="6"/>
        <v>1</v>
      </c>
      <c r="AT20" s="3598">
        <f t="shared" ca="1" si="1"/>
        <v>0</v>
      </c>
      <c r="AU20" s="315">
        <f ca="1">COUNTIFS(AT$7:$AT20,1)</f>
        <v>1</v>
      </c>
    </row>
    <row r="21" spans="1:47" ht="15">
      <c r="A21" s="952" t="str">
        <f ca="1">OFFSET(input!$A$25,Q21,0)</f>
        <v>N</v>
      </c>
      <c r="B21" s="891">
        <f ca="1">IF(A21="N",0,SUMIFS(Paper!$AC$7:$AC$30,Paper!$A$7:$A$30,Coating!A21))</f>
        <v>0</v>
      </c>
      <c r="C21" s="965" t="str">
        <f>input!F$30</f>
        <v>Front Side</v>
      </c>
      <c r="D21" s="966" t="str">
        <f ca="1">OFFSET(input!$E$27,P21,0)</f>
        <v>None</v>
      </c>
      <c r="E21" s="967">
        <f ca="1">SUMIFS(Paper!$N$7:$N$30,Paper!$A$7:$A$30,A21)</f>
        <v>0</v>
      </c>
      <c r="F21" s="967">
        <f ca="1">SUMIFS(Paper!$O$7:$O$30,Paper!$A$7:$A$30,A21)</f>
        <v>0</v>
      </c>
      <c r="G21" s="968">
        <f ca="1">IF(A21="N",0,IF(OFFSET(input!$G$27,P21,0)&gt;0,OFFSET(input!$G$27,P21,0),SUMIFS(Data!$P$913:$P$942,Data!$L$913:$L$942,D21)*E21*F21*IF(AND(C21="Back Side",OR(D21="OPV Wet Hi-Rub",D21="TK Matt Varnished 22493")),2,1)))</f>
        <v>0</v>
      </c>
      <c r="I21" s="967">
        <f ca="1">IF(G21=0,0,IF(OFFSET(input!$H$27,P21,0)&gt;0,OFFSET(input!$H$27,P21,0),SUMIFS(Data!$O$913:$O$942,Data!$L$913:$L$942,D21)))</f>
        <v>0</v>
      </c>
      <c r="J21" s="967">
        <f ca="1">ROUNDUP(IF(G21&gt;0,((B21/10000)*G21),0),1)</f>
        <v>0</v>
      </c>
      <c r="K21" s="967">
        <f ca="1">IF(G21&gt;0,1,0)*OFFSET(Paper!$J$7,R21,0)</f>
        <v>0</v>
      </c>
      <c r="L21" s="967">
        <f ca="1">K21*I21</f>
        <v>0</v>
      </c>
      <c r="M21" s="967">
        <f ca="1">IF(J21=0,0,I21*(J21+K21))</f>
        <v>0</v>
      </c>
      <c r="N21" s="967">
        <f t="shared" ca="1" si="4"/>
        <v>0</v>
      </c>
      <c r="O21" s="136" t="str">
        <f ca="1">OFFSET(input!$F$33,Q21,0)</f>
        <v>N</v>
      </c>
      <c r="P21" s="136">
        <f t="shared" si="5"/>
        <v>20</v>
      </c>
      <c r="Q21" s="136">
        <f t="shared" si="5"/>
        <v>17</v>
      </c>
      <c r="R21" s="136">
        <f t="shared" si="6"/>
        <v>1</v>
      </c>
      <c r="AT21" s="3598">
        <f t="shared" ca="1" si="1"/>
        <v>0</v>
      </c>
      <c r="AU21" s="315">
        <f ca="1">COUNTIFS(AT$7:$AT21,1)</f>
        <v>1</v>
      </c>
    </row>
    <row r="22" spans="1:47" ht="15">
      <c r="A22" s="952" t="str">
        <f ca="1">OFFSET(input!$A$25,Q22,0)</f>
        <v>N</v>
      </c>
      <c r="B22" s="891">
        <f ca="1">IF(A22="N",0,SUMIFS(Paper!$AC$7:$AC$30,Paper!$A$7:$A$30,Coating!A22))</f>
        <v>0</v>
      </c>
      <c r="C22" s="965" t="str">
        <f>input!F$31</f>
        <v>Front Side</v>
      </c>
      <c r="D22" s="966" t="str">
        <f ca="1">OFFSET(input!$E$27,P22,0)</f>
        <v>None</v>
      </c>
      <c r="E22" s="967">
        <f ca="1">SUMIFS(Paper!$N$7:$N$30,Paper!$A$7:$A$30,A22)</f>
        <v>0</v>
      </c>
      <c r="F22" s="967">
        <f ca="1">SUMIFS(Paper!$O$7:$O$30,Paper!$A$7:$A$30,A22)</f>
        <v>0</v>
      </c>
      <c r="G22" s="968">
        <f ca="1">IF(A22="N",0,IF(OFFSET(input!$G$27,P22,0)&gt;0,OFFSET(input!$G$27,P22,0),SUMIFS(Data!$P$913:$P$942,Data!$L$913:$L$942,D22)*E22*F22*IF(AND(C22="Back Side",OR(D22="OPV Wet Hi-Rub",D22="TK Matt Varnished 22493")),2,1)))</f>
        <v>0</v>
      </c>
      <c r="I22" s="967">
        <f ca="1">IF(G22=0,0,IF(OFFSET(input!$H$27,P22,0)&gt;0,OFFSET(input!$H$27,P22,0),SUMIFS(Data!$O$913:$O$942,Data!$L$913:$L$942,D22)))</f>
        <v>0</v>
      </c>
      <c r="J22" s="967">
        <f ca="1">ROUNDUP(IF(G22&gt;0,((B22/10000)*G22),0),1)</f>
        <v>0</v>
      </c>
      <c r="K22" s="967">
        <f ca="1">IF(G22&gt;0,1,0)*OFFSET(Paper!$J$7,R22,0)</f>
        <v>0</v>
      </c>
      <c r="L22" s="967">
        <f ca="1">K22*I22</f>
        <v>0</v>
      </c>
      <c r="M22" s="967">
        <f ca="1">IF(J22=0,0,I22*(J22+K22))</f>
        <v>0</v>
      </c>
      <c r="N22" s="967">
        <f t="shared" ca="1" si="4"/>
        <v>0</v>
      </c>
      <c r="O22" s="136" t="str">
        <f ca="1">OFFSET(input!$F$33,Q22,0)</f>
        <v>N</v>
      </c>
      <c r="P22" s="136">
        <f t="shared" si="5"/>
        <v>21</v>
      </c>
      <c r="Q22" s="136">
        <f t="shared" si="5"/>
        <v>17</v>
      </c>
      <c r="R22" s="136">
        <f t="shared" si="6"/>
        <v>1</v>
      </c>
      <c r="AT22" s="3598">
        <f t="shared" ca="1" si="1"/>
        <v>0</v>
      </c>
      <c r="AU22" s="315">
        <f ca="1">COUNTIFS(AT$7:$AT22,1)</f>
        <v>1</v>
      </c>
    </row>
    <row r="23" spans="1:47" ht="15">
      <c r="A23" s="952" t="str">
        <f ca="1">OFFSET(input!$A$25,Q23,0)</f>
        <v>N</v>
      </c>
      <c r="B23" s="891">
        <f ca="1">IF(A23="N",0,SUMIFS(Paper!$AC$7:$AC$30,Paper!$A$7:$A$30,Coating!A23))</f>
        <v>0</v>
      </c>
      <c r="C23" s="969">
        <f ca="1">SUMIFS(Data!$M$943:$M$959,Data!$L$943:$L$959,D23)</f>
        <v>0</v>
      </c>
      <c r="D23" s="970" t="str">
        <f ca="1">OFFSET(input!$J$27,P18,0)</f>
        <v>None</v>
      </c>
      <c r="E23" s="967">
        <f ca="1">IF(OFFSET(input!$K$27,P18,0)&gt;0,OFFSET(input!$K$27,P18,0),IF(OFFSET(input!$L$27,P18,0)="min",MAX(SUMIFS(Paper!$O$7:$O$30,Paper!$A$7:$A$30,A23),SUMIFS(Paper!$N$7:$N$30,Paper!$A$7:$A$30,A23)),MIN(SUMIFS(Paper!$O$7:$O$30,Paper!$A$7:$A$30,A23),SUMIFS(Paper!$N$7:$N$30,Paper!$A$7:$A$30,A23)))+2)</f>
        <v>50</v>
      </c>
      <c r="F23" s="967">
        <f ca="1">IF(OFFSET(input!$L$27,P18,0)="min",MIN(SUMIFS(Paper!$O$7:$O$30,Paper!$A$7:$A$30,A23),SUMIFS(Paper!$N$7:$N$30,Paper!$A$7:$A$30,A23)),MAX(SUMIFS(Paper!$O$7:$O$30,Paper!$A$7:$A$30,A23),SUMIFS(Paper!$N$7:$N$30,Paper!$A$7:$A$30,A23)))+3</f>
        <v>3</v>
      </c>
      <c r="G23" s="2441">
        <f ca="1">IF(A23="N",0,IF(OR(D23=Data!$L$943,D23=Data!$L$944,D23=Data!$L$947,D23=Data!$L$948,D23=Data!$L$949,D23=Data!$L$955,D23=Data!$L$956),ROUNDUP((E23/1000)*$C23,0),(ROUNDUP(($C23*(E23/1000)*(SUMIFS(Data!$P$943:$P$959,Data!$L$943:$L$959,D23)/1000)*SUMIFS(Data!$Q$943:$Q$959,Data!$L$943:$L$959,D23)),0))))</f>
        <v>0</v>
      </c>
      <c r="H23" s="2440" t="str">
        <f ca="1">IF(OR(D23=Data!$L$943,D23=Data!$L$944,D23=Data!$L$947,D23=Data!$L$948,D23=Data!$L$949,D23=Data!$L$955,D23=Data!$L$956),"M2/roll","Kg/roll")</f>
        <v>Kg/roll</v>
      </c>
      <c r="I23" s="967">
        <f ca="1">IF(G23=0,0,SUMIFS(Data!$O$938:$O$958,Data!$L$938:$L$958,D23))</f>
        <v>0</v>
      </c>
      <c r="J23" s="972">
        <f ca="1">IF(C23=0,0,(B23/($C23*1000/F23)))</f>
        <v>0</v>
      </c>
      <c r="K23" s="3716">
        <f ca="1">IF(C23=0,0,ROUNDUP((30/$C23)*OFFSET(Paper!$J$7,R23,0),2))</f>
        <v>0</v>
      </c>
      <c r="L23" s="967">
        <f ca="1">(K23*G23*I23)</f>
        <v>0</v>
      </c>
      <c r="M23" s="967">
        <f ca="1">IF(A23="N",0,I23*ROUNDUP(J23+K23,1)*G23)</f>
        <v>0</v>
      </c>
      <c r="N23" s="967">
        <f t="shared" ca="1" si="4"/>
        <v>0</v>
      </c>
      <c r="O23" s="136" t="str">
        <f ca="1">OFFSET(input!$F$33,Q23,0)</f>
        <v>N</v>
      </c>
      <c r="P23" s="136">
        <f t="shared" si="5"/>
        <v>22</v>
      </c>
      <c r="Q23" s="136">
        <f t="shared" si="5"/>
        <v>17</v>
      </c>
      <c r="R23" s="136">
        <f t="shared" si="6"/>
        <v>1</v>
      </c>
      <c r="AT23" s="3598">
        <f t="shared" ca="1" si="1"/>
        <v>0</v>
      </c>
      <c r="AU23" s="315">
        <f ca="1">COUNTIFS(AT$7:$AT23,1)</f>
        <v>1</v>
      </c>
    </row>
    <row r="24" spans="1:47" ht="25.5">
      <c r="A24" s="2443" t="str">
        <f ca="1">IF(OR(D23=Data!$L$954,D23=Data!$L$958),A23,"N")</f>
        <v>N</v>
      </c>
      <c r="B24" s="891">
        <f ca="1">IF(A23="N",0,SUMIFS(Paper!$AC$7:$AC$30,Paper!$A$7:$A$30,Coating!A23))</f>
        <v>0</v>
      </c>
      <c r="C24" s="969"/>
      <c r="D24" s="2442" t="str">
        <f ca="1">IF(D23=Data!$L$954,Data!$L$976,Data!$L$977)</f>
        <v>Resin AR 8207B-(for Hologram)</v>
      </c>
      <c r="E24" s="973">
        <f ca="1">SUMIFS(Paper!$N$7:$N$30,Paper!$A$7:$A$30,A23)</f>
        <v>0</v>
      </c>
      <c r="F24" s="967">
        <f ca="1">SUMIFS(Paper!$O$7:$O$30,Paper!$A$7:$A$30,A23)</f>
        <v>0</v>
      </c>
      <c r="G24" s="2441">
        <f ca="1">IF(A24="N",0,ROUNDUP(IF(D24=Data!$L$978,25/(463*686),IF(D24=Data!$L$976,Data!$P$976,Data!$P$977))*E24*F24,1))</f>
        <v>0</v>
      </c>
      <c r="H24" s="971" t="s">
        <v>1114</v>
      </c>
      <c r="I24" s="967">
        <f ca="1">IF(G24=0,0,SUMIFS(Data!$O$976:$O$978,Data!$L$976:$L$978,D24))</f>
        <v>0</v>
      </c>
      <c r="J24" s="967">
        <f ca="1">IF(A24="N",0,ROUNDUP(((B24/10000)*G24),1))</f>
        <v>0</v>
      </c>
      <c r="K24" s="967">
        <f ca="1">IF(G24&gt;0,1,0)*OFFSET(Paper!$J$7,R24,0)</f>
        <v>0</v>
      </c>
      <c r="L24" s="967">
        <f ca="1">K24*I24</f>
        <v>0</v>
      </c>
      <c r="M24" s="967">
        <f ca="1">IF(A24="N",0,I24*(J24+K24))</f>
        <v>0</v>
      </c>
      <c r="N24" s="967">
        <f t="shared" ca="1" si="4"/>
        <v>0</v>
      </c>
      <c r="O24" s="136" t="str">
        <f ca="1">OFFSET(input!$F$33,Q24,0)</f>
        <v>N</v>
      </c>
      <c r="P24" s="136">
        <f t="shared" si="5"/>
        <v>23</v>
      </c>
      <c r="Q24" s="136">
        <f t="shared" si="5"/>
        <v>17</v>
      </c>
      <c r="R24" s="136">
        <f t="shared" si="6"/>
        <v>1</v>
      </c>
      <c r="AT24" s="3598">
        <f t="shared" ca="1" si="1"/>
        <v>0</v>
      </c>
      <c r="AU24" s="315">
        <f ca="1">COUNTIFS(AT$7:$AT24,1)</f>
        <v>1</v>
      </c>
    </row>
    <row r="25" spans="1:47" ht="15">
      <c r="A25" s="952" t="str">
        <f ca="1">OFFSET(input!$A$25,Q25,0)</f>
        <v>N</v>
      </c>
      <c r="B25" s="891">
        <f ca="1">IF(A25="N",0,SUMIFS(Paper!$AC$7:$AC$30,Paper!$A$7:$A$30,Coating!A25))</f>
        <v>0</v>
      </c>
      <c r="C25" s="969">
        <f ca="1">SUMIFS(Data!$M$943:$M$959,Data!$L$943:$L$959,D25)</f>
        <v>0</v>
      </c>
      <c r="D25" s="970" t="str">
        <f ca="1">OFFSET(input!$J$27,P19,0)</f>
        <v>None</v>
      </c>
      <c r="E25" s="967">
        <f ca="1">IF(OFFSET(input!$K$27,P19,0)&gt;0,OFFSET(input!$K$27,P19,0),IF(OFFSET(input!$L$27,P19,0)="min",MAX(SUMIFS(Paper!$O$7:$O$30,Paper!$A$7:$A$30,A25),SUMIFS(Paper!$N$7:$N$30,Paper!$A$7:$A$30,A25)),MIN(SUMIFS(Paper!$O$7:$O$30,Paper!$A$7:$A$30,A25),SUMIFS(Paper!$N$7:$N$30,Paper!$A$7:$A$30,A25)))+2)</f>
        <v>2</v>
      </c>
      <c r="F25" s="967">
        <f ca="1">IF(OFFSET(input!$L$27,P19,0)="min",MIN(SUMIFS(Paper!$O$7:$O$30,Paper!$A$7:$A$30,A25),SUMIFS(Paper!$N$7:$N$30,Paper!$A$7:$A$30,A25)),MAX(SUMIFS(Paper!$O$7:$O$30,Paper!$A$7:$A$30,A25),SUMIFS(Paper!$N$7:$N$30,Paper!$A$7:$A$30,A25)))+3</f>
        <v>3</v>
      </c>
      <c r="G25" s="2441">
        <f ca="1">IF(A25="N",0,IF(OR(D25=Data!$L$943,D25=Data!$L$944,D25=Data!$L$947,D25=Data!$L$948,D25=Data!$L$949,D25=Data!$L$955,D25=Data!$L$956),ROUNDUP((E25/1000)*$C25,0),(ROUNDUP(($C25*(E25/1000)*(SUMIFS(Data!$P$943:$P$959,Data!$L$943:$L$959,D25)/1000)*SUMIFS(Data!$Q$943:$Q$959,Data!$L$943:$L$959,D25)),0))))</f>
        <v>0</v>
      </c>
      <c r="H25" s="2440" t="str">
        <f ca="1">IF(OR(D25=Data!$L$943,D25=Data!$L$944,D25=Data!$L$947,D25=Data!$L$948,D25=Data!$L$949,D25=Data!$L$955,D25=Data!$L$956),"M2/roll","Kg/roll")</f>
        <v>Kg/roll</v>
      </c>
      <c r="I25" s="967">
        <f ca="1">IF(G25=0,0,SUMIFS(Data!$O$938:$O$958,Data!$L$938:$L$958,D25))</f>
        <v>0</v>
      </c>
      <c r="J25" s="967">
        <f ca="1">IF(C25=0,0,(B25/($C25*1000/F25)))</f>
        <v>0</v>
      </c>
      <c r="K25" s="3716">
        <f ca="1">IF(C25=0,0,ROUNDUP((30/$C25)*OFFSET(Paper!$J$7,R25,0),2))</f>
        <v>0</v>
      </c>
      <c r="L25" s="967">
        <f ca="1">(K25*G25*I25)</f>
        <v>0</v>
      </c>
      <c r="M25" s="967">
        <f ca="1">IF(A25="N",0,I25*ROUNDUP(J25+K25,1)*G25)</f>
        <v>0</v>
      </c>
      <c r="N25" s="967">
        <f t="shared" ca="1" si="4"/>
        <v>0</v>
      </c>
      <c r="O25" s="136" t="str">
        <f ca="1">OFFSET(input!$F$33,Q25,0)</f>
        <v>N</v>
      </c>
      <c r="P25" s="136">
        <f t="shared" si="5"/>
        <v>24</v>
      </c>
      <c r="Q25" s="136">
        <f t="shared" si="5"/>
        <v>17</v>
      </c>
      <c r="R25" s="136">
        <f t="shared" si="6"/>
        <v>1</v>
      </c>
      <c r="AT25" s="3598">
        <f t="shared" ca="1" si="1"/>
        <v>0</v>
      </c>
      <c r="AU25" s="315">
        <f ca="1">COUNTIFS(AT$7:$AT25,1)</f>
        <v>1</v>
      </c>
    </row>
    <row r="26" spans="1:47" ht="25.5">
      <c r="A26" s="2443" t="str">
        <f ca="1">IF(OR(D25=Data!$L$954,D25=Data!$L$958),A25,"N")</f>
        <v>N</v>
      </c>
      <c r="B26" s="891">
        <f ca="1">IF(A25="N",0,SUMIFS(Paper!$AC$7:$AC$30,Paper!$A$7:$A$30,Coating!A25))</f>
        <v>0</v>
      </c>
      <c r="C26" s="969"/>
      <c r="D26" s="2442" t="str">
        <f ca="1">IF(D25=Data!$L$954,Data!$L$976,Data!$L$977)</f>
        <v>Resin AR 8207B-(for Hologram)</v>
      </c>
      <c r="E26" s="973">
        <f ca="1">SUMIFS(Paper!$N$7:$N$30,Paper!$A$7:$A$30,A25)</f>
        <v>0</v>
      </c>
      <c r="F26" s="967">
        <f ca="1">SUMIFS(Paper!$O$7:$O$30,Paper!$A$7:$A$30,A25)</f>
        <v>0</v>
      </c>
      <c r="G26" s="2441">
        <f ca="1">IF(A26="N",0,ROUNDUP(IF(D26=Data!$L$978,25/(463*686),IF(D26=Data!$L$976,Data!$P$976,Data!$P$977))*E26*F26,1))</f>
        <v>0</v>
      </c>
      <c r="H26" s="971" t="s">
        <v>1114</v>
      </c>
      <c r="I26" s="967">
        <f ca="1">IF(G26=0,0,SUMIFS(Data!$O$976:$O$978,Data!$L$976:$L$978,D26))</f>
        <v>0</v>
      </c>
      <c r="J26" s="967">
        <f ca="1">IF(A26="N",0,ROUNDUP(((B26/10000)*G26),1))</f>
        <v>0</v>
      </c>
      <c r="K26" s="967">
        <f ca="1">IF(G26&gt;0,1,0)*OFFSET(Paper!$J$7,R26,0)</f>
        <v>0</v>
      </c>
      <c r="L26" s="967">
        <f ca="1">K26*I26</f>
        <v>0</v>
      </c>
      <c r="M26" s="967">
        <f ca="1">IF(A26="N",0,I26*(J26+K26))</f>
        <v>0</v>
      </c>
      <c r="N26" s="967">
        <f t="shared" ca="1" si="4"/>
        <v>0</v>
      </c>
      <c r="O26" s="136" t="str">
        <f ca="1">OFFSET(input!$F$33,Q26,0)</f>
        <v>N</v>
      </c>
      <c r="P26" s="136">
        <f t="shared" si="5"/>
        <v>25</v>
      </c>
      <c r="Q26" s="136">
        <f t="shared" si="5"/>
        <v>17</v>
      </c>
      <c r="R26" s="136">
        <f t="shared" si="6"/>
        <v>1</v>
      </c>
      <c r="AT26" s="3598">
        <f t="shared" ca="1" si="1"/>
        <v>0</v>
      </c>
      <c r="AU26" s="315">
        <f ca="1">COUNTIFS(AT$7:$AT26,1)</f>
        <v>1</v>
      </c>
    </row>
    <row r="27" spans="1:47" ht="15">
      <c r="A27" s="333"/>
      <c r="I27" s="978"/>
      <c r="J27" s="979"/>
      <c r="K27" s="980"/>
      <c r="L27" s="981"/>
      <c r="M27" s="981"/>
      <c r="N27" s="951"/>
      <c r="AT27" s="3598" t="str">
        <f t="shared" si="1"/>
        <v/>
      </c>
      <c r="AU27" s="315">
        <f ca="1">COUNTIFS(AT$7:$AT27,1)</f>
        <v>1</v>
      </c>
    </row>
    <row r="28" spans="1:47" ht="15">
      <c r="A28" s="952" t="str">
        <f ca="1">OFFSET(input!$A$25,Q28,0)</f>
        <v>N</v>
      </c>
      <c r="B28" s="891">
        <f ca="1">IF(A28="N",0,SUMIFS(Paper!$AC$7:$AC$30,Paper!$A$7:$A$30,Coating!A28))</f>
        <v>0</v>
      </c>
      <c r="C28" s="965" t="str">
        <f>input!F$27</f>
        <v>Front Side</v>
      </c>
      <c r="D28" s="966" t="str">
        <f ca="1">OFFSET(input!$E$27,P28,0)</f>
        <v>None</v>
      </c>
      <c r="E28" s="967">
        <f ca="1">SUMIFS(Paper!$N$7:$N$30,Paper!$A$7:$A$30,A28)</f>
        <v>0</v>
      </c>
      <c r="F28" s="967">
        <f ca="1">SUMIFS(Paper!$O$7:$O$30,Paper!$A$7:$A$30,A28)</f>
        <v>0</v>
      </c>
      <c r="G28" s="968">
        <f ca="1">IF(A28="N",0,IF(OFFSET(input!$G$27,P28,0)&gt;0,OFFSET(input!$G$27,P28,0),SUMIFS(Data!$P$913:$P$942,Data!$L$913:$L$942,D28)*E28*F28*IF(AND(C28="Back Side",OR(D28="OPV Wet Hi-Rub",D28="TK Matt Varnished 22493")),2,1)))</f>
        <v>0</v>
      </c>
      <c r="I28" s="967">
        <f ca="1">IF(G28=0,0,IF(OFFSET(input!$H$27,P28,0)&gt;0,OFFSET(input!$H$27,P28,0),SUMIFS(Data!$O$913:$O$942,Data!$L$913:$L$942,D28)))</f>
        <v>0</v>
      </c>
      <c r="J28" s="967">
        <f ca="1">ROUNDUP(IF(G28&gt;0,((B28/10000)*G28),0),1)</f>
        <v>0</v>
      </c>
      <c r="K28" s="967">
        <f ca="1">IF(G28&gt;0,1,0)*OFFSET(Paper!$J$7,R28,0)</f>
        <v>0</v>
      </c>
      <c r="L28" s="967">
        <f ca="1">K28*I28</f>
        <v>0</v>
      </c>
      <c r="M28" s="967">
        <f ca="1">IF(J28=0,0,I28*(J28+K28))</f>
        <v>0</v>
      </c>
      <c r="N28" s="967">
        <f ca="1">IF($D$2&gt;0,M28/($D$2),0)*(1+$N$5)</f>
        <v>0</v>
      </c>
      <c r="O28" s="136" t="str">
        <f ca="1">OFFSET(input!$F$33,Q28,0)</f>
        <v>N</v>
      </c>
      <c r="P28" s="136">
        <f>+P18+17</f>
        <v>34</v>
      </c>
      <c r="Q28" s="136">
        <f>+Q18+17</f>
        <v>34</v>
      </c>
      <c r="R28" s="136">
        <f>+R18+1</f>
        <v>2</v>
      </c>
      <c r="AT28" s="3598">
        <f t="shared" ca="1" si="1"/>
        <v>0</v>
      </c>
      <c r="AU28" s="315">
        <f ca="1">COUNTIFS(AT$7:$AT28,1)</f>
        <v>1</v>
      </c>
    </row>
    <row r="29" spans="1:47" ht="15">
      <c r="A29" s="952" t="str">
        <f ca="1">OFFSET(input!$A$25,Q29,0)</f>
        <v>N</v>
      </c>
      <c r="B29" s="891">
        <f ca="1">IF(A29="N",0,SUMIFS(Paper!$AC$7:$AC$30,Paper!$A$7:$A$30,Coating!A29))</f>
        <v>0</v>
      </c>
      <c r="C29" s="965" t="str">
        <f>input!F$28</f>
        <v>Front Side</v>
      </c>
      <c r="D29" s="966" t="str">
        <f ca="1">OFFSET(input!$E$27,P29,0)</f>
        <v>None</v>
      </c>
      <c r="E29" s="967">
        <f ca="1">SUMIFS(Paper!$N$7:$N$30,Paper!$A$7:$A$30,A29)</f>
        <v>0</v>
      </c>
      <c r="F29" s="967">
        <f ca="1">SUMIFS(Paper!$O$7:$O$30,Paper!$A$7:$A$30,A29)</f>
        <v>0</v>
      </c>
      <c r="G29" s="968">
        <f ca="1">IF(A29="N",0,IF(OFFSET(input!$G$27,P29,0)&gt;0,OFFSET(input!$G$27,P29,0),SUMIFS(Data!$P$913:$P$942,Data!$L$913:$L$942,D29)*E29*F29*IF(AND(C29="Back Side",OR(D29="OPV Wet Hi-Rub",D29="TK Matt Varnished 22493")),2,1)))</f>
        <v>0</v>
      </c>
      <c r="I29" s="967">
        <f ca="1">IF(G29=0,0,IF(OFFSET(input!$H$27,P29,0)&gt;0,OFFSET(input!$H$27,P29,0),SUMIFS(Data!$O$913:$O$942,Data!$L$913:$L$942,D29)))</f>
        <v>0</v>
      </c>
      <c r="J29" s="967">
        <f ca="1">ROUNDUP(IF(G29&gt;0,((B29/10000)*G29),0),1)</f>
        <v>0</v>
      </c>
      <c r="K29" s="967">
        <f ca="1">IF(G29&gt;0,1,0)*OFFSET(Paper!$J$7,R29,0)</f>
        <v>0</v>
      </c>
      <c r="L29" s="967">
        <f ca="1">K29*I29</f>
        <v>0</v>
      </c>
      <c r="M29" s="967">
        <f ca="1">IF(J29=0,0,I29*(J29+K29))</f>
        <v>0</v>
      </c>
      <c r="N29" s="967">
        <f t="shared" ref="N29:N36" ca="1" si="7">IF($D$2&gt;0,M29/($D$2),0)*(1+$N$5)</f>
        <v>0</v>
      </c>
      <c r="O29" s="136" t="str">
        <f ca="1">OFFSET(input!$F$33,Q29,0)</f>
        <v>N</v>
      </c>
      <c r="P29" s="136">
        <f t="shared" ref="P29:Q29" si="8">+P19+17</f>
        <v>35</v>
      </c>
      <c r="Q29" s="136">
        <f t="shared" si="8"/>
        <v>34</v>
      </c>
      <c r="R29" s="136">
        <f t="shared" ref="R29:R36" si="9">+R19+1</f>
        <v>2</v>
      </c>
      <c r="AT29" s="3598">
        <f t="shared" ca="1" si="1"/>
        <v>0</v>
      </c>
      <c r="AU29" s="315">
        <f ca="1">COUNTIFS(AT$7:$AT29,1)</f>
        <v>1</v>
      </c>
    </row>
    <row r="30" spans="1:47" ht="15">
      <c r="A30" s="952" t="str">
        <f ca="1">OFFSET(input!$A$25,Q30,0)</f>
        <v>N</v>
      </c>
      <c r="B30" s="891">
        <f ca="1">IF(A30="N",0,SUMIFS(Paper!$AC$7:$AC$30,Paper!$A$7:$A$30,Coating!A30))</f>
        <v>0</v>
      </c>
      <c r="C30" s="965" t="str">
        <f>input!F$29</f>
        <v>Front Side</v>
      </c>
      <c r="D30" s="966" t="str">
        <f ca="1">OFFSET(input!$E$27,P30,0)</f>
        <v>None</v>
      </c>
      <c r="E30" s="967">
        <f ca="1">SUMIFS(Paper!$N$7:$N$30,Paper!$A$7:$A$30,A30)</f>
        <v>0</v>
      </c>
      <c r="F30" s="967">
        <f ca="1">SUMIFS(Paper!$O$7:$O$30,Paper!$A$7:$A$30,A30)</f>
        <v>0</v>
      </c>
      <c r="G30" s="968">
        <f ca="1">IF(A30="N",0,IF(OFFSET(input!$G$27,P30,0)&gt;0,OFFSET(input!$G$27,P30,0),SUMIFS(Data!$P$913:$P$942,Data!$L$913:$L$942,D30)*E30*F30*IF(AND(C30="Back Side",OR(D30="OPV Wet Hi-Rub",D30="TK Matt Varnished 22493")),2,1)))</f>
        <v>0</v>
      </c>
      <c r="I30" s="967">
        <f ca="1">IF(G30=0,0,IF(OFFSET(input!$H$27,P30,0)&gt;0,OFFSET(input!$H$27,P30,0),SUMIFS(Data!$O$913:$O$942,Data!$L$913:$L$942,D30)))</f>
        <v>0</v>
      </c>
      <c r="J30" s="967">
        <f ca="1">ROUNDUP(IF(G30&gt;0,((B30/10000)*G30),0),1)</f>
        <v>0</v>
      </c>
      <c r="K30" s="967">
        <f ca="1">IF(G30&gt;0,1,0)*OFFSET(Paper!$J$7,R30,0)</f>
        <v>0</v>
      </c>
      <c r="L30" s="967">
        <f ca="1">K30*I30</f>
        <v>0</v>
      </c>
      <c r="M30" s="967">
        <f ca="1">IF(J30=0,0,I30*(J30+K30))</f>
        <v>0</v>
      </c>
      <c r="N30" s="967">
        <f t="shared" ca="1" si="7"/>
        <v>0</v>
      </c>
      <c r="O30" s="136" t="str">
        <f ca="1">OFFSET(input!$F$33,Q30,0)</f>
        <v>N</v>
      </c>
      <c r="P30" s="136">
        <f t="shared" ref="P30:Q30" si="10">+P20+17</f>
        <v>36</v>
      </c>
      <c r="Q30" s="136">
        <f t="shared" si="10"/>
        <v>34</v>
      </c>
      <c r="R30" s="136">
        <f t="shared" si="9"/>
        <v>2</v>
      </c>
      <c r="AT30" s="3598">
        <f t="shared" ca="1" si="1"/>
        <v>0</v>
      </c>
      <c r="AU30" s="315">
        <f ca="1">COUNTIFS(AT$7:$AT30,1)</f>
        <v>1</v>
      </c>
    </row>
    <row r="31" spans="1:47" ht="15">
      <c r="A31" s="952" t="str">
        <f ca="1">OFFSET(input!$A$25,Q31,0)</f>
        <v>N</v>
      </c>
      <c r="B31" s="891">
        <f ca="1">IF(A31="N",0,SUMIFS(Paper!$AC$7:$AC$30,Paper!$A$7:$A$30,Coating!A31))</f>
        <v>0</v>
      </c>
      <c r="C31" s="965" t="str">
        <f>input!F$30</f>
        <v>Front Side</v>
      </c>
      <c r="D31" s="966" t="str">
        <f ca="1">OFFSET(input!$E$27,P31,0)</f>
        <v>None</v>
      </c>
      <c r="E31" s="967">
        <f ca="1">SUMIFS(Paper!$N$7:$N$30,Paper!$A$7:$A$30,A31)</f>
        <v>0</v>
      </c>
      <c r="F31" s="967">
        <f ca="1">SUMIFS(Paper!$O$7:$O$30,Paper!$A$7:$A$30,A31)</f>
        <v>0</v>
      </c>
      <c r="G31" s="968">
        <f ca="1">IF(A31="N",0,IF(OFFSET(input!$G$27,P31,0)&gt;0,OFFSET(input!$G$27,P31,0),SUMIFS(Data!$P$913:$P$942,Data!$L$913:$L$942,D31)*E31*F31*IF(AND(C31="Back Side",OR(D31="OPV Wet Hi-Rub",D31="TK Matt Varnished 22493")),2,1)))</f>
        <v>0</v>
      </c>
      <c r="I31" s="967">
        <f ca="1">IF(G31=0,0,IF(OFFSET(input!$H$27,P31,0)&gt;0,OFFSET(input!$H$27,P31,0),SUMIFS(Data!$O$913:$O$942,Data!$L$913:$L$942,D31)))</f>
        <v>0</v>
      </c>
      <c r="J31" s="967">
        <f ca="1">ROUNDUP(IF(G31&gt;0,((B31/10000)*G31),0),1)</f>
        <v>0</v>
      </c>
      <c r="K31" s="967">
        <f ca="1">IF(G31&gt;0,1,0)*OFFSET(Paper!$J$7,R31,0)</f>
        <v>0</v>
      </c>
      <c r="L31" s="967">
        <f ca="1">K31*I31</f>
        <v>0</v>
      </c>
      <c r="M31" s="967">
        <f ca="1">IF(J31=0,0,I31*(J31+K31))</f>
        <v>0</v>
      </c>
      <c r="N31" s="967">
        <f t="shared" ca="1" si="7"/>
        <v>0</v>
      </c>
      <c r="O31" s="136" t="str">
        <f ca="1">OFFSET(input!$F$33,Q31,0)</f>
        <v>N</v>
      </c>
      <c r="P31" s="136">
        <f t="shared" ref="P31:Q31" si="11">+P21+17</f>
        <v>37</v>
      </c>
      <c r="Q31" s="136">
        <f t="shared" si="11"/>
        <v>34</v>
      </c>
      <c r="R31" s="136">
        <f t="shared" si="9"/>
        <v>2</v>
      </c>
      <c r="AT31" s="3598">
        <f t="shared" ca="1" si="1"/>
        <v>0</v>
      </c>
      <c r="AU31" s="315">
        <f ca="1">COUNTIFS(AT$7:$AT31,1)</f>
        <v>1</v>
      </c>
    </row>
    <row r="32" spans="1:47" ht="15">
      <c r="A32" s="952" t="str">
        <f ca="1">OFFSET(input!$A$25,Q32,0)</f>
        <v>N</v>
      </c>
      <c r="B32" s="891">
        <f ca="1">IF(A32="N",0,SUMIFS(Paper!$AC$7:$AC$30,Paper!$A$7:$A$30,Coating!A32))</f>
        <v>0</v>
      </c>
      <c r="C32" s="965" t="str">
        <f>input!F$31</f>
        <v>Front Side</v>
      </c>
      <c r="D32" s="966" t="str">
        <f ca="1">OFFSET(input!$E$27,P32,0)</f>
        <v>None</v>
      </c>
      <c r="E32" s="967">
        <f ca="1">SUMIFS(Paper!$N$7:$N$30,Paper!$A$7:$A$30,A32)</f>
        <v>0</v>
      </c>
      <c r="F32" s="967">
        <f ca="1">SUMIFS(Paper!$O$7:$O$30,Paper!$A$7:$A$30,A32)</f>
        <v>0</v>
      </c>
      <c r="G32" s="968">
        <f ca="1">IF(A32="N",0,IF(OFFSET(input!$G$27,P32,0)&gt;0,OFFSET(input!$G$27,P32,0),SUMIFS(Data!$P$913:$P$942,Data!$L$913:$L$942,D32)*E32*F32*IF(AND(C32="Back Side",OR(D32="OPV Wet Hi-Rub",D32="TK Matt Varnished 22493")),2,1)))</f>
        <v>0</v>
      </c>
      <c r="I32" s="967">
        <f ca="1">IF(G32=0,0,IF(OFFSET(input!$H$27,P32,0)&gt;0,OFFSET(input!$H$27,P32,0),SUMIFS(Data!$O$913:$O$942,Data!$L$913:$L$942,D32)))</f>
        <v>0</v>
      </c>
      <c r="J32" s="967">
        <f ca="1">ROUNDUP(IF(G32&gt;0,((B32/10000)*G32),0),1)</f>
        <v>0</v>
      </c>
      <c r="K32" s="967">
        <f ca="1">IF(G32&gt;0,1,0)*OFFSET(Paper!$J$7,R32,0)</f>
        <v>0</v>
      </c>
      <c r="L32" s="967">
        <f ca="1">K32*I32</f>
        <v>0</v>
      </c>
      <c r="M32" s="967">
        <f ca="1">IF(J32=0,0,I32*(J32+K32))</f>
        <v>0</v>
      </c>
      <c r="N32" s="967">
        <f t="shared" ca="1" si="7"/>
        <v>0</v>
      </c>
      <c r="O32" s="136" t="str">
        <f ca="1">OFFSET(input!$F$33,Q32,0)</f>
        <v>N</v>
      </c>
      <c r="P32" s="136">
        <f t="shared" ref="P32:Q32" si="12">+P22+17</f>
        <v>38</v>
      </c>
      <c r="Q32" s="136">
        <f t="shared" si="12"/>
        <v>34</v>
      </c>
      <c r="R32" s="136">
        <f t="shared" si="9"/>
        <v>2</v>
      </c>
      <c r="AT32" s="3598">
        <f t="shared" ca="1" si="1"/>
        <v>0</v>
      </c>
      <c r="AU32" s="315">
        <f ca="1">COUNTIFS(AT$7:$AT32,1)</f>
        <v>1</v>
      </c>
    </row>
    <row r="33" spans="1:47" ht="15">
      <c r="A33" s="952" t="str">
        <f ca="1">OFFSET(input!$A$25,Q33,0)</f>
        <v>N</v>
      </c>
      <c r="B33" s="891">
        <f ca="1">IF(A33="N",0,SUMIFS(Paper!$AC$7:$AC$30,Paper!$A$7:$A$30,Coating!A33))</f>
        <v>0</v>
      </c>
      <c r="C33" s="969">
        <f ca="1">SUMIFS(Data!$M$943:$M$959,Data!$L$943:$L$959,D33)</f>
        <v>0</v>
      </c>
      <c r="D33" s="970" t="str">
        <f ca="1">OFFSET(input!$J$27,P28,0)</f>
        <v>None</v>
      </c>
      <c r="E33" s="967">
        <f ca="1">IF(OFFSET(input!$K$27,P28,0)&gt;0,OFFSET(input!$K$27,P28,0),IF(OFFSET(input!$L$27,P28,0)="min",MAX(SUMIFS(Paper!$O$7:$O$30,Paper!$A$7:$A$30,A33),SUMIFS(Paper!$N$7:$N$30,Paper!$A$7:$A$30,A33)),MIN(SUMIFS(Paper!$O$7:$O$30,Paper!$A$7:$A$30,A33),SUMIFS(Paper!$N$7:$N$30,Paper!$A$7:$A$30,A33)))+2)</f>
        <v>50</v>
      </c>
      <c r="F33" s="967">
        <f ca="1">IF(OFFSET(input!$L$27,P28,0)="min",MIN(SUMIFS(Paper!$O$7:$O$30,Paper!$A$7:$A$30,A33),SUMIFS(Paper!$N$7:$N$30,Paper!$A$7:$A$30,A33)),MAX(SUMIFS(Paper!$O$7:$O$30,Paper!$A$7:$A$30,A33),SUMIFS(Paper!$N$7:$N$30,Paper!$A$7:$A$30,A33)))+3</f>
        <v>3</v>
      </c>
      <c r="G33" s="2441">
        <f ca="1">IF(A33="N",0,IF(OR(D33=Data!$L$943,D33=Data!$L$944,D33=Data!$L$947,D33=Data!$L$948,D33=Data!$L$949,D33=Data!$L$955,D33=Data!$L$956),ROUNDUP((E33/1000)*$C33,0),(ROUNDUP(($C33*(E33/1000)*(SUMIFS(Data!$P$943:$P$959,Data!$L$943:$L$959,D33)/1000)*SUMIFS(Data!$Q$943:$Q$959,Data!$L$943:$L$959,D33)),0))))</f>
        <v>0</v>
      </c>
      <c r="H33" s="2440" t="str">
        <f ca="1">IF(OR(D33=Data!$L$943,D33=Data!$L$944,D33=Data!$L$947,D33=Data!$L$948,D33=Data!$L$949,D33=Data!$L$955,D33=Data!$L$956),"M2/roll","Kg/roll")</f>
        <v>Kg/roll</v>
      </c>
      <c r="I33" s="967">
        <f ca="1">IF(G33=0,0,SUMIFS(Data!$O$938:$O$958,Data!$L$938:$L$958,D33))</f>
        <v>0</v>
      </c>
      <c r="J33" s="972">
        <f ca="1">IF(C33=0,0,(B33/($C33*1000/F33)))</f>
        <v>0</v>
      </c>
      <c r="K33" s="3716">
        <f ca="1">IF(C33=0,0,ROUNDUP((30/$C33)*OFFSET(Paper!$J$7,R33,0),2))</f>
        <v>0</v>
      </c>
      <c r="L33" s="967">
        <f ca="1">(K33*G33*I33)</f>
        <v>0</v>
      </c>
      <c r="M33" s="967">
        <f ca="1">IF(A33="N",0,I33*ROUNDUP(J33+K33,1)*G33)</f>
        <v>0</v>
      </c>
      <c r="N33" s="967">
        <f t="shared" ca="1" si="7"/>
        <v>0</v>
      </c>
      <c r="O33" s="136" t="str">
        <f ca="1">OFFSET(input!$F$33,Q33,0)</f>
        <v>N</v>
      </c>
      <c r="P33" s="136">
        <f t="shared" ref="P33:Q33" si="13">+P23+17</f>
        <v>39</v>
      </c>
      <c r="Q33" s="136">
        <f t="shared" si="13"/>
        <v>34</v>
      </c>
      <c r="R33" s="136">
        <f t="shared" si="9"/>
        <v>2</v>
      </c>
      <c r="AT33" s="3598">
        <f t="shared" ca="1" si="1"/>
        <v>0</v>
      </c>
      <c r="AU33" s="315">
        <f ca="1">COUNTIFS(AT$7:$AT33,1)</f>
        <v>1</v>
      </c>
    </row>
    <row r="34" spans="1:47" ht="25.5">
      <c r="A34" s="2443" t="str">
        <f ca="1">IF(OR(D33=Data!$L$954,D33=Data!$L$958),A33,"N")</f>
        <v>N</v>
      </c>
      <c r="B34" s="891">
        <f ca="1">IF(A33="N",0,SUMIFS(Paper!$AC$7:$AC$30,Paper!$A$7:$A$30,Coating!A33))</f>
        <v>0</v>
      </c>
      <c r="C34" s="969"/>
      <c r="D34" s="2442" t="str">
        <f ca="1">IF(D33=Data!$L$954,Data!$L$976,Data!$L$977)</f>
        <v>Resin AR 8207B-(for Hologram)</v>
      </c>
      <c r="E34" s="973">
        <f ca="1">SUMIFS(Paper!$N$7:$N$30,Paper!$A$7:$A$30,A33)</f>
        <v>0</v>
      </c>
      <c r="F34" s="967">
        <f ca="1">SUMIFS(Paper!$O$7:$O$30,Paper!$A$7:$A$30,A33)</f>
        <v>0</v>
      </c>
      <c r="G34" s="2441">
        <f ca="1">IF(A34="N",0,ROUNDUP(IF(D34=Data!$L$978,25/(463*686),IF(D34=Data!$L$976,Data!$P$976,Data!$P$977))*E34*F34,1))</f>
        <v>0</v>
      </c>
      <c r="H34" s="971" t="s">
        <v>1114</v>
      </c>
      <c r="I34" s="967">
        <f ca="1">IF(G34=0,0,SUMIFS(Data!$O$976:$O$978,Data!$L$976:$L$978,D34))</f>
        <v>0</v>
      </c>
      <c r="J34" s="967">
        <f ca="1">IF(A34="N",0,ROUNDUP(((B34/10000)*G34),1))</f>
        <v>0</v>
      </c>
      <c r="K34" s="967">
        <f ca="1">IF(G34&gt;0,1,0)*OFFSET(Paper!$J$7,R34,0)</f>
        <v>0</v>
      </c>
      <c r="L34" s="967">
        <f ca="1">K34*I34</f>
        <v>0</v>
      </c>
      <c r="M34" s="967">
        <f ca="1">IF(A34="N",0,I34*(J34+K34))</f>
        <v>0</v>
      </c>
      <c r="N34" s="967">
        <f t="shared" ca="1" si="7"/>
        <v>0</v>
      </c>
      <c r="O34" s="136" t="str">
        <f ca="1">OFFSET(input!$F$33,Q34,0)</f>
        <v>N</v>
      </c>
      <c r="P34" s="136">
        <f t="shared" ref="P34:Q34" si="14">+P24+17</f>
        <v>40</v>
      </c>
      <c r="Q34" s="136">
        <f t="shared" si="14"/>
        <v>34</v>
      </c>
      <c r="R34" s="136">
        <f t="shared" si="9"/>
        <v>2</v>
      </c>
      <c r="AT34" s="3598">
        <f t="shared" ca="1" si="1"/>
        <v>0</v>
      </c>
      <c r="AU34" s="315">
        <f ca="1">COUNTIFS(AT$7:$AT34,1)</f>
        <v>1</v>
      </c>
    </row>
    <row r="35" spans="1:47" ht="15">
      <c r="A35" s="952" t="str">
        <f ca="1">OFFSET(input!$A$25,Q35,0)</f>
        <v>N</v>
      </c>
      <c r="B35" s="891">
        <f ca="1">IF(A35="N",0,SUMIFS(Paper!$AC$7:$AC$30,Paper!$A$7:$A$30,Coating!A35))</f>
        <v>0</v>
      </c>
      <c r="C35" s="969">
        <f ca="1">SUMIFS(Data!$M$943:$M$959,Data!$L$943:$L$959,D35)</f>
        <v>0</v>
      </c>
      <c r="D35" s="970" t="str">
        <f ca="1">OFFSET(input!$J$27,P29,0)</f>
        <v>None</v>
      </c>
      <c r="E35" s="967">
        <f ca="1">IF(OFFSET(input!$K$27,P29,0)&gt;0,OFFSET(input!$K$27,P29,0),IF(OFFSET(input!$L$27,P29,0)="min",MAX(SUMIFS(Paper!$O$7:$O$30,Paper!$A$7:$A$30,A35),SUMIFS(Paper!$N$7:$N$30,Paper!$A$7:$A$30,A35)),MIN(SUMIFS(Paper!$O$7:$O$30,Paper!$A$7:$A$30,A35),SUMIFS(Paper!$N$7:$N$30,Paper!$A$7:$A$30,A35)))+2)</f>
        <v>2</v>
      </c>
      <c r="F35" s="967">
        <f ca="1">IF(OFFSET(input!$L$27,P29,0)="min",MIN(SUMIFS(Paper!$O$7:$O$30,Paper!$A$7:$A$30,A35),SUMIFS(Paper!$N$7:$N$30,Paper!$A$7:$A$30,A35)),MAX(SUMIFS(Paper!$O$7:$O$30,Paper!$A$7:$A$30,A35),SUMIFS(Paper!$N$7:$N$30,Paper!$A$7:$A$30,A35)))+3</f>
        <v>3</v>
      </c>
      <c r="G35" s="2441">
        <f ca="1">IF(A35="N",0,IF(OR(D35=Data!$L$943,D35=Data!$L$944,D35=Data!$L$947,D35=Data!$L$948,D35=Data!$L$949,D35=Data!$L$955,D35=Data!$L$956),ROUNDUP((E35/1000)*$C35,0),(ROUNDUP(($C35*(E35/1000)*(SUMIFS(Data!$P$943:$P$959,Data!$L$943:$L$959,D35)/1000)*SUMIFS(Data!$Q$943:$Q$959,Data!$L$943:$L$959,D35)),0))))</f>
        <v>0</v>
      </c>
      <c r="H35" s="2440" t="str">
        <f ca="1">IF(OR(D35=Data!$L$943,D35=Data!$L$944,D35=Data!$L$947,D35=Data!$L$948,D35=Data!$L$949,D35=Data!$L$955,D35=Data!$L$956),"M2/roll","Kg/roll")</f>
        <v>Kg/roll</v>
      </c>
      <c r="I35" s="967">
        <f ca="1">IF(G35=0,0,SUMIFS(Data!$O$938:$O$958,Data!$L$938:$L$958,D35))</f>
        <v>0</v>
      </c>
      <c r="J35" s="967">
        <f ca="1">IF(C35=0,0,(B35/($C35*1000/F35)))</f>
        <v>0</v>
      </c>
      <c r="K35" s="3716">
        <f ca="1">IF(C35=0,0,ROUNDUP((30/$C35)*OFFSET(Paper!$J$7,R35,0),2))</f>
        <v>0</v>
      </c>
      <c r="L35" s="967">
        <f ca="1">(K35*G35*I35)</f>
        <v>0</v>
      </c>
      <c r="M35" s="967">
        <f ca="1">IF(A35="N",0,I35*ROUNDUP(J35+K35,1)*G35)</f>
        <v>0</v>
      </c>
      <c r="N35" s="967">
        <f t="shared" ca="1" si="7"/>
        <v>0</v>
      </c>
      <c r="O35" s="136" t="str">
        <f ca="1">OFFSET(input!$F$33,Q35,0)</f>
        <v>N</v>
      </c>
      <c r="P35" s="136">
        <f t="shared" ref="P35:Q35" si="15">+P25+17</f>
        <v>41</v>
      </c>
      <c r="Q35" s="136">
        <f t="shared" si="15"/>
        <v>34</v>
      </c>
      <c r="R35" s="136">
        <f t="shared" si="9"/>
        <v>2</v>
      </c>
      <c r="AT35" s="3598">
        <f t="shared" ca="1" si="1"/>
        <v>0</v>
      </c>
      <c r="AU35" s="315">
        <f ca="1">COUNTIFS(AT$7:$AT35,1)</f>
        <v>1</v>
      </c>
    </row>
    <row r="36" spans="1:47" ht="25.5">
      <c r="A36" s="2443" t="str">
        <f ca="1">IF(OR(D35=Data!$L$954,D35=Data!$L$958),A35,"N")</f>
        <v>N</v>
      </c>
      <c r="B36" s="891">
        <f ca="1">IF(A35="N",0,SUMIFS(Paper!$AC$7:$AC$30,Paper!$A$7:$A$30,Coating!A35))</f>
        <v>0</v>
      </c>
      <c r="C36" s="969"/>
      <c r="D36" s="2442" t="str">
        <f ca="1">IF(D35=Data!$L$954,Data!$L$976,Data!$L$977)</f>
        <v>Resin AR 8207B-(for Hologram)</v>
      </c>
      <c r="E36" s="973">
        <f ca="1">SUMIFS(Paper!$N$7:$N$30,Paper!$A$7:$A$30,A35)</f>
        <v>0</v>
      </c>
      <c r="F36" s="967">
        <f ca="1">SUMIFS(Paper!$O$7:$O$30,Paper!$A$7:$A$30,A35)</f>
        <v>0</v>
      </c>
      <c r="G36" s="2441">
        <f ca="1">IF(A36="N",0,ROUNDUP(IF(D36=Data!$L$978,25/(463*686),IF(D36=Data!$L$976,Data!$P$976,Data!$P$977))*E36*F36,1))</f>
        <v>0</v>
      </c>
      <c r="H36" s="971" t="s">
        <v>1114</v>
      </c>
      <c r="I36" s="967">
        <f ca="1">IF(G36=0,0,SUMIFS(Data!$O$976:$O$978,Data!$L$976:$L$978,D36))</f>
        <v>0</v>
      </c>
      <c r="J36" s="967">
        <f ca="1">IF(A36="N",0,ROUNDUP(((B36/10000)*G36),1))</f>
        <v>0</v>
      </c>
      <c r="K36" s="967">
        <f ca="1">IF(G36&gt;0,1,0)*OFFSET(Paper!$J$7,R36,0)</f>
        <v>0</v>
      </c>
      <c r="L36" s="967">
        <f ca="1">K36*I36</f>
        <v>0</v>
      </c>
      <c r="M36" s="967">
        <f ca="1">IF(A36="N",0,I36*(J36+K36))</f>
        <v>0</v>
      </c>
      <c r="N36" s="967">
        <f t="shared" ca="1" si="7"/>
        <v>0</v>
      </c>
      <c r="O36" s="136" t="str">
        <f ca="1">OFFSET(input!$F$33,Q36,0)</f>
        <v>N</v>
      </c>
      <c r="P36" s="136">
        <f t="shared" ref="P36:Q36" si="16">+P26+17</f>
        <v>42</v>
      </c>
      <c r="Q36" s="136">
        <f t="shared" si="16"/>
        <v>34</v>
      </c>
      <c r="R36" s="136">
        <f t="shared" si="9"/>
        <v>2</v>
      </c>
      <c r="AT36" s="3598">
        <f t="shared" ca="1" si="1"/>
        <v>0</v>
      </c>
      <c r="AU36" s="315">
        <f ca="1">COUNTIFS(AT$7:$AT36,1)</f>
        <v>1</v>
      </c>
    </row>
    <row r="37" spans="1:47" ht="15">
      <c r="AT37" s="3598" t="str">
        <f t="shared" si="1"/>
        <v/>
      </c>
      <c r="AU37" s="315">
        <f ca="1">COUNTIFS(AT$7:$AT37,1)</f>
        <v>1</v>
      </c>
    </row>
    <row r="38" spans="1:47" ht="15">
      <c r="A38" s="952" t="str">
        <f ca="1">OFFSET(input!$A$25,Q38,0)</f>
        <v>N</v>
      </c>
      <c r="B38" s="891">
        <f ca="1">IF(A38="N",0,SUMIFS(Paper!$AC$7:$AC$30,Paper!$A$7:$A$30,Coating!A38))</f>
        <v>0</v>
      </c>
      <c r="C38" s="965" t="str">
        <f>input!F$27</f>
        <v>Front Side</v>
      </c>
      <c r="D38" s="966" t="str">
        <f ca="1">OFFSET(input!$E$27,P38,0)</f>
        <v>None</v>
      </c>
      <c r="E38" s="967">
        <f ca="1">SUMIFS(Paper!$N$7:$N$30,Paper!$A$7:$A$30,A38)</f>
        <v>0</v>
      </c>
      <c r="F38" s="967">
        <f ca="1">SUMIFS(Paper!$O$7:$O$30,Paper!$A$7:$A$30,A38)</f>
        <v>0</v>
      </c>
      <c r="G38" s="968">
        <f ca="1">IF(A38="N",0,IF(OFFSET(input!$G$27,P38,0)&gt;0,OFFSET(input!$G$27,P38,0),SUMIFS(Data!$P$913:$P$942,Data!$L$913:$L$942,D38)*E38*F38*IF(AND(C38="Back Side",OR(D38="OPV Wet Hi-Rub",D38="TK Matt Varnished 22493")),2,1)))</f>
        <v>0</v>
      </c>
      <c r="I38" s="967">
        <f ca="1">IF(G38=0,0,IF(OFFSET(input!$H$27,P38,0)&gt;0,OFFSET(input!$H$27,P38,0),SUMIFS(Data!$O$913:$O$942,Data!$L$913:$L$942,D38)))</f>
        <v>0</v>
      </c>
      <c r="J38" s="967">
        <f ca="1">ROUNDUP(IF(G38&gt;0,((B38/10000)*G38),0),1)</f>
        <v>0</v>
      </c>
      <c r="K38" s="967">
        <f ca="1">IF(G38&gt;0,1,0)*OFFSET(Paper!$J$7,R38,0)</f>
        <v>0</v>
      </c>
      <c r="L38" s="967">
        <f ca="1">K38*I38</f>
        <v>0</v>
      </c>
      <c r="M38" s="967">
        <f ca="1">IF(J38=0,0,I38*(J38+K38))</f>
        <v>0</v>
      </c>
      <c r="N38" s="967">
        <f ca="1">IF($D$2&gt;0,M38/($D$2),0)*(1+$N$5)</f>
        <v>0</v>
      </c>
      <c r="O38" s="136" t="str">
        <f ca="1">OFFSET(input!$F$33,Q38,0)</f>
        <v>N</v>
      </c>
      <c r="P38" s="136">
        <f>+P28+17</f>
        <v>51</v>
      </c>
      <c r="Q38" s="136">
        <f>+Q28+17</f>
        <v>51</v>
      </c>
      <c r="R38" s="136">
        <f>+R28+1</f>
        <v>3</v>
      </c>
      <c r="AT38" s="3598">
        <f t="shared" ca="1" si="1"/>
        <v>0</v>
      </c>
      <c r="AU38" s="315">
        <f ca="1">COUNTIFS(AT$7:$AT38,1)</f>
        <v>1</v>
      </c>
    </row>
    <row r="39" spans="1:47" ht="15">
      <c r="A39" s="952" t="str">
        <f ca="1">OFFSET(input!$A$25,Q39,0)</f>
        <v>N</v>
      </c>
      <c r="B39" s="891">
        <f ca="1">IF(A39="N",0,SUMIFS(Paper!$AC$7:$AC$30,Paper!$A$7:$A$30,Coating!A39))</f>
        <v>0</v>
      </c>
      <c r="C39" s="965" t="str">
        <f>input!F$28</f>
        <v>Front Side</v>
      </c>
      <c r="D39" s="966" t="str">
        <f ca="1">OFFSET(input!$E$27,P39,0)</f>
        <v>None</v>
      </c>
      <c r="E39" s="967">
        <f ca="1">SUMIFS(Paper!$N$7:$N$30,Paper!$A$7:$A$30,A39)</f>
        <v>0</v>
      </c>
      <c r="F39" s="967">
        <f ca="1">SUMIFS(Paper!$O$7:$O$30,Paper!$A$7:$A$30,A39)</f>
        <v>0</v>
      </c>
      <c r="G39" s="968">
        <f ca="1">IF(A39="N",0,IF(OFFSET(input!$G$27,P39,0)&gt;0,OFFSET(input!$G$27,P39,0),SUMIFS(Data!$P$913:$P$942,Data!$L$913:$L$942,D39)*E39*F39*IF(AND(C39="Back Side",OR(D39="OPV Wet Hi-Rub",D39="TK Matt Varnished 22493")),2,1)))</f>
        <v>0</v>
      </c>
      <c r="I39" s="967">
        <f ca="1">IF(G39=0,0,IF(OFFSET(input!$H$27,P39,0)&gt;0,OFFSET(input!$H$27,P39,0),SUMIFS(Data!$O$913:$O$942,Data!$L$913:$L$942,D39)))</f>
        <v>0</v>
      </c>
      <c r="J39" s="967">
        <f ca="1">ROUNDUP(IF(G39&gt;0,((B39/10000)*G39),0),1)</f>
        <v>0</v>
      </c>
      <c r="K39" s="967">
        <f ca="1">IF(G39&gt;0,1,0)*OFFSET(Paper!$J$7,R39,0)</f>
        <v>0</v>
      </c>
      <c r="L39" s="967">
        <f ca="1">K39*I39</f>
        <v>0</v>
      </c>
      <c r="M39" s="967">
        <f ca="1">IF(J39=0,0,I39*(J39+K39))</f>
        <v>0</v>
      </c>
      <c r="N39" s="967">
        <f t="shared" ref="N39:N46" ca="1" si="17">IF($D$2&gt;0,M39/($D$2),0)*(1+$N$5)</f>
        <v>0</v>
      </c>
      <c r="O39" s="136" t="str">
        <f ca="1">OFFSET(input!$F$33,Q39,0)</f>
        <v>N</v>
      </c>
      <c r="P39" s="136">
        <f t="shared" ref="P39:Q39" si="18">+P29+17</f>
        <v>52</v>
      </c>
      <c r="Q39" s="136">
        <f t="shared" si="18"/>
        <v>51</v>
      </c>
      <c r="R39" s="136">
        <f t="shared" ref="R39:R46" si="19">+R29+1</f>
        <v>3</v>
      </c>
      <c r="AT39" s="3598">
        <f t="shared" ca="1" si="1"/>
        <v>0</v>
      </c>
      <c r="AU39" s="315">
        <f ca="1">COUNTIFS(AT$7:$AT39,1)</f>
        <v>1</v>
      </c>
    </row>
    <row r="40" spans="1:47" ht="15">
      <c r="A40" s="952" t="str">
        <f ca="1">OFFSET(input!$A$25,Q40,0)</f>
        <v>N</v>
      </c>
      <c r="B40" s="891">
        <f ca="1">IF(A40="N",0,SUMIFS(Paper!$AC$7:$AC$30,Paper!$A$7:$A$30,Coating!A40))</f>
        <v>0</v>
      </c>
      <c r="C40" s="965" t="str">
        <f>input!F$29</f>
        <v>Front Side</v>
      </c>
      <c r="D40" s="966" t="str">
        <f ca="1">OFFSET(input!$E$27,P40,0)</f>
        <v>None</v>
      </c>
      <c r="E40" s="967">
        <f ca="1">SUMIFS(Paper!$N$7:$N$30,Paper!$A$7:$A$30,A40)</f>
        <v>0</v>
      </c>
      <c r="F40" s="967">
        <f ca="1">SUMIFS(Paper!$O$7:$O$30,Paper!$A$7:$A$30,A40)</f>
        <v>0</v>
      </c>
      <c r="G40" s="968">
        <f ca="1">IF(A40="N",0,IF(OFFSET(input!$G$27,P40,0)&gt;0,OFFSET(input!$G$27,P40,0),SUMIFS(Data!$P$913:$P$942,Data!$L$913:$L$942,D40)*E40*F40*IF(AND(C40="Back Side",OR(D40="OPV Wet Hi-Rub",D40="TK Matt Varnished 22493")),2,1)))</f>
        <v>0</v>
      </c>
      <c r="I40" s="967">
        <f ca="1">IF(G40=0,0,IF(OFFSET(input!$H$27,P40,0)&gt;0,OFFSET(input!$H$27,P40,0),SUMIFS(Data!$O$913:$O$942,Data!$L$913:$L$942,D40)))</f>
        <v>0</v>
      </c>
      <c r="J40" s="967">
        <f ca="1">ROUNDUP(IF(G40&gt;0,((B40/10000)*G40),0),1)</f>
        <v>0</v>
      </c>
      <c r="K40" s="967">
        <f ca="1">IF(G40&gt;0,1,0)*OFFSET(Paper!$J$7,R40,0)</f>
        <v>0</v>
      </c>
      <c r="L40" s="967">
        <f ca="1">K40*I40</f>
        <v>0</v>
      </c>
      <c r="M40" s="967">
        <f ca="1">IF(J40=0,0,I40*(J40+K40))</f>
        <v>0</v>
      </c>
      <c r="N40" s="967">
        <f t="shared" ca="1" si="17"/>
        <v>0</v>
      </c>
      <c r="O40" s="136" t="str">
        <f ca="1">OFFSET(input!$F$33,Q40,0)</f>
        <v>N</v>
      </c>
      <c r="P40" s="136">
        <f t="shared" ref="P40:Q40" si="20">+P30+17</f>
        <v>53</v>
      </c>
      <c r="Q40" s="136">
        <f t="shared" si="20"/>
        <v>51</v>
      </c>
      <c r="R40" s="136">
        <f t="shared" si="19"/>
        <v>3</v>
      </c>
      <c r="AT40" s="3598">
        <f t="shared" ca="1" si="1"/>
        <v>0</v>
      </c>
      <c r="AU40" s="315">
        <f ca="1">COUNTIFS(AT$7:$AT40,1)</f>
        <v>1</v>
      </c>
    </row>
    <row r="41" spans="1:47" ht="15">
      <c r="A41" s="952" t="str">
        <f ca="1">OFFSET(input!$A$25,Q41,0)</f>
        <v>N</v>
      </c>
      <c r="B41" s="891">
        <f ca="1">IF(A41="N",0,SUMIFS(Paper!$AC$7:$AC$30,Paper!$A$7:$A$30,Coating!A41))</f>
        <v>0</v>
      </c>
      <c r="C41" s="965" t="str">
        <f>input!F$30</f>
        <v>Front Side</v>
      </c>
      <c r="D41" s="966" t="str">
        <f ca="1">OFFSET(input!$E$27,P41,0)</f>
        <v>None</v>
      </c>
      <c r="E41" s="967">
        <f ca="1">SUMIFS(Paper!$N$7:$N$30,Paper!$A$7:$A$30,A41)</f>
        <v>0</v>
      </c>
      <c r="F41" s="967">
        <f ca="1">SUMIFS(Paper!$O$7:$O$30,Paper!$A$7:$A$30,A41)</f>
        <v>0</v>
      </c>
      <c r="G41" s="968">
        <f ca="1">IF(A41="N",0,IF(OFFSET(input!$G$27,P41,0)&gt;0,OFFSET(input!$G$27,P41,0),SUMIFS(Data!$P$913:$P$942,Data!$L$913:$L$942,D41)*E41*F41*IF(AND(C41="Back Side",OR(D41="OPV Wet Hi-Rub",D41="TK Matt Varnished 22493")),2,1)))</f>
        <v>0</v>
      </c>
      <c r="I41" s="967">
        <f ca="1">IF(G41=0,0,IF(OFFSET(input!$H$27,P41,0)&gt;0,OFFSET(input!$H$27,P41,0),SUMIFS(Data!$O$913:$O$942,Data!$L$913:$L$942,D41)))</f>
        <v>0</v>
      </c>
      <c r="J41" s="967">
        <f ca="1">ROUNDUP(IF(G41&gt;0,((B41/10000)*G41),0),1)</f>
        <v>0</v>
      </c>
      <c r="K41" s="967">
        <f ca="1">IF(G41&gt;0,1,0)*OFFSET(Paper!$J$7,R41,0)</f>
        <v>0</v>
      </c>
      <c r="L41" s="967">
        <f ca="1">K41*I41</f>
        <v>0</v>
      </c>
      <c r="M41" s="967">
        <f ca="1">IF(J41=0,0,I41*(J41+K41))</f>
        <v>0</v>
      </c>
      <c r="N41" s="967">
        <f t="shared" ca="1" si="17"/>
        <v>0</v>
      </c>
      <c r="O41" s="136" t="str">
        <f ca="1">OFFSET(input!$F$33,Q41,0)</f>
        <v>N</v>
      </c>
      <c r="P41" s="136">
        <f t="shared" ref="P41:Q41" si="21">+P31+17</f>
        <v>54</v>
      </c>
      <c r="Q41" s="136">
        <f t="shared" si="21"/>
        <v>51</v>
      </c>
      <c r="R41" s="136">
        <f t="shared" si="19"/>
        <v>3</v>
      </c>
      <c r="AT41" s="3598">
        <f t="shared" ca="1" si="1"/>
        <v>0</v>
      </c>
      <c r="AU41" s="315">
        <f ca="1">COUNTIFS(AT$7:$AT41,1)</f>
        <v>1</v>
      </c>
    </row>
    <row r="42" spans="1:47" ht="15">
      <c r="A42" s="952" t="str">
        <f ca="1">OFFSET(input!$A$25,Q42,0)</f>
        <v>N</v>
      </c>
      <c r="B42" s="891">
        <f ca="1">IF(A42="N",0,SUMIFS(Paper!$AC$7:$AC$30,Paper!$A$7:$A$30,Coating!A42))</f>
        <v>0</v>
      </c>
      <c r="C42" s="965" t="str">
        <f>input!F$31</f>
        <v>Front Side</v>
      </c>
      <c r="D42" s="966" t="str">
        <f ca="1">OFFSET(input!$E$27,P42,0)</f>
        <v>None</v>
      </c>
      <c r="E42" s="967">
        <f ca="1">SUMIFS(Paper!$N$7:$N$30,Paper!$A$7:$A$30,A42)</f>
        <v>0</v>
      </c>
      <c r="F42" s="967">
        <f ca="1">SUMIFS(Paper!$O$7:$O$30,Paper!$A$7:$A$30,A42)</f>
        <v>0</v>
      </c>
      <c r="G42" s="968">
        <f ca="1">IF(A42="N",0,IF(OFFSET(input!$G$27,P42,0)&gt;0,OFFSET(input!$G$27,P42,0),SUMIFS(Data!$P$913:$P$942,Data!$L$913:$L$942,D42)*E42*F42*IF(AND(C42="Back Side",OR(D42="OPV Wet Hi-Rub",D42="TK Matt Varnished 22493")),2,1)))</f>
        <v>0</v>
      </c>
      <c r="I42" s="967">
        <f ca="1">IF(G42=0,0,IF(OFFSET(input!$H$27,P42,0)&gt;0,OFFSET(input!$H$27,P42,0),SUMIFS(Data!$O$913:$O$942,Data!$L$913:$L$942,D42)))</f>
        <v>0</v>
      </c>
      <c r="J42" s="967">
        <f ca="1">ROUNDUP(IF(G42&gt;0,((B42/10000)*G42),0),1)</f>
        <v>0</v>
      </c>
      <c r="K42" s="967">
        <f ca="1">IF(G42&gt;0,1,0)*OFFSET(Paper!$J$7,R42,0)</f>
        <v>0</v>
      </c>
      <c r="L42" s="967">
        <f ca="1">K42*I42</f>
        <v>0</v>
      </c>
      <c r="M42" s="967">
        <f ca="1">IF(J42=0,0,I42*(J42+K42))</f>
        <v>0</v>
      </c>
      <c r="N42" s="967">
        <f t="shared" ca="1" si="17"/>
        <v>0</v>
      </c>
      <c r="O42" s="136" t="str">
        <f ca="1">OFFSET(input!$F$33,Q42,0)</f>
        <v>N</v>
      </c>
      <c r="P42" s="136">
        <f t="shared" ref="P42:Q42" si="22">+P32+17</f>
        <v>55</v>
      </c>
      <c r="Q42" s="136">
        <f t="shared" si="22"/>
        <v>51</v>
      </c>
      <c r="R42" s="136">
        <f t="shared" si="19"/>
        <v>3</v>
      </c>
      <c r="AT42" s="3598">
        <f t="shared" ca="1" si="1"/>
        <v>0</v>
      </c>
      <c r="AU42" s="315">
        <f ca="1">COUNTIFS(AT$7:$AT42,1)</f>
        <v>1</v>
      </c>
    </row>
    <row r="43" spans="1:47" ht="15">
      <c r="A43" s="952" t="str">
        <f ca="1">OFFSET(input!$A$25,Q43,0)</f>
        <v>N</v>
      </c>
      <c r="B43" s="891">
        <f ca="1">IF(A43="N",0,SUMIFS(Paper!$AC$7:$AC$30,Paper!$A$7:$A$30,Coating!A43))</f>
        <v>0</v>
      </c>
      <c r="C43" s="969">
        <f ca="1">SUMIFS(Data!$M$943:$M$959,Data!$L$943:$L$959,D43)</f>
        <v>0</v>
      </c>
      <c r="D43" s="970" t="str">
        <f ca="1">OFFSET(input!$J$27,P38,0)</f>
        <v>None</v>
      </c>
      <c r="E43" s="967">
        <f ca="1">IF(OFFSET(input!$K$27,P38,0)&gt;0,OFFSET(input!$K$27,P38,0),IF(OFFSET(input!$L$27,P38,0)="min",MAX(SUMIFS(Paper!$O$7:$O$30,Paper!$A$7:$A$30,A43),SUMIFS(Paper!$N$7:$N$30,Paper!$A$7:$A$30,A43)),MIN(SUMIFS(Paper!$O$7:$O$30,Paper!$A$7:$A$30,A43),SUMIFS(Paper!$N$7:$N$30,Paper!$A$7:$A$30,A43)))+2)</f>
        <v>50</v>
      </c>
      <c r="F43" s="967">
        <f ca="1">IF(OFFSET(input!$L$27,P38,0)="min",MIN(SUMIFS(Paper!$O$7:$O$30,Paper!$A$7:$A$30,A43),SUMIFS(Paper!$N$7:$N$30,Paper!$A$7:$A$30,A43)),MAX(SUMIFS(Paper!$O$7:$O$30,Paper!$A$7:$A$30,A43),SUMIFS(Paper!$N$7:$N$30,Paper!$A$7:$A$30,A43)))+3</f>
        <v>3</v>
      </c>
      <c r="G43" s="2441">
        <f ca="1">IF(A43="N",0,IF(OR(D43=Data!$L$943,D43=Data!$L$944,D43=Data!$L$947,D43=Data!$L$948,D43=Data!$L$949,D43=Data!$L$955,D43=Data!$L$956),ROUNDUP((E43/1000)*$C43,0),(ROUNDUP(($C43*(E43/1000)*(SUMIFS(Data!$P$943:$P$959,Data!$L$943:$L$959,D43)/1000)*SUMIFS(Data!$Q$943:$Q$959,Data!$L$943:$L$959,D43)),0))))</f>
        <v>0</v>
      </c>
      <c r="H43" s="2440" t="str">
        <f ca="1">IF(OR(D43=Data!$L$943,D43=Data!$L$944,D43=Data!$L$947,D43=Data!$L$948,D43=Data!$L$949,D43=Data!$L$955,D43=Data!$L$956),"M2/roll","Kg/roll")</f>
        <v>Kg/roll</v>
      </c>
      <c r="I43" s="967">
        <f ca="1">IF(G43=0,0,SUMIFS(Data!$O$938:$O$958,Data!$L$938:$L$958,D43))</f>
        <v>0</v>
      </c>
      <c r="J43" s="972">
        <f ca="1">IF(C43=0,0,(B43/($C43*1000/F43)))</f>
        <v>0</v>
      </c>
      <c r="K43" s="3716">
        <f ca="1">IF(C43=0,0,ROUNDUP((30/$C43)*OFFSET(Paper!$J$7,R43,0),2))</f>
        <v>0</v>
      </c>
      <c r="L43" s="967">
        <f ca="1">(K43*G43*I43)</f>
        <v>0</v>
      </c>
      <c r="M43" s="967">
        <f ca="1">IF(A43="N",0,I43*ROUNDUP(J43+K43,1)*G43)</f>
        <v>0</v>
      </c>
      <c r="N43" s="967">
        <f t="shared" ca="1" si="17"/>
        <v>0</v>
      </c>
      <c r="O43" s="136" t="str">
        <f ca="1">OFFSET(input!$F$33,Q43,0)</f>
        <v>N</v>
      </c>
      <c r="P43" s="136">
        <f t="shared" ref="P43:Q43" si="23">+P33+17</f>
        <v>56</v>
      </c>
      <c r="Q43" s="136">
        <f t="shared" si="23"/>
        <v>51</v>
      </c>
      <c r="R43" s="136">
        <f t="shared" si="19"/>
        <v>3</v>
      </c>
      <c r="AT43" s="3598">
        <f t="shared" ca="1" si="1"/>
        <v>0</v>
      </c>
      <c r="AU43" s="315">
        <f ca="1">COUNTIFS(AT$7:$AT43,1)</f>
        <v>1</v>
      </c>
    </row>
    <row r="44" spans="1:47" ht="25.5">
      <c r="A44" s="2443" t="str">
        <f ca="1">IF(OR(D43=Data!$L$954,D43=Data!$L$958),A43,"N")</f>
        <v>N</v>
      </c>
      <c r="B44" s="891">
        <f ca="1">IF(A43="N",0,SUMIFS(Paper!$AC$7:$AC$30,Paper!$A$7:$A$30,Coating!A43))</f>
        <v>0</v>
      </c>
      <c r="C44" s="969"/>
      <c r="D44" s="2442" t="str">
        <f ca="1">IF(D43=Data!$L$954,Data!$L$976,Data!$L$977)</f>
        <v>Resin AR 8207B-(for Hologram)</v>
      </c>
      <c r="E44" s="973">
        <f ca="1">SUMIFS(Paper!$N$7:$N$30,Paper!$A$7:$A$30,A43)</f>
        <v>0</v>
      </c>
      <c r="F44" s="967">
        <f ca="1">SUMIFS(Paper!$O$7:$O$30,Paper!$A$7:$A$30,A43)</f>
        <v>0</v>
      </c>
      <c r="G44" s="2441">
        <f ca="1">IF(A44="N",0,ROUNDUP(IF(D44=Data!$L$978,25/(463*686),IF(D44=Data!$L$976,Data!$P$976,Data!$P$977))*E44*F44,1))</f>
        <v>0</v>
      </c>
      <c r="H44" s="971" t="s">
        <v>1114</v>
      </c>
      <c r="I44" s="967">
        <f ca="1">IF(G44=0,0,SUMIFS(Data!$O$976:$O$978,Data!$L$976:$L$978,D44))</f>
        <v>0</v>
      </c>
      <c r="J44" s="967">
        <f ca="1">IF(A44="N",0,ROUNDUP(((B44/10000)*G44),1))</f>
        <v>0</v>
      </c>
      <c r="K44" s="967">
        <f ca="1">IF(G44&gt;0,1,0)*OFFSET(Paper!$J$7,R44,0)</f>
        <v>0</v>
      </c>
      <c r="L44" s="967">
        <f ca="1">K44*I44</f>
        <v>0</v>
      </c>
      <c r="M44" s="967">
        <f ca="1">IF(A44="N",0,I44*(J44+K44))</f>
        <v>0</v>
      </c>
      <c r="N44" s="967">
        <f t="shared" ca="1" si="17"/>
        <v>0</v>
      </c>
      <c r="O44" s="136" t="str">
        <f ca="1">OFFSET(input!$F$33,Q44,0)</f>
        <v>N</v>
      </c>
      <c r="P44" s="136">
        <f t="shared" ref="P44:Q44" si="24">+P34+17</f>
        <v>57</v>
      </c>
      <c r="Q44" s="136">
        <f t="shared" si="24"/>
        <v>51</v>
      </c>
      <c r="R44" s="136">
        <f t="shared" si="19"/>
        <v>3</v>
      </c>
      <c r="AT44" s="3598">
        <f t="shared" ca="1" si="1"/>
        <v>0</v>
      </c>
      <c r="AU44" s="315">
        <f ca="1">COUNTIFS(AT$7:$AT44,1)</f>
        <v>1</v>
      </c>
    </row>
    <row r="45" spans="1:47" ht="15">
      <c r="A45" s="952" t="str">
        <f ca="1">OFFSET(input!$A$25,Q45,0)</f>
        <v>N</v>
      </c>
      <c r="B45" s="891">
        <f ca="1">IF(A45="N",0,SUMIFS(Paper!$AC$7:$AC$30,Paper!$A$7:$A$30,Coating!A45))</f>
        <v>0</v>
      </c>
      <c r="C45" s="969">
        <f ca="1">SUMIFS(Data!$M$943:$M$959,Data!$L$943:$L$959,D45)</f>
        <v>0</v>
      </c>
      <c r="D45" s="970" t="str">
        <f ca="1">OFFSET(input!$J$27,P39,0)</f>
        <v>None</v>
      </c>
      <c r="E45" s="967">
        <f ca="1">IF(OFFSET(input!$K$27,P39,0)&gt;0,OFFSET(input!$K$27,P39,0),IF(OFFSET(input!$L$27,P39,0)="min",MAX(SUMIFS(Paper!$O$7:$O$30,Paper!$A$7:$A$30,A45),SUMIFS(Paper!$N$7:$N$30,Paper!$A$7:$A$30,A45)),MIN(SUMIFS(Paper!$O$7:$O$30,Paper!$A$7:$A$30,A45),SUMIFS(Paper!$N$7:$N$30,Paper!$A$7:$A$30,A45)))+2)</f>
        <v>2</v>
      </c>
      <c r="F45" s="967">
        <f ca="1">IF(OFFSET(input!$L$27,P39,0)="min",MIN(SUMIFS(Paper!$O$7:$O$30,Paper!$A$7:$A$30,A45),SUMIFS(Paper!$N$7:$N$30,Paper!$A$7:$A$30,A45)),MAX(SUMIFS(Paper!$O$7:$O$30,Paper!$A$7:$A$30,A45),SUMIFS(Paper!$N$7:$N$30,Paper!$A$7:$A$30,A45)))+3</f>
        <v>3</v>
      </c>
      <c r="G45" s="2441">
        <f ca="1">IF(A45="N",0,IF(OR(D45=Data!$L$943,D45=Data!$L$944,D45=Data!$L$947,D45=Data!$L$948,D45=Data!$L$949,D45=Data!$L$955,D45=Data!$L$956),ROUNDUP((E45/1000)*$C45,0),(ROUNDUP(($C45*(E45/1000)*(SUMIFS(Data!$P$943:$P$959,Data!$L$943:$L$959,D45)/1000)*SUMIFS(Data!$Q$943:$Q$959,Data!$L$943:$L$959,D45)),0))))</f>
        <v>0</v>
      </c>
      <c r="H45" s="2440" t="str">
        <f ca="1">IF(OR(D45=Data!$L$943,D45=Data!$L$944,D45=Data!$L$947,D45=Data!$L$948,D45=Data!$L$949,D45=Data!$L$955,D45=Data!$L$956),"M2/roll","Kg/roll")</f>
        <v>Kg/roll</v>
      </c>
      <c r="I45" s="967">
        <f ca="1">IF(G45=0,0,SUMIFS(Data!$O$938:$O$958,Data!$L$938:$L$958,D45))</f>
        <v>0</v>
      </c>
      <c r="J45" s="967">
        <f ca="1">IF(C45=0,0,(B45/($C45*1000/F45)))</f>
        <v>0</v>
      </c>
      <c r="K45" s="3716">
        <f ca="1">IF(C45=0,0,ROUNDUP((30/$C45)*OFFSET(Paper!$J$7,R45,0),2))</f>
        <v>0</v>
      </c>
      <c r="L45" s="967">
        <f ca="1">(K45*G45*I45)</f>
        <v>0</v>
      </c>
      <c r="M45" s="967">
        <f ca="1">IF(A45="N",0,I45*ROUNDUP(J45+K45,1)*G45)</f>
        <v>0</v>
      </c>
      <c r="N45" s="967">
        <f t="shared" ca="1" si="17"/>
        <v>0</v>
      </c>
      <c r="O45" s="136" t="str">
        <f ca="1">OFFSET(input!$F$33,Q45,0)</f>
        <v>N</v>
      </c>
      <c r="P45" s="136">
        <f t="shared" ref="P45:Q45" si="25">+P35+17</f>
        <v>58</v>
      </c>
      <c r="Q45" s="136">
        <f t="shared" si="25"/>
        <v>51</v>
      </c>
      <c r="R45" s="136">
        <f t="shared" si="19"/>
        <v>3</v>
      </c>
      <c r="AT45" s="3598">
        <f t="shared" ca="1" si="1"/>
        <v>0</v>
      </c>
      <c r="AU45" s="315">
        <f ca="1">COUNTIFS(AT$7:$AT45,1)</f>
        <v>1</v>
      </c>
    </row>
    <row r="46" spans="1:47" ht="25.5">
      <c r="A46" s="2443" t="str">
        <f ca="1">IF(OR(D45=Data!$L$954,D45=Data!$L$958),A45,"N")</f>
        <v>N</v>
      </c>
      <c r="B46" s="891">
        <f ca="1">IF(A45="N",0,SUMIFS(Paper!$AC$7:$AC$30,Paper!$A$7:$A$30,Coating!A45))</f>
        <v>0</v>
      </c>
      <c r="C46" s="969"/>
      <c r="D46" s="2442" t="str">
        <f ca="1">IF(D45=Data!$L$954,Data!$L$976,Data!$L$977)</f>
        <v>Resin AR 8207B-(for Hologram)</v>
      </c>
      <c r="E46" s="973">
        <f ca="1">SUMIFS(Paper!$N$7:$N$30,Paper!$A$7:$A$30,A45)</f>
        <v>0</v>
      </c>
      <c r="F46" s="967">
        <f ca="1">SUMIFS(Paper!$O$7:$O$30,Paper!$A$7:$A$30,A45)</f>
        <v>0</v>
      </c>
      <c r="G46" s="2441">
        <f ca="1">IF(A46="N",0,ROUNDUP(IF(D46=Data!$L$978,25/(463*686),IF(D46=Data!$L$976,Data!$P$976,Data!$P$977))*E46*F46,1))</f>
        <v>0</v>
      </c>
      <c r="H46" s="971" t="s">
        <v>1114</v>
      </c>
      <c r="I46" s="967">
        <f ca="1">IF(G46=0,0,SUMIFS(Data!$O$976:$O$978,Data!$L$976:$L$978,D46))</f>
        <v>0</v>
      </c>
      <c r="J46" s="967">
        <f ca="1">IF(A46="N",0,ROUNDUP(((B46/10000)*G46),1))</f>
        <v>0</v>
      </c>
      <c r="K46" s="967">
        <f ca="1">IF(G46&gt;0,1,0)*OFFSET(Paper!$J$7,R46,0)</f>
        <v>0</v>
      </c>
      <c r="L46" s="967">
        <f ca="1">K46*I46</f>
        <v>0</v>
      </c>
      <c r="M46" s="967">
        <f ca="1">IF(A46="N",0,I46*(J46+K46))</f>
        <v>0</v>
      </c>
      <c r="N46" s="967">
        <f t="shared" ca="1" si="17"/>
        <v>0</v>
      </c>
      <c r="O46" s="136" t="str">
        <f ca="1">OFFSET(input!$F$33,Q46,0)</f>
        <v>N</v>
      </c>
      <c r="P46" s="136">
        <f t="shared" ref="P46:Q46" si="26">+P36+17</f>
        <v>59</v>
      </c>
      <c r="Q46" s="136">
        <f t="shared" si="26"/>
        <v>51</v>
      </c>
      <c r="R46" s="136">
        <f t="shared" si="19"/>
        <v>3</v>
      </c>
      <c r="AT46" s="3598">
        <f t="shared" ca="1" si="1"/>
        <v>0</v>
      </c>
      <c r="AU46" s="315">
        <f ca="1">COUNTIFS(AT$7:$AT46,1)</f>
        <v>1</v>
      </c>
    </row>
    <row r="47" spans="1:47" ht="15">
      <c r="AT47" s="3598" t="str">
        <f t="shared" si="1"/>
        <v/>
      </c>
      <c r="AU47" s="315">
        <f ca="1">COUNTIFS(AT$7:$AT47,1)</f>
        <v>1</v>
      </c>
    </row>
    <row r="48" spans="1:47" ht="15">
      <c r="A48" s="952" t="str">
        <f ca="1">OFFSET(input!$A$25,Q48,0)</f>
        <v>N</v>
      </c>
      <c r="B48" s="891">
        <f ca="1">IF(A48="N",0,SUMIFS(Paper!$AC$7:$AC$30,Paper!$A$7:$A$30,Coating!A48))</f>
        <v>0</v>
      </c>
      <c r="C48" s="965" t="str">
        <f>input!F$27</f>
        <v>Front Side</v>
      </c>
      <c r="D48" s="966" t="str">
        <f ca="1">OFFSET(input!$E$27,P48,0)</f>
        <v>None</v>
      </c>
      <c r="E48" s="967">
        <f ca="1">SUMIFS(Paper!$N$7:$N$30,Paper!$A$7:$A$30,A48)</f>
        <v>0</v>
      </c>
      <c r="F48" s="967">
        <f ca="1">SUMIFS(Paper!$O$7:$O$30,Paper!$A$7:$A$30,A48)</f>
        <v>0</v>
      </c>
      <c r="G48" s="968">
        <f ca="1">IF(A48="N",0,IF(OFFSET(input!$G$27,P48,0)&gt;0,OFFSET(input!$G$27,P48,0),SUMIFS(Data!$P$913:$P$942,Data!$L$913:$L$942,D48)*E48*F48*IF(AND(C48="Back Side",OR(D48="OPV Wet Hi-Rub",D48="TK Matt Varnished 22493")),2,1)))</f>
        <v>0</v>
      </c>
      <c r="I48" s="967">
        <f ca="1">IF(G48=0,0,IF(OFFSET(input!$H$27,P48,0)&gt;0,OFFSET(input!$H$27,P48,0),SUMIFS(Data!$O$913:$O$942,Data!$L$913:$L$942,D48)))</f>
        <v>0</v>
      </c>
      <c r="J48" s="967">
        <f ca="1">ROUNDUP(IF(G48&gt;0,((B48/10000)*G48),0),1)</f>
        <v>0</v>
      </c>
      <c r="K48" s="967">
        <f ca="1">IF(G48&gt;0,1,0)*OFFSET(Paper!$J$7,R48,0)</f>
        <v>0</v>
      </c>
      <c r="L48" s="967">
        <f ca="1">K48*I48</f>
        <v>0</v>
      </c>
      <c r="M48" s="967">
        <f ca="1">IF(J48=0,0,I48*(J48+K48))</f>
        <v>0</v>
      </c>
      <c r="N48" s="967">
        <f ca="1">IF($D$2&gt;0,M48/($D$2),0)*(1+$N$5)</f>
        <v>0</v>
      </c>
      <c r="O48" s="136" t="str">
        <f ca="1">OFFSET(input!$F$33,Q48,0)</f>
        <v>N</v>
      </c>
      <c r="P48" s="136">
        <f>+P38+17</f>
        <v>68</v>
      </c>
      <c r="Q48" s="136">
        <f>+Q38+17</f>
        <v>68</v>
      </c>
      <c r="R48" s="136">
        <f>+R38+1</f>
        <v>4</v>
      </c>
      <c r="AT48" s="3598">
        <f t="shared" ca="1" si="1"/>
        <v>0</v>
      </c>
      <c r="AU48" s="315">
        <f ca="1">COUNTIFS(AT$7:$AT48,1)</f>
        <v>1</v>
      </c>
    </row>
    <row r="49" spans="1:47" ht="15">
      <c r="A49" s="952" t="str">
        <f ca="1">OFFSET(input!$A$25,Q49,0)</f>
        <v>N</v>
      </c>
      <c r="B49" s="891">
        <f ca="1">IF(A49="N",0,SUMIFS(Paper!$AC$7:$AC$30,Paper!$A$7:$A$30,Coating!A49))</f>
        <v>0</v>
      </c>
      <c r="C49" s="965" t="str">
        <f>input!F$28</f>
        <v>Front Side</v>
      </c>
      <c r="D49" s="966" t="str">
        <f ca="1">OFFSET(input!$E$27,P49,0)</f>
        <v>None</v>
      </c>
      <c r="E49" s="967">
        <f ca="1">SUMIFS(Paper!$N$7:$N$30,Paper!$A$7:$A$30,A49)</f>
        <v>0</v>
      </c>
      <c r="F49" s="967">
        <f ca="1">SUMIFS(Paper!$O$7:$O$30,Paper!$A$7:$A$30,A49)</f>
        <v>0</v>
      </c>
      <c r="G49" s="968">
        <f ca="1">IF(A49="N",0,IF(OFFSET(input!$G$27,P49,0)&gt;0,OFFSET(input!$G$27,P49,0),SUMIFS(Data!$P$913:$P$942,Data!$L$913:$L$942,D49)*E49*F49*IF(AND(C49="Back Side",OR(D49="OPV Wet Hi-Rub",D49="TK Matt Varnished 22493")),2,1)))</f>
        <v>0</v>
      </c>
      <c r="I49" s="967">
        <f ca="1">IF(G49=0,0,IF(OFFSET(input!$H$27,P49,0)&gt;0,OFFSET(input!$H$27,P49,0),SUMIFS(Data!$O$913:$O$942,Data!$L$913:$L$942,D49)))</f>
        <v>0</v>
      </c>
      <c r="J49" s="967">
        <f ca="1">ROUNDUP(IF(G49&gt;0,((B49/10000)*G49),0),1)</f>
        <v>0</v>
      </c>
      <c r="K49" s="967">
        <f ca="1">IF(G49&gt;0,1,0)*OFFSET(Paper!$J$7,R49,0)</f>
        <v>0</v>
      </c>
      <c r="L49" s="967">
        <f ca="1">K49*I49</f>
        <v>0</v>
      </c>
      <c r="M49" s="967">
        <f ca="1">IF(J49=0,0,I49*(J49+K49))</f>
        <v>0</v>
      </c>
      <c r="N49" s="967">
        <f t="shared" ref="N49:N56" ca="1" si="27">IF($D$2&gt;0,M49/($D$2),0)*(1+$N$5)</f>
        <v>0</v>
      </c>
      <c r="O49" s="136" t="str">
        <f ca="1">OFFSET(input!$F$33,Q49,0)</f>
        <v>N</v>
      </c>
      <c r="P49" s="136">
        <f t="shared" ref="P49:Q49" si="28">+P39+17</f>
        <v>69</v>
      </c>
      <c r="Q49" s="136">
        <f t="shared" si="28"/>
        <v>68</v>
      </c>
      <c r="R49" s="136">
        <f t="shared" ref="R49:R56" si="29">+R39+1</f>
        <v>4</v>
      </c>
      <c r="AT49" s="3598">
        <f t="shared" ca="1" si="1"/>
        <v>0</v>
      </c>
      <c r="AU49" s="315">
        <f ca="1">COUNTIFS(AT$7:$AT49,1)</f>
        <v>1</v>
      </c>
    </row>
    <row r="50" spans="1:47" ht="15">
      <c r="A50" s="952" t="str">
        <f ca="1">OFFSET(input!$A$25,Q50,0)</f>
        <v>N</v>
      </c>
      <c r="B50" s="891">
        <f ca="1">IF(A50="N",0,SUMIFS(Paper!$AC$7:$AC$30,Paper!$A$7:$A$30,Coating!A50))</f>
        <v>0</v>
      </c>
      <c r="C50" s="965" t="str">
        <f>input!F$29</f>
        <v>Front Side</v>
      </c>
      <c r="D50" s="966" t="str">
        <f ca="1">OFFSET(input!$E$27,P50,0)</f>
        <v>None</v>
      </c>
      <c r="E50" s="967">
        <f ca="1">SUMIFS(Paper!$N$7:$N$30,Paper!$A$7:$A$30,A50)</f>
        <v>0</v>
      </c>
      <c r="F50" s="967">
        <f ca="1">SUMIFS(Paper!$O$7:$O$30,Paper!$A$7:$A$30,A50)</f>
        <v>0</v>
      </c>
      <c r="G50" s="968">
        <f ca="1">IF(A50="N",0,IF(OFFSET(input!$G$27,P50,0)&gt;0,OFFSET(input!$G$27,P50,0),SUMIFS(Data!$P$913:$P$942,Data!$L$913:$L$942,D50)*E50*F50*IF(AND(C50="Back Side",OR(D50="OPV Wet Hi-Rub",D50="TK Matt Varnished 22493")),2,1)))</f>
        <v>0</v>
      </c>
      <c r="I50" s="967">
        <f ca="1">IF(G50=0,0,IF(OFFSET(input!$H$27,P50,0)&gt;0,OFFSET(input!$H$27,P50,0),SUMIFS(Data!$O$913:$O$942,Data!$L$913:$L$942,D50)))</f>
        <v>0</v>
      </c>
      <c r="J50" s="967">
        <f ca="1">ROUNDUP(IF(G50&gt;0,((B50/10000)*G50),0),1)</f>
        <v>0</v>
      </c>
      <c r="K50" s="967">
        <f ca="1">IF(G50&gt;0,1,0)*OFFSET(Paper!$J$7,R50,0)</f>
        <v>0</v>
      </c>
      <c r="L50" s="967">
        <f ca="1">K50*I50</f>
        <v>0</v>
      </c>
      <c r="M50" s="967">
        <f ca="1">IF(J50=0,0,I50*(J50+K50))</f>
        <v>0</v>
      </c>
      <c r="N50" s="967">
        <f t="shared" ca="1" si="27"/>
        <v>0</v>
      </c>
      <c r="O50" s="136" t="str">
        <f ca="1">OFFSET(input!$F$33,Q50,0)</f>
        <v>N</v>
      </c>
      <c r="P50" s="136">
        <f t="shared" ref="P50:Q50" si="30">+P40+17</f>
        <v>70</v>
      </c>
      <c r="Q50" s="136">
        <f t="shared" si="30"/>
        <v>68</v>
      </c>
      <c r="R50" s="136">
        <f t="shared" si="29"/>
        <v>4</v>
      </c>
      <c r="AT50" s="3598">
        <f t="shared" ca="1" si="1"/>
        <v>0</v>
      </c>
      <c r="AU50" s="315">
        <f ca="1">COUNTIFS(AT$7:$AT50,1)</f>
        <v>1</v>
      </c>
    </row>
    <row r="51" spans="1:47" ht="15">
      <c r="A51" s="952" t="str">
        <f ca="1">OFFSET(input!$A$25,Q51,0)</f>
        <v>N</v>
      </c>
      <c r="B51" s="891">
        <f ca="1">IF(A51="N",0,SUMIFS(Paper!$AC$7:$AC$30,Paper!$A$7:$A$30,Coating!A51))</f>
        <v>0</v>
      </c>
      <c r="C51" s="965" t="str">
        <f>input!F$30</f>
        <v>Front Side</v>
      </c>
      <c r="D51" s="966" t="str">
        <f ca="1">OFFSET(input!$E$27,P51,0)</f>
        <v>None</v>
      </c>
      <c r="E51" s="967">
        <f ca="1">SUMIFS(Paper!$N$7:$N$30,Paper!$A$7:$A$30,A51)</f>
        <v>0</v>
      </c>
      <c r="F51" s="967">
        <f ca="1">SUMIFS(Paper!$O$7:$O$30,Paper!$A$7:$A$30,A51)</f>
        <v>0</v>
      </c>
      <c r="G51" s="968">
        <f ca="1">IF(A51="N",0,IF(OFFSET(input!$G$27,P51,0)&gt;0,OFFSET(input!$G$27,P51,0),SUMIFS(Data!$P$913:$P$942,Data!$L$913:$L$942,D51)*E51*F51*IF(AND(C51="Back Side",OR(D51="OPV Wet Hi-Rub",D51="TK Matt Varnished 22493")),2,1)))</f>
        <v>0</v>
      </c>
      <c r="I51" s="967">
        <f ca="1">IF(G51=0,0,IF(OFFSET(input!$H$27,P51,0)&gt;0,OFFSET(input!$H$27,P51,0),SUMIFS(Data!$O$913:$O$942,Data!$L$913:$L$942,D51)))</f>
        <v>0</v>
      </c>
      <c r="J51" s="967">
        <f ca="1">ROUNDUP(IF(G51&gt;0,((B51/10000)*G51),0),1)</f>
        <v>0</v>
      </c>
      <c r="K51" s="967">
        <f ca="1">IF(G51&gt;0,1,0)*OFFSET(Paper!$J$7,R51,0)</f>
        <v>0</v>
      </c>
      <c r="L51" s="967">
        <f ca="1">K51*I51</f>
        <v>0</v>
      </c>
      <c r="M51" s="967">
        <f ca="1">IF(J51=0,0,I51*(J51+K51))</f>
        <v>0</v>
      </c>
      <c r="N51" s="967">
        <f t="shared" ca="1" si="27"/>
        <v>0</v>
      </c>
      <c r="O51" s="136" t="str">
        <f ca="1">OFFSET(input!$F$33,Q51,0)</f>
        <v>N</v>
      </c>
      <c r="P51" s="136">
        <f t="shared" ref="P51:Q51" si="31">+P41+17</f>
        <v>71</v>
      </c>
      <c r="Q51" s="136">
        <f t="shared" si="31"/>
        <v>68</v>
      </c>
      <c r="R51" s="136">
        <f t="shared" si="29"/>
        <v>4</v>
      </c>
      <c r="AT51" s="3598">
        <f t="shared" ca="1" si="1"/>
        <v>0</v>
      </c>
      <c r="AU51" s="315">
        <f ca="1">COUNTIFS(AT$7:$AT51,1)</f>
        <v>1</v>
      </c>
    </row>
    <row r="52" spans="1:47" ht="15">
      <c r="A52" s="952" t="str">
        <f ca="1">OFFSET(input!$A$25,Q52,0)</f>
        <v>N</v>
      </c>
      <c r="B52" s="891">
        <f ca="1">IF(A52="N",0,SUMIFS(Paper!$AC$7:$AC$30,Paper!$A$7:$A$30,Coating!A52))</f>
        <v>0</v>
      </c>
      <c r="C52" s="965" t="str">
        <f>input!F$31</f>
        <v>Front Side</v>
      </c>
      <c r="D52" s="966" t="str">
        <f ca="1">OFFSET(input!$E$27,P52,0)</f>
        <v>None</v>
      </c>
      <c r="E52" s="967">
        <f ca="1">SUMIFS(Paper!$N$7:$N$30,Paper!$A$7:$A$30,A52)</f>
        <v>0</v>
      </c>
      <c r="F52" s="967">
        <f ca="1">SUMIFS(Paper!$O$7:$O$30,Paper!$A$7:$A$30,A52)</f>
        <v>0</v>
      </c>
      <c r="G52" s="968">
        <f ca="1">IF(A52="N",0,IF(OFFSET(input!$G$27,P52,0)&gt;0,OFFSET(input!$G$27,P52,0),SUMIFS(Data!$P$913:$P$942,Data!$L$913:$L$942,D52)*E52*F52*IF(AND(C52="Back Side",OR(D52="OPV Wet Hi-Rub",D52="TK Matt Varnished 22493")),2,1)))</f>
        <v>0</v>
      </c>
      <c r="I52" s="967">
        <f ca="1">IF(G52=0,0,IF(OFFSET(input!$H$27,P52,0)&gt;0,OFFSET(input!$H$27,P52,0),SUMIFS(Data!$O$913:$O$942,Data!$L$913:$L$942,D52)))</f>
        <v>0</v>
      </c>
      <c r="J52" s="967">
        <f ca="1">ROUNDUP(IF(G52&gt;0,((B52/10000)*G52),0),1)</f>
        <v>0</v>
      </c>
      <c r="K52" s="967">
        <f ca="1">IF(G52&gt;0,1,0)*OFFSET(Paper!$J$7,R52,0)</f>
        <v>0</v>
      </c>
      <c r="L52" s="967">
        <f ca="1">K52*I52</f>
        <v>0</v>
      </c>
      <c r="M52" s="967">
        <f ca="1">IF(J52=0,0,I52*(J52+K52))</f>
        <v>0</v>
      </c>
      <c r="N52" s="967">
        <f t="shared" ca="1" si="27"/>
        <v>0</v>
      </c>
      <c r="O52" s="136" t="str">
        <f ca="1">OFFSET(input!$F$33,Q52,0)</f>
        <v>N</v>
      </c>
      <c r="P52" s="136">
        <f t="shared" ref="P52:Q52" si="32">+P42+17</f>
        <v>72</v>
      </c>
      <c r="Q52" s="136">
        <f t="shared" si="32"/>
        <v>68</v>
      </c>
      <c r="R52" s="136">
        <f t="shared" si="29"/>
        <v>4</v>
      </c>
      <c r="AT52" s="3598">
        <f t="shared" ca="1" si="1"/>
        <v>0</v>
      </c>
      <c r="AU52" s="315">
        <f ca="1">COUNTIFS(AT$7:$AT52,1)</f>
        <v>1</v>
      </c>
    </row>
    <row r="53" spans="1:47" ht="15">
      <c r="A53" s="952" t="str">
        <f ca="1">OFFSET(input!$A$25,Q53,0)</f>
        <v>N</v>
      </c>
      <c r="B53" s="891">
        <f ca="1">IF(A53="N",0,SUMIFS(Paper!$AC$7:$AC$30,Paper!$A$7:$A$30,Coating!A53))</f>
        <v>0</v>
      </c>
      <c r="C53" s="969">
        <f ca="1">SUMIFS(Data!$M$943:$M$959,Data!$L$943:$L$959,D53)</f>
        <v>0</v>
      </c>
      <c r="D53" s="970" t="str">
        <f ca="1">OFFSET(input!$J$27,P48,0)</f>
        <v>None</v>
      </c>
      <c r="E53" s="967">
        <f ca="1">IF(OFFSET(input!$K$27,P48,0)&gt;0,OFFSET(input!$K$27,P48,0),IF(OFFSET(input!$L$27,P48,0)="min",MAX(SUMIFS(Paper!$O$7:$O$30,Paper!$A$7:$A$30,A53),SUMIFS(Paper!$N$7:$N$30,Paper!$A$7:$A$30,A53)),MIN(SUMIFS(Paper!$O$7:$O$30,Paper!$A$7:$A$30,A53),SUMIFS(Paper!$N$7:$N$30,Paper!$A$7:$A$30,A53)))+2)</f>
        <v>50</v>
      </c>
      <c r="F53" s="967">
        <f ca="1">IF(OFFSET(input!$L$27,P48,0)="min",MIN(SUMIFS(Paper!$O$7:$O$30,Paper!$A$7:$A$30,A53),SUMIFS(Paper!$N$7:$N$30,Paper!$A$7:$A$30,A53)),MAX(SUMIFS(Paper!$O$7:$O$30,Paper!$A$7:$A$30,A53),SUMIFS(Paper!$N$7:$N$30,Paper!$A$7:$A$30,A53)))+3</f>
        <v>3</v>
      </c>
      <c r="G53" s="2441">
        <f ca="1">IF(A53="N",0,IF(OR(D53=Data!$L$943,D53=Data!$L$944,D53=Data!$L$947,D53=Data!$L$948,D53=Data!$L$949,D53=Data!$L$955,D53=Data!$L$956),ROUNDUP((E53/1000)*$C53,0),(ROUNDUP(($C53*(E53/1000)*(SUMIFS(Data!$P$943:$P$959,Data!$L$943:$L$959,D53)/1000)*SUMIFS(Data!$Q$943:$Q$959,Data!$L$943:$L$959,D53)),0))))</f>
        <v>0</v>
      </c>
      <c r="H53" s="2440" t="str">
        <f ca="1">IF(OR(D53=Data!$L$943,D53=Data!$L$944,D53=Data!$L$947,D53=Data!$L$948,D53=Data!$L$949,D53=Data!$L$955,D53=Data!$L$956),"M2/roll","Kg/roll")</f>
        <v>Kg/roll</v>
      </c>
      <c r="I53" s="967">
        <f ca="1">IF(G53=0,0,SUMIFS(Data!$O$938:$O$958,Data!$L$938:$L$958,D53))</f>
        <v>0</v>
      </c>
      <c r="J53" s="972">
        <f ca="1">IF(C53=0,0,(B53/($C53*1000/F53)))</f>
        <v>0</v>
      </c>
      <c r="K53" s="3716">
        <f ca="1">IF(C53=0,0,ROUNDUP((30/$C53)*OFFSET(Paper!$J$7,R53,0),2))</f>
        <v>0</v>
      </c>
      <c r="L53" s="967">
        <f ca="1">(K53*G53*I53)</f>
        <v>0</v>
      </c>
      <c r="M53" s="967">
        <f ca="1">IF(A53="N",0,I53*ROUNDUP(J53+K53,1)*G53)</f>
        <v>0</v>
      </c>
      <c r="N53" s="967">
        <f t="shared" ca="1" si="27"/>
        <v>0</v>
      </c>
      <c r="O53" s="136" t="str">
        <f ca="1">OFFSET(input!$F$33,Q53,0)</f>
        <v>N</v>
      </c>
      <c r="P53" s="136">
        <f t="shared" ref="P53:Q53" si="33">+P43+17</f>
        <v>73</v>
      </c>
      <c r="Q53" s="136">
        <f t="shared" si="33"/>
        <v>68</v>
      </c>
      <c r="R53" s="136">
        <f t="shared" si="29"/>
        <v>4</v>
      </c>
      <c r="AT53" s="3598">
        <f t="shared" ca="1" si="1"/>
        <v>0</v>
      </c>
      <c r="AU53" s="315">
        <f ca="1">COUNTIFS(AT$7:$AT53,1)</f>
        <v>1</v>
      </c>
    </row>
    <row r="54" spans="1:47" ht="25.5">
      <c r="A54" s="2443" t="str">
        <f ca="1">IF(OR(D53=Data!$L$954,D53=Data!$L$958),A53,"N")</f>
        <v>N</v>
      </c>
      <c r="B54" s="891">
        <f ca="1">IF(A53="N",0,SUMIFS(Paper!$AC$7:$AC$30,Paper!$A$7:$A$30,Coating!A53))</f>
        <v>0</v>
      </c>
      <c r="C54" s="969"/>
      <c r="D54" s="2442" t="str">
        <f ca="1">IF(D53=Data!$L$954,Data!$L$976,Data!$L$977)</f>
        <v>Resin AR 8207B-(for Hologram)</v>
      </c>
      <c r="E54" s="973">
        <f ca="1">SUMIFS(Paper!$N$7:$N$30,Paper!$A$7:$A$30,A53)</f>
        <v>0</v>
      </c>
      <c r="F54" s="967">
        <f ca="1">SUMIFS(Paper!$O$7:$O$30,Paper!$A$7:$A$30,A53)</f>
        <v>0</v>
      </c>
      <c r="G54" s="2441">
        <f ca="1">IF(A54="N",0,ROUNDUP(IF(D54=Data!$L$978,25/(463*686),IF(D54=Data!$L$976,Data!$P$976,Data!$P$977))*E54*F54,1))</f>
        <v>0</v>
      </c>
      <c r="H54" s="971" t="s">
        <v>1114</v>
      </c>
      <c r="I54" s="967">
        <f ca="1">IF(G54=0,0,SUMIFS(Data!$O$976:$O$978,Data!$L$976:$L$978,D54))</f>
        <v>0</v>
      </c>
      <c r="J54" s="967">
        <f ca="1">IF(A54="N",0,ROUNDUP(((B54/10000)*G54),1))</f>
        <v>0</v>
      </c>
      <c r="K54" s="967">
        <f ca="1">IF(G54&gt;0,1,0)*OFFSET(Paper!$J$7,R54,0)</f>
        <v>0</v>
      </c>
      <c r="L54" s="967">
        <f ca="1">K54*I54</f>
        <v>0</v>
      </c>
      <c r="M54" s="967">
        <f ca="1">IF(A54="N",0,I54*(J54+K54))</f>
        <v>0</v>
      </c>
      <c r="N54" s="967">
        <f t="shared" ca="1" si="27"/>
        <v>0</v>
      </c>
      <c r="O54" s="136" t="str">
        <f ca="1">OFFSET(input!$F$33,Q54,0)</f>
        <v>N</v>
      </c>
      <c r="P54" s="136">
        <f t="shared" ref="P54:Q54" si="34">+P44+17</f>
        <v>74</v>
      </c>
      <c r="Q54" s="136">
        <f t="shared" si="34"/>
        <v>68</v>
      </c>
      <c r="R54" s="136">
        <f t="shared" si="29"/>
        <v>4</v>
      </c>
      <c r="AT54" s="3598">
        <f t="shared" ca="1" si="1"/>
        <v>0</v>
      </c>
      <c r="AU54" s="315">
        <f ca="1">COUNTIFS(AT$7:$AT54,1)</f>
        <v>1</v>
      </c>
    </row>
    <row r="55" spans="1:47" ht="15">
      <c r="A55" s="952" t="str">
        <f ca="1">OFFSET(input!$A$25,Q55,0)</f>
        <v>N</v>
      </c>
      <c r="B55" s="891">
        <f ca="1">IF(A55="N",0,SUMIFS(Paper!$AC$7:$AC$30,Paper!$A$7:$A$30,Coating!A55))</f>
        <v>0</v>
      </c>
      <c r="C55" s="969">
        <f ca="1">SUMIFS(Data!$M$943:$M$959,Data!$L$943:$L$959,D55)</f>
        <v>0</v>
      </c>
      <c r="D55" s="970" t="str">
        <f ca="1">OFFSET(input!$J$27,P49,0)</f>
        <v>None</v>
      </c>
      <c r="E55" s="967">
        <f ca="1">IF(OFFSET(input!$K$27,P49,0)&gt;0,OFFSET(input!$K$27,P49,0),IF(OFFSET(input!$L$27,P49,0)="min",MAX(SUMIFS(Paper!$O$7:$O$30,Paper!$A$7:$A$30,A55),SUMIFS(Paper!$N$7:$N$30,Paper!$A$7:$A$30,A55)),MIN(SUMIFS(Paper!$O$7:$O$30,Paper!$A$7:$A$30,A55),SUMIFS(Paper!$N$7:$N$30,Paper!$A$7:$A$30,A55)))+2)</f>
        <v>2</v>
      </c>
      <c r="F55" s="967">
        <f ca="1">IF(OFFSET(input!$L$27,P49,0)="min",MIN(SUMIFS(Paper!$O$7:$O$30,Paper!$A$7:$A$30,A55),SUMIFS(Paper!$N$7:$N$30,Paper!$A$7:$A$30,A55)),MAX(SUMIFS(Paper!$O$7:$O$30,Paper!$A$7:$A$30,A55),SUMIFS(Paper!$N$7:$N$30,Paper!$A$7:$A$30,A55)))+3</f>
        <v>3</v>
      </c>
      <c r="G55" s="2441">
        <f ca="1">IF(A55="N",0,IF(OR(D55=Data!$L$943,D55=Data!$L$944,D55=Data!$L$947,D55=Data!$L$948,D55=Data!$L$949,D55=Data!$L$955,D55=Data!$L$956),ROUNDUP((E55/1000)*$C55,0),(ROUNDUP(($C55*(E55/1000)*(SUMIFS(Data!$P$943:$P$959,Data!$L$943:$L$959,D55)/1000)*SUMIFS(Data!$Q$943:$Q$959,Data!$L$943:$L$959,D55)),0))))</f>
        <v>0</v>
      </c>
      <c r="H55" s="2440" t="str">
        <f ca="1">IF(OR(D55=Data!$L$943,D55=Data!$L$944,D55=Data!$L$947,D55=Data!$L$948,D55=Data!$L$949,D55=Data!$L$955,D55=Data!$L$956),"M2/roll","Kg/roll")</f>
        <v>Kg/roll</v>
      </c>
      <c r="I55" s="967">
        <f ca="1">IF(G55=0,0,SUMIFS(Data!$O$938:$O$958,Data!$L$938:$L$958,D55))</f>
        <v>0</v>
      </c>
      <c r="J55" s="967">
        <f ca="1">IF(C55=0,0,(B55/($C55*1000/F55)))</f>
        <v>0</v>
      </c>
      <c r="K55" s="3716">
        <f ca="1">IF(C55=0,0,ROUNDUP((30/$C55)*OFFSET(Paper!$J$7,R55,0),2))</f>
        <v>0</v>
      </c>
      <c r="L55" s="967">
        <f ca="1">(K55*G55*I55)</f>
        <v>0</v>
      </c>
      <c r="M55" s="967">
        <f ca="1">IF(A55="N",0,I55*ROUNDUP(J55+K55,1)*G55)</f>
        <v>0</v>
      </c>
      <c r="N55" s="967">
        <f t="shared" ca="1" si="27"/>
        <v>0</v>
      </c>
      <c r="O55" s="136" t="str">
        <f ca="1">OFFSET(input!$F$33,Q55,0)</f>
        <v>N</v>
      </c>
      <c r="P55" s="136">
        <f t="shared" ref="P55:Q55" si="35">+P45+17</f>
        <v>75</v>
      </c>
      <c r="Q55" s="136">
        <f t="shared" si="35"/>
        <v>68</v>
      </c>
      <c r="R55" s="136">
        <f t="shared" si="29"/>
        <v>4</v>
      </c>
      <c r="AT55" s="3598">
        <f t="shared" ca="1" si="1"/>
        <v>0</v>
      </c>
      <c r="AU55" s="315">
        <f ca="1">COUNTIFS(AT$7:$AT55,1)</f>
        <v>1</v>
      </c>
    </row>
    <row r="56" spans="1:47" ht="25.5">
      <c r="A56" s="2443" t="str">
        <f ca="1">IF(OR(D55=Data!$L$954,D55=Data!$L$958),A55,"N")</f>
        <v>N</v>
      </c>
      <c r="B56" s="891">
        <f ca="1">IF(A55="N",0,SUMIFS(Paper!$AC$7:$AC$30,Paper!$A$7:$A$30,Coating!A55))</f>
        <v>0</v>
      </c>
      <c r="C56" s="969"/>
      <c r="D56" s="2442" t="str">
        <f ca="1">IF(D55=Data!$L$954,Data!$L$976,Data!$L$977)</f>
        <v>Resin AR 8207B-(for Hologram)</v>
      </c>
      <c r="E56" s="973">
        <f ca="1">SUMIFS(Paper!$N$7:$N$30,Paper!$A$7:$A$30,A55)</f>
        <v>0</v>
      </c>
      <c r="F56" s="967">
        <f ca="1">SUMIFS(Paper!$O$7:$O$30,Paper!$A$7:$A$30,A55)</f>
        <v>0</v>
      </c>
      <c r="G56" s="2441">
        <f ca="1">IF(A56="N",0,ROUNDUP(IF(D56=Data!$L$978,25/(463*686),IF(D56=Data!$L$976,Data!$P$976,Data!$P$977))*E56*F56,1))</f>
        <v>0</v>
      </c>
      <c r="H56" s="971" t="s">
        <v>1114</v>
      </c>
      <c r="I56" s="967">
        <f ca="1">IF(G56=0,0,SUMIFS(Data!$O$976:$O$978,Data!$L$976:$L$978,D56))</f>
        <v>0</v>
      </c>
      <c r="J56" s="967">
        <f ca="1">IF(A56="N",0,ROUNDUP(((B56/10000)*G56),1))</f>
        <v>0</v>
      </c>
      <c r="K56" s="967">
        <f ca="1">IF(G56&gt;0,1,0)*OFFSET(Paper!$J$7,R56,0)</f>
        <v>0</v>
      </c>
      <c r="L56" s="967">
        <f ca="1">K56*I56</f>
        <v>0</v>
      </c>
      <c r="M56" s="967">
        <f ca="1">IF(A56="N",0,I56*(J56+K56))</f>
        <v>0</v>
      </c>
      <c r="N56" s="967">
        <f t="shared" ca="1" si="27"/>
        <v>0</v>
      </c>
      <c r="O56" s="136" t="str">
        <f ca="1">OFFSET(input!$F$33,Q56,0)</f>
        <v>N</v>
      </c>
      <c r="P56" s="136">
        <f t="shared" ref="P56:Q56" si="36">+P46+17</f>
        <v>76</v>
      </c>
      <c r="Q56" s="136">
        <f t="shared" si="36"/>
        <v>68</v>
      </c>
      <c r="R56" s="136">
        <f t="shared" si="29"/>
        <v>4</v>
      </c>
      <c r="AT56" s="3598">
        <f t="shared" ca="1" si="1"/>
        <v>0</v>
      </c>
      <c r="AU56" s="315">
        <f ca="1">COUNTIFS(AT$7:$AT56,1)</f>
        <v>1</v>
      </c>
    </row>
    <row r="57" spans="1:47" ht="15">
      <c r="AT57" s="3598" t="str">
        <f t="shared" si="1"/>
        <v/>
      </c>
      <c r="AU57" s="315">
        <f ca="1">COUNTIFS(AT$7:$AT57,1)</f>
        <v>1</v>
      </c>
    </row>
    <row r="58" spans="1:47" ht="15">
      <c r="A58" s="952" t="str">
        <f ca="1">OFFSET(input!$A$25,Q58,0)</f>
        <v>N</v>
      </c>
      <c r="B58" s="891">
        <f ca="1">IF(A58="N",0,SUMIFS(Paper!$AC$7:$AC$30,Paper!$A$7:$A$30,Coating!A58))</f>
        <v>0</v>
      </c>
      <c r="C58" s="965" t="str">
        <f>input!F$27</f>
        <v>Front Side</v>
      </c>
      <c r="D58" s="966" t="str">
        <f ca="1">OFFSET(input!$E$27,P58,0)</f>
        <v>None</v>
      </c>
      <c r="E58" s="967">
        <f ca="1">SUMIFS(Paper!$N$7:$N$30,Paper!$A$7:$A$30,A58)</f>
        <v>0</v>
      </c>
      <c r="F58" s="967">
        <f ca="1">SUMIFS(Paper!$O$7:$O$30,Paper!$A$7:$A$30,A58)</f>
        <v>0</v>
      </c>
      <c r="G58" s="968">
        <f ca="1">IF(A58="N",0,IF(OFFSET(input!$G$27,P58,0)&gt;0,OFFSET(input!$G$27,P58,0),SUMIFS(Data!$P$913:$P$942,Data!$L$913:$L$942,D58)*E58*F58*IF(AND(C58="Back Side",OR(D58="OPV Wet Hi-Rub",D58="TK Matt Varnished 22493")),2,1)))</f>
        <v>0</v>
      </c>
      <c r="I58" s="967">
        <f ca="1">IF(G58=0,0,IF(OFFSET(input!$H$27,P58,0)&gt;0,OFFSET(input!$H$27,P58,0),SUMIFS(Data!$O$913:$O$942,Data!$L$913:$L$942,D58)))</f>
        <v>0</v>
      </c>
      <c r="J58" s="967">
        <f ca="1">ROUNDUP(IF(G58&gt;0,((B58/10000)*G58),0),1)</f>
        <v>0</v>
      </c>
      <c r="K58" s="967">
        <f ca="1">IF(G58&gt;0,1,0)*OFFSET(Paper!$J$7,R58,0)</f>
        <v>0</v>
      </c>
      <c r="L58" s="967">
        <f ca="1">K58*I58</f>
        <v>0</v>
      </c>
      <c r="M58" s="967">
        <f ca="1">IF(J58=0,0,I58*(J58+K58))</f>
        <v>0</v>
      </c>
      <c r="N58" s="967">
        <f ca="1">IF($D$2&gt;0,M58/($D$2),0)*(1+$N$5)</f>
        <v>0</v>
      </c>
      <c r="O58" s="136" t="str">
        <f ca="1">OFFSET(input!$F$33,Q58,0)</f>
        <v>N</v>
      </c>
      <c r="P58" s="136">
        <f>+P48+17</f>
        <v>85</v>
      </c>
      <c r="Q58" s="136">
        <f>+Q48+17</f>
        <v>85</v>
      </c>
      <c r="R58" s="136">
        <f>+R48+1</f>
        <v>5</v>
      </c>
      <c r="AT58" s="3598">
        <f t="shared" ca="1" si="1"/>
        <v>0</v>
      </c>
      <c r="AU58" s="315">
        <f ca="1">COUNTIFS(AT$7:$AT58,1)</f>
        <v>1</v>
      </c>
    </row>
    <row r="59" spans="1:47" ht="15">
      <c r="A59" s="952" t="str">
        <f ca="1">OFFSET(input!$A$25,Q59,0)</f>
        <v>N</v>
      </c>
      <c r="B59" s="891">
        <f ca="1">IF(A59="N",0,SUMIFS(Paper!$AC$7:$AC$30,Paper!$A$7:$A$30,Coating!A59))</f>
        <v>0</v>
      </c>
      <c r="C59" s="965" t="str">
        <f>input!F$28</f>
        <v>Front Side</v>
      </c>
      <c r="D59" s="966" t="str">
        <f ca="1">OFFSET(input!$E$27,P59,0)</f>
        <v>None</v>
      </c>
      <c r="E59" s="967">
        <f ca="1">SUMIFS(Paper!$N$7:$N$30,Paper!$A$7:$A$30,A59)</f>
        <v>0</v>
      </c>
      <c r="F59" s="967">
        <f ca="1">SUMIFS(Paper!$O$7:$O$30,Paper!$A$7:$A$30,A59)</f>
        <v>0</v>
      </c>
      <c r="G59" s="968">
        <f ca="1">IF(A59="N",0,IF(OFFSET(input!$G$27,P59,0)&gt;0,OFFSET(input!$G$27,P59,0),SUMIFS(Data!$P$913:$P$942,Data!$L$913:$L$942,D59)*E59*F59*IF(AND(C59="Back Side",OR(D59="OPV Wet Hi-Rub",D59="TK Matt Varnished 22493")),2,1)))</f>
        <v>0</v>
      </c>
      <c r="I59" s="967">
        <f ca="1">IF(G59=0,0,IF(OFFSET(input!$H$27,P59,0)&gt;0,OFFSET(input!$H$27,P59,0),SUMIFS(Data!$O$913:$O$942,Data!$L$913:$L$942,D59)))</f>
        <v>0</v>
      </c>
      <c r="J59" s="967">
        <f ca="1">ROUNDUP(IF(G59&gt;0,((B59/10000)*G59),0),1)</f>
        <v>0</v>
      </c>
      <c r="K59" s="967">
        <f ca="1">IF(G59&gt;0,1,0)*OFFSET(Paper!$J$7,R59,0)</f>
        <v>0</v>
      </c>
      <c r="L59" s="967">
        <f ca="1">K59*I59</f>
        <v>0</v>
      </c>
      <c r="M59" s="967">
        <f ca="1">IF(J59=0,0,I59*(J59+K59))</f>
        <v>0</v>
      </c>
      <c r="N59" s="967">
        <f t="shared" ref="N59:N66" ca="1" si="37">IF($D$2&gt;0,M59/($D$2),0)*(1+$N$5)</f>
        <v>0</v>
      </c>
      <c r="O59" s="136" t="str">
        <f ca="1">OFFSET(input!$F$33,Q59,0)</f>
        <v>N</v>
      </c>
      <c r="P59" s="136">
        <f t="shared" ref="P59:Q59" si="38">+P49+17</f>
        <v>86</v>
      </c>
      <c r="Q59" s="136">
        <f t="shared" si="38"/>
        <v>85</v>
      </c>
      <c r="R59" s="136">
        <f t="shared" ref="R59:R66" si="39">+R49+1</f>
        <v>5</v>
      </c>
      <c r="AT59" s="3598">
        <f t="shared" ca="1" si="1"/>
        <v>0</v>
      </c>
      <c r="AU59" s="315">
        <f ca="1">COUNTIFS(AT$7:$AT59,1)</f>
        <v>1</v>
      </c>
    </row>
    <row r="60" spans="1:47" ht="15">
      <c r="A60" s="952" t="str">
        <f ca="1">OFFSET(input!$A$25,Q60,0)</f>
        <v>N</v>
      </c>
      <c r="B60" s="891">
        <f ca="1">IF(A60="N",0,SUMIFS(Paper!$AC$7:$AC$30,Paper!$A$7:$A$30,Coating!A60))</f>
        <v>0</v>
      </c>
      <c r="C60" s="965" t="str">
        <f>input!F$29</f>
        <v>Front Side</v>
      </c>
      <c r="D60" s="966" t="str">
        <f ca="1">OFFSET(input!$E$27,P60,0)</f>
        <v>None</v>
      </c>
      <c r="E60" s="967">
        <f ca="1">SUMIFS(Paper!$N$7:$N$30,Paper!$A$7:$A$30,A60)</f>
        <v>0</v>
      </c>
      <c r="F60" s="967">
        <f ca="1">SUMIFS(Paper!$O$7:$O$30,Paper!$A$7:$A$30,A60)</f>
        <v>0</v>
      </c>
      <c r="G60" s="968">
        <f ca="1">IF(A60="N",0,IF(OFFSET(input!$G$27,P60,0)&gt;0,OFFSET(input!$G$27,P60,0),SUMIFS(Data!$P$913:$P$942,Data!$L$913:$L$942,D60)*E60*F60*IF(AND(C60="Back Side",OR(D60="OPV Wet Hi-Rub",D60="TK Matt Varnished 22493")),2,1)))</f>
        <v>0</v>
      </c>
      <c r="I60" s="967">
        <f ca="1">IF(G60=0,0,IF(OFFSET(input!$H$27,P60,0)&gt;0,OFFSET(input!$H$27,P60,0),SUMIFS(Data!$O$913:$O$942,Data!$L$913:$L$942,D60)))</f>
        <v>0</v>
      </c>
      <c r="J60" s="967">
        <f ca="1">ROUNDUP(IF(G60&gt;0,((B60/10000)*G60),0),1)</f>
        <v>0</v>
      </c>
      <c r="K60" s="967">
        <f ca="1">IF(G60&gt;0,1,0)*OFFSET(Paper!$J$7,R60,0)</f>
        <v>0</v>
      </c>
      <c r="L60" s="967">
        <f ca="1">K60*I60</f>
        <v>0</v>
      </c>
      <c r="M60" s="967">
        <f ca="1">IF(J60=0,0,I60*(J60+K60))</f>
        <v>0</v>
      </c>
      <c r="N60" s="967">
        <f t="shared" ca="1" si="37"/>
        <v>0</v>
      </c>
      <c r="O60" s="136" t="str">
        <f ca="1">OFFSET(input!$F$33,Q60,0)</f>
        <v>N</v>
      </c>
      <c r="P60" s="136">
        <f t="shared" ref="P60:Q60" si="40">+P50+17</f>
        <v>87</v>
      </c>
      <c r="Q60" s="136">
        <f t="shared" si="40"/>
        <v>85</v>
      </c>
      <c r="R60" s="136">
        <f t="shared" si="39"/>
        <v>5</v>
      </c>
      <c r="AT60" s="3598">
        <f t="shared" ca="1" si="1"/>
        <v>0</v>
      </c>
      <c r="AU60" s="315">
        <f ca="1">COUNTIFS(AT$7:$AT60,1)</f>
        <v>1</v>
      </c>
    </row>
    <row r="61" spans="1:47" ht="15">
      <c r="A61" s="952" t="str">
        <f ca="1">OFFSET(input!$A$25,Q61,0)</f>
        <v>N</v>
      </c>
      <c r="B61" s="891">
        <f ca="1">IF(A61="N",0,SUMIFS(Paper!$AC$7:$AC$30,Paper!$A$7:$A$30,Coating!A61))</f>
        <v>0</v>
      </c>
      <c r="C61" s="965" t="str">
        <f>input!F$30</f>
        <v>Front Side</v>
      </c>
      <c r="D61" s="966" t="str">
        <f ca="1">OFFSET(input!$E$27,P61,0)</f>
        <v>None</v>
      </c>
      <c r="E61" s="967">
        <f ca="1">SUMIFS(Paper!$N$7:$N$30,Paper!$A$7:$A$30,A61)</f>
        <v>0</v>
      </c>
      <c r="F61" s="967">
        <f ca="1">SUMIFS(Paper!$O$7:$O$30,Paper!$A$7:$A$30,A61)</f>
        <v>0</v>
      </c>
      <c r="G61" s="968">
        <f ca="1">IF(A61="N",0,IF(OFFSET(input!$G$27,P61,0)&gt;0,OFFSET(input!$G$27,P61,0),SUMIFS(Data!$P$913:$P$942,Data!$L$913:$L$942,D61)*E61*F61*IF(AND(C61="Back Side",OR(D61="OPV Wet Hi-Rub",D61="TK Matt Varnished 22493")),2,1)))</f>
        <v>0</v>
      </c>
      <c r="I61" s="967">
        <f ca="1">IF(G61=0,0,IF(OFFSET(input!$H$27,P61,0)&gt;0,OFFSET(input!$H$27,P61,0),SUMIFS(Data!$O$913:$O$942,Data!$L$913:$L$942,D61)))</f>
        <v>0</v>
      </c>
      <c r="J61" s="967">
        <f ca="1">ROUNDUP(IF(G61&gt;0,((B61/10000)*G61),0),1)</f>
        <v>0</v>
      </c>
      <c r="K61" s="967">
        <f ca="1">IF(G61&gt;0,1,0)*OFFSET(Paper!$J$7,R61,0)</f>
        <v>0</v>
      </c>
      <c r="L61" s="967">
        <f ca="1">K61*I61</f>
        <v>0</v>
      </c>
      <c r="M61" s="967">
        <f ca="1">IF(J61=0,0,I61*(J61+K61))</f>
        <v>0</v>
      </c>
      <c r="N61" s="967">
        <f t="shared" ca="1" si="37"/>
        <v>0</v>
      </c>
      <c r="O61" s="136" t="str">
        <f ca="1">OFFSET(input!$F$33,Q61,0)</f>
        <v>N</v>
      </c>
      <c r="P61" s="136">
        <f t="shared" ref="P61:Q61" si="41">+P51+17</f>
        <v>88</v>
      </c>
      <c r="Q61" s="136">
        <f t="shared" si="41"/>
        <v>85</v>
      </c>
      <c r="R61" s="136">
        <f t="shared" si="39"/>
        <v>5</v>
      </c>
      <c r="AT61" s="3598">
        <f t="shared" ca="1" si="1"/>
        <v>0</v>
      </c>
      <c r="AU61" s="315">
        <f ca="1">COUNTIFS(AT$7:$AT61,1)</f>
        <v>1</v>
      </c>
    </row>
    <row r="62" spans="1:47" ht="15">
      <c r="A62" s="952" t="str">
        <f ca="1">OFFSET(input!$A$25,Q62,0)</f>
        <v>N</v>
      </c>
      <c r="B62" s="891">
        <f ca="1">IF(A62="N",0,SUMIFS(Paper!$AC$7:$AC$30,Paper!$A$7:$A$30,Coating!A62))</f>
        <v>0</v>
      </c>
      <c r="C62" s="965" t="str">
        <f>input!F$31</f>
        <v>Front Side</v>
      </c>
      <c r="D62" s="966" t="str">
        <f ca="1">OFFSET(input!$E$27,P62,0)</f>
        <v>None</v>
      </c>
      <c r="E62" s="967">
        <f ca="1">SUMIFS(Paper!$N$7:$N$30,Paper!$A$7:$A$30,A62)</f>
        <v>0</v>
      </c>
      <c r="F62" s="967">
        <f ca="1">SUMIFS(Paper!$O$7:$O$30,Paper!$A$7:$A$30,A62)</f>
        <v>0</v>
      </c>
      <c r="G62" s="968">
        <f ca="1">IF(A62="N",0,IF(OFFSET(input!$G$27,P62,0)&gt;0,OFFSET(input!$G$27,P62,0),SUMIFS(Data!$P$913:$P$942,Data!$L$913:$L$942,D62)*E62*F62*IF(AND(C62="Back Side",OR(D62="OPV Wet Hi-Rub",D62="TK Matt Varnished 22493")),2,1)))</f>
        <v>0</v>
      </c>
      <c r="I62" s="967">
        <f ca="1">IF(G62=0,0,IF(OFFSET(input!$H$27,P62,0)&gt;0,OFFSET(input!$H$27,P62,0),SUMIFS(Data!$O$913:$O$942,Data!$L$913:$L$942,D62)))</f>
        <v>0</v>
      </c>
      <c r="J62" s="967">
        <f ca="1">ROUNDUP(IF(G62&gt;0,((B62/10000)*G62),0),1)</f>
        <v>0</v>
      </c>
      <c r="K62" s="967">
        <f ca="1">IF(G62&gt;0,1,0)*OFFSET(Paper!$J$7,R62,0)</f>
        <v>0</v>
      </c>
      <c r="L62" s="967">
        <f ca="1">K62*I62</f>
        <v>0</v>
      </c>
      <c r="M62" s="967">
        <f ca="1">IF(J62=0,0,I62*(J62+K62))</f>
        <v>0</v>
      </c>
      <c r="N62" s="967">
        <f t="shared" ca="1" si="37"/>
        <v>0</v>
      </c>
      <c r="O62" s="136" t="str">
        <f ca="1">OFFSET(input!$F$33,Q62,0)</f>
        <v>N</v>
      </c>
      <c r="P62" s="136">
        <f t="shared" ref="P62:Q62" si="42">+P52+17</f>
        <v>89</v>
      </c>
      <c r="Q62" s="136">
        <f t="shared" si="42"/>
        <v>85</v>
      </c>
      <c r="R62" s="136">
        <f t="shared" si="39"/>
        <v>5</v>
      </c>
      <c r="AT62" s="3598">
        <f t="shared" ca="1" si="1"/>
        <v>0</v>
      </c>
      <c r="AU62" s="315">
        <f ca="1">COUNTIFS(AT$7:$AT62,1)</f>
        <v>1</v>
      </c>
    </row>
    <row r="63" spans="1:47" ht="15">
      <c r="A63" s="952" t="str">
        <f ca="1">OFFSET(input!$A$25,Q63,0)</f>
        <v>N</v>
      </c>
      <c r="B63" s="891">
        <f ca="1">IF(A63="N",0,SUMIFS(Paper!$AC$7:$AC$30,Paper!$A$7:$A$30,Coating!A63))</f>
        <v>0</v>
      </c>
      <c r="C63" s="969">
        <f ca="1">SUMIFS(Data!$M$943:$M$959,Data!$L$943:$L$959,D63)</f>
        <v>0</v>
      </c>
      <c r="D63" s="970" t="str">
        <f ca="1">OFFSET(input!$J$27,P58,0)</f>
        <v>None</v>
      </c>
      <c r="E63" s="967">
        <f ca="1">IF(OFFSET(input!$K$27,P58,0)&gt;0,OFFSET(input!$K$27,P58,0),IF(OFFSET(input!$L$27,P58,0)="min",MAX(SUMIFS(Paper!$O$7:$O$30,Paper!$A$7:$A$30,A63),SUMIFS(Paper!$N$7:$N$30,Paper!$A$7:$A$30,A63)),MIN(SUMIFS(Paper!$O$7:$O$30,Paper!$A$7:$A$30,A63),SUMIFS(Paper!$N$7:$N$30,Paper!$A$7:$A$30,A63)))+2)</f>
        <v>50</v>
      </c>
      <c r="F63" s="967">
        <f ca="1">IF(OFFSET(input!$L$27,P58,0)="min",MIN(SUMIFS(Paper!$O$7:$O$30,Paper!$A$7:$A$30,A63),SUMIFS(Paper!$N$7:$N$30,Paper!$A$7:$A$30,A63)),MAX(SUMIFS(Paper!$O$7:$O$30,Paper!$A$7:$A$30,A63),SUMIFS(Paper!$N$7:$N$30,Paper!$A$7:$A$30,A63)))+3</f>
        <v>3</v>
      </c>
      <c r="G63" s="2441">
        <f ca="1">IF(A63="N",0,IF(OR(D63=Data!$L$943,D63=Data!$L$944,D63=Data!$L$947,D63=Data!$L$948,D63=Data!$L$949,D63=Data!$L$955,D63=Data!$L$956),ROUNDUP((E63/1000)*$C63,0),(ROUNDUP(($C63*(E63/1000)*(SUMIFS(Data!$P$943:$P$959,Data!$L$943:$L$959,D63)/1000)*SUMIFS(Data!$Q$943:$Q$959,Data!$L$943:$L$959,D63)),0))))</f>
        <v>0</v>
      </c>
      <c r="H63" s="2440" t="str">
        <f ca="1">IF(OR(D63=Data!$L$943,D63=Data!$L$944,D63=Data!$L$947,D63=Data!$L$948,D63=Data!$L$949,D63=Data!$L$955,D63=Data!$L$956),"M2/roll","Kg/roll")</f>
        <v>Kg/roll</v>
      </c>
      <c r="I63" s="967">
        <f ca="1">IF(G63=0,0,SUMIFS(Data!$O$938:$O$958,Data!$L$938:$L$958,D63))</f>
        <v>0</v>
      </c>
      <c r="J63" s="972">
        <f ca="1">IF(C63=0,0,(B63/($C63*1000/F63)))</f>
        <v>0</v>
      </c>
      <c r="K63" s="3716">
        <f ca="1">IF(C63=0,0,ROUNDUP((30/$C63)*OFFSET(Paper!$J$7,R63,0),2))</f>
        <v>0</v>
      </c>
      <c r="L63" s="967">
        <f ca="1">(K63*G63*I63)</f>
        <v>0</v>
      </c>
      <c r="M63" s="967">
        <f ca="1">IF(A63="N",0,I63*ROUNDUP(J63+K63,1)*G63)</f>
        <v>0</v>
      </c>
      <c r="N63" s="967">
        <f t="shared" ca="1" si="37"/>
        <v>0</v>
      </c>
      <c r="O63" s="136" t="str">
        <f ca="1">OFFSET(input!$F$33,Q63,0)</f>
        <v>N</v>
      </c>
      <c r="P63" s="136">
        <f t="shared" ref="P63:Q63" si="43">+P53+17</f>
        <v>90</v>
      </c>
      <c r="Q63" s="136">
        <f t="shared" si="43"/>
        <v>85</v>
      </c>
      <c r="R63" s="136">
        <f t="shared" si="39"/>
        <v>5</v>
      </c>
      <c r="AT63" s="3598">
        <f t="shared" ca="1" si="1"/>
        <v>0</v>
      </c>
      <c r="AU63" s="315">
        <f ca="1">COUNTIFS(AT$7:$AT63,1)</f>
        <v>1</v>
      </c>
    </row>
    <row r="64" spans="1:47" ht="25.5">
      <c r="A64" s="2443" t="str">
        <f ca="1">IF(OR(D63=Data!$L$954,D63=Data!$L$958),A63,"N")</f>
        <v>N</v>
      </c>
      <c r="B64" s="891">
        <f ca="1">IF(A63="N",0,SUMIFS(Paper!$AC$7:$AC$30,Paper!$A$7:$A$30,Coating!A63))</f>
        <v>0</v>
      </c>
      <c r="C64" s="969"/>
      <c r="D64" s="2442" t="str">
        <f ca="1">IF(D63=Data!$L$954,Data!$L$976,Data!$L$977)</f>
        <v>Resin AR 8207B-(for Hologram)</v>
      </c>
      <c r="E64" s="973">
        <f ca="1">SUMIFS(Paper!$N$7:$N$30,Paper!$A$7:$A$30,A63)</f>
        <v>0</v>
      </c>
      <c r="F64" s="967">
        <f ca="1">SUMIFS(Paper!$O$7:$O$30,Paper!$A$7:$A$30,A63)</f>
        <v>0</v>
      </c>
      <c r="G64" s="2441">
        <f ca="1">IF(A64="N",0,ROUNDUP(IF(D64=Data!$L$978,25/(463*686),IF(D64=Data!$L$976,Data!$P$976,Data!$P$977))*E64*F64,1))</f>
        <v>0</v>
      </c>
      <c r="H64" s="971" t="s">
        <v>1114</v>
      </c>
      <c r="I64" s="967">
        <f ca="1">IF(G64=0,0,SUMIFS(Data!$O$976:$O$978,Data!$L$976:$L$978,D64))</f>
        <v>0</v>
      </c>
      <c r="J64" s="967">
        <f ca="1">IF(A64="N",0,ROUNDUP(((B64/10000)*G64),1))</f>
        <v>0</v>
      </c>
      <c r="K64" s="967">
        <f ca="1">IF(G64&gt;0,1,0)*OFFSET(Paper!$J$7,R64,0)</f>
        <v>0</v>
      </c>
      <c r="L64" s="967">
        <f ca="1">K64*I64</f>
        <v>0</v>
      </c>
      <c r="M64" s="967">
        <f ca="1">IF(A64="N",0,I64*(J64+K64))</f>
        <v>0</v>
      </c>
      <c r="N64" s="967">
        <f t="shared" ca="1" si="37"/>
        <v>0</v>
      </c>
      <c r="O64" s="136" t="str">
        <f ca="1">OFFSET(input!$F$33,Q64,0)</f>
        <v>N</v>
      </c>
      <c r="P64" s="136">
        <f t="shared" ref="P64:Q64" si="44">+P54+17</f>
        <v>91</v>
      </c>
      <c r="Q64" s="136">
        <f t="shared" si="44"/>
        <v>85</v>
      </c>
      <c r="R64" s="136">
        <f t="shared" si="39"/>
        <v>5</v>
      </c>
      <c r="AT64" s="3598">
        <f t="shared" ca="1" si="1"/>
        <v>0</v>
      </c>
      <c r="AU64" s="315">
        <f ca="1">COUNTIFS(AT$7:$AT64,1)</f>
        <v>1</v>
      </c>
    </row>
    <row r="65" spans="1:47" ht="15">
      <c r="A65" s="952" t="str">
        <f ca="1">OFFSET(input!$A$25,Q65,0)</f>
        <v>N</v>
      </c>
      <c r="B65" s="891">
        <f ca="1">IF(A65="N",0,SUMIFS(Paper!$AC$7:$AC$30,Paper!$A$7:$A$30,Coating!A65))</f>
        <v>0</v>
      </c>
      <c r="C65" s="969">
        <f ca="1">SUMIFS(Data!$M$943:$M$959,Data!$L$943:$L$959,D65)</f>
        <v>0</v>
      </c>
      <c r="D65" s="970" t="str">
        <f ca="1">OFFSET(input!$J$27,P59,0)</f>
        <v>None</v>
      </c>
      <c r="E65" s="967">
        <f ca="1">IF(OFFSET(input!$K$27,P59,0)&gt;0,OFFSET(input!$K$27,P59,0),IF(OFFSET(input!$L$27,P59,0)="min",MAX(SUMIFS(Paper!$O$7:$O$30,Paper!$A$7:$A$30,A65),SUMIFS(Paper!$N$7:$N$30,Paper!$A$7:$A$30,A65)),MIN(SUMIFS(Paper!$O$7:$O$30,Paper!$A$7:$A$30,A65),SUMIFS(Paper!$N$7:$N$30,Paper!$A$7:$A$30,A65)))+2)</f>
        <v>2</v>
      </c>
      <c r="F65" s="967">
        <f ca="1">IF(OFFSET(input!$L$27,P59,0)="min",MIN(SUMIFS(Paper!$O$7:$O$30,Paper!$A$7:$A$30,A65),SUMIFS(Paper!$N$7:$N$30,Paper!$A$7:$A$30,A65)),MAX(SUMIFS(Paper!$O$7:$O$30,Paper!$A$7:$A$30,A65),SUMIFS(Paper!$N$7:$N$30,Paper!$A$7:$A$30,A65)))+3</f>
        <v>3</v>
      </c>
      <c r="G65" s="2441">
        <f ca="1">IF(A65="N",0,IF(OR(D65=Data!$L$943,D65=Data!$L$944,D65=Data!$L$947,D65=Data!$L$948,D65=Data!$L$949,D65=Data!$L$955,D65=Data!$L$956),ROUNDUP((E65/1000)*$C65,0),(ROUNDUP(($C65*(E65/1000)*(SUMIFS(Data!$P$943:$P$959,Data!$L$943:$L$959,D65)/1000)*SUMIFS(Data!$Q$943:$Q$959,Data!$L$943:$L$959,D65)),0))))</f>
        <v>0</v>
      </c>
      <c r="H65" s="2440" t="str">
        <f ca="1">IF(OR(D65=Data!$L$943,D65=Data!$L$944,D65=Data!$L$947,D65=Data!$L$948,D65=Data!$L$949,D65=Data!$L$955,D65=Data!$L$956),"M2/roll","Kg/roll")</f>
        <v>Kg/roll</v>
      </c>
      <c r="I65" s="967">
        <f ca="1">IF(G65=0,0,SUMIFS(Data!$O$938:$O$958,Data!$L$938:$L$958,D65))</f>
        <v>0</v>
      </c>
      <c r="J65" s="967">
        <f ca="1">IF(C65=0,0,(B65/($C65*1000/F65)))</f>
        <v>0</v>
      </c>
      <c r="K65" s="3716">
        <f ca="1">IF(C65=0,0,ROUNDUP((30/$C65)*OFFSET(Paper!$J$7,R65,0),2))</f>
        <v>0</v>
      </c>
      <c r="L65" s="967">
        <f ca="1">(K65*G65*I65)</f>
        <v>0</v>
      </c>
      <c r="M65" s="967">
        <f ca="1">IF(A65="N",0,I65*ROUNDUP(J65+K65,1)*G65)</f>
        <v>0</v>
      </c>
      <c r="N65" s="967">
        <f t="shared" ca="1" si="37"/>
        <v>0</v>
      </c>
      <c r="O65" s="136" t="str">
        <f ca="1">OFFSET(input!$F$33,Q65,0)</f>
        <v>N</v>
      </c>
      <c r="P65" s="136">
        <f t="shared" ref="P65:Q65" si="45">+P55+17</f>
        <v>92</v>
      </c>
      <c r="Q65" s="136">
        <f t="shared" si="45"/>
        <v>85</v>
      </c>
      <c r="R65" s="136">
        <f t="shared" si="39"/>
        <v>5</v>
      </c>
      <c r="AT65" s="3598">
        <f t="shared" ca="1" si="1"/>
        <v>0</v>
      </c>
      <c r="AU65" s="315">
        <f ca="1">COUNTIFS(AT$7:$AT65,1)</f>
        <v>1</v>
      </c>
    </row>
    <row r="66" spans="1:47" ht="25.5">
      <c r="A66" s="2443" t="str">
        <f ca="1">IF(OR(D65=Data!$L$954,D65=Data!$L$958),A65,"N")</f>
        <v>N</v>
      </c>
      <c r="B66" s="891">
        <f ca="1">IF(A65="N",0,SUMIFS(Paper!$AC$7:$AC$30,Paper!$A$7:$A$30,Coating!A65))</f>
        <v>0</v>
      </c>
      <c r="C66" s="969"/>
      <c r="D66" s="2442" t="str">
        <f ca="1">IF(D65=Data!$L$954,Data!$L$976,Data!$L$977)</f>
        <v>Resin AR 8207B-(for Hologram)</v>
      </c>
      <c r="E66" s="973">
        <f ca="1">SUMIFS(Paper!$N$7:$N$30,Paper!$A$7:$A$30,A65)</f>
        <v>0</v>
      </c>
      <c r="F66" s="967">
        <f ca="1">SUMIFS(Paper!$O$7:$O$30,Paper!$A$7:$A$30,A65)</f>
        <v>0</v>
      </c>
      <c r="G66" s="2441">
        <f ca="1">IF(A66="N",0,ROUNDUP(IF(D66=Data!$L$978,25/(463*686),IF(D66=Data!$L$976,Data!$P$976,Data!$P$977))*E66*F66,1))</f>
        <v>0</v>
      </c>
      <c r="H66" s="971" t="s">
        <v>1114</v>
      </c>
      <c r="I66" s="967">
        <f ca="1">IF(G66=0,0,SUMIFS(Data!$O$976:$O$978,Data!$L$976:$L$978,D66))</f>
        <v>0</v>
      </c>
      <c r="J66" s="967">
        <f ca="1">IF(A66="N",0,ROUNDUP(((B66/10000)*G66),1))</f>
        <v>0</v>
      </c>
      <c r="K66" s="967">
        <f ca="1">IF(G66&gt;0,1,0)*OFFSET(Paper!$J$7,R66,0)</f>
        <v>0</v>
      </c>
      <c r="L66" s="967">
        <f ca="1">K66*I66</f>
        <v>0</v>
      </c>
      <c r="M66" s="967">
        <f ca="1">IF(A66="N",0,I66*(J66+K66))</f>
        <v>0</v>
      </c>
      <c r="N66" s="967">
        <f t="shared" ca="1" si="37"/>
        <v>0</v>
      </c>
      <c r="O66" s="136" t="str">
        <f ca="1">OFFSET(input!$F$33,Q66,0)</f>
        <v>N</v>
      </c>
      <c r="P66" s="136">
        <f t="shared" ref="P66:Q66" si="46">+P56+17</f>
        <v>93</v>
      </c>
      <c r="Q66" s="136">
        <f t="shared" si="46"/>
        <v>85</v>
      </c>
      <c r="R66" s="136">
        <f t="shared" si="39"/>
        <v>5</v>
      </c>
      <c r="AT66" s="3598">
        <f t="shared" ca="1" si="1"/>
        <v>0</v>
      </c>
      <c r="AU66" s="315">
        <f ca="1">COUNTIFS(AT$7:$AT66,1)</f>
        <v>1</v>
      </c>
    </row>
    <row r="67" spans="1:47" ht="15">
      <c r="AT67" s="3598" t="str">
        <f t="shared" si="1"/>
        <v/>
      </c>
      <c r="AU67" s="315">
        <f ca="1">COUNTIFS(AT$7:$AT67,1)</f>
        <v>1</v>
      </c>
    </row>
    <row r="68" spans="1:47" ht="15">
      <c r="A68" s="952" t="str">
        <f ca="1">OFFSET(input!$A$25,Q68,0)</f>
        <v>N</v>
      </c>
      <c r="B68" s="891">
        <f ca="1">IF(A68="N",0,SUMIFS(Paper!$AC$7:$AC$30,Paper!$A$7:$A$30,Coating!A68))</f>
        <v>0</v>
      </c>
      <c r="C68" s="965" t="str">
        <f>input!F$27</f>
        <v>Front Side</v>
      </c>
      <c r="D68" s="966" t="str">
        <f ca="1">OFFSET(input!$E$27,P68,0)</f>
        <v>None</v>
      </c>
      <c r="E68" s="967">
        <f ca="1">SUMIFS(Paper!$N$7:$N$30,Paper!$A$7:$A$30,A68)</f>
        <v>0</v>
      </c>
      <c r="F68" s="967">
        <f ca="1">SUMIFS(Paper!$O$7:$O$30,Paper!$A$7:$A$30,A68)</f>
        <v>0</v>
      </c>
      <c r="G68" s="968">
        <f ca="1">IF(A68="N",0,IF(OFFSET(input!$G$27,P68,0)&gt;0,OFFSET(input!$G$27,P68,0),SUMIFS(Data!$P$913:$P$942,Data!$L$913:$L$942,D68)*E68*F68*IF(AND(C68="Back Side",OR(D68="OPV Wet Hi-Rub",D68="TK Matt Varnished 22493")),2,1)))</f>
        <v>0</v>
      </c>
      <c r="I68" s="967">
        <f ca="1">IF(G68=0,0,IF(OFFSET(input!$H$27,P68,0)&gt;0,OFFSET(input!$H$27,P68,0),SUMIFS(Data!$O$913:$O$942,Data!$L$913:$L$942,D68)))</f>
        <v>0</v>
      </c>
      <c r="J68" s="967">
        <f ca="1">ROUNDUP(IF(G68&gt;0,((B68/10000)*G68),0),1)</f>
        <v>0</v>
      </c>
      <c r="K68" s="967">
        <f ca="1">IF(G68&gt;0,1,0)*OFFSET(Paper!$J$7,R68,0)</f>
        <v>0</v>
      </c>
      <c r="L68" s="967">
        <f ca="1">K68*I68</f>
        <v>0</v>
      </c>
      <c r="M68" s="967">
        <f ca="1">IF(J68=0,0,I68*(J68+K68))</f>
        <v>0</v>
      </c>
      <c r="N68" s="967">
        <f ca="1">IF($D$2&gt;0,M68/($D$2),0)*(1+$N$5)</f>
        <v>0</v>
      </c>
      <c r="O68" s="136" t="str">
        <f ca="1">OFFSET(input!$F$33,Q68,0)</f>
        <v>N</v>
      </c>
      <c r="P68" s="136">
        <f>+P58+17</f>
        <v>102</v>
      </c>
      <c r="Q68" s="136">
        <f>+Q58+17</f>
        <v>102</v>
      </c>
      <c r="R68" s="136">
        <f>+R58+1</f>
        <v>6</v>
      </c>
      <c r="AT68" s="3598">
        <f t="shared" ca="1" si="1"/>
        <v>0</v>
      </c>
      <c r="AU68" s="315">
        <f ca="1">COUNTIFS(AT$7:$AT68,1)</f>
        <v>1</v>
      </c>
    </row>
    <row r="69" spans="1:47" ht="15">
      <c r="A69" s="952" t="str">
        <f ca="1">OFFSET(input!$A$25,Q69,0)</f>
        <v>N</v>
      </c>
      <c r="B69" s="891">
        <f ca="1">IF(A69="N",0,SUMIFS(Paper!$AC$7:$AC$30,Paper!$A$7:$A$30,Coating!A69))</f>
        <v>0</v>
      </c>
      <c r="C69" s="965" t="str">
        <f>input!F$28</f>
        <v>Front Side</v>
      </c>
      <c r="D69" s="966" t="str">
        <f ca="1">OFFSET(input!$E$27,P69,0)</f>
        <v>None</v>
      </c>
      <c r="E69" s="967">
        <f ca="1">SUMIFS(Paper!$N$7:$N$30,Paper!$A$7:$A$30,A69)</f>
        <v>0</v>
      </c>
      <c r="F69" s="967">
        <f ca="1">SUMIFS(Paper!$O$7:$O$30,Paper!$A$7:$A$30,A69)</f>
        <v>0</v>
      </c>
      <c r="G69" s="968">
        <f ca="1">IF(A69="N",0,IF(OFFSET(input!$G$27,P69,0)&gt;0,OFFSET(input!$G$27,P69,0),SUMIFS(Data!$P$913:$P$942,Data!$L$913:$L$942,D69)*E69*F69*IF(AND(C69="Back Side",OR(D69="OPV Wet Hi-Rub",D69="TK Matt Varnished 22493")),2,1)))</f>
        <v>0</v>
      </c>
      <c r="I69" s="967">
        <f ca="1">IF(G69=0,0,IF(OFFSET(input!$H$27,P69,0)&gt;0,OFFSET(input!$H$27,P69,0),SUMIFS(Data!$O$913:$O$942,Data!$L$913:$L$942,D69)))</f>
        <v>0</v>
      </c>
      <c r="J69" s="967">
        <f ca="1">ROUNDUP(IF(G69&gt;0,((B69/10000)*G69),0),1)</f>
        <v>0</v>
      </c>
      <c r="K69" s="967">
        <f ca="1">IF(G69&gt;0,1,0)*OFFSET(Paper!$J$7,R69,0)</f>
        <v>0</v>
      </c>
      <c r="L69" s="967">
        <f ca="1">K69*I69</f>
        <v>0</v>
      </c>
      <c r="M69" s="967">
        <f ca="1">IF(J69=0,0,I69*(J69+K69))</f>
        <v>0</v>
      </c>
      <c r="N69" s="967">
        <f t="shared" ref="N69:N76" ca="1" si="47">IF($D$2&gt;0,M69/($D$2),0)*(1+$N$5)</f>
        <v>0</v>
      </c>
      <c r="O69" s="136" t="str">
        <f ca="1">OFFSET(input!$F$33,Q69,0)</f>
        <v>N</v>
      </c>
      <c r="P69" s="136">
        <f t="shared" ref="P69:Q69" si="48">+P59+17</f>
        <v>103</v>
      </c>
      <c r="Q69" s="136">
        <f t="shared" si="48"/>
        <v>102</v>
      </c>
      <c r="R69" s="136">
        <f t="shared" ref="R69:R76" si="49">+R59+1</f>
        <v>6</v>
      </c>
      <c r="AT69" s="3598">
        <f t="shared" ca="1" si="1"/>
        <v>0</v>
      </c>
      <c r="AU69" s="315">
        <f ca="1">COUNTIFS(AT$7:$AT69,1)</f>
        <v>1</v>
      </c>
    </row>
    <row r="70" spans="1:47" ht="15">
      <c r="A70" s="952" t="str">
        <f ca="1">OFFSET(input!$A$25,Q70,0)</f>
        <v>N</v>
      </c>
      <c r="B70" s="891">
        <f ca="1">IF(A70="N",0,SUMIFS(Paper!$AC$7:$AC$30,Paper!$A$7:$A$30,Coating!A70))</f>
        <v>0</v>
      </c>
      <c r="C70" s="965" t="str">
        <f>input!F$29</f>
        <v>Front Side</v>
      </c>
      <c r="D70" s="966" t="str">
        <f ca="1">OFFSET(input!$E$27,P70,0)</f>
        <v>None</v>
      </c>
      <c r="E70" s="967">
        <f ca="1">SUMIFS(Paper!$N$7:$N$30,Paper!$A$7:$A$30,A70)</f>
        <v>0</v>
      </c>
      <c r="F70" s="967">
        <f ca="1">SUMIFS(Paper!$O$7:$O$30,Paper!$A$7:$A$30,A70)</f>
        <v>0</v>
      </c>
      <c r="G70" s="968">
        <f ca="1">IF(A70="N",0,IF(OFFSET(input!$G$27,P70,0)&gt;0,OFFSET(input!$G$27,P70,0),SUMIFS(Data!$P$913:$P$942,Data!$L$913:$L$942,D70)*E70*F70*IF(AND(C70="Back Side",OR(D70="OPV Wet Hi-Rub",D70="TK Matt Varnished 22493")),2,1)))</f>
        <v>0</v>
      </c>
      <c r="I70" s="967">
        <f ca="1">IF(G70=0,0,IF(OFFSET(input!$H$27,P70,0)&gt;0,OFFSET(input!$H$27,P70,0),SUMIFS(Data!$O$913:$O$942,Data!$L$913:$L$942,D70)))</f>
        <v>0</v>
      </c>
      <c r="J70" s="967">
        <f ca="1">ROUNDUP(IF(G70&gt;0,((B70/10000)*G70),0),1)</f>
        <v>0</v>
      </c>
      <c r="K70" s="967">
        <f ca="1">IF(G70&gt;0,1,0)*OFFSET(Paper!$J$7,R70,0)</f>
        <v>0</v>
      </c>
      <c r="L70" s="967">
        <f ca="1">K70*I70</f>
        <v>0</v>
      </c>
      <c r="M70" s="967">
        <f ca="1">IF(J70=0,0,I70*(J70+K70))</f>
        <v>0</v>
      </c>
      <c r="N70" s="967">
        <f t="shared" ca="1" si="47"/>
        <v>0</v>
      </c>
      <c r="O70" s="136" t="str">
        <f ca="1">OFFSET(input!$F$33,Q70,0)</f>
        <v>N</v>
      </c>
      <c r="P70" s="136">
        <f t="shared" ref="P70:Q70" si="50">+P60+17</f>
        <v>104</v>
      </c>
      <c r="Q70" s="136">
        <f t="shared" si="50"/>
        <v>102</v>
      </c>
      <c r="R70" s="136">
        <f t="shared" si="49"/>
        <v>6</v>
      </c>
      <c r="AT70" s="3598">
        <f t="shared" ca="1" si="1"/>
        <v>0</v>
      </c>
      <c r="AU70" s="315">
        <f ca="1">COUNTIFS(AT$7:$AT70,1)</f>
        <v>1</v>
      </c>
    </row>
    <row r="71" spans="1:47" ht="15">
      <c r="A71" s="952" t="str">
        <f ca="1">OFFSET(input!$A$25,Q71,0)</f>
        <v>N</v>
      </c>
      <c r="B71" s="891">
        <f ca="1">IF(A71="N",0,SUMIFS(Paper!$AC$7:$AC$30,Paper!$A$7:$A$30,Coating!A71))</f>
        <v>0</v>
      </c>
      <c r="C71" s="965" t="str">
        <f>input!F$30</f>
        <v>Front Side</v>
      </c>
      <c r="D71" s="966" t="str">
        <f ca="1">OFFSET(input!$E$27,P71,0)</f>
        <v>None</v>
      </c>
      <c r="E71" s="967">
        <f ca="1">SUMIFS(Paper!$N$7:$N$30,Paper!$A$7:$A$30,A71)</f>
        <v>0</v>
      </c>
      <c r="F71" s="967">
        <f ca="1">SUMIFS(Paper!$O$7:$O$30,Paper!$A$7:$A$30,A71)</f>
        <v>0</v>
      </c>
      <c r="G71" s="968">
        <f ca="1">IF(A71="N",0,IF(OFFSET(input!$G$27,P71,0)&gt;0,OFFSET(input!$G$27,P71,0),SUMIFS(Data!$P$913:$P$942,Data!$L$913:$L$942,D71)*E71*F71*IF(AND(C71="Back Side",OR(D71="OPV Wet Hi-Rub",D71="TK Matt Varnished 22493")),2,1)))</f>
        <v>0</v>
      </c>
      <c r="I71" s="967">
        <f ca="1">IF(G71=0,0,IF(OFFSET(input!$H$27,P71,0)&gt;0,OFFSET(input!$H$27,P71,0),SUMIFS(Data!$O$913:$O$942,Data!$L$913:$L$942,D71)))</f>
        <v>0</v>
      </c>
      <c r="J71" s="967">
        <f ca="1">ROUNDUP(IF(G71&gt;0,((B71/10000)*G71),0),1)</f>
        <v>0</v>
      </c>
      <c r="K71" s="967">
        <f ca="1">IF(G71&gt;0,1,0)*OFFSET(Paper!$J$7,R71,0)</f>
        <v>0</v>
      </c>
      <c r="L71" s="967">
        <f ca="1">K71*I71</f>
        <v>0</v>
      </c>
      <c r="M71" s="967">
        <f ca="1">IF(J71=0,0,I71*(J71+K71))</f>
        <v>0</v>
      </c>
      <c r="N71" s="967">
        <f t="shared" ca="1" si="47"/>
        <v>0</v>
      </c>
      <c r="O71" s="136" t="str">
        <f ca="1">OFFSET(input!$F$33,Q71,0)</f>
        <v>N</v>
      </c>
      <c r="P71" s="136">
        <f t="shared" ref="P71:Q71" si="51">+P61+17</f>
        <v>105</v>
      </c>
      <c r="Q71" s="136">
        <f t="shared" si="51"/>
        <v>102</v>
      </c>
      <c r="R71" s="136">
        <f t="shared" si="49"/>
        <v>6</v>
      </c>
      <c r="AT71" s="3598">
        <f t="shared" ca="1" si="1"/>
        <v>0</v>
      </c>
      <c r="AU71" s="315">
        <f ca="1">COUNTIFS(AT$7:$AT71,1)</f>
        <v>1</v>
      </c>
    </row>
    <row r="72" spans="1:47" ht="15">
      <c r="A72" s="952" t="str">
        <f ca="1">OFFSET(input!$A$25,Q72,0)</f>
        <v>N</v>
      </c>
      <c r="B72" s="891">
        <f ca="1">IF(A72="N",0,SUMIFS(Paper!$AC$7:$AC$30,Paper!$A$7:$A$30,Coating!A72))</f>
        <v>0</v>
      </c>
      <c r="C72" s="965" t="str">
        <f>input!F$31</f>
        <v>Front Side</v>
      </c>
      <c r="D72" s="966" t="str">
        <f ca="1">OFFSET(input!$E$27,P72,0)</f>
        <v>None</v>
      </c>
      <c r="E72" s="967">
        <f ca="1">SUMIFS(Paper!$N$7:$N$30,Paper!$A$7:$A$30,A72)</f>
        <v>0</v>
      </c>
      <c r="F72" s="967">
        <f ca="1">SUMIFS(Paper!$O$7:$O$30,Paper!$A$7:$A$30,A72)</f>
        <v>0</v>
      </c>
      <c r="G72" s="968">
        <f ca="1">IF(A72="N",0,IF(OFFSET(input!$G$27,P72,0)&gt;0,OFFSET(input!$G$27,P72,0),SUMIFS(Data!$P$913:$P$942,Data!$L$913:$L$942,D72)*E72*F72*IF(AND(C72="Back Side",OR(D72="OPV Wet Hi-Rub",D72="TK Matt Varnished 22493")),2,1)))</f>
        <v>0</v>
      </c>
      <c r="I72" s="967">
        <f ca="1">IF(G72=0,0,IF(OFFSET(input!$H$27,P72,0)&gt;0,OFFSET(input!$H$27,P72,0),SUMIFS(Data!$O$913:$O$942,Data!$L$913:$L$942,D72)))</f>
        <v>0</v>
      </c>
      <c r="J72" s="967">
        <f ca="1">ROUNDUP(IF(G72&gt;0,((B72/10000)*G72),0),1)</f>
        <v>0</v>
      </c>
      <c r="K72" s="967">
        <f ca="1">IF(G72&gt;0,1,0)*OFFSET(Paper!$J$7,R72,0)</f>
        <v>0</v>
      </c>
      <c r="L72" s="967">
        <f ca="1">K72*I72</f>
        <v>0</v>
      </c>
      <c r="M72" s="967">
        <f ca="1">IF(J72=0,0,I72*(J72+K72))</f>
        <v>0</v>
      </c>
      <c r="N72" s="967">
        <f t="shared" ca="1" si="47"/>
        <v>0</v>
      </c>
      <c r="O72" s="136" t="str">
        <f ca="1">OFFSET(input!$F$33,Q72,0)</f>
        <v>N</v>
      </c>
      <c r="P72" s="136">
        <f t="shared" ref="P72:Q72" si="52">+P62+17</f>
        <v>106</v>
      </c>
      <c r="Q72" s="136">
        <f t="shared" si="52"/>
        <v>102</v>
      </c>
      <c r="R72" s="136">
        <f t="shared" si="49"/>
        <v>6</v>
      </c>
      <c r="AT72" s="3598">
        <f t="shared" ca="1" si="1"/>
        <v>0</v>
      </c>
      <c r="AU72" s="315">
        <f ca="1">COUNTIFS(AT$7:$AT72,1)</f>
        <v>1</v>
      </c>
    </row>
    <row r="73" spans="1:47" ht="15">
      <c r="A73" s="952" t="str">
        <f ca="1">OFFSET(input!$A$25,Q73,0)</f>
        <v>N</v>
      </c>
      <c r="B73" s="891">
        <f ca="1">IF(A73="N",0,SUMIFS(Paper!$AC$7:$AC$30,Paper!$A$7:$A$30,Coating!A73))</f>
        <v>0</v>
      </c>
      <c r="C73" s="969">
        <f ca="1">SUMIFS(Data!$M$943:$M$959,Data!$L$943:$L$959,D73)</f>
        <v>0</v>
      </c>
      <c r="D73" s="970" t="str">
        <f ca="1">OFFSET(input!$J$27,P68,0)</f>
        <v>None</v>
      </c>
      <c r="E73" s="967">
        <f ca="1">IF(OFFSET(input!$K$27,P68,0)&gt;0,OFFSET(input!$K$27,P68,0),IF(OFFSET(input!$L$27,P68,0)="min",MAX(SUMIFS(Paper!$O$7:$O$30,Paper!$A$7:$A$30,A73),SUMIFS(Paper!$N$7:$N$30,Paper!$A$7:$A$30,A73)),MIN(SUMIFS(Paper!$O$7:$O$30,Paper!$A$7:$A$30,A73),SUMIFS(Paper!$N$7:$N$30,Paper!$A$7:$A$30,A73)))+2)</f>
        <v>50</v>
      </c>
      <c r="F73" s="967">
        <f ca="1">IF(OFFSET(input!$L$27,P68,0)="min",MIN(SUMIFS(Paper!$O$7:$O$30,Paper!$A$7:$A$30,A73),SUMIFS(Paper!$N$7:$N$30,Paper!$A$7:$A$30,A73)),MAX(SUMIFS(Paper!$O$7:$O$30,Paper!$A$7:$A$30,A73),SUMIFS(Paper!$N$7:$N$30,Paper!$A$7:$A$30,A73)))+3</f>
        <v>3</v>
      </c>
      <c r="G73" s="2441">
        <f ca="1">IF(A73="N",0,IF(OR(D73=Data!$L$943,D73=Data!$L$944,D73=Data!$L$947,D73=Data!$L$948,D73=Data!$L$949,D73=Data!$L$955,D73=Data!$L$956),ROUNDUP((E73/1000)*$C73,0),(ROUNDUP(($C73*(E73/1000)*(SUMIFS(Data!$P$943:$P$959,Data!$L$943:$L$959,D73)/1000)*SUMIFS(Data!$Q$943:$Q$959,Data!$L$943:$L$959,D73)),0))))</f>
        <v>0</v>
      </c>
      <c r="H73" s="2440" t="str">
        <f ca="1">IF(OR(D73=Data!$L$943,D73=Data!$L$944,D73=Data!$L$947,D73=Data!$L$948,D73=Data!$L$949,D73=Data!$L$955,D73=Data!$L$956),"M2/roll","Kg/roll")</f>
        <v>Kg/roll</v>
      </c>
      <c r="I73" s="967">
        <f ca="1">IF(G73=0,0,SUMIFS(Data!$O$938:$O$958,Data!$L$938:$L$958,D73))</f>
        <v>0</v>
      </c>
      <c r="J73" s="972">
        <f ca="1">IF(C73=0,0,(B73/($C73*1000/F73)))</f>
        <v>0</v>
      </c>
      <c r="K73" s="3716">
        <f ca="1">IF(C73=0,0,ROUNDUP((30/$C73)*OFFSET(Paper!$J$7,R73,0),2))</f>
        <v>0</v>
      </c>
      <c r="L73" s="967">
        <f ca="1">(K73*G73*I73)</f>
        <v>0</v>
      </c>
      <c r="M73" s="967">
        <f ca="1">IF(A73="N",0,I73*ROUNDUP(J73+K73,1)*G73)</f>
        <v>0</v>
      </c>
      <c r="N73" s="967">
        <f t="shared" ca="1" si="47"/>
        <v>0</v>
      </c>
      <c r="O73" s="136" t="str">
        <f ca="1">OFFSET(input!$F$33,Q73,0)</f>
        <v>N</v>
      </c>
      <c r="P73" s="136">
        <f t="shared" ref="P73:Q73" si="53">+P63+17</f>
        <v>107</v>
      </c>
      <c r="Q73" s="136">
        <f t="shared" si="53"/>
        <v>102</v>
      </c>
      <c r="R73" s="136">
        <f t="shared" si="49"/>
        <v>6</v>
      </c>
      <c r="AT73" s="3598">
        <f t="shared" ref="AT73:AT136" ca="1" si="54">IF(ISNUMBER(M73),IF(M73&lt;&gt;0,IF(ISNUMBER(SEARCH("to",J73)),0,1),0),"")</f>
        <v>0</v>
      </c>
      <c r="AU73" s="315">
        <f ca="1">COUNTIFS(AT$7:$AT73,1)</f>
        <v>1</v>
      </c>
    </row>
    <row r="74" spans="1:47" ht="25.5">
      <c r="A74" s="2443" t="str">
        <f ca="1">IF(OR(D73=Data!$L$954,D73=Data!$L$958),A73,"N")</f>
        <v>N</v>
      </c>
      <c r="B74" s="891">
        <f ca="1">IF(A73="N",0,SUMIFS(Paper!$AC$7:$AC$30,Paper!$A$7:$A$30,Coating!A73))</f>
        <v>0</v>
      </c>
      <c r="C74" s="969"/>
      <c r="D74" s="2442" t="str">
        <f ca="1">IF(D73=Data!$L$954,Data!$L$976,Data!$L$977)</f>
        <v>Resin AR 8207B-(for Hologram)</v>
      </c>
      <c r="E74" s="973">
        <f ca="1">SUMIFS(Paper!$N$7:$N$30,Paper!$A$7:$A$30,A73)</f>
        <v>0</v>
      </c>
      <c r="F74" s="967">
        <f ca="1">SUMIFS(Paper!$O$7:$O$30,Paper!$A$7:$A$30,A73)</f>
        <v>0</v>
      </c>
      <c r="G74" s="2441">
        <f ca="1">IF(A74="N",0,ROUNDUP(IF(D74=Data!$L$978,25/(463*686),IF(D74=Data!$L$976,Data!$P$976,Data!$P$977))*E74*F74,1))</f>
        <v>0</v>
      </c>
      <c r="H74" s="971" t="s">
        <v>1114</v>
      </c>
      <c r="I74" s="967">
        <f ca="1">IF(G74=0,0,SUMIFS(Data!$O$976:$O$978,Data!$L$976:$L$978,D74))</f>
        <v>0</v>
      </c>
      <c r="J74" s="967">
        <f ca="1">IF(A74="N",0,ROUNDUP(((B74/10000)*G74),1))</f>
        <v>0</v>
      </c>
      <c r="K74" s="967">
        <f ca="1">IF(G74&gt;0,1,0)*OFFSET(Paper!$J$7,R74,0)</f>
        <v>0</v>
      </c>
      <c r="L74" s="967">
        <f ca="1">K74*I74</f>
        <v>0</v>
      </c>
      <c r="M74" s="967">
        <f ca="1">IF(A74="N",0,I74*(J74+K74))</f>
        <v>0</v>
      </c>
      <c r="N74" s="967">
        <f t="shared" ca="1" si="47"/>
        <v>0</v>
      </c>
      <c r="O74" s="136" t="str">
        <f ca="1">OFFSET(input!$F$33,Q74,0)</f>
        <v>N</v>
      </c>
      <c r="P74" s="136">
        <f t="shared" ref="P74:Q74" si="55">+P64+17</f>
        <v>108</v>
      </c>
      <c r="Q74" s="136">
        <f t="shared" si="55"/>
        <v>102</v>
      </c>
      <c r="R74" s="136">
        <f t="shared" si="49"/>
        <v>6</v>
      </c>
      <c r="AT74" s="3598">
        <f t="shared" ca="1" si="54"/>
        <v>0</v>
      </c>
      <c r="AU74" s="315">
        <f ca="1">COUNTIFS(AT$7:$AT74,1)</f>
        <v>1</v>
      </c>
    </row>
    <row r="75" spans="1:47" ht="15">
      <c r="A75" s="952" t="str">
        <f ca="1">OFFSET(input!$A$25,Q75,0)</f>
        <v>N</v>
      </c>
      <c r="B75" s="891">
        <f ca="1">IF(A75="N",0,SUMIFS(Paper!$AC$7:$AC$30,Paper!$A$7:$A$30,Coating!A75))</f>
        <v>0</v>
      </c>
      <c r="C75" s="969">
        <f ca="1">SUMIFS(Data!$M$943:$M$959,Data!$L$943:$L$959,D75)</f>
        <v>0</v>
      </c>
      <c r="D75" s="970" t="str">
        <f ca="1">OFFSET(input!$J$27,P69,0)</f>
        <v>None</v>
      </c>
      <c r="E75" s="967">
        <f ca="1">IF(OFFSET(input!$K$27,P69,0)&gt;0,OFFSET(input!$K$27,P69,0),IF(OFFSET(input!$L$27,P69,0)="min",MAX(SUMIFS(Paper!$O$7:$O$30,Paper!$A$7:$A$30,A75),SUMIFS(Paper!$N$7:$N$30,Paper!$A$7:$A$30,A75)),MIN(SUMIFS(Paper!$O$7:$O$30,Paper!$A$7:$A$30,A75),SUMIFS(Paper!$N$7:$N$30,Paper!$A$7:$A$30,A75)))+2)</f>
        <v>2</v>
      </c>
      <c r="F75" s="967">
        <f ca="1">IF(OFFSET(input!$L$27,P69,0)="min",MIN(SUMIFS(Paper!$O$7:$O$30,Paper!$A$7:$A$30,A75),SUMIFS(Paper!$N$7:$N$30,Paper!$A$7:$A$30,A75)),MAX(SUMIFS(Paper!$O$7:$O$30,Paper!$A$7:$A$30,A75),SUMIFS(Paper!$N$7:$N$30,Paper!$A$7:$A$30,A75)))+3</f>
        <v>3</v>
      </c>
      <c r="G75" s="2441">
        <f ca="1">IF(A75="N",0,IF(OR(D75=Data!$L$943,D75=Data!$L$944,D75=Data!$L$947,D75=Data!$L$948,D75=Data!$L$949,D75=Data!$L$955,D75=Data!$L$956),ROUNDUP((E75/1000)*$C75,0),(ROUNDUP(($C75*(E75/1000)*(SUMIFS(Data!$P$943:$P$959,Data!$L$943:$L$959,D75)/1000)*SUMIFS(Data!$Q$943:$Q$959,Data!$L$943:$L$959,D75)),0))))</f>
        <v>0</v>
      </c>
      <c r="H75" s="2440" t="str">
        <f ca="1">IF(OR(D75=Data!$L$943,D75=Data!$L$944,D75=Data!$L$947,D75=Data!$L$948,D75=Data!$L$949,D75=Data!$L$955,D75=Data!$L$956),"M2/roll","Kg/roll")</f>
        <v>Kg/roll</v>
      </c>
      <c r="I75" s="967">
        <f ca="1">IF(G75=0,0,SUMIFS(Data!$O$938:$O$958,Data!$L$938:$L$958,D75))</f>
        <v>0</v>
      </c>
      <c r="J75" s="967">
        <f ca="1">IF(C75=0,0,(B75/($C75*1000/F75)))</f>
        <v>0</v>
      </c>
      <c r="K75" s="3716">
        <f ca="1">IF(C75=0,0,ROUNDUP((30/$C75)*OFFSET(Paper!$J$7,R75,0),2))</f>
        <v>0</v>
      </c>
      <c r="L75" s="967">
        <f ca="1">(K75*G75*I75)</f>
        <v>0</v>
      </c>
      <c r="M75" s="967">
        <f ca="1">IF(A75="N",0,I75*ROUNDUP(J75+K75,1)*G75)</f>
        <v>0</v>
      </c>
      <c r="N75" s="967">
        <f t="shared" ca="1" si="47"/>
        <v>0</v>
      </c>
      <c r="O75" s="136" t="str">
        <f ca="1">OFFSET(input!$F$33,Q75,0)</f>
        <v>N</v>
      </c>
      <c r="P75" s="136">
        <f t="shared" ref="P75:Q75" si="56">+P65+17</f>
        <v>109</v>
      </c>
      <c r="Q75" s="136">
        <f t="shared" si="56"/>
        <v>102</v>
      </c>
      <c r="R75" s="136">
        <f t="shared" si="49"/>
        <v>6</v>
      </c>
      <c r="AT75" s="3598">
        <f t="shared" ca="1" si="54"/>
        <v>0</v>
      </c>
      <c r="AU75" s="315">
        <f ca="1">COUNTIFS(AT$7:$AT75,1)</f>
        <v>1</v>
      </c>
    </row>
    <row r="76" spans="1:47" ht="25.5">
      <c r="A76" s="2443" t="str">
        <f ca="1">IF(OR(D75=Data!$L$954,D75=Data!$L$958),A75,"N")</f>
        <v>N</v>
      </c>
      <c r="B76" s="891">
        <f ca="1">IF(A75="N",0,SUMIFS(Paper!$AC$7:$AC$30,Paper!$A$7:$A$30,Coating!A75))</f>
        <v>0</v>
      </c>
      <c r="C76" s="969"/>
      <c r="D76" s="2442" t="str">
        <f ca="1">IF(D75=Data!$L$954,Data!$L$976,Data!$L$977)</f>
        <v>Resin AR 8207B-(for Hologram)</v>
      </c>
      <c r="E76" s="973">
        <f ca="1">SUMIFS(Paper!$N$7:$N$30,Paper!$A$7:$A$30,A75)</f>
        <v>0</v>
      </c>
      <c r="F76" s="967">
        <f ca="1">SUMIFS(Paper!$O$7:$O$30,Paper!$A$7:$A$30,A75)</f>
        <v>0</v>
      </c>
      <c r="G76" s="2441">
        <f ca="1">IF(A76="N",0,ROUNDUP(IF(D76=Data!$L$978,25/(463*686),IF(D76=Data!$L$976,Data!$P$976,Data!$P$977))*E76*F76,1))</f>
        <v>0</v>
      </c>
      <c r="H76" s="971" t="s">
        <v>1114</v>
      </c>
      <c r="I76" s="967">
        <f ca="1">IF(G76=0,0,SUMIFS(Data!$O$976:$O$978,Data!$L$976:$L$978,D76))</f>
        <v>0</v>
      </c>
      <c r="J76" s="967">
        <f ca="1">IF(A76="N",0,ROUNDUP(((B76/10000)*G76),1))</f>
        <v>0</v>
      </c>
      <c r="K76" s="967">
        <f ca="1">IF(G76&gt;0,1,0)*OFFSET(Paper!$J$7,R76,0)</f>
        <v>0</v>
      </c>
      <c r="L76" s="967">
        <f ca="1">K76*I76</f>
        <v>0</v>
      </c>
      <c r="M76" s="967">
        <f ca="1">IF(A76="N",0,I76*(J76+K76))</f>
        <v>0</v>
      </c>
      <c r="N76" s="967">
        <f t="shared" ca="1" si="47"/>
        <v>0</v>
      </c>
      <c r="O76" s="136" t="str">
        <f ca="1">OFFSET(input!$F$33,Q76,0)</f>
        <v>N</v>
      </c>
      <c r="P76" s="136">
        <f t="shared" ref="P76:Q76" si="57">+P66+17</f>
        <v>110</v>
      </c>
      <c r="Q76" s="136">
        <f t="shared" si="57"/>
        <v>102</v>
      </c>
      <c r="R76" s="136">
        <f t="shared" si="49"/>
        <v>6</v>
      </c>
      <c r="AT76" s="3598">
        <f t="shared" ca="1" si="54"/>
        <v>0</v>
      </c>
      <c r="AU76" s="315">
        <f ca="1">COUNTIFS(AT$7:$AT76,1)</f>
        <v>1</v>
      </c>
    </row>
    <row r="77" spans="1:47" ht="15">
      <c r="AT77" s="3598" t="str">
        <f t="shared" si="54"/>
        <v/>
      </c>
      <c r="AU77" s="315">
        <f ca="1">COUNTIFS(AT$7:$AT77,1)</f>
        <v>1</v>
      </c>
    </row>
    <row r="78" spans="1:47" ht="15">
      <c r="A78" s="952" t="str">
        <f ca="1">OFFSET(input!$A$25,Q78,0)</f>
        <v>N</v>
      </c>
      <c r="B78" s="891">
        <f ca="1">IF(A78="N",0,SUMIFS(Paper!$AC$7:$AC$30,Paper!$A$7:$A$30,Coating!A78))</f>
        <v>0</v>
      </c>
      <c r="C78" s="965" t="str">
        <f>input!F$27</f>
        <v>Front Side</v>
      </c>
      <c r="D78" s="966" t="str">
        <f ca="1">OFFSET(input!$E$27,P78,0)</f>
        <v>None</v>
      </c>
      <c r="E78" s="967">
        <f ca="1">SUMIFS(Paper!$N$7:$N$30,Paper!$A$7:$A$30,A78)</f>
        <v>0</v>
      </c>
      <c r="F78" s="967">
        <f ca="1">SUMIFS(Paper!$O$7:$O$30,Paper!$A$7:$A$30,A78)</f>
        <v>0</v>
      </c>
      <c r="G78" s="968">
        <f ca="1">IF(A78="N",0,IF(OFFSET(input!$G$27,P78,0)&gt;0,OFFSET(input!$G$27,P78,0),SUMIFS(Data!$P$913:$P$942,Data!$L$913:$L$942,D78)*E78*F78*IF(AND(C78="Back Side",OR(D78="OPV Wet Hi-Rub",D78="TK Matt Varnished 22493")),2,1)))</f>
        <v>0</v>
      </c>
      <c r="I78" s="967">
        <f ca="1">IF(G78=0,0,IF(OFFSET(input!$H$27,P78,0)&gt;0,OFFSET(input!$H$27,P78,0),SUMIFS(Data!$O$913:$O$942,Data!$L$913:$L$942,D78)))</f>
        <v>0</v>
      </c>
      <c r="J78" s="967">
        <f ca="1">ROUNDUP(IF(G78&gt;0,((B78/10000)*G78),0),1)</f>
        <v>0</v>
      </c>
      <c r="K78" s="967">
        <f ca="1">IF(G78&gt;0,1,0)*OFFSET(Paper!$J$7,R78,0)</f>
        <v>0</v>
      </c>
      <c r="L78" s="967">
        <f ca="1">K78*I78</f>
        <v>0</v>
      </c>
      <c r="M78" s="967">
        <f ca="1">IF(J78=0,0,I78*(J78+K78))</f>
        <v>0</v>
      </c>
      <c r="N78" s="967">
        <f ca="1">IF($D$2&gt;0,M78/($D$2),0)*(1+$N$5)</f>
        <v>0</v>
      </c>
      <c r="O78" s="136" t="str">
        <f ca="1">OFFSET(input!$F$33,Q78,0)</f>
        <v>N</v>
      </c>
      <c r="P78" s="136">
        <f>+P68+17</f>
        <v>119</v>
      </c>
      <c r="Q78" s="136">
        <f>+Q68+17</f>
        <v>119</v>
      </c>
      <c r="R78" s="136">
        <f>+R68+1</f>
        <v>7</v>
      </c>
      <c r="AT78" s="3598">
        <f t="shared" ca="1" si="54"/>
        <v>0</v>
      </c>
      <c r="AU78" s="315">
        <f ca="1">COUNTIFS(AT$7:$AT78,1)</f>
        <v>1</v>
      </c>
    </row>
    <row r="79" spans="1:47" ht="15">
      <c r="A79" s="952" t="str">
        <f ca="1">OFFSET(input!$A$25,Q79,0)</f>
        <v>N</v>
      </c>
      <c r="B79" s="891">
        <f ca="1">IF(A79="N",0,SUMIFS(Paper!$AC$7:$AC$30,Paper!$A$7:$A$30,Coating!A79))</f>
        <v>0</v>
      </c>
      <c r="C79" s="965" t="str">
        <f>input!F$28</f>
        <v>Front Side</v>
      </c>
      <c r="D79" s="966" t="str">
        <f ca="1">OFFSET(input!$E$27,P79,0)</f>
        <v>None</v>
      </c>
      <c r="E79" s="967">
        <f ca="1">SUMIFS(Paper!$N$7:$N$30,Paper!$A$7:$A$30,A79)</f>
        <v>0</v>
      </c>
      <c r="F79" s="967">
        <f ca="1">SUMIFS(Paper!$O$7:$O$30,Paper!$A$7:$A$30,A79)</f>
        <v>0</v>
      </c>
      <c r="G79" s="968">
        <f ca="1">IF(A79="N",0,IF(OFFSET(input!$G$27,P79,0)&gt;0,OFFSET(input!$G$27,P79,0),SUMIFS(Data!$P$913:$P$942,Data!$L$913:$L$942,D79)*E79*F79*IF(AND(C79="Back Side",OR(D79="OPV Wet Hi-Rub",D79="TK Matt Varnished 22493")),2,1)))</f>
        <v>0</v>
      </c>
      <c r="I79" s="967">
        <f ca="1">IF(G79=0,0,IF(OFFSET(input!$H$27,P79,0)&gt;0,OFFSET(input!$H$27,P79,0),SUMIFS(Data!$O$913:$O$942,Data!$L$913:$L$942,D79)))</f>
        <v>0</v>
      </c>
      <c r="J79" s="967">
        <f ca="1">ROUNDUP(IF(G79&gt;0,((B79/10000)*G79),0),1)</f>
        <v>0</v>
      </c>
      <c r="K79" s="967">
        <f ca="1">IF(G79&gt;0,1,0)*OFFSET(Paper!$J$7,R79,0)</f>
        <v>0</v>
      </c>
      <c r="L79" s="967">
        <f ca="1">K79*I79</f>
        <v>0</v>
      </c>
      <c r="M79" s="967">
        <f ca="1">IF(J79=0,0,I79*(J79+K79))</f>
        <v>0</v>
      </c>
      <c r="N79" s="967">
        <f t="shared" ref="N79:N86" ca="1" si="58">IF($D$2&gt;0,M79/($D$2),0)*(1+$N$5)</f>
        <v>0</v>
      </c>
      <c r="O79" s="136" t="str">
        <f ca="1">OFFSET(input!$F$33,Q79,0)</f>
        <v>N</v>
      </c>
      <c r="P79" s="136">
        <f t="shared" ref="P79:Q79" si="59">+P69+17</f>
        <v>120</v>
      </c>
      <c r="Q79" s="136">
        <f t="shared" si="59"/>
        <v>119</v>
      </c>
      <c r="R79" s="136">
        <f t="shared" ref="R79:R86" si="60">+R69+1</f>
        <v>7</v>
      </c>
      <c r="AT79" s="3598">
        <f t="shared" ca="1" si="54"/>
        <v>0</v>
      </c>
      <c r="AU79" s="315">
        <f ca="1">COUNTIFS(AT$7:$AT79,1)</f>
        <v>1</v>
      </c>
    </row>
    <row r="80" spans="1:47" ht="15">
      <c r="A80" s="952" t="str">
        <f ca="1">OFFSET(input!$A$25,Q80,0)</f>
        <v>N</v>
      </c>
      <c r="B80" s="891">
        <f ca="1">IF(A80="N",0,SUMIFS(Paper!$AC$7:$AC$30,Paper!$A$7:$A$30,Coating!A80))</f>
        <v>0</v>
      </c>
      <c r="C80" s="965" t="str">
        <f>input!F$29</f>
        <v>Front Side</v>
      </c>
      <c r="D80" s="966" t="str">
        <f ca="1">OFFSET(input!$E$27,P80,0)</f>
        <v>None</v>
      </c>
      <c r="E80" s="967">
        <f ca="1">SUMIFS(Paper!$N$7:$N$30,Paper!$A$7:$A$30,A80)</f>
        <v>0</v>
      </c>
      <c r="F80" s="967">
        <f ca="1">SUMIFS(Paper!$O$7:$O$30,Paper!$A$7:$A$30,A80)</f>
        <v>0</v>
      </c>
      <c r="G80" s="968">
        <f ca="1">IF(A80="N",0,IF(OFFSET(input!$G$27,P80,0)&gt;0,OFFSET(input!$G$27,P80,0),SUMIFS(Data!$P$913:$P$942,Data!$L$913:$L$942,D80)*E80*F80*IF(AND(C80="Back Side",OR(D80="OPV Wet Hi-Rub",D80="TK Matt Varnished 22493")),2,1)))</f>
        <v>0</v>
      </c>
      <c r="I80" s="967">
        <f ca="1">IF(G80=0,0,IF(OFFSET(input!$H$27,P80,0)&gt;0,OFFSET(input!$H$27,P80,0),SUMIFS(Data!$O$913:$O$942,Data!$L$913:$L$942,D80)))</f>
        <v>0</v>
      </c>
      <c r="J80" s="967">
        <f ca="1">ROUNDUP(IF(G80&gt;0,((B80/10000)*G80),0),1)</f>
        <v>0</v>
      </c>
      <c r="K80" s="967">
        <f ca="1">IF(G80&gt;0,1,0)*OFFSET(Paper!$J$7,R80,0)</f>
        <v>0</v>
      </c>
      <c r="L80" s="967">
        <f ca="1">K80*I80</f>
        <v>0</v>
      </c>
      <c r="M80" s="967">
        <f ca="1">IF(J80=0,0,I80*(J80+K80))</f>
        <v>0</v>
      </c>
      <c r="N80" s="967">
        <f t="shared" ca="1" si="58"/>
        <v>0</v>
      </c>
      <c r="O80" s="136" t="str">
        <f ca="1">OFFSET(input!$F$33,Q80,0)</f>
        <v>N</v>
      </c>
      <c r="P80" s="136">
        <f t="shared" ref="P80:Q80" si="61">+P70+17</f>
        <v>121</v>
      </c>
      <c r="Q80" s="136">
        <f t="shared" si="61"/>
        <v>119</v>
      </c>
      <c r="R80" s="136">
        <f t="shared" si="60"/>
        <v>7</v>
      </c>
      <c r="AT80" s="3598">
        <f t="shared" ca="1" si="54"/>
        <v>0</v>
      </c>
      <c r="AU80" s="315">
        <f ca="1">COUNTIFS(AT$7:$AT80,1)</f>
        <v>1</v>
      </c>
    </row>
    <row r="81" spans="1:47" ht="15">
      <c r="A81" s="952" t="str">
        <f ca="1">OFFSET(input!$A$25,Q81,0)</f>
        <v>N</v>
      </c>
      <c r="B81" s="891">
        <f ca="1">IF(A81="N",0,SUMIFS(Paper!$AC$7:$AC$30,Paper!$A$7:$A$30,Coating!A81))</f>
        <v>0</v>
      </c>
      <c r="C81" s="965" t="str">
        <f>input!F$30</f>
        <v>Front Side</v>
      </c>
      <c r="D81" s="966" t="str">
        <f ca="1">OFFSET(input!$E$27,P81,0)</f>
        <v>None</v>
      </c>
      <c r="E81" s="967">
        <f ca="1">SUMIFS(Paper!$N$7:$N$30,Paper!$A$7:$A$30,A81)</f>
        <v>0</v>
      </c>
      <c r="F81" s="967">
        <f ca="1">SUMIFS(Paper!$O$7:$O$30,Paper!$A$7:$A$30,A81)</f>
        <v>0</v>
      </c>
      <c r="G81" s="968">
        <f ca="1">IF(A81="N",0,IF(OFFSET(input!$G$27,P81,0)&gt;0,OFFSET(input!$G$27,P81,0),SUMIFS(Data!$P$913:$P$942,Data!$L$913:$L$942,D81)*E81*F81*IF(AND(C81="Back Side",OR(D81="OPV Wet Hi-Rub",D81="TK Matt Varnished 22493")),2,1)))</f>
        <v>0</v>
      </c>
      <c r="I81" s="967">
        <f ca="1">IF(G81=0,0,IF(OFFSET(input!$H$27,P81,0)&gt;0,OFFSET(input!$H$27,P81,0),SUMIFS(Data!$O$913:$O$942,Data!$L$913:$L$942,D81)))</f>
        <v>0</v>
      </c>
      <c r="J81" s="967">
        <f ca="1">ROUNDUP(IF(G81&gt;0,((B81/10000)*G81),0),1)</f>
        <v>0</v>
      </c>
      <c r="K81" s="967">
        <f ca="1">IF(G81&gt;0,1,0)*OFFSET(Paper!$J$7,R81,0)</f>
        <v>0</v>
      </c>
      <c r="L81" s="967">
        <f ca="1">K81*I81</f>
        <v>0</v>
      </c>
      <c r="M81" s="967">
        <f ca="1">IF(J81=0,0,I81*(J81+K81))</f>
        <v>0</v>
      </c>
      <c r="N81" s="967">
        <f t="shared" ca="1" si="58"/>
        <v>0</v>
      </c>
      <c r="O81" s="136" t="str">
        <f ca="1">OFFSET(input!$F$33,Q81,0)</f>
        <v>N</v>
      </c>
      <c r="P81" s="136">
        <f t="shared" ref="P81:Q81" si="62">+P71+17</f>
        <v>122</v>
      </c>
      <c r="Q81" s="136">
        <f t="shared" si="62"/>
        <v>119</v>
      </c>
      <c r="R81" s="136">
        <f t="shared" si="60"/>
        <v>7</v>
      </c>
      <c r="AT81" s="3598">
        <f t="shared" ca="1" si="54"/>
        <v>0</v>
      </c>
      <c r="AU81" s="315">
        <f ca="1">COUNTIFS(AT$7:$AT81,1)</f>
        <v>1</v>
      </c>
    </row>
    <row r="82" spans="1:47" ht="15">
      <c r="A82" s="952" t="str">
        <f ca="1">OFFSET(input!$A$25,Q82,0)</f>
        <v>N</v>
      </c>
      <c r="B82" s="891">
        <f ca="1">IF(A82="N",0,SUMIFS(Paper!$AC$7:$AC$30,Paper!$A$7:$A$30,Coating!A82))</f>
        <v>0</v>
      </c>
      <c r="C82" s="965" t="str">
        <f>input!F$31</f>
        <v>Front Side</v>
      </c>
      <c r="D82" s="966" t="str">
        <f ca="1">OFFSET(input!$E$27,P82,0)</f>
        <v>None</v>
      </c>
      <c r="E82" s="967">
        <f ca="1">SUMIFS(Paper!$N$7:$N$30,Paper!$A$7:$A$30,A82)</f>
        <v>0</v>
      </c>
      <c r="F82" s="967">
        <f ca="1">SUMIFS(Paper!$O$7:$O$30,Paper!$A$7:$A$30,A82)</f>
        <v>0</v>
      </c>
      <c r="G82" s="968">
        <f ca="1">IF(A82="N",0,IF(OFFSET(input!$G$27,P82,0)&gt;0,OFFSET(input!$G$27,P82,0),SUMIFS(Data!$P$913:$P$942,Data!$L$913:$L$942,D82)*E82*F82*IF(AND(C82="Back Side",OR(D82="OPV Wet Hi-Rub",D82="TK Matt Varnished 22493")),2,1)))</f>
        <v>0</v>
      </c>
      <c r="I82" s="967">
        <f ca="1">IF(G82=0,0,IF(OFFSET(input!$H$27,P82,0)&gt;0,OFFSET(input!$H$27,P82,0),SUMIFS(Data!$O$913:$O$942,Data!$L$913:$L$942,D82)))</f>
        <v>0</v>
      </c>
      <c r="J82" s="967">
        <f ca="1">ROUNDUP(IF(G82&gt;0,((B82/10000)*G82),0),1)</f>
        <v>0</v>
      </c>
      <c r="K82" s="967">
        <f ca="1">IF(G82&gt;0,1,0)*OFFSET(Paper!$J$7,R82,0)</f>
        <v>0</v>
      </c>
      <c r="L82" s="967">
        <f ca="1">K82*I82</f>
        <v>0</v>
      </c>
      <c r="M82" s="967">
        <f ca="1">IF(J82=0,0,I82*(J82+K82))</f>
        <v>0</v>
      </c>
      <c r="N82" s="967">
        <f t="shared" ca="1" si="58"/>
        <v>0</v>
      </c>
      <c r="O82" s="136" t="str">
        <f ca="1">OFFSET(input!$F$33,Q82,0)</f>
        <v>N</v>
      </c>
      <c r="P82" s="136">
        <f t="shared" ref="P82:Q82" si="63">+P72+17</f>
        <v>123</v>
      </c>
      <c r="Q82" s="136">
        <f t="shared" si="63"/>
        <v>119</v>
      </c>
      <c r="R82" s="136">
        <f t="shared" si="60"/>
        <v>7</v>
      </c>
      <c r="AT82" s="3598">
        <f t="shared" ca="1" si="54"/>
        <v>0</v>
      </c>
      <c r="AU82" s="315">
        <f ca="1">COUNTIFS(AT$7:$AT82,1)</f>
        <v>1</v>
      </c>
    </row>
    <row r="83" spans="1:47" ht="15">
      <c r="A83" s="952" t="str">
        <f ca="1">OFFSET(input!$A$25,Q83,0)</f>
        <v>N</v>
      </c>
      <c r="B83" s="891">
        <f ca="1">IF(A83="N",0,SUMIFS(Paper!$AC$7:$AC$30,Paper!$A$7:$A$30,Coating!A83))</f>
        <v>0</v>
      </c>
      <c r="C83" s="969">
        <f ca="1">SUMIFS(Data!$M$943:$M$959,Data!$L$943:$L$959,D83)</f>
        <v>0</v>
      </c>
      <c r="D83" s="970" t="str">
        <f ca="1">OFFSET(input!$J$27,P78,0)</f>
        <v>None</v>
      </c>
      <c r="E83" s="967">
        <f ca="1">IF(OFFSET(input!$K$27,P78,0)&gt;0,OFFSET(input!$K$27,P78,0),IF(OFFSET(input!$L$27,P78,0)="min",MAX(SUMIFS(Paper!$O$7:$O$30,Paper!$A$7:$A$30,A83),SUMIFS(Paper!$N$7:$N$30,Paper!$A$7:$A$30,A83)),MIN(SUMIFS(Paper!$O$7:$O$30,Paper!$A$7:$A$30,A83),SUMIFS(Paper!$N$7:$N$30,Paper!$A$7:$A$30,A83)))+2)</f>
        <v>50</v>
      </c>
      <c r="F83" s="967">
        <f ca="1">IF(OFFSET(input!$L$27,P78,0)="min",MIN(SUMIFS(Paper!$O$7:$O$30,Paper!$A$7:$A$30,A83),SUMIFS(Paper!$N$7:$N$30,Paper!$A$7:$A$30,A83)),MAX(SUMIFS(Paper!$O$7:$O$30,Paper!$A$7:$A$30,A83),SUMIFS(Paper!$N$7:$N$30,Paper!$A$7:$A$30,A83)))+3</f>
        <v>3</v>
      </c>
      <c r="G83" s="2441">
        <f ca="1">IF(A83="N",0,IF(OR(D83=Data!$L$943,D83=Data!$L$944,D83=Data!$L$947,D83=Data!$L$948,D83=Data!$L$949,D83=Data!$L$955,D83=Data!$L$956),ROUNDUP((E83/1000)*$C83,0),(ROUNDUP(($C83*(E83/1000)*(SUMIFS(Data!$P$943:$P$959,Data!$L$943:$L$959,D83)/1000)*SUMIFS(Data!$Q$943:$Q$959,Data!$L$943:$L$959,D83)),0))))</f>
        <v>0</v>
      </c>
      <c r="H83" s="2440" t="str">
        <f ca="1">IF(OR(D83=Data!$L$943,D83=Data!$L$944,D83=Data!$L$947,D83=Data!$L$948,D83=Data!$L$949,D83=Data!$L$955,D83=Data!$L$956),"M2/roll","Kg/roll")</f>
        <v>Kg/roll</v>
      </c>
      <c r="I83" s="967">
        <f ca="1">IF(G83=0,0,SUMIFS(Data!$O$938:$O$958,Data!$L$938:$L$958,D83))</f>
        <v>0</v>
      </c>
      <c r="J83" s="972">
        <f ca="1">IF(C83=0,0,(B83/($C83*1000/F83)))</f>
        <v>0</v>
      </c>
      <c r="K83" s="3716">
        <f ca="1">IF(C83=0,0,ROUNDUP((30/$C83)*OFFSET(Paper!$J$7,R83,0),2))</f>
        <v>0</v>
      </c>
      <c r="L83" s="967">
        <f ca="1">(K83*G83*I83)</f>
        <v>0</v>
      </c>
      <c r="M83" s="967">
        <f ca="1">IF(A83="N",0,I83*ROUNDUP(J83+K83,1)*G83)</f>
        <v>0</v>
      </c>
      <c r="N83" s="967">
        <f t="shared" ca="1" si="58"/>
        <v>0</v>
      </c>
      <c r="O83" s="136" t="str">
        <f ca="1">OFFSET(input!$F$33,Q83,0)</f>
        <v>N</v>
      </c>
      <c r="P83" s="136">
        <f t="shared" ref="P83:Q83" si="64">+P73+17</f>
        <v>124</v>
      </c>
      <c r="Q83" s="136">
        <f t="shared" si="64"/>
        <v>119</v>
      </c>
      <c r="R83" s="136">
        <f t="shared" si="60"/>
        <v>7</v>
      </c>
      <c r="AT83" s="3598">
        <f t="shared" ca="1" si="54"/>
        <v>0</v>
      </c>
      <c r="AU83" s="315">
        <f ca="1">COUNTIFS(AT$7:$AT83,1)</f>
        <v>1</v>
      </c>
    </row>
    <row r="84" spans="1:47" ht="25.5">
      <c r="A84" s="2443" t="str">
        <f ca="1">IF(OR(D83=Data!$L$954,D83=Data!$L$958),A83,"N")</f>
        <v>N</v>
      </c>
      <c r="B84" s="891">
        <f ca="1">IF(A83="N",0,SUMIFS(Paper!$AC$7:$AC$30,Paper!$A$7:$A$30,Coating!A83))</f>
        <v>0</v>
      </c>
      <c r="C84" s="969"/>
      <c r="D84" s="2442" t="str">
        <f ca="1">IF(D83=Data!$L$954,Data!$L$976,Data!$L$977)</f>
        <v>Resin AR 8207B-(for Hologram)</v>
      </c>
      <c r="E84" s="973">
        <f ca="1">SUMIFS(Paper!$N$7:$N$30,Paper!$A$7:$A$30,A83)</f>
        <v>0</v>
      </c>
      <c r="F84" s="967">
        <f ca="1">SUMIFS(Paper!$O$7:$O$30,Paper!$A$7:$A$30,A83)</f>
        <v>0</v>
      </c>
      <c r="G84" s="2441">
        <f ca="1">IF(A84="N",0,ROUNDUP(IF(D84=Data!$L$978,25/(463*686),IF(D84=Data!$L$976,Data!$P$976,Data!$P$977))*E84*F84,1))</f>
        <v>0</v>
      </c>
      <c r="H84" s="971" t="s">
        <v>1114</v>
      </c>
      <c r="I84" s="967">
        <f ca="1">IF(G84=0,0,SUMIFS(Data!$O$976:$O$978,Data!$L$976:$L$978,D84))</f>
        <v>0</v>
      </c>
      <c r="J84" s="967">
        <f ca="1">IF(A84="N",0,ROUNDUP(((B84/10000)*G84),1))</f>
        <v>0</v>
      </c>
      <c r="K84" s="967">
        <f ca="1">IF(G84&gt;0,1,0)*OFFSET(Paper!$J$7,R84,0)</f>
        <v>0</v>
      </c>
      <c r="L84" s="967">
        <f ca="1">K84*I84</f>
        <v>0</v>
      </c>
      <c r="M84" s="967">
        <f ca="1">IF(A84="N",0,I84*(J84+K84))</f>
        <v>0</v>
      </c>
      <c r="N84" s="967">
        <f t="shared" ca="1" si="58"/>
        <v>0</v>
      </c>
      <c r="O84" s="136" t="str">
        <f ca="1">OFFSET(input!$F$33,Q84,0)</f>
        <v>N</v>
      </c>
      <c r="P84" s="136">
        <f t="shared" ref="P84:Q84" si="65">+P74+17</f>
        <v>125</v>
      </c>
      <c r="Q84" s="136">
        <f t="shared" si="65"/>
        <v>119</v>
      </c>
      <c r="R84" s="136">
        <f t="shared" si="60"/>
        <v>7</v>
      </c>
      <c r="AT84" s="3598">
        <f t="shared" ca="1" si="54"/>
        <v>0</v>
      </c>
      <c r="AU84" s="315">
        <f ca="1">COUNTIFS(AT$7:$AT84,1)</f>
        <v>1</v>
      </c>
    </row>
    <row r="85" spans="1:47" ht="15">
      <c r="A85" s="952" t="str">
        <f ca="1">OFFSET(input!$A$25,Q85,0)</f>
        <v>N</v>
      </c>
      <c r="B85" s="891">
        <f ca="1">IF(A85="N",0,SUMIFS(Paper!$AC$7:$AC$30,Paper!$A$7:$A$30,Coating!A85))</f>
        <v>0</v>
      </c>
      <c r="C85" s="969">
        <f ca="1">SUMIFS(Data!$M$943:$M$959,Data!$L$943:$L$959,D85)</f>
        <v>0</v>
      </c>
      <c r="D85" s="970" t="str">
        <f ca="1">OFFSET(input!$J$27,P79,0)</f>
        <v>None</v>
      </c>
      <c r="E85" s="967">
        <f ca="1">IF(OFFSET(input!$K$27,P79,0)&gt;0,OFFSET(input!$K$27,P79,0),IF(OFFSET(input!$L$27,P79,0)="min",MAX(SUMIFS(Paper!$O$7:$O$30,Paper!$A$7:$A$30,A85),SUMIFS(Paper!$N$7:$N$30,Paper!$A$7:$A$30,A85)),MIN(SUMIFS(Paper!$O$7:$O$30,Paper!$A$7:$A$30,A85),SUMIFS(Paper!$N$7:$N$30,Paper!$A$7:$A$30,A85)))+2)</f>
        <v>2</v>
      </c>
      <c r="F85" s="967">
        <f ca="1">IF(OFFSET(input!$L$27,P79,0)="min",MIN(SUMIFS(Paper!$O$7:$O$30,Paper!$A$7:$A$30,A85),SUMIFS(Paper!$N$7:$N$30,Paper!$A$7:$A$30,A85)),MAX(SUMIFS(Paper!$O$7:$O$30,Paper!$A$7:$A$30,A85),SUMIFS(Paper!$N$7:$N$30,Paper!$A$7:$A$30,A85)))+3</f>
        <v>3</v>
      </c>
      <c r="G85" s="2441">
        <f ca="1">IF(A85="N",0,IF(OR(D85=Data!$L$943,D85=Data!$L$944,D85=Data!$L$947,D85=Data!$L$948,D85=Data!$L$949,D85=Data!$L$955,D85=Data!$L$956),ROUNDUP((E85/1000)*$C85,0),(ROUNDUP(($C85*(E85/1000)*(SUMIFS(Data!$P$943:$P$959,Data!$L$943:$L$959,D85)/1000)*SUMIFS(Data!$Q$943:$Q$959,Data!$L$943:$L$959,D85)),0))))</f>
        <v>0</v>
      </c>
      <c r="H85" s="2440" t="str">
        <f ca="1">IF(OR(D85=Data!$L$943,D85=Data!$L$944,D85=Data!$L$947,D85=Data!$L$948,D85=Data!$L$949,D85=Data!$L$955,D85=Data!$L$956),"M2/roll","Kg/roll")</f>
        <v>Kg/roll</v>
      </c>
      <c r="I85" s="967">
        <f ca="1">IF(G85=0,0,SUMIFS(Data!$O$938:$O$958,Data!$L$938:$L$958,D85))</f>
        <v>0</v>
      </c>
      <c r="J85" s="967">
        <f ca="1">IF(C85=0,0,(B85/($C85*1000/F85)))</f>
        <v>0</v>
      </c>
      <c r="K85" s="3716">
        <f ca="1">IF(C85=0,0,ROUNDUP((30/$C85)*OFFSET(Paper!$J$7,R85,0),2))</f>
        <v>0</v>
      </c>
      <c r="L85" s="967">
        <f ca="1">(K85*G85*I85)</f>
        <v>0</v>
      </c>
      <c r="M85" s="967">
        <f ca="1">IF(A85="N",0,I85*ROUNDUP(J85+K85,1)*G85)</f>
        <v>0</v>
      </c>
      <c r="N85" s="967">
        <f t="shared" ca="1" si="58"/>
        <v>0</v>
      </c>
      <c r="O85" s="136" t="str">
        <f ca="1">OFFSET(input!$F$33,Q85,0)</f>
        <v>N</v>
      </c>
      <c r="P85" s="136">
        <f t="shared" ref="P85:Q85" si="66">+P75+17</f>
        <v>126</v>
      </c>
      <c r="Q85" s="136">
        <f t="shared" si="66"/>
        <v>119</v>
      </c>
      <c r="R85" s="136">
        <f t="shared" si="60"/>
        <v>7</v>
      </c>
      <c r="AT85" s="3598">
        <f t="shared" ca="1" si="54"/>
        <v>0</v>
      </c>
      <c r="AU85" s="315">
        <f ca="1">COUNTIFS(AT$7:$AT85,1)</f>
        <v>1</v>
      </c>
    </row>
    <row r="86" spans="1:47" ht="25.5">
      <c r="A86" s="2443" t="str">
        <f ca="1">IF(OR(D85=Data!$L$954,D85=Data!$L$958),A85,"N")</f>
        <v>N</v>
      </c>
      <c r="B86" s="891">
        <f ca="1">IF(A85="N",0,SUMIFS(Paper!$AC$7:$AC$30,Paper!$A$7:$A$30,Coating!A85))</f>
        <v>0</v>
      </c>
      <c r="C86" s="969"/>
      <c r="D86" s="2442" t="str">
        <f ca="1">IF(D85=Data!$L$954,Data!$L$976,Data!$L$977)</f>
        <v>Resin AR 8207B-(for Hologram)</v>
      </c>
      <c r="E86" s="973">
        <f ca="1">SUMIFS(Paper!$N$7:$N$30,Paper!$A$7:$A$30,A85)</f>
        <v>0</v>
      </c>
      <c r="F86" s="967">
        <f ca="1">SUMIFS(Paper!$O$7:$O$30,Paper!$A$7:$A$30,A85)</f>
        <v>0</v>
      </c>
      <c r="G86" s="2441">
        <f ca="1">IF(A86="N",0,ROUNDUP(IF(D86=Data!$L$978,25/(463*686),IF(D86=Data!$L$976,Data!$P$976,Data!$P$977))*E86*F86,1))</f>
        <v>0</v>
      </c>
      <c r="H86" s="971" t="s">
        <v>1114</v>
      </c>
      <c r="I86" s="967">
        <f ca="1">IF(G86=0,0,SUMIFS(Data!$O$976:$O$978,Data!$L$976:$L$978,D86))</f>
        <v>0</v>
      </c>
      <c r="J86" s="967">
        <f ca="1">IF(A86="N",0,ROUNDUP(((B86/10000)*G86),1))</f>
        <v>0</v>
      </c>
      <c r="K86" s="967">
        <f ca="1">IF(G86&gt;0,1,0)*OFFSET(Paper!$J$7,R86,0)</f>
        <v>0</v>
      </c>
      <c r="L86" s="967">
        <f ca="1">K86*I86</f>
        <v>0</v>
      </c>
      <c r="M86" s="967">
        <f ca="1">IF(A86="N",0,I86*(J86+K86))</f>
        <v>0</v>
      </c>
      <c r="N86" s="967">
        <f t="shared" ca="1" si="58"/>
        <v>0</v>
      </c>
      <c r="O86" s="136" t="str">
        <f ca="1">OFFSET(input!$F$33,Q86,0)</f>
        <v>N</v>
      </c>
      <c r="P86" s="136">
        <f t="shared" ref="P86:Q86" si="67">+P76+17</f>
        <v>127</v>
      </c>
      <c r="Q86" s="136">
        <f t="shared" si="67"/>
        <v>119</v>
      </c>
      <c r="R86" s="136">
        <f t="shared" si="60"/>
        <v>7</v>
      </c>
      <c r="AT86" s="3598">
        <f t="shared" ca="1" si="54"/>
        <v>0</v>
      </c>
      <c r="AU86" s="315">
        <f ca="1">COUNTIFS(AT$7:$AT86,1)</f>
        <v>1</v>
      </c>
    </row>
    <row r="87" spans="1:47" ht="15">
      <c r="AT87" s="3598" t="str">
        <f t="shared" si="54"/>
        <v/>
      </c>
      <c r="AU87" s="315">
        <f ca="1">COUNTIFS(AT$7:$AT87,1)</f>
        <v>1</v>
      </c>
    </row>
    <row r="88" spans="1:47" ht="15">
      <c r="A88" s="952" t="str">
        <f ca="1">OFFSET(input!$A$25,Q88,0)</f>
        <v>N</v>
      </c>
      <c r="B88" s="891">
        <f ca="1">IF(A88="N",0,SUMIFS(Paper!$AC$7:$AC$30,Paper!$A$7:$A$30,Coating!A88))</f>
        <v>0</v>
      </c>
      <c r="C88" s="965" t="str">
        <f>input!F$27</f>
        <v>Front Side</v>
      </c>
      <c r="D88" s="966" t="str">
        <f ca="1">OFFSET(input!$E$27,P88,0)</f>
        <v>None</v>
      </c>
      <c r="E88" s="967">
        <f ca="1">SUMIFS(Paper!$N$7:$N$30,Paper!$A$7:$A$30,A88)</f>
        <v>0</v>
      </c>
      <c r="F88" s="967">
        <f ca="1">SUMIFS(Paper!$O$7:$O$30,Paper!$A$7:$A$30,A88)</f>
        <v>0</v>
      </c>
      <c r="G88" s="968">
        <f ca="1">IF(A88="N",0,IF(OFFSET(input!$G$27,P88,0)&gt;0,OFFSET(input!$G$27,P88,0),SUMIFS(Data!$P$913:$P$942,Data!$L$913:$L$942,D88)*E88*F88*IF(AND(C88="Back Side",OR(D88="OPV Wet Hi-Rub",D88="TK Matt Varnished 22493")),2,1)))</f>
        <v>0</v>
      </c>
      <c r="I88" s="967">
        <f ca="1">IF(G88=0,0,IF(OFFSET(input!$H$27,P88,0)&gt;0,OFFSET(input!$H$27,P88,0),SUMIFS(Data!$O$913:$O$942,Data!$L$913:$L$942,D88)))</f>
        <v>0</v>
      </c>
      <c r="J88" s="967">
        <f ca="1">ROUNDUP(IF(G88&gt;0,((B88/10000)*G88),0),1)</f>
        <v>0</v>
      </c>
      <c r="K88" s="967">
        <f ca="1">IF(G88&gt;0,1,0)*OFFSET(Paper!$J$7,R88,0)</f>
        <v>0</v>
      </c>
      <c r="L88" s="967">
        <f ca="1">K88*I88</f>
        <v>0</v>
      </c>
      <c r="M88" s="967">
        <f ca="1">IF(J88=0,0,I88*(J88+K88))</f>
        <v>0</v>
      </c>
      <c r="N88" s="967">
        <f ca="1">IF($D$2&gt;0,M88/($D$2),0)*(1+$N$5)</f>
        <v>0</v>
      </c>
      <c r="O88" s="136" t="str">
        <f ca="1">OFFSET(input!$F$33,Q88,0)</f>
        <v>N</v>
      </c>
      <c r="P88" s="136">
        <f>+P78+17</f>
        <v>136</v>
      </c>
      <c r="Q88" s="136">
        <f>+Q78+17</f>
        <v>136</v>
      </c>
      <c r="R88" s="136">
        <f>+R78+1</f>
        <v>8</v>
      </c>
      <c r="AT88" s="3598">
        <f t="shared" ca="1" si="54"/>
        <v>0</v>
      </c>
      <c r="AU88" s="315">
        <f ca="1">COUNTIFS(AT$7:$AT88,1)</f>
        <v>1</v>
      </c>
    </row>
    <row r="89" spans="1:47" ht="15">
      <c r="A89" s="952" t="str">
        <f ca="1">OFFSET(input!$A$25,Q89,0)</f>
        <v>N</v>
      </c>
      <c r="B89" s="891">
        <f ca="1">IF(A89="N",0,SUMIFS(Paper!$AC$7:$AC$30,Paper!$A$7:$A$30,Coating!A89))</f>
        <v>0</v>
      </c>
      <c r="C89" s="965" t="str">
        <f>input!F$28</f>
        <v>Front Side</v>
      </c>
      <c r="D89" s="966" t="str">
        <f ca="1">OFFSET(input!$E$27,P89,0)</f>
        <v>None</v>
      </c>
      <c r="E89" s="967">
        <f ca="1">SUMIFS(Paper!$N$7:$N$30,Paper!$A$7:$A$30,A89)</f>
        <v>0</v>
      </c>
      <c r="F89" s="967">
        <f ca="1">SUMIFS(Paper!$O$7:$O$30,Paper!$A$7:$A$30,A89)</f>
        <v>0</v>
      </c>
      <c r="G89" s="968">
        <f ca="1">IF(A89="N",0,IF(OFFSET(input!$G$27,P89,0)&gt;0,OFFSET(input!$G$27,P89,0),SUMIFS(Data!$P$913:$P$942,Data!$L$913:$L$942,D89)*E89*F89*IF(AND(C89="Back Side",OR(D89="OPV Wet Hi-Rub",D89="TK Matt Varnished 22493")),2,1)))</f>
        <v>0</v>
      </c>
      <c r="I89" s="967">
        <f ca="1">IF(G89=0,0,IF(OFFSET(input!$H$27,P89,0)&gt;0,OFFSET(input!$H$27,P89,0),SUMIFS(Data!$O$913:$O$942,Data!$L$913:$L$942,D89)))</f>
        <v>0</v>
      </c>
      <c r="J89" s="967">
        <f ca="1">ROUNDUP(IF(G89&gt;0,((B89/10000)*G89),0),1)</f>
        <v>0</v>
      </c>
      <c r="K89" s="967">
        <f ca="1">IF(G89&gt;0,1,0)*OFFSET(Paper!$J$7,R89,0)</f>
        <v>0</v>
      </c>
      <c r="L89" s="967">
        <f ca="1">K89*I89</f>
        <v>0</v>
      </c>
      <c r="M89" s="967">
        <f ca="1">IF(J89=0,0,I89*(J89+K89))</f>
        <v>0</v>
      </c>
      <c r="N89" s="967">
        <f t="shared" ref="N89:N96" ca="1" si="68">IF($D$2&gt;0,M89/($D$2),0)*(1+$N$5)</f>
        <v>0</v>
      </c>
      <c r="O89" s="136" t="str">
        <f ca="1">OFFSET(input!$F$33,Q89,0)</f>
        <v>N</v>
      </c>
      <c r="P89" s="136">
        <f t="shared" ref="P89:Q89" si="69">+P79+17</f>
        <v>137</v>
      </c>
      <c r="Q89" s="136">
        <f t="shared" si="69"/>
        <v>136</v>
      </c>
      <c r="R89" s="136">
        <f t="shared" ref="R89:R96" si="70">+R79+1</f>
        <v>8</v>
      </c>
      <c r="AT89" s="3598">
        <f t="shared" ca="1" si="54"/>
        <v>0</v>
      </c>
      <c r="AU89" s="315">
        <f ca="1">COUNTIFS(AT$7:$AT89,1)</f>
        <v>1</v>
      </c>
    </row>
    <row r="90" spans="1:47" ht="15">
      <c r="A90" s="952" t="str">
        <f ca="1">OFFSET(input!$A$25,Q90,0)</f>
        <v>N</v>
      </c>
      <c r="B90" s="891">
        <f ca="1">IF(A90="N",0,SUMIFS(Paper!$AC$7:$AC$30,Paper!$A$7:$A$30,Coating!A90))</f>
        <v>0</v>
      </c>
      <c r="C90" s="965" t="str">
        <f>input!F$29</f>
        <v>Front Side</v>
      </c>
      <c r="D90" s="966" t="str">
        <f ca="1">OFFSET(input!$E$27,P90,0)</f>
        <v>None</v>
      </c>
      <c r="E90" s="967">
        <f ca="1">SUMIFS(Paper!$N$7:$N$30,Paper!$A$7:$A$30,A90)</f>
        <v>0</v>
      </c>
      <c r="F90" s="967">
        <f ca="1">SUMIFS(Paper!$O$7:$O$30,Paper!$A$7:$A$30,A90)</f>
        <v>0</v>
      </c>
      <c r="G90" s="968">
        <f ca="1">IF(A90="N",0,IF(OFFSET(input!$G$27,P90,0)&gt;0,OFFSET(input!$G$27,P90,0),SUMIFS(Data!$P$913:$P$942,Data!$L$913:$L$942,D90)*E90*F90*IF(AND(C90="Back Side",OR(D90="OPV Wet Hi-Rub",D90="TK Matt Varnished 22493")),2,1)))</f>
        <v>0</v>
      </c>
      <c r="I90" s="967">
        <f ca="1">IF(G90=0,0,IF(OFFSET(input!$H$27,P90,0)&gt;0,OFFSET(input!$H$27,P90,0),SUMIFS(Data!$O$913:$O$942,Data!$L$913:$L$942,D90)))</f>
        <v>0</v>
      </c>
      <c r="J90" s="967">
        <f ca="1">ROUNDUP(IF(G90&gt;0,((B90/10000)*G90),0),1)</f>
        <v>0</v>
      </c>
      <c r="K90" s="967">
        <f ca="1">IF(G90&gt;0,1,0)*OFFSET(Paper!$J$7,R90,0)</f>
        <v>0</v>
      </c>
      <c r="L90" s="967">
        <f ca="1">K90*I90</f>
        <v>0</v>
      </c>
      <c r="M90" s="967">
        <f ca="1">IF(J90=0,0,I90*(J90+K90))</f>
        <v>0</v>
      </c>
      <c r="N90" s="967">
        <f t="shared" ca="1" si="68"/>
        <v>0</v>
      </c>
      <c r="O90" s="136" t="str">
        <f ca="1">OFFSET(input!$F$33,Q90,0)</f>
        <v>N</v>
      </c>
      <c r="P90" s="136">
        <f t="shared" ref="P90:Q90" si="71">+P80+17</f>
        <v>138</v>
      </c>
      <c r="Q90" s="136">
        <f t="shared" si="71"/>
        <v>136</v>
      </c>
      <c r="R90" s="136">
        <f t="shared" si="70"/>
        <v>8</v>
      </c>
      <c r="AT90" s="3598">
        <f t="shared" ca="1" si="54"/>
        <v>0</v>
      </c>
      <c r="AU90" s="315">
        <f ca="1">COUNTIFS(AT$7:$AT90,1)</f>
        <v>1</v>
      </c>
    </row>
    <row r="91" spans="1:47" ht="15">
      <c r="A91" s="952" t="str">
        <f ca="1">OFFSET(input!$A$25,Q91,0)</f>
        <v>N</v>
      </c>
      <c r="B91" s="891">
        <f ca="1">IF(A91="N",0,SUMIFS(Paper!$AC$7:$AC$30,Paper!$A$7:$A$30,Coating!A91))</f>
        <v>0</v>
      </c>
      <c r="C91" s="965" t="str">
        <f>input!F$30</f>
        <v>Front Side</v>
      </c>
      <c r="D91" s="966" t="str">
        <f ca="1">OFFSET(input!$E$27,P91,0)</f>
        <v>None</v>
      </c>
      <c r="E91" s="967">
        <f ca="1">SUMIFS(Paper!$N$7:$N$30,Paper!$A$7:$A$30,A91)</f>
        <v>0</v>
      </c>
      <c r="F91" s="967">
        <f ca="1">SUMIFS(Paper!$O$7:$O$30,Paper!$A$7:$A$30,A91)</f>
        <v>0</v>
      </c>
      <c r="G91" s="968">
        <f ca="1">IF(A91="N",0,IF(OFFSET(input!$G$27,P91,0)&gt;0,OFFSET(input!$G$27,P91,0),SUMIFS(Data!$P$913:$P$942,Data!$L$913:$L$942,D91)*E91*F91*IF(AND(C91="Back Side",OR(D91="OPV Wet Hi-Rub",D91="TK Matt Varnished 22493")),2,1)))</f>
        <v>0</v>
      </c>
      <c r="I91" s="967">
        <f ca="1">IF(G91=0,0,IF(OFFSET(input!$H$27,P91,0)&gt;0,OFFSET(input!$H$27,P91,0),SUMIFS(Data!$O$913:$O$942,Data!$L$913:$L$942,D91)))</f>
        <v>0</v>
      </c>
      <c r="J91" s="967">
        <f ca="1">ROUNDUP(IF(G91&gt;0,((B91/10000)*G91),0),1)</f>
        <v>0</v>
      </c>
      <c r="K91" s="967">
        <f ca="1">IF(G91&gt;0,1,0)*OFFSET(Paper!$J$7,R91,0)</f>
        <v>0</v>
      </c>
      <c r="L91" s="967">
        <f ca="1">K91*I91</f>
        <v>0</v>
      </c>
      <c r="M91" s="967">
        <f ca="1">IF(J91=0,0,I91*(J91+K91))</f>
        <v>0</v>
      </c>
      <c r="N91" s="967">
        <f t="shared" ca="1" si="68"/>
        <v>0</v>
      </c>
      <c r="O91" s="136" t="str">
        <f ca="1">OFFSET(input!$F$33,Q91,0)</f>
        <v>N</v>
      </c>
      <c r="P91" s="136">
        <f t="shared" ref="P91:Q91" si="72">+P81+17</f>
        <v>139</v>
      </c>
      <c r="Q91" s="136">
        <f t="shared" si="72"/>
        <v>136</v>
      </c>
      <c r="R91" s="136">
        <f t="shared" si="70"/>
        <v>8</v>
      </c>
      <c r="AT91" s="3598">
        <f t="shared" ca="1" si="54"/>
        <v>0</v>
      </c>
      <c r="AU91" s="315">
        <f ca="1">COUNTIFS(AT$7:$AT91,1)</f>
        <v>1</v>
      </c>
    </row>
    <row r="92" spans="1:47" ht="15">
      <c r="A92" s="952" t="str">
        <f ca="1">OFFSET(input!$A$25,Q92,0)</f>
        <v>N</v>
      </c>
      <c r="B92" s="891">
        <f ca="1">IF(A92="N",0,SUMIFS(Paper!$AC$7:$AC$30,Paper!$A$7:$A$30,Coating!A92))</f>
        <v>0</v>
      </c>
      <c r="C92" s="965" t="str">
        <f>input!F$31</f>
        <v>Front Side</v>
      </c>
      <c r="D92" s="966" t="str">
        <f ca="1">OFFSET(input!$E$27,P92,0)</f>
        <v>None</v>
      </c>
      <c r="E92" s="967">
        <f ca="1">SUMIFS(Paper!$N$7:$N$30,Paper!$A$7:$A$30,A92)</f>
        <v>0</v>
      </c>
      <c r="F92" s="967">
        <f ca="1">SUMIFS(Paper!$O$7:$O$30,Paper!$A$7:$A$30,A92)</f>
        <v>0</v>
      </c>
      <c r="G92" s="968">
        <f ca="1">IF(A92="N",0,IF(OFFSET(input!$G$27,P92,0)&gt;0,OFFSET(input!$G$27,P92,0),SUMIFS(Data!$P$913:$P$942,Data!$L$913:$L$942,D92)*E92*F92*IF(AND(C92="Back Side",OR(D92="OPV Wet Hi-Rub",D92="TK Matt Varnished 22493")),2,1)))</f>
        <v>0</v>
      </c>
      <c r="I92" s="967">
        <f ca="1">IF(G92=0,0,IF(OFFSET(input!$H$27,P92,0)&gt;0,OFFSET(input!$H$27,P92,0),SUMIFS(Data!$O$913:$O$942,Data!$L$913:$L$942,D92)))</f>
        <v>0</v>
      </c>
      <c r="J92" s="967">
        <f ca="1">ROUNDUP(IF(G92&gt;0,((B92/10000)*G92),0),1)</f>
        <v>0</v>
      </c>
      <c r="K92" s="967">
        <f ca="1">IF(G92&gt;0,1,0)*OFFSET(Paper!$J$7,R92,0)</f>
        <v>0</v>
      </c>
      <c r="L92" s="967">
        <f ca="1">K92*I92</f>
        <v>0</v>
      </c>
      <c r="M92" s="967">
        <f ca="1">IF(J92=0,0,I92*(J92+K92))</f>
        <v>0</v>
      </c>
      <c r="N92" s="967">
        <f t="shared" ca="1" si="68"/>
        <v>0</v>
      </c>
      <c r="O92" s="136" t="str">
        <f ca="1">OFFSET(input!$F$33,Q92,0)</f>
        <v>N</v>
      </c>
      <c r="P92" s="136">
        <f t="shared" ref="P92:Q92" si="73">+P82+17</f>
        <v>140</v>
      </c>
      <c r="Q92" s="136">
        <f t="shared" si="73"/>
        <v>136</v>
      </c>
      <c r="R92" s="136">
        <f t="shared" si="70"/>
        <v>8</v>
      </c>
      <c r="AT92" s="3598">
        <f t="shared" ca="1" si="54"/>
        <v>0</v>
      </c>
      <c r="AU92" s="315">
        <f ca="1">COUNTIFS(AT$7:$AT92,1)</f>
        <v>1</v>
      </c>
    </row>
    <row r="93" spans="1:47" ht="15">
      <c r="A93" s="952" t="str">
        <f ca="1">OFFSET(input!$A$25,Q93,0)</f>
        <v>N</v>
      </c>
      <c r="B93" s="891">
        <f ca="1">IF(A93="N",0,SUMIFS(Paper!$AC$7:$AC$30,Paper!$A$7:$A$30,Coating!A93))</f>
        <v>0</v>
      </c>
      <c r="C93" s="969">
        <f ca="1">SUMIFS(Data!$M$943:$M$959,Data!$L$943:$L$959,D93)</f>
        <v>0</v>
      </c>
      <c r="D93" s="970" t="str">
        <f ca="1">OFFSET(input!$J$27,P88,0)</f>
        <v>None</v>
      </c>
      <c r="E93" s="967">
        <f ca="1">IF(OFFSET(input!$K$27,P88,0)&gt;0,OFFSET(input!$K$27,P88,0),IF(OFFSET(input!$L$27,P88,0)="min",MAX(SUMIFS(Paper!$O$7:$O$30,Paper!$A$7:$A$30,A93),SUMIFS(Paper!$N$7:$N$30,Paper!$A$7:$A$30,A93)),MIN(SUMIFS(Paper!$O$7:$O$30,Paper!$A$7:$A$30,A93),SUMIFS(Paper!$N$7:$N$30,Paper!$A$7:$A$30,A93)))+2)</f>
        <v>50</v>
      </c>
      <c r="F93" s="967">
        <f ca="1">IF(OFFSET(input!$L$27,P88,0)="min",MIN(SUMIFS(Paper!$O$7:$O$30,Paper!$A$7:$A$30,A93),SUMIFS(Paper!$N$7:$N$30,Paper!$A$7:$A$30,A93)),MAX(SUMIFS(Paper!$O$7:$O$30,Paper!$A$7:$A$30,A93),SUMIFS(Paper!$N$7:$N$30,Paper!$A$7:$A$30,A93)))+3</f>
        <v>3</v>
      </c>
      <c r="G93" s="2441">
        <f ca="1">IF(A93="N",0,IF(OR(D93=Data!$L$943,D93=Data!$L$944,D93=Data!$L$947,D93=Data!$L$948,D93=Data!$L$949,D93=Data!$L$955,D93=Data!$L$956),ROUNDUP((E93/1000)*$C93,0),(ROUNDUP(($C93*(E93/1000)*(SUMIFS(Data!$P$943:$P$959,Data!$L$943:$L$959,D93)/1000)*SUMIFS(Data!$Q$943:$Q$959,Data!$L$943:$L$959,D93)),0))))</f>
        <v>0</v>
      </c>
      <c r="H93" s="2440" t="str">
        <f ca="1">IF(OR(D93=Data!$L$943,D93=Data!$L$944,D93=Data!$L$947,D93=Data!$L$948,D93=Data!$L$949,D93=Data!$L$955,D93=Data!$L$956),"M2/roll","Kg/roll")</f>
        <v>Kg/roll</v>
      </c>
      <c r="I93" s="967">
        <f ca="1">IF(G93=0,0,SUMIFS(Data!$O$938:$O$958,Data!$L$938:$L$958,D93))</f>
        <v>0</v>
      </c>
      <c r="J93" s="972">
        <f ca="1">IF(C93=0,0,(B93/($C93*1000/F93)))</f>
        <v>0</v>
      </c>
      <c r="K93" s="3716">
        <f ca="1">IF(C93=0,0,ROUNDUP((30/$C93)*OFFSET(Paper!$J$7,R93,0),2))</f>
        <v>0</v>
      </c>
      <c r="L93" s="967">
        <f ca="1">(K93*G93*I93)</f>
        <v>0</v>
      </c>
      <c r="M93" s="967">
        <f ca="1">IF(A93="N",0,I93*ROUNDUP(J93+K93,1)*G93)</f>
        <v>0</v>
      </c>
      <c r="N93" s="967">
        <f t="shared" ca="1" si="68"/>
        <v>0</v>
      </c>
      <c r="O93" s="136" t="str">
        <f ca="1">OFFSET(input!$F$33,Q93,0)</f>
        <v>N</v>
      </c>
      <c r="P93" s="136">
        <f t="shared" ref="P93:Q93" si="74">+P83+17</f>
        <v>141</v>
      </c>
      <c r="Q93" s="136">
        <f t="shared" si="74"/>
        <v>136</v>
      </c>
      <c r="R93" s="136">
        <f t="shared" si="70"/>
        <v>8</v>
      </c>
      <c r="AT93" s="3598">
        <f t="shared" ca="1" si="54"/>
        <v>0</v>
      </c>
      <c r="AU93" s="315">
        <f ca="1">COUNTIFS(AT$7:$AT93,1)</f>
        <v>1</v>
      </c>
    </row>
    <row r="94" spans="1:47" ht="25.5">
      <c r="A94" s="2443" t="str">
        <f ca="1">IF(OR(D93=Data!$L$954,D93=Data!$L$958),A93,"N")</f>
        <v>N</v>
      </c>
      <c r="B94" s="891">
        <f ca="1">IF(A93="N",0,SUMIFS(Paper!$AC$7:$AC$30,Paper!$A$7:$A$30,Coating!A93))</f>
        <v>0</v>
      </c>
      <c r="C94" s="969"/>
      <c r="D94" s="2442" t="str">
        <f ca="1">IF(D93=Data!$L$954,Data!$L$976,Data!$L$977)</f>
        <v>Resin AR 8207B-(for Hologram)</v>
      </c>
      <c r="E94" s="973">
        <f ca="1">SUMIFS(Paper!$N$7:$N$30,Paper!$A$7:$A$30,A93)</f>
        <v>0</v>
      </c>
      <c r="F94" s="967">
        <f ca="1">SUMIFS(Paper!$O$7:$O$30,Paper!$A$7:$A$30,A93)</f>
        <v>0</v>
      </c>
      <c r="G94" s="2441">
        <f ca="1">IF(A94="N",0,ROUNDUP(IF(D94=Data!$L$978,25/(463*686),IF(D94=Data!$L$976,Data!$P$976,Data!$P$977))*E94*F94,1))</f>
        <v>0</v>
      </c>
      <c r="H94" s="971" t="s">
        <v>1114</v>
      </c>
      <c r="I94" s="967">
        <f ca="1">IF(G94=0,0,SUMIFS(Data!$O$976:$O$978,Data!$L$976:$L$978,D94))</f>
        <v>0</v>
      </c>
      <c r="J94" s="967">
        <f ca="1">IF(A94="N",0,ROUNDUP(((B94/10000)*G94),1))</f>
        <v>0</v>
      </c>
      <c r="K94" s="967">
        <f ca="1">IF(G94&gt;0,1,0)*OFFSET(Paper!$J$7,R94,0)</f>
        <v>0</v>
      </c>
      <c r="L94" s="967">
        <f ca="1">K94*I94</f>
        <v>0</v>
      </c>
      <c r="M94" s="967">
        <f ca="1">IF(A94="N",0,I94*(J94+K94))</f>
        <v>0</v>
      </c>
      <c r="N94" s="967">
        <f t="shared" ca="1" si="68"/>
        <v>0</v>
      </c>
      <c r="O94" s="136" t="str">
        <f ca="1">OFFSET(input!$F$33,Q94,0)</f>
        <v>N</v>
      </c>
      <c r="P94" s="136">
        <f t="shared" ref="P94:Q94" si="75">+P84+17</f>
        <v>142</v>
      </c>
      <c r="Q94" s="136">
        <f t="shared" si="75"/>
        <v>136</v>
      </c>
      <c r="R94" s="136">
        <f t="shared" si="70"/>
        <v>8</v>
      </c>
      <c r="AT94" s="3598">
        <f t="shared" ca="1" si="54"/>
        <v>0</v>
      </c>
      <c r="AU94" s="315">
        <f ca="1">COUNTIFS(AT$7:$AT94,1)</f>
        <v>1</v>
      </c>
    </row>
    <row r="95" spans="1:47" ht="15">
      <c r="A95" s="952" t="str">
        <f ca="1">OFFSET(input!$A$25,Q95,0)</f>
        <v>N</v>
      </c>
      <c r="B95" s="891">
        <f ca="1">IF(A95="N",0,SUMIFS(Paper!$AC$7:$AC$30,Paper!$A$7:$A$30,Coating!A95))</f>
        <v>0</v>
      </c>
      <c r="C95" s="969">
        <f ca="1">SUMIFS(Data!$M$943:$M$959,Data!$L$943:$L$959,D95)</f>
        <v>0</v>
      </c>
      <c r="D95" s="970" t="str">
        <f ca="1">OFFSET(input!$J$27,P89,0)</f>
        <v>None</v>
      </c>
      <c r="E95" s="967">
        <f ca="1">IF(OFFSET(input!$K$27,P89,0)&gt;0,OFFSET(input!$K$27,P89,0),IF(OFFSET(input!$L$27,P89,0)="min",MAX(SUMIFS(Paper!$O$7:$O$30,Paper!$A$7:$A$30,A95),SUMIFS(Paper!$N$7:$N$30,Paper!$A$7:$A$30,A95)),MIN(SUMIFS(Paper!$O$7:$O$30,Paper!$A$7:$A$30,A95),SUMIFS(Paper!$N$7:$N$30,Paper!$A$7:$A$30,A95)))+2)</f>
        <v>2</v>
      </c>
      <c r="F95" s="967">
        <f ca="1">IF(OFFSET(input!$L$27,P89,0)="min",MIN(SUMIFS(Paper!$O$7:$O$30,Paper!$A$7:$A$30,A95),SUMIFS(Paper!$N$7:$N$30,Paper!$A$7:$A$30,A95)),MAX(SUMIFS(Paper!$O$7:$O$30,Paper!$A$7:$A$30,A95),SUMIFS(Paper!$N$7:$N$30,Paper!$A$7:$A$30,A95)))+3</f>
        <v>3</v>
      </c>
      <c r="G95" s="2441">
        <f ca="1">IF(A95="N",0,IF(OR(D95=Data!$L$943,D95=Data!$L$944,D95=Data!$L$947,D95=Data!$L$948,D95=Data!$L$949,D95=Data!$L$955,D95=Data!$L$956),ROUNDUP((E95/1000)*$C95,0),(ROUNDUP(($C95*(E95/1000)*(SUMIFS(Data!$P$943:$P$959,Data!$L$943:$L$959,D95)/1000)*SUMIFS(Data!$Q$943:$Q$959,Data!$L$943:$L$959,D95)),0))))</f>
        <v>0</v>
      </c>
      <c r="H95" s="2440" t="str">
        <f ca="1">IF(OR(D95=Data!$L$943,D95=Data!$L$944,D95=Data!$L$947,D95=Data!$L$948,D95=Data!$L$949,D95=Data!$L$955,D95=Data!$L$956),"M2/roll","Kg/roll")</f>
        <v>Kg/roll</v>
      </c>
      <c r="I95" s="967">
        <f ca="1">IF(G95=0,0,SUMIFS(Data!$O$938:$O$958,Data!$L$938:$L$958,D95))</f>
        <v>0</v>
      </c>
      <c r="J95" s="967">
        <f ca="1">IF(C95=0,0,(B95/($C95*1000/F95)))</f>
        <v>0</v>
      </c>
      <c r="K95" s="3716">
        <f ca="1">IF(C95=0,0,ROUNDUP((30/$C95)*OFFSET(Paper!$J$7,R95,0),2))</f>
        <v>0</v>
      </c>
      <c r="L95" s="967">
        <f ca="1">(K95*G95*I95)</f>
        <v>0</v>
      </c>
      <c r="M95" s="967">
        <f ca="1">IF(A95="N",0,I95*ROUNDUP(J95+K95,1)*G95)</f>
        <v>0</v>
      </c>
      <c r="N95" s="967">
        <f t="shared" ca="1" si="68"/>
        <v>0</v>
      </c>
      <c r="O95" s="136" t="str">
        <f ca="1">OFFSET(input!$F$33,Q95,0)</f>
        <v>N</v>
      </c>
      <c r="P95" s="136">
        <f t="shared" ref="P95:Q95" si="76">+P85+17</f>
        <v>143</v>
      </c>
      <c r="Q95" s="136">
        <f t="shared" si="76"/>
        <v>136</v>
      </c>
      <c r="R95" s="136">
        <f t="shared" si="70"/>
        <v>8</v>
      </c>
      <c r="AT95" s="3598">
        <f t="shared" ca="1" si="54"/>
        <v>0</v>
      </c>
      <c r="AU95" s="315">
        <f ca="1">COUNTIFS(AT$7:$AT95,1)</f>
        <v>1</v>
      </c>
    </row>
    <row r="96" spans="1:47" ht="25.5">
      <c r="A96" s="2443" t="str">
        <f ca="1">IF(OR(D95=Data!$L$954,D95=Data!$L$958),A95,"N")</f>
        <v>N</v>
      </c>
      <c r="B96" s="891">
        <f ca="1">IF(A95="N",0,SUMIFS(Paper!$AC$7:$AC$30,Paper!$A$7:$A$30,Coating!A95))</f>
        <v>0</v>
      </c>
      <c r="C96" s="969"/>
      <c r="D96" s="2442" t="str">
        <f ca="1">IF(D95=Data!$L$954,Data!$L$976,Data!$L$977)</f>
        <v>Resin AR 8207B-(for Hologram)</v>
      </c>
      <c r="E96" s="973">
        <f ca="1">SUMIFS(Paper!$N$7:$N$30,Paper!$A$7:$A$30,A95)</f>
        <v>0</v>
      </c>
      <c r="F96" s="967">
        <f ca="1">SUMIFS(Paper!$O$7:$O$30,Paper!$A$7:$A$30,A95)</f>
        <v>0</v>
      </c>
      <c r="G96" s="2441">
        <f ca="1">IF(A96="N",0,ROUNDUP(IF(D96=Data!$L$978,25/(463*686),IF(D96=Data!$L$976,Data!$P$976,Data!$P$977))*E96*F96,1))</f>
        <v>0</v>
      </c>
      <c r="H96" s="971" t="s">
        <v>1114</v>
      </c>
      <c r="I96" s="967">
        <f ca="1">IF(G96=0,0,SUMIFS(Data!$O$976:$O$978,Data!$L$976:$L$978,D96))</f>
        <v>0</v>
      </c>
      <c r="J96" s="967">
        <f ca="1">IF(A96="N",0,ROUNDUP(((B96/10000)*G96),1))</f>
        <v>0</v>
      </c>
      <c r="K96" s="967">
        <f ca="1">IF(G96&gt;0,1,0)*OFFSET(Paper!$J$7,R96,0)</f>
        <v>0</v>
      </c>
      <c r="L96" s="967">
        <f ca="1">K96*I96</f>
        <v>0</v>
      </c>
      <c r="M96" s="967">
        <f ca="1">IF(A96="N",0,I96*(J96+K96))</f>
        <v>0</v>
      </c>
      <c r="N96" s="967">
        <f t="shared" ca="1" si="68"/>
        <v>0</v>
      </c>
      <c r="O96" s="136" t="str">
        <f ca="1">OFFSET(input!$F$33,Q96,0)</f>
        <v>N</v>
      </c>
      <c r="P96" s="136">
        <f t="shared" ref="P96:Q96" si="77">+P86+17</f>
        <v>144</v>
      </c>
      <c r="Q96" s="136">
        <f t="shared" si="77"/>
        <v>136</v>
      </c>
      <c r="R96" s="136">
        <f t="shared" si="70"/>
        <v>8</v>
      </c>
      <c r="AT96" s="3598">
        <f t="shared" ca="1" si="54"/>
        <v>0</v>
      </c>
      <c r="AU96" s="315">
        <f ca="1">COUNTIFS(AT$7:$AT96,1)</f>
        <v>1</v>
      </c>
    </row>
    <row r="97" spans="1:47" ht="15">
      <c r="AT97" s="3598" t="str">
        <f t="shared" si="54"/>
        <v/>
      </c>
      <c r="AU97" s="315">
        <f ca="1">COUNTIFS(AT$7:$AT97,1)</f>
        <v>1</v>
      </c>
    </row>
    <row r="98" spans="1:47" ht="15">
      <c r="A98" s="952" t="str">
        <f ca="1">OFFSET(input!$A$25,Q98,0)</f>
        <v>N</v>
      </c>
      <c r="B98" s="891">
        <f ca="1">IF(A98="N",0,SUMIFS(Paper!$AC$7:$AC$30,Paper!$A$7:$A$30,Coating!A98))</f>
        <v>0</v>
      </c>
      <c r="C98" s="965" t="str">
        <f>input!F$27</f>
        <v>Front Side</v>
      </c>
      <c r="D98" s="966" t="str">
        <f ca="1">OFFSET(input!$E$27,P98,0)</f>
        <v>None</v>
      </c>
      <c r="E98" s="967">
        <f ca="1">SUMIFS(Paper!$N$7:$N$30,Paper!$A$7:$A$30,A98)</f>
        <v>0</v>
      </c>
      <c r="F98" s="967">
        <f ca="1">SUMIFS(Paper!$O$7:$O$30,Paper!$A$7:$A$30,A98)</f>
        <v>0</v>
      </c>
      <c r="G98" s="968">
        <f ca="1">IF(A98="N",0,IF(OFFSET(input!$G$27,P98,0)&gt;0,OFFSET(input!$G$27,P98,0),SUMIFS(Data!$P$913:$P$942,Data!$L$913:$L$942,D98)*E98*F98*IF(AND(C98="Back Side",OR(D98="OPV Wet Hi-Rub",D98="TK Matt Varnished 22493")),2,1)))</f>
        <v>0</v>
      </c>
      <c r="I98" s="967">
        <f ca="1">IF(G98=0,0,IF(OFFSET(input!$H$27,P98,0)&gt;0,OFFSET(input!$H$27,P98,0),SUMIFS(Data!$O$913:$O$942,Data!$L$913:$L$942,D98)))</f>
        <v>0</v>
      </c>
      <c r="J98" s="967">
        <f ca="1">ROUNDUP(IF(G98&gt;0,((B98/10000)*G98),0),1)</f>
        <v>0</v>
      </c>
      <c r="K98" s="967">
        <f ca="1">IF(G98&gt;0,1,0)*OFFSET(Paper!$J$7,R98,0)</f>
        <v>0</v>
      </c>
      <c r="L98" s="967">
        <f ca="1">K98*I98</f>
        <v>0</v>
      </c>
      <c r="M98" s="967">
        <f ca="1">IF(J98=0,0,I98*(J98+K98))</f>
        <v>0</v>
      </c>
      <c r="N98" s="967">
        <f ca="1">IF($D$2&gt;0,M98/($D$2),0)*(1+$N$5)</f>
        <v>0</v>
      </c>
      <c r="O98" s="136" t="str">
        <f ca="1">OFFSET(input!$F$33,Q98,0)</f>
        <v>N</v>
      </c>
      <c r="P98" s="136">
        <f>+P88+17</f>
        <v>153</v>
      </c>
      <c r="Q98" s="136">
        <f>+Q88+17</f>
        <v>153</v>
      </c>
      <c r="R98" s="136">
        <f>+R88+1</f>
        <v>9</v>
      </c>
      <c r="AT98" s="3598">
        <f t="shared" ca="1" si="54"/>
        <v>0</v>
      </c>
      <c r="AU98" s="315">
        <f ca="1">COUNTIFS(AT$7:$AT98,1)</f>
        <v>1</v>
      </c>
    </row>
    <row r="99" spans="1:47" ht="15">
      <c r="A99" s="952" t="str">
        <f ca="1">OFFSET(input!$A$25,Q99,0)</f>
        <v>N</v>
      </c>
      <c r="B99" s="891">
        <f ca="1">IF(A99="N",0,SUMIFS(Paper!$AC$7:$AC$30,Paper!$A$7:$A$30,Coating!A99))</f>
        <v>0</v>
      </c>
      <c r="C99" s="965" t="str">
        <f>input!F$28</f>
        <v>Front Side</v>
      </c>
      <c r="D99" s="966" t="str">
        <f ca="1">OFFSET(input!$E$27,P99,0)</f>
        <v>None</v>
      </c>
      <c r="E99" s="967">
        <f ca="1">SUMIFS(Paper!$N$7:$N$30,Paper!$A$7:$A$30,A99)</f>
        <v>0</v>
      </c>
      <c r="F99" s="967">
        <f ca="1">SUMIFS(Paper!$O$7:$O$30,Paper!$A$7:$A$30,A99)</f>
        <v>0</v>
      </c>
      <c r="G99" s="968">
        <f ca="1">IF(A99="N",0,IF(OFFSET(input!$G$27,P99,0)&gt;0,OFFSET(input!$G$27,P99,0),SUMIFS(Data!$P$913:$P$942,Data!$L$913:$L$942,D99)*E99*F99*IF(AND(C99="Back Side",OR(D99="OPV Wet Hi-Rub",D99="TK Matt Varnished 22493")),2,1)))</f>
        <v>0</v>
      </c>
      <c r="I99" s="967">
        <f ca="1">IF(G99=0,0,IF(OFFSET(input!$H$27,P99,0)&gt;0,OFFSET(input!$H$27,P99,0),SUMIFS(Data!$O$913:$O$942,Data!$L$913:$L$942,D99)))</f>
        <v>0</v>
      </c>
      <c r="J99" s="967">
        <f ca="1">ROUNDUP(IF(G99&gt;0,((B99/10000)*G99),0),1)</f>
        <v>0</v>
      </c>
      <c r="K99" s="967">
        <f ca="1">IF(G99&gt;0,1,0)*OFFSET(Paper!$J$7,R99,0)</f>
        <v>0</v>
      </c>
      <c r="L99" s="967">
        <f ca="1">K99*I99</f>
        <v>0</v>
      </c>
      <c r="M99" s="967">
        <f ca="1">IF(J99=0,0,I99*(J99+K99))</f>
        <v>0</v>
      </c>
      <c r="N99" s="967">
        <f t="shared" ref="N99:N106" ca="1" si="78">IF($D$2&gt;0,M99/($D$2),0)*(1+$N$5)</f>
        <v>0</v>
      </c>
      <c r="O99" s="136" t="str">
        <f ca="1">OFFSET(input!$F$33,Q99,0)</f>
        <v>N</v>
      </c>
      <c r="P99" s="136">
        <f t="shared" ref="P99:Q99" si="79">+P89+17</f>
        <v>154</v>
      </c>
      <c r="Q99" s="136">
        <f t="shared" si="79"/>
        <v>153</v>
      </c>
      <c r="R99" s="136">
        <f t="shared" ref="R99:R106" si="80">+R89+1</f>
        <v>9</v>
      </c>
      <c r="AT99" s="3598">
        <f t="shared" ca="1" si="54"/>
        <v>0</v>
      </c>
      <c r="AU99" s="315">
        <f ca="1">COUNTIFS(AT$7:$AT99,1)</f>
        <v>1</v>
      </c>
    </row>
    <row r="100" spans="1:47" ht="15">
      <c r="A100" s="952" t="str">
        <f ca="1">OFFSET(input!$A$25,Q100,0)</f>
        <v>N</v>
      </c>
      <c r="B100" s="891">
        <f ca="1">IF(A100="N",0,SUMIFS(Paper!$AC$7:$AC$30,Paper!$A$7:$A$30,Coating!A100))</f>
        <v>0</v>
      </c>
      <c r="C100" s="965" t="str">
        <f>input!F$29</f>
        <v>Front Side</v>
      </c>
      <c r="D100" s="966" t="str">
        <f ca="1">OFFSET(input!$E$27,P100,0)</f>
        <v>None</v>
      </c>
      <c r="E100" s="967">
        <f ca="1">SUMIFS(Paper!$N$7:$N$30,Paper!$A$7:$A$30,A100)</f>
        <v>0</v>
      </c>
      <c r="F100" s="967">
        <f ca="1">SUMIFS(Paper!$O$7:$O$30,Paper!$A$7:$A$30,A100)</f>
        <v>0</v>
      </c>
      <c r="G100" s="968">
        <f ca="1">IF(A100="N",0,IF(OFFSET(input!$G$27,P100,0)&gt;0,OFFSET(input!$G$27,P100,0),SUMIFS(Data!$P$913:$P$942,Data!$L$913:$L$942,D100)*E100*F100*IF(AND(C100="Back Side",OR(D100="OPV Wet Hi-Rub",D100="TK Matt Varnished 22493")),2,1)))</f>
        <v>0</v>
      </c>
      <c r="I100" s="967">
        <f ca="1">IF(G100=0,0,IF(OFFSET(input!$H$27,P100,0)&gt;0,OFFSET(input!$H$27,P100,0),SUMIFS(Data!$O$913:$O$942,Data!$L$913:$L$942,D100)))</f>
        <v>0</v>
      </c>
      <c r="J100" s="967">
        <f ca="1">ROUNDUP(IF(G100&gt;0,((B100/10000)*G100),0),1)</f>
        <v>0</v>
      </c>
      <c r="K100" s="967">
        <f ca="1">IF(G100&gt;0,1,0)*OFFSET(Paper!$J$7,R100,0)</f>
        <v>0</v>
      </c>
      <c r="L100" s="967">
        <f ca="1">K100*I100</f>
        <v>0</v>
      </c>
      <c r="M100" s="967">
        <f ca="1">IF(J100=0,0,I100*(J100+K100))</f>
        <v>0</v>
      </c>
      <c r="N100" s="967">
        <f t="shared" ca="1" si="78"/>
        <v>0</v>
      </c>
      <c r="O100" s="136" t="str">
        <f ca="1">OFFSET(input!$F$33,Q100,0)</f>
        <v>N</v>
      </c>
      <c r="P100" s="136">
        <f t="shared" ref="P100:Q100" si="81">+P90+17</f>
        <v>155</v>
      </c>
      <c r="Q100" s="136">
        <f t="shared" si="81"/>
        <v>153</v>
      </c>
      <c r="R100" s="136">
        <f t="shared" si="80"/>
        <v>9</v>
      </c>
      <c r="AT100" s="3598">
        <f t="shared" ca="1" si="54"/>
        <v>0</v>
      </c>
      <c r="AU100" s="315">
        <f ca="1">COUNTIFS(AT$7:$AT100,1)</f>
        <v>1</v>
      </c>
    </row>
    <row r="101" spans="1:47" ht="15">
      <c r="A101" s="952" t="str">
        <f ca="1">OFFSET(input!$A$25,Q101,0)</f>
        <v>N</v>
      </c>
      <c r="B101" s="891">
        <f ca="1">IF(A101="N",0,SUMIFS(Paper!$AC$7:$AC$30,Paper!$A$7:$A$30,Coating!A101))</f>
        <v>0</v>
      </c>
      <c r="C101" s="965" t="str">
        <f>input!F$30</f>
        <v>Front Side</v>
      </c>
      <c r="D101" s="966" t="str">
        <f ca="1">OFFSET(input!$E$27,P101,0)</f>
        <v>None</v>
      </c>
      <c r="E101" s="967">
        <f ca="1">SUMIFS(Paper!$N$7:$N$30,Paper!$A$7:$A$30,A101)</f>
        <v>0</v>
      </c>
      <c r="F101" s="967">
        <f ca="1">SUMIFS(Paper!$O$7:$O$30,Paper!$A$7:$A$30,A101)</f>
        <v>0</v>
      </c>
      <c r="G101" s="968">
        <f ca="1">IF(A101="N",0,IF(OFFSET(input!$G$27,P101,0)&gt;0,OFFSET(input!$G$27,P101,0),SUMIFS(Data!$P$913:$P$942,Data!$L$913:$L$942,D101)*E101*F101*IF(AND(C101="Back Side",OR(D101="OPV Wet Hi-Rub",D101="TK Matt Varnished 22493")),2,1)))</f>
        <v>0</v>
      </c>
      <c r="I101" s="967">
        <f ca="1">IF(G101=0,0,IF(OFFSET(input!$H$27,P101,0)&gt;0,OFFSET(input!$H$27,P101,0),SUMIFS(Data!$O$913:$O$942,Data!$L$913:$L$942,D101)))</f>
        <v>0</v>
      </c>
      <c r="J101" s="967">
        <f ca="1">ROUNDUP(IF(G101&gt;0,((B101/10000)*G101),0),1)</f>
        <v>0</v>
      </c>
      <c r="K101" s="967">
        <f ca="1">IF(G101&gt;0,1,0)*OFFSET(Paper!$J$7,R101,0)</f>
        <v>0</v>
      </c>
      <c r="L101" s="967">
        <f ca="1">K101*I101</f>
        <v>0</v>
      </c>
      <c r="M101" s="967">
        <f ca="1">IF(J101=0,0,I101*(J101+K101))</f>
        <v>0</v>
      </c>
      <c r="N101" s="967">
        <f t="shared" ca="1" si="78"/>
        <v>0</v>
      </c>
      <c r="O101" s="136" t="str">
        <f ca="1">OFFSET(input!$F$33,Q101,0)</f>
        <v>N</v>
      </c>
      <c r="P101" s="136">
        <f t="shared" ref="P101:Q101" si="82">+P91+17</f>
        <v>156</v>
      </c>
      <c r="Q101" s="136">
        <f t="shared" si="82"/>
        <v>153</v>
      </c>
      <c r="R101" s="136">
        <f t="shared" si="80"/>
        <v>9</v>
      </c>
      <c r="AT101" s="3598">
        <f t="shared" ca="1" si="54"/>
        <v>0</v>
      </c>
      <c r="AU101" s="315">
        <f ca="1">COUNTIFS(AT$7:$AT101,1)</f>
        <v>1</v>
      </c>
    </row>
    <row r="102" spans="1:47" ht="15">
      <c r="A102" s="952" t="str">
        <f ca="1">OFFSET(input!$A$25,Q102,0)</f>
        <v>N</v>
      </c>
      <c r="B102" s="891">
        <f ca="1">IF(A102="N",0,SUMIFS(Paper!$AC$7:$AC$30,Paper!$A$7:$A$30,Coating!A102))</f>
        <v>0</v>
      </c>
      <c r="C102" s="965" t="str">
        <f>input!F$31</f>
        <v>Front Side</v>
      </c>
      <c r="D102" s="966" t="str">
        <f ca="1">OFFSET(input!$E$27,P102,0)</f>
        <v>None</v>
      </c>
      <c r="E102" s="967">
        <f ca="1">SUMIFS(Paper!$N$7:$N$30,Paper!$A$7:$A$30,A102)</f>
        <v>0</v>
      </c>
      <c r="F102" s="967">
        <f ca="1">SUMIFS(Paper!$O$7:$O$30,Paper!$A$7:$A$30,A102)</f>
        <v>0</v>
      </c>
      <c r="G102" s="968">
        <f ca="1">IF(A102="N",0,IF(OFFSET(input!$G$27,P102,0)&gt;0,OFFSET(input!$G$27,P102,0),SUMIFS(Data!$P$913:$P$942,Data!$L$913:$L$942,D102)*E102*F102*IF(AND(C102="Back Side",OR(D102="OPV Wet Hi-Rub",D102="TK Matt Varnished 22493")),2,1)))</f>
        <v>0</v>
      </c>
      <c r="I102" s="967">
        <f ca="1">IF(G102=0,0,IF(OFFSET(input!$H$27,P102,0)&gt;0,OFFSET(input!$H$27,P102,0),SUMIFS(Data!$O$913:$O$942,Data!$L$913:$L$942,D102)))</f>
        <v>0</v>
      </c>
      <c r="J102" s="967">
        <f ca="1">ROUNDUP(IF(G102&gt;0,((B102/10000)*G102),0),1)</f>
        <v>0</v>
      </c>
      <c r="K102" s="967">
        <f ca="1">IF(G102&gt;0,1,0)*OFFSET(Paper!$J$7,R102,0)</f>
        <v>0</v>
      </c>
      <c r="L102" s="967">
        <f ca="1">K102*I102</f>
        <v>0</v>
      </c>
      <c r="M102" s="967">
        <f ca="1">IF(J102=0,0,I102*(J102+K102))</f>
        <v>0</v>
      </c>
      <c r="N102" s="967">
        <f t="shared" ca="1" si="78"/>
        <v>0</v>
      </c>
      <c r="O102" s="136" t="str">
        <f ca="1">OFFSET(input!$F$33,Q102,0)</f>
        <v>N</v>
      </c>
      <c r="P102" s="136">
        <f t="shared" ref="P102:Q102" si="83">+P92+17</f>
        <v>157</v>
      </c>
      <c r="Q102" s="136">
        <f t="shared" si="83"/>
        <v>153</v>
      </c>
      <c r="R102" s="136">
        <f t="shared" si="80"/>
        <v>9</v>
      </c>
      <c r="AT102" s="3598">
        <f t="shared" ca="1" si="54"/>
        <v>0</v>
      </c>
      <c r="AU102" s="315">
        <f ca="1">COUNTIFS(AT$7:$AT102,1)</f>
        <v>1</v>
      </c>
    </row>
    <row r="103" spans="1:47" ht="15">
      <c r="A103" s="952" t="str">
        <f ca="1">OFFSET(input!$A$25,Q103,0)</f>
        <v>N</v>
      </c>
      <c r="B103" s="891">
        <f ca="1">IF(A103="N",0,SUMIFS(Paper!$AC$7:$AC$30,Paper!$A$7:$A$30,Coating!A103))</f>
        <v>0</v>
      </c>
      <c r="C103" s="969">
        <f ca="1">SUMIFS(Data!$M$943:$M$959,Data!$L$943:$L$959,D103)</f>
        <v>0</v>
      </c>
      <c r="D103" s="970" t="str">
        <f ca="1">OFFSET(input!$J$27,P98,0)</f>
        <v>None</v>
      </c>
      <c r="E103" s="967">
        <f ca="1">IF(OFFSET(input!$K$27,P98,0)&gt;0,OFFSET(input!$K$27,P98,0),IF(OFFSET(input!$L$27,P98,0)="min",MAX(SUMIFS(Paper!$O$7:$O$30,Paper!$A$7:$A$30,A103),SUMIFS(Paper!$N$7:$N$30,Paper!$A$7:$A$30,A103)),MIN(SUMIFS(Paper!$O$7:$O$30,Paper!$A$7:$A$30,A103),SUMIFS(Paper!$N$7:$N$30,Paper!$A$7:$A$30,A103)))+2)</f>
        <v>50</v>
      </c>
      <c r="F103" s="967">
        <f ca="1">IF(OFFSET(input!$L$27,P98,0)="min",MIN(SUMIFS(Paper!$O$7:$O$30,Paper!$A$7:$A$30,A103),SUMIFS(Paper!$N$7:$N$30,Paper!$A$7:$A$30,A103)),MAX(SUMIFS(Paper!$O$7:$O$30,Paper!$A$7:$A$30,A103),SUMIFS(Paper!$N$7:$N$30,Paper!$A$7:$A$30,A103)))+3</f>
        <v>3</v>
      </c>
      <c r="G103" s="2441">
        <f ca="1">IF(A103="N",0,IF(OR(D103=Data!$L$943,D103=Data!$L$944,D103=Data!$L$947,D103=Data!$L$948,D103=Data!$L$949,D103=Data!$L$955,D103=Data!$L$956),ROUNDUP((E103/1000)*$C103,0),(ROUNDUP(($C103*(E103/1000)*(SUMIFS(Data!$P$943:$P$959,Data!$L$943:$L$959,D103)/1000)*SUMIFS(Data!$Q$943:$Q$959,Data!$L$943:$L$959,D103)),0))))</f>
        <v>0</v>
      </c>
      <c r="H103" s="2440" t="str">
        <f ca="1">IF(OR(D103=Data!$L$943,D103=Data!$L$944,D103=Data!$L$947,D103=Data!$L$948,D103=Data!$L$949,D103=Data!$L$955,D103=Data!$L$956),"M2/roll","Kg/roll")</f>
        <v>Kg/roll</v>
      </c>
      <c r="I103" s="967">
        <f ca="1">IF(G103=0,0,SUMIFS(Data!$O$938:$O$958,Data!$L$938:$L$958,D103))</f>
        <v>0</v>
      </c>
      <c r="J103" s="972">
        <f ca="1">IF(C103=0,0,(B103/($C103*1000/F103)))</f>
        <v>0</v>
      </c>
      <c r="K103" s="3716">
        <f ca="1">IF(C103=0,0,ROUNDUP((30/$C103)*OFFSET(Paper!$J$7,R103,0),2))</f>
        <v>0</v>
      </c>
      <c r="L103" s="967">
        <f ca="1">(K103*G103*I103)</f>
        <v>0</v>
      </c>
      <c r="M103" s="967">
        <f ca="1">IF(A103="N",0,I103*ROUNDUP(J103+K103,1)*G103)</f>
        <v>0</v>
      </c>
      <c r="N103" s="967">
        <f t="shared" ca="1" si="78"/>
        <v>0</v>
      </c>
      <c r="O103" s="136" t="str">
        <f ca="1">OFFSET(input!$F$33,Q103,0)</f>
        <v>N</v>
      </c>
      <c r="P103" s="136">
        <f t="shared" ref="P103:Q103" si="84">+P93+17</f>
        <v>158</v>
      </c>
      <c r="Q103" s="136">
        <f t="shared" si="84"/>
        <v>153</v>
      </c>
      <c r="R103" s="136">
        <f t="shared" si="80"/>
        <v>9</v>
      </c>
      <c r="AT103" s="3598">
        <f t="shared" ca="1" si="54"/>
        <v>0</v>
      </c>
      <c r="AU103" s="315">
        <f ca="1">COUNTIFS(AT$7:$AT103,1)</f>
        <v>1</v>
      </c>
    </row>
    <row r="104" spans="1:47" ht="25.5">
      <c r="A104" s="2443" t="str">
        <f ca="1">IF(OR(D103=Data!$L$954,D103=Data!$L$958),A103,"N")</f>
        <v>N</v>
      </c>
      <c r="B104" s="891">
        <f ca="1">IF(A103="N",0,SUMIFS(Paper!$AC$7:$AC$30,Paper!$A$7:$A$30,Coating!A103))</f>
        <v>0</v>
      </c>
      <c r="C104" s="969"/>
      <c r="D104" s="2442" t="str">
        <f ca="1">IF(D103=Data!$L$954,Data!$L$976,Data!$L$977)</f>
        <v>Resin AR 8207B-(for Hologram)</v>
      </c>
      <c r="E104" s="973">
        <f ca="1">SUMIFS(Paper!$N$7:$N$30,Paper!$A$7:$A$30,A103)</f>
        <v>0</v>
      </c>
      <c r="F104" s="967">
        <f ca="1">SUMIFS(Paper!$O$7:$O$30,Paper!$A$7:$A$30,A103)</f>
        <v>0</v>
      </c>
      <c r="G104" s="2441">
        <f ca="1">IF(A104="N",0,ROUNDUP(IF(D104=Data!$L$978,25/(463*686),IF(D104=Data!$L$976,Data!$P$976,Data!$P$977))*E104*F104,1))</f>
        <v>0</v>
      </c>
      <c r="H104" s="971" t="s">
        <v>1114</v>
      </c>
      <c r="I104" s="967">
        <f ca="1">IF(G104=0,0,SUMIFS(Data!$O$976:$O$978,Data!$L$976:$L$978,D104))</f>
        <v>0</v>
      </c>
      <c r="J104" s="967">
        <f ca="1">IF(A104="N",0,ROUNDUP(((B104/10000)*G104),1))</f>
        <v>0</v>
      </c>
      <c r="K104" s="967">
        <f ca="1">IF(G104&gt;0,1,0)*OFFSET(Paper!$J$7,R104,0)</f>
        <v>0</v>
      </c>
      <c r="L104" s="967">
        <f ca="1">K104*I104</f>
        <v>0</v>
      </c>
      <c r="M104" s="967">
        <f ca="1">IF(A104="N",0,I104*(J104+K104))</f>
        <v>0</v>
      </c>
      <c r="N104" s="967">
        <f t="shared" ca="1" si="78"/>
        <v>0</v>
      </c>
      <c r="O104" s="136" t="str">
        <f ca="1">OFFSET(input!$F$33,Q104,0)</f>
        <v>N</v>
      </c>
      <c r="P104" s="136">
        <f t="shared" ref="P104:Q104" si="85">+P94+17</f>
        <v>159</v>
      </c>
      <c r="Q104" s="136">
        <f t="shared" si="85"/>
        <v>153</v>
      </c>
      <c r="R104" s="136">
        <f t="shared" si="80"/>
        <v>9</v>
      </c>
      <c r="AT104" s="3598">
        <f t="shared" ca="1" si="54"/>
        <v>0</v>
      </c>
      <c r="AU104" s="315">
        <f ca="1">COUNTIFS(AT$7:$AT104,1)</f>
        <v>1</v>
      </c>
    </row>
    <row r="105" spans="1:47" ht="15">
      <c r="A105" s="952" t="str">
        <f ca="1">OFFSET(input!$A$25,Q105,0)</f>
        <v>N</v>
      </c>
      <c r="B105" s="891">
        <f ca="1">IF(A105="N",0,SUMIFS(Paper!$AC$7:$AC$30,Paper!$A$7:$A$30,Coating!A105))</f>
        <v>0</v>
      </c>
      <c r="C105" s="969">
        <f ca="1">SUMIFS(Data!$M$943:$M$959,Data!$L$943:$L$959,D105)</f>
        <v>0</v>
      </c>
      <c r="D105" s="970" t="str">
        <f ca="1">OFFSET(input!$J$27,P99,0)</f>
        <v>None</v>
      </c>
      <c r="E105" s="967">
        <f ca="1">IF(OFFSET(input!$K$27,P99,0)&gt;0,OFFSET(input!$K$27,P99,0),IF(OFFSET(input!$L$27,P99,0)="min",MAX(SUMIFS(Paper!$O$7:$O$30,Paper!$A$7:$A$30,A105),SUMIFS(Paper!$N$7:$N$30,Paper!$A$7:$A$30,A105)),MIN(SUMIFS(Paper!$O$7:$O$30,Paper!$A$7:$A$30,A105),SUMIFS(Paper!$N$7:$N$30,Paper!$A$7:$A$30,A105)))+2)</f>
        <v>2</v>
      </c>
      <c r="F105" s="967">
        <f ca="1">IF(OFFSET(input!$L$27,P99,0)="min",MIN(SUMIFS(Paper!$O$7:$O$30,Paper!$A$7:$A$30,A105),SUMIFS(Paper!$N$7:$N$30,Paper!$A$7:$A$30,A105)),MAX(SUMIFS(Paper!$O$7:$O$30,Paper!$A$7:$A$30,A105),SUMIFS(Paper!$N$7:$N$30,Paper!$A$7:$A$30,A105)))+3</f>
        <v>3</v>
      </c>
      <c r="G105" s="2441">
        <f ca="1">IF(A105="N",0,IF(OR(D105=Data!$L$943,D105=Data!$L$944,D105=Data!$L$947,D105=Data!$L$948,D105=Data!$L$949,D105=Data!$L$955,D105=Data!$L$956),ROUNDUP((E105/1000)*$C105,0),(ROUNDUP(($C105*(E105/1000)*(SUMIFS(Data!$P$943:$P$959,Data!$L$943:$L$959,D105)/1000)*SUMIFS(Data!$Q$943:$Q$959,Data!$L$943:$L$959,D105)),0))))</f>
        <v>0</v>
      </c>
      <c r="H105" s="2440" t="str">
        <f ca="1">IF(OR(D105=Data!$L$943,D105=Data!$L$944,D105=Data!$L$947,D105=Data!$L$948,D105=Data!$L$949,D105=Data!$L$955,D105=Data!$L$956),"M2/roll","Kg/roll")</f>
        <v>Kg/roll</v>
      </c>
      <c r="I105" s="967">
        <f ca="1">IF(G105=0,0,SUMIFS(Data!$O$938:$O$958,Data!$L$938:$L$958,D105))</f>
        <v>0</v>
      </c>
      <c r="J105" s="967">
        <f ca="1">IF(C105=0,0,(B105/($C105*1000/F105)))</f>
        <v>0</v>
      </c>
      <c r="K105" s="3716">
        <f ca="1">IF(C105=0,0,ROUNDUP((30/$C105)*OFFSET(Paper!$J$7,R105,0),2))</f>
        <v>0</v>
      </c>
      <c r="L105" s="967">
        <f ca="1">(K105*G105*I105)</f>
        <v>0</v>
      </c>
      <c r="M105" s="967">
        <f ca="1">IF(A105="N",0,I105*ROUNDUP(J105+K105,1)*G105)</f>
        <v>0</v>
      </c>
      <c r="N105" s="967">
        <f t="shared" ca="1" si="78"/>
        <v>0</v>
      </c>
      <c r="O105" s="136" t="str">
        <f ca="1">OFFSET(input!$F$33,Q105,0)</f>
        <v>N</v>
      </c>
      <c r="P105" s="136">
        <f t="shared" ref="P105:Q105" si="86">+P95+17</f>
        <v>160</v>
      </c>
      <c r="Q105" s="136">
        <f t="shared" si="86"/>
        <v>153</v>
      </c>
      <c r="R105" s="136">
        <f t="shared" si="80"/>
        <v>9</v>
      </c>
      <c r="AT105" s="3598">
        <f t="shared" ca="1" si="54"/>
        <v>0</v>
      </c>
      <c r="AU105" s="315">
        <f ca="1">COUNTIFS(AT$7:$AT105,1)</f>
        <v>1</v>
      </c>
    </row>
    <row r="106" spans="1:47" ht="25.5">
      <c r="A106" s="2443" t="str">
        <f ca="1">IF(OR(D105=Data!$L$954,D105=Data!$L$958),A105,"N")</f>
        <v>N</v>
      </c>
      <c r="B106" s="891">
        <f ca="1">IF(A105="N",0,SUMIFS(Paper!$AC$7:$AC$30,Paper!$A$7:$A$30,Coating!A105))</f>
        <v>0</v>
      </c>
      <c r="C106" s="969"/>
      <c r="D106" s="2442" t="str">
        <f ca="1">IF(D105=Data!$L$954,Data!$L$976,Data!$L$977)</f>
        <v>Resin AR 8207B-(for Hologram)</v>
      </c>
      <c r="E106" s="973">
        <f ca="1">SUMIFS(Paper!$N$7:$N$30,Paper!$A$7:$A$30,A105)</f>
        <v>0</v>
      </c>
      <c r="F106" s="967">
        <f ca="1">SUMIFS(Paper!$O$7:$O$30,Paper!$A$7:$A$30,A105)</f>
        <v>0</v>
      </c>
      <c r="G106" s="2441">
        <f ca="1">IF(A106="N",0,ROUNDUP(IF(D106=Data!$L$978,25/(463*686),IF(D106=Data!$L$976,Data!$P$976,Data!$P$977))*E106*F106,1))</f>
        <v>0</v>
      </c>
      <c r="H106" s="971" t="s">
        <v>1114</v>
      </c>
      <c r="I106" s="967">
        <f ca="1">IF(G106=0,0,SUMIFS(Data!$O$976:$O$978,Data!$L$976:$L$978,D106))</f>
        <v>0</v>
      </c>
      <c r="J106" s="967">
        <f ca="1">IF(A106="N",0,ROUNDUP(((B106/10000)*G106),1))</f>
        <v>0</v>
      </c>
      <c r="K106" s="967">
        <f ca="1">IF(G106&gt;0,1,0)*OFFSET(Paper!$J$7,R106,0)</f>
        <v>0</v>
      </c>
      <c r="L106" s="967">
        <f ca="1">K106*I106</f>
        <v>0</v>
      </c>
      <c r="M106" s="967">
        <f ca="1">IF(A106="N",0,I106*(J106+K106))</f>
        <v>0</v>
      </c>
      <c r="N106" s="967">
        <f t="shared" ca="1" si="78"/>
        <v>0</v>
      </c>
      <c r="O106" s="136" t="str">
        <f ca="1">OFFSET(input!$F$33,Q106,0)</f>
        <v>N</v>
      </c>
      <c r="P106" s="136">
        <f t="shared" ref="P106:Q106" si="87">+P96+17</f>
        <v>161</v>
      </c>
      <c r="Q106" s="136">
        <f t="shared" si="87"/>
        <v>153</v>
      </c>
      <c r="R106" s="136">
        <f t="shared" si="80"/>
        <v>9</v>
      </c>
      <c r="AT106" s="3598">
        <f t="shared" ca="1" si="54"/>
        <v>0</v>
      </c>
      <c r="AU106" s="315">
        <f ca="1">COUNTIFS(AT$7:$AT106,1)</f>
        <v>1</v>
      </c>
    </row>
    <row r="107" spans="1:47" ht="15">
      <c r="AT107" s="3598" t="str">
        <f t="shared" si="54"/>
        <v/>
      </c>
      <c r="AU107" s="315">
        <f ca="1">COUNTIFS(AT$7:$AT107,1)</f>
        <v>1</v>
      </c>
    </row>
    <row r="108" spans="1:47" ht="15">
      <c r="A108" s="952" t="str">
        <f ca="1">OFFSET(input!$A$25,Q108,0)</f>
        <v>N</v>
      </c>
      <c r="B108" s="891">
        <f ca="1">IF(A108="N",0,SUMIFS(Paper!$AC$7:$AC$30,Paper!$A$7:$A$30,Coating!A108))</f>
        <v>0</v>
      </c>
      <c r="C108" s="965" t="str">
        <f>input!F$27</f>
        <v>Front Side</v>
      </c>
      <c r="D108" s="966" t="str">
        <f ca="1">OFFSET(input!$E$27,P108,0)</f>
        <v>None</v>
      </c>
      <c r="E108" s="967">
        <f ca="1">SUMIFS(Paper!$N$7:$N$30,Paper!$A$7:$A$30,A108)</f>
        <v>0</v>
      </c>
      <c r="F108" s="967">
        <f ca="1">SUMIFS(Paper!$O$7:$O$30,Paper!$A$7:$A$30,A108)</f>
        <v>0</v>
      </c>
      <c r="G108" s="968">
        <f ca="1">IF(A108="N",0,IF(OFFSET(input!$G$27,P108,0)&gt;0,OFFSET(input!$G$27,P108,0),SUMIFS(Data!$P$913:$P$942,Data!$L$913:$L$942,D108)*E108*F108*IF(AND(C108="Back Side",OR(D108="OPV Wet Hi-Rub",D108="TK Matt Varnished 22493")),2,1)))</f>
        <v>0</v>
      </c>
      <c r="I108" s="967">
        <f ca="1">IF(G108=0,0,IF(OFFSET(input!$H$27,P108,0)&gt;0,OFFSET(input!$H$27,P108,0),SUMIFS(Data!$O$913:$O$942,Data!$L$913:$L$942,D108)))</f>
        <v>0</v>
      </c>
      <c r="J108" s="967">
        <f ca="1">ROUNDUP(IF(G108&gt;0,((B108/10000)*G108),0),1)</f>
        <v>0</v>
      </c>
      <c r="K108" s="967">
        <f ca="1">IF(G108&gt;0,1,0)*OFFSET(Paper!$J$7,R108,0)</f>
        <v>0</v>
      </c>
      <c r="L108" s="967">
        <f ca="1">K108*I108</f>
        <v>0</v>
      </c>
      <c r="M108" s="967">
        <f ca="1">IF(J108=0,0,I108*(J108+K108))</f>
        <v>0</v>
      </c>
      <c r="N108" s="967">
        <f ca="1">IF($D$2&gt;0,M108/($D$2),0)*(1+$N$5)</f>
        <v>0</v>
      </c>
      <c r="O108" s="136" t="str">
        <f ca="1">OFFSET(input!$F$33,Q108,0)</f>
        <v>N</v>
      </c>
      <c r="P108" s="136">
        <f>+P98+17</f>
        <v>170</v>
      </c>
      <c r="Q108" s="136">
        <f>+Q98+17</f>
        <v>170</v>
      </c>
      <c r="R108" s="136">
        <f>+R98+1</f>
        <v>10</v>
      </c>
      <c r="AT108" s="3598">
        <f t="shared" ca="1" si="54"/>
        <v>0</v>
      </c>
      <c r="AU108" s="315">
        <f ca="1">COUNTIFS(AT$7:$AT108,1)</f>
        <v>1</v>
      </c>
    </row>
    <row r="109" spans="1:47" ht="15">
      <c r="A109" s="952" t="str">
        <f ca="1">OFFSET(input!$A$25,Q109,0)</f>
        <v>N</v>
      </c>
      <c r="B109" s="891">
        <f ca="1">IF(A109="N",0,SUMIFS(Paper!$AC$7:$AC$30,Paper!$A$7:$A$30,Coating!A109))</f>
        <v>0</v>
      </c>
      <c r="C109" s="965" t="str">
        <f>input!F$28</f>
        <v>Front Side</v>
      </c>
      <c r="D109" s="966" t="str">
        <f ca="1">OFFSET(input!$E$27,P109,0)</f>
        <v>None</v>
      </c>
      <c r="E109" s="967">
        <f ca="1">SUMIFS(Paper!$N$7:$N$30,Paper!$A$7:$A$30,A109)</f>
        <v>0</v>
      </c>
      <c r="F109" s="967">
        <f ca="1">SUMIFS(Paper!$O$7:$O$30,Paper!$A$7:$A$30,A109)</f>
        <v>0</v>
      </c>
      <c r="G109" s="968">
        <f ca="1">IF(A109="N",0,IF(OFFSET(input!$G$27,P109,0)&gt;0,OFFSET(input!$G$27,P109,0),SUMIFS(Data!$P$913:$P$942,Data!$L$913:$L$942,D109)*E109*F109*IF(AND(C109="Back Side",OR(D109="OPV Wet Hi-Rub",D109="TK Matt Varnished 22493")),2,1)))</f>
        <v>0</v>
      </c>
      <c r="I109" s="967">
        <f ca="1">IF(G109=0,0,IF(OFFSET(input!$H$27,P109,0)&gt;0,OFFSET(input!$H$27,P109,0),SUMIFS(Data!$O$913:$O$942,Data!$L$913:$L$942,D109)))</f>
        <v>0</v>
      </c>
      <c r="J109" s="967">
        <f ca="1">ROUNDUP(IF(G109&gt;0,((B109/10000)*G109),0),1)</f>
        <v>0</v>
      </c>
      <c r="K109" s="967">
        <f ca="1">IF(G109&gt;0,1,0)*OFFSET(Paper!$J$7,R109,0)</f>
        <v>0</v>
      </c>
      <c r="L109" s="967">
        <f ca="1">K109*I109</f>
        <v>0</v>
      </c>
      <c r="M109" s="967">
        <f ca="1">IF(J109=0,0,I109*(J109+K109))</f>
        <v>0</v>
      </c>
      <c r="N109" s="967">
        <f t="shared" ref="N109:N116" ca="1" si="88">IF($D$2&gt;0,M109/($D$2),0)*(1+$N$5)</f>
        <v>0</v>
      </c>
      <c r="O109" s="136" t="str">
        <f ca="1">OFFSET(input!$F$33,Q109,0)</f>
        <v>N</v>
      </c>
      <c r="P109" s="136">
        <f t="shared" ref="P109:Q109" si="89">+P99+17</f>
        <v>171</v>
      </c>
      <c r="Q109" s="136">
        <f t="shared" si="89"/>
        <v>170</v>
      </c>
      <c r="R109" s="136">
        <f t="shared" ref="R109:R116" si="90">+R99+1</f>
        <v>10</v>
      </c>
      <c r="AT109" s="3598">
        <f t="shared" ca="1" si="54"/>
        <v>0</v>
      </c>
      <c r="AU109" s="315">
        <f ca="1">COUNTIFS(AT$7:$AT109,1)</f>
        <v>1</v>
      </c>
    </row>
    <row r="110" spans="1:47" ht="15">
      <c r="A110" s="952" t="str">
        <f ca="1">OFFSET(input!$A$25,Q110,0)</f>
        <v>N</v>
      </c>
      <c r="B110" s="891">
        <f ca="1">IF(A110="N",0,SUMIFS(Paper!$AC$7:$AC$30,Paper!$A$7:$A$30,Coating!A110))</f>
        <v>0</v>
      </c>
      <c r="C110" s="965" t="str">
        <f>input!F$29</f>
        <v>Front Side</v>
      </c>
      <c r="D110" s="966" t="str">
        <f ca="1">OFFSET(input!$E$27,P110,0)</f>
        <v>None</v>
      </c>
      <c r="E110" s="967">
        <f ca="1">SUMIFS(Paper!$N$7:$N$30,Paper!$A$7:$A$30,A110)</f>
        <v>0</v>
      </c>
      <c r="F110" s="967">
        <f ca="1">SUMIFS(Paper!$O$7:$O$30,Paper!$A$7:$A$30,A110)</f>
        <v>0</v>
      </c>
      <c r="G110" s="968">
        <f ca="1">IF(A110="N",0,IF(OFFSET(input!$G$27,P110,0)&gt;0,OFFSET(input!$G$27,P110,0),SUMIFS(Data!$P$913:$P$942,Data!$L$913:$L$942,D110)*E110*F110*IF(AND(C110="Back Side",OR(D110="OPV Wet Hi-Rub",D110="TK Matt Varnished 22493")),2,1)))</f>
        <v>0</v>
      </c>
      <c r="I110" s="967">
        <f ca="1">IF(G110=0,0,IF(OFFSET(input!$H$27,P110,0)&gt;0,OFFSET(input!$H$27,P110,0),SUMIFS(Data!$O$913:$O$942,Data!$L$913:$L$942,D110)))</f>
        <v>0</v>
      </c>
      <c r="J110" s="967">
        <f ca="1">ROUNDUP(IF(G110&gt;0,((B110/10000)*G110),0),1)</f>
        <v>0</v>
      </c>
      <c r="K110" s="967">
        <f ca="1">IF(G110&gt;0,1,0)*OFFSET(Paper!$J$7,R110,0)</f>
        <v>0</v>
      </c>
      <c r="L110" s="967">
        <f ca="1">K110*I110</f>
        <v>0</v>
      </c>
      <c r="M110" s="967">
        <f ca="1">IF(J110=0,0,I110*(J110+K110))</f>
        <v>0</v>
      </c>
      <c r="N110" s="967">
        <f t="shared" ca="1" si="88"/>
        <v>0</v>
      </c>
      <c r="O110" s="136" t="str">
        <f ca="1">OFFSET(input!$F$33,Q110,0)</f>
        <v>N</v>
      </c>
      <c r="P110" s="136">
        <f t="shared" ref="P110:Q110" si="91">+P100+17</f>
        <v>172</v>
      </c>
      <c r="Q110" s="136">
        <f t="shared" si="91"/>
        <v>170</v>
      </c>
      <c r="R110" s="136">
        <f t="shared" si="90"/>
        <v>10</v>
      </c>
      <c r="AT110" s="3598">
        <f t="shared" ca="1" si="54"/>
        <v>0</v>
      </c>
      <c r="AU110" s="315">
        <f ca="1">COUNTIFS(AT$7:$AT110,1)</f>
        <v>1</v>
      </c>
    </row>
    <row r="111" spans="1:47" ht="15">
      <c r="A111" s="952" t="str">
        <f ca="1">OFFSET(input!$A$25,Q111,0)</f>
        <v>N</v>
      </c>
      <c r="B111" s="891">
        <f ca="1">IF(A111="N",0,SUMIFS(Paper!$AC$7:$AC$30,Paper!$A$7:$A$30,Coating!A111))</f>
        <v>0</v>
      </c>
      <c r="C111" s="965" t="str">
        <f>input!F$30</f>
        <v>Front Side</v>
      </c>
      <c r="D111" s="966" t="str">
        <f ca="1">OFFSET(input!$E$27,P111,0)</f>
        <v>None</v>
      </c>
      <c r="E111" s="967">
        <f ca="1">SUMIFS(Paper!$N$7:$N$30,Paper!$A$7:$A$30,A111)</f>
        <v>0</v>
      </c>
      <c r="F111" s="967">
        <f ca="1">SUMIFS(Paper!$O$7:$O$30,Paper!$A$7:$A$30,A111)</f>
        <v>0</v>
      </c>
      <c r="G111" s="968">
        <f ca="1">IF(A111="N",0,IF(OFFSET(input!$G$27,P111,0)&gt;0,OFFSET(input!$G$27,P111,0),SUMIFS(Data!$P$913:$P$942,Data!$L$913:$L$942,D111)*E111*F111*IF(AND(C111="Back Side",OR(D111="OPV Wet Hi-Rub",D111="TK Matt Varnished 22493")),2,1)))</f>
        <v>0</v>
      </c>
      <c r="I111" s="967">
        <f ca="1">IF(G111=0,0,IF(OFFSET(input!$H$27,P111,0)&gt;0,OFFSET(input!$H$27,P111,0),SUMIFS(Data!$O$913:$O$942,Data!$L$913:$L$942,D111)))</f>
        <v>0</v>
      </c>
      <c r="J111" s="967">
        <f ca="1">ROUNDUP(IF(G111&gt;0,((B111/10000)*G111),0),1)</f>
        <v>0</v>
      </c>
      <c r="K111" s="967">
        <f ca="1">IF(G111&gt;0,1,0)*OFFSET(Paper!$J$7,R111,0)</f>
        <v>0</v>
      </c>
      <c r="L111" s="967">
        <f ca="1">K111*I111</f>
        <v>0</v>
      </c>
      <c r="M111" s="967">
        <f ca="1">IF(J111=0,0,I111*(J111+K111))</f>
        <v>0</v>
      </c>
      <c r="N111" s="967">
        <f t="shared" ca="1" si="88"/>
        <v>0</v>
      </c>
      <c r="O111" s="136" t="str">
        <f ca="1">OFFSET(input!$F$33,Q111,0)</f>
        <v>N</v>
      </c>
      <c r="P111" s="136">
        <f t="shared" ref="P111:Q111" si="92">+P101+17</f>
        <v>173</v>
      </c>
      <c r="Q111" s="136">
        <f t="shared" si="92"/>
        <v>170</v>
      </c>
      <c r="R111" s="136">
        <f t="shared" si="90"/>
        <v>10</v>
      </c>
      <c r="AT111" s="3598">
        <f t="shared" ca="1" si="54"/>
        <v>0</v>
      </c>
      <c r="AU111" s="315">
        <f ca="1">COUNTIFS(AT$7:$AT111,1)</f>
        <v>1</v>
      </c>
    </row>
    <row r="112" spans="1:47" ht="15">
      <c r="A112" s="952" t="str">
        <f ca="1">OFFSET(input!$A$25,Q112,0)</f>
        <v>N</v>
      </c>
      <c r="B112" s="891">
        <f ca="1">IF(A112="N",0,SUMIFS(Paper!$AC$7:$AC$30,Paper!$A$7:$A$30,Coating!A112))</f>
        <v>0</v>
      </c>
      <c r="C112" s="965" t="str">
        <f>input!F$31</f>
        <v>Front Side</v>
      </c>
      <c r="D112" s="966" t="str">
        <f ca="1">OFFSET(input!$E$27,P112,0)</f>
        <v>None</v>
      </c>
      <c r="E112" s="967">
        <f ca="1">SUMIFS(Paper!$N$7:$N$30,Paper!$A$7:$A$30,A112)</f>
        <v>0</v>
      </c>
      <c r="F112" s="967">
        <f ca="1">SUMIFS(Paper!$O$7:$O$30,Paper!$A$7:$A$30,A112)</f>
        <v>0</v>
      </c>
      <c r="G112" s="968">
        <f ca="1">IF(A112="N",0,IF(OFFSET(input!$G$27,P112,0)&gt;0,OFFSET(input!$G$27,P112,0),SUMIFS(Data!$P$913:$P$942,Data!$L$913:$L$942,D112)*E112*F112*IF(AND(C112="Back Side",OR(D112="OPV Wet Hi-Rub",D112="TK Matt Varnished 22493")),2,1)))</f>
        <v>0</v>
      </c>
      <c r="I112" s="967">
        <f ca="1">IF(G112=0,0,IF(OFFSET(input!$H$27,P112,0)&gt;0,OFFSET(input!$H$27,P112,0),SUMIFS(Data!$O$913:$O$942,Data!$L$913:$L$942,D112)))</f>
        <v>0</v>
      </c>
      <c r="J112" s="967">
        <f ca="1">ROUNDUP(IF(G112&gt;0,((B112/10000)*G112),0),1)</f>
        <v>0</v>
      </c>
      <c r="K112" s="967">
        <f ca="1">IF(G112&gt;0,1,0)*OFFSET(Paper!$J$7,R112,0)</f>
        <v>0</v>
      </c>
      <c r="L112" s="967">
        <f ca="1">K112*I112</f>
        <v>0</v>
      </c>
      <c r="M112" s="967">
        <f ca="1">IF(J112=0,0,I112*(J112+K112))</f>
        <v>0</v>
      </c>
      <c r="N112" s="967">
        <f t="shared" ca="1" si="88"/>
        <v>0</v>
      </c>
      <c r="O112" s="136" t="str">
        <f ca="1">OFFSET(input!$F$33,Q112,0)</f>
        <v>N</v>
      </c>
      <c r="P112" s="136">
        <f t="shared" ref="P112:Q112" si="93">+P102+17</f>
        <v>174</v>
      </c>
      <c r="Q112" s="136">
        <f t="shared" si="93"/>
        <v>170</v>
      </c>
      <c r="R112" s="136">
        <f t="shared" si="90"/>
        <v>10</v>
      </c>
      <c r="AT112" s="3598">
        <f t="shared" ca="1" si="54"/>
        <v>0</v>
      </c>
      <c r="AU112" s="315">
        <f ca="1">COUNTIFS(AT$7:$AT112,1)</f>
        <v>1</v>
      </c>
    </row>
    <row r="113" spans="1:47" ht="15">
      <c r="A113" s="952" t="str">
        <f ca="1">OFFSET(input!$A$25,Q113,0)</f>
        <v>N</v>
      </c>
      <c r="B113" s="891">
        <f ca="1">IF(A113="N",0,SUMIFS(Paper!$AC$7:$AC$30,Paper!$A$7:$A$30,Coating!A113))</f>
        <v>0</v>
      </c>
      <c r="C113" s="969">
        <f ca="1">SUMIFS(Data!$M$943:$M$959,Data!$L$943:$L$959,D113)</f>
        <v>0</v>
      </c>
      <c r="D113" s="970" t="str">
        <f ca="1">OFFSET(input!$J$27,P108,0)</f>
        <v>None</v>
      </c>
      <c r="E113" s="967">
        <f ca="1">IF(OFFSET(input!$K$27,P108,0)&gt;0,OFFSET(input!$K$27,P108,0),IF(OFFSET(input!$L$27,P108,0)="min",MAX(SUMIFS(Paper!$O$7:$O$30,Paper!$A$7:$A$30,A113),SUMIFS(Paper!$N$7:$N$30,Paper!$A$7:$A$30,A113)),MIN(SUMIFS(Paper!$O$7:$O$30,Paper!$A$7:$A$30,A113),SUMIFS(Paper!$N$7:$N$30,Paper!$A$7:$A$30,A113)))+2)</f>
        <v>50</v>
      </c>
      <c r="F113" s="967">
        <f ca="1">IF(OFFSET(input!$L$27,P108,0)="min",MIN(SUMIFS(Paper!$O$7:$O$30,Paper!$A$7:$A$30,A113),SUMIFS(Paper!$N$7:$N$30,Paper!$A$7:$A$30,A113)),MAX(SUMIFS(Paper!$O$7:$O$30,Paper!$A$7:$A$30,A113),SUMIFS(Paper!$N$7:$N$30,Paper!$A$7:$A$30,A113)))+3</f>
        <v>3</v>
      </c>
      <c r="G113" s="2441">
        <f ca="1">IF(A113="N",0,IF(OR(D113=Data!$L$943,D113=Data!$L$944,D113=Data!$L$947,D113=Data!$L$948,D113=Data!$L$949,D113=Data!$L$955,D113=Data!$L$956),ROUNDUP((E113/1000)*$C113,0),(ROUNDUP(($C113*(E113/1000)*(SUMIFS(Data!$P$943:$P$959,Data!$L$943:$L$959,D113)/1000)*SUMIFS(Data!$Q$943:$Q$959,Data!$L$943:$L$959,D113)),0))))</f>
        <v>0</v>
      </c>
      <c r="H113" s="2440" t="str">
        <f ca="1">IF(OR(D113=Data!$L$943,D113=Data!$L$944,D113=Data!$L$947,D113=Data!$L$948,D113=Data!$L$949,D113=Data!$L$955,D113=Data!$L$956),"M2/roll","Kg/roll")</f>
        <v>Kg/roll</v>
      </c>
      <c r="I113" s="967">
        <f ca="1">IF(G113=0,0,SUMIFS(Data!$O$938:$O$958,Data!$L$938:$L$958,D113))</f>
        <v>0</v>
      </c>
      <c r="J113" s="972">
        <f ca="1">IF(C113=0,0,(B113/($C113*1000/F113)))</f>
        <v>0</v>
      </c>
      <c r="K113" s="3716">
        <f ca="1">IF(C113=0,0,ROUNDUP((30/$C113)*OFFSET(Paper!$J$7,R113,0),2))</f>
        <v>0</v>
      </c>
      <c r="L113" s="967">
        <f ca="1">(K113*G113*I113)</f>
        <v>0</v>
      </c>
      <c r="M113" s="967">
        <f ca="1">IF(A113="N",0,I113*ROUNDUP(J113+K113,1)*G113)</f>
        <v>0</v>
      </c>
      <c r="N113" s="967">
        <f t="shared" ca="1" si="88"/>
        <v>0</v>
      </c>
      <c r="O113" s="136" t="str">
        <f ca="1">OFFSET(input!$F$33,Q113,0)</f>
        <v>N</v>
      </c>
      <c r="P113" s="136">
        <f t="shared" ref="P113:Q113" si="94">+P103+17</f>
        <v>175</v>
      </c>
      <c r="Q113" s="136">
        <f t="shared" si="94"/>
        <v>170</v>
      </c>
      <c r="R113" s="136">
        <f t="shared" si="90"/>
        <v>10</v>
      </c>
      <c r="AT113" s="3598">
        <f t="shared" ca="1" si="54"/>
        <v>0</v>
      </c>
      <c r="AU113" s="315">
        <f ca="1">COUNTIFS(AT$7:$AT113,1)</f>
        <v>1</v>
      </c>
    </row>
    <row r="114" spans="1:47" ht="25.5">
      <c r="A114" s="2443" t="str">
        <f ca="1">IF(OR(D113=Data!$L$954,D113=Data!$L$958),A113,"N")</f>
        <v>N</v>
      </c>
      <c r="B114" s="891">
        <f ca="1">IF(A113="N",0,SUMIFS(Paper!$AC$7:$AC$30,Paper!$A$7:$A$30,Coating!A113))</f>
        <v>0</v>
      </c>
      <c r="C114" s="969"/>
      <c r="D114" s="2442" t="str">
        <f ca="1">IF(D113=Data!$L$954,Data!$L$976,Data!$L$977)</f>
        <v>Resin AR 8207B-(for Hologram)</v>
      </c>
      <c r="E114" s="973">
        <f ca="1">SUMIFS(Paper!$N$7:$N$30,Paper!$A$7:$A$30,A113)</f>
        <v>0</v>
      </c>
      <c r="F114" s="967">
        <f ca="1">SUMIFS(Paper!$O$7:$O$30,Paper!$A$7:$A$30,A113)</f>
        <v>0</v>
      </c>
      <c r="G114" s="2441">
        <f ca="1">IF(A114="N",0,ROUNDUP(IF(D114=Data!$L$978,25/(463*686),IF(D114=Data!$L$976,Data!$P$976,Data!$P$977))*E114*F114,1))</f>
        <v>0</v>
      </c>
      <c r="H114" s="971" t="s">
        <v>1114</v>
      </c>
      <c r="I114" s="967">
        <f ca="1">IF(G114=0,0,SUMIFS(Data!$O$976:$O$978,Data!$L$976:$L$978,D114))</f>
        <v>0</v>
      </c>
      <c r="J114" s="967">
        <f ca="1">IF(A114="N",0,ROUNDUP(((B114/10000)*G114),1))</f>
        <v>0</v>
      </c>
      <c r="K114" s="967">
        <f ca="1">IF(G114&gt;0,1,0)*OFFSET(Paper!$J$7,R114,0)</f>
        <v>0</v>
      </c>
      <c r="L114" s="967">
        <f ca="1">K114*I114</f>
        <v>0</v>
      </c>
      <c r="M114" s="967">
        <f ca="1">IF(A114="N",0,I114*(J114+K114))</f>
        <v>0</v>
      </c>
      <c r="N114" s="967">
        <f t="shared" ca="1" si="88"/>
        <v>0</v>
      </c>
      <c r="O114" s="136" t="str">
        <f ca="1">OFFSET(input!$F$33,Q114,0)</f>
        <v>N</v>
      </c>
      <c r="P114" s="136">
        <f t="shared" ref="P114:Q114" si="95">+P104+17</f>
        <v>176</v>
      </c>
      <c r="Q114" s="136">
        <f t="shared" si="95"/>
        <v>170</v>
      </c>
      <c r="R114" s="136">
        <f t="shared" si="90"/>
        <v>10</v>
      </c>
      <c r="AT114" s="3598">
        <f t="shared" ca="1" si="54"/>
        <v>0</v>
      </c>
      <c r="AU114" s="315">
        <f ca="1">COUNTIFS(AT$7:$AT114,1)</f>
        <v>1</v>
      </c>
    </row>
    <row r="115" spans="1:47" ht="15">
      <c r="A115" s="952" t="str">
        <f ca="1">OFFSET(input!$A$25,Q115,0)</f>
        <v>N</v>
      </c>
      <c r="B115" s="891">
        <f ca="1">IF(A115="N",0,SUMIFS(Paper!$AC$7:$AC$30,Paper!$A$7:$A$30,Coating!A115))</f>
        <v>0</v>
      </c>
      <c r="C115" s="969">
        <f ca="1">SUMIFS(Data!$M$943:$M$959,Data!$L$943:$L$959,D115)</f>
        <v>0</v>
      </c>
      <c r="D115" s="970" t="str">
        <f ca="1">OFFSET(input!$J$27,P109,0)</f>
        <v>None</v>
      </c>
      <c r="E115" s="967">
        <f ca="1">IF(OFFSET(input!$K$27,P109,0)&gt;0,OFFSET(input!$K$27,P109,0),IF(OFFSET(input!$L$27,P109,0)="min",MAX(SUMIFS(Paper!$O$7:$O$30,Paper!$A$7:$A$30,A115),SUMIFS(Paper!$N$7:$N$30,Paper!$A$7:$A$30,A115)),MIN(SUMIFS(Paper!$O$7:$O$30,Paper!$A$7:$A$30,A115),SUMIFS(Paper!$N$7:$N$30,Paper!$A$7:$A$30,A115)))+2)</f>
        <v>2</v>
      </c>
      <c r="F115" s="967">
        <f ca="1">IF(OFFSET(input!$L$27,P109,0)="min",MIN(SUMIFS(Paper!$O$7:$O$30,Paper!$A$7:$A$30,A115),SUMIFS(Paper!$N$7:$N$30,Paper!$A$7:$A$30,A115)),MAX(SUMIFS(Paper!$O$7:$O$30,Paper!$A$7:$A$30,A115),SUMIFS(Paper!$N$7:$N$30,Paper!$A$7:$A$30,A115)))+3</f>
        <v>3</v>
      </c>
      <c r="G115" s="2441">
        <f ca="1">IF(A115="N",0,IF(OR(D115=Data!$L$943,D115=Data!$L$944,D115=Data!$L$947,D115=Data!$L$948,D115=Data!$L$949,D115=Data!$L$955,D115=Data!$L$956),ROUNDUP((E115/1000)*$C115,0),(ROUNDUP(($C115*(E115/1000)*(SUMIFS(Data!$P$943:$P$959,Data!$L$943:$L$959,D115)/1000)*SUMIFS(Data!$Q$943:$Q$959,Data!$L$943:$L$959,D115)),0))))</f>
        <v>0</v>
      </c>
      <c r="H115" s="2440" t="str">
        <f ca="1">IF(OR(D115=Data!$L$943,D115=Data!$L$944,D115=Data!$L$947,D115=Data!$L$948,D115=Data!$L$949,D115=Data!$L$955,D115=Data!$L$956),"M2/roll","Kg/roll")</f>
        <v>Kg/roll</v>
      </c>
      <c r="I115" s="967">
        <f ca="1">IF(G115=0,0,SUMIFS(Data!$O$938:$O$958,Data!$L$938:$L$958,D115))</f>
        <v>0</v>
      </c>
      <c r="J115" s="967">
        <f ca="1">IF(C115=0,0,(B115/($C115*1000/F115)))</f>
        <v>0</v>
      </c>
      <c r="K115" s="3716">
        <f ca="1">IF(C115=0,0,ROUNDUP((30/$C115)*OFFSET(Paper!$J$7,R115,0),2))</f>
        <v>0</v>
      </c>
      <c r="L115" s="967">
        <f ca="1">(K115*G115*I115)</f>
        <v>0</v>
      </c>
      <c r="M115" s="967">
        <f ca="1">IF(A115="N",0,I115*ROUNDUP(J115+K115,1)*G115)</f>
        <v>0</v>
      </c>
      <c r="N115" s="967">
        <f t="shared" ca="1" si="88"/>
        <v>0</v>
      </c>
      <c r="O115" s="136" t="str">
        <f ca="1">OFFSET(input!$F$33,Q115,0)</f>
        <v>N</v>
      </c>
      <c r="P115" s="136">
        <f t="shared" ref="P115:Q115" si="96">+P105+17</f>
        <v>177</v>
      </c>
      <c r="Q115" s="136">
        <f t="shared" si="96"/>
        <v>170</v>
      </c>
      <c r="R115" s="136">
        <f t="shared" si="90"/>
        <v>10</v>
      </c>
      <c r="AT115" s="3598">
        <f t="shared" ca="1" si="54"/>
        <v>0</v>
      </c>
      <c r="AU115" s="315">
        <f ca="1">COUNTIFS(AT$7:$AT115,1)</f>
        <v>1</v>
      </c>
    </row>
    <row r="116" spans="1:47" ht="25.5">
      <c r="A116" s="2443" t="str">
        <f ca="1">IF(OR(D115=Data!$L$954,D115=Data!$L$958),A115,"N")</f>
        <v>N</v>
      </c>
      <c r="B116" s="891">
        <f ca="1">IF(A115="N",0,SUMIFS(Paper!$AC$7:$AC$30,Paper!$A$7:$A$30,Coating!A115))</f>
        <v>0</v>
      </c>
      <c r="C116" s="969"/>
      <c r="D116" s="2442" t="str">
        <f ca="1">IF(D115=Data!$L$954,Data!$L$976,Data!$L$977)</f>
        <v>Resin AR 8207B-(for Hologram)</v>
      </c>
      <c r="E116" s="973">
        <f ca="1">SUMIFS(Paper!$N$7:$N$30,Paper!$A$7:$A$30,A115)</f>
        <v>0</v>
      </c>
      <c r="F116" s="967">
        <f ca="1">SUMIFS(Paper!$O$7:$O$30,Paper!$A$7:$A$30,A115)</f>
        <v>0</v>
      </c>
      <c r="G116" s="2441">
        <f ca="1">IF(A116="N",0,ROUNDUP(IF(D116=Data!$L$978,25/(463*686),IF(D116=Data!$L$976,Data!$P$976,Data!$P$977))*E116*F116,1))</f>
        <v>0</v>
      </c>
      <c r="H116" s="971" t="s">
        <v>1114</v>
      </c>
      <c r="I116" s="967">
        <f ca="1">IF(G116=0,0,SUMIFS(Data!$O$976:$O$978,Data!$L$976:$L$978,D116))</f>
        <v>0</v>
      </c>
      <c r="J116" s="967">
        <f ca="1">IF(A116="N",0,ROUNDUP(((B116/10000)*G116),1))</f>
        <v>0</v>
      </c>
      <c r="K116" s="967">
        <f ca="1">IF(G116&gt;0,1,0)*OFFSET(Paper!$J$7,R116,0)</f>
        <v>0</v>
      </c>
      <c r="L116" s="967">
        <f ca="1">K116*I116</f>
        <v>0</v>
      </c>
      <c r="M116" s="967">
        <f ca="1">IF(A116="N",0,I116*(J116+K116))</f>
        <v>0</v>
      </c>
      <c r="N116" s="967">
        <f t="shared" ca="1" si="88"/>
        <v>0</v>
      </c>
      <c r="O116" s="136" t="str">
        <f ca="1">OFFSET(input!$F$33,Q116,0)</f>
        <v>N</v>
      </c>
      <c r="P116" s="136">
        <f t="shared" ref="P116:Q116" si="97">+P106+17</f>
        <v>178</v>
      </c>
      <c r="Q116" s="136">
        <f t="shared" si="97"/>
        <v>170</v>
      </c>
      <c r="R116" s="136">
        <f t="shared" si="90"/>
        <v>10</v>
      </c>
      <c r="AT116" s="3598">
        <f t="shared" ca="1" si="54"/>
        <v>0</v>
      </c>
      <c r="AU116" s="315">
        <f ca="1">COUNTIFS(AT$7:$AT116,1)</f>
        <v>1</v>
      </c>
    </row>
    <row r="117" spans="1:47" ht="15">
      <c r="AT117" s="3598" t="str">
        <f t="shared" si="54"/>
        <v/>
      </c>
      <c r="AU117" s="315">
        <f ca="1">COUNTIFS(AT$7:$AT117,1)</f>
        <v>1</v>
      </c>
    </row>
    <row r="118" spans="1:47" ht="15">
      <c r="A118" s="952" t="str">
        <f ca="1">OFFSET(input!$A$25,Q118,0)</f>
        <v>N</v>
      </c>
      <c r="B118" s="891">
        <f ca="1">IF(A118="N",0,SUMIFS(Paper!$AC$7:$AC$30,Paper!$A$7:$A$30,Coating!A118))</f>
        <v>0</v>
      </c>
      <c r="C118" s="965" t="str">
        <f>input!F$27</f>
        <v>Front Side</v>
      </c>
      <c r="D118" s="966" t="str">
        <f ca="1">OFFSET(input!$E$27,P118,0)</f>
        <v>None</v>
      </c>
      <c r="E118" s="967">
        <f ca="1">SUMIFS(Paper!$N$7:$N$30,Paper!$A$7:$A$30,A118)</f>
        <v>0</v>
      </c>
      <c r="F118" s="967">
        <f ca="1">SUMIFS(Paper!$O$7:$O$30,Paper!$A$7:$A$30,A118)</f>
        <v>0</v>
      </c>
      <c r="G118" s="968">
        <f ca="1">IF(A118="N",0,IF(OFFSET(input!$G$27,P118,0)&gt;0,OFFSET(input!$G$27,P118,0),SUMIFS(Data!$P$913:$P$942,Data!$L$913:$L$942,D118)*E118*F118*IF(AND(C118="Back Side",OR(D118="OPV Wet Hi-Rub",D118="TK Matt Varnished 22493")),2,1)))</f>
        <v>0</v>
      </c>
      <c r="I118" s="967">
        <f ca="1">IF(G118=0,0,IF(OFFSET(input!$H$27,P118,0)&gt;0,OFFSET(input!$H$27,P118,0),SUMIFS(Data!$O$913:$O$942,Data!$L$913:$L$942,D118)))</f>
        <v>0</v>
      </c>
      <c r="J118" s="967">
        <f ca="1">ROUNDUP(IF(G118&gt;0,((B118/10000)*G118),0),1)</f>
        <v>0</v>
      </c>
      <c r="K118" s="967">
        <f ca="1">IF(G118&gt;0,1,0)*OFFSET(Paper!$J$7,R118,0)</f>
        <v>0</v>
      </c>
      <c r="L118" s="967">
        <f ca="1">K118*I118</f>
        <v>0</v>
      </c>
      <c r="M118" s="967">
        <f ca="1">IF(J118=0,0,I118*(J118+K118))</f>
        <v>0</v>
      </c>
      <c r="N118" s="967">
        <f ca="1">IF($D$2&gt;0,M118/($D$2),0)*(1+$N$5)</f>
        <v>0</v>
      </c>
      <c r="O118" s="136" t="str">
        <f ca="1">OFFSET(input!$F$33,Q118,0)</f>
        <v>N</v>
      </c>
      <c r="P118" s="136">
        <f>+P108+17</f>
        <v>187</v>
      </c>
      <c r="Q118" s="136">
        <f>+Q108+17</f>
        <v>187</v>
      </c>
      <c r="R118" s="136">
        <f>+R108+1</f>
        <v>11</v>
      </c>
      <c r="AT118" s="3598">
        <f t="shared" ca="1" si="54"/>
        <v>0</v>
      </c>
      <c r="AU118" s="315">
        <f ca="1">COUNTIFS(AT$7:$AT118,1)</f>
        <v>1</v>
      </c>
    </row>
    <row r="119" spans="1:47" ht="15">
      <c r="A119" s="952" t="str">
        <f ca="1">OFFSET(input!$A$25,Q119,0)</f>
        <v>N</v>
      </c>
      <c r="B119" s="891">
        <f ca="1">IF(A119="N",0,SUMIFS(Paper!$AC$7:$AC$30,Paper!$A$7:$A$30,Coating!A119))</f>
        <v>0</v>
      </c>
      <c r="C119" s="965" t="str">
        <f>input!F$28</f>
        <v>Front Side</v>
      </c>
      <c r="D119" s="966" t="str">
        <f ca="1">OFFSET(input!$E$27,P119,0)</f>
        <v>None</v>
      </c>
      <c r="E119" s="967">
        <f ca="1">SUMIFS(Paper!$N$7:$N$30,Paper!$A$7:$A$30,A119)</f>
        <v>0</v>
      </c>
      <c r="F119" s="967">
        <f ca="1">SUMIFS(Paper!$O$7:$O$30,Paper!$A$7:$A$30,A119)</f>
        <v>0</v>
      </c>
      <c r="G119" s="968">
        <f ca="1">IF(A119="N",0,IF(OFFSET(input!$G$27,P119,0)&gt;0,OFFSET(input!$G$27,P119,0),SUMIFS(Data!$P$913:$P$942,Data!$L$913:$L$942,D119)*E119*F119*IF(AND(C119="Back Side",OR(D119="OPV Wet Hi-Rub",D119="TK Matt Varnished 22493")),2,1)))</f>
        <v>0</v>
      </c>
      <c r="I119" s="967">
        <f ca="1">IF(G119=0,0,IF(OFFSET(input!$H$27,P119,0)&gt;0,OFFSET(input!$H$27,P119,0),SUMIFS(Data!$O$913:$O$942,Data!$L$913:$L$942,D119)))</f>
        <v>0</v>
      </c>
      <c r="J119" s="967">
        <f ca="1">ROUNDUP(IF(G119&gt;0,((B119/10000)*G119),0),1)</f>
        <v>0</v>
      </c>
      <c r="K119" s="967">
        <f ca="1">IF(G119&gt;0,1,0)*OFFSET(Paper!$J$7,R119,0)</f>
        <v>0</v>
      </c>
      <c r="L119" s="967">
        <f ca="1">K119*I119</f>
        <v>0</v>
      </c>
      <c r="M119" s="967">
        <f ca="1">IF(J119=0,0,I119*(J119+K119))</f>
        <v>0</v>
      </c>
      <c r="N119" s="967">
        <f t="shared" ref="N119:N126" ca="1" si="98">IF($D$2&gt;0,M119/($D$2),0)*(1+$N$5)</f>
        <v>0</v>
      </c>
      <c r="O119" s="136" t="str">
        <f ca="1">OFFSET(input!$F$33,Q119,0)</f>
        <v>N</v>
      </c>
      <c r="P119" s="136">
        <f t="shared" ref="P119:Q119" si="99">+P109+17</f>
        <v>188</v>
      </c>
      <c r="Q119" s="136">
        <f t="shared" si="99"/>
        <v>187</v>
      </c>
      <c r="R119" s="136">
        <f t="shared" ref="R119:R126" si="100">+R109+1</f>
        <v>11</v>
      </c>
      <c r="AT119" s="3598">
        <f t="shared" ca="1" si="54"/>
        <v>0</v>
      </c>
      <c r="AU119" s="315">
        <f ca="1">COUNTIFS(AT$7:$AT119,1)</f>
        <v>1</v>
      </c>
    </row>
    <row r="120" spans="1:47" ht="15">
      <c r="A120" s="952" t="str">
        <f ca="1">OFFSET(input!$A$25,Q120,0)</f>
        <v>N</v>
      </c>
      <c r="B120" s="891">
        <f ca="1">IF(A120="N",0,SUMIFS(Paper!$AC$7:$AC$30,Paper!$A$7:$A$30,Coating!A120))</f>
        <v>0</v>
      </c>
      <c r="C120" s="965" t="str">
        <f>input!F$29</f>
        <v>Front Side</v>
      </c>
      <c r="D120" s="966" t="str">
        <f ca="1">OFFSET(input!$E$27,P120,0)</f>
        <v>None</v>
      </c>
      <c r="E120" s="967">
        <f ca="1">SUMIFS(Paper!$N$7:$N$30,Paper!$A$7:$A$30,A120)</f>
        <v>0</v>
      </c>
      <c r="F120" s="967">
        <f ca="1">SUMIFS(Paper!$O$7:$O$30,Paper!$A$7:$A$30,A120)</f>
        <v>0</v>
      </c>
      <c r="G120" s="968">
        <f ca="1">IF(A120="N",0,IF(OFFSET(input!$G$27,P120,0)&gt;0,OFFSET(input!$G$27,P120,0),SUMIFS(Data!$P$913:$P$942,Data!$L$913:$L$942,D120)*E120*F120*IF(AND(C120="Back Side",OR(D120="OPV Wet Hi-Rub",D120="TK Matt Varnished 22493")),2,1)))</f>
        <v>0</v>
      </c>
      <c r="I120" s="967">
        <f ca="1">IF(G120=0,0,IF(OFFSET(input!$H$27,P120,0)&gt;0,OFFSET(input!$H$27,P120,0),SUMIFS(Data!$O$913:$O$942,Data!$L$913:$L$942,D120)))</f>
        <v>0</v>
      </c>
      <c r="J120" s="967">
        <f ca="1">ROUNDUP(IF(G120&gt;0,((B120/10000)*G120),0),1)</f>
        <v>0</v>
      </c>
      <c r="K120" s="967">
        <f ca="1">IF(G120&gt;0,1,0)*OFFSET(Paper!$J$7,R120,0)</f>
        <v>0</v>
      </c>
      <c r="L120" s="967">
        <f ca="1">K120*I120</f>
        <v>0</v>
      </c>
      <c r="M120" s="967">
        <f ca="1">IF(J120=0,0,I120*(J120+K120))</f>
        <v>0</v>
      </c>
      <c r="N120" s="967">
        <f t="shared" ca="1" si="98"/>
        <v>0</v>
      </c>
      <c r="O120" s="136" t="str">
        <f ca="1">OFFSET(input!$F$33,Q120,0)</f>
        <v>N</v>
      </c>
      <c r="P120" s="136">
        <f t="shared" ref="P120:Q120" si="101">+P110+17</f>
        <v>189</v>
      </c>
      <c r="Q120" s="136">
        <f t="shared" si="101"/>
        <v>187</v>
      </c>
      <c r="R120" s="136">
        <f t="shared" si="100"/>
        <v>11</v>
      </c>
      <c r="AT120" s="3598">
        <f t="shared" ca="1" si="54"/>
        <v>0</v>
      </c>
      <c r="AU120" s="315">
        <f ca="1">COUNTIFS(AT$7:$AT120,1)</f>
        <v>1</v>
      </c>
    </row>
    <row r="121" spans="1:47" ht="15">
      <c r="A121" s="952" t="str">
        <f ca="1">OFFSET(input!$A$25,Q121,0)</f>
        <v>N</v>
      </c>
      <c r="B121" s="891">
        <f ca="1">IF(A121="N",0,SUMIFS(Paper!$AC$7:$AC$30,Paper!$A$7:$A$30,Coating!A121))</f>
        <v>0</v>
      </c>
      <c r="C121" s="965" t="str">
        <f>input!F$30</f>
        <v>Front Side</v>
      </c>
      <c r="D121" s="966" t="str">
        <f ca="1">OFFSET(input!$E$27,P121,0)</f>
        <v>None</v>
      </c>
      <c r="E121" s="967">
        <f ca="1">SUMIFS(Paper!$N$7:$N$30,Paper!$A$7:$A$30,A121)</f>
        <v>0</v>
      </c>
      <c r="F121" s="967">
        <f ca="1">SUMIFS(Paper!$O$7:$O$30,Paper!$A$7:$A$30,A121)</f>
        <v>0</v>
      </c>
      <c r="G121" s="968">
        <f ca="1">IF(A121="N",0,IF(OFFSET(input!$G$27,P121,0)&gt;0,OFFSET(input!$G$27,P121,0),SUMIFS(Data!$P$913:$P$942,Data!$L$913:$L$942,D121)*E121*F121*IF(AND(C121="Back Side",OR(D121="OPV Wet Hi-Rub",D121="TK Matt Varnished 22493")),2,1)))</f>
        <v>0</v>
      </c>
      <c r="I121" s="967">
        <f ca="1">IF(G121=0,0,IF(OFFSET(input!$H$27,P121,0)&gt;0,OFFSET(input!$H$27,P121,0),SUMIFS(Data!$O$913:$O$942,Data!$L$913:$L$942,D121)))</f>
        <v>0</v>
      </c>
      <c r="J121" s="967">
        <f ca="1">ROUNDUP(IF(G121&gt;0,((B121/10000)*G121),0),1)</f>
        <v>0</v>
      </c>
      <c r="K121" s="967">
        <f ca="1">IF(G121&gt;0,1,0)*OFFSET(Paper!$J$7,R121,0)</f>
        <v>0</v>
      </c>
      <c r="L121" s="967">
        <f ca="1">K121*I121</f>
        <v>0</v>
      </c>
      <c r="M121" s="967">
        <f ca="1">IF(J121=0,0,I121*(J121+K121))</f>
        <v>0</v>
      </c>
      <c r="N121" s="967">
        <f t="shared" ca="1" si="98"/>
        <v>0</v>
      </c>
      <c r="O121" s="136" t="str">
        <f ca="1">OFFSET(input!$F$33,Q121,0)</f>
        <v>N</v>
      </c>
      <c r="P121" s="136">
        <f t="shared" ref="P121:Q121" si="102">+P111+17</f>
        <v>190</v>
      </c>
      <c r="Q121" s="136">
        <f t="shared" si="102"/>
        <v>187</v>
      </c>
      <c r="R121" s="136">
        <f t="shared" si="100"/>
        <v>11</v>
      </c>
      <c r="AT121" s="3598">
        <f t="shared" ca="1" si="54"/>
        <v>0</v>
      </c>
      <c r="AU121" s="315">
        <f ca="1">COUNTIFS(AT$7:$AT121,1)</f>
        <v>1</v>
      </c>
    </row>
    <row r="122" spans="1:47" ht="15">
      <c r="A122" s="952" t="str">
        <f ca="1">OFFSET(input!$A$25,Q122,0)</f>
        <v>N</v>
      </c>
      <c r="B122" s="891">
        <f ca="1">IF(A122="N",0,SUMIFS(Paper!$AC$7:$AC$30,Paper!$A$7:$A$30,Coating!A122))</f>
        <v>0</v>
      </c>
      <c r="C122" s="965" t="str">
        <f>input!F$31</f>
        <v>Front Side</v>
      </c>
      <c r="D122" s="966" t="str">
        <f ca="1">OFFSET(input!$E$27,P122,0)</f>
        <v>None</v>
      </c>
      <c r="E122" s="967">
        <f ca="1">SUMIFS(Paper!$N$7:$N$30,Paper!$A$7:$A$30,A122)</f>
        <v>0</v>
      </c>
      <c r="F122" s="967">
        <f ca="1">SUMIFS(Paper!$O$7:$O$30,Paper!$A$7:$A$30,A122)</f>
        <v>0</v>
      </c>
      <c r="G122" s="968">
        <f ca="1">IF(A122="N",0,IF(OFFSET(input!$G$27,P122,0)&gt;0,OFFSET(input!$G$27,P122,0),SUMIFS(Data!$P$913:$P$942,Data!$L$913:$L$942,D122)*E122*F122*IF(AND(C122="Back Side",OR(D122="OPV Wet Hi-Rub",D122="TK Matt Varnished 22493")),2,1)))</f>
        <v>0</v>
      </c>
      <c r="I122" s="967">
        <f ca="1">IF(G122=0,0,IF(OFFSET(input!$H$27,P122,0)&gt;0,OFFSET(input!$H$27,P122,0),SUMIFS(Data!$O$913:$O$942,Data!$L$913:$L$942,D122)))</f>
        <v>0</v>
      </c>
      <c r="J122" s="967">
        <f ca="1">ROUNDUP(IF(G122&gt;0,((B122/10000)*G122),0),1)</f>
        <v>0</v>
      </c>
      <c r="K122" s="967">
        <f ca="1">IF(G122&gt;0,1,0)*OFFSET(Paper!$J$7,R122,0)</f>
        <v>0</v>
      </c>
      <c r="L122" s="967">
        <f ca="1">K122*I122</f>
        <v>0</v>
      </c>
      <c r="M122" s="967">
        <f ca="1">IF(J122=0,0,I122*(J122+K122))</f>
        <v>0</v>
      </c>
      <c r="N122" s="967">
        <f t="shared" ca="1" si="98"/>
        <v>0</v>
      </c>
      <c r="O122" s="136" t="str">
        <f ca="1">OFFSET(input!$F$33,Q122,0)</f>
        <v>N</v>
      </c>
      <c r="P122" s="136">
        <f t="shared" ref="P122:Q122" si="103">+P112+17</f>
        <v>191</v>
      </c>
      <c r="Q122" s="136">
        <f t="shared" si="103"/>
        <v>187</v>
      </c>
      <c r="R122" s="136">
        <f t="shared" si="100"/>
        <v>11</v>
      </c>
      <c r="AT122" s="3598">
        <f t="shared" ca="1" si="54"/>
        <v>0</v>
      </c>
      <c r="AU122" s="315">
        <f ca="1">COUNTIFS(AT$7:$AT122,1)</f>
        <v>1</v>
      </c>
    </row>
    <row r="123" spans="1:47" ht="15">
      <c r="A123" s="952" t="str">
        <f ca="1">OFFSET(input!$A$25,Q123,0)</f>
        <v>N</v>
      </c>
      <c r="B123" s="891">
        <f ca="1">IF(A123="N",0,SUMIFS(Paper!$AC$7:$AC$30,Paper!$A$7:$A$30,Coating!A123))</f>
        <v>0</v>
      </c>
      <c r="C123" s="969">
        <f ca="1">SUMIFS(Data!$M$943:$M$959,Data!$L$943:$L$959,D123)</f>
        <v>0</v>
      </c>
      <c r="D123" s="970" t="str">
        <f ca="1">OFFSET(input!$J$27,P118,0)</f>
        <v>None</v>
      </c>
      <c r="E123" s="967">
        <f ca="1">IF(OFFSET(input!$K$27,P118,0)&gt;0,OFFSET(input!$K$27,P118,0),IF(OFFSET(input!$L$27,P118,0)="min",MAX(SUMIFS(Paper!$O$7:$O$30,Paper!$A$7:$A$30,A123),SUMIFS(Paper!$N$7:$N$30,Paper!$A$7:$A$30,A123)),MIN(SUMIFS(Paper!$O$7:$O$30,Paper!$A$7:$A$30,A123),SUMIFS(Paper!$N$7:$N$30,Paper!$A$7:$A$30,A123)))+2)</f>
        <v>50</v>
      </c>
      <c r="F123" s="967">
        <f ca="1">IF(OFFSET(input!$L$27,P118,0)="min",MIN(SUMIFS(Paper!$O$7:$O$30,Paper!$A$7:$A$30,A123),SUMIFS(Paper!$N$7:$N$30,Paper!$A$7:$A$30,A123)),MAX(SUMIFS(Paper!$O$7:$O$30,Paper!$A$7:$A$30,A123),SUMIFS(Paper!$N$7:$N$30,Paper!$A$7:$A$30,A123)))+3</f>
        <v>3</v>
      </c>
      <c r="G123" s="2441">
        <f ca="1">IF(A123="N",0,IF(OR(D123=Data!$L$943,D123=Data!$L$944,D123=Data!$L$947,D123=Data!$L$948,D123=Data!$L$949,D123=Data!$L$955,D123=Data!$L$956),ROUNDUP((E123/1000)*$C123,0),(ROUNDUP(($C123*(E123/1000)*(SUMIFS(Data!$P$943:$P$959,Data!$L$943:$L$959,D123)/1000)*SUMIFS(Data!$Q$943:$Q$959,Data!$L$943:$L$959,D123)),0))))</f>
        <v>0</v>
      </c>
      <c r="H123" s="2440" t="str">
        <f ca="1">IF(OR(D123=Data!$L$943,D123=Data!$L$944,D123=Data!$L$947,D123=Data!$L$948,D123=Data!$L$949,D123=Data!$L$955,D123=Data!$L$956),"M2/roll","Kg/roll")</f>
        <v>Kg/roll</v>
      </c>
      <c r="I123" s="967">
        <f ca="1">IF(G123=0,0,SUMIFS(Data!$O$938:$O$958,Data!$L$938:$L$958,D123))</f>
        <v>0</v>
      </c>
      <c r="J123" s="972">
        <f ca="1">IF(C123=0,0,(B123/($C123*1000/F123)))</f>
        <v>0</v>
      </c>
      <c r="K123" s="3716">
        <f ca="1">IF(C123=0,0,ROUNDUP((30/$C123)*OFFSET(Paper!$J$7,R123,0),2))</f>
        <v>0</v>
      </c>
      <c r="L123" s="967">
        <f ca="1">(K123*G123*I123)</f>
        <v>0</v>
      </c>
      <c r="M123" s="967">
        <f ca="1">IF(A123="N",0,I123*ROUNDUP(J123+K123,1)*G123)</f>
        <v>0</v>
      </c>
      <c r="N123" s="967">
        <f t="shared" ca="1" si="98"/>
        <v>0</v>
      </c>
      <c r="O123" s="136" t="str">
        <f ca="1">OFFSET(input!$F$33,Q123,0)</f>
        <v>N</v>
      </c>
      <c r="P123" s="136">
        <f t="shared" ref="P123:Q123" si="104">+P113+17</f>
        <v>192</v>
      </c>
      <c r="Q123" s="136">
        <f t="shared" si="104"/>
        <v>187</v>
      </c>
      <c r="R123" s="136">
        <f t="shared" si="100"/>
        <v>11</v>
      </c>
      <c r="AT123" s="3598">
        <f t="shared" ca="1" si="54"/>
        <v>0</v>
      </c>
      <c r="AU123" s="315">
        <f ca="1">COUNTIFS(AT$7:$AT123,1)</f>
        <v>1</v>
      </c>
    </row>
    <row r="124" spans="1:47" ht="25.5">
      <c r="A124" s="2443" t="str">
        <f ca="1">IF(OR(D123=Data!$L$954,D123=Data!$L$958),A123,"N")</f>
        <v>N</v>
      </c>
      <c r="B124" s="891">
        <f ca="1">IF(A123="N",0,SUMIFS(Paper!$AC$7:$AC$30,Paper!$A$7:$A$30,Coating!A123))</f>
        <v>0</v>
      </c>
      <c r="C124" s="969"/>
      <c r="D124" s="2442" t="str">
        <f ca="1">IF(D123=Data!$L$954,Data!$L$976,Data!$L$977)</f>
        <v>Resin AR 8207B-(for Hologram)</v>
      </c>
      <c r="E124" s="973">
        <f ca="1">SUMIFS(Paper!$N$7:$N$30,Paper!$A$7:$A$30,A123)</f>
        <v>0</v>
      </c>
      <c r="F124" s="967">
        <f ca="1">SUMIFS(Paper!$O$7:$O$30,Paper!$A$7:$A$30,A123)</f>
        <v>0</v>
      </c>
      <c r="G124" s="2441">
        <f ca="1">IF(A124="N",0,ROUNDUP(IF(D124=Data!$L$978,25/(463*686),IF(D124=Data!$L$976,Data!$P$976,Data!$P$977))*E124*F124,1))</f>
        <v>0</v>
      </c>
      <c r="H124" s="971" t="s">
        <v>1114</v>
      </c>
      <c r="I124" s="967">
        <f ca="1">IF(G124=0,0,SUMIFS(Data!$O$976:$O$978,Data!$L$976:$L$978,D124))</f>
        <v>0</v>
      </c>
      <c r="J124" s="967">
        <f ca="1">IF(A124="N",0,ROUNDUP(((B124/10000)*G124),1))</f>
        <v>0</v>
      </c>
      <c r="K124" s="967">
        <f ca="1">IF(G124&gt;0,1,0)*OFFSET(Paper!$J$7,R124,0)</f>
        <v>0</v>
      </c>
      <c r="L124" s="967">
        <f ca="1">K124*I124</f>
        <v>0</v>
      </c>
      <c r="M124" s="967">
        <f ca="1">IF(A124="N",0,I124*(J124+K124))</f>
        <v>0</v>
      </c>
      <c r="N124" s="967">
        <f t="shared" ca="1" si="98"/>
        <v>0</v>
      </c>
      <c r="O124" s="136" t="str">
        <f ca="1">OFFSET(input!$F$33,Q124,0)</f>
        <v>N</v>
      </c>
      <c r="P124" s="136">
        <f t="shared" ref="P124:Q124" si="105">+P114+17</f>
        <v>193</v>
      </c>
      <c r="Q124" s="136">
        <f t="shared" si="105"/>
        <v>187</v>
      </c>
      <c r="R124" s="136">
        <f t="shared" si="100"/>
        <v>11</v>
      </c>
      <c r="AT124" s="3598">
        <f t="shared" ca="1" si="54"/>
        <v>0</v>
      </c>
      <c r="AU124" s="315">
        <f ca="1">COUNTIFS(AT$7:$AT124,1)</f>
        <v>1</v>
      </c>
    </row>
    <row r="125" spans="1:47" ht="15">
      <c r="A125" s="952" t="str">
        <f ca="1">OFFSET(input!$A$25,Q125,0)</f>
        <v>N</v>
      </c>
      <c r="B125" s="891">
        <f ca="1">IF(A125="N",0,SUMIFS(Paper!$AC$7:$AC$30,Paper!$A$7:$A$30,Coating!A125))</f>
        <v>0</v>
      </c>
      <c r="C125" s="969">
        <f ca="1">SUMIFS(Data!$M$943:$M$959,Data!$L$943:$L$959,D125)</f>
        <v>0</v>
      </c>
      <c r="D125" s="970" t="str">
        <f ca="1">OFFSET(input!$J$27,P119,0)</f>
        <v>None</v>
      </c>
      <c r="E125" s="967">
        <f ca="1">IF(OFFSET(input!$K$27,P119,0)&gt;0,OFFSET(input!$K$27,P119,0),IF(OFFSET(input!$L$27,P119,0)="min",MAX(SUMIFS(Paper!$O$7:$O$30,Paper!$A$7:$A$30,A125),SUMIFS(Paper!$N$7:$N$30,Paper!$A$7:$A$30,A125)),MIN(SUMIFS(Paper!$O$7:$O$30,Paper!$A$7:$A$30,A125),SUMIFS(Paper!$N$7:$N$30,Paper!$A$7:$A$30,A125)))+2)</f>
        <v>2</v>
      </c>
      <c r="F125" s="967">
        <f ca="1">IF(OFFSET(input!$L$27,P119,0)="min",MIN(SUMIFS(Paper!$O$7:$O$30,Paper!$A$7:$A$30,A125),SUMIFS(Paper!$N$7:$N$30,Paper!$A$7:$A$30,A125)),MAX(SUMIFS(Paper!$O$7:$O$30,Paper!$A$7:$A$30,A125),SUMIFS(Paper!$N$7:$N$30,Paper!$A$7:$A$30,A125)))+3</f>
        <v>3</v>
      </c>
      <c r="G125" s="2441">
        <f ca="1">IF(A125="N",0,IF(OR(D125=Data!$L$943,D125=Data!$L$944,D125=Data!$L$947,D125=Data!$L$948,D125=Data!$L$949,D125=Data!$L$955,D125=Data!$L$956),ROUNDUP((E125/1000)*$C125,0),(ROUNDUP(($C125*(E125/1000)*(SUMIFS(Data!$P$943:$P$959,Data!$L$943:$L$959,D125)/1000)*SUMIFS(Data!$Q$943:$Q$959,Data!$L$943:$L$959,D125)),0))))</f>
        <v>0</v>
      </c>
      <c r="H125" s="2440" t="str">
        <f ca="1">IF(OR(D125=Data!$L$943,D125=Data!$L$944,D125=Data!$L$947,D125=Data!$L$948,D125=Data!$L$949,D125=Data!$L$955,D125=Data!$L$956),"M2/roll","Kg/roll")</f>
        <v>Kg/roll</v>
      </c>
      <c r="I125" s="967">
        <f ca="1">IF(G125=0,0,SUMIFS(Data!$O$938:$O$958,Data!$L$938:$L$958,D125))</f>
        <v>0</v>
      </c>
      <c r="J125" s="967">
        <f ca="1">IF(C125=0,0,(B125/($C125*1000/F125)))</f>
        <v>0</v>
      </c>
      <c r="K125" s="3716">
        <f ca="1">IF(C125=0,0,ROUNDUP((30/$C125)*OFFSET(Paper!$J$7,R125,0),2))</f>
        <v>0</v>
      </c>
      <c r="L125" s="967">
        <f ca="1">(K125*G125*I125)</f>
        <v>0</v>
      </c>
      <c r="M125" s="967">
        <f ca="1">IF(A125="N",0,I125*ROUNDUP(J125+K125,1)*G125)</f>
        <v>0</v>
      </c>
      <c r="N125" s="967">
        <f t="shared" ca="1" si="98"/>
        <v>0</v>
      </c>
      <c r="O125" s="136" t="str">
        <f ca="1">OFFSET(input!$F$33,Q125,0)</f>
        <v>N</v>
      </c>
      <c r="P125" s="136">
        <f t="shared" ref="P125:Q125" si="106">+P115+17</f>
        <v>194</v>
      </c>
      <c r="Q125" s="136">
        <f t="shared" si="106"/>
        <v>187</v>
      </c>
      <c r="R125" s="136">
        <f t="shared" si="100"/>
        <v>11</v>
      </c>
      <c r="AT125" s="3598">
        <f t="shared" ca="1" si="54"/>
        <v>0</v>
      </c>
      <c r="AU125" s="315">
        <f ca="1">COUNTIFS(AT$7:$AT125,1)</f>
        <v>1</v>
      </c>
    </row>
    <row r="126" spans="1:47" ht="25.5">
      <c r="A126" s="2443" t="str">
        <f ca="1">IF(OR(D125=Data!$L$954,D125=Data!$L$958),A125,"N")</f>
        <v>N</v>
      </c>
      <c r="B126" s="891">
        <f ca="1">IF(A125="N",0,SUMIFS(Paper!$AC$7:$AC$30,Paper!$A$7:$A$30,Coating!A125))</f>
        <v>0</v>
      </c>
      <c r="C126" s="969"/>
      <c r="D126" s="2442" t="str">
        <f ca="1">IF(D125=Data!$L$954,Data!$L$976,Data!$L$977)</f>
        <v>Resin AR 8207B-(for Hologram)</v>
      </c>
      <c r="E126" s="973">
        <f ca="1">SUMIFS(Paper!$N$7:$N$30,Paper!$A$7:$A$30,A125)</f>
        <v>0</v>
      </c>
      <c r="F126" s="967">
        <f ca="1">SUMIFS(Paper!$O$7:$O$30,Paper!$A$7:$A$30,A125)</f>
        <v>0</v>
      </c>
      <c r="G126" s="2441">
        <f ca="1">IF(A126="N",0,ROUNDUP(IF(D126=Data!$L$978,25/(463*686),IF(D126=Data!$L$976,Data!$P$976,Data!$P$977))*E126*F126,1))</f>
        <v>0</v>
      </c>
      <c r="H126" s="971" t="s">
        <v>1114</v>
      </c>
      <c r="I126" s="967">
        <f ca="1">IF(G126=0,0,SUMIFS(Data!$O$976:$O$978,Data!$L$976:$L$978,D126))</f>
        <v>0</v>
      </c>
      <c r="J126" s="967">
        <f ca="1">IF(A126="N",0,ROUNDUP(((B126/10000)*G126),1))</f>
        <v>0</v>
      </c>
      <c r="K126" s="967">
        <f ca="1">IF(G126&gt;0,1,0)*OFFSET(Paper!$J$7,R126,0)</f>
        <v>0</v>
      </c>
      <c r="L126" s="967">
        <f ca="1">K126*I126</f>
        <v>0</v>
      </c>
      <c r="M126" s="967">
        <f ca="1">IF(A126="N",0,I126*(J126+K126))</f>
        <v>0</v>
      </c>
      <c r="N126" s="967">
        <f t="shared" ca="1" si="98"/>
        <v>0</v>
      </c>
      <c r="O126" s="136" t="str">
        <f ca="1">OFFSET(input!$F$33,Q126,0)</f>
        <v>N</v>
      </c>
      <c r="P126" s="136">
        <f t="shared" ref="P126:Q126" si="107">+P116+17</f>
        <v>195</v>
      </c>
      <c r="Q126" s="136">
        <f t="shared" si="107"/>
        <v>187</v>
      </c>
      <c r="R126" s="136">
        <f t="shared" si="100"/>
        <v>11</v>
      </c>
      <c r="AT126" s="3598">
        <f t="shared" ca="1" si="54"/>
        <v>0</v>
      </c>
      <c r="AU126" s="315">
        <f ca="1">COUNTIFS(AT$7:$AT126,1)</f>
        <v>1</v>
      </c>
    </row>
    <row r="127" spans="1:47" ht="15">
      <c r="AT127" s="3598" t="str">
        <f t="shared" si="54"/>
        <v/>
      </c>
      <c r="AU127" s="315">
        <f ca="1">COUNTIFS(AT$7:$AT127,1)</f>
        <v>1</v>
      </c>
    </row>
    <row r="128" spans="1:47" ht="15">
      <c r="A128" s="952" t="str">
        <f ca="1">OFFSET(input!$A$25,Q128,0)</f>
        <v>N</v>
      </c>
      <c r="B128" s="891">
        <f ca="1">IF(A128="N",0,SUMIFS(Paper!$AC$7:$AC$30,Paper!$A$7:$A$30,Coating!A128))</f>
        <v>0</v>
      </c>
      <c r="C128" s="965" t="str">
        <f>input!F$27</f>
        <v>Front Side</v>
      </c>
      <c r="D128" s="966" t="str">
        <f ca="1">OFFSET(input!$E$27,P128,0)</f>
        <v>None</v>
      </c>
      <c r="E128" s="967">
        <f ca="1">SUMIFS(Paper!$N$7:$N$30,Paper!$A$7:$A$30,A128)</f>
        <v>0</v>
      </c>
      <c r="F128" s="967">
        <f ca="1">SUMIFS(Paper!$O$7:$O$30,Paper!$A$7:$A$30,A128)</f>
        <v>0</v>
      </c>
      <c r="G128" s="968">
        <f ca="1">IF(A128="N",0,IF(OFFSET(input!$G$27,P128,0)&gt;0,OFFSET(input!$G$27,P128,0),SUMIFS(Data!$P$913:$P$942,Data!$L$913:$L$942,D128)*E128*F128*IF(AND(C128="Back Side",OR(D128="OPV Wet Hi-Rub",D128="TK Matt Varnished 22493")),2,1)))</f>
        <v>0</v>
      </c>
      <c r="I128" s="967">
        <f ca="1">IF(G128=0,0,IF(OFFSET(input!$H$27,P128,0)&gt;0,OFFSET(input!$H$27,P128,0),SUMIFS(Data!$O$913:$O$942,Data!$L$913:$L$942,D128)))</f>
        <v>0</v>
      </c>
      <c r="J128" s="967">
        <f ca="1">ROUNDUP(IF(G128&gt;0,((B128/10000)*G128),0),1)</f>
        <v>0</v>
      </c>
      <c r="K128" s="967">
        <f ca="1">IF(G128&gt;0,1,0)*OFFSET(Paper!$J$7,R128,0)</f>
        <v>0</v>
      </c>
      <c r="L128" s="967">
        <f ca="1">K128*I128</f>
        <v>0</v>
      </c>
      <c r="M128" s="967">
        <f ca="1">IF(J128=0,0,I128*(J128+K128))</f>
        <v>0</v>
      </c>
      <c r="N128" s="967">
        <f ca="1">IF($D$2&gt;0,M128/($D$2),0)*(1+$N$5)</f>
        <v>0</v>
      </c>
      <c r="O128" s="136" t="str">
        <f ca="1">OFFSET(input!$F$33,Q128,0)</f>
        <v>N</v>
      </c>
      <c r="P128" s="136">
        <f>+P118+17</f>
        <v>204</v>
      </c>
      <c r="Q128" s="136">
        <f>+Q118+17</f>
        <v>204</v>
      </c>
      <c r="R128" s="136">
        <f>+R118+1</f>
        <v>12</v>
      </c>
      <c r="AT128" s="3598">
        <f t="shared" ca="1" si="54"/>
        <v>0</v>
      </c>
      <c r="AU128" s="315">
        <f ca="1">COUNTIFS(AT$7:$AT128,1)</f>
        <v>1</v>
      </c>
    </row>
    <row r="129" spans="1:47" ht="15">
      <c r="A129" s="952" t="str">
        <f ca="1">OFFSET(input!$A$25,Q129,0)</f>
        <v>N</v>
      </c>
      <c r="B129" s="891">
        <f ca="1">IF(A129="N",0,SUMIFS(Paper!$AC$7:$AC$30,Paper!$A$7:$A$30,Coating!A129))</f>
        <v>0</v>
      </c>
      <c r="C129" s="965" t="str">
        <f>input!F$28</f>
        <v>Front Side</v>
      </c>
      <c r="D129" s="966" t="str">
        <f ca="1">OFFSET(input!$E$27,P129,0)</f>
        <v>None</v>
      </c>
      <c r="E129" s="967">
        <f ca="1">SUMIFS(Paper!$N$7:$N$30,Paper!$A$7:$A$30,A129)</f>
        <v>0</v>
      </c>
      <c r="F129" s="967">
        <f ca="1">SUMIFS(Paper!$O$7:$O$30,Paper!$A$7:$A$30,A129)</f>
        <v>0</v>
      </c>
      <c r="G129" s="968">
        <f ca="1">IF(A129="N",0,IF(OFFSET(input!$G$27,P129,0)&gt;0,OFFSET(input!$G$27,P129,0),SUMIFS(Data!$P$913:$P$942,Data!$L$913:$L$942,D129)*E129*F129*IF(AND(C129="Back Side",OR(D129="OPV Wet Hi-Rub",D129="TK Matt Varnished 22493")),2,1)))</f>
        <v>0</v>
      </c>
      <c r="I129" s="967">
        <f ca="1">IF(G129=0,0,IF(OFFSET(input!$H$27,P129,0)&gt;0,OFFSET(input!$H$27,P129,0),SUMIFS(Data!$O$913:$O$942,Data!$L$913:$L$942,D129)))</f>
        <v>0</v>
      </c>
      <c r="J129" s="967">
        <f ca="1">ROUNDUP(IF(G129&gt;0,((B129/10000)*G129),0),1)</f>
        <v>0</v>
      </c>
      <c r="K129" s="967">
        <f ca="1">IF(G129&gt;0,1,0)*OFFSET(Paper!$J$7,R129,0)</f>
        <v>0</v>
      </c>
      <c r="L129" s="967">
        <f ca="1">K129*I129</f>
        <v>0</v>
      </c>
      <c r="M129" s="967">
        <f ca="1">IF(J129=0,0,I129*(J129+K129))</f>
        <v>0</v>
      </c>
      <c r="N129" s="967">
        <f t="shared" ref="N129:N136" ca="1" si="108">IF($D$2&gt;0,M129/($D$2),0)*(1+$N$5)</f>
        <v>0</v>
      </c>
      <c r="O129" s="136" t="str">
        <f ca="1">OFFSET(input!$F$33,Q129,0)</f>
        <v>N</v>
      </c>
      <c r="P129" s="136">
        <f t="shared" ref="P129:Q129" si="109">+P119+17</f>
        <v>205</v>
      </c>
      <c r="Q129" s="136">
        <f t="shared" si="109"/>
        <v>204</v>
      </c>
      <c r="R129" s="136">
        <f t="shared" ref="R129:R136" si="110">+R119+1</f>
        <v>12</v>
      </c>
      <c r="AT129" s="3598">
        <f t="shared" ca="1" si="54"/>
        <v>0</v>
      </c>
      <c r="AU129" s="315">
        <f ca="1">COUNTIFS(AT$7:$AT129,1)</f>
        <v>1</v>
      </c>
    </row>
    <row r="130" spans="1:47" ht="15">
      <c r="A130" s="952" t="str">
        <f ca="1">OFFSET(input!$A$25,Q130,0)</f>
        <v>N</v>
      </c>
      <c r="B130" s="891">
        <f ca="1">IF(A130="N",0,SUMIFS(Paper!$AC$7:$AC$30,Paper!$A$7:$A$30,Coating!A130))</f>
        <v>0</v>
      </c>
      <c r="C130" s="965" t="str">
        <f>input!F$29</f>
        <v>Front Side</v>
      </c>
      <c r="D130" s="966" t="str">
        <f ca="1">OFFSET(input!$E$27,P130,0)</f>
        <v>None</v>
      </c>
      <c r="E130" s="967">
        <f ca="1">SUMIFS(Paper!$N$7:$N$30,Paper!$A$7:$A$30,A130)</f>
        <v>0</v>
      </c>
      <c r="F130" s="967">
        <f ca="1">SUMIFS(Paper!$O$7:$O$30,Paper!$A$7:$A$30,A130)</f>
        <v>0</v>
      </c>
      <c r="G130" s="968">
        <f ca="1">IF(A130="N",0,IF(OFFSET(input!$G$27,P130,0)&gt;0,OFFSET(input!$G$27,P130,0),SUMIFS(Data!$P$913:$P$942,Data!$L$913:$L$942,D130)*E130*F130*IF(AND(C130="Back Side",OR(D130="OPV Wet Hi-Rub",D130="TK Matt Varnished 22493")),2,1)))</f>
        <v>0</v>
      </c>
      <c r="I130" s="967">
        <f ca="1">IF(G130=0,0,IF(OFFSET(input!$H$27,P130,0)&gt;0,OFFSET(input!$H$27,P130,0),SUMIFS(Data!$O$913:$O$942,Data!$L$913:$L$942,D130)))</f>
        <v>0</v>
      </c>
      <c r="J130" s="967">
        <f ca="1">ROUNDUP(IF(G130&gt;0,((B130/10000)*G130),0),1)</f>
        <v>0</v>
      </c>
      <c r="K130" s="967">
        <f ca="1">IF(G130&gt;0,1,0)*OFFSET(Paper!$J$7,R130,0)</f>
        <v>0</v>
      </c>
      <c r="L130" s="967">
        <f ca="1">K130*I130</f>
        <v>0</v>
      </c>
      <c r="M130" s="967">
        <f ca="1">IF(J130=0,0,I130*(J130+K130))</f>
        <v>0</v>
      </c>
      <c r="N130" s="967">
        <f t="shared" ca="1" si="108"/>
        <v>0</v>
      </c>
      <c r="O130" s="136" t="str">
        <f ca="1">OFFSET(input!$F$33,Q130,0)</f>
        <v>N</v>
      </c>
      <c r="P130" s="136">
        <f t="shared" ref="P130:Q130" si="111">+P120+17</f>
        <v>206</v>
      </c>
      <c r="Q130" s="136">
        <f t="shared" si="111"/>
        <v>204</v>
      </c>
      <c r="R130" s="136">
        <f t="shared" si="110"/>
        <v>12</v>
      </c>
      <c r="AT130" s="3598">
        <f t="shared" ca="1" si="54"/>
        <v>0</v>
      </c>
      <c r="AU130" s="315">
        <f ca="1">COUNTIFS(AT$7:$AT130,1)</f>
        <v>1</v>
      </c>
    </row>
    <row r="131" spans="1:47" ht="15">
      <c r="A131" s="952" t="str">
        <f ca="1">OFFSET(input!$A$25,Q131,0)</f>
        <v>N</v>
      </c>
      <c r="B131" s="891">
        <f ca="1">IF(A131="N",0,SUMIFS(Paper!$AC$7:$AC$30,Paper!$A$7:$A$30,Coating!A131))</f>
        <v>0</v>
      </c>
      <c r="C131" s="965" t="str">
        <f>input!F$30</f>
        <v>Front Side</v>
      </c>
      <c r="D131" s="966" t="str">
        <f ca="1">OFFSET(input!$E$27,P131,0)</f>
        <v>None</v>
      </c>
      <c r="E131" s="967">
        <f ca="1">SUMIFS(Paper!$N$7:$N$30,Paper!$A$7:$A$30,A131)</f>
        <v>0</v>
      </c>
      <c r="F131" s="967">
        <f ca="1">SUMIFS(Paper!$O$7:$O$30,Paper!$A$7:$A$30,A131)</f>
        <v>0</v>
      </c>
      <c r="G131" s="968">
        <f ca="1">IF(A131="N",0,IF(OFFSET(input!$G$27,P131,0)&gt;0,OFFSET(input!$G$27,P131,0),SUMIFS(Data!$P$913:$P$942,Data!$L$913:$L$942,D131)*E131*F131*IF(AND(C131="Back Side",OR(D131="OPV Wet Hi-Rub",D131="TK Matt Varnished 22493")),2,1)))</f>
        <v>0</v>
      </c>
      <c r="I131" s="967">
        <f ca="1">IF(G131=0,0,IF(OFFSET(input!$H$27,P131,0)&gt;0,OFFSET(input!$H$27,P131,0),SUMIFS(Data!$O$913:$O$942,Data!$L$913:$L$942,D131)))</f>
        <v>0</v>
      </c>
      <c r="J131" s="967">
        <f ca="1">ROUNDUP(IF(G131&gt;0,((B131/10000)*G131),0),1)</f>
        <v>0</v>
      </c>
      <c r="K131" s="967">
        <f ca="1">IF(G131&gt;0,1,0)*OFFSET(Paper!$J$7,R131,0)</f>
        <v>0</v>
      </c>
      <c r="L131" s="967">
        <f ca="1">K131*I131</f>
        <v>0</v>
      </c>
      <c r="M131" s="967">
        <f ca="1">IF(J131=0,0,I131*(J131+K131))</f>
        <v>0</v>
      </c>
      <c r="N131" s="967">
        <f t="shared" ca="1" si="108"/>
        <v>0</v>
      </c>
      <c r="O131" s="136" t="str">
        <f ca="1">OFFSET(input!$F$33,Q131,0)</f>
        <v>N</v>
      </c>
      <c r="P131" s="136">
        <f t="shared" ref="P131:Q131" si="112">+P121+17</f>
        <v>207</v>
      </c>
      <c r="Q131" s="136">
        <f t="shared" si="112"/>
        <v>204</v>
      </c>
      <c r="R131" s="136">
        <f t="shared" si="110"/>
        <v>12</v>
      </c>
      <c r="AT131" s="3598">
        <f t="shared" ca="1" si="54"/>
        <v>0</v>
      </c>
      <c r="AU131" s="315">
        <f ca="1">COUNTIFS(AT$7:$AT131,1)</f>
        <v>1</v>
      </c>
    </row>
    <row r="132" spans="1:47" ht="15">
      <c r="A132" s="952" t="str">
        <f ca="1">OFFSET(input!$A$25,Q132,0)</f>
        <v>N</v>
      </c>
      <c r="B132" s="891">
        <f ca="1">IF(A132="N",0,SUMIFS(Paper!$AC$7:$AC$30,Paper!$A$7:$A$30,Coating!A132))</f>
        <v>0</v>
      </c>
      <c r="C132" s="965" t="str">
        <f>input!F$31</f>
        <v>Front Side</v>
      </c>
      <c r="D132" s="966" t="str">
        <f ca="1">OFFSET(input!$E$27,P132,0)</f>
        <v>None</v>
      </c>
      <c r="E132" s="967">
        <f ca="1">SUMIFS(Paper!$N$7:$N$30,Paper!$A$7:$A$30,A132)</f>
        <v>0</v>
      </c>
      <c r="F132" s="967">
        <f ca="1">SUMIFS(Paper!$O$7:$O$30,Paper!$A$7:$A$30,A132)</f>
        <v>0</v>
      </c>
      <c r="G132" s="968">
        <f ca="1">IF(A132="N",0,IF(OFFSET(input!$G$27,P132,0)&gt;0,OFFSET(input!$G$27,P132,0),SUMIFS(Data!$P$913:$P$942,Data!$L$913:$L$942,D132)*E132*F132*IF(AND(C132="Back Side",OR(D132="OPV Wet Hi-Rub",D132="TK Matt Varnished 22493")),2,1)))</f>
        <v>0</v>
      </c>
      <c r="I132" s="967">
        <f ca="1">IF(G132=0,0,IF(OFFSET(input!$H$27,P132,0)&gt;0,OFFSET(input!$H$27,P132,0),SUMIFS(Data!$O$913:$O$942,Data!$L$913:$L$942,D132)))</f>
        <v>0</v>
      </c>
      <c r="J132" s="967">
        <f ca="1">ROUNDUP(IF(G132&gt;0,((B132/10000)*G132),0),1)</f>
        <v>0</v>
      </c>
      <c r="K132" s="967">
        <f ca="1">IF(G132&gt;0,1,0)*OFFSET(Paper!$J$7,R132,0)</f>
        <v>0</v>
      </c>
      <c r="L132" s="967">
        <f ca="1">K132*I132</f>
        <v>0</v>
      </c>
      <c r="M132" s="967">
        <f ca="1">IF(J132=0,0,I132*(J132+K132))</f>
        <v>0</v>
      </c>
      <c r="N132" s="967">
        <f t="shared" ca="1" si="108"/>
        <v>0</v>
      </c>
      <c r="O132" s="136" t="str">
        <f ca="1">OFFSET(input!$F$33,Q132,0)</f>
        <v>N</v>
      </c>
      <c r="P132" s="136">
        <f t="shared" ref="P132:Q132" si="113">+P122+17</f>
        <v>208</v>
      </c>
      <c r="Q132" s="136">
        <f t="shared" si="113"/>
        <v>204</v>
      </c>
      <c r="R132" s="136">
        <f t="shared" si="110"/>
        <v>12</v>
      </c>
      <c r="AT132" s="3598">
        <f t="shared" ca="1" si="54"/>
        <v>0</v>
      </c>
      <c r="AU132" s="315">
        <f ca="1">COUNTIFS(AT$7:$AT132,1)</f>
        <v>1</v>
      </c>
    </row>
    <row r="133" spans="1:47" ht="15">
      <c r="A133" s="952" t="str">
        <f ca="1">OFFSET(input!$A$25,Q133,0)</f>
        <v>N</v>
      </c>
      <c r="B133" s="891">
        <f ca="1">IF(A133="N",0,SUMIFS(Paper!$AC$7:$AC$30,Paper!$A$7:$A$30,Coating!A133))</f>
        <v>0</v>
      </c>
      <c r="C133" s="969">
        <f ca="1">SUMIFS(Data!$M$943:$M$959,Data!$L$943:$L$959,D133)</f>
        <v>0</v>
      </c>
      <c r="D133" s="970" t="str">
        <f ca="1">OFFSET(input!$J$27,P128,0)</f>
        <v>None</v>
      </c>
      <c r="E133" s="967">
        <f ca="1">IF(OFFSET(input!$K$27,P128,0)&gt;0,OFFSET(input!$K$27,P128,0),IF(OFFSET(input!$L$27,P128,0)="min",MAX(SUMIFS(Paper!$O$7:$O$30,Paper!$A$7:$A$30,A133),SUMIFS(Paper!$N$7:$N$30,Paper!$A$7:$A$30,A133)),MIN(SUMIFS(Paper!$O$7:$O$30,Paper!$A$7:$A$30,A133),SUMIFS(Paper!$N$7:$N$30,Paper!$A$7:$A$30,A133)))+2)</f>
        <v>50</v>
      </c>
      <c r="F133" s="967">
        <f ca="1">IF(OFFSET(input!$L$27,P128,0)="min",MIN(SUMIFS(Paper!$O$7:$O$30,Paper!$A$7:$A$30,A133),SUMIFS(Paper!$N$7:$N$30,Paper!$A$7:$A$30,A133)),MAX(SUMIFS(Paper!$O$7:$O$30,Paper!$A$7:$A$30,A133),SUMIFS(Paper!$N$7:$N$30,Paper!$A$7:$A$30,A133)))+3</f>
        <v>3</v>
      </c>
      <c r="G133" s="2441">
        <f ca="1">IF(A133="N",0,IF(OR(D133=Data!$L$943,D133=Data!$L$944,D133=Data!$L$947,D133=Data!$L$948,D133=Data!$L$949,D133=Data!$L$955,D133=Data!$L$956),ROUNDUP((E133/1000)*$C133,0),(ROUNDUP(($C133*(E133/1000)*(SUMIFS(Data!$P$943:$P$959,Data!$L$943:$L$959,D133)/1000)*SUMIFS(Data!$Q$943:$Q$959,Data!$L$943:$L$959,D133)),0))))</f>
        <v>0</v>
      </c>
      <c r="H133" s="2440" t="str">
        <f ca="1">IF(OR(D133=Data!$L$943,D133=Data!$L$944,D133=Data!$L$947,D133=Data!$L$948,D133=Data!$L$949,D133=Data!$L$955,D133=Data!$L$956),"M2/roll","Kg/roll")</f>
        <v>Kg/roll</v>
      </c>
      <c r="I133" s="967">
        <f ca="1">IF(G133=0,0,SUMIFS(Data!$O$938:$O$958,Data!$L$938:$L$958,D133))</f>
        <v>0</v>
      </c>
      <c r="J133" s="972">
        <f ca="1">IF(C133=0,0,(B133/($C133*1000/F133)))</f>
        <v>0</v>
      </c>
      <c r="K133" s="3716">
        <f ca="1">IF(C133=0,0,ROUNDUP((30/$C133)*OFFSET(Paper!$J$7,R133,0),2))</f>
        <v>0</v>
      </c>
      <c r="L133" s="967">
        <f ca="1">(K133*G133*I133)</f>
        <v>0</v>
      </c>
      <c r="M133" s="967">
        <f ca="1">IF(A133="N",0,I133*ROUNDUP(J133+K133,1)*G133)</f>
        <v>0</v>
      </c>
      <c r="N133" s="967">
        <f t="shared" ca="1" si="108"/>
        <v>0</v>
      </c>
      <c r="O133" s="136" t="str">
        <f ca="1">OFFSET(input!$F$33,Q133,0)</f>
        <v>N</v>
      </c>
      <c r="P133" s="136">
        <f t="shared" ref="P133:Q133" si="114">+P123+17</f>
        <v>209</v>
      </c>
      <c r="Q133" s="136">
        <f t="shared" si="114"/>
        <v>204</v>
      </c>
      <c r="R133" s="136">
        <f t="shared" si="110"/>
        <v>12</v>
      </c>
      <c r="AT133" s="3598">
        <f t="shared" ca="1" si="54"/>
        <v>0</v>
      </c>
      <c r="AU133" s="315">
        <f ca="1">COUNTIFS(AT$7:$AT133,1)</f>
        <v>1</v>
      </c>
    </row>
    <row r="134" spans="1:47" ht="25.5">
      <c r="A134" s="2443" t="str">
        <f ca="1">IF(OR(D133=Data!$L$954,D133=Data!$L$958),A133,"N")</f>
        <v>N</v>
      </c>
      <c r="B134" s="891">
        <f ca="1">IF(A133="N",0,SUMIFS(Paper!$AC$7:$AC$30,Paper!$A$7:$A$30,Coating!A133))</f>
        <v>0</v>
      </c>
      <c r="C134" s="969"/>
      <c r="D134" s="2442" t="str">
        <f ca="1">IF(D133=Data!$L$954,Data!$L$976,Data!$L$977)</f>
        <v>Resin AR 8207B-(for Hologram)</v>
      </c>
      <c r="E134" s="973">
        <f ca="1">SUMIFS(Paper!$N$7:$N$30,Paper!$A$7:$A$30,A133)</f>
        <v>0</v>
      </c>
      <c r="F134" s="967">
        <f ca="1">SUMIFS(Paper!$O$7:$O$30,Paper!$A$7:$A$30,A133)</f>
        <v>0</v>
      </c>
      <c r="G134" s="2441">
        <f ca="1">IF(A134="N",0,ROUNDUP(IF(D134=Data!$L$978,25/(463*686),IF(D134=Data!$L$976,Data!$P$976,Data!$P$977))*E134*F134,1))</f>
        <v>0</v>
      </c>
      <c r="H134" s="971" t="s">
        <v>1114</v>
      </c>
      <c r="I134" s="967">
        <f ca="1">IF(G134=0,0,SUMIFS(Data!$O$976:$O$978,Data!$L$976:$L$978,D134))</f>
        <v>0</v>
      </c>
      <c r="J134" s="967">
        <f ca="1">IF(A134="N",0,ROUNDUP(((B134/10000)*G134),1))</f>
        <v>0</v>
      </c>
      <c r="K134" s="967">
        <f ca="1">IF(G134&gt;0,1,0)*OFFSET(Paper!$J$7,R134,0)</f>
        <v>0</v>
      </c>
      <c r="L134" s="967">
        <f ca="1">K134*I134</f>
        <v>0</v>
      </c>
      <c r="M134" s="967">
        <f ca="1">IF(A134="N",0,I134*(J134+K134))</f>
        <v>0</v>
      </c>
      <c r="N134" s="967">
        <f t="shared" ca="1" si="108"/>
        <v>0</v>
      </c>
      <c r="O134" s="136" t="str">
        <f ca="1">OFFSET(input!$F$33,Q134,0)</f>
        <v>N</v>
      </c>
      <c r="P134" s="136">
        <f t="shared" ref="P134:Q134" si="115">+P124+17</f>
        <v>210</v>
      </c>
      <c r="Q134" s="136">
        <f t="shared" si="115"/>
        <v>204</v>
      </c>
      <c r="R134" s="136">
        <f t="shared" si="110"/>
        <v>12</v>
      </c>
      <c r="AT134" s="3598">
        <f t="shared" ca="1" si="54"/>
        <v>0</v>
      </c>
      <c r="AU134" s="315">
        <f ca="1">COUNTIFS(AT$7:$AT134,1)</f>
        <v>1</v>
      </c>
    </row>
    <row r="135" spans="1:47" ht="15">
      <c r="A135" s="952" t="str">
        <f ca="1">OFFSET(input!$A$25,Q135,0)</f>
        <v>N</v>
      </c>
      <c r="B135" s="891">
        <f ca="1">IF(A135="N",0,SUMIFS(Paper!$AC$7:$AC$30,Paper!$A$7:$A$30,Coating!A135))</f>
        <v>0</v>
      </c>
      <c r="C135" s="969">
        <f ca="1">SUMIFS(Data!$M$943:$M$959,Data!$L$943:$L$959,D135)</f>
        <v>0</v>
      </c>
      <c r="D135" s="970" t="str">
        <f ca="1">OFFSET(input!$J$27,P129,0)</f>
        <v>None</v>
      </c>
      <c r="E135" s="967">
        <f ca="1">IF(OFFSET(input!$K$27,P129,0)&gt;0,OFFSET(input!$K$27,P129,0),IF(OFFSET(input!$L$27,P129,0)="min",MAX(SUMIFS(Paper!$O$7:$O$30,Paper!$A$7:$A$30,A135),SUMIFS(Paper!$N$7:$N$30,Paper!$A$7:$A$30,A135)),MIN(SUMIFS(Paper!$O$7:$O$30,Paper!$A$7:$A$30,A135),SUMIFS(Paper!$N$7:$N$30,Paper!$A$7:$A$30,A135)))+2)</f>
        <v>2</v>
      </c>
      <c r="F135" s="967">
        <f ca="1">IF(OFFSET(input!$L$27,P129,0)="min",MIN(SUMIFS(Paper!$O$7:$O$30,Paper!$A$7:$A$30,A135),SUMIFS(Paper!$N$7:$N$30,Paper!$A$7:$A$30,A135)),MAX(SUMIFS(Paper!$O$7:$O$30,Paper!$A$7:$A$30,A135),SUMIFS(Paper!$N$7:$N$30,Paper!$A$7:$A$30,A135)))+3</f>
        <v>3</v>
      </c>
      <c r="G135" s="2441">
        <f ca="1">IF(A135="N",0,IF(OR(D135=Data!$L$943,D135=Data!$L$944,D135=Data!$L$947,D135=Data!$L$948,D135=Data!$L$949,D135=Data!$L$955,D135=Data!$L$956),ROUNDUP((E135/1000)*$C135,0),(ROUNDUP(($C135*(E135/1000)*(SUMIFS(Data!$P$943:$P$959,Data!$L$943:$L$959,D135)/1000)*SUMIFS(Data!$Q$943:$Q$959,Data!$L$943:$L$959,D135)),0))))</f>
        <v>0</v>
      </c>
      <c r="H135" s="2440" t="str">
        <f ca="1">IF(OR(D135=Data!$L$943,D135=Data!$L$944,D135=Data!$L$947,D135=Data!$L$948,D135=Data!$L$949,D135=Data!$L$955,D135=Data!$L$956),"M2/roll","Kg/roll")</f>
        <v>Kg/roll</v>
      </c>
      <c r="I135" s="967">
        <f ca="1">IF(G135=0,0,SUMIFS(Data!$O$938:$O$958,Data!$L$938:$L$958,D135))</f>
        <v>0</v>
      </c>
      <c r="J135" s="967">
        <f ca="1">IF(C135=0,0,(B135/($C135*1000/F135)))</f>
        <v>0</v>
      </c>
      <c r="K135" s="3716">
        <f ca="1">IF(C135=0,0,ROUNDUP((30/$C135)*OFFSET(Paper!$J$7,R135,0),2))</f>
        <v>0</v>
      </c>
      <c r="L135" s="967">
        <f ca="1">(K135*G135*I135)</f>
        <v>0</v>
      </c>
      <c r="M135" s="967">
        <f ca="1">IF(A135="N",0,I135*ROUNDUP(J135+K135,1)*G135)</f>
        <v>0</v>
      </c>
      <c r="N135" s="967">
        <f t="shared" ca="1" si="108"/>
        <v>0</v>
      </c>
      <c r="O135" s="136" t="str">
        <f ca="1">OFFSET(input!$F$33,Q135,0)</f>
        <v>N</v>
      </c>
      <c r="P135" s="136">
        <f t="shared" ref="P135:Q135" si="116">+P125+17</f>
        <v>211</v>
      </c>
      <c r="Q135" s="136">
        <f t="shared" si="116"/>
        <v>204</v>
      </c>
      <c r="R135" s="136">
        <f t="shared" si="110"/>
        <v>12</v>
      </c>
      <c r="AT135" s="3598">
        <f t="shared" ca="1" si="54"/>
        <v>0</v>
      </c>
      <c r="AU135" s="315">
        <f ca="1">COUNTIFS(AT$7:$AT135,1)</f>
        <v>1</v>
      </c>
    </row>
    <row r="136" spans="1:47" ht="25.5">
      <c r="A136" s="2443" t="str">
        <f ca="1">IF(OR(D135=Data!$L$954,D135=Data!$L$958),A135,"N")</f>
        <v>N</v>
      </c>
      <c r="B136" s="891">
        <f ca="1">IF(A135="N",0,SUMIFS(Paper!$AC$7:$AC$30,Paper!$A$7:$A$30,Coating!A135))</f>
        <v>0</v>
      </c>
      <c r="C136" s="969"/>
      <c r="D136" s="2442" t="str">
        <f ca="1">IF(D135=Data!$L$954,Data!$L$976,Data!$L$977)</f>
        <v>Resin AR 8207B-(for Hologram)</v>
      </c>
      <c r="E136" s="973">
        <f ca="1">SUMIFS(Paper!$N$7:$N$30,Paper!$A$7:$A$30,A135)</f>
        <v>0</v>
      </c>
      <c r="F136" s="967">
        <f ca="1">SUMIFS(Paper!$O$7:$O$30,Paper!$A$7:$A$30,A135)</f>
        <v>0</v>
      </c>
      <c r="G136" s="2441">
        <f ca="1">IF(A136="N",0,ROUNDUP(IF(D136=Data!$L$978,25/(463*686),IF(D136=Data!$L$976,Data!$P$976,Data!$P$977))*E136*F136,1))</f>
        <v>0</v>
      </c>
      <c r="H136" s="971" t="s">
        <v>1114</v>
      </c>
      <c r="I136" s="967">
        <f ca="1">IF(G136=0,0,SUMIFS(Data!$O$976:$O$978,Data!$L$976:$L$978,D136))</f>
        <v>0</v>
      </c>
      <c r="J136" s="967">
        <f ca="1">IF(A136="N",0,ROUNDUP(((B136/10000)*G136),1))</f>
        <v>0</v>
      </c>
      <c r="K136" s="967">
        <f ca="1">IF(G136&gt;0,1,0)*OFFSET(Paper!$J$7,R136,0)</f>
        <v>0</v>
      </c>
      <c r="L136" s="967">
        <f ca="1">K136*I136</f>
        <v>0</v>
      </c>
      <c r="M136" s="967">
        <f ca="1">IF(A136="N",0,I136*(J136+K136))</f>
        <v>0</v>
      </c>
      <c r="N136" s="967">
        <f t="shared" ca="1" si="108"/>
        <v>0</v>
      </c>
      <c r="O136" s="136" t="str">
        <f ca="1">OFFSET(input!$F$33,Q136,0)</f>
        <v>N</v>
      </c>
      <c r="P136" s="136">
        <f t="shared" ref="P136:Q136" si="117">+P126+17</f>
        <v>212</v>
      </c>
      <c r="Q136" s="136">
        <f t="shared" si="117"/>
        <v>204</v>
      </c>
      <c r="R136" s="136">
        <f t="shared" si="110"/>
        <v>12</v>
      </c>
      <c r="AT136" s="3598">
        <f t="shared" ca="1" si="54"/>
        <v>0</v>
      </c>
      <c r="AU136" s="315">
        <f ca="1">COUNTIFS(AT$7:$AT136,1)</f>
        <v>1</v>
      </c>
    </row>
    <row r="137" spans="1:47" ht="15">
      <c r="AT137" s="3598" t="str">
        <f t="shared" ref="AT137:AT183" si="118">IF(ISNUMBER(M137),IF(M137&lt;&gt;0,IF(ISNUMBER(SEARCH("to",J137)),0,1),0),"")</f>
        <v/>
      </c>
      <c r="AU137" s="315">
        <f ca="1">COUNTIFS(AT$7:$AT137,1)</f>
        <v>1</v>
      </c>
    </row>
    <row r="138" spans="1:47" ht="15">
      <c r="A138" s="952" t="str">
        <f ca="1">OFFSET(input!$A$25,Q138,0)</f>
        <v>1st</v>
      </c>
      <c r="B138" s="891">
        <f ca="1">IF(A138="N",0,SUMIFS(Paper!$AC$7:$AC$30,Paper!$A$7:$A$30,Coating!A138))</f>
        <v>0</v>
      </c>
      <c r="C138" s="965" t="str">
        <f>input!F$27</f>
        <v>Front Side</v>
      </c>
      <c r="D138" s="966" t="str">
        <f ca="1">OFFSET(input!$E$27,P138,0)</f>
        <v>None</v>
      </c>
      <c r="E138" s="967">
        <f ca="1">SUMIFS(Paper!$N$7:$N$30,Paper!$A$7:$A$30,A138)</f>
        <v>0</v>
      </c>
      <c r="F138" s="967">
        <f ca="1">SUMIFS(Paper!$O$7:$O$30,Paper!$A$7:$A$30,A138)</f>
        <v>0</v>
      </c>
      <c r="G138" s="968">
        <f ca="1">IF(A138="N",0,IF(OFFSET(input!$G$27,P138,0)&gt;0,OFFSET(input!$G$27,P138,0),SUMIFS(Data!$P$913:$P$942,Data!$L$913:$L$942,D138)*E138*F138*IF(AND(C138="Back Side",OR(D138="OPV Wet Hi-Rub",D138="TK Matt Varnished 22493")),2,1)))</f>
        <v>0</v>
      </c>
      <c r="I138" s="967">
        <f ca="1">IF(G138=0,0,IF(OFFSET(input!$H$27,P138,0)&gt;0,OFFSET(input!$H$27,P138,0),SUMIFS(Data!$O$913:$O$942,Data!$L$913:$L$942,D138)))</f>
        <v>0</v>
      </c>
      <c r="J138" s="967">
        <f ca="1">ROUNDUP(IF(G138&gt;0,((B138/10000)*G138),0),1)</f>
        <v>0</v>
      </c>
      <c r="K138" s="967">
        <f ca="1">IF(G138&gt;0,1,0)*OFFSET(Paper!$J$7,R138,0)</f>
        <v>0</v>
      </c>
      <c r="L138" s="967">
        <f ca="1">K138*I138</f>
        <v>0</v>
      </c>
      <c r="M138" s="967">
        <f ca="1">IF(J138=0,0,I138*(J138+K138))</f>
        <v>0</v>
      </c>
      <c r="N138" s="967">
        <f ca="1">IF($D$2&gt;0,M138/($D$2),0)*(1+$N$5)</f>
        <v>0</v>
      </c>
      <c r="O138" s="136" t="str">
        <f ca="1">OFFSET(input!$F$33,Q138,0)</f>
        <v>1st</v>
      </c>
      <c r="P138" s="136">
        <f>+P128+17</f>
        <v>221</v>
      </c>
      <c r="Q138" s="136">
        <f>+Q128+17</f>
        <v>221</v>
      </c>
      <c r="R138" s="136">
        <f>+R128+1</f>
        <v>13</v>
      </c>
      <c r="AT138" s="3598">
        <f t="shared" ca="1" si="118"/>
        <v>0</v>
      </c>
      <c r="AU138" s="315">
        <f ca="1">COUNTIFS(AT$7:$AT138,1)</f>
        <v>1</v>
      </c>
    </row>
    <row r="139" spans="1:47" ht="15">
      <c r="A139" s="952" t="str">
        <f ca="1">OFFSET(input!$A$25,Q139,0)</f>
        <v>1st</v>
      </c>
      <c r="B139" s="891">
        <f ca="1">IF(A139="N",0,SUMIFS(Paper!$AC$7:$AC$30,Paper!$A$7:$A$30,Coating!A139))</f>
        <v>0</v>
      </c>
      <c r="C139" s="965" t="str">
        <f>input!F$28</f>
        <v>Front Side</v>
      </c>
      <c r="D139" s="966" t="str">
        <f ca="1">OFFSET(input!$E$27,P139,0)</f>
        <v>None</v>
      </c>
      <c r="E139" s="967">
        <f ca="1">SUMIFS(Paper!$N$7:$N$30,Paper!$A$7:$A$30,A139)</f>
        <v>0</v>
      </c>
      <c r="F139" s="967">
        <f ca="1">SUMIFS(Paper!$O$7:$O$30,Paper!$A$7:$A$30,A139)</f>
        <v>0</v>
      </c>
      <c r="G139" s="968">
        <f ca="1">IF(A139="N",0,IF(OFFSET(input!$G$27,P139,0)&gt;0,OFFSET(input!$G$27,P139,0),SUMIFS(Data!$P$913:$P$942,Data!$L$913:$L$942,D139)*E139*F139*IF(AND(C139="Back Side",OR(D139="OPV Wet Hi-Rub",D139="TK Matt Varnished 22493")),2,1)))</f>
        <v>0</v>
      </c>
      <c r="I139" s="967">
        <f ca="1">IF(G139=0,0,IF(OFFSET(input!$H$27,P139,0)&gt;0,OFFSET(input!$H$27,P139,0),SUMIFS(Data!$O$913:$O$942,Data!$L$913:$L$942,D139)))</f>
        <v>0</v>
      </c>
      <c r="J139" s="967">
        <f ca="1">ROUNDUP(IF(G139&gt;0,((B139/10000)*G139),0),1)</f>
        <v>0</v>
      </c>
      <c r="K139" s="967">
        <f ca="1">IF(G139&gt;0,1,0)*OFFSET(Paper!$J$7,R139,0)</f>
        <v>0</v>
      </c>
      <c r="L139" s="967">
        <f ca="1">K139*I139</f>
        <v>0</v>
      </c>
      <c r="M139" s="967">
        <f ca="1">IF(J139=0,0,I139*(J139+K139))</f>
        <v>0</v>
      </c>
      <c r="N139" s="967">
        <f t="shared" ref="N139:N146" ca="1" si="119">IF($D$2&gt;0,M139/($D$2),0)*(1+$N$5)</f>
        <v>0</v>
      </c>
      <c r="O139" s="136" t="str">
        <f ca="1">OFFSET(input!$F$33,Q139,0)</f>
        <v>1st</v>
      </c>
      <c r="P139" s="136">
        <f t="shared" ref="P139:Q139" si="120">+P129+17</f>
        <v>222</v>
      </c>
      <c r="Q139" s="136">
        <f t="shared" si="120"/>
        <v>221</v>
      </c>
      <c r="R139" s="136">
        <f t="shared" ref="R139:R146" si="121">+R129+1</f>
        <v>13</v>
      </c>
      <c r="AT139" s="3598">
        <f t="shared" ca="1" si="118"/>
        <v>0</v>
      </c>
      <c r="AU139" s="315">
        <f ca="1">COUNTIFS(AT$7:$AT139,1)</f>
        <v>1</v>
      </c>
    </row>
    <row r="140" spans="1:47" ht="15">
      <c r="A140" s="952" t="str">
        <f ca="1">OFFSET(input!$A$25,Q140,0)</f>
        <v>1st</v>
      </c>
      <c r="B140" s="891">
        <f ca="1">IF(A140="N",0,SUMIFS(Paper!$AC$7:$AC$30,Paper!$A$7:$A$30,Coating!A140))</f>
        <v>0</v>
      </c>
      <c r="C140" s="965" t="str">
        <f>input!F$29</f>
        <v>Front Side</v>
      </c>
      <c r="D140" s="966" t="str">
        <f ca="1">OFFSET(input!$E$27,P140,0)</f>
        <v>None</v>
      </c>
      <c r="E140" s="967">
        <f ca="1">SUMIFS(Paper!$N$7:$N$30,Paper!$A$7:$A$30,A140)</f>
        <v>0</v>
      </c>
      <c r="F140" s="967">
        <f ca="1">SUMIFS(Paper!$O$7:$O$30,Paper!$A$7:$A$30,A140)</f>
        <v>0</v>
      </c>
      <c r="G140" s="968">
        <f ca="1">IF(A140="N",0,IF(OFFSET(input!$G$27,P140,0)&gt;0,OFFSET(input!$G$27,P140,0),SUMIFS(Data!$P$913:$P$942,Data!$L$913:$L$942,D140)*E140*F140*IF(AND(C140="Back Side",OR(D140="OPV Wet Hi-Rub",D140="TK Matt Varnished 22493")),2,1)))</f>
        <v>0</v>
      </c>
      <c r="I140" s="967">
        <f ca="1">IF(G140=0,0,IF(OFFSET(input!$H$27,P140,0)&gt;0,OFFSET(input!$H$27,P140,0),SUMIFS(Data!$O$913:$O$942,Data!$L$913:$L$942,D140)))</f>
        <v>0</v>
      </c>
      <c r="J140" s="967">
        <f ca="1">ROUNDUP(IF(G140&gt;0,((B140/10000)*G140),0),1)</f>
        <v>0</v>
      </c>
      <c r="K140" s="967">
        <f ca="1">IF(G140&gt;0,1,0)*OFFSET(Paper!$J$7,R140,0)</f>
        <v>0</v>
      </c>
      <c r="L140" s="967">
        <f ca="1">K140*I140</f>
        <v>0</v>
      </c>
      <c r="M140" s="967">
        <f ca="1">IF(J140=0,0,I140*(J140+K140))</f>
        <v>0</v>
      </c>
      <c r="N140" s="967">
        <f t="shared" ca="1" si="119"/>
        <v>0</v>
      </c>
      <c r="O140" s="136" t="str">
        <f ca="1">OFFSET(input!$F$33,Q140,0)</f>
        <v>1st</v>
      </c>
      <c r="P140" s="136">
        <f t="shared" ref="P140:Q140" si="122">+P130+17</f>
        <v>223</v>
      </c>
      <c r="Q140" s="136">
        <f t="shared" si="122"/>
        <v>221</v>
      </c>
      <c r="R140" s="136">
        <f t="shared" si="121"/>
        <v>13</v>
      </c>
      <c r="AT140" s="3598">
        <f t="shared" ca="1" si="118"/>
        <v>0</v>
      </c>
      <c r="AU140" s="315">
        <f ca="1">COUNTIFS(AT$7:$AT140,1)</f>
        <v>1</v>
      </c>
    </row>
    <row r="141" spans="1:47" ht="15">
      <c r="A141" s="952" t="str">
        <f ca="1">OFFSET(input!$A$25,Q141,0)</f>
        <v>1st</v>
      </c>
      <c r="B141" s="891">
        <f ca="1">IF(A141="N",0,SUMIFS(Paper!$AC$7:$AC$30,Paper!$A$7:$A$30,Coating!A141))</f>
        <v>0</v>
      </c>
      <c r="C141" s="965" t="str">
        <f>input!F$30</f>
        <v>Front Side</v>
      </c>
      <c r="D141" s="966" t="str">
        <f ca="1">OFFSET(input!$E$27,P141,0)</f>
        <v>None</v>
      </c>
      <c r="E141" s="967">
        <f ca="1">SUMIFS(Paper!$N$7:$N$30,Paper!$A$7:$A$30,A141)</f>
        <v>0</v>
      </c>
      <c r="F141" s="967">
        <f ca="1">SUMIFS(Paper!$O$7:$O$30,Paper!$A$7:$A$30,A141)</f>
        <v>0</v>
      </c>
      <c r="G141" s="968">
        <f ca="1">IF(A141="N",0,IF(OFFSET(input!$G$27,P141,0)&gt;0,OFFSET(input!$G$27,P141,0),SUMIFS(Data!$P$913:$P$942,Data!$L$913:$L$942,D141)*E141*F141*IF(AND(C141="Back Side",OR(D141="OPV Wet Hi-Rub",D141="TK Matt Varnished 22493")),2,1)))</f>
        <v>0</v>
      </c>
      <c r="I141" s="967">
        <f ca="1">IF(G141=0,0,IF(OFFSET(input!$H$27,P141,0)&gt;0,OFFSET(input!$H$27,P141,0),SUMIFS(Data!$O$913:$O$942,Data!$L$913:$L$942,D141)))</f>
        <v>0</v>
      </c>
      <c r="J141" s="967">
        <f ca="1">ROUNDUP(IF(G141&gt;0,((B141/10000)*G141),0),1)</f>
        <v>0</v>
      </c>
      <c r="K141" s="967">
        <f ca="1">IF(G141&gt;0,1,0)*OFFSET(Paper!$J$7,R141,0)</f>
        <v>0</v>
      </c>
      <c r="L141" s="967">
        <f ca="1">K141*I141</f>
        <v>0</v>
      </c>
      <c r="M141" s="967">
        <f ca="1">IF(J141=0,0,I141*(J141+K141))</f>
        <v>0</v>
      </c>
      <c r="N141" s="967">
        <f t="shared" ca="1" si="119"/>
        <v>0</v>
      </c>
      <c r="O141" s="136" t="str">
        <f ca="1">OFFSET(input!$F$33,Q141,0)</f>
        <v>1st</v>
      </c>
      <c r="P141" s="136">
        <f t="shared" ref="P141:Q141" si="123">+P131+17</f>
        <v>224</v>
      </c>
      <c r="Q141" s="136">
        <f t="shared" si="123"/>
        <v>221</v>
      </c>
      <c r="R141" s="136">
        <f t="shared" si="121"/>
        <v>13</v>
      </c>
      <c r="AT141" s="3598">
        <f t="shared" ca="1" si="118"/>
        <v>0</v>
      </c>
      <c r="AU141" s="315">
        <f ca="1">COUNTIFS(AT$7:$AT141,1)</f>
        <v>1</v>
      </c>
    </row>
    <row r="142" spans="1:47" ht="15">
      <c r="A142" s="952" t="str">
        <f ca="1">OFFSET(input!$A$25,Q142,0)</f>
        <v>1st</v>
      </c>
      <c r="B142" s="891">
        <f ca="1">IF(A142="N",0,SUMIFS(Paper!$AC$7:$AC$30,Paper!$A$7:$A$30,Coating!A142))</f>
        <v>0</v>
      </c>
      <c r="C142" s="965" t="str">
        <f>input!F$31</f>
        <v>Front Side</v>
      </c>
      <c r="D142" s="966" t="str">
        <f ca="1">OFFSET(input!$E$27,P142,0)</f>
        <v>None</v>
      </c>
      <c r="E142" s="967">
        <f ca="1">SUMIFS(Paper!$N$7:$N$30,Paper!$A$7:$A$30,A142)</f>
        <v>0</v>
      </c>
      <c r="F142" s="967">
        <f ca="1">SUMIFS(Paper!$O$7:$O$30,Paper!$A$7:$A$30,A142)</f>
        <v>0</v>
      </c>
      <c r="G142" s="968">
        <f ca="1">IF(A142="N",0,IF(OFFSET(input!$G$27,P142,0)&gt;0,OFFSET(input!$G$27,P142,0),SUMIFS(Data!$P$913:$P$942,Data!$L$913:$L$942,D142)*E142*F142*IF(AND(C142="Back Side",OR(D142="OPV Wet Hi-Rub",D142="TK Matt Varnished 22493")),2,1)))</f>
        <v>0</v>
      </c>
      <c r="I142" s="967">
        <f ca="1">IF(G142=0,0,IF(OFFSET(input!$H$27,P142,0)&gt;0,OFFSET(input!$H$27,P142,0),SUMIFS(Data!$O$913:$O$942,Data!$L$913:$L$942,D142)))</f>
        <v>0</v>
      </c>
      <c r="J142" s="967">
        <f ca="1">ROUNDUP(IF(G142&gt;0,((B142/10000)*G142),0),1)</f>
        <v>0</v>
      </c>
      <c r="K142" s="967">
        <f ca="1">IF(G142&gt;0,1,0)*OFFSET(Paper!$J$7,R142,0)</f>
        <v>0</v>
      </c>
      <c r="L142" s="967">
        <f ca="1">K142*I142</f>
        <v>0</v>
      </c>
      <c r="M142" s="967">
        <f ca="1">IF(J142=0,0,I142*(J142+K142))</f>
        <v>0</v>
      </c>
      <c r="N142" s="967">
        <f t="shared" ca="1" si="119"/>
        <v>0</v>
      </c>
      <c r="O142" s="136" t="str">
        <f ca="1">OFFSET(input!$F$33,Q142,0)</f>
        <v>1st</v>
      </c>
      <c r="P142" s="136">
        <f t="shared" ref="P142:Q142" si="124">+P132+17</f>
        <v>225</v>
      </c>
      <c r="Q142" s="136">
        <f t="shared" si="124"/>
        <v>221</v>
      </c>
      <c r="R142" s="136">
        <f t="shared" si="121"/>
        <v>13</v>
      </c>
      <c r="AT142" s="3598">
        <f t="shared" ca="1" si="118"/>
        <v>0</v>
      </c>
      <c r="AU142" s="315">
        <f ca="1">COUNTIFS(AT$7:$AT142,1)</f>
        <v>1</v>
      </c>
    </row>
    <row r="143" spans="1:47" ht="15">
      <c r="A143" s="952" t="str">
        <f ca="1">OFFSET(input!$A$25,Q143,0)</f>
        <v>1st</v>
      </c>
      <c r="B143" s="891">
        <f ca="1">IF(A143="N",0,SUMIFS(Paper!$AC$7:$AC$30,Paper!$A$7:$A$30,Coating!A143))</f>
        <v>0</v>
      </c>
      <c r="C143" s="969">
        <f ca="1">SUMIFS(Data!$M$943:$M$959,Data!$L$943:$L$959,D143)</f>
        <v>0</v>
      </c>
      <c r="D143" s="970" t="str">
        <f ca="1">OFFSET(input!$J$27,P138,0)</f>
        <v>None</v>
      </c>
      <c r="E143" s="967">
        <f ca="1">IF(OFFSET(input!$K$27,P138,0)&gt;0,OFFSET(input!$K$27,P138,0),IF(OFFSET(input!$L$27,P138,0)="min",MAX(SUMIFS(Paper!$O$7:$O$30,Paper!$A$7:$A$30,A143),SUMIFS(Paper!$N$7:$N$30,Paper!$A$7:$A$30,A143)),MIN(SUMIFS(Paper!$O$7:$O$30,Paper!$A$7:$A$30,A143),SUMIFS(Paper!$N$7:$N$30,Paper!$A$7:$A$30,A143)))+2)</f>
        <v>50</v>
      </c>
      <c r="F143" s="967">
        <f ca="1">IF(OFFSET(input!$L$27,P138,0)="min",MIN(SUMIFS(Paper!$O$7:$O$30,Paper!$A$7:$A$30,A143),SUMIFS(Paper!$N$7:$N$30,Paper!$A$7:$A$30,A143)),MAX(SUMIFS(Paper!$O$7:$O$30,Paper!$A$7:$A$30,A143),SUMIFS(Paper!$N$7:$N$30,Paper!$A$7:$A$30,A143)))+3</f>
        <v>3</v>
      </c>
      <c r="G143" s="2441">
        <f ca="1">IF(A143="N",0,IF(OR(D143=Data!$L$943,D143=Data!$L$944,D143=Data!$L$947,D143=Data!$L$948,D143=Data!$L$949,D143=Data!$L$955,D143=Data!$L$956),ROUNDUP((E143/1000)*$C143,0),(ROUNDUP(($C143*(E143/1000)*(SUMIFS(Data!$P$943:$P$959,Data!$L$943:$L$959,D143)/1000)*SUMIFS(Data!$Q$943:$Q$959,Data!$L$943:$L$959,D143)),0))))</f>
        <v>0</v>
      </c>
      <c r="H143" s="2440" t="str">
        <f ca="1">IF(OR(D143=Data!$L$943,D143=Data!$L$944,D143=Data!$L$947,D143=Data!$L$948,D143=Data!$L$949,D143=Data!$L$955,D143=Data!$L$956),"M2/roll","Kg/roll")</f>
        <v>Kg/roll</v>
      </c>
      <c r="I143" s="967">
        <f ca="1">IF(G143=0,0,SUMIFS(Data!$O$938:$O$958,Data!$L$938:$L$958,D143))</f>
        <v>0</v>
      </c>
      <c r="J143" s="972">
        <f ca="1">IF(C143=0,0,(B143/($C143*1000/F143)))</f>
        <v>0</v>
      </c>
      <c r="K143" s="3716">
        <f ca="1">IF(C143=0,0,ROUNDUP((30/$C143)*OFFSET(Paper!$J$7,R143,0),2))</f>
        <v>0</v>
      </c>
      <c r="L143" s="967">
        <f ca="1">(K143*G143*I143)</f>
        <v>0</v>
      </c>
      <c r="M143" s="967">
        <f ca="1">IF(A143="N",0,I143*ROUNDUP(J143+K143,1)*G143)</f>
        <v>0</v>
      </c>
      <c r="N143" s="967">
        <f t="shared" ca="1" si="119"/>
        <v>0</v>
      </c>
      <c r="O143" s="136" t="str">
        <f ca="1">OFFSET(input!$F$33,Q143,0)</f>
        <v>1st</v>
      </c>
      <c r="P143" s="136">
        <f t="shared" ref="P143:Q143" si="125">+P133+17</f>
        <v>226</v>
      </c>
      <c r="Q143" s="136">
        <f t="shared" si="125"/>
        <v>221</v>
      </c>
      <c r="R143" s="136">
        <f t="shared" si="121"/>
        <v>13</v>
      </c>
      <c r="AT143" s="3598">
        <f t="shared" ca="1" si="118"/>
        <v>0</v>
      </c>
      <c r="AU143" s="315">
        <f ca="1">COUNTIFS(AT$7:$AT143,1)</f>
        <v>1</v>
      </c>
    </row>
    <row r="144" spans="1:47" ht="25.5">
      <c r="A144" s="2443" t="str">
        <f ca="1">IF(OR(D143=Data!$L$954,D143=Data!$L$958),A143,"N")</f>
        <v>N</v>
      </c>
      <c r="B144" s="891">
        <f ca="1">IF(A143="N",0,SUMIFS(Paper!$AC$7:$AC$30,Paper!$A$7:$A$30,Coating!A143))</f>
        <v>0</v>
      </c>
      <c r="C144" s="969"/>
      <c r="D144" s="2442" t="str">
        <f ca="1">IF(D143=Data!$L$954,Data!$L$976,Data!$L$977)</f>
        <v>Resin AR 8207B-(for Hologram)</v>
      </c>
      <c r="E144" s="973">
        <f ca="1">SUMIFS(Paper!$N$7:$N$30,Paper!$A$7:$A$30,A143)</f>
        <v>0</v>
      </c>
      <c r="F144" s="967">
        <f ca="1">SUMIFS(Paper!$O$7:$O$30,Paper!$A$7:$A$30,A143)</f>
        <v>0</v>
      </c>
      <c r="G144" s="2441">
        <f ca="1">IF(A144="N",0,ROUNDUP(IF(D144=Data!$L$978,25/(463*686),IF(D144=Data!$L$976,Data!$P$976,Data!$P$977))*E144*F144,1))</f>
        <v>0</v>
      </c>
      <c r="H144" s="971" t="s">
        <v>1114</v>
      </c>
      <c r="I144" s="967">
        <f ca="1">IF(G144=0,0,SUMIFS(Data!$O$976:$O$978,Data!$L$976:$L$978,D144))</f>
        <v>0</v>
      </c>
      <c r="J144" s="967">
        <f ca="1">IF(A144="N",0,ROUNDUP(((B144/10000)*G144),1))</f>
        <v>0</v>
      </c>
      <c r="K144" s="967">
        <f ca="1">IF(G144&gt;0,1,0)*OFFSET(Paper!$J$7,R144,0)</f>
        <v>0</v>
      </c>
      <c r="L144" s="967">
        <f ca="1">K144*I144</f>
        <v>0</v>
      </c>
      <c r="M144" s="967">
        <f ca="1">IF(A144="N",0,I144*(J144+K144))</f>
        <v>0</v>
      </c>
      <c r="N144" s="967">
        <f t="shared" ca="1" si="119"/>
        <v>0</v>
      </c>
      <c r="O144" s="136" t="str">
        <f ca="1">OFFSET(input!$F$33,Q144,0)</f>
        <v>1st</v>
      </c>
      <c r="P144" s="136">
        <f t="shared" ref="P144:Q144" si="126">+P134+17</f>
        <v>227</v>
      </c>
      <c r="Q144" s="136">
        <f t="shared" si="126"/>
        <v>221</v>
      </c>
      <c r="R144" s="136">
        <f t="shared" si="121"/>
        <v>13</v>
      </c>
      <c r="AT144" s="3598">
        <f t="shared" ca="1" si="118"/>
        <v>0</v>
      </c>
      <c r="AU144" s="315">
        <f ca="1">COUNTIFS(AT$7:$AT144,1)</f>
        <v>1</v>
      </c>
    </row>
    <row r="145" spans="1:47" ht="15">
      <c r="A145" s="952" t="str">
        <f ca="1">OFFSET(input!$A$25,Q145,0)</f>
        <v>1st</v>
      </c>
      <c r="B145" s="891">
        <f ca="1">IF(A145="N",0,SUMIFS(Paper!$AC$7:$AC$30,Paper!$A$7:$A$30,Coating!A145))</f>
        <v>0</v>
      </c>
      <c r="C145" s="969">
        <f ca="1">SUMIFS(Data!$M$943:$M$959,Data!$L$943:$L$959,D145)</f>
        <v>0</v>
      </c>
      <c r="D145" s="970" t="str">
        <f ca="1">OFFSET(input!$J$27,P139,0)</f>
        <v>None</v>
      </c>
      <c r="E145" s="967">
        <f ca="1">IF(OFFSET(input!$K$27,P139,0)&gt;0,OFFSET(input!$K$27,P139,0),IF(OFFSET(input!$L$27,P139,0)="min",MAX(SUMIFS(Paper!$O$7:$O$30,Paper!$A$7:$A$30,A145),SUMIFS(Paper!$N$7:$N$30,Paper!$A$7:$A$30,A145)),MIN(SUMIFS(Paper!$O$7:$O$30,Paper!$A$7:$A$30,A145),SUMIFS(Paper!$N$7:$N$30,Paper!$A$7:$A$30,A145)))+2)</f>
        <v>2</v>
      </c>
      <c r="F145" s="967">
        <f ca="1">IF(OFFSET(input!$L$27,P139,0)="min",MIN(SUMIFS(Paper!$O$7:$O$30,Paper!$A$7:$A$30,A145),SUMIFS(Paper!$N$7:$N$30,Paper!$A$7:$A$30,A145)),MAX(SUMIFS(Paper!$O$7:$O$30,Paper!$A$7:$A$30,A145),SUMIFS(Paper!$N$7:$N$30,Paper!$A$7:$A$30,A145)))+3</f>
        <v>3</v>
      </c>
      <c r="G145" s="2441">
        <f ca="1">IF(A145="N",0,IF(OR(D145=Data!$L$943,D145=Data!$L$944,D145=Data!$L$947,D145=Data!$L$948,D145=Data!$L$949,D145=Data!$L$955,D145=Data!$L$956),ROUNDUP((E145/1000)*$C145,0),(ROUNDUP(($C145*(E145/1000)*(SUMIFS(Data!$P$943:$P$959,Data!$L$943:$L$959,D145)/1000)*SUMIFS(Data!$Q$943:$Q$959,Data!$L$943:$L$959,D145)),0))))</f>
        <v>0</v>
      </c>
      <c r="H145" s="2440" t="str">
        <f ca="1">IF(OR(D145=Data!$L$943,D145=Data!$L$944,D145=Data!$L$947,D145=Data!$L$948,D145=Data!$L$949,D145=Data!$L$955,D145=Data!$L$956),"M2/roll","Kg/roll")</f>
        <v>Kg/roll</v>
      </c>
      <c r="I145" s="967">
        <f ca="1">IF(G145=0,0,SUMIFS(Data!$O$938:$O$958,Data!$L$938:$L$958,D145))</f>
        <v>0</v>
      </c>
      <c r="J145" s="967">
        <f ca="1">IF(C145=0,0,(B145/($C145*1000/F145)))</f>
        <v>0</v>
      </c>
      <c r="K145" s="3716">
        <f ca="1">IF(C145=0,0,ROUNDUP((30/$C145)*OFFSET(Paper!$J$7,R145,0),2))</f>
        <v>0</v>
      </c>
      <c r="L145" s="967">
        <f ca="1">(K145*G145*I145)</f>
        <v>0</v>
      </c>
      <c r="M145" s="967">
        <f ca="1">IF(A145="N",0,I145*ROUNDUP(J145+K145,1)*G145)</f>
        <v>0</v>
      </c>
      <c r="N145" s="967">
        <f t="shared" ca="1" si="119"/>
        <v>0</v>
      </c>
      <c r="O145" s="136" t="str">
        <f ca="1">OFFSET(input!$F$33,Q145,0)</f>
        <v>1st</v>
      </c>
      <c r="P145" s="136">
        <f t="shared" ref="P145:Q145" si="127">+P135+17</f>
        <v>228</v>
      </c>
      <c r="Q145" s="136">
        <f t="shared" si="127"/>
        <v>221</v>
      </c>
      <c r="R145" s="136">
        <f t="shared" si="121"/>
        <v>13</v>
      </c>
      <c r="AT145" s="3598">
        <f t="shared" ca="1" si="118"/>
        <v>0</v>
      </c>
      <c r="AU145" s="315">
        <f ca="1">COUNTIFS(AT$7:$AT145,1)</f>
        <v>1</v>
      </c>
    </row>
    <row r="146" spans="1:47" ht="25.5">
      <c r="A146" s="2443" t="str">
        <f ca="1">IF(OR(D145=Data!$L$954,D145=Data!$L$958),A145,"N")</f>
        <v>N</v>
      </c>
      <c r="B146" s="891">
        <f ca="1">IF(A145="N",0,SUMIFS(Paper!$AC$7:$AC$30,Paper!$A$7:$A$30,Coating!A145))</f>
        <v>0</v>
      </c>
      <c r="C146" s="969"/>
      <c r="D146" s="2442" t="str">
        <f ca="1">IF(D145=Data!$L$954,Data!$L$976,Data!$L$977)</f>
        <v>Resin AR 8207B-(for Hologram)</v>
      </c>
      <c r="E146" s="973">
        <f ca="1">SUMIFS(Paper!$N$7:$N$30,Paper!$A$7:$A$30,A145)</f>
        <v>0</v>
      </c>
      <c r="F146" s="967">
        <f ca="1">SUMIFS(Paper!$O$7:$O$30,Paper!$A$7:$A$30,A145)</f>
        <v>0</v>
      </c>
      <c r="G146" s="2441">
        <f ca="1">IF(A146="N",0,ROUNDUP(IF(D146=Data!$L$978,25/(463*686),IF(D146=Data!$L$976,Data!$P$976,Data!$P$977))*E146*F146,1))</f>
        <v>0</v>
      </c>
      <c r="H146" s="971" t="s">
        <v>1114</v>
      </c>
      <c r="I146" s="967">
        <f ca="1">IF(G146=0,0,SUMIFS(Data!$O$976:$O$978,Data!$L$976:$L$978,D146))</f>
        <v>0</v>
      </c>
      <c r="J146" s="967">
        <f ca="1">IF(A146="N",0,ROUNDUP(((B146/10000)*G146),1))</f>
        <v>0</v>
      </c>
      <c r="K146" s="967">
        <f ca="1">IF(G146&gt;0,1,0)*OFFSET(Paper!$J$7,R146,0)</f>
        <v>0</v>
      </c>
      <c r="L146" s="967">
        <f ca="1">K146*I146</f>
        <v>0</v>
      </c>
      <c r="M146" s="967">
        <f ca="1">IF(A146="N",0,I146*(J146+K146))</f>
        <v>0</v>
      </c>
      <c r="N146" s="967">
        <f t="shared" ca="1" si="119"/>
        <v>0</v>
      </c>
      <c r="O146" s="136" t="str">
        <f ca="1">OFFSET(input!$F$33,Q146,0)</f>
        <v>1st</v>
      </c>
      <c r="P146" s="136">
        <f t="shared" ref="P146:Q146" si="128">+P136+17</f>
        <v>229</v>
      </c>
      <c r="Q146" s="136">
        <f t="shared" si="128"/>
        <v>221</v>
      </c>
      <c r="R146" s="136">
        <f t="shared" si="121"/>
        <v>13</v>
      </c>
      <c r="AT146" s="3598">
        <f t="shared" ca="1" si="118"/>
        <v>0</v>
      </c>
      <c r="AU146" s="315">
        <f ca="1">COUNTIFS(AT$7:$AT146,1)</f>
        <v>1</v>
      </c>
    </row>
    <row r="147" spans="1:47" ht="15">
      <c r="AT147" s="3598" t="str">
        <f t="shared" si="118"/>
        <v/>
      </c>
      <c r="AU147" s="315">
        <f ca="1">COUNTIFS(AT$7:$AT147,1)</f>
        <v>1</v>
      </c>
    </row>
    <row r="148" spans="1:47" ht="15">
      <c r="A148" s="952" t="str">
        <f ca="1">OFFSET(input!$A$25,Q148,0)</f>
        <v>1st</v>
      </c>
      <c r="B148" s="891">
        <f ca="1">IF(A148="N",0,SUMIFS(Paper!$AC$7:$AC$30,Paper!$A$7:$A$30,Coating!A148))</f>
        <v>0</v>
      </c>
      <c r="C148" s="965" t="str">
        <f>input!F$27</f>
        <v>Front Side</v>
      </c>
      <c r="D148" s="966" t="str">
        <f ca="1">OFFSET(input!$E$27,P148,0)</f>
        <v>None</v>
      </c>
      <c r="E148" s="967">
        <f ca="1">SUMIFS(Paper!$N$7:$N$30,Paper!$A$7:$A$30,A148)</f>
        <v>0</v>
      </c>
      <c r="F148" s="967">
        <f ca="1">SUMIFS(Paper!$O$7:$O$30,Paper!$A$7:$A$30,A148)</f>
        <v>0</v>
      </c>
      <c r="G148" s="968">
        <f ca="1">IF(A148="N",0,IF(OFFSET(input!$G$27,P148,0)&gt;0,OFFSET(input!$G$27,P148,0),SUMIFS(Data!$P$913:$P$942,Data!$L$913:$L$942,D148)*E148*F148*IF(AND(C148="Back Side",OR(D148="OPV Wet Hi-Rub",D148="TK Matt Varnished 22493")),2,1)))</f>
        <v>0</v>
      </c>
      <c r="I148" s="967">
        <f ca="1">IF(G148=0,0,IF(OFFSET(input!$H$27,P148,0)&gt;0,OFFSET(input!$H$27,P148,0),SUMIFS(Data!$O$913:$O$942,Data!$L$913:$L$942,D148)))</f>
        <v>0</v>
      </c>
      <c r="J148" s="967">
        <f ca="1">ROUNDUP(IF(G148&gt;0,((B148/10000)*G148),0),1)</f>
        <v>0</v>
      </c>
      <c r="K148" s="967">
        <f ca="1">IF(G148&gt;0,1,0)*OFFSET(Paper!$J$7,R148,0)</f>
        <v>0</v>
      </c>
      <c r="L148" s="967">
        <f ca="1">K148*I148</f>
        <v>0</v>
      </c>
      <c r="M148" s="967">
        <f ca="1">IF(J148=0,0,I148*(J148+K148))</f>
        <v>0</v>
      </c>
      <c r="N148" s="967">
        <f ca="1">IF($D$2&gt;0,M148/($D$2),0)*(1+$N$5)</f>
        <v>0</v>
      </c>
      <c r="O148" s="136" t="str">
        <f ca="1">OFFSET(input!$F$33,Q148,0)</f>
        <v>1st</v>
      </c>
      <c r="P148" s="136">
        <f>+P138+17</f>
        <v>238</v>
      </c>
      <c r="Q148" s="136">
        <f>+Q138+17</f>
        <v>238</v>
      </c>
      <c r="R148" s="136">
        <f>+R138+1</f>
        <v>14</v>
      </c>
      <c r="AT148" s="3598">
        <f t="shared" ca="1" si="118"/>
        <v>0</v>
      </c>
      <c r="AU148" s="315">
        <f ca="1">COUNTIFS(AT$7:$AT148,1)</f>
        <v>1</v>
      </c>
    </row>
    <row r="149" spans="1:47" ht="15">
      <c r="A149" s="952" t="str">
        <f ca="1">OFFSET(input!$A$25,Q149,0)</f>
        <v>1st</v>
      </c>
      <c r="B149" s="891">
        <f ca="1">IF(A149="N",0,SUMIFS(Paper!$AC$7:$AC$30,Paper!$A$7:$A$30,Coating!A149))</f>
        <v>0</v>
      </c>
      <c r="C149" s="965" t="str">
        <f>input!F$28</f>
        <v>Front Side</v>
      </c>
      <c r="D149" s="966" t="str">
        <f ca="1">OFFSET(input!$E$27,P149,0)</f>
        <v>None</v>
      </c>
      <c r="E149" s="967">
        <f ca="1">SUMIFS(Paper!$N$7:$N$30,Paper!$A$7:$A$30,A149)</f>
        <v>0</v>
      </c>
      <c r="F149" s="967">
        <f ca="1">SUMIFS(Paper!$O$7:$O$30,Paper!$A$7:$A$30,A149)</f>
        <v>0</v>
      </c>
      <c r="G149" s="968">
        <f ca="1">IF(A149="N",0,IF(OFFSET(input!$G$27,P149,0)&gt;0,OFFSET(input!$G$27,P149,0),SUMIFS(Data!$P$913:$P$942,Data!$L$913:$L$942,D149)*E149*F149*IF(AND(C149="Back Side",OR(D149="OPV Wet Hi-Rub",D149="TK Matt Varnished 22493")),2,1)))</f>
        <v>0</v>
      </c>
      <c r="I149" s="967">
        <f ca="1">IF(G149=0,0,IF(OFFSET(input!$H$27,P149,0)&gt;0,OFFSET(input!$H$27,P149,0),SUMIFS(Data!$O$913:$O$942,Data!$L$913:$L$942,D149)))</f>
        <v>0</v>
      </c>
      <c r="J149" s="967">
        <f ca="1">ROUNDUP(IF(G149&gt;0,((B149/10000)*G149),0),1)</f>
        <v>0</v>
      </c>
      <c r="K149" s="967">
        <f ca="1">IF(G149&gt;0,1,0)*OFFSET(Paper!$J$7,R149,0)</f>
        <v>0</v>
      </c>
      <c r="L149" s="967">
        <f ca="1">K149*I149</f>
        <v>0</v>
      </c>
      <c r="M149" s="967">
        <f ca="1">IF(J149=0,0,I149*(J149+K149))</f>
        <v>0</v>
      </c>
      <c r="N149" s="967">
        <f t="shared" ref="N149:N156" ca="1" si="129">IF($D$2&gt;0,M149/($D$2),0)*(1+$N$5)</f>
        <v>0</v>
      </c>
      <c r="O149" s="136" t="str">
        <f ca="1">OFFSET(input!$F$33,Q149,0)</f>
        <v>1st</v>
      </c>
      <c r="P149" s="136">
        <f t="shared" ref="P149:Q149" si="130">+P139+17</f>
        <v>239</v>
      </c>
      <c r="Q149" s="136">
        <f t="shared" si="130"/>
        <v>238</v>
      </c>
      <c r="R149" s="136">
        <f t="shared" ref="R149:R156" si="131">+R139+1</f>
        <v>14</v>
      </c>
      <c r="AT149" s="3598">
        <f t="shared" ca="1" si="118"/>
        <v>0</v>
      </c>
      <c r="AU149" s="315">
        <f ca="1">COUNTIFS(AT$7:$AT149,1)</f>
        <v>1</v>
      </c>
    </row>
    <row r="150" spans="1:47" ht="15">
      <c r="A150" s="952" t="str">
        <f ca="1">OFFSET(input!$A$25,Q150,0)</f>
        <v>1st</v>
      </c>
      <c r="B150" s="891">
        <f ca="1">IF(A150="N",0,SUMIFS(Paper!$AC$7:$AC$30,Paper!$A$7:$A$30,Coating!A150))</f>
        <v>0</v>
      </c>
      <c r="C150" s="965" t="str">
        <f>input!F$29</f>
        <v>Front Side</v>
      </c>
      <c r="D150" s="966" t="str">
        <f ca="1">OFFSET(input!$E$27,P150,0)</f>
        <v>None</v>
      </c>
      <c r="E150" s="967">
        <f ca="1">SUMIFS(Paper!$N$7:$N$30,Paper!$A$7:$A$30,A150)</f>
        <v>0</v>
      </c>
      <c r="F150" s="967">
        <f ca="1">SUMIFS(Paper!$O$7:$O$30,Paper!$A$7:$A$30,A150)</f>
        <v>0</v>
      </c>
      <c r="G150" s="968">
        <f ca="1">IF(A150="N",0,IF(OFFSET(input!$G$27,P150,0)&gt;0,OFFSET(input!$G$27,P150,0),SUMIFS(Data!$P$913:$P$942,Data!$L$913:$L$942,D150)*E150*F150*IF(AND(C150="Back Side",OR(D150="OPV Wet Hi-Rub",D150="TK Matt Varnished 22493")),2,1)))</f>
        <v>0</v>
      </c>
      <c r="I150" s="967">
        <f ca="1">IF(G150=0,0,IF(OFFSET(input!$H$27,P150,0)&gt;0,OFFSET(input!$H$27,P150,0),SUMIFS(Data!$O$913:$O$942,Data!$L$913:$L$942,D150)))</f>
        <v>0</v>
      </c>
      <c r="J150" s="967">
        <f ca="1">ROUNDUP(IF(G150&gt;0,((B150/10000)*G150),0),1)</f>
        <v>0</v>
      </c>
      <c r="K150" s="967">
        <f ca="1">IF(G150&gt;0,1,0)*OFFSET(Paper!$J$7,R150,0)</f>
        <v>0</v>
      </c>
      <c r="L150" s="967">
        <f ca="1">K150*I150</f>
        <v>0</v>
      </c>
      <c r="M150" s="967">
        <f ca="1">IF(J150=0,0,I150*(J150+K150))</f>
        <v>0</v>
      </c>
      <c r="N150" s="967">
        <f t="shared" ca="1" si="129"/>
        <v>0</v>
      </c>
      <c r="O150" s="136" t="str">
        <f ca="1">OFFSET(input!$F$33,Q150,0)</f>
        <v>1st</v>
      </c>
      <c r="P150" s="136">
        <f t="shared" ref="P150:Q150" si="132">+P140+17</f>
        <v>240</v>
      </c>
      <c r="Q150" s="136">
        <f t="shared" si="132"/>
        <v>238</v>
      </c>
      <c r="R150" s="136">
        <f t="shared" si="131"/>
        <v>14</v>
      </c>
      <c r="AT150" s="3598">
        <f t="shared" ca="1" si="118"/>
        <v>0</v>
      </c>
      <c r="AU150" s="315">
        <f ca="1">COUNTIFS(AT$7:$AT150,1)</f>
        <v>1</v>
      </c>
    </row>
    <row r="151" spans="1:47" ht="15">
      <c r="A151" s="952" t="str">
        <f ca="1">OFFSET(input!$A$25,Q151,0)</f>
        <v>1st</v>
      </c>
      <c r="B151" s="891">
        <f ca="1">IF(A151="N",0,SUMIFS(Paper!$AC$7:$AC$30,Paper!$A$7:$A$30,Coating!A151))</f>
        <v>0</v>
      </c>
      <c r="C151" s="965" t="str">
        <f>input!F$30</f>
        <v>Front Side</v>
      </c>
      <c r="D151" s="966" t="str">
        <f ca="1">OFFSET(input!$E$27,P151,0)</f>
        <v>None</v>
      </c>
      <c r="E151" s="967">
        <f ca="1">SUMIFS(Paper!$N$7:$N$30,Paper!$A$7:$A$30,A151)</f>
        <v>0</v>
      </c>
      <c r="F151" s="967">
        <f ca="1">SUMIFS(Paper!$O$7:$O$30,Paper!$A$7:$A$30,A151)</f>
        <v>0</v>
      </c>
      <c r="G151" s="968">
        <f ca="1">IF(A151="N",0,IF(OFFSET(input!$G$27,P151,0)&gt;0,OFFSET(input!$G$27,P151,0),SUMIFS(Data!$P$913:$P$942,Data!$L$913:$L$942,D151)*E151*F151*IF(AND(C151="Back Side",OR(D151="OPV Wet Hi-Rub",D151="TK Matt Varnished 22493")),2,1)))</f>
        <v>0</v>
      </c>
      <c r="I151" s="967">
        <f ca="1">IF(G151=0,0,IF(OFFSET(input!$H$27,P151,0)&gt;0,OFFSET(input!$H$27,P151,0),SUMIFS(Data!$O$913:$O$942,Data!$L$913:$L$942,D151)))</f>
        <v>0</v>
      </c>
      <c r="J151" s="967">
        <f ca="1">ROUNDUP(IF(G151&gt;0,((B151/10000)*G151),0),1)</f>
        <v>0</v>
      </c>
      <c r="K151" s="967">
        <f ca="1">IF(G151&gt;0,1,0)*OFFSET(Paper!$J$7,R151,0)</f>
        <v>0</v>
      </c>
      <c r="L151" s="967">
        <f ca="1">K151*I151</f>
        <v>0</v>
      </c>
      <c r="M151" s="967">
        <f ca="1">IF(J151=0,0,I151*(J151+K151))</f>
        <v>0</v>
      </c>
      <c r="N151" s="967">
        <f t="shared" ca="1" si="129"/>
        <v>0</v>
      </c>
      <c r="O151" s="136" t="str">
        <f ca="1">OFFSET(input!$F$33,Q151,0)</f>
        <v>1st</v>
      </c>
      <c r="P151" s="136">
        <f t="shared" ref="P151:Q151" si="133">+P141+17</f>
        <v>241</v>
      </c>
      <c r="Q151" s="136">
        <f t="shared" si="133"/>
        <v>238</v>
      </c>
      <c r="R151" s="136">
        <f t="shared" si="131"/>
        <v>14</v>
      </c>
      <c r="AT151" s="3598">
        <f t="shared" ca="1" si="118"/>
        <v>0</v>
      </c>
      <c r="AU151" s="315">
        <f ca="1">COUNTIFS(AT$7:$AT151,1)</f>
        <v>1</v>
      </c>
    </row>
    <row r="152" spans="1:47" ht="15">
      <c r="A152" s="952" t="str">
        <f ca="1">OFFSET(input!$A$25,Q152,0)</f>
        <v>1st</v>
      </c>
      <c r="B152" s="891">
        <f ca="1">IF(A152="N",0,SUMIFS(Paper!$AC$7:$AC$30,Paper!$A$7:$A$30,Coating!A152))</f>
        <v>0</v>
      </c>
      <c r="C152" s="965" t="str">
        <f>input!F$31</f>
        <v>Front Side</v>
      </c>
      <c r="D152" s="966" t="str">
        <f ca="1">OFFSET(input!$E$27,P152,0)</f>
        <v>None</v>
      </c>
      <c r="E152" s="967">
        <f ca="1">SUMIFS(Paper!$N$7:$N$30,Paper!$A$7:$A$30,A152)</f>
        <v>0</v>
      </c>
      <c r="F152" s="967">
        <f ca="1">SUMIFS(Paper!$O$7:$O$30,Paper!$A$7:$A$30,A152)</f>
        <v>0</v>
      </c>
      <c r="G152" s="968">
        <f ca="1">IF(A152="N",0,IF(OFFSET(input!$G$27,P152,0)&gt;0,OFFSET(input!$G$27,P152,0),SUMIFS(Data!$P$913:$P$942,Data!$L$913:$L$942,D152)*E152*F152*IF(AND(C152="Back Side",OR(D152="OPV Wet Hi-Rub",D152="TK Matt Varnished 22493")),2,1)))</f>
        <v>0</v>
      </c>
      <c r="I152" s="967">
        <f ca="1">IF(G152=0,0,IF(OFFSET(input!$H$27,P152,0)&gt;0,OFFSET(input!$H$27,P152,0),SUMIFS(Data!$O$913:$O$942,Data!$L$913:$L$942,D152)))</f>
        <v>0</v>
      </c>
      <c r="J152" s="967">
        <f ca="1">ROUNDUP(IF(G152&gt;0,((B152/10000)*G152),0),1)</f>
        <v>0</v>
      </c>
      <c r="K152" s="967">
        <f ca="1">IF(G152&gt;0,1,0)*OFFSET(Paper!$J$7,R152,0)</f>
        <v>0</v>
      </c>
      <c r="L152" s="967">
        <f ca="1">K152*I152</f>
        <v>0</v>
      </c>
      <c r="M152" s="967">
        <f ca="1">IF(J152=0,0,I152*(J152+K152))</f>
        <v>0</v>
      </c>
      <c r="N152" s="967">
        <f t="shared" ca="1" si="129"/>
        <v>0</v>
      </c>
      <c r="O152" s="136" t="str">
        <f ca="1">OFFSET(input!$F$33,Q152,0)</f>
        <v>1st</v>
      </c>
      <c r="P152" s="136">
        <f t="shared" ref="P152:Q152" si="134">+P142+17</f>
        <v>242</v>
      </c>
      <c r="Q152" s="136">
        <f t="shared" si="134"/>
        <v>238</v>
      </c>
      <c r="R152" s="136">
        <f t="shared" si="131"/>
        <v>14</v>
      </c>
      <c r="AT152" s="3598">
        <f t="shared" ca="1" si="118"/>
        <v>0</v>
      </c>
      <c r="AU152" s="315">
        <f ca="1">COUNTIFS(AT$7:$AT152,1)</f>
        <v>1</v>
      </c>
    </row>
    <row r="153" spans="1:47" ht="15">
      <c r="A153" s="952" t="str">
        <f ca="1">OFFSET(input!$A$25,Q153,0)</f>
        <v>1st</v>
      </c>
      <c r="B153" s="891">
        <f ca="1">IF(A153="N",0,SUMIFS(Paper!$AC$7:$AC$30,Paper!$A$7:$A$30,Coating!A153))</f>
        <v>0</v>
      </c>
      <c r="C153" s="969">
        <f ca="1">SUMIFS(Data!$M$943:$M$959,Data!$L$943:$L$959,D153)</f>
        <v>0</v>
      </c>
      <c r="D153" s="970" t="str">
        <f ca="1">OFFSET(input!$J$27,P148,0)</f>
        <v>None</v>
      </c>
      <c r="E153" s="967">
        <f ca="1">IF(OFFSET(input!$K$27,P148,0)&gt;0,OFFSET(input!$K$27,P148,0),IF(OFFSET(input!$L$27,P148,0)="min",MAX(SUMIFS(Paper!$O$7:$O$30,Paper!$A$7:$A$30,A153),SUMIFS(Paper!$N$7:$N$30,Paper!$A$7:$A$30,A153)),MIN(SUMIFS(Paper!$O$7:$O$30,Paper!$A$7:$A$30,A153),SUMIFS(Paper!$N$7:$N$30,Paper!$A$7:$A$30,A153)))+2)</f>
        <v>50</v>
      </c>
      <c r="F153" s="967">
        <f ca="1">IF(OFFSET(input!$L$27,P148,0)="min",MIN(SUMIFS(Paper!$O$7:$O$30,Paper!$A$7:$A$30,A153),SUMIFS(Paper!$N$7:$N$30,Paper!$A$7:$A$30,A153)),MAX(SUMIFS(Paper!$O$7:$O$30,Paper!$A$7:$A$30,A153),SUMIFS(Paper!$N$7:$N$30,Paper!$A$7:$A$30,A153)))+3</f>
        <v>3</v>
      </c>
      <c r="G153" s="2441">
        <f ca="1">IF(A153="N",0,IF(OR(D153=Data!$L$943,D153=Data!$L$944,D153=Data!$L$947,D153=Data!$L$948,D153=Data!$L$949,D153=Data!$L$955,D153=Data!$L$956),ROUNDUP((E153/1000)*$C153,0),(ROUNDUP(($C153*(E153/1000)*(SUMIFS(Data!$P$943:$P$959,Data!$L$943:$L$959,D153)/1000)*SUMIFS(Data!$Q$943:$Q$959,Data!$L$943:$L$959,D153)),0))))</f>
        <v>0</v>
      </c>
      <c r="H153" s="2440" t="str">
        <f ca="1">IF(OR(D153=Data!$L$943,D153=Data!$L$944,D153=Data!$L$947,D153=Data!$L$948,D153=Data!$L$949,D153=Data!$L$955,D153=Data!$L$956),"M2/roll","Kg/roll")</f>
        <v>Kg/roll</v>
      </c>
      <c r="I153" s="967">
        <f ca="1">IF(G153=0,0,SUMIFS(Data!$O$938:$O$958,Data!$L$938:$L$958,D153))</f>
        <v>0</v>
      </c>
      <c r="J153" s="972">
        <f ca="1">IF(C153=0,0,(B153/($C153*1000/F153)))</f>
        <v>0</v>
      </c>
      <c r="K153" s="3716">
        <f ca="1">IF(C153=0,0,ROUNDUP((30/$C153)*OFFSET(Paper!$J$7,R153,0),2))</f>
        <v>0</v>
      </c>
      <c r="L153" s="967">
        <f ca="1">(K153*G153*I153)</f>
        <v>0</v>
      </c>
      <c r="M153" s="967">
        <f ca="1">IF(A153="N",0,I153*ROUNDUP(J153+K153,1)*G153)</f>
        <v>0</v>
      </c>
      <c r="N153" s="967">
        <f t="shared" ca="1" si="129"/>
        <v>0</v>
      </c>
      <c r="O153" s="136" t="str">
        <f ca="1">OFFSET(input!$F$33,Q153,0)</f>
        <v>1st</v>
      </c>
      <c r="P153" s="136">
        <f t="shared" ref="P153:Q153" si="135">+P143+17</f>
        <v>243</v>
      </c>
      <c r="Q153" s="136">
        <f t="shared" si="135"/>
        <v>238</v>
      </c>
      <c r="R153" s="136">
        <f t="shared" si="131"/>
        <v>14</v>
      </c>
      <c r="AT153" s="3598">
        <f t="shared" ca="1" si="118"/>
        <v>0</v>
      </c>
      <c r="AU153" s="315">
        <f ca="1">COUNTIFS(AT$7:$AT153,1)</f>
        <v>1</v>
      </c>
    </row>
    <row r="154" spans="1:47" ht="25.5">
      <c r="A154" s="2443" t="str">
        <f ca="1">IF(OR(D153=Data!$L$954,D153=Data!$L$958),A153,"N")</f>
        <v>N</v>
      </c>
      <c r="B154" s="891">
        <f ca="1">IF(A153="N",0,SUMIFS(Paper!$AC$7:$AC$30,Paper!$A$7:$A$30,Coating!A153))</f>
        <v>0</v>
      </c>
      <c r="C154" s="969"/>
      <c r="D154" s="2442" t="str">
        <f ca="1">IF(D153=Data!$L$954,Data!$L$976,Data!$L$977)</f>
        <v>Resin AR 8207B-(for Hologram)</v>
      </c>
      <c r="E154" s="973">
        <f ca="1">SUMIFS(Paper!$N$7:$N$30,Paper!$A$7:$A$30,A153)</f>
        <v>0</v>
      </c>
      <c r="F154" s="967">
        <f ca="1">SUMIFS(Paper!$O$7:$O$30,Paper!$A$7:$A$30,A153)</f>
        <v>0</v>
      </c>
      <c r="G154" s="2441">
        <f ca="1">IF(A154="N",0,ROUNDUP(IF(D154=Data!$L$978,25/(463*686),IF(D154=Data!$L$976,Data!$P$976,Data!$P$977))*E154*F154,1))</f>
        <v>0</v>
      </c>
      <c r="H154" s="971" t="s">
        <v>1114</v>
      </c>
      <c r="I154" s="967">
        <f ca="1">IF(G154=0,0,SUMIFS(Data!$O$976:$O$978,Data!$L$976:$L$978,D154))</f>
        <v>0</v>
      </c>
      <c r="J154" s="967">
        <f ca="1">IF(A154="N",0,ROUNDUP(((B154/10000)*G154),1))</f>
        <v>0</v>
      </c>
      <c r="K154" s="967">
        <f ca="1">IF(G154&gt;0,1,0)*OFFSET(Paper!$J$7,R154,0)</f>
        <v>0</v>
      </c>
      <c r="L154" s="967">
        <f ca="1">K154*I154</f>
        <v>0</v>
      </c>
      <c r="M154" s="967">
        <f ca="1">IF(A154="N",0,I154*(J154+K154))</f>
        <v>0</v>
      </c>
      <c r="N154" s="967">
        <f t="shared" ca="1" si="129"/>
        <v>0</v>
      </c>
      <c r="O154" s="136" t="str">
        <f ca="1">OFFSET(input!$F$33,Q154,0)</f>
        <v>1st</v>
      </c>
      <c r="P154" s="136">
        <f t="shared" ref="P154:Q154" si="136">+P144+17</f>
        <v>244</v>
      </c>
      <c r="Q154" s="136">
        <f t="shared" si="136"/>
        <v>238</v>
      </c>
      <c r="R154" s="136">
        <f t="shared" si="131"/>
        <v>14</v>
      </c>
      <c r="AT154" s="3598">
        <f t="shared" ca="1" si="118"/>
        <v>0</v>
      </c>
      <c r="AU154" s="315">
        <f ca="1">COUNTIFS(AT$7:$AT154,1)</f>
        <v>1</v>
      </c>
    </row>
    <row r="155" spans="1:47" ht="15">
      <c r="A155" s="952" t="str">
        <f ca="1">OFFSET(input!$A$25,Q155,0)</f>
        <v>1st</v>
      </c>
      <c r="B155" s="891">
        <f ca="1">IF(A155="N",0,SUMIFS(Paper!$AC$7:$AC$30,Paper!$A$7:$A$30,Coating!A155))</f>
        <v>0</v>
      </c>
      <c r="C155" s="969">
        <f ca="1">SUMIFS(Data!$M$943:$M$959,Data!$L$943:$L$959,D155)</f>
        <v>0</v>
      </c>
      <c r="D155" s="970" t="str">
        <f ca="1">OFFSET(input!$J$27,P149,0)</f>
        <v>None</v>
      </c>
      <c r="E155" s="967">
        <f ca="1">IF(OFFSET(input!$K$27,P149,0)&gt;0,OFFSET(input!$K$27,P149,0),IF(OFFSET(input!$L$27,P149,0)="min",MAX(SUMIFS(Paper!$O$7:$O$30,Paper!$A$7:$A$30,A155),SUMIFS(Paper!$N$7:$N$30,Paper!$A$7:$A$30,A155)),MIN(SUMIFS(Paper!$O$7:$O$30,Paper!$A$7:$A$30,A155),SUMIFS(Paper!$N$7:$N$30,Paper!$A$7:$A$30,A155)))+2)</f>
        <v>2</v>
      </c>
      <c r="F155" s="967">
        <f ca="1">IF(OFFSET(input!$L$27,P149,0)="min",MIN(SUMIFS(Paper!$O$7:$O$30,Paper!$A$7:$A$30,A155),SUMIFS(Paper!$N$7:$N$30,Paper!$A$7:$A$30,A155)),MAX(SUMIFS(Paper!$O$7:$O$30,Paper!$A$7:$A$30,A155),SUMIFS(Paper!$N$7:$N$30,Paper!$A$7:$A$30,A155)))+3</f>
        <v>3</v>
      </c>
      <c r="G155" s="2441">
        <f ca="1">IF(A155="N",0,IF(OR(D155=Data!$L$943,D155=Data!$L$944,D155=Data!$L$947,D155=Data!$L$948,D155=Data!$L$949,D155=Data!$L$955,D155=Data!$L$956),ROUNDUP((E155/1000)*$C155,0),(ROUNDUP(($C155*(E155/1000)*(SUMIFS(Data!$P$943:$P$959,Data!$L$943:$L$959,D155)/1000)*SUMIFS(Data!$Q$943:$Q$959,Data!$L$943:$L$959,D155)),0))))</f>
        <v>0</v>
      </c>
      <c r="H155" s="2440" t="str">
        <f ca="1">IF(OR(D155=Data!$L$943,D155=Data!$L$944,D155=Data!$L$947,D155=Data!$L$948,D155=Data!$L$949,D155=Data!$L$955,D155=Data!$L$956),"M2/roll","Kg/roll")</f>
        <v>Kg/roll</v>
      </c>
      <c r="I155" s="967">
        <f ca="1">IF(G155=0,0,SUMIFS(Data!$O$938:$O$958,Data!$L$938:$L$958,D155))</f>
        <v>0</v>
      </c>
      <c r="J155" s="967">
        <f ca="1">IF(C155=0,0,(B155/($C155*1000/F155)))</f>
        <v>0</v>
      </c>
      <c r="K155" s="3716">
        <f ca="1">IF(C155=0,0,ROUNDUP((30/$C155)*OFFSET(Paper!$J$7,R155,0),2))</f>
        <v>0</v>
      </c>
      <c r="L155" s="967">
        <f ca="1">(K155*G155*I155)</f>
        <v>0</v>
      </c>
      <c r="M155" s="967">
        <f ca="1">IF(A155="N",0,I155*ROUNDUP(J155+K155,1)*G155)</f>
        <v>0</v>
      </c>
      <c r="N155" s="967">
        <f t="shared" ca="1" si="129"/>
        <v>0</v>
      </c>
      <c r="O155" s="136" t="str">
        <f ca="1">OFFSET(input!$F$33,Q155,0)</f>
        <v>1st</v>
      </c>
      <c r="P155" s="136">
        <f t="shared" ref="P155:Q155" si="137">+P145+17</f>
        <v>245</v>
      </c>
      <c r="Q155" s="136">
        <f t="shared" si="137"/>
        <v>238</v>
      </c>
      <c r="R155" s="136">
        <f t="shared" si="131"/>
        <v>14</v>
      </c>
      <c r="AT155" s="3598">
        <f t="shared" ca="1" si="118"/>
        <v>0</v>
      </c>
      <c r="AU155" s="315">
        <f ca="1">COUNTIFS(AT$7:$AT155,1)</f>
        <v>1</v>
      </c>
    </row>
    <row r="156" spans="1:47" ht="25.5">
      <c r="A156" s="2443" t="str">
        <f ca="1">IF(OR(D155=Data!$L$954,D155=Data!$L$958),A155,"N")</f>
        <v>N</v>
      </c>
      <c r="B156" s="891">
        <f ca="1">IF(A155="N",0,SUMIFS(Paper!$AC$7:$AC$30,Paper!$A$7:$A$30,Coating!A155))</f>
        <v>0</v>
      </c>
      <c r="C156" s="969"/>
      <c r="D156" s="2442" t="str">
        <f ca="1">IF(D155=Data!$L$954,Data!$L$976,Data!$L$977)</f>
        <v>Resin AR 8207B-(for Hologram)</v>
      </c>
      <c r="E156" s="973">
        <f ca="1">SUMIFS(Paper!$N$7:$N$30,Paper!$A$7:$A$30,A155)</f>
        <v>0</v>
      </c>
      <c r="F156" s="967">
        <f ca="1">SUMIFS(Paper!$O$7:$O$30,Paper!$A$7:$A$30,A155)</f>
        <v>0</v>
      </c>
      <c r="G156" s="2441">
        <f ca="1">IF(A156="N",0,ROUNDUP(IF(D156=Data!$L$978,25/(463*686),IF(D156=Data!$L$976,Data!$P$976,Data!$P$977))*E156*F156,1))</f>
        <v>0</v>
      </c>
      <c r="H156" s="971" t="s">
        <v>1114</v>
      </c>
      <c r="I156" s="967">
        <f ca="1">IF(G156=0,0,SUMIFS(Data!$O$976:$O$978,Data!$L$976:$L$978,D156))</f>
        <v>0</v>
      </c>
      <c r="J156" s="967">
        <f ca="1">IF(A156="N",0,ROUNDUP(((B156/10000)*G156),1))</f>
        <v>0</v>
      </c>
      <c r="K156" s="967">
        <f ca="1">IF(G156&gt;0,1,0)*OFFSET(Paper!$J$7,R156,0)</f>
        <v>0</v>
      </c>
      <c r="L156" s="967">
        <f ca="1">K156*I156</f>
        <v>0</v>
      </c>
      <c r="M156" s="967">
        <f ca="1">IF(A156="N",0,I156*(J156+K156))</f>
        <v>0</v>
      </c>
      <c r="N156" s="967">
        <f t="shared" ca="1" si="129"/>
        <v>0</v>
      </c>
      <c r="O156" s="136" t="str">
        <f ca="1">OFFSET(input!$F$33,Q156,0)</f>
        <v>1st</v>
      </c>
      <c r="P156" s="136">
        <f t="shared" ref="P156:Q156" si="138">+P146+17</f>
        <v>246</v>
      </c>
      <c r="Q156" s="136">
        <f t="shared" si="138"/>
        <v>238</v>
      </c>
      <c r="R156" s="136">
        <f t="shared" si="131"/>
        <v>14</v>
      </c>
      <c r="AT156" s="3598">
        <f t="shared" ca="1" si="118"/>
        <v>0</v>
      </c>
      <c r="AU156" s="315">
        <f ca="1">COUNTIFS(AT$7:$AT156,1)</f>
        <v>1</v>
      </c>
    </row>
    <row r="157" spans="1:47" ht="15">
      <c r="AT157" s="3598" t="str">
        <f t="shared" si="118"/>
        <v/>
      </c>
      <c r="AU157" s="315">
        <f ca="1">COUNTIFS(AT$7:$AT157,1)</f>
        <v>1</v>
      </c>
    </row>
    <row r="158" spans="1:47" ht="15">
      <c r="A158" s="952" t="str">
        <f>input!$A$281</f>
        <v>N</v>
      </c>
      <c r="B158" s="891">
        <f>IF(A158="N",0,SUMIFS(Paper!$AC$7:$AC$30,Paper!$A$7:$A$30,Coating!A158))</f>
        <v>0</v>
      </c>
      <c r="C158" s="965" t="str">
        <f>input!F$283</f>
        <v>Front Side</v>
      </c>
      <c r="D158" s="966" t="str">
        <f>input!E$283</f>
        <v>None</v>
      </c>
      <c r="E158" s="967">
        <f>SUMIFS(Paper!$N$7:$N$30,Paper!$A$7:$A$30,A158)</f>
        <v>0</v>
      </c>
      <c r="F158" s="967">
        <f>SUMIFS(Paper!$O$7:$O$30,Paper!$A$7:$A$30,A158)</f>
        <v>0</v>
      </c>
      <c r="G158" s="968">
        <f>IF(A158="N",0,IF(input!G$283&gt;0,input!G$283,SUMIFS(Data!$P$913:$P$942,Data!$L$913:$L$942,D158)*E158*F158*IF(AND(C158="Back Side",OR(D158="OPV Wet Hi-Rub",D158="TK Matt Varnished 22493")),2,1)))</f>
        <v>0</v>
      </c>
      <c r="I158" s="967">
        <f>IF(G158=0,0,IF(input!H$283&gt;0,input!H$283,SUMIFS(Data!$O$913:$O$942,Data!$L$913:$L$942,D158)))</f>
        <v>0</v>
      </c>
      <c r="J158" s="967">
        <f>ROUNDUP(IF(G158&gt;0,((B158/10000)*G158),0),1)</f>
        <v>0</v>
      </c>
      <c r="K158" s="967">
        <f>IF(G158&gt;0,1,0)*Paper!$J$27</f>
        <v>0</v>
      </c>
      <c r="L158" s="967">
        <f>K158*I158</f>
        <v>0</v>
      </c>
      <c r="M158" s="967">
        <f>IF(J158=0,0,I158*(J158+K158))</f>
        <v>0</v>
      </c>
      <c r="N158" s="967">
        <f t="shared" ref="N158:N186" si="139">IF($D$2&gt;0,M158/($D$2),0)*(1+$N$5)</f>
        <v>0</v>
      </c>
      <c r="O158" s="136" t="str">
        <f>input!$F$289</f>
        <v>N</v>
      </c>
      <c r="P158" s="2993" t="s">
        <v>3692</v>
      </c>
      <c r="AT158" s="3598">
        <f t="shared" si="118"/>
        <v>0</v>
      </c>
      <c r="AU158" s="315">
        <f ca="1">COUNTIFS(AT$7:$AT158,1)</f>
        <v>1</v>
      </c>
    </row>
    <row r="159" spans="1:47" ht="15">
      <c r="A159" s="952" t="str">
        <f>input!$A$281</f>
        <v>N</v>
      </c>
      <c r="B159" s="891">
        <f>IF(A159="N",0,SUMIFS(Paper!$AC$7:$AC$30,Paper!$A$7:$A$30,Coating!A159))</f>
        <v>0</v>
      </c>
      <c r="C159" s="965" t="str">
        <f>input!F$284</f>
        <v>Front Side</v>
      </c>
      <c r="D159" s="966" t="str">
        <f>input!E$284</f>
        <v>None</v>
      </c>
      <c r="E159" s="967">
        <f>SUMIFS(Paper!$N$7:$N$30,Paper!$A$7:$A$30,A159)</f>
        <v>0</v>
      </c>
      <c r="F159" s="967">
        <f>SUMIFS(Paper!$O$7:$O$30,Paper!$A$7:$A$30,A159)</f>
        <v>0</v>
      </c>
      <c r="G159" s="968">
        <f>IF(A159="N",0,IF(input!G$284&gt;0,input!G$284,SUMIFS(Data!$P$913:$P$942,Data!$L$913:$L$942,D159)*E159*F159*IF(AND(C159="Back Side",OR(D159="OPV Wet Hi-Rub",D159="TK Matt Varnished 22493")),2,1)))</f>
        <v>0</v>
      </c>
      <c r="I159" s="967">
        <f>IF(G159=0,0,IF(input!H$284&gt;0,input!H$284,SUMIFS(Data!$O$913:$O$942,Data!$L$913:$L$942,D159)))</f>
        <v>0</v>
      </c>
      <c r="J159" s="967">
        <f>ROUNDUP(IF(G159&gt;0,((B159/10000)*G159),0),1)</f>
        <v>0</v>
      </c>
      <c r="K159" s="967">
        <f>IF(G159&gt;0,1,0)*Paper!$J$27</f>
        <v>0</v>
      </c>
      <c r="L159" s="967">
        <f>K159*I159</f>
        <v>0</v>
      </c>
      <c r="M159" s="967">
        <f>IF(J159=0,0,I159*(J159+K159))</f>
        <v>0</v>
      </c>
      <c r="N159" s="967">
        <f t="shared" si="139"/>
        <v>0</v>
      </c>
      <c r="O159" s="136" t="str">
        <f>input!$F$289</f>
        <v>N</v>
      </c>
      <c r="AT159" s="3598">
        <f t="shared" si="118"/>
        <v>0</v>
      </c>
      <c r="AU159" s="315">
        <f ca="1">COUNTIFS(AT$7:$AT159,1)</f>
        <v>1</v>
      </c>
    </row>
    <row r="160" spans="1:47" ht="15">
      <c r="A160" s="952" t="str">
        <f>input!$A$281</f>
        <v>N</v>
      </c>
      <c r="B160" s="891">
        <f>IF(A160="N",0,SUMIFS(Paper!$AC$7:$AC$30,Paper!$A$7:$A$30,Coating!A160))</f>
        <v>0</v>
      </c>
      <c r="C160" s="965" t="str">
        <f>input!F$285</f>
        <v>Front Side</v>
      </c>
      <c r="D160" s="966" t="str">
        <f>input!E$285</f>
        <v>None</v>
      </c>
      <c r="E160" s="967">
        <f>SUMIFS(Paper!$N$7:$N$30,Paper!$A$7:$A$30,A160)</f>
        <v>0</v>
      </c>
      <c r="F160" s="967">
        <f>SUMIFS(Paper!$O$7:$O$30,Paper!$A$7:$A$30,A160)</f>
        <v>0</v>
      </c>
      <c r="G160" s="968">
        <f>IF(A160="N",0,IF(input!G$285&gt;0,input!G$285,SUMIFS(Data!$P$913:$P$942,Data!$L$913:$L$942,D160)*E160*F160*IF(AND(C160="Back Side",OR(D160="OPV Wet Hi-Rub",D160="TK Matt Varnished 22493")),2,1)))</f>
        <v>0</v>
      </c>
      <c r="I160" s="967">
        <f>IF(G160=0,0,IF(input!H$285&gt;0,input!H$285,SUMIFS(Data!$O$913:$O$942,Data!$L$913:$L$942,D160)))</f>
        <v>0</v>
      </c>
      <c r="J160" s="967">
        <f>ROUNDUP(IF(G160&gt;0,((B160/10000)*G160),0),1)</f>
        <v>0</v>
      </c>
      <c r="K160" s="967">
        <f>IF(G160&gt;0,1,0)*Paper!$J$27</f>
        <v>0</v>
      </c>
      <c r="L160" s="967">
        <f>K160*I160</f>
        <v>0</v>
      </c>
      <c r="M160" s="967">
        <f>IF(J160=0,0,I160*(J160+K160))</f>
        <v>0</v>
      </c>
      <c r="N160" s="967">
        <f t="shared" si="139"/>
        <v>0</v>
      </c>
      <c r="O160" s="136" t="str">
        <f>input!$F$289</f>
        <v>N</v>
      </c>
      <c r="AT160" s="3598">
        <f t="shared" si="118"/>
        <v>0</v>
      </c>
      <c r="AU160" s="315">
        <f ca="1">COUNTIFS(AT$7:$AT160,1)</f>
        <v>1</v>
      </c>
    </row>
    <row r="161" spans="1:47" ht="15">
      <c r="A161" s="952" t="str">
        <f>input!$A$281</f>
        <v>N</v>
      </c>
      <c r="B161" s="891">
        <f>IF(A161="N",0,SUMIFS(Paper!$AC$7:$AC$30,Paper!$A$7:$A$30,Coating!A161))</f>
        <v>0</v>
      </c>
      <c r="C161" s="965" t="str">
        <f>input!F$286</f>
        <v>Front Side</v>
      </c>
      <c r="D161" s="966" t="str">
        <f>input!E$286</f>
        <v>None</v>
      </c>
      <c r="E161" s="967">
        <f>SUMIFS(Paper!$N$7:$N$30,Paper!$A$7:$A$30,A161)</f>
        <v>0</v>
      </c>
      <c r="F161" s="967">
        <f>SUMIFS(Paper!$O$7:$O$30,Paper!$A$7:$A$30,A161)</f>
        <v>0</v>
      </c>
      <c r="G161" s="968">
        <f>IF(A161="N",0,IF(input!G$286&gt;0,input!G$286,SUMIFS(Data!$P$913:$P$942,Data!$L$913:$L$942,D161)*E161*F161*IF(AND(C161="Back Side",OR(D161="OPV Wet Hi-Rub",D161="TK Matt Varnished 22493")),2,1)))</f>
        <v>0</v>
      </c>
      <c r="I161" s="967">
        <f>IF(G161=0,0,IF(input!H$286&gt;0,input!H$286,SUMIFS(Data!$O$913:$O$942,Data!$L$913:$L$942,D161)))</f>
        <v>0</v>
      </c>
      <c r="J161" s="967">
        <f>ROUNDUP(IF(G161&gt;0,((B161/10000)*G161),0),1)</f>
        <v>0</v>
      </c>
      <c r="K161" s="967">
        <f>IF(G161&gt;0,1,0)*Paper!$J$27</f>
        <v>0</v>
      </c>
      <c r="L161" s="967">
        <f>K161*I161</f>
        <v>0</v>
      </c>
      <c r="M161" s="967">
        <f>IF(J161=0,0,I161*(J161+K161))</f>
        <v>0</v>
      </c>
      <c r="N161" s="967">
        <f t="shared" si="139"/>
        <v>0</v>
      </c>
      <c r="O161" s="136" t="str">
        <f>input!$F$289</f>
        <v>N</v>
      </c>
      <c r="AT161" s="3598">
        <f t="shared" si="118"/>
        <v>0</v>
      </c>
      <c r="AU161" s="315">
        <f ca="1">COUNTIFS(AT$7:$AT161,1)</f>
        <v>1</v>
      </c>
    </row>
    <row r="162" spans="1:47" ht="15">
      <c r="A162" s="952" t="str">
        <f>input!$A$281</f>
        <v>N</v>
      </c>
      <c r="B162" s="891">
        <f>IF(A162="N",0,SUMIFS(Paper!$AC$7:$AC$30,Paper!$A$7:$A$30,Coating!A162))</f>
        <v>0</v>
      </c>
      <c r="C162" s="965" t="str">
        <f>input!F$287</f>
        <v>Front Side</v>
      </c>
      <c r="D162" s="966" t="str">
        <f>input!E$287</f>
        <v>None</v>
      </c>
      <c r="E162" s="967">
        <f>SUMIFS(Paper!$N$7:$N$30,Paper!$A$7:$A$30,A162)</f>
        <v>0</v>
      </c>
      <c r="F162" s="967">
        <f>SUMIFS(Paper!$O$7:$O$30,Paper!$A$7:$A$30,A162)</f>
        <v>0</v>
      </c>
      <c r="G162" s="968">
        <f>IF(A162="N",0,IF(input!G$287&gt;0,input!G$287,SUMIFS(Data!$P$913:$P$942,Data!$L$913:$L$942,D162)*E162*F162*IF(AND(C162="Back Side",OR(D162="OPV Wet Hi-Rub",D162="TK Matt Varnished 22493")),2,1)))</f>
        <v>0</v>
      </c>
      <c r="I162" s="967">
        <f>IF(G162=0,0,IF(input!H$287&gt;0,input!H$287,SUMIFS(Data!$O$913:$O$942,Data!$L$913:$L$942,D162)))</f>
        <v>0</v>
      </c>
      <c r="J162" s="967">
        <f>ROUNDUP(IF(G162&gt;0,((B162/10000)*G162),0),1)</f>
        <v>0</v>
      </c>
      <c r="K162" s="967">
        <f>IF(G162&gt;0,1,0)*Paper!$J$27</f>
        <v>0</v>
      </c>
      <c r="L162" s="967">
        <f>K162*I162</f>
        <v>0</v>
      </c>
      <c r="M162" s="967">
        <f>IF(J162=0,0,I162*(J162+K162))</f>
        <v>0</v>
      </c>
      <c r="N162" s="967">
        <f t="shared" si="139"/>
        <v>0</v>
      </c>
      <c r="O162" s="136" t="str">
        <f>input!$F$289</f>
        <v>N</v>
      </c>
      <c r="AT162" s="3598">
        <f t="shared" si="118"/>
        <v>0</v>
      </c>
      <c r="AU162" s="315">
        <f ca="1">COUNTIFS(AT$7:$AT162,1)</f>
        <v>1</v>
      </c>
    </row>
    <row r="163" spans="1:47" ht="15">
      <c r="A163" s="952" t="str">
        <f>input!$A$281</f>
        <v>N</v>
      </c>
      <c r="B163" s="891">
        <f>IF(A163="N",0,SUMIFS(Paper!$AC$7:$AC$30,Paper!$A$7:$A$30,Coating!A163))</f>
        <v>0</v>
      </c>
      <c r="C163" s="969">
        <f>SUMIFS(Data!$M$943:$M$959,Data!$L$943:$L$959,D163)</f>
        <v>0</v>
      </c>
      <c r="D163" s="970" t="str">
        <f>input!J$283</f>
        <v>None</v>
      </c>
      <c r="E163" s="967">
        <f>IF(input!K$283&gt;0,input!K$283,IF(input!L$283="min",MAX(SUMIFS(Paper!$O$7:$O$30,Paper!$A$7:$A$30,A163),SUMIFS(Paper!$N$7:$N$30,Paper!$A$7:$A$30,A163)),MIN(SUMIFS(Paper!$O$7:$O$30,Paper!$A$7:$A$30,A163),SUMIFS(Paper!$N$7:$N$30,Paper!$A$7:$A$30,A163)))+2)</f>
        <v>2</v>
      </c>
      <c r="F163" s="967">
        <f>IF(input!L$283="min",MIN(SUMIFS(Paper!$O$7:$O$30,Paper!$A$7:$A$30,A163),SUMIFS(Paper!$N$7:$N$30,Paper!$A$7:$A$30,A163)),MAX(SUMIFS(Paper!$O$7:$O$30,Paper!$A$7:$A$30,A163),SUMIFS(Paper!$N$7:$N$30,Paper!$A$7:$A$30,A163)))+3</f>
        <v>3</v>
      </c>
      <c r="G163" s="2441">
        <f>IF(A163="N",0,IF(OR(D163=Data!$L$943,D163=Data!$L$944,D163=Data!$L$947,D163=Data!$L$948,D163=Data!$L$949,D163=Data!$L$955,D163=Data!$L$956),ROUNDUP((E163/1000)*$C163,0),(ROUNDUP(($C163*(E163/1000)*(SUMIFS(Data!$P$943:$P$959,Data!$L$943:$L$959,D163)/1000)*SUMIFS(Data!$Q$943:$Q$959,Data!$L$943:$L$959,D163)),0))))</f>
        <v>0</v>
      </c>
      <c r="H163" s="2440" t="str">
        <f>IF(OR(D163=Data!$L$943,D163=Data!$L$944,D163=Data!$L$947,D163=Data!$L$948,D163=Data!$L$949,D163=Data!$L$955,D163=Data!$L$956),"M2/roll","Kg/roll")</f>
        <v>Kg/roll</v>
      </c>
      <c r="I163" s="967">
        <f>IF(G163=0,0,SUMIFS(Data!$O$938:$O$958,Data!$L$938:$L$958,D163))</f>
        <v>0</v>
      </c>
      <c r="J163" s="967">
        <f>IF(C163=0,0,(B163/($C163*1000/F163)))</f>
        <v>0</v>
      </c>
      <c r="K163" s="967">
        <f>IF(C163=0,0,ROUNDUP((30/$C163)*Paper!$J$27,2))</f>
        <v>0</v>
      </c>
      <c r="L163" s="967">
        <f>(K163*G163*I163)</f>
        <v>0</v>
      </c>
      <c r="M163" s="967">
        <f>IF(A163="N",0,I163*ROUNDUP(J163+K163,1)*G163)</f>
        <v>0</v>
      </c>
      <c r="N163" s="967">
        <f t="shared" si="139"/>
        <v>0</v>
      </c>
      <c r="O163" s="136" t="str">
        <f>input!$F$289</f>
        <v>N</v>
      </c>
      <c r="AT163" s="3598">
        <f t="shared" si="118"/>
        <v>0</v>
      </c>
      <c r="AU163" s="315">
        <f ca="1">COUNTIFS(AT$7:$AT163,1)</f>
        <v>1</v>
      </c>
    </row>
    <row r="164" spans="1:47" ht="25.5">
      <c r="A164" s="2443" t="str">
        <f>IF(OR(D163=Data!$L$954,D163=Data!$L$958),A163,"N")</f>
        <v>N</v>
      </c>
      <c r="B164" s="891">
        <f>IF(A163="N",0,SUMIFS(Paper!$AC$7:$AC$30,Paper!$A$7:$A$30,Coating!A163))</f>
        <v>0</v>
      </c>
      <c r="C164" s="969"/>
      <c r="D164" s="2442" t="str">
        <f>IF(D163=Data!$L$954,Data!$L$976,Data!$L$978)</f>
        <v>Resin AR 8207B-(for OPP)</v>
      </c>
      <c r="E164" s="973">
        <f>SUMIFS(Paper!$N$7:$N$30,Paper!$A$7:$A$30,A163)</f>
        <v>0</v>
      </c>
      <c r="F164" s="967">
        <f>SUMIFS(Paper!$O$7:$O$30,Paper!$A$7:$A$30,A163)</f>
        <v>0</v>
      </c>
      <c r="G164" s="2441">
        <f>IF(A164="N",0,ROUNDUP(IF(D164=Data!$L$978,25/(463*686),IF(D164=Data!$L$976,Data!$P$976,Data!$P$977))*E164*F164,1))</f>
        <v>0</v>
      </c>
      <c r="H164" s="971" t="s">
        <v>1114</v>
      </c>
      <c r="I164" s="967">
        <f>IF(G164=0,0,SUMIFS(Data!$O$976:$O$978,Data!$L$976:$L$978,D164))</f>
        <v>0</v>
      </c>
      <c r="J164" s="967">
        <f>IF(A164="N",0,ROUNDUP(((B164/10000)*G164),1))</f>
        <v>0</v>
      </c>
      <c r="K164" s="967">
        <f>IF(G164&gt;0,1,0)*Paper!$J$27</f>
        <v>0</v>
      </c>
      <c r="L164" s="967">
        <f>K164*I164</f>
        <v>0</v>
      </c>
      <c r="M164" s="967">
        <f>IF(A164="N",0,I164*(J164+K164))</f>
        <v>0</v>
      </c>
      <c r="N164" s="967">
        <f t="shared" si="139"/>
        <v>0</v>
      </c>
      <c r="O164" s="136" t="str">
        <f>input!$F$289</f>
        <v>N</v>
      </c>
      <c r="AT164" s="3598">
        <f t="shared" si="118"/>
        <v>0</v>
      </c>
      <c r="AU164" s="315">
        <f ca="1">COUNTIFS(AT$7:$AT164,1)</f>
        <v>1</v>
      </c>
    </row>
    <row r="165" spans="1:47" ht="15">
      <c r="A165" s="952" t="str">
        <f>input!$A$281</f>
        <v>N</v>
      </c>
      <c r="B165" s="891">
        <f>IF(A165="N",0,SUMIFS(Paper!$AC$7:$AC$30,Paper!$A$7:$A$30,Coating!A165))</f>
        <v>0</v>
      </c>
      <c r="C165" s="969">
        <f>SUMIFS(Data!$M$943:$M$959,Data!$L$943:$L$959,D165)</f>
        <v>0</v>
      </c>
      <c r="D165" s="970" t="str">
        <f>input!J$284</f>
        <v>None</v>
      </c>
      <c r="E165" s="967">
        <f>IF(input!K$284&gt;0,input!K$284,IF(input!L$284="min",MAX(SUMIFS(Paper!$O$7:$O$30,Paper!$A$7:$A$30,A165),SUMIFS(Paper!$N$7:$N$30,Paper!$A$7:$A$30,A165)),MIN(SUMIFS(Paper!$O$7:$O$30,Paper!$A$7:$A$30,A165),SUMIFS(Paper!$N$7:$N$30,Paper!$A$7:$A$30,A165)))+2)</f>
        <v>2</v>
      </c>
      <c r="F165" s="967">
        <f>IF(input!L$284="min",MIN(SUMIFS(Paper!$O$7:$O$30,Paper!$A$7:$A$30,A165),SUMIFS(Paper!$N$7:$N$30,Paper!$A$7:$A$30,A165)),MAX(SUMIFS(Paper!$O$7:$O$30,Paper!$A$7:$A$30,A165),SUMIFS(Paper!$N$7:$N$30,Paper!$A$7:$A$30,A165)))+3</f>
        <v>3</v>
      </c>
      <c r="G165" s="2441">
        <f>IF(A165="N",0,IF(OR(D165=Data!$L$943,D165=Data!$L$944,D165=Data!$L$947,D165=Data!$L$948,D165=Data!$L$949,D165=Data!$L$955,D165=Data!$L$956),ROUNDUP((E165/1000)*$C165,0),(ROUNDUP(($C165*(E165/1000)*(SUMIFS(Data!$P$943:$P$959,Data!$L$943:$L$959,D165)/1000)*SUMIFS(Data!$Q$943:$Q$959,Data!$L$943:$L$959,D165)),0))))</f>
        <v>0</v>
      </c>
      <c r="H165" s="2440" t="str">
        <f>IF(OR(D165=Data!$L$943,D165=Data!$L$944,D165=Data!$L$947,D165=Data!$L$948,D165=Data!$L$949,D165=Data!$L$955,D165=Data!$L$956),"M2/roll","Kg/roll")</f>
        <v>Kg/roll</v>
      </c>
      <c r="I165" s="967">
        <f>IF(G165=0,0,SUMIFS(Data!$O$938:$O$958,Data!$L$938:$L$958,D165))</f>
        <v>0</v>
      </c>
      <c r="J165" s="967">
        <f>IF(C165=0,0,(B165/($C165*1000/F165)))</f>
        <v>0</v>
      </c>
      <c r="K165" s="967">
        <f>IF(C165=0,0,ROUNDUP((30/$C165)*Paper!$J$27,2))</f>
        <v>0</v>
      </c>
      <c r="L165" s="967">
        <f>(K165*G165*I165)</f>
        <v>0</v>
      </c>
      <c r="M165" s="967">
        <f>IF(A165="N",0,I165*ROUNDUP(J165+K165,1)*G165)</f>
        <v>0</v>
      </c>
      <c r="N165" s="967">
        <f t="shared" si="139"/>
        <v>0</v>
      </c>
      <c r="O165" s="136" t="str">
        <f>input!$F$289</f>
        <v>N</v>
      </c>
      <c r="AT165" s="3598">
        <f t="shared" si="118"/>
        <v>0</v>
      </c>
      <c r="AU165" s="315">
        <f ca="1">COUNTIFS(AT$7:$AT165,1)</f>
        <v>1</v>
      </c>
    </row>
    <row r="166" spans="1:47" ht="25.5">
      <c r="A166" s="2443" t="str">
        <f>IF(OR(D165=Data!$L$954,D165=Data!$L$958),A165,"N")</f>
        <v>N</v>
      </c>
      <c r="B166" s="891">
        <f>IF(A165="N",0,SUMIFS(Paper!$AC$7:$AC$30,Paper!$A$7:$A$30,Coating!A165))</f>
        <v>0</v>
      </c>
      <c r="C166" s="969"/>
      <c r="D166" s="2442" t="str">
        <f>IF(D165=Data!$L$954,Data!$L$976,Data!$L$978)</f>
        <v>Resin AR 8207B-(for OPP)</v>
      </c>
      <c r="E166" s="973">
        <f>SUMIFS(Paper!$N$7:$N$30,Paper!$A$7:$A$30,A165)</f>
        <v>0</v>
      </c>
      <c r="F166" s="967">
        <f>SUMIFS(Paper!$O$7:$O$30,Paper!$A$7:$A$30,A165)</f>
        <v>0</v>
      </c>
      <c r="G166" s="2441">
        <f>IF(A166="N",0,ROUNDUP(IF(D166=Data!$L$978,25/(463*686),IF(D166=Data!$L$976,Data!$P$976,Data!$P$977))*E166*F166,1))</f>
        <v>0</v>
      </c>
      <c r="H166" s="971" t="s">
        <v>1114</v>
      </c>
      <c r="I166" s="967">
        <f>IF(G166=0,0,SUMIFS(Data!$O$976:$O$978,Data!$L$976:$L$978,D166))</f>
        <v>0</v>
      </c>
      <c r="J166" s="967">
        <f>IF(A166="N",0,ROUNDUP(((B166/10000)*G166),1))</f>
        <v>0</v>
      </c>
      <c r="K166" s="967">
        <f>IF(G166&gt;0,1,0)</f>
        <v>0</v>
      </c>
      <c r="L166" s="967">
        <f>K166*I166</f>
        <v>0</v>
      </c>
      <c r="M166" s="967">
        <f>IF(A166="N",0,I166*(J166+K166))</f>
        <v>0</v>
      </c>
      <c r="N166" s="967">
        <f t="shared" si="139"/>
        <v>0</v>
      </c>
      <c r="O166" s="136" t="str">
        <f>input!$F$289</f>
        <v>N</v>
      </c>
      <c r="AT166" s="3598">
        <f t="shared" si="118"/>
        <v>0</v>
      </c>
      <c r="AU166" s="315">
        <f ca="1">COUNTIFS(AT$7:$AT166,1)</f>
        <v>1</v>
      </c>
    </row>
    <row r="167" spans="1:47" ht="15">
      <c r="AT167" s="3598" t="str">
        <f t="shared" si="118"/>
        <v/>
      </c>
      <c r="AU167" s="315">
        <f ca="1">COUNTIFS(AT$7:$AT167,1)</f>
        <v>1</v>
      </c>
    </row>
    <row r="168" spans="1:47" ht="15">
      <c r="A168" s="952" t="str">
        <f>input!$A$291</f>
        <v>N</v>
      </c>
      <c r="B168" s="891">
        <f>IF(A168="N",0,SUMIFS(Paper!$AC$7:$AC$30,Paper!$A$7:$A$30,Coating!A168))</f>
        <v>0</v>
      </c>
      <c r="C168" s="965" t="str">
        <f>input!F$293</f>
        <v>Front Side</v>
      </c>
      <c r="D168" s="966" t="str">
        <f>input!E$293</f>
        <v>None</v>
      </c>
      <c r="E168" s="967">
        <f>SUMIFS(Paper!$N$7:$N$30,Paper!$A$7:$A$30,A168)</f>
        <v>0</v>
      </c>
      <c r="F168" s="967">
        <f>SUMIFS(Paper!$O$7:$O$30,Paper!$A$7:$A$30,A168)</f>
        <v>0</v>
      </c>
      <c r="G168" s="968">
        <f>IF(A168="N",0,IF(input!G$293&gt;0,input!G$293,SUMIFS(Data!$P$913:$P$942,Data!$L$913:$L$942,D168)*E168*F168*IF(AND(C168="Back Side",OR(D168="OPV Wet Hi-Rub",D168="TK Matt Varnished 22493")),2,1)))</f>
        <v>0</v>
      </c>
      <c r="I168" s="967">
        <f>IF(G168=0,0,IF(input!H$293&gt;0,input!H$293,SUMIFS(Data!$O$913:$O$942,Data!$L$913:$L$942,D168)))</f>
        <v>0</v>
      </c>
      <c r="J168" s="967">
        <f>ROUNDUP(IF(G168&gt;0,((B168/10000)*G168),0),1)</f>
        <v>0</v>
      </c>
      <c r="K168" s="967">
        <f>IF(G168&gt;0,1,0)*Paper!$J$28</f>
        <v>0</v>
      </c>
      <c r="L168" s="967">
        <f>K168*I168</f>
        <v>0</v>
      </c>
      <c r="M168" s="967">
        <f>IF(J168=0,0,I168*(J168+K168))</f>
        <v>0</v>
      </c>
      <c r="N168" s="967">
        <f t="shared" si="139"/>
        <v>0</v>
      </c>
      <c r="O168" s="136" t="str">
        <f>input!$F$299</f>
        <v>N</v>
      </c>
      <c r="AT168" s="3598">
        <f t="shared" si="118"/>
        <v>0</v>
      </c>
      <c r="AU168" s="315">
        <f ca="1">COUNTIFS(AT$7:$AT168,1)</f>
        <v>1</v>
      </c>
    </row>
    <row r="169" spans="1:47" ht="15">
      <c r="A169" s="952" t="str">
        <f>input!$A$291</f>
        <v>N</v>
      </c>
      <c r="B169" s="891">
        <f>IF(A169="N",0,SUMIFS(Paper!$AC$7:$AC$30,Paper!$A$7:$A$30,Coating!A169))</f>
        <v>0</v>
      </c>
      <c r="C169" s="965" t="str">
        <f>input!F$294</f>
        <v>Front Side</v>
      </c>
      <c r="D169" s="966" t="str">
        <f>input!E$294</f>
        <v>None</v>
      </c>
      <c r="E169" s="967">
        <f>SUMIFS(Paper!$N$7:$N$30,Paper!$A$7:$A$30,A169)</f>
        <v>0</v>
      </c>
      <c r="F169" s="967">
        <f>SUMIFS(Paper!$O$7:$O$30,Paper!$A$7:$A$30,A169)</f>
        <v>0</v>
      </c>
      <c r="G169" s="968">
        <f>IF(A169="N",0,IF(input!G$294&gt;0,input!G$294,SUMIFS(Data!$P$913:$P$942,Data!$L$913:$L$942,D169)*E169*F169*IF(AND(C169="Back Side",OR(D169="OPV Wet Hi-Rub",D169="TK Matt Varnished 22493")),2,1)))</f>
        <v>0</v>
      </c>
      <c r="I169" s="967">
        <f>IF(G169=0,0,IF(input!H$294&gt;0,input!H$294,SUMIFS(Data!$O$913:$O$942,Data!$L$913:$L$942,D169)))</f>
        <v>0</v>
      </c>
      <c r="J169" s="967">
        <f>ROUNDUP(IF(G169&gt;0,((B169/10000)*G169),0),1)</f>
        <v>0</v>
      </c>
      <c r="K169" s="967">
        <f>IF(G169&gt;0,1,0)*Paper!$J$28</f>
        <v>0</v>
      </c>
      <c r="L169" s="967">
        <f>K169*I169</f>
        <v>0</v>
      </c>
      <c r="M169" s="967">
        <f>IF(J169=0,0,I169*(J169+K169))</f>
        <v>0</v>
      </c>
      <c r="N169" s="967">
        <f t="shared" si="139"/>
        <v>0</v>
      </c>
      <c r="O169" s="136" t="str">
        <f>input!$F$299</f>
        <v>N</v>
      </c>
      <c r="AT169" s="3598">
        <f t="shared" si="118"/>
        <v>0</v>
      </c>
      <c r="AU169" s="315">
        <f ca="1">COUNTIFS(AT$7:$AT169,1)</f>
        <v>1</v>
      </c>
    </row>
    <row r="170" spans="1:47" ht="15">
      <c r="A170" s="952" t="str">
        <f>input!$A$291</f>
        <v>N</v>
      </c>
      <c r="B170" s="891">
        <f>IF(A170="N",0,SUMIFS(Paper!$AC$7:$AC$30,Paper!$A$7:$A$30,Coating!A170))</f>
        <v>0</v>
      </c>
      <c r="C170" s="965" t="str">
        <f>input!F$295</f>
        <v>Front Side</v>
      </c>
      <c r="D170" s="966" t="str">
        <f>input!E$295</f>
        <v>None</v>
      </c>
      <c r="E170" s="967">
        <f>SUMIFS(Paper!$N$7:$N$30,Paper!$A$7:$A$30,A170)</f>
        <v>0</v>
      </c>
      <c r="F170" s="967">
        <f>SUMIFS(Paper!$O$7:$O$30,Paper!$A$7:$A$30,A170)</f>
        <v>0</v>
      </c>
      <c r="G170" s="968">
        <f>IF(A170="N",0,IF(input!G$295&gt;0,input!G$295,SUMIFS(Data!$P$913:$P$942,Data!$L$913:$L$942,D170)*E170*F170*IF(AND(C170="Back Side",OR(D170="OPV Wet Hi-Rub",D170="TK Matt Varnished 22493")),2,1)))</f>
        <v>0</v>
      </c>
      <c r="I170" s="967">
        <f>IF(G170=0,0,IF(input!H$295&gt;0,input!H$295,SUMIFS(Data!$O$913:$O$942,Data!$L$913:$L$942,D170)))</f>
        <v>0</v>
      </c>
      <c r="J170" s="967">
        <f>ROUNDUP(IF(G170&gt;0,((B170/10000)*G170),0),1)</f>
        <v>0</v>
      </c>
      <c r="K170" s="967">
        <f>IF(G170&gt;0,1,0)*Paper!$J$28</f>
        <v>0</v>
      </c>
      <c r="L170" s="967">
        <f>K170*I170</f>
        <v>0</v>
      </c>
      <c r="M170" s="967">
        <f>IF(J170=0,0,I170*(J170+K170))</f>
        <v>0</v>
      </c>
      <c r="N170" s="967">
        <f t="shared" si="139"/>
        <v>0</v>
      </c>
      <c r="O170" s="136" t="str">
        <f>input!$F$299</f>
        <v>N</v>
      </c>
      <c r="AT170" s="3598">
        <f t="shared" si="118"/>
        <v>0</v>
      </c>
      <c r="AU170" s="315">
        <f ca="1">COUNTIFS(AT$7:$AT170,1)</f>
        <v>1</v>
      </c>
    </row>
    <row r="171" spans="1:47" ht="15">
      <c r="A171" s="952" t="str">
        <f>input!$A$291</f>
        <v>N</v>
      </c>
      <c r="B171" s="891">
        <f>IF(A171="N",0,SUMIFS(Paper!$AC$7:$AC$30,Paper!$A$7:$A$30,Coating!A171))</f>
        <v>0</v>
      </c>
      <c r="C171" s="965" t="str">
        <f>input!F$296</f>
        <v>Front Side</v>
      </c>
      <c r="D171" s="966" t="str">
        <f>input!E$296</f>
        <v>None</v>
      </c>
      <c r="E171" s="967">
        <f>SUMIFS(Paper!$N$7:$N$30,Paper!$A$7:$A$30,A171)</f>
        <v>0</v>
      </c>
      <c r="F171" s="967">
        <f>SUMIFS(Paper!$O$7:$O$30,Paper!$A$7:$A$30,A171)</f>
        <v>0</v>
      </c>
      <c r="G171" s="968">
        <f>IF(A171="N",0,IF(input!G$296&gt;0,input!G$296,SUMIFS(Data!$P$913:$P$942,Data!$L$913:$L$942,D171)*E171*F171*IF(AND(C171="Back Side",OR(D171="OPV Wet Hi-Rub",D171="TK Matt Varnished 22493")),2,1)))</f>
        <v>0</v>
      </c>
      <c r="I171" s="967">
        <f>IF(G171=0,0,IF(input!H$296&gt;0,input!H$296,SUMIFS(Data!$O$913:$O$942,Data!$L$913:$L$942,D171)))</f>
        <v>0</v>
      </c>
      <c r="J171" s="967">
        <f>ROUNDUP(IF(G171&gt;0,((B171/10000)*G171),0),1)</f>
        <v>0</v>
      </c>
      <c r="K171" s="967">
        <f>IF(G171&gt;0,1,0)*Paper!$J$28</f>
        <v>0</v>
      </c>
      <c r="L171" s="967">
        <f>K171*I171</f>
        <v>0</v>
      </c>
      <c r="M171" s="967">
        <f>IF(J171=0,0,I171*(J171+K171))</f>
        <v>0</v>
      </c>
      <c r="N171" s="967">
        <f t="shared" si="139"/>
        <v>0</v>
      </c>
      <c r="O171" s="136" t="str">
        <f>input!$F$299</f>
        <v>N</v>
      </c>
      <c r="AT171" s="3598">
        <f t="shared" si="118"/>
        <v>0</v>
      </c>
      <c r="AU171" s="315">
        <f ca="1">COUNTIFS(AT$7:$AT171,1)</f>
        <v>1</v>
      </c>
    </row>
    <row r="172" spans="1:47" ht="15">
      <c r="A172" s="952" t="str">
        <f>input!$A$291</f>
        <v>N</v>
      </c>
      <c r="B172" s="891">
        <f>IF(A172="N",0,SUMIFS(Paper!$AC$7:$AC$30,Paper!$A$7:$A$30,Coating!A172))</f>
        <v>0</v>
      </c>
      <c r="C172" s="965" t="str">
        <f>input!F$297</f>
        <v>Front Side</v>
      </c>
      <c r="D172" s="966" t="str">
        <f>input!E$297</f>
        <v>None</v>
      </c>
      <c r="E172" s="967">
        <f>SUMIFS(Paper!$N$7:$N$30,Paper!$A$7:$A$30,A172)</f>
        <v>0</v>
      </c>
      <c r="F172" s="967">
        <f>SUMIFS(Paper!$O$7:$O$30,Paper!$A$7:$A$30,A172)</f>
        <v>0</v>
      </c>
      <c r="G172" s="968">
        <f>IF(A172="N",0,IF(input!G$297&gt;0,input!G$297,SUMIFS(Data!$P$913:$P$942,Data!$L$913:$L$942,D172)*E172*F172*IF(AND(C172="Back Side",OR(D172="OPV Wet Hi-Rub",D172="TK Matt Varnished 22493")),2,1)))</f>
        <v>0</v>
      </c>
      <c r="I172" s="967">
        <f>IF(G172=0,0,IF(input!H$297&gt;0,input!H$297,SUMIFS(Data!$O$913:$O$942,Data!$L$913:$L$942,D172)))</f>
        <v>0</v>
      </c>
      <c r="J172" s="967">
        <f>ROUNDUP(IF(G172&gt;0,((B172/10000)*G172),0),1)</f>
        <v>0</v>
      </c>
      <c r="K172" s="967">
        <f>IF(G172&gt;0,1,0)*Paper!$J$28</f>
        <v>0</v>
      </c>
      <c r="L172" s="967">
        <f>K172*I172</f>
        <v>0</v>
      </c>
      <c r="M172" s="967">
        <f>IF(J172=0,0,I172*(J172+K172))</f>
        <v>0</v>
      </c>
      <c r="N172" s="967">
        <f t="shared" si="139"/>
        <v>0</v>
      </c>
      <c r="O172" s="136" t="str">
        <f>input!$F$299</f>
        <v>N</v>
      </c>
      <c r="AT172" s="3598">
        <f t="shared" si="118"/>
        <v>0</v>
      </c>
      <c r="AU172" s="315">
        <f ca="1">COUNTIFS(AT$7:$AT172,1)</f>
        <v>1</v>
      </c>
    </row>
    <row r="173" spans="1:47" ht="15">
      <c r="A173" s="952" t="str">
        <f>input!$A$291</f>
        <v>N</v>
      </c>
      <c r="B173" s="891">
        <f>IF(A173="N",0,SUMIFS(Paper!$AC$7:$AC$30,Paper!$A$7:$A$30,Coating!A173))</f>
        <v>0</v>
      </c>
      <c r="C173" s="969">
        <f>SUMIFS(Data!$M$943:$M$959,Data!$L$943:$L$959,D173)</f>
        <v>0</v>
      </c>
      <c r="D173" s="970" t="str">
        <f>input!J$293</f>
        <v>None</v>
      </c>
      <c r="E173" s="967">
        <f>IF(input!K$293&gt;0,input!K$293,IF(input!L$293="min",MAX(SUMIFS(Paper!$O$7:$O$30,Paper!$A$7:$A$30,A173),SUMIFS(Paper!$N$7:$N$30,Paper!$A$7:$A$30,A173)),MIN(SUMIFS(Paper!$O$7:$O$30,Paper!$A$7:$A$30,A173),SUMIFS(Paper!$N$7:$N$30,Paper!$A$7:$A$30,A173)))+2)</f>
        <v>2</v>
      </c>
      <c r="F173" s="967">
        <f>IF(input!L$293="min",MIN(SUMIFS(Paper!$O$7:$O$30,Paper!$A$7:$A$30,A173),SUMIFS(Paper!$N$7:$N$30,Paper!$A$7:$A$30,A173)),MAX(SUMIFS(Paper!$O$7:$O$30,Paper!$A$7:$A$30,A173),SUMIFS(Paper!$N$7:$N$30,Paper!$A$7:$A$30,A173)))+3</f>
        <v>3</v>
      </c>
      <c r="G173" s="2441">
        <f>IF(A173="N",0,IF(OR(D173=Data!$L$943,D173=Data!$L$944,D173=Data!$L$947,D173=Data!$L$948,D173=Data!$L$949,D173=Data!$L$955,D173=Data!$L$956),ROUNDUP((E173/1000)*$C173,0),(ROUNDUP(($C173*(E173/1000)*(SUMIFS(Data!$P$943:$P$959,Data!$L$943:$L$959,D173)/1000)*SUMIFS(Data!$Q$943:$Q$959,Data!$L$943:$L$959,D173)),0))))</f>
        <v>0</v>
      </c>
      <c r="H173" s="2440" t="str">
        <f>IF(OR(D173=Data!$L$943,D173=Data!$L$944,D173=Data!$L$947,D173=Data!$L$948,D173=Data!$L$949,D173=Data!$L$955,D173=Data!$L$956),"M2/roll","Kg/roll")</f>
        <v>Kg/roll</v>
      </c>
      <c r="I173" s="967">
        <f>IF(G173=0,0,SUMIFS(Data!$O$938:$O$958,Data!$L$938:$L$958,D173))</f>
        <v>0</v>
      </c>
      <c r="J173" s="967">
        <f>IF(C173=0,0,(B173/($C173*1000/F173)))</f>
        <v>0</v>
      </c>
      <c r="K173" s="967">
        <f>IF(C173=0,0,ROUNDUP((30/$C173)*Paper!$J$28,2))</f>
        <v>0</v>
      </c>
      <c r="L173" s="967">
        <f>(K173*G173*I173)</f>
        <v>0</v>
      </c>
      <c r="M173" s="967">
        <f>IF(A173="N",0,I173*ROUNDUP(J173+K173,1)*G173)</f>
        <v>0</v>
      </c>
      <c r="N173" s="967">
        <f t="shared" si="139"/>
        <v>0</v>
      </c>
      <c r="O173" s="136" t="str">
        <f>input!$F$299</f>
        <v>N</v>
      </c>
      <c r="AT173" s="3598">
        <f t="shared" si="118"/>
        <v>0</v>
      </c>
      <c r="AU173" s="315">
        <f ca="1">COUNTIFS(AT$7:$AT173,1)</f>
        <v>1</v>
      </c>
    </row>
    <row r="174" spans="1:47" ht="25.5">
      <c r="A174" s="2443" t="str">
        <f>IF(OR(D173=Data!$L$954,D173=Data!$L$958),A173,"N")</f>
        <v>N</v>
      </c>
      <c r="B174" s="891">
        <f>IF(A173="N",0,SUMIFS(Paper!$AC$7:$AC$30,Paper!$A$7:$A$30,Coating!A173))</f>
        <v>0</v>
      </c>
      <c r="C174" s="969"/>
      <c r="D174" s="2442" t="str">
        <f>IF(D173=Data!$L$954,Data!$L$976,Data!$L$978)</f>
        <v>Resin AR 8207B-(for OPP)</v>
      </c>
      <c r="E174" s="973">
        <f>SUMIFS(Paper!$N$7:$N$30,Paper!$A$7:$A$30,A173)</f>
        <v>0</v>
      </c>
      <c r="F174" s="967">
        <f>SUMIFS(Paper!$O$7:$O$30,Paper!$A$7:$A$30,A173)</f>
        <v>0</v>
      </c>
      <c r="G174" s="2441">
        <f>IF(A174="N",0,ROUNDUP(IF(D174=Data!$L$978,25/(463*686),IF(D174=Data!$L$976,Data!$P$976,Data!$P$977))*E174*F174,1))</f>
        <v>0</v>
      </c>
      <c r="H174" s="971" t="s">
        <v>1114</v>
      </c>
      <c r="I174" s="967">
        <f>IF(G174=0,0,SUMIFS(Data!$O$976:$O$978,Data!$L$976:$L$978,D174))</f>
        <v>0</v>
      </c>
      <c r="J174" s="967">
        <f>IF(A174="N",0,ROUNDUP(((B174/10000)*G174),1))</f>
        <v>0</v>
      </c>
      <c r="K174" s="967">
        <f>IF(G174&gt;0,1,0)*Paper!$J$28</f>
        <v>0</v>
      </c>
      <c r="L174" s="967">
        <f>K174*I174</f>
        <v>0</v>
      </c>
      <c r="M174" s="967">
        <f>IF(A174="N",0,I174*(J174+K174))</f>
        <v>0</v>
      </c>
      <c r="N174" s="967">
        <f t="shared" si="139"/>
        <v>0</v>
      </c>
      <c r="O174" s="136" t="str">
        <f>input!$F$299</f>
        <v>N</v>
      </c>
      <c r="AT174" s="3598">
        <f t="shared" si="118"/>
        <v>0</v>
      </c>
      <c r="AU174" s="315">
        <f ca="1">COUNTIFS(AT$7:$AT174,1)</f>
        <v>1</v>
      </c>
    </row>
    <row r="175" spans="1:47" ht="15">
      <c r="A175" s="952" t="str">
        <f>input!$A$291</f>
        <v>N</v>
      </c>
      <c r="B175" s="891">
        <f>IF(A175="N",0,SUMIFS(Paper!$AC$7:$AC$30,Paper!$A$7:$A$30,Coating!A175))</f>
        <v>0</v>
      </c>
      <c r="C175" s="969">
        <f>SUMIFS(Data!$M$943:$M$959,Data!$L$943:$L$959,D175)</f>
        <v>0</v>
      </c>
      <c r="D175" s="970" t="str">
        <f>input!J$294</f>
        <v>None</v>
      </c>
      <c r="E175" s="967">
        <f>IF(input!K$294&gt;0,input!K$294,IF(input!L$294="min",MAX(SUMIFS(Paper!$O$7:$O$30,Paper!$A$7:$A$30,A175),SUMIFS(Paper!$N$7:$N$30,Paper!$A$7:$A$30,A175)),MIN(SUMIFS(Paper!$O$7:$O$30,Paper!$A$7:$A$30,A175),SUMIFS(Paper!$N$7:$N$30,Paper!$A$7:$A$30,A175)))+2)</f>
        <v>2</v>
      </c>
      <c r="F175" s="967">
        <f>IF(input!L$294="min",MIN(SUMIFS(Paper!$O$7:$O$30,Paper!$A$7:$A$30,A175),SUMIFS(Paper!$N$7:$N$30,Paper!$A$7:$A$30,A175)),MAX(SUMIFS(Paper!$O$7:$O$30,Paper!$A$7:$A$30,A175),SUMIFS(Paper!$N$7:$N$30,Paper!$A$7:$A$30,A175)))+3</f>
        <v>3</v>
      </c>
      <c r="G175" s="2441">
        <f>IF(A175="N",0,IF(OR(D175=Data!$L$943,D175=Data!$L$944,D175=Data!$L$947,D175=Data!$L$948,D175=Data!$L$949,D175=Data!$L$955,D175=Data!$L$956),ROUNDUP((E175/1000)*$C175,0),(ROUNDUP(($C175*(E175/1000)*(SUMIFS(Data!$P$943:$P$959,Data!$L$943:$L$959,D175)/1000)*SUMIFS(Data!$Q$943:$Q$959,Data!$L$943:$L$959,D175)),0))))</f>
        <v>0</v>
      </c>
      <c r="H175" s="2440" t="str">
        <f>IF(OR(D175=Data!$L$943,D175=Data!$L$944,D175=Data!$L$947,D175=Data!$L$948,D175=Data!$L$949,D175=Data!$L$955,D175=Data!$L$956),"M2/roll","Kg/roll")</f>
        <v>Kg/roll</v>
      </c>
      <c r="I175" s="967">
        <f>IF(G175=0,0,SUMIFS(Data!$O$938:$O$958,Data!$L$938:$L$958,D175))</f>
        <v>0</v>
      </c>
      <c r="J175" s="967">
        <f>IF(C175=0,0,(B175/($C175*1000/F175)))</f>
        <v>0</v>
      </c>
      <c r="K175" s="967">
        <f>IF(C175=0,0,ROUNDUP((30/$C175)*Paper!$J$28,2))</f>
        <v>0</v>
      </c>
      <c r="L175" s="967">
        <f>(K175*G175*I175)</f>
        <v>0</v>
      </c>
      <c r="M175" s="967">
        <f>IF(A175="N",0,I175*ROUNDUP(J175+K175,1)*G175)</f>
        <v>0</v>
      </c>
      <c r="N175" s="967">
        <f t="shared" si="139"/>
        <v>0</v>
      </c>
      <c r="O175" s="136" t="str">
        <f>input!$F$299</f>
        <v>N</v>
      </c>
      <c r="AT175" s="3598">
        <f t="shared" si="118"/>
        <v>0</v>
      </c>
      <c r="AU175" s="315">
        <f ca="1">COUNTIFS(AT$7:$AT175,1)</f>
        <v>1</v>
      </c>
    </row>
    <row r="176" spans="1:47" ht="25.5">
      <c r="A176" s="2443" t="str">
        <f>IF(OR(D175=Data!$L$954,D175=Data!$L$958),A175,"N")</f>
        <v>N</v>
      </c>
      <c r="B176" s="891">
        <f>IF(A175="N",0,SUMIFS(Paper!$AC$7:$AC$30,Paper!$A$7:$A$30,Coating!A175))</f>
        <v>0</v>
      </c>
      <c r="C176" s="969"/>
      <c r="D176" s="2442" t="str">
        <f>IF(D175=Data!$L$954,Data!$L$976,Data!$L$978)</f>
        <v>Resin AR 8207B-(for OPP)</v>
      </c>
      <c r="E176" s="973">
        <f>SUMIFS(Paper!$N$7:$N$30,Paper!$A$7:$A$30,A175)</f>
        <v>0</v>
      </c>
      <c r="F176" s="967">
        <f>SUMIFS(Paper!$O$7:$O$30,Paper!$A$7:$A$30,A175)</f>
        <v>0</v>
      </c>
      <c r="G176" s="2441">
        <f>IF(A176="N",0,ROUNDUP(IF(D176=Data!$L$978,25/(463*686),IF(D176=Data!$L$976,Data!$P$976,Data!$P$977))*E176*F176,1))</f>
        <v>0</v>
      </c>
      <c r="H176" s="971" t="s">
        <v>1114</v>
      </c>
      <c r="I176" s="967">
        <f>IF(G176=0,0,SUMIFS(Data!$O$976:$O$978,Data!$L$976:$L$978,D176))</f>
        <v>0</v>
      </c>
      <c r="J176" s="967">
        <f>IF(A176="N",0,ROUNDUP(((B176/10000)*G176),1))</f>
        <v>0</v>
      </c>
      <c r="K176" s="967">
        <f>IF(G176&gt;0,1,0)*Paper!$J$28</f>
        <v>0</v>
      </c>
      <c r="L176" s="967">
        <f>K176*I176</f>
        <v>0</v>
      </c>
      <c r="M176" s="967">
        <f>IF(A176="N",0,I176*(J176+K176))</f>
        <v>0</v>
      </c>
      <c r="N176" s="967">
        <f t="shared" si="139"/>
        <v>0</v>
      </c>
      <c r="O176" s="136" t="str">
        <f>input!$F$299</f>
        <v>N</v>
      </c>
      <c r="AT176" s="3598">
        <f t="shared" si="118"/>
        <v>0</v>
      </c>
      <c r="AU176" s="315">
        <f ca="1">COUNTIFS(AT$7:$AT176,1)</f>
        <v>1</v>
      </c>
    </row>
    <row r="177" spans="1:47" ht="15">
      <c r="AT177" s="3598" t="str">
        <f t="shared" si="118"/>
        <v/>
      </c>
      <c r="AU177" s="315">
        <f ca="1">COUNTIFS(AT$7:$AT177,1)</f>
        <v>1</v>
      </c>
    </row>
    <row r="178" spans="1:47" ht="15">
      <c r="A178" s="952" t="str">
        <f>input!$A$301</f>
        <v>N</v>
      </c>
      <c r="B178" s="891">
        <f>IF(A178="N",0,SUMIFS(Paper!$AC$7:$AC$30,Paper!$A$7:$A$30,Coating!A178))</f>
        <v>0</v>
      </c>
      <c r="C178" s="965" t="str">
        <f>input!F$303</f>
        <v>Front Side</v>
      </c>
      <c r="D178" s="966" t="str">
        <f>input!E$303</f>
        <v>None</v>
      </c>
      <c r="E178" s="967">
        <f>SUMIFS(Paper!$N$7:$N$30,Paper!$A$7:$A$30,A178)</f>
        <v>0</v>
      </c>
      <c r="F178" s="967">
        <f>SUMIFS(Paper!$O$7:$O$30,Paper!$A$7:$A$30,A178)</f>
        <v>0</v>
      </c>
      <c r="G178" s="968">
        <f>IF(A178="N",0,IF(input!G$303&gt;0,input!G$303,SUMIFS(Data!$P$913:$P$942,Data!$L$913:$L$942,D178)*E178*F178*IF(AND(C178="Back Side",OR(D178="OPV Wet Hi-Rub",D178="TK Matt Varnished 22493")),2,1)))</f>
        <v>0</v>
      </c>
      <c r="I178" s="967">
        <f>IF(G178=0,0,IF(input!H$303&gt;0,input!H$303,SUMIFS(Data!$O$913:$O$942,Data!$L$913:$L$942,D178)))</f>
        <v>0</v>
      </c>
      <c r="J178" s="967">
        <f>ROUNDUP(IF(G178&gt;0,((B178/10000)*G178),0),1)</f>
        <v>0</v>
      </c>
      <c r="K178" s="967">
        <f>IF(G178&gt;0,1,0)*Paper!$J$29</f>
        <v>0</v>
      </c>
      <c r="L178" s="967">
        <f>K178*I178</f>
        <v>0</v>
      </c>
      <c r="M178" s="967">
        <f>IF(J178=0,0,I178*(J178+K178))</f>
        <v>0</v>
      </c>
      <c r="N178" s="967">
        <f t="shared" si="139"/>
        <v>0</v>
      </c>
      <c r="O178" s="136" t="str">
        <f>input!$F$309</f>
        <v>N</v>
      </c>
      <c r="AT178" s="3598">
        <f t="shared" si="118"/>
        <v>0</v>
      </c>
      <c r="AU178" s="315">
        <f ca="1">COUNTIFS(AT$7:$AT178,1)</f>
        <v>1</v>
      </c>
    </row>
    <row r="179" spans="1:47" ht="15">
      <c r="A179" s="952" t="str">
        <f>input!$A$301</f>
        <v>N</v>
      </c>
      <c r="B179" s="891">
        <f>IF(A179="N",0,SUMIFS(Paper!$AC$7:$AC$30,Paper!$A$7:$A$30,Coating!A179))</f>
        <v>0</v>
      </c>
      <c r="C179" s="965" t="str">
        <f>input!F$304</f>
        <v>Front Side</v>
      </c>
      <c r="D179" s="966" t="str">
        <f>input!E$304</f>
        <v>None</v>
      </c>
      <c r="E179" s="967">
        <f>SUMIFS(Paper!$N$7:$N$30,Paper!$A$7:$A$30,A179)</f>
        <v>0</v>
      </c>
      <c r="F179" s="967">
        <f>SUMIFS(Paper!$O$7:$O$30,Paper!$A$7:$A$30,A179)</f>
        <v>0</v>
      </c>
      <c r="G179" s="968">
        <f>IF(A179="N",0,IF(input!G$304&gt;0,input!G$304,SUMIFS(Data!$P$913:$P$942,Data!$L$913:$L$942,D179)*E179*F179*IF(AND(C179="Back Side",OR(D179="OPV Wet Hi-Rub",D179="TK Matt Varnished 22493")),2,1)))</f>
        <v>0</v>
      </c>
      <c r="I179" s="967">
        <f>IF(G179=0,0,IF(input!H$304&gt;0,input!H$304,SUMIFS(Data!$O$913:$O$942,Data!$L$913:$L$942,D179)))</f>
        <v>0</v>
      </c>
      <c r="J179" s="967">
        <f>ROUNDUP(IF(G179&gt;0,((B179/10000)*G179),0),1)</f>
        <v>0</v>
      </c>
      <c r="K179" s="967">
        <f>IF(G179&gt;0,1,0)*Paper!$J$29</f>
        <v>0</v>
      </c>
      <c r="L179" s="967">
        <f>K179*I179</f>
        <v>0</v>
      </c>
      <c r="M179" s="967">
        <f>IF(J179=0,0,I179*(J179+K179))</f>
        <v>0</v>
      </c>
      <c r="N179" s="967">
        <f t="shared" si="139"/>
        <v>0</v>
      </c>
      <c r="O179" s="136" t="str">
        <f>input!$F$309</f>
        <v>N</v>
      </c>
      <c r="AT179" s="3598">
        <f t="shared" si="118"/>
        <v>0</v>
      </c>
      <c r="AU179" s="315">
        <f ca="1">COUNTIFS(AT$7:$AT179,1)</f>
        <v>1</v>
      </c>
    </row>
    <row r="180" spans="1:47" ht="15">
      <c r="A180" s="952" t="str">
        <f>input!$A$301</f>
        <v>N</v>
      </c>
      <c r="B180" s="891">
        <f>IF(A180="N",0,SUMIFS(Paper!$AC$7:$AC$30,Paper!$A$7:$A$30,Coating!A180))</f>
        <v>0</v>
      </c>
      <c r="C180" s="965" t="str">
        <f>input!F$305</f>
        <v>Front Side</v>
      </c>
      <c r="D180" s="966" t="str">
        <f>input!E$305</f>
        <v>None</v>
      </c>
      <c r="E180" s="967">
        <f>SUMIFS(Paper!$N$7:$N$30,Paper!$A$7:$A$30,A180)</f>
        <v>0</v>
      </c>
      <c r="F180" s="967">
        <f>SUMIFS(Paper!$O$7:$O$30,Paper!$A$7:$A$30,A180)</f>
        <v>0</v>
      </c>
      <c r="G180" s="968">
        <f>IF(A180="N",0,IF(input!G$305&gt;0,input!G$305,SUMIFS(Data!$P$913:$P$942,Data!$L$913:$L$942,D180)*E180*F180*IF(AND(C180="Back Side",OR(D180="OPV Wet Hi-Rub",D180="TK Matt Varnished 22493")),2,1)))</f>
        <v>0</v>
      </c>
      <c r="I180" s="967">
        <f>IF(G180=0,0,IF(input!H$305&gt;0,input!H$305,SUMIFS(Data!$O$913:$O$942,Data!$L$913:$L$942,D180)))</f>
        <v>0</v>
      </c>
      <c r="J180" s="967">
        <f>ROUNDUP(IF(G180&gt;0,((B180/10000)*G180),0),1)</f>
        <v>0</v>
      </c>
      <c r="K180" s="967">
        <f>IF(G180&gt;0,1,0)*Paper!$J$29</f>
        <v>0</v>
      </c>
      <c r="L180" s="967">
        <f>K180*I180</f>
        <v>0</v>
      </c>
      <c r="M180" s="967">
        <f>IF(J180=0,0,I180*(J180+K180))</f>
        <v>0</v>
      </c>
      <c r="N180" s="967">
        <f t="shared" si="139"/>
        <v>0</v>
      </c>
      <c r="O180" s="136" t="str">
        <f>input!$F$309</f>
        <v>N</v>
      </c>
      <c r="AT180" s="3598">
        <f t="shared" si="118"/>
        <v>0</v>
      </c>
      <c r="AU180" s="315">
        <f ca="1">COUNTIFS(AT$7:$AT180,1)</f>
        <v>1</v>
      </c>
    </row>
    <row r="181" spans="1:47" ht="15">
      <c r="A181" s="952" t="str">
        <f>input!$A$301</f>
        <v>N</v>
      </c>
      <c r="B181" s="891">
        <f>IF(A181="N",0,SUMIFS(Paper!$AC$7:$AC$30,Paper!$A$7:$A$30,Coating!A181))</f>
        <v>0</v>
      </c>
      <c r="C181" s="965" t="str">
        <f>input!F$306</f>
        <v>Front Side</v>
      </c>
      <c r="D181" s="966" t="str">
        <f>input!E$306</f>
        <v>None</v>
      </c>
      <c r="E181" s="967">
        <f>SUMIFS(Paper!$N$7:$N$30,Paper!$A$7:$A$30,A181)</f>
        <v>0</v>
      </c>
      <c r="F181" s="967">
        <f>SUMIFS(Paper!$O$7:$O$30,Paper!$A$7:$A$30,A181)</f>
        <v>0</v>
      </c>
      <c r="G181" s="968">
        <f>IF(A181="N",0,IF(input!G$306&gt;0,input!G$306,SUMIFS(Data!$P$913:$P$942,Data!$L$913:$L$942,D181)*E181*F181*IF(AND(C181="Back Side",OR(D181="OPV Wet Hi-Rub",D181="TK Matt Varnished 22493")),2,1)))</f>
        <v>0</v>
      </c>
      <c r="I181" s="967">
        <f>IF(G181=0,0,IF(input!H$306&gt;0,input!H$306,SUMIFS(Data!$O$913:$O$942,Data!$L$913:$L$942,D181)))</f>
        <v>0</v>
      </c>
      <c r="J181" s="967">
        <f>ROUNDUP(IF(G181&gt;0,((B181/10000)*G181),0),1)</f>
        <v>0</v>
      </c>
      <c r="K181" s="967">
        <f>IF(G181&gt;0,1,0)*Paper!$J$29</f>
        <v>0</v>
      </c>
      <c r="L181" s="967">
        <f>K181*I181</f>
        <v>0</v>
      </c>
      <c r="M181" s="967">
        <f>IF(J181=0,0,I181*(J181+K181))</f>
        <v>0</v>
      </c>
      <c r="N181" s="967">
        <f t="shared" si="139"/>
        <v>0</v>
      </c>
      <c r="O181" s="136" t="str">
        <f>input!$F$309</f>
        <v>N</v>
      </c>
      <c r="AT181" s="3598">
        <f t="shared" si="118"/>
        <v>0</v>
      </c>
      <c r="AU181" s="315">
        <f ca="1">COUNTIFS(AT$7:$AT181,1)</f>
        <v>1</v>
      </c>
    </row>
    <row r="182" spans="1:47" ht="15">
      <c r="A182" s="952" t="str">
        <f>input!$A$301</f>
        <v>N</v>
      </c>
      <c r="B182" s="891">
        <f>IF(A182="N",0,SUMIFS(Paper!$AC$7:$AC$30,Paper!$A$7:$A$30,Coating!A182))</f>
        <v>0</v>
      </c>
      <c r="C182" s="965" t="str">
        <f>input!F$307</f>
        <v>Front Side</v>
      </c>
      <c r="D182" s="966" t="str">
        <f>input!E$307</f>
        <v>None</v>
      </c>
      <c r="E182" s="967">
        <f>SUMIFS(Paper!$N$7:$N$30,Paper!$A$7:$A$30,A182)</f>
        <v>0</v>
      </c>
      <c r="F182" s="967">
        <f>SUMIFS(Paper!$O$7:$O$30,Paper!$A$7:$A$30,A182)</f>
        <v>0</v>
      </c>
      <c r="G182" s="968">
        <f>IF(A182="N",0,IF(input!G$307&gt;0,input!G$307,SUMIFS(Data!$P$913:$P$942,Data!$L$913:$L$942,D182)*E182*F182*IF(AND(C182="Back Side",OR(D182="OPV Wet Hi-Rub",D182="TK Matt Varnished 22493")),2,1)))</f>
        <v>0</v>
      </c>
      <c r="I182" s="967">
        <f>IF(G182=0,0,IF(input!H$307&gt;0,input!H$307,SUMIFS(Data!$O$913:$O$942,Data!$L$913:$L$942,D182)))</f>
        <v>0</v>
      </c>
      <c r="J182" s="967">
        <f>ROUNDUP(IF(G182&gt;0,((B182/10000)*G182),0),1)</f>
        <v>0</v>
      </c>
      <c r="K182" s="967">
        <f>IF(G182&gt;0,1,0)*Paper!$J$29</f>
        <v>0</v>
      </c>
      <c r="L182" s="967">
        <f>K182*I182</f>
        <v>0</v>
      </c>
      <c r="M182" s="967">
        <f>IF(J182=0,0,I182*(J182+K182))</f>
        <v>0</v>
      </c>
      <c r="N182" s="967">
        <f t="shared" si="139"/>
        <v>0</v>
      </c>
      <c r="O182" s="136" t="str">
        <f>input!$F$309</f>
        <v>N</v>
      </c>
      <c r="AT182" s="3598">
        <f t="shared" si="118"/>
        <v>0</v>
      </c>
      <c r="AU182" s="315">
        <f ca="1">COUNTIFS(AT$7:$AT182,1)</f>
        <v>1</v>
      </c>
    </row>
    <row r="183" spans="1:47" ht="15">
      <c r="A183" s="952" t="str">
        <f>input!$A$301</f>
        <v>N</v>
      </c>
      <c r="B183" s="891">
        <f>IF(A183="N",0,SUMIFS(Paper!$AC$7:$AC$30,Paper!$A$7:$A$30,Coating!A183))</f>
        <v>0</v>
      </c>
      <c r="C183" s="969">
        <f>SUMIFS(Data!$M$943:$M$959,Data!$L$943:$L$959,D183)</f>
        <v>0</v>
      </c>
      <c r="D183" s="970" t="str">
        <f>input!J$303</f>
        <v>None</v>
      </c>
      <c r="E183" s="967">
        <f>IF(input!K$303&gt;0,input!K$303,IF(input!L$303="min",MAX(SUMIFS(Paper!$O$7:$O$30,Paper!$A$7:$A$30,A183),SUMIFS(Paper!$N$7:$N$30,Paper!$A$7:$A$30,A183)),MIN(SUMIFS(Paper!$O$7:$O$30,Paper!$A$7:$A$30,A183),SUMIFS(Paper!$N$7:$N$30,Paper!$A$7:$A$30,A183)))+2)</f>
        <v>2</v>
      </c>
      <c r="F183" s="967">
        <f>IF(input!L$303="min",MIN(SUMIFS(Paper!$O$7:$O$30,Paper!$A$7:$A$30,A183),SUMIFS(Paper!$N$7:$N$30,Paper!$A$7:$A$30,A183)),MAX(SUMIFS(Paper!$O$7:$O$30,Paper!$A$7:$A$30,A183),SUMIFS(Paper!$N$7:$N$30,Paper!$A$7:$A$30,A183)))+3</f>
        <v>3</v>
      </c>
      <c r="G183" s="2441">
        <f>IF(A183="N",0,IF(OR(D183=Data!$L$943,D183=Data!$L$944,D183=Data!$L$947,D183=Data!$L$948,D183=Data!$L$949,D183=Data!$L$955,D183=Data!$L$956),ROUNDUP((E183/1000)*$C183,0),(ROUNDUP(($C183*(E183/1000)*(SUMIFS(Data!$P$943:$P$959,Data!$L$943:$L$959,D183)/1000)*SUMIFS(Data!$Q$943:$Q$959,Data!$L$943:$L$959,D183)),0))))</f>
        <v>0</v>
      </c>
      <c r="H183" s="2440" t="str">
        <f>IF(OR(D183=Data!$L$943,D183=Data!$L$944,D183=Data!$L$947,D183=Data!$L$948,D183=Data!$L$949,D183=Data!$L$955,D183=Data!$L$956),"M2/roll","Kg/roll")</f>
        <v>Kg/roll</v>
      </c>
      <c r="I183" s="967">
        <f>IF(G183=0,0,SUMIFS(Data!$O$938:$O$958,Data!$L$938:$L$958,D183))</f>
        <v>0</v>
      </c>
      <c r="J183" s="967">
        <f>IF(C183=0,0,(B183/($C183*1000/F183)))</f>
        <v>0</v>
      </c>
      <c r="K183" s="967">
        <f>IF(C183=0,0,ROUNDUP((30/$C183)*Paper!$J$29,2))</f>
        <v>0</v>
      </c>
      <c r="L183" s="967">
        <f>(K183*G183*I183)</f>
        <v>0</v>
      </c>
      <c r="M183" s="967">
        <f>IF(A183="N",0,I183*ROUNDUP(J183+K183,1)*G183)</f>
        <v>0</v>
      </c>
      <c r="N183" s="967">
        <f t="shared" si="139"/>
        <v>0</v>
      </c>
      <c r="O183" s="136" t="str">
        <f>input!$F$309</f>
        <v>N</v>
      </c>
      <c r="AT183" s="3598">
        <f t="shared" si="118"/>
        <v>0</v>
      </c>
      <c r="AU183" s="315">
        <f ca="1">COUNTIFS(AT$7:$AT183,1)</f>
        <v>1</v>
      </c>
    </row>
    <row r="184" spans="1:47" ht="25.5">
      <c r="A184" s="2443" t="str">
        <f>IF(OR(D183=Data!$L$954,D183=Data!$L$958),A183,"N")</f>
        <v>N</v>
      </c>
      <c r="B184" s="891">
        <f>IF(A183="N",0,SUMIFS(Paper!$AC$7:$AC$30,Paper!$A$7:$A$30,Coating!A183))</f>
        <v>0</v>
      </c>
      <c r="C184" s="969"/>
      <c r="D184" s="2442" t="str">
        <f>IF(D183=Data!$L$954,Data!$L$976,Data!$L$978)</f>
        <v>Resin AR 8207B-(for OPP)</v>
      </c>
      <c r="E184" s="973">
        <f>SUMIFS(Paper!$N$7:$N$30,Paper!$A$7:$A$30,A183)</f>
        <v>0</v>
      </c>
      <c r="F184" s="967">
        <f>SUMIFS(Paper!$O$7:$O$30,Paper!$A$7:$A$30,A183)</f>
        <v>0</v>
      </c>
      <c r="G184" s="2441">
        <f>IF(A184="N",0,ROUNDUP(IF(D184=Data!$L$978,25/(463*686),IF(D184=Data!$L$976,Data!$P$976,Data!$P$977))*E184*F184,1))</f>
        <v>0</v>
      </c>
      <c r="H184" s="971" t="s">
        <v>1114</v>
      </c>
      <c r="I184" s="967">
        <f>IF(G184=0,0,SUMIFS(Data!$O$976:$O$978,Data!$L$976:$L$978,D184))</f>
        <v>0</v>
      </c>
      <c r="J184" s="967">
        <f>IF(A184="N",0,ROUNDUP(((B184/10000)*G184),1))</f>
        <v>0</v>
      </c>
      <c r="K184" s="967">
        <f>IF(G184&gt;0,1,0)*Paper!$J$29</f>
        <v>0</v>
      </c>
      <c r="L184" s="967">
        <f>K184*I184</f>
        <v>0</v>
      </c>
      <c r="M184" s="967">
        <f>IF(A184="N",0,I184*(J184+K184))</f>
        <v>0</v>
      </c>
      <c r="N184" s="967">
        <f t="shared" si="139"/>
        <v>0</v>
      </c>
      <c r="O184" s="136" t="str">
        <f>input!$F$309</f>
        <v>N</v>
      </c>
      <c r="AT184" s="3598">
        <f t="shared" ref="AT184:AT241" si="140">IF(ISNUMBER(M184),IF(M184&lt;&gt;0,IF(ISNUMBER(SEARCH("to",J184)),0,1),0),"")</f>
        <v>0</v>
      </c>
      <c r="AU184" s="315">
        <f ca="1">COUNTIFS(AT$7:$AT184,1)</f>
        <v>1</v>
      </c>
    </row>
    <row r="185" spans="1:47" ht="15">
      <c r="A185" s="952" t="str">
        <f>input!$A$301</f>
        <v>N</v>
      </c>
      <c r="B185" s="891">
        <f>IF(A185="N",0,SUMIFS(Paper!$AC$7:$AC$30,Paper!$A$7:$A$30,Coating!A185))</f>
        <v>0</v>
      </c>
      <c r="C185" s="969">
        <f>SUMIFS(Data!$M$943:$M$959,Data!$L$943:$L$959,D185)</f>
        <v>0</v>
      </c>
      <c r="D185" s="970" t="str">
        <f>input!J$304</f>
        <v>None</v>
      </c>
      <c r="E185" s="967">
        <f>IF(input!K$304&gt;0,input!K$304,IF(input!L$304="min",MAX(SUMIFS(Paper!$O$7:$O$30,Paper!$A$7:$A$30,A185),SUMIFS(Paper!$N$7:$N$30,Paper!$A$7:$A$30,A185)),MIN(SUMIFS(Paper!$O$7:$O$30,Paper!$A$7:$A$30,A185),SUMIFS(Paper!$N$7:$N$30,Paper!$A$7:$A$30,A185)))+2)</f>
        <v>2</v>
      </c>
      <c r="F185" s="967">
        <f>IF(input!L$304="min",MIN(SUMIFS(Paper!$O$7:$O$30,Paper!$A$7:$A$30,A185),SUMIFS(Paper!$N$7:$N$30,Paper!$A$7:$A$30,A185)),MAX(SUMIFS(Paper!$O$7:$O$30,Paper!$A$7:$A$30,A185),SUMIFS(Paper!$N$7:$N$30,Paper!$A$7:$A$30,A185)))+3</f>
        <v>3</v>
      </c>
      <c r="G185" s="2441">
        <f>IF(A185="N",0,IF(OR(D185=Data!$L$943,D185=Data!$L$944,D185=Data!$L$947,D185=Data!$L$948,D185=Data!$L$949,D185=Data!$L$955,D185=Data!$L$956),ROUNDUP((E185/1000)*$C185,0),(ROUNDUP(($C185*(E185/1000)*(SUMIFS(Data!$P$943:$P$959,Data!$L$943:$L$959,D185)/1000)*SUMIFS(Data!$Q$943:$Q$959,Data!$L$943:$L$959,D185)),0))))</f>
        <v>0</v>
      </c>
      <c r="H185" s="2440" t="str">
        <f>IF(OR(D185=Data!$L$943,D185=Data!$L$944,D185=Data!$L$947,D185=Data!$L$948,D185=Data!$L$949,D185=Data!$L$955,D185=Data!$L$956),"M2/roll","Kg/roll")</f>
        <v>Kg/roll</v>
      </c>
      <c r="I185" s="967">
        <f>IF(G185=0,0,SUMIFS(Data!$O$938:$O$958,Data!$L$938:$L$958,D185))</f>
        <v>0</v>
      </c>
      <c r="J185" s="967">
        <f>IF(C185=0,0,(B185/($C185*1000/F185)))</f>
        <v>0</v>
      </c>
      <c r="K185" s="967">
        <f>IF(C185=0,0,ROUNDUP((30/$C185)*Paper!$J$29,2))</f>
        <v>0</v>
      </c>
      <c r="L185" s="967">
        <f>(K185*G185*I185)</f>
        <v>0</v>
      </c>
      <c r="M185" s="967">
        <f>IF(A185="N",0,I185*ROUNDUP(J185+K185,1)*G185)</f>
        <v>0</v>
      </c>
      <c r="N185" s="967">
        <f t="shared" si="139"/>
        <v>0</v>
      </c>
      <c r="O185" s="136" t="str">
        <f>input!$F$309</f>
        <v>N</v>
      </c>
      <c r="AT185" s="3598">
        <f t="shared" si="140"/>
        <v>0</v>
      </c>
      <c r="AU185" s="315">
        <f ca="1">COUNTIFS(AT$7:$AT185,1)</f>
        <v>1</v>
      </c>
    </row>
    <row r="186" spans="1:47" ht="25.5">
      <c r="A186" s="2443" t="str">
        <f>IF(OR(D185=Data!$L$954,D185=Data!$L$958),A185,"N")</f>
        <v>N</v>
      </c>
      <c r="B186" s="891">
        <f>IF(A185="N",0,SUMIFS(Paper!$AC$7:$AC$30,Paper!$A$7:$A$30,Coating!A185))</f>
        <v>0</v>
      </c>
      <c r="C186" s="969"/>
      <c r="D186" s="2442" t="str">
        <f>IF(D185=Data!$L$954,Data!$L$976,Data!$L$978)</f>
        <v>Resin AR 8207B-(for OPP)</v>
      </c>
      <c r="E186" s="973">
        <f>SUMIFS(Paper!$N$7:$N$30,Paper!$A$7:$A$30,A185)</f>
        <v>0</v>
      </c>
      <c r="F186" s="967">
        <f>SUMIFS(Paper!$O$7:$O$30,Paper!$A$7:$A$30,A185)</f>
        <v>0</v>
      </c>
      <c r="G186" s="2441">
        <f>IF(A186="N",0,ROUNDUP(IF(D186=Data!$L$978,25/(463*686),IF(D186=Data!$L$976,Data!$P$976,Data!$P$977))*E186*F186,1))</f>
        <v>0</v>
      </c>
      <c r="H186" s="971" t="s">
        <v>1114</v>
      </c>
      <c r="I186" s="967">
        <f>IF(G186=0,0,SUMIFS(Data!$O$976:$O$978,Data!$L$976:$L$978,D186))</f>
        <v>0</v>
      </c>
      <c r="J186" s="967">
        <f>IF(A186="N",0,ROUNDUP(((B186/10000)*G186),1))</f>
        <v>0</v>
      </c>
      <c r="K186" s="967">
        <f>IF(G186&gt;0,1,0)*Paper!$J$29</f>
        <v>0</v>
      </c>
      <c r="L186" s="967">
        <f>K186*I186</f>
        <v>0</v>
      </c>
      <c r="M186" s="967">
        <f>IF(A186="N",0,I186*(J186+K186))</f>
        <v>0</v>
      </c>
      <c r="N186" s="967">
        <f t="shared" si="139"/>
        <v>0</v>
      </c>
      <c r="O186" s="136" t="str">
        <f>input!$F$309</f>
        <v>N</v>
      </c>
      <c r="AT186" s="3598">
        <f t="shared" si="140"/>
        <v>0</v>
      </c>
      <c r="AU186" s="315">
        <f ca="1">COUNTIFS(AT$7:$AT186,1)</f>
        <v>1</v>
      </c>
    </row>
    <row r="187" spans="1:47" ht="15">
      <c r="AT187" s="3598" t="str">
        <f t="shared" si="140"/>
        <v/>
      </c>
      <c r="AU187" s="315">
        <f ca="1">COUNTIFS(AT$7:$AT187,1)</f>
        <v>1</v>
      </c>
    </row>
    <row r="188" spans="1:47" ht="15">
      <c r="AT188" s="3598" t="str">
        <f t="shared" si="140"/>
        <v/>
      </c>
      <c r="AU188" s="315">
        <f ca="1">COUNTIFS(AT$7:$AT188,1)</f>
        <v>1</v>
      </c>
    </row>
    <row r="189" spans="1:47" ht="15">
      <c r="AT189" s="3598" t="str">
        <f t="shared" si="140"/>
        <v/>
      </c>
      <c r="AU189" s="315">
        <f ca="1">COUNTIFS(AT$7:$AT189,1)</f>
        <v>1</v>
      </c>
    </row>
    <row r="190" spans="1:47" ht="15">
      <c r="AT190" s="3598" t="str">
        <f t="shared" si="140"/>
        <v/>
      </c>
      <c r="AU190" s="315">
        <f ca="1">COUNTIFS(AT$7:$AT190,1)</f>
        <v>1</v>
      </c>
    </row>
    <row r="191" spans="1:47" ht="15">
      <c r="AT191" s="3598" t="str">
        <f t="shared" si="140"/>
        <v/>
      </c>
      <c r="AU191" s="315">
        <f ca="1">COUNTIFS(AT$7:$AT191,1)</f>
        <v>1</v>
      </c>
    </row>
    <row r="192" spans="1:47" ht="15">
      <c r="AT192" s="3598" t="str">
        <f t="shared" si="140"/>
        <v/>
      </c>
      <c r="AU192" s="315">
        <f ca="1">COUNTIFS(AT$7:$AT192,1)</f>
        <v>1</v>
      </c>
    </row>
    <row r="193" spans="2:47" ht="15">
      <c r="AT193" s="3598" t="str">
        <f t="shared" si="140"/>
        <v/>
      </c>
      <c r="AU193" s="315">
        <f ca="1">COUNTIFS(AT$7:$AT193,1)</f>
        <v>1</v>
      </c>
    </row>
    <row r="194" spans="2:47" ht="15">
      <c r="AT194" s="3598" t="str">
        <f t="shared" si="140"/>
        <v/>
      </c>
      <c r="AU194" s="315">
        <f ca="1">COUNTIFS(AT$7:$AT194,1)</f>
        <v>1</v>
      </c>
    </row>
    <row r="195" spans="2:47" ht="15">
      <c r="AT195" s="3598" t="str">
        <f t="shared" si="140"/>
        <v/>
      </c>
      <c r="AU195" s="315">
        <f ca="1">COUNTIFS(AT$7:$AT195,1)</f>
        <v>1</v>
      </c>
    </row>
    <row r="196" spans="2:47" ht="15">
      <c r="AT196" s="3598" t="str">
        <f t="shared" si="140"/>
        <v/>
      </c>
      <c r="AU196" s="315">
        <f ca="1">COUNTIFS(AT$7:$AT196,1)</f>
        <v>1</v>
      </c>
    </row>
    <row r="197" spans="2:47" ht="15">
      <c r="AT197" s="3598" t="str">
        <f t="shared" si="140"/>
        <v/>
      </c>
      <c r="AU197" s="315">
        <f ca="1">COUNTIFS(AT$7:$AT197,1)</f>
        <v>1</v>
      </c>
    </row>
    <row r="198" spans="2:47" ht="15">
      <c r="AT198" s="3598" t="str">
        <f t="shared" si="140"/>
        <v/>
      </c>
      <c r="AU198" s="315">
        <f ca="1">COUNTIFS(AT$7:$AT198,1)</f>
        <v>1</v>
      </c>
    </row>
    <row r="199" spans="2:47" ht="15">
      <c r="AT199" s="3598" t="str">
        <f t="shared" si="140"/>
        <v/>
      </c>
      <c r="AU199" s="315">
        <f ca="1">COUNTIFS(AT$7:$AT199,1)</f>
        <v>1</v>
      </c>
    </row>
    <row r="200" spans="2:47" ht="15">
      <c r="AT200" s="3598" t="str">
        <f t="shared" si="140"/>
        <v/>
      </c>
      <c r="AU200" s="315">
        <f ca="1">COUNTIFS(AT$7:$AT200,1)</f>
        <v>1</v>
      </c>
    </row>
    <row r="201" spans="2:47" ht="15">
      <c r="AT201" s="3598" t="str">
        <f t="shared" si="140"/>
        <v/>
      </c>
      <c r="AU201" s="315">
        <f ca="1">COUNTIFS(AT$7:$AT201,1)</f>
        <v>1</v>
      </c>
    </row>
    <row r="202" spans="2:47" ht="15">
      <c r="AT202" s="3598" t="str">
        <f t="shared" si="140"/>
        <v/>
      </c>
      <c r="AU202" s="315">
        <f ca="1">COUNTIFS(AT$7:$AT202,1)</f>
        <v>1</v>
      </c>
    </row>
    <row r="203" spans="2:47" ht="15">
      <c r="AT203" s="3598" t="str">
        <f t="shared" si="140"/>
        <v/>
      </c>
      <c r="AU203" s="315">
        <f ca="1">COUNTIFS(AT$7:$AT203,1)</f>
        <v>1</v>
      </c>
    </row>
    <row r="204" spans="2:47" ht="15">
      <c r="AT204" s="3598" t="str">
        <f t="shared" si="140"/>
        <v/>
      </c>
      <c r="AU204" s="315">
        <f ca="1">COUNTIFS(AT$7:$AT204,1)</f>
        <v>1</v>
      </c>
    </row>
    <row r="205" spans="2:47" ht="15" outlineLevel="1">
      <c r="B205" s="136" t="s">
        <v>1610</v>
      </c>
      <c r="C205" s="189">
        <f ca="1">SUM($N$8:$N$12,$N$18:$N$22,$N$28:$N$32,$N$38:$N$42,$N$48:$N$52,$N$58:$N$62,$N$68:$N$72,$N$78:$N$82,$N$88:$N$92,$N$98:$N$102,$N$158:$N$162,$N$168:$N$172,$N$178:$N$182)</f>
        <v>73.92</v>
      </c>
      <c r="D205" s="285"/>
      <c r="AT205" s="3598" t="str">
        <f t="shared" si="140"/>
        <v/>
      </c>
      <c r="AU205" s="315">
        <f ca="1">COUNTIFS(AT$7:$AT205,1)</f>
        <v>1</v>
      </c>
    </row>
    <row r="206" spans="2:47" ht="15" outlineLevel="1">
      <c r="B206" s="136" t="s">
        <v>495</v>
      </c>
      <c r="C206" s="136">
        <f ca="1">SUM($O$13:$O$16,$O$23:$O$26,$O$33:$O$36,$O$43:$O$46,$O$53:$O$56,$O$63:$O$66,$O$73:$O$76,$O$83:$O$86,$O$93:$O$96,$O$103:$O$106,$O$163:$O$166,$O$173:$O$176,$O$183:$O$186)</f>
        <v>0</v>
      </c>
      <c r="D206" s="285"/>
      <c r="AT206" s="3598" t="str">
        <f t="shared" si="140"/>
        <v/>
      </c>
      <c r="AU206" s="315">
        <f ca="1">COUNTIFS(AT$7:$AT206,1)</f>
        <v>1</v>
      </c>
    </row>
    <row r="207" spans="2:47" ht="15">
      <c r="D207" s="285"/>
      <c r="AT207" s="3598" t="str">
        <f t="shared" si="140"/>
        <v/>
      </c>
      <c r="AU207" s="315">
        <f ca="1">COUNTIFS(AT$7:$AT207,1)</f>
        <v>1</v>
      </c>
    </row>
    <row r="208" spans="2:47" ht="15">
      <c r="D208" s="285"/>
      <c r="AT208" s="3598" t="str">
        <f t="shared" si="140"/>
        <v/>
      </c>
      <c r="AU208" s="315">
        <f ca="1">COUNTIFS(AT$7:$AT208,1)</f>
        <v>1</v>
      </c>
    </row>
    <row r="209" spans="4:47" ht="15">
      <c r="D209" s="285"/>
      <c r="AT209" s="3598" t="str">
        <f t="shared" si="140"/>
        <v/>
      </c>
      <c r="AU209" s="315">
        <f ca="1">COUNTIFS(AT$7:$AT209,1)</f>
        <v>1</v>
      </c>
    </row>
    <row r="210" spans="4:47" ht="15">
      <c r="D210" s="285"/>
      <c r="AT210" s="3598" t="str">
        <f t="shared" si="140"/>
        <v/>
      </c>
      <c r="AU210" s="315">
        <f ca="1">COUNTIFS(AT$7:$AT210,1)</f>
        <v>1</v>
      </c>
    </row>
    <row r="211" spans="4:47" ht="15">
      <c r="D211" s="285"/>
      <c r="AT211" s="3598" t="str">
        <f t="shared" si="140"/>
        <v/>
      </c>
      <c r="AU211" s="315">
        <f ca="1">COUNTIFS(AT$7:$AT211,1)</f>
        <v>1</v>
      </c>
    </row>
    <row r="212" spans="4:47" ht="15">
      <c r="D212" s="285"/>
      <c r="AT212" s="3598" t="str">
        <f t="shared" si="140"/>
        <v/>
      </c>
      <c r="AU212" s="315">
        <f ca="1">COUNTIFS(AT$7:$AT212,1)</f>
        <v>1</v>
      </c>
    </row>
    <row r="213" spans="4:47" ht="15">
      <c r="D213" s="285"/>
      <c r="AT213" s="3598" t="str">
        <f t="shared" si="140"/>
        <v/>
      </c>
      <c r="AU213" s="315">
        <f ca="1">COUNTIFS(AT$7:$AT213,1)</f>
        <v>1</v>
      </c>
    </row>
    <row r="214" spans="4:47" ht="15">
      <c r="D214" s="285"/>
      <c r="AT214" s="3598" t="str">
        <f t="shared" si="140"/>
        <v/>
      </c>
      <c r="AU214" s="315">
        <f ca="1">COUNTIFS(AT$7:$AT214,1)</f>
        <v>1</v>
      </c>
    </row>
    <row r="215" spans="4:47" ht="15">
      <c r="D215" s="285"/>
      <c r="AT215" s="3598" t="str">
        <f t="shared" si="140"/>
        <v/>
      </c>
      <c r="AU215" s="315">
        <f ca="1">COUNTIFS(AT$7:$AT215,1)</f>
        <v>1</v>
      </c>
    </row>
    <row r="216" spans="4:47" ht="15">
      <c r="D216" s="285"/>
      <c r="AT216" s="3598" t="str">
        <f t="shared" si="140"/>
        <v/>
      </c>
      <c r="AU216" s="315">
        <f ca="1">COUNTIFS(AT$7:$AT216,1)</f>
        <v>1</v>
      </c>
    </row>
    <row r="217" spans="4:47" ht="15">
      <c r="D217" s="285"/>
      <c r="AT217" s="3598" t="str">
        <f t="shared" si="140"/>
        <v/>
      </c>
      <c r="AU217" s="315">
        <f ca="1">COUNTIFS(AT$7:$AT217,1)</f>
        <v>1</v>
      </c>
    </row>
    <row r="218" spans="4:47" ht="15">
      <c r="D218" s="285"/>
      <c r="AT218" s="3598" t="str">
        <f t="shared" si="140"/>
        <v/>
      </c>
      <c r="AU218" s="315">
        <f ca="1">COUNTIFS(AT$7:$AT218,1)</f>
        <v>1</v>
      </c>
    </row>
    <row r="219" spans="4:47" ht="15">
      <c r="D219" s="285"/>
      <c r="AT219" s="3598" t="str">
        <f t="shared" si="140"/>
        <v/>
      </c>
      <c r="AU219" s="315">
        <f ca="1">COUNTIFS(AT$7:$AT219,1)</f>
        <v>1</v>
      </c>
    </row>
    <row r="220" spans="4:47" ht="15">
      <c r="D220" s="285"/>
      <c r="AT220" s="3598" t="str">
        <f t="shared" si="140"/>
        <v/>
      </c>
      <c r="AU220" s="315">
        <f ca="1">COUNTIFS(AT$7:$AT220,1)</f>
        <v>1</v>
      </c>
    </row>
    <row r="221" spans="4:47" ht="15">
      <c r="D221" s="285"/>
      <c r="AT221" s="3598" t="str">
        <f t="shared" si="140"/>
        <v/>
      </c>
      <c r="AU221" s="315">
        <f ca="1">COUNTIFS(AT$7:$AT221,1)</f>
        <v>1</v>
      </c>
    </row>
    <row r="222" spans="4:47" ht="15">
      <c r="D222" s="285"/>
      <c r="AT222" s="3598" t="str">
        <f t="shared" si="140"/>
        <v/>
      </c>
      <c r="AU222" s="315">
        <f ca="1">COUNTIFS(AT$7:$AT222,1)</f>
        <v>1</v>
      </c>
    </row>
    <row r="223" spans="4:47" ht="15">
      <c r="D223" s="285"/>
      <c r="AT223" s="3598" t="str">
        <f t="shared" si="140"/>
        <v/>
      </c>
      <c r="AU223" s="315">
        <f ca="1">COUNTIFS(AT$7:$AT223,1)</f>
        <v>1</v>
      </c>
    </row>
    <row r="224" spans="4:47" ht="15">
      <c r="D224" s="285"/>
      <c r="AT224" s="3598" t="str">
        <f t="shared" si="140"/>
        <v/>
      </c>
      <c r="AU224" s="315">
        <f ca="1">COUNTIFS(AT$7:$AT224,1)</f>
        <v>1</v>
      </c>
    </row>
    <row r="225" spans="4:47" ht="15">
      <c r="D225" s="285"/>
      <c r="AT225" s="3598" t="str">
        <f t="shared" si="140"/>
        <v/>
      </c>
      <c r="AU225" s="315">
        <f ca="1">COUNTIFS(AT$7:$AT225,1)</f>
        <v>1</v>
      </c>
    </row>
    <row r="226" spans="4:47" ht="15">
      <c r="D226" s="285"/>
      <c r="AT226" s="3598" t="str">
        <f t="shared" si="140"/>
        <v/>
      </c>
      <c r="AU226" s="315">
        <f ca="1">COUNTIFS(AT$7:$AT226,1)</f>
        <v>1</v>
      </c>
    </row>
    <row r="227" spans="4:47" ht="15">
      <c r="D227" s="285"/>
      <c r="AT227" s="3598" t="str">
        <f t="shared" si="140"/>
        <v/>
      </c>
      <c r="AU227" s="315">
        <f ca="1">COUNTIFS(AT$7:$AT227,1)</f>
        <v>1</v>
      </c>
    </row>
    <row r="228" spans="4:47" ht="15">
      <c r="D228" s="285"/>
      <c r="AT228" s="3598" t="str">
        <f t="shared" si="140"/>
        <v/>
      </c>
      <c r="AU228" s="315">
        <f ca="1">COUNTIFS(AT$7:$AT228,1)</f>
        <v>1</v>
      </c>
    </row>
    <row r="229" spans="4:47" ht="15">
      <c r="D229" s="285"/>
      <c r="AT229" s="3598" t="str">
        <f t="shared" si="140"/>
        <v/>
      </c>
      <c r="AU229" s="315">
        <f ca="1">COUNTIFS(AT$7:$AT229,1)</f>
        <v>1</v>
      </c>
    </row>
    <row r="230" spans="4:47" ht="15">
      <c r="D230" s="285"/>
      <c r="AT230" s="3598" t="str">
        <f t="shared" si="140"/>
        <v/>
      </c>
      <c r="AU230" s="315">
        <f ca="1">COUNTIFS(AT$7:$AT230,1)</f>
        <v>1</v>
      </c>
    </row>
    <row r="231" spans="4:47" ht="15">
      <c r="D231" s="285"/>
      <c r="AT231" s="3598" t="str">
        <f t="shared" si="140"/>
        <v/>
      </c>
      <c r="AU231" s="315">
        <f ca="1">COUNTIFS(AT$7:$AT231,1)</f>
        <v>1</v>
      </c>
    </row>
    <row r="232" spans="4:47" ht="15">
      <c r="D232" s="285"/>
      <c r="AT232" s="3598" t="str">
        <f t="shared" si="140"/>
        <v/>
      </c>
      <c r="AU232" s="315">
        <f ca="1">COUNTIFS(AT$7:$AT232,1)</f>
        <v>1</v>
      </c>
    </row>
    <row r="233" spans="4:47" ht="15">
      <c r="D233" s="285"/>
      <c r="AT233" s="3598" t="str">
        <f t="shared" si="140"/>
        <v/>
      </c>
      <c r="AU233" s="315">
        <f ca="1">COUNTIFS(AT$7:$AT233,1)</f>
        <v>1</v>
      </c>
    </row>
    <row r="234" spans="4:47" ht="15">
      <c r="D234" s="285"/>
      <c r="AT234" s="3598" t="str">
        <f t="shared" si="140"/>
        <v/>
      </c>
      <c r="AU234" s="315">
        <f ca="1">COUNTIFS(AT$7:$AT234,1)</f>
        <v>1</v>
      </c>
    </row>
    <row r="235" spans="4:47" ht="15">
      <c r="D235" s="285"/>
      <c r="AT235" s="3598" t="str">
        <f t="shared" si="140"/>
        <v/>
      </c>
      <c r="AU235" s="315">
        <f ca="1">COUNTIFS(AT$7:$AT235,1)</f>
        <v>1</v>
      </c>
    </row>
    <row r="236" spans="4:47" ht="15">
      <c r="D236" s="285"/>
      <c r="AT236" s="3598" t="str">
        <f t="shared" si="140"/>
        <v/>
      </c>
      <c r="AU236" s="315">
        <f ca="1">COUNTIFS(AT$7:$AT236,1)</f>
        <v>1</v>
      </c>
    </row>
    <row r="237" spans="4:47" ht="15">
      <c r="D237" s="285"/>
      <c r="AT237" s="3598" t="str">
        <f t="shared" si="140"/>
        <v/>
      </c>
      <c r="AU237" s="315">
        <f ca="1">COUNTIFS(AT$7:$AT237,1)</f>
        <v>1</v>
      </c>
    </row>
    <row r="238" spans="4:47" ht="15">
      <c r="D238" s="285"/>
      <c r="AT238" s="3598" t="str">
        <f t="shared" si="140"/>
        <v/>
      </c>
      <c r="AU238" s="315">
        <f ca="1">COUNTIFS(AT$7:$AT238,1)</f>
        <v>1</v>
      </c>
    </row>
    <row r="239" spans="4:47" ht="15">
      <c r="D239" s="285"/>
      <c r="AT239" s="3598" t="str">
        <f t="shared" si="140"/>
        <v/>
      </c>
      <c r="AU239" s="315">
        <f ca="1">COUNTIFS(AT$7:$AT239,1)</f>
        <v>1</v>
      </c>
    </row>
    <row r="240" spans="4:47" ht="15">
      <c r="D240" s="285"/>
      <c r="AT240" s="3598" t="str">
        <f t="shared" si="140"/>
        <v/>
      </c>
      <c r="AU240" s="315">
        <f ca="1">COUNTIFS(AT$7:$AT240,1)</f>
        <v>1</v>
      </c>
    </row>
    <row r="241" spans="4:47" ht="15">
      <c r="D241" s="285"/>
      <c r="AT241" s="3598" t="str">
        <f t="shared" si="140"/>
        <v/>
      </c>
      <c r="AU241" s="315">
        <f ca="1">COUNTIFS(AT$7:$AT241,1)</f>
        <v>1</v>
      </c>
    </row>
    <row r="242" spans="4:47">
      <c r="D242" s="285"/>
    </row>
    <row r="243" spans="4:47">
      <c r="D243" s="285"/>
    </row>
    <row r="244" spans="4:47">
      <c r="D244" s="285"/>
    </row>
    <row r="245" spans="4:47">
      <c r="D245" s="285"/>
    </row>
  </sheetData>
  <autoFilter ref="A6:N186" xr:uid="{00000000-0009-0000-0000-000020000000}"/>
  <mergeCells count="1">
    <mergeCell ref="K7:L7"/>
  </mergeCells>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filterMode="1"/>
  <dimension ref="A1:AU1048527"/>
  <sheetViews>
    <sheetView showGridLines="0" zoomScale="85" zoomScaleNormal="85" workbookViewId="0">
      <selection activeCell="V7" sqref="V7"/>
    </sheetView>
  </sheetViews>
  <sheetFormatPr defaultColWidth="6.7109375" defaultRowHeight="19.5" customHeight="1" outlineLevelRow="1"/>
  <cols>
    <col min="1" max="1" width="11.85546875" style="136" customWidth="1"/>
    <col min="2" max="2" width="8" style="136" customWidth="1"/>
    <col min="3" max="3" width="19.7109375" style="136" customWidth="1"/>
    <col min="4" max="4" width="7.42578125" style="136" customWidth="1"/>
    <col min="5" max="5" width="8.85546875" style="136" customWidth="1"/>
    <col min="6" max="9" width="6.7109375" style="136" customWidth="1"/>
    <col min="10" max="10" width="9.28515625" style="136" customWidth="1"/>
    <col min="11" max="11" width="14" style="319" customWidth="1"/>
    <col min="12" max="12" width="6.7109375" style="136" customWidth="1"/>
    <col min="13" max="13" width="8.5703125" style="136" bestFit="1" customWidth="1"/>
    <col min="14" max="14" width="5.85546875" style="136" customWidth="1"/>
    <col min="15" max="15" width="6.5703125" style="136" customWidth="1"/>
    <col min="16" max="16" width="6.7109375" style="136" customWidth="1"/>
    <col min="17" max="17" width="7.7109375" style="136" customWidth="1"/>
    <col min="18" max="18" width="6.7109375" style="136" customWidth="1"/>
    <col min="19" max="19" width="6.42578125" style="136" customWidth="1"/>
    <col min="20" max="20" width="7.85546875" style="136" customWidth="1"/>
    <col min="21" max="21" width="6.85546875" style="136" bestFit="1" customWidth="1"/>
    <col min="22" max="22" width="9" style="136" customWidth="1"/>
    <col min="23" max="23" width="6.85546875" style="136" bestFit="1" customWidth="1"/>
    <col min="24" max="24" width="10.5703125" style="136" bestFit="1" customWidth="1"/>
    <col min="25" max="25" width="8.42578125" style="136" customWidth="1"/>
    <col min="26" max="26" width="7.85546875" style="136" bestFit="1" customWidth="1"/>
    <col min="27" max="27" width="6.85546875" style="136" bestFit="1" customWidth="1"/>
    <col min="28" max="28" width="8.28515625" style="136" customWidth="1"/>
    <col min="29" max="29" width="8.42578125" style="136" customWidth="1"/>
    <col min="30" max="35" width="6.85546875" style="136" bestFit="1" customWidth="1"/>
    <col min="36" max="38" width="9.42578125" style="136" customWidth="1"/>
    <col min="39" max="41" width="6.7109375" style="136"/>
    <col min="42" max="42" width="9.85546875" style="136" bestFit="1" customWidth="1"/>
    <col min="43" max="43" width="9.5703125" style="136" customWidth="1"/>
    <col min="44" max="16384" width="6.7109375" style="136"/>
  </cols>
  <sheetData>
    <row r="1" spans="1:47" ht="18" customHeight="1">
      <c r="B1" s="791" t="s">
        <v>77</v>
      </c>
      <c r="C1" s="791"/>
      <c r="E1" s="883">
        <f>'Cost EST. GM target'!$L$6/(1+$G$2)</f>
        <v>5000</v>
      </c>
      <c r="F1" s="791" t="s">
        <v>11</v>
      </c>
      <c r="G1" s="319"/>
      <c r="H1" s="791"/>
      <c r="J1" s="6"/>
      <c r="K1" s="1555" t="str">
        <f>input!I1</f>
        <v>REF. Vietcom Bank Exchange Rate Dated : 15.08.2023</v>
      </c>
      <c r="L1" s="6"/>
      <c r="M1" s="6"/>
      <c r="N1" s="6"/>
      <c r="O1"/>
      <c r="P1" s="333"/>
      <c r="Q1" s="333"/>
      <c r="R1" s="333"/>
      <c r="V1" s="136">
        <v>0</v>
      </c>
      <c r="W1" s="136" t="s">
        <v>3607</v>
      </c>
    </row>
    <row r="2" spans="1:47" ht="18" customHeight="1">
      <c r="B2" s="791" t="s">
        <v>1342</v>
      </c>
      <c r="E2" s="883">
        <f>E1*(1+$G$2)</f>
        <v>5000</v>
      </c>
      <c r="F2" s="791" t="s">
        <v>11</v>
      </c>
      <c r="G2" s="797">
        <f>'Cost EST. GM target'!$N$6</f>
        <v>0</v>
      </c>
      <c r="H2" s="386" t="s">
        <v>1094</v>
      </c>
      <c r="J2" s="1556" t="s">
        <v>76</v>
      </c>
      <c r="K2" s="1820" t="s">
        <v>87</v>
      </c>
      <c r="L2" s="1820" t="s">
        <v>2</v>
      </c>
      <c r="M2" s="1820" t="s">
        <v>3</v>
      </c>
      <c r="N2" s="1820" t="s">
        <v>100</v>
      </c>
      <c r="O2" s="1820" t="s">
        <v>92</v>
      </c>
      <c r="P2" s="333"/>
      <c r="Q2" s="333"/>
      <c r="R2" s="333"/>
      <c r="V2" s="136">
        <v>50000</v>
      </c>
      <c r="W2" s="136" t="s">
        <v>3610</v>
      </c>
    </row>
    <row r="3" spans="1:47" s="319" customFormat="1" ht="18.75" customHeight="1">
      <c r="B3" s="791" t="s">
        <v>1348</v>
      </c>
      <c r="C3" s="791"/>
      <c r="E3" s="883">
        <f>E2*(1+$G$3)</f>
        <v>5225</v>
      </c>
      <c r="F3" s="791" t="s">
        <v>11</v>
      </c>
      <c r="G3" s="797">
        <f>input!$D$4</f>
        <v>4.4999999999999998E-2</v>
      </c>
      <c r="H3" s="386" t="s">
        <v>78</v>
      </c>
      <c r="K3" s="2519">
        <f>input!I5</f>
        <v>24010</v>
      </c>
      <c r="L3" s="2519">
        <f>input!J5</f>
        <v>30727.67</v>
      </c>
      <c r="M3" s="2519">
        <f>input!K5</f>
        <v>26767.49</v>
      </c>
      <c r="N3" s="2519">
        <f>input!L5</f>
        <v>689.29</v>
      </c>
      <c r="O3" s="2519">
        <f>input!M5</f>
        <v>1</v>
      </c>
      <c r="P3" s="333"/>
      <c r="Q3" s="333"/>
      <c r="R3" s="333"/>
      <c r="S3" s="3198" t="s">
        <v>3325</v>
      </c>
      <c r="T3" s="3199">
        <f>IF(input!$F$1=2023,5%,0%)*0</f>
        <v>0</v>
      </c>
      <c r="X3" s="3131"/>
    </row>
    <row r="4" spans="1:47" ht="16.899999999999999" customHeight="1">
      <c r="A4" s="320"/>
      <c r="B4" s="320"/>
      <c r="C4" s="320"/>
      <c r="D4" s="320"/>
      <c r="E4" s="320"/>
      <c r="F4" s="320"/>
      <c r="G4" s="320"/>
      <c r="H4" s="320"/>
      <c r="I4" s="320"/>
      <c r="J4" s="320"/>
      <c r="K4" s="320"/>
      <c r="L4" s="320"/>
      <c r="M4" s="320"/>
      <c r="N4" s="320"/>
      <c r="O4" s="320"/>
      <c r="P4" s="320"/>
      <c r="S4" s="319" t="s">
        <v>267</v>
      </c>
      <c r="T4" s="720">
        <f>input!$D$5</f>
        <v>0</v>
      </c>
      <c r="X4" s="3252"/>
      <c r="AC4" s="3252"/>
    </row>
    <row r="5" spans="1:47" ht="21.75" customHeight="1">
      <c r="A5" s="897"/>
      <c r="B5" s="898" t="s">
        <v>1306</v>
      </c>
      <c r="C5" s="896"/>
      <c r="D5" s="896"/>
      <c r="E5" s="896"/>
      <c r="F5" s="896"/>
      <c r="G5" s="896"/>
      <c r="H5" s="896"/>
      <c r="I5" s="896"/>
      <c r="J5" s="896"/>
      <c r="K5" s="896"/>
      <c r="L5" s="896"/>
      <c r="M5" s="896"/>
      <c r="N5" s="899" t="s">
        <v>1071</v>
      </c>
      <c r="O5" s="900"/>
      <c r="P5" s="899" t="s">
        <v>1072</v>
      </c>
      <c r="Q5" s="901"/>
      <c r="R5" s="902" t="s">
        <v>1073</v>
      </c>
      <c r="S5" s="903" t="s">
        <v>146</v>
      </c>
      <c r="T5" s="933" t="s">
        <v>1098</v>
      </c>
      <c r="U5" s="902" t="s">
        <v>1074</v>
      </c>
      <c r="V5" s="902" t="s">
        <v>1075</v>
      </c>
      <c r="W5" s="902" t="s">
        <v>1076</v>
      </c>
      <c r="X5" s="902" t="s">
        <v>20</v>
      </c>
      <c r="Y5" s="902" t="s">
        <v>1077</v>
      </c>
      <c r="Z5" s="904" t="s">
        <v>146</v>
      </c>
      <c r="AA5" s="905"/>
      <c r="AB5" s="902" t="s">
        <v>1078</v>
      </c>
      <c r="AC5" s="902" t="s">
        <v>1079</v>
      </c>
      <c r="AD5" s="902" t="s">
        <v>1080</v>
      </c>
      <c r="AE5" s="902" t="s">
        <v>1081</v>
      </c>
      <c r="AF5" s="906" t="s">
        <v>1082</v>
      </c>
      <c r="AG5" s="907"/>
      <c r="AH5" s="902" t="s">
        <v>1083</v>
      </c>
      <c r="AI5" s="902" t="s">
        <v>1084</v>
      </c>
      <c r="AJ5" s="902" t="s">
        <v>1095</v>
      </c>
      <c r="AK5" s="902" t="s">
        <v>1085</v>
      </c>
      <c r="AL5" s="902" t="s">
        <v>1899</v>
      </c>
      <c r="AM5" s="2151" t="s">
        <v>2038</v>
      </c>
      <c r="AN5" s="2151" t="s">
        <v>2039</v>
      </c>
      <c r="AO5" s="2151" t="s">
        <v>2055</v>
      </c>
      <c r="AP5" s="2518" t="s">
        <v>2060</v>
      </c>
      <c r="AQ5" s="2662" t="s">
        <v>2813</v>
      </c>
    </row>
    <row r="6" spans="1:47" s="403" customFormat="1" ht="16.899999999999999" hidden="1" customHeight="1">
      <c r="A6" s="908" t="s">
        <v>594</v>
      </c>
      <c r="B6" s="909" t="s">
        <v>126</v>
      </c>
      <c r="C6" s="910" t="s">
        <v>1086</v>
      </c>
      <c r="D6" s="910" t="s">
        <v>1349</v>
      </c>
      <c r="E6" s="910" t="s">
        <v>235</v>
      </c>
      <c r="F6" s="910" t="s">
        <v>1457</v>
      </c>
      <c r="G6" s="911" t="s">
        <v>1099</v>
      </c>
      <c r="H6" s="908" t="s">
        <v>1087</v>
      </c>
      <c r="I6" s="908" t="s">
        <v>17</v>
      </c>
      <c r="J6" s="912" t="s">
        <v>12</v>
      </c>
      <c r="K6" s="912" t="s">
        <v>1343</v>
      </c>
      <c r="L6" s="912" t="s">
        <v>78</v>
      </c>
      <c r="M6" s="908" t="s">
        <v>1088</v>
      </c>
      <c r="N6" s="913" t="s">
        <v>212</v>
      </c>
      <c r="O6" s="908" t="s">
        <v>1089</v>
      </c>
      <c r="P6" s="909" t="s">
        <v>212</v>
      </c>
      <c r="Q6" s="911" t="s">
        <v>1090</v>
      </c>
      <c r="R6" s="914"/>
      <c r="S6" s="914"/>
      <c r="T6" s="914"/>
      <c r="U6" s="914"/>
      <c r="V6" s="912"/>
      <c r="W6" s="912"/>
      <c r="X6" s="912"/>
      <c r="Y6" s="912"/>
      <c r="Z6" s="908" t="s">
        <v>78</v>
      </c>
      <c r="AA6" s="908" t="s">
        <v>1091</v>
      </c>
      <c r="AB6" s="912"/>
      <c r="AC6" s="912"/>
      <c r="AD6" s="912"/>
      <c r="AE6" s="912"/>
      <c r="AF6" s="908" t="s">
        <v>6</v>
      </c>
      <c r="AG6" s="908" t="s">
        <v>92</v>
      </c>
      <c r="AH6" s="912"/>
      <c r="AI6" s="912"/>
      <c r="AJ6" s="912"/>
      <c r="AK6" s="912"/>
      <c r="AL6" s="912"/>
      <c r="AM6" s="934"/>
      <c r="AN6" s="934"/>
      <c r="AO6" s="934"/>
      <c r="AP6" s="934"/>
      <c r="AQ6" s="2663"/>
    </row>
    <row r="7" spans="1:47" ht="16.899999999999999" customHeight="1">
      <c r="A7" s="1209" t="str">
        <f>input!A25</f>
        <v>Box</v>
      </c>
      <c r="B7" s="1183">
        <f>input!B25</f>
        <v>300</v>
      </c>
      <c r="C7" s="1184" t="str">
        <f>IF(B7&gt;0,B7&amp;"gsm "&amp;D7&amp;" "&amp;E7,0)</f>
        <v>300gsm GB HANSOL</v>
      </c>
      <c r="D7" s="1185" t="str">
        <f>input!C25</f>
        <v>GB</v>
      </c>
      <c r="E7" s="1185" t="str">
        <f>input!D25</f>
        <v>HANSOL</v>
      </c>
      <c r="F7" s="1210">
        <f>VLOOKUP(C7,Data!$P$13:$R$822,2,0)</f>
        <v>0.38500000000000001</v>
      </c>
      <c r="G7" s="1186" t="str">
        <f>input!E25</f>
        <v>Import</v>
      </c>
      <c r="H7" s="2502">
        <f>IFERROR(VLOOKUP(C7,Data!$P$13:$V$822,IF(G7=Data!$T$12,5,6),0)+IF($G7="Import",IF($AM7="Y",SUMIF(Data!$P$13:$P$822,Paper!$C7,Data!$AD$13:$AD$822),0)+IF($AN7="Ream",SUMIF(Data!$P$13:$P$822,Paper!$C7,Data!$AE$13:$AE$822),0),0),0)</f>
        <v>12675.109200000001</v>
      </c>
      <c r="I7" s="2504">
        <f>input!F25</f>
        <v>2</v>
      </c>
      <c r="J7" s="2504">
        <f>input!G25</f>
        <v>1</v>
      </c>
      <c r="K7" s="2504">
        <f>input!H25</f>
        <v>1</v>
      </c>
      <c r="L7" s="1189">
        <f>IF(V7=0,0,VLOOKUP(AS7&amp;input!$B$4&amp;LOOKUP(V7,$V$1:$V$2,$W$1:$W$2),Data!$T$1054:$W$1066,4,0))</f>
        <v>4.4999999999999998E-2</v>
      </c>
      <c r="M7" s="2502">
        <f>input!I25</f>
        <v>1</v>
      </c>
      <c r="N7" s="1190">
        <f>input!J25</f>
        <v>638</v>
      </c>
      <c r="O7" s="1191">
        <f>input!K25</f>
        <v>407</v>
      </c>
      <c r="P7" s="2500">
        <f>IFERROR(input!L25,0)</f>
        <v>650</v>
      </c>
      <c r="Q7" s="1192">
        <f>input!M25</f>
        <v>410</v>
      </c>
      <c r="R7" s="2566">
        <f ca="1">ROUNDUP((B7*P7*Q7*SUM(V7:X7)/10^12),3)*(1+'Cost EST. GM target'!$L95)</f>
        <v>0.222</v>
      </c>
      <c r="S7" s="2576">
        <f ca="1">IF($I7*$J7&gt;0,Y7/$E$1,0)</f>
        <v>562.77484848000006</v>
      </c>
      <c r="T7" s="2577">
        <f ca="1">S7+IF($I7*$J7&gt;0,$AD7*$AP7*1000/$E$1,0)*$T$4</f>
        <v>562.77484848000006</v>
      </c>
      <c r="U7" s="2583">
        <f ca="1">IF(M7&gt;0,ROUNDUP(SUM(V7:X7)/AB7/J7,0),0)</f>
        <v>1</v>
      </c>
      <c r="V7" s="4080">
        <f>MAX('Cost EST. GM target'!L9*$J7*IF($M7&gt;0,1,0),IF($J7&gt;0,IF(input!$N25&gt;0,input!$N25,ROUNDUP($E$2*$K7/$I7,0)),0))</f>
        <v>2500</v>
      </c>
      <c r="W7" s="2576">
        <f>IF($B7&gt;0,IF($M7&gt;0,IF(input!$B$4=Data!$M$1054,MAX(Data!$R$1054*$J7,ROUNDUP($V7*$L7,0)),MAX(Data!$R$1057*$J7,ROUNDUP($V7*$L7,0))),MAX(Data!$R$1060*$J7,ROUNDUP($V7*$L7,0))),0)</f>
        <v>225</v>
      </c>
      <c r="X7" s="2576">
        <f ca="1">IF($J7&gt;0,50*SUMIFS(input!$H$412:$H$442,input!$F$412:$F$442,Paper!A7)*$J7,0)</f>
        <v>50</v>
      </c>
      <c r="Y7" s="2576">
        <f ca="1">R7*1000*H7</f>
        <v>2813874.2424000003</v>
      </c>
      <c r="Z7" s="2576">
        <f ca="1">IF(J7&gt;0,S7*AI7,0)</f>
        <v>44.432481224617213</v>
      </c>
      <c r="AA7" s="2576">
        <f t="shared" ref="AA7:AA15" ca="1" si="0">S7-Z7</f>
        <v>518.3423672553829</v>
      </c>
      <c r="AB7" s="2585">
        <f ca="1">IF(input!$B$4=Data!$M$1054,IF(SUM(V7:X7)/$J7&lt;Data!$N$1054/2,SUM(V7:X7)/$J7*2,Data!$N$1054),IF(SUM(V7:X7)/$J7&lt;Data!$N$1057/2,SUM(V7:X7)/$J7*2,Data!$N$1057))</f>
        <v>5550</v>
      </c>
      <c r="AC7" s="2576">
        <f>V7+W7</f>
        <v>2725</v>
      </c>
      <c r="AD7" s="2566">
        <f>V7*B7*N7*O7/10^12</f>
        <v>0.19474949999999999</v>
      </c>
      <c r="AE7" s="2566">
        <f t="shared" ref="AE7:AE15" si="1">W7*B7*N7*O7/10^12</f>
        <v>1.7527455000000001E-2</v>
      </c>
      <c r="AF7" s="2566">
        <f t="shared" ref="AF7:AF15" ca="1" si="2">X7*B7*N7*O7/10^12</f>
        <v>3.8949900000000001E-3</v>
      </c>
      <c r="AG7" s="2576">
        <f t="shared" ref="AG7:AG15" ca="1" si="3">AF7*H7*1000</f>
        <v>49369.423582908006</v>
      </c>
      <c r="AH7" s="1189">
        <f ca="1">IF(J7&gt;0,AD7/R7,0)</f>
        <v>0.87724999999999997</v>
      </c>
      <c r="AI7" s="1189">
        <f ca="1">IF(J7&gt;0,AE7/R7,0)</f>
        <v>7.8952500000000009E-2</v>
      </c>
      <c r="AJ7" s="1189">
        <f ca="1">IF(J7&gt;0,AF7/R7,0)</f>
        <v>1.7545000000000002E-2</v>
      </c>
      <c r="AK7" s="1189">
        <f t="shared" ref="AK7:AK15" ca="1" si="4">IF(J7&gt;0,1-(SUM(AH7:AJ7)),0)</f>
        <v>2.6252500000000012E-2</v>
      </c>
      <c r="AL7" s="1211">
        <f ca="1">IF(J7&gt;0,IF(T7&gt;0,0,1),0)</f>
        <v>0</v>
      </c>
      <c r="AM7" s="1211" t="str">
        <f>input!O25</f>
        <v>N</v>
      </c>
      <c r="AN7" s="1211" t="str">
        <f>input!P25</f>
        <v>Roll</v>
      </c>
      <c r="AO7" s="1211" t="str">
        <f>input!$F$33</f>
        <v>Box</v>
      </c>
      <c r="AP7" s="2520">
        <f>IF($G7="Import",(SUMIF(Data!$P$13:$P$822,Paper!$C7,Data!$L$13:$L$822)+IF($AM7="Y",SUMIF(Data!$P$13:$P$822,Paper!$C7,Data!$M$13:$M$822),0)+IF($AN7="Ream",SUMIF(Data!$P$13:$P$822,Paper!$C7,Data!$N$13:$N$822),0))*$K$3/1000,SUMIF(Data!$P$13:$P$822,Paper!$C7,Data!$S$13:$S$822)/1.08)</f>
        <v>11884.95</v>
      </c>
      <c r="AQ7" s="2522">
        <f>IF($AM7="N",0,VLOOKUP($C7,Data!$P$13:$AF$822,17,0))</f>
        <v>0</v>
      </c>
      <c r="AR7" s="2746">
        <f ca="1">ROUNDUP((B7*N7*O7*SUM(V7:X7)/10^12),3)*(1+'Cost EST. GM target'!$L95)</f>
        <v>0.217</v>
      </c>
      <c r="AS7" s="136" t="str">
        <f>IF(M7=0,"khong in","co in")</f>
        <v>co in</v>
      </c>
      <c r="AT7" s="136">
        <f ca="1">IF(ISNUMBER(T7),IF(T7&lt;&gt;0,IF(ISNUMBER(SEARCH("to",S7)),0,1),0),"")</f>
        <v>1</v>
      </c>
      <c r="AU7" s="136">
        <f ca="1">COUNTIFS($AT$7:AT7,1)</f>
        <v>1</v>
      </c>
    </row>
    <row r="8" spans="1:47" ht="16.899999999999999" hidden="1" customHeight="1">
      <c r="A8" s="915" t="str">
        <f>input!A42</f>
        <v>N</v>
      </c>
      <c r="B8" s="2497">
        <f>input!B42</f>
        <v>0</v>
      </c>
      <c r="C8" s="2498">
        <f>IF(B8&gt;0,B8&amp;"gsm "&amp;D8&amp;" "&amp;E8,0)</f>
        <v>0</v>
      </c>
      <c r="D8" s="2499" t="str">
        <f>input!C42</f>
        <v>GB</v>
      </c>
      <c r="E8" s="2499">
        <f>input!D42</f>
        <v>0</v>
      </c>
      <c r="F8" s="1212">
        <f>VLOOKUP(C8,Data!$P$13:$R$822,2,0)</f>
        <v>0</v>
      </c>
      <c r="G8" s="1194" t="str">
        <f>input!E42</f>
        <v>Local</v>
      </c>
      <c r="H8" s="2503">
        <f>IFERROR(VLOOKUP(C8,Data!$P$13:$V$822,IF(G8=Data!$T$12,5,6),0)+IF($G8="Import",IF($AM8="Y",SUMIF(Data!$P$13:$P$822,Paper!$C8,Data!$AD$13:$AD$822),0)+IF($AN8="Ream",SUMIF(Data!$P$13:$P$822,Paper!$C8,Data!$AE$13:$AE$822),0),0),0)</f>
        <v>0</v>
      </c>
      <c r="I8" s="2503">
        <f>input!F42</f>
        <v>0</v>
      </c>
      <c r="J8" s="2503">
        <f>input!G42</f>
        <v>0</v>
      </c>
      <c r="K8" s="2503">
        <f>input!H42</f>
        <v>0</v>
      </c>
      <c r="L8" s="1197">
        <f>IF(V8=0,0,VLOOKUP(AS8&amp;input!$B$4&amp;LOOKUP(V8,$V$1:$V$2,$W$1:$W$2),Data!$T$1054:$W$1066,4,0))</f>
        <v>0</v>
      </c>
      <c r="M8" s="2503">
        <f>input!I42</f>
        <v>0</v>
      </c>
      <c r="N8" s="1198">
        <f>input!J42</f>
        <v>0</v>
      </c>
      <c r="O8" s="1199">
        <f>input!K42</f>
        <v>0</v>
      </c>
      <c r="P8" s="2501">
        <f ca="1">IFERROR(input!L42,0)</f>
        <v>0</v>
      </c>
      <c r="Q8" s="1200">
        <f>input!M42</f>
        <v>3</v>
      </c>
      <c r="R8" s="2567">
        <f ca="1">ROUNDUP((B8*P8*Q8*SUM(V8:X8)/10^12),3)*(1+'Cost EST. GM target'!$L96)</f>
        <v>0</v>
      </c>
      <c r="S8" s="2579">
        <f t="shared" ref="S8:S15" si="5">IF($I8*$J8&gt;0,Y8/$E$1,0)</f>
        <v>0</v>
      </c>
      <c r="T8" s="2521">
        <f t="shared" ref="T8:T15" si="6">S8+IF($I8*$J8&gt;0,$AD8*$AP8*1000/$E$1,0)*$T$4</f>
        <v>0</v>
      </c>
      <c r="U8" s="2584">
        <f t="shared" ref="U8:U15" si="7">IF(M8&gt;0,ROUNDUP(SUM(V8:X8)/AB8/J8,0),0)</f>
        <v>0</v>
      </c>
      <c r="V8" s="2579">
        <f>MAX(2000*$J8*IF($M8&gt;0,1,0),IF($J8&gt;0,IF(input!$N42&gt;0,input!$N42,ROUNDUP($E$2*$K8/$I8,0)),0))</f>
        <v>0</v>
      </c>
      <c r="W8" s="2579">
        <f>IF($B8&gt;0,IF($M8&gt;0,IF(input!$B$4=Data!$M$1054,MAX(Data!$R$1054*$J8,ROUNDUP($V8*$L8,0)),MAX(Data!$R$1057*$J8,ROUNDUP($V8*$L8,0))),MAX(Data!$R$1060*$J8,ROUNDUP($V8*$L8,0))),0)</f>
        <v>0</v>
      </c>
      <c r="X8" s="2579">
        <f>IF($J8&gt;0,50*SUMIFS(input!$H$412:$H$442,input!$F$412:$F$442,Paper!A8)*$J8,0)</f>
        <v>0</v>
      </c>
      <c r="Y8" s="2579">
        <f t="shared" ref="Y8:Y15" ca="1" si="8">R8*1000*H8</f>
        <v>0</v>
      </c>
      <c r="Z8" s="2579">
        <f>IF(J8&gt;0,S8*AI8,0)</f>
        <v>0</v>
      </c>
      <c r="AA8" s="2579">
        <f t="shared" si="0"/>
        <v>0</v>
      </c>
      <c r="AB8" s="2586" t="e">
        <f>IF(input!$B$4=Data!$M$1054,IF(SUM(V8:X8)/$J8&lt;Data!$N$1054/2,SUM(V8:X8)/$J8*2,Data!$N$1054),IF(SUM(V8:X8)/$J8&lt;Data!$N$1057/2,SUM(V8:X8)/$J8*2,Data!$N$1057))</f>
        <v>#DIV/0!</v>
      </c>
      <c r="AC8" s="2579">
        <f t="shared" ref="AC8:AC15" si="9">V8+W8</f>
        <v>0</v>
      </c>
      <c r="AD8" s="2567">
        <f t="shared" ref="AD8:AD15" si="10">V8*B8*N8*O8/10^12</f>
        <v>0</v>
      </c>
      <c r="AE8" s="2567">
        <f t="shared" si="1"/>
        <v>0</v>
      </c>
      <c r="AF8" s="2567">
        <f t="shared" si="2"/>
        <v>0</v>
      </c>
      <c r="AG8" s="2579">
        <f t="shared" si="3"/>
        <v>0</v>
      </c>
      <c r="AH8" s="1197">
        <f t="shared" ref="AH8:AH15" si="11">IF(J8&gt;0,AD8/R8,0)</f>
        <v>0</v>
      </c>
      <c r="AI8" s="1197">
        <f t="shared" ref="AI8:AI15" si="12">IF(J8&gt;0,AE8/R8,0)</f>
        <v>0</v>
      </c>
      <c r="AJ8" s="1197">
        <f t="shared" ref="AJ8:AJ15" si="13">IF(J8&gt;0,AF8/R8,0)</f>
        <v>0</v>
      </c>
      <c r="AK8" s="1197">
        <f t="shared" si="4"/>
        <v>0</v>
      </c>
      <c r="AL8" s="1214">
        <f>IF(J8&gt;0,IF(T8&gt;0,0,1),0)</f>
        <v>0</v>
      </c>
      <c r="AM8" s="1214" t="str">
        <f>input!O42</f>
        <v>N</v>
      </c>
      <c r="AN8" s="1214" t="str">
        <f>input!P42</f>
        <v>Roll</v>
      </c>
      <c r="AO8" s="1214" t="str">
        <f>input!$F$50</f>
        <v>N</v>
      </c>
      <c r="AP8" s="2521">
        <f>IF($G8="Import",(SUMIF(Data!$P$13:$P$822,Paper!$C8,Data!$L$13:$L$822)+IF($AM8="Y",SUMIF(Data!$P$13:$P$822,Paper!$C8,Data!$M$13:$M$822),0)+IF($AN8="Ream",SUMIF(Data!$P$13:$P$822,Paper!$C8,Data!$N$13:$N$822),0))*$K$3/1000,SUMIF(Data!$P$13:$P$822,Paper!$C8,Data!$S$13:$S$822)/1.08)</f>
        <v>0</v>
      </c>
      <c r="AQ8" s="2523">
        <f>IF($AM8="N",0,VLOOKUP($C8,Data!$P$13:$AF$822,17,0))</f>
        <v>0</v>
      </c>
      <c r="AR8" s="2746">
        <f>ROUNDUP((B8*N8*O8*SUM(V8:X8)/10^12),3)*(1+'Cost EST. GM target'!$L96)</f>
        <v>0</v>
      </c>
      <c r="AS8" s="136" t="str">
        <f t="shared" ref="AS8:AS15" si="14">IF(M8=0,"khong in","co in")</f>
        <v>khong in</v>
      </c>
      <c r="AT8" s="136">
        <f t="shared" ref="AT8:AT81" si="15">IF(ISNUMBER(T8),IF(T8&lt;&gt;0,IF(ISNUMBER(SEARCH("to",S8)),0,1),0),"")</f>
        <v>0</v>
      </c>
      <c r="AU8" s="136">
        <f ca="1">COUNTIFS($AT$7:AT8,1)</f>
        <v>1</v>
      </c>
    </row>
    <row r="9" spans="1:47" ht="16.899999999999999" hidden="1" customHeight="1">
      <c r="A9" s="915" t="str">
        <f>input!A59</f>
        <v>N</v>
      </c>
      <c r="B9" s="2497">
        <f>input!B59</f>
        <v>0</v>
      </c>
      <c r="C9" s="2498">
        <f t="shared" ref="C9:C15" si="16">IF(B9&gt;0,B9&amp;"gsm "&amp;D9&amp;" "&amp;E9,0)</f>
        <v>0</v>
      </c>
      <c r="D9" s="2499" t="str">
        <f>input!C59</f>
        <v>GB</v>
      </c>
      <c r="E9" s="2499">
        <f>input!D59</f>
        <v>0</v>
      </c>
      <c r="F9" s="1212">
        <f>VLOOKUP(C9,Data!$P$13:$R$822,2,0)</f>
        <v>0</v>
      </c>
      <c r="G9" s="1194" t="str">
        <f>input!E59</f>
        <v>Local</v>
      </c>
      <c r="H9" s="2503">
        <f>IFERROR(VLOOKUP(C9,Data!$P$13:$V$822,IF(G9=Data!$T$12,5,6),0)+IF($G9="Import",IF($AM9="Y",SUMIF(Data!$P$13:$P$822,Paper!$C9,Data!$AD$13:$AD$822),0)+IF($AN9="Ream",SUMIF(Data!$P$13:$P$822,Paper!$C9,Data!$AE$13:$AE$822),0),0),0)</f>
        <v>0</v>
      </c>
      <c r="I9" s="2503">
        <f>input!F59</f>
        <v>0</v>
      </c>
      <c r="J9" s="2503">
        <f>input!G59</f>
        <v>0</v>
      </c>
      <c r="K9" s="2503">
        <f>input!H59</f>
        <v>0</v>
      </c>
      <c r="L9" s="1197">
        <f>IF(V9=0,0,VLOOKUP(AS9&amp;input!$B$4&amp;LOOKUP(V9,$V$1:$V$2,$W$1:$W$2),Data!$T$1054:$W$1066,4,0))</f>
        <v>0</v>
      </c>
      <c r="M9" s="2503">
        <f>input!I59</f>
        <v>0</v>
      </c>
      <c r="N9" s="1198">
        <f>input!J59</f>
        <v>0</v>
      </c>
      <c r="O9" s="1199">
        <f>input!K59</f>
        <v>0</v>
      </c>
      <c r="P9" s="2501">
        <f ca="1">IFERROR(input!L59,0)</f>
        <v>0</v>
      </c>
      <c r="Q9" s="1200">
        <f>input!M59</f>
        <v>3</v>
      </c>
      <c r="R9" s="2567">
        <f ca="1">ROUNDUP((B9*P9*Q9*SUM(V9:X9)/10^12),3)*(1+'Cost EST. GM target'!$L97)</f>
        <v>0</v>
      </c>
      <c r="S9" s="2579">
        <f t="shared" si="5"/>
        <v>0</v>
      </c>
      <c r="T9" s="2521">
        <f t="shared" si="6"/>
        <v>0</v>
      </c>
      <c r="U9" s="2584">
        <f t="shared" si="7"/>
        <v>0</v>
      </c>
      <c r="V9" s="2579">
        <f>MAX(2000*$J9*IF($M9&gt;0,1,0),IF($J9&gt;0,IF(input!$N59&gt;0,input!$N59,ROUNDUP($E$2*$K9/$I9,0)),0))</f>
        <v>0</v>
      </c>
      <c r="W9" s="2579">
        <f>IF($B9&gt;0,IF($M9&gt;0,IF(input!$B$4=Data!$M$1054,MAX(Data!$R$1054*$J9,ROUNDUP($V9*$L9,0)),MAX(Data!$R$1057*$J9,ROUNDUP($V9*$L9,0))),MAX(Data!$R$1060*$J9,ROUNDUP($V9*$L9,0))),0)</f>
        <v>0</v>
      </c>
      <c r="X9" s="2579">
        <f>IF($J9&gt;0,50*SUMIFS(input!$H$412:$H$442,input!$F$412:$F$442,Paper!A9)*$J9,0)</f>
        <v>0</v>
      </c>
      <c r="Y9" s="2579">
        <f t="shared" ca="1" si="8"/>
        <v>0</v>
      </c>
      <c r="Z9" s="2579">
        <f t="shared" ref="Z9:Z15" si="17">IF(J9&gt;0,S9*AI9,0)</f>
        <v>0</v>
      </c>
      <c r="AA9" s="2579">
        <f t="shared" si="0"/>
        <v>0</v>
      </c>
      <c r="AB9" s="2586" t="e">
        <f>IF(input!$B$4=Data!$M$1054,IF(SUM(V9:X9)/$J9&lt;Data!$N$1054/2,SUM(V9:X9)/$J9*2,Data!$N$1054),IF(SUM(V9:X9)/$J9&lt;Data!$N$1057/2,SUM(V9:X9)/$J9*2,Data!$N$1057))</f>
        <v>#DIV/0!</v>
      </c>
      <c r="AC9" s="2579">
        <f t="shared" si="9"/>
        <v>0</v>
      </c>
      <c r="AD9" s="2567">
        <f t="shared" si="10"/>
        <v>0</v>
      </c>
      <c r="AE9" s="2567">
        <f t="shared" si="1"/>
        <v>0</v>
      </c>
      <c r="AF9" s="2567">
        <f t="shared" si="2"/>
        <v>0</v>
      </c>
      <c r="AG9" s="2579">
        <f t="shared" si="3"/>
        <v>0</v>
      </c>
      <c r="AH9" s="1197">
        <f t="shared" si="11"/>
        <v>0</v>
      </c>
      <c r="AI9" s="1197">
        <f t="shared" si="12"/>
        <v>0</v>
      </c>
      <c r="AJ9" s="1197">
        <f t="shared" si="13"/>
        <v>0</v>
      </c>
      <c r="AK9" s="1197">
        <f t="shared" si="4"/>
        <v>0</v>
      </c>
      <c r="AL9" s="1214">
        <f t="shared" ref="AL9:AL15" si="18">IF(J9&gt;0,IF(T9&gt;0,0,1),0)</f>
        <v>0</v>
      </c>
      <c r="AM9" s="1214" t="str">
        <f>input!O59</f>
        <v>N</v>
      </c>
      <c r="AN9" s="1214" t="str">
        <f>input!P59</f>
        <v>Roll</v>
      </c>
      <c r="AO9" s="1214" t="str">
        <f>input!$F$67</f>
        <v>N</v>
      </c>
      <c r="AP9" s="2521">
        <f>IF($G9="Import",(SUMIF(Data!$P$13:$P$822,Paper!$C9,Data!$L$13:$L$822)+IF($AM9="Y",SUMIF(Data!$P$13:$P$822,Paper!$C9,Data!$M$13:$M$822),0)+IF($AN9="Ream",SUMIF(Data!$P$13:$P$822,Paper!$C9,Data!$N$13:$N$822),0))*$K$3/1000,SUMIF(Data!$P$13:$P$822,Paper!$C9,Data!$S$13:$S$822)/1.08)</f>
        <v>0</v>
      </c>
      <c r="AQ9" s="2523">
        <f>IF($AM9="N",0,VLOOKUP($C9,Data!$P$13:$AF$822,17,0))</f>
        <v>0</v>
      </c>
      <c r="AR9" s="2746">
        <f>ROUNDUP((B9*N9*O9*SUM(V9:X9)/10^12),3)*(1+'Cost EST. GM target'!$L97)</f>
        <v>0</v>
      </c>
      <c r="AS9" s="136" t="str">
        <f t="shared" si="14"/>
        <v>khong in</v>
      </c>
      <c r="AT9" s="136">
        <f t="shared" si="15"/>
        <v>0</v>
      </c>
      <c r="AU9" s="136">
        <f ca="1">COUNTIFS($AT$7:AT9,1)</f>
        <v>1</v>
      </c>
    </row>
    <row r="10" spans="1:47" ht="16.899999999999999" hidden="1" customHeight="1">
      <c r="A10" s="915" t="str">
        <f>input!A76</f>
        <v>N</v>
      </c>
      <c r="B10" s="2497">
        <f>input!B76</f>
        <v>0</v>
      </c>
      <c r="C10" s="2498">
        <f t="shared" si="16"/>
        <v>0</v>
      </c>
      <c r="D10" s="2499" t="str">
        <f>input!C76</f>
        <v>GB</v>
      </c>
      <c r="E10" s="2499" t="str">
        <f>input!D76</f>
        <v>DEA HAN</v>
      </c>
      <c r="F10" s="1212">
        <f>VLOOKUP(C10,Data!$P$13:$R$822,2,0)</f>
        <v>0</v>
      </c>
      <c r="G10" s="1194" t="str">
        <f>input!E76</f>
        <v>Local</v>
      </c>
      <c r="H10" s="2503">
        <f>IFERROR(VLOOKUP(C10,Data!$P$13:$V$822,IF(G10=Data!$T$12,5,6),0)+IF($G10="Import",IF($AM10="Y",SUMIF(Data!$P$13:$P$822,Paper!$C10,Data!$AD$13:$AD$822),0)+IF($AN10="Ream",SUMIF(Data!$P$13:$P$822,Paper!$C10,Data!$AE$13:$AE$822),0),0),0)</f>
        <v>0</v>
      </c>
      <c r="I10" s="2503">
        <f>input!F76</f>
        <v>0</v>
      </c>
      <c r="J10" s="2503">
        <f>input!G76</f>
        <v>0</v>
      </c>
      <c r="K10" s="2503">
        <f>input!H76</f>
        <v>0</v>
      </c>
      <c r="L10" s="1197">
        <f>IF(V10=0,0,VLOOKUP(AS10&amp;input!$B$4&amp;LOOKUP(V10,$V$1:$V$2,$W$1:$W$2),Data!$T$1054:$W$1066,4,0))</f>
        <v>0</v>
      </c>
      <c r="M10" s="2503">
        <f>input!I76</f>
        <v>0</v>
      </c>
      <c r="N10" s="1198">
        <f>input!J76</f>
        <v>0</v>
      </c>
      <c r="O10" s="1199">
        <f>input!K76</f>
        <v>0</v>
      </c>
      <c r="P10" s="2501">
        <f ca="1">IFERROR(input!L76,0)</f>
        <v>0</v>
      </c>
      <c r="Q10" s="1200">
        <f>input!M76</f>
        <v>3</v>
      </c>
      <c r="R10" s="2567">
        <f ca="1">ROUNDUP((B10*P10*Q10*SUM(V10:X10)/10^12),3)*(1+'Cost EST. GM target'!$L98)</f>
        <v>0</v>
      </c>
      <c r="S10" s="2579">
        <f t="shared" si="5"/>
        <v>0</v>
      </c>
      <c r="T10" s="2521">
        <f t="shared" si="6"/>
        <v>0</v>
      </c>
      <c r="U10" s="2584">
        <f t="shared" si="7"/>
        <v>0</v>
      </c>
      <c r="V10" s="2579">
        <f>MAX(2000*$J10*IF($M10&gt;0,1,0),IF($J10&gt;0,IF(input!$N76&gt;0,input!$N76,ROUNDUP($E$2*$K10/$I10,0)),0))</f>
        <v>0</v>
      </c>
      <c r="W10" s="2579">
        <f>IF($B10&gt;0,IF($M10&gt;0,IF(input!$B$4=Data!$M$1054,MAX(Data!$R$1054*$J10,ROUNDUP($V10*$L10,0)),MAX(Data!$R$1057*$J10,ROUNDUP($V10*$L10,0))),MAX(Data!$R$1060*$J10,ROUNDUP($V10*$L10,0))),0)</f>
        <v>0</v>
      </c>
      <c r="X10" s="2579">
        <f>IF($J10&gt;0,50*SUMIFS(input!$H$412:$H$442,input!$F$412:$F$442,Paper!A10)*$J10,0)</f>
        <v>0</v>
      </c>
      <c r="Y10" s="2579">
        <f t="shared" ca="1" si="8"/>
        <v>0</v>
      </c>
      <c r="Z10" s="2579">
        <f t="shared" si="17"/>
        <v>0</v>
      </c>
      <c r="AA10" s="2579">
        <f t="shared" si="0"/>
        <v>0</v>
      </c>
      <c r="AB10" s="2586" t="e">
        <f>IF(input!$B$4=Data!$M$1054,IF(SUM(V10:X10)/$J10&lt;Data!$N$1054/2,SUM(V10:X10)/$J10*2,Data!$N$1054),IF(SUM(V10:X10)/$J10&lt;Data!$N$1057/2,SUM(V10:X10)/$J10*2,Data!$N$1057))</f>
        <v>#DIV/0!</v>
      </c>
      <c r="AC10" s="2579">
        <f t="shared" si="9"/>
        <v>0</v>
      </c>
      <c r="AD10" s="2567">
        <f t="shared" si="10"/>
        <v>0</v>
      </c>
      <c r="AE10" s="2567">
        <f t="shared" si="1"/>
        <v>0</v>
      </c>
      <c r="AF10" s="2567">
        <f t="shared" si="2"/>
        <v>0</v>
      </c>
      <c r="AG10" s="2579">
        <f t="shared" si="3"/>
        <v>0</v>
      </c>
      <c r="AH10" s="1197">
        <f t="shared" si="11"/>
        <v>0</v>
      </c>
      <c r="AI10" s="1197">
        <f t="shared" si="12"/>
        <v>0</v>
      </c>
      <c r="AJ10" s="1197">
        <f t="shared" si="13"/>
        <v>0</v>
      </c>
      <c r="AK10" s="1197">
        <f t="shared" si="4"/>
        <v>0</v>
      </c>
      <c r="AL10" s="1214">
        <f t="shared" si="18"/>
        <v>0</v>
      </c>
      <c r="AM10" s="1214" t="str">
        <f>input!O76</f>
        <v>N</v>
      </c>
      <c r="AN10" s="1214" t="str">
        <f>input!P76</f>
        <v>Roll</v>
      </c>
      <c r="AO10" s="1214" t="str">
        <f>input!$F$84</f>
        <v>N</v>
      </c>
      <c r="AP10" s="2521">
        <f>IF($G10="Import",(SUMIF(Data!$P$13:$P$822,Paper!$C10,Data!$L$13:$L$822)+IF($AM10="Y",SUMIF(Data!$P$13:$P$822,Paper!$C10,Data!$M$13:$M$822),0)+IF($AN10="Ream",SUMIF(Data!$P$13:$P$822,Paper!$C10,Data!$N$13:$N$822),0))*$K$3/1000,SUMIF(Data!$P$13:$P$822,Paper!$C10,Data!$S$13:$S$822)/1.08)</f>
        <v>0</v>
      </c>
      <c r="AQ10" s="2523">
        <f>IF($AM10="N",0,VLOOKUP($C10,Data!$P$13:$AF$822,17,0))</f>
        <v>0</v>
      </c>
      <c r="AR10" s="2746">
        <f>ROUNDUP((B10*N10*O10*SUM(V10:X10)/10^12),3)*(1+'Cost EST. GM target'!$L98)</f>
        <v>0</v>
      </c>
      <c r="AS10" s="136" t="str">
        <f t="shared" si="14"/>
        <v>khong in</v>
      </c>
      <c r="AT10" s="136">
        <f t="shared" si="15"/>
        <v>0</v>
      </c>
      <c r="AU10" s="136">
        <f ca="1">COUNTIFS($AT$7:AT10,1)</f>
        <v>1</v>
      </c>
    </row>
    <row r="11" spans="1:47" ht="16.899999999999999" hidden="1" customHeight="1">
      <c r="A11" s="915" t="str">
        <f>input!A93</f>
        <v>N</v>
      </c>
      <c r="B11" s="2497">
        <f>input!B93</f>
        <v>0</v>
      </c>
      <c r="C11" s="2498">
        <f t="shared" si="16"/>
        <v>0</v>
      </c>
      <c r="D11" s="2499" t="str">
        <f>input!C93</f>
        <v>GB</v>
      </c>
      <c r="E11" s="2499">
        <f>input!D93</f>
        <v>0</v>
      </c>
      <c r="F11" s="1212">
        <f>VLOOKUP(C11,Data!$P$13:$R$822,2,0)</f>
        <v>0</v>
      </c>
      <c r="G11" s="1194" t="str">
        <f>input!E93</f>
        <v>Local</v>
      </c>
      <c r="H11" s="2503">
        <f>IFERROR(VLOOKUP(C11,Data!$P$13:$V$822,IF(G11=Data!$T$12,5,6),0)+IF($G11="Import",IF($AM11="Y",SUMIF(Data!$P$13:$P$822,Paper!$C11,Data!$AD$13:$AD$822),0)+IF($AN11="Ream",SUMIF(Data!$P$13:$P$822,Paper!$C11,Data!$AE$13:$AE$822),0),0),0)</f>
        <v>0</v>
      </c>
      <c r="I11" s="2503">
        <f>input!F93</f>
        <v>0</v>
      </c>
      <c r="J11" s="2503">
        <f>input!G93</f>
        <v>0</v>
      </c>
      <c r="K11" s="2503">
        <f>input!H93</f>
        <v>0</v>
      </c>
      <c r="L11" s="1197">
        <f>IF(V11=0,0,VLOOKUP(AS11&amp;input!$B$4&amp;LOOKUP(V11,$V$1:$V$2,$W$1:$W$2),Data!$T$1054:$W$1066,4,0))</f>
        <v>0</v>
      </c>
      <c r="M11" s="2503">
        <f>input!I93</f>
        <v>0</v>
      </c>
      <c r="N11" s="1198">
        <f>input!J93</f>
        <v>0</v>
      </c>
      <c r="O11" s="1199">
        <f>input!K93</f>
        <v>0</v>
      </c>
      <c r="P11" s="2501">
        <f ca="1">IFERROR(input!L93,0)</f>
        <v>0</v>
      </c>
      <c r="Q11" s="1200">
        <f>input!M93</f>
        <v>3</v>
      </c>
      <c r="R11" s="2567">
        <f ca="1">ROUNDUP((B11*P11*Q11*SUM(V11:X11)/10^12),3)*(1+'Cost EST. GM target'!$L99)</f>
        <v>0</v>
      </c>
      <c r="S11" s="2579">
        <f t="shared" si="5"/>
        <v>0</v>
      </c>
      <c r="T11" s="2521">
        <f t="shared" si="6"/>
        <v>0</v>
      </c>
      <c r="U11" s="2584">
        <f t="shared" si="7"/>
        <v>0</v>
      </c>
      <c r="V11" s="2579">
        <f>MAX(2000*$J11*IF($M11&gt;0,1,0),IF($J11&gt;0,IF(input!$N93&gt;0,input!$N93,ROUNDUP($E$2*$K11/$I11,0)),0))</f>
        <v>0</v>
      </c>
      <c r="W11" s="2579">
        <f>IF($B11&gt;0,IF($M11&gt;0,IF(input!$B$4=Data!$M$1054,MAX(Data!$R$1054*$J11,ROUNDUP($V11*$L11,0)),MAX(Data!$R$1057*$J11,ROUNDUP($V11*$L11,0))),MAX(Data!$R$1060*$J11,ROUNDUP($V11*$L11,0))),0)</f>
        <v>0</v>
      </c>
      <c r="X11" s="2579">
        <f>IF($J11&gt;0,50*SUMIFS(input!$H$412:$H$442,input!$F$412:$F$442,Paper!A11)*$J11,0)</f>
        <v>0</v>
      </c>
      <c r="Y11" s="2579">
        <f t="shared" ca="1" si="8"/>
        <v>0</v>
      </c>
      <c r="Z11" s="2579">
        <f t="shared" si="17"/>
        <v>0</v>
      </c>
      <c r="AA11" s="2579">
        <f t="shared" si="0"/>
        <v>0</v>
      </c>
      <c r="AB11" s="2586" t="e">
        <f>IF(input!$B$4=Data!$M$1054,IF(SUM(V11:X11)/$J11&lt;Data!$N$1054/2,SUM(V11:X11)/$J11*2,Data!$N$1054),IF(SUM(V11:X11)/$J11&lt;Data!$N$1057/2,SUM(V11:X11)/$J11*2,Data!$N$1057))</f>
        <v>#DIV/0!</v>
      </c>
      <c r="AC11" s="2579">
        <f t="shared" si="9"/>
        <v>0</v>
      </c>
      <c r="AD11" s="2567">
        <f t="shared" si="10"/>
        <v>0</v>
      </c>
      <c r="AE11" s="2567">
        <f t="shared" si="1"/>
        <v>0</v>
      </c>
      <c r="AF11" s="2567">
        <f t="shared" si="2"/>
        <v>0</v>
      </c>
      <c r="AG11" s="2579">
        <f t="shared" si="3"/>
        <v>0</v>
      </c>
      <c r="AH11" s="1197">
        <f t="shared" si="11"/>
        <v>0</v>
      </c>
      <c r="AI11" s="1197">
        <f t="shared" si="12"/>
        <v>0</v>
      </c>
      <c r="AJ11" s="1197">
        <f t="shared" si="13"/>
        <v>0</v>
      </c>
      <c r="AK11" s="1197">
        <f t="shared" si="4"/>
        <v>0</v>
      </c>
      <c r="AL11" s="1214">
        <f t="shared" si="18"/>
        <v>0</v>
      </c>
      <c r="AM11" s="1214" t="str">
        <f>input!O93</f>
        <v>N</v>
      </c>
      <c r="AN11" s="1214" t="str">
        <f>input!P93</f>
        <v>Roll</v>
      </c>
      <c r="AO11" s="1214" t="str">
        <f>input!$F$101</f>
        <v>N</v>
      </c>
      <c r="AP11" s="2521">
        <f>IF($G11="Import",(SUMIF(Data!$P$13:$P$822,Paper!$C11,Data!$L$13:$L$822)+IF($AM11="Y",SUMIF(Data!$P$13:$P$822,Paper!$C11,Data!$M$13:$M$822),0)+IF($AN11="Ream",SUMIF(Data!$P$13:$P$822,Paper!$C11,Data!$N$13:$N$822),0))*$K$3/1000,SUMIF(Data!$P$13:$P$822,Paper!$C11,Data!$S$13:$S$822)/1.08)</f>
        <v>0</v>
      </c>
      <c r="AQ11" s="2523">
        <f>IF($AM11="N",0,VLOOKUP($C11,Data!$P$13:$AF$822,17,0))</f>
        <v>0</v>
      </c>
      <c r="AR11" s="2746">
        <f>ROUNDUP((B11*N11*O11*SUM(V11:X11)/10^12),3)*(1+'Cost EST. GM target'!$L99)</f>
        <v>0</v>
      </c>
      <c r="AS11" s="136" t="str">
        <f t="shared" si="14"/>
        <v>khong in</v>
      </c>
      <c r="AT11" s="136">
        <f t="shared" si="15"/>
        <v>0</v>
      </c>
      <c r="AU11" s="136">
        <f ca="1">COUNTIFS($AT$7:AT11,1)</f>
        <v>1</v>
      </c>
    </row>
    <row r="12" spans="1:47" ht="16.899999999999999" hidden="1" customHeight="1">
      <c r="A12" s="915" t="str">
        <f>input!A110</f>
        <v>N</v>
      </c>
      <c r="B12" s="2497">
        <f>input!B110</f>
        <v>0</v>
      </c>
      <c r="C12" s="2498">
        <f t="shared" si="16"/>
        <v>0</v>
      </c>
      <c r="D12" s="2499" t="str">
        <f>input!C110</f>
        <v>GB</v>
      </c>
      <c r="E12" s="2499">
        <f>input!D110</f>
        <v>0</v>
      </c>
      <c r="F12" s="1212">
        <f>VLOOKUP(C12,Data!$P$13:$R$822,2,0)</f>
        <v>0</v>
      </c>
      <c r="G12" s="1194" t="str">
        <f>input!E110</f>
        <v>Local</v>
      </c>
      <c r="H12" s="2503">
        <f>IFERROR(VLOOKUP(C12,Data!$P$13:$V$822,IF(G12=Data!$T$12,5,6),0)+IF($G12="Import",IF($AM12="Y",SUMIF(Data!$P$13:$P$822,Paper!$C12,Data!$AD$13:$AD$822),0)+IF($AN12="Ream",SUMIF(Data!$P$13:$P$822,Paper!$C12,Data!$AE$13:$AE$822),0),0),0)</f>
        <v>0</v>
      </c>
      <c r="I12" s="2503">
        <f>input!F110</f>
        <v>0</v>
      </c>
      <c r="J12" s="2503">
        <f>input!G110</f>
        <v>0</v>
      </c>
      <c r="K12" s="2503">
        <f>input!H110</f>
        <v>0</v>
      </c>
      <c r="L12" s="1197">
        <f>IF(V12=0,0,VLOOKUP(AS12&amp;input!$B$4&amp;LOOKUP(V12,$V$1:$V$2,$W$1:$W$2),Data!$T$1054:$W$1066,4,0))</f>
        <v>0</v>
      </c>
      <c r="M12" s="2503">
        <f>input!I110</f>
        <v>0</v>
      </c>
      <c r="N12" s="1198">
        <f>input!J110</f>
        <v>0</v>
      </c>
      <c r="O12" s="1199">
        <f>input!K110</f>
        <v>0</v>
      </c>
      <c r="P12" s="2501">
        <f ca="1">IFERROR(input!L110,0)</f>
        <v>0</v>
      </c>
      <c r="Q12" s="1200">
        <f>input!M110</f>
        <v>3</v>
      </c>
      <c r="R12" s="2567">
        <f ca="1">ROUNDUP((B12*P12*Q12*SUM(V12:X12)/10^12),3)*(1+'Cost EST. GM target'!$L100)</f>
        <v>0</v>
      </c>
      <c r="S12" s="2579">
        <f t="shared" si="5"/>
        <v>0</v>
      </c>
      <c r="T12" s="2521">
        <f t="shared" si="6"/>
        <v>0</v>
      </c>
      <c r="U12" s="2584">
        <f t="shared" si="7"/>
        <v>0</v>
      </c>
      <c r="V12" s="2579">
        <f>MAX(2000*$J12*IF($M12&gt;0,1,0),IF($J12&gt;0,IF(input!$N110&gt;0,input!$N110,ROUNDUP($E$2*$K12/$I12,0)),0))</f>
        <v>0</v>
      </c>
      <c r="W12" s="2579">
        <f>IF($B12&gt;0,IF($M12&gt;0,IF(input!$B$4=Data!$M$1054,MAX(Data!$R$1054*$J12,ROUNDUP($V12*$L12,0)),MAX(Data!$R$1057*$J12,ROUNDUP($V12*$L12,0))),MAX(Data!$R$1060*$J12,ROUNDUP($V12*$L12,0))),0)</f>
        <v>0</v>
      </c>
      <c r="X12" s="2579">
        <f>IF($J12&gt;0,50*SUMIFS(input!$H$412:$H$442,input!$F$412:$F$442,Paper!A12)*$J12,0)</f>
        <v>0</v>
      </c>
      <c r="Y12" s="2579">
        <f t="shared" ca="1" si="8"/>
        <v>0</v>
      </c>
      <c r="Z12" s="2579">
        <f t="shared" si="17"/>
        <v>0</v>
      </c>
      <c r="AA12" s="2579">
        <f t="shared" si="0"/>
        <v>0</v>
      </c>
      <c r="AB12" s="2586" t="e">
        <f>IF(input!$B$4=Data!$M$1054,IF(SUM(V12:X12)/$J12&lt;Data!$N$1054/2,SUM(V12:X12)/$J12*2,Data!$N$1054),IF(SUM(V12:X12)/$J12&lt;Data!$N$1057/2,SUM(V12:X12)/$J12*2,Data!$N$1057))</f>
        <v>#DIV/0!</v>
      </c>
      <c r="AC12" s="2579">
        <f t="shared" si="9"/>
        <v>0</v>
      </c>
      <c r="AD12" s="2567">
        <f t="shared" si="10"/>
        <v>0</v>
      </c>
      <c r="AE12" s="2567">
        <f t="shared" si="1"/>
        <v>0</v>
      </c>
      <c r="AF12" s="2567">
        <f t="shared" si="2"/>
        <v>0</v>
      </c>
      <c r="AG12" s="2579">
        <f t="shared" si="3"/>
        <v>0</v>
      </c>
      <c r="AH12" s="1197">
        <f t="shared" si="11"/>
        <v>0</v>
      </c>
      <c r="AI12" s="1197">
        <f t="shared" si="12"/>
        <v>0</v>
      </c>
      <c r="AJ12" s="1197">
        <f t="shared" si="13"/>
        <v>0</v>
      </c>
      <c r="AK12" s="1197">
        <f t="shared" si="4"/>
        <v>0</v>
      </c>
      <c r="AL12" s="1214">
        <f t="shared" si="18"/>
        <v>0</v>
      </c>
      <c r="AM12" s="1214" t="str">
        <f>input!O110</f>
        <v>N</v>
      </c>
      <c r="AN12" s="1214" t="str">
        <f>input!P110</f>
        <v>Roll</v>
      </c>
      <c r="AO12" s="1214" t="str">
        <f>input!$F$118</f>
        <v>N</v>
      </c>
      <c r="AP12" s="2521">
        <f>IF($G12="Import",(SUMIF(Data!$P$13:$P$822,Paper!$C12,Data!$L$13:$L$822)+IF($AM12="Y",SUMIF(Data!$P$13:$P$822,Paper!$C12,Data!$M$13:$M$822),0)+IF($AN12="Ream",SUMIF(Data!$P$13:$P$822,Paper!$C12,Data!$N$13:$N$822),0))*$K$3/1000,SUMIF(Data!$P$13:$P$822,Paper!$C12,Data!$S$13:$S$822)/1.08)</f>
        <v>0</v>
      </c>
      <c r="AQ12" s="2523">
        <f>IF($AM12="N",0,VLOOKUP($C12,Data!$P$13:$AF$822,17,0))</f>
        <v>0</v>
      </c>
      <c r="AR12" s="2746">
        <f>ROUNDUP((B12*N12*O12*SUM(V12:X12)/10^12),3)*(1+'Cost EST. GM target'!$L100)</f>
        <v>0</v>
      </c>
      <c r="AS12" s="136" t="str">
        <f t="shared" si="14"/>
        <v>khong in</v>
      </c>
      <c r="AT12" s="136">
        <f t="shared" si="15"/>
        <v>0</v>
      </c>
      <c r="AU12" s="136">
        <f ca="1">COUNTIFS($AT$7:AT12,1)</f>
        <v>1</v>
      </c>
    </row>
    <row r="13" spans="1:47" ht="16.899999999999999" hidden="1" customHeight="1">
      <c r="A13" s="915" t="str">
        <f>input!A127</f>
        <v>N</v>
      </c>
      <c r="B13" s="2497">
        <f>input!B127</f>
        <v>0</v>
      </c>
      <c r="C13" s="2498">
        <f t="shared" si="16"/>
        <v>0</v>
      </c>
      <c r="D13" s="2499" t="str">
        <f>input!C127</f>
        <v>GB</v>
      </c>
      <c r="E13" s="2499">
        <f>input!D127</f>
        <v>0</v>
      </c>
      <c r="F13" s="1212">
        <f>VLOOKUP(C13,Data!$P$13:$R$822,2,0)</f>
        <v>0</v>
      </c>
      <c r="G13" s="1194" t="str">
        <f>input!E127</f>
        <v>Local</v>
      </c>
      <c r="H13" s="2503">
        <f>IFERROR(VLOOKUP(C13,Data!$P$13:$V$822,IF(G13=Data!$T$12,5,6),0)+IF($G13="Import",IF($AM13="Y",SUMIF(Data!$P$13:$P$822,Paper!$C13,Data!$AD$13:$AD$822),0)+IF($AN13="Ream",SUMIF(Data!$P$13:$P$822,Paper!$C13,Data!$AE$13:$AE$822),0),0),0)</f>
        <v>0</v>
      </c>
      <c r="I13" s="2503">
        <f>input!F127</f>
        <v>0</v>
      </c>
      <c r="J13" s="2503">
        <f>input!G127</f>
        <v>0</v>
      </c>
      <c r="K13" s="2503">
        <f>input!H127</f>
        <v>0</v>
      </c>
      <c r="L13" s="1197">
        <f>IF(V13=0,0,VLOOKUP(AS13&amp;input!$B$4&amp;LOOKUP(V13,$V$1:$V$2,$W$1:$W$2),Data!$T$1054:$W$1066,4,0))</f>
        <v>0</v>
      </c>
      <c r="M13" s="2503">
        <f>input!I127</f>
        <v>0</v>
      </c>
      <c r="N13" s="1198">
        <f>input!J127</f>
        <v>0</v>
      </c>
      <c r="O13" s="1199">
        <f>input!K127</f>
        <v>0</v>
      </c>
      <c r="P13" s="2501">
        <f ca="1">IFERROR(input!L127,0)</f>
        <v>0</v>
      </c>
      <c r="Q13" s="1200">
        <f>input!M127</f>
        <v>3</v>
      </c>
      <c r="R13" s="2567">
        <f ca="1">ROUNDUP((B13*P13*Q13*SUM(V13:X13)/10^12),3)*(1+'Cost EST. GM target'!$L101)</f>
        <v>0</v>
      </c>
      <c r="S13" s="2579">
        <f t="shared" si="5"/>
        <v>0</v>
      </c>
      <c r="T13" s="2521">
        <f t="shared" si="6"/>
        <v>0</v>
      </c>
      <c r="U13" s="2584">
        <f t="shared" si="7"/>
        <v>0</v>
      </c>
      <c r="V13" s="2579">
        <f>MAX(2000*$J13*IF($M13&gt;0,1,0),IF($J13&gt;0,IF(input!$N127&gt;0,input!$N127,ROUNDUP($E$2*$K13/$I13,0)),0))</f>
        <v>0</v>
      </c>
      <c r="W13" s="2579">
        <f>IF($B13&gt;0,IF($M13&gt;0,IF(input!$B$4=Data!$M$1054,MAX(Data!$R$1054*$J13,ROUNDUP($V13*$L13,0)),MAX(Data!$R$1057*$J13,ROUNDUP($V13*$L13,0))),MAX(Data!$R$1060*$J13,ROUNDUP($V13*$L13,0))),0)</f>
        <v>0</v>
      </c>
      <c r="X13" s="2579">
        <f>IF($J13&gt;0,50*SUMIFS(input!$H$412:$H$442,input!$F$412:$F$442,Paper!A13)*$J13,0)</f>
        <v>0</v>
      </c>
      <c r="Y13" s="2579">
        <f t="shared" ca="1" si="8"/>
        <v>0</v>
      </c>
      <c r="Z13" s="2579">
        <f t="shared" si="17"/>
        <v>0</v>
      </c>
      <c r="AA13" s="2579">
        <f t="shared" si="0"/>
        <v>0</v>
      </c>
      <c r="AB13" s="2586" t="e">
        <f>IF(input!$B$4=Data!$M$1054,IF(SUM(V13:X13)/$J13&lt;Data!$N$1054/2,SUM(V13:X13)/$J13*2,Data!$N$1054),IF(SUM(V13:X13)/$J13&lt;Data!$N$1057/2,SUM(V13:X13)/$J13*2,Data!$N$1057))</f>
        <v>#DIV/0!</v>
      </c>
      <c r="AC13" s="2579">
        <f t="shared" si="9"/>
        <v>0</v>
      </c>
      <c r="AD13" s="2567">
        <f t="shared" si="10"/>
        <v>0</v>
      </c>
      <c r="AE13" s="2567">
        <f t="shared" si="1"/>
        <v>0</v>
      </c>
      <c r="AF13" s="2567">
        <f t="shared" si="2"/>
        <v>0</v>
      </c>
      <c r="AG13" s="2579">
        <f t="shared" si="3"/>
        <v>0</v>
      </c>
      <c r="AH13" s="1197">
        <f t="shared" si="11"/>
        <v>0</v>
      </c>
      <c r="AI13" s="1197">
        <f t="shared" si="12"/>
        <v>0</v>
      </c>
      <c r="AJ13" s="1197">
        <f t="shared" si="13"/>
        <v>0</v>
      </c>
      <c r="AK13" s="1197">
        <f t="shared" si="4"/>
        <v>0</v>
      </c>
      <c r="AL13" s="1214">
        <f t="shared" si="18"/>
        <v>0</v>
      </c>
      <c r="AM13" s="1214" t="str">
        <f>input!O127</f>
        <v>N</v>
      </c>
      <c r="AN13" s="1214" t="str">
        <f>input!P127</f>
        <v>Roll</v>
      </c>
      <c r="AO13" s="1214" t="str">
        <f>input!$F$135</f>
        <v>N</v>
      </c>
      <c r="AP13" s="2521">
        <f>IF($G13="Import",(SUMIF(Data!$P$13:$P$822,Paper!$C13,Data!$L$13:$L$822)+IF($AM13="Y",SUMIF(Data!$P$13:$P$822,Paper!$C13,Data!$M$13:$M$822),0)+IF($AN13="Ream",SUMIF(Data!$P$13:$P$822,Paper!$C13,Data!$N$13:$N$822),0))*$K$3/1000,SUMIF(Data!$P$13:$P$822,Paper!$C13,Data!$S$13:$S$822)/1.08)</f>
        <v>0</v>
      </c>
      <c r="AQ13" s="2523">
        <f>IF($AM13="N",0,VLOOKUP($C13,Data!$P$13:$AF$822,17,0))</f>
        <v>0</v>
      </c>
      <c r="AR13" s="2746">
        <f>ROUNDUP((B13*N13*O13*SUM(V13:X13)/10^12),3)*(1+'Cost EST. GM target'!$L101)</f>
        <v>0</v>
      </c>
      <c r="AS13" s="136" t="str">
        <f t="shared" si="14"/>
        <v>khong in</v>
      </c>
      <c r="AT13" s="136">
        <f t="shared" si="15"/>
        <v>0</v>
      </c>
      <c r="AU13" s="136">
        <f ca="1">COUNTIFS($AT$7:AT13,1)</f>
        <v>1</v>
      </c>
    </row>
    <row r="14" spans="1:47" ht="16.899999999999999" hidden="1" customHeight="1">
      <c r="A14" s="915" t="str">
        <f>input!A144</f>
        <v>N</v>
      </c>
      <c r="B14" s="2497">
        <f>input!B144</f>
        <v>0</v>
      </c>
      <c r="C14" s="2498">
        <f t="shared" si="16"/>
        <v>0</v>
      </c>
      <c r="D14" s="2499" t="str">
        <f>input!C144</f>
        <v>GB</v>
      </c>
      <c r="E14" s="2499">
        <f>input!D144</f>
        <v>0</v>
      </c>
      <c r="F14" s="1212">
        <f>VLOOKUP(C14,Data!$P$13:$R$822,2,0)</f>
        <v>0</v>
      </c>
      <c r="G14" s="1194" t="str">
        <f>input!E144</f>
        <v>Local</v>
      </c>
      <c r="H14" s="2503">
        <f>IFERROR(VLOOKUP(C14,Data!$P$13:$V$822,IF(G14=Data!$T$12,5,6),0)+IF($G14="Import",IF($AM14="Y",SUMIF(Data!$P$13:$P$822,Paper!$C14,Data!$AD$13:$AD$822),0)+IF($AN14="Ream",SUMIF(Data!$P$13:$P$822,Paper!$C14,Data!$AE$13:$AE$822),0),0),0)</f>
        <v>0</v>
      </c>
      <c r="I14" s="2503">
        <f>input!F144</f>
        <v>0</v>
      </c>
      <c r="J14" s="2503">
        <f>input!G144</f>
        <v>0</v>
      </c>
      <c r="K14" s="2503">
        <f>input!H144</f>
        <v>0</v>
      </c>
      <c r="L14" s="1197">
        <f>IF(V14=0,0,VLOOKUP(AS14&amp;input!$B$4&amp;LOOKUP(V14,$V$1:$V$2,$W$1:$W$2),Data!$T$1054:$W$1066,4,0))</f>
        <v>0</v>
      </c>
      <c r="M14" s="2503">
        <f>input!I144</f>
        <v>0</v>
      </c>
      <c r="N14" s="1198">
        <f>input!J144</f>
        <v>0</v>
      </c>
      <c r="O14" s="1199">
        <f>input!K144</f>
        <v>0</v>
      </c>
      <c r="P14" s="2501">
        <f ca="1">IFERROR(input!L144,0)</f>
        <v>0</v>
      </c>
      <c r="Q14" s="1200">
        <f>input!M144</f>
        <v>3</v>
      </c>
      <c r="R14" s="2567">
        <f ca="1">ROUNDUP((B14*P14*Q14*SUM(V14:X14)/10^12),3)*(1+'Cost EST. GM target'!$L102)</f>
        <v>0</v>
      </c>
      <c r="S14" s="2579">
        <f t="shared" si="5"/>
        <v>0</v>
      </c>
      <c r="T14" s="2521">
        <f t="shared" si="6"/>
        <v>0</v>
      </c>
      <c r="U14" s="2584">
        <f t="shared" si="7"/>
        <v>0</v>
      </c>
      <c r="V14" s="2579">
        <f>MAX(2000*$J14*IF($M14&gt;0,1,0),IF($J14&gt;0,IF(input!$N144&gt;0,input!$N144,ROUNDUP($E$2*$K14/$I14,0)),0))</f>
        <v>0</v>
      </c>
      <c r="W14" s="2579">
        <f>IF($B14&gt;0,IF($M14&gt;0,IF(input!$B$4=Data!$M$1054,MAX(Data!$R$1054*$J14,ROUNDUP($V14*$L14,0)),MAX(Data!$R$1057*$J14,ROUNDUP($V14*$L14,0))),MAX(Data!$R$1060*$J14,ROUNDUP($V14*$L14,0))),0)</f>
        <v>0</v>
      </c>
      <c r="X14" s="2579">
        <f>IF($J14&gt;0,50*SUMIFS(input!$H$412:$H$442,input!$F$412:$F$442,Paper!A14)*$J14,0)</f>
        <v>0</v>
      </c>
      <c r="Y14" s="2579">
        <f t="shared" ca="1" si="8"/>
        <v>0</v>
      </c>
      <c r="Z14" s="2579">
        <f t="shared" si="17"/>
        <v>0</v>
      </c>
      <c r="AA14" s="2579">
        <f t="shared" si="0"/>
        <v>0</v>
      </c>
      <c r="AB14" s="2586" t="e">
        <f>IF(input!$B$4=Data!$M$1054,IF(SUM(V14:X14)/$J14&lt;Data!$N$1054/2,SUM(V14:X14)/$J14*2,Data!$N$1054),IF(SUM(V14:X14)/$J14&lt;Data!$N$1057/2,SUM(V14:X14)/$J14*2,Data!$N$1057))</f>
        <v>#DIV/0!</v>
      </c>
      <c r="AC14" s="2579">
        <f t="shared" si="9"/>
        <v>0</v>
      </c>
      <c r="AD14" s="2567">
        <f t="shared" si="10"/>
        <v>0</v>
      </c>
      <c r="AE14" s="2567">
        <f t="shared" si="1"/>
        <v>0</v>
      </c>
      <c r="AF14" s="2567">
        <f t="shared" si="2"/>
        <v>0</v>
      </c>
      <c r="AG14" s="2579">
        <f t="shared" si="3"/>
        <v>0</v>
      </c>
      <c r="AH14" s="1197">
        <f t="shared" si="11"/>
        <v>0</v>
      </c>
      <c r="AI14" s="1197">
        <f t="shared" si="12"/>
        <v>0</v>
      </c>
      <c r="AJ14" s="1197">
        <f t="shared" si="13"/>
        <v>0</v>
      </c>
      <c r="AK14" s="1197">
        <f t="shared" si="4"/>
        <v>0</v>
      </c>
      <c r="AL14" s="1214">
        <f t="shared" si="18"/>
        <v>0</v>
      </c>
      <c r="AM14" s="1214" t="str">
        <f>input!O144</f>
        <v>N</v>
      </c>
      <c r="AN14" s="1214" t="str">
        <f>input!P144</f>
        <v>Roll</v>
      </c>
      <c r="AO14" s="1214" t="str">
        <f>input!$F$152</f>
        <v>N</v>
      </c>
      <c r="AP14" s="2521">
        <f>IF($G14="Import",(SUMIF(Data!$P$13:$P$822,Paper!$C14,Data!$L$13:$L$822)+IF($AM14="Y",SUMIF(Data!$P$13:$P$822,Paper!$C14,Data!$M$13:$M$822),0)+IF($AN14="Ream",SUMIF(Data!$P$13:$P$822,Paper!$C14,Data!$N$13:$N$822),0))*$K$3/1000,SUMIF(Data!$P$13:$P$822,Paper!$C14,Data!$S$13:$S$822)/1.08)</f>
        <v>0</v>
      </c>
      <c r="AQ14" s="2523">
        <f>IF($AM14="N",0,VLOOKUP($C14,Data!$P$13:$AF$822,17,0))</f>
        <v>0</v>
      </c>
      <c r="AR14" s="2746">
        <f>ROUNDUP((B14*N14*O14*SUM(V14:X14)/10^12),3)*(1+'Cost EST. GM target'!$L102)</f>
        <v>0</v>
      </c>
      <c r="AS14" s="136" t="str">
        <f t="shared" si="14"/>
        <v>khong in</v>
      </c>
      <c r="AT14" s="136">
        <f t="shared" si="15"/>
        <v>0</v>
      </c>
      <c r="AU14" s="136">
        <f ca="1">COUNTIFS($AT$7:AT14,1)</f>
        <v>1</v>
      </c>
    </row>
    <row r="15" spans="1:47" ht="16.899999999999999" hidden="1" customHeight="1">
      <c r="A15" s="915" t="str">
        <f>input!A161</f>
        <v>N</v>
      </c>
      <c r="B15" s="2497">
        <f>input!B161</f>
        <v>0</v>
      </c>
      <c r="C15" s="2498">
        <f t="shared" si="16"/>
        <v>0</v>
      </c>
      <c r="D15" s="2499" t="str">
        <f>input!C161</f>
        <v>GB</v>
      </c>
      <c r="E15" s="2499">
        <f>input!D161</f>
        <v>0</v>
      </c>
      <c r="F15" s="1212">
        <f>VLOOKUP(C15,Data!$P$13:$R$822,2,0)</f>
        <v>0</v>
      </c>
      <c r="G15" s="1194" t="str">
        <f>input!E161</f>
        <v>Local</v>
      </c>
      <c r="H15" s="2503">
        <f>IFERROR(VLOOKUP(C15,Data!$P$13:$V$822,IF(G15=Data!$T$12,5,6),0)+IF($G15="Import",IF($AM15="Y",SUMIF(Data!$P$13:$P$822,Paper!$C15,Data!$AD$13:$AD$822),0)+IF($AN15="Ream",SUMIF(Data!$P$13:$P$822,Paper!$C15,Data!$AE$13:$AE$822),0),0),0)</f>
        <v>0</v>
      </c>
      <c r="I15" s="2503">
        <f>input!F161</f>
        <v>0</v>
      </c>
      <c r="J15" s="2503">
        <f>input!G161</f>
        <v>0</v>
      </c>
      <c r="K15" s="2503">
        <f>input!H161</f>
        <v>0</v>
      </c>
      <c r="L15" s="1197">
        <f>IF(V15=0,0,VLOOKUP(AS15&amp;input!$B$4&amp;LOOKUP(V15,$V$1:$V$2,$W$1:$W$2),Data!$T$1054:$W$1066,4,0))</f>
        <v>0</v>
      </c>
      <c r="M15" s="2503">
        <f>input!I161</f>
        <v>0</v>
      </c>
      <c r="N15" s="1198">
        <f>input!J161</f>
        <v>0</v>
      </c>
      <c r="O15" s="1199">
        <f>input!K161</f>
        <v>0</v>
      </c>
      <c r="P15" s="2501">
        <f ca="1">IFERROR(input!L161,0)</f>
        <v>0</v>
      </c>
      <c r="Q15" s="1200">
        <f>input!M161</f>
        <v>3</v>
      </c>
      <c r="R15" s="2567">
        <f ca="1">ROUNDUP((B15*P15*Q15*SUM(V15:X15)/10^12),3)*(1+'Cost EST. GM target'!$L103)</f>
        <v>0</v>
      </c>
      <c r="S15" s="2579">
        <f t="shared" si="5"/>
        <v>0</v>
      </c>
      <c r="T15" s="2521">
        <f t="shared" si="6"/>
        <v>0</v>
      </c>
      <c r="U15" s="2584">
        <f t="shared" si="7"/>
        <v>0</v>
      </c>
      <c r="V15" s="2579">
        <f>MAX(2000*$J15*IF($M15&gt;0,1,0),IF($J15&gt;0,IF(input!$N161&gt;0,input!$N161,ROUNDUP($E$2*$K15/$I15,0)),0))</f>
        <v>0</v>
      </c>
      <c r="W15" s="2579">
        <f>IF($B15&gt;0,IF($M15&gt;0,IF(input!$B$4=Data!$M$1054,MAX(Data!$R$1054*$J15,ROUNDUP($V15*$L15,0)),MAX(Data!$R$1057*$J15,ROUNDUP($V15*$L15,0))),MAX(Data!$R$1060*$J15,ROUNDUP($V15*$L15,0))),0)</f>
        <v>0</v>
      </c>
      <c r="X15" s="2579">
        <f>IF($J15&gt;0,50*SUMIFS(input!$H$412:$H$442,input!$F$412:$F$442,Paper!A15)*$J15,0)</f>
        <v>0</v>
      </c>
      <c r="Y15" s="2579">
        <f t="shared" ca="1" si="8"/>
        <v>0</v>
      </c>
      <c r="Z15" s="2579">
        <f t="shared" si="17"/>
        <v>0</v>
      </c>
      <c r="AA15" s="2579">
        <f t="shared" si="0"/>
        <v>0</v>
      </c>
      <c r="AB15" s="2586" t="e">
        <f>IF(input!$B$4=Data!$M$1054,IF(SUM(V15:X15)/$J15&lt;Data!$N$1054/2,SUM(V15:X15)/$J15*2,Data!$N$1054),IF(SUM(V15:X15)/$J15&lt;Data!$N$1057/2,SUM(V15:X15)/$J15*2,Data!$N$1057))</f>
        <v>#DIV/0!</v>
      </c>
      <c r="AC15" s="2579">
        <f t="shared" si="9"/>
        <v>0</v>
      </c>
      <c r="AD15" s="2567">
        <f t="shared" si="10"/>
        <v>0</v>
      </c>
      <c r="AE15" s="2567">
        <f t="shared" si="1"/>
        <v>0</v>
      </c>
      <c r="AF15" s="2567">
        <f t="shared" si="2"/>
        <v>0</v>
      </c>
      <c r="AG15" s="2579">
        <f t="shared" si="3"/>
        <v>0</v>
      </c>
      <c r="AH15" s="1197">
        <f t="shared" si="11"/>
        <v>0</v>
      </c>
      <c r="AI15" s="1197">
        <f t="shared" si="12"/>
        <v>0</v>
      </c>
      <c r="AJ15" s="1197">
        <f t="shared" si="13"/>
        <v>0</v>
      </c>
      <c r="AK15" s="1197">
        <f t="shared" si="4"/>
        <v>0</v>
      </c>
      <c r="AL15" s="1214">
        <f t="shared" si="18"/>
        <v>0</v>
      </c>
      <c r="AM15" s="1214" t="str">
        <f>input!O161</f>
        <v>N</v>
      </c>
      <c r="AN15" s="1214" t="str">
        <f>input!P161</f>
        <v>Roll</v>
      </c>
      <c r="AO15" s="1214" t="str">
        <f>input!$F$169</f>
        <v>N</v>
      </c>
      <c r="AP15" s="2521">
        <f>IF($G15="Import",(SUMIF(Data!$P$13:$P$822,Paper!$C15,Data!$L$13:$L$822)+IF($AM15="Y",SUMIF(Data!$P$13:$P$822,Paper!$C15,Data!$M$13:$M$822),0)+IF($AN15="Ream",SUMIF(Data!$P$13:$P$822,Paper!$C15,Data!$N$13:$N$822),0))*$K$3/1000,SUMIF(Data!$P$13:$P$822,Paper!$C15,Data!$S$13:$S$822)/1.08)</f>
        <v>0</v>
      </c>
      <c r="AQ15" s="2523">
        <f>IF($AM15="N",0,VLOOKUP($C15,Data!$P$13:$AF$822,17,0))</f>
        <v>0</v>
      </c>
      <c r="AR15" s="2746">
        <f>ROUNDUP((B15*N15*O15*SUM(V15:X15)/10^12),3)*(1+'Cost EST. GM target'!$L103)</f>
        <v>0</v>
      </c>
      <c r="AS15" s="136" t="str">
        <f t="shared" si="14"/>
        <v>khong in</v>
      </c>
      <c r="AT15" s="136">
        <f t="shared" si="15"/>
        <v>0</v>
      </c>
      <c r="AU15" s="136">
        <f ca="1">COUNTIFS($AT$7:AT15,1)</f>
        <v>1</v>
      </c>
    </row>
    <row r="16" spans="1:47" ht="16.899999999999999" hidden="1" customHeight="1">
      <c r="A16" s="915" t="str">
        <f>input!A178</f>
        <v>N</v>
      </c>
      <c r="B16" s="2497">
        <f>input!B178</f>
        <v>0</v>
      </c>
      <c r="C16" s="2498">
        <f t="shared" ref="C16:C20" si="19">IF(B16&gt;0,B16&amp;"gsm "&amp;D16&amp;" "&amp;E16,0)</f>
        <v>0</v>
      </c>
      <c r="D16" s="2499" t="str">
        <f>input!C178</f>
        <v>GB</v>
      </c>
      <c r="E16" s="2499">
        <f>input!D178</f>
        <v>0</v>
      </c>
      <c r="F16" s="1212">
        <f>VLOOKUP(C16,Data!$P$13:$R$822,2,0)</f>
        <v>0</v>
      </c>
      <c r="G16" s="1194" t="str">
        <f>input!E178</f>
        <v>Local</v>
      </c>
      <c r="H16" s="2503">
        <f>IFERROR(VLOOKUP(C16,Data!$P$13:$V$822,IF(G16=Data!$T$12,5,6),0)+IF($G16="Import",IF($AM16="Y",SUMIF(Data!$P$13:$P$822,Paper!$C16,Data!$AD$13:$AD$822),0)+IF($AN16="Ream",SUMIF(Data!$P$13:$P$822,Paper!$C16,Data!$AE$13:$AE$822),0),0),0)</f>
        <v>0</v>
      </c>
      <c r="I16" s="2503">
        <f>input!F178</f>
        <v>0</v>
      </c>
      <c r="J16" s="2503">
        <f>input!G178</f>
        <v>0</v>
      </c>
      <c r="K16" s="2503">
        <f>input!H178</f>
        <v>0</v>
      </c>
      <c r="L16" s="1197">
        <f>IF(V16=0,0,VLOOKUP(AS16&amp;input!$B$4&amp;LOOKUP(V16,$V$1:$V$2,$W$1:$W$2),Data!$T$1054:$W$1066,4,0))</f>
        <v>0</v>
      </c>
      <c r="M16" s="2503">
        <f>input!I178</f>
        <v>0</v>
      </c>
      <c r="N16" s="1198">
        <f>input!J178</f>
        <v>0</v>
      </c>
      <c r="O16" s="1199">
        <f>input!K178</f>
        <v>0</v>
      </c>
      <c r="P16" s="2501">
        <f ca="1">IFERROR(input!L178,0)</f>
        <v>0</v>
      </c>
      <c r="Q16" s="1200">
        <f>input!M178</f>
        <v>3</v>
      </c>
      <c r="R16" s="2567">
        <f ca="1">ROUNDUP((B16*P16*Q16*SUM(V16:X16)/10^12),3)*(1+'Cost EST. GM target'!$L104)</f>
        <v>0</v>
      </c>
      <c r="S16" s="2579">
        <f t="shared" ref="S16:S20" si="20">IF($I16*$J16&gt;0,Y16/$E$1,0)</f>
        <v>0</v>
      </c>
      <c r="T16" s="2521">
        <f t="shared" ref="T16:T20" si="21">S16+IF($I16*$J16&gt;0,$AD16*$AP16*1000/$E$1,0)*$T$4</f>
        <v>0</v>
      </c>
      <c r="U16" s="2584">
        <f t="shared" ref="U16:U20" si="22">IF(M16&gt;0,ROUNDUP(SUM(V16:X16)/AB16/J16,0),0)</f>
        <v>0</v>
      </c>
      <c r="V16" s="2579">
        <f>MAX(2000*$J16*IF($M16&gt;0,1,0),IF($J16&gt;0,IF(input!$N178&gt;0,input!$N178,ROUNDUP($E$2*$K16/$I16,0)),0))</f>
        <v>0</v>
      </c>
      <c r="W16" s="2579">
        <f>IF($B16&gt;0,IF($M16&gt;0,IF(input!$B$4=Data!$M$1054,MAX(Data!$R$1054*$J16,ROUNDUP($V16*$L16,0)),MAX(Data!$R$1057*$J16,ROUNDUP($V16*$L16,0))),MAX(Data!$R$1060*$J16,ROUNDUP($V16*$L16,0))),0)</f>
        <v>0</v>
      </c>
      <c r="X16" s="2579">
        <f>IF($J16&gt;0,50*SUMIFS(input!$H$412:$H$442,input!$F$412:$F$442,Paper!A16)*$J16,0)</f>
        <v>0</v>
      </c>
      <c r="Y16" s="2579">
        <f t="shared" ref="Y16:Y20" ca="1" si="23">R16*1000*H16</f>
        <v>0</v>
      </c>
      <c r="Z16" s="2579">
        <f t="shared" ref="Z16:Z20" si="24">IF(J16&gt;0,S16*AI16,0)</f>
        <v>0</v>
      </c>
      <c r="AA16" s="2579">
        <f t="shared" ref="AA16:AA20" si="25">S16-Z16</f>
        <v>0</v>
      </c>
      <c r="AB16" s="2586" t="e">
        <f>IF(input!$B$4=Data!$M$1054,IF(SUM(V16:X16)/$J16&lt;Data!$N$1054/2,SUM(V16:X16)/$J16*2,Data!$N$1054),IF(SUM(V16:X16)/$J16&lt;Data!$N$1057/2,SUM(V16:X16)/$J16*2,Data!$N$1057))</f>
        <v>#DIV/0!</v>
      </c>
      <c r="AC16" s="2579">
        <f t="shared" ref="AC16:AC20" si="26">V16+W16</f>
        <v>0</v>
      </c>
      <c r="AD16" s="2567">
        <f t="shared" ref="AD16:AD20" si="27">V16*B16*N16*O16/10^12</f>
        <v>0</v>
      </c>
      <c r="AE16" s="2567">
        <f t="shared" ref="AE16:AE20" si="28">W16*B16*N16*O16/10^12</f>
        <v>0</v>
      </c>
      <c r="AF16" s="2567">
        <f t="shared" ref="AF16:AF20" si="29">X16*B16*N16*O16/10^12</f>
        <v>0</v>
      </c>
      <c r="AG16" s="2579">
        <f t="shared" ref="AG16:AG20" si="30">AF16*H16*1000</f>
        <v>0</v>
      </c>
      <c r="AH16" s="1197">
        <f t="shared" ref="AH16:AH20" si="31">IF(J16&gt;0,AD16/R16,0)</f>
        <v>0</v>
      </c>
      <c r="AI16" s="1197">
        <f t="shared" ref="AI16:AI20" si="32">IF(J16&gt;0,AE16/R16,0)</f>
        <v>0</v>
      </c>
      <c r="AJ16" s="1197">
        <f t="shared" ref="AJ16:AJ20" si="33">IF(J16&gt;0,AF16/R16,0)</f>
        <v>0</v>
      </c>
      <c r="AK16" s="1197">
        <f t="shared" ref="AK16:AK20" si="34">IF(J16&gt;0,1-(SUM(AH16:AJ16)),0)</f>
        <v>0</v>
      </c>
      <c r="AL16" s="1214">
        <f t="shared" ref="AL16:AL20" si="35">IF(J16&gt;0,IF(T16&gt;0,0,1),0)</f>
        <v>0</v>
      </c>
      <c r="AM16" s="1214" t="str">
        <f>input!O178</f>
        <v>N</v>
      </c>
      <c r="AN16" s="1214" t="str">
        <f>input!P178</f>
        <v>Roll</v>
      </c>
      <c r="AO16" s="1214" t="str">
        <f>input!$F$169</f>
        <v>N</v>
      </c>
      <c r="AP16" s="2521">
        <f>IF($G16="Import",(SUMIF(Data!$P$13:$P$822,Paper!$C16,Data!$L$13:$L$822)+IF($AM16="Y",SUMIF(Data!$P$13:$P$822,Paper!$C16,Data!$M$13:$M$822),0)+IF($AN16="Ream",SUMIF(Data!$P$13:$P$822,Paper!$C16,Data!$N$13:$N$822),0))*$K$3/1000,SUMIF(Data!$P$13:$P$822,Paper!$C16,Data!$S$13:$S$822)/1.08)</f>
        <v>0</v>
      </c>
      <c r="AQ16" s="2523">
        <f>IF($AM16="N",0,VLOOKUP($C16,Data!$P$13:$AF$822,17,0))</f>
        <v>0</v>
      </c>
      <c r="AR16" s="2746">
        <f>ROUNDUP((B16*N16*O16*SUM(V16:X16)/10^12),3)*(1+'Cost EST. GM target'!$L104)</f>
        <v>0</v>
      </c>
      <c r="AS16" s="136" t="str">
        <f t="shared" ref="AS16:AS21" si="36">IF(M16=0,"khong in","co in")</f>
        <v>khong in</v>
      </c>
      <c r="AT16" s="136">
        <f t="shared" ref="AT16:AT21" si="37">IF(ISNUMBER(T16),IF(T16&lt;&gt;0,IF(ISNUMBER(SEARCH("to",S16)),0,1),0),"")</f>
        <v>0</v>
      </c>
      <c r="AU16" s="136">
        <f ca="1">COUNTIFS($AT$7:AT16,1)</f>
        <v>1</v>
      </c>
    </row>
    <row r="17" spans="1:47" ht="16.899999999999999" hidden="1" customHeight="1">
      <c r="A17" s="915" t="str">
        <f>input!A195</f>
        <v>N</v>
      </c>
      <c r="B17" s="2497">
        <f>input!B195</f>
        <v>0</v>
      </c>
      <c r="C17" s="2498">
        <f t="shared" si="19"/>
        <v>0</v>
      </c>
      <c r="D17" s="2499" t="str">
        <f>input!C195</f>
        <v>GB</v>
      </c>
      <c r="E17" s="2499">
        <f>input!D195</f>
        <v>0</v>
      </c>
      <c r="F17" s="1212">
        <f>VLOOKUP(C17,Data!$P$13:$R$822,2,0)</f>
        <v>0</v>
      </c>
      <c r="G17" s="1194" t="str">
        <f>input!E195</f>
        <v>Local</v>
      </c>
      <c r="H17" s="2503">
        <f>IFERROR(VLOOKUP(C17,Data!$P$13:$V$822,IF(G17=Data!$T$12,5,6),0)+IF($G17="Import",IF($AM17="Y",SUMIF(Data!$P$13:$P$822,Paper!$C17,Data!$AD$13:$AD$822),0)+IF($AN17="Ream",SUMIF(Data!$P$13:$P$822,Paper!$C17,Data!$AE$13:$AE$822),0),0),0)</f>
        <v>0</v>
      </c>
      <c r="I17" s="2503">
        <f>input!F195</f>
        <v>0</v>
      </c>
      <c r="J17" s="2503">
        <f>input!G195</f>
        <v>0</v>
      </c>
      <c r="K17" s="2503">
        <f>input!H195</f>
        <v>0</v>
      </c>
      <c r="L17" s="1197">
        <f>IF(V17=0,0,VLOOKUP(AS17&amp;input!$B$4&amp;LOOKUP(V17,$V$1:$V$2,$W$1:$W$2),Data!$T$1054:$W$1066,4,0))</f>
        <v>0</v>
      </c>
      <c r="M17" s="2503">
        <f>input!I195</f>
        <v>0</v>
      </c>
      <c r="N17" s="1198">
        <f>input!J195</f>
        <v>0</v>
      </c>
      <c r="O17" s="1199">
        <f>input!K195</f>
        <v>0</v>
      </c>
      <c r="P17" s="2501">
        <f ca="1">IFERROR(input!L195,0)</f>
        <v>0</v>
      </c>
      <c r="Q17" s="1200">
        <f>input!M195</f>
        <v>3</v>
      </c>
      <c r="R17" s="2567">
        <f ca="1">ROUNDUP((B17*P17*Q17*SUM(V17:X17)/10^12),3)*(1+'Cost EST. GM target'!$L105)</f>
        <v>0</v>
      </c>
      <c r="S17" s="2579">
        <f t="shared" si="20"/>
        <v>0</v>
      </c>
      <c r="T17" s="2521">
        <f t="shared" si="21"/>
        <v>0</v>
      </c>
      <c r="U17" s="2584">
        <f t="shared" si="22"/>
        <v>0</v>
      </c>
      <c r="V17" s="2579">
        <f>MAX(2000*$J17*IF($M17&gt;0,1,0),IF($J17&gt;0,IF(input!$N195&gt;0,input!$N195,ROUNDUP($E$2*$K17/$I17,0)),0))</f>
        <v>0</v>
      </c>
      <c r="W17" s="2579">
        <f>IF($B17&gt;0,IF($M17&gt;0,IF(input!$B$4=Data!$M$1054,MAX(Data!$R$1054*$J17,ROUNDUP($V17*$L17,0)),MAX(Data!$R$1057*$J17,ROUNDUP($V17*$L17,0))),MAX(Data!$R$1060*$J17,ROUNDUP($V17*$L17,0))),0)</f>
        <v>0</v>
      </c>
      <c r="X17" s="2579">
        <f>IF($J17&gt;0,50*SUMIFS(input!$H$412:$H$442,input!$F$412:$F$442,Paper!A17)*$J17,0)</f>
        <v>0</v>
      </c>
      <c r="Y17" s="2579">
        <f t="shared" ca="1" si="23"/>
        <v>0</v>
      </c>
      <c r="Z17" s="2579">
        <f t="shared" si="24"/>
        <v>0</v>
      </c>
      <c r="AA17" s="2579">
        <f t="shared" si="25"/>
        <v>0</v>
      </c>
      <c r="AB17" s="2586" t="e">
        <f>IF(input!$B$4=Data!$M$1054,IF(SUM(V17:X17)/$J17&lt;Data!$N$1054/2,SUM(V17:X17)/$J17*2,Data!$N$1054),IF(SUM(V17:X17)/$J17&lt;Data!$N$1057/2,SUM(V17:X17)/$J17*2,Data!$N$1057))</f>
        <v>#DIV/0!</v>
      </c>
      <c r="AC17" s="2579">
        <f t="shared" si="26"/>
        <v>0</v>
      </c>
      <c r="AD17" s="2567">
        <f t="shared" si="27"/>
        <v>0</v>
      </c>
      <c r="AE17" s="2567">
        <f t="shared" si="28"/>
        <v>0</v>
      </c>
      <c r="AF17" s="2567">
        <f t="shared" si="29"/>
        <v>0</v>
      </c>
      <c r="AG17" s="2579">
        <f t="shared" si="30"/>
        <v>0</v>
      </c>
      <c r="AH17" s="1197">
        <f t="shared" si="31"/>
        <v>0</v>
      </c>
      <c r="AI17" s="1197">
        <f t="shared" si="32"/>
        <v>0</v>
      </c>
      <c r="AJ17" s="1197">
        <f t="shared" si="33"/>
        <v>0</v>
      </c>
      <c r="AK17" s="1197">
        <f t="shared" si="34"/>
        <v>0</v>
      </c>
      <c r="AL17" s="1214">
        <f t="shared" si="35"/>
        <v>0</v>
      </c>
      <c r="AM17" s="1214" t="str">
        <f>input!O195</f>
        <v>N</v>
      </c>
      <c r="AN17" s="1214" t="str">
        <f>input!P195</f>
        <v>Roll</v>
      </c>
      <c r="AO17" s="1214" t="str">
        <f>input!$F$169</f>
        <v>N</v>
      </c>
      <c r="AP17" s="2521">
        <f>IF($G17="Import",(SUMIF(Data!$P$13:$P$822,Paper!$C17,Data!$L$13:$L$822)+IF($AM17="Y",SUMIF(Data!$P$13:$P$822,Paper!$C17,Data!$M$13:$M$822),0)+IF($AN17="Ream",SUMIF(Data!$P$13:$P$822,Paper!$C17,Data!$N$13:$N$822),0))*$K$3/1000,SUMIF(Data!$P$13:$P$822,Paper!$C17,Data!$S$13:$S$822)/1.08)</f>
        <v>0</v>
      </c>
      <c r="AQ17" s="2523">
        <f>IF($AM17="N",0,VLOOKUP($C17,Data!$P$13:$AF$822,17,0))</f>
        <v>0</v>
      </c>
      <c r="AR17" s="2746">
        <f>ROUNDUP((B17*N17*O17*SUM(V17:X17)/10^12),3)*(1+'Cost EST. GM target'!$L105)</f>
        <v>0</v>
      </c>
      <c r="AS17" s="136" t="str">
        <f t="shared" si="36"/>
        <v>khong in</v>
      </c>
      <c r="AT17" s="136">
        <f t="shared" si="37"/>
        <v>0</v>
      </c>
      <c r="AU17" s="136">
        <f ca="1">COUNTIFS($AT$7:AT17,1)</f>
        <v>1</v>
      </c>
    </row>
    <row r="18" spans="1:47" ht="16.899999999999999" hidden="1" customHeight="1">
      <c r="A18" s="915" t="str">
        <f>input!A212</f>
        <v>N</v>
      </c>
      <c r="B18" s="2497">
        <f>input!B212</f>
        <v>0</v>
      </c>
      <c r="C18" s="2498">
        <f t="shared" si="19"/>
        <v>0</v>
      </c>
      <c r="D18" s="2499" t="str">
        <f>input!C212</f>
        <v>GB</v>
      </c>
      <c r="E18" s="2499">
        <f>input!D212</f>
        <v>0</v>
      </c>
      <c r="F18" s="1212">
        <f>VLOOKUP(C18,Data!$P$13:$R$822,2,0)</f>
        <v>0</v>
      </c>
      <c r="G18" s="1194" t="str">
        <f>input!E212</f>
        <v>Local</v>
      </c>
      <c r="H18" s="2503">
        <f>IFERROR(VLOOKUP(C18,Data!$P$13:$V$822,IF(G18=Data!$T$12,5,6),0)+IF($G18="Import",IF($AM18="Y",SUMIF(Data!$P$13:$P$822,Paper!$C18,Data!$AD$13:$AD$822),0)+IF($AN18="Ream",SUMIF(Data!$P$13:$P$822,Paper!$C18,Data!$AE$13:$AE$822),0),0),0)</f>
        <v>0</v>
      </c>
      <c r="I18" s="2503">
        <f>input!F212</f>
        <v>0</v>
      </c>
      <c r="J18" s="2503">
        <f>input!G212</f>
        <v>0</v>
      </c>
      <c r="K18" s="2503">
        <f>input!H212</f>
        <v>0</v>
      </c>
      <c r="L18" s="1197">
        <f>IF(V18=0,0,VLOOKUP(AS18&amp;input!$B$4&amp;LOOKUP(V18,$V$1:$V$2,$W$1:$W$2),Data!$T$1054:$W$1066,4,0))</f>
        <v>0</v>
      </c>
      <c r="M18" s="2503">
        <f>input!I212</f>
        <v>0</v>
      </c>
      <c r="N18" s="1198">
        <f>input!J212</f>
        <v>0</v>
      </c>
      <c r="O18" s="1199">
        <f>input!K212</f>
        <v>0</v>
      </c>
      <c r="P18" s="2501">
        <f ca="1">IFERROR(input!L212,0)</f>
        <v>0</v>
      </c>
      <c r="Q18" s="1200">
        <f>input!M212</f>
        <v>3</v>
      </c>
      <c r="R18" s="2567">
        <f ca="1">ROUNDUP((B18*P18*Q18*SUM(V18:X18)/10^12),3)*(1+'Cost EST. GM target'!$L106)</f>
        <v>0</v>
      </c>
      <c r="S18" s="2579">
        <f t="shared" si="20"/>
        <v>0</v>
      </c>
      <c r="T18" s="2521">
        <f t="shared" si="21"/>
        <v>0</v>
      </c>
      <c r="U18" s="2584">
        <f t="shared" si="22"/>
        <v>0</v>
      </c>
      <c r="V18" s="2579">
        <f>MAX(2000*$J18*IF($M18&gt;0,1,0),IF($J18&gt;0,IF(input!$N212&gt;0,input!$N212,ROUNDUP($E$2*$K18/$I18,0)),0))</f>
        <v>0</v>
      </c>
      <c r="W18" s="2579">
        <f>IF($B18&gt;0,IF($M18&gt;0,IF(input!$B$4=Data!$M$1054,MAX(Data!$R$1054*$J18,ROUNDUP($V18*$L18,0)),MAX(Data!$R$1057*$J18,ROUNDUP($V18*$L18,0))),MAX(Data!$R$1060*$J18,ROUNDUP($V18*$L18,0))),0)</f>
        <v>0</v>
      </c>
      <c r="X18" s="2579">
        <f>IF($J18&gt;0,50*SUMIFS(input!$H$412:$H$442,input!$F$412:$F$442,Paper!A18)*$J18,0)</f>
        <v>0</v>
      </c>
      <c r="Y18" s="2579">
        <f t="shared" ca="1" si="23"/>
        <v>0</v>
      </c>
      <c r="Z18" s="2579">
        <f t="shared" si="24"/>
        <v>0</v>
      </c>
      <c r="AA18" s="2579">
        <f t="shared" si="25"/>
        <v>0</v>
      </c>
      <c r="AB18" s="2586" t="e">
        <f>IF(input!$B$4=Data!$M$1054,IF(SUM(V18:X18)/$J18&lt;Data!$N$1054/2,SUM(V18:X18)/$J18*2,Data!$N$1054),IF(SUM(V18:X18)/$J18&lt;Data!$N$1057/2,SUM(V18:X18)/$J18*2,Data!$N$1057))</f>
        <v>#DIV/0!</v>
      </c>
      <c r="AC18" s="2579">
        <f t="shared" si="26"/>
        <v>0</v>
      </c>
      <c r="AD18" s="2567">
        <f t="shared" si="27"/>
        <v>0</v>
      </c>
      <c r="AE18" s="2567">
        <f t="shared" si="28"/>
        <v>0</v>
      </c>
      <c r="AF18" s="2567">
        <f t="shared" si="29"/>
        <v>0</v>
      </c>
      <c r="AG18" s="2579">
        <f t="shared" si="30"/>
        <v>0</v>
      </c>
      <c r="AH18" s="1197">
        <f t="shared" si="31"/>
        <v>0</v>
      </c>
      <c r="AI18" s="1197">
        <f t="shared" si="32"/>
        <v>0</v>
      </c>
      <c r="AJ18" s="1197">
        <f t="shared" si="33"/>
        <v>0</v>
      </c>
      <c r="AK18" s="1197">
        <f t="shared" si="34"/>
        <v>0</v>
      </c>
      <c r="AL18" s="1214">
        <f t="shared" si="35"/>
        <v>0</v>
      </c>
      <c r="AM18" s="1214" t="str">
        <f>input!O212</f>
        <v>N</v>
      </c>
      <c r="AN18" s="1214" t="str">
        <f>input!P212</f>
        <v>Roll</v>
      </c>
      <c r="AO18" s="1214" t="str">
        <f>input!$F$169</f>
        <v>N</v>
      </c>
      <c r="AP18" s="2521">
        <f>IF($G18="Import",(SUMIF(Data!$P$13:$P$822,Paper!$C18,Data!$L$13:$L$822)+IF($AM18="Y",SUMIF(Data!$P$13:$P$822,Paper!$C18,Data!$M$13:$M$822),0)+IF($AN18="Ream",SUMIF(Data!$P$13:$P$822,Paper!$C18,Data!$N$13:$N$822),0))*$K$3/1000,SUMIF(Data!$P$13:$P$822,Paper!$C18,Data!$S$13:$S$822)/1.08)</f>
        <v>0</v>
      </c>
      <c r="AQ18" s="2523">
        <f>IF($AM18="N",0,VLOOKUP($C18,Data!$P$13:$AF$822,17,0))</f>
        <v>0</v>
      </c>
      <c r="AR18" s="2746">
        <f>ROUNDUP((B18*N18*O18*SUM(V18:X18)/10^12),3)*(1+'Cost EST. GM target'!$L106)</f>
        <v>0</v>
      </c>
      <c r="AS18" s="136" t="str">
        <f t="shared" si="36"/>
        <v>khong in</v>
      </c>
      <c r="AT18" s="136">
        <f t="shared" si="37"/>
        <v>0</v>
      </c>
      <c r="AU18" s="136">
        <f ca="1">COUNTIFS($AT$7:AT18,1)</f>
        <v>1</v>
      </c>
    </row>
    <row r="19" spans="1:47" ht="16.899999999999999" hidden="1" customHeight="1">
      <c r="A19" s="915" t="str">
        <f>input!A229</f>
        <v>N</v>
      </c>
      <c r="B19" s="2497">
        <f>input!B229</f>
        <v>0</v>
      </c>
      <c r="C19" s="2498">
        <f t="shared" si="19"/>
        <v>0</v>
      </c>
      <c r="D19" s="2499" t="str">
        <f>input!C229</f>
        <v>GB</v>
      </c>
      <c r="E19" s="2499">
        <f>input!D229</f>
        <v>0</v>
      </c>
      <c r="F19" s="1212">
        <f>VLOOKUP(C19,Data!$P$13:$R$822,2,0)</f>
        <v>0</v>
      </c>
      <c r="G19" s="1194" t="str">
        <f>input!E229</f>
        <v>Local</v>
      </c>
      <c r="H19" s="2503">
        <f>IFERROR(VLOOKUP(C19,Data!$P$13:$V$822,IF(G19=Data!$T$12,5,6),0)+IF($G19="Import",IF($AM19="Y",SUMIF(Data!$P$13:$P$822,Paper!$C19,Data!$AD$13:$AD$822),0)+IF($AN19="Ream",SUMIF(Data!$P$13:$P$822,Paper!$C19,Data!$AE$13:$AE$822),0),0),0)</f>
        <v>0</v>
      </c>
      <c r="I19" s="2503">
        <f>input!F229</f>
        <v>0</v>
      </c>
      <c r="J19" s="2503">
        <f>input!G229</f>
        <v>0</v>
      </c>
      <c r="K19" s="2503">
        <f>input!H229</f>
        <v>0</v>
      </c>
      <c r="L19" s="1197">
        <f>IF(V19=0,0,VLOOKUP(AS19&amp;input!$B$4&amp;LOOKUP(V19,$V$1:$V$2,$W$1:$W$2),Data!$T$1054:$W$1066,4,0))</f>
        <v>0</v>
      </c>
      <c r="M19" s="2503">
        <f>input!I229</f>
        <v>0</v>
      </c>
      <c r="N19" s="1198">
        <f>input!J229</f>
        <v>0</v>
      </c>
      <c r="O19" s="1199">
        <f>input!K229</f>
        <v>0</v>
      </c>
      <c r="P19" s="2501">
        <f ca="1">IFERROR(input!L229,0)</f>
        <v>0</v>
      </c>
      <c r="Q19" s="1200">
        <f>input!M229</f>
        <v>3</v>
      </c>
      <c r="R19" s="2567">
        <f ca="1">ROUNDUP((B19*P19*Q19*SUM(V19:X19)/10^12),3)*(1+'Cost EST. GM target'!$L107)</f>
        <v>0</v>
      </c>
      <c r="S19" s="2579">
        <f t="shared" si="20"/>
        <v>0</v>
      </c>
      <c r="T19" s="2521">
        <f t="shared" si="21"/>
        <v>0</v>
      </c>
      <c r="U19" s="2584">
        <f t="shared" si="22"/>
        <v>0</v>
      </c>
      <c r="V19" s="2579">
        <f>MAX(2000*$J19*IF($M19&gt;0,1,0),IF($J19&gt;0,IF(input!$N229&gt;0,input!$N229,ROUNDUP($E$2*$K19/$I19,0)),0))</f>
        <v>0</v>
      </c>
      <c r="W19" s="2579">
        <f>IF($B19&gt;0,IF($M19&gt;0,IF(input!$B$4=Data!$M$1054,MAX(Data!$R$1054*$J19,ROUNDUP($V19*$L19,0)),MAX(Data!$R$1057*$J19,ROUNDUP($V19*$L19,0))),MAX(Data!$R$1060*$J19,ROUNDUP($V19*$L19,0))),0)</f>
        <v>0</v>
      </c>
      <c r="X19" s="2579">
        <f>IF($J19&gt;0,50*SUMIFS(input!$H$412:$H$442,input!$F$412:$F$442,Paper!A19)*$J19,0)</f>
        <v>0</v>
      </c>
      <c r="Y19" s="2579">
        <f t="shared" ca="1" si="23"/>
        <v>0</v>
      </c>
      <c r="Z19" s="2579">
        <f t="shared" si="24"/>
        <v>0</v>
      </c>
      <c r="AA19" s="2579">
        <f t="shared" si="25"/>
        <v>0</v>
      </c>
      <c r="AB19" s="2586" t="e">
        <f>IF(input!$B$4=Data!$M$1054,IF(SUM(V19:X19)/$J19&lt;Data!$N$1054/2,SUM(V19:X19)/$J19*2,Data!$N$1054),IF(SUM(V19:X19)/$J19&lt;Data!$N$1057/2,SUM(V19:X19)/$J19*2,Data!$N$1057))</f>
        <v>#DIV/0!</v>
      </c>
      <c r="AC19" s="2579">
        <f t="shared" si="26"/>
        <v>0</v>
      </c>
      <c r="AD19" s="2567">
        <f t="shared" si="27"/>
        <v>0</v>
      </c>
      <c r="AE19" s="2567">
        <f t="shared" si="28"/>
        <v>0</v>
      </c>
      <c r="AF19" s="2567">
        <f t="shared" si="29"/>
        <v>0</v>
      </c>
      <c r="AG19" s="2579">
        <f t="shared" si="30"/>
        <v>0</v>
      </c>
      <c r="AH19" s="1197">
        <f t="shared" si="31"/>
        <v>0</v>
      </c>
      <c r="AI19" s="1197">
        <f t="shared" si="32"/>
        <v>0</v>
      </c>
      <c r="AJ19" s="1197">
        <f t="shared" si="33"/>
        <v>0</v>
      </c>
      <c r="AK19" s="1197">
        <f t="shared" si="34"/>
        <v>0</v>
      </c>
      <c r="AL19" s="1214">
        <f t="shared" si="35"/>
        <v>0</v>
      </c>
      <c r="AM19" s="1214" t="str">
        <f>input!O229</f>
        <v>N</v>
      </c>
      <c r="AN19" s="1214" t="str">
        <f>input!P229</f>
        <v>Roll</v>
      </c>
      <c r="AO19" s="1214" t="str">
        <f>input!$F$169</f>
        <v>N</v>
      </c>
      <c r="AP19" s="2521">
        <f>IF($G19="Import",(SUMIF(Data!$P$13:$P$822,Paper!$C19,Data!$L$13:$L$822)+IF($AM19="Y",SUMIF(Data!$P$13:$P$822,Paper!$C19,Data!$M$13:$M$822),0)+IF($AN19="Ream",SUMIF(Data!$P$13:$P$822,Paper!$C19,Data!$N$13:$N$822),0))*$K$3/1000,SUMIF(Data!$P$13:$P$822,Paper!$C19,Data!$S$13:$S$822)/1.08)</f>
        <v>0</v>
      </c>
      <c r="AQ19" s="2523">
        <f>IF($AM19="N",0,VLOOKUP($C19,Data!$P$13:$AF$822,17,0))</f>
        <v>0</v>
      </c>
      <c r="AR19" s="2746">
        <f>ROUNDUP((B19*N19*O19*SUM(V19:X19)/10^12),3)*(1+'Cost EST. GM target'!$L107)</f>
        <v>0</v>
      </c>
      <c r="AS19" s="136" t="str">
        <f t="shared" si="36"/>
        <v>khong in</v>
      </c>
      <c r="AT19" s="136">
        <f t="shared" si="37"/>
        <v>0</v>
      </c>
      <c r="AU19" s="136">
        <f ca="1">COUNTIFS($AT$7:AT19,1)</f>
        <v>1</v>
      </c>
    </row>
    <row r="20" spans="1:47" ht="16.899999999999999" hidden="1" customHeight="1">
      <c r="A20" s="915" t="str">
        <f>input!A246</f>
        <v>1st</v>
      </c>
      <c r="B20" s="2497">
        <f>input!B246</f>
        <v>0</v>
      </c>
      <c r="C20" s="2498">
        <f t="shared" si="19"/>
        <v>0</v>
      </c>
      <c r="D20" s="2499" t="str">
        <f>input!C246</f>
        <v>GB</v>
      </c>
      <c r="E20" s="2499">
        <f>input!D246</f>
        <v>0</v>
      </c>
      <c r="F20" s="1212">
        <f>VLOOKUP(C20,Data!$P$13:$R$822,2,0)</f>
        <v>0</v>
      </c>
      <c r="G20" s="1194" t="str">
        <f>input!E246</f>
        <v>Local</v>
      </c>
      <c r="H20" s="2503">
        <f>IFERROR(VLOOKUP(C20,Data!$P$13:$V$822,IF(G20=Data!$T$12,5,6),0)+IF($G20="Import",IF($AM20="Y",SUMIF(Data!$P$13:$P$822,Paper!$C20,Data!$AD$13:$AD$822),0)+IF($AN20="Ream",SUMIF(Data!$P$13:$P$822,Paper!$C20,Data!$AE$13:$AE$822),0),0),0)</f>
        <v>0</v>
      </c>
      <c r="I20" s="2503">
        <f>input!F246</f>
        <v>0</v>
      </c>
      <c r="J20" s="2503">
        <f>input!G246</f>
        <v>0</v>
      </c>
      <c r="K20" s="2503">
        <f>input!H246</f>
        <v>0</v>
      </c>
      <c r="L20" s="1197">
        <f>IF(V20=0,0,VLOOKUP(AS20&amp;input!$B$4&amp;LOOKUP(V20,$V$1:$V$2,$W$1:$W$2),Data!$T$1054:$W$1066,4,0))</f>
        <v>0</v>
      </c>
      <c r="M20" s="2503">
        <f>input!I246</f>
        <v>0</v>
      </c>
      <c r="N20" s="1198">
        <f>input!J246</f>
        <v>0</v>
      </c>
      <c r="O20" s="1199">
        <f>input!K246</f>
        <v>0</v>
      </c>
      <c r="P20" s="2501">
        <f ca="1">IFERROR(input!L246,0)</f>
        <v>0</v>
      </c>
      <c r="Q20" s="1200">
        <f>input!M246</f>
        <v>3</v>
      </c>
      <c r="R20" s="2567">
        <f ca="1">ROUNDUP((B20*P20*Q20*SUM(V20:X20)/10^12),3)*(1+'Cost EST. GM target'!$L108)</f>
        <v>0</v>
      </c>
      <c r="S20" s="2579">
        <f t="shared" si="20"/>
        <v>0</v>
      </c>
      <c r="T20" s="2521">
        <f t="shared" si="21"/>
        <v>0</v>
      </c>
      <c r="U20" s="2584">
        <f t="shared" si="22"/>
        <v>0</v>
      </c>
      <c r="V20" s="2579">
        <f>MAX(2000*$J20*IF($M20&gt;0,1,0),IF($J20&gt;0,IF(input!$N246&gt;0,input!$N246,ROUNDUP($E$2*$K20/$I20,0)),0))</f>
        <v>0</v>
      </c>
      <c r="W20" s="2579">
        <f>IF($B20&gt;0,IF($M20&gt;0,IF(input!$B$4=Data!$M$1054,MAX(Data!$R$1054*$J20,ROUNDUP($V20*$L20,0)),MAX(Data!$R$1057*$J20,ROUNDUP($V20*$L20,0))),MAX(Data!$R$1060*$J20,ROUNDUP($V20*$L20,0))),0)</f>
        <v>0</v>
      </c>
      <c r="X20" s="2579">
        <f>IF($J20&gt;0,50*SUMIFS(input!$H$412:$H$442,input!$F$412:$F$442,Paper!A20)*$J20,0)</f>
        <v>0</v>
      </c>
      <c r="Y20" s="2579">
        <f t="shared" ca="1" si="23"/>
        <v>0</v>
      </c>
      <c r="Z20" s="2579">
        <f t="shared" si="24"/>
        <v>0</v>
      </c>
      <c r="AA20" s="2579">
        <f t="shared" si="25"/>
        <v>0</v>
      </c>
      <c r="AB20" s="2586" t="e">
        <f>IF(input!$B$4=Data!$M$1054,IF(SUM(V20:X20)/$J20&lt;Data!$N$1054/2,SUM(V20:X20)/$J20*2,Data!$N$1054),IF(SUM(V20:X20)/$J20&lt;Data!$N$1057/2,SUM(V20:X20)/$J20*2,Data!$N$1057))</f>
        <v>#DIV/0!</v>
      </c>
      <c r="AC20" s="2579">
        <f t="shared" si="26"/>
        <v>0</v>
      </c>
      <c r="AD20" s="2567">
        <f t="shared" si="27"/>
        <v>0</v>
      </c>
      <c r="AE20" s="2567">
        <f t="shared" si="28"/>
        <v>0</v>
      </c>
      <c r="AF20" s="2567">
        <f t="shared" si="29"/>
        <v>0</v>
      </c>
      <c r="AG20" s="2579">
        <f t="shared" si="30"/>
        <v>0</v>
      </c>
      <c r="AH20" s="1197">
        <f t="shared" si="31"/>
        <v>0</v>
      </c>
      <c r="AI20" s="1197">
        <f t="shared" si="32"/>
        <v>0</v>
      </c>
      <c r="AJ20" s="1197">
        <f t="shared" si="33"/>
        <v>0</v>
      </c>
      <c r="AK20" s="1197">
        <f t="shared" si="34"/>
        <v>0</v>
      </c>
      <c r="AL20" s="1214">
        <f t="shared" si="35"/>
        <v>0</v>
      </c>
      <c r="AM20" s="1214" t="str">
        <f>input!O246</f>
        <v>N</v>
      </c>
      <c r="AN20" s="1214" t="str">
        <f>input!P246</f>
        <v>Roll</v>
      </c>
      <c r="AO20" s="1214" t="str">
        <f>input!$F$169</f>
        <v>N</v>
      </c>
      <c r="AP20" s="2521">
        <f>IF($G20="Import",(SUMIF(Data!$P$13:$P$822,Paper!$C20,Data!$L$13:$L$822)+IF($AM20="Y",SUMIF(Data!$P$13:$P$822,Paper!$C20,Data!$M$13:$M$822),0)+IF($AN20="Ream",SUMIF(Data!$P$13:$P$822,Paper!$C20,Data!$N$13:$N$822),0))*$K$3/1000,SUMIF(Data!$P$13:$P$822,Paper!$C20,Data!$S$13:$S$822)/1.08)</f>
        <v>0</v>
      </c>
      <c r="AQ20" s="2523">
        <f>IF($AM20="N",0,VLOOKUP($C20,Data!$P$13:$AF$822,17,0))</f>
        <v>0</v>
      </c>
      <c r="AR20" s="2746">
        <f>ROUNDUP((B20*N20*O20*SUM(V20:X20)/10^12),3)*(1+'Cost EST. GM target'!$L108)</f>
        <v>0</v>
      </c>
      <c r="AS20" s="136" t="str">
        <f t="shared" si="36"/>
        <v>khong in</v>
      </c>
      <c r="AT20" s="136">
        <f t="shared" si="37"/>
        <v>0</v>
      </c>
      <c r="AU20" s="136">
        <f ca="1">COUNTIFS($AT$7:AT20,1)</f>
        <v>1</v>
      </c>
    </row>
    <row r="21" spans="1:47" ht="16.899999999999999" hidden="1" customHeight="1">
      <c r="A21" s="3696" t="str">
        <f>input!A263</f>
        <v>1st</v>
      </c>
      <c r="B21" s="3697">
        <f>input!B263</f>
        <v>0</v>
      </c>
      <c r="C21" s="3698">
        <f t="shared" ref="C21" si="38">IF(B21&gt;0,B21&amp;"gsm "&amp;D21&amp;" "&amp;E21,0)</f>
        <v>0</v>
      </c>
      <c r="D21" s="3699" t="str">
        <f>input!C263</f>
        <v>GB</v>
      </c>
      <c r="E21" s="3699" t="str">
        <f>input!D263</f>
        <v>HANSOL</v>
      </c>
      <c r="F21" s="3700">
        <f>VLOOKUP(C21,Data!$P$13:$R$822,2,0)</f>
        <v>0</v>
      </c>
      <c r="G21" s="3701" t="str">
        <f>input!E263</f>
        <v>Local</v>
      </c>
      <c r="H21" s="3702">
        <f>IFERROR(VLOOKUP(C21,Data!$P$13:$V$822,IF(G21=Data!$T$12,5,6),0)+IF($G21="Import",IF($AM21="Y",SUMIF(Data!$P$13:$P$822,Paper!$C21,Data!$AD$13:$AD$822),0)+IF($AN21="Ream",SUMIF(Data!$P$13:$P$822,Paper!$C21,Data!$AE$13:$AE$822),0),0),0)</f>
        <v>0</v>
      </c>
      <c r="I21" s="3702">
        <f>input!F263</f>
        <v>0</v>
      </c>
      <c r="J21" s="3702">
        <f>input!G263</f>
        <v>0</v>
      </c>
      <c r="K21" s="3702">
        <f>input!H263</f>
        <v>0</v>
      </c>
      <c r="L21" s="3703">
        <f>IF(V21=0,0,VLOOKUP(AS21&amp;input!$B$4&amp;LOOKUP(V21,$V$1:$V$2,$W$1:$W$2),Data!$T$1054:$W$1066,4,0))</f>
        <v>0</v>
      </c>
      <c r="M21" s="3702">
        <f>input!I263</f>
        <v>0</v>
      </c>
      <c r="N21" s="3704">
        <f>input!J263</f>
        <v>0</v>
      </c>
      <c r="O21" s="3705">
        <f>input!K263</f>
        <v>0</v>
      </c>
      <c r="P21" s="3706">
        <f ca="1">IFERROR(input!L263,0)</f>
        <v>0</v>
      </c>
      <c r="Q21" s="3707">
        <f>input!M263</f>
        <v>3</v>
      </c>
      <c r="R21" s="3708">
        <f ca="1">ROUNDUP((B21*P21*Q21*SUM(V21:X21)/10^12),3)*(1+'Cost EST. GM target'!$L109)</f>
        <v>0</v>
      </c>
      <c r="S21" s="3709">
        <f t="shared" ref="S21" si="39">IF($I21*$J21&gt;0,Y21/$E$1,0)</f>
        <v>0</v>
      </c>
      <c r="T21" s="3710">
        <f t="shared" ref="T21" si="40">S21+IF($I21*$J21&gt;0,$AD21*$AP21*1000/$E$1,0)*$T$4</f>
        <v>0</v>
      </c>
      <c r="U21" s="3711">
        <f t="shared" ref="U21" si="41">IF(M21&gt;0,ROUNDUP(SUM(V21:X21)/AB21/J21,0),0)</f>
        <v>0</v>
      </c>
      <c r="V21" s="3709">
        <f>MAX(2000*$J21*IF($M21&gt;0,1,0),IF($J21&gt;0,IF(input!$N263&gt;0,input!$N263,ROUNDUP($E$2*$K21/$I21,0)),0))</f>
        <v>0</v>
      </c>
      <c r="W21" s="3709">
        <f>IF($B21&gt;0,IF($M21&gt;0,IF(input!$B$4=Data!$M$1054,MAX(Data!$R$1054*$J21,ROUNDUP($V21*$L21,0)),MAX(Data!$R$1057*$J21,ROUNDUP($V21*$L21,0))),MAX(Data!$R$1060*$J21,ROUNDUP($V21*$L21,0))),0)</f>
        <v>0</v>
      </c>
      <c r="X21" s="3709">
        <f>IF($J21&gt;0,50*SUMIFS(input!$H$412:$H$442,input!$F$412:$F$442,Paper!A21)*$J21,0)</f>
        <v>0</v>
      </c>
      <c r="Y21" s="3709">
        <f t="shared" ref="Y21" ca="1" si="42">R21*1000*H21</f>
        <v>0</v>
      </c>
      <c r="Z21" s="3709">
        <f t="shared" ref="Z21" si="43">IF(J21&gt;0,S21*AI21,0)</f>
        <v>0</v>
      </c>
      <c r="AA21" s="3709">
        <f t="shared" ref="AA21" si="44">S21-Z21</f>
        <v>0</v>
      </c>
      <c r="AB21" s="3712" t="e">
        <f>IF(input!$B$4=Data!$M$1054,IF(SUM(V21:X21)/$J21&lt;Data!$N$1054/2,SUM(V21:X21)/$J21*2,Data!$N$1054),IF(SUM(V21:X21)/$J21&lt;Data!$N$1057/2,SUM(V21:X21)/$J21*2,Data!$N$1057))</f>
        <v>#DIV/0!</v>
      </c>
      <c r="AC21" s="3709">
        <f t="shared" ref="AC21" si="45">V21+W21</f>
        <v>0</v>
      </c>
      <c r="AD21" s="3708">
        <f t="shared" ref="AD21" si="46">V21*B21*N21*O21/10^12</f>
        <v>0</v>
      </c>
      <c r="AE21" s="3708">
        <f t="shared" ref="AE21" si="47">W21*B21*N21*O21/10^12</f>
        <v>0</v>
      </c>
      <c r="AF21" s="3708">
        <f t="shared" ref="AF21" si="48">X21*B21*N21*O21/10^12</f>
        <v>0</v>
      </c>
      <c r="AG21" s="3709">
        <f t="shared" ref="AG21" si="49">AF21*H21*1000</f>
        <v>0</v>
      </c>
      <c r="AH21" s="3703">
        <f t="shared" ref="AH21" si="50">IF(J21&gt;0,AD21/R21,0)</f>
        <v>0</v>
      </c>
      <c r="AI21" s="3703">
        <f t="shared" ref="AI21" si="51">IF(J21&gt;0,AE21/R21,0)</f>
        <v>0</v>
      </c>
      <c r="AJ21" s="3703">
        <f t="shared" ref="AJ21" si="52">IF(J21&gt;0,AF21/R21,0)</f>
        <v>0</v>
      </c>
      <c r="AK21" s="3703">
        <f t="shared" ref="AK21" si="53">IF(J21&gt;0,1-(SUM(AH21:AJ21)),0)</f>
        <v>0</v>
      </c>
      <c r="AL21" s="3713">
        <f t="shared" ref="AL21" si="54">IF(J21&gt;0,IF(T21&gt;0,0,1),0)</f>
        <v>0</v>
      </c>
      <c r="AM21" s="3713" t="str">
        <f>input!O263</f>
        <v>N</v>
      </c>
      <c r="AN21" s="3713" t="str">
        <f>input!P263</f>
        <v>Roll</v>
      </c>
      <c r="AO21" s="3713" t="str">
        <f>input!$F$169</f>
        <v>N</v>
      </c>
      <c r="AP21" s="3710">
        <f>IF($G21="Import",(SUMIF(Data!$P$13:$P$822,Paper!$C21,Data!$L$13:$L$822)+IF($AM21="Y",SUMIF(Data!$P$13:$P$822,Paper!$C21,Data!$M$13:$M$822),0)+IF($AN21="Ream",SUMIF(Data!$P$13:$P$822,Paper!$C21,Data!$N$13:$N$822),0))*$K$3/1000,SUMIF(Data!$P$13:$P$822,Paper!$C21,Data!$S$13:$S$822)/1.08)</f>
        <v>0</v>
      </c>
      <c r="AQ21" s="3714">
        <f>IF($AM21="N",0,VLOOKUP($C21,Data!$P$13:$AF$822,17,0))</f>
        <v>0</v>
      </c>
      <c r="AR21" s="2746">
        <f>ROUNDUP((B21*N21*O21*SUM(V21:X21)/10^12),3)*(1+'Cost EST. GM target'!$L109)</f>
        <v>0</v>
      </c>
      <c r="AS21" s="136" t="str">
        <f t="shared" si="36"/>
        <v>khong in</v>
      </c>
      <c r="AT21" s="136">
        <f t="shared" si="37"/>
        <v>0</v>
      </c>
      <c r="AU21" s="136">
        <f ca="1">COUNTIFS($AT$7:AT21,1)</f>
        <v>1</v>
      </c>
    </row>
    <row r="22" spans="1:47" ht="16.899999999999999" customHeight="1">
      <c r="A22" s="919" t="s">
        <v>106</v>
      </c>
      <c r="B22" s="320"/>
      <c r="C22" s="320"/>
      <c r="G22" s="320"/>
      <c r="H22" s="320"/>
      <c r="I22" s="320"/>
      <c r="J22" s="320"/>
      <c r="K22" s="320"/>
      <c r="L22" s="320"/>
      <c r="M22" s="320"/>
      <c r="N22" s="320"/>
      <c r="O22" s="320"/>
      <c r="P22" s="320"/>
      <c r="Q22" s="320"/>
      <c r="R22" s="189"/>
      <c r="S22" s="347" t="s">
        <v>21</v>
      </c>
      <c r="T22" s="347">
        <f ca="1">SUM(T7:T21)*(1+$T$3)</f>
        <v>562.77484848000006</v>
      </c>
      <c r="U22" s="189"/>
      <c r="AH22" s="920" t="s">
        <v>1092</v>
      </c>
      <c r="AI22" s="920">
        <f ca="1">SUMPRODUCT(AI7:AI21,$Y$7:$Y$21)/SUM($Y$7:$Y$21)</f>
        <v>7.8952500000000009E-2</v>
      </c>
      <c r="AJ22" s="920">
        <f ca="1">SUMPRODUCT(AJ7:AJ21,$Y$7:$Y$21)/SUM($Y$7:$Y$21)</f>
        <v>1.7545000000000002E-2</v>
      </c>
      <c r="AK22" s="920">
        <f ca="1">SUMPRODUCT(AK7:AK21,$Y$7:$Y$21)/SUM($Y$7:$Y$21)</f>
        <v>2.6252500000000015E-2</v>
      </c>
      <c r="AO22" s="136" t="s">
        <v>21</v>
      </c>
      <c r="AR22" s="2746"/>
    </row>
    <row r="23" spans="1:47" ht="16.899999999999999" hidden="1" customHeight="1">
      <c r="A23" s="919"/>
      <c r="B23" s="320"/>
      <c r="C23" s="320"/>
      <c r="K23" s="136"/>
      <c r="M23" s="320"/>
      <c r="N23" s="320"/>
      <c r="O23" s="320"/>
      <c r="P23" s="320"/>
      <c r="Q23" s="320"/>
      <c r="AR23" s="2746"/>
    </row>
    <row r="24" spans="1:47" ht="16.899999999999999" hidden="1" customHeight="1">
      <c r="A24" s="314"/>
      <c r="B24" s="320"/>
      <c r="C24" s="320"/>
      <c r="K24" s="136"/>
      <c r="M24" s="320"/>
      <c r="N24" s="320"/>
      <c r="O24" s="320"/>
      <c r="P24" s="320"/>
      <c r="Q24" s="320"/>
      <c r="AR24" s="2746"/>
    </row>
    <row r="25" spans="1:47" ht="16.899999999999999" hidden="1" customHeight="1">
      <c r="A25" s="798"/>
      <c r="B25" s="798" t="s">
        <v>1271</v>
      </c>
      <c r="K25" s="136"/>
      <c r="M25" s="921"/>
      <c r="Q25" s="833"/>
      <c r="R25" s="327"/>
      <c r="S25" s="922"/>
      <c r="T25" s="922"/>
      <c r="U25" s="923"/>
      <c r="V25" s="924"/>
      <c r="AB25" s="925"/>
      <c r="AC25" s="925"/>
    </row>
    <row r="26" spans="1:47" s="402" customFormat="1" ht="23.45" hidden="1" customHeight="1">
      <c r="A26" s="926" t="s">
        <v>594</v>
      </c>
      <c r="B26" s="927" t="s">
        <v>126</v>
      </c>
      <c r="C26" s="929" t="s">
        <v>1086</v>
      </c>
      <c r="D26" s="929" t="s">
        <v>1349</v>
      </c>
      <c r="E26" s="929" t="s">
        <v>235</v>
      </c>
      <c r="F26" s="929"/>
      <c r="G26" s="930" t="s">
        <v>1099</v>
      </c>
      <c r="H26" s="926" t="s">
        <v>1258</v>
      </c>
      <c r="I26" s="926" t="s">
        <v>17</v>
      </c>
      <c r="J26" s="931" t="s">
        <v>12</v>
      </c>
      <c r="K26" s="931" t="s">
        <v>1343</v>
      </c>
      <c r="L26" s="931" t="s">
        <v>78</v>
      </c>
      <c r="M26" s="926" t="s">
        <v>1088</v>
      </c>
      <c r="N26" s="927" t="s">
        <v>212</v>
      </c>
      <c r="O26" s="926" t="s">
        <v>1089</v>
      </c>
      <c r="P26" s="927" t="s">
        <v>212</v>
      </c>
      <c r="Q26" s="930" t="s">
        <v>1090</v>
      </c>
      <c r="R26" s="930" t="s">
        <v>1073</v>
      </c>
      <c r="S26" s="930" t="s">
        <v>146</v>
      </c>
      <c r="T26" s="933" t="s">
        <v>1098</v>
      </c>
      <c r="U26" s="902" t="s">
        <v>1074</v>
      </c>
      <c r="V26" s="2525" t="s">
        <v>1075</v>
      </c>
      <c r="W26" s="2525" t="s">
        <v>1076</v>
      </c>
      <c r="X26" s="2525" t="s">
        <v>20</v>
      </c>
      <c r="Y26" s="2525" t="s">
        <v>124</v>
      </c>
      <c r="AB26" s="2151" t="s">
        <v>1273</v>
      </c>
      <c r="AC26" s="2151" t="s">
        <v>1079</v>
      </c>
      <c r="AD26" s="2151" t="s">
        <v>2389</v>
      </c>
      <c r="AL26" s="902" t="s">
        <v>1899</v>
      </c>
      <c r="AO26" s="2151" t="s">
        <v>2055</v>
      </c>
      <c r="AP26" s="2518" t="s">
        <v>2060</v>
      </c>
      <c r="AR26" s="136"/>
      <c r="AS26" s="136"/>
      <c r="AT26" s="136" t="str">
        <f t="shared" si="15"/>
        <v/>
      </c>
      <c r="AU26" s="136">
        <f ca="1">COUNTIFS($AT$7:AT26,1)</f>
        <v>1</v>
      </c>
    </row>
    <row r="27" spans="1:47" ht="16.899999999999999" hidden="1" customHeight="1" outlineLevel="1">
      <c r="A27" s="1182" t="str">
        <f>input!A281</f>
        <v>N</v>
      </c>
      <c r="B27" s="1183">
        <f>VLOOKUP(C27,Data!$P$825:$V$829,3,0)</f>
        <v>0</v>
      </c>
      <c r="C27" s="1184">
        <f>input!B281</f>
        <v>0</v>
      </c>
      <c r="D27" s="1185"/>
      <c r="E27" s="1185"/>
      <c r="F27" s="1185"/>
      <c r="G27" s="1186" t="s">
        <v>649</v>
      </c>
      <c r="H27" s="1187">
        <f>IFERROR(IF(input!D281&gt;0,input!D281,VLOOKUP(C27,Data!$P$825:$V$829,IF(G27=Data!$T$12,5,6),0)),0)</f>
        <v>0</v>
      </c>
      <c r="I27" s="2502">
        <f>input!F281</f>
        <v>0</v>
      </c>
      <c r="J27" s="2502">
        <f>input!G281</f>
        <v>0</v>
      </c>
      <c r="K27" s="2504">
        <f>input!H281</f>
        <v>0</v>
      </c>
      <c r="L27" s="1189">
        <f>IF(V27=0,0,VLOOKUP(AS27&amp;input!$B$4&amp;LOOKUP(V27,$V$1:$V$2,$W$1:$W$2),Data!$T$1054:$W$1066,4,0))</f>
        <v>0</v>
      </c>
      <c r="M27" s="1185">
        <f>input!I281</f>
        <v>0</v>
      </c>
      <c r="N27" s="1190">
        <f>input!J281</f>
        <v>0</v>
      </c>
      <c r="O27" s="1191">
        <f>input!K281</f>
        <v>0</v>
      </c>
      <c r="P27" s="2506">
        <f>input!L281</f>
        <v>0</v>
      </c>
      <c r="Q27" s="1192">
        <f>input!M281</f>
        <v>0</v>
      </c>
      <c r="R27" s="2568">
        <f>(B27*P27*Q27*(V27+W27+X27))/10^12*(1+'Cost EST. GM target'!$L105)</f>
        <v>0</v>
      </c>
      <c r="S27" s="2502">
        <f>IF($I27*$J27&gt;0,Y27/$E$1,0)</f>
        <v>0</v>
      </c>
      <c r="T27" s="2508">
        <f>S27+IF($I27*$J27&gt;0,$AD27*$AP27/$E$1,0)*$T$4</f>
        <v>0</v>
      </c>
      <c r="U27" s="2575">
        <f>IF(M27&gt;0,ROUNDUP(SUM(V27:X27)/AB27/J27,0),0)</f>
        <v>0</v>
      </c>
      <c r="V27" s="2576">
        <f>MAX(2000*$J27*IF($M27&gt;0,1,0),IF($J27&gt;0,IF(input!$N281&gt;0,input!$N281,ROUNDUP($E$2*$K27/$I27,0)),0))</f>
        <v>0</v>
      </c>
      <c r="W27" s="2576">
        <f>IF($B27&gt;0,IF($M27&gt;0,IF(input!$B$4=Data!$M$1054,MAX(Data!$R$1054*$J27,ROUNDUP($V27*$L27,0)),MAX(Data!$R$1057*$J27,ROUNDUP($V27*$L27,0))),MAX(Data!$R$1060*$J27,ROUNDUP($V27*$L27,0))),0)</f>
        <v>0</v>
      </c>
      <c r="X27" s="2576">
        <f>IF($J27&gt;0,50*SUMIFS(input!$H$412:$H$442,input!$F$412:$F$442,Paper!A27)*$J27,0)</f>
        <v>0</v>
      </c>
      <c r="Y27" s="2577">
        <f>(P27*Q27/10^6)*(1+'Cost EST. GM target'!$L105)*(V27+W27+X27)*H27</f>
        <v>0</v>
      </c>
      <c r="AB27" s="2532" t="e">
        <f>IF(input!$B$4=Data!$M$1054,IF(SUM(V27:X27)/$J27&lt;Data!$N$1054/2,SUM(V27:X27)/$J27*2,Data!$N$1054),IF(SUM(V27:X27)/$J27&lt;Data!$N$1057/2,SUM(V27:X27)/$J27*2,Data!$N$1057))</f>
        <v>#DIV/0!</v>
      </c>
      <c r="AC27" s="2538">
        <f>V27+W27</f>
        <v>0</v>
      </c>
      <c r="AD27" s="2533">
        <f>V27*N27*O27/10^12</f>
        <v>0</v>
      </c>
      <c r="AL27" s="2522">
        <f>IF(J27&gt;0,IF(T27&gt;0,0,1),0)</f>
        <v>0</v>
      </c>
      <c r="AO27" s="2522" t="str">
        <f>input!$F$289</f>
        <v>N</v>
      </c>
      <c r="AP27" s="1211">
        <f>IF($G27="Import",SUMIF(Data!$P$825:$P$829,Paper!$C27,Data!$L$825:$L$829),SUMIF(Data!$P$825:$P$829,Paper!$C27,Data!$S$825:$S$829))</f>
        <v>0</v>
      </c>
      <c r="AR27" s="833">
        <f>(B27*N27*O27*(V27+W27))/10^12*(1+'Cost EST. GM target'!$L106)</f>
        <v>0</v>
      </c>
      <c r="AT27" s="136">
        <f t="shared" ref="AT27:AT28" si="55">IF(ISNUMBER(T27),IF(T27&lt;&gt;0,IF(ISNUMBER(SEARCH("to",S27)),0,1),0),"")</f>
        <v>0</v>
      </c>
      <c r="AU27" s="136">
        <f ca="1">COUNTIFS($AT$7:AT27,1)</f>
        <v>1</v>
      </c>
    </row>
    <row r="28" spans="1:47" ht="16.899999999999999" hidden="1" customHeight="1" outlineLevel="1">
      <c r="A28" s="1193" t="str">
        <f>input!A291</f>
        <v>N</v>
      </c>
      <c r="B28" s="2497">
        <f>VLOOKUP(C28,Data!$P$825:$V$829,3,0)</f>
        <v>0</v>
      </c>
      <c r="C28" s="2498">
        <f>input!B291</f>
        <v>0</v>
      </c>
      <c r="D28" s="2499"/>
      <c r="E28" s="2499"/>
      <c r="F28" s="2499"/>
      <c r="G28" s="1194" t="s">
        <v>649</v>
      </c>
      <c r="H28" s="1195">
        <f>IFERROR(IF(input!D291&gt;0,input!D291,VLOOKUP(C28,Data!$P$825:$V$829,IF(G28=Data!$T$12,5,6),0)),0)</f>
        <v>0</v>
      </c>
      <c r="I28" s="2503">
        <f>input!F291</f>
        <v>0</v>
      </c>
      <c r="J28" s="2503">
        <f>input!G291</f>
        <v>0</v>
      </c>
      <c r="K28" s="2503">
        <f>input!H291</f>
        <v>0</v>
      </c>
      <c r="L28" s="1197">
        <f>IF(V28=0,0,VLOOKUP(AS28&amp;input!$B$4&amp;LOOKUP(V28,$V$1:$V$2,$W$1:$W$2),Data!$T$1054:$W$1066,4,0))</f>
        <v>0</v>
      </c>
      <c r="M28" s="1196">
        <f>input!I291</f>
        <v>0</v>
      </c>
      <c r="N28" s="1198">
        <f>input!J291</f>
        <v>0</v>
      </c>
      <c r="O28" s="1199">
        <f>input!K291</f>
        <v>0</v>
      </c>
      <c r="P28" s="2501">
        <f>input!L291</f>
        <v>0</v>
      </c>
      <c r="Q28" s="1200">
        <f>input!M291</f>
        <v>0</v>
      </c>
      <c r="R28" s="2567">
        <f>(B28*P28*Q28*(V28+W28+X28))/10^12*(1+'Cost EST. GM target'!$L106)</f>
        <v>0</v>
      </c>
      <c r="S28" s="2503">
        <f>IF($I28*$J28&gt;0,Y28/$E$1,0)</f>
        <v>0</v>
      </c>
      <c r="T28" s="2509">
        <f>S28+IF($I28*$J28&gt;0,$AD28*$AP28/$E$1,0)*$T$4</f>
        <v>0</v>
      </c>
      <c r="U28" s="2578">
        <f>IF(M28&gt;0,ROUNDUP(SUM(V28:X28)/AB28/J28,0),0)</f>
        <v>0</v>
      </c>
      <c r="V28" s="2579">
        <f>MAX(2000*$J28*IF($M28&gt;0,1,0),IF($J28&gt;0,IF(input!$N291&gt;0,input!$N291,ROUNDUP($E$2*$K28/$I28,0)),0))</f>
        <v>0</v>
      </c>
      <c r="W28" s="2579">
        <f>IF($B28&gt;0,IF($M28&gt;0,IF(input!$B$4=Data!$M$1054,MAX(Data!$R$1054*$J28,ROUNDUP($V28*$L28,0)),MAX(Data!$R$1057*$J28,ROUNDUP($V28*$L28,0))),MAX(Data!$R$1060*$J28,ROUNDUP($V28*$L28,0))),0)</f>
        <v>0</v>
      </c>
      <c r="X28" s="2579">
        <f>IF($J28&gt;0,50*SUMIFS(input!$H$412:$H$442,input!$F$412:$F$442,Paper!A28)*$J28,0)</f>
        <v>0</v>
      </c>
      <c r="Y28" s="2521">
        <f>(P28*Q28/10^6)*(1+'Cost EST. GM target'!$L106)*(V28+W28+X28)*H28</f>
        <v>0</v>
      </c>
      <c r="AB28" s="2534" t="e">
        <f>IF(input!$B$4=Data!$M$1054,IF(SUM(V28:X28)/$J28&lt;Data!$N$1054/2,SUM(V28:X28)/$J28*2,Data!$N$1054),IF(SUM(V28:X28)/$J28&lt;Data!$N$1057/2,SUM(V28:X28)/$J28*2,Data!$N$1057))</f>
        <v>#DIV/0!</v>
      </c>
      <c r="AC28" s="1474">
        <f>V28+W28</f>
        <v>0</v>
      </c>
      <c r="AD28" s="2535">
        <f>V28*N28*O28/10^12</f>
        <v>0</v>
      </c>
      <c r="AL28" s="2523">
        <f>IF(J28&gt;0,IF(T28&gt;0,0,1),0)</f>
        <v>0</v>
      </c>
      <c r="AO28" s="2523" t="str">
        <f>input!$F$299</f>
        <v>N</v>
      </c>
      <c r="AP28" s="1214">
        <f>IF($G28="Import",SUMIF(Data!$P$825:$P$829,Paper!$C28,Data!$L$825:$L$829),SUMIF(Data!$P$825:$P$829,Paper!$C28,Data!$S$825:$S$829))</f>
        <v>0</v>
      </c>
      <c r="AR28" s="833">
        <f>(B28*N28*O28*(V28+W28))/10^12*(1+'Cost EST. GM target'!$L107)</f>
        <v>0</v>
      </c>
      <c r="AT28" s="136">
        <f t="shared" si="55"/>
        <v>0</v>
      </c>
      <c r="AU28" s="136">
        <f ca="1">COUNTIFS($AT$7:AT28,1)</f>
        <v>1</v>
      </c>
    </row>
    <row r="29" spans="1:47" ht="16.899999999999999" hidden="1" customHeight="1" outlineLevel="1">
      <c r="A29" s="1201" t="str">
        <f>input!A301</f>
        <v>N</v>
      </c>
      <c r="B29" s="916">
        <f>VLOOKUP(C29,Data!$P$825:$V$829,3,0)</f>
        <v>0</v>
      </c>
      <c r="C29" s="917">
        <f>input!B301</f>
        <v>0</v>
      </c>
      <c r="D29" s="918"/>
      <c r="E29" s="918"/>
      <c r="F29" s="918"/>
      <c r="G29" s="1202" t="s">
        <v>649</v>
      </c>
      <c r="H29" s="1203">
        <f>IFERROR(IF(input!D301&gt;0,input!D301,VLOOKUP(C29,Data!$P$825:$V$829,IF(G29=Data!$T$12,5,6),0)),0)</f>
        <v>0</v>
      </c>
      <c r="I29" s="2505">
        <f>input!F301</f>
        <v>0</v>
      </c>
      <c r="J29" s="2505">
        <f>input!G301</f>
        <v>0</v>
      </c>
      <c r="K29" s="2505">
        <f>input!H301</f>
        <v>0</v>
      </c>
      <c r="L29" s="1205">
        <f>IF(V29=0,0,VLOOKUP(AS29&amp;input!$B$4&amp;LOOKUP(V29,$V$1:$V$2,$W$1:$W$2),Data!$T$1054:$W$1066,4,0))</f>
        <v>0</v>
      </c>
      <c r="M29" s="1204">
        <f>input!I301</f>
        <v>0</v>
      </c>
      <c r="N29" s="1206">
        <f>input!J301</f>
        <v>0</v>
      </c>
      <c r="O29" s="1207">
        <f>input!K301</f>
        <v>0</v>
      </c>
      <c r="P29" s="2507">
        <f>input!L301</f>
        <v>0</v>
      </c>
      <c r="Q29" s="1208">
        <f>input!M301</f>
        <v>0</v>
      </c>
      <c r="R29" s="2569">
        <f>(B29*P29*Q29*(V29+W29+X29))/10^12*(1+'Cost EST. GM target'!$L107)</f>
        <v>0</v>
      </c>
      <c r="S29" s="2505">
        <f>IF($I29*$J29&gt;0,Y29/$E$1,0)</f>
        <v>0</v>
      </c>
      <c r="T29" s="2510">
        <f>S29+IF($I29*$J29&gt;0,$AD29*$AP29/$E$1,0)*$T$4</f>
        <v>0</v>
      </c>
      <c r="U29" s="2580">
        <f>IF(M29&gt;0,ROUNDUP(SUM(V29:X29)/AB29/J29,0),0)</f>
        <v>0</v>
      </c>
      <c r="V29" s="2581">
        <f>MAX(2000*$J29*IF($M29&gt;0,1,0),IF($J29&gt;0,IF(input!$N301&gt;0,input!$N301,ROUNDUP($E$2*$K29/$I29,0)),0))</f>
        <v>0</v>
      </c>
      <c r="W29" s="2581">
        <f>IF($B29&gt;0,IF($M29&gt;0,IF(input!$B$4=Data!$M$1054,MAX(Data!$R$1054*$J29,ROUNDUP($V29*$L29,0)),MAX(Data!$R$1057*$J29,ROUNDUP($V29*$L29,0))),MAX(Data!$R$1060*$J29,ROUNDUP($V29*$L29,0))),0)</f>
        <v>0</v>
      </c>
      <c r="X29" s="2581">
        <f>IF($J29&gt;0,50*SUMIFS(input!$H$412:$H$442,input!$F$412:$F$442,Paper!A29)*$J29,0)</f>
        <v>0</v>
      </c>
      <c r="Y29" s="2582">
        <f>(P29*Q29/10^6)*(1+'Cost EST. GM target'!L107)*(V29+W29+X29)*H29</f>
        <v>0</v>
      </c>
      <c r="AB29" s="2536" t="e">
        <f>IF(input!$B$4=Data!$M$1054,IF(SUM(V29:X29)/$J29&lt;Data!$N$1054/2,SUM(V29:X29)/$J29*2,Data!$N$1054),IF(SUM(V29:X29)/$J29&lt;Data!$N$1057/2,SUM(V29:X29)/$J29*2,Data!$N$1057))</f>
        <v>#DIV/0!</v>
      </c>
      <c r="AC29" s="2539">
        <f>V29+W29</f>
        <v>0</v>
      </c>
      <c r="AD29" s="2537">
        <f>V29*N29*O29/10^12</f>
        <v>0</v>
      </c>
      <c r="AL29" s="2524">
        <f>IF(J29&gt;0,IF(T29&gt;0,0,1),0)</f>
        <v>0</v>
      </c>
      <c r="AO29" s="2524" t="str">
        <f>input!$F$309</f>
        <v>N</v>
      </c>
      <c r="AP29" s="2496">
        <f>IF($G29="Import",SUMIF(Data!$P$825:$P$829,Paper!$C29,Data!$L$825:$L$829),SUMIF(Data!$P$825:$P$829,Paper!$C29,Data!$S$825:$S$829))</f>
        <v>0</v>
      </c>
      <c r="AR29" s="833">
        <f>(B29*N29*O29*(V29+W29))/10^12*(1+'Cost EST. GM target'!$L108)</f>
        <v>0</v>
      </c>
      <c r="AT29" s="136">
        <f t="shared" si="15"/>
        <v>0</v>
      </c>
      <c r="AU29" s="136">
        <f ca="1">COUNTIFS($AT$7:AT29,1)</f>
        <v>1</v>
      </c>
    </row>
    <row r="30" spans="1:47" ht="16.899999999999999" hidden="1" customHeight="1" collapsed="1">
      <c r="A30" s="314"/>
      <c r="B30" s="320"/>
      <c r="C30" s="320"/>
      <c r="K30" s="136"/>
      <c r="O30" s="320"/>
      <c r="P30" s="320"/>
      <c r="Q30" s="320"/>
      <c r="S30" s="347" t="s">
        <v>21</v>
      </c>
      <c r="T30" s="935">
        <f>SUM(T27:T29)*(1+$T$3)</f>
        <v>0</v>
      </c>
      <c r="AO30" s="136" t="s">
        <v>21</v>
      </c>
      <c r="AR30" s="833"/>
    </row>
    <row r="31" spans="1:47" ht="16.899999999999999" hidden="1" customHeight="1">
      <c r="A31" s="314"/>
      <c r="B31" s="320"/>
      <c r="C31" s="320"/>
      <c r="K31" s="136"/>
      <c r="O31" s="320"/>
      <c r="P31" s="320"/>
      <c r="Q31" s="320"/>
      <c r="AR31" s="833"/>
    </row>
    <row r="32" spans="1:47" ht="16.899999999999999" hidden="1" customHeight="1">
      <c r="A32" s="798"/>
      <c r="B32" s="798" t="s">
        <v>1270</v>
      </c>
      <c r="K32" s="136"/>
      <c r="Q32" s="833"/>
      <c r="R32" s="327"/>
      <c r="S32" s="922"/>
      <c r="T32" s="922"/>
      <c r="U32" s="923"/>
      <c r="V32" s="924"/>
      <c r="X32" s="353"/>
      <c r="Z32" s="833"/>
      <c r="AR32" s="833"/>
    </row>
    <row r="33" spans="1:47" ht="23.25" hidden="1" customHeight="1">
      <c r="A33" s="936" t="s">
        <v>594</v>
      </c>
      <c r="B33" s="2527" t="s">
        <v>126</v>
      </c>
      <c r="C33" s="2526" t="s">
        <v>1086</v>
      </c>
      <c r="D33" s="2526" t="s">
        <v>1349</v>
      </c>
      <c r="E33" s="2526" t="s">
        <v>235</v>
      </c>
      <c r="F33" s="2526" t="s">
        <v>1457</v>
      </c>
      <c r="G33" s="2528" t="s">
        <v>1099</v>
      </c>
      <c r="H33" s="936" t="s">
        <v>1087</v>
      </c>
      <c r="I33" s="936" t="s">
        <v>17</v>
      </c>
      <c r="J33" s="2529" t="s">
        <v>12</v>
      </c>
      <c r="K33" s="2529" t="s">
        <v>1343</v>
      </c>
      <c r="L33" s="2529" t="s">
        <v>78</v>
      </c>
      <c r="M33" s="2529" t="s">
        <v>1100</v>
      </c>
      <c r="N33" s="2527" t="s">
        <v>212</v>
      </c>
      <c r="O33" s="936" t="s">
        <v>1089</v>
      </c>
      <c r="P33" s="2527" t="s">
        <v>212</v>
      </c>
      <c r="Q33" s="2528" t="s">
        <v>1090</v>
      </c>
      <c r="R33" s="2528" t="s">
        <v>1073</v>
      </c>
      <c r="S33" s="2528" t="s">
        <v>146</v>
      </c>
      <c r="T33" s="2530" t="s">
        <v>1098</v>
      </c>
      <c r="V33" s="2151" t="s">
        <v>1075</v>
      </c>
      <c r="W33" s="2151" t="s">
        <v>1076</v>
      </c>
      <c r="X33" s="2151" t="s">
        <v>20</v>
      </c>
      <c r="Y33" s="2151" t="s">
        <v>124</v>
      </c>
      <c r="Z33" s="383"/>
      <c r="AC33" s="2151" t="s">
        <v>1079</v>
      </c>
      <c r="AD33" s="2151" t="s">
        <v>1080</v>
      </c>
      <c r="AL33" s="902" t="s">
        <v>1899</v>
      </c>
      <c r="AM33" s="2151" t="s">
        <v>2038</v>
      </c>
      <c r="AO33" s="2151" t="s">
        <v>2055</v>
      </c>
      <c r="AP33" s="2518" t="s">
        <v>2060</v>
      </c>
      <c r="AQ33" s="2662" t="s">
        <v>2813</v>
      </c>
      <c r="AR33" s="833"/>
      <c r="AT33" s="136" t="str">
        <f t="shared" si="15"/>
        <v/>
      </c>
      <c r="AU33" s="136">
        <f ca="1">COUNTIFS($AT$7:AT33,1)</f>
        <v>1</v>
      </c>
    </row>
    <row r="34" spans="1:47" ht="16.899999999999999" hidden="1" customHeight="1" outlineLevel="1">
      <c r="A34" s="1182" t="str">
        <f>input!A312</f>
        <v>N</v>
      </c>
      <c r="B34" s="1183">
        <f>VLOOKUP(C34,Data!$P$831:$R$894,3,0)</f>
        <v>0</v>
      </c>
      <c r="C34" s="1184">
        <f>IF(F34&gt;0,D34&amp;" "&amp;E34&amp;" "&amp;F34,0)</f>
        <v>0</v>
      </c>
      <c r="D34" s="1186" t="s">
        <v>1418</v>
      </c>
      <c r="E34" s="1186">
        <f>input!B312</f>
        <v>0</v>
      </c>
      <c r="F34" s="1186">
        <f>input!C312</f>
        <v>0</v>
      </c>
      <c r="G34" s="1186" t="str">
        <f>input!E312</f>
        <v>Import</v>
      </c>
      <c r="H34" s="2502">
        <f>IFERROR(IF(input!D312&gt;0,input!D312,VLOOKUP($C34,Data!$P$831:$V$894,IF($G34=Data!$T$12,5,6),0)),0)+IF($G34="Import",IF($AM34="Y",SUMIF(Data!$P$831:$P$894,Paper!$C34,Data!$AD$831:$AD$894),0))</f>
        <v>0</v>
      </c>
      <c r="I34" s="2502">
        <f>input!F312</f>
        <v>0</v>
      </c>
      <c r="J34" s="2502">
        <f>input!G312</f>
        <v>0</v>
      </c>
      <c r="K34" s="2504">
        <f>input!H312</f>
        <v>0</v>
      </c>
      <c r="L34" s="1189">
        <f>IF(M34=$A$22,Data!$Q$1061,VLOOKUP(M34,$A$7:$AC$21,12,0))</f>
        <v>0.03</v>
      </c>
      <c r="M34" s="1215" t="str">
        <f>input!I312</f>
        <v>N</v>
      </c>
      <c r="N34" s="1190">
        <f>input!J312</f>
        <v>0</v>
      </c>
      <c r="O34" s="1191">
        <f>input!K312</f>
        <v>0</v>
      </c>
      <c r="P34" s="2506">
        <f>input!L312</f>
        <v>0</v>
      </c>
      <c r="Q34" s="2506">
        <f>input!M312</f>
        <v>0</v>
      </c>
      <c r="R34" s="2568">
        <f>(B34*P34*Q34*(V34+W34))/10^12*(1+'Cost EST. GM target'!$L108)</f>
        <v>0</v>
      </c>
      <c r="S34" s="2502">
        <f>IF($I34*$J34&gt;0,Y34/$E$1,0)</f>
        <v>0</v>
      </c>
      <c r="T34" s="2508">
        <f>S34+IF($I34*$J34&gt;0,$AD34*$AP34*1000/$E$1,0)*$T$4</f>
        <v>0</v>
      </c>
      <c r="V34" s="2515">
        <f>IF($J34&gt;0,ROUNDUP($E$2*$K34/$I34,0),0)*$J34</f>
        <v>0</v>
      </c>
      <c r="W34" s="2516">
        <f>IF($V34&gt;0,IF($L34=Data!$Q$1061,MAX($V34*$L34,Data!$R$1061*$J34),VLOOKUP($M34,$A$7:$W$22,23,0)),0)</f>
        <v>0</v>
      </c>
      <c r="X34" s="2516">
        <v>0</v>
      </c>
      <c r="Y34" s="2564">
        <f>R34*H34*1000</f>
        <v>0</v>
      </c>
      <c r="Z34" s="383"/>
      <c r="AC34" s="2532">
        <f>V34+W34</f>
        <v>0</v>
      </c>
      <c r="AD34" s="2533">
        <f>V34*B34*N34*O34/10^12</f>
        <v>0</v>
      </c>
      <c r="AL34" s="2522">
        <f>IF(J34&gt;0,IF(T34&gt;0,0,1),0)</f>
        <v>0</v>
      </c>
      <c r="AM34" s="1211" t="str">
        <f>input!O312</f>
        <v>N</v>
      </c>
      <c r="AO34" s="2522" t="str">
        <f>input!$F$313</f>
        <v>N</v>
      </c>
      <c r="AP34" s="2522">
        <f>IF($G34="Import",(SUMIF(Data!$P$831:$P$894,Paper!$C34,Data!$L$831:$L$894)+IF($AM34="Y",SUMIF(Data!$P$831:$P$894,Paper!$C34,Data!$M$831:$M$894),0))*$K$3/1000,SUMIF(Data!$P$831:$P$894,Paper!$C34,Data!$S$831:$S$894)/1.08)</f>
        <v>0</v>
      </c>
      <c r="AQ34" s="2522">
        <f>IF($AM34="N",0,VLOOKUP($C34,Data!$P$831:$AF$894,17,0))</f>
        <v>0</v>
      </c>
      <c r="AR34" s="833">
        <f>(B34*N34*O34*(V34+W34))/10^12*(1+'Cost EST. GM target'!$L113)</f>
        <v>0</v>
      </c>
      <c r="AT34" s="136">
        <f t="shared" si="15"/>
        <v>0</v>
      </c>
      <c r="AU34" s="136">
        <f ca="1">COUNTIFS($AT$7:AT34,1)</f>
        <v>1</v>
      </c>
    </row>
    <row r="35" spans="1:47" ht="16.899999999999999" hidden="1" customHeight="1" outlineLevel="1">
      <c r="A35" s="1193" t="str">
        <f>input!A315</f>
        <v>N</v>
      </c>
      <c r="B35" s="2497">
        <f>VLOOKUP(C35,Data!$P$831:$R$894,3,0)</f>
        <v>0</v>
      </c>
      <c r="C35" s="2498">
        <f>IF(F35&gt;0,D35&amp;" "&amp;E35&amp;" "&amp;F35,0)</f>
        <v>0</v>
      </c>
      <c r="D35" s="1194" t="s">
        <v>1418</v>
      </c>
      <c r="E35" s="1194">
        <f>input!B315</f>
        <v>0</v>
      </c>
      <c r="F35" s="1194">
        <f>input!C315</f>
        <v>0</v>
      </c>
      <c r="G35" s="1194" t="str">
        <f>input!E315</f>
        <v>Import</v>
      </c>
      <c r="H35" s="2503">
        <f>IFERROR(IF(input!D315&gt;0,input!D315,VLOOKUP($C35,Data!$P$831:$V$894,IF($G35=Data!$T$12,5,6),0)),0)+IF($G35="Import",IF($AM35="Y",SUMIF(Data!$P$831:$P$894,Paper!$C35,Data!$AD$831:$AD$894),0))</f>
        <v>0</v>
      </c>
      <c r="I35" s="2503">
        <f>input!F315</f>
        <v>0</v>
      </c>
      <c r="J35" s="2503">
        <f>input!G315</f>
        <v>0</v>
      </c>
      <c r="K35" s="2503">
        <f>input!H315</f>
        <v>0</v>
      </c>
      <c r="L35" s="1197">
        <f>IF(M35=$A$22,Data!$Q$1061,VLOOKUP(M35,$A$7:$AC$21,12,0))</f>
        <v>0.03</v>
      </c>
      <c r="M35" s="2513" t="str">
        <f>input!I315</f>
        <v>N</v>
      </c>
      <c r="N35" s="1198">
        <f>input!J315</f>
        <v>0</v>
      </c>
      <c r="O35" s="1199">
        <f>input!K315</f>
        <v>0</v>
      </c>
      <c r="P35" s="2501">
        <f>input!L315</f>
        <v>0</v>
      </c>
      <c r="Q35" s="2501">
        <f>input!M315</f>
        <v>0</v>
      </c>
      <c r="R35" s="2570">
        <f>(B35*P35*Q35*(V35+W35))/10^12*(1+'Cost EST. GM target'!$L109)</f>
        <v>0</v>
      </c>
      <c r="S35" s="2503">
        <f t="shared" ref="S35:S41" si="56">IF($I35*$J35&gt;0,Y35/$E$1,0)</f>
        <v>0</v>
      </c>
      <c r="T35" s="2509">
        <f t="shared" ref="T35:T41" si="57">S35+IF($I35*$J35&gt;0,$AD35*$AP35*1000/$E$1,0)*$T$4</f>
        <v>0</v>
      </c>
      <c r="V35" s="2517">
        <f>IF($J35&gt;0,ROUNDUP($E$2*$K35/$I35,0),0)*$J35</f>
        <v>0</v>
      </c>
      <c r="W35" s="2514">
        <f>IF($V35&gt;0,IF($L35=Data!$Q$1061,MAX($V35*$L35,Data!$R$1061*$J35),VLOOKUP($M35,$A$7:$W$22,23,0)),0)</f>
        <v>0</v>
      </c>
      <c r="X35" s="2514">
        <v>0</v>
      </c>
      <c r="Y35" s="2565">
        <f>R35*H35*1000</f>
        <v>0</v>
      </c>
      <c r="AC35" s="2534">
        <f>V35+W35</f>
        <v>0</v>
      </c>
      <c r="AD35" s="2535">
        <f>V35*B35*N35*O35/10^12</f>
        <v>0</v>
      </c>
      <c r="AL35" s="2523">
        <f>IF(J35&gt;0,IF(T35&gt;0,0,1),0)</f>
        <v>0</v>
      </c>
      <c r="AM35" s="1214" t="str">
        <f>input!O315</f>
        <v>N</v>
      </c>
      <c r="AO35" s="2523" t="str">
        <f>input!$F$316</f>
        <v>N</v>
      </c>
      <c r="AP35" s="2523">
        <f>IF($G35="Import",(SUMIF(Data!$P$831:$P$894,Paper!$C35,Data!$L$831:$L$894)+IF($AM35="Y",SUMIF(Data!$P$831:$P$894,Paper!$C35,Data!$M$831:$M$894),0))*$K$3/1000,SUMIF(Data!$P$831:$P$894,Paper!$C35,Data!$S$831:$S$894)/1.08)</f>
        <v>0</v>
      </c>
      <c r="AQ35" s="2523">
        <f>IF($AM35="N",0,VLOOKUP($C35,Data!$P$831:$AF$894,17,0))</f>
        <v>0</v>
      </c>
      <c r="AR35" s="833">
        <f>(B35*N35*O35*(V35+W35))/10^12*(1+'Cost EST. GM target'!$L114)</f>
        <v>0</v>
      </c>
      <c r="AT35" s="136">
        <f t="shared" si="15"/>
        <v>0</v>
      </c>
      <c r="AU35" s="136">
        <f ca="1">COUNTIFS($AT$7:AT35,1)</f>
        <v>1</v>
      </c>
    </row>
    <row r="36" spans="1:47" ht="16.899999999999999" hidden="1" customHeight="1" outlineLevel="1">
      <c r="A36" s="1193" t="str">
        <f>input!A318</f>
        <v>N</v>
      </c>
      <c r="B36" s="2497">
        <f>VLOOKUP(C36,Data!$P$831:$R$894,3,0)</f>
        <v>0</v>
      </c>
      <c r="C36" s="2498">
        <f>IF(F36&gt;0,D36&amp;" "&amp;E36&amp;" "&amp;F36,0)</f>
        <v>0</v>
      </c>
      <c r="D36" s="1194" t="s">
        <v>1418</v>
      </c>
      <c r="E36" s="1194">
        <f>input!B318</f>
        <v>0</v>
      </c>
      <c r="F36" s="1194">
        <f>input!C318</f>
        <v>0</v>
      </c>
      <c r="G36" s="1194" t="str">
        <f>input!E318</f>
        <v>Import</v>
      </c>
      <c r="H36" s="2503">
        <f>IFERROR(IF(input!D318&gt;0,input!D318,VLOOKUP($C36,Data!$P$831:$V$894,IF($G36=Data!$T$12,5,6),0)),0)+IF($G36="Import",IF($AM36="Y",SUMIF(Data!$P$831:$P$894,Paper!$C36,Data!$AD$831:$AD$894),0))</f>
        <v>0</v>
      </c>
      <c r="I36" s="2503">
        <f>input!F318</f>
        <v>0</v>
      </c>
      <c r="J36" s="2503">
        <f>input!G318</f>
        <v>0</v>
      </c>
      <c r="K36" s="2503">
        <f>input!H318</f>
        <v>0</v>
      </c>
      <c r="L36" s="1197">
        <f>IF(M36=$A$22,Data!$Q$1061,VLOOKUP(M36,$A$7:$AC$21,12,0))</f>
        <v>0.03</v>
      </c>
      <c r="M36" s="2513" t="str">
        <f>input!I318</f>
        <v>N</v>
      </c>
      <c r="N36" s="1198">
        <f>input!J318</f>
        <v>0</v>
      </c>
      <c r="O36" s="1199">
        <f>input!K318</f>
        <v>0</v>
      </c>
      <c r="P36" s="2501">
        <f>input!L318</f>
        <v>0</v>
      </c>
      <c r="Q36" s="2501">
        <f>input!M318</f>
        <v>0</v>
      </c>
      <c r="R36" s="2570">
        <f>(B36*P36*Q36*(V36+W36))/10^12*(1+'Cost EST. GM target'!$L110)</f>
        <v>0</v>
      </c>
      <c r="S36" s="2503">
        <f t="shared" si="56"/>
        <v>0</v>
      </c>
      <c r="T36" s="2509">
        <f t="shared" si="57"/>
        <v>0</v>
      </c>
      <c r="V36" s="2517">
        <f>IF($J36&gt;0,ROUNDUP($E$2*$K36/$I36,0),0)*$J36</f>
        <v>0</v>
      </c>
      <c r="W36" s="2514">
        <f>IF($V36&gt;0,IF($L36=Data!$Q$1061,MAX($V36*$L36,Data!$R$1061*$J36),VLOOKUP($M36,$A$7:$W$22,23,0)),0)</f>
        <v>0</v>
      </c>
      <c r="X36" s="2514">
        <v>0</v>
      </c>
      <c r="Y36" s="2565">
        <f>R36*H36*1000</f>
        <v>0</v>
      </c>
      <c r="AC36" s="2534">
        <f>V36+W36</f>
        <v>0</v>
      </c>
      <c r="AD36" s="2535">
        <f>V36*B36*N36*O36/10^12</f>
        <v>0</v>
      </c>
      <c r="AL36" s="2523">
        <f t="shared" ref="AL36:AL41" si="58">IF(J36&gt;0,IF(T36&gt;0,0,1),0)</f>
        <v>0</v>
      </c>
      <c r="AM36" s="1214" t="str">
        <f>input!O318</f>
        <v>N</v>
      </c>
      <c r="AO36" s="2523" t="str">
        <f>input!$F$319</f>
        <v>N</v>
      </c>
      <c r="AP36" s="2523">
        <f>IF($G36="Import",(SUMIF(Data!$P$831:$P$894,Paper!$C36,Data!$L$831:$L$894)+IF($AM36="Y",SUMIF(Data!$P$831:$P$894,Paper!$C36,Data!$M$831:$M$894),0))*$K$3/1000,SUMIF(Data!$P$831:$P$894,Paper!$C36,Data!$S$831:$S$894)/1.08)</f>
        <v>0</v>
      </c>
      <c r="AQ36" s="2523">
        <f>IF($AM36="N",0,VLOOKUP($C36,Data!$P$831:$AF$894,17,0))</f>
        <v>0</v>
      </c>
      <c r="AR36" s="833">
        <f>(B36*N36*O36*(V36+W36))/10^12*(1+'Cost EST. GM target'!$L115)</f>
        <v>0</v>
      </c>
      <c r="AT36" s="136">
        <f t="shared" si="15"/>
        <v>0</v>
      </c>
      <c r="AU36" s="136">
        <f ca="1">COUNTIFS($AT$7:AT36,1)</f>
        <v>1</v>
      </c>
    </row>
    <row r="37" spans="1:47" ht="16.899999999999999" hidden="1" customHeight="1" outlineLevel="1">
      <c r="A37" s="1193" t="str">
        <f>input!A321</f>
        <v>N</v>
      </c>
      <c r="B37" s="2497">
        <f>VLOOKUP(C37,Data!$P$831:$R$894,3,0)</f>
        <v>0</v>
      </c>
      <c r="C37" s="2498">
        <f>IF(F37&gt;0,D37&amp;" "&amp;E37&amp;" "&amp;F37,0)</f>
        <v>0</v>
      </c>
      <c r="D37" s="1194" t="s">
        <v>1418</v>
      </c>
      <c r="E37" s="1194">
        <f>input!B321</f>
        <v>0</v>
      </c>
      <c r="F37" s="1194">
        <f>input!C321</f>
        <v>0</v>
      </c>
      <c r="G37" s="1194" t="str">
        <f>input!E321</f>
        <v>Import</v>
      </c>
      <c r="H37" s="2503">
        <f>IFERROR(IF(input!D321&gt;0,input!D321,VLOOKUP($C37,Data!$P$831:$V$894,IF($G37=Data!$T$12,5,6),0)),0)++IF($G37="Import",IF($AM37="Y",SUMIF(Data!$P$831:$P$894,Paper!$C37,Data!$AD$831:$AD$894),0))</f>
        <v>0</v>
      </c>
      <c r="I37" s="2503">
        <f>input!F321</f>
        <v>0</v>
      </c>
      <c r="J37" s="2503">
        <f>input!G321</f>
        <v>0</v>
      </c>
      <c r="K37" s="2503">
        <f>input!H321</f>
        <v>0</v>
      </c>
      <c r="L37" s="1197">
        <f>IF(M37=$A$22,Data!$Q$1061,VLOOKUP(M37,$A$7:$AC$21,12,0))</f>
        <v>0.03</v>
      </c>
      <c r="M37" s="2513" t="str">
        <f>input!I321</f>
        <v>N</v>
      </c>
      <c r="N37" s="1198">
        <f>input!J321</f>
        <v>0</v>
      </c>
      <c r="O37" s="1199">
        <f>input!K321</f>
        <v>0</v>
      </c>
      <c r="P37" s="2501">
        <f>input!L321</f>
        <v>0</v>
      </c>
      <c r="Q37" s="2501">
        <f>input!M321</f>
        <v>0</v>
      </c>
      <c r="R37" s="2570">
        <f>(B37*P37*Q37*(V37+W37))/10^12*(1+'Cost EST. GM target'!$L111)</f>
        <v>0</v>
      </c>
      <c r="S37" s="2503">
        <f t="shared" si="56"/>
        <v>0</v>
      </c>
      <c r="T37" s="2509">
        <f t="shared" si="57"/>
        <v>0</v>
      </c>
      <c r="V37" s="2517">
        <f>IF($J37&gt;0,ROUNDUP($E$2*$K37/$I37,0),0)*$J37</f>
        <v>0</v>
      </c>
      <c r="W37" s="2514">
        <f>IF($V37&gt;0,IF($L37=Data!$Q$1061,MAX($V37*$L37,Data!$R$1061*$J37),VLOOKUP($M37,$A$7:$W$22,23,0)),0)</f>
        <v>0</v>
      </c>
      <c r="X37" s="2514">
        <v>0</v>
      </c>
      <c r="Y37" s="2565">
        <f>R37*H37*1000</f>
        <v>0</v>
      </c>
      <c r="AC37" s="2534">
        <f>V37+W37</f>
        <v>0</v>
      </c>
      <c r="AD37" s="2535">
        <f>V37*B37*N37*O37/10^12</f>
        <v>0</v>
      </c>
      <c r="AL37" s="2523">
        <f t="shared" si="58"/>
        <v>0</v>
      </c>
      <c r="AM37" s="1214" t="str">
        <f>input!O321</f>
        <v>N</v>
      </c>
      <c r="AO37" s="2523" t="str">
        <f>input!$F$322</f>
        <v>N</v>
      </c>
      <c r="AP37" s="2523">
        <f>IF($G37="Import",(SUMIF(Data!$P$831:$P$894,Paper!$C37,Data!$L$831:$L$894)+IF($AM37="Y",SUMIF(Data!$P$831:$P$894,Paper!$C37,Data!$M$831:$M$894),0))*$K$3/1000,SUMIF(Data!$P$831:$P$894,Paper!$C37,Data!$S$831:$S$894)/1.08)</f>
        <v>0</v>
      </c>
      <c r="AQ37" s="2523">
        <f>IF($AM37="N",0,VLOOKUP($C37,Data!$P$831:$AF$894,17,0))</f>
        <v>0</v>
      </c>
      <c r="AR37" s="833">
        <f>(B37*N37*O37*(V37+W37))/10^12*(1+'Cost EST. GM target'!$L116)</f>
        <v>0</v>
      </c>
      <c r="AT37" s="136">
        <f t="shared" si="15"/>
        <v>0</v>
      </c>
      <c r="AU37" s="136">
        <f ca="1">COUNTIFS($AT$7:AT37,1)</f>
        <v>1</v>
      </c>
    </row>
    <row r="38" spans="1:47" ht="16.899999999999999" hidden="1" customHeight="1" outlineLevel="1">
      <c r="A38" s="1193" t="str">
        <f>input!A324</f>
        <v>N</v>
      </c>
      <c r="B38" s="2497">
        <f>VLOOKUP(C38,Data!$P$831:$R$894,3,0)</f>
        <v>0</v>
      </c>
      <c r="C38" s="2498">
        <f t="shared" ref="C38:C41" si="59">IF(F38&gt;0,D38&amp;" "&amp;E38&amp;" "&amp;F38,0)</f>
        <v>0</v>
      </c>
      <c r="D38" s="1194" t="s">
        <v>1418</v>
      </c>
      <c r="E38" s="1194">
        <f>input!B324</f>
        <v>0</v>
      </c>
      <c r="F38" s="1194">
        <f>input!C324</f>
        <v>0</v>
      </c>
      <c r="G38" s="1194" t="str">
        <f>input!E324</f>
        <v>Import</v>
      </c>
      <c r="H38" s="2503">
        <f>IFERROR(IF(input!D324&gt;0,input!D324,VLOOKUP($C38,Data!$P$831:$V$894,IF($G38=Data!$T$12,5,6),0)),0)+IF($G38="Import",IF($AM38="Y",SUMIF(Data!$P$831:$P$894,Paper!$C38,Data!$AD$831:$AD$894),0))</f>
        <v>0</v>
      </c>
      <c r="I38" s="2503">
        <f>input!F324</f>
        <v>0</v>
      </c>
      <c r="J38" s="2503">
        <f>input!G324</f>
        <v>0</v>
      </c>
      <c r="K38" s="2503">
        <f>input!H324</f>
        <v>0</v>
      </c>
      <c r="L38" s="1197">
        <f>IF(M38=$A$22,Data!$Q$1061,VLOOKUP(M38,$A$7:$AC$21,12,0))</f>
        <v>0.03</v>
      </c>
      <c r="M38" s="2513" t="str">
        <f>input!I324</f>
        <v>N</v>
      </c>
      <c r="N38" s="1198">
        <f>input!J324</f>
        <v>0</v>
      </c>
      <c r="O38" s="1199">
        <f>input!K324</f>
        <v>0</v>
      </c>
      <c r="P38" s="2501">
        <f>input!L324</f>
        <v>0</v>
      </c>
      <c r="Q38" s="2501">
        <f>input!M324</f>
        <v>0</v>
      </c>
      <c r="R38" s="2570">
        <f>(B38*P38*Q38*(V38+W38))/10^12*(1+'Cost EST. GM target'!$L112)</f>
        <v>0</v>
      </c>
      <c r="S38" s="2503">
        <f t="shared" si="56"/>
        <v>0</v>
      </c>
      <c r="T38" s="2509">
        <f t="shared" si="57"/>
        <v>0</v>
      </c>
      <c r="V38" s="2517">
        <f t="shared" ref="V38:V48" si="60">IF($J38&gt;0,ROUNDUP($E$2*$K38/$I38,0),0)*$J38</f>
        <v>0</v>
      </c>
      <c r="W38" s="2514">
        <f>IF($V38&gt;0,IF($L38=Data!$Q$1061,MAX($V38*$L38,Data!$R$1061*$J38),VLOOKUP($M38,$A$7:$W$22,23,0)),0)</f>
        <v>0</v>
      </c>
      <c r="X38" s="2514">
        <v>0</v>
      </c>
      <c r="Y38" s="2565">
        <f t="shared" ref="Y38:Y41" si="61">R38*H38*1000</f>
        <v>0</v>
      </c>
      <c r="AC38" s="2534">
        <f t="shared" ref="AC38:AC41" si="62">V38+W38</f>
        <v>0</v>
      </c>
      <c r="AD38" s="2535">
        <f t="shared" ref="AD38:AD41" si="63">V38*B38*N38*O38/10^12</f>
        <v>0</v>
      </c>
      <c r="AL38" s="2523">
        <f t="shared" si="58"/>
        <v>0</v>
      </c>
      <c r="AM38" s="1214" t="str">
        <f>input!O324</f>
        <v>N</v>
      </c>
      <c r="AO38" s="2523" t="str">
        <f>input!$F$325</f>
        <v>N</v>
      </c>
      <c r="AP38" s="2523">
        <f>IF($G38="Import",(SUMIF(Data!$P$831:$P$894,Paper!$C38,Data!$L$831:$L$894)+IF($AM38="Y",SUMIF(Data!$P$831:$P$894,Paper!$C38,Data!$M$831:$M$894),0))*$K$3/1000,SUMIF(Data!$P$831:$P$894,Paper!$C38,Data!$S$831:$S$894)/1.08)</f>
        <v>0</v>
      </c>
      <c r="AQ38" s="2523">
        <f>IF($AM38="N",0,VLOOKUP($C38,Data!$P$831:$AF$894,17,0))</f>
        <v>0</v>
      </c>
      <c r="AR38" s="833">
        <f>(B38*N38*O38*(V38+W38))/10^12*(1+'Cost EST. GM target'!$L117)</f>
        <v>0</v>
      </c>
      <c r="AT38" s="136">
        <f t="shared" si="15"/>
        <v>0</v>
      </c>
      <c r="AU38" s="136">
        <f ca="1">COUNTIFS($AT$7:AT38,1)</f>
        <v>1</v>
      </c>
    </row>
    <row r="39" spans="1:47" ht="16.899999999999999" hidden="1" customHeight="1" outlineLevel="1">
      <c r="A39" s="1193" t="str">
        <f>input!A327</f>
        <v>N</v>
      </c>
      <c r="B39" s="2497">
        <f>VLOOKUP(C39,Data!$P$831:$R$894,3,0)</f>
        <v>0</v>
      </c>
      <c r="C39" s="2498">
        <f t="shared" si="59"/>
        <v>0</v>
      </c>
      <c r="D39" s="1194" t="s">
        <v>1418</v>
      </c>
      <c r="E39" s="1194">
        <f>input!B327</f>
        <v>0</v>
      </c>
      <c r="F39" s="1194">
        <f>input!C327</f>
        <v>0</v>
      </c>
      <c r="G39" s="1194" t="str">
        <f>input!E327</f>
        <v>Import</v>
      </c>
      <c r="H39" s="2503">
        <f>IFERROR(IF(input!D327&gt;0,input!D327,VLOOKUP($C39,Data!$P$831:$V$894,IF($G39=Data!$T$12,5,6),0)),0)+IF($G39="Import",IF($AM39="Y",SUMIF(Data!$P$831:$P$894,Paper!$C39,Data!$AD$831:$AD$894),0))</f>
        <v>0</v>
      </c>
      <c r="I39" s="2503">
        <f>input!F327</f>
        <v>0</v>
      </c>
      <c r="J39" s="2503">
        <f>input!G327</f>
        <v>0</v>
      </c>
      <c r="K39" s="2503">
        <f>input!H327</f>
        <v>0</v>
      </c>
      <c r="L39" s="1197">
        <f>IF(M39=$A$22,Data!$Q$1061,VLOOKUP(M39,$A$7:$AC$21,12,0))</f>
        <v>0.03</v>
      </c>
      <c r="M39" s="2513" t="str">
        <f>input!I327</f>
        <v>N</v>
      </c>
      <c r="N39" s="1198">
        <f>input!J327</f>
        <v>0</v>
      </c>
      <c r="O39" s="1199">
        <f>input!K327</f>
        <v>0</v>
      </c>
      <c r="P39" s="2501">
        <f>input!L327</f>
        <v>0</v>
      </c>
      <c r="Q39" s="2501">
        <f>input!M327</f>
        <v>0</v>
      </c>
      <c r="R39" s="2570">
        <f>(B39*P39*Q39*(V39+W39))/10^12*(1+'Cost EST. GM target'!$L113)</f>
        <v>0</v>
      </c>
      <c r="S39" s="2503">
        <f t="shared" si="56"/>
        <v>0</v>
      </c>
      <c r="T39" s="2509">
        <f t="shared" si="57"/>
        <v>0</v>
      </c>
      <c r="V39" s="2517">
        <f t="shared" si="60"/>
        <v>0</v>
      </c>
      <c r="W39" s="2514">
        <f>IF($V39&gt;0,IF($L39=Data!$Q$1061,MAX($V39*$L39,Data!$R$1061*$J39),VLOOKUP($M39,$A$7:$W$22,23,0)),0)</f>
        <v>0</v>
      </c>
      <c r="X39" s="2514">
        <v>0</v>
      </c>
      <c r="Y39" s="2565">
        <f t="shared" si="61"/>
        <v>0</v>
      </c>
      <c r="AC39" s="2534">
        <f t="shared" si="62"/>
        <v>0</v>
      </c>
      <c r="AD39" s="2535">
        <f t="shared" si="63"/>
        <v>0</v>
      </c>
      <c r="AL39" s="2523">
        <f t="shared" si="58"/>
        <v>0</v>
      </c>
      <c r="AM39" s="1214" t="str">
        <f>input!O327</f>
        <v>N</v>
      </c>
      <c r="AO39" s="2523" t="str">
        <f>input!$F$328</f>
        <v>N</v>
      </c>
      <c r="AP39" s="2523">
        <f>IF($G39="Import",(SUMIF(Data!$P$831:$P$894,Paper!$C39,Data!$L$831:$L$894)+IF($AM39="Y",SUMIF(Data!$P$831:$P$894,Paper!$C39,Data!$M$831:$M$894),0))*$K$3/1000,SUMIF(Data!$P$831:$P$894,Paper!$C39,Data!$S$831:$S$894)/1.08)</f>
        <v>0</v>
      </c>
      <c r="AQ39" s="2523">
        <f>IF($AM39="N",0,VLOOKUP($C39,Data!$P$831:$AF$894,17,0))</f>
        <v>0</v>
      </c>
      <c r="AR39" s="833">
        <f>(B39*N39*O39*(V39+W39))/10^12*(1+'Cost EST. GM target'!$L118)</f>
        <v>0</v>
      </c>
      <c r="AT39" s="136">
        <f t="shared" si="15"/>
        <v>0</v>
      </c>
      <c r="AU39" s="136">
        <f ca="1">COUNTIFS($AT$7:AT39,1)</f>
        <v>1</v>
      </c>
    </row>
    <row r="40" spans="1:47" ht="16.899999999999999" hidden="1" customHeight="1" outlineLevel="1">
      <c r="A40" s="1193" t="str">
        <f>input!A330</f>
        <v>N</v>
      </c>
      <c r="B40" s="2497">
        <f>VLOOKUP(C40,Data!$P$831:$R$894,3,0)</f>
        <v>0</v>
      </c>
      <c r="C40" s="2498">
        <f t="shared" si="59"/>
        <v>0</v>
      </c>
      <c r="D40" s="1194" t="s">
        <v>1418</v>
      </c>
      <c r="E40" s="1194">
        <f>input!B330</f>
        <v>0</v>
      </c>
      <c r="F40" s="1194">
        <f>input!C330</f>
        <v>0</v>
      </c>
      <c r="G40" s="1194" t="str">
        <f>input!E330</f>
        <v>Import</v>
      </c>
      <c r="H40" s="2503">
        <f>IFERROR(IF(input!D330&gt;0,input!D330,VLOOKUP($C40,Data!$P$831:$V$894,IF($G40=Data!$T$12,5,6),0)),0)+IF($G40="Import",IF($AM40="Y",SUMIF(Data!$P$831:$P$894,Paper!$C40,Data!$AD$831:$AD$894),0))</f>
        <v>0</v>
      </c>
      <c r="I40" s="2503">
        <f>input!F330</f>
        <v>0</v>
      </c>
      <c r="J40" s="2503">
        <f>input!G330</f>
        <v>0</v>
      </c>
      <c r="K40" s="2503">
        <f>input!H330</f>
        <v>0</v>
      </c>
      <c r="L40" s="1197">
        <f>IF(M40=$A$22,Data!$Q$1061,VLOOKUP(M40,$A$7:$AC$21,12,0))</f>
        <v>0.03</v>
      </c>
      <c r="M40" s="2513" t="str">
        <f>input!I330</f>
        <v>N</v>
      </c>
      <c r="N40" s="1198">
        <f>input!J330</f>
        <v>0</v>
      </c>
      <c r="O40" s="1199">
        <f>input!K330</f>
        <v>0</v>
      </c>
      <c r="P40" s="2501">
        <f>input!L330</f>
        <v>0</v>
      </c>
      <c r="Q40" s="2501">
        <f>input!M330</f>
        <v>0</v>
      </c>
      <c r="R40" s="2570">
        <f>(B40*P40*Q40*(V40+W40))/10^12*(1+'Cost EST. GM target'!$L114)</f>
        <v>0</v>
      </c>
      <c r="S40" s="2503">
        <f t="shared" si="56"/>
        <v>0</v>
      </c>
      <c r="T40" s="2509">
        <f t="shared" si="57"/>
        <v>0</v>
      </c>
      <c r="V40" s="2517">
        <f t="shared" si="60"/>
        <v>0</v>
      </c>
      <c r="W40" s="2514">
        <f>IF($V40&gt;0,IF($L40=Data!$Q$1061,MAX($V40*$L40,Data!$R$1061*$J40),VLOOKUP($M40,$A$7:$W$22,23,0)),0)</f>
        <v>0</v>
      </c>
      <c r="X40" s="2514">
        <v>0</v>
      </c>
      <c r="Y40" s="2565">
        <f t="shared" si="61"/>
        <v>0</v>
      </c>
      <c r="AC40" s="2534">
        <f t="shared" si="62"/>
        <v>0</v>
      </c>
      <c r="AD40" s="2535">
        <f t="shared" si="63"/>
        <v>0</v>
      </c>
      <c r="AL40" s="2523">
        <f t="shared" si="58"/>
        <v>0</v>
      </c>
      <c r="AM40" s="1214" t="str">
        <f>input!O330</f>
        <v>N</v>
      </c>
      <c r="AO40" s="2523" t="str">
        <f>input!$F$328</f>
        <v>N</v>
      </c>
      <c r="AP40" s="2523">
        <f>IF($G40="Import",(SUMIF(Data!$P$831:$P$894,Paper!$C40,Data!$L$831:$L$894)+IF($AM40="Y",SUMIF(Data!$P$831:$P$894,Paper!$C40,Data!$M$831:$M$894),0))*$K$3/1000,SUMIF(Data!$P$831:$P$894,Paper!$C40,Data!$S$831:$S$894)/1.08)</f>
        <v>0</v>
      </c>
      <c r="AQ40" s="2523">
        <f>IF($AM40="N",0,VLOOKUP($C40,Data!$P$831:$AF$894,17,0))</f>
        <v>0</v>
      </c>
      <c r="AR40" s="833">
        <f>(B40*N40*O40*(V40+W40))/10^12*(1+'Cost EST. GM target'!$L119)</f>
        <v>0</v>
      </c>
      <c r="AT40" s="136">
        <f t="shared" si="15"/>
        <v>0</v>
      </c>
      <c r="AU40" s="136">
        <f ca="1">COUNTIFS($AT$7:AT40,1)</f>
        <v>1</v>
      </c>
    </row>
    <row r="41" spans="1:47" ht="16.899999999999999" hidden="1" customHeight="1" outlineLevel="1">
      <c r="A41" s="1193" t="str">
        <f ca="1">OFFSET(input!A$333,$U41,0)</f>
        <v>N</v>
      </c>
      <c r="B41" s="2497">
        <f ca="1">VLOOKUP(C41,Data!$P$831:$R$894,3,0)</f>
        <v>0</v>
      </c>
      <c r="C41" s="2498">
        <f t="shared" ca="1" si="59"/>
        <v>0</v>
      </c>
      <c r="D41" s="1194" t="s">
        <v>1418</v>
      </c>
      <c r="E41" s="1194">
        <f ca="1">OFFSET(input!$B$333,U41,0)</f>
        <v>0</v>
      </c>
      <c r="F41" s="1194">
        <f ca="1">OFFSET(input!$C$333,U41,0)</f>
        <v>0</v>
      </c>
      <c r="G41" s="1194" t="str">
        <f ca="1">OFFSET(input!$E$333,U41,0)</f>
        <v>Import</v>
      </c>
      <c r="H41" s="2503">
        <f ca="1">IFERROR(IF(OFFSET(input!$D$333,U41,0)&gt;0,OFFSET(input!$D$333,U41,0),VLOOKUP($C41,Data!$P$831:$V$894,IF($G41=Data!$T$12,5,6),0)),0)+IF($G41="Import",IF($AM41="Y",SUMIF(Data!$P$831:$P$894,Paper!$C41,Data!$AD$831:$AD$894),0))</f>
        <v>0</v>
      </c>
      <c r="I41" s="2503">
        <f ca="1">OFFSET(input!F$333,$U41,0)</f>
        <v>0</v>
      </c>
      <c r="J41" s="2503">
        <f ca="1">OFFSET(input!G$333,$U41,0)</f>
        <v>0</v>
      </c>
      <c r="K41" s="2503">
        <f ca="1">OFFSET(input!H$333,$U41,0)</f>
        <v>0</v>
      </c>
      <c r="L41" s="1197">
        <f ca="1">IF(M41=$A$22,Data!$Q$1061,VLOOKUP(M41,$A$7:$AC$21,12,0))</f>
        <v>0.03</v>
      </c>
      <c r="M41" s="2503" t="str">
        <f ca="1">OFFSET(input!I$333,$U41,0)</f>
        <v>N</v>
      </c>
      <c r="N41" s="2503">
        <f ca="1">OFFSET(input!J$333,$U41,0)</f>
        <v>0</v>
      </c>
      <c r="O41" s="2503">
        <f ca="1">OFFSET(input!K$333,$U41,0)</f>
        <v>0</v>
      </c>
      <c r="P41" s="2503">
        <f ca="1">OFFSET(input!L$333,$U41,0)</f>
        <v>0</v>
      </c>
      <c r="Q41" s="2503">
        <f ca="1">OFFSET(input!M$333,$U41,0)</f>
        <v>0</v>
      </c>
      <c r="R41" s="2570">
        <f ca="1">(B41*P41*Q41*(V41+W41))/10^12*(1+'Cost EST. GM target'!$L115)</f>
        <v>0</v>
      </c>
      <c r="S41" s="2503">
        <f t="shared" ca="1" si="56"/>
        <v>0</v>
      </c>
      <c r="T41" s="2509">
        <f t="shared" ca="1" si="57"/>
        <v>0</v>
      </c>
      <c r="U41" s="136">
        <v>0</v>
      </c>
      <c r="V41" s="2517">
        <f t="shared" ca="1" si="60"/>
        <v>0</v>
      </c>
      <c r="W41" s="2514">
        <f ca="1">IF($V41&gt;0,IF($L41=Data!$Q$1061,MAX($V41*$L41,Data!$R$1061*$J41),VLOOKUP($M41,$A$7:$W$22,23,0)),0)</f>
        <v>0</v>
      </c>
      <c r="X41" s="2514">
        <v>0</v>
      </c>
      <c r="Y41" s="2565">
        <f t="shared" ca="1" si="61"/>
        <v>0</v>
      </c>
      <c r="AC41" s="2534">
        <f t="shared" ca="1" si="62"/>
        <v>0</v>
      </c>
      <c r="AD41" s="2535">
        <f t="shared" ca="1" si="63"/>
        <v>0</v>
      </c>
      <c r="AL41" s="2523">
        <f t="shared" ca="1" si="58"/>
        <v>0</v>
      </c>
      <c r="AM41" s="1214" t="str">
        <f ca="1">OFFSET(input!O$333,$U41,0)</f>
        <v>N</v>
      </c>
      <c r="AO41" s="1214">
        <f ca="1">OFFSET(input!F$333,$U41,0)</f>
        <v>0</v>
      </c>
      <c r="AP41" s="2523">
        <f ca="1">IF($G41="Import",(SUMIF(Data!$P$831:$P$894,Paper!$C41,Data!$L$831:$L$894)+IF($AM41="Y",SUMIF(Data!$P$831:$P$894,Paper!$C41,Data!$M$831:$M$894),0))*$K$3/1000,SUMIF(Data!$P$831:$P$894,Paper!$C41,Data!$S$831:$S$894)/1.08)</f>
        <v>0</v>
      </c>
      <c r="AQ41" s="2523">
        <f ca="1">IF($AM41="N",0,VLOOKUP($C41,Data!$P$831:$AF$894,17,0))</f>
        <v>0</v>
      </c>
      <c r="AR41" s="833">
        <f ca="1">(B41*N41*O41*(V41+W41))/10^12*(1+'Cost EST. GM target'!$L120)</f>
        <v>0</v>
      </c>
      <c r="AT41" s="136">
        <f t="shared" ca="1" si="15"/>
        <v>0</v>
      </c>
      <c r="AU41" s="136">
        <f ca="1">COUNTIFS($AT$7:AT41,1)</f>
        <v>1</v>
      </c>
    </row>
    <row r="42" spans="1:47" ht="16.899999999999999" hidden="1" customHeight="1" outlineLevel="1">
      <c r="A42" s="1193" t="str">
        <f ca="1">OFFSET(input!$A$333,U42,0)</f>
        <v>N</v>
      </c>
      <c r="B42" s="2497">
        <f ca="1">VLOOKUP(C42,Data!$P$831:$R$894,3,0)</f>
        <v>0</v>
      </c>
      <c r="C42" s="2498">
        <f t="shared" ref="C42:C48" ca="1" si="64">IF(F42&gt;0,D42&amp;" "&amp;E42&amp;" "&amp;F42,0)</f>
        <v>0</v>
      </c>
      <c r="D42" s="1194" t="s">
        <v>1418</v>
      </c>
      <c r="E42" s="1194">
        <f ca="1">OFFSET(input!$B$333,U42,0)</f>
        <v>0</v>
      </c>
      <c r="F42" s="1194">
        <f ca="1">OFFSET(input!$C$333,U42,0)</f>
        <v>0</v>
      </c>
      <c r="G42" s="1194" t="str">
        <f ca="1">OFFSET(input!$E$333,U42,0)</f>
        <v>Import</v>
      </c>
      <c r="H42" s="2503">
        <f ca="1">IFERROR(IF(OFFSET(input!$D$333,U42,0)&gt;0,OFFSET(input!$D$333,U42,0),VLOOKUP($C42,Data!$P$831:$V$894,IF($G42=Data!$T$12,5,6),0)),0)+IF($G42="Import",IF($AM42="Y",SUMIF(Data!$P$831:$P$894,Paper!$C42,Data!$AD$831:$AD$894),0))</f>
        <v>0</v>
      </c>
      <c r="I42" s="2503">
        <f ca="1">OFFSET(input!F$333,$U42,0)</f>
        <v>0</v>
      </c>
      <c r="J42" s="2503">
        <f ca="1">OFFSET(input!G$333,$U42,0)</f>
        <v>0</v>
      </c>
      <c r="K42" s="2503">
        <f ca="1">OFFSET(input!H$333,$U42,0)</f>
        <v>0</v>
      </c>
      <c r="L42" s="1197">
        <f ca="1">IF(M42=$A$22,Data!$Q$1061,VLOOKUP(M42,$A$7:$AC$21,12,0))</f>
        <v>0.03</v>
      </c>
      <c r="M42" s="2503" t="str">
        <f ca="1">OFFSET(input!I$333,$U42,0)</f>
        <v>N</v>
      </c>
      <c r="N42" s="2503">
        <f ca="1">OFFSET(input!J$333,$U42,0)</f>
        <v>0</v>
      </c>
      <c r="O42" s="2503">
        <f ca="1">OFFSET(input!K$333,$U42,0)</f>
        <v>0</v>
      </c>
      <c r="P42" s="2503">
        <f ca="1">OFFSET(input!L$333,$U42,0)</f>
        <v>0</v>
      </c>
      <c r="Q42" s="2503">
        <f ca="1">OFFSET(input!M$333,$U42,0)</f>
        <v>0</v>
      </c>
      <c r="R42" s="2570">
        <f ca="1">(B42*P42*Q42*(V42+W42))/10^12*(1+'Cost EST. GM target'!$L116)</f>
        <v>0</v>
      </c>
      <c r="S42" s="2503">
        <f t="shared" ref="S42:S48" ca="1" si="65">IF($I42*$J42&gt;0,Y42/$E$1,0)</f>
        <v>0</v>
      </c>
      <c r="T42" s="2509">
        <f t="shared" ref="T42:T48" ca="1" si="66">S42+IF($I42*$J42&gt;0,$AD42*$AP42*1000/$E$1,0)*$T$4</f>
        <v>0</v>
      </c>
      <c r="U42" s="136">
        <f>U41+3</f>
        <v>3</v>
      </c>
      <c r="V42" s="2517">
        <f t="shared" ca="1" si="60"/>
        <v>0</v>
      </c>
      <c r="W42" s="2514">
        <f ca="1">IF($V42&gt;0,IF($L42=Data!$Q$1061,MAX($V42*$L42,Data!$R$1061*$J42),VLOOKUP($M42,$A$7:$W$22,23,0)),0)</f>
        <v>0</v>
      </c>
      <c r="X42" s="2514">
        <v>0</v>
      </c>
      <c r="Y42" s="2565">
        <f t="shared" ref="Y42:Y48" ca="1" si="67">R42*H42*1000</f>
        <v>0</v>
      </c>
      <c r="AC42" s="2534">
        <f t="shared" ref="AC42:AC48" ca="1" si="68">V42+W42</f>
        <v>0</v>
      </c>
      <c r="AD42" s="2535">
        <f t="shared" ref="AD42:AD48" ca="1" si="69">V42*B42*N42*O42/10^12</f>
        <v>0</v>
      </c>
      <c r="AL42" s="2523">
        <f t="shared" ref="AL42:AL48" ca="1" si="70">IF(J42&gt;0,IF(T42&gt;0,0,1),0)</f>
        <v>0</v>
      </c>
      <c r="AM42" s="1214" t="str">
        <f ca="1">OFFSET(input!O$333,$U42,0)</f>
        <v>N</v>
      </c>
      <c r="AO42" s="1214">
        <f ca="1">OFFSET(input!F$333,$U42,0)</f>
        <v>0</v>
      </c>
      <c r="AP42" s="2523">
        <f ca="1">IF($G42="Import",(SUMIF(Data!$P$831:$P$894,Paper!$C42,Data!$L$831:$L$894)+IF($AM42="Y",SUMIF(Data!$P$831:$P$894,Paper!$C42,Data!$M$831:$M$894),0))*$K$3/1000,SUMIF(Data!$P$831:$P$894,Paper!$C42,Data!$S$831:$S$894)/1.08)</f>
        <v>0</v>
      </c>
      <c r="AQ42" s="2523">
        <f ca="1">IF($AM42="N",0,VLOOKUP($C42,Data!$P$831:$AF$894,17,0))</f>
        <v>0</v>
      </c>
      <c r="AR42" s="833">
        <f ca="1">(B42*N42*O42*(V42+W42))/10^12*(1+'Cost EST. GM target'!$L121)</f>
        <v>0</v>
      </c>
      <c r="AT42" s="136">
        <f t="shared" ref="AT42:AT48" ca="1" si="71">IF(ISNUMBER(T42),IF(T42&lt;&gt;0,IF(ISNUMBER(SEARCH("to",S42)),0,1),0),"")</f>
        <v>0</v>
      </c>
      <c r="AU42" s="136">
        <f ca="1">COUNTIFS($AT$7:AT42,1)</f>
        <v>1</v>
      </c>
    </row>
    <row r="43" spans="1:47" ht="16.899999999999999" hidden="1" customHeight="1" outlineLevel="1">
      <c r="A43" s="1193" t="str">
        <f ca="1">OFFSET(input!$A$333,U43,0)</f>
        <v>N</v>
      </c>
      <c r="B43" s="2497">
        <f ca="1">VLOOKUP(C43,Data!$P$831:$R$894,3,0)</f>
        <v>0</v>
      </c>
      <c r="C43" s="2498">
        <f t="shared" ca="1" si="64"/>
        <v>0</v>
      </c>
      <c r="D43" s="1194" t="s">
        <v>1418</v>
      </c>
      <c r="E43" s="1194">
        <f ca="1">OFFSET(input!$B$333,U43,0)</f>
        <v>0</v>
      </c>
      <c r="F43" s="1194">
        <f ca="1">OFFSET(input!$C$333,U43,0)</f>
        <v>0</v>
      </c>
      <c r="G43" s="1194" t="str">
        <f ca="1">OFFSET(input!$E$333,U43,0)</f>
        <v>Import</v>
      </c>
      <c r="H43" s="2503">
        <f ca="1">IFERROR(IF(OFFSET(input!$D$333,U43,0)&gt;0,OFFSET(input!$D$333,U43,0),VLOOKUP($C43,Data!$P$831:$V$894,IF($G43=Data!$T$12,5,6),0)),0)+IF($G43="Import",IF($AM43="Y",SUMIF(Data!$P$831:$P$894,Paper!$C43,Data!$AD$831:$AD$894),0))</f>
        <v>0</v>
      </c>
      <c r="I43" s="2503">
        <f ca="1">OFFSET(input!F$333,$U43,0)</f>
        <v>0</v>
      </c>
      <c r="J43" s="2503">
        <f ca="1">OFFSET(input!G$333,$U43,0)</f>
        <v>0</v>
      </c>
      <c r="K43" s="2503">
        <f ca="1">OFFSET(input!H$333,$U43,0)</f>
        <v>0</v>
      </c>
      <c r="L43" s="1197">
        <f ca="1">IF(M43=$A$22,Data!$Q$1061,VLOOKUP(M43,$A$7:$AC$21,12,0))</f>
        <v>0.03</v>
      </c>
      <c r="M43" s="2503" t="str">
        <f ca="1">OFFSET(input!I$333,$U43,0)</f>
        <v>N</v>
      </c>
      <c r="N43" s="2503">
        <f ca="1">OFFSET(input!J$333,$U43,0)</f>
        <v>0</v>
      </c>
      <c r="O43" s="2503">
        <f ca="1">OFFSET(input!K$333,$U43,0)</f>
        <v>0</v>
      </c>
      <c r="P43" s="2503">
        <f ca="1">OFFSET(input!L$333,$U43,0)</f>
        <v>0</v>
      </c>
      <c r="Q43" s="2503">
        <f ca="1">OFFSET(input!M$333,$U43,0)</f>
        <v>0</v>
      </c>
      <c r="R43" s="2570">
        <f ca="1">(B43*P43*Q43*(V43+W43))/10^12*(1+'Cost EST. GM target'!$L117)</f>
        <v>0</v>
      </c>
      <c r="S43" s="2503">
        <f t="shared" ca="1" si="65"/>
        <v>0</v>
      </c>
      <c r="T43" s="2509">
        <f t="shared" ca="1" si="66"/>
        <v>0</v>
      </c>
      <c r="U43" s="136">
        <f t="shared" ref="U43:U48" si="72">U42+3</f>
        <v>6</v>
      </c>
      <c r="V43" s="2517">
        <f t="shared" ca="1" si="60"/>
        <v>0</v>
      </c>
      <c r="W43" s="2514">
        <f ca="1">IF($V43&gt;0,IF($L43=Data!$Q$1061,MAX($V43*$L43,Data!$R$1061*$J43),VLOOKUP($M43,$A$7:$W$22,23,0)),0)</f>
        <v>0</v>
      </c>
      <c r="X43" s="2514">
        <v>0</v>
      </c>
      <c r="Y43" s="2565">
        <f t="shared" ca="1" si="67"/>
        <v>0</v>
      </c>
      <c r="AC43" s="2534">
        <f t="shared" ca="1" si="68"/>
        <v>0</v>
      </c>
      <c r="AD43" s="2535">
        <f t="shared" ca="1" si="69"/>
        <v>0</v>
      </c>
      <c r="AL43" s="2523">
        <f t="shared" ca="1" si="70"/>
        <v>0</v>
      </c>
      <c r="AM43" s="1214" t="str">
        <f ca="1">OFFSET(input!O$333,$U43,0)</f>
        <v>N</v>
      </c>
      <c r="AO43" s="1214">
        <f ca="1">OFFSET(input!F$333,$U43,0)</f>
        <v>0</v>
      </c>
      <c r="AP43" s="2523">
        <f ca="1">IF($G43="Import",(SUMIF(Data!$P$831:$P$894,Paper!$C43,Data!$L$831:$L$894)+IF($AM43="Y",SUMIF(Data!$P$831:$P$894,Paper!$C43,Data!$M$831:$M$894),0))*$K$3/1000,SUMIF(Data!$P$831:$P$894,Paper!$C43,Data!$S$831:$S$894)/1.08)</f>
        <v>0</v>
      </c>
      <c r="AQ43" s="2523">
        <f ca="1">IF($AM43="N",0,VLOOKUP($C43,Data!$P$831:$AF$894,17,0))</f>
        <v>0</v>
      </c>
      <c r="AR43" s="833">
        <f ca="1">(B43*N43*O43*(V43+W43))/10^12*(1+'Cost EST. GM target'!$L122)</f>
        <v>0</v>
      </c>
      <c r="AT43" s="136">
        <f t="shared" ca="1" si="71"/>
        <v>0</v>
      </c>
      <c r="AU43" s="136">
        <f ca="1">COUNTIFS($AT$7:AT43,1)</f>
        <v>1</v>
      </c>
    </row>
    <row r="44" spans="1:47" ht="16.899999999999999" hidden="1" customHeight="1" outlineLevel="1">
      <c r="A44" s="1193" t="str">
        <f ca="1">OFFSET(input!$A$333,U44,0)</f>
        <v>N</v>
      </c>
      <c r="B44" s="2497">
        <f ca="1">VLOOKUP(C44,Data!$P$831:$R$894,3,0)</f>
        <v>0</v>
      </c>
      <c r="C44" s="2498">
        <f t="shared" ca="1" si="64"/>
        <v>0</v>
      </c>
      <c r="D44" s="1194" t="s">
        <v>1418</v>
      </c>
      <c r="E44" s="1194">
        <f ca="1">OFFSET(input!$B$333,U44,0)</f>
        <v>0</v>
      </c>
      <c r="F44" s="1194">
        <f ca="1">OFFSET(input!$C$333,U44,0)</f>
        <v>0</v>
      </c>
      <c r="G44" s="1194" t="str">
        <f ca="1">OFFSET(input!$E$333,U44,0)</f>
        <v>Import</v>
      </c>
      <c r="H44" s="2503">
        <f ca="1">IFERROR(IF(OFFSET(input!$D$333,U44,0)&gt;0,OFFSET(input!$D$333,U44,0),VLOOKUP($C44,Data!$P$831:$V$894,IF($G44=Data!$T$12,5,6),0)),0)+IF($G44="Import",IF($AM44="Y",SUMIF(Data!$P$831:$P$894,Paper!$C44,Data!$AD$831:$AD$894),0))</f>
        <v>0</v>
      </c>
      <c r="I44" s="2503">
        <f ca="1">OFFSET(input!F$333,$U44,0)</f>
        <v>0</v>
      </c>
      <c r="J44" s="2503">
        <f ca="1">OFFSET(input!G$333,$U44,0)</f>
        <v>0</v>
      </c>
      <c r="K44" s="2503">
        <f ca="1">OFFSET(input!H$333,$U44,0)</f>
        <v>0</v>
      </c>
      <c r="L44" s="1197">
        <f ca="1">IF(M44=$A$22,Data!$Q$1061,VLOOKUP(M44,$A$7:$AC$21,12,0))</f>
        <v>0.03</v>
      </c>
      <c r="M44" s="2503" t="str">
        <f ca="1">OFFSET(input!I$333,$U44,0)</f>
        <v>N</v>
      </c>
      <c r="N44" s="2503">
        <f ca="1">OFFSET(input!J$333,$U44,0)</f>
        <v>0</v>
      </c>
      <c r="O44" s="2503">
        <f ca="1">OFFSET(input!K$333,$U44,0)</f>
        <v>0</v>
      </c>
      <c r="P44" s="2503">
        <f ca="1">OFFSET(input!L$333,$U44,0)</f>
        <v>0</v>
      </c>
      <c r="Q44" s="2503">
        <f ca="1">OFFSET(input!M$333,$U44,0)</f>
        <v>0</v>
      </c>
      <c r="R44" s="2570">
        <f ca="1">(B44*P44*Q44*(V44+W44))/10^12*(1+'Cost EST. GM target'!$L118)</f>
        <v>0</v>
      </c>
      <c r="S44" s="2503">
        <f t="shared" ca="1" si="65"/>
        <v>0</v>
      </c>
      <c r="T44" s="2509">
        <f t="shared" ca="1" si="66"/>
        <v>0</v>
      </c>
      <c r="U44" s="136">
        <f t="shared" si="72"/>
        <v>9</v>
      </c>
      <c r="V44" s="2517">
        <f t="shared" ca="1" si="60"/>
        <v>0</v>
      </c>
      <c r="W44" s="2514">
        <f ca="1">IF($V44&gt;0,IF($L44=Data!$Q$1061,MAX($V44*$L44,Data!$R$1061*$J44),VLOOKUP($M44,$A$7:$W$22,23,0)),0)</f>
        <v>0</v>
      </c>
      <c r="X44" s="2514">
        <v>0</v>
      </c>
      <c r="Y44" s="2565">
        <f t="shared" ca="1" si="67"/>
        <v>0</v>
      </c>
      <c r="AC44" s="2534">
        <f t="shared" ca="1" si="68"/>
        <v>0</v>
      </c>
      <c r="AD44" s="2535">
        <f t="shared" ca="1" si="69"/>
        <v>0</v>
      </c>
      <c r="AL44" s="2523">
        <f t="shared" ca="1" si="70"/>
        <v>0</v>
      </c>
      <c r="AM44" s="1214" t="str">
        <f ca="1">OFFSET(input!O$333,$U44,0)</f>
        <v>N</v>
      </c>
      <c r="AO44" s="1214">
        <f ca="1">OFFSET(input!F$333,$U44,0)</f>
        <v>0</v>
      </c>
      <c r="AP44" s="2523">
        <f ca="1">IF($G44="Import",(SUMIF(Data!$P$831:$P$894,Paper!$C44,Data!$L$831:$L$894)+IF($AM44="Y",SUMIF(Data!$P$831:$P$894,Paper!$C44,Data!$M$831:$M$894),0))*$K$3/1000,SUMIF(Data!$P$831:$P$894,Paper!$C44,Data!$S$831:$S$894)/1.08)</f>
        <v>0</v>
      </c>
      <c r="AQ44" s="2523">
        <f ca="1">IF($AM44="N",0,VLOOKUP($C44,Data!$P$831:$AF$894,17,0))</f>
        <v>0</v>
      </c>
      <c r="AR44" s="833">
        <f ca="1">(B44*N44*O44*(V44+W44))/10^12*(1+'Cost EST. GM target'!$L123)</f>
        <v>0</v>
      </c>
      <c r="AT44" s="136">
        <f t="shared" ca="1" si="71"/>
        <v>0</v>
      </c>
      <c r="AU44" s="136">
        <f ca="1">COUNTIFS($AT$7:AT44,1)</f>
        <v>1</v>
      </c>
    </row>
    <row r="45" spans="1:47" ht="16.899999999999999" hidden="1" customHeight="1" outlineLevel="1">
      <c r="A45" s="1193" t="str">
        <f ca="1">OFFSET(input!$A$333,U45,0)</f>
        <v>N</v>
      </c>
      <c r="B45" s="2497">
        <f ca="1">VLOOKUP(C45,Data!$P$831:$R$894,3,0)</f>
        <v>0</v>
      </c>
      <c r="C45" s="2498">
        <f t="shared" ca="1" si="64"/>
        <v>0</v>
      </c>
      <c r="D45" s="1194" t="s">
        <v>1418</v>
      </c>
      <c r="E45" s="1194">
        <f ca="1">OFFSET(input!$B$333,U45,0)</f>
        <v>0</v>
      </c>
      <c r="F45" s="1194">
        <f ca="1">OFFSET(input!$C$333,U45,0)</f>
        <v>0</v>
      </c>
      <c r="G45" s="1194" t="str">
        <f ca="1">OFFSET(input!$E$333,U45,0)</f>
        <v>Import</v>
      </c>
      <c r="H45" s="2503">
        <f ca="1">IFERROR(IF(OFFSET(input!$D$333,U45,0)&gt;0,OFFSET(input!$D$333,U45,0),VLOOKUP($C45,Data!$P$831:$V$894,IF($G45=Data!$T$12,5,6),0)),0)+IF($G45="Import",IF($AM45="Y",SUMIF(Data!$P$831:$P$894,Paper!$C45,Data!$AD$831:$AD$894),0))</f>
        <v>0</v>
      </c>
      <c r="I45" s="2503">
        <f ca="1">OFFSET(input!F$333,$U45,0)</f>
        <v>0</v>
      </c>
      <c r="J45" s="2503">
        <f ca="1">OFFSET(input!G$333,$U45,0)</f>
        <v>0</v>
      </c>
      <c r="K45" s="2503">
        <f ca="1">OFFSET(input!H$333,$U45,0)</f>
        <v>0</v>
      </c>
      <c r="L45" s="1197">
        <f ca="1">IF(M45=$A$22,Data!$Q$1061,VLOOKUP(M45,$A$7:$AC$21,12,0))</f>
        <v>0.03</v>
      </c>
      <c r="M45" s="2503" t="str">
        <f ca="1">OFFSET(input!I$333,$U45,0)</f>
        <v>N</v>
      </c>
      <c r="N45" s="2503">
        <f ca="1">OFFSET(input!J$333,$U45,0)</f>
        <v>0</v>
      </c>
      <c r="O45" s="2503">
        <f ca="1">OFFSET(input!K$333,$U45,0)</f>
        <v>0</v>
      </c>
      <c r="P45" s="2503">
        <f ca="1">OFFSET(input!L$333,$U45,0)</f>
        <v>0</v>
      </c>
      <c r="Q45" s="2503">
        <f ca="1">OFFSET(input!M$333,$U45,0)</f>
        <v>0</v>
      </c>
      <c r="R45" s="2570">
        <f ca="1">(B45*P45*Q45*(V45+W45))/10^12*(1+'Cost EST. GM target'!$L119)</f>
        <v>0</v>
      </c>
      <c r="S45" s="2503">
        <f t="shared" ca="1" si="65"/>
        <v>0</v>
      </c>
      <c r="T45" s="2509">
        <f t="shared" ca="1" si="66"/>
        <v>0</v>
      </c>
      <c r="U45" s="136">
        <f t="shared" si="72"/>
        <v>12</v>
      </c>
      <c r="V45" s="2517">
        <f t="shared" ca="1" si="60"/>
        <v>0</v>
      </c>
      <c r="W45" s="2514">
        <f ca="1">IF($V45&gt;0,IF($L45=Data!$Q$1061,MAX($V45*$L45,Data!$R$1061*$J45),VLOOKUP($M45,$A$7:$W$22,23,0)),0)</f>
        <v>0</v>
      </c>
      <c r="X45" s="2514">
        <v>0</v>
      </c>
      <c r="Y45" s="2565">
        <f t="shared" ca="1" si="67"/>
        <v>0</v>
      </c>
      <c r="AC45" s="2534">
        <f t="shared" ca="1" si="68"/>
        <v>0</v>
      </c>
      <c r="AD45" s="2535">
        <f t="shared" ca="1" si="69"/>
        <v>0</v>
      </c>
      <c r="AL45" s="2523">
        <f t="shared" ca="1" si="70"/>
        <v>0</v>
      </c>
      <c r="AM45" s="1214" t="str">
        <f ca="1">OFFSET(input!O$333,$U45,0)</f>
        <v>N</v>
      </c>
      <c r="AO45" s="1214">
        <f ca="1">OFFSET(input!F$333,$U45,0)</f>
        <v>0</v>
      </c>
      <c r="AP45" s="2523">
        <f ca="1">IF($G45="Import",(SUMIF(Data!$P$831:$P$894,Paper!$C45,Data!$L$831:$L$894)+IF($AM45="Y",SUMIF(Data!$P$831:$P$894,Paper!$C45,Data!$M$831:$M$894),0))*$K$3/1000,SUMIF(Data!$P$831:$P$894,Paper!$C45,Data!$S$831:$S$894)/1.08)</f>
        <v>0</v>
      </c>
      <c r="AQ45" s="2523">
        <f ca="1">IF($AM45="N",0,VLOOKUP($C45,Data!$P$831:$AF$894,17,0))</f>
        <v>0</v>
      </c>
      <c r="AR45" s="833">
        <f ca="1">(B45*N45*O45*(V45+W45))/10^12*(1+'Cost EST. GM target'!$L124)</f>
        <v>0</v>
      </c>
      <c r="AT45" s="136">
        <f t="shared" ca="1" si="71"/>
        <v>0</v>
      </c>
      <c r="AU45" s="136">
        <f ca="1">COUNTIFS($AT$7:AT45,1)</f>
        <v>1</v>
      </c>
    </row>
    <row r="46" spans="1:47" ht="16.899999999999999" hidden="1" customHeight="1" outlineLevel="1">
      <c r="A46" s="1193" t="str">
        <f ca="1">OFFSET(input!$A$333,U46,0)</f>
        <v>N</v>
      </c>
      <c r="B46" s="2497">
        <f ca="1">VLOOKUP(C46,Data!$P$831:$R$894,3,0)</f>
        <v>0</v>
      </c>
      <c r="C46" s="2498">
        <f t="shared" ca="1" si="64"/>
        <v>0</v>
      </c>
      <c r="D46" s="1194" t="s">
        <v>1418</v>
      </c>
      <c r="E46" s="1194">
        <f ca="1">OFFSET(input!$B$333,U46,0)</f>
        <v>0</v>
      </c>
      <c r="F46" s="1194">
        <f ca="1">OFFSET(input!$C$333,U46,0)</f>
        <v>0</v>
      </c>
      <c r="G46" s="1194" t="str">
        <f ca="1">OFFSET(input!$E$333,U46,0)</f>
        <v>Import</v>
      </c>
      <c r="H46" s="2503">
        <f ca="1">IFERROR(IF(OFFSET(input!$D$333,U46,0)&gt;0,OFFSET(input!$D$333,U46,0),VLOOKUP($C46,Data!$P$831:$V$894,IF($G46=Data!$T$12,5,6),0)),0)+IF($G46="Import",IF($AM46="Y",SUMIF(Data!$P$831:$P$894,Paper!$C46,Data!$AD$831:$AD$894),0))</f>
        <v>0</v>
      </c>
      <c r="I46" s="2503">
        <f ca="1">OFFSET(input!F$333,$U46,0)</f>
        <v>0</v>
      </c>
      <c r="J46" s="2503">
        <f ca="1">OFFSET(input!G$333,$U46,0)</f>
        <v>0</v>
      </c>
      <c r="K46" s="2503">
        <f ca="1">OFFSET(input!H$333,$U46,0)</f>
        <v>0</v>
      </c>
      <c r="L46" s="1197">
        <f ca="1">IF(M46=$A$22,Data!$Q$1061,VLOOKUP(M46,$A$7:$AC$21,12,0))</f>
        <v>0.03</v>
      </c>
      <c r="M46" s="2503" t="str">
        <f ca="1">OFFSET(input!I$333,$U46,0)</f>
        <v>N</v>
      </c>
      <c r="N46" s="2503">
        <f ca="1">OFFSET(input!J$333,$U46,0)</f>
        <v>0</v>
      </c>
      <c r="O46" s="2503">
        <f ca="1">OFFSET(input!K$333,$U46,0)</f>
        <v>0</v>
      </c>
      <c r="P46" s="2503">
        <f ca="1">OFFSET(input!L$333,$U46,0)</f>
        <v>0</v>
      </c>
      <c r="Q46" s="2503">
        <f ca="1">OFFSET(input!M$333,$U46,0)</f>
        <v>0</v>
      </c>
      <c r="R46" s="2570">
        <f ca="1">(B46*P46*Q46*(V46+W46))/10^12*(1+'Cost EST. GM target'!$L120)</f>
        <v>0</v>
      </c>
      <c r="S46" s="2503">
        <f t="shared" ca="1" si="65"/>
        <v>0</v>
      </c>
      <c r="T46" s="2509">
        <f t="shared" ca="1" si="66"/>
        <v>0</v>
      </c>
      <c r="U46" s="136">
        <f t="shared" si="72"/>
        <v>15</v>
      </c>
      <c r="V46" s="2517">
        <f t="shared" ca="1" si="60"/>
        <v>0</v>
      </c>
      <c r="W46" s="2514">
        <f ca="1">IF($V46&gt;0,IF($L46=Data!$Q$1061,MAX($V46*$L46,Data!$R$1061*$J46),VLOOKUP($M46,$A$7:$W$22,23,0)),0)</f>
        <v>0</v>
      </c>
      <c r="X46" s="2514">
        <v>0</v>
      </c>
      <c r="Y46" s="2565">
        <f t="shared" ca="1" si="67"/>
        <v>0</v>
      </c>
      <c r="AC46" s="2534">
        <f t="shared" ca="1" si="68"/>
        <v>0</v>
      </c>
      <c r="AD46" s="2535">
        <f t="shared" ca="1" si="69"/>
        <v>0</v>
      </c>
      <c r="AL46" s="2523">
        <f t="shared" ca="1" si="70"/>
        <v>0</v>
      </c>
      <c r="AM46" s="1214" t="str">
        <f ca="1">OFFSET(input!O$333,$U46,0)</f>
        <v>N</v>
      </c>
      <c r="AO46" s="1214">
        <f ca="1">OFFSET(input!F$333,$U46,0)</f>
        <v>0</v>
      </c>
      <c r="AP46" s="2523">
        <f ca="1">IF($G46="Import",(SUMIF(Data!$P$831:$P$894,Paper!$C46,Data!$L$831:$L$894)+IF($AM46="Y",SUMIF(Data!$P$831:$P$894,Paper!$C46,Data!$M$831:$M$894),0))*$K$3/1000,SUMIF(Data!$P$831:$P$894,Paper!$C46,Data!$S$831:$S$894)/1.08)</f>
        <v>0</v>
      </c>
      <c r="AQ46" s="2523">
        <f ca="1">IF($AM46="N",0,VLOOKUP($C46,Data!$P$831:$AF$894,17,0))</f>
        <v>0</v>
      </c>
      <c r="AR46" s="833">
        <f ca="1">(B46*N46*O46*(V46+W46))/10^12*(1+'Cost EST. GM target'!$L125)</f>
        <v>0</v>
      </c>
      <c r="AT46" s="136">
        <f t="shared" ca="1" si="71"/>
        <v>0</v>
      </c>
      <c r="AU46" s="136">
        <f ca="1">COUNTIFS($AT$7:AT46,1)</f>
        <v>1</v>
      </c>
    </row>
    <row r="47" spans="1:47" ht="16.899999999999999" hidden="1" customHeight="1" outlineLevel="1">
      <c r="A47" s="1193" t="str">
        <f ca="1">OFFSET(input!$A$333,U47,0)</f>
        <v>N</v>
      </c>
      <c r="B47" s="2497">
        <f ca="1">VLOOKUP(C47,Data!$P$831:$R$894,3,0)</f>
        <v>0</v>
      </c>
      <c r="C47" s="2498">
        <f t="shared" ca="1" si="64"/>
        <v>0</v>
      </c>
      <c r="D47" s="1194" t="s">
        <v>1418</v>
      </c>
      <c r="E47" s="1194">
        <f ca="1">OFFSET(input!$B$333,U47,0)</f>
        <v>0</v>
      </c>
      <c r="F47" s="1194">
        <f ca="1">OFFSET(input!$C$333,U47,0)</f>
        <v>0</v>
      </c>
      <c r="G47" s="1194" t="str">
        <f ca="1">OFFSET(input!$E$333,U47,0)</f>
        <v>Import</v>
      </c>
      <c r="H47" s="2503">
        <f ca="1">IFERROR(IF(OFFSET(input!$D$333,U47,0)&gt;0,OFFSET(input!$D$333,U47,0),VLOOKUP($C47,Data!$P$831:$V$894,IF($G47=Data!$T$12,5,6),0)),0)+IF($G47="Import",IF($AM47="Y",SUMIF(Data!$P$831:$P$894,Paper!$C47,Data!$AD$831:$AD$894),0))</f>
        <v>0</v>
      </c>
      <c r="I47" s="2503">
        <f ca="1">OFFSET(input!F$333,$U47,0)</f>
        <v>0</v>
      </c>
      <c r="J47" s="2503">
        <f ca="1">OFFSET(input!G$333,$U47,0)</f>
        <v>0</v>
      </c>
      <c r="K47" s="2503">
        <f ca="1">OFFSET(input!H$333,$U47,0)</f>
        <v>0</v>
      </c>
      <c r="L47" s="1197">
        <f ca="1">IF(M47=$A$22,Data!$Q$1061,VLOOKUP(M47,$A$7:$AC$21,12,0))</f>
        <v>0.03</v>
      </c>
      <c r="M47" s="2503" t="str">
        <f ca="1">OFFSET(input!I$333,$U47,0)</f>
        <v>N</v>
      </c>
      <c r="N47" s="2503">
        <f ca="1">OFFSET(input!J$333,$U47,0)</f>
        <v>0</v>
      </c>
      <c r="O47" s="2503">
        <f ca="1">OFFSET(input!K$333,$U47,0)</f>
        <v>0</v>
      </c>
      <c r="P47" s="2503">
        <f ca="1">OFFSET(input!L$333,$U47,0)</f>
        <v>0</v>
      </c>
      <c r="Q47" s="2503">
        <f ca="1">OFFSET(input!M$333,$U47,0)</f>
        <v>0</v>
      </c>
      <c r="R47" s="2570">
        <f ca="1">(B47*P47*Q47*(V47+W47))/10^12*(1+'Cost EST. GM target'!$L121)</f>
        <v>0</v>
      </c>
      <c r="S47" s="2503">
        <f t="shared" ca="1" si="65"/>
        <v>0</v>
      </c>
      <c r="T47" s="2509">
        <f t="shared" ca="1" si="66"/>
        <v>0</v>
      </c>
      <c r="U47" s="136">
        <f t="shared" si="72"/>
        <v>18</v>
      </c>
      <c r="V47" s="2517">
        <f t="shared" ca="1" si="60"/>
        <v>0</v>
      </c>
      <c r="W47" s="2514">
        <f ca="1">IF($V47&gt;0,IF($L47=Data!$Q$1061,MAX($V47*$L47,Data!$R$1061*$J47),VLOOKUP($M47,$A$7:$W$22,23,0)),0)</f>
        <v>0</v>
      </c>
      <c r="X47" s="2514">
        <v>0</v>
      </c>
      <c r="Y47" s="2565">
        <f t="shared" ca="1" si="67"/>
        <v>0</v>
      </c>
      <c r="AC47" s="2534">
        <f t="shared" ca="1" si="68"/>
        <v>0</v>
      </c>
      <c r="AD47" s="2535">
        <f t="shared" ca="1" si="69"/>
        <v>0</v>
      </c>
      <c r="AL47" s="2523">
        <f t="shared" ca="1" si="70"/>
        <v>0</v>
      </c>
      <c r="AM47" s="1214" t="str">
        <f ca="1">OFFSET(input!O$333,$U47,0)</f>
        <v>N</v>
      </c>
      <c r="AO47" s="1214">
        <f ca="1">OFFSET(input!F$333,$U47,0)</f>
        <v>0</v>
      </c>
      <c r="AP47" s="2523">
        <f ca="1">IF($G47="Import",(SUMIF(Data!$P$831:$P$894,Paper!$C47,Data!$L$831:$L$894)+IF($AM47="Y",SUMIF(Data!$P$831:$P$894,Paper!$C47,Data!$M$831:$M$894),0))*$K$3/1000,SUMIF(Data!$P$831:$P$894,Paper!$C47,Data!$S$831:$S$894)/1.08)</f>
        <v>0</v>
      </c>
      <c r="AQ47" s="2523">
        <f ca="1">IF($AM47="N",0,VLOOKUP($C47,Data!$P$831:$AF$894,17,0))</f>
        <v>0</v>
      </c>
      <c r="AR47" s="833">
        <f ca="1">(B47*N47*O47*(V47+W47))/10^12*(1+'Cost EST. GM target'!$L126)</f>
        <v>0</v>
      </c>
      <c r="AT47" s="136">
        <f t="shared" ca="1" si="71"/>
        <v>0</v>
      </c>
      <c r="AU47" s="136">
        <f ca="1">COUNTIFS($AT$7:AT47,1)</f>
        <v>1</v>
      </c>
    </row>
    <row r="48" spans="1:47" ht="16.899999999999999" hidden="1" customHeight="1" outlineLevel="1">
      <c r="A48" s="1193" t="str">
        <f ca="1">OFFSET(input!$A$333,U48,0)</f>
        <v>N</v>
      </c>
      <c r="B48" s="2497">
        <f ca="1">VLOOKUP(C48,Data!$P$831:$R$894,3,0)</f>
        <v>0</v>
      </c>
      <c r="C48" s="2498">
        <f t="shared" ca="1" si="64"/>
        <v>0</v>
      </c>
      <c r="D48" s="1194" t="s">
        <v>1418</v>
      </c>
      <c r="E48" s="1194">
        <f ca="1">OFFSET(input!$B$333,U48,0)</f>
        <v>0</v>
      </c>
      <c r="F48" s="1194">
        <f ca="1">OFFSET(input!$C$333,U48,0)</f>
        <v>0</v>
      </c>
      <c r="G48" s="1194" t="str">
        <f ca="1">OFFSET(input!$E$333,U48,0)</f>
        <v>Import</v>
      </c>
      <c r="H48" s="2503">
        <f ca="1">IFERROR(IF(OFFSET(input!$D$333,U48,0)&gt;0,OFFSET(input!$D$333,U48,0),VLOOKUP($C48,Data!$P$831:$V$894,IF($G48=Data!$T$12,5,6),0)),0)+IF($G48="Import",IF($AM48="Y",SUMIF(Data!$P$831:$P$894,Paper!$C48,Data!$AD$831:$AD$894),0))</f>
        <v>0</v>
      </c>
      <c r="I48" s="2503">
        <f ca="1">OFFSET(input!F$333,$U48,0)</f>
        <v>0</v>
      </c>
      <c r="J48" s="2503">
        <f ca="1">OFFSET(input!G$333,$U48,0)</f>
        <v>0</v>
      </c>
      <c r="K48" s="2503">
        <f ca="1">OFFSET(input!H$333,$U48,0)</f>
        <v>0</v>
      </c>
      <c r="L48" s="1197">
        <f ca="1">IF(M48=$A$22,Data!$Q$1061,VLOOKUP(M48,$A$7:$AC$21,12,0))</f>
        <v>0.03</v>
      </c>
      <c r="M48" s="2503" t="str">
        <f ca="1">OFFSET(input!I$333,$U48,0)</f>
        <v>N</v>
      </c>
      <c r="N48" s="2503">
        <f ca="1">OFFSET(input!J$333,$U48,0)</f>
        <v>0</v>
      </c>
      <c r="O48" s="2503">
        <f ca="1">OFFSET(input!K$333,$U48,0)</f>
        <v>0</v>
      </c>
      <c r="P48" s="2503">
        <f ca="1">OFFSET(input!L$333,$U48,0)</f>
        <v>0</v>
      </c>
      <c r="Q48" s="2503">
        <f ca="1">OFFSET(input!M$333,$U48,0)</f>
        <v>0</v>
      </c>
      <c r="R48" s="2570">
        <f ca="1">(B48*P48*Q48*(V48+W48))/10^12*(1+'Cost EST. GM target'!$L122)</f>
        <v>0</v>
      </c>
      <c r="S48" s="2503">
        <f t="shared" ca="1" si="65"/>
        <v>0</v>
      </c>
      <c r="T48" s="2509">
        <f t="shared" ca="1" si="66"/>
        <v>0</v>
      </c>
      <c r="U48" s="136">
        <f t="shared" si="72"/>
        <v>21</v>
      </c>
      <c r="V48" s="2517">
        <f t="shared" ca="1" si="60"/>
        <v>0</v>
      </c>
      <c r="W48" s="2514">
        <f ca="1">IF($V48&gt;0,IF($L48=Data!$Q$1061,MAX($V48*$L48,Data!$R$1061*$J48),VLOOKUP($M48,$A$7:$W$22,23,0)),0)</f>
        <v>0</v>
      </c>
      <c r="X48" s="2514">
        <v>0</v>
      </c>
      <c r="Y48" s="2565">
        <f t="shared" ca="1" si="67"/>
        <v>0</v>
      </c>
      <c r="AC48" s="2534">
        <f t="shared" ca="1" si="68"/>
        <v>0</v>
      </c>
      <c r="AD48" s="2535">
        <f t="shared" ca="1" si="69"/>
        <v>0</v>
      </c>
      <c r="AL48" s="2523">
        <f t="shared" ca="1" si="70"/>
        <v>0</v>
      </c>
      <c r="AM48" s="1214" t="str">
        <f ca="1">OFFSET(input!O$333,$U48,0)</f>
        <v>N</v>
      </c>
      <c r="AO48" s="1214">
        <f ca="1">OFFSET(input!F$333,$U48,0)</f>
        <v>0</v>
      </c>
      <c r="AP48" s="2523">
        <f ca="1">IF($G48="Import",(SUMIF(Data!$P$831:$P$894,Paper!$C48,Data!$L$831:$L$894)+IF($AM48="Y",SUMIF(Data!$P$831:$P$894,Paper!$C48,Data!$M$831:$M$894),0))*$K$3/1000,SUMIF(Data!$P$831:$P$894,Paper!$C48,Data!$S$831:$S$894)/1.08)</f>
        <v>0</v>
      </c>
      <c r="AQ48" s="2523">
        <f ca="1">IF($AM48="N",0,VLOOKUP($C48,Data!$P$831:$AF$894,17,0))</f>
        <v>0</v>
      </c>
      <c r="AR48" s="833">
        <f ca="1">(B48*N48*O48*(V48+W48))/10^12*(1+'Cost EST. GM target'!$L127)</f>
        <v>0</v>
      </c>
      <c r="AT48" s="136">
        <f t="shared" ca="1" si="71"/>
        <v>0</v>
      </c>
      <c r="AU48" s="136">
        <f ca="1">COUNTIFS($AT$7:AT48,1)</f>
        <v>1</v>
      </c>
    </row>
    <row r="49" spans="1:47" ht="16.899999999999999" hidden="1" customHeight="1" collapsed="1">
      <c r="A49" s="314"/>
      <c r="B49" s="320"/>
      <c r="C49" s="320"/>
      <c r="G49" s="320"/>
      <c r="H49" s="320"/>
      <c r="I49" s="320"/>
      <c r="J49" s="320"/>
      <c r="K49" s="320"/>
      <c r="L49" s="320"/>
      <c r="M49" s="320"/>
      <c r="N49" s="320"/>
      <c r="O49" s="320"/>
      <c r="P49" s="320"/>
      <c r="Q49" s="320"/>
      <c r="S49" s="347" t="s">
        <v>21</v>
      </c>
      <c r="T49" s="935">
        <f ca="1">SUM(T34:T48)*(1+$T$3)</f>
        <v>0</v>
      </c>
      <c r="AO49" s="136" t="s">
        <v>21</v>
      </c>
      <c r="AR49" s="2746"/>
      <c r="AT49" s="136">
        <f t="shared" ca="1" si="15"/>
        <v>0</v>
      </c>
      <c r="AU49" s="136">
        <f ca="1">COUNTIFS($AT$7:AT49,1)</f>
        <v>1</v>
      </c>
    </row>
    <row r="50" spans="1:47" ht="16.899999999999999" hidden="1" customHeight="1">
      <c r="A50" s="314"/>
      <c r="B50" s="320"/>
      <c r="C50" s="320"/>
      <c r="G50" s="320"/>
      <c r="H50" s="320"/>
      <c r="I50" s="320"/>
      <c r="J50" s="320"/>
      <c r="K50" s="320"/>
      <c r="L50" s="320"/>
      <c r="M50" s="320"/>
      <c r="N50" s="320"/>
      <c r="O50" s="320"/>
      <c r="P50" s="320"/>
      <c r="Q50" s="320"/>
      <c r="AR50" s="2746"/>
      <c r="AT50" s="136" t="str">
        <f t="shared" si="15"/>
        <v/>
      </c>
      <c r="AU50" s="136">
        <f ca="1">COUNTIFS($AT$7:AT50,1)</f>
        <v>1</v>
      </c>
    </row>
    <row r="51" spans="1:47" ht="16.899999999999999" hidden="1" customHeight="1">
      <c r="A51" s="798"/>
      <c r="B51" s="798" t="s">
        <v>1101</v>
      </c>
      <c r="F51" s="761"/>
      <c r="K51" s="136"/>
      <c r="S51" s="833"/>
      <c r="T51" s="327"/>
      <c r="U51" s="922"/>
      <c r="V51" s="922"/>
      <c r="W51" s="923"/>
      <c r="X51" s="924"/>
      <c r="AR51" s="2746"/>
      <c r="AT51" s="136" t="str">
        <f t="shared" si="15"/>
        <v/>
      </c>
      <c r="AU51" s="136">
        <f ca="1">COUNTIFS($AT$7:AT51,1)</f>
        <v>1</v>
      </c>
    </row>
    <row r="52" spans="1:47" s="402" customFormat="1" ht="27.95" hidden="1" customHeight="1">
      <c r="A52" s="926" t="s">
        <v>594</v>
      </c>
      <c r="B52" s="927" t="s">
        <v>126</v>
      </c>
      <c r="C52" s="928" t="s">
        <v>1086</v>
      </c>
      <c r="D52" s="931" t="s">
        <v>1403</v>
      </c>
      <c r="E52" s="931" t="s">
        <v>1404</v>
      </c>
      <c r="F52" s="931" t="s">
        <v>1405</v>
      </c>
      <c r="G52" s="930" t="s">
        <v>1099</v>
      </c>
      <c r="H52" s="931" t="s">
        <v>1402</v>
      </c>
      <c r="I52" s="926" t="s">
        <v>17</v>
      </c>
      <c r="J52" s="931" t="s">
        <v>12</v>
      </c>
      <c r="K52" s="931" t="s">
        <v>1343</v>
      </c>
      <c r="L52" s="931" t="s">
        <v>78</v>
      </c>
      <c r="M52" s="931" t="s">
        <v>1100</v>
      </c>
      <c r="N52" s="932" t="s">
        <v>212</v>
      </c>
      <c r="O52" s="926" t="s">
        <v>1089</v>
      </c>
      <c r="P52" s="927" t="s">
        <v>212</v>
      </c>
      <c r="Q52" s="930" t="s">
        <v>1090</v>
      </c>
      <c r="R52" s="930" t="s">
        <v>1097</v>
      </c>
      <c r="S52" s="930" t="s">
        <v>146</v>
      </c>
      <c r="T52" s="933" t="s">
        <v>1098</v>
      </c>
      <c r="V52" s="2151" t="s">
        <v>1075</v>
      </c>
      <c r="W52" s="2151" t="s">
        <v>1076</v>
      </c>
      <c r="X52" s="2151" t="s">
        <v>20</v>
      </c>
      <c r="Y52" s="2151" t="s">
        <v>124</v>
      </c>
      <c r="AC52" s="2525" t="s">
        <v>1079</v>
      </c>
      <c r="AD52" s="2525" t="s">
        <v>1080</v>
      </c>
      <c r="AH52" s="934" t="s">
        <v>692</v>
      </c>
      <c r="AI52" s="934">
        <v>0.8</v>
      </c>
      <c r="AJ52" s="934">
        <v>1.23</v>
      </c>
      <c r="AO52" s="2151" t="s">
        <v>2055</v>
      </c>
      <c r="AR52" s="2746"/>
      <c r="AS52" s="136"/>
      <c r="AT52" s="136" t="str">
        <f t="shared" si="15"/>
        <v/>
      </c>
      <c r="AU52" s="136">
        <f ca="1">COUNTIFS($AT$7:AT52,1)</f>
        <v>1</v>
      </c>
    </row>
    <row r="53" spans="1:47" ht="16.899999999999999" customHeight="1" outlineLevel="1">
      <c r="A53" s="1182" t="str">
        <f>input!A358</f>
        <v>E-flute 115/105</v>
      </c>
      <c r="B53" s="1183">
        <f>D53+E53*VLOOKUP(C53,$AH$52:$AJ$56,3,0)+F53</f>
        <v>249.4</v>
      </c>
      <c r="C53" s="1184" t="str">
        <f>input!B358</f>
        <v>E-Flute</v>
      </c>
      <c r="D53" s="1185">
        <f>IF(input!C358&gt;0,VALUE(LEFT(input!C358,3)),0)</f>
        <v>115</v>
      </c>
      <c r="E53" s="1188" t="str">
        <f>IF(input!C358&gt;0,IF(LEN(input!C358)=7,RIGHT(input!C358,3),MID(input!C358,5,3)),0)</f>
        <v>105</v>
      </c>
      <c r="F53" s="1188">
        <f>IF(input!C358&gt;0,IF(LEN(input!C358)=7,0,RIGHT(input!C358,3)),0)</f>
        <v>0</v>
      </c>
      <c r="G53" s="1217" t="str">
        <f>input!E358</f>
        <v>Outsource</v>
      </c>
      <c r="H53" s="1187">
        <f>input!D358</f>
        <v>5100</v>
      </c>
      <c r="I53" s="2502">
        <f>input!F358</f>
        <v>2</v>
      </c>
      <c r="J53" s="2502">
        <f>input!G358</f>
        <v>1</v>
      </c>
      <c r="K53" s="2504">
        <f>input!H358</f>
        <v>1</v>
      </c>
      <c r="L53" s="1189">
        <f>IF(M53=$A$22,Data!$Q$1061,VLOOKUP(M53,$A$7:$AC$21,12,0))</f>
        <v>4.4999999999999998E-2</v>
      </c>
      <c r="M53" s="1215" t="str">
        <f>input!I358</f>
        <v>Box</v>
      </c>
      <c r="N53" s="1190">
        <f ca="1">input!J358</f>
        <v>628</v>
      </c>
      <c r="O53" s="1191">
        <f ca="1">input!K358</f>
        <v>397</v>
      </c>
      <c r="P53" s="2506">
        <f ca="1">input!L358</f>
        <v>628</v>
      </c>
      <c r="Q53" s="2506">
        <f ca="1">input!M358</f>
        <v>397</v>
      </c>
      <c r="R53" s="2568">
        <f ca="1">(B53*P53*Q53*(V53+W53))/10^12*(1+'Cost EST. GM target'!$L118)</f>
        <v>0.16943889334000004</v>
      </c>
      <c r="S53" s="2502">
        <f ca="1">IF($I53*$J53&gt;0,Y53/$E$1,0)</f>
        <v>692.97382200000004</v>
      </c>
      <c r="T53" s="2508">
        <f ca="1">S53</f>
        <v>692.97382200000004</v>
      </c>
      <c r="V53" s="2593">
        <f>IF($J53&gt;0,ROUNDUP($E$2*$K53/$I53,0),0)*$J53</f>
        <v>2500</v>
      </c>
      <c r="W53" s="2594">
        <f>IF($V53&gt;0,IF($L53=Data!$Q$1061,MAX($E$2*$J53*$L53/$I53,Data!$R$1061*$J53),VLOOKUP($M53,$A$7:$W$22,23,0)),0)</f>
        <v>225</v>
      </c>
      <c r="X53" s="2594">
        <v>0</v>
      </c>
      <c r="Y53" s="2595">
        <f ca="1">(P53*Q53/10^6)*(V53+W53)*H53</f>
        <v>3464869.1100000003</v>
      </c>
      <c r="AC53" s="2532">
        <f>V53+W53</f>
        <v>2725</v>
      </c>
      <c r="AD53" s="2533">
        <f ca="1">V53*B53*N53*O53/10^12</f>
        <v>0.155448526</v>
      </c>
      <c r="AH53" s="936" t="s">
        <v>174</v>
      </c>
      <c r="AI53" s="937">
        <v>1.6</v>
      </c>
      <c r="AJ53" s="937">
        <v>1.28</v>
      </c>
      <c r="AO53" s="1211" t="str">
        <f>input!$F$359</f>
        <v>E-flute 115/105</v>
      </c>
      <c r="AR53" s="136">
        <f t="shared" ref="AR53:AR55" ca="1" si="73">ROUNDUP((B53*N53*O53*SUM(V53:X53)/10^12),3)</f>
        <v>0.17</v>
      </c>
      <c r="AT53" s="136">
        <f t="shared" ca="1" si="15"/>
        <v>1</v>
      </c>
      <c r="AU53" s="136">
        <f ca="1">COUNTIFS($AT$7:AT53,1)</f>
        <v>2</v>
      </c>
    </row>
    <row r="54" spans="1:47" ht="16.899999999999999" hidden="1" customHeight="1" outlineLevel="1">
      <c r="A54" s="1193" t="str">
        <f>input!A361</f>
        <v>N</v>
      </c>
      <c r="B54" s="2497">
        <f>D54+E54*VLOOKUP(C54,$AH$52:$AJ$56,3,0)+F54</f>
        <v>0</v>
      </c>
      <c r="C54" s="2498" t="str">
        <f>input!B361</f>
        <v>E-Flute</v>
      </c>
      <c r="D54" s="1196">
        <f>IF(input!C361&gt;0,VALUE(LEFT(input!C361,3)),0)</f>
        <v>0</v>
      </c>
      <c r="E54" s="1218">
        <f>IF(input!C361&gt;0,IF(LEN(input!C361)=7,RIGHT(input!C361,3),MID(input!C361,5,3)),0)</f>
        <v>0</v>
      </c>
      <c r="F54" s="1218">
        <f>IF(input!C361&gt;0,IF(LEN(input!C361)=7,0,RIGHT(input!C361,3)),0)</f>
        <v>0</v>
      </c>
      <c r="G54" s="136" t="str">
        <f>input!E361</f>
        <v>Inhouse</v>
      </c>
      <c r="H54" s="1195">
        <f>input!D361</f>
        <v>0</v>
      </c>
      <c r="I54" s="2503">
        <f>input!F361</f>
        <v>0</v>
      </c>
      <c r="J54" s="2503">
        <f>input!G361</f>
        <v>0</v>
      </c>
      <c r="K54" s="2503">
        <f>input!H361</f>
        <v>0</v>
      </c>
      <c r="L54" s="1197">
        <f>IF(M54=$A$22,Data!$Q$1061,VLOOKUP(M54,$A$7:$AC$21,12,0))</f>
        <v>0.03</v>
      </c>
      <c r="M54" s="376" t="str">
        <f>input!I361</f>
        <v>N</v>
      </c>
      <c r="N54" s="1198">
        <f>input!J361</f>
        <v>0</v>
      </c>
      <c r="O54" s="1199">
        <f>input!K361</f>
        <v>0</v>
      </c>
      <c r="P54" s="2501">
        <f>input!L361</f>
        <v>0</v>
      </c>
      <c r="Q54" s="2501">
        <f>input!M361</f>
        <v>0</v>
      </c>
      <c r="R54" s="2570">
        <f>(B54*P54*Q54*(V54+W54))/10^12*(1+'Cost EST. GM target'!$L119)</f>
        <v>0</v>
      </c>
      <c r="S54" s="2503">
        <f>IF($I54*$J54&gt;0,Y54/$E$1,0)</f>
        <v>0</v>
      </c>
      <c r="T54" s="2509">
        <f>S54</f>
        <v>0</v>
      </c>
      <c r="V54" s="2596">
        <f>IF($J54&gt;0,ROUNDUP($E$2*$K54/$I54,0),0)*$J54</f>
        <v>0</v>
      </c>
      <c r="W54" s="2597">
        <f>IF($V54&gt;0,IF($L54=Data!$Q$1061,MAX($E$2*$J54*$L54/$I54,Data!$R$1061*$J54),VLOOKUP($M54,$A$7:$W$22,23,0)),0)</f>
        <v>0</v>
      </c>
      <c r="X54" s="2597">
        <v>0</v>
      </c>
      <c r="Y54" s="2598">
        <f>(P54*Q54/10^6)*(V54+W54)*H54</f>
        <v>0</v>
      </c>
      <c r="AC54" s="2534">
        <f>V54+W54</f>
        <v>0</v>
      </c>
      <c r="AD54" s="2535">
        <f>V54*B54*N54*O54/10^12</f>
        <v>0</v>
      </c>
      <c r="AH54" s="936" t="s">
        <v>1256</v>
      </c>
      <c r="AI54" s="938">
        <v>2.0499999999999998</v>
      </c>
      <c r="AJ54" s="937">
        <v>1.33</v>
      </c>
      <c r="AO54" s="1214" t="str">
        <f>input!$F$362</f>
        <v>N</v>
      </c>
      <c r="AR54" s="136">
        <f t="shared" si="73"/>
        <v>0</v>
      </c>
      <c r="AT54" s="136">
        <f t="shared" si="15"/>
        <v>0</v>
      </c>
      <c r="AU54" s="136">
        <f ca="1">COUNTIFS($AT$7:AT54,1)</f>
        <v>2</v>
      </c>
    </row>
    <row r="55" spans="1:47" ht="16.899999999999999" hidden="1" customHeight="1" outlineLevel="1">
      <c r="A55" s="1193" t="str">
        <f>input!A364</f>
        <v>N</v>
      </c>
      <c r="B55" s="2497">
        <f>D55+E55*VLOOKUP(C55,$AH$52:$AJ$56,3,0)+F55</f>
        <v>0</v>
      </c>
      <c r="C55" s="2498" t="str">
        <f>input!B364</f>
        <v>E-Flute</v>
      </c>
      <c r="D55" s="1196">
        <f>IF(input!C364&gt;0,VALUE(LEFT(input!C364,3)),0)</f>
        <v>0</v>
      </c>
      <c r="E55" s="1218">
        <f>IF(input!C364&gt;0,IF(LEN(input!C364)=7,RIGHT(input!C364,3),MID(input!C364,5,3)),0)</f>
        <v>0</v>
      </c>
      <c r="F55" s="1218">
        <f>IF(input!C364&gt;0,IF(LEN(input!C364)=7,0,RIGHT(input!C364,3)),0)</f>
        <v>0</v>
      </c>
      <c r="G55" s="136" t="str">
        <f>input!E364</f>
        <v>Inhouse</v>
      </c>
      <c r="H55" s="1195">
        <f>input!D364</f>
        <v>0</v>
      </c>
      <c r="I55" s="2503">
        <f>input!F364</f>
        <v>0</v>
      </c>
      <c r="J55" s="2503">
        <f>input!G364</f>
        <v>0</v>
      </c>
      <c r="K55" s="2503">
        <f>input!H364</f>
        <v>0</v>
      </c>
      <c r="L55" s="1197">
        <f>IF(M55=$A$22,Data!$Q$1061,VLOOKUP(M55,$A$7:$AC$21,12,0))</f>
        <v>0.03</v>
      </c>
      <c r="M55" s="376" t="str">
        <f>input!I364</f>
        <v>N</v>
      </c>
      <c r="N55" s="1198">
        <f>input!J364</f>
        <v>0</v>
      </c>
      <c r="O55" s="1199">
        <f>input!K364</f>
        <v>0</v>
      </c>
      <c r="P55" s="2501">
        <f>input!L364</f>
        <v>0</v>
      </c>
      <c r="Q55" s="2501">
        <f>input!M364</f>
        <v>0</v>
      </c>
      <c r="R55" s="2570">
        <f>(B55*P55*Q55*(V55+W55))/10^12*(1+'Cost EST. GM target'!$L120)</f>
        <v>0</v>
      </c>
      <c r="S55" s="2503">
        <f>IF($I55*$J55&gt;0,Y55/$E$1,0)</f>
        <v>0</v>
      </c>
      <c r="T55" s="2509">
        <f>S55</f>
        <v>0</v>
      </c>
      <c r="V55" s="2596">
        <f>IF($J55&gt;0,ROUNDUP($E$2*$K55/$I55,0),0)*$J55</f>
        <v>0</v>
      </c>
      <c r="W55" s="2597">
        <f>IF($V55&gt;0,IF($L55=Data!$Q$1061,MAX($E$2*$J55*$L55/$I55,Data!$R$1061*$J55),VLOOKUP($M55,$A$7:$W$22,23,0)),0)</f>
        <v>0</v>
      </c>
      <c r="X55" s="2597">
        <v>0</v>
      </c>
      <c r="Y55" s="2598">
        <f>(P55*Q55/10^6)*(V55+W55)*H55</f>
        <v>0</v>
      </c>
      <c r="AC55" s="2534">
        <f>V55+W55</f>
        <v>0</v>
      </c>
      <c r="AD55" s="2535">
        <f>V55*B55*N55*O55/10^12</f>
        <v>0</v>
      </c>
      <c r="AH55" s="936" t="s">
        <v>697</v>
      </c>
      <c r="AI55" s="937">
        <v>3.2</v>
      </c>
      <c r="AJ55" s="937">
        <v>1.43</v>
      </c>
      <c r="AO55" s="1214" t="str">
        <f>input!$F$365</f>
        <v>N</v>
      </c>
      <c r="AR55" s="136">
        <f t="shared" si="73"/>
        <v>0</v>
      </c>
      <c r="AT55" s="136">
        <f t="shared" si="15"/>
        <v>0</v>
      </c>
      <c r="AU55" s="136">
        <f ca="1">COUNTIFS($AT$7:AT55,1)</f>
        <v>2</v>
      </c>
    </row>
    <row r="56" spans="1:47" ht="16.899999999999999" hidden="1" customHeight="1" outlineLevel="1">
      <c r="A56" s="1193" t="str">
        <f>input!A367</f>
        <v>N</v>
      </c>
      <c r="B56" s="2497">
        <f>D56+E56*VLOOKUP(C56,$AH$52:$AJ$56,3,0)+F56</f>
        <v>0</v>
      </c>
      <c r="C56" s="2498" t="str">
        <f>input!B367</f>
        <v>E-Flute</v>
      </c>
      <c r="D56" s="1196">
        <f>IF(input!C367&gt;0,VALUE(LEFT(input!C367,3)),0)</f>
        <v>0</v>
      </c>
      <c r="E56" s="1218">
        <f>IF(input!C367&gt;0,IF(LEN(input!C367)=7,RIGHT(input!C367,3),MID(input!C367,5,3)),0)</f>
        <v>0</v>
      </c>
      <c r="F56" s="1218">
        <f>IF(input!C367&gt;0,IF(LEN(input!C367)=7,0,RIGHT(input!C367,3)),0)</f>
        <v>0</v>
      </c>
      <c r="G56" s="136" t="str">
        <f>input!E367</f>
        <v>Inhouse</v>
      </c>
      <c r="H56" s="1195">
        <f>input!D367</f>
        <v>0</v>
      </c>
      <c r="I56" s="2503">
        <f>input!F367</f>
        <v>0</v>
      </c>
      <c r="J56" s="2503">
        <f>input!G367</f>
        <v>0</v>
      </c>
      <c r="K56" s="2503">
        <f>input!H367</f>
        <v>0</v>
      </c>
      <c r="L56" s="1197">
        <f>IF(M56=$A$22,Data!$Q$1061,VLOOKUP(M56,$A$7:$AC$21,12,0))</f>
        <v>0.03</v>
      </c>
      <c r="M56" s="376" t="str">
        <f>input!I367</f>
        <v>N</v>
      </c>
      <c r="N56" s="1198">
        <f>input!J367</f>
        <v>0</v>
      </c>
      <c r="O56" s="1199">
        <f>input!K367</f>
        <v>0</v>
      </c>
      <c r="P56" s="2501">
        <f>input!L367</f>
        <v>0</v>
      </c>
      <c r="Q56" s="2501">
        <f>input!M367</f>
        <v>0</v>
      </c>
      <c r="R56" s="2570">
        <f>(B56*P56*Q56*(V56+W56))/10^12*(1+'Cost EST. GM target'!$L121)</f>
        <v>0</v>
      </c>
      <c r="S56" s="2503">
        <f>IF($I56*$J56&gt;0,Y56/$E$1,0)</f>
        <v>0</v>
      </c>
      <c r="T56" s="2509">
        <f>S56</f>
        <v>0</v>
      </c>
      <c r="V56" s="2596">
        <f>IF($J56&gt;0,ROUNDUP($E$2*$K56/$I56,0),0)*$J56</f>
        <v>0</v>
      </c>
      <c r="W56" s="2597">
        <f>IF($V56&gt;0,IF($L56=Data!$Q$1061,MAX($E$2*$J56*$L56/$I56,Data!$R$1061*$J56),VLOOKUP($M56,$A$7:$W$22,23,0)),0)</f>
        <v>0</v>
      </c>
      <c r="X56" s="2597">
        <v>0</v>
      </c>
      <c r="Y56" s="2598">
        <f>(P56*Q56/10^6)*(V56+W56)*H56</f>
        <v>0</v>
      </c>
      <c r="AC56" s="2534">
        <f>V56+W56</f>
        <v>0</v>
      </c>
      <c r="AD56" s="2535">
        <f>V56*B56*N56*O56/10^12</f>
        <v>0</v>
      </c>
      <c r="AH56" s="344" t="s">
        <v>3122</v>
      </c>
      <c r="AI56" s="331">
        <v>4</v>
      </c>
      <c r="AJ56" s="330">
        <v>1.45</v>
      </c>
      <c r="AO56" s="1214" t="str">
        <f>input!$F$368</f>
        <v>N</v>
      </c>
      <c r="AR56" s="136">
        <f>ROUNDUP((B56*N56*O56*SUM(V56:X56)/10^12),3)</f>
        <v>0</v>
      </c>
      <c r="AT56" s="136">
        <f t="shared" si="15"/>
        <v>0</v>
      </c>
      <c r="AU56" s="136">
        <f ca="1">COUNTIFS($AT$7:AT56,1)</f>
        <v>2</v>
      </c>
    </row>
    <row r="57" spans="1:47" ht="16.899999999999999" hidden="1" customHeight="1" outlineLevel="1">
      <c r="A57" s="1201" t="str">
        <f>input!A370</f>
        <v>N</v>
      </c>
      <c r="B57" s="916">
        <f>D57+E57*VLOOKUP(C57,$AH$52:$AJ$56,3,0)+F57</f>
        <v>0</v>
      </c>
      <c r="C57" s="917" t="str">
        <f>input!B370</f>
        <v>E-Flute</v>
      </c>
      <c r="D57" s="1204">
        <f>IF(input!C370&gt;0,VALUE(LEFT(input!C370,3)),0)</f>
        <v>0</v>
      </c>
      <c r="E57" s="1204">
        <f>IF(input!C370&gt;0,IF(LEN(input!C370)=7,RIGHT(input!C370,3),MID(input!C370,5,3)),0)</f>
        <v>0</v>
      </c>
      <c r="F57" s="1204">
        <f>IF(input!C370&gt;0,IF(LEN(input!C370)=7,0,RIGHT(input!C370,3)),0)</f>
        <v>0</v>
      </c>
      <c r="G57" s="1219" t="str">
        <f>input!E370</f>
        <v>Inhouse</v>
      </c>
      <c r="H57" s="1203">
        <f>input!D370</f>
        <v>0</v>
      </c>
      <c r="I57" s="2505">
        <f>input!F370</f>
        <v>0</v>
      </c>
      <c r="J57" s="2505">
        <f>input!G370</f>
        <v>0</v>
      </c>
      <c r="K57" s="2505">
        <f>input!H370</f>
        <v>0</v>
      </c>
      <c r="L57" s="1205">
        <f>IF(M57=$A$22,Data!$Q$1061,VLOOKUP(M57,$A$7:$AC$21,12,0))</f>
        <v>0.03</v>
      </c>
      <c r="M57" s="1216" t="str">
        <f>input!I370</f>
        <v>N</v>
      </c>
      <c r="N57" s="1206">
        <f>input!J370</f>
        <v>0</v>
      </c>
      <c r="O57" s="1207">
        <f>input!K370</f>
        <v>0</v>
      </c>
      <c r="P57" s="2507">
        <f>input!L370</f>
        <v>0</v>
      </c>
      <c r="Q57" s="2507">
        <f>input!M370</f>
        <v>0</v>
      </c>
      <c r="R57" s="2571">
        <f>(B57*P57*Q57*(V57+W57))/10^12*(1+'Cost EST. GM target'!$L122)</f>
        <v>0</v>
      </c>
      <c r="S57" s="2505">
        <f>IF($I57*$J57&gt;0,Y57/$E$1,0)</f>
        <v>0</v>
      </c>
      <c r="T57" s="2510">
        <f>S57</f>
        <v>0</v>
      </c>
      <c r="V57" s="2599">
        <f>IF($J57&gt;0,ROUNDUP($E$2*$K57/$I57,0),0)*$J57</f>
        <v>0</v>
      </c>
      <c r="W57" s="2600">
        <f>IF($V57&gt;0,IF($L57=Data!$Q$1061,MAX($E$2*$J57*$L57/$I57,Data!$R$1061*$J57),VLOOKUP($M57,$A$7:$W$22,23,0)),0)</f>
        <v>0</v>
      </c>
      <c r="X57" s="2600">
        <v>0</v>
      </c>
      <c r="Y57" s="2601">
        <f>(P57*Q57/10^6)*(V57+W57)*H57</f>
        <v>0</v>
      </c>
      <c r="AC57" s="2536">
        <f>V57+W57</f>
        <v>0</v>
      </c>
      <c r="AD57" s="2537">
        <f>V57*B57*N57*O57/10^12</f>
        <v>0</v>
      </c>
      <c r="AI57" s="939"/>
      <c r="AJ57" s="320"/>
      <c r="AO57" s="1214" t="str">
        <f>input!$F$371</f>
        <v>N</v>
      </c>
      <c r="AR57" s="136">
        <f t="shared" ref="AR57:AR71" si="74">ROUNDUP((B57*N57*O57*SUM(V57:X57)/10^12),3)</f>
        <v>0</v>
      </c>
      <c r="AT57" s="136">
        <f t="shared" si="15"/>
        <v>0</v>
      </c>
      <c r="AU57" s="136">
        <f ca="1">COUNTIFS($AT$7:AT57,1)</f>
        <v>2</v>
      </c>
    </row>
    <row r="58" spans="1:47" ht="16.899999999999999" customHeight="1">
      <c r="A58" s="314"/>
      <c r="B58" s="320"/>
      <c r="C58" s="320"/>
      <c r="D58" s="320"/>
      <c r="E58" s="320"/>
      <c r="G58" s="320"/>
      <c r="H58" s="320"/>
      <c r="I58" s="320"/>
      <c r="J58" s="320"/>
      <c r="K58" s="320"/>
      <c r="L58" s="320"/>
      <c r="M58" s="320"/>
      <c r="N58" s="320"/>
      <c r="O58" s="320"/>
      <c r="P58" s="320"/>
      <c r="Q58" s="320"/>
      <c r="S58" s="347" t="s">
        <v>21</v>
      </c>
      <c r="T58" s="935">
        <f ca="1">SUM(T53:T57)*(1+$T$3)</f>
        <v>692.97382200000004</v>
      </c>
      <c r="AO58" s="136" t="s">
        <v>21</v>
      </c>
      <c r="AT58" s="136">
        <f t="shared" ca="1" si="15"/>
        <v>0</v>
      </c>
      <c r="AU58" s="136">
        <f ca="1">COUNTIFS($AT$7:AT58,1)</f>
        <v>2</v>
      </c>
    </row>
    <row r="59" spans="1:47" ht="16.899999999999999" hidden="1" customHeight="1">
      <c r="A59" s="320"/>
      <c r="B59" s="798" t="s">
        <v>2344</v>
      </c>
      <c r="C59" s="320"/>
      <c r="D59" s="320"/>
      <c r="E59" s="320"/>
      <c r="F59" s="320"/>
      <c r="G59" s="320"/>
      <c r="H59" s="320"/>
      <c r="I59" s="320"/>
      <c r="J59" s="320"/>
      <c r="K59" s="320"/>
      <c r="L59" s="320"/>
      <c r="M59" s="320"/>
      <c r="N59" s="320"/>
      <c r="O59" s="320"/>
      <c r="AT59" s="136" t="str">
        <f t="shared" si="15"/>
        <v/>
      </c>
      <c r="AU59" s="136">
        <f ca="1">COUNTIFS($AT$7:AT59,1)</f>
        <v>2</v>
      </c>
    </row>
    <row r="60" spans="1:47" ht="36" hidden="1" customHeight="1">
      <c r="A60" s="2540" t="s">
        <v>594</v>
      </c>
      <c r="B60" s="2540" t="s">
        <v>126</v>
      </c>
      <c r="C60" s="2540" t="s">
        <v>2345</v>
      </c>
      <c r="D60" s="2540" t="s">
        <v>1417</v>
      </c>
      <c r="E60" s="2540" t="s">
        <v>235</v>
      </c>
      <c r="F60" s="2540"/>
      <c r="G60" s="2540" t="s">
        <v>1099</v>
      </c>
      <c r="H60" s="2540" t="s">
        <v>1087</v>
      </c>
      <c r="I60" s="2540" t="s">
        <v>17</v>
      </c>
      <c r="J60" s="2525" t="s">
        <v>12</v>
      </c>
      <c r="K60" s="2525" t="s">
        <v>1343</v>
      </c>
      <c r="L60" s="2525" t="s">
        <v>78</v>
      </c>
      <c r="M60" s="2531" t="s">
        <v>1100</v>
      </c>
      <c r="N60" s="2541" t="s">
        <v>212</v>
      </c>
      <c r="O60" s="2540" t="s">
        <v>1089</v>
      </c>
      <c r="P60" s="2540" t="s">
        <v>212</v>
      </c>
      <c r="Q60" s="2540" t="s">
        <v>1090</v>
      </c>
      <c r="R60" s="2540" t="s">
        <v>1073</v>
      </c>
      <c r="S60" s="2540" t="s">
        <v>146</v>
      </c>
      <c r="T60" s="933" t="s">
        <v>1098</v>
      </c>
      <c r="U60" s="402"/>
      <c r="V60" s="2540" t="s">
        <v>1075</v>
      </c>
      <c r="W60" s="2540" t="s">
        <v>1076</v>
      </c>
      <c r="X60" s="2540" t="s">
        <v>20</v>
      </c>
      <c r="Y60" s="2540" t="s">
        <v>1077</v>
      </c>
      <c r="AC60" s="2151" t="s">
        <v>1079</v>
      </c>
      <c r="AD60" s="2151" t="s">
        <v>1080</v>
      </c>
      <c r="AP60" s="2518" t="s">
        <v>2060</v>
      </c>
      <c r="AT60" s="136" t="str">
        <f t="shared" si="15"/>
        <v/>
      </c>
      <c r="AU60" s="136">
        <f ca="1">COUNTIFS($AT$7:AT60,1)</f>
        <v>2</v>
      </c>
    </row>
    <row r="61" spans="1:47" ht="16.899999999999999" hidden="1" customHeight="1">
      <c r="A61" s="2542" t="str">
        <f>input!A25</f>
        <v>Box</v>
      </c>
      <c r="B61" s="2543">
        <f>IF($D61="Y",input!$L33,0)</f>
        <v>0</v>
      </c>
      <c r="C61" s="2544" t="str">
        <f>input!J33</f>
        <v>LDPE HANWHA 955</v>
      </c>
      <c r="D61" s="2545" t="str">
        <f>input!$K33</f>
        <v>N</v>
      </c>
      <c r="E61" s="2544" t="str">
        <f>(VLOOKUP($C61,Data!$P$13:$AA$822,12,0))</f>
        <v>HANWHA 955</v>
      </c>
      <c r="F61" s="2544"/>
      <c r="G61" s="2544" t="s">
        <v>202</v>
      </c>
      <c r="H61" s="2479">
        <f>(VLOOKUP(C61,Data!$P$13:$V$822,IF(G61=Data!$T$12,5,6),0))</f>
        <v>36553.534399999997</v>
      </c>
      <c r="I61" s="2546">
        <f>IF($D61="Y",SUMIFS($I$7:$I$11,$A$7:$A$11,$A61),0)</f>
        <v>0</v>
      </c>
      <c r="J61" s="2547">
        <f>IF($D61="Y",SUMIFS($J$7:$J$11,$A$7:$A$11,$A61),0)</f>
        <v>0</v>
      </c>
      <c r="K61" s="2547">
        <f>IF($D61="Y",SUMIFS($K$7:$K$11,$A$7:$A$11,$A61),0)</f>
        <v>0</v>
      </c>
      <c r="L61" s="2544">
        <f>IF($D61="Y",SUMIFS($L$7:$L$11,$A$7:$A$11,$A61),0)</f>
        <v>0</v>
      </c>
      <c r="M61" s="2543" t="str">
        <f>A61</f>
        <v>Box</v>
      </c>
      <c r="N61" s="2547">
        <f>IF($D61="Y",SUMIFS($N$7:$N$11,$A$7:$A$11,$A61),0)</f>
        <v>0</v>
      </c>
      <c r="O61" s="2547">
        <f>IF($D61="Y",SUMIFS($O$7:$O$11,$A$7:$A$11,$A61),0)</f>
        <v>0</v>
      </c>
      <c r="P61" s="2547">
        <f>IF($D61="Y",SUMIFS($P$7:$P$11,$A$7:$A$11,$A61),0)</f>
        <v>0</v>
      </c>
      <c r="Q61" s="2547">
        <f>IF($D61="Y",SUMIFS($Q$7:$Q$11,$A$7:$A$11,$A61),0)</f>
        <v>0</v>
      </c>
      <c r="R61" s="2572">
        <f>ROUNDUP((B61*P61*Q61*SUM(V61:X61)/10^12),3)</f>
        <v>0</v>
      </c>
      <c r="S61" s="2558">
        <f>IF($I61*$J61&gt;0,Y61/$E$1,0)</f>
        <v>0</v>
      </c>
      <c r="T61" s="2561">
        <f>S61+IF($I61*$J61&gt;0,$AD61*$AP61*1000/$E$1,0)*$T$4</f>
        <v>0</v>
      </c>
      <c r="V61" s="2587">
        <f>IF($D61="Y",SUMIFS($V$7:$V$11,$A$7:$A$11,$A61),0)</f>
        <v>0</v>
      </c>
      <c r="W61" s="2588">
        <f>IF($D61="Y",SUMIFS($W$7:$W$11,$A$7:$A$11,$A61),0)</f>
        <v>0</v>
      </c>
      <c r="X61" s="2588">
        <f>IF($D61="Y",SUMIFS($X$7:$X$21,$A$7:$A$21,$A61),0)</f>
        <v>0</v>
      </c>
      <c r="Y61" s="2589">
        <f>R61*1000*H61</f>
        <v>0</v>
      </c>
      <c r="AC61" s="2532">
        <f>V61+W61</f>
        <v>0</v>
      </c>
      <c r="AD61" s="2533">
        <f>V61*B61*N61*O61/10^12</f>
        <v>0</v>
      </c>
      <c r="AP61" s="2522">
        <f>IF($G61="Import",(SUMIF(Data!$P$13:$P$822,Paper!$C61,Data!$L$13:$L$822))*$K$3/1000,SUMIF(Data!$P$13:$P$822,Paper!$C61,Data!$S$13:$S$822)/1.08)</f>
        <v>35294.699999999997</v>
      </c>
      <c r="AR61" s="136">
        <f t="shared" si="74"/>
        <v>0</v>
      </c>
      <c r="AT61" s="136">
        <f t="shared" si="15"/>
        <v>0</v>
      </c>
      <c r="AU61" s="136">
        <f ca="1">COUNTIFS($AT$7:AT61,1)</f>
        <v>2</v>
      </c>
    </row>
    <row r="62" spans="1:47" ht="16.899999999999999" hidden="1" customHeight="1">
      <c r="A62" s="2548" t="str">
        <f>input!A42</f>
        <v>N</v>
      </c>
      <c r="B62" s="2476">
        <f>IF($D62="Y",input!$L50,0)</f>
        <v>0</v>
      </c>
      <c r="C62" s="2477" t="str">
        <f>input!J50</f>
        <v>LDPE HANWHA 955</v>
      </c>
      <c r="D62" s="2478" t="str">
        <f>input!$K50</f>
        <v>N</v>
      </c>
      <c r="E62" s="2477" t="str">
        <f>(VLOOKUP($C62,Data!$P$13:$AA$822,12,0))</f>
        <v>HANWHA 955</v>
      </c>
      <c r="F62" s="2484"/>
      <c r="G62" s="2477" t="s">
        <v>202</v>
      </c>
      <c r="H62" s="2485">
        <f>(VLOOKUP(C62,Data!$P$13:$V$822,IF(G62=Data!$T$12,5,6),0))</f>
        <v>36553.534399999997</v>
      </c>
      <c r="I62" s="2511">
        <f t="shared" ref="I62:I70" si="75">IF($D62="Y",SUMIFS($I$7:$I$11,$A$7:$A$11,$A62),0)</f>
        <v>0</v>
      </c>
      <c r="J62" s="2512">
        <f t="shared" ref="J62:J70" si="76">IF($D62="Y",SUMIFS($J$7:$J$11,$A$7:$A$11,$A62),0)</f>
        <v>0</v>
      </c>
      <c r="K62" s="2512">
        <f t="shared" ref="K62:K70" si="77">IF($D62="Y",SUMIFS($K$7:$K$11,$A$7:$A$11,$A62),0)</f>
        <v>0</v>
      </c>
      <c r="L62" s="2477">
        <f t="shared" ref="L62:L70" si="78">IF($D62="Y",SUMIFS($L$7:$L$11,$A$7:$A$11,$A62),0)</f>
        <v>0</v>
      </c>
      <c r="M62" s="2480" t="str">
        <f t="shared" ref="M62:M70" si="79">A62</f>
        <v>N</v>
      </c>
      <c r="N62" s="2512">
        <f t="shared" ref="N62:N70" si="80">IF($D62="Y",SUMIFS($N$7:$N$11,$A$7:$A$11,$A62),0)</f>
        <v>0</v>
      </c>
      <c r="O62" s="2512">
        <f t="shared" ref="O62:O70" si="81">IF($D62="Y",SUMIFS($O$7:$O$11,$A$7:$A$11,$A62),0)</f>
        <v>0</v>
      </c>
      <c r="P62" s="2512">
        <f t="shared" ref="P62:P70" si="82">IF($D62="Y",SUMIFS($P$7:$P$11,$A$7:$A$11,$A62),0)</f>
        <v>0</v>
      </c>
      <c r="Q62" s="2512">
        <f t="shared" ref="Q62:Q70" si="83">IF($D62="Y",SUMIFS($Q$7:$Q$11,$A$7:$A$11,$A62),0)</f>
        <v>0</v>
      </c>
      <c r="R62" s="2573">
        <f t="shared" ref="R62:R70" si="84">ROUNDUP((B62*P62*Q62*SUM(V62:X62)/10^12),3)</f>
        <v>0</v>
      </c>
      <c r="S62" s="2559">
        <f t="shared" ref="S62:S70" si="85">IF($I62*$J62&gt;0,Y62/$E$1,0)</f>
        <v>0</v>
      </c>
      <c r="T62" s="2562">
        <f t="shared" ref="T62:T70" si="86">S62+IF($I62*$J62&gt;0,$AD62*$AP62*1000/$E$1,0)*$T$4</f>
        <v>0</v>
      </c>
      <c r="V62" s="2481">
        <f t="shared" ref="V62:V70" si="87">IF($D62="Y",SUMIFS($V$7:$V$11,$A$7:$A$11,$A62),0)</f>
        <v>0</v>
      </c>
      <c r="W62" s="2482">
        <f t="shared" ref="W62:W70" si="88">IF($D62="Y",SUMIFS($W$7:$W$11,$A$7:$A$11,$A62),0)</f>
        <v>0</v>
      </c>
      <c r="X62" s="2482">
        <f>IF($D62="Y",SUMIFS($X$7:$X$21,$A$7:$A$21,$A62),0)</f>
        <v>0</v>
      </c>
      <c r="Y62" s="2483">
        <f t="shared" ref="Y62:Y70" si="89">R62*1000*H62</f>
        <v>0</v>
      </c>
      <c r="AC62" s="2534">
        <f>V62+W62</f>
        <v>0</v>
      </c>
      <c r="AD62" s="2535">
        <f>V62*B62*N62*O62/10^12</f>
        <v>0</v>
      </c>
      <c r="AP62" s="2523">
        <f>IF($G62="Import",(SUMIF(Data!$P$13:$P$822,Paper!$C62,Data!$L$13:$L$822))*$K$3/1000,SUMIF(Data!$P$13:$P$822,Paper!$C62,Data!$S$13:$S$822)/1.08)</f>
        <v>35294.699999999997</v>
      </c>
      <c r="AR62" s="136">
        <f t="shared" si="74"/>
        <v>0</v>
      </c>
      <c r="AT62" s="136">
        <f t="shared" si="15"/>
        <v>0</v>
      </c>
      <c r="AU62" s="136">
        <f ca="1">COUNTIFS($AT$7:AT62,1)</f>
        <v>2</v>
      </c>
    </row>
    <row r="63" spans="1:47" ht="16.899999999999999" hidden="1" customHeight="1">
      <c r="A63" s="2548" t="str">
        <f>input!A59</f>
        <v>N</v>
      </c>
      <c r="B63" s="2476">
        <f>IF($D63="Y",input!$L67,0)</f>
        <v>0</v>
      </c>
      <c r="C63" s="2477" t="str">
        <f>input!J67</f>
        <v>LDPE HANWHA 955</v>
      </c>
      <c r="D63" s="2478" t="str">
        <f>input!$K67</f>
        <v>N</v>
      </c>
      <c r="E63" s="2477" t="str">
        <f>(VLOOKUP($C63,Data!$P$13:$AA$822,12,0))</f>
        <v>HANWHA 955</v>
      </c>
      <c r="F63" s="2484"/>
      <c r="G63" s="2477" t="s">
        <v>202</v>
      </c>
      <c r="H63" s="2485">
        <f>(VLOOKUP(C63,Data!$P$13:$V$822,IF(G63=Data!$T$12,5,6),0))</f>
        <v>36553.534399999997</v>
      </c>
      <c r="I63" s="2511">
        <f t="shared" si="75"/>
        <v>0</v>
      </c>
      <c r="J63" s="2512">
        <f t="shared" si="76"/>
        <v>0</v>
      </c>
      <c r="K63" s="2512">
        <f t="shared" si="77"/>
        <v>0</v>
      </c>
      <c r="L63" s="2477">
        <f t="shared" si="78"/>
        <v>0</v>
      </c>
      <c r="M63" s="2480" t="str">
        <f t="shared" si="79"/>
        <v>N</v>
      </c>
      <c r="N63" s="2512">
        <f t="shared" si="80"/>
        <v>0</v>
      </c>
      <c r="O63" s="2512">
        <f t="shared" si="81"/>
        <v>0</v>
      </c>
      <c r="P63" s="2512">
        <f t="shared" si="82"/>
        <v>0</v>
      </c>
      <c r="Q63" s="2512">
        <f t="shared" si="83"/>
        <v>0</v>
      </c>
      <c r="R63" s="2573">
        <f t="shared" si="84"/>
        <v>0</v>
      </c>
      <c r="S63" s="2559">
        <f t="shared" si="85"/>
        <v>0</v>
      </c>
      <c r="T63" s="2562">
        <f t="shared" si="86"/>
        <v>0</v>
      </c>
      <c r="V63" s="2481">
        <f t="shared" si="87"/>
        <v>0</v>
      </c>
      <c r="W63" s="2482">
        <f t="shared" si="88"/>
        <v>0</v>
      </c>
      <c r="X63" s="2482">
        <f t="shared" ref="X63:X69" si="90">IF($D63="Y",SUMIFS($X$7:$X$21,$A$7:$A$21,$A63),0)</f>
        <v>0</v>
      </c>
      <c r="Y63" s="2483">
        <f t="shared" si="89"/>
        <v>0</v>
      </c>
      <c r="AC63" s="2534">
        <f>V63+W63</f>
        <v>0</v>
      </c>
      <c r="AD63" s="2535">
        <f>V63*B63*N63*O63/10^12</f>
        <v>0</v>
      </c>
      <c r="AP63" s="2523">
        <f>IF($G63="Import",(SUMIF(Data!$P$13:$P$822,Paper!$C63,Data!$L$13:$L$822))*$K$3/1000,SUMIF(Data!$P$13:$P$822,Paper!$C63,Data!$S$13:$S$822)/1.08)</f>
        <v>35294.699999999997</v>
      </c>
      <c r="AR63" s="136">
        <f t="shared" si="74"/>
        <v>0</v>
      </c>
      <c r="AT63" s="136">
        <f t="shared" si="15"/>
        <v>0</v>
      </c>
      <c r="AU63" s="136">
        <f ca="1">COUNTIFS($AT$7:AT63,1)</f>
        <v>2</v>
      </c>
    </row>
    <row r="64" spans="1:47" ht="16.899999999999999" hidden="1" customHeight="1">
      <c r="A64" s="2548" t="str">
        <f>input!A76</f>
        <v>N</v>
      </c>
      <c r="B64" s="2476">
        <f>IF($D64="Y",input!$L84,0)</f>
        <v>0</v>
      </c>
      <c r="C64" s="2477" t="str">
        <f>input!J84</f>
        <v>LDPE HANWHA 955</v>
      </c>
      <c r="D64" s="2478" t="str">
        <f>input!$K84</f>
        <v>N</v>
      </c>
      <c r="E64" s="2477" t="str">
        <f>(VLOOKUP($C64,Data!$P$13:$AA$822,12,0))</f>
        <v>HANWHA 955</v>
      </c>
      <c r="F64" s="2484"/>
      <c r="G64" s="2477" t="s">
        <v>202</v>
      </c>
      <c r="H64" s="2485">
        <f>(VLOOKUP(C64,Data!$P$13:$V$822,IF(G64=Data!$T$12,5,6),0))</f>
        <v>36553.534399999997</v>
      </c>
      <c r="I64" s="2511">
        <f t="shared" si="75"/>
        <v>0</v>
      </c>
      <c r="J64" s="2512">
        <f t="shared" si="76"/>
        <v>0</v>
      </c>
      <c r="K64" s="2512">
        <f t="shared" si="77"/>
        <v>0</v>
      </c>
      <c r="L64" s="2477">
        <f t="shared" si="78"/>
        <v>0</v>
      </c>
      <c r="M64" s="2480" t="str">
        <f t="shared" si="79"/>
        <v>N</v>
      </c>
      <c r="N64" s="2512">
        <f t="shared" si="80"/>
        <v>0</v>
      </c>
      <c r="O64" s="2512">
        <f t="shared" si="81"/>
        <v>0</v>
      </c>
      <c r="P64" s="2512">
        <f t="shared" si="82"/>
        <v>0</v>
      </c>
      <c r="Q64" s="2512">
        <f t="shared" si="83"/>
        <v>0</v>
      </c>
      <c r="R64" s="2573">
        <f t="shared" si="84"/>
        <v>0</v>
      </c>
      <c r="S64" s="2559">
        <f t="shared" si="85"/>
        <v>0</v>
      </c>
      <c r="T64" s="2562">
        <f t="shared" si="86"/>
        <v>0</v>
      </c>
      <c r="V64" s="2481">
        <f t="shared" si="87"/>
        <v>0</v>
      </c>
      <c r="W64" s="2482">
        <f t="shared" si="88"/>
        <v>0</v>
      </c>
      <c r="X64" s="2482">
        <f t="shared" si="90"/>
        <v>0</v>
      </c>
      <c r="Y64" s="2483">
        <f t="shared" si="89"/>
        <v>0</v>
      </c>
      <c r="AC64" s="2534">
        <f>V64+W64</f>
        <v>0</v>
      </c>
      <c r="AD64" s="2535">
        <f>V64*B64*N64*O64/10^12</f>
        <v>0</v>
      </c>
      <c r="AP64" s="2523">
        <f>IF($G64="Import",(SUMIF(Data!$P$13:$P$822,Paper!$C64,Data!$L$13:$L$822))*$K$3/1000,SUMIF(Data!$P$13:$P$822,Paper!$C64,Data!$S$13:$S$822)/1.08)</f>
        <v>35294.699999999997</v>
      </c>
      <c r="AR64" s="136">
        <f t="shared" si="74"/>
        <v>0</v>
      </c>
      <c r="AT64" s="136">
        <f t="shared" si="15"/>
        <v>0</v>
      </c>
      <c r="AU64" s="136">
        <f ca="1">COUNTIFS($AT$7:AT64,1)</f>
        <v>2</v>
      </c>
    </row>
    <row r="65" spans="1:47" ht="16.899999999999999" hidden="1" customHeight="1">
      <c r="A65" s="2548" t="str">
        <f>input!A93</f>
        <v>N</v>
      </c>
      <c r="B65" s="2476">
        <f>IF($D65="Y",input!$L101,0)</f>
        <v>0</v>
      </c>
      <c r="C65" s="2477" t="str">
        <f>input!J101</f>
        <v>LDPE HANWHA 955</v>
      </c>
      <c r="D65" s="2478" t="str">
        <f>input!$K101</f>
        <v>N</v>
      </c>
      <c r="E65" s="2477" t="str">
        <f>(VLOOKUP($C65,Data!$P$13:$AA$822,12,0))</f>
        <v>HANWHA 955</v>
      </c>
      <c r="F65" s="2484"/>
      <c r="G65" s="2477" t="s">
        <v>202</v>
      </c>
      <c r="H65" s="2485">
        <f>(VLOOKUP(C65,Data!$P$13:$V$822,IF(G65=Data!$T$12,5,6),0))</f>
        <v>36553.534399999997</v>
      </c>
      <c r="I65" s="2511">
        <f t="shared" si="75"/>
        <v>0</v>
      </c>
      <c r="J65" s="2512">
        <f t="shared" si="76"/>
        <v>0</v>
      </c>
      <c r="K65" s="2512">
        <f t="shared" si="77"/>
        <v>0</v>
      </c>
      <c r="L65" s="2477">
        <f t="shared" si="78"/>
        <v>0</v>
      </c>
      <c r="M65" s="2480" t="str">
        <f t="shared" si="79"/>
        <v>N</v>
      </c>
      <c r="N65" s="2512">
        <f t="shared" si="80"/>
        <v>0</v>
      </c>
      <c r="O65" s="2512">
        <f t="shared" si="81"/>
        <v>0</v>
      </c>
      <c r="P65" s="2512">
        <f t="shared" si="82"/>
        <v>0</v>
      </c>
      <c r="Q65" s="2512">
        <f t="shared" si="83"/>
        <v>0</v>
      </c>
      <c r="R65" s="2573">
        <f t="shared" si="84"/>
        <v>0</v>
      </c>
      <c r="S65" s="2559">
        <f t="shared" si="85"/>
        <v>0</v>
      </c>
      <c r="T65" s="2562">
        <f t="shared" si="86"/>
        <v>0</v>
      </c>
      <c r="V65" s="2481">
        <f t="shared" si="87"/>
        <v>0</v>
      </c>
      <c r="W65" s="2482">
        <f t="shared" si="88"/>
        <v>0</v>
      </c>
      <c r="X65" s="2482">
        <f t="shared" si="90"/>
        <v>0</v>
      </c>
      <c r="Y65" s="2483">
        <f t="shared" si="89"/>
        <v>0</v>
      </c>
      <c r="AC65" s="2534">
        <f t="shared" ref="AC65:AC70" si="91">V65+W65</f>
        <v>0</v>
      </c>
      <c r="AD65" s="2535">
        <f t="shared" ref="AD65:AD70" si="92">V65*B65*N65*O65/10^12</f>
        <v>0</v>
      </c>
      <c r="AP65" s="2523">
        <f>IF($G65="Import",(SUMIF(Data!$P$13:$P$822,Paper!$C65,Data!$L$13:$L$822))*$K$3/1000,SUMIF(Data!$P$13:$P$822,Paper!$C65,Data!$S$13:$S$822)/1.08)</f>
        <v>35294.699999999997</v>
      </c>
      <c r="AR65" s="136">
        <f t="shared" si="74"/>
        <v>0</v>
      </c>
      <c r="AT65" s="136">
        <f t="shared" si="15"/>
        <v>0</v>
      </c>
      <c r="AU65" s="136">
        <f ca="1">COUNTIFS($AT$7:AT65,1)</f>
        <v>2</v>
      </c>
    </row>
    <row r="66" spans="1:47" ht="16.899999999999999" hidden="1" customHeight="1">
      <c r="A66" s="2548" t="str">
        <f>input!A110</f>
        <v>N</v>
      </c>
      <c r="B66" s="2476">
        <f>IF($D66="Y",input!$L118,0)</f>
        <v>0</v>
      </c>
      <c r="C66" s="2477" t="str">
        <f>input!J118</f>
        <v>LDPE HANWHA 955</v>
      </c>
      <c r="D66" s="2478" t="str">
        <f>input!$K118</f>
        <v>N</v>
      </c>
      <c r="E66" s="2477" t="str">
        <f>(VLOOKUP($C66,Data!$P$13:$AA$822,12,0))</f>
        <v>HANWHA 955</v>
      </c>
      <c r="F66" s="2484"/>
      <c r="G66" s="2477" t="s">
        <v>202</v>
      </c>
      <c r="H66" s="2485">
        <f>(VLOOKUP(C66,Data!$P$13:$V$822,IF(G66=Data!$T$12,5,6),0))</f>
        <v>36553.534399999997</v>
      </c>
      <c r="I66" s="2511">
        <f t="shared" si="75"/>
        <v>0</v>
      </c>
      <c r="J66" s="2512">
        <f t="shared" si="76"/>
        <v>0</v>
      </c>
      <c r="K66" s="2512">
        <f t="shared" si="77"/>
        <v>0</v>
      </c>
      <c r="L66" s="2477">
        <f t="shared" si="78"/>
        <v>0</v>
      </c>
      <c r="M66" s="2480" t="str">
        <f t="shared" si="79"/>
        <v>N</v>
      </c>
      <c r="N66" s="2512">
        <f t="shared" si="80"/>
        <v>0</v>
      </c>
      <c r="O66" s="2512">
        <f t="shared" si="81"/>
        <v>0</v>
      </c>
      <c r="P66" s="2512">
        <f t="shared" si="82"/>
        <v>0</v>
      </c>
      <c r="Q66" s="2512">
        <f t="shared" si="83"/>
        <v>0</v>
      </c>
      <c r="R66" s="2573">
        <f t="shared" si="84"/>
        <v>0</v>
      </c>
      <c r="S66" s="2559">
        <f t="shared" si="85"/>
        <v>0</v>
      </c>
      <c r="T66" s="2562">
        <f t="shared" si="86"/>
        <v>0</v>
      </c>
      <c r="V66" s="2481">
        <f t="shared" si="87"/>
        <v>0</v>
      </c>
      <c r="W66" s="2482">
        <f t="shared" si="88"/>
        <v>0</v>
      </c>
      <c r="X66" s="2482">
        <f t="shared" si="90"/>
        <v>0</v>
      </c>
      <c r="Y66" s="2483">
        <f t="shared" si="89"/>
        <v>0</v>
      </c>
      <c r="AC66" s="2534">
        <f t="shared" si="91"/>
        <v>0</v>
      </c>
      <c r="AD66" s="2535">
        <f t="shared" si="92"/>
        <v>0</v>
      </c>
      <c r="AP66" s="2523">
        <f>IF($G66="Import",(SUMIF(Data!$P$13:$P$822,Paper!$C66,Data!$L$13:$L$822))*$K$3/1000,SUMIF(Data!$P$13:$P$822,Paper!$C66,Data!$S$13:$S$822)/1.08)</f>
        <v>35294.699999999997</v>
      </c>
      <c r="AR66" s="136">
        <f t="shared" si="74"/>
        <v>0</v>
      </c>
      <c r="AT66" s="136">
        <f t="shared" si="15"/>
        <v>0</v>
      </c>
      <c r="AU66" s="136">
        <f ca="1">COUNTIFS($AT$7:AT66,1)</f>
        <v>2</v>
      </c>
    </row>
    <row r="67" spans="1:47" ht="16.899999999999999" hidden="1" customHeight="1">
      <c r="A67" s="2548" t="str">
        <f>input!A127</f>
        <v>N</v>
      </c>
      <c r="B67" s="2476">
        <f>IF($D67="Y",input!$L135,0)</f>
        <v>0</v>
      </c>
      <c r="C67" s="2477" t="str">
        <f>input!J135</f>
        <v>LDPE HANWHA 955</v>
      </c>
      <c r="D67" s="2478" t="str">
        <f>input!$K135</f>
        <v>N</v>
      </c>
      <c r="E67" s="2477" t="str">
        <f>(VLOOKUP($C67,Data!$P$13:$AA$822,12,0))</f>
        <v>HANWHA 955</v>
      </c>
      <c r="F67" s="2484"/>
      <c r="G67" s="2477" t="s">
        <v>202</v>
      </c>
      <c r="H67" s="2485">
        <f>(VLOOKUP(C67,Data!$P$13:$V$822,IF(G67=Data!$T$12,5,6),0))</f>
        <v>36553.534399999997</v>
      </c>
      <c r="I67" s="2511">
        <f t="shared" si="75"/>
        <v>0</v>
      </c>
      <c r="J67" s="2512">
        <f t="shared" si="76"/>
        <v>0</v>
      </c>
      <c r="K67" s="2512">
        <f t="shared" si="77"/>
        <v>0</v>
      </c>
      <c r="L67" s="2477">
        <f t="shared" si="78"/>
        <v>0</v>
      </c>
      <c r="M67" s="2480" t="str">
        <f t="shared" si="79"/>
        <v>N</v>
      </c>
      <c r="N67" s="2512">
        <f t="shared" si="80"/>
        <v>0</v>
      </c>
      <c r="O67" s="2512">
        <f t="shared" si="81"/>
        <v>0</v>
      </c>
      <c r="P67" s="2512">
        <f t="shared" si="82"/>
        <v>0</v>
      </c>
      <c r="Q67" s="2512">
        <f t="shared" si="83"/>
        <v>0</v>
      </c>
      <c r="R67" s="2573">
        <f t="shared" si="84"/>
        <v>0</v>
      </c>
      <c r="S67" s="2559">
        <f t="shared" si="85"/>
        <v>0</v>
      </c>
      <c r="T67" s="2562">
        <f t="shared" si="86"/>
        <v>0</v>
      </c>
      <c r="V67" s="2481">
        <f t="shared" si="87"/>
        <v>0</v>
      </c>
      <c r="W67" s="2482">
        <f t="shared" si="88"/>
        <v>0</v>
      </c>
      <c r="X67" s="2482">
        <f t="shared" si="90"/>
        <v>0</v>
      </c>
      <c r="Y67" s="2483">
        <f t="shared" si="89"/>
        <v>0</v>
      </c>
      <c r="AC67" s="2534">
        <f t="shared" si="91"/>
        <v>0</v>
      </c>
      <c r="AD67" s="2535">
        <f t="shared" si="92"/>
        <v>0</v>
      </c>
      <c r="AP67" s="2523">
        <f>IF($G67="Import",(SUMIF(Data!$P$13:$P$822,Paper!$C67,Data!$L$13:$L$822))*$K$3/1000,SUMIF(Data!$P$13:$P$822,Paper!$C67,Data!$S$13:$S$822)/1.08)</f>
        <v>35294.699999999997</v>
      </c>
      <c r="AR67" s="136">
        <f t="shared" si="74"/>
        <v>0</v>
      </c>
      <c r="AT67" s="136">
        <f t="shared" si="15"/>
        <v>0</v>
      </c>
      <c r="AU67" s="136">
        <f ca="1">COUNTIFS($AT$7:AT67,1)</f>
        <v>2</v>
      </c>
    </row>
    <row r="68" spans="1:47" ht="16.899999999999999" hidden="1" customHeight="1">
      <c r="A68" s="2548" t="str">
        <f>input!A144</f>
        <v>N</v>
      </c>
      <c r="B68" s="2476">
        <f>IF($D68="Y",input!$L152,0)</f>
        <v>0</v>
      </c>
      <c r="C68" s="2477" t="str">
        <f>input!J152</f>
        <v>LDPE HANWHA 955</v>
      </c>
      <c r="D68" s="2478" t="str">
        <f>input!$K152</f>
        <v>N</v>
      </c>
      <c r="E68" s="2477" t="str">
        <f>(VLOOKUP($C68,Data!$P$13:$AA$822,12,0))</f>
        <v>HANWHA 955</v>
      </c>
      <c r="F68" s="2484"/>
      <c r="G68" s="2477" t="s">
        <v>202</v>
      </c>
      <c r="H68" s="2485">
        <f>(VLOOKUP(C68,Data!$P$13:$V$822,IF(G68=Data!$T$12,5,6),0))</f>
        <v>36553.534399999997</v>
      </c>
      <c r="I68" s="2511">
        <f t="shared" si="75"/>
        <v>0</v>
      </c>
      <c r="J68" s="2512">
        <f t="shared" si="76"/>
        <v>0</v>
      </c>
      <c r="K68" s="2512">
        <f t="shared" si="77"/>
        <v>0</v>
      </c>
      <c r="L68" s="2477">
        <f t="shared" si="78"/>
        <v>0</v>
      </c>
      <c r="M68" s="2480" t="str">
        <f t="shared" si="79"/>
        <v>N</v>
      </c>
      <c r="N68" s="2512">
        <f t="shared" si="80"/>
        <v>0</v>
      </c>
      <c r="O68" s="2512">
        <f t="shared" si="81"/>
        <v>0</v>
      </c>
      <c r="P68" s="2512">
        <f t="shared" si="82"/>
        <v>0</v>
      </c>
      <c r="Q68" s="2512">
        <f t="shared" si="83"/>
        <v>0</v>
      </c>
      <c r="R68" s="2573">
        <f t="shared" si="84"/>
        <v>0</v>
      </c>
      <c r="S68" s="2559">
        <f t="shared" si="85"/>
        <v>0</v>
      </c>
      <c r="T68" s="2562">
        <f t="shared" si="86"/>
        <v>0</v>
      </c>
      <c r="V68" s="2481">
        <f t="shared" si="87"/>
        <v>0</v>
      </c>
      <c r="W68" s="2482">
        <f t="shared" si="88"/>
        <v>0</v>
      </c>
      <c r="X68" s="2482">
        <f t="shared" si="90"/>
        <v>0</v>
      </c>
      <c r="Y68" s="2483">
        <f t="shared" si="89"/>
        <v>0</v>
      </c>
      <c r="AC68" s="2534">
        <f t="shared" si="91"/>
        <v>0</v>
      </c>
      <c r="AD68" s="2535">
        <f t="shared" si="92"/>
        <v>0</v>
      </c>
      <c r="AP68" s="2523">
        <f>IF($G68="Import",(SUMIF(Data!$P$13:$P$822,Paper!$C68,Data!$L$13:$L$822))*$K$3/1000,SUMIF(Data!$P$13:$P$822,Paper!$C68,Data!$S$13:$S$822)/1.08)</f>
        <v>35294.699999999997</v>
      </c>
      <c r="AR68" s="136">
        <f t="shared" si="74"/>
        <v>0</v>
      </c>
      <c r="AT68" s="136">
        <f t="shared" si="15"/>
        <v>0</v>
      </c>
      <c r="AU68" s="136">
        <f ca="1">COUNTIFS($AT$7:AT68,1)</f>
        <v>2</v>
      </c>
    </row>
    <row r="69" spans="1:47" ht="16.899999999999999" hidden="1" customHeight="1">
      <c r="A69" s="2548" t="str">
        <f>input!A161</f>
        <v>N</v>
      </c>
      <c r="B69" s="2476">
        <f>IF($D69="Y",input!$L169,0)</f>
        <v>0</v>
      </c>
      <c r="C69" s="2477" t="str">
        <f>input!J169</f>
        <v>LDPE HANWHA 955</v>
      </c>
      <c r="D69" s="2478" t="str">
        <f>input!$K169</f>
        <v>N</v>
      </c>
      <c r="E69" s="2477" t="str">
        <f>(VLOOKUP($C69,Data!$P$13:$AA$822,12,0))</f>
        <v>HANWHA 955</v>
      </c>
      <c r="F69" s="2484"/>
      <c r="G69" s="2477" t="s">
        <v>202</v>
      </c>
      <c r="H69" s="2485">
        <f>(VLOOKUP(C69,Data!$P$13:$V$822,IF(G69=Data!$T$12,5,6),0))</f>
        <v>36553.534399999997</v>
      </c>
      <c r="I69" s="2511">
        <f t="shared" si="75"/>
        <v>0</v>
      </c>
      <c r="J69" s="2512">
        <f t="shared" si="76"/>
        <v>0</v>
      </c>
      <c r="K69" s="2512">
        <f t="shared" si="77"/>
        <v>0</v>
      </c>
      <c r="L69" s="2477">
        <f t="shared" si="78"/>
        <v>0</v>
      </c>
      <c r="M69" s="2480" t="str">
        <f t="shared" si="79"/>
        <v>N</v>
      </c>
      <c r="N69" s="2512">
        <f t="shared" si="80"/>
        <v>0</v>
      </c>
      <c r="O69" s="2512">
        <f t="shared" si="81"/>
        <v>0</v>
      </c>
      <c r="P69" s="2512">
        <f t="shared" si="82"/>
        <v>0</v>
      </c>
      <c r="Q69" s="2512">
        <f t="shared" si="83"/>
        <v>0</v>
      </c>
      <c r="R69" s="2573">
        <f t="shared" si="84"/>
        <v>0</v>
      </c>
      <c r="S69" s="2559">
        <f t="shared" si="85"/>
        <v>0</v>
      </c>
      <c r="T69" s="2562">
        <f t="shared" si="86"/>
        <v>0</v>
      </c>
      <c r="V69" s="2481">
        <f t="shared" si="87"/>
        <v>0</v>
      </c>
      <c r="W69" s="2482">
        <f t="shared" si="88"/>
        <v>0</v>
      </c>
      <c r="X69" s="2482">
        <f t="shared" si="90"/>
        <v>0</v>
      </c>
      <c r="Y69" s="2483">
        <f t="shared" si="89"/>
        <v>0</v>
      </c>
      <c r="AC69" s="2534">
        <f t="shared" si="91"/>
        <v>0</v>
      </c>
      <c r="AD69" s="2535">
        <f t="shared" si="92"/>
        <v>0</v>
      </c>
      <c r="AP69" s="2523">
        <f>IF($G69="Import",(SUMIF(Data!$P$13:$P$822,Paper!$C69,Data!$L$13:$L$822))*$K$3/1000,SUMIF(Data!$P$13:$P$822,Paper!$C69,Data!$S$13:$S$822)/1.08)</f>
        <v>35294.699999999997</v>
      </c>
      <c r="AR69" s="136">
        <f t="shared" si="74"/>
        <v>0</v>
      </c>
      <c r="AT69" s="136">
        <f t="shared" si="15"/>
        <v>0</v>
      </c>
      <c r="AU69" s="136">
        <f ca="1">COUNTIFS($AT$7:AT69,1)</f>
        <v>2</v>
      </c>
    </row>
    <row r="70" spans="1:47" ht="16.899999999999999" hidden="1" customHeight="1">
      <c r="A70" s="2549" t="str">
        <f>input!A178</f>
        <v>N</v>
      </c>
      <c r="B70" s="2550">
        <f>IF($D70="Y",input!$L186,0)</f>
        <v>0</v>
      </c>
      <c r="C70" s="2551" t="str">
        <f>input!J186</f>
        <v>LDPE HANWHA 955</v>
      </c>
      <c r="D70" s="2552" t="str">
        <f>input!$K186</f>
        <v>N</v>
      </c>
      <c r="E70" s="2551" t="str">
        <f>(VLOOKUP($C70,Data!$P$13:$AA$822,12,0))</f>
        <v>HANWHA 955</v>
      </c>
      <c r="F70" s="2553"/>
      <c r="G70" s="2551" t="s">
        <v>202</v>
      </c>
      <c r="H70" s="2554">
        <f>(VLOOKUP(C70,Data!$P$13:$V$822,IF(G70=Data!$T$12,5,6),0))</f>
        <v>36553.534399999997</v>
      </c>
      <c r="I70" s="2555">
        <f t="shared" si="75"/>
        <v>0</v>
      </c>
      <c r="J70" s="2556">
        <f t="shared" si="76"/>
        <v>0</v>
      </c>
      <c r="K70" s="2556">
        <f t="shared" si="77"/>
        <v>0</v>
      </c>
      <c r="L70" s="2551">
        <f t="shared" si="78"/>
        <v>0</v>
      </c>
      <c r="M70" s="2557" t="str">
        <f t="shared" si="79"/>
        <v>N</v>
      </c>
      <c r="N70" s="2556">
        <f t="shared" si="80"/>
        <v>0</v>
      </c>
      <c r="O70" s="2556">
        <f t="shared" si="81"/>
        <v>0</v>
      </c>
      <c r="P70" s="2556">
        <f t="shared" si="82"/>
        <v>0</v>
      </c>
      <c r="Q70" s="2556">
        <f t="shared" si="83"/>
        <v>0</v>
      </c>
      <c r="R70" s="2574">
        <f t="shared" si="84"/>
        <v>0</v>
      </c>
      <c r="S70" s="2560">
        <f t="shared" si="85"/>
        <v>0</v>
      </c>
      <c r="T70" s="2563">
        <f t="shared" si="86"/>
        <v>0</v>
      </c>
      <c r="V70" s="2590">
        <f t="shared" si="87"/>
        <v>0</v>
      </c>
      <c r="W70" s="2591">
        <f t="shared" si="88"/>
        <v>0</v>
      </c>
      <c r="X70" s="2591">
        <f>IF($D70="Y",SUMIFS($X$7:$X$21,$A$7:$A$21,$A70),0)</f>
        <v>0</v>
      </c>
      <c r="Y70" s="2592">
        <f t="shared" si="89"/>
        <v>0</v>
      </c>
      <c r="AC70" s="2536">
        <f t="shared" si="91"/>
        <v>0</v>
      </c>
      <c r="AD70" s="2537">
        <f t="shared" si="92"/>
        <v>0</v>
      </c>
      <c r="AP70" s="2523">
        <f>IF($G70="Import",(SUMIF(Data!$P$13:$P$822,Paper!$C70,Data!$L$13:$L$822))*$K$3/1000,SUMIF(Data!$P$13:$P$822,Paper!$C70,Data!$S$13:$S$822)/1.08)</f>
        <v>35294.699999999997</v>
      </c>
      <c r="AR70" s="136">
        <f t="shared" si="74"/>
        <v>0</v>
      </c>
      <c r="AT70" s="136">
        <f t="shared" si="15"/>
        <v>0</v>
      </c>
      <c r="AU70" s="136">
        <f ca="1">COUNTIFS($AT$7:AT70,1)</f>
        <v>2</v>
      </c>
    </row>
    <row r="71" spans="1:47" ht="16.899999999999999" hidden="1" customHeight="1">
      <c r="A71" s="320"/>
      <c r="M71" s="320"/>
      <c r="N71" s="320"/>
      <c r="O71" s="320"/>
      <c r="P71" s="320"/>
      <c r="S71" s="347" t="s">
        <v>21</v>
      </c>
      <c r="T71" s="935">
        <f>SUM(T61:T70)*(1+$T$3)</f>
        <v>0</v>
      </c>
      <c r="AR71" s="136">
        <f t="shared" si="74"/>
        <v>0</v>
      </c>
      <c r="AT71" s="136">
        <f t="shared" si="15"/>
        <v>0</v>
      </c>
      <c r="AU71" s="136">
        <f ca="1">COUNTIFS($AT$7:AT71,1)</f>
        <v>2</v>
      </c>
    </row>
    <row r="72" spans="1:47" ht="16.899999999999999" customHeight="1">
      <c r="A72" s="320"/>
      <c r="M72" s="320"/>
      <c r="N72" s="320"/>
      <c r="O72" s="320"/>
      <c r="P72" s="320"/>
      <c r="AT72" s="136" t="str">
        <f t="shared" si="15"/>
        <v/>
      </c>
    </row>
    <row r="73" spans="1:47" ht="16.899999999999999" customHeight="1">
      <c r="A73" s="320"/>
      <c r="M73" s="320"/>
      <c r="N73" s="320"/>
      <c r="O73" s="320"/>
      <c r="P73" s="320"/>
      <c r="AT73" s="136" t="str">
        <f t="shared" si="15"/>
        <v/>
      </c>
    </row>
    <row r="74" spans="1:47" ht="16.899999999999999" customHeight="1">
      <c r="A74" s="320"/>
      <c r="B74" s="320"/>
      <c r="C74" s="324"/>
      <c r="D74" s="320"/>
      <c r="E74" s="320"/>
      <c r="F74" s="320"/>
      <c r="G74" s="320"/>
      <c r="H74" s="320"/>
      <c r="I74" s="320"/>
      <c r="J74" s="320"/>
      <c r="K74" s="320"/>
      <c r="L74" s="320"/>
      <c r="M74" s="320"/>
      <c r="N74" s="320"/>
      <c r="O74" s="320"/>
      <c r="P74" s="320"/>
      <c r="AT74" s="136" t="str">
        <f t="shared" si="15"/>
        <v/>
      </c>
    </row>
    <row r="75" spans="1:47" ht="16.899999999999999" customHeight="1">
      <c r="A75" s="320"/>
      <c r="B75" s="320"/>
      <c r="C75" s="320"/>
      <c r="D75" s="320"/>
      <c r="E75" s="320"/>
      <c r="F75" s="320"/>
      <c r="G75" s="320"/>
      <c r="H75" s="320"/>
      <c r="I75" s="320"/>
      <c r="J75" s="320"/>
      <c r="K75" s="320"/>
      <c r="L75" s="320"/>
      <c r="M75" s="320"/>
      <c r="N75" s="320"/>
      <c r="O75" s="320"/>
      <c r="P75" s="320"/>
      <c r="AT75" s="136" t="str">
        <f t="shared" si="15"/>
        <v/>
      </c>
    </row>
    <row r="76" spans="1:47" ht="16.899999999999999" customHeight="1">
      <c r="A76" s="320"/>
      <c r="B76" s="320"/>
      <c r="C76" s="320"/>
      <c r="D76" s="320"/>
      <c r="E76" s="320"/>
      <c r="F76" s="320"/>
      <c r="G76" s="320"/>
      <c r="H76" s="320"/>
      <c r="I76" s="320"/>
      <c r="J76" s="320"/>
      <c r="K76" s="320"/>
      <c r="L76" s="320"/>
      <c r="M76" s="320"/>
      <c r="N76" s="320"/>
      <c r="O76" s="320"/>
      <c r="P76" s="320"/>
      <c r="AT76" s="136" t="str">
        <f t="shared" si="15"/>
        <v/>
      </c>
    </row>
    <row r="77" spans="1:47" ht="16.899999999999999" customHeight="1">
      <c r="A77" s="320"/>
      <c r="B77" s="320"/>
      <c r="C77" s="320"/>
      <c r="D77" s="320"/>
      <c r="E77" s="320"/>
      <c r="F77" s="320"/>
      <c r="G77" s="320"/>
      <c r="H77" s="320"/>
      <c r="I77" s="320"/>
      <c r="J77" s="320"/>
      <c r="K77" s="320"/>
      <c r="L77" s="320"/>
      <c r="M77" s="320"/>
      <c r="N77" s="320"/>
      <c r="O77" s="320"/>
      <c r="P77" s="320"/>
      <c r="AT77" s="136" t="str">
        <f t="shared" si="15"/>
        <v/>
      </c>
    </row>
    <row r="78" spans="1:47" ht="16.899999999999999" customHeight="1">
      <c r="A78" s="320"/>
      <c r="B78" s="320"/>
      <c r="C78" s="320"/>
      <c r="D78" s="320"/>
      <c r="E78" s="320"/>
      <c r="F78" s="320"/>
      <c r="G78" s="320"/>
      <c r="H78" s="320"/>
      <c r="I78" s="320"/>
      <c r="J78" s="320"/>
      <c r="K78" s="320"/>
      <c r="L78" s="320"/>
      <c r="M78" s="320"/>
      <c r="N78" s="320"/>
      <c r="O78" s="320"/>
      <c r="P78" s="320"/>
      <c r="AT78" s="136" t="str">
        <f t="shared" si="15"/>
        <v/>
      </c>
    </row>
    <row r="79" spans="1:47" ht="16.899999999999999" customHeight="1">
      <c r="A79" s="320"/>
      <c r="B79" s="320"/>
      <c r="C79" s="320"/>
      <c r="D79" s="320"/>
      <c r="E79" s="320"/>
      <c r="F79" s="320"/>
      <c r="G79" s="320"/>
      <c r="H79" s="320"/>
      <c r="I79" s="320"/>
      <c r="J79" s="320"/>
      <c r="K79" s="320"/>
      <c r="L79" s="320"/>
      <c r="M79" s="320"/>
      <c r="N79" s="320"/>
      <c r="O79" s="320"/>
      <c r="P79" s="320"/>
      <c r="AT79" s="136" t="str">
        <f t="shared" si="15"/>
        <v/>
      </c>
    </row>
    <row r="80" spans="1:47" ht="16.899999999999999" customHeight="1">
      <c r="AT80" s="136" t="str">
        <f t="shared" si="15"/>
        <v/>
      </c>
    </row>
    <row r="81" spans="46:46" ht="16.899999999999999" customHeight="1">
      <c r="AT81" s="136" t="str">
        <f t="shared" si="15"/>
        <v/>
      </c>
    </row>
    <row r="82" spans="46:46" ht="16.899999999999999" customHeight="1">
      <c r="AT82" s="136" t="str">
        <f t="shared" ref="AT82:AT101" si="93">IF(ISNUMBER(T82),IF(T82&lt;&gt;0,IF(ISNUMBER(SEARCH("to",S82)),0,1),0),"")</f>
        <v/>
      </c>
    </row>
    <row r="83" spans="46:46" ht="16.899999999999999" customHeight="1">
      <c r="AT83" s="136" t="str">
        <f t="shared" si="93"/>
        <v/>
      </c>
    </row>
    <row r="84" spans="46:46" ht="16.899999999999999" customHeight="1">
      <c r="AT84" s="136" t="str">
        <f t="shared" si="93"/>
        <v/>
      </c>
    </row>
    <row r="85" spans="46:46" ht="16.899999999999999" customHeight="1">
      <c r="AT85" s="136" t="str">
        <f t="shared" si="93"/>
        <v/>
      </c>
    </row>
    <row r="86" spans="46:46" ht="16.899999999999999" customHeight="1">
      <c r="AT86" s="136" t="str">
        <f t="shared" si="93"/>
        <v/>
      </c>
    </row>
    <row r="87" spans="46:46" ht="16.899999999999999" customHeight="1">
      <c r="AT87" s="136" t="str">
        <f t="shared" si="93"/>
        <v/>
      </c>
    </row>
    <row r="88" spans="46:46" ht="16.899999999999999" customHeight="1">
      <c r="AT88" s="136" t="str">
        <f t="shared" si="93"/>
        <v/>
      </c>
    </row>
    <row r="89" spans="46:46" ht="16.899999999999999" customHeight="1">
      <c r="AT89" s="136" t="str">
        <f t="shared" si="93"/>
        <v/>
      </c>
    </row>
    <row r="90" spans="46:46" ht="16.899999999999999" customHeight="1">
      <c r="AT90" s="136" t="str">
        <f t="shared" si="93"/>
        <v/>
      </c>
    </row>
    <row r="91" spans="46:46" ht="16.899999999999999" customHeight="1">
      <c r="AT91" s="136" t="str">
        <f t="shared" si="93"/>
        <v/>
      </c>
    </row>
    <row r="92" spans="46:46" ht="16.899999999999999" customHeight="1">
      <c r="AT92" s="136" t="str">
        <f t="shared" si="93"/>
        <v/>
      </c>
    </row>
    <row r="93" spans="46:46" ht="16.899999999999999" customHeight="1">
      <c r="AT93" s="136" t="str">
        <f t="shared" si="93"/>
        <v/>
      </c>
    </row>
    <row r="94" spans="46:46" ht="16.899999999999999" customHeight="1">
      <c r="AT94" s="136" t="str">
        <f t="shared" si="93"/>
        <v/>
      </c>
    </row>
    <row r="95" spans="46:46" ht="16.899999999999999" customHeight="1">
      <c r="AT95" s="136" t="str">
        <f t="shared" si="93"/>
        <v/>
      </c>
    </row>
    <row r="96" spans="46:46" ht="16.899999999999999" customHeight="1">
      <c r="AT96" s="136" t="str">
        <f t="shared" si="93"/>
        <v/>
      </c>
    </row>
    <row r="97" spans="46:46" ht="16.899999999999999" customHeight="1">
      <c r="AT97" s="136" t="str">
        <f t="shared" si="93"/>
        <v/>
      </c>
    </row>
    <row r="98" spans="46:46" ht="16.899999999999999" customHeight="1">
      <c r="AT98" s="136" t="str">
        <f t="shared" si="93"/>
        <v/>
      </c>
    </row>
    <row r="99" spans="46:46" ht="16.899999999999999" customHeight="1">
      <c r="AT99" s="136" t="str">
        <f t="shared" si="93"/>
        <v/>
      </c>
    </row>
    <row r="100" spans="46:46" ht="16.899999999999999" customHeight="1">
      <c r="AT100" s="136" t="str">
        <f t="shared" si="93"/>
        <v/>
      </c>
    </row>
    <row r="101" spans="46:46" ht="16.899999999999999" customHeight="1">
      <c r="AT101" s="136" t="str">
        <f t="shared" si="93"/>
        <v/>
      </c>
    </row>
    <row r="102" spans="46:46" ht="16.899999999999999" customHeight="1"/>
    <row r="103" spans="46:46" ht="16.899999999999999" customHeight="1"/>
    <row r="104" spans="46:46" ht="16.899999999999999" customHeight="1"/>
    <row r="105" spans="46:46" ht="16.899999999999999" customHeight="1"/>
    <row r="106" spans="46:46" ht="16.899999999999999" customHeight="1"/>
    <row r="107" spans="46:46" ht="16.899999999999999" customHeight="1"/>
    <row r="108" spans="46:46" ht="16.899999999999999" customHeight="1"/>
    <row r="109" spans="46:46" ht="16.899999999999999" customHeight="1"/>
    <row r="110" spans="46:46" ht="16.899999999999999" customHeight="1"/>
    <row r="111" spans="46:46" ht="16.899999999999999" customHeight="1"/>
    <row r="112" spans="46:46" ht="16.899999999999999" customHeight="1"/>
    <row r="113" ht="16.899999999999999" customHeight="1"/>
    <row r="114" ht="16.899999999999999" customHeight="1"/>
    <row r="115" ht="16.899999999999999" customHeight="1"/>
    <row r="116" ht="16.899999999999999" customHeight="1"/>
    <row r="117" ht="16.899999999999999" customHeight="1"/>
    <row r="118" ht="16.899999999999999" customHeight="1"/>
    <row r="119" ht="16.899999999999999" customHeight="1"/>
    <row r="120" ht="16.899999999999999" customHeight="1"/>
    <row r="121" ht="16.899999999999999" customHeight="1"/>
    <row r="122" ht="16.899999999999999" customHeight="1"/>
    <row r="123" ht="16.899999999999999" customHeight="1"/>
    <row r="124" ht="16.899999999999999" customHeight="1"/>
    <row r="125" ht="16.899999999999999" customHeight="1"/>
    <row r="126" ht="16.899999999999999" customHeight="1"/>
    <row r="127" ht="16.899999999999999" customHeight="1"/>
    <row r="128" ht="16.899999999999999" customHeight="1"/>
    <row r="129" ht="16.899999999999999" customHeight="1"/>
    <row r="130" ht="16.899999999999999" customHeight="1"/>
    <row r="131" ht="16.899999999999999" customHeight="1"/>
    <row r="132" ht="16.899999999999999" customHeight="1"/>
    <row r="133" ht="16.899999999999999" customHeight="1"/>
    <row r="134" ht="16.899999999999999" customHeight="1"/>
    <row r="135" ht="16.899999999999999" customHeight="1"/>
    <row r="136" ht="16.899999999999999" customHeight="1"/>
    <row r="137" ht="16.899999999999999" customHeight="1"/>
    <row r="138" ht="16.899999999999999" customHeight="1"/>
    <row r="139" ht="16.899999999999999" customHeight="1"/>
    <row r="140" ht="16.899999999999999" customHeight="1"/>
    <row r="141" ht="16.899999999999999" customHeight="1"/>
    <row r="142" ht="16.899999999999999" customHeight="1"/>
    <row r="143" ht="16.899999999999999" customHeight="1"/>
    <row r="144" ht="16.899999999999999" customHeight="1"/>
    <row r="145" ht="16.899999999999999" customHeight="1"/>
    <row r="146" ht="16.899999999999999" customHeight="1"/>
    <row r="147" ht="16.899999999999999" customHeight="1"/>
    <row r="148" ht="16.899999999999999" customHeight="1"/>
    <row r="149" ht="16.899999999999999" customHeight="1"/>
    <row r="150" ht="16.899999999999999" customHeight="1"/>
    <row r="151" ht="16.899999999999999" customHeight="1"/>
    <row r="152" ht="16.899999999999999" customHeight="1"/>
    <row r="153" ht="16.899999999999999" customHeight="1"/>
    <row r="154" ht="16.899999999999999" customHeight="1"/>
    <row r="155" ht="16.899999999999999" customHeight="1"/>
    <row r="156" ht="16.899999999999999" customHeight="1"/>
    <row r="157" ht="16.899999999999999" customHeight="1"/>
    <row r="158" ht="16.899999999999999" customHeight="1"/>
    <row r="159" ht="16.899999999999999" customHeight="1"/>
    <row r="160" ht="16.899999999999999" customHeight="1"/>
    <row r="161" ht="16.899999999999999" customHeight="1"/>
    <row r="162" ht="16.899999999999999" customHeight="1"/>
    <row r="163" ht="16.899999999999999" customHeight="1"/>
    <row r="164" ht="16.899999999999999" customHeight="1"/>
    <row r="165" ht="16.899999999999999" customHeight="1"/>
    <row r="166" ht="16.899999999999999" customHeight="1"/>
    <row r="167" ht="16.899999999999999" customHeight="1"/>
    <row r="168" ht="16.899999999999999" customHeight="1"/>
    <row r="169" ht="16.899999999999999" customHeight="1"/>
    <row r="170" ht="16.899999999999999" customHeight="1"/>
    <row r="171" ht="16.899999999999999" customHeight="1"/>
    <row r="172" ht="16.899999999999999" customHeight="1"/>
    <row r="173" ht="16.899999999999999" customHeight="1"/>
    <row r="174" ht="16.899999999999999" customHeight="1"/>
    <row r="175" ht="16.899999999999999" customHeight="1"/>
    <row r="176" ht="16.899999999999999" customHeight="1"/>
    <row r="177" ht="16.899999999999999" customHeight="1"/>
    <row r="178" ht="16.899999999999999" customHeight="1"/>
    <row r="179" ht="16.899999999999999" customHeight="1"/>
    <row r="180" ht="16.899999999999999" customHeight="1"/>
    <row r="181" ht="16.899999999999999" customHeight="1"/>
    <row r="182" ht="16.899999999999999" customHeight="1"/>
    <row r="183" ht="16.899999999999999" customHeight="1"/>
    <row r="184" ht="16.899999999999999" customHeight="1"/>
    <row r="185" ht="16.899999999999999" customHeight="1"/>
    <row r="186" ht="16.899999999999999" customHeight="1"/>
    <row r="187" ht="16.899999999999999" customHeight="1"/>
    <row r="188" ht="16.899999999999999" customHeight="1"/>
    <row r="189" ht="16.899999999999999" customHeight="1"/>
    <row r="190" ht="16.899999999999999" customHeight="1"/>
    <row r="191" ht="16.899999999999999" customHeight="1"/>
    <row r="192" ht="16.899999999999999" customHeight="1"/>
    <row r="193" ht="16.899999999999999" customHeight="1"/>
    <row r="194" ht="16.899999999999999" customHeight="1"/>
    <row r="195" ht="16.899999999999999" customHeight="1"/>
    <row r="196" ht="16.899999999999999" customHeight="1"/>
    <row r="197" ht="16.899999999999999" customHeight="1"/>
    <row r="198" ht="16.899999999999999" customHeight="1"/>
    <row r="199" ht="16.899999999999999" customHeight="1"/>
    <row r="200" ht="16.899999999999999" customHeight="1"/>
    <row r="201" ht="16.899999999999999" customHeight="1"/>
    <row r="202" ht="16.899999999999999" customHeight="1"/>
    <row r="203" ht="16.899999999999999" customHeight="1"/>
    <row r="204" ht="16.899999999999999" customHeight="1"/>
    <row r="205" ht="16.899999999999999" customHeight="1"/>
    <row r="206" ht="16.899999999999999" customHeight="1"/>
    <row r="207" ht="16.899999999999999" customHeight="1"/>
    <row r="208" ht="16.899999999999999" customHeight="1"/>
    <row r="209" ht="16.899999999999999" customHeight="1"/>
    <row r="210" ht="16.899999999999999" customHeight="1"/>
    <row r="211" ht="16.899999999999999" customHeight="1"/>
    <row r="212" ht="16.899999999999999" customHeight="1"/>
    <row r="213" ht="16.899999999999999" customHeight="1"/>
    <row r="214" ht="16.899999999999999" customHeight="1"/>
    <row r="215" ht="16.899999999999999" customHeight="1"/>
    <row r="216" ht="16.899999999999999" customHeight="1"/>
    <row r="217" ht="16.899999999999999" customHeight="1"/>
    <row r="218" ht="16.899999999999999" customHeight="1"/>
    <row r="219" ht="16.899999999999999" customHeight="1"/>
    <row r="220" ht="16.899999999999999" customHeight="1"/>
    <row r="221" ht="16.899999999999999" customHeight="1"/>
    <row r="222" ht="16.899999999999999" customHeight="1"/>
    <row r="223" ht="16.899999999999999" customHeight="1"/>
    <row r="224" ht="16.899999999999999" customHeight="1"/>
    <row r="225" ht="16.899999999999999" customHeight="1"/>
    <row r="226" ht="16.899999999999999" customHeight="1"/>
    <row r="227" ht="16.899999999999999" customHeight="1"/>
    <row r="228" ht="16.899999999999999" customHeight="1"/>
    <row r="229" ht="16.899999999999999" customHeight="1"/>
    <row r="230" ht="16.899999999999999" customHeight="1"/>
    <row r="231" ht="16.899999999999999" customHeight="1"/>
    <row r="232" ht="16.899999999999999" customHeight="1"/>
    <row r="233" ht="16.899999999999999" customHeight="1"/>
    <row r="234" ht="16.899999999999999" customHeight="1"/>
    <row r="235" ht="16.899999999999999" customHeight="1"/>
    <row r="236" ht="16.899999999999999" customHeight="1"/>
    <row r="237" ht="16.899999999999999" customHeight="1"/>
    <row r="238" ht="16.899999999999999" customHeight="1"/>
    <row r="239" ht="16.899999999999999" customHeight="1"/>
    <row r="240" ht="16.899999999999999" customHeight="1"/>
    <row r="241" ht="16.899999999999999" customHeight="1"/>
    <row r="242" ht="16.899999999999999" customHeight="1"/>
    <row r="243" ht="16.899999999999999" customHeight="1"/>
    <row r="244" ht="16.899999999999999" customHeight="1"/>
    <row r="245" ht="16.899999999999999" customHeight="1"/>
    <row r="246" ht="16.899999999999999" customHeight="1"/>
    <row r="247" ht="16.899999999999999" customHeight="1"/>
    <row r="248" ht="16.899999999999999" customHeight="1"/>
    <row r="249" ht="16.899999999999999" customHeight="1"/>
    <row r="250" ht="16.899999999999999" customHeight="1"/>
    <row r="251" ht="16.899999999999999" customHeight="1"/>
    <row r="252" ht="16.899999999999999" customHeight="1"/>
    <row r="253" ht="16.899999999999999" customHeight="1"/>
    <row r="254" ht="16.899999999999999" customHeight="1"/>
    <row r="255" ht="16.899999999999999" customHeight="1"/>
    <row r="256" ht="16.899999999999999" customHeight="1"/>
    <row r="257" ht="16.899999999999999" customHeight="1"/>
    <row r="258" ht="16.899999999999999" customHeight="1"/>
    <row r="259" ht="16.899999999999999" customHeight="1"/>
    <row r="1048439" spans="1:8" ht="19.5" customHeight="1">
      <c r="A1048439" s="136" t="s">
        <v>126</v>
      </c>
      <c r="B1048439" s="136" t="s">
        <v>1399</v>
      </c>
      <c r="C1048439" s="136" t="s">
        <v>1400</v>
      </c>
      <c r="F1048439" s="136" t="s">
        <v>1399</v>
      </c>
      <c r="G1048439" s="136" t="s">
        <v>1400</v>
      </c>
      <c r="H1048439" s="136" t="s">
        <v>1456</v>
      </c>
    </row>
    <row r="1048440" spans="1:8" ht="19.5" customHeight="1">
      <c r="A1048440" s="136">
        <v>180</v>
      </c>
      <c r="B1048440" s="136" t="s">
        <v>1350</v>
      </c>
      <c r="C1048440" s="136" t="s">
        <v>1393</v>
      </c>
      <c r="F1048440" s="136" t="s">
        <v>1418</v>
      </c>
      <c r="G1048440" s="136" t="s">
        <v>1419</v>
      </c>
      <c r="H1048440" s="136" t="s">
        <v>1421</v>
      </c>
    </row>
    <row r="1048441" spans="1:8" ht="19.5" customHeight="1">
      <c r="A1048441" s="136">
        <v>200</v>
      </c>
      <c r="B1048441" s="136" t="s">
        <v>1354</v>
      </c>
      <c r="C1048441" s="136" t="s">
        <v>1394</v>
      </c>
      <c r="G1048441" s="136" t="s">
        <v>1420</v>
      </c>
      <c r="H1048441" s="136" t="s">
        <v>1422</v>
      </c>
    </row>
    <row r="1048442" spans="1:8" ht="19.5" customHeight="1">
      <c r="A1048442" s="136">
        <v>210</v>
      </c>
      <c r="B1048442" s="136" t="s">
        <v>1351</v>
      </c>
      <c r="C1048442" s="136" t="s">
        <v>1395</v>
      </c>
      <c r="H1048442" s="136" t="s">
        <v>1423</v>
      </c>
    </row>
    <row r="1048443" spans="1:8" ht="19.5" customHeight="1">
      <c r="A1048443" s="136">
        <v>220</v>
      </c>
      <c r="B1048443" s="136" t="s">
        <v>960</v>
      </c>
      <c r="C1048443" s="136" t="s">
        <v>1396</v>
      </c>
      <c r="H1048443" s="136" t="s">
        <v>1424</v>
      </c>
    </row>
    <row r="1048444" spans="1:8" ht="19.5" customHeight="1">
      <c r="A1048444" s="136">
        <v>230</v>
      </c>
      <c r="B1048444" s="136" t="s">
        <v>1355</v>
      </c>
      <c r="C1048444" s="136" t="s">
        <v>1397</v>
      </c>
      <c r="H1048444" s="136" t="s">
        <v>1425</v>
      </c>
    </row>
    <row r="1048445" spans="1:8" ht="19.5" customHeight="1">
      <c r="A1048445" s="136">
        <v>240</v>
      </c>
      <c r="B1048445" s="136" t="s">
        <v>1356</v>
      </c>
      <c r="C1048445" s="136" t="s">
        <v>1398</v>
      </c>
      <c r="H1048445" s="136" t="s">
        <v>1213</v>
      </c>
    </row>
    <row r="1048446" spans="1:8" ht="19.5" customHeight="1">
      <c r="A1048446" s="136">
        <v>250</v>
      </c>
      <c r="B1048446" s="136" t="s">
        <v>1357</v>
      </c>
      <c r="H1048446" s="136" t="s">
        <v>1426</v>
      </c>
    </row>
    <row r="1048447" spans="1:8" ht="19.5" customHeight="1">
      <c r="A1048447" s="136">
        <v>260</v>
      </c>
      <c r="B1048447" s="136" t="s">
        <v>1358</v>
      </c>
      <c r="H1048447" s="136" t="s">
        <v>1427</v>
      </c>
    </row>
    <row r="1048448" spans="1:8" ht="19.5" customHeight="1">
      <c r="A1048448" s="136">
        <v>270</v>
      </c>
      <c r="B1048448" s="136" t="s">
        <v>1359</v>
      </c>
      <c r="H1048448" s="136" t="s">
        <v>1428</v>
      </c>
    </row>
    <row r="1048449" spans="1:8" ht="19.5" customHeight="1">
      <c r="A1048449" s="136">
        <v>280</v>
      </c>
      <c r="B1048449" s="136" t="s">
        <v>1360</v>
      </c>
      <c r="H1048449" s="136" t="s">
        <v>1429</v>
      </c>
    </row>
    <row r="1048450" spans="1:8" ht="19.5" customHeight="1">
      <c r="A1048450" s="136">
        <v>300</v>
      </c>
      <c r="B1048450" s="136" t="s">
        <v>1371</v>
      </c>
      <c r="H1048450" s="136" t="s">
        <v>1430</v>
      </c>
    </row>
    <row r="1048451" spans="1:8" ht="19.5" customHeight="1">
      <c r="A1048451" s="136">
        <v>310</v>
      </c>
      <c r="B1048451" s="136" t="s">
        <v>1378</v>
      </c>
      <c r="H1048451" s="136" t="s">
        <v>1431</v>
      </c>
    </row>
    <row r="1048452" spans="1:8" ht="19.5" customHeight="1">
      <c r="A1048452" s="136">
        <v>330</v>
      </c>
      <c r="B1048452" s="136" t="s">
        <v>1373</v>
      </c>
      <c r="H1048452" s="136" t="s">
        <v>1432</v>
      </c>
    </row>
    <row r="1048453" spans="1:8" ht="19.5" customHeight="1">
      <c r="A1048453" s="136">
        <v>350</v>
      </c>
      <c r="B1048453" s="136" t="s">
        <v>1364</v>
      </c>
      <c r="H1048453" s="136" t="s">
        <v>1433</v>
      </c>
    </row>
    <row r="1048454" spans="1:8" ht="19.5" customHeight="1">
      <c r="A1048454" s="136">
        <v>370</v>
      </c>
      <c r="B1048454" s="136" t="s">
        <v>1365</v>
      </c>
      <c r="H1048454" s="136" t="s">
        <v>1434</v>
      </c>
    </row>
    <row r="1048455" spans="1:8" ht="19.5" customHeight="1">
      <c r="A1048455" s="136">
        <v>400</v>
      </c>
      <c r="B1048455" s="136" t="s">
        <v>1366</v>
      </c>
      <c r="H1048455" s="136" t="s">
        <v>1435</v>
      </c>
    </row>
    <row r="1048456" spans="1:8" ht="19.5" customHeight="1">
      <c r="A1048456" s="136">
        <v>450</v>
      </c>
      <c r="B1048456" s="136" t="s">
        <v>1352</v>
      </c>
      <c r="H1048456" s="136" t="s">
        <v>1436</v>
      </c>
    </row>
    <row r="1048457" spans="1:8" ht="19.5" customHeight="1">
      <c r="A1048457" s="136">
        <v>480</v>
      </c>
      <c r="B1048457" s="136" t="s">
        <v>1353</v>
      </c>
      <c r="H1048457" s="136" t="s">
        <v>1437</v>
      </c>
    </row>
    <row r="1048458" spans="1:8" ht="19.5" customHeight="1">
      <c r="A1048458" s="136">
        <v>500</v>
      </c>
      <c r="B1048458" s="136" t="s">
        <v>1368</v>
      </c>
      <c r="H1048458" s="136" t="s">
        <v>1438</v>
      </c>
    </row>
    <row r="1048459" spans="1:8" ht="19.5" customHeight="1">
      <c r="A1048459" s="136">
        <v>550</v>
      </c>
      <c r="B1048459" s="136" t="s">
        <v>1369</v>
      </c>
      <c r="H1048459" s="136" t="s">
        <v>1439</v>
      </c>
    </row>
    <row r="1048460" spans="1:8" ht="19.5" customHeight="1">
      <c r="A1048460" s="136">
        <v>290</v>
      </c>
      <c r="B1048460" s="136" t="s">
        <v>1375</v>
      </c>
      <c r="H1048460" s="136" t="s">
        <v>1440</v>
      </c>
    </row>
    <row r="1048461" spans="1:8" ht="19.5" customHeight="1">
      <c r="A1048461" s="136">
        <v>320</v>
      </c>
      <c r="B1048461" s="136" t="s">
        <v>1376</v>
      </c>
      <c r="H1048461" s="136" t="s">
        <v>1441</v>
      </c>
    </row>
    <row r="1048462" spans="1:8" ht="19.5" customHeight="1">
      <c r="A1048462" s="136">
        <v>340</v>
      </c>
      <c r="B1048462" s="136" t="s">
        <v>1377</v>
      </c>
      <c r="H1048462" s="136" t="s">
        <v>1442</v>
      </c>
    </row>
    <row r="1048463" spans="1:8" ht="19.5" customHeight="1">
      <c r="A1048463" s="136">
        <v>360</v>
      </c>
      <c r="B1048463" s="136" t="s">
        <v>1379</v>
      </c>
      <c r="H1048463" s="136" t="s">
        <v>1443</v>
      </c>
    </row>
    <row r="1048464" spans="1:8" ht="19.5" customHeight="1">
      <c r="A1048464" s="136">
        <v>380</v>
      </c>
      <c r="B1048464" s="136" t="s">
        <v>1380</v>
      </c>
      <c r="H1048464" s="136" t="s">
        <v>1444</v>
      </c>
    </row>
    <row r="1048465" spans="1:8" ht="19.5" customHeight="1">
      <c r="A1048465" s="136">
        <v>390</v>
      </c>
      <c r="B1048465" s="136" t="s">
        <v>1381</v>
      </c>
      <c r="H1048465" s="136" t="s">
        <v>1445</v>
      </c>
    </row>
    <row r="1048466" spans="1:8" ht="19.5" customHeight="1">
      <c r="A1048466" s="136">
        <v>410</v>
      </c>
      <c r="B1048466" s="136" t="s">
        <v>1382</v>
      </c>
      <c r="H1048466" s="136" t="s">
        <v>1446</v>
      </c>
    </row>
    <row r="1048467" spans="1:8" ht="19.5" customHeight="1">
      <c r="A1048467" s="136">
        <v>420</v>
      </c>
      <c r="B1048467" s="136" t="s">
        <v>1383</v>
      </c>
      <c r="H1048467" s="136" t="s">
        <v>1447</v>
      </c>
    </row>
    <row r="1048468" spans="1:8" ht="19.5" customHeight="1">
      <c r="A1048468" s="136">
        <v>430</v>
      </c>
      <c r="B1048468" s="136" t="s">
        <v>1384</v>
      </c>
      <c r="H1048468" s="136" t="s">
        <v>1448</v>
      </c>
    </row>
    <row r="1048469" spans="1:8" ht="19.5" customHeight="1">
      <c r="A1048469" s="136">
        <v>440</v>
      </c>
      <c r="B1048469" s="136" t="s">
        <v>1385</v>
      </c>
      <c r="H1048469" s="136" t="s">
        <v>1449</v>
      </c>
    </row>
    <row r="1048470" spans="1:8" ht="19.5" customHeight="1">
      <c r="A1048470" s="136">
        <v>460</v>
      </c>
      <c r="B1048470" s="136" t="s">
        <v>1367</v>
      </c>
      <c r="H1048470" s="136" t="s">
        <v>1450</v>
      </c>
    </row>
    <row r="1048471" spans="1:8" ht="19.5" customHeight="1">
      <c r="A1048471" s="136">
        <v>470</v>
      </c>
      <c r="B1048471" s="136" t="s">
        <v>1386</v>
      </c>
      <c r="H1048471" s="136" t="s">
        <v>1451</v>
      </c>
    </row>
    <row r="1048472" spans="1:8" ht="19.5" customHeight="1">
      <c r="A1048472" s="136">
        <v>490</v>
      </c>
      <c r="B1048472" s="136" t="s">
        <v>1362</v>
      </c>
      <c r="H1048472" s="136" t="s">
        <v>1452</v>
      </c>
    </row>
    <row r="1048473" spans="1:8" ht="19.5" customHeight="1">
      <c r="A1048473" s="136">
        <v>170</v>
      </c>
      <c r="B1048473" s="136" t="s">
        <v>1387</v>
      </c>
      <c r="H1048473" s="136" t="s">
        <v>1453</v>
      </c>
    </row>
    <row r="1048474" spans="1:8" ht="19.5" customHeight="1">
      <c r="A1048474" s="136">
        <v>190</v>
      </c>
      <c r="B1048474" s="136" t="s">
        <v>1388</v>
      </c>
      <c r="H1048474" s="136" t="s">
        <v>1454</v>
      </c>
    </row>
    <row r="1048475" spans="1:8" ht="19.5" customHeight="1">
      <c r="A1048475" s="136">
        <v>205</v>
      </c>
      <c r="B1048475" s="136" t="s">
        <v>1363</v>
      </c>
      <c r="H1048475" s="136" t="s">
        <v>1455</v>
      </c>
    </row>
    <row r="1048476" spans="1:8" ht="19.5" customHeight="1">
      <c r="A1048476" s="136">
        <v>215</v>
      </c>
      <c r="B1048476" s="136" t="s">
        <v>1389</v>
      </c>
    </row>
    <row r="1048477" spans="1:8" ht="19.5" customHeight="1">
      <c r="A1048477" s="136">
        <v>225</v>
      </c>
      <c r="B1048477" s="136" t="s">
        <v>1390</v>
      </c>
    </row>
    <row r="1048478" spans="1:8" ht="19.5" customHeight="1">
      <c r="A1048478" s="136">
        <v>245</v>
      </c>
      <c r="B1048478" s="136" t="s">
        <v>1372</v>
      </c>
    </row>
    <row r="1048479" spans="1:8" ht="19.5" customHeight="1">
      <c r="A1048479" s="136">
        <v>285</v>
      </c>
      <c r="B1048479" s="136" t="s">
        <v>1374</v>
      </c>
    </row>
    <row r="1048480" spans="1:8" ht="19.5" customHeight="1">
      <c r="A1048480" s="136">
        <v>305</v>
      </c>
      <c r="B1048480" s="136" t="s">
        <v>1391</v>
      </c>
    </row>
    <row r="1048481" spans="1:2" ht="19.5" customHeight="1">
      <c r="A1048481" s="136">
        <v>275</v>
      </c>
      <c r="B1048481" s="136" t="s">
        <v>1370</v>
      </c>
    </row>
    <row r="1048482" spans="1:2" ht="19.5" customHeight="1">
      <c r="A1048482" s="136">
        <v>236</v>
      </c>
      <c r="B1048482" s="136" t="s">
        <v>1361</v>
      </c>
    </row>
    <row r="1048483" spans="1:2" ht="19.5" customHeight="1">
      <c r="A1048483" s="136">
        <v>265</v>
      </c>
    </row>
    <row r="1048484" spans="1:2" ht="19.5" customHeight="1">
      <c r="A1048484" s="136">
        <v>295</v>
      </c>
    </row>
    <row r="1048485" spans="1:2" ht="19.5" customHeight="1">
      <c r="A1048485" s="136">
        <v>325</v>
      </c>
    </row>
    <row r="1048486" spans="1:2" ht="19.5" customHeight="1">
      <c r="A1048486" s="136">
        <v>345</v>
      </c>
    </row>
    <row r="1048487" spans="1:2" ht="19.5" customHeight="1">
      <c r="A1048487" s="136">
        <v>375</v>
      </c>
    </row>
    <row r="1048488" spans="1:2" ht="19.5" customHeight="1">
      <c r="A1048488" s="136">
        <v>405</v>
      </c>
    </row>
    <row r="1048489" spans="1:2" ht="19.5" customHeight="1">
      <c r="A1048489" s="136">
        <v>435</v>
      </c>
    </row>
    <row r="1048490" spans="1:2" ht="19.5" customHeight="1">
      <c r="A1048490" s="136">
        <v>182</v>
      </c>
    </row>
    <row r="1048491" spans="1:2" ht="19.5" customHeight="1">
      <c r="A1048491" s="136">
        <v>202</v>
      </c>
    </row>
    <row r="1048492" spans="1:2" ht="19.5" customHeight="1">
      <c r="A1048492" s="136">
        <v>296</v>
      </c>
    </row>
    <row r="1048493" spans="1:2" ht="19.5" customHeight="1">
      <c r="A1048493" s="136">
        <v>324</v>
      </c>
    </row>
    <row r="1048494" spans="1:2" ht="19.5" customHeight="1">
      <c r="A1048494" s="136">
        <v>407</v>
      </c>
    </row>
    <row r="1048495" spans="1:2" ht="19.5" customHeight="1">
      <c r="A1048495" s="136">
        <v>185</v>
      </c>
    </row>
    <row r="1048496" spans="1:2" ht="19.5" customHeight="1">
      <c r="A1048496" s="136">
        <v>235</v>
      </c>
    </row>
    <row r="1048497" spans="1:1" ht="19.5" customHeight="1">
      <c r="A1048497" s="136">
        <v>80</v>
      </c>
    </row>
    <row r="1048498" spans="1:1" ht="19.5" customHeight="1">
      <c r="A1048498" s="136">
        <v>90</v>
      </c>
    </row>
    <row r="1048499" spans="1:1" ht="19.5" customHeight="1">
      <c r="A1048499" s="136">
        <v>100</v>
      </c>
    </row>
    <row r="1048500" spans="1:1" ht="19.5" customHeight="1">
      <c r="A1048500" s="136">
        <v>105</v>
      </c>
    </row>
    <row r="1048501" spans="1:1" ht="19.5" customHeight="1">
      <c r="A1048501" s="136">
        <v>115</v>
      </c>
    </row>
    <row r="1048502" spans="1:1" ht="19.5" customHeight="1">
      <c r="A1048502" s="136">
        <v>120</v>
      </c>
    </row>
    <row r="1048503" spans="1:1" ht="19.5" customHeight="1">
      <c r="A1048503" s="136">
        <v>128</v>
      </c>
    </row>
    <row r="1048504" spans="1:1" ht="19.5" customHeight="1">
      <c r="A1048504" s="136">
        <v>130</v>
      </c>
    </row>
    <row r="1048505" spans="1:1" ht="19.5" customHeight="1">
      <c r="A1048505" s="136">
        <v>150</v>
      </c>
    </row>
    <row r="1048506" spans="1:1" ht="19.5" customHeight="1">
      <c r="A1048506" s="136">
        <v>95</v>
      </c>
    </row>
    <row r="1048507" spans="1:1" ht="19.5" customHeight="1">
      <c r="A1048507" s="136">
        <v>113</v>
      </c>
    </row>
    <row r="1048508" spans="1:1" ht="19.5" customHeight="1">
      <c r="A1048508" s="136">
        <v>118</v>
      </c>
    </row>
    <row r="1048509" spans="1:1" ht="19.5" customHeight="1">
      <c r="A1048509" s="136">
        <v>135</v>
      </c>
    </row>
    <row r="1048510" spans="1:1" ht="19.5" customHeight="1">
      <c r="A1048510" s="136">
        <v>140</v>
      </c>
    </row>
    <row r="1048511" spans="1:1" ht="19.5" customHeight="1">
      <c r="A1048511" s="136">
        <v>148</v>
      </c>
    </row>
    <row r="1048512" spans="1:1" ht="19.5" customHeight="1">
      <c r="A1048512" s="136">
        <v>157</v>
      </c>
    </row>
    <row r="1048513" spans="1:1" ht="19.5" customHeight="1">
      <c r="A1048513" s="136">
        <v>218</v>
      </c>
    </row>
    <row r="1048514" spans="1:1" ht="19.5" customHeight="1">
      <c r="A1048514" s="136">
        <v>195</v>
      </c>
    </row>
    <row r="1048515" spans="1:1" ht="19.5" customHeight="1">
      <c r="A1048515" s="136">
        <v>216</v>
      </c>
    </row>
    <row r="1048516" spans="1:1" ht="19.5" customHeight="1">
      <c r="A1048516" s="136">
        <v>58</v>
      </c>
    </row>
    <row r="1048517" spans="1:1" ht="19.5" customHeight="1">
      <c r="A1048517" s="136">
        <v>60</v>
      </c>
    </row>
    <row r="1048518" spans="1:1" ht="19.5" customHeight="1">
      <c r="A1048518" s="136">
        <v>70</v>
      </c>
    </row>
    <row r="1048519" spans="1:1" ht="19.5" customHeight="1">
      <c r="A1048519" s="136">
        <v>74</v>
      </c>
    </row>
    <row r="1048520" spans="1:1" ht="19.5" customHeight="1">
      <c r="A1048520" s="136">
        <v>75</v>
      </c>
    </row>
    <row r="1048521" spans="1:1" ht="19.5" customHeight="1">
      <c r="A1048521" s="136">
        <v>89</v>
      </c>
    </row>
    <row r="1048522" spans="1:1" ht="19.5" customHeight="1">
      <c r="A1048522" s="136">
        <v>104</v>
      </c>
    </row>
    <row r="1048523" spans="1:1" ht="19.5" customHeight="1">
      <c r="A1048523" s="136">
        <v>110</v>
      </c>
    </row>
    <row r="1048524" spans="1:1" ht="19.5" customHeight="1">
      <c r="A1048524" s="136">
        <v>160</v>
      </c>
    </row>
    <row r="1048525" spans="1:1" ht="19.5" customHeight="1">
      <c r="A1048525" s="136">
        <v>165</v>
      </c>
    </row>
    <row r="1048526" spans="1:1" ht="19.5" customHeight="1">
      <c r="A1048526" s="136">
        <v>56</v>
      </c>
    </row>
    <row r="1048527" spans="1:1" ht="19.5" customHeight="1">
      <c r="A1048527" s="136">
        <v>0</v>
      </c>
    </row>
  </sheetData>
  <autoFilter ref="A5:T71" xr:uid="{00000000-0009-0000-0000-00000F000000}">
    <filterColumn colId="19">
      <filters>
        <filter val="646"/>
        <filter val="778.8"/>
        <filter val="779"/>
      </filters>
    </filterColumn>
  </autoFilter>
  <phoneticPr fontId="0" type="noConversion"/>
  <pageMargins left="0.59055118110236227" right="0.19685039370078741" top="0.98425196850393704" bottom="0.98425196850393704" header="0.51181102362204722" footer="0.51181102362204722"/>
  <pageSetup paperSize="9" scale="84" orientation="portrait" horizontalDpi="300" verticalDpi="3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8"/>
  <dimension ref="A1:T58"/>
  <sheetViews>
    <sheetView zoomScaleNormal="100" workbookViewId="0">
      <pane xSplit="2" ySplit="6" topLeftCell="C13" activePane="bottomRight" state="frozen"/>
      <selection activeCell="M28" sqref="M28"/>
      <selection pane="topRight" activeCell="M28" sqref="M28"/>
      <selection pane="bottomLeft" activeCell="M28" sqref="M28"/>
      <selection pane="bottomRight" activeCell="B14" sqref="B14"/>
    </sheetView>
  </sheetViews>
  <sheetFormatPr defaultColWidth="10" defaultRowHeight="12.75"/>
  <cols>
    <col min="1" max="1" width="9.7109375" style="402" customWidth="1"/>
    <col min="2" max="2" width="14.42578125" style="402" customWidth="1"/>
    <col min="3" max="3" width="7.42578125" style="402" customWidth="1"/>
    <col min="4" max="4" width="8.85546875" style="402" customWidth="1"/>
    <col min="5" max="6" width="9.7109375" style="402" customWidth="1"/>
    <col min="7" max="7" width="14.28515625" style="402" customWidth="1"/>
    <col min="8" max="8" width="7" style="402" customWidth="1"/>
    <col min="9" max="9" width="9.7109375" style="402" customWidth="1"/>
    <col min="10" max="10" width="21" style="402" customWidth="1"/>
    <col min="11" max="256" width="10" style="3438"/>
    <col min="257" max="257" width="10.7109375" style="3438" customWidth="1"/>
    <col min="258" max="258" width="17.42578125" style="3438" customWidth="1"/>
    <col min="259" max="259" width="11.85546875" style="3438" customWidth="1"/>
    <col min="260" max="261" width="9" style="3438" customWidth="1"/>
    <col min="262" max="262" width="10.7109375" style="3438" customWidth="1"/>
    <col min="263" max="263" width="31.85546875" style="3438" customWidth="1"/>
    <col min="264" max="264" width="22" style="3438" customWidth="1"/>
    <col min="265" max="265" width="9" style="3438" customWidth="1"/>
    <col min="266" max="266" width="16" style="3438" customWidth="1"/>
    <col min="267" max="512" width="10" style="3438"/>
    <col min="513" max="513" width="10.7109375" style="3438" customWidth="1"/>
    <col min="514" max="514" width="17.42578125" style="3438" customWidth="1"/>
    <col min="515" max="515" width="11.85546875" style="3438" customWidth="1"/>
    <col min="516" max="517" width="9" style="3438" customWidth="1"/>
    <col min="518" max="518" width="10.7109375" style="3438" customWidth="1"/>
    <col min="519" max="519" width="31.85546875" style="3438" customWidth="1"/>
    <col min="520" max="520" width="22" style="3438" customWidth="1"/>
    <col min="521" max="521" width="9" style="3438" customWidth="1"/>
    <col min="522" max="522" width="16" style="3438" customWidth="1"/>
    <col min="523" max="768" width="10" style="3438"/>
    <col min="769" max="769" width="10.7109375" style="3438" customWidth="1"/>
    <col min="770" max="770" width="17.42578125" style="3438" customWidth="1"/>
    <col min="771" max="771" width="11.85546875" style="3438" customWidth="1"/>
    <col min="772" max="773" width="9" style="3438" customWidth="1"/>
    <col min="774" max="774" width="10.7109375" style="3438" customWidth="1"/>
    <col min="775" max="775" width="31.85546875" style="3438" customWidth="1"/>
    <col min="776" max="776" width="22" style="3438" customWidth="1"/>
    <col min="777" max="777" width="9" style="3438" customWidth="1"/>
    <col min="778" max="778" width="16" style="3438" customWidth="1"/>
    <col min="779" max="1024" width="10" style="3438"/>
    <col min="1025" max="1025" width="10.7109375" style="3438" customWidth="1"/>
    <col min="1026" max="1026" width="17.42578125" style="3438" customWidth="1"/>
    <col min="1027" max="1027" width="11.85546875" style="3438" customWidth="1"/>
    <col min="1028" max="1029" width="9" style="3438" customWidth="1"/>
    <col min="1030" max="1030" width="10.7109375" style="3438" customWidth="1"/>
    <col min="1031" max="1031" width="31.85546875" style="3438" customWidth="1"/>
    <col min="1032" max="1032" width="22" style="3438" customWidth="1"/>
    <col min="1033" max="1033" width="9" style="3438" customWidth="1"/>
    <col min="1034" max="1034" width="16" style="3438" customWidth="1"/>
    <col min="1035" max="1280" width="10" style="3438"/>
    <col min="1281" max="1281" width="10.7109375" style="3438" customWidth="1"/>
    <col min="1282" max="1282" width="17.42578125" style="3438" customWidth="1"/>
    <col min="1283" max="1283" width="11.85546875" style="3438" customWidth="1"/>
    <col min="1284" max="1285" width="9" style="3438" customWidth="1"/>
    <col min="1286" max="1286" width="10.7109375" style="3438" customWidth="1"/>
    <col min="1287" max="1287" width="31.85546875" style="3438" customWidth="1"/>
    <col min="1288" max="1288" width="22" style="3438" customWidth="1"/>
    <col min="1289" max="1289" width="9" style="3438" customWidth="1"/>
    <col min="1290" max="1290" width="16" style="3438" customWidth="1"/>
    <col min="1291" max="1536" width="10" style="3438"/>
    <col min="1537" max="1537" width="10.7109375" style="3438" customWidth="1"/>
    <col min="1538" max="1538" width="17.42578125" style="3438" customWidth="1"/>
    <col min="1539" max="1539" width="11.85546875" style="3438" customWidth="1"/>
    <col min="1540" max="1541" width="9" style="3438" customWidth="1"/>
    <col min="1542" max="1542" width="10.7109375" style="3438" customWidth="1"/>
    <col min="1543" max="1543" width="31.85546875" style="3438" customWidth="1"/>
    <col min="1544" max="1544" width="22" style="3438" customWidth="1"/>
    <col min="1545" max="1545" width="9" style="3438" customWidth="1"/>
    <col min="1546" max="1546" width="16" style="3438" customWidth="1"/>
    <col min="1547" max="1792" width="10" style="3438"/>
    <col min="1793" max="1793" width="10.7109375" style="3438" customWidth="1"/>
    <col min="1794" max="1794" width="17.42578125" style="3438" customWidth="1"/>
    <col min="1795" max="1795" width="11.85546875" style="3438" customWidth="1"/>
    <col min="1796" max="1797" width="9" style="3438" customWidth="1"/>
    <col min="1798" max="1798" width="10.7109375" style="3438" customWidth="1"/>
    <col min="1799" max="1799" width="31.85546875" style="3438" customWidth="1"/>
    <col min="1800" max="1800" width="22" style="3438" customWidth="1"/>
    <col min="1801" max="1801" width="9" style="3438" customWidth="1"/>
    <col min="1802" max="1802" width="16" style="3438" customWidth="1"/>
    <col min="1803" max="2048" width="10" style="3438"/>
    <col min="2049" max="2049" width="10.7109375" style="3438" customWidth="1"/>
    <col min="2050" max="2050" width="17.42578125" style="3438" customWidth="1"/>
    <col min="2051" max="2051" width="11.85546875" style="3438" customWidth="1"/>
    <col min="2052" max="2053" width="9" style="3438" customWidth="1"/>
    <col min="2054" max="2054" width="10.7109375" style="3438" customWidth="1"/>
    <col min="2055" max="2055" width="31.85546875" style="3438" customWidth="1"/>
    <col min="2056" max="2056" width="22" style="3438" customWidth="1"/>
    <col min="2057" max="2057" width="9" style="3438" customWidth="1"/>
    <col min="2058" max="2058" width="16" style="3438" customWidth="1"/>
    <col min="2059" max="2304" width="10" style="3438"/>
    <col min="2305" max="2305" width="10.7109375" style="3438" customWidth="1"/>
    <col min="2306" max="2306" width="17.42578125" style="3438" customWidth="1"/>
    <col min="2307" max="2307" width="11.85546875" style="3438" customWidth="1"/>
    <col min="2308" max="2309" width="9" style="3438" customWidth="1"/>
    <col min="2310" max="2310" width="10.7109375" style="3438" customWidth="1"/>
    <col min="2311" max="2311" width="31.85546875" style="3438" customWidth="1"/>
    <col min="2312" max="2312" width="22" style="3438" customWidth="1"/>
    <col min="2313" max="2313" width="9" style="3438" customWidth="1"/>
    <col min="2314" max="2314" width="16" style="3438" customWidth="1"/>
    <col min="2315" max="2560" width="10" style="3438"/>
    <col min="2561" max="2561" width="10.7109375" style="3438" customWidth="1"/>
    <col min="2562" max="2562" width="17.42578125" style="3438" customWidth="1"/>
    <col min="2563" max="2563" width="11.85546875" style="3438" customWidth="1"/>
    <col min="2564" max="2565" width="9" style="3438" customWidth="1"/>
    <col min="2566" max="2566" width="10.7109375" style="3438" customWidth="1"/>
    <col min="2567" max="2567" width="31.85546875" style="3438" customWidth="1"/>
    <col min="2568" max="2568" width="22" style="3438" customWidth="1"/>
    <col min="2569" max="2569" width="9" style="3438" customWidth="1"/>
    <col min="2570" max="2570" width="16" style="3438" customWidth="1"/>
    <col min="2571" max="2816" width="10" style="3438"/>
    <col min="2817" max="2817" width="10.7109375" style="3438" customWidth="1"/>
    <col min="2818" max="2818" width="17.42578125" style="3438" customWidth="1"/>
    <col min="2819" max="2819" width="11.85546875" style="3438" customWidth="1"/>
    <col min="2820" max="2821" width="9" style="3438" customWidth="1"/>
    <col min="2822" max="2822" width="10.7109375" style="3438" customWidth="1"/>
    <col min="2823" max="2823" width="31.85546875" style="3438" customWidth="1"/>
    <col min="2824" max="2824" width="22" style="3438" customWidth="1"/>
    <col min="2825" max="2825" width="9" style="3438" customWidth="1"/>
    <col min="2826" max="2826" width="16" style="3438" customWidth="1"/>
    <col min="2827" max="3072" width="10" style="3438"/>
    <col min="3073" max="3073" width="10.7109375" style="3438" customWidth="1"/>
    <col min="3074" max="3074" width="17.42578125" style="3438" customWidth="1"/>
    <col min="3075" max="3075" width="11.85546875" style="3438" customWidth="1"/>
    <col min="3076" max="3077" width="9" style="3438" customWidth="1"/>
    <col min="3078" max="3078" width="10.7109375" style="3438" customWidth="1"/>
    <col min="3079" max="3079" width="31.85546875" style="3438" customWidth="1"/>
    <col min="3080" max="3080" width="22" style="3438" customWidth="1"/>
    <col min="3081" max="3081" width="9" style="3438" customWidth="1"/>
    <col min="3082" max="3082" width="16" style="3438" customWidth="1"/>
    <col min="3083" max="3328" width="10" style="3438"/>
    <col min="3329" max="3329" width="10.7109375" style="3438" customWidth="1"/>
    <col min="3330" max="3330" width="17.42578125" style="3438" customWidth="1"/>
    <col min="3331" max="3331" width="11.85546875" style="3438" customWidth="1"/>
    <col min="3332" max="3333" width="9" style="3438" customWidth="1"/>
    <col min="3334" max="3334" width="10.7109375" style="3438" customWidth="1"/>
    <col min="3335" max="3335" width="31.85546875" style="3438" customWidth="1"/>
    <col min="3336" max="3336" width="22" style="3438" customWidth="1"/>
    <col min="3337" max="3337" width="9" style="3438" customWidth="1"/>
    <col min="3338" max="3338" width="16" style="3438" customWidth="1"/>
    <col min="3339" max="3584" width="10" style="3438"/>
    <col min="3585" max="3585" width="10.7109375" style="3438" customWidth="1"/>
    <col min="3586" max="3586" width="17.42578125" style="3438" customWidth="1"/>
    <col min="3587" max="3587" width="11.85546875" style="3438" customWidth="1"/>
    <col min="3588" max="3589" width="9" style="3438" customWidth="1"/>
    <col min="3590" max="3590" width="10.7109375" style="3438" customWidth="1"/>
    <col min="3591" max="3591" width="31.85546875" style="3438" customWidth="1"/>
    <col min="3592" max="3592" width="22" style="3438" customWidth="1"/>
    <col min="3593" max="3593" width="9" style="3438" customWidth="1"/>
    <col min="3594" max="3594" width="16" style="3438" customWidth="1"/>
    <col min="3595" max="3840" width="10" style="3438"/>
    <col min="3841" max="3841" width="10.7109375" style="3438" customWidth="1"/>
    <col min="3842" max="3842" width="17.42578125" style="3438" customWidth="1"/>
    <col min="3843" max="3843" width="11.85546875" style="3438" customWidth="1"/>
    <col min="3844" max="3845" width="9" style="3438" customWidth="1"/>
    <col min="3846" max="3846" width="10.7109375" style="3438" customWidth="1"/>
    <col min="3847" max="3847" width="31.85546875" style="3438" customWidth="1"/>
    <col min="3848" max="3848" width="22" style="3438" customWidth="1"/>
    <col min="3849" max="3849" width="9" style="3438" customWidth="1"/>
    <col min="3850" max="3850" width="16" style="3438" customWidth="1"/>
    <col min="3851" max="4096" width="10" style="3438"/>
    <col min="4097" max="4097" width="10.7109375" style="3438" customWidth="1"/>
    <col min="4098" max="4098" width="17.42578125" style="3438" customWidth="1"/>
    <col min="4099" max="4099" width="11.85546875" style="3438" customWidth="1"/>
    <col min="4100" max="4101" width="9" style="3438" customWidth="1"/>
    <col min="4102" max="4102" width="10.7109375" style="3438" customWidth="1"/>
    <col min="4103" max="4103" width="31.85546875" style="3438" customWidth="1"/>
    <col min="4104" max="4104" width="22" style="3438" customWidth="1"/>
    <col min="4105" max="4105" width="9" style="3438" customWidth="1"/>
    <col min="4106" max="4106" width="16" style="3438" customWidth="1"/>
    <col min="4107" max="4352" width="10" style="3438"/>
    <col min="4353" max="4353" width="10.7109375" style="3438" customWidth="1"/>
    <col min="4354" max="4354" width="17.42578125" style="3438" customWidth="1"/>
    <col min="4355" max="4355" width="11.85546875" style="3438" customWidth="1"/>
    <col min="4356" max="4357" width="9" style="3438" customWidth="1"/>
    <col min="4358" max="4358" width="10.7109375" style="3438" customWidth="1"/>
    <col min="4359" max="4359" width="31.85546875" style="3438" customWidth="1"/>
    <col min="4360" max="4360" width="22" style="3438" customWidth="1"/>
    <col min="4361" max="4361" width="9" style="3438" customWidth="1"/>
    <col min="4362" max="4362" width="16" style="3438" customWidth="1"/>
    <col min="4363" max="4608" width="10" style="3438"/>
    <col min="4609" max="4609" width="10.7109375" style="3438" customWidth="1"/>
    <col min="4610" max="4610" width="17.42578125" style="3438" customWidth="1"/>
    <col min="4611" max="4611" width="11.85546875" style="3438" customWidth="1"/>
    <col min="4612" max="4613" width="9" style="3438" customWidth="1"/>
    <col min="4614" max="4614" width="10.7109375" style="3438" customWidth="1"/>
    <col min="4615" max="4615" width="31.85546875" style="3438" customWidth="1"/>
    <col min="4616" max="4616" width="22" style="3438" customWidth="1"/>
    <col min="4617" max="4617" width="9" style="3438" customWidth="1"/>
    <col min="4618" max="4618" width="16" style="3438" customWidth="1"/>
    <col min="4619" max="4864" width="10" style="3438"/>
    <col min="4865" max="4865" width="10.7109375" style="3438" customWidth="1"/>
    <col min="4866" max="4866" width="17.42578125" style="3438" customWidth="1"/>
    <col min="4867" max="4867" width="11.85546875" style="3438" customWidth="1"/>
    <col min="4868" max="4869" width="9" style="3438" customWidth="1"/>
    <col min="4870" max="4870" width="10.7109375" style="3438" customWidth="1"/>
    <col min="4871" max="4871" width="31.85546875" style="3438" customWidth="1"/>
    <col min="4872" max="4872" width="22" style="3438" customWidth="1"/>
    <col min="4873" max="4873" width="9" style="3438" customWidth="1"/>
    <col min="4874" max="4874" width="16" style="3438" customWidth="1"/>
    <col min="4875" max="5120" width="10" style="3438"/>
    <col min="5121" max="5121" width="10.7109375" style="3438" customWidth="1"/>
    <col min="5122" max="5122" width="17.42578125" style="3438" customWidth="1"/>
    <col min="5123" max="5123" width="11.85546875" style="3438" customWidth="1"/>
    <col min="5124" max="5125" width="9" style="3438" customWidth="1"/>
    <col min="5126" max="5126" width="10.7109375" style="3438" customWidth="1"/>
    <col min="5127" max="5127" width="31.85546875" style="3438" customWidth="1"/>
    <col min="5128" max="5128" width="22" style="3438" customWidth="1"/>
    <col min="5129" max="5129" width="9" style="3438" customWidth="1"/>
    <col min="5130" max="5130" width="16" style="3438" customWidth="1"/>
    <col min="5131" max="5376" width="10" style="3438"/>
    <col min="5377" max="5377" width="10.7109375" style="3438" customWidth="1"/>
    <col min="5378" max="5378" width="17.42578125" style="3438" customWidth="1"/>
    <col min="5379" max="5379" width="11.85546875" style="3438" customWidth="1"/>
    <col min="5380" max="5381" width="9" style="3438" customWidth="1"/>
    <col min="5382" max="5382" width="10.7109375" style="3438" customWidth="1"/>
    <col min="5383" max="5383" width="31.85546875" style="3438" customWidth="1"/>
    <col min="5384" max="5384" width="22" style="3438" customWidth="1"/>
    <col min="5385" max="5385" width="9" style="3438" customWidth="1"/>
    <col min="5386" max="5386" width="16" style="3438" customWidth="1"/>
    <col min="5387" max="5632" width="10" style="3438"/>
    <col min="5633" max="5633" width="10.7109375" style="3438" customWidth="1"/>
    <col min="5634" max="5634" width="17.42578125" style="3438" customWidth="1"/>
    <col min="5635" max="5635" width="11.85546875" style="3438" customWidth="1"/>
    <col min="5636" max="5637" width="9" style="3438" customWidth="1"/>
    <col min="5638" max="5638" width="10.7109375" style="3438" customWidth="1"/>
    <col min="5639" max="5639" width="31.85546875" style="3438" customWidth="1"/>
    <col min="5640" max="5640" width="22" style="3438" customWidth="1"/>
    <col min="5641" max="5641" width="9" style="3438" customWidth="1"/>
    <col min="5642" max="5642" width="16" style="3438" customWidth="1"/>
    <col min="5643" max="5888" width="10" style="3438"/>
    <col min="5889" max="5889" width="10.7109375" style="3438" customWidth="1"/>
    <col min="5890" max="5890" width="17.42578125" style="3438" customWidth="1"/>
    <col min="5891" max="5891" width="11.85546875" style="3438" customWidth="1"/>
    <col min="5892" max="5893" width="9" style="3438" customWidth="1"/>
    <col min="5894" max="5894" width="10.7109375" style="3438" customWidth="1"/>
    <col min="5895" max="5895" width="31.85546875" style="3438" customWidth="1"/>
    <col min="5896" max="5896" width="22" style="3438" customWidth="1"/>
    <col min="5897" max="5897" width="9" style="3438" customWidth="1"/>
    <col min="5898" max="5898" width="16" style="3438" customWidth="1"/>
    <col min="5899" max="6144" width="10" style="3438"/>
    <col min="6145" max="6145" width="10.7109375" style="3438" customWidth="1"/>
    <col min="6146" max="6146" width="17.42578125" style="3438" customWidth="1"/>
    <col min="6147" max="6147" width="11.85546875" style="3438" customWidth="1"/>
    <col min="6148" max="6149" width="9" style="3438" customWidth="1"/>
    <col min="6150" max="6150" width="10.7109375" style="3438" customWidth="1"/>
    <col min="6151" max="6151" width="31.85546875" style="3438" customWidth="1"/>
    <col min="6152" max="6152" width="22" style="3438" customWidth="1"/>
    <col min="6153" max="6153" width="9" style="3438" customWidth="1"/>
    <col min="6154" max="6154" width="16" style="3438" customWidth="1"/>
    <col min="6155" max="6400" width="10" style="3438"/>
    <col min="6401" max="6401" width="10.7109375" style="3438" customWidth="1"/>
    <col min="6402" max="6402" width="17.42578125" style="3438" customWidth="1"/>
    <col min="6403" max="6403" width="11.85546875" style="3438" customWidth="1"/>
    <col min="6404" max="6405" width="9" style="3438" customWidth="1"/>
    <col min="6406" max="6406" width="10.7109375" style="3438" customWidth="1"/>
    <col min="6407" max="6407" width="31.85546875" style="3438" customWidth="1"/>
    <col min="6408" max="6408" width="22" style="3438" customWidth="1"/>
    <col min="6409" max="6409" width="9" style="3438" customWidth="1"/>
    <col min="6410" max="6410" width="16" style="3438" customWidth="1"/>
    <col min="6411" max="6656" width="10" style="3438"/>
    <col min="6657" max="6657" width="10.7109375" style="3438" customWidth="1"/>
    <col min="6658" max="6658" width="17.42578125" style="3438" customWidth="1"/>
    <col min="6659" max="6659" width="11.85546875" style="3438" customWidth="1"/>
    <col min="6660" max="6661" width="9" style="3438" customWidth="1"/>
    <col min="6662" max="6662" width="10.7109375" style="3438" customWidth="1"/>
    <col min="6663" max="6663" width="31.85546875" style="3438" customWidth="1"/>
    <col min="6664" max="6664" width="22" style="3438" customWidth="1"/>
    <col min="6665" max="6665" width="9" style="3438" customWidth="1"/>
    <col min="6666" max="6666" width="16" style="3438" customWidth="1"/>
    <col min="6667" max="6912" width="10" style="3438"/>
    <col min="6913" max="6913" width="10.7109375" style="3438" customWidth="1"/>
    <col min="6914" max="6914" width="17.42578125" style="3438" customWidth="1"/>
    <col min="6915" max="6915" width="11.85546875" style="3438" customWidth="1"/>
    <col min="6916" max="6917" width="9" style="3438" customWidth="1"/>
    <col min="6918" max="6918" width="10.7109375" style="3438" customWidth="1"/>
    <col min="6919" max="6919" width="31.85546875" style="3438" customWidth="1"/>
    <col min="6920" max="6920" width="22" style="3438" customWidth="1"/>
    <col min="6921" max="6921" width="9" style="3438" customWidth="1"/>
    <col min="6922" max="6922" width="16" style="3438" customWidth="1"/>
    <col min="6923" max="7168" width="10" style="3438"/>
    <col min="7169" max="7169" width="10.7109375" style="3438" customWidth="1"/>
    <col min="7170" max="7170" width="17.42578125" style="3438" customWidth="1"/>
    <col min="7171" max="7171" width="11.85546875" style="3438" customWidth="1"/>
    <col min="7172" max="7173" width="9" style="3438" customWidth="1"/>
    <col min="7174" max="7174" width="10.7109375" style="3438" customWidth="1"/>
    <col min="7175" max="7175" width="31.85546875" style="3438" customWidth="1"/>
    <col min="7176" max="7176" width="22" style="3438" customWidth="1"/>
    <col min="7177" max="7177" width="9" style="3438" customWidth="1"/>
    <col min="7178" max="7178" width="16" style="3438" customWidth="1"/>
    <col min="7179" max="7424" width="10" style="3438"/>
    <col min="7425" max="7425" width="10.7109375" style="3438" customWidth="1"/>
    <col min="7426" max="7426" width="17.42578125" style="3438" customWidth="1"/>
    <col min="7427" max="7427" width="11.85546875" style="3438" customWidth="1"/>
    <col min="7428" max="7429" width="9" style="3438" customWidth="1"/>
    <col min="7430" max="7430" width="10.7109375" style="3438" customWidth="1"/>
    <col min="7431" max="7431" width="31.85546875" style="3438" customWidth="1"/>
    <col min="7432" max="7432" width="22" style="3438" customWidth="1"/>
    <col min="7433" max="7433" width="9" style="3438" customWidth="1"/>
    <col min="7434" max="7434" width="16" style="3438" customWidth="1"/>
    <col min="7435" max="7680" width="10" style="3438"/>
    <col min="7681" max="7681" width="10.7109375" style="3438" customWidth="1"/>
    <col min="7682" max="7682" width="17.42578125" style="3438" customWidth="1"/>
    <col min="7683" max="7683" width="11.85546875" style="3438" customWidth="1"/>
    <col min="7684" max="7685" width="9" style="3438" customWidth="1"/>
    <col min="7686" max="7686" width="10.7109375" style="3438" customWidth="1"/>
    <col min="7687" max="7687" width="31.85546875" style="3438" customWidth="1"/>
    <col min="7688" max="7688" width="22" style="3438" customWidth="1"/>
    <col min="7689" max="7689" width="9" style="3438" customWidth="1"/>
    <col min="7690" max="7690" width="16" style="3438" customWidth="1"/>
    <col min="7691" max="7936" width="10" style="3438"/>
    <col min="7937" max="7937" width="10.7109375" style="3438" customWidth="1"/>
    <col min="7938" max="7938" width="17.42578125" style="3438" customWidth="1"/>
    <col min="7939" max="7939" width="11.85546875" style="3438" customWidth="1"/>
    <col min="7940" max="7941" width="9" style="3438" customWidth="1"/>
    <col min="7942" max="7942" width="10.7109375" style="3438" customWidth="1"/>
    <col min="7943" max="7943" width="31.85546875" style="3438" customWidth="1"/>
    <col min="7944" max="7944" width="22" style="3438" customWidth="1"/>
    <col min="7945" max="7945" width="9" style="3438" customWidth="1"/>
    <col min="7946" max="7946" width="16" style="3438" customWidth="1"/>
    <col min="7947" max="8192" width="10" style="3438"/>
    <col min="8193" max="8193" width="10.7109375" style="3438" customWidth="1"/>
    <col min="8194" max="8194" width="17.42578125" style="3438" customWidth="1"/>
    <col min="8195" max="8195" width="11.85546875" style="3438" customWidth="1"/>
    <col min="8196" max="8197" width="9" style="3438" customWidth="1"/>
    <col min="8198" max="8198" width="10.7109375" style="3438" customWidth="1"/>
    <col min="8199" max="8199" width="31.85546875" style="3438" customWidth="1"/>
    <col min="8200" max="8200" width="22" style="3438" customWidth="1"/>
    <col min="8201" max="8201" width="9" style="3438" customWidth="1"/>
    <col min="8202" max="8202" width="16" style="3438" customWidth="1"/>
    <col min="8203" max="8448" width="10" style="3438"/>
    <col min="8449" max="8449" width="10.7109375" style="3438" customWidth="1"/>
    <col min="8450" max="8450" width="17.42578125" style="3438" customWidth="1"/>
    <col min="8451" max="8451" width="11.85546875" style="3438" customWidth="1"/>
    <col min="8452" max="8453" width="9" style="3438" customWidth="1"/>
    <col min="8454" max="8454" width="10.7109375" style="3438" customWidth="1"/>
    <col min="8455" max="8455" width="31.85546875" style="3438" customWidth="1"/>
    <col min="8456" max="8456" width="22" style="3438" customWidth="1"/>
    <col min="8457" max="8457" width="9" style="3438" customWidth="1"/>
    <col min="8458" max="8458" width="16" style="3438" customWidth="1"/>
    <col min="8459" max="8704" width="10" style="3438"/>
    <col min="8705" max="8705" width="10.7109375" style="3438" customWidth="1"/>
    <col min="8706" max="8706" width="17.42578125" style="3438" customWidth="1"/>
    <col min="8707" max="8707" width="11.85546875" style="3438" customWidth="1"/>
    <col min="8708" max="8709" width="9" style="3438" customWidth="1"/>
    <col min="8710" max="8710" width="10.7109375" style="3438" customWidth="1"/>
    <col min="8711" max="8711" width="31.85546875" style="3438" customWidth="1"/>
    <col min="8712" max="8712" width="22" style="3438" customWidth="1"/>
    <col min="8713" max="8713" width="9" style="3438" customWidth="1"/>
    <col min="8714" max="8714" width="16" style="3438" customWidth="1"/>
    <col min="8715" max="8960" width="10" style="3438"/>
    <col min="8961" max="8961" width="10.7109375" style="3438" customWidth="1"/>
    <col min="8962" max="8962" width="17.42578125" style="3438" customWidth="1"/>
    <col min="8963" max="8963" width="11.85546875" style="3438" customWidth="1"/>
    <col min="8964" max="8965" width="9" style="3438" customWidth="1"/>
    <col min="8966" max="8966" width="10.7109375" style="3438" customWidth="1"/>
    <col min="8967" max="8967" width="31.85546875" style="3438" customWidth="1"/>
    <col min="8968" max="8968" width="22" style="3438" customWidth="1"/>
    <col min="8969" max="8969" width="9" style="3438" customWidth="1"/>
    <col min="8970" max="8970" width="16" style="3438" customWidth="1"/>
    <col min="8971" max="9216" width="10" style="3438"/>
    <col min="9217" max="9217" width="10.7109375" style="3438" customWidth="1"/>
    <col min="9218" max="9218" width="17.42578125" style="3438" customWidth="1"/>
    <col min="9219" max="9219" width="11.85546875" style="3438" customWidth="1"/>
    <col min="9220" max="9221" width="9" style="3438" customWidth="1"/>
    <col min="9222" max="9222" width="10.7109375" style="3438" customWidth="1"/>
    <col min="9223" max="9223" width="31.85546875" style="3438" customWidth="1"/>
    <col min="9224" max="9224" width="22" style="3438" customWidth="1"/>
    <col min="9225" max="9225" width="9" style="3438" customWidth="1"/>
    <col min="9226" max="9226" width="16" style="3438" customWidth="1"/>
    <col min="9227" max="9472" width="10" style="3438"/>
    <col min="9473" max="9473" width="10.7109375" style="3438" customWidth="1"/>
    <col min="9474" max="9474" width="17.42578125" style="3438" customWidth="1"/>
    <col min="9475" max="9475" width="11.85546875" style="3438" customWidth="1"/>
    <col min="9476" max="9477" width="9" style="3438" customWidth="1"/>
    <col min="9478" max="9478" width="10.7109375" style="3438" customWidth="1"/>
    <col min="9479" max="9479" width="31.85546875" style="3438" customWidth="1"/>
    <col min="9480" max="9480" width="22" style="3438" customWidth="1"/>
    <col min="9481" max="9481" width="9" style="3438" customWidth="1"/>
    <col min="9482" max="9482" width="16" style="3438" customWidth="1"/>
    <col min="9483" max="9728" width="10" style="3438"/>
    <col min="9729" max="9729" width="10.7109375" style="3438" customWidth="1"/>
    <col min="9730" max="9730" width="17.42578125" style="3438" customWidth="1"/>
    <col min="9731" max="9731" width="11.85546875" style="3438" customWidth="1"/>
    <col min="9732" max="9733" width="9" style="3438" customWidth="1"/>
    <col min="9734" max="9734" width="10.7109375" style="3438" customWidth="1"/>
    <col min="9735" max="9735" width="31.85546875" style="3438" customWidth="1"/>
    <col min="9736" max="9736" width="22" style="3438" customWidth="1"/>
    <col min="9737" max="9737" width="9" style="3438" customWidth="1"/>
    <col min="9738" max="9738" width="16" style="3438" customWidth="1"/>
    <col min="9739" max="9984" width="10" style="3438"/>
    <col min="9985" max="9985" width="10.7109375" style="3438" customWidth="1"/>
    <col min="9986" max="9986" width="17.42578125" style="3438" customWidth="1"/>
    <col min="9987" max="9987" width="11.85546875" style="3438" customWidth="1"/>
    <col min="9988" max="9989" width="9" style="3438" customWidth="1"/>
    <col min="9990" max="9990" width="10.7109375" style="3438" customWidth="1"/>
    <col min="9991" max="9991" width="31.85546875" style="3438" customWidth="1"/>
    <col min="9992" max="9992" width="22" style="3438" customWidth="1"/>
    <col min="9993" max="9993" width="9" style="3438" customWidth="1"/>
    <col min="9994" max="9994" width="16" style="3438" customWidth="1"/>
    <col min="9995" max="10240" width="10" style="3438"/>
    <col min="10241" max="10241" width="10.7109375" style="3438" customWidth="1"/>
    <col min="10242" max="10242" width="17.42578125" style="3438" customWidth="1"/>
    <col min="10243" max="10243" width="11.85546875" style="3438" customWidth="1"/>
    <col min="10244" max="10245" width="9" style="3438" customWidth="1"/>
    <col min="10246" max="10246" width="10.7109375" style="3438" customWidth="1"/>
    <col min="10247" max="10247" width="31.85546875" style="3438" customWidth="1"/>
    <col min="10248" max="10248" width="22" style="3438" customWidth="1"/>
    <col min="10249" max="10249" width="9" style="3438" customWidth="1"/>
    <col min="10250" max="10250" width="16" style="3438" customWidth="1"/>
    <col min="10251" max="10496" width="10" style="3438"/>
    <col min="10497" max="10497" width="10.7109375" style="3438" customWidth="1"/>
    <col min="10498" max="10498" width="17.42578125" style="3438" customWidth="1"/>
    <col min="10499" max="10499" width="11.85546875" style="3438" customWidth="1"/>
    <col min="10500" max="10501" width="9" style="3438" customWidth="1"/>
    <col min="10502" max="10502" width="10.7109375" style="3438" customWidth="1"/>
    <col min="10503" max="10503" width="31.85546875" style="3438" customWidth="1"/>
    <col min="10504" max="10504" width="22" style="3438" customWidth="1"/>
    <col min="10505" max="10505" width="9" style="3438" customWidth="1"/>
    <col min="10506" max="10506" width="16" style="3438" customWidth="1"/>
    <col min="10507" max="10752" width="10" style="3438"/>
    <col min="10753" max="10753" width="10.7109375" style="3438" customWidth="1"/>
    <col min="10754" max="10754" width="17.42578125" style="3438" customWidth="1"/>
    <col min="10755" max="10755" width="11.85546875" style="3438" customWidth="1"/>
    <col min="10756" max="10757" width="9" style="3438" customWidth="1"/>
    <col min="10758" max="10758" width="10.7109375" style="3438" customWidth="1"/>
    <col min="10759" max="10759" width="31.85546875" style="3438" customWidth="1"/>
    <col min="10760" max="10760" width="22" style="3438" customWidth="1"/>
    <col min="10761" max="10761" width="9" style="3438" customWidth="1"/>
    <col min="10762" max="10762" width="16" style="3438" customWidth="1"/>
    <col min="10763" max="11008" width="10" style="3438"/>
    <col min="11009" max="11009" width="10.7109375" style="3438" customWidth="1"/>
    <col min="11010" max="11010" width="17.42578125" style="3438" customWidth="1"/>
    <col min="11011" max="11011" width="11.85546875" style="3438" customWidth="1"/>
    <col min="11012" max="11013" width="9" style="3438" customWidth="1"/>
    <col min="11014" max="11014" width="10.7109375" style="3438" customWidth="1"/>
    <col min="11015" max="11015" width="31.85546875" style="3438" customWidth="1"/>
    <col min="11016" max="11016" width="22" style="3438" customWidth="1"/>
    <col min="11017" max="11017" width="9" style="3438" customWidth="1"/>
    <col min="11018" max="11018" width="16" style="3438" customWidth="1"/>
    <col min="11019" max="11264" width="10" style="3438"/>
    <col min="11265" max="11265" width="10.7109375" style="3438" customWidth="1"/>
    <col min="11266" max="11266" width="17.42578125" style="3438" customWidth="1"/>
    <col min="11267" max="11267" width="11.85546875" style="3438" customWidth="1"/>
    <col min="11268" max="11269" width="9" style="3438" customWidth="1"/>
    <col min="11270" max="11270" width="10.7109375" style="3438" customWidth="1"/>
    <col min="11271" max="11271" width="31.85546875" style="3438" customWidth="1"/>
    <col min="11272" max="11272" width="22" style="3438" customWidth="1"/>
    <col min="11273" max="11273" width="9" style="3438" customWidth="1"/>
    <col min="11274" max="11274" width="16" style="3438" customWidth="1"/>
    <col min="11275" max="11520" width="10" style="3438"/>
    <col min="11521" max="11521" width="10.7109375" style="3438" customWidth="1"/>
    <col min="11522" max="11522" width="17.42578125" style="3438" customWidth="1"/>
    <col min="11523" max="11523" width="11.85546875" style="3438" customWidth="1"/>
    <col min="11524" max="11525" width="9" style="3438" customWidth="1"/>
    <col min="11526" max="11526" width="10.7109375" style="3438" customWidth="1"/>
    <col min="11527" max="11527" width="31.85546875" style="3438" customWidth="1"/>
    <col min="11528" max="11528" width="22" style="3438" customWidth="1"/>
    <col min="11529" max="11529" width="9" style="3438" customWidth="1"/>
    <col min="11530" max="11530" width="16" style="3438" customWidth="1"/>
    <col min="11531" max="11776" width="10" style="3438"/>
    <col min="11777" max="11777" width="10.7109375" style="3438" customWidth="1"/>
    <col min="11778" max="11778" width="17.42578125" style="3438" customWidth="1"/>
    <col min="11779" max="11779" width="11.85546875" style="3438" customWidth="1"/>
    <col min="11780" max="11781" width="9" style="3438" customWidth="1"/>
    <col min="11782" max="11782" width="10.7109375" style="3438" customWidth="1"/>
    <col min="11783" max="11783" width="31.85546875" style="3438" customWidth="1"/>
    <col min="11784" max="11784" width="22" style="3438" customWidth="1"/>
    <col min="11785" max="11785" width="9" style="3438" customWidth="1"/>
    <col min="11786" max="11786" width="16" style="3438" customWidth="1"/>
    <col min="11787" max="12032" width="10" style="3438"/>
    <col min="12033" max="12033" width="10.7109375" style="3438" customWidth="1"/>
    <col min="12034" max="12034" width="17.42578125" style="3438" customWidth="1"/>
    <col min="12035" max="12035" width="11.85546875" style="3438" customWidth="1"/>
    <col min="12036" max="12037" width="9" style="3438" customWidth="1"/>
    <col min="12038" max="12038" width="10.7109375" style="3438" customWidth="1"/>
    <col min="12039" max="12039" width="31.85546875" style="3438" customWidth="1"/>
    <col min="12040" max="12040" width="22" style="3438" customWidth="1"/>
    <col min="12041" max="12041" width="9" style="3438" customWidth="1"/>
    <col min="12042" max="12042" width="16" style="3438" customWidth="1"/>
    <col min="12043" max="12288" width="10" style="3438"/>
    <col min="12289" max="12289" width="10.7109375" style="3438" customWidth="1"/>
    <col min="12290" max="12290" width="17.42578125" style="3438" customWidth="1"/>
    <col min="12291" max="12291" width="11.85546875" style="3438" customWidth="1"/>
    <col min="12292" max="12293" width="9" style="3438" customWidth="1"/>
    <col min="12294" max="12294" width="10.7109375" style="3438" customWidth="1"/>
    <col min="12295" max="12295" width="31.85546875" style="3438" customWidth="1"/>
    <col min="12296" max="12296" width="22" style="3438" customWidth="1"/>
    <col min="12297" max="12297" width="9" style="3438" customWidth="1"/>
    <col min="12298" max="12298" width="16" style="3438" customWidth="1"/>
    <col min="12299" max="12544" width="10" style="3438"/>
    <col min="12545" max="12545" width="10.7109375" style="3438" customWidth="1"/>
    <col min="12546" max="12546" width="17.42578125" style="3438" customWidth="1"/>
    <col min="12547" max="12547" width="11.85546875" style="3438" customWidth="1"/>
    <col min="12548" max="12549" width="9" style="3438" customWidth="1"/>
    <col min="12550" max="12550" width="10.7109375" style="3438" customWidth="1"/>
    <col min="12551" max="12551" width="31.85546875" style="3438" customWidth="1"/>
    <col min="12552" max="12552" width="22" style="3438" customWidth="1"/>
    <col min="12553" max="12553" width="9" style="3438" customWidth="1"/>
    <col min="12554" max="12554" width="16" style="3438" customWidth="1"/>
    <col min="12555" max="12800" width="10" style="3438"/>
    <col min="12801" max="12801" width="10.7109375" style="3438" customWidth="1"/>
    <col min="12802" max="12802" width="17.42578125" style="3438" customWidth="1"/>
    <col min="12803" max="12803" width="11.85546875" style="3438" customWidth="1"/>
    <col min="12804" max="12805" width="9" style="3438" customWidth="1"/>
    <col min="12806" max="12806" width="10.7109375" style="3438" customWidth="1"/>
    <col min="12807" max="12807" width="31.85546875" style="3438" customWidth="1"/>
    <col min="12808" max="12808" width="22" style="3438" customWidth="1"/>
    <col min="12809" max="12809" width="9" style="3438" customWidth="1"/>
    <col min="12810" max="12810" width="16" style="3438" customWidth="1"/>
    <col min="12811" max="13056" width="10" style="3438"/>
    <col min="13057" max="13057" width="10.7109375" style="3438" customWidth="1"/>
    <col min="13058" max="13058" width="17.42578125" style="3438" customWidth="1"/>
    <col min="13059" max="13059" width="11.85546875" style="3438" customWidth="1"/>
    <col min="13060" max="13061" width="9" style="3438" customWidth="1"/>
    <col min="13062" max="13062" width="10.7109375" style="3438" customWidth="1"/>
    <col min="13063" max="13063" width="31.85546875" style="3438" customWidth="1"/>
    <col min="13064" max="13064" width="22" style="3438" customWidth="1"/>
    <col min="13065" max="13065" width="9" style="3438" customWidth="1"/>
    <col min="13066" max="13066" width="16" style="3438" customWidth="1"/>
    <col min="13067" max="13312" width="10" style="3438"/>
    <col min="13313" max="13313" width="10.7109375" style="3438" customWidth="1"/>
    <col min="13314" max="13314" width="17.42578125" style="3438" customWidth="1"/>
    <col min="13315" max="13315" width="11.85546875" style="3438" customWidth="1"/>
    <col min="13316" max="13317" width="9" style="3438" customWidth="1"/>
    <col min="13318" max="13318" width="10.7109375" style="3438" customWidth="1"/>
    <col min="13319" max="13319" width="31.85546875" style="3438" customWidth="1"/>
    <col min="13320" max="13320" width="22" style="3438" customWidth="1"/>
    <col min="13321" max="13321" width="9" style="3438" customWidth="1"/>
    <col min="13322" max="13322" width="16" style="3438" customWidth="1"/>
    <col min="13323" max="13568" width="10" style="3438"/>
    <col min="13569" max="13569" width="10.7109375" style="3438" customWidth="1"/>
    <col min="13570" max="13570" width="17.42578125" style="3438" customWidth="1"/>
    <col min="13571" max="13571" width="11.85546875" style="3438" customWidth="1"/>
    <col min="13572" max="13573" width="9" style="3438" customWidth="1"/>
    <col min="13574" max="13574" width="10.7109375" style="3438" customWidth="1"/>
    <col min="13575" max="13575" width="31.85546875" style="3438" customWidth="1"/>
    <col min="13576" max="13576" width="22" style="3438" customWidth="1"/>
    <col min="13577" max="13577" width="9" style="3438" customWidth="1"/>
    <col min="13578" max="13578" width="16" style="3438" customWidth="1"/>
    <col min="13579" max="13824" width="10" style="3438"/>
    <col min="13825" max="13825" width="10.7109375" style="3438" customWidth="1"/>
    <col min="13826" max="13826" width="17.42578125" style="3438" customWidth="1"/>
    <col min="13827" max="13827" width="11.85546875" style="3438" customWidth="1"/>
    <col min="13828" max="13829" width="9" style="3438" customWidth="1"/>
    <col min="13830" max="13830" width="10.7109375" style="3438" customWidth="1"/>
    <col min="13831" max="13831" width="31.85546875" style="3438" customWidth="1"/>
    <col min="13832" max="13832" width="22" style="3438" customWidth="1"/>
    <col min="13833" max="13833" width="9" style="3438" customWidth="1"/>
    <col min="13834" max="13834" width="16" style="3438" customWidth="1"/>
    <col min="13835" max="14080" width="10" style="3438"/>
    <col min="14081" max="14081" width="10.7109375" style="3438" customWidth="1"/>
    <col min="14082" max="14082" width="17.42578125" style="3438" customWidth="1"/>
    <col min="14083" max="14083" width="11.85546875" style="3438" customWidth="1"/>
    <col min="14084" max="14085" width="9" style="3438" customWidth="1"/>
    <col min="14086" max="14086" width="10.7109375" style="3438" customWidth="1"/>
    <col min="14087" max="14087" width="31.85546875" style="3438" customWidth="1"/>
    <col min="14088" max="14088" width="22" style="3438" customWidth="1"/>
    <col min="14089" max="14089" width="9" style="3438" customWidth="1"/>
    <col min="14090" max="14090" width="16" style="3438" customWidth="1"/>
    <col min="14091" max="14336" width="10" style="3438"/>
    <col min="14337" max="14337" width="10.7109375" style="3438" customWidth="1"/>
    <col min="14338" max="14338" width="17.42578125" style="3438" customWidth="1"/>
    <col min="14339" max="14339" width="11.85546875" style="3438" customWidth="1"/>
    <col min="14340" max="14341" width="9" style="3438" customWidth="1"/>
    <col min="14342" max="14342" width="10.7109375" style="3438" customWidth="1"/>
    <col min="14343" max="14343" width="31.85546875" style="3438" customWidth="1"/>
    <col min="14344" max="14344" width="22" style="3438" customWidth="1"/>
    <col min="14345" max="14345" width="9" style="3438" customWidth="1"/>
    <col min="14346" max="14346" width="16" style="3438" customWidth="1"/>
    <col min="14347" max="14592" width="10" style="3438"/>
    <col min="14593" max="14593" width="10.7109375" style="3438" customWidth="1"/>
    <col min="14594" max="14594" width="17.42578125" style="3438" customWidth="1"/>
    <col min="14595" max="14595" width="11.85546875" style="3438" customWidth="1"/>
    <col min="14596" max="14597" width="9" style="3438" customWidth="1"/>
    <col min="14598" max="14598" width="10.7109375" style="3438" customWidth="1"/>
    <col min="14599" max="14599" width="31.85546875" style="3438" customWidth="1"/>
    <col min="14600" max="14600" width="22" style="3438" customWidth="1"/>
    <col min="14601" max="14601" width="9" style="3438" customWidth="1"/>
    <col min="14602" max="14602" width="16" style="3438" customWidth="1"/>
    <col min="14603" max="14848" width="10" style="3438"/>
    <col min="14849" max="14849" width="10.7109375" style="3438" customWidth="1"/>
    <col min="14850" max="14850" width="17.42578125" style="3438" customWidth="1"/>
    <col min="14851" max="14851" width="11.85546875" style="3438" customWidth="1"/>
    <col min="14852" max="14853" width="9" style="3438" customWidth="1"/>
    <col min="14854" max="14854" width="10.7109375" style="3438" customWidth="1"/>
    <col min="14855" max="14855" width="31.85546875" style="3438" customWidth="1"/>
    <col min="14856" max="14856" width="22" style="3438" customWidth="1"/>
    <col min="14857" max="14857" width="9" style="3438" customWidth="1"/>
    <col min="14858" max="14858" width="16" style="3438" customWidth="1"/>
    <col min="14859" max="15104" width="10" style="3438"/>
    <col min="15105" max="15105" width="10.7109375" style="3438" customWidth="1"/>
    <col min="15106" max="15106" width="17.42578125" style="3438" customWidth="1"/>
    <col min="15107" max="15107" width="11.85546875" style="3438" customWidth="1"/>
    <col min="15108" max="15109" width="9" style="3438" customWidth="1"/>
    <col min="15110" max="15110" width="10.7109375" style="3438" customWidth="1"/>
    <col min="15111" max="15111" width="31.85546875" style="3438" customWidth="1"/>
    <col min="15112" max="15112" width="22" style="3438" customWidth="1"/>
    <col min="15113" max="15113" width="9" style="3438" customWidth="1"/>
    <col min="15114" max="15114" width="16" style="3438" customWidth="1"/>
    <col min="15115" max="15360" width="10" style="3438"/>
    <col min="15361" max="15361" width="10.7109375" style="3438" customWidth="1"/>
    <col min="15362" max="15362" width="17.42578125" style="3438" customWidth="1"/>
    <col min="15363" max="15363" width="11.85546875" style="3438" customWidth="1"/>
    <col min="15364" max="15365" width="9" style="3438" customWidth="1"/>
    <col min="15366" max="15366" width="10.7109375" style="3438" customWidth="1"/>
    <col min="15367" max="15367" width="31.85546875" style="3438" customWidth="1"/>
    <col min="15368" max="15368" width="22" style="3438" customWidth="1"/>
    <col min="15369" max="15369" width="9" style="3438" customWidth="1"/>
    <col min="15370" max="15370" width="16" style="3438" customWidth="1"/>
    <col min="15371" max="15616" width="10" style="3438"/>
    <col min="15617" max="15617" width="10.7109375" style="3438" customWidth="1"/>
    <col min="15618" max="15618" width="17.42578125" style="3438" customWidth="1"/>
    <col min="15619" max="15619" width="11.85546875" style="3438" customWidth="1"/>
    <col min="15620" max="15621" width="9" style="3438" customWidth="1"/>
    <col min="15622" max="15622" width="10.7109375" style="3438" customWidth="1"/>
    <col min="15623" max="15623" width="31.85546875" style="3438" customWidth="1"/>
    <col min="15624" max="15624" width="22" style="3438" customWidth="1"/>
    <col min="15625" max="15625" width="9" style="3438" customWidth="1"/>
    <col min="15626" max="15626" width="16" style="3438" customWidth="1"/>
    <col min="15627" max="15872" width="10" style="3438"/>
    <col min="15873" max="15873" width="10.7109375" style="3438" customWidth="1"/>
    <col min="15874" max="15874" width="17.42578125" style="3438" customWidth="1"/>
    <col min="15875" max="15875" width="11.85546875" style="3438" customWidth="1"/>
    <col min="15876" max="15877" width="9" style="3438" customWidth="1"/>
    <col min="15878" max="15878" width="10.7109375" style="3438" customWidth="1"/>
    <col min="15879" max="15879" width="31.85546875" style="3438" customWidth="1"/>
    <col min="15880" max="15880" width="22" style="3438" customWidth="1"/>
    <col min="15881" max="15881" width="9" style="3438" customWidth="1"/>
    <col min="15882" max="15882" width="16" style="3438" customWidth="1"/>
    <col min="15883" max="16128" width="10" style="3438"/>
    <col min="16129" max="16129" width="10.7109375" style="3438" customWidth="1"/>
    <col min="16130" max="16130" width="17.42578125" style="3438" customWidth="1"/>
    <col min="16131" max="16131" width="11.85546875" style="3438" customWidth="1"/>
    <col min="16132" max="16133" width="9" style="3438" customWidth="1"/>
    <col min="16134" max="16134" width="10.7109375" style="3438" customWidth="1"/>
    <col min="16135" max="16135" width="31.85546875" style="3438" customWidth="1"/>
    <col min="16136" max="16136" width="22" style="3438" customWidth="1"/>
    <col min="16137" max="16137" width="9" style="3438" customWidth="1"/>
    <col min="16138" max="16138" width="16" style="3438" customWidth="1"/>
    <col min="16139" max="16384" width="10" style="3438"/>
  </cols>
  <sheetData>
    <row r="1" spans="1:20" ht="50.1" customHeight="1">
      <c r="E1" s="4196" t="s">
        <v>3923</v>
      </c>
      <c r="F1" s="4196"/>
      <c r="G1" s="4196" t="s">
        <v>3924</v>
      </c>
      <c r="H1" s="4196"/>
      <c r="I1" s="4196" t="s">
        <v>3925</v>
      </c>
      <c r="J1" s="4196"/>
      <c r="K1" s="3444" t="s">
        <v>3557</v>
      </c>
    </row>
    <row r="2" spans="1:20" ht="4.5" customHeight="1">
      <c r="E2" s="4196" t="s">
        <v>3926</v>
      </c>
      <c r="F2" s="4196"/>
      <c r="G2" s="4196" t="s">
        <v>3927</v>
      </c>
      <c r="H2" s="4196"/>
      <c r="I2" s="4196" t="s">
        <v>3928</v>
      </c>
      <c r="J2" s="4196"/>
    </row>
    <row r="3" spans="1:20" ht="15" customHeight="1" thickBot="1">
      <c r="A3" s="4195"/>
      <c r="B3" s="4195"/>
      <c r="C3" s="4195"/>
      <c r="D3" s="4195"/>
      <c r="E3" s="4195"/>
      <c r="F3" s="4195"/>
      <c r="G3" s="4195"/>
      <c r="H3" s="4195"/>
      <c r="I3" s="4195"/>
      <c r="J3" s="4195"/>
      <c r="K3" s="3733" t="s">
        <v>3694</v>
      </c>
    </row>
    <row r="4" spans="1:20" ht="15" customHeight="1" thickBot="1">
      <c r="A4" s="4186" t="s">
        <v>3929</v>
      </c>
      <c r="B4" s="4187"/>
      <c r="C4" s="4187"/>
      <c r="D4" s="4187"/>
      <c r="E4" s="4187"/>
      <c r="F4" s="4187"/>
      <c r="G4" s="4188"/>
      <c r="H4" s="4183" t="s">
        <v>3930</v>
      </c>
      <c r="I4" s="4184"/>
      <c r="J4" s="4185"/>
    </row>
    <row r="5" spans="1:20" s="3439" customFormat="1" ht="15.95" customHeight="1" thickBot="1">
      <c r="A5" s="4189"/>
      <c r="B5" s="4189"/>
      <c r="C5" s="4189"/>
      <c r="D5" s="4189"/>
      <c r="E5" s="4189"/>
      <c r="F5" s="4189"/>
      <c r="G5" s="4189"/>
      <c r="H5" s="4189"/>
      <c r="I5" s="4189"/>
      <c r="J5" s="4189"/>
      <c r="K5" s="3439" t="s">
        <v>3552</v>
      </c>
      <c r="L5" s="3439" t="s">
        <v>3553</v>
      </c>
      <c r="M5" s="3439" t="s">
        <v>3554</v>
      </c>
      <c r="N5" s="3439" t="s">
        <v>3555</v>
      </c>
      <c r="O5" s="3439" t="s">
        <v>3695</v>
      </c>
      <c r="P5" s="3439" t="s">
        <v>3556</v>
      </c>
      <c r="Q5" s="3439" t="s">
        <v>3696</v>
      </c>
      <c r="R5" s="3439" t="s">
        <v>3697</v>
      </c>
      <c r="S5" s="3439" t="s">
        <v>3698</v>
      </c>
      <c r="T5" s="3439" t="s">
        <v>3699</v>
      </c>
    </row>
    <row r="6" spans="1:20" s="3440" customFormat="1" ht="45" customHeight="1">
      <c r="A6" s="4190" t="s">
        <v>3931</v>
      </c>
      <c r="B6" s="4191"/>
      <c r="C6" s="4191"/>
      <c r="D6" s="4192" t="s">
        <v>3932</v>
      </c>
      <c r="E6" s="4191"/>
      <c r="F6" s="4191"/>
      <c r="G6" s="4193"/>
      <c r="H6" s="4192" t="s">
        <v>3933</v>
      </c>
      <c r="I6" s="4191"/>
      <c r="J6" s="4194"/>
      <c r="K6" s="3734" t="str">
        <f>IFERROR(FIND(" ",C6),"Chưa có dữ liệu")</f>
        <v>Chưa có dữ liệu</v>
      </c>
      <c r="L6" s="3734" t="str">
        <f>IFERROR(FIND(" ",C6,FIND(" ",C6)+2),"Chưa có dữ liệu")</f>
        <v>Chưa có dữ liệu</v>
      </c>
      <c r="M6" s="3734" t="str">
        <f>IFERROR(LEFT(C6,3)-3,"Chưa có dữ liệu")</f>
        <v>Chưa có dữ liệu</v>
      </c>
      <c r="N6" s="3734" t="str">
        <f>IFERROR(MID(C6,L6+1,3)-3,"Chưa có dữ liệu")</f>
        <v>Chưa có dữ liệu</v>
      </c>
      <c r="O6" s="3734" t="str">
        <f>IFERROR(VALUE(TRIM(LEFT(E6,1))),"Chưa có dữ liệu")</f>
        <v>Chưa có dữ liệu</v>
      </c>
      <c r="P6" s="3734" t="str">
        <f>IFERROR(VALUE(LEFT(G6,1)),"Chưa có dữ liệu")</f>
        <v>Chưa có dữ liệu</v>
      </c>
      <c r="Q6" s="3734" t="str">
        <f>MID(C6,14,3)</f>
        <v/>
      </c>
      <c r="R6" s="3734" t="str">
        <f>MID(C6,20,3)</f>
        <v/>
      </c>
      <c r="S6" s="3734" t="str">
        <f>IFERROR(VALUE(MID(E6,3,2)),"Chưa có dữ liệu")</f>
        <v>Chưa có dữ liệu</v>
      </c>
      <c r="T6" s="3734" t="str">
        <f>LEFT(G6,1)&amp;"/"&amp;IF(RIGHT(G6,2)="No",0,RIGHT(G6,1))</f>
        <v>/</v>
      </c>
    </row>
    <row r="7" spans="1:20" s="3440" customFormat="1" ht="15.95" customHeight="1">
      <c r="A7" s="4175" t="s">
        <v>3802</v>
      </c>
      <c r="B7" s="4142"/>
      <c r="C7" s="4142"/>
      <c r="D7" s="4176">
        <v>20001531</v>
      </c>
      <c r="E7" s="4177"/>
      <c r="F7" s="4177"/>
      <c r="G7" s="4178"/>
      <c r="H7" s="4179" t="s">
        <v>3934</v>
      </c>
      <c r="I7" s="4180"/>
      <c r="J7" s="4174"/>
    </row>
    <row r="8" spans="1:20" s="3440" customFormat="1" ht="15.95" customHeight="1">
      <c r="A8" s="4181" t="s">
        <v>3935</v>
      </c>
      <c r="B8" s="4147"/>
      <c r="C8" s="4145" t="s">
        <v>3936</v>
      </c>
      <c r="D8" s="4147"/>
      <c r="E8" s="4145" t="s">
        <v>3937</v>
      </c>
      <c r="F8" s="4147"/>
      <c r="G8" s="4145" t="s">
        <v>3938</v>
      </c>
      <c r="H8" s="4147"/>
      <c r="I8" s="4145" t="s">
        <v>140</v>
      </c>
      <c r="J8" s="4182"/>
      <c r="K8" s="3440" t="str">
        <f>IF(ISNUMBER(SEARCH("prin",G8)),"color","No")</f>
        <v>No</v>
      </c>
    </row>
    <row r="9" spans="1:20" s="3440" customFormat="1" ht="15.95" customHeight="1">
      <c r="A9" s="4169" t="s">
        <v>3939</v>
      </c>
      <c r="B9" s="4170"/>
      <c r="C9" s="4171" t="s">
        <v>3940</v>
      </c>
      <c r="D9" s="4170"/>
      <c r="E9" s="4171" t="s">
        <v>3941</v>
      </c>
      <c r="F9" s="4170"/>
      <c r="G9" s="4172" t="s">
        <v>3942</v>
      </c>
      <c r="H9" s="4173"/>
      <c r="I9" s="4171" t="s">
        <v>3943</v>
      </c>
      <c r="J9" s="4174"/>
      <c r="K9" s="3440" t="str">
        <f t="shared" ref="K9:K53" si="0">IF(ISNUMBER(SEARCH("prin",G9)),"color","No")</f>
        <v>No</v>
      </c>
      <c r="Q9" s="3441"/>
    </row>
    <row r="10" spans="1:20" s="3440" customFormat="1" ht="15.95" customHeight="1">
      <c r="A10" s="3897" t="s">
        <v>3944</v>
      </c>
      <c r="B10" s="402"/>
      <c r="C10" s="403"/>
      <c r="D10" s="402"/>
      <c r="E10" s="402"/>
      <c r="F10" s="402"/>
      <c r="G10" s="402"/>
      <c r="H10" s="402"/>
      <c r="I10" s="402"/>
      <c r="J10" s="3898"/>
      <c r="K10" s="3440" t="str">
        <f t="shared" si="0"/>
        <v>No</v>
      </c>
    </row>
    <row r="11" spans="1:20" s="3440" customFormat="1" ht="15.95" customHeight="1">
      <c r="A11" s="3899"/>
      <c r="B11" s="403" t="s">
        <v>3945</v>
      </c>
      <c r="C11" s="4069"/>
      <c r="D11" s="402"/>
      <c r="E11" s="402"/>
      <c r="F11" s="402"/>
      <c r="G11" s="402"/>
      <c r="H11" s="402"/>
      <c r="I11" s="402"/>
      <c r="J11" s="3898"/>
      <c r="K11" s="3440" t="str">
        <f t="shared" si="0"/>
        <v>No</v>
      </c>
    </row>
    <row r="12" spans="1:20" s="3440" customFormat="1" ht="15.95" customHeight="1">
      <c r="A12" s="3899"/>
      <c r="B12" s="402" t="s">
        <v>3946</v>
      </c>
      <c r="C12" s="4069"/>
      <c r="D12" s="402"/>
      <c r="E12" s="4070"/>
      <c r="F12" s="4070"/>
      <c r="G12" s="4070" t="s">
        <v>3947</v>
      </c>
      <c r="H12" s="402"/>
      <c r="I12" s="402"/>
      <c r="J12" s="3898"/>
      <c r="K12" s="3440" t="str">
        <f t="shared" si="0"/>
        <v>No</v>
      </c>
    </row>
    <row r="13" spans="1:20" s="3440" customFormat="1" ht="15.95" customHeight="1">
      <c r="A13" s="3899"/>
      <c r="B13" s="4071"/>
      <c r="C13" s="4071"/>
      <c r="D13" s="402"/>
      <c r="E13" s="402"/>
      <c r="F13" s="402"/>
      <c r="G13" s="402"/>
      <c r="H13" s="402"/>
      <c r="I13" s="402"/>
      <c r="J13" s="3898"/>
      <c r="K13" s="3440" t="str">
        <f t="shared" si="0"/>
        <v>No</v>
      </c>
    </row>
    <row r="14" spans="1:20" s="3440" customFormat="1" ht="15.95" customHeight="1">
      <c r="A14" s="3899"/>
      <c r="B14" s="4072" t="s">
        <v>3948</v>
      </c>
      <c r="C14" s="4071"/>
      <c r="D14" s="402"/>
      <c r="E14" s="402"/>
      <c r="F14" s="402"/>
      <c r="G14" s="402"/>
      <c r="H14" s="402"/>
      <c r="I14" s="402"/>
      <c r="J14" s="3898"/>
      <c r="K14" s="3440" t="str">
        <f t="shared" si="0"/>
        <v>No</v>
      </c>
    </row>
    <row r="15" spans="1:20" s="3440" customFormat="1" ht="15.95" customHeight="1">
      <c r="A15" s="3899"/>
      <c r="B15" s="4073" t="s">
        <v>3949</v>
      </c>
      <c r="C15" s="4071"/>
      <c r="D15" s="402"/>
      <c r="E15" s="402"/>
      <c r="F15" s="402"/>
      <c r="G15" s="402"/>
      <c r="H15" s="402"/>
      <c r="I15" s="402"/>
      <c r="J15" s="3898"/>
      <c r="K15" s="3440" t="str">
        <f t="shared" si="0"/>
        <v>No</v>
      </c>
    </row>
    <row r="16" spans="1:20" s="3440" customFormat="1" ht="15.95" customHeight="1">
      <c r="A16" s="3899"/>
      <c r="B16" s="403" t="s">
        <v>3950</v>
      </c>
      <c r="C16" s="4071"/>
      <c r="D16" s="402"/>
      <c r="E16" s="402"/>
      <c r="F16" s="402"/>
      <c r="G16" s="402"/>
      <c r="H16" s="402"/>
      <c r="I16" s="402"/>
      <c r="J16" s="3898"/>
      <c r="K16" s="3440" t="str">
        <f t="shared" si="0"/>
        <v>No</v>
      </c>
    </row>
    <row r="17" spans="1:11" s="3440" customFormat="1" ht="15.95" customHeight="1">
      <c r="A17" s="3899"/>
      <c r="B17" s="402"/>
      <c r="C17" s="402"/>
      <c r="D17" s="402"/>
      <c r="E17" s="402"/>
      <c r="F17" s="402"/>
      <c r="G17" s="402"/>
      <c r="H17" s="402"/>
      <c r="I17" s="402"/>
      <c r="J17" s="3898"/>
      <c r="K17" s="3440" t="str">
        <f t="shared" si="0"/>
        <v>No</v>
      </c>
    </row>
    <row r="18" spans="1:11" s="3440" customFormat="1" ht="15.95" customHeight="1">
      <c r="A18" s="3899"/>
      <c r="B18" s="402"/>
      <c r="C18" s="402"/>
      <c r="D18" s="402"/>
      <c r="E18" s="402"/>
      <c r="F18" s="402"/>
      <c r="G18" s="402"/>
      <c r="H18" s="402"/>
      <c r="I18" s="402"/>
      <c r="J18" s="3898"/>
      <c r="K18" s="3440" t="str">
        <f t="shared" si="0"/>
        <v>No</v>
      </c>
    </row>
    <row r="19" spans="1:11" s="3440" customFormat="1" ht="15.95" customHeight="1">
      <c r="A19" s="3899"/>
      <c r="B19" s="402"/>
      <c r="C19" s="403" t="s">
        <v>3951</v>
      </c>
      <c r="D19" s="402"/>
      <c r="E19" s="402"/>
      <c r="F19" s="402"/>
      <c r="G19" s="402"/>
      <c r="H19" s="402"/>
      <c r="I19" s="402"/>
      <c r="J19" s="3898"/>
      <c r="K19" s="3440" t="str">
        <f t="shared" si="0"/>
        <v>No</v>
      </c>
    </row>
    <row r="20" spans="1:11" s="3440" customFormat="1" ht="15.95" customHeight="1">
      <c r="A20" s="3899"/>
      <c r="B20" s="402"/>
      <c r="C20" s="402" t="s">
        <v>3952</v>
      </c>
      <c r="D20" s="402"/>
      <c r="E20" s="402"/>
      <c r="F20" s="402"/>
      <c r="G20" s="402"/>
      <c r="H20" s="402"/>
      <c r="I20" s="402"/>
      <c r="J20" s="3898"/>
      <c r="K20" s="3440" t="str">
        <f t="shared" si="0"/>
        <v>No</v>
      </c>
    </row>
    <row r="21" spans="1:11" s="3440" customFormat="1" ht="15.95" customHeight="1">
      <c r="A21" s="3899"/>
      <c r="B21" s="402"/>
      <c r="C21" s="403" t="s">
        <v>3953</v>
      </c>
      <c r="D21" s="402"/>
      <c r="E21" s="402"/>
      <c r="F21" s="402"/>
      <c r="G21" s="402"/>
      <c r="H21" s="402"/>
      <c r="I21" s="402"/>
      <c r="J21" s="3898"/>
      <c r="K21" s="3440" t="str">
        <f t="shared" si="0"/>
        <v>No</v>
      </c>
    </row>
    <row r="22" spans="1:11" s="3440" customFormat="1" ht="15.95" customHeight="1">
      <c r="A22" s="3899"/>
      <c r="B22" s="402"/>
      <c r="C22" s="4071"/>
      <c r="D22" s="4071"/>
      <c r="E22" s="402"/>
      <c r="F22" s="402"/>
      <c r="G22" s="402"/>
      <c r="H22" s="402"/>
      <c r="I22" s="402"/>
      <c r="J22" s="3898"/>
      <c r="K22" s="3440" t="str">
        <f t="shared" si="0"/>
        <v>No</v>
      </c>
    </row>
    <row r="23" spans="1:11" s="3440" customFormat="1" ht="15.95" customHeight="1">
      <c r="A23" s="4074"/>
      <c r="B23" s="402"/>
      <c r="C23" s="403" t="s">
        <v>3501</v>
      </c>
      <c r="D23" s="4069"/>
      <c r="E23" s="403"/>
      <c r="F23" s="402"/>
      <c r="G23" s="402"/>
      <c r="H23" s="402"/>
      <c r="I23" s="402"/>
      <c r="J23" s="3900"/>
      <c r="K23" s="3440" t="str">
        <f t="shared" si="0"/>
        <v>No</v>
      </c>
    </row>
    <row r="24" spans="1:11" s="3440" customFormat="1" ht="15.95" customHeight="1">
      <c r="A24" s="4074"/>
      <c r="B24" s="402"/>
      <c r="C24" s="402" t="s">
        <v>3954</v>
      </c>
      <c r="D24" s="4071"/>
      <c r="E24" s="402"/>
      <c r="F24" s="402"/>
      <c r="G24" s="402"/>
      <c r="H24" s="402"/>
      <c r="I24" s="402"/>
      <c r="J24" s="3900"/>
      <c r="K24" s="3440" t="str">
        <f t="shared" si="0"/>
        <v>No</v>
      </c>
    </row>
    <row r="25" spans="1:11" s="3440" customFormat="1" ht="15.95" customHeight="1">
      <c r="A25" s="3899"/>
      <c r="B25" s="402"/>
      <c r="C25" s="4071"/>
      <c r="D25" s="4071"/>
      <c r="E25" s="402"/>
      <c r="F25" s="402"/>
      <c r="G25" s="402"/>
      <c r="H25" s="402"/>
      <c r="I25" s="376"/>
      <c r="J25" s="3898"/>
      <c r="K25" s="3440" t="str">
        <f t="shared" si="0"/>
        <v>No</v>
      </c>
    </row>
    <row r="26" spans="1:11" s="3440" customFormat="1" ht="15.95" customHeight="1">
      <c r="A26" s="3899"/>
      <c r="B26" s="402"/>
      <c r="C26" s="403" t="s">
        <v>195</v>
      </c>
      <c r="D26" s="4071"/>
      <c r="E26" s="402"/>
      <c r="F26" s="402"/>
      <c r="G26" s="402"/>
      <c r="H26" s="402"/>
      <c r="I26" s="402"/>
      <c r="J26" s="3898"/>
      <c r="K26" s="3440" t="str">
        <f t="shared" si="0"/>
        <v>No</v>
      </c>
    </row>
    <row r="27" spans="1:11" s="3440" customFormat="1" ht="15.95" customHeight="1">
      <c r="A27" s="3899"/>
      <c r="B27" s="402"/>
      <c r="C27" s="402" t="s">
        <v>3955</v>
      </c>
      <c r="D27" s="4071"/>
      <c r="E27" s="402"/>
      <c r="F27" s="402"/>
      <c r="G27" s="402"/>
      <c r="H27" s="402"/>
      <c r="I27" s="402"/>
      <c r="J27" s="3898"/>
      <c r="K27" s="3440" t="str">
        <f t="shared" si="0"/>
        <v>No</v>
      </c>
    </row>
    <row r="28" spans="1:11" s="3440" customFormat="1" ht="15.95" customHeight="1">
      <c r="A28" s="3899"/>
      <c r="B28" s="402"/>
      <c r="C28" s="402"/>
      <c r="D28" s="4071"/>
      <c r="E28" s="402"/>
      <c r="F28" s="402"/>
      <c r="G28" s="402"/>
      <c r="H28" s="402"/>
      <c r="I28" s="402"/>
      <c r="J28" s="3898"/>
      <c r="K28" s="3440" t="str">
        <f t="shared" si="0"/>
        <v>No</v>
      </c>
    </row>
    <row r="29" spans="1:11" s="3440" customFormat="1" ht="15.95" customHeight="1">
      <c r="A29" s="3899"/>
      <c r="B29" s="403"/>
      <c r="C29" s="403" t="s">
        <v>3956</v>
      </c>
      <c r="D29" s="402"/>
      <c r="E29" s="402"/>
      <c r="F29" s="402"/>
      <c r="G29" s="402"/>
      <c r="H29" s="402"/>
      <c r="I29" s="402"/>
      <c r="J29" s="3898"/>
      <c r="K29" s="3440" t="str">
        <f t="shared" si="0"/>
        <v>No</v>
      </c>
    </row>
    <row r="30" spans="1:11" s="3440" customFormat="1" ht="15.95" customHeight="1">
      <c r="A30" s="3899"/>
      <c r="B30" s="403"/>
      <c r="C30" s="402" t="s">
        <v>3957</v>
      </c>
      <c r="D30" s="402"/>
      <c r="E30" s="402"/>
      <c r="F30" s="402"/>
      <c r="G30" s="402"/>
      <c r="H30" s="402"/>
      <c r="I30" s="402"/>
      <c r="J30" s="3898"/>
      <c r="K30" s="3440" t="str">
        <f t="shared" si="0"/>
        <v>No</v>
      </c>
    </row>
    <row r="31" spans="1:11" s="3440" customFormat="1" ht="15.95" customHeight="1">
      <c r="A31" s="3899"/>
      <c r="B31" s="403"/>
      <c r="C31" s="403" t="s">
        <v>3958</v>
      </c>
      <c r="D31" s="402"/>
      <c r="E31" s="402"/>
      <c r="F31" s="402"/>
      <c r="G31" s="402"/>
      <c r="H31" s="402"/>
      <c r="I31" s="402"/>
      <c r="J31" s="3898"/>
      <c r="K31" s="3440" t="str">
        <f t="shared" si="0"/>
        <v>No</v>
      </c>
    </row>
    <row r="32" spans="1:11" s="3440" customFormat="1" ht="15.95" customHeight="1">
      <c r="A32" s="3899"/>
      <c r="B32" s="403"/>
      <c r="C32" s="4071"/>
      <c r="D32" s="402"/>
      <c r="E32" s="402"/>
      <c r="F32" s="402"/>
      <c r="G32" s="402"/>
      <c r="H32" s="402"/>
      <c r="I32" s="402"/>
      <c r="J32" s="3898"/>
      <c r="K32" s="3440" t="str">
        <f t="shared" si="0"/>
        <v>No</v>
      </c>
    </row>
    <row r="33" spans="1:11" s="3440" customFormat="1" ht="15.95" customHeight="1">
      <c r="A33" s="3899"/>
      <c r="B33" s="403"/>
      <c r="C33" s="403" t="s">
        <v>690</v>
      </c>
      <c r="D33" s="402"/>
      <c r="E33" s="402"/>
      <c r="F33" s="402"/>
      <c r="G33" s="402"/>
      <c r="H33" s="402"/>
      <c r="I33" s="402"/>
      <c r="J33" s="3898"/>
      <c r="K33" s="3440" t="str">
        <f t="shared" si="0"/>
        <v>No</v>
      </c>
    </row>
    <row r="34" spans="1:11" s="3440" customFormat="1" ht="15.95" customHeight="1">
      <c r="A34" s="3899"/>
      <c r="B34" s="403"/>
      <c r="C34" s="403"/>
      <c r="D34" s="402"/>
      <c r="E34" s="402"/>
      <c r="F34" s="402"/>
      <c r="G34" s="402"/>
      <c r="H34" s="402"/>
      <c r="I34" s="402"/>
      <c r="J34" s="3898"/>
      <c r="K34" s="3440" t="str">
        <f t="shared" si="0"/>
        <v>No</v>
      </c>
    </row>
    <row r="35" spans="1:11" s="3440" customFormat="1" ht="15.95" customHeight="1">
      <c r="A35" s="3899"/>
      <c r="B35" s="403"/>
      <c r="C35" s="403"/>
      <c r="D35" s="402"/>
      <c r="E35" s="402"/>
      <c r="F35" s="402"/>
      <c r="G35" s="402"/>
      <c r="H35" s="402"/>
      <c r="I35" s="402"/>
      <c r="J35" s="3898"/>
      <c r="K35" s="3440" t="str">
        <f t="shared" si="0"/>
        <v>No</v>
      </c>
    </row>
    <row r="36" spans="1:11" s="3440" customFormat="1" ht="15.95" customHeight="1">
      <c r="A36" s="3899"/>
      <c r="B36" s="403"/>
      <c r="C36" s="403"/>
      <c r="D36" s="402"/>
      <c r="E36" s="402"/>
      <c r="F36" s="402"/>
      <c r="G36" s="402"/>
      <c r="H36" s="402"/>
      <c r="I36" s="402"/>
      <c r="J36" s="3898"/>
      <c r="K36" s="3440" t="str">
        <f t="shared" si="0"/>
        <v>No</v>
      </c>
    </row>
    <row r="37" spans="1:11" s="3440" customFormat="1" ht="15.95" customHeight="1">
      <c r="A37" s="4160" t="s">
        <v>3959</v>
      </c>
      <c r="B37" s="4161"/>
      <c r="C37" s="4157" t="s">
        <v>3960</v>
      </c>
      <c r="D37" s="4158"/>
      <c r="E37" s="4158"/>
      <c r="F37" s="4159"/>
      <c r="G37" s="4157" t="s">
        <v>3961</v>
      </c>
      <c r="H37" s="4162"/>
      <c r="I37" s="4162"/>
      <c r="J37" s="4163"/>
      <c r="K37" s="3440" t="str">
        <f t="shared" si="0"/>
        <v>No</v>
      </c>
    </row>
    <row r="38" spans="1:11" s="3440" customFormat="1" ht="15.95" customHeight="1">
      <c r="A38" s="4164"/>
      <c r="B38" s="4165"/>
      <c r="C38" s="4166"/>
      <c r="D38" s="4167"/>
      <c r="E38" s="4167"/>
      <c r="F38" s="4165"/>
      <c r="G38" s="4166"/>
      <c r="H38" s="4167"/>
      <c r="I38" s="4167"/>
      <c r="J38" s="4168"/>
      <c r="K38" s="3440" t="str">
        <f t="shared" si="0"/>
        <v>No</v>
      </c>
    </row>
    <row r="39" spans="1:11" s="3440" customFormat="1" ht="15.95" customHeight="1">
      <c r="A39" s="3897" t="s">
        <v>3962</v>
      </c>
      <c r="B39" s="402"/>
      <c r="C39" s="4155"/>
      <c r="D39" s="4155"/>
      <c r="E39" s="4155"/>
      <c r="F39" s="4155"/>
      <c r="G39" s="4155"/>
      <c r="H39" s="4155"/>
      <c r="I39" s="4155"/>
      <c r="J39" s="4156"/>
      <c r="K39" s="3440" t="str">
        <f t="shared" si="0"/>
        <v>No</v>
      </c>
    </row>
    <row r="40" spans="1:11" s="3440" customFormat="1" ht="15.95" customHeight="1">
      <c r="A40" s="3901"/>
      <c r="B40" s="402"/>
      <c r="C40" s="402"/>
      <c r="D40" s="402"/>
      <c r="E40" s="402"/>
      <c r="F40" s="402"/>
      <c r="G40" s="402"/>
      <c r="H40" s="402"/>
      <c r="I40" s="402"/>
      <c r="J40" s="3898"/>
      <c r="K40" s="3440" t="str">
        <f t="shared" si="0"/>
        <v>No</v>
      </c>
    </row>
    <row r="41" spans="1:11" s="3440" customFormat="1" ht="15.95" customHeight="1">
      <c r="A41" s="4143" t="s">
        <v>3963</v>
      </c>
      <c r="B41" s="4144"/>
      <c r="C41" s="4157" t="s">
        <v>3964</v>
      </c>
      <c r="D41" s="4158"/>
      <c r="E41" s="4159"/>
      <c r="F41" s="4157" t="s">
        <v>3965</v>
      </c>
      <c r="G41" s="4158"/>
      <c r="H41" s="4159"/>
      <c r="I41" s="4144" t="s">
        <v>3966</v>
      </c>
      <c r="J41" s="4151"/>
      <c r="K41" s="3440" t="str">
        <f t="shared" si="0"/>
        <v>No</v>
      </c>
    </row>
    <row r="42" spans="1:11" s="3440" customFormat="1" ht="15.95" customHeight="1">
      <c r="A42" s="4143"/>
      <c r="B42" s="4144"/>
      <c r="C42" s="4145"/>
      <c r="D42" s="4146"/>
      <c r="E42" s="4147"/>
      <c r="F42" s="4145"/>
      <c r="G42" s="4146"/>
      <c r="H42" s="4147"/>
      <c r="I42" s="4144"/>
      <c r="J42" s="4151"/>
      <c r="K42" s="3440" t="str">
        <f t="shared" si="0"/>
        <v>No</v>
      </c>
    </row>
    <row r="43" spans="1:11" s="3440" customFormat="1" ht="15.95" customHeight="1" thickBot="1">
      <c r="A43" s="4143"/>
      <c r="B43" s="4144"/>
      <c r="C43" s="4148"/>
      <c r="D43" s="4149"/>
      <c r="E43" s="4150"/>
      <c r="F43" s="4148"/>
      <c r="G43" s="4149"/>
      <c r="H43" s="4150"/>
      <c r="I43" s="4144"/>
      <c r="J43" s="4151"/>
      <c r="K43" s="3440" t="str">
        <f t="shared" si="0"/>
        <v>No</v>
      </c>
    </row>
    <row r="44" spans="1:11" s="3440" customFormat="1" ht="15.95" customHeight="1">
      <c r="A44" s="3902" t="s">
        <v>3967</v>
      </c>
      <c r="B44" s="3903"/>
      <c r="C44" s="3903"/>
      <c r="D44" s="3903"/>
      <c r="E44" s="4152" t="s">
        <v>3968</v>
      </c>
      <c r="F44" s="4153"/>
      <c r="G44" s="3903"/>
      <c r="H44" s="3903"/>
      <c r="I44" s="4154" t="s">
        <v>3969</v>
      </c>
      <c r="J44" s="4154"/>
      <c r="K44" s="3440" t="str">
        <f t="shared" si="0"/>
        <v>No</v>
      </c>
    </row>
    <row r="45" spans="1:11" s="3440" customFormat="1" ht="15.95" customHeight="1">
      <c r="A45" s="402"/>
      <c r="B45" s="402"/>
      <c r="C45" s="402"/>
      <c r="D45" s="402"/>
      <c r="E45" s="402"/>
      <c r="F45" s="402"/>
      <c r="G45" s="402"/>
      <c r="H45" s="402"/>
      <c r="I45" s="402"/>
      <c r="J45" s="402"/>
      <c r="K45" s="3440" t="str">
        <f t="shared" si="0"/>
        <v>No</v>
      </c>
    </row>
    <row r="46" spans="1:11" s="3440" customFormat="1" ht="15.95" customHeight="1">
      <c r="A46" s="402"/>
      <c r="B46" s="402"/>
      <c r="C46" s="402"/>
      <c r="D46" s="402"/>
      <c r="E46" s="402"/>
      <c r="F46" s="402"/>
      <c r="G46" s="402"/>
      <c r="H46" s="402"/>
      <c r="I46" s="402"/>
      <c r="J46" s="402"/>
      <c r="K46" s="3440" t="str">
        <f t="shared" si="0"/>
        <v>No</v>
      </c>
    </row>
    <row r="47" spans="1:11" s="3440" customFormat="1" ht="15.95" customHeight="1">
      <c r="A47" s="402"/>
      <c r="B47" s="402"/>
      <c r="C47" s="402"/>
      <c r="D47" s="402"/>
      <c r="E47" s="402"/>
      <c r="F47" s="402"/>
      <c r="G47" s="402"/>
      <c r="H47" s="402"/>
      <c r="I47" s="402"/>
      <c r="J47" s="402"/>
      <c r="K47" s="3440" t="str">
        <f t="shared" si="0"/>
        <v>No</v>
      </c>
    </row>
    <row r="48" spans="1:11" s="3440" customFormat="1" ht="15.95" customHeight="1">
      <c r="A48" s="402"/>
      <c r="B48" s="402"/>
      <c r="C48" s="402"/>
      <c r="D48" s="402"/>
      <c r="E48" s="402"/>
      <c r="F48" s="402"/>
      <c r="G48" s="402"/>
      <c r="H48" s="402"/>
      <c r="I48" s="402"/>
      <c r="J48" s="402"/>
      <c r="K48" s="3440" t="str">
        <f t="shared" si="0"/>
        <v>No</v>
      </c>
    </row>
    <row r="49" spans="1:11" s="3440" customFormat="1" ht="15.95" customHeight="1">
      <c r="A49" s="402"/>
      <c r="B49" s="402"/>
      <c r="C49" s="402"/>
      <c r="D49" s="402"/>
      <c r="E49" s="402"/>
      <c r="F49" s="402"/>
      <c r="G49" s="402"/>
      <c r="H49" s="402"/>
      <c r="I49" s="402"/>
      <c r="J49" s="402"/>
      <c r="K49" s="3440" t="str">
        <f t="shared" si="0"/>
        <v>No</v>
      </c>
    </row>
    <row r="50" spans="1:11" s="3440" customFormat="1" ht="15.95" customHeight="1">
      <c r="A50" s="402"/>
      <c r="B50" s="402"/>
      <c r="C50" s="402"/>
      <c r="D50" s="402"/>
      <c r="E50" s="402"/>
      <c r="F50" s="402"/>
      <c r="G50" s="402"/>
      <c r="H50" s="402"/>
      <c r="I50" s="402"/>
      <c r="J50" s="402"/>
      <c r="K50" s="3440" t="str">
        <f t="shared" si="0"/>
        <v>No</v>
      </c>
    </row>
    <row r="51" spans="1:11" s="3440" customFormat="1" ht="15.95" customHeight="1">
      <c r="A51" s="402"/>
      <c r="B51" s="402"/>
      <c r="C51" s="402"/>
      <c r="D51" s="402"/>
      <c r="E51" s="402"/>
      <c r="F51" s="402"/>
      <c r="G51" s="402"/>
      <c r="H51" s="402"/>
      <c r="I51" s="402"/>
      <c r="J51" s="402"/>
      <c r="K51" s="3440" t="str">
        <f t="shared" si="0"/>
        <v>No</v>
      </c>
    </row>
    <row r="52" spans="1:11" s="3440" customFormat="1" ht="34.9" customHeight="1">
      <c r="A52" s="402"/>
      <c r="B52" s="402"/>
      <c r="C52" s="402"/>
      <c r="D52" s="402"/>
      <c r="E52" s="402"/>
      <c r="F52" s="402"/>
      <c r="G52" s="402"/>
      <c r="H52" s="402"/>
      <c r="I52" s="402"/>
      <c r="J52" s="402"/>
      <c r="K52" s="3440" t="str">
        <f t="shared" si="0"/>
        <v>No</v>
      </c>
    </row>
    <row r="53" spans="1:11" s="3440" customFormat="1" ht="15.95" customHeight="1">
      <c r="A53" s="402"/>
      <c r="B53" s="402"/>
      <c r="C53" s="402"/>
      <c r="D53" s="402"/>
      <c r="E53" s="402"/>
      <c r="F53" s="402"/>
      <c r="G53" s="402"/>
      <c r="H53" s="402"/>
      <c r="I53" s="402"/>
      <c r="J53" s="402"/>
      <c r="K53" s="3440" t="str">
        <f t="shared" si="0"/>
        <v>No</v>
      </c>
    </row>
    <row r="54" spans="1:11" s="3440" customFormat="1" ht="41.45" customHeight="1">
      <c r="A54" s="402"/>
      <c r="B54" s="402"/>
      <c r="C54" s="402"/>
      <c r="D54" s="402"/>
      <c r="E54" s="402"/>
      <c r="F54" s="402"/>
      <c r="G54" s="402"/>
      <c r="H54" s="402"/>
      <c r="I54" s="402"/>
      <c r="J54" s="402"/>
    </row>
    <row r="55" spans="1:11" s="3443" customFormat="1" ht="20.100000000000001" customHeight="1">
      <c r="A55" s="402"/>
      <c r="B55" s="402"/>
      <c r="C55" s="402"/>
      <c r="D55" s="402"/>
      <c r="E55" s="402"/>
      <c r="F55" s="402"/>
      <c r="G55" s="402"/>
      <c r="H55" s="402"/>
      <c r="I55" s="402"/>
      <c r="J55" s="402"/>
      <c r="K55" s="3442"/>
    </row>
    <row r="56" spans="1:11" ht="15.95" customHeight="1"/>
    <row r="57" spans="1:11" ht="15.95" customHeight="1"/>
    <row r="58" spans="1:11" ht="15.95" customHeight="1"/>
  </sheetData>
  <mergeCells count="43">
    <mergeCell ref="A3:J3"/>
    <mergeCell ref="E1:F1"/>
    <mergeCell ref="G1:H1"/>
    <mergeCell ref="I1:J1"/>
    <mergeCell ref="E2:F2"/>
    <mergeCell ref="G2:H2"/>
    <mergeCell ref="I2:J2"/>
    <mergeCell ref="H4:J4"/>
    <mergeCell ref="A4:G4"/>
    <mergeCell ref="A5:J5"/>
    <mergeCell ref="A6:C6"/>
    <mergeCell ref="D6:G6"/>
    <mergeCell ref="H6:J6"/>
    <mergeCell ref="A7:C7"/>
    <mergeCell ref="D7:G7"/>
    <mergeCell ref="H7:J7"/>
    <mergeCell ref="A8:B8"/>
    <mergeCell ref="C8:D8"/>
    <mergeCell ref="E8:F8"/>
    <mergeCell ref="G8:H8"/>
    <mergeCell ref="I8:J8"/>
    <mergeCell ref="A9:B9"/>
    <mergeCell ref="C9:D9"/>
    <mergeCell ref="E9:F9"/>
    <mergeCell ref="G9:H9"/>
    <mergeCell ref="I9:J9"/>
    <mergeCell ref="A37:B37"/>
    <mergeCell ref="C37:F37"/>
    <mergeCell ref="G37:J37"/>
    <mergeCell ref="A38:B38"/>
    <mergeCell ref="C38:F38"/>
    <mergeCell ref="G38:J38"/>
    <mergeCell ref="C39:J39"/>
    <mergeCell ref="A41:B41"/>
    <mergeCell ref="C41:E41"/>
    <mergeCell ref="F41:H41"/>
    <mergeCell ref="I41:J41"/>
    <mergeCell ref="A42:B43"/>
    <mergeCell ref="C42:E43"/>
    <mergeCell ref="F42:H43"/>
    <mergeCell ref="I42:J43"/>
    <mergeCell ref="E44:F44"/>
    <mergeCell ref="I44:J44"/>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9"/>
  <dimension ref="B1:AB71"/>
  <sheetViews>
    <sheetView topLeftCell="L1" zoomScale="70" zoomScaleNormal="70" workbookViewId="0">
      <selection activeCell="Z11" sqref="Z11"/>
    </sheetView>
  </sheetViews>
  <sheetFormatPr defaultRowHeight="21.75"/>
  <sheetData>
    <row r="1" spans="2:28">
      <c r="B1" t="s">
        <v>3545</v>
      </c>
    </row>
    <row r="2" spans="2:28">
      <c r="B2" t="s">
        <v>215</v>
      </c>
      <c r="C2" t="s">
        <v>3546</v>
      </c>
      <c r="D2" t="s">
        <v>3546</v>
      </c>
      <c r="E2" t="s">
        <v>3547</v>
      </c>
      <c r="F2" t="s">
        <v>3547</v>
      </c>
      <c r="H2" t="s">
        <v>3548</v>
      </c>
      <c r="L2" t="s">
        <v>3549</v>
      </c>
      <c r="P2" t="s">
        <v>1610</v>
      </c>
      <c r="Q2" t="s">
        <v>3550</v>
      </c>
      <c r="R2" t="s">
        <v>3550</v>
      </c>
      <c r="S2" t="s">
        <v>3551</v>
      </c>
      <c r="T2" t="s">
        <v>3551</v>
      </c>
      <c r="V2" t="s">
        <v>690</v>
      </c>
      <c r="Z2" t="s">
        <v>750</v>
      </c>
    </row>
    <row r="3" spans="2:28">
      <c r="B3">
        <f>Data!A962</f>
        <v>0</v>
      </c>
      <c r="C3" t="str">
        <f>IF(ISNUMBER(SEARCH(input!$M$27,B3)),MAX($C$2:C2)+1,"")</f>
        <v/>
      </c>
      <c r="D3" t="str">
        <f>IFERROR(INDEX(B:B,MATCH(ROW()-2,C:C,0),1),"")</f>
        <v>D450</v>
      </c>
      <c r="E3" t="str">
        <f>IF(ISNUMBER(SEARCH(input!$M$28,$B3)),MAX($E$2:E2)+1,"")</f>
        <v/>
      </c>
      <c r="F3" t="str">
        <f>IFERROR(INDEX($B:$B,MATCH(ROW()-2,E:E,0),1),"")</f>
        <v>A-10211</v>
      </c>
      <c r="H3" t="str">
        <f>'Fix Cost'!A177</f>
        <v>AN GIANG FOODS</v>
      </c>
      <c r="I3" t="str">
        <f>IF(ISNUMBER(SEARCH(input!$B$5,H3)),MAX($I$2:I2)+1,"")</f>
        <v/>
      </c>
      <c r="J3" t="str">
        <f>IFERROR(INDEX(H:H,MATCH(ROW()-2,I:I,0),1),"")</f>
        <v>Simple pack</v>
      </c>
      <c r="L3" t="str">
        <f>Data!M1201</f>
        <v>HANSOL</v>
      </c>
      <c r="M3">
        <f>IF(ISNUMBER(SEARCH(input!$D$25,L3)),MAX($M$2:M2)+1,"")</f>
        <v>1</v>
      </c>
      <c r="N3" t="str">
        <f>IFERROR(INDEX(L:L,MATCH(ROW()-2,M:M,0),1),"")</f>
        <v>HANSOL</v>
      </c>
      <c r="P3" t="str">
        <f>Data!L912</f>
        <v>None</v>
      </c>
      <c r="Q3" t="str">
        <f>IF(ISNUMBER(SEARCH(input!$E$27,P3)),MAX($Q$2:Q2)+1,"")</f>
        <v/>
      </c>
      <c r="R3" t="str">
        <f>IFERROR(INDEX(P:P,MATCH(ROW()-2,Q:Q,0),1),"")</f>
        <v>OPV-CX0186 Water base</v>
      </c>
      <c r="S3">
        <f>IF(ISNUMBER(SEARCH(input!$E$28,P3)),MAX($S$2:S2)+1,"")</f>
        <v>1</v>
      </c>
      <c r="T3" t="str">
        <f>IFERROR(INDEX(P:P,MATCH(ROW()-2,S:S,0),1),"")</f>
        <v>None</v>
      </c>
      <c r="V3" t="str">
        <f>'Sum local charge July.19'!B77</f>
        <v>Bình Chánh - HCM</v>
      </c>
      <c r="W3" t="str">
        <f>IF(ISNUMBER(SEARCH(input!$B$1217,V3)),MAX($W$2:W2)+1,"")</f>
        <v/>
      </c>
      <c r="X3" t="str">
        <f>IFERROR(INDEX(V:V,MATCH(ROW()-2,W:W,0),1),"")</f>
        <v>KCN Biên Hòa</v>
      </c>
      <c r="Z3" t="str">
        <f>Data!N1201</f>
        <v>GB</v>
      </c>
      <c r="AA3">
        <f>IF(ISNUMBER(SEARCH(input!$C$25,Z3)),MAX($AA$2:AA2)+1,"")</f>
        <v>1</v>
      </c>
      <c r="AB3" t="str">
        <f t="shared" ref="AB3:AB5" si="0">IFERROR(INDEX(Z:Z,MATCH(ROW()-2,AA:AA,0),1),"")</f>
        <v>GB</v>
      </c>
    </row>
    <row r="4" spans="2:28">
      <c r="B4" t="str">
        <f>Data!A963</f>
        <v>A-10211</v>
      </c>
      <c r="C4" t="str">
        <f>IF(ISNUMBER(SEARCH(input!$M$27,B4)),MAX($C$2:C3)+1,"")</f>
        <v/>
      </c>
      <c r="D4" t="str">
        <f>IFERROR(INDEX(B:B,MATCH(ROW()-2,C:C,0),1),"")</f>
        <v>Glue D450 - BB</v>
      </c>
      <c r="E4">
        <f>IF(ISNUMBER(SEARCH(input!$M$28,$B4)),MAX($E$2:E3)+1,"")</f>
        <v>1</v>
      </c>
      <c r="F4" t="str">
        <f t="shared" ref="F4:F34" si="1">IFERROR(INDEX($B:$B,MATCH(ROW()-2,E:E,0),1),"")</f>
        <v/>
      </c>
      <c r="H4" t="str">
        <f>'Fix Cost'!A178</f>
        <v>BINH DAI PHAT</v>
      </c>
      <c r="I4" t="str">
        <f>IF(ISNUMBER(SEARCH(input!$B$5,H4)),MAX($I$2:I3)+1,"")</f>
        <v/>
      </c>
      <c r="J4" t="str">
        <f t="shared" ref="J4:J67" si="2">IFERROR(INDEX(H:H,MATCH(ROW()-2,I:I,0),1),"")</f>
        <v/>
      </c>
      <c r="L4" t="str">
        <f>Data!M1202</f>
        <v>KUAN YUAN</v>
      </c>
      <c r="M4" t="str">
        <f>IF(ISNUMBER(SEARCH(input!$D$25,L4)),MAX($M$2:M3)+1,"")</f>
        <v/>
      </c>
      <c r="N4" t="str">
        <f t="shared" ref="N4:N67" si="3">IFERROR(INDEX(L:L,MATCH(ROW()-2,M:M,0),1),"")</f>
        <v>HANSOL - MATT</v>
      </c>
      <c r="P4" t="str">
        <f>Data!L913</f>
        <v>UV Anchor Varnish A</v>
      </c>
      <c r="Q4" t="str">
        <f>IF(ISNUMBER(SEARCH(input!$E$27,P4)),MAX($Q$2:Q3)+1,"")</f>
        <v/>
      </c>
      <c r="R4" t="str">
        <f t="shared" ref="R4:R33" si="4">IFERROR(INDEX(P:P,MATCH(ROW()-2,Q:Q,0),1),"")</f>
        <v/>
      </c>
      <c r="S4" t="str">
        <f>IF(ISNUMBER(SEARCH(input!$E$28,P4)),MAX($S$2:S3)+1,"")</f>
        <v/>
      </c>
      <c r="T4" t="str">
        <f t="shared" ref="T4:T33" si="5">IFERROR(INDEX(P:P,MATCH(ROW()-2,S:S,0),1),"")</f>
        <v/>
      </c>
      <c r="V4" t="str">
        <f>'Sum local charge July.19'!B78</f>
        <v>Cà Mau</v>
      </c>
      <c r="W4" t="str">
        <f>IF(ISNUMBER(SEARCH(input!$B$1217,V4)),MAX($W$2:W3)+1,"")</f>
        <v/>
      </c>
      <c r="X4" t="str">
        <f t="shared" ref="X4:X48" si="6">IFERROR(INDEX(V:V,MATCH(ROW()-2,W:W,0),1),"")</f>
        <v/>
      </c>
      <c r="Z4" t="str">
        <f>Data!N1202</f>
        <v>WBB</v>
      </c>
      <c r="AA4" t="str">
        <f>IF(ISNUMBER(SEARCH(input!$C$25,Z4)),MAX($AA$2:AA3)+1,"")</f>
        <v/>
      </c>
      <c r="AB4" t="str">
        <f t="shared" si="0"/>
        <v/>
      </c>
    </row>
    <row r="5" spans="2:28">
      <c r="B5" t="str">
        <f>Data!A964</f>
        <v>9944H</v>
      </c>
      <c r="C5" t="str">
        <f>IF(ISNUMBER(SEARCH(input!$M$27,B5)),MAX($C$2:C4)+1,"")</f>
        <v/>
      </c>
      <c r="D5" t="str">
        <f t="shared" ref="D5:D34" si="7">IFERROR(INDEX(B:B,MATCH(ROW()-2,C:C,0),1),"")</f>
        <v>Glue D450 - Laminated</v>
      </c>
      <c r="E5" t="str">
        <f>IF(ISNUMBER(SEARCH(input!$M$28,$B5)),MAX($E$2:E4)+1,"")</f>
        <v/>
      </c>
      <c r="F5" t="str">
        <f t="shared" si="1"/>
        <v/>
      </c>
      <c r="H5" t="str">
        <f>'Fix Cost'!A179</f>
        <v>BK-BillerudKorsnas</v>
      </c>
      <c r="I5" t="str">
        <f>IF(ISNUMBER(SEARCH(input!$B$5,H5)),MAX($I$2:I4)+1,"")</f>
        <v/>
      </c>
      <c r="J5" t="str">
        <f t="shared" si="2"/>
        <v/>
      </c>
      <c r="L5" t="str">
        <f>Data!M1203</f>
        <v>DEA HAN</v>
      </c>
      <c r="M5" t="str">
        <f>IF(ISNUMBER(SEARCH(input!$D$25,L5)),MAX($M$2:M4)+1,"")</f>
        <v/>
      </c>
      <c r="N5" t="str">
        <f t="shared" si="3"/>
        <v>HANSOL - GLOSS</v>
      </c>
      <c r="P5" t="str">
        <f>Data!L914</f>
        <v>LW-8</v>
      </c>
      <c r="Q5" t="str">
        <f>IF(ISNUMBER(SEARCH(input!$E$27,P5)),MAX($Q$2:Q4)+1,"")</f>
        <v/>
      </c>
      <c r="R5" t="str">
        <f t="shared" si="4"/>
        <v/>
      </c>
      <c r="S5" t="str">
        <f>IF(ISNUMBER(SEARCH(input!$E$28,P5)),MAX($S$2:S4)+1,"")</f>
        <v/>
      </c>
      <c r="T5" t="str">
        <f t="shared" si="5"/>
        <v/>
      </c>
      <c r="V5" t="str">
        <f>'Sum local charge July.19'!B79</f>
        <v>Châu Thành - Sóc Trăng</v>
      </c>
      <c r="W5" t="str">
        <f>IF(ISNUMBER(SEARCH(input!$B$1217,V5)),MAX($W$2:W4)+1,"")</f>
        <v/>
      </c>
      <c r="X5" t="str">
        <f t="shared" si="6"/>
        <v/>
      </c>
      <c r="Z5" t="str">
        <f>Data!N1203</f>
        <v>IVORY</v>
      </c>
      <c r="AA5" t="str">
        <f>IF(ISNUMBER(SEARCH(input!$C$25,Z5)),MAX($AA$2:AA4)+1,"")</f>
        <v/>
      </c>
      <c r="AB5" t="str">
        <f t="shared" si="0"/>
        <v/>
      </c>
    </row>
    <row r="6" spans="2:28">
      <c r="B6" t="str">
        <f>Data!A965</f>
        <v>D450</v>
      </c>
      <c r="C6">
        <f>IF(ISNUMBER(SEARCH(input!$M$27,B6)),MAX($C$2:C5)+1,"")</f>
        <v>1</v>
      </c>
      <c r="D6" t="str">
        <f t="shared" si="7"/>
        <v>Glue D450 - Back Cover</v>
      </c>
      <c r="E6" t="str">
        <f>IF(ISNUMBER(SEARCH(input!$M$28,$B6)),MAX($E$2:E5)+1,"")</f>
        <v/>
      </c>
      <c r="F6" t="str">
        <f t="shared" si="1"/>
        <v/>
      </c>
      <c r="H6" t="str">
        <f>'Fix Cost'!A180</f>
        <v>Book</v>
      </c>
      <c r="I6" t="str">
        <f>IF(ISNUMBER(SEARCH(input!$B$5,H6)),MAX($I$2:I5)+1,"")</f>
        <v/>
      </c>
      <c r="J6" t="str">
        <f t="shared" si="2"/>
        <v/>
      </c>
      <c r="L6" t="str">
        <f>Data!M1204</f>
        <v>HANCHANG</v>
      </c>
      <c r="M6" t="str">
        <f>IF(ISNUMBER(SEARCH(input!$D$25,L6)),MAX($M$2:M5)+1,"")</f>
        <v/>
      </c>
      <c r="N6" t="str">
        <f t="shared" si="3"/>
        <v/>
      </c>
      <c r="P6" t="str">
        <f>Data!L915</f>
        <v>Blister Johncry HSL-9013</v>
      </c>
      <c r="Q6" t="str">
        <f>IF(ISNUMBER(SEARCH(input!$E$27,P6)),MAX($Q$2:Q5)+1,"")</f>
        <v/>
      </c>
      <c r="R6" t="str">
        <f t="shared" si="4"/>
        <v/>
      </c>
      <c r="S6" t="str">
        <f>IF(ISNUMBER(SEARCH(input!$E$28,P6)),MAX($S$2:S5)+1,"")</f>
        <v/>
      </c>
      <c r="T6" t="str">
        <f t="shared" si="5"/>
        <v/>
      </c>
      <c r="V6" t="str">
        <f>'Sum local charge July.19'!B80</f>
        <v>CÔNG TY GIẤY AN TRƯỜNG PHÁT</v>
      </c>
      <c r="W6" t="str">
        <f>IF(ISNUMBER(SEARCH(input!$B$1217,V6)),MAX($W$2:W5)+1,"")</f>
        <v/>
      </c>
      <c r="X6" t="str">
        <f t="shared" si="6"/>
        <v/>
      </c>
      <c r="Z6" t="str">
        <f>Data!N1204</f>
        <v>CKB</v>
      </c>
      <c r="AA6" t="str">
        <f>IF(ISNUMBER(SEARCH(input!$C$25,Z6)),MAX($AA$2:AA5)+1,"")</f>
        <v/>
      </c>
      <c r="AB6" t="str">
        <f>IFERROR(INDEX(Z:Z,MATCH(ROW()-2,AA:AA,0),1),"")</f>
        <v/>
      </c>
    </row>
    <row r="7" spans="2:28">
      <c r="B7" t="str">
        <f>Data!A966</f>
        <v>Glue 7068</v>
      </c>
      <c r="C7" t="str">
        <f>IF(ISNUMBER(SEARCH(input!$M$27,B7)),MAX($C$2:C6)+1,"")</f>
        <v/>
      </c>
      <c r="D7" t="str">
        <f t="shared" si="7"/>
        <v>Glue D450 - Foam+Case</v>
      </c>
      <c r="E7" t="str">
        <f>IF(ISNUMBER(SEARCH(input!$M$28,$B7)),MAX($E$2:E6)+1,"")</f>
        <v/>
      </c>
      <c r="F7" t="str">
        <f t="shared" si="1"/>
        <v/>
      </c>
      <c r="H7" t="str">
        <f>'Fix Cost'!A181</f>
        <v>CA MAU SEA FOODS</v>
      </c>
      <c r="I7" t="str">
        <f>IF(ISNUMBER(SEARCH(input!$B$5,H7)),MAX($I$2:I6)+1,"")</f>
        <v/>
      </c>
      <c r="J7" t="str">
        <f t="shared" si="2"/>
        <v/>
      </c>
      <c r="L7" t="str">
        <f>Data!M1205</f>
        <v>PAKERIN - INDO</v>
      </c>
      <c r="M7" t="str">
        <f>IF(ISNUMBER(SEARCH(input!$D$25,L7)),MAX($M$2:M6)+1,"")</f>
        <v/>
      </c>
      <c r="N7" t="str">
        <f t="shared" si="3"/>
        <v/>
      </c>
      <c r="P7" t="str">
        <f>Data!L916</f>
        <v>TK 100 Lanxess</v>
      </c>
      <c r="Q7" t="str">
        <f>IF(ISNUMBER(SEARCH(input!$E$27,P7)),MAX($Q$2:Q6)+1,"")</f>
        <v/>
      </c>
      <c r="R7" t="str">
        <f t="shared" si="4"/>
        <v/>
      </c>
      <c r="S7" t="str">
        <f>IF(ISNUMBER(SEARCH(input!$E$28,P7)),MAX($S$2:S6)+1,"")</f>
        <v/>
      </c>
      <c r="T7" t="str">
        <f t="shared" si="5"/>
        <v/>
      </c>
      <c r="V7" t="str">
        <f>'Sum local charge July.19'!B81</f>
        <v>CTY COLGATE - KCN MỸ PHƯỚC1+2+ 3</v>
      </c>
      <c r="W7" t="str">
        <f>IF(ISNUMBER(SEARCH(input!$B$1217,V7)),MAX($W$2:W6)+1,"")</f>
        <v/>
      </c>
      <c r="X7" t="str">
        <f t="shared" si="6"/>
        <v/>
      </c>
      <c r="Z7" t="str">
        <f>Data!N1205</f>
        <v>ARTBOARD</v>
      </c>
      <c r="AA7" t="str">
        <f>IF(ISNUMBER(SEARCH(input!$C$25,Z7)),MAX($AA$2:AA6)+1,"")</f>
        <v/>
      </c>
      <c r="AB7" t="str">
        <f t="shared" ref="AB7:AB16" si="8">IFERROR(INDEX(Z:Z,MATCH(ROW()-2,AA:AA,0),1),"")</f>
        <v/>
      </c>
    </row>
    <row r="8" spans="2:28">
      <c r="B8" t="str">
        <f>Data!A967</f>
        <v>Glue Hotmelt 50-432</v>
      </c>
      <c r="C8" t="str">
        <f>IF(ISNUMBER(SEARCH(input!$M$27,B8)),MAX($C$2:C7)+1,"")</f>
        <v/>
      </c>
      <c r="D8" t="str">
        <f t="shared" si="7"/>
        <v/>
      </c>
      <c r="E8" t="str">
        <f>IF(ISNUMBER(SEARCH(input!$M$28,$B8)),MAX($E$2:E7)+1,"")</f>
        <v/>
      </c>
      <c r="F8" t="str">
        <f t="shared" si="1"/>
        <v/>
      </c>
      <c r="H8" t="str">
        <f>'Fix Cost'!A182</f>
        <v>CARSON</v>
      </c>
      <c r="I8" t="str">
        <f>IF(ISNUMBER(SEARCH(input!$B$5,H8)),MAX($I$2:I7)+1,"")</f>
        <v/>
      </c>
      <c r="J8" t="str">
        <f t="shared" si="2"/>
        <v/>
      </c>
      <c r="L8" t="str">
        <f>Data!M1206</f>
        <v>APP - INDO DA HOA LAN</v>
      </c>
      <c r="M8" t="str">
        <f>IF(ISNUMBER(SEARCH(input!$D$25,L8)),MAX($M$2:M7)+1,"")</f>
        <v/>
      </c>
      <c r="N8" t="str">
        <f t="shared" si="3"/>
        <v/>
      </c>
      <c r="P8" t="str">
        <f>Data!L917</f>
        <v>UV Lụa UVM-207</v>
      </c>
      <c r="Q8" t="str">
        <f>IF(ISNUMBER(SEARCH(input!$E$27,P8)),MAX($Q$2:Q7)+1,"")</f>
        <v/>
      </c>
      <c r="R8" t="str">
        <f t="shared" si="4"/>
        <v/>
      </c>
      <c r="S8" t="str">
        <f>IF(ISNUMBER(SEARCH(input!$E$28,P8)),MAX($S$2:S7)+1,"")</f>
        <v/>
      </c>
      <c r="T8" t="str">
        <f t="shared" si="5"/>
        <v/>
      </c>
      <c r="V8" t="str">
        <f>'Sum local charge July.19'!B82</f>
        <v>CTY PERFERTIVAN MELL, KINH DO , KHO UNILEVER (VSIP)</v>
      </c>
      <c r="W8" t="str">
        <f>IF(ISNUMBER(SEARCH(input!$B$1217,V8)),MAX($W$2:W7)+1,"")</f>
        <v/>
      </c>
      <c r="X8" t="str">
        <f t="shared" si="6"/>
        <v/>
      </c>
      <c r="Z8" t="str">
        <f>Data!N1206</f>
        <v>ART PAPER</v>
      </c>
      <c r="AA8" t="str">
        <f>IF(ISNUMBER(SEARCH(input!$C$25,Z8)),MAX($AA$2:AA7)+1,"")</f>
        <v/>
      </c>
      <c r="AB8" t="str">
        <f t="shared" si="8"/>
        <v/>
      </c>
    </row>
    <row r="9" spans="2:28">
      <c r="B9" t="str">
        <f>Data!A968</f>
        <v>Minerva SM-002</v>
      </c>
      <c r="C9" t="str">
        <f>IF(ISNUMBER(SEARCH(input!$M$27,B9)),MAX($C$2:C8)+1,"")</f>
        <v/>
      </c>
      <c r="D9" t="str">
        <f t="shared" si="7"/>
        <v/>
      </c>
      <c r="E9" t="str">
        <f>IF(ISNUMBER(SEARCH(input!$M$28,$B9)),MAX($E$2:E8)+1,"")</f>
        <v/>
      </c>
      <c r="F9" t="str">
        <f t="shared" si="1"/>
        <v/>
      </c>
      <c r="H9" t="str">
        <f>'Fix Cost'!A183</f>
        <v>CAT HAI FOODS</v>
      </c>
      <c r="I9" t="str">
        <f>IF(ISNUMBER(SEARCH(input!$B$5,H9)),MAX($I$2:I8)+1,"")</f>
        <v/>
      </c>
      <c r="J9" t="str">
        <f t="shared" si="2"/>
        <v/>
      </c>
      <c r="L9" t="str">
        <f>Data!M1207</f>
        <v>APP - INDO DP HOA LAN</v>
      </c>
      <c r="M9" t="str">
        <f>IF(ISNUMBER(SEARCH(input!$D$25,L9)),MAX($M$2:M8)+1,"")</f>
        <v/>
      </c>
      <c r="N9" t="str">
        <f t="shared" si="3"/>
        <v/>
      </c>
      <c r="P9" t="str">
        <f>Data!L918</f>
        <v>ETERCURE 6671GNB</v>
      </c>
      <c r="Q9" t="str">
        <f>IF(ISNUMBER(SEARCH(input!$E$27,P9)),MAX($Q$2:Q8)+1,"")</f>
        <v/>
      </c>
      <c r="R9" t="str">
        <f t="shared" si="4"/>
        <v/>
      </c>
      <c r="S9" t="str">
        <f>IF(ISNUMBER(SEARCH(input!$E$28,P9)),MAX($S$2:S8)+1,"")</f>
        <v/>
      </c>
      <c r="T9" t="str">
        <f t="shared" si="5"/>
        <v/>
      </c>
      <c r="V9" t="str">
        <f>'Sum local charge July.19'!B83</f>
        <v>Cty Phúc Sinh - TX. Bến Cát - Bình Dương</v>
      </c>
      <c r="W9" t="str">
        <f>IF(ISNUMBER(SEARCH(input!$B$1217,V9)),MAX($W$2:W8)+1,"")</f>
        <v/>
      </c>
      <c r="X9" t="str">
        <f t="shared" si="6"/>
        <v/>
      </c>
      <c r="Z9" t="str">
        <f>Data!N1207</f>
        <v>WOODFREE</v>
      </c>
      <c r="AA9" t="str">
        <f>IF(ISNUMBER(SEARCH(input!$C$25,Z9)),MAX($AA$2:AA8)+1,"")</f>
        <v/>
      </c>
      <c r="AB9" t="str">
        <f t="shared" si="8"/>
        <v/>
      </c>
    </row>
    <row r="10" spans="2:28">
      <c r="B10" t="str">
        <f>Data!A969</f>
        <v>Hotmelt 80-102</v>
      </c>
      <c r="C10" t="str">
        <f>IF(ISNUMBER(SEARCH(input!$M$27,B10)),MAX($C$2:C9)+1,"")</f>
        <v/>
      </c>
      <c r="D10" t="str">
        <f t="shared" si="7"/>
        <v/>
      </c>
      <c r="E10" t="str">
        <f>IF(ISNUMBER(SEARCH(input!$M$28,$B10)),MAX($E$2:E9)+1,"")</f>
        <v/>
      </c>
      <c r="F10" t="str">
        <f t="shared" si="1"/>
        <v/>
      </c>
      <c r="H10" t="str">
        <f>'Fix Cost'!A184</f>
        <v>CHUNG GIA</v>
      </c>
      <c r="I10" t="str">
        <f>IF(ISNUMBER(SEARCH(input!$B$5,H10)),MAX($I$2:I9)+1,"")</f>
        <v/>
      </c>
      <c r="J10" t="str">
        <f t="shared" si="2"/>
        <v/>
      </c>
      <c r="L10" t="str">
        <f>Data!M1208</f>
        <v>SHINPOONG - KOREA</v>
      </c>
      <c r="M10" t="str">
        <f>IF(ISNUMBER(SEARCH(input!$D$25,L10)),MAX($M$2:M9)+1,"")</f>
        <v/>
      </c>
      <c r="N10" t="str">
        <f t="shared" si="3"/>
        <v/>
      </c>
      <c r="P10" t="str">
        <f>Data!L919</f>
        <v>OPV-CX0180 Water Base</v>
      </c>
      <c r="Q10" t="str">
        <f>IF(ISNUMBER(SEARCH(input!$E$27,P10)),MAX($Q$2:Q9)+1,"")</f>
        <v/>
      </c>
      <c r="R10" t="str">
        <f t="shared" si="4"/>
        <v/>
      </c>
      <c r="S10" t="str">
        <f>IF(ISNUMBER(SEARCH(input!$E$28,P10)),MAX($S$2:S9)+1,"")</f>
        <v/>
      </c>
      <c r="T10" t="str">
        <f t="shared" si="5"/>
        <v/>
      </c>
      <c r="V10" t="str">
        <f>'Sum local charge July.19'!B84</f>
        <v>Cty Sakan - TP. Tân An - Long An</v>
      </c>
      <c r="W10" t="str">
        <f>IF(ISNUMBER(SEARCH(input!$B$1217,V10)),MAX($W$2:W9)+1,"")</f>
        <v/>
      </c>
      <c r="X10" t="str">
        <f t="shared" si="6"/>
        <v/>
      </c>
      <c r="Z10" t="str">
        <f>Data!N1208</f>
        <v>KRAFT</v>
      </c>
      <c r="AA10" t="str">
        <f>IF(ISNUMBER(SEARCH(input!$C$25,Z10)),MAX($AA$2:AA9)+1,"")</f>
        <v/>
      </c>
      <c r="AB10" t="str">
        <f t="shared" si="8"/>
        <v/>
      </c>
    </row>
    <row r="11" spans="2:28">
      <c r="B11" t="str">
        <f>Data!A970</f>
        <v xml:space="preserve">Bondmaster 314 </v>
      </c>
      <c r="C11" t="str">
        <f>IF(ISNUMBER(SEARCH(input!$M$27,B11)),MAX($C$2:C10)+1,"")</f>
        <v/>
      </c>
      <c r="D11" t="str">
        <f t="shared" si="7"/>
        <v/>
      </c>
      <c r="E11" t="str">
        <f>IF(ISNUMBER(SEARCH(input!$M$28,$B11)),MAX($E$2:E10)+1,"")</f>
        <v/>
      </c>
      <c r="F11" t="str">
        <f t="shared" si="1"/>
        <v/>
      </c>
      <c r="H11" t="str">
        <f>'Fix Cost'!A185</f>
        <v>CJ</v>
      </c>
      <c r="I11" t="str">
        <f>IF(ISNUMBER(SEARCH(input!$B$5,H11)),MAX($I$2:I10)+1,"")</f>
        <v/>
      </c>
      <c r="J11" t="str">
        <f t="shared" si="2"/>
        <v/>
      </c>
      <c r="L11" t="str">
        <f>Data!M1209</f>
        <v>MEHALI ECO GREEN - INDIA</v>
      </c>
      <c r="M11" t="str">
        <f>IF(ISNUMBER(SEARCH(input!$D$25,L11)),MAX($M$2:M10)+1,"")</f>
        <v/>
      </c>
      <c r="N11" t="str">
        <f t="shared" si="3"/>
        <v/>
      </c>
      <c r="P11" t="str">
        <f>Data!L920</f>
        <v>OPV-CX0173 Water Base</v>
      </c>
      <c r="Q11" t="str">
        <f>IF(ISNUMBER(SEARCH(input!$E$27,P11)),MAX($Q$2:Q10)+1,"")</f>
        <v/>
      </c>
      <c r="R11" t="str">
        <f t="shared" si="4"/>
        <v/>
      </c>
      <c r="S11" t="str">
        <f>IF(ISNUMBER(SEARCH(input!$E$28,P11)),MAX($S$2:S10)+1,"")</f>
        <v/>
      </c>
      <c r="T11" t="str">
        <f t="shared" si="5"/>
        <v/>
      </c>
      <c r="V11" t="str">
        <f>'Sum local charge July.19'!B85</f>
        <v>Củ Chi - HCM</v>
      </c>
      <c r="W11" t="str">
        <f>IF(ISNUMBER(SEARCH(input!$B$1217,V11)),MAX($W$2:W10)+1,"")</f>
        <v/>
      </c>
      <c r="X11" t="str">
        <f t="shared" si="6"/>
        <v/>
      </c>
      <c r="Z11">
        <f>Data!N1209</f>
        <v>0</v>
      </c>
      <c r="AA11" t="str">
        <f>IF(ISNUMBER(SEARCH(input!$C$25,Z11)),MAX($AA$2:AA10)+1,"")</f>
        <v/>
      </c>
      <c r="AB11" t="str">
        <f t="shared" si="8"/>
        <v/>
      </c>
    </row>
    <row r="12" spans="2:28">
      <c r="B12" t="str">
        <f>Data!A971</f>
        <v>Hotmelt Vegamelt3</v>
      </c>
      <c r="C12" t="str">
        <f>IF(ISNUMBER(SEARCH(input!$M$27,B12)),MAX($C$2:C11)+1,"")</f>
        <v/>
      </c>
      <c r="D12" t="str">
        <f t="shared" si="7"/>
        <v/>
      </c>
      <c r="E12" t="str">
        <f>IF(ISNUMBER(SEARCH(input!$M$28,$B12)),MAX($E$2:E11)+1,"")</f>
        <v/>
      </c>
      <c r="F12" t="str">
        <f t="shared" si="1"/>
        <v/>
      </c>
      <c r="H12" t="str">
        <f>'Fix Cost'!A186</f>
        <v>COLGATE</v>
      </c>
      <c r="I12" t="str">
        <f>IF(ISNUMBER(SEARCH(input!$B$5,H12)),MAX($I$2:I11)+1,"")</f>
        <v/>
      </c>
      <c r="J12" t="str">
        <f t="shared" si="2"/>
        <v/>
      </c>
      <c r="L12" t="str">
        <f>Data!M1210</f>
        <v>GAYATRISHAKTI - INDIA</v>
      </c>
      <c r="M12" t="str">
        <f>IF(ISNUMBER(SEARCH(input!$D$25,L12)),MAX($M$2:M11)+1,"")</f>
        <v/>
      </c>
      <c r="N12" t="str">
        <f t="shared" si="3"/>
        <v/>
      </c>
      <c r="P12" t="str">
        <f>Data!L921</f>
        <v>OPV-CX0189 Water Base</v>
      </c>
      <c r="Q12" t="str">
        <f>IF(ISNUMBER(SEARCH(input!$E$27,P12)),MAX($Q$2:Q11)+1,"")</f>
        <v/>
      </c>
      <c r="R12" t="str">
        <f t="shared" si="4"/>
        <v/>
      </c>
      <c r="S12" t="str">
        <f>IF(ISNUMBER(SEARCH(input!$E$28,P12)),MAX($S$2:S11)+1,"")</f>
        <v/>
      </c>
      <c r="T12" t="str">
        <f t="shared" si="5"/>
        <v/>
      </c>
      <c r="V12" t="str">
        <f>'Sum local charge July.19'!B86</f>
        <v>CỤM CN HỐ NAI 3</v>
      </c>
      <c r="W12" t="str">
        <f>IF(ISNUMBER(SEARCH(input!$B$1217,V12)),MAX($W$2:W11)+1,"")</f>
        <v/>
      </c>
      <c r="X12" t="str">
        <f t="shared" si="6"/>
        <v/>
      </c>
      <c r="AB12" t="str">
        <f t="shared" si="8"/>
        <v/>
      </c>
    </row>
    <row r="13" spans="2:28">
      <c r="B13" t="str">
        <f>Data!A972</f>
        <v>C7000</v>
      </c>
      <c r="C13" t="str">
        <f>IF(ISNUMBER(SEARCH(input!$M$27,B13)),MAX($C$2:C12)+1,"")</f>
        <v/>
      </c>
      <c r="D13" t="str">
        <f t="shared" si="7"/>
        <v/>
      </c>
      <c r="E13" t="str">
        <f>IF(ISNUMBER(SEARCH(input!$M$28,$B13)),MAX($E$2:E12)+1,"")</f>
        <v/>
      </c>
      <c r="F13" t="str">
        <f t="shared" si="1"/>
        <v/>
      </c>
      <c r="H13" t="str">
        <f>'Fix Cost'!A187</f>
        <v>CRAYOLA</v>
      </c>
      <c r="I13" t="str">
        <f>IF(ISNUMBER(SEARCH(input!$B$5,H13)),MAX($I$2:I12)+1,"")</f>
        <v/>
      </c>
      <c r="J13" t="str">
        <f t="shared" si="2"/>
        <v/>
      </c>
      <c r="L13" t="str">
        <f>Data!M1211</f>
        <v>OJI - JAPAN</v>
      </c>
      <c r="M13" t="str">
        <f>IF(ISNUMBER(SEARCH(input!$D$25,L13)),MAX($M$2:M12)+1,"")</f>
        <v/>
      </c>
      <c r="N13" t="str">
        <f t="shared" si="3"/>
        <v/>
      </c>
      <c r="P13" t="str">
        <f>Data!L922</f>
        <v>Gloss Waterbase Megacoat L100</v>
      </c>
      <c r="Q13" t="str">
        <f>IF(ISNUMBER(SEARCH(input!$E$27,P13)),MAX($Q$2:Q12)+1,"")</f>
        <v/>
      </c>
      <c r="R13" t="str">
        <f t="shared" si="4"/>
        <v/>
      </c>
      <c r="S13" t="str">
        <f>IF(ISNUMBER(SEARCH(input!$E$28,P13)),MAX($S$2:S12)+1,"")</f>
        <v/>
      </c>
      <c r="T13" t="str">
        <f t="shared" si="5"/>
        <v/>
      </c>
      <c r="V13" t="str">
        <f>'Sum local charge July.19'!B87</f>
        <v>GIAO CTY NESLTE</v>
      </c>
      <c r="W13" t="str">
        <f>IF(ISNUMBER(SEARCH(input!$B$1217,V13)),MAX($W$2:W12)+1,"")</f>
        <v/>
      </c>
      <c r="X13" t="str">
        <f t="shared" si="6"/>
        <v/>
      </c>
      <c r="AB13" t="str">
        <f t="shared" si="8"/>
        <v/>
      </c>
    </row>
    <row r="14" spans="2:28">
      <c r="B14" t="str">
        <f>Data!A973</f>
        <v>DA-T</v>
      </c>
      <c r="C14" t="str">
        <f>IF(ISNUMBER(SEARCH(input!$M$27,B14)),MAX($C$2:C13)+1,"")</f>
        <v/>
      </c>
      <c r="D14" t="str">
        <f t="shared" si="7"/>
        <v/>
      </c>
      <c r="E14" t="str">
        <f>IF(ISNUMBER(SEARCH(input!$M$28,$B14)),MAX($E$2:E13)+1,"")</f>
        <v/>
      </c>
      <c r="F14" t="str">
        <f t="shared" si="1"/>
        <v/>
      </c>
      <c r="H14" t="str">
        <f>'Fix Cost'!A188</f>
        <v>DAI PHAT FOODS</v>
      </c>
      <c r="I14" t="str">
        <f>IF(ISNUMBER(SEARCH(input!$B$5,H14)),MAX($I$2:I13)+1,"")</f>
        <v/>
      </c>
      <c r="J14" t="str">
        <f t="shared" si="2"/>
        <v/>
      </c>
      <c r="L14" t="str">
        <f>Data!M1212</f>
        <v>Siamkraft - SCG Thailand</v>
      </c>
      <c r="M14" t="str">
        <f>IF(ISNUMBER(SEARCH(input!$D$25,L14)),MAX($M$2:M13)+1,"")</f>
        <v/>
      </c>
      <c r="N14" t="str">
        <f t="shared" si="3"/>
        <v/>
      </c>
      <c r="P14" t="str">
        <f>Data!L923</f>
        <v>Matt Waterbase Megacoat M100</v>
      </c>
      <c r="Q14" t="str">
        <f>IF(ISNUMBER(SEARCH(input!$E$27,P14)),MAX($Q$2:Q13)+1,"")</f>
        <v/>
      </c>
      <c r="R14" t="str">
        <f t="shared" si="4"/>
        <v/>
      </c>
      <c r="S14" t="str">
        <f>IF(ISNUMBER(SEARCH(input!$E$28,P14)),MAX($S$2:S13)+1,"")</f>
        <v/>
      </c>
      <c r="T14" t="str">
        <f t="shared" si="5"/>
        <v/>
      </c>
      <c r="V14" t="str">
        <f>'Sum local charge July.19'!B88</f>
        <v>Hóc Môn - HCM</v>
      </c>
      <c r="W14" t="str">
        <f>IF(ISNUMBER(SEARCH(input!$B$1217,V14)),MAX($W$2:W13)+1,"")</f>
        <v/>
      </c>
      <c r="X14" t="str">
        <f t="shared" si="6"/>
        <v/>
      </c>
      <c r="AB14" t="str">
        <f t="shared" si="8"/>
        <v/>
      </c>
    </row>
    <row r="15" spans="2:28">
      <c r="B15" t="str">
        <f>Data!A974</f>
        <v>BH - 502</v>
      </c>
      <c r="C15" t="str">
        <f>IF(ISNUMBER(SEARCH(input!$M$27,B15)),MAX($C$2:C14)+1,"")</f>
        <v/>
      </c>
      <c r="D15" t="str">
        <f t="shared" si="7"/>
        <v/>
      </c>
      <c r="E15" t="str">
        <f>IF(ISNUMBER(SEARCH(input!$M$28,$B15)),MAX($E$2:E14)+1,"")</f>
        <v/>
      </c>
      <c r="F15" t="str">
        <f t="shared" si="1"/>
        <v/>
      </c>
      <c r="H15" t="str">
        <f>'Fix Cost'!A189</f>
        <v>DAI VIET HUONG</v>
      </c>
      <c r="I15" t="str">
        <f>IF(ISNUMBER(SEARCH(input!$B$5,H15)),MAX($I$2:I14)+1,"")</f>
        <v/>
      </c>
      <c r="J15" t="str">
        <f t="shared" si="2"/>
        <v/>
      </c>
      <c r="L15" t="str">
        <f>Data!M1213</f>
        <v>EMAMI (ECO STRONG BOARD-CGT)</v>
      </c>
      <c r="M15" t="str">
        <f>IF(ISNUMBER(SEARCH(input!$D$25,L15)),MAX($M$2:M14)+1,"")</f>
        <v/>
      </c>
      <c r="N15" t="str">
        <f t="shared" si="3"/>
        <v/>
      </c>
      <c r="P15" t="str">
        <f>Data!L924</f>
        <v>OPV-CX0166 Gloss water base</v>
      </c>
      <c r="Q15" t="str">
        <f>IF(ISNUMBER(SEARCH(input!$E$27,P15)),MAX($Q$2:Q14)+1,"")</f>
        <v/>
      </c>
      <c r="R15" t="str">
        <f t="shared" si="4"/>
        <v/>
      </c>
      <c r="S15" t="str">
        <f>IF(ISNUMBER(SEARCH(input!$E$28,P15)),MAX($S$2:S14)+1,"")</f>
        <v/>
      </c>
      <c r="T15" t="str">
        <f t="shared" si="5"/>
        <v/>
      </c>
      <c r="V15" t="str">
        <f>'Sum local charge July.19'!B89</f>
        <v>KCN Biên Hòa</v>
      </c>
      <c r="W15">
        <f>IF(ISNUMBER(SEARCH(input!$B$1217,V15)),MAX($W$2:W14)+1,"")</f>
        <v>1</v>
      </c>
      <c r="X15" t="str">
        <f t="shared" si="6"/>
        <v/>
      </c>
      <c r="AB15" t="str">
        <f t="shared" si="8"/>
        <v/>
      </c>
    </row>
    <row r="16" spans="2:28">
      <c r="B16" t="str">
        <f>Data!A975</f>
        <v>AD-50R/1</v>
      </c>
      <c r="C16" t="str">
        <f>IF(ISNUMBER(SEARCH(input!$M$27,B16)),MAX($C$2:C15)+1,"")</f>
        <v/>
      </c>
      <c r="D16" t="str">
        <f t="shared" si="7"/>
        <v/>
      </c>
      <c r="E16" t="str">
        <f>IF(ISNUMBER(SEARCH(input!$M$28,$B16)),MAX($E$2:E15)+1,"")</f>
        <v/>
      </c>
      <c r="F16" t="str">
        <f t="shared" si="1"/>
        <v/>
      </c>
      <c r="H16" t="str">
        <f>'Fix Cost'!A190</f>
        <v>DIAGEO</v>
      </c>
      <c r="I16" t="str">
        <f>IF(ISNUMBER(SEARCH(input!$B$5,H16)),MAX($I$2:I15)+1,"")</f>
        <v/>
      </c>
      <c r="J16" t="str">
        <f t="shared" si="2"/>
        <v/>
      </c>
      <c r="L16" t="str">
        <f>Data!M1214</f>
        <v>KHANNA - DIAMOND GRAPHIC</v>
      </c>
      <c r="M16" t="str">
        <f>IF(ISNUMBER(SEARCH(input!$D$25,L16)),MAX($M$2:M15)+1,"")</f>
        <v/>
      </c>
      <c r="N16" t="str">
        <f t="shared" si="3"/>
        <v/>
      </c>
      <c r="P16" t="str">
        <f>Data!L925</f>
        <v>OPV-CX0186 Water base</v>
      </c>
      <c r="Q16">
        <f>IF(ISNUMBER(SEARCH(input!$E$27,P16)),MAX($Q$2:Q15)+1,"")</f>
        <v>1</v>
      </c>
      <c r="R16" t="str">
        <f t="shared" si="4"/>
        <v/>
      </c>
      <c r="S16" t="str">
        <f>IF(ISNUMBER(SEARCH(input!$E$28,P16)),MAX($S$2:S15)+1,"")</f>
        <v/>
      </c>
      <c r="T16" t="str">
        <f t="shared" si="5"/>
        <v/>
      </c>
      <c r="V16" t="str">
        <f>'Sum local charge July.19'!B90</f>
        <v>KCN ĐỨC HÒA - LONG AN</v>
      </c>
      <c r="W16" t="str">
        <f>IF(ISNUMBER(SEARCH(input!$B$1217,V16)),MAX($W$2:W15)+1,"")</f>
        <v/>
      </c>
      <c r="X16" t="str">
        <f t="shared" si="6"/>
        <v/>
      </c>
      <c r="AB16" t="str">
        <f t="shared" si="8"/>
        <v/>
      </c>
    </row>
    <row r="17" spans="2:24">
      <c r="B17" t="str">
        <f>Data!A976</f>
        <v>Resin AR 8207B-(for MPET)</v>
      </c>
      <c r="C17" t="str">
        <f>IF(ISNUMBER(SEARCH(input!$M$27,B17)),MAX($C$2:C16)+1,"")</f>
        <v/>
      </c>
      <c r="D17" t="str">
        <f t="shared" si="7"/>
        <v/>
      </c>
      <c r="E17" t="str">
        <f>IF(ISNUMBER(SEARCH(input!$M$28,$B17)),MAX($E$2:E16)+1,"")</f>
        <v/>
      </c>
      <c r="F17" t="str">
        <f t="shared" si="1"/>
        <v/>
      </c>
      <c r="H17" t="str">
        <f>'Fix Cost'!A191</f>
        <v>EAST WEST</v>
      </c>
      <c r="I17" t="str">
        <f>IF(ISNUMBER(SEARCH(input!$B$5,H17)),MAX($I$2:I16)+1,"")</f>
        <v/>
      </c>
      <c r="J17" t="str">
        <f t="shared" si="2"/>
        <v/>
      </c>
      <c r="L17" t="str">
        <f>Data!M1215</f>
        <v>KHANNA - OPTIC GRAPHIC</v>
      </c>
      <c r="M17" t="str">
        <f>IF(ISNUMBER(SEARCH(input!$D$25,L17)),MAX($M$2:M16)+1,"")</f>
        <v/>
      </c>
      <c r="N17" t="str">
        <f t="shared" si="3"/>
        <v/>
      </c>
      <c r="P17" t="str">
        <f>Data!L926</f>
        <v>Offset UV high gloss OPV ( 100 )</v>
      </c>
      <c r="Q17" t="str">
        <f>IF(ISNUMBER(SEARCH(input!$E$27,P17)),MAX($Q$2:Q16)+1,"")</f>
        <v/>
      </c>
      <c r="R17" t="str">
        <f t="shared" si="4"/>
        <v/>
      </c>
      <c r="S17" t="str">
        <f>IF(ISNUMBER(SEARCH(input!$E$28,P17)),MAX($S$2:S16)+1,"")</f>
        <v/>
      </c>
      <c r="T17" t="str">
        <f t="shared" si="5"/>
        <v/>
      </c>
      <c r="V17" t="str">
        <f>'Sum local charge July.19'!B91</f>
        <v>KCN Hiệp Phước - Nhà Bè</v>
      </c>
      <c r="W17" t="str">
        <f>IF(ISNUMBER(SEARCH(input!$B$1217,V17)),MAX($W$2:W16)+1,"")</f>
        <v/>
      </c>
      <c r="X17" t="str">
        <f t="shared" si="6"/>
        <v/>
      </c>
    </row>
    <row r="18" spans="2:24">
      <c r="B18" t="str">
        <f>Data!A977</f>
        <v>Resin AR 8207B-(for Hologram)</v>
      </c>
      <c r="C18" t="str">
        <f>IF(ISNUMBER(SEARCH(input!$M$27,B18)),MAX($C$2:C17)+1,"")</f>
        <v/>
      </c>
      <c r="D18" t="str">
        <f t="shared" si="7"/>
        <v/>
      </c>
      <c r="E18" t="str">
        <f>IF(ISNUMBER(SEARCH(input!$M$28,$B18)),MAX($E$2:E17)+1,"")</f>
        <v/>
      </c>
      <c r="F18" t="str">
        <f t="shared" si="1"/>
        <v/>
      </c>
      <c r="H18" t="str">
        <f>'Fix Cost'!A192</f>
        <v>Econopack AB</v>
      </c>
      <c r="I18" t="str">
        <f>IF(ISNUMBER(SEARCH(input!$B$5,H18)),MAX($I$2:I17)+1,"")</f>
        <v/>
      </c>
      <c r="J18" t="str">
        <f t="shared" si="2"/>
        <v/>
      </c>
      <c r="L18" t="str">
        <f>Data!M1216</f>
        <v>SURYA PAMENANG - ESPRIME</v>
      </c>
      <c r="M18" t="str">
        <f>IF(ISNUMBER(SEARCH(input!$D$25,L18)),MAX($M$2:M17)+1,"")</f>
        <v/>
      </c>
      <c r="N18" t="str">
        <f t="shared" si="3"/>
        <v/>
      </c>
      <c r="P18" t="str">
        <f>Data!L927</f>
        <v>Offset UV high gloss OPV ( 72 )
Matt OPV 75-600992-4.3870 Replace 6C+770-
9600MVN.010ZH ( 20 )
Scratch Resistance Additive (WAX CREAM) ( 4 )
SICURA ADDITIVE SL100 ( 4 )</v>
      </c>
      <c r="Q18" t="str">
        <f>IF(ISNUMBER(SEARCH(input!$E$27,P18)),MAX($Q$2:Q17)+1,"")</f>
        <v/>
      </c>
      <c r="R18" t="str">
        <f t="shared" si="4"/>
        <v/>
      </c>
      <c r="S18" t="str">
        <f>IF(ISNUMBER(SEARCH(input!$E$28,P18)),MAX($S$2:S17)+1,"")</f>
        <v/>
      </c>
      <c r="T18" t="str">
        <f t="shared" si="5"/>
        <v/>
      </c>
      <c r="V18" t="str">
        <f>'Sum local charge July.19'!B92</f>
        <v>KCN MỸ PHƯỚC1+2+ 3</v>
      </c>
      <c r="W18" t="str">
        <f>IF(ISNUMBER(SEARCH(input!$B$1217,V18)),MAX($W$2:W17)+1,"")</f>
        <v/>
      </c>
      <c r="X18" t="str">
        <f t="shared" si="6"/>
        <v/>
      </c>
    </row>
    <row r="19" spans="2:24">
      <c r="B19" t="str">
        <f>Data!A978</f>
        <v>Resin AR 8207B-(for OPP)</v>
      </c>
      <c r="C19" t="str">
        <f>IF(ISNUMBER(SEARCH(input!$M$27,B19)),MAX($C$2:C18)+1,"")</f>
        <v/>
      </c>
      <c r="D19" t="str">
        <f t="shared" si="7"/>
        <v/>
      </c>
      <c r="E19" t="str">
        <f>IF(ISNUMBER(SEARCH(input!$M$28,$B19)),MAX($E$2:E18)+1,"")</f>
        <v/>
      </c>
      <c r="F19" t="str">
        <f t="shared" si="1"/>
        <v/>
      </c>
      <c r="H19" t="str">
        <f>'Fix Cost'!A193</f>
        <v>ERGO/KONICA</v>
      </c>
      <c r="I19" t="str">
        <f>IF(ISNUMBER(SEARCH(input!$B$5,H19)),MAX($I$2:I18)+1,"")</f>
        <v/>
      </c>
      <c r="J19" t="str">
        <f t="shared" si="2"/>
        <v/>
      </c>
      <c r="L19" t="str">
        <f>Data!M1217</f>
        <v>SURYA PAMENANG - ESPACK</v>
      </c>
      <c r="M19" t="str">
        <f>IF(ISNUMBER(SEARCH(input!$D$25,L19)),MAX($M$2:M18)+1,"")</f>
        <v/>
      </c>
      <c r="N19" t="str">
        <f t="shared" si="3"/>
        <v/>
      </c>
      <c r="P19" t="str">
        <f>Data!L928</f>
        <v>Matt UV 3</v>
      </c>
      <c r="Q19" t="str">
        <f>IF(ISNUMBER(SEARCH(input!$E$27,P19)),MAX($Q$2:Q18)+1,"")</f>
        <v/>
      </c>
      <c r="R19" t="str">
        <f t="shared" si="4"/>
        <v/>
      </c>
      <c r="S19" t="str">
        <f>IF(ISNUMBER(SEARCH(input!$E$28,P19)),MAX($S$2:S18)+1,"")</f>
        <v/>
      </c>
      <c r="T19" t="str">
        <f t="shared" si="5"/>
        <v/>
      </c>
      <c r="V19" t="str">
        <f>'Sum local charge July.19'!B93</f>
        <v>KCN MỸ XUÂN A</v>
      </c>
      <c r="W19" t="str">
        <f>IF(ISNUMBER(SEARCH(input!$B$1217,V19)),MAX($W$2:W18)+1,"")</f>
        <v/>
      </c>
      <c r="X19" t="str">
        <f t="shared" si="6"/>
        <v/>
      </c>
    </row>
    <row r="20" spans="2:24">
      <c r="B20" t="str">
        <f>Data!A979</f>
        <v>Glue D450 - BB</v>
      </c>
      <c r="C20">
        <f>IF(ISNUMBER(SEARCH(input!$M$27,B20)),MAX($C$2:C19)+1,"")</f>
        <v>2</v>
      </c>
      <c r="D20" t="str">
        <f t="shared" si="7"/>
        <v/>
      </c>
      <c r="E20" t="str">
        <f>IF(ISNUMBER(SEARCH(input!$M$28,$B20)),MAX($E$2:E19)+1,"")</f>
        <v/>
      </c>
      <c r="F20" t="str">
        <f t="shared" si="1"/>
        <v/>
      </c>
      <c r="H20" t="str">
        <f>'Fix Cost'!A194</f>
        <v>FEDDY</v>
      </c>
      <c r="I20" t="str">
        <f>IF(ISNUMBER(SEARCH(input!$B$5,H20)),MAX($I$2:I19)+1,"")</f>
        <v/>
      </c>
      <c r="J20" t="str">
        <f t="shared" si="2"/>
        <v/>
      </c>
      <c r="L20" t="str">
        <f>Data!M1218</f>
        <v>NINGBO FOLD</v>
      </c>
      <c r="M20" t="str">
        <f>IF(ISNUMBER(SEARCH(input!$D$25,L20)),MAX($M$2:M19)+1,"")</f>
        <v/>
      </c>
      <c r="N20" t="str">
        <f t="shared" si="3"/>
        <v/>
      </c>
      <c r="P20" t="str">
        <f>Data!L929</f>
        <v>Matt UV 4</v>
      </c>
      <c r="Q20" t="str">
        <f>IF(ISNUMBER(SEARCH(input!$E$27,P20)),MAX($Q$2:Q19)+1,"")</f>
        <v/>
      </c>
      <c r="R20" t="str">
        <f t="shared" si="4"/>
        <v/>
      </c>
      <c r="S20" t="str">
        <f>IF(ISNUMBER(SEARCH(input!$E$28,P20)),MAX($S$2:S19)+1,"")</f>
        <v/>
      </c>
      <c r="T20" t="str">
        <f t="shared" si="5"/>
        <v/>
      </c>
      <c r="V20" t="str">
        <f>'Sum local charge July.19'!B94</f>
        <v>KCN NAM TÂN UYÊN</v>
      </c>
      <c r="W20" t="str">
        <f>IF(ISNUMBER(SEARCH(input!$B$1217,V20)),MAX($W$2:W19)+1,"")</f>
        <v/>
      </c>
      <c r="X20" t="str">
        <f t="shared" si="6"/>
        <v/>
      </c>
    </row>
    <row r="21" spans="2:24">
      <c r="B21" t="str">
        <f>Data!A980</f>
        <v>Glue C7000 - Butterfly</v>
      </c>
      <c r="C21" t="str">
        <f>IF(ISNUMBER(SEARCH(input!$M$27,B21)),MAX($C$2:C20)+1,"")</f>
        <v/>
      </c>
      <c r="D21" t="str">
        <f t="shared" si="7"/>
        <v/>
      </c>
      <c r="E21" t="str">
        <f>IF(ISNUMBER(SEARCH(input!$M$28,$B21)),MAX($E$2:E20)+1,"")</f>
        <v/>
      </c>
      <c r="F21" t="str">
        <f t="shared" si="1"/>
        <v/>
      </c>
      <c r="H21" t="str">
        <f>'Fix Cost'!A195</f>
        <v>FES</v>
      </c>
      <c r="I21" t="str">
        <f>IF(ISNUMBER(SEARCH(input!$B$5,H21)),MAX($I$2:I20)+1,"")</f>
        <v/>
      </c>
      <c r="J21" t="str">
        <f t="shared" si="2"/>
        <v/>
      </c>
      <c r="L21" t="str">
        <f>Data!M1219</f>
        <v>ZENITH GC1</v>
      </c>
      <c r="M21" t="str">
        <f>IF(ISNUMBER(SEARCH(input!$D$25,L21)),MAX($M$2:M20)+1,"")</f>
        <v/>
      </c>
      <c r="N21" t="str">
        <f t="shared" si="3"/>
        <v/>
      </c>
      <c r="P21" t="str">
        <f>Data!L930</f>
        <v>Matt UV 5</v>
      </c>
      <c r="Q21" t="str">
        <f>IF(ISNUMBER(SEARCH(input!$E$27,P21)),MAX($Q$2:Q20)+1,"")</f>
        <v/>
      </c>
      <c r="R21" t="str">
        <f t="shared" si="4"/>
        <v/>
      </c>
      <c r="S21" t="str">
        <f>IF(ISNUMBER(SEARCH(input!$E$28,P21)),MAX($S$2:S20)+1,"")</f>
        <v/>
      </c>
      <c r="T21" t="str">
        <f t="shared" si="5"/>
        <v/>
      </c>
      <c r="V21" t="str">
        <f>'Sum local charge July.19'!B95</f>
        <v>KCN Nhơn Trạch</v>
      </c>
      <c r="W21" t="str">
        <f>IF(ISNUMBER(SEARCH(input!$B$1217,V21)),MAX($W$2:W20)+1,"")</f>
        <v/>
      </c>
      <c r="X21" t="str">
        <f t="shared" si="6"/>
        <v/>
      </c>
    </row>
    <row r="22" spans="2:24">
      <c r="B22" t="str">
        <f>Data!A981</f>
        <v>Glue C7000 - Case in BB</v>
      </c>
      <c r="C22" t="str">
        <f>IF(ISNUMBER(SEARCH(input!$M$27,B22)),MAX($C$2:C21)+1,"")</f>
        <v/>
      </c>
      <c r="D22" t="str">
        <f t="shared" si="7"/>
        <v/>
      </c>
      <c r="E22" t="str">
        <f>IF(ISNUMBER(SEARCH(input!$M$28,$B22)),MAX($E$2:E21)+1,"")</f>
        <v/>
      </c>
      <c r="F22" t="str">
        <f t="shared" si="1"/>
        <v/>
      </c>
      <c r="H22" t="str">
        <f>'Fix Cost'!A196</f>
        <v>FUMAKILLA</v>
      </c>
      <c r="I22" t="str">
        <f>IF(ISNUMBER(SEARCH(input!$B$5,H22)),MAX($I$2:I21)+1,"")</f>
        <v/>
      </c>
      <c r="J22" t="str">
        <f t="shared" si="2"/>
        <v/>
      </c>
      <c r="L22" t="str">
        <f>Data!M1220</f>
        <v>ITC - INDIA GC1 - BXHS</v>
      </c>
      <c r="M22" t="str">
        <f>IF(ISNUMBER(SEARCH(input!$D$25,L22)),MAX($M$2:M21)+1,"")</f>
        <v/>
      </c>
      <c r="N22" t="str">
        <f t="shared" si="3"/>
        <v/>
      </c>
      <c r="P22" t="str">
        <f>Data!L931</f>
        <v>UV 663 - Non Metalize</v>
      </c>
      <c r="Q22" t="str">
        <f>IF(ISNUMBER(SEARCH(input!$E$27,P22)),MAX($Q$2:Q21)+1,"")</f>
        <v/>
      </c>
      <c r="R22" t="str">
        <f t="shared" si="4"/>
        <v/>
      </c>
      <c r="S22" t="str">
        <f>IF(ISNUMBER(SEARCH(input!$E$28,P22)),MAX($S$2:S21)+1,"")</f>
        <v/>
      </c>
      <c r="T22" t="str">
        <f t="shared" si="5"/>
        <v/>
      </c>
      <c r="V22" t="str">
        <f>'Sum local charge July.19'!B96</f>
        <v>KCN TÂN TẠO</v>
      </c>
      <c r="W22" t="str">
        <f>IF(ISNUMBER(SEARCH(input!$B$1217,V22)),MAX($W$2:W21)+1,"")</f>
        <v/>
      </c>
      <c r="X22" t="str">
        <f t="shared" si="6"/>
        <v/>
      </c>
    </row>
    <row r="23" spans="2:24">
      <c r="B23" t="str">
        <f>Data!A982</f>
        <v>Glue D450 - Laminated</v>
      </c>
      <c r="C23">
        <f>IF(ISNUMBER(SEARCH(input!$M$27,B23)),MAX($C$2:C22)+1,"")</f>
        <v>3</v>
      </c>
      <c r="D23" t="str">
        <f t="shared" si="7"/>
        <v/>
      </c>
      <c r="E23" t="str">
        <f>IF(ISNUMBER(SEARCH(input!$M$28,$B23)),MAX($E$2:E22)+1,"")</f>
        <v/>
      </c>
      <c r="F23" t="str">
        <f t="shared" si="1"/>
        <v/>
      </c>
      <c r="H23" t="str">
        <f>'Fix Cost'!A197</f>
        <v>GIA VI VN</v>
      </c>
      <c r="I23" t="str">
        <f>IF(ISNUMBER(SEARCH(input!$B$5,H23)),MAX($I$2:I22)+1,"")</f>
        <v/>
      </c>
      <c r="J23" t="str">
        <f t="shared" si="2"/>
        <v/>
      </c>
      <c r="L23" t="str">
        <f>Data!M1221</f>
        <v>CHENMING EUCA C1S</v>
      </c>
      <c r="M23" t="str">
        <f>IF(ISNUMBER(SEARCH(input!$D$25,L23)),MAX($M$2:M22)+1,"")</f>
        <v/>
      </c>
      <c r="N23" t="str">
        <f t="shared" si="3"/>
        <v/>
      </c>
      <c r="P23" t="str">
        <f>Data!L932</f>
        <v>UV 5131 - Metalize</v>
      </c>
      <c r="Q23" t="str">
        <f>IF(ISNUMBER(SEARCH(input!$E$27,P23)),MAX($Q$2:Q22)+1,"")</f>
        <v/>
      </c>
      <c r="R23" t="str">
        <f t="shared" si="4"/>
        <v/>
      </c>
      <c r="S23" t="str">
        <f>IF(ISNUMBER(SEARCH(input!$E$28,P23)),MAX($S$2:S22)+1,"")</f>
        <v/>
      </c>
      <c r="T23" t="str">
        <f t="shared" si="5"/>
        <v/>
      </c>
      <c r="V23" t="str">
        <f>'Sum local charge July.19'!B97</f>
        <v>KCN Vĩnh Lộc - HCM</v>
      </c>
      <c r="W23" t="str">
        <f>IF(ISNUMBER(SEARCH(input!$B$1217,V23)),MAX($W$2:W22)+1,"")</f>
        <v/>
      </c>
      <c r="X23" t="str">
        <f t="shared" si="6"/>
        <v/>
      </c>
    </row>
    <row r="24" spans="2:24">
      <c r="B24" t="str">
        <f>Data!A983</f>
        <v>Glue D450 - Back Cover</v>
      </c>
      <c r="C24">
        <f>IF(ISNUMBER(SEARCH(input!$M$27,B24)),MAX($C$2:C23)+1,"")</f>
        <v>4</v>
      </c>
      <c r="D24" t="str">
        <f t="shared" si="7"/>
        <v/>
      </c>
      <c r="E24" t="str">
        <f>IF(ISNUMBER(SEARCH(input!$M$28,$B24)),MAX($E$2:E23)+1,"")</f>
        <v/>
      </c>
      <c r="F24" t="str">
        <f t="shared" si="1"/>
        <v/>
      </c>
      <c r="H24" t="str">
        <f>'Fix Cost'!A198</f>
        <v>GN FOODS</v>
      </c>
      <c r="I24" t="str">
        <f>IF(ISNUMBER(SEARCH(input!$B$5,H24)),MAX($I$2:I23)+1,"")</f>
        <v/>
      </c>
      <c r="J24" t="str">
        <f t="shared" si="2"/>
        <v/>
      </c>
      <c r="L24" t="str">
        <f>Data!M1222</f>
        <v>BOHUI Standard GC1</v>
      </c>
      <c r="M24" t="str">
        <f>IF(ISNUMBER(SEARCH(input!$D$25,L24)),MAX($M$2:M23)+1,"")</f>
        <v/>
      </c>
      <c r="N24" t="str">
        <f t="shared" si="3"/>
        <v/>
      </c>
      <c r="P24" t="str">
        <f>Data!L933</f>
        <v>UV SRU 102 - Non Metalize</v>
      </c>
      <c r="Q24" t="str">
        <f>IF(ISNUMBER(SEARCH(input!$E$27,P24)),MAX($Q$2:Q23)+1,"")</f>
        <v/>
      </c>
      <c r="R24" t="str">
        <f t="shared" si="4"/>
        <v/>
      </c>
      <c r="S24" t="str">
        <f>IF(ISNUMBER(SEARCH(input!$E$28,P24)),MAX($S$2:S23)+1,"")</f>
        <v/>
      </c>
      <c r="T24" t="str">
        <f t="shared" si="5"/>
        <v/>
      </c>
      <c r="V24" t="str">
        <f>'Sum local charge July.19'!B98</f>
        <v>KCN VSIP 1- Bình Dương</v>
      </c>
      <c r="W24" t="str">
        <f>IF(ISNUMBER(SEARCH(input!$B$1217,V24)),MAX($W$2:W23)+1,"")</f>
        <v/>
      </c>
      <c r="X24" t="str">
        <f t="shared" si="6"/>
        <v/>
      </c>
    </row>
    <row r="25" spans="2:24">
      <c r="B25" t="str">
        <f>Data!A984</f>
        <v>Glue D450 - Foam+Case</v>
      </c>
      <c r="C25">
        <f>IF(ISNUMBER(SEARCH(input!$M$27,B25)),MAX($C$2:C24)+1,"")</f>
        <v>5</v>
      </c>
      <c r="D25" t="str">
        <f t="shared" si="7"/>
        <v/>
      </c>
      <c r="E25" t="str">
        <f>IF(ISNUMBER(SEARCH(input!$M$28,$B25)),MAX($E$2:E24)+1,"")</f>
        <v/>
      </c>
      <c r="F25" t="str">
        <f t="shared" si="1"/>
        <v/>
      </c>
      <c r="H25" t="str">
        <f>'Fix Cost'!A199</f>
        <v>HEINEKEN</v>
      </c>
      <c r="I25" t="str">
        <f>IF(ISNUMBER(SEARCH(input!$B$5,H25)),MAX($I$2:I24)+1,"")</f>
        <v/>
      </c>
      <c r="J25" t="str">
        <f t="shared" si="2"/>
        <v/>
      </c>
      <c r="L25" t="str">
        <f>Data!M1223</f>
        <v>STARSPARK (IP SUN)</v>
      </c>
      <c r="M25" t="str">
        <f>IF(ISNUMBER(SEARCH(input!$D$25,L25)),MAX($M$2:M24)+1,"")</f>
        <v/>
      </c>
      <c r="N25" t="str">
        <f t="shared" si="3"/>
        <v/>
      </c>
      <c r="P25" t="str">
        <f>Data!L934</f>
        <v>UV 900 - Metalize</v>
      </c>
      <c r="Q25" t="str">
        <f>IF(ISNUMBER(SEARCH(input!$E$27,P25)),MAX($Q$2:Q24)+1,"")</f>
        <v/>
      </c>
      <c r="R25" t="str">
        <f t="shared" si="4"/>
        <v/>
      </c>
      <c r="S25" t="str">
        <f>IF(ISNUMBER(SEARCH(input!$E$28,P25)),MAX($S$2:S24)+1,"")</f>
        <v/>
      </c>
      <c r="T25" t="str">
        <f t="shared" si="5"/>
        <v/>
      </c>
      <c r="V25" t="str">
        <f>'Sum local charge July.19'!B99</f>
        <v>KCN VSIP 2 - BÌNH DƯƠNG</v>
      </c>
      <c r="W25" t="str">
        <f>IF(ISNUMBER(SEARCH(input!$B$1217,V25)),MAX($W$2:W24)+1,"")</f>
        <v/>
      </c>
      <c r="X25" t="str">
        <f t="shared" si="6"/>
        <v/>
      </c>
    </row>
    <row r="26" spans="2:24">
      <c r="B26" t="str">
        <f>Data!A985</f>
        <v>Glue C7000 - Silkscreen</v>
      </c>
      <c r="C26" t="str">
        <f>IF(ISNUMBER(SEARCH(input!$M$27,B26)),MAX($C$2:C25)+1,"")</f>
        <v/>
      </c>
      <c r="D26" t="str">
        <f t="shared" si="7"/>
        <v/>
      </c>
      <c r="E26" t="str">
        <f>IF(ISNUMBER(SEARCH(input!$M$28,$B26)),MAX($E$2:E25)+1,"")</f>
        <v/>
      </c>
      <c r="F26" t="str">
        <f t="shared" si="1"/>
        <v/>
      </c>
      <c r="H26" t="str">
        <f>'Fix Cost'!A200</f>
        <v>HENNESSY</v>
      </c>
      <c r="I26" t="str">
        <f>IF(ISNUMBER(SEARCH(input!$B$5,H26)),MAX($I$2:I25)+1,"")</f>
        <v/>
      </c>
      <c r="J26" t="str">
        <f t="shared" si="2"/>
        <v/>
      </c>
      <c r="L26" t="str">
        <f>Data!M1224</f>
        <v>STARBLANC (IP SUN)</v>
      </c>
      <c r="M26" t="str">
        <f>IF(ISNUMBER(SEARCH(input!$D$25,L26)),MAX($M$2:M25)+1,"")</f>
        <v/>
      </c>
      <c r="N26" t="str">
        <f t="shared" si="3"/>
        <v/>
      </c>
      <c r="P26" t="str">
        <f>Data!L935</f>
        <v>UV 663 + UV SRU 102 - Metalize</v>
      </c>
      <c r="Q26" t="str">
        <f>IF(ISNUMBER(SEARCH(input!$E$27,P26)),MAX($Q$2:Q25)+1,"")</f>
        <v/>
      </c>
      <c r="R26" t="str">
        <f t="shared" si="4"/>
        <v/>
      </c>
      <c r="S26" t="str">
        <f>IF(ISNUMBER(SEARCH(input!$E$28,P26)),MAX($S$2:S25)+1,"")</f>
        <v/>
      </c>
      <c r="T26" t="str">
        <f t="shared" si="5"/>
        <v/>
      </c>
      <c r="V26" t="str">
        <f>'Sum local charge July.19'!B100</f>
        <v>KHO TBS ( TÂN VẠN )</v>
      </c>
      <c r="W26" t="str">
        <f>IF(ISNUMBER(SEARCH(input!$B$1217,V26)),MAX($W$2:W25)+1,"")</f>
        <v/>
      </c>
      <c r="X26" t="str">
        <f t="shared" si="6"/>
        <v/>
      </c>
    </row>
    <row r="27" spans="2:24">
      <c r="B27" t="str">
        <f>Data!A986</f>
        <v>AD 103L - Pops</v>
      </c>
      <c r="C27" t="str">
        <f>IF(ISNUMBER(SEARCH(input!$M$27,B27)),MAX($C$2:C26)+1,"")</f>
        <v/>
      </c>
      <c r="D27" t="str">
        <f t="shared" si="7"/>
        <v/>
      </c>
      <c r="E27" t="str">
        <f>IF(ISNUMBER(SEARCH(input!$M$28,$B27)),MAX($E$2:E26)+1,"")</f>
        <v/>
      </c>
      <c r="F27" t="str">
        <f t="shared" si="1"/>
        <v/>
      </c>
      <c r="H27" t="str">
        <f>'Fix Cost'!A201</f>
        <v>HOANG CHAU PLASTIC</v>
      </c>
      <c r="I27" t="str">
        <f>IF(ISNUMBER(SEARCH(input!$B$5,H27)),MAX($I$2:I26)+1,"")</f>
        <v/>
      </c>
      <c r="J27" t="str">
        <f t="shared" si="2"/>
        <v/>
      </c>
      <c r="L27" t="str">
        <f>Data!M1225</f>
        <v>Sinarfold (C1S)</v>
      </c>
      <c r="M27" t="str">
        <f>IF(ISNUMBER(SEARCH(input!$D$25,L27)),MAX($M$2:M26)+1,"")</f>
        <v/>
      </c>
      <c r="N27" t="str">
        <f t="shared" si="3"/>
        <v/>
      </c>
      <c r="P27" t="str">
        <f>Data!L936</f>
        <v>AV-701P</v>
      </c>
      <c r="Q27" t="str">
        <f>IF(ISNUMBER(SEARCH(input!$E$27,P27)),MAX($Q$2:Q26)+1,"")</f>
        <v/>
      </c>
      <c r="R27" t="str">
        <f t="shared" si="4"/>
        <v/>
      </c>
      <c r="S27" t="str">
        <f>IF(ISNUMBER(SEARCH(input!$E$28,P27)),MAX($S$2:S26)+1,"")</f>
        <v/>
      </c>
      <c r="T27" t="str">
        <f t="shared" si="5"/>
        <v/>
      </c>
      <c r="V27" t="str">
        <f>'Sum local charge July.19'!B101</f>
        <v>QUẬN 1,3,4, BÌNH THẠNH, GÒ VẤP, TÂN BÌNH</v>
      </c>
      <c r="W27" t="str">
        <f>IF(ISNUMBER(SEARCH(input!$B$1217,V27)),MAX($W$2:W26)+1,"")</f>
        <v/>
      </c>
      <c r="X27" t="str">
        <f t="shared" si="6"/>
        <v/>
      </c>
    </row>
    <row r="28" spans="2:24">
      <c r="B28" t="str">
        <f>Data!A987</f>
        <v>Case Cover</v>
      </c>
      <c r="C28" t="str">
        <f>IF(ISNUMBER(SEARCH(input!$M$27,B28)),MAX($C$2:C27)+1,"")</f>
        <v/>
      </c>
      <c r="D28" t="str">
        <f t="shared" si="7"/>
        <v/>
      </c>
      <c r="E28" t="str">
        <f>IF(ISNUMBER(SEARCH(input!$M$28,$B28)),MAX($E$2:E27)+1,"")</f>
        <v/>
      </c>
      <c r="F28" t="str">
        <f t="shared" si="1"/>
        <v/>
      </c>
      <c r="H28" t="str">
        <f>'Fix Cost'!A202</f>
        <v>INNER WORKINGS</v>
      </c>
      <c r="I28" t="str">
        <f>IF(ISNUMBER(SEARCH(input!$B$5,H28)),MAX($I$2:I27)+1,"")</f>
        <v/>
      </c>
      <c r="J28" t="str">
        <f t="shared" si="2"/>
        <v/>
      </c>
      <c r="L28" t="str">
        <f>Data!M1226</f>
        <v>Sinarboard (C1S) - IA</v>
      </c>
      <c r="M28" t="str">
        <f>IF(ISNUMBER(SEARCH(input!$D$25,L28)),MAX($M$2:M27)+1,"")</f>
        <v/>
      </c>
      <c r="N28" t="str">
        <f t="shared" si="3"/>
        <v/>
      </c>
      <c r="P28" t="str">
        <f>Data!L937</f>
        <v>UV 661G-1S</v>
      </c>
      <c r="Q28" t="str">
        <f>IF(ISNUMBER(SEARCH(input!$E$27,P28)),MAX($Q$2:Q27)+1,"")</f>
        <v/>
      </c>
      <c r="R28" t="str">
        <f t="shared" si="4"/>
        <v/>
      </c>
      <c r="S28" t="str">
        <f>IF(ISNUMBER(SEARCH(input!$E$28,P28)),MAX($S$2:S27)+1,"")</f>
        <v/>
      </c>
      <c r="T28" t="str">
        <f t="shared" si="5"/>
        <v/>
      </c>
      <c r="V28" t="str">
        <f>'Sum local charge July.19'!B102</f>
        <v>QUẬN 2,9,12 TP.HCM</v>
      </c>
      <c r="W28" t="str">
        <f>IF(ISNUMBER(SEARCH(input!$B$1217,V28)),MAX($W$2:W27)+1,"")</f>
        <v/>
      </c>
      <c r="X28" t="str">
        <f t="shared" si="6"/>
        <v/>
      </c>
    </row>
    <row r="29" spans="2:24">
      <c r="B29" t="str">
        <f>Data!A988</f>
        <v>BH-502 - Kollbus</v>
      </c>
      <c r="C29" t="str">
        <f>IF(ISNUMBER(SEARCH(input!$M$27,B29)),MAX($C$2:C28)+1,"")</f>
        <v/>
      </c>
      <c r="D29" t="str">
        <f t="shared" si="7"/>
        <v/>
      </c>
      <c r="E29" t="str">
        <f>IF(ISNUMBER(SEARCH(input!$M$28,$B29)),MAX($E$2:E28)+1,"")</f>
        <v/>
      </c>
      <c r="F29" t="str">
        <f t="shared" si="1"/>
        <v/>
      </c>
      <c r="H29" t="str">
        <f>'Fix Cost'!A203</f>
        <v>JANSY</v>
      </c>
      <c r="I29" t="str">
        <f>IF(ISNUMBER(SEARCH(input!$B$5,H29)),MAX($I$2:I28)+1,"")</f>
        <v/>
      </c>
      <c r="J29" t="str">
        <f t="shared" si="2"/>
        <v/>
      </c>
      <c r="L29" t="str">
        <f>Data!M1227</f>
        <v>Sinarvanda (C1S) - CG1</v>
      </c>
      <c r="M29" t="str">
        <f>IF(ISNUMBER(SEARCH(input!$D$25,L29)),MAX($M$2:M28)+1,"")</f>
        <v/>
      </c>
      <c r="N29" t="str">
        <f t="shared" si="3"/>
        <v/>
      </c>
      <c r="P29" t="str">
        <f>Data!L938</f>
        <v>UV 6165A</v>
      </c>
      <c r="Q29" t="str">
        <f>IF(ISNUMBER(SEARCH(input!$E$27,P29)),MAX($Q$2:Q28)+1,"")</f>
        <v/>
      </c>
      <c r="R29" t="str">
        <f t="shared" si="4"/>
        <v/>
      </c>
      <c r="S29" t="str">
        <f>IF(ISNUMBER(SEARCH(input!$E$28,P29)),MAX($S$2:S28)+1,"")</f>
        <v/>
      </c>
      <c r="T29" t="str">
        <f t="shared" si="5"/>
        <v/>
      </c>
      <c r="V29" t="str">
        <f>'Sum local charge July.19'!B103</f>
        <v>QUẬN 5,6,7,8,10,11, Q. TÂN PHÚ, BÌNH TÂN</v>
      </c>
      <c r="W29" t="str">
        <f>IF(ISNUMBER(SEARCH(input!$B$1217,V29)),MAX($W$2:W28)+1,"")</f>
        <v/>
      </c>
      <c r="X29" t="str">
        <f t="shared" si="6"/>
        <v/>
      </c>
    </row>
    <row r="30" spans="2:24">
      <c r="B30" t="str">
        <f>Data!A989</f>
        <v>Glue Hotmelt (Cay) 1152</v>
      </c>
      <c r="C30" t="str">
        <f>IF(ISNUMBER(SEARCH(input!$M$27,B30)),MAX($C$2:C29)+1,"")</f>
        <v/>
      </c>
      <c r="D30" t="str">
        <f t="shared" si="7"/>
        <v/>
      </c>
      <c r="E30" t="str">
        <f>IF(ISNUMBER(SEARCH(input!$M$28,$B30)),MAX($E$2:E29)+1,"")</f>
        <v/>
      </c>
      <c r="F30" t="str">
        <f t="shared" si="1"/>
        <v/>
      </c>
      <c r="H30" t="str">
        <f>'Fix Cost'!A204</f>
        <v>KHANG AN FOODS</v>
      </c>
      <c r="I30" t="str">
        <f>IF(ISNUMBER(SEARCH(input!$B$5,H30)),MAX($I$2:I29)+1,"")</f>
        <v/>
      </c>
      <c r="J30" t="str">
        <f t="shared" si="2"/>
        <v/>
      </c>
      <c r="L30" t="str">
        <f>Data!M1228</f>
        <v>Ensocoat (C1S) StoraEnso</v>
      </c>
      <c r="M30" t="str">
        <f>IF(ISNUMBER(SEARCH(input!$D$25,L30)),MAX($M$2:M29)+1,"")</f>
        <v/>
      </c>
      <c r="N30" t="str">
        <f t="shared" si="3"/>
        <v/>
      </c>
      <c r="P30" t="str">
        <f>Data!L939</f>
        <v xml:space="preserve">UV 662-5A </v>
      </c>
      <c r="Q30" t="str">
        <f>IF(ISNUMBER(SEARCH(input!$E$27,P30)),MAX($Q$2:Q29)+1,"")</f>
        <v/>
      </c>
      <c r="R30" t="str">
        <f t="shared" si="4"/>
        <v/>
      </c>
      <c r="S30" t="str">
        <f>IF(ISNUMBER(SEARCH(input!$E$28,P30)),MAX($S$2:S29)+1,"")</f>
        <v/>
      </c>
      <c r="T30" t="str">
        <f t="shared" si="5"/>
        <v/>
      </c>
      <c r="V30" t="str">
        <f>'Sum local charge July.19'!B104</f>
        <v>QUẬN THỦ ĐỨC - TP. HCM</v>
      </c>
      <c r="W30" t="str">
        <f>IF(ISNUMBER(SEARCH(input!$B$1217,V30)),MAX($W$2:W29)+1,"")</f>
        <v/>
      </c>
      <c r="X30" t="str">
        <f t="shared" si="6"/>
        <v/>
      </c>
    </row>
    <row r="31" spans="2:24">
      <c r="B31" t="str">
        <f>Data!A990</f>
        <v>Other</v>
      </c>
      <c r="C31" t="str">
        <f>IF(ISNUMBER(SEARCH(input!$M$27,B31)),MAX($C$2:C30)+1,"")</f>
        <v/>
      </c>
      <c r="D31" t="str">
        <f t="shared" si="7"/>
        <v/>
      </c>
      <c r="E31" t="str">
        <f>IF(ISNUMBER(SEARCH(input!$M$28,$B31)),MAX($E$2:E30)+1,"")</f>
        <v/>
      </c>
      <c r="F31" t="str">
        <f t="shared" si="1"/>
        <v/>
      </c>
      <c r="H31" t="str">
        <f>'Fix Cost'!A205</f>
        <v>KIDO</v>
      </c>
      <c r="I31" t="str">
        <f>IF(ISNUMBER(SEARCH(input!$B$5,H31)),MAX($I$2:I30)+1,"")</f>
        <v/>
      </c>
      <c r="J31" t="str">
        <f t="shared" si="2"/>
        <v/>
      </c>
      <c r="L31" t="str">
        <f>Data!M1229</f>
        <v xml:space="preserve">Printkote (C1S) - WestRock </v>
      </c>
      <c r="M31" t="str">
        <f>IF(ISNUMBER(SEARCH(input!$D$25,L31)),MAX($M$2:M30)+1,"")</f>
        <v/>
      </c>
      <c r="N31" t="str">
        <f t="shared" si="3"/>
        <v/>
      </c>
      <c r="P31" t="str">
        <f>Data!L940</f>
        <v>UV 662-5A + UV 6165 (6:4)</v>
      </c>
      <c r="Q31" t="str">
        <f>IF(ISNUMBER(SEARCH(input!$E$27,P31)),MAX($Q$2:Q30)+1,"")</f>
        <v/>
      </c>
      <c r="R31" t="str">
        <f t="shared" si="4"/>
        <v/>
      </c>
      <c r="S31" t="str">
        <f>IF(ISNUMBER(SEARCH(input!$E$28,P31)),MAX($S$2:S30)+1,"")</f>
        <v/>
      </c>
      <c r="T31" t="str">
        <f t="shared" si="5"/>
        <v/>
      </c>
      <c r="V31" t="str">
        <f>'Sum local charge July.19'!B105</f>
        <v>TỈNH KIÊN GIANG</v>
      </c>
      <c r="W31" t="str">
        <f>IF(ISNUMBER(SEARCH(input!$B$1217,V31)),MAX($W$2:W30)+1,"")</f>
        <v/>
      </c>
      <c r="X31" t="str">
        <f t="shared" si="6"/>
        <v/>
      </c>
    </row>
    <row r="32" spans="2:24">
      <c r="B32" t="str">
        <f>Data!A991</f>
        <v>Other</v>
      </c>
      <c r="C32" t="str">
        <f>IF(ISNUMBER(SEARCH(input!$M$27,B32)),MAX($C$2:C31)+1,"")</f>
        <v/>
      </c>
      <c r="D32" t="str">
        <f t="shared" si="7"/>
        <v/>
      </c>
      <c r="E32" t="str">
        <f>IF(ISNUMBER(SEARCH(input!$M$28,$B32)),MAX($E$2:E31)+1,"")</f>
        <v/>
      </c>
      <c r="F32" t="str">
        <f t="shared" si="1"/>
        <v/>
      </c>
      <c r="H32" t="str">
        <f>'Fix Cost'!A206</f>
        <v>LEADERART</v>
      </c>
      <c r="I32" t="str">
        <f>IF(ISNUMBER(SEARCH(input!$B$5,H32)),MAX($I$2:I31)+1,"")</f>
        <v/>
      </c>
      <c r="J32" t="str">
        <f t="shared" si="2"/>
        <v/>
      </c>
      <c r="L32" t="str">
        <f>Data!M1230</f>
        <v>Crescendo (C1S) - WestRock</v>
      </c>
      <c r="M32" t="str">
        <f>IF(ISNUMBER(SEARCH(input!$D$25,L32)),MAX($M$2:M31)+1,"")</f>
        <v/>
      </c>
      <c r="N32" t="str">
        <f t="shared" si="3"/>
        <v/>
      </c>
      <c r="P32" t="str">
        <f>Data!L941</f>
        <v>OPV Wet Hi-Rub</v>
      </c>
      <c r="Q32" t="str">
        <f>IF(ISNUMBER(SEARCH(input!$E$27,P32)),MAX($Q$2:Q31)+1,"")</f>
        <v/>
      </c>
      <c r="R32" t="str">
        <f t="shared" si="4"/>
        <v/>
      </c>
      <c r="S32" t="str">
        <f>IF(ISNUMBER(SEARCH(input!$E$28,P32)),MAX($S$2:S31)+1,"")</f>
        <v/>
      </c>
      <c r="T32" t="str">
        <f t="shared" si="5"/>
        <v/>
      </c>
      <c r="V32" t="str">
        <f>'Sum local charge July.19'!B106</f>
        <v>TP. KONTUM - TỈNH KONTUM</v>
      </c>
      <c r="W32" t="str">
        <f>IF(ISNUMBER(SEARCH(input!$B$1217,V32)),MAX($W$2:W31)+1,"")</f>
        <v/>
      </c>
      <c r="X32" t="str">
        <f t="shared" si="6"/>
        <v/>
      </c>
    </row>
    <row r="33" spans="2:24">
      <c r="B33" t="str">
        <f>Data!A992</f>
        <v>Other</v>
      </c>
      <c r="C33" t="str">
        <f>IF(ISNUMBER(SEARCH(input!$M$27,B33)),MAX($C$2:C32)+1,"")</f>
        <v/>
      </c>
      <c r="D33" t="str">
        <f t="shared" si="7"/>
        <v/>
      </c>
      <c r="E33" t="str">
        <f>IF(ISNUMBER(SEARCH(input!$M$28,$B33)),MAX($E$2:E32)+1,"")</f>
        <v/>
      </c>
      <c r="F33" t="str">
        <f t="shared" si="1"/>
        <v/>
      </c>
      <c r="H33" t="str">
        <f>'Fix Cost'!A207</f>
        <v>LIEN THANH PHAT</v>
      </c>
      <c r="I33" t="str">
        <f>IF(ISNUMBER(SEARCH(input!$B$5,H33)),MAX($I$2:I32)+1,"")</f>
        <v/>
      </c>
      <c r="J33" t="str">
        <f t="shared" si="2"/>
        <v/>
      </c>
      <c r="L33" t="str">
        <f>Data!M1231</f>
        <v>PRO FBB BRIGHT - Mesta Board</v>
      </c>
      <c r="M33" t="str">
        <f>IF(ISNUMBER(SEARCH(input!$D$25,L33)),MAX($M$2:M32)+1,"")</f>
        <v/>
      </c>
      <c r="N33" t="str">
        <f t="shared" si="3"/>
        <v/>
      </c>
      <c r="P33" t="str">
        <f>Data!L942</f>
        <v>TK Matt Varnish 22493</v>
      </c>
      <c r="Q33" t="str">
        <f>IF(ISNUMBER(SEARCH(input!$E$27,P33)),MAX($Q$2:Q32)+1,"")</f>
        <v/>
      </c>
      <c r="R33" t="str">
        <f t="shared" si="4"/>
        <v/>
      </c>
      <c r="S33" t="str">
        <f>IF(ISNUMBER(SEARCH(input!$E$28,P33)),MAX($S$2:S32)+1,"")</f>
        <v/>
      </c>
      <c r="T33" t="str">
        <f t="shared" si="5"/>
        <v/>
      </c>
      <c r="V33" t="str">
        <f>'Sum local charge July.19'!B107</f>
        <v>TP. LONG XUYÊN, AN GIANG</v>
      </c>
      <c r="W33" t="str">
        <f>IF(ISNUMBER(SEARCH(input!$B$1217,V33)),MAX($W$2:W32)+1,"")</f>
        <v/>
      </c>
      <c r="X33" t="str">
        <f t="shared" si="6"/>
        <v/>
      </c>
    </row>
    <row r="34" spans="2:24">
      <c r="B34" t="str">
        <f>Data!A993</f>
        <v>None</v>
      </c>
      <c r="C34" t="str">
        <f>IF(ISNUMBER(SEARCH(input!$M$27,B34)),MAX($C$2:C33)+1,"")</f>
        <v/>
      </c>
      <c r="D34" t="str">
        <f t="shared" si="7"/>
        <v/>
      </c>
      <c r="E34" t="str">
        <f>IF(ISNUMBER(SEARCH(input!$M$28,$B34)),MAX($E$2:E33)+1,"")</f>
        <v/>
      </c>
      <c r="F34" t="str">
        <f t="shared" si="1"/>
        <v/>
      </c>
      <c r="H34" t="str">
        <f>'Fix Cost'!A208</f>
        <v>LIX</v>
      </c>
      <c r="I34" t="str">
        <f>IF(ISNUMBER(SEARCH(input!$B$5,H34)),MAX($I$2:I33)+1,"")</f>
        <v/>
      </c>
      <c r="J34" t="str">
        <f t="shared" si="2"/>
        <v/>
      </c>
      <c r="L34" t="str">
        <f>Data!M1232</f>
        <v>EMAMI MAXO FOLD GC2</v>
      </c>
      <c r="M34" t="str">
        <f>IF(ISNUMBER(SEARCH(input!$D$25,L34)),MAX($M$2:M33)+1,"")</f>
        <v/>
      </c>
      <c r="N34" t="str">
        <f t="shared" si="3"/>
        <v/>
      </c>
      <c r="V34" t="str">
        <f>'Sum local charge July.19'!B108</f>
        <v>TP. MỸ THO - TIỀN GIANG</v>
      </c>
      <c r="W34" t="str">
        <f>IF(ISNUMBER(SEARCH(input!$B$1217,V34)),MAX($W$2:W33)+1,"")</f>
        <v/>
      </c>
      <c r="X34" t="str">
        <f t="shared" si="6"/>
        <v/>
      </c>
    </row>
    <row r="35" spans="2:24">
      <c r="H35" t="str">
        <f>'Fix Cost'!A209</f>
        <v>MARICO SEA</v>
      </c>
      <c r="I35" t="str">
        <f>IF(ISNUMBER(SEARCH(input!$B$5,H35)),MAX($I$2:I34)+1,"")</f>
        <v/>
      </c>
      <c r="J35" t="str">
        <f t="shared" si="2"/>
        <v/>
      </c>
      <c r="L35" t="str">
        <f>Data!M1233</f>
        <v>ITC CYBER PREMIUM GC2</v>
      </c>
      <c r="M35" t="str">
        <f>IF(ISNUMBER(SEARCH(input!$D$25,L35)),MAX($M$2:M34)+1,"")</f>
        <v/>
      </c>
      <c r="N35" t="str">
        <f t="shared" si="3"/>
        <v/>
      </c>
      <c r="V35" t="str">
        <f>'Sum local charge July.19'!B109</f>
        <v>Xã An Khánh, H. An Phú, T. An Giang</v>
      </c>
      <c r="W35" t="str">
        <f>IF(ISNUMBER(SEARCH(input!$B$1217,V35)),MAX($W$2:W34)+1,"")</f>
        <v/>
      </c>
      <c r="X35" t="str">
        <f t="shared" si="6"/>
        <v/>
      </c>
    </row>
    <row r="36" spans="2:24">
      <c r="H36" t="str">
        <f>'Fix Cost'!A210</f>
        <v>MASAN</v>
      </c>
      <c r="I36" t="str">
        <f>IF(ISNUMBER(SEARCH(input!$B$5,H36)),MAX($I$2:I35)+1,"")</f>
        <v/>
      </c>
      <c r="J36" t="str">
        <f t="shared" si="2"/>
        <v/>
      </c>
      <c r="L36" t="str">
        <f>Data!M1234</f>
        <v>CMPC RC (CHILE)</v>
      </c>
      <c r="M36" t="str">
        <f>IF(ISNUMBER(SEARCH(input!$D$25,L36)),MAX($M$2:M35)+1,"")</f>
        <v/>
      </c>
      <c r="N36" t="str">
        <f t="shared" si="3"/>
        <v/>
      </c>
      <c r="V36">
        <f>'Sum local charge July.19'!B110</f>
        <v>0</v>
      </c>
      <c r="W36" t="str">
        <f>IF(ISNUMBER(SEARCH(input!$B$1217,V36)),MAX($W$2:W35)+1,"")</f>
        <v/>
      </c>
      <c r="X36" t="str">
        <f t="shared" si="6"/>
        <v/>
      </c>
    </row>
    <row r="37" spans="2:24">
      <c r="H37" t="str">
        <f>'Fix Cost'!A211</f>
        <v>KINH DO</v>
      </c>
      <c r="I37" t="str">
        <f>IF(ISNUMBER(SEARCH(input!$B$5,H37)),MAX($I$2:I36)+1,"")</f>
        <v/>
      </c>
      <c r="J37" t="str">
        <f t="shared" si="2"/>
        <v/>
      </c>
      <c r="L37" t="str">
        <f>Data!M1235</f>
        <v>KANEOLI PE (StoraEnso Beihai)</v>
      </c>
      <c r="M37" t="str">
        <f>IF(ISNUMBER(SEARCH(input!$D$25,L37)),MAX($M$2:M36)+1,"")</f>
        <v/>
      </c>
      <c r="N37" t="str">
        <f t="shared" si="3"/>
        <v/>
      </c>
      <c r="V37">
        <f>'Sum local charge July.19'!B111</f>
        <v>0</v>
      </c>
      <c r="W37" t="str">
        <f>IF(ISNUMBER(SEARCH(input!$B$1217,V37)),MAX($W$2:W36)+1,"")</f>
        <v/>
      </c>
      <c r="X37" t="str">
        <f t="shared" si="6"/>
        <v/>
      </c>
    </row>
    <row r="38" spans="2:24">
      <c r="H38" t="str">
        <f>'Fix Cost'!A212</f>
        <v>NESTLE</v>
      </c>
      <c r="I38" t="str">
        <f>IF(ISNUMBER(SEARCH(input!$B$5,H38)),MAX($I$2:I37)+1,"")</f>
        <v/>
      </c>
      <c r="J38" t="str">
        <f t="shared" si="2"/>
        <v/>
      </c>
      <c r="L38" t="str">
        <f>Data!M1236</f>
        <v>KLAFOLD (Klabin Brazil)</v>
      </c>
      <c r="M38" t="str">
        <f>IF(ISNUMBER(SEARCH(input!$D$25,L38)),MAX($M$2:M37)+1,"")</f>
        <v/>
      </c>
      <c r="N38" t="str">
        <f t="shared" si="3"/>
        <v/>
      </c>
      <c r="V38">
        <f>'Sum local charge July.19'!B112</f>
        <v>0</v>
      </c>
      <c r="W38" t="str">
        <f>IF(ISNUMBER(SEARCH(input!$B$1217,V38)),MAX($W$2:W37)+1,"")</f>
        <v/>
      </c>
      <c r="X38" t="str">
        <f t="shared" si="6"/>
        <v/>
      </c>
    </row>
    <row r="39" spans="2:24">
      <c r="H39" t="str">
        <f>'Fix Cost'!A213</f>
        <v>NESTLE JAPAN</v>
      </c>
      <c r="I39" t="str">
        <f>IF(ISNUMBER(SEARCH(input!$B$5,H39)),MAX($I$2:I38)+1,"")</f>
        <v/>
      </c>
      <c r="J39" t="str">
        <f t="shared" si="2"/>
        <v/>
      </c>
      <c r="L39" t="str">
        <f>Data!M1237</f>
        <v>Customkote (WestRock)</v>
      </c>
      <c r="M39" t="str">
        <f>IF(ISNUMBER(SEARCH(input!$D$25,L39)),MAX($M$2:M38)+1,"")</f>
        <v/>
      </c>
      <c r="N39" t="str">
        <f t="shared" si="3"/>
        <v/>
      </c>
      <c r="V39">
        <f>'Sum local charge July.19'!B113</f>
        <v>0</v>
      </c>
      <c r="W39" t="str">
        <f>IF(ISNUMBER(SEARCH(input!$B$1217,V39)),MAX($W$2:W38)+1,"")</f>
        <v/>
      </c>
      <c r="X39" t="str">
        <f t="shared" si="6"/>
        <v/>
      </c>
    </row>
    <row r="40" spans="2:24">
      <c r="H40" t="str">
        <f>'Fix Cost'!A214</f>
        <v>NET</v>
      </c>
      <c r="I40" t="str">
        <f>IF(ISNUMBER(SEARCH(input!$B$5,H40)),MAX($I$2:I39)+1,"")</f>
        <v/>
      </c>
      <c r="J40" t="str">
        <f t="shared" si="2"/>
        <v/>
      </c>
      <c r="L40" t="str">
        <f>Data!M1238</f>
        <v>BillerudKornas Carry</v>
      </c>
      <c r="M40" t="str">
        <f>IF(ISNUMBER(SEARCH(input!$D$25,L40)),MAX($M$2:M39)+1,"")</f>
        <v/>
      </c>
      <c r="N40" t="str">
        <f t="shared" si="3"/>
        <v/>
      </c>
      <c r="V40">
        <f>'Sum local charge July.19'!B114</f>
        <v>0</v>
      </c>
      <c r="W40" t="str">
        <f>IF(ISNUMBER(SEARCH(input!$B$1217,V40)),MAX($W$2:W39)+1,"")</f>
        <v/>
      </c>
      <c r="X40" t="str">
        <f t="shared" si="6"/>
        <v/>
      </c>
    </row>
    <row r="41" spans="2:24">
      <c r="H41" t="str">
        <f>'Fix Cost'!A215</f>
        <v>NISSHIN</v>
      </c>
      <c r="I41" t="str">
        <f>IF(ISNUMBER(SEARCH(input!$B$5,H41)),MAX($I$2:I40)+1,"")</f>
        <v/>
      </c>
      <c r="J41" t="str">
        <f t="shared" si="2"/>
        <v/>
      </c>
      <c r="L41" t="str">
        <f>Data!M1239</f>
        <v>APP-3 COIN BRAND</v>
      </c>
      <c r="M41" t="str">
        <f>IF(ISNUMBER(SEARCH(input!$D$25,L41)),MAX($M$2:M40)+1,"")</f>
        <v/>
      </c>
      <c r="N41" t="str">
        <f t="shared" si="3"/>
        <v/>
      </c>
      <c r="V41">
        <f>'Sum local charge July.19'!B115</f>
        <v>0</v>
      </c>
      <c r="W41" t="str">
        <f>IF(ISNUMBER(SEARCH(input!$B$1217,V41)),MAX($W$2:W40)+1,"")</f>
        <v/>
      </c>
      <c r="X41" t="str">
        <f t="shared" si="6"/>
        <v/>
      </c>
    </row>
    <row r="42" spans="2:24">
      <c r="H42" t="str">
        <f>'Fix Cost'!A216</f>
        <v>P&amp;G</v>
      </c>
      <c r="I42" t="str">
        <f>IF(ISNUMBER(SEARCH(input!$B$5,H42)),MAX($I$2:I41)+1,"")</f>
        <v/>
      </c>
      <c r="J42" t="str">
        <f t="shared" si="2"/>
        <v/>
      </c>
      <c r="L42" t="str">
        <f>Data!M1240</f>
        <v>NINGBO STAR</v>
      </c>
      <c r="M42" t="str">
        <f>IF(ISNUMBER(SEARCH(input!$D$25,L42)),MAX($M$2:M41)+1,"")</f>
        <v/>
      </c>
      <c r="N42" t="str">
        <f t="shared" si="3"/>
        <v/>
      </c>
      <c r="V42">
        <f>'Sum local charge July.19'!B116</f>
        <v>0</v>
      </c>
      <c r="W42" t="str">
        <f>IF(ISNUMBER(SEARCH(input!$B$1217,V42)),MAX($W$2:W41)+1,"")</f>
        <v/>
      </c>
      <c r="X42" t="str">
        <f t="shared" si="6"/>
        <v/>
      </c>
    </row>
    <row r="43" spans="2:24">
      <c r="H43" t="str">
        <f>'Fix Cost'!A217</f>
        <v>PACIFIC MEDICAL</v>
      </c>
      <c r="I43" t="str">
        <f>IF(ISNUMBER(SEARCH(input!$B$5,H43)),MAX($I$2:I42)+1,"")</f>
        <v/>
      </c>
      <c r="J43" t="str">
        <f t="shared" si="2"/>
        <v/>
      </c>
      <c r="L43" t="str">
        <f>Data!M1241</f>
        <v>Bohui - (C2S)</v>
      </c>
      <c r="M43" t="str">
        <f>IF(ISNUMBER(SEARCH(input!$D$25,L43)),MAX($M$2:M42)+1,"")</f>
        <v/>
      </c>
      <c r="N43" t="str">
        <f t="shared" si="3"/>
        <v/>
      </c>
      <c r="V43">
        <f>'Sum local charge July.19'!B117</f>
        <v>0</v>
      </c>
      <c r="W43" t="str">
        <f>IF(ISNUMBER(SEARCH(input!$B$1217,V43)),MAX($W$2:W42)+1,"")</f>
        <v/>
      </c>
      <c r="X43" t="str">
        <f t="shared" si="6"/>
        <v/>
      </c>
    </row>
    <row r="44" spans="2:24">
      <c r="H44" t="str">
        <f>'Fix Cost'!A218</f>
        <v>PERFETTI</v>
      </c>
      <c r="I44" t="str">
        <f>IF(ISNUMBER(SEARCH(input!$B$5,H44)),MAX($I$2:I43)+1,"")</f>
        <v/>
      </c>
      <c r="J44" t="str">
        <f t="shared" si="2"/>
        <v/>
      </c>
      <c r="L44" t="str">
        <f>Data!M1242</f>
        <v>Chenming EUCA C2S</v>
      </c>
      <c r="M44" t="str">
        <f>IF(ISNUMBER(SEARCH(input!$D$25,L44)),MAX($M$2:M43)+1,"")</f>
        <v/>
      </c>
      <c r="N44" t="str">
        <f t="shared" si="3"/>
        <v/>
      </c>
      <c r="V44">
        <f>'Sum local charge July.19'!B118</f>
        <v>0</v>
      </c>
      <c r="W44" t="str">
        <f>IF(ISNUMBER(SEARCH(input!$B$1217,V44)),MAX($W$2:W43)+1,"")</f>
        <v/>
      </c>
      <c r="X44" t="str">
        <f t="shared" si="6"/>
        <v/>
      </c>
    </row>
    <row r="45" spans="2:24">
      <c r="H45" t="str">
        <f>'Fix Cost'!A219</f>
        <v>PHUC SINH</v>
      </c>
      <c r="I45" t="str">
        <f>IF(ISNUMBER(SEARCH(input!$B$5,H45)),MAX($I$2:I44)+1,"")</f>
        <v/>
      </c>
      <c r="J45" t="str">
        <f t="shared" si="2"/>
        <v/>
      </c>
      <c r="L45" t="str">
        <f>Data!M1243</f>
        <v>Ensocoat (C2S) StoraEnso</v>
      </c>
      <c r="M45" t="str">
        <f>IF(ISNUMBER(SEARCH(input!$D$25,L45)),MAX($M$2:M44)+1,"")</f>
        <v/>
      </c>
      <c r="N45" t="str">
        <f t="shared" si="3"/>
        <v/>
      </c>
      <c r="V45">
        <f>'Sum local charge July.19'!B119</f>
        <v>0</v>
      </c>
      <c r="W45" t="str">
        <f>IF(ISNUMBER(SEARCH(input!$B$1217,V45)),MAX($W$2:W44)+1,"")</f>
        <v/>
      </c>
      <c r="X45" t="str">
        <f t="shared" si="6"/>
        <v/>
      </c>
    </row>
    <row r="46" spans="2:24">
      <c r="H46" t="str">
        <f>'Fix Cost'!A220</f>
        <v>Rigid box</v>
      </c>
      <c r="I46" t="str">
        <f>IF(ISNUMBER(SEARCH(input!$B$5,H46)),MAX($I$2:I45)+1,"")</f>
        <v/>
      </c>
      <c r="J46" t="str">
        <f t="shared" si="2"/>
        <v/>
      </c>
      <c r="L46" t="str">
        <f>Data!M1244</f>
        <v>MOORIM - MATT</v>
      </c>
      <c r="M46" t="str">
        <f>IF(ISNUMBER(SEARCH(input!$D$25,L46)),MAX($M$2:M45)+1,"")</f>
        <v/>
      </c>
      <c r="N46" t="str">
        <f t="shared" si="3"/>
        <v/>
      </c>
      <c r="V46" t="str">
        <f>'Sum local charge July.19'!B120</f>
        <v>KINH DO</v>
      </c>
      <c r="W46" t="str">
        <f>IF(ISNUMBER(SEARCH(input!$B$1217,V46)),MAX($W$2:W45)+1,"")</f>
        <v/>
      </c>
      <c r="X46" t="str">
        <f t="shared" si="6"/>
        <v/>
      </c>
    </row>
    <row r="47" spans="2:24">
      <c r="H47" t="str">
        <f>'Fix Cost'!A221</f>
        <v>RUOU &amp; CON VN</v>
      </c>
      <c r="I47" t="str">
        <f>IF(ISNUMBER(SEARCH(input!$B$5,H47)),MAX($I$2:I46)+1,"")</f>
        <v/>
      </c>
      <c r="J47" t="str">
        <f t="shared" si="2"/>
        <v/>
      </c>
      <c r="L47" t="str">
        <f>Data!M1245</f>
        <v>MOORIM - GLOSS</v>
      </c>
      <c r="M47" t="str">
        <f>IF(ISNUMBER(SEARCH(input!$D$25,L47)),MAX($M$2:M46)+1,"")</f>
        <v/>
      </c>
      <c r="N47" t="str">
        <f t="shared" si="3"/>
        <v/>
      </c>
      <c r="V47" t="str">
        <f>'Sum local charge July.19'!B121</f>
        <v>FOB HCM</v>
      </c>
      <c r="W47" t="str">
        <f>IF(ISNUMBER(SEARCH(input!$B$1217,V47)),MAX($W$2:W46)+1,"")</f>
        <v/>
      </c>
      <c r="X47" t="str">
        <f t="shared" si="6"/>
        <v/>
      </c>
    </row>
    <row r="48" spans="2:24">
      <c r="H48" t="str">
        <f>'Fix Cost'!A222</f>
        <v>SAI GON PAPER</v>
      </c>
      <c r="I48" t="str">
        <f>IF(ISNUMBER(SEARCH(input!$B$5,H48)),MAX($I$2:I47)+1,"")</f>
        <v/>
      </c>
      <c r="J48" t="str">
        <f t="shared" si="2"/>
        <v/>
      </c>
      <c r="L48" t="str">
        <f>Data!M1246</f>
        <v>HANSOL - MATT</v>
      </c>
      <c r="M48">
        <f>IF(ISNUMBER(SEARCH(input!$D$25,L48)),MAX($M$2:M47)+1,"")</f>
        <v>2</v>
      </c>
      <c r="N48" t="str">
        <f t="shared" si="3"/>
        <v/>
      </c>
      <c r="V48" t="str">
        <f>'Sum local charge July.19'!B122</f>
        <v>EXW-FCA(có bốc xếp)</v>
      </c>
      <c r="W48" t="str">
        <f>IF(ISNUMBER(SEARCH(input!$B$1217,V48)),MAX($W$2:W47)+1,"")</f>
        <v/>
      </c>
      <c r="X48" t="str">
        <f t="shared" si="6"/>
        <v/>
      </c>
    </row>
    <row r="49" spans="8:14">
      <c r="H49" t="str">
        <f>'Fix Cost'!A223</f>
        <v>SAKAN</v>
      </c>
      <c r="I49" t="str">
        <f>IF(ISNUMBER(SEARCH(input!$B$5,H49)),MAX($I$2:I48)+1,"")</f>
        <v/>
      </c>
      <c r="J49" t="str">
        <f t="shared" si="2"/>
        <v/>
      </c>
      <c r="L49" t="str">
        <f>Data!M1247</f>
        <v>HANSOL - GLOSS</v>
      </c>
      <c r="M49">
        <f>IF(ISNUMBER(SEARCH(input!$D$25,L49)),MAX($M$2:M48)+1,"")</f>
        <v>3</v>
      </c>
      <c r="N49" t="str">
        <f t="shared" si="3"/>
        <v/>
      </c>
    </row>
    <row r="50" spans="8:14">
      <c r="H50" t="str">
        <f>'Fix Cost'!A224</f>
        <v>SALDANA</v>
      </c>
      <c r="I50" t="str">
        <f>IF(ISNUMBER(SEARCH(input!$B$5,H50)),MAX($I$2:I49)+1,"")</f>
        <v/>
      </c>
      <c r="J50" t="str">
        <f t="shared" si="2"/>
        <v/>
      </c>
      <c r="L50" t="str">
        <f>Data!M1248</f>
        <v>CHENMING EAGLE - GLOSS</v>
      </c>
      <c r="M50" t="str">
        <f>IF(ISNUMBER(SEARCH(input!$D$25,L50)),MAX($M$2:M49)+1,"")</f>
        <v/>
      </c>
      <c r="N50" t="str">
        <f t="shared" si="3"/>
        <v/>
      </c>
    </row>
    <row r="51" spans="8:14">
      <c r="H51" t="str">
        <f>'Fix Cost'!A225</f>
        <v>SAO TA</v>
      </c>
      <c r="I51" t="str">
        <f>IF(ISNUMBER(SEARCH(input!$B$5,H51)),MAX($I$2:I50)+1,"")</f>
        <v/>
      </c>
      <c r="J51" t="str">
        <f t="shared" si="2"/>
        <v/>
      </c>
      <c r="L51" t="str">
        <f>Data!M1249</f>
        <v>CHENMING RABBIT - GLOSS</v>
      </c>
      <c r="M51" t="str">
        <f>IF(ISNUMBER(SEARCH(input!$D$25,L51)),MAX($M$2:M50)+1,"")</f>
        <v/>
      </c>
      <c r="N51" t="str">
        <f t="shared" si="3"/>
        <v/>
      </c>
    </row>
    <row r="52" spans="8:14">
      <c r="H52" t="str">
        <f>'Fix Cost'!A226</f>
        <v>SHISEIDO</v>
      </c>
      <c r="I52" t="str">
        <f>IF(ISNUMBER(SEARCH(input!$B$5,H52)),MAX($I$2:I51)+1,"")</f>
        <v/>
      </c>
      <c r="J52" t="str">
        <f t="shared" si="2"/>
        <v/>
      </c>
      <c r="L52" t="str">
        <f>Data!M1250</f>
        <v>HI-KOTE HAI NAN - MATT</v>
      </c>
      <c r="M52" t="str">
        <f>IF(ISNUMBER(SEARCH(input!$D$25,L52)),MAX($M$2:M51)+1,"")</f>
        <v/>
      </c>
      <c r="N52" t="str">
        <f t="shared" si="3"/>
        <v/>
      </c>
    </row>
    <row r="53" spans="8:14">
      <c r="H53" t="str">
        <f>'Fix Cost'!A227</f>
        <v>Simple pack</v>
      </c>
      <c r="I53">
        <f>IF(ISNUMBER(SEARCH(input!$B$5,H53)),MAX($I$2:I52)+1,"")</f>
        <v>1</v>
      </c>
      <c r="J53" t="str">
        <f t="shared" si="2"/>
        <v/>
      </c>
      <c r="L53" t="str">
        <f>Data!M1251</f>
        <v>HI-KOTE HAI NAN - GLOSS</v>
      </c>
      <c r="M53" t="str">
        <f>IF(ISNUMBER(SEARCH(input!$D$25,L53)),MAX($M$2:M52)+1,"")</f>
        <v/>
      </c>
      <c r="N53" t="str">
        <f t="shared" si="3"/>
        <v/>
      </c>
    </row>
    <row r="54" spans="8:14">
      <c r="H54" t="str">
        <f>'Fix Cost'!A228</f>
        <v>TAI KA</v>
      </c>
      <c r="I54" t="str">
        <f>IF(ISNUMBER(SEARCH(input!$B$5,H54)),MAX($I$2:I53)+1,"")</f>
        <v/>
      </c>
      <c r="J54" t="str">
        <f t="shared" si="2"/>
        <v/>
      </c>
      <c r="L54" t="str">
        <f>Data!M1252</f>
        <v>HI-KOTE GOLD EAST - MATT</v>
      </c>
      <c r="M54" t="str">
        <f>IF(ISNUMBER(SEARCH(input!$D$25,L54)),MAX($M$2:M53)+1,"")</f>
        <v/>
      </c>
      <c r="N54" t="str">
        <f t="shared" si="3"/>
        <v/>
      </c>
    </row>
    <row r="55" spans="8:14">
      <c r="H55" t="str">
        <f>'Fix Cost'!A229</f>
        <v>TNI Trung Nguyen</v>
      </c>
      <c r="I55" t="str">
        <f>IF(ISNUMBER(SEARCH(input!$B$5,H55)),MAX($I$2:I54)+1,"")</f>
        <v/>
      </c>
      <c r="J55" t="str">
        <f t="shared" si="2"/>
        <v/>
      </c>
      <c r="L55" t="str">
        <f>Data!M1253</f>
        <v>NEVIA GOLD EAST - MATT</v>
      </c>
      <c r="M55" t="str">
        <f>IF(ISNUMBER(SEARCH(input!$D$25,L55)),MAX($M$2:M54)+1,"")</f>
        <v/>
      </c>
      <c r="N55" t="str">
        <f t="shared" si="3"/>
        <v/>
      </c>
    </row>
    <row r="56" spans="8:14">
      <c r="H56" t="str">
        <f>'Fix Cost'!A230</f>
        <v>TOYOTA TSUSHO</v>
      </c>
      <c r="I56" t="str">
        <f>IF(ISNUMBER(SEARCH(input!$B$5,H56)),MAX($I$2:I55)+1,"")</f>
        <v/>
      </c>
      <c r="J56" t="str">
        <f t="shared" si="2"/>
        <v/>
      </c>
      <c r="L56" t="str">
        <f>Data!M1254</f>
        <v>HI-KOTE GOLD EAST - GLOSS</v>
      </c>
      <c r="M56" t="str">
        <f>IF(ISNUMBER(SEARCH(input!$D$25,L56)),MAX($M$2:M55)+1,"")</f>
        <v/>
      </c>
      <c r="N56" t="str">
        <f t="shared" si="3"/>
        <v/>
      </c>
    </row>
    <row r="57" spans="8:14">
      <c r="H57" t="str">
        <f>'Fix Cost'!A231</f>
        <v>TRANG</v>
      </c>
      <c r="I57" t="str">
        <f>IF(ISNUMBER(SEARCH(input!$B$5,H57)),MAX($I$2:I56)+1,"")</f>
        <v/>
      </c>
      <c r="J57" t="str">
        <f t="shared" si="2"/>
        <v/>
      </c>
      <c r="L57" t="str">
        <f>Data!M1255</f>
        <v>NEVIA GOLD EAST - GLOSS</v>
      </c>
      <c r="M57" t="str">
        <f>IF(ISNUMBER(SEARCH(input!$D$25,L57)),MAX($M$2:M56)+1,"")</f>
        <v/>
      </c>
      <c r="N57" t="str">
        <f t="shared" si="3"/>
        <v/>
      </c>
    </row>
    <row r="58" spans="8:14">
      <c r="H58" t="str">
        <f>'Fix Cost'!A232</f>
        <v>TRUNG SON</v>
      </c>
      <c r="I58" t="str">
        <f>IF(ISNUMBER(SEARCH(input!$B$5,H58)),MAX($I$2:I57)+1,"")</f>
        <v/>
      </c>
      <c r="J58" t="str">
        <f t="shared" si="2"/>
        <v/>
      </c>
      <c r="L58" t="str">
        <f>Data!M1256</f>
        <v>APP-IK BRAND</v>
      </c>
      <c r="M58" t="str">
        <f>IF(ISNUMBER(SEARCH(input!$D$25,L58)),MAX($M$2:M57)+1,"")</f>
        <v/>
      </c>
      <c r="N58" t="str">
        <f t="shared" si="3"/>
        <v/>
      </c>
    </row>
    <row r="59" spans="8:14">
      <c r="H59" t="str">
        <f>'Fix Cost'!A233</f>
        <v>UNICITY</v>
      </c>
      <c r="I59" t="str">
        <f>IF(ISNUMBER(SEARCH(input!$B$5,H59)),MAX($I$2:I58)+1,"")</f>
        <v/>
      </c>
      <c r="J59" t="str">
        <f t="shared" si="2"/>
        <v/>
      </c>
      <c r="L59" t="str">
        <f>Data!M1257</f>
        <v>SCG (THAI PAPER MILL)</v>
      </c>
      <c r="M59" t="str">
        <f>IF(ISNUMBER(SEARCH(input!$D$25,L59)),MAX($M$2:M58)+1,"")</f>
        <v/>
      </c>
      <c r="N59" t="str">
        <f t="shared" si="3"/>
        <v/>
      </c>
    </row>
    <row r="60" spans="8:14">
      <c r="H60" t="str">
        <f>'Fix Cost'!A234</f>
        <v>ULV</v>
      </c>
      <c r="I60" t="str">
        <f>IF(ISNUMBER(SEARCH(input!$B$5,H60)),MAX($I$2:I59)+1,"")</f>
        <v/>
      </c>
      <c r="J60" t="str">
        <f t="shared" si="2"/>
        <v/>
      </c>
      <c r="L60" t="str">
        <f>Data!M1258</f>
        <v>UPM FINE (China)</v>
      </c>
      <c r="M60" t="str">
        <f>IF(ISNUMBER(SEARCH(input!$D$25,L60)),MAX($M$2:M59)+1,"")</f>
        <v/>
      </c>
      <c r="N60" t="str">
        <f t="shared" si="3"/>
        <v/>
      </c>
    </row>
    <row r="61" spans="8:14">
      <c r="H61" t="str">
        <f>'Fix Cost'!A235</f>
        <v>VAN DUC TIEN GIANG</v>
      </c>
      <c r="I61" t="str">
        <f>IF(ISNUMBER(SEARCH(input!$B$5,H61)),MAX($I$2:I60)+1,"")</f>
        <v/>
      </c>
      <c r="J61" t="str">
        <f t="shared" si="2"/>
        <v/>
      </c>
      <c r="L61" t="str">
        <f>Data!M1259</f>
        <v>CHENMING (China)</v>
      </c>
      <c r="M61" t="str">
        <f>IF(ISNUMBER(SEARCH(input!$D$25,L61)),MAX($M$2:M60)+1,"")</f>
        <v/>
      </c>
      <c r="N61" t="str">
        <f t="shared" si="3"/>
        <v/>
      </c>
    </row>
    <row r="62" spans="8:14">
      <c r="H62" t="str">
        <f>'Fix Cost'!A236</f>
        <v>VIET DANH</v>
      </c>
      <c r="I62" t="str">
        <f>IF(ISNUMBER(SEARCH(input!$B$5,H62)),MAX($I$2:I61)+1,"")</f>
        <v/>
      </c>
      <c r="J62" t="str">
        <f t="shared" si="2"/>
        <v/>
      </c>
      <c r="L62" t="str">
        <f>Data!M1260</f>
        <v>Magno Natural Sappi - German</v>
      </c>
      <c r="M62" t="str">
        <f>IF(ISNUMBER(SEARCH(input!$D$25,L62)),MAX($M$2:M61)+1,"")</f>
        <v/>
      </c>
      <c r="N62" t="str">
        <f t="shared" si="3"/>
        <v/>
      </c>
    </row>
    <row r="63" spans="8:14">
      <c r="H63" t="str">
        <f>'Fix Cost'!A237</f>
        <v>VINACAFE</v>
      </c>
      <c r="I63" t="str">
        <f>IF(ISNUMBER(SEARCH(input!$B$5,H63)),MAX($I$2:I62)+1,"")</f>
        <v/>
      </c>
      <c r="J63" t="str">
        <f t="shared" si="2"/>
        <v/>
      </c>
      <c r="L63" t="str">
        <f>Data!M1261</f>
        <v>GHS - CHINA</v>
      </c>
      <c r="M63" t="str">
        <f>IF(ISNUMBER(SEARCH(input!$D$25,L63)),MAX($M$2:M62)+1,"")</f>
        <v/>
      </c>
      <c r="N63" t="str">
        <f t="shared" si="3"/>
        <v/>
      </c>
    </row>
    <row r="64" spans="8:14">
      <c r="H64" t="str">
        <f>'Fix Cost'!A238</f>
        <v>VINGIN</v>
      </c>
      <c r="I64" t="str">
        <f>IF(ISNUMBER(SEARCH(input!$B$5,H64)),MAX($I$2:I63)+1,"")</f>
        <v/>
      </c>
      <c r="J64" t="str">
        <f t="shared" si="2"/>
        <v/>
      </c>
      <c r="L64" t="str">
        <f>Data!M1262</f>
        <v>JAPAN</v>
      </c>
      <c r="M64" t="str">
        <f>IF(ISNUMBER(SEARCH(input!$D$25,L64)),MAX($M$2:M63)+1,"")</f>
        <v/>
      </c>
      <c r="N64" t="str">
        <f t="shared" si="3"/>
        <v/>
      </c>
    </row>
    <row r="65" spans="8:14">
      <c r="H65" t="str">
        <f>'Fix Cost'!A239</f>
        <v>WESTROCK</v>
      </c>
      <c r="I65" t="str">
        <f>IF(ISNUMBER(SEARCH(input!$B$5,H65)),MAX($I$2:I64)+1,"")</f>
        <v/>
      </c>
      <c r="J65" t="str">
        <f t="shared" si="2"/>
        <v/>
      </c>
      <c r="L65" t="str">
        <f>Data!M1263</f>
        <v>HANWHA 955</v>
      </c>
      <c r="M65" t="str">
        <f>IF(ISNUMBER(SEARCH(input!$D$25,L65)),MAX($M$2:M64)+1,"")</f>
        <v/>
      </c>
      <c r="N65" t="str">
        <f t="shared" si="3"/>
        <v/>
      </c>
    </row>
    <row r="66" spans="8:14">
      <c r="H66" t="str">
        <f>'Fix Cost'!A240</f>
        <v>YEKO</v>
      </c>
      <c r="I66" t="str">
        <f>IF(ISNUMBER(SEARCH(input!$B$5,H66)),MAX($I$2:I65)+1,"")</f>
        <v/>
      </c>
      <c r="J66" t="str">
        <f t="shared" si="2"/>
        <v/>
      </c>
      <c r="L66" t="str">
        <f>Data!M1264</f>
        <v>brand 1</v>
      </c>
      <c r="M66" t="str">
        <f>IF(ISNUMBER(SEARCH(input!$D$25,L66)),MAX($M$2:M65)+1,"")</f>
        <v/>
      </c>
      <c r="N66" t="str">
        <f t="shared" si="3"/>
        <v/>
      </c>
    </row>
    <row r="67" spans="8:14">
      <c r="H67" t="str">
        <f>'Fix Cost'!A241</f>
        <v>YUJIN</v>
      </c>
      <c r="I67" t="str">
        <f>IF(ISNUMBER(SEARCH(input!$B$5,H67)),MAX($I$2:I66)+1,"")</f>
        <v/>
      </c>
      <c r="J67" t="str">
        <f t="shared" si="2"/>
        <v/>
      </c>
      <c r="L67" t="str">
        <f>Data!M1265</f>
        <v>brand 2</v>
      </c>
      <c r="M67" t="str">
        <f>IF(ISNUMBER(SEARCH(input!$D$25,L67)),MAX($M$2:M66)+1,"")</f>
        <v/>
      </c>
      <c r="N67" t="str">
        <f t="shared" si="3"/>
        <v/>
      </c>
    </row>
    <row r="68" spans="8:14">
      <c r="L68" t="str">
        <f>Data!M1266</f>
        <v>brand 3</v>
      </c>
      <c r="M68" t="str">
        <f>IF(ISNUMBER(SEARCH(input!$D$25,L68)),MAX($M$2:M67)+1,"")</f>
        <v/>
      </c>
    </row>
    <row r="69" spans="8:14">
      <c r="L69" t="str">
        <f>Data!M1267</f>
        <v>brand 4</v>
      </c>
      <c r="M69" t="str">
        <f>IF(ISNUMBER(SEARCH(input!$D$25,L69)),MAX($M$2:M68)+1,"")</f>
        <v/>
      </c>
    </row>
    <row r="70" spans="8:14">
      <c r="L70" t="str">
        <f>Data!M1268</f>
        <v>brand 5</v>
      </c>
      <c r="M70" t="str">
        <f>IF(ISNUMBER(SEARCH(input!$D$25,L70)),MAX($M$2:M69)+1,"")</f>
        <v/>
      </c>
    </row>
    <row r="71" spans="8:14">
      <c r="L71">
        <f>Data!M1269</f>
        <v>0</v>
      </c>
      <c r="M71" t="str">
        <f>IF(ISNUMBER(SEARCH(input!$D$25,L71)),MAX($M$2:M70)+1,"")</f>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0"/>
  <dimension ref="A1:AM350"/>
  <sheetViews>
    <sheetView zoomScale="85" zoomScaleNormal="85" workbookViewId="0">
      <pane xSplit="2" ySplit="5" topLeftCell="C57" activePane="bottomRight" state="frozen"/>
      <selection activeCell="M28" sqref="M28"/>
      <selection pane="topRight" activeCell="M28" sqref="M28"/>
      <selection pane="bottomLeft" activeCell="M28" sqref="M28"/>
      <selection pane="bottomRight" activeCell="D65" sqref="D65:D67"/>
    </sheetView>
  </sheetViews>
  <sheetFormatPr defaultColWidth="0" defaultRowHeight="14.25" zeroHeight="1"/>
  <cols>
    <col min="1" max="1" width="2.5703125" style="2776" customWidth="1"/>
    <col min="2" max="2" width="19.7109375" style="2776" customWidth="1"/>
    <col min="3" max="3" width="12.5703125" style="2776" customWidth="1"/>
    <col min="4" max="4" width="15.85546875" style="2776" customWidth="1"/>
    <col min="5" max="5" width="14.5703125" style="2776" customWidth="1"/>
    <col min="6" max="6" width="17.5703125" style="2776" customWidth="1"/>
    <col min="7" max="7" width="8.7109375" style="2776" bestFit="1" customWidth="1"/>
    <col min="8" max="8" width="25.28515625" style="2776" customWidth="1"/>
    <col min="9" max="9" width="14.28515625" style="2776" customWidth="1"/>
    <col min="10" max="10" width="17.28515625" style="2776" customWidth="1"/>
    <col min="11" max="11" width="13.85546875" style="2776" customWidth="1"/>
    <col min="12" max="12" width="10" style="2776" customWidth="1"/>
    <col min="13" max="13" width="20.28515625" style="2776" customWidth="1"/>
    <col min="14" max="18" width="10" style="3427" customWidth="1"/>
    <col min="19" max="20" width="10" style="3427" hidden="1" customWidth="1"/>
    <col min="21" max="21" width="15.85546875" style="3427" hidden="1" customWidth="1"/>
    <col min="22" max="26" width="10" style="3427" hidden="1" customWidth="1"/>
    <col min="27" max="27" width="15.42578125" style="3427" hidden="1" customWidth="1"/>
    <col min="28" max="39" width="10" style="3427" hidden="1" customWidth="1"/>
    <col min="40" max="16384" width="9.42578125" style="3427" hidden="1"/>
  </cols>
  <sheetData>
    <row r="1" spans="2:27" ht="23.45" customHeight="1">
      <c r="J1" s="4015" t="s">
        <v>3789</v>
      </c>
      <c r="K1" s="4015" t="s">
        <v>3790</v>
      </c>
      <c r="L1" s="4272" t="s">
        <v>3791</v>
      </c>
      <c r="M1" s="4272"/>
    </row>
    <row r="2" spans="2:27" ht="36" customHeight="1">
      <c r="J2" s="4016" t="s">
        <v>3792</v>
      </c>
      <c r="K2" s="4016" t="s">
        <v>3793</v>
      </c>
      <c r="L2" s="4273" t="s">
        <v>3794</v>
      </c>
      <c r="M2" s="4273"/>
    </row>
    <row r="3" spans="2:27" ht="6.75" customHeight="1" thickBot="1"/>
    <row r="4" spans="2:27" ht="7.5" customHeight="1">
      <c r="B4" s="3745"/>
      <c r="C4" s="3746"/>
      <c r="D4" s="3746"/>
      <c r="E4" s="3746"/>
      <c r="F4" s="3746"/>
      <c r="G4" s="3746"/>
      <c r="H4" s="3746"/>
      <c r="I4" s="3746"/>
      <c r="J4" s="3746"/>
      <c r="K4" s="3746"/>
      <c r="L4" s="3746"/>
      <c r="M4" s="3747"/>
    </row>
    <row r="5" spans="2:27" ht="20.25" customHeight="1">
      <c r="B5" s="3748"/>
      <c r="F5" s="3749" t="s">
        <v>3795</v>
      </c>
      <c r="G5" s="3750"/>
      <c r="H5" s="3750"/>
      <c r="I5" s="3750"/>
      <c r="J5" s="3750"/>
      <c r="L5" s="3751" t="s">
        <v>3796</v>
      </c>
      <c r="M5" s="3752" t="s">
        <v>3797</v>
      </c>
    </row>
    <row r="6" spans="2:27" ht="16.5" customHeight="1">
      <c r="B6" s="3748"/>
      <c r="F6" s="3749"/>
      <c r="G6" s="3750"/>
      <c r="H6" s="3750"/>
      <c r="I6" s="3750"/>
      <c r="J6" s="3750"/>
      <c r="L6" s="3751" t="s">
        <v>3798</v>
      </c>
      <c r="M6" s="3753" t="s">
        <v>3799</v>
      </c>
    </row>
    <row r="7" spans="2:27" ht="16.5" customHeight="1">
      <c r="B7" s="3748"/>
      <c r="I7" s="3754"/>
      <c r="J7" s="3755"/>
      <c r="L7" s="3756" t="s">
        <v>3800</v>
      </c>
      <c r="M7" s="3757">
        <v>45154</v>
      </c>
    </row>
    <row r="8" spans="2:27" ht="3" customHeight="1">
      <c r="B8" s="3748"/>
      <c r="M8" s="3758"/>
    </row>
    <row r="9" spans="2:27" ht="17.25" customHeight="1">
      <c r="B9" s="3759" t="s">
        <v>3801</v>
      </c>
      <c r="C9" s="3760"/>
      <c r="D9" s="4017" t="s">
        <v>3802</v>
      </c>
      <c r="E9" s="4018"/>
      <c r="F9" s="4018"/>
      <c r="G9" s="4019"/>
      <c r="H9" s="4020" t="s">
        <v>3803</v>
      </c>
      <c r="I9" s="3761"/>
      <c r="J9" s="1428" t="s">
        <v>3804</v>
      </c>
      <c r="K9" s="4274" t="s">
        <v>3805</v>
      </c>
      <c r="L9" s="4275"/>
      <c r="M9" s="4021"/>
    </row>
    <row r="10" spans="2:27" ht="17.25" customHeight="1">
      <c r="B10" s="3762" t="s">
        <v>3806</v>
      </c>
      <c r="C10" s="3763"/>
      <c r="D10" s="4022" t="s">
        <v>3922</v>
      </c>
      <c r="E10" s="3764"/>
      <c r="F10" s="3764"/>
      <c r="G10" s="3765"/>
      <c r="H10" s="3766" t="s">
        <v>3807</v>
      </c>
      <c r="I10" s="3754"/>
      <c r="J10" s="3772" t="s">
        <v>3808</v>
      </c>
      <c r="K10" s="4276" t="s">
        <v>3809</v>
      </c>
      <c r="L10" s="4277"/>
      <c r="M10" s="3769" t="s">
        <v>3810</v>
      </c>
    </row>
    <row r="11" spans="2:27" ht="17.25" customHeight="1">
      <c r="B11" s="3770" t="s">
        <v>3811</v>
      </c>
      <c r="D11" s="4022">
        <v>20001531</v>
      </c>
      <c r="E11" s="3764"/>
      <c r="F11" s="3771"/>
      <c r="G11" s="3771"/>
      <c r="H11" s="3766" t="s">
        <v>3812</v>
      </c>
      <c r="I11" s="3754"/>
      <c r="J11" s="1428" t="s">
        <v>3813</v>
      </c>
      <c r="K11" s="3773" t="s">
        <v>3814</v>
      </c>
      <c r="L11" s="3774"/>
      <c r="M11" s="3775" t="s">
        <v>3810</v>
      </c>
    </row>
    <row r="12" spans="2:27" ht="17.25" customHeight="1">
      <c r="B12" s="3770" t="s">
        <v>3815</v>
      </c>
      <c r="D12" s="4022"/>
      <c r="E12" s="3764"/>
      <c r="F12" s="3764"/>
      <c r="G12" s="3765"/>
      <c r="H12" s="3776" t="s">
        <v>3816</v>
      </c>
      <c r="I12" s="3777"/>
      <c r="J12" s="3772" t="s">
        <v>3817</v>
      </c>
      <c r="K12" s="3767" t="s">
        <v>3818</v>
      </c>
      <c r="L12" s="3768"/>
      <c r="M12" s="3775"/>
    </row>
    <row r="13" spans="2:27" ht="17.25" customHeight="1">
      <c r="B13" s="3778" t="s">
        <v>3819</v>
      </c>
      <c r="C13" s="4023"/>
      <c r="D13" s="4022" t="s">
        <v>1192</v>
      </c>
      <c r="E13" s="3779"/>
      <c r="F13" s="3779"/>
      <c r="G13" s="3779"/>
      <c r="H13" s="3780" t="str">
        <f>IF(J12="","",J12)</f>
        <v>Level 1</v>
      </c>
      <c r="I13" s="4024" t="s">
        <v>3820</v>
      </c>
      <c r="J13" s="4025"/>
      <c r="K13" s="4278" t="s">
        <v>3821</v>
      </c>
      <c r="L13" s="4279"/>
      <c r="M13" s="3781" t="s">
        <v>3810</v>
      </c>
      <c r="N13" s="3430"/>
      <c r="O13" s="3430"/>
    </row>
    <row r="14" spans="2:27" ht="6.75" customHeight="1">
      <c r="B14" s="3748"/>
      <c r="K14" s="3782"/>
      <c r="L14" s="3782"/>
      <c r="M14" s="3783"/>
      <c r="N14" s="3431"/>
      <c r="O14" s="3431"/>
    </row>
    <row r="15" spans="2:27" ht="17.25" thickBot="1">
      <c r="B15" s="3784" t="s">
        <v>3822</v>
      </c>
      <c r="C15" s="3785"/>
      <c r="D15" s="3785"/>
      <c r="E15" s="3785"/>
      <c r="F15" s="3785"/>
      <c r="G15" s="3785"/>
      <c r="H15" s="3785"/>
      <c r="I15" s="3785"/>
      <c r="J15" s="3785"/>
      <c r="K15" s="3785"/>
      <c r="L15" s="3785"/>
      <c r="M15" s="4026"/>
    </row>
    <row r="16" spans="2:27" ht="22.5" customHeight="1">
      <c r="B16" s="3786" t="s">
        <v>3823</v>
      </c>
      <c r="C16" s="3746"/>
      <c r="D16" s="3746"/>
      <c r="E16" s="3746"/>
      <c r="F16" s="3746"/>
      <c r="G16" s="3787"/>
      <c r="H16" s="3746"/>
      <c r="I16" s="3746"/>
      <c r="J16" s="3788"/>
      <c r="K16" s="3787"/>
      <c r="L16" s="3787"/>
      <c r="M16" s="3747"/>
      <c r="U16" s="3428"/>
      <c r="AA16" s="3429"/>
    </row>
    <row r="17" spans="2:38" ht="15" customHeight="1">
      <c r="B17" s="4264" t="s">
        <v>3824</v>
      </c>
      <c r="C17" s="4027" t="s">
        <v>19</v>
      </c>
      <c r="D17" s="4027" t="s">
        <v>18</v>
      </c>
      <c r="E17" s="4027" t="s">
        <v>3508</v>
      </c>
      <c r="F17" s="4265" t="s">
        <v>1751</v>
      </c>
      <c r="G17" s="4266"/>
      <c r="H17" s="4267" t="s">
        <v>3825</v>
      </c>
      <c r="I17" s="4269" t="s">
        <v>3826</v>
      </c>
      <c r="J17" s="4271" t="s">
        <v>3827</v>
      </c>
      <c r="K17" s="4258" t="s">
        <v>377</v>
      </c>
      <c r="L17" s="4259"/>
      <c r="M17" s="4260"/>
      <c r="AA17" s="3429"/>
    </row>
    <row r="18" spans="2:38" ht="14.25" customHeight="1">
      <c r="B18" s="4248"/>
      <c r="C18" s="3789" t="s">
        <v>1065</v>
      </c>
      <c r="D18" s="3789" t="s">
        <v>1065</v>
      </c>
      <c r="E18" s="3789" t="s">
        <v>1065</v>
      </c>
      <c r="F18" s="3789" t="s">
        <v>3828</v>
      </c>
      <c r="G18" s="3789" t="s">
        <v>3829</v>
      </c>
      <c r="H18" s="4268"/>
      <c r="I18" s="4270"/>
      <c r="J18" s="4271"/>
      <c r="K18" s="4261"/>
      <c r="L18" s="4262"/>
      <c r="M18" s="4263"/>
      <c r="AA18" s="3429"/>
    </row>
    <row r="19" spans="2:38" ht="15">
      <c r="B19" s="4028" t="s">
        <v>3779</v>
      </c>
      <c r="C19" s="4029">
        <v>133</v>
      </c>
      <c r="D19" s="4029">
        <v>52</v>
      </c>
      <c r="E19" s="4029">
        <v>205</v>
      </c>
      <c r="F19" s="3904" t="s">
        <v>3830</v>
      </c>
      <c r="G19" s="3904" t="s">
        <v>3830</v>
      </c>
      <c r="H19" s="3905"/>
      <c r="I19" s="3906" t="s">
        <v>3810</v>
      </c>
      <c r="J19" s="3907"/>
      <c r="K19" s="4030" t="s">
        <v>3831</v>
      </c>
      <c r="L19" s="3790"/>
      <c r="M19" s="3791"/>
      <c r="O19" s="3432"/>
    </row>
    <row r="20" spans="2:38" ht="15">
      <c r="B20" s="4028"/>
      <c r="C20" s="4029"/>
      <c r="D20" s="4029"/>
      <c r="E20" s="3904"/>
      <c r="F20" s="3904"/>
      <c r="G20" s="3904"/>
      <c r="H20" s="3905"/>
      <c r="I20" s="3906"/>
      <c r="J20" s="3907"/>
      <c r="K20" s="4030"/>
      <c r="L20" s="3790"/>
      <c r="M20" s="3791"/>
      <c r="O20" s="3432"/>
    </row>
    <row r="21" spans="2:38" ht="15">
      <c r="B21" s="4028"/>
      <c r="C21" s="4029"/>
      <c r="D21" s="4029"/>
      <c r="E21" s="4029"/>
      <c r="F21" s="3904"/>
      <c r="G21" s="3904"/>
      <c r="H21" s="3905"/>
      <c r="I21" s="3906"/>
      <c r="J21" s="3907"/>
      <c r="K21" s="4031"/>
      <c r="L21" s="3790"/>
      <c r="M21" s="3791"/>
      <c r="O21" s="3432"/>
    </row>
    <row r="22" spans="2:38" ht="15">
      <c r="B22" s="3792"/>
      <c r="C22" s="3760"/>
      <c r="D22" s="3760"/>
      <c r="E22" s="3760"/>
      <c r="F22" s="3760"/>
      <c r="G22" s="3760"/>
      <c r="H22" s="3760"/>
      <c r="I22" s="3760"/>
      <c r="J22" s="3760"/>
      <c r="K22" s="3760"/>
      <c r="L22" s="3760"/>
      <c r="M22" s="4032"/>
      <c r="O22" s="3432"/>
    </row>
    <row r="23" spans="2:38" ht="6.75" customHeight="1" thickBot="1">
      <c r="B23" s="4033" t="s">
        <v>3832</v>
      </c>
      <c r="C23" s="4034"/>
      <c r="D23" s="4035"/>
      <c r="E23" s="4035"/>
      <c r="F23" s="4035"/>
      <c r="G23" s="4036"/>
      <c r="H23" s="4035"/>
      <c r="I23" s="4035"/>
      <c r="J23" s="4036"/>
      <c r="K23" s="4035"/>
      <c r="L23" s="4036"/>
      <c r="M23" s="4037"/>
    </row>
    <row r="24" spans="2:38" ht="17.45" customHeight="1">
      <c r="B24" s="4247" t="s">
        <v>3824</v>
      </c>
      <c r="C24" s="4249" t="s">
        <v>750</v>
      </c>
      <c r="D24" s="4250"/>
      <c r="E24" s="4251"/>
      <c r="F24" s="3795" t="s">
        <v>3833</v>
      </c>
      <c r="G24" s="4249" t="s">
        <v>213</v>
      </c>
      <c r="H24" s="4250"/>
      <c r="I24" s="4251"/>
      <c r="J24" s="4252" t="s">
        <v>3520</v>
      </c>
      <c r="K24" s="4253"/>
      <c r="L24" s="4254" t="s">
        <v>377</v>
      </c>
      <c r="M24" s="4255"/>
    </row>
    <row r="25" spans="2:38" ht="15" customHeight="1">
      <c r="B25" s="4248"/>
      <c r="C25" s="3796" t="s">
        <v>3834</v>
      </c>
      <c r="D25" s="3797" t="s">
        <v>3835</v>
      </c>
      <c r="E25" s="3797" t="s">
        <v>3836</v>
      </c>
      <c r="F25" s="3798" t="s">
        <v>3837</v>
      </c>
      <c r="G25" s="3798" t="s">
        <v>3838</v>
      </c>
      <c r="H25" s="3799" t="s">
        <v>1104</v>
      </c>
      <c r="I25" s="3798" t="s">
        <v>3839</v>
      </c>
      <c r="J25" s="3796" t="s">
        <v>3834</v>
      </c>
      <c r="K25" s="3797" t="s">
        <v>3835</v>
      </c>
      <c r="L25" s="4256"/>
      <c r="M25" s="4257"/>
    </row>
    <row r="26" spans="2:38" ht="19.5" customHeight="1">
      <c r="B26" s="4028" t="s">
        <v>3779</v>
      </c>
      <c r="C26" s="1428" t="s">
        <v>3840</v>
      </c>
      <c r="D26" s="4038" t="s">
        <v>3841</v>
      </c>
      <c r="E26" s="4039"/>
      <c r="F26" s="4040"/>
      <c r="G26" s="4041"/>
      <c r="H26" s="4041" t="s">
        <v>3842</v>
      </c>
      <c r="I26" s="4042"/>
      <c r="J26" s="4038" t="s">
        <v>3600</v>
      </c>
      <c r="K26" s="4038"/>
      <c r="L26" s="4031"/>
      <c r="M26" s="4043"/>
    </row>
    <row r="27" spans="2:38" ht="21.75">
      <c r="B27" s="4028"/>
      <c r="C27" s="4038"/>
      <c r="D27" s="4038"/>
      <c r="E27" s="4039"/>
      <c r="F27" s="4040"/>
      <c r="G27" s="4041"/>
      <c r="H27" s="4041"/>
      <c r="I27" s="4042"/>
      <c r="J27" s="4038"/>
      <c r="K27" s="4038"/>
      <c r="L27" s="4031"/>
      <c r="M27" s="4043"/>
      <c r="N27" s="3433"/>
      <c r="O27" s="3433"/>
      <c r="P27" s="3433"/>
      <c r="Q27" s="3433"/>
      <c r="R27" s="3433"/>
      <c r="S27" s="3433"/>
      <c r="T27" s="3433"/>
      <c r="U27" s="3433"/>
      <c r="V27" s="3433"/>
      <c r="W27" s="3433"/>
      <c r="X27" s="3433"/>
      <c r="Y27" s="3433"/>
      <c r="Z27" s="3433"/>
      <c r="AA27" s="3433"/>
      <c r="AB27" s="3433"/>
      <c r="AC27" s="3433"/>
      <c r="AD27" s="3433"/>
      <c r="AE27" s="3433"/>
      <c r="AF27" s="3433"/>
      <c r="AG27" s="3433"/>
      <c r="AH27" s="3433"/>
      <c r="AI27" s="3433"/>
      <c r="AJ27" s="3433"/>
      <c r="AK27" s="3433"/>
      <c r="AL27" s="3433"/>
    </row>
    <row r="28" spans="2:38" ht="21.75">
      <c r="B28" s="4028"/>
      <c r="C28" s="4038"/>
      <c r="D28" s="4038"/>
      <c r="E28" s="4039"/>
      <c r="F28" s="4040"/>
      <c r="G28" s="4041"/>
      <c r="H28" s="4041"/>
      <c r="I28" s="4042"/>
      <c r="J28" s="4038"/>
      <c r="K28" s="4038"/>
      <c r="L28" s="4031"/>
      <c r="M28" s="4043"/>
      <c r="N28" s="3433"/>
      <c r="O28" s="3433"/>
      <c r="P28" s="3433"/>
      <c r="Q28" s="3433"/>
      <c r="R28" s="3433"/>
      <c r="S28" s="3433"/>
      <c r="T28" s="3433"/>
      <c r="U28" s="3433"/>
      <c r="V28" s="3433"/>
      <c r="W28" s="3433"/>
      <c r="X28" s="3433"/>
      <c r="Y28" s="3433"/>
      <c r="Z28" s="3433"/>
      <c r="AA28" s="3433"/>
      <c r="AB28" s="3433"/>
      <c r="AC28" s="3433"/>
      <c r="AD28" s="3433"/>
      <c r="AE28" s="3433"/>
      <c r="AF28" s="3433"/>
      <c r="AG28" s="3433"/>
      <c r="AH28" s="3433"/>
      <c r="AI28" s="3433"/>
      <c r="AJ28" s="3433"/>
      <c r="AK28" s="3433"/>
      <c r="AL28" s="3433"/>
    </row>
    <row r="29" spans="2:38">
      <c r="B29" s="4044"/>
      <c r="C29" s="3801"/>
      <c r="D29" s="3801"/>
      <c r="E29" s="3801"/>
      <c r="F29" s="3802"/>
      <c r="G29" s="3802"/>
      <c r="H29" s="3802"/>
      <c r="I29" s="3802"/>
      <c r="J29" s="3802"/>
      <c r="K29" s="3802"/>
      <c r="L29" s="4280"/>
      <c r="M29" s="4281"/>
      <c r="N29" s="3433"/>
      <c r="O29" s="3433"/>
      <c r="P29" s="3433"/>
      <c r="Q29" s="3433"/>
      <c r="R29" s="3433"/>
      <c r="S29" s="3433"/>
      <c r="T29" s="3433"/>
      <c r="U29" s="3433"/>
      <c r="V29" s="3433"/>
      <c r="W29" s="3433"/>
      <c r="X29" s="3433"/>
      <c r="Y29" s="3433"/>
      <c r="Z29" s="3433"/>
      <c r="AA29" s="3433"/>
      <c r="AB29" s="3433"/>
      <c r="AC29" s="3433"/>
      <c r="AD29" s="3433"/>
      <c r="AE29" s="3433"/>
      <c r="AF29" s="3433"/>
      <c r="AG29" s="3433"/>
      <c r="AH29" s="3433"/>
      <c r="AI29" s="3433"/>
      <c r="AJ29" s="3433"/>
      <c r="AK29" s="3433"/>
      <c r="AL29" s="3433"/>
    </row>
    <row r="30" spans="2:38" ht="15">
      <c r="B30" s="4282" t="s">
        <v>3843</v>
      </c>
      <c r="C30" s="4283"/>
      <c r="D30" s="4045" t="s">
        <v>3844</v>
      </c>
      <c r="E30" s="4045" t="s">
        <v>3845</v>
      </c>
      <c r="F30" s="4045" t="s">
        <v>3846</v>
      </c>
      <c r="G30" s="4045" t="s">
        <v>3847</v>
      </c>
      <c r="H30" s="4046" t="s">
        <v>3848</v>
      </c>
      <c r="I30" s="4045" t="s">
        <v>3849</v>
      </c>
      <c r="J30" s="4045" t="s">
        <v>3850</v>
      </c>
      <c r="K30" s="4045" t="s">
        <v>3851</v>
      </c>
      <c r="L30" s="4045" t="s">
        <v>2038</v>
      </c>
      <c r="M30" s="4047" t="s">
        <v>226</v>
      </c>
      <c r="N30" s="3433"/>
      <c r="O30" s="3433"/>
      <c r="P30" s="3433"/>
      <c r="Q30" s="3433"/>
      <c r="R30" s="3433"/>
      <c r="S30" s="3433"/>
      <c r="T30" s="3433"/>
      <c r="U30" s="3433"/>
      <c r="V30" s="3433"/>
      <c r="W30" s="3433"/>
      <c r="X30" s="3433"/>
      <c r="Y30" s="3433"/>
      <c r="Z30" s="3433"/>
      <c r="AA30" s="3433"/>
      <c r="AB30" s="3433"/>
      <c r="AC30" s="3433"/>
      <c r="AD30" s="3433"/>
      <c r="AE30" s="3433"/>
      <c r="AF30" s="3433"/>
      <c r="AG30" s="3433"/>
      <c r="AH30" s="3433"/>
      <c r="AI30" s="3433"/>
      <c r="AJ30" s="3433"/>
      <c r="AK30" s="3433"/>
      <c r="AL30" s="3433"/>
    </row>
    <row r="31" spans="2:38" ht="11.25" customHeight="1">
      <c r="B31" s="3908"/>
      <c r="C31" s="3909"/>
      <c r="D31" s="3910"/>
      <c r="E31" s="3910"/>
      <c r="F31" s="3910"/>
      <c r="G31" s="3910"/>
      <c r="H31" s="3910"/>
      <c r="I31" s="3911"/>
      <c r="J31" s="3910"/>
      <c r="K31" s="3911"/>
      <c r="L31" s="3911"/>
      <c r="M31" s="3912"/>
    </row>
    <row r="32" spans="2:38" ht="26.25" customHeight="1" thickBot="1">
      <c r="B32" s="3803"/>
      <c r="C32" s="3804"/>
      <c r="D32" s="3805"/>
      <c r="E32" s="3804"/>
      <c r="F32" s="3806"/>
      <c r="G32" s="3806"/>
      <c r="H32" s="3806"/>
      <c r="I32" s="3806"/>
      <c r="J32" s="3806"/>
      <c r="K32" s="3806"/>
      <c r="L32" s="4284"/>
      <c r="M32" s="4285"/>
    </row>
    <row r="33" spans="1:13" ht="44.25" customHeight="1">
      <c r="B33" s="3807"/>
      <c r="C33" s="4048"/>
      <c r="D33" s="4048"/>
      <c r="E33" s="4048"/>
      <c r="F33" s="4048"/>
      <c r="G33" s="4048"/>
      <c r="H33" s="4048"/>
      <c r="I33" s="4048"/>
      <c r="J33" s="4048"/>
      <c r="K33" s="4048"/>
      <c r="L33" s="4048"/>
      <c r="M33" s="3808"/>
    </row>
    <row r="34" spans="1:13" ht="18" customHeight="1" thickBot="1">
      <c r="B34" s="3809" t="s">
        <v>3852</v>
      </c>
      <c r="C34" s="3810"/>
      <c r="G34" s="3811"/>
      <c r="J34" s="3811"/>
      <c r="L34" s="3811"/>
      <c r="M34" s="3812"/>
    </row>
    <row r="35" spans="1:13" ht="10.5" customHeight="1">
      <c r="B35" s="3813" t="s">
        <v>3824</v>
      </c>
      <c r="C35" s="3814" t="s">
        <v>3853</v>
      </c>
      <c r="D35" s="3814" t="s">
        <v>1300</v>
      </c>
      <c r="E35" s="3814" t="s">
        <v>3854</v>
      </c>
      <c r="F35" s="3815" t="s">
        <v>226</v>
      </c>
      <c r="G35" s="4286" t="s">
        <v>377</v>
      </c>
      <c r="H35" s="4287"/>
      <c r="I35" s="4287"/>
      <c r="J35" s="4287"/>
      <c r="K35" s="4287"/>
      <c r="L35" s="4287"/>
      <c r="M35" s="4288"/>
    </row>
    <row r="36" spans="1:13" ht="18" customHeight="1">
      <c r="B36" s="4049"/>
      <c r="C36" s="3913"/>
      <c r="D36" s="3913"/>
      <c r="E36" s="3914"/>
      <c r="F36" s="3913"/>
      <c r="G36" s="4050"/>
      <c r="H36" s="4051"/>
      <c r="I36" s="4051"/>
      <c r="J36" s="4051"/>
      <c r="K36" s="4051"/>
      <c r="L36" s="4051"/>
      <c r="M36" s="4052"/>
    </row>
    <row r="37" spans="1:13" ht="23.45" customHeight="1">
      <c r="B37" s="4053"/>
      <c r="C37" s="3913"/>
      <c r="D37" s="3913"/>
      <c r="E37" s="3914"/>
      <c r="F37" s="3913"/>
      <c r="G37" s="4050"/>
      <c r="H37" s="4051"/>
      <c r="I37" s="4051"/>
      <c r="J37" s="4051"/>
      <c r="K37" s="4051"/>
      <c r="L37" s="4051"/>
      <c r="M37" s="4052"/>
    </row>
    <row r="38" spans="1:13">
      <c r="B38" s="4053"/>
      <c r="C38" s="3913"/>
      <c r="D38" s="3913"/>
      <c r="E38" s="3914"/>
      <c r="F38" s="3913"/>
      <c r="G38" s="4050"/>
      <c r="H38" s="4051"/>
      <c r="I38" s="4051"/>
      <c r="J38" s="4051"/>
      <c r="K38" s="4051"/>
      <c r="L38" s="4051"/>
      <c r="M38" s="4052"/>
    </row>
    <row r="39" spans="1:13">
      <c r="B39" s="4053"/>
      <c r="C39" s="3913"/>
      <c r="D39" s="3913"/>
      <c r="E39" s="3914"/>
      <c r="F39" s="3913"/>
      <c r="G39" s="4050"/>
      <c r="H39" s="4051"/>
      <c r="I39" s="4051"/>
      <c r="J39" s="4051"/>
      <c r="K39" s="4051"/>
      <c r="L39" s="4051"/>
      <c r="M39" s="4052"/>
    </row>
    <row r="40" spans="1:13" ht="15">
      <c r="B40" s="3809" t="s">
        <v>3855</v>
      </c>
      <c r="C40" s="3816"/>
      <c r="D40" s="3760"/>
      <c r="E40" s="3760"/>
      <c r="F40" s="3760"/>
      <c r="G40" s="3816"/>
      <c r="H40" s="3816"/>
      <c r="I40" s="3816"/>
      <c r="J40" s="3817"/>
      <c r="K40" s="3816"/>
      <c r="L40" s="3816"/>
      <c r="M40" s="4054"/>
    </row>
    <row r="41" spans="1:13" ht="16.5" customHeight="1">
      <c r="B41" s="4055" t="s">
        <v>594</v>
      </c>
      <c r="C41" s="4289"/>
      <c r="D41" s="4289"/>
      <c r="E41" s="4289"/>
      <c r="F41" s="4289"/>
      <c r="G41" s="4289"/>
      <c r="H41" s="4289"/>
      <c r="I41" s="3915"/>
      <c r="J41" s="4290"/>
      <c r="K41" s="4211"/>
      <c r="L41" s="4211"/>
      <c r="M41" s="4213"/>
    </row>
    <row r="42" spans="1:13" ht="21" customHeight="1">
      <c r="A42" s="3800"/>
      <c r="B42" s="4056">
        <v>1</v>
      </c>
      <c r="C42" s="4057"/>
      <c r="D42" s="3818"/>
      <c r="E42" s="3818"/>
      <c r="F42" s="3818"/>
      <c r="G42" s="3818"/>
      <c r="H42" s="3818"/>
      <c r="I42" s="3916"/>
      <c r="J42" s="3819"/>
      <c r="K42" s="3819"/>
      <c r="L42" s="3819"/>
      <c r="M42" s="3820"/>
    </row>
    <row r="43" spans="1:13" ht="21" customHeight="1">
      <c r="A43" s="3800"/>
      <c r="B43" s="4056">
        <v>2</v>
      </c>
      <c r="C43" s="4057"/>
      <c r="D43" s="3818"/>
      <c r="E43" s="3818"/>
      <c r="F43" s="3818"/>
      <c r="G43" s="3818"/>
      <c r="H43" s="3818"/>
      <c r="I43" s="3916"/>
      <c r="J43" s="3819"/>
      <c r="K43" s="3819"/>
      <c r="L43" s="3819"/>
      <c r="M43" s="3820"/>
    </row>
    <row r="44" spans="1:13" s="3433" customFormat="1" ht="31.7" customHeight="1">
      <c r="A44" s="3800"/>
      <c r="B44" s="4056">
        <v>3</v>
      </c>
      <c r="C44" s="4057"/>
      <c r="D44" s="3818"/>
      <c r="E44" s="3818"/>
      <c r="F44" s="3818"/>
      <c r="G44" s="3818"/>
      <c r="H44" s="3818"/>
      <c r="I44" s="3916"/>
      <c r="J44" s="3819"/>
      <c r="K44" s="3819"/>
      <c r="L44" s="3819"/>
      <c r="M44" s="3820"/>
    </row>
    <row r="45" spans="1:13" s="3433" customFormat="1" ht="18" customHeight="1">
      <c r="A45" s="2776"/>
      <c r="B45" s="3821" t="s">
        <v>3856</v>
      </c>
      <c r="C45" s="3810"/>
      <c r="D45" s="3810"/>
      <c r="E45" s="3810"/>
      <c r="F45" s="3810"/>
      <c r="G45" s="3810"/>
      <c r="H45" s="3810"/>
      <c r="I45" s="3822"/>
      <c r="J45" s="3822"/>
      <c r="K45" s="3822"/>
      <c r="L45" s="3822"/>
      <c r="M45" s="3823"/>
    </row>
    <row r="46" spans="1:13" s="3433" customFormat="1" ht="18" customHeight="1">
      <c r="A46" s="2776"/>
      <c r="B46" s="4207"/>
      <c r="C46" s="4208"/>
      <c r="D46" s="4208"/>
      <c r="E46" s="4208"/>
      <c r="F46" s="4208"/>
      <c r="G46" s="4208"/>
      <c r="H46" s="4208"/>
      <c r="I46" s="4208"/>
      <c r="J46" s="4208"/>
      <c r="K46" s="4208"/>
      <c r="L46" s="4208"/>
      <c r="M46" s="4209"/>
    </row>
    <row r="47" spans="1:13" s="3433" customFormat="1" ht="18" customHeight="1">
      <c r="A47" s="2776"/>
      <c r="B47" s="3824"/>
      <c r="C47" s="3810"/>
      <c r="D47" s="3810"/>
      <c r="E47" s="3810"/>
      <c r="F47" s="3810"/>
      <c r="G47" s="3810"/>
      <c r="H47" s="3810"/>
      <c r="I47" s="3822"/>
      <c r="J47" s="3822"/>
      <c r="K47" s="3822"/>
      <c r="L47" s="3822"/>
      <c r="M47" s="3823"/>
    </row>
    <row r="48" spans="1:13" ht="24" customHeight="1">
      <c r="B48" s="3809" t="s">
        <v>3857</v>
      </c>
      <c r="C48" s="3825"/>
      <c r="G48" s="3825"/>
      <c r="H48" s="3825"/>
      <c r="I48" s="3825"/>
      <c r="J48" s="3811"/>
      <c r="K48" s="3825"/>
      <c r="L48" s="3825"/>
      <c r="M48" s="3812"/>
    </row>
    <row r="49" spans="2:13" ht="29.25" customHeight="1">
      <c r="B49" s="4058" t="s">
        <v>3858</v>
      </c>
      <c r="C49" s="4045" t="s">
        <v>3859</v>
      </c>
      <c r="D49" s="4045" t="s">
        <v>3860</v>
      </c>
      <c r="E49" s="4046" t="s">
        <v>3861</v>
      </c>
      <c r="F49" s="4045" t="s">
        <v>3862</v>
      </c>
      <c r="G49" s="4210" t="s">
        <v>3863</v>
      </c>
      <c r="H49" s="4211"/>
      <c r="I49" s="4211"/>
      <c r="J49" s="4212"/>
      <c r="K49" s="4210" t="s">
        <v>3544</v>
      </c>
      <c r="L49" s="4211"/>
      <c r="M49" s="4213"/>
    </row>
    <row r="50" spans="2:13" ht="15" thickBot="1">
      <c r="B50" s="3826" t="s">
        <v>1579</v>
      </c>
      <c r="C50" s="3917"/>
      <c r="D50" s="3918" t="s">
        <v>3864</v>
      </c>
      <c r="E50" s="3918"/>
      <c r="F50" s="3918" t="s">
        <v>3865</v>
      </c>
      <c r="G50" s="3919"/>
      <c r="H50" s="3920"/>
      <c r="I50" s="3920"/>
      <c r="J50" s="3921"/>
      <c r="K50" s="3919"/>
      <c r="L50" s="3920"/>
      <c r="M50" s="3922"/>
    </row>
    <row r="51" spans="2:13" ht="18.75" customHeight="1">
      <c r="B51" s="3827"/>
      <c r="C51" s="3828"/>
      <c r="D51" s="3828"/>
      <c r="E51" s="3828"/>
      <c r="F51" s="3828"/>
      <c r="G51" s="3828"/>
      <c r="H51" s="3828"/>
      <c r="I51" s="3828"/>
      <c r="J51" s="3828"/>
      <c r="K51" s="3828"/>
      <c r="L51" s="3828"/>
      <c r="M51" s="3829"/>
    </row>
    <row r="52" spans="2:13" ht="27.75" customHeight="1">
      <c r="B52" s="4059" t="s">
        <v>3866</v>
      </c>
      <c r="C52" s="3830"/>
      <c r="D52" s="3830"/>
      <c r="E52" s="3831"/>
      <c r="F52" s="3831"/>
      <c r="G52" s="3831"/>
      <c r="H52" s="3831"/>
      <c r="I52" s="3831"/>
      <c r="J52" s="3831"/>
      <c r="K52" s="3831"/>
      <c r="L52" s="3831"/>
      <c r="M52" s="3832"/>
    </row>
    <row r="53" spans="2:13" ht="27" customHeight="1">
      <c r="B53" s="3833"/>
      <c r="C53" s="4214"/>
      <c r="D53" s="4215"/>
      <c r="E53" s="4215"/>
      <c r="F53" s="4215"/>
      <c r="G53" s="4215"/>
      <c r="H53" s="4216"/>
      <c r="I53" s="4214"/>
      <c r="J53" s="4215"/>
      <c r="K53" s="4215"/>
      <c r="L53" s="4215"/>
      <c r="M53" s="4217"/>
    </row>
    <row r="54" spans="2:13" ht="7.5" customHeight="1">
      <c r="B54" s="4060" t="s">
        <v>3867</v>
      </c>
      <c r="C54" s="3834"/>
      <c r="D54" s="4048"/>
      <c r="E54" s="4048"/>
      <c r="F54" s="4048"/>
      <c r="G54" s="4048"/>
      <c r="H54" s="4061"/>
      <c r="I54" s="4062"/>
      <c r="J54" s="3835"/>
      <c r="K54" s="3835"/>
      <c r="L54" s="3835"/>
      <c r="M54" s="3836"/>
    </row>
    <row r="55" spans="2:13" ht="17.25" customHeight="1">
      <c r="B55" s="4060" t="s">
        <v>3868</v>
      </c>
      <c r="C55" s="3834"/>
      <c r="D55" s="4048"/>
      <c r="E55" s="4048"/>
      <c r="F55" s="4048"/>
      <c r="G55" s="4048"/>
      <c r="H55" s="4061"/>
      <c r="I55" s="4062"/>
      <c r="M55" s="3758"/>
    </row>
    <row r="56" spans="2:13" ht="17.45" customHeight="1">
      <c r="B56" s="3837" t="s">
        <v>3869</v>
      </c>
      <c r="C56" s="3834"/>
      <c r="D56" s="4048"/>
      <c r="E56" s="4048"/>
      <c r="F56" s="4048"/>
      <c r="G56" s="4048"/>
      <c r="H56" s="4061"/>
      <c r="I56" s="4062"/>
      <c r="J56" s="3835"/>
      <c r="K56" s="3835"/>
      <c r="L56" s="3835"/>
      <c r="M56" s="3836"/>
    </row>
    <row r="57" spans="2:13" ht="17.45" customHeight="1">
      <c r="B57" s="3837" t="s">
        <v>3870</v>
      </c>
      <c r="C57" s="4062"/>
      <c r="D57" s="3835"/>
      <c r="E57" s="3835"/>
      <c r="F57" s="3835"/>
      <c r="G57" s="3835"/>
      <c r="H57" s="3838"/>
      <c r="I57" s="4062"/>
      <c r="J57" s="3760"/>
      <c r="K57" s="3760"/>
      <c r="L57" s="3760"/>
      <c r="M57" s="4032"/>
    </row>
    <row r="58" spans="2:13" ht="17.45" customHeight="1">
      <c r="B58" s="3837" t="s">
        <v>3871</v>
      </c>
      <c r="C58" s="4062"/>
      <c r="D58" s="3835"/>
      <c r="E58" s="3835"/>
      <c r="F58" s="3835"/>
      <c r="G58" s="3835"/>
      <c r="H58" s="3838"/>
      <c r="I58" s="4062"/>
      <c r="J58" s="3760"/>
      <c r="K58" s="3760"/>
      <c r="L58" s="3760"/>
      <c r="M58" s="4032"/>
    </row>
    <row r="59" spans="2:13" ht="17.45" customHeight="1">
      <c r="B59" s="3837" t="s">
        <v>3872</v>
      </c>
      <c r="C59" s="4062" t="s">
        <v>3873</v>
      </c>
      <c r="D59" s="3835"/>
      <c r="E59" s="3835"/>
      <c r="F59" s="3835"/>
      <c r="G59" s="3835"/>
      <c r="H59" s="3838"/>
      <c r="I59" s="4062"/>
      <c r="J59" s="3835"/>
      <c r="K59" s="3835"/>
      <c r="L59" s="3835"/>
      <c r="M59" s="3836"/>
    </row>
    <row r="60" spans="2:13" ht="17.45" customHeight="1">
      <c r="B60" s="3807"/>
      <c r="M60" s="3758"/>
    </row>
    <row r="61" spans="2:13" ht="17.45" customHeight="1">
      <c r="B61" s="4063" t="s">
        <v>3874</v>
      </c>
      <c r="C61" s="3839"/>
      <c r="D61" s="3839"/>
      <c r="E61" s="3839"/>
      <c r="F61" s="3839"/>
      <c r="G61" s="3839"/>
      <c r="H61" s="3839"/>
      <c r="I61" s="3839"/>
      <c r="J61" s="3839"/>
      <c r="K61" s="3839"/>
      <c r="L61" s="3839"/>
      <c r="M61" s="4064"/>
    </row>
    <row r="62" spans="2:13" ht="17.45" customHeight="1">
      <c r="B62" s="3809"/>
      <c r="C62" s="3839"/>
      <c r="D62" s="3839"/>
      <c r="E62" s="3839"/>
      <c r="F62" s="3839"/>
      <c r="G62" s="3839"/>
      <c r="H62" s="3839"/>
      <c r="I62" s="3839"/>
      <c r="J62" s="3839"/>
      <c r="K62" s="3839"/>
      <c r="L62" s="3839"/>
      <c r="M62" s="4064"/>
    </row>
    <row r="63" spans="2:13" ht="9.75" customHeight="1">
      <c r="B63" s="4199" t="s">
        <v>3875</v>
      </c>
      <c r="C63" s="4200"/>
      <c r="D63" s="4065"/>
      <c r="E63" s="4066"/>
      <c r="F63" s="4201"/>
      <c r="G63" s="4202"/>
      <c r="H63" s="4201"/>
      <c r="I63" s="4203"/>
      <c r="J63" s="4203"/>
      <c r="K63" s="4203"/>
      <c r="L63" s="4203"/>
      <c r="M63" s="4204"/>
    </row>
    <row r="64" spans="2:13" ht="17.25" customHeight="1">
      <c r="B64" s="4239" t="s">
        <v>3876</v>
      </c>
      <c r="C64" s="4240"/>
      <c r="D64" s="3840"/>
      <c r="E64" s="3841"/>
      <c r="F64" s="3842"/>
      <c r="G64" s="3843"/>
      <c r="H64" s="4205"/>
      <c r="I64" s="4206"/>
      <c r="J64" s="3844" t="s">
        <v>3810</v>
      </c>
      <c r="K64" s="4205" t="s">
        <v>3877</v>
      </c>
      <c r="L64" s="4206"/>
      <c r="M64" s="3845" t="s">
        <v>3165</v>
      </c>
    </row>
    <row r="65" spans="2:19" ht="9.75" customHeight="1">
      <c r="B65" s="4235" t="s">
        <v>3878</v>
      </c>
      <c r="C65" s="4236"/>
      <c r="D65" s="3840">
        <v>3</v>
      </c>
      <c r="E65" s="4067"/>
      <c r="F65" s="3842"/>
      <c r="G65" s="3843"/>
      <c r="H65" s="3846" t="s">
        <v>732</v>
      </c>
      <c r="I65" s="4241" t="s">
        <v>3879</v>
      </c>
      <c r="J65" s="4242"/>
      <c r="K65" s="4242"/>
      <c r="L65" s="4242"/>
      <c r="M65" s="4243"/>
    </row>
    <row r="66" spans="2:19" ht="17.25" customHeight="1">
      <c r="B66" s="4235" t="s">
        <v>3880</v>
      </c>
      <c r="C66" s="4236"/>
      <c r="D66" s="3840">
        <v>5</v>
      </c>
      <c r="E66" s="4067"/>
      <c r="F66" s="3842"/>
      <c r="G66" s="3843"/>
      <c r="H66" s="3847"/>
      <c r="I66" s="4244"/>
      <c r="J66" s="4245"/>
      <c r="K66" s="4245"/>
      <c r="L66" s="4245"/>
      <c r="M66" s="4246"/>
    </row>
    <row r="67" spans="2:19" ht="18.75" customHeight="1">
      <c r="B67" s="4237" t="s">
        <v>3875</v>
      </c>
      <c r="C67" s="4238"/>
      <c r="D67" s="3840">
        <v>118</v>
      </c>
      <c r="E67" s="4067"/>
      <c r="F67" s="3842"/>
      <c r="G67" s="3843"/>
      <c r="H67" s="3848"/>
      <c r="I67" s="4222" t="s">
        <v>3881</v>
      </c>
      <c r="J67" s="4223"/>
      <c r="K67" s="4223"/>
      <c r="L67" s="4223"/>
      <c r="M67" s="4224"/>
    </row>
    <row r="68" spans="2:19" ht="18" customHeight="1">
      <c r="B68" s="4218" t="s">
        <v>72</v>
      </c>
      <c r="C68" s="4219"/>
      <c r="D68" s="3840"/>
      <c r="E68" s="3841"/>
      <c r="F68" s="3842"/>
      <c r="G68" s="3843"/>
      <c r="H68" s="3849"/>
      <c r="I68" s="4222"/>
      <c r="J68" s="4223"/>
      <c r="K68" s="4223"/>
      <c r="L68" s="4223"/>
      <c r="M68" s="4224"/>
      <c r="P68" s="3434"/>
    </row>
    <row r="69" spans="2:19" ht="18" customHeight="1">
      <c r="B69" s="4220"/>
      <c r="C69" s="4221"/>
      <c r="D69" s="3850"/>
      <c r="E69" s="3851"/>
      <c r="F69" s="3852"/>
      <c r="G69" s="3853"/>
      <c r="H69" s="3854"/>
      <c r="I69" s="4225"/>
      <c r="J69" s="4226"/>
      <c r="K69" s="4226"/>
      <c r="L69" s="4226"/>
      <c r="M69" s="4227"/>
      <c r="P69" s="3434"/>
    </row>
    <row r="70" spans="2:19" ht="17.25" customHeight="1">
      <c r="B70" s="3748"/>
      <c r="M70" s="3758"/>
      <c r="P70" s="3434"/>
    </row>
    <row r="71" spans="2:19" ht="18.75" customHeight="1" thickBot="1">
      <c r="B71" s="3855"/>
      <c r="C71" s="3856"/>
      <c r="D71" s="3793"/>
      <c r="E71" s="3793"/>
      <c r="F71" s="3793"/>
      <c r="G71" s="3857"/>
      <c r="H71" s="3793"/>
      <c r="I71" s="3856"/>
      <c r="J71" s="3857"/>
      <c r="K71" s="3793"/>
      <c r="L71" s="3858"/>
      <c r="M71" s="3794"/>
      <c r="P71" s="3434"/>
    </row>
    <row r="72" spans="2:19" ht="15.75" customHeight="1">
      <c r="B72" s="3859" t="s">
        <v>3882</v>
      </c>
      <c r="C72" s="3860"/>
      <c r="D72" s="3860"/>
      <c r="E72" s="3860"/>
      <c r="F72" s="3860"/>
      <c r="G72" s="3860"/>
      <c r="H72" s="3860"/>
      <c r="I72" s="3860"/>
      <c r="J72" s="3860"/>
      <c r="K72" s="3860"/>
      <c r="L72" s="3860"/>
      <c r="M72" s="3861"/>
    </row>
    <row r="73" spans="2:19" ht="4.5" customHeight="1">
      <c r="B73" s="3862"/>
      <c r="C73" s="3863"/>
      <c r="I73" s="3863"/>
      <c r="M73" s="3758"/>
    </row>
    <row r="74" spans="2:19" ht="5.25" customHeight="1">
      <c r="B74" s="3864"/>
      <c r="C74" s="3865"/>
      <c r="D74" s="3866" t="s">
        <v>3883</v>
      </c>
      <c r="E74" s="3866"/>
      <c r="F74" s="3867"/>
      <c r="G74" s="3867"/>
      <c r="H74" s="3868" t="s">
        <v>734</v>
      </c>
      <c r="I74" s="3869"/>
      <c r="J74" s="3867"/>
      <c r="K74" s="3867"/>
      <c r="M74" s="3758"/>
    </row>
    <row r="75" spans="2:19" ht="18" customHeight="1">
      <c r="B75" s="3770"/>
      <c r="C75" s="3865"/>
      <c r="D75" s="4228" t="s">
        <v>735</v>
      </c>
      <c r="E75" s="4228"/>
      <c r="F75" s="4228"/>
      <c r="G75" s="4228"/>
      <c r="H75" s="4228"/>
      <c r="I75" s="4228"/>
      <c r="J75" s="4228"/>
      <c r="K75" s="4228"/>
      <c r="M75" s="3758"/>
    </row>
    <row r="76" spans="2:19" ht="10.5" customHeight="1">
      <c r="B76" s="3870"/>
      <c r="C76" s="3865"/>
      <c r="D76" s="4228"/>
      <c r="E76" s="4228"/>
      <c r="F76" s="4228"/>
      <c r="G76" s="4228"/>
      <c r="H76" s="4228"/>
      <c r="I76" s="4228"/>
      <c r="J76" s="4228"/>
      <c r="K76" s="4228"/>
      <c r="L76" s="3825"/>
      <c r="M76" s="3812"/>
    </row>
    <row r="77" spans="2:19" ht="21" customHeight="1">
      <c r="B77" s="3871"/>
      <c r="C77" s="3865"/>
      <c r="D77" s="4228"/>
      <c r="E77" s="4228"/>
      <c r="F77" s="4228"/>
      <c r="G77" s="4228"/>
      <c r="H77" s="4228"/>
      <c r="I77" s="4228"/>
      <c r="J77" s="4228"/>
      <c r="K77" s="4228"/>
      <c r="L77" s="3825"/>
      <c r="M77" s="3812"/>
    </row>
    <row r="78" spans="2:19" ht="25.5" customHeight="1">
      <c r="B78" s="3872"/>
      <c r="C78" s="3865"/>
      <c r="D78" s="3867"/>
      <c r="E78" s="3867"/>
      <c r="F78" s="3867"/>
      <c r="G78" s="3867"/>
      <c r="H78" s="3867"/>
      <c r="I78" s="3867"/>
      <c r="J78" s="3867"/>
      <c r="K78" s="3867"/>
      <c r="L78" s="3825"/>
      <c r="M78" s="3812"/>
    </row>
    <row r="79" spans="2:19" ht="25.5" customHeight="1">
      <c r="B79" s="3748"/>
      <c r="C79" s="3865"/>
      <c r="D79" s="3866" t="s">
        <v>3884</v>
      </c>
      <c r="E79" s="3866"/>
      <c r="F79" s="3867"/>
      <c r="G79" s="3873" t="s">
        <v>1192</v>
      </c>
      <c r="H79" s="3866"/>
      <c r="I79" s="3867"/>
      <c r="J79" s="3867"/>
      <c r="K79" s="3867"/>
      <c r="M79" s="3758"/>
    </row>
    <row r="80" spans="2:19" ht="25.5" customHeight="1">
      <c r="B80" s="3864"/>
      <c r="C80" s="3865"/>
      <c r="D80" s="3866" t="s">
        <v>3885</v>
      </c>
      <c r="E80" s="3866"/>
      <c r="F80" s="3867"/>
      <c r="G80" s="3874">
        <v>1000</v>
      </c>
      <c r="H80" s="3874">
        <v>2000</v>
      </c>
      <c r="I80" s="3874">
        <v>10000</v>
      </c>
      <c r="J80" s="3874">
        <v>30000</v>
      </c>
      <c r="K80" s="3874">
        <v>50000</v>
      </c>
      <c r="L80" s="3874"/>
      <c r="M80" s="3874"/>
      <c r="Q80" s="3434"/>
      <c r="R80" s="3434"/>
      <c r="S80" s="3435"/>
    </row>
    <row r="81" spans="2:19" ht="15">
      <c r="B81" s="3864"/>
      <c r="C81" s="3865"/>
      <c r="D81" s="3866" t="s">
        <v>3886</v>
      </c>
      <c r="E81" s="3866"/>
      <c r="F81" s="3867"/>
      <c r="G81" s="3874">
        <v>100000</v>
      </c>
      <c r="H81" s="386" t="s">
        <v>3887</v>
      </c>
      <c r="I81" s="3867"/>
      <c r="J81" s="3867"/>
      <c r="K81" s="3867"/>
      <c r="M81" s="3758"/>
      <c r="Q81" s="3434"/>
      <c r="R81" s="3434"/>
      <c r="S81" s="3435"/>
    </row>
    <row r="82" spans="2:19" ht="15.75" customHeight="1">
      <c r="B82" s="3864"/>
      <c r="C82" s="3865"/>
      <c r="D82" s="3866"/>
      <c r="E82" s="3866"/>
      <c r="F82" s="3867"/>
      <c r="G82" s="3875"/>
      <c r="H82" s="386"/>
      <c r="I82" s="3867"/>
      <c r="J82" s="3867"/>
      <c r="K82" s="3867"/>
      <c r="M82" s="3758"/>
      <c r="Q82" s="3434"/>
      <c r="R82" s="3434"/>
      <c r="S82" s="3435"/>
    </row>
    <row r="83" spans="2:19" ht="15.75" customHeight="1">
      <c r="B83" s="3876"/>
      <c r="C83" s="3865"/>
      <c r="D83" s="3867"/>
      <c r="E83" s="3867"/>
      <c r="F83" s="3877"/>
      <c r="G83" s="3867"/>
      <c r="H83" s="3867"/>
      <c r="I83" s="3867"/>
      <c r="J83" s="3867"/>
      <c r="K83" s="3867"/>
      <c r="L83" s="3878"/>
      <c r="M83" s="3758"/>
      <c r="P83" s="3436"/>
      <c r="Q83" s="3434"/>
      <c r="R83" s="3434"/>
      <c r="S83" s="3435"/>
    </row>
    <row r="84" spans="2:19" ht="15.75" customHeight="1">
      <c r="B84" s="3748"/>
      <c r="C84" s="3865"/>
      <c r="D84" s="3866" t="s">
        <v>140</v>
      </c>
      <c r="E84" s="3866"/>
      <c r="F84" s="3879"/>
      <c r="G84" s="3880" t="s">
        <v>3888</v>
      </c>
      <c r="H84" s="3867"/>
      <c r="I84" s="3867"/>
      <c r="J84" s="3867"/>
      <c r="K84" s="3867"/>
      <c r="M84" s="3758"/>
      <c r="Q84" s="3434"/>
      <c r="R84" s="3434"/>
      <c r="S84" s="3435"/>
    </row>
    <row r="85" spans="2:19" ht="15.75" customHeight="1">
      <c r="B85" s="3770"/>
      <c r="C85" s="3865"/>
      <c r="D85" s="3867"/>
      <c r="E85" s="3867"/>
      <c r="F85" s="3879" t="s">
        <v>142</v>
      </c>
      <c r="G85" s="3880" t="s">
        <v>3888</v>
      </c>
      <c r="H85" s="3867"/>
      <c r="I85" s="3867"/>
      <c r="J85" s="3867"/>
      <c r="K85" s="3867"/>
      <c r="M85" s="3758"/>
      <c r="Q85" s="3434"/>
      <c r="R85" s="3434"/>
      <c r="S85" s="3435"/>
    </row>
    <row r="86" spans="2:19" ht="15.75" customHeight="1">
      <c r="B86" s="3881"/>
      <c r="C86" s="3865"/>
      <c r="D86" s="3867"/>
      <c r="E86" s="3867"/>
      <c r="F86" s="3879" t="s">
        <v>143</v>
      </c>
      <c r="G86" s="3880" t="s">
        <v>3888</v>
      </c>
      <c r="H86" s="3867"/>
      <c r="I86" s="3867"/>
      <c r="J86" s="3867"/>
      <c r="K86" s="3867"/>
      <c r="M86" s="3758"/>
      <c r="Q86" s="3434"/>
      <c r="R86" s="3434"/>
      <c r="S86" s="3435"/>
    </row>
    <row r="87" spans="2:19" ht="15.75" hidden="1" customHeight="1">
      <c r="B87" s="3876"/>
      <c r="C87" s="3865"/>
      <c r="D87" s="3867"/>
      <c r="E87" s="3867"/>
      <c r="F87" s="3877"/>
      <c r="G87" s="3867"/>
      <c r="H87" s="3867"/>
      <c r="I87" s="3867"/>
      <c r="J87" s="3867"/>
      <c r="K87" s="3867"/>
      <c r="M87" s="3758"/>
      <c r="Q87" s="3434"/>
      <c r="R87" s="3434"/>
      <c r="S87" s="3435"/>
    </row>
    <row r="88" spans="2:19" ht="15.75" hidden="1" customHeight="1">
      <c r="B88" s="3748"/>
      <c r="C88" s="3865"/>
      <c r="D88" s="3866" t="s">
        <v>1323</v>
      </c>
      <c r="E88" s="3866"/>
      <c r="F88" s="3879" t="s">
        <v>141</v>
      </c>
      <c r="G88" s="3880" t="s">
        <v>3888</v>
      </c>
      <c r="H88" s="3867"/>
      <c r="I88" s="3867"/>
      <c r="J88" s="3867"/>
      <c r="K88" s="3867"/>
      <c r="M88" s="3758"/>
      <c r="Q88" s="3434"/>
      <c r="R88" s="3434"/>
      <c r="S88" s="3435"/>
    </row>
    <row r="89" spans="2:19" ht="15.75" hidden="1" customHeight="1">
      <c r="B89" s="3748"/>
      <c r="C89" s="3865"/>
      <c r="D89" s="3867"/>
      <c r="E89" s="3867"/>
      <c r="F89" s="3879" t="s">
        <v>142</v>
      </c>
      <c r="G89" s="3880" t="s">
        <v>3888</v>
      </c>
      <c r="H89" s="3867"/>
      <c r="I89" s="3867"/>
      <c r="J89" s="3867"/>
      <c r="K89" s="3867"/>
      <c r="M89" s="3758"/>
      <c r="Q89" s="3434"/>
      <c r="R89" s="3434"/>
      <c r="S89" s="3435"/>
    </row>
    <row r="90" spans="2:19" ht="15.75" hidden="1" customHeight="1">
      <c r="B90" s="3748"/>
      <c r="C90" s="3865"/>
      <c r="D90" s="3867"/>
      <c r="E90" s="3867"/>
      <c r="F90" s="3879" t="s">
        <v>143</v>
      </c>
      <c r="G90" s="3880" t="s">
        <v>3888</v>
      </c>
      <c r="H90" s="3867"/>
      <c r="I90" s="3867"/>
      <c r="J90" s="3867"/>
      <c r="K90" s="3867"/>
      <c r="M90" s="3758"/>
    </row>
    <row r="91" spans="2:19" ht="15.75" hidden="1" customHeight="1">
      <c r="B91" s="3748"/>
      <c r="C91" s="3865"/>
      <c r="D91" s="3867"/>
      <c r="E91" s="3867"/>
      <c r="F91" s="3867"/>
      <c r="G91" s="3867"/>
      <c r="H91" s="3867"/>
      <c r="I91" s="3867"/>
      <c r="J91" s="3867"/>
      <c r="K91" s="3867"/>
      <c r="M91" s="3758"/>
    </row>
    <row r="92" spans="2:19" ht="15.75" hidden="1" customHeight="1">
      <c r="B92" s="3748"/>
      <c r="C92" s="3865"/>
      <c r="D92" s="386" t="s">
        <v>3889</v>
      </c>
      <c r="E92" s="386"/>
      <c r="F92" s="3867"/>
      <c r="G92" s="3867"/>
      <c r="H92" s="3867"/>
      <c r="I92" s="3867"/>
      <c r="J92" s="3867"/>
      <c r="K92" s="3867"/>
      <c r="M92" s="3758"/>
      <c r="Q92" s="3434"/>
    </row>
    <row r="93" spans="2:19" ht="15.75" hidden="1" customHeight="1">
      <c r="B93" s="3748"/>
      <c r="C93" s="3865"/>
      <c r="D93" s="386" t="s">
        <v>3890</v>
      </c>
      <c r="E93" s="386"/>
      <c r="F93" s="3867"/>
      <c r="G93" s="3867"/>
      <c r="H93" s="3867"/>
      <c r="I93" s="3867"/>
      <c r="J93" s="3867"/>
      <c r="K93" s="3867"/>
      <c r="M93" s="3758"/>
      <c r="Q93" s="3434"/>
    </row>
    <row r="94" spans="2:19" ht="8.25" hidden="1" customHeight="1">
      <c r="B94" s="3748"/>
      <c r="C94" s="3865"/>
      <c r="D94" s="386"/>
      <c r="E94" s="386"/>
      <c r="F94" s="3867"/>
      <c r="G94" s="3867"/>
      <c r="H94" s="3867"/>
      <c r="I94" s="3867"/>
      <c r="J94" s="3867"/>
      <c r="K94" s="3867"/>
      <c r="M94" s="3758"/>
    </row>
    <row r="95" spans="2:19" ht="15.75" customHeight="1">
      <c r="B95" s="3748"/>
      <c r="C95" s="3865"/>
      <c r="D95" s="3866" t="s">
        <v>3891</v>
      </c>
      <c r="E95" s="3866"/>
      <c r="F95" s="3867"/>
      <c r="G95" s="3882"/>
      <c r="H95" s="3867"/>
      <c r="I95" s="3867"/>
      <c r="J95" s="3867"/>
      <c r="K95" s="3867"/>
      <c r="M95" s="3758"/>
    </row>
    <row r="96" spans="2:19" ht="15.75" customHeight="1">
      <c r="B96" s="3748"/>
      <c r="C96" s="3865"/>
      <c r="D96" s="386" t="s">
        <v>3892</v>
      </c>
      <c r="E96" s="386"/>
      <c r="F96" s="3867"/>
      <c r="G96" s="3867"/>
      <c r="H96" s="3867"/>
      <c r="I96" s="3867"/>
      <c r="J96" s="3867"/>
      <c r="K96" s="3867"/>
      <c r="M96" s="3758"/>
      <c r="O96" s="3437"/>
    </row>
    <row r="97" spans="2:15" ht="6.75" customHeight="1">
      <c r="B97" s="3748"/>
      <c r="C97" s="3865"/>
      <c r="D97" s="386"/>
      <c r="E97" s="386"/>
      <c r="F97" s="3867"/>
      <c r="G97" s="3867"/>
      <c r="H97" s="3867"/>
      <c r="I97" s="3867"/>
      <c r="J97" s="3867"/>
      <c r="K97" s="3867"/>
      <c r="M97" s="3758"/>
      <c r="O97" s="3437"/>
    </row>
    <row r="98" spans="2:15" ht="15.75" customHeight="1">
      <c r="B98" s="3748"/>
      <c r="C98" s="3865"/>
      <c r="D98" s="3923" t="s">
        <v>3893</v>
      </c>
      <c r="E98" s="3924" t="s">
        <v>3894</v>
      </c>
      <c r="F98" s="3867"/>
      <c r="G98" s="3923" t="s">
        <v>3895</v>
      </c>
      <c r="H98" s="3925"/>
      <c r="I98" s="3867"/>
      <c r="J98" s="3923" t="s">
        <v>3896</v>
      </c>
      <c r="K98" s="3926" t="s">
        <v>1169</v>
      </c>
      <c r="M98" s="3758"/>
      <c r="O98" s="3437"/>
    </row>
    <row r="99" spans="2:15" ht="15.75" customHeight="1">
      <c r="B99" s="3748"/>
      <c r="C99" s="3865"/>
      <c r="D99" s="386"/>
      <c r="E99" s="386" t="s">
        <v>3897</v>
      </c>
      <c r="F99" s="3867"/>
      <c r="G99" s="3867"/>
      <c r="H99" s="3867"/>
      <c r="I99" s="3867"/>
      <c r="J99" s="3867"/>
      <c r="K99" s="3867"/>
      <c r="M99" s="3758"/>
      <c r="O99" s="3437"/>
    </row>
    <row r="100" spans="2:15" ht="15.75" customHeight="1">
      <c r="B100" s="3748"/>
      <c r="C100" s="3865"/>
      <c r="D100" s="4229" t="s">
        <v>3898</v>
      </c>
      <c r="E100" s="4230"/>
      <c r="F100" s="4231" t="s">
        <v>3899</v>
      </c>
      <c r="G100" s="4232"/>
      <c r="H100" s="4232"/>
      <c r="I100" s="4232"/>
      <c r="J100" s="4232"/>
      <c r="K100" s="4233"/>
      <c r="M100" s="3758"/>
      <c r="O100" s="3437"/>
    </row>
    <row r="101" spans="2:15" ht="15.75" customHeight="1">
      <c r="B101" s="3748"/>
      <c r="C101" s="3865"/>
      <c r="D101" s="4234" t="s">
        <v>3900</v>
      </c>
      <c r="E101" s="4234"/>
      <c r="F101" s="4234"/>
      <c r="G101" s="4234"/>
      <c r="H101" s="4234"/>
      <c r="I101" s="4234"/>
      <c r="J101" s="4234"/>
      <c r="K101" s="4234"/>
      <c r="M101" s="3758"/>
      <c r="O101" s="3437"/>
    </row>
    <row r="102" spans="2:15" ht="15.75" customHeight="1">
      <c r="B102" s="3748"/>
      <c r="C102" s="3865"/>
      <c r="D102" s="3867"/>
      <c r="E102" s="3867"/>
      <c r="F102" s="3867"/>
      <c r="G102" s="3867"/>
      <c r="H102" s="3865"/>
      <c r="I102" s="3865"/>
      <c r="J102" s="3865"/>
      <c r="K102" s="3865"/>
      <c r="M102" s="3758"/>
      <c r="O102" s="3437"/>
    </row>
    <row r="103" spans="2:15" ht="15.75" customHeight="1">
      <c r="B103" s="3748"/>
      <c r="C103" s="3865"/>
      <c r="D103" s="3866" t="s">
        <v>3901</v>
      </c>
      <c r="E103" s="3883">
        <v>60</v>
      </c>
      <c r="F103" s="3867" t="s">
        <v>3902</v>
      </c>
      <c r="G103" s="3867"/>
      <c r="H103" s="3865"/>
      <c r="I103" s="3865"/>
      <c r="J103" s="3865"/>
      <c r="K103" s="3865"/>
      <c r="M103" s="3758"/>
      <c r="O103" s="3437"/>
    </row>
    <row r="104" spans="2:15" ht="76.5" customHeight="1">
      <c r="B104" s="3748"/>
      <c r="C104" s="3865"/>
      <c r="D104" s="3884" t="s">
        <v>3903</v>
      </c>
      <c r="E104" s="3885"/>
      <c r="F104" s="3885"/>
      <c r="G104" s="3885"/>
      <c r="H104" s="3886"/>
      <c r="I104" s="3886"/>
      <c r="J104" s="3886"/>
      <c r="K104" s="3886"/>
      <c r="M104" s="3758"/>
      <c r="O104" s="3437"/>
    </row>
    <row r="105" spans="2:15" ht="7.5" customHeight="1">
      <c r="B105" s="3748"/>
      <c r="C105" s="3865"/>
      <c r="D105" s="3885"/>
      <c r="E105" s="3885"/>
      <c r="F105" s="3885"/>
      <c r="G105" s="3885"/>
      <c r="H105" s="3886"/>
      <c r="I105" s="3886"/>
      <c r="J105" s="3886"/>
      <c r="K105" s="3886"/>
      <c r="M105" s="3758"/>
      <c r="O105" s="3437"/>
    </row>
    <row r="106" spans="2:15" ht="16.5" customHeight="1">
      <c r="B106" s="3748"/>
      <c r="C106" s="3865"/>
      <c r="D106" s="3886"/>
      <c r="E106" s="3886"/>
      <c r="F106" s="3886"/>
      <c r="G106" s="3886"/>
      <c r="H106" s="3886"/>
      <c r="I106" s="3886"/>
      <c r="J106" s="3886"/>
      <c r="K106" s="3886"/>
      <c r="M106" s="3758"/>
      <c r="O106" s="3437"/>
    </row>
    <row r="107" spans="2:15" ht="15.75" customHeight="1">
      <c r="B107" s="3748"/>
      <c r="C107" s="3865"/>
      <c r="D107" s="3866" t="s">
        <v>3904</v>
      </c>
      <c r="F107" s="3887" t="s">
        <v>3905</v>
      </c>
      <c r="G107" s="3888"/>
      <c r="H107" s="3889" t="s">
        <v>3906</v>
      </c>
      <c r="I107" s="3867" t="s">
        <v>3907</v>
      </c>
      <c r="J107" s="3867"/>
      <c r="M107" s="3758"/>
      <c r="O107" s="3437"/>
    </row>
    <row r="108" spans="2:15" ht="15.75" customHeight="1">
      <c r="B108" s="3748"/>
      <c r="C108" s="3865"/>
      <c r="D108" s="3867"/>
      <c r="F108" s="3887" t="s">
        <v>3905</v>
      </c>
      <c r="G108" s="3888"/>
      <c r="H108" s="3889" t="s">
        <v>3906</v>
      </c>
      <c r="I108" s="3867" t="s">
        <v>3908</v>
      </c>
      <c r="J108" s="3867"/>
      <c r="M108" s="3758"/>
      <c r="O108" s="3437"/>
    </row>
    <row r="109" spans="2:15" ht="15.75" customHeight="1">
      <c r="B109" s="3748"/>
      <c r="C109" s="3865"/>
      <c r="D109" s="3867"/>
      <c r="E109" s="3865"/>
      <c r="F109" s="3865"/>
      <c r="G109" s="3865"/>
      <c r="H109" s="3865"/>
      <c r="I109" s="3865"/>
      <c r="J109" s="3865"/>
      <c r="K109" s="3865"/>
      <c r="M109" s="3758"/>
      <c r="O109" s="3437"/>
    </row>
    <row r="110" spans="2:15" ht="15.75" customHeight="1">
      <c r="B110" s="3748"/>
      <c r="C110" s="3865"/>
      <c r="D110" s="3866" t="s">
        <v>3909</v>
      </c>
      <c r="E110" s="3890"/>
      <c r="F110" s="3865"/>
      <c r="G110" s="4197"/>
      <c r="H110" s="4198"/>
      <c r="I110" s="3865"/>
      <c r="J110" s="3865"/>
      <c r="K110" s="3865"/>
      <c r="M110" s="3758"/>
      <c r="O110" s="3437"/>
    </row>
    <row r="111" spans="2:15" ht="15.75" customHeight="1">
      <c r="B111" s="3748"/>
      <c r="C111" s="3865"/>
      <c r="D111" s="3866" t="s">
        <v>3910</v>
      </c>
      <c r="E111" s="3890"/>
      <c r="F111" s="3865"/>
      <c r="G111" s="4197"/>
      <c r="H111" s="4198"/>
      <c r="I111" s="3865"/>
      <c r="J111" s="3865"/>
      <c r="K111" s="3865"/>
      <c r="M111" s="3758"/>
      <c r="O111" s="3437"/>
    </row>
    <row r="112" spans="2:15" ht="14.25" customHeight="1">
      <c r="B112" s="3748"/>
      <c r="C112" s="3865"/>
      <c r="D112" s="3866" t="s">
        <v>3911</v>
      </c>
      <c r="E112" s="3890"/>
      <c r="F112" s="3865"/>
      <c r="G112" s="4197">
        <v>45291</v>
      </c>
      <c r="H112" s="4198"/>
      <c r="I112" s="3865"/>
      <c r="J112" s="3865"/>
      <c r="K112" s="3865"/>
      <c r="M112" s="3758"/>
      <c r="O112" s="3437"/>
    </row>
    <row r="113" spans="2:15" ht="15.75" customHeight="1">
      <c r="B113" s="3748"/>
      <c r="C113" s="3865"/>
      <c r="D113" s="3865"/>
      <c r="E113" s="3865"/>
      <c r="F113" s="3865"/>
      <c r="G113" s="3865"/>
      <c r="H113" s="3865"/>
      <c r="I113" s="3865"/>
      <c r="J113" s="3865"/>
      <c r="K113" s="3865"/>
      <c r="M113" s="3758"/>
      <c r="O113" s="3437"/>
    </row>
    <row r="114" spans="2:15" ht="15.75" customHeight="1">
      <c r="B114" s="3748"/>
      <c r="C114" s="3867"/>
      <c r="D114" s="3866" t="s">
        <v>147</v>
      </c>
      <c r="E114" s="3866"/>
      <c r="F114" s="3867"/>
      <c r="G114" s="3867"/>
      <c r="H114" s="3867"/>
      <c r="I114" s="3867"/>
      <c r="J114" s="3867"/>
      <c r="K114" s="3867"/>
      <c r="L114" s="3867"/>
      <c r="M114" s="3891"/>
      <c r="O114" s="3437"/>
    </row>
    <row r="115" spans="2:15" ht="15.75" customHeight="1">
      <c r="B115" s="3748"/>
      <c r="C115" s="3892" t="s">
        <v>141</v>
      </c>
      <c r="D115" s="386" t="s">
        <v>3912</v>
      </c>
      <c r="E115" s="386"/>
      <c r="F115" s="3867"/>
      <c r="G115" s="3867"/>
      <c r="H115" s="3867"/>
      <c r="I115" s="3867"/>
      <c r="J115" s="3867"/>
      <c r="K115" s="3867"/>
      <c r="L115" s="3867"/>
      <c r="M115" s="3891"/>
      <c r="O115" s="3437"/>
    </row>
    <row r="116" spans="2:15" ht="5.25" customHeight="1">
      <c r="B116" s="3748"/>
      <c r="C116" s="3892" t="s">
        <v>142</v>
      </c>
      <c r="D116" s="386" t="s">
        <v>3913</v>
      </c>
      <c r="E116" s="386"/>
      <c r="F116" s="3867"/>
      <c r="G116" s="3867"/>
      <c r="H116" s="3867"/>
      <c r="I116" s="3867"/>
      <c r="J116" s="3867"/>
      <c r="K116" s="3867"/>
      <c r="L116" s="3867"/>
      <c r="M116" s="3891"/>
      <c r="O116" s="3437"/>
    </row>
    <row r="117" spans="2:15" ht="15.75" customHeight="1">
      <c r="B117" s="3748"/>
      <c r="C117" s="3892" t="s">
        <v>143</v>
      </c>
      <c r="D117" s="386" t="s">
        <v>3914</v>
      </c>
      <c r="E117" s="386"/>
      <c r="F117" s="3867"/>
      <c r="G117" s="3867"/>
      <c r="H117" s="3867"/>
      <c r="I117" s="3867"/>
      <c r="J117" s="3867"/>
      <c r="K117" s="3867"/>
      <c r="L117" s="3867"/>
      <c r="M117" s="3891"/>
      <c r="O117" s="3437"/>
    </row>
    <row r="118" spans="2:15" ht="15.75" customHeight="1">
      <c r="B118" s="3748"/>
      <c r="C118" s="3893"/>
      <c r="D118" s="386" t="s">
        <v>3915</v>
      </c>
      <c r="E118" s="386"/>
      <c r="F118" s="3867"/>
      <c r="G118" s="3867"/>
      <c r="H118" s="3867"/>
      <c r="I118" s="3867"/>
      <c r="J118" s="3867"/>
      <c r="K118" s="3867"/>
      <c r="L118" s="3867"/>
      <c r="M118" s="3891"/>
      <c r="O118" s="3437"/>
    </row>
    <row r="119" spans="2:15" ht="15.75" customHeight="1">
      <c r="B119" s="3748"/>
      <c r="C119" s="3892" t="s">
        <v>144</v>
      </c>
      <c r="D119" s="386" t="s">
        <v>3916</v>
      </c>
      <c r="E119" s="386"/>
      <c r="F119" s="3867"/>
      <c r="G119" s="3867"/>
      <c r="H119" s="3867"/>
      <c r="I119" s="3867"/>
      <c r="J119" s="3867"/>
      <c r="K119" s="3867"/>
      <c r="L119" s="3867"/>
      <c r="M119" s="3891"/>
      <c r="O119" s="3437"/>
    </row>
    <row r="120" spans="2:15" ht="15.75" customHeight="1">
      <c r="B120" s="3748"/>
      <c r="C120" s="3867"/>
      <c r="D120" s="386" t="s">
        <v>3917</v>
      </c>
      <c r="E120" s="386"/>
      <c r="F120" s="3867"/>
      <c r="G120" s="3867"/>
      <c r="H120" s="3867"/>
      <c r="I120" s="3867"/>
      <c r="J120" s="3867"/>
      <c r="K120" s="3867"/>
      <c r="L120" s="3867"/>
      <c r="M120" s="3891"/>
      <c r="O120" s="3437"/>
    </row>
    <row r="121" spans="2:15" ht="15.75" customHeight="1">
      <c r="B121" s="3748"/>
      <c r="C121" s="3892" t="s">
        <v>145</v>
      </c>
      <c r="D121" s="386" t="s">
        <v>3918</v>
      </c>
      <c r="E121" s="386"/>
      <c r="F121" s="3867"/>
      <c r="G121" s="3867"/>
      <c r="H121" s="3867"/>
      <c r="I121" s="3867"/>
      <c r="J121" s="3867"/>
      <c r="K121" s="3867"/>
      <c r="L121" s="3867"/>
      <c r="M121" s="3891"/>
      <c r="O121" s="3437"/>
    </row>
    <row r="122" spans="2:15" ht="15.75" customHeight="1">
      <c r="B122" s="3748"/>
      <c r="C122" s="3867"/>
      <c r="D122" s="386" t="s">
        <v>3919</v>
      </c>
      <c r="E122" s="386"/>
      <c r="F122" s="3867"/>
      <c r="G122" s="3867"/>
      <c r="H122" s="3867"/>
      <c r="I122" s="3867"/>
      <c r="J122" s="3867"/>
      <c r="K122" s="3867"/>
      <c r="L122" s="3867"/>
      <c r="M122" s="3891"/>
      <c r="O122" s="3437"/>
    </row>
    <row r="123" spans="2:15" ht="15.75" customHeight="1">
      <c r="B123" s="3748"/>
      <c r="C123" s="3892" t="s">
        <v>1415</v>
      </c>
      <c r="D123" s="386" t="s">
        <v>3920</v>
      </c>
      <c r="E123" s="386"/>
      <c r="F123" s="3867"/>
      <c r="G123" s="3867"/>
      <c r="H123" s="3867"/>
      <c r="I123" s="3867"/>
      <c r="J123" s="3867"/>
      <c r="K123" s="3867"/>
      <c r="L123" s="3867"/>
      <c r="M123" s="3891"/>
      <c r="O123" s="3437"/>
    </row>
    <row r="124" spans="2:15" ht="15.75" customHeight="1" thickBot="1">
      <c r="B124" s="3855"/>
      <c r="C124" s="3894"/>
      <c r="D124" s="3895"/>
      <c r="E124" s="3895"/>
      <c r="F124" s="3894"/>
      <c r="G124" s="3894"/>
      <c r="H124" s="3894"/>
      <c r="I124" s="3894"/>
      <c r="J124" s="3894"/>
      <c r="K124" s="3894"/>
      <c r="L124" s="3894"/>
      <c r="M124" s="3896"/>
      <c r="O124" s="3437"/>
    </row>
    <row r="125" spans="2:15" ht="15.75" customHeight="1">
      <c r="O125" s="3437"/>
    </row>
    <row r="126" spans="2:15" ht="15.75" customHeight="1">
      <c r="B126" s="2776" t="s">
        <v>3921</v>
      </c>
      <c r="O126" s="3437"/>
    </row>
    <row r="127" spans="2:15" ht="5.25" customHeight="1">
      <c r="O127" s="3437"/>
    </row>
    <row r="128" spans="2:15">
      <c r="O128" s="3437"/>
    </row>
    <row r="129" spans="2:13" ht="14.25" customHeight="1"/>
    <row r="130" spans="2:13" ht="14.25" customHeight="1">
      <c r="B130" s="3748"/>
      <c r="C130" s="3892" t="s">
        <v>143</v>
      </c>
      <c r="D130" s="386" t="s">
        <v>3914</v>
      </c>
      <c r="E130" s="386"/>
      <c r="F130" s="3867"/>
      <c r="G130" s="3867"/>
      <c r="H130" s="3867"/>
      <c r="I130" s="3867"/>
      <c r="J130" s="3867"/>
      <c r="K130" s="3867"/>
      <c r="L130" s="3867"/>
      <c r="M130" s="3891"/>
    </row>
    <row r="131" spans="2:13" ht="14.25" customHeight="1">
      <c r="B131" s="3748"/>
      <c r="C131" s="3893"/>
      <c r="D131" s="386" t="s">
        <v>3915</v>
      </c>
      <c r="E131" s="386"/>
      <c r="F131" s="3867"/>
      <c r="G131" s="3867"/>
      <c r="H131" s="3867"/>
      <c r="I131" s="3867"/>
      <c r="J131" s="3867"/>
      <c r="K131" s="3867"/>
      <c r="L131" s="3867"/>
      <c r="M131" s="3891"/>
    </row>
    <row r="132" spans="2:13" ht="14.25" customHeight="1">
      <c r="B132" s="3748"/>
      <c r="C132" s="3892" t="s">
        <v>144</v>
      </c>
      <c r="D132" s="386" t="s">
        <v>3916</v>
      </c>
      <c r="E132" s="386"/>
      <c r="F132" s="3867"/>
      <c r="G132" s="3867"/>
      <c r="H132" s="3867"/>
      <c r="I132" s="3867"/>
      <c r="J132" s="3867"/>
      <c r="K132" s="3867"/>
      <c r="L132" s="3867"/>
      <c r="M132" s="3891"/>
    </row>
    <row r="133" spans="2:13" ht="14.25" customHeight="1">
      <c r="B133" s="3748"/>
      <c r="C133" s="3867"/>
      <c r="D133" s="386" t="s">
        <v>3917</v>
      </c>
      <c r="E133" s="386"/>
      <c r="F133" s="3867"/>
      <c r="G133" s="3867"/>
      <c r="H133" s="3867"/>
      <c r="I133" s="3867"/>
      <c r="J133" s="3867"/>
      <c r="K133" s="3867"/>
      <c r="L133" s="3867"/>
      <c r="M133" s="3891"/>
    </row>
    <row r="134" spans="2:13" ht="14.25" customHeight="1">
      <c r="B134" s="3748"/>
      <c r="C134" s="3892" t="s">
        <v>145</v>
      </c>
      <c r="D134" s="386" t="s">
        <v>3918</v>
      </c>
      <c r="E134" s="386"/>
      <c r="F134" s="3867"/>
      <c r="G134" s="3867"/>
      <c r="H134" s="3867"/>
      <c r="I134" s="3867"/>
      <c r="J134" s="3867"/>
      <c r="K134" s="3867"/>
      <c r="L134" s="3867"/>
      <c r="M134" s="3891"/>
    </row>
    <row r="135" spans="2:13" ht="14.25" customHeight="1">
      <c r="B135" s="3748"/>
      <c r="C135" s="3867"/>
      <c r="D135" s="386" t="s">
        <v>3919</v>
      </c>
      <c r="E135" s="386"/>
      <c r="F135" s="3867"/>
      <c r="G135" s="3867"/>
      <c r="H135" s="3867"/>
      <c r="I135" s="3867"/>
      <c r="J135" s="3867"/>
      <c r="K135" s="3867"/>
      <c r="L135" s="3867"/>
      <c r="M135" s="3891"/>
    </row>
    <row r="136" spans="2:13" ht="14.25" customHeight="1">
      <c r="B136" s="3748"/>
      <c r="C136" s="3892" t="s">
        <v>1415</v>
      </c>
      <c r="D136" s="386" t="s">
        <v>3920</v>
      </c>
      <c r="E136" s="386"/>
      <c r="F136" s="3867"/>
      <c r="G136" s="3867"/>
      <c r="H136" s="3867"/>
      <c r="I136" s="3867"/>
      <c r="J136" s="3867"/>
      <c r="K136" s="3867"/>
      <c r="L136" s="3867"/>
      <c r="M136" s="3891"/>
    </row>
    <row r="137" spans="2:13" ht="14.1" customHeight="1" thickBot="1">
      <c r="B137" s="3855"/>
      <c r="C137" s="3894"/>
      <c r="D137" s="3895"/>
      <c r="E137" s="3895"/>
      <c r="F137" s="3894"/>
      <c r="G137" s="3894"/>
      <c r="H137" s="3894"/>
      <c r="I137" s="3894"/>
      <c r="J137" s="3894"/>
      <c r="K137" s="3894"/>
      <c r="L137" s="3894"/>
      <c r="M137" s="3896"/>
    </row>
    <row r="138" spans="2:13" ht="14.1" customHeight="1"/>
    <row r="139" spans="2:13" ht="14.1" customHeight="1"/>
    <row r="140" spans="2:13" ht="14.1" customHeight="1"/>
    <row r="141" spans="2:13" ht="14.1" customHeight="1"/>
    <row r="142" spans="2:13" ht="14.1" customHeight="1"/>
    <row r="143" spans="2:13" ht="14.1" customHeight="1"/>
    <row r="144" spans="2:13" ht="14.1" customHeight="1"/>
    <row r="145" ht="14.1" customHeight="1"/>
    <row r="146" ht="14.1" customHeight="1"/>
    <row r="147" ht="14.1" customHeight="1"/>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sheetData>
  <mergeCells count="47">
    <mergeCell ref="L29:M29"/>
    <mergeCell ref="B30:C30"/>
    <mergeCell ref="L32:M32"/>
    <mergeCell ref="G35:M35"/>
    <mergeCell ref="C41:H41"/>
    <mergeCell ref="J41:M41"/>
    <mergeCell ref="L1:M1"/>
    <mergeCell ref="L2:M2"/>
    <mergeCell ref="K9:L9"/>
    <mergeCell ref="K10:L10"/>
    <mergeCell ref="K13:L13"/>
    <mergeCell ref="K17:M18"/>
    <mergeCell ref="B17:B18"/>
    <mergeCell ref="F17:G17"/>
    <mergeCell ref="H17:H18"/>
    <mergeCell ref="I17:I18"/>
    <mergeCell ref="J17:J18"/>
    <mergeCell ref="B24:B25"/>
    <mergeCell ref="C24:E24"/>
    <mergeCell ref="G24:I24"/>
    <mergeCell ref="J24:K24"/>
    <mergeCell ref="L24:M25"/>
    <mergeCell ref="G111:H111"/>
    <mergeCell ref="G112:H112"/>
    <mergeCell ref="I67:M69"/>
    <mergeCell ref="D75:K77"/>
    <mergeCell ref="D100:E100"/>
    <mergeCell ref="F100:K100"/>
    <mergeCell ref="D101:K101"/>
    <mergeCell ref="B46:M46"/>
    <mergeCell ref="G49:J49"/>
    <mergeCell ref="K49:M49"/>
    <mergeCell ref="C53:H53"/>
    <mergeCell ref="I53:M53"/>
    <mergeCell ref="G110:H110"/>
    <mergeCell ref="B63:C63"/>
    <mergeCell ref="F63:G63"/>
    <mergeCell ref="H63:M63"/>
    <mergeCell ref="H64:I64"/>
    <mergeCell ref="K64:L64"/>
    <mergeCell ref="B68:C68"/>
    <mergeCell ref="B69:C69"/>
    <mergeCell ref="B66:C66"/>
    <mergeCell ref="B67:C67"/>
    <mergeCell ref="B64:C64"/>
    <mergeCell ref="B65:C65"/>
    <mergeCell ref="I65:M66"/>
  </mergeCells>
  <dataValidations count="5">
    <dataValidation type="list" allowBlank="1" showInputMessage="1" showErrorMessage="1" sqref="C23 C34" xr:uid="{B070116F-8060-46B5-BB76-E8E7ED692F3E}">
      <formula1>$R$13:$R$14</formula1>
    </dataValidation>
    <dataValidation type="list" allowBlank="1" showInputMessage="1" showErrorMessage="1" sqref="J29:K29" xr:uid="{1820EC7C-2442-4662-A0E6-41BC7D3AF810}">
      <formula1>$V$8:$V$25</formula1>
    </dataValidation>
    <dataValidation type="list" allowBlank="1" showInputMessage="1" showErrorMessage="1" sqref="C29:E29" xr:uid="{B68DEC7C-1468-4FB2-9EBF-5791D6DE0429}">
      <formula1>$O$93:$O$348</formula1>
    </dataValidation>
    <dataValidation type="list" allowBlank="1" showInputMessage="1" showErrorMessage="1" sqref="F29" xr:uid="{DF253132-405E-4516-B072-9F4F3E07A624}">
      <formula1>$R$24:$R$28</formula1>
    </dataValidation>
    <dataValidation type="list" allowBlank="1" showInputMessage="1" showErrorMessage="1" sqref="B29" xr:uid="{F92520DC-3C20-473B-B017-493565039F11}">
      <formula1>$Y$9:$Y$21</formula1>
    </dataValidation>
  </dataValidations>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66FFFF"/>
  </sheetPr>
  <dimension ref="A1:GW67"/>
  <sheetViews>
    <sheetView zoomScale="70" zoomScaleNormal="70" workbookViewId="0">
      <pane xSplit="6" ySplit="4" topLeftCell="G5" activePane="bottomRight" state="frozen"/>
      <selection activeCell="C9" sqref="A9:H597"/>
      <selection pane="topRight" activeCell="C9" sqref="A9:H597"/>
      <selection pane="bottomLeft" activeCell="C9" sqref="A9:H597"/>
      <selection pane="bottomRight" sqref="A1:XFD1048576"/>
    </sheetView>
  </sheetViews>
  <sheetFormatPr defaultColWidth="9" defaultRowHeight="15" outlineLevelCol="1"/>
  <cols>
    <col min="1" max="1" width="9" style="3480"/>
    <col min="2" max="2" width="27.42578125" style="3481" customWidth="1"/>
    <col min="3" max="3" width="23" style="3481" customWidth="1"/>
    <col min="4" max="4" width="7.42578125" style="3482" hidden="1" customWidth="1" outlineLevel="1"/>
    <col min="5" max="5" width="7" style="3482" hidden="1" customWidth="1" outlineLevel="1"/>
    <col min="6" max="6" width="6.42578125" style="3482" hidden="1" customWidth="1" outlineLevel="1"/>
    <col min="7" max="8" width="9.85546875" style="3482" hidden="1" customWidth="1" outlineLevel="1"/>
    <col min="9" max="9" width="10.5703125" style="3482" hidden="1" customWidth="1" outlineLevel="1"/>
    <col min="10" max="12" width="6.42578125" style="3482" hidden="1" customWidth="1" outlineLevel="1"/>
    <col min="13" max="13" width="6.42578125" style="3478" hidden="1" customWidth="1" outlineLevel="1"/>
    <col min="14" max="15" width="6.42578125" style="3482" hidden="1" customWidth="1" outlineLevel="1"/>
    <col min="16" max="16" width="9.7109375" style="3482" hidden="1" customWidth="1" outlineLevel="1"/>
    <col min="17" max="17" width="9.42578125" style="3482" hidden="1" customWidth="1" outlineLevel="1"/>
    <col min="18" max="18" width="14.7109375" style="3481" hidden="1" customWidth="1" outlineLevel="1"/>
    <col min="19" max="21" width="14.42578125" style="3481" hidden="1" customWidth="1" outlineLevel="1"/>
    <col min="22" max="22" width="14.42578125" style="3482" hidden="1" customWidth="1" outlineLevel="1"/>
    <col min="23" max="23" width="15" style="3481" hidden="1" customWidth="1" outlineLevel="1"/>
    <col min="24" max="24" width="9" style="3481" hidden="1" customWidth="1" outlineLevel="1"/>
    <col min="25" max="27" width="9" style="3482" hidden="1" customWidth="1" outlineLevel="1"/>
    <col min="28" max="28" width="9" style="3481" hidden="1" customWidth="1" outlineLevel="1"/>
    <col min="29" max="29" width="19" style="3481" hidden="1" customWidth="1" outlineLevel="1"/>
    <col min="30" max="30" width="12" style="3482" hidden="1" customWidth="1" outlineLevel="1"/>
    <col min="31" max="31" width="6.42578125" style="3481" hidden="1" customWidth="1" outlineLevel="1"/>
    <col min="32" max="32" width="10.28515625" style="3483" hidden="1" customWidth="1" outlineLevel="1"/>
    <col min="33" max="33" width="13.5703125" style="3481" hidden="1" customWidth="1" outlineLevel="1"/>
    <col min="34" max="35" width="13.5703125" style="3482" hidden="1" customWidth="1" outlineLevel="1"/>
    <col min="36" max="36" width="13.5703125" style="3481" hidden="1" customWidth="1" outlineLevel="1"/>
    <col min="37" max="37" width="43.85546875" style="3482" hidden="1" customWidth="1" outlineLevel="1"/>
    <col min="38" max="38" width="13" style="3482" hidden="1" customWidth="1" outlineLevel="1"/>
    <col min="39" max="39" width="10.7109375" style="3481" hidden="1" customWidth="1" outlineLevel="1"/>
    <col min="40" max="41" width="11.7109375" style="3481" hidden="1" customWidth="1" outlineLevel="1"/>
    <col min="42" max="42" width="10.7109375" style="3481" hidden="1" customWidth="1" outlineLevel="1"/>
    <col min="43" max="43" width="12.85546875" style="3481" hidden="1" customWidth="1" outlineLevel="1"/>
    <col min="44" max="44" width="9.85546875" style="3481" hidden="1" customWidth="1" outlineLevel="1"/>
    <col min="45" max="45" width="7" style="3481" customWidth="1" collapsed="1"/>
    <col min="46" max="122" width="7" style="3481" customWidth="1"/>
    <col min="123" max="123" width="6.7109375" style="3481"/>
    <col min="124" max="124" width="7" style="3481" customWidth="1"/>
    <col min="125" max="125" width="7" style="3560" customWidth="1"/>
    <col min="126" max="127" width="7" style="3481" customWidth="1"/>
    <col min="128" max="128" width="7" style="3560" customWidth="1"/>
    <col min="129" max="130" width="7" style="3481" customWidth="1"/>
    <col min="131" max="131" width="7" style="3560" customWidth="1"/>
    <col min="132" max="132" width="7" style="3481" customWidth="1"/>
    <col min="133" max="133" width="6.7109375" style="3481"/>
    <col min="134" max="134" width="7" style="3481" customWidth="1"/>
    <col min="135" max="135" width="7" style="3560" customWidth="1"/>
    <col min="136" max="137" width="7" style="3481" customWidth="1"/>
    <col min="138" max="138" width="7" style="3560" customWidth="1"/>
    <col min="139" max="140" width="7" style="3481" customWidth="1"/>
    <col min="141" max="141" width="7" style="3560" customWidth="1"/>
    <col min="142" max="143" width="7" style="3481" customWidth="1"/>
    <col min="144" max="144" width="7" style="3560" customWidth="1"/>
    <col min="145" max="145" width="7" style="3481" customWidth="1"/>
    <col min="146" max="146" width="6.7109375" style="3481"/>
    <col min="147" max="147" width="7" style="3481" customWidth="1"/>
    <col min="148" max="148" width="7" style="3560" customWidth="1"/>
    <col min="149" max="149" width="7" style="3481" customWidth="1"/>
    <col min="150" max="150" width="7" style="3560" customWidth="1"/>
    <col min="151" max="151" width="1.85546875" style="3481" customWidth="1"/>
    <col min="152" max="152" width="7" style="3481" customWidth="1"/>
    <col min="153" max="153" width="7" style="3560" customWidth="1"/>
    <col min="154" max="154" width="7" style="3481" customWidth="1"/>
    <col min="155" max="155" width="7" style="3560" customWidth="1"/>
    <col min="156" max="156" width="2" style="3481" customWidth="1"/>
    <col min="157" max="157" width="7" style="3481" customWidth="1"/>
    <col min="158" max="158" width="7" style="3560" customWidth="1"/>
    <col min="159" max="159" width="8" style="3481" customWidth="1"/>
    <col min="160" max="160" width="7" style="3560" customWidth="1"/>
    <col min="161" max="161" width="6.7109375" style="3481"/>
    <col min="162" max="177" width="7" style="3481" customWidth="1"/>
    <col min="178" max="178" width="6.7109375" style="3481"/>
    <col min="179" max="197" width="7" style="3481" customWidth="1"/>
    <col min="198" max="205" width="9" style="3481"/>
    <col min="206" max="16384" width="9" style="3414"/>
  </cols>
  <sheetData>
    <row r="1" spans="1:205" s="3413" customFormat="1">
      <c r="A1" s="3478"/>
      <c r="B1" s="3478">
        <v>2</v>
      </c>
      <c r="C1" s="3478"/>
      <c r="D1" s="3478">
        <v>4</v>
      </c>
      <c r="E1" s="3478">
        <v>5</v>
      </c>
      <c r="F1" s="3478">
        <v>6</v>
      </c>
      <c r="G1" s="3478">
        <v>7</v>
      </c>
      <c r="H1" s="3478">
        <v>8</v>
      </c>
      <c r="I1" s="3478">
        <v>9</v>
      </c>
      <c r="J1" s="3478">
        <v>10</v>
      </c>
      <c r="K1" s="3478">
        <v>11</v>
      </c>
      <c r="L1" s="3478">
        <v>12</v>
      </c>
      <c r="M1" s="3478">
        <v>13</v>
      </c>
      <c r="N1" s="3478">
        <v>14</v>
      </c>
      <c r="O1" s="3478">
        <v>15</v>
      </c>
      <c r="P1" s="3478">
        <v>16</v>
      </c>
      <c r="Q1" s="3478">
        <v>17</v>
      </c>
      <c r="R1" s="3478">
        <v>18</v>
      </c>
      <c r="S1" s="3478">
        <v>19</v>
      </c>
      <c r="T1" s="3478">
        <v>20</v>
      </c>
      <c r="U1" s="3478">
        <v>21</v>
      </c>
      <c r="V1" s="3478">
        <v>22</v>
      </c>
      <c r="W1" s="3478">
        <v>23</v>
      </c>
      <c r="X1" s="3478">
        <v>24</v>
      </c>
      <c r="Y1" s="3478">
        <v>25</v>
      </c>
      <c r="Z1" s="3478">
        <v>26</v>
      </c>
      <c r="AA1" s="3478">
        <v>27</v>
      </c>
      <c r="AB1" s="3478">
        <v>28</v>
      </c>
      <c r="AC1" s="3478">
        <v>29</v>
      </c>
      <c r="AD1" s="3478">
        <v>30</v>
      </c>
      <c r="AE1" s="3478">
        <v>31</v>
      </c>
      <c r="AF1" s="3478">
        <v>32</v>
      </c>
      <c r="AG1" s="3478">
        <v>33</v>
      </c>
      <c r="AH1" s="3478">
        <v>34</v>
      </c>
      <c r="AI1" s="3478">
        <v>35</v>
      </c>
      <c r="AJ1" s="3478">
        <v>36</v>
      </c>
      <c r="AK1" s="3478">
        <v>37</v>
      </c>
      <c r="AL1" s="3478">
        <v>38</v>
      </c>
      <c r="AM1" s="3478">
        <v>39</v>
      </c>
      <c r="AN1" s="3478">
        <v>40</v>
      </c>
      <c r="AO1" s="3478">
        <v>41</v>
      </c>
      <c r="AP1" s="3478">
        <v>42</v>
      </c>
      <c r="AQ1" s="3478">
        <v>43</v>
      </c>
      <c r="AR1" s="3478">
        <v>44</v>
      </c>
      <c r="AS1" s="3478">
        <v>45</v>
      </c>
      <c r="AT1" s="3478">
        <v>46</v>
      </c>
      <c r="AU1" s="3478">
        <v>47</v>
      </c>
      <c r="AV1" s="3478">
        <v>48</v>
      </c>
      <c r="AW1" s="3478">
        <v>49</v>
      </c>
      <c r="AX1" s="3478">
        <v>50</v>
      </c>
      <c r="AY1" s="3478">
        <v>51</v>
      </c>
      <c r="AZ1" s="3478">
        <v>52</v>
      </c>
      <c r="BA1" s="3478">
        <v>53</v>
      </c>
      <c r="BB1" s="3478">
        <v>54</v>
      </c>
      <c r="BC1" s="3478">
        <v>55</v>
      </c>
      <c r="BD1" s="3478">
        <v>56</v>
      </c>
      <c r="BE1" s="3478">
        <v>57</v>
      </c>
      <c r="BF1" s="3478">
        <v>58</v>
      </c>
      <c r="BG1" s="3478">
        <v>59</v>
      </c>
      <c r="BH1" s="3478">
        <v>60</v>
      </c>
      <c r="BI1" s="3478"/>
      <c r="BJ1" s="3478"/>
      <c r="BK1" s="3478">
        <v>63</v>
      </c>
      <c r="BL1" s="3478">
        <v>64</v>
      </c>
      <c r="BM1" s="3478">
        <v>65</v>
      </c>
      <c r="BN1" s="3478">
        <v>66</v>
      </c>
      <c r="BO1" s="3478">
        <v>67</v>
      </c>
      <c r="BP1" s="3478">
        <v>68</v>
      </c>
      <c r="BQ1" s="3478">
        <v>69</v>
      </c>
      <c r="BR1" s="3478">
        <v>70</v>
      </c>
      <c r="BS1" s="3478">
        <v>71</v>
      </c>
      <c r="BT1" s="3478">
        <v>72</v>
      </c>
      <c r="BU1" s="3478">
        <v>73</v>
      </c>
      <c r="BV1" s="3478">
        <v>74</v>
      </c>
      <c r="BW1" s="3478">
        <v>75</v>
      </c>
      <c r="BX1" s="3478">
        <v>76</v>
      </c>
      <c r="BY1" s="3478">
        <v>77</v>
      </c>
      <c r="BZ1" s="3478">
        <v>78</v>
      </c>
      <c r="CA1" s="3478">
        <v>79</v>
      </c>
      <c r="CB1" s="3478">
        <v>80</v>
      </c>
      <c r="CC1" s="3478">
        <v>81</v>
      </c>
      <c r="CD1" s="3478">
        <v>82</v>
      </c>
      <c r="CE1" s="3478">
        <v>83</v>
      </c>
      <c r="CF1" s="3478">
        <v>84</v>
      </c>
      <c r="CG1" s="3478">
        <v>85</v>
      </c>
      <c r="CH1" s="3478">
        <v>86</v>
      </c>
      <c r="CI1" s="3478">
        <v>87</v>
      </c>
      <c r="CJ1" s="3478">
        <v>88</v>
      </c>
      <c r="CK1" s="3478">
        <v>89</v>
      </c>
      <c r="CL1" s="3478">
        <v>90</v>
      </c>
      <c r="CM1" s="3478">
        <v>91</v>
      </c>
      <c r="CN1" s="3478">
        <v>92</v>
      </c>
      <c r="CO1" s="3478">
        <v>93</v>
      </c>
      <c r="CP1" s="3478">
        <v>94</v>
      </c>
      <c r="CQ1" s="3478">
        <v>95</v>
      </c>
      <c r="CR1" s="3478">
        <v>96</v>
      </c>
      <c r="CS1" s="3478">
        <v>97</v>
      </c>
      <c r="CT1" s="3478">
        <v>98</v>
      </c>
      <c r="CU1" s="3478">
        <v>99</v>
      </c>
      <c r="CV1" s="3478">
        <v>100</v>
      </c>
      <c r="CW1" s="3478">
        <v>101</v>
      </c>
      <c r="CX1" s="3478">
        <v>102</v>
      </c>
      <c r="CY1" s="3478">
        <v>103</v>
      </c>
      <c r="CZ1" s="3478">
        <v>104</v>
      </c>
      <c r="DA1" s="3478">
        <v>105</v>
      </c>
      <c r="DB1" s="3478">
        <v>106</v>
      </c>
      <c r="DC1" s="3478">
        <v>107</v>
      </c>
      <c r="DD1" s="3478">
        <v>108</v>
      </c>
      <c r="DE1" s="3478">
        <v>109</v>
      </c>
      <c r="DF1" s="3478">
        <v>110</v>
      </c>
      <c r="DG1" s="3478">
        <v>111</v>
      </c>
      <c r="DH1" s="3478">
        <v>112</v>
      </c>
      <c r="DI1" s="3478">
        <v>113</v>
      </c>
      <c r="DJ1" s="3478">
        <v>114</v>
      </c>
      <c r="DK1" s="3478">
        <v>115</v>
      </c>
      <c r="DL1" s="3478">
        <v>116</v>
      </c>
      <c r="DM1" s="3478">
        <v>58</v>
      </c>
      <c r="DN1" s="3478">
        <v>118</v>
      </c>
      <c r="DO1" s="3478">
        <v>119</v>
      </c>
      <c r="DP1" s="3478">
        <v>120</v>
      </c>
      <c r="DQ1" s="3478">
        <v>58</v>
      </c>
      <c r="DR1" s="3478">
        <v>122</v>
      </c>
      <c r="DS1" s="3478">
        <v>58</v>
      </c>
      <c r="DT1" s="3478">
        <v>124</v>
      </c>
      <c r="DU1" s="3479">
        <v>125</v>
      </c>
      <c r="DV1" s="3478">
        <v>126</v>
      </c>
      <c r="DW1" s="3478">
        <v>127</v>
      </c>
      <c r="DX1" s="3479"/>
      <c r="DY1" s="3478">
        <v>129</v>
      </c>
      <c r="DZ1" s="3478">
        <v>130</v>
      </c>
      <c r="EA1" s="3479">
        <v>131</v>
      </c>
      <c r="EB1" s="3478">
        <v>132</v>
      </c>
      <c r="EC1" s="3478"/>
      <c r="ED1" s="3478">
        <v>134</v>
      </c>
      <c r="EE1" s="3479">
        <v>135</v>
      </c>
      <c r="EF1" s="3478">
        <v>136</v>
      </c>
      <c r="EG1" s="3478">
        <v>137</v>
      </c>
      <c r="EH1" s="3479"/>
      <c r="EI1" s="3478">
        <v>139</v>
      </c>
      <c r="EJ1" s="3478">
        <v>140</v>
      </c>
      <c r="EK1" s="3479">
        <v>141</v>
      </c>
      <c r="EL1" s="3478">
        <v>142</v>
      </c>
      <c r="EM1" s="3478">
        <v>143</v>
      </c>
      <c r="EN1" s="3479">
        <v>144</v>
      </c>
      <c r="EO1" s="3478">
        <v>145</v>
      </c>
      <c r="EP1" s="3478"/>
      <c r="EQ1" s="3478">
        <v>147</v>
      </c>
      <c r="ER1" s="3479">
        <v>148</v>
      </c>
      <c r="ES1" s="3478">
        <v>149</v>
      </c>
      <c r="ET1" s="3479"/>
      <c r="EU1" s="3478"/>
      <c r="EV1" s="3478">
        <v>152</v>
      </c>
      <c r="EW1" s="3479">
        <v>153</v>
      </c>
      <c r="EX1" s="3478">
        <v>154</v>
      </c>
      <c r="EY1" s="3479"/>
      <c r="EZ1" s="3478"/>
      <c r="FA1" s="3478">
        <v>157</v>
      </c>
      <c r="FB1" s="3479">
        <v>158</v>
      </c>
      <c r="FC1" s="3478">
        <v>159</v>
      </c>
      <c r="FD1" s="3479"/>
      <c r="FE1" s="3478"/>
      <c r="FF1" s="3478">
        <v>162</v>
      </c>
      <c r="FG1" s="3478">
        <v>163</v>
      </c>
      <c r="FH1" s="3478">
        <v>164</v>
      </c>
      <c r="FI1" s="3478">
        <v>165</v>
      </c>
      <c r="FJ1" s="3478">
        <v>166</v>
      </c>
      <c r="FK1" s="3478">
        <v>167</v>
      </c>
      <c r="FL1" s="3478">
        <v>168</v>
      </c>
      <c r="FM1" s="3478">
        <v>169</v>
      </c>
      <c r="FN1" s="3478">
        <v>170</v>
      </c>
      <c r="FO1" s="3478">
        <v>171</v>
      </c>
      <c r="FP1" s="3478">
        <v>172</v>
      </c>
      <c r="FQ1" s="3478">
        <v>173</v>
      </c>
      <c r="FR1" s="3478">
        <v>174</v>
      </c>
      <c r="FS1" s="3478">
        <v>175</v>
      </c>
      <c r="FT1" s="3478">
        <v>176</v>
      </c>
      <c r="FU1" s="3478">
        <v>177</v>
      </c>
      <c r="FV1" s="3478"/>
      <c r="FW1" s="3478">
        <v>179</v>
      </c>
      <c r="FX1" s="3478">
        <v>180</v>
      </c>
      <c r="FY1" s="3478">
        <v>181</v>
      </c>
      <c r="FZ1" s="3478">
        <v>182</v>
      </c>
      <c r="GA1" s="3478">
        <v>183</v>
      </c>
      <c r="GB1" s="3478">
        <v>184</v>
      </c>
      <c r="GC1" s="3478">
        <v>185</v>
      </c>
      <c r="GD1" s="3478">
        <v>186</v>
      </c>
      <c r="GE1" s="3478"/>
      <c r="GF1" s="3478"/>
      <c r="GG1" s="3478"/>
      <c r="GH1" s="3478"/>
      <c r="GI1" s="3478"/>
      <c r="GJ1" s="3478"/>
      <c r="GK1" s="3478"/>
      <c r="GL1" s="3478"/>
      <c r="GM1" s="3478"/>
      <c r="GN1" s="3478"/>
      <c r="GO1" s="3478"/>
      <c r="GP1" s="3478"/>
      <c r="GQ1" s="3478"/>
      <c r="GR1" s="3478"/>
      <c r="GS1" s="3478"/>
      <c r="GT1" s="3478"/>
      <c r="GU1" s="3478"/>
      <c r="GV1" s="3478"/>
      <c r="GW1" s="3478"/>
    </row>
    <row r="2" spans="1:205" ht="15.75" thickBot="1">
      <c r="C2" s="3481" t="e">
        <v>#VALUE!</v>
      </c>
      <c r="AS2" s="3484" t="s">
        <v>3492</v>
      </c>
      <c r="AT2" s="3484" t="s">
        <v>3492</v>
      </c>
      <c r="AU2" s="3484" t="s">
        <v>3492</v>
      </c>
      <c r="AV2" s="3484" t="s">
        <v>3492</v>
      </c>
      <c r="AW2" s="3484" t="s">
        <v>3492</v>
      </c>
      <c r="AX2" s="3484" t="s">
        <v>3492</v>
      </c>
      <c r="AY2" s="3484" t="s">
        <v>3492</v>
      </c>
      <c r="AZ2" s="3484" t="s">
        <v>3492</v>
      </c>
      <c r="BA2" s="3484" t="s">
        <v>3492</v>
      </c>
      <c r="BB2" s="3484" t="s">
        <v>3492</v>
      </c>
      <c r="BC2" s="3484" t="s">
        <v>3492</v>
      </c>
      <c r="BD2" s="3484" t="s">
        <v>3492</v>
      </c>
      <c r="BE2" s="3484" t="s">
        <v>3492</v>
      </c>
      <c r="BF2" s="3484" t="s">
        <v>3492</v>
      </c>
      <c r="BG2" s="3484" t="s">
        <v>3492</v>
      </c>
      <c r="BH2" s="3484" t="s">
        <v>3492</v>
      </c>
      <c r="BI2" s="3484"/>
      <c r="BJ2" s="3484"/>
      <c r="BK2" s="3484" t="s">
        <v>3492</v>
      </c>
      <c r="BL2" s="3484" t="s">
        <v>3492</v>
      </c>
      <c r="BM2" s="3484" t="s">
        <v>3492</v>
      </c>
      <c r="BN2" s="3484" t="s">
        <v>3492</v>
      </c>
      <c r="BO2" s="3484" t="s">
        <v>3492</v>
      </c>
      <c r="BP2" s="3484" t="s">
        <v>3492</v>
      </c>
      <c r="BQ2" s="3484" t="s">
        <v>3492</v>
      </c>
      <c r="BR2" s="3484" t="s">
        <v>3492</v>
      </c>
      <c r="BS2" s="3484" t="s">
        <v>3492</v>
      </c>
      <c r="BT2" s="3484" t="s">
        <v>3492</v>
      </c>
      <c r="BU2" s="3484" t="s">
        <v>3492</v>
      </c>
      <c r="BV2" s="3484" t="s">
        <v>3492</v>
      </c>
      <c r="BW2" s="3484" t="s">
        <v>3492</v>
      </c>
      <c r="BX2" s="3484" t="s">
        <v>3492</v>
      </c>
      <c r="BY2" s="3484" t="s">
        <v>3492</v>
      </c>
      <c r="BZ2" s="3484" t="s">
        <v>3492</v>
      </c>
      <c r="CA2" s="3484" t="s">
        <v>3492</v>
      </c>
      <c r="CB2" s="3484" t="s">
        <v>3492</v>
      </c>
      <c r="CC2" s="3484" t="s">
        <v>3492</v>
      </c>
      <c r="CD2" s="3484" t="s">
        <v>3492</v>
      </c>
      <c r="CE2" s="3484" t="s">
        <v>3492</v>
      </c>
      <c r="CF2" s="3484" t="s">
        <v>3492</v>
      </c>
      <c r="CG2" s="3484" t="s">
        <v>3492</v>
      </c>
      <c r="CH2" s="3484" t="s">
        <v>3492</v>
      </c>
      <c r="CI2" s="3484" t="s">
        <v>3492</v>
      </c>
      <c r="CJ2" s="3484" t="s">
        <v>3492</v>
      </c>
      <c r="CK2" s="3484" t="s">
        <v>3492</v>
      </c>
      <c r="CL2" s="3484" t="s">
        <v>3492</v>
      </c>
      <c r="CM2" s="3484" t="s">
        <v>3492</v>
      </c>
      <c r="CN2" s="3484" t="s">
        <v>3492</v>
      </c>
      <c r="CO2" s="3484" t="s">
        <v>3492</v>
      </c>
      <c r="CP2" s="3484" t="s">
        <v>3492</v>
      </c>
      <c r="CQ2" s="3484" t="s">
        <v>3492</v>
      </c>
      <c r="CR2" s="3484" t="s">
        <v>3492</v>
      </c>
      <c r="CS2" s="3484" t="s">
        <v>3492</v>
      </c>
      <c r="CT2" s="3484" t="s">
        <v>3492</v>
      </c>
      <c r="CU2" s="3484" t="s">
        <v>3492</v>
      </c>
      <c r="CV2" s="3484" t="s">
        <v>3492</v>
      </c>
      <c r="CW2" s="3484" t="s">
        <v>3492</v>
      </c>
      <c r="CX2" s="3484" t="s">
        <v>3492</v>
      </c>
      <c r="CY2" s="3484" t="s">
        <v>3492</v>
      </c>
      <c r="CZ2" s="3484" t="s">
        <v>3492</v>
      </c>
      <c r="DA2" s="3485" t="s">
        <v>3492</v>
      </c>
      <c r="DB2" s="3485" t="s">
        <v>3492</v>
      </c>
      <c r="DC2" s="3485" t="s">
        <v>3492</v>
      </c>
      <c r="DD2" s="3485" t="s">
        <v>3492</v>
      </c>
      <c r="DE2" s="3485" t="s">
        <v>3492</v>
      </c>
      <c r="DF2" s="3485" t="s">
        <v>3492</v>
      </c>
      <c r="DG2" s="3485" t="s">
        <v>3492</v>
      </c>
      <c r="DH2" s="3485" t="s">
        <v>3492</v>
      </c>
      <c r="DI2" s="3485" t="s">
        <v>3492</v>
      </c>
      <c r="DJ2" s="3485" t="s">
        <v>3492</v>
      </c>
      <c r="DK2" s="3485" t="s">
        <v>3492</v>
      </c>
      <c r="DL2" s="3485" t="s">
        <v>3492</v>
      </c>
      <c r="DM2" s="3485" t="s">
        <v>3492</v>
      </c>
      <c r="DN2" s="3485" t="s">
        <v>3492</v>
      </c>
      <c r="DO2" s="3485" t="s">
        <v>3492</v>
      </c>
      <c r="DP2" s="3485" t="s">
        <v>3492</v>
      </c>
      <c r="DQ2" s="3485" t="s">
        <v>3492</v>
      </c>
      <c r="DR2" s="3485" t="s">
        <v>3492</v>
      </c>
      <c r="DT2" s="3484" t="s">
        <v>3492</v>
      </c>
      <c r="DU2" s="3486" t="s">
        <v>3492</v>
      </c>
      <c r="DV2" s="3484" t="s">
        <v>3492</v>
      </c>
      <c r="DW2" s="3484" t="s">
        <v>3492</v>
      </c>
      <c r="DX2" s="3486"/>
      <c r="DY2" s="3484" t="s">
        <v>3492</v>
      </c>
      <c r="DZ2" s="3484" t="s">
        <v>3492</v>
      </c>
      <c r="EA2" s="3486" t="s">
        <v>3492</v>
      </c>
      <c r="EB2" s="3484" t="s">
        <v>3492</v>
      </c>
      <c r="ED2" s="3484" t="s">
        <v>3492</v>
      </c>
      <c r="EE2" s="3486" t="s">
        <v>3492</v>
      </c>
      <c r="EF2" s="3484" t="s">
        <v>3492</v>
      </c>
      <c r="EG2" s="3484" t="s">
        <v>3492</v>
      </c>
      <c r="EH2" s="3486"/>
      <c r="EI2" s="3484" t="s">
        <v>3492</v>
      </c>
      <c r="EJ2" s="3484" t="s">
        <v>3492</v>
      </c>
      <c r="EK2" s="3486" t="s">
        <v>3492</v>
      </c>
      <c r="EL2" s="3484" t="s">
        <v>3492</v>
      </c>
      <c r="EM2" s="3484" t="s">
        <v>3492</v>
      </c>
      <c r="EN2" s="3486" t="s">
        <v>3492</v>
      </c>
      <c r="EO2" s="3484" t="s">
        <v>3492</v>
      </c>
      <c r="EQ2" s="3484" t="s">
        <v>3492</v>
      </c>
      <c r="ER2" s="3486" t="s">
        <v>3492</v>
      </c>
      <c r="ES2" s="3484" t="s">
        <v>3492</v>
      </c>
      <c r="ET2" s="3486"/>
      <c r="EV2" s="3484" t="s">
        <v>3492</v>
      </c>
      <c r="EW2" s="3486" t="s">
        <v>3492</v>
      </c>
      <c r="EX2" s="3484" t="s">
        <v>3492</v>
      </c>
      <c r="EY2" s="3486"/>
      <c r="FA2" s="3484" t="s">
        <v>3492</v>
      </c>
      <c r="FB2" s="3486" t="s">
        <v>3492</v>
      </c>
      <c r="FC2" s="3484" t="s">
        <v>3492</v>
      </c>
      <c r="FD2" s="3486"/>
      <c r="FF2" s="3484" t="s">
        <v>3492</v>
      </c>
      <c r="FG2" s="3484" t="s">
        <v>3492</v>
      </c>
      <c r="FH2" s="3484" t="s">
        <v>3492</v>
      </c>
      <c r="FI2" s="3484" t="s">
        <v>3492</v>
      </c>
      <c r="FJ2" s="3484" t="s">
        <v>3492</v>
      </c>
      <c r="FK2" s="3484" t="s">
        <v>3492</v>
      </c>
      <c r="FL2" s="3484" t="s">
        <v>3492</v>
      </c>
      <c r="FM2" s="3484" t="s">
        <v>3492</v>
      </c>
      <c r="FN2" s="3484" t="s">
        <v>3492</v>
      </c>
      <c r="FO2" s="3484" t="s">
        <v>3492</v>
      </c>
      <c r="FP2" s="3484" t="s">
        <v>3492</v>
      </c>
      <c r="FQ2" s="3484" t="s">
        <v>3492</v>
      </c>
      <c r="FR2" s="3484" t="s">
        <v>3492</v>
      </c>
      <c r="FS2" s="3484" t="s">
        <v>3492</v>
      </c>
      <c r="FT2" s="3484" t="s">
        <v>3492</v>
      </c>
      <c r="FU2" s="3484" t="s">
        <v>3492</v>
      </c>
      <c r="FW2" s="3484" t="s">
        <v>3492</v>
      </c>
      <c r="FX2" s="3484" t="s">
        <v>3492</v>
      </c>
      <c r="FY2" s="3484" t="s">
        <v>3492</v>
      </c>
      <c r="FZ2" s="3484" t="s">
        <v>3492</v>
      </c>
      <c r="GA2" s="3484" t="s">
        <v>3492</v>
      </c>
      <c r="GB2" s="3484" t="s">
        <v>3492</v>
      </c>
      <c r="GC2" s="3484" t="s">
        <v>3492</v>
      </c>
      <c r="GD2" s="3484" t="s">
        <v>3492</v>
      </c>
      <c r="GE2" s="3484"/>
      <c r="GF2" s="3484" t="s">
        <v>3492</v>
      </c>
      <c r="GG2" s="3484" t="s">
        <v>3492</v>
      </c>
      <c r="GH2" s="3484" t="s">
        <v>3492</v>
      </c>
      <c r="GI2" s="3484" t="s">
        <v>3492</v>
      </c>
      <c r="GJ2" s="3484" t="s">
        <v>3492</v>
      </c>
      <c r="GK2" s="3484" t="s">
        <v>3492</v>
      </c>
      <c r="GL2" s="3484"/>
      <c r="GM2" s="3484"/>
      <c r="GN2" s="3484"/>
      <c r="GO2" s="3484"/>
    </row>
    <row r="3" spans="1:205" s="3415" customFormat="1" ht="30.75" customHeight="1" thickBot="1">
      <c r="A3" s="3480"/>
      <c r="B3" s="3601" t="s">
        <v>3493</v>
      </c>
      <c r="C3" s="3601"/>
      <c r="D3" s="3601" t="s">
        <v>3493</v>
      </c>
      <c r="E3" s="3601" t="s">
        <v>3493</v>
      </c>
      <c r="F3" s="3601" t="s">
        <v>3493</v>
      </c>
      <c r="G3" s="3601" t="s">
        <v>3494</v>
      </c>
      <c r="H3" s="3601" t="s">
        <v>3494</v>
      </c>
      <c r="I3" s="3602" t="s">
        <v>3492</v>
      </c>
      <c r="J3" s="3602" t="s">
        <v>3492</v>
      </c>
      <c r="K3" s="3602" t="s">
        <v>3492</v>
      </c>
      <c r="L3" s="3602" t="s">
        <v>3492</v>
      </c>
      <c r="M3" s="3603" t="s">
        <v>3495</v>
      </c>
      <c r="N3" s="3602" t="s">
        <v>3492</v>
      </c>
      <c r="O3" s="3602" t="s">
        <v>3492</v>
      </c>
      <c r="P3" s="3602" t="s">
        <v>3492</v>
      </c>
      <c r="Q3" s="3602" t="s">
        <v>3492</v>
      </c>
      <c r="R3" s="3601" t="s">
        <v>3493</v>
      </c>
      <c r="S3" s="3601" t="s">
        <v>3493</v>
      </c>
      <c r="T3" s="3604" t="s">
        <v>3495</v>
      </c>
      <c r="U3" s="3604" t="s">
        <v>3495</v>
      </c>
      <c r="V3" s="3604" t="s">
        <v>3495</v>
      </c>
      <c r="W3" s="3601" t="s">
        <v>3493</v>
      </c>
      <c r="X3" s="3601" t="s">
        <v>3493</v>
      </c>
      <c r="Y3" s="3604" t="s">
        <v>3495</v>
      </c>
      <c r="Z3" s="3604" t="s">
        <v>3495</v>
      </c>
      <c r="AA3" s="3604" t="s">
        <v>3495</v>
      </c>
      <c r="AB3" s="3601" t="s">
        <v>3493</v>
      </c>
      <c r="AC3" s="3602" t="s">
        <v>3496</v>
      </c>
      <c r="AD3" s="3602" t="s">
        <v>3496</v>
      </c>
      <c r="AE3" s="3601" t="s">
        <v>3493</v>
      </c>
      <c r="AF3" s="3605" t="s">
        <v>3497</v>
      </c>
      <c r="AG3" s="3601" t="s">
        <v>3493</v>
      </c>
      <c r="AH3" s="3602" t="s">
        <v>3492</v>
      </c>
      <c r="AI3" s="3602" t="s">
        <v>3492</v>
      </c>
      <c r="AJ3" s="3602" t="s">
        <v>3492</v>
      </c>
      <c r="AK3" s="3602" t="s">
        <v>3492</v>
      </c>
      <c r="AL3" s="3601" t="s">
        <v>3493</v>
      </c>
      <c r="AM3" s="3606" t="s">
        <v>3493</v>
      </c>
      <c r="AN3" s="3563" t="s">
        <v>3493</v>
      </c>
      <c r="AO3" s="3607"/>
      <c r="AP3" s="3607"/>
      <c r="AQ3" s="3607"/>
      <c r="AR3" s="3487"/>
      <c r="AS3" s="3416" t="s">
        <v>28</v>
      </c>
      <c r="AT3" s="3417" t="s">
        <v>28</v>
      </c>
      <c r="AU3" s="3416" t="s">
        <v>1474</v>
      </c>
      <c r="AV3" s="3417" t="s">
        <v>1474</v>
      </c>
      <c r="AW3" s="3416" t="s">
        <v>172</v>
      </c>
      <c r="AX3" s="3417" t="s">
        <v>172</v>
      </c>
      <c r="AY3" s="3416" t="s">
        <v>171</v>
      </c>
      <c r="AZ3" s="3417" t="s">
        <v>171</v>
      </c>
      <c r="BA3" s="3416" t="s">
        <v>1475</v>
      </c>
      <c r="BB3" s="3417" t="s">
        <v>1475</v>
      </c>
      <c r="BC3" s="3416" t="s">
        <v>1142</v>
      </c>
      <c r="BD3" s="3417" t="s">
        <v>1142</v>
      </c>
      <c r="BE3" s="3416" t="s">
        <v>3498</v>
      </c>
      <c r="BF3" s="3417" t="s">
        <v>3498</v>
      </c>
      <c r="BG3" s="3416" t="s">
        <v>223</v>
      </c>
      <c r="BH3" s="3417" t="s">
        <v>223</v>
      </c>
      <c r="BI3" s="3419" t="s">
        <v>1899</v>
      </c>
      <c r="BJ3" s="3419" t="s">
        <v>1899</v>
      </c>
      <c r="BK3" s="3416" t="s">
        <v>2341</v>
      </c>
      <c r="BL3" s="3417" t="s">
        <v>2341</v>
      </c>
      <c r="BM3" s="3416" t="s">
        <v>1476</v>
      </c>
      <c r="BN3" s="3417" t="s">
        <v>1476</v>
      </c>
      <c r="BO3" s="3416" t="s">
        <v>1476</v>
      </c>
      <c r="BP3" s="3417" t="s">
        <v>1476</v>
      </c>
      <c r="BQ3" s="3416" t="s">
        <v>1476</v>
      </c>
      <c r="BR3" s="3417" t="s">
        <v>1476</v>
      </c>
      <c r="BS3" s="3416" t="s">
        <v>1477</v>
      </c>
      <c r="BT3" s="3417" t="s">
        <v>1477</v>
      </c>
      <c r="BU3" s="3416" t="s">
        <v>1477</v>
      </c>
      <c r="BV3" s="3417" t="s">
        <v>1477</v>
      </c>
      <c r="BW3" s="3416" t="s">
        <v>1477</v>
      </c>
      <c r="BX3" s="3417" t="s">
        <v>1477</v>
      </c>
      <c r="BY3" s="3416" t="s">
        <v>1201</v>
      </c>
      <c r="BZ3" s="3417" t="s">
        <v>1201</v>
      </c>
      <c r="CA3" s="3416" t="s">
        <v>174</v>
      </c>
      <c r="CB3" s="3417" t="s">
        <v>174</v>
      </c>
      <c r="CC3" s="3416" t="s">
        <v>3500</v>
      </c>
      <c r="CD3" s="3417" t="s">
        <v>3500</v>
      </c>
      <c r="CE3" s="3416" t="s">
        <v>3501</v>
      </c>
      <c r="CF3" s="3417" t="s">
        <v>3501</v>
      </c>
      <c r="CG3" s="3416" t="s">
        <v>3501</v>
      </c>
      <c r="CH3" s="3417" t="s">
        <v>3501</v>
      </c>
      <c r="CI3" s="3416" t="s">
        <v>3501</v>
      </c>
      <c r="CJ3" s="3417" t="s">
        <v>3501</v>
      </c>
      <c r="CK3" s="3416" t="s">
        <v>195</v>
      </c>
      <c r="CL3" s="3417" t="s">
        <v>195</v>
      </c>
      <c r="CM3" s="3416" t="s">
        <v>195</v>
      </c>
      <c r="CN3" s="3417" t="s">
        <v>195</v>
      </c>
      <c r="CO3" s="3416" t="s">
        <v>195</v>
      </c>
      <c r="CP3" s="3417" t="s">
        <v>195</v>
      </c>
      <c r="CQ3" s="3416" t="s">
        <v>3502</v>
      </c>
      <c r="CR3" s="3417" t="s">
        <v>3502</v>
      </c>
      <c r="CS3" s="3416" t="s">
        <v>3503</v>
      </c>
      <c r="CT3" s="3417" t="s">
        <v>3503</v>
      </c>
      <c r="CU3" s="3416" t="s">
        <v>3504</v>
      </c>
      <c r="CV3" s="3417" t="s">
        <v>3504</v>
      </c>
      <c r="CW3" s="3416" t="s">
        <v>3505</v>
      </c>
      <c r="CX3" s="3417" t="s">
        <v>3505</v>
      </c>
      <c r="CY3" s="3416" t="s">
        <v>3506</v>
      </c>
      <c r="CZ3" s="3417" t="s">
        <v>3506</v>
      </c>
      <c r="DA3" s="3416" t="s">
        <v>3715</v>
      </c>
      <c r="DB3" s="3416" t="s">
        <v>3715</v>
      </c>
      <c r="DC3" s="3419" t="s">
        <v>3716</v>
      </c>
      <c r="DD3" s="3419" t="s">
        <v>3716</v>
      </c>
      <c r="DE3" s="3419"/>
      <c r="DF3" s="3419"/>
      <c r="DG3" s="3416">
        <v>0</v>
      </c>
      <c r="DH3" s="3417">
        <v>0</v>
      </c>
      <c r="DI3" s="3416">
        <v>0</v>
      </c>
      <c r="DJ3" s="3417">
        <v>0</v>
      </c>
      <c r="DK3" s="3416">
        <v>0</v>
      </c>
      <c r="DL3" s="3417">
        <v>0</v>
      </c>
      <c r="DM3" s="3416">
        <v>0</v>
      </c>
      <c r="DN3" s="3417">
        <v>0</v>
      </c>
      <c r="DO3" s="3416">
        <v>0</v>
      </c>
      <c r="DP3" s="3417">
        <v>0</v>
      </c>
      <c r="DQ3" s="3416">
        <v>0</v>
      </c>
      <c r="DR3" s="3417">
        <v>0</v>
      </c>
      <c r="DS3" s="3416">
        <v>0</v>
      </c>
      <c r="DT3" s="3417">
        <v>0</v>
      </c>
      <c r="DU3" s="3416">
        <v>0</v>
      </c>
      <c r="DV3" s="3417">
        <v>0</v>
      </c>
      <c r="DW3" s="3416">
        <v>0</v>
      </c>
      <c r="DX3" s="3417">
        <v>0</v>
      </c>
      <c r="DY3" s="3416">
        <v>0</v>
      </c>
      <c r="DZ3" s="3417">
        <v>0</v>
      </c>
      <c r="EA3" s="3416">
        <v>0</v>
      </c>
      <c r="EB3" s="3417">
        <v>0</v>
      </c>
      <c r="EC3" s="3416"/>
      <c r="ED3" s="3416" t="s">
        <v>3499</v>
      </c>
      <c r="EE3" s="3418" t="s">
        <v>3499</v>
      </c>
      <c r="EF3" s="3419" t="s">
        <v>3499</v>
      </c>
      <c r="EG3" s="3482"/>
      <c r="EH3" s="3416" t="s">
        <v>3499</v>
      </c>
      <c r="EI3" s="3418" t="s">
        <v>3499</v>
      </c>
      <c r="EJ3" s="3419" t="s">
        <v>3499</v>
      </c>
      <c r="EK3" s="3416" t="s">
        <v>3499</v>
      </c>
      <c r="EL3" s="3418" t="s">
        <v>3499</v>
      </c>
      <c r="EM3" s="3419" t="s">
        <v>3499</v>
      </c>
      <c r="EN3" s="3416" t="s">
        <v>3499</v>
      </c>
      <c r="EO3" s="3418" t="s">
        <v>3499</v>
      </c>
      <c r="EP3" s="3419" t="s">
        <v>3499</v>
      </c>
      <c r="EQ3" s="3416" t="s">
        <v>163</v>
      </c>
      <c r="ER3" s="3418" t="s">
        <v>163</v>
      </c>
      <c r="ES3" s="3419" t="s">
        <v>163</v>
      </c>
      <c r="ET3" s="3482"/>
      <c r="EU3" s="3416" t="s">
        <v>223</v>
      </c>
      <c r="EV3" s="3418" t="s">
        <v>223</v>
      </c>
      <c r="EW3" s="3420" t="s">
        <v>3507</v>
      </c>
      <c r="EX3" s="3421" t="s">
        <v>3507</v>
      </c>
      <c r="EY3" s="3482"/>
      <c r="EZ3" s="3416" t="s">
        <v>223</v>
      </c>
      <c r="FA3" s="3418" t="s">
        <v>223</v>
      </c>
      <c r="FB3" s="3420" t="s">
        <v>3507</v>
      </c>
      <c r="FC3" s="3421" t="s">
        <v>3507</v>
      </c>
      <c r="FD3" s="3482"/>
      <c r="FE3" s="3416" t="s">
        <v>223</v>
      </c>
      <c r="FF3" s="3418" t="s">
        <v>223</v>
      </c>
      <c r="FG3" s="3420" t="s">
        <v>3507</v>
      </c>
      <c r="FH3" s="3421" t="s">
        <v>3507</v>
      </c>
      <c r="FI3" s="3482"/>
      <c r="FJ3" s="3416">
        <v>0</v>
      </c>
      <c r="FK3" s="3417">
        <v>0</v>
      </c>
      <c r="FL3" s="3416">
        <v>0</v>
      </c>
      <c r="FM3" s="3417">
        <v>0</v>
      </c>
      <c r="FN3" s="3416">
        <v>0</v>
      </c>
      <c r="FO3" s="3417">
        <v>0</v>
      </c>
      <c r="FP3" s="3416">
        <v>0</v>
      </c>
      <c r="FQ3" s="3417">
        <v>0</v>
      </c>
      <c r="FR3" s="3416">
        <v>0</v>
      </c>
      <c r="FS3" s="3417">
        <v>0</v>
      </c>
      <c r="FT3" s="3416">
        <v>0</v>
      </c>
      <c r="FU3" s="3417">
        <v>0</v>
      </c>
      <c r="FV3" s="3416">
        <v>0</v>
      </c>
      <c r="FW3" s="3417">
        <v>0</v>
      </c>
      <c r="FX3" s="3416">
        <v>0</v>
      </c>
      <c r="FY3" s="3417">
        <v>0</v>
      </c>
      <c r="FZ3" s="3482"/>
      <c r="GA3" s="3416" t="s">
        <v>172</v>
      </c>
      <c r="GB3" s="3417" t="s">
        <v>172</v>
      </c>
      <c r="GC3" s="3416" t="s">
        <v>2341</v>
      </c>
      <c r="GD3" s="3417" t="s">
        <v>2341</v>
      </c>
      <c r="GE3" s="3416" t="s">
        <v>174</v>
      </c>
      <c r="GF3" s="3417" t="s">
        <v>174</v>
      </c>
      <c r="GG3" s="3416" t="s">
        <v>3500</v>
      </c>
      <c r="GH3" s="3417" t="s">
        <v>3500</v>
      </c>
      <c r="GI3" s="3584"/>
      <c r="GJ3" s="3416" t="s">
        <v>195</v>
      </c>
      <c r="GK3" s="3417" t="s">
        <v>195</v>
      </c>
      <c r="GL3" s="3416" t="s">
        <v>195</v>
      </c>
      <c r="GM3" s="3417" t="s">
        <v>195</v>
      </c>
      <c r="GN3" s="3416" t="s">
        <v>195</v>
      </c>
      <c r="GO3" s="3417" t="s">
        <v>195</v>
      </c>
      <c r="GP3" s="3590" t="s">
        <v>1418</v>
      </c>
      <c r="GQ3" s="3590" t="s">
        <v>1750</v>
      </c>
      <c r="GR3" s="3590" t="s">
        <v>3631</v>
      </c>
      <c r="GS3" s="3590" t="s">
        <v>3595</v>
      </c>
      <c r="GT3" s="3590" t="s">
        <v>1418</v>
      </c>
      <c r="GU3" s="3590" t="s">
        <v>1750</v>
      </c>
      <c r="GV3" s="3590" t="s">
        <v>3631</v>
      </c>
      <c r="GW3" s="3590" t="s">
        <v>3595</v>
      </c>
    </row>
    <row r="4" spans="1:205" s="3423" customFormat="1" ht="66" customHeight="1" thickBot="1">
      <c r="A4" s="3488" t="s">
        <v>505</v>
      </c>
      <c r="B4" s="3489" t="s">
        <v>1994</v>
      </c>
      <c r="C4" s="3489"/>
      <c r="D4" s="3489" t="s">
        <v>19</v>
      </c>
      <c r="E4" s="3489" t="s">
        <v>18</v>
      </c>
      <c r="F4" s="3489" t="s">
        <v>3508</v>
      </c>
      <c r="G4" s="3564" t="s">
        <v>3509</v>
      </c>
      <c r="H4" s="3564"/>
      <c r="I4" s="3490" t="s">
        <v>3510</v>
      </c>
      <c r="J4" s="3491"/>
      <c r="K4" s="3492" t="s">
        <v>3064</v>
      </c>
      <c r="L4" s="3493"/>
      <c r="M4" s="3494" t="s">
        <v>3511</v>
      </c>
      <c r="N4" s="3493" t="s">
        <v>3512</v>
      </c>
      <c r="O4" s="3493"/>
      <c r="P4" s="3489" t="s">
        <v>3513</v>
      </c>
      <c r="Q4" s="3489" t="s">
        <v>3514</v>
      </c>
      <c r="R4" s="3489" t="s">
        <v>3515</v>
      </c>
      <c r="S4" s="3489" t="s">
        <v>3516</v>
      </c>
      <c r="T4" s="3495" t="s">
        <v>950</v>
      </c>
      <c r="U4" s="3495" t="s">
        <v>1349</v>
      </c>
      <c r="V4" s="3495" t="s">
        <v>235</v>
      </c>
      <c r="W4" s="3489" t="s">
        <v>1495</v>
      </c>
      <c r="X4" s="3489" t="s">
        <v>3517</v>
      </c>
      <c r="Y4" s="3495" t="s">
        <v>3518</v>
      </c>
      <c r="Z4" s="3495" t="s">
        <v>698</v>
      </c>
      <c r="AA4" s="3495" t="s">
        <v>3519</v>
      </c>
      <c r="AB4" s="3489" t="s">
        <v>3520</v>
      </c>
      <c r="AC4" s="3489" t="s">
        <v>3521</v>
      </c>
      <c r="AD4" s="3489" t="s">
        <v>3522</v>
      </c>
      <c r="AE4" s="3489" t="s">
        <v>1302</v>
      </c>
      <c r="AF4" s="3496" t="s">
        <v>3523</v>
      </c>
      <c r="AG4" s="3489" t="s">
        <v>140</v>
      </c>
      <c r="AH4" s="3489" t="s">
        <v>3524</v>
      </c>
      <c r="AI4" s="3489"/>
      <c r="AJ4" s="3489" t="s">
        <v>3525</v>
      </c>
      <c r="AK4" s="3489" t="s">
        <v>3526</v>
      </c>
      <c r="AL4" s="3489" t="s">
        <v>164</v>
      </c>
      <c r="AM4" s="3422" t="s">
        <v>3527</v>
      </c>
      <c r="AN4" s="3422" t="s">
        <v>3528</v>
      </c>
      <c r="AO4" s="3422" t="s">
        <v>3529</v>
      </c>
      <c r="AP4" s="3422" t="s">
        <v>3530</v>
      </c>
      <c r="AQ4" s="3422" t="s">
        <v>3531</v>
      </c>
      <c r="AR4" s="3497" t="s">
        <v>3492</v>
      </c>
      <c r="AS4" s="3498" t="s">
        <v>439</v>
      </c>
      <c r="AT4" s="3499" t="s">
        <v>3532</v>
      </c>
      <c r="AU4" s="3498" t="s">
        <v>439</v>
      </c>
      <c r="AV4" s="3499" t="s">
        <v>3532</v>
      </c>
      <c r="AW4" s="3498" t="s">
        <v>439</v>
      </c>
      <c r="AX4" s="3499" t="s">
        <v>3532</v>
      </c>
      <c r="AY4" s="3498" t="s">
        <v>439</v>
      </c>
      <c r="AZ4" s="3499" t="s">
        <v>3532</v>
      </c>
      <c r="BA4" s="3498" t="s">
        <v>439</v>
      </c>
      <c r="BB4" s="3499" t="s">
        <v>3532</v>
      </c>
      <c r="BC4" s="3498" t="s">
        <v>439</v>
      </c>
      <c r="BD4" s="3499" t="s">
        <v>3532</v>
      </c>
      <c r="BE4" s="3498" t="s">
        <v>439</v>
      </c>
      <c r="BF4" s="3499" t="s">
        <v>3532</v>
      </c>
      <c r="BG4" s="3498" t="s">
        <v>439</v>
      </c>
      <c r="BH4" s="3499" t="s">
        <v>3532</v>
      </c>
      <c r="BI4" s="3498"/>
      <c r="BJ4" s="3498"/>
      <c r="BK4" s="3498" t="s">
        <v>439</v>
      </c>
      <c r="BL4" s="3499" t="s">
        <v>3532</v>
      </c>
      <c r="BM4" s="3498" t="s">
        <v>439</v>
      </c>
      <c r="BN4" s="3499" t="s">
        <v>3532</v>
      </c>
      <c r="BO4" s="3498" t="s">
        <v>439</v>
      </c>
      <c r="BP4" s="3499" t="s">
        <v>3532</v>
      </c>
      <c r="BQ4" s="3498" t="s">
        <v>439</v>
      </c>
      <c r="BR4" s="3499" t="s">
        <v>3532</v>
      </c>
      <c r="BS4" s="3498" t="s">
        <v>439</v>
      </c>
      <c r="BT4" s="3499" t="s">
        <v>3532</v>
      </c>
      <c r="BU4" s="3498" t="s">
        <v>439</v>
      </c>
      <c r="BV4" s="3499" t="s">
        <v>3532</v>
      </c>
      <c r="BW4" s="3498" t="s">
        <v>439</v>
      </c>
      <c r="BX4" s="3499" t="s">
        <v>3532</v>
      </c>
      <c r="BY4" s="3498" t="s">
        <v>439</v>
      </c>
      <c r="BZ4" s="3499" t="s">
        <v>3532</v>
      </c>
      <c r="CA4" s="3498" t="s">
        <v>439</v>
      </c>
      <c r="CB4" s="3499" t="s">
        <v>3532</v>
      </c>
      <c r="CC4" s="3498" t="s">
        <v>439</v>
      </c>
      <c r="CD4" s="3499" t="s">
        <v>3532</v>
      </c>
      <c r="CE4" s="3498" t="s">
        <v>439</v>
      </c>
      <c r="CF4" s="3499" t="s">
        <v>3532</v>
      </c>
      <c r="CG4" s="3498" t="s">
        <v>439</v>
      </c>
      <c r="CH4" s="3499" t="s">
        <v>3532</v>
      </c>
      <c r="CI4" s="3498" t="s">
        <v>439</v>
      </c>
      <c r="CJ4" s="3499" t="s">
        <v>3532</v>
      </c>
      <c r="CK4" s="3498" t="s">
        <v>439</v>
      </c>
      <c r="CL4" s="3499" t="s">
        <v>3532</v>
      </c>
      <c r="CM4" s="3498" t="s">
        <v>439</v>
      </c>
      <c r="CN4" s="3499" t="s">
        <v>3532</v>
      </c>
      <c r="CO4" s="3498" t="s">
        <v>439</v>
      </c>
      <c r="CP4" s="3499" t="s">
        <v>3532</v>
      </c>
      <c r="CQ4" s="3498" t="s">
        <v>1259</v>
      </c>
      <c r="CR4" s="3499" t="s">
        <v>3532</v>
      </c>
      <c r="CS4" s="3498" t="s">
        <v>439</v>
      </c>
      <c r="CT4" s="3499" t="s">
        <v>3532</v>
      </c>
      <c r="CU4" s="3498" t="s">
        <v>439</v>
      </c>
      <c r="CV4" s="3499" t="s">
        <v>3532</v>
      </c>
      <c r="CW4" s="3498" t="s">
        <v>439</v>
      </c>
      <c r="CX4" s="3499" t="s">
        <v>3532</v>
      </c>
      <c r="CY4" s="3498" t="s">
        <v>287</v>
      </c>
      <c r="CZ4" s="3499" t="s">
        <v>3532</v>
      </c>
      <c r="DA4" s="3498" t="s">
        <v>287</v>
      </c>
      <c r="DB4" s="3499" t="s">
        <v>3532</v>
      </c>
      <c r="DC4" s="3498" t="s">
        <v>287</v>
      </c>
      <c r="DD4" s="3499" t="s">
        <v>3532</v>
      </c>
      <c r="DE4" s="3498"/>
      <c r="DF4" s="3498"/>
      <c r="DG4" s="3498" t="s">
        <v>287</v>
      </c>
      <c r="DH4" s="3499" t="s">
        <v>3532</v>
      </c>
      <c r="DI4" s="3498" t="s">
        <v>287</v>
      </c>
      <c r="DJ4" s="3499" t="s">
        <v>3532</v>
      </c>
      <c r="DK4" s="3498" t="s">
        <v>287</v>
      </c>
      <c r="DL4" s="3499" t="s">
        <v>3532</v>
      </c>
      <c r="DM4" s="3498" t="s">
        <v>287</v>
      </c>
      <c r="DN4" s="3499" t="s">
        <v>3532</v>
      </c>
      <c r="DO4" s="3498" t="s">
        <v>287</v>
      </c>
      <c r="DP4" s="3499" t="s">
        <v>3532</v>
      </c>
      <c r="DQ4" s="3498" t="s">
        <v>287</v>
      </c>
      <c r="DR4" s="3499" t="s">
        <v>3532</v>
      </c>
      <c r="DS4" s="3498" t="s">
        <v>287</v>
      </c>
      <c r="DT4" s="3499" t="s">
        <v>3532</v>
      </c>
      <c r="DU4" s="3498" t="s">
        <v>287</v>
      </c>
      <c r="DV4" s="3499" t="s">
        <v>3532</v>
      </c>
      <c r="DW4" s="3498" t="s">
        <v>287</v>
      </c>
      <c r="DX4" s="3499" t="s">
        <v>3532</v>
      </c>
      <c r="DY4" s="3498" t="s">
        <v>287</v>
      </c>
      <c r="DZ4" s="3499" t="s">
        <v>3532</v>
      </c>
      <c r="EA4" s="3498" t="s">
        <v>287</v>
      </c>
      <c r="EB4" s="3499" t="s">
        <v>3532</v>
      </c>
      <c r="EC4" s="3500"/>
      <c r="ED4" s="3498" t="s">
        <v>3533</v>
      </c>
      <c r="EE4" s="3501" t="s">
        <v>3533</v>
      </c>
      <c r="EF4" s="3498" t="s">
        <v>3533</v>
      </c>
      <c r="EG4" s="3500"/>
      <c r="EH4" s="3498" t="s">
        <v>3534</v>
      </c>
      <c r="EI4" s="3501" t="s">
        <v>3534</v>
      </c>
      <c r="EJ4" s="3498" t="s">
        <v>3534</v>
      </c>
      <c r="EK4" s="3498" t="s">
        <v>3535</v>
      </c>
      <c r="EL4" s="3501" t="s">
        <v>3535</v>
      </c>
      <c r="EM4" s="3498" t="s">
        <v>3535</v>
      </c>
      <c r="EN4" s="3498" t="s">
        <v>3536</v>
      </c>
      <c r="EO4" s="3501" t="s">
        <v>3536</v>
      </c>
      <c r="EP4" s="3498" t="s">
        <v>3536</v>
      </c>
      <c r="EQ4" s="3498" t="s">
        <v>3537</v>
      </c>
      <c r="ER4" s="3501" t="s">
        <v>3537</v>
      </c>
      <c r="ES4" s="3498" t="s">
        <v>3537</v>
      </c>
      <c r="ET4" s="3500"/>
      <c r="EU4" s="3498" t="s">
        <v>3538</v>
      </c>
      <c r="EV4" s="3501" t="s">
        <v>3539</v>
      </c>
      <c r="EW4" s="3498" t="s">
        <v>3538</v>
      </c>
      <c r="EX4" s="3501" t="s">
        <v>3539</v>
      </c>
      <c r="EY4" s="3500"/>
      <c r="EZ4" s="3498" t="s">
        <v>3540</v>
      </c>
      <c r="FA4" s="3501" t="s">
        <v>3541</v>
      </c>
      <c r="FB4" s="3498" t="s">
        <v>3540</v>
      </c>
      <c r="FC4" s="3501" t="s">
        <v>3541</v>
      </c>
      <c r="FD4" s="3500"/>
      <c r="FE4" s="3498" t="s">
        <v>3542</v>
      </c>
      <c r="FF4" s="3501" t="s">
        <v>3542</v>
      </c>
      <c r="FG4" s="3498" t="s">
        <v>3542</v>
      </c>
      <c r="FH4" s="3501" t="s">
        <v>3542</v>
      </c>
      <c r="FI4" s="3500"/>
      <c r="FJ4" s="3498" t="s">
        <v>3543</v>
      </c>
      <c r="FK4" s="3499" t="s">
        <v>3543</v>
      </c>
      <c r="FL4" s="3498" t="s">
        <v>3543</v>
      </c>
      <c r="FM4" s="3499" t="s">
        <v>3543</v>
      </c>
      <c r="FN4" s="3498" t="s">
        <v>3543</v>
      </c>
      <c r="FO4" s="3499" t="s">
        <v>3543</v>
      </c>
      <c r="FP4" s="3498" t="s">
        <v>3543</v>
      </c>
      <c r="FQ4" s="3499" t="s">
        <v>3543</v>
      </c>
      <c r="FR4" s="3498" t="s">
        <v>3543</v>
      </c>
      <c r="FS4" s="3499" t="s">
        <v>3543</v>
      </c>
      <c r="FT4" s="3498" t="s">
        <v>3543</v>
      </c>
      <c r="FU4" s="3499" t="s">
        <v>3543</v>
      </c>
      <c r="FV4" s="3498" t="s">
        <v>3543</v>
      </c>
      <c r="FW4" s="3499" t="s">
        <v>3543</v>
      </c>
      <c r="FX4" s="3498" t="s">
        <v>3543</v>
      </c>
      <c r="FY4" s="3499" t="s">
        <v>3543</v>
      </c>
      <c r="FZ4" s="3500"/>
      <c r="GA4" s="3498" t="s">
        <v>439</v>
      </c>
      <c r="GB4" s="3499" t="s">
        <v>3532</v>
      </c>
      <c r="GC4" s="3498" t="s">
        <v>439</v>
      </c>
      <c r="GD4" s="3499" t="s">
        <v>3532</v>
      </c>
      <c r="GE4" s="3498" t="s">
        <v>439</v>
      </c>
      <c r="GF4" s="3499" t="s">
        <v>3532</v>
      </c>
      <c r="GG4" s="3498" t="s">
        <v>439</v>
      </c>
      <c r="GH4" s="3499" t="s">
        <v>3532</v>
      </c>
      <c r="GI4" s="3585"/>
      <c r="GJ4" s="3498" t="s">
        <v>439</v>
      </c>
      <c r="GK4" s="3499" t="s">
        <v>3532</v>
      </c>
      <c r="GL4" s="3498" t="s">
        <v>439</v>
      </c>
      <c r="GM4" s="3499" t="s">
        <v>3532</v>
      </c>
      <c r="GN4" s="3498" t="s">
        <v>439</v>
      </c>
      <c r="GO4" s="3499" t="s">
        <v>3532</v>
      </c>
      <c r="GP4" s="3500"/>
      <c r="GQ4" s="3500"/>
      <c r="GR4" s="3500"/>
      <c r="GS4" s="3500"/>
      <c r="GT4" s="3500"/>
      <c r="GU4" s="3500"/>
      <c r="GV4" s="3500"/>
      <c r="GW4" s="3500"/>
    </row>
    <row r="5" spans="1:205" s="3425" customFormat="1">
      <c r="A5" s="3502">
        <v>1</v>
      </c>
      <c r="B5" s="3608">
        <v>0</v>
      </c>
      <c r="C5" s="3608">
        <v>0</v>
      </c>
      <c r="D5" s="3609">
        <v>235</v>
      </c>
      <c r="E5" s="3609">
        <v>203.5</v>
      </c>
      <c r="F5" s="3609">
        <v>114</v>
      </c>
      <c r="G5" s="3609"/>
      <c r="H5" s="3609"/>
      <c r="I5" s="3609">
        <v>695</v>
      </c>
      <c r="J5" s="3609">
        <v>642</v>
      </c>
      <c r="K5" s="3609">
        <v>715</v>
      </c>
      <c r="L5" s="3609">
        <v>666</v>
      </c>
      <c r="M5" s="3609">
        <v>715</v>
      </c>
      <c r="N5" s="3609">
        <v>705</v>
      </c>
      <c r="O5" s="3609">
        <v>656</v>
      </c>
      <c r="P5" s="3609">
        <v>1</v>
      </c>
      <c r="Q5" s="3610" t="s">
        <v>3596</v>
      </c>
      <c r="R5" s="3611" t="s">
        <v>3597</v>
      </c>
      <c r="S5" s="3611" t="s">
        <v>3598</v>
      </c>
      <c r="T5" s="3609">
        <v>250</v>
      </c>
      <c r="U5" s="3609" t="s">
        <v>1393</v>
      </c>
      <c r="V5" s="3609" t="s">
        <v>1351</v>
      </c>
      <c r="W5" s="3612" t="s">
        <v>3599</v>
      </c>
      <c r="X5" s="3611" t="s">
        <v>1170</v>
      </c>
      <c r="Y5" s="3611"/>
      <c r="Z5" s="3611"/>
      <c r="AA5" s="3611"/>
      <c r="AB5" s="3611" t="s">
        <v>3600</v>
      </c>
      <c r="AC5" s="3613" t="s">
        <v>1892</v>
      </c>
      <c r="AD5" s="3614">
        <v>20.1142656</v>
      </c>
      <c r="AE5" s="3615" t="s">
        <v>3601</v>
      </c>
      <c r="AF5" s="3616">
        <v>1.7</v>
      </c>
      <c r="AG5" s="3615"/>
      <c r="AH5" s="3612"/>
      <c r="AI5" s="3612"/>
      <c r="AJ5" s="3615">
        <v>0</v>
      </c>
      <c r="AK5" s="3617">
        <v>123.8094</v>
      </c>
      <c r="AL5" s="3612" t="s">
        <v>3544</v>
      </c>
      <c r="AM5" s="3618">
        <v>249160</v>
      </c>
      <c r="AN5" s="3619">
        <v>4791.5384615384619</v>
      </c>
      <c r="AO5" s="3619">
        <v>9583.0769230769238</v>
      </c>
      <c r="AP5" s="3619">
        <v>20763.333333333332</v>
      </c>
      <c r="AQ5" s="3619">
        <v>41526.666666666664</v>
      </c>
      <c r="AR5" s="3620" t="s">
        <v>3602</v>
      </c>
      <c r="AS5" s="3424">
        <v>0</v>
      </c>
      <c r="AT5" s="3621">
        <v>0</v>
      </c>
      <c r="AU5" s="3424">
        <v>0</v>
      </c>
      <c r="AV5" s="3622">
        <v>0</v>
      </c>
      <c r="AW5" s="3424">
        <v>0</v>
      </c>
      <c r="AX5" s="3622">
        <v>0</v>
      </c>
      <c r="AY5" s="3424">
        <v>0</v>
      </c>
      <c r="AZ5" s="3622">
        <v>0</v>
      </c>
      <c r="BA5" s="3424">
        <v>0</v>
      </c>
      <c r="BB5" s="3622">
        <v>0</v>
      </c>
      <c r="BC5" s="3424">
        <v>0</v>
      </c>
      <c r="BD5" s="3622">
        <v>0</v>
      </c>
      <c r="BE5" s="3424">
        <v>0</v>
      </c>
      <c r="BF5" s="3622">
        <v>0</v>
      </c>
      <c r="BG5" s="3424">
        <v>0</v>
      </c>
      <c r="BH5" s="3622">
        <v>0</v>
      </c>
      <c r="BI5" s="3424">
        <v>0</v>
      </c>
      <c r="BJ5" s="3622">
        <v>0</v>
      </c>
      <c r="BK5" s="3424">
        <v>0</v>
      </c>
      <c r="BL5" s="3622">
        <v>0</v>
      </c>
      <c r="BM5" s="3424">
        <v>0</v>
      </c>
      <c r="BN5" s="3621">
        <v>0</v>
      </c>
      <c r="BO5" s="3424">
        <v>0</v>
      </c>
      <c r="BP5" s="3622">
        <v>0</v>
      </c>
      <c r="BQ5" s="3424">
        <v>0</v>
      </c>
      <c r="BR5" s="3622">
        <v>0</v>
      </c>
      <c r="BS5" s="3424">
        <v>0</v>
      </c>
      <c r="BT5" s="3622">
        <v>0</v>
      </c>
      <c r="BU5" s="3424">
        <v>0</v>
      </c>
      <c r="BV5" s="3622">
        <v>0</v>
      </c>
      <c r="BW5" s="3424">
        <v>0</v>
      </c>
      <c r="BX5" s="3622">
        <v>0</v>
      </c>
      <c r="BY5" s="3424">
        <v>0</v>
      </c>
      <c r="BZ5" s="3622">
        <v>0</v>
      </c>
      <c r="CA5" s="3424">
        <v>0</v>
      </c>
      <c r="CB5" s="3622">
        <v>0</v>
      </c>
      <c r="CC5" s="3424">
        <v>0</v>
      </c>
      <c r="CD5" s="3622">
        <v>0</v>
      </c>
      <c r="CE5" s="3424">
        <v>0</v>
      </c>
      <c r="CF5" s="3621">
        <v>0</v>
      </c>
      <c r="CG5" s="3424">
        <v>0</v>
      </c>
      <c r="CH5" s="3622">
        <v>0</v>
      </c>
      <c r="CI5" s="3424">
        <v>0</v>
      </c>
      <c r="CJ5" s="3622">
        <v>0</v>
      </c>
      <c r="CK5" s="3424">
        <v>0</v>
      </c>
      <c r="CL5" s="3622">
        <v>0</v>
      </c>
      <c r="CM5" s="3424">
        <v>0</v>
      </c>
      <c r="CN5" s="3622">
        <v>0</v>
      </c>
      <c r="CO5" s="3424">
        <v>0</v>
      </c>
      <c r="CP5" s="3622">
        <v>0</v>
      </c>
      <c r="CQ5" s="3424">
        <v>0</v>
      </c>
      <c r="CR5" s="3622">
        <v>0</v>
      </c>
      <c r="CS5" s="3424">
        <v>0</v>
      </c>
      <c r="CT5" s="3622">
        <v>0</v>
      </c>
      <c r="CU5" s="3424">
        <v>0</v>
      </c>
      <c r="CV5" s="3622">
        <v>0</v>
      </c>
      <c r="CW5" s="3424">
        <v>0</v>
      </c>
      <c r="CX5" s="3622">
        <v>0</v>
      </c>
      <c r="CY5" s="3424">
        <v>0</v>
      </c>
      <c r="CZ5" s="3622">
        <v>0</v>
      </c>
      <c r="DA5" s="3424">
        <v>0</v>
      </c>
      <c r="DB5" s="3622">
        <v>0</v>
      </c>
      <c r="DC5" s="3424">
        <v>0</v>
      </c>
      <c r="DD5" s="3622">
        <v>0</v>
      </c>
      <c r="DE5" s="3521"/>
      <c r="DF5" s="3521"/>
      <c r="DG5" s="3424">
        <v>0</v>
      </c>
      <c r="DH5" s="3621">
        <v>0</v>
      </c>
      <c r="DI5" s="3424">
        <v>0</v>
      </c>
      <c r="DJ5" s="3622">
        <v>0</v>
      </c>
      <c r="DK5" s="3424">
        <v>0</v>
      </c>
      <c r="DL5" s="3622">
        <v>0</v>
      </c>
      <c r="DM5" s="3424">
        <v>0</v>
      </c>
      <c r="DN5" s="3622">
        <v>0</v>
      </c>
      <c r="DO5" s="3424">
        <v>0</v>
      </c>
      <c r="DP5" s="3622">
        <v>0</v>
      </c>
      <c r="DQ5" s="3424">
        <v>0</v>
      </c>
      <c r="DR5" s="3622">
        <v>0</v>
      </c>
      <c r="DS5" s="3424">
        <v>0</v>
      </c>
      <c r="DT5" s="3622">
        <v>0</v>
      </c>
      <c r="DU5" s="3424">
        <v>0</v>
      </c>
      <c r="DV5" s="3622">
        <v>0</v>
      </c>
      <c r="DW5" s="3424">
        <v>0</v>
      </c>
      <c r="DX5" s="3622">
        <v>0</v>
      </c>
      <c r="DY5" s="3424">
        <v>0</v>
      </c>
      <c r="DZ5" s="3622">
        <v>0</v>
      </c>
      <c r="EA5" s="3424">
        <v>0</v>
      </c>
      <c r="EB5" s="3622">
        <v>0</v>
      </c>
      <c r="EC5" s="3505"/>
      <c r="ED5" s="3424">
        <v>0</v>
      </c>
      <c r="EE5" s="3617">
        <v>0</v>
      </c>
      <c r="EF5" s="3623">
        <v>0</v>
      </c>
      <c r="EG5" s="3505"/>
      <c r="EH5" s="3424">
        <v>0</v>
      </c>
      <c r="EI5" s="3617">
        <v>0</v>
      </c>
      <c r="EJ5" s="3623">
        <v>0</v>
      </c>
      <c r="EK5" s="3424">
        <v>0</v>
      </c>
      <c r="EL5" s="3617">
        <v>0</v>
      </c>
      <c r="EM5" s="3623">
        <v>0</v>
      </c>
      <c r="EN5" s="3424">
        <v>0</v>
      </c>
      <c r="EO5" s="3617">
        <v>0</v>
      </c>
      <c r="EP5" s="3623">
        <v>0</v>
      </c>
      <c r="EQ5" s="3424">
        <v>0</v>
      </c>
      <c r="ER5" s="3617">
        <v>0</v>
      </c>
      <c r="ES5" s="3623">
        <v>0</v>
      </c>
      <c r="ET5" s="3505"/>
      <c r="EU5" s="3426">
        <v>0</v>
      </c>
      <c r="EV5" s="3617">
        <v>0</v>
      </c>
      <c r="EW5" s="3426">
        <v>0</v>
      </c>
      <c r="EX5" s="3617">
        <v>0</v>
      </c>
      <c r="EY5" s="3505"/>
      <c r="EZ5" s="3426">
        <v>0</v>
      </c>
      <c r="FA5" s="3624">
        <v>0</v>
      </c>
      <c r="FB5" s="3426">
        <v>0</v>
      </c>
      <c r="FC5" s="3617">
        <v>0</v>
      </c>
      <c r="FD5" s="3505"/>
      <c r="FE5" s="3426">
        <v>0</v>
      </c>
      <c r="FF5" s="3624">
        <v>0</v>
      </c>
      <c r="FG5" s="3426">
        <v>0</v>
      </c>
      <c r="FH5" s="3617">
        <v>0</v>
      </c>
      <c r="FI5" s="3505"/>
      <c r="FJ5" s="3424">
        <v>0</v>
      </c>
      <c r="FK5" s="3622">
        <v>0</v>
      </c>
      <c r="FL5" s="3424">
        <v>0</v>
      </c>
      <c r="FM5" s="3622">
        <v>0</v>
      </c>
      <c r="FN5" s="3424">
        <v>0</v>
      </c>
      <c r="FO5" s="3622">
        <v>0</v>
      </c>
      <c r="FP5" s="3424">
        <v>0</v>
      </c>
      <c r="FQ5" s="3622">
        <v>0</v>
      </c>
      <c r="FR5" s="3424">
        <v>0</v>
      </c>
      <c r="FS5" s="3622">
        <v>0</v>
      </c>
      <c r="FT5" s="3424">
        <v>0</v>
      </c>
      <c r="FU5" s="3622">
        <v>0</v>
      </c>
      <c r="FV5" s="3424">
        <v>0</v>
      </c>
      <c r="FW5" s="3622">
        <v>0</v>
      </c>
      <c r="FX5" s="3424">
        <v>0</v>
      </c>
      <c r="FY5" s="3622">
        <v>0</v>
      </c>
      <c r="FZ5" s="3505"/>
      <c r="GA5" s="3424">
        <v>0</v>
      </c>
      <c r="GB5" s="3622">
        <v>0</v>
      </c>
      <c r="GC5" s="3424">
        <v>0</v>
      </c>
      <c r="GD5" s="3622">
        <v>0</v>
      </c>
      <c r="GE5" s="3424">
        <v>0</v>
      </c>
      <c r="GF5" s="3622">
        <v>0</v>
      </c>
      <c r="GG5" s="3424">
        <v>0</v>
      </c>
      <c r="GH5" s="3622">
        <v>0</v>
      </c>
      <c r="GI5" s="3581"/>
      <c r="GJ5" s="3424">
        <v>0</v>
      </c>
      <c r="GK5" s="3622"/>
      <c r="GL5" s="3424">
        <v>0</v>
      </c>
      <c r="GM5" s="3622"/>
      <c r="GN5" s="3424">
        <v>0</v>
      </c>
      <c r="GO5" s="3622"/>
      <c r="GP5" s="3505"/>
      <c r="GQ5" s="3505"/>
      <c r="GR5" s="3505"/>
      <c r="GS5" s="3505"/>
      <c r="GT5" s="3505"/>
      <c r="GU5" s="3505"/>
      <c r="GV5" s="3505"/>
      <c r="GW5" s="3505"/>
    </row>
    <row r="6" spans="1:205" s="3425" customFormat="1">
      <c r="A6" s="3502">
        <v>2</v>
      </c>
      <c r="B6" s="3608" t="s">
        <v>3779</v>
      </c>
      <c r="C6" s="3608" t="s">
        <v>3779</v>
      </c>
      <c r="D6" s="3609">
        <v>235</v>
      </c>
      <c r="E6" s="3609">
        <v>203.5</v>
      </c>
      <c r="F6" s="3609">
        <v>114</v>
      </c>
      <c r="G6" s="3609"/>
      <c r="H6" s="3609"/>
      <c r="I6" s="3609">
        <v>695</v>
      </c>
      <c r="J6" s="3609">
        <v>642</v>
      </c>
      <c r="K6" s="3609">
        <v>715</v>
      </c>
      <c r="L6" s="3609">
        <v>666</v>
      </c>
      <c r="M6" s="3609">
        <v>715</v>
      </c>
      <c r="N6" s="3609">
        <v>705</v>
      </c>
      <c r="O6" s="3609">
        <v>656</v>
      </c>
      <c r="P6" s="3609">
        <v>1</v>
      </c>
      <c r="Q6" s="3610" t="s">
        <v>3596</v>
      </c>
      <c r="R6" s="3611" t="s">
        <v>3597</v>
      </c>
      <c r="S6" s="3611" t="s">
        <v>3598</v>
      </c>
      <c r="T6" s="3609">
        <v>250</v>
      </c>
      <c r="U6" s="3609" t="s">
        <v>1393</v>
      </c>
      <c r="V6" s="3609" t="s">
        <v>1351</v>
      </c>
      <c r="W6" s="3612" t="s">
        <v>3599</v>
      </c>
      <c r="X6" s="3611" t="s">
        <v>1170</v>
      </c>
      <c r="Y6" s="3611"/>
      <c r="Z6" s="3611"/>
      <c r="AA6" s="3611"/>
      <c r="AB6" s="3611" t="s">
        <v>3600</v>
      </c>
      <c r="AC6" s="3613" t="s">
        <v>1892</v>
      </c>
      <c r="AD6" s="3614">
        <v>20.1142656</v>
      </c>
      <c r="AE6" s="3615" t="s">
        <v>3601</v>
      </c>
      <c r="AF6" s="3616">
        <v>1.7</v>
      </c>
      <c r="AG6" s="3615"/>
      <c r="AH6" s="3612"/>
      <c r="AI6" s="3612"/>
      <c r="AJ6" s="3615">
        <v>0</v>
      </c>
      <c r="AK6" s="3617">
        <v>123.8094</v>
      </c>
      <c r="AL6" s="3612" t="s">
        <v>3544</v>
      </c>
      <c r="AM6" s="3618">
        <v>249160</v>
      </c>
      <c r="AN6" s="3619">
        <v>4791.5384615384619</v>
      </c>
      <c r="AO6" s="3619">
        <v>9583.0769230769238</v>
      </c>
      <c r="AP6" s="3619">
        <v>20763.333333333332</v>
      </c>
      <c r="AQ6" s="3619">
        <v>41526.666666666664</v>
      </c>
      <c r="AR6" s="3620" t="s">
        <v>3602</v>
      </c>
      <c r="AS6" s="3424" t="s">
        <v>3780</v>
      </c>
      <c r="AT6" s="3621" t="s">
        <v>3781</v>
      </c>
      <c r="AU6" s="3424">
        <v>0</v>
      </c>
      <c r="AV6" s="3622">
        <v>0</v>
      </c>
      <c r="AW6" s="3424">
        <v>0</v>
      </c>
      <c r="AX6" s="3622">
        <v>0</v>
      </c>
      <c r="AY6" s="3424">
        <v>0</v>
      </c>
      <c r="AZ6" s="3622">
        <v>0</v>
      </c>
      <c r="BA6" s="3424">
        <v>0</v>
      </c>
      <c r="BB6" s="3622">
        <v>0</v>
      </c>
      <c r="BC6" s="3424">
        <v>0</v>
      </c>
      <c r="BD6" s="3622">
        <v>0</v>
      </c>
      <c r="BE6" s="3424">
        <v>0</v>
      </c>
      <c r="BF6" s="3622">
        <v>0</v>
      </c>
      <c r="BG6" s="3424">
        <v>0</v>
      </c>
      <c r="BH6" s="3622">
        <v>0</v>
      </c>
      <c r="BI6" s="3424">
        <v>0</v>
      </c>
      <c r="BJ6" s="3622">
        <v>0</v>
      </c>
      <c r="BK6" s="3424">
        <v>0</v>
      </c>
      <c r="BL6" s="3622">
        <v>0</v>
      </c>
      <c r="BM6" s="3424">
        <v>0</v>
      </c>
      <c r="BN6" s="3621">
        <v>0</v>
      </c>
      <c r="BO6" s="3424">
        <v>0</v>
      </c>
      <c r="BP6" s="3622">
        <v>0</v>
      </c>
      <c r="BQ6" s="3424">
        <v>0</v>
      </c>
      <c r="BR6" s="3622">
        <v>0</v>
      </c>
      <c r="BS6" s="3424">
        <v>0</v>
      </c>
      <c r="BT6" s="3622">
        <v>0</v>
      </c>
      <c r="BU6" s="3424">
        <v>0</v>
      </c>
      <c r="BV6" s="3622">
        <v>0</v>
      </c>
      <c r="BW6" s="3424">
        <v>0</v>
      </c>
      <c r="BX6" s="3622">
        <v>0</v>
      </c>
      <c r="BY6" s="3424">
        <v>0</v>
      </c>
      <c r="BZ6" s="3622">
        <v>0</v>
      </c>
      <c r="CA6" s="3424" t="s">
        <v>3782</v>
      </c>
      <c r="CB6" s="3622" t="s">
        <v>3781</v>
      </c>
      <c r="CC6" s="3424">
        <v>0</v>
      </c>
      <c r="CD6" s="3622">
        <v>0</v>
      </c>
      <c r="CE6" s="3424" t="s">
        <v>3783</v>
      </c>
      <c r="CF6" s="3621" t="s">
        <v>3784</v>
      </c>
      <c r="CG6" s="3424">
        <v>0</v>
      </c>
      <c r="CH6" s="3622">
        <v>0</v>
      </c>
      <c r="CI6" s="3424">
        <v>0</v>
      </c>
      <c r="CJ6" s="3622">
        <v>0</v>
      </c>
      <c r="CK6" s="3424" t="s">
        <v>3782</v>
      </c>
      <c r="CL6" s="3622" t="s">
        <v>3784</v>
      </c>
      <c r="CM6" s="3424">
        <v>0</v>
      </c>
      <c r="CN6" s="3622">
        <v>0</v>
      </c>
      <c r="CO6" s="3424">
        <v>0</v>
      </c>
      <c r="CP6" s="3622">
        <v>0</v>
      </c>
      <c r="CQ6" s="3424" t="s">
        <v>3782</v>
      </c>
      <c r="CR6" s="3622" t="s">
        <v>3785</v>
      </c>
      <c r="CS6" s="3424">
        <v>0</v>
      </c>
      <c r="CT6" s="3622">
        <v>0</v>
      </c>
      <c r="CU6" s="3424">
        <v>0</v>
      </c>
      <c r="CV6" s="3622">
        <v>0</v>
      </c>
      <c r="CW6" s="3424">
        <v>0</v>
      </c>
      <c r="CX6" s="3622">
        <v>0</v>
      </c>
      <c r="CY6" s="3424">
        <v>0</v>
      </c>
      <c r="CZ6" s="3622">
        <v>0</v>
      </c>
      <c r="DA6" s="3424">
        <v>0</v>
      </c>
      <c r="DB6" s="3617">
        <v>0</v>
      </c>
      <c r="DC6" s="3623">
        <v>0</v>
      </c>
      <c r="DD6" s="3424">
        <v>0</v>
      </c>
      <c r="DE6" s="3424"/>
      <c r="DF6" s="3424"/>
      <c r="DG6" s="3424">
        <v>0</v>
      </c>
      <c r="DH6" s="3621">
        <v>0</v>
      </c>
      <c r="DI6" s="3424">
        <v>0</v>
      </c>
      <c r="DJ6" s="3622">
        <v>0</v>
      </c>
      <c r="DK6" s="3424">
        <v>0</v>
      </c>
      <c r="DL6" s="3622">
        <v>0</v>
      </c>
      <c r="DM6" s="3424">
        <v>0</v>
      </c>
      <c r="DN6" s="3622">
        <v>0</v>
      </c>
      <c r="DO6" s="3424">
        <v>0</v>
      </c>
      <c r="DP6" s="3622">
        <v>0</v>
      </c>
      <c r="DQ6" s="3424">
        <v>0</v>
      </c>
      <c r="DR6" s="3622">
        <v>0</v>
      </c>
      <c r="DS6" s="3424">
        <v>0</v>
      </c>
      <c r="DT6" s="3622">
        <v>0</v>
      </c>
      <c r="DU6" s="3424">
        <v>0</v>
      </c>
      <c r="DV6" s="3622">
        <v>0</v>
      </c>
      <c r="DW6" s="3424">
        <v>0</v>
      </c>
      <c r="DX6" s="3622">
        <v>0</v>
      </c>
      <c r="DY6" s="3424">
        <v>0</v>
      </c>
      <c r="DZ6" s="3622">
        <v>0</v>
      </c>
      <c r="EA6" s="3424">
        <v>0</v>
      </c>
      <c r="EB6" s="3622">
        <v>0</v>
      </c>
      <c r="EC6" s="3505"/>
      <c r="ED6" s="3424">
        <v>0</v>
      </c>
      <c r="EE6" s="3617">
        <v>0</v>
      </c>
      <c r="EF6" s="3623">
        <v>0</v>
      </c>
      <c r="EG6" s="3505"/>
      <c r="EH6" s="3424">
        <v>0</v>
      </c>
      <c r="EI6" s="3617">
        <v>0</v>
      </c>
      <c r="EJ6" s="3623">
        <v>0</v>
      </c>
      <c r="EK6" s="3424">
        <v>0</v>
      </c>
      <c r="EL6" s="3617">
        <v>0</v>
      </c>
      <c r="EM6" s="3623">
        <v>0</v>
      </c>
      <c r="EN6" s="3424">
        <v>0</v>
      </c>
      <c r="EO6" s="3617">
        <v>0</v>
      </c>
      <c r="EP6" s="3623">
        <v>0</v>
      </c>
      <c r="EQ6" s="3424">
        <v>0</v>
      </c>
      <c r="ER6" s="3617">
        <v>0</v>
      </c>
      <c r="ES6" s="3623">
        <v>0</v>
      </c>
      <c r="ET6" s="3505"/>
      <c r="EU6" s="3426">
        <v>0</v>
      </c>
      <c r="EV6" s="3617">
        <v>0</v>
      </c>
      <c r="EW6" s="3426">
        <v>0</v>
      </c>
      <c r="EX6" s="3617">
        <v>0</v>
      </c>
      <c r="EY6" s="3505"/>
      <c r="EZ6" s="3426">
        <v>0</v>
      </c>
      <c r="FA6" s="3624">
        <v>0</v>
      </c>
      <c r="FB6" s="3426">
        <v>0</v>
      </c>
      <c r="FC6" s="3617">
        <v>0</v>
      </c>
      <c r="FD6" s="3505"/>
      <c r="FE6" s="3426">
        <v>0</v>
      </c>
      <c r="FF6" s="3624">
        <v>0</v>
      </c>
      <c r="FG6" s="3426">
        <v>0</v>
      </c>
      <c r="FH6" s="3617">
        <v>0</v>
      </c>
      <c r="FI6" s="3505"/>
      <c r="FJ6" s="3424">
        <v>0</v>
      </c>
      <c r="FK6" s="3622">
        <v>0</v>
      </c>
      <c r="FL6" s="3424">
        <v>0</v>
      </c>
      <c r="FM6" s="3622">
        <v>0</v>
      </c>
      <c r="FN6" s="3424">
        <v>0</v>
      </c>
      <c r="FO6" s="3622">
        <v>0</v>
      </c>
      <c r="FP6" s="3424">
        <v>0</v>
      </c>
      <c r="FQ6" s="3622">
        <v>0</v>
      </c>
      <c r="FR6" s="3424">
        <v>0</v>
      </c>
      <c r="FS6" s="3622">
        <v>0</v>
      </c>
      <c r="FT6" s="3424">
        <v>0</v>
      </c>
      <c r="FU6" s="3622">
        <v>0</v>
      </c>
      <c r="FV6" s="3424">
        <v>0</v>
      </c>
      <c r="FW6" s="3622">
        <v>0</v>
      </c>
      <c r="FX6" s="3424">
        <v>0</v>
      </c>
      <c r="FY6" s="3622">
        <v>0</v>
      </c>
      <c r="FZ6" s="3505"/>
      <c r="GA6" s="3424">
        <v>0</v>
      </c>
      <c r="GB6" s="3622">
        <v>0</v>
      </c>
      <c r="GC6" s="3424">
        <v>0</v>
      </c>
      <c r="GD6" s="3622">
        <v>0</v>
      </c>
      <c r="GE6" s="3424" t="s">
        <v>3786</v>
      </c>
      <c r="GF6" s="3622" t="s">
        <v>3787</v>
      </c>
      <c r="GG6" s="3424">
        <v>0</v>
      </c>
      <c r="GH6" s="3622">
        <v>0</v>
      </c>
      <c r="GI6" s="3581"/>
      <c r="GJ6" s="3424" t="s">
        <v>1876</v>
      </c>
      <c r="GK6" s="3622"/>
      <c r="GL6" s="3424">
        <v>0</v>
      </c>
      <c r="GM6" s="3622"/>
      <c r="GN6" s="3424">
        <v>0</v>
      </c>
      <c r="GO6" s="3622"/>
      <c r="GP6" s="3505">
        <v>0</v>
      </c>
      <c r="GQ6" s="3505">
        <v>0</v>
      </c>
      <c r="GR6" s="3505">
        <v>0</v>
      </c>
      <c r="GS6" s="3505">
        <v>1</v>
      </c>
      <c r="GT6" s="3505">
        <v>0</v>
      </c>
      <c r="GU6" s="3505">
        <v>0</v>
      </c>
      <c r="GV6" s="3505">
        <v>0</v>
      </c>
      <c r="GW6" s="3505">
        <v>1</v>
      </c>
    </row>
    <row r="7" spans="1:205" s="3425" customFormat="1">
      <c r="A7" s="3502">
        <v>3</v>
      </c>
      <c r="B7" s="3509" t="s">
        <v>3971</v>
      </c>
      <c r="C7" s="3509" t="s">
        <v>3971</v>
      </c>
      <c r="D7" s="3510"/>
      <c r="E7" s="3510"/>
      <c r="F7" s="3510"/>
      <c r="G7" s="3510"/>
      <c r="H7" s="3510"/>
      <c r="I7" s="3510"/>
      <c r="J7" s="3510"/>
      <c r="K7" s="3510"/>
      <c r="L7" s="3510"/>
      <c r="M7" s="3510"/>
      <c r="N7" s="3510"/>
      <c r="O7" s="3510"/>
      <c r="P7" s="3510"/>
      <c r="Q7" s="3511"/>
      <c r="R7" s="3512"/>
      <c r="S7" s="3512"/>
      <c r="T7" s="3510"/>
      <c r="U7" s="3510"/>
      <c r="V7" s="3510"/>
      <c r="W7" s="3513"/>
      <c r="X7" s="3512"/>
      <c r="Y7" s="3512"/>
      <c r="Z7" s="3512"/>
      <c r="AA7" s="3512"/>
      <c r="AB7" s="3512"/>
      <c r="AC7" s="3514"/>
      <c r="AD7" s="3515"/>
      <c r="AE7" s="3516"/>
      <c r="AF7" s="3517"/>
      <c r="AG7" s="3516"/>
      <c r="AH7" s="3513"/>
      <c r="AI7" s="3513"/>
      <c r="AJ7" s="3516"/>
      <c r="AK7" s="3506"/>
      <c r="AL7" s="3513"/>
      <c r="AM7" s="3518"/>
      <c r="AN7" s="3519"/>
      <c r="AO7" s="3519"/>
      <c r="AP7" s="3519"/>
      <c r="AQ7" s="3519"/>
      <c r="AR7" s="3520"/>
      <c r="AS7" s="3424"/>
      <c r="AT7" s="3503"/>
      <c r="AU7" s="3424"/>
      <c r="AV7" s="3504"/>
      <c r="AW7" s="3424"/>
      <c r="AX7" s="3504"/>
      <c r="AY7" s="3424"/>
      <c r="AZ7" s="3504"/>
      <c r="BA7" s="3424"/>
      <c r="BB7" s="3504"/>
      <c r="BC7" s="3424"/>
      <c r="BD7" s="3504"/>
      <c r="BE7" s="3424"/>
      <c r="BF7" s="3504"/>
      <c r="BG7" s="3424"/>
      <c r="BH7" s="3504"/>
      <c r="BI7" s="3521"/>
      <c r="BJ7" s="3521"/>
      <c r="BK7" s="3424"/>
      <c r="BL7" s="3504"/>
      <c r="BM7" s="3424"/>
      <c r="BN7" s="3503"/>
      <c r="BO7" s="3424"/>
      <c r="BP7" s="3504"/>
      <c r="BQ7" s="3424"/>
      <c r="BR7" s="3504"/>
      <c r="BS7" s="3424"/>
      <c r="BT7" s="3504"/>
      <c r="BU7" s="3424"/>
      <c r="BV7" s="3504"/>
      <c r="BW7" s="3424"/>
      <c r="BX7" s="3504"/>
      <c r="BY7" s="3424"/>
      <c r="BZ7" s="3504"/>
      <c r="CA7" s="3424"/>
      <c r="CB7" s="3504"/>
      <c r="CC7" s="3424"/>
      <c r="CD7" s="3504"/>
      <c r="CE7" s="3424"/>
      <c r="CF7" s="3503"/>
      <c r="CG7" s="3424"/>
      <c r="CH7" s="3504"/>
      <c r="CI7" s="3424"/>
      <c r="CJ7" s="3504"/>
      <c r="CK7" s="3424"/>
      <c r="CL7" s="3504"/>
      <c r="CM7" s="3424"/>
      <c r="CN7" s="3504"/>
      <c r="CO7" s="3424"/>
      <c r="CP7" s="3504"/>
      <c r="CQ7" s="3424"/>
      <c r="CR7" s="3504"/>
      <c r="CS7" s="3424"/>
      <c r="CT7" s="3504"/>
      <c r="CU7" s="3424"/>
      <c r="CV7" s="3504"/>
      <c r="CW7" s="3424"/>
      <c r="CX7" s="3504"/>
      <c r="CY7" s="3424"/>
      <c r="CZ7" s="3504"/>
      <c r="DA7" s="3424"/>
      <c r="DB7" s="3503"/>
      <c r="DC7" s="3424"/>
      <c r="DD7" s="3504"/>
      <c r="DE7" s="3424"/>
      <c r="DF7" s="3504"/>
      <c r="DG7" s="3424"/>
      <c r="DH7" s="3504"/>
      <c r="DI7" s="3424"/>
      <c r="DJ7" s="3504"/>
      <c r="DK7" s="3424"/>
      <c r="DL7" s="3504"/>
      <c r="DM7" s="3424"/>
      <c r="DN7" s="3504"/>
      <c r="DO7" s="3424"/>
      <c r="DP7" s="3504"/>
      <c r="DQ7" s="3424"/>
      <c r="DR7" s="3504"/>
      <c r="DS7" s="3505"/>
      <c r="DT7" s="3424"/>
      <c r="DU7" s="3506"/>
      <c r="DV7" s="3507"/>
      <c r="DW7" s="3424"/>
      <c r="DX7" s="3506"/>
      <c r="DY7" s="3507"/>
      <c r="DZ7" s="3424"/>
      <c r="EA7" s="3506"/>
      <c r="EB7" s="3507"/>
      <c r="EC7" s="3505"/>
      <c r="ED7" s="3424"/>
      <c r="EE7" s="3506"/>
      <c r="EF7" s="3507"/>
      <c r="EG7" s="3424"/>
      <c r="EH7" s="3506"/>
      <c r="EI7" s="3507"/>
      <c r="EJ7" s="3424"/>
      <c r="EK7" s="3506"/>
      <c r="EL7" s="3507"/>
      <c r="EM7" s="3424"/>
      <c r="EN7" s="3506"/>
      <c r="EO7" s="3507"/>
      <c r="EP7" s="3505"/>
      <c r="EQ7" s="3426"/>
      <c r="ER7" s="3506"/>
      <c r="ES7" s="3426"/>
      <c r="ET7" s="3506"/>
      <c r="EU7" s="3505"/>
      <c r="EV7" s="3426"/>
      <c r="EW7" s="3508"/>
      <c r="EX7" s="3426"/>
      <c r="EY7" s="3506"/>
      <c r="EZ7" s="3505"/>
      <c r="FA7" s="3426"/>
      <c r="FB7" s="3508"/>
      <c r="FC7" s="3426"/>
      <c r="FD7" s="3506"/>
      <c r="FE7" s="3505"/>
      <c r="FF7" s="3424"/>
      <c r="FG7" s="3504"/>
      <c r="FH7" s="3424"/>
      <c r="FI7" s="3504"/>
      <c r="FJ7" s="3424"/>
      <c r="FK7" s="3504"/>
      <c r="FL7" s="3424"/>
      <c r="FM7" s="3504"/>
      <c r="FN7" s="3424"/>
      <c r="FO7" s="3504"/>
      <c r="FP7" s="3424"/>
      <c r="FQ7" s="3504"/>
      <c r="FR7" s="3424"/>
      <c r="FS7" s="3504"/>
      <c r="FT7" s="3424"/>
      <c r="FU7" s="3504"/>
      <c r="FV7" s="3505"/>
      <c r="FW7" s="3424"/>
      <c r="FX7" s="3504"/>
      <c r="FY7" s="3424"/>
      <c r="FZ7" s="3504"/>
      <c r="GA7" s="3424"/>
      <c r="GB7" s="3504"/>
      <c r="GC7" s="3424"/>
      <c r="GD7" s="3504"/>
      <c r="GE7" s="3581"/>
      <c r="GF7" s="3581"/>
      <c r="GG7" s="3581"/>
      <c r="GH7" s="3581"/>
      <c r="GI7" s="3581"/>
      <c r="GJ7" s="3581"/>
      <c r="GK7" s="3581"/>
      <c r="GL7" s="3581"/>
      <c r="GM7" s="3581"/>
      <c r="GN7" s="3581"/>
      <c r="GO7" s="3581"/>
      <c r="GP7" s="3505">
        <v>0</v>
      </c>
      <c r="GQ7" s="3505">
        <v>0</v>
      </c>
      <c r="GR7" s="3505">
        <v>1</v>
      </c>
      <c r="GS7" s="3505">
        <v>1</v>
      </c>
      <c r="GT7" s="3505">
        <v>0</v>
      </c>
      <c r="GU7" s="3505">
        <v>0</v>
      </c>
      <c r="GV7" s="3505">
        <v>1</v>
      </c>
      <c r="GW7" s="3505">
        <v>0</v>
      </c>
    </row>
    <row r="8" spans="1:205" s="3425" customFormat="1">
      <c r="A8" s="3502">
        <v>4</v>
      </c>
      <c r="B8" s="3509" t="s">
        <v>106</v>
      </c>
      <c r="C8" s="3509" t="s">
        <v>106</v>
      </c>
      <c r="D8" s="3510"/>
      <c r="E8" s="3510"/>
      <c r="F8" s="3510"/>
      <c r="G8" s="3510"/>
      <c r="H8" s="3510"/>
      <c r="I8" s="3510"/>
      <c r="J8" s="3510"/>
      <c r="K8" s="3510"/>
      <c r="L8" s="3510"/>
      <c r="M8" s="3510"/>
      <c r="N8" s="3510"/>
      <c r="O8" s="3510"/>
      <c r="P8" s="3510"/>
      <c r="Q8" s="3511"/>
      <c r="R8" s="3512"/>
      <c r="S8" s="3512"/>
      <c r="T8" s="3510"/>
      <c r="U8" s="3510"/>
      <c r="V8" s="3510"/>
      <c r="W8" s="3513"/>
      <c r="X8" s="3512"/>
      <c r="Y8" s="3512"/>
      <c r="Z8" s="3512"/>
      <c r="AA8" s="3512"/>
      <c r="AB8" s="3512"/>
      <c r="AC8" s="3514"/>
      <c r="AD8" s="3515"/>
      <c r="AE8" s="3516"/>
      <c r="AF8" s="3517"/>
      <c r="AG8" s="3516"/>
      <c r="AH8" s="3513"/>
      <c r="AI8" s="3513"/>
      <c r="AJ8" s="3516"/>
      <c r="AK8" s="3506"/>
      <c r="AL8" s="3513"/>
      <c r="AM8" s="3518"/>
      <c r="AN8" s="3519"/>
      <c r="AO8" s="3519"/>
      <c r="AP8" s="3519"/>
      <c r="AQ8" s="3519"/>
      <c r="AR8" s="3520"/>
      <c r="AS8" s="3424"/>
      <c r="AT8" s="3503"/>
      <c r="AU8" s="3424"/>
      <c r="AV8" s="3504"/>
      <c r="AW8" s="3424"/>
      <c r="AX8" s="3504"/>
      <c r="AY8" s="3424"/>
      <c r="AZ8" s="3504"/>
      <c r="BA8" s="3424"/>
      <c r="BB8" s="3504"/>
      <c r="BC8" s="3424"/>
      <c r="BD8" s="3504"/>
      <c r="BE8" s="3424"/>
      <c r="BF8" s="3504"/>
      <c r="BG8" s="3424"/>
      <c r="BH8" s="3504"/>
      <c r="BI8" s="3521"/>
      <c r="BJ8" s="3521"/>
      <c r="BK8" s="3424"/>
      <c r="BL8" s="3504"/>
      <c r="BM8" s="3424"/>
      <c r="BN8" s="3503"/>
      <c r="BO8" s="3424"/>
      <c r="BP8" s="3504"/>
      <c r="BQ8" s="3424"/>
      <c r="BR8" s="3504"/>
      <c r="BS8" s="3424"/>
      <c r="BT8" s="3504"/>
      <c r="BU8" s="3424"/>
      <c r="BV8" s="3504"/>
      <c r="BW8" s="3424"/>
      <c r="BX8" s="3504"/>
      <c r="BY8" s="3424"/>
      <c r="BZ8" s="3504"/>
      <c r="CA8" s="3424"/>
      <c r="CB8" s="3504"/>
      <c r="CC8" s="3424"/>
      <c r="CD8" s="3504"/>
      <c r="CE8" s="3424"/>
      <c r="CF8" s="3503"/>
      <c r="CG8" s="3424"/>
      <c r="CH8" s="3504"/>
      <c r="CI8" s="3424"/>
      <c r="CJ8" s="3504"/>
      <c r="CK8" s="3424"/>
      <c r="CL8" s="3504"/>
      <c r="CM8" s="3424"/>
      <c r="CN8" s="3504"/>
      <c r="CO8" s="3424"/>
      <c r="CP8" s="3504"/>
      <c r="CQ8" s="3424"/>
      <c r="CR8" s="3504"/>
      <c r="CS8" s="3424"/>
      <c r="CT8" s="3504"/>
      <c r="CU8" s="3424"/>
      <c r="CV8" s="3504"/>
      <c r="CW8" s="3424"/>
      <c r="CX8" s="3504"/>
      <c r="CY8" s="3424"/>
      <c r="CZ8" s="3504"/>
      <c r="DA8" s="3424"/>
      <c r="DB8" s="3503"/>
      <c r="DC8" s="3424"/>
      <c r="DD8" s="3504"/>
      <c r="DE8" s="3424"/>
      <c r="DF8" s="3504"/>
      <c r="DG8" s="3424"/>
      <c r="DH8" s="3504"/>
      <c r="DI8" s="3424"/>
      <c r="DJ8" s="3504"/>
      <c r="DK8" s="3424"/>
      <c r="DL8" s="3504"/>
      <c r="DM8" s="3424"/>
      <c r="DN8" s="3504"/>
      <c r="DO8" s="3424"/>
      <c r="DP8" s="3504"/>
      <c r="DQ8" s="3424"/>
      <c r="DR8" s="3504"/>
      <c r="DS8" s="3505"/>
      <c r="DT8" s="3424"/>
      <c r="DU8" s="3506"/>
      <c r="DV8" s="3507"/>
      <c r="DW8" s="3424"/>
      <c r="DX8" s="3506"/>
      <c r="DY8" s="3507"/>
      <c r="DZ8" s="3424"/>
      <c r="EA8" s="3506"/>
      <c r="EB8" s="3507"/>
      <c r="EC8" s="3505"/>
      <c r="ED8" s="3424"/>
      <c r="EE8" s="3506"/>
      <c r="EF8" s="3507"/>
      <c r="EG8" s="3424"/>
      <c r="EH8" s="3506"/>
      <c r="EI8" s="3507"/>
      <c r="EJ8" s="3424"/>
      <c r="EK8" s="3506"/>
      <c r="EL8" s="3507"/>
      <c r="EM8" s="3424"/>
      <c r="EN8" s="3506"/>
      <c r="EO8" s="3507"/>
      <c r="EP8" s="3505"/>
      <c r="EQ8" s="3426"/>
      <c r="ER8" s="3506"/>
      <c r="ES8" s="3426"/>
      <c r="ET8" s="3506"/>
      <c r="EU8" s="3505"/>
      <c r="EV8" s="3426"/>
      <c r="EW8" s="3508"/>
      <c r="EX8" s="3426"/>
      <c r="EY8" s="3506"/>
      <c r="EZ8" s="3505"/>
      <c r="FA8" s="3426"/>
      <c r="FB8" s="3508"/>
      <c r="FC8" s="3426"/>
      <c r="FD8" s="3506"/>
      <c r="FE8" s="3505"/>
      <c r="FF8" s="3424"/>
      <c r="FG8" s="3504"/>
      <c r="FH8" s="3424"/>
      <c r="FI8" s="3504"/>
      <c r="FJ8" s="3424"/>
      <c r="FK8" s="3504"/>
      <c r="FL8" s="3424"/>
      <c r="FM8" s="3504"/>
      <c r="FN8" s="3424"/>
      <c r="FO8" s="3504"/>
      <c r="FP8" s="3424"/>
      <c r="FQ8" s="3504"/>
      <c r="FR8" s="3424"/>
      <c r="FS8" s="3504"/>
      <c r="FT8" s="3424"/>
      <c r="FU8" s="3504"/>
      <c r="FV8" s="3505"/>
      <c r="FW8" s="3424"/>
      <c r="FX8" s="3504"/>
      <c r="FY8" s="3424"/>
      <c r="FZ8" s="3504"/>
      <c r="GA8" s="3424"/>
      <c r="GB8" s="3504"/>
      <c r="GC8" s="3424"/>
      <c r="GD8" s="3504"/>
      <c r="GE8" s="3581"/>
      <c r="GF8" s="3581"/>
      <c r="GG8" s="3581"/>
      <c r="GH8" s="3581"/>
      <c r="GI8" s="3581"/>
      <c r="GJ8" s="3581"/>
      <c r="GK8" s="3581"/>
      <c r="GL8" s="3581"/>
      <c r="GM8" s="3581"/>
      <c r="GN8" s="3581"/>
      <c r="GO8" s="3581"/>
      <c r="GP8" s="3505">
        <v>0</v>
      </c>
      <c r="GQ8" s="3505">
        <v>0</v>
      </c>
      <c r="GR8" s="3505">
        <v>1</v>
      </c>
      <c r="GS8" s="3505">
        <v>2</v>
      </c>
      <c r="GT8" s="3505">
        <v>0</v>
      </c>
      <c r="GU8" s="3505">
        <v>0</v>
      </c>
      <c r="GV8" s="3505">
        <v>0</v>
      </c>
      <c r="GW8" s="3505">
        <v>1</v>
      </c>
    </row>
    <row r="9" spans="1:205" s="3425" customFormat="1">
      <c r="A9" s="3502">
        <v>5</v>
      </c>
      <c r="B9" s="3509" t="s">
        <v>106</v>
      </c>
      <c r="C9" s="3509" t="s">
        <v>106</v>
      </c>
      <c r="D9" s="3510"/>
      <c r="E9" s="3510"/>
      <c r="F9" s="3510"/>
      <c r="G9" s="3510"/>
      <c r="H9" s="3510"/>
      <c r="I9" s="3510"/>
      <c r="J9" s="3510"/>
      <c r="K9" s="3510"/>
      <c r="L9" s="3510"/>
      <c r="M9" s="3510"/>
      <c r="N9" s="3510"/>
      <c r="O9" s="3510"/>
      <c r="P9" s="3510"/>
      <c r="Q9" s="3511"/>
      <c r="R9" s="3512"/>
      <c r="S9" s="3512"/>
      <c r="T9" s="3510"/>
      <c r="U9" s="3510"/>
      <c r="V9" s="3510"/>
      <c r="W9" s="3513"/>
      <c r="X9" s="3512"/>
      <c r="Y9" s="3512"/>
      <c r="Z9" s="3512"/>
      <c r="AA9" s="3512"/>
      <c r="AB9" s="3512"/>
      <c r="AC9" s="3514"/>
      <c r="AD9" s="3515"/>
      <c r="AE9" s="3516"/>
      <c r="AF9" s="3517"/>
      <c r="AG9" s="3516"/>
      <c r="AH9" s="3513"/>
      <c r="AI9" s="3513"/>
      <c r="AJ9" s="3516"/>
      <c r="AK9" s="3506"/>
      <c r="AL9" s="3513"/>
      <c r="AM9" s="3518"/>
      <c r="AN9" s="3519"/>
      <c r="AO9" s="3519"/>
      <c r="AP9" s="3519"/>
      <c r="AQ9" s="3519"/>
      <c r="AR9" s="3520"/>
      <c r="AS9" s="3424"/>
      <c r="AT9" s="3503"/>
      <c r="AU9" s="3424"/>
      <c r="AV9" s="3504"/>
      <c r="AW9" s="3424"/>
      <c r="AX9" s="3504"/>
      <c r="AY9" s="3424"/>
      <c r="AZ9" s="3504"/>
      <c r="BA9" s="3424"/>
      <c r="BB9" s="3504"/>
      <c r="BC9" s="3424"/>
      <c r="BD9" s="3504"/>
      <c r="BE9" s="3424"/>
      <c r="BF9" s="3504"/>
      <c r="BG9" s="3424"/>
      <c r="BH9" s="3504"/>
      <c r="BI9" s="3521"/>
      <c r="BJ9" s="3521"/>
      <c r="BK9" s="3424"/>
      <c r="BL9" s="3504"/>
      <c r="BM9" s="3424"/>
      <c r="BN9" s="3503"/>
      <c r="BO9" s="3424"/>
      <c r="BP9" s="3504"/>
      <c r="BQ9" s="3424"/>
      <c r="BR9" s="3504"/>
      <c r="BS9" s="3424"/>
      <c r="BT9" s="3504"/>
      <c r="BU9" s="3424"/>
      <c r="BV9" s="3504"/>
      <c r="BW9" s="3424"/>
      <c r="BX9" s="3504"/>
      <c r="BY9" s="3424"/>
      <c r="BZ9" s="3504"/>
      <c r="CA9" s="3424"/>
      <c r="CB9" s="3504"/>
      <c r="CC9" s="3424"/>
      <c r="CD9" s="3504"/>
      <c r="CE9" s="3424"/>
      <c r="CF9" s="3503"/>
      <c r="CG9" s="3424"/>
      <c r="CH9" s="3504"/>
      <c r="CI9" s="3424"/>
      <c r="CJ9" s="3504"/>
      <c r="CK9" s="3424"/>
      <c r="CL9" s="3504"/>
      <c r="CM9" s="3424"/>
      <c r="CN9" s="3504"/>
      <c r="CO9" s="3424"/>
      <c r="CP9" s="3504"/>
      <c r="CQ9" s="3424"/>
      <c r="CR9" s="3504"/>
      <c r="CS9" s="3424"/>
      <c r="CT9" s="3504"/>
      <c r="CU9" s="3424"/>
      <c r="CV9" s="3504"/>
      <c r="CW9" s="3424"/>
      <c r="CX9" s="3504"/>
      <c r="CY9" s="3424"/>
      <c r="CZ9" s="3504"/>
      <c r="DA9" s="3424"/>
      <c r="DB9" s="3503"/>
      <c r="DC9" s="3424"/>
      <c r="DD9" s="3504"/>
      <c r="DE9" s="3424"/>
      <c r="DF9" s="3504"/>
      <c r="DG9" s="3424"/>
      <c r="DH9" s="3504"/>
      <c r="DI9" s="3424"/>
      <c r="DJ9" s="3504"/>
      <c r="DK9" s="3424"/>
      <c r="DL9" s="3504"/>
      <c r="DM9" s="3424"/>
      <c r="DN9" s="3504"/>
      <c r="DO9" s="3424"/>
      <c r="DP9" s="3504"/>
      <c r="DQ9" s="3424"/>
      <c r="DR9" s="3504"/>
      <c r="DS9" s="3505"/>
      <c r="DT9" s="3424"/>
      <c r="DU9" s="3506"/>
      <c r="DV9" s="3507"/>
      <c r="DW9" s="3424"/>
      <c r="DX9" s="3506"/>
      <c r="DY9" s="3507"/>
      <c r="DZ9" s="3424"/>
      <c r="EA9" s="3506"/>
      <c r="EB9" s="3507"/>
      <c r="EC9" s="3505"/>
      <c r="ED9" s="3424"/>
      <c r="EE9" s="3506"/>
      <c r="EF9" s="3507"/>
      <c r="EG9" s="3424"/>
      <c r="EH9" s="3506"/>
      <c r="EI9" s="3507"/>
      <c r="EJ9" s="3424"/>
      <c r="EK9" s="3506"/>
      <c r="EL9" s="3507"/>
      <c r="EM9" s="3424"/>
      <c r="EN9" s="3506"/>
      <c r="EO9" s="3507"/>
      <c r="EP9" s="3505"/>
      <c r="EQ9" s="3426"/>
      <c r="ER9" s="3506"/>
      <c r="ES9" s="3426"/>
      <c r="ET9" s="3506"/>
      <c r="EU9" s="3505"/>
      <c r="EV9" s="3426"/>
      <c r="EW9" s="3508"/>
      <c r="EX9" s="3426"/>
      <c r="EY9" s="3506"/>
      <c r="EZ9" s="3505"/>
      <c r="FA9" s="3426"/>
      <c r="FB9" s="3508"/>
      <c r="FC9" s="3426"/>
      <c r="FD9" s="3506"/>
      <c r="FE9" s="3505"/>
      <c r="FF9" s="3424"/>
      <c r="FG9" s="3504"/>
      <c r="FH9" s="3424"/>
      <c r="FI9" s="3504"/>
      <c r="FJ9" s="3424"/>
      <c r="FK9" s="3504"/>
      <c r="FL9" s="3424"/>
      <c r="FM9" s="3504"/>
      <c r="FN9" s="3424"/>
      <c r="FO9" s="3504"/>
      <c r="FP9" s="3424"/>
      <c r="FQ9" s="3504"/>
      <c r="FR9" s="3424"/>
      <c r="FS9" s="3504"/>
      <c r="FT9" s="3424"/>
      <c r="FU9" s="3504"/>
      <c r="FV9" s="3505"/>
      <c r="FW9" s="3424"/>
      <c r="FX9" s="3504"/>
      <c r="FY9" s="3424"/>
      <c r="FZ9" s="3504"/>
      <c r="GA9" s="3424"/>
      <c r="GB9" s="3504"/>
      <c r="GC9" s="3424"/>
      <c r="GD9" s="3504"/>
      <c r="GE9" s="3581"/>
      <c r="GF9" s="3581"/>
      <c r="GG9" s="3581"/>
      <c r="GH9" s="3581"/>
      <c r="GI9" s="3581"/>
      <c r="GJ9" s="3581"/>
      <c r="GK9" s="3581"/>
      <c r="GL9" s="3581"/>
      <c r="GM9" s="3581"/>
      <c r="GN9" s="3581"/>
      <c r="GO9" s="3581"/>
      <c r="GP9" s="3505">
        <v>0</v>
      </c>
      <c r="GQ9" s="3505">
        <v>0</v>
      </c>
      <c r="GR9" s="3505">
        <v>1</v>
      </c>
      <c r="GS9" s="3505">
        <v>3</v>
      </c>
      <c r="GT9" s="3505">
        <v>0</v>
      </c>
      <c r="GU9" s="3505">
        <v>0</v>
      </c>
      <c r="GV9" s="3505">
        <v>0</v>
      </c>
      <c r="GW9" s="3505">
        <v>1</v>
      </c>
    </row>
    <row r="10" spans="1:205" s="3425" customFormat="1">
      <c r="A10" s="3502">
        <v>6</v>
      </c>
      <c r="B10" s="3509" t="s">
        <v>106</v>
      </c>
      <c r="C10" s="3509" t="s">
        <v>106</v>
      </c>
      <c r="D10" s="3510"/>
      <c r="E10" s="3510"/>
      <c r="F10" s="3510"/>
      <c r="G10" s="3510"/>
      <c r="H10" s="3510"/>
      <c r="I10" s="3510"/>
      <c r="J10" s="3510"/>
      <c r="K10" s="3510"/>
      <c r="L10" s="3510"/>
      <c r="M10" s="3510"/>
      <c r="N10" s="3510"/>
      <c r="O10" s="3510"/>
      <c r="P10" s="3510"/>
      <c r="Q10" s="3511"/>
      <c r="R10" s="3512"/>
      <c r="S10" s="3512"/>
      <c r="T10" s="3510"/>
      <c r="U10" s="3510"/>
      <c r="V10" s="3510"/>
      <c r="W10" s="3513"/>
      <c r="X10" s="3512"/>
      <c r="Y10" s="3512"/>
      <c r="Z10" s="3512"/>
      <c r="AA10" s="3512"/>
      <c r="AB10" s="3512"/>
      <c r="AC10" s="3514"/>
      <c r="AD10" s="3515"/>
      <c r="AE10" s="3516"/>
      <c r="AF10" s="3517"/>
      <c r="AG10" s="3516"/>
      <c r="AH10" s="3513"/>
      <c r="AI10" s="3513"/>
      <c r="AJ10" s="3516"/>
      <c r="AK10" s="3506"/>
      <c r="AL10" s="3513"/>
      <c r="AM10" s="3518"/>
      <c r="AN10" s="3519"/>
      <c r="AO10" s="3519"/>
      <c r="AP10" s="3519"/>
      <c r="AQ10" s="3519"/>
      <c r="AR10" s="3520"/>
      <c r="AS10" s="3424"/>
      <c r="AT10" s="3503"/>
      <c r="AU10" s="3424"/>
      <c r="AV10" s="3504"/>
      <c r="AW10" s="3424"/>
      <c r="AX10" s="3504"/>
      <c r="AY10" s="3424"/>
      <c r="AZ10" s="3504"/>
      <c r="BA10" s="3424"/>
      <c r="BB10" s="3504"/>
      <c r="BC10" s="3424"/>
      <c r="BD10" s="3504"/>
      <c r="BE10" s="3424"/>
      <c r="BF10" s="3504"/>
      <c r="BG10" s="3424"/>
      <c r="BH10" s="3504"/>
      <c r="BI10" s="3521"/>
      <c r="BJ10" s="3521"/>
      <c r="BK10" s="3424"/>
      <c r="BL10" s="3504"/>
      <c r="BM10" s="3424"/>
      <c r="BN10" s="3503"/>
      <c r="BO10" s="3424"/>
      <c r="BP10" s="3504"/>
      <c r="BQ10" s="3424"/>
      <c r="BR10" s="3504"/>
      <c r="BS10" s="3424"/>
      <c r="BT10" s="3504"/>
      <c r="BU10" s="3424"/>
      <c r="BV10" s="3504"/>
      <c r="BW10" s="3424"/>
      <c r="BX10" s="3504"/>
      <c r="BY10" s="3424"/>
      <c r="BZ10" s="3504"/>
      <c r="CA10" s="3424"/>
      <c r="CB10" s="3504"/>
      <c r="CC10" s="3424"/>
      <c r="CD10" s="3504"/>
      <c r="CE10" s="3424"/>
      <c r="CF10" s="3503"/>
      <c r="CG10" s="3424"/>
      <c r="CH10" s="3504"/>
      <c r="CI10" s="3424"/>
      <c r="CJ10" s="3504"/>
      <c r="CK10" s="3424"/>
      <c r="CL10" s="3504"/>
      <c r="CM10" s="3424"/>
      <c r="CN10" s="3504"/>
      <c r="CO10" s="3424"/>
      <c r="CP10" s="3504"/>
      <c r="CQ10" s="3424"/>
      <c r="CR10" s="3504"/>
      <c r="CS10" s="3424"/>
      <c r="CT10" s="3504"/>
      <c r="CU10" s="3424"/>
      <c r="CV10" s="3504"/>
      <c r="CW10" s="3424"/>
      <c r="CX10" s="3504"/>
      <c r="CY10" s="3424"/>
      <c r="CZ10" s="3504"/>
      <c r="DA10" s="3424"/>
      <c r="DB10" s="3503"/>
      <c r="DC10" s="3424"/>
      <c r="DD10" s="3504"/>
      <c r="DE10" s="3424"/>
      <c r="DF10" s="3504"/>
      <c r="DG10" s="3424"/>
      <c r="DH10" s="3504"/>
      <c r="DI10" s="3424"/>
      <c r="DJ10" s="3504"/>
      <c r="DK10" s="3424"/>
      <c r="DL10" s="3504"/>
      <c r="DM10" s="3424"/>
      <c r="DN10" s="3504"/>
      <c r="DO10" s="3424"/>
      <c r="DP10" s="3504"/>
      <c r="DQ10" s="3424"/>
      <c r="DR10" s="3504"/>
      <c r="DS10" s="3505"/>
      <c r="DT10" s="3424"/>
      <c r="DU10" s="3506"/>
      <c r="DV10" s="3507"/>
      <c r="DW10" s="3424"/>
      <c r="DX10" s="3506"/>
      <c r="DY10" s="3507"/>
      <c r="DZ10" s="3424"/>
      <c r="EA10" s="3506"/>
      <c r="EB10" s="3507"/>
      <c r="EC10" s="3505"/>
      <c r="ED10" s="3424"/>
      <c r="EE10" s="3506"/>
      <c r="EF10" s="3507"/>
      <c r="EG10" s="3424"/>
      <c r="EH10" s="3506"/>
      <c r="EI10" s="3507"/>
      <c r="EJ10" s="3424"/>
      <c r="EK10" s="3506"/>
      <c r="EL10" s="3507"/>
      <c r="EM10" s="3424"/>
      <c r="EN10" s="3506"/>
      <c r="EO10" s="3507"/>
      <c r="EP10" s="3505"/>
      <c r="EQ10" s="3426"/>
      <c r="ER10" s="3506"/>
      <c r="ES10" s="3426"/>
      <c r="ET10" s="3506"/>
      <c r="EU10" s="3505"/>
      <c r="EV10" s="3426"/>
      <c r="EW10" s="3508"/>
      <c r="EX10" s="3426"/>
      <c r="EY10" s="3506"/>
      <c r="EZ10" s="3505"/>
      <c r="FA10" s="3426"/>
      <c r="FB10" s="3508"/>
      <c r="FC10" s="3426"/>
      <c r="FD10" s="3506"/>
      <c r="FE10" s="3505"/>
      <c r="FF10" s="3424"/>
      <c r="FG10" s="3504"/>
      <c r="FH10" s="3424"/>
      <c r="FI10" s="3504"/>
      <c r="FJ10" s="3424"/>
      <c r="FK10" s="3504"/>
      <c r="FL10" s="3424"/>
      <c r="FM10" s="3504"/>
      <c r="FN10" s="3424"/>
      <c r="FO10" s="3504"/>
      <c r="FP10" s="3424"/>
      <c r="FQ10" s="3504"/>
      <c r="FR10" s="3424"/>
      <c r="FS10" s="3504"/>
      <c r="FT10" s="3424"/>
      <c r="FU10" s="3504"/>
      <c r="FV10" s="3505"/>
      <c r="FW10" s="3424"/>
      <c r="FX10" s="3504"/>
      <c r="FY10" s="3424"/>
      <c r="FZ10" s="3504"/>
      <c r="GA10" s="3424"/>
      <c r="GB10" s="3504"/>
      <c r="GC10" s="3424"/>
      <c r="GD10" s="3504"/>
      <c r="GE10" s="3581"/>
      <c r="GF10" s="3581"/>
      <c r="GG10" s="3581"/>
      <c r="GH10" s="3581"/>
      <c r="GI10" s="3581"/>
      <c r="GJ10" s="3581"/>
      <c r="GK10" s="3581"/>
      <c r="GL10" s="3581"/>
      <c r="GM10" s="3581"/>
      <c r="GN10" s="3581"/>
      <c r="GO10" s="3581"/>
      <c r="GP10" s="3505">
        <v>0</v>
      </c>
      <c r="GQ10" s="3505">
        <v>0</v>
      </c>
      <c r="GR10" s="3505">
        <v>1</v>
      </c>
      <c r="GS10" s="3505">
        <v>4</v>
      </c>
      <c r="GT10" s="3505">
        <v>0</v>
      </c>
      <c r="GU10" s="3505">
        <v>0</v>
      </c>
      <c r="GV10" s="3505">
        <v>0</v>
      </c>
      <c r="GW10" s="3505">
        <v>1</v>
      </c>
    </row>
    <row r="11" spans="1:205" s="3425" customFormat="1">
      <c r="A11" s="3502">
        <v>7</v>
      </c>
      <c r="B11" s="3509" t="s">
        <v>106</v>
      </c>
      <c r="C11" s="3509" t="s">
        <v>106</v>
      </c>
      <c r="D11" s="3510"/>
      <c r="E11" s="3510"/>
      <c r="F11" s="3510"/>
      <c r="G11" s="3510"/>
      <c r="H11" s="3510"/>
      <c r="I11" s="3510"/>
      <c r="J11" s="3510"/>
      <c r="K11" s="3510"/>
      <c r="L11" s="3510"/>
      <c r="M11" s="3510"/>
      <c r="N11" s="3510"/>
      <c r="O11" s="3510"/>
      <c r="P11" s="3510"/>
      <c r="Q11" s="3511"/>
      <c r="R11" s="3512"/>
      <c r="S11" s="3512"/>
      <c r="T11" s="3510"/>
      <c r="U11" s="3510"/>
      <c r="V11" s="3510"/>
      <c r="W11" s="3513"/>
      <c r="X11" s="3512"/>
      <c r="Y11" s="3512"/>
      <c r="Z11" s="3512"/>
      <c r="AA11" s="3512"/>
      <c r="AB11" s="3512"/>
      <c r="AC11" s="3514"/>
      <c r="AD11" s="3515"/>
      <c r="AE11" s="3516"/>
      <c r="AF11" s="3517"/>
      <c r="AG11" s="3516"/>
      <c r="AH11" s="3513"/>
      <c r="AI11" s="3513"/>
      <c r="AJ11" s="3516"/>
      <c r="AK11" s="3506"/>
      <c r="AL11" s="3513"/>
      <c r="AM11" s="3518"/>
      <c r="AN11" s="3519"/>
      <c r="AO11" s="3519"/>
      <c r="AP11" s="3519"/>
      <c r="AQ11" s="3519"/>
      <c r="AR11" s="3520"/>
      <c r="AS11" s="3424"/>
      <c r="AT11" s="3503"/>
      <c r="AU11" s="3424"/>
      <c r="AV11" s="3504"/>
      <c r="AW11" s="3424"/>
      <c r="AX11" s="3504"/>
      <c r="AY11" s="3424"/>
      <c r="AZ11" s="3504"/>
      <c r="BA11" s="3424"/>
      <c r="BB11" s="3504"/>
      <c r="BC11" s="3424"/>
      <c r="BD11" s="3504"/>
      <c r="BE11" s="3424"/>
      <c r="BF11" s="3504"/>
      <c r="BG11" s="3424"/>
      <c r="BH11" s="3504"/>
      <c r="BI11" s="3521"/>
      <c r="BJ11" s="3521"/>
      <c r="BK11" s="3424"/>
      <c r="BL11" s="3504"/>
      <c r="BM11" s="3424"/>
      <c r="BN11" s="3503"/>
      <c r="BO11" s="3424"/>
      <c r="BP11" s="3504"/>
      <c r="BQ11" s="3424"/>
      <c r="BR11" s="3504"/>
      <c r="BS11" s="3424"/>
      <c r="BT11" s="3504"/>
      <c r="BU11" s="3424"/>
      <c r="BV11" s="3504"/>
      <c r="BW11" s="3424"/>
      <c r="BX11" s="3504"/>
      <c r="BY11" s="3424"/>
      <c r="BZ11" s="3504"/>
      <c r="CA11" s="3424"/>
      <c r="CB11" s="3504"/>
      <c r="CC11" s="3424"/>
      <c r="CD11" s="3504"/>
      <c r="CE11" s="3424"/>
      <c r="CF11" s="3503"/>
      <c r="CG11" s="3424"/>
      <c r="CH11" s="3504"/>
      <c r="CI11" s="3424"/>
      <c r="CJ11" s="3504"/>
      <c r="CK11" s="3424"/>
      <c r="CL11" s="3504"/>
      <c r="CM11" s="3424"/>
      <c r="CN11" s="3504"/>
      <c r="CO11" s="3424"/>
      <c r="CP11" s="3504"/>
      <c r="CQ11" s="3424"/>
      <c r="CR11" s="3504"/>
      <c r="CS11" s="3424"/>
      <c r="CT11" s="3504"/>
      <c r="CU11" s="3424"/>
      <c r="CV11" s="3504"/>
      <c r="CW11" s="3424"/>
      <c r="CX11" s="3504"/>
      <c r="CY11" s="3424"/>
      <c r="CZ11" s="3504"/>
      <c r="DA11" s="3424"/>
      <c r="DB11" s="3503"/>
      <c r="DC11" s="3424"/>
      <c r="DD11" s="3504"/>
      <c r="DE11" s="3424"/>
      <c r="DF11" s="3504"/>
      <c r="DG11" s="3424"/>
      <c r="DH11" s="3504"/>
      <c r="DI11" s="3424"/>
      <c r="DJ11" s="3504"/>
      <c r="DK11" s="3424"/>
      <c r="DL11" s="3504"/>
      <c r="DM11" s="3424"/>
      <c r="DN11" s="3504"/>
      <c r="DO11" s="3424"/>
      <c r="DP11" s="3504"/>
      <c r="DQ11" s="3424"/>
      <c r="DR11" s="3504"/>
      <c r="DS11" s="3505"/>
      <c r="DT11" s="3424"/>
      <c r="DU11" s="3506"/>
      <c r="DV11" s="3507"/>
      <c r="DW11" s="3424"/>
      <c r="DX11" s="3506"/>
      <c r="DY11" s="3507"/>
      <c r="DZ11" s="3424"/>
      <c r="EA11" s="3506"/>
      <c r="EB11" s="3507"/>
      <c r="EC11" s="3505"/>
      <c r="ED11" s="3424"/>
      <c r="EE11" s="3506"/>
      <c r="EF11" s="3507"/>
      <c r="EG11" s="3424"/>
      <c r="EH11" s="3506"/>
      <c r="EI11" s="3507"/>
      <c r="EJ11" s="3424"/>
      <c r="EK11" s="3506"/>
      <c r="EL11" s="3507"/>
      <c r="EM11" s="3424"/>
      <c r="EN11" s="3506"/>
      <c r="EO11" s="3507"/>
      <c r="EP11" s="3505"/>
      <c r="EQ11" s="3426"/>
      <c r="ER11" s="3506"/>
      <c r="ES11" s="3426"/>
      <c r="ET11" s="3506"/>
      <c r="EU11" s="3505"/>
      <c r="EV11" s="3426"/>
      <c r="EW11" s="3508"/>
      <c r="EX11" s="3426"/>
      <c r="EY11" s="3506"/>
      <c r="EZ11" s="3505"/>
      <c r="FA11" s="3426"/>
      <c r="FB11" s="3508"/>
      <c r="FC11" s="3426"/>
      <c r="FD11" s="3506"/>
      <c r="FE11" s="3505"/>
      <c r="FF11" s="3424"/>
      <c r="FG11" s="3504"/>
      <c r="FH11" s="3424"/>
      <c r="FI11" s="3504"/>
      <c r="FJ11" s="3424"/>
      <c r="FK11" s="3504"/>
      <c r="FL11" s="3424"/>
      <c r="FM11" s="3504"/>
      <c r="FN11" s="3424"/>
      <c r="FO11" s="3504"/>
      <c r="FP11" s="3424"/>
      <c r="FQ11" s="3504"/>
      <c r="FR11" s="3424"/>
      <c r="FS11" s="3504"/>
      <c r="FT11" s="3424"/>
      <c r="FU11" s="3504"/>
      <c r="FV11" s="3505"/>
      <c r="FW11" s="3424"/>
      <c r="FX11" s="3504"/>
      <c r="FY11" s="3424"/>
      <c r="FZ11" s="3504"/>
      <c r="GA11" s="3424"/>
      <c r="GB11" s="3504"/>
      <c r="GC11" s="3424"/>
      <c r="GD11" s="3504"/>
      <c r="GE11" s="3581"/>
      <c r="GF11" s="3581"/>
      <c r="GG11" s="3581"/>
      <c r="GH11" s="3581"/>
      <c r="GI11" s="3581"/>
      <c r="GJ11" s="3581"/>
      <c r="GK11" s="3581"/>
      <c r="GL11" s="3581"/>
      <c r="GM11" s="3581"/>
      <c r="GN11" s="3581"/>
      <c r="GO11" s="3581"/>
      <c r="GP11" s="3505">
        <v>0</v>
      </c>
      <c r="GQ11" s="3505">
        <v>0</v>
      </c>
      <c r="GR11" s="3505">
        <v>1</v>
      </c>
      <c r="GS11" s="3505">
        <v>5</v>
      </c>
      <c r="GT11" s="3505">
        <v>0</v>
      </c>
      <c r="GU11" s="3505">
        <v>0</v>
      </c>
      <c r="GV11" s="3505">
        <v>0</v>
      </c>
      <c r="GW11" s="3505">
        <v>1</v>
      </c>
    </row>
    <row r="12" spans="1:205" s="3425" customFormat="1">
      <c r="A12" s="3502">
        <v>8</v>
      </c>
      <c r="B12" s="3509" t="s">
        <v>106</v>
      </c>
      <c r="C12" s="3509" t="s">
        <v>106</v>
      </c>
      <c r="D12" s="3510"/>
      <c r="E12" s="3510"/>
      <c r="F12" s="3510"/>
      <c r="G12" s="3510"/>
      <c r="H12" s="3510"/>
      <c r="I12" s="3510"/>
      <c r="J12" s="3510"/>
      <c r="K12" s="3510"/>
      <c r="L12" s="3510"/>
      <c r="M12" s="3510"/>
      <c r="N12" s="3510"/>
      <c r="O12" s="3510"/>
      <c r="P12" s="3510"/>
      <c r="Q12" s="3511"/>
      <c r="R12" s="3512"/>
      <c r="S12" s="3512"/>
      <c r="T12" s="3510"/>
      <c r="U12" s="3510"/>
      <c r="V12" s="3510"/>
      <c r="W12" s="3513"/>
      <c r="X12" s="3512"/>
      <c r="Y12" s="3512"/>
      <c r="Z12" s="3512"/>
      <c r="AA12" s="3512"/>
      <c r="AB12" s="3512"/>
      <c r="AC12" s="3514"/>
      <c r="AD12" s="3515"/>
      <c r="AE12" s="3516"/>
      <c r="AF12" s="3517"/>
      <c r="AG12" s="3516"/>
      <c r="AH12" s="3513"/>
      <c r="AI12" s="3513"/>
      <c r="AJ12" s="3516"/>
      <c r="AK12" s="3506"/>
      <c r="AL12" s="3513"/>
      <c r="AM12" s="3518"/>
      <c r="AN12" s="3519"/>
      <c r="AO12" s="3519"/>
      <c r="AP12" s="3519"/>
      <c r="AQ12" s="3519"/>
      <c r="AR12" s="3520"/>
      <c r="AS12" s="3424"/>
      <c r="AT12" s="3503"/>
      <c r="AU12" s="3424"/>
      <c r="AV12" s="3504"/>
      <c r="AW12" s="3424"/>
      <c r="AX12" s="3504"/>
      <c r="AY12" s="3424"/>
      <c r="AZ12" s="3504"/>
      <c r="BA12" s="3424"/>
      <c r="BB12" s="3504"/>
      <c r="BC12" s="3424"/>
      <c r="BD12" s="3504"/>
      <c r="BE12" s="3424"/>
      <c r="BF12" s="3504"/>
      <c r="BG12" s="3424"/>
      <c r="BH12" s="3504"/>
      <c r="BI12" s="3521"/>
      <c r="BJ12" s="3521"/>
      <c r="BK12" s="3424"/>
      <c r="BL12" s="3504"/>
      <c r="BM12" s="3424"/>
      <c r="BN12" s="3503"/>
      <c r="BO12" s="3424"/>
      <c r="BP12" s="3504"/>
      <c r="BQ12" s="3424"/>
      <c r="BR12" s="3504"/>
      <c r="BS12" s="3424"/>
      <c r="BT12" s="3504"/>
      <c r="BU12" s="3424"/>
      <c r="BV12" s="3504"/>
      <c r="BW12" s="3424"/>
      <c r="BX12" s="3504"/>
      <c r="BY12" s="3424"/>
      <c r="BZ12" s="3504"/>
      <c r="CA12" s="3424"/>
      <c r="CB12" s="3504"/>
      <c r="CC12" s="3424"/>
      <c r="CD12" s="3504"/>
      <c r="CE12" s="3424"/>
      <c r="CF12" s="3503"/>
      <c r="CG12" s="3424"/>
      <c r="CH12" s="3504"/>
      <c r="CI12" s="3424"/>
      <c r="CJ12" s="3504"/>
      <c r="CK12" s="3424"/>
      <c r="CL12" s="3504"/>
      <c r="CM12" s="3424"/>
      <c r="CN12" s="3504"/>
      <c r="CO12" s="3424"/>
      <c r="CP12" s="3504"/>
      <c r="CQ12" s="3424"/>
      <c r="CR12" s="3504"/>
      <c r="CS12" s="3424"/>
      <c r="CT12" s="3504"/>
      <c r="CU12" s="3424"/>
      <c r="CV12" s="3504"/>
      <c r="CW12" s="3424"/>
      <c r="CX12" s="3504"/>
      <c r="CY12" s="3424"/>
      <c r="CZ12" s="3504"/>
      <c r="DA12" s="3424"/>
      <c r="DB12" s="3503"/>
      <c r="DC12" s="3424"/>
      <c r="DD12" s="3504"/>
      <c r="DE12" s="3424"/>
      <c r="DF12" s="3504"/>
      <c r="DG12" s="3424"/>
      <c r="DH12" s="3504"/>
      <c r="DI12" s="3424"/>
      <c r="DJ12" s="3504"/>
      <c r="DK12" s="3424"/>
      <c r="DL12" s="3504"/>
      <c r="DM12" s="3424"/>
      <c r="DN12" s="3504"/>
      <c r="DO12" s="3424"/>
      <c r="DP12" s="3504"/>
      <c r="DQ12" s="3424"/>
      <c r="DR12" s="3504"/>
      <c r="DS12" s="3505"/>
      <c r="DT12" s="3424"/>
      <c r="DU12" s="3506"/>
      <c r="DV12" s="3507"/>
      <c r="DW12" s="3424"/>
      <c r="DX12" s="3506"/>
      <c r="DY12" s="3507"/>
      <c r="DZ12" s="3424"/>
      <c r="EA12" s="3506"/>
      <c r="EB12" s="3507"/>
      <c r="EC12" s="3505"/>
      <c r="ED12" s="3424"/>
      <c r="EE12" s="3506"/>
      <c r="EF12" s="3507"/>
      <c r="EG12" s="3424"/>
      <c r="EH12" s="3506"/>
      <c r="EI12" s="3507"/>
      <c r="EJ12" s="3424"/>
      <c r="EK12" s="3506"/>
      <c r="EL12" s="3507"/>
      <c r="EM12" s="3424"/>
      <c r="EN12" s="3506"/>
      <c r="EO12" s="3507"/>
      <c r="EP12" s="3505"/>
      <c r="EQ12" s="3426"/>
      <c r="ER12" s="3506"/>
      <c r="ES12" s="3426"/>
      <c r="ET12" s="3506"/>
      <c r="EU12" s="3505"/>
      <c r="EV12" s="3426"/>
      <c r="EW12" s="3508"/>
      <c r="EX12" s="3426"/>
      <c r="EY12" s="3506"/>
      <c r="EZ12" s="3505"/>
      <c r="FA12" s="3426"/>
      <c r="FB12" s="3508"/>
      <c r="FC12" s="3426"/>
      <c r="FD12" s="3506"/>
      <c r="FE12" s="3505"/>
      <c r="FF12" s="3424"/>
      <c r="FG12" s="3504"/>
      <c r="FH12" s="3424"/>
      <c r="FI12" s="3504"/>
      <c r="FJ12" s="3424"/>
      <c r="FK12" s="3504"/>
      <c r="FL12" s="3424"/>
      <c r="FM12" s="3504"/>
      <c r="FN12" s="3424"/>
      <c r="FO12" s="3504"/>
      <c r="FP12" s="3424"/>
      <c r="FQ12" s="3504"/>
      <c r="FR12" s="3424"/>
      <c r="FS12" s="3504"/>
      <c r="FT12" s="3424"/>
      <c r="FU12" s="3504"/>
      <c r="FV12" s="3505"/>
      <c r="FW12" s="3424"/>
      <c r="FX12" s="3504"/>
      <c r="FY12" s="3424"/>
      <c r="FZ12" s="3504"/>
      <c r="GA12" s="3424"/>
      <c r="GB12" s="3504"/>
      <c r="GC12" s="3424"/>
      <c r="GD12" s="3504"/>
      <c r="GE12" s="3581"/>
      <c r="GF12" s="3581"/>
      <c r="GG12" s="3581"/>
      <c r="GH12" s="3581"/>
      <c r="GI12" s="3581"/>
      <c r="GJ12" s="3581"/>
      <c r="GK12" s="3581"/>
      <c r="GL12" s="3581"/>
      <c r="GM12" s="3581"/>
      <c r="GN12" s="3581"/>
      <c r="GO12" s="3581"/>
      <c r="GP12" s="3505">
        <v>0</v>
      </c>
      <c r="GQ12" s="3505">
        <v>0</v>
      </c>
      <c r="GR12" s="3505">
        <v>1</v>
      </c>
      <c r="GS12" s="3505">
        <v>6</v>
      </c>
      <c r="GT12" s="3505">
        <v>0</v>
      </c>
      <c r="GU12" s="3505">
        <v>0</v>
      </c>
      <c r="GV12" s="3505">
        <v>0</v>
      </c>
      <c r="GW12" s="3505">
        <v>1</v>
      </c>
    </row>
    <row r="13" spans="1:205" s="3425" customFormat="1">
      <c r="A13" s="3502">
        <v>9</v>
      </c>
      <c r="B13" s="3509" t="s">
        <v>106</v>
      </c>
      <c r="C13" s="3509" t="s">
        <v>106</v>
      </c>
      <c r="D13" s="3510"/>
      <c r="E13" s="3510"/>
      <c r="F13" s="3510"/>
      <c r="G13" s="3510"/>
      <c r="H13" s="3510"/>
      <c r="I13" s="3510"/>
      <c r="J13" s="3510"/>
      <c r="K13" s="3510"/>
      <c r="L13" s="3510"/>
      <c r="M13" s="3510"/>
      <c r="N13" s="3510"/>
      <c r="O13" s="3510"/>
      <c r="P13" s="3510"/>
      <c r="Q13" s="3511"/>
      <c r="R13" s="3512"/>
      <c r="S13" s="3512"/>
      <c r="T13" s="3510"/>
      <c r="U13" s="3510"/>
      <c r="V13" s="3510"/>
      <c r="W13" s="3513"/>
      <c r="X13" s="3512"/>
      <c r="Y13" s="3512"/>
      <c r="Z13" s="3512"/>
      <c r="AA13" s="3512"/>
      <c r="AB13" s="3512"/>
      <c r="AC13" s="3514"/>
      <c r="AD13" s="3515"/>
      <c r="AE13" s="3516"/>
      <c r="AF13" s="3517"/>
      <c r="AG13" s="3516"/>
      <c r="AH13" s="3513"/>
      <c r="AI13" s="3513"/>
      <c r="AJ13" s="3516"/>
      <c r="AK13" s="3506"/>
      <c r="AL13" s="3513"/>
      <c r="AM13" s="3518"/>
      <c r="AN13" s="3519"/>
      <c r="AO13" s="3519"/>
      <c r="AP13" s="3519"/>
      <c r="AQ13" s="3519"/>
      <c r="AR13" s="3520"/>
      <c r="AS13" s="3424"/>
      <c r="AT13" s="3503"/>
      <c r="AU13" s="3424"/>
      <c r="AV13" s="3504"/>
      <c r="AW13" s="3424"/>
      <c r="AX13" s="3504"/>
      <c r="AY13" s="3424"/>
      <c r="AZ13" s="3504"/>
      <c r="BA13" s="3424"/>
      <c r="BB13" s="3504"/>
      <c r="BC13" s="3424"/>
      <c r="BD13" s="3504"/>
      <c r="BE13" s="3424"/>
      <c r="BF13" s="3504"/>
      <c r="BG13" s="3424"/>
      <c r="BH13" s="3504"/>
      <c r="BI13" s="3521"/>
      <c r="BJ13" s="3521"/>
      <c r="BK13" s="3424"/>
      <c r="BL13" s="3504"/>
      <c r="BM13" s="3424"/>
      <c r="BN13" s="3503"/>
      <c r="BO13" s="3424"/>
      <c r="BP13" s="3504"/>
      <c r="BQ13" s="3424"/>
      <c r="BR13" s="3504"/>
      <c r="BS13" s="3424"/>
      <c r="BT13" s="3504"/>
      <c r="BU13" s="3424"/>
      <c r="BV13" s="3504"/>
      <c r="BW13" s="3424"/>
      <c r="BX13" s="3504"/>
      <c r="BY13" s="3424"/>
      <c r="BZ13" s="3504"/>
      <c r="CA13" s="3424"/>
      <c r="CB13" s="3504"/>
      <c r="CC13" s="3424"/>
      <c r="CD13" s="3504"/>
      <c r="CE13" s="3424"/>
      <c r="CF13" s="3503"/>
      <c r="CG13" s="3424"/>
      <c r="CH13" s="3504"/>
      <c r="CI13" s="3424"/>
      <c r="CJ13" s="3504"/>
      <c r="CK13" s="3424"/>
      <c r="CL13" s="3504"/>
      <c r="CM13" s="3424"/>
      <c r="CN13" s="3504"/>
      <c r="CO13" s="3424"/>
      <c r="CP13" s="3504"/>
      <c r="CQ13" s="3424"/>
      <c r="CR13" s="3504"/>
      <c r="CS13" s="3424"/>
      <c r="CT13" s="3504"/>
      <c r="CU13" s="3424"/>
      <c r="CV13" s="3504"/>
      <c r="CW13" s="3424"/>
      <c r="CX13" s="3504"/>
      <c r="CY13" s="3424"/>
      <c r="CZ13" s="3504"/>
      <c r="DA13" s="3424"/>
      <c r="DB13" s="3503"/>
      <c r="DC13" s="3424"/>
      <c r="DD13" s="3504"/>
      <c r="DE13" s="3424"/>
      <c r="DF13" s="3504"/>
      <c r="DG13" s="3424"/>
      <c r="DH13" s="3504"/>
      <c r="DI13" s="3424"/>
      <c r="DJ13" s="3504"/>
      <c r="DK13" s="3424"/>
      <c r="DL13" s="3504"/>
      <c r="DM13" s="3424"/>
      <c r="DN13" s="3504"/>
      <c r="DO13" s="3424"/>
      <c r="DP13" s="3504"/>
      <c r="DQ13" s="3424"/>
      <c r="DR13" s="3504"/>
      <c r="DS13" s="3505"/>
      <c r="DT13" s="3424"/>
      <c r="DU13" s="3506"/>
      <c r="DV13" s="3507"/>
      <c r="DW13" s="3424"/>
      <c r="DX13" s="3506"/>
      <c r="DY13" s="3507"/>
      <c r="DZ13" s="3424"/>
      <c r="EA13" s="3506"/>
      <c r="EB13" s="3507"/>
      <c r="EC13" s="3505"/>
      <c r="ED13" s="3424"/>
      <c r="EE13" s="3506"/>
      <c r="EF13" s="3507"/>
      <c r="EG13" s="3424"/>
      <c r="EH13" s="3506"/>
      <c r="EI13" s="3507"/>
      <c r="EJ13" s="3424"/>
      <c r="EK13" s="3506"/>
      <c r="EL13" s="3507"/>
      <c r="EM13" s="3424"/>
      <c r="EN13" s="3506"/>
      <c r="EO13" s="3507"/>
      <c r="EP13" s="3505"/>
      <c r="EQ13" s="3426"/>
      <c r="ER13" s="3506"/>
      <c r="ES13" s="3426"/>
      <c r="ET13" s="3506"/>
      <c r="EU13" s="3505"/>
      <c r="EV13" s="3426"/>
      <c r="EW13" s="3508"/>
      <c r="EX13" s="3426"/>
      <c r="EY13" s="3506"/>
      <c r="EZ13" s="3505"/>
      <c r="FA13" s="3426"/>
      <c r="FB13" s="3508"/>
      <c r="FC13" s="3426"/>
      <c r="FD13" s="3506"/>
      <c r="FE13" s="3505"/>
      <c r="FF13" s="3424"/>
      <c r="FG13" s="3504"/>
      <c r="FH13" s="3424"/>
      <c r="FI13" s="3504"/>
      <c r="FJ13" s="3424"/>
      <c r="FK13" s="3504"/>
      <c r="FL13" s="3424"/>
      <c r="FM13" s="3504"/>
      <c r="FN13" s="3424"/>
      <c r="FO13" s="3504"/>
      <c r="FP13" s="3424"/>
      <c r="FQ13" s="3504"/>
      <c r="FR13" s="3424"/>
      <c r="FS13" s="3504"/>
      <c r="FT13" s="3424"/>
      <c r="FU13" s="3504"/>
      <c r="FV13" s="3505"/>
      <c r="FW13" s="3424"/>
      <c r="FX13" s="3504"/>
      <c r="FY13" s="3424"/>
      <c r="FZ13" s="3504"/>
      <c r="GA13" s="3424"/>
      <c r="GB13" s="3504"/>
      <c r="GC13" s="3424"/>
      <c r="GD13" s="3504"/>
      <c r="GE13" s="3581"/>
      <c r="GF13" s="3581"/>
      <c r="GG13" s="3581"/>
      <c r="GH13" s="3581"/>
      <c r="GI13" s="3581"/>
      <c r="GJ13" s="3581"/>
      <c r="GK13" s="3581"/>
      <c r="GL13" s="3581"/>
      <c r="GM13" s="3581"/>
      <c r="GN13" s="3581"/>
      <c r="GO13" s="3581"/>
      <c r="GP13" s="3505">
        <v>0</v>
      </c>
      <c r="GQ13" s="3505">
        <v>0</v>
      </c>
      <c r="GR13" s="3505">
        <v>1</v>
      </c>
      <c r="GS13" s="3505">
        <v>7</v>
      </c>
      <c r="GT13" s="3505">
        <v>0</v>
      </c>
      <c r="GU13" s="3505">
        <v>0</v>
      </c>
      <c r="GV13" s="3505">
        <v>0</v>
      </c>
      <c r="GW13" s="3505">
        <v>1</v>
      </c>
    </row>
    <row r="14" spans="1:205" s="3425" customFormat="1">
      <c r="A14" s="3502">
        <v>10</v>
      </c>
      <c r="B14" s="3509" t="s">
        <v>106</v>
      </c>
      <c r="C14" s="3509" t="s">
        <v>106</v>
      </c>
      <c r="D14" s="3510"/>
      <c r="E14" s="3510"/>
      <c r="F14" s="3510"/>
      <c r="G14" s="3510"/>
      <c r="H14" s="3510"/>
      <c r="I14" s="3510"/>
      <c r="J14" s="3510"/>
      <c r="K14" s="3510"/>
      <c r="L14" s="3510"/>
      <c r="M14" s="3510"/>
      <c r="N14" s="3510"/>
      <c r="O14" s="3510"/>
      <c r="P14" s="3510"/>
      <c r="Q14" s="3511"/>
      <c r="R14" s="3512"/>
      <c r="S14" s="3512"/>
      <c r="T14" s="3510"/>
      <c r="U14" s="3510"/>
      <c r="V14" s="3510"/>
      <c r="W14" s="3513"/>
      <c r="X14" s="3512"/>
      <c r="Y14" s="3512"/>
      <c r="Z14" s="3512"/>
      <c r="AA14" s="3512"/>
      <c r="AB14" s="3512"/>
      <c r="AC14" s="3514"/>
      <c r="AD14" s="3515"/>
      <c r="AE14" s="3516"/>
      <c r="AF14" s="3517"/>
      <c r="AG14" s="3516"/>
      <c r="AH14" s="3513"/>
      <c r="AI14" s="3513"/>
      <c r="AJ14" s="3516"/>
      <c r="AK14" s="3506"/>
      <c r="AL14" s="3513"/>
      <c r="AM14" s="3518"/>
      <c r="AN14" s="3519"/>
      <c r="AO14" s="3519"/>
      <c r="AP14" s="3519"/>
      <c r="AQ14" s="3519"/>
      <c r="AR14" s="3520"/>
      <c r="AS14" s="3424"/>
      <c r="AT14" s="3503"/>
      <c r="AU14" s="3424"/>
      <c r="AV14" s="3504"/>
      <c r="AW14" s="3424"/>
      <c r="AX14" s="3504"/>
      <c r="AY14" s="3424"/>
      <c r="AZ14" s="3504"/>
      <c r="BA14" s="3424"/>
      <c r="BB14" s="3504"/>
      <c r="BC14" s="3424"/>
      <c r="BD14" s="3504"/>
      <c r="BE14" s="3424"/>
      <c r="BF14" s="3504"/>
      <c r="BG14" s="3424"/>
      <c r="BH14" s="3504"/>
      <c r="BI14" s="3521"/>
      <c r="BJ14" s="3521"/>
      <c r="BK14" s="3424"/>
      <c r="BL14" s="3504"/>
      <c r="BM14" s="3424"/>
      <c r="BN14" s="3503"/>
      <c r="BO14" s="3424"/>
      <c r="BP14" s="3504"/>
      <c r="BQ14" s="3424"/>
      <c r="BR14" s="3504"/>
      <c r="BS14" s="3424"/>
      <c r="BT14" s="3504"/>
      <c r="BU14" s="3424"/>
      <c r="BV14" s="3504"/>
      <c r="BW14" s="3424"/>
      <c r="BX14" s="3504"/>
      <c r="BY14" s="3424"/>
      <c r="BZ14" s="3504"/>
      <c r="CA14" s="3424"/>
      <c r="CB14" s="3504"/>
      <c r="CC14" s="3424"/>
      <c r="CD14" s="3504"/>
      <c r="CE14" s="3424"/>
      <c r="CF14" s="3503"/>
      <c r="CG14" s="3424"/>
      <c r="CH14" s="3504"/>
      <c r="CI14" s="3424"/>
      <c r="CJ14" s="3504"/>
      <c r="CK14" s="3424"/>
      <c r="CL14" s="3504"/>
      <c r="CM14" s="3424"/>
      <c r="CN14" s="3504"/>
      <c r="CO14" s="3424"/>
      <c r="CP14" s="3504"/>
      <c r="CQ14" s="3424"/>
      <c r="CR14" s="3504"/>
      <c r="CS14" s="3424"/>
      <c r="CT14" s="3504"/>
      <c r="CU14" s="3424"/>
      <c r="CV14" s="3504"/>
      <c r="CW14" s="3424"/>
      <c r="CX14" s="3504"/>
      <c r="CY14" s="3424"/>
      <c r="CZ14" s="3504"/>
      <c r="DA14" s="3424"/>
      <c r="DB14" s="3503"/>
      <c r="DC14" s="3424"/>
      <c r="DD14" s="3504"/>
      <c r="DE14" s="3424"/>
      <c r="DF14" s="3504"/>
      <c r="DG14" s="3424"/>
      <c r="DH14" s="3504"/>
      <c r="DI14" s="3424"/>
      <c r="DJ14" s="3504"/>
      <c r="DK14" s="3424"/>
      <c r="DL14" s="3504"/>
      <c r="DM14" s="3424"/>
      <c r="DN14" s="3504"/>
      <c r="DO14" s="3424"/>
      <c r="DP14" s="3504"/>
      <c r="DQ14" s="3424"/>
      <c r="DR14" s="3504"/>
      <c r="DS14" s="3505"/>
      <c r="DT14" s="3424"/>
      <c r="DU14" s="3506"/>
      <c r="DV14" s="3507"/>
      <c r="DW14" s="3424"/>
      <c r="DX14" s="3506"/>
      <c r="DY14" s="3507"/>
      <c r="DZ14" s="3424"/>
      <c r="EA14" s="3506"/>
      <c r="EB14" s="3507"/>
      <c r="EC14" s="3505"/>
      <c r="ED14" s="3424"/>
      <c r="EE14" s="3506"/>
      <c r="EF14" s="3507"/>
      <c r="EG14" s="3424"/>
      <c r="EH14" s="3506"/>
      <c r="EI14" s="3507"/>
      <c r="EJ14" s="3424"/>
      <c r="EK14" s="3506"/>
      <c r="EL14" s="3507"/>
      <c r="EM14" s="3424"/>
      <c r="EN14" s="3506"/>
      <c r="EO14" s="3507"/>
      <c r="EP14" s="3505"/>
      <c r="EQ14" s="3426"/>
      <c r="ER14" s="3506"/>
      <c r="ES14" s="3426"/>
      <c r="ET14" s="3506"/>
      <c r="EU14" s="3505"/>
      <c r="EV14" s="3426"/>
      <c r="EW14" s="3508"/>
      <c r="EX14" s="3426"/>
      <c r="EY14" s="3506"/>
      <c r="EZ14" s="3505"/>
      <c r="FA14" s="3426"/>
      <c r="FB14" s="3508"/>
      <c r="FC14" s="3426"/>
      <c r="FD14" s="3506"/>
      <c r="FE14" s="3505"/>
      <c r="FF14" s="3424"/>
      <c r="FG14" s="3504"/>
      <c r="FH14" s="3424"/>
      <c r="FI14" s="3504"/>
      <c r="FJ14" s="3424"/>
      <c r="FK14" s="3504"/>
      <c r="FL14" s="3424"/>
      <c r="FM14" s="3504"/>
      <c r="FN14" s="3424"/>
      <c r="FO14" s="3504"/>
      <c r="FP14" s="3424"/>
      <c r="FQ14" s="3504"/>
      <c r="FR14" s="3424"/>
      <c r="FS14" s="3504"/>
      <c r="FT14" s="3424"/>
      <c r="FU14" s="3504"/>
      <c r="FV14" s="3505"/>
      <c r="FW14" s="3424"/>
      <c r="FX14" s="3504"/>
      <c r="FY14" s="3424"/>
      <c r="FZ14" s="3504"/>
      <c r="GA14" s="3424"/>
      <c r="GB14" s="3504"/>
      <c r="GC14" s="3424"/>
      <c r="GD14" s="3504"/>
      <c r="GE14" s="3581"/>
      <c r="GF14" s="3581"/>
      <c r="GG14" s="3581"/>
      <c r="GH14" s="3581"/>
      <c r="GI14" s="3581"/>
      <c r="GJ14" s="3581"/>
      <c r="GK14" s="3581"/>
      <c r="GL14" s="3581"/>
      <c r="GM14" s="3581"/>
      <c r="GN14" s="3581"/>
      <c r="GO14" s="3581"/>
      <c r="GP14" s="3505">
        <v>0</v>
      </c>
      <c r="GQ14" s="3505">
        <v>0</v>
      </c>
      <c r="GR14" s="3505">
        <v>1</v>
      </c>
      <c r="GS14" s="3505">
        <v>8</v>
      </c>
      <c r="GT14" s="3505">
        <v>0</v>
      </c>
      <c r="GU14" s="3505">
        <v>0</v>
      </c>
      <c r="GV14" s="3505">
        <v>0</v>
      </c>
      <c r="GW14" s="3505">
        <v>1</v>
      </c>
    </row>
    <row r="15" spans="1:205" s="3425" customFormat="1">
      <c r="A15" s="3502">
        <v>11</v>
      </c>
      <c r="B15" s="3509" t="s">
        <v>106</v>
      </c>
      <c r="C15" s="3509" t="s">
        <v>106</v>
      </c>
      <c r="D15" s="3510"/>
      <c r="E15" s="3510"/>
      <c r="F15" s="3510"/>
      <c r="G15" s="3510"/>
      <c r="H15" s="3510"/>
      <c r="I15" s="3510"/>
      <c r="J15" s="3510"/>
      <c r="K15" s="3510"/>
      <c r="L15" s="3510"/>
      <c r="M15" s="3510"/>
      <c r="N15" s="3510"/>
      <c r="O15" s="3510"/>
      <c r="P15" s="3510"/>
      <c r="Q15" s="3511"/>
      <c r="R15" s="3512"/>
      <c r="S15" s="3512"/>
      <c r="T15" s="3510"/>
      <c r="U15" s="3510"/>
      <c r="V15" s="3510"/>
      <c r="W15" s="3513"/>
      <c r="X15" s="3512"/>
      <c r="Y15" s="3512"/>
      <c r="Z15" s="3512"/>
      <c r="AA15" s="3512"/>
      <c r="AB15" s="3512"/>
      <c r="AC15" s="3514"/>
      <c r="AD15" s="3515"/>
      <c r="AE15" s="3516"/>
      <c r="AF15" s="3517"/>
      <c r="AG15" s="3516"/>
      <c r="AH15" s="3513"/>
      <c r="AI15" s="3513"/>
      <c r="AJ15" s="3516"/>
      <c r="AK15" s="3506"/>
      <c r="AL15" s="3513"/>
      <c r="AM15" s="3518"/>
      <c r="AN15" s="3519"/>
      <c r="AO15" s="3519"/>
      <c r="AP15" s="3519"/>
      <c r="AQ15" s="3519"/>
      <c r="AR15" s="3520"/>
      <c r="AS15" s="3424"/>
      <c r="AT15" s="3503"/>
      <c r="AU15" s="3424"/>
      <c r="AV15" s="3504"/>
      <c r="AW15" s="3424"/>
      <c r="AX15" s="3504"/>
      <c r="AY15" s="3424"/>
      <c r="AZ15" s="3504"/>
      <c r="BA15" s="3424"/>
      <c r="BB15" s="3504"/>
      <c r="BC15" s="3424"/>
      <c r="BD15" s="3504"/>
      <c r="BE15" s="3424"/>
      <c r="BF15" s="3504"/>
      <c r="BG15" s="3424"/>
      <c r="BH15" s="3504"/>
      <c r="BI15" s="3521"/>
      <c r="BJ15" s="3521"/>
      <c r="BK15" s="3424"/>
      <c r="BL15" s="3504"/>
      <c r="BM15" s="3424"/>
      <c r="BN15" s="3503"/>
      <c r="BO15" s="3424"/>
      <c r="BP15" s="3504"/>
      <c r="BQ15" s="3424"/>
      <c r="BR15" s="3504"/>
      <c r="BS15" s="3424"/>
      <c r="BT15" s="3504"/>
      <c r="BU15" s="3424"/>
      <c r="BV15" s="3504"/>
      <c r="BW15" s="3424"/>
      <c r="BX15" s="3504"/>
      <c r="BY15" s="3424"/>
      <c r="BZ15" s="3504"/>
      <c r="CA15" s="3424"/>
      <c r="CB15" s="3504"/>
      <c r="CC15" s="3424"/>
      <c r="CD15" s="3504"/>
      <c r="CE15" s="3424"/>
      <c r="CF15" s="3503"/>
      <c r="CG15" s="3424"/>
      <c r="CH15" s="3504"/>
      <c r="CI15" s="3424"/>
      <c r="CJ15" s="3504"/>
      <c r="CK15" s="3424"/>
      <c r="CL15" s="3504"/>
      <c r="CM15" s="3424"/>
      <c r="CN15" s="3504"/>
      <c r="CO15" s="3424"/>
      <c r="CP15" s="3504"/>
      <c r="CQ15" s="3424"/>
      <c r="CR15" s="3504"/>
      <c r="CS15" s="3424"/>
      <c r="CT15" s="3504"/>
      <c r="CU15" s="3424"/>
      <c r="CV15" s="3504"/>
      <c r="CW15" s="3424"/>
      <c r="CX15" s="3504"/>
      <c r="CY15" s="3424"/>
      <c r="CZ15" s="3504"/>
      <c r="DA15" s="3424"/>
      <c r="DB15" s="3503"/>
      <c r="DC15" s="3424"/>
      <c r="DD15" s="3504"/>
      <c r="DE15" s="3424"/>
      <c r="DF15" s="3504"/>
      <c r="DG15" s="3424"/>
      <c r="DH15" s="3504"/>
      <c r="DI15" s="3424"/>
      <c r="DJ15" s="3504"/>
      <c r="DK15" s="3424"/>
      <c r="DL15" s="3504"/>
      <c r="DM15" s="3424"/>
      <c r="DN15" s="3504"/>
      <c r="DO15" s="3424"/>
      <c r="DP15" s="3504"/>
      <c r="DQ15" s="3424"/>
      <c r="DR15" s="3504"/>
      <c r="DS15" s="3505"/>
      <c r="DT15" s="3424"/>
      <c r="DU15" s="3506"/>
      <c r="DV15" s="3507"/>
      <c r="DW15" s="3424"/>
      <c r="DX15" s="3506"/>
      <c r="DY15" s="3507"/>
      <c r="DZ15" s="3424"/>
      <c r="EA15" s="3506"/>
      <c r="EB15" s="3507"/>
      <c r="EC15" s="3505"/>
      <c r="ED15" s="3424"/>
      <c r="EE15" s="3506"/>
      <c r="EF15" s="3507"/>
      <c r="EG15" s="3424"/>
      <c r="EH15" s="3506"/>
      <c r="EI15" s="3507"/>
      <c r="EJ15" s="3424"/>
      <c r="EK15" s="3506"/>
      <c r="EL15" s="3507"/>
      <c r="EM15" s="3424"/>
      <c r="EN15" s="3506"/>
      <c r="EO15" s="3507"/>
      <c r="EP15" s="3505"/>
      <c r="EQ15" s="3426"/>
      <c r="ER15" s="3506"/>
      <c r="ES15" s="3426"/>
      <c r="ET15" s="3506"/>
      <c r="EU15" s="3505"/>
      <c r="EV15" s="3426"/>
      <c r="EW15" s="3508"/>
      <c r="EX15" s="3426"/>
      <c r="EY15" s="3506"/>
      <c r="EZ15" s="3505"/>
      <c r="FA15" s="3426"/>
      <c r="FB15" s="3508"/>
      <c r="FC15" s="3426"/>
      <c r="FD15" s="3506"/>
      <c r="FE15" s="3505"/>
      <c r="FF15" s="3424"/>
      <c r="FG15" s="3504"/>
      <c r="FH15" s="3424"/>
      <c r="FI15" s="3504"/>
      <c r="FJ15" s="3424"/>
      <c r="FK15" s="3504"/>
      <c r="FL15" s="3424"/>
      <c r="FM15" s="3504"/>
      <c r="FN15" s="3424"/>
      <c r="FO15" s="3504"/>
      <c r="FP15" s="3424"/>
      <c r="FQ15" s="3504"/>
      <c r="FR15" s="3424"/>
      <c r="FS15" s="3504"/>
      <c r="FT15" s="3424"/>
      <c r="FU15" s="3504"/>
      <c r="FV15" s="3505"/>
      <c r="FW15" s="3424"/>
      <c r="FX15" s="3504"/>
      <c r="FY15" s="3424"/>
      <c r="FZ15" s="3504"/>
      <c r="GA15" s="3424"/>
      <c r="GB15" s="3504"/>
      <c r="GC15" s="3424"/>
      <c r="GD15" s="3504"/>
      <c r="GE15" s="3581"/>
      <c r="GF15" s="3581"/>
      <c r="GG15" s="3581"/>
      <c r="GH15" s="3581"/>
      <c r="GI15" s="3581"/>
      <c r="GJ15" s="3581"/>
      <c r="GK15" s="3581"/>
      <c r="GL15" s="3581"/>
      <c r="GM15" s="3581"/>
      <c r="GN15" s="3581"/>
      <c r="GO15" s="3581"/>
      <c r="GP15" s="3505">
        <v>0</v>
      </c>
      <c r="GQ15" s="3505">
        <v>0</v>
      </c>
      <c r="GR15" s="3505">
        <v>1</v>
      </c>
      <c r="GS15" s="3505">
        <v>9</v>
      </c>
      <c r="GT15" s="3505">
        <v>0</v>
      </c>
      <c r="GU15" s="3505">
        <v>0</v>
      </c>
      <c r="GV15" s="3505">
        <v>0</v>
      </c>
      <c r="GW15" s="3505">
        <v>1</v>
      </c>
    </row>
    <row r="16" spans="1:205" s="3425" customFormat="1">
      <c r="A16" s="3502">
        <v>12</v>
      </c>
      <c r="B16" s="3509" t="s">
        <v>106</v>
      </c>
      <c r="C16" s="3509" t="s">
        <v>106</v>
      </c>
      <c r="D16" s="3510"/>
      <c r="E16" s="3510"/>
      <c r="F16" s="3510"/>
      <c r="G16" s="3510"/>
      <c r="H16" s="3510"/>
      <c r="I16" s="3510"/>
      <c r="J16" s="3510"/>
      <c r="K16" s="3510"/>
      <c r="L16" s="3510"/>
      <c r="M16" s="3510"/>
      <c r="N16" s="3510"/>
      <c r="O16" s="3510"/>
      <c r="P16" s="3510"/>
      <c r="Q16" s="3511"/>
      <c r="R16" s="3512"/>
      <c r="S16" s="3512"/>
      <c r="T16" s="3510"/>
      <c r="U16" s="3510"/>
      <c r="V16" s="3510"/>
      <c r="W16" s="3513"/>
      <c r="X16" s="3512"/>
      <c r="Y16" s="3512"/>
      <c r="Z16" s="3512"/>
      <c r="AA16" s="3512"/>
      <c r="AB16" s="3512"/>
      <c r="AC16" s="3514"/>
      <c r="AD16" s="3515"/>
      <c r="AE16" s="3516"/>
      <c r="AF16" s="3517"/>
      <c r="AG16" s="3516"/>
      <c r="AH16" s="3513"/>
      <c r="AI16" s="3513"/>
      <c r="AJ16" s="3516"/>
      <c r="AK16" s="3506"/>
      <c r="AL16" s="3513"/>
      <c r="AM16" s="3518"/>
      <c r="AN16" s="3519"/>
      <c r="AO16" s="3519"/>
      <c r="AP16" s="3519"/>
      <c r="AQ16" s="3519"/>
      <c r="AR16" s="3520"/>
      <c r="AS16" s="3424"/>
      <c r="AT16" s="3503"/>
      <c r="AU16" s="3424"/>
      <c r="AV16" s="3504"/>
      <c r="AW16" s="3424"/>
      <c r="AX16" s="3504"/>
      <c r="AY16" s="3424"/>
      <c r="AZ16" s="3504"/>
      <c r="BA16" s="3424"/>
      <c r="BB16" s="3504"/>
      <c r="BC16" s="3424"/>
      <c r="BD16" s="3504"/>
      <c r="BE16" s="3424"/>
      <c r="BF16" s="3504"/>
      <c r="BG16" s="3424"/>
      <c r="BH16" s="3504"/>
      <c r="BI16" s="3521"/>
      <c r="BJ16" s="3521"/>
      <c r="BK16" s="3424"/>
      <c r="BL16" s="3504"/>
      <c r="BM16" s="3424"/>
      <c r="BN16" s="3503"/>
      <c r="BO16" s="3424"/>
      <c r="BP16" s="3504"/>
      <c r="BQ16" s="3424"/>
      <c r="BR16" s="3504"/>
      <c r="BS16" s="3424"/>
      <c r="BT16" s="3504"/>
      <c r="BU16" s="3424"/>
      <c r="BV16" s="3504"/>
      <c r="BW16" s="3424"/>
      <c r="BX16" s="3504"/>
      <c r="BY16" s="3424"/>
      <c r="BZ16" s="3504"/>
      <c r="CA16" s="3424"/>
      <c r="CB16" s="3504"/>
      <c r="CC16" s="3424"/>
      <c r="CD16" s="3504"/>
      <c r="CE16" s="3424"/>
      <c r="CF16" s="3503"/>
      <c r="CG16" s="3424"/>
      <c r="CH16" s="3504"/>
      <c r="CI16" s="3424"/>
      <c r="CJ16" s="3504"/>
      <c r="CK16" s="3424"/>
      <c r="CL16" s="3504"/>
      <c r="CM16" s="3424"/>
      <c r="CN16" s="3504"/>
      <c r="CO16" s="3424"/>
      <c r="CP16" s="3504"/>
      <c r="CQ16" s="3424"/>
      <c r="CR16" s="3504"/>
      <c r="CS16" s="3424"/>
      <c r="CT16" s="3504"/>
      <c r="CU16" s="3424"/>
      <c r="CV16" s="3504"/>
      <c r="CW16" s="3424"/>
      <c r="CX16" s="3504"/>
      <c r="CY16" s="3424"/>
      <c r="CZ16" s="3504"/>
      <c r="DA16" s="3424"/>
      <c r="DB16" s="3503"/>
      <c r="DC16" s="3424"/>
      <c r="DD16" s="3504"/>
      <c r="DE16" s="3424"/>
      <c r="DF16" s="3504"/>
      <c r="DG16" s="3424"/>
      <c r="DH16" s="3504"/>
      <c r="DI16" s="3424"/>
      <c r="DJ16" s="3504"/>
      <c r="DK16" s="3424"/>
      <c r="DL16" s="3504"/>
      <c r="DM16" s="3424"/>
      <c r="DN16" s="3504"/>
      <c r="DO16" s="3424"/>
      <c r="DP16" s="3504"/>
      <c r="DQ16" s="3424"/>
      <c r="DR16" s="3504"/>
      <c r="DS16" s="3505"/>
      <c r="DT16" s="3424"/>
      <c r="DU16" s="3506"/>
      <c r="DV16" s="3507"/>
      <c r="DW16" s="3424"/>
      <c r="DX16" s="3506"/>
      <c r="DY16" s="3507"/>
      <c r="DZ16" s="3424"/>
      <c r="EA16" s="3506"/>
      <c r="EB16" s="3507"/>
      <c r="EC16" s="3505"/>
      <c r="ED16" s="3424"/>
      <c r="EE16" s="3506"/>
      <c r="EF16" s="3507"/>
      <c r="EG16" s="3424"/>
      <c r="EH16" s="3506"/>
      <c r="EI16" s="3507"/>
      <c r="EJ16" s="3424"/>
      <c r="EK16" s="3506"/>
      <c r="EL16" s="3507"/>
      <c r="EM16" s="3424"/>
      <c r="EN16" s="3506"/>
      <c r="EO16" s="3507"/>
      <c r="EP16" s="3505"/>
      <c r="EQ16" s="3426"/>
      <c r="ER16" s="3506"/>
      <c r="ES16" s="3426"/>
      <c r="ET16" s="3506"/>
      <c r="EU16" s="3505"/>
      <c r="EV16" s="3426"/>
      <c r="EW16" s="3508"/>
      <c r="EX16" s="3426"/>
      <c r="EY16" s="3506"/>
      <c r="EZ16" s="3505"/>
      <c r="FA16" s="3426"/>
      <c r="FB16" s="3508"/>
      <c r="FC16" s="3426"/>
      <c r="FD16" s="3506"/>
      <c r="FE16" s="3505"/>
      <c r="FF16" s="3424"/>
      <c r="FG16" s="3504"/>
      <c r="FH16" s="3424"/>
      <c r="FI16" s="3504"/>
      <c r="FJ16" s="3424"/>
      <c r="FK16" s="3504"/>
      <c r="FL16" s="3424"/>
      <c r="FM16" s="3504"/>
      <c r="FN16" s="3424"/>
      <c r="FO16" s="3504"/>
      <c r="FP16" s="3424"/>
      <c r="FQ16" s="3504"/>
      <c r="FR16" s="3424"/>
      <c r="FS16" s="3504"/>
      <c r="FT16" s="3424"/>
      <c r="FU16" s="3504"/>
      <c r="FV16" s="3505"/>
      <c r="FW16" s="3424"/>
      <c r="FX16" s="3504"/>
      <c r="FY16" s="3424"/>
      <c r="FZ16" s="3504"/>
      <c r="GA16" s="3424"/>
      <c r="GB16" s="3504"/>
      <c r="GC16" s="3424"/>
      <c r="GD16" s="3504"/>
      <c r="GE16" s="3581"/>
      <c r="GF16" s="3581"/>
      <c r="GG16" s="3581"/>
      <c r="GH16" s="3581"/>
      <c r="GI16" s="3581"/>
      <c r="GJ16" s="3581"/>
      <c r="GK16" s="3581"/>
      <c r="GL16" s="3581"/>
      <c r="GM16" s="3581"/>
      <c r="GN16" s="3581"/>
      <c r="GO16" s="3581"/>
      <c r="GP16" s="3505">
        <v>0</v>
      </c>
      <c r="GQ16" s="3505">
        <v>0</v>
      </c>
      <c r="GR16" s="3505">
        <v>1</v>
      </c>
      <c r="GS16" s="3505">
        <v>10</v>
      </c>
      <c r="GT16" s="3505">
        <v>0</v>
      </c>
      <c r="GU16" s="3505">
        <v>0</v>
      </c>
      <c r="GV16" s="3505">
        <v>0</v>
      </c>
      <c r="GW16" s="3505">
        <v>1</v>
      </c>
    </row>
    <row r="17" spans="1:205" s="3425" customFormat="1">
      <c r="A17" s="3502">
        <v>13</v>
      </c>
      <c r="B17" s="3509" t="s">
        <v>106</v>
      </c>
      <c r="C17" s="3509" t="s">
        <v>106</v>
      </c>
      <c r="D17" s="3510"/>
      <c r="E17" s="3510"/>
      <c r="F17" s="3510"/>
      <c r="G17" s="3510"/>
      <c r="H17" s="3510"/>
      <c r="I17" s="3510"/>
      <c r="J17" s="3510"/>
      <c r="K17" s="3510"/>
      <c r="L17" s="3510"/>
      <c r="M17" s="3510"/>
      <c r="N17" s="3510"/>
      <c r="O17" s="3510"/>
      <c r="P17" s="3510"/>
      <c r="Q17" s="3511"/>
      <c r="R17" s="3512"/>
      <c r="S17" s="3512"/>
      <c r="T17" s="3510"/>
      <c r="U17" s="3510"/>
      <c r="V17" s="3510"/>
      <c r="W17" s="3513"/>
      <c r="X17" s="3512"/>
      <c r="Y17" s="3512"/>
      <c r="Z17" s="3512"/>
      <c r="AA17" s="3512"/>
      <c r="AB17" s="3512"/>
      <c r="AC17" s="3514"/>
      <c r="AD17" s="3515"/>
      <c r="AE17" s="3516"/>
      <c r="AF17" s="3517"/>
      <c r="AG17" s="3516"/>
      <c r="AH17" s="3513"/>
      <c r="AI17" s="3513"/>
      <c r="AJ17" s="3516"/>
      <c r="AK17" s="3506"/>
      <c r="AL17" s="3513"/>
      <c r="AM17" s="3518"/>
      <c r="AN17" s="3519"/>
      <c r="AO17" s="3519"/>
      <c r="AP17" s="3519"/>
      <c r="AQ17" s="3519"/>
      <c r="AR17" s="3520"/>
      <c r="AS17" s="3424"/>
      <c r="AT17" s="3503"/>
      <c r="AU17" s="3424"/>
      <c r="AV17" s="3504"/>
      <c r="AW17" s="3424"/>
      <c r="AX17" s="3504"/>
      <c r="AY17" s="3424"/>
      <c r="AZ17" s="3504"/>
      <c r="BA17" s="3424"/>
      <c r="BB17" s="3504"/>
      <c r="BC17" s="3424"/>
      <c r="BD17" s="3504"/>
      <c r="BE17" s="3424"/>
      <c r="BF17" s="3504"/>
      <c r="BG17" s="3424"/>
      <c r="BH17" s="3504"/>
      <c r="BI17" s="3521"/>
      <c r="BJ17" s="3521"/>
      <c r="BK17" s="3424"/>
      <c r="BL17" s="3504"/>
      <c r="BM17" s="3424"/>
      <c r="BN17" s="3503"/>
      <c r="BO17" s="3424"/>
      <c r="BP17" s="3504"/>
      <c r="BQ17" s="3424"/>
      <c r="BR17" s="3504"/>
      <c r="BS17" s="3424"/>
      <c r="BT17" s="3504"/>
      <c r="BU17" s="3424"/>
      <c r="BV17" s="3504"/>
      <c r="BW17" s="3424"/>
      <c r="BX17" s="3504"/>
      <c r="BY17" s="3424"/>
      <c r="BZ17" s="3504"/>
      <c r="CA17" s="3424"/>
      <c r="CB17" s="3504"/>
      <c r="CC17" s="3424"/>
      <c r="CD17" s="3504"/>
      <c r="CE17" s="3424"/>
      <c r="CF17" s="3503"/>
      <c r="CG17" s="3424"/>
      <c r="CH17" s="3504"/>
      <c r="CI17" s="3424"/>
      <c r="CJ17" s="3504"/>
      <c r="CK17" s="3424"/>
      <c r="CL17" s="3504"/>
      <c r="CM17" s="3424"/>
      <c r="CN17" s="3504"/>
      <c r="CO17" s="3424"/>
      <c r="CP17" s="3504"/>
      <c r="CQ17" s="3424"/>
      <c r="CR17" s="3504"/>
      <c r="CS17" s="3424"/>
      <c r="CT17" s="3504"/>
      <c r="CU17" s="3424"/>
      <c r="CV17" s="3504"/>
      <c r="CW17" s="3424"/>
      <c r="CX17" s="3504"/>
      <c r="CY17" s="3424"/>
      <c r="CZ17" s="3504"/>
      <c r="DA17" s="3424"/>
      <c r="DB17" s="3503"/>
      <c r="DC17" s="3424"/>
      <c r="DD17" s="3504"/>
      <c r="DE17" s="3424"/>
      <c r="DF17" s="3504"/>
      <c r="DG17" s="3424"/>
      <c r="DH17" s="3504"/>
      <c r="DI17" s="3424"/>
      <c r="DJ17" s="3504"/>
      <c r="DK17" s="3424"/>
      <c r="DL17" s="3504"/>
      <c r="DM17" s="3424"/>
      <c r="DN17" s="3504"/>
      <c r="DO17" s="3424"/>
      <c r="DP17" s="3504"/>
      <c r="DQ17" s="3424"/>
      <c r="DR17" s="3504"/>
      <c r="DS17" s="3505"/>
      <c r="DT17" s="3424"/>
      <c r="DU17" s="3506"/>
      <c r="DV17" s="3507"/>
      <c r="DW17" s="3424"/>
      <c r="DX17" s="3506"/>
      <c r="DY17" s="3507"/>
      <c r="DZ17" s="3424"/>
      <c r="EA17" s="3506"/>
      <c r="EB17" s="3507"/>
      <c r="EC17" s="3505"/>
      <c r="ED17" s="3424"/>
      <c r="EE17" s="3506"/>
      <c r="EF17" s="3507"/>
      <c r="EG17" s="3424"/>
      <c r="EH17" s="3506"/>
      <c r="EI17" s="3507"/>
      <c r="EJ17" s="3424"/>
      <c r="EK17" s="3506"/>
      <c r="EL17" s="3507"/>
      <c r="EM17" s="3424"/>
      <c r="EN17" s="3506"/>
      <c r="EO17" s="3507"/>
      <c r="EP17" s="3505"/>
      <c r="EQ17" s="3426"/>
      <c r="ER17" s="3506"/>
      <c r="ES17" s="3426"/>
      <c r="ET17" s="3506"/>
      <c r="EU17" s="3505"/>
      <c r="EV17" s="3426"/>
      <c r="EW17" s="3508"/>
      <c r="EX17" s="3426"/>
      <c r="EY17" s="3506"/>
      <c r="EZ17" s="3505"/>
      <c r="FA17" s="3426"/>
      <c r="FB17" s="3508"/>
      <c r="FC17" s="3426"/>
      <c r="FD17" s="3506"/>
      <c r="FE17" s="3505"/>
      <c r="FF17" s="3424"/>
      <c r="FG17" s="3504"/>
      <c r="FH17" s="3424"/>
      <c r="FI17" s="3504"/>
      <c r="FJ17" s="3424"/>
      <c r="FK17" s="3504"/>
      <c r="FL17" s="3424"/>
      <c r="FM17" s="3504"/>
      <c r="FN17" s="3424"/>
      <c r="FO17" s="3504"/>
      <c r="FP17" s="3424"/>
      <c r="FQ17" s="3504"/>
      <c r="FR17" s="3424"/>
      <c r="FS17" s="3504"/>
      <c r="FT17" s="3424"/>
      <c r="FU17" s="3504"/>
      <c r="FV17" s="3505"/>
      <c r="FW17" s="3424"/>
      <c r="FX17" s="3504"/>
      <c r="FY17" s="3424"/>
      <c r="FZ17" s="3504"/>
      <c r="GA17" s="3424"/>
      <c r="GB17" s="3504"/>
      <c r="GC17" s="3424"/>
      <c r="GD17" s="3504"/>
      <c r="GE17" s="3581"/>
      <c r="GF17" s="3581"/>
      <c r="GG17" s="3581"/>
      <c r="GH17" s="3581"/>
      <c r="GI17" s="3581"/>
      <c r="GJ17" s="3581"/>
      <c r="GK17" s="3581"/>
      <c r="GL17" s="3581"/>
      <c r="GM17" s="3581"/>
      <c r="GN17" s="3581"/>
      <c r="GO17" s="3581"/>
      <c r="GP17" s="3505">
        <v>0</v>
      </c>
      <c r="GQ17" s="3505">
        <v>0</v>
      </c>
      <c r="GR17" s="3505">
        <v>1</v>
      </c>
      <c r="GS17" s="3505">
        <v>11</v>
      </c>
      <c r="GT17" s="3505">
        <v>0</v>
      </c>
      <c r="GU17" s="3505">
        <v>0</v>
      </c>
      <c r="GV17" s="3505">
        <v>0</v>
      </c>
      <c r="GW17" s="3505">
        <v>1</v>
      </c>
    </row>
    <row r="18" spans="1:205" s="3425" customFormat="1">
      <c r="A18" s="3502">
        <v>14</v>
      </c>
      <c r="B18" s="3509" t="s">
        <v>106</v>
      </c>
      <c r="C18" s="3509" t="s">
        <v>106</v>
      </c>
      <c r="D18" s="3510"/>
      <c r="E18" s="3510"/>
      <c r="F18" s="3510"/>
      <c r="G18" s="3510"/>
      <c r="H18" s="3510"/>
      <c r="I18" s="3510"/>
      <c r="J18" s="3510"/>
      <c r="K18" s="3510"/>
      <c r="L18" s="3510"/>
      <c r="M18" s="3510"/>
      <c r="N18" s="3510"/>
      <c r="O18" s="3510"/>
      <c r="P18" s="3510"/>
      <c r="Q18" s="3511"/>
      <c r="R18" s="3512"/>
      <c r="S18" s="3512"/>
      <c r="T18" s="3510"/>
      <c r="U18" s="3510"/>
      <c r="V18" s="3510"/>
      <c r="W18" s="3513"/>
      <c r="X18" s="3512"/>
      <c r="Y18" s="3512"/>
      <c r="Z18" s="3512"/>
      <c r="AA18" s="3512"/>
      <c r="AB18" s="3512"/>
      <c r="AC18" s="3514"/>
      <c r="AD18" s="3515"/>
      <c r="AE18" s="3516"/>
      <c r="AF18" s="3517"/>
      <c r="AG18" s="3516"/>
      <c r="AH18" s="3513"/>
      <c r="AI18" s="3513"/>
      <c r="AJ18" s="3516"/>
      <c r="AK18" s="3506"/>
      <c r="AL18" s="3513"/>
      <c r="AM18" s="3518"/>
      <c r="AN18" s="3519"/>
      <c r="AO18" s="3519"/>
      <c r="AP18" s="3519"/>
      <c r="AQ18" s="3519"/>
      <c r="AR18" s="3520"/>
      <c r="AS18" s="3424"/>
      <c r="AT18" s="3503"/>
      <c r="AU18" s="3424"/>
      <c r="AV18" s="3504"/>
      <c r="AW18" s="3424"/>
      <c r="AX18" s="3504"/>
      <c r="AY18" s="3424"/>
      <c r="AZ18" s="3504"/>
      <c r="BA18" s="3424"/>
      <c r="BB18" s="3504"/>
      <c r="BC18" s="3424"/>
      <c r="BD18" s="3504"/>
      <c r="BE18" s="3424"/>
      <c r="BF18" s="3504"/>
      <c r="BG18" s="3424"/>
      <c r="BH18" s="3504"/>
      <c r="BI18" s="3521"/>
      <c r="BJ18" s="3521"/>
      <c r="BK18" s="3424"/>
      <c r="BL18" s="3504"/>
      <c r="BM18" s="3424"/>
      <c r="BN18" s="3503"/>
      <c r="BO18" s="3424"/>
      <c r="BP18" s="3504"/>
      <c r="BQ18" s="3424"/>
      <c r="BR18" s="3504"/>
      <c r="BS18" s="3424"/>
      <c r="BT18" s="3504"/>
      <c r="BU18" s="3424"/>
      <c r="BV18" s="3504"/>
      <c r="BW18" s="3424"/>
      <c r="BX18" s="3504"/>
      <c r="BY18" s="3424"/>
      <c r="BZ18" s="3504"/>
      <c r="CA18" s="3424"/>
      <c r="CB18" s="3504"/>
      <c r="CC18" s="3424"/>
      <c r="CD18" s="3504"/>
      <c r="CE18" s="3424"/>
      <c r="CF18" s="3503"/>
      <c r="CG18" s="3424"/>
      <c r="CH18" s="3504"/>
      <c r="CI18" s="3424"/>
      <c r="CJ18" s="3504"/>
      <c r="CK18" s="3424"/>
      <c r="CL18" s="3504"/>
      <c r="CM18" s="3424"/>
      <c r="CN18" s="3504"/>
      <c r="CO18" s="3424"/>
      <c r="CP18" s="3504"/>
      <c r="CQ18" s="3424"/>
      <c r="CR18" s="3504"/>
      <c r="CS18" s="3424"/>
      <c r="CT18" s="3504"/>
      <c r="CU18" s="3424"/>
      <c r="CV18" s="3504"/>
      <c r="CW18" s="3424"/>
      <c r="CX18" s="3504"/>
      <c r="CY18" s="3424"/>
      <c r="CZ18" s="3504"/>
      <c r="DA18" s="3424"/>
      <c r="DB18" s="3503"/>
      <c r="DC18" s="3424"/>
      <c r="DD18" s="3504"/>
      <c r="DE18" s="3424"/>
      <c r="DF18" s="3504"/>
      <c r="DG18" s="3424"/>
      <c r="DH18" s="3504"/>
      <c r="DI18" s="3424"/>
      <c r="DJ18" s="3504"/>
      <c r="DK18" s="3424"/>
      <c r="DL18" s="3504"/>
      <c r="DM18" s="3424"/>
      <c r="DN18" s="3504"/>
      <c r="DO18" s="3424"/>
      <c r="DP18" s="3504"/>
      <c r="DQ18" s="3424"/>
      <c r="DR18" s="3504"/>
      <c r="DS18" s="3505"/>
      <c r="DT18" s="3424"/>
      <c r="DU18" s="3506"/>
      <c r="DV18" s="3507"/>
      <c r="DW18" s="3424"/>
      <c r="DX18" s="3506"/>
      <c r="DY18" s="3507"/>
      <c r="DZ18" s="3424"/>
      <c r="EA18" s="3506"/>
      <c r="EB18" s="3507"/>
      <c r="EC18" s="3505"/>
      <c r="ED18" s="3424"/>
      <c r="EE18" s="3506"/>
      <c r="EF18" s="3507"/>
      <c r="EG18" s="3424"/>
      <c r="EH18" s="3506"/>
      <c r="EI18" s="3507"/>
      <c r="EJ18" s="3424"/>
      <c r="EK18" s="3506"/>
      <c r="EL18" s="3507"/>
      <c r="EM18" s="3424"/>
      <c r="EN18" s="3506"/>
      <c r="EO18" s="3507"/>
      <c r="EP18" s="3505"/>
      <c r="EQ18" s="3426"/>
      <c r="ER18" s="3506"/>
      <c r="ES18" s="3426"/>
      <c r="ET18" s="3506"/>
      <c r="EU18" s="3505"/>
      <c r="EV18" s="3426"/>
      <c r="EW18" s="3508"/>
      <c r="EX18" s="3426"/>
      <c r="EY18" s="3506"/>
      <c r="EZ18" s="3505"/>
      <c r="FA18" s="3426"/>
      <c r="FB18" s="3508"/>
      <c r="FC18" s="3426"/>
      <c r="FD18" s="3506"/>
      <c r="FE18" s="3505"/>
      <c r="FF18" s="3424"/>
      <c r="FG18" s="3504"/>
      <c r="FH18" s="3424"/>
      <c r="FI18" s="3504"/>
      <c r="FJ18" s="3424"/>
      <c r="FK18" s="3504"/>
      <c r="FL18" s="3424"/>
      <c r="FM18" s="3504"/>
      <c r="FN18" s="3424"/>
      <c r="FO18" s="3504"/>
      <c r="FP18" s="3424"/>
      <c r="FQ18" s="3504"/>
      <c r="FR18" s="3424"/>
      <c r="FS18" s="3504"/>
      <c r="FT18" s="3424"/>
      <c r="FU18" s="3504"/>
      <c r="FV18" s="3505"/>
      <c r="FW18" s="3424"/>
      <c r="FX18" s="3504"/>
      <c r="FY18" s="3424"/>
      <c r="FZ18" s="3504"/>
      <c r="GA18" s="3424"/>
      <c r="GB18" s="3504"/>
      <c r="GC18" s="3424"/>
      <c r="GD18" s="3504"/>
      <c r="GE18" s="3581"/>
      <c r="GF18" s="3581"/>
      <c r="GG18" s="3581"/>
      <c r="GH18" s="3581"/>
      <c r="GI18" s="3581"/>
      <c r="GJ18" s="3581"/>
      <c r="GK18" s="3581"/>
      <c r="GL18" s="3581"/>
      <c r="GM18" s="3581"/>
      <c r="GN18" s="3581"/>
      <c r="GO18" s="3581"/>
      <c r="GP18" s="3505">
        <v>0</v>
      </c>
      <c r="GQ18" s="3505">
        <v>0</v>
      </c>
      <c r="GR18" s="3505">
        <v>1</v>
      </c>
      <c r="GS18" s="3505">
        <v>12</v>
      </c>
      <c r="GT18" s="3505">
        <v>0</v>
      </c>
      <c r="GU18" s="3505">
        <v>0</v>
      </c>
      <c r="GV18" s="3505">
        <v>0</v>
      </c>
      <c r="GW18" s="3505">
        <v>1</v>
      </c>
    </row>
    <row r="19" spans="1:205" s="3425" customFormat="1">
      <c r="A19" s="3502">
        <v>15</v>
      </c>
      <c r="B19" s="3509" t="s">
        <v>106</v>
      </c>
      <c r="C19" s="3509" t="s">
        <v>106</v>
      </c>
      <c r="D19" s="3510"/>
      <c r="E19" s="3510"/>
      <c r="F19" s="3510"/>
      <c r="G19" s="3510"/>
      <c r="H19" s="3510"/>
      <c r="I19" s="3510"/>
      <c r="J19" s="3510"/>
      <c r="K19" s="3510"/>
      <c r="L19" s="3510"/>
      <c r="M19" s="3510"/>
      <c r="N19" s="3510"/>
      <c r="O19" s="3510"/>
      <c r="P19" s="3510"/>
      <c r="Q19" s="3511"/>
      <c r="R19" s="3512"/>
      <c r="S19" s="3512"/>
      <c r="T19" s="3510"/>
      <c r="U19" s="3510"/>
      <c r="V19" s="3510"/>
      <c r="W19" s="3513"/>
      <c r="X19" s="3512"/>
      <c r="Y19" s="3512"/>
      <c r="Z19" s="3512"/>
      <c r="AA19" s="3512"/>
      <c r="AB19" s="3512"/>
      <c r="AC19" s="3514"/>
      <c r="AD19" s="3515"/>
      <c r="AE19" s="3516"/>
      <c r="AF19" s="3517"/>
      <c r="AG19" s="3516"/>
      <c r="AH19" s="3513"/>
      <c r="AI19" s="3513"/>
      <c r="AJ19" s="3516"/>
      <c r="AK19" s="3506"/>
      <c r="AL19" s="3513"/>
      <c r="AM19" s="3518"/>
      <c r="AN19" s="3519"/>
      <c r="AO19" s="3519"/>
      <c r="AP19" s="3519"/>
      <c r="AQ19" s="3519"/>
      <c r="AR19" s="3520"/>
      <c r="AS19" s="3424"/>
      <c r="AT19" s="3503"/>
      <c r="AU19" s="3424"/>
      <c r="AV19" s="3504"/>
      <c r="AW19" s="3424"/>
      <c r="AX19" s="3504"/>
      <c r="AY19" s="3424"/>
      <c r="AZ19" s="3504"/>
      <c r="BA19" s="3424"/>
      <c r="BB19" s="3504"/>
      <c r="BC19" s="3424"/>
      <c r="BD19" s="3504"/>
      <c r="BE19" s="3424"/>
      <c r="BF19" s="3504"/>
      <c r="BG19" s="3424"/>
      <c r="BH19" s="3504"/>
      <c r="BI19" s="3521"/>
      <c r="BJ19" s="3521"/>
      <c r="BK19" s="3424"/>
      <c r="BL19" s="3504"/>
      <c r="BM19" s="3424"/>
      <c r="BN19" s="3503"/>
      <c r="BO19" s="3424"/>
      <c r="BP19" s="3504"/>
      <c r="BQ19" s="3424"/>
      <c r="BR19" s="3504"/>
      <c r="BS19" s="3424"/>
      <c r="BT19" s="3504"/>
      <c r="BU19" s="3424"/>
      <c r="BV19" s="3504"/>
      <c r="BW19" s="3424"/>
      <c r="BX19" s="3504"/>
      <c r="BY19" s="3424"/>
      <c r="BZ19" s="3504"/>
      <c r="CA19" s="3424"/>
      <c r="CB19" s="3504"/>
      <c r="CC19" s="3424"/>
      <c r="CD19" s="3504"/>
      <c r="CE19" s="3424"/>
      <c r="CF19" s="3503"/>
      <c r="CG19" s="3424"/>
      <c r="CH19" s="3504"/>
      <c r="CI19" s="3424"/>
      <c r="CJ19" s="3504"/>
      <c r="CK19" s="3424"/>
      <c r="CL19" s="3504"/>
      <c r="CM19" s="3424"/>
      <c r="CN19" s="3504"/>
      <c r="CO19" s="3424"/>
      <c r="CP19" s="3504"/>
      <c r="CQ19" s="3424"/>
      <c r="CR19" s="3504"/>
      <c r="CS19" s="3424"/>
      <c r="CT19" s="3504"/>
      <c r="CU19" s="3424"/>
      <c r="CV19" s="3504"/>
      <c r="CW19" s="3424"/>
      <c r="CX19" s="3504"/>
      <c r="CY19" s="3424"/>
      <c r="CZ19" s="3504"/>
      <c r="DA19" s="3424"/>
      <c r="DB19" s="3503"/>
      <c r="DC19" s="3424"/>
      <c r="DD19" s="3504"/>
      <c r="DE19" s="3424"/>
      <c r="DF19" s="3504"/>
      <c r="DG19" s="3424"/>
      <c r="DH19" s="3504"/>
      <c r="DI19" s="3424"/>
      <c r="DJ19" s="3504"/>
      <c r="DK19" s="3424"/>
      <c r="DL19" s="3504"/>
      <c r="DM19" s="3424"/>
      <c r="DN19" s="3504"/>
      <c r="DO19" s="3424"/>
      <c r="DP19" s="3504"/>
      <c r="DQ19" s="3424"/>
      <c r="DR19" s="3504"/>
      <c r="DS19" s="3505"/>
      <c r="DT19" s="3424"/>
      <c r="DU19" s="3506"/>
      <c r="DV19" s="3507"/>
      <c r="DW19" s="3424"/>
      <c r="DX19" s="3506"/>
      <c r="DY19" s="3507"/>
      <c r="DZ19" s="3424"/>
      <c r="EA19" s="3506"/>
      <c r="EB19" s="3507"/>
      <c r="EC19" s="3505"/>
      <c r="ED19" s="3424"/>
      <c r="EE19" s="3506"/>
      <c r="EF19" s="3507"/>
      <c r="EG19" s="3424"/>
      <c r="EH19" s="3506"/>
      <c r="EI19" s="3507"/>
      <c r="EJ19" s="3424"/>
      <c r="EK19" s="3506"/>
      <c r="EL19" s="3507"/>
      <c r="EM19" s="3424"/>
      <c r="EN19" s="3506"/>
      <c r="EO19" s="3507"/>
      <c r="EP19" s="3505"/>
      <c r="EQ19" s="3426"/>
      <c r="ER19" s="3506"/>
      <c r="ES19" s="3426"/>
      <c r="ET19" s="3506"/>
      <c r="EU19" s="3505"/>
      <c r="EV19" s="3426"/>
      <c r="EW19" s="3508"/>
      <c r="EX19" s="3426"/>
      <c r="EY19" s="3506"/>
      <c r="EZ19" s="3505"/>
      <c r="FA19" s="3426"/>
      <c r="FB19" s="3508"/>
      <c r="FC19" s="3426"/>
      <c r="FD19" s="3506"/>
      <c r="FE19" s="3505"/>
      <c r="FF19" s="3424"/>
      <c r="FG19" s="3504"/>
      <c r="FH19" s="3424"/>
      <c r="FI19" s="3504"/>
      <c r="FJ19" s="3424"/>
      <c r="FK19" s="3504"/>
      <c r="FL19" s="3424"/>
      <c r="FM19" s="3504"/>
      <c r="FN19" s="3424"/>
      <c r="FO19" s="3504"/>
      <c r="FP19" s="3424"/>
      <c r="FQ19" s="3504"/>
      <c r="FR19" s="3424"/>
      <c r="FS19" s="3504"/>
      <c r="FT19" s="3424"/>
      <c r="FU19" s="3504"/>
      <c r="FV19" s="3505"/>
      <c r="FW19" s="3424"/>
      <c r="FX19" s="3504"/>
      <c r="FY19" s="3424"/>
      <c r="FZ19" s="3504"/>
      <c r="GA19" s="3424"/>
      <c r="GB19" s="3504"/>
      <c r="GC19" s="3424"/>
      <c r="GD19" s="3504"/>
      <c r="GE19" s="3581"/>
      <c r="GF19" s="3581"/>
      <c r="GG19" s="3581"/>
      <c r="GH19" s="3581"/>
      <c r="GI19" s="3581"/>
      <c r="GJ19" s="3581"/>
      <c r="GK19" s="3581"/>
      <c r="GL19" s="3581"/>
      <c r="GM19" s="3581"/>
      <c r="GN19" s="3581"/>
      <c r="GO19" s="3581"/>
      <c r="GP19" s="3505">
        <v>0</v>
      </c>
      <c r="GQ19" s="3505">
        <v>0</v>
      </c>
      <c r="GR19" s="3505">
        <v>1</v>
      </c>
      <c r="GS19" s="3505">
        <v>13</v>
      </c>
      <c r="GT19" s="3505">
        <v>0</v>
      </c>
      <c r="GU19" s="3505">
        <v>0</v>
      </c>
      <c r="GV19" s="3505">
        <v>0</v>
      </c>
      <c r="GW19" s="3505">
        <v>1</v>
      </c>
    </row>
    <row r="20" spans="1:205" s="3425" customFormat="1">
      <c r="A20" s="3502">
        <v>16</v>
      </c>
      <c r="B20" s="3509" t="s">
        <v>608</v>
      </c>
      <c r="C20" s="3509" t="s">
        <v>608</v>
      </c>
      <c r="D20" s="3510"/>
      <c r="E20" s="3510"/>
      <c r="F20" s="3510"/>
      <c r="G20" s="3510"/>
      <c r="H20" s="3510"/>
      <c r="I20" s="3510"/>
      <c r="J20" s="3510"/>
      <c r="K20" s="3510"/>
      <c r="L20" s="3510"/>
      <c r="M20" s="3510"/>
      <c r="N20" s="3510"/>
      <c r="O20" s="3510"/>
      <c r="P20" s="3510"/>
      <c r="Q20" s="3511"/>
      <c r="R20" s="3512"/>
      <c r="S20" s="3512"/>
      <c r="T20" s="3510"/>
      <c r="U20" s="3510"/>
      <c r="V20" s="3510"/>
      <c r="W20" s="3513"/>
      <c r="X20" s="3512"/>
      <c r="Y20" s="3512"/>
      <c r="Z20" s="3512"/>
      <c r="AA20" s="3512"/>
      <c r="AB20" s="3512"/>
      <c r="AC20" s="3514"/>
      <c r="AD20" s="3515"/>
      <c r="AE20" s="3516"/>
      <c r="AF20" s="3517"/>
      <c r="AG20" s="3516"/>
      <c r="AH20" s="3513"/>
      <c r="AI20" s="3513"/>
      <c r="AJ20" s="3516"/>
      <c r="AK20" s="3506"/>
      <c r="AL20" s="3513"/>
      <c r="AM20" s="3518"/>
      <c r="AN20" s="3519"/>
      <c r="AO20" s="3519"/>
      <c r="AP20" s="3519"/>
      <c r="AQ20" s="3519"/>
      <c r="AR20" s="3520"/>
      <c r="AS20" s="3424"/>
      <c r="AT20" s="3503"/>
      <c r="AU20" s="3424"/>
      <c r="AV20" s="3504"/>
      <c r="AW20" s="3424"/>
      <c r="AX20" s="3504"/>
      <c r="AY20" s="3424"/>
      <c r="AZ20" s="3504"/>
      <c r="BA20" s="3424"/>
      <c r="BB20" s="3504"/>
      <c r="BC20" s="3424"/>
      <c r="BD20" s="3504"/>
      <c r="BE20" s="3424"/>
      <c r="BF20" s="3504"/>
      <c r="BG20" s="3424"/>
      <c r="BH20" s="3504"/>
      <c r="BI20" s="3521"/>
      <c r="BJ20" s="3521"/>
      <c r="BK20" s="3424"/>
      <c r="BL20" s="3504"/>
      <c r="BM20" s="3424"/>
      <c r="BN20" s="3503"/>
      <c r="BO20" s="3424"/>
      <c r="BP20" s="3504"/>
      <c r="BQ20" s="3424"/>
      <c r="BR20" s="3504"/>
      <c r="BS20" s="3424"/>
      <c r="BT20" s="3504"/>
      <c r="BU20" s="3424"/>
      <c r="BV20" s="3504"/>
      <c r="BW20" s="3424"/>
      <c r="BX20" s="3504"/>
      <c r="BY20" s="3424"/>
      <c r="BZ20" s="3504"/>
      <c r="CA20" s="3424"/>
      <c r="CB20" s="3504"/>
      <c r="CC20" s="3424"/>
      <c r="CD20" s="3504"/>
      <c r="CE20" s="3424"/>
      <c r="CF20" s="3503"/>
      <c r="CG20" s="3424"/>
      <c r="CH20" s="3504"/>
      <c r="CI20" s="3424"/>
      <c r="CJ20" s="3504"/>
      <c r="CK20" s="3424"/>
      <c r="CL20" s="3504"/>
      <c r="CM20" s="3424"/>
      <c r="CN20" s="3504"/>
      <c r="CO20" s="3424"/>
      <c r="CP20" s="3504"/>
      <c r="CQ20" s="3424"/>
      <c r="CR20" s="3504"/>
      <c r="CS20" s="3424"/>
      <c r="CT20" s="3504"/>
      <c r="CU20" s="3424"/>
      <c r="CV20" s="3504"/>
      <c r="CW20" s="3424"/>
      <c r="CX20" s="3504"/>
      <c r="CY20" s="3424"/>
      <c r="CZ20" s="3504"/>
      <c r="DA20" s="3424"/>
      <c r="DB20" s="3503"/>
      <c r="DC20" s="3424"/>
      <c r="DD20" s="3504"/>
      <c r="DE20" s="3424"/>
      <c r="DF20" s="3504"/>
      <c r="DG20" s="3424"/>
      <c r="DH20" s="3504"/>
      <c r="DI20" s="3424"/>
      <c r="DJ20" s="3504"/>
      <c r="DK20" s="3424"/>
      <c r="DL20" s="3504"/>
      <c r="DM20" s="3424"/>
      <c r="DN20" s="3504"/>
      <c r="DO20" s="3424"/>
      <c r="DP20" s="3504"/>
      <c r="DQ20" s="3424"/>
      <c r="DR20" s="3504"/>
      <c r="DS20" s="3505"/>
      <c r="DT20" s="3424"/>
      <c r="DU20" s="3506"/>
      <c r="DV20" s="3507"/>
      <c r="DW20" s="3424"/>
      <c r="DX20" s="3506"/>
      <c r="DY20" s="3507"/>
      <c r="DZ20" s="3424"/>
      <c r="EA20" s="3506"/>
      <c r="EB20" s="3507"/>
      <c r="EC20" s="3505"/>
      <c r="ED20" s="3424"/>
      <c r="EE20" s="3506"/>
      <c r="EF20" s="3507"/>
      <c r="EG20" s="3424"/>
      <c r="EH20" s="3506"/>
      <c r="EI20" s="3507"/>
      <c r="EJ20" s="3424"/>
      <c r="EK20" s="3506"/>
      <c r="EL20" s="3507"/>
      <c r="EM20" s="3424"/>
      <c r="EN20" s="3506"/>
      <c r="EO20" s="3507"/>
      <c r="EP20" s="3505"/>
      <c r="EQ20" s="3426"/>
      <c r="ER20" s="3506"/>
      <c r="ES20" s="3426"/>
      <c r="ET20" s="3506"/>
      <c r="EU20" s="3505"/>
      <c r="EV20" s="3426"/>
      <c r="EW20" s="3508"/>
      <c r="EX20" s="3426"/>
      <c r="EY20" s="3506"/>
      <c r="EZ20" s="3505"/>
      <c r="FA20" s="3426"/>
      <c r="FB20" s="3508"/>
      <c r="FC20" s="3426"/>
      <c r="FD20" s="3506"/>
      <c r="FE20" s="3505"/>
      <c r="FF20" s="3424"/>
      <c r="FG20" s="3504"/>
      <c r="FH20" s="3424"/>
      <c r="FI20" s="3504"/>
      <c r="FJ20" s="3424"/>
      <c r="FK20" s="3504"/>
      <c r="FL20" s="3424"/>
      <c r="FM20" s="3504"/>
      <c r="FN20" s="3424"/>
      <c r="FO20" s="3504"/>
      <c r="FP20" s="3424"/>
      <c r="FQ20" s="3504"/>
      <c r="FR20" s="3424"/>
      <c r="FS20" s="3504"/>
      <c r="FT20" s="3424"/>
      <c r="FU20" s="3504"/>
      <c r="FV20" s="3505"/>
      <c r="FW20" s="3424"/>
      <c r="FX20" s="3504"/>
      <c r="FY20" s="3424"/>
      <c r="FZ20" s="3504"/>
      <c r="GA20" s="3424"/>
      <c r="GB20" s="3504"/>
      <c r="GC20" s="3424"/>
      <c r="GD20" s="3504"/>
      <c r="GE20" s="3581"/>
      <c r="GF20" s="3581"/>
      <c r="GG20" s="3581"/>
      <c r="GH20" s="3581"/>
      <c r="GI20" s="3581"/>
      <c r="GJ20" s="3581"/>
      <c r="GK20" s="3581"/>
      <c r="GL20" s="3581"/>
      <c r="GM20" s="3581"/>
      <c r="GN20" s="3581"/>
      <c r="GO20" s="3581"/>
      <c r="GP20" s="3505">
        <v>0</v>
      </c>
      <c r="GQ20" s="3505">
        <v>0</v>
      </c>
      <c r="GR20" s="3505">
        <v>1</v>
      </c>
      <c r="GS20" s="3505">
        <v>14</v>
      </c>
      <c r="GT20" s="3505">
        <v>0</v>
      </c>
      <c r="GU20" s="3505">
        <v>0</v>
      </c>
      <c r="GV20" s="3505">
        <v>0</v>
      </c>
      <c r="GW20" s="3505">
        <v>1</v>
      </c>
    </row>
    <row r="21" spans="1:205">
      <c r="A21" s="3522">
        <v>17</v>
      </c>
      <c r="B21" s="3523" t="s">
        <v>106</v>
      </c>
      <c r="C21" s="3509" t="s">
        <v>106</v>
      </c>
      <c r="D21" s="3523"/>
      <c r="E21" s="3523"/>
      <c r="F21" s="3523"/>
      <c r="G21" s="3523"/>
      <c r="H21" s="3523"/>
      <c r="I21" s="3523"/>
      <c r="J21" s="3523"/>
      <c r="K21" s="3523"/>
      <c r="L21" s="3523"/>
      <c r="M21" s="3523"/>
      <c r="N21" s="3523"/>
      <c r="O21" s="3523"/>
      <c r="P21" s="3523"/>
      <c r="Q21" s="3523"/>
      <c r="R21" s="3523"/>
      <c r="S21" s="3523"/>
      <c r="T21" s="3523"/>
      <c r="U21" s="3523"/>
      <c r="V21" s="3523"/>
      <c r="W21" s="3523"/>
      <c r="X21" s="3523"/>
      <c r="Y21" s="3523"/>
      <c r="Z21" s="3523"/>
      <c r="AA21" s="3523"/>
      <c r="AB21" s="3523"/>
      <c r="AC21" s="3523"/>
      <c r="AD21" s="3523"/>
      <c r="AE21" s="3523"/>
      <c r="AF21" s="3523"/>
      <c r="AG21" s="3523"/>
      <c r="AH21" s="3523"/>
      <c r="AI21" s="3523"/>
      <c r="AJ21" s="3523"/>
      <c r="AK21" s="3523"/>
      <c r="AL21" s="3523"/>
      <c r="AM21" s="3523"/>
      <c r="AN21" s="3523"/>
      <c r="AO21" s="3523"/>
      <c r="AP21" s="3523"/>
      <c r="AQ21" s="3523"/>
      <c r="AR21" s="3523"/>
      <c r="AS21" s="3523"/>
      <c r="AT21" s="3523"/>
      <c r="AU21" s="3523"/>
      <c r="AV21" s="3523"/>
      <c r="AW21" s="3523"/>
      <c r="AX21" s="3523"/>
      <c r="AY21" s="3523"/>
      <c r="AZ21" s="3523"/>
      <c r="BA21" s="3523"/>
      <c r="BB21" s="3523"/>
      <c r="BC21" s="3523"/>
      <c r="BD21" s="3523"/>
      <c r="BE21" s="3523"/>
      <c r="BF21" s="3523"/>
      <c r="BG21" s="3523"/>
      <c r="BH21" s="3523"/>
      <c r="BI21" s="3523"/>
      <c r="BJ21" s="3523"/>
      <c r="BK21" s="3523"/>
      <c r="BL21" s="3523"/>
      <c r="BM21" s="3523"/>
      <c r="BN21" s="3523"/>
      <c r="BO21" s="3523"/>
      <c r="BP21" s="3523"/>
      <c r="BQ21" s="3523"/>
      <c r="BR21" s="3523"/>
      <c r="BS21" s="3523"/>
      <c r="BT21" s="3523"/>
      <c r="BU21" s="3523"/>
      <c r="BV21" s="3523"/>
      <c r="BW21" s="3523"/>
      <c r="BX21" s="3523"/>
      <c r="BY21" s="3523"/>
      <c r="BZ21" s="3523"/>
      <c r="CA21" s="3523"/>
      <c r="CB21" s="3523"/>
      <c r="CC21" s="3523"/>
      <c r="CD21" s="3523"/>
      <c r="CE21" s="3523"/>
      <c r="CF21" s="3523"/>
      <c r="CG21" s="3523"/>
      <c r="CH21" s="3523"/>
      <c r="CI21" s="3523"/>
      <c r="CJ21" s="3523"/>
      <c r="CK21" s="3523"/>
      <c r="CL21" s="3523"/>
      <c r="CM21" s="3523"/>
      <c r="CN21" s="3523"/>
      <c r="CO21" s="3523"/>
      <c r="CP21" s="3523"/>
      <c r="CQ21" s="3523"/>
      <c r="CR21" s="3523"/>
      <c r="CS21" s="3523"/>
      <c r="CT21" s="3523"/>
      <c r="CU21" s="3523"/>
      <c r="CV21" s="3523"/>
      <c r="CW21" s="3523"/>
      <c r="CX21" s="3523"/>
      <c r="CY21" s="3523"/>
      <c r="CZ21" s="3523"/>
      <c r="DA21" s="3523"/>
      <c r="DB21" s="3523"/>
      <c r="DC21" s="3523"/>
      <c r="DD21" s="3523"/>
      <c r="DE21" s="3523"/>
      <c r="DF21" s="3523"/>
      <c r="DG21" s="3523"/>
      <c r="DH21" s="3523"/>
      <c r="DI21" s="3523"/>
      <c r="DJ21" s="3523"/>
      <c r="DK21" s="3523"/>
      <c r="DL21" s="3523"/>
      <c r="DM21" s="3523"/>
      <c r="DN21" s="3523"/>
      <c r="DO21" s="3523"/>
      <c r="DP21" s="3523"/>
      <c r="DQ21" s="3523"/>
      <c r="DR21" s="3523"/>
      <c r="DS21" s="3523"/>
      <c r="DT21" s="3523"/>
      <c r="DU21" s="3523"/>
      <c r="DV21" s="3523"/>
      <c r="DW21" s="3523"/>
      <c r="DX21" s="3523"/>
      <c r="DY21" s="3523"/>
      <c r="DZ21" s="3523"/>
      <c r="EA21" s="3523"/>
      <c r="EB21" s="3523"/>
      <c r="EC21" s="3523"/>
      <c r="ED21" s="3523"/>
      <c r="EE21" s="3523"/>
      <c r="EF21" s="3523"/>
      <c r="EG21" s="3523"/>
      <c r="EH21" s="3523"/>
      <c r="EI21" s="3523"/>
      <c r="EJ21" s="3523"/>
      <c r="EK21" s="3523"/>
      <c r="EL21" s="3523"/>
      <c r="EM21" s="3523"/>
      <c r="EN21" s="3523"/>
      <c r="EO21" s="3523"/>
      <c r="EP21" s="3523"/>
      <c r="EQ21" s="3523"/>
      <c r="ER21" s="3523"/>
      <c r="ES21" s="3523"/>
      <c r="ET21" s="3523"/>
      <c r="EU21" s="3523"/>
      <c r="EV21" s="3523"/>
      <c r="EW21" s="3523"/>
      <c r="EX21" s="3523"/>
      <c r="EY21" s="3523"/>
      <c r="EZ21" s="3523"/>
      <c r="FA21" s="3523"/>
      <c r="FB21" s="3523"/>
      <c r="FC21" s="3523"/>
      <c r="FD21" s="3523"/>
      <c r="FF21" s="3523"/>
      <c r="FG21" s="3523"/>
      <c r="FH21" s="3523"/>
      <c r="FI21" s="3523"/>
      <c r="FJ21" s="3523"/>
      <c r="FK21" s="3523"/>
      <c r="FL21" s="3523"/>
      <c r="FM21" s="3523"/>
      <c r="FN21" s="3523"/>
      <c r="FO21" s="3523"/>
      <c r="FP21" s="3523"/>
      <c r="FQ21" s="3523"/>
      <c r="FR21" s="3523"/>
      <c r="FS21" s="3523"/>
      <c r="FT21" s="3523"/>
      <c r="FU21" s="3523"/>
      <c r="FW21" s="3523"/>
      <c r="FX21" s="3523"/>
      <c r="FY21" s="3523"/>
      <c r="FZ21" s="3523"/>
      <c r="GA21" s="3523"/>
      <c r="GB21" s="3523"/>
      <c r="GC21" s="3523"/>
      <c r="GD21" s="3523"/>
      <c r="GE21" s="3582"/>
      <c r="GF21" s="3582"/>
      <c r="GG21" s="3582"/>
      <c r="GH21" s="3582"/>
      <c r="GI21" s="3582"/>
      <c r="GJ21" s="3582"/>
      <c r="GK21" s="3582"/>
      <c r="GL21" s="3582"/>
      <c r="GM21" s="3582"/>
      <c r="GN21" s="3582"/>
      <c r="GO21" s="3582"/>
      <c r="GP21" s="3505">
        <v>0</v>
      </c>
      <c r="GQ21" s="3481">
        <v>0</v>
      </c>
      <c r="GR21" s="3505">
        <v>1</v>
      </c>
      <c r="GS21" s="3481">
        <v>15</v>
      </c>
      <c r="GT21" s="3505">
        <v>0</v>
      </c>
      <c r="GU21" s="3505">
        <v>0</v>
      </c>
      <c r="GV21" s="3505">
        <v>0</v>
      </c>
      <c r="GW21" s="3505">
        <v>1</v>
      </c>
    </row>
    <row r="22" spans="1:205">
      <c r="A22" s="3522">
        <v>18</v>
      </c>
      <c r="B22" s="3523" t="s">
        <v>106</v>
      </c>
      <c r="C22" s="3509" t="s">
        <v>106</v>
      </c>
      <c r="D22" s="3523"/>
      <c r="E22" s="3523"/>
      <c r="F22" s="3523"/>
      <c r="G22" s="3523"/>
      <c r="H22" s="3523"/>
      <c r="I22" s="3523"/>
      <c r="J22" s="3523"/>
      <c r="K22" s="3523"/>
      <c r="L22" s="3523"/>
      <c r="M22" s="3523"/>
      <c r="N22" s="3523"/>
      <c r="O22" s="3523"/>
      <c r="P22" s="3523"/>
      <c r="Q22" s="3523"/>
      <c r="R22" s="3523"/>
      <c r="S22" s="3523"/>
      <c r="T22" s="3523"/>
      <c r="U22" s="3523"/>
      <c r="V22" s="3523"/>
      <c r="W22" s="3523"/>
      <c r="X22" s="3523"/>
      <c r="Y22" s="3523"/>
      <c r="Z22" s="3523"/>
      <c r="AA22" s="3523"/>
      <c r="AB22" s="3523"/>
      <c r="AC22" s="3523"/>
      <c r="AD22" s="3523"/>
      <c r="AE22" s="3523"/>
      <c r="AF22" s="3523"/>
      <c r="AG22" s="3523"/>
      <c r="AH22" s="3523"/>
      <c r="AI22" s="3523"/>
      <c r="AJ22" s="3523"/>
      <c r="AK22" s="3523"/>
      <c r="AL22" s="3523"/>
      <c r="AM22" s="3523"/>
      <c r="AN22" s="3523"/>
      <c r="AO22" s="3523"/>
      <c r="AP22" s="3523"/>
      <c r="AQ22" s="3523"/>
      <c r="AR22" s="3523"/>
      <c r="AS22" s="3523"/>
      <c r="AT22" s="3523"/>
      <c r="AU22" s="3523"/>
      <c r="AV22" s="3523"/>
      <c r="AW22" s="3523"/>
      <c r="AX22" s="3523"/>
      <c r="AY22" s="3523"/>
      <c r="AZ22" s="3523"/>
      <c r="BA22" s="3523"/>
      <c r="BB22" s="3523"/>
      <c r="BC22" s="3523"/>
      <c r="BD22" s="3523"/>
      <c r="BE22" s="3523"/>
      <c r="BF22" s="3523"/>
      <c r="BG22" s="3523"/>
      <c r="BH22" s="3523"/>
      <c r="BI22" s="3523"/>
      <c r="BJ22" s="3523"/>
      <c r="BK22" s="3523"/>
      <c r="BL22" s="3523"/>
      <c r="BM22" s="3523"/>
      <c r="BN22" s="3523"/>
      <c r="BO22" s="3523"/>
      <c r="BP22" s="3523"/>
      <c r="BQ22" s="3523"/>
      <c r="BR22" s="3523"/>
      <c r="BS22" s="3523"/>
      <c r="BT22" s="3523"/>
      <c r="BU22" s="3523"/>
      <c r="BV22" s="3523"/>
      <c r="BW22" s="3523"/>
      <c r="BX22" s="3523"/>
      <c r="BY22" s="3523"/>
      <c r="BZ22" s="3523"/>
      <c r="CA22" s="3523"/>
      <c r="CB22" s="3523"/>
      <c r="CC22" s="3523"/>
      <c r="CD22" s="3523"/>
      <c r="CE22" s="3523"/>
      <c r="CF22" s="3523"/>
      <c r="CG22" s="3523"/>
      <c r="CH22" s="3523"/>
      <c r="CI22" s="3523"/>
      <c r="CJ22" s="3523"/>
      <c r="CK22" s="3523"/>
      <c r="CL22" s="3523"/>
      <c r="CM22" s="3523"/>
      <c r="CN22" s="3523"/>
      <c r="CO22" s="3523"/>
      <c r="CP22" s="3523"/>
      <c r="CQ22" s="3523"/>
      <c r="CR22" s="3523"/>
      <c r="CS22" s="3523"/>
      <c r="CT22" s="3523"/>
      <c r="CU22" s="3523"/>
      <c r="CV22" s="3523"/>
      <c r="CW22" s="3523"/>
      <c r="CX22" s="3523"/>
      <c r="CY22" s="3523"/>
      <c r="CZ22" s="3523"/>
      <c r="DA22" s="3523"/>
      <c r="DB22" s="3523"/>
      <c r="DC22" s="3523"/>
      <c r="DD22" s="3523"/>
      <c r="DE22" s="3523"/>
      <c r="DF22" s="3523"/>
      <c r="DG22" s="3523"/>
      <c r="DH22" s="3523"/>
      <c r="DI22" s="3523"/>
      <c r="DJ22" s="3523"/>
      <c r="DK22" s="3523"/>
      <c r="DL22" s="3523"/>
      <c r="DM22" s="3523"/>
      <c r="DN22" s="3523"/>
      <c r="DO22" s="3523"/>
      <c r="DP22" s="3523"/>
      <c r="DQ22" s="3523"/>
      <c r="DR22" s="3523"/>
      <c r="DS22" s="3523"/>
      <c r="DT22" s="3523"/>
      <c r="DU22" s="3523"/>
      <c r="DV22" s="3523"/>
      <c r="DW22" s="3523"/>
      <c r="DX22" s="3523"/>
      <c r="DY22" s="3523"/>
      <c r="DZ22" s="3523"/>
      <c r="EA22" s="3523"/>
      <c r="EB22" s="3523"/>
      <c r="EC22" s="3523"/>
      <c r="ED22" s="3523"/>
      <c r="EE22" s="3523"/>
      <c r="EF22" s="3523"/>
      <c r="EG22" s="3523"/>
      <c r="EH22" s="3523"/>
      <c r="EI22" s="3523"/>
      <c r="EJ22" s="3523"/>
      <c r="EK22" s="3523"/>
      <c r="EL22" s="3523"/>
      <c r="EM22" s="3523"/>
      <c r="EN22" s="3523"/>
      <c r="EO22" s="3523"/>
      <c r="EP22" s="3523"/>
      <c r="EQ22" s="3523"/>
      <c r="ER22" s="3523"/>
      <c r="ES22" s="3523"/>
      <c r="ET22" s="3523"/>
      <c r="EU22" s="3523"/>
      <c r="EV22" s="3523"/>
      <c r="EW22" s="3523"/>
      <c r="EX22" s="3523"/>
      <c r="EY22" s="3523"/>
      <c r="EZ22" s="3523"/>
      <c r="FA22" s="3523"/>
      <c r="FB22" s="3523"/>
      <c r="FC22" s="3523"/>
      <c r="FD22" s="3523"/>
      <c r="FF22" s="3523"/>
      <c r="FG22" s="3523"/>
      <c r="FH22" s="3523"/>
      <c r="FI22" s="3523"/>
      <c r="FJ22" s="3523"/>
      <c r="FK22" s="3523"/>
      <c r="FL22" s="3523"/>
      <c r="FM22" s="3523"/>
      <c r="FN22" s="3523"/>
      <c r="FO22" s="3523"/>
      <c r="FP22" s="3523"/>
      <c r="FQ22" s="3523"/>
      <c r="FR22" s="3523"/>
      <c r="FS22" s="3523"/>
      <c r="FT22" s="3523"/>
      <c r="FU22" s="3523"/>
      <c r="FW22" s="3523"/>
      <c r="FX22" s="3523"/>
      <c r="FY22" s="3523"/>
      <c r="FZ22" s="3523"/>
      <c r="GA22" s="3523"/>
      <c r="GB22" s="3523"/>
      <c r="GC22" s="3523"/>
      <c r="GD22" s="3523"/>
      <c r="GE22" s="3582"/>
      <c r="GF22" s="3582"/>
      <c r="GG22" s="3582"/>
      <c r="GH22" s="3582"/>
      <c r="GI22" s="3582"/>
      <c r="GJ22" s="3582"/>
      <c r="GK22" s="3582"/>
      <c r="GL22" s="3582"/>
      <c r="GM22" s="3582"/>
      <c r="GN22" s="3582"/>
      <c r="GO22" s="3582"/>
      <c r="GP22" s="3505">
        <v>0</v>
      </c>
      <c r="GQ22" s="3481">
        <v>0</v>
      </c>
      <c r="GR22" s="3505">
        <v>1</v>
      </c>
      <c r="GS22" s="3481">
        <v>16</v>
      </c>
      <c r="GT22" s="3505">
        <v>0</v>
      </c>
      <c r="GU22" s="3505">
        <v>0</v>
      </c>
      <c r="GV22" s="3505">
        <v>0</v>
      </c>
      <c r="GW22" s="3505">
        <v>1</v>
      </c>
    </row>
    <row r="23" spans="1:205">
      <c r="A23" s="3522">
        <v>19</v>
      </c>
      <c r="B23" s="3523" t="s">
        <v>106</v>
      </c>
      <c r="C23" s="3509" t="s">
        <v>106</v>
      </c>
      <c r="D23" s="3523"/>
      <c r="E23" s="3523"/>
      <c r="F23" s="3523"/>
      <c r="G23" s="3523"/>
      <c r="H23" s="3523"/>
      <c r="I23" s="3523"/>
      <c r="J23" s="3523"/>
      <c r="K23" s="3523"/>
      <c r="L23" s="3523"/>
      <c r="M23" s="3523"/>
      <c r="N23" s="3523"/>
      <c r="O23" s="3523"/>
      <c r="P23" s="3523"/>
      <c r="Q23" s="3523"/>
      <c r="R23" s="3523"/>
      <c r="S23" s="3523"/>
      <c r="T23" s="3523"/>
      <c r="U23" s="3523"/>
      <c r="V23" s="3523"/>
      <c r="W23" s="3523"/>
      <c r="X23" s="3523"/>
      <c r="Y23" s="3523"/>
      <c r="Z23" s="3523"/>
      <c r="AA23" s="3523"/>
      <c r="AB23" s="3523"/>
      <c r="AC23" s="3523"/>
      <c r="AD23" s="3523"/>
      <c r="AE23" s="3523"/>
      <c r="AF23" s="3523"/>
      <c r="AG23" s="3523"/>
      <c r="AH23" s="3523"/>
      <c r="AI23" s="3523"/>
      <c r="AJ23" s="3523"/>
      <c r="AK23" s="3523"/>
      <c r="AL23" s="3523"/>
      <c r="AM23" s="3523"/>
      <c r="AN23" s="3523"/>
      <c r="AO23" s="3523"/>
      <c r="AP23" s="3523"/>
      <c r="AQ23" s="3523"/>
      <c r="AR23" s="3523"/>
      <c r="AS23" s="3523"/>
      <c r="AT23" s="3523"/>
      <c r="AU23" s="3523"/>
      <c r="AV23" s="3523"/>
      <c r="AW23" s="3523"/>
      <c r="AX23" s="3523"/>
      <c r="AY23" s="3523"/>
      <c r="AZ23" s="3523"/>
      <c r="BA23" s="3523"/>
      <c r="BB23" s="3523"/>
      <c r="BC23" s="3523"/>
      <c r="BD23" s="3523"/>
      <c r="BE23" s="3523"/>
      <c r="BF23" s="3523"/>
      <c r="BG23" s="3523"/>
      <c r="BH23" s="3523"/>
      <c r="BI23" s="3523"/>
      <c r="BJ23" s="3523"/>
      <c r="BK23" s="3523"/>
      <c r="BL23" s="3523"/>
      <c r="BM23" s="3523"/>
      <c r="BN23" s="3523"/>
      <c r="BO23" s="3523"/>
      <c r="BP23" s="3523"/>
      <c r="BQ23" s="3523"/>
      <c r="BR23" s="3523"/>
      <c r="BS23" s="3523"/>
      <c r="BT23" s="3523"/>
      <c r="BU23" s="3523"/>
      <c r="BV23" s="3523"/>
      <c r="BW23" s="3523"/>
      <c r="BX23" s="3523"/>
      <c r="BY23" s="3523"/>
      <c r="BZ23" s="3523"/>
      <c r="CA23" s="3523"/>
      <c r="CB23" s="3523"/>
      <c r="CC23" s="3523"/>
      <c r="CD23" s="3523"/>
      <c r="CE23" s="3523"/>
      <c r="CF23" s="3523"/>
      <c r="CG23" s="3523"/>
      <c r="CH23" s="3523"/>
      <c r="CI23" s="3523"/>
      <c r="CJ23" s="3523"/>
      <c r="CK23" s="3523"/>
      <c r="CL23" s="3523"/>
      <c r="CM23" s="3523"/>
      <c r="CN23" s="3523"/>
      <c r="CO23" s="3523"/>
      <c r="CP23" s="3523"/>
      <c r="CQ23" s="3523"/>
      <c r="CR23" s="3523"/>
      <c r="CS23" s="3523"/>
      <c r="CT23" s="3523"/>
      <c r="CU23" s="3523"/>
      <c r="CV23" s="3523"/>
      <c r="CW23" s="3523"/>
      <c r="CX23" s="3523"/>
      <c r="CY23" s="3523"/>
      <c r="CZ23" s="3523"/>
      <c r="DA23" s="3523"/>
      <c r="DB23" s="3523"/>
      <c r="DC23" s="3523"/>
      <c r="DD23" s="3523"/>
      <c r="DE23" s="3523"/>
      <c r="DF23" s="3523"/>
      <c r="DG23" s="3523"/>
      <c r="DH23" s="3523"/>
      <c r="DI23" s="3523"/>
      <c r="DJ23" s="3523"/>
      <c r="DK23" s="3523"/>
      <c r="DL23" s="3523"/>
      <c r="DM23" s="3523"/>
      <c r="DN23" s="3523"/>
      <c r="DO23" s="3523"/>
      <c r="DP23" s="3523"/>
      <c r="DQ23" s="3523"/>
      <c r="DR23" s="3523"/>
      <c r="DS23" s="3523"/>
      <c r="DT23" s="3523"/>
      <c r="DU23" s="3523"/>
      <c r="DV23" s="3523"/>
      <c r="DW23" s="3523"/>
      <c r="DX23" s="3523"/>
      <c r="DY23" s="3523"/>
      <c r="DZ23" s="3523"/>
      <c r="EA23" s="3523"/>
      <c r="EB23" s="3523"/>
      <c r="EC23" s="3523"/>
      <c r="ED23" s="3523"/>
      <c r="EE23" s="3523"/>
      <c r="EF23" s="3523"/>
      <c r="EG23" s="3523"/>
      <c r="EH23" s="3523"/>
      <c r="EI23" s="3523"/>
      <c r="EJ23" s="3523"/>
      <c r="EK23" s="3523"/>
      <c r="EL23" s="3523"/>
      <c r="EM23" s="3523"/>
      <c r="EN23" s="3523"/>
      <c r="EO23" s="3523"/>
      <c r="EP23" s="3523"/>
      <c r="EQ23" s="3523"/>
      <c r="ER23" s="3523"/>
      <c r="ES23" s="3523"/>
      <c r="ET23" s="3523"/>
      <c r="EU23" s="3523"/>
      <c r="EV23" s="3523"/>
      <c r="EW23" s="3523"/>
      <c r="EX23" s="3523"/>
      <c r="EY23" s="3523"/>
      <c r="EZ23" s="3523"/>
      <c r="FA23" s="3523"/>
      <c r="FB23" s="3523"/>
      <c r="FC23" s="3523"/>
      <c r="FD23" s="3523"/>
      <c r="FF23" s="3523"/>
      <c r="FG23" s="3523"/>
      <c r="FH23" s="3523"/>
      <c r="FI23" s="3523"/>
      <c r="FJ23" s="3523"/>
      <c r="FK23" s="3523"/>
      <c r="FL23" s="3523"/>
      <c r="FM23" s="3523"/>
      <c r="FN23" s="3523"/>
      <c r="FO23" s="3523"/>
      <c r="FP23" s="3523"/>
      <c r="FQ23" s="3523"/>
      <c r="FR23" s="3523"/>
      <c r="FS23" s="3523"/>
      <c r="FT23" s="3523"/>
      <c r="FU23" s="3523"/>
      <c r="FW23" s="3523"/>
      <c r="FX23" s="3523"/>
      <c r="FY23" s="3523"/>
      <c r="FZ23" s="3523"/>
      <c r="GA23" s="3523"/>
      <c r="GB23" s="3523"/>
      <c r="GC23" s="3523"/>
      <c r="GD23" s="3523"/>
      <c r="GE23" s="3582"/>
      <c r="GF23" s="3582"/>
      <c r="GG23" s="3582"/>
      <c r="GH23" s="3582"/>
      <c r="GI23" s="3582"/>
      <c r="GJ23" s="3582"/>
      <c r="GK23" s="3582"/>
      <c r="GL23" s="3582"/>
      <c r="GM23" s="3582"/>
      <c r="GN23" s="3582"/>
      <c r="GO23" s="3582"/>
      <c r="GP23" s="3505">
        <v>0</v>
      </c>
      <c r="GQ23" s="3481">
        <v>0</v>
      </c>
      <c r="GR23" s="3505">
        <v>1</v>
      </c>
      <c r="GS23" s="3481">
        <v>17</v>
      </c>
      <c r="GT23" s="3505">
        <v>0</v>
      </c>
      <c r="GU23" s="3505">
        <v>0</v>
      </c>
      <c r="GV23" s="3505">
        <v>0</v>
      </c>
      <c r="GW23" s="3505">
        <v>1</v>
      </c>
    </row>
    <row r="24" spans="1:205">
      <c r="A24" s="3522">
        <v>20</v>
      </c>
      <c r="B24" s="3523" t="s">
        <v>106</v>
      </c>
      <c r="C24" s="3509" t="s">
        <v>106</v>
      </c>
      <c r="D24" s="3523"/>
      <c r="E24" s="3523"/>
      <c r="F24" s="3523"/>
      <c r="G24" s="3523"/>
      <c r="H24" s="3523"/>
      <c r="I24" s="3523"/>
      <c r="J24" s="3523"/>
      <c r="K24" s="3523"/>
      <c r="L24" s="3523"/>
      <c r="M24" s="3523"/>
      <c r="N24" s="3523"/>
      <c r="O24" s="3523"/>
      <c r="P24" s="3523"/>
      <c r="Q24" s="3523"/>
      <c r="R24" s="3523"/>
      <c r="S24" s="3523"/>
      <c r="T24" s="3523"/>
      <c r="U24" s="3523"/>
      <c r="V24" s="3523"/>
      <c r="W24" s="3523"/>
      <c r="X24" s="3523"/>
      <c r="Y24" s="3523"/>
      <c r="Z24" s="3523"/>
      <c r="AA24" s="3523"/>
      <c r="AB24" s="3523"/>
      <c r="AC24" s="3523"/>
      <c r="AD24" s="3523"/>
      <c r="AE24" s="3523"/>
      <c r="AF24" s="3523"/>
      <c r="AG24" s="3523"/>
      <c r="AH24" s="3523"/>
      <c r="AI24" s="3523"/>
      <c r="AJ24" s="3523"/>
      <c r="AK24" s="3523"/>
      <c r="AL24" s="3523"/>
      <c r="AM24" s="3523"/>
      <c r="AN24" s="3523"/>
      <c r="AO24" s="3523"/>
      <c r="AP24" s="3523"/>
      <c r="AQ24" s="3523"/>
      <c r="AR24" s="3523"/>
      <c r="AS24" s="3523"/>
      <c r="AT24" s="3523"/>
      <c r="AU24" s="3523"/>
      <c r="AV24" s="3523"/>
      <c r="AW24" s="3523"/>
      <c r="AX24" s="3523"/>
      <c r="AY24" s="3523"/>
      <c r="AZ24" s="3523"/>
      <c r="BA24" s="3523"/>
      <c r="BB24" s="3523"/>
      <c r="BC24" s="3523"/>
      <c r="BD24" s="3523"/>
      <c r="BE24" s="3523"/>
      <c r="BF24" s="3523"/>
      <c r="BG24" s="3523"/>
      <c r="BH24" s="3523"/>
      <c r="BI24" s="3523"/>
      <c r="BJ24" s="3523"/>
      <c r="BK24" s="3523"/>
      <c r="BL24" s="3523"/>
      <c r="BM24" s="3523"/>
      <c r="BN24" s="3523"/>
      <c r="BO24" s="3523"/>
      <c r="BP24" s="3523"/>
      <c r="BQ24" s="3523"/>
      <c r="BR24" s="3523"/>
      <c r="BS24" s="3523"/>
      <c r="BT24" s="3523"/>
      <c r="BU24" s="3523"/>
      <c r="BV24" s="3523"/>
      <c r="BW24" s="3523"/>
      <c r="BX24" s="3523"/>
      <c r="BY24" s="3523"/>
      <c r="BZ24" s="3523"/>
      <c r="CA24" s="3523"/>
      <c r="CB24" s="3523"/>
      <c r="CC24" s="3523"/>
      <c r="CD24" s="3523"/>
      <c r="CE24" s="3523"/>
      <c r="CF24" s="3523"/>
      <c r="CG24" s="3523"/>
      <c r="CH24" s="3523"/>
      <c r="CI24" s="3523"/>
      <c r="CJ24" s="3523"/>
      <c r="CK24" s="3523"/>
      <c r="CL24" s="3523"/>
      <c r="CM24" s="3523"/>
      <c r="CN24" s="3523"/>
      <c r="CO24" s="3523"/>
      <c r="CP24" s="3523"/>
      <c r="CQ24" s="3523"/>
      <c r="CR24" s="3523"/>
      <c r="CS24" s="3523"/>
      <c r="CT24" s="3523"/>
      <c r="CU24" s="3523"/>
      <c r="CV24" s="3523"/>
      <c r="CW24" s="3523"/>
      <c r="CX24" s="3523"/>
      <c r="CY24" s="3523"/>
      <c r="CZ24" s="3523"/>
      <c r="DA24" s="3523"/>
      <c r="DB24" s="3523"/>
      <c r="DC24" s="3523"/>
      <c r="DD24" s="3523"/>
      <c r="DE24" s="3523"/>
      <c r="DF24" s="3523"/>
      <c r="DG24" s="3523"/>
      <c r="DH24" s="3523"/>
      <c r="DI24" s="3523"/>
      <c r="DJ24" s="3523"/>
      <c r="DK24" s="3523"/>
      <c r="DL24" s="3523"/>
      <c r="DM24" s="3523"/>
      <c r="DN24" s="3523"/>
      <c r="DO24" s="3523"/>
      <c r="DP24" s="3523"/>
      <c r="DQ24" s="3523"/>
      <c r="DR24" s="3523"/>
      <c r="DS24" s="3523"/>
      <c r="DT24" s="3523"/>
      <c r="DU24" s="3523"/>
      <c r="DV24" s="3523"/>
      <c r="DW24" s="3523"/>
      <c r="DX24" s="3523"/>
      <c r="DY24" s="3523"/>
      <c r="DZ24" s="3523"/>
      <c r="EA24" s="3523"/>
      <c r="EB24" s="3523"/>
      <c r="EC24" s="3523"/>
      <c r="ED24" s="3523"/>
      <c r="EE24" s="3523"/>
      <c r="EF24" s="3523"/>
      <c r="EG24" s="3523"/>
      <c r="EH24" s="3523"/>
      <c r="EI24" s="3523"/>
      <c r="EJ24" s="3523"/>
      <c r="EK24" s="3523"/>
      <c r="EL24" s="3523"/>
      <c r="EM24" s="3523"/>
      <c r="EN24" s="3523"/>
      <c r="EO24" s="3523"/>
      <c r="EP24" s="3523"/>
      <c r="EQ24" s="3523"/>
      <c r="ER24" s="3523"/>
      <c r="ES24" s="3523"/>
      <c r="ET24" s="3523"/>
      <c r="EU24" s="3523"/>
      <c r="EV24" s="3523"/>
      <c r="EW24" s="3523"/>
      <c r="EX24" s="3523"/>
      <c r="EY24" s="3523"/>
      <c r="EZ24" s="3523"/>
      <c r="FA24" s="3523"/>
      <c r="FB24" s="3523"/>
      <c r="FC24" s="3523"/>
      <c r="FD24" s="3523"/>
      <c r="FF24" s="3523"/>
      <c r="FG24" s="3523"/>
      <c r="FH24" s="3523"/>
      <c r="FI24" s="3523"/>
      <c r="FJ24" s="3523"/>
      <c r="FK24" s="3523"/>
      <c r="FL24" s="3523"/>
      <c r="FM24" s="3523"/>
      <c r="FN24" s="3523"/>
      <c r="FO24" s="3523"/>
      <c r="FP24" s="3523"/>
      <c r="FQ24" s="3523"/>
      <c r="FR24" s="3523"/>
      <c r="FS24" s="3523"/>
      <c r="FT24" s="3523"/>
      <c r="FU24" s="3523"/>
      <c r="FW24" s="3523"/>
      <c r="FX24" s="3523"/>
      <c r="FY24" s="3523"/>
      <c r="FZ24" s="3523"/>
      <c r="GA24" s="3523"/>
      <c r="GB24" s="3523"/>
      <c r="GC24" s="3523"/>
      <c r="GD24" s="3523"/>
      <c r="GE24" s="3582"/>
      <c r="GF24" s="3582"/>
      <c r="GG24" s="3582"/>
      <c r="GH24" s="3582"/>
      <c r="GI24" s="3582"/>
      <c r="GJ24" s="3582"/>
      <c r="GK24" s="3582"/>
      <c r="GL24" s="3582"/>
      <c r="GM24" s="3582"/>
      <c r="GN24" s="3582"/>
      <c r="GO24" s="3582"/>
      <c r="GP24" s="3505">
        <v>0</v>
      </c>
      <c r="GQ24" s="3481">
        <v>0</v>
      </c>
      <c r="GR24" s="3505">
        <v>1</v>
      </c>
      <c r="GS24" s="3481">
        <v>18</v>
      </c>
      <c r="GT24" s="3505">
        <v>0</v>
      </c>
      <c r="GU24" s="3505">
        <v>0</v>
      </c>
      <c r="GV24" s="3505">
        <v>0</v>
      </c>
      <c r="GW24" s="3505">
        <v>1</v>
      </c>
    </row>
    <row r="25" spans="1:205">
      <c r="A25" s="3522">
        <v>21</v>
      </c>
      <c r="B25" s="3523" t="s">
        <v>106</v>
      </c>
      <c r="C25" s="3509" t="s">
        <v>106</v>
      </c>
      <c r="D25" s="3523"/>
      <c r="E25" s="3523"/>
      <c r="F25" s="3523"/>
      <c r="G25" s="3523"/>
      <c r="H25" s="3523"/>
      <c r="I25" s="3523"/>
      <c r="J25" s="3523"/>
      <c r="K25" s="3523"/>
      <c r="L25" s="3523"/>
      <c r="M25" s="3523"/>
      <c r="N25" s="3523"/>
      <c r="O25" s="3523"/>
      <c r="P25" s="3523"/>
      <c r="Q25" s="3523"/>
      <c r="R25" s="3523"/>
      <c r="S25" s="3523"/>
      <c r="T25" s="3523"/>
      <c r="U25" s="3523"/>
      <c r="V25" s="3523"/>
      <c r="W25" s="3523"/>
      <c r="X25" s="3523"/>
      <c r="Y25" s="3523"/>
      <c r="Z25" s="3523"/>
      <c r="AA25" s="3523"/>
      <c r="AB25" s="3523"/>
      <c r="AC25" s="3523"/>
      <c r="AD25" s="3523"/>
      <c r="AE25" s="3523"/>
      <c r="AF25" s="3523"/>
      <c r="AG25" s="3523"/>
      <c r="AH25" s="3523"/>
      <c r="AI25" s="3523"/>
      <c r="AJ25" s="3523"/>
      <c r="AK25" s="3523"/>
      <c r="AL25" s="3523"/>
      <c r="AM25" s="3523"/>
      <c r="AN25" s="3523"/>
      <c r="AO25" s="3523"/>
      <c r="AP25" s="3523"/>
      <c r="AQ25" s="3523"/>
      <c r="AR25" s="3523"/>
      <c r="AS25" s="3523"/>
      <c r="AT25" s="3523"/>
      <c r="AU25" s="3523"/>
      <c r="AV25" s="3523"/>
      <c r="AW25" s="3523"/>
      <c r="AX25" s="3523"/>
      <c r="AY25" s="3523"/>
      <c r="AZ25" s="3523"/>
      <c r="BA25" s="3523"/>
      <c r="BB25" s="3523"/>
      <c r="BC25" s="3523"/>
      <c r="BD25" s="3523"/>
      <c r="BE25" s="3523"/>
      <c r="BF25" s="3523"/>
      <c r="BG25" s="3523"/>
      <c r="BH25" s="3523"/>
      <c r="BI25" s="3523"/>
      <c r="BJ25" s="3523"/>
      <c r="BK25" s="3523"/>
      <c r="BL25" s="3523"/>
      <c r="BM25" s="3523"/>
      <c r="BN25" s="3523"/>
      <c r="BO25" s="3523"/>
      <c r="BP25" s="3523"/>
      <c r="BQ25" s="3523"/>
      <c r="BR25" s="3523"/>
      <c r="BS25" s="3523"/>
      <c r="BT25" s="3523"/>
      <c r="BU25" s="3523"/>
      <c r="BV25" s="3523"/>
      <c r="BW25" s="3523"/>
      <c r="BX25" s="3523"/>
      <c r="BY25" s="3523"/>
      <c r="BZ25" s="3523"/>
      <c r="CA25" s="3523"/>
      <c r="CB25" s="3523"/>
      <c r="CC25" s="3523"/>
      <c r="CD25" s="3523"/>
      <c r="CE25" s="3523"/>
      <c r="CF25" s="3523"/>
      <c r="CG25" s="3523"/>
      <c r="CH25" s="3523"/>
      <c r="CI25" s="3523"/>
      <c r="CJ25" s="3523"/>
      <c r="CK25" s="3523"/>
      <c r="CL25" s="3523"/>
      <c r="CM25" s="3523"/>
      <c r="CN25" s="3523"/>
      <c r="CO25" s="3523"/>
      <c r="CP25" s="3523"/>
      <c r="CQ25" s="3523"/>
      <c r="CR25" s="3523"/>
      <c r="CS25" s="3523"/>
      <c r="CT25" s="3523"/>
      <c r="CU25" s="3523"/>
      <c r="CV25" s="3523"/>
      <c r="CW25" s="3523"/>
      <c r="CX25" s="3523"/>
      <c r="CY25" s="3523"/>
      <c r="CZ25" s="3523"/>
      <c r="DA25" s="3523"/>
      <c r="DB25" s="3523"/>
      <c r="DC25" s="3523"/>
      <c r="DD25" s="3523"/>
      <c r="DE25" s="3523"/>
      <c r="DF25" s="3523"/>
      <c r="DG25" s="3523"/>
      <c r="DH25" s="3523"/>
      <c r="DI25" s="3523"/>
      <c r="DJ25" s="3523"/>
      <c r="DK25" s="3523"/>
      <c r="DL25" s="3523"/>
      <c r="DM25" s="3523"/>
      <c r="DN25" s="3523"/>
      <c r="DO25" s="3523"/>
      <c r="DP25" s="3523"/>
      <c r="DQ25" s="3523"/>
      <c r="DR25" s="3523"/>
      <c r="DS25" s="3523"/>
      <c r="DT25" s="3523"/>
      <c r="DU25" s="3523"/>
      <c r="DV25" s="3523"/>
      <c r="DW25" s="3523"/>
      <c r="DX25" s="3523"/>
      <c r="DY25" s="3523"/>
      <c r="DZ25" s="3523"/>
      <c r="EA25" s="3523"/>
      <c r="EB25" s="3523"/>
      <c r="EC25" s="3523"/>
      <c r="ED25" s="3523"/>
      <c r="EE25" s="3523"/>
      <c r="EF25" s="3523"/>
      <c r="EG25" s="3523"/>
      <c r="EH25" s="3523"/>
      <c r="EI25" s="3523"/>
      <c r="EJ25" s="3523"/>
      <c r="EK25" s="3523"/>
      <c r="EL25" s="3523"/>
      <c r="EM25" s="3523"/>
      <c r="EN25" s="3523"/>
      <c r="EO25" s="3523"/>
      <c r="EP25" s="3523"/>
      <c r="EQ25" s="3523"/>
      <c r="ER25" s="3523"/>
      <c r="ES25" s="3523"/>
      <c r="ET25" s="3523"/>
      <c r="EU25" s="3523"/>
      <c r="EV25" s="3523"/>
      <c r="EW25" s="3523"/>
      <c r="EX25" s="3523"/>
      <c r="EY25" s="3523"/>
      <c r="EZ25" s="3523"/>
      <c r="FA25" s="3523"/>
      <c r="FB25" s="3523"/>
      <c r="FC25" s="3523"/>
      <c r="FD25" s="3523"/>
      <c r="FF25" s="3523"/>
      <c r="FG25" s="3523"/>
      <c r="FH25" s="3523"/>
      <c r="FI25" s="3523"/>
      <c r="FJ25" s="3523"/>
      <c r="FK25" s="3523"/>
      <c r="FL25" s="3523"/>
      <c r="FM25" s="3523"/>
      <c r="FN25" s="3523"/>
      <c r="FO25" s="3523"/>
      <c r="FP25" s="3523"/>
      <c r="FQ25" s="3523"/>
      <c r="FR25" s="3523"/>
      <c r="FS25" s="3523"/>
      <c r="FT25" s="3523"/>
      <c r="FU25" s="3523"/>
      <c r="FW25" s="3523"/>
      <c r="FX25" s="3523"/>
      <c r="FY25" s="3523"/>
      <c r="FZ25" s="3523"/>
      <c r="GA25" s="3523"/>
      <c r="GB25" s="3523"/>
      <c r="GC25" s="3523"/>
      <c r="GD25" s="3523"/>
      <c r="GE25" s="3582"/>
      <c r="GF25" s="3582"/>
      <c r="GG25" s="3582"/>
      <c r="GH25" s="3582"/>
      <c r="GI25" s="3582"/>
      <c r="GJ25" s="3582"/>
      <c r="GK25" s="3582"/>
      <c r="GL25" s="3582"/>
      <c r="GM25" s="3582"/>
      <c r="GN25" s="3582"/>
      <c r="GO25" s="3582"/>
      <c r="GP25" s="3505">
        <v>0</v>
      </c>
      <c r="GQ25" s="3481">
        <v>0</v>
      </c>
      <c r="GR25" s="3505">
        <v>1</v>
      </c>
      <c r="GS25" s="3481">
        <v>19</v>
      </c>
      <c r="GT25" s="3505">
        <v>0</v>
      </c>
      <c r="GU25" s="3505">
        <v>0</v>
      </c>
      <c r="GV25" s="3505">
        <v>0</v>
      </c>
      <c r="GW25" s="3505">
        <v>1</v>
      </c>
    </row>
    <row r="26" spans="1:205">
      <c r="A26" s="3522">
        <v>22</v>
      </c>
      <c r="B26" s="3523" t="s">
        <v>106</v>
      </c>
      <c r="C26" s="3509" t="s">
        <v>106</v>
      </c>
      <c r="D26" s="3523"/>
      <c r="E26" s="3523"/>
      <c r="F26" s="3523"/>
      <c r="G26" s="3523"/>
      <c r="H26" s="3523"/>
      <c r="I26" s="3523"/>
      <c r="J26" s="3523"/>
      <c r="K26" s="3523"/>
      <c r="L26" s="3523"/>
      <c r="M26" s="3523"/>
      <c r="N26" s="3523"/>
      <c r="O26" s="3523"/>
      <c r="P26" s="3523"/>
      <c r="Q26" s="3523"/>
      <c r="R26" s="3523"/>
      <c r="S26" s="3523"/>
      <c r="T26" s="3523"/>
      <c r="U26" s="3523"/>
      <c r="V26" s="3523"/>
      <c r="W26" s="3523"/>
      <c r="X26" s="3523"/>
      <c r="Y26" s="3523"/>
      <c r="Z26" s="3523"/>
      <c r="AA26" s="3523"/>
      <c r="AB26" s="3523"/>
      <c r="AC26" s="3523"/>
      <c r="AD26" s="3523"/>
      <c r="AE26" s="3523"/>
      <c r="AF26" s="3523"/>
      <c r="AG26" s="3523"/>
      <c r="AH26" s="3523"/>
      <c r="AI26" s="3523"/>
      <c r="AJ26" s="3523"/>
      <c r="AK26" s="3523"/>
      <c r="AL26" s="3523"/>
      <c r="AM26" s="3523"/>
      <c r="AN26" s="3523"/>
      <c r="AO26" s="3523"/>
      <c r="AP26" s="3523"/>
      <c r="AQ26" s="3523"/>
      <c r="AR26" s="3523"/>
      <c r="AS26" s="3523"/>
      <c r="AT26" s="3523"/>
      <c r="AU26" s="3523"/>
      <c r="AV26" s="3523"/>
      <c r="AW26" s="3523"/>
      <c r="AX26" s="3523"/>
      <c r="AY26" s="3523"/>
      <c r="AZ26" s="3523"/>
      <c r="BA26" s="3523"/>
      <c r="BB26" s="3523"/>
      <c r="BC26" s="3523"/>
      <c r="BD26" s="3523"/>
      <c r="BE26" s="3523"/>
      <c r="BF26" s="3523"/>
      <c r="BG26" s="3523"/>
      <c r="BH26" s="3523"/>
      <c r="BI26" s="3523"/>
      <c r="BJ26" s="3523"/>
      <c r="BK26" s="3523"/>
      <c r="BL26" s="3523"/>
      <c r="BM26" s="3523"/>
      <c r="BN26" s="3523"/>
      <c r="BO26" s="3523"/>
      <c r="BP26" s="3523"/>
      <c r="BQ26" s="3523"/>
      <c r="BR26" s="3523"/>
      <c r="BS26" s="3523"/>
      <c r="BT26" s="3523"/>
      <c r="BU26" s="3523"/>
      <c r="BV26" s="3523"/>
      <c r="BW26" s="3523"/>
      <c r="BX26" s="3523"/>
      <c r="BY26" s="3523"/>
      <c r="BZ26" s="3523"/>
      <c r="CA26" s="3523"/>
      <c r="CB26" s="3523"/>
      <c r="CC26" s="3523"/>
      <c r="CD26" s="3523"/>
      <c r="CE26" s="3523"/>
      <c r="CF26" s="3523"/>
      <c r="CG26" s="3523"/>
      <c r="CH26" s="3523"/>
      <c r="CI26" s="3523"/>
      <c r="CJ26" s="3523"/>
      <c r="CK26" s="3523"/>
      <c r="CL26" s="3523"/>
      <c r="CM26" s="3523"/>
      <c r="CN26" s="3523"/>
      <c r="CO26" s="3523"/>
      <c r="CP26" s="3523"/>
      <c r="CQ26" s="3523"/>
      <c r="CR26" s="3523"/>
      <c r="CS26" s="3523"/>
      <c r="CT26" s="3523"/>
      <c r="CU26" s="3523"/>
      <c r="CV26" s="3523"/>
      <c r="CW26" s="3523"/>
      <c r="CX26" s="3523"/>
      <c r="CY26" s="3523"/>
      <c r="CZ26" s="3523"/>
      <c r="DA26" s="3523"/>
      <c r="DB26" s="3523"/>
      <c r="DC26" s="3523"/>
      <c r="DD26" s="3523"/>
      <c r="DE26" s="3523"/>
      <c r="DF26" s="3523"/>
      <c r="DG26" s="3523"/>
      <c r="DH26" s="3523"/>
      <c r="DI26" s="3523"/>
      <c r="DJ26" s="3523"/>
      <c r="DK26" s="3523"/>
      <c r="DL26" s="3523"/>
      <c r="DM26" s="3523"/>
      <c r="DN26" s="3523"/>
      <c r="DO26" s="3523"/>
      <c r="DP26" s="3523"/>
      <c r="DQ26" s="3523"/>
      <c r="DR26" s="3523"/>
      <c r="DS26" s="3523"/>
      <c r="DT26" s="3523"/>
      <c r="DU26" s="3523"/>
      <c r="DV26" s="3523"/>
      <c r="DW26" s="3523"/>
      <c r="DX26" s="3523"/>
      <c r="DY26" s="3523"/>
      <c r="DZ26" s="3523"/>
      <c r="EA26" s="3523"/>
      <c r="EB26" s="3523"/>
      <c r="EC26" s="3523"/>
      <c r="ED26" s="3523"/>
      <c r="EE26" s="3523"/>
      <c r="EF26" s="3523"/>
      <c r="EG26" s="3523"/>
      <c r="EH26" s="3523"/>
      <c r="EI26" s="3523"/>
      <c r="EJ26" s="3523"/>
      <c r="EK26" s="3523"/>
      <c r="EL26" s="3523"/>
      <c r="EM26" s="3523"/>
      <c r="EN26" s="3523"/>
      <c r="EO26" s="3523"/>
      <c r="EP26" s="3523"/>
      <c r="EQ26" s="3523"/>
      <c r="ER26" s="3523"/>
      <c r="ES26" s="3523"/>
      <c r="ET26" s="3523"/>
      <c r="EU26" s="3523"/>
      <c r="EV26" s="3523"/>
      <c r="EW26" s="3523"/>
      <c r="EX26" s="3523"/>
      <c r="EY26" s="3523"/>
      <c r="EZ26" s="3523"/>
      <c r="FA26" s="3523"/>
      <c r="FB26" s="3523"/>
      <c r="FC26" s="3523"/>
      <c r="FD26" s="3523"/>
      <c r="FF26" s="3523"/>
      <c r="FG26" s="3523"/>
      <c r="FH26" s="3523"/>
      <c r="FI26" s="3523"/>
      <c r="FJ26" s="3523"/>
      <c r="FK26" s="3523"/>
      <c r="FL26" s="3523"/>
      <c r="FM26" s="3523"/>
      <c r="FN26" s="3523"/>
      <c r="FO26" s="3523"/>
      <c r="FP26" s="3523"/>
      <c r="FQ26" s="3523"/>
      <c r="FR26" s="3523"/>
      <c r="FS26" s="3523"/>
      <c r="FT26" s="3523"/>
      <c r="FU26" s="3523"/>
      <c r="FW26" s="3523"/>
      <c r="FX26" s="3523"/>
      <c r="FY26" s="3523"/>
      <c r="FZ26" s="3523"/>
      <c r="GA26" s="3523"/>
      <c r="GB26" s="3523"/>
      <c r="GC26" s="3523"/>
      <c r="GD26" s="3523"/>
      <c r="GE26" s="3582"/>
      <c r="GF26" s="3582"/>
      <c r="GG26" s="3582"/>
      <c r="GH26" s="3582"/>
      <c r="GI26" s="3582"/>
      <c r="GJ26" s="3582"/>
      <c r="GK26" s="3582"/>
      <c r="GL26" s="3582"/>
      <c r="GM26" s="3582"/>
      <c r="GN26" s="3582"/>
      <c r="GO26" s="3582"/>
      <c r="GP26" s="3505">
        <v>0</v>
      </c>
      <c r="GQ26" s="3481">
        <v>0</v>
      </c>
      <c r="GR26" s="3505">
        <v>1</v>
      </c>
      <c r="GS26" s="3481">
        <v>20</v>
      </c>
      <c r="GT26" s="3505">
        <v>0</v>
      </c>
      <c r="GU26" s="3505">
        <v>0</v>
      </c>
      <c r="GV26" s="3505">
        <v>0</v>
      </c>
      <c r="GW26" s="3505">
        <v>1</v>
      </c>
    </row>
    <row r="27" spans="1:205">
      <c r="A27" s="3522">
        <v>23</v>
      </c>
      <c r="B27" s="3523" t="s">
        <v>106</v>
      </c>
      <c r="C27" s="3509" t="s">
        <v>106</v>
      </c>
      <c r="D27" s="3523"/>
      <c r="E27" s="3523"/>
      <c r="F27" s="3523"/>
      <c r="G27" s="3523"/>
      <c r="H27" s="3523"/>
      <c r="I27" s="3523"/>
      <c r="J27" s="3523"/>
      <c r="K27" s="3523"/>
      <c r="L27" s="3523"/>
      <c r="M27" s="3523"/>
      <c r="N27" s="3523"/>
      <c r="O27" s="3523"/>
      <c r="P27" s="3523"/>
      <c r="Q27" s="3523"/>
      <c r="R27" s="3523"/>
      <c r="S27" s="3523"/>
      <c r="T27" s="3523"/>
      <c r="U27" s="3523"/>
      <c r="V27" s="3523"/>
      <c r="W27" s="3523"/>
      <c r="X27" s="3523"/>
      <c r="Y27" s="3523"/>
      <c r="Z27" s="3523"/>
      <c r="AA27" s="3523"/>
      <c r="AB27" s="3523"/>
      <c r="AC27" s="3523"/>
      <c r="AD27" s="3523"/>
      <c r="AE27" s="3523"/>
      <c r="AF27" s="3523"/>
      <c r="AG27" s="3523"/>
      <c r="AH27" s="3523"/>
      <c r="AI27" s="3523"/>
      <c r="AJ27" s="3523"/>
      <c r="AK27" s="3523"/>
      <c r="AL27" s="3523"/>
      <c r="AM27" s="3523"/>
      <c r="AN27" s="3523"/>
      <c r="AO27" s="3523"/>
      <c r="AP27" s="3523"/>
      <c r="AQ27" s="3523"/>
      <c r="AR27" s="3523"/>
      <c r="AS27" s="3523"/>
      <c r="AT27" s="3523"/>
      <c r="AU27" s="3523"/>
      <c r="AV27" s="3523"/>
      <c r="AW27" s="3523"/>
      <c r="AX27" s="3523"/>
      <c r="AY27" s="3523"/>
      <c r="AZ27" s="3523"/>
      <c r="BA27" s="3523"/>
      <c r="BB27" s="3523"/>
      <c r="BC27" s="3523"/>
      <c r="BD27" s="3523"/>
      <c r="BE27" s="3523"/>
      <c r="BF27" s="3523"/>
      <c r="BG27" s="3523"/>
      <c r="BH27" s="3523"/>
      <c r="BI27" s="3523"/>
      <c r="BJ27" s="3523"/>
      <c r="BK27" s="3523"/>
      <c r="BL27" s="3523"/>
      <c r="BM27" s="3523"/>
      <c r="BN27" s="3523"/>
      <c r="BO27" s="3523"/>
      <c r="BP27" s="3523"/>
      <c r="BQ27" s="3523"/>
      <c r="BR27" s="3523"/>
      <c r="BS27" s="3523"/>
      <c r="BT27" s="3523"/>
      <c r="BU27" s="3523"/>
      <c r="BV27" s="3523"/>
      <c r="BW27" s="3523"/>
      <c r="BX27" s="3523"/>
      <c r="BY27" s="3523"/>
      <c r="BZ27" s="3523"/>
      <c r="CA27" s="3523"/>
      <c r="CB27" s="3523"/>
      <c r="CC27" s="3523"/>
      <c r="CD27" s="3523"/>
      <c r="CE27" s="3523"/>
      <c r="CF27" s="3523"/>
      <c r="CG27" s="3523"/>
      <c r="CH27" s="3523"/>
      <c r="CI27" s="3523"/>
      <c r="CJ27" s="3523"/>
      <c r="CK27" s="3523"/>
      <c r="CL27" s="3523"/>
      <c r="CM27" s="3523"/>
      <c r="CN27" s="3523"/>
      <c r="CO27" s="3523"/>
      <c r="CP27" s="3523"/>
      <c r="CQ27" s="3523"/>
      <c r="CR27" s="3523"/>
      <c r="CS27" s="3523"/>
      <c r="CT27" s="3523"/>
      <c r="CU27" s="3523"/>
      <c r="CV27" s="3523"/>
      <c r="CW27" s="3523"/>
      <c r="CX27" s="3523"/>
      <c r="CY27" s="3523"/>
      <c r="CZ27" s="3523"/>
      <c r="DA27" s="3523"/>
      <c r="DB27" s="3523"/>
      <c r="DC27" s="3523"/>
      <c r="DD27" s="3523"/>
      <c r="DE27" s="3523"/>
      <c r="DF27" s="3523"/>
      <c r="DG27" s="3523"/>
      <c r="DH27" s="3523"/>
      <c r="DI27" s="3523"/>
      <c r="DJ27" s="3523"/>
      <c r="DK27" s="3523"/>
      <c r="DL27" s="3523"/>
      <c r="DM27" s="3523"/>
      <c r="DN27" s="3523"/>
      <c r="DO27" s="3523"/>
      <c r="DP27" s="3523"/>
      <c r="DQ27" s="3523"/>
      <c r="DR27" s="3523"/>
      <c r="DS27" s="3523"/>
      <c r="DT27" s="3523"/>
      <c r="DU27" s="3523"/>
      <c r="DV27" s="3523"/>
      <c r="DW27" s="3523"/>
      <c r="DX27" s="3523"/>
      <c r="DY27" s="3523"/>
      <c r="DZ27" s="3523"/>
      <c r="EA27" s="3523"/>
      <c r="EB27" s="3523"/>
      <c r="EC27" s="3523"/>
      <c r="ED27" s="3523"/>
      <c r="EE27" s="3523"/>
      <c r="EF27" s="3523"/>
      <c r="EG27" s="3523"/>
      <c r="EH27" s="3523"/>
      <c r="EI27" s="3523"/>
      <c r="EJ27" s="3523"/>
      <c r="EK27" s="3523"/>
      <c r="EL27" s="3523"/>
      <c r="EM27" s="3523"/>
      <c r="EN27" s="3523"/>
      <c r="EO27" s="3523"/>
      <c r="EP27" s="3523"/>
      <c r="EQ27" s="3523"/>
      <c r="ER27" s="3523"/>
      <c r="ES27" s="3523"/>
      <c r="ET27" s="3523"/>
      <c r="EU27" s="3523"/>
      <c r="EV27" s="3523"/>
      <c r="EW27" s="3523"/>
      <c r="EX27" s="3523"/>
      <c r="EY27" s="3523"/>
      <c r="EZ27" s="3523"/>
      <c r="FA27" s="3523"/>
      <c r="FB27" s="3523"/>
      <c r="FC27" s="3523"/>
      <c r="FD27" s="3523"/>
      <c r="FF27" s="3523"/>
      <c r="FG27" s="3523"/>
      <c r="FH27" s="3523"/>
      <c r="FI27" s="3523"/>
      <c r="FJ27" s="3523"/>
      <c r="FK27" s="3523"/>
      <c r="FL27" s="3523"/>
      <c r="FM27" s="3523"/>
      <c r="FN27" s="3523"/>
      <c r="FO27" s="3523"/>
      <c r="FP27" s="3523"/>
      <c r="FQ27" s="3523"/>
      <c r="FR27" s="3523"/>
      <c r="FS27" s="3523"/>
      <c r="FT27" s="3523"/>
      <c r="FU27" s="3523"/>
      <c r="FW27" s="3523"/>
      <c r="FX27" s="3523"/>
      <c r="FY27" s="3523"/>
      <c r="FZ27" s="3523"/>
      <c r="GA27" s="3523"/>
      <c r="GB27" s="3523"/>
      <c r="GC27" s="3523"/>
      <c r="GD27" s="3523"/>
      <c r="GE27" s="3582"/>
      <c r="GF27" s="3582"/>
      <c r="GG27" s="3582"/>
      <c r="GH27" s="3582"/>
      <c r="GI27" s="3582"/>
      <c r="GJ27" s="3582"/>
      <c r="GK27" s="3582"/>
      <c r="GL27" s="3582"/>
      <c r="GM27" s="3582"/>
      <c r="GN27" s="3582"/>
      <c r="GO27" s="3582"/>
      <c r="GP27" s="3505">
        <v>0</v>
      </c>
      <c r="GQ27" s="3481">
        <v>0</v>
      </c>
      <c r="GR27" s="3505">
        <v>1</v>
      </c>
      <c r="GS27" s="3481">
        <v>21</v>
      </c>
      <c r="GT27" s="3505">
        <v>0</v>
      </c>
      <c r="GU27" s="3505">
        <v>0</v>
      </c>
      <c r="GV27" s="3505">
        <v>0</v>
      </c>
      <c r="GW27" s="3505">
        <v>1</v>
      </c>
    </row>
    <row r="28" spans="1:205">
      <c r="A28" s="3522">
        <v>24</v>
      </c>
      <c r="B28" s="3523" t="s">
        <v>106</v>
      </c>
      <c r="C28" s="3509" t="s">
        <v>106</v>
      </c>
      <c r="D28" s="3523"/>
      <c r="E28" s="3523"/>
      <c r="F28" s="3523"/>
      <c r="G28" s="3523"/>
      <c r="H28" s="3523"/>
      <c r="I28" s="3523"/>
      <c r="J28" s="3523"/>
      <c r="K28" s="3523"/>
      <c r="L28" s="3523"/>
      <c r="M28" s="3523"/>
      <c r="N28" s="3523"/>
      <c r="O28" s="3523"/>
      <c r="P28" s="3523"/>
      <c r="Q28" s="3523"/>
      <c r="R28" s="3523"/>
      <c r="S28" s="3523"/>
      <c r="T28" s="3523"/>
      <c r="U28" s="3523"/>
      <c r="V28" s="3523"/>
      <c r="W28" s="3523"/>
      <c r="X28" s="3523"/>
      <c r="Y28" s="3523"/>
      <c r="Z28" s="3523"/>
      <c r="AA28" s="3523"/>
      <c r="AB28" s="3523"/>
      <c r="AC28" s="3523"/>
      <c r="AD28" s="3523"/>
      <c r="AE28" s="3523"/>
      <c r="AF28" s="3523"/>
      <c r="AG28" s="3523"/>
      <c r="AH28" s="3523"/>
      <c r="AI28" s="3523"/>
      <c r="AJ28" s="3523"/>
      <c r="AK28" s="3523"/>
      <c r="AL28" s="3523"/>
      <c r="AM28" s="3523"/>
      <c r="AN28" s="3523"/>
      <c r="AO28" s="3523"/>
      <c r="AP28" s="3523"/>
      <c r="AQ28" s="3523"/>
      <c r="AR28" s="3523"/>
      <c r="AS28" s="3523"/>
      <c r="AT28" s="3523"/>
      <c r="AU28" s="3523"/>
      <c r="AV28" s="3523"/>
      <c r="AW28" s="3523"/>
      <c r="AX28" s="3523"/>
      <c r="AY28" s="3523"/>
      <c r="AZ28" s="3523"/>
      <c r="BA28" s="3523"/>
      <c r="BB28" s="3523"/>
      <c r="BC28" s="3523"/>
      <c r="BD28" s="3523"/>
      <c r="BE28" s="3523"/>
      <c r="BF28" s="3523"/>
      <c r="BG28" s="3523"/>
      <c r="BH28" s="3523"/>
      <c r="BI28" s="3523"/>
      <c r="BJ28" s="3523"/>
      <c r="BK28" s="3523"/>
      <c r="BL28" s="3523"/>
      <c r="BM28" s="3523"/>
      <c r="BN28" s="3523"/>
      <c r="BO28" s="3523"/>
      <c r="BP28" s="3523"/>
      <c r="BQ28" s="3523"/>
      <c r="BR28" s="3523"/>
      <c r="BS28" s="3523"/>
      <c r="BT28" s="3523"/>
      <c r="BU28" s="3523"/>
      <c r="BV28" s="3523"/>
      <c r="BW28" s="3523"/>
      <c r="BX28" s="3523"/>
      <c r="BY28" s="3523"/>
      <c r="BZ28" s="3523"/>
      <c r="CA28" s="3523"/>
      <c r="CB28" s="3523"/>
      <c r="CC28" s="3523"/>
      <c r="CD28" s="3523"/>
      <c r="CE28" s="3523"/>
      <c r="CF28" s="3523"/>
      <c r="CG28" s="3523"/>
      <c r="CH28" s="3523"/>
      <c r="CI28" s="3523"/>
      <c r="CJ28" s="3523"/>
      <c r="CK28" s="3523"/>
      <c r="CL28" s="3523"/>
      <c r="CM28" s="3523"/>
      <c r="CN28" s="3523"/>
      <c r="CO28" s="3523"/>
      <c r="CP28" s="3523"/>
      <c r="CQ28" s="3523"/>
      <c r="CR28" s="3523"/>
      <c r="CS28" s="3523"/>
      <c r="CT28" s="3523"/>
      <c r="CU28" s="3523"/>
      <c r="CV28" s="3523"/>
      <c r="CW28" s="3523"/>
      <c r="CX28" s="3523"/>
      <c r="CY28" s="3523"/>
      <c r="CZ28" s="3523"/>
      <c r="DA28" s="3523"/>
      <c r="DB28" s="3523"/>
      <c r="DC28" s="3523"/>
      <c r="DD28" s="3523"/>
      <c r="DE28" s="3523"/>
      <c r="DF28" s="3523"/>
      <c r="DG28" s="3523"/>
      <c r="DH28" s="3523"/>
      <c r="DI28" s="3523"/>
      <c r="DJ28" s="3523"/>
      <c r="DK28" s="3523"/>
      <c r="DL28" s="3523"/>
      <c r="DM28" s="3523"/>
      <c r="DN28" s="3523"/>
      <c r="DO28" s="3523"/>
      <c r="DP28" s="3523"/>
      <c r="DQ28" s="3523"/>
      <c r="DR28" s="3523"/>
      <c r="DS28" s="3523"/>
      <c r="DT28" s="3523"/>
      <c r="DU28" s="3523"/>
      <c r="DV28" s="3523"/>
      <c r="DW28" s="3523"/>
      <c r="DX28" s="3523"/>
      <c r="DY28" s="3523"/>
      <c r="DZ28" s="3523"/>
      <c r="EA28" s="3523"/>
      <c r="EB28" s="3523"/>
      <c r="EC28" s="3523"/>
      <c r="ED28" s="3523"/>
      <c r="EE28" s="3523"/>
      <c r="EF28" s="3523"/>
      <c r="EG28" s="3523"/>
      <c r="EH28" s="3523"/>
      <c r="EI28" s="3523"/>
      <c r="EJ28" s="3523"/>
      <c r="EK28" s="3523"/>
      <c r="EL28" s="3523"/>
      <c r="EM28" s="3523"/>
      <c r="EN28" s="3523"/>
      <c r="EO28" s="3523"/>
      <c r="EP28" s="3523"/>
      <c r="EQ28" s="3523"/>
      <c r="ER28" s="3523"/>
      <c r="ES28" s="3523"/>
      <c r="ET28" s="3523"/>
      <c r="EU28" s="3523"/>
      <c r="EV28" s="3523"/>
      <c r="EW28" s="3523"/>
      <c r="EX28" s="3523"/>
      <c r="EY28" s="3523"/>
      <c r="EZ28" s="3523"/>
      <c r="FA28" s="3523"/>
      <c r="FB28" s="3523"/>
      <c r="FC28" s="3523"/>
      <c r="FD28" s="3523"/>
      <c r="FF28" s="3523"/>
      <c r="FG28" s="3523"/>
      <c r="FH28" s="3523"/>
      <c r="FI28" s="3523"/>
      <c r="FJ28" s="3523"/>
      <c r="FK28" s="3523"/>
      <c r="FL28" s="3523"/>
      <c r="FM28" s="3523"/>
      <c r="FN28" s="3523"/>
      <c r="FO28" s="3523"/>
      <c r="FP28" s="3523"/>
      <c r="FQ28" s="3523"/>
      <c r="FR28" s="3523"/>
      <c r="FS28" s="3523"/>
      <c r="FT28" s="3523"/>
      <c r="FU28" s="3523"/>
      <c r="FW28" s="3523"/>
      <c r="FX28" s="3523"/>
      <c r="FY28" s="3523"/>
      <c r="FZ28" s="3523"/>
      <c r="GA28" s="3523"/>
      <c r="GB28" s="3523"/>
      <c r="GC28" s="3523"/>
      <c r="GD28" s="3523"/>
      <c r="GE28" s="3582"/>
      <c r="GF28" s="3582"/>
      <c r="GG28" s="3582"/>
      <c r="GH28" s="3582"/>
      <c r="GI28" s="3582"/>
      <c r="GJ28" s="3582"/>
      <c r="GK28" s="3582"/>
      <c r="GL28" s="3582"/>
      <c r="GM28" s="3582"/>
      <c r="GN28" s="3582"/>
      <c r="GO28" s="3582"/>
      <c r="GP28" s="3505">
        <v>0</v>
      </c>
      <c r="GQ28" s="3481">
        <v>0</v>
      </c>
      <c r="GR28" s="3505">
        <v>1</v>
      </c>
      <c r="GS28" s="3481">
        <v>22</v>
      </c>
      <c r="GT28" s="3505">
        <v>0</v>
      </c>
      <c r="GU28" s="3505">
        <v>0</v>
      </c>
      <c r="GV28" s="3505">
        <v>0</v>
      </c>
      <c r="GW28" s="3505">
        <v>1</v>
      </c>
    </row>
    <row r="29" spans="1:205">
      <c r="A29" s="3522">
        <v>25</v>
      </c>
      <c r="B29" s="3523" t="s">
        <v>106</v>
      </c>
      <c r="C29" s="3509" t="s">
        <v>106</v>
      </c>
      <c r="D29" s="3523"/>
      <c r="E29" s="3523"/>
      <c r="F29" s="3523"/>
      <c r="G29" s="3523"/>
      <c r="H29" s="3523"/>
      <c r="I29" s="3523"/>
      <c r="J29" s="3523"/>
      <c r="K29" s="3523"/>
      <c r="L29" s="3523"/>
      <c r="M29" s="3523"/>
      <c r="N29" s="3523"/>
      <c r="O29" s="3523"/>
      <c r="P29" s="3523"/>
      <c r="Q29" s="3523"/>
      <c r="R29" s="3523"/>
      <c r="S29" s="3523"/>
      <c r="T29" s="3523"/>
      <c r="U29" s="3523"/>
      <c r="V29" s="3523"/>
      <c r="W29" s="3523"/>
      <c r="X29" s="3523"/>
      <c r="Y29" s="3523"/>
      <c r="Z29" s="3523"/>
      <c r="AA29" s="3523"/>
      <c r="AB29" s="3523"/>
      <c r="AC29" s="3523"/>
      <c r="AD29" s="3523"/>
      <c r="AE29" s="3523"/>
      <c r="AF29" s="3523"/>
      <c r="AG29" s="3523"/>
      <c r="AH29" s="3523"/>
      <c r="AI29" s="3523"/>
      <c r="AJ29" s="3523"/>
      <c r="AK29" s="3523"/>
      <c r="AL29" s="3523"/>
      <c r="AM29" s="3523"/>
      <c r="AN29" s="3523"/>
      <c r="AO29" s="3523"/>
      <c r="AP29" s="3523"/>
      <c r="AQ29" s="3523"/>
      <c r="AR29" s="3523"/>
      <c r="AS29" s="3523"/>
      <c r="AT29" s="3523"/>
      <c r="AU29" s="3523"/>
      <c r="AV29" s="3523"/>
      <c r="AW29" s="3523"/>
      <c r="AX29" s="3523"/>
      <c r="AY29" s="3523"/>
      <c r="AZ29" s="3523"/>
      <c r="BA29" s="3523"/>
      <c r="BB29" s="3523"/>
      <c r="BC29" s="3523"/>
      <c r="BD29" s="3523"/>
      <c r="BE29" s="3523"/>
      <c r="BF29" s="3523"/>
      <c r="BG29" s="3523"/>
      <c r="BH29" s="3523"/>
      <c r="BI29" s="3523"/>
      <c r="BJ29" s="3523"/>
      <c r="BK29" s="3523"/>
      <c r="BL29" s="3523"/>
      <c r="BM29" s="3523"/>
      <c r="BN29" s="3523"/>
      <c r="BO29" s="3523"/>
      <c r="BP29" s="3523"/>
      <c r="BQ29" s="3523"/>
      <c r="BR29" s="3523"/>
      <c r="BS29" s="3523"/>
      <c r="BT29" s="3523"/>
      <c r="BU29" s="3523"/>
      <c r="BV29" s="3523"/>
      <c r="BW29" s="3523"/>
      <c r="BX29" s="3523"/>
      <c r="BY29" s="3523"/>
      <c r="BZ29" s="3523"/>
      <c r="CA29" s="3523"/>
      <c r="CB29" s="3523"/>
      <c r="CC29" s="3523"/>
      <c r="CD29" s="3523"/>
      <c r="CE29" s="3523"/>
      <c r="CF29" s="3523"/>
      <c r="CG29" s="3523"/>
      <c r="CH29" s="3523"/>
      <c r="CI29" s="3523"/>
      <c r="CJ29" s="3523"/>
      <c r="CK29" s="3523"/>
      <c r="CL29" s="3523"/>
      <c r="CM29" s="3523"/>
      <c r="CN29" s="3523"/>
      <c r="CO29" s="3523"/>
      <c r="CP29" s="3523"/>
      <c r="CQ29" s="3523"/>
      <c r="CR29" s="3523"/>
      <c r="CS29" s="3523"/>
      <c r="CT29" s="3523"/>
      <c r="CU29" s="3523"/>
      <c r="CV29" s="3523"/>
      <c r="CW29" s="3523"/>
      <c r="CX29" s="3523"/>
      <c r="CY29" s="3523"/>
      <c r="CZ29" s="3523"/>
      <c r="DA29" s="3523"/>
      <c r="DB29" s="3523"/>
      <c r="DC29" s="3523"/>
      <c r="DD29" s="3523"/>
      <c r="DE29" s="3523"/>
      <c r="DF29" s="3523"/>
      <c r="DG29" s="3523"/>
      <c r="DH29" s="3523"/>
      <c r="DI29" s="3523"/>
      <c r="DJ29" s="3523"/>
      <c r="DK29" s="3523"/>
      <c r="DL29" s="3523"/>
      <c r="DM29" s="3523"/>
      <c r="DN29" s="3523"/>
      <c r="DO29" s="3523"/>
      <c r="DP29" s="3523"/>
      <c r="DQ29" s="3523"/>
      <c r="DR29" s="3523"/>
      <c r="DS29" s="3523"/>
      <c r="DT29" s="3523"/>
      <c r="DU29" s="3523"/>
      <c r="DV29" s="3523"/>
      <c r="DW29" s="3523"/>
      <c r="DX29" s="3523"/>
      <c r="DY29" s="3523"/>
      <c r="DZ29" s="3523"/>
      <c r="EA29" s="3523"/>
      <c r="EB29" s="3523"/>
      <c r="EC29" s="3523"/>
      <c r="ED29" s="3523"/>
      <c r="EE29" s="3523"/>
      <c r="EF29" s="3523"/>
      <c r="EG29" s="3523"/>
      <c r="EH29" s="3523"/>
      <c r="EI29" s="3523"/>
      <c r="EJ29" s="3523"/>
      <c r="EK29" s="3523"/>
      <c r="EL29" s="3523"/>
      <c r="EM29" s="3523"/>
      <c r="EN29" s="3523"/>
      <c r="EO29" s="3523"/>
      <c r="EP29" s="3523"/>
      <c r="EQ29" s="3523"/>
      <c r="ER29" s="3523"/>
      <c r="ES29" s="3523"/>
      <c r="ET29" s="3523"/>
      <c r="EU29" s="3523"/>
      <c r="EV29" s="3523"/>
      <c r="EW29" s="3523"/>
      <c r="EX29" s="3523"/>
      <c r="EY29" s="3523"/>
      <c r="EZ29" s="3523"/>
      <c r="FA29" s="3523"/>
      <c r="FB29" s="3523"/>
      <c r="FC29" s="3523"/>
      <c r="FD29" s="3523"/>
      <c r="FF29" s="3523"/>
      <c r="FG29" s="3523"/>
      <c r="FH29" s="3523"/>
      <c r="FI29" s="3523"/>
      <c r="FJ29" s="3523"/>
      <c r="FK29" s="3523"/>
      <c r="FL29" s="3523"/>
      <c r="FM29" s="3523"/>
      <c r="FN29" s="3523"/>
      <c r="FO29" s="3523"/>
      <c r="FP29" s="3523"/>
      <c r="FQ29" s="3523"/>
      <c r="FR29" s="3523"/>
      <c r="FS29" s="3523"/>
      <c r="FT29" s="3523"/>
      <c r="FU29" s="3523"/>
      <c r="FW29" s="3523"/>
      <c r="FX29" s="3523"/>
      <c r="FY29" s="3523"/>
      <c r="FZ29" s="3523"/>
      <c r="GA29" s="3523"/>
      <c r="GB29" s="3523"/>
      <c r="GC29" s="3523"/>
      <c r="GD29" s="3523"/>
      <c r="GE29" s="3582"/>
      <c r="GF29" s="3582"/>
      <c r="GG29" s="3582"/>
      <c r="GH29" s="3582"/>
      <c r="GI29" s="3582"/>
      <c r="GJ29" s="3582"/>
      <c r="GK29" s="3582"/>
      <c r="GL29" s="3582"/>
      <c r="GM29" s="3582"/>
      <c r="GN29" s="3582"/>
      <c r="GO29" s="3582"/>
      <c r="GP29" s="3505">
        <v>0</v>
      </c>
      <c r="GQ29" s="3481">
        <v>0</v>
      </c>
      <c r="GR29" s="3481">
        <v>1</v>
      </c>
      <c r="GS29" s="3481">
        <v>23</v>
      </c>
      <c r="GT29" s="3505">
        <v>0</v>
      </c>
      <c r="GU29" s="3505">
        <v>0</v>
      </c>
      <c r="GV29" s="3505">
        <v>0</v>
      </c>
      <c r="GW29" s="3505">
        <v>1</v>
      </c>
    </row>
    <row r="30" spans="1:205">
      <c r="A30" s="3522">
        <v>26</v>
      </c>
      <c r="B30" s="3523" t="s">
        <v>106</v>
      </c>
      <c r="C30" s="3509" t="s">
        <v>106</v>
      </c>
      <c r="D30" s="3523"/>
      <c r="E30" s="3523"/>
      <c r="F30" s="3523"/>
      <c r="G30" s="3523"/>
      <c r="H30" s="3523"/>
      <c r="I30" s="3523"/>
      <c r="J30" s="3523"/>
      <c r="K30" s="3523"/>
      <c r="L30" s="3523"/>
      <c r="M30" s="3523"/>
      <c r="N30" s="3523"/>
      <c r="O30" s="3523"/>
      <c r="P30" s="3523"/>
      <c r="Q30" s="3523"/>
      <c r="R30" s="3523"/>
      <c r="S30" s="3523"/>
      <c r="T30" s="3523"/>
      <c r="U30" s="3523"/>
      <c r="V30" s="3523"/>
      <c r="W30" s="3523"/>
      <c r="X30" s="3523"/>
      <c r="Y30" s="3523"/>
      <c r="Z30" s="3523"/>
      <c r="AA30" s="3523"/>
      <c r="AB30" s="3523"/>
      <c r="AC30" s="3523"/>
      <c r="AD30" s="3523"/>
      <c r="AE30" s="3523"/>
      <c r="AF30" s="3523"/>
      <c r="AG30" s="3523"/>
      <c r="AH30" s="3523"/>
      <c r="AI30" s="3523"/>
      <c r="AJ30" s="3523"/>
      <c r="AK30" s="3523"/>
      <c r="AL30" s="3523"/>
      <c r="AM30" s="3523"/>
      <c r="AN30" s="3523"/>
      <c r="AO30" s="3523"/>
      <c r="AP30" s="3523"/>
      <c r="AQ30" s="3523"/>
      <c r="AR30" s="3523"/>
      <c r="AS30" s="3523"/>
      <c r="AT30" s="3523"/>
      <c r="AU30" s="3523"/>
      <c r="AV30" s="3523"/>
      <c r="AW30" s="3523"/>
      <c r="AX30" s="3523"/>
      <c r="AY30" s="3523"/>
      <c r="AZ30" s="3523"/>
      <c r="BA30" s="3523"/>
      <c r="BB30" s="3523"/>
      <c r="BC30" s="3523"/>
      <c r="BD30" s="3523"/>
      <c r="BE30" s="3523"/>
      <c r="BF30" s="3523"/>
      <c r="BG30" s="3523"/>
      <c r="BH30" s="3523"/>
      <c r="BI30" s="3523"/>
      <c r="BJ30" s="3523"/>
      <c r="BK30" s="3523"/>
      <c r="BL30" s="3523"/>
      <c r="BM30" s="3523"/>
      <c r="BN30" s="3523"/>
      <c r="BO30" s="3523"/>
      <c r="BP30" s="3523"/>
      <c r="BQ30" s="3523"/>
      <c r="BR30" s="3523"/>
      <c r="BS30" s="3523"/>
      <c r="BT30" s="3523"/>
      <c r="BU30" s="3523"/>
      <c r="BV30" s="3523"/>
      <c r="BW30" s="3523"/>
      <c r="BX30" s="3523"/>
      <c r="BY30" s="3523"/>
      <c r="BZ30" s="3523"/>
      <c r="CA30" s="3523"/>
      <c r="CB30" s="3523"/>
      <c r="CC30" s="3523"/>
      <c r="CD30" s="3523"/>
      <c r="CE30" s="3523"/>
      <c r="CF30" s="3523"/>
      <c r="CG30" s="3523"/>
      <c r="CH30" s="3523"/>
      <c r="CI30" s="3523"/>
      <c r="CJ30" s="3523"/>
      <c r="CK30" s="3523"/>
      <c r="CL30" s="3523"/>
      <c r="CM30" s="3523"/>
      <c r="CN30" s="3523"/>
      <c r="CO30" s="3523"/>
      <c r="CP30" s="3523"/>
      <c r="CQ30" s="3523"/>
      <c r="CR30" s="3523"/>
      <c r="CS30" s="3523"/>
      <c r="CT30" s="3523"/>
      <c r="CU30" s="3523"/>
      <c r="CV30" s="3523"/>
      <c r="CW30" s="3523"/>
      <c r="CX30" s="3523"/>
      <c r="CY30" s="3523"/>
      <c r="CZ30" s="3523"/>
      <c r="DA30" s="3523"/>
      <c r="DB30" s="3523"/>
      <c r="DC30" s="3523"/>
      <c r="DD30" s="3523"/>
      <c r="DE30" s="3523"/>
      <c r="DF30" s="3523"/>
      <c r="DG30" s="3523"/>
      <c r="DH30" s="3523"/>
      <c r="DI30" s="3523"/>
      <c r="DJ30" s="3523"/>
      <c r="DK30" s="3523"/>
      <c r="DL30" s="3523"/>
      <c r="DM30" s="3523"/>
      <c r="DN30" s="3523"/>
      <c r="DO30" s="3523"/>
      <c r="DP30" s="3523"/>
      <c r="DQ30" s="3523"/>
      <c r="DR30" s="3523"/>
      <c r="DS30" s="3523"/>
      <c r="DT30" s="3523"/>
      <c r="DU30" s="3523"/>
      <c r="DV30" s="3523"/>
      <c r="DW30" s="3523"/>
      <c r="DX30" s="3523"/>
      <c r="DY30" s="3523"/>
      <c r="DZ30" s="3523"/>
      <c r="EA30" s="3523"/>
      <c r="EB30" s="3523"/>
      <c r="EC30" s="3523"/>
      <c r="ED30" s="3523"/>
      <c r="EE30" s="3523"/>
      <c r="EF30" s="3523"/>
      <c r="EG30" s="3523"/>
      <c r="EH30" s="3523"/>
      <c r="EI30" s="3523"/>
      <c r="EJ30" s="3523"/>
      <c r="EK30" s="3523"/>
      <c r="EL30" s="3523"/>
      <c r="EM30" s="3523"/>
      <c r="EN30" s="3523"/>
      <c r="EO30" s="3523"/>
      <c r="EP30" s="3523"/>
      <c r="EQ30" s="3523"/>
      <c r="ER30" s="3523"/>
      <c r="ES30" s="3523"/>
      <c r="ET30" s="3523"/>
      <c r="EU30" s="3523"/>
      <c r="EV30" s="3523"/>
      <c r="EW30" s="3523"/>
      <c r="EX30" s="3523"/>
      <c r="EY30" s="3523"/>
      <c r="EZ30" s="3523"/>
      <c r="FA30" s="3523"/>
      <c r="FB30" s="3523"/>
      <c r="FC30" s="3523"/>
      <c r="FD30" s="3523"/>
      <c r="FF30" s="3523"/>
      <c r="FG30" s="3523"/>
      <c r="FH30" s="3523"/>
      <c r="FI30" s="3523"/>
      <c r="FJ30" s="3523"/>
      <c r="FK30" s="3523"/>
      <c r="FL30" s="3523"/>
      <c r="FM30" s="3523"/>
      <c r="FN30" s="3523"/>
      <c r="FO30" s="3523"/>
      <c r="FP30" s="3523"/>
      <c r="FQ30" s="3523"/>
      <c r="FR30" s="3523"/>
      <c r="FS30" s="3523"/>
      <c r="FT30" s="3523"/>
      <c r="FU30" s="3523"/>
      <c r="FW30" s="3523"/>
      <c r="FX30" s="3523"/>
      <c r="FY30" s="3523"/>
      <c r="FZ30" s="3523"/>
      <c r="GA30" s="3523"/>
      <c r="GB30" s="3523"/>
      <c r="GC30" s="3523"/>
      <c r="GD30" s="3523"/>
      <c r="GE30" s="3582"/>
      <c r="GF30" s="3582"/>
      <c r="GG30" s="3582"/>
      <c r="GH30" s="3582"/>
      <c r="GI30" s="3582"/>
      <c r="GJ30" s="3582"/>
      <c r="GK30" s="3582"/>
      <c r="GL30" s="3582"/>
      <c r="GM30" s="3582"/>
      <c r="GN30" s="3582"/>
      <c r="GO30" s="3582"/>
      <c r="GP30" s="3505">
        <v>0</v>
      </c>
      <c r="GQ30" s="3481">
        <v>0</v>
      </c>
      <c r="GR30" s="3481">
        <v>1</v>
      </c>
      <c r="GS30" s="3481">
        <v>24</v>
      </c>
      <c r="GT30" s="3505">
        <v>0</v>
      </c>
      <c r="GU30" s="3505">
        <v>0</v>
      </c>
      <c r="GV30" s="3505">
        <v>0</v>
      </c>
      <c r="GW30" s="3505">
        <v>1</v>
      </c>
    </row>
    <row r="31" spans="1:205">
      <c r="A31" s="3522">
        <v>27</v>
      </c>
      <c r="B31" s="3523" t="s">
        <v>106</v>
      </c>
      <c r="C31" s="3509" t="s">
        <v>106</v>
      </c>
      <c r="D31" s="3523"/>
      <c r="E31" s="3523"/>
      <c r="F31" s="3523"/>
      <c r="G31" s="3523"/>
      <c r="H31" s="3523"/>
      <c r="I31" s="3523"/>
      <c r="J31" s="3523"/>
      <c r="K31" s="3523"/>
      <c r="L31" s="3523"/>
      <c r="M31" s="3523"/>
      <c r="N31" s="3523"/>
      <c r="O31" s="3523"/>
      <c r="P31" s="3523"/>
      <c r="Q31" s="3523"/>
      <c r="R31" s="3523"/>
      <c r="S31" s="3523"/>
      <c r="T31" s="3523"/>
      <c r="U31" s="3523"/>
      <c r="V31" s="3523"/>
      <c r="W31" s="3523"/>
      <c r="X31" s="3523"/>
      <c r="Y31" s="3523"/>
      <c r="Z31" s="3523"/>
      <c r="AA31" s="3523"/>
      <c r="AB31" s="3523"/>
      <c r="AC31" s="3523"/>
      <c r="AD31" s="3523"/>
      <c r="AE31" s="3523"/>
      <c r="AF31" s="3523"/>
      <c r="AG31" s="3523"/>
      <c r="AH31" s="3523"/>
      <c r="AI31" s="3523"/>
      <c r="AJ31" s="3523"/>
      <c r="AK31" s="3523"/>
      <c r="AL31" s="3523"/>
      <c r="AM31" s="3523"/>
      <c r="AN31" s="3523"/>
      <c r="AO31" s="3523"/>
      <c r="AP31" s="3523"/>
      <c r="AQ31" s="3523"/>
      <c r="AR31" s="3523"/>
      <c r="AS31" s="3523"/>
      <c r="AT31" s="3523"/>
      <c r="AU31" s="3523"/>
      <c r="AV31" s="3523"/>
      <c r="AW31" s="3523"/>
      <c r="AX31" s="3523"/>
      <c r="AY31" s="3523"/>
      <c r="AZ31" s="3523"/>
      <c r="BA31" s="3523"/>
      <c r="BB31" s="3523"/>
      <c r="BC31" s="3523"/>
      <c r="BD31" s="3523"/>
      <c r="BE31" s="3523"/>
      <c r="BF31" s="3523"/>
      <c r="BG31" s="3523"/>
      <c r="BH31" s="3523"/>
      <c r="BI31" s="3523"/>
      <c r="BJ31" s="3523"/>
      <c r="BK31" s="3523"/>
      <c r="BL31" s="3523"/>
      <c r="BM31" s="3523"/>
      <c r="BN31" s="3523"/>
      <c r="BO31" s="3523"/>
      <c r="BP31" s="3523"/>
      <c r="BQ31" s="3523"/>
      <c r="BR31" s="3523"/>
      <c r="BS31" s="3523"/>
      <c r="BT31" s="3523"/>
      <c r="BU31" s="3523"/>
      <c r="BV31" s="3523"/>
      <c r="BW31" s="3523"/>
      <c r="BX31" s="3523"/>
      <c r="BY31" s="3523"/>
      <c r="BZ31" s="3523"/>
      <c r="CA31" s="3523"/>
      <c r="CB31" s="3523"/>
      <c r="CC31" s="3523"/>
      <c r="CD31" s="3523"/>
      <c r="CE31" s="3523"/>
      <c r="CF31" s="3523"/>
      <c r="CG31" s="3523"/>
      <c r="CH31" s="3523"/>
      <c r="CI31" s="3523"/>
      <c r="CJ31" s="3523"/>
      <c r="CK31" s="3523"/>
      <c r="CL31" s="3523"/>
      <c r="CM31" s="3523"/>
      <c r="CN31" s="3523"/>
      <c r="CO31" s="3523"/>
      <c r="CP31" s="3523"/>
      <c r="CQ31" s="3523"/>
      <c r="CR31" s="3523"/>
      <c r="CS31" s="3523"/>
      <c r="CT31" s="3523"/>
      <c r="CU31" s="3523"/>
      <c r="CV31" s="3523"/>
      <c r="CW31" s="3523"/>
      <c r="CX31" s="3523"/>
      <c r="CY31" s="3523"/>
      <c r="CZ31" s="3523"/>
      <c r="DA31" s="3523"/>
      <c r="DB31" s="3523"/>
      <c r="DC31" s="3523"/>
      <c r="DD31" s="3523"/>
      <c r="DE31" s="3523"/>
      <c r="DF31" s="3523"/>
      <c r="DG31" s="3523"/>
      <c r="DH31" s="3523"/>
      <c r="DI31" s="3523"/>
      <c r="DJ31" s="3523"/>
      <c r="DK31" s="3523"/>
      <c r="DL31" s="3523"/>
      <c r="DM31" s="3523"/>
      <c r="DN31" s="3523"/>
      <c r="DO31" s="3523"/>
      <c r="DP31" s="3523"/>
      <c r="DQ31" s="3523"/>
      <c r="DR31" s="3523"/>
      <c r="DS31" s="3523"/>
      <c r="DT31" s="3523"/>
      <c r="DU31" s="3523"/>
      <c r="DV31" s="3523"/>
      <c r="DW31" s="3523"/>
      <c r="DX31" s="3523"/>
      <c r="DY31" s="3523"/>
      <c r="DZ31" s="3523"/>
      <c r="EA31" s="3523"/>
      <c r="EB31" s="3523"/>
      <c r="EC31" s="3523"/>
      <c r="ED31" s="3523"/>
      <c r="EE31" s="3523"/>
      <c r="EF31" s="3523"/>
      <c r="EG31" s="3523"/>
      <c r="EH31" s="3523"/>
      <c r="EI31" s="3523"/>
      <c r="EJ31" s="3523"/>
      <c r="EK31" s="3523"/>
      <c r="EL31" s="3523"/>
      <c r="EM31" s="3523"/>
      <c r="EN31" s="3523"/>
      <c r="EO31" s="3523"/>
      <c r="EP31" s="3523"/>
      <c r="EQ31" s="3523"/>
      <c r="ER31" s="3523"/>
      <c r="ES31" s="3523"/>
      <c r="ET31" s="3523"/>
      <c r="EU31" s="3523"/>
      <c r="EV31" s="3523"/>
      <c r="EW31" s="3523"/>
      <c r="EX31" s="3523"/>
      <c r="EY31" s="3523"/>
      <c r="EZ31" s="3523"/>
      <c r="FA31" s="3523"/>
      <c r="FB31" s="3523"/>
      <c r="FC31" s="3523"/>
      <c r="FD31" s="3523"/>
      <c r="FF31" s="3523"/>
      <c r="FG31" s="3523"/>
      <c r="FH31" s="3523"/>
      <c r="FI31" s="3523"/>
      <c r="FJ31" s="3523"/>
      <c r="FK31" s="3523"/>
      <c r="FL31" s="3523"/>
      <c r="FM31" s="3523"/>
      <c r="FN31" s="3523"/>
      <c r="FO31" s="3523"/>
      <c r="FP31" s="3523"/>
      <c r="FQ31" s="3523"/>
      <c r="FR31" s="3523"/>
      <c r="FS31" s="3523"/>
      <c r="FT31" s="3523"/>
      <c r="FU31" s="3523"/>
      <c r="FW31" s="3523"/>
      <c r="FX31" s="3523"/>
      <c r="FY31" s="3523"/>
      <c r="FZ31" s="3523"/>
      <c r="GA31" s="3523"/>
      <c r="GB31" s="3523"/>
      <c r="GC31" s="3523"/>
      <c r="GD31" s="3523"/>
      <c r="GE31" s="3582"/>
      <c r="GF31" s="3582"/>
      <c r="GG31" s="3582"/>
      <c r="GH31" s="3582"/>
      <c r="GI31" s="3582"/>
      <c r="GJ31" s="3582"/>
      <c r="GK31" s="3582"/>
      <c r="GL31" s="3582"/>
      <c r="GM31" s="3582"/>
      <c r="GN31" s="3582"/>
      <c r="GO31" s="3582"/>
      <c r="GP31" s="3505">
        <v>0</v>
      </c>
      <c r="GQ31" s="3481">
        <v>0</v>
      </c>
      <c r="GR31" s="3481">
        <v>1</v>
      </c>
      <c r="GS31" s="3481">
        <v>25</v>
      </c>
      <c r="GT31" s="3505">
        <v>0</v>
      </c>
      <c r="GU31" s="3505">
        <v>0</v>
      </c>
      <c r="GV31" s="3505">
        <v>0</v>
      </c>
      <c r="GW31" s="3505">
        <v>1</v>
      </c>
    </row>
    <row r="32" spans="1:205">
      <c r="A32" s="3522">
        <v>28</v>
      </c>
      <c r="B32" s="3523" t="s">
        <v>106</v>
      </c>
      <c r="C32" s="3509" t="s">
        <v>106</v>
      </c>
      <c r="D32" s="3523"/>
      <c r="E32" s="3523"/>
      <c r="F32" s="3523"/>
      <c r="G32" s="3523"/>
      <c r="H32" s="3523"/>
      <c r="I32" s="3523"/>
      <c r="J32" s="3523"/>
      <c r="K32" s="3523"/>
      <c r="L32" s="3523"/>
      <c r="M32" s="3523"/>
      <c r="N32" s="3523"/>
      <c r="O32" s="3523"/>
      <c r="P32" s="3523"/>
      <c r="Q32" s="3523"/>
      <c r="R32" s="3523"/>
      <c r="S32" s="3523"/>
      <c r="T32" s="3523"/>
      <c r="U32" s="3523"/>
      <c r="V32" s="3523"/>
      <c r="W32" s="3523"/>
      <c r="X32" s="3523"/>
      <c r="Y32" s="3523"/>
      <c r="Z32" s="3523"/>
      <c r="AA32" s="3523"/>
      <c r="AB32" s="3523"/>
      <c r="AC32" s="3523"/>
      <c r="AD32" s="3523"/>
      <c r="AE32" s="3523"/>
      <c r="AF32" s="3523"/>
      <c r="AG32" s="3523"/>
      <c r="AH32" s="3523"/>
      <c r="AI32" s="3523"/>
      <c r="AJ32" s="3523"/>
      <c r="AK32" s="3523"/>
      <c r="AL32" s="3523"/>
      <c r="AM32" s="3523"/>
      <c r="AN32" s="3523"/>
      <c r="AO32" s="3523"/>
      <c r="AP32" s="3523"/>
      <c r="AQ32" s="3523"/>
      <c r="AR32" s="3523"/>
      <c r="AS32" s="3523"/>
      <c r="AT32" s="3523"/>
      <c r="AU32" s="3523"/>
      <c r="AV32" s="3523"/>
      <c r="AW32" s="3523"/>
      <c r="AX32" s="3523"/>
      <c r="AY32" s="3523"/>
      <c r="AZ32" s="3523"/>
      <c r="BA32" s="3523"/>
      <c r="BB32" s="3523"/>
      <c r="BC32" s="3523"/>
      <c r="BD32" s="3523"/>
      <c r="BE32" s="3523"/>
      <c r="BF32" s="3523"/>
      <c r="BG32" s="3523"/>
      <c r="BH32" s="3523"/>
      <c r="BI32" s="3523"/>
      <c r="BJ32" s="3523"/>
      <c r="BK32" s="3523"/>
      <c r="BL32" s="3523"/>
      <c r="BM32" s="3523"/>
      <c r="BN32" s="3523"/>
      <c r="BO32" s="3523"/>
      <c r="BP32" s="3523"/>
      <c r="BQ32" s="3523"/>
      <c r="BR32" s="3523"/>
      <c r="BS32" s="3523"/>
      <c r="BT32" s="3523"/>
      <c r="BU32" s="3523"/>
      <c r="BV32" s="3523"/>
      <c r="BW32" s="3523"/>
      <c r="BX32" s="3523"/>
      <c r="BY32" s="3523"/>
      <c r="BZ32" s="3523"/>
      <c r="CA32" s="3523"/>
      <c r="CB32" s="3523"/>
      <c r="CC32" s="3523"/>
      <c r="CD32" s="3523"/>
      <c r="CE32" s="3523"/>
      <c r="CF32" s="3523"/>
      <c r="CG32" s="3523"/>
      <c r="CH32" s="3523"/>
      <c r="CI32" s="3523"/>
      <c r="CJ32" s="3523"/>
      <c r="CK32" s="3523"/>
      <c r="CL32" s="3523"/>
      <c r="CM32" s="3523"/>
      <c r="CN32" s="3523"/>
      <c r="CO32" s="3523"/>
      <c r="CP32" s="3523"/>
      <c r="CQ32" s="3523"/>
      <c r="CR32" s="3523"/>
      <c r="CS32" s="3523"/>
      <c r="CT32" s="3523"/>
      <c r="CU32" s="3523"/>
      <c r="CV32" s="3523"/>
      <c r="CW32" s="3523"/>
      <c r="CX32" s="3523"/>
      <c r="CY32" s="3523"/>
      <c r="CZ32" s="3523"/>
      <c r="DA32" s="3523"/>
      <c r="DB32" s="3523"/>
      <c r="DC32" s="3523"/>
      <c r="DD32" s="3523"/>
      <c r="DE32" s="3523"/>
      <c r="DF32" s="3523"/>
      <c r="DG32" s="3523"/>
      <c r="DH32" s="3523"/>
      <c r="DI32" s="3523"/>
      <c r="DJ32" s="3523"/>
      <c r="DK32" s="3523"/>
      <c r="DL32" s="3523"/>
      <c r="DM32" s="3523"/>
      <c r="DN32" s="3523"/>
      <c r="DO32" s="3523"/>
      <c r="DP32" s="3523"/>
      <c r="DQ32" s="3523"/>
      <c r="DR32" s="3523"/>
      <c r="DS32" s="3523"/>
      <c r="DT32" s="3523"/>
      <c r="DU32" s="3523"/>
      <c r="DV32" s="3523"/>
      <c r="DW32" s="3523"/>
      <c r="DX32" s="3523"/>
      <c r="DY32" s="3523"/>
      <c r="DZ32" s="3523"/>
      <c r="EA32" s="3523"/>
      <c r="EB32" s="3523"/>
      <c r="EC32" s="3523"/>
      <c r="ED32" s="3523"/>
      <c r="EE32" s="3523"/>
      <c r="EF32" s="3523"/>
      <c r="EG32" s="3523"/>
      <c r="EH32" s="3523"/>
      <c r="EI32" s="3523"/>
      <c r="EJ32" s="3523"/>
      <c r="EK32" s="3523"/>
      <c r="EL32" s="3523"/>
      <c r="EM32" s="3523"/>
      <c r="EN32" s="3523"/>
      <c r="EO32" s="3523"/>
      <c r="EP32" s="3523"/>
      <c r="EQ32" s="3523"/>
      <c r="ER32" s="3523"/>
      <c r="ES32" s="3523"/>
      <c r="ET32" s="3523"/>
      <c r="EU32" s="3523"/>
      <c r="EV32" s="3523"/>
      <c r="EW32" s="3523"/>
      <c r="EX32" s="3523"/>
      <c r="EY32" s="3523"/>
      <c r="EZ32" s="3523"/>
      <c r="FA32" s="3523"/>
      <c r="FB32" s="3523"/>
      <c r="FC32" s="3523"/>
      <c r="FD32" s="3523"/>
      <c r="FF32" s="3523"/>
      <c r="FG32" s="3523"/>
      <c r="FH32" s="3523"/>
      <c r="FI32" s="3523"/>
      <c r="FJ32" s="3523"/>
      <c r="FK32" s="3523"/>
      <c r="FL32" s="3523"/>
      <c r="FM32" s="3523"/>
      <c r="FN32" s="3523"/>
      <c r="FO32" s="3523"/>
      <c r="FP32" s="3523"/>
      <c r="FQ32" s="3523"/>
      <c r="FR32" s="3523"/>
      <c r="FS32" s="3523"/>
      <c r="FT32" s="3523"/>
      <c r="FU32" s="3523"/>
      <c r="FW32" s="3523"/>
      <c r="FX32" s="3523"/>
      <c r="FY32" s="3523"/>
      <c r="FZ32" s="3523"/>
      <c r="GA32" s="3523"/>
      <c r="GB32" s="3523"/>
      <c r="GC32" s="3523"/>
      <c r="GD32" s="3523"/>
      <c r="GE32" s="3582"/>
      <c r="GF32" s="3582"/>
      <c r="GG32" s="3582"/>
      <c r="GH32" s="3582"/>
      <c r="GI32" s="3582"/>
      <c r="GJ32" s="3582"/>
      <c r="GK32" s="3582"/>
      <c r="GL32" s="3582"/>
      <c r="GM32" s="3582"/>
      <c r="GN32" s="3582"/>
      <c r="GO32" s="3582"/>
      <c r="GP32" s="3505">
        <v>0</v>
      </c>
      <c r="GQ32" s="3481">
        <v>0</v>
      </c>
      <c r="GR32" s="3481">
        <v>1</v>
      </c>
      <c r="GS32" s="3481">
        <v>26</v>
      </c>
      <c r="GT32" s="3505">
        <v>0</v>
      </c>
      <c r="GU32" s="3505">
        <v>0</v>
      </c>
      <c r="GV32" s="3505">
        <v>0</v>
      </c>
      <c r="GW32" s="3505">
        <v>1</v>
      </c>
    </row>
    <row r="33" spans="1:205">
      <c r="A33" s="3522">
        <v>29</v>
      </c>
      <c r="B33" s="3523" t="s">
        <v>106</v>
      </c>
      <c r="C33" s="3509" t="s">
        <v>106</v>
      </c>
      <c r="D33" s="3523"/>
      <c r="E33" s="3523"/>
      <c r="F33" s="3523"/>
      <c r="G33" s="3523"/>
      <c r="H33" s="3523"/>
      <c r="I33" s="3523"/>
      <c r="J33" s="3523"/>
      <c r="K33" s="3523"/>
      <c r="L33" s="3523"/>
      <c r="M33" s="3523"/>
      <c r="N33" s="3523"/>
      <c r="O33" s="3523"/>
      <c r="P33" s="3523"/>
      <c r="Q33" s="3523"/>
      <c r="R33" s="3523"/>
      <c r="S33" s="3523"/>
      <c r="T33" s="3523"/>
      <c r="U33" s="3523"/>
      <c r="V33" s="3523"/>
      <c r="W33" s="3523"/>
      <c r="X33" s="3523"/>
      <c r="Y33" s="3523"/>
      <c r="Z33" s="3523"/>
      <c r="AA33" s="3523"/>
      <c r="AB33" s="3523"/>
      <c r="AC33" s="3523"/>
      <c r="AD33" s="3523"/>
      <c r="AE33" s="3523"/>
      <c r="AF33" s="3523"/>
      <c r="AG33" s="3523"/>
      <c r="AH33" s="3523"/>
      <c r="AI33" s="3523"/>
      <c r="AJ33" s="3523"/>
      <c r="AK33" s="3523"/>
      <c r="AL33" s="3523"/>
      <c r="AM33" s="3523"/>
      <c r="AN33" s="3523"/>
      <c r="AO33" s="3523"/>
      <c r="AP33" s="3523"/>
      <c r="AQ33" s="3523"/>
      <c r="AR33" s="3523"/>
      <c r="AS33" s="3523"/>
      <c r="AT33" s="3523"/>
      <c r="AU33" s="3523"/>
      <c r="AV33" s="3523"/>
      <c r="AW33" s="3523"/>
      <c r="AX33" s="3523"/>
      <c r="AY33" s="3523"/>
      <c r="AZ33" s="3523"/>
      <c r="BA33" s="3523"/>
      <c r="BB33" s="3523"/>
      <c r="BC33" s="3523"/>
      <c r="BD33" s="3523"/>
      <c r="BE33" s="3523"/>
      <c r="BF33" s="3523"/>
      <c r="BG33" s="3523"/>
      <c r="BH33" s="3523"/>
      <c r="BI33" s="3523"/>
      <c r="BJ33" s="3523"/>
      <c r="BK33" s="3523"/>
      <c r="BL33" s="3523"/>
      <c r="BM33" s="3523"/>
      <c r="BN33" s="3523"/>
      <c r="BO33" s="3523"/>
      <c r="BP33" s="3523"/>
      <c r="BQ33" s="3523"/>
      <c r="BR33" s="3523"/>
      <c r="BS33" s="3523"/>
      <c r="BT33" s="3523"/>
      <c r="BU33" s="3523"/>
      <c r="BV33" s="3523"/>
      <c r="BW33" s="3523"/>
      <c r="BX33" s="3523"/>
      <c r="BY33" s="3523"/>
      <c r="BZ33" s="3523"/>
      <c r="CA33" s="3523"/>
      <c r="CB33" s="3523"/>
      <c r="CC33" s="3523"/>
      <c r="CD33" s="3523"/>
      <c r="CE33" s="3523"/>
      <c r="CF33" s="3523"/>
      <c r="CG33" s="3523"/>
      <c r="CH33" s="3523"/>
      <c r="CI33" s="3523"/>
      <c r="CJ33" s="3523"/>
      <c r="CK33" s="3523"/>
      <c r="CL33" s="3523"/>
      <c r="CM33" s="3523"/>
      <c r="CN33" s="3523"/>
      <c r="CO33" s="3523"/>
      <c r="CP33" s="3523"/>
      <c r="CQ33" s="3523"/>
      <c r="CR33" s="3523"/>
      <c r="CS33" s="3523"/>
      <c r="CT33" s="3523"/>
      <c r="CU33" s="3523"/>
      <c r="CV33" s="3523"/>
      <c r="CW33" s="3523"/>
      <c r="CX33" s="3523"/>
      <c r="CY33" s="3523"/>
      <c r="CZ33" s="3523"/>
      <c r="DA33" s="3523"/>
      <c r="DB33" s="3523"/>
      <c r="DC33" s="3523"/>
      <c r="DD33" s="3523"/>
      <c r="DE33" s="3523"/>
      <c r="DF33" s="3523"/>
      <c r="DG33" s="3523"/>
      <c r="DH33" s="3523"/>
      <c r="DI33" s="3523"/>
      <c r="DJ33" s="3523"/>
      <c r="DK33" s="3523"/>
      <c r="DL33" s="3523"/>
      <c r="DM33" s="3523"/>
      <c r="DN33" s="3523"/>
      <c r="DO33" s="3523"/>
      <c r="DP33" s="3523"/>
      <c r="DQ33" s="3523"/>
      <c r="DR33" s="3523"/>
      <c r="DS33" s="3523"/>
      <c r="DT33" s="3523"/>
      <c r="DU33" s="3523"/>
      <c r="DV33" s="3523"/>
      <c r="DW33" s="3523"/>
      <c r="DX33" s="3523"/>
      <c r="DY33" s="3523"/>
      <c r="DZ33" s="3523"/>
      <c r="EA33" s="3523"/>
      <c r="EB33" s="3523"/>
      <c r="EC33" s="3523"/>
      <c r="ED33" s="3523"/>
      <c r="EE33" s="3523"/>
      <c r="EF33" s="3523"/>
      <c r="EG33" s="3523"/>
      <c r="EH33" s="3523"/>
      <c r="EI33" s="3523"/>
      <c r="EJ33" s="3523"/>
      <c r="EK33" s="3523"/>
      <c r="EL33" s="3523"/>
      <c r="EM33" s="3523"/>
      <c r="EN33" s="3523"/>
      <c r="EO33" s="3523"/>
      <c r="EP33" s="3523"/>
      <c r="EQ33" s="3523"/>
      <c r="ER33" s="3523"/>
      <c r="ES33" s="3523"/>
      <c r="ET33" s="3523"/>
      <c r="EU33" s="3523"/>
      <c r="EV33" s="3523"/>
      <c r="EW33" s="3523"/>
      <c r="EX33" s="3523"/>
      <c r="EY33" s="3523"/>
      <c r="EZ33" s="3523"/>
      <c r="FA33" s="3523"/>
      <c r="FB33" s="3523"/>
      <c r="FC33" s="3523"/>
      <c r="FD33" s="3523"/>
      <c r="FF33" s="3523"/>
      <c r="FG33" s="3523"/>
      <c r="FH33" s="3523"/>
      <c r="FI33" s="3523"/>
      <c r="FJ33" s="3523"/>
      <c r="FK33" s="3523"/>
      <c r="FL33" s="3523"/>
      <c r="FM33" s="3523"/>
      <c r="FN33" s="3523"/>
      <c r="FO33" s="3523"/>
      <c r="FP33" s="3523"/>
      <c r="FQ33" s="3523"/>
      <c r="FR33" s="3523"/>
      <c r="FS33" s="3523"/>
      <c r="FT33" s="3523"/>
      <c r="FU33" s="3523"/>
      <c r="FW33" s="3523"/>
      <c r="FX33" s="3523"/>
      <c r="FY33" s="3523"/>
      <c r="FZ33" s="3523"/>
      <c r="GA33" s="3523"/>
      <c r="GB33" s="3523"/>
      <c r="GC33" s="3523"/>
      <c r="GD33" s="3523"/>
      <c r="GE33" s="3582"/>
      <c r="GF33" s="3582"/>
      <c r="GG33" s="3582"/>
      <c r="GH33" s="3582"/>
      <c r="GI33" s="3582"/>
      <c r="GJ33" s="3582"/>
      <c r="GK33" s="3582"/>
      <c r="GL33" s="3582"/>
      <c r="GM33" s="3582"/>
      <c r="GN33" s="3582"/>
      <c r="GO33" s="3582"/>
      <c r="GP33" s="3505">
        <v>0</v>
      </c>
      <c r="GQ33" s="3481">
        <v>0</v>
      </c>
      <c r="GR33" s="3481">
        <v>1</v>
      </c>
      <c r="GS33" s="3481">
        <v>27</v>
      </c>
      <c r="GT33" s="3505">
        <v>0</v>
      </c>
      <c r="GU33" s="3505">
        <v>0</v>
      </c>
      <c r="GV33" s="3505">
        <v>0</v>
      </c>
      <c r="GW33" s="3505">
        <v>1</v>
      </c>
    </row>
    <row r="34" spans="1:205">
      <c r="A34" s="3522">
        <v>30</v>
      </c>
      <c r="B34" s="3523" t="s">
        <v>106</v>
      </c>
      <c r="C34" s="3509" t="s">
        <v>106</v>
      </c>
      <c r="D34" s="3523"/>
      <c r="E34" s="3523"/>
      <c r="F34" s="3523"/>
      <c r="G34" s="3523"/>
      <c r="H34" s="3523"/>
      <c r="I34" s="3523"/>
      <c r="J34" s="3523"/>
      <c r="K34" s="3523"/>
      <c r="L34" s="3523"/>
      <c r="M34" s="3523"/>
      <c r="N34" s="3523"/>
      <c r="O34" s="3523"/>
      <c r="P34" s="3523"/>
      <c r="Q34" s="3523"/>
      <c r="R34" s="3523"/>
      <c r="S34" s="3523"/>
      <c r="T34" s="3523"/>
      <c r="U34" s="3523"/>
      <c r="V34" s="3523"/>
      <c r="W34" s="3523"/>
      <c r="X34" s="3523"/>
      <c r="Y34" s="3523"/>
      <c r="Z34" s="3523"/>
      <c r="AA34" s="3523"/>
      <c r="AB34" s="3523"/>
      <c r="AC34" s="3523"/>
      <c r="AD34" s="3523"/>
      <c r="AE34" s="3523"/>
      <c r="AF34" s="3523"/>
      <c r="AG34" s="3523"/>
      <c r="AH34" s="3523"/>
      <c r="AI34" s="3523"/>
      <c r="AJ34" s="3523"/>
      <c r="AK34" s="3523"/>
      <c r="AL34" s="3523"/>
      <c r="AM34" s="3523"/>
      <c r="AN34" s="3523"/>
      <c r="AO34" s="3523"/>
      <c r="AP34" s="3523"/>
      <c r="AQ34" s="3523"/>
      <c r="AR34" s="3523"/>
      <c r="AS34" s="3523"/>
      <c r="AT34" s="3523"/>
      <c r="AU34" s="3523"/>
      <c r="AV34" s="3523"/>
      <c r="AW34" s="3523"/>
      <c r="AX34" s="3523"/>
      <c r="AY34" s="3523"/>
      <c r="AZ34" s="3523"/>
      <c r="BA34" s="3523"/>
      <c r="BB34" s="3523"/>
      <c r="BC34" s="3523"/>
      <c r="BD34" s="3523"/>
      <c r="BE34" s="3523"/>
      <c r="BF34" s="3523"/>
      <c r="BG34" s="3523"/>
      <c r="BH34" s="3523"/>
      <c r="BI34" s="3523"/>
      <c r="BJ34" s="3523"/>
      <c r="BK34" s="3523"/>
      <c r="BL34" s="3523"/>
      <c r="BM34" s="3523"/>
      <c r="BN34" s="3523"/>
      <c r="BO34" s="3523"/>
      <c r="BP34" s="3523"/>
      <c r="BQ34" s="3523"/>
      <c r="BR34" s="3523"/>
      <c r="BS34" s="3523"/>
      <c r="BT34" s="3523"/>
      <c r="BU34" s="3523"/>
      <c r="BV34" s="3523"/>
      <c r="BW34" s="3523"/>
      <c r="BX34" s="3523"/>
      <c r="BY34" s="3523"/>
      <c r="BZ34" s="3523"/>
      <c r="CA34" s="3523"/>
      <c r="CB34" s="3523"/>
      <c r="CC34" s="3523"/>
      <c r="CD34" s="3523"/>
      <c r="CE34" s="3523"/>
      <c r="CF34" s="3523"/>
      <c r="CG34" s="3523"/>
      <c r="CH34" s="3523"/>
      <c r="CI34" s="3523"/>
      <c r="CJ34" s="3523"/>
      <c r="CK34" s="3523"/>
      <c r="CL34" s="3523"/>
      <c r="CM34" s="3523"/>
      <c r="CN34" s="3523"/>
      <c r="CO34" s="3523"/>
      <c r="CP34" s="3523"/>
      <c r="CQ34" s="3523"/>
      <c r="CR34" s="3523"/>
      <c r="CS34" s="3523"/>
      <c r="CT34" s="3523"/>
      <c r="CU34" s="3523"/>
      <c r="CV34" s="3523"/>
      <c r="CW34" s="3523"/>
      <c r="CX34" s="3523"/>
      <c r="CY34" s="3523"/>
      <c r="CZ34" s="3523"/>
      <c r="DA34" s="3523"/>
      <c r="DB34" s="3523"/>
      <c r="DC34" s="3523"/>
      <c r="DD34" s="3523"/>
      <c r="DE34" s="3523"/>
      <c r="DF34" s="3523"/>
      <c r="DG34" s="3523"/>
      <c r="DH34" s="3523"/>
      <c r="DI34" s="3523"/>
      <c r="DJ34" s="3523"/>
      <c r="DK34" s="3523"/>
      <c r="DL34" s="3523"/>
      <c r="DM34" s="3523"/>
      <c r="DN34" s="3523"/>
      <c r="DO34" s="3523"/>
      <c r="DP34" s="3523"/>
      <c r="DQ34" s="3523"/>
      <c r="DR34" s="3523"/>
      <c r="DS34" s="3523"/>
      <c r="DT34" s="3523"/>
      <c r="DU34" s="3523"/>
      <c r="DV34" s="3523"/>
      <c r="DW34" s="3523"/>
      <c r="DX34" s="3523"/>
      <c r="DY34" s="3523"/>
      <c r="DZ34" s="3523"/>
      <c r="EA34" s="3523"/>
      <c r="EB34" s="3523"/>
      <c r="EC34" s="3523"/>
      <c r="ED34" s="3523"/>
      <c r="EE34" s="3523"/>
      <c r="EF34" s="3523"/>
      <c r="EG34" s="3523"/>
      <c r="EH34" s="3523"/>
      <c r="EI34" s="3523"/>
      <c r="EJ34" s="3523"/>
      <c r="EK34" s="3523"/>
      <c r="EL34" s="3523"/>
      <c r="EM34" s="3523"/>
      <c r="EN34" s="3523"/>
      <c r="EO34" s="3523"/>
      <c r="EP34" s="3523"/>
      <c r="EQ34" s="3523"/>
      <c r="ER34" s="3523"/>
      <c r="ES34" s="3523"/>
      <c r="ET34" s="3523"/>
      <c r="EU34" s="3523"/>
      <c r="EV34" s="3523"/>
      <c r="EW34" s="3523"/>
      <c r="EX34" s="3523"/>
      <c r="EY34" s="3523"/>
      <c r="EZ34" s="3523"/>
      <c r="FA34" s="3523"/>
      <c r="FB34" s="3523"/>
      <c r="FC34" s="3523"/>
      <c r="FD34" s="3523"/>
      <c r="FF34" s="3523"/>
      <c r="FG34" s="3523"/>
      <c r="FH34" s="3523"/>
      <c r="FI34" s="3523"/>
      <c r="FJ34" s="3523"/>
      <c r="FK34" s="3523"/>
      <c r="FL34" s="3523"/>
      <c r="FM34" s="3523"/>
      <c r="FN34" s="3523"/>
      <c r="FO34" s="3523"/>
      <c r="FP34" s="3523"/>
      <c r="FQ34" s="3523"/>
      <c r="FR34" s="3523"/>
      <c r="FS34" s="3523"/>
      <c r="FT34" s="3523"/>
      <c r="FU34" s="3523"/>
      <c r="FW34" s="3523"/>
      <c r="FX34" s="3523"/>
      <c r="FY34" s="3523"/>
      <c r="FZ34" s="3523"/>
      <c r="GA34" s="3523"/>
      <c r="GB34" s="3523"/>
      <c r="GC34" s="3523"/>
      <c r="GD34" s="3523"/>
      <c r="GE34" s="3582"/>
      <c r="GF34" s="3582"/>
      <c r="GG34" s="3582"/>
      <c r="GH34" s="3582"/>
      <c r="GI34" s="3582"/>
      <c r="GJ34" s="3582"/>
      <c r="GK34" s="3582"/>
      <c r="GL34" s="3582"/>
      <c r="GM34" s="3582"/>
      <c r="GN34" s="3582"/>
      <c r="GO34" s="3582"/>
      <c r="GP34" s="3505">
        <v>0</v>
      </c>
      <c r="GQ34" s="3481">
        <v>0</v>
      </c>
      <c r="GR34" s="3481">
        <v>1</v>
      </c>
      <c r="GS34" s="3481">
        <v>28</v>
      </c>
      <c r="GT34" s="3505">
        <v>0</v>
      </c>
      <c r="GU34" s="3505">
        <v>0</v>
      </c>
      <c r="GV34" s="3505">
        <v>0</v>
      </c>
      <c r="GW34" s="3505">
        <v>1</v>
      </c>
    </row>
    <row r="35" spans="1:205">
      <c r="A35" s="3522">
        <v>31</v>
      </c>
      <c r="B35" s="3523" t="s">
        <v>106</v>
      </c>
      <c r="C35" s="3509" t="s">
        <v>106</v>
      </c>
      <c r="D35" s="3523"/>
      <c r="E35" s="3523"/>
      <c r="F35" s="3523"/>
      <c r="G35" s="3523"/>
      <c r="H35" s="3523"/>
      <c r="I35" s="3523"/>
      <c r="J35" s="3523"/>
      <c r="K35" s="3523"/>
      <c r="L35" s="3523"/>
      <c r="M35" s="3523"/>
      <c r="N35" s="3523"/>
      <c r="O35" s="3523"/>
      <c r="P35" s="3523"/>
      <c r="Q35" s="3523"/>
      <c r="R35" s="3523"/>
      <c r="S35" s="3523"/>
      <c r="T35" s="3523"/>
      <c r="U35" s="3523"/>
      <c r="V35" s="3523"/>
      <c r="W35" s="3523"/>
      <c r="X35" s="3523"/>
      <c r="Y35" s="3523"/>
      <c r="Z35" s="3523"/>
      <c r="AA35" s="3523"/>
      <c r="AB35" s="3523"/>
      <c r="AC35" s="3523"/>
      <c r="AD35" s="3523"/>
      <c r="AE35" s="3523"/>
      <c r="AF35" s="3523"/>
      <c r="AG35" s="3523"/>
      <c r="AH35" s="3523"/>
      <c r="AI35" s="3523"/>
      <c r="AJ35" s="3523"/>
      <c r="AK35" s="3523"/>
      <c r="AL35" s="3523"/>
      <c r="AM35" s="3523"/>
      <c r="AN35" s="3523"/>
      <c r="AO35" s="3523"/>
      <c r="AP35" s="3523"/>
      <c r="AQ35" s="3523"/>
      <c r="AR35" s="3523"/>
      <c r="AS35" s="3523"/>
      <c r="AT35" s="3523"/>
      <c r="AU35" s="3523"/>
      <c r="AV35" s="3523"/>
      <c r="AW35" s="3523"/>
      <c r="AX35" s="3523"/>
      <c r="AY35" s="3523"/>
      <c r="AZ35" s="3523"/>
      <c r="BA35" s="3523"/>
      <c r="BB35" s="3523"/>
      <c r="BC35" s="3523"/>
      <c r="BD35" s="3523"/>
      <c r="BE35" s="3523"/>
      <c r="BF35" s="3523"/>
      <c r="BG35" s="3523"/>
      <c r="BH35" s="3523"/>
      <c r="BI35" s="3523"/>
      <c r="BJ35" s="3523"/>
      <c r="BK35" s="3523"/>
      <c r="BL35" s="3523"/>
      <c r="BM35" s="3523"/>
      <c r="BN35" s="3523"/>
      <c r="BO35" s="3523"/>
      <c r="BP35" s="3523"/>
      <c r="BQ35" s="3523"/>
      <c r="BR35" s="3523"/>
      <c r="BS35" s="3523"/>
      <c r="BT35" s="3523"/>
      <c r="BU35" s="3523"/>
      <c r="BV35" s="3523"/>
      <c r="BW35" s="3523"/>
      <c r="BX35" s="3523"/>
      <c r="BY35" s="3523"/>
      <c r="BZ35" s="3523"/>
      <c r="CA35" s="3523"/>
      <c r="CB35" s="3523"/>
      <c r="CC35" s="3523"/>
      <c r="CD35" s="3523"/>
      <c r="CE35" s="3523"/>
      <c r="CF35" s="3523"/>
      <c r="CG35" s="3523"/>
      <c r="CH35" s="3523"/>
      <c r="CI35" s="3523"/>
      <c r="CJ35" s="3523"/>
      <c r="CK35" s="3523"/>
      <c r="CL35" s="3523"/>
      <c r="CM35" s="3523"/>
      <c r="CN35" s="3523"/>
      <c r="CO35" s="3523"/>
      <c r="CP35" s="3523"/>
      <c r="CQ35" s="3523"/>
      <c r="CR35" s="3523"/>
      <c r="CS35" s="3523"/>
      <c r="CT35" s="3523"/>
      <c r="CU35" s="3523"/>
      <c r="CV35" s="3523"/>
      <c r="CW35" s="3523"/>
      <c r="CX35" s="3523"/>
      <c r="CY35" s="3523"/>
      <c r="CZ35" s="3523"/>
      <c r="DA35" s="3523"/>
      <c r="DB35" s="3523"/>
      <c r="DC35" s="3523"/>
      <c r="DD35" s="3523"/>
      <c r="DE35" s="3523"/>
      <c r="DF35" s="3523"/>
      <c r="DG35" s="3523"/>
      <c r="DH35" s="3523"/>
      <c r="DI35" s="3523"/>
      <c r="DJ35" s="3523"/>
      <c r="DK35" s="3523"/>
      <c r="DL35" s="3523"/>
      <c r="DM35" s="3523"/>
      <c r="DN35" s="3523"/>
      <c r="DO35" s="3523"/>
      <c r="DP35" s="3523"/>
      <c r="DQ35" s="3523"/>
      <c r="DR35" s="3523"/>
      <c r="DS35" s="3523"/>
      <c r="DT35" s="3523"/>
      <c r="DU35" s="3523"/>
      <c r="DV35" s="3523"/>
      <c r="DW35" s="3523"/>
      <c r="DX35" s="3523"/>
      <c r="DY35" s="3523"/>
      <c r="DZ35" s="3523"/>
      <c r="EA35" s="3523"/>
      <c r="EB35" s="3523"/>
      <c r="EC35" s="3523"/>
      <c r="ED35" s="3523"/>
      <c r="EE35" s="3523"/>
      <c r="EF35" s="3523"/>
      <c r="EG35" s="3523"/>
      <c r="EH35" s="3523"/>
      <c r="EI35" s="3523"/>
      <c r="EJ35" s="3523"/>
      <c r="EK35" s="3523"/>
      <c r="EL35" s="3523"/>
      <c r="EM35" s="3523"/>
      <c r="EN35" s="3523"/>
      <c r="EO35" s="3523"/>
      <c r="EP35" s="3523"/>
      <c r="EQ35" s="3523"/>
      <c r="ER35" s="3523"/>
      <c r="ES35" s="3523"/>
      <c r="ET35" s="3523"/>
      <c r="EU35" s="3523"/>
      <c r="EV35" s="3523"/>
      <c r="EW35" s="3523"/>
      <c r="EX35" s="3523"/>
      <c r="EY35" s="3523"/>
      <c r="EZ35" s="3523"/>
      <c r="FA35" s="3523"/>
      <c r="FB35" s="3523"/>
      <c r="FC35" s="3523"/>
      <c r="FD35" s="3523"/>
      <c r="FF35" s="3523"/>
      <c r="FG35" s="3523"/>
      <c r="FH35" s="3523"/>
      <c r="FI35" s="3523"/>
      <c r="FJ35" s="3523"/>
      <c r="FK35" s="3523"/>
      <c r="FL35" s="3523"/>
      <c r="FM35" s="3523"/>
      <c r="FN35" s="3523"/>
      <c r="FO35" s="3523"/>
      <c r="FP35" s="3523"/>
      <c r="FQ35" s="3523"/>
      <c r="FR35" s="3523"/>
      <c r="FS35" s="3523"/>
      <c r="FT35" s="3523"/>
      <c r="FU35" s="3523"/>
      <c r="FW35" s="3523"/>
      <c r="FX35" s="3523"/>
      <c r="FY35" s="3523"/>
      <c r="FZ35" s="3523"/>
      <c r="GA35" s="3523"/>
      <c r="GB35" s="3523"/>
      <c r="GC35" s="3523"/>
      <c r="GD35" s="3523"/>
      <c r="GE35" s="3582"/>
      <c r="GF35" s="3582"/>
      <c r="GG35" s="3582"/>
      <c r="GH35" s="3582"/>
      <c r="GI35" s="3582"/>
      <c r="GJ35" s="3582"/>
      <c r="GK35" s="3582"/>
      <c r="GL35" s="3582"/>
      <c r="GM35" s="3582"/>
      <c r="GN35" s="3582"/>
      <c r="GO35" s="3582"/>
      <c r="GP35" s="3505">
        <v>0</v>
      </c>
      <c r="GQ35" s="3481">
        <v>0</v>
      </c>
      <c r="GR35" s="3481">
        <v>1</v>
      </c>
      <c r="GS35" s="3481">
        <v>29</v>
      </c>
      <c r="GT35" s="3505">
        <v>0</v>
      </c>
      <c r="GU35" s="3505">
        <v>0</v>
      </c>
      <c r="GV35" s="3505">
        <v>0</v>
      </c>
      <c r="GW35" s="3505">
        <v>1</v>
      </c>
    </row>
    <row r="36" spans="1:205">
      <c r="A36" s="3522">
        <v>32</v>
      </c>
      <c r="B36" s="3524" t="s">
        <v>106</v>
      </c>
      <c r="C36" s="3509" t="s">
        <v>106</v>
      </c>
      <c r="D36" s="3525"/>
      <c r="E36" s="3525"/>
      <c r="F36" s="3525"/>
      <c r="G36" s="3525"/>
      <c r="H36" s="3525"/>
      <c r="I36" s="3525"/>
      <c r="J36" s="3525"/>
      <c r="K36" s="3525"/>
      <c r="L36" s="3525"/>
      <c r="M36" s="3525"/>
      <c r="N36" s="3525"/>
      <c r="O36" s="3525"/>
      <c r="P36" s="3525"/>
      <c r="Q36" s="3526"/>
      <c r="R36" s="3527"/>
      <c r="S36" s="3527"/>
      <c r="T36" s="3525"/>
      <c r="U36" s="3525"/>
      <c r="V36" s="3525"/>
      <c r="W36" s="3528"/>
      <c r="X36" s="3527"/>
      <c r="Y36" s="3525"/>
      <c r="Z36" s="3525"/>
      <c r="AA36" s="3525"/>
      <c r="AB36" s="3527"/>
      <c r="AC36" s="3529"/>
      <c r="AD36" s="3525"/>
      <c r="AE36" s="3530"/>
      <c r="AF36" s="3531"/>
      <c r="AG36" s="3527"/>
      <c r="AH36" s="3525"/>
      <c r="AI36" s="3525"/>
      <c r="AJ36" s="3527"/>
      <c r="AK36" s="3532"/>
      <c r="AL36" s="3528"/>
      <c r="AM36" s="3533"/>
      <c r="AN36" s="3534"/>
      <c r="AO36" s="3534"/>
      <c r="AP36" s="3534"/>
      <c r="AQ36" s="3534"/>
      <c r="AR36" s="3535"/>
      <c r="AS36" s="3536"/>
      <c r="AT36" s="3537"/>
      <c r="AU36" s="3536"/>
      <c r="AV36" s="3538"/>
      <c r="AW36" s="3536"/>
      <c r="AX36" s="3538"/>
      <c r="AY36" s="3536"/>
      <c r="AZ36" s="3538"/>
      <c r="BA36" s="3536"/>
      <c r="BB36" s="3538"/>
      <c r="BC36" s="3536"/>
      <c r="BD36" s="3538"/>
      <c r="BE36" s="3536"/>
      <c r="BF36" s="3538"/>
      <c r="BG36" s="3536"/>
      <c r="BH36" s="3538"/>
      <c r="BI36" s="3539"/>
      <c r="BJ36" s="3539"/>
      <c r="BK36" s="3536"/>
      <c r="BL36" s="3538"/>
      <c r="BM36" s="3536"/>
      <c r="BN36" s="3538"/>
      <c r="BO36" s="3536"/>
      <c r="BP36" s="3538"/>
      <c r="BQ36" s="3536"/>
      <c r="BR36" s="3538"/>
      <c r="BS36" s="3536"/>
      <c r="BT36" s="3538"/>
      <c r="BU36" s="3536"/>
      <c r="BV36" s="3538"/>
      <c r="BW36" s="3536"/>
      <c r="BX36" s="3538"/>
      <c r="BY36" s="3536"/>
      <c r="BZ36" s="3538"/>
      <c r="CA36" s="3536"/>
      <c r="CB36" s="3538"/>
      <c r="CC36" s="3536"/>
      <c r="CD36" s="3538"/>
      <c r="CE36" s="3536"/>
      <c r="CF36" s="3538"/>
      <c r="CG36" s="3536"/>
      <c r="CH36" s="3538"/>
      <c r="CI36" s="3536"/>
      <c r="CJ36" s="3538"/>
      <c r="CK36" s="3536"/>
      <c r="CL36" s="3538"/>
      <c r="CM36" s="3536"/>
      <c r="CN36" s="3538"/>
      <c r="CO36" s="3536"/>
      <c r="CP36" s="3538"/>
      <c r="CQ36" s="3536"/>
      <c r="CR36" s="3538"/>
      <c r="CS36" s="3536"/>
      <c r="CT36" s="3538"/>
      <c r="CU36" s="3536"/>
      <c r="CV36" s="3538"/>
      <c r="CW36" s="3536"/>
      <c r="CX36" s="3538"/>
      <c r="CY36" s="3536"/>
      <c r="CZ36" s="3538"/>
      <c r="DA36" s="3536"/>
      <c r="DB36" s="3538"/>
      <c r="DC36" s="3536"/>
      <c r="DD36" s="3538"/>
      <c r="DE36" s="3536"/>
      <c r="DF36" s="3538"/>
      <c r="DG36" s="3536"/>
      <c r="DH36" s="3538"/>
      <c r="DI36" s="3536"/>
      <c r="DJ36" s="3538"/>
      <c r="DK36" s="3536"/>
      <c r="DL36" s="3538"/>
      <c r="DM36" s="3536"/>
      <c r="DN36" s="3538"/>
      <c r="DO36" s="3536"/>
      <c r="DP36" s="3538"/>
      <c r="DQ36" s="3536"/>
      <c r="DR36" s="3538"/>
      <c r="DT36" s="3536"/>
      <c r="DU36" s="3532"/>
      <c r="DV36" s="3540"/>
      <c r="DW36" s="3536"/>
      <c r="DX36" s="3532"/>
      <c r="DY36" s="3540"/>
      <c r="DZ36" s="3536"/>
      <c r="EA36" s="3532"/>
      <c r="EB36" s="3540"/>
      <c r="ED36" s="3536"/>
      <c r="EE36" s="3532"/>
      <c r="EF36" s="3540"/>
      <c r="EG36" s="3536"/>
      <c r="EH36" s="3532"/>
      <c r="EI36" s="3540"/>
      <c r="EJ36" s="3536"/>
      <c r="EK36" s="3532"/>
      <c r="EL36" s="3540"/>
      <c r="EM36" s="3536"/>
      <c r="EN36" s="3532"/>
      <c r="EO36" s="3540"/>
      <c r="EQ36" s="3536"/>
      <c r="ER36" s="3532"/>
      <c r="ES36" s="3536"/>
      <c r="ET36" s="3532"/>
      <c r="EV36" s="3536"/>
      <c r="EW36" s="3532"/>
      <c r="EX36" s="3536"/>
      <c r="EY36" s="3532"/>
      <c r="FA36" s="3536"/>
      <c r="FB36" s="3532"/>
      <c r="FC36" s="3536"/>
      <c r="FD36" s="3532"/>
      <c r="FF36" s="3536"/>
      <c r="FG36" s="3538"/>
      <c r="FH36" s="3536"/>
      <c r="FI36" s="3538"/>
      <c r="FJ36" s="3536"/>
      <c r="FK36" s="3538"/>
      <c r="FL36" s="3536"/>
      <c r="FM36" s="3538"/>
      <c r="FN36" s="3536"/>
      <c r="FO36" s="3538"/>
      <c r="FP36" s="3536"/>
      <c r="FQ36" s="3538"/>
      <c r="FR36" s="3536"/>
      <c r="FS36" s="3538"/>
      <c r="FT36" s="3536"/>
      <c r="FU36" s="3538"/>
      <c r="FW36" s="3536"/>
      <c r="FX36" s="3538"/>
      <c r="FY36" s="3536"/>
      <c r="FZ36" s="3538"/>
      <c r="GA36" s="3536"/>
      <c r="GB36" s="3538"/>
      <c r="GC36" s="3536"/>
      <c r="GD36" s="3538"/>
      <c r="GE36" s="3583"/>
      <c r="GF36" s="3583"/>
      <c r="GG36" s="3583"/>
      <c r="GH36" s="3583"/>
      <c r="GI36" s="3583"/>
      <c r="GJ36" s="3583"/>
      <c r="GK36" s="3583"/>
      <c r="GL36" s="3583"/>
      <c r="GM36" s="3583"/>
      <c r="GN36" s="3583"/>
      <c r="GO36" s="3583"/>
      <c r="GP36" s="3505">
        <v>0</v>
      </c>
      <c r="GQ36" s="3481">
        <v>0</v>
      </c>
      <c r="GR36" s="3481">
        <v>1</v>
      </c>
      <c r="GS36" s="3481">
        <v>30</v>
      </c>
      <c r="GT36" s="3505">
        <v>0</v>
      </c>
      <c r="GU36" s="3505">
        <v>0</v>
      </c>
      <c r="GV36" s="3505">
        <v>0</v>
      </c>
      <c r="GW36" s="3505">
        <v>1</v>
      </c>
    </row>
    <row r="37" spans="1:205">
      <c r="A37" s="3522">
        <v>33</v>
      </c>
      <c r="B37" s="3524" t="s">
        <v>106</v>
      </c>
      <c r="C37" s="3509" t="s">
        <v>106</v>
      </c>
      <c r="D37" s="3525"/>
      <c r="E37" s="3525"/>
      <c r="F37" s="3525"/>
      <c r="G37" s="3525"/>
      <c r="H37" s="3525"/>
      <c r="I37" s="3525"/>
      <c r="J37" s="3525"/>
      <c r="K37" s="3525"/>
      <c r="L37" s="3525"/>
      <c r="M37" s="3525"/>
      <c r="N37" s="3525"/>
      <c r="O37" s="3525"/>
      <c r="P37" s="3525"/>
      <c r="Q37" s="3526"/>
      <c r="R37" s="3527"/>
      <c r="S37" s="3527"/>
      <c r="T37" s="3525"/>
      <c r="U37" s="3525"/>
      <c r="V37" s="3525"/>
      <c r="W37" s="3528"/>
      <c r="X37" s="3527"/>
      <c r="Y37" s="3525"/>
      <c r="Z37" s="3525"/>
      <c r="AA37" s="3525"/>
      <c r="AB37" s="3527"/>
      <c r="AC37" s="3529"/>
      <c r="AD37" s="3525"/>
      <c r="AE37" s="3530"/>
      <c r="AF37" s="3531"/>
      <c r="AG37" s="3527"/>
      <c r="AH37" s="3525"/>
      <c r="AI37" s="3525"/>
      <c r="AJ37" s="3527"/>
      <c r="AK37" s="3532"/>
      <c r="AL37" s="3528"/>
      <c r="AM37" s="3533"/>
      <c r="AN37" s="3534"/>
      <c r="AO37" s="3534"/>
      <c r="AP37" s="3534"/>
      <c r="AQ37" s="3534"/>
      <c r="AR37" s="3535"/>
      <c r="AS37" s="3536"/>
      <c r="AT37" s="3537"/>
      <c r="AU37" s="3536"/>
      <c r="AV37" s="3538"/>
      <c r="AW37" s="3536"/>
      <c r="AX37" s="3538"/>
      <c r="AY37" s="3536"/>
      <c r="AZ37" s="3538"/>
      <c r="BA37" s="3536"/>
      <c r="BB37" s="3538"/>
      <c r="BC37" s="3536"/>
      <c r="BD37" s="3538"/>
      <c r="BE37" s="3536"/>
      <c r="BF37" s="3538"/>
      <c r="BG37" s="3536"/>
      <c r="BH37" s="3538"/>
      <c r="BI37" s="3539"/>
      <c r="BJ37" s="3539"/>
      <c r="BK37" s="3536"/>
      <c r="BL37" s="3538"/>
      <c r="BM37" s="3536"/>
      <c r="BN37" s="3538"/>
      <c r="BO37" s="3536"/>
      <c r="BP37" s="3538"/>
      <c r="BQ37" s="3536"/>
      <c r="BR37" s="3538"/>
      <c r="BS37" s="3536"/>
      <c r="BT37" s="3538"/>
      <c r="BU37" s="3536"/>
      <c r="BV37" s="3538"/>
      <c r="BW37" s="3536"/>
      <c r="BX37" s="3538"/>
      <c r="BY37" s="3536"/>
      <c r="BZ37" s="3538"/>
      <c r="CA37" s="3536"/>
      <c r="CB37" s="3538"/>
      <c r="CC37" s="3536"/>
      <c r="CD37" s="3538"/>
      <c r="CE37" s="3536"/>
      <c r="CF37" s="3538"/>
      <c r="CG37" s="3536"/>
      <c r="CH37" s="3538"/>
      <c r="CI37" s="3536"/>
      <c r="CJ37" s="3538"/>
      <c r="CK37" s="3536"/>
      <c r="CL37" s="3538"/>
      <c r="CM37" s="3536"/>
      <c r="CN37" s="3538"/>
      <c r="CO37" s="3536"/>
      <c r="CP37" s="3538"/>
      <c r="CQ37" s="3536"/>
      <c r="CR37" s="3538"/>
      <c r="CS37" s="3536"/>
      <c r="CT37" s="3538"/>
      <c r="CU37" s="3536"/>
      <c r="CV37" s="3538"/>
      <c r="CW37" s="3536"/>
      <c r="CX37" s="3538"/>
      <c r="CY37" s="3536"/>
      <c r="CZ37" s="3538"/>
      <c r="DA37" s="3536"/>
      <c r="DB37" s="3538"/>
      <c r="DC37" s="3536"/>
      <c r="DD37" s="3538"/>
      <c r="DE37" s="3536"/>
      <c r="DF37" s="3538"/>
      <c r="DG37" s="3536"/>
      <c r="DH37" s="3538"/>
      <c r="DI37" s="3536"/>
      <c r="DJ37" s="3538"/>
      <c r="DK37" s="3536"/>
      <c r="DL37" s="3538"/>
      <c r="DM37" s="3536"/>
      <c r="DN37" s="3538"/>
      <c r="DO37" s="3536"/>
      <c r="DP37" s="3538"/>
      <c r="DQ37" s="3536"/>
      <c r="DR37" s="3538"/>
      <c r="DT37" s="3536"/>
      <c r="DU37" s="3532"/>
      <c r="DV37" s="3540"/>
      <c r="DW37" s="3536"/>
      <c r="DX37" s="3532"/>
      <c r="DY37" s="3540"/>
      <c r="DZ37" s="3536"/>
      <c r="EA37" s="3532"/>
      <c r="EB37" s="3540"/>
      <c r="ED37" s="3536"/>
      <c r="EE37" s="3532"/>
      <c r="EF37" s="3540"/>
      <c r="EG37" s="3536"/>
      <c r="EH37" s="3532"/>
      <c r="EI37" s="3540"/>
      <c r="EJ37" s="3536"/>
      <c r="EK37" s="3532"/>
      <c r="EL37" s="3540"/>
      <c r="EM37" s="3536"/>
      <c r="EN37" s="3532"/>
      <c r="EO37" s="3540"/>
      <c r="EQ37" s="3536"/>
      <c r="ER37" s="3532"/>
      <c r="ES37" s="3536"/>
      <c r="ET37" s="3532"/>
      <c r="EV37" s="3536"/>
      <c r="EW37" s="3532"/>
      <c r="EX37" s="3536"/>
      <c r="EY37" s="3532"/>
      <c r="FA37" s="3536"/>
      <c r="FB37" s="3532"/>
      <c r="FC37" s="3536"/>
      <c r="FD37" s="3532"/>
      <c r="FF37" s="3536"/>
      <c r="FG37" s="3538"/>
      <c r="FH37" s="3536"/>
      <c r="FI37" s="3538"/>
      <c r="FJ37" s="3536"/>
      <c r="FK37" s="3538"/>
      <c r="FL37" s="3536"/>
      <c r="FM37" s="3538"/>
      <c r="FN37" s="3536"/>
      <c r="FO37" s="3538"/>
      <c r="FP37" s="3536"/>
      <c r="FQ37" s="3538"/>
      <c r="FR37" s="3536"/>
      <c r="FS37" s="3538"/>
      <c r="FT37" s="3536"/>
      <c r="FU37" s="3538"/>
      <c r="FW37" s="3536"/>
      <c r="FX37" s="3538"/>
      <c r="FY37" s="3536"/>
      <c r="FZ37" s="3538"/>
      <c r="GA37" s="3536"/>
      <c r="GB37" s="3538"/>
      <c r="GC37" s="3536"/>
      <c r="GD37" s="3538"/>
      <c r="GE37" s="3583"/>
      <c r="GF37" s="3583"/>
      <c r="GG37" s="3583"/>
      <c r="GH37" s="3583"/>
      <c r="GI37" s="3583"/>
      <c r="GJ37" s="3583"/>
      <c r="GK37" s="3583"/>
      <c r="GL37" s="3583"/>
      <c r="GM37" s="3583"/>
      <c r="GN37" s="3583"/>
      <c r="GO37" s="3583"/>
      <c r="GP37" s="3505">
        <v>0</v>
      </c>
      <c r="GQ37" s="3481">
        <v>0</v>
      </c>
      <c r="GR37" s="3481">
        <v>1</v>
      </c>
      <c r="GS37" s="3481">
        <v>31</v>
      </c>
      <c r="GT37" s="3505">
        <v>0</v>
      </c>
      <c r="GU37" s="3505">
        <v>0</v>
      </c>
      <c r="GV37" s="3505">
        <v>0</v>
      </c>
      <c r="GW37" s="3505">
        <v>1</v>
      </c>
    </row>
    <row r="38" spans="1:205">
      <c r="A38" s="3522">
        <v>34</v>
      </c>
      <c r="B38" s="3524" t="s">
        <v>106</v>
      </c>
      <c r="C38" s="3509" t="s">
        <v>106</v>
      </c>
      <c r="D38" s="3525"/>
      <c r="E38" s="3525"/>
      <c r="F38" s="3525"/>
      <c r="G38" s="3525"/>
      <c r="H38" s="3525"/>
      <c r="I38" s="3525"/>
      <c r="J38" s="3525"/>
      <c r="K38" s="3525"/>
      <c r="L38" s="3525"/>
      <c r="M38" s="3525"/>
      <c r="N38" s="3525"/>
      <c r="O38" s="3525"/>
      <c r="P38" s="3525"/>
      <c r="Q38" s="3526"/>
      <c r="R38" s="3527"/>
      <c r="S38" s="3527"/>
      <c r="T38" s="3525"/>
      <c r="U38" s="3525"/>
      <c r="V38" s="3525"/>
      <c r="W38" s="3528"/>
      <c r="X38" s="3527"/>
      <c r="Y38" s="3525"/>
      <c r="Z38" s="3525"/>
      <c r="AA38" s="3525"/>
      <c r="AB38" s="3527"/>
      <c r="AC38" s="3529"/>
      <c r="AD38" s="3525"/>
      <c r="AE38" s="3530"/>
      <c r="AF38" s="3541"/>
      <c r="AG38" s="3527"/>
      <c r="AH38" s="3525"/>
      <c r="AI38" s="3525"/>
      <c r="AJ38" s="3527"/>
      <c r="AK38" s="3532"/>
      <c r="AL38" s="3528"/>
      <c r="AM38" s="3533"/>
      <c r="AN38" s="3534"/>
      <c r="AO38" s="3534"/>
      <c r="AP38" s="3534"/>
      <c r="AQ38" s="3534"/>
      <c r="AR38" s="3535"/>
      <c r="AS38" s="3536"/>
      <c r="AT38" s="3537"/>
      <c r="AU38" s="3536"/>
      <c r="AV38" s="3538"/>
      <c r="AW38" s="3536"/>
      <c r="AX38" s="3538"/>
      <c r="AY38" s="3536"/>
      <c r="AZ38" s="3538"/>
      <c r="BA38" s="3536"/>
      <c r="BB38" s="3538"/>
      <c r="BC38" s="3536"/>
      <c r="BD38" s="3538"/>
      <c r="BE38" s="3536"/>
      <c r="BF38" s="3538"/>
      <c r="BG38" s="3536"/>
      <c r="BH38" s="3538"/>
      <c r="BI38" s="3539"/>
      <c r="BJ38" s="3539"/>
      <c r="BK38" s="3536"/>
      <c r="BL38" s="3538"/>
      <c r="BM38" s="3536"/>
      <c r="BN38" s="3538"/>
      <c r="BO38" s="3536"/>
      <c r="BP38" s="3538"/>
      <c r="BQ38" s="3536"/>
      <c r="BR38" s="3538"/>
      <c r="BS38" s="3536"/>
      <c r="BT38" s="3538"/>
      <c r="BU38" s="3536"/>
      <c r="BV38" s="3538"/>
      <c r="BW38" s="3536"/>
      <c r="BX38" s="3538"/>
      <c r="BY38" s="3536"/>
      <c r="BZ38" s="3538"/>
      <c r="CA38" s="3536"/>
      <c r="CB38" s="3538"/>
      <c r="CC38" s="3536"/>
      <c r="CD38" s="3538"/>
      <c r="CE38" s="3536"/>
      <c r="CF38" s="3538"/>
      <c r="CG38" s="3536"/>
      <c r="CH38" s="3538"/>
      <c r="CI38" s="3536"/>
      <c r="CJ38" s="3538"/>
      <c r="CK38" s="3536"/>
      <c r="CL38" s="3538"/>
      <c r="CM38" s="3536"/>
      <c r="CN38" s="3538"/>
      <c r="CO38" s="3536"/>
      <c r="CP38" s="3538"/>
      <c r="CQ38" s="3536"/>
      <c r="CR38" s="3538"/>
      <c r="CS38" s="3536"/>
      <c r="CT38" s="3538"/>
      <c r="CU38" s="3536"/>
      <c r="CV38" s="3538"/>
      <c r="CW38" s="3536"/>
      <c r="CX38" s="3538"/>
      <c r="CY38" s="3536"/>
      <c r="CZ38" s="3538"/>
      <c r="DA38" s="3536"/>
      <c r="DB38" s="3538"/>
      <c r="DC38" s="3536"/>
      <c r="DD38" s="3538"/>
      <c r="DE38" s="3536"/>
      <c r="DF38" s="3538"/>
      <c r="DG38" s="3536"/>
      <c r="DH38" s="3538"/>
      <c r="DI38" s="3536"/>
      <c r="DJ38" s="3538"/>
      <c r="DK38" s="3536"/>
      <c r="DL38" s="3538"/>
      <c r="DM38" s="3536"/>
      <c r="DN38" s="3538"/>
      <c r="DO38" s="3536"/>
      <c r="DP38" s="3538"/>
      <c r="DQ38" s="3536"/>
      <c r="DR38" s="3538"/>
      <c r="DT38" s="3536"/>
      <c r="DU38" s="3532"/>
      <c r="DV38" s="3540"/>
      <c r="DW38" s="3536"/>
      <c r="DX38" s="3532"/>
      <c r="DY38" s="3540"/>
      <c r="DZ38" s="3536"/>
      <c r="EA38" s="3532"/>
      <c r="EB38" s="3540"/>
      <c r="ED38" s="3536"/>
      <c r="EE38" s="3532"/>
      <c r="EF38" s="3540"/>
      <c r="EG38" s="3536"/>
      <c r="EH38" s="3532"/>
      <c r="EI38" s="3540"/>
      <c r="EJ38" s="3536"/>
      <c r="EK38" s="3532"/>
      <c r="EL38" s="3540"/>
      <c r="EM38" s="3536"/>
      <c r="EN38" s="3532"/>
      <c r="EO38" s="3540"/>
      <c r="EQ38" s="3536"/>
      <c r="ER38" s="3532"/>
      <c r="ES38" s="3536"/>
      <c r="ET38" s="3532"/>
      <c r="EV38" s="3536"/>
      <c r="EW38" s="3532"/>
      <c r="EX38" s="3536"/>
      <c r="EY38" s="3532"/>
      <c r="FA38" s="3536"/>
      <c r="FB38" s="3532"/>
      <c r="FC38" s="3536"/>
      <c r="FD38" s="3532"/>
      <c r="FF38" s="3536"/>
      <c r="FG38" s="3538"/>
      <c r="FH38" s="3536"/>
      <c r="FI38" s="3538"/>
      <c r="FJ38" s="3536"/>
      <c r="FK38" s="3538"/>
      <c r="FL38" s="3536"/>
      <c r="FM38" s="3538"/>
      <c r="FN38" s="3536"/>
      <c r="FO38" s="3538"/>
      <c r="FP38" s="3536"/>
      <c r="FQ38" s="3538"/>
      <c r="FR38" s="3536"/>
      <c r="FS38" s="3538"/>
      <c r="FT38" s="3536"/>
      <c r="FU38" s="3538"/>
      <c r="FW38" s="3536"/>
      <c r="FX38" s="3538"/>
      <c r="FY38" s="3536"/>
      <c r="FZ38" s="3538"/>
      <c r="GA38" s="3536"/>
      <c r="GB38" s="3538"/>
      <c r="GC38" s="3536"/>
      <c r="GD38" s="3538"/>
      <c r="GE38" s="3583"/>
      <c r="GF38" s="3583"/>
      <c r="GG38" s="3583"/>
      <c r="GH38" s="3583"/>
      <c r="GI38" s="3583"/>
      <c r="GJ38" s="3583"/>
      <c r="GK38" s="3583"/>
      <c r="GL38" s="3583"/>
      <c r="GM38" s="3583"/>
      <c r="GN38" s="3583"/>
      <c r="GO38" s="3583"/>
    </row>
    <row r="39" spans="1:205">
      <c r="A39" s="3522">
        <v>35</v>
      </c>
      <c r="B39" s="3524" t="s">
        <v>106</v>
      </c>
      <c r="C39" s="3509" t="s">
        <v>106</v>
      </c>
      <c r="D39" s="3525"/>
      <c r="E39" s="3525"/>
      <c r="F39" s="3525"/>
      <c r="G39" s="3525"/>
      <c r="H39" s="3525"/>
      <c r="I39" s="3525"/>
      <c r="J39" s="3525"/>
      <c r="K39" s="3525"/>
      <c r="L39" s="3525"/>
      <c r="M39" s="3525"/>
      <c r="N39" s="3525"/>
      <c r="O39" s="3525"/>
      <c r="P39" s="3525"/>
      <c r="Q39" s="3526"/>
      <c r="R39" s="3527"/>
      <c r="S39" s="3527"/>
      <c r="T39" s="3525"/>
      <c r="U39" s="3525"/>
      <c r="V39" s="3525"/>
      <c r="W39" s="3528"/>
      <c r="X39" s="3527"/>
      <c r="Y39" s="3525"/>
      <c r="Z39" s="3525"/>
      <c r="AA39" s="3525"/>
      <c r="AB39" s="3527"/>
      <c r="AC39" s="3529"/>
      <c r="AD39" s="3525"/>
      <c r="AE39" s="3530"/>
      <c r="AF39" s="3531"/>
      <c r="AG39" s="3527"/>
      <c r="AH39" s="3525"/>
      <c r="AI39" s="3525"/>
      <c r="AJ39" s="3527"/>
      <c r="AK39" s="3532"/>
      <c r="AL39" s="3528"/>
      <c r="AM39" s="3533"/>
      <c r="AN39" s="3534"/>
      <c r="AO39" s="3534"/>
      <c r="AP39" s="3534"/>
      <c r="AQ39" s="3534"/>
      <c r="AR39" s="3535"/>
      <c r="AS39" s="3536"/>
      <c r="AT39" s="3537"/>
      <c r="AU39" s="3536"/>
      <c r="AV39" s="3538"/>
      <c r="AW39" s="3536"/>
      <c r="AX39" s="3538"/>
      <c r="AY39" s="3536"/>
      <c r="AZ39" s="3538"/>
      <c r="BA39" s="3536"/>
      <c r="BB39" s="3538"/>
      <c r="BC39" s="3536"/>
      <c r="BD39" s="3538"/>
      <c r="BE39" s="3536"/>
      <c r="BF39" s="3538"/>
      <c r="BG39" s="3536"/>
      <c r="BH39" s="3538"/>
      <c r="BI39" s="3539"/>
      <c r="BJ39" s="3539"/>
      <c r="BK39" s="3536"/>
      <c r="BL39" s="3538"/>
      <c r="BM39" s="3536"/>
      <c r="BN39" s="3538"/>
      <c r="BO39" s="3536"/>
      <c r="BP39" s="3538"/>
      <c r="BQ39" s="3536"/>
      <c r="BR39" s="3538"/>
      <c r="BS39" s="3536"/>
      <c r="BT39" s="3538"/>
      <c r="BU39" s="3536"/>
      <c r="BV39" s="3538"/>
      <c r="BW39" s="3536"/>
      <c r="BX39" s="3538"/>
      <c r="BY39" s="3536"/>
      <c r="BZ39" s="3538"/>
      <c r="CA39" s="3536"/>
      <c r="CB39" s="3538"/>
      <c r="CC39" s="3536"/>
      <c r="CD39" s="3538"/>
      <c r="CE39" s="3536"/>
      <c r="CF39" s="3538"/>
      <c r="CG39" s="3536"/>
      <c r="CH39" s="3538"/>
      <c r="CI39" s="3536"/>
      <c r="CJ39" s="3538"/>
      <c r="CK39" s="3536"/>
      <c r="CL39" s="3538"/>
      <c r="CM39" s="3536"/>
      <c r="CN39" s="3538"/>
      <c r="CO39" s="3536"/>
      <c r="CP39" s="3538"/>
      <c r="CQ39" s="3536"/>
      <c r="CR39" s="3538"/>
      <c r="CS39" s="3536"/>
      <c r="CT39" s="3538"/>
      <c r="CU39" s="3536"/>
      <c r="CV39" s="3538"/>
      <c r="CW39" s="3536"/>
      <c r="CX39" s="3538"/>
      <c r="CY39" s="3536"/>
      <c r="CZ39" s="3538"/>
      <c r="DA39" s="3536"/>
      <c r="DB39" s="3538"/>
      <c r="DC39" s="3536"/>
      <c r="DD39" s="3538"/>
      <c r="DE39" s="3536"/>
      <c r="DF39" s="3538"/>
      <c r="DG39" s="3536"/>
      <c r="DH39" s="3538"/>
      <c r="DI39" s="3536"/>
      <c r="DJ39" s="3538"/>
      <c r="DK39" s="3536"/>
      <c r="DL39" s="3538"/>
      <c r="DM39" s="3536"/>
      <c r="DN39" s="3538"/>
      <c r="DO39" s="3536"/>
      <c r="DP39" s="3538"/>
      <c r="DQ39" s="3536"/>
      <c r="DR39" s="3538"/>
      <c r="DT39" s="3536"/>
      <c r="DU39" s="3532"/>
      <c r="DV39" s="3540"/>
      <c r="DW39" s="3536"/>
      <c r="DX39" s="3532"/>
      <c r="DY39" s="3540"/>
      <c r="DZ39" s="3536"/>
      <c r="EA39" s="3532"/>
      <c r="EB39" s="3540"/>
      <c r="ED39" s="3536"/>
      <c r="EE39" s="3532"/>
      <c r="EF39" s="3540"/>
      <c r="EG39" s="3536"/>
      <c r="EH39" s="3532"/>
      <c r="EI39" s="3540"/>
      <c r="EJ39" s="3536"/>
      <c r="EK39" s="3532"/>
      <c r="EL39" s="3540"/>
      <c r="EM39" s="3536"/>
      <c r="EN39" s="3532"/>
      <c r="EO39" s="3540"/>
      <c r="EQ39" s="3536"/>
      <c r="ER39" s="3532"/>
      <c r="ES39" s="3536"/>
      <c r="ET39" s="3532"/>
      <c r="EV39" s="3536"/>
      <c r="EW39" s="3532"/>
      <c r="EX39" s="3536"/>
      <c r="EY39" s="3532"/>
      <c r="FA39" s="3536"/>
      <c r="FB39" s="3532"/>
      <c r="FC39" s="3536"/>
      <c r="FD39" s="3532"/>
      <c r="FF39" s="3536"/>
      <c r="FG39" s="3538"/>
      <c r="FH39" s="3536"/>
      <c r="FI39" s="3538"/>
      <c r="FJ39" s="3536"/>
      <c r="FK39" s="3538"/>
      <c r="FL39" s="3536"/>
      <c r="FM39" s="3538"/>
      <c r="FN39" s="3536"/>
      <c r="FO39" s="3538"/>
      <c r="FP39" s="3536"/>
      <c r="FQ39" s="3538"/>
      <c r="FR39" s="3536"/>
      <c r="FS39" s="3538"/>
      <c r="FT39" s="3536"/>
      <c r="FU39" s="3538"/>
      <c r="FW39" s="3536"/>
      <c r="FX39" s="3538"/>
      <c r="FY39" s="3536"/>
      <c r="FZ39" s="3538"/>
      <c r="GA39" s="3536"/>
      <c r="GB39" s="3538"/>
      <c r="GC39" s="3536"/>
      <c r="GD39" s="3538"/>
      <c r="GE39" s="3583"/>
      <c r="GF39" s="3583"/>
      <c r="GG39" s="3583"/>
      <c r="GH39" s="3583"/>
      <c r="GI39" s="3583"/>
      <c r="GJ39" s="3583"/>
      <c r="GK39" s="3583"/>
      <c r="GL39" s="3583"/>
      <c r="GM39" s="3583"/>
      <c r="GN39" s="3583"/>
      <c r="GO39" s="3583"/>
    </row>
    <row r="40" spans="1:205">
      <c r="A40" s="3522">
        <v>36</v>
      </c>
      <c r="B40" s="3524" t="s">
        <v>106</v>
      </c>
      <c r="C40" s="3509" t="s">
        <v>106</v>
      </c>
      <c r="D40" s="3525"/>
      <c r="E40" s="3525"/>
      <c r="F40" s="3525"/>
      <c r="G40" s="3525"/>
      <c r="H40" s="3525"/>
      <c r="I40" s="3525"/>
      <c r="J40" s="3525"/>
      <c r="K40" s="3525"/>
      <c r="L40" s="3525"/>
      <c r="M40" s="3525"/>
      <c r="N40" s="3525"/>
      <c r="O40" s="3525"/>
      <c r="P40" s="3525"/>
      <c r="Q40" s="3526"/>
      <c r="R40" s="3527"/>
      <c r="S40" s="3527"/>
      <c r="T40" s="3525"/>
      <c r="U40" s="3525"/>
      <c r="V40" s="3525"/>
      <c r="W40" s="3528"/>
      <c r="X40" s="3527"/>
      <c r="Y40" s="3525"/>
      <c r="Z40" s="3525"/>
      <c r="AA40" s="3525"/>
      <c r="AB40" s="3527"/>
      <c r="AC40" s="3529"/>
      <c r="AD40" s="3542"/>
      <c r="AE40" s="3530"/>
      <c r="AF40" s="3531"/>
      <c r="AG40" s="3527"/>
      <c r="AH40" s="3525"/>
      <c r="AI40" s="3525"/>
      <c r="AJ40" s="3527"/>
      <c r="AK40" s="3532"/>
      <c r="AL40" s="3528"/>
      <c r="AM40" s="3533"/>
      <c r="AN40" s="3534"/>
      <c r="AO40" s="3534"/>
      <c r="AP40" s="3534"/>
      <c r="AQ40" s="3534"/>
      <c r="AR40" s="3535"/>
      <c r="AS40" s="3536"/>
      <c r="AT40" s="3537"/>
      <c r="AU40" s="3536"/>
      <c r="AV40" s="3538"/>
      <c r="AW40" s="3536"/>
      <c r="AX40" s="3538"/>
      <c r="AY40" s="3536"/>
      <c r="AZ40" s="3538"/>
      <c r="BA40" s="3536"/>
      <c r="BB40" s="3538"/>
      <c r="BC40" s="3536"/>
      <c r="BD40" s="3538"/>
      <c r="BE40" s="3536"/>
      <c r="BF40" s="3538"/>
      <c r="BG40" s="3536"/>
      <c r="BH40" s="3538"/>
      <c r="BI40" s="3539"/>
      <c r="BJ40" s="3539"/>
      <c r="BK40" s="3536"/>
      <c r="BL40" s="3538"/>
      <c r="BM40" s="3536"/>
      <c r="BN40" s="3538"/>
      <c r="BO40" s="3536"/>
      <c r="BP40" s="3538"/>
      <c r="BQ40" s="3536"/>
      <c r="BR40" s="3538"/>
      <c r="BS40" s="3536"/>
      <c r="BT40" s="3538"/>
      <c r="BU40" s="3536"/>
      <c r="BV40" s="3538"/>
      <c r="BW40" s="3536"/>
      <c r="BX40" s="3538"/>
      <c r="BY40" s="3536"/>
      <c r="BZ40" s="3538"/>
      <c r="CA40" s="3536"/>
      <c r="CB40" s="3538"/>
      <c r="CC40" s="3536"/>
      <c r="CD40" s="3538"/>
      <c r="CE40" s="3536"/>
      <c r="CF40" s="3538"/>
      <c r="CG40" s="3536"/>
      <c r="CH40" s="3538"/>
      <c r="CI40" s="3536"/>
      <c r="CJ40" s="3538"/>
      <c r="CK40" s="3536"/>
      <c r="CL40" s="3538"/>
      <c r="CM40" s="3536"/>
      <c r="CN40" s="3538"/>
      <c r="CO40" s="3536"/>
      <c r="CP40" s="3538"/>
      <c r="CQ40" s="3536"/>
      <c r="CR40" s="3538"/>
      <c r="CS40" s="3536"/>
      <c r="CT40" s="3538"/>
      <c r="CU40" s="3536"/>
      <c r="CV40" s="3538"/>
      <c r="CW40" s="3536"/>
      <c r="CX40" s="3538"/>
      <c r="CY40" s="3536"/>
      <c r="CZ40" s="3538"/>
      <c r="DA40" s="3536"/>
      <c r="DB40" s="3538"/>
      <c r="DC40" s="3536"/>
      <c r="DD40" s="3538"/>
      <c r="DE40" s="3536"/>
      <c r="DF40" s="3538"/>
      <c r="DG40" s="3536"/>
      <c r="DH40" s="3538"/>
      <c r="DI40" s="3536"/>
      <c r="DJ40" s="3538"/>
      <c r="DK40" s="3536"/>
      <c r="DL40" s="3538"/>
      <c r="DM40" s="3536"/>
      <c r="DN40" s="3538"/>
      <c r="DO40" s="3536"/>
      <c r="DP40" s="3538"/>
      <c r="DQ40" s="3536"/>
      <c r="DR40" s="3538"/>
      <c r="DT40" s="3536"/>
      <c r="DU40" s="3532"/>
      <c r="DV40" s="3540"/>
      <c r="DW40" s="3536"/>
      <c r="DX40" s="3532"/>
      <c r="DY40" s="3540"/>
      <c r="DZ40" s="3536"/>
      <c r="EA40" s="3532"/>
      <c r="EB40" s="3540"/>
      <c r="ED40" s="3536"/>
      <c r="EE40" s="3532"/>
      <c r="EF40" s="3540"/>
      <c r="EG40" s="3536"/>
      <c r="EH40" s="3532"/>
      <c r="EI40" s="3540"/>
      <c r="EJ40" s="3536"/>
      <c r="EK40" s="3532"/>
      <c r="EL40" s="3540"/>
      <c r="EM40" s="3536"/>
      <c r="EN40" s="3532"/>
      <c r="EO40" s="3540"/>
      <c r="EQ40" s="3536"/>
      <c r="ER40" s="3532"/>
      <c r="ES40" s="3536"/>
      <c r="ET40" s="3532"/>
      <c r="EV40" s="3536"/>
      <c r="EW40" s="3532"/>
      <c r="EX40" s="3536"/>
      <c r="EY40" s="3532"/>
      <c r="FA40" s="3536"/>
      <c r="FB40" s="3532"/>
      <c r="FC40" s="3536"/>
      <c r="FD40" s="3532"/>
      <c r="FF40" s="3536"/>
      <c r="FG40" s="3538"/>
      <c r="FH40" s="3536"/>
      <c r="FI40" s="3538"/>
      <c r="FJ40" s="3536"/>
      <c r="FK40" s="3538"/>
      <c r="FL40" s="3536"/>
      <c r="FM40" s="3538"/>
      <c r="FN40" s="3536"/>
      <c r="FO40" s="3538"/>
      <c r="FP40" s="3536"/>
      <c r="FQ40" s="3538"/>
      <c r="FR40" s="3536"/>
      <c r="FS40" s="3538"/>
      <c r="FT40" s="3536"/>
      <c r="FU40" s="3538"/>
      <c r="FW40" s="3536"/>
      <c r="FX40" s="3538"/>
      <c r="FY40" s="3536"/>
      <c r="FZ40" s="3538"/>
      <c r="GA40" s="3536"/>
      <c r="GB40" s="3538"/>
      <c r="GC40" s="3536"/>
      <c r="GD40" s="3538"/>
      <c r="GE40" s="3583"/>
      <c r="GF40" s="3583"/>
      <c r="GG40" s="3583"/>
      <c r="GH40" s="3583"/>
      <c r="GI40" s="3583"/>
      <c r="GJ40" s="3583"/>
      <c r="GK40" s="3583"/>
      <c r="GL40" s="3583"/>
      <c r="GM40" s="3583"/>
      <c r="GN40" s="3583"/>
      <c r="GO40" s="3583"/>
    </row>
    <row r="41" spans="1:205">
      <c r="A41" s="3522">
        <v>37</v>
      </c>
      <c r="B41" s="3524" t="s">
        <v>106</v>
      </c>
      <c r="C41" s="3509" t="s">
        <v>106</v>
      </c>
      <c r="D41" s="3525"/>
      <c r="E41" s="3525"/>
      <c r="F41" s="3525"/>
      <c r="G41" s="3525"/>
      <c r="H41" s="3525"/>
      <c r="I41" s="3525"/>
      <c r="J41" s="3525"/>
      <c r="K41" s="3525"/>
      <c r="L41" s="3525"/>
      <c r="M41" s="3525"/>
      <c r="N41" s="3525"/>
      <c r="O41" s="3525"/>
      <c r="P41" s="3525"/>
      <c r="Q41" s="3526"/>
      <c r="R41" s="3527"/>
      <c r="S41" s="3527"/>
      <c r="T41" s="3525"/>
      <c r="U41" s="3525"/>
      <c r="V41" s="3525"/>
      <c r="W41" s="3528"/>
      <c r="X41" s="3527"/>
      <c r="Y41" s="3525"/>
      <c r="Z41" s="3525"/>
      <c r="AA41" s="3525"/>
      <c r="AB41" s="3527"/>
      <c r="AC41" s="3529"/>
      <c r="AD41" s="3525"/>
      <c r="AE41" s="3530"/>
      <c r="AF41" s="3541"/>
      <c r="AG41" s="3527"/>
      <c r="AH41" s="3525"/>
      <c r="AI41" s="3525"/>
      <c r="AJ41" s="3527"/>
      <c r="AK41" s="3532"/>
      <c r="AL41" s="3528"/>
      <c r="AM41" s="3533"/>
      <c r="AN41" s="3534"/>
      <c r="AO41" s="3534"/>
      <c r="AP41" s="3534"/>
      <c r="AQ41" s="3534"/>
      <c r="AR41" s="3535"/>
      <c r="AS41" s="3536"/>
      <c r="AT41" s="3537"/>
      <c r="AU41" s="3536"/>
      <c r="AV41" s="3538"/>
      <c r="AW41" s="3536"/>
      <c r="AX41" s="3538"/>
      <c r="AY41" s="3536"/>
      <c r="AZ41" s="3538"/>
      <c r="BA41" s="3536"/>
      <c r="BB41" s="3538"/>
      <c r="BC41" s="3536"/>
      <c r="BD41" s="3538"/>
      <c r="BE41" s="3536"/>
      <c r="BF41" s="3538"/>
      <c r="BG41" s="3536"/>
      <c r="BH41" s="3538"/>
      <c r="BI41" s="3539"/>
      <c r="BJ41" s="3539"/>
      <c r="BK41" s="3536"/>
      <c r="BL41" s="3538"/>
      <c r="BM41" s="3536"/>
      <c r="BN41" s="3538"/>
      <c r="BO41" s="3536"/>
      <c r="BP41" s="3538"/>
      <c r="BQ41" s="3536"/>
      <c r="BR41" s="3538"/>
      <c r="BS41" s="3536"/>
      <c r="BT41" s="3538"/>
      <c r="BU41" s="3536"/>
      <c r="BV41" s="3538"/>
      <c r="BW41" s="3536"/>
      <c r="BX41" s="3538"/>
      <c r="BY41" s="3536"/>
      <c r="BZ41" s="3538"/>
      <c r="CA41" s="3536"/>
      <c r="CB41" s="3538"/>
      <c r="CC41" s="3536"/>
      <c r="CD41" s="3538"/>
      <c r="CE41" s="3536"/>
      <c r="CF41" s="3538"/>
      <c r="CG41" s="3536"/>
      <c r="CH41" s="3538"/>
      <c r="CI41" s="3536"/>
      <c r="CJ41" s="3538"/>
      <c r="CK41" s="3536"/>
      <c r="CL41" s="3538"/>
      <c r="CM41" s="3536"/>
      <c r="CN41" s="3538"/>
      <c r="CO41" s="3536"/>
      <c r="CP41" s="3538"/>
      <c r="CQ41" s="3536"/>
      <c r="CR41" s="3538"/>
      <c r="CS41" s="3536"/>
      <c r="CT41" s="3538"/>
      <c r="CU41" s="3536"/>
      <c r="CV41" s="3538"/>
      <c r="CW41" s="3536"/>
      <c r="CX41" s="3538"/>
      <c r="CY41" s="3536"/>
      <c r="CZ41" s="3538"/>
      <c r="DA41" s="3536"/>
      <c r="DB41" s="3538"/>
      <c r="DC41" s="3536"/>
      <c r="DD41" s="3538"/>
      <c r="DE41" s="3536"/>
      <c r="DF41" s="3538"/>
      <c r="DG41" s="3536"/>
      <c r="DH41" s="3538"/>
      <c r="DI41" s="3536"/>
      <c r="DJ41" s="3538"/>
      <c r="DK41" s="3536"/>
      <c r="DL41" s="3538"/>
      <c r="DM41" s="3536"/>
      <c r="DN41" s="3538"/>
      <c r="DO41" s="3536"/>
      <c r="DP41" s="3538"/>
      <c r="DQ41" s="3536"/>
      <c r="DR41" s="3538"/>
      <c r="DT41" s="3536"/>
      <c r="DU41" s="3532"/>
      <c r="DV41" s="3540"/>
      <c r="DW41" s="3536"/>
      <c r="DX41" s="3532"/>
      <c r="DY41" s="3540"/>
      <c r="DZ41" s="3536"/>
      <c r="EA41" s="3532"/>
      <c r="EB41" s="3540"/>
      <c r="ED41" s="3536"/>
      <c r="EE41" s="3532"/>
      <c r="EF41" s="3540"/>
      <c r="EG41" s="3536"/>
      <c r="EH41" s="3532"/>
      <c r="EI41" s="3540"/>
      <c r="EJ41" s="3536"/>
      <c r="EK41" s="3532"/>
      <c r="EL41" s="3540"/>
      <c r="EM41" s="3536"/>
      <c r="EN41" s="3532"/>
      <c r="EO41" s="3540"/>
      <c r="EQ41" s="3536"/>
      <c r="ER41" s="3532"/>
      <c r="ES41" s="3536"/>
      <c r="ET41" s="3532"/>
      <c r="EV41" s="3536"/>
      <c r="EW41" s="3532"/>
      <c r="EX41" s="3536"/>
      <c r="EY41" s="3532"/>
      <c r="FA41" s="3536"/>
      <c r="FB41" s="3532"/>
      <c r="FC41" s="3536"/>
      <c r="FD41" s="3532"/>
      <c r="FF41" s="3536"/>
      <c r="FG41" s="3538"/>
      <c r="FH41" s="3536"/>
      <c r="FI41" s="3538"/>
      <c r="FJ41" s="3536"/>
      <c r="FK41" s="3538"/>
      <c r="FL41" s="3536"/>
      <c r="FM41" s="3538"/>
      <c r="FN41" s="3536"/>
      <c r="FO41" s="3538"/>
      <c r="FP41" s="3536"/>
      <c r="FQ41" s="3538"/>
      <c r="FR41" s="3536"/>
      <c r="FS41" s="3538"/>
      <c r="FT41" s="3536"/>
      <c r="FU41" s="3538"/>
      <c r="FW41" s="3536"/>
      <c r="FX41" s="3538"/>
      <c r="FY41" s="3536"/>
      <c r="FZ41" s="3538"/>
      <c r="GA41" s="3536"/>
      <c r="GB41" s="3538"/>
      <c r="GC41" s="3536"/>
      <c r="GD41" s="3538"/>
      <c r="GE41" s="3583"/>
      <c r="GF41" s="3583"/>
      <c r="GG41" s="3583"/>
      <c r="GH41" s="3583"/>
      <c r="GI41" s="3583"/>
      <c r="GJ41" s="3583"/>
      <c r="GK41" s="3583"/>
      <c r="GL41" s="3583"/>
      <c r="GM41" s="3583"/>
      <c r="GN41" s="3583"/>
      <c r="GO41" s="3583"/>
    </row>
    <row r="42" spans="1:205">
      <c r="A42" s="3522">
        <v>38</v>
      </c>
      <c r="B42" s="3524" t="s">
        <v>106</v>
      </c>
      <c r="C42" s="3509" t="s">
        <v>106</v>
      </c>
      <c r="D42" s="3525"/>
      <c r="E42" s="3525"/>
      <c r="F42" s="3525"/>
      <c r="G42" s="3525"/>
      <c r="H42" s="3525"/>
      <c r="I42" s="3525"/>
      <c r="J42" s="3525"/>
      <c r="K42" s="3525"/>
      <c r="L42" s="3525"/>
      <c r="M42" s="3525"/>
      <c r="N42" s="3525"/>
      <c r="O42" s="3525"/>
      <c r="P42" s="3525"/>
      <c r="Q42" s="3526"/>
      <c r="R42" s="3527"/>
      <c r="S42" s="3527"/>
      <c r="T42" s="3525"/>
      <c r="U42" s="3525"/>
      <c r="V42" s="3525"/>
      <c r="W42" s="3528"/>
      <c r="X42" s="3527"/>
      <c r="Y42" s="3525"/>
      <c r="Z42" s="3525"/>
      <c r="AA42" s="3525"/>
      <c r="AB42" s="3527"/>
      <c r="AC42" s="3529"/>
      <c r="AD42" s="3525"/>
      <c r="AE42" s="3530"/>
      <c r="AF42" s="3531"/>
      <c r="AG42" s="3527"/>
      <c r="AH42" s="3525"/>
      <c r="AI42" s="3525"/>
      <c r="AJ42" s="3527"/>
      <c r="AK42" s="3532"/>
      <c r="AL42" s="3528"/>
      <c r="AM42" s="3533"/>
      <c r="AN42" s="3534"/>
      <c r="AO42" s="3534"/>
      <c r="AP42" s="3534"/>
      <c r="AQ42" s="3534"/>
      <c r="AR42" s="3535"/>
      <c r="AS42" s="3536"/>
      <c r="AT42" s="3537"/>
      <c r="AU42" s="3536"/>
      <c r="AV42" s="3538"/>
      <c r="AW42" s="3536"/>
      <c r="AX42" s="3538"/>
      <c r="AY42" s="3536"/>
      <c r="AZ42" s="3538"/>
      <c r="BA42" s="3536"/>
      <c r="BB42" s="3538"/>
      <c r="BC42" s="3536"/>
      <c r="BD42" s="3538"/>
      <c r="BE42" s="3536"/>
      <c r="BF42" s="3538"/>
      <c r="BG42" s="3536"/>
      <c r="BH42" s="3538"/>
      <c r="BI42" s="3539"/>
      <c r="BJ42" s="3539"/>
      <c r="BK42" s="3536"/>
      <c r="BL42" s="3538"/>
      <c r="BM42" s="3536"/>
      <c r="BN42" s="3538"/>
      <c r="BO42" s="3536"/>
      <c r="BP42" s="3538"/>
      <c r="BQ42" s="3536"/>
      <c r="BR42" s="3538"/>
      <c r="BS42" s="3536"/>
      <c r="BT42" s="3538"/>
      <c r="BU42" s="3536"/>
      <c r="BV42" s="3538"/>
      <c r="BW42" s="3536"/>
      <c r="BX42" s="3538"/>
      <c r="BY42" s="3536"/>
      <c r="BZ42" s="3538"/>
      <c r="CA42" s="3536"/>
      <c r="CB42" s="3538"/>
      <c r="CC42" s="3536"/>
      <c r="CD42" s="3538"/>
      <c r="CE42" s="3536"/>
      <c r="CF42" s="3538"/>
      <c r="CG42" s="3536"/>
      <c r="CH42" s="3538"/>
      <c r="CI42" s="3536"/>
      <c r="CJ42" s="3538"/>
      <c r="CK42" s="3536"/>
      <c r="CL42" s="3538"/>
      <c r="CM42" s="3536"/>
      <c r="CN42" s="3538"/>
      <c r="CO42" s="3536"/>
      <c r="CP42" s="3538"/>
      <c r="CQ42" s="3536"/>
      <c r="CR42" s="3538"/>
      <c r="CS42" s="3536"/>
      <c r="CT42" s="3538"/>
      <c r="CU42" s="3536"/>
      <c r="CV42" s="3538"/>
      <c r="CW42" s="3536"/>
      <c r="CX42" s="3538"/>
      <c r="CY42" s="3536"/>
      <c r="CZ42" s="3538"/>
      <c r="DA42" s="3536"/>
      <c r="DB42" s="3538"/>
      <c r="DC42" s="3536"/>
      <c r="DD42" s="3538"/>
      <c r="DE42" s="3536"/>
      <c r="DF42" s="3538"/>
      <c r="DG42" s="3536"/>
      <c r="DH42" s="3538"/>
      <c r="DI42" s="3536"/>
      <c r="DJ42" s="3538"/>
      <c r="DK42" s="3536"/>
      <c r="DL42" s="3538"/>
      <c r="DM42" s="3536"/>
      <c r="DN42" s="3538"/>
      <c r="DO42" s="3536"/>
      <c r="DP42" s="3538"/>
      <c r="DQ42" s="3536"/>
      <c r="DR42" s="3538"/>
      <c r="DT42" s="3536"/>
      <c r="DU42" s="3532"/>
      <c r="DV42" s="3540"/>
      <c r="DW42" s="3536"/>
      <c r="DX42" s="3532"/>
      <c r="DY42" s="3540"/>
      <c r="DZ42" s="3536"/>
      <c r="EA42" s="3532"/>
      <c r="EB42" s="3540"/>
      <c r="ED42" s="3536"/>
      <c r="EE42" s="3532"/>
      <c r="EF42" s="3540"/>
      <c r="EG42" s="3536"/>
      <c r="EH42" s="3532"/>
      <c r="EI42" s="3540"/>
      <c r="EJ42" s="3536"/>
      <c r="EK42" s="3532"/>
      <c r="EL42" s="3540"/>
      <c r="EM42" s="3536"/>
      <c r="EN42" s="3532"/>
      <c r="EO42" s="3540"/>
      <c r="EQ42" s="3536"/>
      <c r="ER42" s="3532"/>
      <c r="ES42" s="3536"/>
      <c r="ET42" s="3532"/>
      <c r="EV42" s="3536"/>
      <c r="EW42" s="3532"/>
      <c r="EX42" s="3536"/>
      <c r="EY42" s="3532"/>
      <c r="FA42" s="3536"/>
      <c r="FB42" s="3532"/>
      <c r="FC42" s="3536"/>
      <c r="FD42" s="3532"/>
      <c r="FF42" s="3536"/>
      <c r="FG42" s="3538"/>
      <c r="FH42" s="3536"/>
      <c r="FI42" s="3538"/>
      <c r="FJ42" s="3536"/>
      <c r="FK42" s="3538"/>
      <c r="FL42" s="3536"/>
      <c r="FM42" s="3538"/>
      <c r="FN42" s="3536"/>
      <c r="FO42" s="3538"/>
      <c r="FP42" s="3536"/>
      <c r="FQ42" s="3538"/>
      <c r="FR42" s="3536"/>
      <c r="FS42" s="3538"/>
      <c r="FT42" s="3536"/>
      <c r="FU42" s="3538"/>
      <c r="FW42" s="3536"/>
      <c r="FX42" s="3538"/>
      <c r="FY42" s="3536"/>
      <c r="FZ42" s="3538"/>
      <c r="GA42" s="3536"/>
      <c r="GB42" s="3538"/>
      <c r="GC42" s="3536"/>
      <c r="GD42" s="3538"/>
      <c r="GE42" s="3583"/>
      <c r="GF42" s="3583"/>
      <c r="GG42" s="3583"/>
      <c r="GH42" s="3583"/>
      <c r="GI42" s="3583"/>
      <c r="GJ42" s="3583"/>
      <c r="GK42" s="3583"/>
      <c r="GL42" s="3583"/>
      <c r="GM42" s="3583"/>
      <c r="GN42" s="3583"/>
      <c r="GO42" s="3583"/>
    </row>
    <row r="43" spans="1:205">
      <c r="A43" s="3522">
        <v>39</v>
      </c>
      <c r="B43" s="3524" t="s">
        <v>106</v>
      </c>
      <c r="C43" s="3509" t="s">
        <v>106</v>
      </c>
      <c r="D43" s="3525"/>
      <c r="E43" s="3525"/>
      <c r="F43" s="3525"/>
      <c r="G43" s="3525"/>
      <c r="H43" s="3525"/>
      <c r="I43" s="3525"/>
      <c r="J43" s="3525"/>
      <c r="K43" s="3525"/>
      <c r="L43" s="3525"/>
      <c r="M43" s="3525"/>
      <c r="N43" s="3525"/>
      <c r="O43" s="3525"/>
      <c r="P43" s="3525"/>
      <c r="Q43" s="3526"/>
      <c r="R43" s="3527"/>
      <c r="S43" s="3527"/>
      <c r="T43" s="3525"/>
      <c r="U43" s="3525"/>
      <c r="V43" s="3525"/>
      <c r="W43" s="3528"/>
      <c r="X43" s="3527"/>
      <c r="Y43" s="3525"/>
      <c r="Z43" s="3525"/>
      <c r="AA43" s="3525"/>
      <c r="AB43" s="3527"/>
      <c r="AC43" s="3529"/>
      <c r="AD43" s="3542"/>
      <c r="AE43" s="3530"/>
      <c r="AF43" s="3531"/>
      <c r="AG43" s="3527"/>
      <c r="AH43" s="3525"/>
      <c r="AI43" s="3525"/>
      <c r="AJ43" s="3527"/>
      <c r="AK43" s="3532"/>
      <c r="AL43" s="3528"/>
      <c r="AM43" s="3533"/>
      <c r="AN43" s="3534"/>
      <c r="AO43" s="3534"/>
      <c r="AP43" s="3534"/>
      <c r="AQ43" s="3534"/>
      <c r="AR43" s="3535"/>
      <c r="AS43" s="3536"/>
      <c r="AT43" s="3537"/>
      <c r="AU43" s="3536"/>
      <c r="AV43" s="3538"/>
      <c r="AW43" s="3536"/>
      <c r="AX43" s="3538"/>
      <c r="AY43" s="3536"/>
      <c r="AZ43" s="3538"/>
      <c r="BA43" s="3536"/>
      <c r="BB43" s="3538"/>
      <c r="BC43" s="3536"/>
      <c r="BD43" s="3538"/>
      <c r="BE43" s="3536"/>
      <c r="BF43" s="3538"/>
      <c r="BG43" s="3536"/>
      <c r="BH43" s="3538"/>
      <c r="BI43" s="3539"/>
      <c r="BJ43" s="3539"/>
      <c r="BK43" s="3536"/>
      <c r="BL43" s="3538"/>
      <c r="BM43" s="3536"/>
      <c r="BN43" s="3538"/>
      <c r="BO43" s="3536"/>
      <c r="BP43" s="3538"/>
      <c r="BQ43" s="3536"/>
      <c r="BR43" s="3538"/>
      <c r="BS43" s="3536"/>
      <c r="BT43" s="3538"/>
      <c r="BU43" s="3536"/>
      <c r="BV43" s="3538"/>
      <c r="BW43" s="3536"/>
      <c r="BX43" s="3538"/>
      <c r="BY43" s="3536"/>
      <c r="BZ43" s="3538"/>
      <c r="CA43" s="3536"/>
      <c r="CB43" s="3538"/>
      <c r="CC43" s="3536"/>
      <c r="CD43" s="3538"/>
      <c r="CE43" s="3536"/>
      <c r="CF43" s="3538"/>
      <c r="CG43" s="3536"/>
      <c r="CH43" s="3538"/>
      <c r="CI43" s="3536"/>
      <c r="CJ43" s="3538"/>
      <c r="CK43" s="3536"/>
      <c r="CL43" s="3538"/>
      <c r="CM43" s="3536"/>
      <c r="CN43" s="3538"/>
      <c r="CO43" s="3536"/>
      <c r="CP43" s="3538"/>
      <c r="CQ43" s="3536"/>
      <c r="CR43" s="3538"/>
      <c r="CS43" s="3536"/>
      <c r="CT43" s="3538"/>
      <c r="CU43" s="3536"/>
      <c r="CV43" s="3538"/>
      <c r="CW43" s="3536"/>
      <c r="CX43" s="3538"/>
      <c r="CY43" s="3536"/>
      <c r="CZ43" s="3538"/>
      <c r="DA43" s="3536"/>
      <c r="DB43" s="3538"/>
      <c r="DC43" s="3536"/>
      <c r="DD43" s="3538"/>
      <c r="DE43" s="3536"/>
      <c r="DF43" s="3538"/>
      <c r="DG43" s="3536"/>
      <c r="DH43" s="3538"/>
      <c r="DI43" s="3536"/>
      <c r="DJ43" s="3538"/>
      <c r="DK43" s="3536"/>
      <c r="DL43" s="3538"/>
      <c r="DM43" s="3536"/>
      <c r="DN43" s="3538"/>
      <c r="DO43" s="3536"/>
      <c r="DP43" s="3538"/>
      <c r="DQ43" s="3536"/>
      <c r="DR43" s="3538"/>
      <c r="DT43" s="3536"/>
      <c r="DU43" s="3532"/>
      <c r="DV43" s="3540"/>
      <c r="DW43" s="3536"/>
      <c r="DX43" s="3532"/>
      <c r="DY43" s="3540"/>
      <c r="DZ43" s="3536"/>
      <c r="EA43" s="3532"/>
      <c r="EB43" s="3540"/>
      <c r="ED43" s="3536"/>
      <c r="EE43" s="3532"/>
      <c r="EF43" s="3540"/>
      <c r="EG43" s="3536"/>
      <c r="EH43" s="3532"/>
      <c r="EI43" s="3540"/>
      <c r="EJ43" s="3536"/>
      <c r="EK43" s="3532"/>
      <c r="EL43" s="3540"/>
      <c r="EM43" s="3536"/>
      <c r="EN43" s="3532"/>
      <c r="EO43" s="3540"/>
      <c r="EQ43" s="3536"/>
      <c r="ER43" s="3532"/>
      <c r="ES43" s="3536"/>
      <c r="ET43" s="3532"/>
      <c r="EV43" s="3536"/>
      <c r="EW43" s="3532"/>
      <c r="EX43" s="3536"/>
      <c r="EY43" s="3532"/>
      <c r="FA43" s="3536"/>
      <c r="FB43" s="3532"/>
      <c r="FC43" s="3536"/>
      <c r="FD43" s="3532"/>
      <c r="FF43" s="3536"/>
      <c r="FG43" s="3538"/>
      <c r="FH43" s="3536"/>
      <c r="FI43" s="3538"/>
      <c r="FJ43" s="3536"/>
      <c r="FK43" s="3538"/>
      <c r="FL43" s="3536"/>
      <c r="FM43" s="3538"/>
      <c r="FN43" s="3536"/>
      <c r="FO43" s="3538"/>
      <c r="FP43" s="3536"/>
      <c r="FQ43" s="3538"/>
      <c r="FR43" s="3536"/>
      <c r="FS43" s="3538"/>
      <c r="FT43" s="3536"/>
      <c r="FU43" s="3538"/>
      <c r="FW43" s="3536"/>
      <c r="FX43" s="3538"/>
      <c r="FY43" s="3536"/>
      <c r="FZ43" s="3538"/>
      <c r="GA43" s="3536"/>
      <c r="GB43" s="3538"/>
      <c r="GC43" s="3536"/>
      <c r="GD43" s="3538"/>
      <c r="GE43" s="3583"/>
      <c r="GF43" s="3583"/>
      <c r="GG43" s="3583"/>
      <c r="GH43" s="3583"/>
      <c r="GI43" s="3583"/>
      <c r="GJ43" s="3583"/>
      <c r="GK43" s="3583"/>
      <c r="GL43" s="3583"/>
      <c r="GM43" s="3583"/>
      <c r="GN43" s="3583"/>
      <c r="GO43" s="3583"/>
    </row>
    <row r="44" spans="1:205">
      <c r="A44" s="3522">
        <v>40</v>
      </c>
      <c r="B44" s="3524" t="s">
        <v>106</v>
      </c>
      <c r="C44" s="3509" t="s">
        <v>106</v>
      </c>
      <c r="D44" s="3525"/>
      <c r="E44" s="3525"/>
      <c r="F44" s="3525"/>
      <c r="G44" s="3525"/>
      <c r="H44" s="3525"/>
      <c r="I44" s="3525"/>
      <c r="J44" s="3525"/>
      <c r="K44" s="3525"/>
      <c r="L44" s="3525"/>
      <c r="M44" s="3525"/>
      <c r="N44" s="3525"/>
      <c r="O44" s="3525"/>
      <c r="P44" s="3525"/>
      <c r="Q44" s="3526"/>
      <c r="R44" s="3527"/>
      <c r="S44" s="3527"/>
      <c r="T44" s="3525"/>
      <c r="U44" s="3525"/>
      <c r="V44" s="3525"/>
      <c r="W44" s="3528"/>
      <c r="X44" s="3527"/>
      <c r="Y44" s="3525"/>
      <c r="Z44" s="3525"/>
      <c r="AA44" s="3525"/>
      <c r="AB44" s="3527"/>
      <c r="AC44" s="3529"/>
      <c r="AD44" s="3542"/>
      <c r="AE44" s="3530"/>
      <c r="AF44" s="3531"/>
      <c r="AG44" s="3527"/>
      <c r="AH44" s="3525"/>
      <c r="AI44" s="3525"/>
      <c r="AJ44" s="3527"/>
      <c r="AK44" s="3532"/>
      <c r="AL44" s="3528"/>
      <c r="AM44" s="3533"/>
      <c r="AN44" s="3534"/>
      <c r="AO44" s="3534"/>
      <c r="AP44" s="3534"/>
      <c r="AQ44" s="3534"/>
      <c r="AR44" s="3535"/>
      <c r="AS44" s="3536"/>
      <c r="AT44" s="3537"/>
      <c r="AU44" s="3536"/>
      <c r="AV44" s="3538"/>
      <c r="AW44" s="3536"/>
      <c r="AX44" s="3538"/>
      <c r="AY44" s="3536"/>
      <c r="AZ44" s="3538"/>
      <c r="BA44" s="3536"/>
      <c r="BB44" s="3538"/>
      <c r="BC44" s="3536"/>
      <c r="BD44" s="3538"/>
      <c r="BE44" s="3536"/>
      <c r="BF44" s="3538"/>
      <c r="BG44" s="3536"/>
      <c r="BH44" s="3538"/>
      <c r="BI44" s="3539"/>
      <c r="BJ44" s="3539"/>
      <c r="BK44" s="3536"/>
      <c r="BL44" s="3538"/>
      <c r="BM44" s="3536"/>
      <c r="BN44" s="3538"/>
      <c r="BO44" s="3536"/>
      <c r="BP44" s="3538"/>
      <c r="BQ44" s="3536"/>
      <c r="BR44" s="3538"/>
      <c r="BS44" s="3536"/>
      <c r="BT44" s="3538"/>
      <c r="BU44" s="3536"/>
      <c r="BV44" s="3538"/>
      <c r="BW44" s="3536"/>
      <c r="BX44" s="3538"/>
      <c r="BY44" s="3536"/>
      <c r="BZ44" s="3538"/>
      <c r="CA44" s="3536"/>
      <c r="CB44" s="3538"/>
      <c r="CC44" s="3536"/>
      <c r="CD44" s="3538"/>
      <c r="CE44" s="3536"/>
      <c r="CF44" s="3538"/>
      <c r="CG44" s="3536"/>
      <c r="CH44" s="3538"/>
      <c r="CI44" s="3536"/>
      <c r="CJ44" s="3538"/>
      <c r="CK44" s="3536"/>
      <c r="CL44" s="3538"/>
      <c r="CM44" s="3536"/>
      <c r="CN44" s="3538"/>
      <c r="CO44" s="3536"/>
      <c r="CP44" s="3538"/>
      <c r="CQ44" s="3536"/>
      <c r="CR44" s="3538"/>
      <c r="CS44" s="3536"/>
      <c r="CT44" s="3538"/>
      <c r="CU44" s="3536"/>
      <c r="CV44" s="3538"/>
      <c r="CW44" s="3536"/>
      <c r="CX44" s="3538"/>
      <c r="CY44" s="3536"/>
      <c r="CZ44" s="3538"/>
      <c r="DA44" s="3536"/>
      <c r="DB44" s="3538"/>
      <c r="DC44" s="3536"/>
      <c r="DD44" s="3538"/>
      <c r="DE44" s="3536"/>
      <c r="DF44" s="3538"/>
      <c r="DG44" s="3536"/>
      <c r="DH44" s="3538"/>
      <c r="DI44" s="3536"/>
      <c r="DJ44" s="3538"/>
      <c r="DK44" s="3536"/>
      <c r="DL44" s="3538"/>
      <c r="DM44" s="3536"/>
      <c r="DN44" s="3538"/>
      <c r="DO44" s="3536"/>
      <c r="DP44" s="3538"/>
      <c r="DQ44" s="3536"/>
      <c r="DR44" s="3538"/>
      <c r="DT44" s="3536"/>
      <c r="DU44" s="3532"/>
      <c r="DV44" s="3540"/>
      <c r="DW44" s="3536"/>
      <c r="DX44" s="3532"/>
      <c r="DY44" s="3540"/>
      <c r="DZ44" s="3536"/>
      <c r="EA44" s="3532"/>
      <c r="EB44" s="3540"/>
      <c r="ED44" s="3536"/>
      <c r="EE44" s="3532"/>
      <c r="EF44" s="3540"/>
      <c r="EG44" s="3536"/>
      <c r="EH44" s="3532"/>
      <c r="EI44" s="3540"/>
      <c r="EJ44" s="3536"/>
      <c r="EK44" s="3532"/>
      <c r="EL44" s="3540"/>
      <c r="EM44" s="3536"/>
      <c r="EN44" s="3532"/>
      <c r="EO44" s="3540"/>
      <c r="EQ44" s="3536"/>
      <c r="ER44" s="3532"/>
      <c r="ES44" s="3536"/>
      <c r="ET44" s="3532"/>
      <c r="EV44" s="3536"/>
      <c r="EW44" s="3532"/>
      <c r="EX44" s="3536"/>
      <c r="EY44" s="3532"/>
      <c r="FA44" s="3536"/>
      <c r="FB44" s="3532"/>
      <c r="FC44" s="3536"/>
      <c r="FD44" s="3532"/>
      <c r="FF44" s="3536"/>
      <c r="FG44" s="3538"/>
      <c r="FH44" s="3536"/>
      <c r="FI44" s="3538"/>
      <c r="FJ44" s="3536"/>
      <c r="FK44" s="3538"/>
      <c r="FL44" s="3536"/>
      <c r="FM44" s="3538"/>
      <c r="FN44" s="3536"/>
      <c r="FO44" s="3538"/>
      <c r="FP44" s="3536"/>
      <c r="FQ44" s="3538"/>
      <c r="FR44" s="3536"/>
      <c r="FS44" s="3538"/>
      <c r="FT44" s="3536"/>
      <c r="FU44" s="3538"/>
      <c r="FW44" s="3536"/>
      <c r="FX44" s="3538"/>
      <c r="FY44" s="3536"/>
      <c r="FZ44" s="3538"/>
      <c r="GA44" s="3536"/>
      <c r="GB44" s="3538"/>
      <c r="GC44" s="3536"/>
      <c r="GD44" s="3538"/>
      <c r="GE44" s="3583"/>
      <c r="GF44" s="3583"/>
      <c r="GG44" s="3583"/>
      <c r="GH44" s="3583"/>
      <c r="GI44" s="3583"/>
      <c r="GJ44" s="3583"/>
      <c r="GK44" s="3583"/>
      <c r="GL44" s="3583"/>
      <c r="GM44" s="3583"/>
      <c r="GN44" s="3583"/>
      <c r="GO44" s="3583"/>
    </row>
    <row r="45" spans="1:205">
      <c r="A45" s="3522">
        <v>41</v>
      </c>
      <c r="B45" s="3524" t="s">
        <v>106</v>
      </c>
      <c r="C45" s="3509" t="s">
        <v>106</v>
      </c>
      <c r="D45" s="3525"/>
      <c r="E45" s="3525"/>
      <c r="F45" s="3525"/>
      <c r="G45" s="3525"/>
      <c r="H45" s="3525"/>
      <c r="I45" s="3525"/>
      <c r="J45" s="3525"/>
      <c r="K45" s="3525"/>
      <c r="L45" s="3525"/>
      <c r="M45" s="3525"/>
      <c r="N45" s="3525"/>
      <c r="O45" s="3525"/>
      <c r="P45" s="3525"/>
      <c r="Q45" s="3526"/>
      <c r="R45" s="3527"/>
      <c r="S45" s="3527"/>
      <c r="T45" s="3525"/>
      <c r="U45" s="3525"/>
      <c r="V45" s="3525"/>
      <c r="W45" s="3528"/>
      <c r="X45" s="3527"/>
      <c r="Y45" s="3525"/>
      <c r="Z45" s="3525"/>
      <c r="AA45" s="3525"/>
      <c r="AB45" s="3527"/>
      <c r="AC45" s="3529"/>
      <c r="AD45" s="3542"/>
      <c r="AE45" s="3527"/>
      <c r="AF45" s="3531"/>
      <c r="AG45" s="3527"/>
      <c r="AH45" s="3525"/>
      <c r="AI45" s="3525"/>
      <c r="AJ45" s="3527"/>
      <c r="AK45" s="3532"/>
      <c r="AL45" s="3528"/>
      <c r="AM45" s="3533"/>
      <c r="AN45" s="3534"/>
      <c r="AO45" s="3534"/>
      <c r="AP45" s="3534"/>
      <c r="AQ45" s="3534"/>
      <c r="AR45" s="3535"/>
      <c r="AS45" s="3536"/>
      <c r="AT45" s="3537"/>
      <c r="AU45" s="3536"/>
      <c r="AV45" s="3538"/>
      <c r="AW45" s="3536"/>
      <c r="AX45" s="3538"/>
      <c r="AY45" s="3536"/>
      <c r="AZ45" s="3538"/>
      <c r="BA45" s="3536"/>
      <c r="BB45" s="3538"/>
      <c r="BC45" s="3536"/>
      <c r="BD45" s="3538"/>
      <c r="BE45" s="3536"/>
      <c r="BF45" s="3538"/>
      <c r="BG45" s="3536"/>
      <c r="BH45" s="3538"/>
      <c r="BI45" s="3539"/>
      <c r="BJ45" s="3539"/>
      <c r="BK45" s="3536"/>
      <c r="BL45" s="3538"/>
      <c r="BM45" s="3536"/>
      <c r="BN45" s="3538"/>
      <c r="BO45" s="3536"/>
      <c r="BP45" s="3538"/>
      <c r="BQ45" s="3536"/>
      <c r="BR45" s="3538"/>
      <c r="BS45" s="3536"/>
      <c r="BT45" s="3538"/>
      <c r="BU45" s="3536"/>
      <c r="BV45" s="3538"/>
      <c r="BW45" s="3536"/>
      <c r="BX45" s="3538"/>
      <c r="BY45" s="3536"/>
      <c r="BZ45" s="3538"/>
      <c r="CA45" s="3536"/>
      <c r="CB45" s="3538"/>
      <c r="CC45" s="3536"/>
      <c r="CD45" s="3538"/>
      <c r="CE45" s="3536"/>
      <c r="CF45" s="3538"/>
      <c r="CG45" s="3536"/>
      <c r="CH45" s="3538"/>
      <c r="CI45" s="3536"/>
      <c r="CJ45" s="3538"/>
      <c r="CK45" s="3536"/>
      <c r="CL45" s="3538"/>
      <c r="CM45" s="3536"/>
      <c r="CN45" s="3538"/>
      <c r="CO45" s="3536"/>
      <c r="CP45" s="3538"/>
      <c r="CQ45" s="3536"/>
      <c r="CR45" s="3538"/>
      <c r="CS45" s="3536"/>
      <c r="CT45" s="3538"/>
      <c r="CU45" s="3536"/>
      <c r="CV45" s="3538"/>
      <c r="CW45" s="3536"/>
      <c r="CX45" s="3538"/>
      <c r="CY45" s="3536"/>
      <c r="CZ45" s="3538"/>
      <c r="DA45" s="3536"/>
      <c r="DB45" s="3538"/>
      <c r="DC45" s="3536"/>
      <c r="DD45" s="3538"/>
      <c r="DE45" s="3536"/>
      <c r="DF45" s="3538"/>
      <c r="DG45" s="3536"/>
      <c r="DH45" s="3538"/>
      <c r="DI45" s="3536"/>
      <c r="DJ45" s="3538"/>
      <c r="DK45" s="3536"/>
      <c r="DL45" s="3538"/>
      <c r="DM45" s="3536"/>
      <c r="DN45" s="3538"/>
      <c r="DO45" s="3536"/>
      <c r="DP45" s="3538"/>
      <c r="DQ45" s="3536"/>
      <c r="DR45" s="3538"/>
      <c r="DT45" s="3536"/>
      <c r="DU45" s="3532"/>
      <c r="DV45" s="3540"/>
      <c r="DW45" s="3536"/>
      <c r="DX45" s="3532"/>
      <c r="DY45" s="3540"/>
      <c r="DZ45" s="3536"/>
      <c r="EA45" s="3532"/>
      <c r="EB45" s="3540"/>
      <c r="ED45" s="3536"/>
      <c r="EE45" s="3532"/>
      <c r="EF45" s="3540"/>
      <c r="EG45" s="3536"/>
      <c r="EH45" s="3532"/>
      <c r="EI45" s="3540"/>
      <c r="EJ45" s="3536"/>
      <c r="EK45" s="3532"/>
      <c r="EL45" s="3540"/>
      <c r="EM45" s="3536"/>
      <c r="EN45" s="3532"/>
      <c r="EO45" s="3540"/>
      <c r="EQ45" s="3536"/>
      <c r="ER45" s="3532"/>
      <c r="ES45" s="3536"/>
      <c r="ET45" s="3532"/>
      <c r="EV45" s="3536"/>
      <c r="EW45" s="3532"/>
      <c r="EX45" s="3536"/>
      <c r="EY45" s="3532"/>
      <c r="FA45" s="3536"/>
      <c r="FB45" s="3532"/>
      <c r="FC45" s="3536"/>
      <c r="FD45" s="3532"/>
      <c r="FF45" s="3536"/>
      <c r="FG45" s="3538"/>
      <c r="FH45" s="3536"/>
      <c r="FI45" s="3538"/>
      <c r="FJ45" s="3536"/>
      <c r="FK45" s="3538"/>
      <c r="FL45" s="3536"/>
      <c r="FM45" s="3538"/>
      <c r="FN45" s="3536"/>
      <c r="FO45" s="3538"/>
      <c r="FP45" s="3536"/>
      <c r="FQ45" s="3538"/>
      <c r="FR45" s="3536"/>
      <c r="FS45" s="3538"/>
      <c r="FT45" s="3536"/>
      <c r="FU45" s="3538"/>
      <c r="FW45" s="3536"/>
      <c r="FX45" s="3538"/>
      <c r="FY45" s="3536"/>
      <c r="FZ45" s="3538"/>
      <c r="GA45" s="3536"/>
      <c r="GB45" s="3538"/>
      <c r="GC45" s="3536"/>
      <c r="GD45" s="3538"/>
      <c r="GE45" s="3583"/>
      <c r="GF45" s="3583"/>
      <c r="GG45" s="3583"/>
      <c r="GH45" s="3583"/>
      <c r="GI45" s="3583"/>
      <c r="GJ45" s="3583"/>
      <c r="GK45" s="3583"/>
      <c r="GL45" s="3583"/>
      <c r="GM45" s="3583"/>
      <c r="GN45" s="3583"/>
      <c r="GO45" s="3583"/>
    </row>
    <row r="46" spans="1:205">
      <c r="A46" s="3522">
        <v>42</v>
      </c>
      <c r="B46" s="3524" t="s">
        <v>106</v>
      </c>
      <c r="C46" s="3509" t="s">
        <v>106</v>
      </c>
      <c r="D46" s="3525"/>
      <c r="E46" s="3525"/>
      <c r="F46" s="3525"/>
      <c r="G46" s="3525"/>
      <c r="H46" s="3525"/>
      <c r="I46" s="3525"/>
      <c r="J46" s="3525"/>
      <c r="K46" s="3525"/>
      <c r="L46" s="3525"/>
      <c r="M46" s="3525"/>
      <c r="N46" s="3525"/>
      <c r="O46" s="3525"/>
      <c r="P46" s="3525"/>
      <c r="Q46" s="3526"/>
      <c r="R46" s="3527"/>
      <c r="S46" s="3527"/>
      <c r="T46" s="3525"/>
      <c r="U46" s="3525"/>
      <c r="V46" s="3525"/>
      <c r="W46" s="3528"/>
      <c r="X46" s="3527"/>
      <c r="Y46" s="3525"/>
      <c r="Z46" s="3525"/>
      <c r="AA46" s="3525"/>
      <c r="AB46" s="3527"/>
      <c r="AC46" s="3529"/>
      <c r="AD46" s="3542"/>
      <c r="AE46" s="3527"/>
      <c r="AF46" s="3531"/>
      <c r="AG46" s="3527"/>
      <c r="AH46" s="3525"/>
      <c r="AI46" s="3525"/>
      <c r="AJ46" s="3527"/>
      <c r="AK46" s="3532"/>
      <c r="AL46" s="3528"/>
      <c r="AM46" s="3533"/>
      <c r="AN46" s="3534"/>
      <c r="AO46" s="3534"/>
      <c r="AP46" s="3534"/>
      <c r="AQ46" s="3534"/>
      <c r="AR46" s="3535"/>
      <c r="AS46" s="3536"/>
      <c r="AT46" s="3537"/>
      <c r="AU46" s="3536"/>
      <c r="AV46" s="3538"/>
      <c r="AW46" s="3536"/>
      <c r="AX46" s="3538"/>
      <c r="AY46" s="3536"/>
      <c r="AZ46" s="3538"/>
      <c r="BA46" s="3536"/>
      <c r="BB46" s="3538"/>
      <c r="BC46" s="3536"/>
      <c r="BD46" s="3538"/>
      <c r="BE46" s="3536"/>
      <c r="BF46" s="3538"/>
      <c r="BG46" s="3536"/>
      <c r="BH46" s="3538"/>
      <c r="BI46" s="3539"/>
      <c r="BJ46" s="3539"/>
      <c r="BK46" s="3536"/>
      <c r="BL46" s="3538"/>
      <c r="BM46" s="3536"/>
      <c r="BN46" s="3538"/>
      <c r="BO46" s="3536"/>
      <c r="BP46" s="3538"/>
      <c r="BQ46" s="3536"/>
      <c r="BR46" s="3538"/>
      <c r="BS46" s="3536"/>
      <c r="BT46" s="3538"/>
      <c r="BU46" s="3536"/>
      <c r="BV46" s="3538"/>
      <c r="BW46" s="3536"/>
      <c r="BX46" s="3538"/>
      <c r="BY46" s="3536"/>
      <c r="BZ46" s="3538"/>
      <c r="CA46" s="3536"/>
      <c r="CB46" s="3538"/>
      <c r="CC46" s="3536"/>
      <c r="CD46" s="3538"/>
      <c r="CE46" s="3536"/>
      <c r="CF46" s="3538"/>
      <c r="CG46" s="3536"/>
      <c r="CH46" s="3538"/>
      <c r="CI46" s="3536"/>
      <c r="CJ46" s="3538"/>
      <c r="CK46" s="3536"/>
      <c r="CL46" s="3538"/>
      <c r="CM46" s="3536"/>
      <c r="CN46" s="3538"/>
      <c r="CO46" s="3536"/>
      <c r="CP46" s="3538"/>
      <c r="CQ46" s="3536"/>
      <c r="CR46" s="3538"/>
      <c r="CS46" s="3536"/>
      <c r="CT46" s="3538"/>
      <c r="CU46" s="3536"/>
      <c r="CV46" s="3538"/>
      <c r="CW46" s="3536"/>
      <c r="CX46" s="3538"/>
      <c r="CY46" s="3536"/>
      <c r="CZ46" s="3538"/>
      <c r="DA46" s="3536"/>
      <c r="DB46" s="3538"/>
      <c r="DC46" s="3536"/>
      <c r="DD46" s="3538"/>
      <c r="DE46" s="3536"/>
      <c r="DF46" s="3538"/>
      <c r="DG46" s="3536"/>
      <c r="DH46" s="3538"/>
      <c r="DI46" s="3536"/>
      <c r="DJ46" s="3538"/>
      <c r="DK46" s="3536"/>
      <c r="DL46" s="3538"/>
      <c r="DM46" s="3536"/>
      <c r="DN46" s="3538"/>
      <c r="DO46" s="3536"/>
      <c r="DP46" s="3538"/>
      <c r="DQ46" s="3536"/>
      <c r="DR46" s="3538"/>
      <c r="DT46" s="3536"/>
      <c r="DU46" s="3532"/>
      <c r="DV46" s="3540"/>
      <c r="DW46" s="3536"/>
      <c r="DX46" s="3532"/>
      <c r="DY46" s="3540"/>
      <c r="DZ46" s="3536"/>
      <c r="EA46" s="3532"/>
      <c r="EB46" s="3540"/>
      <c r="ED46" s="3536"/>
      <c r="EE46" s="3532"/>
      <c r="EF46" s="3540"/>
      <c r="EG46" s="3536"/>
      <c r="EH46" s="3532"/>
      <c r="EI46" s="3540"/>
      <c r="EJ46" s="3536"/>
      <c r="EK46" s="3532"/>
      <c r="EL46" s="3540"/>
      <c r="EM46" s="3536"/>
      <c r="EN46" s="3532"/>
      <c r="EO46" s="3540"/>
      <c r="EQ46" s="3536"/>
      <c r="ER46" s="3532"/>
      <c r="ES46" s="3536"/>
      <c r="ET46" s="3532"/>
      <c r="EV46" s="3536"/>
      <c r="EW46" s="3532"/>
      <c r="EX46" s="3536"/>
      <c r="EY46" s="3532"/>
      <c r="FA46" s="3536"/>
      <c r="FB46" s="3532"/>
      <c r="FC46" s="3536"/>
      <c r="FD46" s="3532"/>
      <c r="FF46" s="3536"/>
      <c r="FG46" s="3538"/>
      <c r="FH46" s="3536"/>
      <c r="FI46" s="3538"/>
      <c r="FJ46" s="3536"/>
      <c r="FK46" s="3538"/>
      <c r="FL46" s="3536"/>
      <c r="FM46" s="3538"/>
      <c r="FN46" s="3536"/>
      <c r="FO46" s="3538"/>
      <c r="FP46" s="3536"/>
      <c r="FQ46" s="3538"/>
      <c r="FR46" s="3536"/>
      <c r="FS46" s="3538"/>
      <c r="FT46" s="3536"/>
      <c r="FU46" s="3538"/>
      <c r="FW46" s="3536"/>
      <c r="FX46" s="3538"/>
      <c r="FY46" s="3536"/>
      <c r="FZ46" s="3538"/>
      <c r="GA46" s="3536"/>
      <c r="GB46" s="3538"/>
      <c r="GC46" s="3536"/>
      <c r="GD46" s="3538"/>
      <c r="GE46" s="3583"/>
      <c r="GF46" s="3583"/>
      <c r="GG46" s="3583"/>
      <c r="GH46" s="3583"/>
      <c r="GI46" s="3583"/>
      <c r="GJ46" s="3583"/>
      <c r="GK46" s="3583"/>
      <c r="GL46" s="3583"/>
      <c r="GM46" s="3583"/>
      <c r="GN46" s="3583"/>
      <c r="GO46" s="3583"/>
    </row>
    <row r="47" spans="1:205">
      <c r="A47" s="3522">
        <v>43</v>
      </c>
      <c r="B47" s="3524" t="s">
        <v>106</v>
      </c>
      <c r="C47" s="3509" t="s">
        <v>106</v>
      </c>
      <c r="D47" s="3525"/>
      <c r="E47" s="3525"/>
      <c r="F47" s="3525"/>
      <c r="G47" s="3525"/>
      <c r="H47" s="3525"/>
      <c r="I47" s="3525"/>
      <c r="J47" s="3525"/>
      <c r="K47" s="3525"/>
      <c r="L47" s="3525"/>
      <c r="M47" s="3525"/>
      <c r="N47" s="3525"/>
      <c r="O47" s="3525"/>
      <c r="P47" s="3525"/>
      <c r="Q47" s="3526"/>
      <c r="R47" s="3527"/>
      <c r="S47" s="3527"/>
      <c r="T47" s="3525"/>
      <c r="U47" s="3525"/>
      <c r="V47" s="3525"/>
      <c r="W47" s="3528"/>
      <c r="X47" s="3527"/>
      <c r="Y47" s="3525"/>
      <c r="Z47" s="3525"/>
      <c r="AA47" s="3525"/>
      <c r="AB47" s="3527"/>
      <c r="AC47" s="3529"/>
      <c r="AD47" s="3525"/>
      <c r="AE47" s="3530"/>
      <c r="AF47" s="3541"/>
      <c r="AG47" s="3527"/>
      <c r="AH47" s="3525"/>
      <c r="AI47" s="3525"/>
      <c r="AJ47" s="3527"/>
      <c r="AK47" s="3532"/>
      <c r="AL47" s="3528"/>
      <c r="AM47" s="3533"/>
      <c r="AN47" s="3534"/>
      <c r="AO47" s="3534"/>
      <c r="AP47" s="3534"/>
      <c r="AQ47" s="3534"/>
      <c r="AR47" s="3535"/>
      <c r="AS47" s="3536"/>
      <c r="AT47" s="3537"/>
      <c r="AU47" s="3536"/>
      <c r="AV47" s="3538"/>
      <c r="AW47" s="3536"/>
      <c r="AX47" s="3538"/>
      <c r="AY47" s="3536"/>
      <c r="AZ47" s="3538"/>
      <c r="BA47" s="3536"/>
      <c r="BB47" s="3538"/>
      <c r="BC47" s="3536"/>
      <c r="BD47" s="3538"/>
      <c r="BE47" s="3536"/>
      <c r="BF47" s="3538"/>
      <c r="BG47" s="3536"/>
      <c r="BH47" s="3538"/>
      <c r="BI47" s="3539"/>
      <c r="BJ47" s="3539"/>
      <c r="BK47" s="3536"/>
      <c r="BL47" s="3538"/>
      <c r="BM47" s="3536"/>
      <c r="BN47" s="3538"/>
      <c r="BO47" s="3536"/>
      <c r="BP47" s="3538"/>
      <c r="BQ47" s="3536"/>
      <c r="BR47" s="3538"/>
      <c r="BS47" s="3536"/>
      <c r="BT47" s="3538"/>
      <c r="BU47" s="3536"/>
      <c r="BV47" s="3538"/>
      <c r="BW47" s="3536"/>
      <c r="BX47" s="3538"/>
      <c r="BY47" s="3536"/>
      <c r="BZ47" s="3538"/>
      <c r="CA47" s="3536"/>
      <c r="CB47" s="3538"/>
      <c r="CC47" s="3536"/>
      <c r="CD47" s="3538"/>
      <c r="CE47" s="3536"/>
      <c r="CF47" s="3538"/>
      <c r="CG47" s="3536"/>
      <c r="CH47" s="3538"/>
      <c r="CI47" s="3536"/>
      <c r="CJ47" s="3538"/>
      <c r="CK47" s="3536"/>
      <c r="CL47" s="3538"/>
      <c r="CM47" s="3536"/>
      <c r="CN47" s="3538"/>
      <c r="CO47" s="3536"/>
      <c r="CP47" s="3538"/>
      <c r="CQ47" s="3536"/>
      <c r="CR47" s="3538"/>
      <c r="CS47" s="3536"/>
      <c r="CT47" s="3538"/>
      <c r="CU47" s="3536"/>
      <c r="CV47" s="3538"/>
      <c r="CW47" s="3536"/>
      <c r="CX47" s="3538"/>
      <c r="CY47" s="3536"/>
      <c r="CZ47" s="3538"/>
      <c r="DA47" s="3536"/>
      <c r="DB47" s="3538"/>
      <c r="DC47" s="3536"/>
      <c r="DD47" s="3538"/>
      <c r="DE47" s="3536"/>
      <c r="DF47" s="3538"/>
      <c r="DG47" s="3536"/>
      <c r="DH47" s="3538"/>
      <c r="DI47" s="3536"/>
      <c r="DJ47" s="3538"/>
      <c r="DK47" s="3536"/>
      <c r="DL47" s="3538"/>
      <c r="DM47" s="3536"/>
      <c r="DN47" s="3538"/>
      <c r="DO47" s="3536"/>
      <c r="DP47" s="3538"/>
      <c r="DQ47" s="3536"/>
      <c r="DR47" s="3538"/>
      <c r="DT47" s="3536"/>
      <c r="DU47" s="3532"/>
      <c r="DV47" s="3540"/>
      <c r="DW47" s="3536"/>
      <c r="DX47" s="3532"/>
      <c r="DY47" s="3540"/>
      <c r="DZ47" s="3536"/>
      <c r="EA47" s="3532"/>
      <c r="EB47" s="3540"/>
      <c r="ED47" s="3536"/>
      <c r="EE47" s="3532"/>
      <c r="EF47" s="3540"/>
      <c r="EG47" s="3536"/>
      <c r="EH47" s="3532"/>
      <c r="EI47" s="3540"/>
      <c r="EJ47" s="3536"/>
      <c r="EK47" s="3532"/>
      <c r="EL47" s="3540"/>
      <c r="EM47" s="3536"/>
      <c r="EN47" s="3532"/>
      <c r="EO47" s="3540"/>
      <c r="EQ47" s="3536"/>
      <c r="ER47" s="3532"/>
      <c r="ES47" s="3536"/>
      <c r="ET47" s="3532"/>
      <c r="EV47" s="3536"/>
      <c r="EW47" s="3532"/>
      <c r="EX47" s="3536"/>
      <c r="EY47" s="3532"/>
      <c r="FA47" s="3536"/>
      <c r="FB47" s="3532"/>
      <c r="FC47" s="3536"/>
      <c r="FD47" s="3532"/>
      <c r="FF47" s="3536"/>
      <c r="FG47" s="3538"/>
      <c r="FH47" s="3536"/>
      <c r="FI47" s="3538"/>
      <c r="FJ47" s="3536"/>
      <c r="FK47" s="3538"/>
      <c r="FL47" s="3536"/>
      <c r="FM47" s="3538"/>
      <c r="FN47" s="3536"/>
      <c r="FO47" s="3538"/>
      <c r="FP47" s="3536"/>
      <c r="FQ47" s="3538"/>
      <c r="FR47" s="3536"/>
      <c r="FS47" s="3538"/>
      <c r="FT47" s="3536"/>
      <c r="FU47" s="3538"/>
      <c r="FW47" s="3536"/>
      <c r="FX47" s="3538"/>
      <c r="FY47" s="3536"/>
      <c r="FZ47" s="3538"/>
      <c r="GA47" s="3536"/>
      <c r="GB47" s="3538"/>
      <c r="GC47" s="3536"/>
      <c r="GD47" s="3538"/>
      <c r="GE47" s="3583"/>
      <c r="GF47" s="3583"/>
      <c r="GG47" s="3583"/>
      <c r="GH47" s="3583"/>
      <c r="GI47" s="3583"/>
      <c r="GJ47" s="3583"/>
      <c r="GK47" s="3583"/>
      <c r="GL47" s="3583"/>
      <c r="GM47" s="3583"/>
      <c r="GN47" s="3583"/>
      <c r="GO47" s="3583"/>
    </row>
    <row r="48" spans="1:205">
      <c r="A48" s="3522">
        <v>44</v>
      </c>
      <c r="B48" s="3524" t="s">
        <v>106</v>
      </c>
      <c r="C48" s="3509" t="s">
        <v>106</v>
      </c>
      <c r="D48" s="3525"/>
      <c r="E48" s="3525"/>
      <c r="F48" s="3525"/>
      <c r="G48" s="3525"/>
      <c r="H48" s="3525"/>
      <c r="I48" s="3525"/>
      <c r="J48" s="3525"/>
      <c r="K48" s="3525"/>
      <c r="L48" s="3525"/>
      <c r="M48" s="3525"/>
      <c r="N48" s="3525"/>
      <c r="O48" s="3525"/>
      <c r="P48" s="3525"/>
      <c r="Q48" s="3526"/>
      <c r="R48" s="3527"/>
      <c r="S48" s="3527"/>
      <c r="T48" s="3525"/>
      <c r="U48" s="3525"/>
      <c r="V48" s="3525"/>
      <c r="W48" s="3528"/>
      <c r="X48" s="3527"/>
      <c r="Y48" s="3525"/>
      <c r="Z48" s="3525"/>
      <c r="AA48" s="3525"/>
      <c r="AB48" s="3527"/>
      <c r="AC48" s="3529"/>
      <c r="AD48" s="3542"/>
      <c r="AE48" s="3527"/>
      <c r="AF48" s="3531"/>
      <c r="AG48" s="3527"/>
      <c r="AH48" s="3525"/>
      <c r="AI48" s="3525"/>
      <c r="AJ48" s="3527"/>
      <c r="AK48" s="3532"/>
      <c r="AL48" s="3528"/>
      <c r="AM48" s="3533"/>
      <c r="AN48" s="3534"/>
      <c r="AO48" s="3534"/>
      <c r="AP48" s="3534"/>
      <c r="AQ48" s="3534"/>
      <c r="AR48" s="3535"/>
      <c r="AS48" s="3536"/>
      <c r="AT48" s="3537"/>
      <c r="AU48" s="3536"/>
      <c r="AV48" s="3538"/>
      <c r="AW48" s="3536"/>
      <c r="AX48" s="3538"/>
      <c r="AY48" s="3536"/>
      <c r="AZ48" s="3538"/>
      <c r="BA48" s="3536"/>
      <c r="BB48" s="3538"/>
      <c r="BC48" s="3536"/>
      <c r="BD48" s="3538"/>
      <c r="BE48" s="3536"/>
      <c r="BF48" s="3538"/>
      <c r="BG48" s="3536"/>
      <c r="BH48" s="3538"/>
      <c r="BI48" s="3539"/>
      <c r="BJ48" s="3539"/>
      <c r="BK48" s="3536"/>
      <c r="BL48" s="3538"/>
      <c r="BM48" s="3536"/>
      <c r="BN48" s="3538"/>
      <c r="BO48" s="3536"/>
      <c r="BP48" s="3538"/>
      <c r="BQ48" s="3536"/>
      <c r="BR48" s="3538"/>
      <c r="BS48" s="3536"/>
      <c r="BT48" s="3538"/>
      <c r="BU48" s="3536"/>
      <c r="BV48" s="3538"/>
      <c r="BW48" s="3536"/>
      <c r="BX48" s="3538"/>
      <c r="BY48" s="3536"/>
      <c r="BZ48" s="3538"/>
      <c r="CA48" s="3536"/>
      <c r="CB48" s="3538"/>
      <c r="CC48" s="3536"/>
      <c r="CD48" s="3538"/>
      <c r="CE48" s="3536"/>
      <c r="CF48" s="3538"/>
      <c r="CG48" s="3536"/>
      <c r="CH48" s="3538"/>
      <c r="CI48" s="3536"/>
      <c r="CJ48" s="3538"/>
      <c r="CK48" s="3536"/>
      <c r="CL48" s="3538"/>
      <c r="CM48" s="3536"/>
      <c r="CN48" s="3538"/>
      <c r="CO48" s="3536"/>
      <c r="CP48" s="3538"/>
      <c r="CQ48" s="3536"/>
      <c r="CR48" s="3538"/>
      <c r="CS48" s="3536"/>
      <c r="CT48" s="3538"/>
      <c r="CU48" s="3536"/>
      <c r="CV48" s="3538"/>
      <c r="CW48" s="3536"/>
      <c r="CX48" s="3538"/>
      <c r="CY48" s="3536"/>
      <c r="CZ48" s="3538"/>
      <c r="DA48" s="3536"/>
      <c r="DB48" s="3538"/>
      <c r="DC48" s="3536"/>
      <c r="DD48" s="3538"/>
      <c r="DE48" s="3536"/>
      <c r="DF48" s="3538"/>
      <c r="DG48" s="3536"/>
      <c r="DH48" s="3538"/>
      <c r="DI48" s="3536"/>
      <c r="DJ48" s="3538"/>
      <c r="DK48" s="3536"/>
      <c r="DL48" s="3538"/>
      <c r="DM48" s="3536"/>
      <c r="DN48" s="3538"/>
      <c r="DO48" s="3536"/>
      <c r="DP48" s="3538"/>
      <c r="DQ48" s="3536"/>
      <c r="DR48" s="3538"/>
      <c r="DT48" s="3536"/>
      <c r="DU48" s="3532"/>
      <c r="DV48" s="3540"/>
      <c r="DW48" s="3536"/>
      <c r="DX48" s="3532"/>
      <c r="DY48" s="3540"/>
      <c r="DZ48" s="3536"/>
      <c r="EA48" s="3532"/>
      <c r="EB48" s="3540"/>
      <c r="ED48" s="3536"/>
      <c r="EE48" s="3532"/>
      <c r="EF48" s="3540"/>
      <c r="EG48" s="3536"/>
      <c r="EH48" s="3532"/>
      <c r="EI48" s="3540"/>
      <c r="EJ48" s="3536"/>
      <c r="EK48" s="3532"/>
      <c r="EL48" s="3540"/>
      <c r="EM48" s="3536"/>
      <c r="EN48" s="3532"/>
      <c r="EO48" s="3540"/>
      <c r="EQ48" s="3536"/>
      <c r="ER48" s="3532"/>
      <c r="ES48" s="3536"/>
      <c r="ET48" s="3532"/>
      <c r="EV48" s="3536"/>
      <c r="EW48" s="3532"/>
      <c r="EX48" s="3536"/>
      <c r="EY48" s="3532"/>
      <c r="FA48" s="3536"/>
      <c r="FB48" s="3532"/>
      <c r="FC48" s="3536"/>
      <c r="FD48" s="3532"/>
      <c r="FF48" s="3536"/>
      <c r="FG48" s="3538"/>
      <c r="FH48" s="3536"/>
      <c r="FI48" s="3538"/>
      <c r="FJ48" s="3536"/>
      <c r="FK48" s="3538"/>
      <c r="FL48" s="3536"/>
      <c r="FM48" s="3538"/>
      <c r="FN48" s="3536"/>
      <c r="FO48" s="3538"/>
      <c r="FP48" s="3536"/>
      <c r="FQ48" s="3538"/>
      <c r="FR48" s="3536"/>
      <c r="FS48" s="3538"/>
      <c r="FT48" s="3536"/>
      <c r="FU48" s="3538"/>
      <c r="FW48" s="3536"/>
      <c r="FX48" s="3538"/>
      <c r="FY48" s="3536"/>
      <c r="FZ48" s="3538"/>
      <c r="GA48" s="3536"/>
      <c r="GB48" s="3538"/>
      <c r="GC48" s="3536"/>
      <c r="GD48" s="3538"/>
      <c r="GE48" s="3583"/>
      <c r="GF48" s="3583"/>
      <c r="GG48" s="3583"/>
      <c r="GH48" s="3583"/>
      <c r="GI48" s="3583"/>
      <c r="GJ48" s="3583"/>
      <c r="GK48" s="3583"/>
      <c r="GL48" s="3583"/>
      <c r="GM48" s="3583"/>
      <c r="GN48" s="3583"/>
      <c r="GO48" s="3583"/>
    </row>
    <row r="49" spans="1:197">
      <c r="A49" s="3522">
        <v>45</v>
      </c>
      <c r="B49" s="3524" t="s">
        <v>106</v>
      </c>
      <c r="C49" s="3509" t="s">
        <v>106</v>
      </c>
      <c r="D49" s="3525"/>
      <c r="E49" s="3525"/>
      <c r="F49" s="3525"/>
      <c r="G49" s="3525"/>
      <c r="H49" s="3525"/>
      <c r="I49" s="3525"/>
      <c r="J49" s="3525"/>
      <c r="K49" s="3525"/>
      <c r="L49" s="3525"/>
      <c r="M49" s="3525"/>
      <c r="N49" s="3525"/>
      <c r="O49" s="3525"/>
      <c r="P49" s="3525"/>
      <c r="Q49" s="3526"/>
      <c r="R49" s="3527"/>
      <c r="S49" s="3527"/>
      <c r="T49" s="3525"/>
      <c r="U49" s="3525"/>
      <c r="V49" s="3525"/>
      <c r="W49" s="3528"/>
      <c r="X49" s="3527"/>
      <c r="Y49" s="3525"/>
      <c r="Z49" s="3525"/>
      <c r="AA49" s="3525"/>
      <c r="AB49" s="3527"/>
      <c r="AC49" s="3529"/>
      <c r="AD49" s="3525"/>
      <c r="AE49" s="3530"/>
      <c r="AF49" s="3531"/>
      <c r="AG49" s="3527"/>
      <c r="AH49" s="3525"/>
      <c r="AI49" s="3525"/>
      <c r="AJ49" s="3527"/>
      <c r="AK49" s="3532"/>
      <c r="AL49" s="3528"/>
      <c r="AM49" s="3533"/>
      <c r="AN49" s="3534"/>
      <c r="AO49" s="3534"/>
      <c r="AP49" s="3534"/>
      <c r="AQ49" s="3534"/>
      <c r="AR49" s="3535"/>
      <c r="AS49" s="3536"/>
      <c r="AT49" s="3537"/>
      <c r="AU49" s="3536"/>
      <c r="AV49" s="3538"/>
      <c r="AW49" s="3536"/>
      <c r="AX49" s="3538"/>
      <c r="AY49" s="3536"/>
      <c r="AZ49" s="3538"/>
      <c r="BA49" s="3536"/>
      <c r="BB49" s="3538"/>
      <c r="BC49" s="3536"/>
      <c r="BD49" s="3538"/>
      <c r="BE49" s="3536"/>
      <c r="BF49" s="3538"/>
      <c r="BG49" s="3536"/>
      <c r="BH49" s="3538"/>
      <c r="BI49" s="3539"/>
      <c r="BJ49" s="3539"/>
      <c r="BK49" s="3536"/>
      <c r="BL49" s="3538"/>
      <c r="BM49" s="3536"/>
      <c r="BN49" s="3538"/>
      <c r="BO49" s="3536"/>
      <c r="BP49" s="3538"/>
      <c r="BQ49" s="3536"/>
      <c r="BR49" s="3538"/>
      <c r="BS49" s="3536"/>
      <c r="BT49" s="3538"/>
      <c r="BU49" s="3536"/>
      <c r="BV49" s="3538"/>
      <c r="BW49" s="3536"/>
      <c r="BX49" s="3538"/>
      <c r="BY49" s="3536"/>
      <c r="BZ49" s="3538"/>
      <c r="CA49" s="3536"/>
      <c r="CB49" s="3538"/>
      <c r="CC49" s="3536"/>
      <c r="CD49" s="3538"/>
      <c r="CE49" s="3536"/>
      <c r="CF49" s="3538"/>
      <c r="CG49" s="3536"/>
      <c r="CH49" s="3538"/>
      <c r="CI49" s="3536"/>
      <c r="CJ49" s="3538"/>
      <c r="CK49" s="3536"/>
      <c r="CL49" s="3538"/>
      <c r="CM49" s="3536"/>
      <c r="CN49" s="3538"/>
      <c r="CO49" s="3536"/>
      <c r="CP49" s="3538"/>
      <c r="CQ49" s="3536"/>
      <c r="CR49" s="3538"/>
      <c r="CS49" s="3536"/>
      <c r="CT49" s="3538"/>
      <c r="CU49" s="3536"/>
      <c r="CV49" s="3538"/>
      <c r="CW49" s="3536"/>
      <c r="CX49" s="3538"/>
      <c r="CY49" s="3536"/>
      <c r="CZ49" s="3538"/>
      <c r="DA49" s="3536"/>
      <c r="DB49" s="3538"/>
      <c r="DC49" s="3536"/>
      <c r="DD49" s="3538"/>
      <c r="DE49" s="3536"/>
      <c r="DF49" s="3538"/>
      <c r="DG49" s="3536"/>
      <c r="DH49" s="3538"/>
      <c r="DI49" s="3536"/>
      <c r="DJ49" s="3538"/>
      <c r="DK49" s="3536"/>
      <c r="DL49" s="3538"/>
      <c r="DM49" s="3536"/>
      <c r="DN49" s="3538"/>
      <c r="DO49" s="3536"/>
      <c r="DP49" s="3538"/>
      <c r="DQ49" s="3536"/>
      <c r="DR49" s="3538"/>
      <c r="DT49" s="3536"/>
      <c r="DU49" s="3532"/>
      <c r="DV49" s="3540"/>
      <c r="DW49" s="3536"/>
      <c r="DX49" s="3532"/>
      <c r="DY49" s="3540"/>
      <c r="DZ49" s="3536"/>
      <c r="EA49" s="3532"/>
      <c r="EB49" s="3540"/>
      <c r="ED49" s="3536"/>
      <c r="EE49" s="3532"/>
      <c r="EF49" s="3540"/>
      <c r="EG49" s="3536"/>
      <c r="EH49" s="3532"/>
      <c r="EI49" s="3540"/>
      <c r="EJ49" s="3536"/>
      <c r="EK49" s="3532"/>
      <c r="EL49" s="3540"/>
      <c r="EM49" s="3536"/>
      <c r="EN49" s="3532"/>
      <c r="EO49" s="3540"/>
      <c r="EQ49" s="3536"/>
      <c r="ER49" s="3532"/>
      <c r="ES49" s="3536"/>
      <c r="ET49" s="3532"/>
      <c r="EV49" s="3536"/>
      <c r="EW49" s="3532"/>
      <c r="EX49" s="3536"/>
      <c r="EY49" s="3532"/>
      <c r="FA49" s="3536"/>
      <c r="FB49" s="3532"/>
      <c r="FC49" s="3536"/>
      <c r="FD49" s="3532"/>
      <c r="FF49" s="3536"/>
      <c r="FG49" s="3538"/>
      <c r="FH49" s="3536"/>
      <c r="FI49" s="3538"/>
      <c r="FJ49" s="3536"/>
      <c r="FK49" s="3538"/>
      <c r="FL49" s="3536"/>
      <c r="FM49" s="3538"/>
      <c r="FN49" s="3536"/>
      <c r="FO49" s="3538"/>
      <c r="FP49" s="3536"/>
      <c r="FQ49" s="3538"/>
      <c r="FR49" s="3536"/>
      <c r="FS49" s="3538"/>
      <c r="FT49" s="3536"/>
      <c r="FU49" s="3538"/>
      <c r="FW49" s="3536"/>
      <c r="FX49" s="3538"/>
      <c r="FY49" s="3536"/>
      <c r="FZ49" s="3538"/>
      <c r="GA49" s="3536"/>
      <c r="GB49" s="3538"/>
      <c r="GC49" s="3536"/>
      <c r="GD49" s="3538"/>
      <c r="GE49" s="3583"/>
      <c r="GF49" s="3583"/>
      <c r="GG49" s="3583"/>
      <c r="GH49" s="3583"/>
      <c r="GI49" s="3583"/>
      <c r="GJ49" s="3583"/>
      <c r="GK49" s="3583"/>
      <c r="GL49" s="3583"/>
      <c r="GM49" s="3583"/>
      <c r="GN49" s="3583"/>
      <c r="GO49" s="3583"/>
    </row>
    <row r="50" spans="1:197">
      <c r="A50" s="3522">
        <v>46</v>
      </c>
      <c r="B50" s="3524" t="s">
        <v>106</v>
      </c>
      <c r="C50" s="3509" t="s">
        <v>106</v>
      </c>
      <c r="D50" s="3525"/>
      <c r="E50" s="3525"/>
      <c r="F50" s="3525"/>
      <c r="G50" s="3525"/>
      <c r="H50" s="3525"/>
      <c r="I50" s="3525"/>
      <c r="J50" s="3525"/>
      <c r="K50" s="3525"/>
      <c r="L50" s="3525"/>
      <c r="M50" s="3525"/>
      <c r="N50" s="3525"/>
      <c r="O50" s="3525"/>
      <c r="P50" s="3525"/>
      <c r="Q50" s="3526"/>
      <c r="R50" s="3527"/>
      <c r="S50" s="3527"/>
      <c r="T50" s="3525"/>
      <c r="U50" s="3525"/>
      <c r="V50" s="3525"/>
      <c r="W50" s="3528"/>
      <c r="X50" s="3527"/>
      <c r="Y50" s="3525"/>
      <c r="Z50" s="3525"/>
      <c r="AA50" s="3525"/>
      <c r="AB50" s="3527"/>
      <c r="AC50" s="3529"/>
      <c r="AD50" s="3525"/>
      <c r="AE50" s="3530"/>
      <c r="AF50" s="3531"/>
      <c r="AG50" s="3527"/>
      <c r="AH50" s="3525"/>
      <c r="AI50" s="3525"/>
      <c r="AJ50" s="3527"/>
      <c r="AK50" s="3532"/>
      <c r="AL50" s="3528"/>
      <c r="AM50" s="3533"/>
      <c r="AN50" s="3534"/>
      <c r="AO50" s="3534"/>
      <c r="AP50" s="3534"/>
      <c r="AQ50" s="3534"/>
      <c r="AR50" s="3535"/>
      <c r="AS50" s="3536"/>
      <c r="AT50" s="3537"/>
      <c r="AU50" s="3536"/>
      <c r="AV50" s="3538"/>
      <c r="AW50" s="3536"/>
      <c r="AX50" s="3538"/>
      <c r="AY50" s="3536"/>
      <c r="AZ50" s="3538"/>
      <c r="BA50" s="3536"/>
      <c r="BB50" s="3538"/>
      <c r="BC50" s="3536"/>
      <c r="BD50" s="3538"/>
      <c r="BE50" s="3536"/>
      <c r="BF50" s="3538"/>
      <c r="BG50" s="3536"/>
      <c r="BH50" s="3538"/>
      <c r="BI50" s="3539"/>
      <c r="BJ50" s="3539"/>
      <c r="BK50" s="3536"/>
      <c r="BL50" s="3538"/>
      <c r="BM50" s="3536"/>
      <c r="BN50" s="3538"/>
      <c r="BO50" s="3536"/>
      <c r="BP50" s="3538"/>
      <c r="BQ50" s="3536"/>
      <c r="BR50" s="3538"/>
      <c r="BS50" s="3536"/>
      <c r="BT50" s="3538"/>
      <c r="BU50" s="3536"/>
      <c r="BV50" s="3538"/>
      <c r="BW50" s="3536"/>
      <c r="BX50" s="3538"/>
      <c r="BY50" s="3536"/>
      <c r="BZ50" s="3538"/>
      <c r="CA50" s="3536"/>
      <c r="CB50" s="3538"/>
      <c r="CC50" s="3536"/>
      <c r="CD50" s="3538"/>
      <c r="CE50" s="3536"/>
      <c r="CF50" s="3538"/>
      <c r="CG50" s="3536"/>
      <c r="CH50" s="3538"/>
      <c r="CI50" s="3536"/>
      <c r="CJ50" s="3538"/>
      <c r="CK50" s="3536"/>
      <c r="CL50" s="3538"/>
      <c r="CM50" s="3536"/>
      <c r="CN50" s="3538"/>
      <c r="CO50" s="3536"/>
      <c r="CP50" s="3538"/>
      <c r="CQ50" s="3536"/>
      <c r="CR50" s="3538"/>
      <c r="CS50" s="3536"/>
      <c r="CT50" s="3538"/>
      <c r="CU50" s="3536"/>
      <c r="CV50" s="3538"/>
      <c r="CW50" s="3536"/>
      <c r="CX50" s="3538"/>
      <c r="CY50" s="3536"/>
      <c r="CZ50" s="3538"/>
      <c r="DA50" s="3536"/>
      <c r="DB50" s="3538"/>
      <c r="DC50" s="3536"/>
      <c r="DD50" s="3538"/>
      <c r="DE50" s="3536"/>
      <c r="DF50" s="3538"/>
      <c r="DG50" s="3536"/>
      <c r="DH50" s="3538"/>
      <c r="DI50" s="3536"/>
      <c r="DJ50" s="3538"/>
      <c r="DK50" s="3536"/>
      <c r="DL50" s="3538"/>
      <c r="DM50" s="3536"/>
      <c r="DN50" s="3538"/>
      <c r="DO50" s="3536"/>
      <c r="DP50" s="3538"/>
      <c r="DQ50" s="3536"/>
      <c r="DR50" s="3538"/>
      <c r="DT50" s="3536"/>
      <c r="DU50" s="3532"/>
      <c r="DV50" s="3540"/>
      <c r="DW50" s="3536"/>
      <c r="DX50" s="3532"/>
      <c r="DY50" s="3540"/>
      <c r="DZ50" s="3536"/>
      <c r="EA50" s="3532"/>
      <c r="EB50" s="3540"/>
      <c r="ED50" s="3536"/>
      <c r="EE50" s="3532"/>
      <c r="EF50" s="3540"/>
      <c r="EG50" s="3536"/>
      <c r="EH50" s="3532"/>
      <c r="EI50" s="3540"/>
      <c r="EJ50" s="3536"/>
      <c r="EK50" s="3532"/>
      <c r="EL50" s="3540"/>
      <c r="EM50" s="3536"/>
      <c r="EN50" s="3532"/>
      <c r="EO50" s="3540"/>
      <c r="EQ50" s="3536"/>
      <c r="ER50" s="3532"/>
      <c r="ES50" s="3536"/>
      <c r="ET50" s="3532"/>
      <c r="EV50" s="3536"/>
      <c r="EW50" s="3532"/>
      <c r="EX50" s="3536"/>
      <c r="EY50" s="3532"/>
      <c r="FA50" s="3536"/>
      <c r="FB50" s="3532"/>
      <c r="FC50" s="3536"/>
      <c r="FD50" s="3532"/>
      <c r="FF50" s="3536"/>
      <c r="FG50" s="3538"/>
      <c r="FH50" s="3536"/>
      <c r="FI50" s="3538"/>
      <c r="FJ50" s="3536"/>
      <c r="FK50" s="3538"/>
      <c r="FL50" s="3536"/>
      <c r="FM50" s="3538"/>
      <c r="FN50" s="3536"/>
      <c r="FO50" s="3538"/>
      <c r="FP50" s="3536"/>
      <c r="FQ50" s="3538"/>
      <c r="FR50" s="3536"/>
      <c r="FS50" s="3538"/>
      <c r="FT50" s="3536"/>
      <c r="FU50" s="3538"/>
      <c r="FW50" s="3536"/>
      <c r="FX50" s="3538"/>
      <c r="FY50" s="3536"/>
      <c r="FZ50" s="3538"/>
      <c r="GA50" s="3536"/>
      <c r="GB50" s="3538"/>
      <c r="GC50" s="3536"/>
      <c r="GD50" s="3538"/>
      <c r="GE50" s="3583"/>
      <c r="GF50" s="3583"/>
      <c r="GG50" s="3583"/>
      <c r="GH50" s="3583"/>
      <c r="GI50" s="3583"/>
      <c r="GJ50" s="3583"/>
      <c r="GK50" s="3583"/>
      <c r="GL50" s="3583"/>
      <c r="GM50" s="3583"/>
      <c r="GN50" s="3583"/>
      <c r="GO50" s="3583"/>
    </row>
    <row r="51" spans="1:197">
      <c r="A51" s="3522">
        <v>47</v>
      </c>
      <c r="B51" s="3524" t="s">
        <v>106</v>
      </c>
      <c r="C51" s="3509" t="s">
        <v>106</v>
      </c>
      <c r="D51" s="3525"/>
      <c r="E51" s="3525"/>
      <c r="F51" s="3525"/>
      <c r="G51" s="3525"/>
      <c r="H51" s="3525"/>
      <c r="I51" s="3525"/>
      <c r="J51" s="3525"/>
      <c r="K51" s="3525"/>
      <c r="L51" s="3525"/>
      <c r="M51" s="3525"/>
      <c r="N51" s="3525"/>
      <c r="O51" s="3525"/>
      <c r="P51" s="3525"/>
      <c r="Q51" s="3526"/>
      <c r="R51" s="3527"/>
      <c r="S51" s="3527"/>
      <c r="T51" s="3525"/>
      <c r="U51" s="3525"/>
      <c r="V51" s="3525"/>
      <c r="W51" s="3528"/>
      <c r="X51" s="3527"/>
      <c r="Y51" s="3525"/>
      <c r="Z51" s="3525"/>
      <c r="AA51" s="3525"/>
      <c r="AB51" s="3527"/>
      <c r="AC51" s="3529"/>
      <c r="AD51" s="3525"/>
      <c r="AE51" s="3530"/>
      <c r="AF51" s="3531"/>
      <c r="AG51" s="3527"/>
      <c r="AH51" s="3525"/>
      <c r="AI51" s="3525"/>
      <c r="AJ51" s="3527"/>
      <c r="AK51" s="3532"/>
      <c r="AL51" s="3528"/>
      <c r="AM51" s="3533"/>
      <c r="AN51" s="3534"/>
      <c r="AO51" s="3534"/>
      <c r="AP51" s="3534"/>
      <c r="AQ51" s="3534"/>
      <c r="AR51" s="3535"/>
      <c r="AS51" s="3536"/>
      <c r="AT51" s="3537"/>
      <c r="AU51" s="3536"/>
      <c r="AV51" s="3538"/>
      <c r="AW51" s="3536"/>
      <c r="AX51" s="3538"/>
      <c r="AY51" s="3536"/>
      <c r="AZ51" s="3538"/>
      <c r="BA51" s="3536"/>
      <c r="BB51" s="3538"/>
      <c r="BC51" s="3536"/>
      <c r="BD51" s="3538"/>
      <c r="BE51" s="3536"/>
      <c r="BF51" s="3538"/>
      <c r="BG51" s="3536"/>
      <c r="BH51" s="3538"/>
      <c r="BI51" s="3539"/>
      <c r="BJ51" s="3539"/>
      <c r="BK51" s="3536"/>
      <c r="BL51" s="3538"/>
      <c r="BM51" s="3536"/>
      <c r="BN51" s="3538"/>
      <c r="BO51" s="3536"/>
      <c r="BP51" s="3538"/>
      <c r="BQ51" s="3536"/>
      <c r="BR51" s="3538"/>
      <c r="BS51" s="3536"/>
      <c r="BT51" s="3538"/>
      <c r="BU51" s="3536"/>
      <c r="BV51" s="3538"/>
      <c r="BW51" s="3536"/>
      <c r="BX51" s="3538"/>
      <c r="BY51" s="3536"/>
      <c r="BZ51" s="3538"/>
      <c r="CA51" s="3536"/>
      <c r="CB51" s="3538"/>
      <c r="CC51" s="3536"/>
      <c r="CD51" s="3538"/>
      <c r="CE51" s="3536"/>
      <c r="CF51" s="3538"/>
      <c r="CG51" s="3536"/>
      <c r="CH51" s="3538"/>
      <c r="CI51" s="3536"/>
      <c r="CJ51" s="3538"/>
      <c r="CK51" s="3536"/>
      <c r="CL51" s="3538"/>
      <c r="CM51" s="3536"/>
      <c r="CN51" s="3538"/>
      <c r="CO51" s="3536"/>
      <c r="CP51" s="3538"/>
      <c r="CQ51" s="3536"/>
      <c r="CR51" s="3538"/>
      <c r="CS51" s="3536"/>
      <c r="CT51" s="3538"/>
      <c r="CU51" s="3536"/>
      <c r="CV51" s="3538"/>
      <c r="CW51" s="3536"/>
      <c r="CX51" s="3538"/>
      <c r="CY51" s="3536"/>
      <c r="CZ51" s="3538"/>
      <c r="DA51" s="3536"/>
      <c r="DB51" s="3538"/>
      <c r="DC51" s="3536"/>
      <c r="DD51" s="3538"/>
      <c r="DE51" s="3536"/>
      <c r="DF51" s="3538"/>
      <c r="DG51" s="3536"/>
      <c r="DH51" s="3538"/>
      <c r="DI51" s="3536"/>
      <c r="DJ51" s="3538"/>
      <c r="DK51" s="3536"/>
      <c r="DL51" s="3538"/>
      <c r="DM51" s="3536"/>
      <c r="DN51" s="3538"/>
      <c r="DO51" s="3536"/>
      <c r="DP51" s="3538"/>
      <c r="DQ51" s="3536"/>
      <c r="DR51" s="3538"/>
      <c r="DT51" s="3536"/>
      <c r="DU51" s="3532"/>
      <c r="DV51" s="3540"/>
      <c r="DW51" s="3536"/>
      <c r="DX51" s="3532"/>
      <c r="DY51" s="3540"/>
      <c r="DZ51" s="3536"/>
      <c r="EA51" s="3532"/>
      <c r="EB51" s="3540"/>
      <c r="ED51" s="3536"/>
      <c r="EE51" s="3532"/>
      <c r="EF51" s="3540"/>
      <c r="EG51" s="3536"/>
      <c r="EH51" s="3532"/>
      <c r="EI51" s="3540"/>
      <c r="EJ51" s="3536"/>
      <c r="EK51" s="3532"/>
      <c r="EL51" s="3540"/>
      <c r="EM51" s="3536"/>
      <c r="EN51" s="3532"/>
      <c r="EO51" s="3540"/>
      <c r="EQ51" s="3536"/>
      <c r="ER51" s="3532"/>
      <c r="ES51" s="3536"/>
      <c r="ET51" s="3532"/>
      <c r="EV51" s="3536"/>
      <c r="EW51" s="3532"/>
      <c r="EX51" s="3536"/>
      <c r="EY51" s="3532"/>
      <c r="FA51" s="3536"/>
      <c r="FB51" s="3532"/>
      <c r="FC51" s="3536"/>
      <c r="FD51" s="3532"/>
      <c r="FF51" s="3536"/>
      <c r="FG51" s="3538"/>
      <c r="FH51" s="3536"/>
      <c r="FI51" s="3538"/>
      <c r="FJ51" s="3536"/>
      <c r="FK51" s="3538"/>
      <c r="FL51" s="3536"/>
      <c r="FM51" s="3538"/>
      <c r="FN51" s="3536"/>
      <c r="FO51" s="3538"/>
      <c r="FP51" s="3536"/>
      <c r="FQ51" s="3538"/>
      <c r="FR51" s="3536"/>
      <c r="FS51" s="3538"/>
      <c r="FT51" s="3536"/>
      <c r="FU51" s="3538"/>
      <c r="FW51" s="3536"/>
      <c r="FX51" s="3538"/>
      <c r="FY51" s="3536"/>
      <c r="FZ51" s="3538"/>
      <c r="GA51" s="3536"/>
      <c r="GB51" s="3538"/>
      <c r="GC51" s="3536"/>
      <c r="GD51" s="3538"/>
      <c r="GE51" s="3583"/>
      <c r="GF51" s="3583"/>
      <c r="GG51" s="3583"/>
      <c r="GH51" s="3583"/>
      <c r="GI51" s="3583"/>
      <c r="GJ51" s="3583"/>
      <c r="GK51" s="3583"/>
      <c r="GL51" s="3583"/>
      <c r="GM51" s="3583"/>
      <c r="GN51" s="3583"/>
      <c r="GO51" s="3583"/>
    </row>
    <row r="52" spans="1:197">
      <c r="A52" s="3522">
        <v>48</v>
      </c>
      <c r="B52" s="3524" t="s">
        <v>106</v>
      </c>
      <c r="C52" s="3509" t="s">
        <v>106</v>
      </c>
      <c r="D52" s="3525"/>
      <c r="E52" s="3525"/>
      <c r="F52" s="3525"/>
      <c r="G52" s="3525"/>
      <c r="H52" s="3525"/>
      <c r="I52" s="3525"/>
      <c r="J52" s="3525"/>
      <c r="K52" s="3525"/>
      <c r="L52" s="3525"/>
      <c r="M52" s="3525"/>
      <c r="N52" s="3525"/>
      <c r="O52" s="3525"/>
      <c r="P52" s="3525"/>
      <c r="Q52" s="3525"/>
      <c r="R52" s="3527"/>
      <c r="S52" s="3527"/>
      <c r="T52" s="3525"/>
      <c r="U52" s="3525"/>
      <c r="V52" s="3525"/>
      <c r="W52" s="3528"/>
      <c r="X52" s="3527"/>
      <c r="Y52" s="3525"/>
      <c r="Z52" s="3525"/>
      <c r="AA52" s="3525"/>
      <c r="AB52" s="3527"/>
      <c r="AC52" s="3527"/>
      <c r="AD52" s="3525"/>
      <c r="AE52" s="3530"/>
      <c r="AF52" s="3531"/>
      <c r="AG52" s="3530"/>
      <c r="AH52" s="3528"/>
      <c r="AI52" s="3528"/>
      <c r="AJ52" s="3530"/>
      <c r="AK52" s="3528"/>
      <c r="AL52" s="3528"/>
      <c r="AM52" s="3533"/>
      <c r="AN52" s="3534"/>
      <c r="AO52" s="3534"/>
      <c r="AP52" s="3534"/>
      <c r="AQ52" s="3534"/>
      <c r="AR52" s="3535"/>
      <c r="AS52" s="3543"/>
      <c r="AT52" s="3538"/>
      <c r="AU52" s="3536"/>
      <c r="AV52" s="3538"/>
      <c r="AW52" s="3536"/>
      <c r="AX52" s="3538"/>
      <c r="AY52" s="3536"/>
      <c r="AZ52" s="3538"/>
      <c r="BA52" s="3536"/>
      <c r="BB52" s="3538"/>
      <c r="BC52" s="3536"/>
      <c r="BD52" s="3538"/>
      <c r="BE52" s="3536"/>
      <c r="BF52" s="3538"/>
      <c r="BG52" s="3536"/>
      <c r="BH52" s="3538"/>
      <c r="BI52" s="3539"/>
      <c r="BJ52" s="3539"/>
      <c r="BK52" s="3536"/>
      <c r="BL52" s="3538"/>
      <c r="BM52" s="3536"/>
      <c r="BN52" s="3538"/>
      <c r="BO52" s="3536"/>
      <c r="BP52" s="3538"/>
      <c r="BQ52" s="3536"/>
      <c r="BR52" s="3538"/>
      <c r="BS52" s="3536"/>
      <c r="BT52" s="3538"/>
      <c r="BU52" s="3536"/>
      <c r="BV52" s="3538"/>
      <c r="BW52" s="3536"/>
      <c r="BX52" s="3538"/>
      <c r="BY52" s="3536"/>
      <c r="BZ52" s="3538"/>
      <c r="CA52" s="3536"/>
      <c r="CB52" s="3538"/>
      <c r="CC52" s="3536"/>
      <c r="CD52" s="3538"/>
      <c r="CE52" s="3536"/>
      <c r="CF52" s="3538"/>
      <c r="CG52" s="3536"/>
      <c r="CH52" s="3538"/>
      <c r="CI52" s="3536"/>
      <c r="CJ52" s="3538"/>
      <c r="CK52" s="3536"/>
      <c r="CL52" s="3538"/>
      <c r="CM52" s="3536"/>
      <c r="CN52" s="3538"/>
      <c r="CO52" s="3536"/>
      <c r="CP52" s="3538"/>
      <c r="CQ52" s="3536"/>
      <c r="CR52" s="3538"/>
      <c r="CS52" s="3536"/>
      <c r="CT52" s="3538"/>
      <c r="CU52" s="3536"/>
      <c r="CV52" s="3538"/>
      <c r="CW52" s="3536"/>
      <c r="CX52" s="3538"/>
      <c r="CY52" s="3536"/>
      <c r="CZ52" s="3538"/>
      <c r="DA52" s="3536"/>
      <c r="DB52" s="3538"/>
      <c r="DC52" s="3536"/>
      <c r="DD52" s="3538"/>
      <c r="DE52" s="3536"/>
      <c r="DF52" s="3538"/>
      <c r="DG52" s="3536"/>
      <c r="DH52" s="3538"/>
      <c r="DI52" s="3536"/>
      <c r="DJ52" s="3538"/>
      <c r="DK52" s="3536"/>
      <c r="DL52" s="3538"/>
      <c r="DM52" s="3536"/>
      <c r="DN52" s="3538"/>
      <c r="DO52" s="3536"/>
      <c r="DP52" s="3538"/>
      <c r="DQ52" s="3536"/>
      <c r="DR52" s="3538"/>
      <c r="DT52" s="3536"/>
      <c r="DU52" s="3532"/>
      <c r="DV52" s="3540"/>
      <c r="DW52" s="3536"/>
      <c r="DX52" s="3532"/>
      <c r="DY52" s="3540"/>
      <c r="DZ52" s="3536"/>
      <c r="EA52" s="3532"/>
      <c r="EB52" s="3540"/>
      <c r="ED52" s="3536"/>
      <c r="EE52" s="3532"/>
      <c r="EF52" s="3540"/>
      <c r="EG52" s="3536"/>
      <c r="EH52" s="3532"/>
      <c r="EI52" s="3540"/>
      <c r="EJ52" s="3536"/>
      <c r="EK52" s="3532"/>
      <c r="EL52" s="3540"/>
      <c r="EM52" s="3536"/>
      <c r="EN52" s="3532"/>
      <c r="EO52" s="3540"/>
      <c r="EQ52" s="3536"/>
      <c r="ER52" s="3532"/>
      <c r="ES52" s="3536"/>
      <c r="ET52" s="3532"/>
      <c r="EV52" s="3536"/>
      <c r="EW52" s="3532"/>
      <c r="EX52" s="3536"/>
      <c r="EY52" s="3532"/>
      <c r="FA52" s="3536"/>
      <c r="FB52" s="3532"/>
      <c r="FC52" s="3536"/>
      <c r="FD52" s="3532"/>
      <c r="FF52" s="3536"/>
      <c r="FG52" s="3538"/>
      <c r="FH52" s="3536"/>
      <c r="FI52" s="3538"/>
      <c r="FJ52" s="3536"/>
      <c r="FK52" s="3538"/>
      <c r="FL52" s="3536"/>
      <c r="FM52" s="3538"/>
      <c r="FN52" s="3536"/>
      <c r="FO52" s="3538"/>
      <c r="FP52" s="3536"/>
      <c r="FQ52" s="3538"/>
      <c r="FR52" s="3536"/>
      <c r="FS52" s="3538"/>
      <c r="FT52" s="3536"/>
      <c r="FU52" s="3538"/>
      <c r="FW52" s="3536"/>
      <c r="FX52" s="3538"/>
      <c r="FY52" s="3536"/>
      <c r="FZ52" s="3538"/>
      <c r="GA52" s="3536"/>
      <c r="GB52" s="3538"/>
      <c r="GC52" s="3536"/>
      <c r="GD52" s="3538"/>
      <c r="GE52" s="3583"/>
      <c r="GF52" s="3583"/>
      <c r="GG52" s="3583"/>
      <c r="GH52" s="3583"/>
      <c r="GI52" s="3583"/>
      <c r="GJ52" s="3583"/>
      <c r="GK52" s="3583"/>
      <c r="GL52" s="3583"/>
      <c r="GM52" s="3583"/>
      <c r="GN52" s="3583"/>
      <c r="GO52" s="3583"/>
    </row>
    <row r="53" spans="1:197">
      <c r="A53" s="3522">
        <v>49</v>
      </c>
      <c r="B53" s="3524" t="s">
        <v>106</v>
      </c>
      <c r="C53" s="3509" t="s">
        <v>106</v>
      </c>
      <c r="D53" s="3525"/>
      <c r="E53" s="3525"/>
      <c r="F53" s="3525"/>
      <c r="G53" s="3525"/>
      <c r="H53" s="3525"/>
      <c r="I53" s="3525"/>
      <c r="J53" s="3525"/>
      <c r="K53" s="3525"/>
      <c r="L53" s="3525"/>
      <c r="M53" s="3525"/>
      <c r="N53" s="3525"/>
      <c r="O53" s="3525"/>
      <c r="P53" s="3525"/>
      <c r="Q53" s="3525"/>
      <c r="R53" s="3527"/>
      <c r="S53" s="3527"/>
      <c r="T53" s="3525"/>
      <c r="U53" s="3525"/>
      <c r="V53" s="3525"/>
      <c r="W53" s="3528"/>
      <c r="X53" s="3527"/>
      <c r="Y53" s="3525"/>
      <c r="Z53" s="3525"/>
      <c r="AA53" s="3525"/>
      <c r="AB53" s="3527"/>
      <c r="AC53" s="3527"/>
      <c r="AD53" s="3525"/>
      <c r="AE53" s="3530"/>
      <c r="AF53" s="3531"/>
      <c r="AG53" s="3527"/>
      <c r="AH53" s="3525"/>
      <c r="AI53" s="3525"/>
      <c r="AJ53" s="3527"/>
      <c r="AK53" s="3525"/>
      <c r="AL53" s="3528"/>
      <c r="AM53" s="3533"/>
      <c r="AN53" s="3534"/>
      <c r="AO53" s="3534"/>
      <c r="AP53" s="3534"/>
      <c r="AQ53" s="3534"/>
      <c r="AR53" s="3535"/>
      <c r="AS53" s="3543"/>
      <c r="AT53" s="3538"/>
      <c r="AU53" s="3536"/>
      <c r="AV53" s="3538"/>
      <c r="AW53" s="3536"/>
      <c r="AX53" s="3538"/>
      <c r="AY53" s="3536"/>
      <c r="AZ53" s="3538"/>
      <c r="BA53" s="3536"/>
      <c r="BB53" s="3538"/>
      <c r="BC53" s="3536"/>
      <c r="BD53" s="3538"/>
      <c r="BE53" s="3536"/>
      <c r="BF53" s="3538"/>
      <c r="BG53" s="3536"/>
      <c r="BH53" s="3538"/>
      <c r="BI53" s="3539"/>
      <c r="BJ53" s="3539"/>
      <c r="BK53" s="3536"/>
      <c r="BL53" s="3538"/>
      <c r="BM53" s="3536"/>
      <c r="BN53" s="3538"/>
      <c r="BO53" s="3536"/>
      <c r="BP53" s="3538"/>
      <c r="BQ53" s="3536"/>
      <c r="BR53" s="3538"/>
      <c r="BS53" s="3536"/>
      <c r="BT53" s="3538"/>
      <c r="BU53" s="3536"/>
      <c r="BV53" s="3538"/>
      <c r="BW53" s="3536"/>
      <c r="BX53" s="3538"/>
      <c r="BY53" s="3536"/>
      <c r="BZ53" s="3538"/>
      <c r="CA53" s="3536"/>
      <c r="CB53" s="3538"/>
      <c r="CC53" s="3536"/>
      <c r="CD53" s="3538"/>
      <c r="CE53" s="3536"/>
      <c r="CF53" s="3538"/>
      <c r="CG53" s="3536"/>
      <c r="CH53" s="3538"/>
      <c r="CI53" s="3536"/>
      <c r="CJ53" s="3538"/>
      <c r="CK53" s="3536"/>
      <c r="CL53" s="3538"/>
      <c r="CM53" s="3536"/>
      <c r="CN53" s="3538"/>
      <c r="CO53" s="3536"/>
      <c r="CP53" s="3538"/>
      <c r="CQ53" s="3536"/>
      <c r="CR53" s="3538"/>
      <c r="CS53" s="3536"/>
      <c r="CT53" s="3538"/>
      <c r="CU53" s="3536"/>
      <c r="CV53" s="3538"/>
      <c r="CW53" s="3536"/>
      <c r="CX53" s="3538"/>
      <c r="CY53" s="3536"/>
      <c r="CZ53" s="3538"/>
      <c r="DA53" s="3536"/>
      <c r="DB53" s="3538"/>
      <c r="DC53" s="3536"/>
      <c r="DD53" s="3538"/>
      <c r="DE53" s="3536"/>
      <c r="DF53" s="3538"/>
      <c r="DG53" s="3536"/>
      <c r="DH53" s="3538"/>
      <c r="DI53" s="3536"/>
      <c r="DJ53" s="3538"/>
      <c r="DK53" s="3536"/>
      <c r="DL53" s="3538"/>
      <c r="DM53" s="3536"/>
      <c r="DN53" s="3538"/>
      <c r="DO53" s="3536"/>
      <c r="DP53" s="3538"/>
      <c r="DQ53" s="3536"/>
      <c r="DR53" s="3538"/>
      <c r="DT53" s="3536"/>
      <c r="DU53" s="3532"/>
      <c r="DV53" s="3540"/>
      <c r="DW53" s="3536"/>
      <c r="DX53" s="3532"/>
      <c r="DY53" s="3540"/>
      <c r="DZ53" s="3536"/>
      <c r="EA53" s="3532"/>
      <c r="EB53" s="3540"/>
      <c r="ED53" s="3536"/>
      <c r="EE53" s="3532"/>
      <c r="EF53" s="3540"/>
      <c r="EG53" s="3536"/>
      <c r="EH53" s="3532"/>
      <c r="EI53" s="3540"/>
      <c r="EJ53" s="3536"/>
      <c r="EK53" s="3532"/>
      <c r="EL53" s="3540"/>
      <c r="EM53" s="3536"/>
      <c r="EN53" s="3532"/>
      <c r="EO53" s="3540"/>
      <c r="EQ53" s="3536"/>
      <c r="ER53" s="3532"/>
      <c r="ES53" s="3536"/>
      <c r="ET53" s="3532"/>
      <c r="EV53" s="3536"/>
      <c r="EW53" s="3532"/>
      <c r="EX53" s="3536"/>
      <c r="EY53" s="3532"/>
      <c r="FA53" s="3536"/>
      <c r="FB53" s="3532"/>
      <c r="FC53" s="3536"/>
      <c r="FD53" s="3532"/>
      <c r="FF53" s="3536"/>
      <c r="FG53" s="3538"/>
      <c r="FH53" s="3536"/>
      <c r="FI53" s="3538"/>
      <c r="FJ53" s="3536"/>
      <c r="FK53" s="3538"/>
      <c r="FL53" s="3536"/>
      <c r="FM53" s="3538"/>
      <c r="FN53" s="3536"/>
      <c r="FO53" s="3538"/>
      <c r="FP53" s="3536"/>
      <c r="FQ53" s="3538"/>
      <c r="FR53" s="3536"/>
      <c r="FS53" s="3538"/>
      <c r="FT53" s="3536"/>
      <c r="FU53" s="3538"/>
      <c r="FW53" s="3536"/>
      <c r="FX53" s="3538"/>
      <c r="FY53" s="3536"/>
      <c r="FZ53" s="3538"/>
      <c r="GA53" s="3536"/>
      <c r="GB53" s="3538"/>
      <c r="GC53" s="3536"/>
      <c r="GD53" s="3538"/>
      <c r="GE53" s="3583"/>
      <c r="GF53" s="3583"/>
      <c r="GG53" s="3583"/>
      <c r="GH53" s="3583"/>
      <c r="GI53" s="3583"/>
      <c r="GJ53" s="3583"/>
      <c r="GK53" s="3583"/>
      <c r="GL53" s="3583"/>
      <c r="GM53" s="3583"/>
      <c r="GN53" s="3583"/>
      <c r="GO53" s="3583"/>
    </row>
    <row r="54" spans="1:197">
      <c r="A54" s="3522">
        <v>50</v>
      </c>
      <c r="B54" s="3524" t="s">
        <v>106</v>
      </c>
      <c r="C54" s="3509" t="s">
        <v>106</v>
      </c>
      <c r="D54" s="3525"/>
      <c r="E54" s="3525"/>
      <c r="F54" s="3525"/>
      <c r="G54" s="3525"/>
      <c r="H54" s="3525"/>
      <c r="I54" s="3525"/>
      <c r="J54" s="3525"/>
      <c r="K54" s="3525"/>
      <c r="L54" s="3525"/>
      <c r="M54" s="3525"/>
      <c r="N54" s="3525"/>
      <c r="O54" s="3525"/>
      <c r="P54" s="3525"/>
      <c r="Q54" s="3525"/>
      <c r="R54" s="3527"/>
      <c r="S54" s="3527"/>
      <c r="T54" s="3525"/>
      <c r="U54" s="3525"/>
      <c r="V54" s="3525"/>
      <c r="W54" s="3528"/>
      <c r="X54" s="3527"/>
      <c r="Y54" s="3525"/>
      <c r="Z54" s="3525"/>
      <c r="AA54" s="3525"/>
      <c r="AB54" s="3527"/>
      <c r="AC54" s="3527"/>
      <c r="AD54" s="3525"/>
      <c r="AE54" s="3530"/>
      <c r="AF54" s="3531"/>
      <c r="AG54" s="3530"/>
      <c r="AH54" s="3528"/>
      <c r="AI54" s="3528"/>
      <c r="AJ54" s="3530"/>
      <c r="AK54" s="3528"/>
      <c r="AL54" s="3528"/>
      <c r="AM54" s="3533"/>
      <c r="AN54" s="3534"/>
      <c r="AO54" s="3534"/>
      <c r="AP54" s="3534"/>
      <c r="AQ54" s="3534"/>
      <c r="AR54" s="3535"/>
      <c r="AS54" s="3543"/>
      <c r="AT54" s="3538"/>
      <c r="AU54" s="3536"/>
      <c r="AV54" s="3538"/>
      <c r="AW54" s="3536"/>
      <c r="AX54" s="3538"/>
      <c r="AY54" s="3536"/>
      <c r="AZ54" s="3538"/>
      <c r="BA54" s="3536"/>
      <c r="BB54" s="3538"/>
      <c r="BC54" s="3536"/>
      <c r="BD54" s="3538"/>
      <c r="BE54" s="3536"/>
      <c r="BF54" s="3538"/>
      <c r="BG54" s="3536"/>
      <c r="BH54" s="3538"/>
      <c r="BI54" s="3539"/>
      <c r="BJ54" s="3539"/>
      <c r="BK54" s="3536"/>
      <c r="BL54" s="3538"/>
      <c r="BM54" s="3536"/>
      <c r="BN54" s="3538"/>
      <c r="BO54" s="3536"/>
      <c r="BP54" s="3538"/>
      <c r="BQ54" s="3536"/>
      <c r="BR54" s="3538"/>
      <c r="BS54" s="3536"/>
      <c r="BT54" s="3538"/>
      <c r="BU54" s="3536"/>
      <c r="BV54" s="3538"/>
      <c r="BW54" s="3536"/>
      <c r="BX54" s="3538"/>
      <c r="BY54" s="3536"/>
      <c r="BZ54" s="3538"/>
      <c r="CA54" s="3536"/>
      <c r="CB54" s="3538"/>
      <c r="CC54" s="3536"/>
      <c r="CD54" s="3538"/>
      <c r="CE54" s="3536"/>
      <c r="CF54" s="3538"/>
      <c r="CG54" s="3536"/>
      <c r="CH54" s="3538"/>
      <c r="CI54" s="3536"/>
      <c r="CJ54" s="3538"/>
      <c r="CK54" s="3536"/>
      <c r="CL54" s="3538"/>
      <c r="CM54" s="3536"/>
      <c r="CN54" s="3538"/>
      <c r="CO54" s="3536"/>
      <c r="CP54" s="3538"/>
      <c r="CQ54" s="3536"/>
      <c r="CR54" s="3538"/>
      <c r="CS54" s="3536"/>
      <c r="CT54" s="3538"/>
      <c r="CU54" s="3536"/>
      <c r="CV54" s="3538"/>
      <c r="CW54" s="3536"/>
      <c r="CX54" s="3538"/>
      <c r="CY54" s="3536"/>
      <c r="CZ54" s="3538"/>
      <c r="DA54" s="3536"/>
      <c r="DB54" s="3538"/>
      <c r="DC54" s="3536"/>
      <c r="DD54" s="3538"/>
      <c r="DE54" s="3536"/>
      <c r="DF54" s="3538"/>
      <c r="DG54" s="3536"/>
      <c r="DH54" s="3538"/>
      <c r="DI54" s="3536"/>
      <c r="DJ54" s="3538"/>
      <c r="DK54" s="3536"/>
      <c r="DL54" s="3538"/>
      <c r="DM54" s="3536"/>
      <c r="DN54" s="3538"/>
      <c r="DO54" s="3536"/>
      <c r="DP54" s="3538"/>
      <c r="DQ54" s="3536"/>
      <c r="DR54" s="3538"/>
      <c r="DT54" s="3536"/>
      <c r="DU54" s="3532"/>
      <c r="DV54" s="3540"/>
      <c r="DW54" s="3536"/>
      <c r="DX54" s="3532"/>
      <c r="DY54" s="3540"/>
      <c r="DZ54" s="3536"/>
      <c r="EA54" s="3532"/>
      <c r="EB54" s="3540"/>
      <c r="ED54" s="3536"/>
      <c r="EE54" s="3532"/>
      <c r="EF54" s="3540"/>
      <c r="EG54" s="3536"/>
      <c r="EH54" s="3532"/>
      <c r="EI54" s="3540"/>
      <c r="EJ54" s="3536"/>
      <c r="EK54" s="3532"/>
      <c r="EL54" s="3540"/>
      <c r="EM54" s="3536"/>
      <c r="EN54" s="3532"/>
      <c r="EO54" s="3540"/>
      <c r="EQ54" s="3536"/>
      <c r="ER54" s="3532"/>
      <c r="ES54" s="3536"/>
      <c r="ET54" s="3532"/>
      <c r="EV54" s="3536"/>
      <c r="EW54" s="3532"/>
      <c r="EX54" s="3536"/>
      <c r="EY54" s="3532"/>
      <c r="FA54" s="3536"/>
      <c r="FB54" s="3532"/>
      <c r="FC54" s="3536"/>
      <c r="FD54" s="3532"/>
      <c r="FF54" s="3536"/>
      <c r="FG54" s="3538"/>
      <c r="FH54" s="3536"/>
      <c r="FI54" s="3538"/>
      <c r="FJ54" s="3536"/>
      <c r="FK54" s="3538"/>
      <c r="FL54" s="3536"/>
      <c r="FM54" s="3538"/>
      <c r="FN54" s="3536"/>
      <c r="FO54" s="3538"/>
      <c r="FP54" s="3536"/>
      <c r="FQ54" s="3538"/>
      <c r="FR54" s="3536"/>
      <c r="FS54" s="3538"/>
      <c r="FT54" s="3536"/>
      <c r="FU54" s="3538"/>
      <c r="FW54" s="3536"/>
      <c r="FX54" s="3538"/>
      <c r="FY54" s="3536"/>
      <c r="FZ54" s="3538"/>
      <c r="GA54" s="3536"/>
      <c r="GB54" s="3538"/>
      <c r="GC54" s="3536"/>
      <c r="GD54" s="3538"/>
      <c r="GE54" s="3583"/>
      <c r="GF54" s="3583"/>
      <c r="GG54" s="3583"/>
      <c r="GH54" s="3583"/>
      <c r="GI54" s="3583"/>
      <c r="GJ54" s="3583"/>
      <c r="GK54" s="3583"/>
      <c r="GL54" s="3583"/>
      <c r="GM54" s="3583"/>
      <c r="GN54" s="3583"/>
      <c r="GO54" s="3583"/>
    </row>
    <row r="55" spans="1:197">
      <c r="A55" s="3522">
        <v>51</v>
      </c>
      <c r="B55" s="3524" t="s">
        <v>106</v>
      </c>
      <c r="C55" s="3509" t="s">
        <v>106</v>
      </c>
      <c r="D55" s="3525"/>
      <c r="E55" s="3525"/>
      <c r="F55" s="3525"/>
      <c r="G55" s="3525"/>
      <c r="H55" s="3525"/>
      <c r="I55" s="3525"/>
      <c r="J55" s="3525"/>
      <c r="K55" s="3525"/>
      <c r="L55" s="3525"/>
      <c r="M55" s="3525"/>
      <c r="N55" s="3525"/>
      <c r="O55" s="3525"/>
      <c r="P55" s="3525"/>
      <c r="Q55" s="3526"/>
      <c r="R55" s="3527"/>
      <c r="S55" s="3527"/>
      <c r="T55" s="3525"/>
      <c r="U55" s="3525"/>
      <c r="V55" s="3525"/>
      <c r="W55" s="3528"/>
      <c r="X55" s="3527"/>
      <c r="Y55" s="3525"/>
      <c r="Z55" s="3525"/>
      <c r="AA55" s="3525"/>
      <c r="AB55" s="3527"/>
      <c r="AC55" s="3525"/>
      <c r="AD55" s="3542"/>
      <c r="AE55" s="3530"/>
      <c r="AF55" s="3531"/>
      <c r="AG55" s="3527"/>
      <c r="AH55" s="3525"/>
      <c r="AI55" s="3525"/>
      <c r="AJ55" s="3527"/>
      <c r="AK55" s="3532"/>
      <c r="AL55" s="3528"/>
      <c r="AM55" s="3533"/>
      <c r="AN55" s="3534"/>
      <c r="AO55" s="3534"/>
      <c r="AP55" s="3534"/>
      <c r="AQ55" s="3534"/>
      <c r="AR55" s="3535"/>
      <c r="AS55" s="3536"/>
      <c r="AT55" s="3537"/>
      <c r="AU55" s="3536"/>
      <c r="AV55" s="3538"/>
      <c r="AW55" s="3536"/>
      <c r="AX55" s="3538"/>
      <c r="AY55" s="3536"/>
      <c r="AZ55" s="3538"/>
      <c r="BA55" s="3536"/>
      <c r="BB55" s="3538"/>
      <c r="BC55" s="3536"/>
      <c r="BD55" s="3538"/>
      <c r="BE55" s="3536"/>
      <c r="BF55" s="3538"/>
      <c r="BG55" s="3536"/>
      <c r="BH55" s="3538"/>
      <c r="BI55" s="3539"/>
      <c r="BJ55" s="3539"/>
      <c r="BK55" s="3536"/>
      <c r="BL55" s="3538"/>
      <c r="BM55" s="3536"/>
      <c r="BN55" s="3538"/>
      <c r="BO55" s="3536"/>
      <c r="BP55" s="3538"/>
      <c r="BQ55" s="3536"/>
      <c r="BR55" s="3538"/>
      <c r="BS55" s="3536"/>
      <c r="BT55" s="3538"/>
      <c r="BU55" s="3536"/>
      <c r="BV55" s="3538"/>
      <c r="BW55" s="3536"/>
      <c r="BX55" s="3538"/>
      <c r="BY55" s="3536"/>
      <c r="BZ55" s="3538"/>
      <c r="CA55" s="3536"/>
      <c r="CB55" s="3538"/>
      <c r="CC55" s="3536"/>
      <c r="CD55" s="3538"/>
      <c r="CE55" s="3536"/>
      <c r="CF55" s="3538"/>
      <c r="CG55" s="3536"/>
      <c r="CH55" s="3538"/>
      <c r="CI55" s="3536"/>
      <c r="CJ55" s="3538"/>
      <c r="CK55" s="3536"/>
      <c r="CL55" s="3538"/>
      <c r="CM55" s="3536"/>
      <c r="CN55" s="3538"/>
      <c r="CO55" s="3536"/>
      <c r="CP55" s="3538"/>
      <c r="CQ55" s="3536"/>
      <c r="CR55" s="3538"/>
      <c r="CS55" s="3536"/>
      <c r="CT55" s="3538"/>
      <c r="CU55" s="3536"/>
      <c r="CV55" s="3538"/>
      <c r="CW55" s="3536"/>
      <c r="CX55" s="3538"/>
      <c r="CY55" s="3536"/>
      <c r="CZ55" s="3538"/>
      <c r="DA55" s="3536"/>
      <c r="DB55" s="3538"/>
      <c r="DC55" s="3536"/>
      <c r="DD55" s="3538"/>
      <c r="DE55" s="3536"/>
      <c r="DF55" s="3538"/>
      <c r="DG55" s="3536"/>
      <c r="DH55" s="3538"/>
      <c r="DI55" s="3536"/>
      <c r="DJ55" s="3538"/>
      <c r="DK55" s="3536"/>
      <c r="DL55" s="3538"/>
      <c r="DM55" s="3536"/>
      <c r="DN55" s="3538"/>
      <c r="DO55" s="3536"/>
      <c r="DP55" s="3538"/>
      <c r="DQ55" s="3536"/>
      <c r="DR55" s="3538"/>
      <c r="DT55" s="3536"/>
      <c r="DU55" s="3532"/>
      <c r="DV55" s="3540"/>
      <c r="DW55" s="3536"/>
      <c r="DX55" s="3532"/>
      <c r="DY55" s="3540"/>
      <c r="DZ55" s="3536"/>
      <c r="EA55" s="3532"/>
      <c r="EB55" s="3540"/>
      <c r="ED55" s="3536"/>
      <c r="EE55" s="3532"/>
      <c r="EF55" s="3540"/>
      <c r="EG55" s="3536"/>
      <c r="EH55" s="3532"/>
      <c r="EI55" s="3540"/>
      <c r="EJ55" s="3536"/>
      <c r="EK55" s="3532"/>
      <c r="EL55" s="3540"/>
      <c r="EM55" s="3536"/>
      <c r="EN55" s="3532"/>
      <c r="EO55" s="3540"/>
      <c r="EQ55" s="3536"/>
      <c r="ER55" s="3532"/>
      <c r="ES55" s="3536"/>
      <c r="ET55" s="3532"/>
      <c r="EV55" s="3536"/>
      <c r="EW55" s="3532"/>
      <c r="EX55" s="3536"/>
      <c r="EY55" s="3532"/>
      <c r="FA55" s="3536"/>
      <c r="FB55" s="3532"/>
      <c r="FC55" s="3536"/>
      <c r="FD55" s="3532"/>
      <c r="FF55" s="3536"/>
      <c r="FG55" s="3538"/>
      <c r="FH55" s="3536"/>
      <c r="FI55" s="3538"/>
      <c r="FJ55" s="3536"/>
      <c r="FK55" s="3538"/>
      <c r="FL55" s="3536"/>
      <c r="FM55" s="3538"/>
      <c r="FN55" s="3536"/>
      <c r="FO55" s="3538"/>
      <c r="FP55" s="3536"/>
      <c r="FQ55" s="3538"/>
      <c r="FR55" s="3536"/>
      <c r="FS55" s="3538"/>
      <c r="FT55" s="3536"/>
      <c r="FU55" s="3538"/>
      <c r="FW55" s="3536"/>
      <c r="FX55" s="3538"/>
      <c r="FY55" s="3536"/>
      <c r="FZ55" s="3538"/>
      <c r="GA55" s="3536"/>
      <c r="GB55" s="3538"/>
      <c r="GC55" s="3536"/>
      <c r="GD55" s="3538"/>
      <c r="GE55" s="3583"/>
      <c r="GF55" s="3583"/>
      <c r="GG55" s="3583"/>
      <c r="GH55" s="3583"/>
      <c r="GI55" s="3583"/>
      <c r="GJ55" s="3583"/>
      <c r="GK55" s="3583"/>
      <c r="GL55" s="3583"/>
      <c r="GM55" s="3583"/>
      <c r="GN55" s="3583"/>
      <c r="GO55" s="3583"/>
    </row>
    <row r="56" spans="1:197">
      <c r="A56" s="3522">
        <v>52</v>
      </c>
      <c r="B56" s="3524" t="s">
        <v>106</v>
      </c>
      <c r="C56" s="3509" t="s">
        <v>106</v>
      </c>
      <c r="D56" s="3525"/>
      <c r="E56" s="3525"/>
      <c r="F56" s="3525"/>
      <c r="G56" s="3525"/>
      <c r="H56" s="3525"/>
      <c r="I56" s="3525"/>
      <c r="J56" s="3525"/>
      <c r="K56" s="3525"/>
      <c r="L56" s="3525"/>
      <c r="M56" s="3525"/>
      <c r="N56" s="3525"/>
      <c r="O56" s="3525"/>
      <c r="P56" s="3525"/>
      <c r="Q56" s="3525"/>
      <c r="R56" s="3527"/>
      <c r="S56" s="3527"/>
      <c r="T56" s="3525"/>
      <c r="U56" s="3525"/>
      <c r="V56" s="3525"/>
      <c r="W56" s="3528"/>
      <c r="X56" s="3527"/>
      <c r="Y56" s="3525"/>
      <c r="Z56" s="3525"/>
      <c r="AA56" s="3525"/>
      <c r="AB56" s="3527"/>
      <c r="AC56" s="3527"/>
      <c r="AD56" s="3525"/>
      <c r="AE56" s="3530"/>
      <c r="AF56" s="3531"/>
      <c r="AG56" s="3527"/>
      <c r="AH56" s="3525"/>
      <c r="AI56" s="3525"/>
      <c r="AJ56" s="3527"/>
      <c r="AK56" s="3525"/>
      <c r="AL56" s="3528"/>
      <c r="AM56" s="3533"/>
      <c r="AN56" s="3534"/>
      <c r="AO56" s="3534"/>
      <c r="AP56" s="3534"/>
      <c r="AQ56" s="3534"/>
      <c r="AR56" s="3535"/>
      <c r="AS56" s="3543"/>
      <c r="AT56" s="3538"/>
      <c r="AU56" s="3536"/>
      <c r="AV56" s="3538"/>
      <c r="AW56" s="3536"/>
      <c r="AX56" s="3538"/>
      <c r="AY56" s="3536"/>
      <c r="AZ56" s="3538"/>
      <c r="BA56" s="3536"/>
      <c r="BB56" s="3538"/>
      <c r="BC56" s="3536"/>
      <c r="BD56" s="3538"/>
      <c r="BE56" s="3536"/>
      <c r="BF56" s="3538"/>
      <c r="BG56" s="3536"/>
      <c r="BH56" s="3538"/>
      <c r="BI56" s="3539"/>
      <c r="BJ56" s="3539"/>
      <c r="BK56" s="3536"/>
      <c r="BL56" s="3538"/>
      <c r="BM56" s="3536"/>
      <c r="BN56" s="3538"/>
      <c r="BO56" s="3536"/>
      <c r="BP56" s="3538"/>
      <c r="BQ56" s="3536"/>
      <c r="BR56" s="3538"/>
      <c r="BS56" s="3536"/>
      <c r="BT56" s="3538"/>
      <c r="BU56" s="3536"/>
      <c r="BV56" s="3538"/>
      <c r="BW56" s="3536"/>
      <c r="BX56" s="3538"/>
      <c r="BY56" s="3536"/>
      <c r="BZ56" s="3538"/>
      <c r="CA56" s="3536"/>
      <c r="CB56" s="3538"/>
      <c r="CC56" s="3536"/>
      <c r="CD56" s="3538"/>
      <c r="CE56" s="3536"/>
      <c r="CF56" s="3538"/>
      <c r="CG56" s="3536"/>
      <c r="CH56" s="3538"/>
      <c r="CI56" s="3536"/>
      <c r="CJ56" s="3538"/>
      <c r="CK56" s="3536"/>
      <c r="CL56" s="3538"/>
      <c r="CM56" s="3536"/>
      <c r="CN56" s="3538"/>
      <c r="CO56" s="3536"/>
      <c r="CP56" s="3538"/>
      <c r="CQ56" s="3536"/>
      <c r="CR56" s="3538"/>
      <c r="CS56" s="3536"/>
      <c r="CT56" s="3538"/>
      <c r="CU56" s="3536"/>
      <c r="CV56" s="3538"/>
      <c r="CW56" s="3536"/>
      <c r="CX56" s="3538"/>
      <c r="CY56" s="3536"/>
      <c r="CZ56" s="3538"/>
      <c r="DA56" s="3536"/>
      <c r="DB56" s="3538"/>
      <c r="DC56" s="3536"/>
      <c r="DD56" s="3538"/>
      <c r="DE56" s="3536"/>
      <c r="DF56" s="3538"/>
      <c r="DG56" s="3536"/>
      <c r="DH56" s="3538"/>
      <c r="DI56" s="3536"/>
      <c r="DJ56" s="3538"/>
      <c r="DK56" s="3536"/>
      <c r="DL56" s="3538"/>
      <c r="DM56" s="3536"/>
      <c r="DN56" s="3538"/>
      <c r="DO56" s="3536"/>
      <c r="DP56" s="3538"/>
      <c r="DQ56" s="3536"/>
      <c r="DR56" s="3538"/>
      <c r="DT56" s="3536"/>
      <c r="DU56" s="3532"/>
      <c r="DV56" s="3540"/>
      <c r="DW56" s="3536"/>
      <c r="DX56" s="3532"/>
      <c r="DY56" s="3540"/>
      <c r="DZ56" s="3536"/>
      <c r="EA56" s="3532"/>
      <c r="EB56" s="3540"/>
      <c r="ED56" s="3536"/>
      <c r="EE56" s="3532"/>
      <c r="EF56" s="3540"/>
      <c r="EG56" s="3536"/>
      <c r="EH56" s="3532"/>
      <c r="EI56" s="3540"/>
      <c r="EJ56" s="3536"/>
      <c r="EK56" s="3532"/>
      <c r="EL56" s="3540"/>
      <c r="EM56" s="3536"/>
      <c r="EN56" s="3532"/>
      <c r="EO56" s="3540"/>
      <c r="EQ56" s="3536"/>
      <c r="ER56" s="3532"/>
      <c r="ES56" s="3536"/>
      <c r="ET56" s="3532"/>
      <c r="EV56" s="3536"/>
      <c r="EW56" s="3532"/>
      <c r="EX56" s="3536"/>
      <c r="EY56" s="3532"/>
      <c r="FA56" s="3536"/>
      <c r="FB56" s="3532"/>
      <c r="FC56" s="3536"/>
      <c r="FD56" s="3532"/>
      <c r="FF56" s="3536"/>
      <c r="FG56" s="3538"/>
      <c r="FH56" s="3536"/>
      <c r="FI56" s="3538"/>
      <c r="FJ56" s="3536"/>
      <c r="FK56" s="3538"/>
      <c r="FL56" s="3536"/>
      <c r="FM56" s="3538"/>
      <c r="FN56" s="3536"/>
      <c r="FO56" s="3538"/>
      <c r="FP56" s="3536"/>
      <c r="FQ56" s="3538"/>
      <c r="FR56" s="3536"/>
      <c r="FS56" s="3538"/>
      <c r="FT56" s="3536"/>
      <c r="FU56" s="3538"/>
      <c r="FW56" s="3536"/>
      <c r="FX56" s="3538"/>
      <c r="FY56" s="3536"/>
      <c r="FZ56" s="3538"/>
      <c r="GA56" s="3536"/>
      <c r="GB56" s="3538"/>
      <c r="GC56" s="3536"/>
      <c r="GD56" s="3538"/>
      <c r="GE56" s="3583"/>
      <c r="GF56" s="3583"/>
      <c r="GG56" s="3583"/>
      <c r="GH56" s="3583"/>
      <c r="GI56" s="3583"/>
      <c r="GJ56" s="3583"/>
      <c r="GK56" s="3583"/>
      <c r="GL56" s="3583"/>
      <c r="GM56" s="3583"/>
      <c r="GN56" s="3583"/>
      <c r="GO56" s="3583"/>
    </row>
    <row r="57" spans="1:197" ht="15.75" thickBot="1">
      <c r="A57" s="3544">
        <v>53</v>
      </c>
      <c r="B57" s="3545" t="s">
        <v>106</v>
      </c>
      <c r="C57" s="3509" t="s">
        <v>106</v>
      </c>
      <c r="D57" s="3546"/>
      <c r="E57" s="3546"/>
      <c r="F57" s="3546"/>
      <c r="G57" s="3546"/>
      <c r="H57" s="3546"/>
      <c r="I57" s="3546"/>
      <c r="J57" s="3546"/>
      <c r="K57" s="3546"/>
      <c r="L57" s="3546"/>
      <c r="M57" s="3546"/>
      <c r="N57" s="3546"/>
      <c r="O57" s="3546"/>
      <c r="P57" s="3546"/>
      <c r="Q57" s="3546"/>
      <c r="R57" s="3547"/>
      <c r="S57" s="3547"/>
      <c r="T57" s="3546"/>
      <c r="U57" s="3546"/>
      <c r="V57" s="3546"/>
      <c r="W57" s="3548"/>
      <c r="X57" s="3547"/>
      <c r="Y57" s="3546"/>
      <c r="Z57" s="3546"/>
      <c r="AA57" s="3546"/>
      <c r="AB57" s="3547"/>
      <c r="AC57" s="3547"/>
      <c r="AD57" s="3546"/>
      <c r="AE57" s="3549"/>
      <c r="AF57" s="3550"/>
      <c r="AG57" s="3547"/>
      <c r="AH57" s="3546"/>
      <c r="AI57" s="3546"/>
      <c r="AJ57" s="3547"/>
      <c r="AK57" s="3546"/>
      <c r="AL57" s="3548"/>
      <c r="AM57" s="3551"/>
      <c r="AN57" s="3552"/>
      <c r="AO57" s="3552"/>
      <c r="AP57" s="3552"/>
      <c r="AQ57" s="3552"/>
      <c r="AR57" s="3553"/>
      <c r="AS57" s="3554"/>
      <c r="AT57" s="3555"/>
      <c r="AU57" s="3556"/>
      <c r="AV57" s="3555"/>
      <c r="AW57" s="3556"/>
      <c r="AX57" s="3555"/>
      <c r="AY57" s="3556"/>
      <c r="AZ57" s="3555"/>
      <c r="BA57" s="3556"/>
      <c r="BB57" s="3555"/>
      <c r="BC57" s="3556"/>
      <c r="BD57" s="3555"/>
      <c r="BE57" s="3556"/>
      <c r="BF57" s="3555"/>
      <c r="BG57" s="3556"/>
      <c r="BH57" s="3555"/>
      <c r="BI57" s="3557"/>
      <c r="BJ57" s="3557"/>
      <c r="BK57" s="3556"/>
      <c r="BL57" s="3555"/>
      <c r="BM57" s="3556"/>
      <c r="BN57" s="3555"/>
      <c r="BO57" s="3556"/>
      <c r="BP57" s="3555"/>
      <c r="BQ57" s="3556"/>
      <c r="BR57" s="3555"/>
      <c r="BS57" s="3556"/>
      <c r="BT57" s="3555"/>
      <c r="BU57" s="3556"/>
      <c r="BV57" s="3555"/>
      <c r="BW57" s="3556"/>
      <c r="BX57" s="3555"/>
      <c r="BY57" s="3556"/>
      <c r="BZ57" s="3555"/>
      <c r="CA57" s="3556"/>
      <c r="CB57" s="3555"/>
      <c r="CC57" s="3556"/>
      <c r="CD57" s="3555"/>
      <c r="CE57" s="3556"/>
      <c r="CF57" s="3555"/>
      <c r="CG57" s="3556"/>
      <c r="CH57" s="3555"/>
      <c r="CI57" s="3556"/>
      <c r="CJ57" s="3555"/>
      <c r="CK57" s="3556"/>
      <c r="CL57" s="3555"/>
      <c r="CM57" s="3556"/>
      <c r="CN57" s="3555"/>
      <c r="CO57" s="3556"/>
      <c r="CP57" s="3555"/>
      <c r="CQ57" s="3556"/>
      <c r="CR57" s="3555"/>
      <c r="CS57" s="3556"/>
      <c r="CT57" s="3555"/>
      <c r="CU57" s="3556"/>
      <c r="CV57" s="3555"/>
      <c r="CW57" s="3556"/>
      <c r="CX57" s="3555"/>
      <c r="CY57" s="3556"/>
      <c r="CZ57" s="3555"/>
      <c r="DA57" s="3556"/>
      <c r="DB57" s="3555"/>
      <c r="DC57" s="3556"/>
      <c r="DD57" s="3555"/>
      <c r="DE57" s="3556"/>
      <c r="DF57" s="3555"/>
      <c r="DG57" s="3556"/>
      <c r="DH57" s="3555"/>
      <c r="DI57" s="3556"/>
      <c r="DJ57" s="3555"/>
      <c r="DK57" s="3556"/>
      <c r="DL57" s="3555"/>
      <c r="DM57" s="3556"/>
      <c r="DN57" s="3555"/>
      <c r="DO57" s="3556"/>
      <c r="DP57" s="3555"/>
      <c r="DQ57" s="3556"/>
      <c r="DR57" s="3555"/>
      <c r="DT57" s="3556"/>
      <c r="DU57" s="3558"/>
      <c r="DV57" s="3559"/>
      <c r="DW57" s="3556"/>
      <c r="DX57" s="3558"/>
      <c r="DY57" s="3559"/>
      <c r="DZ57" s="3556"/>
      <c r="EA57" s="3558"/>
      <c r="EB57" s="3559"/>
      <c r="ED57" s="3556"/>
      <c r="EE57" s="3558"/>
      <c r="EF57" s="3559"/>
      <c r="EG57" s="3556"/>
      <c r="EH57" s="3558"/>
      <c r="EI57" s="3559"/>
      <c r="EJ57" s="3556"/>
      <c r="EK57" s="3558"/>
      <c r="EL57" s="3559"/>
      <c r="EM57" s="3556"/>
      <c r="EN57" s="3558"/>
      <c r="EO57" s="3559"/>
      <c r="EQ57" s="3556"/>
      <c r="ER57" s="3558"/>
      <c r="ES57" s="3556"/>
      <c r="ET57" s="3558"/>
      <c r="EV57" s="3556"/>
      <c r="EW57" s="3558"/>
      <c r="EX57" s="3556"/>
      <c r="EY57" s="3558"/>
      <c r="FA57" s="3556"/>
      <c r="FB57" s="3558"/>
      <c r="FC57" s="3556"/>
      <c r="FD57" s="3558"/>
      <c r="FF57" s="3556"/>
      <c r="FG57" s="3555"/>
      <c r="FH57" s="3556"/>
      <c r="FI57" s="3555"/>
      <c r="FJ57" s="3556"/>
      <c r="FK57" s="3555"/>
      <c r="FL57" s="3556"/>
      <c r="FM57" s="3555"/>
      <c r="FN57" s="3556"/>
      <c r="FO57" s="3555"/>
      <c r="FP57" s="3556"/>
      <c r="FQ57" s="3555"/>
      <c r="FR57" s="3556"/>
      <c r="FS57" s="3555"/>
      <c r="FT57" s="3556"/>
      <c r="FU57" s="3555"/>
      <c r="FW57" s="3556"/>
      <c r="FX57" s="3555"/>
      <c r="FY57" s="3556"/>
      <c r="FZ57" s="3555"/>
      <c r="GA57" s="3556"/>
      <c r="GB57" s="3555"/>
      <c r="GC57" s="3556"/>
      <c r="GD57" s="3555"/>
      <c r="GE57" s="3583"/>
      <c r="GF57" s="3583"/>
      <c r="GG57" s="3583"/>
      <c r="GH57" s="3583"/>
      <c r="GI57" s="3583"/>
      <c r="GJ57" s="3583"/>
      <c r="GK57" s="3583"/>
      <c r="GL57" s="3583"/>
      <c r="GM57" s="3583"/>
      <c r="GN57" s="3583"/>
      <c r="GO57" s="3583"/>
    </row>
    <row r="67" spans="2:10">
      <c r="B67" s="3561"/>
      <c r="C67" s="3561"/>
      <c r="D67" s="3561"/>
      <c r="E67" s="3561"/>
      <c r="F67" s="3561"/>
      <c r="G67" s="3561"/>
      <c r="H67" s="3561"/>
      <c r="I67" s="3561"/>
      <c r="J67" s="3561"/>
    </row>
  </sheetData>
  <autoFilter ref="B4:AT57" xr:uid="{00000000-0009-0000-0000-00000D000000}"/>
  <conditionalFormatting sqref="A17:B57 D17:GO57">
    <cfRule type="expression" dxfId="9" priority="7">
      <formula>A17=0</formula>
    </cfRule>
  </conditionalFormatting>
  <conditionalFormatting sqref="C7:C57">
    <cfRule type="expression" dxfId="8" priority="4">
      <formula>C7=0</formula>
    </cfRule>
  </conditionalFormatting>
  <conditionalFormatting sqref="A5:A16">
    <cfRule type="expression" dxfId="7" priority="3">
      <formula>A5=0</formula>
    </cfRule>
  </conditionalFormatting>
  <conditionalFormatting sqref="B7:B16 D7:GO16">
    <cfRule type="expression" dxfId="6" priority="2">
      <formula>B7=0</formula>
    </cfRule>
  </conditionalFormatting>
  <conditionalFormatting sqref="B5:GO6">
    <cfRule type="expression" dxfId="5" priority="1">
      <formula>B5=0</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filterMode="1"/>
  <dimension ref="A2:AU703"/>
  <sheetViews>
    <sheetView showGridLines="0" zoomScale="85" zoomScaleNormal="85" workbookViewId="0">
      <selection activeCell="P605" sqref="P605"/>
    </sheetView>
  </sheetViews>
  <sheetFormatPr defaultColWidth="8.85546875" defaultRowHeight="16.5" customHeight="1" outlineLevelRow="1"/>
  <cols>
    <col min="1" max="1" width="5.28515625" style="313" customWidth="1"/>
    <col min="2" max="2" width="14" style="313" customWidth="1"/>
    <col min="3" max="3" width="23.42578125" style="313" customWidth="1"/>
    <col min="4" max="4" width="11.7109375" style="313" customWidth="1"/>
    <col min="5" max="5" width="9.28515625" style="313" customWidth="1"/>
    <col min="6" max="6" width="9.85546875" style="313" customWidth="1"/>
    <col min="7" max="7" width="9.42578125" style="313" customWidth="1"/>
    <col min="8" max="8" width="9.85546875" style="313" customWidth="1"/>
    <col min="9" max="9" width="12.5703125" style="313" customWidth="1"/>
    <col min="10" max="10" width="8" style="313" customWidth="1"/>
    <col min="11" max="11" width="9.28515625" style="360" customWidth="1"/>
    <col min="12" max="13" width="9.28515625" style="313" customWidth="1"/>
    <col min="14" max="14" width="7.28515625" style="313" customWidth="1"/>
    <col min="15" max="15" width="9" style="313" customWidth="1"/>
    <col min="16" max="16" width="6.42578125" style="313" customWidth="1"/>
    <col min="17" max="17" width="13.42578125" style="313" customWidth="1"/>
    <col min="18" max="18" width="8" style="313" customWidth="1"/>
    <col min="19" max="19" width="10.28515625" style="313" customWidth="1"/>
    <col min="20" max="20" width="9.7109375" style="313" customWidth="1"/>
    <col min="21" max="21" width="8.85546875" style="313" customWidth="1"/>
    <col min="22" max="28" width="10.7109375" style="313" customWidth="1"/>
    <col min="29" max="29" width="3.7109375" style="313" customWidth="1"/>
    <col min="30" max="30" width="7.28515625" style="313" customWidth="1"/>
    <col min="31" max="31" width="12.42578125" style="313" customWidth="1"/>
    <col min="32" max="32" width="6" style="313" customWidth="1"/>
    <col min="33" max="34" width="8" style="313" customWidth="1"/>
    <col min="35" max="35" width="6" style="313" customWidth="1"/>
    <col min="36" max="36" width="9" style="313" customWidth="1"/>
    <col min="37" max="37" width="6.42578125" style="363" customWidth="1"/>
    <col min="38" max="38" width="7.42578125" style="363" customWidth="1"/>
    <col min="39" max="39" width="6" style="385" customWidth="1"/>
    <col min="40" max="40" width="9.42578125" style="313" customWidth="1"/>
    <col min="41" max="41" width="8.42578125" style="313" customWidth="1"/>
    <col min="42" max="42" width="8.42578125" style="313" customWidth="1" collapsed="1"/>
    <col min="43" max="43" width="6.7109375" style="362" customWidth="1"/>
    <col min="44" max="44" width="5.42578125" style="361" customWidth="1"/>
    <col min="45" max="45" width="7" style="313" customWidth="1"/>
    <col min="46" max="47" width="8.85546875" style="315"/>
    <col min="48" max="16384" width="8.85546875" style="313"/>
  </cols>
  <sheetData>
    <row r="2" spans="1:47" ht="17.25" customHeight="1">
      <c r="C2" s="136" t="s">
        <v>77</v>
      </c>
      <c r="D2" s="136"/>
      <c r="E2" s="2196">
        <f>'Cost EST. GM target'!$L$6/(1+$G$3)</f>
        <v>5000</v>
      </c>
      <c r="F2" s="386" t="s">
        <v>11</v>
      </c>
      <c r="G2" s="136"/>
      <c r="H2" s="136"/>
      <c r="I2" s="791"/>
      <c r="J2" s="1038"/>
      <c r="AK2" s="313"/>
      <c r="AL2" s="313"/>
      <c r="AM2" s="1036"/>
      <c r="AN2" s="1037"/>
    </row>
    <row r="3" spans="1:47" ht="17.25" customHeight="1">
      <c r="C3" s="136" t="s">
        <v>1342</v>
      </c>
      <c r="D3" s="136"/>
      <c r="E3" s="1265">
        <f>E2*(1+$G$3)</f>
        <v>5000</v>
      </c>
      <c r="F3" s="386" t="s">
        <v>11</v>
      </c>
      <c r="G3" s="1266">
        <f>'Cost EST. GM target'!$N$6</f>
        <v>0</v>
      </c>
      <c r="H3" s="136" t="s">
        <v>1094</v>
      </c>
      <c r="AK3" s="313"/>
      <c r="AL3" s="313"/>
      <c r="AM3" s="1036"/>
      <c r="AN3" s="1037"/>
    </row>
    <row r="4" spans="1:47" ht="17.25" customHeight="1">
      <c r="C4" s="136" t="s">
        <v>1341</v>
      </c>
      <c r="D4" s="136"/>
      <c r="E4" s="1265">
        <f>E3*(1+$G$4)</f>
        <v>5225</v>
      </c>
      <c r="F4" s="386" t="s">
        <v>11</v>
      </c>
      <c r="G4" s="1266">
        <f>input!$D$4</f>
        <v>4.4999999999999998E-2</v>
      </c>
      <c r="H4" s="136" t="s">
        <v>78</v>
      </c>
      <c r="J4" s="1039"/>
      <c r="K4" s="1040"/>
      <c r="M4" s="1041">
        <v>0.95</v>
      </c>
      <c r="N4" s="1042" t="s">
        <v>731</v>
      </c>
      <c r="AK4" s="313"/>
      <c r="AL4" s="313"/>
      <c r="AM4" s="1036"/>
      <c r="AN4" s="1037"/>
    </row>
    <row r="5" spans="1:47" ht="15" customHeight="1">
      <c r="F5" s="385"/>
      <c r="J5" s="1039"/>
      <c r="K5" s="1040"/>
      <c r="M5" s="1041">
        <v>1</v>
      </c>
      <c r="N5" s="1042" t="s">
        <v>368</v>
      </c>
      <c r="V5" s="3115"/>
      <c r="W5" s="3115"/>
      <c r="X5" s="3116"/>
      <c r="Y5" s="3116"/>
      <c r="Z5" s="3115"/>
      <c r="AA5" s="3115"/>
      <c r="AB5" s="3117">
        <f ca="1">SUBTOTAL(9,AB8:AB694)</f>
        <v>4809040.7915724861</v>
      </c>
      <c r="AK5" s="313"/>
      <c r="AL5" s="313"/>
      <c r="AM5" s="1036"/>
      <c r="AN5" s="1037"/>
      <c r="AR5" s="393"/>
      <c r="AS5" s="1043"/>
    </row>
    <row r="6" spans="1:47" s="385" customFormat="1" ht="12.95" customHeight="1">
      <c r="A6" s="4291" t="s">
        <v>274</v>
      </c>
      <c r="B6" s="4292"/>
      <c r="C6" s="4292"/>
      <c r="D6" s="4292"/>
      <c r="E6" s="4292"/>
      <c r="F6" s="4292"/>
      <c r="G6" s="4293"/>
      <c r="H6" s="4297" t="s">
        <v>166</v>
      </c>
      <c r="I6" s="4299" t="s">
        <v>165</v>
      </c>
      <c r="J6" s="4299"/>
      <c r="K6" s="4299" t="s">
        <v>167</v>
      </c>
      <c r="L6" s="4299"/>
      <c r="M6" s="4299" t="s">
        <v>20</v>
      </c>
      <c r="N6" s="4297" t="s">
        <v>170</v>
      </c>
      <c r="O6" s="4299" t="s">
        <v>2049</v>
      </c>
      <c r="P6" s="4299"/>
      <c r="Q6" s="4301" t="s">
        <v>85</v>
      </c>
      <c r="R6" s="4297" t="s">
        <v>182</v>
      </c>
      <c r="S6" s="4297" t="s">
        <v>745</v>
      </c>
      <c r="V6" s="4305" t="s">
        <v>3236</v>
      </c>
      <c r="W6" s="4306" t="s">
        <v>3237</v>
      </c>
      <c r="X6" s="4305" t="s">
        <v>3238</v>
      </c>
      <c r="Y6" s="4305" t="s">
        <v>3239</v>
      </c>
      <c r="Z6" s="4303" t="s">
        <v>3240</v>
      </c>
      <c r="AA6" s="4303" t="s">
        <v>3241</v>
      </c>
      <c r="AB6" s="4304" t="s">
        <v>3242</v>
      </c>
      <c r="AM6" s="1044"/>
      <c r="AN6" s="1037"/>
      <c r="AO6" s="384"/>
      <c r="AP6" s="384"/>
      <c r="AQ6" s="1045"/>
      <c r="AR6" s="393"/>
      <c r="AS6" s="1043"/>
      <c r="AT6" s="879"/>
      <c r="AU6" s="879"/>
    </row>
    <row r="7" spans="1:47" ht="12.75" hidden="1">
      <c r="A7" s="4294"/>
      <c r="B7" s="4295"/>
      <c r="C7" s="4295"/>
      <c r="D7" s="4295"/>
      <c r="E7" s="4295"/>
      <c r="F7" s="4295"/>
      <c r="G7" s="4296"/>
      <c r="H7" s="4298"/>
      <c r="I7" s="1267" t="s">
        <v>1413</v>
      </c>
      <c r="J7" s="1267" t="s">
        <v>181</v>
      </c>
      <c r="K7" s="1268" t="s">
        <v>168</v>
      </c>
      <c r="L7" s="1267" t="s">
        <v>169</v>
      </c>
      <c r="M7" s="4300"/>
      <c r="N7" s="4298"/>
      <c r="O7" s="1267" t="s">
        <v>168</v>
      </c>
      <c r="P7" s="1267" t="s">
        <v>169</v>
      </c>
      <c r="Q7" s="4302"/>
      <c r="R7" s="4298"/>
      <c r="S7" s="4298"/>
      <c r="T7" s="313" t="s">
        <v>2055</v>
      </c>
      <c r="V7" s="4305"/>
      <c r="W7" s="4306"/>
      <c r="X7" s="4305"/>
      <c r="Y7" s="4305"/>
      <c r="Z7" s="4303"/>
      <c r="AA7" s="4303"/>
      <c r="AB7" s="4304"/>
      <c r="AK7" s="313"/>
      <c r="AL7" s="313"/>
      <c r="AM7" s="1044"/>
      <c r="AN7" s="1036"/>
      <c r="AO7" s="384"/>
      <c r="AP7" s="384"/>
      <c r="AQ7" s="1045"/>
      <c r="AR7" s="393"/>
      <c r="AS7" s="1043"/>
      <c r="AT7" s="315" t="s">
        <v>135</v>
      </c>
    </row>
    <row r="8" spans="1:47" ht="12.75">
      <c r="A8" s="385" t="s">
        <v>141</v>
      </c>
      <c r="B8" s="1255" t="s">
        <v>185</v>
      </c>
      <c r="C8" s="1256" t="s">
        <v>739</v>
      </c>
      <c r="D8" s="1256"/>
      <c r="E8" s="1256"/>
      <c r="F8" s="1256"/>
      <c r="G8" s="1256"/>
      <c r="H8" s="1256">
        <f ca="1">SUMIF(Paper!$AN$7:$AN$21,"Roll",Paper!$V$7:$V$21)+SUMIF(Paper!$AN$7:$AN$21,"Roll",Paper!$W$7:$W$21)+SUMIF(Paper!$AN$7:$AN$21,"Roll",Paper!$X$7:$X$21)</f>
        <v>2775</v>
      </c>
      <c r="I8" s="1256">
        <v>10000</v>
      </c>
      <c r="J8" s="1256" t="s">
        <v>5</v>
      </c>
      <c r="K8" s="2145">
        <v>0</v>
      </c>
      <c r="L8" s="1256">
        <v>3</v>
      </c>
      <c r="M8" s="1256">
        <f ca="1">IF(H8&gt;0,10/60,0)*COUNTIFS(Paper!$AN$7:$AN$21,"Roll",Paper!$V$7:$V$21,"&gt;0")</f>
        <v>0.16666666666666666</v>
      </c>
      <c r="N8" s="2152">
        <f ca="1">IF(H8&gt;0,ROUNDUP(((H8/I8)/$M$5+M8),1),0)</f>
        <v>0.5</v>
      </c>
      <c r="O8" s="1256"/>
      <c r="P8" s="1256">
        <f>Data!$N$1157</f>
        <v>57554.664656607813</v>
      </c>
      <c r="Q8" s="1256">
        <f t="shared" ref="Q8:Q43" ca="1" si="0">(N8*O8*K8+N8*P8*L8)*(1+$R$702)</f>
        <v>86331.996984911719</v>
      </c>
      <c r="R8" s="1256">
        <f ca="1">IF($E$2&gt;0,Q8/$E$2,0)</f>
        <v>17.266399396982344</v>
      </c>
      <c r="S8" s="1257">
        <f ca="1">IF(M8&gt;0,K8*O8+L8*P8,0)</f>
        <v>172663.99396982344</v>
      </c>
      <c r="T8" s="313" t="str">
        <f ca="1">$T$9</f>
        <v>Box</v>
      </c>
      <c r="V8" s="3118" t="s">
        <v>3174</v>
      </c>
      <c r="W8" s="3115">
        <f ca="1">N8*(L8+K8)</f>
        <v>1.5</v>
      </c>
      <c r="X8" s="3119">
        <f>VLOOKUP(V8,'Fix Cost'!$K$177:$M$179,2,0)</f>
        <v>58449.923860467366</v>
      </c>
      <c r="Y8" s="3119">
        <f>VLOOKUP(V8,'Fix Cost'!$K$177:$M$179,3,0)</f>
        <v>267411.04680782068</v>
      </c>
      <c r="Z8" s="3119">
        <f ca="1">IFERROR($X8*W8,0)</f>
        <v>87674.885790701053</v>
      </c>
      <c r="AA8" s="3115">
        <f ca="1">IFERROR(Y8*N8,0)</f>
        <v>133705.52340391034</v>
      </c>
      <c r="AB8" s="3115">
        <f ca="1">Z8+AA8</f>
        <v>221380.40919461139</v>
      </c>
      <c r="AM8" s="1044"/>
      <c r="AN8" s="1044"/>
      <c r="AO8" s="1043"/>
      <c r="AP8" s="1043"/>
      <c r="AQ8" s="1047"/>
      <c r="AR8" s="1048"/>
      <c r="AS8" s="385"/>
      <c r="AT8" s="879">
        <f t="shared" ref="AT8:AT76" ca="1" si="1">IF(ISNUMBER(R8),IF(R8&lt;&gt;0,IF(ISNUMBER(SEARCH("to",J8)),0,1),0),"")</f>
        <v>1</v>
      </c>
      <c r="AU8" s="879">
        <f ca="1">COUNTIFS(AT$7:$AT8,1)</f>
        <v>1</v>
      </c>
    </row>
    <row r="9" spans="1:47" ht="12.75">
      <c r="A9" s="385" t="s">
        <v>142</v>
      </c>
      <c r="B9" s="1738" t="s">
        <v>185</v>
      </c>
      <c r="C9" s="313" t="s">
        <v>28</v>
      </c>
      <c r="F9" s="363" t="str">
        <f ca="1">input!F375</f>
        <v>Box</v>
      </c>
      <c r="H9" s="313">
        <f ca="1">SUMIF(Paper!$A$7:$A$57,$F9,Paper!$V$7:$V$57)+SUMIF(Paper!$A$7:$A$57,$F9,Paper!$W$7:$W$57)+SUMIF(Paper!$A$7:$A$57,$F9,Paper!$X$7:$X$57)</f>
        <v>2775</v>
      </c>
      <c r="I9" s="313" t="str">
        <f ca="1">IF(input!$G375&gt;0,input!G375,7000)</f>
        <v>8000</v>
      </c>
      <c r="J9" s="313" t="s">
        <v>5</v>
      </c>
      <c r="K9" s="360">
        <v>0</v>
      </c>
      <c r="L9" s="313" t="str">
        <f ca="1">IF(input!$H375&gt;0,input!$H375,2)</f>
        <v>3</v>
      </c>
      <c r="M9" s="313">
        <f ca="1">IF(H9&gt;0,10/60,0)</f>
        <v>0.16666666666666666</v>
      </c>
      <c r="N9" s="983">
        <f ca="1">IF(H9&gt;0,ROUNDUP(((H9/I9)/$M$5+M9),1),0)</f>
        <v>0.6</v>
      </c>
      <c r="P9" s="313">
        <f>Data!$N$1157</f>
        <v>57554.664656607813</v>
      </c>
      <c r="Q9" s="313">
        <f t="shared" ca="1" si="0"/>
        <v>103598.39638189405</v>
      </c>
      <c r="R9" s="313">
        <f ca="1">IF($E$2&gt;0,Q9/$E$2,0)</f>
        <v>20.719679276378812</v>
      </c>
      <c r="S9" s="1741">
        <f ca="1">IF(M9&gt;0,K9*O9+L9*P9,0)</f>
        <v>172663.99396982344</v>
      </c>
      <c r="T9" s="313" t="str">
        <f ca="1">input!J375</f>
        <v>Box</v>
      </c>
      <c r="V9" s="3115" t="str">
        <f>input!K375</f>
        <v>Packaging</v>
      </c>
      <c r="W9" s="3115">
        <f ca="1">N9*(L9+K9)</f>
        <v>1.7999999999999998</v>
      </c>
      <c r="X9" s="3119">
        <f>VLOOKUP(V9,'Fix Cost'!$K$177:$M$179,2,0)</f>
        <v>58449.923860467366</v>
      </c>
      <c r="Y9" s="3119">
        <f>VLOOKUP(V9,'Fix Cost'!$K$177:$M$179,3,0)</f>
        <v>267411.04680782068</v>
      </c>
      <c r="Z9" s="3119">
        <f ca="1">IFERROR($X9*W9,0)</f>
        <v>105209.86294884126</v>
      </c>
      <c r="AA9" s="3115">
        <f ca="1">IFERROR(Y9*N9,0)</f>
        <v>160446.62808469241</v>
      </c>
      <c r="AB9" s="3115">
        <f ca="1">Z9+AA9</f>
        <v>265656.49103353365</v>
      </c>
      <c r="AK9" s="313"/>
      <c r="AL9" s="313"/>
      <c r="AM9" s="313"/>
      <c r="AO9" s="1043"/>
      <c r="AP9" s="1043"/>
      <c r="AQ9" s="1047"/>
      <c r="AR9" s="1048"/>
      <c r="AS9" s="385"/>
      <c r="AT9" s="879">
        <f t="shared" ca="1" si="1"/>
        <v>1</v>
      </c>
      <c r="AU9" s="879">
        <f ca="1">COUNTIFS(AT$7:$AT9,1)</f>
        <v>2</v>
      </c>
    </row>
    <row r="10" spans="1:47" ht="12.75" hidden="1" outlineLevel="1">
      <c r="A10" s="385"/>
      <c r="B10" s="1738" t="s">
        <v>185</v>
      </c>
      <c r="C10" s="313" t="s">
        <v>28</v>
      </c>
      <c r="F10" s="363" t="str">
        <f ca="1">input!F376</f>
        <v>N</v>
      </c>
      <c r="H10" s="313">
        <f ca="1">SUMIF(Paper!$A$7:$A$57,$F10,Paper!$V$7:$V$57)+SUMIF(Paper!$A$7:$A$57,$F10,Paper!$W$7:$W$57)+SUMIF(Paper!$A$7:$A$57,$F10,Paper!$X$7:$X$57)</f>
        <v>0</v>
      </c>
      <c r="I10" s="313">
        <f ca="1">IF(input!$G376&gt;0,input!G376,7000)</f>
        <v>7000</v>
      </c>
      <c r="J10" s="313" t="s">
        <v>5</v>
      </c>
      <c r="K10" s="360">
        <v>0</v>
      </c>
      <c r="L10" s="313">
        <f ca="1">IF(input!$H376&gt;0,input!$H376,2)</f>
        <v>2</v>
      </c>
      <c r="M10" s="313">
        <f t="shared" ref="M10:M43" ca="1" si="2">IF(H10&gt;0,10/60,0)</f>
        <v>0</v>
      </c>
      <c r="N10" s="983">
        <f t="shared" ref="N10:N43" ca="1" si="3">IF(H10&gt;0,ROUNDUP(((H10/I10)/$M$5+M10),1),0)</f>
        <v>0</v>
      </c>
      <c r="P10" s="313">
        <f>Data!$N$1157</f>
        <v>57554.664656607813</v>
      </c>
      <c r="Q10" s="313">
        <f t="shared" ca="1" si="0"/>
        <v>0</v>
      </c>
      <c r="R10" s="313">
        <f t="shared" ref="R10:R43" ca="1" si="4">IF($E$2&gt;0,Q10/$E$2,0)</f>
        <v>0</v>
      </c>
      <c r="S10" s="1741">
        <f t="shared" ref="S10:S43" ca="1" si="5">IF(M10&gt;0,K10*O10+L10*P10,0)</f>
        <v>0</v>
      </c>
      <c r="T10" s="313" t="str">
        <f ca="1">input!J376</f>
        <v>N</v>
      </c>
      <c r="V10" s="3115" t="str">
        <f>input!K376</f>
        <v>Packaging</v>
      </c>
      <c r="W10" s="3115">
        <f t="shared" ref="W10:W43" ca="1" si="6">N10*(L10+K10)</f>
        <v>0</v>
      </c>
      <c r="X10" s="3119">
        <f>VLOOKUP(V10,'Fix Cost'!$K$177:$M$179,2,0)</f>
        <v>58449.923860467366</v>
      </c>
      <c r="Y10" s="3119">
        <f>VLOOKUP(V10,'Fix Cost'!$K$177:$M$179,3,0)</f>
        <v>267411.04680782068</v>
      </c>
      <c r="Z10" s="3119">
        <f t="shared" ref="Z10:Z43" ca="1" si="7">IFERROR($X10*W10,0)</f>
        <v>0</v>
      </c>
      <c r="AA10" s="3115">
        <f t="shared" ref="AA10:AA43" ca="1" si="8">IFERROR(Y10*N10,0)</f>
        <v>0</v>
      </c>
      <c r="AB10" s="3115">
        <f t="shared" ref="AB10:AB43" ca="1" si="9">Z10+AA10</f>
        <v>0</v>
      </c>
      <c r="AK10" s="313"/>
      <c r="AL10" s="313"/>
      <c r="AM10" s="313"/>
      <c r="AO10" s="1043"/>
      <c r="AP10" s="1043"/>
      <c r="AQ10" s="1047"/>
      <c r="AR10" s="1048"/>
      <c r="AS10" s="385"/>
      <c r="AT10" s="879">
        <f t="shared" ca="1" si="1"/>
        <v>0</v>
      </c>
      <c r="AU10" s="879">
        <f ca="1">COUNTIFS(AT$7:$AT10,1)</f>
        <v>2</v>
      </c>
    </row>
    <row r="11" spans="1:47" ht="12.75" hidden="1" outlineLevel="1">
      <c r="A11" s="385"/>
      <c r="B11" s="1738" t="s">
        <v>185</v>
      </c>
      <c r="C11" s="313" t="s">
        <v>28</v>
      </c>
      <c r="F11" s="363" t="str">
        <f ca="1">input!F377</f>
        <v>N</v>
      </c>
      <c r="H11" s="313">
        <f ca="1">SUMIF(Paper!$A$7:$A$57,$F11,Paper!$V$7:$V$57)+SUMIF(Paper!$A$7:$A$57,$F11,Paper!$W$7:$W$57)+SUMIF(Paper!$A$7:$A$57,$F11,Paper!$X$7:$X$57)</f>
        <v>0</v>
      </c>
      <c r="I11" s="313">
        <f ca="1">IF(input!$G377&gt;0,input!G377,7000)</f>
        <v>7000</v>
      </c>
      <c r="J11" s="313" t="s">
        <v>5</v>
      </c>
      <c r="K11" s="360">
        <v>0</v>
      </c>
      <c r="L11" s="313">
        <f ca="1">IF(input!$H377&gt;0,input!$H377,2)</f>
        <v>2</v>
      </c>
      <c r="M11" s="313">
        <f t="shared" ca="1" si="2"/>
        <v>0</v>
      </c>
      <c r="N11" s="983">
        <f t="shared" ca="1" si="3"/>
        <v>0</v>
      </c>
      <c r="P11" s="313">
        <f>Data!$N$1157</f>
        <v>57554.664656607813</v>
      </c>
      <c r="Q11" s="313">
        <f t="shared" ca="1" si="0"/>
        <v>0</v>
      </c>
      <c r="R11" s="313">
        <f t="shared" ca="1" si="4"/>
        <v>0</v>
      </c>
      <c r="S11" s="1741">
        <f t="shared" ca="1" si="5"/>
        <v>0</v>
      </c>
      <c r="T11" s="313" t="str">
        <f ca="1">input!J377</f>
        <v>N</v>
      </c>
      <c r="V11" s="3115" t="str">
        <f>input!K377</f>
        <v>Packaging</v>
      </c>
      <c r="W11" s="3115">
        <f t="shared" ca="1" si="6"/>
        <v>0</v>
      </c>
      <c r="X11" s="3119">
        <f>VLOOKUP(V11,'Fix Cost'!$K$177:$M$179,2,0)</f>
        <v>58449.923860467366</v>
      </c>
      <c r="Y11" s="3119">
        <f>VLOOKUP(V11,'Fix Cost'!$K$177:$M$179,3,0)</f>
        <v>267411.04680782068</v>
      </c>
      <c r="Z11" s="3119">
        <f t="shared" ca="1" si="7"/>
        <v>0</v>
      </c>
      <c r="AA11" s="3115">
        <f t="shared" ca="1" si="8"/>
        <v>0</v>
      </c>
      <c r="AB11" s="3115">
        <f t="shared" ca="1" si="9"/>
        <v>0</v>
      </c>
      <c r="AK11" s="313"/>
      <c r="AL11" s="313"/>
      <c r="AM11" s="313"/>
      <c r="AO11" s="1043"/>
      <c r="AP11" s="1043"/>
      <c r="AQ11" s="1047"/>
      <c r="AR11" s="1048"/>
      <c r="AS11" s="385"/>
      <c r="AT11" s="879">
        <f t="shared" ca="1" si="1"/>
        <v>0</v>
      </c>
      <c r="AU11" s="879">
        <f ca="1">COUNTIFS(AT$7:$AT11,1)</f>
        <v>2</v>
      </c>
    </row>
    <row r="12" spans="1:47" ht="12.75" hidden="1" outlineLevel="1">
      <c r="A12" s="385"/>
      <c r="B12" s="1738" t="s">
        <v>185</v>
      </c>
      <c r="C12" s="313" t="s">
        <v>28</v>
      </c>
      <c r="F12" s="363" t="str">
        <f ca="1">input!F378</f>
        <v>N</v>
      </c>
      <c r="H12" s="313">
        <f ca="1">SUMIF(Paper!$A$7:$A$57,$F12,Paper!$V$7:$V$57)+SUMIF(Paper!$A$7:$A$57,$F12,Paper!$W$7:$W$57)+SUMIF(Paper!$A$7:$A$57,$F12,Paper!$X$7:$X$57)</f>
        <v>0</v>
      </c>
      <c r="I12" s="313">
        <f ca="1">IF(input!$G378&gt;0,input!G378,7000)</f>
        <v>7000</v>
      </c>
      <c r="J12" s="313" t="s">
        <v>5</v>
      </c>
      <c r="K12" s="360">
        <v>0</v>
      </c>
      <c r="L12" s="313">
        <f ca="1">IF(input!$H378&gt;0,input!$H378,2)</f>
        <v>2</v>
      </c>
      <c r="M12" s="313">
        <f t="shared" ca="1" si="2"/>
        <v>0</v>
      </c>
      <c r="N12" s="983">
        <f t="shared" ca="1" si="3"/>
        <v>0</v>
      </c>
      <c r="P12" s="313">
        <f>Data!$N$1157</f>
        <v>57554.664656607813</v>
      </c>
      <c r="Q12" s="313">
        <f t="shared" ca="1" si="0"/>
        <v>0</v>
      </c>
      <c r="R12" s="313">
        <f t="shared" ca="1" si="4"/>
        <v>0</v>
      </c>
      <c r="S12" s="1741">
        <f t="shared" ca="1" si="5"/>
        <v>0</v>
      </c>
      <c r="T12" s="313" t="str">
        <f ca="1">input!J378</f>
        <v>N</v>
      </c>
      <c r="V12" s="3115" t="str">
        <f>input!K378</f>
        <v>Packaging</v>
      </c>
      <c r="W12" s="3115">
        <f t="shared" ca="1" si="6"/>
        <v>0</v>
      </c>
      <c r="X12" s="3119">
        <f>VLOOKUP(V12,'Fix Cost'!$K$177:$M$179,2,0)</f>
        <v>58449.923860467366</v>
      </c>
      <c r="Y12" s="3119">
        <f>VLOOKUP(V12,'Fix Cost'!$K$177:$M$179,3,0)</f>
        <v>267411.04680782068</v>
      </c>
      <c r="Z12" s="3119">
        <f t="shared" ca="1" si="7"/>
        <v>0</v>
      </c>
      <c r="AA12" s="3115">
        <f t="shared" ca="1" si="8"/>
        <v>0</v>
      </c>
      <c r="AB12" s="3115">
        <f t="shared" ca="1" si="9"/>
        <v>0</v>
      </c>
      <c r="AK12" s="313"/>
      <c r="AL12" s="313"/>
      <c r="AM12" s="313"/>
      <c r="AO12" s="1043"/>
      <c r="AP12" s="1043"/>
      <c r="AQ12" s="1047"/>
      <c r="AR12" s="1048"/>
      <c r="AS12" s="385"/>
      <c r="AT12" s="879">
        <f t="shared" ca="1" si="1"/>
        <v>0</v>
      </c>
      <c r="AU12" s="879">
        <f ca="1">COUNTIFS(AT$7:$AT12,1)</f>
        <v>2</v>
      </c>
    </row>
    <row r="13" spans="1:47" ht="12.75" hidden="1" outlineLevel="1">
      <c r="A13" s="385"/>
      <c r="B13" s="1738" t="s">
        <v>185</v>
      </c>
      <c r="C13" s="313" t="s">
        <v>28</v>
      </c>
      <c r="F13" s="363" t="str">
        <f ca="1">input!F379</f>
        <v>N</v>
      </c>
      <c r="H13" s="313">
        <f ca="1">SUMIF(Paper!$A$7:$A$57,$F13,Paper!$V$7:$V$57)+SUMIF(Paper!$A$7:$A$57,$F13,Paper!$W$7:$W$57)+SUMIF(Paper!$A$7:$A$57,$F13,Paper!$X$7:$X$57)</f>
        <v>0</v>
      </c>
      <c r="I13" s="313">
        <f ca="1">IF(input!$G379&gt;0,input!G379,7000)</f>
        <v>7000</v>
      </c>
      <c r="J13" s="313" t="s">
        <v>5</v>
      </c>
      <c r="K13" s="360">
        <v>0</v>
      </c>
      <c r="L13" s="313">
        <f ca="1">IF(input!$H379&gt;0,input!$H379,2)</f>
        <v>2</v>
      </c>
      <c r="M13" s="313">
        <f t="shared" ca="1" si="2"/>
        <v>0</v>
      </c>
      <c r="N13" s="983">
        <f t="shared" ca="1" si="3"/>
        <v>0</v>
      </c>
      <c r="P13" s="313">
        <f>Data!$N$1157</f>
        <v>57554.664656607813</v>
      </c>
      <c r="Q13" s="313">
        <f t="shared" ca="1" si="0"/>
        <v>0</v>
      </c>
      <c r="R13" s="313">
        <f t="shared" ca="1" si="4"/>
        <v>0</v>
      </c>
      <c r="S13" s="1741">
        <f t="shared" ca="1" si="5"/>
        <v>0</v>
      </c>
      <c r="T13" s="313" t="str">
        <f ca="1">input!J379</f>
        <v>N</v>
      </c>
      <c r="V13" s="3115" t="str">
        <f>input!K379</f>
        <v>Packaging</v>
      </c>
      <c r="W13" s="3115">
        <f t="shared" ca="1" si="6"/>
        <v>0</v>
      </c>
      <c r="X13" s="3119">
        <f>VLOOKUP(V13,'Fix Cost'!$K$177:$M$179,2,0)</f>
        <v>58449.923860467366</v>
      </c>
      <c r="Y13" s="3119">
        <f>VLOOKUP(V13,'Fix Cost'!$K$177:$M$179,3,0)</f>
        <v>267411.04680782068</v>
      </c>
      <c r="Z13" s="3119">
        <f t="shared" ca="1" si="7"/>
        <v>0</v>
      </c>
      <c r="AA13" s="3115">
        <f t="shared" ca="1" si="8"/>
        <v>0</v>
      </c>
      <c r="AB13" s="3115">
        <f t="shared" ca="1" si="9"/>
        <v>0</v>
      </c>
      <c r="AK13" s="313"/>
      <c r="AL13" s="313"/>
      <c r="AM13" s="313"/>
      <c r="AO13" s="1043"/>
      <c r="AP13" s="1043"/>
      <c r="AQ13" s="1047"/>
      <c r="AR13" s="1048"/>
      <c r="AS13" s="385"/>
      <c r="AT13" s="879">
        <f t="shared" ca="1" si="1"/>
        <v>0</v>
      </c>
      <c r="AU13" s="879">
        <f ca="1">COUNTIFS(AT$7:$AT13,1)</f>
        <v>2</v>
      </c>
    </row>
    <row r="14" spans="1:47" ht="12.75" hidden="1" outlineLevel="1">
      <c r="A14" s="385"/>
      <c r="B14" s="1738" t="s">
        <v>185</v>
      </c>
      <c r="C14" s="313" t="s">
        <v>28</v>
      </c>
      <c r="F14" s="363" t="str">
        <f ca="1">input!F380</f>
        <v>N</v>
      </c>
      <c r="H14" s="313">
        <f ca="1">SUMIF(Paper!$A$7:$A$57,$F14,Paper!$V$7:$V$57)+SUMIF(Paper!$A$7:$A$57,$F14,Paper!$W$7:$W$57)+SUMIF(Paper!$A$7:$A$57,$F14,Paper!$X$7:$X$57)</f>
        <v>0</v>
      </c>
      <c r="I14" s="313">
        <f ca="1">IF(input!$G380&gt;0,input!G380,7000)</f>
        <v>7000</v>
      </c>
      <c r="J14" s="313" t="s">
        <v>5</v>
      </c>
      <c r="K14" s="360">
        <v>0</v>
      </c>
      <c r="L14" s="313">
        <f ca="1">IF(input!$H380&gt;0,input!$H380,2)</f>
        <v>2</v>
      </c>
      <c r="M14" s="313">
        <f t="shared" ca="1" si="2"/>
        <v>0</v>
      </c>
      <c r="N14" s="983">
        <f t="shared" ca="1" si="3"/>
        <v>0</v>
      </c>
      <c r="P14" s="313">
        <f>Data!$N$1157</f>
        <v>57554.664656607813</v>
      </c>
      <c r="Q14" s="313">
        <f t="shared" ca="1" si="0"/>
        <v>0</v>
      </c>
      <c r="R14" s="313">
        <f t="shared" ca="1" si="4"/>
        <v>0</v>
      </c>
      <c r="S14" s="1741">
        <f t="shared" ca="1" si="5"/>
        <v>0</v>
      </c>
      <c r="T14" s="313" t="str">
        <f ca="1">input!J380</f>
        <v>N</v>
      </c>
      <c r="V14" s="3115" t="str">
        <f>input!K380</f>
        <v>Packaging</v>
      </c>
      <c r="W14" s="3115">
        <f t="shared" ca="1" si="6"/>
        <v>0</v>
      </c>
      <c r="X14" s="3119">
        <f>VLOOKUP(V14,'Fix Cost'!$K$177:$M$179,2,0)</f>
        <v>58449.923860467366</v>
      </c>
      <c r="Y14" s="3119">
        <f>VLOOKUP(V14,'Fix Cost'!$K$177:$M$179,3,0)</f>
        <v>267411.04680782068</v>
      </c>
      <c r="Z14" s="3119">
        <f t="shared" ca="1" si="7"/>
        <v>0</v>
      </c>
      <c r="AA14" s="3115">
        <f t="shared" ca="1" si="8"/>
        <v>0</v>
      </c>
      <c r="AB14" s="3115">
        <f t="shared" ca="1" si="9"/>
        <v>0</v>
      </c>
      <c r="AK14" s="313"/>
      <c r="AL14" s="313"/>
      <c r="AM14" s="313"/>
      <c r="AO14" s="1043"/>
      <c r="AP14" s="1043"/>
      <c r="AQ14" s="1047"/>
      <c r="AR14" s="1048"/>
      <c r="AS14" s="385"/>
      <c r="AT14" s="879">
        <f t="shared" ca="1" si="1"/>
        <v>0</v>
      </c>
      <c r="AU14" s="879">
        <f ca="1">COUNTIFS(AT$7:$AT14,1)</f>
        <v>2</v>
      </c>
    </row>
    <row r="15" spans="1:47" ht="12.75" hidden="1" outlineLevel="1">
      <c r="A15" s="385"/>
      <c r="B15" s="1738" t="s">
        <v>185</v>
      </c>
      <c r="C15" s="313" t="s">
        <v>28</v>
      </c>
      <c r="F15" s="363" t="str">
        <f ca="1">input!F381</f>
        <v>N</v>
      </c>
      <c r="H15" s="313">
        <f ca="1">SUMIF(Paper!$A$7:$A$57,$F15,Paper!$V$7:$V$57)+SUMIF(Paper!$A$7:$A$57,$F15,Paper!$W$7:$W$57)+SUMIF(Paper!$A$7:$A$57,$F15,Paper!$X$7:$X$57)</f>
        <v>0</v>
      </c>
      <c r="I15" s="313">
        <f ca="1">IF(input!$G381&gt;0,input!G381,7000)</f>
        <v>7000</v>
      </c>
      <c r="J15" s="313" t="s">
        <v>5</v>
      </c>
      <c r="K15" s="360">
        <v>0</v>
      </c>
      <c r="L15" s="313">
        <f ca="1">IF(input!$H381&gt;0,input!$H381,2)</f>
        <v>2</v>
      </c>
      <c r="M15" s="313">
        <f t="shared" ca="1" si="2"/>
        <v>0</v>
      </c>
      <c r="N15" s="983">
        <f t="shared" ca="1" si="3"/>
        <v>0</v>
      </c>
      <c r="P15" s="313">
        <f>Data!$N$1157</f>
        <v>57554.664656607813</v>
      </c>
      <c r="Q15" s="313">
        <f t="shared" ca="1" si="0"/>
        <v>0</v>
      </c>
      <c r="R15" s="313">
        <f t="shared" ca="1" si="4"/>
        <v>0</v>
      </c>
      <c r="S15" s="1741">
        <f t="shared" ca="1" si="5"/>
        <v>0</v>
      </c>
      <c r="T15" s="313" t="str">
        <f ca="1">input!J381</f>
        <v>N</v>
      </c>
      <c r="V15" s="3115" t="str">
        <f>input!K381</f>
        <v>Packaging</v>
      </c>
      <c r="W15" s="3115">
        <f t="shared" ca="1" si="6"/>
        <v>0</v>
      </c>
      <c r="X15" s="3119">
        <f>VLOOKUP(V15,'Fix Cost'!$K$177:$M$179,2,0)</f>
        <v>58449.923860467366</v>
      </c>
      <c r="Y15" s="3119">
        <f>VLOOKUP(V15,'Fix Cost'!$K$177:$M$179,3,0)</f>
        <v>267411.04680782068</v>
      </c>
      <c r="Z15" s="3119">
        <f t="shared" ca="1" si="7"/>
        <v>0</v>
      </c>
      <c r="AA15" s="3115">
        <f t="shared" ca="1" si="8"/>
        <v>0</v>
      </c>
      <c r="AB15" s="3115">
        <f t="shared" ca="1" si="9"/>
        <v>0</v>
      </c>
      <c r="AK15" s="313"/>
      <c r="AL15" s="313"/>
      <c r="AM15" s="313"/>
      <c r="AO15" s="1043"/>
      <c r="AP15" s="1043"/>
      <c r="AQ15" s="1047"/>
      <c r="AR15" s="1048"/>
      <c r="AS15" s="385"/>
      <c r="AT15" s="879">
        <f t="shared" ca="1" si="1"/>
        <v>0</v>
      </c>
      <c r="AU15" s="879">
        <f ca="1">COUNTIFS(AT$7:$AT15,1)</f>
        <v>2</v>
      </c>
    </row>
    <row r="16" spans="1:47" ht="12.75" hidden="1" outlineLevel="1">
      <c r="A16" s="385"/>
      <c r="B16" s="1738" t="s">
        <v>185</v>
      </c>
      <c r="C16" s="313" t="s">
        <v>28</v>
      </c>
      <c r="F16" s="363" t="str">
        <f ca="1">input!F382</f>
        <v>N</v>
      </c>
      <c r="H16" s="313">
        <f ca="1">SUMIF(Paper!$A$7:$A$57,$F16,Paper!$V$7:$V$57)+SUMIF(Paper!$A$7:$A$57,$F16,Paper!$W$7:$W$57)+SUMIF(Paper!$A$7:$A$57,$F16,Paper!$X$7:$X$57)</f>
        <v>0</v>
      </c>
      <c r="I16" s="313">
        <f ca="1">IF(input!$G382&gt;0,input!G382,7000)</f>
        <v>7000</v>
      </c>
      <c r="J16" s="313" t="s">
        <v>5</v>
      </c>
      <c r="K16" s="360">
        <v>0</v>
      </c>
      <c r="L16" s="313">
        <f ca="1">IF(input!$H382&gt;0,input!$H382,2)</f>
        <v>2</v>
      </c>
      <c r="M16" s="313">
        <f t="shared" ca="1" si="2"/>
        <v>0</v>
      </c>
      <c r="N16" s="983">
        <f t="shared" ca="1" si="3"/>
        <v>0</v>
      </c>
      <c r="P16" s="313">
        <f>Data!$N$1157</f>
        <v>57554.664656607813</v>
      </c>
      <c r="Q16" s="313">
        <f t="shared" ca="1" si="0"/>
        <v>0</v>
      </c>
      <c r="R16" s="313">
        <f t="shared" ca="1" si="4"/>
        <v>0</v>
      </c>
      <c r="S16" s="1741">
        <f t="shared" ca="1" si="5"/>
        <v>0</v>
      </c>
      <c r="T16" s="313" t="str">
        <f ca="1">input!J382</f>
        <v>N</v>
      </c>
      <c r="V16" s="3115" t="str">
        <f>input!K382</f>
        <v>Packaging</v>
      </c>
      <c r="W16" s="3115">
        <f t="shared" ca="1" si="6"/>
        <v>0</v>
      </c>
      <c r="X16" s="3119">
        <f>VLOOKUP(V16,'Fix Cost'!$K$177:$M$179,2,0)</f>
        <v>58449.923860467366</v>
      </c>
      <c r="Y16" s="3119">
        <f>VLOOKUP(V16,'Fix Cost'!$K$177:$M$179,3,0)</f>
        <v>267411.04680782068</v>
      </c>
      <c r="Z16" s="3119">
        <f t="shared" ca="1" si="7"/>
        <v>0</v>
      </c>
      <c r="AA16" s="3115">
        <f t="shared" ca="1" si="8"/>
        <v>0</v>
      </c>
      <c r="AB16" s="3115">
        <f t="shared" ca="1" si="9"/>
        <v>0</v>
      </c>
      <c r="AK16" s="313"/>
      <c r="AL16" s="313"/>
      <c r="AM16" s="313"/>
      <c r="AO16" s="1043"/>
      <c r="AP16" s="1043"/>
      <c r="AQ16" s="1047"/>
      <c r="AR16" s="1048"/>
      <c r="AS16" s="385"/>
      <c r="AT16" s="879">
        <f t="shared" ca="1" si="1"/>
        <v>0</v>
      </c>
      <c r="AU16" s="879">
        <f ca="1">COUNTIFS(AT$7:$AT16,1)</f>
        <v>2</v>
      </c>
    </row>
    <row r="17" spans="1:47" ht="12.75" hidden="1" outlineLevel="1">
      <c r="A17" s="385"/>
      <c r="B17" s="1738" t="s">
        <v>185</v>
      </c>
      <c r="C17" s="313" t="s">
        <v>28</v>
      </c>
      <c r="F17" s="363" t="str">
        <f ca="1">input!F383</f>
        <v>N</v>
      </c>
      <c r="H17" s="313">
        <f ca="1">SUMIF(Paper!$A$7:$A$57,$F17,Paper!$V$7:$V$57)+SUMIF(Paper!$A$7:$A$57,$F17,Paper!$W$7:$W$57)+SUMIF(Paper!$A$7:$A$57,$F17,Paper!$X$7:$X$57)</f>
        <v>0</v>
      </c>
      <c r="I17" s="313">
        <f ca="1">IF(input!$G383&gt;0,input!G383,7000)</f>
        <v>7000</v>
      </c>
      <c r="J17" s="313" t="s">
        <v>5</v>
      </c>
      <c r="K17" s="360">
        <v>0</v>
      </c>
      <c r="L17" s="313">
        <f ca="1">IF(input!$H383&gt;0,input!$H383,2)</f>
        <v>2</v>
      </c>
      <c r="M17" s="313">
        <f t="shared" ca="1" si="2"/>
        <v>0</v>
      </c>
      <c r="N17" s="983">
        <f t="shared" ca="1" si="3"/>
        <v>0</v>
      </c>
      <c r="P17" s="313">
        <f>Data!$N$1157</f>
        <v>57554.664656607813</v>
      </c>
      <c r="Q17" s="313">
        <f t="shared" ca="1" si="0"/>
        <v>0</v>
      </c>
      <c r="R17" s="313">
        <f t="shared" ca="1" si="4"/>
        <v>0</v>
      </c>
      <c r="S17" s="1741">
        <f t="shared" ca="1" si="5"/>
        <v>0</v>
      </c>
      <c r="T17" s="313" t="str">
        <f ca="1">input!J383</f>
        <v>N</v>
      </c>
      <c r="V17" s="3115" t="str">
        <f>input!K383</f>
        <v>Packaging</v>
      </c>
      <c r="W17" s="3115">
        <f t="shared" ca="1" si="6"/>
        <v>0</v>
      </c>
      <c r="X17" s="3119">
        <f>VLOOKUP(V17,'Fix Cost'!$K$177:$M$179,2,0)</f>
        <v>58449.923860467366</v>
      </c>
      <c r="Y17" s="3119">
        <f>VLOOKUP(V17,'Fix Cost'!$K$177:$M$179,3,0)</f>
        <v>267411.04680782068</v>
      </c>
      <c r="Z17" s="3119">
        <f t="shared" ca="1" si="7"/>
        <v>0</v>
      </c>
      <c r="AA17" s="3115">
        <f t="shared" ca="1" si="8"/>
        <v>0</v>
      </c>
      <c r="AB17" s="3115">
        <f t="shared" ca="1" si="9"/>
        <v>0</v>
      </c>
      <c r="AK17" s="313"/>
      <c r="AL17" s="313"/>
      <c r="AM17" s="313"/>
      <c r="AO17" s="1043"/>
      <c r="AP17" s="1043"/>
      <c r="AQ17" s="1047"/>
      <c r="AR17" s="1048"/>
      <c r="AS17" s="385"/>
      <c r="AT17" s="879">
        <f t="shared" ca="1" si="1"/>
        <v>0</v>
      </c>
      <c r="AU17" s="879">
        <f ca="1">COUNTIFS(AT$7:$AT17,1)</f>
        <v>2</v>
      </c>
    </row>
    <row r="18" spans="1:47" ht="12.75" hidden="1" outlineLevel="1">
      <c r="A18" s="385"/>
      <c r="B18" s="1738" t="s">
        <v>185</v>
      </c>
      <c r="C18" s="313" t="s">
        <v>28</v>
      </c>
      <c r="F18" s="363" t="str">
        <f ca="1">input!F384</f>
        <v>N</v>
      </c>
      <c r="H18" s="313">
        <f ca="1">SUMIF(Paper!$A$7:$A$57,$F18,Paper!$V$7:$V$57)+SUMIF(Paper!$A$7:$A$57,$F18,Paper!$W$7:$W$57)+SUMIF(Paper!$A$7:$A$57,$F18,Paper!$X$7:$X$57)</f>
        <v>0</v>
      </c>
      <c r="I18" s="313">
        <f ca="1">IF(input!$G384&gt;0,input!G384,7000)</f>
        <v>7000</v>
      </c>
      <c r="J18" s="313" t="s">
        <v>5</v>
      </c>
      <c r="K18" s="360">
        <v>0</v>
      </c>
      <c r="L18" s="313">
        <f ca="1">IF(input!$H384&gt;0,input!$H384,2)</f>
        <v>2</v>
      </c>
      <c r="M18" s="313">
        <f t="shared" ca="1" si="2"/>
        <v>0</v>
      </c>
      <c r="N18" s="983">
        <f t="shared" ca="1" si="3"/>
        <v>0</v>
      </c>
      <c r="P18" s="313">
        <f>Data!$N$1157</f>
        <v>57554.664656607813</v>
      </c>
      <c r="Q18" s="313">
        <f t="shared" ca="1" si="0"/>
        <v>0</v>
      </c>
      <c r="R18" s="313">
        <f t="shared" ca="1" si="4"/>
        <v>0</v>
      </c>
      <c r="S18" s="1741">
        <f t="shared" ca="1" si="5"/>
        <v>0</v>
      </c>
      <c r="T18" s="313" t="str">
        <f ca="1">input!J384</f>
        <v>N</v>
      </c>
      <c r="V18" s="3115" t="str">
        <f>input!K384</f>
        <v>Packaging</v>
      </c>
      <c r="W18" s="3115">
        <f t="shared" ca="1" si="6"/>
        <v>0</v>
      </c>
      <c r="X18" s="3119">
        <f>VLOOKUP(V18,'Fix Cost'!$K$177:$M$179,2,0)</f>
        <v>58449.923860467366</v>
      </c>
      <c r="Y18" s="3119">
        <f>VLOOKUP(V18,'Fix Cost'!$K$177:$M$179,3,0)</f>
        <v>267411.04680782068</v>
      </c>
      <c r="Z18" s="3119">
        <f t="shared" ca="1" si="7"/>
        <v>0</v>
      </c>
      <c r="AA18" s="3115">
        <f t="shared" ca="1" si="8"/>
        <v>0</v>
      </c>
      <c r="AB18" s="3115">
        <f t="shared" ca="1" si="9"/>
        <v>0</v>
      </c>
      <c r="AK18" s="313"/>
      <c r="AL18" s="313"/>
      <c r="AM18" s="313"/>
      <c r="AO18" s="1043"/>
      <c r="AP18" s="1043"/>
      <c r="AQ18" s="1047"/>
      <c r="AR18" s="1048"/>
      <c r="AS18" s="385"/>
      <c r="AT18" s="879">
        <f t="shared" ca="1" si="1"/>
        <v>0</v>
      </c>
      <c r="AU18" s="879">
        <f ca="1">COUNTIFS(AT$7:$AT18,1)</f>
        <v>2</v>
      </c>
    </row>
    <row r="19" spans="1:47" ht="12.75" hidden="1" outlineLevel="1">
      <c r="A19" s="385"/>
      <c r="B19" s="1738" t="s">
        <v>185</v>
      </c>
      <c r="C19" s="313" t="s">
        <v>28</v>
      </c>
      <c r="F19" s="363" t="str">
        <f ca="1">input!F385</f>
        <v>N</v>
      </c>
      <c r="H19" s="313">
        <f ca="1">SUMIF(Paper!$A$7:$A$57,$F19,Paper!$V$7:$V$57)+SUMIF(Paper!$A$7:$A$57,$F19,Paper!$W$7:$W$57)+SUMIF(Paper!$A$7:$A$57,$F19,Paper!$X$7:$X$57)</f>
        <v>0</v>
      </c>
      <c r="I19" s="313">
        <f ca="1">IF(input!$G385&gt;0,input!G385,7000)</f>
        <v>7000</v>
      </c>
      <c r="J19" s="313" t="s">
        <v>5</v>
      </c>
      <c r="K19" s="360">
        <v>0</v>
      </c>
      <c r="L19" s="313">
        <f ca="1">IF(input!$H385&gt;0,input!$H385,2)</f>
        <v>2</v>
      </c>
      <c r="M19" s="313">
        <f t="shared" ca="1" si="2"/>
        <v>0</v>
      </c>
      <c r="N19" s="983">
        <f t="shared" ca="1" si="3"/>
        <v>0</v>
      </c>
      <c r="P19" s="313">
        <f>Data!$N$1157</f>
        <v>57554.664656607813</v>
      </c>
      <c r="Q19" s="313">
        <f t="shared" ca="1" si="0"/>
        <v>0</v>
      </c>
      <c r="R19" s="313">
        <f t="shared" ca="1" si="4"/>
        <v>0</v>
      </c>
      <c r="S19" s="1741">
        <f t="shared" ca="1" si="5"/>
        <v>0</v>
      </c>
      <c r="T19" s="313" t="str">
        <f ca="1">input!J385</f>
        <v>N</v>
      </c>
      <c r="V19" s="3115" t="str">
        <f>input!K385</f>
        <v>Packaging</v>
      </c>
      <c r="W19" s="3115">
        <f t="shared" ca="1" si="6"/>
        <v>0</v>
      </c>
      <c r="X19" s="3119">
        <f>VLOOKUP(V19,'Fix Cost'!$K$177:$M$179,2,0)</f>
        <v>58449.923860467366</v>
      </c>
      <c r="Y19" s="3119">
        <f>VLOOKUP(V19,'Fix Cost'!$K$177:$M$179,3,0)</f>
        <v>267411.04680782068</v>
      </c>
      <c r="Z19" s="3119">
        <f t="shared" ca="1" si="7"/>
        <v>0</v>
      </c>
      <c r="AA19" s="3115">
        <f t="shared" ca="1" si="8"/>
        <v>0</v>
      </c>
      <c r="AB19" s="3115">
        <f t="shared" ca="1" si="9"/>
        <v>0</v>
      </c>
      <c r="AK19" s="313"/>
      <c r="AL19" s="313"/>
      <c r="AM19" s="313"/>
      <c r="AO19" s="1043"/>
      <c r="AP19" s="1043"/>
      <c r="AQ19" s="1047"/>
      <c r="AR19" s="1048"/>
      <c r="AS19" s="385"/>
      <c r="AT19" s="879">
        <f t="shared" ca="1" si="1"/>
        <v>0</v>
      </c>
      <c r="AU19" s="879">
        <f ca="1">COUNTIFS(AT$7:$AT19,1)</f>
        <v>2</v>
      </c>
    </row>
    <row r="20" spans="1:47" ht="12.75" hidden="1" outlineLevel="1">
      <c r="A20" s="385"/>
      <c r="B20" s="1738" t="s">
        <v>185</v>
      </c>
      <c r="C20" s="313" t="s">
        <v>28</v>
      </c>
      <c r="F20" s="363" t="str">
        <f ca="1">input!F386</f>
        <v>N</v>
      </c>
      <c r="H20" s="313">
        <f ca="1">SUMIF(Paper!$A$7:$A$57,$F20,Paper!$V$7:$V$57)+SUMIF(Paper!$A$7:$A$57,$F20,Paper!$W$7:$W$57)+SUMIF(Paper!$A$7:$A$57,$F20,Paper!$X$7:$X$57)</f>
        <v>0</v>
      </c>
      <c r="I20" s="313">
        <f ca="1">IF(input!$G386&gt;0,input!G386,7000)</f>
        <v>7000</v>
      </c>
      <c r="J20" s="313" t="s">
        <v>5</v>
      </c>
      <c r="K20" s="360">
        <v>0</v>
      </c>
      <c r="L20" s="313">
        <f ca="1">IF(input!$H386&gt;0,input!$H386,2)</f>
        <v>2</v>
      </c>
      <c r="M20" s="313">
        <f t="shared" ca="1" si="2"/>
        <v>0</v>
      </c>
      <c r="N20" s="983">
        <f t="shared" ca="1" si="3"/>
        <v>0</v>
      </c>
      <c r="P20" s="313">
        <f>Data!$N$1157</f>
        <v>57554.664656607813</v>
      </c>
      <c r="Q20" s="313">
        <f t="shared" ca="1" si="0"/>
        <v>0</v>
      </c>
      <c r="R20" s="313">
        <f t="shared" ca="1" si="4"/>
        <v>0</v>
      </c>
      <c r="S20" s="1741">
        <f t="shared" ca="1" si="5"/>
        <v>0</v>
      </c>
      <c r="T20" s="313" t="str">
        <f ca="1">input!J386</f>
        <v>N</v>
      </c>
      <c r="V20" s="3115" t="str">
        <f>input!K386</f>
        <v>Packaging</v>
      </c>
      <c r="W20" s="3115">
        <f t="shared" ca="1" si="6"/>
        <v>0</v>
      </c>
      <c r="X20" s="3119">
        <f>VLOOKUP(V20,'Fix Cost'!$K$177:$M$179,2,0)</f>
        <v>58449.923860467366</v>
      </c>
      <c r="Y20" s="3119">
        <f>VLOOKUP(V20,'Fix Cost'!$K$177:$M$179,3,0)</f>
        <v>267411.04680782068</v>
      </c>
      <c r="Z20" s="3119">
        <f t="shared" ca="1" si="7"/>
        <v>0</v>
      </c>
      <c r="AA20" s="3115">
        <f t="shared" ca="1" si="8"/>
        <v>0</v>
      </c>
      <c r="AB20" s="3115">
        <f t="shared" ca="1" si="9"/>
        <v>0</v>
      </c>
      <c r="AK20" s="313"/>
      <c r="AL20" s="313"/>
      <c r="AM20" s="313"/>
      <c r="AO20" s="1043"/>
      <c r="AP20" s="1043"/>
      <c r="AQ20" s="1047"/>
      <c r="AR20" s="1048"/>
      <c r="AS20" s="385"/>
      <c r="AT20" s="879">
        <f t="shared" ca="1" si="1"/>
        <v>0</v>
      </c>
      <c r="AU20" s="879">
        <f ca="1">COUNTIFS(AT$7:$AT20,1)</f>
        <v>2</v>
      </c>
    </row>
    <row r="21" spans="1:47" ht="12.75" hidden="1" outlineLevel="1">
      <c r="A21" s="385"/>
      <c r="B21" s="1738" t="s">
        <v>185</v>
      </c>
      <c r="C21" s="313" t="s">
        <v>28</v>
      </c>
      <c r="F21" s="363" t="str">
        <f ca="1">input!F387</f>
        <v>N</v>
      </c>
      <c r="H21" s="313">
        <f ca="1">SUMIF(Paper!$A$7:$A$57,$F21,Paper!$V$7:$V$57)+SUMIF(Paper!$A$7:$A$57,$F21,Paper!$W$7:$W$57)+SUMIF(Paper!$A$7:$A$57,$F21,Paper!$X$7:$X$57)</f>
        <v>0</v>
      </c>
      <c r="I21" s="313">
        <f ca="1">IF(input!$G387&gt;0,input!G387,7000)</f>
        <v>7000</v>
      </c>
      <c r="J21" s="313" t="s">
        <v>5</v>
      </c>
      <c r="K21" s="360">
        <v>0</v>
      </c>
      <c r="L21" s="313">
        <f ca="1">IF(input!$H387&gt;0,input!$H387,2)</f>
        <v>2</v>
      </c>
      <c r="M21" s="313">
        <f t="shared" ca="1" si="2"/>
        <v>0</v>
      </c>
      <c r="N21" s="983">
        <f t="shared" ca="1" si="3"/>
        <v>0</v>
      </c>
      <c r="P21" s="313">
        <f>Data!$N$1157</f>
        <v>57554.664656607813</v>
      </c>
      <c r="Q21" s="313">
        <f t="shared" ca="1" si="0"/>
        <v>0</v>
      </c>
      <c r="R21" s="313">
        <f t="shared" ca="1" si="4"/>
        <v>0</v>
      </c>
      <c r="S21" s="1741">
        <f t="shared" ca="1" si="5"/>
        <v>0</v>
      </c>
      <c r="T21" s="313" t="str">
        <f ca="1">input!J387</f>
        <v>N</v>
      </c>
      <c r="V21" s="3115" t="str">
        <f>input!K387</f>
        <v>Packaging</v>
      </c>
      <c r="W21" s="3115">
        <f t="shared" ca="1" si="6"/>
        <v>0</v>
      </c>
      <c r="X21" s="3119">
        <f>VLOOKUP(V21,'Fix Cost'!$K$177:$M$179,2,0)</f>
        <v>58449.923860467366</v>
      </c>
      <c r="Y21" s="3119">
        <f>VLOOKUP(V21,'Fix Cost'!$K$177:$M$179,3,0)</f>
        <v>267411.04680782068</v>
      </c>
      <c r="Z21" s="3119">
        <f t="shared" ca="1" si="7"/>
        <v>0</v>
      </c>
      <c r="AA21" s="3115">
        <f t="shared" ca="1" si="8"/>
        <v>0</v>
      </c>
      <c r="AB21" s="3115">
        <f t="shared" ca="1" si="9"/>
        <v>0</v>
      </c>
      <c r="AK21" s="313"/>
      <c r="AL21" s="313"/>
      <c r="AM21" s="313"/>
      <c r="AO21" s="1043"/>
      <c r="AP21" s="1043"/>
      <c r="AQ21" s="1047"/>
      <c r="AR21" s="1048"/>
      <c r="AS21" s="385"/>
      <c r="AT21" s="879">
        <f t="shared" ca="1" si="1"/>
        <v>0</v>
      </c>
      <c r="AU21" s="879">
        <f ca="1">COUNTIFS(AT$7:$AT21,1)</f>
        <v>2</v>
      </c>
    </row>
    <row r="22" spans="1:47" ht="12.75" hidden="1" outlineLevel="1">
      <c r="A22" s="385"/>
      <c r="B22" s="1738" t="s">
        <v>185</v>
      </c>
      <c r="C22" s="313" t="s">
        <v>28</v>
      </c>
      <c r="F22" s="363" t="str">
        <f ca="1">input!F388</f>
        <v>N</v>
      </c>
      <c r="H22" s="313">
        <f ca="1">SUMIF(Paper!$A$7:$A$57,$F22,Paper!$V$7:$V$57)+SUMIF(Paper!$A$7:$A$57,$F22,Paper!$W$7:$W$57)+SUMIF(Paper!$A$7:$A$57,$F22,Paper!$X$7:$X$57)</f>
        <v>0</v>
      </c>
      <c r="I22" s="313">
        <f ca="1">IF(input!$G388&gt;0,input!G388,7000)</f>
        <v>7000</v>
      </c>
      <c r="J22" s="313" t="s">
        <v>5</v>
      </c>
      <c r="K22" s="360">
        <v>0</v>
      </c>
      <c r="L22" s="313">
        <f ca="1">IF(input!$H388&gt;0,input!$H388,2)</f>
        <v>2</v>
      </c>
      <c r="M22" s="313">
        <f t="shared" ca="1" si="2"/>
        <v>0</v>
      </c>
      <c r="N22" s="983">
        <f t="shared" ca="1" si="3"/>
        <v>0</v>
      </c>
      <c r="P22" s="313">
        <f>Data!$N$1157</f>
        <v>57554.664656607813</v>
      </c>
      <c r="Q22" s="313">
        <f t="shared" ca="1" si="0"/>
        <v>0</v>
      </c>
      <c r="R22" s="313">
        <f t="shared" ca="1" si="4"/>
        <v>0</v>
      </c>
      <c r="S22" s="1741">
        <f t="shared" ca="1" si="5"/>
        <v>0</v>
      </c>
      <c r="T22" s="313" t="str">
        <f ca="1">input!J388</f>
        <v>N</v>
      </c>
      <c r="V22" s="3115" t="str">
        <f>input!K388</f>
        <v>Packaging</v>
      </c>
      <c r="W22" s="3115">
        <f t="shared" ca="1" si="6"/>
        <v>0</v>
      </c>
      <c r="X22" s="3119">
        <f>VLOOKUP(V22,'Fix Cost'!$K$177:$M$179,2,0)</f>
        <v>58449.923860467366</v>
      </c>
      <c r="Y22" s="3119">
        <f>VLOOKUP(V22,'Fix Cost'!$K$177:$M$179,3,0)</f>
        <v>267411.04680782068</v>
      </c>
      <c r="Z22" s="3119">
        <f t="shared" ca="1" si="7"/>
        <v>0</v>
      </c>
      <c r="AA22" s="3115">
        <f t="shared" ca="1" si="8"/>
        <v>0</v>
      </c>
      <c r="AB22" s="3115">
        <f t="shared" ca="1" si="9"/>
        <v>0</v>
      </c>
      <c r="AK22" s="313"/>
      <c r="AL22" s="313"/>
      <c r="AM22" s="313"/>
      <c r="AO22" s="1043"/>
      <c r="AP22" s="1043"/>
      <c r="AQ22" s="1047"/>
      <c r="AR22" s="1048"/>
      <c r="AS22" s="385"/>
      <c r="AT22" s="879">
        <f t="shared" ca="1" si="1"/>
        <v>0</v>
      </c>
      <c r="AU22" s="879">
        <f ca="1">COUNTIFS(AT$7:$AT22,1)</f>
        <v>2</v>
      </c>
    </row>
    <row r="23" spans="1:47" ht="12.75" hidden="1" outlineLevel="1">
      <c r="A23" s="385"/>
      <c r="B23" s="1738" t="s">
        <v>185</v>
      </c>
      <c r="C23" s="313" t="s">
        <v>28</v>
      </c>
      <c r="F23" s="363" t="str">
        <f ca="1">input!F389</f>
        <v>N</v>
      </c>
      <c r="H23" s="313">
        <f ca="1">SUMIF(Paper!$A$7:$A$57,$F23,Paper!$V$7:$V$57)+SUMIF(Paper!$A$7:$A$57,$F23,Paper!$W$7:$W$57)+SUMIF(Paper!$A$7:$A$57,$F23,Paper!$X$7:$X$57)</f>
        <v>0</v>
      </c>
      <c r="I23" s="313">
        <f ca="1">IF(input!$G389&gt;0,input!G389,7000)</f>
        <v>7000</v>
      </c>
      <c r="J23" s="313" t="s">
        <v>5</v>
      </c>
      <c r="K23" s="360">
        <v>0</v>
      </c>
      <c r="L23" s="313">
        <f ca="1">IF(input!$H389&gt;0,input!$H389,2)</f>
        <v>2</v>
      </c>
      <c r="M23" s="313">
        <f t="shared" ca="1" si="2"/>
        <v>0</v>
      </c>
      <c r="N23" s="983">
        <f t="shared" ca="1" si="3"/>
        <v>0</v>
      </c>
      <c r="P23" s="313">
        <f>Data!$N$1157</f>
        <v>57554.664656607813</v>
      </c>
      <c r="Q23" s="313">
        <f t="shared" ca="1" si="0"/>
        <v>0</v>
      </c>
      <c r="R23" s="313">
        <f t="shared" ca="1" si="4"/>
        <v>0</v>
      </c>
      <c r="S23" s="1741">
        <f t="shared" ca="1" si="5"/>
        <v>0</v>
      </c>
      <c r="T23" s="313" t="str">
        <f ca="1">input!J389</f>
        <v>N</v>
      </c>
      <c r="V23" s="3115" t="str">
        <f>input!K389</f>
        <v>Packaging</v>
      </c>
      <c r="W23" s="3115">
        <f t="shared" ca="1" si="6"/>
        <v>0</v>
      </c>
      <c r="X23" s="3119">
        <f>VLOOKUP(V23,'Fix Cost'!$K$177:$M$179,2,0)</f>
        <v>58449.923860467366</v>
      </c>
      <c r="Y23" s="3119">
        <f>VLOOKUP(V23,'Fix Cost'!$K$177:$M$179,3,0)</f>
        <v>267411.04680782068</v>
      </c>
      <c r="Z23" s="3119">
        <f t="shared" ca="1" si="7"/>
        <v>0</v>
      </c>
      <c r="AA23" s="3115">
        <f t="shared" ca="1" si="8"/>
        <v>0</v>
      </c>
      <c r="AB23" s="3115">
        <f t="shared" ca="1" si="9"/>
        <v>0</v>
      </c>
      <c r="AK23" s="313"/>
      <c r="AL23" s="313"/>
      <c r="AM23" s="313"/>
      <c r="AO23" s="1043"/>
      <c r="AP23" s="1043"/>
      <c r="AQ23" s="1047"/>
      <c r="AR23" s="1048"/>
      <c r="AS23" s="385"/>
      <c r="AT23" s="879">
        <f t="shared" ca="1" si="1"/>
        <v>0</v>
      </c>
      <c r="AU23" s="879">
        <f ca="1">COUNTIFS(AT$7:$AT23,1)</f>
        <v>2</v>
      </c>
    </row>
    <row r="24" spans="1:47" ht="12.75" hidden="1" outlineLevel="1">
      <c r="A24" s="385"/>
      <c r="B24" s="1738" t="s">
        <v>185</v>
      </c>
      <c r="C24" s="313" t="s">
        <v>28</v>
      </c>
      <c r="F24" s="363" t="str">
        <f ca="1">input!F390</f>
        <v>N</v>
      </c>
      <c r="H24" s="313">
        <f ca="1">SUMIF(Paper!$A$7:$A$57,$F24,Paper!$V$7:$V$57)+SUMIF(Paper!$A$7:$A$57,$F24,Paper!$W$7:$W$57)+SUMIF(Paper!$A$7:$A$57,$F24,Paper!$X$7:$X$57)</f>
        <v>0</v>
      </c>
      <c r="I24" s="313">
        <f ca="1">IF(input!$G390&gt;0,input!G390,7000)</f>
        <v>7000</v>
      </c>
      <c r="J24" s="313" t="s">
        <v>5</v>
      </c>
      <c r="K24" s="360">
        <v>0</v>
      </c>
      <c r="L24" s="313">
        <f ca="1">IF(input!$H390&gt;0,input!$H390,2)</f>
        <v>2</v>
      </c>
      <c r="M24" s="313">
        <f t="shared" ca="1" si="2"/>
        <v>0</v>
      </c>
      <c r="N24" s="983">
        <f t="shared" ca="1" si="3"/>
        <v>0</v>
      </c>
      <c r="P24" s="313">
        <f>Data!$N$1157</f>
        <v>57554.664656607813</v>
      </c>
      <c r="Q24" s="313">
        <f t="shared" ca="1" si="0"/>
        <v>0</v>
      </c>
      <c r="R24" s="313">
        <f t="shared" ca="1" si="4"/>
        <v>0</v>
      </c>
      <c r="S24" s="1741">
        <f t="shared" ca="1" si="5"/>
        <v>0</v>
      </c>
      <c r="T24" s="313" t="str">
        <f ca="1">input!J390</f>
        <v>N</v>
      </c>
      <c r="V24" s="3115" t="str">
        <f>input!K390</f>
        <v>Packaging</v>
      </c>
      <c r="W24" s="3115">
        <f t="shared" ca="1" si="6"/>
        <v>0</v>
      </c>
      <c r="X24" s="3119">
        <f>VLOOKUP(V24,'Fix Cost'!$K$177:$M$179,2,0)</f>
        <v>58449.923860467366</v>
      </c>
      <c r="Y24" s="3119">
        <f>VLOOKUP(V24,'Fix Cost'!$K$177:$M$179,3,0)</f>
        <v>267411.04680782068</v>
      </c>
      <c r="Z24" s="3119">
        <f t="shared" ca="1" si="7"/>
        <v>0</v>
      </c>
      <c r="AA24" s="3115">
        <f t="shared" ca="1" si="8"/>
        <v>0</v>
      </c>
      <c r="AB24" s="3115">
        <f t="shared" ca="1" si="9"/>
        <v>0</v>
      </c>
      <c r="AK24" s="313"/>
      <c r="AL24" s="313"/>
      <c r="AM24" s="313"/>
      <c r="AO24" s="1043"/>
      <c r="AP24" s="1043"/>
      <c r="AQ24" s="1047"/>
      <c r="AR24" s="1048"/>
      <c r="AS24" s="385"/>
      <c r="AT24" s="879">
        <f t="shared" ca="1" si="1"/>
        <v>0</v>
      </c>
      <c r="AU24" s="879">
        <f ca="1">COUNTIFS(AT$7:$AT24,1)</f>
        <v>2</v>
      </c>
    </row>
    <row r="25" spans="1:47" ht="12.75" hidden="1" outlineLevel="1">
      <c r="A25" s="385"/>
      <c r="B25" s="1738" t="s">
        <v>185</v>
      </c>
      <c r="C25" s="313" t="s">
        <v>28</v>
      </c>
      <c r="F25" s="363" t="str">
        <f ca="1">input!F391</f>
        <v>N</v>
      </c>
      <c r="H25" s="313">
        <f ca="1">SUMIF(Paper!$A$7:$A$57,$F25,Paper!$V$7:$V$57)+SUMIF(Paper!$A$7:$A$57,$F25,Paper!$W$7:$W$57)+SUMIF(Paper!$A$7:$A$57,$F25,Paper!$X$7:$X$57)</f>
        <v>0</v>
      </c>
      <c r="I25" s="313">
        <f ca="1">IF(input!$G391&gt;0,input!G391,7000)</f>
        <v>7000</v>
      </c>
      <c r="J25" s="313" t="s">
        <v>5</v>
      </c>
      <c r="K25" s="360">
        <v>0</v>
      </c>
      <c r="L25" s="313">
        <f ca="1">IF(input!$H391&gt;0,input!$H391,2)</f>
        <v>2</v>
      </c>
      <c r="M25" s="313">
        <f t="shared" ca="1" si="2"/>
        <v>0</v>
      </c>
      <c r="N25" s="983">
        <f t="shared" ca="1" si="3"/>
        <v>0</v>
      </c>
      <c r="P25" s="313">
        <f>Data!$N$1157</f>
        <v>57554.664656607813</v>
      </c>
      <c r="Q25" s="313">
        <f t="shared" ca="1" si="0"/>
        <v>0</v>
      </c>
      <c r="R25" s="313">
        <f t="shared" ca="1" si="4"/>
        <v>0</v>
      </c>
      <c r="S25" s="1741">
        <f t="shared" ca="1" si="5"/>
        <v>0</v>
      </c>
      <c r="T25" s="313" t="str">
        <f ca="1">input!J391</f>
        <v>N</v>
      </c>
      <c r="V25" s="3115" t="str">
        <f>input!K391</f>
        <v>Packaging</v>
      </c>
      <c r="W25" s="3115">
        <f t="shared" ca="1" si="6"/>
        <v>0</v>
      </c>
      <c r="X25" s="3119">
        <f>VLOOKUP(V25,'Fix Cost'!$K$177:$M$179,2,0)</f>
        <v>58449.923860467366</v>
      </c>
      <c r="Y25" s="3119">
        <f>VLOOKUP(V25,'Fix Cost'!$K$177:$M$179,3,0)</f>
        <v>267411.04680782068</v>
      </c>
      <c r="Z25" s="3119">
        <f t="shared" ca="1" si="7"/>
        <v>0</v>
      </c>
      <c r="AA25" s="3115">
        <f t="shared" ca="1" si="8"/>
        <v>0</v>
      </c>
      <c r="AB25" s="3115">
        <f t="shared" ca="1" si="9"/>
        <v>0</v>
      </c>
      <c r="AK25" s="313"/>
      <c r="AL25" s="313"/>
      <c r="AM25" s="313"/>
      <c r="AO25" s="1043"/>
      <c r="AP25" s="1043"/>
      <c r="AQ25" s="1047"/>
      <c r="AR25" s="1048"/>
      <c r="AS25" s="385"/>
      <c r="AT25" s="879">
        <f t="shared" ca="1" si="1"/>
        <v>0</v>
      </c>
      <c r="AU25" s="879">
        <f ca="1">COUNTIFS(AT$7:$AT25,1)</f>
        <v>2</v>
      </c>
    </row>
    <row r="26" spans="1:47" ht="12.75" hidden="1" outlineLevel="1">
      <c r="A26" s="385"/>
      <c r="B26" s="1738" t="s">
        <v>185</v>
      </c>
      <c r="C26" s="313" t="s">
        <v>28</v>
      </c>
      <c r="F26" s="363" t="str">
        <f ca="1">input!F392</f>
        <v>N</v>
      </c>
      <c r="H26" s="313">
        <f ca="1">SUMIF(Paper!$A$7:$A$57,$F26,Paper!$V$7:$V$57)+SUMIF(Paper!$A$7:$A$57,$F26,Paper!$W$7:$W$57)+SUMIF(Paper!$A$7:$A$57,$F26,Paper!$X$7:$X$57)</f>
        <v>0</v>
      </c>
      <c r="I26" s="313">
        <f ca="1">IF(input!$G392&gt;0,input!G392,7000)</f>
        <v>7000</v>
      </c>
      <c r="J26" s="313" t="s">
        <v>5</v>
      </c>
      <c r="K26" s="360">
        <v>0</v>
      </c>
      <c r="L26" s="313">
        <f ca="1">IF(input!$H392&gt;0,input!$H392,2)</f>
        <v>2</v>
      </c>
      <c r="M26" s="313">
        <f t="shared" ca="1" si="2"/>
        <v>0</v>
      </c>
      <c r="N26" s="983">
        <f t="shared" ca="1" si="3"/>
        <v>0</v>
      </c>
      <c r="P26" s="313">
        <f>Data!$N$1157</f>
        <v>57554.664656607813</v>
      </c>
      <c r="Q26" s="313">
        <f t="shared" ca="1" si="0"/>
        <v>0</v>
      </c>
      <c r="R26" s="313">
        <f t="shared" ca="1" si="4"/>
        <v>0</v>
      </c>
      <c r="S26" s="1741">
        <f t="shared" ca="1" si="5"/>
        <v>0</v>
      </c>
      <c r="T26" s="313" t="str">
        <f ca="1">input!J392</f>
        <v>N</v>
      </c>
      <c r="V26" s="3115" t="str">
        <f>input!K392</f>
        <v>Packaging</v>
      </c>
      <c r="W26" s="3115">
        <f t="shared" ca="1" si="6"/>
        <v>0</v>
      </c>
      <c r="X26" s="3119">
        <f>VLOOKUP(V26,'Fix Cost'!$K$177:$M$179,2,0)</f>
        <v>58449.923860467366</v>
      </c>
      <c r="Y26" s="3119">
        <f>VLOOKUP(V26,'Fix Cost'!$K$177:$M$179,3,0)</f>
        <v>267411.04680782068</v>
      </c>
      <c r="Z26" s="3119">
        <f t="shared" ca="1" si="7"/>
        <v>0</v>
      </c>
      <c r="AA26" s="3115">
        <f t="shared" ca="1" si="8"/>
        <v>0</v>
      </c>
      <c r="AB26" s="3115">
        <f t="shared" ca="1" si="9"/>
        <v>0</v>
      </c>
      <c r="AK26" s="313"/>
      <c r="AL26" s="313"/>
      <c r="AM26" s="313"/>
      <c r="AO26" s="1043"/>
      <c r="AP26" s="1043"/>
      <c r="AQ26" s="1047"/>
      <c r="AR26" s="1048"/>
      <c r="AS26" s="385"/>
      <c r="AT26" s="879">
        <f t="shared" ca="1" si="1"/>
        <v>0</v>
      </c>
      <c r="AU26" s="879">
        <f ca="1">COUNTIFS(AT$7:$AT26,1)</f>
        <v>2</v>
      </c>
    </row>
    <row r="27" spans="1:47" ht="12.75" hidden="1" outlineLevel="1">
      <c r="A27" s="385"/>
      <c r="B27" s="1738" t="s">
        <v>185</v>
      </c>
      <c r="C27" s="313" t="s">
        <v>28</v>
      </c>
      <c r="F27" s="363" t="str">
        <f ca="1">input!F393</f>
        <v>N</v>
      </c>
      <c r="H27" s="313">
        <f ca="1">SUMIF(Paper!$A$7:$A$57,$F27,Paper!$V$7:$V$57)+SUMIF(Paper!$A$7:$A$57,$F27,Paper!$W$7:$W$57)+SUMIF(Paper!$A$7:$A$57,$F27,Paper!$X$7:$X$57)</f>
        <v>0</v>
      </c>
      <c r="I27" s="313">
        <f ca="1">IF(input!$G393&gt;0,input!G393,7000)</f>
        <v>7000</v>
      </c>
      <c r="J27" s="313" t="s">
        <v>5</v>
      </c>
      <c r="K27" s="360">
        <v>0</v>
      </c>
      <c r="L27" s="313">
        <f ca="1">IF(input!$H393&gt;0,input!$H393,2)</f>
        <v>2</v>
      </c>
      <c r="M27" s="313">
        <f t="shared" ca="1" si="2"/>
        <v>0</v>
      </c>
      <c r="N27" s="983">
        <f t="shared" ca="1" si="3"/>
        <v>0</v>
      </c>
      <c r="P27" s="313">
        <f>Data!$N$1157</f>
        <v>57554.664656607813</v>
      </c>
      <c r="Q27" s="313">
        <f t="shared" ca="1" si="0"/>
        <v>0</v>
      </c>
      <c r="R27" s="313">
        <f t="shared" ca="1" si="4"/>
        <v>0</v>
      </c>
      <c r="S27" s="1741">
        <f t="shared" ca="1" si="5"/>
        <v>0</v>
      </c>
      <c r="T27" s="313" t="str">
        <f ca="1">input!J393</f>
        <v>N</v>
      </c>
      <c r="V27" s="3115" t="str">
        <f>input!K393</f>
        <v>Packaging</v>
      </c>
      <c r="W27" s="3115">
        <f t="shared" ca="1" si="6"/>
        <v>0</v>
      </c>
      <c r="X27" s="3119">
        <f>VLOOKUP(V27,'Fix Cost'!$K$177:$M$179,2,0)</f>
        <v>58449.923860467366</v>
      </c>
      <c r="Y27" s="3119">
        <f>VLOOKUP(V27,'Fix Cost'!$K$177:$M$179,3,0)</f>
        <v>267411.04680782068</v>
      </c>
      <c r="Z27" s="3119">
        <f t="shared" ca="1" si="7"/>
        <v>0</v>
      </c>
      <c r="AA27" s="3115">
        <f t="shared" ca="1" si="8"/>
        <v>0</v>
      </c>
      <c r="AB27" s="3115">
        <f t="shared" ca="1" si="9"/>
        <v>0</v>
      </c>
      <c r="AK27" s="313"/>
      <c r="AL27" s="313"/>
      <c r="AM27" s="313"/>
      <c r="AO27" s="1043"/>
      <c r="AP27" s="1043"/>
      <c r="AQ27" s="1047"/>
      <c r="AR27" s="1048"/>
      <c r="AS27" s="385"/>
      <c r="AT27" s="879">
        <f t="shared" ca="1" si="1"/>
        <v>0</v>
      </c>
      <c r="AU27" s="879">
        <f ca="1">COUNTIFS(AT$7:$AT27,1)</f>
        <v>2</v>
      </c>
    </row>
    <row r="28" spans="1:47" ht="12.75" hidden="1" outlineLevel="1">
      <c r="A28" s="385"/>
      <c r="B28" s="1738" t="s">
        <v>185</v>
      </c>
      <c r="C28" s="313" t="s">
        <v>28</v>
      </c>
      <c r="F28" s="363" t="str">
        <f ca="1">input!F394</f>
        <v>N</v>
      </c>
      <c r="H28" s="313">
        <f ca="1">SUMIF(Paper!$A$7:$A$57,$F28,Paper!$V$7:$V$57)+SUMIF(Paper!$A$7:$A$57,$F28,Paper!$W$7:$W$57)+SUMIF(Paper!$A$7:$A$57,$F28,Paper!$X$7:$X$57)</f>
        <v>0</v>
      </c>
      <c r="I28" s="313">
        <f ca="1">IF(input!$G394&gt;0,input!G394,7000)</f>
        <v>7000</v>
      </c>
      <c r="J28" s="313" t="s">
        <v>5</v>
      </c>
      <c r="K28" s="360">
        <v>0</v>
      </c>
      <c r="L28" s="313">
        <f ca="1">IF(input!$H394&gt;0,input!$H394,2)</f>
        <v>2</v>
      </c>
      <c r="M28" s="313">
        <f t="shared" ca="1" si="2"/>
        <v>0</v>
      </c>
      <c r="N28" s="983">
        <f t="shared" ca="1" si="3"/>
        <v>0</v>
      </c>
      <c r="P28" s="313">
        <f>Data!$N$1157</f>
        <v>57554.664656607813</v>
      </c>
      <c r="Q28" s="313">
        <f t="shared" ca="1" si="0"/>
        <v>0</v>
      </c>
      <c r="R28" s="313">
        <f t="shared" ca="1" si="4"/>
        <v>0</v>
      </c>
      <c r="S28" s="1741">
        <f t="shared" ca="1" si="5"/>
        <v>0</v>
      </c>
      <c r="T28" s="313" t="str">
        <f ca="1">input!J394</f>
        <v>N</v>
      </c>
      <c r="V28" s="3115" t="str">
        <f>input!K394</f>
        <v>Packaging</v>
      </c>
      <c r="W28" s="3115">
        <f t="shared" ca="1" si="6"/>
        <v>0</v>
      </c>
      <c r="X28" s="3119">
        <f>VLOOKUP(V28,'Fix Cost'!$K$177:$M$179,2,0)</f>
        <v>58449.923860467366</v>
      </c>
      <c r="Y28" s="3119">
        <f>VLOOKUP(V28,'Fix Cost'!$K$177:$M$179,3,0)</f>
        <v>267411.04680782068</v>
      </c>
      <c r="Z28" s="3119">
        <f t="shared" ca="1" si="7"/>
        <v>0</v>
      </c>
      <c r="AA28" s="3115">
        <f t="shared" ca="1" si="8"/>
        <v>0</v>
      </c>
      <c r="AB28" s="3115">
        <f t="shared" ca="1" si="9"/>
        <v>0</v>
      </c>
      <c r="AK28" s="313"/>
      <c r="AL28" s="313"/>
      <c r="AM28" s="313"/>
      <c r="AO28" s="1043"/>
      <c r="AP28" s="1043"/>
      <c r="AQ28" s="1047"/>
      <c r="AR28" s="1048"/>
      <c r="AS28" s="385"/>
      <c r="AT28" s="879">
        <f t="shared" ca="1" si="1"/>
        <v>0</v>
      </c>
      <c r="AU28" s="879">
        <f ca="1">COUNTIFS(AT$7:$AT28,1)</f>
        <v>2</v>
      </c>
    </row>
    <row r="29" spans="1:47" ht="12.75" hidden="1" outlineLevel="1">
      <c r="A29" s="385"/>
      <c r="B29" s="1738" t="s">
        <v>185</v>
      </c>
      <c r="C29" s="313" t="s">
        <v>28</v>
      </c>
      <c r="F29" s="363" t="str">
        <f ca="1">input!F395</f>
        <v>N</v>
      </c>
      <c r="H29" s="313">
        <f ca="1">SUMIF(Paper!$A$7:$A$57,$F29,Paper!$V$7:$V$57)+SUMIF(Paper!$A$7:$A$57,$F29,Paper!$W$7:$W$57)+SUMIF(Paper!$A$7:$A$57,$F29,Paper!$X$7:$X$57)</f>
        <v>0</v>
      </c>
      <c r="I29" s="313">
        <f ca="1">IF(input!$G395&gt;0,input!G395,7000)</f>
        <v>7000</v>
      </c>
      <c r="J29" s="313" t="s">
        <v>5</v>
      </c>
      <c r="K29" s="360">
        <v>0</v>
      </c>
      <c r="L29" s="313">
        <f ca="1">IF(input!$H395&gt;0,input!$H395,2)</f>
        <v>2</v>
      </c>
      <c r="M29" s="313">
        <f t="shared" ca="1" si="2"/>
        <v>0</v>
      </c>
      <c r="N29" s="983">
        <f t="shared" ca="1" si="3"/>
        <v>0</v>
      </c>
      <c r="P29" s="313">
        <f>Data!$N$1157</f>
        <v>57554.664656607813</v>
      </c>
      <c r="Q29" s="313">
        <f t="shared" ca="1" si="0"/>
        <v>0</v>
      </c>
      <c r="R29" s="313">
        <f t="shared" ca="1" si="4"/>
        <v>0</v>
      </c>
      <c r="S29" s="1741">
        <f t="shared" ca="1" si="5"/>
        <v>0</v>
      </c>
      <c r="T29" s="313" t="str">
        <f ca="1">input!J395</f>
        <v>N</v>
      </c>
      <c r="V29" s="3115" t="str">
        <f>input!K395</f>
        <v>Packaging</v>
      </c>
      <c r="W29" s="3115">
        <f t="shared" ca="1" si="6"/>
        <v>0</v>
      </c>
      <c r="X29" s="3119">
        <f>VLOOKUP(V29,'Fix Cost'!$K$177:$M$179,2,0)</f>
        <v>58449.923860467366</v>
      </c>
      <c r="Y29" s="3119">
        <f>VLOOKUP(V29,'Fix Cost'!$K$177:$M$179,3,0)</f>
        <v>267411.04680782068</v>
      </c>
      <c r="Z29" s="3119">
        <f t="shared" ca="1" si="7"/>
        <v>0</v>
      </c>
      <c r="AA29" s="3115">
        <f t="shared" ca="1" si="8"/>
        <v>0</v>
      </c>
      <c r="AB29" s="3115">
        <f t="shared" ca="1" si="9"/>
        <v>0</v>
      </c>
      <c r="AK29" s="313"/>
      <c r="AL29" s="313"/>
      <c r="AM29" s="313"/>
      <c r="AO29" s="1043"/>
      <c r="AP29" s="1043"/>
      <c r="AQ29" s="1047"/>
      <c r="AR29" s="1048"/>
      <c r="AS29" s="385"/>
      <c r="AT29" s="879">
        <f t="shared" ca="1" si="1"/>
        <v>0</v>
      </c>
      <c r="AU29" s="879">
        <f ca="1">COUNTIFS(AT$7:$AT29,1)</f>
        <v>2</v>
      </c>
    </row>
    <row r="30" spans="1:47" ht="12.75" hidden="1" outlineLevel="1">
      <c r="A30" s="385"/>
      <c r="B30" s="1738" t="s">
        <v>185</v>
      </c>
      <c r="C30" s="313" t="s">
        <v>28</v>
      </c>
      <c r="F30" s="363" t="str">
        <f ca="1">input!F396</f>
        <v>N</v>
      </c>
      <c r="H30" s="313">
        <f ca="1">SUMIF(Paper!$A$7:$A$57,$F30,Paper!$V$7:$V$57)+SUMIF(Paper!$A$7:$A$57,$F30,Paper!$W$7:$W$57)+SUMIF(Paper!$A$7:$A$57,$F30,Paper!$X$7:$X$57)</f>
        <v>0</v>
      </c>
      <c r="I30" s="313">
        <f ca="1">IF(input!$G396&gt;0,input!G396,7000)</f>
        <v>7000</v>
      </c>
      <c r="J30" s="313" t="s">
        <v>5</v>
      </c>
      <c r="K30" s="360">
        <v>0</v>
      </c>
      <c r="L30" s="313">
        <f ca="1">IF(input!$H396&gt;0,input!$H396,2)</f>
        <v>2</v>
      </c>
      <c r="M30" s="313">
        <f t="shared" ca="1" si="2"/>
        <v>0</v>
      </c>
      <c r="N30" s="983">
        <f t="shared" ca="1" si="3"/>
        <v>0</v>
      </c>
      <c r="P30" s="313">
        <f>Data!$N$1157</f>
        <v>57554.664656607813</v>
      </c>
      <c r="Q30" s="313">
        <f t="shared" ca="1" si="0"/>
        <v>0</v>
      </c>
      <c r="R30" s="313">
        <f t="shared" ca="1" si="4"/>
        <v>0</v>
      </c>
      <c r="S30" s="1741">
        <f t="shared" ca="1" si="5"/>
        <v>0</v>
      </c>
      <c r="T30" s="313" t="str">
        <f ca="1">input!J396</f>
        <v>N</v>
      </c>
      <c r="V30" s="3115" t="str">
        <f>input!K396</f>
        <v>Packaging</v>
      </c>
      <c r="W30" s="3115">
        <f t="shared" ca="1" si="6"/>
        <v>0</v>
      </c>
      <c r="X30" s="3119">
        <f>VLOOKUP(V30,'Fix Cost'!$K$177:$M$179,2,0)</f>
        <v>58449.923860467366</v>
      </c>
      <c r="Y30" s="3119">
        <f>VLOOKUP(V30,'Fix Cost'!$K$177:$M$179,3,0)</f>
        <v>267411.04680782068</v>
      </c>
      <c r="Z30" s="3119">
        <f t="shared" ca="1" si="7"/>
        <v>0</v>
      </c>
      <c r="AA30" s="3115">
        <f t="shared" ca="1" si="8"/>
        <v>0</v>
      </c>
      <c r="AB30" s="3115">
        <f t="shared" ca="1" si="9"/>
        <v>0</v>
      </c>
      <c r="AK30" s="313"/>
      <c r="AL30" s="313"/>
      <c r="AM30" s="313"/>
      <c r="AO30" s="1043"/>
      <c r="AP30" s="1043"/>
      <c r="AQ30" s="1047"/>
      <c r="AR30" s="1048"/>
      <c r="AS30" s="385"/>
      <c r="AT30" s="879">
        <f t="shared" ca="1" si="1"/>
        <v>0</v>
      </c>
      <c r="AU30" s="879">
        <f ca="1">COUNTIFS(AT$7:$AT30,1)</f>
        <v>2</v>
      </c>
    </row>
    <row r="31" spans="1:47" ht="12.75" hidden="1" outlineLevel="1">
      <c r="A31" s="385"/>
      <c r="B31" s="1738" t="s">
        <v>185</v>
      </c>
      <c r="C31" s="313" t="s">
        <v>28</v>
      </c>
      <c r="F31" s="363" t="str">
        <f ca="1">input!F397</f>
        <v>N</v>
      </c>
      <c r="H31" s="313">
        <f ca="1">SUMIF(Paper!$A$7:$A$57,$F31,Paper!$V$7:$V$57)+SUMIF(Paper!$A$7:$A$57,$F31,Paper!$W$7:$W$57)+SUMIF(Paper!$A$7:$A$57,$F31,Paper!$X$7:$X$57)</f>
        <v>0</v>
      </c>
      <c r="I31" s="313">
        <f ca="1">IF(input!$G397&gt;0,input!G397,7000)</f>
        <v>7000</v>
      </c>
      <c r="J31" s="313" t="s">
        <v>5</v>
      </c>
      <c r="K31" s="360">
        <v>0</v>
      </c>
      <c r="L31" s="313">
        <f ca="1">IF(input!$H397&gt;0,input!$H397,2)</f>
        <v>2</v>
      </c>
      <c r="M31" s="313">
        <f t="shared" ca="1" si="2"/>
        <v>0</v>
      </c>
      <c r="N31" s="983">
        <f t="shared" ca="1" si="3"/>
        <v>0</v>
      </c>
      <c r="P31" s="313">
        <f>Data!$N$1157</f>
        <v>57554.664656607813</v>
      </c>
      <c r="Q31" s="313">
        <f t="shared" ca="1" si="0"/>
        <v>0</v>
      </c>
      <c r="R31" s="313">
        <f t="shared" ca="1" si="4"/>
        <v>0</v>
      </c>
      <c r="S31" s="1741">
        <f t="shared" ca="1" si="5"/>
        <v>0</v>
      </c>
      <c r="T31" s="313" t="str">
        <f ca="1">input!J397</f>
        <v>N</v>
      </c>
      <c r="V31" s="3115" t="str">
        <f>input!K397</f>
        <v>Packaging</v>
      </c>
      <c r="W31" s="3115">
        <f t="shared" ca="1" si="6"/>
        <v>0</v>
      </c>
      <c r="X31" s="3119">
        <f>VLOOKUP(V31,'Fix Cost'!$K$177:$M$179,2,0)</f>
        <v>58449.923860467366</v>
      </c>
      <c r="Y31" s="3119">
        <f>VLOOKUP(V31,'Fix Cost'!$K$177:$M$179,3,0)</f>
        <v>267411.04680782068</v>
      </c>
      <c r="Z31" s="3119">
        <f t="shared" ca="1" si="7"/>
        <v>0</v>
      </c>
      <c r="AA31" s="3115">
        <f t="shared" ca="1" si="8"/>
        <v>0</v>
      </c>
      <c r="AB31" s="3115">
        <f t="shared" ca="1" si="9"/>
        <v>0</v>
      </c>
      <c r="AK31" s="313"/>
      <c r="AL31" s="313"/>
      <c r="AM31" s="313"/>
      <c r="AO31" s="1043"/>
      <c r="AP31" s="1043"/>
      <c r="AQ31" s="1047"/>
      <c r="AR31" s="1048"/>
      <c r="AS31" s="385"/>
      <c r="AT31" s="879">
        <f t="shared" ca="1" si="1"/>
        <v>0</v>
      </c>
      <c r="AU31" s="879">
        <f ca="1">COUNTIFS(AT$7:$AT31,1)</f>
        <v>2</v>
      </c>
    </row>
    <row r="32" spans="1:47" ht="12.75" hidden="1" outlineLevel="1">
      <c r="A32" s="385"/>
      <c r="B32" s="1738" t="s">
        <v>185</v>
      </c>
      <c r="C32" s="313" t="s">
        <v>28</v>
      </c>
      <c r="F32" s="363" t="str">
        <f ca="1">input!F398</f>
        <v>N</v>
      </c>
      <c r="H32" s="313">
        <f ca="1">SUMIF(Paper!$A$7:$A$57,$F32,Paper!$V$7:$V$57)+SUMIF(Paper!$A$7:$A$57,$F32,Paper!$W$7:$W$57)+SUMIF(Paper!$A$7:$A$57,$F32,Paper!$X$7:$X$57)</f>
        <v>0</v>
      </c>
      <c r="I32" s="313">
        <f ca="1">IF(input!$G398&gt;0,input!G398,7000)</f>
        <v>7000</v>
      </c>
      <c r="J32" s="313" t="s">
        <v>5</v>
      </c>
      <c r="K32" s="360">
        <v>0</v>
      </c>
      <c r="L32" s="313">
        <f ca="1">IF(input!$H398&gt;0,input!$H398,2)</f>
        <v>2</v>
      </c>
      <c r="M32" s="313">
        <f t="shared" ca="1" si="2"/>
        <v>0</v>
      </c>
      <c r="N32" s="983">
        <f t="shared" ca="1" si="3"/>
        <v>0</v>
      </c>
      <c r="P32" s="313">
        <f>Data!$N$1157</f>
        <v>57554.664656607813</v>
      </c>
      <c r="Q32" s="313">
        <f t="shared" ca="1" si="0"/>
        <v>0</v>
      </c>
      <c r="R32" s="313">
        <f t="shared" ca="1" si="4"/>
        <v>0</v>
      </c>
      <c r="S32" s="1741">
        <f t="shared" ca="1" si="5"/>
        <v>0</v>
      </c>
      <c r="T32" s="313" t="str">
        <f ca="1">input!J398</f>
        <v>N</v>
      </c>
      <c r="V32" s="3115" t="str">
        <f>input!K398</f>
        <v>Packaging</v>
      </c>
      <c r="W32" s="3115">
        <f t="shared" ca="1" si="6"/>
        <v>0</v>
      </c>
      <c r="X32" s="3119">
        <f>VLOOKUP(V32,'Fix Cost'!$K$177:$M$179,2,0)</f>
        <v>58449.923860467366</v>
      </c>
      <c r="Y32" s="3119">
        <f>VLOOKUP(V32,'Fix Cost'!$K$177:$M$179,3,0)</f>
        <v>267411.04680782068</v>
      </c>
      <c r="Z32" s="3119">
        <f t="shared" ca="1" si="7"/>
        <v>0</v>
      </c>
      <c r="AA32" s="3115">
        <f t="shared" ca="1" si="8"/>
        <v>0</v>
      </c>
      <c r="AB32" s="3115">
        <f t="shared" ca="1" si="9"/>
        <v>0</v>
      </c>
      <c r="AK32" s="313"/>
      <c r="AL32" s="313"/>
      <c r="AM32" s="313"/>
      <c r="AO32" s="1043"/>
      <c r="AP32" s="1043"/>
      <c r="AQ32" s="1047"/>
      <c r="AR32" s="1048"/>
      <c r="AS32" s="385"/>
      <c r="AT32" s="879">
        <f t="shared" ca="1" si="1"/>
        <v>0</v>
      </c>
      <c r="AU32" s="879">
        <f ca="1">COUNTIFS(AT$7:$AT32,1)</f>
        <v>2</v>
      </c>
    </row>
    <row r="33" spans="1:47" ht="12.75" hidden="1" outlineLevel="1">
      <c r="A33" s="385"/>
      <c r="B33" s="1738" t="s">
        <v>185</v>
      </c>
      <c r="C33" s="313" t="s">
        <v>28</v>
      </c>
      <c r="F33" s="363" t="str">
        <f ca="1">input!F399</f>
        <v>N</v>
      </c>
      <c r="H33" s="313">
        <f ca="1">SUMIF(Paper!$A$7:$A$57,$F33,Paper!$V$7:$V$57)+SUMIF(Paper!$A$7:$A$57,$F33,Paper!$W$7:$W$57)+SUMIF(Paper!$A$7:$A$57,$F33,Paper!$X$7:$X$57)</f>
        <v>0</v>
      </c>
      <c r="I33" s="313">
        <f ca="1">IF(input!$G399&gt;0,input!G399,7000)</f>
        <v>7000</v>
      </c>
      <c r="J33" s="313" t="s">
        <v>5</v>
      </c>
      <c r="K33" s="360">
        <v>0</v>
      </c>
      <c r="L33" s="313">
        <f ca="1">IF(input!$H399&gt;0,input!$H399,2)</f>
        <v>2</v>
      </c>
      <c r="M33" s="313">
        <f t="shared" ca="1" si="2"/>
        <v>0</v>
      </c>
      <c r="N33" s="983">
        <f t="shared" ca="1" si="3"/>
        <v>0</v>
      </c>
      <c r="P33" s="313">
        <f>Data!$N$1157</f>
        <v>57554.664656607813</v>
      </c>
      <c r="Q33" s="313">
        <f t="shared" ca="1" si="0"/>
        <v>0</v>
      </c>
      <c r="R33" s="313">
        <f t="shared" ca="1" si="4"/>
        <v>0</v>
      </c>
      <c r="S33" s="1741">
        <f t="shared" ca="1" si="5"/>
        <v>0</v>
      </c>
      <c r="T33" s="313" t="str">
        <f ca="1">input!J399</f>
        <v>N</v>
      </c>
      <c r="V33" s="3115" t="str">
        <f>input!K399</f>
        <v>Packaging</v>
      </c>
      <c r="W33" s="3115">
        <f t="shared" ca="1" si="6"/>
        <v>0</v>
      </c>
      <c r="X33" s="3119">
        <f>VLOOKUP(V33,'Fix Cost'!$K$177:$M$179,2,0)</f>
        <v>58449.923860467366</v>
      </c>
      <c r="Y33" s="3119">
        <f>VLOOKUP(V33,'Fix Cost'!$K$177:$M$179,3,0)</f>
        <v>267411.04680782068</v>
      </c>
      <c r="Z33" s="3119">
        <f t="shared" ca="1" si="7"/>
        <v>0</v>
      </c>
      <c r="AA33" s="3115">
        <f t="shared" ca="1" si="8"/>
        <v>0</v>
      </c>
      <c r="AB33" s="3115">
        <f t="shared" ca="1" si="9"/>
        <v>0</v>
      </c>
      <c r="AK33" s="313"/>
      <c r="AL33" s="313"/>
      <c r="AM33" s="313"/>
      <c r="AO33" s="1043"/>
      <c r="AP33" s="1043"/>
      <c r="AQ33" s="1047"/>
      <c r="AR33" s="1048"/>
      <c r="AS33" s="385"/>
      <c r="AT33" s="879">
        <f t="shared" ca="1" si="1"/>
        <v>0</v>
      </c>
      <c r="AU33" s="879">
        <f ca="1">COUNTIFS(AT$7:$AT33,1)</f>
        <v>2</v>
      </c>
    </row>
    <row r="34" spans="1:47" ht="12.75" hidden="1" outlineLevel="1">
      <c r="A34" s="385"/>
      <c r="B34" s="1738" t="s">
        <v>185</v>
      </c>
      <c r="C34" s="313" t="s">
        <v>28</v>
      </c>
      <c r="F34" s="363" t="str">
        <f ca="1">input!F400</f>
        <v>N</v>
      </c>
      <c r="H34" s="313">
        <f ca="1">SUMIF(Paper!$A$7:$A$57,$F34,Paper!$V$7:$V$57)+SUMIF(Paper!$A$7:$A$57,$F34,Paper!$W$7:$W$57)+SUMIF(Paper!$A$7:$A$57,$F34,Paper!$X$7:$X$57)</f>
        <v>0</v>
      </c>
      <c r="I34" s="313">
        <f ca="1">IF(input!$G400&gt;0,input!G400,7000)</f>
        <v>7000</v>
      </c>
      <c r="J34" s="313" t="s">
        <v>5</v>
      </c>
      <c r="K34" s="360">
        <v>0</v>
      </c>
      <c r="L34" s="313">
        <f ca="1">IF(input!$H400&gt;0,input!$H400,2)</f>
        <v>2</v>
      </c>
      <c r="M34" s="313">
        <f t="shared" ref="M34:M38" ca="1" si="10">IF(H34&gt;0,10/60,0)</f>
        <v>0</v>
      </c>
      <c r="N34" s="983">
        <f t="shared" ref="N34:N38" ca="1" si="11">IF(H34&gt;0,ROUNDUP(((H34/I34)/$M$5+M34),1),0)</f>
        <v>0</v>
      </c>
      <c r="P34" s="313">
        <f>Data!$N$1157</f>
        <v>57554.664656607813</v>
      </c>
      <c r="Q34" s="313">
        <f t="shared" ref="Q34:Q38" ca="1" si="12">(N34*O34*K34+N34*P34*L34)*(1+$R$702)</f>
        <v>0</v>
      </c>
      <c r="R34" s="313">
        <f t="shared" ref="R34:R38" ca="1" si="13">IF($E$2&gt;0,Q34/$E$2,0)</f>
        <v>0</v>
      </c>
      <c r="S34" s="1741">
        <f t="shared" ref="S34:S38" ca="1" si="14">IF(M34&gt;0,K34*O34+L34*P34,0)</f>
        <v>0</v>
      </c>
      <c r="T34" s="313" t="str">
        <f ca="1">input!J400</f>
        <v>N</v>
      </c>
      <c r="V34" s="3115" t="str">
        <f>input!K400</f>
        <v>Packaging</v>
      </c>
      <c r="W34" s="3115">
        <f t="shared" ref="W34:W38" ca="1" si="15">N34*(L34+K34)</f>
        <v>0</v>
      </c>
      <c r="X34" s="3119">
        <f>VLOOKUP(V34,'Fix Cost'!$K$177:$M$179,2,0)</f>
        <v>58449.923860467366</v>
      </c>
      <c r="Y34" s="3119">
        <f>VLOOKUP(V34,'Fix Cost'!$K$177:$M$179,3,0)</f>
        <v>267411.04680782068</v>
      </c>
      <c r="Z34" s="3119">
        <f t="shared" ref="Z34:Z38" ca="1" si="16">IFERROR($X34*W34,0)</f>
        <v>0</v>
      </c>
      <c r="AA34" s="3115">
        <f t="shared" ref="AA34:AA38" ca="1" si="17">IFERROR(Y34*N34,0)</f>
        <v>0</v>
      </c>
      <c r="AB34" s="3115">
        <f t="shared" ref="AB34:AB38" ca="1" si="18">Z34+AA34</f>
        <v>0</v>
      </c>
      <c r="AK34" s="313"/>
      <c r="AL34" s="313"/>
      <c r="AM34" s="313"/>
      <c r="AO34" s="1043"/>
      <c r="AP34" s="1043"/>
      <c r="AQ34" s="1047"/>
      <c r="AR34" s="1048"/>
      <c r="AS34" s="385"/>
      <c r="AT34" s="879"/>
      <c r="AU34" s="879"/>
    </row>
    <row r="35" spans="1:47" ht="12.75" hidden="1" outlineLevel="1">
      <c r="A35" s="385"/>
      <c r="B35" s="1738" t="s">
        <v>185</v>
      </c>
      <c r="C35" s="313" t="s">
        <v>28</v>
      </c>
      <c r="F35" s="363" t="str">
        <f ca="1">input!F401</f>
        <v>N</v>
      </c>
      <c r="H35" s="313">
        <f ca="1">SUMIF(Paper!$A$7:$A$57,$F35,Paper!$V$7:$V$57)+SUMIF(Paper!$A$7:$A$57,$F35,Paper!$W$7:$W$57)+SUMIF(Paper!$A$7:$A$57,$F35,Paper!$X$7:$X$57)</f>
        <v>0</v>
      </c>
      <c r="I35" s="313">
        <f ca="1">IF(input!$G401&gt;0,input!G401,7000)</f>
        <v>7000</v>
      </c>
      <c r="J35" s="313" t="s">
        <v>5</v>
      </c>
      <c r="K35" s="360">
        <v>0</v>
      </c>
      <c r="L35" s="313">
        <f ca="1">IF(input!$H401&gt;0,input!$H401,2)</f>
        <v>2</v>
      </c>
      <c r="M35" s="313">
        <f t="shared" ca="1" si="10"/>
        <v>0</v>
      </c>
      <c r="N35" s="983">
        <f t="shared" ca="1" si="11"/>
        <v>0</v>
      </c>
      <c r="P35" s="313">
        <f>Data!$N$1157</f>
        <v>57554.664656607813</v>
      </c>
      <c r="Q35" s="313">
        <f t="shared" ca="1" si="12"/>
        <v>0</v>
      </c>
      <c r="R35" s="313">
        <f t="shared" ca="1" si="13"/>
        <v>0</v>
      </c>
      <c r="S35" s="1741">
        <f t="shared" ca="1" si="14"/>
        <v>0</v>
      </c>
      <c r="T35" s="313" t="str">
        <f ca="1">input!J401</f>
        <v>N</v>
      </c>
      <c r="V35" s="3115" t="str">
        <f>input!K401</f>
        <v>Packaging</v>
      </c>
      <c r="W35" s="3115">
        <f t="shared" ca="1" si="15"/>
        <v>0</v>
      </c>
      <c r="X35" s="3119">
        <f>VLOOKUP(V35,'Fix Cost'!$K$177:$M$179,2,0)</f>
        <v>58449.923860467366</v>
      </c>
      <c r="Y35" s="3119">
        <f>VLOOKUP(V35,'Fix Cost'!$K$177:$M$179,3,0)</f>
        <v>267411.04680782068</v>
      </c>
      <c r="Z35" s="3119">
        <f t="shared" ca="1" si="16"/>
        <v>0</v>
      </c>
      <c r="AA35" s="3115">
        <f t="shared" ca="1" si="17"/>
        <v>0</v>
      </c>
      <c r="AB35" s="3115">
        <f t="shared" ca="1" si="18"/>
        <v>0</v>
      </c>
      <c r="AK35" s="313"/>
      <c r="AL35" s="313"/>
      <c r="AM35" s="313"/>
      <c r="AO35" s="1043"/>
      <c r="AP35" s="1043"/>
      <c r="AQ35" s="1047"/>
      <c r="AR35" s="1048"/>
      <c r="AS35" s="385"/>
      <c r="AT35" s="879"/>
      <c r="AU35" s="879"/>
    </row>
    <row r="36" spans="1:47" ht="12.75" hidden="1" outlineLevel="1">
      <c r="A36" s="385"/>
      <c r="B36" s="1738" t="s">
        <v>185</v>
      </c>
      <c r="C36" s="313" t="s">
        <v>28</v>
      </c>
      <c r="F36" s="363" t="str">
        <f ca="1">input!F402</f>
        <v>N</v>
      </c>
      <c r="H36" s="313">
        <f ca="1">SUMIF(Paper!$A$7:$A$57,$F36,Paper!$V$7:$V$57)+SUMIF(Paper!$A$7:$A$57,$F36,Paper!$W$7:$W$57)+SUMIF(Paper!$A$7:$A$57,$F36,Paper!$X$7:$X$57)</f>
        <v>0</v>
      </c>
      <c r="I36" s="313">
        <f ca="1">IF(input!$G402&gt;0,input!G402,7000)</f>
        <v>7000</v>
      </c>
      <c r="J36" s="313" t="s">
        <v>5</v>
      </c>
      <c r="K36" s="360">
        <v>0</v>
      </c>
      <c r="L36" s="313">
        <f ca="1">IF(input!$H402&gt;0,input!$H402,2)</f>
        <v>2</v>
      </c>
      <c r="M36" s="313">
        <f t="shared" ca="1" si="10"/>
        <v>0</v>
      </c>
      <c r="N36" s="983">
        <f t="shared" ca="1" si="11"/>
        <v>0</v>
      </c>
      <c r="P36" s="313">
        <f>Data!$N$1157</f>
        <v>57554.664656607813</v>
      </c>
      <c r="Q36" s="313">
        <f t="shared" ca="1" si="12"/>
        <v>0</v>
      </c>
      <c r="R36" s="313">
        <f t="shared" ca="1" si="13"/>
        <v>0</v>
      </c>
      <c r="S36" s="1741">
        <f t="shared" ca="1" si="14"/>
        <v>0</v>
      </c>
      <c r="T36" s="313" t="str">
        <f ca="1">input!J402</f>
        <v>N</v>
      </c>
      <c r="V36" s="3115" t="str">
        <f>input!K402</f>
        <v>Packaging</v>
      </c>
      <c r="W36" s="3115">
        <f t="shared" ca="1" si="15"/>
        <v>0</v>
      </c>
      <c r="X36" s="3119">
        <f>VLOOKUP(V36,'Fix Cost'!$K$177:$M$179,2,0)</f>
        <v>58449.923860467366</v>
      </c>
      <c r="Y36" s="3119">
        <f>VLOOKUP(V36,'Fix Cost'!$K$177:$M$179,3,0)</f>
        <v>267411.04680782068</v>
      </c>
      <c r="Z36" s="3119">
        <f t="shared" ca="1" si="16"/>
        <v>0</v>
      </c>
      <c r="AA36" s="3115">
        <f t="shared" ca="1" si="17"/>
        <v>0</v>
      </c>
      <c r="AB36" s="3115">
        <f t="shared" ca="1" si="18"/>
        <v>0</v>
      </c>
      <c r="AK36" s="313"/>
      <c r="AL36" s="313"/>
      <c r="AM36" s="313"/>
      <c r="AO36" s="1043"/>
      <c r="AP36" s="1043"/>
      <c r="AQ36" s="1047"/>
      <c r="AR36" s="1048"/>
      <c r="AS36" s="385"/>
      <c r="AT36" s="879"/>
      <c r="AU36" s="879"/>
    </row>
    <row r="37" spans="1:47" ht="12.75" hidden="1" outlineLevel="1">
      <c r="A37" s="385"/>
      <c r="B37" s="1738" t="s">
        <v>185</v>
      </c>
      <c r="C37" s="313" t="s">
        <v>28</v>
      </c>
      <c r="F37" s="363" t="str">
        <f ca="1">input!F403</f>
        <v>N</v>
      </c>
      <c r="H37" s="313">
        <f ca="1">SUMIF(Paper!$A$7:$A$57,$F37,Paper!$V$7:$V$57)+SUMIF(Paper!$A$7:$A$57,$F37,Paper!$W$7:$W$57)+SUMIF(Paper!$A$7:$A$57,$F37,Paper!$X$7:$X$57)</f>
        <v>0</v>
      </c>
      <c r="I37" s="313">
        <f ca="1">IF(input!$G403&gt;0,input!G403,7000)</f>
        <v>7000</v>
      </c>
      <c r="J37" s="313" t="s">
        <v>5</v>
      </c>
      <c r="K37" s="360">
        <v>0</v>
      </c>
      <c r="L37" s="313">
        <f ca="1">IF(input!$H403&gt;0,input!$H403,2)</f>
        <v>2</v>
      </c>
      <c r="M37" s="313">
        <f t="shared" ca="1" si="10"/>
        <v>0</v>
      </c>
      <c r="N37" s="983">
        <f t="shared" ca="1" si="11"/>
        <v>0</v>
      </c>
      <c r="P37" s="313">
        <f>Data!$N$1157</f>
        <v>57554.664656607813</v>
      </c>
      <c r="Q37" s="313">
        <f t="shared" ca="1" si="12"/>
        <v>0</v>
      </c>
      <c r="R37" s="313">
        <f t="shared" ca="1" si="13"/>
        <v>0</v>
      </c>
      <c r="S37" s="1741">
        <f t="shared" ca="1" si="14"/>
        <v>0</v>
      </c>
      <c r="T37" s="313" t="str">
        <f ca="1">input!J403</f>
        <v>N</v>
      </c>
      <c r="V37" s="3115" t="str">
        <f>input!K403</f>
        <v>Packaging</v>
      </c>
      <c r="W37" s="3115">
        <f t="shared" ca="1" si="15"/>
        <v>0</v>
      </c>
      <c r="X37" s="3119">
        <f>VLOOKUP(V37,'Fix Cost'!$K$177:$M$179,2,0)</f>
        <v>58449.923860467366</v>
      </c>
      <c r="Y37" s="3119">
        <f>VLOOKUP(V37,'Fix Cost'!$K$177:$M$179,3,0)</f>
        <v>267411.04680782068</v>
      </c>
      <c r="Z37" s="3119">
        <f t="shared" ca="1" si="16"/>
        <v>0</v>
      </c>
      <c r="AA37" s="3115">
        <f t="shared" ca="1" si="17"/>
        <v>0</v>
      </c>
      <c r="AB37" s="3115">
        <f t="shared" ca="1" si="18"/>
        <v>0</v>
      </c>
      <c r="AK37" s="313"/>
      <c r="AL37" s="313"/>
      <c r="AM37" s="313"/>
      <c r="AO37" s="1043"/>
      <c r="AP37" s="1043"/>
      <c r="AQ37" s="1047"/>
      <c r="AR37" s="1048"/>
      <c r="AS37" s="385"/>
      <c r="AT37" s="879"/>
      <c r="AU37" s="879"/>
    </row>
    <row r="38" spans="1:47" ht="12.75" hidden="1" outlineLevel="1">
      <c r="A38" s="385"/>
      <c r="B38" s="1738" t="s">
        <v>185</v>
      </c>
      <c r="C38" s="313" t="s">
        <v>28</v>
      </c>
      <c r="F38" s="363" t="str">
        <f ca="1">input!F404</f>
        <v>N</v>
      </c>
      <c r="H38" s="313">
        <f ca="1">SUMIF(Paper!$A$7:$A$57,$F38,Paper!$V$7:$V$57)+SUMIF(Paper!$A$7:$A$57,$F38,Paper!$W$7:$W$57)+SUMIF(Paper!$A$7:$A$57,$F38,Paper!$X$7:$X$57)</f>
        <v>0</v>
      </c>
      <c r="I38" s="313">
        <f ca="1">IF(input!$G404&gt;0,input!G404,7000)</f>
        <v>7000</v>
      </c>
      <c r="J38" s="313" t="s">
        <v>5</v>
      </c>
      <c r="K38" s="360">
        <v>0</v>
      </c>
      <c r="L38" s="313">
        <f ca="1">IF(input!$H404&gt;0,input!$H404,2)</f>
        <v>2</v>
      </c>
      <c r="M38" s="313">
        <f t="shared" ca="1" si="10"/>
        <v>0</v>
      </c>
      <c r="N38" s="983">
        <f t="shared" ca="1" si="11"/>
        <v>0</v>
      </c>
      <c r="P38" s="313">
        <f>Data!$N$1157</f>
        <v>57554.664656607813</v>
      </c>
      <c r="Q38" s="313">
        <f t="shared" ca="1" si="12"/>
        <v>0</v>
      </c>
      <c r="R38" s="313">
        <f t="shared" ca="1" si="13"/>
        <v>0</v>
      </c>
      <c r="S38" s="1741">
        <f t="shared" ca="1" si="14"/>
        <v>0</v>
      </c>
      <c r="T38" s="313" t="str">
        <f ca="1">input!J404</f>
        <v>N</v>
      </c>
      <c r="V38" s="3115" t="str">
        <f>input!K404</f>
        <v>Packaging</v>
      </c>
      <c r="W38" s="3115">
        <f t="shared" ca="1" si="15"/>
        <v>0</v>
      </c>
      <c r="X38" s="3119">
        <f>VLOOKUP(V38,'Fix Cost'!$K$177:$M$179,2,0)</f>
        <v>58449.923860467366</v>
      </c>
      <c r="Y38" s="3119">
        <f>VLOOKUP(V38,'Fix Cost'!$K$177:$M$179,3,0)</f>
        <v>267411.04680782068</v>
      </c>
      <c r="Z38" s="3119">
        <f t="shared" ca="1" si="16"/>
        <v>0</v>
      </c>
      <c r="AA38" s="3115">
        <f t="shared" ca="1" si="17"/>
        <v>0</v>
      </c>
      <c r="AB38" s="3115">
        <f t="shared" ca="1" si="18"/>
        <v>0</v>
      </c>
      <c r="AK38" s="313"/>
      <c r="AL38" s="313"/>
      <c r="AM38" s="313"/>
      <c r="AO38" s="1043"/>
      <c r="AP38" s="1043"/>
      <c r="AQ38" s="1047"/>
      <c r="AR38" s="1048"/>
      <c r="AS38" s="385"/>
      <c r="AT38" s="879"/>
      <c r="AU38" s="879"/>
    </row>
    <row r="39" spans="1:47" ht="12.75" hidden="1" outlineLevel="1">
      <c r="A39" s="385"/>
      <c r="B39" s="1738" t="s">
        <v>185</v>
      </c>
      <c r="C39" s="313" t="s">
        <v>28</v>
      </c>
      <c r="F39" s="363" t="str">
        <f ca="1">input!F405</f>
        <v>N</v>
      </c>
      <c r="H39" s="313">
        <f ca="1">SUMIF(Paper!$A$7:$A$57,$F39,Paper!$V$7:$V$57)+SUMIF(Paper!$A$7:$A$57,$F39,Paper!$W$7:$W$57)+SUMIF(Paper!$A$7:$A$57,$F39,Paper!$X$7:$X$57)</f>
        <v>0</v>
      </c>
      <c r="I39" s="313">
        <f ca="1">IF(input!$G405&gt;0,input!G405,7000)</f>
        <v>7000</v>
      </c>
      <c r="J39" s="313" t="s">
        <v>5</v>
      </c>
      <c r="K39" s="360">
        <v>0</v>
      </c>
      <c r="L39" s="313">
        <f ca="1">IF(input!$H405&gt;0,input!$H405,2)</f>
        <v>2</v>
      </c>
      <c r="M39" s="313">
        <f t="shared" ca="1" si="2"/>
        <v>0</v>
      </c>
      <c r="N39" s="983">
        <f t="shared" ca="1" si="3"/>
        <v>0</v>
      </c>
      <c r="P39" s="313">
        <f>Data!$N$1157</f>
        <v>57554.664656607813</v>
      </c>
      <c r="Q39" s="313">
        <f t="shared" ca="1" si="0"/>
        <v>0</v>
      </c>
      <c r="R39" s="313">
        <f t="shared" ca="1" si="4"/>
        <v>0</v>
      </c>
      <c r="S39" s="1741">
        <f t="shared" ca="1" si="5"/>
        <v>0</v>
      </c>
      <c r="T39" s="313" t="str">
        <f ca="1">input!J405</f>
        <v>N</v>
      </c>
      <c r="V39" s="3115" t="str">
        <f>input!K405</f>
        <v>Packaging</v>
      </c>
      <c r="W39" s="3115">
        <f t="shared" ca="1" si="6"/>
        <v>0</v>
      </c>
      <c r="X39" s="3119">
        <f>VLOOKUP(V39,'Fix Cost'!$K$177:$M$179,2,0)</f>
        <v>58449.923860467366</v>
      </c>
      <c r="Y39" s="3119">
        <f>VLOOKUP(V39,'Fix Cost'!$K$177:$M$179,3,0)</f>
        <v>267411.04680782068</v>
      </c>
      <c r="Z39" s="3119">
        <f t="shared" ca="1" si="7"/>
        <v>0</v>
      </c>
      <c r="AA39" s="3115">
        <f t="shared" ca="1" si="8"/>
        <v>0</v>
      </c>
      <c r="AB39" s="3115">
        <f t="shared" ca="1" si="9"/>
        <v>0</v>
      </c>
      <c r="AK39" s="313"/>
      <c r="AL39" s="313"/>
      <c r="AM39" s="313"/>
      <c r="AO39" s="1043"/>
      <c r="AP39" s="1043"/>
      <c r="AQ39" s="1047"/>
      <c r="AR39" s="1048"/>
      <c r="AS39" s="385"/>
      <c r="AT39" s="879">
        <f t="shared" ca="1" si="1"/>
        <v>0</v>
      </c>
      <c r="AU39" s="879">
        <f ca="1">COUNTIFS(AT$7:$AT39,1)</f>
        <v>2</v>
      </c>
    </row>
    <row r="40" spans="1:47" ht="12.75" hidden="1" outlineLevel="1">
      <c r="A40" s="385"/>
      <c r="B40" s="1738" t="s">
        <v>185</v>
      </c>
      <c r="C40" s="313" t="s">
        <v>28</v>
      </c>
      <c r="F40" s="363" t="str">
        <f ca="1">input!F406</f>
        <v>N</v>
      </c>
      <c r="H40" s="313">
        <f ca="1">SUMIF(Paper!$A$7:$A$57,$F40,Paper!$V$7:$V$57)+SUMIF(Paper!$A$7:$A$57,$F40,Paper!$W$7:$W$57)+SUMIF(Paper!$A$7:$A$57,$F40,Paper!$X$7:$X$57)</f>
        <v>0</v>
      </c>
      <c r="I40" s="313">
        <f ca="1">IF(input!$G406&gt;0,input!G406,7000)</f>
        <v>7000</v>
      </c>
      <c r="J40" s="313" t="s">
        <v>5</v>
      </c>
      <c r="K40" s="360">
        <v>0</v>
      </c>
      <c r="L40" s="313">
        <f ca="1">IF(input!$H406&gt;0,input!$H406,2)</f>
        <v>2</v>
      </c>
      <c r="M40" s="313">
        <f t="shared" ca="1" si="2"/>
        <v>0</v>
      </c>
      <c r="N40" s="983">
        <f t="shared" ca="1" si="3"/>
        <v>0</v>
      </c>
      <c r="P40" s="313">
        <f>Data!$N$1157</f>
        <v>57554.664656607813</v>
      </c>
      <c r="Q40" s="313">
        <f t="shared" ca="1" si="0"/>
        <v>0</v>
      </c>
      <c r="R40" s="313">
        <f t="shared" ca="1" si="4"/>
        <v>0</v>
      </c>
      <c r="S40" s="1741">
        <f t="shared" ca="1" si="5"/>
        <v>0</v>
      </c>
      <c r="T40" s="313" t="str">
        <f ca="1">input!J406</f>
        <v>N</v>
      </c>
      <c r="V40" s="3115" t="str">
        <f>input!K406</f>
        <v>Packaging</v>
      </c>
      <c r="W40" s="3115">
        <f t="shared" ca="1" si="6"/>
        <v>0</v>
      </c>
      <c r="X40" s="3119">
        <f>VLOOKUP(V40,'Fix Cost'!$K$177:$M$179,2,0)</f>
        <v>58449.923860467366</v>
      </c>
      <c r="Y40" s="3119">
        <f>VLOOKUP(V40,'Fix Cost'!$K$177:$M$179,3,0)</f>
        <v>267411.04680782068</v>
      </c>
      <c r="Z40" s="3119">
        <f t="shared" ca="1" si="7"/>
        <v>0</v>
      </c>
      <c r="AA40" s="3115">
        <f t="shared" ca="1" si="8"/>
        <v>0</v>
      </c>
      <c r="AB40" s="3115">
        <f t="shared" ca="1" si="9"/>
        <v>0</v>
      </c>
      <c r="AK40" s="313"/>
      <c r="AL40" s="313"/>
      <c r="AM40" s="313"/>
      <c r="AO40" s="1043"/>
      <c r="AP40" s="1043"/>
      <c r="AQ40" s="1047"/>
      <c r="AR40" s="1048"/>
      <c r="AS40" s="385"/>
      <c r="AT40" s="879">
        <f t="shared" ca="1" si="1"/>
        <v>0</v>
      </c>
      <c r="AU40" s="879">
        <f ca="1">COUNTIFS(AT$7:$AT40,1)</f>
        <v>2</v>
      </c>
    </row>
    <row r="41" spans="1:47" ht="12.75" hidden="1" outlineLevel="1">
      <c r="A41" s="385"/>
      <c r="B41" s="1738" t="s">
        <v>185</v>
      </c>
      <c r="C41" s="313" t="s">
        <v>28</v>
      </c>
      <c r="F41" s="363" t="str">
        <f ca="1">input!F407</f>
        <v>N</v>
      </c>
      <c r="H41" s="313">
        <f ca="1">SUMIF(Paper!$A$7:$A$57,$F41,Paper!$V$7:$V$57)+SUMIF(Paper!$A$7:$A$57,$F41,Paper!$W$7:$W$57)+SUMIF(Paper!$A$7:$A$57,$F41,Paper!$X$7:$X$57)</f>
        <v>0</v>
      </c>
      <c r="I41" s="313">
        <f ca="1">IF(input!$G407&gt;0,input!G407,7000)</f>
        <v>7000</v>
      </c>
      <c r="J41" s="313" t="s">
        <v>5</v>
      </c>
      <c r="K41" s="360">
        <v>0</v>
      </c>
      <c r="L41" s="313">
        <f ca="1">IF(input!$H407&gt;0,input!$H407,2)</f>
        <v>2</v>
      </c>
      <c r="M41" s="313">
        <f t="shared" ca="1" si="2"/>
        <v>0</v>
      </c>
      <c r="N41" s="983">
        <f t="shared" ca="1" si="3"/>
        <v>0</v>
      </c>
      <c r="P41" s="313">
        <f>Data!$N$1157</f>
        <v>57554.664656607813</v>
      </c>
      <c r="Q41" s="313">
        <f t="shared" ca="1" si="0"/>
        <v>0</v>
      </c>
      <c r="R41" s="313">
        <f t="shared" ca="1" si="4"/>
        <v>0</v>
      </c>
      <c r="S41" s="1741">
        <f t="shared" ca="1" si="5"/>
        <v>0</v>
      </c>
      <c r="T41" s="313" t="str">
        <f ca="1">input!J407</f>
        <v>N</v>
      </c>
      <c r="V41" s="3115" t="str">
        <f>input!K407</f>
        <v>Packaging</v>
      </c>
      <c r="W41" s="3115">
        <f t="shared" ca="1" si="6"/>
        <v>0</v>
      </c>
      <c r="X41" s="3119">
        <f>VLOOKUP(V41,'Fix Cost'!$K$177:$M$179,2,0)</f>
        <v>58449.923860467366</v>
      </c>
      <c r="Y41" s="3119">
        <f>VLOOKUP(V41,'Fix Cost'!$K$177:$M$179,3,0)</f>
        <v>267411.04680782068</v>
      </c>
      <c r="Z41" s="3119">
        <f t="shared" ca="1" si="7"/>
        <v>0</v>
      </c>
      <c r="AA41" s="3115">
        <f t="shared" ca="1" si="8"/>
        <v>0</v>
      </c>
      <c r="AB41" s="3115">
        <f t="shared" ca="1" si="9"/>
        <v>0</v>
      </c>
      <c r="AK41" s="313"/>
      <c r="AL41" s="313"/>
      <c r="AM41" s="313"/>
      <c r="AO41" s="1043"/>
      <c r="AP41" s="1043"/>
      <c r="AQ41" s="1047"/>
      <c r="AR41" s="1048"/>
      <c r="AS41" s="385"/>
      <c r="AT41" s="879">
        <f t="shared" ca="1" si="1"/>
        <v>0</v>
      </c>
      <c r="AU41" s="879">
        <f ca="1">COUNTIFS(AT$7:$AT41,1)</f>
        <v>2</v>
      </c>
    </row>
    <row r="42" spans="1:47" ht="12.75" hidden="1" outlineLevel="1">
      <c r="A42" s="385"/>
      <c r="B42" s="1738" t="s">
        <v>185</v>
      </c>
      <c r="C42" s="313" t="s">
        <v>28</v>
      </c>
      <c r="F42" s="363">
        <f>input!F408</f>
        <v>0</v>
      </c>
      <c r="H42" s="313">
        <f ca="1">SUMIF(Paper!$A$7:$A$57,$F42,Paper!$V$7:$V$57)+SUMIF(Paper!$A$7:$A$57,$F42,Paper!$W$7:$W$57)+SUMIF(Paper!$A$7:$A$57,$F42,Paper!$X$7:$X$57)</f>
        <v>0</v>
      </c>
      <c r="I42" s="313">
        <f>IF(input!$G408&gt;0,input!G408,7000)</f>
        <v>7000</v>
      </c>
      <c r="J42" s="313" t="s">
        <v>5</v>
      </c>
      <c r="K42" s="360">
        <v>0</v>
      </c>
      <c r="L42" s="313">
        <f>IF(input!$H408&gt;0,input!$H408,2)</f>
        <v>2</v>
      </c>
      <c r="M42" s="313">
        <f t="shared" ca="1" si="2"/>
        <v>0</v>
      </c>
      <c r="N42" s="983">
        <f t="shared" ca="1" si="3"/>
        <v>0</v>
      </c>
      <c r="P42" s="313">
        <f>Data!$N$1157</f>
        <v>57554.664656607813</v>
      </c>
      <c r="Q42" s="313">
        <f t="shared" ca="1" si="0"/>
        <v>0</v>
      </c>
      <c r="R42" s="313">
        <f t="shared" ca="1" si="4"/>
        <v>0</v>
      </c>
      <c r="S42" s="1741">
        <f t="shared" ca="1" si="5"/>
        <v>0</v>
      </c>
      <c r="T42" s="313">
        <f>input!J408</f>
        <v>0</v>
      </c>
      <c r="V42" s="3115" t="str">
        <f>input!K408</f>
        <v>Packaging</v>
      </c>
      <c r="W42" s="3115">
        <f t="shared" ca="1" si="6"/>
        <v>0</v>
      </c>
      <c r="X42" s="3119">
        <f>VLOOKUP(V42,'Fix Cost'!$K$177:$M$179,2,0)</f>
        <v>58449.923860467366</v>
      </c>
      <c r="Y42" s="3119">
        <f>VLOOKUP(V42,'Fix Cost'!$K$177:$M$179,3,0)</f>
        <v>267411.04680782068</v>
      </c>
      <c r="Z42" s="3119">
        <f t="shared" ca="1" si="7"/>
        <v>0</v>
      </c>
      <c r="AA42" s="3115">
        <f t="shared" ca="1" si="8"/>
        <v>0</v>
      </c>
      <c r="AB42" s="3115">
        <f t="shared" ca="1" si="9"/>
        <v>0</v>
      </c>
      <c r="AK42" s="313"/>
      <c r="AL42" s="313"/>
      <c r="AM42" s="313"/>
      <c r="AO42" s="1043"/>
      <c r="AP42" s="1043"/>
      <c r="AQ42" s="1047"/>
      <c r="AR42" s="1048"/>
      <c r="AS42" s="385"/>
      <c r="AT42" s="879">
        <f t="shared" ca="1" si="1"/>
        <v>0</v>
      </c>
      <c r="AU42" s="879">
        <f ca="1">COUNTIFS(AT$7:$AT42,1)</f>
        <v>2</v>
      </c>
    </row>
    <row r="43" spans="1:47" ht="12.75" hidden="1" outlineLevel="1">
      <c r="A43" s="385"/>
      <c r="B43" s="1742" t="s">
        <v>185</v>
      </c>
      <c r="C43" s="1743" t="s">
        <v>28</v>
      </c>
      <c r="D43" s="1743"/>
      <c r="E43" s="1743"/>
      <c r="F43" s="1746">
        <f>input!F409</f>
        <v>0</v>
      </c>
      <c r="G43" s="1743"/>
      <c r="H43" s="1743">
        <f ca="1">SUMIF(Paper!$A$7:$A$57,$F43,Paper!$V$7:$V$57)+SUMIF(Paper!$A$7:$A$57,$F43,Paper!$W$7:$W$57)+SUMIF(Paper!$A$7:$A$57,$F43,Paper!$X$7:$X$57)</f>
        <v>0</v>
      </c>
      <c r="I43" s="1743">
        <f>IF(input!$G409&gt;0,input!G409,7000)</f>
        <v>7000</v>
      </c>
      <c r="J43" s="1743" t="s">
        <v>5</v>
      </c>
      <c r="K43" s="1747">
        <v>0</v>
      </c>
      <c r="L43" s="1743">
        <f>IF(input!$H409&gt;0,input!$H409,2)</f>
        <v>2</v>
      </c>
      <c r="M43" s="1743">
        <f t="shared" ca="1" si="2"/>
        <v>0</v>
      </c>
      <c r="N43" s="2153">
        <f t="shared" ca="1" si="3"/>
        <v>0</v>
      </c>
      <c r="O43" s="1743"/>
      <c r="P43" s="1743">
        <f>Data!$N$1157</f>
        <v>57554.664656607813</v>
      </c>
      <c r="Q43" s="1743">
        <f t="shared" ca="1" si="0"/>
        <v>0</v>
      </c>
      <c r="R43" s="1743">
        <f t="shared" ca="1" si="4"/>
        <v>0</v>
      </c>
      <c r="S43" s="1749">
        <f t="shared" ca="1" si="5"/>
        <v>0</v>
      </c>
      <c r="T43" s="313">
        <f>input!J409</f>
        <v>0</v>
      </c>
      <c r="V43" s="3115" t="str">
        <f>input!K409</f>
        <v>Packaging</v>
      </c>
      <c r="W43" s="3115">
        <f t="shared" ca="1" si="6"/>
        <v>0</v>
      </c>
      <c r="X43" s="3119">
        <f>VLOOKUP(V43,'Fix Cost'!$K$177:$M$179,2,0)</f>
        <v>58449.923860467366</v>
      </c>
      <c r="Y43" s="3119">
        <f>VLOOKUP(V43,'Fix Cost'!$K$177:$M$179,3,0)</f>
        <v>267411.04680782068</v>
      </c>
      <c r="Z43" s="3119">
        <f t="shared" ca="1" si="7"/>
        <v>0</v>
      </c>
      <c r="AA43" s="3115">
        <f t="shared" ca="1" si="8"/>
        <v>0</v>
      </c>
      <c r="AB43" s="3115">
        <f t="shared" ca="1" si="9"/>
        <v>0</v>
      </c>
      <c r="AK43" s="313"/>
      <c r="AL43" s="313"/>
      <c r="AM43" s="313"/>
      <c r="AO43" s="1043"/>
      <c r="AP43" s="1043"/>
      <c r="AQ43" s="1047"/>
      <c r="AR43" s="1048"/>
      <c r="AS43" s="385"/>
      <c r="AT43" s="879">
        <f t="shared" ca="1" si="1"/>
        <v>0</v>
      </c>
      <c r="AU43" s="879">
        <f ca="1">COUNTIFS(AT$7:$AT43,1)</f>
        <v>2</v>
      </c>
    </row>
    <row r="44" spans="1:47" ht="12.75" hidden="1" collapsed="1">
      <c r="A44" s="385"/>
      <c r="I44" s="1052"/>
      <c r="X44" s="363"/>
      <c r="Y44" s="363"/>
      <c r="Z44" s="363"/>
      <c r="AA44" s="363"/>
      <c r="AK44" s="313"/>
      <c r="AL44" s="313"/>
      <c r="AM44" s="313"/>
      <c r="AO44" s="385"/>
      <c r="AP44" s="385"/>
      <c r="AQ44" s="1050"/>
      <c r="AR44" s="1049"/>
      <c r="AS44" s="1051"/>
      <c r="AT44" s="879" t="str">
        <f t="shared" si="1"/>
        <v/>
      </c>
      <c r="AU44" s="879">
        <f ca="1">COUNTIFS(AT$7:$AT44,1)</f>
        <v>2</v>
      </c>
    </row>
    <row r="45" spans="1:47" ht="12.75" hidden="1">
      <c r="A45" s="1269" t="s">
        <v>143</v>
      </c>
      <c r="B45" s="1269"/>
      <c r="C45" s="385"/>
      <c r="F45" s="384" t="s">
        <v>746</v>
      </c>
      <c r="G45" s="1270"/>
      <c r="I45" s="363"/>
      <c r="J45" s="1038"/>
      <c r="L45" s="1038"/>
      <c r="M45" s="360"/>
      <c r="N45" s="391"/>
      <c r="S45" s="363"/>
      <c r="X45" s="363"/>
      <c r="Y45" s="363"/>
      <c r="Z45" s="363"/>
      <c r="AA45" s="363"/>
      <c r="AO45" s="385"/>
      <c r="AP45" s="385"/>
      <c r="AQ45" s="385"/>
      <c r="AR45" s="1048"/>
      <c r="AS45" s="385"/>
      <c r="AT45" s="879" t="str">
        <f t="shared" si="1"/>
        <v/>
      </c>
      <c r="AU45" s="879">
        <f ca="1">COUNTIFS(AT$7:$AT45,1)</f>
        <v>2</v>
      </c>
    </row>
    <row r="46" spans="1:47" ht="12.75">
      <c r="A46" s="333">
        <f>input!A412</f>
        <v>2</v>
      </c>
      <c r="B46" s="1255" t="s">
        <v>139</v>
      </c>
      <c r="C46" s="1256" t="str">
        <f>input!C412</f>
        <v>Komori_L240</v>
      </c>
      <c r="D46" s="1256"/>
      <c r="E46" s="2144" t="str">
        <f>input!D412</f>
        <v>None_Metalize</v>
      </c>
      <c r="F46" s="2144" t="str">
        <f>input!F412</f>
        <v>Box</v>
      </c>
      <c r="G46" s="2144" t="str">
        <f ca="1">input!E412</f>
        <v>220 - 350gsm</v>
      </c>
      <c r="H46" s="2144">
        <f>SUMIFS(Paper!$AC$7:$AC$30,Paper!$A$7:$A$30,'Production cost'!F46)</f>
        <v>2725</v>
      </c>
      <c r="I46" s="313">
        <f ca="1">IF(G46=Data!$Q$1112,VLOOKUP(C46,Data!$M$1113:$O$1120,IF(E46=Data!$N$1112,2,3),0),IF(G46=Data!$R$1112,VLOOKUP(C46,Data!$M$1121:$O$1127,IF(E46=Data!$N$1112,2,3),0),VLOOKUP(C46,Data!$M$1129:$O$1135,IF(E46=Data!$N$1112,2,3),0)))</f>
        <v>8000</v>
      </c>
      <c r="J46" s="1256" t="s">
        <v>5</v>
      </c>
      <c r="K46" s="2145">
        <f>SUMIF(Data!$L$1140:$L$1146,'Production cost'!$C46,Data!$S$1140:$S$1146)</f>
        <v>0</v>
      </c>
      <c r="L46" s="2146">
        <f>VLOOKUP($C46,Data!$L$1139:$T$1146,3,0)</f>
        <v>3</v>
      </c>
      <c r="M46" s="2145">
        <f ca="1">IF(H46&gt;0,VLOOKUP('Production cost'!$C46,Data!$L$1140:$Q$1146,IF('Production cost'!$E46="Metalize",6,5),0)/60+(ROUNDUP(input!$H412/A46,0)*SUMIF(Paper!$A$7:$A$29,'Production cost'!$F46,Paper!$U$7:$U$29)-1)*5/60,0)*SUMIF(Paper!$A$7:$A$29,'Production cost'!$F46,Paper!$J$7:$J$29)</f>
        <v>1</v>
      </c>
      <c r="N46" s="2146">
        <f t="shared" ref="N46:N56" ca="1" si="19">IF(H46&gt;0,ROUNDUP(((H46/I46)/$M$5+M46),1),0)</f>
        <v>1.4000000000000001</v>
      </c>
      <c r="O46" s="1256">
        <f>SUMIF(Data!$L$1140:$L$1146,'Production cost'!$C46,Data!$R$1140:$R$1146)</f>
        <v>0</v>
      </c>
      <c r="P46" s="1256">
        <f>VLOOKUP($C46,Data!$L$1139:$T$1146,2,0)</f>
        <v>83000.376301260956</v>
      </c>
      <c r="Q46" s="1256">
        <f t="shared" ref="Q46:Q75" ca="1" si="20">(N46*O46*K46+N46*P46*L46)*(1+$R$702)</f>
        <v>348601.58046529605</v>
      </c>
      <c r="R46" s="1256">
        <f t="shared" ref="R46:R56" ca="1" si="21">IF($E$2&gt;0,Q46/$E$2,0)</f>
        <v>69.720316093059211</v>
      </c>
      <c r="S46" s="1257">
        <f t="shared" ref="S46:S56" ca="1" si="22">IF(M46&gt;0,K46*O46+L46*P46,0)</f>
        <v>249001.12890378287</v>
      </c>
      <c r="T46" s="313">
        <f>input!J412</f>
        <v>0</v>
      </c>
      <c r="V46" s="3115" t="str">
        <f>input!K412</f>
        <v>Printing</v>
      </c>
      <c r="W46" s="3115">
        <f t="shared" ref="W46:W75" ca="1" si="23">N46*(L46+K46)</f>
        <v>4.2</v>
      </c>
      <c r="X46" s="3119">
        <f>VLOOKUP(V46,'Fix Cost'!$K$177:$M$179,2,0)</f>
        <v>84211.577419609195</v>
      </c>
      <c r="Y46" s="3119">
        <f>VLOOKUP(V46,'Fix Cost'!$K$177:$M$179,3,0)</f>
        <v>716285.31885375059</v>
      </c>
      <c r="Z46" s="3119">
        <f t="shared" ref="Z46:Z75" ca="1" si="24">IFERROR($X46*W46,0)</f>
        <v>353688.62516235863</v>
      </c>
      <c r="AA46" s="3115">
        <f t="shared" ref="AA46:AA75" ca="1" si="25">IFERROR(Y46*N46,0)</f>
        <v>1002799.446395251</v>
      </c>
      <c r="AB46" s="3115">
        <f t="shared" ref="AB46:AB75" ca="1" si="26">Z46+AA46</f>
        <v>1356488.0715576096</v>
      </c>
      <c r="AK46" s="313"/>
      <c r="AL46" s="313"/>
      <c r="AM46" s="313"/>
      <c r="AO46" s="385"/>
      <c r="AP46" s="385"/>
      <c r="AQ46" s="385"/>
      <c r="AR46" s="1048"/>
      <c r="AS46" s="385"/>
      <c r="AT46" s="879">
        <f t="shared" ca="1" si="1"/>
        <v>1</v>
      </c>
      <c r="AU46" s="879">
        <f ca="1">COUNTIFS(AT$7:$AT46,1)</f>
        <v>3</v>
      </c>
    </row>
    <row r="47" spans="1:47" ht="12.75" hidden="1" outlineLevel="1">
      <c r="A47" s="333">
        <f ca="1">input!A413</f>
        <v>7</v>
      </c>
      <c r="B47" s="1738" t="s">
        <v>139</v>
      </c>
      <c r="C47" s="313" t="str">
        <f ca="1">input!C413</f>
        <v>KBA</v>
      </c>
      <c r="E47" s="363" t="str">
        <f>input!D413</f>
        <v>None_Metalize</v>
      </c>
      <c r="F47" s="363" t="str">
        <f>input!F413</f>
        <v>N</v>
      </c>
      <c r="G47" s="363">
        <f ca="1">input!E413</f>
        <v>0</v>
      </c>
      <c r="H47" s="363">
        <f>SUMIFS(Paper!$AC$7:$AC$30,Paper!$A$7:$A$30,'Production cost'!F47)</f>
        <v>0</v>
      </c>
      <c r="I47" s="313">
        <f ca="1">IF(G47=Data!$Q$1112,VLOOKUP(C47,Data!$M$1113:$O$1120,IF(E47=Data!$N$1112,2,3),0),IF(G47=Data!$R$1112,VLOOKUP(C47,Data!$M$1121:$O$1127,IF(E47=Data!$N$1112,2,3),0),VLOOKUP(C47,Data!$M$1129:$O$1135,IF(E47=Data!$N$1112,2,3),0)))</f>
        <v>12000</v>
      </c>
      <c r="J47" s="313" t="s">
        <v>5</v>
      </c>
      <c r="K47" s="360">
        <f ca="1">SUMIF(Data!$L$1140:$L$1146,'Production cost'!$C47,Data!$S$1140:$S$1146)</f>
        <v>1</v>
      </c>
      <c r="L47" s="391">
        <f ca="1">VLOOKUP($C47,Data!$L$1139:$T$1146,3,0)</f>
        <v>5</v>
      </c>
      <c r="M47" s="391">
        <f>IF(H47&gt;0,VLOOKUP('Production cost'!$C47,Data!$L$1140:$Q$1146,IF('Production cost'!$E47="Metalize",6,5),0)/60+(ROUNDUP(input!$H413/A47,0)*SUMIF(Paper!$A$7:$A$29,'Production cost'!$F47,Paper!$U$7:$U$29)-1)*5/60,0)*SUMIF(Paper!$A$7:$A$29,'Production cost'!$F47,Paper!$J$7:$J$29)</f>
        <v>0</v>
      </c>
      <c r="N47" s="391">
        <f t="shared" si="19"/>
        <v>0</v>
      </c>
      <c r="O47" s="313">
        <f ca="1">SUMIF(Data!$L$1140:$L$1146,'Production cost'!$C47,Data!$R$1140:$R$1146)</f>
        <v>352574.32240985788</v>
      </c>
      <c r="P47" s="313">
        <f ca="1">VLOOKUP($C47,Data!$L$1139:$T$1146,2,0)</f>
        <v>83000.376301260956</v>
      </c>
      <c r="Q47" s="313">
        <f t="shared" ca="1" si="20"/>
        <v>0</v>
      </c>
      <c r="R47" s="313">
        <f t="shared" ca="1" si="21"/>
        <v>0</v>
      </c>
      <c r="S47" s="1741">
        <f t="shared" si="22"/>
        <v>0</v>
      </c>
      <c r="T47" s="313" t="str">
        <f>input!J413</f>
        <v>N</v>
      </c>
      <c r="V47" s="3115" t="str">
        <f>input!K413</f>
        <v>Printing</v>
      </c>
      <c r="W47" s="3115">
        <f t="shared" ca="1" si="23"/>
        <v>0</v>
      </c>
      <c r="X47" s="3119">
        <f>VLOOKUP(V47,'Fix Cost'!$K$177:$M$179,2,0)</f>
        <v>84211.577419609195</v>
      </c>
      <c r="Y47" s="3119">
        <f>VLOOKUP(V47,'Fix Cost'!$K$177:$M$179,3,0)</f>
        <v>716285.31885375059</v>
      </c>
      <c r="Z47" s="3119">
        <f t="shared" ca="1" si="24"/>
        <v>0</v>
      </c>
      <c r="AA47" s="3115">
        <f t="shared" si="25"/>
        <v>0</v>
      </c>
      <c r="AB47" s="3115">
        <f t="shared" ca="1" si="26"/>
        <v>0</v>
      </c>
      <c r="AK47" s="313"/>
      <c r="AL47" s="313"/>
      <c r="AM47" s="313"/>
      <c r="AO47" s="385"/>
      <c r="AP47" s="385"/>
      <c r="AQ47" s="385"/>
      <c r="AR47" s="1048"/>
      <c r="AS47" s="385"/>
      <c r="AT47" s="879">
        <f t="shared" ca="1" si="1"/>
        <v>0</v>
      </c>
      <c r="AU47" s="879">
        <f ca="1">COUNTIFS(AT$7:$AT47,1)</f>
        <v>3</v>
      </c>
    </row>
    <row r="48" spans="1:47" ht="12.75" hidden="1" outlineLevel="1">
      <c r="A48" s="333">
        <f ca="1">input!A414</f>
        <v>7</v>
      </c>
      <c r="B48" s="1738" t="s">
        <v>139</v>
      </c>
      <c r="C48" s="313" t="str">
        <f ca="1">input!C414</f>
        <v>KBA</v>
      </c>
      <c r="E48" s="363" t="str">
        <f>input!D414</f>
        <v>None_Metalize</v>
      </c>
      <c r="F48" s="363" t="str">
        <f>input!F414</f>
        <v>N</v>
      </c>
      <c r="G48" s="363">
        <f ca="1">input!E414</f>
        <v>0</v>
      </c>
      <c r="H48" s="363">
        <f>SUMIFS(Paper!$AC$7:$AC$30,Paper!$A$7:$A$30,'Production cost'!F48)</f>
        <v>0</v>
      </c>
      <c r="I48" s="313">
        <f ca="1">IF(G48=Data!$Q$1112,VLOOKUP(C48,Data!$M$1113:$O$1120,IF(E48=Data!$N$1112,2,3),0),IF(G48=Data!$R$1112,VLOOKUP(C48,Data!$M$1121:$O$1127,IF(E48=Data!$N$1112,2,3),0),VLOOKUP(C48,Data!$M$1129:$O$1135,IF(E48=Data!$N$1112,2,3),0)))</f>
        <v>12000</v>
      </c>
      <c r="J48" s="313" t="s">
        <v>5</v>
      </c>
      <c r="K48" s="360">
        <f ca="1">SUMIF(Data!$L$1140:$L$1146,'Production cost'!$C48,Data!$S$1140:$S$1146)</f>
        <v>1</v>
      </c>
      <c r="L48" s="391">
        <f ca="1">VLOOKUP($C48,Data!$L$1139:$T$1146,3,0)</f>
        <v>5</v>
      </c>
      <c r="M48" s="391">
        <f>IF(H48&gt;0,VLOOKUP('Production cost'!$C48,Data!$L$1140:$Q$1146,IF('Production cost'!$E48="Metalize",6,5),0)/60+(ROUNDUP(input!$H414/A48,0)*SUMIF(Paper!$A$7:$A$29,'Production cost'!$F48,Paper!$U$7:$U$29)-1)*5/60,0)*SUMIF(Paper!$A$7:$A$29,'Production cost'!$F48,Paper!$J$7:$J$29)</f>
        <v>0</v>
      </c>
      <c r="N48" s="391">
        <f t="shared" si="19"/>
        <v>0</v>
      </c>
      <c r="O48" s="313">
        <f ca="1">SUMIF(Data!$L$1140:$L$1146,'Production cost'!$C48,Data!$R$1140:$R$1146)</f>
        <v>352574.32240985788</v>
      </c>
      <c r="P48" s="313">
        <f ca="1">VLOOKUP($C48,Data!$L$1139:$T$1146,2,0)</f>
        <v>83000.376301260956</v>
      </c>
      <c r="Q48" s="313">
        <f t="shared" ca="1" si="20"/>
        <v>0</v>
      </c>
      <c r="R48" s="313">
        <f t="shared" ca="1" si="21"/>
        <v>0</v>
      </c>
      <c r="S48" s="1741">
        <f t="shared" si="22"/>
        <v>0</v>
      </c>
      <c r="T48" s="313" t="str">
        <f>input!J414</f>
        <v>N</v>
      </c>
      <c r="V48" s="3115" t="str">
        <f>input!K414</f>
        <v>Printing</v>
      </c>
      <c r="W48" s="3115">
        <f t="shared" ca="1" si="23"/>
        <v>0</v>
      </c>
      <c r="X48" s="3119">
        <f>VLOOKUP(V48,'Fix Cost'!$K$177:$M$179,2,0)</f>
        <v>84211.577419609195</v>
      </c>
      <c r="Y48" s="3119">
        <f>VLOOKUP(V48,'Fix Cost'!$K$177:$M$179,3,0)</f>
        <v>716285.31885375059</v>
      </c>
      <c r="Z48" s="3119">
        <f t="shared" ca="1" si="24"/>
        <v>0</v>
      </c>
      <c r="AA48" s="3115">
        <f t="shared" si="25"/>
        <v>0</v>
      </c>
      <c r="AB48" s="3115">
        <f t="shared" ca="1" si="26"/>
        <v>0</v>
      </c>
      <c r="AK48" s="313"/>
      <c r="AL48" s="313"/>
      <c r="AM48" s="313"/>
      <c r="AO48" s="385"/>
      <c r="AP48" s="385"/>
      <c r="AQ48" s="385"/>
      <c r="AR48" s="1048"/>
      <c r="AS48" s="385"/>
      <c r="AT48" s="879">
        <f t="shared" ca="1" si="1"/>
        <v>0</v>
      </c>
      <c r="AU48" s="879">
        <f ca="1">COUNTIFS(AT$7:$AT48,1)</f>
        <v>3</v>
      </c>
    </row>
    <row r="49" spans="1:47" ht="12.75" hidden="1" outlineLevel="1">
      <c r="A49" s="333">
        <f ca="1">input!A415</f>
        <v>7</v>
      </c>
      <c r="B49" s="1738" t="s">
        <v>139</v>
      </c>
      <c r="C49" s="313" t="str">
        <f ca="1">input!C415</f>
        <v>KBA</v>
      </c>
      <c r="E49" s="363" t="str">
        <f>input!D415</f>
        <v>None_Metalize</v>
      </c>
      <c r="F49" s="363" t="str">
        <f>input!F415</f>
        <v>N</v>
      </c>
      <c r="G49" s="363">
        <f ca="1">input!E415</f>
        <v>0</v>
      </c>
      <c r="H49" s="363">
        <f>SUMIFS(Paper!$AC$7:$AC$30,Paper!$A$7:$A$30,'Production cost'!F49)</f>
        <v>0</v>
      </c>
      <c r="I49" s="313">
        <f ca="1">IF(G49=Data!$Q$1112,VLOOKUP(C49,Data!$M$1113:$O$1120,IF(E49=Data!$N$1112,2,3),0),IF(G49=Data!$R$1112,VLOOKUP(C49,Data!$M$1121:$O$1127,IF(E49=Data!$N$1112,2,3),0),VLOOKUP(C49,Data!$M$1129:$O$1135,IF(E49=Data!$N$1112,2,3),0)))</f>
        <v>12000</v>
      </c>
      <c r="J49" s="313" t="s">
        <v>5</v>
      </c>
      <c r="K49" s="360">
        <f ca="1">SUMIF(Data!$L$1140:$L$1146,'Production cost'!$C49,Data!$S$1140:$S$1146)</f>
        <v>1</v>
      </c>
      <c r="L49" s="391">
        <f ca="1">VLOOKUP($C49,Data!$L$1139:$T$1146,3,0)</f>
        <v>5</v>
      </c>
      <c r="M49" s="391">
        <f>IF(H49&gt;0,VLOOKUP('Production cost'!$C49,Data!$L$1140:$Q$1146,IF('Production cost'!$E49="Metalize",6,5),0)/60+(ROUNDUP(input!$H415/A49,0)*SUMIF(Paper!$A$7:$A$29,'Production cost'!$F49,Paper!$U$7:$U$29)-1)*5/60,0)*SUMIF(Paper!$A$7:$A$29,'Production cost'!$F49,Paper!$J$7:$J$29)</f>
        <v>0</v>
      </c>
      <c r="N49" s="391">
        <f t="shared" si="19"/>
        <v>0</v>
      </c>
      <c r="O49" s="313">
        <f ca="1">SUMIF(Data!$L$1140:$L$1146,'Production cost'!$C49,Data!$R$1140:$R$1146)</f>
        <v>352574.32240985788</v>
      </c>
      <c r="P49" s="313">
        <f ca="1">VLOOKUP($C49,Data!$L$1139:$T$1146,2,0)</f>
        <v>83000.376301260956</v>
      </c>
      <c r="Q49" s="313">
        <f t="shared" ca="1" si="20"/>
        <v>0</v>
      </c>
      <c r="R49" s="313">
        <f t="shared" ca="1" si="21"/>
        <v>0</v>
      </c>
      <c r="S49" s="1741">
        <f t="shared" si="22"/>
        <v>0</v>
      </c>
      <c r="T49" s="313" t="str">
        <f>input!J415</f>
        <v>N</v>
      </c>
      <c r="V49" s="3115" t="str">
        <f>input!K415</f>
        <v>Printing</v>
      </c>
      <c r="W49" s="3115">
        <f t="shared" ca="1" si="23"/>
        <v>0</v>
      </c>
      <c r="X49" s="3119">
        <f>VLOOKUP(V49,'Fix Cost'!$K$177:$M$179,2,0)</f>
        <v>84211.577419609195</v>
      </c>
      <c r="Y49" s="3119">
        <f>VLOOKUP(V49,'Fix Cost'!$K$177:$M$179,3,0)</f>
        <v>716285.31885375059</v>
      </c>
      <c r="Z49" s="3119">
        <f t="shared" ca="1" si="24"/>
        <v>0</v>
      </c>
      <c r="AA49" s="3115">
        <f t="shared" si="25"/>
        <v>0</v>
      </c>
      <c r="AB49" s="3115">
        <f t="shared" ca="1" si="26"/>
        <v>0</v>
      </c>
      <c r="AK49" s="313"/>
      <c r="AL49" s="313"/>
      <c r="AM49" s="313"/>
      <c r="AO49" s="385"/>
      <c r="AP49" s="385"/>
      <c r="AQ49" s="385"/>
      <c r="AR49" s="1048"/>
      <c r="AS49" s="385"/>
      <c r="AT49" s="879">
        <f t="shared" ca="1" si="1"/>
        <v>0</v>
      </c>
      <c r="AU49" s="879">
        <f ca="1">COUNTIFS(AT$7:$AT49,1)</f>
        <v>3</v>
      </c>
    </row>
    <row r="50" spans="1:47" ht="12.75" hidden="1" outlineLevel="1">
      <c r="A50" s="333">
        <f ca="1">input!A416</f>
        <v>7</v>
      </c>
      <c r="B50" s="1738" t="s">
        <v>139</v>
      </c>
      <c r="C50" s="313" t="str">
        <f ca="1">input!C416</f>
        <v>KBA</v>
      </c>
      <c r="E50" s="363" t="str">
        <f>input!D416</f>
        <v>None_Metalize</v>
      </c>
      <c r="F50" s="363" t="str">
        <f>input!F416</f>
        <v>N</v>
      </c>
      <c r="G50" s="363">
        <f ca="1">input!E416</f>
        <v>0</v>
      </c>
      <c r="H50" s="363">
        <f>SUMIFS(Paper!$AC$7:$AC$30,Paper!$A$7:$A$30,'Production cost'!F50)</f>
        <v>0</v>
      </c>
      <c r="I50" s="313">
        <f ca="1">IF(G50=Data!$Q$1112,VLOOKUP(C50,Data!$M$1113:$O$1120,IF(E50=Data!$N$1112,2,3),0),IF(G50=Data!$R$1112,VLOOKUP(C50,Data!$M$1121:$O$1127,IF(E50=Data!$N$1112,2,3),0),VLOOKUP(C50,Data!$M$1129:$O$1135,IF(E50=Data!$N$1112,2,3),0)))</f>
        <v>12000</v>
      </c>
      <c r="J50" s="313" t="s">
        <v>5</v>
      </c>
      <c r="K50" s="360">
        <f ca="1">SUMIF(Data!$L$1140:$L$1146,'Production cost'!$C50,Data!$S$1140:$S$1146)</f>
        <v>1</v>
      </c>
      <c r="L50" s="391">
        <f ca="1">VLOOKUP($C50,Data!$L$1139:$T$1146,3,0)</f>
        <v>5</v>
      </c>
      <c r="M50" s="391">
        <f>IF(H50&gt;0,VLOOKUP('Production cost'!$C50,Data!$L$1140:$Q$1146,IF('Production cost'!$E50="Metalize",6,5),0)/60+(ROUNDUP(input!$H416/A50,0)*SUMIF(Paper!$A$7:$A$29,'Production cost'!$F50,Paper!$U$7:$U$29)-1)*5/60,0)*SUMIF(Paper!$A$7:$A$29,'Production cost'!$F50,Paper!$J$7:$J$29)</f>
        <v>0</v>
      </c>
      <c r="N50" s="391">
        <f t="shared" si="19"/>
        <v>0</v>
      </c>
      <c r="O50" s="313">
        <f ca="1">SUMIF(Data!$L$1140:$L$1146,'Production cost'!$C50,Data!$R$1140:$R$1146)</f>
        <v>352574.32240985788</v>
      </c>
      <c r="P50" s="313">
        <f ca="1">VLOOKUP($C50,Data!$L$1139:$T$1146,2,0)</f>
        <v>83000.376301260956</v>
      </c>
      <c r="Q50" s="313">
        <f t="shared" ca="1" si="20"/>
        <v>0</v>
      </c>
      <c r="R50" s="313">
        <f t="shared" ca="1" si="21"/>
        <v>0</v>
      </c>
      <c r="S50" s="1741">
        <f t="shared" si="22"/>
        <v>0</v>
      </c>
      <c r="T50" s="313" t="str">
        <f>input!J416</f>
        <v>N</v>
      </c>
      <c r="V50" s="3115" t="str">
        <f>input!K416</f>
        <v>Printing</v>
      </c>
      <c r="W50" s="3115">
        <f t="shared" ca="1" si="23"/>
        <v>0</v>
      </c>
      <c r="X50" s="3119">
        <f>VLOOKUP(V50,'Fix Cost'!$K$177:$M$179,2,0)</f>
        <v>84211.577419609195</v>
      </c>
      <c r="Y50" s="3119">
        <f>VLOOKUP(V50,'Fix Cost'!$K$177:$M$179,3,0)</f>
        <v>716285.31885375059</v>
      </c>
      <c r="Z50" s="3119">
        <f t="shared" ca="1" si="24"/>
        <v>0</v>
      </c>
      <c r="AA50" s="3115">
        <f t="shared" si="25"/>
        <v>0</v>
      </c>
      <c r="AB50" s="3115">
        <f t="shared" ca="1" si="26"/>
        <v>0</v>
      </c>
      <c r="AK50" s="313"/>
      <c r="AL50" s="313"/>
      <c r="AM50" s="313"/>
      <c r="AO50" s="385"/>
      <c r="AP50" s="385"/>
      <c r="AQ50" s="385"/>
      <c r="AR50" s="1048"/>
      <c r="AS50" s="385"/>
      <c r="AT50" s="879">
        <f t="shared" ca="1" si="1"/>
        <v>0</v>
      </c>
      <c r="AU50" s="879">
        <f ca="1">COUNTIFS(AT$7:$AT50,1)</f>
        <v>3</v>
      </c>
    </row>
    <row r="51" spans="1:47" ht="12.75" hidden="1" outlineLevel="1">
      <c r="A51" s="333">
        <f ca="1">input!A417</f>
        <v>7</v>
      </c>
      <c r="B51" s="1738" t="s">
        <v>139</v>
      </c>
      <c r="C51" s="313" t="str">
        <f ca="1">input!C417</f>
        <v>KBA</v>
      </c>
      <c r="E51" s="363" t="str">
        <f>input!D417</f>
        <v>None_Metalize</v>
      </c>
      <c r="F51" s="363" t="str">
        <f>input!F417</f>
        <v>N</v>
      </c>
      <c r="G51" s="363">
        <f ca="1">input!E417</f>
        <v>0</v>
      </c>
      <c r="H51" s="363">
        <f>SUMIFS(Paper!$AC$7:$AC$30,Paper!$A$7:$A$30,'Production cost'!F51)</f>
        <v>0</v>
      </c>
      <c r="I51" s="313">
        <f ca="1">IF(G51=Data!$Q$1112,VLOOKUP(C51,Data!$M$1113:$O$1120,IF(E51=Data!$N$1112,2,3),0),IF(G51=Data!$R$1112,VLOOKUP(C51,Data!$M$1121:$O$1127,IF(E51=Data!$N$1112,2,3),0),VLOOKUP(C51,Data!$M$1129:$O$1135,IF(E51=Data!$N$1112,2,3),0)))</f>
        <v>12000</v>
      </c>
      <c r="J51" s="313" t="s">
        <v>5</v>
      </c>
      <c r="K51" s="360">
        <f ca="1">SUMIF(Data!$L$1140:$L$1146,'Production cost'!$C51,Data!$S$1140:$S$1146)</f>
        <v>1</v>
      </c>
      <c r="L51" s="391">
        <f ca="1">VLOOKUP($C51,Data!$L$1139:$T$1146,3,0)</f>
        <v>5</v>
      </c>
      <c r="M51" s="391">
        <f>IF(H51&gt;0,VLOOKUP('Production cost'!$C51,Data!$L$1140:$Q$1146,IF('Production cost'!$E51="Metalize",6,5),0)/60+(ROUNDUP(input!$H417/A51,0)*SUMIF(Paper!$A$7:$A$29,'Production cost'!$F51,Paper!$U$7:$U$29)-1)*5/60,0)*SUMIF(Paper!$A$7:$A$29,'Production cost'!$F51,Paper!$J$7:$J$29)</f>
        <v>0</v>
      </c>
      <c r="N51" s="391">
        <f t="shared" si="19"/>
        <v>0</v>
      </c>
      <c r="O51" s="313">
        <f ca="1">SUMIF(Data!$L$1140:$L$1146,'Production cost'!$C51,Data!$R$1140:$R$1146)</f>
        <v>352574.32240985788</v>
      </c>
      <c r="P51" s="313">
        <f ca="1">VLOOKUP($C51,Data!$L$1139:$T$1146,2,0)</f>
        <v>83000.376301260956</v>
      </c>
      <c r="Q51" s="313">
        <f t="shared" ca="1" si="20"/>
        <v>0</v>
      </c>
      <c r="R51" s="313">
        <f t="shared" ca="1" si="21"/>
        <v>0</v>
      </c>
      <c r="S51" s="1741">
        <f t="shared" si="22"/>
        <v>0</v>
      </c>
      <c r="T51" s="313" t="str">
        <f>input!J417</f>
        <v>N</v>
      </c>
      <c r="V51" s="3115" t="str">
        <f>input!K417</f>
        <v>Printing</v>
      </c>
      <c r="W51" s="3115">
        <f t="shared" ca="1" si="23"/>
        <v>0</v>
      </c>
      <c r="X51" s="3119">
        <f>VLOOKUP(V51,'Fix Cost'!$K$177:$M$179,2,0)</f>
        <v>84211.577419609195</v>
      </c>
      <c r="Y51" s="3119">
        <f>VLOOKUP(V51,'Fix Cost'!$K$177:$M$179,3,0)</f>
        <v>716285.31885375059</v>
      </c>
      <c r="Z51" s="3119">
        <f t="shared" ca="1" si="24"/>
        <v>0</v>
      </c>
      <c r="AA51" s="3115">
        <f t="shared" si="25"/>
        <v>0</v>
      </c>
      <c r="AB51" s="3115">
        <f t="shared" ca="1" si="26"/>
        <v>0</v>
      </c>
      <c r="AK51" s="313"/>
      <c r="AL51" s="313"/>
      <c r="AM51" s="313"/>
      <c r="AO51" s="385"/>
      <c r="AP51" s="385"/>
      <c r="AQ51" s="385"/>
      <c r="AR51" s="1048"/>
      <c r="AS51" s="385"/>
      <c r="AT51" s="879">
        <f t="shared" ca="1" si="1"/>
        <v>0</v>
      </c>
      <c r="AU51" s="879">
        <f ca="1">COUNTIFS(AT$7:$AT51,1)</f>
        <v>3</v>
      </c>
    </row>
    <row r="52" spans="1:47" ht="12.75" hidden="1" outlineLevel="1">
      <c r="A52" s="333">
        <f ca="1">input!A418</f>
        <v>7</v>
      </c>
      <c r="B52" s="1738" t="s">
        <v>139</v>
      </c>
      <c r="C52" s="313" t="str">
        <f ca="1">input!C418</f>
        <v>KBA</v>
      </c>
      <c r="E52" s="363" t="str">
        <f>input!D418</f>
        <v>None_Metalize</v>
      </c>
      <c r="F52" s="363" t="str">
        <f>input!F418</f>
        <v>N</v>
      </c>
      <c r="G52" s="363">
        <f ca="1">input!E418</f>
        <v>0</v>
      </c>
      <c r="H52" s="363">
        <f>SUMIFS(Paper!$AC$7:$AC$30,Paper!$A$7:$A$30,'Production cost'!F52)</f>
        <v>0</v>
      </c>
      <c r="I52" s="313">
        <f ca="1">IF(G52=Data!$Q$1112,VLOOKUP(C52,Data!$M$1113:$O$1120,IF(E52=Data!$N$1112,2,3),0),IF(G52=Data!$R$1112,VLOOKUP(C52,Data!$M$1121:$O$1127,IF(E52=Data!$N$1112,2,3),0),VLOOKUP(C52,Data!$M$1129:$O$1135,IF(E52=Data!$N$1112,2,3),0)))</f>
        <v>12000</v>
      </c>
      <c r="J52" s="313" t="s">
        <v>5</v>
      </c>
      <c r="K52" s="360">
        <f ca="1">SUMIF(Data!$L$1140:$L$1146,'Production cost'!$C52,Data!$S$1140:$S$1146)</f>
        <v>1</v>
      </c>
      <c r="L52" s="391">
        <f ca="1">VLOOKUP($C52,Data!$L$1139:$T$1146,3,0)</f>
        <v>5</v>
      </c>
      <c r="M52" s="391">
        <f>IF(H52&gt;0,VLOOKUP('Production cost'!$C52,Data!$L$1140:$Q$1146,IF('Production cost'!$E52="Metalize",6,5),0)/60+(ROUNDUP(input!$H418/A52,0)*SUMIF(Paper!$A$7:$A$29,'Production cost'!$F52,Paper!$U$7:$U$29)-1)*5/60,0)*SUMIF(Paper!$A$7:$A$29,'Production cost'!$F52,Paper!$J$7:$J$29)</f>
        <v>0</v>
      </c>
      <c r="N52" s="391">
        <f t="shared" si="19"/>
        <v>0</v>
      </c>
      <c r="O52" s="313">
        <f ca="1">SUMIF(Data!$L$1140:$L$1146,'Production cost'!$C52,Data!$R$1140:$R$1146)</f>
        <v>352574.32240985788</v>
      </c>
      <c r="P52" s="313">
        <f ca="1">VLOOKUP($C52,Data!$L$1139:$T$1146,2,0)</f>
        <v>83000.376301260956</v>
      </c>
      <c r="Q52" s="313">
        <f t="shared" ca="1" si="20"/>
        <v>0</v>
      </c>
      <c r="R52" s="313">
        <f t="shared" ca="1" si="21"/>
        <v>0</v>
      </c>
      <c r="S52" s="1741">
        <f t="shared" si="22"/>
        <v>0</v>
      </c>
      <c r="T52" s="313" t="str">
        <f>input!J418</f>
        <v>N</v>
      </c>
      <c r="V52" s="3115" t="str">
        <f>input!K418</f>
        <v>Printing</v>
      </c>
      <c r="W52" s="3115">
        <f t="shared" ca="1" si="23"/>
        <v>0</v>
      </c>
      <c r="X52" s="3119">
        <f>VLOOKUP(V52,'Fix Cost'!$K$177:$M$179,2,0)</f>
        <v>84211.577419609195</v>
      </c>
      <c r="Y52" s="3119">
        <f>VLOOKUP(V52,'Fix Cost'!$K$177:$M$179,3,0)</f>
        <v>716285.31885375059</v>
      </c>
      <c r="Z52" s="3119">
        <f t="shared" ca="1" si="24"/>
        <v>0</v>
      </c>
      <c r="AA52" s="3115">
        <f t="shared" si="25"/>
        <v>0</v>
      </c>
      <c r="AB52" s="3115">
        <f t="shared" ca="1" si="26"/>
        <v>0</v>
      </c>
      <c r="AK52" s="313"/>
      <c r="AL52" s="313"/>
      <c r="AM52" s="313"/>
      <c r="AO52" s="385"/>
      <c r="AP52" s="385"/>
      <c r="AQ52" s="385"/>
      <c r="AR52" s="1048"/>
      <c r="AS52" s="385"/>
      <c r="AT52" s="879">
        <f t="shared" ca="1" si="1"/>
        <v>0</v>
      </c>
      <c r="AU52" s="879">
        <f ca="1">COUNTIFS(AT$7:$AT52,1)</f>
        <v>3</v>
      </c>
    </row>
    <row r="53" spans="1:47" ht="12.75" hidden="1" outlineLevel="1">
      <c r="A53" s="333">
        <f ca="1">input!A419</f>
        <v>7</v>
      </c>
      <c r="B53" s="1738" t="s">
        <v>139</v>
      </c>
      <c r="C53" s="313" t="str">
        <f ca="1">input!C419</f>
        <v>KBA</v>
      </c>
      <c r="E53" s="363" t="str">
        <f>input!D419</f>
        <v>None_Metalize</v>
      </c>
      <c r="F53" s="363" t="str">
        <f>input!F419</f>
        <v>N</v>
      </c>
      <c r="G53" s="363">
        <f ca="1">input!E419</f>
        <v>0</v>
      </c>
      <c r="H53" s="363">
        <f>SUMIFS(Paper!$AC$7:$AC$30,Paper!$A$7:$A$30,'Production cost'!F53)</f>
        <v>0</v>
      </c>
      <c r="I53" s="313">
        <f ca="1">IF(G53=Data!$Q$1112,VLOOKUP(C53,Data!$M$1113:$O$1120,IF(E53=Data!$N$1112,2,3),0),IF(G53=Data!$R$1112,VLOOKUP(C53,Data!$M$1121:$O$1127,IF(E53=Data!$N$1112,2,3),0),VLOOKUP(C53,Data!$M$1129:$O$1135,IF(E53=Data!$N$1112,2,3),0)))</f>
        <v>12000</v>
      </c>
      <c r="J53" s="313" t="s">
        <v>5</v>
      </c>
      <c r="K53" s="360">
        <f ca="1">SUMIF(Data!$L$1140:$L$1146,'Production cost'!$C53,Data!$S$1140:$S$1146)</f>
        <v>1</v>
      </c>
      <c r="L53" s="391">
        <f ca="1">VLOOKUP($C53,Data!$L$1139:$T$1146,3,0)</f>
        <v>5</v>
      </c>
      <c r="M53" s="391">
        <f>IF(H53&gt;0,VLOOKUP('Production cost'!$C53,Data!$L$1140:$Q$1146,IF('Production cost'!$E53="Metalize",6,5),0)/60+(ROUNDUP(input!$H419/A53,0)*SUMIF(Paper!$A$7:$A$29,'Production cost'!$F53,Paper!$U$7:$U$29)-1)*5/60,0)*SUMIF(Paper!$A$7:$A$29,'Production cost'!$F53,Paper!$J$7:$J$29)</f>
        <v>0</v>
      </c>
      <c r="N53" s="391">
        <f t="shared" si="19"/>
        <v>0</v>
      </c>
      <c r="O53" s="313">
        <f ca="1">SUMIF(Data!$L$1140:$L$1146,'Production cost'!$C53,Data!$R$1140:$R$1146)</f>
        <v>352574.32240985788</v>
      </c>
      <c r="P53" s="313">
        <f ca="1">VLOOKUP($C53,Data!$L$1139:$T$1146,2,0)</f>
        <v>83000.376301260956</v>
      </c>
      <c r="Q53" s="313">
        <f t="shared" ca="1" si="20"/>
        <v>0</v>
      </c>
      <c r="R53" s="313">
        <f t="shared" ca="1" si="21"/>
        <v>0</v>
      </c>
      <c r="S53" s="1741">
        <f t="shared" si="22"/>
        <v>0</v>
      </c>
      <c r="T53" s="313" t="str">
        <f>input!J419</f>
        <v>N</v>
      </c>
      <c r="V53" s="3115" t="str">
        <f>input!K419</f>
        <v>Printing</v>
      </c>
      <c r="W53" s="3115">
        <f t="shared" ca="1" si="23"/>
        <v>0</v>
      </c>
      <c r="X53" s="3119">
        <f>VLOOKUP(V53,'Fix Cost'!$K$177:$M$179,2,0)</f>
        <v>84211.577419609195</v>
      </c>
      <c r="Y53" s="3119">
        <f>VLOOKUP(V53,'Fix Cost'!$K$177:$M$179,3,0)</f>
        <v>716285.31885375059</v>
      </c>
      <c r="Z53" s="3119">
        <f t="shared" ca="1" si="24"/>
        <v>0</v>
      </c>
      <c r="AA53" s="3115">
        <f t="shared" si="25"/>
        <v>0</v>
      </c>
      <c r="AB53" s="3115">
        <f t="shared" ca="1" si="26"/>
        <v>0</v>
      </c>
      <c r="AK53" s="313"/>
      <c r="AL53" s="313"/>
      <c r="AM53" s="313"/>
      <c r="AO53" s="385"/>
      <c r="AP53" s="385"/>
      <c r="AQ53" s="385"/>
      <c r="AR53" s="1048"/>
      <c r="AS53" s="385"/>
      <c r="AT53" s="879">
        <f t="shared" ca="1" si="1"/>
        <v>0</v>
      </c>
      <c r="AU53" s="879">
        <f ca="1">COUNTIFS(AT$7:$AT53,1)</f>
        <v>3</v>
      </c>
    </row>
    <row r="54" spans="1:47" ht="12.75" hidden="1" outlineLevel="1">
      <c r="A54" s="333">
        <f ca="1">input!A420</f>
        <v>7</v>
      </c>
      <c r="B54" s="1738" t="s">
        <v>139</v>
      </c>
      <c r="C54" s="313" t="str">
        <f ca="1">input!C420</f>
        <v>KBA</v>
      </c>
      <c r="E54" s="363" t="str">
        <f>input!D420</f>
        <v>None_Metalize</v>
      </c>
      <c r="F54" s="363" t="str">
        <f>input!F420</f>
        <v>N</v>
      </c>
      <c r="G54" s="363">
        <f ca="1">input!E420</f>
        <v>0</v>
      </c>
      <c r="H54" s="363">
        <f>SUMIFS(Paper!$AC$7:$AC$30,Paper!$A$7:$A$30,'Production cost'!F54)</f>
        <v>0</v>
      </c>
      <c r="I54" s="313">
        <f ca="1">IF(G54=Data!$Q$1112,VLOOKUP(C54,Data!$M$1113:$O$1120,IF(E54=Data!$N$1112,2,3),0),IF(G54=Data!$R$1112,VLOOKUP(C54,Data!$M$1121:$O$1127,IF(E54=Data!$N$1112,2,3),0),VLOOKUP(C54,Data!$M$1129:$O$1135,IF(E54=Data!$N$1112,2,3),0)))</f>
        <v>12000</v>
      </c>
      <c r="J54" s="313" t="s">
        <v>5</v>
      </c>
      <c r="K54" s="360">
        <f ca="1">SUMIF(Data!$L$1140:$L$1146,'Production cost'!$C54,Data!$S$1140:$S$1146)</f>
        <v>1</v>
      </c>
      <c r="L54" s="391">
        <f ca="1">VLOOKUP($C54,Data!$L$1139:$T$1146,3,0)</f>
        <v>5</v>
      </c>
      <c r="M54" s="391">
        <f>IF(H54&gt;0,VLOOKUP('Production cost'!$C54,Data!$L$1140:$Q$1146,IF('Production cost'!$E54="Metalize",6,5),0)/60+(ROUNDUP(input!$H420/A54,0)*SUMIF(Paper!$A$7:$A$29,'Production cost'!$F54,Paper!$U$7:$U$29)-1)*5/60,0)*SUMIF(Paper!$A$7:$A$29,'Production cost'!$F54,Paper!$J$7:$J$29)</f>
        <v>0</v>
      </c>
      <c r="N54" s="391">
        <f t="shared" si="19"/>
        <v>0</v>
      </c>
      <c r="O54" s="313">
        <f ca="1">SUMIF(Data!$L$1140:$L$1146,'Production cost'!$C54,Data!$R$1140:$R$1146)</f>
        <v>352574.32240985788</v>
      </c>
      <c r="P54" s="313">
        <f ca="1">VLOOKUP($C54,Data!$L$1139:$T$1146,2,0)</f>
        <v>83000.376301260956</v>
      </c>
      <c r="Q54" s="313">
        <f t="shared" ca="1" si="20"/>
        <v>0</v>
      </c>
      <c r="R54" s="313">
        <f t="shared" ca="1" si="21"/>
        <v>0</v>
      </c>
      <c r="S54" s="1741">
        <f t="shared" si="22"/>
        <v>0</v>
      </c>
      <c r="T54" s="313" t="str">
        <f>input!J420</f>
        <v>N</v>
      </c>
      <c r="V54" s="3115" t="str">
        <f>input!K420</f>
        <v>Printing</v>
      </c>
      <c r="W54" s="3115">
        <f t="shared" ca="1" si="23"/>
        <v>0</v>
      </c>
      <c r="X54" s="3119">
        <f>VLOOKUP(V54,'Fix Cost'!$K$177:$M$179,2,0)</f>
        <v>84211.577419609195</v>
      </c>
      <c r="Y54" s="3119">
        <f>VLOOKUP(V54,'Fix Cost'!$K$177:$M$179,3,0)</f>
        <v>716285.31885375059</v>
      </c>
      <c r="Z54" s="3119">
        <f t="shared" ca="1" si="24"/>
        <v>0</v>
      </c>
      <c r="AA54" s="3115">
        <f t="shared" si="25"/>
        <v>0</v>
      </c>
      <c r="AB54" s="3115">
        <f t="shared" ca="1" si="26"/>
        <v>0</v>
      </c>
      <c r="AK54" s="313"/>
      <c r="AL54" s="313"/>
      <c r="AM54" s="313"/>
      <c r="AO54" s="385"/>
      <c r="AP54" s="385"/>
      <c r="AQ54" s="385"/>
      <c r="AR54" s="1048"/>
      <c r="AS54" s="385"/>
      <c r="AT54" s="879">
        <f t="shared" ca="1" si="1"/>
        <v>0</v>
      </c>
      <c r="AU54" s="879">
        <f ca="1">COUNTIFS(AT$7:$AT54,1)</f>
        <v>3</v>
      </c>
    </row>
    <row r="55" spans="1:47" ht="12.75" hidden="1" outlineLevel="1">
      <c r="A55" s="333">
        <f ca="1">input!A421</f>
        <v>7</v>
      </c>
      <c r="B55" s="1738" t="s">
        <v>139</v>
      </c>
      <c r="C55" s="313" t="str">
        <f ca="1">input!C421</f>
        <v>KBA</v>
      </c>
      <c r="E55" s="363" t="str">
        <f>input!D421</f>
        <v>None_Metalize</v>
      </c>
      <c r="F55" s="363" t="str">
        <f>input!F421</f>
        <v>N</v>
      </c>
      <c r="G55" s="363">
        <f ca="1">input!E421</f>
        <v>0</v>
      </c>
      <c r="H55" s="363">
        <f>SUMIFS(Paper!$AC$7:$AC$30,Paper!$A$7:$A$30,'Production cost'!F55)</f>
        <v>0</v>
      </c>
      <c r="I55" s="313">
        <f ca="1">IF(G55=Data!$Q$1112,VLOOKUP(C55,Data!$M$1113:$O$1120,IF(E55=Data!$N$1112,2,3),0),IF(G55=Data!$R$1112,VLOOKUP(C55,Data!$M$1121:$O$1127,IF(E55=Data!$N$1112,2,3),0),VLOOKUP(C55,Data!$M$1129:$O$1135,IF(E55=Data!$N$1112,2,3),0)))</f>
        <v>12000</v>
      </c>
      <c r="J55" s="313" t="s">
        <v>5</v>
      </c>
      <c r="K55" s="360">
        <f ca="1">SUMIF(Data!$L$1140:$L$1146,'Production cost'!$C55,Data!$S$1140:$S$1146)</f>
        <v>1</v>
      </c>
      <c r="L55" s="391">
        <f ca="1">VLOOKUP($C55,Data!$L$1139:$T$1146,3,0)</f>
        <v>5</v>
      </c>
      <c r="M55" s="391">
        <f>IF(H55&gt;0,VLOOKUP('Production cost'!$C55,Data!$L$1140:$Q$1146,IF('Production cost'!$E55="Metalize",6,5),0)/60+(ROUNDUP(input!$H421/A55,0)*SUMIF(Paper!$A$7:$A$29,'Production cost'!$F55,Paper!$U$7:$U$29)-1)*5/60,0)*SUMIF(Paper!$A$7:$A$29,'Production cost'!$F55,Paper!$J$7:$J$29)</f>
        <v>0</v>
      </c>
      <c r="N55" s="391">
        <f t="shared" si="19"/>
        <v>0</v>
      </c>
      <c r="O55" s="313">
        <f ca="1">SUMIF(Data!$L$1140:$L$1146,'Production cost'!$C55,Data!$R$1140:$R$1146)</f>
        <v>352574.32240985788</v>
      </c>
      <c r="P55" s="313">
        <f ca="1">VLOOKUP($C55,Data!$L$1139:$T$1146,2,0)</f>
        <v>83000.376301260956</v>
      </c>
      <c r="Q55" s="313">
        <f t="shared" ca="1" si="20"/>
        <v>0</v>
      </c>
      <c r="R55" s="313">
        <f t="shared" ca="1" si="21"/>
        <v>0</v>
      </c>
      <c r="S55" s="1741">
        <f t="shared" si="22"/>
        <v>0</v>
      </c>
      <c r="T55" s="313" t="str">
        <f>input!J421</f>
        <v>N</v>
      </c>
      <c r="V55" s="3115" t="str">
        <f>input!K421</f>
        <v>Printing</v>
      </c>
      <c r="W55" s="3115">
        <f t="shared" ca="1" si="23"/>
        <v>0</v>
      </c>
      <c r="X55" s="3119">
        <f>VLOOKUP(V55,'Fix Cost'!$K$177:$M$179,2,0)</f>
        <v>84211.577419609195</v>
      </c>
      <c r="Y55" s="3119">
        <f>VLOOKUP(V55,'Fix Cost'!$K$177:$M$179,3,0)</f>
        <v>716285.31885375059</v>
      </c>
      <c r="Z55" s="3119">
        <f t="shared" ca="1" si="24"/>
        <v>0</v>
      </c>
      <c r="AA55" s="3115">
        <f t="shared" si="25"/>
        <v>0</v>
      </c>
      <c r="AB55" s="3115">
        <f t="shared" ca="1" si="26"/>
        <v>0</v>
      </c>
      <c r="AK55" s="313"/>
      <c r="AL55" s="313"/>
      <c r="AM55" s="313"/>
      <c r="AO55" s="385"/>
      <c r="AP55" s="385"/>
      <c r="AQ55" s="385"/>
      <c r="AR55" s="1048"/>
      <c r="AS55" s="385"/>
      <c r="AT55" s="879">
        <f t="shared" ca="1" si="1"/>
        <v>0</v>
      </c>
      <c r="AU55" s="879">
        <f ca="1">COUNTIFS(AT$7:$AT55,1)</f>
        <v>3</v>
      </c>
    </row>
    <row r="56" spans="1:47" ht="12.75" hidden="1" outlineLevel="1">
      <c r="A56" s="333">
        <f ca="1">input!A422</f>
        <v>7</v>
      </c>
      <c r="B56" s="1738" t="s">
        <v>139</v>
      </c>
      <c r="C56" s="313" t="str">
        <f ca="1">input!C422</f>
        <v>KBA</v>
      </c>
      <c r="E56" s="363" t="str">
        <f>input!D422</f>
        <v>None_Metalize</v>
      </c>
      <c r="F56" s="363" t="str">
        <f>input!F422</f>
        <v>N</v>
      </c>
      <c r="G56" s="363" t="str">
        <f ca="1">input!E422</f>
        <v>220 - 350gsm</v>
      </c>
      <c r="H56" s="363">
        <f>SUMIFS(Paper!$AC$7:$AC$30,Paper!$A$7:$A$30,'Production cost'!F56)</f>
        <v>0</v>
      </c>
      <c r="I56" s="313">
        <f ca="1">IF(G56=Data!$Q$1112,VLOOKUP(C56,Data!$M$1113:$O$1120,IF(E56=Data!$N$1112,2,3),0),IF(G56=Data!$R$1112,VLOOKUP(C56,Data!$M$1121:$O$1127,IF(E56=Data!$N$1112,2,3),0),VLOOKUP(C56,Data!$M$1129:$O$1135,IF(E56=Data!$N$1112,2,3),0)))</f>
        <v>12000</v>
      </c>
      <c r="J56" s="313" t="s">
        <v>5</v>
      </c>
      <c r="K56" s="360">
        <f ca="1">SUMIF(Data!$L$1140:$L$1146,'Production cost'!$C56,Data!$S$1140:$S$1146)</f>
        <v>1</v>
      </c>
      <c r="L56" s="391">
        <f ca="1">VLOOKUP($C56,Data!$L$1139:$T$1146,3,0)</f>
        <v>5</v>
      </c>
      <c r="M56" s="391">
        <f>IF(H56&gt;0,VLOOKUP('Production cost'!$C56,Data!$L$1140:$Q$1146,IF('Production cost'!$E56="Metalize",6,5),0)/60+(ROUNDUP(input!$H422/A56,0)*SUMIF(Paper!$A$7:$A$29,'Production cost'!$F56,Paper!$U$7:$U$29)-1)*5/60,0)*SUMIF(Paper!$A$7:$A$29,'Production cost'!$F56,Paper!$J$7:$J$29)</f>
        <v>0</v>
      </c>
      <c r="N56" s="391">
        <f t="shared" si="19"/>
        <v>0</v>
      </c>
      <c r="O56" s="313">
        <f ca="1">SUMIF(Data!$L$1140:$L$1146,'Production cost'!$C56,Data!$R$1140:$R$1146)</f>
        <v>352574.32240985788</v>
      </c>
      <c r="P56" s="313">
        <f ca="1">VLOOKUP($C56,Data!$L$1139:$T$1146,2,0)</f>
        <v>83000.376301260956</v>
      </c>
      <c r="Q56" s="313">
        <f t="shared" ca="1" si="20"/>
        <v>0</v>
      </c>
      <c r="R56" s="313">
        <f t="shared" ca="1" si="21"/>
        <v>0</v>
      </c>
      <c r="S56" s="1741">
        <f t="shared" si="22"/>
        <v>0</v>
      </c>
      <c r="T56" s="313" t="str">
        <f>input!J422</f>
        <v>N</v>
      </c>
      <c r="V56" s="3115" t="str">
        <f>input!K422</f>
        <v>Printing</v>
      </c>
      <c r="W56" s="3115">
        <f t="shared" ca="1" si="23"/>
        <v>0</v>
      </c>
      <c r="X56" s="3119">
        <f>VLOOKUP(V56,'Fix Cost'!$K$177:$M$179,2,0)</f>
        <v>84211.577419609195</v>
      </c>
      <c r="Y56" s="3119">
        <f>VLOOKUP(V56,'Fix Cost'!$K$177:$M$179,3,0)</f>
        <v>716285.31885375059</v>
      </c>
      <c r="Z56" s="3119">
        <f t="shared" ca="1" si="24"/>
        <v>0</v>
      </c>
      <c r="AA56" s="3115">
        <f t="shared" si="25"/>
        <v>0</v>
      </c>
      <c r="AB56" s="3115">
        <f t="shared" ca="1" si="26"/>
        <v>0</v>
      </c>
      <c r="AK56" s="313"/>
      <c r="AL56" s="313"/>
      <c r="AM56" s="313"/>
      <c r="AO56" s="385"/>
      <c r="AP56" s="385"/>
      <c r="AQ56" s="385"/>
      <c r="AR56" s="1048"/>
      <c r="AS56" s="385"/>
      <c r="AT56" s="879">
        <f t="shared" ca="1" si="1"/>
        <v>0</v>
      </c>
      <c r="AU56" s="879">
        <f ca="1">COUNTIFS(AT$7:$AT56,1)</f>
        <v>3</v>
      </c>
    </row>
    <row r="57" spans="1:47" ht="12.75" hidden="1" outlineLevel="1">
      <c r="A57" s="333">
        <f ca="1">input!A423</f>
        <v>7</v>
      </c>
      <c r="B57" s="1738" t="s">
        <v>139</v>
      </c>
      <c r="C57" s="313" t="str">
        <f ca="1">input!C423</f>
        <v>KBA</v>
      </c>
      <c r="E57" s="363" t="str">
        <f>input!D423</f>
        <v>None_Metalize</v>
      </c>
      <c r="F57" s="363" t="str">
        <f>input!F423</f>
        <v>N</v>
      </c>
      <c r="G57" s="363">
        <f ca="1">input!E423</f>
        <v>0</v>
      </c>
      <c r="H57" s="363">
        <f>SUMIFS(Paper!$AC$7:$AC$30,Paper!$A$7:$A$30,'Production cost'!F57)</f>
        <v>0</v>
      </c>
      <c r="I57" s="313">
        <f ca="1">IF(G57=Data!$Q$1112,VLOOKUP(C57,Data!$M$1113:$O$1120,IF(E57=Data!$N$1112,2,3),0),IF(G57=Data!$R$1112,VLOOKUP(C57,Data!$M$1121:$O$1127,IF(E57=Data!$N$1112,2,3),0),VLOOKUP(C57,Data!$M$1129:$O$1135,IF(E57=Data!$N$1112,2,3),0)))</f>
        <v>12000</v>
      </c>
      <c r="J57" s="313" t="s">
        <v>5</v>
      </c>
      <c r="K57" s="360">
        <f ca="1">SUMIF(Data!$L$1140:$L$1146,'Production cost'!$C57,Data!$S$1140:$S$1146)</f>
        <v>1</v>
      </c>
      <c r="L57" s="391">
        <f ca="1">VLOOKUP($C57,Data!$L$1139:$T$1146,3,0)</f>
        <v>5</v>
      </c>
      <c r="M57" s="391">
        <f>IF(H57&gt;0,VLOOKUP('Production cost'!$C57,Data!$L$1140:$Q$1146,IF('Production cost'!$E57="Metalize",6,5),0)/60+(ROUNDUP(input!$H423/A57,0)*SUMIF(Paper!$A$7:$A$29,'Production cost'!$F57,Paper!$U$7:$U$29)-1)*5/60,0)*SUMIF(Paper!$A$7:$A$29,'Production cost'!$F57,Paper!$J$7:$J$29)</f>
        <v>0</v>
      </c>
      <c r="N57" s="391">
        <f t="shared" ref="N57:N65" si="27">IF(H57&gt;0,ROUNDUP(((H57/I57)/$M$5+M57),1),0)</f>
        <v>0</v>
      </c>
      <c r="O57" s="313">
        <f ca="1">SUMIF(Data!$L$1140:$L$1146,'Production cost'!$C57,Data!$R$1140:$R$1146)</f>
        <v>352574.32240985788</v>
      </c>
      <c r="P57" s="313">
        <f ca="1">VLOOKUP($C57,Data!$L$1139:$T$1146,2,0)</f>
        <v>83000.376301260956</v>
      </c>
      <c r="Q57" s="313">
        <f t="shared" ca="1" si="20"/>
        <v>0</v>
      </c>
      <c r="R57" s="313">
        <f t="shared" ref="R57:R65" ca="1" si="28">IF($E$2&gt;0,Q57/$E$2,0)</f>
        <v>0</v>
      </c>
      <c r="S57" s="1741">
        <f t="shared" ref="S57:S65" si="29">IF(M57&gt;0,K57*O57+L57*P57,0)</f>
        <v>0</v>
      </c>
      <c r="T57" s="313" t="str">
        <f>input!J423</f>
        <v>N</v>
      </c>
      <c r="V57" s="3115" t="str">
        <f>input!K423</f>
        <v>Printing</v>
      </c>
      <c r="W57" s="3115">
        <f t="shared" ca="1" si="23"/>
        <v>0</v>
      </c>
      <c r="X57" s="3119">
        <f>VLOOKUP(V57,'Fix Cost'!$K$177:$M$179,2,0)</f>
        <v>84211.577419609195</v>
      </c>
      <c r="Y57" s="3119">
        <f>VLOOKUP(V57,'Fix Cost'!$K$177:$M$179,3,0)</f>
        <v>716285.31885375059</v>
      </c>
      <c r="Z57" s="3119">
        <f t="shared" ca="1" si="24"/>
        <v>0</v>
      </c>
      <c r="AA57" s="3115">
        <f t="shared" si="25"/>
        <v>0</v>
      </c>
      <c r="AB57" s="3115">
        <f t="shared" ca="1" si="26"/>
        <v>0</v>
      </c>
      <c r="AK57" s="313"/>
      <c r="AL57" s="313"/>
      <c r="AM57" s="313"/>
      <c r="AO57" s="385"/>
      <c r="AP57" s="385"/>
      <c r="AQ57" s="385"/>
      <c r="AR57" s="1048"/>
      <c r="AS57" s="385"/>
      <c r="AT57" s="879">
        <f t="shared" ca="1" si="1"/>
        <v>0</v>
      </c>
      <c r="AU57" s="879">
        <f ca="1">COUNTIFS(AT$7:$AT57,1)</f>
        <v>3</v>
      </c>
    </row>
    <row r="58" spans="1:47" ht="12.75" hidden="1" outlineLevel="1">
      <c r="A58" s="333">
        <f ca="1">input!A424</f>
        <v>7</v>
      </c>
      <c r="B58" s="1738" t="s">
        <v>139</v>
      </c>
      <c r="C58" s="313" t="str">
        <f ca="1">input!C424</f>
        <v>KBA</v>
      </c>
      <c r="E58" s="363" t="str">
        <f>input!D424</f>
        <v>None_Metalize</v>
      </c>
      <c r="F58" s="363" t="str">
        <f>input!F424</f>
        <v>N</v>
      </c>
      <c r="G58" s="363">
        <f ca="1">input!E424</f>
        <v>0</v>
      </c>
      <c r="H58" s="363">
        <f>SUMIFS(Paper!$AC$7:$AC$30,Paper!$A$7:$A$30,'Production cost'!F58)</f>
        <v>0</v>
      </c>
      <c r="I58" s="313">
        <f ca="1">IF(G58=Data!$Q$1112,VLOOKUP(C58,Data!$M$1113:$O$1120,IF(E58=Data!$N$1112,2,3),0),IF(G58=Data!$R$1112,VLOOKUP(C58,Data!$M$1121:$O$1127,IF(E58=Data!$N$1112,2,3),0),VLOOKUP(C58,Data!$M$1129:$O$1135,IF(E58=Data!$N$1112,2,3),0)))</f>
        <v>12000</v>
      </c>
      <c r="J58" s="313" t="s">
        <v>5</v>
      </c>
      <c r="K58" s="360">
        <f ca="1">SUMIF(Data!$L$1140:$L$1146,'Production cost'!$C58,Data!$S$1140:$S$1146)</f>
        <v>1</v>
      </c>
      <c r="L58" s="391">
        <f ca="1">VLOOKUP($C58,Data!$L$1139:$T$1146,3,0)</f>
        <v>5</v>
      </c>
      <c r="M58" s="391">
        <f>IF(H58&gt;0,VLOOKUP('Production cost'!$C58,Data!$L$1140:$Q$1146,IF('Production cost'!$E58="Metalize",6,5),0)/60+(ROUNDUP(input!$H424/A58,0)*SUMIF(Paper!$A$7:$A$29,'Production cost'!$F58,Paper!$U$7:$U$29)-1)*5/60,0)*SUMIF(Paper!$A$7:$A$29,'Production cost'!$F58,Paper!$J$7:$J$29)</f>
        <v>0</v>
      </c>
      <c r="N58" s="391">
        <f t="shared" si="27"/>
        <v>0</v>
      </c>
      <c r="O58" s="313">
        <f ca="1">SUMIF(Data!$L$1140:$L$1146,'Production cost'!$C58,Data!$R$1140:$R$1146)</f>
        <v>352574.32240985788</v>
      </c>
      <c r="P58" s="313">
        <f ca="1">VLOOKUP($C58,Data!$L$1139:$T$1146,2,0)</f>
        <v>83000.376301260956</v>
      </c>
      <c r="Q58" s="313">
        <f t="shared" ca="1" si="20"/>
        <v>0</v>
      </c>
      <c r="R58" s="313">
        <f t="shared" ca="1" si="28"/>
        <v>0</v>
      </c>
      <c r="S58" s="1741">
        <f t="shared" si="29"/>
        <v>0</v>
      </c>
      <c r="T58" s="313" t="str">
        <f>input!J424</f>
        <v>N</v>
      </c>
      <c r="V58" s="3115" t="str">
        <f>input!K424</f>
        <v>Printing</v>
      </c>
      <c r="W58" s="3115">
        <f t="shared" ca="1" si="23"/>
        <v>0</v>
      </c>
      <c r="X58" s="3119">
        <f>VLOOKUP(V58,'Fix Cost'!$K$177:$M$179,2,0)</f>
        <v>84211.577419609195</v>
      </c>
      <c r="Y58" s="3119">
        <f>VLOOKUP(V58,'Fix Cost'!$K$177:$M$179,3,0)</f>
        <v>716285.31885375059</v>
      </c>
      <c r="Z58" s="3119">
        <f t="shared" ca="1" si="24"/>
        <v>0</v>
      </c>
      <c r="AA58" s="3115">
        <f t="shared" si="25"/>
        <v>0</v>
      </c>
      <c r="AB58" s="3115">
        <f t="shared" ca="1" si="26"/>
        <v>0</v>
      </c>
      <c r="AK58" s="313"/>
      <c r="AL58" s="313"/>
      <c r="AM58" s="313"/>
      <c r="AO58" s="385"/>
      <c r="AP58" s="385"/>
      <c r="AQ58" s="385"/>
      <c r="AR58" s="1048"/>
      <c r="AS58" s="385"/>
      <c r="AT58" s="879">
        <f t="shared" ca="1" si="1"/>
        <v>0</v>
      </c>
      <c r="AU58" s="879">
        <f ca="1">COUNTIFS(AT$7:$AT58,1)</f>
        <v>3</v>
      </c>
    </row>
    <row r="59" spans="1:47" ht="12.75" hidden="1" outlineLevel="1">
      <c r="A59" s="333">
        <f ca="1">input!A425</f>
        <v>7</v>
      </c>
      <c r="B59" s="1738" t="s">
        <v>139</v>
      </c>
      <c r="C59" s="313" t="str">
        <f ca="1">input!C425</f>
        <v>KBA</v>
      </c>
      <c r="E59" s="363" t="str">
        <f>input!D425</f>
        <v>None_Metalize</v>
      </c>
      <c r="F59" s="363" t="str">
        <f>input!F425</f>
        <v>N</v>
      </c>
      <c r="G59" s="363">
        <f ca="1">input!E425</f>
        <v>0</v>
      </c>
      <c r="H59" s="363">
        <f>SUMIFS(Paper!$AC$7:$AC$30,Paper!$A$7:$A$30,'Production cost'!F59)</f>
        <v>0</v>
      </c>
      <c r="I59" s="313">
        <f ca="1">IF(G59=Data!$Q$1112,VLOOKUP(C59,Data!$M$1113:$O$1120,IF(E59=Data!$N$1112,2,3),0),IF(G59=Data!$R$1112,VLOOKUP(C59,Data!$M$1121:$O$1127,IF(E59=Data!$N$1112,2,3),0),VLOOKUP(C59,Data!$M$1129:$O$1135,IF(E59=Data!$N$1112,2,3),0)))</f>
        <v>12000</v>
      </c>
      <c r="J59" s="313" t="s">
        <v>5</v>
      </c>
      <c r="K59" s="360">
        <f ca="1">SUMIF(Data!$L$1140:$L$1146,'Production cost'!$C59,Data!$S$1140:$S$1146)</f>
        <v>1</v>
      </c>
      <c r="L59" s="391">
        <f ca="1">VLOOKUP($C59,Data!$L$1139:$T$1146,3,0)</f>
        <v>5</v>
      </c>
      <c r="M59" s="391">
        <f>IF(H59&gt;0,VLOOKUP('Production cost'!$C59,Data!$L$1140:$Q$1146,IF('Production cost'!$E59="Metalize",6,5),0)/60+(ROUNDUP(input!$H425/A59,0)*SUMIF(Paper!$A$7:$A$29,'Production cost'!$F59,Paper!$U$7:$U$29)-1)*5/60,0)*SUMIF(Paper!$A$7:$A$29,'Production cost'!$F59,Paper!$J$7:$J$29)</f>
        <v>0</v>
      </c>
      <c r="N59" s="391">
        <f t="shared" si="27"/>
        <v>0</v>
      </c>
      <c r="O59" s="313">
        <f ca="1">SUMIF(Data!$L$1140:$L$1146,'Production cost'!$C59,Data!$R$1140:$R$1146)</f>
        <v>352574.32240985788</v>
      </c>
      <c r="P59" s="313">
        <f ca="1">VLOOKUP($C59,Data!$L$1139:$T$1146,2,0)</f>
        <v>83000.376301260956</v>
      </c>
      <c r="Q59" s="313">
        <f t="shared" ca="1" si="20"/>
        <v>0</v>
      </c>
      <c r="R59" s="313">
        <f t="shared" ca="1" si="28"/>
        <v>0</v>
      </c>
      <c r="S59" s="1741">
        <f t="shared" si="29"/>
        <v>0</v>
      </c>
      <c r="T59" s="313" t="str">
        <f>input!J425</f>
        <v>N</v>
      </c>
      <c r="V59" s="3115" t="str">
        <f>input!K425</f>
        <v>Printing</v>
      </c>
      <c r="W59" s="3115">
        <f t="shared" ca="1" si="23"/>
        <v>0</v>
      </c>
      <c r="X59" s="3119">
        <f>VLOOKUP(V59,'Fix Cost'!$K$177:$M$179,2,0)</f>
        <v>84211.577419609195</v>
      </c>
      <c r="Y59" s="3119">
        <f>VLOOKUP(V59,'Fix Cost'!$K$177:$M$179,3,0)</f>
        <v>716285.31885375059</v>
      </c>
      <c r="Z59" s="3119">
        <f t="shared" ca="1" si="24"/>
        <v>0</v>
      </c>
      <c r="AA59" s="3115">
        <f t="shared" si="25"/>
        <v>0</v>
      </c>
      <c r="AB59" s="3115">
        <f t="shared" ca="1" si="26"/>
        <v>0</v>
      </c>
      <c r="AK59" s="313"/>
      <c r="AL59" s="313"/>
      <c r="AM59" s="313"/>
      <c r="AO59" s="385"/>
      <c r="AP59" s="385"/>
      <c r="AQ59" s="385"/>
      <c r="AR59" s="1048"/>
      <c r="AS59" s="385"/>
      <c r="AT59" s="879">
        <f t="shared" ca="1" si="1"/>
        <v>0</v>
      </c>
      <c r="AU59" s="879">
        <f ca="1">COUNTIFS(AT$7:$AT59,1)</f>
        <v>3</v>
      </c>
    </row>
    <row r="60" spans="1:47" ht="12.75" hidden="1" outlineLevel="1">
      <c r="A60" s="333">
        <f ca="1">input!A426</f>
        <v>7</v>
      </c>
      <c r="B60" s="1738" t="s">
        <v>139</v>
      </c>
      <c r="C60" s="313" t="str">
        <f ca="1">input!C426</f>
        <v>KBA</v>
      </c>
      <c r="E60" s="363" t="str">
        <f>input!D426</f>
        <v>None_Metalize</v>
      </c>
      <c r="F60" s="363" t="str">
        <f>input!F426</f>
        <v>N</v>
      </c>
      <c r="G60" s="363">
        <f ca="1">input!E426</f>
        <v>0</v>
      </c>
      <c r="H60" s="363">
        <f>SUMIFS(Paper!$AC$7:$AC$30,Paper!$A$7:$A$30,'Production cost'!F60)</f>
        <v>0</v>
      </c>
      <c r="I60" s="313">
        <f ca="1">IF(G60=Data!$Q$1112,VLOOKUP(C60,Data!$M$1113:$O$1120,IF(E60=Data!$N$1112,2,3),0),IF(G60=Data!$R$1112,VLOOKUP(C60,Data!$M$1121:$O$1127,IF(E60=Data!$N$1112,2,3),0),VLOOKUP(C60,Data!$M$1129:$O$1135,IF(E60=Data!$N$1112,2,3),0)))</f>
        <v>12000</v>
      </c>
      <c r="J60" s="313" t="s">
        <v>5</v>
      </c>
      <c r="K60" s="360">
        <f ca="1">SUMIF(Data!$L$1140:$L$1146,'Production cost'!$C60,Data!$S$1140:$S$1146)</f>
        <v>1</v>
      </c>
      <c r="L60" s="391">
        <f ca="1">VLOOKUP($C60,Data!$L$1139:$T$1146,3,0)</f>
        <v>5</v>
      </c>
      <c r="M60" s="391">
        <f>IF(H60&gt;0,VLOOKUP('Production cost'!$C60,Data!$L$1140:$Q$1146,IF('Production cost'!$E60="Metalize",6,5),0)/60+(ROUNDUP(input!$H426/A60,0)*SUMIF(Paper!$A$7:$A$29,'Production cost'!$F60,Paper!$U$7:$U$29)-1)*5/60,0)*SUMIF(Paper!$A$7:$A$29,'Production cost'!$F60,Paper!$J$7:$J$29)</f>
        <v>0</v>
      </c>
      <c r="N60" s="391">
        <f t="shared" si="27"/>
        <v>0</v>
      </c>
      <c r="O60" s="313">
        <f ca="1">SUMIF(Data!$L$1140:$L$1146,'Production cost'!$C60,Data!$R$1140:$R$1146)</f>
        <v>352574.32240985788</v>
      </c>
      <c r="P60" s="313">
        <f ca="1">VLOOKUP($C60,Data!$L$1139:$T$1146,2,0)</f>
        <v>83000.376301260956</v>
      </c>
      <c r="Q60" s="313">
        <f t="shared" ca="1" si="20"/>
        <v>0</v>
      </c>
      <c r="R60" s="313">
        <f t="shared" ca="1" si="28"/>
        <v>0</v>
      </c>
      <c r="S60" s="1741">
        <f t="shared" si="29"/>
        <v>0</v>
      </c>
      <c r="T60" s="313" t="str">
        <f>input!J426</f>
        <v>N</v>
      </c>
      <c r="V60" s="3115" t="str">
        <f>input!K426</f>
        <v>Printing</v>
      </c>
      <c r="W60" s="3115">
        <f t="shared" ca="1" si="23"/>
        <v>0</v>
      </c>
      <c r="X60" s="3119">
        <f>VLOOKUP(V60,'Fix Cost'!$K$177:$M$179,2,0)</f>
        <v>84211.577419609195</v>
      </c>
      <c r="Y60" s="3119">
        <f>VLOOKUP(V60,'Fix Cost'!$K$177:$M$179,3,0)</f>
        <v>716285.31885375059</v>
      </c>
      <c r="Z60" s="3119">
        <f t="shared" ca="1" si="24"/>
        <v>0</v>
      </c>
      <c r="AA60" s="3115">
        <f t="shared" si="25"/>
        <v>0</v>
      </c>
      <c r="AB60" s="3115">
        <f t="shared" ca="1" si="26"/>
        <v>0</v>
      </c>
      <c r="AK60" s="313"/>
      <c r="AL60" s="313"/>
      <c r="AM60" s="313"/>
      <c r="AO60" s="385"/>
      <c r="AP60" s="385"/>
      <c r="AQ60" s="385"/>
      <c r="AR60" s="1048"/>
      <c r="AS60" s="385"/>
      <c r="AT60" s="879">
        <f t="shared" ca="1" si="1"/>
        <v>0</v>
      </c>
      <c r="AU60" s="879">
        <f ca="1">COUNTIFS(AT$7:$AT60,1)</f>
        <v>3</v>
      </c>
    </row>
    <row r="61" spans="1:47" ht="12.75" hidden="1" outlineLevel="1">
      <c r="A61" s="333">
        <f>input!A427</f>
        <v>7</v>
      </c>
      <c r="B61" s="1738" t="s">
        <v>139</v>
      </c>
      <c r="C61" s="313" t="str">
        <f>input!C427</f>
        <v>KBA</v>
      </c>
      <c r="E61" s="363" t="str">
        <f>input!D427</f>
        <v>None_Metalize</v>
      </c>
      <c r="F61" s="363" t="str">
        <f>input!F427</f>
        <v>N</v>
      </c>
      <c r="G61" s="363">
        <f ca="1">input!E427</f>
        <v>0</v>
      </c>
      <c r="H61" s="363">
        <f>SUMIFS(Paper!$AC$7:$AC$30,Paper!$A$7:$A$30,'Production cost'!F61)</f>
        <v>0</v>
      </c>
      <c r="I61" s="313">
        <f ca="1">IF(G61=Data!$Q$1112,VLOOKUP(C61,Data!$M$1113:$O$1120,IF(E61=Data!$N$1112,2,3),0),IF(G61=Data!$R$1112,VLOOKUP(C61,Data!$M$1121:$O$1127,IF(E61=Data!$N$1112,2,3),0),VLOOKUP(C61,Data!$M$1129:$O$1135,IF(E61=Data!$N$1112,2,3),0)))</f>
        <v>12000</v>
      </c>
      <c r="J61" s="313" t="s">
        <v>5</v>
      </c>
      <c r="K61" s="360">
        <f>SUMIF(Data!$L$1140:$L$1146,'Production cost'!$C61,Data!$S$1140:$S$1146)</f>
        <v>1</v>
      </c>
      <c r="L61" s="391">
        <f>VLOOKUP($C61,Data!$L$1139:$T$1146,3,0)</f>
        <v>5</v>
      </c>
      <c r="M61" s="391">
        <f>IF(H61&gt;0,VLOOKUP('Production cost'!$C61,Data!$L$1140:$Q$1146,IF('Production cost'!$E61="Metalize",6,5),0)/60+(ROUNDUP(input!$H427/A61,0)*SUMIF(Paper!$A$7:$A$29,'Production cost'!$F61,Paper!$U$7:$U$29)-1)*5/60,0)*SUMIF(Paper!$A$7:$A$29,'Production cost'!$F61,Paper!$J$7:$J$29)</f>
        <v>0</v>
      </c>
      <c r="N61" s="391">
        <f t="shared" si="27"/>
        <v>0</v>
      </c>
      <c r="O61" s="313">
        <f>SUMIF(Data!$L$1140:$L$1146,'Production cost'!$C61,Data!$R$1140:$R$1146)</f>
        <v>352574.32240985788</v>
      </c>
      <c r="P61" s="313">
        <f>VLOOKUP($C61,Data!$L$1139:$T$1146,2,0)</f>
        <v>83000.376301260956</v>
      </c>
      <c r="Q61" s="313">
        <f t="shared" si="20"/>
        <v>0</v>
      </c>
      <c r="R61" s="313">
        <f t="shared" si="28"/>
        <v>0</v>
      </c>
      <c r="S61" s="1741">
        <f t="shared" si="29"/>
        <v>0</v>
      </c>
      <c r="T61" s="313" t="str">
        <f>input!J427</f>
        <v>N</v>
      </c>
      <c r="V61" s="3115" t="str">
        <f>input!K427</f>
        <v>Printing</v>
      </c>
      <c r="W61" s="3115">
        <f t="shared" si="23"/>
        <v>0</v>
      </c>
      <c r="X61" s="3119">
        <f>VLOOKUP(V61,'Fix Cost'!$K$177:$M$179,2,0)</f>
        <v>84211.577419609195</v>
      </c>
      <c r="Y61" s="3119">
        <f>VLOOKUP(V61,'Fix Cost'!$K$177:$M$179,3,0)</f>
        <v>716285.31885375059</v>
      </c>
      <c r="Z61" s="3119">
        <f t="shared" si="24"/>
        <v>0</v>
      </c>
      <c r="AA61" s="3115">
        <f t="shared" si="25"/>
        <v>0</v>
      </c>
      <c r="AB61" s="3115">
        <f t="shared" si="26"/>
        <v>0</v>
      </c>
      <c r="AK61" s="313"/>
      <c r="AL61" s="313"/>
      <c r="AM61" s="313"/>
      <c r="AO61" s="385"/>
      <c r="AP61" s="385"/>
      <c r="AQ61" s="385"/>
      <c r="AR61" s="1048"/>
      <c r="AS61" s="385"/>
      <c r="AT61" s="879">
        <f t="shared" si="1"/>
        <v>0</v>
      </c>
      <c r="AU61" s="879">
        <f ca="1">COUNTIFS(AT$7:$AT61,1)</f>
        <v>3</v>
      </c>
    </row>
    <row r="62" spans="1:47" ht="12.75" hidden="1" outlineLevel="1">
      <c r="A62" s="333">
        <f>input!A428</f>
        <v>7</v>
      </c>
      <c r="B62" s="1738" t="s">
        <v>139</v>
      </c>
      <c r="C62" s="313" t="str">
        <f>input!C428</f>
        <v>KBA</v>
      </c>
      <c r="E62" s="363" t="str">
        <f>input!D428</f>
        <v>None_Metalize</v>
      </c>
      <c r="F62" s="363" t="str">
        <f>input!F428</f>
        <v>N</v>
      </c>
      <c r="G62" s="363">
        <f ca="1">input!E428</f>
        <v>0</v>
      </c>
      <c r="H62" s="363">
        <f>SUMIFS(Paper!$AC$7:$AC$30,Paper!$A$7:$A$30,'Production cost'!F62)</f>
        <v>0</v>
      </c>
      <c r="I62" s="313">
        <f ca="1">IF(G62=Data!$Q$1112,VLOOKUP(C62,Data!$M$1113:$O$1120,IF(E62=Data!$N$1112,2,3),0),IF(G62=Data!$R$1112,VLOOKUP(C62,Data!$M$1121:$O$1127,IF(E62=Data!$N$1112,2,3),0),VLOOKUP(C62,Data!$M$1129:$O$1135,IF(E62=Data!$N$1112,2,3),0)))</f>
        <v>12000</v>
      </c>
      <c r="J62" s="313" t="s">
        <v>5</v>
      </c>
      <c r="K62" s="360">
        <f>SUMIF(Data!$L$1140:$L$1146,'Production cost'!$C62,Data!$S$1140:$S$1146)</f>
        <v>1</v>
      </c>
      <c r="L62" s="391">
        <f>VLOOKUP($C62,Data!$L$1139:$T$1146,3,0)</f>
        <v>5</v>
      </c>
      <c r="M62" s="391">
        <f>IF(H62&gt;0,VLOOKUP('Production cost'!$C62,Data!$L$1140:$Q$1146,IF('Production cost'!$E62="Metalize",6,5),0)/60+(ROUNDUP(input!$H428/A62,0)*SUMIF(Paper!$A$7:$A$29,'Production cost'!$F62,Paper!$U$7:$U$29)-1)*5/60,0)*SUMIF(Paper!$A$7:$A$29,'Production cost'!$F62,Paper!$J$7:$J$29)</f>
        <v>0</v>
      </c>
      <c r="N62" s="391">
        <f t="shared" si="27"/>
        <v>0</v>
      </c>
      <c r="O62" s="313">
        <f>SUMIF(Data!$L$1140:$L$1146,'Production cost'!$C62,Data!$R$1140:$R$1146)</f>
        <v>352574.32240985788</v>
      </c>
      <c r="P62" s="313">
        <f>VLOOKUP($C62,Data!$L$1139:$T$1146,2,0)</f>
        <v>83000.376301260956</v>
      </c>
      <c r="Q62" s="313">
        <f t="shared" si="20"/>
        <v>0</v>
      </c>
      <c r="R62" s="313">
        <f t="shared" si="28"/>
        <v>0</v>
      </c>
      <c r="S62" s="1741">
        <f t="shared" si="29"/>
        <v>0</v>
      </c>
      <c r="T62" s="313" t="str">
        <f>input!J428</f>
        <v>N</v>
      </c>
      <c r="V62" s="3115" t="str">
        <f>input!K428</f>
        <v>Printing</v>
      </c>
      <c r="W62" s="3115">
        <f t="shared" si="23"/>
        <v>0</v>
      </c>
      <c r="X62" s="3119">
        <f>VLOOKUP(V62,'Fix Cost'!$K$177:$M$179,2,0)</f>
        <v>84211.577419609195</v>
      </c>
      <c r="Y62" s="3119">
        <f>VLOOKUP(V62,'Fix Cost'!$K$177:$M$179,3,0)</f>
        <v>716285.31885375059</v>
      </c>
      <c r="Z62" s="3119">
        <f t="shared" si="24"/>
        <v>0</v>
      </c>
      <c r="AA62" s="3115">
        <f t="shared" si="25"/>
        <v>0</v>
      </c>
      <c r="AB62" s="3115">
        <f t="shared" si="26"/>
        <v>0</v>
      </c>
      <c r="AK62" s="313"/>
      <c r="AL62" s="313"/>
      <c r="AM62" s="313"/>
      <c r="AO62" s="385"/>
      <c r="AP62" s="385"/>
      <c r="AQ62" s="385"/>
      <c r="AR62" s="1048"/>
      <c r="AS62" s="385"/>
      <c r="AT62" s="879">
        <f t="shared" si="1"/>
        <v>0</v>
      </c>
      <c r="AU62" s="879">
        <f ca="1">COUNTIFS(AT$7:$AT62,1)</f>
        <v>3</v>
      </c>
    </row>
    <row r="63" spans="1:47" ht="12.75" hidden="1" outlineLevel="1">
      <c r="A63" s="333">
        <f>input!A429</f>
        <v>7</v>
      </c>
      <c r="B63" s="1738" t="s">
        <v>139</v>
      </c>
      <c r="C63" s="313" t="str">
        <f>input!C429</f>
        <v>KBA</v>
      </c>
      <c r="E63" s="363" t="str">
        <f>input!D429</f>
        <v>None_Metalize</v>
      </c>
      <c r="F63" s="363" t="str">
        <f>input!F429</f>
        <v>N</v>
      </c>
      <c r="G63" s="363">
        <f ca="1">input!E429</f>
        <v>0</v>
      </c>
      <c r="H63" s="363">
        <f>SUMIFS(Paper!$AC$7:$AC$30,Paper!$A$7:$A$30,'Production cost'!F63)</f>
        <v>0</v>
      </c>
      <c r="I63" s="313">
        <f ca="1">IF(G63=Data!$Q$1112,VLOOKUP(C63,Data!$M$1113:$O$1120,IF(E63=Data!$N$1112,2,3),0),IF(G63=Data!$R$1112,VLOOKUP(C63,Data!$M$1121:$O$1127,IF(E63=Data!$N$1112,2,3),0),VLOOKUP(C63,Data!$M$1129:$O$1135,IF(E63=Data!$N$1112,2,3),0)))</f>
        <v>12000</v>
      </c>
      <c r="J63" s="313" t="s">
        <v>5</v>
      </c>
      <c r="K63" s="360">
        <f>SUMIF(Data!$L$1140:$L$1146,'Production cost'!$C63,Data!$S$1140:$S$1146)</f>
        <v>1</v>
      </c>
      <c r="L63" s="391">
        <f>VLOOKUP($C63,Data!$L$1139:$T$1146,3,0)</f>
        <v>5</v>
      </c>
      <c r="M63" s="391">
        <f>IF(H63&gt;0,VLOOKUP('Production cost'!$C63,Data!$L$1140:$Q$1146,IF('Production cost'!$E63="Metalize",6,5),0)/60+(ROUNDUP(input!$H429/A63,0)*SUMIF(Paper!$A$7:$A$29,'Production cost'!$F63,Paper!$U$7:$U$29)-1)*5/60,0)*SUMIF(Paper!$A$7:$A$29,'Production cost'!$F63,Paper!$J$7:$J$29)</f>
        <v>0</v>
      </c>
      <c r="N63" s="391">
        <f t="shared" si="27"/>
        <v>0</v>
      </c>
      <c r="O63" s="313">
        <f>SUMIF(Data!$L$1140:$L$1146,'Production cost'!$C63,Data!$R$1140:$R$1146)</f>
        <v>352574.32240985788</v>
      </c>
      <c r="P63" s="313">
        <f>VLOOKUP($C63,Data!$L$1139:$T$1146,2,0)</f>
        <v>83000.376301260956</v>
      </c>
      <c r="Q63" s="313">
        <f t="shared" si="20"/>
        <v>0</v>
      </c>
      <c r="R63" s="313">
        <f t="shared" si="28"/>
        <v>0</v>
      </c>
      <c r="S63" s="1741">
        <f t="shared" si="29"/>
        <v>0</v>
      </c>
      <c r="T63" s="313" t="str">
        <f>input!J429</f>
        <v>N</v>
      </c>
      <c r="V63" s="3115" t="str">
        <f>input!K429</f>
        <v>Printing</v>
      </c>
      <c r="W63" s="3115">
        <f t="shared" si="23"/>
        <v>0</v>
      </c>
      <c r="X63" s="3119">
        <f>VLOOKUP(V63,'Fix Cost'!$K$177:$M$179,2,0)</f>
        <v>84211.577419609195</v>
      </c>
      <c r="Y63" s="3119">
        <f>VLOOKUP(V63,'Fix Cost'!$K$177:$M$179,3,0)</f>
        <v>716285.31885375059</v>
      </c>
      <c r="Z63" s="3119">
        <f t="shared" si="24"/>
        <v>0</v>
      </c>
      <c r="AA63" s="3115">
        <f t="shared" si="25"/>
        <v>0</v>
      </c>
      <c r="AB63" s="3115">
        <f t="shared" si="26"/>
        <v>0</v>
      </c>
      <c r="AK63" s="313"/>
      <c r="AL63" s="313"/>
      <c r="AM63" s="313"/>
      <c r="AO63" s="385"/>
      <c r="AP63" s="385"/>
      <c r="AQ63" s="385"/>
      <c r="AR63" s="1048"/>
      <c r="AS63" s="385"/>
      <c r="AT63" s="879">
        <f t="shared" si="1"/>
        <v>0</v>
      </c>
      <c r="AU63" s="879">
        <f ca="1">COUNTIFS(AT$7:$AT63,1)</f>
        <v>3</v>
      </c>
    </row>
    <row r="64" spans="1:47" ht="12.75" hidden="1" outlineLevel="1">
      <c r="A64" s="333">
        <f>input!A430</f>
        <v>7</v>
      </c>
      <c r="B64" s="1738" t="s">
        <v>139</v>
      </c>
      <c r="C64" s="313" t="str">
        <f>input!C430</f>
        <v>KBA</v>
      </c>
      <c r="E64" s="363" t="str">
        <f>input!D430</f>
        <v>None_Metalize</v>
      </c>
      <c r="F64" s="363" t="str">
        <f>input!F430</f>
        <v>N</v>
      </c>
      <c r="G64" s="363">
        <f ca="1">input!E430</f>
        <v>0</v>
      </c>
      <c r="H64" s="363">
        <f>SUMIFS(Paper!$AC$7:$AC$30,Paper!$A$7:$A$30,'Production cost'!F64)</f>
        <v>0</v>
      </c>
      <c r="I64" s="313">
        <f ca="1">IF(G64=Data!$Q$1112,VLOOKUP(C64,Data!$M$1113:$O$1120,IF(E64=Data!$N$1112,2,3),0),IF(G64=Data!$R$1112,VLOOKUP(C64,Data!$M$1121:$O$1127,IF(E64=Data!$N$1112,2,3),0),VLOOKUP(C64,Data!$M$1129:$O$1135,IF(E64=Data!$N$1112,2,3),0)))</f>
        <v>12000</v>
      </c>
      <c r="J64" s="313" t="s">
        <v>5</v>
      </c>
      <c r="K64" s="360">
        <f>SUMIF(Data!$L$1140:$L$1146,'Production cost'!$C64,Data!$S$1140:$S$1146)</f>
        <v>1</v>
      </c>
      <c r="L64" s="391">
        <f>VLOOKUP($C64,Data!$L$1139:$T$1146,3,0)</f>
        <v>5</v>
      </c>
      <c r="M64" s="391">
        <f>IF(H64&gt;0,VLOOKUP('Production cost'!$C64,Data!$L$1140:$Q$1146,IF('Production cost'!$E64="Metalize",6,5),0)/60+(ROUNDUP(input!$H430/A64,0)*SUMIF(Paper!$A$7:$A$29,'Production cost'!$F64,Paper!$U$7:$U$29)-1)*5/60,0)*SUMIF(Paper!$A$7:$A$29,'Production cost'!$F64,Paper!$J$7:$J$29)</f>
        <v>0</v>
      </c>
      <c r="N64" s="391">
        <f t="shared" si="27"/>
        <v>0</v>
      </c>
      <c r="O64" s="313">
        <f>SUMIF(Data!$L$1140:$L$1146,'Production cost'!$C64,Data!$R$1140:$R$1146)</f>
        <v>352574.32240985788</v>
      </c>
      <c r="P64" s="313">
        <f>VLOOKUP($C64,Data!$L$1139:$T$1146,2,0)</f>
        <v>83000.376301260956</v>
      </c>
      <c r="Q64" s="313">
        <f t="shared" si="20"/>
        <v>0</v>
      </c>
      <c r="R64" s="313">
        <f t="shared" si="28"/>
        <v>0</v>
      </c>
      <c r="S64" s="1741">
        <f t="shared" si="29"/>
        <v>0</v>
      </c>
      <c r="T64" s="313" t="str">
        <f>input!J430</f>
        <v>N</v>
      </c>
      <c r="V64" s="3115" t="str">
        <f>input!K430</f>
        <v>Printing</v>
      </c>
      <c r="W64" s="3115">
        <f t="shared" si="23"/>
        <v>0</v>
      </c>
      <c r="X64" s="3119">
        <f>VLOOKUP(V64,'Fix Cost'!$K$177:$M$179,2,0)</f>
        <v>84211.577419609195</v>
      </c>
      <c r="Y64" s="3119">
        <f>VLOOKUP(V64,'Fix Cost'!$K$177:$M$179,3,0)</f>
        <v>716285.31885375059</v>
      </c>
      <c r="Z64" s="3119">
        <f t="shared" si="24"/>
        <v>0</v>
      </c>
      <c r="AA64" s="3115">
        <f t="shared" si="25"/>
        <v>0</v>
      </c>
      <c r="AB64" s="3115">
        <f t="shared" si="26"/>
        <v>0</v>
      </c>
      <c r="AK64" s="313"/>
      <c r="AL64" s="313"/>
      <c r="AM64" s="313"/>
      <c r="AO64" s="385"/>
      <c r="AP64" s="385"/>
      <c r="AQ64" s="385"/>
      <c r="AR64" s="1048"/>
      <c r="AS64" s="385"/>
      <c r="AT64" s="879">
        <f t="shared" si="1"/>
        <v>0</v>
      </c>
      <c r="AU64" s="879">
        <f ca="1">COUNTIFS(AT$7:$AT64,1)</f>
        <v>3</v>
      </c>
    </row>
    <row r="65" spans="1:47" ht="12.75" hidden="1" outlineLevel="1">
      <c r="A65" s="333">
        <f>input!A431</f>
        <v>7</v>
      </c>
      <c r="B65" s="1738" t="s">
        <v>139</v>
      </c>
      <c r="C65" s="313" t="str">
        <f>input!C431</f>
        <v>KBA</v>
      </c>
      <c r="E65" s="363" t="str">
        <f>input!D431</f>
        <v>None_Metalize</v>
      </c>
      <c r="F65" s="363" t="str">
        <f>input!F431</f>
        <v>N</v>
      </c>
      <c r="G65" s="363">
        <f ca="1">input!E431</f>
        <v>0</v>
      </c>
      <c r="H65" s="363">
        <f>SUMIFS(Paper!$AC$7:$AC$30,Paper!$A$7:$A$30,'Production cost'!F65)</f>
        <v>0</v>
      </c>
      <c r="I65" s="313">
        <f ca="1">IF(G65=Data!$Q$1112,VLOOKUP(C65,Data!$M$1113:$O$1120,IF(E65=Data!$N$1112,2,3),0),IF(G65=Data!$R$1112,VLOOKUP(C65,Data!$M$1121:$O$1127,IF(E65=Data!$N$1112,2,3),0),VLOOKUP(C65,Data!$M$1129:$O$1135,IF(E65=Data!$N$1112,2,3),0)))</f>
        <v>12000</v>
      </c>
      <c r="J65" s="313" t="s">
        <v>5</v>
      </c>
      <c r="K65" s="360">
        <f>SUMIF(Data!$L$1140:$L$1146,'Production cost'!$C65,Data!$S$1140:$S$1146)</f>
        <v>1</v>
      </c>
      <c r="L65" s="391">
        <f>VLOOKUP($C65,Data!$L$1139:$T$1146,3,0)</f>
        <v>5</v>
      </c>
      <c r="M65" s="391">
        <f>IF(H65&gt;0,VLOOKUP('Production cost'!$C65,Data!$L$1140:$Q$1146,IF('Production cost'!$E65="Metalize",6,5),0)/60+(ROUNDUP(input!$H431/A65,0)*SUMIF(Paper!$A$7:$A$29,'Production cost'!$F65,Paper!$U$7:$U$29)-1)*5/60,0)*SUMIF(Paper!$A$7:$A$29,'Production cost'!$F65,Paper!$J$7:$J$29)</f>
        <v>0</v>
      </c>
      <c r="N65" s="391">
        <f t="shared" si="27"/>
        <v>0</v>
      </c>
      <c r="O65" s="313">
        <f>SUMIF(Data!$L$1140:$L$1146,'Production cost'!$C65,Data!$R$1140:$R$1146)</f>
        <v>352574.32240985788</v>
      </c>
      <c r="P65" s="313">
        <f>VLOOKUP($C65,Data!$L$1139:$T$1146,2,0)</f>
        <v>83000.376301260956</v>
      </c>
      <c r="Q65" s="313">
        <f t="shared" si="20"/>
        <v>0</v>
      </c>
      <c r="R65" s="313">
        <f t="shared" si="28"/>
        <v>0</v>
      </c>
      <c r="S65" s="1741">
        <f t="shared" si="29"/>
        <v>0</v>
      </c>
      <c r="T65" s="313" t="str">
        <f>input!J431</f>
        <v>N</v>
      </c>
      <c r="V65" s="3115" t="str">
        <f>input!K431</f>
        <v>Printing</v>
      </c>
      <c r="W65" s="3115">
        <f t="shared" si="23"/>
        <v>0</v>
      </c>
      <c r="X65" s="3119">
        <f>VLOOKUP(V65,'Fix Cost'!$K$177:$M$179,2,0)</f>
        <v>84211.577419609195</v>
      </c>
      <c r="Y65" s="3119">
        <f>VLOOKUP(V65,'Fix Cost'!$K$177:$M$179,3,0)</f>
        <v>716285.31885375059</v>
      </c>
      <c r="Z65" s="3119">
        <f t="shared" si="24"/>
        <v>0</v>
      </c>
      <c r="AA65" s="3115">
        <f t="shared" si="25"/>
        <v>0</v>
      </c>
      <c r="AB65" s="3115">
        <f t="shared" si="26"/>
        <v>0</v>
      </c>
      <c r="AK65" s="313"/>
      <c r="AL65" s="313"/>
      <c r="AM65" s="313"/>
      <c r="AO65" s="385"/>
      <c r="AP65" s="385"/>
      <c r="AQ65" s="385"/>
      <c r="AR65" s="1048"/>
      <c r="AS65" s="385"/>
      <c r="AT65" s="879">
        <f t="shared" si="1"/>
        <v>0</v>
      </c>
      <c r="AU65" s="879">
        <f ca="1">COUNTIFS(AT$7:$AT65,1)</f>
        <v>3</v>
      </c>
    </row>
    <row r="66" spans="1:47" ht="12.75" hidden="1" outlineLevel="1">
      <c r="A66" s="333">
        <f>input!A432</f>
        <v>7</v>
      </c>
      <c r="B66" s="1738" t="s">
        <v>139</v>
      </c>
      <c r="C66" s="313" t="str">
        <f>input!C432</f>
        <v>KBA</v>
      </c>
      <c r="E66" s="363" t="str">
        <f>input!D432</f>
        <v>None_Metalize</v>
      </c>
      <c r="F66" s="363" t="str">
        <f>input!F432</f>
        <v>N</v>
      </c>
      <c r="G66" s="363" t="str">
        <f>input!E432</f>
        <v>220 - 350gsm</v>
      </c>
      <c r="H66" s="363">
        <f>SUMIFS(Paper!$AC$7:$AC$30,Paper!$A$7:$A$30,'Production cost'!F66)</f>
        <v>0</v>
      </c>
      <c r="I66" s="313">
        <f>IF(G66=Data!$Q$1112,VLOOKUP(C66,Data!$M$1113:$O$1120,IF(E66=Data!$N$1112,2,3),0),IF(G66=Data!$R$1112,VLOOKUP(C66,Data!$M$1121:$O$1127,IF(E66=Data!$N$1112,2,3),0),VLOOKUP(C66,Data!$M$1129:$O$1135,IF(E66=Data!$N$1112,2,3),0)))</f>
        <v>12000</v>
      </c>
      <c r="J66" s="313" t="s">
        <v>5</v>
      </c>
      <c r="K66" s="360">
        <f>SUMIF(Data!$L$1140:$L$1146,'Production cost'!$C66,Data!$S$1140:$S$1146)</f>
        <v>1</v>
      </c>
      <c r="L66" s="391">
        <f>VLOOKUP($C66,Data!$L$1139:$T$1146,3,0)</f>
        <v>5</v>
      </c>
      <c r="M66" s="391">
        <f>IF(H66&gt;0,VLOOKUP('Production cost'!$C66,Data!$L$1140:$Q$1146,IF('Production cost'!$E66="Metalize",6,5),0)/60+(ROUNDUP(input!$H432/A66,0)*SUMIF(Paper!$A$7:$A$29,'Production cost'!$F66,Paper!$U$7:$U$29)-1)*5/60,0)*SUMIF(Paper!$A$7:$A$29,'Production cost'!$F66,Paper!$J$7:$J$29)</f>
        <v>0</v>
      </c>
      <c r="N66" s="391">
        <f t="shared" ref="N66:N75" si="30">IF(H66&gt;0,ROUNDUP(((H66/I66)/$M$5+M66),1),0)</f>
        <v>0</v>
      </c>
      <c r="O66" s="313">
        <f>SUMIF(Data!$L$1140:$L$1146,'Production cost'!$C66,Data!$R$1140:$R$1146)</f>
        <v>352574.32240985788</v>
      </c>
      <c r="P66" s="313">
        <f>VLOOKUP($C66,Data!$L$1139:$T$1146,2,0)</f>
        <v>83000.376301260956</v>
      </c>
      <c r="Q66" s="313">
        <f t="shared" si="20"/>
        <v>0</v>
      </c>
      <c r="R66" s="313">
        <f t="shared" ref="R66:R75" si="31">IF($E$2&gt;0,Q66/$E$2,0)</f>
        <v>0</v>
      </c>
      <c r="S66" s="1741">
        <f t="shared" ref="S66:S75" si="32">IF(M66&gt;0,K66*O66+L66*P66,0)</f>
        <v>0</v>
      </c>
      <c r="T66" s="313" t="str">
        <f>input!J432</f>
        <v>N</v>
      </c>
      <c r="V66" s="3115" t="str">
        <f>input!K432</f>
        <v>Printing</v>
      </c>
      <c r="W66" s="3115">
        <f t="shared" si="23"/>
        <v>0</v>
      </c>
      <c r="X66" s="3119">
        <f>VLOOKUP(V66,'Fix Cost'!$K$177:$M$179,2,0)</f>
        <v>84211.577419609195</v>
      </c>
      <c r="Y66" s="3119">
        <f>VLOOKUP(V66,'Fix Cost'!$K$177:$M$179,3,0)</f>
        <v>716285.31885375059</v>
      </c>
      <c r="Z66" s="3119">
        <f t="shared" si="24"/>
        <v>0</v>
      </c>
      <c r="AA66" s="3115">
        <f t="shared" si="25"/>
        <v>0</v>
      </c>
      <c r="AB66" s="3115">
        <f t="shared" si="26"/>
        <v>0</v>
      </c>
      <c r="AK66" s="313"/>
      <c r="AL66" s="313"/>
      <c r="AM66" s="313"/>
      <c r="AO66" s="385"/>
      <c r="AP66" s="385"/>
      <c r="AQ66" s="385"/>
      <c r="AR66" s="1048"/>
      <c r="AS66" s="385"/>
      <c r="AT66" s="879">
        <f t="shared" si="1"/>
        <v>0</v>
      </c>
      <c r="AU66" s="879">
        <f ca="1">COUNTIFS(AT$7:$AT66,1)</f>
        <v>3</v>
      </c>
    </row>
    <row r="67" spans="1:47" ht="12.75" hidden="1" outlineLevel="1">
      <c r="A67" s="333">
        <f>input!A433</f>
        <v>7</v>
      </c>
      <c r="B67" s="1738" t="s">
        <v>139</v>
      </c>
      <c r="C67" s="313" t="str">
        <f>input!C433</f>
        <v>KBA</v>
      </c>
      <c r="E67" s="363" t="str">
        <f>input!D433</f>
        <v>None_Metalize</v>
      </c>
      <c r="F67" s="363" t="str">
        <f>input!F433</f>
        <v>N</v>
      </c>
      <c r="G67" s="363" t="str">
        <f>input!E433</f>
        <v>220 - 350gsm</v>
      </c>
      <c r="H67" s="363">
        <f>SUMIFS(Paper!$AC$7:$AC$30,Paper!$A$7:$A$30,'Production cost'!F67)</f>
        <v>0</v>
      </c>
      <c r="I67" s="313">
        <f>IF(G67=Data!$Q$1112,VLOOKUP(C67,Data!$M$1113:$O$1120,IF(E67=Data!$N$1112,2,3),0),IF(G67=Data!$R$1112,VLOOKUP(C67,Data!$M$1121:$O$1127,IF(E67=Data!$N$1112,2,3),0),VLOOKUP(C67,Data!$M$1129:$O$1135,IF(E67=Data!$N$1112,2,3),0)))</f>
        <v>12000</v>
      </c>
      <c r="J67" s="313" t="s">
        <v>5</v>
      </c>
      <c r="K67" s="360">
        <f>SUMIF(Data!$L$1140:$L$1146,'Production cost'!$C67,Data!$S$1140:$S$1146)</f>
        <v>1</v>
      </c>
      <c r="L67" s="391">
        <f>VLOOKUP($C67,Data!$L$1139:$T$1146,3,0)</f>
        <v>5</v>
      </c>
      <c r="M67" s="391">
        <f>IF(H67&gt;0,VLOOKUP('Production cost'!$C67,Data!$L$1140:$Q$1146,IF('Production cost'!$E67="Metalize",6,5),0)/60+(ROUNDUP(input!$H433/A67,0)*SUMIF(Paper!$A$7:$A$29,'Production cost'!$F67,Paper!$U$7:$U$29)-1)*5/60,0)*SUMIF(Paper!$A$7:$A$29,'Production cost'!$F67,Paper!$J$7:$J$29)</f>
        <v>0</v>
      </c>
      <c r="N67" s="391">
        <f t="shared" si="30"/>
        <v>0</v>
      </c>
      <c r="O67" s="313">
        <f>SUMIF(Data!$L$1140:$L$1146,'Production cost'!$C67,Data!$R$1140:$R$1146)</f>
        <v>352574.32240985788</v>
      </c>
      <c r="P67" s="313">
        <f>VLOOKUP($C67,Data!$L$1139:$T$1146,2,0)</f>
        <v>83000.376301260956</v>
      </c>
      <c r="Q67" s="313">
        <f t="shared" si="20"/>
        <v>0</v>
      </c>
      <c r="R67" s="313">
        <f t="shared" si="31"/>
        <v>0</v>
      </c>
      <c r="S67" s="1741">
        <f t="shared" si="32"/>
        <v>0</v>
      </c>
      <c r="T67" s="313" t="str">
        <f>input!J433</f>
        <v>N</v>
      </c>
      <c r="V67" s="3115" t="str">
        <f>input!K433</f>
        <v>Printing</v>
      </c>
      <c r="W67" s="3115">
        <f t="shared" si="23"/>
        <v>0</v>
      </c>
      <c r="X67" s="3119">
        <f>VLOOKUP(V67,'Fix Cost'!$K$177:$M$179,2,0)</f>
        <v>84211.577419609195</v>
      </c>
      <c r="Y67" s="3119">
        <f>VLOOKUP(V67,'Fix Cost'!$K$177:$M$179,3,0)</f>
        <v>716285.31885375059</v>
      </c>
      <c r="Z67" s="3119">
        <f t="shared" si="24"/>
        <v>0</v>
      </c>
      <c r="AA67" s="3115">
        <f t="shared" si="25"/>
        <v>0</v>
      </c>
      <c r="AB67" s="3115">
        <f t="shared" si="26"/>
        <v>0</v>
      </c>
      <c r="AK67" s="313"/>
      <c r="AL67" s="313"/>
      <c r="AM67" s="313"/>
      <c r="AO67" s="385"/>
      <c r="AP67" s="385"/>
      <c r="AQ67" s="385"/>
      <c r="AR67" s="1048"/>
      <c r="AS67" s="385"/>
      <c r="AT67" s="879">
        <f t="shared" si="1"/>
        <v>0</v>
      </c>
      <c r="AU67" s="879">
        <f ca="1">COUNTIFS(AT$7:$AT67,1)</f>
        <v>3</v>
      </c>
    </row>
    <row r="68" spans="1:47" ht="12.75" hidden="1" outlineLevel="1">
      <c r="A68" s="333">
        <f>input!A434</f>
        <v>7</v>
      </c>
      <c r="B68" s="1738" t="s">
        <v>139</v>
      </c>
      <c r="C68" s="313" t="str">
        <f>input!C434</f>
        <v>KBA</v>
      </c>
      <c r="E68" s="363" t="str">
        <f>input!D434</f>
        <v>None_Metalize</v>
      </c>
      <c r="F68" s="363" t="str">
        <f>input!F434</f>
        <v>N</v>
      </c>
      <c r="G68" s="363" t="str">
        <f>input!E434</f>
        <v>220 - 350gsm</v>
      </c>
      <c r="H68" s="363">
        <f>SUMIFS(Paper!$AC$7:$AC$30,Paper!$A$7:$A$30,'Production cost'!F68)</f>
        <v>0</v>
      </c>
      <c r="I68" s="313">
        <f>IF(G68=Data!$Q$1112,VLOOKUP(C68,Data!$M$1113:$O$1120,IF(E68=Data!$N$1112,2,3),0),IF(G68=Data!$R$1112,VLOOKUP(C68,Data!$M$1121:$O$1127,IF(E68=Data!$N$1112,2,3),0),VLOOKUP(C68,Data!$M$1129:$O$1135,IF(E68=Data!$N$1112,2,3),0)))</f>
        <v>12000</v>
      </c>
      <c r="J68" s="313" t="s">
        <v>5</v>
      </c>
      <c r="K68" s="360">
        <f>SUMIF(Data!$L$1140:$L$1146,'Production cost'!$C68,Data!$S$1140:$S$1146)</f>
        <v>1</v>
      </c>
      <c r="L68" s="391">
        <f>VLOOKUP($C68,Data!$L$1139:$T$1146,3,0)</f>
        <v>5</v>
      </c>
      <c r="M68" s="391">
        <f>IF(H68&gt;0,VLOOKUP('Production cost'!$C68,Data!$L$1140:$Q$1146,IF('Production cost'!$E68="Metalize",6,5),0)/60+(ROUNDUP(input!$H434/A68,0)*SUMIF(Paper!$A$7:$A$29,'Production cost'!$F68,Paper!$U$7:$U$29)-1)*5/60,0)*SUMIF(Paper!$A$7:$A$29,'Production cost'!$F68,Paper!$J$7:$J$29)</f>
        <v>0</v>
      </c>
      <c r="N68" s="391">
        <f t="shared" si="30"/>
        <v>0</v>
      </c>
      <c r="O68" s="313">
        <f>SUMIF(Data!$L$1140:$L$1146,'Production cost'!$C68,Data!$R$1140:$R$1146)</f>
        <v>352574.32240985788</v>
      </c>
      <c r="P68" s="313">
        <f>VLOOKUP($C68,Data!$L$1139:$T$1146,2,0)</f>
        <v>83000.376301260956</v>
      </c>
      <c r="Q68" s="313">
        <f t="shared" si="20"/>
        <v>0</v>
      </c>
      <c r="R68" s="313">
        <f t="shared" si="31"/>
        <v>0</v>
      </c>
      <c r="S68" s="1741">
        <f t="shared" si="32"/>
        <v>0</v>
      </c>
      <c r="T68" s="313" t="str">
        <f>input!J434</f>
        <v>N</v>
      </c>
      <c r="V68" s="3115" t="str">
        <f>input!K434</f>
        <v>Printing</v>
      </c>
      <c r="W68" s="3115">
        <f t="shared" si="23"/>
        <v>0</v>
      </c>
      <c r="X68" s="3119">
        <f>VLOOKUP(V68,'Fix Cost'!$K$177:$M$179,2,0)</f>
        <v>84211.577419609195</v>
      </c>
      <c r="Y68" s="3119">
        <f>VLOOKUP(V68,'Fix Cost'!$K$177:$M$179,3,0)</f>
        <v>716285.31885375059</v>
      </c>
      <c r="Z68" s="3119">
        <f t="shared" si="24"/>
        <v>0</v>
      </c>
      <c r="AA68" s="3115">
        <f t="shared" si="25"/>
        <v>0</v>
      </c>
      <c r="AB68" s="3115">
        <f t="shared" si="26"/>
        <v>0</v>
      </c>
      <c r="AK68" s="313"/>
      <c r="AL68" s="313"/>
      <c r="AM68" s="313"/>
      <c r="AO68" s="385"/>
      <c r="AP68" s="385"/>
      <c r="AQ68" s="385"/>
      <c r="AR68" s="1048"/>
      <c r="AS68" s="385"/>
      <c r="AT68" s="879">
        <f t="shared" si="1"/>
        <v>0</v>
      </c>
      <c r="AU68" s="879">
        <f ca="1">COUNTIFS(AT$7:$AT68,1)</f>
        <v>3</v>
      </c>
    </row>
    <row r="69" spans="1:47" ht="12.75" hidden="1" outlineLevel="1">
      <c r="A69" s="333">
        <f>input!A435</f>
        <v>7</v>
      </c>
      <c r="B69" s="1738" t="s">
        <v>139</v>
      </c>
      <c r="C69" s="313" t="str">
        <f>input!C435</f>
        <v>KBA</v>
      </c>
      <c r="E69" s="363" t="str">
        <f>input!D435</f>
        <v>None_Metalize</v>
      </c>
      <c r="F69" s="363" t="str">
        <f>input!F435</f>
        <v>N</v>
      </c>
      <c r="G69" s="363" t="str">
        <f>input!E435</f>
        <v>220 - 350gsm</v>
      </c>
      <c r="H69" s="363">
        <f>SUMIFS(Paper!$AC$7:$AC$30,Paper!$A$7:$A$30,'Production cost'!F69)</f>
        <v>0</v>
      </c>
      <c r="I69" s="313">
        <f>IF(G69=Data!$Q$1112,VLOOKUP(C69,Data!$M$1113:$O$1120,IF(E69=Data!$N$1112,2,3),0),IF(G69=Data!$R$1112,VLOOKUP(C69,Data!$M$1121:$O$1127,IF(E69=Data!$N$1112,2,3),0),VLOOKUP(C69,Data!$M$1129:$O$1135,IF(E69=Data!$N$1112,2,3),0)))</f>
        <v>12000</v>
      </c>
      <c r="J69" s="313" t="s">
        <v>5</v>
      </c>
      <c r="K69" s="360">
        <f>SUMIF(Data!$L$1140:$L$1146,'Production cost'!$C69,Data!$S$1140:$S$1146)</f>
        <v>1</v>
      </c>
      <c r="L69" s="391">
        <f>VLOOKUP($C69,Data!$L$1139:$T$1146,3,0)</f>
        <v>5</v>
      </c>
      <c r="M69" s="391">
        <f>IF(H69&gt;0,VLOOKUP('Production cost'!$C69,Data!$L$1140:$Q$1146,IF('Production cost'!$E69="Metalize",6,5),0)/60+(ROUNDUP(input!$H435/A69,0)*SUMIF(Paper!$A$7:$A$29,'Production cost'!$F69,Paper!$U$7:$U$29)-1)*5/60,0)*SUMIF(Paper!$A$7:$A$29,'Production cost'!$F69,Paper!$J$7:$J$29)</f>
        <v>0</v>
      </c>
      <c r="N69" s="391">
        <f t="shared" si="30"/>
        <v>0</v>
      </c>
      <c r="O69" s="313">
        <f>SUMIF(Data!$L$1140:$L$1146,'Production cost'!$C69,Data!$R$1140:$R$1146)</f>
        <v>352574.32240985788</v>
      </c>
      <c r="P69" s="313">
        <f>VLOOKUP($C69,Data!$L$1139:$T$1146,2,0)</f>
        <v>83000.376301260956</v>
      </c>
      <c r="Q69" s="313">
        <f t="shared" si="20"/>
        <v>0</v>
      </c>
      <c r="R69" s="313">
        <f t="shared" si="31"/>
        <v>0</v>
      </c>
      <c r="S69" s="1741">
        <f t="shared" si="32"/>
        <v>0</v>
      </c>
      <c r="T69" s="313" t="str">
        <f>input!J435</f>
        <v>N</v>
      </c>
      <c r="V69" s="3115" t="str">
        <f>input!K435</f>
        <v>Printing</v>
      </c>
      <c r="W69" s="3115">
        <f t="shared" si="23"/>
        <v>0</v>
      </c>
      <c r="X69" s="3119">
        <f>VLOOKUP(V69,'Fix Cost'!$K$177:$M$179,2,0)</f>
        <v>84211.577419609195</v>
      </c>
      <c r="Y69" s="3119">
        <f>VLOOKUP(V69,'Fix Cost'!$K$177:$M$179,3,0)</f>
        <v>716285.31885375059</v>
      </c>
      <c r="Z69" s="3119">
        <f t="shared" si="24"/>
        <v>0</v>
      </c>
      <c r="AA69" s="3115">
        <f t="shared" si="25"/>
        <v>0</v>
      </c>
      <c r="AB69" s="3115">
        <f t="shared" si="26"/>
        <v>0</v>
      </c>
      <c r="AK69" s="313"/>
      <c r="AL69" s="313"/>
      <c r="AM69" s="313"/>
      <c r="AO69" s="385"/>
      <c r="AP69" s="385"/>
      <c r="AQ69" s="385"/>
      <c r="AR69" s="1048"/>
      <c r="AS69" s="385"/>
      <c r="AT69" s="879">
        <f t="shared" si="1"/>
        <v>0</v>
      </c>
      <c r="AU69" s="879">
        <f ca="1">COUNTIFS(AT$7:$AT69,1)</f>
        <v>3</v>
      </c>
    </row>
    <row r="70" spans="1:47" ht="12.75" hidden="1" outlineLevel="1">
      <c r="A70" s="333">
        <f>input!A436</f>
        <v>7</v>
      </c>
      <c r="B70" s="1738" t="s">
        <v>139</v>
      </c>
      <c r="C70" s="313" t="str">
        <f>input!C436</f>
        <v>KBA</v>
      </c>
      <c r="E70" s="363" t="str">
        <f>input!D436</f>
        <v>None_Metalize</v>
      </c>
      <c r="F70" s="363" t="str">
        <f>input!F436</f>
        <v>N</v>
      </c>
      <c r="G70" s="363" t="str">
        <f>input!E436</f>
        <v>220 - 350gsm</v>
      </c>
      <c r="H70" s="363">
        <f>SUMIFS(Paper!$AC$7:$AC$30,Paper!$A$7:$A$30,'Production cost'!F70)</f>
        <v>0</v>
      </c>
      <c r="I70" s="313">
        <f>IF(G70=Data!$Q$1112,VLOOKUP(C70,Data!$M$1113:$O$1120,IF(E70=Data!$N$1112,2,3),0),IF(G70=Data!$R$1112,VLOOKUP(C70,Data!$M$1121:$O$1127,IF(E70=Data!$N$1112,2,3),0),VLOOKUP(C70,Data!$M$1129:$O$1135,IF(E70=Data!$N$1112,2,3),0)))</f>
        <v>12000</v>
      </c>
      <c r="J70" s="313" t="s">
        <v>5</v>
      </c>
      <c r="K70" s="360">
        <f>SUMIF(Data!$L$1140:$L$1146,'Production cost'!$C70,Data!$S$1140:$S$1146)</f>
        <v>1</v>
      </c>
      <c r="L70" s="391">
        <f>VLOOKUP($C70,Data!$L$1139:$T$1146,3,0)</f>
        <v>5</v>
      </c>
      <c r="M70" s="391">
        <f>IF(H70&gt;0,VLOOKUP('Production cost'!$C70,Data!$L$1140:$Q$1146,IF('Production cost'!$E70="Metalize",6,5),0)/60+(ROUNDUP(input!$H436/A70,0)*SUMIF(Paper!$A$7:$A$29,'Production cost'!$F70,Paper!$U$7:$U$29)-1)*5/60,0)*SUMIF(Paper!$A$7:$A$29,'Production cost'!$F70,Paper!$J$7:$J$29)</f>
        <v>0</v>
      </c>
      <c r="N70" s="391">
        <f t="shared" si="30"/>
        <v>0</v>
      </c>
      <c r="O70" s="313">
        <f>SUMIF(Data!$L$1140:$L$1146,'Production cost'!$C70,Data!$R$1140:$R$1146)</f>
        <v>352574.32240985788</v>
      </c>
      <c r="P70" s="313">
        <f>VLOOKUP($C70,Data!$L$1139:$T$1146,2,0)</f>
        <v>83000.376301260956</v>
      </c>
      <c r="Q70" s="313">
        <f t="shared" si="20"/>
        <v>0</v>
      </c>
      <c r="R70" s="313">
        <f t="shared" si="31"/>
        <v>0</v>
      </c>
      <c r="S70" s="1741">
        <f t="shared" si="32"/>
        <v>0</v>
      </c>
      <c r="T70" s="313" t="str">
        <f>input!J436</f>
        <v>N</v>
      </c>
      <c r="V70" s="3115" t="str">
        <f>input!K436</f>
        <v>Printing</v>
      </c>
      <c r="W70" s="3115">
        <f t="shared" si="23"/>
        <v>0</v>
      </c>
      <c r="X70" s="3119">
        <f>VLOOKUP(V70,'Fix Cost'!$K$177:$M$179,2,0)</f>
        <v>84211.577419609195</v>
      </c>
      <c r="Y70" s="3119">
        <f>VLOOKUP(V70,'Fix Cost'!$K$177:$M$179,3,0)</f>
        <v>716285.31885375059</v>
      </c>
      <c r="Z70" s="3119">
        <f t="shared" si="24"/>
        <v>0</v>
      </c>
      <c r="AA70" s="3115">
        <f t="shared" si="25"/>
        <v>0</v>
      </c>
      <c r="AB70" s="3115">
        <f t="shared" si="26"/>
        <v>0</v>
      </c>
      <c r="AK70" s="313"/>
      <c r="AL70" s="313"/>
      <c r="AM70" s="313"/>
      <c r="AO70" s="385"/>
      <c r="AP70" s="385"/>
      <c r="AQ70" s="385"/>
      <c r="AR70" s="1048"/>
      <c r="AS70" s="385"/>
      <c r="AT70" s="879">
        <f t="shared" si="1"/>
        <v>0</v>
      </c>
      <c r="AU70" s="879">
        <f ca="1">COUNTIFS(AT$7:$AT70,1)</f>
        <v>3</v>
      </c>
    </row>
    <row r="71" spans="1:47" ht="12.75" hidden="1" outlineLevel="1">
      <c r="A71" s="333">
        <f>input!A437</f>
        <v>7</v>
      </c>
      <c r="B71" s="1738" t="s">
        <v>139</v>
      </c>
      <c r="C71" s="313" t="str">
        <f>input!C437</f>
        <v>KBA</v>
      </c>
      <c r="E71" s="363" t="str">
        <f>input!D437</f>
        <v>None_Metalize</v>
      </c>
      <c r="F71" s="363" t="str">
        <f>input!F437</f>
        <v>N</v>
      </c>
      <c r="G71" s="363" t="str">
        <f>input!E437</f>
        <v>220 - 350gsm</v>
      </c>
      <c r="H71" s="363">
        <f>SUMIFS(Paper!$AC$7:$AC$30,Paper!$A$7:$A$30,'Production cost'!F71)</f>
        <v>0</v>
      </c>
      <c r="I71" s="313">
        <f>IF(G71=Data!$Q$1112,VLOOKUP(C71,Data!$M$1113:$O$1120,IF(E71=Data!$N$1112,2,3),0),IF(G71=Data!$R$1112,VLOOKUP(C71,Data!$M$1121:$O$1127,IF(E71=Data!$N$1112,2,3),0),VLOOKUP(C71,Data!$M$1129:$O$1135,IF(E71=Data!$N$1112,2,3),0)))</f>
        <v>12000</v>
      </c>
      <c r="J71" s="313" t="s">
        <v>5</v>
      </c>
      <c r="K71" s="360">
        <f>SUMIF(Data!$L$1140:$L$1146,'Production cost'!$C71,Data!$S$1140:$S$1146)</f>
        <v>1</v>
      </c>
      <c r="L71" s="391">
        <f>VLOOKUP($C71,Data!$L$1139:$T$1146,3,0)</f>
        <v>5</v>
      </c>
      <c r="M71" s="391">
        <f>IF(H71&gt;0,VLOOKUP('Production cost'!$C71,Data!$L$1140:$Q$1146,IF('Production cost'!$E71="Metalize",6,5),0)/60+(ROUNDUP(input!$H437/A71,0)*SUMIF(Paper!$A$7:$A$29,'Production cost'!$F71,Paper!$U$7:$U$29)-1)*5/60,0)*SUMIF(Paper!$A$7:$A$29,'Production cost'!$F71,Paper!$J$7:$J$29)</f>
        <v>0</v>
      </c>
      <c r="N71" s="391">
        <f t="shared" si="30"/>
        <v>0</v>
      </c>
      <c r="O71" s="313">
        <f>SUMIF(Data!$L$1140:$L$1146,'Production cost'!$C71,Data!$R$1140:$R$1146)</f>
        <v>352574.32240985788</v>
      </c>
      <c r="P71" s="313">
        <f>VLOOKUP($C71,Data!$L$1139:$T$1146,2,0)</f>
        <v>83000.376301260956</v>
      </c>
      <c r="Q71" s="313">
        <f t="shared" si="20"/>
        <v>0</v>
      </c>
      <c r="R71" s="313">
        <f t="shared" si="31"/>
        <v>0</v>
      </c>
      <c r="S71" s="1741">
        <f t="shared" si="32"/>
        <v>0</v>
      </c>
      <c r="T71" s="313" t="str">
        <f>input!J437</f>
        <v>N</v>
      </c>
      <c r="V71" s="3115" t="str">
        <f>input!K437</f>
        <v>Printing</v>
      </c>
      <c r="W71" s="3115">
        <f t="shared" si="23"/>
        <v>0</v>
      </c>
      <c r="X71" s="3119">
        <f>VLOOKUP(V71,'Fix Cost'!$K$177:$M$179,2,0)</f>
        <v>84211.577419609195</v>
      </c>
      <c r="Y71" s="3119">
        <f>VLOOKUP(V71,'Fix Cost'!$K$177:$M$179,3,0)</f>
        <v>716285.31885375059</v>
      </c>
      <c r="Z71" s="3119">
        <f t="shared" si="24"/>
        <v>0</v>
      </c>
      <c r="AA71" s="3115">
        <f t="shared" si="25"/>
        <v>0</v>
      </c>
      <c r="AB71" s="3115">
        <f t="shared" si="26"/>
        <v>0</v>
      </c>
      <c r="AK71" s="313"/>
      <c r="AL71" s="313"/>
      <c r="AM71" s="313"/>
      <c r="AO71" s="385"/>
      <c r="AP71" s="385"/>
      <c r="AQ71" s="385"/>
      <c r="AR71" s="1048"/>
      <c r="AS71" s="385"/>
      <c r="AT71" s="879">
        <f t="shared" si="1"/>
        <v>0</v>
      </c>
      <c r="AU71" s="879">
        <f ca="1">COUNTIFS(AT$7:$AT71,1)</f>
        <v>3</v>
      </c>
    </row>
    <row r="72" spans="1:47" ht="12.75" hidden="1" outlineLevel="1">
      <c r="A72" s="333">
        <f>input!A438</f>
        <v>7</v>
      </c>
      <c r="B72" s="1738" t="s">
        <v>139</v>
      </c>
      <c r="C72" s="313" t="str">
        <f>input!C438</f>
        <v>KBA</v>
      </c>
      <c r="E72" s="363" t="str">
        <f>input!D438</f>
        <v>None_Metalize</v>
      </c>
      <c r="F72" s="363" t="str">
        <f>input!F438</f>
        <v>N</v>
      </c>
      <c r="G72" s="363" t="str">
        <f>input!E438</f>
        <v>220 - 350gsm</v>
      </c>
      <c r="H72" s="363">
        <f>SUMIFS(Paper!$AC$7:$AC$30,Paper!$A$7:$A$30,'Production cost'!F72)</f>
        <v>0</v>
      </c>
      <c r="I72" s="313">
        <f>IF(G72=Data!$Q$1112,VLOOKUP(C72,Data!$M$1113:$O$1120,IF(E72=Data!$N$1112,2,3),0),IF(G72=Data!$R$1112,VLOOKUP(C72,Data!$M$1121:$O$1127,IF(E72=Data!$N$1112,2,3),0),VLOOKUP(C72,Data!$M$1129:$O$1135,IF(E72=Data!$N$1112,2,3),0)))</f>
        <v>12000</v>
      </c>
      <c r="J72" s="313" t="s">
        <v>5</v>
      </c>
      <c r="K72" s="360">
        <f>SUMIF(Data!$L$1140:$L$1146,'Production cost'!$C72,Data!$S$1140:$S$1146)</f>
        <v>1</v>
      </c>
      <c r="L72" s="391">
        <f>VLOOKUP($C72,Data!$L$1139:$T$1146,3,0)</f>
        <v>5</v>
      </c>
      <c r="M72" s="391">
        <f>IF(H72&gt;0,VLOOKUP('Production cost'!$C72,Data!$L$1140:$Q$1146,IF('Production cost'!$E72="Metalize",6,5),0)/60+(ROUNDUP(input!$H438/A72,0)*SUMIF(Paper!$A$7:$A$29,'Production cost'!$F72,Paper!$U$7:$U$29)-1)*5/60,0)*SUMIF(Paper!$A$7:$A$29,'Production cost'!$F72,Paper!$J$7:$J$29)</f>
        <v>0</v>
      </c>
      <c r="N72" s="391">
        <f t="shared" si="30"/>
        <v>0</v>
      </c>
      <c r="O72" s="313">
        <f>SUMIF(Data!$L$1140:$L$1146,'Production cost'!$C72,Data!$R$1140:$R$1146)</f>
        <v>352574.32240985788</v>
      </c>
      <c r="P72" s="313">
        <f>VLOOKUP($C72,Data!$L$1139:$T$1146,2,0)</f>
        <v>83000.376301260956</v>
      </c>
      <c r="Q72" s="313">
        <f t="shared" si="20"/>
        <v>0</v>
      </c>
      <c r="R72" s="313">
        <f t="shared" si="31"/>
        <v>0</v>
      </c>
      <c r="S72" s="1741">
        <f t="shared" si="32"/>
        <v>0</v>
      </c>
      <c r="T72" s="313" t="str">
        <f>input!J438</f>
        <v>N</v>
      </c>
      <c r="V72" s="3115" t="str">
        <f>input!K438</f>
        <v>Printing</v>
      </c>
      <c r="W72" s="3115">
        <f t="shared" si="23"/>
        <v>0</v>
      </c>
      <c r="X72" s="3119">
        <f>VLOOKUP(V72,'Fix Cost'!$K$177:$M$179,2,0)</f>
        <v>84211.577419609195</v>
      </c>
      <c r="Y72" s="3119">
        <f>VLOOKUP(V72,'Fix Cost'!$K$177:$M$179,3,0)</f>
        <v>716285.31885375059</v>
      </c>
      <c r="Z72" s="3119">
        <f t="shared" si="24"/>
        <v>0</v>
      </c>
      <c r="AA72" s="3115">
        <f t="shared" si="25"/>
        <v>0</v>
      </c>
      <c r="AB72" s="3115">
        <f t="shared" si="26"/>
        <v>0</v>
      </c>
      <c r="AK72" s="313"/>
      <c r="AL72" s="313"/>
      <c r="AM72" s="313"/>
      <c r="AO72" s="385"/>
      <c r="AP72" s="385"/>
      <c r="AQ72" s="385"/>
      <c r="AR72" s="1048"/>
      <c r="AS72" s="385"/>
      <c r="AT72" s="879">
        <f t="shared" si="1"/>
        <v>0</v>
      </c>
      <c r="AU72" s="879">
        <f ca="1">COUNTIFS(AT$7:$AT72,1)</f>
        <v>3</v>
      </c>
    </row>
    <row r="73" spans="1:47" ht="12.75" hidden="1" outlineLevel="1">
      <c r="A73" s="333">
        <f>input!A439</f>
        <v>7</v>
      </c>
      <c r="B73" s="1738" t="s">
        <v>139</v>
      </c>
      <c r="C73" s="313" t="str">
        <f>input!C439</f>
        <v>KBA</v>
      </c>
      <c r="E73" s="363" t="str">
        <f>input!D439</f>
        <v>None_Metalize</v>
      </c>
      <c r="F73" s="363" t="str">
        <f>input!F439</f>
        <v>N</v>
      </c>
      <c r="G73" s="363" t="str">
        <f>input!E439</f>
        <v>220 - 350gsm</v>
      </c>
      <c r="H73" s="363">
        <f>SUMIFS(Paper!$AC$7:$AC$30,Paper!$A$7:$A$30,'Production cost'!F73)</f>
        <v>0</v>
      </c>
      <c r="I73" s="313">
        <f>IF(G73=Data!$Q$1112,VLOOKUP(C73,Data!$M$1113:$O$1120,IF(E73=Data!$N$1112,2,3),0),IF(G73=Data!$R$1112,VLOOKUP(C73,Data!$M$1121:$O$1127,IF(E73=Data!$N$1112,2,3),0),VLOOKUP(C73,Data!$M$1129:$O$1135,IF(E73=Data!$N$1112,2,3),0)))</f>
        <v>12000</v>
      </c>
      <c r="J73" s="313" t="s">
        <v>5</v>
      </c>
      <c r="K73" s="360">
        <f>SUMIF(Data!$L$1140:$L$1146,'Production cost'!$C73,Data!$S$1140:$S$1146)</f>
        <v>1</v>
      </c>
      <c r="L73" s="391">
        <f>VLOOKUP($C73,Data!$L$1139:$T$1146,3,0)</f>
        <v>5</v>
      </c>
      <c r="M73" s="391">
        <f>IF(H73&gt;0,VLOOKUP('Production cost'!$C73,Data!$L$1140:$Q$1146,IF('Production cost'!$E73="Metalize",6,5),0)/60+(ROUNDUP(input!$H439/A73,0)*SUMIF(Paper!$A$7:$A$29,'Production cost'!$F73,Paper!$U$7:$U$29)-1)*5/60,0)*SUMIF(Paper!$A$7:$A$29,'Production cost'!$F73,Paper!$J$7:$J$29)</f>
        <v>0</v>
      </c>
      <c r="N73" s="391">
        <f t="shared" si="30"/>
        <v>0</v>
      </c>
      <c r="O73" s="313">
        <f>SUMIF(Data!$L$1140:$L$1146,'Production cost'!$C73,Data!$R$1140:$R$1146)</f>
        <v>352574.32240985788</v>
      </c>
      <c r="P73" s="313">
        <f>VLOOKUP($C73,Data!$L$1139:$T$1146,2,0)</f>
        <v>83000.376301260956</v>
      </c>
      <c r="Q73" s="313">
        <f t="shared" si="20"/>
        <v>0</v>
      </c>
      <c r="R73" s="313">
        <f t="shared" si="31"/>
        <v>0</v>
      </c>
      <c r="S73" s="1741">
        <f t="shared" si="32"/>
        <v>0</v>
      </c>
      <c r="T73" s="313" t="str">
        <f>input!J439</f>
        <v>N</v>
      </c>
      <c r="V73" s="3115" t="str">
        <f>input!K439</f>
        <v>Printing</v>
      </c>
      <c r="W73" s="3115">
        <f t="shared" si="23"/>
        <v>0</v>
      </c>
      <c r="X73" s="3119">
        <f>VLOOKUP(V73,'Fix Cost'!$K$177:$M$179,2,0)</f>
        <v>84211.577419609195</v>
      </c>
      <c r="Y73" s="3119">
        <f>VLOOKUP(V73,'Fix Cost'!$K$177:$M$179,3,0)</f>
        <v>716285.31885375059</v>
      </c>
      <c r="Z73" s="3119">
        <f t="shared" si="24"/>
        <v>0</v>
      </c>
      <c r="AA73" s="3115">
        <f t="shared" si="25"/>
        <v>0</v>
      </c>
      <c r="AB73" s="3115">
        <f t="shared" si="26"/>
        <v>0</v>
      </c>
      <c r="AK73" s="313"/>
      <c r="AL73" s="313"/>
      <c r="AM73" s="313"/>
      <c r="AO73" s="385"/>
      <c r="AP73" s="385"/>
      <c r="AQ73" s="385"/>
      <c r="AR73" s="1048"/>
      <c r="AS73" s="385"/>
      <c r="AT73" s="879">
        <f t="shared" si="1"/>
        <v>0</v>
      </c>
      <c r="AU73" s="879">
        <f ca="1">COUNTIFS(AT$7:$AT73,1)</f>
        <v>3</v>
      </c>
    </row>
    <row r="74" spans="1:47" ht="12.75" hidden="1" outlineLevel="1">
      <c r="A74" s="333">
        <f>input!A440</f>
        <v>7</v>
      </c>
      <c r="B74" s="1738" t="s">
        <v>139</v>
      </c>
      <c r="C74" s="313" t="str">
        <f>input!C440</f>
        <v>KBA</v>
      </c>
      <c r="E74" s="363" t="str">
        <f>input!D440</f>
        <v>None_Metalize</v>
      </c>
      <c r="F74" s="363" t="str">
        <f>input!F440</f>
        <v>N</v>
      </c>
      <c r="G74" s="363" t="str">
        <f>input!E440</f>
        <v>220 - 350gsm</v>
      </c>
      <c r="H74" s="363">
        <f>SUMIFS(Paper!$AC$7:$AC$30,Paper!$A$7:$A$30,'Production cost'!F74)</f>
        <v>0</v>
      </c>
      <c r="I74" s="313">
        <f>IF(G74=Data!$Q$1112,VLOOKUP(C74,Data!$M$1113:$O$1120,IF(E74=Data!$N$1112,2,3),0),IF(G74=Data!$R$1112,VLOOKUP(C74,Data!$M$1121:$O$1127,IF(E74=Data!$N$1112,2,3),0),VLOOKUP(C74,Data!$M$1129:$O$1135,IF(E74=Data!$N$1112,2,3),0)))</f>
        <v>12000</v>
      </c>
      <c r="J74" s="313" t="s">
        <v>5</v>
      </c>
      <c r="K74" s="360">
        <f>SUMIF(Data!$L$1140:$L$1146,'Production cost'!$C74,Data!$S$1140:$S$1146)</f>
        <v>1</v>
      </c>
      <c r="L74" s="391">
        <f>VLOOKUP($C74,Data!$L$1139:$T$1146,3,0)</f>
        <v>5</v>
      </c>
      <c r="M74" s="391">
        <f>IF(H74&gt;0,VLOOKUP('Production cost'!$C74,Data!$L$1140:$Q$1146,IF('Production cost'!$E74="Metalize",6,5),0)/60+(ROUNDUP(input!$H440/A74,0)*SUMIF(Paper!$A$7:$A$29,'Production cost'!$F74,Paper!$U$7:$U$29)-1)*5/60,0)*SUMIF(Paper!$A$7:$A$29,'Production cost'!$F74,Paper!$J$7:$J$29)</f>
        <v>0</v>
      </c>
      <c r="N74" s="391">
        <f t="shared" si="30"/>
        <v>0</v>
      </c>
      <c r="O74" s="313">
        <f>SUMIF(Data!$L$1140:$L$1146,'Production cost'!$C74,Data!$R$1140:$R$1146)</f>
        <v>352574.32240985788</v>
      </c>
      <c r="P74" s="313">
        <f>VLOOKUP($C74,Data!$L$1139:$T$1146,2,0)</f>
        <v>83000.376301260956</v>
      </c>
      <c r="Q74" s="313">
        <f t="shared" si="20"/>
        <v>0</v>
      </c>
      <c r="R74" s="313">
        <f t="shared" si="31"/>
        <v>0</v>
      </c>
      <c r="S74" s="1741">
        <f t="shared" si="32"/>
        <v>0</v>
      </c>
      <c r="T74" s="313" t="str">
        <f>input!J440</f>
        <v>N</v>
      </c>
      <c r="V74" s="3115" t="str">
        <f>input!K440</f>
        <v>Printing</v>
      </c>
      <c r="W74" s="3115">
        <f t="shared" si="23"/>
        <v>0</v>
      </c>
      <c r="X74" s="3119">
        <f>VLOOKUP(V74,'Fix Cost'!$K$177:$M$179,2,0)</f>
        <v>84211.577419609195</v>
      </c>
      <c r="Y74" s="3119">
        <f>VLOOKUP(V74,'Fix Cost'!$K$177:$M$179,3,0)</f>
        <v>716285.31885375059</v>
      </c>
      <c r="Z74" s="3119">
        <f t="shared" si="24"/>
        <v>0</v>
      </c>
      <c r="AA74" s="3115">
        <f t="shared" si="25"/>
        <v>0</v>
      </c>
      <c r="AB74" s="3115">
        <f t="shared" si="26"/>
        <v>0</v>
      </c>
      <c r="AK74" s="313"/>
      <c r="AL74" s="313"/>
      <c r="AM74" s="313"/>
      <c r="AO74" s="385"/>
      <c r="AP74" s="385"/>
      <c r="AQ74" s="385"/>
      <c r="AR74" s="1048"/>
      <c r="AS74" s="385"/>
      <c r="AT74" s="879">
        <f t="shared" si="1"/>
        <v>0</v>
      </c>
      <c r="AU74" s="879">
        <f ca="1">COUNTIFS(AT$7:$AT74,1)</f>
        <v>3</v>
      </c>
    </row>
    <row r="75" spans="1:47" ht="12.75" hidden="1" outlineLevel="1">
      <c r="A75" s="333">
        <f>input!A441</f>
        <v>7</v>
      </c>
      <c r="B75" s="1742" t="s">
        <v>139</v>
      </c>
      <c r="C75" s="1743" t="str">
        <f>input!C441</f>
        <v>KBA</v>
      </c>
      <c r="D75" s="1743"/>
      <c r="E75" s="1746" t="str">
        <f>input!D441</f>
        <v>None_Metalize</v>
      </c>
      <c r="F75" s="1746" t="str">
        <f>input!F441</f>
        <v>N</v>
      </c>
      <c r="G75" s="1746" t="str">
        <f>input!E441</f>
        <v>220 - 350gsm</v>
      </c>
      <c r="H75" s="1746">
        <f>SUMIFS(Paper!$AC$7:$AC$30,Paper!$A$7:$A$30,'Production cost'!F75)</f>
        <v>0</v>
      </c>
      <c r="I75" s="313">
        <f>IF(G75=Data!$Q$1112,VLOOKUP(C75,Data!$M$1113:$O$1120,IF(E75=Data!$N$1112,2,3),0),IF(G75=Data!$R$1112,VLOOKUP(C75,Data!$M$1121:$O$1127,IF(E75=Data!$N$1112,2,3),0),VLOOKUP(C75,Data!$M$1129:$O$1135,IF(E75=Data!$N$1112,2,3),0)))</f>
        <v>12000</v>
      </c>
      <c r="J75" s="1743" t="s">
        <v>5</v>
      </c>
      <c r="K75" s="1747">
        <f>SUMIF(Data!$L$1140:$L$1146,'Production cost'!$C75,Data!$S$1140:$S$1146)</f>
        <v>1</v>
      </c>
      <c r="L75" s="1748">
        <f>VLOOKUP($C75,Data!$L$1139:$T$1146,3,0)</f>
        <v>5</v>
      </c>
      <c r="M75" s="1748">
        <f>IF(H75&gt;0,VLOOKUP('Production cost'!$C75,Data!$L$1140:$Q$1146,IF('Production cost'!$E75="Metalize",6,5),0)/60+(ROUNDUP(input!$H441/A75,0)*SUMIF(Paper!$A$7:$A$29,'Production cost'!$F75,Paper!$U$7:$U$29)-1)*5/60,0)*SUMIF(Paper!$A$7:$A$29,'Production cost'!$F75,Paper!$J$7:$J$29)</f>
        <v>0</v>
      </c>
      <c r="N75" s="1748">
        <f t="shared" si="30"/>
        <v>0</v>
      </c>
      <c r="O75" s="1743">
        <f>SUMIF(Data!$L$1140:$L$1146,'Production cost'!$C75,Data!$R$1140:$R$1146)</f>
        <v>352574.32240985788</v>
      </c>
      <c r="P75" s="1743">
        <f>VLOOKUP($C75,Data!$L$1139:$T$1146,2,0)</f>
        <v>83000.376301260956</v>
      </c>
      <c r="Q75" s="1743">
        <f t="shared" si="20"/>
        <v>0</v>
      </c>
      <c r="R75" s="1743">
        <f t="shared" si="31"/>
        <v>0</v>
      </c>
      <c r="S75" s="1749">
        <f t="shared" si="32"/>
        <v>0</v>
      </c>
      <c r="T75" s="313" t="str">
        <f>input!J441</f>
        <v>N</v>
      </c>
      <c r="V75" s="3115" t="str">
        <f>input!K441</f>
        <v>Printing</v>
      </c>
      <c r="W75" s="3115">
        <f t="shared" si="23"/>
        <v>0</v>
      </c>
      <c r="X75" s="3119">
        <f>VLOOKUP(V75,'Fix Cost'!$K$177:$M$179,2,0)</f>
        <v>84211.577419609195</v>
      </c>
      <c r="Y75" s="3119">
        <f>VLOOKUP(V75,'Fix Cost'!$K$177:$M$179,3,0)</f>
        <v>716285.31885375059</v>
      </c>
      <c r="Z75" s="3119">
        <f t="shared" si="24"/>
        <v>0</v>
      </c>
      <c r="AA75" s="3115">
        <f t="shared" si="25"/>
        <v>0</v>
      </c>
      <c r="AB75" s="3115">
        <f t="shared" si="26"/>
        <v>0</v>
      </c>
      <c r="AK75" s="313"/>
      <c r="AL75" s="313"/>
      <c r="AM75" s="313"/>
      <c r="AO75" s="385"/>
      <c r="AP75" s="385"/>
      <c r="AQ75" s="385"/>
      <c r="AR75" s="1048"/>
      <c r="AS75" s="385"/>
      <c r="AT75" s="879">
        <f t="shared" si="1"/>
        <v>0</v>
      </c>
      <c r="AU75" s="879">
        <f ca="1">COUNTIFS(AT$7:$AT75,1)</f>
        <v>3</v>
      </c>
    </row>
    <row r="76" spans="1:47" ht="12.75" hidden="1" collapsed="1">
      <c r="F76" s="384"/>
      <c r="G76" s="363"/>
      <c r="H76" s="363"/>
      <c r="N76" s="391"/>
      <c r="P76" s="391"/>
      <c r="S76" s="363"/>
      <c r="AK76" s="313"/>
      <c r="AL76" s="313"/>
      <c r="AM76" s="313"/>
      <c r="AO76" s="385"/>
      <c r="AP76" s="385"/>
      <c r="AQ76" s="385"/>
      <c r="AR76" s="1048"/>
      <c r="AS76" s="385"/>
      <c r="AT76" s="879" t="str">
        <f t="shared" si="1"/>
        <v/>
      </c>
      <c r="AU76" s="879">
        <f ca="1">COUNTIFS(AT$7:$AT76,1)</f>
        <v>3</v>
      </c>
    </row>
    <row r="77" spans="1:47" ht="12.75" hidden="1">
      <c r="B77" s="1269"/>
      <c r="C77" s="385"/>
      <c r="G77" s="1270"/>
      <c r="N77" s="391"/>
      <c r="S77" s="363"/>
      <c r="AO77" s="385"/>
      <c r="AP77" s="385"/>
      <c r="AQ77" s="385"/>
      <c r="AR77" s="1048"/>
      <c r="AS77" s="385"/>
      <c r="AT77" s="879" t="str">
        <f t="shared" ref="AT77:AT140" si="33">IF(ISNUMBER(R77),IF(R77&lt;&gt;0,IF(ISNUMBER(SEARCH("to",J77)),0,1),0),"")</f>
        <v/>
      </c>
      <c r="AU77" s="879">
        <f ca="1">COUNTIFS(AT$7:$AT77,1)</f>
        <v>3</v>
      </c>
    </row>
    <row r="78" spans="1:47" ht="12.75" hidden="1">
      <c r="A78" s="1269" t="s">
        <v>143</v>
      </c>
      <c r="B78" s="1255" t="s">
        <v>140</v>
      </c>
      <c r="C78" s="1256" t="str">
        <f>input!C444</f>
        <v>Metalize lamination</v>
      </c>
      <c r="D78" s="1256"/>
      <c r="E78" s="2144"/>
      <c r="F78" s="2144" t="str">
        <f ca="1">input!F444</f>
        <v>N</v>
      </c>
      <c r="G78" s="2144"/>
      <c r="H78" s="1256">
        <f ca="1">SUMIFS(Paper!$AC$7:$AC$30,Paper!$A$7:$A$30,'Production cost'!F78)</f>
        <v>0</v>
      </c>
      <c r="I78" s="1256">
        <f ca="1">IF(input!$G444&gt;0,input!$G444,3000)</f>
        <v>3000</v>
      </c>
      <c r="J78" s="1256" t="s">
        <v>5</v>
      </c>
      <c r="K78" s="2145">
        <v>0</v>
      </c>
      <c r="L78" s="1256">
        <f ca="1">IF(input!$I444&gt;0,input!$I444,3)</f>
        <v>3</v>
      </c>
      <c r="M78" s="2146">
        <f ca="1">IF(H78&gt;0,SUMIF(Data!$L$1155:$L$1190,'Production cost'!$C78,Data!$Q$1155:$Q$1190)*SUMIF(Paper!$A$7:$A$29,'Production cost'!$F78,Paper!$J$7:$J$29),0)</f>
        <v>0</v>
      </c>
      <c r="N78" s="2146">
        <f ca="1">IF(H78&gt;0,ROUNDUP(((H78/I78)/$M$5+M78),1),0)</f>
        <v>0</v>
      </c>
      <c r="O78" s="1256"/>
      <c r="P78" s="1256">
        <f>SUMIF(Data!$L$1155:$L$1190,'Production cost'!$C78,Data!$N$1155:$N$1190)</f>
        <v>78551.859745354872</v>
      </c>
      <c r="Q78" s="1256">
        <f t="shared" ref="Q78:Q109" ca="1" si="34">(N78*O78*K78+N78*P78*L78)*(1+$R$702)</f>
        <v>0</v>
      </c>
      <c r="R78" s="1256">
        <f ca="1">IF($E$2&gt;0,Q78/$E$2,0)</f>
        <v>0</v>
      </c>
      <c r="S78" s="1257">
        <f ca="1">IF(M78&gt;0,K78*O78+L78*P78,0)</f>
        <v>0</v>
      </c>
      <c r="T78" s="313" t="str">
        <f ca="1">input!J444</f>
        <v>N</v>
      </c>
      <c r="V78" s="3115" t="str">
        <f>input!K444</f>
        <v>Packaging</v>
      </c>
      <c r="W78" s="3115">
        <f t="shared" ref="W78:W124" ca="1" si="35">N78*(L78+K78)</f>
        <v>0</v>
      </c>
      <c r="X78" s="3119">
        <f>VLOOKUP(V78,'Fix Cost'!$K$177:$M$179,2,0)</f>
        <v>58449.923860467366</v>
      </c>
      <c r="Y78" s="3119">
        <f>VLOOKUP(V78,'Fix Cost'!$K$177:$M$179,3,0)</f>
        <v>267411.04680782068</v>
      </c>
      <c r="Z78" s="3119">
        <f t="shared" ref="Z78:Z124" ca="1" si="36">IFERROR($X78*W78,0)</f>
        <v>0</v>
      </c>
      <c r="AA78" s="3115">
        <f t="shared" ref="AA78:AA124" ca="1" si="37">IFERROR(Y78*N78,0)</f>
        <v>0</v>
      </c>
      <c r="AB78" s="3115">
        <f t="shared" ref="AB78:AB124" ca="1" si="38">Z78+AA78</f>
        <v>0</v>
      </c>
      <c r="AK78" s="313"/>
      <c r="AL78" s="313"/>
      <c r="AM78" s="313"/>
      <c r="AO78" s="385"/>
      <c r="AP78" s="385"/>
      <c r="AQ78" s="385"/>
      <c r="AR78" s="1048"/>
      <c r="AS78" s="385"/>
      <c r="AT78" s="879">
        <f t="shared" ca="1" si="33"/>
        <v>0</v>
      </c>
      <c r="AU78" s="879">
        <f ca="1">COUNTIFS(AT$7:$AT78,1)</f>
        <v>3</v>
      </c>
    </row>
    <row r="79" spans="1:47" ht="12.75" hidden="1" outlineLevel="1">
      <c r="A79" s="1269"/>
      <c r="B79" s="1738" t="s">
        <v>140</v>
      </c>
      <c r="C79" s="313" t="str">
        <f>input!C445</f>
        <v>Metalize lamination</v>
      </c>
      <c r="E79" s="363"/>
      <c r="F79" s="363" t="str">
        <f ca="1">input!F445</f>
        <v>N</v>
      </c>
      <c r="G79" s="363"/>
      <c r="H79" s="313">
        <f ca="1">SUMIFS(Paper!$AC$7:$AC$30,Paper!$A$7:$A$30,'Production cost'!F79)</f>
        <v>0</v>
      </c>
      <c r="I79" s="313">
        <f ca="1">IF(input!$G445&gt;0,input!$G445,3000)</f>
        <v>3000</v>
      </c>
      <c r="J79" s="313" t="s">
        <v>5</v>
      </c>
      <c r="K79" s="360">
        <v>0</v>
      </c>
      <c r="L79" s="313">
        <f ca="1">IF(input!$I445&gt;0,input!$I445,3)</f>
        <v>3</v>
      </c>
      <c r="M79" s="391">
        <f ca="1">IF(H79&gt;0,SUMIF(Data!$L$1155:$L$1190,'Production cost'!$C79,Data!$Q$1155:$Q$1190)*SUMIF(Paper!$A$7:$A$29,'Production cost'!$F79,Paper!$J$7:$J$29),0)</f>
        <v>0</v>
      </c>
      <c r="N79" s="391">
        <f t="shared" ref="N79:N108" ca="1" si="39">IF(H79&gt;0,ROUNDUP(((H79/I79)/$M$5+M79),1),0)</f>
        <v>0</v>
      </c>
      <c r="P79" s="313">
        <f>SUMIF(Data!$L$1155:$L$1190,'Production cost'!$C79,Data!$N$1155:$N$1190)</f>
        <v>78551.859745354872</v>
      </c>
      <c r="Q79" s="313">
        <f t="shared" ca="1" si="34"/>
        <v>0</v>
      </c>
      <c r="R79" s="313">
        <f t="shared" ref="R79:R108" ca="1" si="40">IF($E$2&gt;0,Q79/$E$2,0)</f>
        <v>0</v>
      </c>
      <c r="S79" s="1741">
        <f t="shared" ref="S79:S108" ca="1" si="41">IF(M79&gt;0,K79*O79+L79*P79,0)</f>
        <v>0</v>
      </c>
      <c r="T79" s="313" t="str">
        <f ca="1">input!J445</f>
        <v>N</v>
      </c>
      <c r="V79" s="3115" t="str">
        <f>input!K445</f>
        <v>Packaging</v>
      </c>
      <c r="W79" s="3115">
        <f t="shared" ca="1" si="35"/>
        <v>0</v>
      </c>
      <c r="X79" s="3119">
        <f>VLOOKUP(V79,'Fix Cost'!$K$177:$M$179,2,0)</f>
        <v>58449.923860467366</v>
      </c>
      <c r="Y79" s="3119">
        <f>VLOOKUP(V79,'Fix Cost'!$K$177:$M$179,3,0)</f>
        <v>267411.04680782068</v>
      </c>
      <c r="Z79" s="3119">
        <f t="shared" ca="1" si="36"/>
        <v>0</v>
      </c>
      <c r="AA79" s="3115">
        <f t="shared" ca="1" si="37"/>
        <v>0</v>
      </c>
      <c r="AB79" s="3115">
        <f t="shared" ca="1" si="38"/>
        <v>0</v>
      </c>
      <c r="AK79" s="313"/>
      <c r="AL79" s="313"/>
      <c r="AM79" s="313"/>
      <c r="AO79" s="385"/>
      <c r="AP79" s="385"/>
      <c r="AQ79" s="385"/>
      <c r="AR79" s="1048"/>
      <c r="AS79" s="385"/>
      <c r="AT79" s="879">
        <f t="shared" ca="1" si="33"/>
        <v>0</v>
      </c>
      <c r="AU79" s="879">
        <f ca="1">COUNTIFS(AT$7:$AT79,1)</f>
        <v>3</v>
      </c>
    </row>
    <row r="80" spans="1:47" ht="12.75" hidden="1" outlineLevel="1">
      <c r="A80" s="1269"/>
      <c r="B80" s="1738" t="s">
        <v>140</v>
      </c>
      <c r="C80" s="313" t="str">
        <f>input!C446</f>
        <v>Metalize lamination</v>
      </c>
      <c r="E80" s="363"/>
      <c r="F80" s="363" t="str">
        <f ca="1">input!F446</f>
        <v>N</v>
      </c>
      <c r="G80" s="363"/>
      <c r="H80" s="313">
        <f ca="1">SUMIFS(Paper!$AC$7:$AC$30,Paper!$A$7:$A$30,'Production cost'!F80)</f>
        <v>0</v>
      </c>
      <c r="I80" s="313">
        <f ca="1">IF(input!$G446&gt;0,input!$G446,3000)</f>
        <v>3000</v>
      </c>
      <c r="J80" s="313" t="s">
        <v>5</v>
      </c>
      <c r="K80" s="360">
        <v>0</v>
      </c>
      <c r="L80" s="313">
        <f ca="1">IF(input!$I446&gt;0,input!$I446,3)</f>
        <v>3</v>
      </c>
      <c r="M80" s="391">
        <f ca="1">IF(H80&gt;0,SUMIF(Data!$L$1155:$L$1190,'Production cost'!$C80,Data!$Q$1155:$Q$1190)*SUMIF(Paper!$A$7:$A$29,'Production cost'!$F80,Paper!$J$7:$J$29),0)</f>
        <v>0</v>
      </c>
      <c r="N80" s="391">
        <f t="shared" ca="1" si="39"/>
        <v>0</v>
      </c>
      <c r="P80" s="313">
        <f>SUMIF(Data!$L$1155:$L$1190,'Production cost'!$C80,Data!$N$1155:$N$1190)</f>
        <v>78551.859745354872</v>
      </c>
      <c r="Q80" s="313">
        <f t="shared" ca="1" si="34"/>
        <v>0</v>
      </c>
      <c r="R80" s="313">
        <f t="shared" ca="1" si="40"/>
        <v>0</v>
      </c>
      <c r="S80" s="1741">
        <f t="shared" ca="1" si="41"/>
        <v>0</v>
      </c>
      <c r="T80" s="313" t="str">
        <f ca="1">input!J446</f>
        <v>N</v>
      </c>
      <c r="V80" s="3115" t="str">
        <f>input!K446</f>
        <v>Packaging</v>
      </c>
      <c r="W80" s="3115">
        <f t="shared" ca="1" si="35"/>
        <v>0</v>
      </c>
      <c r="X80" s="3119">
        <f>VLOOKUP(V80,'Fix Cost'!$K$177:$M$179,2,0)</f>
        <v>58449.923860467366</v>
      </c>
      <c r="Y80" s="3119">
        <f>VLOOKUP(V80,'Fix Cost'!$K$177:$M$179,3,0)</f>
        <v>267411.04680782068</v>
      </c>
      <c r="Z80" s="3119">
        <f t="shared" ca="1" si="36"/>
        <v>0</v>
      </c>
      <c r="AA80" s="3115">
        <f t="shared" ca="1" si="37"/>
        <v>0</v>
      </c>
      <c r="AB80" s="3115">
        <f t="shared" ca="1" si="38"/>
        <v>0</v>
      </c>
      <c r="AK80" s="313"/>
      <c r="AL80" s="313"/>
      <c r="AM80" s="313"/>
      <c r="AO80" s="385"/>
      <c r="AP80" s="385"/>
      <c r="AQ80" s="385"/>
      <c r="AR80" s="1048"/>
      <c r="AS80" s="385"/>
      <c r="AT80" s="879">
        <f t="shared" ca="1" si="33"/>
        <v>0</v>
      </c>
      <c r="AU80" s="879">
        <f ca="1">COUNTIFS(AT$7:$AT80,1)</f>
        <v>3</v>
      </c>
    </row>
    <row r="81" spans="1:47" ht="12.75" hidden="1" outlineLevel="1">
      <c r="A81" s="1269"/>
      <c r="B81" s="1738" t="s">
        <v>140</v>
      </c>
      <c r="C81" s="313" t="str">
        <f>input!C447</f>
        <v>Metalize lamination</v>
      </c>
      <c r="E81" s="363"/>
      <c r="F81" s="363" t="str">
        <f ca="1">input!F447</f>
        <v>N</v>
      </c>
      <c r="G81" s="363"/>
      <c r="H81" s="313">
        <f ca="1">SUMIFS(Paper!$AC$7:$AC$30,Paper!$A$7:$A$30,'Production cost'!F81)</f>
        <v>0</v>
      </c>
      <c r="I81" s="313">
        <f ca="1">IF(input!$G447&gt;0,input!$G447,3000)</f>
        <v>3000</v>
      </c>
      <c r="J81" s="313" t="s">
        <v>5</v>
      </c>
      <c r="K81" s="360">
        <v>0</v>
      </c>
      <c r="L81" s="313">
        <f ca="1">IF(input!$I447&gt;0,input!$I447,3)</f>
        <v>3</v>
      </c>
      <c r="M81" s="391">
        <f ca="1">IF(H81&gt;0,SUMIF(Data!$L$1155:$L$1190,'Production cost'!$C81,Data!$Q$1155:$Q$1190)*SUMIF(Paper!$A$7:$A$29,'Production cost'!$F81,Paper!$J$7:$J$29),0)</f>
        <v>0</v>
      </c>
      <c r="N81" s="391">
        <f t="shared" ca="1" si="39"/>
        <v>0</v>
      </c>
      <c r="P81" s="313">
        <f>SUMIF(Data!$L$1155:$L$1190,'Production cost'!$C81,Data!$N$1155:$N$1190)</f>
        <v>78551.859745354872</v>
      </c>
      <c r="Q81" s="313">
        <f t="shared" ca="1" si="34"/>
        <v>0</v>
      </c>
      <c r="R81" s="313">
        <f t="shared" ca="1" si="40"/>
        <v>0</v>
      </c>
      <c r="S81" s="1741">
        <f t="shared" ca="1" si="41"/>
        <v>0</v>
      </c>
      <c r="T81" s="313" t="str">
        <f ca="1">input!J447</f>
        <v>N</v>
      </c>
      <c r="V81" s="3115" t="str">
        <f>input!K447</f>
        <v>Packaging</v>
      </c>
      <c r="W81" s="3115">
        <f t="shared" ca="1" si="35"/>
        <v>0</v>
      </c>
      <c r="X81" s="3119">
        <f>VLOOKUP(V81,'Fix Cost'!$K$177:$M$179,2,0)</f>
        <v>58449.923860467366</v>
      </c>
      <c r="Y81" s="3119">
        <f>VLOOKUP(V81,'Fix Cost'!$K$177:$M$179,3,0)</f>
        <v>267411.04680782068</v>
      </c>
      <c r="Z81" s="3119">
        <f t="shared" ca="1" si="36"/>
        <v>0</v>
      </c>
      <c r="AA81" s="3115">
        <f t="shared" ca="1" si="37"/>
        <v>0</v>
      </c>
      <c r="AB81" s="3115">
        <f t="shared" ca="1" si="38"/>
        <v>0</v>
      </c>
      <c r="AK81" s="313"/>
      <c r="AL81" s="313"/>
      <c r="AM81" s="313"/>
      <c r="AO81" s="385"/>
      <c r="AP81" s="385"/>
      <c r="AQ81" s="385"/>
      <c r="AR81" s="1048"/>
      <c r="AS81" s="385"/>
      <c r="AT81" s="879">
        <f t="shared" ca="1" si="33"/>
        <v>0</v>
      </c>
      <c r="AU81" s="879">
        <f ca="1">COUNTIFS(AT$7:$AT81,1)</f>
        <v>3</v>
      </c>
    </row>
    <row r="82" spans="1:47" ht="12.75" hidden="1" outlineLevel="1">
      <c r="A82" s="1269"/>
      <c r="B82" s="1738" t="s">
        <v>140</v>
      </c>
      <c r="C82" s="313" t="str">
        <f>input!C448</f>
        <v>Metalize lamination</v>
      </c>
      <c r="E82" s="363"/>
      <c r="F82" s="363" t="str">
        <f ca="1">input!F448</f>
        <v>N</v>
      </c>
      <c r="G82" s="363"/>
      <c r="H82" s="313">
        <f ca="1">SUMIFS(Paper!$AC$7:$AC$30,Paper!$A$7:$A$30,'Production cost'!F82)</f>
        <v>0</v>
      </c>
      <c r="I82" s="313">
        <f ca="1">IF(input!$G448&gt;0,input!$G448,3000)</f>
        <v>3000</v>
      </c>
      <c r="J82" s="313" t="s">
        <v>5</v>
      </c>
      <c r="K82" s="360">
        <v>0</v>
      </c>
      <c r="L82" s="313">
        <f ca="1">IF(input!$I448&gt;0,input!$I448,3)</f>
        <v>3</v>
      </c>
      <c r="M82" s="391">
        <f ca="1">IF(H82&gt;0,SUMIF(Data!$L$1155:$L$1190,'Production cost'!$C82,Data!$Q$1155:$Q$1190)*SUMIF(Paper!$A$7:$A$29,'Production cost'!$F82,Paper!$J$7:$J$29),0)</f>
        <v>0</v>
      </c>
      <c r="N82" s="391">
        <f t="shared" ca="1" si="39"/>
        <v>0</v>
      </c>
      <c r="P82" s="313">
        <f>SUMIF(Data!$L$1155:$L$1190,'Production cost'!$C82,Data!$N$1155:$N$1190)</f>
        <v>78551.859745354872</v>
      </c>
      <c r="Q82" s="313">
        <f t="shared" ca="1" si="34"/>
        <v>0</v>
      </c>
      <c r="R82" s="313">
        <f t="shared" ca="1" si="40"/>
        <v>0</v>
      </c>
      <c r="S82" s="1741">
        <f t="shared" ca="1" si="41"/>
        <v>0</v>
      </c>
      <c r="T82" s="313" t="str">
        <f ca="1">input!J448</f>
        <v>N</v>
      </c>
      <c r="V82" s="3115" t="str">
        <f>input!K448</f>
        <v>Packaging</v>
      </c>
      <c r="W82" s="3115">
        <f t="shared" ca="1" si="35"/>
        <v>0</v>
      </c>
      <c r="X82" s="3119">
        <f>VLOOKUP(V82,'Fix Cost'!$K$177:$M$179,2,0)</f>
        <v>58449.923860467366</v>
      </c>
      <c r="Y82" s="3119">
        <f>VLOOKUP(V82,'Fix Cost'!$K$177:$M$179,3,0)</f>
        <v>267411.04680782068</v>
      </c>
      <c r="Z82" s="3119">
        <f t="shared" ca="1" si="36"/>
        <v>0</v>
      </c>
      <c r="AA82" s="3115">
        <f t="shared" ca="1" si="37"/>
        <v>0</v>
      </c>
      <c r="AB82" s="3115">
        <f t="shared" ca="1" si="38"/>
        <v>0</v>
      </c>
      <c r="AK82" s="313"/>
      <c r="AL82" s="313"/>
      <c r="AM82" s="313"/>
      <c r="AO82" s="385"/>
      <c r="AP82" s="385"/>
      <c r="AQ82" s="385"/>
      <c r="AR82" s="1048"/>
      <c r="AS82" s="385"/>
      <c r="AT82" s="879">
        <f t="shared" ca="1" si="33"/>
        <v>0</v>
      </c>
      <c r="AU82" s="879">
        <f ca="1">COUNTIFS(AT$7:$AT82,1)</f>
        <v>3</v>
      </c>
    </row>
    <row r="83" spans="1:47" ht="12.75" hidden="1" outlineLevel="1">
      <c r="A83" s="1269"/>
      <c r="B83" s="1738" t="s">
        <v>140</v>
      </c>
      <c r="C83" s="313" t="str">
        <f>input!C449</f>
        <v>Metalize lamination</v>
      </c>
      <c r="E83" s="363"/>
      <c r="F83" s="363" t="str">
        <f ca="1">input!F449</f>
        <v>N</v>
      </c>
      <c r="G83" s="363"/>
      <c r="H83" s="313">
        <f ca="1">SUMIFS(Paper!$AC$7:$AC$30,Paper!$A$7:$A$30,'Production cost'!F83)</f>
        <v>0</v>
      </c>
      <c r="I83" s="313">
        <f ca="1">IF(input!$G449&gt;0,input!$G449,3000)</f>
        <v>3000</v>
      </c>
      <c r="J83" s="313" t="s">
        <v>5</v>
      </c>
      <c r="K83" s="360">
        <v>0</v>
      </c>
      <c r="L83" s="313">
        <f ca="1">IF(input!$I449&gt;0,input!$I449,3)</f>
        <v>3</v>
      </c>
      <c r="M83" s="391">
        <f ca="1">IF(H83&gt;0,SUMIF(Data!$L$1155:$L$1190,'Production cost'!$C83,Data!$Q$1155:$Q$1190)*SUMIF(Paper!$A$7:$A$29,'Production cost'!$F83,Paper!$J$7:$J$29),0)</f>
        <v>0</v>
      </c>
      <c r="N83" s="391">
        <f ca="1">IF(H83&gt;0,ROUNDUP(((H83/I83)/$M$5+M83),1),0)</f>
        <v>0</v>
      </c>
      <c r="P83" s="313">
        <f>SUMIF(Data!$L$1155:$L$1190,'Production cost'!$C83,Data!$N$1155:$N$1190)</f>
        <v>78551.859745354872</v>
      </c>
      <c r="Q83" s="313">
        <f t="shared" ca="1" si="34"/>
        <v>0</v>
      </c>
      <c r="R83" s="313">
        <f ca="1">IF($E$2&gt;0,Q83/$E$2,0)</f>
        <v>0</v>
      </c>
      <c r="S83" s="1741">
        <f ca="1">IF(M83&gt;0,K83*O83+L83*P83,0)</f>
        <v>0</v>
      </c>
      <c r="T83" s="313" t="str">
        <f ca="1">input!J449</f>
        <v>N</v>
      </c>
      <c r="V83" s="3115" t="str">
        <f>input!K449</f>
        <v>Packaging</v>
      </c>
      <c r="W83" s="3115">
        <f t="shared" ca="1" si="35"/>
        <v>0</v>
      </c>
      <c r="X83" s="3119">
        <f>VLOOKUP(V83,'Fix Cost'!$K$177:$M$179,2,0)</f>
        <v>58449.923860467366</v>
      </c>
      <c r="Y83" s="3119">
        <f>VLOOKUP(V83,'Fix Cost'!$K$177:$M$179,3,0)</f>
        <v>267411.04680782068</v>
      </c>
      <c r="Z83" s="3119">
        <f t="shared" ca="1" si="36"/>
        <v>0</v>
      </c>
      <c r="AA83" s="3115">
        <f t="shared" ca="1" si="37"/>
        <v>0</v>
      </c>
      <c r="AB83" s="3115">
        <f t="shared" ca="1" si="38"/>
        <v>0</v>
      </c>
      <c r="AK83" s="313"/>
      <c r="AL83" s="313"/>
      <c r="AM83" s="313"/>
      <c r="AO83" s="385"/>
      <c r="AP83" s="385"/>
      <c r="AQ83" s="385"/>
      <c r="AR83" s="1048"/>
      <c r="AS83" s="385"/>
      <c r="AT83" s="879">
        <f t="shared" ca="1" si="33"/>
        <v>0</v>
      </c>
      <c r="AU83" s="879">
        <f ca="1">COUNTIFS(AT$7:$AT83,1)</f>
        <v>3</v>
      </c>
    </row>
    <row r="84" spans="1:47" ht="12.75" hidden="1" outlineLevel="1">
      <c r="A84" s="1269"/>
      <c r="B84" s="1738" t="s">
        <v>140</v>
      </c>
      <c r="C84" s="313" t="str">
        <f>input!C450</f>
        <v>Metalize lamination</v>
      </c>
      <c r="E84" s="363"/>
      <c r="F84" s="363" t="str">
        <f ca="1">input!F450</f>
        <v>N</v>
      </c>
      <c r="G84" s="363"/>
      <c r="H84" s="313">
        <f ca="1">SUMIFS(Paper!$AC$7:$AC$30,Paper!$A$7:$A$30,'Production cost'!F84)</f>
        <v>0</v>
      </c>
      <c r="I84" s="313">
        <f ca="1">IF(input!$G450&gt;0,input!$G450,3000)</f>
        <v>3000</v>
      </c>
      <c r="J84" s="313" t="s">
        <v>5</v>
      </c>
      <c r="K84" s="360">
        <v>0</v>
      </c>
      <c r="L84" s="313">
        <f ca="1">IF(input!$I450&gt;0,input!$I450,3)</f>
        <v>3</v>
      </c>
      <c r="M84" s="391">
        <f ca="1">IF(H84&gt;0,SUMIF(Data!$L$1155:$L$1190,'Production cost'!$C84,Data!$Q$1155:$Q$1190)*SUMIF(Paper!$A$7:$A$29,'Production cost'!$F84,Paper!$J$7:$J$29),0)</f>
        <v>0</v>
      </c>
      <c r="N84" s="391">
        <f ca="1">IF(H84&gt;0,ROUNDUP(((H84/I84)/$M$5+M84),1),0)</f>
        <v>0</v>
      </c>
      <c r="P84" s="313">
        <f>SUMIF(Data!$L$1155:$L$1190,'Production cost'!$C84,Data!$N$1155:$N$1190)</f>
        <v>78551.859745354872</v>
      </c>
      <c r="Q84" s="313">
        <f t="shared" ca="1" si="34"/>
        <v>0</v>
      </c>
      <c r="R84" s="313">
        <f ca="1">IF($E$2&gt;0,Q84/$E$2,0)</f>
        <v>0</v>
      </c>
      <c r="S84" s="1741">
        <f ca="1">IF(M84&gt;0,K84*O84+L84*P84,0)</f>
        <v>0</v>
      </c>
      <c r="T84" s="313" t="str">
        <f ca="1">input!J450</f>
        <v>N</v>
      </c>
      <c r="V84" s="3115" t="str">
        <f>input!K450</f>
        <v>Packaging</v>
      </c>
      <c r="W84" s="3115">
        <f t="shared" ca="1" si="35"/>
        <v>0</v>
      </c>
      <c r="X84" s="3119">
        <f>VLOOKUP(V84,'Fix Cost'!$K$177:$M$179,2,0)</f>
        <v>58449.923860467366</v>
      </c>
      <c r="Y84" s="3119">
        <f>VLOOKUP(V84,'Fix Cost'!$K$177:$M$179,3,0)</f>
        <v>267411.04680782068</v>
      </c>
      <c r="Z84" s="3119">
        <f t="shared" ca="1" si="36"/>
        <v>0</v>
      </c>
      <c r="AA84" s="3115">
        <f t="shared" ca="1" si="37"/>
        <v>0</v>
      </c>
      <c r="AB84" s="3115">
        <f t="shared" ca="1" si="38"/>
        <v>0</v>
      </c>
      <c r="AK84" s="313"/>
      <c r="AL84" s="313"/>
      <c r="AM84" s="313"/>
      <c r="AO84" s="385"/>
      <c r="AP84" s="385"/>
      <c r="AQ84" s="385"/>
      <c r="AR84" s="1048"/>
      <c r="AS84" s="385"/>
      <c r="AT84" s="879">
        <f t="shared" ca="1" si="33"/>
        <v>0</v>
      </c>
      <c r="AU84" s="879">
        <f ca="1">COUNTIFS(AT$7:$AT84,1)</f>
        <v>3</v>
      </c>
    </row>
    <row r="85" spans="1:47" ht="12.75" hidden="1" outlineLevel="1">
      <c r="A85" s="1269"/>
      <c r="B85" s="1738" t="s">
        <v>140</v>
      </c>
      <c r="C85" s="313" t="str">
        <f>input!C451</f>
        <v>Metalize lamination</v>
      </c>
      <c r="E85" s="363"/>
      <c r="F85" s="363" t="str">
        <f ca="1">input!F451</f>
        <v>N</v>
      </c>
      <c r="G85" s="363"/>
      <c r="H85" s="313">
        <f ca="1">SUMIFS(Paper!$AC$7:$AC$30,Paper!$A$7:$A$30,'Production cost'!F85)</f>
        <v>0</v>
      </c>
      <c r="I85" s="313">
        <f ca="1">IF(input!$G451&gt;0,input!$G451,3000)</f>
        <v>3000</v>
      </c>
      <c r="J85" s="313" t="s">
        <v>5</v>
      </c>
      <c r="K85" s="360">
        <v>0</v>
      </c>
      <c r="L85" s="313">
        <f ca="1">IF(input!$I451&gt;0,input!$I451,3)</f>
        <v>3</v>
      </c>
      <c r="M85" s="391">
        <f ca="1">IF(H85&gt;0,SUMIF(Data!$L$1155:$L$1190,'Production cost'!$C85,Data!$Q$1155:$Q$1190)*SUMIF(Paper!$A$7:$A$29,'Production cost'!$F85,Paper!$J$7:$J$29),0)</f>
        <v>0</v>
      </c>
      <c r="N85" s="391">
        <f ca="1">IF(H85&gt;0,ROUNDUP(((H85/I85)/$M$5+M85),1),0)</f>
        <v>0</v>
      </c>
      <c r="P85" s="313">
        <f>SUMIF(Data!$L$1155:$L$1190,'Production cost'!$C85,Data!$N$1155:$N$1190)</f>
        <v>78551.859745354872</v>
      </c>
      <c r="Q85" s="313">
        <f t="shared" ca="1" si="34"/>
        <v>0</v>
      </c>
      <c r="R85" s="313">
        <f ca="1">IF($E$2&gt;0,Q85/$E$2,0)</f>
        <v>0</v>
      </c>
      <c r="S85" s="1741">
        <f ca="1">IF(M85&gt;0,K85*O85+L85*P85,0)</f>
        <v>0</v>
      </c>
      <c r="T85" s="313" t="str">
        <f ca="1">input!J451</f>
        <v>N</v>
      </c>
      <c r="V85" s="3115" t="str">
        <f>input!K451</f>
        <v>Packaging</v>
      </c>
      <c r="W85" s="3115">
        <f t="shared" ca="1" si="35"/>
        <v>0</v>
      </c>
      <c r="X85" s="3119">
        <f>VLOOKUP(V85,'Fix Cost'!$K$177:$M$179,2,0)</f>
        <v>58449.923860467366</v>
      </c>
      <c r="Y85" s="3119">
        <f>VLOOKUP(V85,'Fix Cost'!$K$177:$M$179,3,0)</f>
        <v>267411.04680782068</v>
      </c>
      <c r="Z85" s="3119">
        <f t="shared" ca="1" si="36"/>
        <v>0</v>
      </c>
      <c r="AA85" s="3115">
        <f t="shared" ca="1" si="37"/>
        <v>0</v>
      </c>
      <c r="AB85" s="3115">
        <f t="shared" ca="1" si="38"/>
        <v>0</v>
      </c>
      <c r="AK85" s="313"/>
      <c r="AL85" s="313"/>
      <c r="AM85" s="313"/>
      <c r="AO85" s="385"/>
      <c r="AP85" s="385"/>
      <c r="AQ85" s="385"/>
      <c r="AR85" s="1048"/>
      <c r="AS85" s="385"/>
      <c r="AT85" s="879">
        <f t="shared" ca="1" si="33"/>
        <v>0</v>
      </c>
      <c r="AU85" s="879">
        <f ca="1">COUNTIFS(AT$7:$AT85,1)</f>
        <v>3</v>
      </c>
    </row>
    <row r="86" spans="1:47" ht="12.75" hidden="1" outlineLevel="1">
      <c r="A86" s="1269"/>
      <c r="B86" s="1738" t="s">
        <v>140</v>
      </c>
      <c r="C86" s="313" t="str">
        <f>input!C452</f>
        <v>Metalize lamination</v>
      </c>
      <c r="E86" s="363"/>
      <c r="F86" s="363" t="str">
        <f ca="1">input!F452</f>
        <v>N</v>
      </c>
      <c r="G86" s="363"/>
      <c r="H86" s="313">
        <f ca="1">SUMIFS(Paper!$AC$7:$AC$30,Paper!$A$7:$A$30,'Production cost'!F86)</f>
        <v>0</v>
      </c>
      <c r="I86" s="313">
        <f ca="1">IF(input!$G452&gt;0,input!$G452,3000)</f>
        <v>3000</v>
      </c>
      <c r="J86" s="313" t="s">
        <v>5</v>
      </c>
      <c r="K86" s="360">
        <v>0</v>
      </c>
      <c r="L86" s="313">
        <f ca="1">IF(input!$I452&gt;0,input!$I452,3)</f>
        <v>3</v>
      </c>
      <c r="M86" s="391">
        <f ca="1">IF(H86&gt;0,SUMIF(Data!$L$1155:$L$1190,'Production cost'!$C86,Data!$Q$1155:$Q$1190)*SUMIF(Paper!$A$7:$A$29,'Production cost'!$F86,Paper!$J$7:$J$29),0)</f>
        <v>0</v>
      </c>
      <c r="N86" s="391">
        <f ca="1">IF(H86&gt;0,ROUNDUP(((H86/I86)/$M$5+M86),1),0)</f>
        <v>0</v>
      </c>
      <c r="P86" s="313">
        <f>SUMIF(Data!$L$1155:$L$1190,'Production cost'!$C86,Data!$N$1155:$N$1190)</f>
        <v>78551.859745354872</v>
      </c>
      <c r="Q86" s="313">
        <f t="shared" ca="1" si="34"/>
        <v>0</v>
      </c>
      <c r="R86" s="313">
        <f ca="1">IF($E$2&gt;0,Q86/$E$2,0)</f>
        <v>0</v>
      </c>
      <c r="S86" s="1741">
        <f ca="1">IF(M86&gt;0,K86*O86+L86*P86,0)</f>
        <v>0</v>
      </c>
      <c r="T86" s="313" t="str">
        <f ca="1">input!J452</f>
        <v>N</v>
      </c>
      <c r="V86" s="3115" t="str">
        <f>input!K452</f>
        <v>Packaging</v>
      </c>
      <c r="W86" s="3115">
        <f t="shared" ca="1" si="35"/>
        <v>0</v>
      </c>
      <c r="X86" s="3119">
        <f>VLOOKUP(V86,'Fix Cost'!$K$177:$M$179,2,0)</f>
        <v>58449.923860467366</v>
      </c>
      <c r="Y86" s="3119">
        <f>VLOOKUP(V86,'Fix Cost'!$K$177:$M$179,3,0)</f>
        <v>267411.04680782068</v>
      </c>
      <c r="Z86" s="3119">
        <f t="shared" ca="1" si="36"/>
        <v>0</v>
      </c>
      <c r="AA86" s="3115">
        <f t="shared" ca="1" si="37"/>
        <v>0</v>
      </c>
      <c r="AB86" s="3115">
        <f t="shared" ca="1" si="38"/>
        <v>0</v>
      </c>
      <c r="AK86" s="313"/>
      <c r="AL86" s="313"/>
      <c r="AM86" s="313"/>
      <c r="AO86" s="385"/>
      <c r="AP86" s="385"/>
      <c r="AQ86" s="385"/>
      <c r="AR86" s="1048"/>
      <c r="AS86" s="385"/>
      <c r="AT86" s="879">
        <f t="shared" ca="1" si="33"/>
        <v>0</v>
      </c>
      <c r="AU86" s="879">
        <f ca="1">COUNTIFS(AT$7:$AT86,1)</f>
        <v>3</v>
      </c>
    </row>
    <row r="87" spans="1:47" ht="12.75" hidden="1" outlineLevel="1">
      <c r="A87" s="1269"/>
      <c r="B87" s="1738" t="s">
        <v>140</v>
      </c>
      <c r="C87" s="313" t="str">
        <f>input!C453</f>
        <v>Metalize lamination</v>
      </c>
      <c r="E87" s="363"/>
      <c r="F87" s="363" t="str">
        <f ca="1">input!F453</f>
        <v>N</v>
      </c>
      <c r="G87" s="363"/>
      <c r="H87" s="313">
        <f ca="1">SUMIFS(Paper!$AC$7:$AC$30,Paper!$A$7:$A$30,'Production cost'!F87)</f>
        <v>0</v>
      </c>
      <c r="I87" s="313">
        <f ca="1">IF(input!$G453&gt;0,input!$G453,3000)</f>
        <v>3000</v>
      </c>
      <c r="J87" s="313" t="s">
        <v>5</v>
      </c>
      <c r="K87" s="360">
        <v>0</v>
      </c>
      <c r="L87" s="313">
        <f ca="1">IF(input!$I453&gt;0,input!$I453,3)</f>
        <v>3</v>
      </c>
      <c r="M87" s="391">
        <f ca="1">IF(H87&gt;0,SUMIF(Data!$L$1155:$L$1190,'Production cost'!$C87,Data!$Q$1155:$Q$1190)*SUMIF(Paper!$A$7:$A$29,'Production cost'!$F87,Paper!$J$7:$J$29),0)</f>
        <v>0</v>
      </c>
      <c r="N87" s="391">
        <f ca="1">IF(H87&gt;0,ROUNDUP(((H87/I87)/$M$5+M87),1),0)</f>
        <v>0</v>
      </c>
      <c r="P87" s="313">
        <f>SUMIF(Data!$L$1155:$L$1190,'Production cost'!$C87,Data!$N$1155:$N$1190)</f>
        <v>78551.859745354872</v>
      </c>
      <c r="Q87" s="313">
        <f t="shared" ca="1" si="34"/>
        <v>0</v>
      </c>
      <c r="R87" s="313">
        <f ca="1">IF($E$2&gt;0,Q87/$E$2,0)</f>
        <v>0</v>
      </c>
      <c r="S87" s="1741">
        <f ca="1">IF(M87&gt;0,K87*O87+L87*P87,0)</f>
        <v>0</v>
      </c>
      <c r="T87" s="313" t="str">
        <f ca="1">input!J453</f>
        <v>N</v>
      </c>
      <c r="V87" s="3115" t="str">
        <f>input!K453</f>
        <v>Packaging</v>
      </c>
      <c r="W87" s="3115">
        <f t="shared" ca="1" si="35"/>
        <v>0</v>
      </c>
      <c r="X87" s="3119">
        <f>VLOOKUP(V87,'Fix Cost'!$K$177:$M$179,2,0)</f>
        <v>58449.923860467366</v>
      </c>
      <c r="Y87" s="3119">
        <f>VLOOKUP(V87,'Fix Cost'!$K$177:$M$179,3,0)</f>
        <v>267411.04680782068</v>
      </c>
      <c r="Z87" s="3119">
        <f t="shared" ca="1" si="36"/>
        <v>0</v>
      </c>
      <c r="AA87" s="3115">
        <f t="shared" ca="1" si="37"/>
        <v>0</v>
      </c>
      <c r="AB87" s="3115">
        <f t="shared" ca="1" si="38"/>
        <v>0</v>
      </c>
      <c r="AK87" s="313"/>
      <c r="AL87" s="313"/>
      <c r="AM87" s="313"/>
      <c r="AO87" s="385"/>
      <c r="AP87" s="385"/>
      <c r="AQ87" s="385"/>
      <c r="AR87" s="1048"/>
      <c r="AS87" s="385"/>
      <c r="AT87" s="879">
        <f t="shared" ca="1" si="33"/>
        <v>0</v>
      </c>
      <c r="AU87" s="879">
        <f ca="1">COUNTIFS(AT$7:$AT87,1)</f>
        <v>3</v>
      </c>
    </row>
    <row r="88" spans="1:47" ht="12.75" hidden="1" outlineLevel="1">
      <c r="A88" s="1269"/>
      <c r="B88" s="1738" t="s">
        <v>140</v>
      </c>
      <c r="C88" s="313" t="str">
        <f>input!C454</f>
        <v>Metalize lamination</v>
      </c>
      <c r="E88" s="363"/>
      <c r="F88" s="363" t="str">
        <f ca="1">input!F454</f>
        <v>N</v>
      </c>
      <c r="G88" s="363"/>
      <c r="H88" s="313">
        <f ca="1">SUMIFS(Paper!$AC$7:$AC$30,Paper!$A$7:$A$30,'Production cost'!F88)</f>
        <v>0</v>
      </c>
      <c r="I88" s="313">
        <f ca="1">IF(input!$G454&gt;0,input!$G454,3000)</f>
        <v>3000</v>
      </c>
      <c r="J88" s="313" t="s">
        <v>5</v>
      </c>
      <c r="K88" s="360">
        <v>0</v>
      </c>
      <c r="L88" s="313">
        <f ca="1">IF(input!$I454&gt;0,input!$I454,3)</f>
        <v>3</v>
      </c>
      <c r="M88" s="391">
        <f ca="1">IF(H88&gt;0,SUMIF(Data!$L$1155:$L$1190,'Production cost'!$C88,Data!$Q$1155:$Q$1190)*SUMIF(Paper!$A$7:$A$29,'Production cost'!$F88,Paper!$J$7:$J$29),0)</f>
        <v>0</v>
      </c>
      <c r="N88" s="391">
        <f t="shared" ref="N88:N92" ca="1" si="42">IF(H88&gt;0,ROUNDUP(((H88/I88)/$M$5+M88),1),0)</f>
        <v>0</v>
      </c>
      <c r="P88" s="313">
        <f>SUMIF(Data!$L$1155:$L$1190,'Production cost'!$C88,Data!$N$1155:$N$1190)</f>
        <v>78551.859745354872</v>
      </c>
      <c r="Q88" s="313">
        <f t="shared" ca="1" si="34"/>
        <v>0</v>
      </c>
      <c r="R88" s="313">
        <f t="shared" ref="R88:R92" ca="1" si="43">IF($E$2&gt;0,Q88/$E$2,0)</f>
        <v>0</v>
      </c>
      <c r="S88" s="1741">
        <f t="shared" ref="S88:S92" ca="1" si="44">IF(M88&gt;0,K88*O88+L88*P88,0)</f>
        <v>0</v>
      </c>
      <c r="T88" s="313" t="str">
        <f ca="1">input!J454</f>
        <v>N</v>
      </c>
      <c r="V88" s="3115" t="str">
        <f>input!K454</f>
        <v>Packaging</v>
      </c>
      <c r="W88" s="3115">
        <f t="shared" ref="W88:W92" ca="1" si="45">N88*(L88+K88)</f>
        <v>0</v>
      </c>
      <c r="X88" s="3119">
        <f>VLOOKUP(V88,'Fix Cost'!$K$177:$M$179,2,0)</f>
        <v>58449.923860467366</v>
      </c>
      <c r="Y88" s="3119">
        <f>VLOOKUP(V88,'Fix Cost'!$K$177:$M$179,3,0)</f>
        <v>267411.04680782068</v>
      </c>
      <c r="Z88" s="3119">
        <f t="shared" ref="Z88:Z92" ca="1" si="46">IFERROR($X88*W88,0)</f>
        <v>0</v>
      </c>
      <c r="AA88" s="3115">
        <f t="shared" ref="AA88:AA92" ca="1" si="47">IFERROR(Y88*N88,0)</f>
        <v>0</v>
      </c>
      <c r="AB88" s="3115">
        <f t="shared" ref="AB88:AB92" ca="1" si="48">Z88+AA88</f>
        <v>0</v>
      </c>
      <c r="AK88" s="313"/>
      <c r="AL88" s="313"/>
      <c r="AM88" s="313"/>
      <c r="AO88" s="385"/>
      <c r="AP88" s="385"/>
      <c r="AQ88" s="385"/>
      <c r="AR88" s="1048"/>
      <c r="AS88" s="385"/>
      <c r="AT88" s="879">
        <f t="shared" ca="1" si="33"/>
        <v>0</v>
      </c>
      <c r="AU88" s="879">
        <f ca="1">COUNTIFS(AT$7:$AT88,1)</f>
        <v>3</v>
      </c>
    </row>
    <row r="89" spans="1:47" ht="12.75" hidden="1" outlineLevel="1">
      <c r="A89" s="1269"/>
      <c r="B89" s="1738" t="s">
        <v>140</v>
      </c>
      <c r="C89" s="313" t="str">
        <f>input!C455</f>
        <v>Metalize lamination</v>
      </c>
      <c r="E89" s="363"/>
      <c r="F89" s="363" t="str">
        <f ca="1">input!F455</f>
        <v>N</v>
      </c>
      <c r="G89" s="363"/>
      <c r="H89" s="313">
        <f ca="1">SUMIFS(Paper!$AC$7:$AC$30,Paper!$A$7:$A$30,'Production cost'!F89)</f>
        <v>0</v>
      </c>
      <c r="I89" s="313">
        <f ca="1">IF(input!$G455&gt;0,input!$G455,3000)</f>
        <v>3000</v>
      </c>
      <c r="J89" s="313" t="s">
        <v>5</v>
      </c>
      <c r="K89" s="360">
        <v>0</v>
      </c>
      <c r="L89" s="313">
        <f ca="1">IF(input!$I455&gt;0,input!$I455,3)</f>
        <v>3</v>
      </c>
      <c r="M89" s="391">
        <f ca="1">IF(H89&gt;0,SUMIF(Data!$L$1155:$L$1190,'Production cost'!$C89,Data!$Q$1155:$Q$1190)*SUMIF(Paper!$A$7:$A$29,'Production cost'!$F89,Paper!$J$7:$J$29),0)</f>
        <v>0</v>
      </c>
      <c r="N89" s="391">
        <f t="shared" ca="1" si="42"/>
        <v>0</v>
      </c>
      <c r="P89" s="313">
        <f>SUMIF(Data!$L$1155:$L$1190,'Production cost'!$C89,Data!$N$1155:$N$1190)</f>
        <v>78551.859745354872</v>
      </c>
      <c r="Q89" s="313">
        <f t="shared" ca="1" si="34"/>
        <v>0</v>
      </c>
      <c r="R89" s="313">
        <f t="shared" ca="1" si="43"/>
        <v>0</v>
      </c>
      <c r="S89" s="1741">
        <f t="shared" ca="1" si="44"/>
        <v>0</v>
      </c>
      <c r="T89" s="313" t="str">
        <f ca="1">input!J455</f>
        <v>N</v>
      </c>
      <c r="V89" s="3115" t="str">
        <f>input!K455</f>
        <v>Packaging</v>
      </c>
      <c r="W89" s="3115">
        <f t="shared" ca="1" si="45"/>
        <v>0</v>
      </c>
      <c r="X89" s="3119">
        <f>VLOOKUP(V89,'Fix Cost'!$K$177:$M$179,2,0)</f>
        <v>58449.923860467366</v>
      </c>
      <c r="Y89" s="3119">
        <f>VLOOKUP(V89,'Fix Cost'!$K$177:$M$179,3,0)</f>
        <v>267411.04680782068</v>
      </c>
      <c r="Z89" s="3119">
        <f t="shared" ca="1" si="46"/>
        <v>0</v>
      </c>
      <c r="AA89" s="3115">
        <f t="shared" ca="1" si="47"/>
        <v>0</v>
      </c>
      <c r="AB89" s="3115">
        <f t="shared" ca="1" si="48"/>
        <v>0</v>
      </c>
      <c r="AK89" s="313"/>
      <c r="AL89" s="313"/>
      <c r="AM89" s="313"/>
      <c r="AO89" s="385"/>
      <c r="AP89" s="385"/>
      <c r="AQ89" s="385"/>
      <c r="AR89" s="1048"/>
      <c r="AS89" s="385"/>
      <c r="AT89" s="879">
        <f t="shared" ca="1" si="33"/>
        <v>0</v>
      </c>
      <c r="AU89" s="879">
        <f ca="1">COUNTIFS(AT$7:$AT89,1)</f>
        <v>3</v>
      </c>
    </row>
    <row r="90" spans="1:47" ht="12.75" hidden="1" outlineLevel="1">
      <c r="A90" s="1269"/>
      <c r="B90" s="1738" t="s">
        <v>140</v>
      </c>
      <c r="C90" s="313" t="str">
        <f>input!C456</f>
        <v>Metalize lamination</v>
      </c>
      <c r="E90" s="363"/>
      <c r="F90" s="363" t="str">
        <f ca="1">input!F456</f>
        <v>N</v>
      </c>
      <c r="G90" s="363"/>
      <c r="H90" s="313">
        <f ca="1">SUMIFS(Paper!$AC$7:$AC$30,Paper!$A$7:$A$30,'Production cost'!F90)</f>
        <v>0</v>
      </c>
      <c r="I90" s="313">
        <f ca="1">IF(input!$G456&gt;0,input!$G456,3000)</f>
        <v>3000</v>
      </c>
      <c r="J90" s="313" t="s">
        <v>5</v>
      </c>
      <c r="K90" s="360">
        <v>0</v>
      </c>
      <c r="L90" s="313">
        <f ca="1">IF(input!$I456&gt;0,input!$I456,3)</f>
        <v>3</v>
      </c>
      <c r="M90" s="391">
        <f ca="1">IF(H90&gt;0,SUMIF(Data!$L$1155:$L$1190,'Production cost'!$C90,Data!$Q$1155:$Q$1190)*SUMIF(Paper!$A$7:$A$29,'Production cost'!$F90,Paper!$J$7:$J$29),0)</f>
        <v>0</v>
      </c>
      <c r="N90" s="391">
        <f t="shared" ca="1" si="42"/>
        <v>0</v>
      </c>
      <c r="P90" s="313">
        <f>SUMIF(Data!$L$1155:$L$1190,'Production cost'!$C90,Data!$N$1155:$N$1190)</f>
        <v>78551.859745354872</v>
      </c>
      <c r="Q90" s="313">
        <f t="shared" ca="1" si="34"/>
        <v>0</v>
      </c>
      <c r="R90" s="313">
        <f t="shared" ca="1" si="43"/>
        <v>0</v>
      </c>
      <c r="S90" s="1741">
        <f t="shared" ca="1" si="44"/>
        <v>0</v>
      </c>
      <c r="T90" s="313" t="str">
        <f ca="1">input!J456</f>
        <v>N</v>
      </c>
      <c r="V90" s="3115" t="str">
        <f>input!K456</f>
        <v>Packaging</v>
      </c>
      <c r="W90" s="3115">
        <f t="shared" ca="1" si="45"/>
        <v>0</v>
      </c>
      <c r="X90" s="3119">
        <f>VLOOKUP(V90,'Fix Cost'!$K$177:$M$179,2,0)</f>
        <v>58449.923860467366</v>
      </c>
      <c r="Y90" s="3119">
        <f>VLOOKUP(V90,'Fix Cost'!$K$177:$M$179,3,0)</f>
        <v>267411.04680782068</v>
      </c>
      <c r="Z90" s="3119">
        <f t="shared" ca="1" si="46"/>
        <v>0</v>
      </c>
      <c r="AA90" s="3115">
        <f t="shared" ca="1" si="47"/>
        <v>0</v>
      </c>
      <c r="AB90" s="3115">
        <f t="shared" ca="1" si="48"/>
        <v>0</v>
      </c>
      <c r="AK90" s="313"/>
      <c r="AL90" s="313"/>
      <c r="AM90" s="313"/>
      <c r="AO90" s="385"/>
      <c r="AP90" s="385"/>
      <c r="AQ90" s="385"/>
      <c r="AR90" s="1048"/>
      <c r="AS90" s="385"/>
      <c r="AT90" s="879">
        <f t="shared" ca="1" si="33"/>
        <v>0</v>
      </c>
      <c r="AU90" s="879">
        <f ca="1">COUNTIFS(AT$7:$AT90,1)</f>
        <v>3</v>
      </c>
    </row>
    <row r="91" spans="1:47" ht="12.75" hidden="1" outlineLevel="1">
      <c r="A91" s="1269"/>
      <c r="B91" s="1738" t="s">
        <v>140</v>
      </c>
      <c r="C91" s="313" t="str">
        <f>input!C457</f>
        <v>Metalize lamination</v>
      </c>
      <c r="E91" s="363"/>
      <c r="F91" s="363" t="str">
        <f ca="1">input!F457</f>
        <v>N</v>
      </c>
      <c r="G91" s="363"/>
      <c r="H91" s="313">
        <f ca="1">SUMIFS(Paper!$AC$7:$AC$30,Paper!$A$7:$A$30,'Production cost'!F91)</f>
        <v>0</v>
      </c>
      <c r="I91" s="313">
        <f ca="1">IF(input!$G457&gt;0,input!$G457,3000)</f>
        <v>3000</v>
      </c>
      <c r="J91" s="313" t="s">
        <v>5</v>
      </c>
      <c r="K91" s="360">
        <v>0</v>
      </c>
      <c r="L91" s="313">
        <f ca="1">IF(input!$I457&gt;0,input!$I457,3)</f>
        <v>3</v>
      </c>
      <c r="M91" s="391">
        <f ca="1">IF(H91&gt;0,SUMIF(Data!$L$1155:$L$1190,'Production cost'!$C91,Data!$Q$1155:$Q$1190)*SUMIF(Paper!$A$7:$A$29,'Production cost'!$F91,Paper!$J$7:$J$29),0)</f>
        <v>0</v>
      </c>
      <c r="N91" s="391">
        <f t="shared" ca="1" si="42"/>
        <v>0</v>
      </c>
      <c r="P91" s="313">
        <f>SUMIF(Data!$L$1155:$L$1190,'Production cost'!$C91,Data!$N$1155:$N$1190)</f>
        <v>78551.859745354872</v>
      </c>
      <c r="Q91" s="313">
        <f t="shared" ca="1" si="34"/>
        <v>0</v>
      </c>
      <c r="R91" s="313">
        <f t="shared" ca="1" si="43"/>
        <v>0</v>
      </c>
      <c r="S91" s="1741">
        <f t="shared" ca="1" si="44"/>
        <v>0</v>
      </c>
      <c r="T91" s="313" t="str">
        <f ca="1">input!J457</f>
        <v>N</v>
      </c>
      <c r="V91" s="3115" t="str">
        <f>input!K457</f>
        <v>Packaging</v>
      </c>
      <c r="W91" s="3115">
        <f t="shared" ca="1" si="45"/>
        <v>0</v>
      </c>
      <c r="X91" s="3119">
        <f>VLOOKUP(V91,'Fix Cost'!$K$177:$M$179,2,0)</f>
        <v>58449.923860467366</v>
      </c>
      <c r="Y91" s="3119">
        <f>VLOOKUP(V91,'Fix Cost'!$K$177:$M$179,3,0)</f>
        <v>267411.04680782068</v>
      </c>
      <c r="Z91" s="3119">
        <f t="shared" ca="1" si="46"/>
        <v>0</v>
      </c>
      <c r="AA91" s="3115">
        <f t="shared" ca="1" si="47"/>
        <v>0</v>
      </c>
      <c r="AB91" s="3115">
        <f t="shared" ca="1" si="48"/>
        <v>0</v>
      </c>
      <c r="AK91" s="313"/>
      <c r="AL91" s="313"/>
      <c r="AM91" s="313"/>
      <c r="AO91" s="385"/>
      <c r="AP91" s="385"/>
      <c r="AQ91" s="385"/>
      <c r="AR91" s="1048"/>
      <c r="AS91" s="385"/>
      <c r="AT91" s="879">
        <f t="shared" ca="1" si="33"/>
        <v>0</v>
      </c>
      <c r="AU91" s="879">
        <f ca="1">COUNTIFS(AT$7:$AT91,1)</f>
        <v>3</v>
      </c>
    </row>
    <row r="92" spans="1:47" ht="12.75" hidden="1" outlineLevel="1">
      <c r="A92" s="1269"/>
      <c r="B92" s="1738" t="s">
        <v>140</v>
      </c>
      <c r="C92" s="313" t="str">
        <f>input!C458</f>
        <v>Metalize lamination</v>
      </c>
      <c r="E92" s="363"/>
      <c r="F92" s="363" t="str">
        <f ca="1">input!F458</f>
        <v>N</v>
      </c>
      <c r="G92" s="363"/>
      <c r="H92" s="313">
        <f ca="1">SUMIFS(Paper!$AC$7:$AC$30,Paper!$A$7:$A$30,'Production cost'!F92)</f>
        <v>0</v>
      </c>
      <c r="I92" s="313">
        <f ca="1">IF(input!$G458&gt;0,input!$G458,3000)</f>
        <v>3000</v>
      </c>
      <c r="J92" s="313" t="s">
        <v>5</v>
      </c>
      <c r="K92" s="360">
        <v>0</v>
      </c>
      <c r="L92" s="313">
        <f ca="1">IF(input!$I458&gt;0,input!$I458,3)</f>
        <v>3</v>
      </c>
      <c r="M92" s="391">
        <f ca="1">IF(H92&gt;0,SUMIF(Data!$L$1155:$L$1190,'Production cost'!$C92,Data!$Q$1155:$Q$1190)*SUMIF(Paper!$A$7:$A$29,'Production cost'!$F92,Paper!$J$7:$J$29),0)</f>
        <v>0</v>
      </c>
      <c r="N92" s="391">
        <f t="shared" ca="1" si="42"/>
        <v>0</v>
      </c>
      <c r="P92" s="313">
        <f>SUMIF(Data!$L$1155:$L$1190,'Production cost'!$C92,Data!$N$1155:$N$1190)</f>
        <v>78551.859745354872</v>
      </c>
      <c r="Q92" s="313">
        <f t="shared" ca="1" si="34"/>
        <v>0</v>
      </c>
      <c r="R92" s="313">
        <f t="shared" ca="1" si="43"/>
        <v>0</v>
      </c>
      <c r="S92" s="1741">
        <f t="shared" ca="1" si="44"/>
        <v>0</v>
      </c>
      <c r="T92" s="313" t="str">
        <f ca="1">input!J458</f>
        <v>N</v>
      </c>
      <c r="V92" s="3115" t="str">
        <f>input!K458</f>
        <v>Packaging</v>
      </c>
      <c r="W92" s="3115">
        <f t="shared" ca="1" si="45"/>
        <v>0</v>
      </c>
      <c r="X92" s="3119">
        <f>VLOOKUP(V92,'Fix Cost'!$K$177:$M$179,2,0)</f>
        <v>58449.923860467366</v>
      </c>
      <c r="Y92" s="3119">
        <f>VLOOKUP(V92,'Fix Cost'!$K$177:$M$179,3,0)</f>
        <v>267411.04680782068</v>
      </c>
      <c r="Z92" s="3119">
        <f t="shared" ca="1" si="46"/>
        <v>0</v>
      </c>
      <c r="AA92" s="3115">
        <f t="shared" ca="1" si="47"/>
        <v>0</v>
      </c>
      <c r="AB92" s="3115">
        <f t="shared" ca="1" si="48"/>
        <v>0</v>
      </c>
      <c r="AK92" s="313"/>
      <c r="AL92" s="313"/>
      <c r="AM92" s="313"/>
      <c r="AO92" s="385"/>
      <c r="AP92" s="385"/>
      <c r="AQ92" s="385"/>
      <c r="AR92" s="1048"/>
      <c r="AS92" s="385"/>
      <c r="AT92" s="879">
        <f t="shared" ca="1" si="33"/>
        <v>0</v>
      </c>
      <c r="AU92" s="879">
        <f ca="1">COUNTIFS(AT$7:$AT92,1)</f>
        <v>3</v>
      </c>
    </row>
    <row r="93" spans="1:47" ht="12.75" hidden="1" outlineLevel="1">
      <c r="A93" s="1269"/>
      <c r="B93" s="1738" t="s">
        <v>140</v>
      </c>
      <c r="C93" s="313" t="str">
        <f>input!C459</f>
        <v>OPP lamination</v>
      </c>
      <c r="E93" s="363"/>
      <c r="F93" s="363" t="str">
        <f ca="1">input!F459</f>
        <v>N</v>
      </c>
      <c r="G93" s="363"/>
      <c r="H93" s="313">
        <f ca="1">SUMIFS(Paper!$AC$7:$AC$30,Paper!$A$7:$A$30,'Production cost'!F93)</f>
        <v>0</v>
      </c>
      <c r="I93" s="313">
        <f ca="1">IF(input!$G459&gt;0,input!$G459,3000)</f>
        <v>3000</v>
      </c>
      <c r="J93" s="313" t="s">
        <v>5</v>
      </c>
      <c r="K93" s="360">
        <v>0</v>
      </c>
      <c r="L93" s="313">
        <f ca="1">IF(input!$I459&gt;0,input!$I459,3)</f>
        <v>3</v>
      </c>
      <c r="M93" s="391">
        <f ca="1">IF(H93&gt;0,SUMIF(Data!$L$1155:$L$1190,'Production cost'!$C93,Data!$Q$1155:$Q$1190)*SUMIF(Paper!$A$7:$A$29,'Production cost'!$F93,Paper!$J$7:$J$29),0)</f>
        <v>0</v>
      </c>
      <c r="N93" s="391">
        <f t="shared" ca="1" si="39"/>
        <v>0</v>
      </c>
      <c r="P93" s="313">
        <f>SUMIF(Data!$L$1155:$L$1190,'Production cost'!$C93,Data!$N$1155:$N$1190)</f>
        <v>78551.859745354872</v>
      </c>
      <c r="Q93" s="313">
        <f t="shared" ca="1" si="34"/>
        <v>0</v>
      </c>
      <c r="R93" s="313">
        <f t="shared" ca="1" si="40"/>
        <v>0</v>
      </c>
      <c r="S93" s="1741">
        <f t="shared" ca="1" si="41"/>
        <v>0</v>
      </c>
      <c r="T93" s="313" t="str">
        <f ca="1">input!J459</f>
        <v>N</v>
      </c>
      <c r="V93" s="3115" t="str">
        <f>input!K459</f>
        <v>Packaging</v>
      </c>
      <c r="W93" s="3115">
        <f t="shared" ca="1" si="35"/>
        <v>0</v>
      </c>
      <c r="X93" s="3119">
        <f>VLOOKUP(V93,'Fix Cost'!$K$177:$M$179,2,0)</f>
        <v>58449.923860467366</v>
      </c>
      <c r="Y93" s="3119">
        <f>VLOOKUP(V93,'Fix Cost'!$K$177:$M$179,3,0)</f>
        <v>267411.04680782068</v>
      </c>
      <c r="Z93" s="3119">
        <f t="shared" ca="1" si="36"/>
        <v>0</v>
      </c>
      <c r="AA93" s="3115">
        <f t="shared" ca="1" si="37"/>
        <v>0</v>
      </c>
      <c r="AB93" s="3115">
        <f t="shared" ca="1" si="38"/>
        <v>0</v>
      </c>
      <c r="AK93" s="313"/>
      <c r="AL93" s="313"/>
      <c r="AM93" s="313"/>
      <c r="AO93" s="385"/>
      <c r="AP93" s="385"/>
      <c r="AQ93" s="385"/>
      <c r="AR93" s="1048"/>
      <c r="AS93" s="385"/>
      <c r="AT93" s="879">
        <f t="shared" ca="1" si="33"/>
        <v>0</v>
      </c>
      <c r="AU93" s="879">
        <f ca="1">COUNTIFS(AT$7:$AT93,1)</f>
        <v>3</v>
      </c>
    </row>
    <row r="94" spans="1:47" ht="12.75" hidden="1" outlineLevel="1">
      <c r="A94" s="1269"/>
      <c r="B94" s="1738" t="s">
        <v>140</v>
      </c>
      <c r="C94" s="313" t="str">
        <f>input!C460</f>
        <v>OPP lamination</v>
      </c>
      <c r="E94" s="363"/>
      <c r="F94" s="363" t="str">
        <f ca="1">input!F460</f>
        <v>N</v>
      </c>
      <c r="G94" s="363"/>
      <c r="H94" s="313">
        <f ca="1">SUMIFS(Paper!$AC$7:$AC$30,Paper!$A$7:$A$30,'Production cost'!F94)</f>
        <v>0</v>
      </c>
      <c r="I94" s="313">
        <f ca="1">IF(input!$G460&gt;0,input!$G460,3000)</f>
        <v>3000</v>
      </c>
      <c r="J94" s="313" t="s">
        <v>5</v>
      </c>
      <c r="K94" s="360">
        <v>0</v>
      </c>
      <c r="L94" s="313">
        <f ca="1">IF(input!$I460&gt;0,input!$I460,3)</f>
        <v>3</v>
      </c>
      <c r="M94" s="391">
        <f ca="1">IF(H94&gt;0,SUMIF(Data!$L$1155:$L$1190,'Production cost'!$C94,Data!$Q$1155:$Q$1190)*SUMIF(Paper!$A$7:$A$29,'Production cost'!$F94,Paper!$J$7:$J$29),0)</f>
        <v>0</v>
      </c>
      <c r="N94" s="391">
        <f t="shared" ca="1" si="39"/>
        <v>0</v>
      </c>
      <c r="P94" s="313">
        <f>SUMIF(Data!$L$1155:$L$1190,'Production cost'!$C94,Data!$N$1155:$N$1190)</f>
        <v>78551.859745354872</v>
      </c>
      <c r="Q94" s="313">
        <f t="shared" ca="1" si="34"/>
        <v>0</v>
      </c>
      <c r="R94" s="313">
        <f t="shared" ca="1" si="40"/>
        <v>0</v>
      </c>
      <c r="S94" s="1741">
        <f t="shared" ca="1" si="41"/>
        <v>0</v>
      </c>
      <c r="T94" s="313" t="str">
        <f ca="1">input!J460</f>
        <v>N</v>
      </c>
      <c r="V94" s="3115" t="str">
        <f>input!K460</f>
        <v>Packaging</v>
      </c>
      <c r="W94" s="3115">
        <f t="shared" ca="1" si="35"/>
        <v>0</v>
      </c>
      <c r="X94" s="3119">
        <f>VLOOKUP(V94,'Fix Cost'!$K$177:$M$179,2,0)</f>
        <v>58449.923860467366</v>
      </c>
      <c r="Y94" s="3119">
        <f>VLOOKUP(V94,'Fix Cost'!$K$177:$M$179,3,0)</f>
        <v>267411.04680782068</v>
      </c>
      <c r="Z94" s="3119">
        <f t="shared" ca="1" si="36"/>
        <v>0</v>
      </c>
      <c r="AA94" s="3115">
        <f t="shared" ca="1" si="37"/>
        <v>0</v>
      </c>
      <c r="AB94" s="3115">
        <f t="shared" ca="1" si="38"/>
        <v>0</v>
      </c>
      <c r="AK94" s="313"/>
      <c r="AL94" s="313"/>
      <c r="AM94" s="313"/>
      <c r="AO94" s="385"/>
      <c r="AP94" s="385"/>
      <c r="AQ94" s="385"/>
      <c r="AR94" s="1048"/>
      <c r="AS94" s="385"/>
      <c r="AT94" s="879">
        <f t="shared" ca="1" si="33"/>
        <v>0</v>
      </c>
      <c r="AU94" s="879">
        <f ca="1">COUNTIFS(AT$7:$AT94,1)</f>
        <v>3</v>
      </c>
    </row>
    <row r="95" spans="1:47" ht="12.75" hidden="1" outlineLevel="1">
      <c r="A95" s="1269"/>
      <c r="B95" s="1738" t="s">
        <v>140</v>
      </c>
      <c r="C95" s="313" t="str">
        <f>input!C461</f>
        <v>OPP lamination</v>
      </c>
      <c r="E95" s="363"/>
      <c r="F95" s="363" t="str">
        <f ca="1">input!F461</f>
        <v>N</v>
      </c>
      <c r="G95" s="363"/>
      <c r="H95" s="313">
        <f ca="1">SUMIFS(Paper!$AC$7:$AC$30,Paper!$A$7:$A$30,'Production cost'!F95)</f>
        <v>0</v>
      </c>
      <c r="I95" s="313">
        <f ca="1">IF(input!$G461&gt;0,input!$G461,3000)</f>
        <v>3000</v>
      </c>
      <c r="J95" s="313" t="s">
        <v>5</v>
      </c>
      <c r="K95" s="360">
        <v>0</v>
      </c>
      <c r="L95" s="313">
        <f ca="1">IF(input!$I461&gt;0,input!$I461,3)</f>
        <v>3</v>
      </c>
      <c r="M95" s="391">
        <f ca="1">IF(H95&gt;0,SUMIF(Data!$L$1155:$L$1190,'Production cost'!$C95,Data!$Q$1155:$Q$1190)*SUMIF(Paper!$A$7:$A$29,'Production cost'!$F95,Paper!$J$7:$J$29),0)</f>
        <v>0</v>
      </c>
      <c r="N95" s="391">
        <f t="shared" ca="1" si="39"/>
        <v>0</v>
      </c>
      <c r="P95" s="313">
        <f>SUMIF(Data!$L$1155:$L$1190,'Production cost'!$C95,Data!$N$1155:$N$1190)</f>
        <v>78551.859745354872</v>
      </c>
      <c r="Q95" s="313">
        <f t="shared" ca="1" si="34"/>
        <v>0</v>
      </c>
      <c r="R95" s="313">
        <f t="shared" ca="1" si="40"/>
        <v>0</v>
      </c>
      <c r="S95" s="1741">
        <f t="shared" ca="1" si="41"/>
        <v>0</v>
      </c>
      <c r="T95" s="313" t="str">
        <f ca="1">input!J461</f>
        <v>N</v>
      </c>
      <c r="V95" s="3115" t="str">
        <f>input!K461</f>
        <v>Packaging</v>
      </c>
      <c r="W95" s="3115">
        <f t="shared" ca="1" si="35"/>
        <v>0</v>
      </c>
      <c r="X95" s="3119">
        <f>VLOOKUP(V95,'Fix Cost'!$K$177:$M$179,2,0)</f>
        <v>58449.923860467366</v>
      </c>
      <c r="Y95" s="3119">
        <f>VLOOKUP(V95,'Fix Cost'!$K$177:$M$179,3,0)</f>
        <v>267411.04680782068</v>
      </c>
      <c r="Z95" s="3119">
        <f t="shared" ca="1" si="36"/>
        <v>0</v>
      </c>
      <c r="AA95" s="3115">
        <f t="shared" ca="1" si="37"/>
        <v>0</v>
      </c>
      <c r="AB95" s="3115">
        <f t="shared" ca="1" si="38"/>
        <v>0</v>
      </c>
      <c r="AK95" s="313"/>
      <c r="AL95" s="313"/>
      <c r="AM95" s="313"/>
      <c r="AO95" s="385"/>
      <c r="AP95" s="385"/>
      <c r="AQ95" s="385"/>
      <c r="AR95" s="1048"/>
      <c r="AS95" s="385"/>
      <c r="AT95" s="879">
        <f t="shared" ca="1" si="33"/>
        <v>0</v>
      </c>
      <c r="AU95" s="879">
        <f ca="1">COUNTIFS(AT$7:$AT95,1)</f>
        <v>3</v>
      </c>
    </row>
    <row r="96" spans="1:47" ht="12.75" hidden="1" outlineLevel="1">
      <c r="A96" s="1269"/>
      <c r="B96" s="1738" t="s">
        <v>140</v>
      </c>
      <c r="C96" s="313" t="str">
        <f>input!C462</f>
        <v>OPP lamination</v>
      </c>
      <c r="E96" s="363"/>
      <c r="F96" s="363" t="str">
        <f ca="1">input!F462</f>
        <v>N</v>
      </c>
      <c r="G96" s="363"/>
      <c r="H96" s="313">
        <f ca="1">SUMIFS(Paper!$AC$7:$AC$30,Paper!$A$7:$A$30,'Production cost'!F96)</f>
        <v>0</v>
      </c>
      <c r="I96" s="313">
        <f ca="1">IF(input!$G462&gt;0,input!$G462,3000)</f>
        <v>3000</v>
      </c>
      <c r="J96" s="313" t="s">
        <v>5</v>
      </c>
      <c r="K96" s="360">
        <v>0</v>
      </c>
      <c r="L96" s="313">
        <f ca="1">IF(input!$I462&gt;0,input!$I462,3)</f>
        <v>3</v>
      </c>
      <c r="M96" s="391">
        <f ca="1">IF(H96&gt;0,SUMIF(Data!$L$1155:$L$1190,'Production cost'!$C96,Data!$Q$1155:$Q$1190)*SUMIF(Paper!$A$7:$A$29,'Production cost'!$F96,Paper!$J$7:$J$29),0)</f>
        <v>0</v>
      </c>
      <c r="N96" s="391">
        <f t="shared" ca="1" si="39"/>
        <v>0</v>
      </c>
      <c r="P96" s="313">
        <f>SUMIF(Data!$L$1155:$L$1190,'Production cost'!$C96,Data!$N$1155:$N$1190)</f>
        <v>78551.859745354872</v>
      </c>
      <c r="Q96" s="313">
        <f t="shared" ca="1" si="34"/>
        <v>0</v>
      </c>
      <c r="R96" s="313">
        <f t="shared" ca="1" si="40"/>
        <v>0</v>
      </c>
      <c r="S96" s="1741">
        <f t="shared" ca="1" si="41"/>
        <v>0</v>
      </c>
      <c r="T96" s="313" t="str">
        <f ca="1">input!J462</f>
        <v>N</v>
      </c>
      <c r="V96" s="3115" t="str">
        <f>input!K462</f>
        <v>Packaging</v>
      </c>
      <c r="W96" s="3115">
        <f t="shared" ca="1" si="35"/>
        <v>0</v>
      </c>
      <c r="X96" s="3119">
        <f>VLOOKUP(V96,'Fix Cost'!$K$177:$M$179,2,0)</f>
        <v>58449.923860467366</v>
      </c>
      <c r="Y96" s="3119">
        <f>VLOOKUP(V96,'Fix Cost'!$K$177:$M$179,3,0)</f>
        <v>267411.04680782068</v>
      </c>
      <c r="Z96" s="3119">
        <f t="shared" ca="1" si="36"/>
        <v>0</v>
      </c>
      <c r="AA96" s="3115">
        <f t="shared" ca="1" si="37"/>
        <v>0</v>
      </c>
      <c r="AB96" s="3115">
        <f t="shared" ca="1" si="38"/>
        <v>0</v>
      </c>
      <c r="AK96" s="313"/>
      <c r="AL96" s="313"/>
      <c r="AM96" s="313"/>
      <c r="AO96" s="385"/>
      <c r="AP96" s="385"/>
      <c r="AQ96" s="385"/>
      <c r="AR96" s="1048"/>
      <c r="AS96" s="385"/>
      <c r="AT96" s="879">
        <f t="shared" ca="1" si="33"/>
        <v>0</v>
      </c>
      <c r="AU96" s="879">
        <f ca="1">COUNTIFS(AT$7:$AT96,1)</f>
        <v>3</v>
      </c>
    </row>
    <row r="97" spans="1:47" ht="12.75" hidden="1" outlineLevel="1">
      <c r="A97" s="1269"/>
      <c r="B97" s="1738" t="s">
        <v>140</v>
      </c>
      <c r="C97" s="313" t="str">
        <f>input!C463</f>
        <v>OPP lamination</v>
      </c>
      <c r="E97" s="363"/>
      <c r="F97" s="363" t="str">
        <f ca="1">input!F463</f>
        <v>N</v>
      </c>
      <c r="G97" s="363"/>
      <c r="H97" s="313">
        <f ca="1">SUMIFS(Paper!$AC$7:$AC$30,Paper!$A$7:$A$30,'Production cost'!F97)</f>
        <v>0</v>
      </c>
      <c r="I97" s="313">
        <f ca="1">IF(input!$G463&gt;0,input!$G463,3000)</f>
        <v>3000</v>
      </c>
      <c r="J97" s="313" t="s">
        <v>5</v>
      </c>
      <c r="K97" s="360">
        <v>0</v>
      </c>
      <c r="L97" s="313">
        <f ca="1">IF(input!$I463&gt;0,input!$I463,3)</f>
        <v>3</v>
      </c>
      <c r="M97" s="391">
        <f ca="1">IF(H97&gt;0,SUMIF(Data!$L$1155:$L$1190,'Production cost'!$C97,Data!$Q$1155:$Q$1190)*SUMIF(Paper!$A$7:$A$29,'Production cost'!$F97,Paper!$J$7:$J$29),0)</f>
        <v>0</v>
      </c>
      <c r="N97" s="391">
        <f t="shared" ca="1" si="39"/>
        <v>0</v>
      </c>
      <c r="P97" s="313">
        <f>SUMIF(Data!$L$1155:$L$1190,'Production cost'!$C97,Data!$N$1155:$N$1190)</f>
        <v>78551.859745354872</v>
      </c>
      <c r="Q97" s="313">
        <f t="shared" ca="1" si="34"/>
        <v>0</v>
      </c>
      <c r="R97" s="313">
        <f t="shared" ca="1" si="40"/>
        <v>0</v>
      </c>
      <c r="S97" s="1741">
        <f t="shared" ca="1" si="41"/>
        <v>0</v>
      </c>
      <c r="T97" s="313" t="str">
        <f ca="1">input!J463</f>
        <v>N</v>
      </c>
      <c r="V97" s="3115" t="str">
        <f>input!K463</f>
        <v>Packaging</v>
      </c>
      <c r="W97" s="3115">
        <f t="shared" ca="1" si="35"/>
        <v>0</v>
      </c>
      <c r="X97" s="3119">
        <f>VLOOKUP(V97,'Fix Cost'!$K$177:$M$179,2,0)</f>
        <v>58449.923860467366</v>
      </c>
      <c r="Y97" s="3119">
        <f>VLOOKUP(V97,'Fix Cost'!$K$177:$M$179,3,0)</f>
        <v>267411.04680782068</v>
      </c>
      <c r="Z97" s="3119">
        <f t="shared" ca="1" si="36"/>
        <v>0</v>
      </c>
      <c r="AA97" s="3115">
        <f t="shared" ca="1" si="37"/>
        <v>0</v>
      </c>
      <c r="AB97" s="3115">
        <f t="shared" ca="1" si="38"/>
        <v>0</v>
      </c>
      <c r="AK97" s="313"/>
      <c r="AL97" s="313"/>
      <c r="AM97" s="313"/>
      <c r="AO97" s="385"/>
      <c r="AP97" s="385"/>
      <c r="AQ97" s="385"/>
      <c r="AR97" s="1048"/>
      <c r="AS97" s="385"/>
      <c r="AT97" s="879">
        <f t="shared" ca="1" si="33"/>
        <v>0</v>
      </c>
      <c r="AU97" s="879">
        <f ca="1">COUNTIFS(AT$7:$AT97,1)</f>
        <v>3</v>
      </c>
    </row>
    <row r="98" spans="1:47" ht="12.75" hidden="1" outlineLevel="1">
      <c r="A98" s="1269"/>
      <c r="B98" s="1738" t="s">
        <v>140</v>
      </c>
      <c r="C98" s="313" t="str">
        <f>input!C464</f>
        <v>OPP lamination</v>
      </c>
      <c r="E98" s="363"/>
      <c r="F98" s="363" t="str">
        <f ca="1">input!F464</f>
        <v>N</v>
      </c>
      <c r="G98" s="363"/>
      <c r="H98" s="313">
        <f ca="1">SUMIFS(Paper!$AC$7:$AC$30,Paper!$A$7:$A$30,'Production cost'!F98)</f>
        <v>0</v>
      </c>
      <c r="I98" s="313">
        <f ca="1">IF(input!$G464&gt;0,input!$G464,3000)</f>
        <v>3000</v>
      </c>
      <c r="J98" s="313" t="s">
        <v>5</v>
      </c>
      <c r="K98" s="360">
        <v>0</v>
      </c>
      <c r="L98" s="313">
        <f ca="1">IF(input!$I464&gt;0,input!$I464,3)</f>
        <v>3</v>
      </c>
      <c r="M98" s="391">
        <f ca="1">IF(H98&gt;0,SUMIF(Data!$L$1155:$L$1190,'Production cost'!$C98,Data!$Q$1155:$Q$1190)*SUMIF(Paper!$A$7:$A$29,'Production cost'!$F98,Paper!$J$7:$J$29),0)</f>
        <v>0</v>
      </c>
      <c r="N98" s="391">
        <f ca="1">IF(H98&gt;0,ROUNDUP(((H98/I98)/$M$5+M98),1),0)</f>
        <v>0</v>
      </c>
      <c r="P98" s="313">
        <f>SUMIF(Data!$L$1155:$L$1190,'Production cost'!$C98,Data!$N$1155:$N$1190)</f>
        <v>78551.859745354872</v>
      </c>
      <c r="Q98" s="313">
        <f t="shared" ca="1" si="34"/>
        <v>0</v>
      </c>
      <c r="R98" s="313">
        <f ca="1">IF($E$2&gt;0,Q98/$E$2,0)</f>
        <v>0</v>
      </c>
      <c r="S98" s="1741">
        <f ca="1">IF(M98&gt;0,K98*O98+L98*P98,0)</f>
        <v>0</v>
      </c>
      <c r="T98" s="313" t="str">
        <f ca="1">input!J464</f>
        <v>N</v>
      </c>
      <c r="V98" s="3115" t="str">
        <f>input!K464</f>
        <v>Packaging</v>
      </c>
      <c r="W98" s="3115">
        <f t="shared" ca="1" si="35"/>
        <v>0</v>
      </c>
      <c r="X98" s="3119">
        <f>VLOOKUP(V98,'Fix Cost'!$K$177:$M$179,2,0)</f>
        <v>58449.923860467366</v>
      </c>
      <c r="Y98" s="3119">
        <f>VLOOKUP(V98,'Fix Cost'!$K$177:$M$179,3,0)</f>
        <v>267411.04680782068</v>
      </c>
      <c r="Z98" s="3119">
        <f t="shared" ca="1" si="36"/>
        <v>0</v>
      </c>
      <c r="AA98" s="3115">
        <f t="shared" ca="1" si="37"/>
        <v>0</v>
      </c>
      <c r="AB98" s="3115">
        <f t="shared" ca="1" si="38"/>
        <v>0</v>
      </c>
      <c r="AK98" s="313"/>
      <c r="AL98" s="313"/>
      <c r="AM98" s="313"/>
      <c r="AO98" s="385"/>
      <c r="AP98" s="385"/>
      <c r="AQ98" s="385"/>
      <c r="AR98" s="1048"/>
      <c r="AS98" s="385"/>
      <c r="AT98" s="879">
        <f t="shared" ca="1" si="33"/>
        <v>0</v>
      </c>
      <c r="AU98" s="879">
        <f ca="1">COUNTIFS(AT$7:$AT98,1)</f>
        <v>3</v>
      </c>
    </row>
    <row r="99" spans="1:47" ht="12.75" hidden="1" outlineLevel="1">
      <c r="A99" s="1269"/>
      <c r="B99" s="1738" t="s">
        <v>140</v>
      </c>
      <c r="C99" s="313" t="str">
        <f>input!C465</f>
        <v>OPP lamination</v>
      </c>
      <c r="E99" s="363"/>
      <c r="F99" s="363" t="str">
        <f ca="1">input!F465</f>
        <v>N</v>
      </c>
      <c r="G99" s="363"/>
      <c r="H99" s="313">
        <f ca="1">SUMIFS(Paper!$AC$7:$AC$30,Paper!$A$7:$A$30,'Production cost'!F99)</f>
        <v>0</v>
      </c>
      <c r="I99" s="313">
        <f ca="1">IF(input!$G465&gt;0,input!$G465,3000)</f>
        <v>3000</v>
      </c>
      <c r="J99" s="313" t="s">
        <v>5</v>
      </c>
      <c r="K99" s="360">
        <v>0</v>
      </c>
      <c r="L99" s="313">
        <f ca="1">IF(input!$I465&gt;0,input!$I465,3)</f>
        <v>3</v>
      </c>
      <c r="M99" s="391">
        <f ca="1">IF(H99&gt;0,SUMIF(Data!$L$1155:$L$1190,'Production cost'!$C99,Data!$Q$1155:$Q$1190)*SUMIF(Paper!$A$7:$A$29,'Production cost'!$F99,Paper!$J$7:$J$29),0)</f>
        <v>0</v>
      </c>
      <c r="N99" s="391">
        <f ca="1">IF(H99&gt;0,ROUNDUP(((H99/I99)/$M$5+M99),1),0)</f>
        <v>0</v>
      </c>
      <c r="P99" s="313">
        <f>SUMIF(Data!$L$1155:$L$1190,'Production cost'!$C99,Data!$N$1155:$N$1190)</f>
        <v>78551.859745354872</v>
      </c>
      <c r="Q99" s="313">
        <f t="shared" ca="1" si="34"/>
        <v>0</v>
      </c>
      <c r="R99" s="313">
        <f ca="1">IF($E$2&gt;0,Q99/$E$2,0)</f>
        <v>0</v>
      </c>
      <c r="S99" s="1741">
        <f ca="1">IF(M99&gt;0,K99*O99+L99*P99,0)</f>
        <v>0</v>
      </c>
      <c r="T99" s="313" t="str">
        <f ca="1">input!J465</f>
        <v>N</v>
      </c>
      <c r="V99" s="3115" t="str">
        <f>input!K465</f>
        <v>Packaging</v>
      </c>
      <c r="W99" s="3115">
        <f t="shared" ca="1" si="35"/>
        <v>0</v>
      </c>
      <c r="X99" s="3119">
        <f>VLOOKUP(V99,'Fix Cost'!$K$177:$M$179,2,0)</f>
        <v>58449.923860467366</v>
      </c>
      <c r="Y99" s="3119">
        <f>VLOOKUP(V99,'Fix Cost'!$K$177:$M$179,3,0)</f>
        <v>267411.04680782068</v>
      </c>
      <c r="Z99" s="3119">
        <f t="shared" ca="1" si="36"/>
        <v>0</v>
      </c>
      <c r="AA99" s="3115">
        <f t="shared" ca="1" si="37"/>
        <v>0</v>
      </c>
      <c r="AB99" s="3115">
        <f t="shared" ca="1" si="38"/>
        <v>0</v>
      </c>
      <c r="AK99" s="313"/>
      <c r="AL99" s="313"/>
      <c r="AM99" s="313"/>
      <c r="AO99" s="385"/>
      <c r="AP99" s="385"/>
      <c r="AQ99" s="385"/>
      <c r="AR99" s="1048"/>
      <c r="AS99" s="385"/>
      <c r="AT99" s="879">
        <f t="shared" ca="1" si="33"/>
        <v>0</v>
      </c>
      <c r="AU99" s="879">
        <f ca="1">COUNTIFS(AT$7:$AT99,1)</f>
        <v>3</v>
      </c>
    </row>
    <row r="100" spans="1:47" ht="12.75" hidden="1" outlineLevel="1">
      <c r="A100" s="1269"/>
      <c r="B100" s="1738" t="s">
        <v>140</v>
      </c>
      <c r="C100" s="313" t="str">
        <f>input!C466</f>
        <v>OPP lamination</v>
      </c>
      <c r="E100" s="363"/>
      <c r="F100" s="363" t="str">
        <f ca="1">input!F466</f>
        <v>N</v>
      </c>
      <c r="G100" s="363"/>
      <c r="H100" s="313">
        <f ca="1">SUMIFS(Paper!$AC$7:$AC$30,Paper!$A$7:$A$30,'Production cost'!F100)</f>
        <v>0</v>
      </c>
      <c r="I100" s="313">
        <f ca="1">IF(input!$G466&gt;0,input!$G466,3000)</f>
        <v>3000</v>
      </c>
      <c r="J100" s="313" t="s">
        <v>5</v>
      </c>
      <c r="K100" s="360">
        <v>0</v>
      </c>
      <c r="L100" s="313">
        <f ca="1">IF(input!$I466&gt;0,input!$I466,3)</f>
        <v>3</v>
      </c>
      <c r="M100" s="391">
        <f ca="1">IF(H100&gt;0,SUMIF(Data!$L$1155:$L$1190,'Production cost'!$C100,Data!$Q$1155:$Q$1190)*SUMIF(Paper!$A$7:$A$29,'Production cost'!$F100,Paper!$J$7:$J$29),0)</f>
        <v>0</v>
      </c>
      <c r="N100" s="391">
        <f ca="1">IF(H100&gt;0,ROUNDUP(((H100/I100)/$M$5+M100),1),0)</f>
        <v>0</v>
      </c>
      <c r="P100" s="313">
        <f>SUMIF(Data!$L$1155:$L$1190,'Production cost'!$C100,Data!$N$1155:$N$1190)</f>
        <v>78551.859745354872</v>
      </c>
      <c r="Q100" s="313">
        <f t="shared" ca="1" si="34"/>
        <v>0</v>
      </c>
      <c r="R100" s="313">
        <f ca="1">IF($E$2&gt;0,Q100/$E$2,0)</f>
        <v>0</v>
      </c>
      <c r="S100" s="1741">
        <f ca="1">IF(M100&gt;0,K100*O100+L100*P100,0)</f>
        <v>0</v>
      </c>
      <c r="T100" s="313" t="str">
        <f ca="1">input!J466</f>
        <v>N</v>
      </c>
      <c r="V100" s="3115" t="str">
        <f>input!K466</f>
        <v>Packaging</v>
      </c>
      <c r="W100" s="3115">
        <f t="shared" ca="1" si="35"/>
        <v>0</v>
      </c>
      <c r="X100" s="3119">
        <f>VLOOKUP(V100,'Fix Cost'!$K$177:$M$179,2,0)</f>
        <v>58449.923860467366</v>
      </c>
      <c r="Y100" s="3119">
        <f>VLOOKUP(V100,'Fix Cost'!$K$177:$M$179,3,0)</f>
        <v>267411.04680782068</v>
      </c>
      <c r="Z100" s="3119">
        <f t="shared" ca="1" si="36"/>
        <v>0</v>
      </c>
      <c r="AA100" s="3115">
        <f t="shared" ca="1" si="37"/>
        <v>0</v>
      </c>
      <c r="AB100" s="3115">
        <f t="shared" ca="1" si="38"/>
        <v>0</v>
      </c>
      <c r="AK100" s="313"/>
      <c r="AL100" s="313"/>
      <c r="AM100" s="313"/>
      <c r="AO100" s="385"/>
      <c r="AP100" s="385"/>
      <c r="AQ100" s="385"/>
      <c r="AR100" s="1048"/>
      <c r="AS100" s="385"/>
      <c r="AT100" s="879">
        <f t="shared" ca="1" si="33"/>
        <v>0</v>
      </c>
      <c r="AU100" s="879">
        <f ca="1">COUNTIFS(AT$7:$AT100,1)</f>
        <v>3</v>
      </c>
    </row>
    <row r="101" spans="1:47" ht="12.75" hidden="1" outlineLevel="1">
      <c r="A101" s="1269"/>
      <c r="B101" s="1738" t="s">
        <v>140</v>
      </c>
      <c r="C101" s="313" t="str">
        <f>input!C467</f>
        <v>OPP lamination</v>
      </c>
      <c r="E101" s="363"/>
      <c r="F101" s="363" t="str">
        <f ca="1">input!F467</f>
        <v>N</v>
      </c>
      <c r="G101" s="363"/>
      <c r="H101" s="313">
        <f ca="1">SUMIFS(Paper!$AC$7:$AC$30,Paper!$A$7:$A$30,'Production cost'!F101)</f>
        <v>0</v>
      </c>
      <c r="I101" s="313">
        <f ca="1">IF(input!$G467&gt;0,input!$G467,3000)</f>
        <v>3000</v>
      </c>
      <c r="J101" s="313" t="s">
        <v>5</v>
      </c>
      <c r="K101" s="360">
        <v>0</v>
      </c>
      <c r="L101" s="313">
        <f ca="1">IF(input!$I467&gt;0,input!$I467,3)</f>
        <v>3</v>
      </c>
      <c r="M101" s="391">
        <f ca="1">IF(H101&gt;0,SUMIF(Data!$L$1155:$L$1190,'Production cost'!$C101,Data!$Q$1155:$Q$1190)*SUMIF(Paper!$A$7:$A$29,'Production cost'!$F101,Paper!$J$7:$J$29),0)</f>
        <v>0</v>
      </c>
      <c r="N101" s="391">
        <f ca="1">IF(H101&gt;0,ROUNDUP(((H101/I101)/$M$5+M101),1),0)</f>
        <v>0</v>
      </c>
      <c r="P101" s="313">
        <f>SUMIF(Data!$L$1155:$L$1190,'Production cost'!$C101,Data!$N$1155:$N$1190)</f>
        <v>78551.859745354872</v>
      </c>
      <c r="Q101" s="313">
        <f t="shared" ca="1" si="34"/>
        <v>0</v>
      </c>
      <c r="R101" s="313">
        <f ca="1">IF($E$2&gt;0,Q101/$E$2,0)</f>
        <v>0</v>
      </c>
      <c r="S101" s="1741">
        <f ca="1">IF(M101&gt;0,K101*O101+L101*P101,0)</f>
        <v>0</v>
      </c>
      <c r="T101" s="313" t="str">
        <f ca="1">input!J467</f>
        <v>N</v>
      </c>
      <c r="V101" s="3115" t="str">
        <f>input!K467</f>
        <v>Packaging</v>
      </c>
      <c r="W101" s="3115">
        <f t="shared" ca="1" si="35"/>
        <v>0</v>
      </c>
      <c r="X101" s="3119">
        <f>VLOOKUP(V101,'Fix Cost'!$K$177:$M$179,2,0)</f>
        <v>58449.923860467366</v>
      </c>
      <c r="Y101" s="3119">
        <f>VLOOKUP(V101,'Fix Cost'!$K$177:$M$179,3,0)</f>
        <v>267411.04680782068</v>
      </c>
      <c r="Z101" s="3119">
        <f t="shared" ca="1" si="36"/>
        <v>0</v>
      </c>
      <c r="AA101" s="3115">
        <f t="shared" ca="1" si="37"/>
        <v>0</v>
      </c>
      <c r="AB101" s="3115">
        <f t="shared" ca="1" si="38"/>
        <v>0</v>
      </c>
      <c r="AK101" s="313"/>
      <c r="AL101" s="313"/>
      <c r="AM101" s="313"/>
      <c r="AO101" s="385"/>
      <c r="AP101" s="385"/>
      <c r="AQ101" s="385"/>
      <c r="AR101" s="1048"/>
      <c r="AS101" s="385"/>
      <c r="AT101" s="879">
        <f t="shared" ca="1" si="33"/>
        <v>0</v>
      </c>
      <c r="AU101" s="879">
        <f ca="1">COUNTIFS(AT$7:$AT101,1)</f>
        <v>3</v>
      </c>
    </row>
    <row r="102" spans="1:47" ht="12.75" hidden="1" outlineLevel="1">
      <c r="A102" s="1269"/>
      <c r="B102" s="1738" t="s">
        <v>140</v>
      </c>
      <c r="C102" s="313" t="str">
        <f>input!C468</f>
        <v>OPP lamination</v>
      </c>
      <c r="E102" s="363"/>
      <c r="F102" s="363" t="str">
        <f ca="1">input!F468</f>
        <v>N</v>
      </c>
      <c r="G102" s="363"/>
      <c r="H102" s="313">
        <f ca="1">SUMIFS(Paper!$AC$7:$AC$30,Paper!$A$7:$A$30,'Production cost'!F102)</f>
        <v>0</v>
      </c>
      <c r="I102" s="313">
        <f ca="1">IF(input!$G468&gt;0,input!$G468,3000)</f>
        <v>3000</v>
      </c>
      <c r="J102" s="313" t="s">
        <v>5</v>
      </c>
      <c r="K102" s="360">
        <v>0</v>
      </c>
      <c r="L102" s="313">
        <f ca="1">IF(input!$I468&gt;0,input!$I468,3)</f>
        <v>3</v>
      </c>
      <c r="M102" s="391">
        <f ca="1">IF(H102&gt;0,SUMIF(Data!$L$1155:$L$1190,'Production cost'!$C102,Data!$Q$1155:$Q$1190)*SUMIF(Paper!$A$7:$A$29,'Production cost'!$F102,Paper!$J$7:$J$29),0)</f>
        <v>0</v>
      </c>
      <c r="N102" s="391">
        <f ca="1">IF(H102&gt;0,ROUNDUP(((H102/I102)/$M$5+M102),1),0)</f>
        <v>0</v>
      </c>
      <c r="P102" s="313">
        <f>SUMIF(Data!$L$1155:$L$1190,'Production cost'!$C102,Data!$N$1155:$N$1190)</f>
        <v>78551.859745354872</v>
      </c>
      <c r="Q102" s="313">
        <f t="shared" ca="1" si="34"/>
        <v>0</v>
      </c>
      <c r="R102" s="313">
        <f ca="1">IF($E$2&gt;0,Q102/$E$2,0)</f>
        <v>0</v>
      </c>
      <c r="S102" s="1741">
        <f ca="1">IF(M102&gt;0,K102*O102+L102*P102,0)</f>
        <v>0</v>
      </c>
      <c r="T102" s="313" t="str">
        <f ca="1">input!J468</f>
        <v>N</v>
      </c>
      <c r="V102" s="3115" t="str">
        <f>input!K468</f>
        <v>Packaging</v>
      </c>
      <c r="W102" s="3115">
        <f t="shared" ca="1" si="35"/>
        <v>0</v>
      </c>
      <c r="X102" s="3119">
        <f>VLOOKUP(V102,'Fix Cost'!$K$177:$M$179,2,0)</f>
        <v>58449.923860467366</v>
      </c>
      <c r="Y102" s="3119">
        <f>VLOOKUP(V102,'Fix Cost'!$K$177:$M$179,3,0)</f>
        <v>267411.04680782068</v>
      </c>
      <c r="Z102" s="3119">
        <f t="shared" ca="1" si="36"/>
        <v>0</v>
      </c>
      <c r="AA102" s="3115">
        <f t="shared" ca="1" si="37"/>
        <v>0</v>
      </c>
      <c r="AB102" s="3115">
        <f t="shared" ca="1" si="38"/>
        <v>0</v>
      </c>
      <c r="AK102" s="313"/>
      <c r="AL102" s="313"/>
      <c r="AM102" s="313"/>
      <c r="AO102" s="385"/>
      <c r="AP102" s="385"/>
      <c r="AQ102" s="385"/>
      <c r="AR102" s="1048"/>
      <c r="AS102" s="385"/>
      <c r="AT102" s="879">
        <f t="shared" ca="1" si="33"/>
        <v>0</v>
      </c>
      <c r="AU102" s="879">
        <f ca="1">COUNTIFS(AT$7:$AT102,1)</f>
        <v>3</v>
      </c>
    </row>
    <row r="103" spans="1:47" ht="12.75" hidden="1" outlineLevel="1">
      <c r="A103" s="1269"/>
      <c r="B103" s="1738" t="s">
        <v>140</v>
      </c>
      <c r="C103" s="313" t="str">
        <f>input!C469</f>
        <v>OPP lamination</v>
      </c>
      <c r="E103" s="363"/>
      <c r="F103" s="363" t="str">
        <f ca="1">input!F469</f>
        <v>N</v>
      </c>
      <c r="G103" s="363"/>
      <c r="H103" s="313">
        <f ca="1">SUMIFS(Paper!$AC$7:$AC$30,Paper!$A$7:$A$30,'Production cost'!F103)</f>
        <v>0</v>
      </c>
      <c r="I103" s="313">
        <f ca="1">IF(input!$G469&gt;0,input!$G469,3000)</f>
        <v>3000</v>
      </c>
      <c r="J103" s="313" t="s">
        <v>5</v>
      </c>
      <c r="K103" s="360">
        <v>0</v>
      </c>
      <c r="L103" s="313">
        <f ca="1">IF(input!$I469&gt;0,input!$I469,3)</f>
        <v>3</v>
      </c>
      <c r="M103" s="391">
        <f ca="1">IF(H103&gt;0,SUMIF(Data!$L$1155:$L$1190,'Production cost'!$C103,Data!$Q$1155:$Q$1190)*SUMIF(Paper!$A$7:$A$29,'Production cost'!$F103,Paper!$J$7:$J$29),0)</f>
        <v>0</v>
      </c>
      <c r="N103" s="391">
        <f t="shared" ref="N103:N107" ca="1" si="49">IF(H103&gt;0,ROUNDUP(((H103/I103)/$M$5+M103),1),0)</f>
        <v>0</v>
      </c>
      <c r="P103" s="313">
        <f>SUMIF(Data!$L$1155:$L$1190,'Production cost'!$C103,Data!$N$1155:$N$1190)</f>
        <v>78551.859745354872</v>
      </c>
      <c r="Q103" s="313">
        <f t="shared" ca="1" si="34"/>
        <v>0</v>
      </c>
      <c r="R103" s="313">
        <f t="shared" ref="R103:R107" ca="1" si="50">IF($E$2&gt;0,Q103/$E$2,0)</f>
        <v>0</v>
      </c>
      <c r="S103" s="1741">
        <f t="shared" ref="S103:S107" ca="1" si="51">IF(M103&gt;0,K103*O103+L103*P103,0)</f>
        <v>0</v>
      </c>
      <c r="T103" s="313" t="str">
        <f ca="1">input!J469</f>
        <v>N</v>
      </c>
      <c r="V103" s="3115" t="str">
        <f>input!K469</f>
        <v>Packaging</v>
      </c>
      <c r="W103" s="3115">
        <f t="shared" ref="W103:W107" ca="1" si="52">N103*(L103+K103)</f>
        <v>0</v>
      </c>
      <c r="X103" s="3119">
        <f>VLOOKUP(V103,'Fix Cost'!$K$177:$M$179,2,0)</f>
        <v>58449.923860467366</v>
      </c>
      <c r="Y103" s="3119">
        <f>VLOOKUP(V103,'Fix Cost'!$K$177:$M$179,3,0)</f>
        <v>267411.04680782068</v>
      </c>
      <c r="Z103" s="3119">
        <f t="shared" ref="Z103:Z107" ca="1" si="53">IFERROR($X103*W103,0)</f>
        <v>0</v>
      </c>
      <c r="AA103" s="3115">
        <f t="shared" ref="AA103:AA107" ca="1" si="54">IFERROR(Y103*N103,0)</f>
        <v>0</v>
      </c>
      <c r="AB103" s="3115">
        <f t="shared" ref="AB103:AB107" ca="1" si="55">Z103+AA103</f>
        <v>0</v>
      </c>
      <c r="AK103" s="313"/>
      <c r="AL103" s="313"/>
      <c r="AM103" s="313"/>
      <c r="AO103" s="385"/>
      <c r="AP103" s="385"/>
      <c r="AQ103" s="385"/>
      <c r="AR103" s="1048"/>
      <c r="AS103" s="385"/>
      <c r="AT103" s="879">
        <f t="shared" ca="1" si="33"/>
        <v>0</v>
      </c>
      <c r="AU103" s="879">
        <f ca="1">COUNTIFS(AT$7:$AT103,1)</f>
        <v>3</v>
      </c>
    </row>
    <row r="104" spans="1:47" ht="12.75" hidden="1" outlineLevel="1">
      <c r="A104" s="1269"/>
      <c r="B104" s="1738" t="s">
        <v>140</v>
      </c>
      <c r="C104" s="313" t="str">
        <f>input!C470</f>
        <v>OPP lamination</v>
      </c>
      <c r="E104" s="363"/>
      <c r="F104" s="363" t="str">
        <f ca="1">input!F470</f>
        <v>N</v>
      </c>
      <c r="G104" s="363"/>
      <c r="H104" s="313">
        <f ca="1">SUMIFS(Paper!$AC$7:$AC$30,Paper!$A$7:$A$30,'Production cost'!F104)</f>
        <v>0</v>
      </c>
      <c r="I104" s="313">
        <f ca="1">IF(input!$G470&gt;0,input!$G470,3000)</f>
        <v>3000</v>
      </c>
      <c r="J104" s="313" t="s">
        <v>5</v>
      </c>
      <c r="K104" s="360">
        <v>0</v>
      </c>
      <c r="L104" s="313">
        <f ca="1">IF(input!$I470&gt;0,input!$I470,3)</f>
        <v>3</v>
      </c>
      <c r="M104" s="391">
        <f ca="1">IF(H104&gt;0,SUMIF(Data!$L$1155:$L$1190,'Production cost'!$C104,Data!$Q$1155:$Q$1190)*SUMIF(Paper!$A$7:$A$29,'Production cost'!$F104,Paper!$J$7:$J$29),0)</f>
        <v>0</v>
      </c>
      <c r="N104" s="391">
        <f t="shared" ca="1" si="49"/>
        <v>0</v>
      </c>
      <c r="P104" s="313">
        <f>SUMIF(Data!$L$1155:$L$1190,'Production cost'!$C104,Data!$N$1155:$N$1190)</f>
        <v>78551.859745354872</v>
      </c>
      <c r="Q104" s="313">
        <f t="shared" ca="1" si="34"/>
        <v>0</v>
      </c>
      <c r="R104" s="313">
        <f t="shared" ca="1" si="50"/>
        <v>0</v>
      </c>
      <c r="S104" s="1741">
        <f t="shared" ca="1" si="51"/>
        <v>0</v>
      </c>
      <c r="T104" s="313" t="str">
        <f ca="1">input!J470</f>
        <v>N</v>
      </c>
      <c r="V104" s="3115" t="str">
        <f>input!K470</f>
        <v>Packaging</v>
      </c>
      <c r="W104" s="3115">
        <f t="shared" ca="1" si="52"/>
        <v>0</v>
      </c>
      <c r="X104" s="3119">
        <f>VLOOKUP(V104,'Fix Cost'!$K$177:$M$179,2,0)</f>
        <v>58449.923860467366</v>
      </c>
      <c r="Y104" s="3119">
        <f>VLOOKUP(V104,'Fix Cost'!$K$177:$M$179,3,0)</f>
        <v>267411.04680782068</v>
      </c>
      <c r="Z104" s="3119">
        <f t="shared" ca="1" si="53"/>
        <v>0</v>
      </c>
      <c r="AA104" s="3115">
        <f t="shared" ca="1" si="54"/>
        <v>0</v>
      </c>
      <c r="AB104" s="3115">
        <f t="shared" ca="1" si="55"/>
        <v>0</v>
      </c>
      <c r="AK104" s="313"/>
      <c r="AL104" s="313"/>
      <c r="AM104" s="313"/>
      <c r="AO104" s="385"/>
      <c r="AP104" s="385"/>
      <c r="AQ104" s="385"/>
      <c r="AR104" s="1048"/>
      <c r="AS104" s="385"/>
      <c r="AT104" s="879">
        <f t="shared" ca="1" si="33"/>
        <v>0</v>
      </c>
      <c r="AU104" s="879">
        <f ca="1">COUNTIFS(AT$7:$AT104,1)</f>
        <v>3</v>
      </c>
    </row>
    <row r="105" spans="1:47" ht="12.75" hidden="1" outlineLevel="1">
      <c r="A105" s="1269"/>
      <c r="B105" s="1738" t="s">
        <v>140</v>
      </c>
      <c r="C105" s="313" t="str">
        <f>input!C471</f>
        <v>OPP lamination</v>
      </c>
      <c r="E105" s="363"/>
      <c r="F105" s="363" t="str">
        <f ca="1">input!F471</f>
        <v>N</v>
      </c>
      <c r="G105" s="363"/>
      <c r="H105" s="313">
        <f ca="1">SUMIFS(Paper!$AC$7:$AC$30,Paper!$A$7:$A$30,'Production cost'!F105)</f>
        <v>0</v>
      </c>
      <c r="I105" s="313">
        <f ca="1">IF(input!$G471&gt;0,input!$G471,3000)</f>
        <v>3000</v>
      </c>
      <c r="J105" s="313" t="s">
        <v>5</v>
      </c>
      <c r="K105" s="360">
        <v>0</v>
      </c>
      <c r="L105" s="313">
        <f ca="1">IF(input!$I471&gt;0,input!$I471,3)</f>
        <v>3</v>
      </c>
      <c r="M105" s="391">
        <f ca="1">IF(H105&gt;0,SUMIF(Data!$L$1155:$L$1190,'Production cost'!$C105,Data!$Q$1155:$Q$1190)*SUMIF(Paper!$A$7:$A$29,'Production cost'!$F105,Paper!$J$7:$J$29),0)</f>
        <v>0</v>
      </c>
      <c r="N105" s="391">
        <f t="shared" ca="1" si="49"/>
        <v>0</v>
      </c>
      <c r="P105" s="313">
        <f>SUMIF(Data!$L$1155:$L$1190,'Production cost'!$C105,Data!$N$1155:$N$1190)</f>
        <v>78551.859745354872</v>
      </c>
      <c r="Q105" s="313">
        <f t="shared" ca="1" si="34"/>
        <v>0</v>
      </c>
      <c r="R105" s="313">
        <f t="shared" ca="1" si="50"/>
        <v>0</v>
      </c>
      <c r="S105" s="1741">
        <f t="shared" ca="1" si="51"/>
        <v>0</v>
      </c>
      <c r="T105" s="313" t="str">
        <f ca="1">input!J471</f>
        <v>N</v>
      </c>
      <c r="V105" s="3115" t="str">
        <f>input!K471</f>
        <v>Packaging</v>
      </c>
      <c r="W105" s="3115">
        <f t="shared" ca="1" si="52"/>
        <v>0</v>
      </c>
      <c r="X105" s="3119">
        <f>VLOOKUP(V105,'Fix Cost'!$K$177:$M$179,2,0)</f>
        <v>58449.923860467366</v>
      </c>
      <c r="Y105" s="3119">
        <f>VLOOKUP(V105,'Fix Cost'!$K$177:$M$179,3,0)</f>
        <v>267411.04680782068</v>
      </c>
      <c r="Z105" s="3119">
        <f t="shared" ca="1" si="53"/>
        <v>0</v>
      </c>
      <c r="AA105" s="3115">
        <f t="shared" ca="1" si="54"/>
        <v>0</v>
      </c>
      <c r="AB105" s="3115">
        <f t="shared" ca="1" si="55"/>
        <v>0</v>
      </c>
      <c r="AK105" s="313"/>
      <c r="AL105" s="313"/>
      <c r="AM105" s="313"/>
      <c r="AO105" s="385"/>
      <c r="AP105" s="385"/>
      <c r="AQ105" s="385"/>
      <c r="AR105" s="1048"/>
      <c r="AS105" s="385"/>
      <c r="AT105" s="879">
        <f t="shared" ca="1" si="33"/>
        <v>0</v>
      </c>
      <c r="AU105" s="879">
        <f ca="1">COUNTIFS(AT$7:$AT105,1)</f>
        <v>3</v>
      </c>
    </row>
    <row r="106" spans="1:47" ht="12.75" hidden="1" outlineLevel="1">
      <c r="A106" s="1269"/>
      <c r="B106" s="1738" t="s">
        <v>140</v>
      </c>
      <c r="C106" s="313" t="str">
        <f>input!C472</f>
        <v>OPP lamination</v>
      </c>
      <c r="E106" s="363"/>
      <c r="F106" s="363" t="str">
        <f ca="1">input!F472</f>
        <v>N</v>
      </c>
      <c r="G106" s="363"/>
      <c r="H106" s="313">
        <f ca="1">SUMIFS(Paper!$AC$7:$AC$30,Paper!$A$7:$A$30,'Production cost'!F106)</f>
        <v>0</v>
      </c>
      <c r="I106" s="313">
        <f ca="1">IF(input!$G472&gt;0,input!$G472,3000)</f>
        <v>3000</v>
      </c>
      <c r="J106" s="313" t="s">
        <v>5</v>
      </c>
      <c r="K106" s="360">
        <v>0</v>
      </c>
      <c r="L106" s="313">
        <f ca="1">IF(input!$I472&gt;0,input!$I472,3)</f>
        <v>3</v>
      </c>
      <c r="M106" s="391">
        <f ca="1">IF(H106&gt;0,SUMIF(Data!$L$1155:$L$1190,'Production cost'!$C106,Data!$Q$1155:$Q$1190)*SUMIF(Paper!$A$7:$A$29,'Production cost'!$F106,Paper!$J$7:$J$29),0)</f>
        <v>0</v>
      </c>
      <c r="N106" s="391">
        <f t="shared" ca="1" si="49"/>
        <v>0</v>
      </c>
      <c r="P106" s="313">
        <f>SUMIF(Data!$L$1155:$L$1190,'Production cost'!$C106,Data!$N$1155:$N$1190)</f>
        <v>78551.859745354872</v>
      </c>
      <c r="Q106" s="313">
        <f t="shared" ca="1" si="34"/>
        <v>0</v>
      </c>
      <c r="R106" s="313">
        <f t="shared" ca="1" si="50"/>
        <v>0</v>
      </c>
      <c r="S106" s="1741">
        <f t="shared" ca="1" si="51"/>
        <v>0</v>
      </c>
      <c r="T106" s="313" t="str">
        <f ca="1">input!J472</f>
        <v>N</v>
      </c>
      <c r="V106" s="3115" t="str">
        <f>input!K472</f>
        <v>Packaging</v>
      </c>
      <c r="W106" s="3115">
        <f t="shared" ca="1" si="52"/>
        <v>0</v>
      </c>
      <c r="X106" s="3119">
        <f>VLOOKUP(V106,'Fix Cost'!$K$177:$M$179,2,0)</f>
        <v>58449.923860467366</v>
      </c>
      <c r="Y106" s="3119">
        <f>VLOOKUP(V106,'Fix Cost'!$K$177:$M$179,3,0)</f>
        <v>267411.04680782068</v>
      </c>
      <c r="Z106" s="3119">
        <f t="shared" ca="1" si="53"/>
        <v>0</v>
      </c>
      <c r="AA106" s="3115">
        <f t="shared" ca="1" si="54"/>
        <v>0</v>
      </c>
      <c r="AB106" s="3115">
        <f t="shared" ca="1" si="55"/>
        <v>0</v>
      </c>
      <c r="AK106" s="313"/>
      <c r="AL106" s="313"/>
      <c r="AM106" s="313"/>
      <c r="AO106" s="385"/>
      <c r="AP106" s="385"/>
      <c r="AQ106" s="385"/>
      <c r="AR106" s="1048"/>
      <c r="AS106" s="385"/>
      <c r="AT106" s="879">
        <f t="shared" ca="1" si="33"/>
        <v>0</v>
      </c>
      <c r="AU106" s="879">
        <f ca="1">COUNTIFS(AT$7:$AT106,1)</f>
        <v>3</v>
      </c>
    </row>
    <row r="107" spans="1:47" ht="12.75" hidden="1" outlineLevel="1">
      <c r="A107" s="1269"/>
      <c r="B107" s="1738" t="s">
        <v>140</v>
      </c>
      <c r="C107" s="313" t="str">
        <f>input!C473</f>
        <v>OPP lamination</v>
      </c>
      <c r="E107" s="363"/>
      <c r="F107" s="363" t="str">
        <f ca="1">input!F473</f>
        <v>N</v>
      </c>
      <c r="G107" s="363"/>
      <c r="H107" s="313">
        <f ca="1">SUMIFS(Paper!$AC$7:$AC$30,Paper!$A$7:$A$30,'Production cost'!F107)</f>
        <v>0</v>
      </c>
      <c r="I107" s="313">
        <f ca="1">IF(input!$G473&gt;0,input!$G473,3000)</f>
        <v>3000</v>
      </c>
      <c r="J107" s="313" t="s">
        <v>5</v>
      </c>
      <c r="K107" s="360">
        <v>0</v>
      </c>
      <c r="L107" s="313">
        <f ca="1">IF(input!$I473&gt;0,input!$I473,3)</f>
        <v>3</v>
      </c>
      <c r="M107" s="391">
        <f ca="1">IF(H107&gt;0,SUMIF(Data!$L$1155:$L$1190,'Production cost'!$C107,Data!$Q$1155:$Q$1190)*SUMIF(Paper!$A$7:$A$29,'Production cost'!$F107,Paper!$J$7:$J$29),0)</f>
        <v>0</v>
      </c>
      <c r="N107" s="391">
        <f t="shared" ca="1" si="49"/>
        <v>0</v>
      </c>
      <c r="P107" s="313">
        <f>SUMIF(Data!$L$1155:$L$1190,'Production cost'!$C107,Data!$N$1155:$N$1190)</f>
        <v>78551.859745354872</v>
      </c>
      <c r="Q107" s="313">
        <f t="shared" ca="1" si="34"/>
        <v>0</v>
      </c>
      <c r="R107" s="313">
        <f t="shared" ca="1" si="50"/>
        <v>0</v>
      </c>
      <c r="S107" s="1741">
        <f t="shared" ca="1" si="51"/>
        <v>0</v>
      </c>
      <c r="T107" s="313" t="str">
        <f ca="1">input!J473</f>
        <v>N</v>
      </c>
      <c r="V107" s="3115" t="str">
        <f>input!K473</f>
        <v>Packaging</v>
      </c>
      <c r="W107" s="3115">
        <f t="shared" ca="1" si="52"/>
        <v>0</v>
      </c>
      <c r="X107" s="3119">
        <f>VLOOKUP(V107,'Fix Cost'!$K$177:$M$179,2,0)</f>
        <v>58449.923860467366</v>
      </c>
      <c r="Y107" s="3119">
        <f>VLOOKUP(V107,'Fix Cost'!$K$177:$M$179,3,0)</f>
        <v>267411.04680782068</v>
      </c>
      <c r="Z107" s="3119">
        <f t="shared" ca="1" si="53"/>
        <v>0</v>
      </c>
      <c r="AA107" s="3115">
        <f t="shared" ca="1" si="54"/>
        <v>0</v>
      </c>
      <c r="AB107" s="3115">
        <f t="shared" ca="1" si="55"/>
        <v>0</v>
      </c>
      <c r="AK107" s="313"/>
      <c r="AL107" s="313"/>
      <c r="AM107" s="313"/>
      <c r="AO107" s="385"/>
      <c r="AP107" s="385"/>
      <c r="AQ107" s="385"/>
      <c r="AR107" s="1048"/>
      <c r="AS107" s="385"/>
      <c r="AT107" s="879">
        <f t="shared" ca="1" si="33"/>
        <v>0</v>
      </c>
      <c r="AU107" s="879">
        <f ca="1">COUNTIFS(AT$7:$AT107,1)</f>
        <v>3</v>
      </c>
    </row>
    <row r="108" spans="1:47" ht="12.75" hidden="1" outlineLevel="1">
      <c r="A108" s="1269"/>
      <c r="B108" s="1738" t="s">
        <v>140</v>
      </c>
      <c r="C108" s="313" t="str">
        <f>input!C474</f>
        <v>TK Coating</v>
      </c>
      <c r="E108" s="363"/>
      <c r="F108" s="363" t="str">
        <f ca="1">input!F474</f>
        <v>N</v>
      </c>
      <c r="G108" s="363"/>
      <c r="H108" s="313">
        <f ca="1">SUMIFS(Paper!$AC$7:$AC$30,Paper!$A$7:$A$30,'Production cost'!F108)</f>
        <v>0</v>
      </c>
      <c r="I108" s="313">
        <f ca="1">IF(input!$G474&gt;0,input!$G474,3000)</f>
        <v>3000</v>
      </c>
      <c r="J108" s="313" t="s">
        <v>5</v>
      </c>
      <c r="K108" s="360">
        <v>0</v>
      </c>
      <c r="L108" s="313">
        <f ca="1">IF(input!$I474&gt;0,input!$I474,3)</f>
        <v>3</v>
      </c>
      <c r="M108" s="391">
        <f ca="1">IF(H108&gt;0,SUMIF(Data!$L$1155:$L$1190,'Production cost'!$C108,Data!$Q$1155:$Q$1190)*SUMIF(Paper!$A$7:$A$29,'Production cost'!$F108,Paper!$J$7:$J$29),0)</f>
        <v>0</v>
      </c>
      <c r="N108" s="391">
        <f t="shared" ca="1" si="39"/>
        <v>0</v>
      </c>
      <c r="P108" s="313">
        <f>SUMIF(Data!$L$1155:$L$1190,'Production cost'!$C108,Data!$N$1155:$N$1190)</f>
        <v>78551.859745354872</v>
      </c>
      <c r="Q108" s="313">
        <f t="shared" ca="1" si="34"/>
        <v>0</v>
      </c>
      <c r="R108" s="313">
        <f t="shared" ca="1" si="40"/>
        <v>0</v>
      </c>
      <c r="S108" s="1741">
        <f t="shared" ca="1" si="41"/>
        <v>0</v>
      </c>
      <c r="T108" s="313" t="str">
        <f ca="1">input!J474</f>
        <v>N</v>
      </c>
      <c r="V108" s="3115" t="str">
        <f>input!K474</f>
        <v>Packaging</v>
      </c>
      <c r="W108" s="3115">
        <f t="shared" ca="1" si="35"/>
        <v>0</v>
      </c>
      <c r="X108" s="3119">
        <f>VLOOKUP(V108,'Fix Cost'!$K$177:$M$179,2,0)</f>
        <v>58449.923860467366</v>
      </c>
      <c r="Y108" s="3119">
        <f>VLOOKUP(V108,'Fix Cost'!$K$177:$M$179,3,0)</f>
        <v>267411.04680782068</v>
      </c>
      <c r="Z108" s="3119">
        <f t="shared" ca="1" si="36"/>
        <v>0</v>
      </c>
      <c r="AA108" s="3115">
        <f t="shared" ca="1" si="37"/>
        <v>0</v>
      </c>
      <c r="AB108" s="3115">
        <f t="shared" ca="1" si="38"/>
        <v>0</v>
      </c>
      <c r="AK108" s="313"/>
      <c r="AL108" s="313"/>
      <c r="AM108" s="313"/>
      <c r="AO108" s="385"/>
      <c r="AP108" s="385"/>
      <c r="AQ108" s="385"/>
      <c r="AR108" s="1048"/>
      <c r="AS108" s="385"/>
      <c r="AT108" s="879">
        <f t="shared" ca="1" si="33"/>
        <v>0</v>
      </c>
      <c r="AU108" s="879">
        <f ca="1">COUNTIFS(AT$7:$AT108,1)</f>
        <v>3</v>
      </c>
    </row>
    <row r="109" spans="1:47" ht="12.75" hidden="1" outlineLevel="1">
      <c r="A109" s="1269"/>
      <c r="B109" s="1738" t="s">
        <v>140</v>
      </c>
      <c r="C109" s="313" t="str">
        <f>input!C475</f>
        <v>TK Coating</v>
      </c>
      <c r="E109" s="363"/>
      <c r="F109" s="363" t="str">
        <f ca="1">input!F475</f>
        <v>N</v>
      </c>
      <c r="G109" s="363"/>
      <c r="H109" s="313">
        <f ca="1">SUMIFS(Paper!$AC$7:$AC$30,Paper!$A$7:$A$30,'Production cost'!F109)</f>
        <v>0</v>
      </c>
      <c r="I109" s="313">
        <f ca="1">IF(input!$G475&gt;0,input!$G475,3000)</f>
        <v>3000</v>
      </c>
      <c r="J109" s="313" t="s">
        <v>5</v>
      </c>
      <c r="K109" s="360">
        <v>0</v>
      </c>
      <c r="L109" s="313">
        <f ca="1">IF(input!$I475&gt;0,input!$I475,3)</f>
        <v>3</v>
      </c>
      <c r="M109" s="391">
        <f ca="1">IF(H109&gt;0,SUMIF(Data!$L$1155:$L$1190,'Production cost'!$C109,Data!$Q$1155:$Q$1190)*SUMIF(Paper!$A$7:$A$29,'Production cost'!$F109,Paper!$J$7:$J$29),0)</f>
        <v>0</v>
      </c>
      <c r="N109" s="391">
        <f t="shared" ref="N109:N138" ca="1" si="56">IF(H109&gt;0,ROUNDUP(((H109/I109)/$M$5+M109),1),0)</f>
        <v>0</v>
      </c>
      <c r="P109" s="313">
        <f>SUMIF(Data!$L$1155:$L$1190,'Production cost'!$C109,Data!$N$1155:$N$1190)</f>
        <v>78551.859745354872</v>
      </c>
      <c r="Q109" s="313">
        <f t="shared" ca="1" si="34"/>
        <v>0</v>
      </c>
      <c r="R109" s="313">
        <f t="shared" ref="R109:R138" ca="1" si="57">IF($E$2&gt;0,Q109/$E$2,0)</f>
        <v>0</v>
      </c>
      <c r="S109" s="1741">
        <f t="shared" ref="S109:S138" ca="1" si="58">IF(M109&gt;0,K109*O109+L109*P109,0)</f>
        <v>0</v>
      </c>
      <c r="T109" s="313" t="str">
        <f ca="1">input!J475</f>
        <v>N</v>
      </c>
      <c r="V109" s="3115" t="str">
        <f>input!K475</f>
        <v>Packaging</v>
      </c>
      <c r="W109" s="3115">
        <f t="shared" ca="1" si="35"/>
        <v>0</v>
      </c>
      <c r="X109" s="3119">
        <f>VLOOKUP(V109,'Fix Cost'!$K$177:$M$179,2,0)</f>
        <v>58449.923860467366</v>
      </c>
      <c r="Y109" s="3119">
        <f>VLOOKUP(V109,'Fix Cost'!$K$177:$M$179,3,0)</f>
        <v>267411.04680782068</v>
      </c>
      <c r="Z109" s="3119">
        <f t="shared" ca="1" si="36"/>
        <v>0</v>
      </c>
      <c r="AA109" s="3115">
        <f t="shared" ca="1" si="37"/>
        <v>0</v>
      </c>
      <c r="AB109" s="3115">
        <f t="shared" ca="1" si="38"/>
        <v>0</v>
      </c>
      <c r="AK109" s="313"/>
      <c r="AL109" s="313"/>
      <c r="AM109" s="313"/>
      <c r="AO109" s="385"/>
      <c r="AP109" s="385"/>
      <c r="AQ109" s="385"/>
      <c r="AR109" s="1048"/>
      <c r="AS109" s="385"/>
      <c r="AT109" s="879">
        <f t="shared" ca="1" si="33"/>
        <v>0</v>
      </c>
      <c r="AU109" s="879">
        <f ca="1">COUNTIFS(AT$7:$AT109,1)</f>
        <v>3</v>
      </c>
    </row>
    <row r="110" spans="1:47" ht="12.75" hidden="1" outlineLevel="1">
      <c r="A110" s="1269"/>
      <c r="B110" s="1738" t="s">
        <v>140</v>
      </c>
      <c r="C110" s="313" t="str">
        <f>input!C476</f>
        <v>TK Coating</v>
      </c>
      <c r="E110" s="363"/>
      <c r="F110" s="363" t="str">
        <f ca="1">input!F476</f>
        <v>N</v>
      </c>
      <c r="G110" s="363"/>
      <c r="H110" s="313">
        <f ca="1">SUMIFS(Paper!$AC$7:$AC$30,Paper!$A$7:$A$30,'Production cost'!F110)</f>
        <v>0</v>
      </c>
      <c r="I110" s="313">
        <f ca="1">IF(input!$G476&gt;0,input!$G476,3000)</f>
        <v>3000</v>
      </c>
      <c r="J110" s="313" t="s">
        <v>5</v>
      </c>
      <c r="K110" s="360">
        <v>0</v>
      </c>
      <c r="L110" s="313">
        <f ca="1">IF(input!$I476&gt;0,input!$I476,3)</f>
        <v>3</v>
      </c>
      <c r="M110" s="391">
        <f ca="1">IF(H110&gt;0,SUMIF(Data!$L$1155:$L$1190,'Production cost'!$C110,Data!$Q$1155:$Q$1190)*SUMIF(Paper!$A$7:$A$29,'Production cost'!$F110,Paper!$J$7:$J$29),0)</f>
        <v>0</v>
      </c>
      <c r="N110" s="391">
        <f t="shared" ca="1" si="56"/>
        <v>0</v>
      </c>
      <c r="P110" s="313">
        <f>SUMIF(Data!$L$1155:$L$1190,'Production cost'!$C110,Data!$N$1155:$N$1190)</f>
        <v>78551.859745354872</v>
      </c>
      <c r="Q110" s="313">
        <f t="shared" ref="Q110:Q141" ca="1" si="59">(N110*O110*K110+N110*P110*L110)*(1+$R$702)</f>
        <v>0</v>
      </c>
      <c r="R110" s="313">
        <f t="shared" ca="1" si="57"/>
        <v>0</v>
      </c>
      <c r="S110" s="1741">
        <f t="shared" ca="1" si="58"/>
        <v>0</v>
      </c>
      <c r="T110" s="313" t="str">
        <f ca="1">input!J476</f>
        <v>N</v>
      </c>
      <c r="V110" s="3115" t="str">
        <f>input!K476</f>
        <v>Packaging</v>
      </c>
      <c r="W110" s="3115">
        <f t="shared" ca="1" si="35"/>
        <v>0</v>
      </c>
      <c r="X110" s="3119">
        <f>VLOOKUP(V110,'Fix Cost'!$K$177:$M$179,2,0)</f>
        <v>58449.923860467366</v>
      </c>
      <c r="Y110" s="3119">
        <f>VLOOKUP(V110,'Fix Cost'!$K$177:$M$179,3,0)</f>
        <v>267411.04680782068</v>
      </c>
      <c r="Z110" s="3119">
        <f t="shared" ca="1" si="36"/>
        <v>0</v>
      </c>
      <c r="AA110" s="3115">
        <f t="shared" ca="1" si="37"/>
        <v>0</v>
      </c>
      <c r="AB110" s="3115">
        <f t="shared" ca="1" si="38"/>
        <v>0</v>
      </c>
      <c r="AK110" s="313"/>
      <c r="AL110" s="313"/>
      <c r="AM110" s="313"/>
      <c r="AO110" s="385"/>
      <c r="AP110" s="385"/>
      <c r="AQ110" s="385"/>
      <c r="AR110" s="1048"/>
      <c r="AS110" s="385"/>
      <c r="AT110" s="879">
        <f t="shared" ca="1" si="33"/>
        <v>0</v>
      </c>
      <c r="AU110" s="879">
        <f ca="1">COUNTIFS(AT$7:$AT110,1)</f>
        <v>3</v>
      </c>
    </row>
    <row r="111" spans="1:47" ht="12.75" hidden="1" outlineLevel="1">
      <c r="A111" s="1269"/>
      <c r="B111" s="1738" t="s">
        <v>140</v>
      </c>
      <c r="C111" s="313" t="str">
        <f>input!C477</f>
        <v>TK Coating</v>
      </c>
      <c r="E111" s="363"/>
      <c r="F111" s="363" t="str">
        <f ca="1">input!F477</f>
        <v>N</v>
      </c>
      <c r="G111" s="363"/>
      <c r="H111" s="313">
        <f ca="1">SUMIFS(Paper!$AC$7:$AC$30,Paper!$A$7:$A$30,'Production cost'!F111)</f>
        <v>0</v>
      </c>
      <c r="I111" s="313">
        <f ca="1">IF(input!$G477&gt;0,input!$G477,3000)</f>
        <v>3000</v>
      </c>
      <c r="J111" s="313" t="s">
        <v>5</v>
      </c>
      <c r="K111" s="360">
        <v>0</v>
      </c>
      <c r="L111" s="313">
        <f ca="1">IF(input!$I477&gt;0,input!$I477,3)</f>
        <v>3</v>
      </c>
      <c r="M111" s="391">
        <f ca="1">IF(H111&gt;0,SUMIF(Data!$L$1155:$L$1190,'Production cost'!$C111,Data!$Q$1155:$Q$1190)*SUMIF(Paper!$A$7:$A$29,'Production cost'!$F111,Paper!$J$7:$J$29),0)</f>
        <v>0</v>
      </c>
      <c r="N111" s="391">
        <f t="shared" ca="1" si="56"/>
        <v>0</v>
      </c>
      <c r="P111" s="313">
        <f>SUMIF(Data!$L$1155:$L$1190,'Production cost'!$C111,Data!$N$1155:$N$1190)</f>
        <v>78551.859745354872</v>
      </c>
      <c r="Q111" s="313">
        <f t="shared" ca="1" si="59"/>
        <v>0</v>
      </c>
      <c r="R111" s="313">
        <f t="shared" ca="1" si="57"/>
        <v>0</v>
      </c>
      <c r="S111" s="1741">
        <f t="shared" ca="1" si="58"/>
        <v>0</v>
      </c>
      <c r="T111" s="313" t="str">
        <f ca="1">input!J477</f>
        <v>N</v>
      </c>
      <c r="V111" s="3115" t="str">
        <f>input!K477</f>
        <v>Packaging</v>
      </c>
      <c r="W111" s="3115">
        <f t="shared" ca="1" si="35"/>
        <v>0</v>
      </c>
      <c r="X111" s="3119">
        <f>VLOOKUP(V111,'Fix Cost'!$K$177:$M$179,2,0)</f>
        <v>58449.923860467366</v>
      </c>
      <c r="Y111" s="3119">
        <f>VLOOKUP(V111,'Fix Cost'!$K$177:$M$179,3,0)</f>
        <v>267411.04680782068</v>
      </c>
      <c r="Z111" s="3119">
        <f t="shared" ca="1" si="36"/>
        <v>0</v>
      </c>
      <c r="AA111" s="3115">
        <f t="shared" ca="1" si="37"/>
        <v>0</v>
      </c>
      <c r="AB111" s="3115">
        <f t="shared" ca="1" si="38"/>
        <v>0</v>
      </c>
      <c r="AK111" s="313"/>
      <c r="AL111" s="313"/>
      <c r="AM111" s="313"/>
      <c r="AO111" s="385"/>
      <c r="AP111" s="385"/>
      <c r="AQ111" s="385"/>
      <c r="AR111" s="1048"/>
      <c r="AS111" s="385"/>
      <c r="AT111" s="879">
        <f t="shared" ca="1" si="33"/>
        <v>0</v>
      </c>
      <c r="AU111" s="879">
        <f ca="1">COUNTIFS(AT$7:$AT111,1)</f>
        <v>3</v>
      </c>
    </row>
    <row r="112" spans="1:47" ht="12.75" hidden="1" outlineLevel="1">
      <c r="A112" s="1269"/>
      <c r="B112" s="1738" t="s">
        <v>140</v>
      </c>
      <c r="C112" s="313" t="str">
        <f>input!C478</f>
        <v>TK Coating</v>
      </c>
      <c r="E112" s="363"/>
      <c r="F112" s="363" t="str">
        <f ca="1">input!F478</f>
        <v>N</v>
      </c>
      <c r="G112" s="363"/>
      <c r="H112" s="313">
        <f ca="1">SUMIFS(Paper!$AC$7:$AC$30,Paper!$A$7:$A$30,'Production cost'!F112)</f>
        <v>0</v>
      </c>
      <c r="I112" s="313">
        <f ca="1">IF(input!$G478&gt;0,input!$G478,3000)</f>
        <v>3000</v>
      </c>
      <c r="J112" s="313" t="s">
        <v>5</v>
      </c>
      <c r="K112" s="360">
        <v>0</v>
      </c>
      <c r="L112" s="313">
        <f ca="1">IF(input!$I478&gt;0,input!$I478,3)</f>
        <v>3</v>
      </c>
      <c r="M112" s="391">
        <f ca="1">IF(H112&gt;0,SUMIF(Data!$L$1155:$L$1190,'Production cost'!$C112,Data!$Q$1155:$Q$1190)*SUMIF(Paper!$A$7:$A$29,'Production cost'!$F112,Paper!$J$7:$J$29),0)</f>
        <v>0</v>
      </c>
      <c r="N112" s="391">
        <f t="shared" ca="1" si="56"/>
        <v>0</v>
      </c>
      <c r="P112" s="313">
        <f>SUMIF(Data!$L$1155:$L$1190,'Production cost'!$C112,Data!$N$1155:$N$1190)</f>
        <v>78551.859745354872</v>
      </c>
      <c r="Q112" s="313">
        <f t="shared" ca="1" si="59"/>
        <v>0</v>
      </c>
      <c r="R112" s="313">
        <f t="shared" ca="1" si="57"/>
        <v>0</v>
      </c>
      <c r="S112" s="1741">
        <f t="shared" ca="1" si="58"/>
        <v>0</v>
      </c>
      <c r="T112" s="313" t="str">
        <f ca="1">input!J478</f>
        <v>N</v>
      </c>
      <c r="V112" s="3115" t="str">
        <f>input!K478</f>
        <v>Packaging</v>
      </c>
      <c r="W112" s="3115">
        <f t="shared" ca="1" si="35"/>
        <v>0</v>
      </c>
      <c r="X112" s="3119">
        <f>VLOOKUP(V112,'Fix Cost'!$K$177:$M$179,2,0)</f>
        <v>58449.923860467366</v>
      </c>
      <c r="Y112" s="3119">
        <f>VLOOKUP(V112,'Fix Cost'!$K$177:$M$179,3,0)</f>
        <v>267411.04680782068</v>
      </c>
      <c r="Z112" s="3119">
        <f t="shared" ca="1" si="36"/>
        <v>0</v>
      </c>
      <c r="AA112" s="3115">
        <f t="shared" ca="1" si="37"/>
        <v>0</v>
      </c>
      <c r="AB112" s="3115">
        <f t="shared" ca="1" si="38"/>
        <v>0</v>
      </c>
      <c r="AK112" s="313"/>
      <c r="AL112" s="313"/>
      <c r="AM112" s="313"/>
      <c r="AO112" s="385"/>
      <c r="AP112" s="385"/>
      <c r="AQ112" s="385"/>
      <c r="AR112" s="1048"/>
      <c r="AS112" s="385"/>
      <c r="AT112" s="879">
        <f t="shared" ca="1" si="33"/>
        <v>0</v>
      </c>
      <c r="AU112" s="879">
        <f ca="1">COUNTIFS(AT$7:$AT112,1)</f>
        <v>3</v>
      </c>
    </row>
    <row r="113" spans="1:47" ht="12.75" hidden="1" outlineLevel="1">
      <c r="A113" s="1269"/>
      <c r="B113" s="1738" t="s">
        <v>140</v>
      </c>
      <c r="C113" s="313" t="str">
        <f>input!C479</f>
        <v>TK Coating</v>
      </c>
      <c r="E113" s="363"/>
      <c r="F113" s="363" t="str">
        <f ca="1">input!F479</f>
        <v>N</v>
      </c>
      <c r="G113" s="363"/>
      <c r="H113" s="313">
        <f ca="1">SUMIFS(Paper!$AC$7:$AC$30,Paper!$A$7:$A$30,'Production cost'!F113)</f>
        <v>0</v>
      </c>
      <c r="I113" s="313">
        <f ca="1">IF(input!$G479&gt;0,input!$G479,3000)</f>
        <v>3000</v>
      </c>
      <c r="J113" s="313" t="s">
        <v>5</v>
      </c>
      <c r="K113" s="360">
        <v>0</v>
      </c>
      <c r="L113" s="313">
        <f ca="1">IF(input!$I479&gt;0,input!$I479,3)</f>
        <v>3</v>
      </c>
      <c r="M113" s="391">
        <f ca="1">IF(H113&gt;0,SUMIF(Data!$L$1155:$L$1190,'Production cost'!$C113,Data!$Q$1155:$Q$1190)*SUMIF(Paper!$A$7:$A$29,'Production cost'!$F113,Paper!$J$7:$J$29),0)</f>
        <v>0</v>
      </c>
      <c r="N113" s="391">
        <f ca="1">IF(H113&gt;0,ROUNDUP(((H113/I113)/$M$5+M113),1),0)</f>
        <v>0</v>
      </c>
      <c r="P113" s="313">
        <f>SUMIF(Data!$L$1155:$L$1190,'Production cost'!$C113,Data!$N$1155:$N$1190)</f>
        <v>78551.859745354872</v>
      </c>
      <c r="Q113" s="313">
        <f t="shared" ca="1" si="59"/>
        <v>0</v>
      </c>
      <c r="R113" s="313">
        <f ca="1">IF($E$2&gt;0,Q113/$E$2,0)</f>
        <v>0</v>
      </c>
      <c r="S113" s="1741">
        <f ca="1">IF(M113&gt;0,K113*O113+L113*P113,0)</f>
        <v>0</v>
      </c>
      <c r="T113" s="313" t="str">
        <f ca="1">input!J479</f>
        <v>N</v>
      </c>
      <c r="V113" s="3115" t="str">
        <f>input!K479</f>
        <v>Packaging</v>
      </c>
      <c r="W113" s="3115">
        <f t="shared" ca="1" si="35"/>
        <v>0</v>
      </c>
      <c r="X113" s="3119">
        <f>VLOOKUP(V113,'Fix Cost'!$K$177:$M$179,2,0)</f>
        <v>58449.923860467366</v>
      </c>
      <c r="Y113" s="3119">
        <f>VLOOKUP(V113,'Fix Cost'!$K$177:$M$179,3,0)</f>
        <v>267411.04680782068</v>
      </c>
      <c r="Z113" s="3119">
        <f t="shared" ca="1" si="36"/>
        <v>0</v>
      </c>
      <c r="AA113" s="3115">
        <f t="shared" ca="1" si="37"/>
        <v>0</v>
      </c>
      <c r="AB113" s="3115">
        <f t="shared" ca="1" si="38"/>
        <v>0</v>
      </c>
      <c r="AK113" s="313"/>
      <c r="AL113" s="313"/>
      <c r="AM113" s="313"/>
      <c r="AO113" s="385"/>
      <c r="AP113" s="385"/>
      <c r="AQ113" s="385"/>
      <c r="AR113" s="1048"/>
      <c r="AS113" s="385"/>
      <c r="AT113" s="879">
        <f t="shared" ca="1" si="33"/>
        <v>0</v>
      </c>
      <c r="AU113" s="879">
        <f ca="1">COUNTIFS(AT$7:$AT113,1)</f>
        <v>3</v>
      </c>
    </row>
    <row r="114" spans="1:47" ht="12.75" hidden="1" outlineLevel="1">
      <c r="A114" s="1269"/>
      <c r="B114" s="1738" t="s">
        <v>140</v>
      </c>
      <c r="C114" s="313" t="str">
        <f>input!C480</f>
        <v>TK Coating</v>
      </c>
      <c r="E114" s="363"/>
      <c r="F114" s="363" t="str">
        <f ca="1">input!F480</f>
        <v>N</v>
      </c>
      <c r="G114" s="363"/>
      <c r="H114" s="313">
        <f ca="1">SUMIFS(Paper!$AC$7:$AC$30,Paper!$A$7:$A$30,'Production cost'!F114)</f>
        <v>0</v>
      </c>
      <c r="I114" s="313">
        <f ca="1">IF(input!$G480&gt;0,input!$G480,3000)</f>
        <v>3000</v>
      </c>
      <c r="J114" s="313" t="s">
        <v>5</v>
      </c>
      <c r="K114" s="360">
        <v>0</v>
      </c>
      <c r="L114" s="313">
        <f ca="1">IF(input!$I480&gt;0,input!$I480,3)</f>
        <v>3</v>
      </c>
      <c r="M114" s="391">
        <f ca="1">IF(H114&gt;0,SUMIF(Data!$L$1155:$L$1190,'Production cost'!$C114,Data!$Q$1155:$Q$1190)*SUMIF(Paper!$A$7:$A$29,'Production cost'!$F114,Paper!$J$7:$J$29),0)</f>
        <v>0</v>
      </c>
      <c r="N114" s="391">
        <f ca="1">IF(H114&gt;0,ROUNDUP(((H114/I114)/$M$5+M114),1),0)</f>
        <v>0</v>
      </c>
      <c r="P114" s="313">
        <f>SUMIF(Data!$L$1155:$L$1190,'Production cost'!$C114,Data!$N$1155:$N$1190)</f>
        <v>78551.859745354872</v>
      </c>
      <c r="Q114" s="313">
        <f t="shared" ca="1" si="59"/>
        <v>0</v>
      </c>
      <c r="R114" s="313">
        <f ca="1">IF($E$2&gt;0,Q114/$E$2,0)</f>
        <v>0</v>
      </c>
      <c r="S114" s="1741">
        <f ca="1">IF(M114&gt;0,K114*O114+L114*P114,0)</f>
        <v>0</v>
      </c>
      <c r="T114" s="313" t="str">
        <f ca="1">input!J480</f>
        <v>N</v>
      </c>
      <c r="V114" s="3115" t="str">
        <f>input!K480</f>
        <v>Packaging</v>
      </c>
      <c r="W114" s="3115">
        <f t="shared" ca="1" si="35"/>
        <v>0</v>
      </c>
      <c r="X114" s="3119">
        <f>VLOOKUP(V114,'Fix Cost'!$K$177:$M$179,2,0)</f>
        <v>58449.923860467366</v>
      </c>
      <c r="Y114" s="3119">
        <f>VLOOKUP(V114,'Fix Cost'!$K$177:$M$179,3,0)</f>
        <v>267411.04680782068</v>
      </c>
      <c r="Z114" s="3119">
        <f t="shared" ca="1" si="36"/>
        <v>0</v>
      </c>
      <c r="AA114" s="3115">
        <f t="shared" ca="1" si="37"/>
        <v>0</v>
      </c>
      <c r="AB114" s="3115">
        <f t="shared" ca="1" si="38"/>
        <v>0</v>
      </c>
      <c r="AK114" s="313"/>
      <c r="AL114" s="313"/>
      <c r="AM114" s="313"/>
      <c r="AO114" s="385"/>
      <c r="AP114" s="385"/>
      <c r="AQ114" s="385"/>
      <c r="AR114" s="1048"/>
      <c r="AS114" s="385"/>
      <c r="AT114" s="879">
        <f t="shared" ca="1" si="33"/>
        <v>0</v>
      </c>
      <c r="AU114" s="879">
        <f ca="1">COUNTIFS(AT$7:$AT114,1)</f>
        <v>3</v>
      </c>
    </row>
    <row r="115" spans="1:47" ht="12.75" hidden="1" outlineLevel="1">
      <c r="A115" s="1269"/>
      <c r="B115" s="1738" t="s">
        <v>140</v>
      </c>
      <c r="C115" s="313" t="str">
        <f>input!C481</f>
        <v>TK Coating</v>
      </c>
      <c r="E115" s="363"/>
      <c r="F115" s="363" t="str">
        <f ca="1">input!F481</f>
        <v>N</v>
      </c>
      <c r="G115" s="363"/>
      <c r="H115" s="313">
        <f ca="1">SUMIFS(Paper!$AC$7:$AC$30,Paper!$A$7:$A$30,'Production cost'!F115)</f>
        <v>0</v>
      </c>
      <c r="I115" s="313">
        <f ca="1">IF(input!$G481&gt;0,input!$G481,3000)</f>
        <v>3000</v>
      </c>
      <c r="J115" s="313" t="s">
        <v>5</v>
      </c>
      <c r="K115" s="360">
        <v>0</v>
      </c>
      <c r="L115" s="313">
        <f ca="1">IF(input!$I481&gt;0,input!$I481,3)</f>
        <v>3</v>
      </c>
      <c r="M115" s="391">
        <f ca="1">IF(H115&gt;0,SUMIF(Data!$L$1155:$L$1190,'Production cost'!$C115,Data!$Q$1155:$Q$1190)*SUMIF(Paper!$A$7:$A$29,'Production cost'!$F115,Paper!$J$7:$J$29),0)</f>
        <v>0</v>
      </c>
      <c r="N115" s="391">
        <f ca="1">IF(H115&gt;0,ROUNDUP(((H115/I115)/$M$5+M115),1),0)</f>
        <v>0</v>
      </c>
      <c r="P115" s="313">
        <f>SUMIF(Data!$L$1155:$L$1190,'Production cost'!$C115,Data!$N$1155:$N$1190)</f>
        <v>78551.859745354872</v>
      </c>
      <c r="Q115" s="313">
        <f t="shared" ca="1" si="59"/>
        <v>0</v>
      </c>
      <c r="R115" s="313">
        <f ca="1">IF($E$2&gt;0,Q115/$E$2,0)</f>
        <v>0</v>
      </c>
      <c r="S115" s="1741">
        <f ca="1">IF(M115&gt;0,K115*O115+L115*P115,0)</f>
        <v>0</v>
      </c>
      <c r="T115" s="313" t="str">
        <f ca="1">input!J481</f>
        <v>N</v>
      </c>
      <c r="V115" s="3115" t="str">
        <f>input!K481</f>
        <v>Packaging</v>
      </c>
      <c r="W115" s="3115">
        <f t="shared" ca="1" si="35"/>
        <v>0</v>
      </c>
      <c r="X115" s="3119">
        <f>VLOOKUP(V115,'Fix Cost'!$K$177:$M$179,2,0)</f>
        <v>58449.923860467366</v>
      </c>
      <c r="Y115" s="3119">
        <f>VLOOKUP(V115,'Fix Cost'!$K$177:$M$179,3,0)</f>
        <v>267411.04680782068</v>
      </c>
      <c r="Z115" s="3119">
        <f t="shared" ca="1" si="36"/>
        <v>0</v>
      </c>
      <c r="AA115" s="3115">
        <f t="shared" ca="1" si="37"/>
        <v>0</v>
      </c>
      <c r="AB115" s="3115">
        <f t="shared" ca="1" si="38"/>
        <v>0</v>
      </c>
      <c r="AK115" s="313"/>
      <c r="AL115" s="313"/>
      <c r="AM115" s="313"/>
      <c r="AO115" s="385"/>
      <c r="AP115" s="385"/>
      <c r="AQ115" s="385"/>
      <c r="AR115" s="1048"/>
      <c r="AS115" s="385"/>
      <c r="AT115" s="879">
        <f t="shared" ca="1" si="33"/>
        <v>0</v>
      </c>
      <c r="AU115" s="879">
        <f ca="1">COUNTIFS(AT$7:$AT115,1)</f>
        <v>3</v>
      </c>
    </row>
    <row r="116" spans="1:47" ht="12.75" hidden="1" outlineLevel="1">
      <c r="A116" s="1269"/>
      <c r="B116" s="1738" t="s">
        <v>140</v>
      </c>
      <c r="C116" s="313" t="str">
        <f>input!C482</f>
        <v>TK Coating</v>
      </c>
      <c r="E116" s="363"/>
      <c r="F116" s="363" t="str">
        <f ca="1">input!F482</f>
        <v>N</v>
      </c>
      <c r="G116" s="363"/>
      <c r="H116" s="313">
        <f ca="1">SUMIFS(Paper!$AC$7:$AC$30,Paper!$A$7:$A$30,'Production cost'!F116)</f>
        <v>0</v>
      </c>
      <c r="I116" s="313">
        <f ca="1">IF(input!$G482&gt;0,input!$G482,3000)</f>
        <v>3000</v>
      </c>
      <c r="J116" s="313" t="s">
        <v>5</v>
      </c>
      <c r="K116" s="360">
        <v>0</v>
      </c>
      <c r="L116" s="313">
        <f ca="1">IF(input!$I482&gt;0,input!$I482,3)</f>
        <v>3</v>
      </c>
      <c r="M116" s="391">
        <f ca="1">IF(H116&gt;0,SUMIF(Data!$L$1155:$L$1190,'Production cost'!$C116,Data!$Q$1155:$Q$1190)*SUMIF(Paper!$A$7:$A$29,'Production cost'!$F116,Paper!$J$7:$J$29),0)</f>
        <v>0</v>
      </c>
      <c r="N116" s="391">
        <f ca="1">IF(H116&gt;0,ROUNDUP(((H116/I116)/$M$5+M116),1),0)</f>
        <v>0</v>
      </c>
      <c r="P116" s="313">
        <f>SUMIF(Data!$L$1155:$L$1190,'Production cost'!$C116,Data!$N$1155:$N$1190)</f>
        <v>78551.859745354872</v>
      </c>
      <c r="Q116" s="313">
        <f t="shared" ca="1" si="59"/>
        <v>0</v>
      </c>
      <c r="R116" s="313">
        <f ca="1">IF($E$2&gt;0,Q116/$E$2,0)</f>
        <v>0</v>
      </c>
      <c r="S116" s="1741">
        <f ca="1">IF(M116&gt;0,K116*O116+L116*P116,0)</f>
        <v>0</v>
      </c>
      <c r="T116" s="313" t="str">
        <f ca="1">input!J482</f>
        <v>N</v>
      </c>
      <c r="V116" s="3115" t="str">
        <f>input!K482</f>
        <v>Packaging</v>
      </c>
      <c r="W116" s="3115">
        <f t="shared" ca="1" si="35"/>
        <v>0</v>
      </c>
      <c r="X116" s="3119">
        <f>VLOOKUP(V116,'Fix Cost'!$K$177:$M$179,2,0)</f>
        <v>58449.923860467366</v>
      </c>
      <c r="Y116" s="3119">
        <f>VLOOKUP(V116,'Fix Cost'!$K$177:$M$179,3,0)</f>
        <v>267411.04680782068</v>
      </c>
      <c r="Z116" s="3119">
        <f t="shared" ca="1" si="36"/>
        <v>0</v>
      </c>
      <c r="AA116" s="3115">
        <f t="shared" ca="1" si="37"/>
        <v>0</v>
      </c>
      <c r="AB116" s="3115">
        <f t="shared" ca="1" si="38"/>
        <v>0</v>
      </c>
      <c r="AK116" s="313"/>
      <c r="AL116" s="313"/>
      <c r="AM116" s="313"/>
      <c r="AO116" s="385"/>
      <c r="AP116" s="385"/>
      <c r="AQ116" s="385"/>
      <c r="AR116" s="1048"/>
      <c r="AS116" s="385"/>
      <c r="AT116" s="879">
        <f t="shared" ca="1" si="33"/>
        <v>0</v>
      </c>
      <c r="AU116" s="879">
        <f ca="1">COUNTIFS(AT$7:$AT116,1)</f>
        <v>3</v>
      </c>
    </row>
    <row r="117" spans="1:47" ht="12.75" hidden="1" outlineLevel="1">
      <c r="A117" s="1269"/>
      <c r="B117" s="1738" t="s">
        <v>140</v>
      </c>
      <c r="C117" s="313" t="str">
        <f>input!C483</f>
        <v>TK Coating</v>
      </c>
      <c r="E117" s="363"/>
      <c r="F117" s="363" t="str">
        <f ca="1">input!F483</f>
        <v>N</v>
      </c>
      <c r="G117" s="363"/>
      <c r="H117" s="313">
        <f ca="1">SUMIFS(Paper!$AC$7:$AC$30,Paper!$A$7:$A$30,'Production cost'!F117)</f>
        <v>0</v>
      </c>
      <c r="I117" s="313">
        <f ca="1">IF(input!$G483&gt;0,input!$G483,3000)</f>
        <v>3000</v>
      </c>
      <c r="J117" s="313" t="s">
        <v>5</v>
      </c>
      <c r="K117" s="360">
        <v>0</v>
      </c>
      <c r="L117" s="313">
        <f ca="1">IF(input!$I483&gt;0,input!$I483,3)</f>
        <v>3</v>
      </c>
      <c r="M117" s="391">
        <f ca="1">IF(H117&gt;0,SUMIF(Data!$L$1155:$L$1190,'Production cost'!$C117,Data!$Q$1155:$Q$1190)*SUMIF(Paper!$A$7:$A$29,'Production cost'!$F117,Paper!$J$7:$J$29),0)</f>
        <v>0</v>
      </c>
      <c r="N117" s="391">
        <f ca="1">IF(H117&gt;0,ROUNDUP(((H117/I117)/$M$5+M117),1),0)</f>
        <v>0</v>
      </c>
      <c r="P117" s="313">
        <f>SUMIF(Data!$L$1155:$L$1190,'Production cost'!$C117,Data!$N$1155:$N$1190)</f>
        <v>78551.859745354872</v>
      </c>
      <c r="Q117" s="313">
        <f t="shared" ca="1" si="59"/>
        <v>0</v>
      </c>
      <c r="R117" s="313">
        <f ca="1">IF($E$2&gt;0,Q117/$E$2,0)</f>
        <v>0</v>
      </c>
      <c r="S117" s="1741">
        <f ca="1">IF(M117&gt;0,K117*O117+L117*P117,0)</f>
        <v>0</v>
      </c>
      <c r="T117" s="313" t="str">
        <f ca="1">input!J483</f>
        <v>N</v>
      </c>
      <c r="V117" s="3115" t="str">
        <f>input!K483</f>
        <v>Packaging</v>
      </c>
      <c r="W117" s="3115">
        <f t="shared" ca="1" si="35"/>
        <v>0</v>
      </c>
      <c r="X117" s="3119">
        <f>VLOOKUP(V117,'Fix Cost'!$K$177:$M$179,2,0)</f>
        <v>58449.923860467366</v>
      </c>
      <c r="Y117" s="3119">
        <f>VLOOKUP(V117,'Fix Cost'!$K$177:$M$179,3,0)</f>
        <v>267411.04680782068</v>
      </c>
      <c r="Z117" s="3119">
        <f t="shared" ca="1" si="36"/>
        <v>0</v>
      </c>
      <c r="AA117" s="3115">
        <f t="shared" ca="1" si="37"/>
        <v>0</v>
      </c>
      <c r="AB117" s="3115">
        <f t="shared" ca="1" si="38"/>
        <v>0</v>
      </c>
      <c r="AK117" s="313"/>
      <c r="AL117" s="313"/>
      <c r="AM117" s="313"/>
      <c r="AO117" s="385"/>
      <c r="AP117" s="385"/>
      <c r="AQ117" s="385"/>
      <c r="AR117" s="1048"/>
      <c r="AS117" s="385"/>
      <c r="AT117" s="879">
        <f t="shared" ca="1" si="33"/>
        <v>0</v>
      </c>
      <c r="AU117" s="879">
        <f ca="1">COUNTIFS(AT$7:$AT117,1)</f>
        <v>3</v>
      </c>
    </row>
    <row r="118" spans="1:47" ht="12.75" hidden="1" outlineLevel="1">
      <c r="A118" s="1269"/>
      <c r="B118" s="1738" t="s">
        <v>140</v>
      </c>
      <c r="C118" s="313" t="str">
        <f>input!C484</f>
        <v>TK Coating</v>
      </c>
      <c r="E118" s="363"/>
      <c r="F118" s="363" t="str">
        <f ca="1">input!F484</f>
        <v>N</v>
      </c>
      <c r="G118" s="363"/>
      <c r="H118" s="313">
        <f ca="1">SUMIFS(Paper!$AC$7:$AC$30,Paper!$A$7:$A$30,'Production cost'!F118)</f>
        <v>0</v>
      </c>
      <c r="I118" s="313">
        <f ca="1">IF(input!$G484&gt;0,input!$G484,3000)</f>
        <v>3000</v>
      </c>
      <c r="J118" s="313" t="s">
        <v>5</v>
      </c>
      <c r="K118" s="360">
        <v>0</v>
      </c>
      <c r="L118" s="313">
        <f ca="1">IF(input!$I484&gt;0,input!$I484,3)</f>
        <v>3</v>
      </c>
      <c r="M118" s="391">
        <f ca="1">IF(H118&gt;0,SUMIF(Data!$L$1155:$L$1190,'Production cost'!$C118,Data!$Q$1155:$Q$1190)*SUMIF(Paper!$A$7:$A$29,'Production cost'!$F118,Paper!$J$7:$J$29),0)</f>
        <v>0</v>
      </c>
      <c r="N118" s="391">
        <f t="shared" ref="N118:N122" ca="1" si="60">IF(H118&gt;0,ROUNDUP(((H118/I118)/$M$5+M118),1),0)</f>
        <v>0</v>
      </c>
      <c r="P118" s="313">
        <f>SUMIF(Data!$L$1155:$L$1190,'Production cost'!$C118,Data!$N$1155:$N$1190)</f>
        <v>78551.859745354872</v>
      </c>
      <c r="Q118" s="313">
        <f t="shared" ca="1" si="59"/>
        <v>0</v>
      </c>
      <c r="R118" s="313">
        <f t="shared" ref="R118:R122" ca="1" si="61">IF($E$2&gt;0,Q118/$E$2,0)</f>
        <v>0</v>
      </c>
      <c r="S118" s="1741">
        <f t="shared" ref="S118:S122" ca="1" si="62">IF(M118&gt;0,K118*O118+L118*P118,0)</f>
        <v>0</v>
      </c>
      <c r="T118" s="313" t="str">
        <f ca="1">input!J484</f>
        <v>N</v>
      </c>
      <c r="V118" s="3115" t="str">
        <f>input!K484</f>
        <v>Packaging</v>
      </c>
      <c r="W118" s="3115">
        <f t="shared" ref="W118:W122" ca="1" si="63">N118*(L118+K118)</f>
        <v>0</v>
      </c>
      <c r="X118" s="3119">
        <f>VLOOKUP(V118,'Fix Cost'!$K$177:$M$179,2,0)</f>
        <v>58449.923860467366</v>
      </c>
      <c r="Y118" s="3119">
        <f>VLOOKUP(V118,'Fix Cost'!$K$177:$M$179,3,0)</f>
        <v>267411.04680782068</v>
      </c>
      <c r="Z118" s="3119">
        <f t="shared" ref="Z118:Z122" ca="1" si="64">IFERROR($X118*W118,0)</f>
        <v>0</v>
      </c>
      <c r="AA118" s="3115">
        <f t="shared" ref="AA118:AA122" ca="1" si="65">IFERROR(Y118*N118,0)</f>
        <v>0</v>
      </c>
      <c r="AB118" s="3115">
        <f t="shared" ref="AB118:AB122" ca="1" si="66">Z118+AA118</f>
        <v>0</v>
      </c>
      <c r="AK118" s="313"/>
      <c r="AL118" s="313"/>
      <c r="AM118" s="313"/>
      <c r="AO118" s="385"/>
      <c r="AP118" s="385"/>
      <c r="AQ118" s="385"/>
      <c r="AR118" s="1048"/>
      <c r="AS118" s="385"/>
      <c r="AT118" s="879">
        <f t="shared" ca="1" si="33"/>
        <v>0</v>
      </c>
      <c r="AU118" s="879">
        <f ca="1">COUNTIFS(AT$7:$AT118,1)</f>
        <v>3</v>
      </c>
    </row>
    <row r="119" spans="1:47" ht="12.75" hidden="1" outlineLevel="1">
      <c r="A119" s="1269"/>
      <c r="B119" s="1738" t="s">
        <v>140</v>
      </c>
      <c r="C119" s="313" t="str">
        <f>input!C485</f>
        <v>TK Coating</v>
      </c>
      <c r="E119" s="363"/>
      <c r="F119" s="363" t="str">
        <f ca="1">input!F485</f>
        <v>N</v>
      </c>
      <c r="G119" s="363"/>
      <c r="H119" s="313">
        <f ca="1">SUMIFS(Paper!$AC$7:$AC$30,Paper!$A$7:$A$30,'Production cost'!F119)</f>
        <v>0</v>
      </c>
      <c r="I119" s="313">
        <f ca="1">IF(input!$G485&gt;0,input!$G485,3000)</f>
        <v>3000</v>
      </c>
      <c r="J119" s="313" t="s">
        <v>5</v>
      </c>
      <c r="K119" s="360">
        <v>0</v>
      </c>
      <c r="L119" s="313">
        <f ca="1">IF(input!$I485&gt;0,input!$I485,3)</f>
        <v>3</v>
      </c>
      <c r="M119" s="391">
        <f ca="1">IF(H119&gt;0,SUMIF(Data!$L$1155:$L$1190,'Production cost'!$C119,Data!$Q$1155:$Q$1190)*SUMIF(Paper!$A$7:$A$29,'Production cost'!$F119,Paper!$J$7:$J$29),0)</f>
        <v>0</v>
      </c>
      <c r="N119" s="391">
        <f t="shared" ca="1" si="60"/>
        <v>0</v>
      </c>
      <c r="P119" s="313">
        <f>SUMIF(Data!$L$1155:$L$1190,'Production cost'!$C119,Data!$N$1155:$N$1190)</f>
        <v>78551.859745354872</v>
      </c>
      <c r="Q119" s="313">
        <f t="shared" ca="1" si="59"/>
        <v>0</v>
      </c>
      <c r="R119" s="313">
        <f t="shared" ca="1" si="61"/>
        <v>0</v>
      </c>
      <c r="S119" s="1741">
        <f t="shared" ca="1" si="62"/>
        <v>0</v>
      </c>
      <c r="T119" s="313" t="str">
        <f ca="1">input!J485</f>
        <v>N</v>
      </c>
      <c r="V119" s="3115" t="str">
        <f>input!K485</f>
        <v>Packaging</v>
      </c>
      <c r="W119" s="3115">
        <f t="shared" ca="1" si="63"/>
        <v>0</v>
      </c>
      <c r="X119" s="3119">
        <f>VLOOKUP(V119,'Fix Cost'!$K$177:$M$179,2,0)</f>
        <v>58449.923860467366</v>
      </c>
      <c r="Y119" s="3119">
        <f>VLOOKUP(V119,'Fix Cost'!$K$177:$M$179,3,0)</f>
        <v>267411.04680782068</v>
      </c>
      <c r="Z119" s="3119">
        <f t="shared" ca="1" si="64"/>
        <v>0</v>
      </c>
      <c r="AA119" s="3115">
        <f t="shared" ca="1" si="65"/>
        <v>0</v>
      </c>
      <c r="AB119" s="3115">
        <f t="shared" ca="1" si="66"/>
        <v>0</v>
      </c>
      <c r="AK119" s="313"/>
      <c r="AL119" s="313"/>
      <c r="AM119" s="313"/>
      <c r="AO119" s="385"/>
      <c r="AP119" s="385"/>
      <c r="AQ119" s="385"/>
      <c r="AR119" s="1048"/>
      <c r="AS119" s="385"/>
      <c r="AT119" s="879">
        <f t="shared" ca="1" si="33"/>
        <v>0</v>
      </c>
      <c r="AU119" s="879">
        <f ca="1">COUNTIFS(AT$7:$AT119,1)</f>
        <v>3</v>
      </c>
    </row>
    <row r="120" spans="1:47" ht="12.75" hidden="1" outlineLevel="1">
      <c r="A120" s="1269"/>
      <c r="B120" s="1738" t="s">
        <v>140</v>
      </c>
      <c r="C120" s="313" t="str">
        <f>input!C486</f>
        <v>TK Coating</v>
      </c>
      <c r="E120" s="363"/>
      <c r="F120" s="363" t="str">
        <f ca="1">input!F486</f>
        <v>N</v>
      </c>
      <c r="G120" s="363"/>
      <c r="H120" s="313">
        <f ca="1">SUMIFS(Paper!$AC$7:$AC$30,Paper!$A$7:$A$30,'Production cost'!F120)</f>
        <v>0</v>
      </c>
      <c r="I120" s="313">
        <f ca="1">IF(input!$G486&gt;0,input!$G486,3000)</f>
        <v>3000</v>
      </c>
      <c r="J120" s="313" t="s">
        <v>5</v>
      </c>
      <c r="K120" s="360">
        <v>0</v>
      </c>
      <c r="L120" s="313">
        <f ca="1">IF(input!$I486&gt;0,input!$I486,3)</f>
        <v>3</v>
      </c>
      <c r="M120" s="391">
        <f ca="1">IF(H120&gt;0,SUMIF(Data!$L$1155:$L$1190,'Production cost'!$C120,Data!$Q$1155:$Q$1190)*SUMIF(Paper!$A$7:$A$29,'Production cost'!$F120,Paper!$J$7:$J$29),0)</f>
        <v>0</v>
      </c>
      <c r="N120" s="391">
        <f t="shared" ca="1" si="60"/>
        <v>0</v>
      </c>
      <c r="P120" s="313">
        <f>SUMIF(Data!$L$1155:$L$1190,'Production cost'!$C120,Data!$N$1155:$N$1190)</f>
        <v>78551.859745354872</v>
      </c>
      <c r="Q120" s="313">
        <f t="shared" ca="1" si="59"/>
        <v>0</v>
      </c>
      <c r="R120" s="313">
        <f t="shared" ca="1" si="61"/>
        <v>0</v>
      </c>
      <c r="S120" s="1741">
        <f t="shared" ca="1" si="62"/>
        <v>0</v>
      </c>
      <c r="T120" s="313" t="str">
        <f ca="1">input!J486</f>
        <v>N</v>
      </c>
      <c r="V120" s="3115" t="str">
        <f>input!K486</f>
        <v>Packaging</v>
      </c>
      <c r="W120" s="3115">
        <f t="shared" ca="1" si="63"/>
        <v>0</v>
      </c>
      <c r="X120" s="3119">
        <f>VLOOKUP(V120,'Fix Cost'!$K$177:$M$179,2,0)</f>
        <v>58449.923860467366</v>
      </c>
      <c r="Y120" s="3119">
        <f>VLOOKUP(V120,'Fix Cost'!$K$177:$M$179,3,0)</f>
        <v>267411.04680782068</v>
      </c>
      <c r="Z120" s="3119">
        <f t="shared" ca="1" si="64"/>
        <v>0</v>
      </c>
      <c r="AA120" s="3115">
        <f t="shared" ca="1" si="65"/>
        <v>0</v>
      </c>
      <c r="AB120" s="3115">
        <f t="shared" ca="1" si="66"/>
        <v>0</v>
      </c>
      <c r="AK120" s="313"/>
      <c r="AL120" s="313"/>
      <c r="AM120" s="313"/>
      <c r="AO120" s="385"/>
      <c r="AP120" s="385"/>
      <c r="AQ120" s="385"/>
      <c r="AR120" s="1048"/>
      <c r="AS120" s="385"/>
      <c r="AT120" s="879">
        <f t="shared" ca="1" si="33"/>
        <v>0</v>
      </c>
      <c r="AU120" s="879">
        <f ca="1">COUNTIFS(AT$7:$AT120,1)</f>
        <v>3</v>
      </c>
    </row>
    <row r="121" spans="1:47" ht="12.75" hidden="1" outlineLevel="1">
      <c r="A121" s="1269"/>
      <c r="B121" s="1738" t="s">
        <v>140</v>
      </c>
      <c r="C121" s="313" t="str">
        <f>input!C487</f>
        <v>TK Coating</v>
      </c>
      <c r="E121" s="363"/>
      <c r="F121" s="363" t="str">
        <f ca="1">input!F487</f>
        <v>N</v>
      </c>
      <c r="G121" s="363"/>
      <c r="H121" s="313">
        <f ca="1">SUMIFS(Paper!$AC$7:$AC$30,Paper!$A$7:$A$30,'Production cost'!F121)</f>
        <v>0</v>
      </c>
      <c r="I121" s="313">
        <f ca="1">IF(input!$G487&gt;0,input!$G487,3000)</f>
        <v>3000</v>
      </c>
      <c r="J121" s="313" t="s">
        <v>5</v>
      </c>
      <c r="K121" s="360">
        <v>0</v>
      </c>
      <c r="L121" s="313">
        <f ca="1">IF(input!$I487&gt;0,input!$I487,3)</f>
        <v>3</v>
      </c>
      <c r="M121" s="391">
        <f ca="1">IF(H121&gt;0,SUMIF(Data!$L$1155:$L$1190,'Production cost'!$C121,Data!$Q$1155:$Q$1190)*SUMIF(Paper!$A$7:$A$29,'Production cost'!$F121,Paper!$J$7:$J$29),0)</f>
        <v>0</v>
      </c>
      <c r="N121" s="391">
        <f t="shared" ca="1" si="60"/>
        <v>0</v>
      </c>
      <c r="P121" s="313">
        <f>SUMIF(Data!$L$1155:$L$1190,'Production cost'!$C121,Data!$N$1155:$N$1190)</f>
        <v>78551.859745354872</v>
      </c>
      <c r="Q121" s="313">
        <f t="shared" ca="1" si="59"/>
        <v>0</v>
      </c>
      <c r="R121" s="313">
        <f t="shared" ca="1" si="61"/>
        <v>0</v>
      </c>
      <c r="S121" s="1741">
        <f t="shared" ca="1" si="62"/>
        <v>0</v>
      </c>
      <c r="T121" s="313" t="str">
        <f ca="1">input!J487</f>
        <v>N</v>
      </c>
      <c r="V121" s="3115" t="str">
        <f>input!K487</f>
        <v>Packaging</v>
      </c>
      <c r="W121" s="3115">
        <f t="shared" ca="1" si="63"/>
        <v>0</v>
      </c>
      <c r="X121" s="3119">
        <f>VLOOKUP(V121,'Fix Cost'!$K$177:$M$179,2,0)</f>
        <v>58449.923860467366</v>
      </c>
      <c r="Y121" s="3119">
        <f>VLOOKUP(V121,'Fix Cost'!$K$177:$M$179,3,0)</f>
        <v>267411.04680782068</v>
      </c>
      <c r="Z121" s="3119">
        <f t="shared" ca="1" si="64"/>
        <v>0</v>
      </c>
      <c r="AA121" s="3115">
        <f t="shared" ca="1" si="65"/>
        <v>0</v>
      </c>
      <c r="AB121" s="3115">
        <f t="shared" ca="1" si="66"/>
        <v>0</v>
      </c>
      <c r="AK121" s="313"/>
      <c r="AL121" s="313"/>
      <c r="AM121" s="313"/>
      <c r="AO121" s="385"/>
      <c r="AP121" s="385"/>
      <c r="AQ121" s="385"/>
      <c r="AR121" s="1048"/>
      <c r="AS121" s="385"/>
      <c r="AT121" s="879">
        <f t="shared" ca="1" si="33"/>
        <v>0</v>
      </c>
      <c r="AU121" s="879">
        <f ca="1">COUNTIFS(AT$7:$AT121,1)</f>
        <v>3</v>
      </c>
    </row>
    <row r="122" spans="1:47" ht="12.75" hidden="1" outlineLevel="1">
      <c r="A122" s="1269"/>
      <c r="B122" s="1738" t="s">
        <v>140</v>
      </c>
      <c r="C122" s="313" t="str">
        <f>input!C488</f>
        <v>TK Coating</v>
      </c>
      <c r="E122" s="363"/>
      <c r="F122" s="363" t="str">
        <f ca="1">input!F488</f>
        <v>N</v>
      </c>
      <c r="G122" s="363"/>
      <c r="H122" s="313">
        <f ca="1">SUMIFS(Paper!$AC$7:$AC$30,Paper!$A$7:$A$30,'Production cost'!F122)</f>
        <v>0</v>
      </c>
      <c r="I122" s="313">
        <f ca="1">IF(input!$G488&gt;0,input!$G488,3000)</f>
        <v>3000</v>
      </c>
      <c r="J122" s="313" t="s">
        <v>5</v>
      </c>
      <c r="K122" s="360">
        <v>0</v>
      </c>
      <c r="L122" s="313">
        <f ca="1">IF(input!$I488&gt;0,input!$I488,3)</f>
        <v>3</v>
      </c>
      <c r="M122" s="391">
        <f ca="1">IF(H122&gt;0,SUMIF(Data!$L$1155:$L$1190,'Production cost'!$C122,Data!$Q$1155:$Q$1190)*SUMIF(Paper!$A$7:$A$29,'Production cost'!$F122,Paper!$J$7:$J$29),0)</f>
        <v>0</v>
      </c>
      <c r="N122" s="391">
        <f t="shared" ca="1" si="60"/>
        <v>0</v>
      </c>
      <c r="P122" s="313">
        <f>SUMIF(Data!$L$1155:$L$1190,'Production cost'!$C122,Data!$N$1155:$N$1190)</f>
        <v>78551.859745354872</v>
      </c>
      <c r="Q122" s="313">
        <f t="shared" ca="1" si="59"/>
        <v>0</v>
      </c>
      <c r="R122" s="313">
        <f t="shared" ca="1" si="61"/>
        <v>0</v>
      </c>
      <c r="S122" s="1741">
        <f t="shared" ca="1" si="62"/>
        <v>0</v>
      </c>
      <c r="T122" s="313" t="str">
        <f ca="1">input!J488</f>
        <v>N</v>
      </c>
      <c r="V122" s="3115" t="str">
        <f>input!K488</f>
        <v>Packaging</v>
      </c>
      <c r="W122" s="3115">
        <f t="shared" ca="1" si="63"/>
        <v>0</v>
      </c>
      <c r="X122" s="3119">
        <f>VLOOKUP(V122,'Fix Cost'!$K$177:$M$179,2,0)</f>
        <v>58449.923860467366</v>
      </c>
      <c r="Y122" s="3119">
        <f>VLOOKUP(V122,'Fix Cost'!$K$177:$M$179,3,0)</f>
        <v>267411.04680782068</v>
      </c>
      <c r="Z122" s="3119">
        <f t="shared" ca="1" si="64"/>
        <v>0</v>
      </c>
      <c r="AA122" s="3115">
        <f t="shared" ca="1" si="65"/>
        <v>0</v>
      </c>
      <c r="AB122" s="3115">
        <f t="shared" ca="1" si="66"/>
        <v>0</v>
      </c>
      <c r="AK122" s="313"/>
      <c r="AL122" s="313"/>
      <c r="AM122" s="313"/>
      <c r="AO122" s="385"/>
      <c r="AP122" s="385"/>
      <c r="AQ122" s="385"/>
      <c r="AR122" s="1048"/>
      <c r="AS122" s="385"/>
      <c r="AT122" s="879">
        <f t="shared" ca="1" si="33"/>
        <v>0</v>
      </c>
      <c r="AU122" s="879">
        <f ca="1">COUNTIFS(AT$7:$AT122,1)</f>
        <v>3</v>
      </c>
    </row>
    <row r="123" spans="1:47" ht="12.75" hidden="1" outlineLevel="1">
      <c r="A123" s="1269"/>
      <c r="B123" s="1738" t="s">
        <v>140</v>
      </c>
      <c r="C123" s="313" t="str">
        <f>input!C489</f>
        <v>Calendering</v>
      </c>
      <c r="E123" s="363"/>
      <c r="F123" s="363" t="str">
        <f ca="1">input!F489</f>
        <v>N</v>
      </c>
      <c r="G123" s="363"/>
      <c r="H123" s="313">
        <f ca="1">SUMIFS(Paper!$AC$7:$AC$30,Paper!$A$7:$A$30,'Production cost'!F123)</f>
        <v>0</v>
      </c>
      <c r="I123" s="313">
        <f ca="1">IF(input!$G489&gt;0,input!$G489,3000)</f>
        <v>3000</v>
      </c>
      <c r="J123" s="313" t="s">
        <v>5</v>
      </c>
      <c r="K123" s="360">
        <v>0</v>
      </c>
      <c r="L123" s="313">
        <f ca="1">IF(input!$I489&gt;0,input!$I489,3)</f>
        <v>3</v>
      </c>
      <c r="M123" s="391">
        <f ca="1">IF(H123&gt;0,SUMIF(Data!$L$1155:$L$1190,'Production cost'!$C123,Data!$Q$1155:$Q$1190)*SUMIF(Paper!$A$7:$A$29,'Production cost'!$F123,Paper!$J$7:$J$29),0)</f>
        <v>0</v>
      </c>
      <c r="N123" s="391">
        <f t="shared" ca="1" si="56"/>
        <v>0</v>
      </c>
      <c r="P123" s="313">
        <f>SUMIF(Data!$L$1155:$L$1190,'Production cost'!$C123,Data!$N$1155:$N$1190)</f>
        <v>78551.859745354872</v>
      </c>
      <c r="Q123" s="313">
        <f t="shared" ca="1" si="59"/>
        <v>0</v>
      </c>
      <c r="R123" s="313">
        <f t="shared" ca="1" si="57"/>
        <v>0</v>
      </c>
      <c r="S123" s="1741">
        <f t="shared" ca="1" si="58"/>
        <v>0</v>
      </c>
      <c r="T123" s="313" t="str">
        <f ca="1">input!J489</f>
        <v>N</v>
      </c>
      <c r="V123" s="3115" t="str">
        <f>input!K489</f>
        <v>Packaging</v>
      </c>
      <c r="W123" s="3115">
        <f t="shared" ca="1" si="35"/>
        <v>0</v>
      </c>
      <c r="X123" s="3119">
        <f>VLOOKUP(V123,'Fix Cost'!$K$177:$M$179,2,0)</f>
        <v>58449.923860467366</v>
      </c>
      <c r="Y123" s="3119">
        <f>VLOOKUP(V123,'Fix Cost'!$K$177:$M$179,3,0)</f>
        <v>267411.04680782068</v>
      </c>
      <c r="Z123" s="3119">
        <f t="shared" ca="1" si="36"/>
        <v>0</v>
      </c>
      <c r="AA123" s="3115">
        <f t="shared" ca="1" si="37"/>
        <v>0</v>
      </c>
      <c r="AB123" s="3115">
        <f t="shared" ca="1" si="38"/>
        <v>0</v>
      </c>
      <c r="AK123" s="313"/>
      <c r="AL123" s="313"/>
      <c r="AM123" s="313"/>
      <c r="AO123" s="385"/>
      <c r="AP123" s="385"/>
      <c r="AQ123" s="385"/>
      <c r="AR123" s="1048"/>
      <c r="AS123" s="385"/>
      <c r="AT123" s="879">
        <f t="shared" ca="1" si="33"/>
        <v>0</v>
      </c>
      <c r="AU123" s="879">
        <f ca="1">COUNTIFS(AT$7:$AT123,1)</f>
        <v>3</v>
      </c>
    </row>
    <row r="124" spans="1:47" ht="12.75" hidden="1" outlineLevel="1">
      <c r="A124" s="1269"/>
      <c r="B124" s="1738" t="s">
        <v>140</v>
      </c>
      <c r="C124" s="313" t="str">
        <f>input!C490</f>
        <v>Calendering</v>
      </c>
      <c r="E124" s="363"/>
      <c r="F124" s="363" t="str">
        <f ca="1">input!F490</f>
        <v>N</v>
      </c>
      <c r="G124" s="363"/>
      <c r="H124" s="313">
        <f ca="1">SUMIFS(Paper!$AC$7:$AC$30,Paper!$A$7:$A$30,'Production cost'!F124)</f>
        <v>0</v>
      </c>
      <c r="I124" s="313">
        <f ca="1">IF(input!$G490&gt;0,input!$G490,3000)</f>
        <v>3000</v>
      </c>
      <c r="J124" s="313" t="s">
        <v>5</v>
      </c>
      <c r="K124" s="360">
        <v>0</v>
      </c>
      <c r="L124" s="313">
        <f ca="1">IF(input!$I490&gt;0,input!$I490,3)</f>
        <v>3</v>
      </c>
      <c r="M124" s="391">
        <f ca="1">IF(H124&gt;0,SUMIF(Data!$L$1155:$L$1190,'Production cost'!$C124,Data!$Q$1155:$Q$1190)*SUMIF(Paper!$A$7:$A$29,'Production cost'!$F124,Paper!$J$7:$J$29),0)</f>
        <v>0</v>
      </c>
      <c r="N124" s="391">
        <f t="shared" ca="1" si="56"/>
        <v>0</v>
      </c>
      <c r="P124" s="313">
        <f>SUMIF(Data!$L$1155:$L$1190,'Production cost'!$C124,Data!$N$1155:$N$1190)</f>
        <v>78551.859745354872</v>
      </c>
      <c r="Q124" s="313">
        <f t="shared" ca="1" si="59"/>
        <v>0</v>
      </c>
      <c r="R124" s="313">
        <f t="shared" ca="1" si="57"/>
        <v>0</v>
      </c>
      <c r="S124" s="1741">
        <f t="shared" ca="1" si="58"/>
        <v>0</v>
      </c>
      <c r="T124" s="313" t="str">
        <f ca="1">input!J490</f>
        <v>N</v>
      </c>
      <c r="V124" s="3115" t="str">
        <f>input!K490</f>
        <v>Packaging</v>
      </c>
      <c r="W124" s="3115">
        <f t="shared" ca="1" si="35"/>
        <v>0</v>
      </c>
      <c r="X124" s="3119">
        <f>VLOOKUP(V124,'Fix Cost'!$K$177:$M$179,2,0)</f>
        <v>58449.923860467366</v>
      </c>
      <c r="Y124" s="3119">
        <f>VLOOKUP(V124,'Fix Cost'!$K$177:$M$179,3,0)</f>
        <v>267411.04680782068</v>
      </c>
      <c r="Z124" s="3119">
        <f t="shared" ca="1" si="36"/>
        <v>0</v>
      </c>
      <c r="AA124" s="3115">
        <f t="shared" ca="1" si="37"/>
        <v>0</v>
      </c>
      <c r="AB124" s="3115">
        <f t="shared" ca="1" si="38"/>
        <v>0</v>
      </c>
      <c r="AK124" s="313"/>
      <c r="AL124" s="313"/>
      <c r="AM124" s="313"/>
      <c r="AO124" s="385"/>
      <c r="AP124" s="385"/>
      <c r="AQ124" s="385"/>
      <c r="AR124" s="1048"/>
      <c r="AS124" s="385"/>
      <c r="AT124" s="879">
        <f t="shared" ca="1" si="33"/>
        <v>0</v>
      </c>
      <c r="AU124" s="879">
        <f ca="1">COUNTIFS(AT$7:$AT124,1)</f>
        <v>3</v>
      </c>
    </row>
    <row r="125" spans="1:47" ht="12.75" hidden="1" outlineLevel="1">
      <c r="A125" s="1269"/>
      <c r="B125" s="1738" t="s">
        <v>140</v>
      </c>
      <c r="C125" s="313" t="str">
        <f>input!C491</f>
        <v>Calendering</v>
      </c>
      <c r="E125" s="363"/>
      <c r="F125" s="363" t="str">
        <f ca="1">input!F491</f>
        <v>N</v>
      </c>
      <c r="G125" s="363"/>
      <c r="H125" s="313">
        <f ca="1">SUMIFS(Paper!$AC$7:$AC$30,Paper!$A$7:$A$30,'Production cost'!F125)</f>
        <v>0</v>
      </c>
      <c r="I125" s="313">
        <f ca="1">IF(input!$G491&gt;0,input!$G491,3000)</f>
        <v>3000</v>
      </c>
      <c r="J125" s="313" t="s">
        <v>5</v>
      </c>
      <c r="K125" s="360">
        <v>0</v>
      </c>
      <c r="L125" s="313">
        <f ca="1">IF(input!$I491&gt;0,input!$I491,3)</f>
        <v>3</v>
      </c>
      <c r="M125" s="391">
        <f ca="1">IF(H125&gt;0,SUMIF(Data!$L$1155:$L$1190,'Production cost'!$C125,Data!$Q$1155:$Q$1190)*SUMIF(Paper!$A$7:$A$29,'Production cost'!$F125,Paper!$J$7:$J$29),0)</f>
        <v>0</v>
      </c>
      <c r="N125" s="391">
        <f t="shared" ca="1" si="56"/>
        <v>0</v>
      </c>
      <c r="P125" s="313">
        <f>SUMIF(Data!$L$1155:$L$1190,'Production cost'!$C125,Data!$N$1155:$N$1190)</f>
        <v>78551.859745354872</v>
      </c>
      <c r="Q125" s="313">
        <f t="shared" ca="1" si="59"/>
        <v>0</v>
      </c>
      <c r="R125" s="313">
        <f t="shared" ca="1" si="57"/>
        <v>0</v>
      </c>
      <c r="S125" s="1741">
        <f t="shared" ca="1" si="58"/>
        <v>0</v>
      </c>
      <c r="T125" s="313" t="str">
        <f ca="1">input!J491</f>
        <v>N</v>
      </c>
      <c r="V125" s="3115" t="str">
        <f>input!K491</f>
        <v>Packaging</v>
      </c>
      <c r="W125" s="3115">
        <f t="shared" ref="W125:W147" ca="1" si="67">N125*(L125+K125)</f>
        <v>0</v>
      </c>
      <c r="X125" s="3119">
        <f>VLOOKUP(V125,'Fix Cost'!$K$177:$M$179,2,0)</f>
        <v>58449.923860467366</v>
      </c>
      <c r="Y125" s="3119">
        <f>VLOOKUP(V125,'Fix Cost'!$K$177:$M$179,3,0)</f>
        <v>267411.04680782068</v>
      </c>
      <c r="Z125" s="3119">
        <f t="shared" ref="Z125:Z147" ca="1" si="68">IFERROR($X125*W125,0)</f>
        <v>0</v>
      </c>
      <c r="AA125" s="3115">
        <f t="shared" ref="AA125:AA147" ca="1" si="69">IFERROR(Y125*N125,0)</f>
        <v>0</v>
      </c>
      <c r="AB125" s="3115">
        <f t="shared" ref="AB125:AB147" ca="1" si="70">Z125+AA125</f>
        <v>0</v>
      </c>
      <c r="AK125" s="313"/>
      <c r="AL125" s="313"/>
      <c r="AM125" s="313"/>
      <c r="AO125" s="385"/>
      <c r="AP125" s="385"/>
      <c r="AQ125" s="385"/>
      <c r="AR125" s="1048"/>
      <c r="AS125" s="385"/>
      <c r="AT125" s="879">
        <f t="shared" ca="1" si="33"/>
        <v>0</v>
      </c>
      <c r="AU125" s="879">
        <f ca="1">COUNTIFS(AT$7:$AT125,1)</f>
        <v>3</v>
      </c>
    </row>
    <row r="126" spans="1:47" ht="12.75" hidden="1" outlineLevel="1">
      <c r="A126" s="1269"/>
      <c r="B126" s="1738" t="s">
        <v>140</v>
      </c>
      <c r="C126" s="313" t="str">
        <f>input!C492</f>
        <v>Calendering</v>
      </c>
      <c r="E126" s="363"/>
      <c r="F126" s="363" t="str">
        <f ca="1">input!F492</f>
        <v>N</v>
      </c>
      <c r="G126" s="363"/>
      <c r="H126" s="313">
        <f ca="1">SUMIFS(Paper!$AC$7:$AC$30,Paper!$A$7:$A$30,'Production cost'!F126)</f>
        <v>0</v>
      </c>
      <c r="I126" s="313">
        <f ca="1">IF(input!$G492&gt;0,input!$G492,3000)</f>
        <v>3000</v>
      </c>
      <c r="J126" s="313" t="s">
        <v>5</v>
      </c>
      <c r="K126" s="360">
        <v>0</v>
      </c>
      <c r="L126" s="313">
        <f ca="1">IF(input!$I492&gt;0,input!$I492,3)</f>
        <v>3</v>
      </c>
      <c r="M126" s="391">
        <f ca="1">IF(H126&gt;0,SUMIF(Data!$L$1155:$L$1190,'Production cost'!$C126,Data!$Q$1155:$Q$1190)*SUMIF(Paper!$A$7:$A$29,'Production cost'!$F126,Paper!$J$7:$J$29),0)</f>
        <v>0</v>
      </c>
      <c r="N126" s="391">
        <f t="shared" ca="1" si="56"/>
        <v>0</v>
      </c>
      <c r="P126" s="313">
        <f>SUMIF(Data!$L$1155:$L$1190,'Production cost'!$C126,Data!$N$1155:$N$1190)</f>
        <v>78551.859745354872</v>
      </c>
      <c r="Q126" s="313">
        <f t="shared" ca="1" si="59"/>
        <v>0</v>
      </c>
      <c r="R126" s="313">
        <f t="shared" ca="1" si="57"/>
        <v>0</v>
      </c>
      <c r="S126" s="1741">
        <f t="shared" ca="1" si="58"/>
        <v>0</v>
      </c>
      <c r="T126" s="313" t="str">
        <f ca="1">input!J492</f>
        <v>N</v>
      </c>
      <c r="V126" s="3115" t="str">
        <f>input!K492</f>
        <v>Packaging</v>
      </c>
      <c r="W126" s="3115">
        <f t="shared" ca="1" si="67"/>
        <v>0</v>
      </c>
      <c r="X126" s="3119">
        <f>VLOOKUP(V126,'Fix Cost'!$K$177:$M$179,2,0)</f>
        <v>58449.923860467366</v>
      </c>
      <c r="Y126" s="3119">
        <f>VLOOKUP(V126,'Fix Cost'!$K$177:$M$179,3,0)</f>
        <v>267411.04680782068</v>
      </c>
      <c r="Z126" s="3119">
        <f t="shared" ca="1" si="68"/>
        <v>0</v>
      </c>
      <c r="AA126" s="3115">
        <f t="shared" ca="1" si="69"/>
        <v>0</v>
      </c>
      <c r="AB126" s="3115">
        <f t="shared" ca="1" si="70"/>
        <v>0</v>
      </c>
      <c r="AK126" s="313"/>
      <c r="AL126" s="313"/>
      <c r="AM126" s="313"/>
      <c r="AO126" s="385"/>
      <c r="AP126" s="385"/>
      <c r="AQ126" s="385"/>
      <c r="AR126" s="1048"/>
      <c r="AS126" s="385"/>
      <c r="AT126" s="879">
        <f t="shared" ca="1" si="33"/>
        <v>0</v>
      </c>
      <c r="AU126" s="879">
        <f ca="1">COUNTIFS(AT$7:$AT126,1)</f>
        <v>3</v>
      </c>
    </row>
    <row r="127" spans="1:47" ht="12.75" hidden="1" outlineLevel="1">
      <c r="A127" s="1269"/>
      <c r="B127" s="1738" t="s">
        <v>140</v>
      </c>
      <c r="C127" s="313" t="str">
        <f>input!C493</f>
        <v>Calendering</v>
      </c>
      <c r="E127" s="363"/>
      <c r="F127" s="363" t="str">
        <f ca="1">input!F493</f>
        <v>N</v>
      </c>
      <c r="G127" s="363"/>
      <c r="H127" s="313">
        <f ca="1">SUMIFS(Paper!$AC$7:$AC$30,Paper!$A$7:$A$30,'Production cost'!F127)</f>
        <v>0</v>
      </c>
      <c r="I127" s="313">
        <f ca="1">IF(input!$G493&gt;0,input!$G493,3000)</f>
        <v>3000</v>
      </c>
      <c r="J127" s="313" t="s">
        <v>5</v>
      </c>
      <c r="K127" s="360">
        <v>0</v>
      </c>
      <c r="L127" s="313">
        <f ca="1">IF(input!$I493&gt;0,input!$I493,3)</f>
        <v>3</v>
      </c>
      <c r="M127" s="391">
        <f ca="1">IF(H127&gt;0,SUMIF(Data!$L$1155:$L$1190,'Production cost'!$C127,Data!$Q$1155:$Q$1190)*SUMIF(Paper!$A$7:$A$29,'Production cost'!$F127,Paper!$J$7:$J$29),0)</f>
        <v>0</v>
      </c>
      <c r="N127" s="391">
        <f t="shared" ca="1" si="56"/>
        <v>0</v>
      </c>
      <c r="P127" s="313">
        <f>SUMIF(Data!$L$1155:$L$1190,'Production cost'!$C127,Data!$N$1155:$N$1190)</f>
        <v>78551.859745354872</v>
      </c>
      <c r="Q127" s="313">
        <f t="shared" ca="1" si="59"/>
        <v>0</v>
      </c>
      <c r="R127" s="313">
        <f t="shared" ca="1" si="57"/>
        <v>0</v>
      </c>
      <c r="S127" s="1741">
        <f t="shared" ca="1" si="58"/>
        <v>0</v>
      </c>
      <c r="T127" s="313" t="str">
        <f ca="1">input!J493</f>
        <v>N</v>
      </c>
      <c r="V127" s="3115" t="str">
        <f>input!K493</f>
        <v>Packaging</v>
      </c>
      <c r="W127" s="3115">
        <f t="shared" ca="1" si="67"/>
        <v>0</v>
      </c>
      <c r="X127" s="3119">
        <f>VLOOKUP(V127,'Fix Cost'!$K$177:$M$179,2,0)</f>
        <v>58449.923860467366</v>
      </c>
      <c r="Y127" s="3119">
        <f>VLOOKUP(V127,'Fix Cost'!$K$177:$M$179,3,0)</f>
        <v>267411.04680782068</v>
      </c>
      <c r="Z127" s="3119">
        <f t="shared" ca="1" si="68"/>
        <v>0</v>
      </c>
      <c r="AA127" s="3115">
        <f t="shared" ca="1" si="69"/>
        <v>0</v>
      </c>
      <c r="AB127" s="3115">
        <f t="shared" ca="1" si="70"/>
        <v>0</v>
      </c>
      <c r="AK127" s="313"/>
      <c r="AL127" s="313"/>
      <c r="AM127" s="313"/>
      <c r="AO127" s="385"/>
      <c r="AP127" s="385"/>
      <c r="AQ127" s="385"/>
      <c r="AR127" s="1048"/>
      <c r="AS127" s="385"/>
      <c r="AT127" s="879">
        <f t="shared" ca="1" si="33"/>
        <v>0</v>
      </c>
      <c r="AU127" s="879">
        <f ca="1">COUNTIFS(AT$7:$AT127,1)</f>
        <v>3</v>
      </c>
    </row>
    <row r="128" spans="1:47" ht="12.75" hidden="1" outlineLevel="1">
      <c r="A128" s="1269"/>
      <c r="B128" s="1738" t="s">
        <v>140</v>
      </c>
      <c r="C128" s="313" t="str">
        <f>input!C494</f>
        <v>Calendering</v>
      </c>
      <c r="E128" s="363"/>
      <c r="F128" s="363" t="str">
        <f ca="1">input!F494</f>
        <v>N</v>
      </c>
      <c r="G128" s="363"/>
      <c r="H128" s="313">
        <f ca="1">SUMIFS(Paper!$AC$7:$AC$30,Paper!$A$7:$A$30,'Production cost'!F128)</f>
        <v>0</v>
      </c>
      <c r="I128" s="313">
        <f ca="1">IF(input!$G494&gt;0,input!$G494,3000)</f>
        <v>3000</v>
      </c>
      <c r="J128" s="313" t="s">
        <v>5</v>
      </c>
      <c r="K128" s="360">
        <v>0</v>
      </c>
      <c r="L128" s="313">
        <f ca="1">IF(input!$I494&gt;0,input!$I494,3)</f>
        <v>3</v>
      </c>
      <c r="M128" s="391">
        <f ca="1">IF(H128&gt;0,SUMIF(Data!$L$1155:$L$1190,'Production cost'!$C128,Data!$Q$1155:$Q$1190)*SUMIF(Paper!$A$7:$A$29,'Production cost'!$F128,Paper!$J$7:$J$29),0)</f>
        <v>0</v>
      </c>
      <c r="N128" s="391">
        <f ca="1">IF(H128&gt;0,ROUNDUP(((H128/I128)/$M$5+M128),1),0)</f>
        <v>0</v>
      </c>
      <c r="P128" s="313">
        <f>SUMIF(Data!$L$1155:$L$1190,'Production cost'!$C128,Data!$N$1155:$N$1190)</f>
        <v>78551.859745354872</v>
      </c>
      <c r="Q128" s="313">
        <f t="shared" ca="1" si="59"/>
        <v>0</v>
      </c>
      <c r="R128" s="313">
        <f ca="1">IF($E$2&gt;0,Q128/$E$2,0)</f>
        <v>0</v>
      </c>
      <c r="S128" s="1741">
        <f ca="1">IF(M128&gt;0,K128*O128+L128*P128,0)</f>
        <v>0</v>
      </c>
      <c r="T128" s="313" t="str">
        <f ca="1">input!J494</f>
        <v>N</v>
      </c>
      <c r="V128" s="3115" t="str">
        <f>input!K494</f>
        <v>Packaging</v>
      </c>
      <c r="W128" s="3115">
        <f t="shared" ca="1" si="67"/>
        <v>0</v>
      </c>
      <c r="X128" s="3119">
        <f>VLOOKUP(V128,'Fix Cost'!$K$177:$M$179,2,0)</f>
        <v>58449.923860467366</v>
      </c>
      <c r="Y128" s="3119">
        <f>VLOOKUP(V128,'Fix Cost'!$K$177:$M$179,3,0)</f>
        <v>267411.04680782068</v>
      </c>
      <c r="Z128" s="3119">
        <f t="shared" ca="1" si="68"/>
        <v>0</v>
      </c>
      <c r="AA128" s="3115">
        <f t="shared" ca="1" si="69"/>
        <v>0</v>
      </c>
      <c r="AB128" s="3115">
        <f t="shared" ca="1" si="70"/>
        <v>0</v>
      </c>
      <c r="AK128" s="313"/>
      <c r="AL128" s="313"/>
      <c r="AM128" s="313"/>
      <c r="AO128" s="385"/>
      <c r="AP128" s="385"/>
      <c r="AQ128" s="385"/>
      <c r="AR128" s="1048"/>
      <c r="AS128" s="385"/>
      <c r="AT128" s="879">
        <f t="shared" ca="1" si="33"/>
        <v>0</v>
      </c>
      <c r="AU128" s="879">
        <f ca="1">COUNTIFS(AT$7:$AT128,1)</f>
        <v>3</v>
      </c>
    </row>
    <row r="129" spans="1:47" ht="12.75" hidden="1" outlineLevel="1">
      <c r="A129" s="1269"/>
      <c r="B129" s="1738" t="s">
        <v>140</v>
      </c>
      <c r="C129" s="313" t="str">
        <f>input!C495</f>
        <v>Calendering</v>
      </c>
      <c r="E129" s="363"/>
      <c r="F129" s="363" t="str">
        <f ca="1">input!F495</f>
        <v>N</v>
      </c>
      <c r="G129" s="363"/>
      <c r="H129" s="313">
        <f ca="1">SUMIFS(Paper!$AC$7:$AC$30,Paper!$A$7:$A$30,'Production cost'!F129)</f>
        <v>0</v>
      </c>
      <c r="I129" s="313">
        <f ca="1">IF(input!$G495&gt;0,input!$G495,3000)</f>
        <v>3000</v>
      </c>
      <c r="J129" s="313" t="s">
        <v>5</v>
      </c>
      <c r="K129" s="360">
        <v>0</v>
      </c>
      <c r="L129" s="313">
        <f ca="1">IF(input!$I495&gt;0,input!$I495,3)</f>
        <v>3</v>
      </c>
      <c r="M129" s="391">
        <f ca="1">IF(H129&gt;0,SUMIF(Data!$L$1155:$L$1190,'Production cost'!$C129,Data!$Q$1155:$Q$1190)*SUMIF(Paper!$A$7:$A$29,'Production cost'!$F129,Paper!$J$7:$J$29),0)</f>
        <v>0</v>
      </c>
      <c r="N129" s="391">
        <f ca="1">IF(H129&gt;0,ROUNDUP(((H129/I129)/$M$5+M129),1),0)</f>
        <v>0</v>
      </c>
      <c r="P129" s="313">
        <f>SUMIF(Data!$L$1155:$L$1190,'Production cost'!$C129,Data!$N$1155:$N$1190)</f>
        <v>78551.859745354872</v>
      </c>
      <c r="Q129" s="313">
        <f t="shared" ca="1" si="59"/>
        <v>0</v>
      </c>
      <c r="R129" s="313">
        <f ca="1">IF($E$2&gt;0,Q129/$E$2,0)</f>
        <v>0</v>
      </c>
      <c r="S129" s="1741">
        <f ca="1">IF(M129&gt;0,K129*O129+L129*P129,0)</f>
        <v>0</v>
      </c>
      <c r="T129" s="313" t="str">
        <f ca="1">input!J495</f>
        <v>N</v>
      </c>
      <c r="V129" s="3115" t="str">
        <f>input!K495</f>
        <v>Packaging</v>
      </c>
      <c r="W129" s="3115">
        <f t="shared" ca="1" si="67"/>
        <v>0</v>
      </c>
      <c r="X129" s="3119">
        <f>VLOOKUP(V129,'Fix Cost'!$K$177:$M$179,2,0)</f>
        <v>58449.923860467366</v>
      </c>
      <c r="Y129" s="3119">
        <f>VLOOKUP(V129,'Fix Cost'!$K$177:$M$179,3,0)</f>
        <v>267411.04680782068</v>
      </c>
      <c r="Z129" s="3119">
        <f t="shared" ca="1" si="68"/>
        <v>0</v>
      </c>
      <c r="AA129" s="3115">
        <f t="shared" ca="1" si="69"/>
        <v>0</v>
      </c>
      <c r="AB129" s="3115">
        <f t="shared" ca="1" si="70"/>
        <v>0</v>
      </c>
      <c r="AK129" s="313"/>
      <c r="AL129" s="313"/>
      <c r="AM129" s="313"/>
      <c r="AO129" s="385"/>
      <c r="AP129" s="385"/>
      <c r="AQ129" s="385"/>
      <c r="AR129" s="1048"/>
      <c r="AS129" s="385"/>
      <c r="AT129" s="879">
        <f t="shared" ca="1" si="33"/>
        <v>0</v>
      </c>
      <c r="AU129" s="879">
        <f ca="1">COUNTIFS(AT$7:$AT129,1)</f>
        <v>3</v>
      </c>
    </row>
    <row r="130" spans="1:47" ht="12.75" hidden="1" outlineLevel="1">
      <c r="A130" s="1269"/>
      <c r="B130" s="1738" t="s">
        <v>140</v>
      </c>
      <c r="C130" s="313" t="str">
        <f>input!C496</f>
        <v>Calendering</v>
      </c>
      <c r="E130" s="363"/>
      <c r="F130" s="363" t="str">
        <f ca="1">input!F496</f>
        <v>N</v>
      </c>
      <c r="G130" s="363"/>
      <c r="H130" s="313">
        <f ca="1">SUMIFS(Paper!$AC$7:$AC$30,Paper!$A$7:$A$30,'Production cost'!F130)</f>
        <v>0</v>
      </c>
      <c r="I130" s="313">
        <f ca="1">IF(input!$G496&gt;0,input!$G496,3000)</f>
        <v>3000</v>
      </c>
      <c r="J130" s="313" t="s">
        <v>5</v>
      </c>
      <c r="K130" s="360">
        <v>0</v>
      </c>
      <c r="L130" s="313">
        <f ca="1">IF(input!$I496&gt;0,input!$I496,3)</f>
        <v>3</v>
      </c>
      <c r="M130" s="391">
        <f ca="1">IF(H130&gt;0,SUMIF(Data!$L$1155:$L$1190,'Production cost'!$C130,Data!$Q$1155:$Q$1190)*SUMIF(Paper!$A$7:$A$29,'Production cost'!$F130,Paper!$J$7:$J$29),0)</f>
        <v>0</v>
      </c>
      <c r="N130" s="391">
        <f ca="1">IF(H130&gt;0,ROUNDUP(((H130/I130)/$M$5+M130),1),0)</f>
        <v>0</v>
      </c>
      <c r="P130" s="313">
        <f>SUMIF(Data!$L$1155:$L$1190,'Production cost'!$C130,Data!$N$1155:$N$1190)</f>
        <v>78551.859745354872</v>
      </c>
      <c r="Q130" s="313">
        <f t="shared" ca="1" si="59"/>
        <v>0</v>
      </c>
      <c r="R130" s="313">
        <f ca="1">IF($E$2&gt;0,Q130/$E$2,0)</f>
        <v>0</v>
      </c>
      <c r="S130" s="1741">
        <f ca="1">IF(M130&gt;0,K130*O130+L130*P130,0)</f>
        <v>0</v>
      </c>
      <c r="T130" s="313" t="str">
        <f ca="1">input!J496</f>
        <v>N</v>
      </c>
      <c r="V130" s="3115" t="str">
        <f>input!K496</f>
        <v>Packaging</v>
      </c>
      <c r="W130" s="3115">
        <f t="shared" ca="1" si="67"/>
        <v>0</v>
      </c>
      <c r="X130" s="3119">
        <f>VLOOKUP(V130,'Fix Cost'!$K$177:$M$179,2,0)</f>
        <v>58449.923860467366</v>
      </c>
      <c r="Y130" s="3119">
        <f>VLOOKUP(V130,'Fix Cost'!$K$177:$M$179,3,0)</f>
        <v>267411.04680782068</v>
      </c>
      <c r="Z130" s="3119">
        <f t="shared" ca="1" si="68"/>
        <v>0</v>
      </c>
      <c r="AA130" s="3115">
        <f t="shared" ca="1" si="69"/>
        <v>0</v>
      </c>
      <c r="AB130" s="3115">
        <f t="shared" ca="1" si="70"/>
        <v>0</v>
      </c>
      <c r="AK130" s="313"/>
      <c r="AL130" s="313"/>
      <c r="AM130" s="313"/>
      <c r="AO130" s="385"/>
      <c r="AP130" s="385"/>
      <c r="AQ130" s="385"/>
      <c r="AR130" s="1048"/>
      <c r="AS130" s="385"/>
      <c r="AT130" s="879">
        <f t="shared" ca="1" si="33"/>
        <v>0</v>
      </c>
      <c r="AU130" s="879">
        <f ca="1">COUNTIFS(AT$7:$AT130,1)</f>
        <v>3</v>
      </c>
    </row>
    <row r="131" spans="1:47" ht="12.75" hidden="1" outlineLevel="1">
      <c r="A131" s="1269"/>
      <c r="B131" s="1738" t="s">
        <v>140</v>
      </c>
      <c r="C131" s="313" t="str">
        <f>input!C497</f>
        <v>Calendering</v>
      </c>
      <c r="E131" s="363"/>
      <c r="F131" s="363" t="str">
        <f ca="1">input!F497</f>
        <v>N</v>
      </c>
      <c r="G131" s="363"/>
      <c r="H131" s="313">
        <f ca="1">SUMIFS(Paper!$AC$7:$AC$30,Paper!$A$7:$A$30,'Production cost'!F131)</f>
        <v>0</v>
      </c>
      <c r="I131" s="313">
        <f ca="1">IF(input!$G497&gt;0,input!$G497,3000)</f>
        <v>3000</v>
      </c>
      <c r="J131" s="313" t="s">
        <v>5</v>
      </c>
      <c r="K131" s="360">
        <v>0</v>
      </c>
      <c r="L131" s="313">
        <f ca="1">IF(input!$I497&gt;0,input!$I497,3)</f>
        <v>3</v>
      </c>
      <c r="M131" s="391">
        <f ca="1">IF(H131&gt;0,SUMIF(Data!$L$1155:$L$1190,'Production cost'!$C131,Data!$Q$1155:$Q$1190)*SUMIF(Paper!$A$7:$A$29,'Production cost'!$F131,Paper!$J$7:$J$29),0)</f>
        <v>0</v>
      </c>
      <c r="N131" s="391">
        <f ca="1">IF(H131&gt;0,ROUNDUP(((H131/I131)/$M$5+M131),1),0)</f>
        <v>0</v>
      </c>
      <c r="P131" s="313">
        <f>SUMIF(Data!$L$1155:$L$1190,'Production cost'!$C131,Data!$N$1155:$N$1190)</f>
        <v>78551.859745354872</v>
      </c>
      <c r="Q131" s="313">
        <f t="shared" ca="1" si="59"/>
        <v>0</v>
      </c>
      <c r="R131" s="313">
        <f ca="1">IF($E$2&gt;0,Q131/$E$2,0)</f>
        <v>0</v>
      </c>
      <c r="S131" s="1741">
        <f ca="1">IF(M131&gt;0,K131*O131+L131*P131,0)</f>
        <v>0</v>
      </c>
      <c r="T131" s="313" t="str">
        <f ca="1">input!J497</f>
        <v>N</v>
      </c>
      <c r="V131" s="3115" t="str">
        <f>input!K497</f>
        <v>Packaging</v>
      </c>
      <c r="W131" s="3115">
        <f t="shared" ca="1" si="67"/>
        <v>0</v>
      </c>
      <c r="X131" s="3119">
        <f>VLOOKUP(V131,'Fix Cost'!$K$177:$M$179,2,0)</f>
        <v>58449.923860467366</v>
      </c>
      <c r="Y131" s="3119">
        <f>VLOOKUP(V131,'Fix Cost'!$K$177:$M$179,3,0)</f>
        <v>267411.04680782068</v>
      </c>
      <c r="Z131" s="3119">
        <f t="shared" ca="1" si="68"/>
        <v>0</v>
      </c>
      <c r="AA131" s="3115">
        <f t="shared" ca="1" si="69"/>
        <v>0</v>
      </c>
      <c r="AB131" s="3115">
        <f t="shared" ca="1" si="70"/>
        <v>0</v>
      </c>
      <c r="AK131" s="313"/>
      <c r="AL131" s="313"/>
      <c r="AM131" s="313"/>
      <c r="AO131" s="385"/>
      <c r="AP131" s="385"/>
      <c r="AQ131" s="385"/>
      <c r="AR131" s="1048"/>
      <c r="AS131" s="385"/>
      <c r="AT131" s="879">
        <f t="shared" ca="1" si="33"/>
        <v>0</v>
      </c>
      <c r="AU131" s="879">
        <f ca="1">COUNTIFS(AT$7:$AT131,1)</f>
        <v>3</v>
      </c>
    </row>
    <row r="132" spans="1:47" ht="12.75" hidden="1" outlineLevel="1">
      <c r="A132" s="1269"/>
      <c r="B132" s="1738" t="s">
        <v>140</v>
      </c>
      <c r="C132" s="313" t="str">
        <f>input!C498</f>
        <v>Calendering</v>
      </c>
      <c r="E132" s="363"/>
      <c r="F132" s="363" t="str">
        <f ca="1">input!F498</f>
        <v>N</v>
      </c>
      <c r="G132" s="363"/>
      <c r="H132" s="313">
        <f ca="1">SUMIFS(Paper!$AC$7:$AC$30,Paper!$A$7:$A$30,'Production cost'!F132)</f>
        <v>0</v>
      </c>
      <c r="I132" s="313">
        <f ca="1">IF(input!$G498&gt;0,input!$G498,3000)</f>
        <v>3000</v>
      </c>
      <c r="J132" s="313" t="s">
        <v>5</v>
      </c>
      <c r="K132" s="360">
        <v>0</v>
      </c>
      <c r="L132" s="313">
        <f ca="1">IF(input!$I498&gt;0,input!$I498,3)</f>
        <v>3</v>
      </c>
      <c r="M132" s="391">
        <f ca="1">IF(H132&gt;0,SUMIF(Data!$L$1155:$L$1190,'Production cost'!$C132,Data!$Q$1155:$Q$1190)*SUMIF(Paper!$A$7:$A$29,'Production cost'!$F132,Paper!$J$7:$J$29),0)</f>
        <v>0</v>
      </c>
      <c r="N132" s="391">
        <f ca="1">IF(H132&gt;0,ROUNDUP(((H132/I132)/$M$5+M132),1),0)</f>
        <v>0</v>
      </c>
      <c r="P132" s="313">
        <f>SUMIF(Data!$L$1155:$L$1190,'Production cost'!$C132,Data!$N$1155:$N$1190)</f>
        <v>78551.859745354872</v>
      </c>
      <c r="Q132" s="313">
        <f t="shared" ca="1" si="59"/>
        <v>0</v>
      </c>
      <c r="R132" s="313">
        <f ca="1">IF($E$2&gt;0,Q132/$E$2,0)</f>
        <v>0</v>
      </c>
      <c r="S132" s="1741">
        <f ca="1">IF(M132&gt;0,K132*O132+L132*P132,0)</f>
        <v>0</v>
      </c>
      <c r="T132" s="313" t="str">
        <f ca="1">input!J498</f>
        <v>N</v>
      </c>
      <c r="V132" s="3115" t="str">
        <f>input!K498</f>
        <v>Packaging</v>
      </c>
      <c r="W132" s="3115">
        <f t="shared" ca="1" si="67"/>
        <v>0</v>
      </c>
      <c r="X132" s="3119">
        <f>VLOOKUP(V132,'Fix Cost'!$K$177:$M$179,2,0)</f>
        <v>58449.923860467366</v>
      </c>
      <c r="Y132" s="3119">
        <f>VLOOKUP(V132,'Fix Cost'!$K$177:$M$179,3,0)</f>
        <v>267411.04680782068</v>
      </c>
      <c r="Z132" s="3119">
        <f t="shared" ca="1" si="68"/>
        <v>0</v>
      </c>
      <c r="AA132" s="3115">
        <f t="shared" ca="1" si="69"/>
        <v>0</v>
      </c>
      <c r="AB132" s="3115">
        <f t="shared" ca="1" si="70"/>
        <v>0</v>
      </c>
      <c r="AK132" s="313"/>
      <c r="AL132" s="313"/>
      <c r="AM132" s="313"/>
      <c r="AO132" s="385"/>
      <c r="AP132" s="385"/>
      <c r="AQ132" s="385"/>
      <c r="AR132" s="1048"/>
      <c r="AS132" s="385"/>
      <c r="AT132" s="879">
        <f t="shared" ca="1" si="33"/>
        <v>0</v>
      </c>
      <c r="AU132" s="879">
        <f ca="1">COUNTIFS(AT$7:$AT132,1)</f>
        <v>3</v>
      </c>
    </row>
    <row r="133" spans="1:47" ht="12.75" hidden="1" outlineLevel="1">
      <c r="A133" s="1269"/>
      <c r="B133" s="1738" t="s">
        <v>140</v>
      </c>
      <c r="C133" s="313" t="str">
        <f>input!C499</f>
        <v>Calendering</v>
      </c>
      <c r="E133" s="363"/>
      <c r="F133" s="363" t="str">
        <f ca="1">input!F499</f>
        <v>N</v>
      </c>
      <c r="G133" s="363"/>
      <c r="H133" s="313">
        <f ca="1">SUMIFS(Paper!$AC$7:$AC$30,Paper!$A$7:$A$30,'Production cost'!F133)</f>
        <v>0</v>
      </c>
      <c r="I133" s="313">
        <f ca="1">IF(input!$G499&gt;0,input!$G499,3000)</f>
        <v>3000</v>
      </c>
      <c r="J133" s="313" t="s">
        <v>5</v>
      </c>
      <c r="K133" s="360">
        <v>0</v>
      </c>
      <c r="L133" s="313">
        <f ca="1">IF(input!$I499&gt;0,input!$I499,3)</f>
        <v>3</v>
      </c>
      <c r="M133" s="391">
        <f ca="1">IF(H133&gt;0,SUMIF(Data!$L$1155:$L$1190,'Production cost'!$C133,Data!$Q$1155:$Q$1190)*SUMIF(Paper!$A$7:$A$29,'Production cost'!$F133,Paper!$J$7:$J$29),0)</f>
        <v>0</v>
      </c>
      <c r="N133" s="391">
        <f t="shared" ref="N133:N137" ca="1" si="71">IF(H133&gt;0,ROUNDUP(((H133/I133)/$M$5+M133),1),0)</f>
        <v>0</v>
      </c>
      <c r="P133" s="313">
        <f>SUMIF(Data!$L$1155:$L$1190,'Production cost'!$C133,Data!$N$1155:$N$1190)</f>
        <v>78551.859745354872</v>
      </c>
      <c r="Q133" s="313">
        <f t="shared" ca="1" si="59"/>
        <v>0</v>
      </c>
      <c r="R133" s="313">
        <f t="shared" ref="R133:R137" ca="1" si="72">IF($E$2&gt;0,Q133/$E$2,0)</f>
        <v>0</v>
      </c>
      <c r="S133" s="1741">
        <f t="shared" ref="S133:S137" ca="1" si="73">IF(M133&gt;0,K133*O133+L133*P133,0)</f>
        <v>0</v>
      </c>
      <c r="T133" s="313" t="str">
        <f ca="1">input!J499</f>
        <v>N</v>
      </c>
      <c r="V133" s="3115" t="str">
        <f>input!K499</f>
        <v>Packaging</v>
      </c>
      <c r="W133" s="3115">
        <f t="shared" ref="W133:W137" ca="1" si="74">N133*(L133+K133)</f>
        <v>0</v>
      </c>
      <c r="X133" s="3119">
        <f>VLOOKUP(V133,'Fix Cost'!$K$177:$M$179,2,0)</f>
        <v>58449.923860467366</v>
      </c>
      <c r="Y133" s="3119">
        <f>VLOOKUP(V133,'Fix Cost'!$K$177:$M$179,3,0)</f>
        <v>267411.04680782068</v>
      </c>
      <c r="Z133" s="3119">
        <f t="shared" ref="Z133:Z137" ca="1" si="75">IFERROR($X133*W133,0)</f>
        <v>0</v>
      </c>
      <c r="AA133" s="3115">
        <f t="shared" ref="AA133:AA137" ca="1" si="76">IFERROR(Y133*N133,0)</f>
        <v>0</v>
      </c>
      <c r="AB133" s="3115">
        <f t="shared" ref="AB133:AB137" ca="1" si="77">Z133+AA133</f>
        <v>0</v>
      </c>
      <c r="AK133" s="313"/>
      <c r="AL133" s="313"/>
      <c r="AM133" s="313"/>
      <c r="AO133" s="385"/>
      <c r="AP133" s="385"/>
      <c r="AQ133" s="385"/>
      <c r="AR133" s="1048"/>
      <c r="AS133" s="385"/>
      <c r="AT133" s="879">
        <f t="shared" ca="1" si="33"/>
        <v>0</v>
      </c>
      <c r="AU133" s="879">
        <f ca="1">COUNTIFS(AT$7:$AT133,1)</f>
        <v>3</v>
      </c>
    </row>
    <row r="134" spans="1:47" ht="12.75" hidden="1" outlineLevel="1">
      <c r="A134" s="1269"/>
      <c r="B134" s="1738" t="s">
        <v>140</v>
      </c>
      <c r="C134" s="313" t="str">
        <f>input!C500</f>
        <v>Calendering</v>
      </c>
      <c r="E134" s="363"/>
      <c r="F134" s="363" t="str">
        <f ca="1">input!F500</f>
        <v>N</v>
      </c>
      <c r="G134" s="363"/>
      <c r="H134" s="313">
        <f ca="1">SUMIFS(Paper!$AC$7:$AC$30,Paper!$A$7:$A$30,'Production cost'!F134)</f>
        <v>0</v>
      </c>
      <c r="I134" s="313">
        <f ca="1">IF(input!$G500&gt;0,input!$G500,3000)</f>
        <v>3000</v>
      </c>
      <c r="J134" s="313" t="s">
        <v>5</v>
      </c>
      <c r="K134" s="360">
        <v>0</v>
      </c>
      <c r="L134" s="313">
        <f ca="1">IF(input!$I500&gt;0,input!$I500,3)</f>
        <v>3</v>
      </c>
      <c r="M134" s="391">
        <f ca="1">IF(H134&gt;0,SUMIF(Data!$L$1155:$L$1190,'Production cost'!$C134,Data!$Q$1155:$Q$1190)*SUMIF(Paper!$A$7:$A$29,'Production cost'!$F134,Paper!$J$7:$J$29),0)</f>
        <v>0</v>
      </c>
      <c r="N134" s="391">
        <f t="shared" ca="1" si="71"/>
        <v>0</v>
      </c>
      <c r="P134" s="313">
        <f>SUMIF(Data!$L$1155:$L$1190,'Production cost'!$C134,Data!$N$1155:$N$1190)</f>
        <v>78551.859745354872</v>
      </c>
      <c r="Q134" s="313">
        <f t="shared" ca="1" si="59"/>
        <v>0</v>
      </c>
      <c r="R134" s="313">
        <f t="shared" ca="1" si="72"/>
        <v>0</v>
      </c>
      <c r="S134" s="1741">
        <f t="shared" ca="1" si="73"/>
        <v>0</v>
      </c>
      <c r="T134" s="313" t="str">
        <f ca="1">input!J500</f>
        <v>N</v>
      </c>
      <c r="V134" s="3115" t="str">
        <f>input!K500</f>
        <v>Packaging</v>
      </c>
      <c r="W134" s="3115">
        <f t="shared" ca="1" si="74"/>
        <v>0</v>
      </c>
      <c r="X134" s="3119">
        <f>VLOOKUP(V134,'Fix Cost'!$K$177:$M$179,2,0)</f>
        <v>58449.923860467366</v>
      </c>
      <c r="Y134" s="3119">
        <f>VLOOKUP(V134,'Fix Cost'!$K$177:$M$179,3,0)</f>
        <v>267411.04680782068</v>
      </c>
      <c r="Z134" s="3119">
        <f t="shared" ca="1" si="75"/>
        <v>0</v>
      </c>
      <c r="AA134" s="3115">
        <f t="shared" ca="1" si="76"/>
        <v>0</v>
      </c>
      <c r="AB134" s="3115">
        <f t="shared" ca="1" si="77"/>
        <v>0</v>
      </c>
      <c r="AK134" s="313"/>
      <c r="AL134" s="313"/>
      <c r="AM134" s="313"/>
      <c r="AO134" s="385"/>
      <c r="AP134" s="385"/>
      <c r="AQ134" s="385"/>
      <c r="AR134" s="1048"/>
      <c r="AS134" s="385"/>
      <c r="AT134" s="879">
        <f t="shared" ca="1" si="33"/>
        <v>0</v>
      </c>
      <c r="AU134" s="879">
        <f ca="1">COUNTIFS(AT$7:$AT134,1)</f>
        <v>3</v>
      </c>
    </row>
    <row r="135" spans="1:47" ht="12.75" hidden="1" outlineLevel="1">
      <c r="A135" s="1269"/>
      <c r="B135" s="1738" t="s">
        <v>140</v>
      </c>
      <c r="C135" s="313" t="str">
        <f>input!C501</f>
        <v>Calendering</v>
      </c>
      <c r="E135" s="363"/>
      <c r="F135" s="363" t="str">
        <f ca="1">input!F501</f>
        <v>N</v>
      </c>
      <c r="G135" s="363"/>
      <c r="H135" s="313">
        <f ca="1">SUMIFS(Paper!$AC$7:$AC$30,Paper!$A$7:$A$30,'Production cost'!F135)</f>
        <v>0</v>
      </c>
      <c r="I135" s="313">
        <f ca="1">IF(input!$G501&gt;0,input!$G501,3000)</f>
        <v>3000</v>
      </c>
      <c r="J135" s="313" t="s">
        <v>5</v>
      </c>
      <c r="K135" s="360">
        <v>0</v>
      </c>
      <c r="L135" s="313">
        <f ca="1">IF(input!$I501&gt;0,input!$I501,3)</f>
        <v>3</v>
      </c>
      <c r="M135" s="391">
        <f ca="1">IF(H135&gt;0,SUMIF(Data!$L$1155:$L$1190,'Production cost'!$C135,Data!$Q$1155:$Q$1190)*SUMIF(Paper!$A$7:$A$29,'Production cost'!$F135,Paper!$J$7:$J$29),0)</f>
        <v>0</v>
      </c>
      <c r="N135" s="391">
        <f t="shared" ca="1" si="71"/>
        <v>0</v>
      </c>
      <c r="P135" s="313">
        <f>SUMIF(Data!$L$1155:$L$1190,'Production cost'!$C135,Data!$N$1155:$N$1190)</f>
        <v>78551.859745354872</v>
      </c>
      <c r="Q135" s="313">
        <f t="shared" ca="1" si="59"/>
        <v>0</v>
      </c>
      <c r="R135" s="313">
        <f t="shared" ca="1" si="72"/>
        <v>0</v>
      </c>
      <c r="S135" s="1741">
        <f t="shared" ca="1" si="73"/>
        <v>0</v>
      </c>
      <c r="T135" s="313" t="str">
        <f ca="1">input!J501</f>
        <v>N</v>
      </c>
      <c r="V135" s="3115" t="str">
        <f>input!K501</f>
        <v>Packaging</v>
      </c>
      <c r="W135" s="3115">
        <f t="shared" ca="1" si="74"/>
        <v>0</v>
      </c>
      <c r="X135" s="3119">
        <f>VLOOKUP(V135,'Fix Cost'!$K$177:$M$179,2,0)</f>
        <v>58449.923860467366</v>
      </c>
      <c r="Y135" s="3119">
        <f>VLOOKUP(V135,'Fix Cost'!$K$177:$M$179,3,0)</f>
        <v>267411.04680782068</v>
      </c>
      <c r="Z135" s="3119">
        <f t="shared" ca="1" si="75"/>
        <v>0</v>
      </c>
      <c r="AA135" s="3115">
        <f t="shared" ca="1" si="76"/>
        <v>0</v>
      </c>
      <c r="AB135" s="3115">
        <f t="shared" ca="1" si="77"/>
        <v>0</v>
      </c>
      <c r="AK135" s="313"/>
      <c r="AL135" s="313"/>
      <c r="AM135" s="313"/>
      <c r="AO135" s="385"/>
      <c r="AP135" s="385"/>
      <c r="AQ135" s="385"/>
      <c r="AR135" s="1048"/>
      <c r="AS135" s="385"/>
      <c r="AT135" s="879">
        <f t="shared" ca="1" si="33"/>
        <v>0</v>
      </c>
      <c r="AU135" s="879">
        <f ca="1">COUNTIFS(AT$7:$AT135,1)</f>
        <v>3</v>
      </c>
    </row>
    <row r="136" spans="1:47" ht="12.75" hidden="1" outlineLevel="1">
      <c r="A136" s="1269"/>
      <c r="B136" s="1738" t="s">
        <v>140</v>
      </c>
      <c r="C136" s="313" t="str">
        <f>input!C502</f>
        <v>Calendering</v>
      </c>
      <c r="E136" s="363"/>
      <c r="F136" s="363" t="str">
        <f ca="1">input!F502</f>
        <v>N</v>
      </c>
      <c r="G136" s="363"/>
      <c r="H136" s="313">
        <f ca="1">SUMIFS(Paper!$AC$7:$AC$30,Paper!$A$7:$A$30,'Production cost'!F136)</f>
        <v>0</v>
      </c>
      <c r="I136" s="313">
        <f ca="1">IF(input!$G502&gt;0,input!$G502,3000)</f>
        <v>3000</v>
      </c>
      <c r="J136" s="313" t="s">
        <v>5</v>
      </c>
      <c r="K136" s="360">
        <v>0</v>
      </c>
      <c r="L136" s="313">
        <f ca="1">IF(input!$I502&gt;0,input!$I502,3)</f>
        <v>3</v>
      </c>
      <c r="M136" s="391">
        <f ca="1">IF(H136&gt;0,SUMIF(Data!$L$1155:$L$1190,'Production cost'!$C136,Data!$Q$1155:$Q$1190)*SUMIF(Paper!$A$7:$A$29,'Production cost'!$F136,Paper!$J$7:$J$29),0)</f>
        <v>0</v>
      </c>
      <c r="N136" s="391">
        <f t="shared" ca="1" si="71"/>
        <v>0</v>
      </c>
      <c r="P136" s="313">
        <f>SUMIF(Data!$L$1155:$L$1190,'Production cost'!$C136,Data!$N$1155:$N$1190)</f>
        <v>78551.859745354872</v>
      </c>
      <c r="Q136" s="313">
        <f t="shared" ca="1" si="59"/>
        <v>0</v>
      </c>
      <c r="R136" s="313">
        <f t="shared" ca="1" si="72"/>
        <v>0</v>
      </c>
      <c r="S136" s="1741">
        <f t="shared" ca="1" si="73"/>
        <v>0</v>
      </c>
      <c r="T136" s="313" t="str">
        <f ca="1">input!J502</f>
        <v>N</v>
      </c>
      <c r="V136" s="3115" t="str">
        <f>input!K502</f>
        <v>Packaging</v>
      </c>
      <c r="W136" s="3115">
        <f t="shared" ca="1" si="74"/>
        <v>0</v>
      </c>
      <c r="X136" s="3119">
        <f>VLOOKUP(V136,'Fix Cost'!$K$177:$M$179,2,0)</f>
        <v>58449.923860467366</v>
      </c>
      <c r="Y136" s="3119">
        <f>VLOOKUP(V136,'Fix Cost'!$K$177:$M$179,3,0)</f>
        <v>267411.04680782068</v>
      </c>
      <c r="Z136" s="3119">
        <f t="shared" ca="1" si="75"/>
        <v>0</v>
      </c>
      <c r="AA136" s="3115">
        <f t="shared" ca="1" si="76"/>
        <v>0</v>
      </c>
      <c r="AB136" s="3115">
        <f t="shared" ca="1" si="77"/>
        <v>0</v>
      </c>
      <c r="AK136" s="313"/>
      <c r="AL136" s="313"/>
      <c r="AM136" s="313"/>
      <c r="AO136" s="385"/>
      <c r="AP136" s="385"/>
      <c r="AQ136" s="385"/>
      <c r="AR136" s="1048"/>
      <c r="AS136" s="385"/>
      <c r="AT136" s="879">
        <f t="shared" ca="1" si="33"/>
        <v>0</v>
      </c>
      <c r="AU136" s="879">
        <f ca="1">COUNTIFS(AT$7:$AT136,1)</f>
        <v>3</v>
      </c>
    </row>
    <row r="137" spans="1:47" ht="12.75" hidden="1" outlineLevel="1">
      <c r="A137" s="1269"/>
      <c r="B137" s="1738" t="s">
        <v>140</v>
      </c>
      <c r="C137" s="313" t="str">
        <f>input!C503</f>
        <v>Calendering</v>
      </c>
      <c r="E137" s="363"/>
      <c r="F137" s="363" t="str">
        <f ca="1">input!F503</f>
        <v>N</v>
      </c>
      <c r="G137" s="363"/>
      <c r="H137" s="313">
        <f ca="1">SUMIFS(Paper!$AC$7:$AC$30,Paper!$A$7:$A$30,'Production cost'!F137)</f>
        <v>0</v>
      </c>
      <c r="I137" s="313">
        <f ca="1">IF(input!$G503&gt;0,input!$G503,3000)</f>
        <v>3000</v>
      </c>
      <c r="J137" s="313" t="s">
        <v>5</v>
      </c>
      <c r="K137" s="360">
        <v>0</v>
      </c>
      <c r="L137" s="313">
        <f ca="1">IF(input!$I503&gt;0,input!$I503,3)</f>
        <v>3</v>
      </c>
      <c r="M137" s="391">
        <f ca="1">IF(H137&gt;0,SUMIF(Data!$L$1155:$L$1190,'Production cost'!$C137,Data!$Q$1155:$Q$1190)*SUMIF(Paper!$A$7:$A$29,'Production cost'!$F137,Paper!$J$7:$J$29),0)</f>
        <v>0</v>
      </c>
      <c r="N137" s="391">
        <f t="shared" ca="1" si="71"/>
        <v>0</v>
      </c>
      <c r="P137" s="313">
        <f>SUMIF(Data!$L$1155:$L$1190,'Production cost'!$C137,Data!$N$1155:$N$1190)</f>
        <v>78551.859745354872</v>
      </c>
      <c r="Q137" s="313">
        <f t="shared" ca="1" si="59"/>
        <v>0</v>
      </c>
      <c r="R137" s="313">
        <f t="shared" ca="1" si="72"/>
        <v>0</v>
      </c>
      <c r="S137" s="1741">
        <f t="shared" ca="1" si="73"/>
        <v>0</v>
      </c>
      <c r="T137" s="313" t="str">
        <f ca="1">input!J503</f>
        <v>N</v>
      </c>
      <c r="V137" s="3115" t="str">
        <f>input!K503</f>
        <v>Packaging</v>
      </c>
      <c r="W137" s="3115">
        <f t="shared" ca="1" si="74"/>
        <v>0</v>
      </c>
      <c r="X137" s="3119">
        <f>VLOOKUP(V137,'Fix Cost'!$K$177:$M$179,2,0)</f>
        <v>58449.923860467366</v>
      </c>
      <c r="Y137" s="3119">
        <f>VLOOKUP(V137,'Fix Cost'!$K$177:$M$179,3,0)</f>
        <v>267411.04680782068</v>
      </c>
      <c r="Z137" s="3119">
        <f t="shared" ca="1" si="75"/>
        <v>0</v>
      </c>
      <c r="AA137" s="3115">
        <f t="shared" ca="1" si="76"/>
        <v>0</v>
      </c>
      <c r="AB137" s="3115">
        <f t="shared" ca="1" si="77"/>
        <v>0</v>
      </c>
      <c r="AK137" s="313"/>
      <c r="AL137" s="313"/>
      <c r="AM137" s="313"/>
      <c r="AO137" s="385"/>
      <c r="AP137" s="385"/>
      <c r="AQ137" s="385"/>
      <c r="AR137" s="1048"/>
      <c r="AS137" s="385"/>
      <c r="AT137" s="879">
        <f t="shared" ca="1" si="33"/>
        <v>0</v>
      </c>
      <c r="AU137" s="879">
        <f ca="1">COUNTIFS(AT$7:$AT137,1)</f>
        <v>3</v>
      </c>
    </row>
    <row r="138" spans="1:47" ht="12.75" hidden="1" outlineLevel="1">
      <c r="A138" s="1269"/>
      <c r="B138" s="1738" t="s">
        <v>140</v>
      </c>
      <c r="C138" s="313" t="str">
        <f>input!C504</f>
        <v>Blister Coating</v>
      </c>
      <c r="E138" s="363"/>
      <c r="F138" s="363" t="str">
        <f ca="1">input!F504</f>
        <v>N</v>
      </c>
      <c r="G138" s="363"/>
      <c r="H138" s="313">
        <f ca="1">SUMIFS(Paper!$AC$7:$AC$30,Paper!$A$7:$A$30,'Production cost'!F138)</f>
        <v>0</v>
      </c>
      <c r="I138" s="313">
        <f ca="1">IF(input!$G504&gt;0,input!$G504,3000)</f>
        <v>3000</v>
      </c>
      <c r="J138" s="313" t="s">
        <v>5</v>
      </c>
      <c r="K138" s="360">
        <v>0</v>
      </c>
      <c r="L138" s="313">
        <f ca="1">IF(input!$I504&gt;0,input!$I504,3)</f>
        <v>3</v>
      </c>
      <c r="M138" s="391">
        <f ca="1">IF(H138&gt;0,SUMIF(Data!$L$1155:$L$1190,'Production cost'!$C138,Data!$Q$1155:$Q$1190)*SUMIF(Paper!$A$7:$A$29,'Production cost'!$F138,Paper!$J$7:$J$29),0)</f>
        <v>0</v>
      </c>
      <c r="N138" s="391">
        <f t="shared" ca="1" si="56"/>
        <v>0</v>
      </c>
      <c r="P138" s="313">
        <f>SUMIF(Data!$L$1155:$L$1190,'Production cost'!$C138,Data!$N$1155:$N$1190)</f>
        <v>78551.859745354872</v>
      </c>
      <c r="Q138" s="313">
        <f t="shared" ca="1" si="59"/>
        <v>0</v>
      </c>
      <c r="R138" s="313">
        <f t="shared" ca="1" si="57"/>
        <v>0</v>
      </c>
      <c r="S138" s="1741">
        <f t="shared" ca="1" si="58"/>
        <v>0</v>
      </c>
      <c r="T138" s="313" t="str">
        <f ca="1">input!J504</f>
        <v>N</v>
      </c>
      <c r="V138" s="3115" t="str">
        <f>input!K504</f>
        <v>Packaging</v>
      </c>
      <c r="W138" s="3115">
        <f t="shared" ca="1" si="67"/>
        <v>0</v>
      </c>
      <c r="X138" s="3119">
        <f>VLOOKUP(V138,'Fix Cost'!$K$177:$M$179,2,0)</f>
        <v>58449.923860467366</v>
      </c>
      <c r="Y138" s="3119">
        <f>VLOOKUP(V138,'Fix Cost'!$K$177:$M$179,3,0)</f>
        <v>267411.04680782068</v>
      </c>
      <c r="Z138" s="3119">
        <f t="shared" ca="1" si="68"/>
        <v>0</v>
      </c>
      <c r="AA138" s="3115">
        <f t="shared" ca="1" si="69"/>
        <v>0</v>
      </c>
      <c r="AB138" s="3115">
        <f t="shared" ca="1" si="70"/>
        <v>0</v>
      </c>
      <c r="AK138" s="313"/>
      <c r="AL138" s="313"/>
      <c r="AM138" s="313"/>
      <c r="AO138" s="385"/>
      <c r="AP138" s="385"/>
      <c r="AQ138" s="385"/>
      <c r="AR138" s="1048"/>
      <c r="AS138" s="385"/>
      <c r="AT138" s="879">
        <f t="shared" ca="1" si="33"/>
        <v>0</v>
      </c>
      <c r="AU138" s="879">
        <f ca="1">COUNTIFS(AT$7:$AT138,1)</f>
        <v>3</v>
      </c>
    </row>
    <row r="139" spans="1:47" ht="12.75" hidden="1" outlineLevel="1">
      <c r="A139" s="1269"/>
      <c r="B139" s="1738" t="s">
        <v>140</v>
      </c>
      <c r="C139" s="313" t="str">
        <f>input!C505</f>
        <v>Blister Coating</v>
      </c>
      <c r="E139" s="363"/>
      <c r="F139" s="363" t="str">
        <f ca="1">input!F505</f>
        <v>N</v>
      </c>
      <c r="G139" s="363"/>
      <c r="H139" s="313">
        <f ca="1">SUMIFS(Paper!$AC$7:$AC$30,Paper!$A$7:$A$30,'Production cost'!F139)</f>
        <v>0</v>
      </c>
      <c r="I139" s="313">
        <f ca="1">IF(input!$G505&gt;0,input!$G505,3000)</f>
        <v>3000</v>
      </c>
      <c r="J139" s="313" t="s">
        <v>5</v>
      </c>
      <c r="K139" s="360">
        <v>0</v>
      </c>
      <c r="L139" s="313">
        <f ca="1">IF(input!$I505&gt;0,input!$I505,3)</f>
        <v>3</v>
      </c>
      <c r="M139" s="391">
        <f ca="1">IF(H139&gt;0,SUMIF(Data!$L$1155:$L$1190,'Production cost'!$C139,Data!$Q$1155:$Q$1190)*SUMIF(Paper!$A$7:$A$29,'Production cost'!$F139,Paper!$J$7:$J$29),0)</f>
        <v>0</v>
      </c>
      <c r="N139" s="391">
        <f t="shared" ref="N139:N147" ca="1" si="78">IF(H139&gt;0,ROUNDUP(((H139/I139)/$M$5+M139),1),0)</f>
        <v>0</v>
      </c>
      <c r="P139" s="313">
        <f>SUMIF(Data!$L$1155:$L$1190,'Production cost'!$C139,Data!$N$1155:$N$1190)</f>
        <v>78551.859745354872</v>
      </c>
      <c r="Q139" s="313">
        <f t="shared" ca="1" si="59"/>
        <v>0</v>
      </c>
      <c r="R139" s="313">
        <f t="shared" ref="R139:R147" ca="1" si="79">IF($E$2&gt;0,Q139/$E$2,0)</f>
        <v>0</v>
      </c>
      <c r="S139" s="1741">
        <f t="shared" ref="S139:S147" ca="1" si="80">IF(M139&gt;0,K139*O139+L139*P139,0)</f>
        <v>0</v>
      </c>
      <c r="T139" s="313" t="str">
        <f ca="1">input!J505</f>
        <v>N</v>
      </c>
      <c r="V139" s="3115" t="str">
        <f>input!K505</f>
        <v>Packaging</v>
      </c>
      <c r="W139" s="3115">
        <f t="shared" ca="1" si="67"/>
        <v>0</v>
      </c>
      <c r="X139" s="3119">
        <f>VLOOKUP(V139,'Fix Cost'!$K$177:$M$179,2,0)</f>
        <v>58449.923860467366</v>
      </c>
      <c r="Y139" s="3119">
        <f>VLOOKUP(V139,'Fix Cost'!$K$177:$M$179,3,0)</f>
        <v>267411.04680782068</v>
      </c>
      <c r="Z139" s="3119">
        <f t="shared" ca="1" si="68"/>
        <v>0</v>
      </c>
      <c r="AA139" s="3115">
        <f t="shared" ca="1" si="69"/>
        <v>0</v>
      </c>
      <c r="AB139" s="3115">
        <f t="shared" ca="1" si="70"/>
        <v>0</v>
      </c>
      <c r="AK139" s="313"/>
      <c r="AL139" s="313"/>
      <c r="AM139" s="313"/>
      <c r="AO139" s="385"/>
      <c r="AP139" s="385"/>
      <c r="AQ139" s="385"/>
      <c r="AR139" s="1048"/>
      <c r="AS139" s="385"/>
      <c r="AT139" s="879">
        <f t="shared" ca="1" si="33"/>
        <v>0</v>
      </c>
      <c r="AU139" s="879">
        <f ca="1">COUNTIFS(AT$7:$AT139,1)</f>
        <v>3</v>
      </c>
    </row>
    <row r="140" spans="1:47" ht="12.75" hidden="1" outlineLevel="1">
      <c r="A140" s="1269"/>
      <c r="B140" s="1738" t="s">
        <v>140</v>
      </c>
      <c r="C140" s="313" t="str">
        <f>input!C506</f>
        <v>Blister Coating</v>
      </c>
      <c r="E140" s="363"/>
      <c r="F140" s="363" t="str">
        <f ca="1">input!F506</f>
        <v>N</v>
      </c>
      <c r="G140" s="363"/>
      <c r="H140" s="313">
        <f ca="1">SUMIFS(Paper!$AC$7:$AC$30,Paper!$A$7:$A$30,'Production cost'!F140)</f>
        <v>0</v>
      </c>
      <c r="I140" s="313">
        <f ca="1">IF(input!$G506&gt;0,input!$G506,3000)</f>
        <v>3000</v>
      </c>
      <c r="J140" s="313" t="s">
        <v>5</v>
      </c>
      <c r="K140" s="360">
        <v>0</v>
      </c>
      <c r="L140" s="313">
        <f ca="1">IF(input!$I506&gt;0,input!$I506,3)</f>
        <v>3</v>
      </c>
      <c r="M140" s="391">
        <f ca="1">IF(H140&gt;0,SUMIF(Data!$L$1155:$L$1190,'Production cost'!$C140,Data!$Q$1155:$Q$1190)*SUMIF(Paper!$A$7:$A$29,'Production cost'!$F140,Paper!$J$7:$J$29),0)</f>
        <v>0</v>
      </c>
      <c r="N140" s="391">
        <f t="shared" ca="1" si="78"/>
        <v>0</v>
      </c>
      <c r="P140" s="313">
        <f>SUMIF(Data!$L$1155:$L$1190,'Production cost'!$C140,Data!$N$1155:$N$1190)</f>
        <v>78551.859745354872</v>
      </c>
      <c r="Q140" s="313">
        <f t="shared" ca="1" si="59"/>
        <v>0</v>
      </c>
      <c r="R140" s="313">
        <f t="shared" ca="1" si="79"/>
        <v>0</v>
      </c>
      <c r="S140" s="1741">
        <f t="shared" ca="1" si="80"/>
        <v>0</v>
      </c>
      <c r="T140" s="313" t="str">
        <f ca="1">input!J506</f>
        <v>N</v>
      </c>
      <c r="V140" s="3115" t="str">
        <f>input!K506</f>
        <v>Packaging</v>
      </c>
      <c r="W140" s="3115">
        <f t="shared" ca="1" si="67"/>
        <v>0</v>
      </c>
      <c r="X140" s="3119">
        <f>VLOOKUP(V140,'Fix Cost'!$K$177:$M$179,2,0)</f>
        <v>58449.923860467366</v>
      </c>
      <c r="Y140" s="3119">
        <f>VLOOKUP(V140,'Fix Cost'!$K$177:$M$179,3,0)</f>
        <v>267411.04680782068</v>
      </c>
      <c r="Z140" s="3119">
        <f t="shared" ca="1" si="68"/>
        <v>0</v>
      </c>
      <c r="AA140" s="3115">
        <f t="shared" ca="1" si="69"/>
        <v>0</v>
      </c>
      <c r="AB140" s="3115">
        <f t="shared" ca="1" si="70"/>
        <v>0</v>
      </c>
      <c r="AK140" s="313"/>
      <c r="AL140" s="313"/>
      <c r="AM140" s="313"/>
      <c r="AO140" s="385"/>
      <c r="AP140" s="385"/>
      <c r="AQ140" s="385"/>
      <c r="AR140" s="1048"/>
      <c r="AS140" s="385"/>
      <c r="AT140" s="879">
        <f t="shared" ca="1" si="33"/>
        <v>0</v>
      </c>
      <c r="AU140" s="879">
        <f ca="1">COUNTIFS(AT$7:$AT140,1)</f>
        <v>3</v>
      </c>
    </row>
    <row r="141" spans="1:47" ht="12.75" hidden="1" outlineLevel="1">
      <c r="A141" s="1269"/>
      <c r="B141" s="1738" t="s">
        <v>140</v>
      </c>
      <c r="C141" s="313" t="str">
        <f>input!C507</f>
        <v>Blister Coating</v>
      </c>
      <c r="E141" s="363"/>
      <c r="F141" s="363" t="str">
        <f ca="1">input!F507</f>
        <v>N</v>
      </c>
      <c r="G141" s="363"/>
      <c r="H141" s="313">
        <f ca="1">SUMIFS(Paper!$AC$7:$AC$30,Paper!$A$7:$A$30,'Production cost'!F141)</f>
        <v>0</v>
      </c>
      <c r="I141" s="313">
        <f ca="1">IF(input!$G507&gt;0,input!$G507,3000)</f>
        <v>3000</v>
      </c>
      <c r="J141" s="313" t="s">
        <v>5</v>
      </c>
      <c r="K141" s="360">
        <v>0</v>
      </c>
      <c r="L141" s="313">
        <f ca="1">IF(input!$I507&gt;0,input!$I507,3)</f>
        <v>3</v>
      </c>
      <c r="M141" s="391">
        <f ca="1">IF(H141&gt;0,SUMIF(Data!$L$1155:$L$1190,'Production cost'!$C141,Data!$Q$1155:$Q$1190)*SUMIF(Paper!$A$7:$A$29,'Production cost'!$F141,Paper!$J$7:$J$29),0)</f>
        <v>0</v>
      </c>
      <c r="N141" s="391">
        <f t="shared" ca="1" si="78"/>
        <v>0</v>
      </c>
      <c r="P141" s="313">
        <f>SUMIF(Data!$L$1155:$L$1190,'Production cost'!$C141,Data!$N$1155:$N$1190)</f>
        <v>78551.859745354872</v>
      </c>
      <c r="Q141" s="313">
        <f t="shared" ca="1" si="59"/>
        <v>0</v>
      </c>
      <c r="R141" s="313">
        <f t="shared" ca="1" si="79"/>
        <v>0</v>
      </c>
      <c r="S141" s="1741">
        <f t="shared" ca="1" si="80"/>
        <v>0</v>
      </c>
      <c r="T141" s="313" t="str">
        <f ca="1">input!J507</f>
        <v>N</v>
      </c>
      <c r="V141" s="3115" t="str">
        <f>input!K507</f>
        <v>Packaging</v>
      </c>
      <c r="W141" s="3115">
        <f t="shared" ca="1" si="67"/>
        <v>0</v>
      </c>
      <c r="X141" s="3119">
        <f>VLOOKUP(V141,'Fix Cost'!$K$177:$M$179,2,0)</f>
        <v>58449.923860467366</v>
      </c>
      <c r="Y141" s="3119">
        <f>VLOOKUP(V141,'Fix Cost'!$K$177:$M$179,3,0)</f>
        <v>267411.04680782068</v>
      </c>
      <c r="Z141" s="3119">
        <f t="shared" ca="1" si="68"/>
        <v>0</v>
      </c>
      <c r="AA141" s="3115">
        <f t="shared" ca="1" si="69"/>
        <v>0</v>
      </c>
      <c r="AB141" s="3115">
        <f t="shared" ca="1" si="70"/>
        <v>0</v>
      </c>
      <c r="AK141" s="313"/>
      <c r="AL141" s="313"/>
      <c r="AM141" s="313"/>
      <c r="AO141" s="385"/>
      <c r="AP141" s="385"/>
      <c r="AQ141" s="385"/>
      <c r="AR141" s="1048"/>
      <c r="AS141" s="385"/>
      <c r="AT141" s="879">
        <f t="shared" ref="AT141:AT204" ca="1" si="81">IF(ISNUMBER(R141),IF(R141&lt;&gt;0,IF(ISNUMBER(SEARCH("to",J141)),0,1),0),"")</f>
        <v>0</v>
      </c>
      <c r="AU141" s="879">
        <f ca="1">COUNTIFS(AT$7:$AT141,1)</f>
        <v>3</v>
      </c>
    </row>
    <row r="142" spans="1:47" ht="12.75" hidden="1" outlineLevel="1">
      <c r="A142" s="1269"/>
      <c r="B142" s="1738" t="s">
        <v>140</v>
      </c>
      <c r="C142" s="313" t="str">
        <f>input!C508</f>
        <v>Blister Coating</v>
      </c>
      <c r="E142" s="363"/>
      <c r="F142" s="363" t="str">
        <f ca="1">input!F508</f>
        <v>N</v>
      </c>
      <c r="G142" s="363"/>
      <c r="H142" s="313">
        <f ca="1">SUMIFS(Paper!$AC$7:$AC$30,Paper!$A$7:$A$30,'Production cost'!F142)</f>
        <v>0</v>
      </c>
      <c r="I142" s="313">
        <f ca="1">IF(input!$G508&gt;0,input!$G508,3000)</f>
        <v>3000</v>
      </c>
      <c r="J142" s="313" t="s">
        <v>5</v>
      </c>
      <c r="K142" s="360">
        <v>0</v>
      </c>
      <c r="L142" s="313">
        <f ca="1">IF(input!$I508&gt;0,input!$I508,3)</f>
        <v>3</v>
      </c>
      <c r="M142" s="391">
        <f ca="1">IF(H142&gt;0,SUMIF(Data!$L$1155:$L$1190,'Production cost'!$C142,Data!$Q$1155:$Q$1190)*SUMIF(Paper!$A$7:$A$29,'Production cost'!$F142,Paper!$J$7:$J$29),0)</f>
        <v>0</v>
      </c>
      <c r="N142" s="391">
        <f t="shared" ca="1" si="78"/>
        <v>0</v>
      </c>
      <c r="P142" s="313">
        <f>SUMIF(Data!$L$1155:$L$1190,'Production cost'!$C142,Data!$N$1155:$N$1190)</f>
        <v>78551.859745354872</v>
      </c>
      <c r="Q142" s="313">
        <f t="shared" ref="Q142:Q173" ca="1" si="82">(N142*O142*K142+N142*P142*L142)*(1+$R$702)</f>
        <v>0</v>
      </c>
      <c r="R142" s="313">
        <f t="shared" ca="1" si="79"/>
        <v>0</v>
      </c>
      <c r="S142" s="1741">
        <f t="shared" ca="1" si="80"/>
        <v>0</v>
      </c>
      <c r="T142" s="313" t="str">
        <f ca="1">input!J508</f>
        <v>N</v>
      </c>
      <c r="V142" s="3115" t="str">
        <f>input!K508</f>
        <v>Packaging</v>
      </c>
      <c r="W142" s="3115">
        <f t="shared" ca="1" si="67"/>
        <v>0</v>
      </c>
      <c r="X142" s="3119">
        <f>VLOOKUP(V142,'Fix Cost'!$K$177:$M$179,2,0)</f>
        <v>58449.923860467366</v>
      </c>
      <c r="Y142" s="3119">
        <f>VLOOKUP(V142,'Fix Cost'!$K$177:$M$179,3,0)</f>
        <v>267411.04680782068</v>
      </c>
      <c r="Z142" s="3119">
        <f t="shared" ca="1" si="68"/>
        <v>0</v>
      </c>
      <c r="AA142" s="3115">
        <f t="shared" ca="1" si="69"/>
        <v>0</v>
      </c>
      <c r="AB142" s="3115">
        <f t="shared" ca="1" si="70"/>
        <v>0</v>
      </c>
      <c r="AK142" s="313"/>
      <c r="AL142" s="313"/>
      <c r="AM142" s="313"/>
      <c r="AO142" s="385"/>
      <c r="AP142" s="385"/>
      <c r="AQ142" s="385"/>
      <c r="AR142" s="1048"/>
      <c r="AS142" s="385"/>
      <c r="AT142" s="879">
        <f t="shared" ca="1" si="81"/>
        <v>0</v>
      </c>
      <c r="AU142" s="879">
        <f ca="1">COUNTIFS(AT$7:$AT142,1)</f>
        <v>3</v>
      </c>
    </row>
    <row r="143" spans="1:47" ht="12.75" hidden="1" outlineLevel="1">
      <c r="A143" s="1269"/>
      <c r="B143" s="1738" t="s">
        <v>140</v>
      </c>
      <c r="C143" s="313" t="str">
        <f>input!C509</f>
        <v>Blister Coating</v>
      </c>
      <c r="E143" s="363"/>
      <c r="F143" s="363" t="str">
        <f ca="1">input!F509</f>
        <v>N</v>
      </c>
      <c r="G143" s="363"/>
      <c r="H143" s="313">
        <f ca="1">SUMIFS(Paper!$AC$7:$AC$30,Paper!$A$7:$A$30,'Production cost'!F143)</f>
        <v>0</v>
      </c>
      <c r="I143" s="313">
        <f ca="1">IF(input!$G509&gt;0,input!$G509,3000)</f>
        <v>3000</v>
      </c>
      <c r="J143" s="313" t="s">
        <v>5</v>
      </c>
      <c r="K143" s="360">
        <v>0</v>
      </c>
      <c r="L143" s="313">
        <f ca="1">IF(input!$I509&gt;0,input!$I509,3)</f>
        <v>3</v>
      </c>
      <c r="M143" s="391">
        <f ca="1">IF(H143&gt;0,SUMIF(Data!$L$1155:$L$1190,'Production cost'!$C143,Data!$Q$1155:$Q$1190)*SUMIF(Paper!$A$7:$A$29,'Production cost'!$F143,Paper!$J$7:$J$29),0)</f>
        <v>0</v>
      </c>
      <c r="N143" s="391">
        <f t="shared" ca="1" si="78"/>
        <v>0</v>
      </c>
      <c r="P143" s="313">
        <f>SUMIF(Data!$L$1155:$L$1190,'Production cost'!$C143,Data!$N$1155:$N$1190)</f>
        <v>78551.859745354872</v>
      </c>
      <c r="Q143" s="313">
        <f t="shared" ca="1" si="82"/>
        <v>0</v>
      </c>
      <c r="R143" s="313">
        <f t="shared" ca="1" si="79"/>
        <v>0</v>
      </c>
      <c r="S143" s="1741">
        <f t="shared" ca="1" si="80"/>
        <v>0</v>
      </c>
      <c r="T143" s="313" t="str">
        <f ca="1">input!J509</f>
        <v>N</v>
      </c>
      <c r="V143" s="3115" t="str">
        <f>input!K509</f>
        <v>Packaging</v>
      </c>
      <c r="W143" s="3115">
        <f t="shared" ca="1" si="67"/>
        <v>0</v>
      </c>
      <c r="X143" s="3119">
        <f>VLOOKUP(V143,'Fix Cost'!$K$177:$M$179,2,0)</f>
        <v>58449.923860467366</v>
      </c>
      <c r="Y143" s="3119">
        <f>VLOOKUP(V143,'Fix Cost'!$K$177:$M$179,3,0)</f>
        <v>267411.04680782068</v>
      </c>
      <c r="Z143" s="3119">
        <f t="shared" ca="1" si="68"/>
        <v>0</v>
      </c>
      <c r="AA143" s="3115">
        <f t="shared" ca="1" si="69"/>
        <v>0</v>
      </c>
      <c r="AB143" s="3115">
        <f t="shared" ca="1" si="70"/>
        <v>0</v>
      </c>
      <c r="AK143" s="313"/>
      <c r="AL143" s="313"/>
      <c r="AM143" s="313"/>
      <c r="AO143" s="385"/>
      <c r="AP143" s="385"/>
      <c r="AQ143" s="385"/>
      <c r="AR143" s="1048"/>
      <c r="AS143" s="385"/>
      <c r="AT143" s="879">
        <f t="shared" ca="1" si="81"/>
        <v>0</v>
      </c>
      <c r="AU143" s="879">
        <f ca="1">COUNTIFS(AT$7:$AT143,1)</f>
        <v>3</v>
      </c>
    </row>
    <row r="144" spans="1:47" ht="12.75" hidden="1" outlineLevel="1">
      <c r="A144" s="1269"/>
      <c r="B144" s="1738" t="s">
        <v>140</v>
      </c>
      <c r="C144" s="313" t="str">
        <f>input!C510</f>
        <v>Blister Coating</v>
      </c>
      <c r="E144" s="363"/>
      <c r="F144" s="363" t="str">
        <f ca="1">input!F510</f>
        <v>N</v>
      </c>
      <c r="G144" s="363"/>
      <c r="H144" s="313">
        <f ca="1">SUMIFS(Paper!$AC$7:$AC$30,Paper!$A$7:$A$30,'Production cost'!F144)</f>
        <v>0</v>
      </c>
      <c r="I144" s="313">
        <f ca="1">IF(input!$G510&gt;0,input!$G510,3000)</f>
        <v>3000</v>
      </c>
      <c r="J144" s="313" t="s">
        <v>5</v>
      </c>
      <c r="K144" s="360">
        <v>0</v>
      </c>
      <c r="L144" s="313">
        <f ca="1">IF(input!$I510&gt;0,input!$I510,3)</f>
        <v>3</v>
      </c>
      <c r="M144" s="391">
        <f ca="1">IF(H144&gt;0,SUMIF(Data!$L$1155:$L$1190,'Production cost'!$C144,Data!$Q$1155:$Q$1190)*SUMIF(Paper!$A$7:$A$29,'Production cost'!$F144,Paper!$J$7:$J$29),0)</f>
        <v>0</v>
      </c>
      <c r="N144" s="391">
        <f t="shared" ca="1" si="78"/>
        <v>0</v>
      </c>
      <c r="P144" s="313">
        <f>SUMIF(Data!$L$1155:$L$1190,'Production cost'!$C144,Data!$N$1155:$N$1190)</f>
        <v>78551.859745354872</v>
      </c>
      <c r="Q144" s="313">
        <f t="shared" ca="1" si="82"/>
        <v>0</v>
      </c>
      <c r="R144" s="313">
        <f t="shared" ca="1" si="79"/>
        <v>0</v>
      </c>
      <c r="S144" s="1741">
        <f t="shared" ca="1" si="80"/>
        <v>0</v>
      </c>
      <c r="T144" s="313" t="str">
        <f ca="1">input!J510</f>
        <v>N</v>
      </c>
      <c r="V144" s="3115" t="str">
        <f>input!K510</f>
        <v>Packaging</v>
      </c>
      <c r="W144" s="3115">
        <f t="shared" ca="1" si="67"/>
        <v>0</v>
      </c>
      <c r="X144" s="3119">
        <f>VLOOKUP(V144,'Fix Cost'!$K$177:$M$179,2,0)</f>
        <v>58449.923860467366</v>
      </c>
      <c r="Y144" s="3119">
        <f>VLOOKUP(V144,'Fix Cost'!$K$177:$M$179,3,0)</f>
        <v>267411.04680782068</v>
      </c>
      <c r="Z144" s="3119">
        <f t="shared" ca="1" si="68"/>
        <v>0</v>
      </c>
      <c r="AA144" s="3115">
        <f t="shared" ca="1" si="69"/>
        <v>0</v>
      </c>
      <c r="AB144" s="3115">
        <f t="shared" ca="1" si="70"/>
        <v>0</v>
      </c>
      <c r="AK144" s="313"/>
      <c r="AL144" s="313"/>
      <c r="AM144" s="313"/>
      <c r="AO144" s="385"/>
      <c r="AP144" s="385"/>
      <c r="AQ144" s="385"/>
      <c r="AR144" s="1048"/>
      <c r="AS144" s="385"/>
      <c r="AT144" s="879">
        <f t="shared" ca="1" si="81"/>
        <v>0</v>
      </c>
      <c r="AU144" s="879">
        <f ca="1">COUNTIFS(AT$7:$AT144,1)</f>
        <v>3</v>
      </c>
    </row>
    <row r="145" spans="1:47" ht="12.75" hidden="1" outlineLevel="1">
      <c r="A145" s="1269"/>
      <c r="B145" s="1738" t="s">
        <v>140</v>
      </c>
      <c r="C145" s="313" t="str">
        <f>input!C511</f>
        <v>Blister Coating</v>
      </c>
      <c r="E145" s="363"/>
      <c r="F145" s="363" t="str">
        <f ca="1">input!F511</f>
        <v>N</v>
      </c>
      <c r="G145" s="363"/>
      <c r="H145" s="313">
        <f ca="1">SUMIFS(Paper!$AC$7:$AC$30,Paper!$A$7:$A$30,'Production cost'!F145)</f>
        <v>0</v>
      </c>
      <c r="I145" s="313">
        <f ca="1">IF(input!$G511&gt;0,input!$G511,3000)</f>
        <v>3000</v>
      </c>
      <c r="J145" s="313" t="s">
        <v>5</v>
      </c>
      <c r="K145" s="360">
        <v>0</v>
      </c>
      <c r="L145" s="313">
        <f ca="1">IF(input!$I511&gt;0,input!$I511,3)</f>
        <v>3</v>
      </c>
      <c r="M145" s="391">
        <f ca="1">IF(H145&gt;0,SUMIF(Data!$L$1155:$L$1190,'Production cost'!$C145,Data!$Q$1155:$Q$1190)*SUMIF(Paper!$A$7:$A$29,'Production cost'!$F145,Paper!$J$7:$J$29),0)</f>
        <v>0</v>
      </c>
      <c r="N145" s="391">
        <f t="shared" ca="1" si="78"/>
        <v>0</v>
      </c>
      <c r="P145" s="313">
        <f>SUMIF(Data!$L$1155:$L$1190,'Production cost'!$C145,Data!$N$1155:$N$1190)</f>
        <v>78551.859745354872</v>
      </c>
      <c r="Q145" s="313">
        <f t="shared" ca="1" si="82"/>
        <v>0</v>
      </c>
      <c r="R145" s="313">
        <f t="shared" ca="1" si="79"/>
        <v>0</v>
      </c>
      <c r="S145" s="1741">
        <f t="shared" ca="1" si="80"/>
        <v>0</v>
      </c>
      <c r="T145" s="313" t="str">
        <f ca="1">input!J511</f>
        <v>N</v>
      </c>
      <c r="V145" s="3115" t="str">
        <f>input!K511</f>
        <v>Packaging</v>
      </c>
      <c r="W145" s="3115">
        <f t="shared" ca="1" si="67"/>
        <v>0</v>
      </c>
      <c r="X145" s="3119">
        <f>VLOOKUP(V145,'Fix Cost'!$K$177:$M$179,2,0)</f>
        <v>58449.923860467366</v>
      </c>
      <c r="Y145" s="3119">
        <f>VLOOKUP(V145,'Fix Cost'!$K$177:$M$179,3,0)</f>
        <v>267411.04680782068</v>
      </c>
      <c r="Z145" s="3119">
        <f t="shared" ca="1" si="68"/>
        <v>0</v>
      </c>
      <c r="AA145" s="3115">
        <f t="shared" ca="1" si="69"/>
        <v>0</v>
      </c>
      <c r="AB145" s="3115">
        <f t="shared" ca="1" si="70"/>
        <v>0</v>
      </c>
      <c r="AK145" s="313"/>
      <c r="AL145" s="313"/>
      <c r="AM145" s="313"/>
      <c r="AO145" s="385"/>
      <c r="AP145" s="385"/>
      <c r="AQ145" s="385"/>
      <c r="AR145" s="1048"/>
      <c r="AS145" s="385"/>
      <c r="AT145" s="879">
        <f t="shared" ca="1" si="81"/>
        <v>0</v>
      </c>
      <c r="AU145" s="879">
        <f ca="1">COUNTIFS(AT$7:$AT145,1)</f>
        <v>3</v>
      </c>
    </row>
    <row r="146" spans="1:47" ht="12.75" hidden="1" outlineLevel="1">
      <c r="A146" s="1269"/>
      <c r="B146" s="1738" t="s">
        <v>140</v>
      </c>
      <c r="C146" s="313" t="str">
        <f>input!C512</f>
        <v>Blister Coating</v>
      </c>
      <c r="E146" s="363"/>
      <c r="F146" s="363" t="str">
        <f ca="1">input!F512</f>
        <v>N</v>
      </c>
      <c r="G146" s="363"/>
      <c r="H146" s="313">
        <f ca="1">SUMIFS(Paper!$AC$7:$AC$30,Paper!$A$7:$A$30,'Production cost'!F146)</f>
        <v>0</v>
      </c>
      <c r="I146" s="313">
        <f ca="1">IF(input!$G512&gt;0,input!$G512,3000)</f>
        <v>3000</v>
      </c>
      <c r="J146" s="313" t="s">
        <v>5</v>
      </c>
      <c r="K146" s="360">
        <v>0</v>
      </c>
      <c r="L146" s="313">
        <f ca="1">IF(input!$I512&gt;0,input!$I512,3)</f>
        <v>3</v>
      </c>
      <c r="M146" s="391">
        <f ca="1">IF(H146&gt;0,SUMIF(Data!$L$1155:$L$1190,'Production cost'!$C146,Data!$Q$1155:$Q$1190)*SUMIF(Paper!$A$7:$A$29,'Production cost'!$F146,Paper!$J$7:$J$29),0)</f>
        <v>0</v>
      </c>
      <c r="N146" s="391">
        <f t="shared" ca="1" si="78"/>
        <v>0</v>
      </c>
      <c r="P146" s="313">
        <f>SUMIF(Data!$L$1155:$L$1190,'Production cost'!$C146,Data!$N$1155:$N$1190)</f>
        <v>78551.859745354872</v>
      </c>
      <c r="Q146" s="313">
        <f t="shared" ca="1" si="82"/>
        <v>0</v>
      </c>
      <c r="R146" s="313">
        <f t="shared" ca="1" si="79"/>
        <v>0</v>
      </c>
      <c r="S146" s="1741">
        <f t="shared" ca="1" si="80"/>
        <v>0</v>
      </c>
      <c r="T146" s="313" t="str">
        <f ca="1">input!J512</f>
        <v>N</v>
      </c>
      <c r="V146" s="3115" t="str">
        <f>input!K512</f>
        <v>Packaging</v>
      </c>
      <c r="W146" s="3115">
        <f t="shared" ca="1" si="67"/>
        <v>0</v>
      </c>
      <c r="X146" s="3119">
        <f>VLOOKUP(V146,'Fix Cost'!$K$177:$M$179,2,0)</f>
        <v>58449.923860467366</v>
      </c>
      <c r="Y146" s="3119">
        <f>VLOOKUP(V146,'Fix Cost'!$K$177:$M$179,3,0)</f>
        <v>267411.04680782068</v>
      </c>
      <c r="Z146" s="3119">
        <f t="shared" ca="1" si="68"/>
        <v>0</v>
      </c>
      <c r="AA146" s="3115">
        <f t="shared" ca="1" si="69"/>
        <v>0</v>
      </c>
      <c r="AB146" s="3115">
        <f t="shared" ca="1" si="70"/>
        <v>0</v>
      </c>
      <c r="AK146" s="313"/>
      <c r="AL146" s="313"/>
      <c r="AM146" s="313"/>
      <c r="AO146" s="385"/>
      <c r="AP146" s="385"/>
      <c r="AQ146" s="385"/>
      <c r="AR146" s="1048"/>
      <c r="AS146" s="385"/>
      <c r="AT146" s="879">
        <f t="shared" ca="1" si="81"/>
        <v>0</v>
      </c>
      <c r="AU146" s="879">
        <f ca="1">COUNTIFS(AT$7:$AT146,1)</f>
        <v>3</v>
      </c>
    </row>
    <row r="147" spans="1:47" ht="12.75" hidden="1" outlineLevel="1">
      <c r="A147" s="1269"/>
      <c r="B147" s="1738" t="s">
        <v>140</v>
      </c>
      <c r="C147" s="313" t="str">
        <f>input!C513</f>
        <v>Blister Coating</v>
      </c>
      <c r="E147" s="363"/>
      <c r="F147" s="363" t="str">
        <f ca="1">input!F513</f>
        <v>N</v>
      </c>
      <c r="G147" s="363"/>
      <c r="H147" s="313">
        <f ca="1">SUMIFS(Paper!$AC$7:$AC$30,Paper!$A$7:$A$30,'Production cost'!F147)</f>
        <v>0</v>
      </c>
      <c r="I147" s="313">
        <f ca="1">IF(input!$G513&gt;0,input!$G513,3000)</f>
        <v>3000</v>
      </c>
      <c r="J147" s="313" t="s">
        <v>5</v>
      </c>
      <c r="K147" s="360">
        <v>0</v>
      </c>
      <c r="L147" s="313">
        <f ca="1">IF(input!$I513&gt;0,input!$I513,3)</f>
        <v>3</v>
      </c>
      <c r="M147" s="391">
        <f ca="1">IF(H147&gt;0,SUMIF(Data!$L$1155:$L$1190,'Production cost'!$C147,Data!$Q$1155:$Q$1190)*SUMIF(Paper!$A$7:$A$29,'Production cost'!$F147,Paper!$J$7:$J$29),0)</f>
        <v>0</v>
      </c>
      <c r="N147" s="391">
        <f t="shared" ca="1" si="78"/>
        <v>0</v>
      </c>
      <c r="P147" s="313">
        <f>SUMIF(Data!$L$1155:$L$1190,'Production cost'!$C147,Data!$N$1155:$N$1190)</f>
        <v>78551.859745354872</v>
      </c>
      <c r="Q147" s="313">
        <f t="shared" ca="1" si="82"/>
        <v>0</v>
      </c>
      <c r="R147" s="313">
        <f t="shared" ca="1" si="79"/>
        <v>0</v>
      </c>
      <c r="S147" s="1741">
        <f t="shared" ca="1" si="80"/>
        <v>0</v>
      </c>
      <c r="T147" s="313" t="str">
        <f ca="1">input!J513</f>
        <v>N</v>
      </c>
      <c r="V147" s="3115" t="str">
        <f>input!K513</f>
        <v>Packaging</v>
      </c>
      <c r="W147" s="3115">
        <f t="shared" ca="1" si="67"/>
        <v>0</v>
      </c>
      <c r="X147" s="3119">
        <f>VLOOKUP(V147,'Fix Cost'!$K$177:$M$179,2,0)</f>
        <v>58449.923860467366</v>
      </c>
      <c r="Y147" s="3119">
        <f>VLOOKUP(V147,'Fix Cost'!$K$177:$M$179,3,0)</f>
        <v>267411.04680782068</v>
      </c>
      <c r="Z147" s="3119">
        <f t="shared" ca="1" si="68"/>
        <v>0</v>
      </c>
      <c r="AA147" s="3115">
        <f t="shared" ca="1" si="69"/>
        <v>0</v>
      </c>
      <c r="AB147" s="3115">
        <f t="shared" ca="1" si="70"/>
        <v>0</v>
      </c>
      <c r="AK147" s="313"/>
      <c r="AL147" s="313"/>
      <c r="AM147" s="313"/>
      <c r="AO147" s="385"/>
      <c r="AP147" s="385"/>
      <c r="AQ147" s="385"/>
      <c r="AR147" s="1048"/>
      <c r="AS147" s="385"/>
      <c r="AT147" s="879">
        <f t="shared" ca="1" si="81"/>
        <v>0</v>
      </c>
      <c r="AU147" s="879">
        <f ca="1">COUNTIFS(AT$7:$AT147,1)</f>
        <v>3</v>
      </c>
    </row>
    <row r="148" spans="1:47" ht="12.75" hidden="1" outlineLevel="1">
      <c r="A148" s="1269"/>
      <c r="B148" s="1738" t="s">
        <v>140</v>
      </c>
      <c r="C148" s="313" t="str">
        <f>input!C514</f>
        <v>Blister Coating</v>
      </c>
      <c r="E148" s="363"/>
      <c r="F148" s="363" t="str">
        <f ca="1">input!F514</f>
        <v>N</v>
      </c>
      <c r="G148" s="363"/>
      <c r="H148" s="313">
        <f ca="1">SUMIFS(Paper!$AC$7:$AC$30,Paper!$A$7:$A$30,'Production cost'!F148)</f>
        <v>0</v>
      </c>
      <c r="I148" s="313">
        <f ca="1">IF(input!$G514&gt;0,input!$G514,3000)</f>
        <v>3000</v>
      </c>
      <c r="J148" s="313" t="s">
        <v>5</v>
      </c>
      <c r="K148" s="360">
        <v>0</v>
      </c>
      <c r="L148" s="313">
        <f ca="1">IF(input!$I514&gt;0,input!$I514,3)</f>
        <v>3</v>
      </c>
      <c r="M148" s="391">
        <f ca="1">IF(H148&gt;0,SUMIF(Data!$L$1155:$L$1190,'Production cost'!$C148,Data!$Q$1155:$Q$1190)*SUMIF(Paper!$A$7:$A$29,'Production cost'!$F148,Paper!$J$7:$J$29),0)</f>
        <v>0</v>
      </c>
      <c r="N148" s="391">
        <f t="shared" ref="N148:N152" ca="1" si="83">IF(H148&gt;0,ROUNDUP(((H148/I148)/$M$5+M148),1),0)</f>
        <v>0</v>
      </c>
      <c r="P148" s="313">
        <f>SUMIF(Data!$L$1155:$L$1190,'Production cost'!$C148,Data!$N$1155:$N$1190)</f>
        <v>78551.859745354872</v>
      </c>
      <c r="Q148" s="313">
        <f t="shared" ca="1" si="82"/>
        <v>0</v>
      </c>
      <c r="R148" s="313">
        <f t="shared" ref="R148:R152" ca="1" si="84">IF($E$2&gt;0,Q148/$E$2,0)</f>
        <v>0</v>
      </c>
      <c r="S148" s="1741">
        <f t="shared" ref="S148:S152" ca="1" si="85">IF(M148&gt;0,K148*O148+L148*P148,0)</f>
        <v>0</v>
      </c>
      <c r="T148" s="313" t="str">
        <f ca="1">input!J514</f>
        <v>N</v>
      </c>
      <c r="V148" s="3115" t="str">
        <f>input!K514</f>
        <v>Packaging</v>
      </c>
      <c r="W148" s="3115">
        <f t="shared" ref="W148:W152" ca="1" si="86">N148*(L148+K148)</f>
        <v>0</v>
      </c>
      <c r="X148" s="3119">
        <f>VLOOKUP(V148,'Fix Cost'!$K$177:$M$179,2,0)</f>
        <v>58449.923860467366</v>
      </c>
      <c r="Y148" s="3119">
        <f>VLOOKUP(V148,'Fix Cost'!$K$177:$M$179,3,0)</f>
        <v>267411.04680782068</v>
      </c>
      <c r="Z148" s="3119">
        <f t="shared" ref="Z148:Z152" ca="1" si="87">IFERROR($X148*W148,0)</f>
        <v>0</v>
      </c>
      <c r="AA148" s="3115">
        <f t="shared" ref="AA148:AA152" ca="1" si="88">IFERROR(Y148*N148,0)</f>
        <v>0</v>
      </c>
      <c r="AB148" s="3115">
        <f t="shared" ref="AB148:AB152" ca="1" si="89">Z148+AA148</f>
        <v>0</v>
      </c>
      <c r="AK148" s="313"/>
      <c r="AL148" s="313"/>
      <c r="AM148" s="313"/>
      <c r="AO148" s="385"/>
      <c r="AP148" s="385"/>
      <c r="AQ148" s="385"/>
      <c r="AR148" s="1048"/>
      <c r="AS148" s="385"/>
      <c r="AT148" s="879">
        <f t="shared" ca="1" si="81"/>
        <v>0</v>
      </c>
      <c r="AU148" s="879">
        <f ca="1">COUNTIFS(AT$7:$AT148,1)</f>
        <v>3</v>
      </c>
    </row>
    <row r="149" spans="1:47" ht="12.75" hidden="1" outlineLevel="1">
      <c r="A149" s="1269"/>
      <c r="B149" s="1738" t="s">
        <v>140</v>
      </c>
      <c r="C149" s="313" t="str">
        <f>input!C515</f>
        <v>Blister Coating</v>
      </c>
      <c r="E149" s="363"/>
      <c r="F149" s="363" t="str">
        <f ca="1">input!F515</f>
        <v>N</v>
      </c>
      <c r="G149" s="363"/>
      <c r="H149" s="313">
        <f ca="1">SUMIFS(Paper!$AC$7:$AC$30,Paper!$A$7:$A$30,'Production cost'!F149)</f>
        <v>0</v>
      </c>
      <c r="I149" s="313">
        <f ca="1">IF(input!$G515&gt;0,input!$G515,3000)</f>
        <v>3000</v>
      </c>
      <c r="J149" s="313" t="s">
        <v>5</v>
      </c>
      <c r="K149" s="360">
        <v>0</v>
      </c>
      <c r="L149" s="313">
        <f ca="1">IF(input!$I515&gt;0,input!$I515,3)</f>
        <v>3</v>
      </c>
      <c r="M149" s="391">
        <f ca="1">IF(H149&gt;0,SUMIF(Data!$L$1155:$L$1190,'Production cost'!$C149,Data!$Q$1155:$Q$1190)*SUMIF(Paper!$A$7:$A$29,'Production cost'!$F149,Paper!$J$7:$J$29),0)</f>
        <v>0</v>
      </c>
      <c r="N149" s="391">
        <f t="shared" ca="1" si="83"/>
        <v>0</v>
      </c>
      <c r="P149" s="313">
        <f>SUMIF(Data!$L$1155:$L$1190,'Production cost'!$C149,Data!$N$1155:$N$1190)</f>
        <v>78551.859745354872</v>
      </c>
      <c r="Q149" s="313">
        <f t="shared" ca="1" si="82"/>
        <v>0</v>
      </c>
      <c r="R149" s="313">
        <f t="shared" ca="1" si="84"/>
        <v>0</v>
      </c>
      <c r="S149" s="1741">
        <f t="shared" ca="1" si="85"/>
        <v>0</v>
      </c>
      <c r="T149" s="313" t="str">
        <f ca="1">input!J515</f>
        <v>N</v>
      </c>
      <c r="V149" s="3115" t="str">
        <f>input!K515</f>
        <v>Packaging</v>
      </c>
      <c r="W149" s="3115">
        <f t="shared" ca="1" si="86"/>
        <v>0</v>
      </c>
      <c r="X149" s="3119">
        <f>VLOOKUP(V149,'Fix Cost'!$K$177:$M$179,2,0)</f>
        <v>58449.923860467366</v>
      </c>
      <c r="Y149" s="3119">
        <f>VLOOKUP(V149,'Fix Cost'!$K$177:$M$179,3,0)</f>
        <v>267411.04680782068</v>
      </c>
      <c r="Z149" s="3119">
        <f t="shared" ca="1" si="87"/>
        <v>0</v>
      </c>
      <c r="AA149" s="3115">
        <f t="shared" ca="1" si="88"/>
        <v>0</v>
      </c>
      <c r="AB149" s="3115">
        <f t="shared" ca="1" si="89"/>
        <v>0</v>
      </c>
      <c r="AK149" s="313"/>
      <c r="AL149" s="313"/>
      <c r="AM149" s="313"/>
      <c r="AO149" s="385"/>
      <c r="AP149" s="385"/>
      <c r="AQ149" s="385"/>
      <c r="AR149" s="1048"/>
      <c r="AS149" s="385"/>
      <c r="AT149" s="879">
        <f t="shared" ca="1" si="81"/>
        <v>0</v>
      </c>
      <c r="AU149" s="879">
        <f ca="1">COUNTIFS(AT$7:$AT149,1)</f>
        <v>3</v>
      </c>
    </row>
    <row r="150" spans="1:47" ht="12.75" hidden="1" outlineLevel="1">
      <c r="A150" s="1269"/>
      <c r="B150" s="1738" t="s">
        <v>140</v>
      </c>
      <c r="C150" s="313" t="str">
        <f>input!C516</f>
        <v>Blister Coating</v>
      </c>
      <c r="E150" s="363"/>
      <c r="F150" s="363" t="str">
        <f ca="1">input!F516</f>
        <v>N</v>
      </c>
      <c r="G150" s="363"/>
      <c r="H150" s="313">
        <f ca="1">SUMIFS(Paper!$AC$7:$AC$30,Paper!$A$7:$A$30,'Production cost'!F150)</f>
        <v>0</v>
      </c>
      <c r="I150" s="313">
        <f ca="1">IF(input!$G516&gt;0,input!$G516,3000)</f>
        <v>3000</v>
      </c>
      <c r="J150" s="313" t="s">
        <v>5</v>
      </c>
      <c r="K150" s="360">
        <v>0</v>
      </c>
      <c r="L150" s="313">
        <f ca="1">IF(input!$I516&gt;0,input!$I516,3)</f>
        <v>3</v>
      </c>
      <c r="M150" s="391">
        <f ca="1">IF(H150&gt;0,SUMIF(Data!$L$1155:$L$1190,'Production cost'!$C150,Data!$Q$1155:$Q$1190)*SUMIF(Paper!$A$7:$A$29,'Production cost'!$F150,Paper!$J$7:$J$29),0)</f>
        <v>0</v>
      </c>
      <c r="N150" s="391">
        <f t="shared" ca="1" si="83"/>
        <v>0</v>
      </c>
      <c r="P150" s="313">
        <f>SUMIF(Data!$L$1155:$L$1190,'Production cost'!$C150,Data!$N$1155:$N$1190)</f>
        <v>78551.859745354872</v>
      </c>
      <c r="Q150" s="313">
        <f t="shared" ca="1" si="82"/>
        <v>0</v>
      </c>
      <c r="R150" s="313">
        <f t="shared" ca="1" si="84"/>
        <v>0</v>
      </c>
      <c r="S150" s="1741">
        <f t="shared" ca="1" si="85"/>
        <v>0</v>
      </c>
      <c r="T150" s="313" t="str">
        <f ca="1">input!J516</f>
        <v>N</v>
      </c>
      <c r="V150" s="3115" t="str">
        <f>input!K516</f>
        <v>Packaging</v>
      </c>
      <c r="W150" s="3115">
        <f t="shared" ca="1" si="86"/>
        <v>0</v>
      </c>
      <c r="X150" s="3119">
        <f>VLOOKUP(V150,'Fix Cost'!$K$177:$M$179,2,0)</f>
        <v>58449.923860467366</v>
      </c>
      <c r="Y150" s="3119">
        <f>VLOOKUP(V150,'Fix Cost'!$K$177:$M$179,3,0)</f>
        <v>267411.04680782068</v>
      </c>
      <c r="Z150" s="3119">
        <f t="shared" ca="1" si="87"/>
        <v>0</v>
      </c>
      <c r="AA150" s="3115">
        <f t="shared" ca="1" si="88"/>
        <v>0</v>
      </c>
      <c r="AB150" s="3115">
        <f t="shared" ca="1" si="89"/>
        <v>0</v>
      </c>
      <c r="AK150" s="313"/>
      <c r="AL150" s="313"/>
      <c r="AM150" s="313"/>
      <c r="AO150" s="385"/>
      <c r="AP150" s="385"/>
      <c r="AQ150" s="385"/>
      <c r="AR150" s="1048"/>
      <c r="AS150" s="385"/>
      <c r="AT150" s="879">
        <f t="shared" ca="1" si="81"/>
        <v>0</v>
      </c>
      <c r="AU150" s="879">
        <f ca="1">COUNTIFS(AT$7:$AT150,1)</f>
        <v>3</v>
      </c>
    </row>
    <row r="151" spans="1:47" ht="12.75" hidden="1" outlineLevel="1">
      <c r="A151" s="1269"/>
      <c r="B151" s="1738" t="s">
        <v>140</v>
      </c>
      <c r="C151" s="313" t="str">
        <f>input!C517</f>
        <v>Blister Coating</v>
      </c>
      <c r="E151" s="363"/>
      <c r="F151" s="363" t="str">
        <f ca="1">input!F517</f>
        <v>N</v>
      </c>
      <c r="G151" s="363"/>
      <c r="H151" s="313">
        <f ca="1">SUMIFS(Paper!$AC$7:$AC$30,Paper!$A$7:$A$30,'Production cost'!F151)</f>
        <v>0</v>
      </c>
      <c r="I151" s="313">
        <f ca="1">IF(input!$G517&gt;0,input!$G517,3000)</f>
        <v>3000</v>
      </c>
      <c r="J151" s="313" t="s">
        <v>5</v>
      </c>
      <c r="K151" s="360">
        <v>0</v>
      </c>
      <c r="L151" s="313">
        <f ca="1">IF(input!$I517&gt;0,input!$I517,3)</f>
        <v>3</v>
      </c>
      <c r="M151" s="391">
        <f ca="1">IF(H151&gt;0,SUMIF(Data!$L$1155:$L$1190,'Production cost'!$C151,Data!$Q$1155:$Q$1190)*SUMIF(Paper!$A$7:$A$29,'Production cost'!$F151,Paper!$J$7:$J$29),0)</f>
        <v>0</v>
      </c>
      <c r="N151" s="391">
        <f t="shared" ca="1" si="83"/>
        <v>0</v>
      </c>
      <c r="P151" s="313">
        <f>SUMIF(Data!$L$1155:$L$1190,'Production cost'!$C151,Data!$N$1155:$N$1190)</f>
        <v>78551.859745354872</v>
      </c>
      <c r="Q151" s="313">
        <f t="shared" ca="1" si="82"/>
        <v>0</v>
      </c>
      <c r="R151" s="313">
        <f t="shared" ca="1" si="84"/>
        <v>0</v>
      </c>
      <c r="S151" s="1741">
        <f t="shared" ca="1" si="85"/>
        <v>0</v>
      </c>
      <c r="T151" s="313" t="str">
        <f ca="1">input!J517</f>
        <v>N</v>
      </c>
      <c r="V151" s="3115" t="str">
        <f>input!K517</f>
        <v>Packaging</v>
      </c>
      <c r="W151" s="3115">
        <f t="shared" ca="1" si="86"/>
        <v>0</v>
      </c>
      <c r="X151" s="3119">
        <f>VLOOKUP(V151,'Fix Cost'!$K$177:$M$179,2,0)</f>
        <v>58449.923860467366</v>
      </c>
      <c r="Y151" s="3119">
        <f>VLOOKUP(V151,'Fix Cost'!$K$177:$M$179,3,0)</f>
        <v>267411.04680782068</v>
      </c>
      <c r="Z151" s="3119">
        <f t="shared" ca="1" si="87"/>
        <v>0</v>
      </c>
      <c r="AA151" s="3115">
        <f t="shared" ca="1" si="88"/>
        <v>0</v>
      </c>
      <c r="AB151" s="3115">
        <f t="shared" ca="1" si="89"/>
        <v>0</v>
      </c>
      <c r="AK151" s="313"/>
      <c r="AL151" s="313"/>
      <c r="AM151" s="313"/>
      <c r="AO151" s="385"/>
      <c r="AP151" s="385"/>
      <c r="AQ151" s="385"/>
      <c r="AR151" s="1048"/>
      <c r="AS151" s="385"/>
      <c r="AT151" s="879">
        <f t="shared" ca="1" si="81"/>
        <v>0</v>
      </c>
      <c r="AU151" s="879">
        <f ca="1">COUNTIFS(AT$7:$AT151,1)</f>
        <v>3</v>
      </c>
    </row>
    <row r="152" spans="1:47" ht="12.75" hidden="1" outlineLevel="1">
      <c r="A152" s="1269"/>
      <c r="B152" s="1738" t="s">
        <v>140</v>
      </c>
      <c r="C152" s="313" t="str">
        <f>input!C518</f>
        <v>Blister Coating</v>
      </c>
      <c r="E152" s="363"/>
      <c r="F152" s="363" t="str">
        <f ca="1">input!F518</f>
        <v>N</v>
      </c>
      <c r="G152" s="363"/>
      <c r="H152" s="313">
        <f ca="1">SUMIFS(Paper!$AC$7:$AC$30,Paper!$A$7:$A$30,'Production cost'!F152)</f>
        <v>0</v>
      </c>
      <c r="I152" s="313">
        <f ca="1">IF(input!$G518&gt;0,input!$G518,3000)</f>
        <v>3000</v>
      </c>
      <c r="J152" s="313" t="s">
        <v>5</v>
      </c>
      <c r="K152" s="360">
        <v>0</v>
      </c>
      <c r="L152" s="313">
        <f ca="1">IF(input!$I518&gt;0,input!$I518,3)</f>
        <v>3</v>
      </c>
      <c r="M152" s="391">
        <f ca="1">IF(H152&gt;0,SUMIF(Data!$L$1155:$L$1190,'Production cost'!$C152,Data!$Q$1155:$Q$1190)*SUMIF(Paper!$A$7:$A$29,'Production cost'!$F152,Paper!$J$7:$J$29),0)</f>
        <v>0</v>
      </c>
      <c r="N152" s="391">
        <f t="shared" ca="1" si="83"/>
        <v>0</v>
      </c>
      <c r="P152" s="313">
        <f>SUMIF(Data!$L$1155:$L$1190,'Production cost'!$C152,Data!$N$1155:$N$1190)</f>
        <v>78551.859745354872</v>
      </c>
      <c r="Q152" s="313">
        <f t="shared" ca="1" si="82"/>
        <v>0</v>
      </c>
      <c r="R152" s="313">
        <f t="shared" ca="1" si="84"/>
        <v>0</v>
      </c>
      <c r="S152" s="1741">
        <f t="shared" ca="1" si="85"/>
        <v>0</v>
      </c>
      <c r="T152" s="313" t="str">
        <f ca="1">input!J518</f>
        <v>N</v>
      </c>
      <c r="V152" s="3115" t="str">
        <f>input!K518</f>
        <v>Packaging</v>
      </c>
      <c r="W152" s="3115">
        <f t="shared" ca="1" si="86"/>
        <v>0</v>
      </c>
      <c r="X152" s="3119">
        <f>VLOOKUP(V152,'Fix Cost'!$K$177:$M$179,2,0)</f>
        <v>58449.923860467366</v>
      </c>
      <c r="Y152" s="3119">
        <f>VLOOKUP(V152,'Fix Cost'!$K$177:$M$179,3,0)</f>
        <v>267411.04680782068</v>
      </c>
      <c r="Z152" s="3119">
        <f t="shared" ca="1" si="87"/>
        <v>0</v>
      </c>
      <c r="AA152" s="3115">
        <f t="shared" ca="1" si="88"/>
        <v>0</v>
      </c>
      <c r="AB152" s="3115">
        <f t="shared" ca="1" si="89"/>
        <v>0</v>
      </c>
      <c r="AK152" s="313"/>
      <c r="AL152" s="313"/>
      <c r="AM152" s="313"/>
      <c r="AO152" s="385"/>
      <c r="AP152" s="385"/>
      <c r="AQ152" s="385"/>
      <c r="AR152" s="1048"/>
      <c r="AS152" s="385"/>
      <c r="AT152" s="879">
        <f t="shared" ca="1" si="81"/>
        <v>0</v>
      </c>
      <c r="AU152" s="879">
        <f ca="1">COUNTIFS(AT$7:$AT152,1)</f>
        <v>3</v>
      </c>
    </row>
    <row r="153" spans="1:47" ht="12.75" hidden="1" outlineLevel="1">
      <c r="A153" s="1269"/>
      <c r="B153" s="1738" t="s">
        <v>140</v>
      </c>
      <c r="C153" s="313" t="str">
        <f>input!C519</f>
        <v>Silkcreen UV</v>
      </c>
      <c r="E153" s="363"/>
      <c r="F153" s="363" t="str">
        <f ca="1">input!F519</f>
        <v>N</v>
      </c>
      <c r="G153" s="363"/>
      <c r="H153" s="313">
        <f ca="1">SUMIFS(Paper!$AC$7:$AC$30,Paper!$A$7:$A$30,'Production cost'!F153)</f>
        <v>0</v>
      </c>
      <c r="I153" s="313">
        <f ca="1">IF(input!$G519&gt;0,input!$G519,3000)</f>
        <v>3000</v>
      </c>
      <c r="J153" s="313" t="s">
        <v>5</v>
      </c>
      <c r="K153" s="360">
        <v>0</v>
      </c>
      <c r="L153" s="313">
        <f ca="1">IF(input!$I519&gt;0,input!$I519,3)</f>
        <v>3</v>
      </c>
      <c r="M153" s="391">
        <f ca="1">IF(H153&gt;0,SUMIF(Data!$L$1155:$L$1190,'Production cost'!$C153,Data!$Q$1155:$Q$1190)*SUMIF(Paper!$A$7:$A$29,'Production cost'!$F153,Paper!$J$7:$J$29),0)</f>
        <v>0</v>
      </c>
      <c r="N153" s="391">
        <f t="shared" ref="N153:N187" ca="1" si="90">IF(H153&gt;0,ROUNDUP(((H153/I153)/$M$5+M153),1),0)</f>
        <v>0</v>
      </c>
      <c r="P153" s="313">
        <f>SUMIF(Data!$L$1155:$L$1190,'Production cost'!$C153,Data!$N$1155:$N$1190)</f>
        <v>78551.859745354872</v>
      </c>
      <c r="Q153" s="313">
        <f t="shared" ca="1" si="82"/>
        <v>0</v>
      </c>
      <c r="R153" s="313">
        <f t="shared" ref="R153:R187" ca="1" si="91">IF($E$2&gt;0,Q153/$E$2,0)</f>
        <v>0</v>
      </c>
      <c r="S153" s="1741">
        <f t="shared" ref="S153:S187" ca="1" si="92">IF(M153&gt;0,K153*O153+L153*P153,0)</f>
        <v>0</v>
      </c>
      <c r="T153" s="313" t="str">
        <f ca="1">input!J519</f>
        <v>N</v>
      </c>
      <c r="V153" s="3115" t="str">
        <f>input!K519</f>
        <v>Packaging</v>
      </c>
      <c r="W153" s="3115">
        <f t="shared" ref="W153:W187" ca="1" si="93">N153*(L153+K153)</f>
        <v>0</v>
      </c>
      <c r="X153" s="3119">
        <f>VLOOKUP(V153,'Fix Cost'!$K$177:$M$179,2,0)</f>
        <v>58449.923860467366</v>
      </c>
      <c r="Y153" s="3119">
        <f>VLOOKUP(V153,'Fix Cost'!$K$177:$M$179,3,0)</f>
        <v>267411.04680782068</v>
      </c>
      <c r="Z153" s="3119">
        <f t="shared" ref="Z153:Z187" ca="1" si="94">IFERROR($X153*W153,0)</f>
        <v>0</v>
      </c>
      <c r="AA153" s="3115">
        <f t="shared" ref="AA153:AA187" ca="1" si="95">IFERROR(Y153*N153,0)</f>
        <v>0</v>
      </c>
      <c r="AB153" s="3115">
        <f t="shared" ref="AB153:AB187" ca="1" si="96">Z153+AA153</f>
        <v>0</v>
      </c>
      <c r="AK153" s="313"/>
      <c r="AL153" s="313"/>
      <c r="AM153" s="313"/>
      <c r="AO153" s="385"/>
      <c r="AP153" s="385"/>
      <c r="AQ153" s="385"/>
      <c r="AR153" s="1048"/>
      <c r="AS153" s="385"/>
      <c r="AT153" s="879">
        <f t="shared" ca="1" si="81"/>
        <v>0</v>
      </c>
      <c r="AU153" s="879">
        <f ca="1">COUNTIFS(AT$7:$AT153,1)</f>
        <v>3</v>
      </c>
    </row>
    <row r="154" spans="1:47" ht="12.75" hidden="1" outlineLevel="1">
      <c r="A154" s="1269"/>
      <c r="B154" s="1738" t="s">
        <v>140</v>
      </c>
      <c r="C154" s="313" t="str">
        <f>input!C520</f>
        <v>Silkcreen UV</v>
      </c>
      <c r="E154" s="363"/>
      <c r="F154" s="363" t="str">
        <f ca="1">input!F520</f>
        <v>N</v>
      </c>
      <c r="G154" s="363"/>
      <c r="H154" s="313">
        <f ca="1">SUMIFS(Paper!$AC$7:$AC$30,Paper!$A$7:$A$30,'Production cost'!F154)</f>
        <v>0</v>
      </c>
      <c r="I154" s="313">
        <f ca="1">IF(input!$G520&gt;0,input!$G520,3000)</f>
        <v>3000</v>
      </c>
      <c r="J154" s="313" t="s">
        <v>5</v>
      </c>
      <c r="K154" s="360">
        <v>0</v>
      </c>
      <c r="L154" s="313">
        <f ca="1">IF(input!$I520&gt;0,input!$I520,3)</f>
        <v>3</v>
      </c>
      <c r="M154" s="391">
        <f ca="1">IF(H154&gt;0,SUMIF(Data!$L$1155:$L$1190,'Production cost'!$C154,Data!$Q$1155:$Q$1190)*SUMIF(Paper!$A$7:$A$29,'Production cost'!$F154,Paper!$J$7:$J$29),0)</f>
        <v>0</v>
      </c>
      <c r="N154" s="391">
        <f t="shared" ca="1" si="90"/>
        <v>0</v>
      </c>
      <c r="P154" s="313">
        <f>SUMIF(Data!$L$1155:$L$1190,'Production cost'!$C154,Data!$N$1155:$N$1190)</f>
        <v>78551.859745354872</v>
      </c>
      <c r="Q154" s="313">
        <f t="shared" ca="1" si="82"/>
        <v>0</v>
      </c>
      <c r="R154" s="313">
        <f t="shared" ca="1" si="91"/>
        <v>0</v>
      </c>
      <c r="S154" s="1741">
        <f t="shared" ca="1" si="92"/>
        <v>0</v>
      </c>
      <c r="T154" s="313" t="str">
        <f ca="1">input!J520</f>
        <v>N</v>
      </c>
      <c r="V154" s="3115" t="str">
        <f>input!K520</f>
        <v>Packaging</v>
      </c>
      <c r="W154" s="3115">
        <f t="shared" ca="1" si="93"/>
        <v>0</v>
      </c>
      <c r="X154" s="3119">
        <f>VLOOKUP(V154,'Fix Cost'!$K$177:$M$179,2,0)</f>
        <v>58449.923860467366</v>
      </c>
      <c r="Y154" s="3119">
        <f>VLOOKUP(V154,'Fix Cost'!$K$177:$M$179,3,0)</f>
        <v>267411.04680782068</v>
      </c>
      <c r="Z154" s="3119">
        <f t="shared" ca="1" si="94"/>
        <v>0</v>
      </c>
      <c r="AA154" s="3115">
        <f t="shared" ca="1" si="95"/>
        <v>0</v>
      </c>
      <c r="AB154" s="3115">
        <f t="shared" ca="1" si="96"/>
        <v>0</v>
      </c>
      <c r="AK154" s="313"/>
      <c r="AL154" s="313"/>
      <c r="AM154" s="313"/>
      <c r="AO154" s="385"/>
      <c r="AP154" s="385"/>
      <c r="AQ154" s="385"/>
      <c r="AR154" s="1048"/>
      <c r="AS154" s="385"/>
      <c r="AT154" s="879">
        <f t="shared" ca="1" si="81"/>
        <v>0</v>
      </c>
      <c r="AU154" s="879">
        <f ca="1">COUNTIFS(AT$7:$AT154,1)</f>
        <v>3</v>
      </c>
    </row>
    <row r="155" spans="1:47" ht="12.75" hidden="1" outlineLevel="1">
      <c r="A155" s="1269"/>
      <c r="B155" s="1738" t="s">
        <v>140</v>
      </c>
      <c r="C155" s="313" t="str">
        <f>input!C521</f>
        <v>Silkcreen UV</v>
      </c>
      <c r="E155" s="363"/>
      <c r="F155" s="363" t="str">
        <f ca="1">input!F521</f>
        <v>N</v>
      </c>
      <c r="G155" s="363"/>
      <c r="H155" s="313">
        <f ca="1">SUMIFS(Paper!$AC$7:$AC$30,Paper!$A$7:$A$30,'Production cost'!F155)</f>
        <v>0</v>
      </c>
      <c r="I155" s="313">
        <f ca="1">IF(input!$G521&gt;0,input!$G521,3000)</f>
        <v>3000</v>
      </c>
      <c r="J155" s="313" t="s">
        <v>5</v>
      </c>
      <c r="K155" s="360">
        <v>0</v>
      </c>
      <c r="L155" s="313">
        <f ca="1">IF(input!$I521&gt;0,input!$I521,3)</f>
        <v>3</v>
      </c>
      <c r="M155" s="391">
        <f ca="1">IF(H155&gt;0,SUMIF(Data!$L$1155:$L$1190,'Production cost'!$C155,Data!$Q$1155:$Q$1190)*SUMIF(Paper!$A$7:$A$29,'Production cost'!$F155,Paper!$J$7:$J$29),0)</f>
        <v>0</v>
      </c>
      <c r="N155" s="391">
        <f t="shared" ca="1" si="90"/>
        <v>0</v>
      </c>
      <c r="P155" s="313">
        <f>SUMIF(Data!$L$1155:$L$1190,'Production cost'!$C155,Data!$N$1155:$N$1190)</f>
        <v>78551.859745354872</v>
      </c>
      <c r="Q155" s="313">
        <f t="shared" ca="1" si="82"/>
        <v>0</v>
      </c>
      <c r="R155" s="313">
        <f t="shared" ca="1" si="91"/>
        <v>0</v>
      </c>
      <c r="S155" s="1741">
        <f t="shared" ca="1" si="92"/>
        <v>0</v>
      </c>
      <c r="T155" s="313" t="str">
        <f ca="1">input!J521</f>
        <v>N</v>
      </c>
      <c r="V155" s="3115" t="str">
        <f>input!K521</f>
        <v>Packaging</v>
      </c>
      <c r="W155" s="3115">
        <f t="shared" ca="1" si="93"/>
        <v>0</v>
      </c>
      <c r="X155" s="3119">
        <f>VLOOKUP(V155,'Fix Cost'!$K$177:$M$179,2,0)</f>
        <v>58449.923860467366</v>
      </c>
      <c r="Y155" s="3119">
        <f>VLOOKUP(V155,'Fix Cost'!$K$177:$M$179,3,0)</f>
        <v>267411.04680782068</v>
      </c>
      <c r="Z155" s="3119">
        <f t="shared" ca="1" si="94"/>
        <v>0</v>
      </c>
      <c r="AA155" s="3115">
        <f t="shared" ca="1" si="95"/>
        <v>0</v>
      </c>
      <c r="AB155" s="3115">
        <f t="shared" ca="1" si="96"/>
        <v>0</v>
      </c>
      <c r="AK155" s="313"/>
      <c r="AL155" s="313"/>
      <c r="AM155" s="313"/>
      <c r="AO155" s="385"/>
      <c r="AP155" s="385"/>
      <c r="AQ155" s="385"/>
      <c r="AR155" s="1048"/>
      <c r="AS155" s="385"/>
      <c r="AT155" s="879">
        <f t="shared" ca="1" si="81"/>
        <v>0</v>
      </c>
      <c r="AU155" s="879">
        <f ca="1">COUNTIFS(AT$7:$AT155,1)</f>
        <v>3</v>
      </c>
    </row>
    <row r="156" spans="1:47" ht="12.75" hidden="1" outlineLevel="1">
      <c r="A156" s="1269"/>
      <c r="B156" s="1738" t="s">
        <v>140</v>
      </c>
      <c r="C156" s="313" t="str">
        <f>input!C522</f>
        <v>Silkcreen UV</v>
      </c>
      <c r="E156" s="363"/>
      <c r="F156" s="363" t="str">
        <f ca="1">input!F522</f>
        <v>N</v>
      </c>
      <c r="G156" s="363"/>
      <c r="H156" s="313">
        <f ca="1">SUMIFS(Paper!$AC$7:$AC$30,Paper!$A$7:$A$30,'Production cost'!F156)</f>
        <v>0</v>
      </c>
      <c r="I156" s="313">
        <f ca="1">IF(input!$G522&gt;0,input!$G522,3000)</f>
        <v>3000</v>
      </c>
      <c r="J156" s="313" t="s">
        <v>5</v>
      </c>
      <c r="K156" s="360">
        <v>0</v>
      </c>
      <c r="L156" s="313">
        <f ca="1">IF(input!$I522&gt;0,input!$I522,3)</f>
        <v>3</v>
      </c>
      <c r="M156" s="391">
        <f ca="1">IF(H156&gt;0,SUMIF(Data!$L$1155:$L$1190,'Production cost'!$C156,Data!$Q$1155:$Q$1190)*SUMIF(Paper!$A$7:$A$29,'Production cost'!$F156,Paper!$J$7:$J$29),0)</f>
        <v>0</v>
      </c>
      <c r="N156" s="391">
        <f t="shared" ca="1" si="90"/>
        <v>0</v>
      </c>
      <c r="P156" s="313">
        <f>SUMIF(Data!$L$1155:$L$1190,'Production cost'!$C156,Data!$N$1155:$N$1190)</f>
        <v>78551.859745354872</v>
      </c>
      <c r="Q156" s="313">
        <f t="shared" ca="1" si="82"/>
        <v>0</v>
      </c>
      <c r="R156" s="313">
        <f t="shared" ca="1" si="91"/>
        <v>0</v>
      </c>
      <c r="S156" s="1741">
        <f t="shared" ca="1" si="92"/>
        <v>0</v>
      </c>
      <c r="T156" s="313" t="str">
        <f ca="1">input!J522</f>
        <v>N</v>
      </c>
      <c r="V156" s="3115" t="str">
        <f>input!K522</f>
        <v>Packaging</v>
      </c>
      <c r="W156" s="3115">
        <f t="shared" ca="1" si="93"/>
        <v>0</v>
      </c>
      <c r="X156" s="3119">
        <f>VLOOKUP(V156,'Fix Cost'!$K$177:$M$179,2,0)</f>
        <v>58449.923860467366</v>
      </c>
      <c r="Y156" s="3119">
        <f>VLOOKUP(V156,'Fix Cost'!$K$177:$M$179,3,0)</f>
        <v>267411.04680782068</v>
      </c>
      <c r="Z156" s="3119">
        <f t="shared" ca="1" si="94"/>
        <v>0</v>
      </c>
      <c r="AA156" s="3115">
        <f t="shared" ca="1" si="95"/>
        <v>0</v>
      </c>
      <c r="AB156" s="3115">
        <f t="shared" ca="1" si="96"/>
        <v>0</v>
      </c>
      <c r="AK156" s="313"/>
      <c r="AL156" s="313"/>
      <c r="AM156" s="313"/>
      <c r="AO156" s="385"/>
      <c r="AP156" s="385"/>
      <c r="AQ156" s="385"/>
      <c r="AR156" s="1048"/>
      <c r="AS156" s="385"/>
      <c r="AT156" s="879">
        <f t="shared" ca="1" si="81"/>
        <v>0</v>
      </c>
      <c r="AU156" s="879">
        <f ca="1">COUNTIFS(AT$7:$AT156,1)</f>
        <v>3</v>
      </c>
    </row>
    <row r="157" spans="1:47" ht="12.75" hidden="1" outlineLevel="1">
      <c r="A157" s="1269"/>
      <c r="B157" s="1738" t="s">
        <v>140</v>
      </c>
      <c r="C157" s="313" t="str">
        <f>input!C523</f>
        <v>Silkcreen UV</v>
      </c>
      <c r="E157" s="363"/>
      <c r="F157" s="363" t="str">
        <f ca="1">input!F523</f>
        <v>N</v>
      </c>
      <c r="G157" s="363"/>
      <c r="H157" s="313">
        <f ca="1">SUMIFS(Paper!$AC$7:$AC$30,Paper!$A$7:$A$30,'Production cost'!F157)</f>
        <v>0</v>
      </c>
      <c r="I157" s="313">
        <f ca="1">IF(input!$G523&gt;0,input!$G523,3000)</f>
        <v>3000</v>
      </c>
      <c r="J157" s="313" t="s">
        <v>5</v>
      </c>
      <c r="K157" s="360">
        <v>0</v>
      </c>
      <c r="L157" s="313">
        <f ca="1">IF(input!$I523&gt;0,input!$I523,3)</f>
        <v>3</v>
      </c>
      <c r="M157" s="391">
        <f ca="1">IF(H157&gt;0,SUMIF(Data!$L$1155:$L$1190,'Production cost'!$C157,Data!$Q$1155:$Q$1190)*SUMIF(Paper!$A$7:$A$29,'Production cost'!$F157,Paper!$J$7:$J$29),0)</f>
        <v>0</v>
      </c>
      <c r="N157" s="391">
        <f t="shared" ca="1" si="90"/>
        <v>0</v>
      </c>
      <c r="P157" s="313">
        <f>SUMIF(Data!$L$1155:$L$1190,'Production cost'!$C157,Data!$N$1155:$N$1190)</f>
        <v>78551.859745354872</v>
      </c>
      <c r="Q157" s="313">
        <f t="shared" ca="1" si="82"/>
        <v>0</v>
      </c>
      <c r="R157" s="313">
        <f t="shared" ca="1" si="91"/>
        <v>0</v>
      </c>
      <c r="S157" s="1741">
        <f t="shared" ca="1" si="92"/>
        <v>0</v>
      </c>
      <c r="T157" s="313" t="str">
        <f ca="1">input!J523</f>
        <v>N</v>
      </c>
      <c r="V157" s="3115" t="str">
        <f>input!K523</f>
        <v>Packaging</v>
      </c>
      <c r="W157" s="3115">
        <f t="shared" ca="1" si="93"/>
        <v>0</v>
      </c>
      <c r="X157" s="3119">
        <f>VLOOKUP(V157,'Fix Cost'!$K$177:$M$179,2,0)</f>
        <v>58449.923860467366</v>
      </c>
      <c r="Y157" s="3119">
        <f>VLOOKUP(V157,'Fix Cost'!$K$177:$M$179,3,0)</f>
        <v>267411.04680782068</v>
      </c>
      <c r="Z157" s="3119">
        <f t="shared" ca="1" si="94"/>
        <v>0</v>
      </c>
      <c r="AA157" s="3115">
        <f t="shared" ca="1" si="95"/>
        <v>0</v>
      </c>
      <c r="AB157" s="3115">
        <f t="shared" ca="1" si="96"/>
        <v>0</v>
      </c>
      <c r="AK157" s="313"/>
      <c r="AL157" s="313"/>
      <c r="AM157" s="313"/>
      <c r="AO157" s="385"/>
      <c r="AP157" s="385"/>
      <c r="AQ157" s="385"/>
      <c r="AR157" s="1048"/>
      <c r="AS157" s="385"/>
      <c r="AT157" s="879">
        <f t="shared" ca="1" si="81"/>
        <v>0</v>
      </c>
      <c r="AU157" s="879">
        <f ca="1">COUNTIFS(AT$7:$AT157,1)</f>
        <v>3</v>
      </c>
    </row>
    <row r="158" spans="1:47" ht="12.75" hidden="1" outlineLevel="1">
      <c r="A158" s="1269"/>
      <c r="B158" s="1738" t="s">
        <v>140</v>
      </c>
      <c r="C158" s="313" t="str">
        <f>input!C524</f>
        <v>Silkcreen UV</v>
      </c>
      <c r="E158" s="363"/>
      <c r="F158" s="363" t="str">
        <f ca="1">input!F524</f>
        <v>N</v>
      </c>
      <c r="G158" s="363"/>
      <c r="H158" s="313">
        <f ca="1">SUMIFS(Paper!$AC$7:$AC$30,Paper!$A$7:$A$30,'Production cost'!F158)</f>
        <v>0</v>
      </c>
      <c r="I158" s="313">
        <f ca="1">IF(input!$G524&gt;0,input!$G524,3000)</f>
        <v>3000</v>
      </c>
      <c r="J158" s="313" t="s">
        <v>5</v>
      </c>
      <c r="K158" s="360">
        <v>0</v>
      </c>
      <c r="L158" s="313">
        <f ca="1">IF(input!$I524&gt;0,input!$I524,3)</f>
        <v>3</v>
      </c>
      <c r="M158" s="391">
        <f ca="1">IF(H158&gt;0,SUMIF(Data!$L$1155:$L$1190,'Production cost'!$C158,Data!$Q$1155:$Q$1190)*SUMIF(Paper!$A$7:$A$29,'Production cost'!$F158,Paper!$J$7:$J$29),0)</f>
        <v>0</v>
      </c>
      <c r="N158" s="391">
        <f ca="1">IF(H158&gt;0,ROUNDUP(((H158/I158)/$M$5+M158),1),0)</f>
        <v>0</v>
      </c>
      <c r="P158" s="313">
        <f>SUMIF(Data!$L$1155:$L$1190,'Production cost'!$C158,Data!$N$1155:$N$1190)</f>
        <v>78551.859745354872</v>
      </c>
      <c r="Q158" s="313">
        <f t="shared" ca="1" si="82"/>
        <v>0</v>
      </c>
      <c r="R158" s="313">
        <f ca="1">IF($E$2&gt;0,Q158/$E$2,0)</f>
        <v>0</v>
      </c>
      <c r="S158" s="1741">
        <f ca="1">IF(M158&gt;0,K158*O158+L158*P158,0)</f>
        <v>0</v>
      </c>
      <c r="T158" s="313" t="str">
        <f ca="1">input!J524</f>
        <v>N</v>
      </c>
      <c r="V158" s="3115" t="str">
        <f>input!K524</f>
        <v>Packaging</v>
      </c>
      <c r="W158" s="3115">
        <f ca="1">N158*(L158+K158)</f>
        <v>0</v>
      </c>
      <c r="X158" s="3119">
        <f>VLOOKUP(V158,'Fix Cost'!$K$177:$M$179,2,0)</f>
        <v>58449.923860467366</v>
      </c>
      <c r="Y158" s="3119">
        <f>VLOOKUP(V158,'Fix Cost'!$K$177:$M$179,3,0)</f>
        <v>267411.04680782068</v>
      </c>
      <c r="Z158" s="3119">
        <f ca="1">IFERROR($X158*W158,0)</f>
        <v>0</v>
      </c>
      <c r="AA158" s="3115">
        <f ca="1">IFERROR(Y158*N158,0)</f>
        <v>0</v>
      </c>
      <c r="AB158" s="3115">
        <f ca="1">Z158+AA158</f>
        <v>0</v>
      </c>
      <c r="AK158" s="313"/>
      <c r="AL158" s="313"/>
      <c r="AM158" s="313"/>
      <c r="AO158" s="385"/>
      <c r="AP158" s="385"/>
      <c r="AQ158" s="385"/>
      <c r="AR158" s="1048"/>
      <c r="AS158" s="385"/>
      <c r="AT158" s="879">
        <f t="shared" ca="1" si="81"/>
        <v>0</v>
      </c>
      <c r="AU158" s="879">
        <f ca="1">COUNTIFS(AT$7:$AT158,1)</f>
        <v>3</v>
      </c>
    </row>
    <row r="159" spans="1:47" ht="12.75" hidden="1" outlineLevel="1">
      <c r="A159" s="1269"/>
      <c r="B159" s="1738" t="s">
        <v>140</v>
      </c>
      <c r="C159" s="313" t="str">
        <f>input!C525</f>
        <v>Silkcreen UV</v>
      </c>
      <c r="E159" s="363"/>
      <c r="F159" s="363" t="str">
        <f ca="1">input!F525</f>
        <v>N</v>
      </c>
      <c r="G159" s="363"/>
      <c r="H159" s="313">
        <f ca="1">SUMIFS(Paper!$AC$7:$AC$30,Paper!$A$7:$A$30,'Production cost'!F159)</f>
        <v>0</v>
      </c>
      <c r="I159" s="313">
        <f ca="1">IF(input!$G525&gt;0,input!$G525,3000)</f>
        <v>3000</v>
      </c>
      <c r="J159" s="313" t="s">
        <v>5</v>
      </c>
      <c r="K159" s="360">
        <v>0</v>
      </c>
      <c r="L159" s="313">
        <f ca="1">IF(input!$I525&gt;0,input!$I525,3)</f>
        <v>3</v>
      </c>
      <c r="M159" s="391">
        <f ca="1">IF(H159&gt;0,SUMIF(Data!$L$1155:$L$1190,'Production cost'!$C159,Data!$Q$1155:$Q$1190)*SUMIF(Paper!$A$7:$A$29,'Production cost'!$F159,Paper!$J$7:$J$29),0)</f>
        <v>0</v>
      </c>
      <c r="N159" s="391">
        <f ca="1">IF(H159&gt;0,ROUNDUP(((H159/I159)/$M$5+M159),1),0)</f>
        <v>0</v>
      </c>
      <c r="P159" s="313">
        <f>SUMIF(Data!$L$1155:$L$1190,'Production cost'!$C159,Data!$N$1155:$N$1190)</f>
        <v>78551.859745354872</v>
      </c>
      <c r="Q159" s="313">
        <f t="shared" ca="1" si="82"/>
        <v>0</v>
      </c>
      <c r="R159" s="313">
        <f ca="1">IF($E$2&gt;0,Q159/$E$2,0)</f>
        <v>0</v>
      </c>
      <c r="S159" s="1741">
        <f ca="1">IF(M159&gt;0,K159*O159+L159*P159,0)</f>
        <v>0</v>
      </c>
      <c r="T159" s="313" t="str">
        <f ca="1">input!J525</f>
        <v>N</v>
      </c>
      <c r="V159" s="3115" t="str">
        <f>input!K525</f>
        <v>Packaging</v>
      </c>
      <c r="W159" s="3115">
        <f ca="1">N159*(L159+K159)</f>
        <v>0</v>
      </c>
      <c r="X159" s="3119">
        <f>VLOOKUP(V159,'Fix Cost'!$K$177:$M$179,2,0)</f>
        <v>58449.923860467366</v>
      </c>
      <c r="Y159" s="3119">
        <f>VLOOKUP(V159,'Fix Cost'!$K$177:$M$179,3,0)</f>
        <v>267411.04680782068</v>
      </c>
      <c r="Z159" s="3119">
        <f ca="1">IFERROR($X159*W159,0)</f>
        <v>0</v>
      </c>
      <c r="AA159" s="3115">
        <f ca="1">IFERROR(Y159*N159,0)</f>
        <v>0</v>
      </c>
      <c r="AB159" s="3115">
        <f ca="1">Z159+AA159</f>
        <v>0</v>
      </c>
      <c r="AK159" s="313"/>
      <c r="AL159" s="313"/>
      <c r="AM159" s="313"/>
      <c r="AO159" s="385"/>
      <c r="AP159" s="385"/>
      <c r="AQ159" s="385"/>
      <c r="AR159" s="1048"/>
      <c r="AS159" s="385"/>
      <c r="AT159" s="879">
        <f t="shared" ca="1" si="81"/>
        <v>0</v>
      </c>
      <c r="AU159" s="879">
        <f ca="1">COUNTIFS(AT$7:$AT159,1)</f>
        <v>3</v>
      </c>
    </row>
    <row r="160" spans="1:47" ht="12.75" hidden="1" outlineLevel="1">
      <c r="A160" s="1269"/>
      <c r="B160" s="1738" t="s">
        <v>140</v>
      </c>
      <c r="C160" s="313" t="str">
        <f>input!C526</f>
        <v>Silkcreen UV</v>
      </c>
      <c r="E160" s="363"/>
      <c r="F160" s="363" t="str">
        <f ca="1">input!F526</f>
        <v>N</v>
      </c>
      <c r="G160" s="363"/>
      <c r="H160" s="313">
        <f ca="1">SUMIFS(Paper!$AC$7:$AC$30,Paper!$A$7:$A$30,'Production cost'!F160)</f>
        <v>0</v>
      </c>
      <c r="I160" s="313">
        <f ca="1">IF(input!$G526&gt;0,input!$G526,3000)</f>
        <v>3000</v>
      </c>
      <c r="J160" s="313" t="s">
        <v>5</v>
      </c>
      <c r="K160" s="360">
        <v>0</v>
      </c>
      <c r="L160" s="313">
        <f ca="1">IF(input!$I526&gt;0,input!$I526,3)</f>
        <v>3</v>
      </c>
      <c r="M160" s="391">
        <f ca="1">IF(H160&gt;0,SUMIF(Data!$L$1155:$L$1190,'Production cost'!$C160,Data!$Q$1155:$Q$1190)*SUMIF(Paper!$A$7:$A$29,'Production cost'!$F160,Paper!$J$7:$J$29),0)</f>
        <v>0</v>
      </c>
      <c r="N160" s="391">
        <f ca="1">IF(H160&gt;0,ROUNDUP(((H160/I160)/$M$5+M160),1),0)</f>
        <v>0</v>
      </c>
      <c r="P160" s="313">
        <f>SUMIF(Data!$L$1155:$L$1190,'Production cost'!$C160,Data!$N$1155:$N$1190)</f>
        <v>78551.859745354872</v>
      </c>
      <c r="Q160" s="313">
        <f t="shared" ca="1" si="82"/>
        <v>0</v>
      </c>
      <c r="R160" s="313">
        <f ca="1">IF($E$2&gt;0,Q160/$E$2,0)</f>
        <v>0</v>
      </c>
      <c r="S160" s="1741">
        <f ca="1">IF(M160&gt;0,K160*O160+L160*P160,0)</f>
        <v>0</v>
      </c>
      <c r="T160" s="313" t="str">
        <f ca="1">input!J526</f>
        <v>N</v>
      </c>
      <c r="V160" s="3115" t="str">
        <f>input!K526</f>
        <v>Packaging</v>
      </c>
      <c r="W160" s="3115">
        <f ca="1">N160*(L160+K160)</f>
        <v>0</v>
      </c>
      <c r="X160" s="3119">
        <f>VLOOKUP(V160,'Fix Cost'!$K$177:$M$179,2,0)</f>
        <v>58449.923860467366</v>
      </c>
      <c r="Y160" s="3119">
        <f>VLOOKUP(V160,'Fix Cost'!$K$177:$M$179,3,0)</f>
        <v>267411.04680782068</v>
      </c>
      <c r="Z160" s="3119">
        <f ca="1">IFERROR($X160*W160,0)</f>
        <v>0</v>
      </c>
      <c r="AA160" s="3115">
        <f ca="1">IFERROR(Y160*N160,0)</f>
        <v>0</v>
      </c>
      <c r="AB160" s="3115">
        <f ca="1">Z160+AA160</f>
        <v>0</v>
      </c>
      <c r="AK160" s="313"/>
      <c r="AL160" s="313"/>
      <c r="AM160" s="313"/>
      <c r="AO160" s="385"/>
      <c r="AP160" s="385"/>
      <c r="AQ160" s="385"/>
      <c r="AR160" s="1048"/>
      <c r="AS160" s="385"/>
      <c r="AT160" s="879">
        <f t="shared" ca="1" si="81"/>
        <v>0</v>
      </c>
      <c r="AU160" s="879">
        <f ca="1">COUNTIFS(AT$7:$AT160,1)</f>
        <v>3</v>
      </c>
    </row>
    <row r="161" spans="1:47" ht="12.75" hidden="1" outlineLevel="1">
      <c r="A161" s="1269"/>
      <c r="B161" s="1738" t="s">
        <v>140</v>
      </c>
      <c r="C161" s="313" t="str">
        <f>input!C527</f>
        <v>Silkcreen UV</v>
      </c>
      <c r="E161" s="363"/>
      <c r="F161" s="363" t="str">
        <f ca="1">input!F527</f>
        <v>N</v>
      </c>
      <c r="G161" s="363"/>
      <c r="H161" s="313">
        <f ca="1">SUMIFS(Paper!$AC$7:$AC$30,Paper!$A$7:$A$30,'Production cost'!F161)</f>
        <v>0</v>
      </c>
      <c r="I161" s="313">
        <f ca="1">IF(input!$G527&gt;0,input!$G527,3000)</f>
        <v>3000</v>
      </c>
      <c r="J161" s="313" t="s">
        <v>5</v>
      </c>
      <c r="K161" s="360">
        <v>0</v>
      </c>
      <c r="L161" s="313">
        <f ca="1">IF(input!$I527&gt;0,input!$I527,3)</f>
        <v>3</v>
      </c>
      <c r="M161" s="391">
        <f ca="1">IF(H161&gt;0,SUMIF(Data!$L$1155:$L$1190,'Production cost'!$C161,Data!$Q$1155:$Q$1190)*SUMIF(Paper!$A$7:$A$29,'Production cost'!$F161,Paper!$J$7:$J$29),0)</f>
        <v>0</v>
      </c>
      <c r="N161" s="391">
        <f ca="1">IF(H161&gt;0,ROUNDUP(((H161/I161)/$M$5+M161),1),0)</f>
        <v>0</v>
      </c>
      <c r="P161" s="313">
        <f>SUMIF(Data!$L$1155:$L$1190,'Production cost'!$C161,Data!$N$1155:$N$1190)</f>
        <v>78551.859745354872</v>
      </c>
      <c r="Q161" s="313">
        <f t="shared" ca="1" si="82"/>
        <v>0</v>
      </c>
      <c r="R161" s="313">
        <f ca="1">IF($E$2&gt;0,Q161/$E$2,0)</f>
        <v>0</v>
      </c>
      <c r="S161" s="1741">
        <f ca="1">IF(M161&gt;0,K161*O161+L161*P161,0)</f>
        <v>0</v>
      </c>
      <c r="T161" s="313" t="str">
        <f ca="1">input!J527</f>
        <v>N</v>
      </c>
      <c r="V161" s="3115" t="str">
        <f>input!K527</f>
        <v>Packaging</v>
      </c>
      <c r="W161" s="3115">
        <f ca="1">N161*(L161+K161)</f>
        <v>0</v>
      </c>
      <c r="X161" s="3119">
        <f>VLOOKUP(V161,'Fix Cost'!$K$177:$M$179,2,0)</f>
        <v>58449.923860467366</v>
      </c>
      <c r="Y161" s="3119">
        <f>VLOOKUP(V161,'Fix Cost'!$K$177:$M$179,3,0)</f>
        <v>267411.04680782068</v>
      </c>
      <c r="Z161" s="3119">
        <f ca="1">IFERROR($X161*W161,0)</f>
        <v>0</v>
      </c>
      <c r="AA161" s="3115">
        <f ca="1">IFERROR(Y161*N161,0)</f>
        <v>0</v>
      </c>
      <c r="AB161" s="3115">
        <f ca="1">Z161+AA161</f>
        <v>0</v>
      </c>
      <c r="AK161" s="313"/>
      <c r="AL161" s="313"/>
      <c r="AM161" s="313"/>
      <c r="AO161" s="385"/>
      <c r="AP161" s="385"/>
      <c r="AQ161" s="385"/>
      <c r="AR161" s="1048"/>
      <c r="AS161" s="385"/>
      <c r="AT161" s="879">
        <f t="shared" ca="1" si="81"/>
        <v>0</v>
      </c>
      <c r="AU161" s="879">
        <f ca="1">COUNTIFS(AT$7:$AT161,1)</f>
        <v>3</v>
      </c>
    </row>
    <row r="162" spans="1:47" ht="12.75" hidden="1" outlineLevel="1">
      <c r="A162" s="1269"/>
      <c r="B162" s="1738" t="s">
        <v>140</v>
      </c>
      <c r="C162" s="313" t="str">
        <f>input!C528</f>
        <v>Silkcreen UV</v>
      </c>
      <c r="E162" s="363"/>
      <c r="F162" s="363" t="str">
        <f ca="1">input!F528</f>
        <v>N</v>
      </c>
      <c r="G162" s="363"/>
      <c r="H162" s="313">
        <f ca="1">SUMIFS(Paper!$AC$7:$AC$30,Paper!$A$7:$A$30,'Production cost'!F162)</f>
        <v>0</v>
      </c>
      <c r="I162" s="313">
        <f ca="1">IF(input!$G528&gt;0,input!$G528,3000)</f>
        <v>3000</v>
      </c>
      <c r="J162" s="313" t="s">
        <v>5</v>
      </c>
      <c r="K162" s="360">
        <v>0</v>
      </c>
      <c r="L162" s="313">
        <f ca="1">IF(input!$I528&gt;0,input!$I528,3)</f>
        <v>3</v>
      </c>
      <c r="M162" s="391">
        <f ca="1">IF(H162&gt;0,SUMIF(Data!$L$1155:$L$1190,'Production cost'!$C162,Data!$Q$1155:$Q$1190)*SUMIF(Paper!$A$7:$A$29,'Production cost'!$F162,Paper!$J$7:$J$29),0)</f>
        <v>0</v>
      </c>
      <c r="N162" s="391">
        <f ca="1">IF(H162&gt;0,ROUNDUP(((H162/I162)/$M$5+M162),1),0)</f>
        <v>0</v>
      </c>
      <c r="P162" s="313">
        <f>SUMIF(Data!$L$1155:$L$1190,'Production cost'!$C162,Data!$N$1155:$N$1190)</f>
        <v>78551.859745354872</v>
      </c>
      <c r="Q162" s="313">
        <f t="shared" ca="1" si="82"/>
        <v>0</v>
      </c>
      <c r="R162" s="313">
        <f ca="1">IF($E$2&gt;0,Q162/$E$2,0)</f>
        <v>0</v>
      </c>
      <c r="S162" s="1741">
        <f ca="1">IF(M162&gt;0,K162*O162+L162*P162,0)</f>
        <v>0</v>
      </c>
      <c r="T162" s="313" t="str">
        <f ca="1">input!J528</f>
        <v>N</v>
      </c>
      <c r="V162" s="3115" t="str">
        <f>input!K528</f>
        <v>Packaging</v>
      </c>
      <c r="W162" s="3115">
        <f ca="1">N162*(L162+K162)</f>
        <v>0</v>
      </c>
      <c r="X162" s="3119">
        <f>VLOOKUP(V162,'Fix Cost'!$K$177:$M$179,2,0)</f>
        <v>58449.923860467366</v>
      </c>
      <c r="Y162" s="3119">
        <f>VLOOKUP(V162,'Fix Cost'!$K$177:$M$179,3,0)</f>
        <v>267411.04680782068</v>
      </c>
      <c r="Z162" s="3119">
        <f ca="1">IFERROR($X162*W162,0)</f>
        <v>0</v>
      </c>
      <c r="AA162" s="3115">
        <f ca="1">IFERROR(Y162*N162,0)</f>
        <v>0</v>
      </c>
      <c r="AB162" s="3115">
        <f ca="1">Z162+AA162</f>
        <v>0</v>
      </c>
      <c r="AK162" s="313"/>
      <c r="AL162" s="313"/>
      <c r="AM162" s="313"/>
      <c r="AO162" s="385"/>
      <c r="AP162" s="385"/>
      <c r="AQ162" s="385"/>
      <c r="AR162" s="1048"/>
      <c r="AS162" s="385"/>
      <c r="AT162" s="879">
        <f t="shared" ca="1" si="81"/>
        <v>0</v>
      </c>
      <c r="AU162" s="879">
        <f ca="1">COUNTIFS(AT$7:$AT162,1)</f>
        <v>3</v>
      </c>
    </row>
    <row r="163" spans="1:47" ht="12.75" hidden="1" outlineLevel="1">
      <c r="A163" s="1269"/>
      <c r="B163" s="1738" t="s">
        <v>140</v>
      </c>
      <c r="C163" s="313" t="str">
        <f>input!C529</f>
        <v>Silkcreen UV</v>
      </c>
      <c r="E163" s="363"/>
      <c r="F163" s="363" t="str">
        <f ca="1">input!F529</f>
        <v>N</v>
      </c>
      <c r="G163" s="363"/>
      <c r="H163" s="313">
        <f ca="1">SUMIFS(Paper!$AC$7:$AC$30,Paper!$A$7:$A$30,'Production cost'!F163)</f>
        <v>0</v>
      </c>
      <c r="I163" s="313">
        <f ca="1">IF(input!$G529&gt;0,input!$G529,3000)</f>
        <v>3000</v>
      </c>
      <c r="J163" s="313" t="s">
        <v>5</v>
      </c>
      <c r="K163" s="360">
        <v>0</v>
      </c>
      <c r="L163" s="313">
        <f ca="1">IF(input!$I529&gt;0,input!$I529,3)</f>
        <v>3</v>
      </c>
      <c r="M163" s="391">
        <f ca="1">IF(H163&gt;0,SUMIF(Data!$L$1155:$L$1190,'Production cost'!$C163,Data!$Q$1155:$Q$1190)*SUMIF(Paper!$A$7:$A$29,'Production cost'!$F163,Paper!$J$7:$J$29),0)</f>
        <v>0</v>
      </c>
      <c r="N163" s="391">
        <f t="shared" ref="N163:N167" ca="1" si="97">IF(H163&gt;0,ROUNDUP(((H163/I163)/$M$5+M163),1),0)</f>
        <v>0</v>
      </c>
      <c r="P163" s="313">
        <f>SUMIF(Data!$L$1155:$L$1190,'Production cost'!$C163,Data!$N$1155:$N$1190)</f>
        <v>78551.859745354872</v>
      </c>
      <c r="Q163" s="313">
        <f t="shared" ca="1" si="82"/>
        <v>0</v>
      </c>
      <c r="R163" s="313">
        <f t="shared" ref="R163:R167" ca="1" si="98">IF($E$2&gt;0,Q163/$E$2,0)</f>
        <v>0</v>
      </c>
      <c r="S163" s="1741">
        <f t="shared" ref="S163:S167" ca="1" si="99">IF(M163&gt;0,K163*O163+L163*P163,0)</f>
        <v>0</v>
      </c>
      <c r="T163" s="313" t="str">
        <f ca="1">input!J529</f>
        <v>N</v>
      </c>
      <c r="V163" s="3115" t="str">
        <f>input!K529</f>
        <v>Packaging</v>
      </c>
      <c r="W163" s="3115">
        <f t="shared" ref="W163:W167" ca="1" si="100">N163*(L163+K163)</f>
        <v>0</v>
      </c>
      <c r="X163" s="3119">
        <f>VLOOKUP(V163,'Fix Cost'!$K$177:$M$179,2,0)</f>
        <v>58449.923860467366</v>
      </c>
      <c r="Y163" s="3119">
        <f>VLOOKUP(V163,'Fix Cost'!$K$177:$M$179,3,0)</f>
        <v>267411.04680782068</v>
      </c>
      <c r="Z163" s="3119">
        <f t="shared" ref="Z163:Z167" ca="1" si="101">IFERROR($X163*W163,0)</f>
        <v>0</v>
      </c>
      <c r="AA163" s="3115">
        <f t="shared" ref="AA163:AA167" ca="1" si="102">IFERROR(Y163*N163,0)</f>
        <v>0</v>
      </c>
      <c r="AB163" s="3115">
        <f t="shared" ref="AB163:AB167" ca="1" si="103">Z163+AA163</f>
        <v>0</v>
      </c>
      <c r="AK163" s="313"/>
      <c r="AL163" s="313"/>
      <c r="AM163" s="313"/>
      <c r="AO163" s="385"/>
      <c r="AP163" s="385"/>
      <c r="AQ163" s="385"/>
      <c r="AR163" s="1048"/>
      <c r="AS163" s="385"/>
      <c r="AT163" s="879">
        <f t="shared" ca="1" si="81"/>
        <v>0</v>
      </c>
      <c r="AU163" s="879">
        <f ca="1">COUNTIFS(AT$7:$AT163,1)</f>
        <v>3</v>
      </c>
    </row>
    <row r="164" spans="1:47" ht="12.75" hidden="1" outlineLevel="1">
      <c r="A164" s="1269"/>
      <c r="B164" s="1738" t="s">
        <v>140</v>
      </c>
      <c r="C164" s="313" t="str">
        <f>input!C530</f>
        <v>Silkcreen UV</v>
      </c>
      <c r="E164" s="363"/>
      <c r="F164" s="363" t="str">
        <f ca="1">input!F530</f>
        <v>N</v>
      </c>
      <c r="G164" s="363"/>
      <c r="H164" s="313">
        <f ca="1">SUMIFS(Paper!$AC$7:$AC$30,Paper!$A$7:$A$30,'Production cost'!F164)</f>
        <v>0</v>
      </c>
      <c r="I164" s="313">
        <f ca="1">IF(input!$G530&gt;0,input!$G530,3000)</f>
        <v>3000</v>
      </c>
      <c r="J164" s="313" t="s">
        <v>5</v>
      </c>
      <c r="K164" s="360">
        <v>0</v>
      </c>
      <c r="L164" s="313">
        <f ca="1">IF(input!$I530&gt;0,input!$I530,3)</f>
        <v>3</v>
      </c>
      <c r="M164" s="391">
        <f ca="1">IF(H164&gt;0,SUMIF(Data!$L$1155:$L$1190,'Production cost'!$C164,Data!$Q$1155:$Q$1190)*SUMIF(Paper!$A$7:$A$29,'Production cost'!$F164,Paper!$J$7:$J$29),0)</f>
        <v>0</v>
      </c>
      <c r="N164" s="391">
        <f t="shared" ca="1" si="97"/>
        <v>0</v>
      </c>
      <c r="P164" s="313">
        <f>SUMIF(Data!$L$1155:$L$1190,'Production cost'!$C164,Data!$N$1155:$N$1190)</f>
        <v>78551.859745354872</v>
      </c>
      <c r="Q164" s="313">
        <f t="shared" ca="1" si="82"/>
        <v>0</v>
      </c>
      <c r="R164" s="313">
        <f t="shared" ca="1" si="98"/>
        <v>0</v>
      </c>
      <c r="S164" s="1741">
        <f t="shared" ca="1" si="99"/>
        <v>0</v>
      </c>
      <c r="T164" s="313" t="str">
        <f ca="1">input!J530</f>
        <v>N</v>
      </c>
      <c r="V164" s="3115" t="str">
        <f>input!K530</f>
        <v>Packaging</v>
      </c>
      <c r="W164" s="3115">
        <f t="shared" ca="1" si="100"/>
        <v>0</v>
      </c>
      <c r="X164" s="3119">
        <f>VLOOKUP(V164,'Fix Cost'!$K$177:$M$179,2,0)</f>
        <v>58449.923860467366</v>
      </c>
      <c r="Y164" s="3119">
        <f>VLOOKUP(V164,'Fix Cost'!$K$177:$M$179,3,0)</f>
        <v>267411.04680782068</v>
      </c>
      <c r="Z164" s="3119">
        <f t="shared" ca="1" si="101"/>
        <v>0</v>
      </c>
      <c r="AA164" s="3115">
        <f t="shared" ca="1" si="102"/>
        <v>0</v>
      </c>
      <c r="AB164" s="3115">
        <f t="shared" ca="1" si="103"/>
        <v>0</v>
      </c>
      <c r="AK164" s="313"/>
      <c r="AL164" s="313"/>
      <c r="AM164" s="313"/>
      <c r="AO164" s="385"/>
      <c r="AP164" s="385"/>
      <c r="AQ164" s="385"/>
      <c r="AR164" s="1048"/>
      <c r="AS164" s="385"/>
      <c r="AT164" s="879">
        <f t="shared" ca="1" si="81"/>
        <v>0</v>
      </c>
      <c r="AU164" s="879">
        <f ca="1">COUNTIFS(AT$7:$AT164,1)</f>
        <v>3</v>
      </c>
    </row>
    <row r="165" spans="1:47" ht="12.75" hidden="1" outlineLevel="1">
      <c r="A165" s="1269"/>
      <c r="B165" s="1738" t="s">
        <v>140</v>
      </c>
      <c r="C165" s="313" t="str">
        <f>input!C531</f>
        <v>Silkcreen UV</v>
      </c>
      <c r="E165" s="363"/>
      <c r="F165" s="363" t="str">
        <f ca="1">input!F531</f>
        <v>N</v>
      </c>
      <c r="G165" s="363"/>
      <c r="H165" s="313">
        <f ca="1">SUMIFS(Paper!$AC$7:$AC$30,Paper!$A$7:$A$30,'Production cost'!F165)</f>
        <v>0</v>
      </c>
      <c r="I165" s="313">
        <f ca="1">IF(input!$G531&gt;0,input!$G531,3000)</f>
        <v>3000</v>
      </c>
      <c r="J165" s="313" t="s">
        <v>5</v>
      </c>
      <c r="K165" s="360">
        <v>0</v>
      </c>
      <c r="L165" s="313">
        <f ca="1">IF(input!$I531&gt;0,input!$I531,3)</f>
        <v>3</v>
      </c>
      <c r="M165" s="391">
        <f ca="1">IF(H165&gt;0,SUMIF(Data!$L$1155:$L$1190,'Production cost'!$C165,Data!$Q$1155:$Q$1190)*SUMIF(Paper!$A$7:$A$29,'Production cost'!$F165,Paper!$J$7:$J$29),0)</f>
        <v>0</v>
      </c>
      <c r="N165" s="391">
        <f t="shared" ca="1" si="97"/>
        <v>0</v>
      </c>
      <c r="P165" s="313">
        <f>SUMIF(Data!$L$1155:$L$1190,'Production cost'!$C165,Data!$N$1155:$N$1190)</f>
        <v>78551.859745354872</v>
      </c>
      <c r="Q165" s="313">
        <f t="shared" ca="1" si="82"/>
        <v>0</v>
      </c>
      <c r="R165" s="313">
        <f t="shared" ca="1" si="98"/>
        <v>0</v>
      </c>
      <c r="S165" s="1741">
        <f t="shared" ca="1" si="99"/>
        <v>0</v>
      </c>
      <c r="T165" s="313" t="str">
        <f ca="1">input!J531</f>
        <v>N</v>
      </c>
      <c r="V165" s="3115" t="str">
        <f>input!K531</f>
        <v>Packaging</v>
      </c>
      <c r="W165" s="3115">
        <f t="shared" ca="1" si="100"/>
        <v>0</v>
      </c>
      <c r="X165" s="3119">
        <f>VLOOKUP(V165,'Fix Cost'!$K$177:$M$179,2,0)</f>
        <v>58449.923860467366</v>
      </c>
      <c r="Y165" s="3119">
        <f>VLOOKUP(V165,'Fix Cost'!$K$177:$M$179,3,0)</f>
        <v>267411.04680782068</v>
      </c>
      <c r="Z165" s="3119">
        <f t="shared" ca="1" si="101"/>
        <v>0</v>
      </c>
      <c r="AA165" s="3115">
        <f t="shared" ca="1" si="102"/>
        <v>0</v>
      </c>
      <c r="AB165" s="3115">
        <f t="shared" ca="1" si="103"/>
        <v>0</v>
      </c>
      <c r="AK165" s="313"/>
      <c r="AL165" s="313"/>
      <c r="AM165" s="313"/>
      <c r="AO165" s="385"/>
      <c r="AP165" s="385"/>
      <c r="AQ165" s="385"/>
      <c r="AR165" s="1048"/>
      <c r="AS165" s="385"/>
      <c r="AT165" s="879">
        <f t="shared" ca="1" si="81"/>
        <v>0</v>
      </c>
      <c r="AU165" s="879">
        <f ca="1">COUNTIFS(AT$7:$AT165,1)</f>
        <v>3</v>
      </c>
    </row>
    <row r="166" spans="1:47" ht="12.75" hidden="1" outlineLevel="1">
      <c r="A166" s="1269"/>
      <c r="B166" s="1738" t="s">
        <v>140</v>
      </c>
      <c r="C166" s="313" t="str">
        <f>input!C532</f>
        <v>Silkcreen UV</v>
      </c>
      <c r="E166" s="363"/>
      <c r="F166" s="363" t="str">
        <f ca="1">input!F532</f>
        <v>N</v>
      </c>
      <c r="G166" s="363"/>
      <c r="H166" s="313">
        <f ca="1">SUMIFS(Paper!$AC$7:$AC$30,Paper!$A$7:$A$30,'Production cost'!F166)</f>
        <v>0</v>
      </c>
      <c r="I166" s="313">
        <f ca="1">IF(input!$G532&gt;0,input!$G532,3000)</f>
        <v>3000</v>
      </c>
      <c r="J166" s="313" t="s">
        <v>5</v>
      </c>
      <c r="K166" s="360">
        <v>0</v>
      </c>
      <c r="L166" s="313">
        <f ca="1">IF(input!$I532&gt;0,input!$I532,3)</f>
        <v>3</v>
      </c>
      <c r="M166" s="391">
        <f ca="1">IF(H166&gt;0,SUMIF(Data!$L$1155:$L$1190,'Production cost'!$C166,Data!$Q$1155:$Q$1190)*SUMIF(Paper!$A$7:$A$29,'Production cost'!$F166,Paper!$J$7:$J$29),0)</f>
        <v>0</v>
      </c>
      <c r="N166" s="391">
        <f t="shared" ca="1" si="97"/>
        <v>0</v>
      </c>
      <c r="P166" s="313">
        <f>SUMIF(Data!$L$1155:$L$1190,'Production cost'!$C166,Data!$N$1155:$N$1190)</f>
        <v>78551.859745354872</v>
      </c>
      <c r="Q166" s="313">
        <f t="shared" ca="1" si="82"/>
        <v>0</v>
      </c>
      <c r="R166" s="313">
        <f t="shared" ca="1" si="98"/>
        <v>0</v>
      </c>
      <c r="S166" s="1741">
        <f t="shared" ca="1" si="99"/>
        <v>0</v>
      </c>
      <c r="T166" s="313" t="str">
        <f ca="1">input!J532</f>
        <v>N</v>
      </c>
      <c r="V166" s="3115" t="str">
        <f>input!K532</f>
        <v>Packaging</v>
      </c>
      <c r="W166" s="3115">
        <f t="shared" ca="1" si="100"/>
        <v>0</v>
      </c>
      <c r="X166" s="3119">
        <f>VLOOKUP(V166,'Fix Cost'!$K$177:$M$179,2,0)</f>
        <v>58449.923860467366</v>
      </c>
      <c r="Y166" s="3119">
        <f>VLOOKUP(V166,'Fix Cost'!$K$177:$M$179,3,0)</f>
        <v>267411.04680782068</v>
      </c>
      <c r="Z166" s="3119">
        <f t="shared" ca="1" si="101"/>
        <v>0</v>
      </c>
      <c r="AA166" s="3115">
        <f t="shared" ca="1" si="102"/>
        <v>0</v>
      </c>
      <c r="AB166" s="3115">
        <f t="shared" ca="1" si="103"/>
        <v>0</v>
      </c>
      <c r="AK166" s="313"/>
      <c r="AL166" s="313"/>
      <c r="AM166" s="313"/>
      <c r="AO166" s="385"/>
      <c r="AP166" s="385"/>
      <c r="AQ166" s="385"/>
      <c r="AR166" s="1048"/>
      <c r="AS166" s="385"/>
      <c r="AT166" s="879">
        <f t="shared" ca="1" si="81"/>
        <v>0</v>
      </c>
      <c r="AU166" s="879">
        <f ca="1">COUNTIFS(AT$7:$AT166,1)</f>
        <v>3</v>
      </c>
    </row>
    <row r="167" spans="1:47" ht="12.75" hidden="1" outlineLevel="1">
      <c r="A167" s="1269"/>
      <c r="B167" s="1738" t="s">
        <v>140</v>
      </c>
      <c r="C167" s="313" t="str">
        <f>input!C533</f>
        <v>Silkcreen UV</v>
      </c>
      <c r="E167" s="363"/>
      <c r="F167" s="363" t="str">
        <f ca="1">input!F533</f>
        <v>N</v>
      </c>
      <c r="G167" s="363"/>
      <c r="H167" s="313">
        <f ca="1">SUMIFS(Paper!$AC$7:$AC$30,Paper!$A$7:$A$30,'Production cost'!F167)</f>
        <v>0</v>
      </c>
      <c r="I167" s="313">
        <f ca="1">IF(input!$G533&gt;0,input!$G533,3000)</f>
        <v>3000</v>
      </c>
      <c r="J167" s="313" t="s">
        <v>5</v>
      </c>
      <c r="K167" s="360">
        <v>0</v>
      </c>
      <c r="L167" s="313">
        <f ca="1">IF(input!$I533&gt;0,input!$I533,3)</f>
        <v>3</v>
      </c>
      <c r="M167" s="391">
        <f ca="1">IF(H167&gt;0,SUMIF(Data!$L$1155:$L$1190,'Production cost'!$C167,Data!$Q$1155:$Q$1190)*SUMIF(Paper!$A$7:$A$29,'Production cost'!$F167,Paper!$J$7:$J$29),0)</f>
        <v>0</v>
      </c>
      <c r="N167" s="391">
        <f t="shared" ca="1" si="97"/>
        <v>0</v>
      </c>
      <c r="P167" s="313">
        <f>SUMIF(Data!$L$1155:$L$1190,'Production cost'!$C167,Data!$N$1155:$N$1190)</f>
        <v>78551.859745354872</v>
      </c>
      <c r="Q167" s="313">
        <f t="shared" ca="1" si="82"/>
        <v>0</v>
      </c>
      <c r="R167" s="313">
        <f t="shared" ca="1" si="98"/>
        <v>0</v>
      </c>
      <c r="S167" s="1741">
        <f t="shared" ca="1" si="99"/>
        <v>0</v>
      </c>
      <c r="T167" s="313" t="str">
        <f ca="1">input!J533</f>
        <v>N</v>
      </c>
      <c r="V167" s="3115" t="str">
        <f>input!K533</f>
        <v>Packaging</v>
      </c>
      <c r="W167" s="3115">
        <f t="shared" ca="1" si="100"/>
        <v>0</v>
      </c>
      <c r="X167" s="3119">
        <f>VLOOKUP(V167,'Fix Cost'!$K$177:$M$179,2,0)</f>
        <v>58449.923860467366</v>
      </c>
      <c r="Y167" s="3119">
        <f>VLOOKUP(V167,'Fix Cost'!$K$177:$M$179,3,0)</f>
        <v>267411.04680782068</v>
      </c>
      <c r="Z167" s="3119">
        <f t="shared" ca="1" si="101"/>
        <v>0</v>
      </c>
      <c r="AA167" s="3115">
        <f t="shared" ca="1" si="102"/>
        <v>0</v>
      </c>
      <c r="AB167" s="3115">
        <f t="shared" ca="1" si="103"/>
        <v>0</v>
      </c>
      <c r="AK167" s="313"/>
      <c r="AL167" s="313"/>
      <c r="AM167" s="313"/>
      <c r="AO167" s="385"/>
      <c r="AP167" s="385"/>
      <c r="AQ167" s="385"/>
      <c r="AR167" s="1048"/>
      <c r="AS167" s="385"/>
      <c r="AT167" s="879">
        <f t="shared" ca="1" si="81"/>
        <v>0</v>
      </c>
      <c r="AU167" s="879">
        <f ca="1">COUNTIFS(AT$7:$AT167,1)</f>
        <v>3</v>
      </c>
    </row>
    <row r="168" spans="1:47" ht="12.75" hidden="1" outlineLevel="1">
      <c r="A168" s="1269"/>
      <c r="B168" s="1738" t="s">
        <v>140</v>
      </c>
      <c r="C168" s="313" t="str">
        <f>input!C534</f>
        <v>Spot UV - Rollan</v>
      </c>
      <c r="E168" s="363"/>
      <c r="F168" s="363" t="str">
        <f ca="1">input!F534</f>
        <v>N</v>
      </c>
      <c r="G168" s="363"/>
      <c r="H168" s="313">
        <f ca="1">SUMIFS(Paper!$AC$7:$AC$30,Paper!$A$7:$A$30,'Production cost'!F168)</f>
        <v>0</v>
      </c>
      <c r="I168" s="313">
        <f ca="1">IF(input!$G534&gt;0,input!$G534,3000)</f>
        <v>3000</v>
      </c>
      <c r="J168" s="313" t="s">
        <v>5</v>
      </c>
      <c r="K168" s="360">
        <v>0</v>
      </c>
      <c r="L168" s="313">
        <f ca="1">IF(input!$I534&gt;0,input!$I534,3)</f>
        <v>3</v>
      </c>
      <c r="M168" s="391">
        <f ca="1">IF(H168&gt;0,SUMIF(Data!$L$1155:$L$1190,'Production cost'!$C168,Data!$Q$1155:$Q$1190)*SUMIF(Paper!$A$7:$A$29,'Production cost'!$F168,Paper!$J$7:$J$29),0)</f>
        <v>0</v>
      </c>
      <c r="N168" s="391">
        <f t="shared" ca="1" si="90"/>
        <v>0</v>
      </c>
      <c r="P168" s="313">
        <f>SUMIF(Data!$L$1155:$L$1190,'Production cost'!$C168,Data!$N$1155:$N$1190)</f>
        <v>78551.859745354872</v>
      </c>
      <c r="Q168" s="313">
        <f t="shared" ca="1" si="82"/>
        <v>0</v>
      </c>
      <c r="R168" s="313">
        <f t="shared" ca="1" si="91"/>
        <v>0</v>
      </c>
      <c r="S168" s="1741">
        <f t="shared" ca="1" si="92"/>
        <v>0</v>
      </c>
      <c r="T168" s="313" t="str">
        <f ca="1">input!J534</f>
        <v>N</v>
      </c>
      <c r="V168" s="3115" t="str">
        <f>input!K534</f>
        <v>Packaging</v>
      </c>
      <c r="W168" s="3115">
        <f t="shared" ca="1" si="93"/>
        <v>0</v>
      </c>
      <c r="X168" s="3119">
        <f>VLOOKUP(V168,'Fix Cost'!$K$177:$M$179,2,0)</f>
        <v>58449.923860467366</v>
      </c>
      <c r="Y168" s="3119">
        <f>VLOOKUP(V168,'Fix Cost'!$K$177:$M$179,3,0)</f>
        <v>267411.04680782068</v>
      </c>
      <c r="Z168" s="3119">
        <f t="shared" ca="1" si="94"/>
        <v>0</v>
      </c>
      <c r="AA168" s="3115">
        <f t="shared" ca="1" si="95"/>
        <v>0</v>
      </c>
      <c r="AB168" s="3115">
        <f t="shared" ca="1" si="96"/>
        <v>0</v>
      </c>
      <c r="AK168" s="313"/>
      <c r="AL168" s="313"/>
      <c r="AM168" s="313"/>
      <c r="AO168" s="385"/>
      <c r="AP168" s="385"/>
      <c r="AQ168" s="385"/>
      <c r="AR168" s="1048"/>
      <c r="AS168" s="385"/>
      <c r="AT168" s="879">
        <f t="shared" ca="1" si="81"/>
        <v>0</v>
      </c>
      <c r="AU168" s="879">
        <f ca="1">COUNTIFS(AT$7:$AT168,1)</f>
        <v>3</v>
      </c>
    </row>
    <row r="169" spans="1:47" ht="12.75" hidden="1" outlineLevel="1">
      <c r="A169" s="1269"/>
      <c r="B169" s="1738" t="s">
        <v>140</v>
      </c>
      <c r="C169" s="313" t="str">
        <f>input!C535</f>
        <v>Spot UV - Rollan</v>
      </c>
      <c r="E169" s="363"/>
      <c r="F169" s="363" t="str">
        <f ca="1">input!F535</f>
        <v>N</v>
      </c>
      <c r="G169" s="363"/>
      <c r="H169" s="313">
        <f ca="1">SUMIFS(Paper!$AC$7:$AC$30,Paper!$A$7:$A$30,'Production cost'!F169)</f>
        <v>0</v>
      </c>
      <c r="I169" s="313">
        <f ca="1">IF(input!$G535&gt;0,input!$G535,3000)</f>
        <v>3000</v>
      </c>
      <c r="J169" s="313" t="s">
        <v>5</v>
      </c>
      <c r="K169" s="360">
        <v>0</v>
      </c>
      <c r="L169" s="313">
        <f ca="1">IF(input!$I535&gt;0,input!$I535,3)</f>
        <v>3</v>
      </c>
      <c r="M169" s="391">
        <f ca="1">IF(H169&gt;0,SUMIF(Data!$L$1155:$L$1190,'Production cost'!$C169,Data!$Q$1155:$Q$1190)*SUMIF(Paper!$A$7:$A$29,'Production cost'!$F169,Paper!$J$7:$J$29),0)</f>
        <v>0</v>
      </c>
      <c r="N169" s="391">
        <f t="shared" ca="1" si="90"/>
        <v>0</v>
      </c>
      <c r="P169" s="313">
        <f>SUMIF(Data!$L$1155:$L$1190,'Production cost'!$C169,Data!$N$1155:$N$1190)</f>
        <v>78551.859745354872</v>
      </c>
      <c r="Q169" s="313">
        <f t="shared" ca="1" si="82"/>
        <v>0</v>
      </c>
      <c r="R169" s="313">
        <f t="shared" ca="1" si="91"/>
        <v>0</v>
      </c>
      <c r="S169" s="1741">
        <f t="shared" ca="1" si="92"/>
        <v>0</v>
      </c>
      <c r="T169" s="313" t="str">
        <f ca="1">input!J535</f>
        <v>N</v>
      </c>
      <c r="V169" s="3115" t="str">
        <f>input!K535</f>
        <v>Packaging</v>
      </c>
      <c r="W169" s="3115">
        <f t="shared" ca="1" si="93"/>
        <v>0</v>
      </c>
      <c r="X169" s="3119">
        <f>VLOOKUP(V169,'Fix Cost'!$K$177:$M$179,2,0)</f>
        <v>58449.923860467366</v>
      </c>
      <c r="Y169" s="3119">
        <f>VLOOKUP(V169,'Fix Cost'!$K$177:$M$179,3,0)</f>
        <v>267411.04680782068</v>
      </c>
      <c r="Z169" s="3119">
        <f t="shared" ca="1" si="94"/>
        <v>0</v>
      </c>
      <c r="AA169" s="3115">
        <f t="shared" ca="1" si="95"/>
        <v>0</v>
      </c>
      <c r="AB169" s="3115">
        <f t="shared" ca="1" si="96"/>
        <v>0</v>
      </c>
      <c r="AK169" s="313"/>
      <c r="AL169" s="313"/>
      <c r="AM169" s="313"/>
      <c r="AO169" s="385"/>
      <c r="AP169" s="385"/>
      <c r="AQ169" s="385"/>
      <c r="AR169" s="1048"/>
      <c r="AS169" s="385"/>
      <c r="AT169" s="879">
        <f t="shared" ca="1" si="81"/>
        <v>0</v>
      </c>
      <c r="AU169" s="879">
        <f ca="1">COUNTIFS(AT$7:$AT169,1)</f>
        <v>3</v>
      </c>
    </row>
    <row r="170" spans="1:47" ht="12.75" hidden="1" outlineLevel="1">
      <c r="A170" s="1269"/>
      <c r="B170" s="1738" t="s">
        <v>140</v>
      </c>
      <c r="C170" s="313" t="str">
        <f>input!C536</f>
        <v>Spot UV - Rollan</v>
      </c>
      <c r="E170" s="363"/>
      <c r="F170" s="363" t="str">
        <f ca="1">input!F536</f>
        <v>N</v>
      </c>
      <c r="G170" s="363"/>
      <c r="H170" s="313">
        <f ca="1">SUMIFS(Paper!$AC$7:$AC$30,Paper!$A$7:$A$30,'Production cost'!F170)</f>
        <v>0</v>
      </c>
      <c r="I170" s="313">
        <f ca="1">IF(input!$G536&gt;0,input!$G536,3000)</f>
        <v>3000</v>
      </c>
      <c r="J170" s="313" t="s">
        <v>5</v>
      </c>
      <c r="K170" s="360">
        <v>0</v>
      </c>
      <c r="L170" s="313">
        <f ca="1">IF(input!$I536&gt;0,input!$I536,3)</f>
        <v>3</v>
      </c>
      <c r="M170" s="391">
        <f ca="1">IF(H170&gt;0,SUMIF(Data!$L$1155:$L$1190,'Production cost'!$C170,Data!$Q$1155:$Q$1190)*SUMIF(Paper!$A$7:$A$29,'Production cost'!$F170,Paper!$J$7:$J$29),0)</f>
        <v>0</v>
      </c>
      <c r="N170" s="391">
        <f t="shared" ca="1" si="90"/>
        <v>0</v>
      </c>
      <c r="P170" s="313">
        <f>SUMIF(Data!$L$1155:$L$1190,'Production cost'!$C170,Data!$N$1155:$N$1190)</f>
        <v>78551.859745354872</v>
      </c>
      <c r="Q170" s="313">
        <f t="shared" ca="1" si="82"/>
        <v>0</v>
      </c>
      <c r="R170" s="313">
        <f t="shared" ca="1" si="91"/>
        <v>0</v>
      </c>
      <c r="S170" s="1741">
        <f t="shared" ca="1" si="92"/>
        <v>0</v>
      </c>
      <c r="T170" s="313" t="str">
        <f ca="1">input!J536</f>
        <v>N</v>
      </c>
      <c r="V170" s="3115" t="str">
        <f>input!K536</f>
        <v>Packaging</v>
      </c>
      <c r="W170" s="3115">
        <f t="shared" ca="1" si="93"/>
        <v>0</v>
      </c>
      <c r="X170" s="3119">
        <f>VLOOKUP(V170,'Fix Cost'!$K$177:$M$179,2,0)</f>
        <v>58449.923860467366</v>
      </c>
      <c r="Y170" s="3119">
        <f>VLOOKUP(V170,'Fix Cost'!$K$177:$M$179,3,0)</f>
        <v>267411.04680782068</v>
      </c>
      <c r="Z170" s="3119">
        <f t="shared" ca="1" si="94"/>
        <v>0</v>
      </c>
      <c r="AA170" s="3115">
        <f t="shared" ca="1" si="95"/>
        <v>0</v>
      </c>
      <c r="AB170" s="3115">
        <f t="shared" ca="1" si="96"/>
        <v>0</v>
      </c>
      <c r="AK170" s="313"/>
      <c r="AL170" s="313"/>
      <c r="AM170" s="313"/>
      <c r="AO170" s="385"/>
      <c r="AP170" s="385"/>
      <c r="AQ170" s="385"/>
      <c r="AR170" s="1048"/>
      <c r="AS170" s="385"/>
      <c r="AT170" s="879">
        <f t="shared" ca="1" si="81"/>
        <v>0</v>
      </c>
      <c r="AU170" s="879">
        <f ca="1">COUNTIFS(AT$7:$AT170,1)</f>
        <v>3</v>
      </c>
    </row>
    <row r="171" spans="1:47" ht="12.75" hidden="1" outlineLevel="1">
      <c r="A171" s="1269"/>
      <c r="B171" s="1738" t="s">
        <v>140</v>
      </c>
      <c r="C171" s="313" t="str">
        <f>input!C537</f>
        <v>Spot UV - Rollan</v>
      </c>
      <c r="E171" s="363"/>
      <c r="F171" s="363" t="str">
        <f ca="1">input!F537</f>
        <v>N</v>
      </c>
      <c r="G171" s="363"/>
      <c r="H171" s="313">
        <f ca="1">SUMIFS(Paper!$AC$7:$AC$30,Paper!$A$7:$A$30,'Production cost'!F171)</f>
        <v>0</v>
      </c>
      <c r="I171" s="313">
        <f ca="1">IF(input!$G537&gt;0,input!$G537,3000)</f>
        <v>3000</v>
      </c>
      <c r="J171" s="313" t="s">
        <v>5</v>
      </c>
      <c r="K171" s="360">
        <v>0</v>
      </c>
      <c r="L171" s="313">
        <f ca="1">IF(input!$I537&gt;0,input!$I537,3)</f>
        <v>3</v>
      </c>
      <c r="M171" s="391">
        <f ca="1">IF(H171&gt;0,SUMIF(Data!$L$1155:$L$1190,'Production cost'!$C171,Data!$Q$1155:$Q$1190)*SUMIF(Paper!$A$7:$A$29,'Production cost'!$F171,Paper!$J$7:$J$29),0)</f>
        <v>0</v>
      </c>
      <c r="N171" s="391">
        <f t="shared" ca="1" si="90"/>
        <v>0</v>
      </c>
      <c r="P171" s="313">
        <f>SUMIF(Data!$L$1155:$L$1190,'Production cost'!$C171,Data!$N$1155:$N$1190)</f>
        <v>78551.859745354872</v>
      </c>
      <c r="Q171" s="313">
        <f t="shared" ca="1" si="82"/>
        <v>0</v>
      </c>
      <c r="R171" s="313">
        <f t="shared" ca="1" si="91"/>
        <v>0</v>
      </c>
      <c r="S171" s="1741">
        <f t="shared" ca="1" si="92"/>
        <v>0</v>
      </c>
      <c r="T171" s="313" t="str">
        <f ca="1">input!J537</f>
        <v>N</v>
      </c>
      <c r="V171" s="3115" t="str">
        <f>input!K537</f>
        <v>Packaging</v>
      </c>
      <c r="W171" s="3115">
        <f t="shared" ca="1" si="93"/>
        <v>0</v>
      </c>
      <c r="X171" s="3119">
        <f>VLOOKUP(V171,'Fix Cost'!$K$177:$M$179,2,0)</f>
        <v>58449.923860467366</v>
      </c>
      <c r="Y171" s="3119">
        <f>VLOOKUP(V171,'Fix Cost'!$K$177:$M$179,3,0)</f>
        <v>267411.04680782068</v>
      </c>
      <c r="Z171" s="3119">
        <f t="shared" ca="1" si="94"/>
        <v>0</v>
      </c>
      <c r="AA171" s="3115">
        <f t="shared" ca="1" si="95"/>
        <v>0</v>
      </c>
      <c r="AB171" s="3115">
        <f t="shared" ca="1" si="96"/>
        <v>0</v>
      </c>
      <c r="AK171" s="313"/>
      <c r="AL171" s="313"/>
      <c r="AM171" s="313"/>
      <c r="AO171" s="385"/>
      <c r="AP171" s="385"/>
      <c r="AQ171" s="385"/>
      <c r="AR171" s="1048"/>
      <c r="AS171" s="385"/>
      <c r="AT171" s="879">
        <f t="shared" ca="1" si="81"/>
        <v>0</v>
      </c>
      <c r="AU171" s="879">
        <f ca="1">COUNTIFS(AT$7:$AT171,1)</f>
        <v>3</v>
      </c>
    </row>
    <row r="172" spans="1:47" ht="12.75" hidden="1" outlineLevel="1">
      <c r="A172" s="1269"/>
      <c r="B172" s="1738" t="s">
        <v>140</v>
      </c>
      <c r="C172" s="313" t="str">
        <f>input!C538</f>
        <v>Spot UV - Rollan</v>
      </c>
      <c r="E172" s="363"/>
      <c r="F172" s="363" t="str">
        <f ca="1">input!F538</f>
        <v>N</v>
      </c>
      <c r="G172" s="363"/>
      <c r="H172" s="313">
        <f ca="1">SUMIFS(Paper!$AC$7:$AC$30,Paper!$A$7:$A$30,'Production cost'!F172)</f>
        <v>0</v>
      </c>
      <c r="I172" s="313">
        <f ca="1">IF(input!$G538&gt;0,input!$G538,3000)</f>
        <v>3000</v>
      </c>
      <c r="J172" s="313" t="s">
        <v>5</v>
      </c>
      <c r="K172" s="360">
        <v>0</v>
      </c>
      <c r="L172" s="313">
        <f ca="1">IF(input!$I538&gt;0,input!$I538,3)</f>
        <v>3</v>
      </c>
      <c r="M172" s="391">
        <f ca="1">IF(H172&gt;0,SUMIF(Data!$L$1155:$L$1190,'Production cost'!$C172,Data!$Q$1155:$Q$1190)*SUMIF(Paper!$A$7:$A$29,'Production cost'!$F172,Paper!$J$7:$J$29),0)</f>
        <v>0</v>
      </c>
      <c r="N172" s="391">
        <f t="shared" ca="1" si="90"/>
        <v>0</v>
      </c>
      <c r="P172" s="313">
        <f>SUMIF(Data!$L$1155:$L$1190,'Production cost'!$C172,Data!$N$1155:$N$1190)</f>
        <v>78551.859745354872</v>
      </c>
      <c r="Q172" s="313">
        <f t="shared" ca="1" si="82"/>
        <v>0</v>
      </c>
      <c r="R172" s="313">
        <f t="shared" ca="1" si="91"/>
        <v>0</v>
      </c>
      <c r="S172" s="1741">
        <f t="shared" ca="1" si="92"/>
        <v>0</v>
      </c>
      <c r="T172" s="313" t="str">
        <f ca="1">input!J538</f>
        <v>N</v>
      </c>
      <c r="V172" s="3115" t="str">
        <f>input!K538</f>
        <v>Packaging</v>
      </c>
      <c r="W172" s="3115">
        <f t="shared" ca="1" si="93"/>
        <v>0</v>
      </c>
      <c r="X172" s="3119">
        <f>VLOOKUP(V172,'Fix Cost'!$K$177:$M$179,2,0)</f>
        <v>58449.923860467366</v>
      </c>
      <c r="Y172" s="3119">
        <f>VLOOKUP(V172,'Fix Cost'!$K$177:$M$179,3,0)</f>
        <v>267411.04680782068</v>
      </c>
      <c r="Z172" s="3119">
        <f t="shared" ca="1" si="94"/>
        <v>0</v>
      </c>
      <c r="AA172" s="3115">
        <f t="shared" ca="1" si="95"/>
        <v>0</v>
      </c>
      <c r="AB172" s="3115">
        <f t="shared" ca="1" si="96"/>
        <v>0</v>
      </c>
      <c r="AK172" s="313"/>
      <c r="AL172" s="313"/>
      <c r="AM172" s="313"/>
      <c r="AO172" s="385"/>
      <c r="AP172" s="385"/>
      <c r="AQ172" s="385"/>
      <c r="AR172" s="1048"/>
      <c r="AS172" s="385"/>
      <c r="AT172" s="879">
        <f t="shared" ca="1" si="81"/>
        <v>0</v>
      </c>
      <c r="AU172" s="879">
        <f ca="1">COUNTIFS(AT$7:$AT172,1)</f>
        <v>3</v>
      </c>
    </row>
    <row r="173" spans="1:47" ht="12.75" hidden="1" outlineLevel="1">
      <c r="A173" s="1269"/>
      <c r="B173" s="1738" t="s">
        <v>140</v>
      </c>
      <c r="C173" s="313" t="str">
        <f>input!C539</f>
        <v>Spot UV - Rollan</v>
      </c>
      <c r="E173" s="363"/>
      <c r="F173" s="363" t="str">
        <f ca="1">input!F539</f>
        <v>N</v>
      </c>
      <c r="G173" s="363"/>
      <c r="H173" s="313">
        <f ca="1">SUMIFS(Paper!$AC$7:$AC$30,Paper!$A$7:$A$30,'Production cost'!F173)</f>
        <v>0</v>
      </c>
      <c r="I173" s="313">
        <f ca="1">IF(input!$G539&gt;0,input!$G539,3000)</f>
        <v>3000</v>
      </c>
      <c r="J173" s="313" t="s">
        <v>5</v>
      </c>
      <c r="K173" s="360">
        <v>0</v>
      </c>
      <c r="L173" s="313">
        <f ca="1">IF(input!$I539&gt;0,input!$I539,3)</f>
        <v>3</v>
      </c>
      <c r="M173" s="391">
        <f ca="1">IF(H173&gt;0,SUMIF(Data!$L$1155:$L$1190,'Production cost'!$C173,Data!$Q$1155:$Q$1190)*SUMIF(Paper!$A$7:$A$29,'Production cost'!$F173,Paper!$J$7:$J$29),0)</f>
        <v>0</v>
      </c>
      <c r="N173" s="391">
        <f ca="1">IF(H173&gt;0,ROUNDUP(((H173/I173)/$M$5+M173),1),0)</f>
        <v>0</v>
      </c>
      <c r="P173" s="313">
        <f>SUMIF(Data!$L$1155:$L$1190,'Production cost'!$C173,Data!$N$1155:$N$1190)</f>
        <v>78551.859745354872</v>
      </c>
      <c r="Q173" s="313">
        <f t="shared" ca="1" si="82"/>
        <v>0</v>
      </c>
      <c r="R173" s="313">
        <f ca="1">IF($E$2&gt;0,Q173/$E$2,0)</f>
        <v>0</v>
      </c>
      <c r="S173" s="1741">
        <f ca="1">IF(M173&gt;0,K173*O173+L173*P173,0)</f>
        <v>0</v>
      </c>
      <c r="T173" s="313" t="str">
        <f ca="1">input!J539</f>
        <v>N</v>
      </c>
      <c r="V173" s="3115" t="str">
        <f>input!K539</f>
        <v>Packaging</v>
      </c>
      <c r="W173" s="3115">
        <f ca="1">N173*(L173+K173)</f>
        <v>0</v>
      </c>
      <c r="X173" s="3119">
        <f>VLOOKUP(V173,'Fix Cost'!$K$177:$M$179,2,0)</f>
        <v>58449.923860467366</v>
      </c>
      <c r="Y173" s="3119">
        <f>VLOOKUP(V173,'Fix Cost'!$K$177:$M$179,3,0)</f>
        <v>267411.04680782068</v>
      </c>
      <c r="Z173" s="3119">
        <f ca="1">IFERROR($X173*W173,0)</f>
        <v>0</v>
      </c>
      <c r="AA173" s="3115">
        <f ca="1">IFERROR(Y173*N173,0)</f>
        <v>0</v>
      </c>
      <c r="AB173" s="3115">
        <f ca="1">Z173+AA173</f>
        <v>0</v>
      </c>
      <c r="AK173" s="313"/>
      <c r="AL173" s="313"/>
      <c r="AM173" s="313"/>
      <c r="AO173" s="385"/>
      <c r="AP173" s="385"/>
      <c r="AQ173" s="385"/>
      <c r="AR173" s="1048"/>
      <c r="AS173" s="385"/>
      <c r="AT173" s="879">
        <f t="shared" ca="1" si="81"/>
        <v>0</v>
      </c>
      <c r="AU173" s="879">
        <f ca="1">COUNTIFS(AT$7:$AT173,1)</f>
        <v>3</v>
      </c>
    </row>
    <row r="174" spans="1:47" ht="12.75" hidden="1" outlineLevel="1">
      <c r="A174" s="1269"/>
      <c r="B174" s="1738" t="s">
        <v>140</v>
      </c>
      <c r="C174" s="313" t="str">
        <f>input!C540</f>
        <v>Spot UV - Rollan</v>
      </c>
      <c r="E174" s="363"/>
      <c r="F174" s="363" t="str">
        <f ca="1">input!F540</f>
        <v>N</v>
      </c>
      <c r="G174" s="363"/>
      <c r="H174" s="313">
        <f ca="1">SUMIFS(Paper!$AC$7:$AC$30,Paper!$A$7:$A$30,'Production cost'!F174)</f>
        <v>0</v>
      </c>
      <c r="I174" s="313">
        <f ca="1">IF(input!$G540&gt;0,input!$G540,3000)</f>
        <v>3000</v>
      </c>
      <c r="J174" s="313" t="s">
        <v>5</v>
      </c>
      <c r="K174" s="360">
        <v>0</v>
      </c>
      <c r="L174" s="313">
        <f ca="1">IF(input!$I540&gt;0,input!$I540,3)</f>
        <v>3</v>
      </c>
      <c r="M174" s="391">
        <f ca="1">IF(H174&gt;0,SUMIF(Data!$L$1155:$L$1190,'Production cost'!$C174,Data!$Q$1155:$Q$1190)*SUMIF(Paper!$A$7:$A$29,'Production cost'!$F174,Paper!$J$7:$J$29),0)</f>
        <v>0</v>
      </c>
      <c r="N174" s="391">
        <f ca="1">IF(H174&gt;0,ROUNDUP(((H174/I174)/$M$5+M174),1),0)</f>
        <v>0</v>
      </c>
      <c r="P174" s="313">
        <f>SUMIF(Data!$L$1155:$L$1190,'Production cost'!$C174,Data!$N$1155:$N$1190)</f>
        <v>78551.859745354872</v>
      </c>
      <c r="Q174" s="313">
        <f t="shared" ref="Q174:Q196" ca="1" si="104">(N174*O174*K174+N174*P174*L174)*(1+$R$702)</f>
        <v>0</v>
      </c>
      <c r="R174" s="313">
        <f ca="1">IF($E$2&gt;0,Q174/$E$2,0)</f>
        <v>0</v>
      </c>
      <c r="S174" s="1741">
        <f ca="1">IF(M174&gt;0,K174*O174+L174*P174,0)</f>
        <v>0</v>
      </c>
      <c r="T174" s="313" t="str">
        <f ca="1">input!J540</f>
        <v>N</v>
      </c>
      <c r="V174" s="3115" t="str">
        <f>input!K540</f>
        <v>Packaging</v>
      </c>
      <c r="W174" s="3115">
        <f ca="1">N174*(L174+K174)</f>
        <v>0</v>
      </c>
      <c r="X174" s="3119">
        <f>VLOOKUP(V174,'Fix Cost'!$K$177:$M$179,2,0)</f>
        <v>58449.923860467366</v>
      </c>
      <c r="Y174" s="3119">
        <f>VLOOKUP(V174,'Fix Cost'!$K$177:$M$179,3,0)</f>
        <v>267411.04680782068</v>
      </c>
      <c r="Z174" s="3119">
        <f ca="1">IFERROR($X174*W174,0)</f>
        <v>0</v>
      </c>
      <c r="AA174" s="3115">
        <f ca="1">IFERROR(Y174*N174,0)</f>
        <v>0</v>
      </c>
      <c r="AB174" s="3115">
        <f ca="1">Z174+AA174</f>
        <v>0</v>
      </c>
      <c r="AK174" s="313"/>
      <c r="AL174" s="313"/>
      <c r="AM174" s="313"/>
      <c r="AO174" s="385"/>
      <c r="AP174" s="385"/>
      <c r="AQ174" s="385"/>
      <c r="AR174" s="1048"/>
      <c r="AS174" s="385"/>
      <c r="AT174" s="879">
        <f t="shared" ca="1" si="81"/>
        <v>0</v>
      </c>
      <c r="AU174" s="879">
        <f ca="1">COUNTIFS(AT$7:$AT174,1)</f>
        <v>3</v>
      </c>
    </row>
    <row r="175" spans="1:47" ht="12.75" hidden="1" outlineLevel="1">
      <c r="A175" s="1269"/>
      <c r="B175" s="1738" t="s">
        <v>140</v>
      </c>
      <c r="C175" s="313" t="str">
        <f>input!C541</f>
        <v>Spot UV - Rollan</v>
      </c>
      <c r="E175" s="363"/>
      <c r="F175" s="363" t="str">
        <f ca="1">input!F541</f>
        <v>N</v>
      </c>
      <c r="G175" s="363"/>
      <c r="H175" s="313">
        <f ca="1">SUMIFS(Paper!$AC$7:$AC$30,Paper!$A$7:$A$30,'Production cost'!F175)</f>
        <v>0</v>
      </c>
      <c r="I175" s="313">
        <f ca="1">IF(input!$G541&gt;0,input!$G541,3000)</f>
        <v>3000</v>
      </c>
      <c r="J175" s="313" t="s">
        <v>5</v>
      </c>
      <c r="K175" s="360">
        <v>0</v>
      </c>
      <c r="L175" s="313">
        <f ca="1">IF(input!$I541&gt;0,input!$I541,3)</f>
        <v>3</v>
      </c>
      <c r="M175" s="391">
        <f ca="1">IF(H175&gt;0,SUMIF(Data!$L$1155:$L$1190,'Production cost'!$C175,Data!$Q$1155:$Q$1190)*SUMIF(Paper!$A$7:$A$29,'Production cost'!$F175,Paper!$J$7:$J$29),0)</f>
        <v>0</v>
      </c>
      <c r="N175" s="391">
        <f ca="1">IF(H175&gt;0,ROUNDUP(((H175/I175)/$M$5+M175),1),0)</f>
        <v>0</v>
      </c>
      <c r="P175" s="313">
        <f>SUMIF(Data!$L$1155:$L$1190,'Production cost'!$C175,Data!$N$1155:$N$1190)</f>
        <v>78551.859745354872</v>
      </c>
      <c r="Q175" s="313">
        <f t="shared" ca="1" si="104"/>
        <v>0</v>
      </c>
      <c r="R175" s="313">
        <f ca="1">IF($E$2&gt;0,Q175/$E$2,0)</f>
        <v>0</v>
      </c>
      <c r="S175" s="1741">
        <f ca="1">IF(M175&gt;0,K175*O175+L175*P175,0)</f>
        <v>0</v>
      </c>
      <c r="T175" s="313" t="str">
        <f ca="1">input!J541</f>
        <v>N</v>
      </c>
      <c r="V175" s="3115" t="str">
        <f>input!K541</f>
        <v>Packaging</v>
      </c>
      <c r="W175" s="3115">
        <f ca="1">N175*(L175+K175)</f>
        <v>0</v>
      </c>
      <c r="X175" s="3119">
        <f>VLOOKUP(V175,'Fix Cost'!$K$177:$M$179,2,0)</f>
        <v>58449.923860467366</v>
      </c>
      <c r="Y175" s="3119">
        <f>VLOOKUP(V175,'Fix Cost'!$K$177:$M$179,3,0)</f>
        <v>267411.04680782068</v>
      </c>
      <c r="Z175" s="3119">
        <f ca="1">IFERROR($X175*W175,0)</f>
        <v>0</v>
      </c>
      <c r="AA175" s="3115">
        <f ca="1">IFERROR(Y175*N175,0)</f>
        <v>0</v>
      </c>
      <c r="AB175" s="3115">
        <f ca="1">Z175+AA175</f>
        <v>0</v>
      </c>
      <c r="AK175" s="313"/>
      <c r="AL175" s="313"/>
      <c r="AM175" s="313"/>
      <c r="AO175" s="385"/>
      <c r="AP175" s="385"/>
      <c r="AQ175" s="385"/>
      <c r="AR175" s="1048"/>
      <c r="AS175" s="385"/>
      <c r="AT175" s="879">
        <f t="shared" ca="1" si="81"/>
        <v>0</v>
      </c>
      <c r="AU175" s="879">
        <f ca="1">COUNTIFS(AT$7:$AT175,1)</f>
        <v>3</v>
      </c>
    </row>
    <row r="176" spans="1:47" ht="12.75" hidden="1" outlineLevel="1">
      <c r="A176" s="1269"/>
      <c r="B176" s="1738" t="s">
        <v>140</v>
      </c>
      <c r="C176" s="313" t="str">
        <f>input!C542</f>
        <v>Spot UV - Rollan</v>
      </c>
      <c r="E176" s="363"/>
      <c r="F176" s="363" t="str">
        <f ca="1">input!F542</f>
        <v>N</v>
      </c>
      <c r="G176" s="363"/>
      <c r="H176" s="313">
        <f ca="1">SUMIFS(Paper!$AC$7:$AC$30,Paper!$A$7:$A$30,'Production cost'!F176)</f>
        <v>0</v>
      </c>
      <c r="I176" s="313">
        <f ca="1">IF(input!$G542&gt;0,input!$G542,3000)</f>
        <v>3000</v>
      </c>
      <c r="J176" s="313" t="s">
        <v>5</v>
      </c>
      <c r="K176" s="360">
        <v>0</v>
      </c>
      <c r="L176" s="313">
        <f ca="1">IF(input!$I542&gt;0,input!$I542,3)</f>
        <v>3</v>
      </c>
      <c r="M176" s="391">
        <f ca="1">IF(H176&gt;0,SUMIF(Data!$L$1155:$L$1190,'Production cost'!$C176,Data!$Q$1155:$Q$1190)*SUMIF(Paper!$A$7:$A$29,'Production cost'!$F176,Paper!$J$7:$J$29),0)</f>
        <v>0</v>
      </c>
      <c r="N176" s="391">
        <f ca="1">IF(H176&gt;0,ROUNDUP(((H176/I176)/$M$5+M176),1),0)</f>
        <v>0</v>
      </c>
      <c r="P176" s="313">
        <f>SUMIF(Data!$L$1155:$L$1190,'Production cost'!$C176,Data!$N$1155:$N$1190)</f>
        <v>78551.859745354872</v>
      </c>
      <c r="Q176" s="313">
        <f t="shared" ca="1" si="104"/>
        <v>0</v>
      </c>
      <c r="R176" s="313">
        <f ca="1">IF($E$2&gt;0,Q176/$E$2,0)</f>
        <v>0</v>
      </c>
      <c r="S176" s="1741">
        <f ca="1">IF(M176&gt;0,K176*O176+L176*P176,0)</f>
        <v>0</v>
      </c>
      <c r="T176" s="313" t="str">
        <f ca="1">input!J542</f>
        <v>N</v>
      </c>
      <c r="V176" s="3115" t="str">
        <f>input!K542</f>
        <v>Packaging</v>
      </c>
      <c r="W176" s="3115">
        <f ca="1">N176*(L176+K176)</f>
        <v>0</v>
      </c>
      <c r="X176" s="3119">
        <f>VLOOKUP(V176,'Fix Cost'!$K$177:$M$179,2,0)</f>
        <v>58449.923860467366</v>
      </c>
      <c r="Y176" s="3119">
        <f>VLOOKUP(V176,'Fix Cost'!$K$177:$M$179,3,0)</f>
        <v>267411.04680782068</v>
      </c>
      <c r="Z176" s="3119">
        <f ca="1">IFERROR($X176*W176,0)</f>
        <v>0</v>
      </c>
      <c r="AA176" s="3115">
        <f ca="1">IFERROR(Y176*N176,0)</f>
        <v>0</v>
      </c>
      <c r="AB176" s="3115">
        <f ca="1">Z176+AA176</f>
        <v>0</v>
      </c>
      <c r="AK176" s="313"/>
      <c r="AL176" s="313"/>
      <c r="AM176" s="313"/>
      <c r="AO176" s="385"/>
      <c r="AP176" s="385"/>
      <c r="AQ176" s="385"/>
      <c r="AR176" s="1048"/>
      <c r="AS176" s="385"/>
      <c r="AT176" s="879">
        <f t="shared" ca="1" si="81"/>
        <v>0</v>
      </c>
      <c r="AU176" s="879">
        <f ca="1">COUNTIFS(AT$7:$AT176,1)</f>
        <v>3</v>
      </c>
    </row>
    <row r="177" spans="1:47" ht="12.75" hidden="1" outlineLevel="1">
      <c r="A177" s="1269"/>
      <c r="B177" s="1738" t="s">
        <v>140</v>
      </c>
      <c r="C177" s="313" t="str">
        <f>input!C543</f>
        <v>Spot UV - Rollan</v>
      </c>
      <c r="E177" s="363"/>
      <c r="F177" s="363" t="str">
        <f ca="1">input!F543</f>
        <v>N</v>
      </c>
      <c r="G177" s="363"/>
      <c r="H177" s="313">
        <f ca="1">SUMIFS(Paper!$AC$7:$AC$30,Paper!$A$7:$A$30,'Production cost'!F177)</f>
        <v>0</v>
      </c>
      <c r="I177" s="313">
        <f ca="1">IF(input!$G543&gt;0,input!$G543,3000)</f>
        <v>3000</v>
      </c>
      <c r="J177" s="313" t="s">
        <v>5</v>
      </c>
      <c r="K177" s="360">
        <v>0</v>
      </c>
      <c r="L177" s="313">
        <f ca="1">IF(input!$I543&gt;0,input!$I543,3)</f>
        <v>3</v>
      </c>
      <c r="M177" s="391">
        <f ca="1">IF(H177&gt;0,SUMIF(Data!$L$1155:$L$1190,'Production cost'!$C177,Data!$Q$1155:$Q$1190)*SUMIF(Paper!$A$7:$A$29,'Production cost'!$F177,Paper!$J$7:$J$29),0)</f>
        <v>0</v>
      </c>
      <c r="N177" s="391">
        <f ca="1">IF(H177&gt;0,ROUNDUP(((H177/I177)/$M$5+M177),1),0)</f>
        <v>0</v>
      </c>
      <c r="P177" s="313">
        <f>SUMIF(Data!$L$1155:$L$1190,'Production cost'!$C177,Data!$N$1155:$N$1190)</f>
        <v>78551.859745354872</v>
      </c>
      <c r="Q177" s="313">
        <f t="shared" ca="1" si="104"/>
        <v>0</v>
      </c>
      <c r="R177" s="313">
        <f ca="1">IF($E$2&gt;0,Q177/$E$2,0)</f>
        <v>0</v>
      </c>
      <c r="S177" s="1741">
        <f ca="1">IF(M177&gt;0,K177*O177+L177*P177,0)</f>
        <v>0</v>
      </c>
      <c r="T177" s="313" t="str">
        <f ca="1">input!J543</f>
        <v>N</v>
      </c>
      <c r="V177" s="3115" t="str">
        <f>input!K543</f>
        <v>Packaging</v>
      </c>
      <c r="W177" s="3115">
        <f ca="1">N177*(L177+K177)</f>
        <v>0</v>
      </c>
      <c r="X177" s="3119">
        <f>VLOOKUP(V177,'Fix Cost'!$K$177:$M$179,2,0)</f>
        <v>58449.923860467366</v>
      </c>
      <c r="Y177" s="3119">
        <f>VLOOKUP(V177,'Fix Cost'!$K$177:$M$179,3,0)</f>
        <v>267411.04680782068</v>
      </c>
      <c r="Z177" s="3119">
        <f ca="1">IFERROR($X177*W177,0)</f>
        <v>0</v>
      </c>
      <c r="AA177" s="3115">
        <f ca="1">IFERROR(Y177*N177,0)</f>
        <v>0</v>
      </c>
      <c r="AB177" s="3115">
        <f ca="1">Z177+AA177</f>
        <v>0</v>
      </c>
      <c r="AK177" s="313"/>
      <c r="AL177" s="313"/>
      <c r="AM177" s="313"/>
      <c r="AO177" s="385"/>
      <c r="AP177" s="385"/>
      <c r="AQ177" s="385"/>
      <c r="AR177" s="1048"/>
      <c r="AS177" s="385"/>
      <c r="AT177" s="879">
        <f t="shared" ca="1" si="81"/>
        <v>0</v>
      </c>
      <c r="AU177" s="879">
        <f ca="1">COUNTIFS(AT$7:$AT177,1)</f>
        <v>3</v>
      </c>
    </row>
    <row r="178" spans="1:47" ht="12.75" hidden="1" outlineLevel="1">
      <c r="A178" s="1269"/>
      <c r="B178" s="1738" t="s">
        <v>140</v>
      </c>
      <c r="C178" s="313" t="str">
        <f>input!C544</f>
        <v>Spot UV - Rollan</v>
      </c>
      <c r="E178" s="363"/>
      <c r="F178" s="363" t="str">
        <f ca="1">input!F544</f>
        <v>N</v>
      </c>
      <c r="G178" s="363"/>
      <c r="H178" s="313">
        <f ca="1">SUMIFS(Paper!$AC$7:$AC$30,Paper!$A$7:$A$30,'Production cost'!F178)</f>
        <v>0</v>
      </c>
      <c r="I178" s="313">
        <f ca="1">IF(input!$G544&gt;0,input!$G544,3000)</f>
        <v>3000</v>
      </c>
      <c r="J178" s="313" t="s">
        <v>5</v>
      </c>
      <c r="K178" s="360">
        <v>0</v>
      </c>
      <c r="L178" s="313">
        <f ca="1">IF(input!$I544&gt;0,input!$I544,3)</f>
        <v>3</v>
      </c>
      <c r="M178" s="391">
        <f ca="1">IF(H178&gt;0,SUMIF(Data!$L$1155:$L$1190,'Production cost'!$C178,Data!$Q$1155:$Q$1190)*SUMIF(Paper!$A$7:$A$29,'Production cost'!$F178,Paper!$J$7:$J$29),0)</f>
        <v>0</v>
      </c>
      <c r="N178" s="391">
        <f t="shared" ref="N178:N182" ca="1" si="105">IF(H178&gt;0,ROUNDUP(((H178/I178)/$M$5+M178),1),0)</f>
        <v>0</v>
      </c>
      <c r="P178" s="313">
        <f>SUMIF(Data!$L$1155:$L$1190,'Production cost'!$C178,Data!$N$1155:$N$1190)</f>
        <v>78551.859745354872</v>
      </c>
      <c r="Q178" s="313">
        <f t="shared" ca="1" si="104"/>
        <v>0</v>
      </c>
      <c r="R178" s="313">
        <f t="shared" ref="R178:R182" ca="1" si="106">IF($E$2&gt;0,Q178/$E$2,0)</f>
        <v>0</v>
      </c>
      <c r="S178" s="1741">
        <f t="shared" ref="S178:S182" ca="1" si="107">IF(M178&gt;0,K178*O178+L178*P178,0)</f>
        <v>0</v>
      </c>
      <c r="T178" s="313" t="str">
        <f ca="1">input!J544</f>
        <v>N</v>
      </c>
      <c r="V178" s="3115" t="str">
        <f>input!K544</f>
        <v>Packaging</v>
      </c>
      <c r="W178" s="3115">
        <f t="shared" ref="W178:W182" ca="1" si="108">N178*(L178+K178)</f>
        <v>0</v>
      </c>
      <c r="X178" s="3119">
        <f>VLOOKUP(V178,'Fix Cost'!$K$177:$M$179,2,0)</f>
        <v>58449.923860467366</v>
      </c>
      <c r="Y178" s="3119">
        <f>VLOOKUP(V178,'Fix Cost'!$K$177:$M$179,3,0)</f>
        <v>267411.04680782068</v>
      </c>
      <c r="Z178" s="3119">
        <f t="shared" ref="Z178:Z182" ca="1" si="109">IFERROR($X178*W178,0)</f>
        <v>0</v>
      </c>
      <c r="AA178" s="3115">
        <f t="shared" ref="AA178:AA182" ca="1" si="110">IFERROR(Y178*N178,0)</f>
        <v>0</v>
      </c>
      <c r="AB178" s="3115">
        <f t="shared" ref="AB178:AB182" ca="1" si="111">Z178+AA178</f>
        <v>0</v>
      </c>
      <c r="AK178" s="313"/>
      <c r="AL178" s="313"/>
      <c r="AM178" s="313"/>
      <c r="AO178" s="385"/>
      <c r="AP178" s="385"/>
      <c r="AQ178" s="385"/>
      <c r="AR178" s="1048"/>
      <c r="AS178" s="385"/>
      <c r="AT178" s="879">
        <f t="shared" ca="1" si="81"/>
        <v>0</v>
      </c>
      <c r="AU178" s="879">
        <f ca="1">COUNTIFS(AT$7:$AT178,1)</f>
        <v>3</v>
      </c>
    </row>
    <row r="179" spans="1:47" ht="12.75" hidden="1" outlineLevel="1">
      <c r="A179" s="1269"/>
      <c r="B179" s="1738" t="s">
        <v>140</v>
      </c>
      <c r="C179" s="313" t="str">
        <f>input!C545</f>
        <v>Spot UV - Rollan</v>
      </c>
      <c r="E179" s="363"/>
      <c r="F179" s="363" t="str">
        <f ca="1">input!F545</f>
        <v>N</v>
      </c>
      <c r="G179" s="363"/>
      <c r="H179" s="313">
        <f ca="1">SUMIFS(Paper!$AC$7:$AC$30,Paper!$A$7:$A$30,'Production cost'!F179)</f>
        <v>0</v>
      </c>
      <c r="I179" s="313">
        <f ca="1">IF(input!$G545&gt;0,input!$G545,3000)</f>
        <v>3000</v>
      </c>
      <c r="J179" s="313" t="s">
        <v>5</v>
      </c>
      <c r="K179" s="360">
        <v>0</v>
      </c>
      <c r="L179" s="313">
        <f ca="1">IF(input!$I545&gt;0,input!$I545,3)</f>
        <v>3</v>
      </c>
      <c r="M179" s="391">
        <f ca="1">IF(H179&gt;0,SUMIF(Data!$L$1155:$L$1190,'Production cost'!$C179,Data!$Q$1155:$Q$1190)*SUMIF(Paper!$A$7:$A$29,'Production cost'!$F179,Paper!$J$7:$J$29),0)</f>
        <v>0</v>
      </c>
      <c r="N179" s="391">
        <f t="shared" ca="1" si="105"/>
        <v>0</v>
      </c>
      <c r="P179" s="313">
        <f>SUMIF(Data!$L$1155:$L$1190,'Production cost'!$C179,Data!$N$1155:$N$1190)</f>
        <v>78551.859745354872</v>
      </c>
      <c r="Q179" s="313">
        <f t="shared" ca="1" si="104"/>
        <v>0</v>
      </c>
      <c r="R179" s="313">
        <f t="shared" ca="1" si="106"/>
        <v>0</v>
      </c>
      <c r="S179" s="1741">
        <f t="shared" ca="1" si="107"/>
        <v>0</v>
      </c>
      <c r="T179" s="313" t="str">
        <f ca="1">input!J545</f>
        <v>N</v>
      </c>
      <c r="V179" s="3115" t="str">
        <f>input!K545</f>
        <v>Packaging</v>
      </c>
      <c r="W179" s="3115">
        <f t="shared" ca="1" si="108"/>
        <v>0</v>
      </c>
      <c r="X179" s="3119">
        <f>VLOOKUP(V179,'Fix Cost'!$K$177:$M$179,2,0)</f>
        <v>58449.923860467366</v>
      </c>
      <c r="Y179" s="3119">
        <f>VLOOKUP(V179,'Fix Cost'!$K$177:$M$179,3,0)</f>
        <v>267411.04680782068</v>
      </c>
      <c r="Z179" s="3119">
        <f t="shared" ca="1" si="109"/>
        <v>0</v>
      </c>
      <c r="AA179" s="3115">
        <f t="shared" ca="1" si="110"/>
        <v>0</v>
      </c>
      <c r="AB179" s="3115">
        <f t="shared" ca="1" si="111"/>
        <v>0</v>
      </c>
      <c r="AK179" s="313"/>
      <c r="AL179" s="313"/>
      <c r="AM179" s="313"/>
      <c r="AO179" s="385"/>
      <c r="AP179" s="385"/>
      <c r="AQ179" s="385"/>
      <c r="AR179" s="1048"/>
      <c r="AS179" s="385"/>
      <c r="AT179" s="879">
        <f t="shared" ca="1" si="81"/>
        <v>0</v>
      </c>
      <c r="AU179" s="879">
        <f ca="1">COUNTIFS(AT$7:$AT179,1)</f>
        <v>3</v>
      </c>
    </row>
    <row r="180" spans="1:47" ht="12.75" hidden="1" outlineLevel="1">
      <c r="A180" s="1269"/>
      <c r="B180" s="1738" t="s">
        <v>140</v>
      </c>
      <c r="C180" s="313" t="str">
        <f>input!C546</f>
        <v>Spot UV - Rollan</v>
      </c>
      <c r="E180" s="363"/>
      <c r="F180" s="363" t="str">
        <f ca="1">input!F546</f>
        <v>N</v>
      </c>
      <c r="G180" s="363"/>
      <c r="H180" s="313">
        <f ca="1">SUMIFS(Paper!$AC$7:$AC$30,Paper!$A$7:$A$30,'Production cost'!F180)</f>
        <v>0</v>
      </c>
      <c r="I180" s="313">
        <f ca="1">IF(input!$G546&gt;0,input!$G546,3000)</f>
        <v>3000</v>
      </c>
      <c r="J180" s="313" t="s">
        <v>5</v>
      </c>
      <c r="K180" s="360">
        <v>0</v>
      </c>
      <c r="L180" s="313">
        <f ca="1">IF(input!$I546&gt;0,input!$I546,3)</f>
        <v>3</v>
      </c>
      <c r="M180" s="391">
        <f ca="1">IF(H180&gt;0,SUMIF(Data!$L$1155:$L$1190,'Production cost'!$C180,Data!$Q$1155:$Q$1190)*SUMIF(Paper!$A$7:$A$29,'Production cost'!$F180,Paper!$J$7:$J$29),0)</f>
        <v>0</v>
      </c>
      <c r="N180" s="391">
        <f t="shared" ca="1" si="105"/>
        <v>0</v>
      </c>
      <c r="P180" s="313">
        <f>SUMIF(Data!$L$1155:$L$1190,'Production cost'!$C180,Data!$N$1155:$N$1190)</f>
        <v>78551.859745354872</v>
      </c>
      <c r="Q180" s="313">
        <f t="shared" ca="1" si="104"/>
        <v>0</v>
      </c>
      <c r="R180" s="313">
        <f t="shared" ca="1" si="106"/>
        <v>0</v>
      </c>
      <c r="S180" s="1741">
        <f t="shared" ca="1" si="107"/>
        <v>0</v>
      </c>
      <c r="T180" s="313" t="str">
        <f ca="1">input!J546</f>
        <v>N</v>
      </c>
      <c r="V180" s="3115" t="str">
        <f>input!K546</f>
        <v>Packaging</v>
      </c>
      <c r="W180" s="3115">
        <f t="shared" ca="1" si="108"/>
        <v>0</v>
      </c>
      <c r="X180" s="3119">
        <f>VLOOKUP(V180,'Fix Cost'!$K$177:$M$179,2,0)</f>
        <v>58449.923860467366</v>
      </c>
      <c r="Y180" s="3119">
        <f>VLOOKUP(V180,'Fix Cost'!$K$177:$M$179,3,0)</f>
        <v>267411.04680782068</v>
      </c>
      <c r="Z180" s="3119">
        <f t="shared" ca="1" si="109"/>
        <v>0</v>
      </c>
      <c r="AA180" s="3115">
        <f t="shared" ca="1" si="110"/>
        <v>0</v>
      </c>
      <c r="AB180" s="3115">
        <f t="shared" ca="1" si="111"/>
        <v>0</v>
      </c>
      <c r="AK180" s="313"/>
      <c r="AL180" s="313"/>
      <c r="AM180" s="313"/>
      <c r="AO180" s="385"/>
      <c r="AP180" s="385"/>
      <c r="AQ180" s="385"/>
      <c r="AR180" s="1048"/>
      <c r="AS180" s="385"/>
      <c r="AT180" s="879">
        <f t="shared" ca="1" si="81"/>
        <v>0</v>
      </c>
      <c r="AU180" s="879">
        <f ca="1">COUNTIFS(AT$7:$AT180,1)</f>
        <v>3</v>
      </c>
    </row>
    <row r="181" spans="1:47" ht="12.75" hidden="1" outlineLevel="1">
      <c r="A181" s="1269"/>
      <c r="B181" s="1738" t="s">
        <v>140</v>
      </c>
      <c r="C181" s="313" t="str">
        <f>input!C547</f>
        <v>Spot UV - Rollan</v>
      </c>
      <c r="E181" s="363"/>
      <c r="F181" s="363" t="str">
        <f ca="1">input!F547</f>
        <v>N</v>
      </c>
      <c r="G181" s="363"/>
      <c r="H181" s="313">
        <f ca="1">SUMIFS(Paper!$AC$7:$AC$30,Paper!$A$7:$A$30,'Production cost'!F181)</f>
        <v>0</v>
      </c>
      <c r="I181" s="313">
        <f ca="1">IF(input!$G547&gt;0,input!$G547,3000)</f>
        <v>3000</v>
      </c>
      <c r="J181" s="313" t="s">
        <v>5</v>
      </c>
      <c r="K181" s="360">
        <v>0</v>
      </c>
      <c r="L181" s="313">
        <f ca="1">IF(input!$I547&gt;0,input!$I547,3)</f>
        <v>3</v>
      </c>
      <c r="M181" s="391">
        <f ca="1">IF(H181&gt;0,SUMIF(Data!$L$1155:$L$1190,'Production cost'!$C181,Data!$Q$1155:$Q$1190)*SUMIF(Paper!$A$7:$A$29,'Production cost'!$F181,Paper!$J$7:$J$29),0)</f>
        <v>0</v>
      </c>
      <c r="N181" s="391">
        <f t="shared" ca="1" si="105"/>
        <v>0</v>
      </c>
      <c r="P181" s="313">
        <f>SUMIF(Data!$L$1155:$L$1190,'Production cost'!$C181,Data!$N$1155:$N$1190)</f>
        <v>78551.859745354872</v>
      </c>
      <c r="Q181" s="313">
        <f t="shared" ca="1" si="104"/>
        <v>0</v>
      </c>
      <c r="R181" s="313">
        <f t="shared" ca="1" si="106"/>
        <v>0</v>
      </c>
      <c r="S181" s="1741">
        <f t="shared" ca="1" si="107"/>
        <v>0</v>
      </c>
      <c r="T181" s="313" t="str">
        <f ca="1">input!J547</f>
        <v>N</v>
      </c>
      <c r="V181" s="3115" t="str">
        <f>input!K547</f>
        <v>Packaging</v>
      </c>
      <c r="W181" s="3115">
        <f t="shared" ca="1" si="108"/>
        <v>0</v>
      </c>
      <c r="X181" s="3119">
        <f>VLOOKUP(V181,'Fix Cost'!$K$177:$M$179,2,0)</f>
        <v>58449.923860467366</v>
      </c>
      <c r="Y181" s="3119">
        <f>VLOOKUP(V181,'Fix Cost'!$K$177:$M$179,3,0)</f>
        <v>267411.04680782068</v>
      </c>
      <c r="Z181" s="3119">
        <f t="shared" ca="1" si="109"/>
        <v>0</v>
      </c>
      <c r="AA181" s="3115">
        <f t="shared" ca="1" si="110"/>
        <v>0</v>
      </c>
      <c r="AB181" s="3115">
        <f t="shared" ca="1" si="111"/>
        <v>0</v>
      </c>
      <c r="AK181" s="313"/>
      <c r="AL181" s="313"/>
      <c r="AM181" s="313"/>
      <c r="AO181" s="385"/>
      <c r="AP181" s="385"/>
      <c r="AQ181" s="385"/>
      <c r="AR181" s="1048"/>
      <c r="AS181" s="385"/>
      <c r="AT181" s="879">
        <f t="shared" ca="1" si="81"/>
        <v>0</v>
      </c>
      <c r="AU181" s="879">
        <f ca="1">COUNTIFS(AT$7:$AT181,1)</f>
        <v>3</v>
      </c>
    </row>
    <row r="182" spans="1:47" ht="12.75" hidden="1" outlineLevel="1">
      <c r="A182" s="1269"/>
      <c r="B182" s="1738" t="s">
        <v>140</v>
      </c>
      <c r="C182" s="313" t="str">
        <f>input!C548</f>
        <v>Spot UV - Rollan</v>
      </c>
      <c r="E182" s="363"/>
      <c r="F182" s="363" t="str">
        <f ca="1">input!F548</f>
        <v>N</v>
      </c>
      <c r="G182" s="363"/>
      <c r="H182" s="313">
        <f ca="1">SUMIFS(Paper!$AC$7:$AC$30,Paper!$A$7:$A$30,'Production cost'!F182)</f>
        <v>0</v>
      </c>
      <c r="I182" s="313">
        <f ca="1">IF(input!$G548&gt;0,input!$G548,3000)</f>
        <v>3000</v>
      </c>
      <c r="J182" s="313" t="s">
        <v>5</v>
      </c>
      <c r="K182" s="360">
        <v>0</v>
      </c>
      <c r="L182" s="313">
        <f ca="1">IF(input!$I548&gt;0,input!$I548,3)</f>
        <v>3</v>
      </c>
      <c r="M182" s="391">
        <f ca="1">IF(H182&gt;0,SUMIF(Data!$L$1155:$L$1190,'Production cost'!$C182,Data!$Q$1155:$Q$1190)*SUMIF(Paper!$A$7:$A$29,'Production cost'!$F182,Paper!$J$7:$J$29),0)</f>
        <v>0</v>
      </c>
      <c r="N182" s="391">
        <f t="shared" ca="1" si="105"/>
        <v>0</v>
      </c>
      <c r="P182" s="313">
        <f>SUMIF(Data!$L$1155:$L$1190,'Production cost'!$C182,Data!$N$1155:$N$1190)</f>
        <v>78551.859745354872</v>
      </c>
      <c r="Q182" s="313">
        <f t="shared" ca="1" si="104"/>
        <v>0</v>
      </c>
      <c r="R182" s="313">
        <f t="shared" ca="1" si="106"/>
        <v>0</v>
      </c>
      <c r="S182" s="1741">
        <f t="shared" ca="1" si="107"/>
        <v>0</v>
      </c>
      <c r="T182" s="313" t="str">
        <f ca="1">input!J548</f>
        <v>N</v>
      </c>
      <c r="V182" s="3115" t="str">
        <f>input!K548</f>
        <v>Packaging</v>
      </c>
      <c r="W182" s="3115">
        <f t="shared" ca="1" si="108"/>
        <v>0</v>
      </c>
      <c r="X182" s="3119">
        <f>VLOOKUP(V182,'Fix Cost'!$K$177:$M$179,2,0)</f>
        <v>58449.923860467366</v>
      </c>
      <c r="Y182" s="3119">
        <f>VLOOKUP(V182,'Fix Cost'!$K$177:$M$179,3,0)</f>
        <v>267411.04680782068</v>
      </c>
      <c r="Z182" s="3119">
        <f t="shared" ca="1" si="109"/>
        <v>0</v>
      </c>
      <c r="AA182" s="3115">
        <f t="shared" ca="1" si="110"/>
        <v>0</v>
      </c>
      <c r="AB182" s="3115">
        <f t="shared" ca="1" si="111"/>
        <v>0</v>
      </c>
      <c r="AK182" s="313"/>
      <c r="AL182" s="313"/>
      <c r="AM182" s="313"/>
      <c r="AO182" s="385"/>
      <c r="AP182" s="385"/>
      <c r="AQ182" s="385"/>
      <c r="AR182" s="1048"/>
      <c r="AS182" s="385"/>
      <c r="AT182" s="879">
        <f t="shared" ca="1" si="81"/>
        <v>0</v>
      </c>
      <c r="AU182" s="879">
        <f ca="1">COUNTIFS(AT$7:$AT182,1)</f>
        <v>3</v>
      </c>
    </row>
    <row r="183" spans="1:47" ht="12.75" hidden="1" outlineLevel="1">
      <c r="A183" s="1269"/>
      <c r="B183" s="1738" t="s">
        <v>140</v>
      </c>
      <c r="C183" s="313" t="str">
        <f>input!C549</f>
        <v>Test</v>
      </c>
      <c r="E183" s="363"/>
      <c r="F183" s="363" t="str">
        <f ca="1">input!F549</f>
        <v>N</v>
      </c>
      <c r="G183" s="363"/>
      <c r="H183" s="313">
        <f ca="1">SUMIFS(Paper!$AC$7:$AC$30,Paper!$A$7:$A$30,'Production cost'!F183)</f>
        <v>0</v>
      </c>
      <c r="I183" s="313">
        <f ca="1">IF(input!$G549&gt;0,input!$G549,3000)</f>
        <v>3000</v>
      </c>
      <c r="J183" s="313" t="s">
        <v>5</v>
      </c>
      <c r="K183" s="360">
        <v>0</v>
      </c>
      <c r="L183" s="313">
        <f ca="1">IF(input!$I549&gt;0,input!$I549,3)</f>
        <v>3</v>
      </c>
      <c r="M183" s="391">
        <f ca="1">IF(H183&gt;0,SUMIF(Data!$L$1155:$L$1190,'Production cost'!$C183,Data!$Q$1155:$Q$1190)*SUMIF(Paper!$A$7:$A$29,'Production cost'!$F183,Paper!$J$7:$J$29),0)</f>
        <v>0</v>
      </c>
      <c r="N183" s="391">
        <f t="shared" ca="1" si="90"/>
        <v>0</v>
      </c>
      <c r="P183" s="313">
        <f>SUMIF(Data!$L$1155:$L$1190,'Production cost'!$C183,Data!$N$1155:$N$1190)</f>
        <v>0</v>
      </c>
      <c r="Q183" s="313">
        <f t="shared" ca="1" si="104"/>
        <v>0</v>
      </c>
      <c r="R183" s="313">
        <f t="shared" ca="1" si="91"/>
        <v>0</v>
      </c>
      <c r="S183" s="1741">
        <f t="shared" ca="1" si="92"/>
        <v>0</v>
      </c>
      <c r="T183" s="313" t="str">
        <f ca="1">input!J549</f>
        <v>N</v>
      </c>
      <c r="V183" s="3115" t="str">
        <f>input!K549</f>
        <v>Packaging</v>
      </c>
      <c r="W183" s="3115">
        <f t="shared" ca="1" si="93"/>
        <v>0</v>
      </c>
      <c r="X183" s="3119">
        <f>VLOOKUP(V183,'Fix Cost'!$K$177:$M$179,2,0)</f>
        <v>58449.923860467366</v>
      </c>
      <c r="Y183" s="3119">
        <f>VLOOKUP(V183,'Fix Cost'!$K$177:$M$179,3,0)</f>
        <v>267411.04680782068</v>
      </c>
      <c r="Z183" s="3119">
        <f t="shared" ca="1" si="94"/>
        <v>0</v>
      </c>
      <c r="AA183" s="3115">
        <f t="shared" ca="1" si="95"/>
        <v>0</v>
      </c>
      <c r="AB183" s="3115">
        <f t="shared" ca="1" si="96"/>
        <v>0</v>
      </c>
      <c r="AK183" s="313"/>
      <c r="AL183" s="313"/>
      <c r="AM183" s="313"/>
      <c r="AO183" s="385"/>
      <c r="AP183" s="385"/>
      <c r="AQ183" s="385"/>
      <c r="AR183" s="1048"/>
      <c r="AS183" s="385"/>
      <c r="AT183" s="879">
        <f t="shared" ca="1" si="81"/>
        <v>0</v>
      </c>
      <c r="AU183" s="879">
        <f ca="1">COUNTIFS(AT$7:$AT183,1)</f>
        <v>3</v>
      </c>
    </row>
    <row r="184" spans="1:47" ht="12.75" hidden="1" outlineLevel="1">
      <c r="A184" s="1269"/>
      <c r="B184" s="1738" t="s">
        <v>140</v>
      </c>
      <c r="C184" s="313" t="str">
        <f>input!C550</f>
        <v>Test</v>
      </c>
      <c r="E184" s="363"/>
      <c r="F184" s="363" t="str">
        <f ca="1">input!F550</f>
        <v>N</v>
      </c>
      <c r="G184" s="363"/>
      <c r="H184" s="313">
        <f ca="1">SUMIFS(Paper!$AC$7:$AC$30,Paper!$A$7:$A$30,'Production cost'!F184)</f>
        <v>0</v>
      </c>
      <c r="I184" s="313">
        <f ca="1">IF(input!$G550&gt;0,input!$G550,3000)</f>
        <v>3000</v>
      </c>
      <c r="J184" s="313" t="s">
        <v>5</v>
      </c>
      <c r="K184" s="360">
        <v>0</v>
      </c>
      <c r="L184" s="313">
        <f ca="1">IF(input!$I550&gt;0,input!$I550,3)</f>
        <v>3</v>
      </c>
      <c r="M184" s="391">
        <f ca="1">IF(H184&gt;0,SUMIF(Data!$L$1155:$L$1190,'Production cost'!$C184,Data!$Q$1155:$Q$1190)*SUMIF(Paper!$A$7:$A$29,'Production cost'!$F184,Paper!$J$7:$J$29),0)</f>
        <v>0</v>
      </c>
      <c r="N184" s="391">
        <f t="shared" ca="1" si="90"/>
        <v>0</v>
      </c>
      <c r="P184" s="313">
        <f>SUMIF(Data!$L$1155:$L$1190,'Production cost'!$C184,Data!$N$1155:$N$1190)</f>
        <v>0</v>
      </c>
      <c r="Q184" s="313">
        <f t="shared" ca="1" si="104"/>
        <v>0</v>
      </c>
      <c r="R184" s="313">
        <f t="shared" ca="1" si="91"/>
        <v>0</v>
      </c>
      <c r="S184" s="1741">
        <f t="shared" ca="1" si="92"/>
        <v>0</v>
      </c>
      <c r="T184" s="313" t="str">
        <f ca="1">input!J550</f>
        <v>N</v>
      </c>
      <c r="V184" s="3115" t="str">
        <f>input!K550</f>
        <v>Packaging</v>
      </c>
      <c r="W184" s="3115">
        <f t="shared" ca="1" si="93"/>
        <v>0</v>
      </c>
      <c r="X184" s="3119">
        <f>VLOOKUP(V184,'Fix Cost'!$K$177:$M$179,2,0)</f>
        <v>58449.923860467366</v>
      </c>
      <c r="Y184" s="3119">
        <f>VLOOKUP(V184,'Fix Cost'!$K$177:$M$179,3,0)</f>
        <v>267411.04680782068</v>
      </c>
      <c r="Z184" s="3119">
        <f t="shared" ca="1" si="94"/>
        <v>0</v>
      </c>
      <c r="AA184" s="3115">
        <f t="shared" ca="1" si="95"/>
        <v>0</v>
      </c>
      <c r="AB184" s="3115">
        <f t="shared" ca="1" si="96"/>
        <v>0</v>
      </c>
      <c r="AK184" s="313"/>
      <c r="AL184" s="313"/>
      <c r="AM184" s="313"/>
      <c r="AO184" s="385"/>
      <c r="AP184" s="385"/>
      <c r="AQ184" s="385"/>
      <c r="AR184" s="1048"/>
      <c r="AS184" s="385"/>
      <c r="AT184" s="879">
        <f t="shared" ca="1" si="81"/>
        <v>0</v>
      </c>
      <c r="AU184" s="879">
        <f ca="1">COUNTIFS(AT$7:$AT184,1)</f>
        <v>3</v>
      </c>
    </row>
    <row r="185" spans="1:47" ht="12.75" hidden="1" outlineLevel="1">
      <c r="A185" s="1269"/>
      <c r="B185" s="1738" t="s">
        <v>140</v>
      </c>
      <c r="C185" s="313" t="str">
        <f>input!C551</f>
        <v>Test</v>
      </c>
      <c r="E185" s="363"/>
      <c r="F185" s="363" t="str">
        <f ca="1">input!F551</f>
        <v>N</v>
      </c>
      <c r="G185" s="363"/>
      <c r="H185" s="313">
        <f ca="1">SUMIFS(Paper!$AC$7:$AC$30,Paper!$A$7:$A$30,'Production cost'!F185)</f>
        <v>0</v>
      </c>
      <c r="I185" s="313">
        <f ca="1">IF(input!$G551&gt;0,input!$G551,3000)</f>
        <v>3000</v>
      </c>
      <c r="J185" s="313" t="s">
        <v>5</v>
      </c>
      <c r="K185" s="360">
        <v>0</v>
      </c>
      <c r="L185" s="313">
        <f ca="1">IF(input!$I551&gt;0,input!$I551,3)</f>
        <v>3</v>
      </c>
      <c r="M185" s="391">
        <f ca="1">IF(H185&gt;0,SUMIF(Data!$L$1155:$L$1190,'Production cost'!$C185,Data!$Q$1155:$Q$1190)*SUMIF(Paper!$A$7:$A$29,'Production cost'!$F185,Paper!$J$7:$J$29),0)</f>
        <v>0</v>
      </c>
      <c r="N185" s="391">
        <f t="shared" ca="1" si="90"/>
        <v>0</v>
      </c>
      <c r="P185" s="313">
        <f>SUMIF(Data!$L$1155:$L$1190,'Production cost'!$C185,Data!$N$1155:$N$1190)</f>
        <v>0</v>
      </c>
      <c r="Q185" s="313">
        <f t="shared" ca="1" si="104"/>
        <v>0</v>
      </c>
      <c r="R185" s="313">
        <f t="shared" ca="1" si="91"/>
        <v>0</v>
      </c>
      <c r="S185" s="1741">
        <f t="shared" ca="1" si="92"/>
        <v>0</v>
      </c>
      <c r="T185" s="313" t="str">
        <f ca="1">input!J551</f>
        <v>N</v>
      </c>
      <c r="V185" s="3115" t="str">
        <f>input!K551</f>
        <v>Packaging</v>
      </c>
      <c r="W185" s="3115">
        <f t="shared" ca="1" si="93"/>
        <v>0</v>
      </c>
      <c r="X185" s="3119">
        <f>VLOOKUP(V185,'Fix Cost'!$K$177:$M$179,2,0)</f>
        <v>58449.923860467366</v>
      </c>
      <c r="Y185" s="3119">
        <f>VLOOKUP(V185,'Fix Cost'!$K$177:$M$179,3,0)</f>
        <v>267411.04680782068</v>
      </c>
      <c r="Z185" s="3119">
        <f t="shared" ca="1" si="94"/>
        <v>0</v>
      </c>
      <c r="AA185" s="3115">
        <f t="shared" ca="1" si="95"/>
        <v>0</v>
      </c>
      <c r="AB185" s="3115">
        <f t="shared" ca="1" si="96"/>
        <v>0</v>
      </c>
      <c r="AK185" s="313"/>
      <c r="AL185" s="313"/>
      <c r="AM185" s="313"/>
      <c r="AO185" s="385"/>
      <c r="AP185" s="385"/>
      <c r="AQ185" s="385"/>
      <c r="AR185" s="1048"/>
      <c r="AS185" s="385"/>
      <c r="AT185" s="879">
        <f t="shared" ca="1" si="81"/>
        <v>0</v>
      </c>
      <c r="AU185" s="879">
        <f ca="1">COUNTIFS(AT$7:$AT185,1)</f>
        <v>3</v>
      </c>
    </row>
    <row r="186" spans="1:47" ht="12.75" hidden="1" outlineLevel="1">
      <c r="A186" s="1269"/>
      <c r="B186" s="1738" t="s">
        <v>140</v>
      </c>
      <c r="C186" s="313" t="str">
        <f>input!C552</f>
        <v>Test</v>
      </c>
      <c r="E186" s="363"/>
      <c r="F186" s="363" t="str">
        <f ca="1">input!F552</f>
        <v>N</v>
      </c>
      <c r="G186" s="363"/>
      <c r="H186" s="313">
        <f ca="1">SUMIFS(Paper!$AC$7:$AC$30,Paper!$A$7:$A$30,'Production cost'!F186)</f>
        <v>0</v>
      </c>
      <c r="I186" s="313">
        <f ca="1">IF(input!$G552&gt;0,input!$G552,3000)</f>
        <v>3000</v>
      </c>
      <c r="J186" s="313" t="s">
        <v>5</v>
      </c>
      <c r="K186" s="360">
        <v>0</v>
      </c>
      <c r="L186" s="313">
        <f ca="1">IF(input!$I552&gt;0,input!$I552,3)</f>
        <v>3</v>
      </c>
      <c r="M186" s="391">
        <f ca="1">IF(H186&gt;0,SUMIF(Data!$L$1155:$L$1190,'Production cost'!$C186,Data!$Q$1155:$Q$1190)*SUMIF(Paper!$A$7:$A$29,'Production cost'!$F186,Paper!$J$7:$J$29),0)</f>
        <v>0</v>
      </c>
      <c r="N186" s="391">
        <f t="shared" ca="1" si="90"/>
        <v>0</v>
      </c>
      <c r="P186" s="313">
        <f>SUMIF(Data!$L$1155:$L$1190,'Production cost'!$C186,Data!$N$1155:$N$1190)</f>
        <v>0</v>
      </c>
      <c r="Q186" s="313">
        <f t="shared" ca="1" si="104"/>
        <v>0</v>
      </c>
      <c r="R186" s="313">
        <f t="shared" ca="1" si="91"/>
        <v>0</v>
      </c>
      <c r="S186" s="1741">
        <f t="shared" ca="1" si="92"/>
        <v>0</v>
      </c>
      <c r="T186" s="313" t="str">
        <f ca="1">input!J552</f>
        <v>N</v>
      </c>
      <c r="V186" s="3115" t="str">
        <f>input!K552</f>
        <v>Packaging</v>
      </c>
      <c r="W186" s="3115">
        <f t="shared" ca="1" si="93"/>
        <v>0</v>
      </c>
      <c r="X186" s="3119">
        <f>VLOOKUP(V186,'Fix Cost'!$K$177:$M$179,2,0)</f>
        <v>58449.923860467366</v>
      </c>
      <c r="Y186" s="3119">
        <f>VLOOKUP(V186,'Fix Cost'!$K$177:$M$179,3,0)</f>
        <v>267411.04680782068</v>
      </c>
      <c r="Z186" s="3119">
        <f t="shared" ca="1" si="94"/>
        <v>0</v>
      </c>
      <c r="AA186" s="3115">
        <f t="shared" ca="1" si="95"/>
        <v>0</v>
      </c>
      <c r="AB186" s="3115">
        <f t="shared" ca="1" si="96"/>
        <v>0</v>
      </c>
      <c r="AK186" s="313"/>
      <c r="AL186" s="313"/>
      <c r="AM186" s="313"/>
      <c r="AO186" s="385"/>
      <c r="AP186" s="385"/>
      <c r="AQ186" s="385"/>
      <c r="AR186" s="1048"/>
      <c r="AS186" s="385"/>
      <c r="AT186" s="879">
        <f t="shared" ca="1" si="81"/>
        <v>0</v>
      </c>
      <c r="AU186" s="879">
        <f ca="1">COUNTIFS(AT$7:$AT186,1)</f>
        <v>3</v>
      </c>
    </row>
    <row r="187" spans="1:47" ht="12.75" hidden="1" outlineLevel="1">
      <c r="A187" s="1269"/>
      <c r="B187" s="1738" t="s">
        <v>140</v>
      </c>
      <c r="C187" s="313" t="str">
        <f>input!C553</f>
        <v>Test</v>
      </c>
      <c r="E187" s="363"/>
      <c r="F187" s="363" t="str">
        <f ca="1">input!F553</f>
        <v>N</v>
      </c>
      <c r="G187" s="363"/>
      <c r="H187" s="313">
        <f ca="1">SUMIFS(Paper!$AC$7:$AC$30,Paper!$A$7:$A$30,'Production cost'!F187)</f>
        <v>0</v>
      </c>
      <c r="I187" s="313">
        <f ca="1">IF(input!$G553&gt;0,input!$G553,3000)</f>
        <v>3000</v>
      </c>
      <c r="J187" s="313" t="s">
        <v>5</v>
      </c>
      <c r="K187" s="360">
        <v>0</v>
      </c>
      <c r="L187" s="313">
        <f ca="1">IF(input!$I553&gt;0,input!$I553,3)</f>
        <v>3</v>
      </c>
      <c r="M187" s="391">
        <f ca="1">IF(H187&gt;0,SUMIF(Data!$L$1155:$L$1190,'Production cost'!$C187,Data!$Q$1155:$Q$1190)*SUMIF(Paper!$A$7:$A$29,'Production cost'!$F187,Paper!$J$7:$J$29),0)</f>
        <v>0</v>
      </c>
      <c r="N187" s="391">
        <f t="shared" ca="1" si="90"/>
        <v>0</v>
      </c>
      <c r="P187" s="313">
        <f>SUMIF(Data!$L$1155:$L$1190,'Production cost'!$C187,Data!$N$1155:$N$1190)</f>
        <v>0</v>
      </c>
      <c r="Q187" s="313">
        <f t="shared" ca="1" si="104"/>
        <v>0</v>
      </c>
      <c r="R187" s="313">
        <f t="shared" ca="1" si="91"/>
        <v>0</v>
      </c>
      <c r="S187" s="1741">
        <f t="shared" ca="1" si="92"/>
        <v>0</v>
      </c>
      <c r="T187" s="313" t="str">
        <f ca="1">input!J553</f>
        <v>N</v>
      </c>
      <c r="V187" s="3115" t="str">
        <f>input!K553</f>
        <v>Packaging</v>
      </c>
      <c r="W187" s="3115">
        <f t="shared" ca="1" si="93"/>
        <v>0</v>
      </c>
      <c r="X187" s="3119">
        <f>VLOOKUP(V187,'Fix Cost'!$K$177:$M$179,2,0)</f>
        <v>58449.923860467366</v>
      </c>
      <c r="Y187" s="3119">
        <f>VLOOKUP(V187,'Fix Cost'!$K$177:$M$179,3,0)</f>
        <v>267411.04680782068</v>
      </c>
      <c r="Z187" s="3119">
        <f t="shared" ca="1" si="94"/>
        <v>0</v>
      </c>
      <c r="AA187" s="3115">
        <f t="shared" ca="1" si="95"/>
        <v>0</v>
      </c>
      <c r="AB187" s="3115">
        <f t="shared" ca="1" si="96"/>
        <v>0</v>
      </c>
      <c r="AK187" s="313"/>
      <c r="AL187" s="313"/>
      <c r="AM187" s="313"/>
      <c r="AO187" s="385"/>
      <c r="AP187" s="385"/>
      <c r="AQ187" s="385"/>
      <c r="AR187" s="1048"/>
      <c r="AS187" s="385"/>
      <c r="AT187" s="879">
        <f t="shared" ca="1" si="81"/>
        <v>0</v>
      </c>
      <c r="AU187" s="879">
        <f ca="1">COUNTIFS(AT$7:$AT187,1)</f>
        <v>3</v>
      </c>
    </row>
    <row r="188" spans="1:47" ht="12.75" hidden="1" outlineLevel="1">
      <c r="B188" s="1738" t="s">
        <v>140</v>
      </c>
      <c r="C188" s="313" t="str">
        <f>input!C554</f>
        <v>Test</v>
      </c>
      <c r="E188" s="363"/>
      <c r="F188" s="363" t="str">
        <f ca="1">input!F554</f>
        <v>N</v>
      </c>
      <c r="G188" s="363"/>
      <c r="H188" s="313">
        <f ca="1">SUMIFS(Paper!$AC$7:$AC$30,Paper!$A$7:$A$30,'Production cost'!F188)</f>
        <v>0</v>
      </c>
      <c r="I188" s="313">
        <f ca="1">IF(input!$G554&gt;0,input!$G554,3000)</f>
        <v>3000</v>
      </c>
      <c r="J188" s="313" t="s">
        <v>5</v>
      </c>
      <c r="K188" s="360">
        <v>0</v>
      </c>
      <c r="L188" s="313">
        <f ca="1">IF(input!$I554&gt;0,input!$I554,3)</f>
        <v>3</v>
      </c>
      <c r="M188" s="391">
        <f ca="1">IF(H188&gt;0,SUMIF(Data!$L$1155:$L$1190,'Production cost'!$C188,Data!$Q$1155:$Q$1190)*SUMIF(Paper!$A$7:$A$29,'Production cost'!$F188,Paper!$J$7:$J$29),0)</f>
        <v>0</v>
      </c>
      <c r="N188" s="391">
        <f ca="1">IF(H188&gt;0,ROUNDUP(((H188/I188)/$M$5+M188),1),0)</f>
        <v>0</v>
      </c>
      <c r="P188" s="313">
        <f>SUMIF(Data!$L$1155:$L$1190,'Production cost'!$C188,Data!$N$1155:$N$1190)</f>
        <v>0</v>
      </c>
      <c r="Q188" s="313">
        <f t="shared" ca="1" si="104"/>
        <v>0</v>
      </c>
      <c r="R188" s="313">
        <f ca="1">IF($E$2&gt;0,Q188/$E$2,0)</f>
        <v>0</v>
      </c>
      <c r="S188" s="1741">
        <f ca="1">IF(M188&gt;0,K188*O188+L188*P188,0)</f>
        <v>0</v>
      </c>
      <c r="T188" s="313" t="str">
        <f ca="1">input!J554</f>
        <v>N</v>
      </c>
      <c r="V188" s="3115" t="str">
        <f>input!K554</f>
        <v>Packaging</v>
      </c>
      <c r="W188" s="3115">
        <f ca="1">N188*(L188+K188)</f>
        <v>0</v>
      </c>
      <c r="X188" s="3119">
        <f>VLOOKUP(V188,'Fix Cost'!$K$177:$M$179,2,0)</f>
        <v>58449.923860467366</v>
      </c>
      <c r="Y188" s="3119">
        <f>VLOOKUP(V188,'Fix Cost'!$K$177:$M$179,3,0)</f>
        <v>267411.04680782068</v>
      </c>
      <c r="Z188" s="3119">
        <f ca="1">IFERROR($X188*W188,0)</f>
        <v>0</v>
      </c>
      <c r="AA188" s="3115">
        <f ca="1">IFERROR(Y188*N188,0)</f>
        <v>0</v>
      </c>
      <c r="AB188" s="3115">
        <f ca="1">Z188+AA188</f>
        <v>0</v>
      </c>
      <c r="AK188" s="313"/>
      <c r="AL188" s="313"/>
      <c r="AM188" s="313"/>
      <c r="AO188" s="385"/>
      <c r="AP188" s="385"/>
      <c r="AQ188" s="385"/>
      <c r="AR188" s="1048"/>
      <c r="AS188" s="385"/>
      <c r="AT188" s="879">
        <f t="shared" ca="1" si="81"/>
        <v>0</v>
      </c>
      <c r="AU188" s="879">
        <f ca="1">COUNTIFS(AT$7:$AT188,1)</f>
        <v>3</v>
      </c>
    </row>
    <row r="189" spans="1:47" ht="12.75" hidden="1" outlineLevel="1">
      <c r="B189" s="1738" t="s">
        <v>140</v>
      </c>
      <c r="C189" s="313" t="str">
        <f>input!C555</f>
        <v>Test</v>
      </c>
      <c r="E189" s="363"/>
      <c r="F189" s="363" t="str">
        <f ca="1">input!F555</f>
        <v>N</v>
      </c>
      <c r="G189" s="363"/>
      <c r="H189" s="313">
        <f ca="1">SUMIFS(Paper!$AC$7:$AC$30,Paper!$A$7:$A$30,'Production cost'!F189)</f>
        <v>0</v>
      </c>
      <c r="I189" s="313">
        <f ca="1">IF(input!$G555&gt;0,input!$G555,3000)</f>
        <v>3000</v>
      </c>
      <c r="J189" s="313" t="s">
        <v>5</v>
      </c>
      <c r="K189" s="360">
        <v>0</v>
      </c>
      <c r="L189" s="313">
        <f ca="1">IF(input!$I555&gt;0,input!$I555,3)</f>
        <v>3</v>
      </c>
      <c r="M189" s="391">
        <f ca="1">IF(H189&gt;0,SUMIF(Data!$L$1155:$L$1190,'Production cost'!$C189,Data!$Q$1155:$Q$1190)*SUMIF(Paper!$A$7:$A$29,'Production cost'!$F189,Paper!$J$7:$J$29),0)</f>
        <v>0</v>
      </c>
      <c r="N189" s="391">
        <f ca="1">IF(H189&gt;0,ROUNDUP(((H189/I189)/$M$5+M189),1),0)</f>
        <v>0</v>
      </c>
      <c r="P189" s="313">
        <f>SUMIF(Data!$L$1155:$L$1190,'Production cost'!$C189,Data!$N$1155:$N$1190)</f>
        <v>0</v>
      </c>
      <c r="Q189" s="313">
        <f t="shared" ca="1" si="104"/>
        <v>0</v>
      </c>
      <c r="R189" s="313">
        <f ca="1">IF($E$2&gt;0,Q189/$E$2,0)</f>
        <v>0</v>
      </c>
      <c r="S189" s="1741">
        <f ca="1">IF(M189&gt;0,K189*O189+L189*P189,0)</f>
        <v>0</v>
      </c>
      <c r="T189" s="313" t="str">
        <f ca="1">input!J555</f>
        <v>N</v>
      </c>
      <c r="V189" s="3115" t="str">
        <f>input!K555</f>
        <v>Packaging</v>
      </c>
      <c r="W189" s="3115">
        <f ca="1">N189*(L189+K189)</f>
        <v>0</v>
      </c>
      <c r="X189" s="3119">
        <f>VLOOKUP(V189,'Fix Cost'!$K$177:$M$179,2,0)</f>
        <v>58449.923860467366</v>
      </c>
      <c r="Y189" s="3119">
        <f>VLOOKUP(V189,'Fix Cost'!$K$177:$M$179,3,0)</f>
        <v>267411.04680782068</v>
      </c>
      <c r="Z189" s="3119">
        <f ca="1">IFERROR($X189*W189,0)</f>
        <v>0</v>
      </c>
      <c r="AA189" s="3115">
        <f ca="1">IFERROR(Y189*N189,0)</f>
        <v>0</v>
      </c>
      <c r="AB189" s="3115">
        <f ca="1">Z189+AA189</f>
        <v>0</v>
      </c>
      <c r="AK189" s="313"/>
      <c r="AL189" s="313"/>
      <c r="AM189" s="313"/>
      <c r="AO189" s="385"/>
      <c r="AP189" s="385"/>
      <c r="AQ189" s="385"/>
      <c r="AR189" s="1048"/>
      <c r="AS189" s="385"/>
      <c r="AT189" s="879">
        <f t="shared" ca="1" si="81"/>
        <v>0</v>
      </c>
      <c r="AU189" s="879">
        <f ca="1">COUNTIFS(AT$7:$AT189,1)</f>
        <v>3</v>
      </c>
    </row>
    <row r="190" spans="1:47" ht="12.75" hidden="1" outlineLevel="1">
      <c r="B190" s="1738" t="s">
        <v>140</v>
      </c>
      <c r="C190" s="313" t="str">
        <f>input!C556</f>
        <v>Test</v>
      </c>
      <c r="E190" s="363"/>
      <c r="F190" s="363" t="str">
        <f ca="1">input!F556</f>
        <v>N</v>
      </c>
      <c r="G190" s="363"/>
      <c r="H190" s="313">
        <f ca="1">SUMIFS(Paper!$AC$7:$AC$30,Paper!$A$7:$A$30,'Production cost'!F190)</f>
        <v>0</v>
      </c>
      <c r="I190" s="313">
        <f ca="1">IF(input!$G556&gt;0,input!$G556,3000)</f>
        <v>3000</v>
      </c>
      <c r="J190" s="313" t="s">
        <v>5</v>
      </c>
      <c r="K190" s="360">
        <v>0</v>
      </c>
      <c r="L190" s="313">
        <f ca="1">IF(input!$I556&gt;0,input!$I556,3)</f>
        <v>3</v>
      </c>
      <c r="M190" s="391">
        <f ca="1">IF(H190&gt;0,SUMIF(Data!$L$1155:$L$1190,'Production cost'!$C190,Data!$Q$1155:$Q$1190)*SUMIF(Paper!$A$7:$A$29,'Production cost'!$F190,Paper!$J$7:$J$29),0)</f>
        <v>0</v>
      </c>
      <c r="N190" s="391">
        <f ca="1">IF(H190&gt;0,ROUNDUP(((H190/I190)/$M$5+M190),1),0)</f>
        <v>0</v>
      </c>
      <c r="P190" s="313">
        <f>SUMIF(Data!$L$1155:$L$1190,'Production cost'!$C190,Data!$N$1155:$N$1190)</f>
        <v>0</v>
      </c>
      <c r="Q190" s="313">
        <f t="shared" ca="1" si="104"/>
        <v>0</v>
      </c>
      <c r="R190" s="313">
        <f ca="1">IF($E$2&gt;0,Q190/$E$2,0)</f>
        <v>0</v>
      </c>
      <c r="S190" s="1741">
        <f ca="1">IF(M190&gt;0,K190*O190+L190*P190,0)</f>
        <v>0</v>
      </c>
      <c r="T190" s="313" t="str">
        <f ca="1">input!J556</f>
        <v>N</v>
      </c>
      <c r="V190" s="3115" t="str">
        <f>input!K556</f>
        <v>Packaging</v>
      </c>
      <c r="W190" s="3115">
        <f ca="1">N190*(L190+K190)</f>
        <v>0</v>
      </c>
      <c r="X190" s="3119">
        <f>VLOOKUP(V190,'Fix Cost'!$K$177:$M$179,2,0)</f>
        <v>58449.923860467366</v>
      </c>
      <c r="Y190" s="3119">
        <f>VLOOKUP(V190,'Fix Cost'!$K$177:$M$179,3,0)</f>
        <v>267411.04680782068</v>
      </c>
      <c r="Z190" s="3119">
        <f ca="1">IFERROR($X190*W190,0)</f>
        <v>0</v>
      </c>
      <c r="AA190" s="3115">
        <f ca="1">IFERROR(Y190*N190,0)</f>
        <v>0</v>
      </c>
      <c r="AB190" s="3115">
        <f ca="1">Z190+AA190</f>
        <v>0</v>
      </c>
      <c r="AK190" s="313"/>
      <c r="AL190" s="313"/>
      <c r="AM190" s="313"/>
      <c r="AO190" s="385"/>
      <c r="AP190" s="385"/>
      <c r="AQ190" s="385"/>
      <c r="AR190" s="1048"/>
      <c r="AS190" s="385"/>
      <c r="AT190" s="879">
        <f t="shared" ca="1" si="81"/>
        <v>0</v>
      </c>
      <c r="AU190" s="879">
        <f ca="1">COUNTIFS(AT$7:$AT190,1)</f>
        <v>3</v>
      </c>
    </row>
    <row r="191" spans="1:47" ht="12.75" hidden="1" outlineLevel="1">
      <c r="B191" s="1738" t="s">
        <v>140</v>
      </c>
      <c r="C191" s="313" t="str">
        <f>input!C557</f>
        <v>Test</v>
      </c>
      <c r="E191" s="363"/>
      <c r="F191" s="363" t="str">
        <f ca="1">input!F557</f>
        <v>N</v>
      </c>
      <c r="G191" s="363"/>
      <c r="H191" s="313">
        <f ca="1">SUMIFS(Paper!$AC$7:$AC$30,Paper!$A$7:$A$30,'Production cost'!F191)</f>
        <v>0</v>
      </c>
      <c r="I191" s="313">
        <f ca="1">IF(input!$G557&gt;0,input!$G557,3000)</f>
        <v>3000</v>
      </c>
      <c r="J191" s="313" t="s">
        <v>5</v>
      </c>
      <c r="K191" s="360">
        <v>0</v>
      </c>
      <c r="L191" s="313">
        <f ca="1">IF(input!$I557&gt;0,input!$I557,3)</f>
        <v>3</v>
      </c>
      <c r="M191" s="391">
        <f ca="1">IF(H191&gt;0,SUMIF(Data!$L$1155:$L$1190,'Production cost'!$C191,Data!$Q$1155:$Q$1190)*SUMIF(Paper!$A$7:$A$29,'Production cost'!$F191,Paper!$J$7:$J$29),0)</f>
        <v>0</v>
      </c>
      <c r="N191" s="391">
        <f ca="1">IF(H191&gt;0,ROUNDUP(((H191/I191)/$M$5+M191),1),0)</f>
        <v>0</v>
      </c>
      <c r="P191" s="313">
        <f>SUMIF(Data!$L$1155:$L$1190,'Production cost'!$C191,Data!$N$1155:$N$1190)</f>
        <v>0</v>
      </c>
      <c r="Q191" s="313">
        <f t="shared" ca="1" si="104"/>
        <v>0</v>
      </c>
      <c r="R191" s="313">
        <f ca="1">IF($E$2&gt;0,Q191/$E$2,0)</f>
        <v>0</v>
      </c>
      <c r="S191" s="1741">
        <f ca="1">IF(M191&gt;0,K191*O191+L191*P191,0)</f>
        <v>0</v>
      </c>
      <c r="T191" s="313" t="str">
        <f ca="1">input!J557</f>
        <v>N</v>
      </c>
      <c r="V191" s="3115" t="str">
        <f>input!K557</f>
        <v>Packaging</v>
      </c>
      <c r="W191" s="3115">
        <f ca="1">N191*(L191+K191)</f>
        <v>0</v>
      </c>
      <c r="X191" s="3119">
        <f>VLOOKUP(V191,'Fix Cost'!$K$177:$M$179,2,0)</f>
        <v>58449.923860467366</v>
      </c>
      <c r="Y191" s="3119">
        <f>VLOOKUP(V191,'Fix Cost'!$K$177:$M$179,3,0)</f>
        <v>267411.04680782068</v>
      </c>
      <c r="Z191" s="3119">
        <f ca="1">IFERROR($X191*W191,0)</f>
        <v>0</v>
      </c>
      <c r="AA191" s="3115">
        <f ca="1">IFERROR(Y191*N191,0)</f>
        <v>0</v>
      </c>
      <c r="AB191" s="3115">
        <f ca="1">Z191+AA191</f>
        <v>0</v>
      </c>
      <c r="AK191" s="313"/>
      <c r="AL191" s="313"/>
      <c r="AM191" s="313"/>
      <c r="AO191" s="385"/>
      <c r="AP191" s="385"/>
      <c r="AQ191" s="385"/>
      <c r="AR191" s="1048"/>
      <c r="AS191" s="385"/>
      <c r="AT191" s="879">
        <f t="shared" ca="1" si="81"/>
        <v>0</v>
      </c>
      <c r="AU191" s="879">
        <f ca="1">COUNTIFS(AT$7:$AT191,1)</f>
        <v>3</v>
      </c>
    </row>
    <row r="192" spans="1:47" ht="12.75" hidden="1" outlineLevel="1">
      <c r="B192" s="1738" t="s">
        <v>140</v>
      </c>
      <c r="C192" s="313" t="str">
        <f>input!C558</f>
        <v>Test</v>
      </c>
      <c r="E192" s="363"/>
      <c r="F192" s="363" t="str">
        <f ca="1">input!F558</f>
        <v>N</v>
      </c>
      <c r="G192" s="363"/>
      <c r="H192" s="313">
        <f ca="1">SUMIFS(Paper!$AC$7:$AC$30,Paper!$A$7:$A$30,'Production cost'!F192)</f>
        <v>0</v>
      </c>
      <c r="I192" s="313">
        <f ca="1">IF(input!$G558&gt;0,input!$G558,3000)</f>
        <v>3000</v>
      </c>
      <c r="J192" s="313" t="s">
        <v>5</v>
      </c>
      <c r="K192" s="360">
        <v>0</v>
      </c>
      <c r="L192" s="313">
        <f ca="1">IF(input!$I558&gt;0,input!$I558,3)</f>
        <v>3</v>
      </c>
      <c r="M192" s="391">
        <f ca="1">IF(H192&gt;0,SUMIF(Data!$L$1155:$L$1190,'Production cost'!$C192,Data!$Q$1155:$Q$1190)*SUMIF(Paper!$A$7:$A$29,'Production cost'!$F192,Paper!$J$7:$J$29),0)</f>
        <v>0</v>
      </c>
      <c r="N192" s="391">
        <f ca="1">IF(H192&gt;0,ROUNDUP(((H192/I192)/$M$5+M192),1),0)</f>
        <v>0</v>
      </c>
      <c r="P192" s="313">
        <f>SUMIF(Data!$L$1155:$L$1190,'Production cost'!$C192,Data!$N$1155:$N$1190)</f>
        <v>0</v>
      </c>
      <c r="Q192" s="313">
        <f t="shared" ca="1" si="104"/>
        <v>0</v>
      </c>
      <c r="R192" s="313">
        <f ca="1">IF($E$2&gt;0,Q192/$E$2,0)</f>
        <v>0</v>
      </c>
      <c r="S192" s="1741">
        <f ca="1">IF(M192&gt;0,K192*O192+L192*P192,0)</f>
        <v>0</v>
      </c>
      <c r="T192" s="313" t="str">
        <f ca="1">input!J558</f>
        <v>N</v>
      </c>
      <c r="V192" s="3115" t="str">
        <f>input!K558</f>
        <v>Packaging</v>
      </c>
      <c r="W192" s="3115">
        <f ca="1">N192*(L192+K192)</f>
        <v>0</v>
      </c>
      <c r="X192" s="3119">
        <f>VLOOKUP(V192,'Fix Cost'!$K$177:$M$179,2,0)</f>
        <v>58449.923860467366</v>
      </c>
      <c r="Y192" s="3119">
        <f>VLOOKUP(V192,'Fix Cost'!$K$177:$M$179,3,0)</f>
        <v>267411.04680782068</v>
      </c>
      <c r="Z192" s="3119">
        <f ca="1">IFERROR($X192*W192,0)</f>
        <v>0</v>
      </c>
      <c r="AA192" s="3115">
        <f ca="1">IFERROR(Y192*N192,0)</f>
        <v>0</v>
      </c>
      <c r="AB192" s="3115">
        <f ca="1">Z192+AA192</f>
        <v>0</v>
      </c>
      <c r="AK192" s="313"/>
      <c r="AL192" s="313"/>
      <c r="AM192" s="313"/>
      <c r="AO192" s="385"/>
      <c r="AP192" s="385"/>
      <c r="AQ192" s="385"/>
      <c r="AR192" s="1048"/>
      <c r="AS192" s="385"/>
      <c r="AT192" s="879">
        <f t="shared" ca="1" si="81"/>
        <v>0</v>
      </c>
      <c r="AU192" s="879">
        <f ca="1">COUNTIFS(AT$7:$AT192,1)</f>
        <v>3</v>
      </c>
    </row>
    <row r="193" spans="1:47" ht="12.75" hidden="1" outlineLevel="1">
      <c r="B193" s="1738" t="s">
        <v>140</v>
      </c>
      <c r="C193" s="313" t="str">
        <f>input!C559</f>
        <v>Test</v>
      </c>
      <c r="E193" s="363"/>
      <c r="F193" s="363" t="str">
        <f ca="1">input!F559</f>
        <v>N</v>
      </c>
      <c r="G193" s="363"/>
      <c r="H193" s="313">
        <f ca="1">SUMIFS(Paper!$AC$7:$AC$30,Paper!$A$7:$A$30,'Production cost'!F193)</f>
        <v>0</v>
      </c>
      <c r="I193" s="313">
        <f ca="1">IF(input!$G559&gt;0,input!$G559,3000)</f>
        <v>3000</v>
      </c>
      <c r="J193" s="313" t="s">
        <v>5</v>
      </c>
      <c r="K193" s="360">
        <v>0</v>
      </c>
      <c r="L193" s="313">
        <f ca="1">IF(input!$I559&gt;0,input!$I559,3)</f>
        <v>3</v>
      </c>
      <c r="M193" s="391">
        <f ca="1">IF(H193&gt;0,SUMIF(Data!$L$1155:$L$1190,'Production cost'!$C193,Data!$Q$1155:$Q$1190)*SUMIF(Paper!$A$7:$A$29,'Production cost'!$F193,Paper!$J$7:$J$29),0)</f>
        <v>0</v>
      </c>
      <c r="N193" s="391">
        <f t="shared" ref="N193:N196" ca="1" si="112">IF(H193&gt;0,ROUNDUP(((H193/I193)/$M$5+M193),1),0)</f>
        <v>0</v>
      </c>
      <c r="P193" s="313">
        <f>SUMIF(Data!$L$1155:$L$1190,'Production cost'!$C193,Data!$N$1155:$N$1190)</f>
        <v>0</v>
      </c>
      <c r="Q193" s="313">
        <f t="shared" ca="1" si="104"/>
        <v>0</v>
      </c>
      <c r="R193" s="313">
        <f t="shared" ref="R193:R196" ca="1" si="113">IF($E$2&gt;0,Q193/$E$2,0)</f>
        <v>0</v>
      </c>
      <c r="S193" s="1741">
        <f t="shared" ref="S193:S196" ca="1" si="114">IF(M193&gt;0,K193*O193+L193*P193,0)</f>
        <v>0</v>
      </c>
      <c r="T193" s="313" t="str">
        <f ca="1">input!J559</f>
        <v>N</v>
      </c>
      <c r="V193" s="3115" t="str">
        <f>input!K559</f>
        <v>Packaging</v>
      </c>
      <c r="W193" s="3115">
        <f t="shared" ref="W193:W196" ca="1" si="115">N193*(L193+K193)</f>
        <v>0</v>
      </c>
      <c r="X193" s="3119">
        <f>VLOOKUP(V193,'Fix Cost'!$K$177:$M$179,2,0)</f>
        <v>58449.923860467366</v>
      </c>
      <c r="Y193" s="3119">
        <f>VLOOKUP(V193,'Fix Cost'!$K$177:$M$179,3,0)</f>
        <v>267411.04680782068</v>
      </c>
      <c r="Z193" s="3119">
        <f t="shared" ref="Z193:Z196" ca="1" si="116">IFERROR($X193*W193,0)</f>
        <v>0</v>
      </c>
      <c r="AA193" s="3115">
        <f t="shared" ref="AA193:AA196" ca="1" si="117">IFERROR(Y193*N193,0)</f>
        <v>0</v>
      </c>
      <c r="AB193" s="3115">
        <f t="shared" ref="AB193:AB196" ca="1" si="118">Z193+AA193</f>
        <v>0</v>
      </c>
      <c r="AK193" s="313"/>
      <c r="AL193" s="313"/>
      <c r="AM193" s="313"/>
      <c r="AO193" s="385"/>
      <c r="AP193" s="385"/>
      <c r="AQ193" s="385"/>
      <c r="AR193" s="1048"/>
      <c r="AS193" s="385"/>
      <c r="AT193" s="879">
        <f t="shared" ca="1" si="81"/>
        <v>0</v>
      </c>
      <c r="AU193" s="879">
        <f ca="1">COUNTIFS(AT$7:$AT193,1)</f>
        <v>3</v>
      </c>
    </row>
    <row r="194" spans="1:47" ht="12.75" hidden="1" outlineLevel="1">
      <c r="B194" s="1738" t="s">
        <v>140</v>
      </c>
      <c r="C194" s="313" t="str">
        <f>input!C560</f>
        <v>Test</v>
      </c>
      <c r="E194" s="363"/>
      <c r="F194" s="363" t="str">
        <f ca="1">input!F560</f>
        <v>N</v>
      </c>
      <c r="G194" s="363"/>
      <c r="H194" s="313">
        <f ca="1">SUMIFS(Paper!$AC$7:$AC$30,Paper!$A$7:$A$30,'Production cost'!F194)</f>
        <v>0</v>
      </c>
      <c r="I194" s="313">
        <f ca="1">IF(input!$G560&gt;0,input!$G560,3000)</f>
        <v>3000</v>
      </c>
      <c r="J194" s="313" t="s">
        <v>5</v>
      </c>
      <c r="K194" s="360">
        <v>0</v>
      </c>
      <c r="L194" s="313">
        <f ca="1">IF(input!$I560&gt;0,input!$I560,3)</f>
        <v>3</v>
      </c>
      <c r="M194" s="391">
        <f ca="1">IF(H194&gt;0,SUMIF(Data!$L$1155:$L$1190,'Production cost'!$C194,Data!$Q$1155:$Q$1190)*SUMIF(Paper!$A$7:$A$29,'Production cost'!$F194,Paper!$J$7:$J$29),0)</f>
        <v>0</v>
      </c>
      <c r="N194" s="391">
        <f t="shared" ca="1" si="112"/>
        <v>0</v>
      </c>
      <c r="P194" s="313">
        <f>SUMIF(Data!$L$1155:$L$1190,'Production cost'!$C194,Data!$N$1155:$N$1190)</f>
        <v>0</v>
      </c>
      <c r="Q194" s="313">
        <f t="shared" ca="1" si="104"/>
        <v>0</v>
      </c>
      <c r="R194" s="313">
        <f t="shared" ca="1" si="113"/>
        <v>0</v>
      </c>
      <c r="S194" s="1741">
        <f t="shared" ca="1" si="114"/>
        <v>0</v>
      </c>
      <c r="T194" s="313" t="str">
        <f ca="1">input!J560</f>
        <v>N</v>
      </c>
      <c r="V194" s="3115" t="str">
        <f>input!K560</f>
        <v>Packaging</v>
      </c>
      <c r="W194" s="3115">
        <f t="shared" ca="1" si="115"/>
        <v>0</v>
      </c>
      <c r="X194" s="3119">
        <f>VLOOKUP(V194,'Fix Cost'!$K$177:$M$179,2,0)</f>
        <v>58449.923860467366</v>
      </c>
      <c r="Y194" s="3119">
        <f>VLOOKUP(V194,'Fix Cost'!$K$177:$M$179,3,0)</f>
        <v>267411.04680782068</v>
      </c>
      <c r="Z194" s="3119">
        <f t="shared" ca="1" si="116"/>
        <v>0</v>
      </c>
      <c r="AA194" s="3115">
        <f t="shared" ca="1" si="117"/>
        <v>0</v>
      </c>
      <c r="AB194" s="3115">
        <f t="shared" ca="1" si="118"/>
        <v>0</v>
      </c>
      <c r="AK194" s="313"/>
      <c r="AL194" s="313"/>
      <c r="AM194" s="313"/>
      <c r="AO194" s="385"/>
      <c r="AP194" s="385"/>
      <c r="AQ194" s="385"/>
      <c r="AR194" s="1048"/>
      <c r="AS194" s="385"/>
      <c r="AT194" s="879">
        <f t="shared" ca="1" si="81"/>
        <v>0</v>
      </c>
      <c r="AU194" s="879">
        <f ca="1">COUNTIFS(AT$7:$AT194,1)</f>
        <v>3</v>
      </c>
    </row>
    <row r="195" spans="1:47" ht="12.75" hidden="1" outlineLevel="1">
      <c r="B195" s="1738" t="s">
        <v>140</v>
      </c>
      <c r="C195" s="313" t="str">
        <f>input!C561</f>
        <v>Test</v>
      </c>
      <c r="E195" s="363"/>
      <c r="F195" s="363" t="str">
        <f ca="1">input!F561</f>
        <v>N</v>
      </c>
      <c r="G195" s="363"/>
      <c r="H195" s="313">
        <f ca="1">SUMIFS(Paper!$AC$7:$AC$30,Paper!$A$7:$A$30,'Production cost'!F195)</f>
        <v>0</v>
      </c>
      <c r="I195" s="313">
        <f ca="1">IF(input!$G561&gt;0,input!$G561,3000)</f>
        <v>3000</v>
      </c>
      <c r="J195" s="313" t="s">
        <v>5</v>
      </c>
      <c r="K195" s="360">
        <v>0</v>
      </c>
      <c r="L195" s="313">
        <f ca="1">IF(input!$I561&gt;0,input!$I561,3)</f>
        <v>3</v>
      </c>
      <c r="M195" s="391">
        <f ca="1">IF(H195&gt;0,SUMIF(Data!$L$1155:$L$1190,'Production cost'!$C195,Data!$Q$1155:$Q$1190)*SUMIF(Paper!$A$7:$A$29,'Production cost'!$F195,Paper!$J$7:$J$29),0)</f>
        <v>0</v>
      </c>
      <c r="N195" s="391">
        <f t="shared" ca="1" si="112"/>
        <v>0</v>
      </c>
      <c r="P195" s="313">
        <f>SUMIF(Data!$L$1155:$L$1190,'Production cost'!$C195,Data!$N$1155:$N$1190)</f>
        <v>0</v>
      </c>
      <c r="Q195" s="313">
        <f t="shared" ca="1" si="104"/>
        <v>0</v>
      </c>
      <c r="R195" s="313">
        <f t="shared" ca="1" si="113"/>
        <v>0</v>
      </c>
      <c r="S195" s="1741">
        <f t="shared" ca="1" si="114"/>
        <v>0</v>
      </c>
      <c r="T195" s="313" t="str">
        <f ca="1">input!J561</f>
        <v>N</v>
      </c>
      <c r="V195" s="3115" t="str">
        <f>input!K561</f>
        <v>Packaging</v>
      </c>
      <c r="W195" s="3115">
        <f t="shared" ca="1" si="115"/>
        <v>0</v>
      </c>
      <c r="X195" s="3119">
        <f>VLOOKUP(V195,'Fix Cost'!$K$177:$M$179,2,0)</f>
        <v>58449.923860467366</v>
      </c>
      <c r="Y195" s="3119">
        <f>VLOOKUP(V195,'Fix Cost'!$K$177:$M$179,3,0)</f>
        <v>267411.04680782068</v>
      </c>
      <c r="Z195" s="3119">
        <f t="shared" ca="1" si="116"/>
        <v>0</v>
      </c>
      <c r="AA195" s="3115">
        <f t="shared" ca="1" si="117"/>
        <v>0</v>
      </c>
      <c r="AB195" s="3115">
        <f t="shared" ca="1" si="118"/>
        <v>0</v>
      </c>
      <c r="AK195" s="313"/>
      <c r="AL195" s="313"/>
      <c r="AM195" s="313"/>
      <c r="AO195" s="385"/>
      <c r="AP195" s="385"/>
      <c r="AQ195" s="385"/>
      <c r="AR195" s="1048"/>
      <c r="AS195" s="385"/>
      <c r="AT195" s="879">
        <f t="shared" ca="1" si="81"/>
        <v>0</v>
      </c>
      <c r="AU195" s="879">
        <f ca="1">COUNTIFS(AT$7:$AT195,1)</f>
        <v>3</v>
      </c>
    </row>
    <row r="196" spans="1:47" ht="12.75" hidden="1" collapsed="1">
      <c r="B196" s="1742" t="s">
        <v>140</v>
      </c>
      <c r="C196" s="1743" t="str">
        <f>input!C562</f>
        <v>Test</v>
      </c>
      <c r="D196" s="1743"/>
      <c r="E196" s="1746"/>
      <c r="F196" s="1746" t="str">
        <f ca="1">input!F562</f>
        <v>N</v>
      </c>
      <c r="G196" s="1746"/>
      <c r="H196" s="1743">
        <f ca="1">SUMIFS(Paper!$AC$7:$AC$30,Paper!$A$7:$A$30,'Production cost'!F196)</f>
        <v>0</v>
      </c>
      <c r="I196" s="1743">
        <f ca="1">IF(input!$G562&gt;0,input!$G562,3000)</f>
        <v>3000</v>
      </c>
      <c r="J196" s="1743" t="s">
        <v>5</v>
      </c>
      <c r="K196" s="1747">
        <v>0</v>
      </c>
      <c r="L196" s="1743">
        <f ca="1">IF(input!$I562&gt;0,input!$I562,3)</f>
        <v>3</v>
      </c>
      <c r="M196" s="1748">
        <f ca="1">IF(H196&gt;0,SUMIF(Data!$L$1155:$L$1190,'Production cost'!$C196,Data!$Q$1155:$Q$1190)*SUMIF(Paper!$A$7:$A$29,'Production cost'!$F196,Paper!$J$7:$J$29),0)</f>
        <v>0</v>
      </c>
      <c r="N196" s="1748">
        <f t="shared" ca="1" si="112"/>
        <v>0</v>
      </c>
      <c r="O196" s="1743"/>
      <c r="P196" s="1743">
        <f>SUMIF(Data!$L$1155:$L$1190,'Production cost'!$C196,Data!$N$1155:$N$1190)</f>
        <v>0</v>
      </c>
      <c r="Q196" s="1743">
        <f t="shared" ca="1" si="104"/>
        <v>0</v>
      </c>
      <c r="R196" s="1743">
        <f t="shared" ca="1" si="113"/>
        <v>0</v>
      </c>
      <c r="S196" s="1749">
        <f t="shared" ca="1" si="114"/>
        <v>0</v>
      </c>
      <c r="T196" s="313" t="str">
        <f ca="1">input!J562</f>
        <v>N</v>
      </c>
      <c r="V196" s="3115" t="str">
        <f>input!K562</f>
        <v>Packaging</v>
      </c>
      <c r="W196" s="3115">
        <f t="shared" ca="1" si="115"/>
        <v>0</v>
      </c>
      <c r="X196" s="3119">
        <f>VLOOKUP(V196,'Fix Cost'!$K$177:$M$179,2,0)</f>
        <v>58449.923860467366</v>
      </c>
      <c r="Y196" s="3119">
        <f>VLOOKUP(V196,'Fix Cost'!$K$177:$M$179,3,0)</f>
        <v>267411.04680782068</v>
      </c>
      <c r="Z196" s="3119">
        <f t="shared" ca="1" si="116"/>
        <v>0</v>
      </c>
      <c r="AA196" s="3115">
        <f t="shared" ca="1" si="117"/>
        <v>0</v>
      </c>
      <c r="AB196" s="3115">
        <f t="shared" ca="1" si="118"/>
        <v>0</v>
      </c>
      <c r="AK196" s="313"/>
      <c r="AL196" s="313"/>
      <c r="AM196" s="313"/>
      <c r="AO196" s="385"/>
      <c r="AP196" s="385"/>
      <c r="AQ196" s="385"/>
      <c r="AR196" s="1048"/>
      <c r="AS196" s="385"/>
      <c r="AT196" s="879">
        <f t="shared" ca="1" si="81"/>
        <v>0</v>
      </c>
      <c r="AU196" s="879">
        <f ca="1">COUNTIFS(AT$7:$AT196,1)</f>
        <v>3</v>
      </c>
    </row>
    <row r="197" spans="1:47" ht="12.75" hidden="1">
      <c r="B197" s="1269"/>
      <c r="C197" s="1269"/>
      <c r="G197" s="1270"/>
      <c r="N197" s="391"/>
      <c r="S197" s="363"/>
      <c r="AK197" s="313"/>
      <c r="AL197" s="313"/>
      <c r="AM197" s="313"/>
      <c r="AO197" s="385"/>
      <c r="AP197" s="385"/>
      <c r="AQ197" s="385"/>
      <c r="AR197" s="1048"/>
      <c r="AS197" s="385"/>
      <c r="AT197" s="879" t="str">
        <f t="shared" si="81"/>
        <v/>
      </c>
      <c r="AU197" s="879">
        <f ca="1">COUNTIFS(AT$7:$AT197,1)</f>
        <v>3</v>
      </c>
    </row>
    <row r="198" spans="1:47" ht="12.75" hidden="1" outlineLevel="1">
      <c r="A198" s="1269" t="s">
        <v>144</v>
      </c>
      <c r="B198" s="1255" t="s">
        <v>173</v>
      </c>
      <c r="C198" s="1256" t="str">
        <f>input!C566</f>
        <v>Laminated PE</v>
      </c>
      <c r="D198" s="1256"/>
      <c r="E198" s="2144"/>
      <c r="F198" s="2144" t="str">
        <f ca="1">input!F566</f>
        <v>N</v>
      </c>
      <c r="G198" s="2144"/>
      <c r="H198" s="1256">
        <f ca="1">SUMIFS(Paper!$AC$7:$AC$30,Paper!$A$7:$A$30,'Production cost'!F198)</f>
        <v>0</v>
      </c>
      <c r="I198" s="1256">
        <f ca="1">IF(input!$G566&gt;0,input!$G566,IF(OR($C198=Data!$L$1167,$C198=Data!$L$1166),500,IF($C198=Data!$L$1168,3000,IF($C198=Data!$L$1169,ROUNDDOWN(40000*60/SUMIFS(Paper!$Q$7:$Q$22,Paper!$A$7:$A$22,'Production cost'!$F198),-2),2000))))</f>
        <v>66600</v>
      </c>
      <c r="J198" s="1256" t="str">
        <f>input!$H566</f>
        <v>Sheets</v>
      </c>
      <c r="K198" s="2145">
        <v>0</v>
      </c>
      <c r="L198" s="1256">
        <f ca="1">IF(input!$I566&gt;0,input!$I566,3)</f>
        <v>3</v>
      </c>
      <c r="M198" s="2146">
        <f ca="1">IF(H198&gt;0,SUMIF(Data!$L$1155:$L$1190,'Production cost'!$C198,Data!$Q$1155:$Q$1190)*SUMIF(Paper!$A$7:$A$29,'Production cost'!$F198,Paper!$J$7:$J$29),0)</f>
        <v>0</v>
      </c>
      <c r="N198" s="2146">
        <f t="shared" ref="N198:N228" ca="1" si="119">IF(H198&gt;0,ROUNDUP(((H198/I198)/$M$5+M198),1),0)</f>
        <v>0</v>
      </c>
      <c r="O198" s="1256"/>
      <c r="P198" s="1256">
        <f>SUMIF(Data!$L$1155:$L$1190,'Production cost'!$C198,Data!$N$1155:$N$1190)</f>
        <v>64593.240854333337</v>
      </c>
      <c r="Q198" s="1256">
        <f t="shared" ref="Q198:Q229" ca="1" si="120">(N198*O198*K198+N198*P198*L198)*(1+$R$702)</f>
        <v>0</v>
      </c>
      <c r="R198" s="1256">
        <f t="shared" ref="R198:R228" ca="1" si="121">IF($E$2&gt;0,Q198/$E$2,0)</f>
        <v>0</v>
      </c>
      <c r="S198" s="1257">
        <f t="shared" ref="S198:S228" ca="1" si="122">IF(M198&gt;0,K198*O198+L198*P198,0)</f>
        <v>0</v>
      </c>
      <c r="T198" s="313" t="str">
        <f ca="1">input!J566</f>
        <v>N</v>
      </c>
      <c r="V198" s="3115" t="str">
        <f>input!K566</f>
        <v>Packaging</v>
      </c>
      <c r="W198" s="3115">
        <f t="shared" ref="W198:W257" ca="1" si="123">N198*(L198+K198)</f>
        <v>0</v>
      </c>
      <c r="X198" s="3119">
        <f>VLOOKUP(V198,'Fix Cost'!$K$177:$M$179,2,0)</f>
        <v>58449.923860467366</v>
      </c>
      <c r="Y198" s="3119">
        <f>VLOOKUP(V198,'Fix Cost'!$K$177:$M$179,3,0)</f>
        <v>267411.04680782068</v>
      </c>
      <c r="Z198" s="3119">
        <f t="shared" ref="Z198:Z257" ca="1" si="124">IFERROR($X198*W198,0)</f>
        <v>0</v>
      </c>
      <c r="AA198" s="3115">
        <f t="shared" ref="AA198:AA257" ca="1" si="125">IFERROR(Y198*N198,0)</f>
        <v>0</v>
      </c>
      <c r="AB198" s="3115">
        <f t="shared" ref="AB198:AB257" ca="1" si="126">Z198+AA198</f>
        <v>0</v>
      </c>
      <c r="AK198" s="313"/>
      <c r="AL198" s="313"/>
      <c r="AM198" s="313"/>
      <c r="AO198" s="385"/>
      <c r="AP198" s="385"/>
      <c r="AQ198" s="385"/>
      <c r="AR198" s="1048"/>
      <c r="AS198" s="385"/>
      <c r="AT198" s="879">
        <f t="shared" ca="1" si="81"/>
        <v>0</v>
      </c>
      <c r="AU198" s="879">
        <f ca="1">COUNTIFS(AT$7:$AT198,1)</f>
        <v>3</v>
      </c>
    </row>
    <row r="199" spans="1:47" ht="12.75" hidden="1" outlineLevel="1">
      <c r="A199" s="1269"/>
      <c r="B199" s="1738" t="s">
        <v>173</v>
      </c>
      <c r="C199" s="313" t="str">
        <f>input!C567</f>
        <v>Laminated PE</v>
      </c>
      <c r="E199" s="363"/>
      <c r="F199" s="363" t="str">
        <f ca="1">input!F567</f>
        <v>N</v>
      </c>
      <c r="G199" s="363"/>
      <c r="H199" s="313">
        <f ca="1">SUMIFS(Paper!$AC$7:$AC$30,Paper!$A$7:$A$30,'Production cost'!F199)</f>
        <v>0</v>
      </c>
      <c r="I199" s="313" t="e">
        <f ca="1">IF(input!$G567&gt;0,input!$G567,IF(OR($C199=Data!$L$1167,$C199=Data!$L$1166),500,IF($C199=Data!$L$1168,3000,IF($C199=Data!$L$1169,ROUNDDOWN(40000*60/SUMIFS(Paper!$O$7:$O$22,Paper!$A$7:$A$22,'Production cost'!$F199),-2),2000))))</f>
        <v>#DIV/0!</v>
      </c>
      <c r="J199" s="313" t="str">
        <f>input!$H567</f>
        <v>Sheets</v>
      </c>
      <c r="K199" s="360">
        <v>0</v>
      </c>
      <c r="L199" s="313">
        <f ca="1">IF(input!$I567&gt;0,input!$I567,3)</f>
        <v>3</v>
      </c>
      <c r="M199" s="391">
        <f ca="1">IF(H199&gt;0,SUMIF(Data!$L$1155:$L$1190,'Production cost'!$C199,Data!$Q$1155:$Q$1190)*SUMIF(Paper!$A$7:$A$29,'Production cost'!$F199,Paper!$J$7:$J$29),0)</f>
        <v>0</v>
      </c>
      <c r="N199" s="391">
        <f t="shared" ca="1" si="119"/>
        <v>0</v>
      </c>
      <c r="P199" s="313">
        <f>SUMIF(Data!$L$1155:$L$1190,'Production cost'!$C199,Data!$N$1155:$N$1190)</f>
        <v>64593.240854333337</v>
      </c>
      <c r="Q199" s="313">
        <f t="shared" ca="1" si="120"/>
        <v>0</v>
      </c>
      <c r="R199" s="313">
        <f t="shared" ca="1" si="121"/>
        <v>0</v>
      </c>
      <c r="S199" s="1741">
        <f t="shared" ca="1" si="122"/>
        <v>0</v>
      </c>
      <c r="T199" s="313" t="str">
        <f ca="1">input!J567</f>
        <v>N</v>
      </c>
      <c r="V199" s="3115" t="str">
        <f>input!K567</f>
        <v>Packaging</v>
      </c>
      <c r="W199" s="3115">
        <f t="shared" ca="1" si="123"/>
        <v>0</v>
      </c>
      <c r="X199" s="3119">
        <f>VLOOKUP(V199,'Fix Cost'!$K$177:$M$179,2,0)</f>
        <v>58449.923860467366</v>
      </c>
      <c r="Y199" s="3119">
        <f>VLOOKUP(V199,'Fix Cost'!$K$177:$M$179,3,0)</f>
        <v>267411.04680782068</v>
      </c>
      <c r="Z199" s="3119">
        <f t="shared" ca="1" si="124"/>
        <v>0</v>
      </c>
      <c r="AA199" s="3115">
        <f t="shared" ca="1" si="125"/>
        <v>0</v>
      </c>
      <c r="AB199" s="3115">
        <f t="shared" ca="1" si="126"/>
        <v>0</v>
      </c>
      <c r="AK199" s="313"/>
      <c r="AL199" s="313"/>
      <c r="AM199" s="313"/>
      <c r="AO199" s="385"/>
      <c r="AP199" s="385"/>
      <c r="AQ199" s="385"/>
      <c r="AR199" s="1048"/>
      <c r="AS199" s="385"/>
      <c r="AT199" s="879">
        <f t="shared" ca="1" si="81"/>
        <v>0</v>
      </c>
      <c r="AU199" s="879">
        <f ca="1">COUNTIFS(AT$7:$AT199,1)</f>
        <v>3</v>
      </c>
    </row>
    <row r="200" spans="1:47" ht="12.75" hidden="1" outlineLevel="1">
      <c r="A200" s="1269"/>
      <c r="B200" s="1738" t="s">
        <v>173</v>
      </c>
      <c r="C200" s="313" t="str">
        <f>input!C568</f>
        <v>Laminated PE</v>
      </c>
      <c r="E200" s="363"/>
      <c r="F200" s="363" t="str">
        <f ca="1">input!F568</f>
        <v>N</v>
      </c>
      <c r="G200" s="363"/>
      <c r="H200" s="313">
        <f ca="1">SUMIFS(Paper!$AC$7:$AC$30,Paper!$A$7:$A$30,'Production cost'!F200)</f>
        <v>0</v>
      </c>
      <c r="I200" s="313" t="e">
        <f ca="1">IF(input!$G568&gt;0,input!$G568,IF(OR($C200=Data!$L$1167,$C200=Data!$L$1166),500,IF($C200=Data!$L$1168,3000,IF($C200=Data!$L$1169,ROUNDDOWN(40000*60/SUMIFS(Paper!$O$7:$O$22,Paper!$A$7:$A$22,'Production cost'!$F200),-2),2000))))</f>
        <v>#DIV/0!</v>
      </c>
      <c r="J200" s="313" t="str">
        <f>input!$H568</f>
        <v>Sheets</v>
      </c>
      <c r="K200" s="360">
        <v>0</v>
      </c>
      <c r="L200" s="313">
        <f ca="1">IF(input!$I568&gt;0,input!$I568,3)</f>
        <v>3</v>
      </c>
      <c r="M200" s="391">
        <f ca="1">IF(H200&gt;0,SUMIF(Data!$L$1155:$L$1190,'Production cost'!$C200,Data!$Q$1155:$Q$1190)*SUMIF(Paper!$A$7:$A$29,'Production cost'!$F200,Paper!$J$7:$J$29),0)</f>
        <v>0</v>
      </c>
      <c r="N200" s="391">
        <f t="shared" ca="1" si="119"/>
        <v>0</v>
      </c>
      <c r="P200" s="313">
        <f>SUMIF(Data!$L$1155:$L$1190,'Production cost'!$C200,Data!$N$1155:$N$1190)</f>
        <v>64593.240854333337</v>
      </c>
      <c r="Q200" s="313">
        <f t="shared" ca="1" si="120"/>
        <v>0</v>
      </c>
      <c r="R200" s="313">
        <f t="shared" ca="1" si="121"/>
        <v>0</v>
      </c>
      <c r="S200" s="1741">
        <f t="shared" ca="1" si="122"/>
        <v>0</v>
      </c>
      <c r="T200" s="313" t="str">
        <f ca="1">input!J568</f>
        <v>N</v>
      </c>
      <c r="V200" s="3115" t="str">
        <f>input!K568</f>
        <v>Packaging</v>
      </c>
      <c r="W200" s="3115">
        <f t="shared" ca="1" si="123"/>
        <v>0</v>
      </c>
      <c r="X200" s="3119">
        <f>VLOOKUP(V200,'Fix Cost'!$K$177:$M$179,2,0)</f>
        <v>58449.923860467366</v>
      </c>
      <c r="Y200" s="3119">
        <f>VLOOKUP(V200,'Fix Cost'!$K$177:$M$179,3,0)</f>
        <v>267411.04680782068</v>
      </c>
      <c r="Z200" s="3119">
        <f t="shared" ca="1" si="124"/>
        <v>0</v>
      </c>
      <c r="AA200" s="3115">
        <f t="shared" ca="1" si="125"/>
        <v>0</v>
      </c>
      <c r="AB200" s="3115">
        <f t="shared" ca="1" si="126"/>
        <v>0</v>
      </c>
      <c r="AK200" s="313"/>
      <c r="AL200" s="313"/>
      <c r="AM200" s="313"/>
      <c r="AO200" s="385"/>
      <c r="AP200" s="385"/>
      <c r="AQ200" s="385"/>
      <c r="AR200" s="1048"/>
      <c r="AS200" s="385"/>
      <c r="AT200" s="879">
        <f t="shared" ca="1" si="81"/>
        <v>0</v>
      </c>
      <c r="AU200" s="879">
        <f ca="1">COUNTIFS(AT$7:$AT200,1)</f>
        <v>3</v>
      </c>
    </row>
    <row r="201" spans="1:47" ht="12.75" hidden="1" outlineLevel="1">
      <c r="A201" s="1269"/>
      <c r="B201" s="1738" t="s">
        <v>173</v>
      </c>
      <c r="C201" s="313" t="str">
        <f>input!C569</f>
        <v>Laminated PE</v>
      </c>
      <c r="E201" s="363"/>
      <c r="F201" s="363" t="str">
        <f ca="1">input!F569</f>
        <v>N</v>
      </c>
      <c r="G201" s="363"/>
      <c r="H201" s="313">
        <f ca="1">SUMIFS(Paper!$AC$7:$AC$30,Paper!$A$7:$A$30,'Production cost'!F201)</f>
        <v>0</v>
      </c>
      <c r="I201" s="313" t="e">
        <f ca="1">IF(input!$G569&gt;0,input!$G569,IF(OR($C201=Data!$L$1167,$C201=Data!$L$1166),500,IF($C201=Data!$L$1168,3000,IF($C201=Data!$L$1169,ROUNDDOWN(40000*60/SUMIFS(Paper!$O$7:$O$21,Paper!$A$7:$A$21,'Production cost'!$F201),-2),2000))))</f>
        <v>#DIV/0!</v>
      </c>
      <c r="J201" s="313" t="str">
        <f>input!$H569</f>
        <v>Sheets</v>
      </c>
      <c r="K201" s="360">
        <v>0</v>
      </c>
      <c r="L201" s="313">
        <f ca="1">IF(input!$I569&gt;0,input!$I569,3)</f>
        <v>3</v>
      </c>
      <c r="M201" s="391">
        <f ca="1">IF(H201&gt;0,SUMIF(Data!$L$1155:$L$1190,'Production cost'!$C201,Data!$Q$1155:$Q$1190)*SUMIF(Paper!$A$7:$A$29,'Production cost'!$F201,Paper!$J$7:$J$29),0)</f>
        <v>0</v>
      </c>
      <c r="N201" s="391">
        <f t="shared" ca="1" si="119"/>
        <v>0</v>
      </c>
      <c r="P201" s="313">
        <f>SUMIF(Data!$L$1155:$L$1190,'Production cost'!$C201,Data!$N$1155:$N$1190)</f>
        <v>64593.240854333337</v>
      </c>
      <c r="Q201" s="313">
        <f t="shared" ca="1" si="120"/>
        <v>0</v>
      </c>
      <c r="R201" s="313">
        <f t="shared" ca="1" si="121"/>
        <v>0</v>
      </c>
      <c r="S201" s="1741">
        <f t="shared" ca="1" si="122"/>
        <v>0</v>
      </c>
      <c r="T201" s="313" t="str">
        <f ca="1">input!J569</f>
        <v>N</v>
      </c>
      <c r="V201" s="3115" t="str">
        <f>input!K569</f>
        <v>Packaging</v>
      </c>
      <c r="W201" s="3115">
        <f t="shared" ca="1" si="123"/>
        <v>0</v>
      </c>
      <c r="X201" s="3119">
        <f>VLOOKUP(V201,'Fix Cost'!$K$177:$M$179,2,0)</f>
        <v>58449.923860467366</v>
      </c>
      <c r="Y201" s="3119">
        <f>VLOOKUP(V201,'Fix Cost'!$K$177:$M$179,3,0)</f>
        <v>267411.04680782068</v>
      </c>
      <c r="Z201" s="3119">
        <f t="shared" ca="1" si="124"/>
        <v>0</v>
      </c>
      <c r="AA201" s="3115">
        <f t="shared" ca="1" si="125"/>
        <v>0</v>
      </c>
      <c r="AB201" s="3115">
        <f t="shared" ca="1" si="126"/>
        <v>0</v>
      </c>
      <c r="AK201" s="313"/>
      <c r="AL201" s="313"/>
      <c r="AM201" s="313"/>
      <c r="AO201" s="385"/>
      <c r="AP201" s="385"/>
      <c r="AQ201" s="385"/>
      <c r="AR201" s="1048"/>
      <c r="AS201" s="385"/>
      <c r="AT201" s="879">
        <f t="shared" ca="1" si="81"/>
        <v>0</v>
      </c>
      <c r="AU201" s="879">
        <f ca="1">COUNTIFS(AT$7:$AT201,1)</f>
        <v>3</v>
      </c>
    </row>
    <row r="202" spans="1:47" ht="12.75" hidden="1" outlineLevel="1">
      <c r="A202" s="1269"/>
      <c r="B202" s="1738" t="s">
        <v>173</v>
      </c>
      <c r="C202" s="313" t="str">
        <f>input!C570</f>
        <v>Laminated PE</v>
      </c>
      <c r="E202" s="363"/>
      <c r="F202" s="363" t="str">
        <f ca="1">input!F570</f>
        <v>N</v>
      </c>
      <c r="G202" s="363"/>
      <c r="H202" s="313">
        <f ca="1">SUMIFS(Paper!$AC$7:$AC$30,Paper!$A$7:$A$30,'Production cost'!F202)</f>
        <v>0</v>
      </c>
      <c r="I202" s="313" t="e">
        <f ca="1">IF(input!$G570&gt;0,input!$G570,IF(OR($C202=Data!$L$1167,$C202=Data!$L$1166),500,IF($C202=Data!$L$1168,3000,IF($C202=Data!$L$1169,ROUNDDOWN(40000*60/SUMIFS(Paper!$O$7:$O$21,Paper!$A$7:$A$21,'Production cost'!$F202),-2),2000))))</f>
        <v>#DIV/0!</v>
      </c>
      <c r="J202" s="313" t="str">
        <f>input!$H570</f>
        <v>Sheets</v>
      </c>
      <c r="K202" s="360">
        <v>0</v>
      </c>
      <c r="L202" s="313">
        <f ca="1">IF(input!$I570&gt;0,input!$I570,3)</f>
        <v>3</v>
      </c>
      <c r="M202" s="391">
        <f ca="1">IF(H202&gt;0,SUMIF(Data!$L$1155:$L$1190,'Production cost'!$C202,Data!$Q$1155:$Q$1190)*SUMIF(Paper!$A$7:$A$29,'Production cost'!$F202,Paper!$J$7:$J$29),0)</f>
        <v>0</v>
      </c>
      <c r="N202" s="391">
        <f t="shared" ca="1" si="119"/>
        <v>0</v>
      </c>
      <c r="P202" s="313">
        <f>SUMIF(Data!$L$1155:$L$1190,'Production cost'!$C202,Data!$N$1155:$N$1190)</f>
        <v>64593.240854333337</v>
      </c>
      <c r="Q202" s="313">
        <f t="shared" ca="1" si="120"/>
        <v>0</v>
      </c>
      <c r="R202" s="313">
        <f t="shared" ca="1" si="121"/>
        <v>0</v>
      </c>
      <c r="S202" s="1741">
        <f t="shared" ca="1" si="122"/>
        <v>0</v>
      </c>
      <c r="T202" s="313" t="str">
        <f ca="1">input!J570</f>
        <v>N</v>
      </c>
      <c r="V202" s="3115" t="str">
        <f>input!K570</f>
        <v>Packaging</v>
      </c>
      <c r="W202" s="3115">
        <f t="shared" ca="1" si="123"/>
        <v>0</v>
      </c>
      <c r="X202" s="3119">
        <f>VLOOKUP(V202,'Fix Cost'!$K$177:$M$179,2,0)</f>
        <v>58449.923860467366</v>
      </c>
      <c r="Y202" s="3119">
        <f>VLOOKUP(V202,'Fix Cost'!$K$177:$M$179,3,0)</f>
        <v>267411.04680782068</v>
      </c>
      <c r="Z202" s="3119">
        <f t="shared" ca="1" si="124"/>
        <v>0</v>
      </c>
      <c r="AA202" s="3115">
        <f t="shared" ca="1" si="125"/>
        <v>0</v>
      </c>
      <c r="AB202" s="3115">
        <f t="shared" ca="1" si="126"/>
        <v>0</v>
      </c>
      <c r="AK202" s="313"/>
      <c r="AL202" s="313"/>
      <c r="AM202" s="313"/>
      <c r="AO202" s="385"/>
      <c r="AP202" s="385"/>
      <c r="AQ202" s="385"/>
      <c r="AR202" s="1048"/>
      <c r="AS202" s="385"/>
      <c r="AT202" s="879">
        <f t="shared" ca="1" si="81"/>
        <v>0</v>
      </c>
      <c r="AU202" s="879">
        <f ca="1">COUNTIFS(AT$7:$AT202,1)</f>
        <v>3</v>
      </c>
    </row>
    <row r="203" spans="1:47" ht="12.75" hidden="1" outlineLevel="1">
      <c r="A203" s="1269"/>
      <c r="B203" s="1738" t="s">
        <v>173</v>
      </c>
      <c r="C203" s="313" t="str">
        <f>input!C571</f>
        <v>Laminated PE</v>
      </c>
      <c r="E203" s="363"/>
      <c r="F203" s="363" t="str">
        <f ca="1">input!F571</f>
        <v>N</v>
      </c>
      <c r="G203" s="363"/>
      <c r="H203" s="313">
        <f ca="1">SUMIFS(Paper!$AC$7:$AC$30,Paper!$A$7:$A$30,'Production cost'!F203)</f>
        <v>0</v>
      </c>
      <c r="I203" s="313" t="e">
        <f ca="1">IF(input!$G571&gt;0,input!$G571,IF(OR($C203=Data!$L$1167,$C203=Data!$L$1166),500,IF($C203=Data!$L$1168,3000,IF($C203=Data!$L$1169,ROUNDDOWN(40000*60/SUMIFS(Paper!$O$7:$O$21,Paper!$A$7:$A$21,'Production cost'!$F203),-2),2000))))</f>
        <v>#DIV/0!</v>
      </c>
      <c r="J203" s="313" t="str">
        <f>input!$H571</f>
        <v>Sheets</v>
      </c>
      <c r="K203" s="360">
        <v>0</v>
      </c>
      <c r="L203" s="313">
        <f ca="1">IF(input!$I571&gt;0,input!$I571,3)</f>
        <v>3</v>
      </c>
      <c r="M203" s="391">
        <f ca="1">IF(H203&gt;0,SUMIF(Data!$L$1155:$L$1190,'Production cost'!$C203,Data!$Q$1155:$Q$1190)*SUMIF(Paper!$A$7:$A$29,'Production cost'!$F203,Paper!$J$7:$J$29),0)</f>
        <v>0</v>
      </c>
      <c r="N203" s="391">
        <f ca="1">IF(H203&gt;0,ROUNDUP(((H203/I203)/$M$5+M203),1),0)</f>
        <v>0</v>
      </c>
      <c r="P203" s="313">
        <f>SUMIF(Data!$L$1155:$L$1190,'Production cost'!$C203,Data!$N$1155:$N$1190)</f>
        <v>64593.240854333337</v>
      </c>
      <c r="Q203" s="313">
        <f t="shared" ca="1" si="120"/>
        <v>0</v>
      </c>
      <c r="R203" s="313">
        <f ca="1">IF($E$2&gt;0,Q203/$E$2,0)</f>
        <v>0</v>
      </c>
      <c r="S203" s="1741">
        <f ca="1">IF(M203&gt;0,K203*O203+L203*P203,0)</f>
        <v>0</v>
      </c>
      <c r="T203" s="313" t="str">
        <f ca="1">input!J571</f>
        <v>N</v>
      </c>
      <c r="V203" s="3115" t="str">
        <f>input!K571</f>
        <v>Packaging</v>
      </c>
      <c r="W203" s="3115">
        <f ca="1">N203*(L203+K203)</f>
        <v>0</v>
      </c>
      <c r="X203" s="3119">
        <f>VLOOKUP(V203,'Fix Cost'!$K$177:$M$179,2,0)</f>
        <v>58449.923860467366</v>
      </c>
      <c r="Y203" s="3119">
        <f>VLOOKUP(V203,'Fix Cost'!$K$177:$M$179,3,0)</f>
        <v>267411.04680782068</v>
      </c>
      <c r="Z203" s="3119">
        <f ca="1">IFERROR($X203*W203,0)</f>
        <v>0</v>
      </c>
      <c r="AA203" s="3115">
        <f ca="1">IFERROR(Y203*N203,0)</f>
        <v>0</v>
      </c>
      <c r="AB203" s="3115">
        <f ca="1">Z203+AA203</f>
        <v>0</v>
      </c>
      <c r="AK203" s="313"/>
      <c r="AL203" s="313"/>
      <c r="AM203" s="313"/>
      <c r="AO203" s="385"/>
      <c r="AP203" s="385"/>
      <c r="AQ203" s="385"/>
      <c r="AR203" s="1048"/>
      <c r="AS203" s="385"/>
      <c r="AT203" s="879">
        <f t="shared" ca="1" si="81"/>
        <v>0</v>
      </c>
      <c r="AU203" s="879">
        <f ca="1">COUNTIFS(AT$7:$AT203,1)</f>
        <v>3</v>
      </c>
    </row>
    <row r="204" spans="1:47" ht="12.75" hidden="1" outlineLevel="1">
      <c r="A204" s="1269"/>
      <c r="B204" s="1738" t="s">
        <v>173</v>
      </c>
      <c r="C204" s="313" t="str">
        <f>input!C572</f>
        <v>Laminated PE</v>
      </c>
      <c r="E204" s="363"/>
      <c r="F204" s="363" t="str">
        <f ca="1">input!F572</f>
        <v>N</v>
      </c>
      <c r="G204" s="363"/>
      <c r="H204" s="313">
        <f ca="1">SUMIFS(Paper!$AC$7:$AC$30,Paper!$A$7:$A$30,'Production cost'!F204)</f>
        <v>0</v>
      </c>
      <c r="I204" s="313" t="e">
        <f ca="1">IF(input!$G572&gt;0,input!$G572,IF(OR($C204=Data!$L$1167,$C204=Data!$L$1166),500,IF($C204=Data!$L$1168,3000,IF($C204=Data!$L$1169,ROUNDDOWN(40000*60/SUMIFS(Paper!$O$7:$O$21,Paper!$A$7:$A$21,'Production cost'!$F204),-2),2000))))</f>
        <v>#DIV/0!</v>
      </c>
      <c r="J204" s="313" t="str">
        <f>input!$H572</f>
        <v>Sheets</v>
      </c>
      <c r="K204" s="360">
        <v>0</v>
      </c>
      <c r="L204" s="313">
        <f ca="1">IF(input!$I572&gt;0,input!$I572,3)</f>
        <v>3</v>
      </c>
      <c r="M204" s="391">
        <f ca="1">IF(H204&gt;0,SUMIF(Data!$L$1155:$L$1190,'Production cost'!$C204,Data!$Q$1155:$Q$1190)*SUMIF(Paper!$A$7:$A$29,'Production cost'!$F204,Paper!$J$7:$J$29),0)</f>
        <v>0</v>
      </c>
      <c r="N204" s="391">
        <f ca="1">IF(H204&gt;0,ROUNDUP(((H204/I204)/$M$5+M204),1),0)</f>
        <v>0</v>
      </c>
      <c r="P204" s="313">
        <f>SUMIF(Data!$L$1155:$L$1190,'Production cost'!$C204,Data!$N$1155:$N$1190)</f>
        <v>64593.240854333337</v>
      </c>
      <c r="Q204" s="313">
        <f t="shared" ca="1" si="120"/>
        <v>0</v>
      </c>
      <c r="R204" s="313">
        <f ca="1">IF($E$2&gt;0,Q204/$E$2,0)</f>
        <v>0</v>
      </c>
      <c r="S204" s="1741">
        <f ca="1">IF(M204&gt;0,K204*O204+L204*P204,0)</f>
        <v>0</v>
      </c>
      <c r="T204" s="313" t="str">
        <f ca="1">input!J572</f>
        <v>N</v>
      </c>
      <c r="V204" s="3115" t="str">
        <f>input!K572</f>
        <v>Packaging</v>
      </c>
      <c r="W204" s="3115">
        <f ca="1">N204*(L204+K204)</f>
        <v>0</v>
      </c>
      <c r="X204" s="3119">
        <f>VLOOKUP(V204,'Fix Cost'!$K$177:$M$179,2,0)</f>
        <v>58449.923860467366</v>
      </c>
      <c r="Y204" s="3119">
        <f>VLOOKUP(V204,'Fix Cost'!$K$177:$M$179,3,0)</f>
        <v>267411.04680782068</v>
      </c>
      <c r="Z204" s="3119">
        <f ca="1">IFERROR($X204*W204,0)</f>
        <v>0</v>
      </c>
      <c r="AA204" s="3115">
        <f ca="1">IFERROR(Y204*N204,0)</f>
        <v>0</v>
      </c>
      <c r="AB204" s="3115">
        <f ca="1">Z204+AA204</f>
        <v>0</v>
      </c>
      <c r="AK204" s="313"/>
      <c r="AL204" s="313"/>
      <c r="AM204" s="313"/>
      <c r="AO204" s="385"/>
      <c r="AP204" s="385"/>
      <c r="AQ204" s="385"/>
      <c r="AR204" s="1048"/>
      <c r="AS204" s="385"/>
      <c r="AT204" s="879">
        <f t="shared" ca="1" si="81"/>
        <v>0</v>
      </c>
      <c r="AU204" s="879">
        <f ca="1">COUNTIFS(AT$7:$AT204,1)</f>
        <v>3</v>
      </c>
    </row>
    <row r="205" spans="1:47" ht="12.75" hidden="1" outlineLevel="1">
      <c r="A205" s="1269"/>
      <c r="B205" s="1738" t="s">
        <v>173</v>
      </c>
      <c r="C205" s="313" t="str">
        <f>input!C573</f>
        <v>Laminated PE</v>
      </c>
      <c r="E205" s="363"/>
      <c r="F205" s="363" t="str">
        <f ca="1">input!F573</f>
        <v>N</v>
      </c>
      <c r="G205" s="363"/>
      <c r="H205" s="313">
        <f ca="1">SUMIFS(Paper!$AC$7:$AC$30,Paper!$A$7:$A$30,'Production cost'!F205)</f>
        <v>0</v>
      </c>
      <c r="I205" s="313" t="e">
        <f ca="1">IF(input!$G573&gt;0,input!$G573,IF(OR($C205=Data!$L$1167,$C205=Data!$L$1166),500,IF($C205=Data!$L$1168,3000,IF($C205=Data!$L$1169,ROUNDDOWN(40000*60/SUMIFS(Paper!$O$7:$O$21,Paper!$A$7:$A$21,'Production cost'!$F205),-2),2000))))</f>
        <v>#DIV/0!</v>
      </c>
      <c r="J205" s="313" t="str">
        <f>input!$H573</f>
        <v>Sheets</v>
      </c>
      <c r="K205" s="360">
        <v>0</v>
      </c>
      <c r="L205" s="313">
        <f ca="1">IF(input!$I573&gt;0,input!$I573,3)</f>
        <v>3</v>
      </c>
      <c r="M205" s="391">
        <f ca="1">IF(H205&gt;0,SUMIF(Data!$L$1155:$L$1190,'Production cost'!$C205,Data!$Q$1155:$Q$1190)*SUMIF(Paper!$A$7:$A$29,'Production cost'!$F205,Paper!$J$7:$J$29),0)</f>
        <v>0</v>
      </c>
      <c r="N205" s="391">
        <f ca="1">IF(H205&gt;0,ROUNDUP(((H205/I205)/$M$5+M205),1),0)</f>
        <v>0</v>
      </c>
      <c r="P205" s="313">
        <f>SUMIF(Data!$L$1155:$L$1190,'Production cost'!$C205,Data!$N$1155:$N$1190)</f>
        <v>64593.240854333337</v>
      </c>
      <c r="Q205" s="313">
        <f t="shared" ca="1" si="120"/>
        <v>0</v>
      </c>
      <c r="R205" s="313">
        <f ca="1">IF($E$2&gt;0,Q205/$E$2,0)</f>
        <v>0</v>
      </c>
      <c r="S205" s="1741">
        <f ca="1">IF(M205&gt;0,K205*O205+L205*P205,0)</f>
        <v>0</v>
      </c>
      <c r="T205" s="313" t="str">
        <f ca="1">input!J573</f>
        <v>N</v>
      </c>
      <c r="V205" s="3115" t="str">
        <f>input!K573</f>
        <v>Packaging</v>
      </c>
      <c r="W205" s="3115">
        <f ca="1">N205*(L205+K205)</f>
        <v>0</v>
      </c>
      <c r="X205" s="3119">
        <f>VLOOKUP(V205,'Fix Cost'!$K$177:$M$179,2,0)</f>
        <v>58449.923860467366</v>
      </c>
      <c r="Y205" s="3119">
        <f>VLOOKUP(V205,'Fix Cost'!$K$177:$M$179,3,0)</f>
        <v>267411.04680782068</v>
      </c>
      <c r="Z205" s="3119">
        <f ca="1">IFERROR($X205*W205,0)</f>
        <v>0</v>
      </c>
      <c r="AA205" s="3115">
        <f ca="1">IFERROR(Y205*N205,0)</f>
        <v>0</v>
      </c>
      <c r="AB205" s="3115">
        <f ca="1">Z205+AA205</f>
        <v>0</v>
      </c>
      <c r="AK205" s="313"/>
      <c r="AL205" s="313"/>
      <c r="AM205" s="313"/>
      <c r="AO205" s="385"/>
      <c r="AP205" s="385"/>
      <c r="AQ205" s="385"/>
      <c r="AR205" s="1048"/>
      <c r="AS205" s="385"/>
      <c r="AT205" s="879">
        <f t="shared" ref="AT205:AT268" ca="1" si="127">IF(ISNUMBER(R205),IF(R205&lt;&gt;0,IF(ISNUMBER(SEARCH("to",J205)),0,1),0),"")</f>
        <v>0</v>
      </c>
      <c r="AU205" s="879">
        <f ca="1">COUNTIFS(AT$7:$AT205,1)</f>
        <v>3</v>
      </c>
    </row>
    <row r="206" spans="1:47" ht="12.75" hidden="1" outlineLevel="1">
      <c r="A206" s="1269"/>
      <c r="B206" s="1738" t="s">
        <v>173</v>
      </c>
      <c r="C206" s="313" t="str">
        <f>input!C574</f>
        <v>Laminated PE</v>
      </c>
      <c r="E206" s="363"/>
      <c r="F206" s="363" t="str">
        <f ca="1">input!F574</f>
        <v>N</v>
      </c>
      <c r="G206" s="363"/>
      <c r="H206" s="313">
        <f ca="1">SUMIFS(Paper!$AC$7:$AC$30,Paper!$A$7:$A$30,'Production cost'!F206)</f>
        <v>0</v>
      </c>
      <c r="I206" s="313" t="e">
        <f ca="1">IF(input!$G574&gt;0,input!$G574,IF(OR($C206=Data!$L$1167,$C206=Data!$L$1166),500,IF($C206=Data!$L$1168,3000,IF($C206=Data!$L$1169,ROUNDDOWN(40000*60/SUMIFS(Paper!$O$7:$O$21,Paper!$A$7:$A$21,'Production cost'!$F206),-2),2000))))</f>
        <v>#DIV/0!</v>
      </c>
      <c r="J206" s="313" t="str">
        <f>input!$H574</f>
        <v>Sheets</v>
      </c>
      <c r="K206" s="360">
        <v>0</v>
      </c>
      <c r="L206" s="313">
        <f ca="1">IF(input!$I574&gt;0,input!$I574,3)</f>
        <v>3</v>
      </c>
      <c r="M206" s="391">
        <f ca="1">IF(H206&gt;0,SUMIF(Data!$L$1155:$L$1190,'Production cost'!$C206,Data!$Q$1155:$Q$1190)*SUMIF(Paper!$A$7:$A$29,'Production cost'!$F206,Paper!$J$7:$J$29),0)</f>
        <v>0</v>
      </c>
      <c r="N206" s="391">
        <f ca="1">IF(H206&gt;0,ROUNDUP(((H206/I206)/$M$5+M206),1),0)</f>
        <v>0</v>
      </c>
      <c r="P206" s="313">
        <f>SUMIF(Data!$L$1155:$L$1190,'Production cost'!$C206,Data!$N$1155:$N$1190)</f>
        <v>64593.240854333337</v>
      </c>
      <c r="Q206" s="313">
        <f t="shared" ca="1" si="120"/>
        <v>0</v>
      </c>
      <c r="R206" s="313">
        <f ca="1">IF($E$2&gt;0,Q206/$E$2,0)</f>
        <v>0</v>
      </c>
      <c r="S206" s="1741">
        <f ca="1">IF(M206&gt;0,K206*O206+L206*P206,0)</f>
        <v>0</v>
      </c>
      <c r="T206" s="313" t="str">
        <f ca="1">input!J574</f>
        <v>N</v>
      </c>
      <c r="V206" s="3115" t="str">
        <f>input!K574</f>
        <v>Packaging</v>
      </c>
      <c r="W206" s="3115">
        <f ca="1">N206*(L206+K206)</f>
        <v>0</v>
      </c>
      <c r="X206" s="3119">
        <f>VLOOKUP(V206,'Fix Cost'!$K$177:$M$179,2,0)</f>
        <v>58449.923860467366</v>
      </c>
      <c r="Y206" s="3119">
        <f>VLOOKUP(V206,'Fix Cost'!$K$177:$M$179,3,0)</f>
        <v>267411.04680782068</v>
      </c>
      <c r="Z206" s="3119">
        <f ca="1">IFERROR($X206*W206,0)</f>
        <v>0</v>
      </c>
      <c r="AA206" s="3115">
        <f ca="1">IFERROR(Y206*N206,0)</f>
        <v>0</v>
      </c>
      <c r="AB206" s="3115">
        <f ca="1">Z206+AA206</f>
        <v>0</v>
      </c>
      <c r="AK206" s="313"/>
      <c r="AL206" s="313"/>
      <c r="AM206" s="313"/>
      <c r="AO206" s="385"/>
      <c r="AP206" s="385"/>
      <c r="AQ206" s="385"/>
      <c r="AR206" s="1048"/>
      <c r="AS206" s="385"/>
      <c r="AT206" s="879">
        <f t="shared" ca="1" si="127"/>
        <v>0</v>
      </c>
      <c r="AU206" s="879">
        <f ca="1">COUNTIFS(AT$7:$AT206,1)</f>
        <v>3</v>
      </c>
    </row>
    <row r="207" spans="1:47" ht="12.75" hidden="1" outlineLevel="1">
      <c r="A207" s="1269"/>
      <c r="B207" s="1738" t="s">
        <v>173</v>
      </c>
      <c r="C207" s="313" t="str">
        <f>input!C575</f>
        <v>Laminated PE</v>
      </c>
      <c r="E207" s="363"/>
      <c r="F207" s="363" t="str">
        <f ca="1">input!F575</f>
        <v>N</v>
      </c>
      <c r="G207" s="363"/>
      <c r="H207" s="313">
        <f ca="1">SUMIFS(Paper!$AC$7:$AC$30,Paper!$A$7:$A$30,'Production cost'!F207)</f>
        <v>0</v>
      </c>
      <c r="I207" s="313" t="e">
        <f ca="1">IF(input!$G575&gt;0,input!$G575,IF(OR($C207=Data!$L$1167,$C207=Data!$L$1166),500,IF($C207=Data!$L$1168,3000,IF($C207=Data!$L$1169,ROUNDDOWN(40000*60/SUMIFS(Paper!$O$7:$O$21,Paper!$A$7:$A$21,'Production cost'!$F207),-2),2000))))</f>
        <v>#DIV/0!</v>
      </c>
      <c r="J207" s="313" t="str">
        <f>input!$H575</f>
        <v>Sheets</v>
      </c>
      <c r="K207" s="360">
        <v>0</v>
      </c>
      <c r="L207" s="313">
        <f ca="1">IF(input!$I575&gt;0,input!$I575,3)</f>
        <v>3</v>
      </c>
      <c r="M207" s="391">
        <f ca="1">IF(H207&gt;0,SUMIF(Data!$L$1155:$L$1190,'Production cost'!$C207,Data!$Q$1155:$Q$1190)*SUMIF(Paper!$A$7:$A$29,'Production cost'!$F207,Paper!$J$7:$J$29),0)</f>
        <v>0</v>
      </c>
      <c r="N207" s="391">
        <f ca="1">IF(H207&gt;0,ROUNDUP(((H207/I207)/$M$5+M207),1),0)</f>
        <v>0</v>
      </c>
      <c r="P207" s="313">
        <f>SUMIF(Data!$L$1155:$L$1190,'Production cost'!$C207,Data!$N$1155:$N$1190)</f>
        <v>64593.240854333337</v>
      </c>
      <c r="Q207" s="313">
        <f t="shared" ca="1" si="120"/>
        <v>0</v>
      </c>
      <c r="R207" s="313">
        <f ca="1">IF($E$2&gt;0,Q207/$E$2,0)</f>
        <v>0</v>
      </c>
      <c r="S207" s="1741">
        <f ca="1">IF(M207&gt;0,K207*O207+L207*P207,0)</f>
        <v>0</v>
      </c>
      <c r="T207" s="313" t="str">
        <f ca="1">input!J575</f>
        <v>N</v>
      </c>
      <c r="V207" s="3115" t="str">
        <f>input!K575</f>
        <v>Packaging</v>
      </c>
      <c r="W207" s="3115">
        <f ca="1">N207*(L207+K207)</f>
        <v>0</v>
      </c>
      <c r="X207" s="3119">
        <f>VLOOKUP(V207,'Fix Cost'!$K$177:$M$179,2,0)</f>
        <v>58449.923860467366</v>
      </c>
      <c r="Y207" s="3119">
        <f>VLOOKUP(V207,'Fix Cost'!$K$177:$M$179,3,0)</f>
        <v>267411.04680782068</v>
      </c>
      <c r="Z207" s="3119">
        <f ca="1">IFERROR($X207*W207,0)</f>
        <v>0</v>
      </c>
      <c r="AA207" s="3115">
        <f ca="1">IFERROR(Y207*N207,0)</f>
        <v>0</v>
      </c>
      <c r="AB207" s="3115">
        <f ca="1">Z207+AA207</f>
        <v>0</v>
      </c>
      <c r="AK207" s="313"/>
      <c r="AL207" s="313"/>
      <c r="AM207" s="313"/>
      <c r="AO207" s="385"/>
      <c r="AP207" s="385"/>
      <c r="AQ207" s="385"/>
      <c r="AR207" s="1048"/>
      <c r="AS207" s="385"/>
      <c r="AT207" s="879">
        <f t="shared" ca="1" si="127"/>
        <v>0</v>
      </c>
      <c r="AU207" s="879">
        <f ca="1">COUNTIFS(AT$7:$AT207,1)</f>
        <v>3</v>
      </c>
    </row>
    <row r="208" spans="1:47" ht="12.75" hidden="1" outlineLevel="1">
      <c r="A208" s="1269"/>
      <c r="B208" s="1738" t="s">
        <v>173</v>
      </c>
      <c r="C208" s="313" t="str">
        <f>input!C576</f>
        <v>Laminated PE</v>
      </c>
      <c r="E208" s="363"/>
      <c r="F208" s="363" t="str">
        <f ca="1">input!F576</f>
        <v>N</v>
      </c>
      <c r="G208" s="363"/>
      <c r="H208" s="313">
        <f ca="1">SUMIFS(Paper!$AC$7:$AC$30,Paper!$A$7:$A$30,'Production cost'!F208)</f>
        <v>0</v>
      </c>
      <c r="I208" s="313" t="e">
        <f ca="1">IF(input!$G576&gt;0,input!$G576,IF(OR($C208=Data!$L$1167,$C208=Data!$L$1166),500,IF($C208=Data!$L$1168,3000,IF($C208=Data!$L$1169,ROUNDDOWN(40000*60/SUMIFS(Paper!$O$7:$O$21,Paper!$A$7:$A$21,'Production cost'!$F208),-2),2000))))</f>
        <v>#DIV/0!</v>
      </c>
      <c r="J208" s="313" t="str">
        <f>input!$H576</f>
        <v>Sheets</v>
      </c>
      <c r="K208" s="360">
        <v>0</v>
      </c>
      <c r="L208" s="313">
        <f ca="1">IF(input!$I576&gt;0,input!$I576,3)</f>
        <v>3</v>
      </c>
      <c r="M208" s="391">
        <f ca="1">IF(H208&gt;0,SUMIF(Data!$L$1155:$L$1190,'Production cost'!$C208,Data!$Q$1155:$Q$1190)*SUMIF(Paper!$A$7:$A$29,'Production cost'!$F208,Paper!$J$7:$J$29),0)</f>
        <v>0</v>
      </c>
      <c r="N208" s="391">
        <f t="shared" ref="N208:N212" ca="1" si="128">IF(H208&gt;0,ROUNDUP(((H208/I208)/$M$5+M208),1),0)</f>
        <v>0</v>
      </c>
      <c r="P208" s="313">
        <f>SUMIF(Data!$L$1155:$L$1190,'Production cost'!$C208,Data!$N$1155:$N$1190)</f>
        <v>64593.240854333337</v>
      </c>
      <c r="Q208" s="313">
        <f t="shared" ca="1" si="120"/>
        <v>0</v>
      </c>
      <c r="R208" s="313">
        <f t="shared" ref="R208:R212" ca="1" si="129">IF($E$2&gt;0,Q208/$E$2,0)</f>
        <v>0</v>
      </c>
      <c r="S208" s="1741">
        <f t="shared" ref="S208:S212" ca="1" si="130">IF(M208&gt;0,K208*O208+L208*P208,0)</f>
        <v>0</v>
      </c>
      <c r="T208" s="313" t="str">
        <f ca="1">input!J576</f>
        <v>N</v>
      </c>
      <c r="V208" s="3115" t="str">
        <f>input!K576</f>
        <v>Packaging</v>
      </c>
      <c r="W208" s="3115">
        <f t="shared" ref="W208:W212" ca="1" si="131">N208*(L208+K208)</f>
        <v>0</v>
      </c>
      <c r="X208" s="3119">
        <f>VLOOKUP(V208,'Fix Cost'!$K$177:$M$179,2,0)</f>
        <v>58449.923860467366</v>
      </c>
      <c r="Y208" s="3119">
        <f>VLOOKUP(V208,'Fix Cost'!$K$177:$M$179,3,0)</f>
        <v>267411.04680782068</v>
      </c>
      <c r="Z208" s="3119">
        <f t="shared" ref="Z208:Z212" ca="1" si="132">IFERROR($X208*W208,0)</f>
        <v>0</v>
      </c>
      <c r="AA208" s="3115">
        <f t="shared" ref="AA208:AA212" ca="1" si="133">IFERROR(Y208*N208,0)</f>
        <v>0</v>
      </c>
      <c r="AB208" s="3115">
        <f t="shared" ref="AB208:AB212" ca="1" si="134">Z208+AA208</f>
        <v>0</v>
      </c>
      <c r="AK208" s="313"/>
      <c r="AL208" s="313"/>
      <c r="AM208" s="313"/>
      <c r="AO208" s="385"/>
      <c r="AP208" s="385"/>
      <c r="AQ208" s="385"/>
      <c r="AR208" s="1048"/>
      <c r="AS208" s="385"/>
      <c r="AT208" s="879">
        <f t="shared" ca="1" si="127"/>
        <v>0</v>
      </c>
      <c r="AU208" s="879">
        <f ca="1">COUNTIFS(AT$7:$AT208,1)</f>
        <v>3</v>
      </c>
    </row>
    <row r="209" spans="1:47" ht="12.75" hidden="1" outlineLevel="1">
      <c r="A209" s="1269"/>
      <c r="B209" s="1738" t="s">
        <v>173</v>
      </c>
      <c r="C209" s="313" t="str">
        <f>input!C577</f>
        <v>Laminated PE</v>
      </c>
      <c r="E209" s="363"/>
      <c r="F209" s="363" t="str">
        <f ca="1">input!F577</f>
        <v>N</v>
      </c>
      <c r="G209" s="363"/>
      <c r="H209" s="313">
        <f ca="1">SUMIFS(Paper!$AC$7:$AC$30,Paper!$A$7:$A$30,'Production cost'!F209)</f>
        <v>0</v>
      </c>
      <c r="I209" s="313" t="e">
        <f ca="1">IF(input!$G577&gt;0,input!$G577,IF(OR($C209=Data!$L$1167,$C209=Data!$L$1166),500,IF($C209=Data!$L$1168,3000,IF($C209=Data!$L$1169,ROUNDDOWN(40000*60/SUMIFS(Paper!$O$7:$O$21,Paper!$A$7:$A$21,'Production cost'!$F209),-2),2000))))</f>
        <v>#DIV/0!</v>
      </c>
      <c r="J209" s="313" t="str">
        <f>input!$H577</f>
        <v>Sheets</v>
      </c>
      <c r="K209" s="360">
        <v>0</v>
      </c>
      <c r="L209" s="313">
        <f ca="1">IF(input!$I577&gt;0,input!$I577,3)</f>
        <v>3</v>
      </c>
      <c r="M209" s="391">
        <f ca="1">IF(H209&gt;0,SUMIF(Data!$L$1155:$L$1190,'Production cost'!$C209,Data!$Q$1155:$Q$1190)*SUMIF(Paper!$A$7:$A$29,'Production cost'!$F209,Paper!$J$7:$J$29),0)</f>
        <v>0</v>
      </c>
      <c r="N209" s="391">
        <f t="shared" ca="1" si="128"/>
        <v>0</v>
      </c>
      <c r="P209" s="313">
        <f>SUMIF(Data!$L$1155:$L$1190,'Production cost'!$C209,Data!$N$1155:$N$1190)</f>
        <v>64593.240854333337</v>
      </c>
      <c r="Q209" s="313">
        <f t="shared" ca="1" si="120"/>
        <v>0</v>
      </c>
      <c r="R209" s="313">
        <f t="shared" ca="1" si="129"/>
        <v>0</v>
      </c>
      <c r="S209" s="1741">
        <f t="shared" ca="1" si="130"/>
        <v>0</v>
      </c>
      <c r="T209" s="313" t="str">
        <f ca="1">input!J577</f>
        <v>N</v>
      </c>
      <c r="V209" s="3115" t="str">
        <f>input!K577</f>
        <v>Packaging</v>
      </c>
      <c r="W209" s="3115">
        <f t="shared" ca="1" si="131"/>
        <v>0</v>
      </c>
      <c r="X209" s="3119">
        <f>VLOOKUP(V209,'Fix Cost'!$K$177:$M$179,2,0)</f>
        <v>58449.923860467366</v>
      </c>
      <c r="Y209" s="3119">
        <f>VLOOKUP(V209,'Fix Cost'!$K$177:$M$179,3,0)</f>
        <v>267411.04680782068</v>
      </c>
      <c r="Z209" s="3119">
        <f t="shared" ca="1" si="132"/>
        <v>0</v>
      </c>
      <c r="AA209" s="3115">
        <f t="shared" ca="1" si="133"/>
        <v>0</v>
      </c>
      <c r="AB209" s="3115">
        <f t="shared" ca="1" si="134"/>
        <v>0</v>
      </c>
      <c r="AK209" s="313"/>
      <c r="AL209" s="313"/>
      <c r="AM209" s="313"/>
      <c r="AO209" s="385"/>
      <c r="AP209" s="385"/>
      <c r="AQ209" s="385"/>
      <c r="AR209" s="1048"/>
      <c r="AS209" s="385"/>
      <c r="AT209" s="879">
        <f t="shared" ca="1" si="127"/>
        <v>0</v>
      </c>
      <c r="AU209" s="879">
        <f ca="1">COUNTIFS(AT$7:$AT209,1)</f>
        <v>3</v>
      </c>
    </row>
    <row r="210" spans="1:47" ht="12.75" hidden="1" outlineLevel="1">
      <c r="A210" s="1269"/>
      <c r="B210" s="1738" t="s">
        <v>173</v>
      </c>
      <c r="C210" s="313" t="str">
        <f>input!C578</f>
        <v>Laminated PE</v>
      </c>
      <c r="E210" s="363"/>
      <c r="F210" s="363" t="str">
        <f ca="1">input!F578</f>
        <v>N</v>
      </c>
      <c r="G210" s="363"/>
      <c r="H210" s="313">
        <f ca="1">SUMIFS(Paper!$AC$7:$AC$30,Paper!$A$7:$A$30,'Production cost'!F210)</f>
        <v>0</v>
      </c>
      <c r="I210" s="313" t="e">
        <f ca="1">IF(input!$G578&gt;0,input!$G578,IF(OR($C210=Data!$L$1167,$C210=Data!$L$1166),500,IF($C210=Data!$L$1168,3000,IF($C210=Data!$L$1169,ROUNDDOWN(40000*60/SUMIFS(Paper!$O$7:$O$21,Paper!$A$7:$A$21,'Production cost'!$F210),-2),2000))))</f>
        <v>#DIV/0!</v>
      </c>
      <c r="J210" s="313" t="str">
        <f>input!$H578</f>
        <v>Sheets</v>
      </c>
      <c r="K210" s="360">
        <v>0</v>
      </c>
      <c r="L210" s="313">
        <f ca="1">IF(input!$I578&gt;0,input!$I578,3)</f>
        <v>3</v>
      </c>
      <c r="M210" s="391">
        <f ca="1">IF(H210&gt;0,SUMIF(Data!$L$1155:$L$1190,'Production cost'!$C210,Data!$Q$1155:$Q$1190)*SUMIF(Paper!$A$7:$A$29,'Production cost'!$F210,Paper!$J$7:$J$29),0)</f>
        <v>0</v>
      </c>
      <c r="N210" s="391">
        <f t="shared" ca="1" si="128"/>
        <v>0</v>
      </c>
      <c r="P210" s="313">
        <f>SUMIF(Data!$L$1155:$L$1190,'Production cost'!$C210,Data!$N$1155:$N$1190)</f>
        <v>64593.240854333337</v>
      </c>
      <c r="Q210" s="313">
        <f t="shared" ca="1" si="120"/>
        <v>0</v>
      </c>
      <c r="R210" s="313">
        <f t="shared" ca="1" si="129"/>
        <v>0</v>
      </c>
      <c r="S210" s="1741">
        <f t="shared" ca="1" si="130"/>
        <v>0</v>
      </c>
      <c r="T210" s="313" t="str">
        <f ca="1">input!J578</f>
        <v>N</v>
      </c>
      <c r="V210" s="3115" t="str">
        <f>input!K578</f>
        <v>Packaging</v>
      </c>
      <c r="W210" s="3115">
        <f t="shared" ca="1" si="131"/>
        <v>0</v>
      </c>
      <c r="X210" s="3119">
        <f>VLOOKUP(V210,'Fix Cost'!$K$177:$M$179,2,0)</f>
        <v>58449.923860467366</v>
      </c>
      <c r="Y210" s="3119">
        <f>VLOOKUP(V210,'Fix Cost'!$K$177:$M$179,3,0)</f>
        <v>267411.04680782068</v>
      </c>
      <c r="Z210" s="3119">
        <f t="shared" ca="1" si="132"/>
        <v>0</v>
      </c>
      <c r="AA210" s="3115">
        <f t="shared" ca="1" si="133"/>
        <v>0</v>
      </c>
      <c r="AB210" s="3115">
        <f t="shared" ca="1" si="134"/>
        <v>0</v>
      </c>
      <c r="AK210" s="313"/>
      <c r="AL210" s="313"/>
      <c r="AM210" s="313"/>
      <c r="AO210" s="385"/>
      <c r="AP210" s="385"/>
      <c r="AQ210" s="385"/>
      <c r="AR210" s="1048"/>
      <c r="AS210" s="385"/>
      <c r="AT210" s="879">
        <f t="shared" ca="1" si="127"/>
        <v>0</v>
      </c>
      <c r="AU210" s="879">
        <f ca="1">COUNTIFS(AT$7:$AT210,1)</f>
        <v>3</v>
      </c>
    </row>
    <row r="211" spans="1:47" ht="12.75" hidden="1" outlineLevel="1">
      <c r="A211" s="1269"/>
      <c r="B211" s="1738" t="s">
        <v>173</v>
      </c>
      <c r="C211" s="313" t="str">
        <f>input!C579</f>
        <v>Laminated PE</v>
      </c>
      <c r="E211" s="363"/>
      <c r="F211" s="363" t="str">
        <f ca="1">input!F579</f>
        <v>N</v>
      </c>
      <c r="G211" s="363"/>
      <c r="H211" s="313">
        <f ca="1">SUMIFS(Paper!$AC$7:$AC$30,Paper!$A$7:$A$30,'Production cost'!F211)</f>
        <v>0</v>
      </c>
      <c r="I211" s="313" t="e">
        <f ca="1">IF(input!$G579&gt;0,input!$G579,IF(OR($C211=Data!$L$1167,$C211=Data!$L$1166),500,IF($C211=Data!$L$1168,3000,IF($C211=Data!$L$1169,ROUNDDOWN(40000*60/SUMIFS(Paper!$O$7:$O$21,Paper!$A$7:$A$21,'Production cost'!$F211),-2),2000))))</f>
        <v>#DIV/0!</v>
      </c>
      <c r="J211" s="313" t="str">
        <f>input!$H579</f>
        <v>Sheets</v>
      </c>
      <c r="K211" s="360">
        <v>0</v>
      </c>
      <c r="L211" s="313">
        <f ca="1">IF(input!$I579&gt;0,input!$I579,3)</f>
        <v>3</v>
      </c>
      <c r="M211" s="391">
        <f ca="1">IF(H211&gt;0,SUMIF(Data!$L$1155:$L$1190,'Production cost'!$C211,Data!$Q$1155:$Q$1190)*SUMIF(Paper!$A$7:$A$29,'Production cost'!$F211,Paper!$J$7:$J$29),0)</f>
        <v>0</v>
      </c>
      <c r="N211" s="391">
        <f t="shared" ca="1" si="128"/>
        <v>0</v>
      </c>
      <c r="P211" s="313">
        <f>SUMIF(Data!$L$1155:$L$1190,'Production cost'!$C211,Data!$N$1155:$N$1190)</f>
        <v>64593.240854333337</v>
      </c>
      <c r="Q211" s="313">
        <f t="shared" ca="1" si="120"/>
        <v>0</v>
      </c>
      <c r="R211" s="313">
        <f t="shared" ca="1" si="129"/>
        <v>0</v>
      </c>
      <c r="S211" s="1741">
        <f t="shared" ca="1" si="130"/>
        <v>0</v>
      </c>
      <c r="T211" s="313" t="str">
        <f ca="1">input!J579</f>
        <v>N</v>
      </c>
      <c r="V211" s="3115" t="str">
        <f>input!K579</f>
        <v>Packaging</v>
      </c>
      <c r="W211" s="3115">
        <f t="shared" ca="1" si="131"/>
        <v>0</v>
      </c>
      <c r="X211" s="3119">
        <f>VLOOKUP(V211,'Fix Cost'!$K$177:$M$179,2,0)</f>
        <v>58449.923860467366</v>
      </c>
      <c r="Y211" s="3119">
        <f>VLOOKUP(V211,'Fix Cost'!$K$177:$M$179,3,0)</f>
        <v>267411.04680782068</v>
      </c>
      <c r="Z211" s="3119">
        <f t="shared" ca="1" si="132"/>
        <v>0</v>
      </c>
      <c r="AA211" s="3115">
        <f t="shared" ca="1" si="133"/>
        <v>0</v>
      </c>
      <c r="AB211" s="3115">
        <f t="shared" ca="1" si="134"/>
        <v>0</v>
      </c>
      <c r="AK211" s="313"/>
      <c r="AL211" s="313"/>
      <c r="AM211" s="313"/>
      <c r="AO211" s="385"/>
      <c r="AP211" s="385"/>
      <c r="AQ211" s="385"/>
      <c r="AR211" s="1048"/>
      <c r="AS211" s="385"/>
      <c r="AT211" s="879">
        <f t="shared" ca="1" si="127"/>
        <v>0</v>
      </c>
      <c r="AU211" s="879">
        <f ca="1">COUNTIFS(AT$7:$AT211,1)</f>
        <v>3</v>
      </c>
    </row>
    <row r="212" spans="1:47" ht="12.75" hidden="1" outlineLevel="1">
      <c r="A212" s="1269"/>
      <c r="B212" s="1738" t="s">
        <v>173</v>
      </c>
      <c r="C212" s="313" t="str">
        <f>input!C580</f>
        <v>Laminated PE</v>
      </c>
      <c r="E212" s="363"/>
      <c r="F212" s="363" t="str">
        <f ca="1">input!F580</f>
        <v>N</v>
      </c>
      <c r="G212" s="363"/>
      <c r="H212" s="313">
        <f ca="1">SUMIFS(Paper!$AC$7:$AC$30,Paper!$A$7:$A$30,'Production cost'!F212)</f>
        <v>0</v>
      </c>
      <c r="I212" s="313" t="e">
        <f ca="1">IF(input!$G580&gt;0,input!$G580,IF(OR($C212=Data!$L$1167,$C212=Data!$L$1166),500,IF($C212=Data!$L$1168,3000,IF($C212=Data!$L$1169,ROUNDDOWN(40000*60/SUMIFS(Paper!$O$7:$O$21,Paper!$A$7:$A$21,'Production cost'!$F212),-2),2000))))</f>
        <v>#DIV/0!</v>
      </c>
      <c r="J212" s="313" t="str">
        <f>input!$H580</f>
        <v>Sheets</v>
      </c>
      <c r="K212" s="360">
        <v>0</v>
      </c>
      <c r="L212" s="313">
        <f ca="1">IF(input!$I580&gt;0,input!$I580,3)</f>
        <v>3</v>
      </c>
      <c r="M212" s="391">
        <f ca="1">IF(H212&gt;0,SUMIF(Data!$L$1155:$L$1190,'Production cost'!$C212,Data!$Q$1155:$Q$1190)*SUMIF(Paper!$A$7:$A$29,'Production cost'!$F212,Paper!$J$7:$J$29),0)</f>
        <v>0</v>
      </c>
      <c r="N212" s="391">
        <f t="shared" ca="1" si="128"/>
        <v>0</v>
      </c>
      <c r="P212" s="313">
        <f>SUMIF(Data!$L$1155:$L$1190,'Production cost'!$C212,Data!$N$1155:$N$1190)</f>
        <v>64593.240854333337</v>
      </c>
      <c r="Q212" s="313">
        <f t="shared" ca="1" si="120"/>
        <v>0</v>
      </c>
      <c r="R212" s="313">
        <f t="shared" ca="1" si="129"/>
        <v>0</v>
      </c>
      <c r="S212" s="1741">
        <f t="shared" ca="1" si="130"/>
        <v>0</v>
      </c>
      <c r="T212" s="313" t="str">
        <f ca="1">input!J580</f>
        <v>N</v>
      </c>
      <c r="V212" s="3115" t="str">
        <f>input!K580</f>
        <v>Packaging</v>
      </c>
      <c r="W212" s="3115">
        <f t="shared" ca="1" si="131"/>
        <v>0</v>
      </c>
      <c r="X212" s="3119">
        <f>VLOOKUP(V212,'Fix Cost'!$K$177:$M$179,2,0)</f>
        <v>58449.923860467366</v>
      </c>
      <c r="Y212" s="3119">
        <f>VLOOKUP(V212,'Fix Cost'!$K$177:$M$179,3,0)</f>
        <v>267411.04680782068</v>
      </c>
      <c r="Z212" s="3119">
        <f t="shared" ca="1" si="132"/>
        <v>0</v>
      </c>
      <c r="AA212" s="3115">
        <f t="shared" ca="1" si="133"/>
        <v>0</v>
      </c>
      <c r="AB212" s="3115">
        <f t="shared" ca="1" si="134"/>
        <v>0</v>
      </c>
      <c r="AK212" s="313"/>
      <c r="AL212" s="313"/>
      <c r="AM212" s="313"/>
      <c r="AO212" s="385"/>
      <c r="AP212" s="385"/>
      <c r="AQ212" s="385"/>
      <c r="AR212" s="1048"/>
      <c r="AS212" s="385"/>
      <c r="AT212" s="879">
        <f t="shared" ca="1" si="127"/>
        <v>0</v>
      </c>
      <c r="AU212" s="879">
        <f ca="1">COUNTIFS(AT$7:$AT212,1)</f>
        <v>3</v>
      </c>
    </row>
    <row r="213" spans="1:47" ht="12.75" outlineLevel="1">
      <c r="A213" s="1269"/>
      <c r="B213" s="1738" t="s">
        <v>173</v>
      </c>
      <c r="C213" s="313" t="str">
        <f>input!C581</f>
        <v>E-Flute</v>
      </c>
      <c r="E213" s="363"/>
      <c r="F213" s="363" t="str">
        <f ca="1">input!F581</f>
        <v>Box</v>
      </c>
      <c r="G213" s="363"/>
      <c r="H213" s="313">
        <f ca="1">SUMIFS(Paper!$AC$7:$AC$30,Paper!$A$7:$A$30,'Production cost'!F213)</f>
        <v>2725</v>
      </c>
      <c r="I213" s="313" t="str">
        <f ca="1">IF(input!$G581&gt;0,input!$G581,IF(OR($C213=Data!$L$1167,$C213=Data!$L$1166),500,IF($C213=Data!$L$1168,3000,IF($C213=Data!$L$1169,ROUNDDOWN(40000*60/SUMIFS(Paper!$O$7:$O$21,Paper!$A$7:$A$21,'Production cost'!$F213),-2),2000))))</f>
        <v>4000</v>
      </c>
      <c r="J213" s="313" t="str">
        <f>input!$H581</f>
        <v>Sheets</v>
      </c>
      <c r="K213" s="360">
        <v>0</v>
      </c>
      <c r="L213" s="313" t="str">
        <f ca="1">IF(input!$I581&gt;0,input!$I581,3)</f>
        <v>3</v>
      </c>
      <c r="M213" s="391">
        <f ca="1">IF(H213&gt;0,SUMIF(Data!$L$1155:$L$1190,'Production cost'!$C213,Data!$Q$1155:$Q$1190)*SUMIF(Paper!$A$7:$A$29,'Production cost'!$F213,Paper!$J$7:$J$29),0)</f>
        <v>1</v>
      </c>
      <c r="N213" s="391">
        <f t="shared" ca="1" si="119"/>
        <v>1.7000000000000002</v>
      </c>
      <c r="P213" s="313">
        <f>SUMIF(Data!$L$1155:$L$1190,'Production cost'!$C213,Data!$N$1155:$N$1190)</f>
        <v>64593.240854333337</v>
      </c>
      <c r="Q213" s="313">
        <f t="shared" ca="1" si="120"/>
        <v>329425.52835710003</v>
      </c>
      <c r="R213" s="313">
        <f t="shared" ca="1" si="121"/>
        <v>65.885105671420007</v>
      </c>
      <c r="S213" s="1741">
        <f t="shared" ca="1" si="122"/>
        <v>193779.72256300002</v>
      </c>
      <c r="T213" s="313" t="str">
        <f ca="1">input!J581</f>
        <v>Box</v>
      </c>
      <c r="V213" s="3115" t="str">
        <f>input!K581</f>
        <v>Packaging</v>
      </c>
      <c r="W213" s="3115">
        <f t="shared" ca="1" si="123"/>
        <v>5.1000000000000005</v>
      </c>
      <c r="X213" s="3119">
        <f>VLOOKUP(V213,'Fix Cost'!$K$177:$M$179,2,0)</f>
        <v>58449.923860467366</v>
      </c>
      <c r="Y213" s="3119">
        <f>VLOOKUP(V213,'Fix Cost'!$K$177:$M$179,3,0)</f>
        <v>267411.04680782068</v>
      </c>
      <c r="Z213" s="3119">
        <f t="shared" ca="1" si="124"/>
        <v>298094.61168838362</v>
      </c>
      <c r="AA213" s="3115">
        <f t="shared" ca="1" si="125"/>
        <v>454598.77957329521</v>
      </c>
      <c r="AB213" s="3115">
        <f t="shared" ca="1" si="126"/>
        <v>752693.39126167889</v>
      </c>
      <c r="AK213" s="313"/>
      <c r="AL213" s="313"/>
      <c r="AM213" s="313"/>
      <c r="AO213" s="385"/>
      <c r="AP213" s="385"/>
      <c r="AQ213" s="385"/>
      <c r="AR213" s="1048"/>
      <c r="AS213" s="385"/>
      <c r="AT213" s="879">
        <f t="shared" ca="1" si="127"/>
        <v>1</v>
      </c>
      <c r="AU213" s="879">
        <f ca="1">COUNTIFS(AT$7:$AT213,1)</f>
        <v>4</v>
      </c>
    </row>
    <row r="214" spans="1:47" ht="12.75" hidden="1" outlineLevel="1">
      <c r="A214" s="1269"/>
      <c r="B214" s="1738" t="s">
        <v>173</v>
      </c>
      <c r="C214" s="313" t="str">
        <f>input!C582</f>
        <v>E-Flute</v>
      </c>
      <c r="E214" s="363"/>
      <c r="F214" s="363" t="str">
        <f ca="1">input!F582</f>
        <v>N</v>
      </c>
      <c r="G214" s="363"/>
      <c r="H214" s="313">
        <f ca="1">SUMIFS(Paper!$AC$7:$AC$30,Paper!$A$7:$A$30,'Production cost'!F214)</f>
        <v>0</v>
      </c>
      <c r="I214" s="313">
        <f ca="1">IF(input!$G582&gt;0,input!$G582,IF(OR($C214=Data!$L$1167,$C214=Data!$L$1166),500,IF($C214=Data!$L$1168,3000,IF($C214=Data!$L$1169,ROUNDDOWN(40000*60/SUMIFS(Paper!$O$7:$O$21,Paper!$A$7:$A$21,'Production cost'!$F214),-2),2000))))</f>
        <v>3000</v>
      </c>
      <c r="J214" s="313" t="str">
        <f>input!$H582</f>
        <v>Sheets</v>
      </c>
      <c r="K214" s="360">
        <v>0</v>
      </c>
      <c r="L214" s="313">
        <f ca="1">IF(input!$I582&gt;0,input!$I582,3)</f>
        <v>3</v>
      </c>
      <c r="M214" s="391">
        <f ca="1">IF(H214&gt;0,SUMIF(Data!$L$1155:$L$1190,'Production cost'!$C214,Data!$Q$1155:$Q$1190)*SUMIF(Paper!$A$7:$A$29,'Production cost'!$F214,Paper!$J$7:$J$29),0)</f>
        <v>0</v>
      </c>
      <c r="N214" s="391">
        <f t="shared" ca="1" si="119"/>
        <v>0</v>
      </c>
      <c r="P214" s="313">
        <f>SUMIF(Data!$L$1155:$L$1190,'Production cost'!$C214,Data!$N$1155:$N$1190)</f>
        <v>64593.240854333337</v>
      </c>
      <c r="Q214" s="313">
        <f t="shared" ca="1" si="120"/>
        <v>0</v>
      </c>
      <c r="R214" s="313">
        <f t="shared" ca="1" si="121"/>
        <v>0</v>
      </c>
      <c r="S214" s="1741">
        <f t="shared" ca="1" si="122"/>
        <v>0</v>
      </c>
      <c r="T214" s="313" t="str">
        <f ca="1">input!J582</f>
        <v>N</v>
      </c>
      <c r="V214" s="3115" t="str">
        <f>input!K582</f>
        <v>Packaging</v>
      </c>
      <c r="W214" s="3115">
        <f t="shared" ca="1" si="123"/>
        <v>0</v>
      </c>
      <c r="X214" s="3119">
        <f>VLOOKUP(V214,'Fix Cost'!$K$177:$M$179,2,0)</f>
        <v>58449.923860467366</v>
      </c>
      <c r="Y214" s="3119">
        <f>VLOOKUP(V214,'Fix Cost'!$K$177:$M$179,3,0)</f>
        <v>267411.04680782068</v>
      </c>
      <c r="Z214" s="3119">
        <f t="shared" ca="1" si="124"/>
        <v>0</v>
      </c>
      <c r="AA214" s="3115">
        <f t="shared" ca="1" si="125"/>
        <v>0</v>
      </c>
      <c r="AB214" s="3115">
        <f t="shared" ca="1" si="126"/>
        <v>0</v>
      </c>
      <c r="AK214" s="313"/>
      <c r="AL214" s="313"/>
      <c r="AM214" s="313"/>
      <c r="AO214" s="385"/>
      <c r="AP214" s="385"/>
      <c r="AQ214" s="385"/>
      <c r="AR214" s="1048"/>
      <c r="AS214" s="385"/>
      <c r="AT214" s="879">
        <f t="shared" ca="1" si="127"/>
        <v>0</v>
      </c>
      <c r="AU214" s="879">
        <f ca="1">COUNTIFS(AT$7:$AT214,1)</f>
        <v>4</v>
      </c>
    </row>
    <row r="215" spans="1:47" ht="12.75" hidden="1" outlineLevel="1">
      <c r="A215" s="1269"/>
      <c r="B215" s="1738" t="s">
        <v>173</v>
      </c>
      <c r="C215" s="313" t="str">
        <f>input!C583</f>
        <v>E-Flute</v>
      </c>
      <c r="E215" s="363"/>
      <c r="F215" s="363" t="str">
        <f ca="1">input!F583</f>
        <v>N</v>
      </c>
      <c r="G215" s="363"/>
      <c r="H215" s="313">
        <f ca="1">SUMIFS(Paper!$AC$7:$AC$30,Paper!$A$7:$A$30,'Production cost'!F215)</f>
        <v>0</v>
      </c>
      <c r="I215" s="313">
        <f ca="1">IF(input!$G583&gt;0,input!$G583,IF(OR($C215=Data!$L$1167,$C215=Data!$L$1166),500,IF($C215=Data!$L$1168,3000,IF($C215=Data!$L$1169,ROUNDDOWN(40000*60/SUMIFS(Paper!$O$7:$O$21,Paper!$A$7:$A$21,'Production cost'!$F215),-2),2000))))</f>
        <v>3000</v>
      </c>
      <c r="J215" s="313" t="str">
        <f>input!$H583</f>
        <v>Sheets</v>
      </c>
      <c r="K215" s="360">
        <v>0</v>
      </c>
      <c r="L215" s="313">
        <f ca="1">IF(input!$I583&gt;0,input!$I583,3)</f>
        <v>3</v>
      </c>
      <c r="M215" s="391">
        <f ca="1">IF(H215&gt;0,SUMIF(Data!$L$1155:$L$1190,'Production cost'!$C215,Data!$Q$1155:$Q$1190)*SUMIF(Paper!$A$7:$A$29,'Production cost'!$F215,Paper!$J$7:$J$29),0)</f>
        <v>0</v>
      </c>
      <c r="N215" s="391">
        <f t="shared" ca="1" si="119"/>
        <v>0</v>
      </c>
      <c r="P215" s="313">
        <f>SUMIF(Data!$L$1155:$L$1190,'Production cost'!$C215,Data!$N$1155:$N$1190)</f>
        <v>64593.240854333337</v>
      </c>
      <c r="Q215" s="313">
        <f t="shared" ca="1" si="120"/>
        <v>0</v>
      </c>
      <c r="R215" s="313">
        <f t="shared" ca="1" si="121"/>
        <v>0</v>
      </c>
      <c r="S215" s="1741">
        <f t="shared" ca="1" si="122"/>
        <v>0</v>
      </c>
      <c r="T215" s="313" t="str">
        <f ca="1">input!J583</f>
        <v>N</v>
      </c>
      <c r="V215" s="3115" t="str">
        <f>input!K583</f>
        <v>Packaging</v>
      </c>
      <c r="W215" s="3115">
        <f t="shared" ca="1" si="123"/>
        <v>0</v>
      </c>
      <c r="X215" s="3119">
        <f>VLOOKUP(V215,'Fix Cost'!$K$177:$M$179,2,0)</f>
        <v>58449.923860467366</v>
      </c>
      <c r="Y215" s="3119">
        <f>VLOOKUP(V215,'Fix Cost'!$K$177:$M$179,3,0)</f>
        <v>267411.04680782068</v>
      </c>
      <c r="Z215" s="3119">
        <f t="shared" ca="1" si="124"/>
        <v>0</v>
      </c>
      <c r="AA215" s="3115">
        <f t="shared" ca="1" si="125"/>
        <v>0</v>
      </c>
      <c r="AB215" s="3115">
        <f t="shared" ca="1" si="126"/>
        <v>0</v>
      </c>
      <c r="AK215" s="313"/>
      <c r="AL215" s="313"/>
      <c r="AM215" s="313"/>
      <c r="AO215" s="385"/>
      <c r="AP215" s="385"/>
      <c r="AQ215" s="385"/>
      <c r="AR215" s="1048"/>
      <c r="AS215" s="385"/>
      <c r="AT215" s="879">
        <f t="shared" ca="1" si="127"/>
        <v>0</v>
      </c>
      <c r="AU215" s="879">
        <f ca="1">COUNTIFS(AT$7:$AT215,1)</f>
        <v>4</v>
      </c>
    </row>
    <row r="216" spans="1:47" ht="12.75" hidden="1" outlineLevel="1">
      <c r="A216" s="1269"/>
      <c r="B216" s="1738" t="s">
        <v>173</v>
      </c>
      <c r="C216" s="313" t="str">
        <f>input!C584</f>
        <v>E-Flute</v>
      </c>
      <c r="E216" s="363"/>
      <c r="F216" s="363" t="str">
        <f ca="1">input!F584</f>
        <v>N</v>
      </c>
      <c r="G216" s="363"/>
      <c r="H216" s="313">
        <f ca="1">SUMIFS(Paper!$AC$7:$AC$30,Paper!$A$7:$A$30,'Production cost'!F216)</f>
        <v>0</v>
      </c>
      <c r="I216" s="313">
        <f ca="1">IF(input!$G584&gt;0,input!$G584,IF(OR($C216=Data!$L$1167,$C216=Data!$L$1166),500,IF($C216=Data!$L$1168,3000,IF($C216=Data!$L$1169,ROUNDDOWN(40000*60/SUMIFS(Paper!$O$7:$O$21,Paper!$A$7:$A$21,'Production cost'!$F216),-2),2000))))</f>
        <v>3000</v>
      </c>
      <c r="J216" s="313" t="str">
        <f>input!$H584</f>
        <v>Sheets</v>
      </c>
      <c r="K216" s="360">
        <v>0</v>
      </c>
      <c r="L216" s="313">
        <f ca="1">IF(input!$I584&gt;0,input!$I584,3)</f>
        <v>3</v>
      </c>
      <c r="M216" s="391">
        <f ca="1">IF(H216&gt;0,SUMIF(Data!$L$1155:$L$1190,'Production cost'!$C216,Data!$Q$1155:$Q$1190)*SUMIF(Paper!$A$7:$A$29,'Production cost'!$F216,Paper!$J$7:$J$29),0)</f>
        <v>0</v>
      </c>
      <c r="N216" s="391">
        <f t="shared" ca="1" si="119"/>
        <v>0</v>
      </c>
      <c r="P216" s="313">
        <f>SUMIF(Data!$L$1155:$L$1190,'Production cost'!$C216,Data!$N$1155:$N$1190)</f>
        <v>64593.240854333337</v>
      </c>
      <c r="Q216" s="313">
        <f t="shared" ca="1" si="120"/>
        <v>0</v>
      </c>
      <c r="R216" s="313">
        <f t="shared" ca="1" si="121"/>
        <v>0</v>
      </c>
      <c r="S216" s="1741">
        <f t="shared" ca="1" si="122"/>
        <v>0</v>
      </c>
      <c r="T216" s="313" t="str">
        <f ca="1">input!J584</f>
        <v>N</v>
      </c>
      <c r="V216" s="3115" t="str">
        <f>input!K584</f>
        <v>Packaging</v>
      </c>
      <c r="W216" s="3115">
        <f t="shared" ca="1" si="123"/>
        <v>0</v>
      </c>
      <c r="X216" s="3119">
        <f>VLOOKUP(V216,'Fix Cost'!$K$177:$M$179,2,0)</f>
        <v>58449.923860467366</v>
      </c>
      <c r="Y216" s="3119">
        <f>VLOOKUP(V216,'Fix Cost'!$K$177:$M$179,3,0)</f>
        <v>267411.04680782068</v>
      </c>
      <c r="Z216" s="3119">
        <f t="shared" ca="1" si="124"/>
        <v>0</v>
      </c>
      <c r="AA216" s="3115">
        <f t="shared" ca="1" si="125"/>
        <v>0</v>
      </c>
      <c r="AB216" s="3115">
        <f t="shared" ca="1" si="126"/>
        <v>0</v>
      </c>
      <c r="AK216" s="313"/>
      <c r="AL216" s="313"/>
      <c r="AM216" s="313"/>
      <c r="AO216" s="385"/>
      <c r="AP216" s="385"/>
      <c r="AQ216" s="385"/>
      <c r="AR216" s="1048"/>
      <c r="AS216" s="385"/>
      <c r="AT216" s="879">
        <f t="shared" ca="1" si="127"/>
        <v>0</v>
      </c>
      <c r="AU216" s="879">
        <f ca="1">COUNTIFS(AT$7:$AT216,1)</f>
        <v>4</v>
      </c>
    </row>
    <row r="217" spans="1:47" ht="12.75" hidden="1" outlineLevel="1">
      <c r="A217" s="1269"/>
      <c r="B217" s="1738" t="s">
        <v>173</v>
      </c>
      <c r="C217" s="313" t="str">
        <f>input!C585</f>
        <v>E-Flute</v>
      </c>
      <c r="E217" s="363"/>
      <c r="F217" s="363" t="str">
        <f ca="1">input!F585</f>
        <v>N</v>
      </c>
      <c r="G217" s="363"/>
      <c r="H217" s="313">
        <f ca="1">SUMIFS(Paper!$AC$7:$AC$30,Paper!$A$7:$A$30,'Production cost'!F217)</f>
        <v>0</v>
      </c>
      <c r="I217" s="313">
        <f ca="1">IF(input!$G585&gt;0,input!$G585,IF(OR($C217=Data!$L$1167,$C217=Data!$L$1166),500,IF($C217=Data!$L$1168,3000,IF($C217=Data!$L$1169,ROUNDDOWN(40000*60/SUMIFS(Paper!$O$7:$O$21,Paper!$A$7:$A$21,'Production cost'!$F217),-2),2000))))</f>
        <v>3000</v>
      </c>
      <c r="J217" s="313" t="str">
        <f>input!$H585</f>
        <v>Sheets</v>
      </c>
      <c r="K217" s="360">
        <v>0</v>
      </c>
      <c r="L217" s="313">
        <f ca="1">IF(input!$I585&gt;0,input!$I585,3)</f>
        <v>3</v>
      </c>
      <c r="M217" s="391">
        <f ca="1">IF(H217&gt;0,SUMIF(Data!$L$1155:$L$1190,'Production cost'!$C217,Data!$Q$1155:$Q$1190)*SUMIF(Paper!$A$7:$A$29,'Production cost'!$F217,Paper!$J$7:$J$29),0)</f>
        <v>0</v>
      </c>
      <c r="N217" s="391">
        <f t="shared" ca="1" si="119"/>
        <v>0</v>
      </c>
      <c r="P217" s="313">
        <f>SUMIF(Data!$L$1155:$L$1190,'Production cost'!$C217,Data!$N$1155:$N$1190)</f>
        <v>64593.240854333337</v>
      </c>
      <c r="Q217" s="313">
        <f t="shared" ca="1" si="120"/>
        <v>0</v>
      </c>
      <c r="R217" s="313">
        <f t="shared" ca="1" si="121"/>
        <v>0</v>
      </c>
      <c r="S217" s="1741">
        <f t="shared" ca="1" si="122"/>
        <v>0</v>
      </c>
      <c r="T217" s="313" t="str">
        <f ca="1">input!J585</f>
        <v>N</v>
      </c>
      <c r="V217" s="3115" t="str">
        <f>input!K585</f>
        <v>Packaging</v>
      </c>
      <c r="W217" s="3115">
        <f t="shared" ca="1" si="123"/>
        <v>0</v>
      </c>
      <c r="X217" s="3119">
        <f>VLOOKUP(V217,'Fix Cost'!$K$177:$M$179,2,0)</f>
        <v>58449.923860467366</v>
      </c>
      <c r="Y217" s="3119">
        <f>VLOOKUP(V217,'Fix Cost'!$K$177:$M$179,3,0)</f>
        <v>267411.04680782068</v>
      </c>
      <c r="Z217" s="3119">
        <f t="shared" ca="1" si="124"/>
        <v>0</v>
      </c>
      <c r="AA217" s="3115">
        <f t="shared" ca="1" si="125"/>
        <v>0</v>
      </c>
      <c r="AB217" s="3115">
        <f t="shared" ca="1" si="126"/>
        <v>0</v>
      </c>
      <c r="AK217" s="313"/>
      <c r="AL217" s="313"/>
      <c r="AM217" s="313"/>
      <c r="AO217" s="385"/>
      <c r="AP217" s="385"/>
      <c r="AQ217" s="385"/>
      <c r="AR217" s="1048"/>
      <c r="AS217" s="385"/>
      <c r="AT217" s="879">
        <f t="shared" ca="1" si="127"/>
        <v>0</v>
      </c>
      <c r="AU217" s="879">
        <f ca="1">COUNTIFS(AT$7:$AT217,1)</f>
        <v>4</v>
      </c>
    </row>
    <row r="218" spans="1:47" ht="12.75" hidden="1" outlineLevel="1">
      <c r="A218" s="1269"/>
      <c r="B218" s="1738" t="s">
        <v>173</v>
      </c>
      <c r="C218" s="313" t="str">
        <f>input!C586</f>
        <v>E-Flute</v>
      </c>
      <c r="E218" s="363"/>
      <c r="F218" s="363" t="str">
        <f ca="1">input!F586</f>
        <v>N</v>
      </c>
      <c r="G218" s="363"/>
      <c r="H218" s="313">
        <f ca="1">SUMIFS(Paper!$AC$7:$AC$30,Paper!$A$7:$A$30,'Production cost'!F218)</f>
        <v>0</v>
      </c>
      <c r="I218" s="313">
        <f ca="1">IF(input!$G586&gt;0,input!$G586,IF(OR($C218=Data!$L$1167,$C218=Data!$L$1166),500,IF($C218=Data!$L$1168,3000,IF($C218=Data!$L$1169,ROUNDDOWN(40000*60/SUMIFS(Paper!$O$7:$O$21,Paper!$A$7:$A$21,'Production cost'!$F218),-2),2000))))</f>
        <v>3000</v>
      </c>
      <c r="J218" s="313" t="str">
        <f>input!$H586</f>
        <v>Sheets</v>
      </c>
      <c r="K218" s="360">
        <v>0</v>
      </c>
      <c r="L218" s="313">
        <f ca="1">IF(input!$I586&gt;0,input!$I586,3)</f>
        <v>3</v>
      </c>
      <c r="M218" s="391">
        <f ca="1">IF(H218&gt;0,SUMIF(Data!$L$1155:$L$1190,'Production cost'!$C218,Data!$Q$1155:$Q$1190)*SUMIF(Paper!$A$7:$A$29,'Production cost'!$F218,Paper!$J$7:$J$29),0)</f>
        <v>0</v>
      </c>
      <c r="N218" s="391">
        <f ca="1">IF(H218&gt;0,ROUNDUP(((H218/I218)/$M$5+M218),1),0)</f>
        <v>0</v>
      </c>
      <c r="P218" s="313">
        <f>SUMIF(Data!$L$1155:$L$1190,'Production cost'!$C218,Data!$N$1155:$N$1190)</f>
        <v>64593.240854333337</v>
      </c>
      <c r="Q218" s="313">
        <f t="shared" ca="1" si="120"/>
        <v>0</v>
      </c>
      <c r="R218" s="313">
        <f ca="1">IF($E$2&gt;0,Q218/$E$2,0)</f>
        <v>0</v>
      </c>
      <c r="S218" s="1741">
        <f ca="1">IF(M218&gt;0,K218*O218+L218*P218,0)</f>
        <v>0</v>
      </c>
      <c r="T218" s="313" t="str">
        <f ca="1">input!J586</f>
        <v>N</v>
      </c>
      <c r="V218" s="3115" t="str">
        <f>input!K586</f>
        <v>Packaging</v>
      </c>
      <c r="W218" s="3115">
        <f ca="1">N218*(L218+K218)</f>
        <v>0</v>
      </c>
      <c r="X218" s="3119">
        <f>VLOOKUP(V218,'Fix Cost'!$K$177:$M$179,2,0)</f>
        <v>58449.923860467366</v>
      </c>
      <c r="Y218" s="3119">
        <f>VLOOKUP(V218,'Fix Cost'!$K$177:$M$179,3,0)</f>
        <v>267411.04680782068</v>
      </c>
      <c r="Z218" s="3119">
        <f ca="1">IFERROR($X218*W218,0)</f>
        <v>0</v>
      </c>
      <c r="AA218" s="3115">
        <f ca="1">IFERROR(Y218*N218,0)</f>
        <v>0</v>
      </c>
      <c r="AB218" s="3115">
        <f ca="1">Z218+AA218</f>
        <v>0</v>
      </c>
      <c r="AK218" s="313"/>
      <c r="AL218" s="313"/>
      <c r="AM218" s="313"/>
      <c r="AO218" s="385"/>
      <c r="AP218" s="385"/>
      <c r="AQ218" s="385"/>
      <c r="AR218" s="1048"/>
      <c r="AS218" s="385"/>
      <c r="AT218" s="879">
        <f t="shared" ca="1" si="127"/>
        <v>0</v>
      </c>
      <c r="AU218" s="879">
        <f ca="1">COUNTIFS(AT$7:$AT218,1)</f>
        <v>4</v>
      </c>
    </row>
    <row r="219" spans="1:47" ht="12.75" hidden="1" outlineLevel="1">
      <c r="A219" s="1269"/>
      <c r="B219" s="1738" t="s">
        <v>173</v>
      </c>
      <c r="C219" s="313" t="str">
        <f>input!C587</f>
        <v>E-Flute</v>
      </c>
      <c r="E219" s="363"/>
      <c r="F219" s="363" t="str">
        <f ca="1">input!F587</f>
        <v>N</v>
      </c>
      <c r="G219" s="363"/>
      <c r="H219" s="313">
        <f ca="1">SUMIFS(Paper!$AC$7:$AC$30,Paper!$A$7:$A$30,'Production cost'!F219)</f>
        <v>0</v>
      </c>
      <c r="I219" s="313">
        <f ca="1">IF(input!$G587&gt;0,input!$G587,IF(OR($C219=Data!$L$1167,$C219=Data!$L$1166),500,IF($C219=Data!$L$1168,3000,IF($C219=Data!$L$1169,ROUNDDOWN(40000*60/SUMIFS(Paper!$O$7:$O$21,Paper!$A$7:$A$21,'Production cost'!$F219),-2),2000))))</f>
        <v>3000</v>
      </c>
      <c r="J219" s="313" t="str">
        <f>input!$H587</f>
        <v>Sheets</v>
      </c>
      <c r="K219" s="360">
        <v>0</v>
      </c>
      <c r="L219" s="313">
        <f ca="1">IF(input!$I587&gt;0,input!$I587,3)</f>
        <v>3</v>
      </c>
      <c r="M219" s="391">
        <f ca="1">IF(H219&gt;0,SUMIF(Data!$L$1155:$L$1190,'Production cost'!$C219,Data!$Q$1155:$Q$1190)*SUMIF(Paper!$A$7:$A$29,'Production cost'!$F219,Paper!$J$7:$J$29),0)</f>
        <v>0</v>
      </c>
      <c r="N219" s="391">
        <f ca="1">IF(H219&gt;0,ROUNDUP(((H219/I219)/$M$5+M219),1),0)</f>
        <v>0</v>
      </c>
      <c r="P219" s="313">
        <f>SUMIF(Data!$L$1155:$L$1190,'Production cost'!$C219,Data!$N$1155:$N$1190)</f>
        <v>64593.240854333337</v>
      </c>
      <c r="Q219" s="313">
        <f t="shared" ca="1" si="120"/>
        <v>0</v>
      </c>
      <c r="R219" s="313">
        <f ca="1">IF($E$2&gt;0,Q219/$E$2,0)</f>
        <v>0</v>
      </c>
      <c r="S219" s="1741">
        <f ca="1">IF(M219&gt;0,K219*O219+L219*P219,0)</f>
        <v>0</v>
      </c>
      <c r="T219" s="313" t="str">
        <f ca="1">input!J587</f>
        <v>N</v>
      </c>
      <c r="V219" s="3115" t="str">
        <f>input!K587</f>
        <v>Packaging</v>
      </c>
      <c r="W219" s="3115">
        <f ca="1">N219*(L219+K219)</f>
        <v>0</v>
      </c>
      <c r="X219" s="3119">
        <f>VLOOKUP(V219,'Fix Cost'!$K$177:$M$179,2,0)</f>
        <v>58449.923860467366</v>
      </c>
      <c r="Y219" s="3119">
        <f>VLOOKUP(V219,'Fix Cost'!$K$177:$M$179,3,0)</f>
        <v>267411.04680782068</v>
      </c>
      <c r="Z219" s="3119">
        <f ca="1">IFERROR($X219*W219,0)</f>
        <v>0</v>
      </c>
      <c r="AA219" s="3115">
        <f ca="1">IFERROR(Y219*N219,0)</f>
        <v>0</v>
      </c>
      <c r="AB219" s="3115">
        <f ca="1">Z219+AA219</f>
        <v>0</v>
      </c>
      <c r="AK219" s="313"/>
      <c r="AL219" s="313"/>
      <c r="AM219" s="313"/>
      <c r="AO219" s="385"/>
      <c r="AP219" s="385"/>
      <c r="AQ219" s="385"/>
      <c r="AR219" s="1048"/>
      <c r="AS219" s="385"/>
      <c r="AT219" s="879">
        <f t="shared" ca="1" si="127"/>
        <v>0</v>
      </c>
      <c r="AU219" s="879">
        <f ca="1">COUNTIFS(AT$7:$AT219,1)</f>
        <v>4</v>
      </c>
    </row>
    <row r="220" spans="1:47" ht="12.75" hidden="1" outlineLevel="1">
      <c r="A220" s="1269"/>
      <c r="B220" s="1738" t="s">
        <v>173</v>
      </c>
      <c r="C220" s="313" t="str">
        <f>input!C588</f>
        <v>E-Flute</v>
      </c>
      <c r="E220" s="363"/>
      <c r="F220" s="363" t="str">
        <f ca="1">input!F588</f>
        <v>N</v>
      </c>
      <c r="G220" s="363"/>
      <c r="H220" s="313">
        <f ca="1">SUMIFS(Paper!$AC$7:$AC$30,Paper!$A$7:$A$30,'Production cost'!F220)</f>
        <v>0</v>
      </c>
      <c r="I220" s="313">
        <f ca="1">IF(input!$G588&gt;0,input!$G588,IF(OR($C220=Data!$L$1167,$C220=Data!$L$1166),500,IF($C220=Data!$L$1168,3000,IF($C220=Data!$L$1169,ROUNDDOWN(40000*60/SUMIFS(Paper!$O$7:$O$21,Paper!$A$7:$A$21,'Production cost'!$F220),-2),2000))))</f>
        <v>3000</v>
      </c>
      <c r="J220" s="313" t="str">
        <f>input!$H588</f>
        <v>Sheets</v>
      </c>
      <c r="K220" s="360">
        <v>0</v>
      </c>
      <c r="L220" s="313">
        <f ca="1">IF(input!$I588&gt;0,input!$I588,3)</f>
        <v>3</v>
      </c>
      <c r="M220" s="391">
        <f ca="1">IF(H220&gt;0,SUMIF(Data!$L$1155:$L$1190,'Production cost'!$C220,Data!$Q$1155:$Q$1190)*SUMIF(Paper!$A$7:$A$29,'Production cost'!$F220,Paper!$J$7:$J$29),0)</f>
        <v>0</v>
      </c>
      <c r="N220" s="391">
        <f ca="1">IF(H220&gt;0,ROUNDUP(((H220/I220)/$M$5+M220),1),0)</f>
        <v>0</v>
      </c>
      <c r="P220" s="313">
        <f>SUMIF(Data!$L$1155:$L$1190,'Production cost'!$C220,Data!$N$1155:$N$1190)</f>
        <v>64593.240854333337</v>
      </c>
      <c r="Q220" s="313">
        <f t="shared" ca="1" si="120"/>
        <v>0</v>
      </c>
      <c r="R220" s="313">
        <f ca="1">IF($E$2&gt;0,Q220/$E$2,0)</f>
        <v>0</v>
      </c>
      <c r="S220" s="1741">
        <f ca="1">IF(M220&gt;0,K220*O220+L220*P220,0)</f>
        <v>0</v>
      </c>
      <c r="T220" s="313" t="str">
        <f ca="1">input!J588</f>
        <v>N</v>
      </c>
      <c r="V220" s="3115" t="str">
        <f>input!K588</f>
        <v>Packaging</v>
      </c>
      <c r="W220" s="3115">
        <f ca="1">N220*(L220+K220)</f>
        <v>0</v>
      </c>
      <c r="X220" s="3119">
        <f>VLOOKUP(V220,'Fix Cost'!$K$177:$M$179,2,0)</f>
        <v>58449.923860467366</v>
      </c>
      <c r="Y220" s="3119">
        <f>VLOOKUP(V220,'Fix Cost'!$K$177:$M$179,3,0)</f>
        <v>267411.04680782068</v>
      </c>
      <c r="Z220" s="3119">
        <f ca="1">IFERROR($X220*W220,0)</f>
        <v>0</v>
      </c>
      <c r="AA220" s="3115">
        <f ca="1">IFERROR(Y220*N220,0)</f>
        <v>0</v>
      </c>
      <c r="AB220" s="3115">
        <f ca="1">Z220+AA220</f>
        <v>0</v>
      </c>
      <c r="AK220" s="313"/>
      <c r="AL220" s="313"/>
      <c r="AM220" s="313"/>
      <c r="AO220" s="385"/>
      <c r="AP220" s="385"/>
      <c r="AQ220" s="385"/>
      <c r="AR220" s="1048"/>
      <c r="AS220" s="385"/>
      <c r="AT220" s="879">
        <f t="shared" ca="1" si="127"/>
        <v>0</v>
      </c>
      <c r="AU220" s="879">
        <f ca="1">COUNTIFS(AT$7:$AT220,1)</f>
        <v>4</v>
      </c>
    </row>
    <row r="221" spans="1:47" ht="12.75" hidden="1" outlineLevel="1">
      <c r="A221" s="1269"/>
      <c r="B221" s="1738" t="s">
        <v>173</v>
      </c>
      <c r="C221" s="313" t="str">
        <f>input!C589</f>
        <v>E-Flute</v>
      </c>
      <c r="E221" s="363"/>
      <c r="F221" s="363" t="str">
        <f ca="1">input!F589</f>
        <v>N</v>
      </c>
      <c r="G221" s="363"/>
      <c r="H221" s="313">
        <f ca="1">SUMIFS(Paper!$AC$7:$AC$30,Paper!$A$7:$A$30,'Production cost'!F221)</f>
        <v>0</v>
      </c>
      <c r="I221" s="313">
        <f ca="1">IF(input!$G589&gt;0,input!$G589,IF(OR($C221=Data!$L$1167,$C221=Data!$L$1166),500,IF($C221=Data!$L$1168,3000,IF($C221=Data!$L$1169,ROUNDDOWN(40000*60/SUMIFS(Paper!$O$7:$O$21,Paper!$A$7:$A$21,'Production cost'!$F221),-2),2000))))</f>
        <v>3000</v>
      </c>
      <c r="J221" s="313" t="str">
        <f>input!$H589</f>
        <v>Sheets</v>
      </c>
      <c r="K221" s="360">
        <v>0</v>
      </c>
      <c r="L221" s="313">
        <f ca="1">IF(input!$I589&gt;0,input!$I589,3)</f>
        <v>3</v>
      </c>
      <c r="M221" s="391">
        <f ca="1">IF(H221&gt;0,SUMIF(Data!$L$1155:$L$1190,'Production cost'!$C221,Data!$Q$1155:$Q$1190)*SUMIF(Paper!$A$7:$A$29,'Production cost'!$F221,Paper!$J$7:$J$29),0)</f>
        <v>0</v>
      </c>
      <c r="N221" s="391">
        <f ca="1">IF(H221&gt;0,ROUNDUP(((H221/I221)/$M$5+M221),1),0)</f>
        <v>0</v>
      </c>
      <c r="P221" s="313">
        <f>SUMIF(Data!$L$1155:$L$1190,'Production cost'!$C221,Data!$N$1155:$N$1190)</f>
        <v>64593.240854333337</v>
      </c>
      <c r="Q221" s="313">
        <f t="shared" ca="1" si="120"/>
        <v>0</v>
      </c>
      <c r="R221" s="313">
        <f ca="1">IF($E$2&gt;0,Q221/$E$2,0)</f>
        <v>0</v>
      </c>
      <c r="S221" s="1741">
        <f ca="1">IF(M221&gt;0,K221*O221+L221*P221,0)</f>
        <v>0</v>
      </c>
      <c r="T221" s="313" t="str">
        <f ca="1">input!J589</f>
        <v>N</v>
      </c>
      <c r="V221" s="3115" t="str">
        <f>input!K589</f>
        <v>Packaging</v>
      </c>
      <c r="W221" s="3115">
        <f ca="1">N221*(L221+K221)</f>
        <v>0</v>
      </c>
      <c r="X221" s="3119">
        <f>VLOOKUP(V221,'Fix Cost'!$K$177:$M$179,2,0)</f>
        <v>58449.923860467366</v>
      </c>
      <c r="Y221" s="3119">
        <f>VLOOKUP(V221,'Fix Cost'!$K$177:$M$179,3,0)</f>
        <v>267411.04680782068</v>
      </c>
      <c r="Z221" s="3119">
        <f ca="1">IFERROR($X221*W221,0)</f>
        <v>0</v>
      </c>
      <c r="AA221" s="3115">
        <f ca="1">IFERROR(Y221*N221,0)</f>
        <v>0</v>
      </c>
      <c r="AB221" s="3115">
        <f ca="1">Z221+AA221</f>
        <v>0</v>
      </c>
      <c r="AK221" s="313"/>
      <c r="AL221" s="313"/>
      <c r="AM221" s="313"/>
      <c r="AO221" s="385"/>
      <c r="AP221" s="385"/>
      <c r="AQ221" s="385"/>
      <c r="AR221" s="1048"/>
      <c r="AS221" s="385"/>
      <c r="AT221" s="879">
        <f t="shared" ca="1" si="127"/>
        <v>0</v>
      </c>
      <c r="AU221" s="879">
        <f ca="1">COUNTIFS(AT$7:$AT221,1)</f>
        <v>4</v>
      </c>
    </row>
    <row r="222" spans="1:47" ht="12.75" hidden="1" outlineLevel="1">
      <c r="A222" s="1269"/>
      <c r="B222" s="1738" t="s">
        <v>173</v>
      </c>
      <c r="C222" s="313" t="str">
        <f>input!C590</f>
        <v>E-Flute</v>
      </c>
      <c r="E222" s="363"/>
      <c r="F222" s="363" t="str">
        <f ca="1">input!F590</f>
        <v>N</v>
      </c>
      <c r="G222" s="363"/>
      <c r="H222" s="313">
        <f ca="1">SUMIFS(Paper!$AC$7:$AC$30,Paper!$A$7:$A$30,'Production cost'!F222)</f>
        <v>0</v>
      </c>
      <c r="I222" s="313">
        <f ca="1">IF(input!$G590&gt;0,input!$G590,IF(OR($C222=Data!$L$1167,$C222=Data!$L$1166),500,IF($C222=Data!$L$1168,3000,IF($C222=Data!$L$1169,ROUNDDOWN(40000*60/SUMIFS(Paper!$O$7:$O$21,Paper!$A$7:$A$21,'Production cost'!$F222),-2),2000))))</f>
        <v>3000</v>
      </c>
      <c r="J222" s="313" t="str">
        <f>input!$H590</f>
        <v>Sheets</v>
      </c>
      <c r="K222" s="360">
        <v>0</v>
      </c>
      <c r="L222" s="313">
        <f ca="1">IF(input!$I590&gt;0,input!$I590,3)</f>
        <v>3</v>
      </c>
      <c r="M222" s="391">
        <f ca="1">IF(H222&gt;0,SUMIF(Data!$L$1155:$L$1190,'Production cost'!$C222,Data!$Q$1155:$Q$1190)*SUMIF(Paper!$A$7:$A$29,'Production cost'!$F222,Paper!$J$7:$J$29),0)</f>
        <v>0</v>
      </c>
      <c r="N222" s="391">
        <f ca="1">IF(H222&gt;0,ROUNDUP(((H222/I222)/$M$5+M222),1),0)</f>
        <v>0</v>
      </c>
      <c r="P222" s="313">
        <f>SUMIF(Data!$L$1155:$L$1190,'Production cost'!$C222,Data!$N$1155:$N$1190)</f>
        <v>64593.240854333337</v>
      </c>
      <c r="Q222" s="313">
        <f t="shared" ca="1" si="120"/>
        <v>0</v>
      </c>
      <c r="R222" s="313">
        <f ca="1">IF($E$2&gt;0,Q222/$E$2,0)</f>
        <v>0</v>
      </c>
      <c r="S222" s="1741">
        <f ca="1">IF(M222&gt;0,K222*O222+L222*P222,0)</f>
        <v>0</v>
      </c>
      <c r="T222" s="313" t="str">
        <f ca="1">input!J590</f>
        <v>N</v>
      </c>
      <c r="V222" s="3115" t="str">
        <f>input!K590</f>
        <v>Packaging</v>
      </c>
      <c r="W222" s="3115">
        <f ca="1">N222*(L222+K222)</f>
        <v>0</v>
      </c>
      <c r="X222" s="3119">
        <f>VLOOKUP(V222,'Fix Cost'!$K$177:$M$179,2,0)</f>
        <v>58449.923860467366</v>
      </c>
      <c r="Y222" s="3119">
        <f>VLOOKUP(V222,'Fix Cost'!$K$177:$M$179,3,0)</f>
        <v>267411.04680782068</v>
      </c>
      <c r="Z222" s="3119">
        <f ca="1">IFERROR($X222*W222,0)</f>
        <v>0</v>
      </c>
      <c r="AA222" s="3115">
        <f ca="1">IFERROR(Y222*N222,0)</f>
        <v>0</v>
      </c>
      <c r="AB222" s="3115">
        <f ca="1">Z222+AA222</f>
        <v>0</v>
      </c>
      <c r="AK222" s="313"/>
      <c r="AL222" s="313"/>
      <c r="AM222" s="313"/>
      <c r="AO222" s="385"/>
      <c r="AP222" s="385"/>
      <c r="AQ222" s="385"/>
      <c r="AR222" s="1048"/>
      <c r="AS222" s="385"/>
      <c r="AT222" s="879">
        <f t="shared" ca="1" si="127"/>
        <v>0</v>
      </c>
      <c r="AU222" s="879">
        <f ca="1">COUNTIFS(AT$7:$AT222,1)</f>
        <v>4</v>
      </c>
    </row>
    <row r="223" spans="1:47" ht="12.75" hidden="1" outlineLevel="1">
      <c r="A223" s="1269"/>
      <c r="B223" s="1738" t="s">
        <v>173</v>
      </c>
      <c r="C223" s="313" t="str">
        <f>input!C591</f>
        <v>E-Flute</v>
      </c>
      <c r="E223" s="363"/>
      <c r="F223" s="363" t="str">
        <f ca="1">input!F591</f>
        <v>N</v>
      </c>
      <c r="G223" s="363"/>
      <c r="H223" s="313">
        <f ca="1">SUMIFS(Paper!$AC$7:$AC$30,Paper!$A$7:$A$30,'Production cost'!F223)</f>
        <v>0</v>
      </c>
      <c r="I223" s="313">
        <f ca="1">IF(input!$G591&gt;0,input!$G591,IF(OR($C223=Data!$L$1167,$C223=Data!$L$1166),500,IF($C223=Data!$L$1168,3000,IF($C223=Data!$L$1169,ROUNDDOWN(40000*60/SUMIFS(Paper!$O$7:$O$21,Paper!$A$7:$A$21,'Production cost'!$F223),-2),2000))))</f>
        <v>3000</v>
      </c>
      <c r="J223" s="313" t="str">
        <f>input!$H591</f>
        <v>Sheets</v>
      </c>
      <c r="K223" s="360">
        <v>0</v>
      </c>
      <c r="L223" s="313">
        <f ca="1">IF(input!$I591&gt;0,input!$I591,3)</f>
        <v>3</v>
      </c>
      <c r="M223" s="391">
        <f ca="1">IF(H223&gt;0,SUMIF(Data!$L$1155:$L$1190,'Production cost'!$C223,Data!$Q$1155:$Q$1190)*SUMIF(Paper!$A$7:$A$29,'Production cost'!$F223,Paper!$J$7:$J$29),0)</f>
        <v>0</v>
      </c>
      <c r="N223" s="391">
        <f t="shared" ref="N223:N227" ca="1" si="135">IF(H223&gt;0,ROUNDUP(((H223/I223)/$M$5+M223),1),0)</f>
        <v>0</v>
      </c>
      <c r="P223" s="313">
        <f>SUMIF(Data!$L$1155:$L$1190,'Production cost'!$C223,Data!$N$1155:$N$1190)</f>
        <v>64593.240854333337</v>
      </c>
      <c r="Q223" s="313">
        <f t="shared" ca="1" si="120"/>
        <v>0</v>
      </c>
      <c r="R223" s="313">
        <f t="shared" ref="R223:R227" ca="1" si="136">IF($E$2&gt;0,Q223/$E$2,0)</f>
        <v>0</v>
      </c>
      <c r="S223" s="1741">
        <f t="shared" ref="S223:S227" ca="1" si="137">IF(M223&gt;0,K223*O223+L223*P223,0)</f>
        <v>0</v>
      </c>
      <c r="T223" s="313" t="str">
        <f ca="1">input!J591</f>
        <v>N</v>
      </c>
      <c r="V223" s="3115" t="str">
        <f>input!K591</f>
        <v>Packaging</v>
      </c>
      <c r="W223" s="3115">
        <f t="shared" ref="W223:W227" ca="1" si="138">N223*(L223+K223)</f>
        <v>0</v>
      </c>
      <c r="X223" s="3119">
        <f>VLOOKUP(V223,'Fix Cost'!$K$177:$M$179,2,0)</f>
        <v>58449.923860467366</v>
      </c>
      <c r="Y223" s="3119">
        <f>VLOOKUP(V223,'Fix Cost'!$K$177:$M$179,3,0)</f>
        <v>267411.04680782068</v>
      </c>
      <c r="Z223" s="3119">
        <f t="shared" ref="Z223:Z227" ca="1" si="139">IFERROR($X223*W223,0)</f>
        <v>0</v>
      </c>
      <c r="AA223" s="3115">
        <f t="shared" ref="AA223:AA227" ca="1" si="140">IFERROR(Y223*N223,0)</f>
        <v>0</v>
      </c>
      <c r="AB223" s="3115">
        <f t="shared" ref="AB223:AB227" ca="1" si="141">Z223+AA223</f>
        <v>0</v>
      </c>
      <c r="AK223" s="313"/>
      <c r="AL223" s="313"/>
      <c r="AM223" s="313"/>
      <c r="AO223" s="385"/>
      <c r="AP223" s="385"/>
      <c r="AQ223" s="385"/>
      <c r="AR223" s="1048"/>
      <c r="AS223" s="385"/>
      <c r="AT223" s="879">
        <f t="shared" ca="1" si="127"/>
        <v>0</v>
      </c>
      <c r="AU223" s="879">
        <f ca="1">COUNTIFS(AT$7:$AT223,1)</f>
        <v>4</v>
      </c>
    </row>
    <row r="224" spans="1:47" ht="12.75" hidden="1" outlineLevel="1">
      <c r="A224" s="1269"/>
      <c r="B224" s="1738" t="s">
        <v>173</v>
      </c>
      <c r="C224" s="313" t="str">
        <f>input!C592</f>
        <v>E-Flute</v>
      </c>
      <c r="E224" s="363"/>
      <c r="F224" s="363" t="str">
        <f ca="1">input!F592</f>
        <v>N</v>
      </c>
      <c r="G224" s="363"/>
      <c r="H224" s="313">
        <f ca="1">SUMIFS(Paper!$AC$7:$AC$30,Paper!$A$7:$A$30,'Production cost'!F224)</f>
        <v>0</v>
      </c>
      <c r="I224" s="313">
        <f ca="1">IF(input!$G592&gt;0,input!$G592,IF(OR($C224=Data!$L$1167,$C224=Data!$L$1166),500,IF($C224=Data!$L$1168,3000,IF($C224=Data!$L$1169,ROUNDDOWN(40000*60/SUMIFS(Paper!$O$7:$O$21,Paper!$A$7:$A$21,'Production cost'!$F224),-2),2000))))</f>
        <v>3000</v>
      </c>
      <c r="J224" s="313" t="str">
        <f>input!$H592</f>
        <v>Sheets</v>
      </c>
      <c r="K224" s="360">
        <v>0</v>
      </c>
      <c r="L224" s="313">
        <f ca="1">IF(input!$I592&gt;0,input!$I592,3)</f>
        <v>3</v>
      </c>
      <c r="M224" s="391">
        <f ca="1">IF(H224&gt;0,SUMIF(Data!$L$1155:$L$1190,'Production cost'!$C224,Data!$Q$1155:$Q$1190)*SUMIF(Paper!$A$7:$A$29,'Production cost'!$F224,Paper!$J$7:$J$29),0)</f>
        <v>0</v>
      </c>
      <c r="N224" s="391">
        <f t="shared" ca="1" si="135"/>
        <v>0</v>
      </c>
      <c r="P224" s="313">
        <f>SUMIF(Data!$L$1155:$L$1190,'Production cost'!$C224,Data!$N$1155:$N$1190)</f>
        <v>64593.240854333337</v>
      </c>
      <c r="Q224" s="313">
        <f t="shared" ca="1" si="120"/>
        <v>0</v>
      </c>
      <c r="R224" s="313">
        <f t="shared" ca="1" si="136"/>
        <v>0</v>
      </c>
      <c r="S224" s="1741">
        <f t="shared" ca="1" si="137"/>
        <v>0</v>
      </c>
      <c r="T224" s="313" t="str">
        <f ca="1">input!J592</f>
        <v>N</v>
      </c>
      <c r="V224" s="3115" t="str">
        <f>input!K592</f>
        <v>Packaging</v>
      </c>
      <c r="W224" s="3115">
        <f t="shared" ca="1" si="138"/>
        <v>0</v>
      </c>
      <c r="X224" s="3119">
        <f>VLOOKUP(V224,'Fix Cost'!$K$177:$M$179,2,0)</f>
        <v>58449.923860467366</v>
      </c>
      <c r="Y224" s="3119">
        <f>VLOOKUP(V224,'Fix Cost'!$K$177:$M$179,3,0)</f>
        <v>267411.04680782068</v>
      </c>
      <c r="Z224" s="3119">
        <f t="shared" ca="1" si="139"/>
        <v>0</v>
      </c>
      <c r="AA224" s="3115">
        <f t="shared" ca="1" si="140"/>
        <v>0</v>
      </c>
      <c r="AB224" s="3115">
        <f t="shared" ca="1" si="141"/>
        <v>0</v>
      </c>
      <c r="AK224" s="313"/>
      <c r="AL224" s="313"/>
      <c r="AM224" s="313"/>
      <c r="AO224" s="385"/>
      <c r="AP224" s="385"/>
      <c r="AQ224" s="385"/>
      <c r="AR224" s="1048"/>
      <c r="AS224" s="385"/>
      <c r="AT224" s="879">
        <f t="shared" ca="1" si="127"/>
        <v>0</v>
      </c>
      <c r="AU224" s="879">
        <f ca="1">COUNTIFS(AT$7:$AT224,1)</f>
        <v>4</v>
      </c>
    </row>
    <row r="225" spans="1:47" ht="12.75" hidden="1" outlineLevel="1">
      <c r="A225" s="1269"/>
      <c r="B225" s="1738" t="s">
        <v>173</v>
      </c>
      <c r="C225" s="313" t="str">
        <f>input!C593</f>
        <v>E-Flute</v>
      </c>
      <c r="E225" s="363"/>
      <c r="F225" s="363" t="str">
        <f ca="1">input!F593</f>
        <v>N</v>
      </c>
      <c r="G225" s="363"/>
      <c r="H225" s="313">
        <f ca="1">SUMIFS(Paper!$AC$7:$AC$30,Paper!$A$7:$A$30,'Production cost'!F225)</f>
        <v>0</v>
      </c>
      <c r="I225" s="313">
        <f ca="1">IF(input!$G593&gt;0,input!$G593,IF(OR($C225=Data!$L$1167,$C225=Data!$L$1166),500,IF($C225=Data!$L$1168,3000,IF($C225=Data!$L$1169,ROUNDDOWN(40000*60/SUMIFS(Paper!$O$7:$O$21,Paper!$A$7:$A$21,'Production cost'!$F225),-2),2000))))</f>
        <v>3000</v>
      </c>
      <c r="J225" s="313" t="str">
        <f>input!$H593</f>
        <v>Sheets</v>
      </c>
      <c r="K225" s="360">
        <v>0</v>
      </c>
      <c r="L225" s="313">
        <f ca="1">IF(input!$I593&gt;0,input!$I593,3)</f>
        <v>3</v>
      </c>
      <c r="M225" s="391">
        <f ca="1">IF(H225&gt;0,SUMIF(Data!$L$1155:$L$1190,'Production cost'!$C225,Data!$Q$1155:$Q$1190)*SUMIF(Paper!$A$7:$A$29,'Production cost'!$F225,Paper!$J$7:$J$29),0)</f>
        <v>0</v>
      </c>
      <c r="N225" s="391">
        <f t="shared" ca="1" si="135"/>
        <v>0</v>
      </c>
      <c r="P225" s="313">
        <f>SUMIF(Data!$L$1155:$L$1190,'Production cost'!$C225,Data!$N$1155:$N$1190)</f>
        <v>64593.240854333337</v>
      </c>
      <c r="Q225" s="313">
        <f t="shared" ca="1" si="120"/>
        <v>0</v>
      </c>
      <c r="R225" s="313">
        <f t="shared" ca="1" si="136"/>
        <v>0</v>
      </c>
      <c r="S225" s="1741">
        <f t="shared" ca="1" si="137"/>
        <v>0</v>
      </c>
      <c r="T225" s="313" t="str">
        <f ca="1">input!J593</f>
        <v>N</v>
      </c>
      <c r="V225" s="3115" t="str">
        <f>input!K593</f>
        <v>Packaging</v>
      </c>
      <c r="W225" s="3115">
        <f t="shared" ca="1" si="138"/>
        <v>0</v>
      </c>
      <c r="X225" s="3119">
        <f>VLOOKUP(V225,'Fix Cost'!$K$177:$M$179,2,0)</f>
        <v>58449.923860467366</v>
      </c>
      <c r="Y225" s="3119">
        <f>VLOOKUP(V225,'Fix Cost'!$K$177:$M$179,3,0)</f>
        <v>267411.04680782068</v>
      </c>
      <c r="Z225" s="3119">
        <f t="shared" ca="1" si="139"/>
        <v>0</v>
      </c>
      <c r="AA225" s="3115">
        <f t="shared" ca="1" si="140"/>
        <v>0</v>
      </c>
      <c r="AB225" s="3115">
        <f t="shared" ca="1" si="141"/>
        <v>0</v>
      </c>
      <c r="AK225" s="313"/>
      <c r="AL225" s="313"/>
      <c r="AM225" s="313"/>
      <c r="AO225" s="385"/>
      <c r="AP225" s="385"/>
      <c r="AQ225" s="385"/>
      <c r="AR225" s="1048"/>
      <c r="AS225" s="385"/>
      <c r="AT225" s="879">
        <f t="shared" ca="1" si="127"/>
        <v>0</v>
      </c>
      <c r="AU225" s="879">
        <f ca="1">COUNTIFS(AT$7:$AT225,1)</f>
        <v>4</v>
      </c>
    </row>
    <row r="226" spans="1:47" ht="12.75" hidden="1" outlineLevel="1">
      <c r="A226" s="1269"/>
      <c r="B226" s="1738" t="s">
        <v>173</v>
      </c>
      <c r="C226" s="313" t="str">
        <f>input!C594</f>
        <v>E-Flute</v>
      </c>
      <c r="E226" s="363"/>
      <c r="F226" s="363" t="str">
        <f ca="1">input!F594</f>
        <v>N</v>
      </c>
      <c r="G226" s="363"/>
      <c r="H226" s="313">
        <f ca="1">SUMIFS(Paper!$AC$7:$AC$30,Paper!$A$7:$A$30,'Production cost'!F226)</f>
        <v>0</v>
      </c>
      <c r="I226" s="313">
        <f ca="1">IF(input!$G594&gt;0,input!$G594,IF(OR($C226=Data!$L$1167,$C226=Data!$L$1166),500,IF($C226=Data!$L$1168,3000,IF($C226=Data!$L$1169,ROUNDDOWN(40000*60/SUMIFS(Paper!$O$7:$O$21,Paper!$A$7:$A$21,'Production cost'!$F226),-2),2000))))</f>
        <v>3000</v>
      </c>
      <c r="J226" s="313" t="str">
        <f>input!$H594</f>
        <v>Sheets</v>
      </c>
      <c r="K226" s="360">
        <v>0</v>
      </c>
      <c r="L226" s="313">
        <f ca="1">IF(input!$I594&gt;0,input!$I594,3)</f>
        <v>3</v>
      </c>
      <c r="M226" s="391">
        <f ca="1">IF(H226&gt;0,SUMIF(Data!$L$1155:$L$1190,'Production cost'!$C226,Data!$Q$1155:$Q$1190)*SUMIF(Paper!$A$7:$A$29,'Production cost'!$F226,Paper!$J$7:$J$29),0)</f>
        <v>0</v>
      </c>
      <c r="N226" s="391">
        <f t="shared" ca="1" si="135"/>
        <v>0</v>
      </c>
      <c r="P226" s="313">
        <f>SUMIF(Data!$L$1155:$L$1190,'Production cost'!$C226,Data!$N$1155:$N$1190)</f>
        <v>64593.240854333337</v>
      </c>
      <c r="Q226" s="313">
        <f t="shared" ca="1" si="120"/>
        <v>0</v>
      </c>
      <c r="R226" s="313">
        <f t="shared" ca="1" si="136"/>
        <v>0</v>
      </c>
      <c r="S226" s="1741">
        <f t="shared" ca="1" si="137"/>
        <v>0</v>
      </c>
      <c r="T226" s="313" t="str">
        <f ca="1">input!J594</f>
        <v>N</v>
      </c>
      <c r="V226" s="3115" t="str">
        <f>input!K594</f>
        <v>Packaging</v>
      </c>
      <c r="W226" s="3115">
        <f t="shared" ca="1" si="138"/>
        <v>0</v>
      </c>
      <c r="X226" s="3119">
        <f>VLOOKUP(V226,'Fix Cost'!$K$177:$M$179,2,0)</f>
        <v>58449.923860467366</v>
      </c>
      <c r="Y226" s="3119">
        <f>VLOOKUP(V226,'Fix Cost'!$K$177:$M$179,3,0)</f>
        <v>267411.04680782068</v>
      </c>
      <c r="Z226" s="3119">
        <f t="shared" ca="1" si="139"/>
        <v>0</v>
      </c>
      <c r="AA226" s="3115">
        <f t="shared" ca="1" si="140"/>
        <v>0</v>
      </c>
      <c r="AB226" s="3115">
        <f t="shared" ca="1" si="141"/>
        <v>0</v>
      </c>
      <c r="AK226" s="313"/>
      <c r="AL226" s="313"/>
      <c r="AM226" s="313"/>
      <c r="AO226" s="385"/>
      <c r="AP226" s="385"/>
      <c r="AQ226" s="385"/>
      <c r="AR226" s="1048"/>
      <c r="AS226" s="385"/>
      <c r="AT226" s="879">
        <f t="shared" ca="1" si="127"/>
        <v>0</v>
      </c>
      <c r="AU226" s="879">
        <f ca="1">COUNTIFS(AT$7:$AT226,1)</f>
        <v>4</v>
      </c>
    </row>
    <row r="227" spans="1:47" ht="12.75" hidden="1" outlineLevel="1">
      <c r="A227" s="1269"/>
      <c r="B227" s="1738" t="s">
        <v>173</v>
      </c>
      <c r="C227" s="313" t="str">
        <f>input!C595</f>
        <v>E-Flute</v>
      </c>
      <c r="E227" s="363"/>
      <c r="F227" s="363" t="str">
        <f ca="1">input!F595</f>
        <v>N</v>
      </c>
      <c r="G227" s="363"/>
      <c r="H227" s="313">
        <f ca="1">SUMIFS(Paper!$AC$7:$AC$30,Paper!$A$7:$A$30,'Production cost'!F227)</f>
        <v>0</v>
      </c>
      <c r="I227" s="313">
        <f ca="1">IF(input!$G595&gt;0,input!$G595,IF(OR($C227=Data!$L$1167,$C227=Data!$L$1166),500,IF($C227=Data!$L$1168,3000,IF($C227=Data!$L$1169,ROUNDDOWN(40000*60/SUMIFS(Paper!$O$7:$O$21,Paper!$A$7:$A$21,'Production cost'!$F227),-2),2000))))</f>
        <v>3000</v>
      </c>
      <c r="J227" s="313" t="str">
        <f>input!$H595</f>
        <v>Sheets</v>
      </c>
      <c r="K227" s="360">
        <v>0</v>
      </c>
      <c r="L227" s="313">
        <f ca="1">IF(input!$I595&gt;0,input!$I595,3)</f>
        <v>3</v>
      </c>
      <c r="M227" s="391">
        <f ca="1">IF(H227&gt;0,SUMIF(Data!$L$1155:$L$1190,'Production cost'!$C227,Data!$Q$1155:$Q$1190)*SUMIF(Paper!$A$7:$A$29,'Production cost'!$F227,Paper!$J$7:$J$29),0)</f>
        <v>0</v>
      </c>
      <c r="N227" s="391">
        <f t="shared" ca="1" si="135"/>
        <v>0</v>
      </c>
      <c r="P227" s="313">
        <f>SUMIF(Data!$L$1155:$L$1190,'Production cost'!$C227,Data!$N$1155:$N$1190)</f>
        <v>64593.240854333337</v>
      </c>
      <c r="Q227" s="313">
        <f t="shared" ca="1" si="120"/>
        <v>0</v>
      </c>
      <c r="R227" s="313">
        <f t="shared" ca="1" si="136"/>
        <v>0</v>
      </c>
      <c r="S227" s="1741">
        <f t="shared" ca="1" si="137"/>
        <v>0</v>
      </c>
      <c r="T227" s="313" t="str">
        <f ca="1">input!J595</f>
        <v>N</v>
      </c>
      <c r="V227" s="3115" t="str">
        <f>input!K595</f>
        <v>Packaging</v>
      </c>
      <c r="W227" s="3115">
        <f t="shared" ca="1" si="138"/>
        <v>0</v>
      </c>
      <c r="X227" s="3119">
        <f>VLOOKUP(V227,'Fix Cost'!$K$177:$M$179,2,0)</f>
        <v>58449.923860467366</v>
      </c>
      <c r="Y227" s="3119">
        <f>VLOOKUP(V227,'Fix Cost'!$K$177:$M$179,3,0)</f>
        <v>267411.04680782068</v>
      </c>
      <c r="Z227" s="3119">
        <f t="shared" ca="1" si="139"/>
        <v>0</v>
      </c>
      <c r="AA227" s="3115">
        <f t="shared" ca="1" si="140"/>
        <v>0</v>
      </c>
      <c r="AB227" s="3115">
        <f t="shared" ca="1" si="141"/>
        <v>0</v>
      </c>
      <c r="AK227" s="313"/>
      <c r="AL227" s="313"/>
      <c r="AM227" s="313"/>
      <c r="AO227" s="385"/>
      <c r="AP227" s="385"/>
      <c r="AQ227" s="385"/>
      <c r="AR227" s="1048"/>
      <c r="AS227" s="385"/>
      <c r="AT227" s="879">
        <f t="shared" ca="1" si="127"/>
        <v>0</v>
      </c>
      <c r="AU227" s="879">
        <f ca="1">COUNTIFS(AT$7:$AT227,1)</f>
        <v>4</v>
      </c>
    </row>
    <row r="228" spans="1:47" ht="12.75" hidden="1" outlineLevel="1">
      <c r="B228" s="1738" t="s">
        <v>173</v>
      </c>
      <c r="C228" s="313" t="str">
        <f>input!C596</f>
        <v>Roller Emboss</v>
      </c>
      <c r="E228" s="363"/>
      <c r="F228" s="363" t="str">
        <f ca="1">input!F596</f>
        <v>N</v>
      </c>
      <c r="G228" s="363"/>
      <c r="H228" s="313">
        <f ca="1">SUMIFS(Paper!$AC$7:$AC$30,Paper!$A$7:$A$30,'Production cost'!F228)</f>
        <v>0</v>
      </c>
      <c r="I228" s="313">
        <f ca="1">IF(input!$G596&gt;0,input!$G596,IF(OR($C228=Data!$L$1167,$C228=Data!$L$1166),500,IF($C228=Data!$L$1168,3000,IF($C228=Data!$L$1169,ROUNDDOWN(40000*60/SUMIFS(Paper!$O$7:$O$21,Paper!$A$7:$A$21,'Production cost'!$F228),-2),2000))))</f>
        <v>2000</v>
      </c>
      <c r="J228" s="313" t="str">
        <f>input!$H596</f>
        <v>Sheets</v>
      </c>
      <c r="K228" s="360">
        <v>0</v>
      </c>
      <c r="L228" s="313">
        <f ca="1">IF(input!$I596&gt;0,input!$I596,3)</f>
        <v>3</v>
      </c>
      <c r="M228" s="391">
        <f ca="1">IF(H228&gt;0,SUMIF(Data!$L$1155:$L$1190,'Production cost'!$C228,Data!$Q$1155:$Q$1190)*SUMIF(Paper!$A$7:$A$29,'Production cost'!$F228,Paper!$J$7:$J$29),0)</f>
        <v>0</v>
      </c>
      <c r="N228" s="391">
        <f t="shared" ca="1" si="119"/>
        <v>0</v>
      </c>
      <c r="P228" s="313">
        <f>SUMIF(Data!$L$1155:$L$1190,'Production cost'!$C228,Data!$N$1155:$N$1190)</f>
        <v>64593.240854333337</v>
      </c>
      <c r="Q228" s="313">
        <f t="shared" ca="1" si="120"/>
        <v>0</v>
      </c>
      <c r="R228" s="313">
        <f t="shared" ca="1" si="121"/>
        <v>0</v>
      </c>
      <c r="S228" s="1741">
        <f t="shared" ca="1" si="122"/>
        <v>0</v>
      </c>
      <c r="T228" s="313" t="str">
        <f ca="1">input!J596</f>
        <v>N</v>
      </c>
      <c r="V228" s="3115" t="str">
        <f>input!K596</f>
        <v>Packaging</v>
      </c>
      <c r="W228" s="3115">
        <f t="shared" ca="1" si="123"/>
        <v>0</v>
      </c>
      <c r="X228" s="3119">
        <f>VLOOKUP(V228,'Fix Cost'!$K$177:$M$179,2,0)</f>
        <v>58449.923860467366</v>
      </c>
      <c r="Y228" s="3119">
        <f>VLOOKUP(V228,'Fix Cost'!$K$177:$M$179,3,0)</f>
        <v>267411.04680782068</v>
      </c>
      <c r="Z228" s="3119">
        <f t="shared" ca="1" si="124"/>
        <v>0</v>
      </c>
      <c r="AA228" s="3115">
        <f t="shared" ca="1" si="125"/>
        <v>0</v>
      </c>
      <c r="AB228" s="3115">
        <f t="shared" ca="1" si="126"/>
        <v>0</v>
      </c>
      <c r="AK228" s="313"/>
      <c r="AL228" s="313"/>
      <c r="AM228" s="313"/>
      <c r="AO228" s="385"/>
      <c r="AP228" s="385"/>
      <c r="AQ228" s="385"/>
      <c r="AR228" s="1048"/>
      <c r="AS228" s="385"/>
      <c r="AT228" s="879">
        <f t="shared" ca="1" si="127"/>
        <v>0</v>
      </c>
      <c r="AU228" s="879">
        <f ca="1">COUNTIFS(AT$7:$AT228,1)</f>
        <v>4</v>
      </c>
    </row>
    <row r="229" spans="1:47" ht="12.75" hidden="1" outlineLevel="1">
      <c r="B229" s="1738" t="s">
        <v>173</v>
      </c>
      <c r="C229" s="313" t="str">
        <f>input!C597</f>
        <v>Roller Emboss</v>
      </c>
      <c r="E229" s="363"/>
      <c r="F229" s="363" t="str">
        <f ca="1">input!F597</f>
        <v>N</v>
      </c>
      <c r="G229" s="363"/>
      <c r="H229" s="313">
        <f ca="1">SUMIFS(Paper!$AC$7:$AC$30,Paper!$A$7:$A$30,'Production cost'!F229)</f>
        <v>0</v>
      </c>
      <c r="I229" s="313">
        <f ca="1">IF(input!$G597&gt;0,input!$G597,IF(OR($C229=Data!$L$1167,$C229=Data!$L$1166),500,IF($C229=Data!$L$1168,3000,IF($C229=Data!$L$1169,ROUNDDOWN(40000*60/SUMIFS(Paper!$O$7:$O$21,Paper!$A$7:$A$21,'Production cost'!$F229),-2),2000))))</f>
        <v>2000</v>
      </c>
      <c r="J229" s="313" t="str">
        <f>input!$H597</f>
        <v>Sheets</v>
      </c>
      <c r="K229" s="360">
        <v>0</v>
      </c>
      <c r="L229" s="313">
        <f ca="1">IF(input!$I597&gt;0,input!$I597,3)</f>
        <v>3</v>
      </c>
      <c r="M229" s="391">
        <f ca="1">IF(H229&gt;0,SUMIF(Data!$L$1155:$L$1190,'Production cost'!$C229,Data!$Q$1155:$Q$1190)*SUMIF(Paper!$A$7:$A$29,'Production cost'!$F229,Paper!$J$7:$J$29),0)</f>
        <v>0</v>
      </c>
      <c r="N229" s="391">
        <f t="shared" ref="N229:N247" ca="1" si="142">IF(H229&gt;0,ROUNDUP(((H229/I229)/$M$5+M229),1),0)</f>
        <v>0</v>
      </c>
      <c r="P229" s="313">
        <f>SUMIF(Data!$L$1155:$L$1190,'Production cost'!$C229,Data!$N$1155:$N$1190)</f>
        <v>64593.240854333337</v>
      </c>
      <c r="Q229" s="313">
        <f t="shared" ca="1" si="120"/>
        <v>0</v>
      </c>
      <c r="R229" s="313">
        <f t="shared" ref="R229:R247" ca="1" si="143">IF($E$2&gt;0,Q229/$E$2,0)</f>
        <v>0</v>
      </c>
      <c r="S229" s="1741">
        <f t="shared" ref="S229:S247" ca="1" si="144">IF(M229&gt;0,K229*O229+L229*P229,0)</f>
        <v>0</v>
      </c>
      <c r="T229" s="313" t="str">
        <f ca="1">input!J597</f>
        <v>N</v>
      </c>
      <c r="V229" s="3115" t="str">
        <f>input!K597</f>
        <v>Packaging</v>
      </c>
      <c r="W229" s="3115">
        <f t="shared" ca="1" si="123"/>
        <v>0</v>
      </c>
      <c r="X229" s="3119">
        <f>VLOOKUP(V229,'Fix Cost'!$K$177:$M$179,2,0)</f>
        <v>58449.923860467366</v>
      </c>
      <c r="Y229" s="3119">
        <f>VLOOKUP(V229,'Fix Cost'!$K$177:$M$179,3,0)</f>
        <v>267411.04680782068</v>
      </c>
      <c r="Z229" s="3119">
        <f t="shared" ca="1" si="124"/>
        <v>0</v>
      </c>
      <c r="AA229" s="3115">
        <f t="shared" ca="1" si="125"/>
        <v>0</v>
      </c>
      <c r="AB229" s="3115">
        <f t="shared" ca="1" si="126"/>
        <v>0</v>
      </c>
      <c r="AK229" s="313"/>
      <c r="AL229" s="313"/>
      <c r="AM229" s="313"/>
      <c r="AO229" s="385"/>
      <c r="AP229" s="385"/>
      <c r="AQ229" s="385"/>
      <c r="AR229" s="1048"/>
      <c r="AS229" s="385"/>
      <c r="AT229" s="879">
        <f t="shared" ca="1" si="127"/>
        <v>0</v>
      </c>
      <c r="AU229" s="879">
        <f ca="1">COUNTIFS(AT$7:$AT229,1)</f>
        <v>4</v>
      </c>
    </row>
    <row r="230" spans="1:47" ht="12.75" hidden="1" outlineLevel="1">
      <c r="B230" s="1738" t="s">
        <v>173</v>
      </c>
      <c r="C230" s="313" t="str">
        <f>input!C598</f>
        <v>Roller Emboss</v>
      </c>
      <c r="E230" s="363"/>
      <c r="F230" s="363" t="str">
        <f ca="1">input!F598</f>
        <v>N</v>
      </c>
      <c r="G230" s="363"/>
      <c r="H230" s="313">
        <f ca="1">SUMIFS(Paper!$AC$7:$AC$30,Paper!$A$7:$A$30,'Production cost'!F230)</f>
        <v>0</v>
      </c>
      <c r="I230" s="313">
        <f ca="1">IF(input!$G598&gt;0,input!$G598,IF(OR($C230=Data!$L$1167,$C230=Data!$L$1166),500,IF($C230=Data!$L$1168,3000,IF($C230=Data!$L$1169,ROUNDDOWN(40000*60/SUMIFS(Paper!$O$7:$O$21,Paper!$A$7:$A$21,'Production cost'!$F230),-2),2000))))</f>
        <v>2000</v>
      </c>
      <c r="J230" s="313" t="str">
        <f>input!$H598</f>
        <v>Sheets</v>
      </c>
      <c r="K230" s="360">
        <v>0</v>
      </c>
      <c r="L230" s="313">
        <f ca="1">IF(input!$I598&gt;0,input!$I598,3)</f>
        <v>3</v>
      </c>
      <c r="M230" s="391">
        <f ca="1">IF(H230&gt;0,SUMIF(Data!$L$1155:$L$1190,'Production cost'!$C230,Data!$Q$1155:$Q$1190)*SUMIF(Paper!$A$7:$A$29,'Production cost'!$F230,Paper!$J$7:$J$29),0)</f>
        <v>0</v>
      </c>
      <c r="N230" s="391">
        <f t="shared" ca="1" si="142"/>
        <v>0</v>
      </c>
      <c r="P230" s="313">
        <f>SUMIF(Data!$L$1155:$L$1190,'Production cost'!$C230,Data!$N$1155:$N$1190)</f>
        <v>64593.240854333337</v>
      </c>
      <c r="Q230" s="313">
        <f t="shared" ref="Q230:Q257" ca="1" si="145">(N230*O230*K230+N230*P230*L230)*(1+$R$702)</f>
        <v>0</v>
      </c>
      <c r="R230" s="313">
        <f t="shared" ca="1" si="143"/>
        <v>0</v>
      </c>
      <c r="S230" s="1741">
        <f t="shared" ca="1" si="144"/>
        <v>0</v>
      </c>
      <c r="T230" s="313" t="str">
        <f ca="1">input!J598</f>
        <v>N</v>
      </c>
      <c r="V230" s="3115" t="str">
        <f>input!K598</f>
        <v>Packaging</v>
      </c>
      <c r="W230" s="3115">
        <f t="shared" ca="1" si="123"/>
        <v>0</v>
      </c>
      <c r="X230" s="3119">
        <f>VLOOKUP(V230,'Fix Cost'!$K$177:$M$179,2,0)</f>
        <v>58449.923860467366</v>
      </c>
      <c r="Y230" s="3119">
        <f>VLOOKUP(V230,'Fix Cost'!$K$177:$M$179,3,0)</f>
        <v>267411.04680782068</v>
      </c>
      <c r="Z230" s="3119">
        <f t="shared" ca="1" si="124"/>
        <v>0</v>
      </c>
      <c r="AA230" s="3115">
        <f t="shared" ca="1" si="125"/>
        <v>0</v>
      </c>
      <c r="AB230" s="3115">
        <f t="shared" ca="1" si="126"/>
        <v>0</v>
      </c>
      <c r="AK230" s="313"/>
      <c r="AL230" s="313"/>
      <c r="AM230" s="313"/>
      <c r="AO230" s="385"/>
      <c r="AP230" s="385"/>
      <c r="AQ230" s="385"/>
      <c r="AR230" s="1048"/>
      <c r="AS230" s="385"/>
      <c r="AT230" s="879">
        <f t="shared" ca="1" si="127"/>
        <v>0</v>
      </c>
      <c r="AU230" s="879">
        <f ca="1">COUNTIFS(AT$7:$AT230,1)</f>
        <v>4</v>
      </c>
    </row>
    <row r="231" spans="1:47" ht="12.75" hidden="1" outlineLevel="1">
      <c r="B231" s="1738" t="s">
        <v>173</v>
      </c>
      <c r="C231" s="313" t="str">
        <f>input!C599</f>
        <v>Roller Emboss</v>
      </c>
      <c r="E231" s="363"/>
      <c r="F231" s="363" t="str">
        <f ca="1">input!F599</f>
        <v>N</v>
      </c>
      <c r="G231" s="363"/>
      <c r="H231" s="313">
        <f ca="1">SUMIFS(Paper!$AC$7:$AC$30,Paper!$A$7:$A$30,'Production cost'!F231)</f>
        <v>0</v>
      </c>
      <c r="I231" s="313">
        <f ca="1">IF(input!$G599&gt;0,input!$G599,IF(OR($C231=Data!$L$1167,$C231=Data!$L$1166),500,IF($C231=Data!$L$1168,3000,IF($C231=Data!$L$1169,ROUNDDOWN(40000*60/SUMIFS(Paper!$O$7:$O$21,Paper!$A$7:$A$21,'Production cost'!$F231),-2),2000))))</f>
        <v>2000</v>
      </c>
      <c r="J231" s="313" t="str">
        <f>input!$H599</f>
        <v>Sheets</v>
      </c>
      <c r="K231" s="360">
        <v>0</v>
      </c>
      <c r="L231" s="313">
        <f ca="1">IF(input!$I599&gt;0,input!$I599,3)</f>
        <v>3</v>
      </c>
      <c r="M231" s="391">
        <f ca="1">IF(H231&gt;0,SUMIF(Data!$L$1155:$L$1190,'Production cost'!$C231,Data!$Q$1155:$Q$1190)*SUMIF(Paper!$A$7:$A$29,'Production cost'!$F231,Paper!$J$7:$J$29),0)</f>
        <v>0</v>
      </c>
      <c r="N231" s="391">
        <f t="shared" ca="1" si="142"/>
        <v>0</v>
      </c>
      <c r="P231" s="313">
        <f>SUMIF(Data!$L$1155:$L$1190,'Production cost'!$C231,Data!$N$1155:$N$1190)</f>
        <v>64593.240854333337</v>
      </c>
      <c r="Q231" s="313">
        <f t="shared" ca="1" si="145"/>
        <v>0</v>
      </c>
      <c r="R231" s="313">
        <f t="shared" ca="1" si="143"/>
        <v>0</v>
      </c>
      <c r="S231" s="1741">
        <f t="shared" ca="1" si="144"/>
        <v>0</v>
      </c>
      <c r="T231" s="313" t="str">
        <f ca="1">input!J599</f>
        <v>N</v>
      </c>
      <c r="V231" s="3115" t="str">
        <f>input!K599</f>
        <v>Packaging</v>
      </c>
      <c r="W231" s="3115">
        <f t="shared" ca="1" si="123"/>
        <v>0</v>
      </c>
      <c r="X231" s="3119">
        <f>VLOOKUP(V231,'Fix Cost'!$K$177:$M$179,2,0)</f>
        <v>58449.923860467366</v>
      </c>
      <c r="Y231" s="3119">
        <f>VLOOKUP(V231,'Fix Cost'!$K$177:$M$179,3,0)</f>
        <v>267411.04680782068</v>
      </c>
      <c r="Z231" s="3119">
        <f t="shared" ca="1" si="124"/>
        <v>0</v>
      </c>
      <c r="AA231" s="3115">
        <f t="shared" ca="1" si="125"/>
        <v>0</v>
      </c>
      <c r="AB231" s="3115">
        <f t="shared" ca="1" si="126"/>
        <v>0</v>
      </c>
      <c r="AK231" s="313"/>
      <c r="AL231" s="313"/>
      <c r="AM231" s="313"/>
      <c r="AO231" s="385"/>
      <c r="AP231" s="385"/>
      <c r="AQ231" s="385"/>
      <c r="AR231" s="1048"/>
      <c r="AS231" s="385"/>
      <c r="AT231" s="879">
        <f t="shared" ca="1" si="127"/>
        <v>0</v>
      </c>
      <c r="AU231" s="879">
        <f ca="1">COUNTIFS(AT$7:$AT231,1)</f>
        <v>4</v>
      </c>
    </row>
    <row r="232" spans="1:47" ht="12.75" hidden="1" outlineLevel="1">
      <c r="B232" s="1738" t="s">
        <v>173</v>
      </c>
      <c r="C232" s="313" t="str">
        <f>input!C600</f>
        <v>Roller Emboss</v>
      </c>
      <c r="E232" s="363"/>
      <c r="F232" s="363" t="str">
        <f ca="1">input!F600</f>
        <v>N</v>
      </c>
      <c r="G232" s="363"/>
      <c r="H232" s="313">
        <f ca="1">SUMIFS(Paper!$AC$7:$AC$30,Paper!$A$7:$A$30,'Production cost'!F232)</f>
        <v>0</v>
      </c>
      <c r="I232" s="313">
        <f ca="1">IF(input!$G600&gt;0,input!$G600,IF(OR($C232=Data!$L$1167,$C232=Data!$L$1166),500,IF($C232=Data!$L$1168,3000,IF($C232=Data!$L$1169,ROUNDDOWN(40000*60/SUMIFS(Paper!$O$7:$O$21,Paper!$A$7:$A$21,'Production cost'!$F232),-2),2000))))</f>
        <v>2000</v>
      </c>
      <c r="J232" s="313" t="str">
        <f>input!$H600</f>
        <v>Sheets</v>
      </c>
      <c r="K232" s="360">
        <v>0</v>
      </c>
      <c r="L232" s="313">
        <f ca="1">IF(input!$I600&gt;0,input!$I600,3)</f>
        <v>3</v>
      </c>
      <c r="M232" s="391">
        <f ca="1">IF(H232&gt;0,SUMIF(Data!$L$1155:$L$1190,'Production cost'!$C232,Data!$Q$1155:$Q$1190)*SUMIF(Paper!$A$7:$A$29,'Production cost'!$F232,Paper!$J$7:$J$29),0)</f>
        <v>0</v>
      </c>
      <c r="N232" s="391">
        <f t="shared" ca="1" si="142"/>
        <v>0</v>
      </c>
      <c r="P232" s="313">
        <f>SUMIF(Data!$L$1155:$L$1190,'Production cost'!$C232,Data!$N$1155:$N$1190)</f>
        <v>64593.240854333337</v>
      </c>
      <c r="Q232" s="313">
        <f t="shared" ca="1" si="145"/>
        <v>0</v>
      </c>
      <c r="R232" s="313">
        <f t="shared" ca="1" si="143"/>
        <v>0</v>
      </c>
      <c r="S232" s="1741">
        <f t="shared" ca="1" si="144"/>
        <v>0</v>
      </c>
      <c r="T232" s="313" t="str">
        <f ca="1">input!J600</f>
        <v>N</v>
      </c>
      <c r="V232" s="3115" t="str">
        <f>input!K600</f>
        <v>Packaging</v>
      </c>
      <c r="W232" s="3115">
        <f t="shared" ca="1" si="123"/>
        <v>0</v>
      </c>
      <c r="X232" s="3119">
        <f>VLOOKUP(V232,'Fix Cost'!$K$177:$M$179,2,0)</f>
        <v>58449.923860467366</v>
      </c>
      <c r="Y232" s="3119">
        <f>VLOOKUP(V232,'Fix Cost'!$K$177:$M$179,3,0)</f>
        <v>267411.04680782068</v>
      </c>
      <c r="Z232" s="3119">
        <f t="shared" ca="1" si="124"/>
        <v>0</v>
      </c>
      <c r="AA232" s="3115">
        <f t="shared" ca="1" si="125"/>
        <v>0</v>
      </c>
      <c r="AB232" s="3115">
        <f t="shared" ca="1" si="126"/>
        <v>0</v>
      </c>
      <c r="AK232" s="313"/>
      <c r="AL232" s="313"/>
      <c r="AM232" s="313"/>
      <c r="AO232" s="385"/>
      <c r="AP232" s="385"/>
      <c r="AQ232" s="385"/>
      <c r="AR232" s="1048"/>
      <c r="AS232" s="385"/>
      <c r="AT232" s="879">
        <f t="shared" ca="1" si="127"/>
        <v>0</v>
      </c>
      <c r="AU232" s="879">
        <f ca="1">COUNTIFS(AT$7:$AT232,1)</f>
        <v>4</v>
      </c>
    </row>
    <row r="233" spans="1:47" ht="12.75" hidden="1" outlineLevel="1">
      <c r="B233" s="1738" t="s">
        <v>173</v>
      </c>
      <c r="C233" s="313" t="str">
        <f>input!C601</f>
        <v>Roller Emboss</v>
      </c>
      <c r="E233" s="363"/>
      <c r="F233" s="363" t="str">
        <f ca="1">input!F601</f>
        <v>N</v>
      </c>
      <c r="G233" s="363"/>
      <c r="H233" s="313">
        <f ca="1">SUMIFS(Paper!$AC$7:$AC$30,Paper!$A$7:$A$30,'Production cost'!F233)</f>
        <v>0</v>
      </c>
      <c r="I233" s="313">
        <f ca="1">IF(input!$G601&gt;0,input!$G601,IF(OR($C233=Data!$L$1167,$C233=Data!$L$1166),500,IF($C233=Data!$L$1168,3000,IF($C233=Data!$L$1169,ROUNDDOWN(40000*60/SUMIFS(Paper!$O$7:$O$21,Paper!$A$7:$A$21,'Production cost'!$F233),-2),2000))))</f>
        <v>2000</v>
      </c>
      <c r="J233" s="313" t="str">
        <f>input!$H601</f>
        <v>Sheets</v>
      </c>
      <c r="K233" s="360">
        <v>0</v>
      </c>
      <c r="L233" s="313">
        <f ca="1">IF(input!$I601&gt;0,input!$I601,3)</f>
        <v>3</v>
      </c>
      <c r="M233" s="391">
        <f ca="1">IF(H233&gt;0,SUMIF(Data!$L$1155:$L$1190,'Production cost'!$C233,Data!$Q$1155:$Q$1190)*SUMIF(Paper!$A$7:$A$29,'Production cost'!$F233,Paper!$J$7:$J$29),0)</f>
        <v>0</v>
      </c>
      <c r="N233" s="391">
        <f ca="1">IF(H233&gt;0,ROUNDUP(((H233/I233)/$M$5+M233),1),0)</f>
        <v>0</v>
      </c>
      <c r="P233" s="313">
        <f>SUMIF(Data!$L$1155:$L$1190,'Production cost'!$C233,Data!$N$1155:$N$1190)</f>
        <v>64593.240854333337</v>
      </c>
      <c r="Q233" s="313">
        <f t="shared" ca="1" si="145"/>
        <v>0</v>
      </c>
      <c r="R233" s="313">
        <f ca="1">IF($E$2&gt;0,Q233/$E$2,0)</f>
        <v>0</v>
      </c>
      <c r="S233" s="1741">
        <f ca="1">IF(M233&gt;0,K233*O233+L233*P233,0)</f>
        <v>0</v>
      </c>
      <c r="T233" s="313" t="str">
        <f ca="1">input!J601</f>
        <v>N</v>
      </c>
      <c r="V233" s="3115" t="str">
        <f>input!K601</f>
        <v>Packaging</v>
      </c>
      <c r="W233" s="3115">
        <f ca="1">N233*(L233+K233)</f>
        <v>0</v>
      </c>
      <c r="X233" s="3119">
        <f>VLOOKUP(V233,'Fix Cost'!$K$177:$M$179,2,0)</f>
        <v>58449.923860467366</v>
      </c>
      <c r="Y233" s="3119">
        <f>VLOOKUP(V233,'Fix Cost'!$K$177:$M$179,3,0)</f>
        <v>267411.04680782068</v>
      </c>
      <c r="Z233" s="3119">
        <f ca="1">IFERROR($X233*W233,0)</f>
        <v>0</v>
      </c>
      <c r="AA233" s="3115">
        <f ca="1">IFERROR(Y233*N233,0)</f>
        <v>0</v>
      </c>
      <c r="AB233" s="3115">
        <f ca="1">Z233+AA233</f>
        <v>0</v>
      </c>
      <c r="AK233" s="313"/>
      <c r="AL233" s="313"/>
      <c r="AM233" s="313"/>
      <c r="AO233" s="385"/>
      <c r="AP233" s="385"/>
      <c r="AQ233" s="385"/>
      <c r="AR233" s="1048"/>
      <c r="AS233" s="385"/>
      <c r="AT233" s="879">
        <f t="shared" ca="1" si="127"/>
        <v>0</v>
      </c>
      <c r="AU233" s="879">
        <f ca="1">COUNTIFS(AT$7:$AT233,1)</f>
        <v>4</v>
      </c>
    </row>
    <row r="234" spans="1:47" ht="12.75" hidden="1" outlineLevel="1">
      <c r="B234" s="1738" t="s">
        <v>173</v>
      </c>
      <c r="C234" s="313" t="str">
        <f>input!C602</f>
        <v>Roller Emboss</v>
      </c>
      <c r="E234" s="363"/>
      <c r="F234" s="363" t="str">
        <f ca="1">input!F602</f>
        <v>N</v>
      </c>
      <c r="G234" s="363"/>
      <c r="H234" s="313">
        <f ca="1">SUMIFS(Paper!$AC$7:$AC$30,Paper!$A$7:$A$30,'Production cost'!F234)</f>
        <v>0</v>
      </c>
      <c r="I234" s="313">
        <f ca="1">IF(input!$G602&gt;0,input!$G602,IF(OR($C234=Data!$L$1167,$C234=Data!$L$1166),500,IF($C234=Data!$L$1168,3000,IF($C234=Data!$L$1169,ROUNDDOWN(40000*60/SUMIFS(Paper!$O$7:$O$21,Paper!$A$7:$A$21,'Production cost'!$F234),-2),2000))))</f>
        <v>2000</v>
      </c>
      <c r="J234" s="313" t="str">
        <f>input!$H602</f>
        <v>Sheets</v>
      </c>
      <c r="K234" s="360">
        <v>0</v>
      </c>
      <c r="L234" s="313">
        <f ca="1">IF(input!$I602&gt;0,input!$I602,3)</f>
        <v>3</v>
      </c>
      <c r="M234" s="391">
        <f ca="1">IF(H234&gt;0,SUMIF(Data!$L$1155:$L$1190,'Production cost'!$C234,Data!$Q$1155:$Q$1190)*SUMIF(Paper!$A$7:$A$29,'Production cost'!$F234,Paper!$J$7:$J$29),0)</f>
        <v>0</v>
      </c>
      <c r="N234" s="391">
        <f ca="1">IF(H234&gt;0,ROUNDUP(((H234/I234)/$M$5+M234),1),0)</f>
        <v>0</v>
      </c>
      <c r="P234" s="313">
        <f>SUMIF(Data!$L$1155:$L$1190,'Production cost'!$C234,Data!$N$1155:$N$1190)</f>
        <v>64593.240854333337</v>
      </c>
      <c r="Q234" s="313">
        <f t="shared" ca="1" si="145"/>
        <v>0</v>
      </c>
      <c r="R234" s="313">
        <f ca="1">IF($E$2&gt;0,Q234/$E$2,0)</f>
        <v>0</v>
      </c>
      <c r="S234" s="1741">
        <f ca="1">IF(M234&gt;0,K234*O234+L234*P234,0)</f>
        <v>0</v>
      </c>
      <c r="T234" s="313" t="str">
        <f ca="1">input!J602</f>
        <v>N</v>
      </c>
      <c r="V234" s="3115" t="str">
        <f>input!K602</f>
        <v>Packaging</v>
      </c>
      <c r="W234" s="3115">
        <f ca="1">N234*(L234+K234)</f>
        <v>0</v>
      </c>
      <c r="X234" s="3119">
        <f>VLOOKUP(V234,'Fix Cost'!$K$177:$M$179,2,0)</f>
        <v>58449.923860467366</v>
      </c>
      <c r="Y234" s="3119">
        <f>VLOOKUP(V234,'Fix Cost'!$K$177:$M$179,3,0)</f>
        <v>267411.04680782068</v>
      </c>
      <c r="Z234" s="3119">
        <f ca="1">IFERROR($X234*W234,0)</f>
        <v>0</v>
      </c>
      <c r="AA234" s="3115">
        <f ca="1">IFERROR(Y234*N234,0)</f>
        <v>0</v>
      </c>
      <c r="AB234" s="3115">
        <f ca="1">Z234+AA234</f>
        <v>0</v>
      </c>
      <c r="AK234" s="313"/>
      <c r="AL234" s="313"/>
      <c r="AM234" s="313"/>
      <c r="AO234" s="385"/>
      <c r="AP234" s="385"/>
      <c r="AQ234" s="385"/>
      <c r="AR234" s="1048"/>
      <c r="AS234" s="385"/>
      <c r="AT234" s="879">
        <f t="shared" ca="1" si="127"/>
        <v>0</v>
      </c>
      <c r="AU234" s="879">
        <f ca="1">COUNTIFS(AT$7:$AT234,1)</f>
        <v>4</v>
      </c>
    </row>
    <row r="235" spans="1:47" ht="12.75" hidden="1" outlineLevel="1">
      <c r="B235" s="1738" t="s">
        <v>173</v>
      </c>
      <c r="C235" s="313" t="str">
        <f>input!C603</f>
        <v>Roller Emboss</v>
      </c>
      <c r="E235" s="363"/>
      <c r="F235" s="363" t="str">
        <f ca="1">input!F603</f>
        <v>N</v>
      </c>
      <c r="G235" s="363"/>
      <c r="H235" s="313">
        <f ca="1">SUMIFS(Paper!$AC$7:$AC$30,Paper!$A$7:$A$30,'Production cost'!F235)</f>
        <v>0</v>
      </c>
      <c r="I235" s="313">
        <f ca="1">IF(input!$G603&gt;0,input!$G603,IF(OR($C235=Data!$L$1167,$C235=Data!$L$1166),500,IF($C235=Data!$L$1168,3000,IF($C235=Data!$L$1169,ROUNDDOWN(40000*60/SUMIFS(Paper!$O$7:$O$21,Paper!$A$7:$A$21,'Production cost'!$F235),-2),2000))))</f>
        <v>2000</v>
      </c>
      <c r="J235" s="313" t="str">
        <f>input!$H603</f>
        <v>Sheets</v>
      </c>
      <c r="K235" s="360">
        <v>0</v>
      </c>
      <c r="L235" s="313">
        <f ca="1">IF(input!$I603&gt;0,input!$I603,3)</f>
        <v>3</v>
      </c>
      <c r="M235" s="391">
        <f ca="1">IF(H235&gt;0,SUMIF(Data!$L$1155:$L$1190,'Production cost'!$C235,Data!$Q$1155:$Q$1190)*SUMIF(Paper!$A$7:$A$29,'Production cost'!$F235,Paper!$J$7:$J$29),0)</f>
        <v>0</v>
      </c>
      <c r="N235" s="391">
        <f ca="1">IF(H235&gt;0,ROUNDUP(((H235/I235)/$M$5+M235),1),0)</f>
        <v>0</v>
      </c>
      <c r="P235" s="313">
        <f>SUMIF(Data!$L$1155:$L$1190,'Production cost'!$C235,Data!$N$1155:$N$1190)</f>
        <v>64593.240854333337</v>
      </c>
      <c r="Q235" s="313">
        <f t="shared" ca="1" si="145"/>
        <v>0</v>
      </c>
      <c r="R235" s="313">
        <f ca="1">IF($E$2&gt;0,Q235/$E$2,0)</f>
        <v>0</v>
      </c>
      <c r="S235" s="1741">
        <f ca="1">IF(M235&gt;0,K235*O235+L235*P235,0)</f>
        <v>0</v>
      </c>
      <c r="T235" s="313" t="str">
        <f ca="1">input!J603</f>
        <v>N</v>
      </c>
      <c r="V235" s="3115" t="str">
        <f>input!K603</f>
        <v>Packaging</v>
      </c>
      <c r="W235" s="3115">
        <f ca="1">N235*(L235+K235)</f>
        <v>0</v>
      </c>
      <c r="X235" s="3119">
        <f>VLOOKUP(V235,'Fix Cost'!$K$177:$M$179,2,0)</f>
        <v>58449.923860467366</v>
      </c>
      <c r="Y235" s="3119">
        <f>VLOOKUP(V235,'Fix Cost'!$K$177:$M$179,3,0)</f>
        <v>267411.04680782068</v>
      </c>
      <c r="Z235" s="3119">
        <f ca="1">IFERROR($X235*W235,0)</f>
        <v>0</v>
      </c>
      <c r="AA235" s="3115">
        <f ca="1">IFERROR(Y235*N235,0)</f>
        <v>0</v>
      </c>
      <c r="AB235" s="3115">
        <f ca="1">Z235+AA235</f>
        <v>0</v>
      </c>
      <c r="AK235" s="313"/>
      <c r="AL235" s="313"/>
      <c r="AM235" s="313"/>
      <c r="AO235" s="385"/>
      <c r="AP235" s="385"/>
      <c r="AQ235" s="385"/>
      <c r="AR235" s="1048"/>
      <c r="AS235" s="385"/>
      <c r="AT235" s="879">
        <f t="shared" ca="1" si="127"/>
        <v>0</v>
      </c>
      <c r="AU235" s="879">
        <f ca="1">COUNTIFS(AT$7:$AT235,1)</f>
        <v>4</v>
      </c>
    </row>
    <row r="236" spans="1:47" ht="12.75" hidden="1" outlineLevel="1">
      <c r="B236" s="1738" t="s">
        <v>173</v>
      </c>
      <c r="C236" s="313" t="str">
        <f>input!C604</f>
        <v>Roller Emboss</v>
      </c>
      <c r="E236" s="363"/>
      <c r="F236" s="363" t="str">
        <f ca="1">input!F604</f>
        <v>N</v>
      </c>
      <c r="G236" s="363"/>
      <c r="H236" s="313">
        <f ca="1">SUMIFS(Paper!$AC$7:$AC$30,Paper!$A$7:$A$30,'Production cost'!F236)</f>
        <v>0</v>
      </c>
      <c r="I236" s="313">
        <f ca="1">IF(input!$G604&gt;0,input!$G604,IF(OR($C236=Data!$L$1167,$C236=Data!$L$1166),500,IF($C236=Data!$L$1168,3000,IF($C236=Data!$L$1169,ROUNDDOWN(40000*60/SUMIFS(Paper!$O$7:$O$21,Paper!$A$7:$A$21,'Production cost'!$F236),-2),2000))))</f>
        <v>2000</v>
      </c>
      <c r="J236" s="313" t="str">
        <f>input!$H604</f>
        <v>Sheets</v>
      </c>
      <c r="K236" s="360">
        <v>0</v>
      </c>
      <c r="L236" s="313">
        <f ca="1">IF(input!$I604&gt;0,input!$I604,3)</f>
        <v>3</v>
      </c>
      <c r="M236" s="391">
        <f ca="1">IF(H236&gt;0,SUMIF(Data!$L$1155:$L$1190,'Production cost'!$C236,Data!$Q$1155:$Q$1190)*SUMIF(Paper!$A$7:$A$29,'Production cost'!$F236,Paper!$J$7:$J$29),0)</f>
        <v>0</v>
      </c>
      <c r="N236" s="391">
        <f ca="1">IF(H236&gt;0,ROUNDUP(((H236/I236)/$M$5+M236),1),0)</f>
        <v>0</v>
      </c>
      <c r="P236" s="313">
        <f>SUMIF(Data!$L$1155:$L$1190,'Production cost'!$C236,Data!$N$1155:$N$1190)</f>
        <v>64593.240854333337</v>
      </c>
      <c r="Q236" s="313">
        <f t="shared" ca="1" si="145"/>
        <v>0</v>
      </c>
      <c r="R236" s="313">
        <f ca="1">IF($E$2&gt;0,Q236/$E$2,0)</f>
        <v>0</v>
      </c>
      <c r="S236" s="1741">
        <f ca="1">IF(M236&gt;0,K236*O236+L236*P236,0)</f>
        <v>0</v>
      </c>
      <c r="T236" s="313" t="str">
        <f ca="1">input!J604</f>
        <v>N</v>
      </c>
      <c r="V236" s="3115" t="str">
        <f>input!K604</f>
        <v>Packaging</v>
      </c>
      <c r="W236" s="3115">
        <f ca="1">N236*(L236+K236)</f>
        <v>0</v>
      </c>
      <c r="X236" s="3119">
        <f>VLOOKUP(V236,'Fix Cost'!$K$177:$M$179,2,0)</f>
        <v>58449.923860467366</v>
      </c>
      <c r="Y236" s="3119">
        <f>VLOOKUP(V236,'Fix Cost'!$K$177:$M$179,3,0)</f>
        <v>267411.04680782068</v>
      </c>
      <c r="Z236" s="3119">
        <f ca="1">IFERROR($X236*W236,0)</f>
        <v>0</v>
      </c>
      <c r="AA236" s="3115">
        <f ca="1">IFERROR(Y236*N236,0)</f>
        <v>0</v>
      </c>
      <c r="AB236" s="3115">
        <f ca="1">Z236+AA236</f>
        <v>0</v>
      </c>
      <c r="AK236" s="313"/>
      <c r="AL236" s="313"/>
      <c r="AM236" s="313"/>
      <c r="AO236" s="385"/>
      <c r="AP236" s="385"/>
      <c r="AQ236" s="385"/>
      <c r="AR236" s="1048"/>
      <c r="AS236" s="385"/>
      <c r="AT236" s="879">
        <f t="shared" ca="1" si="127"/>
        <v>0</v>
      </c>
      <c r="AU236" s="879">
        <f ca="1">COUNTIFS(AT$7:$AT236,1)</f>
        <v>4</v>
      </c>
    </row>
    <row r="237" spans="1:47" ht="12.75" hidden="1" outlineLevel="1">
      <c r="B237" s="1738" t="s">
        <v>173</v>
      </c>
      <c r="C237" s="313" t="str">
        <f>input!C605</f>
        <v>Roller Emboss</v>
      </c>
      <c r="E237" s="363"/>
      <c r="F237" s="363" t="str">
        <f ca="1">input!F605</f>
        <v>N</v>
      </c>
      <c r="G237" s="363"/>
      <c r="H237" s="313">
        <f ca="1">SUMIFS(Paper!$AC$7:$AC$30,Paper!$A$7:$A$30,'Production cost'!F237)</f>
        <v>0</v>
      </c>
      <c r="I237" s="313">
        <f ca="1">IF(input!$G605&gt;0,input!$G605,IF(OR($C237=Data!$L$1167,$C237=Data!$L$1166),500,IF($C237=Data!$L$1168,3000,IF($C237=Data!$L$1169,ROUNDDOWN(40000*60/SUMIFS(Paper!$O$7:$O$21,Paper!$A$7:$A$21,'Production cost'!$F237),-2),2000))))</f>
        <v>2000</v>
      </c>
      <c r="J237" s="313" t="str">
        <f>input!$H605</f>
        <v>Sheets</v>
      </c>
      <c r="K237" s="360">
        <v>0</v>
      </c>
      <c r="L237" s="313">
        <f ca="1">IF(input!$I605&gt;0,input!$I605,3)</f>
        <v>3</v>
      </c>
      <c r="M237" s="391">
        <f ca="1">IF(H237&gt;0,SUMIF(Data!$L$1155:$L$1190,'Production cost'!$C237,Data!$Q$1155:$Q$1190)*SUMIF(Paper!$A$7:$A$29,'Production cost'!$F237,Paper!$J$7:$J$29),0)</f>
        <v>0</v>
      </c>
      <c r="N237" s="391">
        <f ca="1">IF(H237&gt;0,ROUNDUP(((H237/I237)/$M$5+M237),1),0)</f>
        <v>0</v>
      </c>
      <c r="P237" s="313">
        <f>SUMIF(Data!$L$1155:$L$1190,'Production cost'!$C237,Data!$N$1155:$N$1190)</f>
        <v>64593.240854333337</v>
      </c>
      <c r="Q237" s="313">
        <f t="shared" ca="1" si="145"/>
        <v>0</v>
      </c>
      <c r="R237" s="313">
        <f ca="1">IF($E$2&gt;0,Q237/$E$2,0)</f>
        <v>0</v>
      </c>
      <c r="S237" s="1741">
        <f ca="1">IF(M237&gt;0,K237*O237+L237*P237,0)</f>
        <v>0</v>
      </c>
      <c r="T237" s="313" t="str">
        <f ca="1">input!J605</f>
        <v>N</v>
      </c>
      <c r="V237" s="3115" t="str">
        <f>input!K605</f>
        <v>Packaging</v>
      </c>
      <c r="W237" s="3115">
        <f ca="1">N237*(L237+K237)</f>
        <v>0</v>
      </c>
      <c r="X237" s="3119">
        <f>VLOOKUP(V237,'Fix Cost'!$K$177:$M$179,2,0)</f>
        <v>58449.923860467366</v>
      </c>
      <c r="Y237" s="3119">
        <f>VLOOKUP(V237,'Fix Cost'!$K$177:$M$179,3,0)</f>
        <v>267411.04680782068</v>
      </c>
      <c r="Z237" s="3119">
        <f ca="1">IFERROR($X237*W237,0)</f>
        <v>0</v>
      </c>
      <c r="AA237" s="3115">
        <f ca="1">IFERROR(Y237*N237,0)</f>
        <v>0</v>
      </c>
      <c r="AB237" s="3115">
        <f ca="1">Z237+AA237</f>
        <v>0</v>
      </c>
      <c r="AK237" s="313"/>
      <c r="AL237" s="313"/>
      <c r="AM237" s="313"/>
      <c r="AO237" s="385"/>
      <c r="AP237" s="385"/>
      <c r="AQ237" s="385"/>
      <c r="AR237" s="1048"/>
      <c r="AS237" s="385"/>
      <c r="AT237" s="879">
        <f t="shared" ca="1" si="127"/>
        <v>0</v>
      </c>
      <c r="AU237" s="879">
        <f ca="1">COUNTIFS(AT$7:$AT237,1)</f>
        <v>4</v>
      </c>
    </row>
    <row r="238" spans="1:47" ht="12.75" hidden="1" outlineLevel="1">
      <c r="B238" s="1738" t="s">
        <v>173</v>
      </c>
      <c r="C238" s="313" t="str">
        <f>input!C606</f>
        <v>Roller Emboss</v>
      </c>
      <c r="E238" s="363"/>
      <c r="F238" s="363" t="str">
        <f ca="1">input!F606</f>
        <v>N</v>
      </c>
      <c r="G238" s="363"/>
      <c r="H238" s="313">
        <f ca="1">SUMIFS(Paper!$AC$7:$AC$30,Paper!$A$7:$A$30,'Production cost'!F238)</f>
        <v>0</v>
      </c>
      <c r="I238" s="313">
        <f ca="1">IF(input!$G606&gt;0,input!$G606,IF(OR($C238=Data!$L$1167,$C238=Data!$L$1166),500,IF($C238=Data!$L$1168,3000,IF($C238=Data!$L$1169,ROUNDDOWN(40000*60/SUMIFS(Paper!$O$7:$O$21,Paper!$A$7:$A$21,'Production cost'!$F238),-2),2000))))</f>
        <v>2000</v>
      </c>
      <c r="J238" s="313" t="str">
        <f>input!$H606</f>
        <v>Sheets</v>
      </c>
      <c r="K238" s="360">
        <v>0</v>
      </c>
      <c r="L238" s="313">
        <f ca="1">IF(input!$I606&gt;0,input!$I606,3)</f>
        <v>3</v>
      </c>
      <c r="M238" s="391">
        <f ca="1">IF(H238&gt;0,SUMIF(Data!$L$1155:$L$1190,'Production cost'!$C238,Data!$Q$1155:$Q$1190)*SUMIF(Paper!$A$7:$A$29,'Production cost'!$F238,Paper!$J$7:$J$29),0)</f>
        <v>0</v>
      </c>
      <c r="N238" s="391">
        <f t="shared" ref="N238:N242" ca="1" si="146">IF(H238&gt;0,ROUNDUP(((H238/I238)/$M$5+M238),1),0)</f>
        <v>0</v>
      </c>
      <c r="P238" s="313">
        <f>SUMIF(Data!$L$1155:$L$1190,'Production cost'!$C238,Data!$N$1155:$N$1190)</f>
        <v>64593.240854333337</v>
      </c>
      <c r="Q238" s="313">
        <f t="shared" ca="1" si="145"/>
        <v>0</v>
      </c>
      <c r="R238" s="313">
        <f t="shared" ref="R238:R242" ca="1" si="147">IF($E$2&gt;0,Q238/$E$2,0)</f>
        <v>0</v>
      </c>
      <c r="S238" s="1741">
        <f t="shared" ref="S238:S242" ca="1" si="148">IF(M238&gt;0,K238*O238+L238*P238,0)</f>
        <v>0</v>
      </c>
      <c r="T238" s="313" t="str">
        <f ca="1">input!J606</f>
        <v>N</v>
      </c>
      <c r="V238" s="3115" t="str">
        <f>input!K606</f>
        <v>Packaging</v>
      </c>
      <c r="W238" s="3115">
        <f t="shared" ref="W238:W242" ca="1" si="149">N238*(L238+K238)</f>
        <v>0</v>
      </c>
      <c r="X238" s="3119">
        <f>VLOOKUP(V238,'Fix Cost'!$K$177:$M$179,2,0)</f>
        <v>58449.923860467366</v>
      </c>
      <c r="Y238" s="3119">
        <f>VLOOKUP(V238,'Fix Cost'!$K$177:$M$179,3,0)</f>
        <v>267411.04680782068</v>
      </c>
      <c r="Z238" s="3119">
        <f t="shared" ref="Z238:Z242" ca="1" si="150">IFERROR($X238*W238,0)</f>
        <v>0</v>
      </c>
      <c r="AA238" s="3115">
        <f t="shared" ref="AA238:AA242" ca="1" si="151">IFERROR(Y238*N238,0)</f>
        <v>0</v>
      </c>
      <c r="AB238" s="3115">
        <f t="shared" ref="AB238:AB242" ca="1" si="152">Z238+AA238</f>
        <v>0</v>
      </c>
      <c r="AK238" s="313"/>
      <c r="AL238" s="313"/>
      <c r="AM238" s="313"/>
      <c r="AO238" s="385"/>
      <c r="AP238" s="385"/>
      <c r="AQ238" s="385"/>
      <c r="AR238" s="1048"/>
      <c r="AS238" s="385"/>
      <c r="AT238" s="879">
        <f t="shared" ca="1" si="127"/>
        <v>0</v>
      </c>
      <c r="AU238" s="879">
        <f ca="1">COUNTIFS(AT$7:$AT238,1)</f>
        <v>4</v>
      </c>
    </row>
    <row r="239" spans="1:47" ht="12.75" hidden="1" outlineLevel="1">
      <c r="B239" s="1738" t="s">
        <v>173</v>
      </c>
      <c r="C239" s="313" t="str">
        <f>input!C607</f>
        <v>Roller Emboss</v>
      </c>
      <c r="E239" s="363"/>
      <c r="F239" s="363" t="str">
        <f ca="1">input!F607</f>
        <v>N</v>
      </c>
      <c r="G239" s="363"/>
      <c r="H239" s="313">
        <f ca="1">SUMIFS(Paper!$AC$7:$AC$30,Paper!$A$7:$A$30,'Production cost'!F239)</f>
        <v>0</v>
      </c>
      <c r="I239" s="313">
        <f ca="1">IF(input!$G607&gt;0,input!$G607,IF(OR($C239=Data!$L$1167,$C239=Data!$L$1166),500,IF($C239=Data!$L$1168,3000,IF($C239=Data!$L$1169,ROUNDDOWN(40000*60/SUMIFS(Paper!$O$7:$O$21,Paper!$A$7:$A$21,'Production cost'!$F239),-2),2000))))</f>
        <v>2000</v>
      </c>
      <c r="J239" s="313" t="str">
        <f>input!$H607</f>
        <v>Sheets</v>
      </c>
      <c r="K239" s="360">
        <v>0</v>
      </c>
      <c r="L239" s="313">
        <f ca="1">IF(input!$I607&gt;0,input!$I607,3)</f>
        <v>3</v>
      </c>
      <c r="M239" s="391">
        <f ca="1">IF(H239&gt;0,SUMIF(Data!$L$1155:$L$1190,'Production cost'!$C239,Data!$Q$1155:$Q$1190)*SUMIF(Paper!$A$7:$A$29,'Production cost'!$F239,Paper!$J$7:$J$29),0)</f>
        <v>0</v>
      </c>
      <c r="N239" s="391">
        <f t="shared" ca="1" si="146"/>
        <v>0</v>
      </c>
      <c r="P239" s="313">
        <f>SUMIF(Data!$L$1155:$L$1190,'Production cost'!$C239,Data!$N$1155:$N$1190)</f>
        <v>64593.240854333337</v>
      </c>
      <c r="Q239" s="313">
        <f t="shared" ca="1" si="145"/>
        <v>0</v>
      </c>
      <c r="R239" s="313">
        <f t="shared" ca="1" si="147"/>
        <v>0</v>
      </c>
      <c r="S239" s="1741">
        <f t="shared" ca="1" si="148"/>
        <v>0</v>
      </c>
      <c r="T239" s="313" t="str">
        <f ca="1">input!J607</f>
        <v>N</v>
      </c>
      <c r="V239" s="3115" t="str">
        <f>input!K607</f>
        <v>Packaging</v>
      </c>
      <c r="W239" s="3115">
        <f t="shared" ca="1" si="149"/>
        <v>0</v>
      </c>
      <c r="X239" s="3119">
        <f>VLOOKUP(V239,'Fix Cost'!$K$177:$M$179,2,0)</f>
        <v>58449.923860467366</v>
      </c>
      <c r="Y239" s="3119">
        <f>VLOOKUP(V239,'Fix Cost'!$K$177:$M$179,3,0)</f>
        <v>267411.04680782068</v>
      </c>
      <c r="Z239" s="3119">
        <f t="shared" ca="1" si="150"/>
        <v>0</v>
      </c>
      <c r="AA239" s="3115">
        <f t="shared" ca="1" si="151"/>
        <v>0</v>
      </c>
      <c r="AB239" s="3115">
        <f t="shared" ca="1" si="152"/>
        <v>0</v>
      </c>
      <c r="AK239" s="313"/>
      <c r="AL239" s="313"/>
      <c r="AM239" s="313"/>
      <c r="AO239" s="385"/>
      <c r="AP239" s="385"/>
      <c r="AQ239" s="385"/>
      <c r="AR239" s="1048"/>
      <c r="AS239" s="385"/>
      <c r="AT239" s="879">
        <f t="shared" ca="1" si="127"/>
        <v>0</v>
      </c>
      <c r="AU239" s="879">
        <f ca="1">COUNTIFS(AT$7:$AT239,1)</f>
        <v>4</v>
      </c>
    </row>
    <row r="240" spans="1:47" ht="12.75" hidden="1" outlineLevel="1">
      <c r="B240" s="1738" t="s">
        <v>173</v>
      </c>
      <c r="C240" s="313" t="str">
        <f>input!C608</f>
        <v>Roller Emboss</v>
      </c>
      <c r="E240" s="363"/>
      <c r="F240" s="363" t="str">
        <f ca="1">input!F608</f>
        <v>N</v>
      </c>
      <c r="G240" s="363"/>
      <c r="H240" s="313">
        <f ca="1">SUMIFS(Paper!$AC$7:$AC$30,Paper!$A$7:$A$30,'Production cost'!F240)</f>
        <v>0</v>
      </c>
      <c r="I240" s="313">
        <f ca="1">IF(input!$G608&gt;0,input!$G608,IF(OR($C240=Data!$L$1167,$C240=Data!$L$1166),500,IF($C240=Data!$L$1168,3000,IF($C240=Data!$L$1169,ROUNDDOWN(40000*60/SUMIFS(Paper!$O$7:$O$21,Paper!$A$7:$A$21,'Production cost'!$F240),-2),2000))))</f>
        <v>2000</v>
      </c>
      <c r="J240" s="313" t="str">
        <f>input!$H608</f>
        <v>Sheets</v>
      </c>
      <c r="K240" s="360">
        <v>0</v>
      </c>
      <c r="L240" s="313">
        <f ca="1">IF(input!$I608&gt;0,input!$I608,3)</f>
        <v>3</v>
      </c>
      <c r="M240" s="391">
        <f ca="1">IF(H240&gt;0,SUMIF(Data!$L$1155:$L$1190,'Production cost'!$C240,Data!$Q$1155:$Q$1190)*SUMIF(Paper!$A$7:$A$29,'Production cost'!$F240,Paper!$J$7:$J$29),0)</f>
        <v>0</v>
      </c>
      <c r="N240" s="391">
        <f t="shared" ca="1" si="146"/>
        <v>0</v>
      </c>
      <c r="P240" s="313">
        <f>SUMIF(Data!$L$1155:$L$1190,'Production cost'!$C240,Data!$N$1155:$N$1190)</f>
        <v>64593.240854333337</v>
      </c>
      <c r="Q240" s="313">
        <f t="shared" ca="1" si="145"/>
        <v>0</v>
      </c>
      <c r="R240" s="313">
        <f t="shared" ca="1" si="147"/>
        <v>0</v>
      </c>
      <c r="S240" s="1741">
        <f t="shared" ca="1" si="148"/>
        <v>0</v>
      </c>
      <c r="T240" s="313" t="str">
        <f ca="1">input!J608</f>
        <v>N</v>
      </c>
      <c r="V240" s="3115" t="str">
        <f>input!K608</f>
        <v>Packaging</v>
      </c>
      <c r="W240" s="3115">
        <f t="shared" ca="1" si="149"/>
        <v>0</v>
      </c>
      <c r="X240" s="3119">
        <f>VLOOKUP(V240,'Fix Cost'!$K$177:$M$179,2,0)</f>
        <v>58449.923860467366</v>
      </c>
      <c r="Y240" s="3119">
        <f>VLOOKUP(V240,'Fix Cost'!$K$177:$M$179,3,0)</f>
        <v>267411.04680782068</v>
      </c>
      <c r="Z240" s="3119">
        <f t="shared" ca="1" si="150"/>
        <v>0</v>
      </c>
      <c r="AA240" s="3115">
        <f t="shared" ca="1" si="151"/>
        <v>0</v>
      </c>
      <c r="AB240" s="3115">
        <f t="shared" ca="1" si="152"/>
        <v>0</v>
      </c>
      <c r="AK240" s="313"/>
      <c r="AL240" s="313"/>
      <c r="AM240" s="313"/>
      <c r="AO240" s="385"/>
      <c r="AP240" s="385"/>
      <c r="AQ240" s="385"/>
      <c r="AR240" s="1048"/>
      <c r="AS240" s="385"/>
      <c r="AT240" s="879">
        <f t="shared" ca="1" si="127"/>
        <v>0</v>
      </c>
      <c r="AU240" s="879">
        <f ca="1">COUNTIFS(AT$7:$AT240,1)</f>
        <v>4</v>
      </c>
    </row>
    <row r="241" spans="2:47" ht="12.75" hidden="1" outlineLevel="1">
      <c r="B241" s="1738" t="s">
        <v>173</v>
      </c>
      <c r="C241" s="313" t="str">
        <f>input!C609</f>
        <v>Roller Emboss</v>
      </c>
      <c r="E241" s="363"/>
      <c r="F241" s="363" t="str">
        <f ca="1">input!F609</f>
        <v>N</v>
      </c>
      <c r="G241" s="363"/>
      <c r="H241" s="313">
        <f ca="1">SUMIFS(Paper!$AC$7:$AC$30,Paper!$A$7:$A$30,'Production cost'!F241)</f>
        <v>0</v>
      </c>
      <c r="I241" s="313">
        <f ca="1">IF(input!$G609&gt;0,input!$G609,IF(OR($C241=Data!$L$1167,$C241=Data!$L$1166),500,IF($C241=Data!$L$1168,3000,IF($C241=Data!$L$1169,ROUNDDOWN(40000*60/SUMIFS(Paper!$O$7:$O$21,Paper!$A$7:$A$21,'Production cost'!$F241),-2),2000))))</f>
        <v>2000</v>
      </c>
      <c r="J241" s="313" t="str">
        <f>input!$H609</f>
        <v>Sheets</v>
      </c>
      <c r="K241" s="360">
        <v>0</v>
      </c>
      <c r="L241" s="313">
        <f ca="1">IF(input!$I609&gt;0,input!$I609,3)</f>
        <v>3</v>
      </c>
      <c r="M241" s="391">
        <f ca="1">IF(H241&gt;0,SUMIF(Data!$L$1155:$L$1190,'Production cost'!$C241,Data!$Q$1155:$Q$1190)*SUMIF(Paper!$A$7:$A$29,'Production cost'!$F241,Paper!$J$7:$J$29),0)</f>
        <v>0</v>
      </c>
      <c r="N241" s="391">
        <f t="shared" ca="1" si="146"/>
        <v>0</v>
      </c>
      <c r="P241" s="313">
        <f>SUMIF(Data!$L$1155:$L$1190,'Production cost'!$C241,Data!$N$1155:$N$1190)</f>
        <v>64593.240854333337</v>
      </c>
      <c r="Q241" s="313">
        <f t="shared" ca="1" si="145"/>
        <v>0</v>
      </c>
      <c r="R241" s="313">
        <f t="shared" ca="1" si="147"/>
        <v>0</v>
      </c>
      <c r="S241" s="1741">
        <f t="shared" ca="1" si="148"/>
        <v>0</v>
      </c>
      <c r="T241" s="313" t="str">
        <f ca="1">input!J609</f>
        <v>N</v>
      </c>
      <c r="V241" s="3115" t="str">
        <f>input!K609</f>
        <v>Packaging</v>
      </c>
      <c r="W241" s="3115">
        <f t="shared" ca="1" si="149"/>
        <v>0</v>
      </c>
      <c r="X241" s="3119">
        <f>VLOOKUP(V241,'Fix Cost'!$K$177:$M$179,2,0)</f>
        <v>58449.923860467366</v>
      </c>
      <c r="Y241" s="3119">
        <f>VLOOKUP(V241,'Fix Cost'!$K$177:$M$179,3,0)</f>
        <v>267411.04680782068</v>
      </c>
      <c r="Z241" s="3119">
        <f t="shared" ca="1" si="150"/>
        <v>0</v>
      </c>
      <c r="AA241" s="3115">
        <f t="shared" ca="1" si="151"/>
        <v>0</v>
      </c>
      <c r="AB241" s="3115">
        <f t="shared" ca="1" si="152"/>
        <v>0</v>
      </c>
      <c r="AK241" s="313"/>
      <c r="AL241" s="313"/>
      <c r="AM241" s="313"/>
      <c r="AO241" s="385"/>
      <c r="AP241" s="385"/>
      <c r="AQ241" s="385"/>
      <c r="AR241" s="1048"/>
      <c r="AS241" s="385"/>
      <c r="AT241" s="879">
        <f t="shared" ca="1" si="127"/>
        <v>0</v>
      </c>
      <c r="AU241" s="879">
        <f ca="1">COUNTIFS(AT$7:$AT241,1)</f>
        <v>4</v>
      </c>
    </row>
    <row r="242" spans="2:47" ht="12.75" hidden="1" outlineLevel="1">
      <c r="B242" s="1738" t="s">
        <v>173</v>
      </c>
      <c r="C242" s="313" t="str">
        <f>input!C610</f>
        <v>Roller Emboss</v>
      </c>
      <c r="E242" s="363"/>
      <c r="F242" s="363" t="str">
        <f ca="1">input!F610</f>
        <v>N</v>
      </c>
      <c r="G242" s="363"/>
      <c r="H242" s="313">
        <f ca="1">SUMIFS(Paper!$AC$7:$AC$30,Paper!$A$7:$A$30,'Production cost'!F242)</f>
        <v>0</v>
      </c>
      <c r="I242" s="313">
        <f ca="1">IF(input!$G610&gt;0,input!$G610,IF(OR($C242=Data!$L$1167,$C242=Data!$L$1166),500,IF($C242=Data!$L$1168,3000,IF($C242=Data!$L$1169,ROUNDDOWN(40000*60/SUMIFS(Paper!$O$7:$O$21,Paper!$A$7:$A$21,'Production cost'!$F242),-2),2000))))</f>
        <v>2000</v>
      </c>
      <c r="J242" s="313" t="str">
        <f>input!$H610</f>
        <v>Sheets</v>
      </c>
      <c r="K242" s="360">
        <v>0</v>
      </c>
      <c r="L242" s="313">
        <f ca="1">IF(input!$I610&gt;0,input!$I610,3)</f>
        <v>3</v>
      </c>
      <c r="M242" s="391">
        <f ca="1">IF(H242&gt;0,SUMIF(Data!$L$1155:$L$1190,'Production cost'!$C242,Data!$Q$1155:$Q$1190)*SUMIF(Paper!$A$7:$A$29,'Production cost'!$F242,Paper!$J$7:$J$29),0)</f>
        <v>0</v>
      </c>
      <c r="N242" s="391">
        <f t="shared" ca="1" si="146"/>
        <v>0</v>
      </c>
      <c r="P242" s="313">
        <f>SUMIF(Data!$L$1155:$L$1190,'Production cost'!$C242,Data!$N$1155:$N$1190)</f>
        <v>64593.240854333337</v>
      </c>
      <c r="Q242" s="313">
        <f t="shared" ca="1" si="145"/>
        <v>0</v>
      </c>
      <c r="R242" s="313">
        <f t="shared" ca="1" si="147"/>
        <v>0</v>
      </c>
      <c r="S242" s="1741">
        <f t="shared" ca="1" si="148"/>
        <v>0</v>
      </c>
      <c r="T242" s="313" t="str">
        <f ca="1">input!J610</f>
        <v>N</v>
      </c>
      <c r="V242" s="3115" t="str">
        <f>input!K610</f>
        <v>Packaging</v>
      </c>
      <c r="W242" s="3115">
        <f t="shared" ca="1" si="149"/>
        <v>0</v>
      </c>
      <c r="X242" s="3119">
        <f>VLOOKUP(V242,'Fix Cost'!$K$177:$M$179,2,0)</f>
        <v>58449.923860467366</v>
      </c>
      <c r="Y242" s="3119">
        <f>VLOOKUP(V242,'Fix Cost'!$K$177:$M$179,3,0)</f>
        <v>267411.04680782068</v>
      </c>
      <c r="Z242" s="3119">
        <f t="shared" ca="1" si="150"/>
        <v>0</v>
      </c>
      <c r="AA242" s="3115">
        <f t="shared" ca="1" si="151"/>
        <v>0</v>
      </c>
      <c r="AB242" s="3115">
        <f t="shared" ca="1" si="152"/>
        <v>0</v>
      </c>
      <c r="AK242" s="313"/>
      <c r="AL242" s="313"/>
      <c r="AM242" s="313"/>
      <c r="AO242" s="385"/>
      <c r="AP242" s="385"/>
      <c r="AQ242" s="385"/>
      <c r="AR242" s="1048"/>
      <c r="AS242" s="385"/>
      <c r="AT242" s="879">
        <f t="shared" ca="1" si="127"/>
        <v>0</v>
      </c>
      <c r="AU242" s="879">
        <f ca="1">COUNTIFS(AT$7:$AT242,1)</f>
        <v>4</v>
      </c>
    </row>
    <row r="243" spans="2:47" ht="12.75" hidden="1" outlineLevel="1">
      <c r="B243" s="1738" t="s">
        <v>173</v>
      </c>
      <c r="C243" s="313" t="str">
        <f>input!C611</f>
        <v>Test</v>
      </c>
      <c r="E243" s="363"/>
      <c r="F243" s="363" t="str">
        <f>input!F611</f>
        <v>N</v>
      </c>
      <c r="G243" s="363"/>
      <c r="H243" s="313">
        <f>SUMIFS(Paper!$AC$7:$AC$30,Paper!$A$7:$A$30,'Production cost'!F243)</f>
        <v>0</v>
      </c>
      <c r="I243" s="313">
        <f>IF(input!$G611&gt;0,input!$G611,IF(OR($C243=Data!$L$1167,$C243=Data!$L$1166),500,IF($C243=Data!$L$1168,3000,IF($C243=Data!$L$1169,ROUNDDOWN(40000*60/SUMIFS(Paper!$O$7:$O$21,Paper!$A$7:$A$21,'Production cost'!$F243),-2),2000))))</f>
        <v>2000</v>
      </c>
      <c r="J243" s="313" t="str">
        <f>input!$H611</f>
        <v>Sheets</v>
      </c>
      <c r="K243" s="360">
        <v>0</v>
      </c>
      <c r="L243" s="313">
        <f>IF(input!$I611&gt;0,input!$I611,3)</f>
        <v>3</v>
      </c>
      <c r="M243" s="391">
        <f>IF(H243&gt;0,SUMIF(Data!$L$1155:$L$1190,'Production cost'!$C243,Data!$Q$1155:$Q$1190)*SUMIF(Paper!$A$7:$A$29,'Production cost'!$F243,Paper!$J$7:$J$29),0)</f>
        <v>0</v>
      </c>
      <c r="N243" s="391">
        <f t="shared" si="142"/>
        <v>0</v>
      </c>
      <c r="P243" s="313">
        <f>SUMIF(Data!$L$1155:$L$1190,'Production cost'!$C243,Data!$N$1155:$N$1190)</f>
        <v>0</v>
      </c>
      <c r="Q243" s="313">
        <f t="shared" si="145"/>
        <v>0</v>
      </c>
      <c r="R243" s="313">
        <f t="shared" si="143"/>
        <v>0</v>
      </c>
      <c r="S243" s="1741">
        <f t="shared" si="144"/>
        <v>0</v>
      </c>
      <c r="T243" s="313" t="str">
        <f>input!J611</f>
        <v>N</v>
      </c>
      <c r="V243" s="3115" t="str">
        <f>input!K611</f>
        <v>Packaging</v>
      </c>
      <c r="W243" s="3115">
        <f t="shared" si="123"/>
        <v>0</v>
      </c>
      <c r="X243" s="3119">
        <f>VLOOKUP(V243,'Fix Cost'!$K$177:$M$179,2,0)</f>
        <v>58449.923860467366</v>
      </c>
      <c r="Y243" s="3119">
        <f>VLOOKUP(V243,'Fix Cost'!$K$177:$M$179,3,0)</f>
        <v>267411.04680782068</v>
      </c>
      <c r="Z243" s="3119">
        <f t="shared" si="124"/>
        <v>0</v>
      </c>
      <c r="AA243" s="3115">
        <f t="shared" si="125"/>
        <v>0</v>
      </c>
      <c r="AB243" s="3115">
        <f t="shared" si="126"/>
        <v>0</v>
      </c>
      <c r="AK243" s="313"/>
      <c r="AL243" s="313"/>
      <c r="AM243" s="313"/>
      <c r="AO243" s="385"/>
      <c r="AP243" s="385"/>
      <c r="AQ243" s="385"/>
      <c r="AR243" s="1048"/>
      <c r="AS243" s="385"/>
      <c r="AT243" s="879">
        <f t="shared" si="127"/>
        <v>0</v>
      </c>
      <c r="AU243" s="879">
        <f ca="1">COUNTIFS(AT$7:$AT243,1)</f>
        <v>4</v>
      </c>
    </row>
    <row r="244" spans="2:47" ht="12.75" hidden="1" outlineLevel="1">
      <c r="B244" s="1738" t="s">
        <v>173</v>
      </c>
      <c r="C244" s="313" t="str">
        <f>input!C612</f>
        <v>Test</v>
      </c>
      <c r="E244" s="363"/>
      <c r="F244" s="363" t="str">
        <f>input!F612</f>
        <v>N</v>
      </c>
      <c r="G244" s="363"/>
      <c r="H244" s="313">
        <f>SUMIFS(Paper!$AC$7:$AC$30,Paper!$A$7:$A$30,'Production cost'!F244)</f>
        <v>0</v>
      </c>
      <c r="I244" s="313">
        <f>IF(input!$G612&gt;0,input!$G612,IF(OR($C244=Data!$L$1167,$C244=Data!$L$1166),500,IF($C244=Data!$L$1168,3000,IF($C244=Data!$L$1169,ROUNDDOWN(40000*60/SUMIFS(Paper!$O$7:$O$21,Paper!$A$7:$A$21,'Production cost'!$F244),-2),2000))))</f>
        <v>2000</v>
      </c>
      <c r="J244" s="313" t="str">
        <f>input!$H612</f>
        <v>Sheets</v>
      </c>
      <c r="K244" s="360">
        <v>0</v>
      </c>
      <c r="L244" s="313">
        <f>IF(input!$I612&gt;0,input!$I612,3)</f>
        <v>3</v>
      </c>
      <c r="M244" s="391">
        <f>IF(H244&gt;0,SUMIF(Data!$L$1155:$L$1190,'Production cost'!$C244,Data!$Q$1155:$Q$1190)*SUMIF(Paper!$A$7:$A$29,'Production cost'!$F244,Paper!$J$7:$J$29),0)</f>
        <v>0</v>
      </c>
      <c r="N244" s="391">
        <f t="shared" si="142"/>
        <v>0</v>
      </c>
      <c r="P244" s="313">
        <f>SUMIF(Data!$L$1155:$L$1190,'Production cost'!$C244,Data!$N$1155:$N$1190)</f>
        <v>0</v>
      </c>
      <c r="Q244" s="313">
        <f t="shared" si="145"/>
        <v>0</v>
      </c>
      <c r="R244" s="313">
        <f t="shared" si="143"/>
        <v>0</v>
      </c>
      <c r="S244" s="1741">
        <f t="shared" si="144"/>
        <v>0</v>
      </c>
      <c r="T244" s="313" t="str">
        <f>input!J612</f>
        <v>N</v>
      </c>
      <c r="V244" s="3115" t="str">
        <f>input!K612</f>
        <v>Packaging</v>
      </c>
      <c r="W244" s="3115">
        <f t="shared" si="123"/>
        <v>0</v>
      </c>
      <c r="X244" s="3119">
        <f>VLOOKUP(V244,'Fix Cost'!$K$177:$M$179,2,0)</f>
        <v>58449.923860467366</v>
      </c>
      <c r="Y244" s="3119">
        <f>VLOOKUP(V244,'Fix Cost'!$K$177:$M$179,3,0)</f>
        <v>267411.04680782068</v>
      </c>
      <c r="Z244" s="3119">
        <f t="shared" si="124"/>
        <v>0</v>
      </c>
      <c r="AA244" s="3115">
        <f t="shared" si="125"/>
        <v>0</v>
      </c>
      <c r="AB244" s="3115">
        <f t="shared" si="126"/>
        <v>0</v>
      </c>
      <c r="AK244" s="313"/>
      <c r="AL244" s="313"/>
      <c r="AM244" s="313"/>
      <c r="AO244" s="385"/>
      <c r="AP244" s="385"/>
      <c r="AQ244" s="385"/>
      <c r="AR244" s="1048"/>
      <c r="AS244" s="385"/>
      <c r="AT244" s="879">
        <f t="shared" si="127"/>
        <v>0</v>
      </c>
      <c r="AU244" s="879">
        <f ca="1">COUNTIFS(AT$7:$AT244,1)</f>
        <v>4</v>
      </c>
    </row>
    <row r="245" spans="2:47" ht="12.75" hidden="1" outlineLevel="1">
      <c r="B245" s="1738" t="s">
        <v>173</v>
      </c>
      <c r="C245" s="313" t="str">
        <f>input!C613</f>
        <v>Test</v>
      </c>
      <c r="E245" s="363"/>
      <c r="F245" s="363" t="str">
        <f>input!F613</f>
        <v>N</v>
      </c>
      <c r="G245" s="363"/>
      <c r="H245" s="313">
        <f>SUMIFS(Paper!$AC$7:$AC$30,Paper!$A$7:$A$30,'Production cost'!F245)</f>
        <v>0</v>
      </c>
      <c r="I245" s="313">
        <f>IF(input!$G613&gt;0,input!$G613,IF(OR($C245=Data!$L$1167,$C245=Data!$L$1166),500,IF($C245=Data!$L$1168,3000,IF($C245=Data!$L$1169,ROUNDDOWN(40000*60/SUMIFS(Paper!$O$7:$O$21,Paper!$A$7:$A$21,'Production cost'!$F245),-2),2000))))</f>
        <v>2000</v>
      </c>
      <c r="J245" s="313" t="str">
        <f>input!$H613</f>
        <v>Sheets</v>
      </c>
      <c r="K245" s="360">
        <v>0</v>
      </c>
      <c r="L245" s="313">
        <f>IF(input!$I613&gt;0,input!$I613,3)</f>
        <v>3</v>
      </c>
      <c r="M245" s="391">
        <f>IF(H245&gt;0,SUMIF(Data!$L$1155:$L$1190,'Production cost'!$C245,Data!$Q$1155:$Q$1190)*SUMIF(Paper!$A$7:$A$29,'Production cost'!$F245,Paper!$J$7:$J$29),0)</f>
        <v>0</v>
      </c>
      <c r="N245" s="391">
        <f t="shared" si="142"/>
        <v>0</v>
      </c>
      <c r="P245" s="313">
        <f>SUMIF(Data!$L$1155:$L$1190,'Production cost'!$C245,Data!$N$1155:$N$1190)</f>
        <v>0</v>
      </c>
      <c r="Q245" s="313">
        <f t="shared" si="145"/>
        <v>0</v>
      </c>
      <c r="R245" s="313">
        <f t="shared" si="143"/>
        <v>0</v>
      </c>
      <c r="S245" s="1741">
        <f t="shared" si="144"/>
        <v>0</v>
      </c>
      <c r="T245" s="313" t="str">
        <f>input!J613</f>
        <v>N</v>
      </c>
      <c r="V245" s="3115" t="str">
        <f>input!K613</f>
        <v>Packaging</v>
      </c>
      <c r="W245" s="3115">
        <f t="shared" si="123"/>
        <v>0</v>
      </c>
      <c r="X245" s="3119">
        <f>VLOOKUP(V245,'Fix Cost'!$K$177:$M$179,2,0)</f>
        <v>58449.923860467366</v>
      </c>
      <c r="Y245" s="3119">
        <f>VLOOKUP(V245,'Fix Cost'!$K$177:$M$179,3,0)</f>
        <v>267411.04680782068</v>
      </c>
      <c r="Z245" s="3119">
        <f t="shared" si="124"/>
        <v>0</v>
      </c>
      <c r="AA245" s="3115">
        <f t="shared" si="125"/>
        <v>0</v>
      </c>
      <c r="AB245" s="3115">
        <f t="shared" si="126"/>
        <v>0</v>
      </c>
      <c r="AK245" s="313"/>
      <c r="AL245" s="313"/>
      <c r="AM245" s="313"/>
      <c r="AO245" s="385"/>
      <c r="AP245" s="385"/>
      <c r="AQ245" s="385"/>
      <c r="AR245" s="1048"/>
      <c r="AS245" s="385"/>
      <c r="AT245" s="879">
        <f t="shared" si="127"/>
        <v>0</v>
      </c>
      <c r="AU245" s="879">
        <f ca="1">COUNTIFS(AT$7:$AT245,1)</f>
        <v>4</v>
      </c>
    </row>
    <row r="246" spans="2:47" ht="12.75" hidden="1" outlineLevel="1">
      <c r="B246" s="1738" t="s">
        <v>173</v>
      </c>
      <c r="C246" s="313" t="str">
        <f>input!C614</f>
        <v>Test</v>
      </c>
      <c r="E246" s="363"/>
      <c r="F246" s="363" t="str">
        <f>input!F614</f>
        <v>N</v>
      </c>
      <c r="G246" s="363"/>
      <c r="H246" s="313">
        <f>SUMIFS(Paper!$AC$7:$AC$30,Paper!$A$7:$A$30,'Production cost'!F246)</f>
        <v>0</v>
      </c>
      <c r="I246" s="313">
        <f>IF(input!$G614&gt;0,input!$G614,IF(OR($C246=Data!$L$1167,$C246=Data!$L$1166),500,IF($C246=Data!$L$1168,3000,IF($C246=Data!$L$1169,ROUNDDOWN(40000*60/SUMIFS(Paper!$O$7:$O$21,Paper!$A$7:$A$21,'Production cost'!$F246),-2),2000))))</f>
        <v>2000</v>
      </c>
      <c r="J246" s="313" t="str">
        <f>input!$H614</f>
        <v>Sheets</v>
      </c>
      <c r="K246" s="360">
        <v>0</v>
      </c>
      <c r="L246" s="313">
        <f>IF(input!$I614&gt;0,input!$I614,3)</f>
        <v>3</v>
      </c>
      <c r="M246" s="391">
        <f>IF(H246&gt;0,SUMIF(Data!$L$1155:$L$1190,'Production cost'!$C246,Data!$Q$1155:$Q$1190)*SUMIF(Paper!$A$7:$A$29,'Production cost'!$F246,Paper!$J$7:$J$29),0)</f>
        <v>0</v>
      </c>
      <c r="N246" s="391">
        <f t="shared" si="142"/>
        <v>0</v>
      </c>
      <c r="P246" s="313">
        <f>SUMIF(Data!$L$1155:$L$1190,'Production cost'!$C246,Data!$N$1155:$N$1190)</f>
        <v>0</v>
      </c>
      <c r="Q246" s="313">
        <f t="shared" si="145"/>
        <v>0</v>
      </c>
      <c r="R246" s="313">
        <f t="shared" si="143"/>
        <v>0</v>
      </c>
      <c r="S246" s="1741">
        <f t="shared" si="144"/>
        <v>0</v>
      </c>
      <c r="T246" s="313" t="str">
        <f>input!J614</f>
        <v>N</v>
      </c>
      <c r="V246" s="3115" t="str">
        <f>input!K614</f>
        <v>Packaging</v>
      </c>
      <c r="W246" s="3115">
        <f t="shared" si="123"/>
        <v>0</v>
      </c>
      <c r="X246" s="3119">
        <f>VLOOKUP(V246,'Fix Cost'!$K$177:$M$179,2,0)</f>
        <v>58449.923860467366</v>
      </c>
      <c r="Y246" s="3119">
        <f>VLOOKUP(V246,'Fix Cost'!$K$177:$M$179,3,0)</f>
        <v>267411.04680782068</v>
      </c>
      <c r="Z246" s="3119">
        <f t="shared" si="124"/>
        <v>0</v>
      </c>
      <c r="AA246" s="3115">
        <f t="shared" si="125"/>
        <v>0</v>
      </c>
      <c r="AB246" s="3115">
        <f t="shared" si="126"/>
        <v>0</v>
      </c>
      <c r="AK246" s="313"/>
      <c r="AL246" s="313"/>
      <c r="AM246" s="313"/>
      <c r="AO246" s="385"/>
      <c r="AP246" s="385"/>
      <c r="AQ246" s="385"/>
      <c r="AR246" s="1048"/>
      <c r="AS246" s="385"/>
      <c r="AT246" s="879">
        <f t="shared" si="127"/>
        <v>0</v>
      </c>
      <c r="AU246" s="879">
        <f ca="1">COUNTIFS(AT$7:$AT246,1)</f>
        <v>4</v>
      </c>
    </row>
    <row r="247" spans="2:47" ht="12.75" hidden="1" outlineLevel="1">
      <c r="B247" s="1738" t="s">
        <v>173</v>
      </c>
      <c r="C247" s="313" t="str">
        <f>input!C615</f>
        <v>Test</v>
      </c>
      <c r="E247" s="363"/>
      <c r="F247" s="363" t="str">
        <f>input!F615</f>
        <v>N</v>
      </c>
      <c r="G247" s="363"/>
      <c r="H247" s="313">
        <f>SUMIFS(Paper!$AC$7:$AC$30,Paper!$A$7:$A$30,'Production cost'!F247)</f>
        <v>0</v>
      </c>
      <c r="I247" s="313">
        <f>IF(input!$G615&gt;0,input!$G615,IF(OR($C247=Data!$L$1167,$C247=Data!$L$1166),500,IF($C247=Data!$L$1168,3000,IF($C247=Data!$L$1169,ROUNDDOWN(40000*60/SUMIFS(Paper!$O$7:$O$21,Paper!$A$7:$A$21,'Production cost'!$F247),-2),2000))))</f>
        <v>2000</v>
      </c>
      <c r="J247" s="313" t="str">
        <f>input!$H615</f>
        <v>Sheets</v>
      </c>
      <c r="K247" s="360">
        <v>0</v>
      </c>
      <c r="L247" s="313">
        <f>IF(input!$I615&gt;0,input!$I615,3)</f>
        <v>3</v>
      </c>
      <c r="M247" s="391">
        <f>IF(H247&gt;0,SUMIF(Data!$L$1155:$L$1190,'Production cost'!$C247,Data!$Q$1155:$Q$1190)*SUMIF(Paper!$A$7:$A$29,'Production cost'!$F247,Paper!$J$7:$J$29),0)</f>
        <v>0</v>
      </c>
      <c r="N247" s="391">
        <f t="shared" si="142"/>
        <v>0</v>
      </c>
      <c r="P247" s="313">
        <f>SUMIF(Data!$L$1155:$L$1190,'Production cost'!$C247,Data!$N$1155:$N$1190)</f>
        <v>0</v>
      </c>
      <c r="Q247" s="313">
        <f t="shared" si="145"/>
        <v>0</v>
      </c>
      <c r="R247" s="313">
        <f t="shared" si="143"/>
        <v>0</v>
      </c>
      <c r="S247" s="1741">
        <f t="shared" si="144"/>
        <v>0</v>
      </c>
      <c r="T247" s="313" t="str">
        <f>input!J615</f>
        <v>N</v>
      </c>
      <c r="V247" s="3115" t="str">
        <f>input!K615</f>
        <v>Packaging</v>
      </c>
      <c r="W247" s="3115">
        <f t="shared" si="123"/>
        <v>0</v>
      </c>
      <c r="X247" s="3119">
        <f>VLOOKUP(V247,'Fix Cost'!$K$177:$M$179,2,0)</f>
        <v>58449.923860467366</v>
      </c>
      <c r="Y247" s="3119">
        <f>VLOOKUP(V247,'Fix Cost'!$K$177:$M$179,3,0)</f>
        <v>267411.04680782068</v>
      </c>
      <c r="Z247" s="3119">
        <f t="shared" si="124"/>
        <v>0</v>
      </c>
      <c r="AA247" s="3115">
        <f t="shared" si="125"/>
        <v>0</v>
      </c>
      <c r="AB247" s="3115">
        <f t="shared" si="126"/>
        <v>0</v>
      </c>
      <c r="AK247" s="313"/>
      <c r="AL247" s="313"/>
      <c r="AM247" s="313"/>
      <c r="AO247" s="385"/>
      <c r="AP247" s="385"/>
      <c r="AQ247" s="385"/>
      <c r="AR247" s="1048"/>
      <c r="AS247" s="385"/>
      <c r="AT247" s="879">
        <f t="shared" si="127"/>
        <v>0</v>
      </c>
      <c r="AU247" s="879">
        <f ca="1">COUNTIFS(AT$7:$AT247,1)</f>
        <v>4</v>
      </c>
    </row>
    <row r="248" spans="2:47" ht="14.25" hidden="1" customHeight="1" outlineLevel="1">
      <c r="B248" s="1738" t="s">
        <v>173</v>
      </c>
      <c r="C248" s="313" t="str">
        <f>input!C616</f>
        <v>Test</v>
      </c>
      <c r="E248" s="363"/>
      <c r="F248" s="363" t="str">
        <f>input!F616</f>
        <v>N</v>
      </c>
      <c r="G248" s="363"/>
      <c r="H248" s="313">
        <f>SUMIFS(Paper!$AC$7:$AC$30,Paper!$A$7:$A$30,'Production cost'!F248)</f>
        <v>0</v>
      </c>
      <c r="I248" s="313">
        <f>IF(input!$G616&gt;0,input!$G616,IF(OR($C248=Data!$L$1167,$C248=Data!$L$1166),500,IF($C248=Data!$L$1168,3000,IF($C248=Data!$L$1169,ROUNDDOWN(40000*60/SUMIFS(Paper!$O$7:$O$21,Paper!$A$7:$A$21,'Production cost'!$F248),-2),2000))))</f>
        <v>2000</v>
      </c>
      <c r="J248" s="313" t="str">
        <f>input!$H616</f>
        <v>Sheets</v>
      </c>
      <c r="K248" s="360">
        <v>0</v>
      </c>
      <c r="L248" s="313">
        <f>IF(input!$I616&gt;0,input!$I616,3)</f>
        <v>3</v>
      </c>
      <c r="M248" s="391">
        <f>IF(H248&gt;0,SUMIF(Data!$L$1155:$L$1190,'Production cost'!$C248,Data!$Q$1155:$Q$1190)*SUMIF(Paper!$A$7:$A$29,'Production cost'!$F248,Paper!$J$7:$J$29),0)</f>
        <v>0</v>
      </c>
      <c r="N248" s="391">
        <f>IF(H248&gt;0,ROUNDUP(((H248/I248)/$M$5+M248),1),0)</f>
        <v>0</v>
      </c>
      <c r="P248" s="313">
        <f>SUMIF(Data!$L$1155:$L$1190,'Production cost'!$C248,Data!$N$1155:$N$1190)</f>
        <v>0</v>
      </c>
      <c r="Q248" s="313">
        <f t="shared" si="145"/>
        <v>0</v>
      </c>
      <c r="R248" s="313">
        <f>IF($E$2&gt;0,Q248/$E$2,0)</f>
        <v>0</v>
      </c>
      <c r="S248" s="1741">
        <f>IF(M248&gt;0,K248*O248+L248*P248,0)</f>
        <v>0</v>
      </c>
      <c r="T248" s="313" t="str">
        <f>input!J616</f>
        <v>N</v>
      </c>
      <c r="V248" s="3115" t="str">
        <f>input!K616</f>
        <v>Packaging</v>
      </c>
      <c r="W248" s="3115">
        <f t="shared" si="123"/>
        <v>0</v>
      </c>
      <c r="X248" s="3119">
        <f>VLOOKUP(V248,'Fix Cost'!$K$177:$M$179,2,0)</f>
        <v>58449.923860467366</v>
      </c>
      <c r="Y248" s="3119">
        <f>VLOOKUP(V248,'Fix Cost'!$K$177:$M$179,3,0)</f>
        <v>267411.04680782068</v>
      </c>
      <c r="Z248" s="3119">
        <f t="shared" si="124"/>
        <v>0</v>
      </c>
      <c r="AA248" s="3115">
        <f t="shared" si="125"/>
        <v>0</v>
      </c>
      <c r="AB248" s="3115">
        <f t="shared" si="126"/>
        <v>0</v>
      </c>
      <c r="AK248" s="313"/>
      <c r="AL248" s="313"/>
      <c r="AM248" s="313"/>
      <c r="AO248" s="385"/>
      <c r="AP248" s="385"/>
      <c r="AQ248" s="385"/>
      <c r="AR248" s="1048"/>
      <c r="AS248" s="1054"/>
      <c r="AT248" s="879">
        <f t="shared" si="127"/>
        <v>0</v>
      </c>
      <c r="AU248" s="879">
        <f ca="1">COUNTIFS(AT$7:$AT248,1)</f>
        <v>4</v>
      </c>
    </row>
    <row r="249" spans="2:47" ht="14.25" hidden="1" customHeight="1" outlineLevel="1">
      <c r="B249" s="1738" t="s">
        <v>173</v>
      </c>
      <c r="C249" s="313" t="str">
        <f>input!C617</f>
        <v>Test</v>
      </c>
      <c r="E249" s="363"/>
      <c r="F249" s="363" t="str">
        <f>input!F617</f>
        <v>N</v>
      </c>
      <c r="G249" s="363"/>
      <c r="H249" s="313">
        <f>SUMIFS(Paper!$AC$7:$AC$30,Paper!$A$7:$A$30,'Production cost'!F249)</f>
        <v>0</v>
      </c>
      <c r="I249" s="313">
        <f>IF(input!$G617&gt;0,input!$G617,IF(OR($C249=Data!$L$1167,$C249=Data!$L$1166),500,IF($C249=Data!$L$1168,3000,IF($C249=Data!$L$1169,ROUNDDOWN(40000*60/SUMIFS(Paper!$O$7:$O$21,Paper!$A$7:$A$21,'Production cost'!$F249),-2),2000))))</f>
        <v>2000</v>
      </c>
      <c r="J249" s="313" t="str">
        <f>input!$H617</f>
        <v>Sheets</v>
      </c>
      <c r="K249" s="360">
        <v>0</v>
      </c>
      <c r="L249" s="313">
        <f>IF(input!$I617&gt;0,input!$I617,3)</f>
        <v>3</v>
      </c>
      <c r="M249" s="391">
        <f>IF(H249&gt;0,SUMIF(Data!$L$1155:$L$1190,'Production cost'!$C249,Data!$Q$1155:$Q$1190)*SUMIF(Paper!$A$7:$A$29,'Production cost'!$F249,Paper!$J$7:$J$29),0)</f>
        <v>0</v>
      </c>
      <c r="N249" s="391">
        <f t="shared" ref="N249:N257" si="153">IF(H249&gt;0,ROUNDUP(((H249/I249)/$M$5+M249),1),0)</f>
        <v>0</v>
      </c>
      <c r="P249" s="313">
        <f>SUMIF(Data!$L$1155:$L$1190,'Production cost'!$C249,Data!$N$1155:$N$1190)</f>
        <v>0</v>
      </c>
      <c r="Q249" s="313">
        <f t="shared" si="145"/>
        <v>0</v>
      </c>
      <c r="R249" s="313">
        <f t="shared" ref="R249:R257" si="154">IF($E$2&gt;0,Q249/$E$2,0)</f>
        <v>0</v>
      </c>
      <c r="S249" s="1741">
        <f t="shared" ref="S249:S257" si="155">IF(M249&gt;0,K249*O249+L249*P249,0)</f>
        <v>0</v>
      </c>
      <c r="T249" s="313" t="str">
        <f>input!J617</f>
        <v>N</v>
      </c>
      <c r="V249" s="3115" t="str">
        <f>input!K617</f>
        <v>Packaging</v>
      </c>
      <c r="W249" s="3115">
        <f t="shared" si="123"/>
        <v>0</v>
      </c>
      <c r="X249" s="3119">
        <f>VLOOKUP(V249,'Fix Cost'!$K$177:$M$179,2,0)</f>
        <v>58449.923860467366</v>
      </c>
      <c r="Y249" s="3119">
        <f>VLOOKUP(V249,'Fix Cost'!$K$177:$M$179,3,0)</f>
        <v>267411.04680782068</v>
      </c>
      <c r="Z249" s="3119">
        <f t="shared" si="124"/>
        <v>0</v>
      </c>
      <c r="AA249" s="3115">
        <f t="shared" si="125"/>
        <v>0</v>
      </c>
      <c r="AB249" s="3115">
        <f t="shared" si="126"/>
        <v>0</v>
      </c>
      <c r="AK249" s="313"/>
      <c r="AL249" s="313"/>
      <c r="AM249" s="313"/>
      <c r="AO249" s="385"/>
      <c r="AP249" s="385"/>
      <c r="AQ249" s="385"/>
      <c r="AR249" s="1048"/>
      <c r="AS249" s="1054"/>
      <c r="AT249" s="879">
        <f t="shared" si="127"/>
        <v>0</v>
      </c>
      <c r="AU249" s="879">
        <f ca="1">COUNTIFS(AT$7:$AT249,1)</f>
        <v>4</v>
      </c>
    </row>
    <row r="250" spans="2:47" ht="14.25" hidden="1" customHeight="1" outlineLevel="1">
      <c r="B250" s="1738" t="s">
        <v>173</v>
      </c>
      <c r="C250" s="313" t="str">
        <f>input!C618</f>
        <v>Test</v>
      </c>
      <c r="E250" s="363"/>
      <c r="F250" s="363" t="str">
        <f>input!F618</f>
        <v>N</v>
      </c>
      <c r="G250" s="363"/>
      <c r="H250" s="313">
        <f>SUMIFS(Paper!$AC$7:$AC$30,Paper!$A$7:$A$30,'Production cost'!F250)</f>
        <v>0</v>
      </c>
      <c r="I250" s="313">
        <f>IF(input!$G618&gt;0,input!$G618,IF(OR($C250=Data!$L$1167,$C250=Data!$L$1166),500,IF($C250=Data!$L$1168,3000,IF($C250=Data!$L$1169,ROUNDDOWN(40000*60/SUMIFS(Paper!$O$7:$O$21,Paper!$A$7:$A$21,'Production cost'!$F250),-2),2000))))</f>
        <v>2000</v>
      </c>
      <c r="J250" s="313" t="str">
        <f>input!$H618</f>
        <v>Sheets</v>
      </c>
      <c r="K250" s="360">
        <v>0</v>
      </c>
      <c r="L250" s="313">
        <f>IF(input!$I618&gt;0,input!$I618,3)</f>
        <v>3</v>
      </c>
      <c r="M250" s="391">
        <f>IF(H250&gt;0,SUMIF(Data!$L$1155:$L$1190,'Production cost'!$C250,Data!$Q$1155:$Q$1190)*SUMIF(Paper!$A$7:$A$29,'Production cost'!$F250,Paper!$J$7:$J$29),0)</f>
        <v>0</v>
      </c>
      <c r="N250" s="391">
        <f t="shared" si="153"/>
        <v>0</v>
      </c>
      <c r="P250" s="313">
        <f>SUMIF(Data!$L$1155:$L$1190,'Production cost'!$C250,Data!$N$1155:$N$1190)</f>
        <v>0</v>
      </c>
      <c r="Q250" s="313">
        <f t="shared" si="145"/>
        <v>0</v>
      </c>
      <c r="R250" s="313">
        <f t="shared" si="154"/>
        <v>0</v>
      </c>
      <c r="S250" s="1741">
        <f t="shared" si="155"/>
        <v>0</v>
      </c>
      <c r="T250" s="313" t="str">
        <f>input!J618</f>
        <v>N</v>
      </c>
      <c r="V250" s="3115" t="str">
        <f>input!K618</f>
        <v>Packaging</v>
      </c>
      <c r="W250" s="3115">
        <f t="shared" si="123"/>
        <v>0</v>
      </c>
      <c r="X250" s="3119">
        <f>VLOOKUP(V250,'Fix Cost'!$K$177:$M$179,2,0)</f>
        <v>58449.923860467366</v>
      </c>
      <c r="Y250" s="3119">
        <f>VLOOKUP(V250,'Fix Cost'!$K$177:$M$179,3,0)</f>
        <v>267411.04680782068</v>
      </c>
      <c r="Z250" s="3119">
        <f t="shared" si="124"/>
        <v>0</v>
      </c>
      <c r="AA250" s="3115">
        <f t="shared" si="125"/>
        <v>0</v>
      </c>
      <c r="AB250" s="3115">
        <f t="shared" si="126"/>
        <v>0</v>
      </c>
      <c r="AK250" s="313"/>
      <c r="AL250" s="313"/>
      <c r="AM250" s="313"/>
      <c r="AO250" s="385"/>
      <c r="AP250" s="385"/>
      <c r="AQ250" s="385"/>
      <c r="AR250" s="1048"/>
      <c r="AS250" s="1054"/>
      <c r="AT250" s="879">
        <f t="shared" si="127"/>
        <v>0</v>
      </c>
      <c r="AU250" s="879">
        <f ca="1">COUNTIFS(AT$7:$AT250,1)</f>
        <v>4</v>
      </c>
    </row>
    <row r="251" spans="2:47" ht="14.25" hidden="1" customHeight="1" outlineLevel="1">
      <c r="B251" s="1738" t="s">
        <v>173</v>
      </c>
      <c r="C251" s="313" t="str">
        <f>input!C619</f>
        <v>Test</v>
      </c>
      <c r="E251" s="363"/>
      <c r="F251" s="363" t="str">
        <f>input!F619</f>
        <v>N</v>
      </c>
      <c r="G251" s="363"/>
      <c r="H251" s="313">
        <f>SUMIFS(Paper!$AC$7:$AC$30,Paper!$A$7:$A$30,'Production cost'!F251)</f>
        <v>0</v>
      </c>
      <c r="I251" s="313">
        <f>IF(input!$G619&gt;0,input!$G619,IF(OR($C251=Data!$L$1167,$C251=Data!$L$1166),500,IF($C251=Data!$L$1168,3000,IF($C251=Data!$L$1169,ROUNDDOWN(40000*60/SUMIFS(Paper!$O$7:$O$21,Paper!$A$7:$A$21,'Production cost'!$F251),-2),2000))))</f>
        <v>2000</v>
      </c>
      <c r="J251" s="313" t="str">
        <f>input!$H619</f>
        <v>Sheets</v>
      </c>
      <c r="K251" s="360">
        <v>0</v>
      </c>
      <c r="L251" s="313">
        <f>IF(input!$I619&gt;0,input!$I619,3)</f>
        <v>3</v>
      </c>
      <c r="M251" s="391">
        <f>IF(H251&gt;0,SUMIF(Data!$L$1155:$L$1190,'Production cost'!$C251,Data!$Q$1155:$Q$1190)*SUMIF(Paper!$A$7:$A$29,'Production cost'!$F251,Paper!$J$7:$J$29),0)</f>
        <v>0</v>
      </c>
      <c r="N251" s="391">
        <f t="shared" si="153"/>
        <v>0</v>
      </c>
      <c r="P251" s="313">
        <f>SUMIF(Data!$L$1155:$L$1190,'Production cost'!$C251,Data!$N$1155:$N$1190)</f>
        <v>0</v>
      </c>
      <c r="Q251" s="313">
        <f t="shared" si="145"/>
        <v>0</v>
      </c>
      <c r="R251" s="313">
        <f t="shared" si="154"/>
        <v>0</v>
      </c>
      <c r="S251" s="1741">
        <f t="shared" si="155"/>
        <v>0</v>
      </c>
      <c r="T251" s="313" t="str">
        <f>input!J619</f>
        <v>N</v>
      </c>
      <c r="V251" s="3115" t="str">
        <f>input!K619</f>
        <v>Packaging</v>
      </c>
      <c r="W251" s="3115">
        <f t="shared" si="123"/>
        <v>0</v>
      </c>
      <c r="X251" s="3119">
        <f>VLOOKUP(V251,'Fix Cost'!$K$177:$M$179,2,0)</f>
        <v>58449.923860467366</v>
      </c>
      <c r="Y251" s="3119">
        <f>VLOOKUP(V251,'Fix Cost'!$K$177:$M$179,3,0)</f>
        <v>267411.04680782068</v>
      </c>
      <c r="Z251" s="3119">
        <f t="shared" si="124"/>
        <v>0</v>
      </c>
      <c r="AA251" s="3115">
        <f t="shared" si="125"/>
        <v>0</v>
      </c>
      <c r="AB251" s="3115">
        <f t="shared" si="126"/>
        <v>0</v>
      </c>
      <c r="AK251" s="313"/>
      <c r="AL251" s="313"/>
      <c r="AM251" s="313"/>
      <c r="AO251" s="385"/>
      <c r="AP251" s="385"/>
      <c r="AQ251" s="385"/>
      <c r="AR251" s="1048"/>
      <c r="AS251" s="1054"/>
      <c r="AT251" s="879">
        <f t="shared" si="127"/>
        <v>0</v>
      </c>
      <c r="AU251" s="879">
        <f ca="1">COUNTIFS(AT$7:$AT251,1)</f>
        <v>4</v>
      </c>
    </row>
    <row r="252" spans="2:47" ht="14.25" hidden="1" customHeight="1" outlineLevel="1">
      <c r="B252" s="1738" t="s">
        <v>173</v>
      </c>
      <c r="C252" s="313" t="str">
        <f>input!C620</f>
        <v>Test</v>
      </c>
      <c r="E252" s="363"/>
      <c r="F252" s="363" t="str">
        <f>input!F620</f>
        <v>N</v>
      </c>
      <c r="G252" s="363"/>
      <c r="H252" s="313">
        <f>SUMIFS(Paper!$AC$7:$AC$30,Paper!$A$7:$A$30,'Production cost'!F252)</f>
        <v>0</v>
      </c>
      <c r="I252" s="313">
        <f>IF(input!$G620&gt;0,input!$G620,IF(OR($C252=Data!$L$1167,$C252=Data!$L$1166),500,IF($C252=Data!$L$1168,3000,IF($C252=Data!$L$1169,ROUNDDOWN(40000*60/SUMIFS(Paper!$O$7:$O$21,Paper!$A$7:$A$21,'Production cost'!$F252),-2),2000))))</f>
        <v>2000</v>
      </c>
      <c r="J252" s="313" t="str">
        <f>input!$H620</f>
        <v>Sheets</v>
      </c>
      <c r="K252" s="360">
        <v>0</v>
      </c>
      <c r="L252" s="313">
        <f>IF(input!$I620&gt;0,input!$I620,3)</f>
        <v>3</v>
      </c>
      <c r="M252" s="391">
        <f>IF(H252&gt;0,SUMIF(Data!$L$1155:$L$1190,'Production cost'!$C252,Data!$Q$1155:$Q$1190)*SUMIF(Paper!$A$7:$A$29,'Production cost'!$F252,Paper!$J$7:$J$29),0)</f>
        <v>0</v>
      </c>
      <c r="N252" s="391">
        <f t="shared" si="153"/>
        <v>0</v>
      </c>
      <c r="P252" s="313">
        <f>SUMIF(Data!$L$1155:$L$1190,'Production cost'!$C252,Data!$N$1155:$N$1190)</f>
        <v>0</v>
      </c>
      <c r="Q252" s="313">
        <f t="shared" si="145"/>
        <v>0</v>
      </c>
      <c r="R252" s="313">
        <f t="shared" si="154"/>
        <v>0</v>
      </c>
      <c r="S252" s="1741">
        <f t="shared" si="155"/>
        <v>0</v>
      </c>
      <c r="T252" s="313" t="str">
        <f>input!J620</f>
        <v>N</v>
      </c>
      <c r="V252" s="3115" t="str">
        <f>input!K620</f>
        <v>Packaging</v>
      </c>
      <c r="W252" s="3115">
        <f t="shared" si="123"/>
        <v>0</v>
      </c>
      <c r="X252" s="3119">
        <f>VLOOKUP(V252,'Fix Cost'!$K$177:$M$179,2,0)</f>
        <v>58449.923860467366</v>
      </c>
      <c r="Y252" s="3119">
        <f>VLOOKUP(V252,'Fix Cost'!$K$177:$M$179,3,0)</f>
        <v>267411.04680782068</v>
      </c>
      <c r="Z252" s="3119">
        <f t="shared" si="124"/>
        <v>0</v>
      </c>
      <c r="AA252" s="3115">
        <f t="shared" si="125"/>
        <v>0</v>
      </c>
      <c r="AB252" s="3115">
        <f t="shared" si="126"/>
        <v>0</v>
      </c>
      <c r="AK252" s="313"/>
      <c r="AL252" s="313"/>
      <c r="AM252" s="313"/>
      <c r="AO252" s="385"/>
      <c r="AP252" s="385"/>
      <c r="AQ252" s="385"/>
      <c r="AR252" s="1048"/>
      <c r="AS252" s="1054"/>
      <c r="AT252" s="879">
        <f t="shared" si="127"/>
        <v>0</v>
      </c>
      <c r="AU252" s="879">
        <f ca="1">COUNTIFS(AT$7:$AT252,1)</f>
        <v>4</v>
      </c>
    </row>
    <row r="253" spans="2:47" ht="14.25" hidden="1" customHeight="1" outlineLevel="1">
      <c r="B253" s="1738" t="s">
        <v>173</v>
      </c>
      <c r="C253" s="313" t="str">
        <f>input!C621</f>
        <v>Test</v>
      </c>
      <c r="E253" s="363"/>
      <c r="F253" s="363" t="str">
        <f>input!F621</f>
        <v>N</v>
      </c>
      <c r="G253" s="363"/>
      <c r="H253" s="313">
        <f>SUMIFS(Paper!$AC$7:$AC$30,Paper!$A$7:$A$30,'Production cost'!F253)</f>
        <v>0</v>
      </c>
      <c r="I253" s="313">
        <f>IF(input!$G621&gt;0,input!$G621,IF(OR($C253=Data!$L$1167,$C253=Data!$L$1166),500,IF($C253=Data!$L$1168,3000,IF($C253=Data!$L$1169,ROUNDDOWN(40000*60/SUMIFS(Paper!$O$7:$O$21,Paper!$A$7:$A$21,'Production cost'!$F253),-2),2000))))</f>
        <v>2000</v>
      </c>
      <c r="J253" s="313" t="str">
        <f>input!$H621</f>
        <v>Sheets</v>
      </c>
      <c r="K253" s="360">
        <v>0</v>
      </c>
      <c r="L253" s="313">
        <f>IF(input!$I621&gt;0,input!$I621,3)</f>
        <v>3</v>
      </c>
      <c r="M253" s="391">
        <f>IF(H253&gt;0,SUMIF(Data!$L$1155:$L$1190,'Production cost'!$C253,Data!$Q$1155:$Q$1190)*SUMIF(Paper!$A$7:$A$29,'Production cost'!$F253,Paper!$J$7:$J$29),0)</f>
        <v>0</v>
      </c>
      <c r="N253" s="391">
        <f t="shared" si="153"/>
        <v>0</v>
      </c>
      <c r="P253" s="313">
        <f>SUMIF(Data!$L$1155:$L$1190,'Production cost'!$C253,Data!$N$1155:$N$1190)</f>
        <v>0</v>
      </c>
      <c r="Q253" s="313">
        <f t="shared" si="145"/>
        <v>0</v>
      </c>
      <c r="R253" s="313">
        <f t="shared" si="154"/>
        <v>0</v>
      </c>
      <c r="S253" s="1741">
        <f t="shared" si="155"/>
        <v>0</v>
      </c>
      <c r="T253" s="313" t="str">
        <f>input!J621</f>
        <v>N</v>
      </c>
      <c r="V253" s="3115" t="str">
        <f>input!K621</f>
        <v>Packaging</v>
      </c>
      <c r="W253" s="3115">
        <f t="shared" si="123"/>
        <v>0</v>
      </c>
      <c r="X253" s="3119">
        <f>VLOOKUP(V253,'Fix Cost'!$K$177:$M$179,2,0)</f>
        <v>58449.923860467366</v>
      </c>
      <c r="Y253" s="3119">
        <f>VLOOKUP(V253,'Fix Cost'!$K$177:$M$179,3,0)</f>
        <v>267411.04680782068</v>
      </c>
      <c r="Z253" s="3119">
        <f t="shared" si="124"/>
        <v>0</v>
      </c>
      <c r="AA253" s="3115">
        <f t="shared" si="125"/>
        <v>0</v>
      </c>
      <c r="AB253" s="3115">
        <f t="shared" si="126"/>
        <v>0</v>
      </c>
      <c r="AK253" s="313"/>
      <c r="AL253" s="313"/>
      <c r="AM253" s="313"/>
      <c r="AO253" s="385"/>
      <c r="AP253" s="385"/>
      <c r="AQ253" s="385"/>
      <c r="AR253" s="1048"/>
      <c r="AS253" s="1054"/>
      <c r="AT253" s="879">
        <f t="shared" si="127"/>
        <v>0</v>
      </c>
      <c r="AU253" s="879">
        <f ca="1">COUNTIFS(AT$7:$AT253,1)</f>
        <v>4</v>
      </c>
    </row>
    <row r="254" spans="2:47" ht="14.25" hidden="1" customHeight="1" outlineLevel="1">
      <c r="B254" s="1738" t="s">
        <v>173</v>
      </c>
      <c r="C254" s="313" t="str">
        <f>input!C622</f>
        <v>Test</v>
      </c>
      <c r="E254" s="363"/>
      <c r="F254" s="363" t="str">
        <f>input!F622</f>
        <v>N</v>
      </c>
      <c r="G254" s="363"/>
      <c r="H254" s="313">
        <f>SUMIFS(Paper!$AC$7:$AC$30,Paper!$A$7:$A$30,'Production cost'!F254)</f>
        <v>0</v>
      </c>
      <c r="I254" s="313">
        <f>IF(input!$G622&gt;0,input!$G622,IF(OR($C254=Data!$L$1167,$C254=Data!$L$1166),500,IF($C254=Data!$L$1168,3000,IF($C254=Data!$L$1169,ROUNDDOWN(40000*60/SUMIFS(Paper!$O$7:$O$21,Paper!$A$7:$A$21,'Production cost'!$F254),-2),2000))))</f>
        <v>2000</v>
      </c>
      <c r="J254" s="313" t="str">
        <f>input!$H622</f>
        <v>Sheets</v>
      </c>
      <c r="K254" s="360">
        <v>0</v>
      </c>
      <c r="L254" s="313">
        <f>IF(input!$I622&gt;0,input!$I622,3)</f>
        <v>3</v>
      </c>
      <c r="M254" s="391">
        <f>IF(H254&gt;0,SUMIF(Data!$L$1155:$L$1190,'Production cost'!$C254,Data!$Q$1155:$Q$1190)*SUMIF(Paper!$A$7:$A$29,'Production cost'!$F254,Paper!$J$7:$J$29),0)</f>
        <v>0</v>
      </c>
      <c r="N254" s="391">
        <f t="shared" si="153"/>
        <v>0</v>
      </c>
      <c r="P254" s="313">
        <f>SUMIF(Data!$L$1155:$L$1190,'Production cost'!$C254,Data!$N$1155:$N$1190)</f>
        <v>0</v>
      </c>
      <c r="Q254" s="313">
        <f t="shared" si="145"/>
        <v>0</v>
      </c>
      <c r="R254" s="313">
        <f t="shared" si="154"/>
        <v>0</v>
      </c>
      <c r="S254" s="1741">
        <f t="shared" si="155"/>
        <v>0</v>
      </c>
      <c r="T254" s="313" t="str">
        <f>input!J622</f>
        <v>N</v>
      </c>
      <c r="V254" s="3115" t="str">
        <f>input!K622</f>
        <v>Packaging</v>
      </c>
      <c r="W254" s="3115">
        <f t="shared" si="123"/>
        <v>0</v>
      </c>
      <c r="X254" s="3119">
        <f>VLOOKUP(V254,'Fix Cost'!$K$177:$M$179,2,0)</f>
        <v>58449.923860467366</v>
      </c>
      <c r="Y254" s="3119">
        <f>VLOOKUP(V254,'Fix Cost'!$K$177:$M$179,3,0)</f>
        <v>267411.04680782068</v>
      </c>
      <c r="Z254" s="3119">
        <f t="shared" si="124"/>
        <v>0</v>
      </c>
      <c r="AA254" s="3115">
        <f t="shared" si="125"/>
        <v>0</v>
      </c>
      <c r="AB254" s="3115">
        <f t="shared" si="126"/>
        <v>0</v>
      </c>
      <c r="AK254" s="313"/>
      <c r="AL254" s="313"/>
      <c r="AM254" s="313"/>
      <c r="AO254" s="385"/>
      <c r="AP254" s="385"/>
      <c r="AQ254" s="385"/>
      <c r="AR254" s="1048"/>
      <c r="AS254" s="1054"/>
      <c r="AT254" s="879">
        <f t="shared" si="127"/>
        <v>0</v>
      </c>
      <c r="AU254" s="879">
        <f ca="1">COUNTIFS(AT$7:$AT254,1)</f>
        <v>4</v>
      </c>
    </row>
    <row r="255" spans="2:47" ht="14.25" hidden="1" customHeight="1" outlineLevel="1">
      <c r="B255" s="1738" t="s">
        <v>173</v>
      </c>
      <c r="C255" s="313" t="str">
        <f>input!C623</f>
        <v>Test</v>
      </c>
      <c r="E255" s="363"/>
      <c r="F255" s="363" t="str">
        <f>input!F623</f>
        <v>N</v>
      </c>
      <c r="G255" s="363"/>
      <c r="H255" s="313">
        <f>SUMIFS(Paper!$AC$7:$AC$30,Paper!$A$7:$A$30,'Production cost'!F255)</f>
        <v>0</v>
      </c>
      <c r="I255" s="313">
        <f>IF(input!$G623&gt;0,input!$G623,IF(OR($C255=Data!$L$1167,$C255=Data!$L$1166),500,IF($C255=Data!$L$1168,3000,IF($C255=Data!$L$1169,ROUNDDOWN(40000*60/SUMIFS(Paper!$O$7:$O$21,Paper!$A$7:$A$21,'Production cost'!$F255),-2),2000))))</f>
        <v>2000</v>
      </c>
      <c r="J255" s="313" t="str">
        <f>input!$H623</f>
        <v>Sheets</v>
      </c>
      <c r="K255" s="360">
        <v>0</v>
      </c>
      <c r="L255" s="313">
        <f>IF(input!$I623&gt;0,input!$I623,3)</f>
        <v>3</v>
      </c>
      <c r="M255" s="391">
        <f>IF(H255&gt;0,SUMIF(Data!$L$1155:$L$1190,'Production cost'!$C255,Data!$Q$1155:$Q$1190)*SUMIF(Paper!$A$7:$A$29,'Production cost'!$F255,Paper!$J$7:$J$29),0)</f>
        <v>0</v>
      </c>
      <c r="N255" s="391">
        <f t="shared" si="153"/>
        <v>0</v>
      </c>
      <c r="P255" s="313">
        <f>SUMIF(Data!$L$1155:$L$1190,'Production cost'!$C255,Data!$N$1155:$N$1190)</f>
        <v>0</v>
      </c>
      <c r="Q255" s="313">
        <f t="shared" si="145"/>
        <v>0</v>
      </c>
      <c r="R255" s="313">
        <f t="shared" si="154"/>
        <v>0</v>
      </c>
      <c r="S255" s="1741">
        <f t="shared" si="155"/>
        <v>0</v>
      </c>
      <c r="T255" s="313" t="str">
        <f>input!J623</f>
        <v>N</v>
      </c>
      <c r="V255" s="3115" t="str">
        <f>input!K623</f>
        <v>Packaging</v>
      </c>
      <c r="W255" s="3115">
        <f t="shared" si="123"/>
        <v>0</v>
      </c>
      <c r="X255" s="3119">
        <f>VLOOKUP(V255,'Fix Cost'!$K$177:$M$179,2,0)</f>
        <v>58449.923860467366</v>
      </c>
      <c r="Y255" s="3119">
        <f>VLOOKUP(V255,'Fix Cost'!$K$177:$M$179,3,0)</f>
        <v>267411.04680782068</v>
      </c>
      <c r="Z255" s="3119">
        <f t="shared" si="124"/>
        <v>0</v>
      </c>
      <c r="AA255" s="3115">
        <f t="shared" si="125"/>
        <v>0</v>
      </c>
      <c r="AB255" s="3115">
        <f t="shared" si="126"/>
        <v>0</v>
      </c>
      <c r="AK255" s="313"/>
      <c r="AL255" s="313"/>
      <c r="AM255" s="313"/>
      <c r="AO255" s="385"/>
      <c r="AP255" s="385"/>
      <c r="AQ255" s="385"/>
      <c r="AR255" s="1048"/>
      <c r="AS255" s="1054"/>
      <c r="AT255" s="879">
        <f t="shared" si="127"/>
        <v>0</v>
      </c>
      <c r="AU255" s="879">
        <f ca="1">COUNTIFS(AT$7:$AT255,1)</f>
        <v>4</v>
      </c>
    </row>
    <row r="256" spans="2:47" ht="14.25" hidden="1" customHeight="1" outlineLevel="1">
      <c r="B256" s="1738" t="s">
        <v>173</v>
      </c>
      <c r="C256" s="313" t="str">
        <f>input!C624</f>
        <v>Test</v>
      </c>
      <c r="E256" s="363"/>
      <c r="F256" s="363" t="str">
        <f>input!F624</f>
        <v>N</v>
      </c>
      <c r="G256" s="363"/>
      <c r="H256" s="313">
        <f>SUMIFS(Paper!$AC$7:$AC$30,Paper!$A$7:$A$30,'Production cost'!F256)</f>
        <v>0</v>
      </c>
      <c r="I256" s="313">
        <f>IF(input!$G624&gt;0,input!$G624,IF(OR($C256=Data!$L$1167,$C256=Data!$L$1166),500,IF($C256=Data!$L$1168,3000,IF($C256=Data!$L$1169,ROUNDDOWN(40000*60/SUMIFS(Paper!$O$7:$O$21,Paper!$A$7:$A$21,'Production cost'!$F256),-2),2000))))</f>
        <v>2000</v>
      </c>
      <c r="J256" s="313" t="str">
        <f>input!$H624</f>
        <v>Sheets</v>
      </c>
      <c r="K256" s="360">
        <v>0</v>
      </c>
      <c r="L256" s="313">
        <f>IF(input!$I624&gt;0,input!$I624,3)</f>
        <v>3</v>
      </c>
      <c r="M256" s="391">
        <f>IF(H256&gt;0,SUMIF(Data!$L$1155:$L$1190,'Production cost'!$C256,Data!$Q$1155:$Q$1190)*SUMIF(Paper!$A$7:$A$29,'Production cost'!$F256,Paper!$J$7:$J$29),0)</f>
        <v>0</v>
      </c>
      <c r="N256" s="391">
        <f t="shared" si="153"/>
        <v>0</v>
      </c>
      <c r="P256" s="313">
        <f>SUMIF(Data!$L$1155:$L$1190,'Production cost'!$C256,Data!$N$1155:$N$1190)</f>
        <v>0</v>
      </c>
      <c r="Q256" s="313">
        <f t="shared" si="145"/>
        <v>0</v>
      </c>
      <c r="R256" s="313">
        <f t="shared" si="154"/>
        <v>0</v>
      </c>
      <c r="S256" s="1741">
        <f t="shared" si="155"/>
        <v>0</v>
      </c>
      <c r="T256" s="313" t="str">
        <f>input!J624</f>
        <v>N</v>
      </c>
      <c r="V256" s="3115" t="str">
        <f>input!K624</f>
        <v>Packaging</v>
      </c>
      <c r="W256" s="3115">
        <f t="shared" si="123"/>
        <v>0</v>
      </c>
      <c r="X256" s="3119">
        <f>VLOOKUP(V256,'Fix Cost'!$K$177:$M$179,2,0)</f>
        <v>58449.923860467366</v>
      </c>
      <c r="Y256" s="3119">
        <f>VLOOKUP(V256,'Fix Cost'!$K$177:$M$179,3,0)</f>
        <v>267411.04680782068</v>
      </c>
      <c r="Z256" s="3119">
        <f t="shared" si="124"/>
        <v>0</v>
      </c>
      <c r="AA256" s="3115">
        <f t="shared" si="125"/>
        <v>0</v>
      </c>
      <c r="AB256" s="3115">
        <f t="shared" si="126"/>
        <v>0</v>
      </c>
      <c r="AK256" s="313"/>
      <c r="AL256" s="313"/>
      <c r="AM256" s="313"/>
      <c r="AO256" s="385"/>
      <c r="AP256" s="385"/>
      <c r="AQ256" s="385"/>
      <c r="AR256" s="1048"/>
      <c r="AS256" s="1054"/>
      <c r="AT256" s="879">
        <f t="shared" si="127"/>
        <v>0</v>
      </c>
      <c r="AU256" s="879">
        <f ca="1">COUNTIFS(AT$7:$AT256,1)</f>
        <v>4</v>
      </c>
    </row>
    <row r="257" spans="1:47" ht="14.25" hidden="1" customHeight="1" outlineLevel="1">
      <c r="B257" s="1742" t="s">
        <v>173</v>
      </c>
      <c r="C257" s="1743" t="str">
        <f>input!C625</f>
        <v>Test</v>
      </c>
      <c r="D257" s="1743"/>
      <c r="E257" s="1746"/>
      <c r="F257" s="1746" t="str">
        <f>input!F625</f>
        <v>N</v>
      </c>
      <c r="G257" s="1746"/>
      <c r="H257" s="1743">
        <f>SUMIFS(Paper!$AC$7:$AC$30,Paper!$A$7:$A$30,'Production cost'!F257)</f>
        <v>0</v>
      </c>
      <c r="I257" s="313">
        <f>IF(input!$G625&gt;0,input!$G625,IF(OR($C257=Data!$L$1167,$C257=Data!$L$1166),500,IF($C257=Data!$L$1168,3000,IF($C257=Data!$L$1169,ROUNDDOWN(40000*60/SUMIFS(Paper!$O$7:$O$21,Paper!$A$7:$A$21,'Production cost'!$F257),-2),2000))))</f>
        <v>2000</v>
      </c>
      <c r="J257" s="1743" t="str">
        <f>input!$H625</f>
        <v>Sheets</v>
      </c>
      <c r="K257" s="1747">
        <v>0</v>
      </c>
      <c r="L257" s="1743">
        <f>IF(input!$I625&gt;0,input!$I625,3)</f>
        <v>3</v>
      </c>
      <c r="M257" s="1748">
        <f>IF(H257&gt;0,SUMIF(Data!$L$1155:$L$1190,'Production cost'!$C257,Data!$Q$1155:$Q$1190)*SUMIF(Paper!$A$7:$A$29,'Production cost'!$F257,Paper!$J$7:$J$29),0)</f>
        <v>0</v>
      </c>
      <c r="N257" s="1748">
        <f t="shared" si="153"/>
        <v>0</v>
      </c>
      <c r="O257" s="1743"/>
      <c r="P257" s="1743">
        <f>SUMIF(Data!$L$1155:$L$1190,'Production cost'!$C257,Data!$N$1155:$N$1190)</f>
        <v>0</v>
      </c>
      <c r="Q257" s="1743">
        <f t="shared" si="145"/>
        <v>0</v>
      </c>
      <c r="R257" s="1743">
        <f t="shared" si="154"/>
        <v>0</v>
      </c>
      <c r="S257" s="1749">
        <f t="shared" si="155"/>
        <v>0</v>
      </c>
      <c r="T257" s="313" t="str">
        <f>input!J625</f>
        <v>N</v>
      </c>
      <c r="V257" s="3115" t="str">
        <f>input!K625</f>
        <v>Packaging</v>
      </c>
      <c r="W257" s="3115">
        <f t="shared" si="123"/>
        <v>0</v>
      </c>
      <c r="X257" s="3119">
        <f>VLOOKUP(V257,'Fix Cost'!$K$177:$M$179,2,0)</f>
        <v>58449.923860467366</v>
      </c>
      <c r="Y257" s="3119">
        <f>VLOOKUP(V257,'Fix Cost'!$K$177:$M$179,3,0)</f>
        <v>267411.04680782068</v>
      </c>
      <c r="Z257" s="3119">
        <f t="shared" si="124"/>
        <v>0</v>
      </c>
      <c r="AA257" s="3115">
        <f t="shared" si="125"/>
        <v>0</v>
      </c>
      <c r="AB257" s="3115">
        <f t="shared" si="126"/>
        <v>0</v>
      </c>
      <c r="AK257" s="313"/>
      <c r="AL257" s="313"/>
      <c r="AM257" s="313"/>
      <c r="AO257" s="385"/>
      <c r="AP257" s="385"/>
      <c r="AQ257" s="385"/>
      <c r="AR257" s="1048"/>
      <c r="AS257" s="1054"/>
      <c r="AT257" s="879">
        <f t="shared" si="127"/>
        <v>0</v>
      </c>
      <c r="AU257" s="879">
        <f ca="1">COUNTIFS(AT$7:$AT257,1)</f>
        <v>4</v>
      </c>
    </row>
    <row r="258" spans="1:47" ht="14.25" hidden="1" customHeight="1" outlineLevel="1">
      <c r="E258" s="363"/>
      <c r="F258" s="384"/>
      <c r="G258" s="363"/>
      <c r="M258" s="391"/>
      <c r="N258" s="391"/>
      <c r="AK258" s="313"/>
      <c r="AL258" s="313"/>
      <c r="AM258" s="313"/>
      <c r="AO258" s="385"/>
      <c r="AP258" s="385"/>
      <c r="AQ258" s="385"/>
      <c r="AR258" s="1048"/>
      <c r="AS258" s="1054"/>
      <c r="AT258" s="879" t="str">
        <f t="shared" si="127"/>
        <v/>
      </c>
      <c r="AU258" s="879">
        <f ca="1">COUNTIFS(AT$7:$AT258,1)</f>
        <v>4</v>
      </c>
    </row>
    <row r="259" spans="1:47" ht="14.25" hidden="1" customHeight="1">
      <c r="B259" s="1269"/>
      <c r="C259" s="385"/>
      <c r="G259" s="1270"/>
      <c r="N259" s="391"/>
      <c r="S259" s="363"/>
      <c r="AK259" s="313"/>
      <c r="AL259" s="313"/>
      <c r="AM259" s="313"/>
      <c r="AO259" s="385"/>
      <c r="AP259" s="385"/>
      <c r="AQ259" s="385"/>
      <c r="AR259" s="1048"/>
      <c r="AS259" s="1054"/>
      <c r="AT259" s="879" t="str">
        <f t="shared" si="127"/>
        <v/>
      </c>
      <c r="AU259" s="879">
        <f ca="1">COUNTIFS(AT$7:$AT259,1)</f>
        <v>4</v>
      </c>
    </row>
    <row r="260" spans="1:47" ht="14.25" customHeight="1">
      <c r="A260" s="1269" t="s">
        <v>145</v>
      </c>
      <c r="B260" s="1730" t="s">
        <v>29</v>
      </c>
      <c r="C260" s="1731" t="str">
        <f>input!C628</f>
        <v>Die-cutting (NIKKO 1050FH)</v>
      </c>
      <c r="D260" s="313">
        <f>input!D628</f>
        <v>0</v>
      </c>
      <c r="E260" s="1734"/>
      <c r="F260" s="1734" t="str">
        <f ca="1">input!F628</f>
        <v>Box</v>
      </c>
      <c r="G260" s="1734"/>
      <c r="H260" s="1731">
        <f ca="1">IF(F260="PCS",$E$4,SUMIFS(Paper!$AC$7:$AC$58,Paper!$A$7:$A$58,'Production cost'!F260))</f>
        <v>2725</v>
      </c>
      <c r="I260" s="1731" t="str">
        <f ca="1">IF(input!$G628&gt;0,input!$G628,IF($C260=Data!$L$1158,500,3000))</f>
        <v>3500</v>
      </c>
      <c r="J260" s="313" t="str">
        <f>input!$H628</f>
        <v>Sheets</v>
      </c>
      <c r="K260" s="1735">
        <f>IF($C260=Data!$L$1158,0,1/4)</f>
        <v>0.25</v>
      </c>
      <c r="L260" s="1731" t="str">
        <f ca="1">IF(input!$I628&gt;0,input!$I628,2)</f>
        <v>2</v>
      </c>
      <c r="M260" s="1736">
        <f ca="1">IF(H260&gt;0,SUMIF(Data!$L$1155:$L$1190,'Production cost'!$C260,Data!$Q$1155:$Q$1190)*SUMIF(Paper!$A$7:$A$70,'Production cost'!$F260,Paper!$J$7:$J$70),0)</f>
        <v>0.66666666666666663</v>
      </c>
      <c r="N260" s="1736">
        <f ca="1">IF(H260&gt;0,ROUNDUP(((H260/I260)/$M$5+M260),1),0)</f>
        <v>1.5</v>
      </c>
      <c r="O260" s="1731">
        <f>IF($C260=Data!$L$1158,0,Data!$N$1195)</f>
        <v>352574.32240985788</v>
      </c>
      <c r="P260" s="1731">
        <f>SUMIF(Data!$L$1155:$L$1190,'Production cost'!$C260,Data!$N$1155:$N$1190)</f>
        <v>64593.240854333337</v>
      </c>
      <c r="Q260" s="1731">
        <f t="shared" ref="Q260:Q296" ca="1" si="156">(N260*O260*K260+N260*P260*L260)*(1+$R$702)</f>
        <v>325995.09346669668</v>
      </c>
      <c r="R260" s="1731">
        <f ca="1">IF($E$2&gt;0,Q260/$E$2,0)</f>
        <v>65.19901869333934</v>
      </c>
      <c r="S260" s="1737">
        <f ca="1">IF(M260&gt;0,K260*O260+L260*P260,0)</f>
        <v>217330.06231113116</v>
      </c>
      <c r="T260" s="313" t="str">
        <f ca="1">input!J628</f>
        <v>Box</v>
      </c>
      <c r="V260" s="3115" t="str">
        <f>input!K628</f>
        <v>Packaging</v>
      </c>
      <c r="W260" s="3115">
        <f t="shared" ref="W260:W286" ca="1" si="157">N260*(L260+K260)</f>
        <v>3.375</v>
      </c>
      <c r="X260" s="3119">
        <f>VLOOKUP(V260,'Fix Cost'!$K$177:$M$179,2,0)</f>
        <v>58449.923860467366</v>
      </c>
      <c r="Y260" s="3119">
        <f>VLOOKUP(V260,'Fix Cost'!$K$177:$M$179,3,0)</f>
        <v>267411.04680782068</v>
      </c>
      <c r="Z260" s="3119">
        <f t="shared" ref="Z260:Z286" ca="1" si="158">IFERROR($X260*W260,0)</f>
        <v>197268.49302907736</v>
      </c>
      <c r="AA260" s="3115">
        <f t="shared" ref="AA260:AA286" ca="1" si="159">IFERROR(Y260*N260,0)</f>
        <v>401116.57021173101</v>
      </c>
      <c r="AB260" s="3115">
        <f t="shared" ref="AB260:AB286" ca="1" si="160">Z260+AA260</f>
        <v>598385.06324080843</v>
      </c>
      <c r="AK260" s="313"/>
      <c r="AL260" s="313"/>
      <c r="AM260" s="313"/>
      <c r="AO260" s="1055"/>
      <c r="AP260" s="385"/>
      <c r="AQ260" s="385"/>
      <c r="AR260" s="1048"/>
      <c r="AS260" s="1054"/>
      <c r="AT260" s="879">
        <f t="shared" ca="1" si="127"/>
        <v>1</v>
      </c>
      <c r="AU260" s="879">
        <f ca="1">COUNTIFS(AT$7:$AT260,1)</f>
        <v>5</v>
      </c>
    </row>
    <row r="261" spans="1:47" ht="14.25" hidden="1" customHeight="1" outlineLevel="1">
      <c r="A261" s="1269"/>
      <c r="B261" s="1738" t="s">
        <v>29</v>
      </c>
      <c r="C261" s="313" t="str">
        <f>input!C629</f>
        <v>Die-cutting (NIKKO 1050FH)</v>
      </c>
      <c r="D261" s="313">
        <f>input!D629</f>
        <v>17</v>
      </c>
      <c r="E261" s="363"/>
      <c r="F261" s="363" t="str">
        <f ca="1">input!F629</f>
        <v>N</v>
      </c>
      <c r="G261" s="363"/>
      <c r="H261" s="313">
        <f ca="1">IF(F261="PCS",$E$4,SUMIFS(Paper!$AC$7:$AC$58,Paper!$A$7:$A$58,'Production cost'!F261))</f>
        <v>0</v>
      </c>
      <c r="I261" s="313">
        <f ca="1">IF(input!$G629&gt;0,input!$G629,IF($C261=Data!$L$1158,500,3000))</f>
        <v>3000</v>
      </c>
      <c r="J261" s="313" t="str">
        <f>input!$H629</f>
        <v>Sheets</v>
      </c>
      <c r="K261" s="360">
        <f>IF($C261=Data!$L$1158,0,1/4)</f>
        <v>0.25</v>
      </c>
      <c r="L261" s="313">
        <f ca="1">IF(input!$I629&gt;0,input!$I629,2)</f>
        <v>2</v>
      </c>
      <c r="M261" s="391">
        <f ca="1">IF(H261&gt;0,SUMIF(Data!$L$1155:$L$1190,'Production cost'!$C261,Data!$Q$1155:$Q$1190)*SUMIF(Paper!$A$7:$A$70,'Production cost'!$F261,Paper!$J$7:$J$70),0)</f>
        <v>0</v>
      </c>
      <c r="N261" s="391">
        <f t="shared" ref="N261:N269" ca="1" si="161">IF(H261&gt;0,ROUNDUP(((H261/I261)/$M$5+M261),1),0)</f>
        <v>0</v>
      </c>
      <c r="O261" s="313">
        <f>IF($C261=Data!$L$1158,0,Data!$N$1195)</f>
        <v>352574.32240985788</v>
      </c>
      <c r="P261" s="313">
        <f>SUMIF(Data!$L$1155:$L$1190,'Production cost'!$C261,Data!$N$1155:$N$1190)</f>
        <v>64593.240854333337</v>
      </c>
      <c r="Q261" s="313">
        <f t="shared" ca="1" si="156"/>
        <v>0</v>
      </c>
      <c r="R261" s="313">
        <f t="shared" ref="R261:R269" ca="1" si="162">IF($E$2&gt;0,Q261/$E$2,0)</f>
        <v>0</v>
      </c>
      <c r="S261" s="1741">
        <f t="shared" ref="S261:S269" ca="1" si="163">IF(M261&gt;0,K261*O261+L261*P261,0)</f>
        <v>0</v>
      </c>
      <c r="T261" s="313" t="str">
        <f ca="1">input!J629</f>
        <v>N</v>
      </c>
      <c r="V261" s="3115" t="str">
        <f>input!K629</f>
        <v>Packaging</v>
      </c>
      <c r="W261" s="3115">
        <f t="shared" ca="1" si="157"/>
        <v>0</v>
      </c>
      <c r="X261" s="3119">
        <f>VLOOKUP(V261,'Fix Cost'!$K$177:$M$179,2,0)</f>
        <v>58449.923860467366</v>
      </c>
      <c r="Y261" s="3119">
        <f>VLOOKUP(V261,'Fix Cost'!$K$177:$M$179,3,0)</f>
        <v>267411.04680782068</v>
      </c>
      <c r="Z261" s="3119">
        <f t="shared" ca="1" si="158"/>
        <v>0</v>
      </c>
      <c r="AA261" s="3115">
        <f t="shared" ca="1" si="159"/>
        <v>0</v>
      </c>
      <c r="AB261" s="3115">
        <f t="shared" ca="1" si="160"/>
        <v>0</v>
      </c>
      <c r="AK261" s="313"/>
      <c r="AL261" s="313"/>
      <c r="AM261" s="313"/>
      <c r="AO261" s="1055"/>
      <c r="AP261" s="385"/>
      <c r="AQ261" s="385"/>
      <c r="AR261" s="1048"/>
      <c r="AS261" s="1054"/>
      <c r="AT261" s="879">
        <f t="shared" ca="1" si="127"/>
        <v>0</v>
      </c>
      <c r="AU261" s="879">
        <f ca="1">COUNTIFS(AT$7:$AT261,1)</f>
        <v>5</v>
      </c>
    </row>
    <row r="262" spans="1:47" ht="14.25" hidden="1" customHeight="1" outlineLevel="1">
      <c r="A262" s="1269"/>
      <c r="B262" s="1738" t="s">
        <v>29</v>
      </c>
      <c r="C262" s="313" t="str">
        <f>input!C630</f>
        <v>Die-cutting (NIKKO 1050FH)</v>
      </c>
      <c r="D262" s="313">
        <f>input!D630</f>
        <v>34</v>
      </c>
      <c r="E262" s="363"/>
      <c r="F262" s="363" t="str">
        <f ca="1">input!F630</f>
        <v>N</v>
      </c>
      <c r="G262" s="363"/>
      <c r="H262" s="313">
        <f ca="1">IF(F262="PCS",$E$4,SUMIFS(Paper!$AC$7:$AC$58,Paper!$A$7:$A$58,'Production cost'!F262))</f>
        <v>0</v>
      </c>
      <c r="I262" s="313">
        <f ca="1">IF(input!$G630&gt;0,input!$G630,IF($C262=Data!$L$1158,500,3000))</f>
        <v>3000</v>
      </c>
      <c r="J262" s="313" t="str">
        <f>input!$H630</f>
        <v>Sheets</v>
      </c>
      <c r="K262" s="360">
        <f>IF($C262=Data!$L$1158,0,1/4)</f>
        <v>0.25</v>
      </c>
      <c r="L262" s="313">
        <f ca="1">IF(input!$I630&gt;0,input!$I630,2)</f>
        <v>2</v>
      </c>
      <c r="M262" s="391">
        <f ca="1">IF(H262&gt;0,SUMIF(Data!$L$1155:$L$1190,'Production cost'!$C262,Data!$Q$1155:$Q$1190)*SUMIF(Paper!$A$7:$A$70,'Production cost'!$F262,Paper!$J$7:$J$70),0)</f>
        <v>0</v>
      </c>
      <c r="N262" s="391">
        <f t="shared" ca="1" si="161"/>
        <v>0</v>
      </c>
      <c r="O262" s="313">
        <f>IF($C262=Data!$L$1158,0,Data!$N$1195)</f>
        <v>352574.32240985788</v>
      </c>
      <c r="P262" s="313">
        <f>SUMIF(Data!$L$1155:$L$1190,'Production cost'!$C262,Data!$N$1155:$N$1190)</f>
        <v>64593.240854333337</v>
      </c>
      <c r="Q262" s="313">
        <f t="shared" ca="1" si="156"/>
        <v>0</v>
      </c>
      <c r="R262" s="313">
        <f t="shared" ca="1" si="162"/>
        <v>0</v>
      </c>
      <c r="S262" s="1741">
        <f t="shared" ca="1" si="163"/>
        <v>0</v>
      </c>
      <c r="T262" s="313" t="str">
        <f ca="1">input!J630</f>
        <v>N</v>
      </c>
      <c r="V262" s="3115" t="str">
        <f>input!K630</f>
        <v>Packaging</v>
      </c>
      <c r="W262" s="3115">
        <f t="shared" ca="1" si="157"/>
        <v>0</v>
      </c>
      <c r="X262" s="3119">
        <f>VLOOKUP(V262,'Fix Cost'!$K$177:$M$179,2,0)</f>
        <v>58449.923860467366</v>
      </c>
      <c r="Y262" s="3119">
        <f>VLOOKUP(V262,'Fix Cost'!$K$177:$M$179,3,0)</f>
        <v>267411.04680782068</v>
      </c>
      <c r="Z262" s="3119">
        <f t="shared" ca="1" si="158"/>
        <v>0</v>
      </c>
      <c r="AA262" s="3115">
        <f t="shared" ca="1" si="159"/>
        <v>0</v>
      </c>
      <c r="AB262" s="3115">
        <f t="shared" ca="1" si="160"/>
        <v>0</v>
      </c>
      <c r="AK262" s="313"/>
      <c r="AL262" s="313"/>
      <c r="AM262" s="313"/>
      <c r="AO262" s="1055"/>
      <c r="AP262" s="385"/>
      <c r="AQ262" s="385"/>
      <c r="AR262" s="1048"/>
      <c r="AS262" s="1054"/>
      <c r="AT262" s="879">
        <f t="shared" ca="1" si="127"/>
        <v>0</v>
      </c>
      <c r="AU262" s="879">
        <f ca="1">COUNTIFS(AT$7:$AT262,1)</f>
        <v>5</v>
      </c>
    </row>
    <row r="263" spans="1:47" ht="14.25" hidden="1" customHeight="1" outlineLevel="1">
      <c r="A263" s="1269"/>
      <c r="B263" s="1738" t="s">
        <v>29</v>
      </c>
      <c r="C263" s="313" t="str">
        <f>input!C631</f>
        <v>Die-cutting (NIKKO 1050FH)</v>
      </c>
      <c r="D263" s="313">
        <f>input!D631</f>
        <v>51</v>
      </c>
      <c r="E263" s="363"/>
      <c r="F263" s="363" t="str">
        <f ca="1">input!F631</f>
        <v>N</v>
      </c>
      <c r="G263" s="363"/>
      <c r="H263" s="313">
        <f ca="1">IF(F263="PCS",$E$4,SUMIFS(Paper!$AC$7:$AC$58,Paper!$A$7:$A$58,'Production cost'!F263))</f>
        <v>0</v>
      </c>
      <c r="I263" s="313">
        <f ca="1">IF(input!$G631&gt;0,input!$G631,IF($C263=Data!$L$1158,500,3000))</f>
        <v>3000</v>
      </c>
      <c r="J263" s="313" t="str">
        <f>input!$H631</f>
        <v>Sheets</v>
      </c>
      <c r="K263" s="360">
        <f>IF($C263=Data!$L$1158,0,1/4)</f>
        <v>0.25</v>
      </c>
      <c r="L263" s="313">
        <f ca="1">IF(input!$I631&gt;0,input!$I631,2)</f>
        <v>2</v>
      </c>
      <c r="M263" s="391">
        <f ca="1">IF(H263&gt;0,SUMIF(Data!$L$1155:$L$1190,'Production cost'!$C263,Data!$Q$1155:$Q$1190)*SUMIF(Paper!$A$7:$A$70,'Production cost'!$F263,Paper!$J$7:$J$70),0)</f>
        <v>0</v>
      </c>
      <c r="N263" s="391">
        <f t="shared" ca="1" si="161"/>
        <v>0</v>
      </c>
      <c r="O263" s="313">
        <f>IF($C263=Data!$L$1158,0,Data!$N$1195)</f>
        <v>352574.32240985788</v>
      </c>
      <c r="P263" s="313">
        <f>SUMIF(Data!$L$1155:$L$1190,'Production cost'!$C263,Data!$N$1155:$N$1190)</f>
        <v>64593.240854333337</v>
      </c>
      <c r="Q263" s="313">
        <f t="shared" ca="1" si="156"/>
        <v>0</v>
      </c>
      <c r="R263" s="313">
        <f t="shared" ca="1" si="162"/>
        <v>0</v>
      </c>
      <c r="S263" s="1741">
        <f t="shared" ca="1" si="163"/>
        <v>0</v>
      </c>
      <c r="T263" s="313" t="str">
        <f ca="1">input!J631</f>
        <v>N</v>
      </c>
      <c r="V263" s="3115" t="str">
        <f>input!K631</f>
        <v>Packaging</v>
      </c>
      <c r="W263" s="3115">
        <f t="shared" ca="1" si="157"/>
        <v>0</v>
      </c>
      <c r="X263" s="3119">
        <f>VLOOKUP(V263,'Fix Cost'!$K$177:$M$179,2,0)</f>
        <v>58449.923860467366</v>
      </c>
      <c r="Y263" s="3119">
        <f>VLOOKUP(V263,'Fix Cost'!$K$177:$M$179,3,0)</f>
        <v>267411.04680782068</v>
      </c>
      <c r="Z263" s="3119">
        <f t="shared" ca="1" si="158"/>
        <v>0</v>
      </c>
      <c r="AA263" s="3115">
        <f t="shared" ca="1" si="159"/>
        <v>0</v>
      </c>
      <c r="AB263" s="3115">
        <f t="shared" ca="1" si="160"/>
        <v>0</v>
      </c>
      <c r="AK263" s="313"/>
      <c r="AL263" s="313"/>
      <c r="AM263" s="313"/>
      <c r="AO263" s="1055"/>
      <c r="AP263" s="385"/>
      <c r="AQ263" s="385"/>
      <c r="AR263" s="1048"/>
      <c r="AS263" s="1054"/>
      <c r="AT263" s="879">
        <f t="shared" ca="1" si="127"/>
        <v>0</v>
      </c>
      <c r="AU263" s="879">
        <f ca="1">COUNTIFS(AT$7:$AT263,1)</f>
        <v>5</v>
      </c>
    </row>
    <row r="264" spans="1:47" ht="14.25" hidden="1" customHeight="1" outlineLevel="1">
      <c r="A264" s="1269"/>
      <c r="B264" s="1738" t="s">
        <v>29</v>
      </c>
      <c r="C264" s="313" t="str">
        <f>input!C632</f>
        <v>Die-cutting (NIKKO 1050FH)</v>
      </c>
      <c r="D264" s="313">
        <f>input!D632</f>
        <v>68</v>
      </c>
      <c r="E264" s="363"/>
      <c r="F264" s="363" t="str">
        <f ca="1">input!F632</f>
        <v>N</v>
      </c>
      <c r="G264" s="363"/>
      <c r="H264" s="313">
        <f ca="1">IF(F264="PCS",$E$4,SUMIFS(Paper!$AC$7:$AC$58,Paper!$A$7:$A$58,'Production cost'!F264))</f>
        <v>0</v>
      </c>
      <c r="I264" s="313">
        <f ca="1">IF(input!$G632&gt;0,input!$G632,IF($C264=Data!$L$1158,500,3000))</f>
        <v>3000</v>
      </c>
      <c r="J264" s="313" t="str">
        <f>input!$H632</f>
        <v>Sheets</v>
      </c>
      <c r="K264" s="360">
        <f>IF($C264=Data!$L$1158,0,1/4)</f>
        <v>0.25</v>
      </c>
      <c r="L264" s="313">
        <f ca="1">IF(input!$I632&gt;0,input!$I632,2)</f>
        <v>2</v>
      </c>
      <c r="M264" s="391">
        <f ca="1">IF(H264&gt;0,SUMIF(Data!$L$1155:$L$1190,'Production cost'!$C264,Data!$Q$1155:$Q$1190)*SUMIF(Paper!$A$7:$A$70,'Production cost'!$F264,Paper!$J$7:$J$70),0)</f>
        <v>0</v>
      </c>
      <c r="N264" s="391">
        <f t="shared" ca="1" si="161"/>
        <v>0</v>
      </c>
      <c r="O264" s="313">
        <f>IF($C264=Data!$L$1158,0,Data!$N$1195)</f>
        <v>352574.32240985788</v>
      </c>
      <c r="P264" s="313">
        <f>SUMIF(Data!$L$1155:$L$1190,'Production cost'!$C264,Data!$N$1155:$N$1190)</f>
        <v>64593.240854333337</v>
      </c>
      <c r="Q264" s="313">
        <f t="shared" ca="1" si="156"/>
        <v>0</v>
      </c>
      <c r="R264" s="313">
        <f t="shared" ca="1" si="162"/>
        <v>0</v>
      </c>
      <c r="S264" s="1741">
        <f t="shared" ca="1" si="163"/>
        <v>0</v>
      </c>
      <c r="T264" s="313" t="str">
        <f ca="1">input!J632</f>
        <v>N</v>
      </c>
      <c r="V264" s="3115" t="str">
        <f>input!K632</f>
        <v>Packaging</v>
      </c>
      <c r="W264" s="3115">
        <f t="shared" ca="1" si="157"/>
        <v>0</v>
      </c>
      <c r="X264" s="3119">
        <f>VLOOKUP(V264,'Fix Cost'!$K$177:$M$179,2,0)</f>
        <v>58449.923860467366</v>
      </c>
      <c r="Y264" s="3119">
        <f>VLOOKUP(V264,'Fix Cost'!$K$177:$M$179,3,0)</f>
        <v>267411.04680782068</v>
      </c>
      <c r="Z264" s="3119">
        <f t="shared" ca="1" si="158"/>
        <v>0</v>
      </c>
      <c r="AA264" s="3115">
        <f t="shared" ca="1" si="159"/>
        <v>0</v>
      </c>
      <c r="AB264" s="3115">
        <f t="shared" ca="1" si="160"/>
        <v>0</v>
      </c>
      <c r="AK264" s="313"/>
      <c r="AL264" s="313"/>
      <c r="AM264" s="313"/>
      <c r="AO264" s="1055"/>
      <c r="AP264" s="385"/>
      <c r="AQ264" s="385"/>
      <c r="AR264" s="1048"/>
      <c r="AS264" s="1054"/>
      <c r="AT264" s="879">
        <f t="shared" ca="1" si="127"/>
        <v>0</v>
      </c>
      <c r="AU264" s="879">
        <f ca="1">COUNTIFS(AT$7:$AT264,1)</f>
        <v>5</v>
      </c>
    </row>
    <row r="265" spans="1:47" ht="14.25" hidden="1" customHeight="1" outlineLevel="1">
      <c r="A265" s="1269"/>
      <c r="B265" s="1738" t="s">
        <v>29</v>
      </c>
      <c r="C265" s="313" t="str">
        <f>input!C633</f>
        <v>Die-cutting (NIKKO 1050FH)</v>
      </c>
      <c r="D265" s="313">
        <f>input!D633</f>
        <v>85</v>
      </c>
      <c r="E265" s="363"/>
      <c r="F265" s="363" t="str">
        <f ca="1">input!F633</f>
        <v>N</v>
      </c>
      <c r="G265" s="363"/>
      <c r="H265" s="313">
        <f ca="1">IF(F265="PCS",$E$4,SUMIFS(Paper!$AC$7:$AC$58,Paper!$A$7:$A$58,'Production cost'!F265))</f>
        <v>0</v>
      </c>
      <c r="I265" s="313">
        <f ca="1">IF(input!$G633&gt;0,input!$G633,IF($C265=Data!$L$1158,500,3000))</f>
        <v>3000</v>
      </c>
      <c r="J265" s="313" t="str">
        <f>input!$H633</f>
        <v>Sheets</v>
      </c>
      <c r="K265" s="360">
        <f>IF($C265=Data!$L$1158,0,1/4)</f>
        <v>0.25</v>
      </c>
      <c r="L265" s="313">
        <f ca="1">IF(input!$I633&gt;0,input!$I633,2)</f>
        <v>2</v>
      </c>
      <c r="M265" s="391">
        <f ca="1">IF(H265&gt;0,SUMIF(Data!$L$1155:$L$1190,'Production cost'!$C265,Data!$Q$1155:$Q$1190)*SUMIF(Paper!$A$7:$A$70,'Production cost'!$F265,Paper!$J$7:$J$70),0)</f>
        <v>0</v>
      </c>
      <c r="N265" s="391">
        <f t="shared" ca="1" si="161"/>
        <v>0</v>
      </c>
      <c r="O265" s="313">
        <f>IF($C265=Data!$L$1158,0,Data!$N$1195)</f>
        <v>352574.32240985788</v>
      </c>
      <c r="P265" s="313">
        <f>SUMIF(Data!$L$1155:$L$1190,'Production cost'!$C265,Data!$N$1155:$N$1190)</f>
        <v>64593.240854333337</v>
      </c>
      <c r="Q265" s="313">
        <f t="shared" ca="1" si="156"/>
        <v>0</v>
      </c>
      <c r="R265" s="313">
        <f t="shared" ca="1" si="162"/>
        <v>0</v>
      </c>
      <c r="S265" s="1741">
        <f t="shared" ca="1" si="163"/>
        <v>0</v>
      </c>
      <c r="T265" s="313" t="str">
        <f ca="1">input!J633</f>
        <v>N</v>
      </c>
      <c r="V265" s="3115" t="str">
        <f>input!K633</f>
        <v>Packaging</v>
      </c>
      <c r="W265" s="3115">
        <f t="shared" ca="1" si="157"/>
        <v>0</v>
      </c>
      <c r="X265" s="3119">
        <f>VLOOKUP(V265,'Fix Cost'!$K$177:$M$179,2,0)</f>
        <v>58449.923860467366</v>
      </c>
      <c r="Y265" s="3119">
        <f>VLOOKUP(V265,'Fix Cost'!$K$177:$M$179,3,0)</f>
        <v>267411.04680782068</v>
      </c>
      <c r="Z265" s="3119">
        <f t="shared" ca="1" si="158"/>
        <v>0</v>
      </c>
      <c r="AA265" s="3115">
        <f t="shared" ca="1" si="159"/>
        <v>0</v>
      </c>
      <c r="AB265" s="3115">
        <f t="shared" ca="1" si="160"/>
        <v>0</v>
      </c>
      <c r="AK265" s="313"/>
      <c r="AL265" s="313"/>
      <c r="AM265" s="313"/>
      <c r="AO265" s="1055"/>
      <c r="AP265" s="385"/>
      <c r="AQ265" s="385"/>
      <c r="AR265" s="1048"/>
      <c r="AS265" s="1054"/>
      <c r="AT265" s="879">
        <f t="shared" ca="1" si="127"/>
        <v>0</v>
      </c>
      <c r="AU265" s="879">
        <f ca="1">COUNTIFS(AT$7:$AT265,1)</f>
        <v>5</v>
      </c>
    </row>
    <row r="266" spans="1:47" ht="14.25" hidden="1" customHeight="1" outlineLevel="1">
      <c r="A266" s="1269"/>
      <c r="B266" s="1738" t="s">
        <v>29</v>
      </c>
      <c r="C266" s="313" t="str">
        <f>input!C634</f>
        <v>Die-cutting (NIKKO 1050FH)</v>
      </c>
      <c r="D266" s="313">
        <f>input!D634</f>
        <v>102</v>
      </c>
      <c r="E266" s="363"/>
      <c r="F266" s="363" t="str">
        <f ca="1">input!F634</f>
        <v>N</v>
      </c>
      <c r="G266" s="363"/>
      <c r="H266" s="313">
        <f ca="1">IF(F266="PCS",$E$4,SUMIFS(Paper!$AC$7:$AC$58,Paper!$A$7:$A$58,'Production cost'!F266))</f>
        <v>0</v>
      </c>
      <c r="I266" s="313">
        <f ca="1">IF(input!$G634&gt;0,input!$G634,IF($C266=Data!$L$1158,500,3000))</f>
        <v>3000</v>
      </c>
      <c r="J266" s="313" t="str">
        <f>input!$H634</f>
        <v>Sheets</v>
      </c>
      <c r="K266" s="360">
        <f>IF($C266=Data!$L$1158,0,1/4)</f>
        <v>0.25</v>
      </c>
      <c r="L266" s="313">
        <f ca="1">IF(input!$I634&gt;0,input!$I634,2)</f>
        <v>2</v>
      </c>
      <c r="M266" s="391">
        <f ca="1">IF(H266&gt;0,SUMIF(Data!$L$1155:$L$1190,'Production cost'!$C266,Data!$Q$1155:$Q$1190)*SUMIF(Paper!$A$7:$A$70,'Production cost'!$F266,Paper!$J$7:$J$70),0)</f>
        <v>0</v>
      </c>
      <c r="N266" s="391">
        <f t="shared" ca="1" si="161"/>
        <v>0</v>
      </c>
      <c r="O266" s="313">
        <f>IF($C266=Data!$L$1158,0,Data!$N$1195)</f>
        <v>352574.32240985788</v>
      </c>
      <c r="P266" s="313">
        <f>SUMIF(Data!$L$1155:$L$1190,'Production cost'!$C266,Data!$N$1155:$N$1190)</f>
        <v>64593.240854333337</v>
      </c>
      <c r="Q266" s="313">
        <f t="shared" ca="1" si="156"/>
        <v>0</v>
      </c>
      <c r="R266" s="313">
        <f t="shared" ca="1" si="162"/>
        <v>0</v>
      </c>
      <c r="S266" s="1741">
        <f t="shared" ca="1" si="163"/>
        <v>0</v>
      </c>
      <c r="T266" s="313" t="str">
        <f ca="1">input!J634</f>
        <v>N</v>
      </c>
      <c r="V266" s="3115" t="str">
        <f>input!K634</f>
        <v>Packaging</v>
      </c>
      <c r="W266" s="3115">
        <f t="shared" ca="1" si="157"/>
        <v>0</v>
      </c>
      <c r="X266" s="3119">
        <f>VLOOKUP(V266,'Fix Cost'!$K$177:$M$179,2,0)</f>
        <v>58449.923860467366</v>
      </c>
      <c r="Y266" s="3119">
        <f>VLOOKUP(V266,'Fix Cost'!$K$177:$M$179,3,0)</f>
        <v>267411.04680782068</v>
      </c>
      <c r="Z266" s="3119">
        <f t="shared" ca="1" si="158"/>
        <v>0</v>
      </c>
      <c r="AA266" s="3115">
        <f t="shared" ca="1" si="159"/>
        <v>0</v>
      </c>
      <c r="AB266" s="3115">
        <f t="shared" ca="1" si="160"/>
        <v>0</v>
      </c>
      <c r="AK266" s="313"/>
      <c r="AL266" s="313"/>
      <c r="AM266" s="313"/>
      <c r="AO266" s="1055"/>
      <c r="AP266" s="385"/>
      <c r="AQ266" s="385"/>
      <c r="AR266" s="1048"/>
      <c r="AS266" s="1054"/>
      <c r="AT266" s="879">
        <f t="shared" ca="1" si="127"/>
        <v>0</v>
      </c>
      <c r="AU266" s="879">
        <f ca="1">COUNTIFS(AT$7:$AT266,1)</f>
        <v>5</v>
      </c>
    </row>
    <row r="267" spans="1:47" ht="14.25" hidden="1" customHeight="1" outlineLevel="1">
      <c r="A267" s="1269"/>
      <c r="B267" s="1738" t="s">
        <v>29</v>
      </c>
      <c r="C267" s="313" t="str">
        <f>input!C635</f>
        <v>Die-cutting (NIKKO 1050FH)</v>
      </c>
      <c r="D267" s="313">
        <f>input!D635</f>
        <v>119</v>
      </c>
      <c r="E267" s="363"/>
      <c r="F267" s="363" t="str">
        <f ca="1">input!F635</f>
        <v>N</v>
      </c>
      <c r="G267" s="363"/>
      <c r="H267" s="313">
        <f ca="1">IF(F267="PCS",$E$4,SUMIFS(Paper!$AC$7:$AC$58,Paper!$A$7:$A$58,'Production cost'!F267))</f>
        <v>0</v>
      </c>
      <c r="I267" s="313">
        <f ca="1">IF(input!$G635&gt;0,input!$G635,IF($C267=Data!$L$1158,500,3000))</f>
        <v>3000</v>
      </c>
      <c r="J267" s="313" t="str">
        <f>input!$H635</f>
        <v>Sheets</v>
      </c>
      <c r="K267" s="360">
        <f>IF($C267=Data!$L$1158,0,1/4)</f>
        <v>0.25</v>
      </c>
      <c r="L267" s="313">
        <f ca="1">IF(input!$I635&gt;0,input!$I635,2)</f>
        <v>2</v>
      </c>
      <c r="M267" s="391">
        <f ca="1">IF(H267&gt;0,SUMIF(Data!$L$1155:$L$1190,'Production cost'!$C267,Data!$Q$1155:$Q$1190)*SUMIF(Paper!$A$7:$A$70,'Production cost'!$F267,Paper!$J$7:$J$70),0)</f>
        <v>0</v>
      </c>
      <c r="N267" s="391">
        <f t="shared" ca="1" si="161"/>
        <v>0</v>
      </c>
      <c r="O267" s="313">
        <f>IF($C267=Data!$L$1158,0,Data!$N$1195)</f>
        <v>352574.32240985788</v>
      </c>
      <c r="P267" s="313">
        <f>SUMIF(Data!$L$1155:$L$1190,'Production cost'!$C267,Data!$N$1155:$N$1190)</f>
        <v>64593.240854333337</v>
      </c>
      <c r="Q267" s="313">
        <f t="shared" ca="1" si="156"/>
        <v>0</v>
      </c>
      <c r="R267" s="313">
        <f t="shared" ca="1" si="162"/>
        <v>0</v>
      </c>
      <c r="S267" s="1741">
        <f t="shared" ca="1" si="163"/>
        <v>0</v>
      </c>
      <c r="T267" s="313" t="str">
        <f ca="1">input!J635</f>
        <v>N</v>
      </c>
      <c r="V267" s="3115" t="str">
        <f>input!K635</f>
        <v>Packaging</v>
      </c>
      <c r="W267" s="3115">
        <f t="shared" ca="1" si="157"/>
        <v>0</v>
      </c>
      <c r="X267" s="3119">
        <f>VLOOKUP(V267,'Fix Cost'!$K$177:$M$179,2,0)</f>
        <v>58449.923860467366</v>
      </c>
      <c r="Y267" s="3119">
        <f>VLOOKUP(V267,'Fix Cost'!$K$177:$M$179,3,0)</f>
        <v>267411.04680782068</v>
      </c>
      <c r="Z267" s="3119">
        <f t="shared" ca="1" si="158"/>
        <v>0</v>
      </c>
      <c r="AA267" s="3115">
        <f t="shared" ca="1" si="159"/>
        <v>0</v>
      </c>
      <c r="AB267" s="3115">
        <f t="shared" ca="1" si="160"/>
        <v>0</v>
      </c>
      <c r="AK267" s="313"/>
      <c r="AL267" s="313"/>
      <c r="AM267" s="313"/>
      <c r="AO267" s="1055"/>
      <c r="AP267" s="385"/>
      <c r="AQ267" s="385"/>
      <c r="AR267" s="1048"/>
      <c r="AS267" s="1054"/>
      <c r="AT267" s="879">
        <f t="shared" ca="1" si="127"/>
        <v>0</v>
      </c>
      <c r="AU267" s="879">
        <f ca="1">COUNTIFS(AT$7:$AT267,1)</f>
        <v>5</v>
      </c>
    </row>
    <row r="268" spans="1:47" ht="14.25" hidden="1" customHeight="1" outlineLevel="1">
      <c r="A268" s="1269"/>
      <c r="B268" s="1738" t="s">
        <v>29</v>
      </c>
      <c r="C268" s="313" t="str">
        <f>input!C636</f>
        <v>Die-cutting (NIKKO 1050FH)</v>
      </c>
      <c r="D268" s="313">
        <f>input!D636</f>
        <v>136</v>
      </c>
      <c r="E268" s="363"/>
      <c r="F268" s="363" t="str">
        <f ca="1">input!F636</f>
        <v>N</v>
      </c>
      <c r="G268" s="363"/>
      <c r="H268" s="313">
        <f ca="1">IF(F268="PCS",$E$4,SUMIFS(Paper!$AC$7:$AC$58,Paper!$A$7:$A$58,'Production cost'!F268))</f>
        <v>0</v>
      </c>
      <c r="I268" s="313">
        <f ca="1">IF(input!$G636&gt;0,input!$G636,IF($C268=Data!$L$1158,500,3000))</f>
        <v>3000</v>
      </c>
      <c r="J268" s="313" t="str">
        <f>input!$H636</f>
        <v>Sheets</v>
      </c>
      <c r="K268" s="360">
        <f>IF($C268=Data!$L$1158,0,1/4)</f>
        <v>0.25</v>
      </c>
      <c r="L268" s="313">
        <f ca="1">IF(input!$I636&gt;0,input!$I636,2)</f>
        <v>2</v>
      </c>
      <c r="M268" s="391">
        <f ca="1">IF(H268&gt;0,SUMIF(Data!$L$1155:$L$1190,'Production cost'!$C268,Data!$Q$1155:$Q$1190)*SUMIF(Paper!$A$7:$A$70,'Production cost'!$F268,Paper!$J$7:$J$70),0)</f>
        <v>0</v>
      </c>
      <c r="N268" s="391">
        <f t="shared" ca="1" si="161"/>
        <v>0</v>
      </c>
      <c r="O268" s="313">
        <f>IF($C268=Data!$L$1158,0,Data!$N$1195)</f>
        <v>352574.32240985788</v>
      </c>
      <c r="P268" s="313">
        <f>SUMIF(Data!$L$1155:$L$1190,'Production cost'!$C268,Data!$N$1155:$N$1190)</f>
        <v>64593.240854333337</v>
      </c>
      <c r="Q268" s="313">
        <f t="shared" ca="1" si="156"/>
        <v>0</v>
      </c>
      <c r="R268" s="313">
        <f t="shared" ca="1" si="162"/>
        <v>0</v>
      </c>
      <c r="S268" s="1741">
        <f t="shared" ca="1" si="163"/>
        <v>0</v>
      </c>
      <c r="T268" s="313" t="str">
        <f ca="1">input!J636</f>
        <v>N</v>
      </c>
      <c r="V268" s="3115" t="str">
        <f>input!K636</f>
        <v>Packaging</v>
      </c>
      <c r="W268" s="3115">
        <f t="shared" ca="1" si="157"/>
        <v>0</v>
      </c>
      <c r="X268" s="3119">
        <f>VLOOKUP(V268,'Fix Cost'!$K$177:$M$179,2,0)</f>
        <v>58449.923860467366</v>
      </c>
      <c r="Y268" s="3119">
        <f>VLOOKUP(V268,'Fix Cost'!$K$177:$M$179,3,0)</f>
        <v>267411.04680782068</v>
      </c>
      <c r="Z268" s="3119">
        <f t="shared" ca="1" si="158"/>
        <v>0</v>
      </c>
      <c r="AA268" s="3115">
        <f t="shared" ca="1" si="159"/>
        <v>0</v>
      </c>
      <c r="AB268" s="3115">
        <f t="shared" ca="1" si="160"/>
        <v>0</v>
      </c>
      <c r="AK268" s="313"/>
      <c r="AL268" s="313"/>
      <c r="AM268" s="313"/>
      <c r="AO268" s="1055"/>
      <c r="AP268" s="385"/>
      <c r="AQ268" s="385"/>
      <c r="AR268" s="1048"/>
      <c r="AS268" s="1054"/>
      <c r="AT268" s="879">
        <f t="shared" ca="1" si="127"/>
        <v>0</v>
      </c>
      <c r="AU268" s="879">
        <f ca="1">COUNTIFS(AT$7:$AT268,1)</f>
        <v>5</v>
      </c>
    </row>
    <row r="269" spans="1:47" ht="14.25" hidden="1" customHeight="1" outlineLevel="1">
      <c r="A269" s="1269"/>
      <c r="B269" s="1738" t="s">
        <v>29</v>
      </c>
      <c r="C269" s="313" t="str">
        <f>input!C637</f>
        <v>Die-cutting (NIKKO 1050FH)</v>
      </c>
      <c r="D269" s="313">
        <f>input!D637</f>
        <v>153</v>
      </c>
      <c r="E269" s="363"/>
      <c r="F269" s="363" t="str">
        <f ca="1">input!F637</f>
        <v>N</v>
      </c>
      <c r="G269" s="363"/>
      <c r="H269" s="313">
        <f ca="1">IF(F269="PCS",$E$4,SUMIFS(Paper!$AC$7:$AC$58,Paper!$A$7:$A$58,'Production cost'!F269))</f>
        <v>0</v>
      </c>
      <c r="I269" s="313">
        <f ca="1">IF(input!$G637&gt;0,input!$G637,IF($C269=Data!$L$1158,500,3000))</f>
        <v>3000</v>
      </c>
      <c r="J269" s="313" t="str">
        <f>input!$H637</f>
        <v>Sheets</v>
      </c>
      <c r="K269" s="360">
        <f>IF($C269=Data!$L$1158,0,1/4)</f>
        <v>0.25</v>
      </c>
      <c r="L269" s="313">
        <f ca="1">IF(input!$I637&gt;0,input!$I637,2)</f>
        <v>2</v>
      </c>
      <c r="M269" s="391">
        <f ca="1">IF(H269&gt;0,SUMIF(Data!$L$1155:$L$1190,'Production cost'!$C269,Data!$Q$1155:$Q$1190)*SUMIF(Paper!$A$7:$A$70,'Production cost'!$F269,Paper!$J$7:$J$70),0)</f>
        <v>0</v>
      </c>
      <c r="N269" s="391">
        <f t="shared" ca="1" si="161"/>
        <v>0</v>
      </c>
      <c r="O269" s="313">
        <f>IF($C269=Data!$L$1158,0,Data!$N$1195)</f>
        <v>352574.32240985788</v>
      </c>
      <c r="P269" s="313">
        <f>SUMIF(Data!$L$1155:$L$1190,'Production cost'!$C269,Data!$N$1155:$N$1190)</f>
        <v>64593.240854333337</v>
      </c>
      <c r="Q269" s="313">
        <f t="shared" ca="1" si="156"/>
        <v>0</v>
      </c>
      <c r="R269" s="313">
        <f t="shared" ca="1" si="162"/>
        <v>0</v>
      </c>
      <c r="S269" s="1741">
        <f t="shared" ca="1" si="163"/>
        <v>0</v>
      </c>
      <c r="T269" s="313" t="str">
        <f ca="1">input!J637</f>
        <v>N</v>
      </c>
      <c r="V269" s="3115" t="str">
        <f>input!K637</f>
        <v>Packaging</v>
      </c>
      <c r="W269" s="3115">
        <f t="shared" ca="1" si="157"/>
        <v>0</v>
      </c>
      <c r="X269" s="3119">
        <f>VLOOKUP(V269,'Fix Cost'!$K$177:$M$179,2,0)</f>
        <v>58449.923860467366</v>
      </c>
      <c r="Y269" s="3119">
        <f>VLOOKUP(V269,'Fix Cost'!$K$177:$M$179,3,0)</f>
        <v>267411.04680782068</v>
      </c>
      <c r="Z269" s="3119">
        <f t="shared" ca="1" si="158"/>
        <v>0</v>
      </c>
      <c r="AA269" s="3115">
        <f t="shared" ca="1" si="159"/>
        <v>0</v>
      </c>
      <c r="AB269" s="3115">
        <f t="shared" ca="1" si="160"/>
        <v>0</v>
      </c>
      <c r="AK269" s="313"/>
      <c r="AL269" s="313"/>
      <c r="AM269" s="313"/>
      <c r="AO269" s="1055"/>
      <c r="AP269" s="385"/>
      <c r="AQ269" s="385"/>
      <c r="AR269" s="1048"/>
      <c r="AS269" s="1054"/>
      <c r="AT269" s="879">
        <f t="shared" ref="AT269:AT342" ca="1" si="164">IF(ISNUMBER(R269),IF(R269&lt;&gt;0,IF(ISNUMBER(SEARCH("to",J269)),0,1),0),"")</f>
        <v>0</v>
      </c>
      <c r="AU269" s="879">
        <f ca="1">COUNTIFS(AT$7:$AT269,1)</f>
        <v>5</v>
      </c>
    </row>
    <row r="270" spans="1:47" ht="14.25" hidden="1" customHeight="1" outlineLevel="1">
      <c r="A270" s="1269"/>
      <c r="B270" s="1738" t="s">
        <v>29</v>
      </c>
      <c r="C270" s="313" t="str">
        <f>input!C638</f>
        <v>Die-cutting (NIKKO 1050FH)</v>
      </c>
      <c r="D270" s="313">
        <f>input!D638</f>
        <v>170</v>
      </c>
      <c r="E270" s="363"/>
      <c r="F270" s="363" t="str">
        <f ca="1">input!F638</f>
        <v>N</v>
      </c>
      <c r="G270" s="363"/>
      <c r="H270" s="313">
        <f ca="1">IF(F270="PCS",$E$4,SUMIFS(Paper!$AC$7:$AC$58,Paper!$A$7:$A$58,'Production cost'!F270))</f>
        <v>0</v>
      </c>
      <c r="I270" s="313">
        <f ca="1">IF(input!$G638&gt;0,input!$G638,IF($C270=Data!$L$1158,500,3000))</f>
        <v>3000</v>
      </c>
      <c r="J270" s="313" t="str">
        <f>input!$H638</f>
        <v>Sheets</v>
      </c>
      <c r="K270" s="360">
        <f>IF($C270=Data!$L$1158,0,1/4)</f>
        <v>0.25</v>
      </c>
      <c r="L270" s="313">
        <f ca="1">IF(input!$I638&gt;0,input!$I638,2)</f>
        <v>2</v>
      </c>
      <c r="M270" s="391">
        <f ca="1">IF(H270&gt;0,SUMIF(Data!$L$1155:$L$1190,'Production cost'!$C270,Data!$Q$1155:$Q$1190)*SUMIF(Paper!$A$7:$A$70,'Production cost'!$F270,Paper!$J$7:$J$70),0)</f>
        <v>0</v>
      </c>
      <c r="N270" s="391">
        <f t="shared" ref="N270:N274" ca="1" si="165">IF(H270&gt;0,ROUNDUP(((H270/I270)/$M$5+M270),1),0)</f>
        <v>0</v>
      </c>
      <c r="O270" s="313">
        <f>IF($C270=Data!$L$1158,0,Data!$N$1195)</f>
        <v>352574.32240985788</v>
      </c>
      <c r="P270" s="313">
        <f>SUMIF(Data!$L$1155:$L$1190,'Production cost'!$C270,Data!$N$1155:$N$1190)</f>
        <v>64593.240854333337</v>
      </c>
      <c r="Q270" s="313">
        <f t="shared" ca="1" si="156"/>
        <v>0</v>
      </c>
      <c r="R270" s="313">
        <f t="shared" ref="R270:R274" ca="1" si="166">IF($E$2&gt;0,Q270/$E$2,0)</f>
        <v>0</v>
      </c>
      <c r="S270" s="1741">
        <f t="shared" ref="S270:S274" ca="1" si="167">IF(M270&gt;0,K270*O270+L270*P270,0)</f>
        <v>0</v>
      </c>
      <c r="T270" s="313" t="str">
        <f ca="1">input!J638</f>
        <v>N</v>
      </c>
      <c r="V270" s="3115" t="str">
        <f>input!K638</f>
        <v>Packaging</v>
      </c>
      <c r="W270" s="3115">
        <f t="shared" ref="W270:W274" ca="1" si="168">N270*(L270+K270)</f>
        <v>0</v>
      </c>
      <c r="X270" s="3119">
        <f>VLOOKUP(V270,'Fix Cost'!$K$177:$M$179,2,0)</f>
        <v>58449.923860467366</v>
      </c>
      <c r="Y270" s="3119">
        <f>VLOOKUP(V270,'Fix Cost'!$K$177:$M$179,3,0)</f>
        <v>267411.04680782068</v>
      </c>
      <c r="Z270" s="3119">
        <f t="shared" ref="Z270:Z274" ca="1" si="169">IFERROR($X270*W270,0)</f>
        <v>0</v>
      </c>
      <c r="AA270" s="3115">
        <f t="shared" ref="AA270:AA274" ca="1" si="170">IFERROR(Y270*N270,0)</f>
        <v>0</v>
      </c>
      <c r="AB270" s="3115">
        <f t="shared" ref="AB270:AB274" ca="1" si="171">Z270+AA270</f>
        <v>0</v>
      </c>
      <c r="AK270" s="313"/>
      <c r="AL270" s="313"/>
      <c r="AM270" s="313"/>
      <c r="AO270" s="1055"/>
      <c r="AP270" s="385"/>
      <c r="AQ270" s="385"/>
      <c r="AR270" s="1048"/>
      <c r="AS270" s="1054"/>
      <c r="AT270" s="879">
        <f t="shared" ca="1" si="164"/>
        <v>0</v>
      </c>
      <c r="AU270" s="879">
        <f ca="1">COUNTIFS(AT$7:$AT270,1)</f>
        <v>5</v>
      </c>
    </row>
    <row r="271" spans="1:47" ht="14.25" hidden="1" customHeight="1" outlineLevel="1">
      <c r="A271" s="1269"/>
      <c r="B271" s="1738" t="s">
        <v>29</v>
      </c>
      <c r="C271" s="313" t="str">
        <f>input!C639</f>
        <v>Die-cutting (NIKKO 1050FH)</v>
      </c>
      <c r="D271" s="313">
        <f>input!D639</f>
        <v>187</v>
      </c>
      <c r="E271" s="363"/>
      <c r="F271" s="363" t="str">
        <f ca="1">input!F639</f>
        <v>N</v>
      </c>
      <c r="G271" s="363"/>
      <c r="H271" s="313">
        <f ca="1">IF(F271="PCS",$E$4,SUMIFS(Paper!$AC$7:$AC$58,Paper!$A$7:$A$58,'Production cost'!F271))</f>
        <v>0</v>
      </c>
      <c r="I271" s="313">
        <f ca="1">IF(input!$G639&gt;0,input!$G639,IF($C271=Data!$L$1158,500,3000))</f>
        <v>3000</v>
      </c>
      <c r="J271" s="313" t="str">
        <f>input!$H639</f>
        <v>Sheets</v>
      </c>
      <c r="K271" s="360">
        <f>IF($C271=Data!$L$1158,0,1/4)</f>
        <v>0.25</v>
      </c>
      <c r="L271" s="313">
        <f ca="1">IF(input!$I639&gt;0,input!$I639,2)</f>
        <v>2</v>
      </c>
      <c r="M271" s="391">
        <f ca="1">IF(H271&gt;0,SUMIF(Data!$L$1155:$L$1190,'Production cost'!$C271,Data!$Q$1155:$Q$1190)*SUMIF(Paper!$A$7:$A$70,'Production cost'!$F271,Paper!$J$7:$J$70),0)</f>
        <v>0</v>
      </c>
      <c r="N271" s="391">
        <f t="shared" ca="1" si="165"/>
        <v>0</v>
      </c>
      <c r="O271" s="313">
        <f>IF($C271=Data!$L$1158,0,Data!$N$1195)</f>
        <v>352574.32240985788</v>
      </c>
      <c r="P271" s="313">
        <f>SUMIF(Data!$L$1155:$L$1190,'Production cost'!$C271,Data!$N$1155:$N$1190)</f>
        <v>64593.240854333337</v>
      </c>
      <c r="Q271" s="313">
        <f t="shared" ca="1" si="156"/>
        <v>0</v>
      </c>
      <c r="R271" s="313">
        <f t="shared" ca="1" si="166"/>
        <v>0</v>
      </c>
      <c r="S271" s="1741">
        <f t="shared" ca="1" si="167"/>
        <v>0</v>
      </c>
      <c r="T271" s="313" t="str">
        <f ca="1">input!J639</f>
        <v>N</v>
      </c>
      <c r="V271" s="3115" t="str">
        <f>input!K639</f>
        <v>Packaging</v>
      </c>
      <c r="W271" s="3115">
        <f t="shared" ca="1" si="168"/>
        <v>0</v>
      </c>
      <c r="X271" s="3119">
        <f>VLOOKUP(V271,'Fix Cost'!$K$177:$M$179,2,0)</f>
        <v>58449.923860467366</v>
      </c>
      <c r="Y271" s="3119">
        <f>VLOOKUP(V271,'Fix Cost'!$K$177:$M$179,3,0)</f>
        <v>267411.04680782068</v>
      </c>
      <c r="Z271" s="3119">
        <f t="shared" ca="1" si="169"/>
        <v>0</v>
      </c>
      <c r="AA271" s="3115">
        <f t="shared" ca="1" si="170"/>
        <v>0</v>
      </c>
      <c r="AB271" s="3115">
        <f t="shared" ca="1" si="171"/>
        <v>0</v>
      </c>
      <c r="AK271" s="313"/>
      <c r="AL271" s="313"/>
      <c r="AM271" s="313"/>
      <c r="AO271" s="1055"/>
      <c r="AP271" s="385"/>
      <c r="AQ271" s="385"/>
      <c r="AR271" s="1048"/>
      <c r="AS271" s="1054"/>
      <c r="AT271" s="879">
        <f t="shared" ca="1" si="164"/>
        <v>0</v>
      </c>
      <c r="AU271" s="879">
        <f ca="1">COUNTIFS(AT$7:$AT271,1)</f>
        <v>5</v>
      </c>
    </row>
    <row r="272" spans="1:47" ht="14.25" hidden="1" customHeight="1" outlineLevel="1">
      <c r="A272" s="1269"/>
      <c r="B272" s="1738" t="s">
        <v>29</v>
      </c>
      <c r="C272" s="313" t="str">
        <f>input!C640</f>
        <v>Die-cutting (NIKKO 1050FH)</v>
      </c>
      <c r="D272" s="313">
        <f>input!D640</f>
        <v>204</v>
      </c>
      <c r="E272" s="363"/>
      <c r="F272" s="363" t="str">
        <f ca="1">input!F640</f>
        <v>N</v>
      </c>
      <c r="G272" s="363"/>
      <c r="H272" s="313">
        <f ca="1">IF(F272="PCS",$E$4,SUMIFS(Paper!$AC$7:$AC$58,Paper!$A$7:$A$58,'Production cost'!F272))</f>
        <v>0</v>
      </c>
      <c r="I272" s="313">
        <f ca="1">IF(input!$G640&gt;0,input!$G640,IF($C272=Data!$L$1158,500,3000))</f>
        <v>3000</v>
      </c>
      <c r="J272" s="313" t="str">
        <f>input!$H640</f>
        <v>Sheets</v>
      </c>
      <c r="K272" s="360">
        <f>IF($C272=Data!$L$1158,0,1/4)</f>
        <v>0.25</v>
      </c>
      <c r="L272" s="313">
        <f ca="1">IF(input!$I640&gt;0,input!$I640,2)</f>
        <v>2</v>
      </c>
      <c r="M272" s="391">
        <f ca="1">IF(H272&gt;0,SUMIF(Data!$L$1155:$L$1190,'Production cost'!$C272,Data!$Q$1155:$Q$1190)*SUMIF(Paper!$A$7:$A$70,'Production cost'!$F272,Paper!$J$7:$J$70),0)</f>
        <v>0</v>
      </c>
      <c r="N272" s="391">
        <f t="shared" ca="1" si="165"/>
        <v>0</v>
      </c>
      <c r="O272" s="313">
        <f>IF($C272=Data!$L$1158,0,Data!$N$1195)</f>
        <v>352574.32240985788</v>
      </c>
      <c r="P272" s="313">
        <f>SUMIF(Data!$L$1155:$L$1190,'Production cost'!$C272,Data!$N$1155:$N$1190)</f>
        <v>64593.240854333337</v>
      </c>
      <c r="Q272" s="313">
        <f t="shared" ca="1" si="156"/>
        <v>0</v>
      </c>
      <c r="R272" s="313">
        <f t="shared" ca="1" si="166"/>
        <v>0</v>
      </c>
      <c r="S272" s="1741">
        <f t="shared" ca="1" si="167"/>
        <v>0</v>
      </c>
      <c r="T272" s="313" t="str">
        <f ca="1">input!J640</f>
        <v>N</v>
      </c>
      <c r="V272" s="3115" t="str">
        <f>input!K640</f>
        <v>Packaging</v>
      </c>
      <c r="W272" s="3115">
        <f t="shared" ca="1" si="168"/>
        <v>0</v>
      </c>
      <c r="X272" s="3119">
        <f>VLOOKUP(V272,'Fix Cost'!$K$177:$M$179,2,0)</f>
        <v>58449.923860467366</v>
      </c>
      <c r="Y272" s="3119">
        <f>VLOOKUP(V272,'Fix Cost'!$K$177:$M$179,3,0)</f>
        <v>267411.04680782068</v>
      </c>
      <c r="Z272" s="3119">
        <f t="shared" ca="1" si="169"/>
        <v>0</v>
      </c>
      <c r="AA272" s="3115">
        <f t="shared" ca="1" si="170"/>
        <v>0</v>
      </c>
      <c r="AB272" s="3115">
        <f t="shared" ca="1" si="171"/>
        <v>0</v>
      </c>
      <c r="AK272" s="313"/>
      <c r="AL272" s="313"/>
      <c r="AM272" s="313"/>
      <c r="AO272" s="1055"/>
      <c r="AP272" s="385"/>
      <c r="AQ272" s="385"/>
      <c r="AR272" s="1048"/>
      <c r="AS272" s="1054"/>
      <c r="AT272" s="879">
        <f t="shared" ca="1" si="164"/>
        <v>0</v>
      </c>
      <c r="AU272" s="879">
        <f ca="1">COUNTIFS(AT$7:$AT272,1)</f>
        <v>5</v>
      </c>
    </row>
    <row r="273" spans="1:47" ht="14.25" hidden="1" customHeight="1" outlineLevel="1">
      <c r="A273" s="1269"/>
      <c r="B273" s="1738" t="s">
        <v>29</v>
      </c>
      <c r="C273" s="313" t="str">
        <f>input!C641</f>
        <v>Die-cutting (NIKKO 1050FH)</v>
      </c>
      <c r="D273" s="313">
        <f>input!D641</f>
        <v>221</v>
      </c>
      <c r="E273" s="363"/>
      <c r="F273" s="363" t="str">
        <f ca="1">input!F641</f>
        <v>N</v>
      </c>
      <c r="G273" s="363"/>
      <c r="H273" s="313">
        <f ca="1">IF(F273="PCS",$E$4,SUMIFS(Paper!$AC$7:$AC$58,Paper!$A$7:$A$58,'Production cost'!F273))</f>
        <v>0</v>
      </c>
      <c r="I273" s="313">
        <f ca="1">IF(input!$G641&gt;0,input!$G641,IF($C273=Data!$L$1158,500,3000))</f>
        <v>3000</v>
      </c>
      <c r="J273" s="313" t="str">
        <f>input!$H641</f>
        <v>Sheets</v>
      </c>
      <c r="K273" s="360">
        <f>IF($C273=Data!$L$1158,0,1/4)</f>
        <v>0.25</v>
      </c>
      <c r="L273" s="313">
        <f ca="1">IF(input!$I641&gt;0,input!$I641,2)</f>
        <v>2</v>
      </c>
      <c r="M273" s="391">
        <f ca="1">IF(H273&gt;0,SUMIF(Data!$L$1155:$L$1190,'Production cost'!$C273,Data!$Q$1155:$Q$1190)*SUMIF(Paper!$A$7:$A$70,'Production cost'!$F273,Paper!$J$7:$J$70),0)</f>
        <v>0</v>
      </c>
      <c r="N273" s="391">
        <f t="shared" ca="1" si="165"/>
        <v>0</v>
      </c>
      <c r="O273" s="313">
        <f>IF($C273=Data!$L$1158,0,Data!$N$1195)</f>
        <v>352574.32240985788</v>
      </c>
      <c r="P273" s="313">
        <f>SUMIF(Data!$L$1155:$L$1190,'Production cost'!$C273,Data!$N$1155:$N$1190)</f>
        <v>64593.240854333337</v>
      </c>
      <c r="Q273" s="313">
        <f t="shared" ca="1" si="156"/>
        <v>0</v>
      </c>
      <c r="R273" s="313">
        <f t="shared" ca="1" si="166"/>
        <v>0</v>
      </c>
      <c r="S273" s="1741">
        <f t="shared" ca="1" si="167"/>
        <v>0</v>
      </c>
      <c r="T273" s="313" t="str">
        <f ca="1">input!J641</f>
        <v>N</v>
      </c>
      <c r="V273" s="3115" t="str">
        <f>input!K641</f>
        <v>Packaging</v>
      </c>
      <c r="W273" s="3115">
        <f t="shared" ca="1" si="168"/>
        <v>0</v>
      </c>
      <c r="X273" s="3119">
        <f>VLOOKUP(V273,'Fix Cost'!$K$177:$M$179,2,0)</f>
        <v>58449.923860467366</v>
      </c>
      <c r="Y273" s="3119">
        <f>VLOOKUP(V273,'Fix Cost'!$K$177:$M$179,3,0)</f>
        <v>267411.04680782068</v>
      </c>
      <c r="Z273" s="3119">
        <f t="shared" ca="1" si="169"/>
        <v>0</v>
      </c>
      <c r="AA273" s="3115">
        <f t="shared" ca="1" si="170"/>
        <v>0</v>
      </c>
      <c r="AB273" s="3115">
        <f t="shared" ca="1" si="171"/>
        <v>0</v>
      </c>
      <c r="AK273" s="313"/>
      <c r="AL273" s="313"/>
      <c r="AM273" s="313"/>
      <c r="AO273" s="1055"/>
      <c r="AP273" s="385"/>
      <c r="AQ273" s="385"/>
      <c r="AR273" s="1048"/>
      <c r="AS273" s="1054"/>
      <c r="AT273" s="879">
        <f t="shared" ca="1" si="164"/>
        <v>0</v>
      </c>
      <c r="AU273" s="879">
        <f ca="1">COUNTIFS(AT$7:$AT273,1)</f>
        <v>5</v>
      </c>
    </row>
    <row r="274" spans="1:47" ht="14.25" hidden="1" customHeight="1" outlineLevel="1">
      <c r="A274" s="1269"/>
      <c r="B274" s="1738" t="s">
        <v>29</v>
      </c>
      <c r="C274" s="313" t="str">
        <f>input!C642</f>
        <v>Die-cutting (NIKKO 1050FH)</v>
      </c>
      <c r="D274" s="313">
        <f>input!D642</f>
        <v>238</v>
      </c>
      <c r="E274" s="363"/>
      <c r="F274" s="363" t="str">
        <f ca="1">input!F642</f>
        <v>N</v>
      </c>
      <c r="G274" s="363"/>
      <c r="H274" s="313">
        <f ca="1">IF(F274="PCS",$E$4,SUMIFS(Paper!$AC$7:$AC$58,Paper!$A$7:$A$58,'Production cost'!F274))</f>
        <v>0</v>
      </c>
      <c r="I274" s="313">
        <f ca="1">IF(input!$G642&gt;0,input!$G642,IF($C274=Data!$L$1158,500,3000))</f>
        <v>3000</v>
      </c>
      <c r="J274" s="313" t="str">
        <f>input!$H642</f>
        <v>Sheets</v>
      </c>
      <c r="K274" s="360">
        <f>IF($C274=Data!$L$1158,0,1/4)</f>
        <v>0.25</v>
      </c>
      <c r="L274" s="313">
        <f ca="1">IF(input!$I642&gt;0,input!$I642,2)</f>
        <v>2</v>
      </c>
      <c r="M274" s="391">
        <f ca="1">IF(H274&gt;0,SUMIF(Data!$L$1155:$L$1190,'Production cost'!$C274,Data!$Q$1155:$Q$1190)*SUMIF(Paper!$A$7:$A$70,'Production cost'!$F274,Paper!$J$7:$J$70),0)</f>
        <v>0</v>
      </c>
      <c r="N274" s="391">
        <f t="shared" ca="1" si="165"/>
        <v>0</v>
      </c>
      <c r="O274" s="313">
        <f>IF($C274=Data!$L$1158,0,Data!$N$1195)</f>
        <v>352574.32240985788</v>
      </c>
      <c r="P274" s="313">
        <f>SUMIF(Data!$L$1155:$L$1190,'Production cost'!$C274,Data!$N$1155:$N$1190)</f>
        <v>64593.240854333337</v>
      </c>
      <c r="Q274" s="313">
        <f t="shared" ca="1" si="156"/>
        <v>0</v>
      </c>
      <c r="R274" s="313">
        <f t="shared" ca="1" si="166"/>
        <v>0</v>
      </c>
      <c r="S274" s="1741">
        <f t="shared" ca="1" si="167"/>
        <v>0</v>
      </c>
      <c r="T274" s="313" t="str">
        <f ca="1">input!J642</f>
        <v>N</v>
      </c>
      <c r="V274" s="3115" t="str">
        <f>input!K642</f>
        <v>Packaging</v>
      </c>
      <c r="W274" s="3115">
        <f t="shared" ca="1" si="168"/>
        <v>0</v>
      </c>
      <c r="X274" s="3119">
        <f>VLOOKUP(V274,'Fix Cost'!$K$177:$M$179,2,0)</f>
        <v>58449.923860467366</v>
      </c>
      <c r="Y274" s="3119">
        <f>VLOOKUP(V274,'Fix Cost'!$K$177:$M$179,3,0)</f>
        <v>267411.04680782068</v>
      </c>
      <c r="Z274" s="3119">
        <f t="shared" ca="1" si="169"/>
        <v>0</v>
      </c>
      <c r="AA274" s="3115">
        <f t="shared" ca="1" si="170"/>
        <v>0</v>
      </c>
      <c r="AB274" s="3115">
        <f t="shared" ca="1" si="171"/>
        <v>0</v>
      </c>
      <c r="AK274" s="313"/>
      <c r="AL274" s="313"/>
      <c r="AM274" s="313"/>
      <c r="AO274" s="1055"/>
      <c r="AP274" s="385"/>
      <c r="AQ274" s="385"/>
      <c r="AR274" s="1048"/>
      <c r="AS274" s="1054"/>
      <c r="AT274" s="879">
        <f t="shared" ca="1" si="164"/>
        <v>0</v>
      </c>
      <c r="AU274" s="879">
        <f ca="1">COUNTIFS(AT$7:$AT274,1)</f>
        <v>5</v>
      </c>
    </row>
    <row r="275" spans="1:47" ht="14.25" hidden="1" customHeight="1" outlineLevel="1">
      <c r="A275" s="1269"/>
      <c r="B275" s="1738" t="s">
        <v>29</v>
      </c>
      <c r="C275" s="313" t="str">
        <f>input!C643</f>
        <v>Die-cutting (NIKKO 1050FH)</v>
      </c>
      <c r="D275" s="313">
        <f>input!D643</f>
        <v>0</v>
      </c>
      <c r="E275" s="363"/>
      <c r="F275" s="363" t="str">
        <f ca="1">input!F643</f>
        <v>N</v>
      </c>
      <c r="G275" s="363"/>
      <c r="H275" s="313">
        <f ca="1">IF(F275="PCS",$E$4,SUMIFS(Paper!$AC$7:$AC$58,Paper!$A$7:$A$58,'Production cost'!F275))</f>
        <v>0</v>
      </c>
      <c r="I275" s="313">
        <f ca="1">IF(input!$G643&gt;0,input!$G643,IF($C275=Data!$L$1158,500,3000))</f>
        <v>3000</v>
      </c>
      <c r="J275" s="313" t="str">
        <f>input!$H643</f>
        <v>Sheets</v>
      </c>
      <c r="K275" s="360">
        <f>IF($C275=Data!$L$1158,0,1/4)</f>
        <v>0.25</v>
      </c>
      <c r="L275" s="313">
        <f ca="1">IF(input!$I643&gt;0,input!$I643,2)</f>
        <v>2</v>
      </c>
      <c r="M275" s="391">
        <f ca="1">IF(H275&gt;0,SUMIF(Data!$L$1155:$L$1190,'Production cost'!$C275,Data!$Q$1155:$Q$1190)*SUMIF(Paper!$A$7:$A$70,'Production cost'!$F275,Paper!$J$7:$J$70),0)</f>
        <v>0</v>
      </c>
      <c r="N275" s="391">
        <f t="shared" ref="N275:N277" ca="1" si="172">IF(H275&gt;0,ROUNDUP(((H275/I275)/$M$5+M275),1),0)</f>
        <v>0</v>
      </c>
      <c r="O275" s="313">
        <f>IF($C275=Data!$L$1158,0,Data!$N$1195)</f>
        <v>352574.32240985788</v>
      </c>
      <c r="P275" s="313">
        <f>SUMIF(Data!$L$1155:$L$1190,'Production cost'!$C275,Data!$N$1155:$N$1190)</f>
        <v>64593.240854333337</v>
      </c>
      <c r="Q275" s="313">
        <f t="shared" ca="1" si="156"/>
        <v>0</v>
      </c>
      <c r="R275" s="313">
        <f t="shared" ref="R275:R277" ca="1" si="173">IF($E$2&gt;0,Q275/$E$2,0)</f>
        <v>0</v>
      </c>
      <c r="S275" s="1741">
        <f t="shared" ref="S275:S277" ca="1" si="174">IF(M275&gt;0,K275*O275+L275*P275,0)</f>
        <v>0</v>
      </c>
      <c r="T275" s="313" t="str">
        <f ca="1">input!J643</f>
        <v>N</v>
      </c>
      <c r="V275" s="3115" t="str">
        <f>input!K643</f>
        <v>Packaging</v>
      </c>
      <c r="W275" s="3115">
        <f t="shared" ref="W275:W277" ca="1" si="175">N275*(L275+K275)</f>
        <v>0</v>
      </c>
      <c r="X275" s="3119">
        <f>VLOOKUP(V275,'Fix Cost'!$K$177:$M$179,2,0)</f>
        <v>58449.923860467366</v>
      </c>
      <c r="Y275" s="3119">
        <f>VLOOKUP(V275,'Fix Cost'!$K$177:$M$179,3,0)</f>
        <v>267411.04680782068</v>
      </c>
      <c r="Z275" s="3119">
        <f t="shared" ref="Z275:Z277" ca="1" si="176">IFERROR($X275*W275,0)</f>
        <v>0</v>
      </c>
      <c r="AA275" s="3115">
        <f t="shared" ref="AA275:AA277" ca="1" si="177">IFERROR(Y275*N275,0)</f>
        <v>0</v>
      </c>
      <c r="AB275" s="3115">
        <f t="shared" ref="AB275:AB277" ca="1" si="178">Z275+AA275</f>
        <v>0</v>
      </c>
      <c r="AK275" s="313"/>
      <c r="AL275" s="313"/>
      <c r="AM275" s="313"/>
      <c r="AO275" s="1055"/>
      <c r="AP275" s="385"/>
      <c r="AQ275" s="385"/>
      <c r="AR275" s="1048"/>
      <c r="AS275" s="1054"/>
      <c r="AT275" s="879">
        <f t="shared" ca="1" si="164"/>
        <v>0</v>
      </c>
      <c r="AU275" s="879">
        <f ca="1">COUNTIFS(AT$7:$AT275,1)</f>
        <v>5</v>
      </c>
    </row>
    <row r="276" spans="1:47" ht="14.25" hidden="1" customHeight="1" outlineLevel="1">
      <c r="A276" s="1269"/>
      <c r="B276" s="1738" t="s">
        <v>29</v>
      </c>
      <c r="C276" s="313" t="str">
        <f>input!C644</f>
        <v>Die-cutting (NIKKO 1050FH)</v>
      </c>
      <c r="D276" s="313">
        <f>input!D644</f>
        <v>10</v>
      </c>
      <c r="E276" s="363"/>
      <c r="F276" s="363" t="str">
        <f ca="1">input!F644</f>
        <v>N</v>
      </c>
      <c r="G276" s="363"/>
      <c r="H276" s="313">
        <f ca="1">IF(F276="PCS",$E$4,SUMIFS(Paper!$AC$7:$AC$58,Paper!$A$7:$A$58,'Production cost'!F276))</f>
        <v>0</v>
      </c>
      <c r="I276" s="313">
        <f ca="1">IF(input!$G644&gt;0,input!$G644,IF($C276=Data!$L$1158,500,3000))</f>
        <v>3000</v>
      </c>
      <c r="J276" s="313" t="str">
        <f>input!$H644</f>
        <v>Sheets</v>
      </c>
      <c r="K276" s="360">
        <f>IF($C276=Data!$L$1158,0,1/4)</f>
        <v>0.25</v>
      </c>
      <c r="L276" s="313">
        <f ca="1">IF(input!$I644&gt;0,input!$I644,2)</f>
        <v>2</v>
      </c>
      <c r="M276" s="391">
        <f ca="1">IF(H276&gt;0,SUMIF(Data!$L$1155:$L$1190,'Production cost'!$C276,Data!$Q$1155:$Q$1190)*SUMIF(Paper!$A$7:$A$70,'Production cost'!$F276,Paper!$J$7:$J$70),0)</f>
        <v>0</v>
      </c>
      <c r="N276" s="391">
        <f t="shared" ca="1" si="172"/>
        <v>0</v>
      </c>
      <c r="O276" s="313">
        <f>IF($C276=Data!$L$1158,0,Data!$N$1195)</f>
        <v>352574.32240985788</v>
      </c>
      <c r="P276" s="313">
        <f>SUMIF(Data!$L$1155:$L$1190,'Production cost'!$C276,Data!$N$1155:$N$1190)</f>
        <v>64593.240854333337</v>
      </c>
      <c r="Q276" s="313">
        <f t="shared" ca="1" si="156"/>
        <v>0</v>
      </c>
      <c r="R276" s="313">
        <f t="shared" ca="1" si="173"/>
        <v>0</v>
      </c>
      <c r="S276" s="1741">
        <f t="shared" ca="1" si="174"/>
        <v>0</v>
      </c>
      <c r="T276" s="313" t="str">
        <f ca="1">input!J644</f>
        <v>N</v>
      </c>
      <c r="V276" s="3115" t="str">
        <f>input!K644</f>
        <v>Packaging</v>
      </c>
      <c r="W276" s="3115">
        <f t="shared" ca="1" si="175"/>
        <v>0</v>
      </c>
      <c r="X276" s="3119">
        <f>VLOOKUP(V276,'Fix Cost'!$K$177:$M$179,2,0)</f>
        <v>58449.923860467366</v>
      </c>
      <c r="Y276" s="3119">
        <f>VLOOKUP(V276,'Fix Cost'!$K$177:$M$179,3,0)</f>
        <v>267411.04680782068</v>
      </c>
      <c r="Z276" s="3119">
        <f t="shared" ca="1" si="176"/>
        <v>0</v>
      </c>
      <c r="AA276" s="3115">
        <f t="shared" ca="1" si="177"/>
        <v>0</v>
      </c>
      <c r="AB276" s="3115">
        <f t="shared" ca="1" si="178"/>
        <v>0</v>
      </c>
      <c r="AK276" s="313"/>
      <c r="AL276" s="313"/>
      <c r="AM276" s="313"/>
      <c r="AO276" s="1055"/>
      <c r="AP276" s="385"/>
      <c r="AQ276" s="385"/>
      <c r="AR276" s="1048"/>
      <c r="AS276" s="1054"/>
      <c r="AT276" s="879">
        <f t="shared" ca="1" si="164"/>
        <v>0</v>
      </c>
      <c r="AU276" s="879">
        <f ca="1">COUNTIFS(AT$7:$AT276,1)</f>
        <v>5</v>
      </c>
    </row>
    <row r="277" spans="1:47" ht="14.25" hidden="1" customHeight="1" outlineLevel="1">
      <c r="A277" s="1269"/>
      <c r="B277" s="1738" t="s">
        <v>29</v>
      </c>
      <c r="C277" s="313" t="str">
        <f>input!C645</f>
        <v>Die-cutting (NIKKO 1050FH)</v>
      </c>
      <c r="D277" s="313">
        <f>input!D645</f>
        <v>20</v>
      </c>
      <c r="E277" s="363"/>
      <c r="F277" s="363" t="str">
        <f ca="1">input!F645</f>
        <v>N</v>
      </c>
      <c r="G277" s="363"/>
      <c r="H277" s="313">
        <f ca="1">IF(F277="PCS",$E$4,SUMIFS(Paper!$AC$7:$AC$58,Paper!$A$7:$A$58,'Production cost'!F277))</f>
        <v>0</v>
      </c>
      <c r="I277" s="313">
        <f ca="1">IF(input!$G645&gt;0,input!$G645,IF($C277=Data!$L$1158,500,3000))</f>
        <v>3000</v>
      </c>
      <c r="J277" s="313" t="str">
        <f>input!$H645</f>
        <v>Sheets</v>
      </c>
      <c r="K277" s="360">
        <f>IF($C277=Data!$L$1158,0,1/4)</f>
        <v>0.25</v>
      </c>
      <c r="L277" s="313">
        <f ca="1">IF(input!$I645&gt;0,input!$I645,2)</f>
        <v>2</v>
      </c>
      <c r="M277" s="391">
        <f ca="1">IF(H277&gt;0,SUMIF(Data!$L$1155:$L$1190,'Production cost'!$C277,Data!$Q$1155:$Q$1190)*SUMIF(Paper!$A$7:$A$70,'Production cost'!$F277,Paper!$J$7:$J$70),0)</f>
        <v>0</v>
      </c>
      <c r="N277" s="391">
        <f t="shared" ca="1" si="172"/>
        <v>0</v>
      </c>
      <c r="O277" s="313">
        <f>IF($C277=Data!$L$1158,0,Data!$N$1195)</f>
        <v>352574.32240985788</v>
      </c>
      <c r="P277" s="313">
        <f>SUMIF(Data!$L$1155:$L$1190,'Production cost'!$C277,Data!$N$1155:$N$1190)</f>
        <v>64593.240854333337</v>
      </c>
      <c r="Q277" s="313">
        <f t="shared" ca="1" si="156"/>
        <v>0</v>
      </c>
      <c r="R277" s="313">
        <f t="shared" ca="1" si="173"/>
        <v>0</v>
      </c>
      <c r="S277" s="1741">
        <f t="shared" ca="1" si="174"/>
        <v>0</v>
      </c>
      <c r="T277" s="313" t="str">
        <f ca="1">input!J645</f>
        <v>N</v>
      </c>
      <c r="V277" s="3115" t="str">
        <f>input!K645</f>
        <v>Packaging</v>
      </c>
      <c r="W277" s="3115">
        <f t="shared" ca="1" si="175"/>
        <v>0</v>
      </c>
      <c r="X277" s="3119">
        <f>VLOOKUP(V277,'Fix Cost'!$K$177:$M$179,2,0)</f>
        <v>58449.923860467366</v>
      </c>
      <c r="Y277" s="3119">
        <f>VLOOKUP(V277,'Fix Cost'!$K$177:$M$179,3,0)</f>
        <v>267411.04680782068</v>
      </c>
      <c r="Z277" s="3119">
        <f t="shared" ca="1" si="176"/>
        <v>0</v>
      </c>
      <c r="AA277" s="3115">
        <f t="shared" ca="1" si="177"/>
        <v>0</v>
      </c>
      <c r="AB277" s="3115">
        <f t="shared" ca="1" si="178"/>
        <v>0</v>
      </c>
      <c r="AK277" s="313"/>
      <c r="AL277" s="313"/>
      <c r="AM277" s="313"/>
      <c r="AO277" s="1055"/>
      <c r="AP277" s="385"/>
      <c r="AQ277" s="385"/>
      <c r="AR277" s="1048"/>
      <c r="AS277" s="1054"/>
      <c r="AT277" s="879">
        <f t="shared" ca="1" si="164"/>
        <v>0</v>
      </c>
      <c r="AU277" s="879">
        <f ca="1">COUNTIFS(AT$7:$AT277,1)</f>
        <v>5</v>
      </c>
    </row>
    <row r="278" spans="1:47" ht="14.25" hidden="1" customHeight="1" outlineLevel="1">
      <c r="B278" s="1738" t="s">
        <v>29</v>
      </c>
      <c r="C278" s="313" t="str">
        <f>input!C646</f>
        <v>Die-cutting (Semi-auto)</v>
      </c>
      <c r="D278" s="313">
        <f>input!D646</f>
        <v>0</v>
      </c>
      <c r="E278" s="363"/>
      <c r="F278" s="363" t="str">
        <f ca="1">input!F646</f>
        <v>N</v>
      </c>
      <c r="G278" s="363"/>
      <c r="H278" s="313">
        <f ca="1">IF(F278="PCS",$E$4,SUMIFS(Paper!$AC$7:$AC$58,Paper!$A$7:$A$58,'Production cost'!F278))</f>
        <v>0</v>
      </c>
      <c r="I278" s="313">
        <f ca="1">IF(input!$G646&gt;0,input!$G646,IF($C278=Data!$L$1158,500,3000))</f>
        <v>500</v>
      </c>
      <c r="J278" s="313" t="str">
        <f>input!$H646</f>
        <v>Sheets</v>
      </c>
      <c r="K278" s="360">
        <f>IF($C278=Data!$L$1158,0,1/4)</f>
        <v>0</v>
      </c>
      <c r="L278" s="313">
        <f ca="1">IF(input!$I646&gt;0,input!$I646,2)</f>
        <v>2</v>
      </c>
      <c r="M278" s="391">
        <f ca="1">IF(H278&gt;0,SUMIF(Data!$L$1155:$L$1190,'Production cost'!$C278,Data!$Q$1155:$Q$1190)*SUMIF(Paper!$A$7:$A$70,'Production cost'!$F278,Paper!$J$7:$J$70),0)</f>
        <v>0</v>
      </c>
      <c r="N278" s="391">
        <f t="shared" ref="N278:N286" ca="1" si="179">IF(H278&gt;0,ROUNDUP(((H278/I278)/$M$5+M278),1),0)</f>
        <v>0</v>
      </c>
      <c r="O278" s="313">
        <f>IF($C278=Data!$L$1158,0,Data!$N$1195)</f>
        <v>0</v>
      </c>
      <c r="P278" s="313">
        <f>SUMIF(Data!$L$1155:$L$1190,'Production cost'!$C278,Data!$N$1155:$N$1190)</f>
        <v>64593.240854333337</v>
      </c>
      <c r="Q278" s="313">
        <f t="shared" ca="1" si="156"/>
        <v>0</v>
      </c>
      <c r="R278" s="313">
        <f t="shared" ref="R278:R286" ca="1" si="180">IF($E$2&gt;0,Q278/$E$2,0)</f>
        <v>0</v>
      </c>
      <c r="S278" s="1741">
        <f t="shared" ref="S278:S286" ca="1" si="181">IF(M278&gt;0,K278*O278+L278*P278,0)</f>
        <v>0</v>
      </c>
      <c r="T278" s="313" t="str">
        <f ca="1">input!J646</f>
        <v>N</v>
      </c>
      <c r="V278" s="3115" t="str">
        <f>input!K646</f>
        <v>Packaging</v>
      </c>
      <c r="W278" s="3115">
        <f t="shared" ca="1" si="157"/>
        <v>0</v>
      </c>
      <c r="X278" s="3119">
        <f>VLOOKUP(V278,'Fix Cost'!$K$177:$M$179,2,0)</f>
        <v>58449.923860467366</v>
      </c>
      <c r="Y278" s="3119">
        <f>VLOOKUP(V278,'Fix Cost'!$K$177:$M$179,3,0)</f>
        <v>267411.04680782068</v>
      </c>
      <c r="Z278" s="3119">
        <f t="shared" ca="1" si="158"/>
        <v>0</v>
      </c>
      <c r="AA278" s="3115">
        <f t="shared" ca="1" si="159"/>
        <v>0</v>
      </c>
      <c r="AB278" s="3115">
        <f t="shared" ca="1" si="160"/>
        <v>0</v>
      </c>
      <c r="AK278" s="313"/>
      <c r="AL278" s="313"/>
      <c r="AM278" s="313"/>
      <c r="AO278" s="1055"/>
      <c r="AP278" s="385"/>
      <c r="AQ278" s="385"/>
      <c r="AR278" s="1048"/>
      <c r="AS278" s="385"/>
      <c r="AT278" s="879">
        <f t="shared" ca="1" si="164"/>
        <v>0</v>
      </c>
      <c r="AU278" s="879">
        <f ca="1">COUNTIFS(AT$7:$AT278,1)</f>
        <v>5</v>
      </c>
    </row>
    <row r="279" spans="1:47" ht="14.25" hidden="1" customHeight="1" outlineLevel="1">
      <c r="B279" s="1738" t="s">
        <v>29</v>
      </c>
      <c r="C279" s="313" t="str">
        <f>input!C647</f>
        <v>Die-cutting (Semi-auto)</v>
      </c>
      <c r="D279" s="313">
        <f>input!D647</f>
        <v>3</v>
      </c>
      <c r="E279" s="363"/>
      <c r="F279" s="363" t="str">
        <f ca="1">input!F647</f>
        <v>N</v>
      </c>
      <c r="G279" s="363"/>
      <c r="H279" s="313">
        <f ca="1">IF(F279="PCS",$E$4,SUMIFS(Paper!$AC$7:$AC$58,Paper!$A$7:$A$58,'Production cost'!F279))</f>
        <v>0</v>
      </c>
      <c r="I279" s="313">
        <f ca="1">IF(input!$G647&gt;0,input!$G647,IF($C279=Data!$L$1158,500,3000))</f>
        <v>500</v>
      </c>
      <c r="J279" s="313" t="str">
        <f>input!$H647</f>
        <v>Sheets</v>
      </c>
      <c r="K279" s="360">
        <f>IF($C279=Data!$L$1158,0,1/4)</f>
        <v>0</v>
      </c>
      <c r="L279" s="313">
        <f ca="1">IF(input!$I647&gt;0,input!$I647,2)</f>
        <v>2</v>
      </c>
      <c r="M279" s="391">
        <f ca="1">IF(H279&gt;0,SUMIF(Data!$L$1155:$L$1190,'Production cost'!$C279,Data!$Q$1155:$Q$1190)*SUMIF(Paper!$A$7:$A$70,'Production cost'!$F279,Paper!$J$7:$J$70),0)</f>
        <v>0</v>
      </c>
      <c r="N279" s="391">
        <f t="shared" ca="1" si="179"/>
        <v>0</v>
      </c>
      <c r="O279" s="313">
        <f>IF($C279=Data!$L$1158,0,Data!$N$1195)</f>
        <v>0</v>
      </c>
      <c r="P279" s="313">
        <f>SUMIF(Data!$L$1155:$L$1190,'Production cost'!$C279,Data!$N$1155:$N$1190)</f>
        <v>64593.240854333337</v>
      </c>
      <c r="Q279" s="313">
        <f t="shared" ca="1" si="156"/>
        <v>0</v>
      </c>
      <c r="R279" s="313">
        <f t="shared" ca="1" si="180"/>
        <v>0</v>
      </c>
      <c r="S279" s="1741">
        <f t="shared" ca="1" si="181"/>
        <v>0</v>
      </c>
      <c r="T279" s="313" t="str">
        <f ca="1">input!J647</f>
        <v>N</v>
      </c>
      <c r="V279" s="3115" t="str">
        <f>input!K647</f>
        <v>Packaging</v>
      </c>
      <c r="W279" s="3115">
        <f t="shared" ca="1" si="157"/>
        <v>0</v>
      </c>
      <c r="X279" s="3119">
        <f>VLOOKUP(V279,'Fix Cost'!$K$177:$M$179,2,0)</f>
        <v>58449.923860467366</v>
      </c>
      <c r="Y279" s="3119">
        <f>VLOOKUP(V279,'Fix Cost'!$K$177:$M$179,3,0)</f>
        <v>267411.04680782068</v>
      </c>
      <c r="Z279" s="3119">
        <f t="shared" ca="1" si="158"/>
        <v>0</v>
      </c>
      <c r="AA279" s="3115">
        <f t="shared" ca="1" si="159"/>
        <v>0</v>
      </c>
      <c r="AB279" s="3115">
        <f t="shared" ca="1" si="160"/>
        <v>0</v>
      </c>
      <c r="AK279" s="313"/>
      <c r="AL279" s="313"/>
      <c r="AM279" s="313"/>
      <c r="AO279" s="1055"/>
      <c r="AP279" s="385"/>
      <c r="AQ279" s="385"/>
      <c r="AR279" s="1048"/>
      <c r="AS279" s="385"/>
      <c r="AT279" s="879">
        <f t="shared" ca="1" si="164"/>
        <v>0</v>
      </c>
      <c r="AU279" s="879">
        <f ca="1">COUNTIFS(AT$7:$AT279,1)</f>
        <v>5</v>
      </c>
    </row>
    <row r="280" spans="1:47" ht="14.25" hidden="1" customHeight="1" outlineLevel="1">
      <c r="B280" s="1738" t="s">
        <v>29</v>
      </c>
      <c r="C280" s="313" t="str">
        <f>input!C648</f>
        <v>Die-cutting (Semi-auto)</v>
      </c>
      <c r="D280" s="313">
        <f>input!D648</f>
        <v>6</v>
      </c>
      <c r="E280" s="363"/>
      <c r="F280" s="363" t="str">
        <f ca="1">input!F648</f>
        <v>N</v>
      </c>
      <c r="G280" s="363"/>
      <c r="H280" s="313">
        <f ca="1">IF(F280="PCS",$E$4,SUMIFS(Paper!$AC$7:$AC$58,Paper!$A$7:$A$58,'Production cost'!F280))</f>
        <v>0</v>
      </c>
      <c r="I280" s="313">
        <f ca="1">IF(input!$G648&gt;0,input!$G648,IF($C280=Data!$L$1158,500,3000))</f>
        <v>500</v>
      </c>
      <c r="J280" s="313" t="str">
        <f>input!$H648</f>
        <v>Sheets</v>
      </c>
      <c r="K280" s="360">
        <f>IF($C280=Data!$L$1158,0,1/4)</f>
        <v>0</v>
      </c>
      <c r="L280" s="313">
        <f ca="1">IF(input!$I648&gt;0,input!$I648,2)</f>
        <v>2</v>
      </c>
      <c r="M280" s="391">
        <f ca="1">IF(H280&gt;0,SUMIF(Data!$L$1155:$L$1190,'Production cost'!$C280,Data!$Q$1155:$Q$1190)*SUMIF(Paper!$A$7:$A$70,'Production cost'!$F280,Paper!$J$7:$J$70),0)</f>
        <v>0</v>
      </c>
      <c r="N280" s="391">
        <f t="shared" ca="1" si="179"/>
        <v>0</v>
      </c>
      <c r="O280" s="313">
        <f>IF($C280=Data!$L$1158,0,Data!$N$1195)</f>
        <v>0</v>
      </c>
      <c r="P280" s="313">
        <f>SUMIF(Data!$L$1155:$L$1190,'Production cost'!$C280,Data!$N$1155:$N$1190)</f>
        <v>64593.240854333337</v>
      </c>
      <c r="Q280" s="313">
        <f t="shared" ca="1" si="156"/>
        <v>0</v>
      </c>
      <c r="R280" s="313">
        <f t="shared" ca="1" si="180"/>
        <v>0</v>
      </c>
      <c r="S280" s="1741">
        <f t="shared" ca="1" si="181"/>
        <v>0</v>
      </c>
      <c r="T280" s="313" t="str">
        <f ca="1">input!J648</f>
        <v>N</v>
      </c>
      <c r="V280" s="3115" t="str">
        <f>input!K648</f>
        <v>Packaging</v>
      </c>
      <c r="W280" s="3115">
        <f t="shared" ca="1" si="157"/>
        <v>0</v>
      </c>
      <c r="X280" s="3119">
        <f>VLOOKUP(V280,'Fix Cost'!$K$177:$M$179,2,0)</f>
        <v>58449.923860467366</v>
      </c>
      <c r="Y280" s="3119">
        <f>VLOOKUP(V280,'Fix Cost'!$K$177:$M$179,3,0)</f>
        <v>267411.04680782068</v>
      </c>
      <c r="Z280" s="3119">
        <f t="shared" ca="1" si="158"/>
        <v>0</v>
      </c>
      <c r="AA280" s="3115">
        <f t="shared" ca="1" si="159"/>
        <v>0</v>
      </c>
      <c r="AB280" s="3115">
        <f t="shared" ca="1" si="160"/>
        <v>0</v>
      </c>
      <c r="AK280" s="313"/>
      <c r="AL280" s="313"/>
      <c r="AM280" s="313"/>
      <c r="AO280" s="1055"/>
      <c r="AP280" s="385"/>
      <c r="AQ280" s="385"/>
      <c r="AR280" s="1048"/>
      <c r="AS280" s="385"/>
      <c r="AT280" s="879">
        <f t="shared" ca="1" si="164"/>
        <v>0</v>
      </c>
      <c r="AU280" s="879">
        <f ca="1">COUNTIFS(AT$7:$AT280,1)</f>
        <v>5</v>
      </c>
    </row>
    <row r="281" spans="1:47" ht="14.25" hidden="1" customHeight="1" outlineLevel="1">
      <c r="B281" s="1738" t="s">
        <v>29</v>
      </c>
      <c r="C281" s="313" t="str">
        <f>input!C649</f>
        <v>Die-cutting (Semi-auto)</v>
      </c>
      <c r="D281" s="313">
        <f>input!D649</f>
        <v>9</v>
      </c>
      <c r="E281" s="363"/>
      <c r="F281" s="363" t="str">
        <f ca="1">input!F649</f>
        <v>N</v>
      </c>
      <c r="G281" s="363"/>
      <c r="H281" s="313">
        <f ca="1">IF(F281="PCS",$E$4,SUMIFS(Paper!$AC$7:$AC$58,Paper!$A$7:$A$58,'Production cost'!F281))</f>
        <v>0</v>
      </c>
      <c r="I281" s="313">
        <f ca="1">IF(input!$G649&gt;0,input!$G649,IF($C281=Data!$L$1158,500,3000))</f>
        <v>500</v>
      </c>
      <c r="J281" s="313" t="str">
        <f>input!$H649</f>
        <v>Sheets</v>
      </c>
      <c r="K281" s="360">
        <f>IF($C281=Data!$L$1158,0,1/4)</f>
        <v>0</v>
      </c>
      <c r="L281" s="313">
        <f ca="1">IF(input!$I649&gt;0,input!$I649,2)</f>
        <v>2</v>
      </c>
      <c r="M281" s="391">
        <f ca="1">IF(H281&gt;0,SUMIF(Data!$L$1155:$L$1190,'Production cost'!$C281,Data!$Q$1155:$Q$1190)*SUMIF(Paper!$A$7:$A$70,'Production cost'!$F281,Paper!$J$7:$J$70),0)</f>
        <v>0</v>
      </c>
      <c r="N281" s="391">
        <f t="shared" ca="1" si="179"/>
        <v>0</v>
      </c>
      <c r="O281" s="313">
        <f>IF($C281=Data!$L$1158,0,Data!$N$1195)</f>
        <v>0</v>
      </c>
      <c r="P281" s="313">
        <f>SUMIF(Data!$L$1155:$L$1190,'Production cost'!$C281,Data!$N$1155:$N$1190)</f>
        <v>64593.240854333337</v>
      </c>
      <c r="Q281" s="313">
        <f t="shared" ca="1" si="156"/>
        <v>0</v>
      </c>
      <c r="R281" s="313">
        <f t="shared" ca="1" si="180"/>
        <v>0</v>
      </c>
      <c r="S281" s="1741">
        <f t="shared" ca="1" si="181"/>
        <v>0</v>
      </c>
      <c r="T281" s="313" t="str">
        <f ca="1">input!J649</f>
        <v>N</v>
      </c>
      <c r="V281" s="3115" t="str">
        <f>input!K649</f>
        <v>Packaging</v>
      </c>
      <c r="W281" s="3115">
        <f t="shared" ca="1" si="157"/>
        <v>0</v>
      </c>
      <c r="X281" s="3119">
        <f>VLOOKUP(V281,'Fix Cost'!$K$177:$M$179,2,0)</f>
        <v>58449.923860467366</v>
      </c>
      <c r="Y281" s="3119">
        <f>VLOOKUP(V281,'Fix Cost'!$K$177:$M$179,3,0)</f>
        <v>267411.04680782068</v>
      </c>
      <c r="Z281" s="3119">
        <f t="shared" ca="1" si="158"/>
        <v>0</v>
      </c>
      <c r="AA281" s="3115">
        <f t="shared" ca="1" si="159"/>
        <v>0</v>
      </c>
      <c r="AB281" s="3115">
        <f t="shared" ca="1" si="160"/>
        <v>0</v>
      </c>
      <c r="AK281" s="313"/>
      <c r="AL281" s="313"/>
      <c r="AM281" s="313"/>
      <c r="AO281" s="1055"/>
      <c r="AP281" s="385"/>
      <c r="AQ281" s="385"/>
      <c r="AR281" s="1048"/>
      <c r="AS281" s="385"/>
      <c r="AT281" s="879">
        <f t="shared" ca="1" si="164"/>
        <v>0</v>
      </c>
      <c r="AU281" s="879">
        <f ca="1">COUNTIFS(AT$7:$AT281,1)</f>
        <v>5</v>
      </c>
    </row>
    <row r="282" spans="1:47" ht="14.25" hidden="1" customHeight="1" outlineLevel="1">
      <c r="B282" s="1738" t="s">
        <v>29</v>
      </c>
      <c r="C282" s="313" t="str">
        <f>input!C650</f>
        <v>Die-cutting (Semi-auto)</v>
      </c>
      <c r="D282" s="313">
        <f>input!D650</f>
        <v>12</v>
      </c>
      <c r="E282" s="363"/>
      <c r="F282" s="363" t="str">
        <f ca="1">input!F650</f>
        <v>N</v>
      </c>
      <c r="G282" s="363"/>
      <c r="H282" s="313">
        <f ca="1">IF(F282="PCS",$E$4,SUMIFS(Paper!$AC$7:$AC$58,Paper!$A$7:$A$58,'Production cost'!F282))</f>
        <v>0</v>
      </c>
      <c r="I282" s="313">
        <f ca="1">IF(input!$G650&gt;0,input!$G650,IF($C282=Data!$L$1158,500,3000))</f>
        <v>500</v>
      </c>
      <c r="J282" s="313" t="str">
        <f>input!$H650</f>
        <v>Sheets</v>
      </c>
      <c r="K282" s="360">
        <f>IF($C282=Data!$L$1158,0,1/4)</f>
        <v>0</v>
      </c>
      <c r="L282" s="313">
        <f ca="1">IF(input!$I650&gt;0,input!$I650,2)</f>
        <v>2</v>
      </c>
      <c r="M282" s="391">
        <f ca="1">IF(H282&gt;0,SUMIF(Data!$L$1155:$L$1190,'Production cost'!$C282,Data!$Q$1155:$Q$1190)*SUMIF(Paper!$A$7:$A$70,'Production cost'!$F282,Paper!$J$7:$J$70),0)</f>
        <v>0</v>
      </c>
      <c r="N282" s="391">
        <f t="shared" ca="1" si="179"/>
        <v>0</v>
      </c>
      <c r="O282" s="313">
        <f>IF($C282=Data!$L$1158,0,Data!$N$1195)</f>
        <v>0</v>
      </c>
      <c r="P282" s="313">
        <f>SUMIF(Data!$L$1155:$L$1190,'Production cost'!$C282,Data!$N$1155:$N$1190)</f>
        <v>64593.240854333337</v>
      </c>
      <c r="Q282" s="313">
        <f t="shared" ca="1" si="156"/>
        <v>0</v>
      </c>
      <c r="R282" s="313">
        <f t="shared" ca="1" si="180"/>
        <v>0</v>
      </c>
      <c r="S282" s="1741">
        <f t="shared" ca="1" si="181"/>
        <v>0</v>
      </c>
      <c r="T282" s="313" t="str">
        <f ca="1">input!J650</f>
        <v>N</v>
      </c>
      <c r="V282" s="3115" t="str">
        <f>input!K650</f>
        <v>Packaging</v>
      </c>
      <c r="W282" s="3115">
        <f t="shared" ca="1" si="157"/>
        <v>0</v>
      </c>
      <c r="X282" s="3119">
        <f>VLOOKUP(V282,'Fix Cost'!$K$177:$M$179,2,0)</f>
        <v>58449.923860467366</v>
      </c>
      <c r="Y282" s="3119">
        <f>VLOOKUP(V282,'Fix Cost'!$K$177:$M$179,3,0)</f>
        <v>267411.04680782068</v>
      </c>
      <c r="Z282" s="3119">
        <f t="shared" ca="1" si="158"/>
        <v>0</v>
      </c>
      <c r="AA282" s="3115">
        <f t="shared" ca="1" si="159"/>
        <v>0</v>
      </c>
      <c r="AB282" s="3115">
        <f t="shared" ca="1" si="160"/>
        <v>0</v>
      </c>
      <c r="AK282" s="313"/>
      <c r="AL282" s="313"/>
      <c r="AM282" s="313"/>
      <c r="AO282" s="1055"/>
      <c r="AP282" s="385"/>
      <c r="AQ282" s="385"/>
      <c r="AR282" s="1048"/>
      <c r="AS282" s="385"/>
      <c r="AT282" s="879">
        <f t="shared" ca="1" si="164"/>
        <v>0</v>
      </c>
      <c r="AU282" s="879">
        <f ca="1">COUNTIFS(AT$7:$AT282,1)</f>
        <v>5</v>
      </c>
    </row>
    <row r="283" spans="1:47" ht="14.25" hidden="1" customHeight="1" outlineLevel="1">
      <c r="B283" s="1738" t="s">
        <v>29</v>
      </c>
      <c r="C283" s="313" t="str">
        <f>input!C651</f>
        <v>Die-cutting (Semi-auto)</v>
      </c>
      <c r="D283" s="313">
        <f>input!D651</f>
        <v>15</v>
      </c>
      <c r="E283" s="363"/>
      <c r="F283" s="363" t="str">
        <f ca="1">input!F651</f>
        <v>N</v>
      </c>
      <c r="G283" s="363"/>
      <c r="H283" s="313">
        <f ca="1">IF(F283="PCS",$E$4,SUMIFS(Paper!$AC$7:$AC$58,Paper!$A$7:$A$58,'Production cost'!F283))</f>
        <v>0</v>
      </c>
      <c r="I283" s="313">
        <f ca="1">IF(input!$G651&gt;0,input!$G651,IF($C283=Data!$L$1158,500,3000))</f>
        <v>500</v>
      </c>
      <c r="J283" s="313" t="str">
        <f>input!$H651</f>
        <v>Sheets</v>
      </c>
      <c r="K283" s="360">
        <f>IF($C283=Data!$L$1158,0,1/4)</f>
        <v>0</v>
      </c>
      <c r="L283" s="313">
        <f ca="1">IF(input!$I651&gt;0,input!$I651,2)</f>
        <v>2</v>
      </c>
      <c r="M283" s="391">
        <f ca="1">IF(H283&gt;0,SUMIF(Data!$L$1155:$L$1190,'Production cost'!$C283,Data!$Q$1155:$Q$1190)*SUMIF(Paper!$A$7:$A$70,'Production cost'!$F283,Paper!$J$7:$J$70),0)</f>
        <v>0</v>
      </c>
      <c r="N283" s="391">
        <f t="shared" ca="1" si="179"/>
        <v>0</v>
      </c>
      <c r="O283" s="313">
        <f>IF($C283=Data!$L$1158,0,Data!$N$1195)</f>
        <v>0</v>
      </c>
      <c r="P283" s="313">
        <f>SUMIF(Data!$L$1155:$L$1190,'Production cost'!$C283,Data!$N$1155:$N$1190)</f>
        <v>64593.240854333337</v>
      </c>
      <c r="Q283" s="313">
        <f t="shared" ca="1" si="156"/>
        <v>0</v>
      </c>
      <c r="R283" s="313">
        <f t="shared" ca="1" si="180"/>
        <v>0</v>
      </c>
      <c r="S283" s="1741">
        <f t="shared" ca="1" si="181"/>
        <v>0</v>
      </c>
      <c r="T283" s="313" t="str">
        <f ca="1">input!J651</f>
        <v>N</v>
      </c>
      <c r="V283" s="3115" t="str">
        <f>input!K651</f>
        <v>Packaging</v>
      </c>
      <c r="W283" s="3115">
        <f t="shared" ca="1" si="157"/>
        <v>0</v>
      </c>
      <c r="X283" s="3119">
        <f>VLOOKUP(V283,'Fix Cost'!$K$177:$M$179,2,0)</f>
        <v>58449.923860467366</v>
      </c>
      <c r="Y283" s="3119">
        <f>VLOOKUP(V283,'Fix Cost'!$K$177:$M$179,3,0)</f>
        <v>267411.04680782068</v>
      </c>
      <c r="Z283" s="3119">
        <f t="shared" ca="1" si="158"/>
        <v>0</v>
      </c>
      <c r="AA283" s="3115">
        <f t="shared" ca="1" si="159"/>
        <v>0</v>
      </c>
      <c r="AB283" s="3115">
        <f t="shared" ca="1" si="160"/>
        <v>0</v>
      </c>
      <c r="AK283" s="313"/>
      <c r="AL283" s="313"/>
      <c r="AM283" s="313"/>
      <c r="AO283" s="1055"/>
      <c r="AP283" s="385"/>
      <c r="AQ283" s="385"/>
      <c r="AR283" s="1048"/>
      <c r="AS283" s="385"/>
      <c r="AT283" s="879">
        <f t="shared" ca="1" si="164"/>
        <v>0</v>
      </c>
      <c r="AU283" s="879">
        <f ca="1">COUNTIFS(AT$7:$AT283,1)</f>
        <v>5</v>
      </c>
    </row>
    <row r="284" spans="1:47" ht="14.25" hidden="1" customHeight="1" outlineLevel="1">
      <c r="B284" s="1738" t="s">
        <v>29</v>
      </c>
      <c r="C284" s="313" t="str">
        <f>input!C652</f>
        <v>Die-cutting (Semi-auto)</v>
      </c>
      <c r="D284" s="313">
        <f>input!D652</f>
        <v>18</v>
      </c>
      <c r="E284" s="363"/>
      <c r="F284" s="363" t="str">
        <f ca="1">input!F652</f>
        <v>N</v>
      </c>
      <c r="G284" s="363"/>
      <c r="H284" s="313">
        <f ca="1">IF(F284="PCS",$E$4,SUMIFS(Paper!$AC$7:$AC$58,Paper!$A$7:$A$58,'Production cost'!F284))</f>
        <v>0</v>
      </c>
      <c r="I284" s="313">
        <f ca="1">IF(input!$G652&gt;0,input!$G652,IF($C284=Data!$L$1158,500,3000))</f>
        <v>500</v>
      </c>
      <c r="J284" s="313" t="str">
        <f>input!$H652</f>
        <v>Sheets</v>
      </c>
      <c r="K284" s="360">
        <f>IF($C284=Data!$L$1158,0,1/4)</f>
        <v>0</v>
      </c>
      <c r="L284" s="313">
        <f ca="1">IF(input!$I652&gt;0,input!$I652,2)</f>
        <v>2</v>
      </c>
      <c r="M284" s="391">
        <f ca="1">IF(H284&gt;0,SUMIF(Data!$L$1155:$L$1190,'Production cost'!$C284,Data!$Q$1155:$Q$1190)*SUMIF(Paper!$A$7:$A$70,'Production cost'!$F284,Paper!$J$7:$J$70),0)</f>
        <v>0</v>
      </c>
      <c r="N284" s="391">
        <f t="shared" ca="1" si="179"/>
        <v>0</v>
      </c>
      <c r="O284" s="313">
        <f>IF($C284=Data!$L$1158,0,Data!$N$1195)</f>
        <v>0</v>
      </c>
      <c r="P284" s="313">
        <f>SUMIF(Data!$L$1155:$L$1190,'Production cost'!$C284,Data!$N$1155:$N$1190)</f>
        <v>64593.240854333337</v>
      </c>
      <c r="Q284" s="313">
        <f t="shared" ca="1" si="156"/>
        <v>0</v>
      </c>
      <c r="R284" s="313">
        <f t="shared" ca="1" si="180"/>
        <v>0</v>
      </c>
      <c r="S284" s="1741">
        <f t="shared" ca="1" si="181"/>
        <v>0</v>
      </c>
      <c r="T284" s="313" t="str">
        <f ca="1">input!J652</f>
        <v>N</v>
      </c>
      <c r="V284" s="3115" t="str">
        <f>input!K652</f>
        <v>Packaging</v>
      </c>
      <c r="W284" s="3115">
        <f t="shared" ca="1" si="157"/>
        <v>0</v>
      </c>
      <c r="X284" s="3119">
        <f>VLOOKUP(V284,'Fix Cost'!$K$177:$M$179,2,0)</f>
        <v>58449.923860467366</v>
      </c>
      <c r="Y284" s="3119">
        <f>VLOOKUP(V284,'Fix Cost'!$K$177:$M$179,3,0)</f>
        <v>267411.04680782068</v>
      </c>
      <c r="Z284" s="3119">
        <f t="shared" ca="1" si="158"/>
        <v>0</v>
      </c>
      <c r="AA284" s="3115">
        <f t="shared" ca="1" si="159"/>
        <v>0</v>
      </c>
      <c r="AB284" s="3115">
        <f t="shared" ca="1" si="160"/>
        <v>0</v>
      </c>
      <c r="AK284" s="313"/>
      <c r="AL284" s="313"/>
      <c r="AM284" s="313"/>
      <c r="AO284" s="1055"/>
      <c r="AP284" s="385"/>
      <c r="AQ284" s="385"/>
      <c r="AR284" s="1048"/>
      <c r="AS284" s="385"/>
      <c r="AT284" s="879">
        <f t="shared" ca="1" si="164"/>
        <v>0</v>
      </c>
      <c r="AU284" s="879">
        <f ca="1">COUNTIFS(AT$7:$AT284,1)</f>
        <v>5</v>
      </c>
    </row>
    <row r="285" spans="1:47" ht="14.25" hidden="1" customHeight="1" outlineLevel="1">
      <c r="B285" s="1738" t="s">
        <v>29</v>
      </c>
      <c r="C285" s="313" t="str">
        <f>input!C653</f>
        <v>Die-cutting (Semi-auto)</v>
      </c>
      <c r="D285" s="313">
        <f>input!D653</f>
        <v>21</v>
      </c>
      <c r="E285" s="363"/>
      <c r="F285" s="363" t="str">
        <f ca="1">input!F653</f>
        <v>N</v>
      </c>
      <c r="G285" s="363"/>
      <c r="H285" s="313">
        <f ca="1">IF(F285="PCS",$E$4,SUMIFS(Paper!$AC$7:$AC$58,Paper!$A$7:$A$58,'Production cost'!F285))</f>
        <v>0</v>
      </c>
      <c r="I285" s="313">
        <f ca="1">IF(input!$G653&gt;0,input!$G653,IF($C285=Data!$L$1158,500,3000))</f>
        <v>500</v>
      </c>
      <c r="J285" s="313" t="str">
        <f>input!$H653</f>
        <v>Sheets</v>
      </c>
      <c r="K285" s="360">
        <f>IF($C285=Data!$L$1158,0,1/4)</f>
        <v>0</v>
      </c>
      <c r="L285" s="313">
        <f ca="1">IF(input!$I653&gt;0,input!$I653,2)</f>
        <v>2</v>
      </c>
      <c r="M285" s="391">
        <f ca="1">IF(H285&gt;0,SUMIF(Data!$L$1155:$L$1190,'Production cost'!$C285,Data!$Q$1155:$Q$1190)*SUMIF(Paper!$A$7:$A$70,'Production cost'!$F285,Paper!$J$7:$J$70),0)</f>
        <v>0</v>
      </c>
      <c r="N285" s="391">
        <f t="shared" ca="1" si="179"/>
        <v>0</v>
      </c>
      <c r="O285" s="313">
        <f>IF($C285=Data!$L$1158,0,Data!$N$1195)</f>
        <v>0</v>
      </c>
      <c r="P285" s="313">
        <f>SUMIF(Data!$L$1155:$L$1190,'Production cost'!$C285,Data!$N$1155:$N$1190)</f>
        <v>64593.240854333337</v>
      </c>
      <c r="Q285" s="313">
        <f t="shared" ca="1" si="156"/>
        <v>0</v>
      </c>
      <c r="R285" s="313">
        <f t="shared" ca="1" si="180"/>
        <v>0</v>
      </c>
      <c r="S285" s="1741">
        <f t="shared" ca="1" si="181"/>
        <v>0</v>
      </c>
      <c r="T285" s="313" t="str">
        <f ca="1">input!J653</f>
        <v>N</v>
      </c>
      <c r="V285" s="3115" t="str">
        <f>input!K653</f>
        <v>Packaging</v>
      </c>
      <c r="W285" s="3115">
        <f t="shared" ca="1" si="157"/>
        <v>0</v>
      </c>
      <c r="X285" s="3119">
        <f>VLOOKUP(V285,'Fix Cost'!$K$177:$M$179,2,0)</f>
        <v>58449.923860467366</v>
      </c>
      <c r="Y285" s="3119">
        <f>VLOOKUP(V285,'Fix Cost'!$K$177:$M$179,3,0)</f>
        <v>267411.04680782068</v>
      </c>
      <c r="Z285" s="3119">
        <f t="shared" ca="1" si="158"/>
        <v>0</v>
      </c>
      <c r="AA285" s="3115">
        <f t="shared" ca="1" si="159"/>
        <v>0</v>
      </c>
      <c r="AB285" s="3115">
        <f t="shared" ca="1" si="160"/>
        <v>0</v>
      </c>
      <c r="AK285" s="313"/>
      <c r="AL285" s="313"/>
      <c r="AM285" s="313"/>
      <c r="AO285" s="1055"/>
      <c r="AP285" s="385"/>
      <c r="AQ285" s="385"/>
      <c r="AR285" s="1048"/>
      <c r="AS285" s="385"/>
      <c r="AT285" s="879">
        <f t="shared" ca="1" si="164"/>
        <v>0</v>
      </c>
      <c r="AU285" s="879">
        <f ca="1">COUNTIFS(AT$7:$AT285,1)</f>
        <v>5</v>
      </c>
    </row>
    <row r="286" spans="1:47" ht="14.25" hidden="1" customHeight="1" outlineLevel="1">
      <c r="B286" s="1738" t="s">
        <v>29</v>
      </c>
      <c r="C286" s="313" t="str">
        <f>input!C654</f>
        <v>Die-cutting (Semi-auto)</v>
      </c>
      <c r="D286" s="313">
        <f>input!D654</f>
        <v>24</v>
      </c>
      <c r="E286" s="363"/>
      <c r="F286" s="363" t="str">
        <f ca="1">input!F654</f>
        <v>N</v>
      </c>
      <c r="G286" s="363"/>
      <c r="H286" s="313">
        <f ca="1">IF(F286="PCS",$E$4,SUMIFS(Paper!$AC$7:$AC$58,Paper!$A$7:$A$58,'Production cost'!F286))</f>
        <v>0</v>
      </c>
      <c r="I286" s="313">
        <f ca="1">IF(input!$G654&gt;0,input!$G654,IF($C286=Data!$L$1158,500,3000))</f>
        <v>500</v>
      </c>
      <c r="J286" s="313" t="str">
        <f>input!$H654</f>
        <v>Sheets</v>
      </c>
      <c r="K286" s="360">
        <f>IF($C286=Data!$L$1158,0,1/4)</f>
        <v>0</v>
      </c>
      <c r="L286" s="313">
        <f ca="1">IF(input!$I654&gt;0,input!$I654,2)</f>
        <v>2</v>
      </c>
      <c r="M286" s="391">
        <f ca="1">IF(H286&gt;0,SUMIF(Data!$L$1155:$L$1190,'Production cost'!$C286,Data!$Q$1155:$Q$1190)*SUMIF(Paper!$A$7:$A$70,'Production cost'!$F286,Paper!$J$7:$J$70),0)</f>
        <v>0</v>
      </c>
      <c r="N286" s="391">
        <f t="shared" ca="1" si="179"/>
        <v>0</v>
      </c>
      <c r="O286" s="313">
        <f>IF($C286=Data!$L$1158,0,Data!$N$1195)</f>
        <v>0</v>
      </c>
      <c r="P286" s="313">
        <f>SUMIF(Data!$L$1155:$L$1190,'Production cost'!$C286,Data!$N$1155:$N$1190)</f>
        <v>64593.240854333337</v>
      </c>
      <c r="Q286" s="313">
        <f t="shared" ca="1" si="156"/>
        <v>0</v>
      </c>
      <c r="R286" s="313">
        <f t="shared" ca="1" si="180"/>
        <v>0</v>
      </c>
      <c r="S286" s="1741">
        <f t="shared" ca="1" si="181"/>
        <v>0</v>
      </c>
      <c r="T286" s="313" t="str">
        <f ca="1">input!J654</f>
        <v>N</v>
      </c>
      <c r="V286" s="3115" t="str">
        <f>input!K654</f>
        <v>Packaging</v>
      </c>
      <c r="W286" s="3115">
        <f t="shared" ca="1" si="157"/>
        <v>0</v>
      </c>
      <c r="X286" s="3119">
        <f>VLOOKUP(V286,'Fix Cost'!$K$177:$M$179,2,0)</f>
        <v>58449.923860467366</v>
      </c>
      <c r="Y286" s="3119">
        <f>VLOOKUP(V286,'Fix Cost'!$K$177:$M$179,3,0)</f>
        <v>267411.04680782068</v>
      </c>
      <c r="Z286" s="3119">
        <f t="shared" ca="1" si="158"/>
        <v>0</v>
      </c>
      <c r="AA286" s="3115">
        <f t="shared" ca="1" si="159"/>
        <v>0</v>
      </c>
      <c r="AB286" s="3115">
        <f t="shared" ca="1" si="160"/>
        <v>0</v>
      </c>
      <c r="AK286" s="313"/>
      <c r="AL286" s="313"/>
      <c r="AM286" s="313"/>
      <c r="AO286" s="1055"/>
      <c r="AP286" s="385"/>
      <c r="AQ286" s="385"/>
      <c r="AR286" s="1048"/>
      <c r="AS286" s="385"/>
      <c r="AT286" s="879">
        <f t="shared" ca="1" si="164"/>
        <v>0</v>
      </c>
      <c r="AU286" s="879">
        <f ca="1">COUNTIFS(AT$7:$AT286,1)</f>
        <v>5</v>
      </c>
    </row>
    <row r="287" spans="1:47" ht="14.25" hidden="1" customHeight="1" outlineLevel="1">
      <c r="B287" s="1738" t="s">
        <v>29</v>
      </c>
      <c r="C287" s="313" t="str">
        <f>input!C655</f>
        <v>Die-cutting (Semi-auto)</v>
      </c>
      <c r="D287" s="313">
        <f>input!D655</f>
        <v>27</v>
      </c>
      <c r="E287" s="363"/>
      <c r="F287" s="363" t="str">
        <f ca="1">input!F655</f>
        <v>N</v>
      </c>
      <c r="G287" s="363"/>
      <c r="H287" s="313">
        <f ca="1">IF(F287="PCS",$E$4,SUMIFS(Paper!$AC$7:$AC$58,Paper!$A$7:$A$58,'Production cost'!F287))</f>
        <v>0</v>
      </c>
      <c r="I287" s="313">
        <f ca="1">IF(input!$G655&gt;0,input!$G655,IF($C287=Data!$L$1158,500,3000))</f>
        <v>500</v>
      </c>
      <c r="J287" s="313" t="str">
        <f>input!$H655</f>
        <v>Sheets</v>
      </c>
      <c r="K287" s="360">
        <f>IF($C287=Data!$L$1158,0,1/4)</f>
        <v>0</v>
      </c>
      <c r="L287" s="313">
        <f ca="1">IF(input!$I655&gt;0,input!$I655,2)</f>
        <v>2</v>
      </c>
      <c r="M287" s="391">
        <f ca="1">IF(H287&gt;0,SUMIF(Data!$L$1155:$L$1190,'Production cost'!$C287,Data!$Q$1155:$Q$1190)*SUMIF(Paper!$A$7:$A$70,'Production cost'!$F287,Paper!$J$7:$J$70),0)</f>
        <v>0</v>
      </c>
      <c r="N287" s="391">
        <f t="shared" ref="N287:N375" ca="1" si="182">IF(H287&gt;0,ROUNDUP(((H287/I287)/$M$5+M287),1),0)</f>
        <v>0</v>
      </c>
      <c r="O287" s="313">
        <f>IF($C287=Data!$L$1158,0,Data!$N$1195)</f>
        <v>0</v>
      </c>
      <c r="P287" s="313">
        <f>SUMIF(Data!$L$1155:$L$1190,'Production cost'!$C287,Data!$N$1155:$N$1190)</f>
        <v>64593.240854333337</v>
      </c>
      <c r="Q287" s="313">
        <f t="shared" ca="1" si="156"/>
        <v>0</v>
      </c>
      <c r="R287" s="313">
        <f t="shared" ref="R287:R375" ca="1" si="183">IF($E$2&gt;0,Q287/$E$2,0)</f>
        <v>0</v>
      </c>
      <c r="S287" s="1741">
        <f t="shared" ref="S287:S375" ca="1" si="184">IF(M287&gt;0,K287*O287+L287*P287,0)</f>
        <v>0</v>
      </c>
      <c r="T287" s="313" t="str">
        <f ca="1">input!J655</f>
        <v>N</v>
      </c>
      <c r="V287" s="3115" t="str">
        <f>input!K655</f>
        <v>Packaging</v>
      </c>
      <c r="W287" s="3115">
        <f t="shared" ref="W287:W375" ca="1" si="185">N287*(L287+K287)</f>
        <v>0</v>
      </c>
      <c r="X287" s="3119">
        <f>VLOOKUP(V287,'Fix Cost'!$K$177:$M$179,2,0)</f>
        <v>58449.923860467366</v>
      </c>
      <c r="Y287" s="3119">
        <f>VLOOKUP(V287,'Fix Cost'!$K$177:$M$179,3,0)</f>
        <v>267411.04680782068</v>
      </c>
      <c r="Z287" s="3119">
        <f t="shared" ref="Z287:Z375" ca="1" si="186">IFERROR($X287*W287,0)</f>
        <v>0</v>
      </c>
      <c r="AA287" s="3115">
        <f t="shared" ref="AA287:AA375" ca="1" si="187">IFERROR(Y287*N287,0)</f>
        <v>0</v>
      </c>
      <c r="AB287" s="3115">
        <f t="shared" ref="AB287:AB375" ca="1" si="188">Z287+AA287</f>
        <v>0</v>
      </c>
      <c r="AK287" s="313"/>
      <c r="AL287" s="313"/>
      <c r="AM287" s="313"/>
      <c r="AO287" s="1055"/>
      <c r="AP287" s="385"/>
      <c r="AQ287" s="385"/>
      <c r="AR287" s="1048"/>
      <c r="AS287" s="385"/>
      <c r="AT287" s="879">
        <f t="shared" ca="1" si="164"/>
        <v>0</v>
      </c>
      <c r="AU287" s="879">
        <f ca="1">COUNTIFS(AT$7:$AT287,1)</f>
        <v>5</v>
      </c>
    </row>
    <row r="288" spans="1:47" ht="14.25" hidden="1" customHeight="1" outlineLevel="1">
      <c r="B288" s="1738" t="s">
        <v>29</v>
      </c>
      <c r="C288" s="313" t="str">
        <f>input!C656</f>
        <v>Die-cutting (Semi-auto)</v>
      </c>
      <c r="D288" s="313">
        <f>input!D656</f>
        <v>30</v>
      </c>
      <c r="E288" s="363"/>
      <c r="F288" s="363" t="str">
        <f ca="1">input!F656</f>
        <v>N</v>
      </c>
      <c r="G288" s="363"/>
      <c r="H288" s="313">
        <f ca="1">IF(F288="PCS",$E$4,SUMIFS(Paper!$AC$7:$AC$58,Paper!$A$7:$A$58,'Production cost'!F288))</f>
        <v>0</v>
      </c>
      <c r="I288" s="313">
        <f ca="1">IF(input!$G656&gt;0,input!$G656,IF($C288=Data!$L$1158,500,3000))</f>
        <v>500</v>
      </c>
      <c r="J288" s="313" t="str">
        <f>input!$H656</f>
        <v>Sheets</v>
      </c>
      <c r="K288" s="360">
        <f>IF($C288=Data!$L$1158,0,1/4)</f>
        <v>0</v>
      </c>
      <c r="L288" s="313">
        <f ca="1">IF(input!$I656&gt;0,input!$I656,2)</f>
        <v>2</v>
      </c>
      <c r="M288" s="391">
        <f ca="1">IF(H288&gt;0,SUMIF(Data!$L$1155:$L$1190,'Production cost'!$C288,Data!$Q$1155:$Q$1190)*SUMIF(Paper!$A$7:$A$70,'Production cost'!$F288,Paper!$J$7:$J$70),0)</f>
        <v>0</v>
      </c>
      <c r="N288" s="391">
        <f t="shared" ref="N288:N292" ca="1" si="189">IF(H288&gt;0,ROUNDUP(((H288/I288)/$M$5+M288),1),0)</f>
        <v>0</v>
      </c>
      <c r="O288" s="313">
        <f>IF($C288=Data!$L$1158,0,Data!$N$1195)</f>
        <v>0</v>
      </c>
      <c r="P288" s="313">
        <f>SUMIF(Data!$L$1155:$L$1190,'Production cost'!$C288,Data!$N$1155:$N$1190)</f>
        <v>64593.240854333337</v>
      </c>
      <c r="Q288" s="313">
        <f t="shared" ref="Q288:Q292" ca="1" si="190">(N288*O288*K288+N288*P288*L288)*(1+$R$702)</f>
        <v>0</v>
      </c>
      <c r="R288" s="313">
        <f t="shared" ref="R288:R292" ca="1" si="191">IF($E$2&gt;0,Q288/$E$2,0)</f>
        <v>0</v>
      </c>
      <c r="S288" s="1741">
        <f t="shared" ref="S288:S292" ca="1" si="192">IF(M288&gt;0,K288*O288+L288*P288,0)</f>
        <v>0</v>
      </c>
      <c r="T288" s="313" t="str">
        <f ca="1">input!J656</f>
        <v>N</v>
      </c>
      <c r="V288" s="3115" t="str">
        <f>input!K656</f>
        <v>Packaging</v>
      </c>
      <c r="W288" s="3115">
        <f t="shared" ref="W288:W292" ca="1" si="193">N288*(L288+K288)</f>
        <v>0</v>
      </c>
      <c r="X288" s="3119">
        <f>VLOOKUP(V288,'Fix Cost'!$K$177:$M$179,2,0)</f>
        <v>58449.923860467366</v>
      </c>
      <c r="Y288" s="3119">
        <f>VLOOKUP(V288,'Fix Cost'!$K$177:$M$179,3,0)</f>
        <v>267411.04680782068</v>
      </c>
      <c r="Z288" s="3119">
        <f t="shared" ref="Z288:Z292" ca="1" si="194">IFERROR($X288*W288,0)</f>
        <v>0</v>
      </c>
      <c r="AA288" s="3115">
        <f t="shared" ref="AA288:AA292" ca="1" si="195">IFERROR(Y288*N288,0)</f>
        <v>0</v>
      </c>
      <c r="AB288" s="3115">
        <f t="shared" ref="AB288:AB292" ca="1" si="196">Z288+AA288</f>
        <v>0</v>
      </c>
      <c r="AK288" s="313"/>
      <c r="AL288" s="313"/>
      <c r="AM288" s="313"/>
      <c r="AO288" s="1055"/>
      <c r="AP288" s="385"/>
      <c r="AQ288" s="385"/>
      <c r="AR288" s="1048"/>
      <c r="AS288" s="385"/>
      <c r="AT288" s="879"/>
      <c r="AU288" s="879"/>
    </row>
    <row r="289" spans="2:47" ht="14.25" hidden="1" customHeight="1" outlineLevel="1">
      <c r="B289" s="1738" t="s">
        <v>29</v>
      </c>
      <c r="C289" s="313" t="str">
        <f>input!C657</f>
        <v>Die-cutting (Semi-auto)</v>
      </c>
      <c r="D289" s="313">
        <f>input!D657</f>
        <v>33</v>
      </c>
      <c r="E289" s="363"/>
      <c r="F289" s="363" t="str">
        <f ca="1">input!F657</f>
        <v>N</v>
      </c>
      <c r="G289" s="363"/>
      <c r="H289" s="313">
        <f ca="1">IF(F289="PCS",$E$4,SUMIFS(Paper!$AC$7:$AC$58,Paper!$A$7:$A$58,'Production cost'!F289))</f>
        <v>0</v>
      </c>
      <c r="I289" s="313">
        <f ca="1">IF(input!$G657&gt;0,input!$G657,IF($C289=Data!$L$1158,500,3000))</f>
        <v>500</v>
      </c>
      <c r="J289" s="313" t="str">
        <f>input!$H657</f>
        <v>Sheets</v>
      </c>
      <c r="K289" s="360">
        <f>IF($C289=Data!$L$1158,0,1/4)</f>
        <v>0</v>
      </c>
      <c r="L289" s="313">
        <f ca="1">IF(input!$I657&gt;0,input!$I657,2)</f>
        <v>2</v>
      </c>
      <c r="M289" s="391">
        <f ca="1">IF(H289&gt;0,SUMIF(Data!$L$1155:$L$1190,'Production cost'!$C289,Data!$Q$1155:$Q$1190)*SUMIF(Paper!$A$7:$A$70,'Production cost'!$F289,Paper!$J$7:$J$70),0)</f>
        <v>0</v>
      </c>
      <c r="N289" s="391">
        <f t="shared" ca="1" si="189"/>
        <v>0</v>
      </c>
      <c r="O289" s="313">
        <f>IF($C289=Data!$L$1158,0,Data!$N$1195)</f>
        <v>0</v>
      </c>
      <c r="P289" s="313">
        <f>SUMIF(Data!$L$1155:$L$1190,'Production cost'!$C289,Data!$N$1155:$N$1190)</f>
        <v>64593.240854333337</v>
      </c>
      <c r="Q289" s="313">
        <f t="shared" ca="1" si="190"/>
        <v>0</v>
      </c>
      <c r="R289" s="313">
        <f t="shared" ca="1" si="191"/>
        <v>0</v>
      </c>
      <c r="S289" s="1741">
        <f t="shared" ca="1" si="192"/>
        <v>0</v>
      </c>
      <c r="T289" s="313" t="str">
        <f ca="1">input!J657</f>
        <v>N</v>
      </c>
      <c r="V289" s="3115" t="str">
        <f>input!K657</f>
        <v>Packaging</v>
      </c>
      <c r="W289" s="3115">
        <f t="shared" ca="1" si="193"/>
        <v>0</v>
      </c>
      <c r="X289" s="3119">
        <f>VLOOKUP(V289,'Fix Cost'!$K$177:$M$179,2,0)</f>
        <v>58449.923860467366</v>
      </c>
      <c r="Y289" s="3119">
        <f>VLOOKUP(V289,'Fix Cost'!$K$177:$M$179,3,0)</f>
        <v>267411.04680782068</v>
      </c>
      <c r="Z289" s="3119">
        <f t="shared" ca="1" si="194"/>
        <v>0</v>
      </c>
      <c r="AA289" s="3115">
        <f t="shared" ca="1" si="195"/>
        <v>0</v>
      </c>
      <c r="AB289" s="3115">
        <f t="shared" ca="1" si="196"/>
        <v>0</v>
      </c>
      <c r="AK289" s="313"/>
      <c r="AL289" s="313"/>
      <c r="AM289" s="313"/>
      <c r="AO289" s="1055"/>
      <c r="AP289" s="385"/>
      <c r="AQ289" s="385"/>
      <c r="AR289" s="1048"/>
      <c r="AS289" s="385"/>
      <c r="AT289" s="879"/>
      <c r="AU289" s="879"/>
    </row>
    <row r="290" spans="2:47" ht="14.25" hidden="1" customHeight="1" outlineLevel="1">
      <c r="B290" s="1738" t="s">
        <v>29</v>
      </c>
      <c r="C290" s="313" t="str">
        <f>input!C658</f>
        <v>Die-cutting (Semi-auto)</v>
      </c>
      <c r="D290" s="313">
        <f>input!D658</f>
        <v>36</v>
      </c>
      <c r="E290" s="363"/>
      <c r="F290" s="363" t="str">
        <f ca="1">input!F658</f>
        <v>N</v>
      </c>
      <c r="G290" s="363"/>
      <c r="H290" s="313">
        <f ca="1">IF(F290="PCS",$E$4,SUMIFS(Paper!$AC$7:$AC$58,Paper!$A$7:$A$58,'Production cost'!F290))</f>
        <v>0</v>
      </c>
      <c r="I290" s="313">
        <f ca="1">IF(input!$G658&gt;0,input!$G658,IF($C290=Data!$L$1158,500,3000))</f>
        <v>500</v>
      </c>
      <c r="J290" s="313" t="str">
        <f>input!$H658</f>
        <v>Sheets</v>
      </c>
      <c r="K290" s="360">
        <f>IF($C290=Data!$L$1158,0,1/4)</f>
        <v>0</v>
      </c>
      <c r="L290" s="313">
        <f ca="1">IF(input!$I658&gt;0,input!$I658,2)</f>
        <v>2</v>
      </c>
      <c r="M290" s="391">
        <f ca="1">IF(H290&gt;0,SUMIF(Data!$L$1155:$L$1190,'Production cost'!$C290,Data!$Q$1155:$Q$1190)*SUMIF(Paper!$A$7:$A$70,'Production cost'!$F290,Paper!$J$7:$J$70),0)</f>
        <v>0</v>
      </c>
      <c r="N290" s="391">
        <f t="shared" ca="1" si="189"/>
        <v>0</v>
      </c>
      <c r="O290" s="313">
        <f>IF($C290=Data!$L$1158,0,Data!$N$1195)</f>
        <v>0</v>
      </c>
      <c r="P290" s="313">
        <f>SUMIF(Data!$L$1155:$L$1190,'Production cost'!$C290,Data!$N$1155:$N$1190)</f>
        <v>64593.240854333337</v>
      </c>
      <c r="Q290" s="313">
        <f t="shared" ca="1" si="190"/>
        <v>0</v>
      </c>
      <c r="R290" s="313">
        <f t="shared" ca="1" si="191"/>
        <v>0</v>
      </c>
      <c r="S290" s="1741">
        <f t="shared" ca="1" si="192"/>
        <v>0</v>
      </c>
      <c r="T290" s="313" t="str">
        <f ca="1">input!J658</f>
        <v>N</v>
      </c>
      <c r="V290" s="3115" t="str">
        <f>input!K658</f>
        <v>Packaging</v>
      </c>
      <c r="W290" s="3115">
        <f t="shared" ca="1" si="193"/>
        <v>0</v>
      </c>
      <c r="X290" s="3119">
        <f>VLOOKUP(V290,'Fix Cost'!$K$177:$M$179,2,0)</f>
        <v>58449.923860467366</v>
      </c>
      <c r="Y290" s="3119">
        <f>VLOOKUP(V290,'Fix Cost'!$K$177:$M$179,3,0)</f>
        <v>267411.04680782068</v>
      </c>
      <c r="Z290" s="3119">
        <f t="shared" ca="1" si="194"/>
        <v>0</v>
      </c>
      <c r="AA290" s="3115">
        <f t="shared" ca="1" si="195"/>
        <v>0</v>
      </c>
      <c r="AB290" s="3115">
        <f t="shared" ca="1" si="196"/>
        <v>0</v>
      </c>
      <c r="AK290" s="313"/>
      <c r="AL290" s="313"/>
      <c r="AM290" s="313"/>
      <c r="AO290" s="1055"/>
      <c r="AP290" s="385"/>
      <c r="AQ290" s="385"/>
      <c r="AR290" s="1048"/>
      <c r="AS290" s="385"/>
      <c r="AT290" s="879"/>
      <c r="AU290" s="879"/>
    </row>
    <row r="291" spans="2:47" ht="14.25" hidden="1" customHeight="1" outlineLevel="1">
      <c r="B291" s="1738" t="s">
        <v>29</v>
      </c>
      <c r="C291" s="313" t="str">
        <f>input!C659</f>
        <v>Die-cutting (Semi-auto)</v>
      </c>
      <c r="D291" s="313">
        <f>input!D659</f>
        <v>39</v>
      </c>
      <c r="E291" s="363"/>
      <c r="F291" s="363" t="str">
        <f ca="1">input!F659</f>
        <v>N</v>
      </c>
      <c r="G291" s="363"/>
      <c r="H291" s="313">
        <f ca="1">IF(F291="PCS",$E$4,SUMIFS(Paper!$AC$7:$AC$58,Paper!$A$7:$A$58,'Production cost'!F291))</f>
        <v>0</v>
      </c>
      <c r="I291" s="313">
        <f ca="1">IF(input!$G659&gt;0,input!$G659,IF($C291=Data!$L$1158,500,3000))</f>
        <v>500</v>
      </c>
      <c r="J291" s="313" t="str">
        <f>input!$H659</f>
        <v>Sheets</v>
      </c>
      <c r="K291" s="360">
        <f>IF($C291=Data!$L$1158,0,1/4)</f>
        <v>0</v>
      </c>
      <c r="L291" s="313">
        <f ca="1">IF(input!$I659&gt;0,input!$I659,2)</f>
        <v>2</v>
      </c>
      <c r="M291" s="391">
        <f ca="1">IF(H291&gt;0,SUMIF(Data!$L$1155:$L$1190,'Production cost'!$C291,Data!$Q$1155:$Q$1190)*SUMIF(Paper!$A$7:$A$70,'Production cost'!$F291,Paper!$J$7:$J$70),0)</f>
        <v>0</v>
      </c>
      <c r="N291" s="391">
        <f t="shared" ca="1" si="189"/>
        <v>0</v>
      </c>
      <c r="O291" s="313">
        <f>IF($C291=Data!$L$1158,0,Data!$N$1195)</f>
        <v>0</v>
      </c>
      <c r="P291" s="313">
        <f>SUMIF(Data!$L$1155:$L$1190,'Production cost'!$C291,Data!$N$1155:$N$1190)</f>
        <v>64593.240854333337</v>
      </c>
      <c r="Q291" s="313">
        <f t="shared" ca="1" si="190"/>
        <v>0</v>
      </c>
      <c r="R291" s="313">
        <f t="shared" ca="1" si="191"/>
        <v>0</v>
      </c>
      <c r="S291" s="1741">
        <f t="shared" ca="1" si="192"/>
        <v>0</v>
      </c>
      <c r="T291" s="313" t="str">
        <f ca="1">input!J659</f>
        <v>N</v>
      </c>
      <c r="V291" s="3115" t="str">
        <f>input!K659</f>
        <v>Packaging</v>
      </c>
      <c r="W291" s="3115">
        <f t="shared" ca="1" si="193"/>
        <v>0</v>
      </c>
      <c r="X291" s="3119">
        <f>VLOOKUP(V291,'Fix Cost'!$K$177:$M$179,2,0)</f>
        <v>58449.923860467366</v>
      </c>
      <c r="Y291" s="3119">
        <f>VLOOKUP(V291,'Fix Cost'!$K$177:$M$179,3,0)</f>
        <v>267411.04680782068</v>
      </c>
      <c r="Z291" s="3119">
        <f t="shared" ca="1" si="194"/>
        <v>0</v>
      </c>
      <c r="AA291" s="3115">
        <f t="shared" ca="1" si="195"/>
        <v>0</v>
      </c>
      <c r="AB291" s="3115">
        <f t="shared" ca="1" si="196"/>
        <v>0</v>
      </c>
      <c r="AK291" s="313"/>
      <c r="AL291" s="313"/>
      <c r="AM291" s="313"/>
      <c r="AO291" s="1055"/>
      <c r="AP291" s="385"/>
      <c r="AQ291" s="385"/>
      <c r="AR291" s="1048"/>
      <c r="AS291" s="385"/>
      <c r="AT291" s="879"/>
      <c r="AU291" s="879"/>
    </row>
    <row r="292" spans="2:47" ht="14.25" hidden="1" customHeight="1" outlineLevel="1">
      <c r="B292" s="1738" t="s">
        <v>29</v>
      </c>
      <c r="C292" s="313" t="str">
        <f>input!C660</f>
        <v>Die-cutting (Semi-auto)</v>
      </c>
      <c r="D292" s="313">
        <f>input!D660</f>
        <v>42</v>
      </c>
      <c r="E292" s="363"/>
      <c r="F292" s="363" t="str">
        <f ca="1">input!F660</f>
        <v>N</v>
      </c>
      <c r="G292" s="363"/>
      <c r="H292" s="313">
        <f ca="1">IF(F292="PCS",$E$4,SUMIFS(Paper!$AC$7:$AC$58,Paper!$A$7:$A$58,'Production cost'!F292))</f>
        <v>0</v>
      </c>
      <c r="I292" s="313">
        <f ca="1">IF(input!$G660&gt;0,input!$G660,IF($C292=Data!$L$1158,500,3000))</f>
        <v>500</v>
      </c>
      <c r="J292" s="313" t="str">
        <f>input!$H660</f>
        <v>Sheets</v>
      </c>
      <c r="K292" s="360">
        <f>IF($C292=Data!$L$1158,0,1/4)</f>
        <v>0</v>
      </c>
      <c r="L292" s="313">
        <f ca="1">IF(input!$I660&gt;0,input!$I660,2)</f>
        <v>2</v>
      </c>
      <c r="M292" s="391">
        <f ca="1">IF(H292&gt;0,SUMIF(Data!$L$1155:$L$1190,'Production cost'!$C292,Data!$Q$1155:$Q$1190)*SUMIF(Paper!$A$7:$A$70,'Production cost'!$F292,Paper!$J$7:$J$70),0)</f>
        <v>0</v>
      </c>
      <c r="N292" s="391">
        <f t="shared" ca="1" si="189"/>
        <v>0</v>
      </c>
      <c r="O292" s="313">
        <f>IF($C292=Data!$L$1158,0,Data!$N$1195)</f>
        <v>0</v>
      </c>
      <c r="P292" s="313">
        <f>SUMIF(Data!$L$1155:$L$1190,'Production cost'!$C292,Data!$N$1155:$N$1190)</f>
        <v>64593.240854333337</v>
      </c>
      <c r="Q292" s="313">
        <f t="shared" ca="1" si="190"/>
        <v>0</v>
      </c>
      <c r="R292" s="313">
        <f t="shared" ca="1" si="191"/>
        <v>0</v>
      </c>
      <c r="S292" s="1741">
        <f t="shared" ca="1" si="192"/>
        <v>0</v>
      </c>
      <c r="T292" s="313" t="str">
        <f ca="1">input!J660</f>
        <v>N</v>
      </c>
      <c r="V292" s="3115" t="str">
        <f>input!K660</f>
        <v>Packaging</v>
      </c>
      <c r="W292" s="3115">
        <f t="shared" ca="1" si="193"/>
        <v>0</v>
      </c>
      <c r="X292" s="3119">
        <f>VLOOKUP(V292,'Fix Cost'!$K$177:$M$179,2,0)</f>
        <v>58449.923860467366</v>
      </c>
      <c r="Y292" s="3119">
        <f>VLOOKUP(V292,'Fix Cost'!$K$177:$M$179,3,0)</f>
        <v>267411.04680782068</v>
      </c>
      <c r="Z292" s="3119">
        <f t="shared" ca="1" si="194"/>
        <v>0</v>
      </c>
      <c r="AA292" s="3115">
        <f t="shared" ca="1" si="195"/>
        <v>0</v>
      </c>
      <c r="AB292" s="3115">
        <f t="shared" ca="1" si="196"/>
        <v>0</v>
      </c>
      <c r="AK292" s="313"/>
      <c r="AL292" s="313"/>
      <c r="AM292" s="313"/>
      <c r="AO292" s="1055"/>
      <c r="AP292" s="385"/>
      <c r="AQ292" s="385"/>
      <c r="AR292" s="1048"/>
      <c r="AS292" s="385"/>
      <c r="AT292" s="879"/>
      <c r="AU292" s="879"/>
    </row>
    <row r="293" spans="2:47" ht="14.25" hidden="1" customHeight="1" outlineLevel="1">
      <c r="B293" s="1738" t="s">
        <v>29</v>
      </c>
      <c r="C293" s="313" t="str">
        <f>input!C661</f>
        <v>Die-cutting (Shungfa)</v>
      </c>
      <c r="D293" s="313">
        <f>input!D661</f>
        <v>0</v>
      </c>
      <c r="E293" s="363"/>
      <c r="F293" s="363" t="str">
        <f ca="1">input!F661</f>
        <v>N</v>
      </c>
      <c r="G293" s="363"/>
      <c r="H293" s="313">
        <f ca="1">IF(F293="PCS",$E$4,SUMIFS(Paper!$AC$7:$AC$58,Paper!$A$7:$A$58,'Production cost'!F293))</f>
        <v>0</v>
      </c>
      <c r="I293" s="313">
        <f ca="1">IF(input!$G661&gt;0,input!$G661,IF($C293=Data!$L$1158,500,3000))</f>
        <v>3000</v>
      </c>
      <c r="J293" s="313" t="str">
        <f>input!$H661</f>
        <v>Sheets</v>
      </c>
      <c r="K293" s="360">
        <f>IF($C293=Data!$L$1158,0,1/4)</f>
        <v>0.25</v>
      </c>
      <c r="L293" s="313">
        <f ca="1">IF(input!$I661&gt;0,input!$I661,2)</f>
        <v>2</v>
      </c>
      <c r="M293" s="391">
        <f ca="1">IF(H293&gt;0,SUMIF(Data!$L$1155:$L$1190,'Production cost'!$C293,Data!$Q$1155:$Q$1190)*SUMIF(Paper!$A$7:$A$70,'Production cost'!$F293,Paper!$J$7:$J$70),0)</f>
        <v>0</v>
      </c>
      <c r="N293" s="391">
        <f t="shared" ca="1" si="182"/>
        <v>0</v>
      </c>
      <c r="O293" s="313">
        <f>IF($C293=Data!$L$1158,0,Data!$N$1195)</f>
        <v>352574.32240985788</v>
      </c>
      <c r="P293" s="313">
        <f>SUMIF(Data!$L$1155:$L$1190,'Production cost'!$C293,Data!$N$1155:$N$1190)</f>
        <v>64593.240854333337</v>
      </c>
      <c r="Q293" s="313">
        <f t="shared" ca="1" si="156"/>
        <v>0</v>
      </c>
      <c r="R293" s="313">
        <f t="shared" ca="1" si="183"/>
        <v>0</v>
      </c>
      <c r="S293" s="1741">
        <f t="shared" ca="1" si="184"/>
        <v>0</v>
      </c>
      <c r="T293" s="313" t="str">
        <f ca="1">input!J661</f>
        <v>N</v>
      </c>
      <c r="V293" s="3115" t="str">
        <f>input!K661</f>
        <v>Packaging</v>
      </c>
      <c r="W293" s="3115">
        <f t="shared" ca="1" si="185"/>
        <v>0</v>
      </c>
      <c r="X293" s="3119">
        <f>VLOOKUP(V293,'Fix Cost'!$K$177:$M$179,2,0)</f>
        <v>58449.923860467366</v>
      </c>
      <c r="Y293" s="3119">
        <f>VLOOKUP(V293,'Fix Cost'!$K$177:$M$179,3,0)</f>
        <v>267411.04680782068</v>
      </c>
      <c r="Z293" s="3119">
        <f t="shared" ca="1" si="186"/>
        <v>0</v>
      </c>
      <c r="AA293" s="3115">
        <f t="shared" ca="1" si="187"/>
        <v>0</v>
      </c>
      <c r="AB293" s="3115">
        <f t="shared" ca="1" si="188"/>
        <v>0</v>
      </c>
      <c r="AK293" s="313"/>
      <c r="AL293" s="313"/>
      <c r="AM293" s="313"/>
      <c r="AO293" s="1055"/>
      <c r="AP293" s="385"/>
      <c r="AQ293" s="385"/>
      <c r="AR293" s="1048"/>
      <c r="AS293" s="385"/>
      <c r="AT293" s="879">
        <f t="shared" ca="1" si="164"/>
        <v>0</v>
      </c>
      <c r="AU293" s="879">
        <f ca="1">COUNTIFS(AT$7:$AT293,1)</f>
        <v>5</v>
      </c>
    </row>
    <row r="294" spans="2:47" ht="14.25" hidden="1" customHeight="1" outlineLevel="1">
      <c r="B294" s="1738" t="s">
        <v>29</v>
      </c>
      <c r="C294" s="313" t="str">
        <f>input!C662</f>
        <v>Die-cutting (Shungfa)</v>
      </c>
      <c r="D294" s="313">
        <f>input!D662</f>
        <v>3</v>
      </c>
      <c r="E294" s="363"/>
      <c r="F294" s="363" t="str">
        <f ca="1">input!F662</f>
        <v>N</v>
      </c>
      <c r="G294" s="363"/>
      <c r="H294" s="313">
        <f ca="1">IF(F294="PCS",$E$4,SUMIFS(Paper!$AC$7:$AC$58,Paper!$A$7:$A$58,'Production cost'!F294))</f>
        <v>0</v>
      </c>
      <c r="I294" s="313">
        <f ca="1">IF(input!$G662&gt;0,input!$G662,IF($C294=Data!$L$1158,500,3000))</f>
        <v>3000</v>
      </c>
      <c r="J294" s="313" t="str">
        <f>input!$H662</f>
        <v>Sheets</v>
      </c>
      <c r="K294" s="360">
        <f>IF($C294=Data!$L$1158,0,1/4)</f>
        <v>0.25</v>
      </c>
      <c r="L294" s="313">
        <f ca="1">IF(input!$I662&gt;0,input!$I662,2)</f>
        <v>2</v>
      </c>
      <c r="M294" s="391">
        <f ca="1">IF(H294&gt;0,SUMIF(Data!$L$1155:$L$1190,'Production cost'!$C294,Data!$Q$1155:$Q$1190)*SUMIF(Paper!$A$7:$A$70,'Production cost'!$F294,Paper!$J$7:$J$70),0)</f>
        <v>0</v>
      </c>
      <c r="N294" s="391">
        <f t="shared" ca="1" si="182"/>
        <v>0</v>
      </c>
      <c r="O294" s="313">
        <f>IF($C294=Data!$L$1158,0,Data!$N$1195)</f>
        <v>352574.32240985788</v>
      </c>
      <c r="P294" s="313">
        <f>SUMIF(Data!$L$1155:$L$1190,'Production cost'!$C294,Data!$N$1155:$N$1190)</f>
        <v>64593.240854333337</v>
      </c>
      <c r="Q294" s="313">
        <f t="shared" ca="1" si="156"/>
        <v>0</v>
      </c>
      <c r="R294" s="313">
        <f t="shared" ca="1" si="183"/>
        <v>0</v>
      </c>
      <c r="S294" s="1741">
        <f t="shared" ca="1" si="184"/>
        <v>0</v>
      </c>
      <c r="T294" s="313" t="str">
        <f ca="1">input!J662</f>
        <v>N</v>
      </c>
      <c r="V294" s="3115" t="str">
        <f>input!K662</f>
        <v>Packaging</v>
      </c>
      <c r="W294" s="3115">
        <f t="shared" ca="1" si="185"/>
        <v>0</v>
      </c>
      <c r="X294" s="3119">
        <f>VLOOKUP(V294,'Fix Cost'!$K$177:$M$179,2,0)</f>
        <v>58449.923860467366</v>
      </c>
      <c r="Y294" s="3119">
        <f>VLOOKUP(V294,'Fix Cost'!$K$177:$M$179,3,0)</f>
        <v>267411.04680782068</v>
      </c>
      <c r="Z294" s="3119">
        <f t="shared" ca="1" si="186"/>
        <v>0</v>
      </c>
      <c r="AA294" s="3115">
        <f t="shared" ca="1" si="187"/>
        <v>0</v>
      </c>
      <c r="AB294" s="3115">
        <f t="shared" ca="1" si="188"/>
        <v>0</v>
      </c>
      <c r="AK294" s="313"/>
      <c r="AL294" s="313"/>
      <c r="AM294" s="313"/>
      <c r="AO294" s="1055"/>
      <c r="AP294" s="385"/>
      <c r="AQ294" s="385"/>
      <c r="AR294" s="1048"/>
      <c r="AS294" s="385"/>
      <c r="AT294" s="879">
        <f t="shared" ca="1" si="164"/>
        <v>0</v>
      </c>
      <c r="AU294" s="879">
        <f ca="1">COUNTIFS(AT$7:$AT294,1)</f>
        <v>5</v>
      </c>
    </row>
    <row r="295" spans="2:47" ht="14.25" hidden="1" customHeight="1" outlineLevel="1">
      <c r="B295" s="1738" t="s">
        <v>29</v>
      </c>
      <c r="C295" s="313" t="str">
        <f>input!C663</f>
        <v>Die-cutting (Shungfa)</v>
      </c>
      <c r="D295" s="313">
        <f>input!D663</f>
        <v>6</v>
      </c>
      <c r="E295" s="363"/>
      <c r="F295" s="363" t="str">
        <f ca="1">input!F663</f>
        <v>N</v>
      </c>
      <c r="G295" s="363"/>
      <c r="H295" s="313">
        <f ca="1">IF(F295="PCS",$E$4,SUMIFS(Paper!$AC$7:$AC$58,Paper!$A$7:$A$58,'Production cost'!F295))</f>
        <v>0</v>
      </c>
      <c r="I295" s="313">
        <f ca="1">IF(input!$G663&gt;0,input!$G663,IF($C295=Data!$L$1158,500,3000))</f>
        <v>3000</v>
      </c>
      <c r="J295" s="313" t="str">
        <f>input!$H663</f>
        <v>Sheets</v>
      </c>
      <c r="K295" s="360">
        <f>IF($C295=Data!$L$1158,0,1/4)</f>
        <v>0.25</v>
      </c>
      <c r="L295" s="313">
        <f ca="1">IF(input!$I663&gt;0,input!$I663,2)</f>
        <v>2</v>
      </c>
      <c r="M295" s="391">
        <f ca="1">IF(H295&gt;0,SUMIF(Data!$L$1155:$L$1190,'Production cost'!$C295,Data!$Q$1155:$Q$1190)*SUMIF(Paper!$A$7:$A$70,'Production cost'!$F295,Paper!$J$7:$J$70),0)</f>
        <v>0</v>
      </c>
      <c r="N295" s="391">
        <f t="shared" ca="1" si="182"/>
        <v>0</v>
      </c>
      <c r="O295" s="313">
        <f>IF($C295=Data!$L$1158,0,Data!$N$1195)</f>
        <v>352574.32240985788</v>
      </c>
      <c r="P295" s="313">
        <f>SUMIF(Data!$L$1155:$L$1190,'Production cost'!$C295,Data!$N$1155:$N$1190)</f>
        <v>64593.240854333337</v>
      </c>
      <c r="Q295" s="313">
        <f t="shared" ca="1" si="156"/>
        <v>0</v>
      </c>
      <c r="R295" s="313">
        <f t="shared" ca="1" si="183"/>
        <v>0</v>
      </c>
      <c r="S295" s="1741">
        <f t="shared" ca="1" si="184"/>
        <v>0</v>
      </c>
      <c r="T295" s="313" t="str">
        <f ca="1">input!J663</f>
        <v>N</v>
      </c>
      <c r="V295" s="3115" t="str">
        <f>input!K663</f>
        <v>Packaging</v>
      </c>
      <c r="W295" s="3115">
        <f t="shared" ca="1" si="185"/>
        <v>0</v>
      </c>
      <c r="X295" s="3119">
        <f>VLOOKUP(V295,'Fix Cost'!$K$177:$M$179,2,0)</f>
        <v>58449.923860467366</v>
      </c>
      <c r="Y295" s="3119">
        <f>VLOOKUP(V295,'Fix Cost'!$K$177:$M$179,3,0)</f>
        <v>267411.04680782068</v>
      </c>
      <c r="Z295" s="3119">
        <f t="shared" ca="1" si="186"/>
        <v>0</v>
      </c>
      <c r="AA295" s="3115">
        <f t="shared" ca="1" si="187"/>
        <v>0</v>
      </c>
      <c r="AB295" s="3115">
        <f t="shared" ca="1" si="188"/>
        <v>0</v>
      </c>
      <c r="AK295" s="313"/>
      <c r="AL295" s="313"/>
      <c r="AM295" s="313"/>
      <c r="AO295" s="1055"/>
      <c r="AP295" s="385"/>
      <c r="AQ295" s="385"/>
      <c r="AR295" s="1048"/>
      <c r="AS295" s="385"/>
      <c r="AT295" s="879">
        <f t="shared" ca="1" si="164"/>
        <v>0</v>
      </c>
      <c r="AU295" s="879">
        <f ca="1">COUNTIFS(AT$7:$AT295,1)</f>
        <v>5</v>
      </c>
    </row>
    <row r="296" spans="2:47" ht="14.25" hidden="1" customHeight="1" outlineLevel="1">
      <c r="B296" s="1738" t="s">
        <v>29</v>
      </c>
      <c r="C296" s="313" t="str">
        <f>input!C664</f>
        <v>Die-cutting (Shungfa)</v>
      </c>
      <c r="D296" s="313">
        <f>input!D664</f>
        <v>9</v>
      </c>
      <c r="E296" s="363"/>
      <c r="F296" s="363" t="str">
        <f ca="1">input!F664</f>
        <v>N</v>
      </c>
      <c r="G296" s="363"/>
      <c r="H296" s="313">
        <f ca="1">IF(F296="PCS",$E$4,SUMIFS(Paper!$AC$7:$AC$58,Paper!$A$7:$A$58,'Production cost'!F296))</f>
        <v>0</v>
      </c>
      <c r="I296" s="313">
        <f ca="1">IF(input!$G664&gt;0,input!$G664,IF($C296=Data!$L$1158,500,3000))</f>
        <v>3000</v>
      </c>
      <c r="J296" s="313" t="str">
        <f>input!$H664</f>
        <v>Sheets</v>
      </c>
      <c r="K296" s="360">
        <f>IF($C296=Data!$L$1158,0,1/4)</f>
        <v>0.25</v>
      </c>
      <c r="L296" s="313">
        <f ca="1">IF(input!$I664&gt;0,input!$I664,2)</f>
        <v>2</v>
      </c>
      <c r="M296" s="391">
        <f ca="1">IF(H296&gt;0,SUMIF(Data!$L$1155:$L$1190,'Production cost'!$C296,Data!$Q$1155:$Q$1190)*SUMIF(Paper!$A$7:$A$70,'Production cost'!$F296,Paper!$J$7:$J$70),0)</f>
        <v>0</v>
      </c>
      <c r="N296" s="391">
        <f t="shared" ca="1" si="182"/>
        <v>0</v>
      </c>
      <c r="O296" s="313">
        <f>IF($C296=Data!$L$1158,0,Data!$N$1195)</f>
        <v>352574.32240985788</v>
      </c>
      <c r="P296" s="313">
        <f>SUMIF(Data!$L$1155:$L$1190,'Production cost'!$C296,Data!$N$1155:$N$1190)</f>
        <v>64593.240854333337</v>
      </c>
      <c r="Q296" s="313">
        <f t="shared" ca="1" si="156"/>
        <v>0</v>
      </c>
      <c r="R296" s="313">
        <f t="shared" ca="1" si="183"/>
        <v>0</v>
      </c>
      <c r="S296" s="1741">
        <f t="shared" ca="1" si="184"/>
        <v>0</v>
      </c>
      <c r="T296" s="313" t="str">
        <f ca="1">input!J664</f>
        <v>N</v>
      </c>
      <c r="V296" s="3115" t="str">
        <f>input!K664</f>
        <v>Packaging</v>
      </c>
      <c r="W296" s="3115">
        <f t="shared" ca="1" si="185"/>
        <v>0</v>
      </c>
      <c r="X296" s="3119">
        <f>VLOOKUP(V296,'Fix Cost'!$K$177:$M$179,2,0)</f>
        <v>58449.923860467366</v>
      </c>
      <c r="Y296" s="3119">
        <f>VLOOKUP(V296,'Fix Cost'!$K$177:$M$179,3,0)</f>
        <v>267411.04680782068</v>
      </c>
      <c r="Z296" s="3119">
        <f t="shared" ca="1" si="186"/>
        <v>0</v>
      </c>
      <c r="AA296" s="3115">
        <f t="shared" ca="1" si="187"/>
        <v>0</v>
      </c>
      <c r="AB296" s="3115">
        <f t="shared" ca="1" si="188"/>
        <v>0</v>
      </c>
      <c r="AK296" s="313"/>
      <c r="AL296" s="313"/>
      <c r="AM296" s="313"/>
      <c r="AO296" s="1055"/>
      <c r="AP296" s="385"/>
      <c r="AQ296" s="385"/>
      <c r="AR296" s="1048"/>
      <c r="AS296" s="385"/>
      <c r="AT296" s="879">
        <f t="shared" ca="1" si="164"/>
        <v>0</v>
      </c>
      <c r="AU296" s="879">
        <f ca="1">COUNTIFS(AT$7:$AT296,1)</f>
        <v>5</v>
      </c>
    </row>
    <row r="297" spans="2:47" ht="14.25" hidden="1" customHeight="1" outlineLevel="1">
      <c r="B297" s="1738" t="s">
        <v>29</v>
      </c>
      <c r="C297" s="313" t="str">
        <f>input!C665</f>
        <v>Die-cutting (Shungfa)</v>
      </c>
      <c r="D297" s="313">
        <f>input!D665</f>
        <v>12</v>
      </c>
      <c r="E297" s="363"/>
      <c r="F297" s="363" t="str">
        <f ca="1">input!F665</f>
        <v>N</v>
      </c>
      <c r="G297" s="363"/>
      <c r="H297" s="313">
        <f ca="1">IF(F297="PCS",$E$4,SUMIFS(Paper!$AC$7:$AC$58,Paper!$A$7:$A$58,'Production cost'!F297))</f>
        <v>0</v>
      </c>
      <c r="I297" s="313">
        <f ca="1">IF(input!$G665&gt;0,input!$G665,IF($C297=Data!$L$1158,500,3000))</f>
        <v>3000</v>
      </c>
      <c r="J297" s="313" t="str">
        <f>input!$H665</f>
        <v>Sheets</v>
      </c>
      <c r="K297" s="360">
        <f>IF($C297=Data!$L$1158,0,1/4)</f>
        <v>0.25</v>
      </c>
      <c r="L297" s="313">
        <f ca="1">IF(input!$I665&gt;0,input!$I665,2)</f>
        <v>2</v>
      </c>
      <c r="M297" s="391">
        <f ca="1">IF(H297&gt;0,SUMIF(Data!$L$1155:$L$1190,'Production cost'!$C297,Data!$Q$1155:$Q$1190)*SUMIF(Paper!$A$7:$A$70,'Production cost'!$F297,Paper!$J$7:$J$70),0)</f>
        <v>0</v>
      </c>
      <c r="N297" s="391">
        <f t="shared" ca="1" si="182"/>
        <v>0</v>
      </c>
      <c r="O297" s="313">
        <f>IF($C297=Data!$L$1158,0,Data!$N$1195)</f>
        <v>352574.32240985788</v>
      </c>
      <c r="P297" s="313">
        <f>SUMIF(Data!$L$1155:$L$1190,'Production cost'!$C297,Data!$N$1155:$N$1190)</f>
        <v>64593.240854333337</v>
      </c>
      <c r="Q297" s="313">
        <f t="shared" ref="Q297:Q333" ca="1" si="197">(N297*O297*K297+N297*P297*L297)*(1+$R$702)</f>
        <v>0</v>
      </c>
      <c r="R297" s="313">
        <f t="shared" ca="1" si="183"/>
        <v>0</v>
      </c>
      <c r="S297" s="1741">
        <f t="shared" ca="1" si="184"/>
        <v>0</v>
      </c>
      <c r="T297" s="313" t="str">
        <f ca="1">input!J665</f>
        <v>N</v>
      </c>
      <c r="V297" s="3115" t="str">
        <f>input!K665</f>
        <v>Packaging</v>
      </c>
      <c r="W297" s="3115">
        <f t="shared" ca="1" si="185"/>
        <v>0</v>
      </c>
      <c r="X297" s="3119">
        <f>VLOOKUP(V297,'Fix Cost'!$K$177:$M$179,2,0)</f>
        <v>58449.923860467366</v>
      </c>
      <c r="Y297" s="3119">
        <f>VLOOKUP(V297,'Fix Cost'!$K$177:$M$179,3,0)</f>
        <v>267411.04680782068</v>
      </c>
      <c r="Z297" s="3119">
        <f t="shared" ca="1" si="186"/>
        <v>0</v>
      </c>
      <c r="AA297" s="3115">
        <f t="shared" ca="1" si="187"/>
        <v>0</v>
      </c>
      <c r="AB297" s="3115">
        <f t="shared" ca="1" si="188"/>
        <v>0</v>
      </c>
      <c r="AK297" s="313"/>
      <c r="AL297" s="313"/>
      <c r="AM297" s="313"/>
      <c r="AO297" s="1055"/>
      <c r="AP297" s="385"/>
      <c r="AQ297" s="385"/>
      <c r="AR297" s="1048"/>
      <c r="AS297" s="385"/>
      <c r="AT297" s="879">
        <f t="shared" ca="1" si="164"/>
        <v>0</v>
      </c>
      <c r="AU297" s="879">
        <f ca="1">COUNTIFS(AT$7:$AT297,1)</f>
        <v>5</v>
      </c>
    </row>
    <row r="298" spans="2:47" ht="14.25" hidden="1" customHeight="1" outlineLevel="1">
      <c r="B298" s="1738" t="s">
        <v>29</v>
      </c>
      <c r="C298" s="313" t="str">
        <f>input!C666</f>
        <v>Die-cutting (NIKKO 1050FH)</v>
      </c>
      <c r="D298" s="313">
        <f>input!D666</f>
        <v>0</v>
      </c>
      <c r="E298" s="363"/>
      <c r="F298" s="363" t="str">
        <f ca="1">input!F666</f>
        <v>N</v>
      </c>
      <c r="G298" s="363"/>
      <c r="H298" s="313">
        <f ca="1">IF(F298="PCS",$E$4,SUMIFS(Paper!$AC$7:$AC$58,Paper!$A$7:$A$58,'Production cost'!F298))</f>
        <v>0</v>
      </c>
      <c r="I298" s="313">
        <f ca="1">IF(input!$G666&gt;0,input!$G666,IF($C298=Data!$L$1158,500,3000))</f>
        <v>3000</v>
      </c>
      <c r="J298" s="313" t="str">
        <f>input!$H666</f>
        <v>Sheets</v>
      </c>
      <c r="K298" s="360">
        <f>IF($C298=Data!$L$1158,0,1/4)</f>
        <v>0.25</v>
      </c>
      <c r="L298" s="313">
        <f ca="1">IF(input!$I666&gt;0,input!$I666,2)</f>
        <v>2</v>
      </c>
      <c r="M298" s="391">
        <f ca="1">IF(H298&gt;0,SUMIF(Data!$L$1155:$L$1190,'Production cost'!$C298,Data!$Q$1155:$Q$1190)*SUMIF(Paper!$A$7:$A$70,'Production cost'!$F298,Paper!$J$7:$J$70),0)</f>
        <v>0</v>
      </c>
      <c r="N298" s="391">
        <f t="shared" ca="1" si="182"/>
        <v>0</v>
      </c>
      <c r="O298" s="313">
        <f>IF($C298=Data!$L$1158,0,Data!$N$1195)</f>
        <v>352574.32240985788</v>
      </c>
      <c r="P298" s="313">
        <f>SUMIF(Data!$L$1155:$L$1190,'Production cost'!$C298,Data!$N$1155:$N$1190)</f>
        <v>64593.240854333337</v>
      </c>
      <c r="Q298" s="313">
        <f t="shared" ca="1" si="197"/>
        <v>0</v>
      </c>
      <c r="R298" s="313">
        <f t="shared" ca="1" si="183"/>
        <v>0</v>
      </c>
      <c r="S298" s="1741">
        <f t="shared" ca="1" si="184"/>
        <v>0</v>
      </c>
      <c r="T298" s="313" t="str">
        <f ca="1">input!J666</f>
        <v>N</v>
      </c>
      <c r="V298" s="3115" t="str">
        <f>input!K666</f>
        <v>Packaging</v>
      </c>
      <c r="W298" s="3115">
        <f t="shared" ca="1" si="185"/>
        <v>0</v>
      </c>
      <c r="X298" s="3119">
        <f>VLOOKUP(V298,'Fix Cost'!$K$177:$M$179,2,0)</f>
        <v>58449.923860467366</v>
      </c>
      <c r="Y298" s="3119">
        <f>VLOOKUP(V298,'Fix Cost'!$K$177:$M$179,3,0)</f>
        <v>267411.04680782068</v>
      </c>
      <c r="Z298" s="3119">
        <f t="shared" ca="1" si="186"/>
        <v>0</v>
      </c>
      <c r="AA298" s="3115">
        <f t="shared" ca="1" si="187"/>
        <v>0</v>
      </c>
      <c r="AB298" s="3115">
        <f t="shared" ca="1" si="188"/>
        <v>0</v>
      </c>
      <c r="AK298" s="313"/>
      <c r="AL298" s="313"/>
      <c r="AM298" s="313"/>
      <c r="AO298" s="1055"/>
      <c r="AP298" s="385"/>
      <c r="AQ298" s="385"/>
      <c r="AR298" s="1048"/>
      <c r="AS298" s="385"/>
      <c r="AT298" s="879">
        <f t="shared" ca="1" si="164"/>
        <v>0</v>
      </c>
      <c r="AU298" s="879">
        <f ca="1">COUNTIFS(AT$7:$AT298,1)</f>
        <v>5</v>
      </c>
    </row>
    <row r="299" spans="2:47" ht="14.25" hidden="1" customHeight="1" outlineLevel="1">
      <c r="B299" s="1738" t="s">
        <v>29</v>
      </c>
      <c r="C299" s="313" t="str">
        <f>input!C667</f>
        <v>Die-cutting (NIKKO 1050FH)</v>
      </c>
      <c r="D299" s="313">
        <f>input!D667</f>
        <v>17</v>
      </c>
      <c r="E299" s="363"/>
      <c r="F299" s="363" t="str">
        <f ca="1">input!F667</f>
        <v>N</v>
      </c>
      <c r="G299" s="363"/>
      <c r="H299" s="313">
        <f ca="1">IF(F299="PCS",$E$4,SUMIFS(Paper!$AC$7:$AC$58,Paper!$A$7:$A$58,'Production cost'!F299))</f>
        <v>0</v>
      </c>
      <c r="I299" s="313">
        <f ca="1">IF(input!$G667&gt;0,input!$G667,IF($C299=Data!$L$1158,500,3000))</f>
        <v>3000</v>
      </c>
      <c r="J299" s="313" t="str">
        <f>input!$H667</f>
        <v>Sheets</v>
      </c>
      <c r="K299" s="360">
        <f>IF($C299=Data!$L$1158,0,1/4)</f>
        <v>0.25</v>
      </c>
      <c r="L299" s="313">
        <f ca="1">IF(input!$I667&gt;0,input!$I667,2)</f>
        <v>2</v>
      </c>
      <c r="M299" s="391">
        <f ca="1">IF(H299&gt;0,SUMIF(Data!$L$1155:$L$1190,'Production cost'!$C299,Data!$Q$1155:$Q$1190)*SUMIF(Paper!$A$7:$A$70,'Production cost'!$F299,Paper!$J$7:$J$70),0)</f>
        <v>0</v>
      </c>
      <c r="N299" s="391">
        <f t="shared" ca="1" si="182"/>
        <v>0</v>
      </c>
      <c r="O299" s="313">
        <f>IF($C299=Data!$L$1158,0,Data!$N$1195)</f>
        <v>352574.32240985788</v>
      </c>
      <c r="P299" s="313">
        <f>SUMIF(Data!$L$1155:$L$1190,'Production cost'!$C299,Data!$N$1155:$N$1190)</f>
        <v>64593.240854333337</v>
      </c>
      <c r="Q299" s="313">
        <f t="shared" ca="1" si="197"/>
        <v>0</v>
      </c>
      <c r="R299" s="313">
        <f t="shared" ca="1" si="183"/>
        <v>0</v>
      </c>
      <c r="S299" s="1741">
        <f t="shared" ca="1" si="184"/>
        <v>0</v>
      </c>
      <c r="T299" s="313" t="str">
        <f ca="1">input!J667</f>
        <v>N</v>
      </c>
      <c r="V299" s="3115" t="str">
        <f>input!K667</f>
        <v>Packaging</v>
      </c>
      <c r="W299" s="3115">
        <f t="shared" ca="1" si="185"/>
        <v>0</v>
      </c>
      <c r="X299" s="3119">
        <f>VLOOKUP(V299,'Fix Cost'!$K$177:$M$179,2,0)</f>
        <v>58449.923860467366</v>
      </c>
      <c r="Y299" s="3119">
        <f>VLOOKUP(V299,'Fix Cost'!$K$177:$M$179,3,0)</f>
        <v>267411.04680782068</v>
      </c>
      <c r="Z299" s="3119">
        <f t="shared" ca="1" si="186"/>
        <v>0</v>
      </c>
      <c r="AA299" s="3115">
        <f t="shared" ca="1" si="187"/>
        <v>0</v>
      </c>
      <c r="AB299" s="3115">
        <f t="shared" ca="1" si="188"/>
        <v>0</v>
      </c>
      <c r="AK299" s="313"/>
      <c r="AL299" s="313"/>
      <c r="AM299" s="313"/>
      <c r="AO299" s="1055"/>
      <c r="AP299" s="385"/>
      <c r="AQ299" s="385"/>
      <c r="AR299" s="1048"/>
      <c r="AS299" s="385"/>
      <c r="AT299" s="879">
        <f t="shared" ca="1" si="164"/>
        <v>0</v>
      </c>
      <c r="AU299" s="879">
        <f ca="1">COUNTIFS(AT$7:$AT299,1)</f>
        <v>5</v>
      </c>
    </row>
    <row r="300" spans="2:47" ht="14.25" hidden="1" customHeight="1" outlineLevel="1">
      <c r="B300" s="1738" t="s">
        <v>29</v>
      </c>
      <c r="C300" s="313" t="str">
        <f>input!C668</f>
        <v>Die-cutting (NIKKO 1050FH)</v>
      </c>
      <c r="D300" s="313">
        <f>input!D668</f>
        <v>34</v>
      </c>
      <c r="E300" s="363"/>
      <c r="F300" s="363" t="str">
        <f ca="1">input!F668</f>
        <v>N</v>
      </c>
      <c r="G300" s="363"/>
      <c r="H300" s="313">
        <f ca="1">IF(F300="PCS",$E$4,SUMIFS(Paper!$AC$7:$AC$58,Paper!$A$7:$A$58,'Production cost'!F300))</f>
        <v>0</v>
      </c>
      <c r="I300" s="313">
        <f ca="1">IF(input!$G668&gt;0,input!$G668,IF($C300=Data!$L$1158,500,3000))</f>
        <v>3000</v>
      </c>
      <c r="J300" s="313" t="str">
        <f>input!$H668</f>
        <v>Sheets</v>
      </c>
      <c r="K300" s="360">
        <f>IF($C300=Data!$L$1158,0,1/4)</f>
        <v>0.25</v>
      </c>
      <c r="L300" s="313">
        <f ca="1">IF(input!$I668&gt;0,input!$I668,2)</f>
        <v>2</v>
      </c>
      <c r="M300" s="391">
        <f ca="1">IF(H300&gt;0,SUMIF(Data!$L$1155:$L$1190,'Production cost'!$C300,Data!$Q$1155:$Q$1190)*SUMIF(Paper!$A$7:$A$70,'Production cost'!$F300,Paper!$J$7:$J$70),0)</f>
        <v>0</v>
      </c>
      <c r="N300" s="391">
        <f t="shared" ca="1" si="182"/>
        <v>0</v>
      </c>
      <c r="O300" s="313">
        <f>IF($C300=Data!$L$1158,0,Data!$N$1195)</f>
        <v>352574.32240985788</v>
      </c>
      <c r="P300" s="313">
        <f>SUMIF(Data!$L$1155:$L$1190,'Production cost'!$C300,Data!$N$1155:$N$1190)</f>
        <v>64593.240854333337</v>
      </c>
      <c r="Q300" s="313">
        <f t="shared" ca="1" si="197"/>
        <v>0</v>
      </c>
      <c r="R300" s="313">
        <f t="shared" ca="1" si="183"/>
        <v>0</v>
      </c>
      <c r="S300" s="1741">
        <f t="shared" ca="1" si="184"/>
        <v>0</v>
      </c>
      <c r="T300" s="313" t="str">
        <f ca="1">input!J668</f>
        <v>N</v>
      </c>
      <c r="V300" s="3115" t="str">
        <f>input!K668</f>
        <v>Packaging</v>
      </c>
      <c r="W300" s="3115">
        <f t="shared" ca="1" si="185"/>
        <v>0</v>
      </c>
      <c r="X300" s="3119">
        <f>VLOOKUP(V300,'Fix Cost'!$K$177:$M$179,2,0)</f>
        <v>58449.923860467366</v>
      </c>
      <c r="Y300" s="3119">
        <f>VLOOKUP(V300,'Fix Cost'!$K$177:$M$179,3,0)</f>
        <v>267411.04680782068</v>
      </c>
      <c r="Z300" s="3119">
        <f t="shared" ca="1" si="186"/>
        <v>0</v>
      </c>
      <c r="AA300" s="3115">
        <f t="shared" ca="1" si="187"/>
        <v>0</v>
      </c>
      <c r="AB300" s="3115">
        <f t="shared" ca="1" si="188"/>
        <v>0</v>
      </c>
      <c r="AK300" s="313"/>
      <c r="AL300" s="313"/>
      <c r="AM300" s="313"/>
      <c r="AO300" s="1055"/>
      <c r="AP300" s="385"/>
      <c r="AQ300" s="385"/>
      <c r="AR300" s="1048"/>
      <c r="AS300" s="385"/>
      <c r="AT300" s="879">
        <f t="shared" ca="1" si="164"/>
        <v>0</v>
      </c>
      <c r="AU300" s="879">
        <f ca="1">COUNTIFS(AT$7:$AT300,1)</f>
        <v>5</v>
      </c>
    </row>
    <row r="301" spans="2:47" ht="14.25" hidden="1" customHeight="1" outlineLevel="1">
      <c r="B301" s="1738" t="s">
        <v>29</v>
      </c>
      <c r="C301" s="313" t="str">
        <f>input!C669</f>
        <v>Die-cutting (NIKKO 1050FH)</v>
      </c>
      <c r="D301" s="313">
        <f>input!D669</f>
        <v>51</v>
      </c>
      <c r="E301" s="363"/>
      <c r="F301" s="363" t="str">
        <f ca="1">input!F669</f>
        <v>N</v>
      </c>
      <c r="G301" s="363"/>
      <c r="H301" s="313">
        <f ca="1">IF(F301="PCS",$E$4,SUMIFS(Paper!$AC$7:$AC$58,Paper!$A$7:$A$58,'Production cost'!F301))</f>
        <v>0</v>
      </c>
      <c r="I301" s="313">
        <f ca="1">IF(input!$G669&gt;0,input!$G669,IF($C301=Data!$L$1158,500,3000))</f>
        <v>3000</v>
      </c>
      <c r="J301" s="313" t="str">
        <f>input!$H669</f>
        <v>Sheets</v>
      </c>
      <c r="K301" s="360">
        <f>IF($C301=Data!$L$1158,0,1/4)</f>
        <v>0.25</v>
      </c>
      <c r="L301" s="313">
        <f ca="1">IF(input!$I669&gt;0,input!$I669,2)</f>
        <v>2</v>
      </c>
      <c r="M301" s="391">
        <f ca="1">IF(H301&gt;0,SUMIF(Data!$L$1155:$L$1190,'Production cost'!$C301,Data!$Q$1155:$Q$1190)*SUMIF(Paper!$A$7:$A$70,'Production cost'!$F301,Paper!$J$7:$J$70),0)</f>
        <v>0</v>
      </c>
      <c r="N301" s="391">
        <f t="shared" ca="1" si="182"/>
        <v>0</v>
      </c>
      <c r="O301" s="313">
        <f>IF($C301=Data!$L$1158,0,Data!$N$1195)</f>
        <v>352574.32240985788</v>
      </c>
      <c r="P301" s="313">
        <f>SUMIF(Data!$L$1155:$L$1190,'Production cost'!$C301,Data!$N$1155:$N$1190)</f>
        <v>64593.240854333337</v>
      </c>
      <c r="Q301" s="313">
        <f t="shared" ca="1" si="197"/>
        <v>0</v>
      </c>
      <c r="R301" s="313">
        <f t="shared" ca="1" si="183"/>
        <v>0</v>
      </c>
      <c r="S301" s="1741">
        <f t="shared" ca="1" si="184"/>
        <v>0</v>
      </c>
      <c r="T301" s="313" t="str">
        <f ca="1">input!J669</f>
        <v>N</v>
      </c>
      <c r="V301" s="3115" t="str">
        <f>input!K669</f>
        <v>Packaging</v>
      </c>
      <c r="W301" s="3115">
        <f t="shared" ca="1" si="185"/>
        <v>0</v>
      </c>
      <c r="X301" s="3119">
        <f>VLOOKUP(V301,'Fix Cost'!$K$177:$M$179,2,0)</f>
        <v>58449.923860467366</v>
      </c>
      <c r="Y301" s="3119">
        <f>VLOOKUP(V301,'Fix Cost'!$K$177:$M$179,3,0)</f>
        <v>267411.04680782068</v>
      </c>
      <c r="Z301" s="3119">
        <f t="shared" ca="1" si="186"/>
        <v>0</v>
      </c>
      <c r="AA301" s="3115">
        <f t="shared" ca="1" si="187"/>
        <v>0</v>
      </c>
      <c r="AB301" s="3115">
        <f t="shared" ca="1" si="188"/>
        <v>0</v>
      </c>
      <c r="AK301" s="313"/>
      <c r="AL301" s="313"/>
      <c r="AM301" s="313"/>
      <c r="AO301" s="1055"/>
      <c r="AP301" s="385"/>
      <c r="AQ301" s="385"/>
      <c r="AR301" s="1048"/>
      <c r="AS301" s="385"/>
      <c r="AT301" s="879">
        <f t="shared" ca="1" si="164"/>
        <v>0</v>
      </c>
      <c r="AU301" s="879">
        <f ca="1">COUNTIFS(AT$7:$AT301,1)</f>
        <v>5</v>
      </c>
    </row>
    <row r="302" spans="2:47" ht="14.25" hidden="1" customHeight="1" outlineLevel="1">
      <c r="B302" s="1738" t="s">
        <v>29</v>
      </c>
      <c r="C302" s="313" t="str">
        <f>input!C670</f>
        <v>Die-cutting (NIKKO 1050FH)</v>
      </c>
      <c r="D302" s="313">
        <f>input!D670</f>
        <v>68</v>
      </c>
      <c r="E302" s="363"/>
      <c r="F302" s="363" t="str">
        <f ca="1">input!F670</f>
        <v>N</v>
      </c>
      <c r="G302" s="363"/>
      <c r="H302" s="313">
        <f ca="1">IF(F302="PCS",$E$4,SUMIFS(Paper!$AC$7:$AC$58,Paper!$A$7:$A$58,'Production cost'!F302))</f>
        <v>0</v>
      </c>
      <c r="I302" s="313">
        <f ca="1">IF(input!$G670&gt;0,input!$G670,IF($C302=Data!$L$1158,500,3000))</f>
        <v>3000</v>
      </c>
      <c r="J302" s="313" t="str">
        <f>input!$H670</f>
        <v>Sheets</v>
      </c>
      <c r="K302" s="360">
        <f>IF($C302=Data!$L$1158,0,1/4)</f>
        <v>0.25</v>
      </c>
      <c r="L302" s="313">
        <f ca="1">IF(input!$I670&gt;0,input!$I670,2)</f>
        <v>2</v>
      </c>
      <c r="M302" s="391">
        <f ca="1">IF(H302&gt;0,SUMIF(Data!$L$1155:$L$1190,'Production cost'!$C302,Data!$Q$1155:$Q$1190)*SUMIF(Paper!$A$7:$A$70,'Production cost'!$F302,Paper!$J$7:$J$70),0)</f>
        <v>0</v>
      </c>
      <c r="N302" s="391">
        <f t="shared" ca="1" si="182"/>
        <v>0</v>
      </c>
      <c r="O302" s="313">
        <f>IF($C302=Data!$L$1158,0,Data!$N$1195)</f>
        <v>352574.32240985788</v>
      </c>
      <c r="P302" s="313">
        <f>SUMIF(Data!$L$1155:$L$1190,'Production cost'!$C302,Data!$N$1155:$N$1190)</f>
        <v>64593.240854333337</v>
      </c>
      <c r="Q302" s="313">
        <f t="shared" ca="1" si="197"/>
        <v>0</v>
      </c>
      <c r="R302" s="313">
        <f t="shared" ca="1" si="183"/>
        <v>0</v>
      </c>
      <c r="S302" s="1741">
        <f t="shared" ca="1" si="184"/>
        <v>0</v>
      </c>
      <c r="T302" s="313" t="str">
        <f ca="1">input!J670</f>
        <v>N</v>
      </c>
      <c r="V302" s="3115" t="str">
        <f>input!K670</f>
        <v>Packaging</v>
      </c>
      <c r="W302" s="3115">
        <f t="shared" ca="1" si="185"/>
        <v>0</v>
      </c>
      <c r="X302" s="3119">
        <f>VLOOKUP(V302,'Fix Cost'!$K$177:$M$179,2,0)</f>
        <v>58449.923860467366</v>
      </c>
      <c r="Y302" s="3119">
        <f>VLOOKUP(V302,'Fix Cost'!$K$177:$M$179,3,0)</f>
        <v>267411.04680782068</v>
      </c>
      <c r="Z302" s="3119">
        <f t="shared" ca="1" si="186"/>
        <v>0</v>
      </c>
      <c r="AA302" s="3115">
        <f t="shared" ca="1" si="187"/>
        <v>0</v>
      </c>
      <c r="AB302" s="3115">
        <f t="shared" ca="1" si="188"/>
        <v>0</v>
      </c>
      <c r="AK302" s="313"/>
      <c r="AL302" s="313"/>
      <c r="AM302" s="313"/>
      <c r="AO302" s="1055"/>
      <c r="AP302" s="385"/>
      <c r="AQ302" s="385"/>
      <c r="AR302" s="1048"/>
      <c r="AS302" s="385"/>
      <c r="AT302" s="879">
        <f t="shared" ca="1" si="164"/>
        <v>0</v>
      </c>
      <c r="AU302" s="879">
        <f ca="1">COUNTIFS(AT$7:$AT302,1)</f>
        <v>5</v>
      </c>
    </row>
    <row r="303" spans="2:47" ht="14.25" hidden="1" customHeight="1" outlineLevel="1">
      <c r="B303" s="1738" t="s">
        <v>29</v>
      </c>
      <c r="C303" s="313" t="str">
        <f>input!C671</f>
        <v>Die-cutting (NIKKO 1050FH)</v>
      </c>
      <c r="D303" s="313">
        <f>input!D671</f>
        <v>85</v>
      </c>
      <c r="E303" s="363"/>
      <c r="F303" s="363" t="str">
        <f ca="1">input!F671</f>
        <v>N</v>
      </c>
      <c r="G303" s="363"/>
      <c r="H303" s="313">
        <f ca="1">IF(F303="PCS",$E$4,SUMIFS(Paper!$AC$7:$AC$58,Paper!$A$7:$A$58,'Production cost'!F303))</f>
        <v>0</v>
      </c>
      <c r="I303" s="313">
        <f ca="1">IF(input!$G671&gt;0,input!$G671,IF($C303=Data!$L$1158,500,3000))</f>
        <v>3000</v>
      </c>
      <c r="J303" s="313" t="str">
        <f>input!$H671</f>
        <v>Sheets</v>
      </c>
      <c r="K303" s="360">
        <f>IF($C303=Data!$L$1158,0,1/4)</f>
        <v>0.25</v>
      </c>
      <c r="L303" s="313">
        <f ca="1">IF(input!$I671&gt;0,input!$I671,2)</f>
        <v>2</v>
      </c>
      <c r="M303" s="391">
        <f ca="1">IF(H303&gt;0,SUMIF(Data!$L$1155:$L$1190,'Production cost'!$C303,Data!$Q$1155:$Q$1190)*SUMIF(Paper!$A$7:$A$70,'Production cost'!$F303,Paper!$J$7:$J$70),0)</f>
        <v>0</v>
      </c>
      <c r="N303" s="391">
        <f t="shared" ca="1" si="182"/>
        <v>0</v>
      </c>
      <c r="O303" s="313">
        <f>IF($C303=Data!$L$1158,0,Data!$N$1195)</f>
        <v>352574.32240985788</v>
      </c>
      <c r="P303" s="313">
        <f>SUMIF(Data!$L$1155:$L$1190,'Production cost'!$C303,Data!$N$1155:$N$1190)</f>
        <v>64593.240854333337</v>
      </c>
      <c r="Q303" s="313">
        <f t="shared" ca="1" si="197"/>
        <v>0</v>
      </c>
      <c r="R303" s="313">
        <f t="shared" ca="1" si="183"/>
        <v>0</v>
      </c>
      <c r="S303" s="1741">
        <f t="shared" ca="1" si="184"/>
        <v>0</v>
      </c>
      <c r="T303" s="313" t="str">
        <f ca="1">input!J671</f>
        <v>N</v>
      </c>
      <c r="V303" s="3115" t="str">
        <f>input!K671</f>
        <v>Packaging</v>
      </c>
      <c r="W303" s="3115">
        <f t="shared" ca="1" si="185"/>
        <v>0</v>
      </c>
      <c r="X303" s="3119">
        <f>VLOOKUP(V303,'Fix Cost'!$K$177:$M$179,2,0)</f>
        <v>58449.923860467366</v>
      </c>
      <c r="Y303" s="3119">
        <f>VLOOKUP(V303,'Fix Cost'!$K$177:$M$179,3,0)</f>
        <v>267411.04680782068</v>
      </c>
      <c r="Z303" s="3119">
        <f t="shared" ca="1" si="186"/>
        <v>0</v>
      </c>
      <c r="AA303" s="3115">
        <f t="shared" ca="1" si="187"/>
        <v>0</v>
      </c>
      <c r="AB303" s="3115">
        <f t="shared" ca="1" si="188"/>
        <v>0</v>
      </c>
      <c r="AK303" s="313"/>
      <c r="AL303" s="313"/>
      <c r="AM303" s="313"/>
      <c r="AO303" s="1055"/>
      <c r="AP303" s="385"/>
      <c r="AQ303" s="385"/>
      <c r="AR303" s="1048"/>
      <c r="AS303" s="385"/>
      <c r="AT303" s="879">
        <f t="shared" ca="1" si="164"/>
        <v>0</v>
      </c>
      <c r="AU303" s="879">
        <f ca="1">COUNTIFS(AT$7:$AT303,1)</f>
        <v>5</v>
      </c>
    </row>
    <row r="304" spans="2:47" ht="14.25" hidden="1" customHeight="1" outlineLevel="1">
      <c r="B304" s="1738" t="s">
        <v>29</v>
      </c>
      <c r="C304" s="313" t="str">
        <f>input!C672</f>
        <v>Die-cutting (NIKKO 1050FH)</v>
      </c>
      <c r="D304" s="313">
        <f>input!D672</f>
        <v>102</v>
      </c>
      <c r="E304" s="363"/>
      <c r="F304" s="363" t="str">
        <f ca="1">input!F672</f>
        <v>N</v>
      </c>
      <c r="G304" s="363"/>
      <c r="H304" s="313">
        <f ca="1">IF(F304="PCS",$E$4,SUMIFS(Paper!$AC$7:$AC$58,Paper!$A$7:$A$58,'Production cost'!F304))</f>
        <v>0</v>
      </c>
      <c r="I304" s="313">
        <f ca="1">IF(input!$G672&gt;0,input!$G672,IF($C304=Data!$L$1158,500,3000))</f>
        <v>3000</v>
      </c>
      <c r="J304" s="313" t="str">
        <f>input!$H672</f>
        <v>Sheets</v>
      </c>
      <c r="K304" s="360">
        <f>IF($C304=Data!$L$1158,0,1/4)</f>
        <v>0.25</v>
      </c>
      <c r="L304" s="313">
        <f ca="1">IF(input!$I672&gt;0,input!$I672,2)</f>
        <v>2</v>
      </c>
      <c r="M304" s="391">
        <f ca="1">IF(H304&gt;0,SUMIF(Data!$L$1155:$L$1190,'Production cost'!$C304,Data!$Q$1155:$Q$1190)*SUMIF(Paper!$A$7:$A$70,'Production cost'!$F304,Paper!$J$7:$J$70),0)</f>
        <v>0</v>
      </c>
      <c r="N304" s="391">
        <f t="shared" ca="1" si="182"/>
        <v>0</v>
      </c>
      <c r="O304" s="313">
        <f>IF($C304=Data!$L$1158,0,Data!$N$1195)</f>
        <v>352574.32240985788</v>
      </c>
      <c r="P304" s="313">
        <f>SUMIF(Data!$L$1155:$L$1190,'Production cost'!$C304,Data!$N$1155:$N$1190)</f>
        <v>64593.240854333337</v>
      </c>
      <c r="Q304" s="313">
        <f t="shared" ca="1" si="197"/>
        <v>0</v>
      </c>
      <c r="R304" s="313">
        <f t="shared" ca="1" si="183"/>
        <v>0</v>
      </c>
      <c r="S304" s="1741">
        <f t="shared" ca="1" si="184"/>
        <v>0</v>
      </c>
      <c r="T304" s="313" t="str">
        <f ca="1">input!J672</f>
        <v>N</v>
      </c>
      <c r="V304" s="3115" t="str">
        <f>input!K672</f>
        <v>Packaging</v>
      </c>
      <c r="W304" s="3115">
        <f t="shared" ca="1" si="185"/>
        <v>0</v>
      </c>
      <c r="X304" s="3119">
        <f>VLOOKUP(V304,'Fix Cost'!$K$177:$M$179,2,0)</f>
        <v>58449.923860467366</v>
      </c>
      <c r="Y304" s="3119">
        <f>VLOOKUP(V304,'Fix Cost'!$K$177:$M$179,3,0)</f>
        <v>267411.04680782068</v>
      </c>
      <c r="Z304" s="3119">
        <f t="shared" ca="1" si="186"/>
        <v>0</v>
      </c>
      <c r="AA304" s="3115">
        <f t="shared" ca="1" si="187"/>
        <v>0</v>
      </c>
      <c r="AB304" s="3115">
        <f t="shared" ca="1" si="188"/>
        <v>0</v>
      </c>
      <c r="AK304" s="313"/>
      <c r="AL304" s="313"/>
      <c r="AM304" s="313"/>
      <c r="AO304" s="1055"/>
      <c r="AP304" s="385"/>
      <c r="AQ304" s="385"/>
      <c r="AR304" s="1048"/>
      <c r="AS304" s="385"/>
      <c r="AT304" s="879">
        <f t="shared" ca="1" si="164"/>
        <v>0</v>
      </c>
      <c r="AU304" s="879">
        <f ca="1">COUNTIFS(AT$7:$AT304,1)</f>
        <v>5</v>
      </c>
    </row>
    <row r="305" spans="2:47" ht="14.25" hidden="1" customHeight="1" outlineLevel="1">
      <c r="B305" s="1738" t="s">
        <v>29</v>
      </c>
      <c r="C305" s="313" t="str">
        <f>input!C673</f>
        <v>Die-cutting (NIKKO 1050FH)</v>
      </c>
      <c r="D305" s="313">
        <f>input!D673</f>
        <v>119</v>
      </c>
      <c r="E305" s="363"/>
      <c r="F305" s="363" t="str">
        <f ca="1">input!F673</f>
        <v>N</v>
      </c>
      <c r="G305" s="363"/>
      <c r="H305" s="313">
        <f ca="1">IF(F305="PCS",$E$4,SUMIFS(Paper!$AC$7:$AC$58,Paper!$A$7:$A$58,'Production cost'!F305))</f>
        <v>0</v>
      </c>
      <c r="I305" s="313">
        <f ca="1">IF(input!$G673&gt;0,input!$G673,IF($C305=Data!$L$1158,500,3000))</f>
        <v>3000</v>
      </c>
      <c r="J305" s="313" t="str">
        <f>input!$H673</f>
        <v>Sheets</v>
      </c>
      <c r="K305" s="360">
        <f>IF($C305=Data!$L$1158,0,1/4)</f>
        <v>0.25</v>
      </c>
      <c r="L305" s="313">
        <f ca="1">IF(input!$I673&gt;0,input!$I673,2)</f>
        <v>2</v>
      </c>
      <c r="M305" s="391">
        <f ca="1">IF(H305&gt;0,SUMIF(Data!$L$1155:$L$1190,'Production cost'!$C305,Data!$Q$1155:$Q$1190)*SUMIF(Paper!$A$7:$A$70,'Production cost'!$F305,Paper!$J$7:$J$70),0)</f>
        <v>0</v>
      </c>
      <c r="N305" s="391">
        <f t="shared" ca="1" si="182"/>
        <v>0</v>
      </c>
      <c r="O305" s="313">
        <f>IF($C305=Data!$L$1158,0,Data!$N$1195)</f>
        <v>352574.32240985788</v>
      </c>
      <c r="P305" s="313">
        <f>SUMIF(Data!$L$1155:$L$1190,'Production cost'!$C305,Data!$N$1155:$N$1190)</f>
        <v>64593.240854333337</v>
      </c>
      <c r="Q305" s="313">
        <f t="shared" ca="1" si="197"/>
        <v>0</v>
      </c>
      <c r="R305" s="313">
        <f t="shared" ca="1" si="183"/>
        <v>0</v>
      </c>
      <c r="S305" s="1741">
        <f t="shared" ca="1" si="184"/>
        <v>0</v>
      </c>
      <c r="T305" s="313" t="str">
        <f ca="1">input!J673</f>
        <v>N</v>
      </c>
      <c r="V305" s="3115" t="str">
        <f>input!K673</f>
        <v>Packaging</v>
      </c>
      <c r="W305" s="3115">
        <f t="shared" ca="1" si="185"/>
        <v>0</v>
      </c>
      <c r="X305" s="3119">
        <f>VLOOKUP(V305,'Fix Cost'!$K$177:$M$179,2,0)</f>
        <v>58449.923860467366</v>
      </c>
      <c r="Y305" s="3119">
        <f>VLOOKUP(V305,'Fix Cost'!$K$177:$M$179,3,0)</f>
        <v>267411.04680782068</v>
      </c>
      <c r="Z305" s="3119">
        <f t="shared" ca="1" si="186"/>
        <v>0</v>
      </c>
      <c r="AA305" s="3115">
        <f t="shared" ca="1" si="187"/>
        <v>0</v>
      </c>
      <c r="AB305" s="3115">
        <f t="shared" ca="1" si="188"/>
        <v>0</v>
      </c>
      <c r="AK305" s="313"/>
      <c r="AL305" s="313"/>
      <c r="AM305" s="313"/>
      <c r="AO305" s="1055"/>
      <c r="AP305" s="385"/>
      <c r="AQ305" s="385"/>
      <c r="AR305" s="1048"/>
      <c r="AS305" s="385"/>
      <c r="AT305" s="879">
        <f t="shared" ca="1" si="164"/>
        <v>0</v>
      </c>
      <c r="AU305" s="879">
        <f ca="1">COUNTIFS(AT$7:$AT305,1)</f>
        <v>5</v>
      </c>
    </row>
    <row r="306" spans="2:47" ht="14.25" hidden="1" customHeight="1" outlineLevel="1">
      <c r="B306" s="1738" t="s">
        <v>29</v>
      </c>
      <c r="C306" s="313" t="str">
        <f>input!C674</f>
        <v>Die-cutting (NIKKO 1050FH)</v>
      </c>
      <c r="D306" s="313">
        <f>input!D674</f>
        <v>136</v>
      </c>
      <c r="E306" s="363"/>
      <c r="F306" s="363" t="str">
        <f ca="1">input!F674</f>
        <v>N</v>
      </c>
      <c r="G306" s="363"/>
      <c r="H306" s="313">
        <f ca="1">IF(F306="PCS",$E$4,SUMIFS(Paper!$AC$7:$AC$58,Paper!$A$7:$A$58,'Production cost'!F306))</f>
        <v>0</v>
      </c>
      <c r="I306" s="313">
        <f ca="1">IF(input!$G674&gt;0,input!$G674,IF($C306=Data!$L$1158,500,3000))</f>
        <v>3000</v>
      </c>
      <c r="J306" s="313" t="str">
        <f>input!$H674</f>
        <v>Sheets</v>
      </c>
      <c r="K306" s="360">
        <f>IF($C306=Data!$L$1158,0,1/4)</f>
        <v>0.25</v>
      </c>
      <c r="L306" s="313">
        <f ca="1">IF(input!$I674&gt;0,input!$I674,2)</f>
        <v>2</v>
      </c>
      <c r="M306" s="391">
        <f ca="1">IF(H306&gt;0,SUMIF(Data!$L$1155:$L$1190,'Production cost'!$C306,Data!$Q$1155:$Q$1190)*SUMIF(Paper!$A$7:$A$70,'Production cost'!$F306,Paper!$J$7:$J$70),0)</f>
        <v>0</v>
      </c>
      <c r="N306" s="391">
        <f t="shared" ca="1" si="182"/>
        <v>0</v>
      </c>
      <c r="O306" s="313">
        <f>IF($C306=Data!$L$1158,0,Data!$N$1195)</f>
        <v>352574.32240985788</v>
      </c>
      <c r="P306" s="313">
        <f>SUMIF(Data!$L$1155:$L$1190,'Production cost'!$C306,Data!$N$1155:$N$1190)</f>
        <v>64593.240854333337</v>
      </c>
      <c r="Q306" s="313">
        <f t="shared" ca="1" si="197"/>
        <v>0</v>
      </c>
      <c r="R306" s="313">
        <f t="shared" ca="1" si="183"/>
        <v>0</v>
      </c>
      <c r="S306" s="1741">
        <f t="shared" ca="1" si="184"/>
        <v>0</v>
      </c>
      <c r="T306" s="313" t="str">
        <f ca="1">input!J674</f>
        <v>N</v>
      </c>
      <c r="V306" s="3115" t="str">
        <f>input!K674</f>
        <v>Packaging</v>
      </c>
      <c r="W306" s="3115">
        <f t="shared" ca="1" si="185"/>
        <v>0</v>
      </c>
      <c r="X306" s="3119">
        <f>VLOOKUP(V306,'Fix Cost'!$K$177:$M$179,2,0)</f>
        <v>58449.923860467366</v>
      </c>
      <c r="Y306" s="3119">
        <f>VLOOKUP(V306,'Fix Cost'!$K$177:$M$179,3,0)</f>
        <v>267411.04680782068</v>
      </c>
      <c r="Z306" s="3119">
        <f t="shared" ca="1" si="186"/>
        <v>0</v>
      </c>
      <c r="AA306" s="3115">
        <f t="shared" ca="1" si="187"/>
        <v>0</v>
      </c>
      <c r="AB306" s="3115">
        <f t="shared" ca="1" si="188"/>
        <v>0</v>
      </c>
      <c r="AK306" s="313"/>
      <c r="AL306" s="313"/>
      <c r="AM306" s="313"/>
      <c r="AO306" s="1055"/>
      <c r="AP306" s="385"/>
      <c r="AQ306" s="385"/>
      <c r="AR306" s="1048"/>
      <c r="AS306" s="385"/>
      <c r="AT306" s="879">
        <f t="shared" ca="1" si="164"/>
        <v>0</v>
      </c>
      <c r="AU306" s="879">
        <f ca="1">COUNTIFS(AT$7:$AT306,1)</f>
        <v>5</v>
      </c>
    </row>
    <row r="307" spans="2:47" ht="14.25" hidden="1" customHeight="1" outlineLevel="1">
      <c r="B307" s="1738" t="s">
        <v>29</v>
      </c>
      <c r="C307" s="313" t="str">
        <f>input!C675</f>
        <v>Die-cutting (NIKKO 1050FH)</v>
      </c>
      <c r="D307" s="313">
        <f>input!D675</f>
        <v>153</v>
      </c>
      <c r="E307" s="363"/>
      <c r="F307" s="363" t="str">
        <f ca="1">input!F675</f>
        <v>N</v>
      </c>
      <c r="G307" s="363"/>
      <c r="H307" s="313">
        <f ca="1">IF(F307="PCS",$E$4,SUMIFS(Paper!$AC$7:$AC$58,Paper!$A$7:$A$58,'Production cost'!F307))</f>
        <v>0</v>
      </c>
      <c r="I307" s="313">
        <f ca="1">IF(input!$G675&gt;0,input!$G675,IF($C307=Data!$L$1158,500,3000))</f>
        <v>3000</v>
      </c>
      <c r="J307" s="313" t="str">
        <f>input!$H675</f>
        <v>Sheets</v>
      </c>
      <c r="K307" s="360">
        <f>IF($C307=Data!$L$1158,0,1/4)</f>
        <v>0.25</v>
      </c>
      <c r="L307" s="313">
        <f ca="1">IF(input!$I675&gt;0,input!$I675,2)</f>
        <v>2</v>
      </c>
      <c r="M307" s="391">
        <f ca="1">IF(H307&gt;0,SUMIF(Data!$L$1155:$L$1190,'Production cost'!$C307,Data!$Q$1155:$Q$1190)*SUMIF(Paper!$A$7:$A$70,'Production cost'!$F307,Paper!$J$7:$J$70),0)</f>
        <v>0</v>
      </c>
      <c r="N307" s="391">
        <f t="shared" ca="1" si="182"/>
        <v>0</v>
      </c>
      <c r="O307" s="313">
        <f>IF($C307=Data!$L$1158,0,Data!$N$1195)</f>
        <v>352574.32240985788</v>
      </c>
      <c r="P307" s="313">
        <f>SUMIF(Data!$L$1155:$L$1190,'Production cost'!$C307,Data!$N$1155:$N$1190)</f>
        <v>64593.240854333337</v>
      </c>
      <c r="Q307" s="313">
        <f t="shared" ca="1" si="197"/>
        <v>0</v>
      </c>
      <c r="R307" s="313">
        <f t="shared" ca="1" si="183"/>
        <v>0</v>
      </c>
      <c r="S307" s="1741">
        <f t="shared" ca="1" si="184"/>
        <v>0</v>
      </c>
      <c r="T307" s="313" t="str">
        <f ca="1">input!J675</f>
        <v>N</v>
      </c>
      <c r="V307" s="3115" t="str">
        <f>input!K675</f>
        <v>Packaging</v>
      </c>
      <c r="W307" s="3115">
        <f t="shared" ca="1" si="185"/>
        <v>0</v>
      </c>
      <c r="X307" s="3119">
        <f>VLOOKUP(V307,'Fix Cost'!$K$177:$M$179,2,0)</f>
        <v>58449.923860467366</v>
      </c>
      <c r="Y307" s="3119">
        <f>VLOOKUP(V307,'Fix Cost'!$K$177:$M$179,3,0)</f>
        <v>267411.04680782068</v>
      </c>
      <c r="Z307" s="3119">
        <f t="shared" ca="1" si="186"/>
        <v>0</v>
      </c>
      <c r="AA307" s="3115">
        <f t="shared" ca="1" si="187"/>
        <v>0</v>
      </c>
      <c r="AB307" s="3115">
        <f t="shared" ca="1" si="188"/>
        <v>0</v>
      </c>
      <c r="AK307" s="313"/>
      <c r="AL307" s="313"/>
      <c r="AM307" s="313"/>
      <c r="AO307" s="1055"/>
      <c r="AP307" s="385"/>
      <c r="AQ307" s="385"/>
      <c r="AR307" s="1048"/>
      <c r="AS307" s="385"/>
      <c r="AT307" s="879">
        <f t="shared" ca="1" si="164"/>
        <v>0</v>
      </c>
      <c r="AU307" s="879">
        <f ca="1">COUNTIFS(AT$7:$AT307,1)</f>
        <v>5</v>
      </c>
    </row>
    <row r="308" spans="2:47" ht="14.25" hidden="1" customHeight="1" outlineLevel="1">
      <c r="B308" s="1738" t="s">
        <v>29</v>
      </c>
      <c r="C308" s="313" t="str">
        <f>input!C676</f>
        <v>Die-cutting (NIKKO 1050FH)</v>
      </c>
      <c r="D308" s="313">
        <f>input!D676</f>
        <v>170</v>
      </c>
      <c r="E308" s="363"/>
      <c r="F308" s="363" t="str">
        <f ca="1">input!F676</f>
        <v>N</v>
      </c>
      <c r="G308" s="363"/>
      <c r="H308" s="313">
        <f ca="1">IF(F308="PCS",$E$4,SUMIFS(Paper!$AC$7:$AC$58,Paper!$A$7:$A$58,'Production cost'!F308))</f>
        <v>0</v>
      </c>
      <c r="I308" s="313">
        <f ca="1">IF(input!$G676&gt;0,input!$G676,IF($C308=Data!$L$1158,500,3000))</f>
        <v>3000</v>
      </c>
      <c r="J308" s="313" t="str">
        <f>input!$H676</f>
        <v>Sheets</v>
      </c>
      <c r="K308" s="360">
        <f>IF($C308=Data!$L$1158,0,1/4)</f>
        <v>0.25</v>
      </c>
      <c r="L308" s="313">
        <f ca="1">IF(input!$I676&gt;0,input!$I676,2)</f>
        <v>2</v>
      </c>
      <c r="M308" s="391">
        <f ca="1">IF(H308&gt;0,SUMIF(Data!$L$1155:$L$1190,'Production cost'!$C308,Data!$Q$1155:$Q$1190)*SUMIF(Paper!$A$7:$A$70,'Production cost'!$F308,Paper!$J$7:$J$70),0)</f>
        <v>0</v>
      </c>
      <c r="N308" s="391">
        <f t="shared" ref="N308:N312" ca="1" si="198">IF(H308&gt;0,ROUNDUP(((H308/I308)/$M$5+M308),1),0)</f>
        <v>0</v>
      </c>
      <c r="O308" s="313">
        <f>IF($C308=Data!$L$1158,0,Data!$N$1195)</f>
        <v>352574.32240985788</v>
      </c>
      <c r="P308" s="313">
        <f>SUMIF(Data!$L$1155:$L$1190,'Production cost'!$C308,Data!$N$1155:$N$1190)</f>
        <v>64593.240854333337</v>
      </c>
      <c r="Q308" s="313">
        <f t="shared" ca="1" si="197"/>
        <v>0</v>
      </c>
      <c r="R308" s="313">
        <f t="shared" ref="R308:R312" ca="1" si="199">IF($E$2&gt;0,Q308/$E$2,0)</f>
        <v>0</v>
      </c>
      <c r="S308" s="1741">
        <f t="shared" ref="S308:S312" ca="1" si="200">IF(M308&gt;0,K308*O308+L308*P308,0)</f>
        <v>0</v>
      </c>
      <c r="T308" s="313" t="str">
        <f ca="1">input!J676</f>
        <v>N</v>
      </c>
      <c r="V308" s="3115" t="str">
        <f>input!K676</f>
        <v>Packaging</v>
      </c>
      <c r="W308" s="3115">
        <f t="shared" ref="W308:W312" ca="1" si="201">N308*(L308+K308)</f>
        <v>0</v>
      </c>
      <c r="X308" s="3119">
        <f>VLOOKUP(V308,'Fix Cost'!$K$177:$M$179,2,0)</f>
        <v>58449.923860467366</v>
      </c>
      <c r="Y308" s="3119">
        <f>VLOOKUP(V308,'Fix Cost'!$K$177:$M$179,3,0)</f>
        <v>267411.04680782068</v>
      </c>
      <c r="Z308" s="3119">
        <f t="shared" ref="Z308:Z312" ca="1" si="202">IFERROR($X308*W308,0)</f>
        <v>0</v>
      </c>
      <c r="AA308" s="3115">
        <f t="shared" ref="AA308:AA312" ca="1" si="203">IFERROR(Y308*N308,0)</f>
        <v>0</v>
      </c>
      <c r="AB308" s="3115">
        <f t="shared" ref="AB308:AB312" ca="1" si="204">Z308+AA308</f>
        <v>0</v>
      </c>
      <c r="AK308" s="313"/>
      <c r="AL308" s="313"/>
      <c r="AM308" s="313"/>
      <c r="AO308" s="1055"/>
      <c r="AP308" s="385"/>
      <c r="AQ308" s="385"/>
      <c r="AR308" s="1048"/>
      <c r="AS308" s="385"/>
      <c r="AT308" s="879">
        <f t="shared" ca="1" si="164"/>
        <v>0</v>
      </c>
      <c r="AU308" s="879">
        <f ca="1">COUNTIFS(AT$7:$AT308,1)</f>
        <v>5</v>
      </c>
    </row>
    <row r="309" spans="2:47" ht="14.25" hidden="1" customHeight="1" outlineLevel="1">
      <c r="B309" s="1738" t="s">
        <v>29</v>
      </c>
      <c r="C309" s="313" t="str">
        <f>input!C677</f>
        <v>Die-cutting (NIKKO 1050FH)</v>
      </c>
      <c r="D309" s="313">
        <f>input!D677</f>
        <v>187</v>
      </c>
      <c r="E309" s="363"/>
      <c r="F309" s="363" t="str">
        <f ca="1">input!F677</f>
        <v>N</v>
      </c>
      <c r="G309" s="363"/>
      <c r="H309" s="313">
        <f ca="1">IF(F309="PCS",$E$4,SUMIFS(Paper!$AC$7:$AC$58,Paper!$A$7:$A$58,'Production cost'!F309))</f>
        <v>0</v>
      </c>
      <c r="I309" s="313">
        <f ca="1">IF(input!$G677&gt;0,input!$G677,IF($C309=Data!$L$1158,500,3000))</f>
        <v>3000</v>
      </c>
      <c r="J309" s="313" t="str">
        <f>input!$H677</f>
        <v>Sheets</v>
      </c>
      <c r="K309" s="360">
        <f>IF($C309=Data!$L$1158,0,1/4)</f>
        <v>0.25</v>
      </c>
      <c r="L309" s="313">
        <f ca="1">IF(input!$I677&gt;0,input!$I677,2)</f>
        <v>2</v>
      </c>
      <c r="M309" s="391">
        <f ca="1">IF(H309&gt;0,SUMIF(Data!$L$1155:$L$1190,'Production cost'!$C309,Data!$Q$1155:$Q$1190)*SUMIF(Paper!$A$7:$A$70,'Production cost'!$F309,Paper!$J$7:$J$70),0)</f>
        <v>0</v>
      </c>
      <c r="N309" s="391">
        <f t="shared" ca="1" si="198"/>
        <v>0</v>
      </c>
      <c r="O309" s="313">
        <f>IF($C309=Data!$L$1158,0,Data!$N$1195)</f>
        <v>352574.32240985788</v>
      </c>
      <c r="P309" s="313">
        <f>SUMIF(Data!$L$1155:$L$1190,'Production cost'!$C309,Data!$N$1155:$N$1190)</f>
        <v>64593.240854333337</v>
      </c>
      <c r="Q309" s="313">
        <f t="shared" ca="1" si="197"/>
        <v>0</v>
      </c>
      <c r="R309" s="313">
        <f t="shared" ca="1" si="199"/>
        <v>0</v>
      </c>
      <c r="S309" s="1741">
        <f t="shared" ca="1" si="200"/>
        <v>0</v>
      </c>
      <c r="T309" s="313" t="str">
        <f ca="1">input!J677</f>
        <v>N</v>
      </c>
      <c r="V309" s="3115" t="str">
        <f>input!K677</f>
        <v>Packaging</v>
      </c>
      <c r="W309" s="3115">
        <f t="shared" ca="1" si="201"/>
        <v>0</v>
      </c>
      <c r="X309" s="3119">
        <f>VLOOKUP(V309,'Fix Cost'!$K$177:$M$179,2,0)</f>
        <v>58449.923860467366</v>
      </c>
      <c r="Y309" s="3119">
        <f>VLOOKUP(V309,'Fix Cost'!$K$177:$M$179,3,0)</f>
        <v>267411.04680782068</v>
      </c>
      <c r="Z309" s="3119">
        <f t="shared" ca="1" si="202"/>
        <v>0</v>
      </c>
      <c r="AA309" s="3115">
        <f t="shared" ca="1" si="203"/>
        <v>0</v>
      </c>
      <c r="AB309" s="3115">
        <f t="shared" ca="1" si="204"/>
        <v>0</v>
      </c>
      <c r="AK309" s="313"/>
      <c r="AL309" s="313"/>
      <c r="AM309" s="313"/>
      <c r="AO309" s="1055"/>
      <c r="AP309" s="385"/>
      <c r="AQ309" s="385"/>
      <c r="AR309" s="1048"/>
      <c r="AS309" s="385"/>
      <c r="AT309" s="879">
        <f t="shared" ca="1" si="164"/>
        <v>0</v>
      </c>
      <c r="AU309" s="879">
        <f ca="1">COUNTIFS(AT$7:$AT309,1)</f>
        <v>5</v>
      </c>
    </row>
    <row r="310" spans="2:47" ht="14.25" hidden="1" customHeight="1" outlineLevel="1">
      <c r="B310" s="1738" t="s">
        <v>29</v>
      </c>
      <c r="C310" s="313" t="str">
        <f>input!C678</f>
        <v>Die-cutting (NIKKO 1050FH)</v>
      </c>
      <c r="D310" s="313">
        <f>input!D678</f>
        <v>204</v>
      </c>
      <c r="E310" s="363"/>
      <c r="F310" s="363" t="str">
        <f ca="1">input!F678</f>
        <v>N</v>
      </c>
      <c r="G310" s="363"/>
      <c r="H310" s="313">
        <f ca="1">IF(F310="PCS",$E$4,SUMIFS(Paper!$AC$7:$AC$58,Paper!$A$7:$A$58,'Production cost'!F310))</f>
        <v>0</v>
      </c>
      <c r="I310" s="313">
        <f ca="1">IF(input!$G678&gt;0,input!$G678,IF($C310=Data!$L$1158,500,3000))</f>
        <v>3000</v>
      </c>
      <c r="J310" s="313" t="str">
        <f>input!$H678</f>
        <v>Sheets</v>
      </c>
      <c r="K310" s="360">
        <f>IF($C310=Data!$L$1158,0,1/4)</f>
        <v>0.25</v>
      </c>
      <c r="L310" s="313">
        <f ca="1">IF(input!$I678&gt;0,input!$I678,2)</f>
        <v>2</v>
      </c>
      <c r="M310" s="391">
        <f ca="1">IF(H310&gt;0,SUMIF(Data!$L$1155:$L$1190,'Production cost'!$C310,Data!$Q$1155:$Q$1190)*SUMIF(Paper!$A$7:$A$70,'Production cost'!$F310,Paper!$J$7:$J$70),0)</f>
        <v>0</v>
      </c>
      <c r="N310" s="391">
        <f t="shared" ca="1" si="198"/>
        <v>0</v>
      </c>
      <c r="O310" s="313">
        <f>IF($C310=Data!$L$1158,0,Data!$N$1195)</f>
        <v>352574.32240985788</v>
      </c>
      <c r="P310" s="313">
        <f>SUMIF(Data!$L$1155:$L$1190,'Production cost'!$C310,Data!$N$1155:$N$1190)</f>
        <v>64593.240854333337</v>
      </c>
      <c r="Q310" s="313">
        <f t="shared" ca="1" si="197"/>
        <v>0</v>
      </c>
      <c r="R310" s="313">
        <f t="shared" ca="1" si="199"/>
        <v>0</v>
      </c>
      <c r="S310" s="1741">
        <f t="shared" ca="1" si="200"/>
        <v>0</v>
      </c>
      <c r="T310" s="313" t="str">
        <f ca="1">input!J678</f>
        <v>N</v>
      </c>
      <c r="V310" s="3115" t="str">
        <f>input!K678</f>
        <v>Packaging</v>
      </c>
      <c r="W310" s="3115">
        <f t="shared" ca="1" si="201"/>
        <v>0</v>
      </c>
      <c r="X310" s="3119">
        <f>VLOOKUP(V310,'Fix Cost'!$K$177:$M$179,2,0)</f>
        <v>58449.923860467366</v>
      </c>
      <c r="Y310" s="3119">
        <f>VLOOKUP(V310,'Fix Cost'!$K$177:$M$179,3,0)</f>
        <v>267411.04680782068</v>
      </c>
      <c r="Z310" s="3119">
        <f t="shared" ca="1" si="202"/>
        <v>0</v>
      </c>
      <c r="AA310" s="3115">
        <f t="shared" ca="1" si="203"/>
        <v>0</v>
      </c>
      <c r="AB310" s="3115">
        <f t="shared" ca="1" si="204"/>
        <v>0</v>
      </c>
      <c r="AK310" s="313"/>
      <c r="AL310" s="313"/>
      <c r="AM310" s="313"/>
      <c r="AO310" s="1055"/>
      <c r="AP310" s="385"/>
      <c r="AQ310" s="385"/>
      <c r="AR310" s="1048"/>
      <c r="AS310" s="385"/>
      <c r="AT310" s="879">
        <f t="shared" ca="1" si="164"/>
        <v>0</v>
      </c>
      <c r="AU310" s="879">
        <f ca="1">COUNTIFS(AT$7:$AT310,1)</f>
        <v>5</v>
      </c>
    </row>
    <row r="311" spans="2:47" ht="14.25" hidden="1" customHeight="1" outlineLevel="1">
      <c r="B311" s="1738" t="s">
        <v>29</v>
      </c>
      <c r="C311" s="313" t="str">
        <f>input!C679</f>
        <v>Die-cutting (NIKKO 1050FH)</v>
      </c>
      <c r="D311" s="313">
        <f>input!D679</f>
        <v>221</v>
      </c>
      <c r="E311" s="363"/>
      <c r="F311" s="363" t="str">
        <f ca="1">input!F679</f>
        <v>N</v>
      </c>
      <c r="G311" s="363"/>
      <c r="H311" s="313">
        <f ca="1">IF(F311="PCS",$E$4,SUMIFS(Paper!$AC$7:$AC$58,Paper!$A$7:$A$58,'Production cost'!F311))</f>
        <v>0</v>
      </c>
      <c r="I311" s="313">
        <f ca="1">IF(input!$G679&gt;0,input!$G679,IF($C311=Data!$L$1158,500,3000))</f>
        <v>3000</v>
      </c>
      <c r="J311" s="313" t="str">
        <f>input!$H679</f>
        <v>Sheets</v>
      </c>
      <c r="K311" s="360">
        <f>IF($C311=Data!$L$1158,0,1/4)</f>
        <v>0.25</v>
      </c>
      <c r="L311" s="313">
        <f ca="1">IF(input!$I679&gt;0,input!$I679,2)</f>
        <v>2</v>
      </c>
      <c r="M311" s="391">
        <f ca="1">IF(H311&gt;0,SUMIF(Data!$L$1155:$L$1190,'Production cost'!$C311,Data!$Q$1155:$Q$1190)*SUMIF(Paper!$A$7:$A$70,'Production cost'!$F311,Paper!$J$7:$J$70),0)</f>
        <v>0</v>
      </c>
      <c r="N311" s="391">
        <f t="shared" ca="1" si="198"/>
        <v>0</v>
      </c>
      <c r="O311" s="313">
        <f>IF($C311=Data!$L$1158,0,Data!$N$1195)</f>
        <v>352574.32240985788</v>
      </c>
      <c r="P311" s="313">
        <f>SUMIF(Data!$L$1155:$L$1190,'Production cost'!$C311,Data!$N$1155:$N$1190)</f>
        <v>64593.240854333337</v>
      </c>
      <c r="Q311" s="313">
        <f t="shared" ca="1" si="197"/>
        <v>0</v>
      </c>
      <c r="R311" s="313">
        <f t="shared" ca="1" si="199"/>
        <v>0</v>
      </c>
      <c r="S311" s="1741">
        <f t="shared" ca="1" si="200"/>
        <v>0</v>
      </c>
      <c r="T311" s="313" t="str">
        <f ca="1">input!J679</f>
        <v>N</v>
      </c>
      <c r="V311" s="3115" t="str">
        <f>input!K679</f>
        <v>Packaging</v>
      </c>
      <c r="W311" s="3115">
        <f t="shared" ca="1" si="201"/>
        <v>0</v>
      </c>
      <c r="X311" s="3119">
        <f>VLOOKUP(V311,'Fix Cost'!$K$177:$M$179,2,0)</f>
        <v>58449.923860467366</v>
      </c>
      <c r="Y311" s="3119">
        <f>VLOOKUP(V311,'Fix Cost'!$K$177:$M$179,3,0)</f>
        <v>267411.04680782068</v>
      </c>
      <c r="Z311" s="3119">
        <f t="shared" ca="1" si="202"/>
        <v>0</v>
      </c>
      <c r="AA311" s="3115">
        <f t="shared" ca="1" si="203"/>
        <v>0</v>
      </c>
      <c r="AB311" s="3115">
        <f t="shared" ca="1" si="204"/>
        <v>0</v>
      </c>
      <c r="AK311" s="313"/>
      <c r="AL311" s="313"/>
      <c r="AM311" s="313"/>
      <c r="AO311" s="1055"/>
      <c r="AP311" s="385"/>
      <c r="AQ311" s="385"/>
      <c r="AR311" s="1048"/>
      <c r="AS311" s="385"/>
      <c r="AT311" s="879">
        <f t="shared" ca="1" si="164"/>
        <v>0</v>
      </c>
      <c r="AU311" s="879">
        <f ca="1">COUNTIFS(AT$7:$AT311,1)</f>
        <v>5</v>
      </c>
    </row>
    <row r="312" spans="2:47" ht="14.25" hidden="1" customHeight="1" outlineLevel="1">
      <c r="B312" s="1738" t="s">
        <v>29</v>
      </c>
      <c r="C312" s="313" t="str">
        <f>input!C680</f>
        <v>Die-cutting (NIKKO 1050FH)</v>
      </c>
      <c r="D312" s="313">
        <f>input!D680</f>
        <v>238</v>
      </c>
      <c r="E312" s="363"/>
      <c r="F312" s="363" t="str">
        <f ca="1">input!F680</f>
        <v>N</v>
      </c>
      <c r="G312" s="363"/>
      <c r="H312" s="313">
        <f ca="1">IF(F312="PCS",$E$4,SUMIFS(Paper!$AC$7:$AC$58,Paper!$A$7:$A$58,'Production cost'!F312))</f>
        <v>0</v>
      </c>
      <c r="I312" s="313">
        <f ca="1">IF(input!$G680&gt;0,input!$G680,IF($C312=Data!$L$1158,500,3000))</f>
        <v>3000</v>
      </c>
      <c r="J312" s="313" t="str">
        <f>input!$H680</f>
        <v>Sheets</v>
      </c>
      <c r="K312" s="360">
        <f>IF($C312=Data!$L$1158,0,1/4)</f>
        <v>0.25</v>
      </c>
      <c r="L312" s="313">
        <f ca="1">IF(input!$I680&gt;0,input!$I680,2)</f>
        <v>2</v>
      </c>
      <c r="M312" s="391">
        <f ca="1">IF(H312&gt;0,SUMIF(Data!$L$1155:$L$1190,'Production cost'!$C312,Data!$Q$1155:$Q$1190)*SUMIF(Paper!$A$7:$A$70,'Production cost'!$F312,Paper!$J$7:$J$70),0)</f>
        <v>0</v>
      </c>
      <c r="N312" s="391">
        <f t="shared" ca="1" si="198"/>
        <v>0</v>
      </c>
      <c r="O312" s="313">
        <f>IF($C312=Data!$L$1158,0,Data!$N$1195)</f>
        <v>352574.32240985788</v>
      </c>
      <c r="P312" s="313">
        <f>SUMIF(Data!$L$1155:$L$1190,'Production cost'!$C312,Data!$N$1155:$N$1190)</f>
        <v>64593.240854333337</v>
      </c>
      <c r="Q312" s="313">
        <f t="shared" ca="1" si="197"/>
        <v>0</v>
      </c>
      <c r="R312" s="313">
        <f t="shared" ca="1" si="199"/>
        <v>0</v>
      </c>
      <c r="S312" s="1741">
        <f t="shared" ca="1" si="200"/>
        <v>0</v>
      </c>
      <c r="T312" s="313" t="str">
        <f ca="1">input!J680</f>
        <v>N</v>
      </c>
      <c r="V312" s="3115" t="str">
        <f>input!K680</f>
        <v>Packaging</v>
      </c>
      <c r="W312" s="3115">
        <f t="shared" ca="1" si="201"/>
        <v>0</v>
      </c>
      <c r="X312" s="3119">
        <f>VLOOKUP(V312,'Fix Cost'!$K$177:$M$179,2,0)</f>
        <v>58449.923860467366</v>
      </c>
      <c r="Y312" s="3119">
        <f>VLOOKUP(V312,'Fix Cost'!$K$177:$M$179,3,0)</f>
        <v>267411.04680782068</v>
      </c>
      <c r="Z312" s="3119">
        <f t="shared" ca="1" si="202"/>
        <v>0</v>
      </c>
      <c r="AA312" s="3115">
        <f t="shared" ca="1" si="203"/>
        <v>0</v>
      </c>
      <c r="AB312" s="3115">
        <f t="shared" ca="1" si="204"/>
        <v>0</v>
      </c>
      <c r="AK312" s="313"/>
      <c r="AL312" s="313"/>
      <c r="AM312" s="313"/>
      <c r="AO312" s="1055"/>
      <c r="AP312" s="385"/>
      <c r="AQ312" s="385"/>
      <c r="AR312" s="1048"/>
      <c r="AS312" s="385"/>
      <c r="AT312" s="879">
        <f t="shared" ca="1" si="164"/>
        <v>0</v>
      </c>
      <c r="AU312" s="879">
        <f ca="1">COUNTIFS(AT$7:$AT312,1)</f>
        <v>5</v>
      </c>
    </row>
    <row r="313" spans="2:47" ht="14.25" hidden="1" customHeight="1" outlineLevel="1">
      <c r="B313" s="1738" t="s">
        <v>29</v>
      </c>
      <c r="C313" s="313" t="str">
        <f>input!C681</f>
        <v>Die-cutting (NIKKO 1050FH)</v>
      </c>
      <c r="D313" s="313">
        <f>input!D681</f>
        <v>0</v>
      </c>
      <c r="E313" s="363"/>
      <c r="F313" s="363" t="str">
        <f ca="1">input!F681</f>
        <v>N</v>
      </c>
      <c r="G313" s="363"/>
      <c r="H313" s="313">
        <f ca="1">IF(F313="PCS",$E$4,SUMIFS(Paper!$AC$7:$AC$58,Paper!$A$7:$A$58,'Production cost'!F313))</f>
        <v>0</v>
      </c>
      <c r="I313" s="313">
        <f ca="1">IF(input!$G681&gt;0,input!$G681,IF($C313=Data!$L$1158,500,3000))</f>
        <v>3000</v>
      </c>
      <c r="J313" s="313" t="str">
        <f>input!$H681</f>
        <v>Sheets</v>
      </c>
      <c r="K313" s="360">
        <f>IF($C313=Data!$L$1158,0,1/4)</f>
        <v>0.25</v>
      </c>
      <c r="L313" s="313">
        <f ca="1">IF(input!$I681&gt;0,input!$I681,2)</f>
        <v>2</v>
      </c>
      <c r="M313" s="391">
        <f ca="1">IF(H313&gt;0,SUMIF(Data!$L$1155:$L$1190,'Production cost'!$C313,Data!$Q$1155:$Q$1190)*SUMIF(Paper!$A$7:$A$70,'Production cost'!$F313,Paper!$J$7:$J$70),0)</f>
        <v>0</v>
      </c>
      <c r="N313" s="391">
        <f t="shared" ca="1" si="182"/>
        <v>0</v>
      </c>
      <c r="O313" s="313">
        <f>IF($C313=Data!$L$1158,0,Data!$N$1195)</f>
        <v>352574.32240985788</v>
      </c>
      <c r="P313" s="313">
        <f>SUMIF(Data!$L$1155:$L$1190,'Production cost'!$C313,Data!$N$1155:$N$1190)</f>
        <v>64593.240854333337</v>
      </c>
      <c r="Q313" s="313">
        <f t="shared" ca="1" si="197"/>
        <v>0</v>
      </c>
      <c r="R313" s="313">
        <f t="shared" ca="1" si="183"/>
        <v>0</v>
      </c>
      <c r="S313" s="1741">
        <f t="shared" ca="1" si="184"/>
        <v>0</v>
      </c>
      <c r="T313" s="313" t="str">
        <f ca="1">input!J681</f>
        <v>N</v>
      </c>
      <c r="V313" s="3115" t="str">
        <f>input!K681</f>
        <v>Packaging</v>
      </c>
      <c r="W313" s="3115">
        <f t="shared" ca="1" si="185"/>
        <v>0</v>
      </c>
      <c r="X313" s="3119">
        <f>VLOOKUP(V313,'Fix Cost'!$K$177:$M$179,2,0)</f>
        <v>58449.923860467366</v>
      </c>
      <c r="Y313" s="3119">
        <f>VLOOKUP(V313,'Fix Cost'!$K$177:$M$179,3,0)</f>
        <v>267411.04680782068</v>
      </c>
      <c r="Z313" s="3119">
        <f t="shared" ca="1" si="186"/>
        <v>0</v>
      </c>
      <c r="AA313" s="3115">
        <f t="shared" ca="1" si="187"/>
        <v>0</v>
      </c>
      <c r="AB313" s="3115">
        <f t="shared" ca="1" si="188"/>
        <v>0</v>
      </c>
      <c r="AK313" s="313"/>
      <c r="AL313" s="313"/>
      <c r="AM313" s="313"/>
      <c r="AO313" s="1055"/>
      <c r="AP313" s="385"/>
      <c r="AQ313" s="385"/>
      <c r="AR313" s="1048"/>
      <c r="AS313" s="385"/>
      <c r="AT313" s="879">
        <f t="shared" ca="1" si="164"/>
        <v>0</v>
      </c>
      <c r="AU313" s="879">
        <f ca="1">COUNTIFS(AT$7:$AT313,1)</f>
        <v>5</v>
      </c>
    </row>
    <row r="314" spans="2:47" ht="14.25" hidden="1" customHeight="1" outlineLevel="1">
      <c r="B314" s="1738" t="s">
        <v>29</v>
      </c>
      <c r="C314" s="313" t="str">
        <f>input!C682</f>
        <v>Die-cutting (NIKKO 1050FH)</v>
      </c>
      <c r="D314" s="313">
        <f>input!D682</f>
        <v>10</v>
      </c>
      <c r="E314" s="363"/>
      <c r="F314" s="363" t="str">
        <f ca="1">input!F682</f>
        <v>N</v>
      </c>
      <c r="G314" s="363"/>
      <c r="H314" s="313">
        <f ca="1">IF(F314="PCS",$E$4,SUMIFS(Paper!$AC$7:$AC$58,Paper!$A$7:$A$58,'Production cost'!F314))</f>
        <v>0</v>
      </c>
      <c r="I314" s="313">
        <f ca="1">IF(input!$G682&gt;0,input!$G682,IF($C314=Data!$L$1158,500,3000))</f>
        <v>3000</v>
      </c>
      <c r="J314" s="313" t="str">
        <f>input!$H682</f>
        <v>Sheets</v>
      </c>
      <c r="K314" s="360">
        <f>IF($C314=Data!$L$1158,0,1/4)</f>
        <v>0.25</v>
      </c>
      <c r="L314" s="313">
        <f ca="1">IF(input!$I682&gt;0,input!$I682,2)</f>
        <v>2</v>
      </c>
      <c r="M314" s="391">
        <f ca="1">IF(H314&gt;0,SUMIF(Data!$L$1155:$L$1190,'Production cost'!$C314,Data!$Q$1155:$Q$1190)*SUMIF(Paper!$A$7:$A$70,'Production cost'!$F314,Paper!$J$7:$J$70),0)</f>
        <v>0</v>
      </c>
      <c r="N314" s="391">
        <f t="shared" ca="1" si="182"/>
        <v>0</v>
      </c>
      <c r="O314" s="313">
        <f>IF($C314=Data!$L$1158,0,Data!$N$1195)</f>
        <v>352574.32240985788</v>
      </c>
      <c r="P314" s="313">
        <f>SUMIF(Data!$L$1155:$L$1190,'Production cost'!$C314,Data!$N$1155:$N$1190)</f>
        <v>64593.240854333337</v>
      </c>
      <c r="Q314" s="313">
        <f t="shared" ca="1" si="197"/>
        <v>0</v>
      </c>
      <c r="R314" s="313">
        <f t="shared" ca="1" si="183"/>
        <v>0</v>
      </c>
      <c r="S314" s="1741">
        <f t="shared" ca="1" si="184"/>
        <v>0</v>
      </c>
      <c r="T314" s="313" t="str">
        <f ca="1">input!J682</f>
        <v>N</v>
      </c>
      <c r="V314" s="3115" t="str">
        <f>input!K682</f>
        <v>Packaging</v>
      </c>
      <c r="W314" s="3115">
        <f t="shared" ca="1" si="185"/>
        <v>0</v>
      </c>
      <c r="X314" s="3119">
        <f>VLOOKUP(V314,'Fix Cost'!$K$177:$M$179,2,0)</f>
        <v>58449.923860467366</v>
      </c>
      <c r="Y314" s="3119">
        <f>VLOOKUP(V314,'Fix Cost'!$K$177:$M$179,3,0)</f>
        <v>267411.04680782068</v>
      </c>
      <c r="Z314" s="3119">
        <f t="shared" ca="1" si="186"/>
        <v>0</v>
      </c>
      <c r="AA314" s="3115">
        <f t="shared" ca="1" si="187"/>
        <v>0</v>
      </c>
      <c r="AB314" s="3115">
        <f t="shared" ca="1" si="188"/>
        <v>0</v>
      </c>
      <c r="AK314" s="313"/>
      <c r="AL314" s="313"/>
      <c r="AM314" s="313"/>
      <c r="AO314" s="1055"/>
      <c r="AP314" s="385"/>
      <c r="AQ314" s="385"/>
      <c r="AR314" s="1048"/>
      <c r="AS314" s="385"/>
      <c r="AT314" s="879">
        <f t="shared" ca="1" si="164"/>
        <v>0</v>
      </c>
      <c r="AU314" s="879">
        <f ca="1">COUNTIFS(AT$7:$AT314,1)</f>
        <v>5</v>
      </c>
    </row>
    <row r="315" spans="2:47" ht="14.25" hidden="1" customHeight="1" outlineLevel="1">
      <c r="B315" s="1738" t="s">
        <v>29</v>
      </c>
      <c r="C315" s="313" t="str">
        <f>input!C683</f>
        <v>Die-cutting (NIKKO 1050FH)</v>
      </c>
      <c r="D315" s="313">
        <f>input!D683</f>
        <v>20</v>
      </c>
      <c r="E315" s="363"/>
      <c r="F315" s="363" t="str">
        <f ca="1">input!F683</f>
        <v>N</v>
      </c>
      <c r="G315" s="363"/>
      <c r="H315" s="313">
        <f ca="1">IF(F315="PCS",$E$4,SUMIFS(Paper!$AC$7:$AC$58,Paper!$A$7:$A$58,'Production cost'!F315))</f>
        <v>0</v>
      </c>
      <c r="I315" s="313">
        <f ca="1">IF(input!$G683&gt;0,input!$G683,IF($C315=Data!$L$1158,500,3000))</f>
        <v>3000</v>
      </c>
      <c r="J315" s="313" t="str">
        <f>input!$H683</f>
        <v>Sheets</v>
      </c>
      <c r="K315" s="360">
        <f>IF($C315=Data!$L$1158,0,1/4)</f>
        <v>0.25</v>
      </c>
      <c r="L315" s="313">
        <f ca="1">IF(input!$I683&gt;0,input!$I683,2)</f>
        <v>2</v>
      </c>
      <c r="M315" s="391">
        <f ca="1">IF(H315&gt;0,SUMIF(Data!$L$1155:$L$1190,'Production cost'!$C315,Data!$Q$1155:$Q$1190)*SUMIF(Paper!$A$7:$A$70,'Production cost'!$F315,Paper!$J$7:$J$70),0)</f>
        <v>0</v>
      </c>
      <c r="N315" s="391">
        <f t="shared" ca="1" si="182"/>
        <v>0</v>
      </c>
      <c r="O315" s="313">
        <f>IF($C315=Data!$L$1158,0,Data!$N$1195)</f>
        <v>352574.32240985788</v>
      </c>
      <c r="P315" s="313">
        <f>SUMIF(Data!$L$1155:$L$1190,'Production cost'!$C315,Data!$N$1155:$N$1190)</f>
        <v>64593.240854333337</v>
      </c>
      <c r="Q315" s="313">
        <f t="shared" ca="1" si="197"/>
        <v>0</v>
      </c>
      <c r="R315" s="313">
        <f t="shared" ca="1" si="183"/>
        <v>0</v>
      </c>
      <c r="S315" s="1741">
        <f t="shared" ca="1" si="184"/>
        <v>0</v>
      </c>
      <c r="T315" s="313" t="str">
        <f ca="1">input!J683</f>
        <v>N</v>
      </c>
      <c r="V315" s="3115" t="str">
        <f>input!K683</f>
        <v>Packaging</v>
      </c>
      <c r="W315" s="3115">
        <f t="shared" ca="1" si="185"/>
        <v>0</v>
      </c>
      <c r="X315" s="3119">
        <f>VLOOKUP(V315,'Fix Cost'!$K$177:$M$179,2,0)</f>
        <v>58449.923860467366</v>
      </c>
      <c r="Y315" s="3119">
        <f>VLOOKUP(V315,'Fix Cost'!$K$177:$M$179,3,0)</f>
        <v>267411.04680782068</v>
      </c>
      <c r="Z315" s="3119">
        <f t="shared" ca="1" si="186"/>
        <v>0</v>
      </c>
      <c r="AA315" s="3115">
        <f t="shared" ca="1" si="187"/>
        <v>0</v>
      </c>
      <c r="AB315" s="3115">
        <f t="shared" ca="1" si="188"/>
        <v>0</v>
      </c>
      <c r="AK315" s="313"/>
      <c r="AL315" s="313"/>
      <c r="AM315" s="313"/>
      <c r="AO315" s="1055"/>
      <c r="AP315" s="385"/>
      <c r="AQ315" s="385"/>
      <c r="AR315" s="1048"/>
      <c r="AS315" s="385"/>
      <c r="AT315" s="879">
        <f t="shared" ca="1" si="164"/>
        <v>0</v>
      </c>
      <c r="AU315" s="879">
        <f ca="1">COUNTIFS(AT$7:$AT315,1)</f>
        <v>5</v>
      </c>
    </row>
    <row r="316" spans="2:47" ht="14.25" hidden="1" customHeight="1" outlineLevel="1">
      <c r="B316" s="1738" t="s">
        <v>29</v>
      </c>
      <c r="C316" s="313" t="str">
        <f>input!C684</f>
        <v>Die-cutting (Semi-auto)</v>
      </c>
      <c r="D316" s="313">
        <f>input!D684</f>
        <v>0</v>
      </c>
      <c r="E316" s="363"/>
      <c r="F316" s="363" t="str">
        <f ca="1">input!F684</f>
        <v>N</v>
      </c>
      <c r="G316" s="363"/>
      <c r="H316" s="313">
        <f ca="1">IF(F316="PCS",$E$4,SUMIFS(Paper!$AC$7:$AC$58,Paper!$A$7:$A$58,'Production cost'!F316))</f>
        <v>0</v>
      </c>
      <c r="I316" s="313">
        <f ca="1">IF(input!$G684&gt;0,input!$G684,IF($C316=Data!$L$1158,500,3000))</f>
        <v>500</v>
      </c>
      <c r="J316" s="313" t="str">
        <f>input!$H684</f>
        <v>Sheets</v>
      </c>
      <c r="K316" s="360">
        <f>IF($C316=Data!$L$1158,0,1/4)</f>
        <v>0</v>
      </c>
      <c r="L316" s="313">
        <f ca="1">IF(input!$I684&gt;0,input!$I684,2)</f>
        <v>2</v>
      </c>
      <c r="M316" s="391">
        <f ca="1">IF(H316&gt;0,SUMIF(Data!$L$1155:$L$1190,'Production cost'!$C316,Data!$Q$1155:$Q$1190)*SUMIF(Paper!$A$7:$A$70,'Production cost'!$F316,Paper!$J$7:$J$70),0)</f>
        <v>0</v>
      </c>
      <c r="N316" s="391">
        <f t="shared" ca="1" si="182"/>
        <v>0</v>
      </c>
      <c r="O316" s="313">
        <f>IF($C316=Data!$L$1158,0,Data!$N$1195)</f>
        <v>0</v>
      </c>
      <c r="P316" s="313">
        <f>SUMIF(Data!$L$1155:$L$1190,'Production cost'!$C316,Data!$N$1155:$N$1190)</f>
        <v>64593.240854333337</v>
      </c>
      <c r="Q316" s="313">
        <f t="shared" ca="1" si="197"/>
        <v>0</v>
      </c>
      <c r="R316" s="313">
        <f t="shared" ca="1" si="183"/>
        <v>0</v>
      </c>
      <c r="S316" s="1741">
        <f t="shared" ca="1" si="184"/>
        <v>0</v>
      </c>
      <c r="T316" s="313" t="str">
        <f ca="1">input!J684</f>
        <v>N</v>
      </c>
      <c r="V316" s="3115" t="str">
        <f>input!K684</f>
        <v>Packaging</v>
      </c>
      <c r="W316" s="3115">
        <f t="shared" ca="1" si="185"/>
        <v>0</v>
      </c>
      <c r="X316" s="3119">
        <f>VLOOKUP(V316,'Fix Cost'!$K$177:$M$179,2,0)</f>
        <v>58449.923860467366</v>
      </c>
      <c r="Y316" s="3119">
        <f>VLOOKUP(V316,'Fix Cost'!$K$177:$M$179,3,0)</f>
        <v>267411.04680782068</v>
      </c>
      <c r="Z316" s="3119">
        <f t="shared" ca="1" si="186"/>
        <v>0</v>
      </c>
      <c r="AA316" s="3115">
        <f t="shared" ca="1" si="187"/>
        <v>0</v>
      </c>
      <c r="AB316" s="3115">
        <f t="shared" ca="1" si="188"/>
        <v>0</v>
      </c>
      <c r="AK316" s="313"/>
      <c r="AL316" s="313"/>
      <c r="AM316" s="313"/>
      <c r="AO316" s="1055"/>
      <c r="AP316" s="385"/>
      <c r="AQ316" s="385"/>
      <c r="AR316" s="1048"/>
      <c r="AS316" s="385"/>
      <c r="AT316" s="879">
        <f t="shared" ca="1" si="164"/>
        <v>0</v>
      </c>
      <c r="AU316" s="879">
        <f ca="1">COUNTIFS(AT$7:$AT316,1)</f>
        <v>5</v>
      </c>
    </row>
    <row r="317" spans="2:47" ht="14.25" hidden="1" customHeight="1" outlineLevel="1">
      <c r="B317" s="1738" t="s">
        <v>29</v>
      </c>
      <c r="C317" s="313" t="str">
        <f>input!C685</f>
        <v>Die-cutting (Semi-auto)</v>
      </c>
      <c r="D317" s="313">
        <f>input!D685</f>
        <v>3</v>
      </c>
      <c r="E317" s="363"/>
      <c r="F317" s="363" t="str">
        <f ca="1">input!F685</f>
        <v>N</v>
      </c>
      <c r="G317" s="363"/>
      <c r="H317" s="313">
        <f ca="1">IF(F317="PCS",$E$4,SUMIFS(Paper!$AC$7:$AC$58,Paper!$A$7:$A$58,'Production cost'!F317))</f>
        <v>0</v>
      </c>
      <c r="I317" s="313">
        <f ca="1">IF(input!$G685&gt;0,input!$G685,IF($C317=Data!$L$1158,500,3000))</f>
        <v>500</v>
      </c>
      <c r="J317" s="313" t="str">
        <f>input!$H685</f>
        <v>Sheets</v>
      </c>
      <c r="K317" s="360">
        <f>IF($C317=Data!$L$1158,0,1/4)</f>
        <v>0</v>
      </c>
      <c r="L317" s="313">
        <f ca="1">IF(input!$I685&gt;0,input!$I685,2)</f>
        <v>2</v>
      </c>
      <c r="M317" s="391">
        <f ca="1">IF(H317&gt;0,SUMIF(Data!$L$1155:$L$1190,'Production cost'!$C317,Data!$Q$1155:$Q$1190)*SUMIF(Paper!$A$7:$A$70,'Production cost'!$F317,Paper!$J$7:$J$70),0)</f>
        <v>0</v>
      </c>
      <c r="N317" s="391">
        <f t="shared" ref="N317:N331" ca="1" si="205">IF(H317&gt;0,ROUNDUP(((H317/I317)/$M$5+M317),1),0)</f>
        <v>0</v>
      </c>
      <c r="O317" s="313">
        <f>IF($C317=Data!$L$1158,0,Data!$N$1195)</f>
        <v>0</v>
      </c>
      <c r="P317" s="313">
        <f>SUMIF(Data!$L$1155:$L$1190,'Production cost'!$C317,Data!$N$1155:$N$1190)</f>
        <v>64593.240854333337</v>
      </c>
      <c r="Q317" s="313">
        <f t="shared" ca="1" si="197"/>
        <v>0</v>
      </c>
      <c r="R317" s="313">
        <f t="shared" ref="R317:R331" ca="1" si="206">IF($E$2&gt;0,Q317/$E$2,0)</f>
        <v>0</v>
      </c>
      <c r="S317" s="1741">
        <f t="shared" ref="S317:S331" ca="1" si="207">IF(M317&gt;0,K317*O317+L317*P317,0)</f>
        <v>0</v>
      </c>
      <c r="T317" s="313" t="str">
        <f ca="1">input!J685</f>
        <v>N</v>
      </c>
      <c r="V317" s="3115" t="str">
        <f>input!K685</f>
        <v>Packaging</v>
      </c>
      <c r="W317" s="3115">
        <f t="shared" ref="W317:W331" ca="1" si="208">N317*(L317+K317)</f>
        <v>0</v>
      </c>
      <c r="X317" s="3119">
        <f>VLOOKUP(V317,'Fix Cost'!$K$177:$M$179,2,0)</f>
        <v>58449.923860467366</v>
      </c>
      <c r="Y317" s="3119">
        <f>VLOOKUP(V317,'Fix Cost'!$K$177:$M$179,3,0)</f>
        <v>267411.04680782068</v>
      </c>
      <c r="Z317" s="3119">
        <f t="shared" ref="Z317:Z331" ca="1" si="209">IFERROR($X317*W317,0)</f>
        <v>0</v>
      </c>
      <c r="AA317" s="3115">
        <f t="shared" ref="AA317:AA331" ca="1" si="210">IFERROR(Y317*N317,0)</f>
        <v>0</v>
      </c>
      <c r="AB317" s="3115">
        <f t="shared" ref="AB317:AB331" ca="1" si="211">Z317+AA317</f>
        <v>0</v>
      </c>
      <c r="AK317" s="313"/>
      <c r="AL317" s="313"/>
      <c r="AM317" s="313"/>
      <c r="AO317" s="1055"/>
      <c r="AP317" s="385"/>
      <c r="AQ317" s="385"/>
      <c r="AR317" s="1048"/>
      <c r="AS317" s="385"/>
      <c r="AT317" s="879">
        <f t="shared" ca="1" si="164"/>
        <v>0</v>
      </c>
      <c r="AU317" s="879">
        <f ca="1">COUNTIFS(AT$7:$AT317,1)</f>
        <v>5</v>
      </c>
    </row>
    <row r="318" spans="2:47" ht="14.25" hidden="1" customHeight="1" outlineLevel="1">
      <c r="B318" s="1738" t="s">
        <v>29</v>
      </c>
      <c r="C318" s="313" t="str">
        <f>input!C686</f>
        <v>Die-cutting (Semi-auto)</v>
      </c>
      <c r="D318" s="313">
        <f>input!D686</f>
        <v>6</v>
      </c>
      <c r="E318" s="363"/>
      <c r="F318" s="363" t="str">
        <f ca="1">input!F686</f>
        <v>N</v>
      </c>
      <c r="G318" s="363"/>
      <c r="H318" s="313">
        <f ca="1">IF(F318="PCS",$E$4,SUMIFS(Paper!$AC$7:$AC$58,Paper!$A$7:$A$58,'Production cost'!F318))</f>
        <v>0</v>
      </c>
      <c r="I318" s="313">
        <f ca="1">IF(input!$G686&gt;0,input!$G686,IF($C318=Data!$L$1158,500,3000))</f>
        <v>500</v>
      </c>
      <c r="J318" s="313" t="str">
        <f>input!$H686</f>
        <v>Sheets</v>
      </c>
      <c r="K318" s="360">
        <f>IF($C318=Data!$L$1158,0,1/4)</f>
        <v>0</v>
      </c>
      <c r="L318" s="313">
        <f ca="1">IF(input!$I686&gt;0,input!$I686,2)</f>
        <v>2</v>
      </c>
      <c r="M318" s="391">
        <f ca="1">IF(H318&gt;0,SUMIF(Data!$L$1155:$L$1190,'Production cost'!$C318,Data!$Q$1155:$Q$1190)*SUMIF(Paper!$A$7:$A$70,'Production cost'!$F318,Paper!$J$7:$J$70),0)</f>
        <v>0</v>
      </c>
      <c r="N318" s="391">
        <f t="shared" ca="1" si="205"/>
        <v>0</v>
      </c>
      <c r="O318" s="313">
        <f>IF($C318=Data!$L$1158,0,Data!$N$1195)</f>
        <v>0</v>
      </c>
      <c r="P318" s="313">
        <f>SUMIF(Data!$L$1155:$L$1190,'Production cost'!$C318,Data!$N$1155:$N$1190)</f>
        <v>64593.240854333337</v>
      </c>
      <c r="Q318" s="313">
        <f t="shared" ca="1" si="197"/>
        <v>0</v>
      </c>
      <c r="R318" s="313">
        <f t="shared" ca="1" si="206"/>
        <v>0</v>
      </c>
      <c r="S318" s="1741">
        <f t="shared" ca="1" si="207"/>
        <v>0</v>
      </c>
      <c r="T318" s="313" t="str">
        <f ca="1">input!J686</f>
        <v>N</v>
      </c>
      <c r="V318" s="3115" t="str">
        <f>input!K686</f>
        <v>Packaging</v>
      </c>
      <c r="W318" s="3115">
        <f t="shared" ca="1" si="208"/>
        <v>0</v>
      </c>
      <c r="X318" s="3119">
        <f>VLOOKUP(V318,'Fix Cost'!$K$177:$M$179,2,0)</f>
        <v>58449.923860467366</v>
      </c>
      <c r="Y318" s="3119">
        <f>VLOOKUP(V318,'Fix Cost'!$K$177:$M$179,3,0)</f>
        <v>267411.04680782068</v>
      </c>
      <c r="Z318" s="3119">
        <f t="shared" ca="1" si="209"/>
        <v>0</v>
      </c>
      <c r="AA318" s="3115">
        <f t="shared" ca="1" si="210"/>
        <v>0</v>
      </c>
      <c r="AB318" s="3115">
        <f t="shared" ca="1" si="211"/>
        <v>0</v>
      </c>
      <c r="AK318" s="313"/>
      <c r="AL318" s="313"/>
      <c r="AM318" s="313"/>
      <c r="AO318" s="1055"/>
      <c r="AP318" s="385"/>
      <c r="AQ318" s="385"/>
      <c r="AR318" s="1048"/>
      <c r="AS318" s="385"/>
      <c r="AT318" s="879">
        <f t="shared" ca="1" si="164"/>
        <v>0</v>
      </c>
      <c r="AU318" s="879">
        <f ca="1">COUNTIFS(AT$7:$AT318,1)</f>
        <v>5</v>
      </c>
    </row>
    <row r="319" spans="2:47" ht="14.25" hidden="1" customHeight="1" outlineLevel="1">
      <c r="B319" s="1738" t="s">
        <v>29</v>
      </c>
      <c r="C319" s="313" t="str">
        <f>input!C687</f>
        <v>Die-cutting (Semi-auto)</v>
      </c>
      <c r="D319" s="313">
        <f>input!D687</f>
        <v>9</v>
      </c>
      <c r="E319" s="363"/>
      <c r="F319" s="363" t="str">
        <f ca="1">input!F687</f>
        <v>N</v>
      </c>
      <c r="G319" s="363"/>
      <c r="H319" s="313">
        <f ca="1">IF(F319="PCS",$E$4,SUMIFS(Paper!$AC$7:$AC$58,Paper!$A$7:$A$58,'Production cost'!F319))</f>
        <v>0</v>
      </c>
      <c r="I319" s="313">
        <f ca="1">IF(input!$G687&gt;0,input!$G687,IF($C319=Data!$L$1158,500,3000))</f>
        <v>500</v>
      </c>
      <c r="J319" s="313" t="str">
        <f>input!$H687</f>
        <v>Sheets</v>
      </c>
      <c r="K319" s="360">
        <f>IF($C319=Data!$L$1158,0,1/4)</f>
        <v>0</v>
      </c>
      <c r="L319" s="313">
        <f ca="1">IF(input!$I687&gt;0,input!$I687,2)</f>
        <v>2</v>
      </c>
      <c r="M319" s="391">
        <f ca="1">IF(H319&gt;0,SUMIF(Data!$L$1155:$L$1190,'Production cost'!$C319,Data!$Q$1155:$Q$1190)*SUMIF(Paper!$A$7:$A$70,'Production cost'!$F319,Paper!$J$7:$J$70),0)</f>
        <v>0</v>
      </c>
      <c r="N319" s="391">
        <f t="shared" ca="1" si="205"/>
        <v>0</v>
      </c>
      <c r="O319" s="313">
        <f>IF($C319=Data!$L$1158,0,Data!$N$1195)</f>
        <v>0</v>
      </c>
      <c r="P319" s="313">
        <f>SUMIF(Data!$L$1155:$L$1190,'Production cost'!$C319,Data!$N$1155:$N$1190)</f>
        <v>64593.240854333337</v>
      </c>
      <c r="Q319" s="313">
        <f t="shared" ca="1" si="197"/>
        <v>0</v>
      </c>
      <c r="R319" s="313">
        <f t="shared" ca="1" si="206"/>
        <v>0</v>
      </c>
      <c r="S319" s="1741">
        <f t="shared" ca="1" si="207"/>
        <v>0</v>
      </c>
      <c r="T319" s="313" t="str">
        <f ca="1">input!J687</f>
        <v>N</v>
      </c>
      <c r="V319" s="3115" t="str">
        <f>input!K687</f>
        <v>Packaging</v>
      </c>
      <c r="W319" s="3115">
        <f t="shared" ca="1" si="208"/>
        <v>0</v>
      </c>
      <c r="X319" s="3119">
        <f>VLOOKUP(V319,'Fix Cost'!$K$177:$M$179,2,0)</f>
        <v>58449.923860467366</v>
      </c>
      <c r="Y319" s="3119">
        <f>VLOOKUP(V319,'Fix Cost'!$K$177:$M$179,3,0)</f>
        <v>267411.04680782068</v>
      </c>
      <c r="Z319" s="3119">
        <f t="shared" ca="1" si="209"/>
        <v>0</v>
      </c>
      <c r="AA319" s="3115">
        <f t="shared" ca="1" si="210"/>
        <v>0</v>
      </c>
      <c r="AB319" s="3115">
        <f t="shared" ca="1" si="211"/>
        <v>0</v>
      </c>
      <c r="AK319" s="313"/>
      <c r="AL319" s="313"/>
      <c r="AM319" s="313"/>
      <c r="AO319" s="1055"/>
      <c r="AP319" s="385"/>
      <c r="AQ319" s="385"/>
      <c r="AR319" s="1048"/>
      <c r="AS319" s="385"/>
      <c r="AT319" s="879">
        <f t="shared" ca="1" si="164"/>
        <v>0</v>
      </c>
      <c r="AU319" s="879">
        <f ca="1">COUNTIFS(AT$7:$AT319,1)</f>
        <v>5</v>
      </c>
    </row>
    <row r="320" spans="2:47" ht="14.25" hidden="1" customHeight="1" outlineLevel="1">
      <c r="B320" s="1738" t="s">
        <v>29</v>
      </c>
      <c r="C320" s="313" t="str">
        <f>input!C688</f>
        <v>Die-cutting (Semi-auto)</v>
      </c>
      <c r="D320" s="313">
        <f>input!D688</f>
        <v>12</v>
      </c>
      <c r="E320" s="363"/>
      <c r="F320" s="363" t="str">
        <f ca="1">input!F688</f>
        <v>N</v>
      </c>
      <c r="G320" s="363"/>
      <c r="H320" s="313">
        <f ca="1">IF(F320="PCS",$E$4,SUMIFS(Paper!$AC$7:$AC$58,Paper!$A$7:$A$58,'Production cost'!F320))</f>
        <v>0</v>
      </c>
      <c r="I320" s="313">
        <f ca="1">IF(input!$G688&gt;0,input!$G688,IF($C320=Data!$L$1158,500,3000))</f>
        <v>500</v>
      </c>
      <c r="J320" s="313" t="str">
        <f>input!$H688</f>
        <v>Sheets</v>
      </c>
      <c r="K320" s="360">
        <f>IF($C320=Data!$L$1158,0,1/4)</f>
        <v>0</v>
      </c>
      <c r="L320" s="313">
        <f ca="1">IF(input!$I688&gt;0,input!$I688,2)</f>
        <v>2</v>
      </c>
      <c r="M320" s="391">
        <f ca="1">IF(H320&gt;0,SUMIF(Data!$L$1155:$L$1190,'Production cost'!$C320,Data!$Q$1155:$Q$1190)*SUMIF(Paper!$A$7:$A$70,'Production cost'!$F320,Paper!$J$7:$J$70),0)</f>
        <v>0</v>
      </c>
      <c r="N320" s="391">
        <f t="shared" ca="1" si="205"/>
        <v>0</v>
      </c>
      <c r="O320" s="313">
        <f>IF($C320=Data!$L$1158,0,Data!$N$1195)</f>
        <v>0</v>
      </c>
      <c r="P320" s="313">
        <f>SUMIF(Data!$L$1155:$L$1190,'Production cost'!$C320,Data!$N$1155:$N$1190)</f>
        <v>64593.240854333337</v>
      </c>
      <c r="Q320" s="313">
        <f t="shared" ca="1" si="197"/>
        <v>0</v>
      </c>
      <c r="R320" s="313">
        <f t="shared" ca="1" si="206"/>
        <v>0</v>
      </c>
      <c r="S320" s="1741">
        <f t="shared" ca="1" si="207"/>
        <v>0</v>
      </c>
      <c r="T320" s="313" t="str">
        <f ca="1">input!J688</f>
        <v>N</v>
      </c>
      <c r="V320" s="3115" t="str">
        <f>input!K688</f>
        <v>Packaging</v>
      </c>
      <c r="W320" s="3115">
        <f t="shared" ca="1" si="208"/>
        <v>0</v>
      </c>
      <c r="X320" s="3119">
        <f>VLOOKUP(V320,'Fix Cost'!$K$177:$M$179,2,0)</f>
        <v>58449.923860467366</v>
      </c>
      <c r="Y320" s="3119">
        <f>VLOOKUP(V320,'Fix Cost'!$K$177:$M$179,3,0)</f>
        <v>267411.04680782068</v>
      </c>
      <c r="Z320" s="3119">
        <f t="shared" ca="1" si="209"/>
        <v>0</v>
      </c>
      <c r="AA320" s="3115">
        <f t="shared" ca="1" si="210"/>
        <v>0</v>
      </c>
      <c r="AB320" s="3115">
        <f t="shared" ca="1" si="211"/>
        <v>0</v>
      </c>
      <c r="AK320" s="313"/>
      <c r="AL320" s="313"/>
      <c r="AM320" s="313"/>
      <c r="AO320" s="1055"/>
      <c r="AP320" s="385"/>
      <c r="AQ320" s="385"/>
      <c r="AR320" s="1048"/>
      <c r="AS320" s="385"/>
      <c r="AT320" s="879">
        <f t="shared" ca="1" si="164"/>
        <v>0</v>
      </c>
      <c r="AU320" s="879">
        <f ca="1">COUNTIFS(AT$7:$AT320,1)</f>
        <v>5</v>
      </c>
    </row>
    <row r="321" spans="2:47" ht="14.25" hidden="1" customHeight="1" outlineLevel="1">
      <c r="B321" s="1738" t="s">
        <v>29</v>
      </c>
      <c r="C321" s="313" t="str">
        <f>input!C689</f>
        <v>Die-cutting (Semi-auto)</v>
      </c>
      <c r="D321" s="313">
        <f>input!D689</f>
        <v>15</v>
      </c>
      <c r="E321" s="363"/>
      <c r="F321" s="363" t="str">
        <f ca="1">input!F689</f>
        <v>N</v>
      </c>
      <c r="G321" s="363"/>
      <c r="H321" s="313">
        <f ca="1">IF(F321="PCS",$E$4,SUMIFS(Paper!$AC$7:$AC$58,Paper!$A$7:$A$58,'Production cost'!F321))</f>
        <v>0</v>
      </c>
      <c r="I321" s="313">
        <f ca="1">IF(input!$G689&gt;0,input!$G689,IF($C321=Data!$L$1158,500,3000))</f>
        <v>500</v>
      </c>
      <c r="J321" s="313" t="str">
        <f>input!$H689</f>
        <v>Sheets</v>
      </c>
      <c r="K321" s="360">
        <f>IF($C321=Data!$L$1158,0,1/4)</f>
        <v>0</v>
      </c>
      <c r="L321" s="313">
        <f ca="1">IF(input!$I689&gt;0,input!$I689,2)</f>
        <v>2</v>
      </c>
      <c r="M321" s="391">
        <f ca="1">IF(H321&gt;0,SUMIF(Data!$L$1155:$L$1190,'Production cost'!$C321,Data!$Q$1155:$Q$1190)*SUMIF(Paper!$A$7:$A$70,'Production cost'!$F321,Paper!$J$7:$J$70),0)</f>
        <v>0</v>
      </c>
      <c r="N321" s="391">
        <f t="shared" ca="1" si="205"/>
        <v>0</v>
      </c>
      <c r="O321" s="313">
        <f>IF($C321=Data!$L$1158,0,Data!$N$1195)</f>
        <v>0</v>
      </c>
      <c r="P321" s="313">
        <f>SUMIF(Data!$L$1155:$L$1190,'Production cost'!$C321,Data!$N$1155:$N$1190)</f>
        <v>64593.240854333337</v>
      </c>
      <c r="Q321" s="313">
        <f t="shared" ca="1" si="197"/>
        <v>0</v>
      </c>
      <c r="R321" s="313">
        <f t="shared" ca="1" si="206"/>
        <v>0</v>
      </c>
      <c r="S321" s="1741">
        <f t="shared" ca="1" si="207"/>
        <v>0</v>
      </c>
      <c r="T321" s="313" t="str">
        <f ca="1">input!J689</f>
        <v>N</v>
      </c>
      <c r="V321" s="3115" t="str">
        <f>input!K689</f>
        <v>Packaging</v>
      </c>
      <c r="W321" s="3115">
        <f t="shared" ca="1" si="208"/>
        <v>0</v>
      </c>
      <c r="X321" s="3119">
        <f>VLOOKUP(V321,'Fix Cost'!$K$177:$M$179,2,0)</f>
        <v>58449.923860467366</v>
      </c>
      <c r="Y321" s="3119">
        <f>VLOOKUP(V321,'Fix Cost'!$K$177:$M$179,3,0)</f>
        <v>267411.04680782068</v>
      </c>
      <c r="Z321" s="3119">
        <f t="shared" ca="1" si="209"/>
        <v>0</v>
      </c>
      <c r="AA321" s="3115">
        <f t="shared" ca="1" si="210"/>
        <v>0</v>
      </c>
      <c r="AB321" s="3115">
        <f t="shared" ca="1" si="211"/>
        <v>0</v>
      </c>
      <c r="AK321" s="313"/>
      <c r="AL321" s="313"/>
      <c r="AM321" s="313"/>
      <c r="AO321" s="1055"/>
      <c r="AP321" s="385"/>
      <c r="AQ321" s="385"/>
      <c r="AR321" s="1048"/>
      <c r="AS321" s="385"/>
      <c r="AT321" s="879">
        <f t="shared" ca="1" si="164"/>
        <v>0</v>
      </c>
      <c r="AU321" s="879">
        <f ca="1">COUNTIFS(AT$7:$AT321,1)</f>
        <v>5</v>
      </c>
    </row>
    <row r="322" spans="2:47" ht="14.25" hidden="1" customHeight="1" outlineLevel="1">
      <c r="B322" s="1738" t="s">
        <v>29</v>
      </c>
      <c r="C322" s="313" t="str">
        <f>input!C690</f>
        <v>Die-cutting (Semi-auto)</v>
      </c>
      <c r="D322" s="313">
        <f>input!D690</f>
        <v>18</v>
      </c>
      <c r="E322" s="363"/>
      <c r="F322" s="363" t="str">
        <f ca="1">input!F690</f>
        <v>N</v>
      </c>
      <c r="G322" s="363"/>
      <c r="H322" s="313">
        <f ca="1">IF(F322="PCS",$E$4,SUMIFS(Paper!$AC$7:$AC$58,Paper!$A$7:$A$58,'Production cost'!F322))</f>
        <v>0</v>
      </c>
      <c r="I322" s="313">
        <f ca="1">IF(input!$G690&gt;0,input!$G690,IF($C322=Data!$L$1158,500,3000))</f>
        <v>500</v>
      </c>
      <c r="J322" s="313" t="str">
        <f>input!$H690</f>
        <v>Sheets</v>
      </c>
      <c r="K322" s="360">
        <f>IF($C322=Data!$L$1158,0,1/4)</f>
        <v>0</v>
      </c>
      <c r="L322" s="313">
        <f ca="1">IF(input!$I690&gt;0,input!$I690,2)</f>
        <v>2</v>
      </c>
      <c r="M322" s="391">
        <f ca="1">IF(H322&gt;0,SUMIF(Data!$L$1155:$L$1190,'Production cost'!$C322,Data!$Q$1155:$Q$1190)*SUMIF(Paper!$A$7:$A$70,'Production cost'!$F322,Paper!$J$7:$J$70),0)</f>
        <v>0</v>
      </c>
      <c r="N322" s="391">
        <f t="shared" ca="1" si="205"/>
        <v>0</v>
      </c>
      <c r="O322" s="313">
        <f>IF($C322=Data!$L$1158,0,Data!$N$1195)</f>
        <v>0</v>
      </c>
      <c r="P322" s="313">
        <f>SUMIF(Data!$L$1155:$L$1190,'Production cost'!$C322,Data!$N$1155:$N$1190)</f>
        <v>64593.240854333337</v>
      </c>
      <c r="Q322" s="313">
        <f t="shared" ca="1" si="197"/>
        <v>0</v>
      </c>
      <c r="R322" s="313">
        <f t="shared" ca="1" si="206"/>
        <v>0</v>
      </c>
      <c r="S322" s="1741">
        <f t="shared" ca="1" si="207"/>
        <v>0</v>
      </c>
      <c r="T322" s="313" t="str">
        <f ca="1">input!J690</f>
        <v>N</v>
      </c>
      <c r="V322" s="3115" t="str">
        <f>input!K690</f>
        <v>Packaging</v>
      </c>
      <c r="W322" s="3115">
        <f t="shared" ca="1" si="208"/>
        <v>0</v>
      </c>
      <c r="X322" s="3119">
        <f>VLOOKUP(V322,'Fix Cost'!$K$177:$M$179,2,0)</f>
        <v>58449.923860467366</v>
      </c>
      <c r="Y322" s="3119">
        <f>VLOOKUP(V322,'Fix Cost'!$K$177:$M$179,3,0)</f>
        <v>267411.04680782068</v>
      </c>
      <c r="Z322" s="3119">
        <f t="shared" ca="1" si="209"/>
        <v>0</v>
      </c>
      <c r="AA322" s="3115">
        <f t="shared" ca="1" si="210"/>
        <v>0</v>
      </c>
      <c r="AB322" s="3115">
        <f t="shared" ca="1" si="211"/>
        <v>0</v>
      </c>
      <c r="AK322" s="313"/>
      <c r="AL322" s="313"/>
      <c r="AM322" s="313"/>
      <c r="AO322" s="1055"/>
      <c r="AP322" s="385"/>
      <c r="AQ322" s="385"/>
      <c r="AR322" s="1048"/>
      <c r="AS322" s="385"/>
      <c r="AT322" s="879">
        <f t="shared" ca="1" si="164"/>
        <v>0</v>
      </c>
      <c r="AU322" s="879">
        <f ca="1">COUNTIFS(AT$7:$AT322,1)</f>
        <v>5</v>
      </c>
    </row>
    <row r="323" spans="2:47" ht="14.25" hidden="1" customHeight="1" outlineLevel="1">
      <c r="B323" s="1738" t="s">
        <v>29</v>
      </c>
      <c r="C323" s="313" t="str">
        <f>input!C691</f>
        <v>Die-cutting (Semi-auto)</v>
      </c>
      <c r="D323" s="313">
        <f>input!D691</f>
        <v>21</v>
      </c>
      <c r="E323" s="363"/>
      <c r="F323" s="363" t="str">
        <f ca="1">input!F691</f>
        <v>N</v>
      </c>
      <c r="G323" s="363"/>
      <c r="H323" s="313">
        <f ca="1">IF(F323="PCS",$E$4,SUMIFS(Paper!$AC$7:$AC$58,Paper!$A$7:$A$58,'Production cost'!F323))</f>
        <v>0</v>
      </c>
      <c r="I323" s="313">
        <f ca="1">IF(input!$G691&gt;0,input!$G691,IF($C323=Data!$L$1158,500,3000))</f>
        <v>500</v>
      </c>
      <c r="J323" s="313" t="str">
        <f>input!$H691</f>
        <v>Sheets</v>
      </c>
      <c r="K323" s="360">
        <f>IF($C323=Data!$L$1158,0,1/4)</f>
        <v>0</v>
      </c>
      <c r="L323" s="313">
        <f ca="1">IF(input!$I691&gt;0,input!$I691,2)</f>
        <v>2</v>
      </c>
      <c r="M323" s="391">
        <f ca="1">IF(H323&gt;0,SUMIF(Data!$L$1155:$L$1190,'Production cost'!$C323,Data!$Q$1155:$Q$1190)*SUMIF(Paper!$A$7:$A$70,'Production cost'!$F323,Paper!$J$7:$J$70),0)</f>
        <v>0</v>
      </c>
      <c r="N323" s="391">
        <f t="shared" ca="1" si="205"/>
        <v>0</v>
      </c>
      <c r="O323" s="313">
        <f>IF($C323=Data!$L$1158,0,Data!$N$1195)</f>
        <v>0</v>
      </c>
      <c r="P323" s="313">
        <f>SUMIF(Data!$L$1155:$L$1190,'Production cost'!$C323,Data!$N$1155:$N$1190)</f>
        <v>64593.240854333337</v>
      </c>
      <c r="Q323" s="313">
        <f t="shared" ca="1" si="197"/>
        <v>0</v>
      </c>
      <c r="R323" s="313">
        <f t="shared" ca="1" si="206"/>
        <v>0</v>
      </c>
      <c r="S323" s="1741">
        <f t="shared" ca="1" si="207"/>
        <v>0</v>
      </c>
      <c r="T323" s="313" t="str">
        <f ca="1">input!J691</f>
        <v>N</v>
      </c>
      <c r="V323" s="3115" t="str">
        <f>input!K691</f>
        <v>Packaging</v>
      </c>
      <c r="W323" s="3115">
        <f t="shared" ca="1" si="208"/>
        <v>0</v>
      </c>
      <c r="X323" s="3119">
        <f>VLOOKUP(V323,'Fix Cost'!$K$177:$M$179,2,0)</f>
        <v>58449.923860467366</v>
      </c>
      <c r="Y323" s="3119">
        <f>VLOOKUP(V323,'Fix Cost'!$K$177:$M$179,3,0)</f>
        <v>267411.04680782068</v>
      </c>
      <c r="Z323" s="3119">
        <f t="shared" ca="1" si="209"/>
        <v>0</v>
      </c>
      <c r="AA323" s="3115">
        <f t="shared" ca="1" si="210"/>
        <v>0</v>
      </c>
      <c r="AB323" s="3115">
        <f t="shared" ca="1" si="211"/>
        <v>0</v>
      </c>
      <c r="AK323" s="313"/>
      <c r="AL323" s="313"/>
      <c r="AM323" s="313"/>
      <c r="AO323" s="1055"/>
      <c r="AP323" s="385"/>
      <c r="AQ323" s="385"/>
      <c r="AR323" s="1048"/>
      <c r="AS323" s="385"/>
      <c r="AT323" s="879">
        <f t="shared" ca="1" si="164"/>
        <v>0</v>
      </c>
      <c r="AU323" s="879">
        <f ca="1">COUNTIFS(AT$7:$AT323,1)</f>
        <v>5</v>
      </c>
    </row>
    <row r="324" spans="2:47" ht="14.25" hidden="1" customHeight="1" outlineLevel="1">
      <c r="B324" s="1738" t="s">
        <v>29</v>
      </c>
      <c r="C324" s="313" t="str">
        <f>input!C692</f>
        <v>Die-cutting (Semi-auto)</v>
      </c>
      <c r="D324" s="313">
        <f>input!D692</f>
        <v>24</v>
      </c>
      <c r="E324" s="363"/>
      <c r="F324" s="363" t="str">
        <f ca="1">input!F692</f>
        <v>N</v>
      </c>
      <c r="G324" s="363"/>
      <c r="H324" s="313">
        <f ca="1">IF(F324="PCS",$E$4,SUMIFS(Paper!$AC$7:$AC$58,Paper!$A$7:$A$58,'Production cost'!F324))</f>
        <v>0</v>
      </c>
      <c r="I324" s="313">
        <f ca="1">IF(input!$G692&gt;0,input!$G692,IF($C324=Data!$L$1158,500,3000))</f>
        <v>500</v>
      </c>
      <c r="J324" s="313" t="str">
        <f>input!$H692</f>
        <v>Sheets</v>
      </c>
      <c r="K324" s="360">
        <f>IF($C324=Data!$L$1158,0,1/4)</f>
        <v>0</v>
      </c>
      <c r="L324" s="313">
        <f ca="1">IF(input!$I692&gt;0,input!$I692,2)</f>
        <v>2</v>
      </c>
      <c r="M324" s="391">
        <f ca="1">IF(H324&gt;0,SUMIF(Data!$L$1155:$L$1190,'Production cost'!$C324,Data!$Q$1155:$Q$1190)*SUMIF(Paper!$A$7:$A$70,'Production cost'!$F324,Paper!$J$7:$J$70),0)</f>
        <v>0</v>
      </c>
      <c r="N324" s="391">
        <f t="shared" ca="1" si="205"/>
        <v>0</v>
      </c>
      <c r="O324" s="313">
        <f>IF($C324=Data!$L$1158,0,Data!$N$1195)</f>
        <v>0</v>
      </c>
      <c r="P324" s="313">
        <f>SUMIF(Data!$L$1155:$L$1190,'Production cost'!$C324,Data!$N$1155:$N$1190)</f>
        <v>64593.240854333337</v>
      </c>
      <c r="Q324" s="313">
        <f t="shared" ca="1" si="197"/>
        <v>0</v>
      </c>
      <c r="R324" s="313">
        <f t="shared" ca="1" si="206"/>
        <v>0</v>
      </c>
      <c r="S324" s="1741">
        <f t="shared" ca="1" si="207"/>
        <v>0</v>
      </c>
      <c r="T324" s="313" t="str">
        <f ca="1">input!J692</f>
        <v>N</v>
      </c>
      <c r="V324" s="3115" t="str">
        <f>input!K692</f>
        <v>Packaging</v>
      </c>
      <c r="W324" s="3115">
        <f t="shared" ca="1" si="208"/>
        <v>0</v>
      </c>
      <c r="X324" s="3119">
        <f>VLOOKUP(V324,'Fix Cost'!$K$177:$M$179,2,0)</f>
        <v>58449.923860467366</v>
      </c>
      <c r="Y324" s="3119">
        <f>VLOOKUP(V324,'Fix Cost'!$K$177:$M$179,3,0)</f>
        <v>267411.04680782068</v>
      </c>
      <c r="Z324" s="3119">
        <f t="shared" ca="1" si="209"/>
        <v>0</v>
      </c>
      <c r="AA324" s="3115">
        <f t="shared" ca="1" si="210"/>
        <v>0</v>
      </c>
      <c r="AB324" s="3115">
        <f t="shared" ca="1" si="211"/>
        <v>0</v>
      </c>
      <c r="AK324" s="313"/>
      <c r="AL324" s="313"/>
      <c r="AM324" s="313"/>
      <c r="AO324" s="1055"/>
      <c r="AP324" s="385"/>
      <c r="AQ324" s="385"/>
      <c r="AR324" s="1048"/>
      <c r="AS324" s="385"/>
      <c r="AT324" s="879">
        <f t="shared" ca="1" si="164"/>
        <v>0</v>
      </c>
      <c r="AU324" s="879">
        <f ca="1">COUNTIFS(AT$7:$AT324,1)</f>
        <v>5</v>
      </c>
    </row>
    <row r="325" spans="2:47" ht="14.25" hidden="1" customHeight="1" outlineLevel="1">
      <c r="B325" s="1738" t="s">
        <v>29</v>
      </c>
      <c r="C325" s="313" t="str">
        <f>input!C693</f>
        <v>Die-cutting (Semi-auto)</v>
      </c>
      <c r="D325" s="313">
        <f>input!D693</f>
        <v>27</v>
      </c>
      <c r="E325" s="363"/>
      <c r="F325" s="363" t="str">
        <f ca="1">input!F693</f>
        <v>N</v>
      </c>
      <c r="G325" s="363"/>
      <c r="H325" s="313">
        <f ca="1">IF(F325="PCS",$E$4,SUMIFS(Paper!$AC$7:$AC$58,Paper!$A$7:$A$58,'Production cost'!F325))</f>
        <v>0</v>
      </c>
      <c r="I325" s="313">
        <f ca="1">IF(input!$G693&gt;0,input!$G693,IF($C325=Data!$L$1158,500,3000))</f>
        <v>500</v>
      </c>
      <c r="J325" s="313" t="str">
        <f>input!$H693</f>
        <v>Sheets</v>
      </c>
      <c r="K325" s="360">
        <f>IF($C325=Data!$L$1158,0,1/4)</f>
        <v>0</v>
      </c>
      <c r="L325" s="313">
        <f ca="1">IF(input!$I693&gt;0,input!$I693,2)</f>
        <v>2</v>
      </c>
      <c r="M325" s="391">
        <f ca="1">IF(H325&gt;0,SUMIF(Data!$L$1155:$L$1190,'Production cost'!$C325,Data!$Q$1155:$Q$1190)*SUMIF(Paper!$A$7:$A$70,'Production cost'!$F325,Paper!$J$7:$J$70),0)</f>
        <v>0</v>
      </c>
      <c r="N325" s="391">
        <f t="shared" ca="1" si="205"/>
        <v>0</v>
      </c>
      <c r="O325" s="313">
        <f>IF($C325=Data!$L$1158,0,Data!$N$1195)</f>
        <v>0</v>
      </c>
      <c r="P325" s="313">
        <f>SUMIF(Data!$L$1155:$L$1190,'Production cost'!$C325,Data!$N$1155:$N$1190)</f>
        <v>64593.240854333337</v>
      </c>
      <c r="Q325" s="313">
        <f t="shared" ca="1" si="197"/>
        <v>0</v>
      </c>
      <c r="R325" s="313">
        <f t="shared" ca="1" si="206"/>
        <v>0</v>
      </c>
      <c r="S325" s="1741">
        <f t="shared" ca="1" si="207"/>
        <v>0</v>
      </c>
      <c r="T325" s="313" t="str">
        <f ca="1">input!J693</f>
        <v>N</v>
      </c>
      <c r="V325" s="3115" t="str">
        <f>input!K693</f>
        <v>Packaging</v>
      </c>
      <c r="W325" s="3115">
        <f t="shared" ca="1" si="208"/>
        <v>0</v>
      </c>
      <c r="X325" s="3119">
        <f>VLOOKUP(V325,'Fix Cost'!$K$177:$M$179,2,0)</f>
        <v>58449.923860467366</v>
      </c>
      <c r="Y325" s="3119">
        <f>VLOOKUP(V325,'Fix Cost'!$K$177:$M$179,3,0)</f>
        <v>267411.04680782068</v>
      </c>
      <c r="Z325" s="3119">
        <f t="shared" ca="1" si="209"/>
        <v>0</v>
      </c>
      <c r="AA325" s="3115">
        <f t="shared" ca="1" si="210"/>
        <v>0</v>
      </c>
      <c r="AB325" s="3115">
        <f t="shared" ca="1" si="211"/>
        <v>0</v>
      </c>
      <c r="AK325" s="313"/>
      <c r="AL325" s="313"/>
      <c r="AM325" s="313"/>
      <c r="AO325" s="1055"/>
      <c r="AP325" s="385"/>
      <c r="AQ325" s="385"/>
      <c r="AR325" s="1048"/>
      <c r="AS325" s="385"/>
      <c r="AT325" s="879">
        <f t="shared" ca="1" si="164"/>
        <v>0</v>
      </c>
      <c r="AU325" s="879">
        <f ca="1">COUNTIFS(AT$7:$AT325,1)</f>
        <v>5</v>
      </c>
    </row>
    <row r="326" spans="2:47" ht="14.25" hidden="1" customHeight="1" outlineLevel="1">
      <c r="B326" s="1738" t="s">
        <v>29</v>
      </c>
      <c r="C326" s="313" t="str">
        <f>input!C694</f>
        <v>Die-cutting (Semi-auto)</v>
      </c>
      <c r="D326" s="313">
        <f>input!D694</f>
        <v>30</v>
      </c>
      <c r="E326" s="363"/>
      <c r="F326" s="363" t="str">
        <f ca="1">input!F694</f>
        <v>N</v>
      </c>
      <c r="G326" s="363"/>
      <c r="H326" s="313">
        <f ca="1">IF(F326="PCS",$E$4,SUMIFS(Paper!$AC$7:$AC$58,Paper!$A$7:$A$58,'Production cost'!F326))</f>
        <v>0</v>
      </c>
      <c r="I326" s="313">
        <f ca="1">IF(input!$G694&gt;0,input!$G694,IF($C326=Data!$L$1158,500,3000))</f>
        <v>500</v>
      </c>
      <c r="J326" s="313" t="str">
        <f>input!$H694</f>
        <v>Sheets</v>
      </c>
      <c r="K326" s="360">
        <f>IF($C326=Data!$L$1158,0,1/4)</f>
        <v>0</v>
      </c>
      <c r="L326" s="313">
        <f ca="1">IF(input!$I694&gt;0,input!$I694,2)</f>
        <v>2</v>
      </c>
      <c r="M326" s="391">
        <f ca="1">IF(H326&gt;0,SUMIF(Data!$L$1155:$L$1190,'Production cost'!$C326,Data!$Q$1155:$Q$1190)*SUMIF(Paper!$A$7:$A$70,'Production cost'!$F326,Paper!$J$7:$J$70),0)</f>
        <v>0</v>
      </c>
      <c r="N326" s="391">
        <f t="shared" ref="N326:N330" ca="1" si="212">IF(H326&gt;0,ROUNDUP(((H326/I326)/$M$5+M326),1),0)</f>
        <v>0</v>
      </c>
      <c r="O326" s="313">
        <f>IF($C326=Data!$L$1158,0,Data!$N$1195)</f>
        <v>0</v>
      </c>
      <c r="P326" s="313">
        <f>SUMIF(Data!$L$1155:$L$1190,'Production cost'!$C326,Data!$N$1155:$N$1190)</f>
        <v>64593.240854333337</v>
      </c>
      <c r="Q326" s="313">
        <f t="shared" ref="Q326:Q330" ca="1" si="213">(N326*O326*K326+N326*P326*L326)*(1+$R$702)</f>
        <v>0</v>
      </c>
      <c r="R326" s="313">
        <f t="shared" ref="R326:R330" ca="1" si="214">IF($E$2&gt;0,Q326/$E$2,0)</f>
        <v>0</v>
      </c>
      <c r="S326" s="1741">
        <f t="shared" ref="S326:S330" ca="1" si="215">IF(M326&gt;0,K326*O326+L326*P326,0)</f>
        <v>0</v>
      </c>
      <c r="T326" s="313" t="str">
        <f ca="1">input!J694</f>
        <v>N</v>
      </c>
      <c r="V326" s="3115" t="str">
        <f>input!K694</f>
        <v>Packaging</v>
      </c>
      <c r="W326" s="3115">
        <f t="shared" ref="W326:W330" ca="1" si="216">N326*(L326+K326)</f>
        <v>0</v>
      </c>
      <c r="X326" s="3119">
        <f>VLOOKUP(V326,'Fix Cost'!$K$177:$M$179,2,0)</f>
        <v>58449.923860467366</v>
      </c>
      <c r="Y326" s="3119">
        <f>VLOOKUP(V326,'Fix Cost'!$K$177:$M$179,3,0)</f>
        <v>267411.04680782068</v>
      </c>
      <c r="Z326" s="3119">
        <f t="shared" ref="Z326:Z330" ca="1" si="217">IFERROR($X326*W326,0)</f>
        <v>0</v>
      </c>
      <c r="AA326" s="3115">
        <f t="shared" ref="AA326:AA330" ca="1" si="218">IFERROR(Y326*N326,0)</f>
        <v>0</v>
      </c>
      <c r="AB326" s="3115">
        <f t="shared" ref="AB326:AB330" ca="1" si="219">Z326+AA326</f>
        <v>0</v>
      </c>
      <c r="AK326" s="313"/>
      <c r="AL326" s="313"/>
      <c r="AM326" s="313"/>
      <c r="AO326" s="1055"/>
      <c r="AP326" s="385"/>
      <c r="AQ326" s="385"/>
      <c r="AR326" s="1048"/>
      <c r="AS326" s="385"/>
      <c r="AT326" s="879"/>
      <c r="AU326" s="879"/>
    </row>
    <row r="327" spans="2:47" ht="14.25" hidden="1" customHeight="1" outlineLevel="1">
      <c r="B327" s="1738" t="s">
        <v>29</v>
      </c>
      <c r="C327" s="313" t="str">
        <f>input!C695</f>
        <v>Die-cutting (Semi-auto)</v>
      </c>
      <c r="D327" s="313">
        <f>input!D695</f>
        <v>33</v>
      </c>
      <c r="E327" s="363"/>
      <c r="F327" s="363" t="str">
        <f ca="1">input!F695</f>
        <v>N</v>
      </c>
      <c r="G327" s="363"/>
      <c r="H327" s="313">
        <f ca="1">IF(F327="PCS",$E$4,SUMIFS(Paper!$AC$7:$AC$58,Paper!$A$7:$A$58,'Production cost'!F327))</f>
        <v>0</v>
      </c>
      <c r="I327" s="313">
        <f ca="1">IF(input!$G695&gt;0,input!$G695,IF($C327=Data!$L$1158,500,3000))</f>
        <v>500</v>
      </c>
      <c r="J327" s="313" t="str">
        <f>input!$H695</f>
        <v>Sheets</v>
      </c>
      <c r="K327" s="360">
        <f>IF($C327=Data!$L$1158,0,1/4)</f>
        <v>0</v>
      </c>
      <c r="L327" s="313">
        <f ca="1">IF(input!$I695&gt;0,input!$I695,2)</f>
        <v>2</v>
      </c>
      <c r="M327" s="391">
        <f ca="1">IF(H327&gt;0,SUMIF(Data!$L$1155:$L$1190,'Production cost'!$C327,Data!$Q$1155:$Q$1190)*SUMIF(Paper!$A$7:$A$70,'Production cost'!$F327,Paper!$J$7:$J$70),0)</f>
        <v>0</v>
      </c>
      <c r="N327" s="391">
        <f t="shared" ca="1" si="212"/>
        <v>0</v>
      </c>
      <c r="O327" s="313">
        <f>IF($C327=Data!$L$1158,0,Data!$N$1195)</f>
        <v>0</v>
      </c>
      <c r="P327" s="313">
        <f>SUMIF(Data!$L$1155:$L$1190,'Production cost'!$C327,Data!$N$1155:$N$1190)</f>
        <v>64593.240854333337</v>
      </c>
      <c r="Q327" s="313">
        <f t="shared" ca="1" si="213"/>
        <v>0</v>
      </c>
      <c r="R327" s="313">
        <f t="shared" ca="1" si="214"/>
        <v>0</v>
      </c>
      <c r="S327" s="1741">
        <f t="shared" ca="1" si="215"/>
        <v>0</v>
      </c>
      <c r="T327" s="313" t="str">
        <f ca="1">input!J695</f>
        <v>N</v>
      </c>
      <c r="V327" s="3115" t="str">
        <f>input!K695</f>
        <v>Packaging</v>
      </c>
      <c r="W327" s="3115">
        <f t="shared" ca="1" si="216"/>
        <v>0</v>
      </c>
      <c r="X327" s="3119">
        <f>VLOOKUP(V327,'Fix Cost'!$K$177:$M$179,2,0)</f>
        <v>58449.923860467366</v>
      </c>
      <c r="Y327" s="3119">
        <f>VLOOKUP(V327,'Fix Cost'!$K$177:$M$179,3,0)</f>
        <v>267411.04680782068</v>
      </c>
      <c r="Z327" s="3119">
        <f t="shared" ca="1" si="217"/>
        <v>0</v>
      </c>
      <c r="AA327" s="3115">
        <f t="shared" ca="1" si="218"/>
        <v>0</v>
      </c>
      <c r="AB327" s="3115">
        <f t="shared" ca="1" si="219"/>
        <v>0</v>
      </c>
      <c r="AK327" s="313"/>
      <c r="AL327" s="313"/>
      <c r="AM327" s="313"/>
      <c r="AO327" s="1055"/>
      <c r="AP327" s="385"/>
      <c r="AQ327" s="385"/>
      <c r="AR327" s="1048"/>
      <c r="AS327" s="385"/>
      <c r="AT327" s="879"/>
      <c r="AU327" s="879"/>
    </row>
    <row r="328" spans="2:47" ht="14.25" hidden="1" customHeight="1" outlineLevel="1">
      <c r="B328" s="1738" t="s">
        <v>29</v>
      </c>
      <c r="C328" s="313" t="str">
        <f>input!C696</f>
        <v>Die-cutting (Semi-auto)</v>
      </c>
      <c r="D328" s="313">
        <f>input!D696</f>
        <v>36</v>
      </c>
      <c r="E328" s="363"/>
      <c r="F328" s="363" t="str">
        <f ca="1">input!F696</f>
        <v>N</v>
      </c>
      <c r="G328" s="363"/>
      <c r="H328" s="313">
        <f ca="1">IF(F328="PCS",$E$4,SUMIFS(Paper!$AC$7:$AC$58,Paper!$A$7:$A$58,'Production cost'!F328))</f>
        <v>0</v>
      </c>
      <c r="I328" s="313">
        <f ca="1">IF(input!$G696&gt;0,input!$G696,IF($C328=Data!$L$1158,500,3000))</f>
        <v>500</v>
      </c>
      <c r="J328" s="313" t="str">
        <f>input!$H696</f>
        <v>Sheets</v>
      </c>
      <c r="K328" s="360">
        <f>IF($C328=Data!$L$1158,0,1/4)</f>
        <v>0</v>
      </c>
      <c r="L328" s="313">
        <f ca="1">IF(input!$I696&gt;0,input!$I696,2)</f>
        <v>2</v>
      </c>
      <c r="M328" s="391">
        <f ca="1">IF(H328&gt;0,SUMIF(Data!$L$1155:$L$1190,'Production cost'!$C328,Data!$Q$1155:$Q$1190)*SUMIF(Paper!$A$7:$A$70,'Production cost'!$F328,Paper!$J$7:$J$70),0)</f>
        <v>0</v>
      </c>
      <c r="N328" s="391">
        <f t="shared" ca="1" si="212"/>
        <v>0</v>
      </c>
      <c r="O328" s="313">
        <f>IF($C328=Data!$L$1158,0,Data!$N$1195)</f>
        <v>0</v>
      </c>
      <c r="P328" s="313">
        <f>SUMIF(Data!$L$1155:$L$1190,'Production cost'!$C328,Data!$N$1155:$N$1190)</f>
        <v>64593.240854333337</v>
      </c>
      <c r="Q328" s="313">
        <f t="shared" ca="1" si="213"/>
        <v>0</v>
      </c>
      <c r="R328" s="313">
        <f t="shared" ca="1" si="214"/>
        <v>0</v>
      </c>
      <c r="S328" s="1741">
        <f t="shared" ca="1" si="215"/>
        <v>0</v>
      </c>
      <c r="T328" s="313" t="str">
        <f ca="1">input!J696</f>
        <v>N</v>
      </c>
      <c r="V328" s="3115" t="str">
        <f>input!K696</f>
        <v>Packaging</v>
      </c>
      <c r="W328" s="3115">
        <f t="shared" ca="1" si="216"/>
        <v>0</v>
      </c>
      <c r="X328" s="3119">
        <f>VLOOKUP(V328,'Fix Cost'!$K$177:$M$179,2,0)</f>
        <v>58449.923860467366</v>
      </c>
      <c r="Y328" s="3119">
        <f>VLOOKUP(V328,'Fix Cost'!$K$177:$M$179,3,0)</f>
        <v>267411.04680782068</v>
      </c>
      <c r="Z328" s="3119">
        <f t="shared" ca="1" si="217"/>
        <v>0</v>
      </c>
      <c r="AA328" s="3115">
        <f t="shared" ca="1" si="218"/>
        <v>0</v>
      </c>
      <c r="AB328" s="3115">
        <f t="shared" ca="1" si="219"/>
        <v>0</v>
      </c>
      <c r="AK328" s="313"/>
      <c r="AL328" s="313"/>
      <c r="AM328" s="313"/>
      <c r="AO328" s="1055"/>
      <c r="AP328" s="385"/>
      <c r="AQ328" s="385"/>
      <c r="AR328" s="1048"/>
      <c r="AS328" s="385"/>
      <c r="AT328" s="879"/>
      <c r="AU328" s="879"/>
    </row>
    <row r="329" spans="2:47" ht="14.25" hidden="1" customHeight="1" outlineLevel="1">
      <c r="B329" s="1738" t="s">
        <v>29</v>
      </c>
      <c r="C329" s="313" t="str">
        <f>input!C697</f>
        <v>Die-cutting (Semi-auto)</v>
      </c>
      <c r="D329" s="313">
        <f>input!D697</f>
        <v>39</v>
      </c>
      <c r="E329" s="363"/>
      <c r="F329" s="363" t="str">
        <f ca="1">input!F697</f>
        <v>N</v>
      </c>
      <c r="G329" s="363"/>
      <c r="H329" s="313">
        <f ca="1">IF(F329="PCS",$E$4,SUMIFS(Paper!$AC$7:$AC$58,Paper!$A$7:$A$58,'Production cost'!F329))</f>
        <v>0</v>
      </c>
      <c r="I329" s="313">
        <f ca="1">IF(input!$G697&gt;0,input!$G697,IF($C329=Data!$L$1158,500,3000))</f>
        <v>500</v>
      </c>
      <c r="J329" s="313" t="str">
        <f>input!$H697</f>
        <v>Sheets</v>
      </c>
      <c r="K329" s="360">
        <f>IF($C329=Data!$L$1158,0,1/4)</f>
        <v>0</v>
      </c>
      <c r="L329" s="313">
        <f ca="1">IF(input!$I697&gt;0,input!$I697,2)</f>
        <v>2</v>
      </c>
      <c r="M329" s="391">
        <f ca="1">IF(H329&gt;0,SUMIF(Data!$L$1155:$L$1190,'Production cost'!$C329,Data!$Q$1155:$Q$1190)*SUMIF(Paper!$A$7:$A$70,'Production cost'!$F329,Paper!$J$7:$J$70),0)</f>
        <v>0</v>
      </c>
      <c r="N329" s="391">
        <f t="shared" ca="1" si="212"/>
        <v>0</v>
      </c>
      <c r="O329" s="313">
        <f>IF($C329=Data!$L$1158,0,Data!$N$1195)</f>
        <v>0</v>
      </c>
      <c r="P329" s="313">
        <f>SUMIF(Data!$L$1155:$L$1190,'Production cost'!$C329,Data!$N$1155:$N$1190)</f>
        <v>64593.240854333337</v>
      </c>
      <c r="Q329" s="313">
        <f t="shared" ca="1" si="213"/>
        <v>0</v>
      </c>
      <c r="R329" s="313">
        <f t="shared" ca="1" si="214"/>
        <v>0</v>
      </c>
      <c r="S329" s="1741">
        <f t="shared" ca="1" si="215"/>
        <v>0</v>
      </c>
      <c r="T329" s="313" t="str">
        <f ca="1">input!J697</f>
        <v>N</v>
      </c>
      <c r="V329" s="3115" t="str">
        <f>input!K697</f>
        <v>Packaging</v>
      </c>
      <c r="W329" s="3115">
        <f t="shared" ca="1" si="216"/>
        <v>0</v>
      </c>
      <c r="X329" s="3119">
        <f>VLOOKUP(V329,'Fix Cost'!$K$177:$M$179,2,0)</f>
        <v>58449.923860467366</v>
      </c>
      <c r="Y329" s="3119">
        <f>VLOOKUP(V329,'Fix Cost'!$K$177:$M$179,3,0)</f>
        <v>267411.04680782068</v>
      </c>
      <c r="Z329" s="3119">
        <f t="shared" ca="1" si="217"/>
        <v>0</v>
      </c>
      <c r="AA329" s="3115">
        <f t="shared" ca="1" si="218"/>
        <v>0</v>
      </c>
      <c r="AB329" s="3115">
        <f t="shared" ca="1" si="219"/>
        <v>0</v>
      </c>
      <c r="AK329" s="313"/>
      <c r="AL329" s="313"/>
      <c r="AM329" s="313"/>
      <c r="AO329" s="1055"/>
      <c r="AP329" s="385"/>
      <c r="AQ329" s="385"/>
      <c r="AR329" s="1048"/>
      <c r="AS329" s="385"/>
      <c r="AT329" s="879"/>
      <c r="AU329" s="879"/>
    </row>
    <row r="330" spans="2:47" ht="14.25" hidden="1" customHeight="1" outlineLevel="1">
      <c r="B330" s="1738" t="s">
        <v>29</v>
      </c>
      <c r="C330" s="313" t="str">
        <f>input!C698</f>
        <v>Die-cutting (Semi-auto)</v>
      </c>
      <c r="D330" s="313">
        <f>input!D698</f>
        <v>42</v>
      </c>
      <c r="E330" s="363"/>
      <c r="F330" s="363" t="str">
        <f ca="1">input!F698</f>
        <v>N</v>
      </c>
      <c r="G330" s="363"/>
      <c r="H330" s="313">
        <f ca="1">IF(F330="PCS",$E$4,SUMIFS(Paper!$AC$7:$AC$58,Paper!$A$7:$A$58,'Production cost'!F330))</f>
        <v>0</v>
      </c>
      <c r="I330" s="313">
        <f ca="1">IF(input!$G698&gt;0,input!$G698,IF($C330=Data!$L$1158,500,3000))</f>
        <v>500</v>
      </c>
      <c r="J330" s="313" t="str">
        <f>input!$H698</f>
        <v>Sheets</v>
      </c>
      <c r="K330" s="360">
        <f>IF($C330=Data!$L$1158,0,1/4)</f>
        <v>0</v>
      </c>
      <c r="L330" s="313">
        <f ca="1">IF(input!$I698&gt;0,input!$I698,2)</f>
        <v>2</v>
      </c>
      <c r="M330" s="391">
        <f ca="1">IF(H330&gt;0,SUMIF(Data!$L$1155:$L$1190,'Production cost'!$C330,Data!$Q$1155:$Q$1190)*SUMIF(Paper!$A$7:$A$70,'Production cost'!$F330,Paper!$J$7:$J$70),0)</f>
        <v>0</v>
      </c>
      <c r="N330" s="391">
        <f t="shared" ca="1" si="212"/>
        <v>0</v>
      </c>
      <c r="O330" s="313">
        <f>IF($C330=Data!$L$1158,0,Data!$N$1195)</f>
        <v>0</v>
      </c>
      <c r="P330" s="313">
        <f>SUMIF(Data!$L$1155:$L$1190,'Production cost'!$C330,Data!$N$1155:$N$1190)</f>
        <v>64593.240854333337</v>
      </c>
      <c r="Q330" s="313">
        <f t="shared" ca="1" si="213"/>
        <v>0</v>
      </c>
      <c r="R330" s="313">
        <f t="shared" ca="1" si="214"/>
        <v>0</v>
      </c>
      <c r="S330" s="1741">
        <f t="shared" ca="1" si="215"/>
        <v>0</v>
      </c>
      <c r="T330" s="313" t="str">
        <f ca="1">input!J698</f>
        <v>N</v>
      </c>
      <c r="V330" s="3115" t="str">
        <f>input!K698</f>
        <v>Packaging</v>
      </c>
      <c r="W330" s="3115">
        <f t="shared" ca="1" si="216"/>
        <v>0</v>
      </c>
      <c r="X330" s="3119">
        <f>VLOOKUP(V330,'Fix Cost'!$K$177:$M$179,2,0)</f>
        <v>58449.923860467366</v>
      </c>
      <c r="Y330" s="3119">
        <f>VLOOKUP(V330,'Fix Cost'!$K$177:$M$179,3,0)</f>
        <v>267411.04680782068</v>
      </c>
      <c r="Z330" s="3119">
        <f t="shared" ca="1" si="217"/>
        <v>0</v>
      </c>
      <c r="AA330" s="3115">
        <f t="shared" ca="1" si="218"/>
        <v>0</v>
      </c>
      <c r="AB330" s="3115">
        <f t="shared" ca="1" si="219"/>
        <v>0</v>
      </c>
      <c r="AK330" s="313"/>
      <c r="AL330" s="313"/>
      <c r="AM330" s="313"/>
      <c r="AO330" s="1055"/>
      <c r="AP330" s="385"/>
      <c r="AQ330" s="385"/>
      <c r="AR330" s="1048"/>
      <c r="AS330" s="385"/>
      <c r="AT330" s="879"/>
      <c r="AU330" s="879"/>
    </row>
    <row r="331" spans="2:47" ht="14.25" hidden="1" customHeight="1" outlineLevel="1">
      <c r="B331" s="1738" t="s">
        <v>29</v>
      </c>
      <c r="C331" s="313" t="str">
        <f>input!C699</f>
        <v>Die-cutting (Shungfa)</v>
      </c>
      <c r="D331" s="313">
        <f>input!D699</f>
        <v>0</v>
      </c>
      <c r="E331" s="363"/>
      <c r="F331" s="363" t="str">
        <f ca="1">input!F699</f>
        <v>N</v>
      </c>
      <c r="G331" s="363"/>
      <c r="H331" s="313">
        <f ca="1">IF(F331="PCS",$E$4,SUMIFS(Paper!$AC$7:$AC$58,Paper!$A$7:$A$58,'Production cost'!F331))</f>
        <v>0</v>
      </c>
      <c r="I331" s="313">
        <f ca="1">IF(input!$G699&gt;0,input!$G699,IF($C331=Data!$L$1158,500,3000))</f>
        <v>3000</v>
      </c>
      <c r="J331" s="313" t="str">
        <f>input!$H699</f>
        <v>Sheets</v>
      </c>
      <c r="K331" s="360">
        <f>IF($C331=Data!$L$1158,0,1/4)</f>
        <v>0.25</v>
      </c>
      <c r="L331" s="313">
        <f ca="1">IF(input!$I699&gt;0,input!$I699,2)</f>
        <v>2</v>
      </c>
      <c r="M331" s="391">
        <f ca="1">IF(H331&gt;0,SUMIF(Data!$L$1155:$L$1190,'Production cost'!$C331,Data!$Q$1155:$Q$1190)*SUMIF(Paper!$A$7:$A$70,'Production cost'!$F331,Paper!$J$7:$J$70),0)</f>
        <v>0</v>
      </c>
      <c r="N331" s="391">
        <f t="shared" ca="1" si="205"/>
        <v>0</v>
      </c>
      <c r="O331" s="313">
        <f>IF($C331=Data!$L$1158,0,Data!$N$1195)</f>
        <v>352574.32240985788</v>
      </c>
      <c r="P331" s="313">
        <f>SUMIF(Data!$L$1155:$L$1190,'Production cost'!$C331,Data!$N$1155:$N$1190)</f>
        <v>64593.240854333337</v>
      </c>
      <c r="Q331" s="313">
        <f t="shared" ca="1" si="197"/>
        <v>0</v>
      </c>
      <c r="R331" s="313">
        <f t="shared" ca="1" si="206"/>
        <v>0</v>
      </c>
      <c r="S331" s="1741">
        <f t="shared" ca="1" si="207"/>
        <v>0</v>
      </c>
      <c r="T331" s="313" t="str">
        <f ca="1">input!J699</f>
        <v>N</v>
      </c>
      <c r="V331" s="3115" t="str">
        <f>input!K699</f>
        <v>Packaging</v>
      </c>
      <c r="W331" s="3115">
        <f t="shared" ca="1" si="208"/>
        <v>0</v>
      </c>
      <c r="X331" s="3119">
        <f>VLOOKUP(V331,'Fix Cost'!$K$177:$M$179,2,0)</f>
        <v>58449.923860467366</v>
      </c>
      <c r="Y331" s="3119">
        <f>VLOOKUP(V331,'Fix Cost'!$K$177:$M$179,3,0)</f>
        <v>267411.04680782068</v>
      </c>
      <c r="Z331" s="3119">
        <f t="shared" ca="1" si="209"/>
        <v>0</v>
      </c>
      <c r="AA331" s="3115">
        <f t="shared" ca="1" si="210"/>
        <v>0</v>
      </c>
      <c r="AB331" s="3115">
        <f t="shared" ca="1" si="211"/>
        <v>0</v>
      </c>
      <c r="AK331" s="313"/>
      <c r="AL331" s="313"/>
      <c r="AM331" s="313"/>
      <c r="AO331" s="1055"/>
      <c r="AP331" s="385"/>
      <c r="AQ331" s="385"/>
      <c r="AR331" s="1048"/>
      <c r="AS331" s="385"/>
      <c r="AT331" s="879">
        <f t="shared" ca="1" si="164"/>
        <v>0</v>
      </c>
      <c r="AU331" s="879">
        <f ca="1">COUNTIFS(AT$7:$AT331,1)</f>
        <v>5</v>
      </c>
    </row>
    <row r="332" spans="2:47" ht="14.25" hidden="1" customHeight="1" outlineLevel="1">
      <c r="B332" s="1738" t="s">
        <v>29</v>
      </c>
      <c r="C332" s="313" t="str">
        <f>input!C700</f>
        <v>Die-cutting (Shungfa)</v>
      </c>
      <c r="D332" s="313">
        <f>input!D700</f>
        <v>3</v>
      </c>
      <c r="E332" s="363"/>
      <c r="F332" s="363" t="str">
        <f ca="1">input!F700</f>
        <v>N</v>
      </c>
      <c r="G332" s="363"/>
      <c r="H332" s="313">
        <f ca="1">IF(F332="PCS",$E$4,SUMIFS(Paper!$AC$7:$AC$58,Paper!$A$7:$A$58,'Production cost'!F332))</f>
        <v>0</v>
      </c>
      <c r="I332" s="313">
        <f ca="1">IF(input!$G700&gt;0,input!$G700,IF($C332=Data!$L$1158,500,3000))</f>
        <v>3000</v>
      </c>
      <c r="J332" s="313" t="str">
        <f>input!$H700</f>
        <v>Sheets</v>
      </c>
      <c r="K332" s="360">
        <f>IF($C332=Data!$L$1158,0,1/4)</f>
        <v>0.25</v>
      </c>
      <c r="L332" s="313">
        <f ca="1">IF(input!$I700&gt;0,input!$I700,2)</f>
        <v>2</v>
      </c>
      <c r="M332" s="391">
        <f ca="1">IF(H332&gt;0,SUMIF(Data!$L$1155:$L$1190,'Production cost'!$C332,Data!$Q$1155:$Q$1190)*SUMIF(Paper!$A$7:$A$70,'Production cost'!$F332,Paper!$J$7:$J$70),0)</f>
        <v>0</v>
      </c>
      <c r="N332" s="391">
        <f t="shared" ref="N332:N373" ca="1" si="220">IF(H332&gt;0,ROUNDUP(((H332/I332)/$M$5+M332),1),0)</f>
        <v>0</v>
      </c>
      <c r="O332" s="313">
        <f>IF($C332=Data!$L$1158,0,Data!$N$1195)</f>
        <v>352574.32240985788</v>
      </c>
      <c r="P332" s="313">
        <f>SUMIF(Data!$L$1155:$L$1190,'Production cost'!$C332,Data!$N$1155:$N$1190)</f>
        <v>64593.240854333337</v>
      </c>
      <c r="Q332" s="313">
        <f t="shared" ca="1" si="197"/>
        <v>0</v>
      </c>
      <c r="R332" s="313">
        <f t="shared" ref="R332:R373" ca="1" si="221">IF($E$2&gt;0,Q332/$E$2,0)</f>
        <v>0</v>
      </c>
      <c r="S332" s="1741">
        <f t="shared" ref="S332:S373" ca="1" si="222">IF(M332&gt;0,K332*O332+L332*P332,0)</f>
        <v>0</v>
      </c>
      <c r="T332" s="313" t="str">
        <f ca="1">input!J700</f>
        <v>N</v>
      </c>
      <c r="V332" s="3115" t="str">
        <f>input!K700</f>
        <v>Packaging</v>
      </c>
      <c r="W332" s="3115">
        <f t="shared" ref="W332:W373" ca="1" si="223">N332*(L332+K332)</f>
        <v>0</v>
      </c>
      <c r="X332" s="3119">
        <f>VLOOKUP(V332,'Fix Cost'!$K$177:$M$179,2,0)</f>
        <v>58449.923860467366</v>
      </c>
      <c r="Y332" s="3119">
        <f>VLOOKUP(V332,'Fix Cost'!$K$177:$M$179,3,0)</f>
        <v>267411.04680782068</v>
      </c>
      <c r="Z332" s="3119">
        <f t="shared" ref="Z332:Z373" ca="1" si="224">IFERROR($X332*W332,0)</f>
        <v>0</v>
      </c>
      <c r="AA332" s="3115">
        <f t="shared" ref="AA332:AA373" ca="1" si="225">IFERROR(Y332*N332,0)</f>
        <v>0</v>
      </c>
      <c r="AB332" s="3115">
        <f t="shared" ref="AB332:AB373" ca="1" si="226">Z332+AA332</f>
        <v>0</v>
      </c>
      <c r="AK332" s="313"/>
      <c r="AL332" s="313"/>
      <c r="AM332" s="313"/>
      <c r="AO332" s="1055"/>
      <c r="AP332" s="385"/>
      <c r="AQ332" s="385"/>
      <c r="AR332" s="1048"/>
      <c r="AS332" s="385"/>
      <c r="AT332" s="879">
        <f t="shared" ca="1" si="164"/>
        <v>0</v>
      </c>
      <c r="AU332" s="879">
        <f ca="1">COUNTIFS(AT$7:$AT332,1)</f>
        <v>5</v>
      </c>
    </row>
    <row r="333" spans="2:47" ht="14.25" hidden="1" customHeight="1" outlineLevel="1">
      <c r="B333" s="1738" t="s">
        <v>29</v>
      </c>
      <c r="C333" s="313" t="str">
        <f>input!C701</f>
        <v>Die-cutting (Shungfa)</v>
      </c>
      <c r="D333" s="313">
        <f>input!D701</f>
        <v>6</v>
      </c>
      <c r="E333" s="363"/>
      <c r="F333" s="363" t="str">
        <f ca="1">input!F701</f>
        <v>N</v>
      </c>
      <c r="G333" s="363"/>
      <c r="H333" s="313">
        <f ca="1">IF(F333="PCS",$E$4,SUMIFS(Paper!$AC$7:$AC$58,Paper!$A$7:$A$58,'Production cost'!F333))</f>
        <v>0</v>
      </c>
      <c r="I333" s="313">
        <f ca="1">IF(input!$G701&gt;0,input!$G701,IF($C333=Data!$L$1158,500,3000))</f>
        <v>3000</v>
      </c>
      <c r="J333" s="313" t="str">
        <f>input!$H701</f>
        <v>Sheets</v>
      </c>
      <c r="K333" s="360">
        <f>IF($C333=Data!$L$1158,0,1/4)</f>
        <v>0.25</v>
      </c>
      <c r="L333" s="313">
        <f ca="1">IF(input!$I701&gt;0,input!$I701,2)</f>
        <v>2</v>
      </c>
      <c r="M333" s="391">
        <f ca="1">IF(H333&gt;0,SUMIF(Data!$L$1155:$L$1190,'Production cost'!$C333,Data!$Q$1155:$Q$1190)*SUMIF(Paper!$A$7:$A$70,'Production cost'!$F333,Paper!$J$7:$J$70),0)</f>
        <v>0</v>
      </c>
      <c r="N333" s="391">
        <f t="shared" ca="1" si="220"/>
        <v>0</v>
      </c>
      <c r="O333" s="313">
        <f>IF($C333=Data!$L$1158,0,Data!$N$1195)</f>
        <v>352574.32240985788</v>
      </c>
      <c r="P333" s="313">
        <f>SUMIF(Data!$L$1155:$L$1190,'Production cost'!$C333,Data!$N$1155:$N$1190)</f>
        <v>64593.240854333337</v>
      </c>
      <c r="Q333" s="313">
        <f t="shared" ca="1" si="197"/>
        <v>0</v>
      </c>
      <c r="R333" s="313">
        <f t="shared" ca="1" si="221"/>
        <v>0</v>
      </c>
      <c r="S333" s="1741">
        <f t="shared" ca="1" si="222"/>
        <v>0</v>
      </c>
      <c r="T333" s="313" t="str">
        <f ca="1">input!J701</f>
        <v>N</v>
      </c>
      <c r="V333" s="3115" t="str">
        <f>input!K701</f>
        <v>Packaging</v>
      </c>
      <c r="W333" s="3115">
        <f t="shared" ca="1" si="223"/>
        <v>0</v>
      </c>
      <c r="X333" s="3119">
        <f>VLOOKUP(V333,'Fix Cost'!$K$177:$M$179,2,0)</f>
        <v>58449.923860467366</v>
      </c>
      <c r="Y333" s="3119">
        <f>VLOOKUP(V333,'Fix Cost'!$K$177:$M$179,3,0)</f>
        <v>267411.04680782068</v>
      </c>
      <c r="Z333" s="3119">
        <f t="shared" ca="1" si="224"/>
        <v>0</v>
      </c>
      <c r="AA333" s="3115">
        <f t="shared" ca="1" si="225"/>
        <v>0</v>
      </c>
      <c r="AB333" s="3115">
        <f t="shared" ca="1" si="226"/>
        <v>0</v>
      </c>
      <c r="AK333" s="313"/>
      <c r="AL333" s="313"/>
      <c r="AM333" s="313"/>
      <c r="AO333" s="1055"/>
      <c r="AP333" s="385"/>
      <c r="AQ333" s="385"/>
      <c r="AR333" s="1048"/>
      <c r="AS333" s="385"/>
      <c r="AT333" s="879">
        <f t="shared" ca="1" si="164"/>
        <v>0</v>
      </c>
      <c r="AU333" s="879">
        <f ca="1">COUNTIFS(AT$7:$AT333,1)</f>
        <v>5</v>
      </c>
    </row>
    <row r="334" spans="2:47" ht="14.25" hidden="1" customHeight="1" outlineLevel="1">
      <c r="B334" s="1738" t="s">
        <v>29</v>
      </c>
      <c r="C334" s="313" t="str">
        <f>input!C702</f>
        <v>Die-cutting (Shungfa)</v>
      </c>
      <c r="D334" s="313">
        <f>input!D702</f>
        <v>9</v>
      </c>
      <c r="E334" s="363"/>
      <c r="F334" s="363" t="str">
        <f ca="1">input!F702</f>
        <v>N</v>
      </c>
      <c r="G334" s="363"/>
      <c r="H334" s="313">
        <f ca="1">IF(F334="PCS",$E$4,SUMIFS(Paper!$AC$7:$AC$58,Paper!$A$7:$A$58,'Production cost'!F334))</f>
        <v>0</v>
      </c>
      <c r="I334" s="313">
        <f ca="1">IF(input!$G702&gt;0,input!$G702,IF($C334=Data!$L$1158,500,3000))</f>
        <v>3000</v>
      </c>
      <c r="J334" s="313" t="str">
        <f>input!$H702</f>
        <v>Sheets</v>
      </c>
      <c r="K334" s="360">
        <f>IF($C334=Data!$L$1158,0,1/4)</f>
        <v>0.25</v>
      </c>
      <c r="L334" s="313">
        <f ca="1">IF(input!$I702&gt;0,input!$I702,2)</f>
        <v>2</v>
      </c>
      <c r="M334" s="391">
        <f ca="1">IF(H334&gt;0,SUMIF(Data!$L$1155:$L$1190,'Production cost'!$C334,Data!$Q$1155:$Q$1190)*SUMIF(Paper!$A$7:$A$70,'Production cost'!$F334,Paper!$J$7:$J$70),0)</f>
        <v>0</v>
      </c>
      <c r="N334" s="391">
        <f t="shared" ca="1" si="220"/>
        <v>0</v>
      </c>
      <c r="O334" s="313">
        <f>IF($C334=Data!$L$1158,0,Data!$N$1195)</f>
        <v>352574.32240985788</v>
      </c>
      <c r="P334" s="313">
        <f>SUMIF(Data!$L$1155:$L$1190,'Production cost'!$C334,Data!$N$1155:$N$1190)</f>
        <v>64593.240854333337</v>
      </c>
      <c r="Q334" s="313">
        <f t="shared" ref="Q334:Q370" ca="1" si="227">(N334*O334*K334+N334*P334*L334)*(1+$R$702)</f>
        <v>0</v>
      </c>
      <c r="R334" s="313">
        <f t="shared" ca="1" si="221"/>
        <v>0</v>
      </c>
      <c r="S334" s="1741">
        <f t="shared" ca="1" si="222"/>
        <v>0</v>
      </c>
      <c r="T334" s="313" t="str">
        <f ca="1">input!J702</f>
        <v>N</v>
      </c>
      <c r="V334" s="3115" t="str">
        <f>input!K702</f>
        <v>Packaging</v>
      </c>
      <c r="W334" s="3115">
        <f t="shared" ca="1" si="223"/>
        <v>0</v>
      </c>
      <c r="X334" s="3119">
        <f>VLOOKUP(V334,'Fix Cost'!$K$177:$M$179,2,0)</f>
        <v>58449.923860467366</v>
      </c>
      <c r="Y334" s="3119">
        <f>VLOOKUP(V334,'Fix Cost'!$K$177:$M$179,3,0)</f>
        <v>267411.04680782068</v>
      </c>
      <c r="Z334" s="3119">
        <f t="shared" ca="1" si="224"/>
        <v>0</v>
      </c>
      <c r="AA334" s="3115">
        <f t="shared" ca="1" si="225"/>
        <v>0</v>
      </c>
      <c r="AB334" s="3115">
        <f t="shared" ca="1" si="226"/>
        <v>0</v>
      </c>
      <c r="AK334" s="313"/>
      <c r="AL334" s="313"/>
      <c r="AM334" s="313"/>
      <c r="AO334" s="1055"/>
      <c r="AP334" s="385"/>
      <c r="AQ334" s="385"/>
      <c r="AR334" s="1048"/>
      <c r="AS334" s="385"/>
      <c r="AT334" s="879">
        <f t="shared" ca="1" si="164"/>
        <v>0</v>
      </c>
      <c r="AU334" s="879">
        <f ca="1">COUNTIFS(AT$7:$AT334,1)</f>
        <v>5</v>
      </c>
    </row>
    <row r="335" spans="2:47" ht="14.25" hidden="1" customHeight="1" outlineLevel="1">
      <c r="B335" s="1738" t="s">
        <v>29</v>
      </c>
      <c r="C335" s="313" t="str">
        <f>input!C703</f>
        <v>Die-cutting (Shungfa)</v>
      </c>
      <c r="D335" s="313">
        <f>input!D703</f>
        <v>12</v>
      </c>
      <c r="E335" s="363"/>
      <c r="F335" s="363" t="str">
        <f ca="1">input!F703</f>
        <v>N</v>
      </c>
      <c r="G335" s="363"/>
      <c r="H335" s="313">
        <f ca="1">IF(F335="PCS",$E$4,SUMIFS(Paper!$AC$7:$AC$58,Paper!$A$7:$A$58,'Production cost'!F335))</f>
        <v>0</v>
      </c>
      <c r="I335" s="313">
        <f ca="1">IF(input!$G703&gt;0,input!$G703,IF($C335=Data!$L$1158,500,3000))</f>
        <v>3000</v>
      </c>
      <c r="J335" s="313" t="str">
        <f>input!$H703</f>
        <v>Sheets</v>
      </c>
      <c r="K335" s="360">
        <f>IF($C335=Data!$L$1158,0,1/4)</f>
        <v>0.25</v>
      </c>
      <c r="L335" s="313">
        <f ca="1">IF(input!$I703&gt;0,input!$I703,2)</f>
        <v>2</v>
      </c>
      <c r="M335" s="391">
        <f ca="1">IF(H335&gt;0,SUMIF(Data!$L$1155:$L$1190,'Production cost'!$C335,Data!$Q$1155:$Q$1190)*SUMIF(Paper!$A$7:$A$70,'Production cost'!$F335,Paper!$J$7:$J$70),0)</f>
        <v>0</v>
      </c>
      <c r="N335" s="391">
        <f t="shared" ca="1" si="220"/>
        <v>0</v>
      </c>
      <c r="O335" s="313">
        <f>IF($C335=Data!$L$1158,0,Data!$N$1195)</f>
        <v>352574.32240985788</v>
      </c>
      <c r="P335" s="313">
        <f>SUMIF(Data!$L$1155:$L$1190,'Production cost'!$C335,Data!$N$1155:$N$1190)</f>
        <v>64593.240854333337</v>
      </c>
      <c r="Q335" s="313">
        <f t="shared" ca="1" si="227"/>
        <v>0</v>
      </c>
      <c r="R335" s="313">
        <f t="shared" ca="1" si="221"/>
        <v>0</v>
      </c>
      <c r="S335" s="1741">
        <f t="shared" ca="1" si="222"/>
        <v>0</v>
      </c>
      <c r="T335" s="313" t="str">
        <f ca="1">input!J703</f>
        <v>N</v>
      </c>
      <c r="V335" s="3115" t="str">
        <f>input!K703</f>
        <v>Packaging</v>
      </c>
      <c r="W335" s="3115">
        <f t="shared" ca="1" si="223"/>
        <v>0</v>
      </c>
      <c r="X335" s="3119">
        <f>VLOOKUP(V335,'Fix Cost'!$K$177:$M$179,2,0)</f>
        <v>58449.923860467366</v>
      </c>
      <c r="Y335" s="3119">
        <f>VLOOKUP(V335,'Fix Cost'!$K$177:$M$179,3,0)</f>
        <v>267411.04680782068</v>
      </c>
      <c r="Z335" s="3119">
        <f t="shared" ca="1" si="224"/>
        <v>0</v>
      </c>
      <c r="AA335" s="3115">
        <f t="shared" ca="1" si="225"/>
        <v>0</v>
      </c>
      <c r="AB335" s="3115">
        <f t="shared" ca="1" si="226"/>
        <v>0</v>
      </c>
      <c r="AK335" s="313"/>
      <c r="AL335" s="313"/>
      <c r="AM335" s="313"/>
      <c r="AO335" s="1055"/>
      <c r="AP335" s="385"/>
      <c r="AQ335" s="385"/>
      <c r="AR335" s="1048"/>
      <c r="AS335" s="385"/>
      <c r="AT335" s="879">
        <f t="shared" ca="1" si="164"/>
        <v>0</v>
      </c>
      <c r="AU335" s="879">
        <f ca="1">COUNTIFS(AT$7:$AT335,1)</f>
        <v>5</v>
      </c>
    </row>
    <row r="336" spans="2:47" ht="14.25" hidden="1" customHeight="1" outlineLevel="1">
      <c r="B336" s="1738" t="s">
        <v>29</v>
      </c>
      <c r="C336" s="313" t="str">
        <f>input!C704</f>
        <v>Die-cutting (NIKKO 1050FH)</v>
      </c>
      <c r="D336" s="313">
        <f>input!D704</f>
        <v>0</v>
      </c>
      <c r="E336" s="363"/>
      <c r="F336" s="363" t="str">
        <f ca="1">input!F704</f>
        <v>N</v>
      </c>
      <c r="G336" s="363"/>
      <c r="H336" s="313">
        <f ca="1">IF(F336="PCS",$E$4,SUMIFS(Paper!$AC$7:$AC$58,Paper!$A$7:$A$58,'Production cost'!F336))</f>
        <v>0</v>
      </c>
      <c r="I336" s="313">
        <f ca="1">IF(input!$G704&gt;0,input!$G704,IF($C336=Data!$L$1158,500,3000))</f>
        <v>3000</v>
      </c>
      <c r="J336" s="313" t="str">
        <f>input!$H704</f>
        <v>Sheets</v>
      </c>
      <c r="K336" s="360">
        <f>IF($C336=Data!$L$1158,0,1/4)</f>
        <v>0.25</v>
      </c>
      <c r="L336" s="313">
        <f ca="1">IF(input!$I704&gt;0,input!$I704,2)</f>
        <v>2</v>
      </c>
      <c r="M336" s="391">
        <f ca="1">IF(H336&gt;0,SUMIF(Data!$L$1155:$L$1190,'Production cost'!$C336,Data!$Q$1155:$Q$1190)*SUMIF(Paper!$A$7:$A$70,'Production cost'!$F336,Paper!$J$7:$J$70),0)</f>
        <v>0</v>
      </c>
      <c r="N336" s="391">
        <f t="shared" ref="N336:N363" ca="1" si="228">IF(H336&gt;0,ROUNDUP(((H336/I336)/$M$5+M336),1),0)</f>
        <v>0</v>
      </c>
      <c r="O336" s="313">
        <f>IF($C336=Data!$L$1158,0,Data!$N$1195)</f>
        <v>352574.32240985788</v>
      </c>
      <c r="P336" s="313">
        <f>SUMIF(Data!$L$1155:$L$1190,'Production cost'!$C336,Data!$N$1155:$N$1190)</f>
        <v>64593.240854333337</v>
      </c>
      <c r="Q336" s="313">
        <f t="shared" ca="1" si="227"/>
        <v>0</v>
      </c>
      <c r="R336" s="313">
        <f t="shared" ref="R336:R363" ca="1" si="229">IF($E$2&gt;0,Q336/$E$2,0)</f>
        <v>0</v>
      </c>
      <c r="S336" s="1741">
        <f t="shared" ref="S336:S363" ca="1" si="230">IF(M336&gt;0,K336*O336+L336*P336,0)</f>
        <v>0</v>
      </c>
      <c r="T336" s="313" t="str">
        <f ca="1">input!J704</f>
        <v>N</v>
      </c>
      <c r="V336" s="3115" t="str">
        <f>input!K704</f>
        <v>Packaging</v>
      </c>
      <c r="W336" s="3115">
        <f t="shared" ref="W336:W363" ca="1" si="231">N336*(L336+K336)</f>
        <v>0</v>
      </c>
      <c r="X336" s="3119">
        <f>VLOOKUP(V336,'Fix Cost'!$K$177:$M$179,2,0)</f>
        <v>58449.923860467366</v>
      </c>
      <c r="Y336" s="3119">
        <f>VLOOKUP(V336,'Fix Cost'!$K$177:$M$179,3,0)</f>
        <v>267411.04680782068</v>
      </c>
      <c r="Z336" s="3119">
        <f t="shared" ref="Z336:Z363" ca="1" si="232">IFERROR($X336*W336,0)</f>
        <v>0</v>
      </c>
      <c r="AA336" s="3115">
        <f t="shared" ref="AA336:AA363" ca="1" si="233">IFERROR(Y336*N336,0)</f>
        <v>0</v>
      </c>
      <c r="AB336" s="3115">
        <f t="shared" ref="AB336:AB363" ca="1" si="234">Z336+AA336</f>
        <v>0</v>
      </c>
      <c r="AK336" s="313"/>
      <c r="AL336" s="313"/>
      <c r="AM336" s="313"/>
      <c r="AO336" s="1055"/>
      <c r="AP336" s="385"/>
      <c r="AQ336" s="385"/>
      <c r="AR336" s="1048"/>
      <c r="AS336" s="385"/>
      <c r="AT336" s="879">
        <f t="shared" ca="1" si="164"/>
        <v>0</v>
      </c>
      <c r="AU336" s="879">
        <f ca="1">COUNTIFS(AT$7:$AT336,1)</f>
        <v>5</v>
      </c>
    </row>
    <row r="337" spans="2:47" ht="14.25" hidden="1" customHeight="1" outlineLevel="1">
      <c r="B337" s="1738" t="s">
        <v>29</v>
      </c>
      <c r="C337" s="313" t="str">
        <f>input!C705</f>
        <v>Die-cutting (NIKKO 1050FH)</v>
      </c>
      <c r="D337" s="313">
        <f>input!D705</f>
        <v>17</v>
      </c>
      <c r="E337" s="363"/>
      <c r="F337" s="363" t="str">
        <f ca="1">input!F705</f>
        <v>N</v>
      </c>
      <c r="G337" s="363"/>
      <c r="H337" s="313">
        <f ca="1">IF(F337="PCS",$E$4,SUMIFS(Paper!$AC$7:$AC$58,Paper!$A$7:$A$58,'Production cost'!F337))</f>
        <v>0</v>
      </c>
      <c r="I337" s="313">
        <f ca="1">IF(input!$G705&gt;0,input!$G705,IF($C337=Data!$L$1158,500,3000))</f>
        <v>3000</v>
      </c>
      <c r="J337" s="313" t="str">
        <f>input!$H705</f>
        <v>Sheets</v>
      </c>
      <c r="K337" s="360">
        <f>IF($C337=Data!$L$1158,0,1/4)</f>
        <v>0.25</v>
      </c>
      <c r="L337" s="313">
        <f ca="1">IF(input!$I705&gt;0,input!$I705,2)</f>
        <v>2</v>
      </c>
      <c r="M337" s="391">
        <f ca="1">IF(H337&gt;0,SUMIF(Data!$L$1155:$L$1190,'Production cost'!$C337,Data!$Q$1155:$Q$1190)*SUMIF(Paper!$A$7:$A$70,'Production cost'!$F337,Paper!$J$7:$J$70),0)</f>
        <v>0</v>
      </c>
      <c r="N337" s="391">
        <f t="shared" ca="1" si="228"/>
        <v>0</v>
      </c>
      <c r="O337" s="313">
        <f>IF($C337=Data!$L$1158,0,Data!$N$1195)</f>
        <v>352574.32240985788</v>
      </c>
      <c r="P337" s="313">
        <f>SUMIF(Data!$L$1155:$L$1190,'Production cost'!$C337,Data!$N$1155:$N$1190)</f>
        <v>64593.240854333337</v>
      </c>
      <c r="Q337" s="313">
        <f t="shared" ca="1" si="227"/>
        <v>0</v>
      </c>
      <c r="R337" s="313">
        <f t="shared" ca="1" si="229"/>
        <v>0</v>
      </c>
      <c r="S337" s="1741">
        <f t="shared" ca="1" si="230"/>
        <v>0</v>
      </c>
      <c r="T337" s="313" t="str">
        <f ca="1">input!J705</f>
        <v>N</v>
      </c>
      <c r="V337" s="3115" t="str">
        <f>input!K705</f>
        <v>Packaging</v>
      </c>
      <c r="W337" s="3115">
        <f t="shared" ca="1" si="231"/>
        <v>0</v>
      </c>
      <c r="X337" s="3119">
        <f>VLOOKUP(V337,'Fix Cost'!$K$177:$M$179,2,0)</f>
        <v>58449.923860467366</v>
      </c>
      <c r="Y337" s="3119">
        <f>VLOOKUP(V337,'Fix Cost'!$K$177:$M$179,3,0)</f>
        <v>267411.04680782068</v>
      </c>
      <c r="Z337" s="3119">
        <f t="shared" ca="1" si="232"/>
        <v>0</v>
      </c>
      <c r="AA337" s="3115">
        <f t="shared" ca="1" si="233"/>
        <v>0</v>
      </c>
      <c r="AB337" s="3115">
        <f t="shared" ca="1" si="234"/>
        <v>0</v>
      </c>
      <c r="AK337" s="313"/>
      <c r="AL337" s="313"/>
      <c r="AM337" s="313"/>
      <c r="AO337" s="1055"/>
      <c r="AP337" s="385"/>
      <c r="AQ337" s="385"/>
      <c r="AR337" s="1048"/>
      <c r="AS337" s="385"/>
      <c r="AT337" s="879">
        <f t="shared" ca="1" si="164"/>
        <v>0</v>
      </c>
      <c r="AU337" s="879">
        <f ca="1">COUNTIFS(AT$7:$AT337,1)</f>
        <v>5</v>
      </c>
    </row>
    <row r="338" spans="2:47" ht="14.25" hidden="1" customHeight="1" outlineLevel="1">
      <c r="B338" s="1738" t="s">
        <v>29</v>
      </c>
      <c r="C338" s="313" t="str">
        <f>input!C706</f>
        <v>Die-cutting (NIKKO 1050FH)</v>
      </c>
      <c r="D338" s="313">
        <f>input!D706</f>
        <v>34</v>
      </c>
      <c r="E338" s="363"/>
      <c r="F338" s="363" t="str">
        <f ca="1">input!F706</f>
        <v>N</v>
      </c>
      <c r="G338" s="363"/>
      <c r="H338" s="313">
        <f ca="1">IF(F338="PCS",$E$4,SUMIFS(Paper!$AC$7:$AC$58,Paper!$A$7:$A$58,'Production cost'!F338))</f>
        <v>0</v>
      </c>
      <c r="I338" s="313">
        <f ca="1">IF(input!$G706&gt;0,input!$G706,IF($C338=Data!$L$1158,500,3000))</f>
        <v>3000</v>
      </c>
      <c r="J338" s="313" t="str">
        <f>input!$H706</f>
        <v>Sheets</v>
      </c>
      <c r="K338" s="360">
        <f>IF($C338=Data!$L$1158,0,1/4)</f>
        <v>0.25</v>
      </c>
      <c r="L338" s="313">
        <f ca="1">IF(input!$I706&gt;0,input!$I706,2)</f>
        <v>2</v>
      </c>
      <c r="M338" s="391">
        <f ca="1">IF(H338&gt;0,SUMIF(Data!$L$1155:$L$1190,'Production cost'!$C338,Data!$Q$1155:$Q$1190)*SUMIF(Paper!$A$7:$A$70,'Production cost'!$F338,Paper!$J$7:$J$70),0)</f>
        <v>0</v>
      </c>
      <c r="N338" s="391">
        <f t="shared" ca="1" si="228"/>
        <v>0</v>
      </c>
      <c r="O338" s="313">
        <f>IF($C338=Data!$L$1158,0,Data!$N$1195)</f>
        <v>352574.32240985788</v>
      </c>
      <c r="P338" s="313">
        <f>SUMIF(Data!$L$1155:$L$1190,'Production cost'!$C338,Data!$N$1155:$N$1190)</f>
        <v>64593.240854333337</v>
      </c>
      <c r="Q338" s="313">
        <f t="shared" ca="1" si="227"/>
        <v>0</v>
      </c>
      <c r="R338" s="313">
        <f t="shared" ca="1" si="229"/>
        <v>0</v>
      </c>
      <c r="S338" s="1741">
        <f t="shared" ca="1" si="230"/>
        <v>0</v>
      </c>
      <c r="T338" s="313" t="str">
        <f ca="1">input!J706</f>
        <v>N</v>
      </c>
      <c r="V338" s="3115" t="str">
        <f>input!K706</f>
        <v>Packaging</v>
      </c>
      <c r="W338" s="3115">
        <f t="shared" ca="1" si="231"/>
        <v>0</v>
      </c>
      <c r="X338" s="3119">
        <f>VLOOKUP(V338,'Fix Cost'!$K$177:$M$179,2,0)</f>
        <v>58449.923860467366</v>
      </c>
      <c r="Y338" s="3119">
        <f>VLOOKUP(V338,'Fix Cost'!$K$177:$M$179,3,0)</f>
        <v>267411.04680782068</v>
      </c>
      <c r="Z338" s="3119">
        <f t="shared" ca="1" si="232"/>
        <v>0</v>
      </c>
      <c r="AA338" s="3115">
        <f t="shared" ca="1" si="233"/>
        <v>0</v>
      </c>
      <c r="AB338" s="3115">
        <f t="shared" ca="1" si="234"/>
        <v>0</v>
      </c>
      <c r="AK338" s="313"/>
      <c r="AL338" s="313"/>
      <c r="AM338" s="313"/>
      <c r="AO338" s="1055"/>
      <c r="AP338" s="385"/>
      <c r="AQ338" s="385"/>
      <c r="AR338" s="1048"/>
      <c r="AS338" s="385"/>
      <c r="AT338" s="879">
        <f t="shared" ca="1" si="164"/>
        <v>0</v>
      </c>
      <c r="AU338" s="879">
        <f ca="1">COUNTIFS(AT$7:$AT338,1)</f>
        <v>5</v>
      </c>
    </row>
    <row r="339" spans="2:47" ht="14.25" hidden="1" customHeight="1" outlineLevel="1">
      <c r="B339" s="1738" t="s">
        <v>29</v>
      </c>
      <c r="C339" s="313" t="str">
        <f>input!C707</f>
        <v>Die-cutting (NIKKO 1050FH)</v>
      </c>
      <c r="D339" s="313">
        <f>input!D707</f>
        <v>51</v>
      </c>
      <c r="E339" s="363"/>
      <c r="F339" s="363" t="str">
        <f ca="1">input!F707</f>
        <v>N</v>
      </c>
      <c r="G339" s="363"/>
      <c r="H339" s="313">
        <f ca="1">IF(F339="PCS",$E$4,SUMIFS(Paper!$AC$7:$AC$58,Paper!$A$7:$A$58,'Production cost'!F339))</f>
        <v>0</v>
      </c>
      <c r="I339" s="313">
        <f ca="1">IF(input!$G707&gt;0,input!$G707,IF($C339=Data!$L$1158,500,3000))</f>
        <v>3000</v>
      </c>
      <c r="J339" s="313" t="str">
        <f>input!$H707</f>
        <v>Sheets</v>
      </c>
      <c r="K339" s="360">
        <f>IF($C339=Data!$L$1158,0,1/4)</f>
        <v>0.25</v>
      </c>
      <c r="L339" s="313">
        <f ca="1">IF(input!$I707&gt;0,input!$I707,2)</f>
        <v>2</v>
      </c>
      <c r="M339" s="391">
        <f ca="1">IF(H339&gt;0,SUMIF(Data!$L$1155:$L$1190,'Production cost'!$C339,Data!$Q$1155:$Q$1190)*SUMIF(Paper!$A$7:$A$70,'Production cost'!$F339,Paper!$J$7:$J$70),0)</f>
        <v>0</v>
      </c>
      <c r="N339" s="391">
        <f t="shared" ca="1" si="228"/>
        <v>0</v>
      </c>
      <c r="O339" s="313">
        <f>IF($C339=Data!$L$1158,0,Data!$N$1195)</f>
        <v>352574.32240985788</v>
      </c>
      <c r="P339" s="313">
        <f>SUMIF(Data!$L$1155:$L$1190,'Production cost'!$C339,Data!$N$1155:$N$1190)</f>
        <v>64593.240854333337</v>
      </c>
      <c r="Q339" s="313">
        <f t="shared" ca="1" si="227"/>
        <v>0</v>
      </c>
      <c r="R339" s="313">
        <f t="shared" ca="1" si="229"/>
        <v>0</v>
      </c>
      <c r="S339" s="1741">
        <f t="shared" ca="1" si="230"/>
        <v>0</v>
      </c>
      <c r="T339" s="313" t="str">
        <f ca="1">input!J707</f>
        <v>N</v>
      </c>
      <c r="V339" s="3115" t="str">
        <f>input!K707</f>
        <v>Packaging</v>
      </c>
      <c r="W339" s="3115">
        <f t="shared" ca="1" si="231"/>
        <v>0</v>
      </c>
      <c r="X339" s="3119">
        <f>VLOOKUP(V339,'Fix Cost'!$K$177:$M$179,2,0)</f>
        <v>58449.923860467366</v>
      </c>
      <c r="Y339" s="3119">
        <f>VLOOKUP(V339,'Fix Cost'!$K$177:$M$179,3,0)</f>
        <v>267411.04680782068</v>
      </c>
      <c r="Z339" s="3119">
        <f t="shared" ca="1" si="232"/>
        <v>0</v>
      </c>
      <c r="AA339" s="3115">
        <f t="shared" ca="1" si="233"/>
        <v>0</v>
      </c>
      <c r="AB339" s="3115">
        <f t="shared" ca="1" si="234"/>
        <v>0</v>
      </c>
      <c r="AK339" s="313"/>
      <c r="AL339" s="313"/>
      <c r="AM339" s="313"/>
      <c r="AO339" s="1055"/>
      <c r="AP339" s="385"/>
      <c r="AQ339" s="385"/>
      <c r="AR339" s="1048"/>
      <c r="AS339" s="385"/>
      <c r="AT339" s="879">
        <f t="shared" ca="1" si="164"/>
        <v>0</v>
      </c>
      <c r="AU339" s="879">
        <f ca="1">COUNTIFS(AT$7:$AT339,1)</f>
        <v>5</v>
      </c>
    </row>
    <row r="340" spans="2:47" ht="14.25" hidden="1" customHeight="1" outlineLevel="1">
      <c r="B340" s="1738" t="s">
        <v>29</v>
      </c>
      <c r="C340" s="313" t="str">
        <f>input!C708</f>
        <v>Die-cutting (NIKKO 1050FH)</v>
      </c>
      <c r="D340" s="313">
        <f>input!D708</f>
        <v>68</v>
      </c>
      <c r="E340" s="363"/>
      <c r="F340" s="363" t="str">
        <f ca="1">input!F708</f>
        <v>N</v>
      </c>
      <c r="G340" s="363"/>
      <c r="H340" s="313">
        <f ca="1">IF(F340="PCS",$E$4,SUMIFS(Paper!$AC$7:$AC$58,Paper!$A$7:$A$58,'Production cost'!F340))</f>
        <v>0</v>
      </c>
      <c r="I340" s="313">
        <f ca="1">IF(input!$G708&gt;0,input!$G708,IF($C340=Data!$L$1158,500,3000))</f>
        <v>3000</v>
      </c>
      <c r="J340" s="313" t="str">
        <f>input!$H708</f>
        <v>Sheets</v>
      </c>
      <c r="K340" s="360">
        <f>IF($C340=Data!$L$1158,0,1/4)</f>
        <v>0.25</v>
      </c>
      <c r="L340" s="313">
        <f ca="1">IF(input!$I708&gt;0,input!$I708,2)</f>
        <v>2</v>
      </c>
      <c r="M340" s="391">
        <f ca="1">IF(H340&gt;0,SUMIF(Data!$L$1155:$L$1190,'Production cost'!$C340,Data!$Q$1155:$Q$1190)*SUMIF(Paper!$A$7:$A$70,'Production cost'!$F340,Paper!$J$7:$J$70),0)</f>
        <v>0</v>
      </c>
      <c r="N340" s="391">
        <f t="shared" ca="1" si="228"/>
        <v>0</v>
      </c>
      <c r="O340" s="313">
        <f>IF($C340=Data!$L$1158,0,Data!$N$1195)</f>
        <v>352574.32240985788</v>
      </c>
      <c r="P340" s="313">
        <f>SUMIF(Data!$L$1155:$L$1190,'Production cost'!$C340,Data!$N$1155:$N$1190)</f>
        <v>64593.240854333337</v>
      </c>
      <c r="Q340" s="313">
        <f t="shared" ca="1" si="227"/>
        <v>0</v>
      </c>
      <c r="R340" s="313">
        <f t="shared" ca="1" si="229"/>
        <v>0</v>
      </c>
      <c r="S340" s="1741">
        <f t="shared" ca="1" si="230"/>
        <v>0</v>
      </c>
      <c r="T340" s="313" t="str">
        <f ca="1">input!J708</f>
        <v>N</v>
      </c>
      <c r="V340" s="3115" t="str">
        <f>input!K708</f>
        <v>Packaging</v>
      </c>
      <c r="W340" s="3115">
        <f t="shared" ca="1" si="231"/>
        <v>0</v>
      </c>
      <c r="X340" s="3119">
        <f>VLOOKUP(V340,'Fix Cost'!$K$177:$M$179,2,0)</f>
        <v>58449.923860467366</v>
      </c>
      <c r="Y340" s="3119">
        <f>VLOOKUP(V340,'Fix Cost'!$K$177:$M$179,3,0)</f>
        <v>267411.04680782068</v>
      </c>
      <c r="Z340" s="3119">
        <f t="shared" ca="1" si="232"/>
        <v>0</v>
      </c>
      <c r="AA340" s="3115">
        <f t="shared" ca="1" si="233"/>
        <v>0</v>
      </c>
      <c r="AB340" s="3115">
        <f t="shared" ca="1" si="234"/>
        <v>0</v>
      </c>
      <c r="AK340" s="313"/>
      <c r="AL340" s="313"/>
      <c r="AM340" s="313"/>
      <c r="AO340" s="1055"/>
      <c r="AP340" s="385"/>
      <c r="AQ340" s="385"/>
      <c r="AR340" s="1048"/>
      <c r="AS340" s="385"/>
      <c r="AT340" s="879">
        <f t="shared" ca="1" si="164"/>
        <v>0</v>
      </c>
      <c r="AU340" s="879">
        <f ca="1">COUNTIFS(AT$7:$AT340,1)</f>
        <v>5</v>
      </c>
    </row>
    <row r="341" spans="2:47" ht="14.25" hidden="1" customHeight="1" outlineLevel="1">
      <c r="B341" s="1738" t="s">
        <v>29</v>
      </c>
      <c r="C341" s="313" t="str">
        <f>input!C709</f>
        <v>Die-cutting (NIKKO 1050FH)</v>
      </c>
      <c r="D341" s="313">
        <f>input!D709</f>
        <v>85</v>
      </c>
      <c r="E341" s="363"/>
      <c r="F341" s="363" t="str">
        <f ca="1">input!F709</f>
        <v>N</v>
      </c>
      <c r="G341" s="363"/>
      <c r="H341" s="313">
        <f ca="1">IF(F341="PCS",$E$4,SUMIFS(Paper!$AC$7:$AC$58,Paper!$A$7:$A$58,'Production cost'!F341))</f>
        <v>0</v>
      </c>
      <c r="I341" s="313">
        <f ca="1">IF(input!$G709&gt;0,input!$G709,IF($C341=Data!$L$1158,500,3000))</f>
        <v>3000</v>
      </c>
      <c r="J341" s="313" t="str">
        <f>input!$H709</f>
        <v>Sheets</v>
      </c>
      <c r="K341" s="360">
        <f>IF($C341=Data!$L$1158,0,1/4)</f>
        <v>0.25</v>
      </c>
      <c r="L341" s="313">
        <f ca="1">IF(input!$I709&gt;0,input!$I709,2)</f>
        <v>2</v>
      </c>
      <c r="M341" s="391">
        <f ca="1">IF(H341&gt;0,SUMIF(Data!$L$1155:$L$1190,'Production cost'!$C341,Data!$Q$1155:$Q$1190)*SUMIF(Paper!$A$7:$A$70,'Production cost'!$F341,Paper!$J$7:$J$70),0)</f>
        <v>0</v>
      </c>
      <c r="N341" s="391">
        <f t="shared" ca="1" si="228"/>
        <v>0</v>
      </c>
      <c r="O341" s="313">
        <f>IF($C341=Data!$L$1158,0,Data!$N$1195)</f>
        <v>352574.32240985788</v>
      </c>
      <c r="P341" s="313">
        <f>SUMIF(Data!$L$1155:$L$1190,'Production cost'!$C341,Data!$N$1155:$N$1190)</f>
        <v>64593.240854333337</v>
      </c>
      <c r="Q341" s="313">
        <f t="shared" ca="1" si="227"/>
        <v>0</v>
      </c>
      <c r="R341" s="313">
        <f t="shared" ca="1" si="229"/>
        <v>0</v>
      </c>
      <c r="S341" s="1741">
        <f t="shared" ca="1" si="230"/>
        <v>0</v>
      </c>
      <c r="T341" s="313" t="str">
        <f ca="1">input!J709</f>
        <v>N</v>
      </c>
      <c r="V341" s="3115" t="str">
        <f>input!K709</f>
        <v>Packaging</v>
      </c>
      <c r="W341" s="3115">
        <f t="shared" ca="1" si="231"/>
        <v>0</v>
      </c>
      <c r="X341" s="3119">
        <f>VLOOKUP(V341,'Fix Cost'!$K$177:$M$179,2,0)</f>
        <v>58449.923860467366</v>
      </c>
      <c r="Y341" s="3119">
        <f>VLOOKUP(V341,'Fix Cost'!$K$177:$M$179,3,0)</f>
        <v>267411.04680782068</v>
      </c>
      <c r="Z341" s="3119">
        <f t="shared" ca="1" si="232"/>
        <v>0</v>
      </c>
      <c r="AA341" s="3115">
        <f t="shared" ca="1" si="233"/>
        <v>0</v>
      </c>
      <c r="AB341" s="3115">
        <f t="shared" ca="1" si="234"/>
        <v>0</v>
      </c>
      <c r="AK341" s="313"/>
      <c r="AL341" s="313"/>
      <c r="AM341" s="313"/>
      <c r="AO341" s="1055"/>
      <c r="AP341" s="385"/>
      <c r="AQ341" s="385"/>
      <c r="AR341" s="1048"/>
      <c r="AS341" s="385"/>
      <c r="AT341" s="879">
        <f t="shared" ca="1" si="164"/>
        <v>0</v>
      </c>
      <c r="AU341" s="879">
        <f ca="1">COUNTIFS(AT$7:$AT341,1)</f>
        <v>5</v>
      </c>
    </row>
    <row r="342" spans="2:47" ht="14.25" hidden="1" customHeight="1" outlineLevel="1">
      <c r="B342" s="1738" t="s">
        <v>29</v>
      </c>
      <c r="C342" s="313" t="str">
        <f>input!C710</f>
        <v>Die-cutting (NIKKO 1050FH)</v>
      </c>
      <c r="D342" s="313">
        <f>input!D710</f>
        <v>102</v>
      </c>
      <c r="E342" s="363"/>
      <c r="F342" s="363" t="str">
        <f ca="1">input!F710</f>
        <v>N</v>
      </c>
      <c r="G342" s="363"/>
      <c r="H342" s="313">
        <f ca="1">IF(F342="PCS",$E$4,SUMIFS(Paper!$AC$7:$AC$58,Paper!$A$7:$A$58,'Production cost'!F342))</f>
        <v>0</v>
      </c>
      <c r="I342" s="313">
        <f ca="1">IF(input!$G710&gt;0,input!$G710,IF($C342=Data!$L$1158,500,3000))</f>
        <v>3000</v>
      </c>
      <c r="J342" s="313" t="str">
        <f>input!$H710</f>
        <v>Sheets</v>
      </c>
      <c r="K342" s="360">
        <f>IF($C342=Data!$L$1158,0,1/4)</f>
        <v>0.25</v>
      </c>
      <c r="L342" s="313">
        <f ca="1">IF(input!$I710&gt;0,input!$I710,2)</f>
        <v>2</v>
      </c>
      <c r="M342" s="391">
        <f ca="1">IF(H342&gt;0,SUMIF(Data!$L$1155:$L$1190,'Production cost'!$C342,Data!$Q$1155:$Q$1190)*SUMIF(Paper!$A$7:$A$70,'Production cost'!$F342,Paper!$J$7:$J$70),0)</f>
        <v>0</v>
      </c>
      <c r="N342" s="391">
        <f t="shared" ca="1" si="228"/>
        <v>0</v>
      </c>
      <c r="O342" s="313">
        <f>IF($C342=Data!$L$1158,0,Data!$N$1195)</f>
        <v>352574.32240985788</v>
      </c>
      <c r="P342" s="313">
        <f>SUMIF(Data!$L$1155:$L$1190,'Production cost'!$C342,Data!$N$1155:$N$1190)</f>
        <v>64593.240854333337</v>
      </c>
      <c r="Q342" s="313">
        <f t="shared" ca="1" si="227"/>
        <v>0</v>
      </c>
      <c r="R342" s="313">
        <f t="shared" ca="1" si="229"/>
        <v>0</v>
      </c>
      <c r="S342" s="1741">
        <f t="shared" ca="1" si="230"/>
        <v>0</v>
      </c>
      <c r="T342" s="313" t="str">
        <f ca="1">input!J710</f>
        <v>N</v>
      </c>
      <c r="V342" s="3115" t="str">
        <f>input!K710</f>
        <v>Packaging</v>
      </c>
      <c r="W342" s="3115">
        <f t="shared" ca="1" si="231"/>
        <v>0</v>
      </c>
      <c r="X342" s="3119">
        <f>VLOOKUP(V342,'Fix Cost'!$K$177:$M$179,2,0)</f>
        <v>58449.923860467366</v>
      </c>
      <c r="Y342" s="3119">
        <f>VLOOKUP(V342,'Fix Cost'!$K$177:$M$179,3,0)</f>
        <v>267411.04680782068</v>
      </c>
      <c r="Z342" s="3119">
        <f t="shared" ca="1" si="232"/>
        <v>0</v>
      </c>
      <c r="AA342" s="3115">
        <f t="shared" ca="1" si="233"/>
        <v>0</v>
      </c>
      <c r="AB342" s="3115">
        <f t="shared" ca="1" si="234"/>
        <v>0</v>
      </c>
      <c r="AK342" s="313"/>
      <c r="AL342" s="313"/>
      <c r="AM342" s="313"/>
      <c r="AO342" s="1055"/>
      <c r="AP342" s="385"/>
      <c r="AQ342" s="385"/>
      <c r="AR342" s="1048"/>
      <c r="AS342" s="385"/>
      <c r="AT342" s="879">
        <f t="shared" ca="1" si="164"/>
        <v>0</v>
      </c>
      <c r="AU342" s="879">
        <f ca="1">COUNTIFS(AT$7:$AT342,1)</f>
        <v>5</v>
      </c>
    </row>
    <row r="343" spans="2:47" ht="14.25" hidden="1" customHeight="1" outlineLevel="1">
      <c r="B343" s="1738" t="s">
        <v>29</v>
      </c>
      <c r="C343" s="313" t="str">
        <f>input!C711</f>
        <v>Die-cutting (NIKKO 1050FH)</v>
      </c>
      <c r="D343" s="313">
        <f>input!D711</f>
        <v>119</v>
      </c>
      <c r="E343" s="363"/>
      <c r="F343" s="363" t="str">
        <f ca="1">input!F711</f>
        <v>N</v>
      </c>
      <c r="G343" s="363"/>
      <c r="H343" s="313">
        <f ca="1">IF(F343="PCS",$E$4,SUMIFS(Paper!$AC$7:$AC$58,Paper!$A$7:$A$58,'Production cost'!F343))</f>
        <v>0</v>
      </c>
      <c r="I343" s="313">
        <f ca="1">IF(input!$G711&gt;0,input!$G711,IF($C343=Data!$L$1158,500,3000))</f>
        <v>3000</v>
      </c>
      <c r="J343" s="313" t="str">
        <f>input!$H711</f>
        <v>Sheets</v>
      </c>
      <c r="K343" s="360">
        <f>IF($C343=Data!$L$1158,0,1/4)</f>
        <v>0.25</v>
      </c>
      <c r="L343" s="313">
        <f ca="1">IF(input!$I711&gt;0,input!$I711,2)</f>
        <v>2</v>
      </c>
      <c r="M343" s="391">
        <f ca="1">IF(H343&gt;0,SUMIF(Data!$L$1155:$L$1190,'Production cost'!$C343,Data!$Q$1155:$Q$1190)*SUMIF(Paper!$A$7:$A$70,'Production cost'!$F343,Paper!$J$7:$J$70),0)</f>
        <v>0</v>
      </c>
      <c r="N343" s="391">
        <f t="shared" ca="1" si="228"/>
        <v>0</v>
      </c>
      <c r="O343" s="313">
        <f>IF($C343=Data!$L$1158,0,Data!$N$1195)</f>
        <v>352574.32240985788</v>
      </c>
      <c r="P343" s="313">
        <f>SUMIF(Data!$L$1155:$L$1190,'Production cost'!$C343,Data!$N$1155:$N$1190)</f>
        <v>64593.240854333337</v>
      </c>
      <c r="Q343" s="313">
        <f t="shared" ca="1" si="227"/>
        <v>0</v>
      </c>
      <c r="R343" s="313">
        <f t="shared" ca="1" si="229"/>
        <v>0</v>
      </c>
      <c r="S343" s="1741">
        <f t="shared" ca="1" si="230"/>
        <v>0</v>
      </c>
      <c r="T343" s="313" t="str">
        <f ca="1">input!J711</f>
        <v>N</v>
      </c>
      <c r="V343" s="3115" t="str">
        <f>input!K711</f>
        <v>Packaging</v>
      </c>
      <c r="W343" s="3115">
        <f t="shared" ca="1" si="231"/>
        <v>0</v>
      </c>
      <c r="X343" s="3119">
        <f>VLOOKUP(V343,'Fix Cost'!$K$177:$M$179,2,0)</f>
        <v>58449.923860467366</v>
      </c>
      <c r="Y343" s="3119">
        <f>VLOOKUP(V343,'Fix Cost'!$K$177:$M$179,3,0)</f>
        <v>267411.04680782068</v>
      </c>
      <c r="Z343" s="3119">
        <f t="shared" ca="1" si="232"/>
        <v>0</v>
      </c>
      <c r="AA343" s="3115">
        <f t="shared" ca="1" si="233"/>
        <v>0</v>
      </c>
      <c r="AB343" s="3115">
        <f t="shared" ca="1" si="234"/>
        <v>0</v>
      </c>
      <c r="AK343" s="313"/>
      <c r="AL343" s="313"/>
      <c r="AM343" s="313"/>
      <c r="AO343" s="1055"/>
      <c r="AP343" s="385"/>
      <c r="AQ343" s="385"/>
      <c r="AR343" s="1048"/>
      <c r="AS343" s="385"/>
      <c r="AT343" s="879">
        <f t="shared" ref="AT343:AT411" ca="1" si="235">IF(ISNUMBER(R343),IF(R343&lt;&gt;0,IF(ISNUMBER(SEARCH("to",J343)),0,1),0),"")</f>
        <v>0</v>
      </c>
      <c r="AU343" s="879">
        <f ca="1">COUNTIFS(AT$7:$AT343,1)</f>
        <v>5</v>
      </c>
    </row>
    <row r="344" spans="2:47" ht="14.25" hidden="1" customHeight="1" outlineLevel="1">
      <c r="B344" s="1738" t="s">
        <v>29</v>
      </c>
      <c r="C344" s="313" t="str">
        <f>input!C712</f>
        <v>Die-cutting (NIKKO 1050FH)</v>
      </c>
      <c r="D344" s="313">
        <f>input!D712</f>
        <v>136</v>
      </c>
      <c r="E344" s="363"/>
      <c r="F344" s="363" t="str">
        <f ca="1">input!F712</f>
        <v>N</v>
      </c>
      <c r="G344" s="363"/>
      <c r="H344" s="313">
        <f ca="1">IF(F344="PCS",$E$4,SUMIFS(Paper!$AC$7:$AC$58,Paper!$A$7:$A$58,'Production cost'!F344))</f>
        <v>0</v>
      </c>
      <c r="I344" s="313">
        <f ca="1">IF(input!$G712&gt;0,input!$G712,IF($C344=Data!$L$1158,500,3000))</f>
        <v>3000</v>
      </c>
      <c r="J344" s="313" t="str">
        <f>input!$H712</f>
        <v>Sheets</v>
      </c>
      <c r="K344" s="360">
        <f>IF($C344=Data!$L$1158,0,1/4)</f>
        <v>0.25</v>
      </c>
      <c r="L344" s="313">
        <f ca="1">IF(input!$I712&gt;0,input!$I712,2)</f>
        <v>2</v>
      </c>
      <c r="M344" s="391">
        <f ca="1">IF(H344&gt;0,SUMIF(Data!$L$1155:$L$1190,'Production cost'!$C344,Data!$Q$1155:$Q$1190)*SUMIF(Paper!$A$7:$A$70,'Production cost'!$F344,Paper!$J$7:$J$70),0)</f>
        <v>0</v>
      </c>
      <c r="N344" s="391">
        <f t="shared" ca="1" si="228"/>
        <v>0</v>
      </c>
      <c r="O344" s="313">
        <f>IF($C344=Data!$L$1158,0,Data!$N$1195)</f>
        <v>352574.32240985788</v>
      </c>
      <c r="P344" s="313">
        <f>SUMIF(Data!$L$1155:$L$1190,'Production cost'!$C344,Data!$N$1155:$N$1190)</f>
        <v>64593.240854333337</v>
      </c>
      <c r="Q344" s="313">
        <f t="shared" ca="1" si="227"/>
        <v>0</v>
      </c>
      <c r="R344" s="313">
        <f t="shared" ca="1" si="229"/>
        <v>0</v>
      </c>
      <c r="S344" s="1741">
        <f t="shared" ca="1" si="230"/>
        <v>0</v>
      </c>
      <c r="T344" s="313" t="str">
        <f ca="1">input!J712</f>
        <v>N</v>
      </c>
      <c r="V344" s="3115" t="str">
        <f>input!K712</f>
        <v>Packaging</v>
      </c>
      <c r="W344" s="3115">
        <f t="shared" ca="1" si="231"/>
        <v>0</v>
      </c>
      <c r="X344" s="3119">
        <f>VLOOKUP(V344,'Fix Cost'!$K$177:$M$179,2,0)</f>
        <v>58449.923860467366</v>
      </c>
      <c r="Y344" s="3119">
        <f>VLOOKUP(V344,'Fix Cost'!$K$177:$M$179,3,0)</f>
        <v>267411.04680782068</v>
      </c>
      <c r="Z344" s="3119">
        <f t="shared" ca="1" si="232"/>
        <v>0</v>
      </c>
      <c r="AA344" s="3115">
        <f t="shared" ca="1" si="233"/>
        <v>0</v>
      </c>
      <c r="AB344" s="3115">
        <f t="shared" ca="1" si="234"/>
        <v>0</v>
      </c>
      <c r="AK344" s="313"/>
      <c r="AL344" s="313"/>
      <c r="AM344" s="313"/>
      <c r="AO344" s="1055"/>
      <c r="AP344" s="385"/>
      <c r="AQ344" s="385"/>
      <c r="AR344" s="1048"/>
      <c r="AS344" s="385"/>
      <c r="AT344" s="879">
        <f t="shared" ca="1" si="235"/>
        <v>0</v>
      </c>
      <c r="AU344" s="879">
        <f ca="1">COUNTIFS(AT$7:$AT344,1)</f>
        <v>5</v>
      </c>
    </row>
    <row r="345" spans="2:47" ht="14.25" hidden="1" customHeight="1" outlineLevel="1">
      <c r="B345" s="1738" t="s">
        <v>29</v>
      </c>
      <c r="C345" s="313" t="str">
        <f>input!C713</f>
        <v>Die-cutting (NIKKO 1050FH)</v>
      </c>
      <c r="D345" s="313">
        <f>input!D713</f>
        <v>153</v>
      </c>
      <c r="E345" s="363"/>
      <c r="F345" s="363" t="str">
        <f ca="1">input!F713</f>
        <v>N</v>
      </c>
      <c r="G345" s="363"/>
      <c r="H345" s="313">
        <f ca="1">IF(F345="PCS",$E$4,SUMIFS(Paper!$AC$7:$AC$58,Paper!$A$7:$A$58,'Production cost'!F345))</f>
        <v>0</v>
      </c>
      <c r="I345" s="313">
        <f ca="1">IF(input!$G713&gt;0,input!$G713,IF($C345=Data!$L$1158,500,3000))</f>
        <v>3000</v>
      </c>
      <c r="J345" s="313" t="str">
        <f>input!$H713</f>
        <v>Sheets</v>
      </c>
      <c r="K345" s="360">
        <f>IF($C345=Data!$L$1158,0,1/4)</f>
        <v>0.25</v>
      </c>
      <c r="L345" s="313">
        <f ca="1">IF(input!$I713&gt;0,input!$I713,2)</f>
        <v>2</v>
      </c>
      <c r="M345" s="391">
        <f ca="1">IF(H345&gt;0,SUMIF(Data!$L$1155:$L$1190,'Production cost'!$C345,Data!$Q$1155:$Q$1190)*SUMIF(Paper!$A$7:$A$70,'Production cost'!$F345,Paper!$J$7:$J$70),0)</f>
        <v>0</v>
      </c>
      <c r="N345" s="391">
        <f t="shared" ca="1" si="228"/>
        <v>0</v>
      </c>
      <c r="O345" s="313">
        <f>IF($C345=Data!$L$1158,0,Data!$N$1195)</f>
        <v>352574.32240985788</v>
      </c>
      <c r="P345" s="313">
        <f>SUMIF(Data!$L$1155:$L$1190,'Production cost'!$C345,Data!$N$1155:$N$1190)</f>
        <v>64593.240854333337</v>
      </c>
      <c r="Q345" s="313">
        <f t="shared" ca="1" si="227"/>
        <v>0</v>
      </c>
      <c r="R345" s="313">
        <f t="shared" ca="1" si="229"/>
        <v>0</v>
      </c>
      <c r="S345" s="1741">
        <f t="shared" ca="1" si="230"/>
        <v>0</v>
      </c>
      <c r="T345" s="313" t="str">
        <f ca="1">input!J713</f>
        <v>N</v>
      </c>
      <c r="V345" s="3115" t="str">
        <f>input!K713</f>
        <v>Packaging</v>
      </c>
      <c r="W345" s="3115">
        <f t="shared" ca="1" si="231"/>
        <v>0</v>
      </c>
      <c r="X345" s="3119">
        <f>VLOOKUP(V345,'Fix Cost'!$K$177:$M$179,2,0)</f>
        <v>58449.923860467366</v>
      </c>
      <c r="Y345" s="3119">
        <f>VLOOKUP(V345,'Fix Cost'!$K$177:$M$179,3,0)</f>
        <v>267411.04680782068</v>
      </c>
      <c r="Z345" s="3119">
        <f t="shared" ca="1" si="232"/>
        <v>0</v>
      </c>
      <c r="AA345" s="3115">
        <f t="shared" ca="1" si="233"/>
        <v>0</v>
      </c>
      <c r="AB345" s="3115">
        <f t="shared" ca="1" si="234"/>
        <v>0</v>
      </c>
      <c r="AK345" s="313"/>
      <c r="AL345" s="313"/>
      <c r="AM345" s="313"/>
      <c r="AO345" s="1055"/>
      <c r="AP345" s="385"/>
      <c r="AQ345" s="385"/>
      <c r="AR345" s="1048"/>
      <c r="AS345" s="385"/>
      <c r="AT345" s="879">
        <f t="shared" ca="1" si="235"/>
        <v>0</v>
      </c>
      <c r="AU345" s="879">
        <f ca="1">COUNTIFS(AT$7:$AT345,1)</f>
        <v>5</v>
      </c>
    </row>
    <row r="346" spans="2:47" ht="14.25" hidden="1" customHeight="1" outlineLevel="1">
      <c r="B346" s="1738" t="s">
        <v>29</v>
      </c>
      <c r="C346" s="313" t="str">
        <f>input!C714</f>
        <v>Die-cutting (NIKKO 1050FH)</v>
      </c>
      <c r="D346" s="313">
        <f>input!D714</f>
        <v>170</v>
      </c>
      <c r="E346" s="363"/>
      <c r="F346" s="363" t="str">
        <f ca="1">input!F714</f>
        <v>N</v>
      </c>
      <c r="G346" s="363"/>
      <c r="H346" s="313">
        <f ca="1">IF(F346="PCS",$E$4,SUMIFS(Paper!$AC$7:$AC$58,Paper!$A$7:$A$58,'Production cost'!F346))</f>
        <v>0</v>
      </c>
      <c r="I346" s="313">
        <f ca="1">IF(input!$G714&gt;0,input!$G714,IF($C346=Data!$L$1158,500,3000))</f>
        <v>3000</v>
      </c>
      <c r="J346" s="313" t="str">
        <f>input!$H714</f>
        <v>Sheets</v>
      </c>
      <c r="K346" s="360">
        <f>IF($C346=Data!$L$1158,0,1/4)</f>
        <v>0.25</v>
      </c>
      <c r="L346" s="313">
        <f ca="1">IF(input!$I714&gt;0,input!$I714,2)</f>
        <v>2</v>
      </c>
      <c r="M346" s="391">
        <f ca="1">IF(H346&gt;0,SUMIF(Data!$L$1155:$L$1190,'Production cost'!$C346,Data!$Q$1155:$Q$1190)*SUMIF(Paper!$A$7:$A$70,'Production cost'!$F346,Paper!$J$7:$J$70),0)</f>
        <v>0</v>
      </c>
      <c r="N346" s="391">
        <f t="shared" ref="N346:N350" ca="1" si="236">IF(H346&gt;0,ROUNDUP(((H346/I346)/$M$5+M346),1),0)</f>
        <v>0</v>
      </c>
      <c r="O346" s="313">
        <f>IF($C346=Data!$L$1158,0,Data!$N$1195)</f>
        <v>352574.32240985788</v>
      </c>
      <c r="P346" s="313">
        <f>SUMIF(Data!$L$1155:$L$1190,'Production cost'!$C346,Data!$N$1155:$N$1190)</f>
        <v>64593.240854333337</v>
      </c>
      <c r="Q346" s="313">
        <f t="shared" ca="1" si="227"/>
        <v>0</v>
      </c>
      <c r="R346" s="313">
        <f t="shared" ref="R346:R350" ca="1" si="237">IF($E$2&gt;0,Q346/$E$2,0)</f>
        <v>0</v>
      </c>
      <c r="S346" s="1741">
        <f t="shared" ref="S346:S350" ca="1" si="238">IF(M346&gt;0,K346*O346+L346*P346,0)</f>
        <v>0</v>
      </c>
      <c r="T346" s="313" t="str">
        <f ca="1">input!J714</f>
        <v>N</v>
      </c>
      <c r="V346" s="3115" t="str">
        <f>input!K714</f>
        <v>Packaging</v>
      </c>
      <c r="W346" s="3115">
        <f t="shared" ref="W346:W350" ca="1" si="239">N346*(L346+K346)</f>
        <v>0</v>
      </c>
      <c r="X346" s="3119">
        <f>VLOOKUP(V346,'Fix Cost'!$K$177:$M$179,2,0)</f>
        <v>58449.923860467366</v>
      </c>
      <c r="Y346" s="3119">
        <f>VLOOKUP(V346,'Fix Cost'!$K$177:$M$179,3,0)</f>
        <v>267411.04680782068</v>
      </c>
      <c r="Z346" s="3119">
        <f t="shared" ref="Z346:Z350" ca="1" si="240">IFERROR($X346*W346,0)</f>
        <v>0</v>
      </c>
      <c r="AA346" s="3115">
        <f t="shared" ref="AA346:AA350" ca="1" si="241">IFERROR(Y346*N346,0)</f>
        <v>0</v>
      </c>
      <c r="AB346" s="3115">
        <f t="shared" ref="AB346:AB350" ca="1" si="242">Z346+AA346</f>
        <v>0</v>
      </c>
      <c r="AK346" s="313"/>
      <c r="AL346" s="313"/>
      <c r="AM346" s="313"/>
      <c r="AO346" s="1055"/>
      <c r="AP346" s="385"/>
      <c r="AQ346" s="385"/>
      <c r="AR346" s="1048"/>
      <c r="AS346" s="385"/>
      <c r="AT346" s="879">
        <f t="shared" ca="1" si="235"/>
        <v>0</v>
      </c>
      <c r="AU346" s="879">
        <f ca="1">COUNTIFS(AT$7:$AT346,1)</f>
        <v>5</v>
      </c>
    </row>
    <row r="347" spans="2:47" ht="14.25" hidden="1" customHeight="1" outlineLevel="1">
      <c r="B347" s="1738" t="s">
        <v>29</v>
      </c>
      <c r="C347" s="313" t="str">
        <f>input!C715</f>
        <v>Die-cutting (NIKKO 1050FH)</v>
      </c>
      <c r="D347" s="313">
        <f>input!D715</f>
        <v>187</v>
      </c>
      <c r="E347" s="363"/>
      <c r="F347" s="363" t="str">
        <f ca="1">input!F715</f>
        <v>N</v>
      </c>
      <c r="G347" s="363"/>
      <c r="H347" s="313">
        <f ca="1">IF(F347="PCS",$E$4,SUMIFS(Paper!$AC$7:$AC$58,Paper!$A$7:$A$58,'Production cost'!F347))</f>
        <v>0</v>
      </c>
      <c r="I347" s="313">
        <f ca="1">IF(input!$G715&gt;0,input!$G715,IF($C347=Data!$L$1158,500,3000))</f>
        <v>3000</v>
      </c>
      <c r="J347" s="313" t="str">
        <f>input!$H715</f>
        <v>Sheets</v>
      </c>
      <c r="K347" s="360">
        <f>IF($C347=Data!$L$1158,0,1/4)</f>
        <v>0.25</v>
      </c>
      <c r="L347" s="313">
        <f ca="1">IF(input!$I715&gt;0,input!$I715,2)</f>
        <v>2</v>
      </c>
      <c r="M347" s="391">
        <f ca="1">IF(H347&gt;0,SUMIF(Data!$L$1155:$L$1190,'Production cost'!$C347,Data!$Q$1155:$Q$1190)*SUMIF(Paper!$A$7:$A$70,'Production cost'!$F347,Paper!$J$7:$J$70),0)</f>
        <v>0</v>
      </c>
      <c r="N347" s="391">
        <f t="shared" ca="1" si="236"/>
        <v>0</v>
      </c>
      <c r="O347" s="313">
        <f>IF($C347=Data!$L$1158,0,Data!$N$1195)</f>
        <v>352574.32240985788</v>
      </c>
      <c r="P347" s="313">
        <f>SUMIF(Data!$L$1155:$L$1190,'Production cost'!$C347,Data!$N$1155:$N$1190)</f>
        <v>64593.240854333337</v>
      </c>
      <c r="Q347" s="313">
        <f t="shared" ca="1" si="227"/>
        <v>0</v>
      </c>
      <c r="R347" s="313">
        <f t="shared" ca="1" si="237"/>
        <v>0</v>
      </c>
      <c r="S347" s="1741">
        <f t="shared" ca="1" si="238"/>
        <v>0</v>
      </c>
      <c r="T347" s="313" t="str">
        <f ca="1">input!J715</f>
        <v>N</v>
      </c>
      <c r="V347" s="3115" t="str">
        <f>input!K715</f>
        <v>Packaging</v>
      </c>
      <c r="W347" s="3115">
        <f t="shared" ca="1" si="239"/>
        <v>0</v>
      </c>
      <c r="X347" s="3119">
        <f>VLOOKUP(V347,'Fix Cost'!$K$177:$M$179,2,0)</f>
        <v>58449.923860467366</v>
      </c>
      <c r="Y347" s="3119">
        <f>VLOOKUP(V347,'Fix Cost'!$K$177:$M$179,3,0)</f>
        <v>267411.04680782068</v>
      </c>
      <c r="Z347" s="3119">
        <f t="shared" ca="1" si="240"/>
        <v>0</v>
      </c>
      <c r="AA347" s="3115">
        <f t="shared" ca="1" si="241"/>
        <v>0</v>
      </c>
      <c r="AB347" s="3115">
        <f t="shared" ca="1" si="242"/>
        <v>0</v>
      </c>
      <c r="AK347" s="313"/>
      <c r="AL347" s="313"/>
      <c r="AM347" s="313"/>
      <c r="AO347" s="1055"/>
      <c r="AP347" s="385"/>
      <c r="AQ347" s="385"/>
      <c r="AR347" s="1048"/>
      <c r="AS347" s="385"/>
      <c r="AT347" s="879">
        <f t="shared" ca="1" si="235"/>
        <v>0</v>
      </c>
      <c r="AU347" s="879">
        <f ca="1">COUNTIFS(AT$7:$AT347,1)</f>
        <v>5</v>
      </c>
    </row>
    <row r="348" spans="2:47" ht="14.25" hidden="1" customHeight="1" outlineLevel="1">
      <c r="B348" s="1738" t="s">
        <v>29</v>
      </c>
      <c r="C348" s="313" t="str">
        <f>input!C716</f>
        <v>Die-cutting (NIKKO 1050FH)</v>
      </c>
      <c r="D348" s="313">
        <f>input!D716</f>
        <v>204</v>
      </c>
      <c r="E348" s="363"/>
      <c r="F348" s="363" t="str">
        <f ca="1">input!F716</f>
        <v>N</v>
      </c>
      <c r="G348" s="363"/>
      <c r="H348" s="313">
        <f ca="1">IF(F348="PCS",$E$4,SUMIFS(Paper!$AC$7:$AC$58,Paper!$A$7:$A$58,'Production cost'!F348))</f>
        <v>0</v>
      </c>
      <c r="I348" s="313">
        <f ca="1">IF(input!$G716&gt;0,input!$G716,IF($C348=Data!$L$1158,500,3000))</f>
        <v>3000</v>
      </c>
      <c r="J348" s="313" t="str">
        <f>input!$H716</f>
        <v>Sheets</v>
      </c>
      <c r="K348" s="360">
        <f>IF($C348=Data!$L$1158,0,1/4)</f>
        <v>0.25</v>
      </c>
      <c r="L348" s="313">
        <f ca="1">IF(input!$I716&gt;0,input!$I716,2)</f>
        <v>2</v>
      </c>
      <c r="M348" s="391">
        <f ca="1">IF(H348&gt;0,SUMIF(Data!$L$1155:$L$1190,'Production cost'!$C348,Data!$Q$1155:$Q$1190)*SUMIF(Paper!$A$7:$A$70,'Production cost'!$F348,Paper!$J$7:$J$70),0)</f>
        <v>0</v>
      </c>
      <c r="N348" s="391">
        <f t="shared" ca="1" si="236"/>
        <v>0</v>
      </c>
      <c r="O348" s="313">
        <f>IF($C348=Data!$L$1158,0,Data!$N$1195)</f>
        <v>352574.32240985788</v>
      </c>
      <c r="P348" s="313">
        <f>SUMIF(Data!$L$1155:$L$1190,'Production cost'!$C348,Data!$N$1155:$N$1190)</f>
        <v>64593.240854333337</v>
      </c>
      <c r="Q348" s="313">
        <f t="shared" ca="1" si="227"/>
        <v>0</v>
      </c>
      <c r="R348" s="313">
        <f t="shared" ca="1" si="237"/>
        <v>0</v>
      </c>
      <c r="S348" s="1741">
        <f t="shared" ca="1" si="238"/>
        <v>0</v>
      </c>
      <c r="T348" s="313" t="str">
        <f ca="1">input!J716</f>
        <v>N</v>
      </c>
      <c r="V348" s="3115" t="str">
        <f>input!K716</f>
        <v>Packaging</v>
      </c>
      <c r="W348" s="3115">
        <f t="shared" ca="1" si="239"/>
        <v>0</v>
      </c>
      <c r="X348" s="3119">
        <f>VLOOKUP(V348,'Fix Cost'!$K$177:$M$179,2,0)</f>
        <v>58449.923860467366</v>
      </c>
      <c r="Y348" s="3119">
        <f>VLOOKUP(V348,'Fix Cost'!$K$177:$M$179,3,0)</f>
        <v>267411.04680782068</v>
      </c>
      <c r="Z348" s="3119">
        <f t="shared" ca="1" si="240"/>
        <v>0</v>
      </c>
      <c r="AA348" s="3115">
        <f t="shared" ca="1" si="241"/>
        <v>0</v>
      </c>
      <c r="AB348" s="3115">
        <f t="shared" ca="1" si="242"/>
        <v>0</v>
      </c>
      <c r="AK348" s="313"/>
      <c r="AL348" s="313"/>
      <c r="AM348" s="313"/>
      <c r="AO348" s="1055"/>
      <c r="AP348" s="385"/>
      <c r="AQ348" s="385"/>
      <c r="AR348" s="1048"/>
      <c r="AS348" s="385"/>
      <c r="AT348" s="879">
        <f t="shared" ca="1" si="235"/>
        <v>0</v>
      </c>
      <c r="AU348" s="879">
        <f ca="1">COUNTIFS(AT$7:$AT348,1)</f>
        <v>5</v>
      </c>
    </row>
    <row r="349" spans="2:47" ht="14.25" hidden="1" customHeight="1" outlineLevel="1">
      <c r="B349" s="1738" t="s">
        <v>29</v>
      </c>
      <c r="C349" s="313" t="str">
        <f>input!C717</f>
        <v>Die-cutting (NIKKO 1050FH)</v>
      </c>
      <c r="D349" s="313">
        <f>input!D717</f>
        <v>221</v>
      </c>
      <c r="E349" s="363"/>
      <c r="F349" s="363" t="str">
        <f ca="1">input!F717</f>
        <v>N</v>
      </c>
      <c r="G349" s="363"/>
      <c r="H349" s="313">
        <f ca="1">IF(F349="PCS",$E$4,SUMIFS(Paper!$AC$7:$AC$58,Paper!$A$7:$A$58,'Production cost'!F349))</f>
        <v>0</v>
      </c>
      <c r="I349" s="313">
        <f ca="1">IF(input!$G717&gt;0,input!$G717,IF($C349=Data!$L$1158,500,3000))</f>
        <v>3000</v>
      </c>
      <c r="J349" s="313" t="str">
        <f>input!$H717</f>
        <v>Sheets</v>
      </c>
      <c r="K349" s="360">
        <f>IF($C349=Data!$L$1158,0,1/4)</f>
        <v>0.25</v>
      </c>
      <c r="L349" s="313">
        <f ca="1">IF(input!$I717&gt;0,input!$I717,2)</f>
        <v>2</v>
      </c>
      <c r="M349" s="391">
        <f ca="1">IF(H349&gt;0,SUMIF(Data!$L$1155:$L$1190,'Production cost'!$C349,Data!$Q$1155:$Q$1190)*SUMIF(Paper!$A$7:$A$70,'Production cost'!$F349,Paper!$J$7:$J$70),0)</f>
        <v>0</v>
      </c>
      <c r="N349" s="391">
        <f t="shared" ca="1" si="236"/>
        <v>0</v>
      </c>
      <c r="O349" s="313">
        <f>IF($C349=Data!$L$1158,0,Data!$N$1195)</f>
        <v>352574.32240985788</v>
      </c>
      <c r="P349" s="313">
        <f>SUMIF(Data!$L$1155:$L$1190,'Production cost'!$C349,Data!$N$1155:$N$1190)</f>
        <v>64593.240854333337</v>
      </c>
      <c r="Q349" s="313">
        <f t="shared" ca="1" si="227"/>
        <v>0</v>
      </c>
      <c r="R349" s="313">
        <f t="shared" ca="1" si="237"/>
        <v>0</v>
      </c>
      <c r="S349" s="1741">
        <f t="shared" ca="1" si="238"/>
        <v>0</v>
      </c>
      <c r="T349" s="313" t="str">
        <f ca="1">input!J717</f>
        <v>N</v>
      </c>
      <c r="V349" s="3115" t="str">
        <f>input!K717</f>
        <v>Packaging</v>
      </c>
      <c r="W349" s="3115">
        <f t="shared" ca="1" si="239"/>
        <v>0</v>
      </c>
      <c r="X349" s="3119">
        <f>VLOOKUP(V349,'Fix Cost'!$K$177:$M$179,2,0)</f>
        <v>58449.923860467366</v>
      </c>
      <c r="Y349" s="3119">
        <f>VLOOKUP(V349,'Fix Cost'!$K$177:$M$179,3,0)</f>
        <v>267411.04680782068</v>
      </c>
      <c r="Z349" s="3119">
        <f t="shared" ca="1" si="240"/>
        <v>0</v>
      </c>
      <c r="AA349" s="3115">
        <f t="shared" ca="1" si="241"/>
        <v>0</v>
      </c>
      <c r="AB349" s="3115">
        <f t="shared" ca="1" si="242"/>
        <v>0</v>
      </c>
      <c r="AK349" s="313"/>
      <c r="AL349" s="313"/>
      <c r="AM349" s="313"/>
      <c r="AO349" s="1055"/>
      <c r="AP349" s="385"/>
      <c r="AQ349" s="385"/>
      <c r="AR349" s="1048"/>
      <c r="AS349" s="385"/>
      <c r="AT349" s="879">
        <f t="shared" ca="1" si="235"/>
        <v>0</v>
      </c>
      <c r="AU349" s="879">
        <f ca="1">COUNTIFS(AT$7:$AT349,1)</f>
        <v>5</v>
      </c>
    </row>
    <row r="350" spans="2:47" ht="14.25" hidden="1" customHeight="1" outlineLevel="1">
      <c r="B350" s="1738" t="s">
        <v>29</v>
      </c>
      <c r="C350" s="313" t="str">
        <f>input!C718</f>
        <v>Die-cutting (NIKKO 1050FH)</v>
      </c>
      <c r="D350" s="313">
        <f>input!D718</f>
        <v>238</v>
      </c>
      <c r="E350" s="363"/>
      <c r="F350" s="363" t="str">
        <f ca="1">input!F718</f>
        <v>N</v>
      </c>
      <c r="G350" s="363"/>
      <c r="H350" s="313">
        <f ca="1">IF(F350="PCS",$E$4,SUMIFS(Paper!$AC$7:$AC$58,Paper!$A$7:$A$58,'Production cost'!F350))</f>
        <v>0</v>
      </c>
      <c r="I350" s="313">
        <f ca="1">IF(input!$G718&gt;0,input!$G718,IF($C350=Data!$L$1158,500,3000))</f>
        <v>3000</v>
      </c>
      <c r="J350" s="313" t="str">
        <f>input!$H718</f>
        <v>Sheets</v>
      </c>
      <c r="K350" s="360">
        <f>IF($C350=Data!$L$1158,0,1/4)</f>
        <v>0.25</v>
      </c>
      <c r="L350" s="313">
        <f ca="1">IF(input!$I718&gt;0,input!$I718,2)</f>
        <v>2</v>
      </c>
      <c r="M350" s="391">
        <f ca="1">IF(H350&gt;0,SUMIF(Data!$L$1155:$L$1190,'Production cost'!$C350,Data!$Q$1155:$Q$1190)*SUMIF(Paper!$A$7:$A$70,'Production cost'!$F350,Paper!$J$7:$J$70),0)</f>
        <v>0</v>
      </c>
      <c r="N350" s="391">
        <f t="shared" ca="1" si="236"/>
        <v>0</v>
      </c>
      <c r="O350" s="313">
        <f>IF($C350=Data!$L$1158,0,Data!$N$1195)</f>
        <v>352574.32240985788</v>
      </c>
      <c r="P350" s="313">
        <f>SUMIF(Data!$L$1155:$L$1190,'Production cost'!$C350,Data!$N$1155:$N$1190)</f>
        <v>64593.240854333337</v>
      </c>
      <c r="Q350" s="313">
        <f t="shared" ca="1" si="227"/>
        <v>0</v>
      </c>
      <c r="R350" s="313">
        <f t="shared" ca="1" si="237"/>
        <v>0</v>
      </c>
      <c r="S350" s="1741">
        <f t="shared" ca="1" si="238"/>
        <v>0</v>
      </c>
      <c r="T350" s="313" t="str">
        <f ca="1">input!J718</f>
        <v>N</v>
      </c>
      <c r="V350" s="3115" t="str">
        <f>input!K718</f>
        <v>Packaging</v>
      </c>
      <c r="W350" s="3115">
        <f t="shared" ca="1" si="239"/>
        <v>0</v>
      </c>
      <c r="X350" s="3119">
        <f>VLOOKUP(V350,'Fix Cost'!$K$177:$M$179,2,0)</f>
        <v>58449.923860467366</v>
      </c>
      <c r="Y350" s="3119">
        <f>VLOOKUP(V350,'Fix Cost'!$K$177:$M$179,3,0)</f>
        <v>267411.04680782068</v>
      </c>
      <c r="Z350" s="3119">
        <f t="shared" ca="1" si="240"/>
        <v>0</v>
      </c>
      <c r="AA350" s="3115">
        <f t="shared" ca="1" si="241"/>
        <v>0</v>
      </c>
      <c r="AB350" s="3115">
        <f t="shared" ca="1" si="242"/>
        <v>0</v>
      </c>
      <c r="AK350" s="313"/>
      <c r="AL350" s="313"/>
      <c r="AM350" s="313"/>
      <c r="AO350" s="1055"/>
      <c r="AP350" s="385"/>
      <c r="AQ350" s="385"/>
      <c r="AR350" s="1048"/>
      <c r="AS350" s="385"/>
      <c r="AT350" s="879">
        <f t="shared" ca="1" si="235"/>
        <v>0</v>
      </c>
      <c r="AU350" s="879">
        <f ca="1">COUNTIFS(AT$7:$AT350,1)</f>
        <v>5</v>
      </c>
    </row>
    <row r="351" spans="2:47" ht="14.25" hidden="1" customHeight="1" outlineLevel="1">
      <c r="B351" s="1738" t="s">
        <v>29</v>
      </c>
      <c r="C351" s="313" t="str">
        <f>input!C719</f>
        <v>Die-cutting (NIKKO 1050FH)</v>
      </c>
      <c r="D351" s="313">
        <f>input!D719</f>
        <v>0</v>
      </c>
      <c r="E351" s="363"/>
      <c r="F351" s="363" t="str">
        <f ca="1">input!F719</f>
        <v>N</v>
      </c>
      <c r="G351" s="363"/>
      <c r="H351" s="313">
        <f ca="1">IF(F351="PCS",$E$4,SUMIFS(Paper!$AC$7:$AC$58,Paper!$A$7:$A$58,'Production cost'!F351))</f>
        <v>0</v>
      </c>
      <c r="I351" s="313">
        <f ca="1">IF(input!$G719&gt;0,input!$G719,IF($C351=Data!$L$1158,500,3000))</f>
        <v>3000</v>
      </c>
      <c r="J351" s="313" t="str">
        <f>input!$H719</f>
        <v>Sheets</v>
      </c>
      <c r="K351" s="360">
        <f>IF($C351=Data!$L$1158,0,1/4)</f>
        <v>0.25</v>
      </c>
      <c r="L351" s="313">
        <f ca="1">IF(input!$I719&gt;0,input!$I719,2)</f>
        <v>2</v>
      </c>
      <c r="M351" s="391">
        <f ca="1">IF(H351&gt;0,SUMIF(Data!$L$1155:$L$1190,'Production cost'!$C351,Data!$Q$1155:$Q$1190)*SUMIF(Paper!$A$7:$A$70,'Production cost'!$F351,Paper!$J$7:$J$70),0)</f>
        <v>0</v>
      </c>
      <c r="N351" s="391">
        <f t="shared" ca="1" si="228"/>
        <v>0</v>
      </c>
      <c r="O351" s="313">
        <f>IF($C351=Data!$L$1158,0,Data!$N$1195)</f>
        <v>352574.32240985788</v>
      </c>
      <c r="P351" s="313">
        <f>SUMIF(Data!$L$1155:$L$1190,'Production cost'!$C351,Data!$N$1155:$N$1190)</f>
        <v>64593.240854333337</v>
      </c>
      <c r="Q351" s="313">
        <f t="shared" ca="1" si="227"/>
        <v>0</v>
      </c>
      <c r="R351" s="313">
        <f t="shared" ca="1" si="229"/>
        <v>0</v>
      </c>
      <c r="S351" s="1741">
        <f t="shared" ca="1" si="230"/>
        <v>0</v>
      </c>
      <c r="T351" s="313" t="str">
        <f ca="1">input!J719</f>
        <v>N</v>
      </c>
      <c r="V351" s="3115" t="str">
        <f>input!K719</f>
        <v>Packaging</v>
      </c>
      <c r="W351" s="3115">
        <f t="shared" ca="1" si="231"/>
        <v>0</v>
      </c>
      <c r="X351" s="3119">
        <f>VLOOKUP(V351,'Fix Cost'!$K$177:$M$179,2,0)</f>
        <v>58449.923860467366</v>
      </c>
      <c r="Y351" s="3119">
        <f>VLOOKUP(V351,'Fix Cost'!$K$177:$M$179,3,0)</f>
        <v>267411.04680782068</v>
      </c>
      <c r="Z351" s="3119">
        <f t="shared" ca="1" si="232"/>
        <v>0</v>
      </c>
      <c r="AA351" s="3115">
        <f t="shared" ca="1" si="233"/>
        <v>0</v>
      </c>
      <c r="AB351" s="3115">
        <f t="shared" ca="1" si="234"/>
        <v>0</v>
      </c>
      <c r="AK351" s="313"/>
      <c r="AL351" s="313"/>
      <c r="AM351" s="313"/>
      <c r="AO351" s="1055"/>
      <c r="AP351" s="385"/>
      <c r="AQ351" s="385"/>
      <c r="AR351" s="1048"/>
      <c r="AS351" s="385"/>
      <c r="AT351" s="879">
        <f t="shared" ca="1" si="235"/>
        <v>0</v>
      </c>
      <c r="AU351" s="879">
        <f ca="1">COUNTIFS(AT$7:$AT351,1)</f>
        <v>5</v>
      </c>
    </row>
    <row r="352" spans="2:47" ht="14.25" hidden="1" customHeight="1" outlineLevel="1">
      <c r="B352" s="1738" t="s">
        <v>29</v>
      </c>
      <c r="C352" s="313" t="str">
        <f>input!C720</f>
        <v>Die-cutting (NIKKO 1050FH)</v>
      </c>
      <c r="D352" s="313">
        <f>input!D720</f>
        <v>10</v>
      </c>
      <c r="E352" s="363"/>
      <c r="F352" s="363" t="str">
        <f ca="1">input!F720</f>
        <v>N</v>
      </c>
      <c r="G352" s="363"/>
      <c r="H352" s="313">
        <f ca="1">IF(F352="PCS",$E$4,SUMIFS(Paper!$AC$7:$AC$58,Paper!$A$7:$A$58,'Production cost'!F352))</f>
        <v>0</v>
      </c>
      <c r="I352" s="313">
        <f ca="1">IF(input!$G720&gt;0,input!$G720,IF($C352=Data!$L$1158,500,3000))</f>
        <v>3000</v>
      </c>
      <c r="J352" s="313" t="str">
        <f>input!$H720</f>
        <v>Sheets</v>
      </c>
      <c r="K352" s="360">
        <f>IF($C352=Data!$L$1158,0,1/4)</f>
        <v>0.25</v>
      </c>
      <c r="L352" s="313">
        <f ca="1">IF(input!$I720&gt;0,input!$I720,2)</f>
        <v>2</v>
      </c>
      <c r="M352" s="391">
        <f ca="1">IF(H352&gt;0,SUMIF(Data!$L$1155:$L$1190,'Production cost'!$C352,Data!$Q$1155:$Q$1190)*SUMIF(Paper!$A$7:$A$70,'Production cost'!$F352,Paper!$J$7:$J$70),0)</f>
        <v>0</v>
      </c>
      <c r="N352" s="391">
        <f t="shared" ca="1" si="228"/>
        <v>0</v>
      </c>
      <c r="O352" s="313">
        <f>IF($C352=Data!$L$1158,0,Data!$N$1195)</f>
        <v>352574.32240985788</v>
      </c>
      <c r="P352" s="313">
        <f>SUMIF(Data!$L$1155:$L$1190,'Production cost'!$C352,Data!$N$1155:$N$1190)</f>
        <v>64593.240854333337</v>
      </c>
      <c r="Q352" s="313">
        <f t="shared" ca="1" si="227"/>
        <v>0</v>
      </c>
      <c r="R352" s="313">
        <f t="shared" ca="1" si="229"/>
        <v>0</v>
      </c>
      <c r="S352" s="1741">
        <f t="shared" ca="1" si="230"/>
        <v>0</v>
      </c>
      <c r="T352" s="313" t="str">
        <f ca="1">input!J720</f>
        <v>N</v>
      </c>
      <c r="V352" s="3115" t="str">
        <f>input!K720</f>
        <v>Packaging</v>
      </c>
      <c r="W352" s="3115">
        <f t="shared" ca="1" si="231"/>
        <v>0</v>
      </c>
      <c r="X352" s="3119">
        <f>VLOOKUP(V352,'Fix Cost'!$K$177:$M$179,2,0)</f>
        <v>58449.923860467366</v>
      </c>
      <c r="Y352" s="3119">
        <f>VLOOKUP(V352,'Fix Cost'!$K$177:$M$179,3,0)</f>
        <v>267411.04680782068</v>
      </c>
      <c r="Z352" s="3119">
        <f t="shared" ca="1" si="232"/>
        <v>0</v>
      </c>
      <c r="AA352" s="3115">
        <f t="shared" ca="1" si="233"/>
        <v>0</v>
      </c>
      <c r="AB352" s="3115">
        <f t="shared" ca="1" si="234"/>
        <v>0</v>
      </c>
      <c r="AK352" s="313"/>
      <c r="AL352" s="313"/>
      <c r="AM352" s="313"/>
      <c r="AO352" s="1055"/>
      <c r="AP352" s="385"/>
      <c r="AQ352" s="385"/>
      <c r="AR352" s="1048"/>
      <c r="AS352" s="385"/>
      <c r="AT352" s="879">
        <f t="shared" ca="1" si="235"/>
        <v>0</v>
      </c>
      <c r="AU352" s="879">
        <f ca="1">COUNTIFS(AT$7:$AT352,1)</f>
        <v>5</v>
      </c>
    </row>
    <row r="353" spans="2:47" ht="14.25" hidden="1" customHeight="1" outlineLevel="1">
      <c r="B353" s="1738" t="s">
        <v>29</v>
      </c>
      <c r="C353" s="313" t="str">
        <f>input!C721</f>
        <v>Die-cutting (NIKKO 1050FH)</v>
      </c>
      <c r="D353" s="313">
        <f>input!D721</f>
        <v>20</v>
      </c>
      <c r="E353" s="363"/>
      <c r="F353" s="363" t="str">
        <f ca="1">input!F721</f>
        <v>N</v>
      </c>
      <c r="G353" s="363"/>
      <c r="H353" s="313">
        <f ca="1">IF(F353="PCS",$E$4,SUMIFS(Paper!$AC$7:$AC$58,Paper!$A$7:$A$58,'Production cost'!F353))</f>
        <v>0</v>
      </c>
      <c r="I353" s="313">
        <f ca="1">IF(input!$G721&gt;0,input!$G721,IF($C353=Data!$L$1158,500,3000))</f>
        <v>3000</v>
      </c>
      <c r="J353" s="313" t="str">
        <f>input!$H721</f>
        <v>Sheets</v>
      </c>
      <c r="K353" s="360">
        <f>IF($C353=Data!$L$1158,0,1/4)</f>
        <v>0.25</v>
      </c>
      <c r="L353" s="313">
        <f ca="1">IF(input!$I721&gt;0,input!$I721,2)</f>
        <v>2</v>
      </c>
      <c r="M353" s="391">
        <f ca="1">IF(H353&gt;0,SUMIF(Data!$L$1155:$L$1190,'Production cost'!$C353,Data!$Q$1155:$Q$1190)*SUMIF(Paper!$A$7:$A$70,'Production cost'!$F353,Paper!$J$7:$J$70),0)</f>
        <v>0</v>
      </c>
      <c r="N353" s="391">
        <f t="shared" ca="1" si="228"/>
        <v>0</v>
      </c>
      <c r="O353" s="313">
        <f>IF($C353=Data!$L$1158,0,Data!$N$1195)</f>
        <v>352574.32240985788</v>
      </c>
      <c r="P353" s="313">
        <f>SUMIF(Data!$L$1155:$L$1190,'Production cost'!$C353,Data!$N$1155:$N$1190)</f>
        <v>64593.240854333337</v>
      </c>
      <c r="Q353" s="313">
        <f t="shared" ca="1" si="227"/>
        <v>0</v>
      </c>
      <c r="R353" s="313">
        <f t="shared" ca="1" si="229"/>
        <v>0</v>
      </c>
      <c r="S353" s="1741">
        <f t="shared" ca="1" si="230"/>
        <v>0</v>
      </c>
      <c r="T353" s="313" t="str">
        <f ca="1">input!J721</f>
        <v>N</v>
      </c>
      <c r="V353" s="3115" t="str">
        <f>input!K721</f>
        <v>Packaging</v>
      </c>
      <c r="W353" s="3115">
        <f t="shared" ca="1" si="231"/>
        <v>0</v>
      </c>
      <c r="X353" s="3119">
        <f>VLOOKUP(V353,'Fix Cost'!$K$177:$M$179,2,0)</f>
        <v>58449.923860467366</v>
      </c>
      <c r="Y353" s="3119">
        <f>VLOOKUP(V353,'Fix Cost'!$K$177:$M$179,3,0)</f>
        <v>267411.04680782068</v>
      </c>
      <c r="Z353" s="3119">
        <f t="shared" ca="1" si="232"/>
        <v>0</v>
      </c>
      <c r="AA353" s="3115">
        <f t="shared" ca="1" si="233"/>
        <v>0</v>
      </c>
      <c r="AB353" s="3115">
        <f t="shared" ca="1" si="234"/>
        <v>0</v>
      </c>
      <c r="AK353" s="313"/>
      <c r="AL353" s="313"/>
      <c r="AM353" s="313"/>
      <c r="AO353" s="1055"/>
      <c r="AP353" s="385"/>
      <c r="AQ353" s="385"/>
      <c r="AR353" s="1048"/>
      <c r="AS353" s="385"/>
      <c r="AT353" s="879">
        <f t="shared" ca="1" si="235"/>
        <v>0</v>
      </c>
      <c r="AU353" s="879">
        <f ca="1">COUNTIFS(AT$7:$AT353,1)</f>
        <v>5</v>
      </c>
    </row>
    <row r="354" spans="2:47" ht="14.25" hidden="1" customHeight="1" outlineLevel="1">
      <c r="B354" s="1738" t="s">
        <v>29</v>
      </c>
      <c r="C354" s="313" t="str">
        <f>input!C722</f>
        <v>Die-cutting (Semi-auto)</v>
      </c>
      <c r="D354" s="313">
        <f>input!D722</f>
        <v>0</v>
      </c>
      <c r="E354" s="363"/>
      <c r="F354" s="363" t="str">
        <f ca="1">input!F722</f>
        <v>N</v>
      </c>
      <c r="G354" s="363"/>
      <c r="H354" s="313">
        <f ca="1">IF(F354="PCS",$E$4,SUMIFS(Paper!$AC$7:$AC$58,Paper!$A$7:$A$58,'Production cost'!F354))</f>
        <v>0</v>
      </c>
      <c r="I354" s="313">
        <f ca="1">IF(input!$G722&gt;0,input!$G722,IF($C354=Data!$L$1158,500,3000))</f>
        <v>500</v>
      </c>
      <c r="J354" s="313" t="str">
        <f>input!$H722</f>
        <v>Sheets</v>
      </c>
      <c r="K354" s="360">
        <f>IF($C354=Data!$L$1158,0,1/4)</f>
        <v>0</v>
      </c>
      <c r="L354" s="313">
        <f ca="1">IF(input!$I722&gt;0,input!$I722,2)</f>
        <v>2</v>
      </c>
      <c r="M354" s="391">
        <f ca="1">IF(H354&gt;0,SUMIF(Data!$L$1155:$L$1190,'Production cost'!$C354,Data!$Q$1155:$Q$1190)*SUMIF(Paper!$A$7:$A$70,'Production cost'!$F354,Paper!$J$7:$J$70),0)</f>
        <v>0</v>
      </c>
      <c r="N354" s="391">
        <f t="shared" ca="1" si="228"/>
        <v>0</v>
      </c>
      <c r="O354" s="313">
        <f>IF($C354=Data!$L$1158,0,Data!$N$1195)</f>
        <v>0</v>
      </c>
      <c r="P354" s="313">
        <f>SUMIF(Data!$L$1155:$L$1190,'Production cost'!$C354,Data!$N$1155:$N$1190)</f>
        <v>64593.240854333337</v>
      </c>
      <c r="Q354" s="313">
        <f t="shared" ca="1" si="227"/>
        <v>0</v>
      </c>
      <c r="R354" s="313">
        <f t="shared" ca="1" si="229"/>
        <v>0</v>
      </c>
      <c r="S354" s="1741">
        <f t="shared" ca="1" si="230"/>
        <v>0</v>
      </c>
      <c r="T354" s="313" t="str">
        <f ca="1">input!J722</f>
        <v>N</v>
      </c>
      <c r="V354" s="3115" t="str">
        <f>input!K722</f>
        <v>Packaging</v>
      </c>
      <c r="W354" s="3115">
        <f t="shared" ca="1" si="231"/>
        <v>0</v>
      </c>
      <c r="X354" s="3119">
        <f>VLOOKUP(V354,'Fix Cost'!$K$177:$M$179,2,0)</f>
        <v>58449.923860467366</v>
      </c>
      <c r="Y354" s="3119">
        <f>VLOOKUP(V354,'Fix Cost'!$K$177:$M$179,3,0)</f>
        <v>267411.04680782068</v>
      </c>
      <c r="Z354" s="3119">
        <f t="shared" ca="1" si="232"/>
        <v>0</v>
      </c>
      <c r="AA354" s="3115">
        <f t="shared" ca="1" si="233"/>
        <v>0</v>
      </c>
      <c r="AB354" s="3115">
        <f t="shared" ca="1" si="234"/>
        <v>0</v>
      </c>
      <c r="AK354" s="313"/>
      <c r="AL354" s="313"/>
      <c r="AM354" s="313"/>
      <c r="AO354" s="1055"/>
      <c r="AP354" s="385"/>
      <c r="AQ354" s="385"/>
      <c r="AR354" s="1048"/>
      <c r="AS354" s="385"/>
      <c r="AT354" s="879">
        <f t="shared" ca="1" si="235"/>
        <v>0</v>
      </c>
      <c r="AU354" s="879">
        <f ca="1">COUNTIFS(AT$7:$AT354,1)</f>
        <v>5</v>
      </c>
    </row>
    <row r="355" spans="2:47" ht="14.25" hidden="1" customHeight="1" outlineLevel="1">
      <c r="B355" s="1738" t="s">
        <v>29</v>
      </c>
      <c r="C355" s="313" t="str">
        <f>input!C723</f>
        <v>Die-cutting (Semi-auto)</v>
      </c>
      <c r="D355" s="313">
        <f>input!D723</f>
        <v>3</v>
      </c>
      <c r="E355" s="363"/>
      <c r="F355" s="363" t="str">
        <f ca="1">input!F723</f>
        <v>N</v>
      </c>
      <c r="G355" s="363"/>
      <c r="H355" s="313">
        <f ca="1">IF(F355="PCS",$E$4,SUMIFS(Paper!$AC$7:$AC$58,Paper!$A$7:$A$58,'Production cost'!F355))</f>
        <v>0</v>
      </c>
      <c r="I355" s="313">
        <f ca="1">IF(input!$G723&gt;0,input!$G723,IF($C355=Data!$L$1158,500,3000))</f>
        <v>500</v>
      </c>
      <c r="J355" s="313" t="str">
        <f>input!$H723</f>
        <v>Sheets</v>
      </c>
      <c r="K355" s="360">
        <f>IF($C355=Data!$L$1158,0,1/4)</f>
        <v>0</v>
      </c>
      <c r="L355" s="313">
        <f ca="1">IF(input!$I723&gt;0,input!$I723,2)</f>
        <v>2</v>
      </c>
      <c r="M355" s="391">
        <f ca="1">IF(H355&gt;0,SUMIF(Data!$L$1155:$L$1190,'Production cost'!$C355,Data!$Q$1155:$Q$1190)*SUMIF(Paper!$A$7:$A$70,'Production cost'!$F355,Paper!$J$7:$J$70),0)</f>
        <v>0</v>
      </c>
      <c r="N355" s="391">
        <f t="shared" ca="1" si="228"/>
        <v>0</v>
      </c>
      <c r="O355" s="313">
        <f>IF($C355=Data!$L$1158,0,Data!$N$1195)</f>
        <v>0</v>
      </c>
      <c r="P355" s="313">
        <f>SUMIF(Data!$L$1155:$L$1190,'Production cost'!$C355,Data!$N$1155:$N$1190)</f>
        <v>64593.240854333337</v>
      </c>
      <c r="Q355" s="313">
        <f t="shared" ca="1" si="227"/>
        <v>0</v>
      </c>
      <c r="R355" s="313">
        <f t="shared" ca="1" si="229"/>
        <v>0</v>
      </c>
      <c r="S355" s="1741">
        <f t="shared" ca="1" si="230"/>
        <v>0</v>
      </c>
      <c r="T355" s="313" t="str">
        <f ca="1">input!J723</f>
        <v>N</v>
      </c>
      <c r="V355" s="3115" t="str">
        <f>input!K723</f>
        <v>Packaging</v>
      </c>
      <c r="W355" s="3115">
        <f t="shared" ca="1" si="231"/>
        <v>0</v>
      </c>
      <c r="X355" s="3119">
        <f>VLOOKUP(V355,'Fix Cost'!$K$177:$M$179,2,0)</f>
        <v>58449.923860467366</v>
      </c>
      <c r="Y355" s="3119">
        <f>VLOOKUP(V355,'Fix Cost'!$K$177:$M$179,3,0)</f>
        <v>267411.04680782068</v>
      </c>
      <c r="Z355" s="3119">
        <f t="shared" ca="1" si="232"/>
        <v>0</v>
      </c>
      <c r="AA355" s="3115">
        <f t="shared" ca="1" si="233"/>
        <v>0</v>
      </c>
      <c r="AB355" s="3115">
        <f t="shared" ca="1" si="234"/>
        <v>0</v>
      </c>
      <c r="AK355" s="313"/>
      <c r="AL355" s="313"/>
      <c r="AM355" s="313"/>
      <c r="AO355" s="1055"/>
      <c r="AP355" s="385"/>
      <c r="AQ355" s="385"/>
      <c r="AR355" s="1048"/>
      <c r="AS355" s="385"/>
      <c r="AT355" s="879">
        <f t="shared" ca="1" si="235"/>
        <v>0</v>
      </c>
      <c r="AU355" s="879">
        <f ca="1">COUNTIFS(AT$7:$AT355,1)</f>
        <v>5</v>
      </c>
    </row>
    <row r="356" spans="2:47" ht="14.25" hidden="1" customHeight="1" outlineLevel="1">
      <c r="B356" s="1738" t="s">
        <v>29</v>
      </c>
      <c r="C356" s="313" t="str">
        <f>input!C724</f>
        <v>Die-cutting (Semi-auto)</v>
      </c>
      <c r="D356" s="313">
        <f>input!D724</f>
        <v>6</v>
      </c>
      <c r="E356" s="363"/>
      <c r="F356" s="363" t="str">
        <f ca="1">input!F724</f>
        <v>N</v>
      </c>
      <c r="G356" s="363"/>
      <c r="H356" s="313">
        <f ca="1">IF(F356="PCS",$E$4,SUMIFS(Paper!$AC$7:$AC$58,Paper!$A$7:$A$58,'Production cost'!F356))</f>
        <v>0</v>
      </c>
      <c r="I356" s="313">
        <f ca="1">IF(input!$G724&gt;0,input!$G724,IF($C356=Data!$L$1158,500,3000))</f>
        <v>500</v>
      </c>
      <c r="J356" s="313" t="str">
        <f>input!$H724</f>
        <v>Sheets</v>
      </c>
      <c r="K356" s="360">
        <f>IF($C356=Data!$L$1158,0,1/4)</f>
        <v>0</v>
      </c>
      <c r="L356" s="313">
        <f ca="1">IF(input!$I724&gt;0,input!$I724,2)</f>
        <v>2</v>
      </c>
      <c r="M356" s="391">
        <f ca="1">IF(H356&gt;0,SUMIF(Data!$L$1155:$L$1190,'Production cost'!$C356,Data!$Q$1155:$Q$1190)*SUMIF(Paper!$A$7:$A$70,'Production cost'!$F356,Paper!$J$7:$J$70),0)</f>
        <v>0</v>
      </c>
      <c r="N356" s="391">
        <f t="shared" ca="1" si="228"/>
        <v>0</v>
      </c>
      <c r="O356" s="313">
        <f>IF($C356=Data!$L$1158,0,Data!$N$1195)</f>
        <v>0</v>
      </c>
      <c r="P356" s="313">
        <f>SUMIF(Data!$L$1155:$L$1190,'Production cost'!$C356,Data!$N$1155:$N$1190)</f>
        <v>64593.240854333337</v>
      </c>
      <c r="Q356" s="313">
        <f t="shared" ca="1" si="227"/>
        <v>0</v>
      </c>
      <c r="R356" s="313">
        <f t="shared" ca="1" si="229"/>
        <v>0</v>
      </c>
      <c r="S356" s="1741">
        <f t="shared" ca="1" si="230"/>
        <v>0</v>
      </c>
      <c r="T356" s="313" t="str">
        <f ca="1">input!J724</f>
        <v>N</v>
      </c>
      <c r="V356" s="3115" t="str">
        <f>input!K724</f>
        <v>Packaging</v>
      </c>
      <c r="W356" s="3115">
        <f t="shared" ca="1" si="231"/>
        <v>0</v>
      </c>
      <c r="X356" s="3119">
        <f>VLOOKUP(V356,'Fix Cost'!$K$177:$M$179,2,0)</f>
        <v>58449.923860467366</v>
      </c>
      <c r="Y356" s="3119">
        <f>VLOOKUP(V356,'Fix Cost'!$K$177:$M$179,3,0)</f>
        <v>267411.04680782068</v>
      </c>
      <c r="Z356" s="3119">
        <f t="shared" ca="1" si="232"/>
        <v>0</v>
      </c>
      <c r="AA356" s="3115">
        <f t="shared" ca="1" si="233"/>
        <v>0</v>
      </c>
      <c r="AB356" s="3115">
        <f t="shared" ca="1" si="234"/>
        <v>0</v>
      </c>
      <c r="AK356" s="313"/>
      <c r="AL356" s="313"/>
      <c r="AM356" s="313"/>
      <c r="AO356" s="1055"/>
      <c r="AP356" s="385"/>
      <c r="AQ356" s="385"/>
      <c r="AR356" s="1048"/>
      <c r="AS356" s="385"/>
      <c r="AT356" s="879">
        <f t="shared" ca="1" si="235"/>
        <v>0</v>
      </c>
      <c r="AU356" s="879">
        <f ca="1">COUNTIFS(AT$7:$AT356,1)</f>
        <v>5</v>
      </c>
    </row>
    <row r="357" spans="2:47" ht="14.25" hidden="1" customHeight="1" outlineLevel="1">
      <c r="B357" s="1738" t="s">
        <v>29</v>
      </c>
      <c r="C357" s="313" t="str">
        <f>input!C725</f>
        <v>Die-cutting (Semi-auto)</v>
      </c>
      <c r="D357" s="313">
        <f>input!D725</f>
        <v>9</v>
      </c>
      <c r="E357" s="363"/>
      <c r="F357" s="363" t="str">
        <f ca="1">input!F725</f>
        <v>N</v>
      </c>
      <c r="G357" s="363"/>
      <c r="H357" s="313">
        <f ca="1">IF(F357="PCS",$E$4,SUMIFS(Paper!$AC$7:$AC$58,Paper!$A$7:$A$58,'Production cost'!F357))</f>
        <v>0</v>
      </c>
      <c r="I357" s="313">
        <f ca="1">IF(input!$G725&gt;0,input!$G725,IF($C357=Data!$L$1158,500,3000))</f>
        <v>500</v>
      </c>
      <c r="J357" s="313" t="str">
        <f>input!$H725</f>
        <v>Sheets</v>
      </c>
      <c r="K357" s="360">
        <f>IF($C357=Data!$L$1158,0,1/4)</f>
        <v>0</v>
      </c>
      <c r="L357" s="313">
        <f ca="1">IF(input!$I725&gt;0,input!$I725,2)</f>
        <v>2</v>
      </c>
      <c r="M357" s="391">
        <f ca="1">IF(H357&gt;0,SUMIF(Data!$L$1155:$L$1190,'Production cost'!$C357,Data!$Q$1155:$Q$1190)*SUMIF(Paper!$A$7:$A$70,'Production cost'!$F357,Paper!$J$7:$J$70),0)</f>
        <v>0</v>
      </c>
      <c r="N357" s="391">
        <f t="shared" ca="1" si="228"/>
        <v>0</v>
      </c>
      <c r="O357" s="313">
        <f>IF($C357=Data!$L$1158,0,Data!$N$1195)</f>
        <v>0</v>
      </c>
      <c r="P357" s="313">
        <f>SUMIF(Data!$L$1155:$L$1190,'Production cost'!$C357,Data!$N$1155:$N$1190)</f>
        <v>64593.240854333337</v>
      </c>
      <c r="Q357" s="313">
        <f t="shared" ca="1" si="227"/>
        <v>0</v>
      </c>
      <c r="R357" s="313">
        <f t="shared" ca="1" si="229"/>
        <v>0</v>
      </c>
      <c r="S357" s="1741">
        <f t="shared" ca="1" si="230"/>
        <v>0</v>
      </c>
      <c r="T357" s="313" t="str">
        <f ca="1">input!J725</f>
        <v>N</v>
      </c>
      <c r="V357" s="3115" t="str">
        <f>input!K725</f>
        <v>Packaging</v>
      </c>
      <c r="W357" s="3115">
        <f t="shared" ca="1" si="231"/>
        <v>0</v>
      </c>
      <c r="X357" s="3119">
        <f>VLOOKUP(V357,'Fix Cost'!$K$177:$M$179,2,0)</f>
        <v>58449.923860467366</v>
      </c>
      <c r="Y357" s="3119">
        <f>VLOOKUP(V357,'Fix Cost'!$K$177:$M$179,3,0)</f>
        <v>267411.04680782068</v>
      </c>
      <c r="Z357" s="3119">
        <f t="shared" ca="1" si="232"/>
        <v>0</v>
      </c>
      <c r="AA357" s="3115">
        <f t="shared" ca="1" si="233"/>
        <v>0</v>
      </c>
      <c r="AB357" s="3115">
        <f t="shared" ca="1" si="234"/>
        <v>0</v>
      </c>
      <c r="AK357" s="313"/>
      <c r="AL357" s="313"/>
      <c r="AM357" s="313"/>
      <c r="AO357" s="1055"/>
      <c r="AP357" s="385"/>
      <c r="AQ357" s="385"/>
      <c r="AR357" s="1048"/>
      <c r="AS357" s="385"/>
      <c r="AT357" s="879">
        <f t="shared" ca="1" si="235"/>
        <v>0</v>
      </c>
      <c r="AU357" s="879">
        <f ca="1">COUNTIFS(AT$7:$AT357,1)</f>
        <v>5</v>
      </c>
    </row>
    <row r="358" spans="2:47" ht="14.25" hidden="1" customHeight="1" outlineLevel="1">
      <c r="B358" s="1738" t="s">
        <v>29</v>
      </c>
      <c r="C358" s="313" t="str">
        <f>input!C726</f>
        <v>Die-cutting (Semi-auto)</v>
      </c>
      <c r="D358" s="313">
        <f>input!D726</f>
        <v>12</v>
      </c>
      <c r="E358" s="363"/>
      <c r="F358" s="363" t="str">
        <f ca="1">input!F726</f>
        <v>N</v>
      </c>
      <c r="G358" s="363"/>
      <c r="H358" s="313">
        <f ca="1">IF(F358="PCS",$E$4,SUMIFS(Paper!$AC$7:$AC$58,Paper!$A$7:$A$58,'Production cost'!F358))</f>
        <v>0</v>
      </c>
      <c r="I358" s="313">
        <f ca="1">IF(input!$G726&gt;0,input!$G726,IF($C358=Data!$L$1158,500,3000))</f>
        <v>500</v>
      </c>
      <c r="J358" s="313" t="str">
        <f>input!$H726</f>
        <v>Sheets</v>
      </c>
      <c r="K358" s="360">
        <f>IF($C358=Data!$L$1158,0,1/4)</f>
        <v>0</v>
      </c>
      <c r="L358" s="313">
        <f ca="1">IF(input!$I726&gt;0,input!$I726,2)</f>
        <v>2</v>
      </c>
      <c r="M358" s="391">
        <f ca="1">IF(H358&gt;0,SUMIF(Data!$L$1155:$L$1190,'Production cost'!$C358,Data!$Q$1155:$Q$1190)*SUMIF(Paper!$A$7:$A$70,'Production cost'!$F358,Paper!$J$7:$J$70),0)</f>
        <v>0</v>
      </c>
      <c r="N358" s="391">
        <f t="shared" ca="1" si="228"/>
        <v>0</v>
      </c>
      <c r="O358" s="313">
        <f>IF($C358=Data!$L$1158,0,Data!$N$1195)</f>
        <v>0</v>
      </c>
      <c r="P358" s="313">
        <f>SUMIF(Data!$L$1155:$L$1190,'Production cost'!$C358,Data!$N$1155:$N$1190)</f>
        <v>64593.240854333337</v>
      </c>
      <c r="Q358" s="313">
        <f t="shared" ca="1" si="227"/>
        <v>0</v>
      </c>
      <c r="R358" s="313">
        <f t="shared" ca="1" si="229"/>
        <v>0</v>
      </c>
      <c r="S358" s="1741">
        <f t="shared" ca="1" si="230"/>
        <v>0</v>
      </c>
      <c r="T358" s="313" t="str">
        <f ca="1">input!J726</f>
        <v>N</v>
      </c>
      <c r="V358" s="3115" t="str">
        <f>input!K726</f>
        <v>Packaging</v>
      </c>
      <c r="W358" s="3115">
        <f t="shared" ca="1" si="231"/>
        <v>0</v>
      </c>
      <c r="X358" s="3119">
        <f>VLOOKUP(V358,'Fix Cost'!$K$177:$M$179,2,0)</f>
        <v>58449.923860467366</v>
      </c>
      <c r="Y358" s="3119">
        <f>VLOOKUP(V358,'Fix Cost'!$K$177:$M$179,3,0)</f>
        <v>267411.04680782068</v>
      </c>
      <c r="Z358" s="3119">
        <f t="shared" ca="1" si="232"/>
        <v>0</v>
      </c>
      <c r="AA358" s="3115">
        <f t="shared" ca="1" si="233"/>
        <v>0</v>
      </c>
      <c r="AB358" s="3115">
        <f t="shared" ca="1" si="234"/>
        <v>0</v>
      </c>
      <c r="AK358" s="313"/>
      <c r="AL358" s="313"/>
      <c r="AM358" s="313"/>
      <c r="AO358" s="1055"/>
      <c r="AP358" s="385"/>
      <c r="AQ358" s="385"/>
      <c r="AR358" s="1048"/>
      <c r="AS358" s="385"/>
      <c r="AT358" s="879">
        <f t="shared" ca="1" si="235"/>
        <v>0</v>
      </c>
      <c r="AU358" s="879">
        <f ca="1">COUNTIFS(AT$7:$AT358,1)</f>
        <v>5</v>
      </c>
    </row>
    <row r="359" spans="2:47" ht="14.25" hidden="1" customHeight="1" outlineLevel="1">
      <c r="B359" s="1738" t="s">
        <v>29</v>
      </c>
      <c r="C359" s="313" t="str">
        <f>input!C727</f>
        <v>Die-cutting (Semi-auto)</v>
      </c>
      <c r="D359" s="313">
        <f>input!D727</f>
        <v>15</v>
      </c>
      <c r="E359" s="363"/>
      <c r="F359" s="363" t="str">
        <f ca="1">input!F727</f>
        <v>N</v>
      </c>
      <c r="G359" s="363"/>
      <c r="H359" s="313">
        <f ca="1">IF(F359="PCS",$E$4,SUMIFS(Paper!$AC$7:$AC$58,Paper!$A$7:$A$58,'Production cost'!F359))</f>
        <v>0</v>
      </c>
      <c r="I359" s="313">
        <f ca="1">IF(input!$G727&gt;0,input!$G727,IF($C359=Data!$L$1158,500,3000))</f>
        <v>500</v>
      </c>
      <c r="J359" s="313" t="str">
        <f>input!$H727</f>
        <v>Sheets</v>
      </c>
      <c r="K359" s="360">
        <f>IF($C359=Data!$L$1158,0,1/4)</f>
        <v>0</v>
      </c>
      <c r="L359" s="313">
        <f ca="1">IF(input!$I727&gt;0,input!$I727,2)</f>
        <v>2</v>
      </c>
      <c r="M359" s="391">
        <f ca="1">IF(H359&gt;0,SUMIF(Data!$L$1155:$L$1190,'Production cost'!$C359,Data!$Q$1155:$Q$1190)*SUMIF(Paper!$A$7:$A$70,'Production cost'!$F359,Paper!$J$7:$J$70),0)</f>
        <v>0</v>
      </c>
      <c r="N359" s="391">
        <f t="shared" ca="1" si="228"/>
        <v>0</v>
      </c>
      <c r="O359" s="313">
        <f>IF($C359=Data!$L$1158,0,Data!$N$1195)</f>
        <v>0</v>
      </c>
      <c r="P359" s="313">
        <f>SUMIF(Data!$L$1155:$L$1190,'Production cost'!$C359,Data!$N$1155:$N$1190)</f>
        <v>64593.240854333337</v>
      </c>
      <c r="Q359" s="313">
        <f t="shared" ca="1" si="227"/>
        <v>0</v>
      </c>
      <c r="R359" s="313">
        <f t="shared" ca="1" si="229"/>
        <v>0</v>
      </c>
      <c r="S359" s="1741">
        <f t="shared" ca="1" si="230"/>
        <v>0</v>
      </c>
      <c r="T359" s="313" t="str">
        <f ca="1">input!J727</f>
        <v>N</v>
      </c>
      <c r="V359" s="3115" t="str">
        <f>input!K727</f>
        <v>Packaging</v>
      </c>
      <c r="W359" s="3115">
        <f t="shared" ca="1" si="231"/>
        <v>0</v>
      </c>
      <c r="X359" s="3119">
        <f>VLOOKUP(V359,'Fix Cost'!$K$177:$M$179,2,0)</f>
        <v>58449.923860467366</v>
      </c>
      <c r="Y359" s="3119">
        <f>VLOOKUP(V359,'Fix Cost'!$K$177:$M$179,3,0)</f>
        <v>267411.04680782068</v>
      </c>
      <c r="Z359" s="3119">
        <f t="shared" ca="1" si="232"/>
        <v>0</v>
      </c>
      <c r="AA359" s="3115">
        <f t="shared" ca="1" si="233"/>
        <v>0</v>
      </c>
      <c r="AB359" s="3115">
        <f t="shared" ca="1" si="234"/>
        <v>0</v>
      </c>
      <c r="AK359" s="313"/>
      <c r="AL359" s="313"/>
      <c r="AM359" s="313"/>
      <c r="AO359" s="1055"/>
      <c r="AP359" s="385"/>
      <c r="AQ359" s="385"/>
      <c r="AR359" s="1048"/>
      <c r="AS359" s="385"/>
      <c r="AT359" s="879">
        <f t="shared" ca="1" si="235"/>
        <v>0</v>
      </c>
      <c r="AU359" s="879">
        <f ca="1">COUNTIFS(AT$7:$AT359,1)</f>
        <v>5</v>
      </c>
    </row>
    <row r="360" spans="2:47" ht="14.25" hidden="1" customHeight="1" outlineLevel="1">
      <c r="B360" s="1738" t="s">
        <v>29</v>
      </c>
      <c r="C360" s="313" t="str">
        <f>input!C728</f>
        <v>Die-cutting (Semi-auto)</v>
      </c>
      <c r="D360" s="313">
        <f>input!D728</f>
        <v>18</v>
      </c>
      <c r="E360" s="363"/>
      <c r="F360" s="363" t="str">
        <f ca="1">input!F728</f>
        <v>N</v>
      </c>
      <c r="G360" s="363"/>
      <c r="H360" s="313">
        <f ca="1">IF(F360="PCS",$E$4,SUMIFS(Paper!$AC$7:$AC$58,Paper!$A$7:$A$58,'Production cost'!F360))</f>
        <v>0</v>
      </c>
      <c r="I360" s="313">
        <f ca="1">IF(input!$G728&gt;0,input!$G728,IF($C360=Data!$L$1158,500,3000))</f>
        <v>500</v>
      </c>
      <c r="J360" s="313" t="str">
        <f>input!$H728</f>
        <v>Sheets</v>
      </c>
      <c r="K360" s="360">
        <f>IF($C360=Data!$L$1158,0,1/4)</f>
        <v>0</v>
      </c>
      <c r="L360" s="313">
        <f ca="1">IF(input!$I728&gt;0,input!$I728,2)</f>
        <v>2</v>
      </c>
      <c r="M360" s="391">
        <f ca="1">IF(H360&gt;0,SUMIF(Data!$L$1155:$L$1190,'Production cost'!$C360,Data!$Q$1155:$Q$1190)*SUMIF(Paper!$A$7:$A$70,'Production cost'!$F360,Paper!$J$7:$J$70),0)</f>
        <v>0</v>
      </c>
      <c r="N360" s="391">
        <f t="shared" ca="1" si="228"/>
        <v>0</v>
      </c>
      <c r="O360" s="313">
        <f>IF($C360=Data!$L$1158,0,Data!$N$1195)</f>
        <v>0</v>
      </c>
      <c r="P360" s="313">
        <f>SUMIF(Data!$L$1155:$L$1190,'Production cost'!$C360,Data!$N$1155:$N$1190)</f>
        <v>64593.240854333337</v>
      </c>
      <c r="Q360" s="313">
        <f t="shared" ca="1" si="227"/>
        <v>0</v>
      </c>
      <c r="R360" s="313">
        <f t="shared" ca="1" si="229"/>
        <v>0</v>
      </c>
      <c r="S360" s="1741">
        <f t="shared" ca="1" si="230"/>
        <v>0</v>
      </c>
      <c r="T360" s="313" t="str">
        <f ca="1">input!J728</f>
        <v>N</v>
      </c>
      <c r="V360" s="3115" t="str">
        <f>input!K728</f>
        <v>Packaging</v>
      </c>
      <c r="W360" s="3115">
        <f t="shared" ca="1" si="231"/>
        <v>0</v>
      </c>
      <c r="X360" s="3119">
        <f>VLOOKUP(V360,'Fix Cost'!$K$177:$M$179,2,0)</f>
        <v>58449.923860467366</v>
      </c>
      <c r="Y360" s="3119">
        <f>VLOOKUP(V360,'Fix Cost'!$K$177:$M$179,3,0)</f>
        <v>267411.04680782068</v>
      </c>
      <c r="Z360" s="3119">
        <f t="shared" ca="1" si="232"/>
        <v>0</v>
      </c>
      <c r="AA360" s="3115">
        <f t="shared" ca="1" si="233"/>
        <v>0</v>
      </c>
      <c r="AB360" s="3115">
        <f t="shared" ca="1" si="234"/>
        <v>0</v>
      </c>
      <c r="AK360" s="313"/>
      <c r="AL360" s="313"/>
      <c r="AM360" s="313"/>
      <c r="AO360" s="1055"/>
      <c r="AP360" s="385"/>
      <c r="AQ360" s="385"/>
      <c r="AR360" s="1048"/>
      <c r="AS360" s="385"/>
      <c r="AT360" s="879">
        <f t="shared" ca="1" si="235"/>
        <v>0</v>
      </c>
      <c r="AU360" s="879">
        <f ca="1">COUNTIFS(AT$7:$AT360,1)</f>
        <v>5</v>
      </c>
    </row>
    <row r="361" spans="2:47" ht="14.25" hidden="1" customHeight="1" outlineLevel="1">
      <c r="B361" s="1738" t="s">
        <v>29</v>
      </c>
      <c r="C361" s="313" t="str">
        <f>input!C729</f>
        <v>Die-cutting (Semi-auto)</v>
      </c>
      <c r="D361" s="313">
        <f>input!D729</f>
        <v>21</v>
      </c>
      <c r="E361" s="363"/>
      <c r="F361" s="363" t="str">
        <f ca="1">input!F729</f>
        <v>N</v>
      </c>
      <c r="G361" s="363"/>
      <c r="H361" s="313">
        <f ca="1">IF(F361="PCS",$E$4,SUMIFS(Paper!$AC$7:$AC$58,Paper!$A$7:$A$58,'Production cost'!F361))</f>
        <v>0</v>
      </c>
      <c r="I361" s="313">
        <f ca="1">IF(input!$G729&gt;0,input!$G729,IF($C361=Data!$L$1158,500,3000))</f>
        <v>500</v>
      </c>
      <c r="J361" s="313" t="str">
        <f>input!$H729</f>
        <v>Sheets</v>
      </c>
      <c r="K361" s="360">
        <f>IF($C361=Data!$L$1158,0,1/4)</f>
        <v>0</v>
      </c>
      <c r="L361" s="313">
        <f ca="1">IF(input!$I729&gt;0,input!$I729,2)</f>
        <v>2</v>
      </c>
      <c r="M361" s="391">
        <f ca="1">IF(H361&gt;0,SUMIF(Data!$L$1155:$L$1190,'Production cost'!$C361,Data!$Q$1155:$Q$1190)*SUMIF(Paper!$A$7:$A$70,'Production cost'!$F361,Paper!$J$7:$J$70),0)</f>
        <v>0</v>
      </c>
      <c r="N361" s="391">
        <f t="shared" ca="1" si="228"/>
        <v>0</v>
      </c>
      <c r="O361" s="313">
        <f>IF($C361=Data!$L$1158,0,Data!$N$1195)</f>
        <v>0</v>
      </c>
      <c r="P361" s="313">
        <f>SUMIF(Data!$L$1155:$L$1190,'Production cost'!$C361,Data!$N$1155:$N$1190)</f>
        <v>64593.240854333337</v>
      </c>
      <c r="Q361" s="313">
        <f t="shared" ca="1" si="227"/>
        <v>0</v>
      </c>
      <c r="R361" s="313">
        <f t="shared" ca="1" si="229"/>
        <v>0</v>
      </c>
      <c r="S361" s="1741">
        <f t="shared" ca="1" si="230"/>
        <v>0</v>
      </c>
      <c r="T361" s="313" t="str">
        <f ca="1">input!J729</f>
        <v>N</v>
      </c>
      <c r="V361" s="3115" t="str">
        <f>input!K729</f>
        <v>Packaging</v>
      </c>
      <c r="W361" s="3115">
        <f t="shared" ca="1" si="231"/>
        <v>0</v>
      </c>
      <c r="X361" s="3119">
        <f>VLOOKUP(V361,'Fix Cost'!$K$177:$M$179,2,0)</f>
        <v>58449.923860467366</v>
      </c>
      <c r="Y361" s="3119">
        <f>VLOOKUP(V361,'Fix Cost'!$K$177:$M$179,3,0)</f>
        <v>267411.04680782068</v>
      </c>
      <c r="Z361" s="3119">
        <f t="shared" ca="1" si="232"/>
        <v>0</v>
      </c>
      <c r="AA361" s="3115">
        <f t="shared" ca="1" si="233"/>
        <v>0</v>
      </c>
      <c r="AB361" s="3115">
        <f t="shared" ca="1" si="234"/>
        <v>0</v>
      </c>
      <c r="AK361" s="313"/>
      <c r="AL361" s="313"/>
      <c r="AM361" s="313"/>
      <c r="AO361" s="1055"/>
      <c r="AP361" s="385"/>
      <c r="AQ361" s="385"/>
      <c r="AR361" s="1048"/>
      <c r="AS361" s="385"/>
      <c r="AT361" s="879">
        <f t="shared" ca="1" si="235"/>
        <v>0</v>
      </c>
      <c r="AU361" s="879">
        <f ca="1">COUNTIFS(AT$7:$AT361,1)</f>
        <v>5</v>
      </c>
    </row>
    <row r="362" spans="2:47" ht="14.25" hidden="1" customHeight="1" outlineLevel="1">
      <c r="B362" s="1738" t="s">
        <v>29</v>
      </c>
      <c r="C362" s="313" t="str">
        <f>input!C730</f>
        <v>Die-cutting (Semi-auto)</v>
      </c>
      <c r="D362" s="313">
        <f>input!D730</f>
        <v>24</v>
      </c>
      <c r="E362" s="363"/>
      <c r="F362" s="363" t="str">
        <f ca="1">input!F730</f>
        <v>N</v>
      </c>
      <c r="G362" s="363"/>
      <c r="H362" s="313">
        <f ca="1">IF(F362="PCS",$E$4,SUMIFS(Paper!$AC$7:$AC$58,Paper!$A$7:$A$58,'Production cost'!F362))</f>
        <v>0</v>
      </c>
      <c r="I362" s="313">
        <f ca="1">IF(input!$G730&gt;0,input!$G730,IF($C362=Data!$L$1158,500,3000))</f>
        <v>500</v>
      </c>
      <c r="J362" s="313" t="str">
        <f>input!$H730</f>
        <v>Sheets</v>
      </c>
      <c r="K362" s="360">
        <f>IF($C362=Data!$L$1158,0,1/4)</f>
        <v>0</v>
      </c>
      <c r="L362" s="313">
        <f ca="1">IF(input!$I730&gt;0,input!$I730,2)</f>
        <v>2</v>
      </c>
      <c r="M362" s="391">
        <f ca="1">IF(H362&gt;0,SUMIF(Data!$L$1155:$L$1190,'Production cost'!$C362,Data!$Q$1155:$Q$1190)*SUMIF(Paper!$A$7:$A$70,'Production cost'!$F362,Paper!$J$7:$J$70),0)</f>
        <v>0</v>
      </c>
      <c r="N362" s="391">
        <f t="shared" ca="1" si="228"/>
        <v>0</v>
      </c>
      <c r="O362" s="313">
        <f>IF($C362=Data!$L$1158,0,Data!$N$1195)</f>
        <v>0</v>
      </c>
      <c r="P362" s="313">
        <f>SUMIF(Data!$L$1155:$L$1190,'Production cost'!$C362,Data!$N$1155:$N$1190)</f>
        <v>64593.240854333337</v>
      </c>
      <c r="Q362" s="313">
        <f t="shared" ca="1" si="227"/>
        <v>0</v>
      </c>
      <c r="R362" s="313">
        <f t="shared" ca="1" si="229"/>
        <v>0</v>
      </c>
      <c r="S362" s="1741">
        <f t="shared" ca="1" si="230"/>
        <v>0</v>
      </c>
      <c r="T362" s="313" t="str">
        <f ca="1">input!J730</f>
        <v>N</v>
      </c>
      <c r="V362" s="3115" t="str">
        <f>input!K730</f>
        <v>Packaging</v>
      </c>
      <c r="W362" s="3115">
        <f t="shared" ca="1" si="231"/>
        <v>0</v>
      </c>
      <c r="X362" s="3119">
        <f>VLOOKUP(V362,'Fix Cost'!$K$177:$M$179,2,0)</f>
        <v>58449.923860467366</v>
      </c>
      <c r="Y362" s="3119">
        <f>VLOOKUP(V362,'Fix Cost'!$K$177:$M$179,3,0)</f>
        <v>267411.04680782068</v>
      </c>
      <c r="Z362" s="3119">
        <f t="shared" ca="1" si="232"/>
        <v>0</v>
      </c>
      <c r="AA362" s="3115">
        <f t="shared" ca="1" si="233"/>
        <v>0</v>
      </c>
      <c r="AB362" s="3115">
        <f t="shared" ca="1" si="234"/>
        <v>0</v>
      </c>
      <c r="AK362" s="313"/>
      <c r="AL362" s="313"/>
      <c r="AM362" s="313"/>
      <c r="AO362" s="1055"/>
      <c r="AP362" s="385"/>
      <c r="AQ362" s="385"/>
      <c r="AR362" s="1048"/>
      <c r="AS362" s="385"/>
      <c r="AT362" s="879">
        <f t="shared" ca="1" si="235"/>
        <v>0</v>
      </c>
      <c r="AU362" s="879">
        <f ca="1">COUNTIFS(AT$7:$AT362,1)</f>
        <v>5</v>
      </c>
    </row>
    <row r="363" spans="2:47" ht="14.25" hidden="1" customHeight="1" outlineLevel="1">
      <c r="B363" s="1738" t="s">
        <v>29</v>
      </c>
      <c r="C363" s="313" t="str">
        <f>input!C731</f>
        <v>Die-cutting (Semi-auto)</v>
      </c>
      <c r="D363" s="313">
        <f>input!D731</f>
        <v>27</v>
      </c>
      <c r="E363" s="363"/>
      <c r="F363" s="363" t="str">
        <f ca="1">input!F731</f>
        <v>N</v>
      </c>
      <c r="G363" s="363"/>
      <c r="H363" s="313">
        <f ca="1">IF(F363="PCS",$E$4,SUMIFS(Paper!$AC$7:$AC$58,Paper!$A$7:$A$58,'Production cost'!F363))</f>
        <v>0</v>
      </c>
      <c r="I363" s="313">
        <f ca="1">IF(input!$G731&gt;0,input!$G731,IF($C363=Data!$L$1158,500,3000))</f>
        <v>500</v>
      </c>
      <c r="J363" s="313" t="str">
        <f>input!$H731</f>
        <v>Sheets</v>
      </c>
      <c r="K363" s="360">
        <f>IF($C363=Data!$L$1158,0,1/4)</f>
        <v>0</v>
      </c>
      <c r="L363" s="313">
        <f ca="1">IF(input!$I731&gt;0,input!$I731,2)</f>
        <v>2</v>
      </c>
      <c r="M363" s="391">
        <f ca="1">IF(H363&gt;0,SUMIF(Data!$L$1155:$L$1190,'Production cost'!$C363,Data!$Q$1155:$Q$1190)*SUMIF(Paper!$A$7:$A$70,'Production cost'!$F363,Paper!$J$7:$J$70),0)</f>
        <v>0</v>
      </c>
      <c r="N363" s="391">
        <f t="shared" ca="1" si="228"/>
        <v>0</v>
      </c>
      <c r="O363" s="313">
        <f>IF($C363=Data!$L$1158,0,Data!$N$1195)</f>
        <v>0</v>
      </c>
      <c r="P363" s="313">
        <f>SUMIF(Data!$L$1155:$L$1190,'Production cost'!$C363,Data!$N$1155:$N$1190)</f>
        <v>64593.240854333337</v>
      </c>
      <c r="Q363" s="313">
        <f t="shared" ca="1" si="227"/>
        <v>0</v>
      </c>
      <c r="R363" s="313">
        <f t="shared" ca="1" si="229"/>
        <v>0</v>
      </c>
      <c r="S363" s="1741">
        <f t="shared" ca="1" si="230"/>
        <v>0</v>
      </c>
      <c r="T363" s="313" t="str">
        <f ca="1">input!J731</f>
        <v>N</v>
      </c>
      <c r="V363" s="3115" t="str">
        <f>input!K731</f>
        <v>Packaging</v>
      </c>
      <c r="W363" s="3115">
        <f t="shared" ca="1" si="231"/>
        <v>0</v>
      </c>
      <c r="X363" s="3119">
        <f>VLOOKUP(V363,'Fix Cost'!$K$177:$M$179,2,0)</f>
        <v>58449.923860467366</v>
      </c>
      <c r="Y363" s="3119">
        <f>VLOOKUP(V363,'Fix Cost'!$K$177:$M$179,3,0)</f>
        <v>267411.04680782068</v>
      </c>
      <c r="Z363" s="3119">
        <f t="shared" ca="1" si="232"/>
        <v>0</v>
      </c>
      <c r="AA363" s="3115">
        <f t="shared" ca="1" si="233"/>
        <v>0</v>
      </c>
      <c r="AB363" s="3115">
        <f t="shared" ca="1" si="234"/>
        <v>0</v>
      </c>
      <c r="AK363" s="313"/>
      <c r="AL363" s="313"/>
      <c r="AM363" s="313"/>
      <c r="AO363" s="1055"/>
      <c r="AP363" s="385"/>
      <c r="AQ363" s="385"/>
      <c r="AR363" s="1048"/>
      <c r="AS363" s="385"/>
      <c r="AT363" s="879">
        <f t="shared" ca="1" si="235"/>
        <v>0</v>
      </c>
      <c r="AU363" s="879">
        <f ca="1">COUNTIFS(AT$7:$AT363,1)</f>
        <v>5</v>
      </c>
    </row>
    <row r="364" spans="2:47" ht="14.25" hidden="1" customHeight="1" outlineLevel="1">
      <c r="B364" s="1738" t="s">
        <v>29</v>
      </c>
      <c r="C364" s="313" t="str">
        <f>input!C732</f>
        <v>Die-cutting (Semi-auto)</v>
      </c>
      <c r="D364" s="313">
        <f>input!D732</f>
        <v>30</v>
      </c>
      <c r="E364" s="363"/>
      <c r="F364" s="363" t="str">
        <f ca="1">input!F732</f>
        <v>N</v>
      </c>
      <c r="G364" s="363"/>
      <c r="H364" s="313">
        <f ca="1">IF(F364="PCS",$E$4,SUMIFS(Paper!$AC$7:$AC$58,Paper!$A$7:$A$58,'Production cost'!F364))</f>
        <v>0</v>
      </c>
      <c r="I364" s="313">
        <f ca="1">IF(input!$G732&gt;0,input!$G732,IF($C364=Data!$L$1158,500,3000))</f>
        <v>500</v>
      </c>
      <c r="J364" s="313" t="str">
        <f>input!$H732</f>
        <v>Sheets</v>
      </c>
      <c r="K364" s="360">
        <f>IF($C364=Data!$L$1158,0,1/4)</f>
        <v>0</v>
      </c>
      <c r="L364" s="313">
        <f ca="1">IF(input!$I732&gt;0,input!$I732,2)</f>
        <v>2</v>
      </c>
      <c r="M364" s="391">
        <f ca="1">IF(H364&gt;0,SUMIF(Data!$L$1155:$L$1190,'Production cost'!$C364,Data!$Q$1155:$Q$1190)*SUMIF(Paper!$A$7:$A$70,'Production cost'!$F364,Paper!$J$7:$J$70),0)</f>
        <v>0</v>
      </c>
      <c r="N364" s="391">
        <f t="shared" ref="N364:N368" ca="1" si="243">IF(H364&gt;0,ROUNDUP(((H364/I364)/$M$5+M364),1),0)</f>
        <v>0</v>
      </c>
      <c r="O364" s="313">
        <f>IF($C364=Data!$L$1158,0,Data!$N$1195)</f>
        <v>0</v>
      </c>
      <c r="P364" s="313">
        <f>SUMIF(Data!$L$1155:$L$1190,'Production cost'!$C364,Data!$N$1155:$N$1190)</f>
        <v>64593.240854333337</v>
      </c>
      <c r="Q364" s="313">
        <f t="shared" ref="Q364:Q368" ca="1" si="244">(N364*O364*K364+N364*P364*L364)*(1+$R$702)</f>
        <v>0</v>
      </c>
      <c r="R364" s="313">
        <f t="shared" ref="R364:R368" ca="1" si="245">IF($E$2&gt;0,Q364/$E$2,0)</f>
        <v>0</v>
      </c>
      <c r="S364" s="1741">
        <f t="shared" ref="S364:S368" ca="1" si="246">IF(M364&gt;0,K364*O364+L364*P364,0)</f>
        <v>0</v>
      </c>
      <c r="T364" s="313" t="str">
        <f ca="1">input!J732</f>
        <v>N</v>
      </c>
      <c r="V364" s="3115" t="str">
        <f>input!K732</f>
        <v>Packaging</v>
      </c>
      <c r="W364" s="3115">
        <f t="shared" ref="W364:W368" ca="1" si="247">N364*(L364+K364)</f>
        <v>0</v>
      </c>
      <c r="X364" s="3119">
        <f>VLOOKUP(V364,'Fix Cost'!$K$177:$M$179,2,0)</f>
        <v>58449.923860467366</v>
      </c>
      <c r="Y364" s="3119">
        <f>VLOOKUP(V364,'Fix Cost'!$K$177:$M$179,3,0)</f>
        <v>267411.04680782068</v>
      </c>
      <c r="Z364" s="3119">
        <f t="shared" ref="Z364:Z368" ca="1" si="248">IFERROR($X364*W364,0)</f>
        <v>0</v>
      </c>
      <c r="AA364" s="3115">
        <f t="shared" ref="AA364:AA368" ca="1" si="249">IFERROR(Y364*N364,0)</f>
        <v>0</v>
      </c>
      <c r="AB364" s="3115">
        <f t="shared" ref="AB364:AB368" ca="1" si="250">Z364+AA364</f>
        <v>0</v>
      </c>
      <c r="AK364" s="313"/>
      <c r="AL364" s="313"/>
      <c r="AM364" s="313"/>
      <c r="AO364" s="1055"/>
      <c r="AP364" s="385"/>
      <c r="AQ364" s="385"/>
      <c r="AR364" s="1048"/>
      <c r="AS364" s="385"/>
      <c r="AT364" s="879"/>
      <c r="AU364" s="879"/>
    </row>
    <row r="365" spans="2:47" ht="14.25" hidden="1" customHeight="1" outlineLevel="1">
      <c r="B365" s="1738" t="s">
        <v>29</v>
      </c>
      <c r="C365" s="313" t="str">
        <f>input!C733</f>
        <v>Die-cutting (Semi-auto)</v>
      </c>
      <c r="D365" s="313">
        <f>input!D733</f>
        <v>33</v>
      </c>
      <c r="E365" s="363"/>
      <c r="F365" s="363" t="str">
        <f ca="1">input!F733</f>
        <v>N</v>
      </c>
      <c r="G365" s="363"/>
      <c r="H365" s="313">
        <f ca="1">IF(F365="PCS",$E$4,SUMIFS(Paper!$AC$7:$AC$58,Paper!$A$7:$A$58,'Production cost'!F365))</f>
        <v>0</v>
      </c>
      <c r="I365" s="313">
        <f ca="1">IF(input!$G733&gt;0,input!$G733,IF($C365=Data!$L$1158,500,3000))</f>
        <v>500</v>
      </c>
      <c r="J365" s="313" t="str">
        <f>input!$H733</f>
        <v>Sheets</v>
      </c>
      <c r="K365" s="360">
        <f>IF($C365=Data!$L$1158,0,1/4)</f>
        <v>0</v>
      </c>
      <c r="L365" s="313">
        <f ca="1">IF(input!$I733&gt;0,input!$I733,2)</f>
        <v>2</v>
      </c>
      <c r="M365" s="391">
        <f ca="1">IF(H365&gt;0,SUMIF(Data!$L$1155:$L$1190,'Production cost'!$C365,Data!$Q$1155:$Q$1190)*SUMIF(Paper!$A$7:$A$70,'Production cost'!$F365,Paper!$J$7:$J$70),0)</f>
        <v>0</v>
      </c>
      <c r="N365" s="391">
        <f t="shared" ca="1" si="243"/>
        <v>0</v>
      </c>
      <c r="O365" s="313">
        <f>IF($C365=Data!$L$1158,0,Data!$N$1195)</f>
        <v>0</v>
      </c>
      <c r="P365" s="313">
        <f>SUMIF(Data!$L$1155:$L$1190,'Production cost'!$C365,Data!$N$1155:$N$1190)</f>
        <v>64593.240854333337</v>
      </c>
      <c r="Q365" s="313">
        <f t="shared" ca="1" si="244"/>
        <v>0</v>
      </c>
      <c r="R365" s="313">
        <f t="shared" ca="1" si="245"/>
        <v>0</v>
      </c>
      <c r="S365" s="1741">
        <f t="shared" ca="1" si="246"/>
        <v>0</v>
      </c>
      <c r="T365" s="313" t="str">
        <f ca="1">input!J733</f>
        <v>N</v>
      </c>
      <c r="V365" s="3115" t="str">
        <f>input!K733</f>
        <v>Packaging</v>
      </c>
      <c r="W365" s="3115">
        <f t="shared" ca="1" si="247"/>
        <v>0</v>
      </c>
      <c r="X365" s="3119">
        <f>VLOOKUP(V365,'Fix Cost'!$K$177:$M$179,2,0)</f>
        <v>58449.923860467366</v>
      </c>
      <c r="Y365" s="3119">
        <f>VLOOKUP(V365,'Fix Cost'!$K$177:$M$179,3,0)</f>
        <v>267411.04680782068</v>
      </c>
      <c r="Z365" s="3119">
        <f t="shared" ca="1" si="248"/>
        <v>0</v>
      </c>
      <c r="AA365" s="3115">
        <f t="shared" ca="1" si="249"/>
        <v>0</v>
      </c>
      <c r="AB365" s="3115">
        <f t="shared" ca="1" si="250"/>
        <v>0</v>
      </c>
      <c r="AK365" s="313"/>
      <c r="AL365" s="313"/>
      <c r="AM365" s="313"/>
      <c r="AO365" s="1055"/>
      <c r="AP365" s="385"/>
      <c r="AQ365" s="385"/>
      <c r="AR365" s="1048"/>
      <c r="AS365" s="385"/>
      <c r="AT365" s="879"/>
      <c r="AU365" s="879"/>
    </row>
    <row r="366" spans="2:47" ht="14.25" hidden="1" customHeight="1" outlineLevel="1">
      <c r="B366" s="1738" t="s">
        <v>29</v>
      </c>
      <c r="C366" s="313" t="str">
        <f>input!C734</f>
        <v>Die-cutting (Semi-auto)</v>
      </c>
      <c r="D366" s="313">
        <f>input!D734</f>
        <v>36</v>
      </c>
      <c r="E366" s="363"/>
      <c r="F366" s="363" t="str">
        <f ca="1">input!F734</f>
        <v>N</v>
      </c>
      <c r="G366" s="363"/>
      <c r="H366" s="313">
        <f ca="1">IF(F366="PCS",$E$4,SUMIFS(Paper!$AC$7:$AC$58,Paper!$A$7:$A$58,'Production cost'!F366))</f>
        <v>0</v>
      </c>
      <c r="I366" s="313">
        <f ca="1">IF(input!$G734&gt;0,input!$G734,IF($C366=Data!$L$1158,500,3000))</f>
        <v>500</v>
      </c>
      <c r="J366" s="313" t="str">
        <f>input!$H734</f>
        <v>Sheets</v>
      </c>
      <c r="K366" s="360">
        <f>IF($C366=Data!$L$1158,0,1/4)</f>
        <v>0</v>
      </c>
      <c r="L366" s="313">
        <f ca="1">IF(input!$I734&gt;0,input!$I734,2)</f>
        <v>2</v>
      </c>
      <c r="M366" s="391">
        <f ca="1">IF(H366&gt;0,SUMIF(Data!$L$1155:$L$1190,'Production cost'!$C366,Data!$Q$1155:$Q$1190)*SUMIF(Paper!$A$7:$A$70,'Production cost'!$F366,Paper!$J$7:$J$70),0)</f>
        <v>0</v>
      </c>
      <c r="N366" s="391">
        <f t="shared" ca="1" si="243"/>
        <v>0</v>
      </c>
      <c r="O366" s="313">
        <f>IF($C366=Data!$L$1158,0,Data!$N$1195)</f>
        <v>0</v>
      </c>
      <c r="P366" s="313">
        <f>SUMIF(Data!$L$1155:$L$1190,'Production cost'!$C366,Data!$N$1155:$N$1190)</f>
        <v>64593.240854333337</v>
      </c>
      <c r="Q366" s="313">
        <f t="shared" ca="1" si="244"/>
        <v>0</v>
      </c>
      <c r="R366" s="313">
        <f t="shared" ca="1" si="245"/>
        <v>0</v>
      </c>
      <c r="S366" s="1741">
        <f t="shared" ca="1" si="246"/>
        <v>0</v>
      </c>
      <c r="T366" s="313" t="str">
        <f ca="1">input!J734</f>
        <v>N</v>
      </c>
      <c r="V366" s="3115" t="str">
        <f>input!K734</f>
        <v>Packaging</v>
      </c>
      <c r="W366" s="3115">
        <f t="shared" ca="1" si="247"/>
        <v>0</v>
      </c>
      <c r="X366" s="3119">
        <f>VLOOKUP(V366,'Fix Cost'!$K$177:$M$179,2,0)</f>
        <v>58449.923860467366</v>
      </c>
      <c r="Y366" s="3119">
        <f>VLOOKUP(V366,'Fix Cost'!$K$177:$M$179,3,0)</f>
        <v>267411.04680782068</v>
      </c>
      <c r="Z366" s="3119">
        <f t="shared" ca="1" si="248"/>
        <v>0</v>
      </c>
      <c r="AA366" s="3115">
        <f t="shared" ca="1" si="249"/>
        <v>0</v>
      </c>
      <c r="AB366" s="3115">
        <f t="shared" ca="1" si="250"/>
        <v>0</v>
      </c>
      <c r="AK366" s="313"/>
      <c r="AL366" s="313"/>
      <c r="AM366" s="313"/>
      <c r="AO366" s="1055"/>
      <c r="AP366" s="385"/>
      <c r="AQ366" s="385"/>
      <c r="AR366" s="1048"/>
      <c r="AS366" s="385"/>
      <c r="AT366" s="879"/>
      <c r="AU366" s="879"/>
    </row>
    <row r="367" spans="2:47" ht="14.25" hidden="1" customHeight="1" outlineLevel="1">
      <c r="B367" s="1738" t="s">
        <v>29</v>
      </c>
      <c r="C367" s="313" t="str">
        <f>input!C735</f>
        <v>Die-cutting (Semi-auto)</v>
      </c>
      <c r="D367" s="313">
        <f>input!D735</f>
        <v>39</v>
      </c>
      <c r="E367" s="363"/>
      <c r="F367" s="363" t="str">
        <f ca="1">input!F735</f>
        <v>N</v>
      </c>
      <c r="G367" s="363"/>
      <c r="H367" s="313">
        <f ca="1">IF(F367="PCS",$E$4,SUMIFS(Paper!$AC$7:$AC$58,Paper!$A$7:$A$58,'Production cost'!F367))</f>
        <v>0</v>
      </c>
      <c r="I367" s="313">
        <f ca="1">IF(input!$G735&gt;0,input!$G735,IF($C367=Data!$L$1158,500,3000))</f>
        <v>500</v>
      </c>
      <c r="J367" s="313" t="str">
        <f>input!$H735</f>
        <v>Sheets</v>
      </c>
      <c r="K367" s="360">
        <f>IF($C367=Data!$L$1158,0,1/4)</f>
        <v>0</v>
      </c>
      <c r="L367" s="313">
        <f ca="1">IF(input!$I735&gt;0,input!$I735,2)</f>
        <v>2</v>
      </c>
      <c r="M367" s="391">
        <f ca="1">IF(H367&gt;0,SUMIF(Data!$L$1155:$L$1190,'Production cost'!$C367,Data!$Q$1155:$Q$1190)*SUMIF(Paper!$A$7:$A$70,'Production cost'!$F367,Paper!$J$7:$J$70),0)</f>
        <v>0</v>
      </c>
      <c r="N367" s="391">
        <f t="shared" ca="1" si="243"/>
        <v>0</v>
      </c>
      <c r="O367" s="313">
        <f>IF($C367=Data!$L$1158,0,Data!$N$1195)</f>
        <v>0</v>
      </c>
      <c r="P367" s="313">
        <f>SUMIF(Data!$L$1155:$L$1190,'Production cost'!$C367,Data!$N$1155:$N$1190)</f>
        <v>64593.240854333337</v>
      </c>
      <c r="Q367" s="313">
        <f t="shared" ca="1" si="244"/>
        <v>0</v>
      </c>
      <c r="R367" s="313">
        <f t="shared" ca="1" si="245"/>
        <v>0</v>
      </c>
      <c r="S367" s="1741">
        <f t="shared" ca="1" si="246"/>
        <v>0</v>
      </c>
      <c r="T367" s="313" t="str">
        <f ca="1">input!J735</f>
        <v>N</v>
      </c>
      <c r="V367" s="3115" t="str">
        <f>input!K735</f>
        <v>Packaging</v>
      </c>
      <c r="W367" s="3115">
        <f t="shared" ca="1" si="247"/>
        <v>0</v>
      </c>
      <c r="X367" s="3119">
        <f>VLOOKUP(V367,'Fix Cost'!$K$177:$M$179,2,0)</f>
        <v>58449.923860467366</v>
      </c>
      <c r="Y367" s="3119">
        <f>VLOOKUP(V367,'Fix Cost'!$K$177:$M$179,3,0)</f>
        <v>267411.04680782068</v>
      </c>
      <c r="Z367" s="3119">
        <f t="shared" ca="1" si="248"/>
        <v>0</v>
      </c>
      <c r="AA367" s="3115">
        <f t="shared" ca="1" si="249"/>
        <v>0</v>
      </c>
      <c r="AB367" s="3115">
        <f t="shared" ca="1" si="250"/>
        <v>0</v>
      </c>
      <c r="AK367" s="313"/>
      <c r="AL367" s="313"/>
      <c r="AM367" s="313"/>
      <c r="AO367" s="1055"/>
      <c r="AP367" s="385"/>
      <c r="AQ367" s="385"/>
      <c r="AR367" s="1048"/>
      <c r="AS367" s="385"/>
      <c r="AT367" s="879"/>
      <c r="AU367" s="879"/>
    </row>
    <row r="368" spans="2:47" ht="14.25" hidden="1" customHeight="1" outlineLevel="1">
      <c r="B368" s="1738" t="s">
        <v>29</v>
      </c>
      <c r="C368" s="313" t="str">
        <f>input!C736</f>
        <v>Die-cutting (Semi-auto)</v>
      </c>
      <c r="D368" s="313">
        <f>input!D736</f>
        <v>42</v>
      </c>
      <c r="E368" s="363"/>
      <c r="F368" s="363" t="str">
        <f ca="1">input!F736</f>
        <v>N</v>
      </c>
      <c r="G368" s="363"/>
      <c r="H368" s="313">
        <f ca="1">IF(F368="PCS",$E$4,SUMIFS(Paper!$AC$7:$AC$58,Paper!$A$7:$A$58,'Production cost'!F368))</f>
        <v>0</v>
      </c>
      <c r="I368" s="313">
        <f ca="1">IF(input!$G736&gt;0,input!$G736,IF($C368=Data!$L$1158,500,3000))</f>
        <v>500</v>
      </c>
      <c r="J368" s="313" t="str">
        <f>input!$H736</f>
        <v>Sheets</v>
      </c>
      <c r="K368" s="360">
        <f>IF($C368=Data!$L$1158,0,1/4)</f>
        <v>0</v>
      </c>
      <c r="L368" s="313">
        <f ca="1">IF(input!$I736&gt;0,input!$I736,2)</f>
        <v>2</v>
      </c>
      <c r="M368" s="391">
        <f ca="1">IF(H368&gt;0,SUMIF(Data!$L$1155:$L$1190,'Production cost'!$C368,Data!$Q$1155:$Q$1190)*SUMIF(Paper!$A$7:$A$70,'Production cost'!$F368,Paper!$J$7:$J$70),0)</f>
        <v>0</v>
      </c>
      <c r="N368" s="391">
        <f t="shared" ca="1" si="243"/>
        <v>0</v>
      </c>
      <c r="O368" s="313">
        <f>IF($C368=Data!$L$1158,0,Data!$N$1195)</f>
        <v>0</v>
      </c>
      <c r="P368" s="313">
        <f>SUMIF(Data!$L$1155:$L$1190,'Production cost'!$C368,Data!$N$1155:$N$1190)</f>
        <v>64593.240854333337</v>
      </c>
      <c r="Q368" s="313">
        <f t="shared" ca="1" si="244"/>
        <v>0</v>
      </c>
      <c r="R368" s="313">
        <f t="shared" ca="1" si="245"/>
        <v>0</v>
      </c>
      <c r="S368" s="1741">
        <f t="shared" ca="1" si="246"/>
        <v>0</v>
      </c>
      <c r="T368" s="313" t="str">
        <f ca="1">input!J736</f>
        <v>N</v>
      </c>
      <c r="V368" s="3115" t="str">
        <f>input!K736</f>
        <v>Packaging</v>
      </c>
      <c r="W368" s="3115">
        <f t="shared" ca="1" si="247"/>
        <v>0</v>
      </c>
      <c r="X368" s="3119">
        <f>VLOOKUP(V368,'Fix Cost'!$K$177:$M$179,2,0)</f>
        <v>58449.923860467366</v>
      </c>
      <c r="Y368" s="3119">
        <f>VLOOKUP(V368,'Fix Cost'!$K$177:$M$179,3,0)</f>
        <v>267411.04680782068</v>
      </c>
      <c r="Z368" s="3119">
        <f t="shared" ca="1" si="248"/>
        <v>0</v>
      </c>
      <c r="AA368" s="3115">
        <f t="shared" ca="1" si="249"/>
        <v>0</v>
      </c>
      <c r="AB368" s="3115">
        <f t="shared" ca="1" si="250"/>
        <v>0</v>
      </c>
      <c r="AK368" s="313"/>
      <c r="AL368" s="313"/>
      <c r="AM368" s="313"/>
      <c r="AO368" s="1055"/>
      <c r="AP368" s="385"/>
      <c r="AQ368" s="385"/>
      <c r="AR368" s="1048"/>
      <c r="AS368" s="385"/>
      <c r="AT368" s="879"/>
      <c r="AU368" s="879"/>
    </row>
    <row r="369" spans="2:47" ht="14.25" hidden="1" customHeight="1" outlineLevel="1">
      <c r="B369" s="1738" t="s">
        <v>29</v>
      </c>
      <c r="C369" s="313" t="str">
        <f>input!C737</f>
        <v>Die-cutting (Shungfa)</v>
      </c>
      <c r="D369" s="313">
        <f>input!D737</f>
        <v>0</v>
      </c>
      <c r="E369" s="363"/>
      <c r="F369" s="363" t="str">
        <f ca="1">input!F737</f>
        <v>N</v>
      </c>
      <c r="G369" s="363"/>
      <c r="H369" s="313">
        <f ca="1">IF(F369="PCS",$E$4,SUMIFS(Paper!$AC$7:$AC$58,Paper!$A$7:$A$58,'Production cost'!F369))</f>
        <v>0</v>
      </c>
      <c r="I369" s="313">
        <f ca="1">IF(input!$G737&gt;0,input!$G737,IF($C369=Data!$L$1158,500,3000))</f>
        <v>3000</v>
      </c>
      <c r="J369" s="313" t="str">
        <f>input!$H737</f>
        <v>Sheets</v>
      </c>
      <c r="K369" s="360">
        <f>IF($C369=Data!$L$1158,0,1/4)</f>
        <v>0.25</v>
      </c>
      <c r="L369" s="313">
        <f ca="1">IF(input!$I737&gt;0,input!$I737,2)</f>
        <v>2</v>
      </c>
      <c r="M369" s="391">
        <f ca="1">IF(H369&gt;0,SUMIF(Data!$L$1155:$L$1190,'Production cost'!$C369,Data!$Q$1155:$Q$1190)*SUMIF(Paper!$A$7:$A$70,'Production cost'!$F369,Paper!$J$7:$J$70),0)</f>
        <v>0</v>
      </c>
      <c r="N369" s="391">
        <f t="shared" ca="1" si="220"/>
        <v>0</v>
      </c>
      <c r="O369" s="313">
        <f>IF($C369=Data!$L$1158,0,Data!$N$1195)</f>
        <v>352574.32240985788</v>
      </c>
      <c r="P369" s="313">
        <f>SUMIF(Data!$L$1155:$L$1190,'Production cost'!$C369,Data!$N$1155:$N$1190)</f>
        <v>64593.240854333337</v>
      </c>
      <c r="Q369" s="313">
        <f t="shared" ca="1" si="227"/>
        <v>0</v>
      </c>
      <c r="R369" s="313">
        <f t="shared" ca="1" si="221"/>
        <v>0</v>
      </c>
      <c r="S369" s="1741">
        <f t="shared" ca="1" si="222"/>
        <v>0</v>
      </c>
      <c r="T369" s="313" t="str">
        <f ca="1">input!J737</f>
        <v>N</v>
      </c>
      <c r="V369" s="3115" t="str">
        <f>input!K737</f>
        <v>Packaging</v>
      </c>
      <c r="W369" s="3115">
        <f t="shared" ca="1" si="223"/>
        <v>0</v>
      </c>
      <c r="X369" s="3119">
        <f>VLOOKUP(V369,'Fix Cost'!$K$177:$M$179,2,0)</f>
        <v>58449.923860467366</v>
      </c>
      <c r="Y369" s="3119">
        <f>VLOOKUP(V369,'Fix Cost'!$K$177:$M$179,3,0)</f>
        <v>267411.04680782068</v>
      </c>
      <c r="Z369" s="3119">
        <f t="shared" ca="1" si="224"/>
        <v>0</v>
      </c>
      <c r="AA369" s="3115">
        <f t="shared" ca="1" si="225"/>
        <v>0</v>
      </c>
      <c r="AB369" s="3115">
        <f t="shared" ca="1" si="226"/>
        <v>0</v>
      </c>
      <c r="AK369" s="313"/>
      <c r="AL369" s="313"/>
      <c r="AM369" s="313"/>
      <c r="AO369" s="1055"/>
      <c r="AP369" s="385"/>
      <c r="AQ369" s="385"/>
      <c r="AR369" s="1048"/>
      <c r="AS369" s="385"/>
      <c r="AT369" s="879">
        <f t="shared" ca="1" si="235"/>
        <v>0</v>
      </c>
      <c r="AU369" s="879">
        <f ca="1">COUNTIFS(AT$7:$AT369,1)</f>
        <v>5</v>
      </c>
    </row>
    <row r="370" spans="2:47" ht="14.25" hidden="1" customHeight="1" outlineLevel="1">
      <c r="B370" s="1738" t="s">
        <v>29</v>
      </c>
      <c r="C370" s="313" t="str">
        <f>input!C738</f>
        <v>Die-cutting (Shungfa)</v>
      </c>
      <c r="D370" s="313">
        <f>input!D738</f>
        <v>3</v>
      </c>
      <c r="E370" s="363"/>
      <c r="F370" s="363" t="str">
        <f ca="1">input!F738</f>
        <v>N</v>
      </c>
      <c r="G370" s="363"/>
      <c r="H370" s="313">
        <f ca="1">IF(F370="PCS",$E$4,SUMIFS(Paper!$AC$7:$AC$58,Paper!$A$7:$A$58,'Production cost'!F370))</f>
        <v>0</v>
      </c>
      <c r="I370" s="313">
        <f ca="1">IF(input!$G738&gt;0,input!$G738,IF($C370=Data!$L$1158,500,3000))</f>
        <v>3000</v>
      </c>
      <c r="J370" s="313" t="str">
        <f>input!$H738</f>
        <v>Sheets</v>
      </c>
      <c r="K370" s="360">
        <f>IF($C370=Data!$L$1158,0,1/4)</f>
        <v>0.25</v>
      </c>
      <c r="L370" s="313">
        <f ca="1">IF(input!$I738&gt;0,input!$I738,2)</f>
        <v>2</v>
      </c>
      <c r="M370" s="391">
        <f ca="1">IF(H370&gt;0,SUMIF(Data!$L$1155:$L$1190,'Production cost'!$C370,Data!$Q$1155:$Q$1190)*SUMIF(Paper!$A$7:$A$70,'Production cost'!$F370,Paper!$J$7:$J$70),0)</f>
        <v>0</v>
      </c>
      <c r="N370" s="391">
        <f t="shared" ca="1" si="220"/>
        <v>0</v>
      </c>
      <c r="O370" s="313">
        <f>IF($C370=Data!$L$1158,0,Data!$N$1195)</f>
        <v>352574.32240985788</v>
      </c>
      <c r="P370" s="313">
        <f>SUMIF(Data!$L$1155:$L$1190,'Production cost'!$C370,Data!$N$1155:$N$1190)</f>
        <v>64593.240854333337</v>
      </c>
      <c r="Q370" s="313">
        <f t="shared" ca="1" si="227"/>
        <v>0</v>
      </c>
      <c r="R370" s="313">
        <f t="shared" ca="1" si="221"/>
        <v>0</v>
      </c>
      <c r="S370" s="1741">
        <f t="shared" ca="1" si="222"/>
        <v>0</v>
      </c>
      <c r="T370" s="313" t="str">
        <f ca="1">input!J738</f>
        <v>N</v>
      </c>
      <c r="V370" s="3115" t="str">
        <f>input!K738</f>
        <v>Packaging</v>
      </c>
      <c r="W370" s="3115">
        <f t="shared" ca="1" si="223"/>
        <v>0</v>
      </c>
      <c r="X370" s="3119">
        <f>VLOOKUP(V370,'Fix Cost'!$K$177:$M$179,2,0)</f>
        <v>58449.923860467366</v>
      </c>
      <c r="Y370" s="3119">
        <f>VLOOKUP(V370,'Fix Cost'!$K$177:$M$179,3,0)</f>
        <v>267411.04680782068</v>
      </c>
      <c r="Z370" s="3119">
        <f t="shared" ca="1" si="224"/>
        <v>0</v>
      </c>
      <c r="AA370" s="3115">
        <f t="shared" ca="1" si="225"/>
        <v>0</v>
      </c>
      <c r="AB370" s="3115">
        <f t="shared" ca="1" si="226"/>
        <v>0</v>
      </c>
      <c r="AK370" s="313"/>
      <c r="AL370" s="313"/>
      <c r="AM370" s="313"/>
      <c r="AO370" s="1055"/>
      <c r="AP370" s="385"/>
      <c r="AQ370" s="385"/>
      <c r="AR370" s="1048"/>
      <c r="AS370" s="385"/>
      <c r="AT370" s="879">
        <f t="shared" ca="1" si="235"/>
        <v>0</v>
      </c>
      <c r="AU370" s="879">
        <f ca="1">COUNTIFS(AT$7:$AT370,1)</f>
        <v>5</v>
      </c>
    </row>
    <row r="371" spans="2:47" ht="14.25" hidden="1" customHeight="1" outlineLevel="1">
      <c r="B371" s="1738" t="s">
        <v>29</v>
      </c>
      <c r="C371" s="313" t="str">
        <f>input!C739</f>
        <v>Die-cutting (Shungfa)</v>
      </c>
      <c r="D371" s="313">
        <f>input!D739</f>
        <v>6</v>
      </c>
      <c r="E371" s="363"/>
      <c r="F371" s="363" t="str">
        <f ca="1">input!F739</f>
        <v>N</v>
      </c>
      <c r="G371" s="363"/>
      <c r="H371" s="313">
        <f ca="1">IF(F371="PCS",$E$4,SUMIFS(Paper!$AC$7:$AC$58,Paper!$A$7:$A$58,'Production cost'!F371))</f>
        <v>0</v>
      </c>
      <c r="I371" s="313">
        <f ca="1">IF(input!$G739&gt;0,input!$G739,IF($C371=Data!$L$1158,500,3000))</f>
        <v>3000</v>
      </c>
      <c r="J371" s="313" t="str">
        <f>input!$H739</f>
        <v>Sheets</v>
      </c>
      <c r="K371" s="360">
        <f>IF($C371=Data!$L$1158,0,1/4)</f>
        <v>0.25</v>
      </c>
      <c r="L371" s="313">
        <f ca="1">IF(input!$I739&gt;0,input!$I739,2)</f>
        <v>2</v>
      </c>
      <c r="M371" s="391">
        <f ca="1">IF(H371&gt;0,SUMIF(Data!$L$1155:$L$1190,'Production cost'!$C371,Data!$Q$1155:$Q$1190)*SUMIF(Paper!$A$7:$A$70,'Production cost'!$F371,Paper!$J$7:$J$70),0)</f>
        <v>0</v>
      </c>
      <c r="N371" s="391">
        <f t="shared" ca="1" si="220"/>
        <v>0</v>
      </c>
      <c r="O371" s="313">
        <f>IF($C371=Data!$L$1158,0,Data!$N$1195)</f>
        <v>352574.32240985788</v>
      </c>
      <c r="P371" s="313">
        <f>SUMIF(Data!$L$1155:$L$1190,'Production cost'!$C371,Data!$N$1155:$N$1190)</f>
        <v>64593.240854333337</v>
      </c>
      <c r="Q371" s="313">
        <f t="shared" ref="Q371:Q402" ca="1" si="251">(N371*O371*K371+N371*P371*L371)*(1+$R$702)</f>
        <v>0</v>
      </c>
      <c r="R371" s="313">
        <f t="shared" ca="1" si="221"/>
        <v>0</v>
      </c>
      <c r="S371" s="1741">
        <f t="shared" ca="1" si="222"/>
        <v>0</v>
      </c>
      <c r="T371" s="313" t="str">
        <f ca="1">input!J739</f>
        <v>N</v>
      </c>
      <c r="V371" s="3115" t="str">
        <f>input!K739</f>
        <v>Packaging</v>
      </c>
      <c r="W371" s="3115">
        <f t="shared" ca="1" si="223"/>
        <v>0</v>
      </c>
      <c r="X371" s="3119">
        <f>VLOOKUP(V371,'Fix Cost'!$K$177:$M$179,2,0)</f>
        <v>58449.923860467366</v>
      </c>
      <c r="Y371" s="3119">
        <f>VLOOKUP(V371,'Fix Cost'!$K$177:$M$179,3,0)</f>
        <v>267411.04680782068</v>
      </c>
      <c r="Z371" s="3119">
        <f t="shared" ca="1" si="224"/>
        <v>0</v>
      </c>
      <c r="AA371" s="3115">
        <f t="shared" ca="1" si="225"/>
        <v>0</v>
      </c>
      <c r="AB371" s="3115">
        <f t="shared" ca="1" si="226"/>
        <v>0</v>
      </c>
      <c r="AK371" s="313"/>
      <c r="AL371" s="313"/>
      <c r="AM371" s="313"/>
      <c r="AO371" s="1055"/>
      <c r="AP371" s="385"/>
      <c r="AQ371" s="385"/>
      <c r="AR371" s="1048"/>
      <c r="AS371" s="385"/>
      <c r="AT371" s="879">
        <f t="shared" ca="1" si="235"/>
        <v>0</v>
      </c>
      <c r="AU371" s="879">
        <f ca="1">COUNTIFS(AT$7:$AT371,1)</f>
        <v>5</v>
      </c>
    </row>
    <row r="372" spans="2:47" ht="14.25" hidden="1" customHeight="1" outlineLevel="1">
      <c r="B372" s="1738" t="s">
        <v>29</v>
      </c>
      <c r="C372" s="313" t="str">
        <f>input!C740</f>
        <v>Die-cutting (Shungfa)</v>
      </c>
      <c r="D372" s="313">
        <f>input!D740</f>
        <v>9</v>
      </c>
      <c r="E372" s="363"/>
      <c r="F372" s="363" t="str">
        <f ca="1">input!F740</f>
        <v>N</v>
      </c>
      <c r="G372" s="363"/>
      <c r="H372" s="313">
        <f ca="1">IF(F372="PCS",$E$4,SUMIFS(Paper!$AC$7:$AC$58,Paper!$A$7:$A$58,'Production cost'!F372))</f>
        <v>0</v>
      </c>
      <c r="I372" s="313">
        <f ca="1">IF(input!$G740&gt;0,input!$G740,IF($C372=Data!$L$1158,500,3000))</f>
        <v>3000</v>
      </c>
      <c r="J372" s="313" t="str">
        <f>input!$H740</f>
        <v>Sheets</v>
      </c>
      <c r="K372" s="360">
        <f>IF($C372=Data!$L$1158,0,1/4)</f>
        <v>0.25</v>
      </c>
      <c r="L372" s="313">
        <f ca="1">IF(input!$I740&gt;0,input!$I740,2)</f>
        <v>2</v>
      </c>
      <c r="M372" s="391">
        <f ca="1">IF(H372&gt;0,SUMIF(Data!$L$1155:$L$1190,'Production cost'!$C372,Data!$Q$1155:$Q$1190)*SUMIF(Paper!$A$7:$A$70,'Production cost'!$F372,Paper!$J$7:$J$70),0)</f>
        <v>0</v>
      </c>
      <c r="N372" s="391">
        <f t="shared" ca="1" si="220"/>
        <v>0</v>
      </c>
      <c r="O372" s="313">
        <f>IF($C372=Data!$L$1158,0,Data!$N$1195)</f>
        <v>352574.32240985788</v>
      </c>
      <c r="P372" s="313">
        <f>SUMIF(Data!$L$1155:$L$1190,'Production cost'!$C372,Data!$N$1155:$N$1190)</f>
        <v>64593.240854333337</v>
      </c>
      <c r="Q372" s="313">
        <f t="shared" ca="1" si="251"/>
        <v>0</v>
      </c>
      <c r="R372" s="313">
        <f t="shared" ca="1" si="221"/>
        <v>0</v>
      </c>
      <c r="S372" s="1741">
        <f t="shared" ca="1" si="222"/>
        <v>0</v>
      </c>
      <c r="T372" s="313" t="str">
        <f ca="1">input!J740</f>
        <v>N</v>
      </c>
      <c r="V372" s="3115" t="str">
        <f>input!K740</f>
        <v>Packaging</v>
      </c>
      <c r="W372" s="3115">
        <f t="shared" ca="1" si="223"/>
        <v>0</v>
      </c>
      <c r="X372" s="3119">
        <f>VLOOKUP(V372,'Fix Cost'!$K$177:$M$179,2,0)</f>
        <v>58449.923860467366</v>
      </c>
      <c r="Y372" s="3119">
        <f>VLOOKUP(V372,'Fix Cost'!$K$177:$M$179,3,0)</f>
        <v>267411.04680782068</v>
      </c>
      <c r="Z372" s="3119">
        <f t="shared" ca="1" si="224"/>
        <v>0</v>
      </c>
      <c r="AA372" s="3115">
        <f t="shared" ca="1" si="225"/>
        <v>0</v>
      </c>
      <c r="AB372" s="3115">
        <f t="shared" ca="1" si="226"/>
        <v>0</v>
      </c>
      <c r="AK372" s="313"/>
      <c r="AL372" s="313"/>
      <c r="AM372" s="313"/>
      <c r="AO372" s="1055"/>
      <c r="AP372" s="385"/>
      <c r="AQ372" s="385"/>
      <c r="AR372" s="1048"/>
      <c r="AS372" s="385"/>
      <c r="AT372" s="879">
        <f t="shared" ca="1" si="235"/>
        <v>0</v>
      </c>
      <c r="AU372" s="879">
        <f ca="1">COUNTIFS(AT$7:$AT372,1)</f>
        <v>5</v>
      </c>
    </row>
    <row r="373" spans="2:47" ht="14.25" hidden="1" customHeight="1" outlineLevel="1">
      <c r="B373" s="1738" t="s">
        <v>29</v>
      </c>
      <c r="C373" s="313" t="str">
        <f>input!C741</f>
        <v>Die-cutting (Shungfa)</v>
      </c>
      <c r="D373" s="313">
        <f>input!D741</f>
        <v>12</v>
      </c>
      <c r="E373" s="363"/>
      <c r="F373" s="363" t="str">
        <f ca="1">input!F741</f>
        <v>N</v>
      </c>
      <c r="G373" s="363"/>
      <c r="H373" s="313">
        <f ca="1">IF(F373="PCS",$E$4,SUMIFS(Paper!$AC$7:$AC$58,Paper!$A$7:$A$58,'Production cost'!F373))</f>
        <v>0</v>
      </c>
      <c r="I373" s="313">
        <f ca="1">IF(input!$G741&gt;0,input!$G741,IF($C373=Data!$L$1158,500,3000))</f>
        <v>3000</v>
      </c>
      <c r="J373" s="313" t="str">
        <f>input!$H741</f>
        <v>Sheets</v>
      </c>
      <c r="K373" s="360">
        <f>IF($C373=Data!$L$1158,0,1/4)</f>
        <v>0.25</v>
      </c>
      <c r="L373" s="313">
        <f ca="1">IF(input!$I741&gt;0,input!$I741,2)</f>
        <v>2</v>
      </c>
      <c r="M373" s="391">
        <f ca="1">IF(H373&gt;0,SUMIF(Data!$L$1155:$L$1190,'Production cost'!$C373,Data!$Q$1155:$Q$1190)*SUMIF(Paper!$A$7:$A$70,'Production cost'!$F373,Paper!$J$7:$J$70),0)</f>
        <v>0</v>
      </c>
      <c r="N373" s="391">
        <f t="shared" ca="1" si="220"/>
        <v>0</v>
      </c>
      <c r="O373" s="313">
        <f>IF($C373=Data!$L$1158,0,Data!$N$1195)</f>
        <v>352574.32240985788</v>
      </c>
      <c r="P373" s="313">
        <f>SUMIF(Data!$L$1155:$L$1190,'Production cost'!$C373,Data!$N$1155:$N$1190)</f>
        <v>64593.240854333337</v>
      </c>
      <c r="Q373" s="313">
        <f t="shared" ca="1" si="251"/>
        <v>0</v>
      </c>
      <c r="R373" s="313">
        <f t="shared" ca="1" si="221"/>
        <v>0</v>
      </c>
      <c r="S373" s="1741">
        <f t="shared" ca="1" si="222"/>
        <v>0</v>
      </c>
      <c r="T373" s="313" t="str">
        <f ca="1">input!J741</f>
        <v>N</v>
      </c>
      <c r="V373" s="3115" t="str">
        <f>input!K741</f>
        <v>Packaging</v>
      </c>
      <c r="W373" s="3115">
        <f t="shared" ca="1" si="223"/>
        <v>0</v>
      </c>
      <c r="X373" s="3119">
        <f>VLOOKUP(V373,'Fix Cost'!$K$177:$M$179,2,0)</f>
        <v>58449.923860467366</v>
      </c>
      <c r="Y373" s="3119">
        <f>VLOOKUP(V373,'Fix Cost'!$K$177:$M$179,3,0)</f>
        <v>267411.04680782068</v>
      </c>
      <c r="Z373" s="3119">
        <f t="shared" ca="1" si="224"/>
        <v>0</v>
      </c>
      <c r="AA373" s="3115">
        <f t="shared" ca="1" si="225"/>
        <v>0</v>
      </c>
      <c r="AB373" s="3115">
        <f t="shared" ca="1" si="226"/>
        <v>0</v>
      </c>
      <c r="AK373" s="313"/>
      <c r="AL373" s="313"/>
      <c r="AM373" s="313"/>
      <c r="AO373" s="1055"/>
      <c r="AP373" s="385"/>
      <c r="AQ373" s="385"/>
      <c r="AR373" s="1048"/>
      <c r="AS373" s="385"/>
      <c r="AT373" s="879">
        <f t="shared" ca="1" si="235"/>
        <v>0</v>
      </c>
      <c r="AU373" s="879">
        <f ca="1">COUNTIFS(AT$7:$AT373,1)</f>
        <v>5</v>
      </c>
    </row>
    <row r="374" spans="2:47" ht="14.25" hidden="1" customHeight="1" outlineLevel="1">
      <c r="B374" s="1738" t="s">
        <v>29</v>
      </c>
      <c r="C374" s="313" t="str">
        <f>input!C742</f>
        <v>Emboss (NIKKO 1050FH)</v>
      </c>
      <c r="D374" s="313">
        <f>input!D742</f>
        <v>0</v>
      </c>
      <c r="E374" s="363"/>
      <c r="F374" s="363" t="str">
        <f ca="1">input!F742</f>
        <v>N</v>
      </c>
      <c r="G374" s="363"/>
      <c r="H374" s="313">
        <f ca="1">IF(F374="PCS",$E$4,SUMIFS(Paper!$AC$7:$AC$58,Paper!$A$7:$A$58,'Production cost'!F374))</f>
        <v>0</v>
      </c>
      <c r="I374" s="313">
        <f ca="1">IF(input!$G742&gt;0,input!$G742,IF($C374=Data!$L$1158,500,3000))</f>
        <v>3000</v>
      </c>
      <c r="J374" s="313" t="str">
        <f>input!$H742</f>
        <v>Sheets</v>
      </c>
      <c r="K374" s="360">
        <f>IF($C374=Data!$L$1158,0,1/4)</f>
        <v>0.25</v>
      </c>
      <c r="L374" s="313">
        <f ca="1">IF(input!$I742&gt;0,input!$I742,2)</f>
        <v>2</v>
      </c>
      <c r="M374" s="391">
        <f ca="1">IF(H374&gt;0,SUMIF(Data!$L$1155:$L$1190,'Production cost'!$C374,Data!$Q$1155:$Q$1190)*SUMIF(Paper!$A$7:$A$70,'Production cost'!$F374,Paper!$J$7:$J$70),0)</f>
        <v>0</v>
      </c>
      <c r="N374" s="391">
        <f t="shared" ca="1" si="182"/>
        <v>0</v>
      </c>
      <c r="O374" s="313">
        <f>IF($C374=Data!$L$1158,0,Data!$N$1195)</f>
        <v>352574.32240985788</v>
      </c>
      <c r="P374" s="313">
        <f>SUMIF(Data!$L$1155:$L$1190,'Production cost'!$C374,Data!$N$1155:$N$1190)</f>
        <v>64593.240854333337</v>
      </c>
      <c r="Q374" s="313">
        <f t="shared" ca="1" si="251"/>
        <v>0</v>
      </c>
      <c r="R374" s="313">
        <f t="shared" ca="1" si="183"/>
        <v>0</v>
      </c>
      <c r="S374" s="1741">
        <f t="shared" ca="1" si="184"/>
        <v>0</v>
      </c>
      <c r="T374" s="313" t="str">
        <f ca="1">input!J742</f>
        <v>N</v>
      </c>
      <c r="V374" s="3115" t="str">
        <f>input!K742</f>
        <v>Packaging</v>
      </c>
      <c r="W374" s="3115">
        <f t="shared" ca="1" si="185"/>
        <v>0</v>
      </c>
      <c r="X374" s="3119">
        <f>VLOOKUP(V374,'Fix Cost'!$K$177:$M$179,2,0)</f>
        <v>58449.923860467366</v>
      </c>
      <c r="Y374" s="3119">
        <f>VLOOKUP(V374,'Fix Cost'!$K$177:$M$179,3,0)</f>
        <v>267411.04680782068</v>
      </c>
      <c r="Z374" s="3119">
        <f t="shared" ca="1" si="186"/>
        <v>0</v>
      </c>
      <c r="AA374" s="3115">
        <f t="shared" ca="1" si="187"/>
        <v>0</v>
      </c>
      <c r="AB374" s="3115">
        <f t="shared" ca="1" si="188"/>
        <v>0</v>
      </c>
      <c r="AK374" s="313"/>
      <c r="AL374" s="313"/>
      <c r="AM374" s="313"/>
      <c r="AO374" s="1055"/>
      <c r="AP374" s="385"/>
      <c r="AQ374" s="385"/>
      <c r="AR374" s="1048"/>
      <c r="AS374" s="385"/>
      <c r="AT374" s="879">
        <f t="shared" ca="1" si="235"/>
        <v>0</v>
      </c>
      <c r="AU374" s="879">
        <f ca="1">COUNTIFS(AT$7:$AT374,1)</f>
        <v>5</v>
      </c>
    </row>
    <row r="375" spans="2:47" ht="14.25" hidden="1" customHeight="1" outlineLevel="1">
      <c r="B375" s="1738" t="s">
        <v>29</v>
      </c>
      <c r="C375" s="313" t="str">
        <f>input!C743</f>
        <v>Emboss (NIKKO 1050FH)</v>
      </c>
      <c r="D375" s="313">
        <f>input!D743</f>
        <v>17</v>
      </c>
      <c r="E375" s="363"/>
      <c r="F375" s="363" t="str">
        <f ca="1">input!F743</f>
        <v>N</v>
      </c>
      <c r="G375" s="363"/>
      <c r="H375" s="313">
        <f ca="1">IF(F375="PCS",$E$4,SUMIFS(Paper!$AC$7:$AC$58,Paper!$A$7:$A$58,'Production cost'!F375))</f>
        <v>0</v>
      </c>
      <c r="I375" s="313">
        <f ca="1">IF(input!$G743&gt;0,input!$G743,IF($C375=Data!$L$1158,500,3000))</f>
        <v>3000</v>
      </c>
      <c r="J375" s="313" t="str">
        <f>input!$H743</f>
        <v>Sheets</v>
      </c>
      <c r="K375" s="360">
        <f>IF($C375=Data!$L$1158,0,1/4)</f>
        <v>0.25</v>
      </c>
      <c r="L375" s="313">
        <f ca="1">IF(input!$I743&gt;0,input!$I743,2)</f>
        <v>2</v>
      </c>
      <c r="M375" s="391">
        <f ca="1">IF(H375&gt;0,SUMIF(Data!$L$1155:$L$1190,'Production cost'!$C375,Data!$Q$1155:$Q$1190)*SUMIF(Paper!$A$7:$A$70,'Production cost'!$F375,Paper!$J$7:$J$70),0)</f>
        <v>0</v>
      </c>
      <c r="N375" s="391">
        <f t="shared" ca="1" si="182"/>
        <v>0</v>
      </c>
      <c r="O375" s="313">
        <f>IF($C375=Data!$L$1158,0,Data!$N$1195)</f>
        <v>352574.32240985788</v>
      </c>
      <c r="P375" s="313">
        <f>SUMIF(Data!$L$1155:$L$1190,'Production cost'!$C375,Data!$N$1155:$N$1190)</f>
        <v>64593.240854333337</v>
      </c>
      <c r="Q375" s="313">
        <f t="shared" ca="1" si="251"/>
        <v>0</v>
      </c>
      <c r="R375" s="313">
        <f t="shared" ca="1" si="183"/>
        <v>0</v>
      </c>
      <c r="S375" s="1741">
        <f t="shared" ca="1" si="184"/>
        <v>0</v>
      </c>
      <c r="T375" s="313" t="str">
        <f ca="1">input!J743</f>
        <v>N</v>
      </c>
      <c r="V375" s="3115" t="str">
        <f>input!K743</f>
        <v>Packaging</v>
      </c>
      <c r="W375" s="3115">
        <f t="shared" ca="1" si="185"/>
        <v>0</v>
      </c>
      <c r="X375" s="3119">
        <f>VLOOKUP(V375,'Fix Cost'!$K$177:$M$179,2,0)</f>
        <v>58449.923860467366</v>
      </c>
      <c r="Y375" s="3119">
        <f>VLOOKUP(V375,'Fix Cost'!$K$177:$M$179,3,0)</f>
        <v>267411.04680782068</v>
      </c>
      <c r="Z375" s="3119">
        <f t="shared" ca="1" si="186"/>
        <v>0</v>
      </c>
      <c r="AA375" s="3115">
        <f t="shared" ca="1" si="187"/>
        <v>0</v>
      </c>
      <c r="AB375" s="3115">
        <f t="shared" ca="1" si="188"/>
        <v>0</v>
      </c>
      <c r="AK375" s="313"/>
      <c r="AL375" s="313"/>
      <c r="AM375" s="313"/>
      <c r="AO375" s="1055"/>
      <c r="AP375" s="385"/>
      <c r="AQ375" s="385"/>
      <c r="AR375" s="1048"/>
      <c r="AS375" s="385"/>
      <c r="AT375" s="879">
        <f t="shared" ca="1" si="235"/>
        <v>0</v>
      </c>
      <c r="AU375" s="879">
        <f ca="1">COUNTIFS(AT$7:$AT375,1)</f>
        <v>5</v>
      </c>
    </row>
    <row r="376" spans="2:47" ht="14.25" hidden="1" customHeight="1" outlineLevel="1">
      <c r="B376" s="1738" t="s">
        <v>29</v>
      </c>
      <c r="C376" s="313" t="str">
        <f>input!C744</f>
        <v>Emboss (NIKKO 1050FH)</v>
      </c>
      <c r="D376" s="313">
        <f>input!D744</f>
        <v>34</v>
      </c>
      <c r="E376" s="363"/>
      <c r="F376" s="363" t="str">
        <f ca="1">input!F744</f>
        <v>N</v>
      </c>
      <c r="G376" s="363"/>
      <c r="H376" s="313">
        <f ca="1">IF(F376="PCS",$E$4,SUMIFS(Paper!$AC$7:$AC$58,Paper!$A$7:$A$58,'Production cost'!F376))</f>
        <v>0</v>
      </c>
      <c r="I376" s="313">
        <f ca="1">IF(input!$G744&gt;0,input!$G744,IF($C376=Data!$L$1158,500,3000))</f>
        <v>3000</v>
      </c>
      <c r="J376" s="313" t="str">
        <f>input!$H744</f>
        <v>Sheets</v>
      </c>
      <c r="K376" s="360">
        <f>IF($C376=Data!$L$1158,0,1/4)</f>
        <v>0.25</v>
      </c>
      <c r="L376" s="313">
        <f ca="1">IF(input!$I744&gt;0,input!$I744,2)</f>
        <v>2</v>
      </c>
      <c r="M376" s="391">
        <f ca="1">IF(H376&gt;0,SUMIF(Data!$L$1155:$L$1190,'Production cost'!$C376,Data!$Q$1155:$Q$1190)*SUMIF(Paper!$A$7:$A$70,'Production cost'!$F376,Paper!$J$7:$J$70),0)</f>
        <v>0</v>
      </c>
      <c r="N376" s="391">
        <f t="shared" ref="N376:N389" ca="1" si="252">IF(H376&gt;0,ROUNDUP(((H376/I376)/$M$5+M376),1),0)</f>
        <v>0</v>
      </c>
      <c r="O376" s="313">
        <f>IF($C376=Data!$L$1158,0,Data!$N$1195)</f>
        <v>352574.32240985788</v>
      </c>
      <c r="P376" s="313">
        <f>SUMIF(Data!$L$1155:$L$1190,'Production cost'!$C376,Data!$N$1155:$N$1190)</f>
        <v>64593.240854333337</v>
      </c>
      <c r="Q376" s="313">
        <f t="shared" ca="1" si="251"/>
        <v>0</v>
      </c>
      <c r="R376" s="313">
        <f t="shared" ref="R376:R389" ca="1" si="253">IF($E$2&gt;0,Q376/$E$2,0)</f>
        <v>0</v>
      </c>
      <c r="S376" s="1741">
        <f t="shared" ref="S376:S389" ca="1" si="254">IF(M376&gt;0,K376*O376+L376*P376,0)</f>
        <v>0</v>
      </c>
      <c r="T376" s="313" t="str">
        <f ca="1">input!J744</f>
        <v>N</v>
      </c>
      <c r="V376" s="3115" t="str">
        <f>input!K744</f>
        <v>Packaging</v>
      </c>
      <c r="W376" s="3115">
        <f t="shared" ref="W376:W389" ca="1" si="255">N376*(L376+K376)</f>
        <v>0</v>
      </c>
      <c r="X376" s="3119">
        <f>VLOOKUP(V376,'Fix Cost'!$K$177:$M$179,2,0)</f>
        <v>58449.923860467366</v>
      </c>
      <c r="Y376" s="3119">
        <f>VLOOKUP(V376,'Fix Cost'!$K$177:$M$179,3,0)</f>
        <v>267411.04680782068</v>
      </c>
      <c r="Z376" s="3119">
        <f t="shared" ref="Z376:Z389" ca="1" si="256">IFERROR($X376*W376,0)</f>
        <v>0</v>
      </c>
      <c r="AA376" s="3115">
        <f t="shared" ref="AA376:AA389" ca="1" si="257">IFERROR(Y376*N376,0)</f>
        <v>0</v>
      </c>
      <c r="AB376" s="3115">
        <f t="shared" ref="AB376:AB389" ca="1" si="258">Z376+AA376</f>
        <v>0</v>
      </c>
      <c r="AK376" s="313"/>
      <c r="AL376" s="313"/>
      <c r="AM376" s="313"/>
      <c r="AO376" s="1055"/>
      <c r="AP376" s="385"/>
      <c r="AQ376" s="385"/>
      <c r="AR376" s="1048"/>
      <c r="AS376" s="385"/>
      <c r="AT376" s="879">
        <f t="shared" ca="1" si="235"/>
        <v>0</v>
      </c>
      <c r="AU376" s="879">
        <f ca="1">COUNTIFS(AT$7:$AT376,1)</f>
        <v>5</v>
      </c>
    </row>
    <row r="377" spans="2:47" ht="14.25" hidden="1" customHeight="1" outlineLevel="1">
      <c r="B377" s="1738" t="s">
        <v>29</v>
      </c>
      <c r="C377" s="313" t="str">
        <f>input!C745</f>
        <v>Emboss (NIKKO 1050FH)</v>
      </c>
      <c r="D377" s="313">
        <f>input!D745</f>
        <v>51</v>
      </c>
      <c r="E377" s="363"/>
      <c r="F377" s="363" t="str">
        <f ca="1">input!F745</f>
        <v>N</v>
      </c>
      <c r="G377" s="363"/>
      <c r="H377" s="313">
        <f ca="1">IF(F377="PCS",$E$4,SUMIFS(Paper!$AC$7:$AC$58,Paper!$A$7:$A$58,'Production cost'!F377))</f>
        <v>0</v>
      </c>
      <c r="I377" s="313">
        <f ca="1">IF(input!$G745&gt;0,input!$G745,IF($C377=Data!$L$1158,500,3000))</f>
        <v>3000</v>
      </c>
      <c r="J377" s="313" t="str">
        <f>input!$H745</f>
        <v>Sheets</v>
      </c>
      <c r="K377" s="360">
        <f>IF($C377=Data!$L$1158,0,1/4)</f>
        <v>0.25</v>
      </c>
      <c r="L377" s="313">
        <f ca="1">IF(input!$I745&gt;0,input!$I745,2)</f>
        <v>2</v>
      </c>
      <c r="M377" s="391">
        <f ca="1">IF(H377&gt;0,SUMIF(Data!$L$1155:$L$1190,'Production cost'!$C377,Data!$Q$1155:$Q$1190)*SUMIF(Paper!$A$7:$A$70,'Production cost'!$F377,Paper!$J$7:$J$70),0)</f>
        <v>0</v>
      </c>
      <c r="N377" s="391">
        <f t="shared" ca="1" si="252"/>
        <v>0</v>
      </c>
      <c r="O377" s="313">
        <f>IF($C377=Data!$L$1158,0,Data!$N$1195)</f>
        <v>352574.32240985788</v>
      </c>
      <c r="P377" s="313">
        <f>SUMIF(Data!$L$1155:$L$1190,'Production cost'!$C377,Data!$N$1155:$N$1190)</f>
        <v>64593.240854333337</v>
      </c>
      <c r="Q377" s="313">
        <f t="shared" ca="1" si="251"/>
        <v>0</v>
      </c>
      <c r="R377" s="313">
        <f t="shared" ca="1" si="253"/>
        <v>0</v>
      </c>
      <c r="S377" s="1741">
        <f t="shared" ca="1" si="254"/>
        <v>0</v>
      </c>
      <c r="T377" s="313" t="str">
        <f ca="1">input!J745</f>
        <v>N</v>
      </c>
      <c r="V377" s="3115" t="str">
        <f>input!K745</f>
        <v>Packaging</v>
      </c>
      <c r="W377" s="3115">
        <f t="shared" ca="1" si="255"/>
        <v>0</v>
      </c>
      <c r="X377" s="3119">
        <f>VLOOKUP(V377,'Fix Cost'!$K$177:$M$179,2,0)</f>
        <v>58449.923860467366</v>
      </c>
      <c r="Y377" s="3119">
        <f>VLOOKUP(V377,'Fix Cost'!$K$177:$M$179,3,0)</f>
        <v>267411.04680782068</v>
      </c>
      <c r="Z377" s="3119">
        <f t="shared" ca="1" si="256"/>
        <v>0</v>
      </c>
      <c r="AA377" s="3115">
        <f t="shared" ca="1" si="257"/>
        <v>0</v>
      </c>
      <c r="AB377" s="3115">
        <f t="shared" ca="1" si="258"/>
        <v>0</v>
      </c>
      <c r="AK377" s="313"/>
      <c r="AL377" s="313"/>
      <c r="AM377" s="313"/>
      <c r="AO377" s="1055"/>
      <c r="AP377" s="385"/>
      <c r="AQ377" s="385"/>
      <c r="AR377" s="1048"/>
      <c r="AS377" s="385"/>
      <c r="AT377" s="879">
        <f t="shared" ca="1" si="235"/>
        <v>0</v>
      </c>
      <c r="AU377" s="879">
        <f ca="1">COUNTIFS(AT$7:$AT377,1)</f>
        <v>5</v>
      </c>
    </row>
    <row r="378" spans="2:47" ht="14.25" hidden="1" customHeight="1" outlineLevel="1">
      <c r="B378" s="1738" t="s">
        <v>29</v>
      </c>
      <c r="C378" s="313" t="str">
        <f>input!C746</f>
        <v>Emboss (NIKKO 1050FH)</v>
      </c>
      <c r="D378" s="313">
        <f>input!D746</f>
        <v>68</v>
      </c>
      <c r="E378" s="363"/>
      <c r="F378" s="363" t="str">
        <f ca="1">input!F746</f>
        <v>N</v>
      </c>
      <c r="G378" s="363"/>
      <c r="H378" s="313">
        <f ca="1">IF(F378="PCS",$E$4,SUMIFS(Paper!$AC$7:$AC$58,Paper!$A$7:$A$58,'Production cost'!F378))</f>
        <v>0</v>
      </c>
      <c r="I378" s="313">
        <f ca="1">IF(input!$G746&gt;0,input!$G746,IF($C378=Data!$L$1158,500,3000))</f>
        <v>3000</v>
      </c>
      <c r="J378" s="313" t="str">
        <f>input!$H746</f>
        <v>Sheets</v>
      </c>
      <c r="K378" s="360">
        <f>IF($C378=Data!$L$1158,0,1/4)</f>
        <v>0.25</v>
      </c>
      <c r="L378" s="313">
        <f ca="1">IF(input!$I746&gt;0,input!$I746,2)</f>
        <v>2</v>
      </c>
      <c r="M378" s="391">
        <f ca="1">IF(H378&gt;0,SUMIF(Data!$L$1155:$L$1190,'Production cost'!$C378,Data!$Q$1155:$Q$1190)*SUMIF(Paper!$A$7:$A$70,'Production cost'!$F378,Paper!$J$7:$J$70),0)</f>
        <v>0</v>
      </c>
      <c r="N378" s="391">
        <f t="shared" ca="1" si="252"/>
        <v>0</v>
      </c>
      <c r="O378" s="313">
        <f>IF($C378=Data!$L$1158,0,Data!$N$1195)</f>
        <v>352574.32240985788</v>
      </c>
      <c r="P378" s="313">
        <f>SUMIF(Data!$L$1155:$L$1190,'Production cost'!$C378,Data!$N$1155:$N$1190)</f>
        <v>64593.240854333337</v>
      </c>
      <c r="Q378" s="313">
        <f t="shared" ca="1" si="251"/>
        <v>0</v>
      </c>
      <c r="R378" s="313">
        <f t="shared" ca="1" si="253"/>
        <v>0</v>
      </c>
      <c r="S378" s="1741">
        <f t="shared" ca="1" si="254"/>
        <v>0</v>
      </c>
      <c r="T378" s="313" t="str">
        <f ca="1">input!J746</f>
        <v>N</v>
      </c>
      <c r="V378" s="3115" t="str">
        <f>input!K746</f>
        <v>Packaging</v>
      </c>
      <c r="W378" s="3115">
        <f t="shared" ca="1" si="255"/>
        <v>0</v>
      </c>
      <c r="X378" s="3119">
        <f>VLOOKUP(V378,'Fix Cost'!$K$177:$M$179,2,0)</f>
        <v>58449.923860467366</v>
      </c>
      <c r="Y378" s="3119">
        <f>VLOOKUP(V378,'Fix Cost'!$K$177:$M$179,3,0)</f>
        <v>267411.04680782068</v>
      </c>
      <c r="Z378" s="3119">
        <f t="shared" ca="1" si="256"/>
        <v>0</v>
      </c>
      <c r="AA378" s="3115">
        <f t="shared" ca="1" si="257"/>
        <v>0</v>
      </c>
      <c r="AB378" s="3115">
        <f t="shared" ca="1" si="258"/>
        <v>0</v>
      </c>
      <c r="AK378" s="313"/>
      <c r="AL378" s="313"/>
      <c r="AM378" s="313"/>
      <c r="AO378" s="1055"/>
      <c r="AP378" s="385"/>
      <c r="AQ378" s="385"/>
      <c r="AR378" s="1048"/>
      <c r="AS378" s="385"/>
      <c r="AT378" s="879">
        <f t="shared" ca="1" si="235"/>
        <v>0</v>
      </c>
      <c r="AU378" s="879">
        <f ca="1">COUNTIFS(AT$7:$AT378,1)</f>
        <v>5</v>
      </c>
    </row>
    <row r="379" spans="2:47" ht="14.25" hidden="1" customHeight="1" outlineLevel="1">
      <c r="B379" s="1738" t="s">
        <v>29</v>
      </c>
      <c r="C379" s="313" t="str">
        <f>input!C747</f>
        <v>Emboss (NIKKO 1050FH)</v>
      </c>
      <c r="D379" s="313">
        <f>input!D747</f>
        <v>85</v>
      </c>
      <c r="E379" s="363"/>
      <c r="F379" s="363" t="str">
        <f ca="1">input!F747</f>
        <v>N</v>
      </c>
      <c r="G379" s="363"/>
      <c r="H379" s="313">
        <f ca="1">IF(F379="PCS",$E$4,SUMIFS(Paper!$AC$7:$AC$58,Paper!$A$7:$A$58,'Production cost'!F379))</f>
        <v>0</v>
      </c>
      <c r="I379" s="313">
        <f ca="1">IF(input!$G747&gt;0,input!$G747,IF($C379=Data!$L$1158,500,3000))</f>
        <v>3000</v>
      </c>
      <c r="J379" s="313" t="str">
        <f>input!$H747</f>
        <v>Sheets</v>
      </c>
      <c r="K379" s="360">
        <f>IF($C379=Data!$L$1158,0,1/4)</f>
        <v>0.25</v>
      </c>
      <c r="L379" s="313">
        <f ca="1">IF(input!$I747&gt;0,input!$I747,2)</f>
        <v>2</v>
      </c>
      <c r="M379" s="391">
        <f ca="1">IF(H379&gt;0,SUMIF(Data!$L$1155:$L$1190,'Production cost'!$C379,Data!$Q$1155:$Q$1190)*SUMIF(Paper!$A$7:$A$70,'Production cost'!$F379,Paper!$J$7:$J$70),0)</f>
        <v>0</v>
      </c>
      <c r="N379" s="391">
        <f t="shared" ca="1" si="252"/>
        <v>0</v>
      </c>
      <c r="O379" s="313">
        <f>IF($C379=Data!$L$1158,0,Data!$N$1195)</f>
        <v>352574.32240985788</v>
      </c>
      <c r="P379" s="313">
        <f>SUMIF(Data!$L$1155:$L$1190,'Production cost'!$C379,Data!$N$1155:$N$1190)</f>
        <v>64593.240854333337</v>
      </c>
      <c r="Q379" s="313">
        <f t="shared" ca="1" si="251"/>
        <v>0</v>
      </c>
      <c r="R379" s="313">
        <f t="shared" ca="1" si="253"/>
        <v>0</v>
      </c>
      <c r="S379" s="1741">
        <f t="shared" ca="1" si="254"/>
        <v>0</v>
      </c>
      <c r="T379" s="313" t="str">
        <f ca="1">input!J747</f>
        <v>N</v>
      </c>
      <c r="V379" s="3115" t="str">
        <f>input!K747</f>
        <v>Packaging</v>
      </c>
      <c r="W379" s="3115">
        <f t="shared" ca="1" si="255"/>
        <v>0</v>
      </c>
      <c r="X379" s="3119">
        <f>VLOOKUP(V379,'Fix Cost'!$K$177:$M$179,2,0)</f>
        <v>58449.923860467366</v>
      </c>
      <c r="Y379" s="3119">
        <f>VLOOKUP(V379,'Fix Cost'!$K$177:$M$179,3,0)</f>
        <v>267411.04680782068</v>
      </c>
      <c r="Z379" s="3119">
        <f t="shared" ca="1" si="256"/>
        <v>0</v>
      </c>
      <c r="AA379" s="3115">
        <f t="shared" ca="1" si="257"/>
        <v>0</v>
      </c>
      <c r="AB379" s="3115">
        <f t="shared" ca="1" si="258"/>
        <v>0</v>
      </c>
      <c r="AK379" s="313"/>
      <c r="AL379" s="313"/>
      <c r="AM379" s="313"/>
      <c r="AO379" s="1055"/>
      <c r="AP379" s="385"/>
      <c r="AQ379" s="385"/>
      <c r="AR379" s="1048"/>
      <c r="AS379" s="385"/>
      <c r="AT379" s="879">
        <f t="shared" ca="1" si="235"/>
        <v>0</v>
      </c>
      <c r="AU379" s="879">
        <f ca="1">COUNTIFS(AT$7:$AT379,1)</f>
        <v>5</v>
      </c>
    </row>
    <row r="380" spans="2:47" ht="14.25" hidden="1" customHeight="1" outlineLevel="1">
      <c r="B380" s="1738" t="s">
        <v>29</v>
      </c>
      <c r="C380" s="313" t="str">
        <f>input!C748</f>
        <v>Emboss (NIKKO 1050FH)</v>
      </c>
      <c r="D380" s="313">
        <f>input!D748</f>
        <v>102</v>
      </c>
      <c r="E380" s="363"/>
      <c r="F380" s="363" t="str">
        <f ca="1">input!F748</f>
        <v>N</v>
      </c>
      <c r="G380" s="363"/>
      <c r="H380" s="313">
        <f ca="1">IF(F380="PCS",$E$4,SUMIFS(Paper!$AC$7:$AC$58,Paper!$A$7:$A$58,'Production cost'!F380))</f>
        <v>0</v>
      </c>
      <c r="I380" s="313">
        <f ca="1">IF(input!$G748&gt;0,input!$G748,IF($C380=Data!$L$1158,500,3000))</f>
        <v>3000</v>
      </c>
      <c r="J380" s="313" t="str">
        <f>input!$H748</f>
        <v>Sheets</v>
      </c>
      <c r="K380" s="360">
        <f>IF($C380=Data!$L$1158,0,1/4)</f>
        <v>0.25</v>
      </c>
      <c r="L380" s="313">
        <f ca="1">IF(input!$I748&gt;0,input!$I748,2)</f>
        <v>2</v>
      </c>
      <c r="M380" s="391">
        <f ca="1">IF(H380&gt;0,SUMIF(Data!$L$1155:$L$1190,'Production cost'!$C380,Data!$Q$1155:$Q$1190)*SUMIF(Paper!$A$7:$A$70,'Production cost'!$F380,Paper!$J$7:$J$70),0)</f>
        <v>0</v>
      </c>
      <c r="N380" s="391">
        <f t="shared" ca="1" si="252"/>
        <v>0</v>
      </c>
      <c r="O380" s="313">
        <f>IF($C380=Data!$L$1158,0,Data!$N$1195)</f>
        <v>352574.32240985788</v>
      </c>
      <c r="P380" s="313">
        <f>SUMIF(Data!$L$1155:$L$1190,'Production cost'!$C380,Data!$N$1155:$N$1190)</f>
        <v>64593.240854333337</v>
      </c>
      <c r="Q380" s="313">
        <f t="shared" ca="1" si="251"/>
        <v>0</v>
      </c>
      <c r="R380" s="313">
        <f t="shared" ca="1" si="253"/>
        <v>0</v>
      </c>
      <c r="S380" s="1741">
        <f t="shared" ca="1" si="254"/>
        <v>0</v>
      </c>
      <c r="T380" s="313" t="str">
        <f ca="1">input!J748</f>
        <v>N</v>
      </c>
      <c r="V380" s="3115" t="str">
        <f>input!K748</f>
        <v>Packaging</v>
      </c>
      <c r="W380" s="3115">
        <f t="shared" ca="1" si="255"/>
        <v>0</v>
      </c>
      <c r="X380" s="3119">
        <f>VLOOKUP(V380,'Fix Cost'!$K$177:$M$179,2,0)</f>
        <v>58449.923860467366</v>
      </c>
      <c r="Y380" s="3119">
        <f>VLOOKUP(V380,'Fix Cost'!$K$177:$M$179,3,0)</f>
        <v>267411.04680782068</v>
      </c>
      <c r="Z380" s="3119">
        <f t="shared" ca="1" si="256"/>
        <v>0</v>
      </c>
      <c r="AA380" s="3115">
        <f t="shared" ca="1" si="257"/>
        <v>0</v>
      </c>
      <c r="AB380" s="3115">
        <f t="shared" ca="1" si="258"/>
        <v>0</v>
      </c>
      <c r="AK380" s="313"/>
      <c r="AL380" s="313"/>
      <c r="AM380" s="313"/>
      <c r="AO380" s="1055"/>
      <c r="AP380" s="385"/>
      <c r="AQ380" s="385"/>
      <c r="AR380" s="1048"/>
      <c r="AS380" s="385"/>
      <c r="AT380" s="879">
        <f t="shared" ca="1" si="235"/>
        <v>0</v>
      </c>
      <c r="AU380" s="879">
        <f ca="1">COUNTIFS(AT$7:$AT380,1)</f>
        <v>5</v>
      </c>
    </row>
    <row r="381" spans="2:47" ht="14.25" hidden="1" customHeight="1" outlineLevel="1">
      <c r="B381" s="1738" t="s">
        <v>29</v>
      </c>
      <c r="C381" s="313" t="str">
        <f>input!C749</f>
        <v>Emboss (NIKKO 1050FH)</v>
      </c>
      <c r="D381" s="313">
        <f>input!D749</f>
        <v>119</v>
      </c>
      <c r="E381" s="363"/>
      <c r="F381" s="363" t="str">
        <f ca="1">input!F749</f>
        <v>N</v>
      </c>
      <c r="G381" s="363"/>
      <c r="H381" s="313">
        <f ca="1">IF(F381="PCS",$E$4,SUMIFS(Paper!$AC$7:$AC$58,Paper!$A$7:$A$58,'Production cost'!F381))</f>
        <v>0</v>
      </c>
      <c r="I381" s="313">
        <f ca="1">IF(input!$G749&gt;0,input!$G749,IF($C381=Data!$L$1158,500,3000))</f>
        <v>3000</v>
      </c>
      <c r="J381" s="313" t="str">
        <f>input!$H749</f>
        <v>Sheets</v>
      </c>
      <c r="K381" s="360">
        <f>IF($C381=Data!$L$1158,0,1/4)</f>
        <v>0.25</v>
      </c>
      <c r="L381" s="313">
        <f ca="1">IF(input!$I749&gt;0,input!$I749,2)</f>
        <v>2</v>
      </c>
      <c r="M381" s="391">
        <f ca="1">IF(H381&gt;0,SUMIF(Data!$L$1155:$L$1190,'Production cost'!$C381,Data!$Q$1155:$Q$1190)*SUMIF(Paper!$A$7:$A$70,'Production cost'!$F381,Paper!$J$7:$J$70),0)</f>
        <v>0</v>
      </c>
      <c r="N381" s="391">
        <f t="shared" ca="1" si="252"/>
        <v>0</v>
      </c>
      <c r="O381" s="313">
        <f>IF($C381=Data!$L$1158,0,Data!$N$1195)</f>
        <v>352574.32240985788</v>
      </c>
      <c r="P381" s="313">
        <f>SUMIF(Data!$L$1155:$L$1190,'Production cost'!$C381,Data!$N$1155:$N$1190)</f>
        <v>64593.240854333337</v>
      </c>
      <c r="Q381" s="313">
        <f t="shared" ca="1" si="251"/>
        <v>0</v>
      </c>
      <c r="R381" s="313">
        <f t="shared" ca="1" si="253"/>
        <v>0</v>
      </c>
      <c r="S381" s="1741">
        <f t="shared" ca="1" si="254"/>
        <v>0</v>
      </c>
      <c r="T381" s="313" t="str">
        <f ca="1">input!J749</f>
        <v>N</v>
      </c>
      <c r="V381" s="3115" t="str">
        <f>input!K749</f>
        <v>Packaging</v>
      </c>
      <c r="W381" s="3115">
        <f t="shared" ca="1" si="255"/>
        <v>0</v>
      </c>
      <c r="X381" s="3119">
        <f>VLOOKUP(V381,'Fix Cost'!$K$177:$M$179,2,0)</f>
        <v>58449.923860467366</v>
      </c>
      <c r="Y381" s="3119">
        <f>VLOOKUP(V381,'Fix Cost'!$K$177:$M$179,3,0)</f>
        <v>267411.04680782068</v>
      </c>
      <c r="Z381" s="3119">
        <f t="shared" ca="1" si="256"/>
        <v>0</v>
      </c>
      <c r="AA381" s="3115">
        <f t="shared" ca="1" si="257"/>
        <v>0</v>
      </c>
      <c r="AB381" s="3115">
        <f t="shared" ca="1" si="258"/>
        <v>0</v>
      </c>
      <c r="AK381" s="313"/>
      <c r="AL381" s="313"/>
      <c r="AM381" s="313"/>
      <c r="AO381" s="1055"/>
      <c r="AP381" s="385"/>
      <c r="AQ381" s="385"/>
      <c r="AR381" s="1048"/>
      <c r="AS381" s="385"/>
      <c r="AT381" s="879">
        <f t="shared" ca="1" si="235"/>
        <v>0</v>
      </c>
      <c r="AU381" s="879">
        <f ca="1">COUNTIFS(AT$7:$AT381,1)</f>
        <v>5</v>
      </c>
    </row>
    <row r="382" spans="2:47" ht="14.25" hidden="1" customHeight="1" outlineLevel="1">
      <c r="B382" s="1738" t="s">
        <v>29</v>
      </c>
      <c r="C382" s="313" t="str">
        <f>input!C750</f>
        <v>Emboss (NIKKO 1050FH)</v>
      </c>
      <c r="D382" s="313">
        <f>input!D750</f>
        <v>136</v>
      </c>
      <c r="E382" s="363"/>
      <c r="F382" s="363" t="str">
        <f ca="1">input!F750</f>
        <v>N</v>
      </c>
      <c r="G382" s="363"/>
      <c r="H382" s="313">
        <f ca="1">IF(F382="PCS",$E$4,SUMIFS(Paper!$AC$7:$AC$58,Paper!$A$7:$A$58,'Production cost'!F382))</f>
        <v>0</v>
      </c>
      <c r="I382" s="313">
        <f ca="1">IF(input!$G750&gt;0,input!$G750,IF($C382=Data!$L$1158,500,3000))</f>
        <v>3000</v>
      </c>
      <c r="J382" s="313" t="str">
        <f>input!$H750</f>
        <v>Sheets</v>
      </c>
      <c r="K382" s="360">
        <f>IF($C382=Data!$L$1158,0,1/4)</f>
        <v>0.25</v>
      </c>
      <c r="L382" s="313">
        <f ca="1">IF(input!$I750&gt;0,input!$I750,2)</f>
        <v>2</v>
      </c>
      <c r="M382" s="391">
        <f ca="1">IF(H382&gt;0,SUMIF(Data!$L$1155:$L$1190,'Production cost'!$C382,Data!$Q$1155:$Q$1190)*SUMIF(Paper!$A$7:$A$70,'Production cost'!$F382,Paper!$J$7:$J$70),0)</f>
        <v>0</v>
      </c>
      <c r="N382" s="391">
        <f t="shared" ca="1" si="252"/>
        <v>0</v>
      </c>
      <c r="O382" s="313">
        <f>IF($C382=Data!$L$1158,0,Data!$N$1195)</f>
        <v>352574.32240985788</v>
      </c>
      <c r="P382" s="313">
        <f>SUMIF(Data!$L$1155:$L$1190,'Production cost'!$C382,Data!$N$1155:$N$1190)</f>
        <v>64593.240854333337</v>
      </c>
      <c r="Q382" s="313">
        <f t="shared" ca="1" si="251"/>
        <v>0</v>
      </c>
      <c r="R382" s="313">
        <f t="shared" ca="1" si="253"/>
        <v>0</v>
      </c>
      <c r="S382" s="1741">
        <f t="shared" ca="1" si="254"/>
        <v>0</v>
      </c>
      <c r="T382" s="313" t="str">
        <f ca="1">input!J750</f>
        <v>N</v>
      </c>
      <c r="V382" s="3115" t="str">
        <f>input!K750</f>
        <v>Packaging</v>
      </c>
      <c r="W382" s="3115">
        <f t="shared" ca="1" si="255"/>
        <v>0</v>
      </c>
      <c r="X382" s="3119">
        <f>VLOOKUP(V382,'Fix Cost'!$K$177:$M$179,2,0)</f>
        <v>58449.923860467366</v>
      </c>
      <c r="Y382" s="3119">
        <f>VLOOKUP(V382,'Fix Cost'!$K$177:$M$179,3,0)</f>
        <v>267411.04680782068</v>
      </c>
      <c r="Z382" s="3119">
        <f t="shared" ca="1" si="256"/>
        <v>0</v>
      </c>
      <c r="AA382" s="3115">
        <f t="shared" ca="1" si="257"/>
        <v>0</v>
      </c>
      <c r="AB382" s="3115">
        <f t="shared" ca="1" si="258"/>
        <v>0</v>
      </c>
      <c r="AK382" s="313"/>
      <c r="AL382" s="313"/>
      <c r="AM382" s="313"/>
      <c r="AO382" s="1055"/>
      <c r="AP382" s="385"/>
      <c r="AQ382" s="385"/>
      <c r="AR382" s="1048"/>
      <c r="AS382" s="385"/>
      <c r="AT382" s="879">
        <f t="shared" ca="1" si="235"/>
        <v>0</v>
      </c>
      <c r="AU382" s="879">
        <f ca="1">COUNTIFS(AT$7:$AT382,1)</f>
        <v>5</v>
      </c>
    </row>
    <row r="383" spans="2:47" ht="14.25" hidden="1" customHeight="1" outlineLevel="1">
      <c r="B383" s="1738" t="s">
        <v>29</v>
      </c>
      <c r="C383" s="313" t="str">
        <f>input!C751</f>
        <v>Emboss (NIKKO 1050FH)</v>
      </c>
      <c r="D383" s="313">
        <f>input!D751</f>
        <v>153</v>
      </c>
      <c r="E383" s="363"/>
      <c r="F383" s="363" t="str">
        <f ca="1">input!F751</f>
        <v>N</v>
      </c>
      <c r="G383" s="363"/>
      <c r="H383" s="313">
        <f ca="1">IF(F383="PCS",$E$4,SUMIFS(Paper!$AC$7:$AC$58,Paper!$A$7:$A$58,'Production cost'!F383))</f>
        <v>0</v>
      </c>
      <c r="I383" s="313">
        <f ca="1">IF(input!$G751&gt;0,input!$G751,IF($C383=Data!$L$1158,500,3000))</f>
        <v>3000</v>
      </c>
      <c r="J383" s="313" t="str">
        <f>input!$H751</f>
        <v>Sheets</v>
      </c>
      <c r="K383" s="360">
        <f>IF($C383=Data!$L$1158,0,1/4)</f>
        <v>0.25</v>
      </c>
      <c r="L383" s="313">
        <f ca="1">IF(input!$I751&gt;0,input!$I751,2)</f>
        <v>2</v>
      </c>
      <c r="M383" s="391">
        <f ca="1">IF(H383&gt;0,SUMIF(Data!$L$1155:$L$1190,'Production cost'!$C383,Data!$Q$1155:$Q$1190)*SUMIF(Paper!$A$7:$A$70,'Production cost'!$F383,Paper!$J$7:$J$70),0)</f>
        <v>0</v>
      </c>
      <c r="N383" s="391">
        <f t="shared" ca="1" si="252"/>
        <v>0</v>
      </c>
      <c r="O383" s="313">
        <f>IF($C383=Data!$L$1158,0,Data!$N$1195)</f>
        <v>352574.32240985788</v>
      </c>
      <c r="P383" s="313">
        <f>SUMIF(Data!$L$1155:$L$1190,'Production cost'!$C383,Data!$N$1155:$N$1190)</f>
        <v>64593.240854333337</v>
      </c>
      <c r="Q383" s="313">
        <f t="shared" ca="1" si="251"/>
        <v>0</v>
      </c>
      <c r="R383" s="313">
        <f t="shared" ca="1" si="253"/>
        <v>0</v>
      </c>
      <c r="S383" s="1741">
        <f t="shared" ca="1" si="254"/>
        <v>0</v>
      </c>
      <c r="T383" s="313" t="str">
        <f ca="1">input!J751</f>
        <v>N</v>
      </c>
      <c r="V383" s="3115" t="str">
        <f>input!K751</f>
        <v>Packaging</v>
      </c>
      <c r="W383" s="3115">
        <f t="shared" ca="1" si="255"/>
        <v>0</v>
      </c>
      <c r="X383" s="3119">
        <f>VLOOKUP(V383,'Fix Cost'!$K$177:$M$179,2,0)</f>
        <v>58449.923860467366</v>
      </c>
      <c r="Y383" s="3119">
        <f>VLOOKUP(V383,'Fix Cost'!$K$177:$M$179,3,0)</f>
        <v>267411.04680782068</v>
      </c>
      <c r="Z383" s="3119">
        <f t="shared" ca="1" si="256"/>
        <v>0</v>
      </c>
      <c r="AA383" s="3115">
        <f t="shared" ca="1" si="257"/>
        <v>0</v>
      </c>
      <c r="AB383" s="3115">
        <f t="shared" ca="1" si="258"/>
        <v>0</v>
      </c>
      <c r="AK383" s="313"/>
      <c r="AL383" s="313"/>
      <c r="AM383" s="313"/>
      <c r="AO383" s="1055"/>
      <c r="AP383" s="385"/>
      <c r="AQ383" s="385"/>
      <c r="AR383" s="1048"/>
      <c r="AS383" s="385"/>
      <c r="AT383" s="879">
        <f t="shared" ca="1" si="235"/>
        <v>0</v>
      </c>
      <c r="AU383" s="879">
        <f ca="1">COUNTIFS(AT$7:$AT383,1)</f>
        <v>5</v>
      </c>
    </row>
    <row r="384" spans="2:47" ht="14.25" hidden="1" customHeight="1" outlineLevel="1">
      <c r="B384" s="1738" t="s">
        <v>29</v>
      </c>
      <c r="C384" s="313" t="str">
        <f>input!C752</f>
        <v>Emboss (NIKKO 1050FH)</v>
      </c>
      <c r="D384" s="313">
        <f>input!D752</f>
        <v>170</v>
      </c>
      <c r="E384" s="363"/>
      <c r="F384" s="363" t="str">
        <f ca="1">input!F752</f>
        <v>N</v>
      </c>
      <c r="G384" s="363"/>
      <c r="H384" s="313">
        <f ca="1">IF(F384="PCS",$E$4,SUMIFS(Paper!$AC$7:$AC$58,Paper!$A$7:$A$58,'Production cost'!F384))</f>
        <v>0</v>
      </c>
      <c r="I384" s="313">
        <f ca="1">IF(input!$G752&gt;0,input!$G752,IF($C384=Data!$L$1158,500,3000))</f>
        <v>3000</v>
      </c>
      <c r="J384" s="313" t="str">
        <f>input!$H752</f>
        <v>Sheets</v>
      </c>
      <c r="K384" s="360">
        <f>IF($C384=Data!$L$1158,0,1/4)</f>
        <v>0.25</v>
      </c>
      <c r="L384" s="313">
        <f ca="1">IF(input!$I752&gt;0,input!$I752,2)</f>
        <v>2</v>
      </c>
      <c r="M384" s="391">
        <f ca="1">IF(H384&gt;0,SUMIF(Data!$L$1155:$L$1190,'Production cost'!$C384,Data!$Q$1155:$Q$1190)*SUMIF(Paper!$A$7:$A$70,'Production cost'!$F384,Paper!$J$7:$J$70),0)</f>
        <v>0</v>
      </c>
      <c r="N384" s="391">
        <f t="shared" ref="N384:N388" ca="1" si="259">IF(H384&gt;0,ROUNDUP(((H384/I384)/$M$5+M384),1),0)</f>
        <v>0</v>
      </c>
      <c r="O384" s="313">
        <f>IF($C384=Data!$L$1158,0,Data!$N$1195)</f>
        <v>352574.32240985788</v>
      </c>
      <c r="P384" s="313">
        <f>SUMIF(Data!$L$1155:$L$1190,'Production cost'!$C384,Data!$N$1155:$N$1190)</f>
        <v>64593.240854333337</v>
      </c>
      <c r="Q384" s="313">
        <f t="shared" ca="1" si="251"/>
        <v>0</v>
      </c>
      <c r="R384" s="313">
        <f t="shared" ref="R384:R388" ca="1" si="260">IF($E$2&gt;0,Q384/$E$2,0)</f>
        <v>0</v>
      </c>
      <c r="S384" s="1741">
        <f t="shared" ref="S384:S388" ca="1" si="261">IF(M384&gt;0,K384*O384+L384*P384,0)</f>
        <v>0</v>
      </c>
      <c r="T384" s="313" t="str">
        <f ca="1">input!J752</f>
        <v>N</v>
      </c>
      <c r="V384" s="3115" t="str">
        <f>input!K752</f>
        <v>Packaging</v>
      </c>
      <c r="W384" s="3115">
        <f t="shared" ref="W384:W388" ca="1" si="262">N384*(L384+K384)</f>
        <v>0</v>
      </c>
      <c r="X384" s="3119">
        <f>VLOOKUP(V384,'Fix Cost'!$K$177:$M$179,2,0)</f>
        <v>58449.923860467366</v>
      </c>
      <c r="Y384" s="3119">
        <f>VLOOKUP(V384,'Fix Cost'!$K$177:$M$179,3,0)</f>
        <v>267411.04680782068</v>
      </c>
      <c r="Z384" s="3119">
        <f t="shared" ref="Z384:Z388" ca="1" si="263">IFERROR($X384*W384,0)</f>
        <v>0</v>
      </c>
      <c r="AA384" s="3115">
        <f t="shared" ref="AA384:AA388" ca="1" si="264">IFERROR(Y384*N384,0)</f>
        <v>0</v>
      </c>
      <c r="AB384" s="3115">
        <f t="shared" ref="AB384:AB388" ca="1" si="265">Z384+AA384</f>
        <v>0</v>
      </c>
      <c r="AK384" s="313"/>
      <c r="AL384" s="313"/>
      <c r="AM384" s="313"/>
      <c r="AO384" s="1055"/>
      <c r="AP384" s="385"/>
      <c r="AQ384" s="385"/>
      <c r="AR384" s="1048"/>
      <c r="AS384" s="385"/>
      <c r="AT384" s="879">
        <f t="shared" ca="1" si="235"/>
        <v>0</v>
      </c>
      <c r="AU384" s="879">
        <f ca="1">COUNTIFS(AT$7:$AT384,1)</f>
        <v>5</v>
      </c>
    </row>
    <row r="385" spans="2:47" ht="14.25" hidden="1" customHeight="1" outlineLevel="1">
      <c r="B385" s="1738" t="s">
        <v>29</v>
      </c>
      <c r="C385" s="313" t="str">
        <f>input!C753</f>
        <v>Emboss (NIKKO 1050FH)</v>
      </c>
      <c r="D385" s="313">
        <f>input!D753</f>
        <v>187</v>
      </c>
      <c r="E385" s="363"/>
      <c r="F385" s="363" t="str">
        <f ca="1">input!F753</f>
        <v>N</v>
      </c>
      <c r="G385" s="363"/>
      <c r="H385" s="313">
        <f ca="1">IF(F385="PCS",$E$4,SUMIFS(Paper!$AC$7:$AC$58,Paper!$A$7:$A$58,'Production cost'!F385))</f>
        <v>0</v>
      </c>
      <c r="I385" s="313">
        <f ca="1">IF(input!$G753&gt;0,input!$G753,IF($C385=Data!$L$1158,500,3000))</f>
        <v>3000</v>
      </c>
      <c r="J385" s="313" t="str">
        <f>input!$H753</f>
        <v>Sheets</v>
      </c>
      <c r="K385" s="360">
        <f>IF($C385=Data!$L$1158,0,1/4)</f>
        <v>0.25</v>
      </c>
      <c r="L385" s="313">
        <f ca="1">IF(input!$I753&gt;0,input!$I753,2)</f>
        <v>2</v>
      </c>
      <c r="M385" s="391">
        <f ca="1">IF(H385&gt;0,SUMIF(Data!$L$1155:$L$1190,'Production cost'!$C385,Data!$Q$1155:$Q$1190)*SUMIF(Paper!$A$7:$A$70,'Production cost'!$F385,Paper!$J$7:$J$70),0)</f>
        <v>0</v>
      </c>
      <c r="N385" s="391">
        <f t="shared" ca="1" si="259"/>
        <v>0</v>
      </c>
      <c r="O385" s="313">
        <f>IF($C385=Data!$L$1158,0,Data!$N$1195)</f>
        <v>352574.32240985788</v>
      </c>
      <c r="P385" s="313">
        <f>SUMIF(Data!$L$1155:$L$1190,'Production cost'!$C385,Data!$N$1155:$N$1190)</f>
        <v>64593.240854333337</v>
      </c>
      <c r="Q385" s="313">
        <f t="shared" ca="1" si="251"/>
        <v>0</v>
      </c>
      <c r="R385" s="313">
        <f t="shared" ca="1" si="260"/>
        <v>0</v>
      </c>
      <c r="S385" s="1741">
        <f t="shared" ca="1" si="261"/>
        <v>0</v>
      </c>
      <c r="T385" s="313" t="str">
        <f ca="1">input!J753</f>
        <v>N</v>
      </c>
      <c r="V385" s="3115" t="str">
        <f>input!K753</f>
        <v>Packaging</v>
      </c>
      <c r="W385" s="3115">
        <f t="shared" ca="1" si="262"/>
        <v>0</v>
      </c>
      <c r="X385" s="3119">
        <f>VLOOKUP(V385,'Fix Cost'!$K$177:$M$179,2,0)</f>
        <v>58449.923860467366</v>
      </c>
      <c r="Y385" s="3119">
        <f>VLOOKUP(V385,'Fix Cost'!$K$177:$M$179,3,0)</f>
        <v>267411.04680782068</v>
      </c>
      <c r="Z385" s="3119">
        <f t="shared" ca="1" si="263"/>
        <v>0</v>
      </c>
      <c r="AA385" s="3115">
        <f t="shared" ca="1" si="264"/>
        <v>0</v>
      </c>
      <c r="AB385" s="3115">
        <f t="shared" ca="1" si="265"/>
        <v>0</v>
      </c>
      <c r="AK385" s="313"/>
      <c r="AL385" s="313"/>
      <c r="AM385" s="313"/>
      <c r="AO385" s="1055"/>
      <c r="AP385" s="385"/>
      <c r="AQ385" s="385"/>
      <c r="AR385" s="1048"/>
      <c r="AS385" s="385"/>
      <c r="AT385" s="879">
        <f t="shared" ca="1" si="235"/>
        <v>0</v>
      </c>
      <c r="AU385" s="879">
        <f ca="1">COUNTIFS(AT$7:$AT385,1)</f>
        <v>5</v>
      </c>
    </row>
    <row r="386" spans="2:47" ht="14.25" hidden="1" customHeight="1" outlineLevel="1">
      <c r="B386" s="1738" t="s">
        <v>29</v>
      </c>
      <c r="C386" s="313" t="str">
        <f>input!C754</f>
        <v>Emboss (NIKKO 1050FH)</v>
      </c>
      <c r="D386" s="313">
        <f>input!D754</f>
        <v>204</v>
      </c>
      <c r="E386" s="363"/>
      <c r="F386" s="363" t="str">
        <f ca="1">input!F754</f>
        <v>N</v>
      </c>
      <c r="G386" s="363"/>
      <c r="H386" s="313">
        <f ca="1">IF(F386="PCS",$E$4,SUMIFS(Paper!$AC$7:$AC$58,Paper!$A$7:$A$58,'Production cost'!F386))</f>
        <v>0</v>
      </c>
      <c r="I386" s="313">
        <f ca="1">IF(input!$G754&gt;0,input!$G754,IF($C386=Data!$L$1158,500,3000))</f>
        <v>3000</v>
      </c>
      <c r="J386" s="313" t="str">
        <f>input!$H754</f>
        <v>Sheets</v>
      </c>
      <c r="K386" s="360">
        <f>IF($C386=Data!$L$1158,0,1/4)</f>
        <v>0.25</v>
      </c>
      <c r="L386" s="313">
        <f ca="1">IF(input!$I754&gt;0,input!$I754,2)</f>
        <v>2</v>
      </c>
      <c r="M386" s="391">
        <f ca="1">IF(H386&gt;0,SUMIF(Data!$L$1155:$L$1190,'Production cost'!$C386,Data!$Q$1155:$Q$1190)*SUMIF(Paper!$A$7:$A$70,'Production cost'!$F386,Paper!$J$7:$J$70),0)</f>
        <v>0</v>
      </c>
      <c r="N386" s="391">
        <f t="shared" ca="1" si="259"/>
        <v>0</v>
      </c>
      <c r="O386" s="313">
        <f>IF($C386=Data!$L$1158,0,Data!$N$1195)</f>
        <v>352574.32240985788</v>
      </c>
      <c r="P386" s="313">
        <f>SUMIF(Data!$L$1155:$L$1190,'Production cost'!$C386,Data!$N$1155:$N$1190)</f>
        <v>64593.240854333337</v>
      </c>
      <c r="Q386" s="313">
        <f t="shared" ca="1" si="251"/>
        <v>0</v>
      </c>
      <c r="R386" s="313">
        <f t="shared" ca="1" si="260"/>
        <v>0</v>
      </c>
      <c r="S386" s="1741">
        <f t="shared" ca="1" si="261"/>
        <v>0</v>
      </c>
      <c r="T386" s="313" t="str">
        <f ca="1">input!J754</f>
        <v>N</v>
      </c>
      <c r="V386" s="3115" t="str">
        <f>input!K754</f>
        <v>Packaging</v>
      </c>
      <c r="W386" s="3115">
        <f t="shared" ca="1" si="262"/>
        <v>0</v>
      </c>
      <c r="X386" s="3119">
        <f>VLOOKUP(V386,'Fix Cost'!$K$177:$M$179,2,0)</f>
        <v>58449.923860467366</v>
      </c>
      <c r="Y386" s="3119">
        <f>VLOOKUP(V386,'Fix Cost'!$K$177:$M$179,3,0)</f>
        <v>267411.04680782068</v>
      </c>
      <c r="Z386" s="3119">
        <f t="shared" ca="1" si="263"/>
        <v>0</v>
      </c>
      <c r="AA386" s="3115">
        <f t="shared" ca="1" si="264"/>
        <v>0</v>
      </c>
      <c r="AB386" s="3115">
        <f t="shared" ca="1" si="265"/>
        <v>0</v>
      </c>
      <c r="AK386" s="313"/>
      <c r="AL386" s="313"/>
      <c r="AM386" s="313"/>
      <c r="AO386" s="1055"/>
      <c r="AP386" s="385"/>
      <c r="AQ386" s="385"/>
      <c r="AR386" s="1048"/>
      <c r="AS386" s="385"/>
      <c r="AT386" s="879">
        <f t="shared" ca="1" si="235"/>
        <v>0</v>
      </c>
      <c r="AU386" s="879">
        <f ca="1">COUNTIFS(AT$7:$AT386,1)</f>
        <v>5</v>
      </c>
    </row>
    <row r="387" spans="2:47" ht="14.25" hidden="1" customHeight="1" outlineLevel="1">
      <c r="B387" s="1738" t="s">
        <v>29</v>
      </c>
      <c r="C387" s="313" t="str">
        <f>input!C755</f>
        <v>Emboss (NIKKO 1050FH)</v>
      </c>
      <c r="D387" s="313">
        <f>input!D755</f>
        <v>221</v>
      </c>
      <c r="E387" s="363"/>
      <c r="F387" s="363" t="str">
        <f ca="1">input!F755</f>
        <v>N</v>
      </c>
      <c r="G387" s="363"/>
      <c r="H387" s="313">
        <f ca="1">IF(F387="PCS",$E$4,SUMIFS(Paper!$AC$7:$AC$58,Paper!$A$7:$A$58,'Production cost'!F387))</f>
        <v>0</v>
      </c>
      <c r="I387" s="313">
        <f ca="1">IF(input!$G755&gt;0,input!$G755,IF($C387=Data!$L$1158,500,3000))</f>
        <v>3000</v>
      </c>
      <c r="J387" s="313" t="str">
        <f>input!$H755</f>
        <v>Sheets</v>
      </c>
      <c r="K387" s="360">
        <f>IF($C387=Data!$L$1158,0,1/4)</f>
        <v>0.25</v>
      </c>
      <c r="L387" s="313">
        <f ca="1">IF(input!$I755&gt;0,input!$I755,2)</f>
        <v>2</v>
      </c>
      <c r="M387" s="391">
        <f ca="1">IF(H387&gt;0,SUMIF(Data!$L$1155:$L$1190,'Production cost'!$C387,Data!$Q$1155:$Q$1190)*SUMIF(Paper!$A$7:$A$70,'Production cost'!$F387,Paper!$J$7:$J$70),0)</f>
        <v>0</v>
      </c>
      <c r="N387" s="391">
        <f t="shared" ca="1" si="259"/>
        <v>0</v>
      </c>
      <c r="O387" s="313">
        <f>IF($C387=Data!$L$1158,0,Data!$N$1195)</f>
        <v>352574.32240985788</v>
      </c>
      <c r="P387" s="313">
        <f>SUMIF(Data!$L$1155:$L$1190,'Production cost'!$C387,Data!$N$1155:$N$1190)</f>
        <v>64593.240854333337</v>
      </c>
      <c r="Q387" s="313">
        <f t="shared" ca="1" si="251"/>
        <v>0</v>
      </c>
      <c r="R387" s="313">
        <f t="shared" ca="1" si="260"/>
        <v>0</v>
      </c>
      <c r="S387" s="1741">
        <f t="shared" ca="1" si="261"/>
        <v>0</v>
      </c>
      <c r="T387" s="313" t="str">
        <f ca="1">input!J755</f>
        <v>N</v>
      </c>
      <c r="V387" s="3115" t="str">
        <f>input!K755</f>
        <v>Packaging</v>
      </c>
      <c r="W387" s="3115">
        <f t="shared" ca="1" si="262"/>
        <v>0</v>
      </c>
      <c r="X387" s="3119">
        <f>VLOOKUP(V387,'Fix Cost'!$K$177:$M$179,2,0)</f>
        <v>58449.923860467366</v>
      </c>
      <c r="Y387" s="3119">
        <f>VLOOKUP(V387,'Fix Cost'!$K$177:$M$179,3,0)</f>
        <v>267411.04680782068</v>
      </c>
      <c r="Z387" s="3119">
        <f t="shared" ca="1" si="263"/>
        <v>0</v>
      </c>
      <c r="AA387" s="3115">
        <f t="shared" ca="1" si="264"/>
        <v>0</v>
      </c>
      <c r="AB387" s="3115">
        <f t="shared" ca="1" si="265"/>
        <v>0</v>
      </c>
      <c r="AK387" s="313"/>
      <c r="AL387" s="313"/>
      <c r="AM387" s="313"/>
      <c r="AO387" s="1055"/>
      <c r="AP387" s="385"/>
      <c r="AQ387" s="385"/>
      <c r="AR387" s="1048"/>
      <c r="AS387" s="385"/>
      <c r="AT387" s="879">
        <f t="shared" ca="1" si="235"/>
        <v>0</v>
      </c>
      <c r="AU387" s="879">
        <f ca="1">COUNTIFS(AT$7:$AT387,1)</f>
        <v>5</v>
      </c>
    </row>
    <row r="388" spans="2:47" ht="14.25" hidden="1" customHeight="1" outlineLevel="1">
      <c r="B388" s="1738" t="s">
        <v>29</v>
      </c>
      <c r="C388" s="313" t="str">
        <f>input!C756</f>
        <v>Emboss (NIKKO 1050FH)</v>
      </c>
      <c r="D388" s="313">
        <f>input!D756</f>
        <v>238</v>
      </c>
      <c r="E388" s="363"/>
      <c r="F388" s="363" t="str">
        <f ca="1">input!F756</f>
        <v>N</v>
      </c>
      <c r="G388" s="363"/>
      <c r="H388" s="313">
        <f ca="1">IF(F388="PCS",$E$4,SUMIFS(Paper!$AC$7:$AC$58,Paper!$A$7:$A$58,'Production cost'!F388))</f>
        <v>0</v>
      </c>
      <c r="I388" s="313">
        <f ca="1">IF(input!$G756&gt;0,input!$G756,IF($C388=Data!$L$1158,500,3000))</f>
        <v>3000</v>
      </c>
      <c r="J388" s="313" t="str">
        <f>input!$H756</f>
        <v>Sheets</v>
      </c>
      <c r="K388" s="360">
        <f>IF($C388=Data!$L$1158,0,1/4)</f>
        <v>0.25</v>
      </c>
      <c r="L388" s="313">
        <f ca="1">IF(input!$I756&gt;0,input!$I756,2)</f>
        <v>2</v>
      </c>
      <c r="M388" s="391">
        <f ca="1">IF(H388&gt;0,SUMIF(Data!$L$1155:$L$1190,'Production cost'!$C388,Data!$Q$1155:$Q$1190)*SUMIF(Paper!$A$7:$A$70,'Production cost'!$F388,Paper!$J$7:$J$70),0)</f>
        <v>0</v>
      </c>
      <c r="N388" s="391">
        <f t="shared" ca="1" si="259"/>
        <v>0</v>
      </c>
      <c r="O388" s="313">
        <f>IF($C388=Data!$L$1158,0,Data!$N$1195)</f>
        <v>352574.32240985788</v>
      </c>
      <c r="P388" s="313">
        <f>SUMIF(Data!$L$1155:$L$1190,'Production cost'!$C388,Data!$N$1155:$N$1190)</f>
        <v>64593.240854333337</v>
      </c>
      <c r="Q388" s="313">
        <f t="shared" ca="1" si="251"/>
        <v>0</v>
      </c>
      <c r="R388" s="313">
        <f t="shared" ca="1" si="260"/>
        <v>0</v>
      </c>
      <c r="S388" s="1741">
        <f t="shared" ca="1" si="261"/>
        <v>0</v>
      </c>
      <c r="T388" s="313" t="str">
        <f ca="1">input!J756</f>
        <v>N</v>
      </c>
      <c r="V388" s="3115" t="str">
        <f>input!K756</f>
        <v>Packaging</v>
      </c>
      <c r="W388" s="3115">
        <f t="shared" ca="1" si="262"/>
        <v>0</v>
      </c>
      <c r="X388" s="3119">
        <f>VLOOKUP(V388,'Fix Cost'!$K$177:$M$179,2,0)</f>
        <v>58449.923860467366</v>
      </c>
      <c r="Y388" s="3119">
        <f>VLOOKUP(V388,'Fix Cost'!$K$177:$M$179,3,0)</f>
        <v>267411.04680782068</v>
      </c>
      <c r="Z388" s="3119">
        <f t="shared" ca="1" si="263"/>
        <v>0</v>
      </c>
      <c r="AA388" s="3115">
        <f t="shared" ca="1" si="264"/>
        <v>0</v>
      </c>
      <c r="AB388" s="3115">
        <f t="shared" ca="1" si="265"/>
        <v>0</v>
      </c>
      <c r="AK388" s="313"/>
      <c r="AL388" s="313"/>
      <c r="AM388" s="313"/>
      <c r="AO388" s="1055"/>
      <c r="AP388" s="385"/>
      <c r="AQ388" s="385"/>
      <c r="AR388" s="1048"/>
      <c r="AS388" s="385"/>
      <c r="AT388" s="879">
        <f t="shared" ca="1" si="235"/>
        <v>0</v>
      </c>
      <c r="AU388" s="879">
        <f ca="1">COUNTIFS(AT$7:$AT388,1)</f>
        <v>5</v>
      </c>
    </row>
    <row r="389" spans="2:47" ht="14.25" hidden="1" customHeight="1" outlineLevel="1">
      <c r="B389" s="1738" t="s">
        <v>29</v>
      </c>
      <c r="C389" s="313" t="str">
        <f>input!C757</f>
        <v>Emboss (NIKKO 1050FH)</v>
      </c>
      <c r="D389" s="313">
        <f>input!D757</f>
        <v>0</v>
      </c>
      <c r="E389" s="363"/>
      <c r="F389" s="363" t="str">
        <f ca="1">input!F757</f>
        <v>N</v>
      </c>
      <c r="G389" s="363"/>
      <c r="H389" s="313">
        <f ca="1">IF(F389="PCS",$E$4,SUMIFS(Paper!$AC$7:$AC$58,Paper!$A$7:$A$58,'Production cost'!F389))</f>
        <v>0</v>
      </c>
      <c r="I389" s="313">
        <f ca="1">IF(input!$G757&gt;0,input!$G757,IF($C389=Data!$L$1158,500,3000))</f>
        <v>3000</v>
      </c>
      <c r="J389" s="313" t="str">
        <f>input!$H757</f>
        <v>Sheets</v>
      </c>
      <c r="K389" s="360">
        <f>IF($C389=Data!$L$1158,0,1/4)</f>
        <v>0.25</v>
      </c>
      <c r="L389" s="313">
        <f ca="1">IF(input!$I757&gt;0,input!$I757,2)</f>
        <v>2</v>
      </c>
      <c r="M389" s="391">
        <f ca="1">IF(H389&gt;0,SUMIF(Data!$L$1155:$L$1190,'Production cost'!$C389,Data!$Q$1155:$Q$1190)*SUMIF(Paper!$A$7:$A$70,'Production cost'!$F389,Paper!$J$7:$J$70),0)</f>
        <v>0</v>
      </c>
      <c r="N389" s="391">
        <f t="shared" ca="1" si="252"/>
        <v>0</v>
      </c>
      <c r="O389" s="313">
        <f>IF($C389=Data!$L$1158,0,Data!$N$1195)</f>
        <v>352574.32240985788</v>
      </c>
      <c r="P389" s="313">
        <f>SUMIF(Data!$L$1155:$L$1190,'Production cost'!$C389,Data!$N$1155:$N$1190)</f>
        <v>64593.240854333337</v>
      </c>
      <c r="Q389" s="313">
        <f t="shared" ca="1" si="251"/>
        <v>0</v>
      </c>
      <c r="R389" s="313">
        <f t="shared" ca="1" si="253"/>
        <v>0</v>
      </c>
      <c r="S389" s="1741">
        <f t="shared" ca="1" si="254"/>
        <v>0</v>
      </c>
      <c r="T389" s="313" t="str">
        <f ca="1">input!J757</f>
        <v>N</v>
      </c>
      <c r="V389" s="3115" t="str">
        <f>input!K757</f>
        <v>Packaging</v>
      </c>
      <c r="W389" s="3115">
        <f t="shared" ca="1" si="255"/>
        <v>0</v>
      </c>
      <c r="X389" s="3119">
        <f>VLOOKUP(V389,'Fix Cost'!$K$177:$M$179,2,0)</f>
        <v>58449.923860467366</v>
      </c>
      <c r="Y389" s="3119">
        <f>VLOOKUP(V389,'Fix Cost'!$K$177:$M$179,3,0)</f>
        <v>267411.04680782068</v>
      </c>
      <c r="Z389" s="3119">
        <f t="shared" ca="1" si="256"/>
        <v>0</v>
      </c>
      <c r="AA389" s="3115">
        <f t="shared" ca="1" si="257"/>
        <v>0</v>
      </c>
      <c r="AB389" s="3115">
        <f t="shared" ca="1" si="258"/>
        <v>0</v>
      </c>
      <c r="AK389" s="313"/>
      <c r="AL389" s="313"/>
      <c r="AM389" s="313"/>
      <c r="AO389" s="1055"/>
      <c r="AP389" s="385"/>
      <c r="AQ389" s="385"/>
      <c r="AR389" s="1048"/>
      <c r="AS389" s="385"/>
      <c r="AT389" s="879">
        <f t="shared" ca="1" si="235"/>
        <v>0</v>
      </c>
      <c r="AU389" s="879">
        <f ca="1">COUNTIFS(AT$7:$AT389,1)</f>
        <v>5</v>
      </c>
    </row>
    <row r="390" spans="2:47" ht="14.25" hidden="1" customHeight="1" outlineLevel="1">
      <c r="B390" s="1738" t="s">
        <v>29</v>
      </c>
      <c r="C390" s="313" t="str">
        <f>input!C758</f>
        <v>Emboss (NIKKO 1050FH)</v>
      </c>
      <c r="D390" s="313">
        <f>input!D758</f>
        <v>17</v>
      </c>
      <c r="E390" s="363"/>
      <c r="F390" s="363" t="str">
        <f ca="1">input!F758</f>
        <v>N</v>
      </c>
      <c r="G390" s="363"/>
      <c r="H390" s="313">
        <f ca="1">IF(F390="PCS",$E$4,SUMIFS(Paper!$AC$7:$AC$58,Paper!$A$7:$A$58,'Production cost'!F390))</f>
        <v>0</v>
      </c>
      <c r="I390" s="313">
        <f ca="1">IF(input!$G758&gt;0,input!$G758,IF($C390=Data!$L$1158,500,3000))</f>
        <v>3000</v>
      </c>
      <c r="J390" s="313" t="str">
        <f>input!$H758</f>
        <v>Sheets</v>
      </c>
      <c r="K390" s="360">
        <f>IF($C390=Data!$L$1158,0,1/4)</f>
        <v>0.25</v>
      </c>
      <c r="L390" s="313">
        <f ca="1">IF(input!$I758&gt;0,input!$I758,2)</f>
        <v>2</v>
      </c>
      <c r="M390" s="391">
        <f ca="1">IF(H390&gt;0,SUMIF(Data!$L$1155:$L$1190,'Production cost'!$C390,Data!$Q$1155:$Q$1190)*SUMIF(Paper!$A$7:$A$70,'Production cost'!$F390,Paper!$J$7:$J$70),0)</f>
        <v>0</v>
      </c>
      <c r="N390" s="391">
        <f t="shared" ref="N390:N393" ca="1" si="266">IF(H390&gt;0,ROUNDUP(((H390/I390)/$M$5+M390),1),0)</f>
        <v>0</v>
      </c>
      <c r="O390" s="313">
        <f>IF($C390=Data!$L$1158,0,Data!$N$1195)</f>
        <v>352574.32240985788</v>
      </c>
      <c r="P390" s="313">
        <f>SUMIF(Data!$L$1155:$L$1190,'Production cost'!$C390,Data!$N$1155:$N$1190)</f>
        <v>64593.240854333337</v>
      </c>
      <c r="Q390" s="313">
        <f t="shared" ca="1" si="251"/>
        <v>0</v>
      </c>
      <c r="R390" s="313">
        <f t="shared" ref="R390:R393" ca="1" si="267">IF($E$2&gt;0,Q390/$E$2,0)</f>
        <v>0</v>
      </c>
      <c r="S390" s="1741">
        <f t="shared" ref="S390:S393" ca="1" si="268">IF(M390&gt;0,K390*O390+L390*P390,0)</f>
        <v>0</v>
      </c>
      <c r="T390" s="313" t="str">
        <f ca="1">input!J758</f>
        <v>N</v>
      </c>
      <c r="V390" s="3115" t="str">
        <f>input!K758</f>
        <v>Packaging</v>
      </c>
      <c r="W390" s="3115">
        <f t="shared" ref="W390:W393" ca="1" si="269">N390*(L390+K390)</f>
        <v>0</v>
      </c>
      <c r="X390" s="3119">
        <f>VLOOKUP(V390,'Fix Cost'!$K$177:$M$179,2,0)</f>
        <v>58449.923860467366</v>
      </c>
      <c r="Y390" s="3119">
        <f>VLOOKUP(V390,'Fix Cost'!$K$177:$M$179,3,0)</f>
        <v>267411.04680782068</v>
      </c>
      <c r="Z390" s="3119">
        <f t="shared" ref="Z390:Z393" ca="1" si="270">IFERROR($X390*W390,0)</f>
        <v>0</v>
      </c>
      <c r="AA390" s="3115">
        <f t="shared" ref="AA390:AA393" ca="1" si="271">IFERROR(Y390*N390,0)</f>
        <v>0</v>
      </c>
      <c r="AB390" s="3115">
        <f t="shared" ref="AB390:AB393" ca="1" si="272">Z390+AA390</f>
        <v>0</v>
      </c>
      <c r="AK390" s="313"/>
      <c r="AL390" s="313"/>
      <c r="AM390" s="313"/>
      <c r="AO390" s="1055"/>
      <c r="AP390" s="385"/>
      <c r="AQ390" s="385"/>
      <c r="AR390" s="1048"/>
      <c r="AS390" s="385"/>
      <c r="AT390" s="879">
        <f t="shared" ca="1" si="235"/>
        <v>0</v>
      </c>
      <c r="AU390" s="879">
        <f ca="1">COUNTIFS(AT$7:$AT390,1)</f>
        <v>5</v>
      </c>
    </row>
    <row r="391" spans="2:47" ht="14.25" hidden="1" customHeight="1" outlineLevel="1">
      <c r="B391" s="1738" t="s">
        <v>29</v>
      </c>
      <c r="C391" s="313" t="str">
        <f>input!C759</f>
        <v>Emboss (NIKKO 1050FH)</v>
      </c>
      <c r="D391" s="313">
        <f>input!D759</f>
        <v>34</v>
      </c>
      <c r="E391" s="363"/>
      <c r="F391" s="363" t="str">
        <f ca="1">input!F759</f>
        <v>N</v>
      </c>
      <c r="G391" s="363"/>
      <c r="H391" s="313">
        <f ca="1">IF(F391="PCS",$E$4,SUMIFS(Paper!$AC$7:$AC$58,Paper!$A$7:$A$58,'Production cost'!F391))</f>
        <v>0</v>
      </c>
      <c r="I391" s="313">
        <f ca="1">IF(input!$G759&gt;0,input!$G759,IF($C391=Data!$L$1158,500,3000))</f>
        <v>3000</v>
      </c>
      <c r="J391" s="313" t="str">
        <f>input!$H759</f>
        <v>Sheets</v>
      </c>
      <c r="K391" s="360">
        <f>IF($C391=Data!$L$1158,0,1/4)</f>
        <v>0.25</v>
      </c>
      <c r="L391" s="313">
        <f ca="1">IF(input!$I759&gt;0,input!$I759,2)</f>
        <v>2</v>
      </c>
      <c r="M391" s="391">
        <f ca="1">IF(H391&gt;0,SUMIF(Data!$L$1155:$L$1190,'Production cost'!$C391,Data!$Q$1155:$Q$1190)*SUMIF(Paper!$A$7:$A$70,'Production cost'!$F391,Paper!$J$7:$J$70),0)</f>
        <v>0</v>
      </c>
      <c r="N391" s="391">
        <f t="shared" ca="1" si="266"/>
        <v>0</v>
      </c>
      <c r="O391" s="313">
        <f>IF($C391=Data!$L$1158,0,Data!$N$1195)</f>
        <v>352574.32240985788</v>
      </c>
      <c r="P391" s="313">
        <f>SUMIF(Data!$L$1155:$L$1190,'Production cost'!$C391,Data!$N$1155:$N$1190)</f>
        <v>64593.240854333337</v>
      </c>
      <c r="Q391" s="313">
        <f t="shared" ca="1" si="251"/>
        <v>0</v>
      </c>
      <c r="R391" s="313">
        <f t="shared" ca="1" si="267"/>
        <v>0</v>
      </c>
      <c r="S391" s="1741">
        <f t="shared" ca="1" si="268"/>
        <v>0</v>
      </c>
      <c r="T391" s="313" t="str">
        <f ca="1">input!J759</f>
        <v>N</v>
      </c>
      <c r="V391" s="3115" t="str">
        <f>input!K759</f>
        <v>Packaging</v>
      </c>
      <c r="W391" s="3115">
        <f t="shared" ca="1" si="269"/>
        <v>0</v>
      </c>
      <c r="X391" s="3119">
        <f>VLOOKUP(V391,'Fix Cost'!$K$177:$M$179,2,0)</f>
        <v>58449.923860467366</v>
      </c>
      <c r="Y391" s="3119">
        <f>VLOOKUP(V391,'Fix Cost'!$K$177:$M$179,3,0)</f>
        <v>267411.04680782068</v>
      </c>
      <c r="Z391" s="3119">
        <f t="shared" ca="1" si="270"/>
        <v>0</v>
      </c>
      <c r="AA391" s="3115">
        <f t="shared" ca="1" si="271"/>
        <v>0</v>
      </c>
      <c r="AB391" s="3115">
        <f t="shared" ca="1" si="272"/>
        <v>0</v>
      </c>
      <c r="AK391" s="313"/>
      <c r="AL391" s="313"/>
      <c r="AM391" s="313"/>
      <c r="AO391" s="1055"/>
      <c r="AP391" s="385"/>
      <c r="AQ391" s="385"/>
      <c r="AR391" s="1048"/>
      <c r="AS391" s="385"/>
      <c r="AT391" s="879">
        <f t="shared" ca="1" si="235"/>
        <v>0</v>
      </c>
      <c r="AU391" s="879">
        <f ca="1">COUNTIFS(AT$7:$AT391,1)</f>
        <v>5</v>
      </c>
    </row>
    <row r="392" spans="2:47" ht="14.25" hidden="1" customHeight="1" outlineLevel="1">
      <c r="B392" s="1738" t="s">
        <v>29</v>
      </c>
      <c r="C392" s="313" t="str">
        <f>input!C760</f>
        <v>Emboss (NIKKO 1050FH)</v>
      </c>
      <c r="D392" s="313">
        <f>input!D760</f>
        <v>51</v>
      </c>
      <c r="E392" s="363"/>
      <c r="F392" s="363" t="str">
        <f ca="1">input!F760</f>
        <v>N</v>
      </c>
      <c r="G392" s="363"/>
      <c r="H392" s="313">
        <f ca="1">IF(F392="PCS",$E$4,SUMIFS(Paper!$AC$7:$AC$58,Paper!$A$7:$A$58,'Production cost'!F392))</f>
        <v>0</v>
      </c>
      <c r="I392" s="313">
        <f ca="1">IF(input!$G760&gt;0,input!$G760,IF($C392=Data!$L$1158,500,3000))</f>
        <v>3000</v>
      </c>
      <c r="J392" s="313" t="str">
        <f>input!$H760</f>
        <v>Sheets</v>
      </c>
      <c r="K392" s="360">
        <f>IF($C392=Data!$L$1158,0,1/4)</f>
        <v>0.25</v>
      </c>
      <c r="L392" s="313">
        <f ca="1">IF(input!$I760&gt;0,input!$I760,2)</f>
        <v>2</v>
      </c>
      <c r="M392" s="391">
        <f ca="1">IF(H392&gt;0,SUMIF(Data!$L$1155:$L$1190,'Production cost'!$C392,Data!$Q$1155:$Q$1190)*SUMIF(Paper!$A$7:$A$70,'Production cost'!$F392,Paper!$J$7:$J$70),0)</f>
        <v>0</v>
      </c>
      <c r="N392" s="391">
        <f t="shared" ca="1" si="266"/>
        <v>0</v>
      </c>
      <c r="O392" s="313">
        <f>IF($C392=Data!$L$1158,0,Data!$N$1195)</f>
        <v>352574.32240985788</v>
      </c>
      <c r="P392" s="313">
        <f>SUMIF(Data!$L$1155:$L$1190,'Production cost'!$C392,Data!$N$1155:$N$1190)</f>
        <v>64593.240854333337</v>
      </c>
      <c r="Q392" s="313">
        <f t="shared" ca="1" si="251"/>
        <v>0</v>
      </c>
      <c r="R392" s="313">
        <f t="shared" ca="1" si="267"/>
        <v>0</v>
      </c>
      <c r="S392" s="1741">
        <f t="shared" ca="1" si="268"/>
        <v>0</v>
      </c>
      <c r="T392" s="313" t="str">
        <f ca="1">input!J760</f>
        <v>N</v>
      </c>
      <c r="V392" s="3115" t="str">
        <f>input!K760</f>
        <v>Packaging</v>
      </c>
      <c r="W392" s="3115">
        <f t="shared" ca="1" si="269"/>
        <v>0</v>
      </c>
      <c r="X392" s="3119">
        <f>VLOOKUP(V392,'Fix Cost'!$K$177:$M$179,2,0)</f>
        <v>58449.923860467366</v>
      </c>
      <c r="Y392" s="3119">
        <f>VLOOKUP(V392,'Fix Cost'!$K$177:$M$179,3,0)</f>
        <v>267411.04680782068</v>
      </c>
      <c r="Z392" s="3119">
        <f t="shared" ca="1" si="270"/>
        <v>0</v>
      </c>
      <c r="AA392" s="3115">
        <f t="shared" ca="1" si="271"/>
        <v>0</v>
      </c>
      <c r="AB392" s="3115">
        <f t="shared" ca="1" si="272"/>
        <v>0</v>
      </c>
      <c r="AK392" s="313"/>
      <c r="AL392" s="313"/>
      <c r="AM392" s="313"/>
      <c r="AO392" s="1055"/>
      <c r="AP392" s="385"/>
      <c r="AQ392" s="385"/>
      <c r="AR392" s="1048"/>
      <c r="AS392" s="385"/>
      <c r="AT392" s="879">
        <f t="shared" ca="1" si="235"/>
        <v>0</v>
      </c>
      <c r="AU392" s="879">
        <f ca="1">COUNTIFS(AT$7:$AT392,1)</f>
        <v>5</v>
      </c>
    </row>
    <row r="393" spans="2:47" ht="14.25" hidden="1" customHeight="1" outlineLevel="1">
      <c r="B393" s="1738" t="s">
        <v>29</v>
      </c>
      <c r="C393" s="313" t="str">
        <f>input!C761</f>
        <v>Emboss (NIKKO 1050FH)</v>
      </c>
      <c r="D393" s="313">
        <f>input!D761</f>
        <v>68</v>
      </c>
      <c r="E393" s="363"/>
      <c r="F393" s="363" t="str">
        <f ca="1">input!F761</f>
        <v>N</v>
      </c>
      <c r="G393" s="363"/>
      <c r="H393" s="313">
        <f ca="1">IF(F393="PCS",$E$4,SUMIFS(Paper!$AC$7:$AC$58,Paper!$A$7:$A$58,'Production cost'!F393))</f>
        <v>0</v>
      </c>
      <c r="I393" s="313">
        <f ca="1">IF(input!$G761&gt;0,input!$G761,IF($C393=Data!$L$1158,500,3000))</f>
        <v>3000</v>
      </c>
      <c r="J393" s="313" t="str">
        <f>input!$H761</f>
        <v>Sheets</v>
      </c>
      <c r="K393" s="360">
        <f>IF($C393=Data!$L$1158,0,1/4)</f>
        <v>0.25</v>
      </c>
      <c r="L393" s="313">
        <f ca="1">IF(input!$I761&gt;0,input!$I761,2)</f>
        <v>2</v>
      </c>
      <c r="M393" s="391">
        <f ca="1">IF(H393&gt;0,SUMIF(Data!$L$1155:$L$1190,'Production cost'!$C393,Data!$Q$1155:$Q$1190)*SUMIF(Paper!$A$7:$A$70,'Production cost'!$F393,Paper!$J$7:$J$70),0)</f>
        <v>0</v>
      </c>
      <c r="N393" s="391">
        <f t="shared" ca="1" si="266"/>
        <v>0</v>
      </c>
      <c r="O393" s="313">
        <f>IF($C393=Data!$L$1158,0,Data!$N$1195)</f>
        <v>352574.32240985788</v>
      </c>
      <c r="P393" s="313">
        <f>SUMIF(Data!$L$1155:$L$1190,'Production cost'!$C393,Data!$N$1155:$N$1190)</f>
        <v>64593.240854333337</v>
      </c>
      <c r="Q393" s="313">
        <f t="shared" ca="1" si="251"/>
        <v>0</v>
      </c>
      <c r="R393" s="313">
        <f t="shared" ca="1" si="267"/>
        <v>0</v>
      </c>
      <c r="S393" s="1741">
        <f t="shared" ca="1" si="268"/>
        <v>0</v>
      </c>
      <c r="T393" s="313" t="str">
        <f ca="1">input!J761</f>
        <v>N</v>
      </c>
      <c r="V393" s="3115" t="str">
        <f>input!K761</f>
        <v>Packaging</v>
      </c>
      <c r="W393" s="3115">
        <f t="shared" ca="1" si="269"/>
        <v>0</v>
      </c>
      <c r="X393" s="3119">
        <f>VLOOKUP(V393,'Fix Cost'!$K$177:$M$179,2,0)</f>
        <v>58449.923860467366</v>
      </c>
      <c r="Y393" s="3119">
        <f>VLOOKUP(V393,'Fix Cost'!$K$177:$M$179,3,0)</f>
        <v>267411.04680782068</v>
      </c>
      <c r="Z393" s="3119">
        <f t="shared" ca="1" si="270"/>
        <v>0</v>
      </c>
      <c r="AA393" s="3115">
        <f t="shared" ca="1" si="271"/>
        <v>0</v>
      </c>
      <c r="AB393" s="3115">
        <f t="shared" ca="1" si="272"/>
        <v>0</v>
      </c>
      <c r="AK393" s="313"/>
      <c r="AL393" s="313"/>
      <c r="AM393" s="313"/>
      <c r="AO393" s="1055"/>
      <c r="AP393" s="385"/>
      <c r="AQ393" s="385"/>
      <c r="AR393" s="1048"/>
      <c r="AS393" s="385"/>
      <c r="AT393" s="879">
        <f t="shared" ca="1" si="235"/>
        <v>0</v>
      </c>
      <c r="AU393" s="879">
        <f ca="1">COUNTIFS(AT$7:$AT393,1)</f>
        <v>5</v>
      </c>
    </row>
    <row r="394" spans="2:47" ht="14.25" hidden="1" customHeight="1" outlineLevel="1">
      <c r="B394" s="1738" t="s">
        <v>29</v>
      </c>
      <c r="C394" s="313" t="str">
        <f>input!C762</f>
        <v>Emboss (NIKKO 1050FH)</v>
      </c>
      <c r="D394" s="313">
        <f>input!D762</f>
        <v>85</v>
      </c>
      <c r="E394" s="363"/>
      <c r="F394" s="363" t="str">
        <f ca="1">input!F762</f>
        <v>N</v>
      </c>
      <c r="G394" s="363"/>
      <c r="H394" s="313">
        <f ca="1">IF(F394="PCS",$E$4,SUMIFS(Paper!$AC$7:$AC$58,Paper!$A$7:$A$58,'Production cost'!F394))</f>
        <v>0</v>
      </c>
      <c r="I394" s="313">
        <f ca="1">IF(input!$G762&gt;0,input!$G762,IF($C394=Data!$L$1158,500,3000))</f>
        <v>3000</v>
      </c>
      <c r="J394" s="313" t="str">
        <f>input!$H762</f>
        <v>Sheets</v>
      </c>
      <c r="K394" s="360">
        <f>IF($C394=Data!$L$1158,0,1/4)</f>
        <v>0.25</v>
      </c>
      <c r="L394" s="313">
        <f ca="1">IF(input!$I762&gt;0,input!$I762,2)</f>
        <v>2</v>
      </c>
      <c r="M394" s="391">
        <f ca="1">IF(H394&gt;0,SUMIF(Data!$L$1155:$L$1190,'Production cost'!$C394,Data!$Q$1155:$Q$1190)*SUMIF(Paper!$A$7:$A$70,'Production cost'!$F394,Paper!$J$7:$J$70),0)</f>
        <v>0</v>
      </c>
      <c r="N394" s="391">
        <f t="shared" ref="N394:N419" ca="1" si="273">IF(H394&gt;0,ROUNDUP(((H394/I394)/$M$5+M394),1),0)</f>
        <v>0</v>
      </c>
      <c r="O394" s="313">
        <f>IF($C394=Data!$L$1158,0,Data!$N$1195)</f>
        <v>352574.32240985788</v>
      </c>
      <c r="P394" s="313">
        <f>SUMIF(Data!$L$1155:$L$1190,'Production cost'!$C394,Data!$N$1155:$N$1190)</f>
        <v>64593.240854333337</v>
      </c>
      <c r="Q394" s="313">
        <f t="shared" ca="1" si="251"/>
        <v>0</v>
      </c>
      <c r="R394" s="313">
        <f t="shared" ref="R394:R419" ca="1" si="274">IF($E$2&gt;0,Q394/$E$2,0)</f>
        <v>0</v>
      </c>
      <c r="S394" s="1741">
        <f t="shared" ref="S394:S419" ca="1" si="275">IF(M394&gt;0,K394*O394+L394*P394,0)</f>
        <v>0</v>
      </c>
      <c r="T394" s="313" t="str">
        <f ca="1">input!J762</f>
        <v>N</v>
      </c>
      <c r="V394" s="3115" t="str">
        <f>input!K762</f>
        <v>Packaging</v>
      </c>
      <c r="W394" s="3115">
        <f t="shared" ref="W394:W428" ca="1" si="276">N394*(L394+K394)</f>
        <v>0</v>
      </c>
      <c r="X394" s="3119">
        <f>VLOOKUP(V394,'Fix Cost'!$K$177:$M$179,2,0)</f>
        <v>58449.923860467366</v>
      </c>
      <c r="Y394" s="3119">
        <f>VLOOKUP(V394,'Fix Cost'!$K$177:$M$179,3,0)</f>
        <v>267411.04680782068</v>
      </c>
      <c r="Z394" s="3119">
        <f t="shared" ref="Z394:Z428" ca="1" si="277">IFERROR($X394*W394,0)</f>
        <v>0</v>
      </c>
      <c r="AA394" s="3115">
        <f t="shared" ref="AA394:AA428" ca="1" si="278">IFERROR(Y394*N394,0)</f>
        <v>0</v>
      </c>
      <c r="AB394" s="3115">
        <f t="shared" ref="AB394:AB428" ca="1" si="279">Z394+AA394</f>
        <v>0</v>
      </c>
      <c r="AK394" s="313"/>
      <c r="AL394" s="313"/>
      <c r="AM394" s="313"/>
      <c r="AO394" s="1055"/>
      <c r="AP394" s="385"/>
      <c r="AQ394" s="385"/>
      <c r="AR394" s="1048"/>
      <c r="AS394" s="385"/>
      <c r="AT394" s="879">
        <f t="shared" ca="1" si="235"/>
        <v>0</v>
      </c>
      <c r="AU394" s="879">
        <f ca="1">COUNTIFS(AT$7:$AT394,1)</f>
        <v>5</v>
      </c>
    </row>
    <row r="395" spans="2:47" ht="14.25" hidden="1" customHeight="1" outlineLevel="1">
      <c r="B395" s="1738" t="s">
        <v>29</v>
      </c>
      <c r="C395" s="313" t="str">
        <f>input!C763</f>
        <v>Emboss (NIKKO 1050FH)</v>
      </c>
      <c r="D395" s="313">
        <f>input!D763</f>
        <v>102</v>
      </c>
      <c r="E395" s="363"/>
      <c r="F395" s="363" t="str">
        <f ca="1">input!F763</f>
        <v>N</v>
      </c>
      <c r="G395" s="363"/>
      <c r="H395" s="313">
        <f ca="1">IF(F395="PCS",$E$4,SUMIFS(Paper!$AC$7:$AC$58,Paper!$A$7:$A$58,'Production cost'!F395))</f>
        <v>0</v>
      </c>
      <c r="I395" s="313">
        <f ca="1">IF(input!$G763&gt;0,input!$G763,IF($C395=Data!$L$1158,500,3000))</f>
        <v>3000</v>
      </c>
      <c r="J395" s="313" t="str">
        <f>input!$H763</f>
        <v>Sheets</v>
      </c>
      <c r="K395" s="360">
        <f>IF($C395=Data!$L$1158,0,1/4)</f>
        <v>0.25</v>
      </c>
      <c r="L395" s="313">
        <f ca="1">IF(input!$I763&gt;0,input!$I763,2)</f>
        <v>2</v>
      </c>
      <c r="M395" s="391">
        <f ca="1">IF(H395&gt;0,SUMIF(Data!$L$1155:$L$1190,'Production cost'!$C395,Data!$Q$1155:$Q$1190)*SUMIF(Paper!$A$7:$A$70,'Production cost'!$F395,Paper!$J$7:$J$70),0)</f>
        <v>0</v>
      </c>
      <c r="N395" s="391">
        <f t="shared" ca="1" si="273"/>
        <v>0</v>
      </c>
      <c r="O395" s="313">
        <f>IF($C395=Data!$L$1158,0,Data!$N$1195)</f>
        <v>352574.32240985788</v>
      </c>
      <c r="P395" s="313">
        <f>SUMIF(Data!$L$1155:$L$1190,'Production cost'!$C395,Data!$N$1155:$N$1190)</f>
        <v>64593.240854333337</v>
      </c>
      <c r="Q395" s="313">
        <f t="shared" ca="1" si="251"/>
        <v>0</v>
      </c>
      <c r="R395" s="313">
        <f t="shared" ca="1" si="274"/>
        <v>0</v>
      </c>
      <c r="S395" s="1741">
        <f t="shared" ca="1" si="275"/>
        <v>0</v>
      </c>
      <c r="T395" s="313" t="str">
        <f ca="1">input!J763</f>
        <v>N</v>
      </c>
      <c r="V395" s="3115" t="str">
        <f>input!K763</f>
        <v>Packaging</v>
      </c>
      <c r="W395" s="3115">
        <f t="shared" ca="1" si="276"/>
        <v>0</v>
      </c>
      <c r="X395" s="3119">
        <f>VLOOKUP(V395,'Fix Cost'!$K$177:$M$179,2,0)</f>
        <v>58449.923860467366</v>
      </c>
      <c r="Y395" s="3119">
        <f>VLOOKUP(V395,'Fix Cost'!$K$177:$M$179,3,0)</f>
        <v>267411.04680782068</v>
      </c>
      <c r="Z395" s="3119">
        <f t="shared" ca="1" si="277"/>
        <v>0</v>
      </c>
      <c r="AA395" s="3115">
        <f t="shared" ca="1" si="278"/>
        <v>0</v>
      </c>
      <c r="AB395" s="3115">
        <f t="shared" ca="1" si="279"/>
        <v>0</v>
      </c>
      <c r="AK395" s="313"/>
      <c r="AL395" s="313"/>
      <c r="AM395" s="313"/>
      <c r="AO395" s="1055"/>
      <c r="AP395" s="385"/>
      <c r="AQ395" s="385"/>
      <c r="AR395" s="1048"/>
      <c r="AS395" s="385"/>
      <c r="AT395" s="879">
        <f t="shared" ca="1" si="235"/>
        <v>0</v>
      </c>
      <c r="AU395" s="879">
        <f ca="1">COUNTIFS(AT$7:$AT395,1)</f>
        <v>5</v>
      </c>
    </row>
    <row r="396" spans="2:47" ht="14.25" hidden="1" customHeight="1" outlineLevel="1">
      <c r="B396" s="1738" t="s">
        <v>29</v>
      </c>
      <c r="C396" s="313" t="str">
        <f>input!C764</f>
        <v>Emboss (NIKKO 1050FH)</v>
      </c>
      <c r="D396" s="313">
        <f>input!D764</f>
        <v>119</v>
      </c>
      <c r="E396" s="363"/>
      <c r="F396" s="363" t="str">
        <f ca="1">input!F764</f>
        <v>N</v>
      </c>
      <c r="G396" s="363"/>
      <c r="H396" s="313">
        <f ca="1">IF(F396="PCS",$E$4,SUMIFS(Paper!$AC$7:$AC$58,Paper!$A$7:$A$58,'Production cost'!F396))</f>
        <v>0</v>
      </c>
      <c r="I396" s="313">
        <f ca="1">IF(input!$G764&gt;0,input!$G764,IF($C396=Data!$L$1158,500,3000))</f>
        <v>3000</v>
      </c>
      <c r="J396" s="313" t="str">
        <f>input!$H764</f>
        <v>Sheets</v>
      </c>
      <c r="K396" s="360">
        <f>IF($C396=Data!$L$1158,0,1/4)</f>
        <v>0.25</v>
      </c>
      <c r="L396" s="313">
        <f ca="1">IF(input!$I764&gt;0,input!$I764,2)</f>
        <v>2</v>
      </c>
      <c r="M396" s="391">
        <f ca="1">IF(H396&gt;0,SUMIF(Data!$L$1155:$L$1190,'Production cost'!$C396,Data!$Q$1155:$Q$1190)*SUMIF(Paper!$A$7:$A$70,'Production cost'!$F396,Paper!$J$7:$J$70),0)</f>
        <v>0</v>
      </c>
      <c r="N396" s="391">
        <f t="shared" ca="1" si="273"/>
        <v>0</v>
      </c>
      <c r="O396" s="313">
        <f>IF($C396=Data!$L$1158,0,Data!$N$1195)</f>
        <v>352574.32240985788</v>
      </c>
      <c r="P396" s="313">
        <f>SUMIF(Data!$L$1155:$L$1190,'Production cost'!$C396,Data!$N$1155:$N$1190)</f>
        <v>64593.240854333337</v>
      </c>
      <c r="Q396" s="313">
        <f t="shared" ca="1" si="251"/>
        <v>0</v>
      </c>
      <c r="R396" s="313">
        <f t="shared" ca="1" si="274"/>
        <v>0</v>
      </c>
      <c r="S396" s="1741">
        <f t="shared" ca="1" si="275"/>
        <v>0</v>
      </c>
      <c r="T396" s="313" t="str">
        <f ca="1">input!J764</f>
        <v>N</v>
      </c>
      <c r="V396" s="3115" t="str">
        <f>input!K764</f>
        <v>Packaging</v>
      </c>
      <c r="W396" s="3115">
        <f t="shared" ca="1" si="276"/>
        <v>0</v>
      </c>
      <c r="X396" s="3119">
        <f>VLOOKUP(V396,'Fix Cost'!$K$177:$M$179,2,0)</f>
        <v>58449.923860467366</v>
      </c>
      <c r="Y396" s="3119">
        <f>VLOOKUP(V396,'Fix Cost'!$K$177:$M$179,3,0)</f>
        <v>267411.04680782068</v>
      </c>
      <c r="Z396" s="3119">
        <f t="shared" ca="1" si="277"/>
        <v>0</v>
      </c>
      <c r="AA396" s="3115">
        <f t="shared" ca="1" si="278"/>
        <v>0</v>
      </c>
      <c r="AB396" s="3115">
        <f t="shared" ca="1" si="279"/>
        <v>0</v>
      </c>
      <c r="AK396" s="313"/>
      <c r="AL396" s="313"/>
      <c r="AM396" s="313"/>
      <c r="AO396" s="1055"/>
      <c r="AP396" s="385"/>
      <c r="AQ396" s="385"/>
      <c r="AR396" s="1048"/>
      <c r="AS396" s="385"/>
      <c r="AT396" s="879">
        <f t="shared" ca="1" si="235"/>
        <v>0</v>
      </c>
      <c r="AU396" s="879">
        <f ca="1">COUNTIFS(AT$7:$AT396,1)</f>
        <v>5</v>
      </c>
    </row>
    <row r="397" spans="2:47" ht="14.25" hidden="1" customHeight="1" outlineLevel="1">
      <c r="B397" s="1738" t="s">
        <v>29</v>
      </c>
      <c r="C397" s="313" t="str">
        <f>input!C765</f>
        <v>Emboss (NIKKO 1050FH)</v>
      </c>
      <c r="D397" s="313">
        <f>input!D765</f>
        <v>136</v>
      </c>
      <c r="E397" s="363"/>
      <c r="F397" s="363" t="str">
        <f ca="1">input!F765</f>
        <v>N</v>
      </c>
      <c r="G397" s="363"/>
      <c r="H397" s="313">
        <f ca="1">IF(F397="PCS",$E$4,SUMIFS(Paper!$AC$7:$AC$58,Paper!$A$7:$A$58,'Production cost'!F397))</f>
        <v>0</v>
      </c>
      <c r="I397" s="313">
        <f ca="1">IF(input!$G765&gt;0,input!$G765,IF($C397=Data!$L$1158,500,3000))</f>
        <v>3000</v>
      </c>
      <c r="J397" s="313" t="str">
        <f>input!$H765</f>
        <v>Sheets</v>
      </c>
      <c r="K397" s="360">
        <f>IF($C397=Data!$L$1158,0,1/4)</f>
        <v>0.25</v>
      </c>
      <c r="L397" s="313">
        <f ca="1">IF(input!$I765&gt;0,input!$I765,2)</f>
        <v>2</v>
      </c>
      <c r="M397" s="391">
        <f ca="1">IF(H397&gt;0,SUMIF(Data!$L$1155:$L$1190,'Production cost'!$C397,Data!$Q$1155:$Q$1190)*SUMIF(Paper!$A$7:$A$70,'Production cost'!$F397,Paper!$J$7:$J$70),0)</f>
        <v>0</v>
      </c>
      <c r="N397" s="391">
        <f t="shared" ca="1" si="273"/>
        <v>0</v>
      </c>
      <c r="O397" s="313">
        <f>IF($C397=Data!$L$1158,0,Data!$N$1195)</f>
        <v>352574.32240985788</v>
      </c>
      <c r="P397" s="313">
        <f>SUMIF(Data!$L$1155:$L$1190,'Production cost'!$C397,Data!$N$1155:$N$1190)</f>
        <v>64593.240854333337</v>
      </c>
      <c r="Q397" s="313">
        <f t="shared" ca="1" si="251"/>
        <v>0</v>
      </c>
      <c r="R397" s="313">
        <f t="shared" ca="1" si="274"/>
        <v>0</v>
      </c>
      <c r="S397" s="1741">
        <f t="shared" ca="1" si="275"/>
        <v>0</v>
      </c>
      <c r="T397" s="313" t="str">
        <f ca="1">input!J765</f>
        <v>N</v>
      </c>
      <c r="V397" s="3115" t="str">
        <f>input!K765</f>
        <v>Packaging</v>
      </c>
      <c r="W397" s="3115">
        <f t="shared" ca="1" si="276"/>
        <v>0</v>
      </c>
      <c r="X397" s="3119">
        <f>VLOOKUP(V397,'Fix Cost'!$K$177:$M$179,2,0)</f>
        <v>58449.923860467366</v>
      </c>
      <c r="Y397" s="3119">
        <f>VLOOKUP(V397,'Fix Cost'!$K$177:$M$179,3,0)</f>
        <v>267411.04680782068</v>
      </c>
      <c r="Z397" s="3119">
        <f t="shared" ca="1" si="277"/>
        <v>0</v>
      </c>
      <c r="AA397" s="3115">
        <f t="shared" ca="1" si="278"/>
        <v>0</v>
      </c>
      <c r="AB397" s="3115">
        <f t="shared" ca="1" si="279"/>
        <v>0</v>
      </c>
      <c r="AK397" s="313"/>
      <c r="AL397" s="313"/>
      <c r="AM397" s="313"/>
      <c r="AO397" s="1055"/>
      <c r="AP397" s="385"/>
      <c r="AQ397" s="385"/>
      <c r="AR397" s="1048"/>
      <c r="AS397" s="385"/>
      <c r="AT397" s="879">
        <f t="shared" ca="1" si="235"/>
        <v>0</v>
      </c>
      <c r="AU397" s="879">
        <f ca="1">COUNTIFS(AT$7:$AT397,1)</f>
        <v>5</v>
      </c>
    </row>
    <row r="398" spans="2:47" ht="14.25" hidden="1" customHeight="1" outlineLevel="1">
      <c r="B398" s="1738" t="s">
        <v>29</v>
      </c>
      <c r="C398" s="313" t="str">
        <f>input!C766</f>
        <v>Emboss (NIKKO 1050FH)</v>
      </c>
      <c r="D398" s="313">
        <f>input!D766</f>
        <v>153</v>
      </c>
      <c r="E398" s="363"/>
      <c r="F398" s="363" t="str">
        <f ca="1">input!F766</f>
        <v>N</v>
      </c>
      <c r="G398" s="363"/>
      <c r="H398" s="313">
        <f ca="1">IF(F398="PCS",$E$4,SUMIFS(Paper!$AC$7:$AC$58,Paper!$A$7:$A$58,'Production cost'!F398))</f>
        <v>0</v>
      </c>
      <c r="I398" s="313">
        <f ca="1">IF(input!$G766&gt;0,input!$G766,IF($C398=Data!$L$1158,500,3000))</f>
        <v>3000</v>
      </c>
      <c r="J398" s="313" t="str">
        <f>input!$H766</f>
        <v>Sheets</v>
      </c>
      <c r="K398" s="360">
        <f>IF($C398=Data!$L$1158,0,1/4)</f>
        <v>0.25</v>
      </c>
      <c r="L398" s="313">
        <f ca="1">IF(input!$I766&gt;0,input!$I766,2)</f>
        <v>2</v>
      </c>
      <c r="M398" s="391">
        <f ca="1">IF(H398&gt;0,SUMIF(Data!$L$1155:$L$1190,'Production cost'!$C398,Data!$Q$1155:$Q$1190)*SUMIF(Paper!$A$7:$A$70,'Production cost'!$F398,Paper!$J$7:$J$70),0)</f>
        <v>0</v>
      </c>
      <c r="N398" s="391">
        <f t="shared" ca="1" si="273"/>
        <v>0</v>
      </c>
      <c r="O398" s="313">
        <f>IF($C398=Data!$L$1158,0,Data!$N$1195)</f>
        <v>352574.32240985788</v>
      </c>
      <c r="P398" s="313">
        <f>SUMIF(Data!$L$1155:$L$1190,'Production cost'!$C398,Data!$N$1155:$N$1190)</f>
        <v>64593.240854333337</v>
      </c>
      <c r="Q398" s="313">
        <f t="shared" ca="1" si="251"/>
        <v>0</v>
      </c>
      <c r="R398" s="313">
        <f t="shared" ca="1" si="274"/>
        <v>0</v>
      </c>
      <c r="S398" s="1741">
        <f t="shared" ca="1" si="275"/>
        <v>0</v>
      </c>
      <c r="T398" s="313" t="str">
        <f ca="1">input!J766</f>
        <v>N</v>
      </c>
      <c r="V398" s="3115" t="str">
        <f>input!K766</f>
        <v>Packaging</v>
      </c>
      <c r="W398" s="3115">
        <f t="shared" ca="1" si="276"/>
        <v>0</v>
      </c>
      <c r="X398" s="3119">
        <f>VLOOKUP(V398,'Fix Cost'!$K$177:$M$179,2,0)</f>
        <v>58449.923860467366</v>
      </c>
      <c r="Y398" s="3119">
        <f>VLOOKUP(V398,'Fix Cost'!$K$177:$M$179,3,0)</f>
        <v>267411.04680782068</v>
      </c>
      <c r="Z398" s="3119">
        <f t="shared" ca="1" si="277"/>
        <v>0</v>
      </c>
      <c r="AA398" s="3115">
        <f t="shared" ca="1" si="278"/>
        <v>0</v>
      </c>
      <c r="AB398" s="3115">
        <f t="shared" ca="1" si="279"/>
        <v>0</v>
      </c>
      <c r="AK398" s="313"/>
      <c r="AL398" s="313"/>
      <c r="AM398" s="313"/>
      <c r="AO398" s="1055"/>
      <c r="AP398" s="385"/>
      <c r="AQ398" s="385"/>
      <c r="AR398" s="1048"/>
      <c r="AS398" s="385"/>
      <c r="AT398" s="879">
        <f t="shared" ca="1" si="235"/>
        <v>0</v>
      </c>
      <c r="AU398" s="879">
        <f ca="1">COUNTIFS(AT$7:$AT398,1)</f>
        <v>5</v>
      </c>
    </row>
    <row r="399" spans="2:47" ht="14.25" hidden="1" customHeight="1" outlineLevel="1">
      <c r="B399" s="1738" t="s">
        <v>29</v>
      </c>
      <c r="C399" s="313" t="str">
        <f>input!C767</f>
        <v>Emboss (NIKKO 1050FH)</v>
      </c>
      <c r="D399" s="313">
        <f>input!D767</f>
        <v>170</v>
      </c>
      <c r="E399" s="363"/>
      <c r="F399" s="363" t="str">
        <f ca="1">input!F767</f>
        <v>N</v>
      </c>
      <c r="G399" s="363"/>
      <c r="H399" s="313">
        <f ca="1">IF(F399="PCS",$E$4,SUMIFS(Paper!$AC$7:$AC$58,Paper!$A$7:$A$58,'Production cost'!F399))</f>
        <v>0</v>
      </c>
      <c r="I399" s="313">
        <f ca="1">IF(input!$G767&gt;0,input!$G767,IF($C399=Data!$L$1158,500,3000))</f>
        <v>3000</v>
      </c>
      <c r="J399" s="313" t="str">
        <f>input!$H767</f>
        <v>Sheets</v>
      </c>
      <c r="K399" s="360">
        <f>IF($C399=Data!$L$1158,0,1/4)</f>
        <v>0.25</v>
      </c>
      <c r="L399" s="313">
        <f ca="1">IF(input!$I767&gt;0,input!$I767,2)</f>
        <v>2</v>
      </c>
      <c r="M399" s="391">
        <f ca="1">IF(H399&gt;0,SUMIF(Data!$L$1155:$L$1190,'Production cost'!$C399,Data!$Q$1155:$Q$1190)*SUMIF(Paper!$A$7:$A$70,'Production cost'!$F399,Paper!$J$7:$J$70),0)</f>
        <v>0</v>
      </c>
      <c r="N399" s="391">
        <f t="shared" ref="N399:N403" ca="1" si="280">IF(H399&gt;0,ROUNDUP(((H399/I399)/$M$5+M399),1),0)</f>
        <v>0</v>
      </c>
      <c r="O399" s="313">
        <f>IF($C399=Data!$L$1158,0,Data!$N$1195)</f>
        <v>352574.32240985788</v>
      </c>
      <c r="P399" s="313">
        <f>SUMIF(Data!$L$1155:$L$1190,'Production cost'!$C399,Data!$N$1155:$N$1190)</f>
        <v>64593.240854333337</v>
      </c>
      <c r="Q399" s="313">
        <f t="shared" ca="1" si="251"/>
        <v>0</v>
      </c>
      <c r="R399" s="313">
        <f t="shared" ref="R399:R403" ca="1" si="281">IF($E$2&gt;0,Q399/$E$2,0)</f>
        <v>0</v>
      </c>
      <c r="S399" s="1741">
        <f t="shared" ref="S399:S403" ca="1" si="282">IF(M399&gt;0,K399*O399+L399*P399,0)</f>
        <v>0</v>
      </c>
      <c r="T399" s="313" t="str">
        <f ca="1">input!J767</f>
        <v>N</v>
      </c>
      <c r="V399" s="3115" t="str">
        <f>input!K767</f>
        <v>Packaging</v>
      </c>
      <c r="W399" s="3115">
        <f t="shared" ref="W399:W403" ca="1" si="283">N399*(L399+K399)</f>
        <v>0</v>
      </c>
      <c r="X399" s="3119">
        <f>VLOOKUP(V399,'Fix Cost'!$K$177:$M$179,2,0)</f>
        <v>58449.923860467366</v>
      </c>
      <c r="Y399" s="3119">
        <f>VLOOKUP(V399,'Fix Cost'!$K$177:$M$179,3,0)</f>
        <v>267411.04680782068</v>
      </c>
      <c r="Z399" s="3119">
        <f t="shared" ref="Z399:Z403" ca="1" si="284">IFERROR($X399*W399,0)</f>
        <v>0</v>
      </c>
      <c r="AA399" s="3115">
        <f t="shared" ref="AA399:AA403" ca="1" si="285">IFERROR(Y399*N399,0)</f>
        <v>0</v>
      </c>
      <c r="AB399" s="3115">
        <f t="shared" ref="AB399:AB403" ca="1" si="286">Z399+AA399</f>
        <v>0</v>
      </c>
      <c r="AK399" s="313"/>
      <c r="AL399" s="313"/>
      <c r="AM399" s="313"/>
      <c r="AO399" s="1055"/>
      <c r="AP399" s="385"/>
      <c r="AQ399" s="385"/>
      <c r="AR399" s="1048"/>
      <c r="AS399" s="385"/>
      <c r="AT399" s="879">
        <f t="shared" ca="1" si="235"/>
        <v>0</v>
      </c>
      <c r="AU399" s="879">
        <f ca="1">COUNTIFS(AT$7:$AT399,1)</f>
        <v>5</v>
      </c>
    </row>
    <row r="400" spans="2:47" ht="14.25" hidden="1" customHeight="1" outlineLevel="1">
      <c r="B400" s="1738" t="s">
        <v>29</v>
      </c>
      <c r="C400" s="313" t="str">
        <f>input!C768</f>
        <v>Emboss (NIKKO 1050FH)</v>
      </c>
      <c r="D400" s="313">
        <f>input!D768</f>
        <v>187</v>
      </c>
      <c r="E400" s="363"/>
      <c r="F400" s="363" t="str">
        <f ca="1">input!F768</f>
        <v>N</v>
      </c>
      <c r="G400" s="363"/>
      <c r="H400" s="313">
        <f ca="1">IF(F400="PCS",$E$4,SUMIFS(Paper!$AC$7:$AC$58,Paper!$A$7:$A$58,'Production cost'!F400))</f>
        <v>0</v>
      </c>
      <c r="I400" s="313">
        <f ca="1">IF(input!$G768&gt;0,input!$G768,IF($C400=Data!$L$1158,500,3000))</f>
        <v>3000</v>
      </c>
      <c r="J400" s="313" t="str">
        <f>input!$H768</f>
        <v>Sheets</v>
      </c>
      <c r="K400" s="360">
        <f>IF($C400=Data!$L$1158,0,1/4)</f>
        <v>0.25</v>
      </c>
      <c r="L400" s="313">
        <f ca="1">IF(input!$I768&gt;0,input!$I768,2)</f>
        <v>2</v>
      </c>
      <c r="M400" s="391">
        <f ca="1">IF(H400&gt;0,SUMIF(Data!$L$1155:$L$1190,'Production cost'!$C400,Data!$Q$1155:$Q$1190)*SUMIF(Paper!$A$7:$A$70,'Production cost'!$F400,Paper!$J$7:$J$70),0)</f>
        <v>0</v>
      </c>
      <c r="N400" s="391">
        <f t="shared" ca="1" si="280"/>
        <v>0</v>
      </c>
      <c r="O400" s="313">
        <f>IF($C400=Data!$L$1158,0,Data!$N$1195)</f>
        <v>352574.32240985788</v>
      </c>
      <c r="P400" s="313">
        <f>SUMIF(Data!$L$1155:$L$1190,'Production cost'!$C400,Data!$N$1155:$N$1190)</f>
        <v>64593.240854333337</v>
      </c>
      <c r="Q400" s="313">
        <f t="shared" ca="1" si="251"/>
        <v>0</v>
      </c>
      <c r="R400" s="313">
        <f t="shared" ca="1" si="281"/>
        <v>0</v>
      </c>
      <c r="S400" s="1741">
        <f t="shared" ca="1" si="282"/>
        <v>0</v>
      </c>
      <c r="T400" s="313" t="str">
        <f ca="1">input!J768</f>
        <v>N</v>
      </c>
      <c r="V400" s="3115" t="str">
        <f>input!K768</f>
        <v>Packaging</v>
      </c>
      <c r="W400" s="3115">
        <f t="shared" ca="1" si="283"/>
        <v>0</v>
      </c>
      <c r="X400" s="3119">
        <f>VLOOKUP(V400,'Fix Cost'!$K$177:$M$179,2,0)</f>
        <v>58449.923860467366</v>
      </c>
      <c r="Y400" s="3119">
        <f>VLOOKUP(V400,'Fix Cost'!$K$177:$M$179,3,0)</f>
        <v>267411.04680782068</v>
      </c>
      <c r="Z400" s="3119">
        <f t="shared" ca="1" si="284"/>
        <v>0</v>
      </c>
      <c r="AA400" s="3115">
        <f t="shared" ca="1" si="285"/>
        <v>0</v>
      </c>
      <c r="AB400" s="3115">
        <f t="shared" ca="1" si="286"/>
        <v>0</v>
      </c>
      <c r="AK400" s="313"/>
      <c r="AL400" s="313"/>
      <c r="AM400" s="313"/>
      <c r="AO400" s="1055"/>
      <c r="AP400" s="385"/>
      <c r="AQ400" s="385"/>
      <c r="AR400" s="1048"/>
      <c r="AS400" s="385"/>
      <c r="AT400" s="879">
        <f t="shared" ca="1" si="235"/>
        <v>0</v>
      </c>
      <c r="AU400" s="879">
        <f ca="1">COUNTIFS(AT$7:$AT400,1)</f>
        <v>5</v>
      </c>
    </row>
    <row r="401" spans="2:47" ht="14.25" hidden="1" customHeight="1" outlineLevel="1">
      <c r="B401" s="1738" t="s">
        <v>29</v>
      </c>
      <c r="C401" s="313" t="str">
        <f>input!C769</f>
        <v>Emboss (NIKKO 1050FH)</v>
      </c>
      <c r="D401" s="313">
        <f>input!D769</f>
        <v>204</v>
      </c>
      <c r="E401" s="363"/>
      <c r="F401" s="363" t="str">
        <f ca="1">input!F769</f>
        <v>N</v>
      </c>
      <c r="G401" s="363"/>
      <c r="H401" s="313">
        <f ca="1">IF(F401="PCS",$E$4,SUMIFS(Paper!$AC$7:$AC$58,Paper!$A$7:$A$58,'Production cost'!F401))</f>
        <v>0</v>
      </c>
      <c r="I401" s="313">
        <f ca="1">IF(input!$G769&gt;0,input!$G769,IF($C401=Data!$L$1158,500,3000))</f>
        <v>3000</v>
      </c>
      <c r="J401" s="313" t="str">
        <f>input!$H769</f>
        <v>Sheets</v>
      </c>
      <c r="K401" s="360">
        <f>IF($C401=Data!$L$1158,0,1/4)</f>
        <v>0.25</v>
      </c>
      <c r="L401" s="313">
        <f ca="1">IF(input!$I769&gt;0,input!$I769,2)</f>
        <v>2</v>
      </c>
      <c r="M401" s="391">
        <f ca="1">IF(H401&gt;0,SUMIF(Data!$L$1155:$L$1190,'Production cost'!$C401,Data!$Q$1155:$Q$1190)*SUMIF(Paper!$A$7:$A$70,'Production cost'!$F401,Paper!$J$7:$J$70),0)</f>
        <v>0</v>
      </c>
      <c r="N401" s="391">
        <f t="shared" ca="1" si="280"/>
        <v>0</v>
      </c>
      <c r="O401" s="313">
        <f>IF($C401=Data!$L$1158,0,Data!$N$1195)</f>
        <v>352574.32240985788</v>
      </c>
      <c r="P401" s="313">
        <f>SUMIF(Data!$L$1155:$L$1190,'Production cost'!$C401,Data!$N$1155:$N$1190)</f>
        <v>64593.240854333337</v>
      </c>
      <c r="Q401" s="313">
        <f t="shared" ca="1" si="251"/>
        <v>0</v>
      </c>
      <c r="R401" s="313">
        <f t="shared" ca="1" si="281"/>
        <v>0</v>
      </c>
      <c r="S401" s="1741">
        <f t="shared" ca="1" si="282"/>
        <v>0</v>
      </c>
      <c r="T401" s="313" t="str">
        <f ca="1">input!J769</f>
        <v>N</v>
      </c>
      <c r="V401" s="3115" t="str">
        <f>input!K769</f>
        <v>Packaging</v>
      </c>
      <c r="W401" s="3115">
        <f t="shared" ca="1" si="283"/>
        <v>0</v>
      </c>
      <c r="X401" s="3119">
        <f>VLOOKUP(V401,'Fix Cost'!$K$177:$M$179,2,0)</f>
        <v>58449.923860467366</v>
      </c>
      <c r="Y401" s="3119">
        <f>VLOOKUP(V401,'Fix Cost'!$K$177:$M$179,3,0)</f>
        <v>267411.04680782068</v>
      </c>
      <c r="Z401" s="3119">
        <f t="shared" ca="1" si="284"/>
        <v>0</v>
      </c>
      <c r="AA401" s="3115">
        <f t="shared" ca="1" si="285"/>
        <v>0</v>
      </c>
      <c r="AB401" s="3115">
        <f t="shared" ca="1" si="286"/>
        <v>0</v>
      </c>
      <c r="AK401" s="313"/>
      <c r="AL401" s="313"/>
      <c r="AM401" s="313"/>
      <c r="AO401" s="1055"/>
      <c r="AP401" s="385"/>
      <c r="AQ401" s="385"/>
      <c r="AR401" s="1048"/>
      <c r="AS401" s="385"/>
      <c r="AT401" s="879">
        <f t="shared" ca="1" si="235"/>
        <v>0</v>
      </c>
      <c r="AU401" s="879">
        <f ca="1">COUNTIFS(AT$7:$AT401,1)</f>
        <v>5</v>
      </c>
    </row>
    <row r="402" spans="2:47" ht="14.25" hidden="1" customHeight="1" outlineLevel="1">
      <c r="B402" s="1738" t="s">
        <v>29</v>
      </c>
      <c r="C402" s="313" t="str">
        <f>input!C770</f>
        <v>Emboss (NIKKO 1050FH)</v>
      </c>
      <c r="D402" s="313">
        <f>input!D770</f>
        <v>221</v>
      </c>
      <c r="E402" s="363"/>
      <c r="F402" s="363" t="str">
        <f ca="1">input!F770</f>
        <v>N</v>
      </c>
      <c r="G402" s="363"/>
      <c r="H402" s="313">
        <f ca="1">IF(F402="PCS",$E$4,SUMIFS(Paper!$AC$7:$AC$58,Paper!$A$7:$A$58,'Production cost'!F402))</f>
        <v>0</v>
      </c>
      <c r="I402" s="313">
        <f ca="1">IF(input!$G770&gt;0,input!$G770,IF($C402=Data!$L$1158,500,3000))</f>
        <v>3000</v>
      </c>
      <c r="J402" s="313" t="str">
        <f>input!$H770</f>
        <v>Sheets</v>
      </c>
      <c r="K402" s="360">
        <f>IF($C402=Data!$L$1158,0,1/4)</f>
        <v>0.25</v>
      </c>
      <c r="L402" s="313">
        <f ca="1">IF(input!$I770&gt;0,input!$I770,2)</f>
        <v>2</v>
      </c>
      <c r="M402" s="391">
        <f ca="1">IF(H402&gt;0,SUMIF(Data!$L$1155:$L$1190,'Production cost'!$C402,Data!$Q$1155:$Q$1190)*SUMIF(Paper!$A$7:$A$70,'Production cost'!$F402,Paper!$J$7:$J$70),0)</f>
        <v>0</v>
      </c>
      <c r="N402" s="391">
        <f t="shared" ca="1" si="280"/>
        <v>0</v>
      </c>
      <c r="O402" s="313">
        <f>IF($C402=Data!$L$1158,0,Data!$N$1195)</f>
        <v>352574.32240985788</v>
      </c>
      <c r="P402" s="313">
        <f>SUMIF(Data!$L$1155:$L$1190,'Production cost'!$C402,Data!$N$1155:$N$1190)</f>
        <v>64593.240854333337</v>
      </c>
      <c r="Q402" s="313">
        <f t="shared" ca="1" si="251"/>
        <v>0</v>
      </c>
      <c r="R402" s="313">
        <f t="shared" ca="1" si="281"/>
        <v>0</v>
      </c>
      <c r="S402" s="1741">
        <f t="shared" ca="1" si="282"/>
        <v>0</v>
      </c>
      <c r="T402" s="313" t="str">
        <f ca="1">input!J770</f>
        <v>N</v>
      </c>
      <c r="V402" s="3115" t="str">
        <f>input!K770</f>
        <v>Packaging</v>
      </c>
      <c r="W402" s="3115">
        <f t="shared" ca="1" si="283"/>
        <v>0</v>
      </c>
      <c r="X402" s="3119">
        <f>VLOOKUP(V402,'Fix Cost'!$K$177:$M$179,2,0)</f>
        <v>58449.923860467366</v>
      </c>
      <c r="Y402" s="3119">
        <f>VLOOKUP(V402,'Fix Cost'!$K$177:$M$179,3,0)</f>
        <v>267411.04680782068</v>
      </c>
      <c r="Z402" s="3119">
        <f t="shared" ca="1" si="284"/>
        <v>0</v>
      </c>
      <c r="AA402" s="3115">
        <f t="shared" ca="1" si="285"/>
        <v>0</v>
      </c>
      <c r="AB402" s="3115">
        <f t="shared" ca="1" si="286"/>
        <v>0</v>
      </c>
      <c r="AK402" s="313"/>
      <c r="AL402" s="313"/>
      <c r="AM402" s="313"/>
      <c r="AO402" s="1055"/>
      <c r="AP402" s="385"/>
      <c r="AQ402" s="385"/>
      <c r="AR402" s="1048"/>
      <c r="AS402" s="385"/>
      <c r="AT402" s="879">
        <f t="shared" ca="1" si="235"/>
        <v>0</v>
      </c>
      <c r="AU402" s="879">
        <f ca="1">COUNTIFS(AT$7:$AT402,1)</f>
        <v>5</v>
      </c>
    </row>
    <row r="403" spans="2:47" ht="14.25" hidden="1" customHeight="1" outlineLevel="1">
      <c r="B403" s="1738" t="s">
        <v>29</v>
      </c>
      <c r="C403" s="313" t="str">
        <f>input!C771</f>
        <v>Emboss (NIKKO 1050FH)</v>
      </c>
      <c r="D403" s="313">
        <f>input!D771</f>
        <v>238</v>
      </c>
      <c r="E403" s="363"/>
      <c r="F403" s="363" t="str">
        <f ca="1">input!F771</f>
        <v>N</v>
      </c>
      <c r="G403" s="363"/>
      <c r="H403" s="313">
        <f ca="1">IF(F403="PCS",$E$4,SUMIFS(Paper!$AC$7:$AC$58,Paper!$A$7:$A$58,'Production cost'!F403))</f>
        <v>0</v>
      </c>
      <c r="I403" s="313">
        <f ca="1">IF(input!$G771&gt;0,input!$G771,IF($C403=Data!$L$1158,500,3000))</f>
        <v>3000</v>
      </c>
      <c r="J403" s="313" t="str">
        <f>input!$H771</f>
        <v>Sheets</v>
      </c>
      <c r="K403" s="360">
        <f>IF($C403=Data!$L$1158,0,1/4)</f>
        <v>0.25</v>
      </c>
      <c r="L403" s="313">
        <f ca="1">IF(input!$I771&gt;0,input!$I771,2)</f>
        <v>2</v>
      </c>
      <c r="M403" s="391">
        <f ca="1">IF(H403&gt;0,SUMIF(Data!$L$1155:$L$1190,'Production cost'!$C403,Data!$Q$1155:$Q$1190)*SUMIF(Paper!$A$7:$A$70,'Production cost'!$F403,Paper!$J$7:$J$70),0)</f>
        <v>0</v>
      </c>
      <c r="N403" s="391">
        <f t="shared" ca="1" si="280"/>
        <v>0</v>
      </c>
      <c r="O403" s="313">
        <f>IF($C403=Data!$L$1158,0,Data!$N$1195)</f>
        <v>352574.32240985788</v>
      </c>
      <c r="P403" s="313">
        <f>SUMIF(Data!$L$1155:$L$1190,'Production cost'!$C403,Data!$N$1155:$N$1190)</f>
        <v>64593.240854333337</v>
      </c>
      <c r="Q403" s="313">
        <f t="shared" ref="Q403:Q434" ca="1" si="287">(N403*O403*K403+N403*P403*L403)*(1+$R$702)</f>
        <v>0</v>
      </c>
      <c r="R403" s="313">
        <f t="shared" ca="1" si="281"/>
        <v>0</v>
      </c>
      <c r="S403" s="1741">
        <f t="shared" ca="1" si="282"/>
        <v>0</v>
      </c>
      <c r="T403" s="313" t="str">
        <f ca="1">input!J771</f>
        <v>N</v>
      </c>
      <c r="V403" s="3115" t="str">
        <f>input!K771</f>
        <v>Packaging</v>
      </c>
      <c r="W403" s="3115">
        <f t="shared" ca="1" si="283"/>
        <v>0</v>
      </c>
      <c r="X403" s="3119">
        <f>VLOOKUP(V403,'Fix Cost'!$K$177:$M$179,2,0)</f>
        <v>58449.923860467366</v>
      </c>
      <c r="Y403" s="3119">
        <f>VLOOKUP(V403,'Fix Cost'!$K$177:$M$179,3,0)</f>
        <v>267411.04680782068</v>
      </c>
      <c r="Z403" s="3119">
        <f t="shared" ca="1" si="284"/>
        <v>0</v>
      </c>
      <c r="AA403" s="3115">
        <f t="shared" ca="1" si="285"/>
        <v>0</v>
      </c>
      <c r="AB403" s="3115">
        <f t="shared" ca="1" si="286"/>
        <v>0</v>
      </c>
      <c r="AK403" s="313"/>
      <c r="AL403" s="313"/>
      <c r="AM403" s="313"/>
      <c r="AO403" s="1055"/>
      <c r="AP403" s="385"/>
      <c r="AQ403" s="385"/>
      <c r="AR403" s="1048"/>
      <c r="AS403" s="385"/>
      <c r="AT403" s="879">
        <f t="shared" ca="1" si="235"/>
        <v>0</v>
      </c>
      <c r="AU403" s="879">
        <f ca="1">COUNTIFS(AT$7:$AT403,1)</f>
        <v>5</v>
      </c>
    </row>
    <row r="404" spans="2:47" ht="14.25" hidden="1" customHeight="1" outlineLevel="1">
      <c r="B404" s="1738" t="s">
        <v>29</v>
      </c>
      <c r="C404" s="313" t="str">
        <f>input!C772</f>
        <v>Emboss (NIKKO 1050FH)</v>
      </c>
      <c r="D404" s="313">
        <f>input!D772</f>
        <v>0</v>
      </c>
      <c r="E404" s="363"/>
      <c r="F404" s="363" t="str">
        <f ca="1">input!F772</f>
        <v>N</v>
      </c>
      <c r="G404" s="363"/>
      <c r="H404" s="313">
        <f ca="1">IF(F404="PCS",$E$4,SUMIFS(Paper!$AC$7:$AC$58,Paper!$A$7:$A$58,'Production cost'!F404))</f>
        <v>0</v>
      </c>
      <c r="I404" s="313">
        <f ca="1">IF(input!$G772&gt;0,input!$G772,IF($C404=Data!$L$1158,500,3000))</f>
        <v>3000</v>
      </c>
      <c r="J404" s="313" t="str">
        <f>input!$H772</f>
        <v>Sheets</v>
      </c>
      <c r="K404" s="360">
        <f>IF($C404=Data!$L$1158,0,1/4)</f>
        <v>0.25</v>
      </c>
      <c r="L404" s="313">
        <f ca="1">IF(input!$I772&gt;0,input!$I772,2)</f>
        <v>2</v>
      </c>
      <c r="M404" s="391">
        <f ca="1">IF(H404&gt;0,SUMIF(Data!$L$1155:$L$1190,'Production cost'!$C404,Data!$Q$1155:$Q$1190)*SUMIF(Paper!$A$7:$A$70,'Production cost'!$F404,Paper!$J$7:$J$70),0)</f>
        <v>0</v>
      </c>
      <c r="N404" s="391">
        <f t="shared" ca="1" si="273"/>
        <v>0</v>
      </c>
      <c r="O404" s="313">
        <f>IF($C404=Data!$L$1158,0,Data!$N$1195)</f>
        <v>352574.32240985788</v>
      </c>
      <c r="P404" s="313">
        <f>SUMIF(Data!$L$1155:$L$1190,'Production cost'!$C404,Data!$N$1155:$N$1190)</f>
        <v>64593.240854333337</v>
      </c>
      <c r="Q404" s="313">
        <f t="shared" ca="1" si="287"/>
        <v>0</v>
      </c>
      <c r="R404" s="313">
        <f t="shared" ca="1" si="274"/>
        <v>0</v>
      </c>
      <c r="S404" s="1741">
        <f t="shared" ca="1" si="275"/>
        <v>0</v>
      </c>
      <c r="T404" s="313" t="str">
        <f ca="1">input!J772</f>
        <v>N</v>
      </c>
      <c r="V404" s="3115" t="str">
        <f>input!K772</f>
        <v>Packaging</v>
      </c>
      <c r="W404" s="3115">
        <f t="shared" ca="1" si="276"/>
        <v>0</v>
      </c>
      <c r="X404" s="3119">
        <f>VLOOKUP(V404,'Fix Cost'!$K$177:$M$179,2,0)</f>
        <v>58449.923860467366</v>
      </c>
      <c r="Y404" s="3119">
        <f>VLOOKUP(V404,'Fix Cost'!$K$177:$M$179,3,0)</f>
        <v>267411.04680782068</v>
      </c>
      <c r="Z404" s="3119">
        <f t="shared" ca="1" si="277"/>
        <v>0</v>
      </c>
      <c r="AA404" s="3115">
        <f t="shared" ca="1" si="278"/>
        <v>0</v>
      </c>
      <c r="AB404" s="3115">
        <f t="shared" ca="1" si="279"/>
        <v>0</v>
      </c>
      <c r="AK404" s="313"/>
      <c r="AL404" s="313"/>
      <c r="AM404" s="313"/>
      <c r="AO404" s="1055"/>
      <c r="AP404" s="385"/>
      <c r="AQ404" s="385"/>
      <c r="AR404" s="1048"/>
      <c r="AS404" s="385"/>
      <c r="AT404" s="879">
        <f t="shared" ca="1" si="235"/>
        <v>0</v>
      </c>
      <c r="AU404" s="879">
        <f ca="1">COUNTIFS(AT$7:$AT404,1)</f>
        <v>5</v>
      </c>
    </row>
    <row r="405" spans="2:47" ht="14.25" hidden="1" customHeight="1" outlineLevel="1">
      <c r="B405" s="1738" t="s">
        <v>29</v>
      </c>
      <c r="C405" s="313" t="str">
        <f>input!C773</f>
        <v>Emboss (NIKKO 1050FH)</v>
      </c>
      <c r="D405" s="313">
        <f>input!D773</f>
        <v>17</v>
      </c>
      <c r="E405" s="363"/>
      <c r="F405" s="363" t="str">
        <f ca="1">input!F773</f>
        <v>N</v>
      </c>
      <c r="G405" s="363"/>
      <c r="H405" s="313">
        <f ca="1">IF(F405="PCS",$E$4,SUMIFS(Paper!$AC$7:$AC$58,Paper!$A$7:$A$58,'Production cost'!F405))</f>
        <v>0</v>
      </c>
      <c r="I405" s="313">
        <f ca="1">IF(input!$G773&gt;0,input!$G773,IF($C405=Data!$L$1158,500,3000))</f>
        <v>3000</v>
      </c>
      <c r="J405" s="313" t="str">
        <f>input!$H773</f>
        <v>Sheets</v>
      </c>
      <c r="K405" s="360">
        <f>IF($C405=Data!$L$1158,0,1/4)</f>
        <v>0.25</v>
      </c>
      <c r="L405" s="313">
        <f ca="1">IF(input!$I773&gt;0,input!$I773,2)</f>
        <v>2</v>
      </c>
      <c r="M405" s="391">
        <f ca="1">IF(H405&gt;0,SUMIF(Data!$L$1155:$L$1190,'Production cost'!$C405,Data!$Q$1155:$Q$1190)*SUMIF(Paper!$A$7:$A$70,'Production cost'!$F405,Paper!$J$7:$J$70),0)</f>
        <v>0</v>
      </c>
      <c r="N405" s="391">
        <f t="shared" ca="1" si="273"/>
        <v>0</v>
      </c>
      <c r="O405" s="313">
        <f>IF($C405=Data!$L$1158,0,Data!$N$1195)</f>
        <v>352574.32240985788</v>
      </c>
      <c r="P405" s="313">
        <f>SUMIF(Data!$L$1155:$L$1190,'Production cost'!$C405,Data!$N$1155:$N$1190)</f>
        <v>64593.240854333337</v>
      </c>
      <c r="Q405" s="313">
        <f t="shared" ca="1" si="287"/>
        <v>0</v>
      </c>
      <c r="R405" s="313">
        <f t="shared" ca="1" si="274"/>
        <v>0</v>
      </c>
      <c r="S405" s="1741">
        <f t="shared" ca="1" si="275"/>
        <v>0</v>
      </c>
      <c r="T405" s="313" t="str">
        <f ca="1">input!J773</f>
        <v>N</v>
      </c>
      <c r="V405" s="3115" t="str">
        <f>input!K773</f>
        <v>Packaging</v>
      </c>
      <c r="W405" s="3115">
        <f t="shared" ca="1" si="276"/>
        <v>0</v>
      </c>
      <c r="X405" s="3119">
        <f>VLOOKUP(V405,'Fix Cost'!$K$177:$M$179,2,0)</f>
        <v>58449.923860467366</v>
      </c>
      <c r="Y405" s="3119">
        <f>VLOOKUP(V405,'Fix Cost'!$K$177:$M$179,3,0)</f>
        <v>267411.04680782068</v>
      </c>
      <c r="Z405" s="3119">
        <f t="shared" ca="1" si="277"/>
        <v>0</v>
      </c>
      <c r="AA405" s="3115">
        <f t="shared" ca="1" si="278"/>
        <v>0</v>
      </c>
      <c r="AB405" s="3115">
        <f t="shared" ca="1" si="279"/>
        <v>0</v>
      </c>
      <c r="AK405" s="313"/>
      <c r="AL405" s="313"/>
      <c r="AM405" s="313"/>
      <c r="AO405" s="1055"/>
      <c r="AP405" s="385"/>
      <c r="AQ405" s="385"/>
      <c r="AR405" s="1048"/>
      <c r="AS405" s="385"/>
      <c r="AT405" s="879">
        <f t="shared" ca="1" si="235"/>
        <v>0</v>
      </c>
      <c r="AU405" s="879">
        <f ca="1">COUNTIFS(AT$7:$AT405,1)</f>
        <v>5</v>
      </c>
    </row>
    <row r="406" spans="2:47" ht="14.25" hidden="1" customHeight="1" outlineLevel="1">
      <c r="B406" s="1738" t="s">
        <v>29</v>
      </c>
      <c r="C406" s="313" t="str">
        <f>input!C774</f>
        <v>Emboss (NIKKO 1050FH)</v>
      </c>
      <c r="D406" s="313">
        <f>input!D774</f>
        <v>34</v>
      </c>
      <c r="E406" s="363"/>
      <c r="F406" s="363" t="str">
        <f ca="1">input!F774</f>
        <v>N</v>
      </c>
      <c r="G406" s="363"/>
      <c r="H406" s="313">
        <f ca="1">IF(F406="PCS",$E$4,SUMIFS(Paper!$AC$7:$AC$58,Paper!$A$7:$A$58,'Production cost'!F406))</f>
        <v>0</v>
      </c>
      <c r="I406" s="313">
        <f ca="1">IF(input!$G774&gt;0,input!$G774,IF($C406=Data!$L$1158,500,3000))</f>
        <v>3000</v>
      </c>
      <c r="J406" s="313" t="str">
        <f>input!$H774</f>
        <v>Sheets</v>
      </c>
      <c r="K406" s="360">
        <f>IF($C406=Data!$L$1158,0,1/4)</f>
        <v>0.25</v>
      </c>
      <c r="L406" s="313">
        <f ca="1">IF(input!$I774&gt;0,input!$I774,2)</f>
        <v>2</v>
      </c>
      <c r="M406" s="391">
        <f ca="1">IF(H406&gt;0,SUMIF(Data!$L$1155:$L$1190,'Production cost'!$C406,Data!$Q$1155:$Q$1190)*SUMIF(Paper!$A$7:$A$70,'Production cost'!$F406,Paper!$J$7:$J$70),0)</f>
        <v>0</v>
      </c>
      <c r="N406" s="391">
        <f t="shared" ca="1" si="273"/>
        <v>0</v>
      </c>
      <c r="O406" s="313">
        <f>IF($C406=Data!$L$1158,0,Data!$N$1195)</f>
        <v>352574.32240985788</v>
      </c>
      <c r="P406" s="313">
        <f>SUMIF(Data!$L$1155:$L$1190,'Production cost'!$C406,Data!$N$1155:$N$1190)</f>
        <v>64593.240854333337</v>
      </c>
      <c r="Q406" s="313">
        <f t="shared" ca="1" si="287"/>
        <v>0</v>
      </c>
      <c r="R406" s="313">
        <f t="shared" ca="1" si="274"/>
        <v>0</v>
      </c>
      <c r="S406" s="1741">
        <f t="shared" ca="1" si="275"/>
        <v>0</v>
      </c>
      <c r="T406" s="313" t="str">
        <f ca="1">input!J774</f>
        <v>N</v>
      </c>
      <c r="V406" s="3115" t="str">
        <f>input!K774</f>
        <v>Packaging</v>
      </c>
      <c r="W406" s="3115">
        <f t="shared" ca="1" si="276"/>
        <v>0</v>
      </c>
      <c r="X406" s="3119">
        <f>VLOOKUP(V406,'Fix Cost'!$K$177:$M$179,2,0)</f>
        <v>58449.923860467366</v>
      </c>
      <c r="Y406" s="3119">
        <f>VLOOKUP(V406,'Fix Cost'!$K$177:$M$179,3,0)</f>
        <v>267411.04680782068</v>
      </c>
      <c r="Z406" s="3119">
        <f t="shared" ca="1" si="277"/>
        <v>0</v>
      </c>
      <c r="AA406" s="3115">
        <f t="shared" ca="1" si="278"/>
        <v>0</v>
      </c>
      <c r="AB406" s="3115">
        <f t="shared" ca="1" si="279"/>
        <v>0</v>
      </c>
      <c r="AK406" s="313"/>
      <c r="AL406" s="313"/>
      <c r="AM406" s="313"/>
      <c r="AO406" s="1055"/>
      <c r="AP406" s="385"/>
      <c r="AQ406" s="385"/>
      <c r="AR406" s="1048"/>
      <c r="AS406" s="385"/>
      <c r="AT406" s="879">
        <f t="shared" ca="1" si="235"/>
        <v>0</v>
      </c>
      <c r="AU406" s="879">
        <f ca="1">COUNTIFS(AT$7:$AT406,1)</f>
        <v>5</v>
      </c>
    </row>
    <row r="407" spans="2:47" ht="14.25" hidden="1" customHeight="1" outlineLevel="1">
      <c r="B407" s="1738" t="s">
        <v>29</v>
      </c>
      <c r="C407" s="313" t="str">
        <f>input!C775</f>
        <v>Emboss (NIKKO 1050FH)</v>
      </c>
      <c r="D407" s="313">
        <f>input!D775</f>
        <v>51</v>
      </c>
      <c r="E407" s="363"/>
      <c r="F407" s="363" t="str">
        <f ca="1">input!F775</f>
        <v>N</v>
      </c>
      <c r="G407" s="363"/>
      <c r="H407" s="313">
        <f ca="1">IF(F407="PCS",$E$4,SUMIFS(Paper!$AC$7:$AC$58,Paper!$A$7:$A$58,'Production cost'!F407))</f>
        <v>0</v>
      </c>
      <c r="I407" s="313">
        <f ca="1">IF(input!$G775&gt;0,input!$G775,IF($C407=Data!$L$1158,500,3000))</f>
        <v>3000</v>
      </c>
      <c r="J407" s="313" t="str">
        <f>input!$H775</f>
        <v>Sheets</v>
      </c>
      <c r="K407" s="360">
        <f>IF($C407=Data!$L$1158,0,1/4)</f>
        <v>0.25</v>
      </c>
      <c r="L407" s="313">
        <f ca="1">IF(input!$I775&gt;0,input!$I775,2)</f>
        <v>2</v>
      </c>
      <c r="M407" s="391">
        <f ca="1">IF(H407&gt;0,SUMIF(Data!$L$1155:$L$1190,'Production cost'!$C407,Data!$Q$1155:$Q$1190)*SUMIF(Paper!$A$7:$A$70,'Production cost'!$F407,Paper!$J$7:$J$70),0)</f>
        <v>0</v>
      </c>
      <c r="N407" s="391">
        <f t="shared" ca="1" si="273"/>
        <v>0</v>
      </c>
      <c r="O407" s="313">
        <f>IF($C407=Data!$L$1158,0,Data!$N$1195)</f>
        <v>352574.32240985788</v>
      </c>
      <c r="P407" s="313">
        <f>SUMIF(Data!$L$1155:$L$1190,'Production cost'!$C407,Data!$N$1155:$N$1190)</f>
        <v>64593.240854333337</v>
      </c>
      <c r="Q407" s="313">
        <f t="shared" ca="1" si="287"/>
        <v>0</v>
      </c>
      <c r="R407" s="313">
        <f t="shared" ca="1" si="274"/>
        <v>0</v>
      </c>
      <c r="S407" s="1741">
        <f t="shared" ca="1" si="275"/>
        <v>0</v>
      </c>
      <c r="T407" s="313" t="str">
        <f ca="1">input!J775</f>
        <v>N</v>
      </c>
      <c r="V407" s="3115" t="str">
        <f>input!K775</f>
        <v>Packaging</v>
      </c>
      <c r="W407" s="3115">
        <f t="shared" ca="1" si="276"/>
        <v>0</v>
      </c>
      <c r="X407" s="3119">
        <f>VLOOKUP(V407,'Fix Cost'!$K$177:$M$179,2,0)</f>
        <v>58449.923860467366</v>
      </c>
      <c r="Y407" s="3119">
        <f>VLOOKUP(V407,'Fix Cost'!$K$177:$M$179,3,0)</f>
        <v>267411.04680782068</v>
      </c>
      <c r="Z407" s="3119">
        <f t="shared" ca="1" si="277"/>
        <v>0</v>
      </c>
      <c r="AA407" s="3115">
        <f t="shared" ca="1" si="278"/>
        <v>0</v>
      </c>
      <c r="AB407" s="3115">
        <f t="shared" ca="1" si="279"/>
        <v>0</v>
      </c>
      <c r="AK407" s="313"/>
      <c r="AL407" s="313"/>
      <c r="AM407" s="313"/>
      <c r="AO407" s="1055"/>
      <c r="AP407" s="385"/>
      <c r="AQ407" s="385"/>
      <c r="AR407" s="1048"/>
      <c r="AS407" s="385"/>
      <c r="AT407" s="879">
        <f t="shared" ca="1" si="235"/>
        <v>0</v>
      </c>
      <c r="AU407" s="879">
        <f ca="1">COUNTIFS(AT$7:$AT407,1)</f>
        <v>5</v>
      </c>
    </row>
    <row r="408" spans="2:47" ht="14.25" hidden="1" customHeight="1" outlineLevel="1">
      <c r="B408" s="1738" t="s">
        <v>29</v>
      </c>
      <c r="C408" s="313" t="str">
        <f>input!C776</f>
        <v>Emboss (NIKKO 1050FH)</v>
      </c>
      <c r="D408" s="313">
        <f>input!D776</f>
        <v>68</v>
      </c>
      <c r="E408" s="363"/>
      <c r="F408" s="363" t="str">
        <f ca="1">input!F776</f>
        <v>N</v>
      </c>
      <c r="G408" s="363"/>
      <c r="H408" s="313">
        <f ca="1">IF(F408="PCS",$E$4,SUMIFS(Paper!$AC$7:$AC$58,Paper!$A$7:$A$58,'Production cost'!F408))</f>
        <v>0</v>
      </c>
      <c r="I408" s="313">
        <f ca="1">IF(input!$G776&gt;0,input!$G776,IF($C408=Data!$L$1158,500,3000))</f>
        <v>3000</v>
      </c>
      <c r="J408" s="313" t="str">
        <f>input!$H776</f>
        <v>Sheets</v>
      </c>
      <c r="K408" s="360">
        <f>IF($C408=Data!$L$1158,0,1/4)</f>
        <v>0.25</v>
      </c>
      <c r="L408" s="313">
        <f ca="1">IF(input!$I776&gt;0,input!$I776,2)</f>
        <v>2</v>
      </c>
      <c r="M408" s="391">
        <f ca="1">IF(H408&gt;0,SUMIF(Data!$L$1155:$L$1190,'Production cost'!$C408,Data!$Q$1155:$Q$1190)*SUMIF(Paper!$A$7:$A$70,'Production cost'!$F408,Paper!$J$7:$J$70),0)</f>
        <v>0</v>
      </c>
      <c r="N408" s="391">
        <f t="shared" ca="1" si="273"/>
        <v>0</v>
      </c>
      <c r="O408" s="313">
        <f>IF($C408=Data!$L$1158,0,Data!$N$1195)</f>
        <v>352574.32240985788</v>
      </c>
      <c r="P408" s="313">
        <f>SUMIF(Data!$L$1155:$L$1190,'Production cost'!$C408,Data!$N$1155:$N$1190)</f>
        <v>64593.240854333337</v>
      </c>
      <c r="Q408" s="313">
        <f t="shared" ca="1" si="287"/>
        <v>0</v>
      </c>
      <c r="R408" s="313">
        <f t="shared" ca="1" si="274"/>
        <v>0</v>
      </c>
      <c r="S408" s="1741">
        <f t="shared" ca="1" si="275"/>
        <v>0</v>
      </c>
      <c r="T408" s="313" t="str">
        <f ca="1">input!J776</f>
        <v>N</v>
      </c>
      <c r="V408" s="3115" t="str">
        <f>input!K776</f>
        <v>Packaging</v>
      </c>
      <c r="W408" s="3115">
        <f t="shared" ca="1" si="276"/>
        <v>0</v>
      </c>
      <c r="X408" s="3119">
        <f>VLOOKUP(V408,'Fix Cost'!$K$177:$M$179,2,0)</f>
        <v>58449.923860467366</v>
      </c>
      <c r="Y408" s="3119">
        <f>VLOOKUP(V408,'Fix Cost'!$K$177:$M$179,3,0)</f>
        <v>267411.04680782068</v>
      </c>
      <c r="Z408" s="3119">
        <f t="shared" ca="1" si="277"/>
        <v>0</v>
      </c>
      <c r="AA408" s="3115">
        <f t="shared" ca="1" si="278"/>
        <v>0</v>
      </c>
      <c r="AB408" s="3115">
        <f t="shared" ca="1" si="279"/>
        <v>0</v>
      </c>
      <c r="AK408" s="313"/>
      <c r="AL408" s="313"/>
      <c r="AM408" s="313"/>
      <c r="AO408" s="1055"/>
      <c r="AP408" s="385"/>
      <c r="AQ408" s="385"/>
      <c r="AR408" s="1048"/>
      <c r="AS408" s="385"/>
      <c r="AT408" s="879">
        <f t="shared" ca="1" si="235"/>
        <v>0</v>
      </c>
      <c r="AU408" s="879">
        <f ca="1">COUNTIFS(AT$7:$AT408,1)</f>
        <v>5</v>
      </c>
    </row>
    <row r="409" spans="2:47" ht="14.25" hidden="1" customHeight="1" outlineLevel="1">
      <c r="B409" s="1738" t="s">
        <v>29</v>
      </c>
      <c r="C409" s="313" t="str">
        <f>input!C777</f>
        <v>Emboss (NIKKO 1050FH)</v>
      </c>
      <c r="D409" s="313">
        <f>input!D777</f>
        <v>85</v>
      </c>
      <c r="E409" s="363"/>
      <c r="F409" s="363" t="str">
        <f ca="1">input!F777</f>
        <v>N</v>
      </c>
      <c r="G409" s="363"/>
      <c r="H409" s="313">
        <f ca="1">IF(F409="PCS",$E$4,SUMIFS(Paper!$AC$7:$AC$58,Paper!$A$7:$A$58,'Production cost'!F409))</f>
        <v>0</v>
      </c>
      <c r="I409" s="313">
        <f ca="1">IF(input!$G777&gt;0,input!$G777,IF($C409=Data!$L$1158,500,3000))</f>
        <v>3000</v>
      </c>
      <c r="J409" s="313" t="str">
        <f>input!$H777</f>
        <v>Sheets</v>
      </c>
      <c r="K409" s="360">
        <f>IF($C409=Data!$L$1158,0,1/4)</f>
        <v>0.25</v>
      </c>
      <c r="L409" s="313">
        <f ca="1">IF(input!$I777&gt;0,input!$I777,2)</f>
        <v>2</v>
      </c>
      <c r="M409" s="391">
        <f ca="1">IF(H409&gt;0,SUMIF(Data!$L$1155:$L$1190,'Production cost'!$C409,Data!$Q$1155:$Q$1190)*SUMIF(Paper!$A$7:$A$70,'Production cost'!$F409,Paper!$J$7:$J$70),0)</f>
        <v>0</v>
      </c>
      <c r="N409" s="391">
        <f t="shared" ca="1" si="273"/>
        <v>0</v>
      </c>
      <c r="O409" s="313">
        <f>IF($C409=Data!$L$1158,0,Data!$N$1195)</f>
        <v>352574.32240985788</v>
      </c>
      <c r="P409" s="313">
        <f>SUMIF(Data!$L$1155:$L$1190,'Production cost'!$C409,Data!$N$1155:$N$1190)</f>
        <v>64593.240854333337</v>
      </c>
      <c r="Q409" s="313">
        <f t="shared" ca="1" si="287"/>
        <v>0</v>
      </c>
      <c r="R409" s="313">
        <f t="shared" ca="1" si="274"/>
        <v>0</v>
      </c>
      <c r="S409" s="1741">
        <f t="shared" ca="1" si="275"/>
        <v>0</v>
      </c>
      <c r="T409" s="313" t="str">
        <f ca="1">input!J777</f>
        <v>N</v>
      </c>
      <c r="V409" s="3115" t="str">
        <f>input!K777</f>
        <v>Packaging</v>
      </c>
      <c r="W409" s="3115">
        <f t="shared" ca="1" si="276"/>
        <v>0</v>
      </c>
      <c r="X409" s="3119">
        <f>VLOOKUP(V409,'Fix Cost'!$K$177:$M$179,2,0)</f>
        <v>58449.923860467366</v>
      </c>
      <c r="Y409" s="3119">
        <f>VLOOKUP(V409,'Fix Cost'!$K$177:$M$179,3,0)</f>
        <v>267411.04680782068</v>
      </c>
      <c r="Z409" s="3119">
        <f t="shared" ca="1" si="277"/>
        <v>0</v>
      </c>
      <c r="AA409" s="3115">
        <f t="shared" ca="1" si="278"/>
        <v>0</v>
      </c>
      <c r="AB409" s="3115">
        <f t="shared" ca="1" si="279"/>
        <v>0</v>
      </c>
      <c r="AK409" s="313"/>
      <c r="AL409" s="313"/>
      <c r="AM409" s="313"/>
      <c r="AO409" s="1055"/>
      <c r="AP409" s="385"/>
      <c r="AQ409" s="385"/>
      <c r="AR409" s="1048"/>
      <c r="AS409" s="385"/>
      <c r="AT409" s="879">
        <f t="shared" ca="1" si="235"/>
        <v>0</v>
      </c>
      <c r="AU409" s="879">
        <f ca="1">COUNTIFS(AT$7:$AT409,1)</f>
        <v>5</v>
      </c>
    </row>
    <row r="410" spans="2:47" ht="14.25" hidden="1" customHeight="1" outlineLevel="1">
      <c r="B410" s="1738" t="s">
        <v>29</v>
      </c>
      <c r="C410" s="313" t="str">
        <f>input!C778</f>
        <v>Emboss (NIKKO 1050FH)</v>
      </c>
      <c r="D410" s="313">
        <f>input!D778</f>
        <v>102</v>
      </c>
      <c r="E410" s="363"/>
      <c r="F410" s="363" t="str">
        <f ca="1">input!F778</f>
        <v>N</v>
      </c>
      <c r="G410" s="363"/>
      <c r="H410" s="313">
        <f ca="1">IF(F410="PCS",$E$4,SUMIFS(Paper!$AC$7:$AC$58,Paper!$A$7:$A$58,'Production cost'!F410))</f>
        <v>0</v>
      </c>
      <c r="I410" s="313">
        <f ca="1">IF(input!$G778&gt;0,input!$G778,IF($C410=Data!$L$1158,500,3000))</f>
        <v>3000</v>
      </c>
      <c r="J410" s="313" t="str">
        <f>input!$H778</f>
        <v>Sheets</v>
      </c>
      <c r="K410" s="360">
        <f>IF($C410=Data!$L$1158,0,1/4)</f>
        <v>0.25</v>
      </c>
      <c r="L410" s="313">
        <f ca="1">IF(input!$I778&gt;0,input!$I778,2)</f>
        <v>2</v>
      </c>
      <c r="M410" s="391">
        <f ca="1">IF(H410&gt;0,SUMIF(Data!$L$1155:$L$1190,'Production cost'!$C410,Data!$Q$1155:$Q$1190)*SUMIF(Paper!$A$7:$A$70,'Production cost'!$F410,Paper!$J$7:$J$70),0)</f>
        <v>0</v>
      </c>
      <c r="N410" s="391">
        <f t="shared" ca="1" si="273"/>
        <v>0</v>
      </c>
      <c r="O410" s="313">
        <f>IF($C410=Data!$L$1158,0,Data!$N$1195)</f>
        <v>352574.32240985788</v>
      </c>
      <c r="P410" s="313">
        <f>SUMIF(Data!$L$1155:$L$1190,'Production cost'!$C410,Data!$N$1155:$N$1190)</f>
        <v>64593.240854333337</v>
      </c>
      <c r="Q410" s="313">
        <f t="shared" ca="1" si="287"/>
        <v>0</v>
      </c>
      <c r="R410" s="313">
        <f t="shared" ca="1" si="274"/>
        <v>0</v>
      </c>
      <c r="S410" s="1741">
        <f t="shared" ca="1" si="275"/>
        <v>0</v>
      </c>
      <c r="T410" s="313" t="str">
        <f ca="1">input!J778</f>
        <v>N</v>
      </c>
      <c r="V410" s="3115" t="str">
        <f>input!K778</f>
        <v>Packaging</v>
      </c>
      <c r="W410" s="3115">
        <f t="shared" ca="1" si="276"/>
        <v>0</v>
      </c>
      <c r="X410" s="3119">
        <f>VLOOKUP(V410,'Fix Cost'!$K$177:$M$179,2,0)</f>
        <v>58449.923860467366</v>
      </c>
      <c r="Y410" s="3119">
        <f>VLOOKUP(V410,'Fix Cost'!$K$177:$M$179,3,0)</f>
        <v>267411.04680782068</v>
      </c>
      <c r="Z410" s="3119">
        <f t="shared" ca="1" si="277"/>
        <v>0</v>
      </c>
      <c r="AA410" s="3115">
        <f t="shared" ca="1" si="278"/>
        <v>0</v>
      </c>
      <c r="AB410" s="3115">
        <f t="shared" ca="1" si="279"/>
        <v>0</v>
      </c>
      <c r="AK410" s="313"/>
      <c r="AL410" s="313"/>
      <c r="AM410" s="313"/>
      <c r="AO410" s="1055"/>
      <c r="AP410" s="385"/>
      <c r="AQ410" s="385"/>
      <c r="AR410" s="1048"/>
      <c r="AS410" s="385"/>
      <c r="AT410" s="879">
        <f t="shared" ca="1" si="235"/>
        <v>0</v>
      </c>
      <c r="AU410" s="879">
        <f ca="1">COUNTIFS(AT$7:$AT410,1)</f>
        <v>5</v>
      </c>
    </row>
    <row r="411" spans="2:47" ht="14.25" hidden="1" customHeight="1" outlineLevel="1">
      <c r="B411" s="1738" t="s">
        <v>29</v>
      </c>
      <c r="C411" s="313" t="str">
        <f>input!C779</f>
        <v>Emboss (NIKKO 1050FH)</v>
      </c>
      <c r="D411" s="313">
        <f>input!D779</f>
        <v>119</v>
      </c>
      <c r="E411" s="363"/>
      <c r="F411" s="363" t="str">
        <f ca="1">input!F779</f>
        <v>N</v>
      </c>
      <c r="G411" s="363"/>
      <c r="H411" s="313">
        <f ca="1">IF(F411="PCS",$E$4,SUMIFS(Paper!$AC$7:$AC$58,Paper!$A$7:$A$58,'Production cost'!F411))</f>
        <v>0</v>
      </c>
      <c r="I411" s="313">
        <f ca="1">IF(input!$G779&gt;0,input!$G779,IF($C411=Data!$L$1158,500,3000))</f>
        <v>3000</v>
      </c>
      <c r="J411" s="313" t="str">
        <f>input!$H779</f>
        <v>Sheets</v>
      </c>
      <c r="K411" s="360">
        <f>IF($C411=Data!$L$1158,0,1/4)</f>
        <v>0.25</v>
      </c>
      <c r="L411" s="313">
        <f ca="1">IF(input!$I779&gt;0,input!$I779,2)</f>
        <v>2</v>
      </c>
      <c r="M411" s="391">
        <f ca="1">IF(H411&gt;0,SUMIF(Data!$L$1155:$L$1190,'Production cost'!$C411,Data!$Q$1155:$Q$1190)*SUMIF(Paper!$A$7:$A$70,'Production cost'!$F411,Paper!$J$7:$J$70),0)</f>
        <v>0</v>
      </c>
      <c r="N411" s="391">
        <f t="shared" ca="1" si="273"/>
        <v>0</v>
      </c>
      <c r="O411" s="313">
        <f>IF($C411=Data!$L$1158,0,Data!$N$1195)</f>
        <v>352574.32240985788</v>
      </c>
      <c r="P411" s="313">
        <f>SUMIF(Data!$L$1155:$L$1190,'Production cost'!$C411,Data!$N$1155:$N$1190)</f>
        <v>64593.240854333337</v>
      </c>
      <c r="Q411" s="313">
        <f t="shared" ca="1" si="287"/>
        <v>0</v>
      </c>
      <c r="R411" s="313">
        <f t="shared" ca="1" si="274"/>
        <v>0</v>
      </c>
      <c r="S411" s="1741">
        <f t="shared" ca="1" si="275"/>
        <v>0</v>
      </c>
      <c r="T411" s="313" t="str">
        <f ca="1">input!J779</f>
        <v>N</v>
      </c>
      <c r="V411" s="3115" t="str">
        <f>input!K779</f>
        <v>Packaging</v>
      </c>
      <c r="W411" s="3115">
        <f t="shared" ca="1" si="276"/>
        <v>0</v>
      </c>
      <c r="X411" s="3119">
        <f>VLOOKUP(V411,'Fix Cost'!$K$177:$M$179,2,0)</f>
        <v>58449.923860467366</v>
      </c>
      <c r="Y411" s="3119">
        <f>VLOOKUP(V411,'Fix Cost'!$K$177:$M$179,3,0)</f>
        <v>267411.04680782068</v>
      </c>
      <c r="Z411" s="3119">
        <f t="shared" ca="1" si="277"/>
        <v>0</v>
      </c>
      <c r="AA411" s="3115">
        <f t="shared" ca="1" si="278"/>
        <v>0</v>
      </c>
      <c r="AB411" s="3115">
        <f t="shared" ca="1" si="279"/>
        <v>0</v>
      </c>
      <c r="AK411" s="313"/>
      <c r="AL411" s="313"/>
      <c r="AM411" s="313"/>
      <c r="AO411" s="1055"/>
      <c r="AP411" s="385"/>
      <c r="AQ411" s="385"/>
      <c r="AR411" s="1048"/>
      <c r="AS411" s="385"/>
      <c r="AT411" s="879">
        <f t="shared" ca="1" si="235"/>
        <v>0</v>
      </c>
      <c r="AU411" s="879">
        <f ca="1">COUNTIFS(AT$7:$AT411,1)</f>
        <v>5</v>
      </c>
    </row>
    <row r="412" spans="2:47" ht="14.25" hidden="1" customHeight="1" outlineLevel="1">
      <c r="B412" s="1738" t="s">
        <v>29</v>
      </c>
      <c r="C412" s="313" t="str">
        <f>input!C780</f>
        <v>Emboss (NIKKO 1050FH)</v>
      </c>
      <c r="D412" s="313">
        <f>input!D780</f>
        <v>136</v>
      </c>
      <c r="E412" s="363"/>
      <c r="F412" s="363" t="str">
        <f ca="1">input!F780</f>
        <v>N</v>
      </c>
      <c r="G412" s="363"/>
      <c r="H412" s="313">
        <f ca="1">IF(F412="PCS",$E$4,SUMIFS(Paper!$AC$7:$AC$58,Paper!$A$7:$A$58,'Production cost'!F412))</f>
        <v>0</v>
      </c>
      <c r="I412" s="313">
        <f ca="1">IF(input!$G780&gt;0,input!$G780,IF($C412=Data!$L$1158,500,3000))</f>
        <v>3000</v>
      </c>
      <c r="J412" s="313" t="str">
        <f>input!$H780</f>
        <v>Sheets</v>
      </c>
      <c r="K412" s="360">
        <f>IF($C412=Data!$L$1158,0,1/4)</f>
        <v>0.25</v>
      </c>
      <c r="L412" s="313">
        <f ca="1">IF(input!$I780&gt;0,input!$I780,2)</f>
        <v>2</v>
      </c>
      <c r="M412" s="391">
        <f ca="1">IF(H412&gt;0,SUMIF(Data!$L$1155:$L$1190,'Production cost'!$C412,Data!$Q$1155:$Q$1190)*SUMIF(Paper!$A$7:$A$70,'Production cost'!$F412,Paper!$J$7:$J$70),0)</f>
        <v>0</v>
      </c>
      <c r="N412" s="391">
        <f t="shared" ca="1" si="273"/>
        <v>0</v>
      </c>
      <c r="O412" s="313">
        <f>IF($C412=Data!$L$1158,0,Data!$N$1195)</f>
        <v>352574.32240985788</v>
      </c>
      <c r="P412" s="313">
        <f>SUMIF(Data!$L$1155:$L$1190,'Production cost'!$C412,Data!$N$1155:$N$1190)</f>
        <v>64593.240854333337</v>
      </c>
      <c r="Q412" s="313">
        <f t="shared" ca="1" si="287"/>
        <v>0</v>
      </c>
      <c r="R412" s="313">
        <f t="shared" ca="1" si="274"/>
        <v>0</v>
      </c>
      <c r="S412" s="1741">
        <f t="shared" ca="1" si="275"/>
        <v>0</v>
      </c>
      <c r="T412" s="313" t="str">
        <f ca="1">input!J780</f>
        <v>N</v>
      </c>
      <c r="V412" s="3115" t="str">
        <f>input!K780</f>
        <v>Packaging</v>
      </c>
      <c r="W412" s="3115">
        <f t="shared" ca="1" si="276"/>
        <v>0</v>
      </c>
      <c r="X412" s="3119">
        <f>VLOOKUP(V412,'Fix Cost'!$K$177:$M$179,2,0)</f>
        <v>58449.923860467366</v>
      </c>
      <c r="Y412" s="3119">
        <f>VLOOKUP(V412,'Fix Cost'!$K$177:$M$179,3,0)</f>
        <v>267411.04680782068</v>
      </c>
      <c r="Z412" s="3119">
        <f t="shared" ca="1" si="277"/>
        <v>0</v>
      </c>
      <c r="AA412" s="3115">
        <f t="shared" ca="1" si="278"/>
        <v>0</v>
      </c>
      <c r="AB412" s="3115">
        <f t="shared" ca="1" si="279"/>
        <v>0</v>
      </c>
      <c r="AK412" s="313"/>
      <c r="AL412" s="313"/>
      <c r="AM412" s="313"/>
      <c r="AO412" s="1055"/>
      <c r="AP412" s="385"/>
      <c r="AQ412" s="385"/>
      <c r="AR412" s="1048"/>
      <c r="AS412" s="385"/>
      <c r="AT412" s="879">
        <f t="shared" ref="AT412:AT475" ca="1" si="288">IF(ISNUMBER(R412),IF(R412&lt;&gt;0,IF(ISNUMBER(SEARCH("to",J412)),0,1),0),"")</f>
        <v>0</v>
      </c>
      <c r="AU412" s="879">
        <f ca="1">COUNTIFS(AT$7:$AT412,1)</f>
        <v>5</v>
      </c>
    </row>
    <row r="413" spans="2:47" ht="14.25" hidden="1" customHeight="1" outlineLevel="1">
      <c r="B413" s="1738" t="s">
        <v>29</v>
      </c>
      <c r="C413" s="313" t="str">
        <f>input!C781</f>
        <v>Emboss (NIKKO 1050FH)</v>
      </c>
      <c r="D413" s="313">
        <f>input!D781</f>
        <v>153</v>
      </c>
      <c r="E413" s="363"/>
      <c r="F413" s="363" t="str">
        <f ca="1">input!F781</f>
        <v>N</v>
      </c>
      <c r="G413" s="363"/>
      <c r="H413" s="313">
        <f ca="1">IF(F413="PCS",$E$4,SUMIFS(Paper!$AC$7:$AC$58,Paper!$A$7:$A$58,'Production cost'!F413))</f>
        <v>0</v>
      </c>
      <c r="I413" s="313">
        <f ca="1">IF(input!$G781&gt;0,input!$G781,IF($C413=Data!$L$1158,500,3000))</f>
        <v>3000</v>
      </c>
      <c r="J413" s="313" t="str">
        <f>input!$H781</f>
        <v>Sheets</v>
      </c>
      <c r="K413" s="360">
        <f>IF($C413=Data!$L$1158,0,1/4)</f>
        <v>0.25</v>
      </c>
      <c r="L413" s="313">
        <f ca="1">IF(input!$I781&gt;0,input!$I781,2)</f>
        <v>2</v>
      </c>
      <c r="M413" s="391">
        <f ca="1">IF(H413&gt;0,SUMIF(Data!$L$1155:$L$1190,'Production cost'!$C413,Data!$Q$1155:$Q$1190)*SUMIF(Paper!$A$7:$A$70,'Production cost'!$F413,Paper!$J$7:$J$70),0)</f>
        <v>0</v>
      </c>
      <c r="N413" s="391">
        <f t="shared" ca="1" si="273"/>
        <v>0</v>
      </c>
      <c r="O413" s="313">
        <f>IF($C413=Data!$L$1158,0,Data!$N$1195)</f>
        <v>352574.32240985788</v>
      </c>
      <c r="P413" s="313">
        <f>SUMIF(Data!$L$1155:$L$1190,'Production cost'!$C413,Data!$N$1155:$N$1190)</f>
        <v>64593.240854333337</v>
      </c>
      <c r="Q413" s="313">
        <f t="shared" ca="1" si="287"/>
        <v>0</v>
      </c>
      <c r="R413" s="313">
        <f t="shared" ca="1" si="274"/>
        <v>0</v>
      </c>
      <c r="S413" s="1741">
        <f t="shared" ca="1" si="275"/>
        <v>0</v>
      </c>
      <c r="T413" s="313" t="str">
        <f ca="1">input!J781</f>
        <v>N</v>
      </c>
      <c r="V413" s="3115" t="str">
        <f>input!K781</f>
        <v>Packaging</v>
      </c>
      <c r="W413" s="3115">
        <f t="shared" ca="1" si="276"/>
        <v>0</v>
      </c>
      <c r="X413" s="3119">
        <f>VLOOKUP(V413,'Fix Cost'!$K$177:$M$179,2,0)</f>
        <v>58449.923860467366</v>
      </c>
      <c r="Y413" s="3119">
        <f>VLOOKUP(V413,'Fix Cost'!$K$177:$M$179,3,0)</f>
        <v>267411.04680782068</v>
      </c>
      <c r="Z413" s="3119">
        <f t="shared" ca="1" si="277"/>
        <v>0</v>
      </c>
      <c r="AA413" s="3115">
        <f t="shared" ca="1" si="278"/>
        <v>0</v>
      </c>
      <c r="AB413" s="3115">
        <f t="shared" ca="1" si="279"/>
        <v>0</v>
      </c>
      <c r="AK413" s="313"/>
      <c r="AL413" s="313"/>
      <c r="AM413" s="313"/>
      <c r="AO413" s="1055"/>
      <c r="AP413" s="385"/>
      <c r="AQ413" s="385"/>
      <c r="AR413" s="1048"/>
      <c r="AS413" s="385"/>
      <c r="AT413" s="879">
        <f t="shared" ca="1" si="288"/>
        <v>0</v>
      </c>
      <c r="AU413" s="879">
        <f ca="1">COUNTIFS(AT$7:$AT413,1)</f>
        <v>5</v>
      </c>
    </row>
    <row r="414" spans="2:47" ht="14.25" hidden="1" customHeight="1" outlineLevel="1">
      <c r="B414" s="1738" t="s">
        <v>29</v>
      </c>
      <c r="C414" s="313" t="str">
        <f>input!C782</f>
        <v>Emboss (NIKKO 1050FH)</v>
      </c>
      <c r="D414" s="313">
        <f>input!D782</f>
        <v>170</v>
      </c>
      <c r="E414" s="363"/>
      <c r="F414" s="363" t="str">
        <f ca="1">input!F782</f>
        <v>N</v>
      </c>
      <c r="G414" s="363"/>
      <c r="H414" s="313">
        <f ca="1">IF(F414="PCS",$E$4,SUMIFS(Paper!$AC$7:$AC$58,Paper!$A$7:$A$58,'Production cost'!F414))</f>
        <v>0</v>
      </c>
      <c r="I414" s="313">
        <f ca="1">IF(input!$G782&gt;0,input!$G782,IF($C414=Data!$L$1158,500,3000))</f>
        <v>3000</v>
      </c>
      <c r="J414" s="313" t="str">
        <f>input!$H782</f>
        <v>Sheets</v>
      </c>
      <c r="K414" s="360">
        <f>IF($C414=Data!$L$1158,0,1/4)</f>
        <v>0.25</v>
      </c>
      <c r="L414" s="313">
        <f ca="1">IF(input!$I782&gt;0,input!$I782,2)</f>
        <v>2</v>
      </c>
      <c r="M414" s="391">
        <f ca="1">IF(H414&gt;0,SUMIF(Data!$L$1155:$L$1190,'Production cost'!$C414,Data!$Q$1155:$Q$1190)*SUMIF(Paper!$A$7:$A$70,'Production cost'!$F414,Paper!$J$7:$J$70),0)</f>
        <v>0</v>
      </c>
      <c r="N414" s="391">
        <f t="shared" ref="N414:N418" ca="1" si="289">IF(H414&gt;0,ROUNDUP(((H414/I414)/$M$5+M414),1),0)</f>
        <v>0</v>
      </c>
      <c r="O414" s="313">
        <f>IF($C414=Data!$L$1158,0,Data!$N$1195)</f>
        <v>352574.32240985788</v>
      </c>
      <c r="P414" s="313">
        <f>SUMIF(Data!$L$1155:$L$1190,'Production cost'!$C414,Data!$N$1155:$N$1190)</f>
        <v>64593.240854333337</v>
      </c>
      <c r="Q414" s="313">
        <f t="shared" ca="1" si="287"/>
        <v>0</v>
      </c>
      <c r="R414" s="313">
        <f t="shared" ref="R414:R418" ca="1" si="290">IF($E$2&gt;0,Q414/$E$2,0)</f>
        <v>0</v>
      </c>
      <c r="S414" s="1741">
        <f t="shared" ref="S414:S418" ca="1" si="291">IF(M414&gt;0,K414*O414+L414*P414,0)</f>
        <v>0</v>
      </c>
      <c r="T414" s="313" t="str">
        <f ca="1">input!J782</f>
        <v>N</v>
      </c>
      <c r="V414" s="3115" t="str">
        <f>input!K782</f>
        <v>Packaging</v>
      </c>
      <c r="W414" s="3115">
        <f t="shared" ref="W414:W418" ca="1" si="292">N414*(L414+K414)</f>
        <v>0</v>
      </c>
      <c r="X414" s="3119">
        <f>VLOOKUP(V414,'Fix Cost'!$K$177:$M$179,2,0)</f>
        <v>58449.923860467366</v>
      </c>
      <c r="Y414" s="3119">
        <f>VLOOKUP(V414,'Fix Cost'!$K$177:$M$179,3,0)</f>
        <v>267411.04680782068</v>
      </c>
      <c r="Z414" s="3119">
        <f t="shared" ref="Z414:Z418" ca="1" si="293">IFERROR($X414*W414,0)</f>
        <v>0</v>
      </c>
      <c r="AA414" s="3115">
        <f t="shared" ref="AA414:AA418" ca="1" si="294">IFERROR(Y414*N414,0)</f>
        <v>0</v>
      </c>
      <c r="AB414" s="3115">
        <f t="shared" ref="AB414:AB418" ca="1" si="295">Z414+AA414</f>
        <v>0</v>
      </c>
      <c r="AK414" s="313"/>
      <c r="AL414" s="313"/>
      <c r="AM414" s="313"/>
      <c r="AO414" s="1055"/>
      <c r="AP414" s="385"/>
      <c r="AQ414" s="385"/>
      <c r="AR414" s="1048"/>
      <c r="AS414" s="385"/>
      <c r="AT414" s="879">
        <f t="shared" ca="1" si="288"/>
        <v>0</v>
      </c>
      <c r="AU414" s="879">
        <f ca="1">COUNTIFS(AT$7:$AT414,1)</f>
        <v>5</v>
      </c>
    </row>
    <row r="415" spans="2:47" ht="14.25" hidden="1" customHeight="1" outlineLevel="1">
      <c r="B415" s="1738" t="s">
        <v>29</v>
      </c>
      <c r="C415" s="313" t="str">
        <f>input!C783</f>
        <v>Emboss (NIKKO 1050FH)</v>
      </c>
      <c r="D415" s="313">
        <f>input!D783</f>
        <v>187</v>
      </c>
      <c r="E415" s="363"/>
      <c r="F415" s="363" t="str">
        <f ca="1">input!F783</f>
        <v>N</v>
      </c>
      <c r="G415" s="363"/>
      <c r="H415" s="313">
        <f ca="1">IF(F415="PCS",$E$4,SUMIFS(Paper!$AC$7:$AC$58,Paper!$A$7:$A$58,'Production cost'!F415))</f>
        <v>0</v>
      </c>
      <c r="I415" s="313">
        <f ca="1">IF(input!$G783&gt;0,input!$G783,IF($C415=Data!$L$1158,500,3000))</f>
        <v>3000</v>
      </c>
      <c r="J415" s="313" t="str">
        <f>input!$H783</f>
        <v>Sheets</v>
      </c>
      <c r="K415" s="360">
        <f>IF($C415=Data!$L$1158,0,1/4)</f>
        <v>0.25</v>
      </c>
      <c r="L415" s="313">
        <f ca="1">IF(input!$I783&gt;0,input!$I783,2)</f>
        <v>2</v>
      </c>
      <c r="M415" s="391">
        <f ca="1">IF(H415&gt;0,SUMIF(Data!$L$1155:$L$1190,'Production cost'!$C415,Data!$Q$1155:$Q$1190)*SUMIF(Paper!$A$7:$A$70,'Production cost'!$F415,Paper!$J$7:$J$70),0)</f>
        <v>0</v>
      </c>
      <c r="N415" s="391">
        <f t="shared" ca="1" si="289"/>
        <v>0</v>
      </c>
      <c r="O415" s="313">
        <f>IF($C415=Data!$L$1158,0,Data!$N$1195)</f>
        <v>352574.32240985788</v>
      </c>
      <c r="P415" s="313">
        <f>SUMIF(Data!$L$1155:$L$1190,'Production cost'!$C415,Data!$N$1155:$N$1190)</f>
        <v>64593.240854333337</v>
      </c>
      <c r="Q415" s="313">
        <f t="shared" ca="1" si="287"/>
        <v>0</v>
      </c>
      <c r="R415" s="313">
        <f t="shared" ca="1" si="290"/>
        <v>0</v>
      </c>
      <c r="S415" s="1741">
        <f t="shared" ca="1" si="291"/>
        <v>0</v>
      </c>
      <c r="T415" s="313" t="str">
        <f ca="1">input!J783</f>
        <v>N</v>
      </c>
      <c r="V415" s="3115" t="str">
        <f>input!K783</f>
        <v>Packaging</v>
      </c>
      <c r="W415" s="3115">
        <f t="shared" ca="1" si="292"/>
        <v>0</v>
      </c>
      <c r="X415" s="3119">
        <f>VLOOKUP(V415,'Fix Cost'!$K$177:$M$179,2,0)</f>
        <v>58449.923860467366</v>
      </c>
      <c r="Y415" s="3119">
        <f>VLOOKUP(V415,'Fix Cost'!$K$177:$M$179,3,0)</f>
        <v>267411.04680782068</v>
      </c>
      <c r="Z415" s="3119">
        <f t="shared" ca="1" si="293"/>
        <v>0</v>
      </c>
      <c r="AA415" s="3115">
        <f t="shared" ca="1" si="294"/>
        <v>0</v>
      </c>
      <c r="AB415" s="3115">
        <f t="shared" ca="1" si="295"/>
        <v>0</v>
      </c>
      <c r="AK415" s="313"/>
      <c r="AL415" s="313"/>
      <c r="AM415" s="313"/>
      <c r="AO415" s="1055"/>
      <c r="AP415" s="385"/>
      <c r="AQ415" s="385"/>
      <c r="AR415" s="1048"/>
      <c r="AS415" s="385"/>
      <c r="AT415" s="879">
        <f t="shared" ca="1" si="288"/>
        <v>0</v>
      </c>
      <c r="AU415" s="879">
        <f ca="1">COUNTIFS(AT$7:$AT415,1)</f>
        <v>5</v>
      </c>
    </row>
    <row r="416" spans="2:47" ht="14.25" hidden="1" customHeight="1" outlineLevel="1">
      <c r="B416" s="1738" t="s">
        <v>29</v>
      </c>
      <c r="C416" s="313" t="str">
        <f>input!C784</f>
        <v>Emboss (NIKKO 1050FH)</v>
      </c>
      <c r="D416" s="313">
        <f>input!D784</f>
        <v>204</v>
      </c>
      <c r="E416" s="363"/>
      <c r="F416" s="363" t="str">
        <f ca="1">input!F784</f>
        <v>N</v>
      </c>
      <c r="G416" s="363"/>
      <c r="H416" s="313">
        <f ca="1">IF(F416="PCS",$E$4,SUMIFS(Paper!$AC$7:$AC$58,Paper!$A$7:$A$58,'Production cost'!F416))</f>
        <v>0</v>
      </c>
      <c r="I416" s="313">
        <f ca="1">IF(input!$G784&gt;0,input!$G784,IF($C416=Data!$L$1158,500,3000))</f>
        <v>3000</v>
      </c>
      <c r="J416" s="313" t="str">
        <f>input!$H784</f>
        <v>Sheets</v>
      </c>
      <c r="K416" s="360">
        <f>IF($C416=Data!$L$1158,0,1/4)</f>
        <v>0.25</v>
      </c>
      <c r="L416" s="313">
        <f ca="1">IF(input!$I784&gt;0,input!$I784,2)</f>
        <v>2</v>
      </c>
      <c r="M416" s="391">
        <f ca="1">IF(H416&gt;0,SUMIF(Data!$L$1155:$L$1190,'Production cost'!$C416,Data!$Q$1155:$Q$1190)*SUMIF(Paper!$A$7:$A$70,'Production cost'!$F416,Paper!$J$7:$J$70),0)</f>
        <v>0</v>
      </c>
      <c r="N416" s="391">
        <f t="shared" ca="1" si="289"/>
        <v>0</v>
      </c>
      <c r="O416" s="313">
        <f>IF($C416=Data!$L$1158,0,Data!$N$1195)</f>
        <v>352574.32240985788</v>
      </c>
      <c r="P416" s="313">
        <f>SUMIF(Data!$L$1155:$L$1190,'Production cost'!$C416,Data!$N$1155:$N$1190)</f>
        <v>64593.240854333337</v>
      </c>
      <c r="Q416" s="313">
        <f t="shared" ca="1" si="287"/>
        <v>0</v>
      </c>
      <c r="R416" s="313">
        <f t="shared" ca="1" si="290"/>
        <v>0</v>
      </c>
      <c r="S416" s="1741">
        <f t="shared" ca="1" si="291"/>
        <v>0</v>
      </c>
      <c r="T416" s="313" t="str">
        <f ca="1">input!J784</f>
        <v>N</v>
      </c>
      <c r="V416" s="3115" t="str">
        <f>input!K784</f>
        <v>Packaging</v>
      </c>
      <c r="W416" s="3115">
        <f t="shared" ca="1" si="292"/>
        <v>0</v>
      </c>
      <c r="X416" s="3119">
        <f>VLOOKUP(V416,'Fix Cost'!$K$177:$M$179,2,0)</f>
        <v>58449.923860467366</v>
      </c>
      <c r="Y416" s="3119">
        <f>VLOOKUP(V416,'Fix Cost'!$K$177:$M$179,3,0)</f>
        <v>267411.04680782068</v>
      </c>
      <c r="Z416" s="3119">
        <f t="shared" ca="1" si="293"/>
        <v>0</v>
      </c>
      <c r="AA416" s="3115">
        <f t="shared" ca="1" si="294"/>
        <v>0</v>
      </c>
      <c r="AB416" s="3115">
        <f t="shared" ca="1" si="295"/>
        <v>0</v>
      </c>
      <c r="AK416" s="313"/>
      <c r="AL416" s="313"/>
      <c r="AM416" s="313"/>
      <c r="AO416" s="1055"/>
      <c r="AP416" s="385"/>
      <c r="AQ416" s="385"/>
      <c r="AR416" s="1048"/>
      <c r="AS416" s="385"/>
      <c r="AT416" s="879">
        <f t="shared" ca="1" si="288"/>
        <v>0</v>
      </c>
      <c r="AU416" s="879">
        <f ca="1">COUNTIFS(AT$7:$AT416,1)</f>
        <v>5</v>
      </c>
    </row>
    <row r="417" spans="2:47" ht="14.25" hidden="1" customHeight="1" outlineLevel="1">
      <c r="B417" s="1738" t="s">
        <v>29</v>
      </c>
      <c r="C417" s="313" t="str">
        <f>input!C785</f>
        <v>Emboss (NIKKO 1050FH)</v>
      </c>
      <c r="D417" s="313">
        <f>input!D785</f>
        <v>221</v>
      </c>
      <c r="E417" s="363"/>
      <c r="F417" s="363" t="str">
        <f ca="1">input!F785</f>
        <v>N</v>
      </c>
      <c r="G417" s="363"/>
      <c r="H417" s="313">
        <f ca="1">IF(F417="PCS",$E$4,SUMIFS(Paper!$AC$7:$AC$58,Paper!$A$7:$A$58,'Production cost'!F417))</f>
        <v>0</v>
      </c>
      <c r="I417" s="313">
        <f ca="1">IF(input!$G785&gt;0,input!$G785,IF($C417=Data!$L$1158,500,3000))</f>
        <v>3000</v>
      </c>
      <c r="J417" s="313" t="str">
        <f>input!$H785</f>
        <v>Sheets</v>
      </c>
      <c r="K417" s="360">
        <f>IF($C417=Data!$L$1158,0,1/4)</f>
        <v>0.25</v>
      </c>
      <c r="L417" s="313">
        <f ca="1">IF(input!$I785&gt;0,input!$I785,2)</f>
        <v>2</v>
      </c>
      <c r="M417" s="391">
        <f ca="1">IF(H417&gt;0,SUMIF(Data!$L$1155:$L$1190,'Production cost'!$C417,Data!$Q$1155:$Q$1190)*SUMIF(Paper!$A$7:$A$70,'Production cost'!$F417,Paper!$J$7:$J$70),0)</f>
        <v>0</v>
      </c>
      <c r="N417" s="391">
        <f t="shared" ca="1" si="289"/>
        <v>0</v>
      </c>
      <c r="O417" s="313">
        <f>IF($C417=Data!$L$1158,0,Data!$N$1195)</f>
        <v>352574.32240985788</v>
      </c>
      <c r="P417" s="313">
        <f>SUMIF(Data!$L$1155:$L$1190,'Production cost'!$C417,Data!$N$1155:$N$1190)</f>
        <v>64593.240854333337</v>
      </c>
      <c r="Q417" s="313">
        <f t="shared" ca="1" si="287"/>
        <v>0</v>
      </c>
      <c r="R417" s="313">
        <f t="shared" ca="1" si="290"/>
        <v>0</v>
      </c>
      <c r="S417" s="1741">
        <f t="shared" ca="1" si="291"/>
        <v>0</v>
      </c>
      <c r="T417" s="313" t="str">
        <f ca="1">input!J785</f>
        <v>N</v>
      </c>
      <c r="V417" s="3115" t="str">
        <f>input!K785</f>
        <v>Packaging</v>
      </c>
      <c r="W417" s="3115">
        <f t="shared" ca="1" si="292"/>
        <v>0</v>
      </c>
      <c r="X417" s="3119">
        <f>VLOOKUP(V417,'Fix Cost'!$K$177:$M$179,2,0)</f>
        <v>58449.923860467366</v>
      </c>
      <c r="Y417" s="3119">
        <f>VLOOKUP(V417,'Fix Cost'!$K$177:$M$179,3,0)</f>
        <v>267411.04680782068</v>
      </c>
      <c r="Z417" s="3119">
        <f t="shared" ca="1" si="293"/>
        <v>0</v>
      </c>
      <c r="AA417" s="3115">
        <f t="shared" ca="1" si="294"/>
        <v>0</v>
      </c>
      <c r="AB417" s="3115">
        <f t="shared" ca="1" si="295"/>
        <v>0</v>
      </c>
      <c r="AK417" s="313"/>
      <c r="AL417" s="313"/>
      <c r="AM417" s="313"/>
      <c r="AO417" s="1055"/>
      <c r="AP417" s="385"/>
      <c r="AQ417" s="385"/>
      <c r="AR417" s="1048"/>
      <c r="AS417" s="385"/>
      <c r="AT417" s="879">
        <f t="shared" ca="1" si="288"/>
        <v>0</v>
      </c>
      <c r="AU417" s="879">
        <f ca="1">COUNTIFS(AT$7:$AT417,1)</f>
        <v>5</v>
      </c>
    </row>
    <row r="418" spans="2:47" ht="14.25" hidden="1" customHeight="1" outlineLevel="1">
      <c r="B418" s="1738" t="s">
        <v>29</v>
      </c>
      <c r="C418" s="313" t="str">
        <f>input!C786</f>
        <v>Emboss (NIKKO 1050FH)</v>
      </c>
      <c r="D418" s="313">
        <f>input!D786</f>
        <v>238</v>
      </c>
      <c r="E418" s="363"/>
      <c r="F418" s="363" t="str">
        <f ca="1">input!F786</f>
        <v>N</v>
      </c>
      <c r="G418" s="363"/>
      <c r="H418" s="313">
        <f ca="1">IF(F418="PCS",$E$4,SUMIFS(Paper!$AC$7:$AC$58,Paper!$A$7:$A$58,'Production cost'!F418))</f>
        <v>0</v>
      </c>
      <c r="I418" s="313">
        <f ca="1">IF(input!$G786&gt;0,input!$G786,IF($C418=Data!$L$1158,500,3000))</f>
        <v>3000</v>
      </c>
      <c r="J418" s="313" t="str">
        <f>input!$H786</f>
        <v>Sheets</v>
      </c>
      <c r="K418" s="360">
        <f>IF($C418=Data!$L$1158,0,1/4)</f>
        <v>0.25</v>
      </c>
      <c r="L418" s="313">
        <f ca="1">IF(input!$I786&gt;0,input!$I786,2)</f>
        <v>2</v>
      </c>
      <c r="M418" s="391">
        <f ca="1">IF(H418&gt;0,SUMIF(Data!$L$1155:$L$1190,'Production cost'!$C418,Data!$Q$1155:$Q$1190)*SUMIF(Paper!$A$7:$A$70,'Production cost'!$F418,Paper!$J$7:$J$70),0)</f>
        <v>0</v>
      </c>
      <c r="N418" s="391">
        <f t="shared" ca="1" si="289"/>
        <v>0</v>
      </c>
      <c r="O418" s="313">
        <f>IF($C418=Data!$L$1158,0,Data!$N$1195)</f>
        <v>352574.32240985788</v>
      </c>
      <c r="P418" s="313">
        <f>SUMIF(Data!$L$1155:$L$1190,'Production cost'!$C418,Data!$N$1155:$N$1190)</f>
        <v>64593.240854333337</v>
      </c>
      <c r="Q418" s="313">
        <f t="shared" ca="1" si="287"/>
        <v>0</v>
      </c>
      <c r="R418" s="313">
        <f t="shared" ca="1" si="290"/>
        <v>0</v>
      </c>
      <c r="S418" s="1741">
        <f t="shared" ca="1" si="291"/>
        <v>0</v>
      </c>
      <c r="T418" s="313" t="str">
        <f ca="1">input!J786</f>
        <v>N</v>
      </c>
      <c r="V418" s="3115" t="str">
        <f>input!K786</f>
        <v>Packaging</v>
      </c>
      <c r="W418" s="3115">
        <f t="shared" ca="1" si="292"/>
        <v>0</v>
      </c>
      <c r="X418" s="3119">
        <f>VLOOKUP(V418,'Fix Cost'!$K$177:$M$179,2,0)</f>
        <v>58449.923860467366</v>
      </c>
      <c r="Y418" s="3119">
        <f>VLOOKUP(V418,'Fix Cost'!$K$177:$M$179,3,0)</f>
        <v>267411.04680782068</v>
      </c>
      <c r="Z418" s="3119">
        <f t="shared" ca="1" si="293"/>
        <v>0</v>
      </c>
      <c r="AA418" s="3115">
        <f t="shared" ca="1" si="294"/>
        <v>0</v>
      </c>
      <c r="AB418" s="3115">
        <f t="shared" ca="1" si="295"/>
        <v>0</v>
      </c>
      <c r="AK418" s="313"/>
      <c r="AL418" s="313"/>
      <c r="AM418" s="313"/>
      <c r="AO418" s="1055"/>
      <c r="AP418" s="385"/>
      <c r="AQ418" s="385"/>
      <c r="AR418" s="1048"/>
      <c r="AS418" s="385"/>
      <c r="AT418" s="879">
        <f t="shared" ca="1" si="288"/>
        <v>0</v>
      </c>
      <c r="AU418" s="879">
        <f ca="1">COUNTIFS(AT$7:$AT418,1)</f>
        <v>5</v>
      </c>
    </row>
    <row r="419" spans="2:47" ht="14.25" hidden="1" customHeight="1" outlineLevel="1">
      <c r="B419" s="1738" t="s">
        <v>29</v>
      </c>
      <c r="C419" s="313" t="str">
        <f>input!C787</f>
        <v>Hotstamp (NIKKO 1050FH)</v>
      </c>
      <c r="D419" s="313">
        <f>input!D787</f>
        <v>0</v>
      </c>
      <c r="E419" s="363"/>
      <c r="F419" s="363" t="str">
        <f ca="1">input!F787</f>
        <v>N</v>
      </c>
      <c r="G419" s="363"/>
      <c r="H419" s="313">
        <f ca="1">IF(F419="PCS",$E$4,SUMIFS(Paper!$AC$7:$AC$58,Paper!$A$7:$A$58,'Production cost'!F419))</f>
        <v>0</v>
      </c>
      <c r="I419" s="313">
        <f ca="1">IF(input!$G787&gt;0,input!$G787,IF($C419=Data!$L$1158,500,3000))</f>
        <v>3000</v>
      </c>
      <c r="J419" s="313" t="str">
        <f>input!$H787</f>
        <v>Sheets</v>
      </c>
      <c r="K419" s="360">
        <f>IF($C419=Data!$L$1158,0,1/4)</f>
        <v>0.25</v>
      </c>
      <c r="L419" s="313">
        <f ca="1">IF(input!$I787&gt;0,input!$I787,2)</f>
        <v>2</v>
      </c>
      <c r="M419" s="391">
        <f ca="1">IF(H419&gt;0,SUMIF(Data!$L$1155:$L$1190,'Production cost'!$C419,Data!$Q$1155:$Q$1190)*SUMIF(Paper!$A$7:$A$70,'Production cost'!$F419,Paper!$J$7:$J$70),0)</f>
        <v>0</v>
      </c>
      <c r="N419" s="391">
        <f t="shared" ca="1" si="273"/>
        <v>0</v>
      </c>
      <c r="O419" s="313">
        <f>IF($C419=Data!$L$1158,0,Data!$N$1195)</f>
        <v>352574.32240985788</v>
      </c>
      <c r="P419" s="313">
        <f>SUMIF(Data!$L$1155:$L$1190,'Production cost'!$C419,Data!$N$1155:$N$1190)</f>
        <v>64593.240854333337</v>
      </c>
      <c r="Q419" s="313">
        <f t="shared" ca="1" si="287"/>
        <v>0</v>
      </c>
      <c r="R419" s="313">
        <f t="shared" ca="1" si="274"/>
        <v>0</v>
      </c>
      <c r="S419" s="1741">
        <f t="shared" ca="1" si="275"/>
        <v>0</v>
      </c>
      <c r="T419" s="313" t="str">
        <f ca="1">input!J787</f>
        <v>N</v>
      </c>
      <c r="V419" s="3115" t="str">
        <f>input!K787</f>
        <v>Packaging</v>
      </c>
      <c r="W419" s="3115">
        <f t="shared" ca="1" si="276"/>
        <v>0</v>
      </c>
      <c r="X419" s="3119">
        <f>VLOOKUP(V419,'Fix Cost'!$K$177:$M$179,2,0)</f>
        <v>58449.923860467366</v>
      </c>
      <c r="Y419" s="3119">
        <f>VLOOKUP(V419,'Fix Cost'!$K$177:$M$179,3,0)</f>
        <v>267411.04680782068</v>
      </c>
      <c r="Z419" s="3119">
        <f t="shared" ca="1" si="277"/>
        <v>0</v>
      </c>
      <c r="AA419" s="3115">
        <f t="shared" ca="1" si="278"/>
        <v>0</v>
      </c>
      <c r="AB419" s="3115">
        <f t="shared" ca="1" si="279"/>
        <v>0</v>
      </c>
      <c r="AK419" s="313"/>
      <c r="AL419" s="313"/>
      <c r="AM419" s="313"/>
      <c r="AO419" s="1055"/>
      <c r="AP419" s="385"/>
      <c r="AQ419" s="385"/>
      <c r="AR419" s="1048"/>
      <c r="AS419" s="385"/>
      <c r="AT419" s="879">
        <f t="shared" ca="1" si="288"/>
        <v>0</v>
      </c>
      <c r="AU419" s="879">
        <f ca="1">COUNTIFS(AT$7:$AT419,1)</f>
        <v>5</v>
      </c>
    </row>
    <row r="420" spans="2:47" ht="14.25" hidden="1" customHeight="1" outlineLevel="1">
      <c r="B420" s="1738" t="s">
        <v>29</v>
      </c>
      <c r="C420" s="313" t="str">
        <f>input!C788</f>
        <v>Hotstamp (NIKKO 1050FH)</v>
      </c>
      <c r="D420" s="313">
        <f>input!D788</f>
        <v>17</v>
      </c>
      <c r="E420" s="363"/>
      <c r="F420" s="363" t="str">
        <f ca="1">input!F788</f>
        <v>N</v>
      </c>
      <c r="G420" s="363"/>
      <c r="H420" s="313">
        <f ca="1">IF(F420="PCS",$E$4,SUMIFS(Paper!$AC$7:$AC$58,Paper!$A$7:$A$58,'Production cost'!F420))</f>
        <v>0</v>
      </c>
      <c r="I420" s="313">
        <f ca="1">IF(input!$G788&gt;0,input!$G788,IF($C420=Data!$L$1158,500,3000))</f>
        <v>3000</v>
      </c>
      <c r="J420" s="313" t="str">
        <f>input!$H788</f>
        <v>Sheets</v>
      </c>
      <c r="K420" s="360">
        <f>IF($C420=Data!$L$1158,0,1/4)</f>
        <v>0.25</v>
      </c>
      <c r="L420" s="313">
        <f ca="1">IF(input!$I788&gt;0,input!$I788,2)</f>
        <v>2</v>
      </c>
      <c r="M420" s="391">
        <f ca="1">IF(H420&gt;0,SUMIF(Data!$L$1155:$L$1190,'Production cost'!$C420,Data!$Q$1155:$Q$1190)*SUMIF(Paper!$A$7:$A$70,'Production cost'!$F420,Paper!$J$7:$J$70),0)</f>
        <v>0</v>
      </c>
      <c r="N420" s="391">
        <f t="shared" ref="N420:N427" ca="1" si="296">IF(H420&gt;0,ROUNDUP(((H420/I420)/$M$5+M420),1),0)</f>
        <v>0</v>
      </c>
      <c r="O420" s="313">
        <f>IF($C420=Data!$L$1158,0,Data!$N$1195)</f>
        <v>352574.32240985788</v>
      </c>
      <c r="P420" s="313">
        <f>SUMIF(Data!$L$1155:$L$1190,'Production cost'!$C420,Data!$N$1155:$N$1190)</f>
        <v>64593.240854333337</v>
      </c>
      <c r="Q420" s="313">
        <f t="shared" ca="1" si="287"/>
        <v>0</v>
      </c>
      <c r="R420" s="313">
        <f t="shared" ref="R420:R427" ca="1" si="297">IF($E$2&gt;0,Q420/$E$2,0)</f>
        <v>0</v>
      </c>
      <c r="S420" s="1741">
        <f t="shared" ref="S420:S427" ca="1" si="298">IF(M420&gt;0,K420*O420+L420*P420,0)</f>
        <v>0</v>
      </c>
      <c r="T420" s="313" t="str">
        <f ca="1">input!J788</f>
        <v>N</v>
      </c>
      <c r="V420" s="3115" t="str">
        <f>input!K788</f>
        <v>Packaging</v>
      </c>
      <c r="W420" s="3115">
        <f t="shared" ref="W420:W427" ca="1" si="299">N420*(L420+K420)</f>
        <v>0</v>
      </c>
      <c r="X420" s="3119">
        <f>VLOOKUP(V420,'Fix Cost'!$K$177:$M$179,2,0)</f>
        <v>58449.923860467366</v>
      </c>
      <c r="Y420" s="3119">
        <f>VLOOKUP(V420,'Fix Cost'!$K$177:$M$179,3,0)</f>
        <v>267411.04680782068</v>
      </c>
      <c r="Z420" s="3119">
        <f t="shared" ref="Z420:Z427" ca="1" si="300">IFERROR($X420*W420,0)</f>
        <v>0</v>
      </c>
      <c r="AA420" s="3115">
        <f t="shared" ref="AA420:AA427" ca="1" si="301">IFERROR(Y420*N420,0)</f>
        <v>0</v>
      </c>
      <c r="AB420" s="3115">
        <f t="shared" ref="AB420:AB427" ca="1" si="302">Z420+AA420</f>
        <v>0</v>
      </c>
      <c r="AK420" s="313"/>
      <c r="AL420" s="313"/>
      <c r="AM420" s="313"/>
      <c r="AO420" s="1055"/>
      <c r="AP420" s="385"/>
      <c r="AQ420" s="385"/>
      <c r="AR420" s="1048"/>
      <c r="AS420" s="385"/>
      <c r="AT420" s="879">
        <f t="shared" ca="1" si="288"/>
        <v>0</v>
      </c>
      <c r="AU420" s="879">
        <f ca="1">COUNTIFS(AT$7:$AT420,1)</f>
        <v>5</v>
      </c>
    </row>
    <row r="421" spans="2:47" ht="14.25" hidden="1" customHeight="1" outlineLevel="1">
      <c r="B421" s="1738" t="s">
        <v>29</v>
      </c>
      <c r="C421" s="313" t="str">
        <f>input!C789</f>
        <v>Hotstamp (NIKKO 1050FH)</v>
      </c>
      <c r="D421" s="313">
        <f>input!D789</f>
        <v>34</v>
      </c>
      <c r="E421" s="363"/>
      <c r="F421" s="363" t="str">
        <f ca="1">input!F789</f>
        <v>N</v>
      </c>
      <c r="G421" s="363"/>
      <c r="H421" s="313">
        <f ca="1">IF(F421="PCS",$E$4,SUMIFS(Paper!$AC$7:$AC$58,Paper!$A$7:$A$58,'Production cost'!F421))</f>
        <v>0</v>
      </c>
      <c r="I421" s="313">
        <f ca="1">IF(input!$G789&gt;0,input!$G789,IF($C421=Data!$L$1158,500,3000))</f>
        <v>3000</v>
      </c>
      <c r="J421" s="313" t="str">
        <f>input!$H789</f>
        <v>Sheets</v>
      </c>
      <c r="K421" s="360">
        <f>IF($C421=Data!$L$1158,0,1/4)</f>
        <v>0.25</v>
      </c>
      <c r="L421" s="313">
        <f ca="1">IF(input!$I789&gt;0,input!$I789,2)</f>
        <v>2</v>
      </c>
      <c r="M421" s="391">
        <f ca="1">IF(H421&gt;0,SUMIF(Data!$L$1155:$L$1190,'Production cost'!$C421,Data!$Q$1155:$Q$1190)*SUMIF(Paper!$A$7:$A$70,'Production cost'!$F421,Paper!$J$7:$J$70),0)</f>
        <v>0</v>
      </c>
      <c r="N421" s="391">
        <f t="shared" ca="1" si="296"/>
        <v>0</v>
      </c>
      <c r="O421" s="313">
        <f>IF($C421=Data!$L$1158,0,Data!$N$1195)</f>
        <v>352574.32240985788</v>
      </c>
      <c r="P421" s="313">
        <f>SUMIF(Data!$L$1155:$L$1190,'Production cost'!$C421,Data!$N$1155:$N$1190)</f>
        <v>64593.240854333337</v>
      </c>
      <c r="Q421" s="313">
        <f t="shared" ca="1" si="287"/>
        <v>0</v>
      </c>
      <c r="R421" s="313">
        <f t="shared" ca="1" si="297"/>
        <v>0</v>
      </c>
      <c r="S421" s="1741">
        <f t="shared" ca="1" si="298"/>
        <v>0</v>
      </c>
      <c r="T421" s="313" t="str">
        <f ca="1">input!J789</f>
        <v>N</v>
      </c>
      <c r="V421" s="3115" t="str">
        <f>input!K789</f>
        <v>Packaging</v>
      </c>
      <c r="W421" s="3115">
        <f t="shared" ca="1" si="299"/>
        <v>0</v>
      </c>
      <c r="X421" s="3119">
        <f>VLOOKUP(V421,'Fix Cost'!$K$177:$M$179,2,0)</f>
        <v>58449.923860467366</v>
      </c>
      <c r="Y421" s="3119">
        <f>VLOOKUP(V421,'Fix Cost'!$K$177:$M$179,3,0)</f>
        <v>267411.04680782068</v>
      </c>
      <c r="Z421" s="3119">
        <f t="shared" ca="1" si="300"/>
        <v>0</v>
      </c>
      <c r="AA421" s="3115">
        <f t="shared" ca="1" si="301"/>
        <v>0</v>
      </c>
      <c r="AB421" s="3115">
        <f t="shared" ca="1" si="302"/>
        <v>0</v>
      </c>
      <c r="AK421" s="313"/>
      <c r="AL421" s="313"/>
      <c r="AM421" s="313"/>
      <c r="AO421" s="1055"/>
      <c r="AP421" s="385"/>
      <c r="AQ421" s="385"/>
      <c r="AR421" s="1048"/>
      <c r="AS421" s="385"/>
      <c r="AT421" s="879">
        <f t="shared" ca="1" si="288"/>
        <v>0</v>
      </c>
      <c r="AU421" s="879">
        <f ca="1">COUNTIFS(AT$7:$AT421,1)</f>
        <v>5</v>
      </c>
    </row>
    <row r="422" spans="2:47" ht="14.25" hidden="1" customHeight="1" outlineLevel="1">
      <c r="B422" s="1738" t="s">
        <v>29</v>
      </c>
      <c r="C422" s="313" t="str">
        <f>input!C790</f>
        <v>Hotstamp (NIKKO 1050FH)</v>
      </c>
      <c r="D422" s="313">
        <f>input!D790</f>
        <v>51</v>
      </c>
      <c r="E422" s="363"/>
      <c r="F422" s="363" t="str">
        <f ca="1">input!F790</f>
        <v>N</v>
      </c>
      <c r="G422" s="363"/>
      <c r="H422" s="313">
        <f ca="1">IF(F422="PCS",$E$4,SUMIFS(Paper!$AC$7:$AC$58,Paper!$A$7:$A$58,'Production cost'!F422))</f>
        <v>0</v>
      </c>
      <c r="I422" s="313">
        <f ca="1">IF(input!$G790&gt;0,input!$G790,IF($C422=Data!$L$1158,500,3000))</f>
        <v>3000</v>
      </c>
      <c r="J422" s="313" t="str">
        <f>input!$H790</f>
        <v>Sheets</v>
      </c>
      <c r="K422" s="360">
        <f>IF($C422=Data!$L$1158,0,1/4)</f>
        <v>0.25</v>
      </c>
      <c r="L422" s="313">
        <f ca="1">IF(input!$I790&gt;0,input!$I790,2)</f>
        <v>2</v>
      </c>
      <c r="M422" s="391">
        <f ca="1">IF(H422&gt;0,SUMIF(Data!$L$1155:$L$1190,'Production cost'!$C422,Data!$Q$1155:$Q$1190)*SUMIF(Paper!$A$7:$A$70,'Production cost'!$F422,Paper!$J$7:$J$70),0)</f>
        <v>0</v>
      </c>
      <c r="N422" s="391">
        <f t="shared" ca="1" si="296"/>
        <v>0</v>
      </c>
      <c r="O422" s="313">
        <f>IF($C422=Data!$L$1158,0,Data!$N$1195)</f>
        <v>352574.32240985788</v>
      </c>
      <c r="P422" s="313">
        <f>SUMIF(Data!$L$1155:$L$1190,'Production cost'!$C422,Data!$N$1155:$N$1190)</f>
        <v>64593.240854333337</v>
      </c>
      <c r="Q422" s="313">
        <f t="shared" ca="1" si="287"/>
        <v>0</v>
      </c>
      <c r="R422" s="313">
        <f t="shared" ca="1" si="297"/>
        <v>0</v>
      </c>
      <c r="S422" s="1741">
        <f t="shared" ca="1" si="298"/>
        <v>0</v>
      </c>
      <c r="T422" s="313" t="str">
        <f ca="1">input!J790</f>
        <v>N</v>
      </c>
      <c r="V422" s="3115" t="str">
        <f>input!K790</f>
        <v>Packaging</v>
      </c>
      <c r="W422" s="3115">
        <f t="shared" ca="1" si="299"/>
        <v>0</v>
      </c>
      <c r="X422" s="3119">
        <f>VLOOKUP(V422,'Fix Cost'!$K$177:$M$179,2,0)</f>
        <v>58449.923860467366</v>
      </c>
      <c r="Y422" s="3119">
        <f>VLOOKUP(V422,'Fix Cost'!$K$177:$M$179,3,0)</f>
        <v>267411.04680782068</v>
      </c>
      <c r="Z422" s="3119">
        <f t="shared" ca="1" si="300"/>
        <v>0</v>
      </c>
      <c r="AA422" s="3115">
        <f t="shared" ca="1" si="301"/>
        <v>0</v>
      </c>
      <c r="AB422" s="3115">
        <f t="shared" ca="1" si="302"/>
        <v>0</v>
      </c>
      <c r="AK422" s="313"/>
      <c r="AL422" s="313"/>
      <c r="AM422" s="313"/>
      <c r="AO422" s="1055"/>
      <c r="AP422" s="385"/>
      <c r="AQ422" s="385"/>
      <c r="AR422" s="1048"/>
      <c r="AS422" s="385"/>
      <c r="AT422" s="879">
        <f t="shared" ca="1" si="288"/>
        <v>0</v>
      </c>
      <c r="AU422" s="879">
        <f ca="1">COUNTIFS(AT$7:$AT422,1)</f>
        <v>5</v>
      </c>
    </row>
    <row r="423" spans="2:47" ht="14.25" hidden="1" customHeight="1" outlineLevel="1">
      <c r="B423" s="1738" t="s">
        <v>29</v>
      </c>
      <c r="C423" s="313" t="str">
        <f>input!C791</f>
        <v>Hotstamp (NIKKO 1050FH)</v>
      </c>
      <c r="D423" s="313">
        <f>input!D791</f>
        <v>68</v>
      </c>
      <c r="E423" s="363"/>
      <c r="F423" s="363" t="str">
        <f ca="1">input!F791</f>
        <v>N</v>
      </c>
      <c r="G423" s="363"/>
      <c r="H423" s="313">
        <f ca="1">IF(F423="PCS",$E$4,SUMIFS(Paper!$AC$7:$AC$58,Paper!$A$7:$A$58,'Production cost'!F423))</f>
        <v>0</v>
      </c>
      <c r="I423" s="313">
        <f ca="1">IF(input!$G791&gt;0,input!$G791,IF($C423=Data!$L$1158,500,3000))</f>
        <v>3000</v>
      </c>
      <c r="J423" s="313" t="str">
        <f>input!$H791</f>
        <v>Sheets</v>
      </c>
      <c r="K423" s="360">
        <f>IF($C423=Data!$L$1158,0,1/4)</f>
        <v>0.25</v>
      </c>
      <c r="L423" s="313">
        <f ca="1">IF(input!$I791&gt;0,input!$I791,2)</f>
        <v>2</v>
      </c>
      <c r="M423" s="391">
        <f ca="1">IF(H423&gt;0,SUMIF(Data!$L$1155:$L$1190,'Production cost'!$C423,Data!$Q$1155:$Q$1190)*SUMIF(Paper!$A$7:$A$70,'Production cost'!$F423,Paper!$J$7:$J$70),0)</f>
        <v>0</v>
      </c>
      <c r="N423" s="391">
        <f t="shared" ca="1" si="296"/>
        <v>0</v>
      </c>
      <c r="O423" s="313">
        <f>IF($C423=Data!$L$1158,0,Data!$N$1195)</f>
        <v>352574.32240985788</v>
      </c>
      <c r="P423" s="313">
        <f>SUMIF(Data!$L$1155:$L$1190,'Production cost'!$C423,Data!$N$1155:$N$1190)</f>
        <v>64593.240854333337</v>
      </c>
      <c r="Q423" s="313">
        <f t="shared" ca="1" si="287"/>
        <v>0</v>
      </c>
      <c r="R423" s="313">
        <f t="shared" ca="1" si="297"/>
        <v>0</v>
      </c>
      <c r="S423" s="1741">
        <f t="shared" ca="1" si="298"/>
        <v>0</v>
      </c>
      <c r="T423" s="313" t="str">
        <f ca="1">input!J791</f>
        <v>N</v>
      </c>
      <c r="V423" s="3115" t="str">
        <f>input!K791</f>
        <v>Packaging</v>
      </c>
      <c r="W423" s="3115">
        <f t="shared" ca="1" si="299"/>
        <v>0</v>
      </c>
      <c r="X423" s="3119">
        <f>VLOOKUP(V423,'Fix Cost'!$K$177:$M$179,2,0)</f>
        <v>58449.923860467366</v>
      </c>
      <c r="Y423" s="3119">
        <f>VLOOKUP(V423,'Fix Cost'!$K$177:$M$179,3,0)</f>
        <v>267411.04680782068</v>
      </c>
      <c r="Z423" s="3119">
        <f t="shared" ca="1" si="300"/>
        <v>0</v>
      </c>
      <c r="AA423" s="3115">
        <f t="shared" ca="1" si="301"/>
        <v>0</v>
      </c>
      <c r="AB423" s="3115">
        <f t="shared" ca="1" si="302"/>
        <v>0</v>
      </c>
      <c r="AK423" s="313"/>
      <c r="AL423" s="313"/>
      <c r="AM423" s="313"/>
      <c r="AO423" s="1055"/>
      <c r="AP423" s="385"/>
      <c r="AQ423" s="385"/>
      <c r="AR423" s="1048"/>
      <c r="AS423" s="385"/>
      <c r="AT423" s="879">
        <f t="shared" ca="1" si="288"/>
        <v>0</v>
      </c>
      <c r="AU423" s="879">
        <f ca="1">COUNTIFS(AT$7:$AT423,1)</f>
        <v>5</v>
      </c>
    </row>
    <row r="424" spans="2:47" ht="14.25" hidden="1" customHeight="1" outlineLevel="1">
      <c r="B424" s="1738" t="s">
        <v>29</v>
      </c>
      <c r="C424" s="313" t="str">
        <f>input!C792</f>
        <v>Hotstamp (NIKKO 1050FH)</v>
      </c>
      <c r="D424" s="313">
        <f>input!D792</f>
        <v>85</v>
      </c>
      <c r="E424" s="363"/>
      <c r="F424" s="363" t="str">
        <f ca="1">input!F792</f>
        <v>N</v>
      </c>
      <c r="G424" s="363"/>
      <c r="H424" s="313">
        <f ca="1">IF(F424="PCS",$E$4,SUMIFS(Paper!$AC$7:$AC$58,Paper!$A$7:$A$58,'Production cost'!F424))</f>
        <v>0</v>
      </c>
      <c r="I424" s="313">
        <f ca="1">IF(input!$G792&gt;0,input!$G792,IF($C424=Data!$L$1158,500,3000))</f>
        <v>3000</v>
      </c>
      <c r="J424" s="313" t="str">
        <f>input!$H792</f>
        <v>Sheets</v>
      </c>
      <c r="K424" s="360">
        <f>IF($C424=Data!$L$1158,0,1/4)</f>
        <v>0.25</v>
      </c>
      <c r="L424" s="313">
        <f ca="1">IF(input!$I792&gt;0,input!$I792,2)</f>
        <v>2</v>
      </c>
      <c r="M424" s="391">
        <f ca="1">IF(H424&gt;0,SUMIF(Data!$L$1155:$L$1190,'Production cost'!$C424,Data!$Q$1155:$Q$1190)*SUMIF(Paper!$A$7:$A$70,'Production cost'!$F424,Paper!$J$7:$J$70),0)</f>
        <v>0</v>
      </c>
      <c r="N424" s="391">
        <f t="shared" ca="1" si="296"/>
        <v>0</v>
      </c>
      <c r="O424" s="313">
        <f>IF($C424=Data!$L$1158,0,Data!$N$1195)</f>
        <v>352574.32240985788</v>
      </c>
      <c r="P424" s="313">
        <f>SUMIF(Data!$L$1155:$L$1190,'Production cost'!$C424,Data!$N$1155:$N$1190)</f>
        <v>64593.240854333337</v>
      </c>
      <c r="Q424" s="313">
        <f t="shared" ca="1" si="287"/>
        <v>0</v>
      </c>
      <c r="R424" s="313">
        <f t="shared" ca="1" si="297"/>
        <v>0</v>
      </c>
      <c r="S424" s="1741">
        <f t="shared" ca="1" si="298"/>
        <v>0</v>
      </c>
      <c r="T424" s="313" t="str">
        <f ca="1">input!J792</f>
        <v>N</v>
      </c>
      <c r="V424" s="3115" t="str">
        <f>input!K792</f>
        <v>Packaging</v>
      </c>
      <c r="W424" s="3115">
        <f t="shared" ca="1" si="299"/>
        <v>0</v>
      </c>
      <c r="X424" s="3119">
        <f>VLOOKUP(V424,'Fix Cost'!$K$177:$M$179,2,0)</f>
        <v>58449.923860467366</v>
      </c>
      <c r="Y424" s="3119">
        <f>VLOOKUP(V424,'Fix Cost'!$K$177:$M$179,3,0)</f>
        <v>267411.04680782068</v>
      </c>
      <c r="Z424" s="3119">
        <f t="shared" ca="1" si="300"/>
        <v>0</v>
      </c>
      <c r="AA424" s="3115">
        <f t="shared" ca="1" si="301"/>
        <v>0</v>
      </c>
      <c r="AB424" s="3115">
        <f t="shared" ca="1" si="302"/>
        <v>0</v>
      </c>
      <c r="AK424" s="313"/>
      <c r="AL424" s="313"/>
      <c r="AM424" s="313"/>
      <c r="AO424" s="1055"/>
      <c r="AP424" s="385"/>
      <c r="AQ424" s="385"/>
      <c r="AR424" s="1048"/>
      <c r="AS424" s="385"/>
      <c r="AT424" s="879">
        <f t="shared" ca="1" si="288"/>
        <v>0</v>
      </c>
      <c r="AU424" s="879">
        <f ca="1">COUNTIFS(AT$7:$AT424,1)</f>
        <v>5</v>
      </c>
    </row>
    <row r="425" spans="2:47" ht="14.25" hidden="1" customHeight="1" outlineLevel="1">
      <c r="B425" s="1738" t="s">
        <v>29</v>
      </c>
      <c r="C425" s="313" t="str">
        <f>input!C793</f>
        <v>Hotstamp (NIKKO 1050FH)</v>
      </c>
      <c r="D425" s="313">
        <f>input!D793</f>
        <v>102</v>
      </c>
      <c r="E425" s="363"/>
      <c r="F425" s="363" t="str">
        <f ca="1">input!F793</f>
        <v>N</v>
      </c>
      <c r="G425" s="363"/>
      <c r="H425" s="313">
        <f ca="1">IF(F425="PCS",$E$4,SUMIFS(Paper!$AC$7:$AC$58,Paper!$A$7:$A$58,'Production cost'!F425))</f>
        <v>0</v>
      </c>
      <c r="I425" s="313">
        <f ca="1">IF(input!$G793&gt;0,input!$G793,IF($C425=Data!$L$1158,500,3000))</f>
        <v>3000</v>
      </c>
      <c r="J425" s="313" t="str">
        <f>input!$H793</f>
        <v>Sheets</v>
      </c>
      <c r="K425" s="360">
        <f>IF($C425=Data!$L$1158,0,1/4)</f>
        <v>0.25</v>
      </c>
      <c r="L425" s="313">
        <f ca="1">IF(input!$I793&gt;0,input!$I793,2)</f>
        <v>2</v>
      </c>
      <c r="M425" s="391">
        <f ca="1">IF(H425&gt;0,SUMIF(Data!$L$1155:$L$1190,'Production cost'!$C425,Data!$Q$1155:$Q$1190)*SUMIF(Paper!$A$7:$A$70,'Production cost'!$F425,Paper!$J$7:$J$70),0)</f>
        <v>0</v>
      </c>
      <c r="N425" s="391">
        <f t="shared" ca="1" si="296"/>
        <v>0</v>
      </c>
      <c r="O425" s="313">
        <f>IF($C425=Data!$L$1158,0,Data!$N$1195)</f>
        <v>352574.32240985788</v>
      </c>
      <c r="P425" s="313">
        <f>SUMIF(Data!$L$1155:$L$1190,'Production cost'!$C425,Data!$N$1155:$N$1190)</f>
        <v>64593.240854333337</v>
      </c>
      <c r="Q425" s="313">
        <f t="shared" ca="1" si="287"/>
        <v>0</v>
      </c>
      <c r="R425" s="313">
        <f t="shared" ca="1" si="297"/>
        <v>0</v>
      </c>
      <c r="S425" s="1741">
        <f t="shared" ca="1" si="298"/>
        <v>0</v>
      </c>
      <c r="T425" s="313" t="str">
        <f ca="1">input!J793</f>
        <v>N</v>
      </c>
      <c r="V425" s="3115" t="str">
        <f>input!K793</f>
        <v>Packaging</v>
      </c>
      <c r="W425" s="3115">
        <f t="shared" ca="1" si="299"/>
        <v>0</v>
      </c>
      <c r="X425" s="3119">
        <f>VLOOKUP(V425,'Fix Cost'!$K$177:$M$179,2,0)</f>
        <v>58449.923860467366</v>
      </c>
      <c r="Y425" s="3119">
        <f>VLOOKUP(V425,'Fix Cost'!$K$177:$M$179,3,0)</f>
        <v>267411.04680782068</v>
      </c>
      <c r="Z425" s="3119">
        <f t="shared" ca="1" si="300"/>
        <v>0</v>
      </c>
      <c r="AA425" s="3115">
        <f t="shared" ca="1" si="301"/>
        <v>0</v>
      </c>
      <c r="AB425" s="3115">
        <f t="shared" ca="1" si="302"/>
        <v>0</v>
      </c>
      <c r="AK425" s="313"/>
      <c r="AL425" s="313"/>
      <c r="AM425" s="313"/>
      <c r="AO425" s="1055"/>
      <c r="AP425" s="385"/>
      <c r="AQ425" s="385"/>
      <c r="AR425" s="1048"/>
      <c r="AS425" s="385"/>
      <c r="AT425" s="879">
        <f t="shared" ca="1" si="288"/>
        <v>0</v>
      </c>
      <c r="AU425" s="879">
        <f ca="1">COUNTIFS(AT$7:$AT425,1)</f>
        <v>5</v>
      </c>
    </row>
    <row r="426" spans="2:47" ht="14.25" hidden="1" customHeight="1" outlineLevel="1">
      <c r="B426" s="1738" t="s">
        <v>29</v>
      </c>
      <c r="C426" s="313" t="str">
        <f>input!C794</f>
        <v>Hotstamp (NIKKO 1050FH)</v>
      </c>
      <c r="D426" s="313">
        <f>input!D794</f>
        <v>119</v>
      </c>
      <c r="E426" s="363"/>
      <c r="F426" s="363" t="str">
        <f ca="1">input!F794</f>
        <v>N</v>
      </c>
      <c r="G426" s="363"/>
      <c r="H426" s="313">
        <f ca="1">IF(F426="PCS",$E$4,SUMIFS(Paper!$AC$7:$AC$58,Paper!$A$7:$A$58,'Production cost'!F426))</f>
        <v>0</v>
      </c>
      <c r="I426" s="313">
        <f ca="1">IF(input!$G794&gt;0,input!$G794,IF($C426=Data!$L$1158,500,3000))</f>
        <v>3000</v>
      </c>
      <c r="J426" s="313" t="str">
        <f>input!$H794</f>
        <v>Sheets</v>
      </c>
      <c r="K426" s="360">
        <f>IF($C426=Data!$L$1158,0,1/4)</f>
        <v>0.25</v>
      </c>
      <c r="L426" s="313">
        <f ca="1">IF(input!$I794&gt;0,input!$I794,2)</f>
        <v>2</v>
      </c>
      <c r="M426" s="391">
        <f ca="1">IF(H426&gt;0,SUMIF(Data!$L$1155:$L$1190,'Production cost'!$C426,Data!$Q$1155:$Q$1190)*SUMIF(Paper!$A$7:$A$70,'Production cost'!$F426,Paper!$J$7:$J$70),0)</f>
        <v>0</v>
      </c>
      <c r="N426" s="391">
        <f t="shared" ca="1" si="296"/>
        <v>0</v>
      </c>
      <c r="O426" s="313">
        <f>IF($C426=Data!$L$1158,0,Data!$N$1195)</f>
        <v>352574.32240985788</v>
      </c>
      <c r="P426" s="313">
        <f>SUMIF(Data!$L$1155:$L$1190,'Production cost'!$C426,Data!$N$1155:$N$1190)</f>
        <v>64593.240854333337</v>
      </c>
      <c r="Q426" s="313">
        <f t="shared" ca="1" si="287"/>
        <v>0</v>
      </c>
      <c r="R426" s="313">
        <f t="shared" ca="1" si="297"/>
        <v>0</v>
      </c>
      <c r="S426" s="1741">
        <f t="shared" ca="1" si="298"/>
        <v>0</v>
      </c>
      <c r="T426" s="313" t="str">
        <f ca="1">input!J794</f>
        <v>N</v>
      </c>
      <c r="V426" s="3115" t="str">
        <f>input!K794</f>
        <v>Packaging</v>
      </c>
      <c r="W426" s="3115">
        <f t="shared" ca="1" si="299"/>
        <v>0</v>
      </c>
      <c r="X426" s="3119">
        <f>VLOOKUP(V426,'Fix Cost'!$K$177:$M$179,2,0)</f>
        <v>58449.923860467366</v>
      </c>
      <c r="Y426" s="3119">
        <f>VLOOKUP(V426,'Fix Cost'!$K$177:$M$179,3,0)</f>
        <v>267411.04680782068</v>
      </c>
      <c r="Z426" s="3119">
        <f t="shared" ca="1" si="300"/>
        <v>0</v>
      </c>
      <c r="AA426" s="3115">
        <f t="shared" ca="1" si="301"/>
        <v>0</v>
      </c>
      <c r="AB426" s="3115">
        <f t="shared" ca="1" si="302"/>
        <v>0</v>
      </c>
      <c r="AK426" s="313"/>
      <c r="AL426" s="313"/>
      <c r="AM426" s="313"/>
      <c r="AO426" s="1055"/>
      <c r="AP426" s="385"/>
      <c r="AQ426" s="385"/>
      <c r="AR426" s="1048"/>
      <c r="AS426" s="385"/>
      <c r="AT426" s="879">
        <f t="shared" ca="1" si="288"/>
        <v>0</v>
      </c>
      <c r="AU426" s="879">
        <f ca="1">COUNTIFS(AT$7:$AT426,1)</f>
        <v>5</v>
      </c>
    </row>
    <row r="427" spans="2:47" ht="14.25" hidden="1" customHeight="1" outlineLevel="1">
      <c r="B427" s="1738" t="s">
        <v>29</v>
      </c>
      <c r="C427" s="313" t="str">
        <f>input!C795</f>
        <v>Hotstamp (NIKKO 1050FH)</v>
      </c>
      <c r="D427" s="313">
        <f>input!D795</f>
        <v>136</v>
      </c>
      <c r="E427" s="363"/>
      <c r="F427" s="363" t="str">
        <f ca="1">input!F795</f>
        <v>N</v>
      </c>
      <c r="G427" s="363"/>
      <c r="H427" s="313">
        <f ca="1">IF(F427="PCS",$E$4,SUMIFS(Paper!$AC$7:$AC$58,Paper!$A$7:$A$58,'Production cost'!F427))</f>
        <v>0</v>
      </c>
      <c r="I427" s="313">
        <f ca="1">IF(input!$G795&gt;0,input!$G795,IF($C427=Data!$L$1158,500,3000))</f>
        <v>3000</v>
      </c>
      <c r="J427" s="313" t="str">
        <f>input!$H795</f>
        <v>Sheets</v>
      </c>
      <c r="K427" s="360">
        <f>IF($C427=Data!$L$1158,0,1/4)</f>
        <v>0.25</v>
      </c>
      <c r="L427" s="313">
        <f ca="1">IF(input!$I795&gt;0,input!$I795,2)</f>
        <v>2</v>
      </c>
      <c r="M427" s="391">
        <f ca="1">IF(H427&gt;0,SUMIF(Data!$L$1155:$L$1190,'Production cost'!$C427,Data!$Q$1155:$Q$1190)*SUMIF(Paper!$A$7:$A$70,'Production cost'!$F427,Paper!$J$7:$J$70),0)</f>
        <v>0</v>
      </c>
      <c r="N427" s="391">
        <f t="shared" ca="1" si="296"/>
        <v>0</v>
      </c>
      <c r="O427" s="313">
        <f>IF($C427=Data!$L$1158,0,Data!$N$1195)</f>
        <v>352574.32240985788</v>
      </c>
      <c r="P427" s="313">
        <f>SUMIF(Data!$L$1155:$L$1190,'Production cost'!$C427,Data!$N$1155:$N$1190)</f>
        <v>64593.240854333337</v>
      </c>
      <c r="Q427" s="313">
        <f t="shared" ca="1" si="287"/>
        <v>0</v>
      </c>
      <c r="R427" s="313">
        <f t="shared" ca="1" si="297"/>
        <v>0</v>
      </c>
      <c r="S427" s="1741">
        <f t="shared" ca="1" si="298"/>
        <v>0</v>
      </c>
      <c r="T427" s="313" t="str">
        <f ca="1">input!J795</f>
        <v>N</v>
      </c>
      <c r="V427" s="3115" t="str">
        <f>input!K795</f>
        <v>Packaging</v>
      </c>
      <c r="W427" s="3115">
        <f t="shared" ca="1" si="299"/>
        <v>0</v>
      </c>
      <c r="X427" s="3119">
        <f>VLOOKUP(V427,'Fix Cost'!$K$177:$M$179,2,0)</f>
        <v>58449.923860467366</v>
      </c>
      <c r="Y427" s="3119">
        <f>VLOOKUP(V427,'Fix Cost'!$K$177:$M$179,3,0)</f>
        <v>267411.04680782068</v>
      </c>
      <c r="Z427" s="3119">
        <f t="shared" ca="1" si="300"/>
        <v>0</v>
      </c>
      <c r="AA427" s="3115">
        <f t="shared" ca="1" si="301"/>
        <v>0</v>
      </c>
      <c r="AB427" s="3115">
        <f t="shared" ca="1" si="302"/>
        <v>0</v>
      </c>
      <c r="AK427" s="313"/>
      <c r="AL427" s="313"/>
      <c r="AM427" s="313"/>
      <c r="AO427" s="1055"/>
      <c r="AP427" s="385"/>
      <c r="AQ427" s="385"/>
      <c r="AR427" s="1048"/>
      <c r="AS427" s="385"/>
      <c r="AT427" s="879">
        <f t="shared" ca="1" si="288"/>
        <v>0</v>
      </c>
      <c r="AU427" s="879">
        <f ca="1">COUNTIFS(AT$7:$AT427,1)</f>
        <v>5</v>
      </c>
    </row>
    <row r="428" spans="2:47" ht="14.25" hidden="1" customHeight="1" outlineLevel="1">
      <c r="B428" s="1738" t="s">
        <v>29</v>
      </c>
      <c r="C428" s="313" t="str">
        <f>input!C796</f>
        <v>Hotstamp (NIKKO 1050FH)</v>
      </c>
      <c r="D428" s="313">
        <f>input!D796</f>
        <v>153</v>
      </c>
      <c r="E428" s="363"/>
      <c r="F428" s="363" t="str">
        <f ca="1">input!F796</f>
        <v>N</v>
      </c>
      <c r="G428" s="363"/>
      <c r="H428" s="313">
        <f ca="1">IF(F428="PCS",$E$4,SUMIFS(Paper!$AC$7:$AC$58,Paper!$A$7:$A$58,'Production cost'!F428))</f>
        <v>0</v>
      </c>
      <c r="I428" s="313">
        <f ca="1">IF(input!$G796&gt;0,input!$G796,IF($C428=Data!$L$1158,500,3000))</f>
        <v>3000</v>
      </c>
      <c r="J428" s="313" t="str">
        <f>input!$H796</f>
        <v>Sheets</v>
      </c>
      <c r="K428" s="360">
        <f>IF($C428=Data!$L$1158,0,1/4)</f>
        <v>0.25</v>
      </c>
      <c r="L428" s="313">
        <f ca="1">IF(input!$I796&gt;0,input!$I796,2)</f>
        <v>2</v>
      </c>
      <c r="M428" s="391">
        <f ca="1">IF(H428&gt;0,SUMIF(Data!$L$1155:$L$1190,'Production cost'!$C428,Data!$Q$1155:$Q$1190)*SUMIF(Paper!$A$7:$A$70,'Production cost'!$F428,Paper!$J$7:$J$70),0)</f>
        <v>0</v>
      </c>
      <c r="N428" s="391">
        <f t="shared" ref="N428" ca="1" si="303">IF(H428&gt;0,ROUNDUP(((H428/I428)/$M$5+M428),1),0)</f>
        <v>0</v>
      </c>
      <c r="O428" s="313">
        <f>IF($C428=Data!$L$1158,0,Data!$N$1195)</f>
        <v>352574.32240985788</v>
      </c>
      <c r="P428" s="313">
        <f>SUMIF(Data!$L$1155:$L$1190,'Production cost'!$C428,Data!$N$1155:$N$1190)</f>
        <v>64593.240854333337</v>
      </c>
      <c r="Q428" s="313">
        <f t="shared" ca="1" si="287"/>
        <v>0</v>
      </c>
      <c r="R428" s="313">
        <f t="shared" ref="R428" ca="1" si="304">IF($E$2&gt;0,Q428/$E$2,0)</f>
        <v>0</v>
      </c>
      <c r="S428" s="1741">
        <f t="shared" ref="S428" ca="1" si="305">IF(M428&gt;0,K428*O428+L428*P428,0)</f>
        <v>0</v>
      </c>
      <c r="T428" s="313" t="str">
        <f ca="1">input!J796</f>
        <v>N</v>
      </c>
      <c r="V428" s="3115" t="str">
        <f>input!K789</f>
        <v>Packaging</v>
      </c>
      <c r="W428" s="3115">
        <f t="shared" ca="1" si="276"/>
        <v>0</v>
      </c>
      <c r="X428" s="3119">
        <f>VLOOKUP(V428,'Fix Cost'!$K$177:$M$179,2,0)</f>
        <v>58449.923860467366</v>
      </c>
      <c r="Y428" s="3119">
        <f>VLOOKUP(V428,'Fix Cost'!$K$177:$M$179,3,0)</f>
        <v>267411.04680782068</v>
      </c>
      <c r="Z428" s="3119">
        <f t="shared" ca="1" si="277"/>
        <v>0</v>
      </c>
      <c r="AA428" s="3115">
        <f t="shared" ca="1" si="278"/>
        <v>0</v>
      </c>
      <c r="AB428" s="3115">
        <f t="shared" ca="1" si="279"/>
        <v>0</v>
      </c>
      <c r="AK428" s="313"/>
      <c r="AL428" s="313"/>
      <c r="AM428" s="313"/>
      <c r="AO428" s="1055"/>
      <c r="AP428" s="385"/>
      <c r="AQ428" s="385"/>
      <c r="AR428" s="1048"/>
      <c r="AS428" s="385"/>
      <c r="AT428" s="879">
        <f t="shared" ca="1" si="288"/>
        <v>0</v>
      </c>
      <c r="AU428" s="879">
        <f ca="1">COUNTIFS(AT$7:$AT428,1)</f>
        <v>5</v>
      </c>
    </row>
    <row r="429" spans="2:47" ht="14.25" hidden="1" customHeight="1" outlineLevel="1">
      <c r="B429" s="1738" t="s">
        <v>29</v>
      </c>
      <c r="C429" s="313" t="str">
        <f>input!C797</f>
        <v>Hotstamp (NIKKO 1050FH)</v>
      </c>
      <c r="D429" s="313">
        <f>input!D797</f>
        <v>170</v>
      </c>
      <c r="E429" s="363"/>
      <c r="F429" s="363" t="str">
        <f ca="1">input!F797</f>
        <v>N</v>
      </c>
      <c r="G429" s="363"/>
      <c r="H429" s="313">
        <f ca="1">IF(F429="PCS",$E$4,SUMIFS(Paper!$AC$7:$AC$58,Paper!$A$7:$A$58,'Production cost'!F429))</f>
        <v>0</v>
      </c>
      <c r="I429" s="313">
        <f ca="1">IF(input!$G797&gt;0,input!$G797,IF($C429=Data!$L$1158,500,3000))</f>
        <v>3000</v>
      </c>
      <c r="J429" s="313" t="str">
        <f>input!$H797</f>
        <v>Sheets</v>
      </c>
      <c r="K429" s="360">
        <f>IF($C429=Data!$L$1158,0,1/4)</f>
        <v>0.25</v>
      </c>
      <c r="L429" s="313">
        <f ca="1">IF(input!$I797&gt;0,input!$I797,2)</f>
        <v>2</v>
      </c>
      <c r="M429" s="391">
        <f ca="1">IF(H429&gt;0,SUMIF(Data!$L$1155:$L$1190,'Production cost'!$C429,Data!$Q$1155:$Q$1190)*SUMIF(Paper!$A$7:$A$70,'Production cost'!$F429,Paper!$J$7:$J$70),0)</f>
        <v>0</v>
      </c>
      <c r="N429" s="391">
        <f t="shared" ref="N429:N433" ca="1" si="306">IF(H429&gt;0,ROUNDUP(((H429/I429)/$M$5+M429),1),0)</f>
        <v>0</v>
      </c>
      <c r="O429" s="313">
        <f>IF($C429=Data!$L$1158,0,Data!$N$1195)</f>
        <v>352574.32240985788</v>
      </c>
      <c r="P429" s="313">
        <f>SUMIF(Data!$L$1155:$L$1190,'Production cost'!$C429,Data!$N$1155:$N$1190)</f>
        <v>64593.240854333337</v>
      </c>
      <c r="Q429" s="313">
        <f t="shared" ca="1" si="287"/>
        <v>0</v>
      </c>
      <c r="R429" s="313">
        <f t="shared" ref="R429:R433" ca="1" si="307">IF($E$2&gt;0,Q429/$E$2,0)</f>
        <v>0</v>
      </c>
      <c r="S429" s="1741">
        <f t="shared" ref="S429:S433" ca="1" si="308">IF(M429&gt;0,K429*O429+L429*P429,0)</f>
        <v>0</v>
      </c>
      <c r="T429" s="313" t="str">
        <f ca="1">input!J797</f>
        <v>N</v>
      </c>
      <c r="V429" s="3115" t="str">
        <f>input!K790</f>
        <v>Packaging</v>
      </c>
      <c r="W429" s="3115">
        <f t="shared" ref="W429:W433" ca="1" si="309">N429*(L429+K429)</f>
        <v>0</v>
      </c>
      <c r="X429" s="3119">
        <f>VLOOKUP(V429,'Fix Cost'!$K$177:$M$179,2,0)</f>
        <v>58449.923860467366</v>
      </c>
      <c r="Y429" s="3119">
        <f>VLOOKUP(V429,'Fix Cost'!$K$177:$M$179,3,0)</f>
        <v>267411.04680782068</v>
      </c>
      <c r="Z429" s="3119">
        <f t="shared" ref="Z429:Z433" ca="1" si="310">IFERROR($X429*W429,0)</f>
        <v>0</v>
      </c>
      <c r="AA429" s="3115">
        <f t="shared" ref="AA429:AA433" ca="1" si="311">IFERROR(Y429*N429,0)</f>
        <v>0</v>
      </c>
      <c r="AB429" s="3115">
        <f t="shared" ref="AB429:AB433" ca="1" si="312">Z429+AA429</f>
        <v>0</v>
      </c>
      <c r="AK429" s="313"/>
      <c r="AL429" s="313"/>
      <c r="AM429" s="313"/>
      <c r="AO429" s="1055"/>
      <c r="AP429" s="385"/>
      <c r="AQ429" s="385"/>
      <c r="AR429" s="1048"/>
      <c r="AS429" s="385"/>
      <c r="AT429" s="879">
        <f t="shared" ca="1" si="288"/>
        <v>0</v>
      </c>
      <c r="AU429" s="879">
        <f ca="1">COUNTIFS(AT$7:$AT429,1)</f>
        <v>5</v>
      </c>
    </row>
    <row r="430" spans="2:47" ht="14.25" hidden="1" customHeight="1" outlineLevel="1">
      <c r="B430" s="1738" t="s">
        <v>29</v>
      </c>
      <c r="C430" s="313" t="str">
        <f>input!C798</f>
        <v>Hotstamp (NIKKO 1050FH)</v>
      </c>
      <c r="D430" s="313">
        <f>input!D798</f>
        <v>187</v>
      </c>
      <c r="E430" s="363"/>
      <c r="F430" s="363" t="str">
        <f ca="1">input!F798</f>
        <v>N</v>
      </c>
      <c r="G430" s="363"/>
      <c r="H430" s="313">
        <f ca="1">IF(F430="PCS",$E$4,SUMIFS(Paper!$AC$7:$AC$58,Paper!$A$7:$A$58,'Production cost'!F430))</f>
        <v>0</v>
      </c>
      <c r="I430" s="313">
        <f ca="1">IF(input!$G798&gt;0,input!$G798,IF($C430=Data!$L$1158,500,3000))</f>
        <v>3000</v>
      </c>
      <c r="J430" s="313" t="str">
        <f>input!$H798</f>
        <v>Sheets</v>
      </c>
      <c r="K430" s="360">
        <f>IF($C430=Data!$L$1158,0,1/4)</f>
        <v>0.25</v>
      </c>
      <c r="L430" s="313">
        <f ca="1">IF(input!$I798&gt;0,input!$I798,2)</f>
        <v>2</v>
      </c>
      <c r="M430" s="391">
        <f ca="1">IF(H430&gt;0,SUMIF(Data!$L$1155:$L$1190,'Production cost'!$C430,Data!$Q$1155:$Q$1190)*SUMIF(Paper!$A$7:$A$70,'Production cost'!$F430,Paper!$J$7:$J$70),0)</f>
        <v>0</v>
      </c>
      <c r="N430" s="391">
        <f t="shared" ca="1" si="306"/>
        <v>0</v>
      </c>
      <c r="O430" s="313">
        <f>IF($C430=Data!$L$1158,0,Data!$N$1195)</f>
        <v>352574.32240985788</v>
      </c>
      <c r="P430" s="313">
        <f>SUMIF(Data!$L$1155:$L$1190,'Production cost'!$C430,Data!$N$1155:$N$1190)</f>
        <v>64593.240854333337</v>
      </c>
      <c r="Q430" s="313">
        <f t="shared" ca="1" si="287"/>
        <v>0</v>
      </c>
      <c r="R430" s="313">
        <f t="shared" ca="1" si="307"/>
        <v>0</v>
      </c>
      <c r="S430" s="1741">
        <f t="shared" ca="1" si="308"/>
        <v>0</v>
      </c>
      <c r="T430" s="313" t="str">
        <f ca="1">input!J798</f>
        <v>N</v>
      </c>
      <c r="V430" s="3115" t="str">
        <f>input!K791</f>
        <v>Packaging</v>
      </c>
      <c r="W430" s="3115">
        <f t="shared" ca="1" si="309"/>
        <v>0</v>
      </c>
      <c r="X430" s="3119">
        <f>VLOOKUP(V430,'Fix Cost'!$K$177:$M$179,2,0)</f>
        <v>58449.923860467366</v>
      </c>
      <c r="Y430" s="3119">
        <f>VLOOKUP(V430,'Fix Cost'!$K$177:$M$179,3,0)</f>
        <v>267411.04680782068</v>
      </c>
      <c r="Z430" s="3119">
        <f t="shared" ca="1" si="310"/>
        <v>0</v>
      </c>
      <c r="AA430" s="3115">
        <f t="shared" ca="1" si="311"/>
        <v>0</v>
      </c>
      <c r="AB430" s="3115">
        <f t="shared" ca="1" si="312"/>
        <v>0</v>
      </c>
      <c r="AK430" s="313"/>
      <c r="AL430" s="313"/>
      <c r="AM430" s="313"/>
      <c r="AO430" s="1055"/>
      <c r="AP430" s="385"/>
      <c r="AQ430" s="385"/>
      <c r="AR430" s="1048"/>
      <c r="AS430" s="385"/>
      <c r="AT430" s="879">
        <f t="shared" ca="1" si="288"/>
        <v>0</v>
      </c>
      <c r="AU430" s="879">
        <f ca="1">COUNTIFS(AT$7:$AT430,1)</f>
        <v>5</v>
      </c>
    </row>
    <row r="431" spans="2:47" ht="14.25" hidden="1" customHeight="1" outlineLevel="1">
      <c r="B431" s="1738" t="s">
        <v>29</v>
      </c>
      <c r="C431" s="313" t="str">
        <f>input!C799</f>
        <v>Hotstamp (NIKKO 1050FH)</v>
      </c>
      <c r="D431" s="313">
        <f>input!D799</f>
        <v>204</v>
      </c>
      <c r="E431" s="363"/>
      <c r="F431" s="363" t="str">
        <f ca="1">input!F799</f>
        <v>N</v>
      </c>
      <c r="G431" s="363"/>
      <c r="H431" s="313">
        <f ca="1">IF(F431="PCS",$E$4,SUMIFS(Paper!$AC$7:$AC$58,Paper!$A$7:$A$58,'Production cost'!F431))</f>
        <v>0</v>
      </c>
      <c r="I431" s="313">
        <f ca="1">IF(input!$G799&gt;0,input!$G799,IF($C431=Data!$L$1158,500,3000))</f>
        <v>3000</v>
      </c>
      <c r="J431" s="313" t="str">
        <f>input!$H799</f>
        <v>Sheets</v>
      </c>
      <c r="K431" s="360">
        <f>IF($C431=Data!$L$1158,0,1/4)</f>
        <v>0.25</v>
      </c>
      <c r="L431" s="313">
        <f ca="1">IF(input!$I799&gt;0,input!$I799,2)</f>
        <v>2</v>
      </c>
      <c r="M431" s="391">
        <f ca="1">IF(H431&gt;0,SUMIF(Data!$L$1155:$L$1190,'Production cost'!$C431,Data!$Q$1155:$Q$1190)*SUMIF(Paper!$A$7:$A$70,'Production cost'!$F431,Paper!$J$7:$J$70),0)</f>
        <v>0</v>
      </c>
      <c r="N431" s="391">
        <f t="shared" ca="1" si="306"/>
        <v>0</v>
      </c>
      <c r="O431" s="313">
        <f>IF($C431=Data!$L$1158,0,Data!$N$1195)</f>
        <v>352574.32240985788</v>
      </c>
      <c r="P431" s="313">
        <f>SUMIF(Data!$L$1155:$L$1190,'Production cost'!$C431,Data!$N$1155:$N$1190)</f>
        <v>64593.240854333337</v>
      </c>
      <c r="Q431" s="313">
        <f t="shared" ca="1" si="287"/>
        <v>0</v>
      </c>
      <c r="R431" s="313">
        <f t="shared" ca="1" si="307"/>
        <v>0</v>
      </c>
      <c r="S431" s="1741">
        <f t="shared" ca="1" si="308"/>
        <v>0</v>
      </c>
      <c r="T431" s="313" t="str">
        <f ca="1">input!J799</f>
        <v>N</v>
      </c>
      <c r="V431" s="3115" t="str">
        <f>input!K792</f>
        <v>Packaging</v>
      </c>
      <c r="W431" s="3115">
        <f t="shared" ca="1" si="309"/>
        <v>0</v>
      </c>
      <c r="X431" s="3119">
        <f>VLOOKUP(V431,'Fix Cost'!$K$177:$M$179,2,0)</f>
        <v>58449.923860467366</v>
      </c>
      <c r="Y431" s="3119">
        <f>VLOOKUP(V431,'Fix Cost'!$K$177:$M$179,3,0)</f>
        <v>267411.04680782068</v>
      </c>
      <c r="Z431" s="3119">
        <f t="shared" ca="1" si="310"/>
        <v>0</v>
      </c>
      <c r="AA431" s="3115">
        <f t="shared" ca="1" si="311"/>
        <v>0</v>
      </c>
      <c r="AB431" s="3115">
        <f t="shared" ca="1" si="312"/>
        <v>0</v>
      </c>
      <c r="AK431" s="313"/>
      <c r="AL431" s="313"/>
      <c r="AM431" s="313"/>
      <c r="AO431" s="1055"/>
      <c r="AP431" s="385"/>
      <c r="AQ431" s="385"/>
      <c r="AR431" s="1048"/>
      <c r="AS431" s="385"/>
      <c r="AT431" s="879">
        <f t="shared" ca="1" si="288"/>
        <v>0</v>
      </c>
      <c r="AU431" s="879">
        <f ca="1">COUNTIFS(AT$7:$AT431,1)</f>
        <v>5</v>
      </c>
    </row>
    <row r="432" spans="2:47" ht="14.25" hidden="1" customHeight="1" outlineLevel="1">
      <c r="B432" s="1738" t="s">
        <v>29</v>
      </c>
      <c r="C432" s="313" t="str">
        <f>input!C800</f>
        <v>Hotstamp (NIKKO 1050FH)</v>
      </c>
      <c r="D432" s="313">
        <f>input!D800</f>
        <v>221</v>
      </c>
      <c r="E432" s="363"/>
      <c r="F432" s="363" t="str">
        <f ca="1">input!F800</f>
        <v>N</v>
      </c>
      <c r="G432" s="363"/>
      <c r="H432" s="313">
        <f ca="1">IF(F432="PCS",$E$4,SUMIFS(Paper!$AC$7:$AC$58,Paper!$A$7:$A$58,'Production cost'!F432))</f>
        <v>0</v>
      </c>
      <c r="I432" s="313">
        <f ca="1">IF(input!$G800&gt;0,input!$G800,IF($C432=Data!$L$1158,500,3000))</f>
        <v>3000</v>
      </c>
      <c r="J432" s="313" t="str">
        <f>input!$H800</f>
        <v>Sheets</v>
      </c>
      <c r="K432" s="360">
        <f>IF($C432=Data!$L$1158,0,1/4)</f>
        <v>0.25</v>
      </c>
      <c r="L432" s="313">
        <f ca="1">IF(input!$I800&gt;0,input!$I800,2)</f>
        <v>2</v>
      </c>
      <c r="M432" s="391">
        <f ca="1">IF(H432&gt;0,SUMIF(Data!$L$1155:$L$1190,'Production cost'!$C432,Data!$Q$1155:$Q$1190)*SUMIF(Paper!$A$7:$A$70,'Production cost'!$F432,Paper!$J$7:$J$70),0)</f>
        <v>0</v>
      </c>
      <c r="N432" s="391">
        <f t="shared" ca="1" si="306"/>
        <v>0</v>
      </c>
      <c r="O432" s="313">
        <f>IF($C432=Data!$L$1158,0,Data!$N$1195)</f>
        <v>352574.32240985788</v>
      </c>
      <c r="P432" s="313">
        <f>SUMIF(Data!$L$1155:$L$1190,'Production cost'!$C432,Data!$N$1155:$N$1190)</f>
        <v>64593.240854333337</v>
      </c>
      <c r="Q432" s="313">
        <f t="shared" ca="1" si="287"/>
        <v>0</v>
      </c>
      <c r="R432" s="313">
        <f t="shared" ca="1" si="307"/>
        <v>0</v>
      </c>
      <c r="S432" s="1741">
        <f t="shared" ca="1" si="308"/>
        <v>0</v>
      </c>
      <c r="T432" s="313" t="str">
        <f ca="1">input!J800</f>
        <v>N</v>
      </c>
      <c r="V432" s="3115" t="str">
        <f>input!K793</f>
        <v>Packaging</v>
      </c>
      <c r="W432" s="3115">
        <f t="shared" ca="1" si="309"/>
        <v>0</v>
      </c>
      <c r="X432" s="3119">
        <f>VLOOKUP(V432,'Fix Cost'!$K$177:$M$179,2,0)</f>
        <v>58449.923860467366</v>
      </c>
      <c r="Y432" s="3119">
        <f>VLOOKUP(V432,'Fix Cost'!$K$177:$M$179,3,0)</f>
        <v>267411.04680782068</v>
      </c>
      <c r="Z432" s="3119">
        <f t="shared" ca="1" si="310"/>
        <v>0</v>
      </c>
      <c r="AA432" s="3115">
        <f t="shared" ca="1" si="311"/>
        <v>0</v>
      </c>
      <c r="AB432" s="3115">
        <f t="shared" ca="1" si="312"/>
        <v>0</v>
      </c>
      <c r="AK432" s="313"/>
      <c r="AL432" s="313"/>
      <c r="AM432" s="313"/>
      <c r="AO432" s="1055"/>
      <c r="AP432" s="385"/>
      <c r="AQ432" s="385"/>
      <c r="AR432" s="1048"/>
      <c r="AS432" s="385"/>
      <c r="AT432" s="879">
        <f t="shared" ca="1" si="288"/>
        <v>0</v>
      </c>
      <c r="AU432" s="879">
        <f ca="1">COUNTIFS(AT$7:$AT432,1)</f>
        <v>5</v>
      </c>
    </row>
    <row r="433" spans="2:47" ht="14.25" hidden="1" customHeight="1" outlineLevel="1">
      <c r="B433" s="1738" t="s">
        <v>29</v>
      </c>
      <c r="C433" s="313" t="str">
        <f>input!C801</f>
        <v>Hotstamp (NIKKO 1050FH)</v>
      </c>
      <c r="D433" s="313">
        <f>input!D801</f>
        <v>238</v>
      </c>
      <c r="E433" s="363"/>
      <c r="F433" s="363" t="str">
        <f ca="1">input!F801</f>
        <v>N</v>
      </c>
      <c r="G433" s="363"/>
      <c r="H433" s="313">
        <f ca="1">IF(F433="PCS",$E$4,SUMIFS(Paper!$AC$7:$AC$58,Paper!$A$7:$A$58,'Production cost'!F433))</f>
        <v>0</v>
      </c>
      <c r="I433" s="313">
        <f ca="1">IF(input!$G801&gt;0,input!$G801,IF($C433=Data!$L$1158,500,3000))</f>
        <v>3000</v>
      </c>
      <c r="J433" s="313" t="str">
        <f>input!$H801</f>
        <v>Sheets</v>
      </c>
      <c r="K433" s="360">
        <f>IF($C433=Data!$L$1158,0,1/4)</f>
        <v>0.25</v>
      </c>
      <c r="L433" s="313">
        <f ca="1">IF(input!$I801&gt;0,input!$I801,2)</f>
        <v>2</v>
      </c>
      <c r="M433" s="391">
        <f ca="1">IF(H433&gt;0,SUMIF(Data!$L$1155:$L$1190,'Production cost'!$C433,Data!$Q$1155:$Q$1190)*SUMIF(Paper!$A$7:$A$70,'Production cost'!$F433,Paper!$J$7:$J$70),0)</f>
        <v>0</v>
      </c>
      <c r="N433" s="391">
        <f t="shared" ca="1" si="306"/>
        <v>0</v>
      </c>
      <c r="O433" s="313">
        <f>IF($C433=Data!$L$1158,0,Data!$N$1195)</f>
        <v>352574.32240985788</v>
      </c>
      <c r="P433" s="313">
        <f>SUMIF(Data!$L$1155:$L$1190,'Production cost'!$C433,Data!$N$1155:$N$1190)</f>
        <v>64593.240854333337</v>
      </c>
      <c r="Q433" s="313">
        <f t="shared" ca="1" si="287"/>
        <v>0</v>
      </c>
      <c r="R433" s="313">
        <f t="shared" ca="1" si="307"/>
        <v>0</v>
      </c>
      <c r="S433" s="1741">
        <f t="shared" ca="1" si="308"/>
        <v>0</v>
      </c>
      <c r="T433" s="313" t="str">
        <f ca="1">input!J801</f>
        <v>N</v>
      </c>
      <c r="V433" s="3115" t="str">
        <f>input!K794</f>
        <v>Packaging</v>
      </c>
      <c r="W433" s="3115">
        <f t="shared" ca="1" si="309"/>
        <v>0</v>
      </c>
      <c r="X433" s="3119">
        <f>VLOOKUP(V433,'Fix Cost'!$K$177:$M$179,2,0)</f>
        <v>58449.923860467366</v>
      </c>
      <c r="Y433" s="3119">
        <f>VLOOKUP(V433,'Fix Cost'!$K$177:$M$179,3,0)</f>
        <v>267411.04680782068</v>
      </c>
      <c r="Z433" s="3119">
        <f t="shared" ca="1" si="310"/>
        <v>0</v>
      </c>
      <c r="AA433" s="3115">
        <f t="shared" ca="1" si="311"/>
        <v>0</v>
      </c>
      <c r="AB433" s="3115">
        <f t="shared" ca="1" si="312"/>
        <v>0</v>
      </c>
      <c r="AK433" s="313"/>
      <c r="AL433" s="313"/>
      <c r="AM433" s="313"/>
      <c r="AO433" s="1055"/>
      <c r="AP433" s="385"/>
      <c r="AQ433" s="385"/>
      <c r="AR433" s="1048"/>
      <c r="AS433" s="385"/>
      <c r="AT433" s="879">
        <f t="shared" ca="1" si="288"/>
        <v>0</v>
      </c>
      <c r="AU433" s="879">
        <f ca="1">COUNTIFS(AT$7:$AT433,1)</f>
        <v>5</v>
      </c>
    </row>
    <row r="434" spans="2:47" ht="14.25" hidden="1" customHeight="1" outlineLevel="1">
      <c r="B434" s="1738" t="s">
        <v>29</v>
      </c>
      <c r="C434" s="313" t="str">
        <f>input!C802</f>
        <v>Hotstamp (NIKKO 1050FH)</v>
      </c>
      <c r="D434" s="313">
        <f>input!D802</f>
        <v>0</v>
      </c>
      <c r="E434" s="363"/>
      <c r="F434" s="363" t="str">
        <f ca="1">input!F802</f>
        <v>N</v>
      </c>
      <c r="G434" s="363"/>
      <c r="H434" s="313">
        <f ca="1">IF(F434="PCS",$E$4,SUMIFS(Paper!$AC$7:$AC$58,Paper!$A$7:$A$58,'Production cost'!F434))</f>
        <v>0</v>
      </c>
      <c r="I434" s="313">
        <f ca="1">IF(input!$G802&gt;0,input!$G802,IF($C434=Data!$L$1158,500,3000))</f>
        <v>3000</v>
      </c>
      <c r="J434" s="313" t="str">
        <f>input!$H802</f>
        <v>Sheets</v>
      </c>
      <c r="K434" s="360">
        <f>IF($C434=Data!$L$1158,0,1/4)</f>
        <v>0.25</v>
      </c>
      <c r="L434" s="313">
        <f ca="1">IF(input!$I802&gt;0,input!$I802,2)</f>
        <v>2</v>
      </c>
      <c r="M434" s="391">
        <f ca="1">IF(H434&gt;0,SUMIF(Data!$L$1155:$L$1190,'Production cost'!$C434,Data!$Q$1155:$Q$1190)*SUMIF(Paper!$A$7:$A$70,'Production cost'!$F434,Paper!$J$7:$J$70),0)</f>
        <v>0</v>
      </c>
      <c r="N434" s="391">
        <f t="shared" ref="N434:N440" ca="1" si="313">IF(H434&gt;0,ROUNDUP(((H434/I434)/$M$5+M434),1),0)</f>
        <v>0</v>
      </c>
      <c r="O434" s="313">
        <f>IF($C434=Data!$L$1158,0,Data!$N$1195)</f>
        <v>352574.32240985788</v>
      </c>
      <c r="P434" s="313">
        <f>SUMIF(Data!$L$1155:$L$1190,'Production cost'!$C434,Data!$N$1155:$N$1190)</f>
        <v>64593.240854333337</v>
      </c>
      <c r="Q434" s="313">
        <f t="shared" ca="1" si="287"/>
        <v>0</v>
      </c>
      <c r="R434" s="313">
        <f t="shared" ref="R434:R440" ca="1" si="314">IF($E$2&gt;0,Q434/$E$2,0)</f>
        <v>0</v>
      </c>
      <c r="S434" s="1741">
        <f t="shared" ref="S434:S440" ca="1" si="315">IF(M434&gt;0,K434*O434+L434*P434,0)</f>
        <v>0</v>
      </c>
      <c r="T434" s="313" t="str">
        <f ca="1">input!J802</f>
        <v>N</v>
      </c>
      <c r="V434" s="3115" t="str">
        <f>input!K790</f>
        <v>Packaging</v>
      </c>
      <c r="W434" s="3115">
        <f t="shared" ref="W434:W458" ca="1" si="316">N434*(L434+K434)</f>
        <v>0</v>
      </c>
      <c r="X434" s="3119">
        <f>VLOOKUP(V434,'Fix Cost'!$K$177:$M$179,2,0)</f>
        <v>58449.923860467366</v>
      </c>
      <c r="Y434" s="3119">
        <f>VLOOKUP(V434,'Fix Cost'!$K$177:$M$179,3,0)</f>
        <v>267411.04680782068</v>
      </c>
      <c r="Z434" s="3119">
        <f t="shared" ref="Z434:Z458" ca="1" si="317">IFERROR($X434*W434,0)</f>
        <v>0</v>
      </c>
      <c r="AA434" s="3115">
        <f t="shared" ref="AA434:AA458" ca="1" si="318">IFERROR(Y434*N434,0)</f>
        <v>0</v>
      </c>
      <c r="AB434" s="3115">
        <f t="shared" ref="AB434:AB458" ca="1" si="319">Z434+AA434</f>
        <v>0</v>
      </c>
      <c r="AK434" s="313"/>
      <c r="AL434" s="313"/>
      <c r="AM434" s="313"/>
      <c r="AO434" s="1055"/>
      <c r="AP434" s="385"/>
      <c r="AQ434" s="385"/>
      <c r="AR434" s="1048"/>
      <c r="AS434" s="385"/>
      <c r="AT434" s="879">
        <f t="shared" ca="1" si="288"/>
        <v>0</v>
      </c>
      <c r="AU434" s="879">
        <f ca="1">COUNTIFS(AT$7:$AT434,1)</f>
        <v>5</v>
      </c>
    </row>
    <row r="435" spans="2:47" ht="14.25" hidden="1" customHeight="1" outlineLevel="1">
      <c r="B435" s="1738" t="s">
        <v>29</v>
      </c>
      <c r="C435" s="313" t="str">
        <f>input!C803</f>
        <v>Hotstamp (NIKKO 1050FH)</v>
      </c>
      <c r="D435" s="313">
        <f>input!D803</f>
        <v>17</v>
      </c>
      <c r="E435" s="363"/>
      <c r="F435" s="363" t="str">
        <f ca="1">input!F803</f>
        <v>N</v>
      </c>
      <c r="G435" s="363"/>
      <c r="H435" s="313">
        <f ca="1">IF(F435="PCS",$E$4,SUMIFS(Paper!$AC$7:$AC$58,Paper!$A$7:$A$58,'Production cost'!F435))</f>
        <v>0</v>
      </c>
      <c r="I435" s="313">
        <f ca="1">IF(input!$G803&gt;0,input!$G803,IF($C435=Data!$L$1158,500,3000))</f>
        <v>3000</v>
      </c>
      <c r="J435" s="313" t="str">
        <f>input!$H803</f>
        <v>Sheets</v>
      </c>
      <c r="K435" s="360">
        <f>IF($C435=Data!$L$1158,0,1/4)</f>
        <v>0.25</v>
      </c>
      <c r="L435" s="313">
        <f ca="1">IF(input!$I803&gt;0,input!$I803,2)</f>
        <v>2</v>
      </c>
      <c r="M435" s="391">
        <f ca="1">IF(H435&gt;0,SUMIF(Data!$L$1155:$L$1190,'Production cost'!$C435,Data!$Q$1155:$Q$1190)*SUMIF(Paper!$A$7:$A$70,'Production cost'!$F435,Paper!$J$7:$J$70),0)</f>
        <v>0</v>
      </c>
      <c r="N435" s="391">
        <f t="shared" ca="1" si="313"/>
        <v>0</v>
      </c>
      <c r="O435" s="313">
        <f>IF($C435=Data!$L$1158,0,Data!$N$1195)</f>
        <v>352574.32240985788</v>
      </c>
      <c r="P435" s="313">
        <f>SUMIF(Data!$L$1155:$L$1190,'Production cost'!$C435,Data!$N$1155:$N$1190)</f>
        <v>64593.240854333337</v>
      </c>
      <c r="Q435" s="313">
        <f t="shared" ref="Q435:Q466" ca="1" si="320">(N435*O435*K435+N435*P435*L435)*(1+$R$702)</f>
        <v>0</v>
      </c>
      <c r="R435" s="313">
        <f t="shared" ca="1" si="314"/>
        <v>0</v>
      </c>
      <c r="S435" s="1741">
        <f t="shared" ca="1" si="315"/>
        <v>0</v>
      </c>
      <c r="T435" s="313" t="str">
        <f ca="1">input!J803</f>
        <v>N</v>
      </c>
      <c r="V435" s="3115" t="str">
        <f>input!K791</f>
        <v>Packaging</v>
      </c>
      <c r="W435" s="3115">
        <f t="shared" ca="1" si="316"/>
        <v>0</v>
      </c>
      <c r="X435" s="3119">
        <f>VLOOKUP(V435,'Fix Cost'!$K$177:$M$179,2,0)</f>
        <v>58449.923860467366</v>
      </c>
      <c r="Y435" s="3119">
        <f>VLOOKUP(V435,'Fix Cost'!$K$177:$M$179,3,0)</f>
        <v>267411.04680782068</v>
      </c>
      <c r="Z435" s="3119">
        <f t="shared" ca="1" si="317"/>
        <v>0</v>
      </c>
      <c r="AA435" s="3115">
        <f t="shared" ca="1" si="318"/>
        <v>0</v>
      </c>
      <c r="AB435" s="3115">
        <f t="shared" ca="1" si="319"/>
        <v>0</v>
      </c>
      <c r="AK435" s="313"/>
      <c r="AL435" s="313"/>
      <c r="AM435" s="313"/>
      <c r="AO435" s="1055"/>
      <c r="AP435" s="385"/>
      <c r="AQ435" s="385"/>
      <c r="AR435" s="1048"/>
      <c r="AS435" s="385"/>
      <c r="AT435" s="879">
        <f t="shared" ca="1" si="288"/>
        <v>0</v>
      </c>
      <c r="AU435" s="879">
        <f ca="1">COUNTIFS(AT$7:$AT435,1)</f>
        <v>5</v>
      </c>
    </row>
    <row r="436" spans="2:47" ht="14.25" hidden="1" customHeight="1" outlineLevel="1">
      <c r="B436" s="1738" t="s">
        <v>29</v>
      </c>
      <c r="C436" s="313" t="str">
        <f>input!C804</f>
        <v>Hotstamp (NIKKO 1050FH)</v>
      </c>
      <c r="D436" s="313">
        <f>input!D804</f>
        <v>34</v>
      </c>
      <c r="E436" s="363"/>
      <c r="F436" s="363" t="str">
        <f ca="1">input!F804</f>
        <v>N</v>
      </c>
      <c r="G436" s="363"/>
      <c r="H436" s="313">
        <f ca="1">IF(F436="PCS",$E$4,SUMIFS(Paper!$AC$7:$AC$58,Paper!$A$7:$A$58,'Production cost'!F436))</f>
        <v>0</v>
      </c>
      <c r="I436" s="313">
        <f ca="1">IF(input!$G804&gt;0,input!$G804,IF($C436=Data!$L$1158,500,3000))</f>
        <v>3000</v>
      </c>
      <c r="J436" s="313" t="str">
        <f>input!$H804</f>
        <v>Sheets</v>
      </c>
      <c r="K436" s="360">
        <f>IF($C436=Data!$L$1158,0,1/4)</f>
        <v>0.25</v>
      </c>
      <c r="L436" s="313">
        <f ca="1">IF(input!$I804&gt;0,input!$I804,2)</f>
        <v>2</v>
      </c>
      <c r="M436" s="391">
        <f ca="1">IF(H436&gt;0,SUMIF(Data!$L$1155:$L$1190,'Production cost'!$C436,Data!$Q$1155:$Q$1190)*SUMIF(Paper!$A$7:$A$70,'Production cost'!$F436,Paper!$J$7:$J$70),0)</f>
        <v>0</v>
      </c>
      <c r="N436" s="391">
        <f t="shared" ca="1" si="313"/>
        <v>0</v>
      </c>
      <c r="O436" s="313">
        <f>IF($C436=Data!$L$1158,0,Data!$N$1195)</f>
        <v>352574.32240985788</v>
      </c>
      <c r="P436" s="313">
        <f>SUMIF(Data!$L$1155:$L$1190,'Production cost'!$C436,Data!$N$1155:$N$1190)</f>
        <v>64593.240854333337</v>
      </c>
      <c r="Q436" s="313">
        <f t="shared" ca="1" si="320"/>
        <v>0</v>
      </c>
      <c r="R436" s="313">
        <f t="shared" ca="1" si="314"/>
        <v>0</v>
      </c>
      <c r="S436" s="1741">
        <f t="shared" ca="1" si="315"/>
        <v>0</v>
      </c>
      <c r="T436" s="313" t="str">
        <f ca="1">input!J804</f>
        <v>N</v>
      </c>
      <c r="V436" s="3115" t="str">
        <f>input!K792</f>
        <v>Packaging</v>
      </c>
      <c r="W436" s="3115">
        <f t="shared" ca="1" si="316"/>
        <v>0</v>
      </c>
      <c r="X436" s="3119">
        <f>VLOOKUP(V436,'Fix Cost'!$K$177:$M$179,2,0)</f>
        <v>58449.923860467366</v>
      </c>
      <c r="Y436" s="3119">
        <f>VLOOKUP(V436,'Fix Cost'!$K$177:$M$179,3,0)</f>
        <v>267411.04680782068</v>
      </c>
      <c r="Z436" s="3119">
        <f t="shared" ca="1" si="317"/>
        <v>0</v>
      </c>
      <c r="AA436" s="3115">
        <f t="shared" ca="1" si="318"/>
        <v>0</v>
      </c>
      <c r="AB436" s="3115">
        <f t="shared" ca="1" si="319"/>
        <v>0</v>
      </c>
      <c r="AK436" s="313"/>
      <c r="AL436" s="313"/>
      <c r="AM436" s="313"/>
      <c r="AO436" s="1055"/>
      <c r="AP436" s="385"/>
      <c r="AQ436" s="385"/>
      <c r="AR436" s="1048"/>
      <c r="AS436" s="385"/>
      <c r="AT436" s="879">
        <f t="shared" ca="1" si="288"/>
        <v>0</v>
      </c>
      <c r="AU436" s="879">
        <f ca="1">COUNTIFS(AT$7:$AT436,1)</f>
        <v>5</v>
      </c>
    </row>
    <row r="437" spans="2:47" ht="14.25" hidden="1" customHeight="1" outlineLevel="1">
      <c r="B437" s="1738" t="s">
        <v>29</v>
      </c>
      <c r="C437" s="313" t="str">
        <f>input!C805</f>
        <v>Hotstamp (NIKKO 1050FH)</v>
      </c>
      <c r="D437" s="313">
        <f>input!D805</f>
        <v>51</v>
      </c>
      <c r="E437" s="363"/>
      <c r="F437" s="363" t="str">
        <f ca="1">input!F805</f>
        <v>N</v>
      </c>
      <c r="G437" s="363"/>
      <c r="H437" s="313">
        <f ca="1">IF(F437="PCS",$E$4,SUMIFS(Paper!$AC$7:$AC$58,Paper!$A$7:$A$58,'Production cost'!F437))</f>
        <v>0</v>
      </c>
      <c r="I437" s="313">
        <f ca="1">IF(input!$G805&gt;0,input!$G805,IF($C437=Data!$L$1158,500,3000))</f>
        <v>3000</v>
      </c>
      <c r="J437" s="313" t="str">
        <f>input!$H805</f>
        <v>Sheets</v>
      </c>
      <c r="K437" s="360">
        <f>IF($C437=Data!$L$1158,0,1/4)</f>
        <v>0.25</v>
      </c>
      <c r="L437" s="313">
        <f ca="1">IF(input!$I805&gt;0,input!$I805,2)</f>
        <v>2</v>
      </c>
      <c r="M437" s="391">
        <f ca="1">IF(H437&gt;0,SUMIF(Data!$L$1155:$L$1190,'Production cost'!$C437,Data!$Q$1155:$Q$1190)*SUMIF(Paper!$A$7:$A$70,'Production cost'!$F437,Paper!$J$7:$J$70),0)</f>
        <v>0</v>
      </c>
      <c r="N437" s="391">
        <f t="shared" ca="1" si="313"/>
        <v>0</v>
      </c>
      <c r="O437" s="313">
        <f>IF($C437=Data!$L$1158,0,Data!$N$1195)</f>
        <v>352574.32240985788</v>
      </c>
      <c r="P437" s="313">
        <f>SUMIF(Data!$L$1155:$L$1190,'Production cost'!$C437,Data!$N$1155:$N$1190)</f>
        <v>64593.240854333337</v>
      </c>
      <c r="Q437" s="313">
        <f t="shared" ca="1" si="320"/>
        <v>0</v>
      </c>
      <c r="R437" s="313">
        <f t="shared" ca="1" si="314"/>
        <v>0</v>
      </c>
      <c r="S437" s="1741">
        <f t="shared" ca="1" si="315"/>
        <v>0</v>
      </c>
      <c r="T437" s="313" t="str">
        <f ca="1">input!J805</f>
        <v>N</v>
      </c>
      <c r="V437" s="3115" t="str">
        <f>input!K793</f>
        <v>Packaging</v>
      </c>
      <c r="W437" s="3115">
        <f t="shared" ca="1" si="316"/>
        <v>0</v>
      </c>
      <c r="X437" s="3119">
        <f>VLOOKUP(V437,'Fix Cost'!$K$177:$M$179,2,0)</f>
        <v>58449.923860467366</v>
      </c>
      <c r="Y437" s="3119">
        <f>VLOOKUP(V437,'Fix Cost'!$K$177:$M$179,3,0)</f>
        <v>267411.04680782068</v>
      </c>
      <c r="Z437" s="3119">
        <f t="shared" ca="1" si="317"/>
        <v>0</v>
      </c>
      <c r="AA437" s="3115">
        <f t="shared" ca="1" si="318"/>
        <v>0</v>
      </c>
      <c r="AB437" s="3115">
        <f t="shared" ca="1" si="319"/>
        <v>0</v>
      </c>
      <c r="AK437" s="313"/>
      <c r="AL437" s="313"/>
      <c r="AM437" s="313"/>
      <c r="AO437" s="1055"/>
      <c r="AP437" s="385"/>
      <c r="AQ437" s="385"/>
      <c r="AR437" s="1048"/>
      <c r="AS437" s="385"/>
      <c r="AT437" s="879">
        <f t="shared" ca="1" si="288"/>
        <v>0</v>
      </c>
      <c r="AU437" s="879">
        <f ca="1">COUNTIFS(AT$7:$AT437,1)</f>
        <v>5</v>
      </c>
    </row>
    <row r="438" spans="2:47" ht="14.25" hidden="1" customHeight="1" outlineLevel="1">
      <c r="B438" s="1738" t="s">
        <v>29</v>
      </c>
      <c r="C438" s="313" t="str">
        <f>input!C806</f>
        <v>Hotstamp (NIKKO 1050FH)</v>
      </c>
      <c r="D438" s="313">
        <f>input!D806</f>
        <v>68</v>
      </c>
      <c r="E438" s="363"/>
      <c r="F438" s="363" t="str">
        <f ca="1">input!F806</f>
        <v>N</v>
      </c>
      <c r="G438" s="363"/>
      <c r="H438" s="313">
        <f ca="1">IF(F438="PCS",$E$4,SUMIFS(Paper!$AC$7:$AC$58,Paper!$A$7:$A$58,'Production cost'!F438))</f>
        <v>0</v>
      </c>
      <c r="I438" s="313">
        <f ca="1">IF(input!$G806&gt;0,input!$G806,IF($C438=Data!$L$1158,500,3000))</f>
        <v>3000</v>
      </c>
      <c r="J438" s="313" t="str">
        <f>input!$H806</f>
        <v>Sheets</v>
      </c>
      <c r="K438" s="360">
        <f>IF($C438=Data!$L$1158,0,1/4)</f>
        <v>0.25</v>
      </c>
      <c r="L438" s="313">
        <f ca="1">IF(input!$I806&gt;0,input!$I806,2)</f>
        <v>2</v>
      </c>
      <c r="M438" s="391">
        <f ca="1">IF(H438&gt;0,SUMIF(Data!$L$1155:$L$1190,'Production cost'!$C438,Data!$Q$1155:$Q$1190)*SUMIF(Paper!$A$7:$A$70,'Production cost'!$F438,Paper!$J$7:$J$70),0)</f>
        <v>0</v>
      </c>
      <c r="N438" s="391">
        <f t="shared" ca="1" si="313"/>
        <v>0</v>
      </c>
      <c r="O438" s="313">
        <f>IF($C438=Data!$L$1158,0,Data!$N$1195)</f>
        <v>352574.32240985788</v>
      </c>
      <c r="P438" s="313">
        <f>SUMIF(Data!$L$1155:$L$1190,'Production cost'!$C438,Data!$N$1155:$N$1190)</f>
        <v>64593.240854333337</v>
      </c>
      <c r="Q438" s="313">
        <f t="shared" ca="1" si="320"/>
        <v>0</v>
      </c>
      <c r="R438" s="313">
        <f t="shared" ca="1" si="314"/>
        <v>0</v>
      </c>
      <c r="S438" s="1741">
        <f t="shared" ca="1" si="315"/>
        <v>0</v>
      </c>
      <c r="T438" s="313" t="str">
        <f ca="1">input!J806</f>
        <v>N</v>
      </c>
      <c r="V438" s="3115" t="str">
        <f>input!K794</f>
        <v>Packaging</v>
      </c>
      <c r="W438" s="3115">
        <f t="shared" ca="1" si="316"/>
        <v>0</v>
      </c>
      <c r="X438" s="3119">
        <f>VLOOKUP(V438,'Fix Cost'!$K$177:$M$179,2,0)</f>
        <v>58449.923860467366</v>
      </c>
      <c r="Y438" s="3119">
        <f>VLOOKUP(V438,'Fix Cost'!$K$177:$M$179,3,0)</f>
        <v>267411.04680782068</v>
      </c>
      <c r="Z438" s="3119">
        <f t="shared" ca="1" si="317"/>
        <v>0</v>
      </c>
      <c r="AA438" s="3115">
        <f t="shared" ca="1" si="318"/>
        <v>0</v>
      </c>
      <c r="AB438" s="3115">
        <f t="shared" ca="1" si="319"/>
        <v>0</v>
      </c>
      <c r="AK438" s="313"/>
      <c r="AL438" s="313"/>
      <c r="AM438" s="313"/>
      <c r="AO438" s="1055"/>
      <c r="AP438" s="385"/>
      <c r="AQ438" s="385"/>
      <c r="AR438" s="1048"/>
      <c r="AS438" s="385"/>
      <c r="AT438" s="879">
        <f t="shared" ca="1" si="288"/>
        <v>0</v>
      </c>
      <c r="AU438" s="879">
        <f ca="1">COUNTIFS(AT$7:$AT438,1)</f>
        <v>5</v>
      </c>
    </row>
    <row r="439" spans="2:47" ht="14.25" hidden="1" customHeight="1" outlineLevel="1">
      <c r="B439" s="1738" t="s">
        <v>29</v>
      </c>
      <c r="C439" s="313" t="str">
        <f>input!C807</f>
        <v>Hotstamp (NIKKO 1050FH)</v>
      </c>
      <c r="D439" s="313">
        <f>input!D807</f>
        <v>85</v>
      </c>
      <c r="E439" s="363"/>
      <c r="F439" s="363" t="str">
        <f ca="1">input!F807</f>
        <v>N</v>
      </c>
      <c r="G439" s="363"/>
      <c r="H439" s="313">
        <f ca="1">IF(F439="PCS",$E$4,SUMIFS(Paper!$AC$7:$AC$58,Paper!$A$7:$A$58,'Production cost'!F439))</f>
        <v>0</v>
      </c>
      <c r="I439" s="313">
        <f ca="1">IF(input!$G807&gt;0,input!$G807,IF($C439=Data!$L$1158,500,3000))</f>
        <v>3000</v>
      </c>
      <c r="J439" s="313" t="str">
        <f>input!$H807</f>
        <v>Sheets</v>
      </c>
      <c r="K439" s="360">
        <f>IF($C439=Data!$L$1158,0,1/4)</f>
        <v>0.25</v>
      </c>
      <c r="L439" s="313">
        <f ca="1">IF(input!$I807&gt;0,input!$I807,2)</f>
        <v>2</v>
      </c>
      <c r="M439" s="391">
        <f ca="1">IF(H439&gt;0,SUMIF(Data!$L$1155:$L$1190,'Production cost'!$C439,Data!$Q$1155:$Q$1190)*SUMIF(Paper!$A$7:$A$70,'Production cost'!$F439,Paper!$J$7:$J$70),0)</f>
        <v>0</v>
      </c>
      <c r="N439" s="391">
        <f t="shared" ca="1" si="313"/>
        <v>0</v>
      </c>
      <c r="O439" s="313">
        <f>IF($C439=Data!$L$1158,0,Data!$N$1195)</f>
        <v>352574.32240985788</v>
      </c>
      <c r="P439" s="313">
        <f>SUMIF(Data!$L$1155:$L$1190,'Production cost'!$C439,Data!$N$1155:$N$1190)</f>
        <v>64593.240854333337</v>
      </c>
      <c r="Q439" s="313">
        <f t="shared" ca="1" si="320"/>
        <v>0</v>
      </c>
      <c r="R439" s="313">
        <f t="shared" ca="1" si="314"/>
        <v>0</v>
      </c>
      <c r="S439" s="1741">
        <f t="shared" ca="1" si="315"/>
        <v>0</v>
      </c>
      <c r="T439" s="313" t="str">
        <f ca="1">input!J807</f>
        <v>N</v>
      </c>
      <c r="V439" s="3115" t="str">
        <f>input!K795</f>
        <v>Packaging</v>
      </c>
      <c r="W439" s="3115">
        <f t="shared" ca="1" si="316"/>
        <v>0</v>
      </c>
      <c r="X439" s="3119">
        <f>VLOOKUP(V439,'Fix Cost'!$K$177:$M$179,2,0)</f>
        <v>58449.923860467366</v>
      </c>
      <c r="Y439" s="3119">
        <f>VLOOKUP(V439,'Fix Cost'!$K$177:$M$179,3,0)</f>
        <v>267411.04680782068</v>
      </c>
      <c r="Z439" s="3119">
        <f t="shared" ca="1" si="317"/>
        <v>0</v>
      </c>
      <c r="AA439" s="3115">
        <f t="shared" ca="1" si="318"/>
        <v>0</v>
      </c>
      <c r="AB439" s="3115">
        <f t="shared" ca="1" si="319"/>
        <v>0</v>
      </c>
      <c r="AK439" s="313"/>
      <c r="AL439" s="313"/>
      <c r="AM439" s="313"/>
      <c r="AO439" s="1055"/>
      <c r="AP439" s="385"/>
      <c r="AQ439" s="385"/>
      <c r="AR439" s="1048"/>
      <c r="AS439" s="385"/>
      <c r="AT439" s="879">
        <f t="shared" ca="1" si="288"/>
        <v>0</v>
      </c>
      <c r="AU439" s="879">
        <f ca="1">COUNTIFS(AT$7:$AT439,1)</f>
        <v>5</v>
      </c>
    </row>
    <row r="440" spans="2:47" ht="14.25" hidden="1" customHeight="1" outlineLevel="1">
      <c r="B440" s="1738" t="s">
        <v>29</v>
      </c>
      <c r="C440" s="313" t="str">
        <f>input!C808</f>
        <v>Hotstamp (NIKKO 1050FH)</v>
      </c>
      <c r="D440" s="313">
        <f>input!D808</f>
        <v>102</v>
      </c>
      <c r="E440" s="363"/>
      <c r="F440" s="363" t="str">
        <f ca="1">input!F808</f>
        <v>N</v>
      </c>
      <c r="G440" s="363"/>
      <c r="H440" s="313">
        <f ca="1">IF(F440="PCS",$E$4,SUMIFS(Paper!$AC$7:$AC$58,Paper!$A$7:$A$58,'Production cost'!F440))</f>
        <v>0</v>
      </c>
      <c r="I440" s="313">
        <f ca="1">IF(input!$G808&gt;0,input!$G808,IF($C440=Data!$L$1158,500,3000))</f>
        <v>3000</v>
      </c>
      <c r="J440" s="313" t="str">
        <f>input!$H808</f>
        <v>Sheets</v>
      </c>
      <c r="K440" s="360">
        <f>IF($C440=Data!$L$1158,0,1/4)</f>
        <v>0.25</v>
      </c>
      <c r="L440" s="313">
        <f ca="1">IF(input!$I808&gt;0,input!$I808,2)</f>
        <v>2</v>
      </c>
      <c r="M440" s="391">
        <f ca="1">IF(H440&gt;0,SUMIF(Data!$L$1155:$L$1190,'Production cost'!$C440,Data!$Q$1155:$Q$1190)*SUMIF(Paper!$A$7:$A$70,'Production cost'!$F440,Paper!$J$7:$J$70),0)</f>
        <v>0</v>
      </c>
      <c r="N440" s="391">
        <f t="shared" ca="1" si="313"/>
        <v>0</v>
      </c>
      <c r="O440" s="313">
        <f>IF($C440=Data!$L$1158,0,Data!$N$1195)</f>
        <v>352574.32240985788</v>
      </c>
      <c r="P440" s="313">
        <f>SUMIF(Data!$L$1155:$L$1190,'Production cost'!$C440,Data!$N$1155:$N$1190)</f>
        <v>64593.240854333337</v>
      </c>
      <c r="Q440" s="313">
        <f t="shared" ca="1" si="320"/>
        <v>0</v>
      </c>
      <c r="R440" s="313">
        <f t="shared" ca="1" si="314"/>
        <v>0</v>
      </c>
      <c r="S440" s="1741">
        <f t="shared" ca="1" si="315"/>
        <v>0</v>
      </c>
      <c r="T440" s="313" t="str">
        <f ca="1">input!J808</f>
        <v>N</v>
      </c>
      <c r="V440" s="3115" t="str">
        <f>input!K796</f>
        <v>Packaging</v>
      </c>
      <c r="W440" s="3115">
        <f t="shared" ca="1" si="316"/>
        <v>0</v>
      </c>
      <c r="X440" s="3119">
        <f>VLOOKUP(V440,'Fix Cost'!$K$177:$M$179,2,0)</f>
        <v>58449.923860467366</v>
      </c>
      <c r="Y440" s="3119">
        <f>VLOOKUP(V440,'Fix Cost'!$K$177:$M$179,3,0)</f>
        <v>267411.04680782068</v>
      </c>
      <c r="Z440" s="3119">
        <f t="shared" ca="1" si="317"/>
        <v>0</v>
      </c>
      <c r="AA440" s="3115">
        <f t="shared" ca="1" si="318"/>
        <v>0</v>
      </c>
      <c r="AB440" s="3115">
        <f t="shared" ca="1" si="319"/>
        <v>0</v>
      </c>
      <c r="AK440" s="313"/>
      <c r="AL440" s="313"/>
      <c r="AM440" s="313"/>
      <c r="AO440" s="1055"/>
      <c r="AP440" s="385"/>
      <c r="AQ440" s="385"/>
      <c r="AR440" s="1048"/>
      <c r="AS440" s="385"/>
      <c r="AT440" s="879">
        <f t="shared" ca="1" si="288"/>
        <v>0</v>
      </c>
      <c r="AU440" s="879">
        <f ca="1">COUNTIFS(AT$7:$AT440,1)</f>
        <v>5</v>
      </c>
    </row>
    <row r="441" spans="2:47" ht="14.25" hidden="1" customHeight="1" outlineLevel="1">
      <c r="B441" s="1738" t="s">
        <v>29</v>
      </c>
      <c r="C441" s="313" t="str">
        <f>input!C809</f>
        <v>Hotstamp (NIKKO 1050FH)</v>
      </c>
      <c r="D441" s="313">
        <f>input!D809</f>
        <v>119</v>
      </c>
      <c r="E441" s="363"/>
      <c r="F441" s="363" t="str">
        <f ca="1">input!F809</f>
        <v>N</v>
      </c>
      <c r="G441" s="363"/>
      <c r="H441" s="313">
        <f ca="1">IF(F441="PCS",$E$4,SUMIFS(Paper!$AC$7:$AC$58,Paper!$A$7:$A$58,'Production cost'!F441))</f>
        <v>0</v>
      </c>
      <c r="I441" s="313">
        <f ca="1">IF(input!$G809&gt;0,input!$G809,IF($C441=Data!$L$1158,500,3000))</f>
        <v>3000</v>
      </c>
      <c r="J441" s="313" t="str">
        <f>input!$H809</f>
        <v>Sheets</v>
      </c>
      <c r="K441" s="360">
        <f>IF($C441=Data!$L$1158,0,1/4)</f>
        <v>0.25</v>
      </c>
      <c r="L441" s="313">
        <f ca="1">IF(input!$I809&gt;0,input!$I809,2)</f>
        <v>2</v>
      </c>
      <c r="M441" s="391">
        <f ca="1">IF(H441&gt;0,SUMIF(Data!$L$1155:$L$1190,'Production cost'!$C441,Data!$Q$1155:$Q$1190)*SUMIF(Paper!$A$7:$A$70,'Production cost'!$F441,Paper!$J$7:$J$70),0)</f>
        <v>0</v>
      </c>
      <c r="N441" s="391">
        <f t="shared" ref="N441:N458" ca="1" si="321">IF(H441&gt;0,ROUNDUP(((H441/I441)/$M$5+M441),1),0)</f>
        <v>0</v>
      </c>
      <c r="O441" s="313">
        <f>IF($C441=Data!$L$1158,0,Data!$N$1195)</f>
        <v>352574.32240985788</v>
      </c>
      <c r="P441" s="313">
        <f>SUMIF(Data!$L$1155:$L$1190,'Production cost'!$C441,Data!$N$1155:$N$1190)</f>
        <v>64593.240854333337</v>
      </c>
      <c r="Q441" s="313">
        <f t="shared" ca="1" si="320"/>
        <v>0</v>
      </c>
      <c r="R441" s="313">
        <f t="shared" ref="R441:R458" ca="1" si="322">IF($E$2&gt;0,Q441/$E$2,0)</f>
        <v>0</v>
      </c>
      <c r="S441" s="1741">
        <f t="shared" ref="S441:S458" ca="1" si="323">IF(M441&gt;0,K441*O441+L441*P441,0)</f>
        <v>0</v>
      </c>
      <c r="T441" s="313" t="str">
        <f ca="1">input!J809</f>
        <v>N</v>
      </c>
      <c r="V441" s="3115" t="str">
        <f>input!K802</f>
        <v>Packaging</v>
      </c>
      <c r="W441" s="3115">
        <f t="shared" ca="1" si="316"/>
        <v>0</v>
      </c>
      <c r="X441" s="3119">
        <f>VLOOKUP(V441,'Fix Cost'!$K$177:$M$179,2,0)</f>
        <v>58449.923860467366</v>
      </c>
      <c r="Y441" s="3119">
        <f>VLOOKUP(V441,'Fix Cost'!$K$177:$M$179,3,0)</f>
        <v>267411.04680782068</v>
      </c>
      <c r="Z441" s="3119">
        <f t="shared" ca="1" si="317"/>
        <v>0</v>
      </c>
      <c r="AA441" s="3115">
        <f t="shared" ca="1" si="318"/>
        <v>0</v>
      </c>
      <c r="AB441" s="3115">
        <f t="shared" ca="1" si="319"/>
        <v>0</v>
      </c>
      <c r="AK441" s="313"/>
      <c r="AL441" s="313"/>
      <c r="AM441" s="313"/>
      <c r="AO441" s="1055"/>
      <c r="AP441" s="385"/>
      <c r="AQ441" s="385"/>
      <c r="AR441" s="1048"/>
      <c r="AS441" s="385"/>
      <c r="AT441" s="879">
        <f t="shared" ca="1" si="288"/>
        <v>0</v>
      </c>
      <c r="AU441" s="879">
        <f ca="1">COUNTIFS(AT$7:$AT441,1)</f>
        <v>5</v>
      </c>
    </row>
    <row r="442" spans="2:47" ht="14.25" hidden="1" customHeight="1" outlineLevel="1">
      <c r="B442" s="1738" t="s">
        <v>29</v>
      </c>
      <c r="C442" s="313" t="str">
        <f>input!C810</f>
        <v>Hotstamp (NIKKO 1050FH)</v>
      </c>
      <c r="D442" s="313">
        <f>input!D810</f>
        <v>136</v>
      </c>
      <c r="E442" s="363"/>
      <c r="F442" s="363" t="str">
        <f ca="1">input!F810</f>
        <v>N</v>
      </c>
      <c r="G442" s="363"/>
      <c r="H442" s="313">
        <f ca="1">IF(F442="PCS",$E$4,SUMIFS(Paper!$AC$7:$AC$58,Paper!$A$7:$A$58,'Production cost'!F442))</f>
        <v>0</v>
      </c>
      <c r="I442" s="313">
        <f ca="1">IF(input!$G810&gt;0,input!$G810,IF($C442=Data!$L$1158,500,3000))</f>
        <v>3000</v>
      </c>
      <c r="J442" s="313" t="str">
        <f>input!$H810</f>
        <v>Sheets</v>
      </c>
      <c r="K442" s="360">
        <f>IF($C442=Data!$L$1158,0,1/4)</f>
        <v>0.25</v>
      </c>
      <c r="L442" s="313">
        <f ca="1">IF(input!$I810&gt;0,input!$I810,2)</f>
        <v>2</v>
      </c>
      <c r="M442" s="391">
        <f ca="1">IF(H442&gt;0,SUMIF(Data!$L$1155:$L$1190,'Production cost'!$C442,Data!$Q$1155:$Q$1190)*SUMIF(Paper!$A$7:$A$70,'Production cost'!$F442,Paper!$J$7:$J$70),0)</f>
        <v>0</v>
      </c>
      <c r="N442" s="391">
        <f t="shared" ca="1" si="321"/>
        <v>0</v>
      </c>
      <c r="O442" s="313">
        <f>IF($C442=Data!$L$1158,0,Data!$N$1195)</f>
        <v>352574.32240985788</v>
      </c>
      <c r="P442" s="313">
        <f>SUMIF(Data!$L$1155:$L$1190,'Production cost'!$C442,Data!$N$1155:$N$1190)</f>
        <v>64593.240854333337</v>
      </c>
      <c r="Q442" s="313">
        <f t="shared" ca="1" si="320"/>
        <v>0</v>
      </c>
      <c r="R442" s="313">
        <f t="shared" ca="1" si="322"/>
        <v>0</v>
      </c>
      <c r="S442" s="1741">
        <f t="shared" ca="1" si="323"/>
        <v>0</v>
      </c>
      <c r="T442" s="313" t="str">
        <f ca="1">input!J810</f>
        <v>N</v>
      </c>
      <c r="V442" s="3115" t="str">
        <f>input!K803</f>
        <v>Packaging</v>
      </c>
      <c r="W442" s="3115">
        <f t="shared" ca="1" si="316"/>
        <v>0</v>
      </c>
      <c r="X442" s="3119">
        <f>VLOOKUP(V442,'Fix Cost'!$K$177:$M$179,2,0)</f>
        <v>58449.923860467366</v>
      </c>
      <c r="Y442" s="3119">
        <f>VLOOKUP(V442,'Fix Cost'!$K$177:$M$179,3,0)</f>
        <v>267411.04680782068</v>
      </c>
      <c r="Z442" s="3119">
        <f t="shared" ca="1" si="317"/>
        <v>0</v>
      </c>
      <c r="AA442" s="3115">
        <f t="shared" ca="1" si="318"/>
        <v>0</v>
      </c>
      <c r="AB442" s="3115">
        <f t="shared" ca="1" si="319"/>
        <v>0</v>
      </c>
      <c r="AK442" s="313"/>
      <c r="AL442" s="313"/>
      <c r="AM442" s="313"/>
      <c r="AO442" s="1055"/>
      <c r="AP442" s="385"/>
      <c r="AQ442" s="385"/>
      <c r="AR442" s="1048"/>
      <c r="AS442" s="385"/>
      <c r="AT442" s="879">
        <f t="shared" ca="1" si="288"/>
        <v>0</v>
      </c>
      <c r="AU442" s="879">
        <f ca="1">COUNTIFS(AT$7:$AT442,1)</f>
        <v>5</v>
      </c>
    </row>
    <row r="443" spans="2:47" ht="14.25" hidden="1" customHeight="1" outlineLevel="1">
      <c r="B443" s="1738" t="s">
        <v>29</v>
      </c>
      <c r="C443" s="313" t="str">
        <f>input!C811</f>
        <v>Hotstamp (NIKKO 1050FH)</v>
      </c>
      <c r="D443" s="313">
        <f>input!D811</f>
        <v>153</v>
      </c>
      <c r="E443" s="363"/>
      <c r="F443" s="363" t="str">
        <f ca="1">input!F811</f>
        <v>N</v>
      </c>
      <c r="G443" s="363"/>
      <c r="H443" s="313">
        <f ca="1">IF(F443="PCS",$E$4,SUMIFS(Paper!$AC$7:$AC$58,Paper!$A$7:$A$58,'Production cost'!F443))</f>
        <v>0</v>
      </c>
      <c r="I443" s="313">
        <f ca="1">IF(input!$G811&gt;0,input!$G811,IF($C443=Data!$L$1158,500,3000))</f>
        <v>3000</v>
      </c>
      <c r="J443" s="313" t="str">
        <f>input!$H811</f>
        <v>Sheets</v>
      </c>
      <c r="K443" s="360">
        <f>IF($C443=Data!$L$1158,0,1/4)</f>
        <v>0.25</v>
      </c>
      <c r="L443" s="313">
        <f ca="1">IF(input!$I811&gt;0,input!$I811,2)</f>
        <v>2</v>
      </c>
      <c r="M443" s="391">
        <f ca="1">IF(H443&gt;0,SUMIF(Data!$L$1155:$L$1190,'Production cost'!$C443,Data!$Q$1155:$Q$1190)*SUMIF(Paper!$A$7:$A$70,'Production cost'!$F443,Paper!$J$7:$J$70),0)</f>
        <v>0</v>
      </c>
      <c r="N443" s="391">
        <f t="shared" ca="1" si="321"/>
        <v>0</v>
      </c>
      <c r="O443" s="313">
        <f>IF($C443=Data!$L$1158,0,Data!$N$1195)</f>
        <v>352574.32240985788</v>
      </c>
      <c r="P443" s="313">
        <f>SUMIF(Data!$L$1155:$L$1190,'Production cost'!$C443,Data!$N$1155:$N$1190)</f>
        <v>64593.240854333337</v>
      </c>
      <c r="Q443" s="313">
        <f t="shared" ca="1" si="320"/>
        <v>0</v>
      </c>
      <c r="R443" s="313">
        <f t="shared" ca="1" si="322"/>
        <v>0</v>
      </c>
      <c r="S443" s="1741">
        <f t="shared" ca="1" si="323"/>
        <v>0</v>
      </c>
      <c r="T443" s="313" t="str">
        <f ca="1">input!J811</f>
        <v>N</v>
      </c>
      <c r="V443" s="3115" t="str">
        <f>input!K804</f>
        <v>Packaging</v>
      </c>
      <c r="W443" s="3115">
        <f t="shared" ca="1" si="316"/>
        <v>0</v>
      </c>
      <c r="X443" s="3119">
        <f>VLOOKUP(V443,'Fix Cost'!$K$177:$M$179,2,0)</f>
        <v>58449.923860467366</v>
      </c>
      <c r="Y443" s="3119">
        <f>VLOOKUP(V443,'Fix Cost'!$K$177:$M$179,3,0)</f>
        <v>267411.04680782068</v>
      </c>
      <c r="Z443" s="3119">
        <f t="shared" ca="1" si="317"/>
        <v>0</v>
      </c>
      <c r="AA443" s="3115">
        <f t="shared" ca="1" si="318"/>
        <v>0</v>
      </c>
      <c r="AB443" s="3115">
        <f t="shared" ca="1" si="319"/>
        <v>0</v>
      </c>
      <c r="AK443" s="313"/>
      <c r="AL443" s="313"/>
      <c r="AM443" s="313"/>
      <c r="AO443" s="1055"/>
      <c r="AP443" s="385"/>
      <c r="AQ443" s="385"/>
      <c r="AR443" s="1048"/>
      <c r="AS443" s="385"/>
      <c r="AT443" s="879">
        <f t="shared" ca="1" si="288"/>
        <v>0</v>
      </c>
      <c r="AU443" s="879">
        <f ca="1">COUNTIFS(AT$7:$AT443,1)</f>
        <v>5</v>
      </c>
    </row>
    <row r="444" spans="2:47" ht="14.25" hidden="1" customHeight="1" outlineLevel="1">
      <c r="B444" s="1738" t="s">
        <v>29</v>
      </c>
      <c r="C444" s="313" t="str">
        <f>input!C812</f>
        <v>Hotstamp (NIKKO 1050FH)</v>
      </c>
      <c r="D444" s="313">
        <f>input!D812</f>
        <v>170</v>
      </c>
      <c r="E444" s="363"/>
      <c r="F444" s="363" t="str">
        <f ca="1">input!F812</f>
        <v>N</v>
      </c>
      <c r="G444" s="363"/>
      <c r="H444" s="313">
        <f ca="1">IF(F444="PCS",$E$4,SUMIFS(Paper!$AC$7:$AC$58,Paper!$A$7:$A$58,'Production cost'!F444))</f>
        <v>0</v>
      </c>
      <c r="I444" s="313">
        <f ca="1">IF(input!$G812&gt;0,input!$G812,IF($C444=Data!$L$1158,500,3000))</f>
        <v>3000</v>
      </c>
      <c r="J444" s="313" t="str">
        <f>input!$H812</f>
        <v>Sheets</v>
      </c>
      <c r="K444" s="360">
        <f>IF($C444=Data!$L$1158,0,1/4)</f>
        <v>0.25</v>
      </c>
      <c r="L444" s="313">
        <f ca="1">IF(input!$I812&gt;0,input!$I812,2)</f>
        <v>2</v>
      </c>
      <c r="M444" s="391">
        <f ca="1">IF(H444&gt;0,SUMIF(Data!$L$1155:$L$1190,'Production cost'!$C444,Data!$Q$1155:$Q$1190)*SUMIF(Paper!$A$7:$A$70,'Production cost'!$F444,Paper!$J$7:$J$70),0)</f>
        <v>0</v>
      </c>
      <c r="N444" s="391">
        <f t="shared" ref="N444:N448" ca="1" si="324">IF(H444&gt;0,ROUNDUP(((H444/I444)/$M$5+M444),1),0)</f>
        <v>0</v>
      </c>
      <c r="O444" s="313">
        <f>IF($C444=Data!$L$1158,0,Data!$N$1195)</f>
        <v>352574.32240985788</v>
      </c>
      <c r="P444" s="313">
        <f>SUMIF(Data!$L$1155:$L$1190,'Production cost'!$C444,Data!$N$1155:$N$1190)</f>
        <v>64593.240854333337</v>
      </c>
      <c r="Q444" s="313">
        <f t="shared" ca="1" si="320"/>
        <v>0</v>
      </c>
      <c r="R444" s="313">
        <f t="shared" ref="R444:R448" ca="1" si="325">IF($E$2&gt;0,Q444/$E$2,0)</f>
        <v>0</v>
      </c>
      <c r="S444" s="1741">
        <f t="shared" ref="S444:S448" ca="1" si="326">IF(M444&gt;0,K444*O444+L444*P444,0)</f>
        <v>0</v>
      </c>
      <c r="T444" s="313" t="str">
        <f ca="1">input!J812</f>
        <v>N</v>
      </c>
      <c r="V444" s="3115" t="str">
        <f>input!K805</f>
        <v>Packaging</v>
      </c>
      <c r="W444" s="3115">
        <f t="shared" ref="W444:W448" ca="1" si="327">N444*(L444+K444)</f>
        <v>0</v>
      </c>
      <c r="X444" s="3119">
        <f>VLOOKUP(V444,'Fix Cost'!$K$177:$M$179,2,0)</f>
        <v>58449.923860467366</v>
      </c>
      <c r="Y444" s="3119">
        <f>VLOOKUP(V444,'Fix Cost'!$K$177:$M$179,3,0)</f>
        <v>267411.04680782068</v>
      </c>
      <c r="Z444" s="3119">
        <f t="shared" ref="Z444:Z448" ca="1" si="328">IFERROR($X444*W444,0)</f>
        <v>0</v>
      </c>
      <c r="AA444" s="3115">
        <f t="shared" ref="AA444:AA448" ca="1" si="329">IFERROR(Y444*N444,0)</f>
        <v>0</v>
      </c>
      <c r="AB444" s="3115">
        <f t="shared" ref="AB444:AB448" ca="1" si="330">Z444+AA444</f>
        <v>0</v>
      </c>
      <c r="AK444" s="313"/>
      <c r="AL444" s="313"/>
      <c r="AM444" s="313"/>
      <c r="AO444" s="1055"/>
      <c r="AP444" s="385"/>
      <c r="AQ444" s="385"/>
      <c r="AR444" s="1048"/>
      <c r="AS444" s="385"/>
      <c r="AT444" s="879">
        <f t="shared" ca="1" si="288"/>
        <v>0</v>
      </c>
      <c r="AU444" s="879">
        <f ca="1">COUNTIFS(AT$7:$AT444,1)</f>
        <v>5</v>
      </c>
    </row>
    <row r="445" spans="2:47" ht="14.25" hidden="1" customHeight="1" outlineLevel="1">
      <c r="B445" s="1738" t="s">
        <v>29</v>
      </c>
      <c r="C445" s="313" t="str">
        <f>input!C813</f>
        <v>Hotstamp (NIKKO 1050FH)</v>
      </c>
      <c r="D445" s="313">
        <f>input!D813</f>
        <v>187</v>
      </c>
      <c r="E445" s="363"/>
      <c r="F445" s="363" t="str">
        <f ca="1">input!F813</f>
        <v>N</v>
      </c>
      <c r="G445" s="363"/>
      <c r="H445" s="313">
        <f ca="1">IF(F445="PCS",$E$4,SUMIFS(Paper!$AC$7:$AC$58,Paper!$A$7:$A$58,'Production cost'!F445))</f>
        <v>0</v>
      </c>
      <c r="I445" s="313">
        <f ca="1">IF(input!$G813&gt;0,input!$G813,IF($C445=Data!$L$1158,500,3000))</f>
        <v>3000</v>
      </c>
      <c r="J445" s="313" t="str">
        <f>input!$H813</f>
        <v>Sheets</v>
      </c>
      <c r="K445" s="360">
        <f>IF($C445=Data!$L$1158,0,1/4)</f>
        <v>0.25</v>
      </c>
      <c r="L445" s="313">
        <f ca="1">IF(input!$I813&gt;0,input!$I813,2)</f>
        <v>2</v>
      </c>
      <c r="M445" s="391">
        <f ca="1">IF(H445&gt;0,SUMIF(Data!$L$1155:$L$1190,'Production cost'!$C445,Data!$Q$1155:$Q$1190)*SUMIF(Paper!$A$7:$A$70,'Production cost'!$F445,Paper!$J$7:$J$70),0)</f>
        <v>0</v>
      </c>
      <c r="N445" s="391">
        <f t="shared" ca="1" si="324"/>
        <v>0</v>
      </c>
      <c r="O445" s="313">
        <f>IF($C445=Data!$L$1158,0,Data!$N$1195)</f>
        <v>352574.32240985788</v>
      </c>
      <c r="P445" s="313">
        <f>SUMIF(Data!$L$1155:$L$1190,'Production cost'!$C445,Data!$N$1155:$N$1190)</f>
        <v>64593.240854333337</v>
      </c>
      <c r="Q445" s="313">
        <f t="shared" ca="1" si="320"/>
        <v>0</v>
      </c>
      <c r="R445" s="313">
        <f t="shared" ca="1" si="325"/>
        <v>0</v>
      </c>
      <c r="S445" s="1741">
        <f t="shared" ca="1" si="326"/>
        <v>0</v>
      </c>
      <c r="T445" s="313" t="str">
        <f ca="1">input!J813</f>
        <v>N</v>
      </c>
      <c r="V445" s="3115" t="str">
        <f>input!K806</f>
        <v>Packaging</v>
      </c>
      <c r="W445" s="3115">
        <f t="shared" ca="1" si="327"/>
        <v>0</v>
      </c>
      <c r="X445" s="3119">
        <f>VLOOKUP(V445,'Fix Cost'!$K$177:$M$179,2,0)</f>
        <v>58449.923860467366</v>
      </c>
      <c r="Y445" s="3119">
        <f>VLOOKUP(V445,'Fix Cost'!$K$177:$M$179,3,0)</f>
        <v>267411.04680782068</v>
      </c>
      <c r="Z445" s="3119">
        <f t="shared" ca="1" si="328"/>
        <v>0</v>
      </c>
      <c r="AA445" s="3115">
        <f t="shared" ca="1" si="329"/>
        <v>0</v>
      </c>
      <c r="AB445" s="3115">
        <f t="shared" ca="1" si="330"/>
        <v>0</v>
      </c>
      <c r="AK445" s="313"/>
      <c r="AL445" s="313"/>
      <c r="AM445" s="313"/>
      <c r="AO445" s="1055"/>
      <c r="AP445" s="385"/>
      <c r="AQ445" s="385"/>
      <c r="AR445" s="1048"/>
      <c r="AS445" s="385"/>
      <c r="AT445" s="879">
        <f t="shared" ca="1" si="288"/>
        <v>0</v>
      </c>
      <c r="AU445" s="879">
        <f ca="1">COUNTIFS(AT$7:$AT445,1)</f>
        <v>5</v>
      </c>
    </row>
    <row r="446" spans="2:47" ht="14.25" hidden="1" customHeight="1" outlineLevel="1">
      <c r="B446" s="1738" t="s">
        <v>29</v>
      </c>
      <c r="C446" s="313" t="str">
        <f>input!C814</f>
        <v>Hotstamp (NIKKO 1050FH)</v>
      </c>
      <c r="D446" s="313">
        <f>input!D814</f>
        <v>204</v>
      </c>
      <c r="E446" s="363"/>
      <c r="F446" s="363" t="str">
        <f ca="1">input!F814</f>
        <v>N</v>
      </c>
      <c r="G446" s="363"/>
      <c r="H446" s="313">
        <f ca="1">IF(F446="PCS",$E$4,SUMIFS(Paper!$AC$7:$AC$58,Paper!$A$7:$A$58,'Production cost'!F446))</f>
        <v>0</v>
      </c>
      <c r="I446" s="313">
        <f ca="1">IF(input!$G814&gt;0,input!$G814,IF($C446=Data!$L$1158,500,3000))</f>
        <v>3000</v>
      </c>
      <c r="J446" s="313" t="str">
        <f>input!$H814</f>
        <v>Sheets</v>
      </c>
      <c r="K446" s="360">
        <f>IF($C446=Data!$L$1158,0,1/4)</f>
        <v>0.25</v>
      </c>
      <c r="L446" s="313">
        <f ca="1">IF(input!$I814&gt;0,input!$I814,2)</f>
        <v>2</v>
      </c>
      <c r="M446" s="391">
        <f ca="1">IF(H446&gt;0,SUMIF(Data!$L$1155:$L$1190,'Production cost'!$C446,Data!$Q$1155:$Q$1190)*SUMIF(Paper!$A$7:$A$70,'Production cost'!$F446,Paper!$J$7:$J$70),0)</f>
        <v>0</v>
      </c>
      <c r="N446" s="391">
        <f t="shared" ca="1" si="324"/>
        <v>0</v>
      </c>
      <c r="O446" s="313">
        <f>IF($C446=Data!$L$1158,0,Data!$N$1195)</f>
        <v>352574.32240985788</v>
      </c>
      <c r="P446" s="313">
        <f>SUMIF(Data!$L$1155:$L$1190,'Production cost'!$C446,Data!$N$1155:$N$1190)</f>
        <v>64593.240854333337</v>
      </c>
      <c r="Q446" s="313">
        <f t="shared" ca="1" si="320"/>
        <v>0</v>
      </c>
      <c r="R446" s="313">
        <f t="shared" ca="1" si="325"/>
        <v>0</v>
      </c>
      <c r="S446" s="1741">
        <f t="shared" ca="1" si="326"/>
        <v>0</v>
      </c>
      <c r="T446" s="313" t="str">
        <f ca="1">input!J814</f>
        <v>N</v>
      </c>
      <c r="V446" s="3115" t="str">
        <f>input!K807</f>
        <v>Packaging</v>
      </c>
      <c r="W446" s="3115">
        <f t="shared" ca="1" si="327"/>
        <v>0</v>
      </c>
      <c r="X446" s="3119">
        <f>VLOOKUP(V446,'Fix Cost'!$K$177:$M$179,2,0)</f>
        <v>58449.923860467366</v>
      </c>
      <c r="Y446" s="3119">
        <f>VLOOKUP(V446,'Fix Cost'!$K$177:$M$179,3,0)</f>
        <v>267411.04680782068</v>
      </c>
      <c r="Z446" s="3119">
        <f t="shared" ca="1" si="328"/>
        <v>0</v>
      </c>
      <c r="AA446" s="3115">
        <f t="shared" ca="1" si="329"/>
        <v>0</v>
      </c>
      <c r="AB446" s="3115">
        <f t="shared" ca="1" si="330"/>
        <v>0</v>
      </c>
      <c r="AK446" s="313"/>
      <c r="AL446" s="313"/>
      <c r="AM446" s="313"/>
      <c r="AO446" s="1055"/>
      <c r="AP446" s="385"/>
      <c r="AQ446" s="385"/>
      <c r="AR446" s="1048"/>
      <c r="AS446" s="385"/>
      <c r="AT446" s="879">
        <f t="shared" ca="1" si="288"/>
        <v>0</v>
      </c>
      <c r="AU446" s="879">
        <f ca="1">COUNTIFS(AT$7:$AT446,1)</f>
        <v>5</v>
      </c>
    </row>
    <row r="447" spans="2:47" ht="14.25" hidden="1" customHeight="1" outlineLevel="1">
      <c r="B447" s="1738" t="s">
        <v>29</v>
      </c>
      <c r="C447" s="313" t="str">
        <f>input!C815</f>
        <v>Hotstamp (NIKKO 1050FH)</v>
      </c>
      <c r="D447" s="313">
        <f>input!D815</f>
        <v>221</v>
      </c>
      <c r="E447" s="363"/>
      <c r="F447" s="363" t="str">
        <f ca="1">input!F815</f>
        <v>N</v>
      </c>
      <c r="G447" s="363"/>
      <c r="H447" s="313">
        <f ca="1">IF(F447="PCS",$E$4,SUMIFS(Paper!$AC$7:$AC$58,Paper!$A$7:$A$58,'Production cost'!F447))</f>
        <v>0</v>
      </c>
      <c r="I447" s="313">
        <f ca="1">IF(input!$G815&gt;0,input!$G815,IF($C447=Data!$L$1158,500,3000))</f>
        <v>3000</v>
      </c>
      <c r="J447" s="313" t="str">
        <f>input!$H815</f>
        <v>Sheets</v>
      </c>
      <c r="K447" s="360">
        <f>IF($C447=Data!$L$1158,0,1/4)</f>
        <v>0.25</v>
      </c>
      <c r="L447" s="313">
        <f ca="1">IF(input!$I815&gt;0,input!$I815,2)</f>
        <v>2</v>
      </c>
      <c r="M447" s="391">
        <f ca="1">IF(H447&gt;0,SUMIF(Data!$L$1155:$L$1190,'Production cost'!$C447,Data!$Q$1155:$Q$1190)*SUMIF(Paper!$A$7:$A$70,'Production cost'!$F447,Paper!$J$7:$J$70),0)</f>
        <v>0</v>
      </c>
      <c r="N447" s="391">
        <f t="shared" ca="1" si="324"/>
        <v>0</v>
      </c>
      <c r="O447" s="313">
        <f>IF($C447=Data!$L$1158,0,Data!$N$1195)</f>
        <v>352574.32240985788</v>
      </c>
      <c r="P447" s="313">
        <f>SUMIF(Data!$L$1155:$L$1190,'Production cost'!$C447,Data!$N$1155:$N$1190)</f>
        <v>64593.240854333337</v>
      </c>
      <c r="Q447" s="313">
        <f t="shared" ca="1" si="320"/>
        <v>0</v>
      </c>
      <c r="R447" s="313">
        <f t="shared" ca="1" si="325"/>
        <v>0</v>
      </c>
      <c r="S447" s="1741">
        <f t="shared" ca="1" si="326"/>
        <v>0</v>
      </c>
      <c r="T447" s="313" t="str">
        <f ca="1">input!J815</f>
        <v>N</v>
      </c>
      <c r="V447" s="3115" t="str">
        <f>input!K808</f>
        <v>Packaging</v>
      </c>
      <c r="W447" s="3115">
        <f t="shared" ca="1" si="327"/>
        <v>0</v>
      </c>
      <c r="X447" s="3119">
        <f>VLOOKUP(V447,'Fix Cost'!$K$177:$M$179,2,0)</f>
        <v>58449.923860467366</v>
      </c>
      <c r="Y447" s="3119">
        <f>VLOOKUP(V447,'Fix Cost'!$K$177:$M$179,3,0)</f>
        <v>267411.04680782068</v>
      </c>
      <c r="Z447" s="3119">
        <f t="shared" ca="1" si="328"/>
        <v>0</v>
      </c>
      <c r="AA447" s="3115">
        <f t="shared" ca="1" si="329"/>
        <v>0</v>
      </c>
      <c r="AB447" s="3115">
        <f t="shared" ca="1" si="330"/>
        <v>0</v>
      </c>
      <c r="AK447" s="313"/>
      <c r="AL447" s="313"/>
      <c r="AM447" s="313"/>
      <c r="AO447" s="1055"/>
      <c r="AP447" s="385"/>
      <c r="AQ447" s="385"/>
      <c r="AR447" s="1048"/>
      <c r="AS447" s="385"/>
      <c r="AT447" s="879">
        <f t="shared" ca="1" si="288"/>
        <v>0</v>
      </c>
      <c r="AU447" s="879">
        <f ca="1">COUNTIFS(AT$7:$AT447,1)</f>
        <v>5</v>
      </c>
    </row>
    <row r="448" spans="2:47" ht="14.25" hidden="1" customHeight="1" outlineLevel="1">
      <c r="B448" s="1738" t="s">
        <v>29</v>
      </c>
      <c r="C448" s="313" t="str">
        <f>input!C816</f>
        <v>Hotstamp (NIKKO 1050FH)</v>
      </c>
      <c r="D448" s="313">
        <f>input!D816</f>
        <v>238</v>
      </c>
      <c r="E448" s="363"/>
      <c r="F448" s="363" t="str">
        <f ca="1">input!F816</f>
        <v>N</v>
      </c>
      <c r="G448" s="363"/>
      <c r="H448" s="313">
        <f ca="1">IF(F448="PCS",$E$4,SUMIFS(Paper!$AC$7:$AC$58,Paper!$A$7:$A$58,'Production cost'!F448))</f>
        <v>0</v>
      </c>
      <c r="I448" s="313">
        <f ca="1">IF(input!$G816&gt;0,input!$G816,IF($C448=Data!$L$1158,500,3000))</f>
        <v>3000</v>
      </c>
      <c r="J448" s="313" t="str">
        <f>input!$H816</f>
        <v>Sheets</v>
      </c>
      <c r="K448" s="360">
        <f>IF($C448=Data!$L$1158,0,1/4)</f>
        <v>0.25</v>
      </c>
      <c r="L448" s="313">
        <f ca="1">IF(input!$I816&gt;0,input!$I816,2)</f>
        <v>2</v>
      </c>
      <c r="M448" s="391">
        <f ca="1">IF(H448&gt;0,SUMIF(Data!$L$1155:$L$1190,'Production cost'!$C448,Data!$Q$1155:$Q$1190)*SUMIF(Paper!$A$7:$A$70,'Production cost'!$F448,Paper!$J$7:$J$70),0)</f>
        <v>0</v>
      </c>
      <c r="N448" s="391">
        <f t="shared" ca="1" si="324"/>
        <v>0</v>
      </c>
      <c r="O448" s="313">
        <f>IF($C448=Data!$L$1158,0,Data!$N$1195)</f>
        <v>352574.32240985788</v>
      </c>
      <c r="P448" s="313">
        <f>SUMIF(Data!$L$1155:$L$1190,'Production cost'!$C448,Data!$N$1155:$N$1190)</f>
        <v>64593.240854333337</v>
      </c>
      <c r="Q448" s="313">
        <f t="shared" ca="1" si="320"/>
        <v>0</v>
      </c>
      <c r="R448" s="313">
        <f t="shared" ca="1" si="325"/>
        <v>0</v>
      </c>
      <c r="S448" s="1741">
        <f t="shared" ca="1" si="326"/>
        <v>0</v>
      </c>
      <c r="T448" s="313" t="str">
        <f ca="1">input!J816</f>
        <v>N</v>
      </c>
      <c r="V448" s="3115" t="str">
        <f>input!K809</f>
        <v>Packaging</v>
      </c>
      <c r="W448" s="3115">
        <f t="shared" ca="1" si="327"/>
        <v>0</v>
      </c>
      <c r="X448" s="3119">
        <f>VLOOKUP(V448,'Fix Cost'!$K$177:$M$179,2,0)</f>
        <v>58449.923860467366</v>
      </c>
      <c r="Y448" s="3119">
        <f>VLOOKUP(V448,'Fix Cost'!$K$177:$M$179,3,0)</f>
        <v>267411.04680782068</v>
      </c>
      <c r="Z448" s="3119">
        <f t="shared" ca="1" si="328"/>
        <v>0</v>
      </c>
      <c r="AA448" s="3115">
        <f t="shared" ca="1" si="329"/>
        <v>0</v>
      </c>
      <c r="AB448" s="3115">
        <f t="shared" ca="1" si="330"/>
        <v>0</v>
      </c>
      <c r="AK448" s="313"/>
      <c r="AL448" s="313"/>
      <c r="AM448" s="313"/>
      <c r="AO448" s="1055"/>
      <c r="AP448" s="385"/>
      <c r="AQ448" s="385"/>
      <c r="AR448" s="1048"/>
      <c r="AS448" s="385"/>
      <c r="AT448" s="879">
        <f t="shared" ca="1" si="288"/>
        <v>0</v>
      </c>
      <c r="AU448" s="879">
        <f ca="1">COUNTIFS(AT$7:$AT448,1)</f>
        <v>5</v>
      </c>
    </row>
    <row r="449" spans="2:47" ht="14.25" hidden="1" customHeight="1" outlineLevel="1">
      <c r="B449" s="1738" t="s">
        <v>29</v>
      </c>
      <c r="C449" s="313" t="str">
        <f>input!C817</f>
        <v>Hotstamp (NIKKO 1050FH)</v>
      </c>
      <c r="D449" s="313">
        <f>input!D817</f>
        <v>0</v>
      </c>
      <c r="E449" s="363"/>
      <c r="F449" s="363" t="str">
        <f ca="1">input!F817</f>
        <v>N</v>
      </c>
      <c r="G449" s="363"/>
      <c r="H449" s="313">
        <f ca="1">IF(F449="PCS",$E$4,SUMIFS(Paper!$AC$7:$AC$58,Paper!$A$7:$A$58,'Production cost'!F449))</f>
        <v>0</v>
      </c>
      <c r="I449" s="313">
        <f ca="1">IF(input!$G817&gt;0,input!$G817,IF($C449=Data!$L$1158,500,3000))</f>
        <v>3000</v>
      </c>
      <c r="J449" s="313" t="str">
        <f>input!$H817</f>
        <v>Sheets</v>
      </c>
      <c r="K449" s="360">
        <f>IF($C449=Data!$L$1158,0,1/4)</f>
        <v>0.25</v>
      </c>
      <c r="L449" s="313">
        <f ca="1">IF(input!$I817&gt;0,input!$I817,2)</f>
        <v>2</v>
      </c>
      <c r="M449" s="391">
        <f ca="1">IF(H449&gt;0,SUMIF(Data!$L$1155:$L$1190,'Production cost'!$C449,Data!$Q$1155:$Q$1190)*SUMIF(Paper!$A$7:$A$70,'Production cost'!$F449,Paper!$J$7:$J$70),0)</f>
        <v>0</v>
      </c>
      <c r="N449" s="391">
        <f t="shared" ca="1" si="321"/>
        <v>0</v>
      </c>
      <c r="O449" s="313">
        <f>IF($C449=Data!$L$1158,0,Data!$N$1195)</f>
        <v>352574.32240985788</v>
      </c>
      <c r="P449" s="313">
        <f>SUMIF(Data!$L$1155:$L$1190,'Production cost'!$C449,Data!$N$1155:$N$1190)</f>
        <v>64593.240854333337</v>
      </c>
      <c r="Q449" s="313">
        <f t="shared" ca="1" si="320"/>
        <v>0</v>
      </c>
      <c r="R449" s="313">
        <f t="shared" ca="1" si="322"/>
        <v>0</v>
      </c>
      <c r="S449" s="1741">
        <f t="shared" ca="1" si="323"/>
        <v>0</v>
      </c>
      <c r="T449" s="313" t="str">
        <f ca="1">input!J817</f>
        <v>N</v>
      </c>
      <c r="V449" s="3115" t="str">
        <f>input!K805</f>
        <v>Packaging</v>
      </c>
      <c r="W449" s="3115">
        <f t="shared" ca="1" si="316"/>
        <v>0</v>
      </c>
      <c r="X449" s="3119">
        <f>VLOOKUP(V449,'Fix Cost'!$K$177:$M$179,2,0)</f>
        <v>58449.923860467366</v>
      </c>
      <c r="Y449" s="3119">
        <f>VLOOKUP(V449,'Fix Cost'!$K$177:$M$179,3,0)</f>
        <v>267411.04680782068</v>
      </c>
      <c r="Z449" s="3119">
        <f t="shared" ca="1" si="317"/>
        <v>0</v>
      </c>
      <c r="AA449" s="3115">
        <f t="shared" ca="1" si="318"/>
        <v>0</v>
      </c>
      <c r="AB449" s="3115">
        <f t="shared" ca="1" si="319"/>
        <v>0</v>
      </c>
      <c r="AK449" s="313"/>
      <c r="AL449" s="313"/>
      <c r="AM449" s="313"/>
      <c r="AO449" s="1055"/>
      <c r="AP449" s="385"/>
      <c r="AQ449" s="385"/>
      <c r="AR449" s="1048"/>
      <c r="AS449" s="385"/>
      <c r="AT449" s="879">
        <f t="shared" ca="1" si="288"/>
        <v>0</v>
      </c>
      <c r="AU449" s="879">
        <f ca="1">COUNTIFS(AT$7:$AT449,1)</f>
        <v>5</v>
      </c>
    </row>
    <row r="450" spans="2:47" ht="14.25" hidden="1" customHeight="1" outlineLevel="1">
      <c r="B450" s="1738" t="s">
        <v>29</v>
      </c>
      <c r="C450" s="313" t="str">
        <f>input!C818</f>
        <v>Hotstamp (NIKKO 1050FH)</v>
      </c>
      <c r="D450" s="313">
        <f>input!D818</f>
        <v>17</v>
      </c>
      <c r="E450" s="363"/>
      <c r="F450" s="363" t="str">
        <f ca="1">input!F818</f>
        <v>N</v>
      </c>
      <c r="G450" s="363"/>
      <c r="H450" s="313">
        <f ca="1">IF(F450="PCS",$E$4,SUMIFS(Paper!$AC$7:$AC$58,Paper!$A$7:$A$58,'Production cost'!F450))</f>
        <v>0</v>
      </c>
      <c r="I450" s="313">
        <f ca="1">IF(input!$G818&gt;0,input!$G818,IF($C450=Data!$L$1158,500,3000))</f>
        <v>3000</v>
      </c>
      <c r="J450" s="313" t="str">
        <f>input!$H818</f>
        <v>Sheets</v>
      </c>
      <c r="K450" s="360">
        <f>IF($C450=Data!$L$1158,0,1/4)</f>
        <v>0.25</v>
      </c>
      <c r="L450" s="313">
        <f ca="1">IF(input!$I818&gt;0,input!$I818,2)</f>
        <v>2</v>
      </c>
      <c r="M450" s="391">
        <f ca="1">IF(H450&gt;0,SUMIF(Data!$L$1155:$L$1190,'Production cost'!$C450,Data!$Q$1155:$Q$1190)*SUMIF(Paper!$A$7:$A$70,'Production cost'!$F450,Paper!$J$7:$J$70),0)</f>
        <v>0</v>
      </c>
      <c r="N450" s="391">
        <f t="shared" ca="1" si="321"/>
        <v>0</v>
      </c>
      <c r="O450" s="313">
        <f>IF($C450=Data!$L$1158,0,Data!$N$1195)</f>
        <v>352574.32240985788</v>
      </c>
      <c r="P450" s="313">
        <f>SUMIF(Data!$L$1155:$L$1190,'Production cost'!$C450,Data!$N$1155:$N$1190)</f>
        <v>64593.240854333337</v>
      </c>
      <c r="Q450" s="313">
        <f t="shared" ca="1" si="320"/>
        <v>0</v>
      </c>
      <c r="R450" s="313">
        <f t="shared" ca="1" si="322"/>
        <v>0</v>
      </c>
      <c r="S450" s="1741">
        <f t="shared" ca="1" si="323"/>
        <v>0</v>
      </c>
      <c r="T450" s="313" t="str">
        <f ca="1">input!J818</f>
        <v>N</v>
      </c>
      <c r="V450" s="3115" t="str">
        <f>input!K806</f>
        <v>Packaging</v>
      </c>
      <c r="W450" s="3115">
        <f t="shared" ca="1" si="316"/>
        <v>0</v>
      </c>
      <c r="X450" s="3119">
        <f>VLOOKUP(V450,'Fix Cost'!$K$177:$M$179,2,0)</f>
        <v>58449.923860467366</v>
      </c>
      <c r="Y450" s="3119">
        <f>VLOOKUP(V450,'Fix Cost'!$K$177:$M$179,3,0)</f>
        <v>267411.04680782068</v>
      </c>
      <c r="Z450" s="3119">
        <f t="shared" ca="1" si="317"/>
        <v>0</v>
      </c>
      <c r="AA450" s="3115">
        <f t="shared" ca="1" si="318"/>
        <v>0</v>
      </c>
      <c r="AB450" s="3115">
        <f t="shared" ca="1" si="319"/>
        <v>0</v>
      </c>
      <c r="AK450" s="313"/>
      <c r="AL450" s="313"/>
      <c r="AM450" s="313"/>
      <c r="AO450" s="1055"/>
      <c r="AP450" s="385"/>
      <c r="AQ450" s="385"/>
      <c r="AR450" s="1048"/>
      <c r="AS450" s="385"/>
      <c r="AT450" s="879">
        <f t="shared" ca="1" si="288"/>
        <v>0</v>
      </c>
      <c r="AU450" s="879">
        <f ca="1">COUNTIFS(AT$7:$AT450,1)</f>
        <v>5</v>
      </c>
    </row>
    <row r="451" spans="2:47" ht="14.25" hidden="1" customHeight="1" outlineLevel="1">
      <c r="B451" s="1738" t="s">
        <v>29</v>
      </c>
      <c r="C451" s="313" t="str">
        <f>input!C819</f>
        <v>Hotstamp (NIKKO 1050FH)</v>
      </c>
      <c r="D451" s="313">
        <f>input!D819</f>
        <v>34</v>
      </c>
      <c r="E451" s="363"/>
      <c r="F451" s="363" t="str">
        <f ca="1">input!F819</f>
        <v>N</v>
      </c>
      <c r="G451" s="363"/>
      <c r="H451" s="313">
        <f ca="1">IF(F451="PCS",$E$4,SUMIFS(Paper!$AC$7:$AC$58,Paper!$A$7:$A$58,'Production cost'!F451))</f>
        <v>0</v>
      </c>
      <c r="I451" s="313">
        <f ca="1">IF(input!$G819&gt;0,input!$G819,IF($C451=Data!$L$1158,500,3000))</f>
        <v>3000</v>
      </c>
      <c r="J451" s="313" t="str">
        <f>input!$H819</f>
        <v>Sheets</v>
      </c>
      <c r="K451" s="360">
        <f>IF($C451=Data!$L$1158,0,1/4)</f>
        <v>0.25</v>
      </c>
      <c r="L451" s="313">
        <f ca="1">IF(input!$I819&gt;0,input!$I819,2)</f>
        <v>2</v>
      </c>
      <c r="M451" s="391">
        <f ca="1">IF(H451&gt;0,SUMIF(Data!$L$1155:$L$1190,'Production cost'!$C451,Data!$Q$1155:$Q$1190)*SUMIF(Paper!$A$7:$A$70,'Production cost'!$F451,Paper!$J$7:$J$70),0)</f>
        <v>0</v>
      </c>
      <c r="N451" s="391">
        <f t="shared" ca="1" si="321"/>
        <v>0</v>
      </c>
      <c r="O451" s="313">
        <f>IF($C451=Data!$L$1158,0,Data!$N$1195)</f>
        <v>352574.32240985788</v>
      </c>
      <c r="P451" s="313">
        <f>SUMIF(Data!$L$1155:$L$1190,'Production cost'!$C451,Data!$N$1155:$N$1190)</f>
        <v>64593.240854333337</v>
      </c>
      <c r="Q451" s="313">
        <f t="shared" ca="1" si="320"/>
        <v>0</v>
      </c>
      <c r="R451" s="313">
        <f t="shared" ca="1" si="322"/>
        <v>0</v>
      </c>
      <c r="S451" s="1741">
        <f t="shared" ca="1" si="323"/>
        <v>0</v>
      </c>
      <c r="T451" s="313" t="str">
        <f ca="1">input!J819</f>
        <v>N</v>
      </c>
      <c r="V451" s="3115" t="str">
        <f>input!K807</f>
        <v>Packaging</v>
      </c>
      <c r="W451" s="3115">
        <f t="shared" ca="1" si="316"/>
        <v>0</v>
      </c>
      <c r="X451" s="3119">
        <f>VLOOKUP(V451,'Fix Cost'!$K$177:$M$179,2,0)</f>
        <v>58449.923860467366</v>
      </c>
      <c r="Y451" s="3119">
        <f>VLOOKUP(V451,'Fix Cost'!$K$177:$M$179,3,0)</f>
        <v>267411.04680782068</v>
      </c>
      <c r="Z451" s="3119">
        <f t="shared" ca="1" si="317"/>
        <v>0</v>
      </c>
      <c r="AA451" s="3115">
        <f t="shared" ca="1" si="318"/>
        <v>0</v>
      </c>
      <c r="AB451" s="3115">
        <f t="shared" ca="1" si="319"/>
        <v>0</v>
      </c>
      <c r="AK451" s="313"/>
      <c r="AL451" s="313"/>
      <c r="AM451" s="313"/>
      <c r="AO451" s="1055"/>
      <c r="AP451" s="385"/>
      <c r="AQ451" s="385"/>
      <c r="AR451" s="1048"/>
      <c r="AS451" s="385"/>
      <c r="AT451" s="879">
        <f t="shared" ca="1" si="288"/>
        <v>0</v>
      </c>
      <c r="AU451" s="879">
        <f ca="1">COUNTIFS(AT$7:$AT451,1)</f>
        <v>5</v>
      </c>
    </row>
    <row r="452" spans="2:47" ht="14.25" hidden="1" customHeight="1" outlineLevel="1">
      <c r="B452" s="1738" t="s">
        <v>29</v>
      </c>
      <c r="C452" s="313" t="str">
        <f>input!C820</f>
        <v>Hotstamp (NIKKO 1050FH)</v>
      </c>
      <c r="D452" s="313">
        <f>input!D820</f>
        <v>51</v>
      </c>
      <c r="E452" s="363"/>
      <c r="F452" s="363" t="str">
        <f ca="1">input!F820</f>
        <v>N</v>
      </c>
      <c r="G452" s="363"/>
      <c r="H452" s="313">
        <f ca="1">IF(F452="PCS",$E$4,SUMIFS(Paper!$AC$7:$AC$58,Paper!$A$7:$A$58,'Production cost'!F452))</f>
        <v>0</v>
      </c>
      <c r="I452" s="313">
        <f ca="1">IF(input!$G820&gt;0,input!$G820,IF($C452=Data!$L$1158,500,3000))</f>
        <v>3000</v>
      </c>
      <c r="J452" s="313" t="str">
        <f>input!$H820</f>
        <v>Sheets</v>
      </c>
      <c r="K452" s="360">
        <f>IF($C452=Data!$L$1158,0,1/4)</f>
        <v>0.25</v>
      </c>
      <c r="L452" s="313">
        <f ca="1">IF(input!$I820&gt;0,input!$I820,2)</f>
        <v>2</v>
      </c>
      <c r="M452" s="391">
        <f ca="1">IF(H452&gt;0,SUMIF(Data!$L$1155:$L$1190,'Production cost'!$C452,Data!$Q$1155:$Q$1190)*SUMIF(Paper!$A$7:$A$70,'Production cost'!$F452,Paper!$J$7:$J$70),0)</f>
        <v>0</v>
      </c>
      <c r="N452" s="391">
        <f t="shared" ca="1" si="321"/>
        <v>0</v>
      </c>
      <c r="O452" s="313">
        <f>IF($C452=Data!$L$1158,0,Data!$N$1195)</f>
        <v>352574.32240985788</v>
      </c>
      <c r="P452" s="313">
        <f>SUMIF(Data!$L$1155:$L$1190,'Production cost'!$C452,Data!$N$1155:$N$1190)</f>
        <v>64593.240854333337</v>
      </c>
      <c r="Q452" s="313">
        <f t="shared" ca="1" si="320"/>
        <v>0</v>
      </c>
      <c r="R452" s="313">
        <f t="shared" ca="1" si="322"/>
        <v>0</v>
      </c>
      <c r="S452" s="1741">
        <f t="shared" ca="1" si="323"/>
        <v>0</v>
      </c>
      <c r="T452" s="313" t="str">
        <f ca="1">input!J820</f>
        <v>N</v>
      </c>
      <c r="V452" s="3115" t="str">
        <f>input!K808</f>
        <v>Packaging</v>
      </c>
      <c r="W452" s="3115">
        <f t="shared" ca="1" si="316"/>
        <v>0</v>
      </c>
      <c r="X452" s="3119">
        <f>VLOOKUP(V452,'Fix Cost'!$K$177:$M$179,2,0)</f>
        <v>58449.923860467366</v>
      </c>
      <c r="Y452" s="3119">
        <f>VLOOKUP(V452,'Fix Cost'!$K$177:$M$179,3,0)</f>
        <v>267411.04680782068</v>
      </c>
      <c r="Z452" s="3119">
        <f t="shared" ca="1" si="317"/>
        <v>0</v>
      </c>
      <c r="AA452" s="3115">
        <f t="shared" ca="1" si="318"/>
        <v>0</v>
      </c>
      <c r="AB452" s="3115">
        <f t="shared" ca="1" si="319"/>
        <v>0</v>
      </c>
      <c r="AK452" s="313"/>
      <c r="AL452" s="313"/>
      <c r="AM452" s="313"/>
      <c r="AO452" s="1055"/>
      <c r="AP452" s="385"/>
      <c r="AQ452" s="385"/>
      <c r="AR452" s="1048"/>
      <c r="AS452" s="385"/>
      <c r="AT452" s="879">
        <f t="shared" ca="1" si="288"/>
        <v>0</v>
      </c>
      <c r="AU452" s="879">
        <f ca="1">COUNTIFS(AT$7:$AT452,1)</f>
        <v>5</v>
      </c>
    </row>
    <row r="453" spans="2:47" ht="14.25" hidden="1" customHeight="1" outlineLevel="1">
      <c r="B453" s="1738" t="s">
        <v>29</v>
      </c>
      <c r="C453" s="313" t="str">
        <f>input!C821</f>
        <v>Hotstamp (NIKKO 1050FH)</v>
      </c>
      <c r="D453" s="313">
        <f>input!D821</f>
        <v>68</v>
      </c>
      <c r="E453" s="363"/>
      <c r="F453" s="363" t="str">
        <f ca="1">input!F821</f>
        <v>N</v>
      </c>
      <c r="G453" s="363"/>
      <c r="H453" s="313">
        <f ca="1">IF(F453="PCS",$E$4,SUMIFS(Paper!$AC$7:$AC$58,Paper!$A$7:$A$58,'Production cost'!F453))</f>
        <v>0</v>
      </c>
      <c r="I453" s="313">
        <f ca="1">IF(input!$G821&gt;0,input!$G821,IF($C453=Data!$L$1158,500,3000))</f>
        <v>3000</v>
      </c>
      <c r="J453" s="313" t="str">
        <f>input!$H821</f>
        <v>Sheets</v>
      </c>
      <c r="K453" s="360">
        <f>IF($C453=Data!$L$1158,0,1/4)</f>
        <v>0.25</v>
      </c>
      <c r="L453" s="313">
        <f ca="1">IF(input!$I821&gt;0,input!$I821,2)</f>
        <v>2</v>
      </c>
      <c r="M453" s="391">
        <f ca="1">IF(H453&gt;0,SUMIF(Data!$L$1155:$L$1190,'Production cost'!$C453,Data!$Q$1155:$Q$1190)*SUMIF(Paper!$A$7:$A$70,'Production cost'!$F453,Paper!$J$7:$J$70),0)</f>
        <v>0</v>
      </c>
      <c r="N453" s="391">
        <f t="shared" ca="1" si="321"/>
        <v>0</v>
      </c>
      <c r="O453" s="313">
        <f>IF($C453=Data!$L$1158,0,Data!$N$1195)</f>
        <v>352574.32240985788</v>
      </c>
      <c r="P453" s="313">
        <f>SUMIF(Data!$L$1155:$L$1190,'Production cost'!$C453,Data!$N$1155:$N$1190)</f>
        <v>64593.240854333337</v>
      </c>
      <c r="Q453" s="313">
        <f t="shared" ca="1" si="320"/>
        <v>0</v>
      </c>
      <c r="R453" s="313">
        <f t="shared" ca="1" si="322"/>
        <v>0</v>
      </c>
      <c r="S453" s="1741">
        <f t="shared" ca="1" si="323"/>
        <v>0</v>
      </c>
      <c r="T453" s="313" t="str">
        <f ca="1">input!J821</f>
        <v>N</v>
      </c>
      <c r="V453" s="3115" t="str">
        <f>input!K809</f>
        <v>Packaging</v>
      </c>
      <c r="W453" s="3115">
        <f t="shared" ca="1" si="316"/>
        <v>0</v>
      </c>
      <c r="X453" s="3119">
        <f>VLOOKUP(V453,'Fix Cost'!$K$177:$M$179,2,0)</f>
        <v>58449.923860467366</v>
      </c>
      <c r="Y453" s="3119">
        <f>VLOOKUP(V453,'Fix Cost'!$K$177:$M$179,3,0)</f>
        <v>267411.04680782068</v>
      </c>
      <c r="Z453" s="3119">
        <f t="shared" ca="1" si="317"/>
        <v>0</v>
      </c>
      <c r="AA453" s="3115">
        <f t="shared" ca="1" si="318"/>
        <v>0</v>
      </c>
      <c r="AB453" s="3115">
        <f t="shared" ca="1" si="319"/>
        <v>0</v>
      </c>
      <c r="AK453" s="313"/>
      <c r="AL453" s="313"/>
      <c r="AM453" s="313"/>
      <c r="AO453" s="1055"/>
      <c r="AP453" s="385"/>
      <c r="AQ453" s="385"/>
      <c r="AR453" s="1048"/>
      <c r="AS453" s="385"/>
      <c r="AT453" s="879">
        <f t="shared" ca="1" si="288"/>
        <v>0</v>
      </c>
      <c r="AU453" s="879">
        <f ca="1">COUNTIFS(AT$7:$AT453,1)</f>
        <v>5</v>
      </c>
    </row>
    <row r="454" spans="2:47" ht="14.25" hidden="1" customHeight="1" outlineLevel="1">
      <c r="B454" s="1738" t="s">
        <v>29</v>
      </c>
      <c r="C454" s="313" t="str">
        <f>input!C822</f>
        <v>Hotstamp (NIKKO 1050FH)</v>
      </c>
      <c r="D454" s="313">
        <f>input!D822</f>
        <v>85</v>
      </c>
      <c r="E454" s="363"/>
      <c r="F454" s="363" t="str">
        <f ca="1">input!F822</f>
        <v>N</v>
      </c>
      <c r="G454" s="363"/>
      <c r="H454" s="313">
        <f ca="1">IF(F454="PCS",$E$4,SUMIFS(Paper!$AC$7:$AC$58,Paper!$A$7:$A$58,'Production cost'!F454))</f>
        <v>0</v>
      </c>
      <c r="I454" s="313">
        <f ca="1">IF(input!$G822&gt;0,input!$G822,IF($C454=Data!$L$1158,500,3000))</f>
        <v>3000</v>
      </c>
      <c r="J454" s="313" t="str">
        <f>input!$H822</f>
        <v>Sheets</v>
      </c>
      <c r="K454" s="360">
        <f>IF($C454=Data!$L$1158,0,1/4)</f>
        <v>0.25</v>
      </c>
      <c r="L454" s="313">
        <f ca="1">IF(input!$I822&gt;0,input!$I822,2)</f>
        <v>2</v>
      </c>
      <c r="M454" s="391">
        <f ca="1">IF(H454&gt;0,SUMIF(Data!$L$1155:$L$1190,'Production cost'!$C454,Data!$Q$1155:$Q$1190)*SUMIF(Paper!$A$7:$A$70,'Production cost'!$F454,Paper!$J$7:$J$70),0)</f>
        <v>0</v>
      </c>
      <c r="N454" s="391">
        <f t="shared" ca="1" si="321"/>
        <v>0</v>
      </c>
      <c r="O454" s="313">
        <f>IF($C454=Data!$L$1158,0,Data!$N$1195)</f>
        <v>352574.32240985788</v>
      </c>
      <c r="P454" s="313">
        <f>SUMIF(Data!$L$1155:$L$1190,'Production cost'!$C454,Data!$N$1155:$N$1190)</f>
        <v>64593.240854333337</v>
      </c>
      <c r="Q454" s="313">
        <f t="shared" ca="1" si="320"/>
        <v>0</v>
      </c>
      <c r="R454" s="313">
        <f t="shared" ca="1" si="322"/>
        <v>0</v>
      </c>
      <c r="S454" s="1741">
        <f t="shared" ca="1" si="323"/>
        <v>0</v>
      </c>
      <c r="T454" s="313" t="str">
        <f ca="1">input!J822</f>
        <v>N</v>
      </c>
      <c r="V454" s="3115" t="str">
        <f>input!K810</f>
        <v>Packaging</v>
      </c>
      <c r="W454" s="3115">
        <f t="shared" ca="1" si="316"/>
        <v>0</v>
      </c>
      <c r="X454" s="3119">
        <f>VLOOKUP(V454,'Fix Cost'!$K$177:$M$179,2,0)</f>
        <v>58449.923860467366</v>
      </c>
      <c r="Y454" s="3119">
        <f>VLOOKUP(V454,'Fix Cost'!$K$177:$M$179,3,0)</f>
        <v>267411.04680782068</v>
      </c>
      <c r="Z454" s="3119">
        <f t="shared" ca="1" si="317"/>
        <v>0</v>
      </c>
      <c r="AA454" s="3115">
        <f t="shared" ca="1" si="318"/>
        <v>0</v>
      </c>
      <c r="AB454" s="3115">
        <f t="shared" ca="1" si="319"/>
        <v>0</v>
      </c>
      <c r="AK454" s="313"/>
      <c r="AL454" s="313"/>
      <c r="AM454" s="313"/>
      <c r="AO454" s="1055"/>
      <c r="AP454" s="385"/>
      <c r="AQ454" s="385"/>
      <c r="AR454" s="1048"/>
      <c r="AS454" s="385"/>
      <c r="AT454" s="879">
        <f t="shared" ca="1" si="288"/>
        <v>0</v>
      </c>
      <c r="AU454" s="879">
        <f ca="1">COUNTIFS(AT$7:$AT454,1)</f>
        <v>5</v>
      </c>
    </row>
    <row r="455" spans="2:47" ht="14.25" hidden="1" customHeight="1" outlineLevel="1">
      <c r="B455" s="1738" t="s">
        <v>29</v>
      </c>
      <c r="C455" s="313" t="str">
        <f>input!C823</f>
        <v>Hotstamp (NIKKO 1050FH)</v>
      </c>
      <c r="D455" s="313">
        <f>input!D823</f>
        <v>102</v>
      </c>
      <c r="E455" s="363"/>
      <c r="F455" s="363" t="str">
        <f ca="1">input!F823</f>
        <v>N</v>
      </c>
      <c r="G455" s="363"/>
      <c r="H455" s="313">
        <f ca="1">IF(F455="PCS",$E$4,SUMIFS(Paper!$AC$7:$AC$58,Paper!$A$7:$A$58,'Production cost'!F455))</f>
        <v>0</v>
      </c>
      <c r="I455" s="313">
        <f ca="1">IF(input!$G823&gt;0,input!$G823,IF($C455=Data!$L$1158,500,3000))</f>
        <v>3000</v>
      </c>
      <c r="J455" s="313" t="str">
        <f>input!$H823</f>
        <v>Sheets</v>
      </c>
      <c r="K455" s="360">
        <f>IF($C455=Data!$L$1158,0,1/4)</f>
        <v>0.25</v>
      </c>
      <c r="L455" s="313">
        <f ca="1">IF(input!$I823&gt;0,input!$I823,2)</f>
        <v>2</v>
      </c>
      <c r="M455" s="391">
        <f ca="1">IF(H455&gt;0,SUMIF(Data!$L$1155:$L$1190,'Production cost'!$C455,Data!$Q$1155:$Q$1190)*SUMIF(Paper!$A$7:$A$70,'Production cost'!$F455,Paper!$J$7:$J$70),0)</f>
        <v>0</v>
      </c>
      <c r="N455" s="391">
        <f t="shared" ca="1" si="321"/>
        <v>0</v>
      </c>
      <c r="O455" s="313">
        <f>IF($C455=Data!$L$1158,0,Data!$N$1195)</f>
        <v>352574.32240985788</v>
      </c>
      <c r="P455" s="313">
        <f>SUMIF(Data!$L$1155:$L$1190,'Production cost'!$C455,Data!$N$1155:$N$1190)</f>
        <v>64593.240854333337</v>
      </c>
      <c r="Q455" s="313">
        <f t="shared" ca="1" si="320"/>
        <v>0</v>
      </c>
      <c r="R455" s="313">
        <f t="shared" ca="1" si="322"/>
        <v>0</v>
      </c>
      <c r="S455" s="1741">
        <f t="shared" ca="1" si="323"/>
        <v>0</v>
      </c>
      <c r="T455" s="313" t="str">
        <f ca="1">input!J823</f>
        <v>N</v>
      </c>
      <c r="V455" s="3115" t="str">
        <f>input!K811</f>
        <v>Packaging</v>
      </c>
      <c r="W455" s="3115">
        <f t="shared" ca="1" si="316"/>
        <v>0</v>
      </c>
      <c r="X455" s="3119">
        <f>VLOOKUP(V455,'Fix Cost'!$K$177:$M$179,2,0)</f>
        <v>58449.923860467366</v>
      </c>
      <c r="Y455" s="3119">
        <f>VLOOKUP(V455,'Fix Cost'!$K$177:$M$179,3,0)</f>
        <v>267411.04680782068</v>
      </c>
      <c r="Z455" s="3119">
        <f t="shared" ca="1" si="317"/>
        <v>0</v>
      </c>
      <c r="AA455" s="3115">
        <f t="shared" ca="1" si="318"/>
        <v>0</v>
      </c>
      <c r="AB455" s="3115">
        <f t="shared" ca="1" si="319"/>
        <v>0</v>
      </c>
      <c r="AK455" s="313"/>
      <c r="AL455" s="313"/>
      <c r="AM455" s="313"/>
      <c r="AO455" s="1055"/>
      <c r="AP455" s="385"/>
      <c r="AQ455" s="385"/>
      <c r="AR455" s="1048"/>
      <c r="AS455" s="385"/>
      <c r="AT455" s="879">
        <f t="shared" ca="1" si="288"/>
        <v>0</v>
      </c>
      <c r="AU455" s="879">
        <f ca="1">COUNTIFS(AT$7:$AT455,1)</f>
        <v>5</v>
      </c>
    </row>
    <row r="456" spans="2:47" ht="14.25" hidden="1" customHeight="1" outlineLevel="1">
      <c r="B456" s="1738" t="s">
        <v>29</v>
      </c>
      <c r="C456" s="313" t="str">
        <f>input!C824</f>
        <v>Hotstamp (NIKKO 1050FH)</v>
      </c>
      <c r="D456" s="313">
        <f>input!D824</f>
        <v>119</v>
      </c>
      <c r="E456" s="363"/>
      <c r="F456" s="363" t="str">
        <f ca="1">input!F824</f>
        <v>N</v>
      </c>
      <c r="G456" s="363"/>
      <c r="H456" s="313">
        <f ca="1">IF(F456="PCS",$E$4,SUMIFS(Paper!$AC$7:$AC$58,Paper!$A$7:$A$58,'Production cost'!F456))</f>
        <v>0</v>
      </c>
      <c r="I456" s="313">
        <f ca="1">IF(input!$G824&gt;0,input!$G824,IF($C456=Data!$L$1158,500,3000))</f>
        <v>3000</v>
      </c>
      <c r="J456" s="313" t="str">
        <f>input!$H824</f>
        <v>Sheets</v>
      </c>
      <c r="K456" s="360">
        <f>IF($C456=Data!$L$1158,0,1/4)</f>
        <v>0.25</v>
      </c>
      <c r="L456" s="313">
        <f ca="1">IF(input!$I824&gt;0,input!$I824,2)</f>
        <v>2</v>
      </c>
      <c r="M456" s="391">
        <f ca="1">IF(H456&gt;0,SUMIF(Data!$L$1155:$L$1190,'Production cost'!$C456,Data!$Q$1155:$Q$1190)*SUMIF(Paper!$A$7:$A$70,'Production cost'!$F456,Paper!$J$7:$J$70),0)</f>
        <v>0</v>
      </c>
      <c r="N456" s="391">
        <f t="shared" ca="1" si="321"/>
        <v>0</v>
      </c>
      <c r="O456" s="313">
        <f>IF($C456=Data!$L$1158,0,Data!$N$1195)</f>
        <v>352574.32240985788</v>
      </c>
      <c r="P456" s="313">
        <f>SUMIF(Data!$L$1155:$L$1190,'Production cost'!$C456,Data!$N$1155:$N$1190)</f>
        <v>64593.240854333337</v>
      </c>
      <c r="Q456" s="313">
        <f t="shared" ca="1" si="320"/>
        <v>0</v>
      </c>
      <c r="R456" s="313">
        <f t="shared" ca="1" si="322"/>
        <v>0</v>
      </c>
      <c r="S456" s="1741">
        <f t="shared" ca="1" si="323"/>
        <v>0</v>
      </c>
      <c r="T456" s="313" t="str">
        <f ca="1">input!J824</f>
        <v>N</v>
      </c>
      <c r="V456" s="3115" t="str">
        <f>input!K817</f>
        <v>Packaging</v>
      </c>
      <c r="W456" s="3115">
        <f t="shared" ca="1" si="316"/>
        <v>0</v>
      </c>
      <c r="X456" s="3119">
        <f>VLOOKUP(V456,'Fix Cost'!$K$177:$M$179,2,0)</f>
        <v>58449.923860467366</v>
      </c>
      <c r="Y456" s="3119">
        <f>VLOOKUP(V456,'Fix Cost'!$K$177:$M$179,3,0)</f>
        <v>267411.04680782068</v>
      </c>
      <c r="Z456" s="3119">
        <f t="shared" ca="1" si="317"/>
        <v>0</v>
      </c>
      <c r="AA456" s="3115">
        <f t="shared" ca="1" si="318"/>
        <v>0</v>
      </c>
      <c r="AB456" s="3115">
        <f t="shared" ca="1" si="319"/>
        <v>0</v>
      </c>
      <c r="AK456" s="313"/>
      <c r="AL456" s="313"/>
      <c r="AM456" s="313"/>
      <c r="AO456" s="1055"/>
      <c r="AP456" s="385"/>
      <c r="AQ456" s="385"/>
      <c r="AR456" s="1048"/>
      <c r="AS456" s="385"/>
      <c r="AT456" s="879">
        <f t="shared" ca="1" si="288"/>
        <v>0</v>
      </c>
      <c r="AU456" s="879">
        <f ca="1">COUNTIFS(AT$7:$AT456,1)</f>
        <v>5</v>
      </c>
    </row>
    <row r="457" spans="2:47" ht="14.25" hidden="1" customHeight="1" outlineLevel="1">
      <c r="B457" s="1738" t="s">
        <v>29</v>
      </c>
      <c r="C457" s="313" t="str">
        <f>input!C825</f>
        <v>Hotstamp (NIKKO 1050FH)</v>
      </c>
      <c r="D457" s="313">
        <f>input!D825</f>
        <v>136</v>
      </c>
      <c r="E457" s="363"/>
      <c r="F457" s="363" t="str">
        <f ca="1">input!F825</f>
        <v>N</v>
      </c>
      <c r="G457" s="363"/>
      <c r="H457" s="313">
        <f ca="1">IF(F457="PCS",$E$4,SUMIFS(Paper!$AC$7:$AC$58,Paper!$A$7:$A$58,'Production cost'!F457))</f>
        <v>0</v>
      </c>
      <c r="I457" s="313">
        <f ca="1">IF(input!$G825&gt;0,input!$G825,IF($C457=Data!$L$1158,500,3000))</f>
        <v>3000</v>
      </c>
      <c r="J457" s="313" t="str">
        <f>input!$H825</f>
        <v>Sheets</v>
      </c>
      <c r="K457" s="360">
        <f>IF($C457=Data!$L$1158,0,1/4)</f>
        <v>0.25</v>
      </c>
      <c r="L457" s="313">
        <f ca="1">IF(input!$I825&gt;0,input!$I825,2)</f>
        <v>2</v>
      </c>
      <c r="M457" s="391">
        <f ca="1">IF(H457&gt;0,SUMIF(Data!$L$1155:$L$1190,'Production cost'!$C457,Data!$Q$1155:$Q$1190)*SUMIF(Paper!$A$7:$A$70,'Production cost'!$F457,Paper!$J$7:$J$70),0)</f>
        <v>0</v>
      </c>
      <c r="N457" s="391">
        <f t="shared" ca="1" si="321"/>
        <v>0</v>
      </c>
      <c r="O457" s="313">
        <f>IF($C457=Data!$L$1158,0,Data!$N$1195)</f>
        <v>352574.32240985788</v>
      </c>
      <c r="P457" s="313">
        <f>SUMIF(Data!$L$1155:$L$1190,'Production cost'!$C457,Data!$N$1155:$N$1190)</f>
        <v>64593.240854333337</v>
      </c>
      <c r="Q457" s="313">
        <f t="shared" ca="1" si="320"/>
        <v>0</v>
      </c>
      <c r="R457" s="313">
        <f t="shared" ca="1" si="322"/>
        <v>0</v>
      </c>
      <c r="S457" s="1741">
        <f t="shared" ca="1" si="323"/>
        <v>0</v>
      </c>
      <c r="T457" s="313" t="str">
        <f ca="1">input!J825</f>
        <v>N</v>
      </c>
      <c r="V457" s="3115" t="str">
        <f>input!K818</f>
        <v>Packaging</v>
      </c>
      <c r="W457" s="3115">
        <f t="shared" ca="1" si="316"/>
        <v>0</v>
      </c>
      <c r="X457" s="3119">
        <f>VLOOKUP(V457,'Fix Cost'!$K$177:$M$179,2,0)</f>
        <v>58449.923860467366</v>
      </c>
      <c r="Y457" s="3119">
        <f>VLOOKUP(V457,'Fix Cost'!$K$177:$M$179,3,0)</f>
        <v>267411.04680782068</v>
      </c>
      <c r="Z457" s="3119">
        <f t="shared" ca="1" si="317"/>
        <v>0</v>
      </c>
      <c r="AA457" s="3115">
        <f t="shared" ca="1" si="318"/>
        <v>0</v>
      </c>
      <c r="AB457" s="3115">
        <f t="shared" ca="1" si="319"/>
        <v>0</v>
      </c>
      <c r="AK457" s="313"/>
      <c r="AL457" s="313"/>
      <c r="AM457" s="313"/>
      <c r="AO457" s="1055"/>
      <c r="AP457" s="385"/>
      <c r="AQ457" s="385"/>
      <c r="AR457" s="1048"/>
      <c r="AS457" s="385"/>
      <c r="AT457" s="879">
        <f t="shared" ca="1" si="288"/>
        <v>0</v>
      </c>
      <c r="AU457" s="879">
        <f ca="1">COUNTIFS(AT$7:$AT457,1)</f>
        <v>5</v>
      </c>
    </row>
    <row r="458" spans="2:47" ht="14.25" hidden="1" customHeight="1" outlineLevel="1">
      <c r="B458" s="1738" t="s">
        <v>29</v>
      </c>
      <c r="C458" s="313" t="str">
        <f>input!C826</f>
        <v>Hotstamp (NIKKO 1050FH)</v>
      </c>
      <c r="D458" s="313">
        <f>input!D826</f>
        <v>153</v>
      </c>
      <c r="E458" s="363"/>
      <c r="F458" s="363" t="str">
        <f ca="1">input!F826</f>
        <v>N</v>
      </c>
      <c r="G458" s="363"/>
      <c r="H458" s="313">
        <f ca="1">IF(F458="PCS",$E$4,SUMIFS(Paper!$AC$7:$AC$58,Paper!$A$7:$A$58,'Production cost'!F458))</f>
        <v>0</v>
      </c>
      <c r="I458" s="313">
        <f ca="1">IF(input!$G826&gt;0,input!$G826,IF($C458=Data!$L$1158,500,3000))</f>
        <v>3000</v>
      </c>
      <c r="J458" s="313" t="str">
        <f>input!$H826</f>
        <v>Sheets</v>
      </c>
      <c r="K458" s="360">
        <f>IF($C458=Data!$L$1158,0,1/4)</f>
        <v>0.25</v>
      </c>
      <c r="L458" s="313">
        <f ca="1">IF(input!$I826&gt;0,input!$I826,2)</f>
        <v>2</v>
      </c>
      <c r="M458" s="391">
        <f ca="1">IF(H458&gt;0,SUMIF(Data!$L$1155:$L$1190,'Production cost'!$C458,Data!$Q$1155:$Q$1190)*SUMIF(Paper!$A$7:$A$70,'Production cost'!$F458,Paper!$J$7:$J$70),0)</f>
        <v>0</v>
      </c>
      <c r="N458" s="391">
        <f t="shared" ca="1" si="321"/>
        <v>0</v>
      </c>
      <c r="O458" s="313">
        <f>IF($C458=Data!$L$1158,0,Data!$N$1195)</f>
        <v>352574.32240985788</v>
      </c>
      <c r="P458" s="313">
        <f>SUMIF(Data!$L$1155:$L$1190,'Production cost'!$C458,Data!$N$1155:$N$1190)</f>
        <v>64593.240854333337</v>
      </c>
      <c r="Q458" s="313">
        <f t="shared" ca="1" si="320"/>
        <v>0</v>
      </c>
      <c r="R458" s="313">
        <f t="shared" ca="1" si="322"/>
        <v>0</v>
      </c>
      <c r="S458" s="1741">
        <f t="shared" ca="1" si="323"/>
        <v>0</v>
      </c>
      <c r="T458" s="313" t="str">
        <f ca="1">input!J826</f>
        <v>N</v>
      </c>
      <c r="V458" s="3115" t="str">
        <f>input!K819</f>
        <v>Packaging</v>
      </c>
      <c r="W458" s="3115">
        <f t="shared" ca="1" si="316"/>
        <v>0</v>
      </c>
      <c r="X458" s="3119">
        <f>VLOOKUP(V458,'Fix Cost'!$K$177:$M$179,2,0)</f>
        <v>58449.923860467366</v>
      </c>
      <c r="Y458" s="3119">
        <f>VLOOKUP(V458,'Fix Cost'!$K$177:$M$179,3,0)</f>
        <v>267411.04680782068</v>
      </c>
      <c r="Z458" s="3119">
        <f t="shared" ca="1" si="317"/>
        <v>0</v>
      </c>
      <c r="AA458" s="3115">
        <f t="shared" ca="1" si="318"/>
        <v>0</v>
      </c>
      <c r="AB458" s="3115">
        <f t="shared" ca="1" si="319"/>
        <v>0</v>
      </c>
      <c r="AK458" s="313"/>
      <c r="AL458" s="313"/>
      <c r="AM458" s="313"/>
      <c r="AO458" s="1055"/>
      <c r="AP458" s="385"/>
      <c r="AQ458" s="385"/>
      <c r="AR458" s="1048"/>
      <c r="AS458" s="385"/>
      <c r="AT458" s="879">
        <f t="shared" ca="1" si="288"/>
        <v>0</v>
      </c>
      <c r="AU458" s="879">
        <f ca="1">COUNTIFS(AT$7:$AT458,1)</f>
        <v>5</v>
      </c>
    </row>
    <row r="459" spans="2:47" ht="14.25" hidden="1" customHeight="1" outlineLevel="1">
      <c r="B459" s="1738" t="s">
        <v>29</v>
      </c>
      <c r="C459" s="313" t="str">
        <f>input!C827</f>
        <v>Hotstamp (NIKKO 1050FH)</v>
      </c>
      <c r="D459" s="313">
        <f>input!D827</f>
        <v>170</v>
      </c>
      <c r="E459" s="363"/>
      <c r="F459" s="363" t="str">
        <f ca="1">input!F827</f>
        <v>N</v>
      </c>
      <c r="G459" s="363"/>
      <c r="H459" s="313">
        <f ca="1">IF(F459="PCS",$E$4,SUMIFS(Paper!$AC$7:$AC$58,Paper!$A$7:$A$58,'Production cost'!F459))</f>
        <v>0</v>
      </c>
      <c r="I459" s="313">
        <f ca="1">IF(input!$G827&gt;0,input!$G827,IF($C459=Data!$L$1158,500,3000))</f>
        <v>3000</v>
      </c>
      <c r="J459" s="313" t="str">
        <f>input!$H827</f>
        <v>Sheets</v>
      </c>
      <c r="K459" s="360">
        <f>IF($C459=Data!$L$1158,0,1/4)</f>
        <v>0.25</v>
      </c>
      <c r="L459" s="313">
        <f ca="1">IF(input!$I827&gt;0,input!$I827,2)</f>
        <v>2</v>
      </c>
      <c r="M459" s="391">
        <f ca="1">IF(H459&gt;0,SUMIF(Data!$L$1155:$L$1190,'Production cost'!$C459,Data!$Q$1155:$Q$1190)*SUMIF(Paper!$A$7:$A$70,'Production cost'!$F459,Paper!$J$7:$J$70),0)</f>
        <v>0</v>
      </c>
      <c r="N459" s="391">
        <f t="shared" ref="N459:N463" ca="1" si="331">IF(H459&gt;0,ROUNDUP(((H459/I459)/$M$5+M459),1),0)</f>
        <v>0</v>
      </c>
      <c r="O459" s="313">
        <f>IF($C459=Data!$L$1158,0,Data!$N$1195)</f>
        <v>352574.32240985788</v>
      </c>
      <c r="P459" s="313">
        <f>SUMIF(Data!$L$1155:$L$1190,'Production cost'!$C459,Data!$N$1155:$N$1190)</f>
        <v>64593.240854333337</v>
      </c>
      <c r="Q459" s="313">
        <f t="shared" ca="1" si="320"/>
        <v>0</v>
      </c>
      <c r="R459" s="313">
        <f t="shared" ref="R459:R463" ca="1" si="332">IF($E$2&gt;0,Q459/$E$2,0)</f>
        <v>0</v>
      </c>
      <c r="S459" s="1741">
        <f t="shared" ref="S459:S463" ca="1" si="333">IF(M459&gt;0,K459*O459+L459*P459,0)</f>
        <v>0</v>
      </c>
      <c r="T459" s="313" t="str">
        <f ca="1">input!J827</f>
        <v>N</v>
      </c>
      <c r="V459" s="3115" t="str">
        <f>input!K820</f>
        <v>Packaging</v>
      </c>
      <c r="W459" s="3115">
        <f t="shared" ref="W459:W463" ca="1" si="334">N459*(L459+K459)</f>
        <v>0</v>
      </c>
      <c r="X459" s="3119">
        <f>VLOOKUP(V459,'Fix Cost'!$K$177:$M$179,2,0)</f>
        <v>58449.923860467366</v>
      </c>
      <c r="Y459" s="3119">
        <f>VLOOKUP(V459,'Fix Cost'!$K$177:$M$179,3,0)</f>
        <v>267411.04680782068</v>
      </c>
      <c r="Z459" s="3119">
        <f t="shared" ref="Z459:Z463" ca="1" si="335">IFERROR($X459*W459,0)</f>
        <v>0</v>
      </c>
      <c r="AA459" s="3115">
        <f t="shared" ref="AA459:AA463" ca="1" si="336">IFERROR(Y459*N459,0)</f>
        <v>0</v>
      </c>
      <c r="AB459" s="3115">
        <f t="shared" ref="AB459:AB463" ca="1" si="337">Z459+AA459</f>
        <v>0</v>
      </c>
      <c r="AK459" s="313"/>
      <c r="AL459" s="313"/>
      <c r="AM459" s="313"/>
      <c r="AO459" s="1055"/>
      <c r="AP459" s="385"/>
      <c r="AQ459" s="385"/>
      <c r="AR459" s="1048"/>
      <c r="AS459" s="385"/>
      <c r="AT459" s="879">
        <f t="shared" ca="1" si="288"/>
        <v>0</v>
      </c>
      <c r="AU459" s="879">
        <f ca="1">COUNTIFS(AT$7:$AT459,1)</f>
        <v>5</v>
      </c>
    </row>
    <row r="460" spans="2:47" ht="14.25" hidden="1" customHeight="1" outlineLevel="1">
      <c r="B460" s="1738" t="s">
        <v>29</v>
      </c>
      <c r="C460" s="313" t="str">
        <f>input!C828</f>
        <v>Hotstamp (NIKKO 1050FH)</v>
      </c>
      <c r="D460" s="313">
        <f>input!D828</f>
        <v>187</v>
      </c>
      <c r="E460" s="363"/>
      <c r="F460" s="363" t="str">
        <f ca="1">input!F828</f>
        <v>N</v>
      </c>
      <c r="G460" s="363"/>
      <c r="H460" s="313">
        <f ca="1">IF(F460="PCS",$E$4,SUMIFS(Paper!$AC$7:$AC$58,Paper!$A$7:$A$58,'Production cost'!F460))</f>
        <v>0</v>
      </c>
      <c r="I460" s="313">
        <f ca="1">IF(input!$G828&gt;0,input!$G828,IF($C460=Data!$L$1158,500,3000))</f>
        <v>3000</v>
      </c>
      <c r="J460" s="313" t="str">
        <f>input!$H828</f>
        <v>Sheets</v>
      </c>
      <c r="K460" s="360">
        <f>IF($C460=Data!$L$1158,0,1/4)</f>
        <v>0.25</v>
      </c>
      <c r="L460" s="313">
        <f ca="1">IF(input!$I828&gt;0,input!$I828,2)</f>
        <v>2</v>
      </c>
      <c r="M460" s="391">
        <f ca="1">IF(H460&gt;0,SUMIF(Data!$L$1155:$L$1190,'Production cost'!$C460,Data!$Q$1155:$Q$1190)*SUMIF(Paper!$A$7:$A$70,'Production cost'!$F460,Paper!$J$7:$J$70),0)</f>
        <v>0</v>
      </c>
      <c r="N460" s="391">
        <f t="shared" ca="1" si="331"/>
        <v>0</v>
      </c>
      <c r="O460" s="313">
        <f>IF($C460=Data!$L$1158,0,Data!$N$1195)</f>
        <v>352574.32240985788</v>
      </c>
      <c r="P460" s="313">
        <f>SUMIF(Data!$L$1155:$L$1190,'Production cost'!$C460,Data!$N$1155:$N$1190)</f>
        <v>64593.240854333337</v>
      </c>
      <c r="Q460" s="313">
        <f t="shared" ca="1" si="320"/>
        <v>0</v>
      </c>
      <c r="R460" s="313">
        <f t="shared" ca="1" si="332"/>
        <v>0</v>
      </c>
      <c r="S460" s="1741">
        <f t="shared" ca="1" si="333"/>
        <v>0</v>
      </c>
      <c r="T460" s="313" t="str">
        <f ca="1">input!J828</f>
        <v>N</v>
      </c>
      <c r="V460" s="3115" t="str">
        <f>input!K821</f>
        <v>Packaging</v>
      </c>
      <c r="W460" s="3115">
        <f t="shared" ca="1" si="334"/>
        <v>0</v>
      </c>
      <c r="X460" s="3119">
        <f>VLOOKUP(V460,'Fix Cost'!$K$177:$M$179,2,0)</f>
        <v>58449.923860467366</v>
      </c>
      <c r="Y460" s="3119">
        <f>VLOOKUP(V460,'Fix Cost'!$K$177:$M$179,3,0)</f>
        <v>267411.04680782068</v>
      </c>
      <c r="Z460" s="3119">
        <f t="shared" ca="1" si="335"/>
        <v>0</v>
      </c>
      <c r="AA460" s="3115">
        <f t="shared" ca="1" si="336"/>
        <v>0</v>
      </c>
      <c r="AB460" s="3115">
        <f t="shared" ca="1" si="337"/>
        <v>0</v>
      </c>
      <c r="AK460" s="313"/>
      <c r="AL460" s="313"/>
      <c r="AM460" s="313"/>
      <c r="AO460" s="1055"/>
      <c r="AP460" s="385"/>
      <c r="AQ460" s="385"/>
      <c r="AR460" s="1048"/>
      <c r="AS460" s="385"/>
      <c r="AT460" s="879">
        <f t="shared" ca="1" si="288"/>
        <v>0</v>
      </c>
      <c r="AU460" s="879">
        <f ca="1">COUNTIFS(AT$7:$AT460,1)</f>
        <v>5</v>
      </c>
    </row>
    <row r="461" spans="2:47" ht="14.25" hidden="1" customHeight="1" outlineLevel="1">
      <c r="B461" s="1738" t="s">
        <v>29</v>
      </c>
      <c r="C461" s="313" t="str">
        <f>input!C829</f>
        <v>Hotstamp (NIKKO 1050FH)</v>
      </c>
      <c r="D461" s="313">
        <f>input!D829</f>
        <v>204</v>
      </c>
      <c r="E461" s="363"/>
      <c r="F461" s="363" t="str">
        <f ca="1">input!F829</f>
        <v>N</v>
      </c>
      <c r="G461" s="363"/>
      <c r="H461" s="313">
        <f ca="1">IF(F461="PCS",$E$4,SUMIFS(Paper!$AC$7:$AC$58,Paper!$A$7:$A$58,'Production cost'!F461))</f>
        <v>0</v>
      </c>
      <c r="I461" s="313">
        <f ca="1">IF(input!$G829&gt;0,input!$G829,IF($C461=Data!$L$1158,500,3000))</f>
        <v>3000</v>
      </c>
      <c r="J461" s="313" t="str">
        <f>input!$H829</f>
        <v>Sheets</v>
      </c>
      <c r="K461" s="360">
        <f>IF($C461=Data!$L$1158,0,1/4)</f>
        <v>0.25</v>
      </c>
      <c r="L461" s="313">
        <f ca="1">IF(input!$I829&gt;0,input!$I829,2)</f>
        <v>2</v>
      </c>
      <c r="M461" s="391">
        <f ca="1">IF(H461&gt;0,SUMIF(Data!$L$1155:$L$1190,'Production cost'!$C461,Data!$Q$1155:$Q$1190)*SUMIF(Paper!$A$7:$A$70,'Production cost'!$F461,Paper!$J$7:$J$70),0)</f>
        <v>0</v>
      </c>
      <c r="N461" s="391">
        <f t="shared" ca="1" si="331"/>
        <v>0</v>
      </c>
      <c r="O461" s="313">
        <f>IF($C461=Data!$L$1158,0,Data!$N$1195)</f>
        <v>352574.32240985788</v>
      </c>
      <c r="P461" s="313">
        <f>SUMIF(Data!$L$1155:$L$1190,'Production cost'!$C461,Data!$N$1155:$N$1190)</f>
        <v>64593.240854333337</v>
      </c>
      <c r="Q461" s="313">
        <f t="shared" ca="1" si="320"/>
        <v>0</v>
      </c>
      <c r="R461" s="313">
        <f t="shared" ca="1" si="332"/>
        <v>0</v>
      </c>
      <c r="S461" s="1741">
        <f t="shared" ca="1" si="333"/>
        <v>0</v>
      </c>
      <c r="T461" s="313" t="str">
        <f ca="1">input!J829</f>
        <v>N</v>
      </c>
      <c r="V461" s="3115" t="str">
        <f>input!K822</f>
        <v>Packaging</v>
      </c>
      <c r="W461" s="3115">
        <f t="shared" ca="1" si="334"/>
        <v>0</v>
      </c>
      <c r="X461" s="3119">
        <f>VLOOKUP(V461,'Fix Cost'!$K$177:$M$179,2,0)</f>
        <v>58449.923860467366</v>
      </c>
      <c r="Y461" s="3119">
        <f>VLOOKUP(V461,'Fix Cost'!$K$177:$M$179,3,0)</f>
        <v>267411.04680782068</v>
      </c>
      <c r="Z461" s="3119">
        <f t="shared" ca="1" si="335"/>
        <v>0</v>
      </c>
      <c r="AA461" s="3115">
        <f t="shared" ca="1" si="336"/>
        <v>0</v>
      </c>
      <c r="AB461" s="3115">
        <f t="shared" ca="1" si="337"/>
        <v>0</v>
      </c>
      <c r="AK461" s="313"/>
      <c r="AL461" s="313"/>
      <c r="AM461" s="313"/>
      <c r="AO461" s="1055"/>
      <c r="AP461" s="385"/>
      <c r="AQ461" s="385"/>
      <c r="AR461" s="1048"/>
      <c r="AS461" s="385"/>
      <c r="AT461" s="879">
        <f t="shared" ca="1" si="288"/>
        <v>0</v>
      </c>
      <c r="AU461" s="879">
        <f ca="1">COUNTIFS(AT$7:$AT461,1)</f>
        <v>5</v>
      </c>
    </row>
    <row r="462" spans="2:47" ht="14.25" hidden="1" customHeight="1" outlineLevel="1">
      <c r="B462" s="1738" t="s">
        <v>29</v>
      </c>
      <c r="C462" s="313" t="str">
        <f>input!C830</f>
        <v>Hotstamp (NIKKO 1050FH)</v>
      </c>
      <c r="D462" s="313">
        <f>input!D830</f>
        <v>221</v>
      </c>
      <c r="E462" s="363"/>
      <c r="F462" s="363" t="str">
        <f ca="1">input!F830</f>
        <v>N</v>
      </c>
      <c r="G462" s="363"/>
      <c r="H462" s="313">
        <f ca="1">IF(F462="PCS",$E$4,SUMIFS(Paper!$AC$7:$AC$58,Paper!$A$7:$A$58,'Production cost'!F462))</f>
        <v>0</v>
      </c>
      <c r="I462" s="313">
        <f ca="1">IF(input!$G830&gt;0,input!$G830,IF($C462=Data!$L$1158,500,3000))</f>
        <v>3000</v>
      </c>
      <c r="J462" s="313" t="str">
        <f>input!$H830</f>
        <v>Sheets</v>
      </c>
      <c r="K462" s="360">
        <f>IF($C462=Data!$L$1158,0,1/4)</f>
        <v>0.25</v>
      </c>
      <c r="L462" s="313">
        <f ca="1">IF(input!$I830&gt;0,input!$I830,2)</f>
        <v>2</v>
      </c>
      <c r="M462" s="391">
        <f ca="1">IF(H462&gt;0,SUMIF(Data!$L$1155:$L$1190,'Production cost'!$C462,Data!$Q$1155:$Q$1190)*SUMIF(Paper!$A$7:$A$70,'Production cost'!$F462,Paper!$J$7:$J$70),0)</f>
        <v>0</v>
      </c>
      <c r="N462" s="391">
        <f t="shared" ca="1" si="331"/>
        <v>0</v>
      </c>
      <c r="O462" s="313">
        <f>IF($C462=Data!$L$1158,0,Data!$N$1195)</f>
        <v>352574.32240985788</v>
      </c>
      <c r="P462" s="313">
        <f>SUMIF(Data!$L$1155:$L$1190,'Production cost'!$C462,Data!$N$1155:$N$1190)</f>
        <v>64593.240854333337</v>
      </c>
      <c r="Q462" s="313">
        <f t="shared" ca="1" si="320"/>
        <v>0</v>
      </c>
      <c r="R462" s="313">
        <f t="shared" ca="1" si="332"/>
        <v>0</v>
      </c>
      <c r="S462" s="1741">
        <f t="shared" ca="1" si="333"/>
        <v>0</v>
      </c>
      <c r="T462" s="313" t="str">
        <f ca="1">input!J830</f>
        <v>N</v>
      </c>
      <c r="V462" s="3115" t="str">
        <f>input!K823</f>
        <v>Packaging</v>
      </c>
      <c r="W462" s="3115">
        <f t="shared" ca="1" si="334"/>
        <v>0</v>
      </c>
      <c r="X462" s="3119">
        <f>VLOOKUP(V462,'Fix Cost'!$K$177:$M$179,2,0)</f>
        <v>58449.923860467366</v>
      </c>
      <c r="Y462" s="3119">
        <f>VLOOKUP(V462,'Fix Cost'!$K$177:$M$179,3,0)</f>
        <v>267411.04680782068</v>
      </c>
      <c r="Z462" s="3119">
        <f t="shared" ca="1" si="335"/>
        <v>0</v>
      </c>
      <c r="AA462" s="3115">
        <f t="shared" ca="1" si="336"/>
        <v>0</v>
      </c>
      <c r="AB462" s="3115">
        <f t="shared" ca="1" si="337"/>
        <v>0</v>
      </c>
      <c r="AK462" s="313"/>
      <c r="AL462" s="313"/>
      <c r="AM462" s="313"/>
      <c r="AO462" s="1055"/>
      <c r="AP462" s="385"/>
      <c r="AQ462" s="385"/>
      <c r="AR462" s="1048"/>
      <c r="AS462" s="385"/>
      <c r="AT462" s="879">
        <f t="shared" ca="1" si="288"/>
        <v>0</v>
      </c>
      <c r="AU462" s="879">
        <f ca="1">COUNTIFS(AT$7:$AT462,1)</f>
        <v>5</v>
      </c>
    </row>
    <row r="463" spans="2:47" ht="14.25" hidden="1" customHeight="1" outlineLevel="1">
      <c r="B463" s="1738" t="s">
        <v>29</v>
      </c>
      <c r="C463" s="313" t="str">
        <f>input!C831</f>
        <v>Hotstamp (NIKKO 1050FH)</v>
      </c>
      <c r="D463" s="313">
        <f>input!D831</f>
        <v>238</v>
      </c>
      <c r="E463" s="363"/>
      <c r="F463" s="363" t="str">
        <f ca="1">input!F831</f>
        <v>N</v>
      </c>
      <c r="G463" s="363"/>
      <c r="H463" s="313">
        <f ca="1">IF(F463="PCS",$E$4,SUMIFS(Paper!$AC$7:$AC$58,Paper!$A$7:$A$58,'Production cost'!F463))</f>
        <v>0</v>
      </c>
      <c r="I463" s="313">
        <f ca="1">IF(input!$G831&gt;0,input!$G831,IF($C463=Data!$L$1158,500,3000))</f>
        <v>3000</v>
      </c>
      <c r="J463" s="313" t="str">
        <f>input!$H831</f>
        <v>Sheets</v>
      </c>
      <c r="K463" s="360">
        <f>IF($C463=Data!$L$1158,0,1/4)</f>
        <v>0.25</v>
      </c>
      <c r="L463" s="313">
        <f ca="1">IF(input!$I831&gt;0,input!$I831,2)</f>
        <v>2</v>
      </c>
      <c r="M463" s="391">
        <f ca="1">IF(H463&gt;0,SUMIF(Data!$L$1155:$L$1190,'Production cost'!$C463,Data!$Q$1155:$Q$1190)*SUMIF(Paper!$A$7:$A$70,'Production cost'!$F463,Paper!$J$7:$J$70),0)</f>
        <v>0</v>
      </c>
      <c r="N463" s="391">
        <f t="shared" ca="1" si="331"/>
        <v>0</v>
      </c>
      <c r="O463" s="313">
        <f>IF($C463=Data!$L$1158,0,Data!$N$1195)</f>
        <v>352574.32240985788</v>
      </c>
      <c r="P463" s="313">
        <f>SUMIF(Data!$L$1155:$L$1190,'Production cost'!$C463,Data!$N$1155:$N$1190)</f>
        <v>64593.240854333337</v>
      </c>
      <c r="Q463" s="313">
        <f t="shared" ca="1" si="320"/>
        <v>0</v>
      </c>
      <c r="R463" s="313">
        <f t="shared" ca="1" si="332"/>
        <v>0</v>
      </c>
      <c r="S463" s="1741">
        <f t="shared" ca="1" si="333"/>
        <v>0</v>
      </c>
      <c r="T463" s="313" t="str">
        <f ca="1">input!J831</f>
        <v>N</v>
      </c>
      <c r="V463" s="3115" t="str">
        <f>input!K824</f>
        <v>Packaging</v>
      </c>
      <c r="W463" s="3115">
        <f t="shared" ca="1" si="334"/>
        <v>0</v>
      </c>
      <c r="X463" s="3119">
        <f>VLOOKUP(V463,'Fix Cost'!$K$177:$M$179,2,0)</f>
        <v>58449.923860467366</v>
      </c>
      <c r="Y463" s="3119">
        <f>VLOOKUP(V463,'Fix Cost'!$K$177:$M$179,3,0)</f>
        <v>267411.04680782068</v>
      </c>
      <c r="Z463" s="3119">
        <f t="shared" ca="1" si="335"/>
        <v>0</v>
      </c>
      <c r="AA463" s="3115">
        <f t="shared" ca="1" si="336"/>
        <v>0</v>
      </c>
      <c r="AB463" s="3115">
        <f t="shared" ca="1" si="337"/>
        <v>0</v>
      </c>
      <c r="AK463" s="313"/>
      <c r="AL463" s="313"/>
      <c r="AM463" s="313"/>
      <c r="AO463" s="1055"/>
      <c r="AP463" s="385"/>
      <c r="AQ463" s="385"/>
      <c r="AR463" s="1048"/>
      <c r="AS463" s="385"/>
      <c r="AT463" s="879">
        <f t="shared" ca="1" si="288"/>
        <v>0</v>
      </c>
      <c r="AU463" s="879">
        <f ca="1">COUNTIFS(AT$7:$AT463,1)</f>
        <v>5</v>
      </c>
    </row>
    <row r="464" spans="2:47" ht="14.25" hidden="1" customHeight="1" outlineLevel="1">
      <c r="B464" s="1738" t="str">
        <f>input!B832</f>
        <v>Diecutting - ACC</v>
      </c>
      <c r="C464" s="313" t="str">
        <f>input!C832</f>
        <v>Die-cutting</v>
      </c>
      <c r="E464" s="363"/>
      <c r="F464" s="363" t="str">
        <f>input!F832</f>
        <v>N</v>
      </c>
      <c r="G464" s="363"/>
      <c r="H464" s="313">
        <f>IF(F464="PCS",$E$4,SUMIF('ACC &amp; Other Material '!$B$105:$B$114,'Production cost'!$F464,'ACC &amp; Other Material '!$H$105:$H$114))</f>
        <v>0</v>
      </c>
      <c r="I464" s="313">
        <f>IF(input!$G832&gt;0,input!$G832,IF($C464=Data!$L$1158,500,3000))</f>
        <v>3000</v>
      </c>
      <c r="J464" s="313" t="str">
        <f>input!$H832</f>
        <v>Sheets</v>
      </c>
      <c r="K464" s="360">
        <f>IF($C464=Data!$L$1158,0,1/4)</f>
        <v>0.25</v>
      </c>
      <c r="L464" s="313">
        <f>IF(input!$I832&gt;0,input!$I832,2)</f>
        <v>2</v>
      </c>
      <c r="M464" s="391">
        <f>IF(H464&gt;0,SUMIF(Data!$L$1155:$L$1190,'Production cost'!$C464,Data!$Q$1155:$Q$1190)*SUMIF(Paper!$A$7:$A$70,'Production cost'!$F464,Paper!$J$7:$J$70),0)</f>
        <v>0</v>
      </c>
      <c r="N464" s="391">
        <f>IF(H464&gt;0,ROUNDUP(((H464/I464)/$M$5+M464),1),0)</f>
        <v>0</v>
      </c>
      <c r="O464" s="313">
        <f>IF($C464=Data!$L$1158,0,Data!$N$1195)</f>
        <v>352574.32240985788</v>
      </c>
      <c r="P464" s="313">
        <f>SUMIF(Data!$L$1155:$L$1190,'Production cost'!$C464,Data!$N$1155:$N$1190)</f>
        <v>0</v>
      </c>
      <c r="Q464" s="313">
        <f t="shared" si="320"/>
        <v>0</v>
      </c>
      <c r="R464" s="313">
        <f>IF($E$2&gt;0,Q464/$E$2,0)</f>
        <v>0</v>
      </c>
      <c r="S464" s="1741">
        <f>IF(M464&gt;0,K464*O464+L464*P464,0)</f>
        <v>0</v>
      </c>
      <c r="T464" s="313" t="str">
        <f>input!J832</f>
        <v>N</v>
      </c>
      <c r="V464" s="3115" t="str">
        <f>input!K832</f>
        <v>Packaging</v>
      </c>
      <c r="W464" s="3115">
        <f>N464*(L464+K464)</f>
        <v>0</v>
      </c>
      <c r="X464" s="3119">
        <f>VLOOKUP(V464,'Fix Cost'!$K$177:$M$179,2,0)</f>
        <v>58449.923860467366</v>
      </c>
      <c r="Y464" s="3119">
        <f>VLOOKUP(V464,'Fix Cost'!$K$177:$M$179,3,0)</f>
        <v>267411.04680782068</v>
      </c>
      <c r="Z464" s="3119">
        <f>IFERROR($X464*W464,0)</f>
        <v>0</v>
      </c>
      <c r="AA464" s="3115">
        <f>IFERROR(Y464*N464,0)</f>
        <v>0</v>
      </c>
      <c r="AB464" s="3115">
        <f>Z464+AA464</f>
        <v>0</v>
      </c>
      <c r="AK464" s="313"/>
      <c r="AL464" s="313"/>
      <c r="AM464" s="313"/>
      <c r="AO464" s="1055"/>
      <c r="AP464" s="385"/>
      <c r="AQ464" s="385"/>
      <c r="AR464" s="1048"/>
      <c r="AS464" s="1051"/>
      <c r="AT464" s="879">
        <f t="shared" si="288"/>
        <v>0</v>
      </c>
      <c r="AU464" s="879">
        <f ca="1">COUNTIFS(AT$7:$AT464,1)</f>
        <v>5</v>
      </c>
    </row>
    <row r="465" spans="1:47" ht="14.25" hidden="1" customHeight="1" outlineLevel="1">
      <c r="B465" s="1738" t="str">
        <f>input!B833</f>
        <v>Diecutting - ACC</v>
      </c>
      <c r="C465" s="313" t="str">
        <f>input!C833</f>
        <v>Die-cutting</v>
      </c>
      <c r="E465" s="363"/>
      <c r="F465" s="363" t="str">
        <f>input!F833</f>
        <v>N</v>
      </c>
      <c r="G465" s="363"/>
      <c r="H465" s="313">
        <f>IF(F465="PCS",$E$4,SUMIF('ACC &amp; Other Material '!$B$105:$B$114,'Production cost'!$F465,'ACC &amp; Other Material '!$H$105:$H$114))</f>
        <v>0</v>
      </c>
      <c r="I465" s="313">
        <f>IF(input!$G833&gt;0,input!$G833,IF($C465=Data!$L$1158,500,3000))</f>
        <v>3000</v>
      </c>
      <c r="J465" s="313" t="str">
        <f>input!$H833</f>
        <v>Sheets</v>
      </c>
      <c r="K465" s="360">
        <f>IF($C465=Data!$L$1158,0,1/4)</f>
        <v>0.25</v>
      </c>
      <c r="L465" s="313">
        <f>IF(input!$I833&gt;0,input!$I833,2)</f>
        <v>2</v>
      </c>
      <c r="M465" s="391">
        <f>IF(H465&gt;0,SUMIF(Data!$L$1155:$L$1190,'Production cost'!$C465,Data!$Q$1155:$Q$1190)*SUMIF(Paper!$A$7:$A$70,'Production cost'!$F465,Paper!$J$7:$J$70),0)</f>
        <v>0</v>
      </c>
      <c r="N465" s="391">
        <f>IF(H465&gt;0,ROUNDUP(((H465/I465)/$M$5+M465),1),0)</f>
        <v>0</v>
      </c>
      <c r="O465" s="313">
        <f>IF($C465=Data!$L$1158,0,Data!$N$1195)</f>
        <v>352574.32240985788</v>
      </c>
      <c r="P465" s="313">
        <f>SUMIF(Data!$L$1155:$L$1190,'Production cost'!$C465,Data!$N$1155:$N$1190)</f>
        <v>0</v>
      </c>
      <c r="Q465" s="313">
        <f t="shared" si="320"/>
        <v>0</v>
      </c>
      <c r="R465" s="313">
        <f>IF($E$2&gt;0,Q465/$E$2,0)</f>
        <v>0</v>
      </c>
      <c r="S465" s="1741">
        <f>IF(M465&gt;0,K465*O465+L465*P465,0)</f>
        <v>0</v>
      </c>
      <c r="T465" s="313" t="str">
        <f>input!J833</f>
        <v>N</v>
      </c>
      <c r="V465" s="3115" t="str">
        <f>input!K833</f>
        <v>Packaging</v>
      </c>
      <c r="W465" s="3115">
        <f>N465*(L465+K465)</f>
        <v>0</v>
      </c>
      <c r="X465" s="3119">
        <f>VLOOKUP(V465,'Fix Cost'!$K$177:$M$179,2,0)</f>
        <v>58449.923860467366</v>
      </c>
      <c r="Y465" s="3119">
        <f>VLOOKUP(V465,'Fix Cost'!$K$177:$M$179,3,0)</f>
        <v>267411.04680782068</v>
      </c>
      <c r="Z465" s="3119">
        <f>IFERROR($X465*W465,0)</f>
        <v>0</v>
      </c>
      <c r="AA465" s="3115">
        <f>IFERROR(Y465*N465,0)</f>
        <v>0</v>
      </c>
      <c r="AB465" s="3115">
        <f>Z465+AA465</f>
        <v>0</v>
      </c>
      <c r="AK465" s="313"/>
      <c r="AL465" s="313"/>
      <c r="AM465" s="313"/>
      <c r="AO465" s="1055"/>
      <c r="AP465" s="385"/>
      <c r="AQ465" s="385"/>
      <c r="AR465" s="1048"/>
      <c r="AS465" s="1051"/>
      <c r="AT465" s="879">
        <f t="shared" si="288"/>
        <v>0</v>
      </c>
      <c r="AU465" s="879">
        <f ca="1">COUNTIFS(AT$7:$AT465,1)</f>
        <v>5</v>
      </c>
    </row>
    <row r="466" spans="1:47" ht="14.25" hidden="1" customHeight="1" outlineLevel="1">
      <c r="B466" s="1738" t="str">
        <f>input!B834</f>
        <v>Diecutting - ACC</v>
      </c>
      <c r="C466" s="313" t="str">
        <f>input!C834</f>
        <v>Die-cutting</v>
      </c>
      <c r="E466" s="363"/>
      <c r="F466" s="363" t="str">
        <f>input!F834</f>
        <v>N</v>
      </c>
      <c r="G466" s="363"/>
      <c r="H466" s="313">
        <f>IF(F466="PCS",$E$4,SUMIF('ACC &amp; Other Material '!$B$105:$B$114,'Production cost'!$F466,'ACC &amp; Other Material '!$H$105:$H$114))</f>
        <v>0</v>
      </c>
      <c r="I466" s="313">
        <f>IF(input!$G834&gt;0,input!$G834,IF($C466=Data!$L$1158,500,3000))</f>
        <v>3000</v>
      </c>
      <c r="J466" s="313" t="str">
        <f>input!$H834</f>
        <v>Sheets</v>
      </c>
      <c r="K466" s="360">
        <f>IF($C466=Data!$L$1158,0,1/4)</f>
        <v>0.25</v>
      </c>
      <c r="L466" s="313">
        <f>IF(input!$I834&gt;0,input!$I834,2)</f>
        <v>2</v>
      </c>
      <c r="M466" s="391">
        <f>IF(H466&gt;0,SUMIF(Data!$L$1155:$L$1190,'Production cost'!$C466,Data!$Q$1155:$Q$1190)*SUMIF(Paper!$A$7:$A$70,'Production cost'!$F466,Paper!$J$7:$J$70),0)</f>
        <v>0</v>
      </c>
      <c r="N466" s="391">
        <f>IF(H466&gt;0,ROUNDUP(((H466/I466)/$M$5+M466),1),0)</f>
        <v>0</v>
      </c>
      <c r="O466" s="313">
        <f>IF($C466=Data!$L$1158,0,Data!$N$1195)</f>
        <v>352574.32240985788</v>
      </c>
      <c r="P466" s="313">
        <f>SUMIF(Data!$L$1155:$L$1190,'Production cost'!$C466,Data!$N$1155:$N$1190)</f>
        <v>0</v>
      </c>
      <c r="Q466" s="313">
        <f t="shared" si="320"/>
        <v>0</v>
      </c>
      <c r="R466" s="313">
        <f>IF($E$2&gt;0,Q466/$E$2,0)</f>
        <v>0</v>
      </c>
      <c r="S466" s="1741">
        <f>IF(M466&gt;0,K466*O466+L466*P466,0)</f>
        <v>0</v>
      </c>
      <c r="T466" s="313" t="str">
        <f>input!J834</f>
        <v>N</v>
      </c>
      <c r="V466" s="3115" t="str">
        <f>input!K834</f>
        <v>Packaging</v>
      </c>
      <c r="W466" s="3115">
        <f>N466*(L466+K466)</f>
        <v>0</v>
      </c>
      <c r="X466" s="3119">
        <f>VLOOKUP(V466,'Fix Cost'!$K$177:$M$179,2,0)</f>
        <v>58449.923860467366</v>
      </c>
      <c r="Y466" s="3119">
        <f>VLOOKUP(V466,'Fix Cost'!$K$177:$M$179,3,0)</f>
        <v>267411.04680782068</v>
      </c>
      <c r="Z466" s="3119">
        <f>IFERROR($X466*W466,0)</f>
        <v>0</v>
      </c>
      <c r="AA466" s="3115">
        <f>IFERROR(Y466*N466,0)</f>
        <v>0</v>
      </c>
      <c r="AB466" s="3115">
        <f>Z466+AA466</f>
        <v>0</v>
      </c>
      <c r="AK466" s="313"/>
      <c r="AL466" s="313"/>
      <c r="AM466" s="313"/>
      <c r="AO466" s="1055"/>
      <c r="AP466" s="385"/>
      <c r="AQ466" s="385"/>
      <c r="AR466" s="1048"/>
      <c r="AS466" s="1051"/>
      <c r="AT466" s="879">
        <f t="shared" si="288"/>
        <v>0</v>
      </c>
      <c r="AU466" s="879">
        <f ca="1">COUNTIFS(AT$7:$AT466,1)</f>
        <v>5</v>
      </c>
    </row>
    <row r="467" spans="1:47" ht="14.25" hidden="1" customHeight="1" outlineLevel="1">
      <c r="B467" s="1738" t="str">
        <f>input!B835</f>
        <v>Diecutting - ACC</v>
      </c>
      <c r="C467" s="313" t="str">
        <f>input!C835</f>
        <v>Die-cutting</v>
      </c>
      <c r="E467" s="363"/>
      <c r="F467" s="363" t="str">
        <f>input!F835</f>
        <v>N</v>
      </c>
      <c r="G467" s="363"/>
      <c r="H467" s="313">
        <f>IF(F467="PCS",$E$4,SUMIF('ACC &amp; Other Material '!$B$105:$B$114,'Production cost'!$F467,'ACC &amp; Other Material '!$H$105:$H$114))</f>
        <v>0</v>
      </c>
      <c r="I467" s="313">
        <f>IF(input!$G835&gt;0,input!$G835,IF($C467=Data!$L$1158,500,3000))</f>
        <v>3000</v>
      </c>
      <c r="J467" s="313" t="str">
        <f>input!$H835</f>
        <v>Sheets</v>
      </c>
      <c r="K467" s="360">
        <f>IF($C467=Data!$L$1158,0,1/4)</f>
        <v>0.25</v>
      </c>
      <c r="L467" s="313">
        <f>IF(input!$I835&gt;0,input!$I835,2)</f>
        <v>2</v>
      </c>
      <c r="M467" s="391">
        <f>IF(H467&gt;0,SUMIF(Data!$L$1155:$L$1190,'Production cost'!$C467,Data!$Q$1155:$Q$1190)*SUMIF(Paper!$A$7:$A$70,'Production cost'!$F467,Paper!$J$7:$J$70),0)</f>
        <v>0</v>
      </c>
      <c r="N467" s="391">
        <f>IF(H467&gt;0,ROUNDUP(((H467/I467)/$M$5+M467),1),0)</f>
        <v>0</v>
      </c>
      <c r="O467" s="313">
        <f>IF($C467=Data!$L$1158,0,Data!$N$1195)</f>
        <v>352574.32240985788</v>
      </c>
      <c r="P467" s="313">
        <f>SUMIF(Data!$L$1155:$L$1190,'Production cost'!$C467,Data!$N$1155:$N$1190)</f>
        <v>0</v>
      </c>
      <c r="Q467" s="313">
        <f t="shared" ref="Q467:Q468" si="338">(N467*O467*K467+N467*P467*L467)*(1+$R$702)</f>
        <v>0</v>
      </c>
      <c r="R467" s="313">
        <f>IF($E$2&gt;0,Q467/$E$2,0)</f>
        <v>0</v>
      </c>
      <c r="S467" s="1741">
        <f>IF(M467&gt;0,K467*O467+L467*P467,0)</f>
        <v>0</v>
      </c>
      <c r="T467" s="313" t="str">
        <f>input!J835</f>
        <v>N</v>
      </c>
      <c r="V467" s="3115" t="str">
        <f>input!K835</f>
        <v>Packaging</v>
      </c>
      <c r="W467" s="3115">
        <f>N467*(L467+K467)</f>
        <v>0</v>
      </c>
      <c r="X467" s="3119">
        <f>VLOOKUP(V467,'Fix Cost'!$K$177:$M$179,2,0)</f>
        <v>58449.923860467366</v>
      </c>
      <c r="Y467" s="3119">
        <f>VLOOKUP(V467,'Fix Cost'!$K$177:$M$179,3,0)</f>
        <v>267411.04680782068</v>
      </c>
      <c r="Z467" s="3119">
        <f>IFERROR($X467*W467,0)</f>
        <v>0</v>
      </c>
      <c r="AA467" s="3115">
        <f>IFERROR(Y467*N467,0)</f>
        <v>0</v>
      </c>
      <c r="AB467" s="3115">
        <f>Z467+AA467</f>
        <v>0</v>
      </c>
      <c r="AK467" s="313"/>
      <c r="AL467" s="313"/>
      <c r="AM467" s="313"/>
      <c r="AO467" s="1055"/>
      <c r="AP467" s="385"/>
      <c r="AQ467" s="385"/>
      <c r="AR467" s="1048"/>
      <c r="AS467" s="1051"/>
      <c r="AT467" s="879">
        <f t="shared" si="288"/>
        <v>0</v>
      </c>
      <c r="AU467" s="879">
        <f ca="1">COUNTIFS(AT$7:$AT467,1)</f>
        <v>5</v>
      </c>
    </row>
    <row r="468" spans="1:47" ht="14.25" hidden="1" customHeight="1" collapsed="1">
      <c r="B468" s="1742" t="str">
        <f>input!B836</f>
        <v>Diecutting - ACC</v>
      </c>
      <c r="C468" s="1743" t="str">
        <f>input!C836</f>
        <v>Die-cutting</v>
      </c>
      <c r="D468" s="1743"/>
      <c r="E468" s="1746"/>
      <c r="F468" s="1746" t="str">
        <f>input!F836</f>
        <v>N</v>
      </c>
      <c r="G468" s="1746"/>
      <c r="H468" s="1743">
        <f>IF(F468="PCS",$E$4,SUMIF('ACC &amp; Other Material '!$B$105:$B$114,'Production cost'!$F468,'ACC &amp; Other Material '!$H$105:$H$114))</f>
        <v>0</v>
      </c>
      <c r="I468" s="1743">
        <f>IF(input!$G836&gt;0,input!$G836,IF($C468=Data!$L$1158,500,3000))</f>
        <v>3000</v>
      </c>
      <c r="J468" s="1743" t="str">
        <f>input!$H836</f>
        <v>Sheets</v>
      </c>
      <c r="K468" s="1747">
        <f>IF($C468=Data!$L$1158,0,1/4)</f>
        <v>0.25</v>
      </c>
      <c r="L468" s="1743">
        <f>IF(input!$I836&gt;0,input!$I836,2)</f>
        <v>2</v>
      </c>
      <c r="M468" s="1748">
        <f>IF(H468&gt;0,SUMIF(Data!$L$1155:$L$1190,'Production cost'!$C468,Data!$Q$1155:$Q$1190)*SUMIF(Paper!$A$7:$A$70,'Production cost'!$F468,Paper!$J$7:$J$70),0)</f>
        <v>0</v>
      </c>
      <c r="N468" s="1748">
        <f>IF(H468&gt;0,ROUNDUP(((H468/I468)/$M$5+M468),1),0)</f>
        <v>0</v>
      </c>
      <c r="O468" s="1743">
        <f>IF($C468=Data!$L$1158,0,Data!$N$1195)</f>
        <v>352574.32240985788</v>
      </c>
      <c r="P468" s="1743">
        <f>SUMIF(Data!$L$1155:$L$1190,'Production cost'!$C468,Data!$N$1155:$N$1190)</f>
        <v>0</v>
      </c>
      <c r="Q468" s="1743">
        <f t="shared" si="338"/>
        <v>0</v>
      </c>
      <c r="R468" s="1743">
        <f>IF($E$2&gt;0,Q468/$E$2,0)</f>
        <v>0</v>
      </c>
      <c r="S468" s="1749">
        <f>IF(M468&gt;0,K468*O468+L468*P468,0)</f>
        <v>0</v>
      </c>
      <c r="T468" s="313" t="str">
        <f>input!J836</f>
        <v>N</v>
      </c>
      <c r="V468" s="3115" t="str">
        <f>input!K836</f>
        <v>Packaging</v>
      </c>
      <c r="W468" s="3115">
        <f>N468*(L468+K468)</f>
        <v>0</v>
      </c>
      <c r="X468" s="3119">
        <f>VLOOKUP(V468,'Fix Cost'!$K$177:$M$179,2,0)</f>
        <v>58449.923860467366</v>
      </c>
      <c r="Y468" s="3119">
        <f>VLOOKUP(V468,'Fix Cost'!$K$177:$M$179,3,0)</f>
        <v>267411.04680782068</v>
      </c>
      <c r="Z468" s="3119">
        <f>IFERROR($X468*W468,0)</f>
        <v>0</v>
      </c>
      <c r="AA468" s="3115">
        <f>IFERROR(Y468*N468,0)</f>
        <v>0</v>
      </c>
      <c r="AB468" s="3115">
        <f>Z468+AA468</f>
        <v>0</v>
      </c>
      <c r="AK468" s="313"/>
      <c r="AL468" s="313"/>
      <c r="AM468" s="313"/>
      <c r="AO468" s="1055"/>
      <c r="AP468" s="385"/>
      <c r="AQ468" s="385"/>
      <c r="AR468" s="1048"/>
      <c r="AS468" s="1051"/>
      <c r="AT468" s="879">
        <f t="shared" si="288"/>
        <v>0</v>
      </c>
      <c r="AU468" s="879">
        <f ca="1">COUNTIFS(AT$7:$AT468,1)</f>
        <v>5</v>
      </c>
    </row>
    <row r="469" spans="1:47" ht="14.25" hidden="1" customHeight="1" outlineLevel="1">
      <c r="E469" s="363"/>
      <c r="F469" s="384"/>
      <c r="G469" s="1270"/>
      <c r="M469" s="391"/>
      <c r="N469" s="391"/>
      <c r="AO469" s="385"/>
      <c r="AP469" s="385"/>
      <c r="AQ469" s="385"/>
      <c r="AR469" s="1048"/>
      <c r="AS469" s="385"/>
      <c r="AT469" s="879" t="str">
        <f t="shared" si="288"/>
        <v/>
      </c>
      <c r="AU469" s="879">
        <f ca="1">COUNTIFS(AT$7:$AT469,1)</f>
        <v>5</v>
      </c>
    </row>
    <row r="470" spans="1:47" ht="14.25" hidden="1" customHeight="1" collapsed="1">
      <c r="B470" s="1269"/>
      <c r="C470" s="385"/>
      <c r="G470" s="1270"/>
      <c r="S470" s="363"/>
      <c r="AO470" s="385"/>
      <c r="AP470" s="385"/>
      <c r="AQ470" s="385"/>
      <c r="AR470" s="1048"/>
      <c r="AS470" s="385"/>
      <c r="AT470" s="879" t="str">
        <f t="shared" si="288"/>
        <v/>
      </c>
      <c r="AU470" s="879">
        <f ca="1">COUNTIFS(AT$7:$AT470,1)</f>
        <v>5</v>
      </c>
    </row>
    <row r="471" spans="1:47" ht="12.75" outlineLevel="1">
      <c r="A471" s="1269" t="s">
        <v>1415</v>
      </c>
      <c r="B471" s="1730" t="s">
        <v>159</v>
      </c>
      <c r="C471" s="1731" t="s">
        <v>199</v>
      </c>
      <c r="D471" s="1731"/>
      <c r="E471" s="1734"/>
      <c r="F471" s="1734" t="str">
        <f ca="1">input!F839</f>
        <v>Pcs</v>
      </c>
      <c r="G471" s="1734"/>
      <c r="H471" s="1731">
        <f ca="1">IF(F471="PCS",$E$4,SUMIFS(Paper!$AC$7:$AC$58,Paper!$A$7:$A$58,'Production cost'!F471))</f>
        <v>5225</v>
      </c>
      <c r="I471" s="1731" t="str">
        <f ca="1">IF(input!$G839&gt;0,input!$G839,9000)</f>
        <v>4000</v>
      </c>
      <c r="J471" s="313" t="str">
        <f>input!$H839</f>
        <v>Pieces</v>
      </c>
      <c r="K471" s="1735">
        <v>0</v>
      </c>
      <c r="L471" s="1731" t="str">
        <f ca="1">IF(input!$I839&gt;0,input!$I839,4)</f>
        <v>7</v>
      </c>
      <c r="M471" s="1736">
        <f t="shared" ref="M471:M491" ca="1" si="339">IF(H471&gt;0,20/60,0)</f>
        <v>0.33333333333333331</v>
      </c>
      <c r="N471" s="1736">
        <f t="shared" ref="N471:N491" ca="1" si="340">IF(H471&gt;0,ROUNDUP(((H471/I471)/$M$5+M471),1),0)</f>
        <v>1.7000000000000002</v>
      </c>
      <c r="O471" s="1731"/>
      <c r="P471" s="1731">
        <f>Data!$N$1170</f>
        <v>59357.701116720593</v>
      </c>
      <c r="Q471" s="1731">
        <f t="shared" ref="Q471:Q491" ca="1" si="341">(N471*O471*K471+N471*P471*L471)*(1+$R$702)</f>
        <v>706356.64328897512</v>
      </c>
      <c r="R471" s="1731">
        <f t="shared" ref="R471:R491" ca="1" si="342">IF($E$2&gt;0,Q471/$E$2,0)</f>
        <v>141.27132865779501</v>
      </c>
      <c r="S471" s="1737">
        <f t="shared" ref="S471:S491" ca="1" si="343">IF(M471&gt;0,K471*O471+L471*P471,0)</f>
        <v>415503.90781704418</v>
      </c>
      <c r="T471" s="313" t="str">
        <f ca="1">input!J839</f>
        <v>Box</v>
      </c>
      <c r="V471" s="3115" t="str">
        <f>input!K839</f>
        <v>Packaging</v>
      </c>
      <c r="W471" s="3115">
        <f ca="1">N471*(L471+K471)</f>
        <v>11.900000000000002</v>
      </c>
      <c r="X471" s="3119">
        <f>VLOOKUP(V471,'Fix Cost'!$K$177:$M$179,2,0)</f>
        <v>58449.923860467366</v>
      </c>
      <c r="Y471" s="3119">
        <f>VLOOKUP(V471,'Fix Cost'!$K$177:$M$179,3,0)</f>
        <v>267411.04680782068</v>
      </c>
      <c r="Z471" s="3119">
        <f ca="1">IFERROR($X471*W471,0)</f>
        <v>695554.09393956175</v>
      </c>
      <c r="AA471" s="3115">
        <f ca="1">IFERROR(Y471*N471,0)</f>
        <v>454598.77957329521</v>
      </c>
      <c r="AB471" s="3115">
        <f ca="1">Z471+AA471</f>
        <v>1150152.8735128569</v>
      </c>
      <c r="AK471" s="313"/>
      <c r="AL471" s="313"/>
      <c r="AM471" s="313"/>
      <c r="AO471" s="385"/>
      <c r="AP471" s="385"/>
      <c r="AQ471" s="385"/>
      <c r="AR471" s="1048"/>
      <c r="AS471" s="1051"/>
      <c r="AT471" s="879">
        <f t="shared" ca="1" si="288"/>
        <v>1</v>
      </c>
      <c r="AU471" s="879">
        <f ca="1">COUNTIFS(AT$7:$AT471,1)</f>
        <v>6</v>
      </c>
    </row>
    <row r="472" spans="1:47" ht="12.75" hidden="1" outlineLevel="1">
      <c r="A472" s="1269"/>
      <c r="B472" s="1738" t="s">
        <v>159</v>
      </c>
      <c r="C472" s="313" t="s">
        <v>199</v>
      </c>
      <c r="E472" s="363"/>
      <c r="F472" s="363" t="str">
        <f ca="1">input!F840</f>
        <v>N</v>
      </c>
      <c r="G472" s="363"/>
      <c r="H472" s="313">
        <f ca="1">IF(F472="PCS",$E$4,SUMIFS(Paper!$AC$7:$AC$58,Paper!$A$7:$A$58,'Production cost'!F472))</f>
        <v>0</v>
      </c>
      <c r="I472" s="313">
        <f ca="1">IF(input!$G840&gt;0,input!$G840,9000)</f>
        <v>9000</v>
      </c>
      <c r="J472" s="313" t="str">
        <f>input!$H840</f>
        <v>Pieces</v>
      </c>
      <c r="K472" s="360">
        <v>0</v>
      </c>
      <c r="L472" s="313">
        <f ca="1">IF(input!$I840&gt;0,input!$I840,4)</f>
        <v>4</v>
      </c>
      <c r="M472" s="391">
        <f t="shared" ca="1" si="339"/>
        <v>0</v>
      </c>
      <c r="N472" s="391">
        <f t="shared" ca="1" si="340"/>
        <v>0</v>
      </c>
      <c r="P472" s="313">
        <f>Data!$N$1170</f>
        <v>59357.701116720593</v>
      </c>
      <c r="Q472" s="313">
        <f t="shared" ca="1" si="341"/>
        <v>0</v>
      </c>
      <c r="R472" s="313">
        <f t="shared" ca="1" si="342"/>
        <v>0</v>
      </c>
      <c r="S472" s="1741">
        <f t="shared" ca="1" si="343"/>
        <v>0</v>
      </c>
      <c r="T472" s="313" t="str">
        <f ca="1">input!J840</f>
        <v>N</v>
      </c>
      <c r="V472" s="3115" t="str">
        <f>input!K840</f>
        <v>Packaging</v>
      </c>
      <c r="W472" s="3115">
        <f t="shared" ref="W472:W491" ca="1" si="344">N472*(L472+K472)</f>
        <v>0</v>
      </c>
      <c r="X472" s="3119">
        <f>VLOOKUP(V472,'Fix Cost'!$K$177:$M$179,2,0)</f>
        <v>58449.923860467366</v>
      </c>
      <c r="Y472" s="3119">
        <f>VLOOKUP(V472,'Fix Cost'!$K$177:$M$179,3,0)</f>
        <v>267411.04680782068</v>
      </c>
      <c r="Z472" s="3119">
        <f t="shared" ref="Z472:Z491" ca="1" si="345">IFERROR($X472*W472,0)</f>
        <v>0</v>
      </c>
      <c r="AA472" s="3115">
        <f t="shared" ref="AA472:AA491" ca="1" si="346">IFERROR(Y472*N472,0)</f>
        <v>0</v>
      </c>
      <c r="AB472" s="3115">
        <f t="shared" ref="AB472:AB491" ca="1" si="347">Z472+AA472</f>
        <v>0</v>
      </c>
      <c r="AK472" s="313"/>
      <c r="AL472" s="313"/>
      <c r="AM472" s="313"/>
      <c r="AO472" s="385"/>
      <c r="AP472" s="385"/>
      <c r="AQ472" s="385"/>
      <c r="AR472" s="1048"/>
      <c r="AS472" s="1051"/>
      <c r="AT472" s="879">
        <f t="shared" ca="1" si="288"/>
        <v>0</v>
      </c>
      <c r="AU472" s="879">
        <f ca="1">COUNTIFS(AT$7:$AT472,1)</f>
        <v>6</v>
      </c>
    </row>
    <row r="473" spans="1:47" ht="12.75" hidden="1" outlineLevel="1">
      <c r="A473" s="1269"/>
      <c r="B473" s="1738" t="s">
        <v>159</v>
      </c>
      <c r="C473" s="313" t="s">
        <v>199</v>
      </c>
      <c r="E473" s="363"/>
      <c r="F473" s="363" t="str">
        <f ca="1">input!F841</f>
        <v>N</v>
      </c>
      <c r="G473" s="363"/>
      <c r="H473" s="313">
        <f ca="1">IF(F473="PCS",$E$4,SUMIFS(Paper!$AC$7:$AC$58,Paper!$A$7:$A$58,'Production cost'!F473))</f>
        <v>0</v>
      </c>
      <c r="I473" s="313">
        <f ca="1">IF(input!$G841&gt;0,input!$G841,9000)</f>
        <v>9000</v>
      </c>
      <c r="J473" s="313" t="str">
        <f>input!$H841</f>
        <v>Pieces</v>
      </c>
      <c r="K473" s="360">
        <v>0</v>
      </c>
      <c r="L473" s="313">
        <f ca="1">IF(input!$I841&gt;0,input!$I841,4)</f>
        <v>4</v>
      </c>
      <c r="M473" s="391">
        <f t="shared" ca="1" si="339"/>
        <v>0</v>
      </c>
      <c r="N473" s="391">
        <f t="shared" ca="1" si="340"/>
        <v>0</v>
      </c>
      <c r="P473" s="313">
        <f>Data!$N$1170</f>
        <v>59357.701116720593</v>
      </c>
      <c r="Q473" s="313">
        <f t="shared" ca="1" si="341"/>
        <v>0</v>
      </c>
      <c r="R473" s="313">
        <f t="shared" ca="1" si="342"/>
        <v>0</v>
      </c>
      <c r="S473" s="1741">
        <f t="shared" ca="1" si="343"/>
        <v>0</v>
      </c>
      <c r="T473" s="313" t="str">
        <f ca="1">input!J841</f>
        <v>N</v>
      </c>
      <c r="V473" s="3115" t="str">
        <f>input!K841</f>
        <v>Packaging</v>
      </c>
      <c r="W473" s="3115">
        <f t="shared" ca="1" si="344"/>
        <v>0</v>
      </c>
      <c r="X473" s="3119">
        <f>VLOOKUP(V473,'Fix Cost'!$K$177:$M$179,2,0)</f>
        <v>58449.923860467366</v>
      </c>
      <c r="Y473" s="3119">
        <f>VLOOKUP(V473,'Fix Cost'!$K$177:$M$179,3,0)</f>
        <v>267411.04680782068</v>
      </c>
      <c r="Z473" s="3119">
        <f t="shared" ca="1" si="345"/>
        <v>0</v>
      </c>
      <c r="AA473" s="3115">
        <f t="shared" ca="1" si="346"/>
        <v>0</v>
      </c>
      <c r="AB473" s="3115">
        <f t="shared" ca="1" si="347"/>
        <v>0</v>
      </c>
      <c r="AK473" s="313"/>
      <c r="AL473" s="313"/>
      <c r="AM473" s="313"/>
      <c r="AO473" s="385"/>
      <c r="AP473" s="385"/>
      <c r="AQ473" s="385"/>
      <c r="AR473" s="1048"/>
      <c r="AS473" s="1051"/>
      <c r="AT473" s="879">
        <f t="shared" ca="1" si="288"/>
        <v>0</v>
      </c>
      <c r="AU473" s="879">
        <f ca="1">COUNTIFS(AT$7:$AT473,1)</f>
        <v>6</v>
      </c>
    </row>
    <row r="474" spans="1:47" ht="12.75" hidden="1" outlineLevel="1">
      <c r="A474" s="1269"/>
      <c r="B474" s="1738" t="s">
        <v>159</v>
      </c>
      <c r="C474" s="313" t="s">
        <v>199</v>
      </c>
      <c r="E474" s="363"/>
      <c r="F474" s="363" t="str">
        <f ca="1">input!F842</f>
        <v>N</v>
      </c>
      <c r="G474" s="363"/>
      <c r="H474" s="313">
        <f ca="1">IF(F474="PCS",$E$4,SUMIFS(Paper!$AC$7:$AC$58,Paper!$A$7:$A$58,'Production cost'!F474))</f>
        <v>0</v>
      </c>
      <c r="I474" s="313">
        <f ca="1">IF(input!$G842&gt;0,input!$G842,9000)</f>
        <v>9000</v>
      </c>
      <c r="J474" s="313" t="str">
        <f>input!$H842</f>
        <v>Pieces</v>
      </c>
      <c r="K474" s="360">
        <v>0</v>
      </c>
      <c r="L474" s="313">
        <f ca="1">IF(input!$I842&gt;0,input!$I842,4)</f>
        <v>4</v>
      </c>
      <c r="M474" s="391">
        <f t="shared" ca="1" si="339"/>
        <v>0</v>
      </c>
      <c r="N474" s="391">
        <f t="shared" ca="1" si="340"/>
        <v>0</v>
      </c>
      <c r="P474" s="313">
        <f>Data!$N$1170</f>
        <v>59357.701116720593</v>
      </c>
      <c r="Q474" s="313">
        <f t="shared" ca="1" si="341"/>
        <v>0</v>
      </c>
      <c r="R474" s="313">
        <f t="shared" ca="1" si="342"/>
        <v>0</v>
      </c>
      <c r="S474" s="1741">
        <f t="shared" ca="1" si="343"/>
        <v>0</v>
      </c>
      <c r="T474" s="313" t="str">
        <f ca="1">input!J842</f>
        <v>N</v>
      </c>
      <c r="V474" s="3115" t="str">
        <f>input!K842</f>
        <v>Packaging</v>
      </c>
      <c r="W474" s="3115">
        <f t="shared" ca="1" si="344"/>
        <v>0</v>
      </c>
      <c r="X474" s="3119">
        <f>VLOOKUP(V474,'Fix Cost'!$K$177:$M$179,2,0)</f>
        <v>58449.923860467366</v>
      </c>
      <c r="Y474" s="3119">
        <f>VLOOKUP(V474,'Fix Cost'!$K$177:$M$179,3,0)</f>
        <v>267411.04680782068</v>
      </c>
      <c r="Z474" s="3119">
        <f t="shared" ca="1" si="345"/>
        <v>0</v>
      </c>
      <c r="AA474" s="3115">
        <f t="shared" ca="1" si="346"/>
        <v>0</v>
      </c>
      <c r="AB474" s="3115">
        <f t="shared" ca="1" si="347"/>
        <v>0</v>
      </c>
      <c r="AK474" s="313"/>
      <c r="AL474" s="313"/>
      <c r="AM474" s="313"/>
      <c r="AO474" s="385"/>
      <c r="AP474" s="385"/>
      <c r="AQ474" s="385"/>
      <c r="AR474" s="1048"/>
      <c r="AS474" s="1051"/>
      <c r="AT474" s="879">
        <f t="shared" ca="1" si="288"/>
        <v>0</v>
      </c>
      <c r="AU474" s="879">
        <f ca="1">COUNTIFS(AT$7:$AT474,1)</f>
        <v>6</v>
      </c>
    </row>
    <row r="475" spans="1:47" ht="12.75" hidden="1" outlineLevel="1">
      <c r="A475" s="1269"/>
      <c r="B475" s="1738" t="s">
        <v>159</v>
      </c>
      <c r="C475" s="313" t="s">
        <v>199</v>
      </c>
      <c r="E475" s="363"/>
      <c r="F475" s="363" t="str">
        <f ca="1">input!F843</f>
        <v>N</v>
      </c>
      <c r="G475" s="363"/>
      <c r="H475" s="313">
        <f ca="1">IF(F475="PCS",$E$4,SUMIFS(Paper!$AC$7:$AC$58,Paper!$A$7:$A$58,'Production cost'!F475))</f>
        <v>0</v>
      </c>
      <c r="I475" s="313">
        <f ca="1">IF(input!$G843&gt;0,input!$G843,9000)</f>
        <v>9000</v>
      </c>
      <c r="J475" s="313" t="str">
        <f>input!$H843</f>
        <v>Pieces</v>
      </c>
      <c r="K475" s="360">
        <v>0</v>
      </c>
      <c r="L475" s="313">
        <f ca="1">IF(input!$I843&gt;0,input!$I843,4)</f>
        <v>4</v>
      </c>
      <c r="M475" s="391">
        <f t="shared" ca="1" si="339"/>
        <v>0</v>
      </c>
      <c r="N475" s="391">
        <f t="shared" ca="1" si="340"/>
        <v>0</v>
      </c>
      <c r="P475" s="313">
        <f>Data!$N$1170</f>
        <v>59357.701116720593</v>
      </c>
      <c r="Q475" s="313">
        <f t="shared" ca="1" si="341"/>
        <v>0</v>
      </c>
      <c r="R475" s="313">
        <f t="shared" ca="1" si="342"/>
        <v>0</v>
      </c>
      <c r="S475" s="1741">
        <f t="shared" ca="1" si="343"/>
        <v>0</v>
      </c>
      <c r="T475" s="313" t="str">
        <f ca="1">input!J843</f>
        <v>N</v>
      </c>
      <c r="V475" s="3115" t="str">
        <f>input!K843</f>
        <v>Packaging</v>
      </c>
      <c r="W475" s="3115">
        <f t="shared" ca="1" si="344"/>
        <v>0</v>
      </c>
      <c r="X475" s="3119">
        <f>VLOOKUP(V475,'Fix Cost'!$K$177:$M$179,2,0)</f>
        <v>58449.923860467366</v>
      </c>
      <c r="Y475" s="3119">
        <f>VLOOKUP(V475,'Fix Cost'!$K$177:$M$179,3,0)</f>
        <v>267411.04680782068</v>
      </c>
      <c r="Z475" s="3119">
        <f t="shared" ca="1" si="345"/>
        <v>0</v>
      </c>
      <c r="AA475" s="3115">
        <f t="shared" ca="1" si="346"/>
        <v>0</v>
      </c>
      <c r="AB475" s="3115">
        <f t="shared" ca="1" si="347"/>
        <v>0</v>
      </c>
      <c r="AK475" s="313"/>
      <c r="AL475" s="313"/>
      <c r="AM475" s="313"/>
      <c r="AO475" s="385"/>
      <c r="AP475" s="385"/>
      <c r="AQ475" s="385"/>
      <c r="AR475" s="1048"/>
      <c r="AS475" s="1051"/>
      <c r="AT475" s="879">
        <f t="shared" ca="1" si="288"/>
        <v>0</v>
      </c>
      <c r="AU475" s="879">
        <f ca="1">COUNTIFS(AT$7:$AT475,1)</f>
        <v>6</v>
      </c>
    </row>
    <row r="476" spans="1:47" ht="12.75" hidden="1" outlineLevel="1">
      <c r="A476" s="1269"/>
      <c r="B476" s="1738" t="s">
        <v>159</v>
      </c>
      <c r="C476" s="313" t="s">
        <v>199</v>
      </c>
      <c r="E476" s="363"/>
      <c r="F476" s="363" t="str">
        <f ca="1">input!F844</f>
        <v>N</v>
      </c>
      <c r="G476" s="363"/>
      <c r="H476" s="313">
        <f ca="1">IF(F476="PCS",$E$4,SUMIFS(Paper!$AC$7:$AC$58,Paper!$A$7:$A$58,'Production cost'!F476))</f>
        <v>0</v>
      </c>
      <c r="I476" s="313">
        <f ca="1">IF(input!$G844&gt;0,input!$G844,9000)</f>
        <v>9000</v>
      </c>
      <c r="J476" s="313" t="str">
        <f>input!$H844</f>
        <v>Pieces</v>
      </c>
      <c r="K476" s="360">
        <v>0</v>
      </c>
      <c r="L476" s="313">
        <f ca="1">IF(input!$I844&gt;0,input!$I844,4)</f>
        <v>4</v>
      </c>
      <c r="M476" s="391">
        <f t="shared" ref="M476:M480" ca="1" si="348">IF(H476&gt;0,20/60,0)</f>
        <v>0</v>
      </c>
      <c r="N476" s="391">
        <f t="shared" ref="N476:N480" ca="1" si="349">IF(H476&gt;0,ROUNDUP(((H476/I476)/$M$5+M476),1),0)</f>
        <v>0</v>
      </c>
      <c r="P476" s="313">
        <f>Data!$N$1170</f>
        <v>59357.701116720593</v>
      </c>
      <c r="Q476" s="313">
        <f t="shared" ca="1" si="341"/>
        <v>0</v>
      </c>
      <c r="R476" s="313">
        <f t="shared" ref="R476:R480" ca="1" si="350">IF($E$2&gt;0,Q476/$E$2,0)</f>
        <v>0</v>
      </c>
      <c r="S476" s="1741">
        <f t="shared" ref="S476:S480" ca="1" si="351">IF(M476&gt;0,K476*O476+L476*P476,0)</f>
        <v>0</v>
      </c>
      <c r="T476" s="313" t="str">
        <f ca="1">input!J844</f>
        <v>N</v>
      </c>
      <c r="V476" s="3115" t="str">
        <f>input!K844</f>
        <v>Packaging</v>
      </c>
      <c r="W476" s="3115">
        <f t="shared" ref="W476:W480" ca="1" si="352">N476*(L476+K476)</f>
        <v>0</v>
      </c>
      <c r="X476" s="3119">
        <f>VLOOKUP(V476,'Fix Cost'!$K$177:$M$179,2,0)</f>
        <v>58449.923860467366</v>
      </c>
      <c r="Y476" s="3119">
        <f>VLOOKUP(V476,'Fix Cost'!$K$177:$M$179,3,0)</f>
        <v>267411.04680782068</v>
      </c>
      <c r="Z476" s="3119">
        <f t="shared" ref="Z476:Z480" ca="1" si="353">IFERROR($X476*W476,0)</f>
        <v>0</v>
      </c>
      <c r="AA476" s="3115">
        <f t="shared" ref="AA476:AA480" ca="1" si="354">IFERROR(Y476*N476,0)</f>
        <v>0</v>
      </c>
      <c r="AB476" s="3115">
        <f t="shared" ref="AB476:AB480" ca="1" si="355">Z476+AA476</f>
        <v>0</v>
      </c>
      <c r="AK476" s="313"/>
      <c r="AL476" s="313"/>
      <c r="AM476" s="313"/>
      <c r="AO476" s="385"/>
      <c r="AP476" s="385"/>
      <c r="AQ476" s="385"/>
      <c r="AR476" s="1048"/>
      <c r="AS476" s="1051"/>
      <c r="AT476" s="879">
        <f t="shared" ref="AT476:AT539" ca="1" si="356">IF(ISNUMBER(R476),IF(R476&lt;&gt;0,IF(ISNUMBER(SEARCH("to",J476)),0,1),0),"")</f>
        <v>0</v>
      </c>
      <c r="AU476" s="879">
        <f ca="1">COUNTIFS(AT$7:$AT476,1)</f>
        <v>6</v>
      </c>
    </row>
    <row r="477" spans="1:47" ht="12.75" hidden="1" outlineLevel="1">
      <c r="A477" s="1269"/>
      <c r="B477" s="1738" t="s">
        <v>159</v>
      </c>
      <c r="C477" s="313" t="s">
        <v>199</v>
      </c>
      <c r="E477" s="363"/>
      <c r="F477" s="363" t="str">
        <f ca="1">input!F845</f>
        <v>N</v>
      </c>
      <c r="G477" s="363"/>
      <c r="H477" s="313">
        <f ca="1">IF(F477="PCS",$E$4,SUMIFS(Paper!$AC$7:$AC$58,Paper!$A$7:$A$58,'Production cost'!F477))</f>
        <v>0</v>
      </c>
      <c r="I477" s="313">
        <f ca="1">IF(input!$G845&gt;0,input!$G845,9000)</f>
        <v>9000</v>
      </c>
      <c r="J477" s="313" t="str">
        <f>input!$H845</f>
        <v>Pieces</v>
      </c>
      <c r="K477" s="360">
        <v>0</v>
      </c>
      <c r="L477" s="313">
        <f ca="1">IF(input!$I845&gt;0,input!$I845,4)</f>
        <v>4</v>
      </c>
      <c r="M477" s="391">
        <f t="shared" ca="1" si="348"/>
        <v>0</v>
      </c>
      <c r="N477" s="391">
        <f t="shared" ca="1" si="349"/>
        <v>0</v>
      </c>
      <c r="P477" s="313">
        <f>Data!$N$1170</f>
        <v>59357.701116720593</v>
      </c>
      <c r="Q477" s="313">
        <f t="shared" ca="1" si="341"/>
        <v>0</v>
      </c>
      <c r="R477" s="313">
        <f t="shared" ca="1" si="350"/>
        <v>0</v>
      </c>
      <c r="S477" s="1741">
        <f t="shared" ca="1" si="351"/>
        <v>0</v>
      </c>
      <c r="T477" s="313" t="str">
        <f ca="1">input!J845</f>
        <v>N</v>
      </c>
      <c r="V477" s="3115" t="str">
        <f>input!K845</f>
        <v>Packaging</v>
      </c>
      <c r="W477" s="3115">
        <f t="shared" ca="1" si="352"/>
        <v>0</v>
      </c>
      <c r="X477" s="3119">
        <f>VLOOKUP(V477,'Fix Cost'!$K$177:$M$179,2,0)</f>
        <v>58449.923860467366</v>
      </c>
      <c r="Y477" s="3119">
        <f>VLOOKUP(V477,'Fix Cost'!$K$177:$M$179,3,0)</f>
        <v>267411.04680782068</v>
      </c>
      <c r="Z477" s="3119">
        <f t="shared" ca="1" si="353"/>
        <v>0</v>
      </c>
      <c r="AA477" s="3115">
        <f t="shared" ca="1" si="354"/>
        <v>0</v>
      </c>
      <c r="AB477" s="3115">
        <f t="shared" ca="1" si="355"/>
        <v>0</v>
      </c>
      <c r="AK477" s="313"/>
      <c r="AL477" s="313"/>
      <c r="AM477" s="313"/>
      <c r="AO477" s="385"/>
      <c r="AP477" s="385"/>
      <c r="AQ477" s="385"/>
      <c r="AR477" s="1048"/>
      <c r="AS477" s="1051"/>
      <c r="AT477" s="879">
        <f t="shared" ca="1" si="356"/>
        <v>0</v>
      </c>
      <c r="AU477" s="879">
        <f ca="1">COUNTIFS(AT$7:$AT477,1)</f>
        <v>6</v>
      </c>
    </row>
    <row r="478" spans="1:47" ht="12.75" hidden="1" outlineLevel="1">
      <c r="A478" s="1269"/>
      <c r="B478" s="1738" t="s">
        <v>159</v>
      </c>
      <c r="C478" s="313" t="s">
        <v>199</v>
      </c>
      <c r="E478" s="363"/>
      <c r="F478" s="363" t="str">
        <f ca="1">input!F846</f>
        <v>N</v>
      </c>
      <c r="G478" s="363"/>
      <c r="H478" s="313">
        <f ca="1">IF(F478="PCS",$E$4,SUMIFS(Paper!$AC$7:$AC$58,Paper!$A$7:$A$58,'Production cost'!F478))</f>
        <v>0</v>
      </c>
      <c r="I478" s="313">
        <f ca="1">IF(input!$G846&gt;0,input!$G846,9000)</f>
        <v>9000</v>
      </c>
      <c r="J478" s="313" t="str">
        <f>input!$H846</f>
        <v>Pieces</v>
      </c>
      <c r="K478" s="360">
        <v>0</v>
      </c>
      <c r="L478" s="313">
        <f ca="1">IF(input!$I846&gt;0,input!$I846,4)</f>
        <v>4</v>
      </c>
      <c r="M478" s="391">
        <f t="shared" ca="1" si="348"/>
        <v>0</v>
      </c>
      <c r="N478" s="391">
        <f t="shared" ca="1" si="349"/>
        <v>0</v>
      </c>
      <c r="P478" s="313">
        <f>Data!$N$1170</f>
        <v>59357.701116720593</v>
      </c>
      <c r="Q478" s="313">
        <f t="shared" ca="1" si="341"/>
        <v>0</v>
      </c>
      <c r="R478" s="313">
        <f t="shared" ca="1" si="350"/>
        <v>0</v>
      </c>
      <c r="S478" s="1741">
        <f t="shared" ca="1" si="351"/>
        <v>0</v>
      </c>
      <c r="T478" s="313" t="str">
        <f ca="1">input!J846</f>
        <v>N</v>
      </c>
      <c r="V478" s="3115" t="str">
        <f>input!K846</f>
        <v>Packaging</v>
      </c>
      <c r="W478" s="3115">
        <f t="shared" ca="1" si="352"/>
        <v>0</v>
      </c>
      <c r="X478" s="3119">
        <f>VLOOKUP(V478,'Fix Cost'!$K$177:$M$179,2,0)</f>
        <v>58449.923860467366</v>
      </c>
      <c r="Y478" s="3119">
        <f>VLOOKUP(V478,'Fix Cost'!$K$177:$M$179,3,0)</f>
        <v>267411.04680782068</v>
      </c>
      <c r="Z478" s="3119">
        <f t="shared" ca="1" si="353"/>
        <v>0</v>
      </c>
      <c r="AA478" s="3115">
        <f t="shared" ca="1" si="354"/>
        <v>0</v>
      </c>
      <c r="AB478" s="3115">
        <f t="shared" ca="1" si="355"/>
        <v>0</v>
      </c>
      <c r="AK478" s="313"/>
      <c r="AL478" s="313"/>
      <c r="AM478" s="313"/>
      <c r="AO478" s="385"/>
      <c r="AP478" s="385"/>
      <c r="AQ478" s="385"/>
      <c r="AR478" s="1048"/>
      <c r="AS478" s="1051"/>
      <c r="AT478" s="879">
        <f t="shared" ca="1" si="356"/>
        <v>0</v>
      </c>
      <c r="AU478" s="879">
        <f ca="1">COUNTIFS(AT$7:$AT478,1)</f>
        <v>6</v>
      </c>
    </row>
    <row r="479" spans="1:47" ht="12.75" hidden="1" outlineLevel="1">
      <c r="A479" s="1269"/>
      <c r="B479" s="1738" t="s">
        <v>159</v>
      </c>
      <c r="C479" s="313" t="s">
        <v>199</v>
      </c>
      <c r="E479" s="363"/>
      <c r="F479" s="363" t="str">
        <f ca="1">input!F847</f>
        <v>N</v>
      </c>
      <c r="G479" s="363"/>
      <c r="H479" s="313">
        <f ca="1">IF(F479="PCS",$E$4,SUMIFS(Paper!$AC$7:$AC$58,Paper!$A$7:$A$58,'Production cost'!F479))</f>
        <v>0</v>
      </c>
      <c r="I479" s="313">
        <f ca="1">IF(input!$G847&gt;0,input!$G847,9000)</f>
        <v>9000</v>
      </c>
      <c r="J479" s="313" t="str">
        <f>input!$H847</f>
        <v>Pieces</v>
      </c>
      <c r="K479" s="360">
        <v>0</v>
      </c>
      <c r="L479" s="313">
        <f ca="1">IF(input!$I847&gt;0,input!$I847,4)</f>
        <v>4</v>
      </c>
      <c r="M479" s="391">
        <f t="shared" ca="1" si="348"/>
        <v>0</v>
      </c>
      <c r="N479" s="391">
        <f t="shared" ca="1" si="349"/>
        <v>0</v>
      </c>
      <c r="P479" s="313">
        <f>Data!$N$1170</f>
        <v>59357.701116720593</v>
      </c>
      <c r="Q479" s="313">
        <f t="shared" ca="1" si="341"/>
        <v>0</v>
      </c>
      <c r="R479" s="313">
        <f t="shared" ca="1" si="350"/>
        <v>0</v>
      </c>
      <c r="S479" s="1741">
        <f t="shared" ca="1" si="351"/>
        <v>0</v>
      </c>
      <c r="T479" s="313" t="str">
        <f ca="1">input!J847</f>
        <v>N</v>
      </c>
      <c r="V479" s="3115" t="str">
        <f>input!K847</f>
        <v>Packaging</v>
      </c>
      <c r="W479" s="3115">
        <f t="shared" ca="1" si="352"/>
        <v>0</v>
      </c>
      <c r="X479" s="3119">
        <f>VLOOKUP(V479,'Fix Cost'!$K$177:$M$179,2,0)</f>
        <v>58449.923860467366</v>
      </c>
      <c r="Y479" s="3119">
        <f>VLOOKUP(V479,'Fix Cost'!$K$177:$M$179,3,0)</f>
        <v>267411.04680782068</v>
      </c>
      <c r="Z479" s="3119">
        <f t="shared" ca="1" si="353"/>
        <v>0</v>
      </c>
      <c r="AA479" s="3115">
        <f t="shared" ca="1" si="354"/>
        <v>0</v>
      </c>
      <c r="AB479" s="3115">
        <f t="shared" ca="1" si="355"/>
        <v>0</v>
      </c>
      <c r="AK479" s="313"/>
      <c r="AL479" s="313"/>
      <c r="AM479" s="313"/>
      <c r="AO479" s="385"/>
      <c r="AP479" s="385"/>
      <c r="AQ479" s="385"/>
      <c r="AR479" s="1048"/>
      <c r="AS479" s="1051"/>
      <c r="AT479" s="879">
        <f t="shared" ca="1" si="356"/>
        <v>0</v>
      </c>
      <c r="AU479" s="879">
        <f ca="1">COUNTIFS(AT$7:$AT479,1)</f>
        <v>6</v>
      </c>
    </row>
    <row r="480" spans="1:47" ht="12.75" hidden="1" outlineLevel="1">
      <c r="A480" s="1269"/>
      <c r="B480" s="1738" t="s">
        <v>159</v>
      </c>
      <c r="C480" s="313" t="s">
        <v>199</v>
      </c>
      <c r="E480" s="363"/>
      <c r="F480" s="363" t="str">
        <f ca="1">input!F848</f>
        <v>N</v>
      </c>
      <c r="G480" s="363"/>
      <c r="H480" s="313">
        <f ca="1">IF(F480="PCS",$E$4,SUMIFS(Paper!$AC$7:$AC$58,Paper!$A$7:$A$58,'Production cost'!F480))</f>
        <v>0</v>
      </c>
      <c r="I480" s="313">
        <f ca="1">IF(input!$G848&gt;0,input!$G848,9000)</f>
        <v>9000</v>
      </c>
      <c r="J480" s="313" t="str">
        <f>input!$H848</f>
        <v>Pieces</v>
      </c>
      <c r="K480" s="360">
        <v>0</v>
      </c>
      <c r="L480" s="313">
        <f ca="1">IF(input!$I848&gt;0,input!$I848,4)</f>
        <v>4</v>
      </c>
      <c r="M480" s="391">
        <f t="shared" ca="1" si="348"/>
        <v>0</v>
      </c>
      <c r="N480" s="391">
        <f t="shared" ca="1" si="349"/>
        <v>0</v>
      </c>
      <c r="P480" s="313">
        <f>Data!$N$1170</f>
        <v>59357.701116720593</v>
      </c>
      <c r="Q480" s="313">
        <f t="shared" ca="1" si="341"/>
        <v>0</v>
      </c>
      <c r="R480" s="313">
        <f t="shared" ca="1" si="350"/>
        <v>0</v>
      </c>
      <c r="S480" s="1741">
        <f t="shared" ca="1" si="351"/>
        <v>0</v>
      </c>
      <c r="T480" s="313" t="str">
        <f ca="1">input!J848</f>
        <v>N</v>
      </c>
      <c r="V480" s="3115" t="str">
        <f>input!K848</f>
        <v>Packaging</v>
      </c>
      <c r="W480" s="3115">
        <f t="shared" ca="1" si="352"/>
        <v>0</v>
      </c>
      <c r="X480" s="3119">
        <f>VLOOKUP(V480,'Fix Cost'!$K$177:$M$179,2,0)</f>
        <v>58449.923860467366</v>
      </c>
      <c r="Y480" s="3119">
        <f>VLOOKUP(V480,'Fix Cost'!$K$177:$M$179,3,0)</f>
        <v>267411.04680782068</v>
      </c>
      <c r="Z480" s="3119">
        <f t="shared" ca="1" si="353"/>
        <v>0</v>
      </c>
      <c r="AA480" s="3115">
        <f t="shared" ca="1" si="354"/>
        <v>0</v>
      </c>
      <c r="AB480" s="3115">
        <f t="shared" ca="1" si="355"/>
        <v>0</v>
      </c>
      <c r="AK480" s="313"/>
      <c r="AL480" s="313"/>
      <c r="AM480" s="313"/>
      <c r="AO480" s="385"/>
      <c r="AP480" s="385"/>
      <c r="AQ480" s="385"/>
      <c r="AR480" s="1048"/>
      <c r="AS480" s="1051"/>
      <c r="AT480" s="879">
        <f t="shared" ca="1" si="356"/>
        <v>0</v>
      </c>
      <c r="AU480" s="879">
        <f ca="1">COUNTIFS(AT$7:$AT480,1)</f>
        <v>6</v>
      </c>
    </row>
    <row r="481" spans="1:47" ht="12.75" hidden="1" outlineLevel="1">
      <c r="A481" s="1269"/>
      <c r="B481" s="1738" t="s">
        <v>159</v>
      </c>
      <c r="C481" s="313" t="s">
        <v>199</v>
      </c>
      <c r="E481" s="363"/>
      <c r="F481" s="363" t="str">
        <f ca="1">input!F849</f>
        <v>N</v>
      </c>
      <c r="G481" s="363"/>
      <c r="H481" s="313">
        <f ca="1">IF(F481="PCS",$E$4,SUMIFS(Paper!$AC$7:$AC$58,Paper!$A$7:$A$58,'Production cost'!F481))</f>
        <v>0</v>
      </c>
      <c r="I481" s="313">
        <f ca="1">IF(input!$G849&gt;0,input!$G849,9000)</f>
        <v>9000</v>
      </c>
      <c r="J481" s="313" t="str">
        <f>input!$H849</f>
        <v>Pieces</v>
      </c>
      <c r="K481" s="360">
        <v>0</v>
      </c>
      <c r="L481" s="313">
        <f ca="1">IF(input!$I849&gt;0,input!$I849,4)</f>
        <v>4</v>
      </c>
      <c r="M481" s="391">
        <f t="shared" ref="M481:M485" ca="1" si="357">IF(H481&gt;0,20/60,0)</f>
        <v>0</v>
      </c>
      <c r="N481" s="391">
        <f t="shared" ref="N481:N485" ca="1" si="358">IF(H481&gt;0,ROUNDUP(((H481/I481)/$M$5+M481),1),0)</f>
        <v>0</v>
      </c>
      <c r="P481" s="313">
        <f>Data!$N$1170</f>
        <v>59357.701116720593</v>
      </c>
      <c r="Q481" s="313">
        <f t="shared" ca="1" si="341"/>
        <v>0</v>
      </c>
      <c r="R481" s="313">
        <f t="shared" ref="R481:R485" ca="1" si="359">IF($E$2&gt;0,Q481/$E$2,0)</f>
        <v>0</v>
      </c>
      <c r="S481" s="1741">
        <f t="shared" ref="S481:S485" ca="1" si="360">IF(M481&gt;0,K481*O481+L481*P481,0)</f>
        <v>0</v>
      </c>
      <c r="T481" s="313" t="str">
        <f ca="1">input!J849</f>
        <v>N</v>
      </c>
      <c r="V481" s="3115" t="str">
        <f>input!K849</f>
        <v>Packaging</v>
      </c>
      <c r="W481" s="3115">
        <f t="shared" ref="W481:W485" ca="1" si="361">N481*(L481+K481)</f>
        <v>0</v>
      </c>
      <c r="X481" s="3119">
        <f>VLOOKUP(V481,'Fix Cost'!$K$177:$M$179,2,0)</f>
        <v>58449.923860467366</v>
      </c>
      <c r="Y481" s="3119">
        <f>VLOOKUP(V481,'Fix Cost'!$K$177:$M$179,3,0)</f>
        <v>267411.04680782068</v>
      </c>
      <c r="Z481" s="3119">
        <f t="shared" ref="Z481:Z485" ca="1" si="362">IFERROR($X481*W481,0)</f>
        <v>0</v>
      </c>
      <c r="AA481" s="3115">
        <f t="shared" ref="AA481:AA485" ca="1" si="363">IFERROR(Y481*N481,0)</f>
        <v>0</v>
      </c>
      <c r="AB481" s="3115">
        <f t="shared" ref="AB481:AB485" ca="1" si="364">Z481+AA481</f>
        <v>0</v>
      </c>
      <c r="AK481" s="313"/>
      <c r="AL481" s="313"/>
      <c r="AM481" s="313"/>
      <c r="AO481" s="385"/>
      <c r="AP481" s="385"/>
      <c r="AQ481" s="385"/>
      <c r="AR481" s="1048"/>
      <c r="AS481" s="1051"/>
      <c r="AT481" s="879">
        <f t="shared" ca="1" si="356"/>
        <v>0</v>
      </c>
      <c r="AU481" s="879">
        <f ca="1">COUNTIFS(AT$7:$AT481,1)</f>
        <v>6</v>
      </c>
    </row>
    <row r="482" spans="1:47" ht="12.75" hidden="1" outlineLevel="1">
      <c r="A482" s="1269"/>
      <c r="B482" s="1738" t="s">
        <v>159</v>
      </c>
      <c r="C482" s="313" t="s">
        <v>199</v>
      </c>
      <c r="E482" s="363"/>
      <c r="F482" s="363" t="str">
        <f ca="1">input!F850</f>
        <v>N</v>
      </c>
      <c r="G482" s="363"/>
      <c r="H482" s="313">
        <f ca="1">IF(F482="PCS",$E$4,SUMIFS(Paper!$AC$7:$AC$58,Paper!$A$7:$A$58,'Production cost'!F482))</f>
        <v>0</v>
      </c>
      <c r="I482" s="313">
        <f ca="1">IF(input!$G850&gt;0,input!$G850,9000)</f>
        <v>9000</v>
      </c>
      <c r="J482" s="313" t="str">
        <f>input!$H850</f>
        <v>Pieces</v>
      </c>
      <c r="K482" s="360">
        <v>0</v>
      </c>
      <c r="L482" s="313">
        <f ca="1">IF(input!$I850&gt;0,input!$I850,4)</f>
        <v>4</v>
      </c>
      <c r="M482" s="391">
        <f t="shared" ca="1" si="357"/>
        <v>0</v>
      </c>
      <c r="N482" s="391">
        <f t="shared" ca="1" si="358"/>
        <v>0</v>
      </c>
      <c r="P482" s="313">
        <f>Data!$N$1170</f>
        <v>59357.701116720593</v>
      </c>
      <c r="Q482" s="313">
        <f t="shared" ca="1" si="341"/>
        <v>0</v>
      </c>
      <c r="R482" s="313">
        <f t="shared" ca="1" si="359"/>
        <v>0</v>
      </c>
      <c r="S482" s="1741">
        <f t="shared" ca="1" si="360"/>
        <v>0</v>
      </c>
      <c r="T482" s="313" t="str">
        <f ca="1">input!J850</f>
        <v>N</v>
      </c>
      <c r="V482" s="3115" t="str">
        <f>input!K850</f>
        <v>Packaging</v>
      </c>
      <c r="W482" s="3115">
        <f t="shared" ca="1" si="361"/>
        <v>0</v>
      </c>
      <c r="X482" s="3119">
        <f>VLOOKUP(V482,'Fix Cost'!$K$177:$M$179,2,0)</f>
        <v>58449.923860467366</v>
      </c>
      <c r="Y482" s="3119">
        <f>VLOOKUP(V482,'Fix Cost'!$K$177:$M$179,3,0)</f>
        <v>267411.04680782068</v>
      </c>
      <c r="Z482" s="3119">
        <f t="shared" ca="1" si="362"/>
        <v>0</v>
      </c>
      <c r="AA482" s="3115">
        <f t="shared" ca="1" si="363"/>
        <v>0</v>
      </c>
      <c r="AB482" s="3115">
        <f t="shared" ca="1" si="364"/>
        <v>0</v>
      </c>
      <c r="AK482" s="313"/>
      <c r="AL482" s="313"/>
      <c r="AM482" s="313"/>
      <c r="AO482" s="385"/>
      <c r="AP482" s="385"/>
      <c r="AQ482" s="385"/>
      <c r="AR482" s="1048"/>
      <c r="AS482" s="1051"/>
      <c r="AT482" s="879">
        <f t="shared" ca="1" si="356"/>
        <v>0</v>
      </c>
      <c r="AU482" s="879">
        <f ca="1">COUNTIFS(AT$7:$AT482,1)</f>
        <v>6</v>
      </c>
    </row>
    <row r="483" spans="1:47" ht="12.75" hidden="1" outlineLevel="1">
      <c r="A483" s="1269"/>
      <c r="B483" s="1738" t="s">
        <v>159</v>
      </c>
      <c r="C483" s="313" t="s">
        <v>199</v>
      </c>
      <c r="E483" s="363"/>
      <c r="F483" s="363" t="str">
        <f ca="1">input!F851</f>
        <v>N</v>
      </c>
      <c r="G483" s="363"/>
      <c r="H483" s="313">
        <f ca="1">IF(F483="PCS",$E$4,SUMIFS(Paper!$AC$7:$AC$58,Paper!$A$7:$A$58,'Production cost'!F483))</f>
        <v>0</v>
      </c>
      <c r="I483" s="313">
        <f ca="1">IF(input!$G851&gt;0,input!$G851,9000)</f>
        <v>9000</v>
      </c>
      <c r="J483" s="313" t="str">
        <f>input!$H851</f>
        <v>Pieces</v>
      </c>
      <c r="K483" s="360">
        <v>0</v>
      </c>
      <c r="L483" s="313">
        <f ca="1">IF(input!$I851&gt;0,input!$I851,4)</f>
        <v>4</v>
      </c>
      <c r="M483" s="391">
        <f t="shared" ca="1" si="357"/>
        <v>0</v>
      </c>
      <c r="N483" s="391">
        <f t="shared" ca="1" si="358"/>
        <v>0</v>
      </c>
      <c r="P483" s="313">
        <f>Data!$N$1170</f>
        <v>59357.701116720593</v>
      </c>
      <c r="Q483" s="313">
        <f t="shared" ca="1" si="341"/>
        <v>0</v>
      </c>
      <c r="R483" s="313">
        <f t="shared" ca="1" si="359"/>
        <v>0</v>
      </c>
      <c r="S483" s="1741">
        <f t="shared" ca="1" si="360"/>
        <v>0</v>
      </c>
      <c r="T483" s="313" t="str">
        <f ca="1">input!J851</f>
        <v>N</v>
      </c>
      <c r="V483" s="3115" t="str">
        <f>input!K851</f>
        <v>Packaging</v>
      </c>
      <c r="W483" s="3115">
        <f t="shared" ca="1" si="361"/>
        <v>0</v>
      </c>
      <c r="X483" s="3119">
        <f>VLOOKUP(V483,'Fix Cost'!$K$177:$M$179,2,0)</f>
        <v>58449.923860467366</v>
      </c>
      <c r="Y483" s="3119">
        <f>VLOOKUP(V483,'Fix Cost'!$K$177:$M$179,3,0)</f>
        <v>267411.04680782068</v>
      </c>
      <c r="Z483" s="3119">
        <f t="shared" ca="1" si="362"/>
        <v>0</v>
      </c>
      <c r="AA483" s="3115">
        <f t="shared" ca="1" si="363"/>
        <v>0</v>
      </c>
      <c r="AB483" s="3115">
        <f t="shared" ca="1" si="364"/>
        <v>0</v>
      </c>
      <c r="AK483" s="313"/>
      <c r="AL483" s="313"/>
      <c r="AM483" s="313"/>
      <c r="AO483" s="385"/>
      <c r="AP483" s="385"/>
      <c r="AQ483" s="385"/>
      <c r="AR483" s="1048"/>
      <c r="AS483" s="1051"/>
      <c r="AT483" s="879">
        <f t="shared" ca="1" si="356"/>
        <v>0</v>
      </c>
      <c r="AU483" s="879">
        <f ca="1">COUNTIFS(AT$7:$AT483,1)</f>
        <v>6</v>
      </c>
    </row>
    <row r="484" spans="1:47" ht="12.75" hidden="1" outlineLevel="1">
      <c r="A484" s="1269"/>
      <c r="B484" s="1738" t="s">
        <v>159</v>
      </c>
      <c r="C484" s="313" t="s">
        <v>199</v>
      </c>
      <c r="E484" s="363"/>
      <c r="F484" s="363" t="str">
        <f ca="1">input!F852</f>
        <v>N</v>
      </c>
      <c r="G484" s="363"/>
      <c r="H484" s="313">
        <f ca="1">IF(F484="PCS",$E$4,SUMIFS(Paper!$AC$7:$AC$58,Paper!$A$7:$A$58,'Production cost'!F484))</f>
        <v>0</v>
      </c>
      <c r="I484" s="313">
        <f ca="1">IF(input!$G852&gt;0,input!$G852,9000)</f>
        <v>9000</v>
      </c>
      <c r="J484" s="313" t="str">
        <f>input!$H852</f>
        <v>Pieces</v>
      </c>
      <c r="K484" s="360">
        <v>0</v>
      </c>
      <c r="L484" s="313">
        <f ca="1">IF(input!$I852&gt;0,input!$I852,4)</f>
        <v>4</v>
      </c>
      <c r="M484" s="391">
        <f t="shared" ca="1" si="357"/>
        <v>0</v>
      </c>
      <c r="N484" s="391">
        <f t="shared" ca="1" si="358"/>
        <v>0</v>
      </c>
      <c r="P484" s="313">
        <f>Data!$N$1170</f>
        <v>59357.701116720593</v>
      </c>
      <c r="Q484" s="313">
        <f t="shared" ca="1" si="341"/>
        <v>0</v>
      </c>
      <c r="R484" s="313">
        <f t="shared" ca="1" si="359"/>
        <v>0</v>
      </c>
      <c r="S484" s="1741">
        <f t="shared" ca="1" si="360"/>
        <v>0</v>
      </c>
      <c r="T484" s="313" t="str">
        <f ca="1">input!J852</f>
        <v>1st</v>
      </c>
      <c r="V484" s="3115" t="str">
        <f>input!K852</f>
        <v>Packaging</v>
      </c>
      <c r="W484" s="3115">
        <f t="shared" ca="1" si="361"/>
        <v>0</v>
      </c>
      <c r="X484" s="3119">
        <f>VLOOKUP(V484,'Fix Cost'!$K$177:$M$179,2,0)</f>
        <v>58449.923860467366</v>
      </c>
      <c r="Y484" s="3119">
        <f>VLOOKUP(V484,'Fix Cost'!$K$177:$M$179,3,0)</f>
        <v>267411.04680782068</v>
      </c>
      <c r="Z484" s="3119">
        <f t="shared" ca="1" si="362"/>
        <v>0</v>
      </c>
      <c r="AA484" s="3115">
        <f t="shared" ca="1" si="363"/>
        <v>0</v>
      </c>
      <c r="AB484" s="3115">
        <f t="shared" ca="1" si="364"/>
        <v>0</v>
      </c>
      <c r="AK484" s="313"/>
      <c r="AL484" s="313"/>
      <c r="AM484" s="313"/>
      <c r="AO484" s="385"/>
      <c r="AP484" s="385"/>
      <c r="AQ484" s="385"/>
      <c r="AR484" s="1048"/>
      <c r="AS484" s="1051"/>
      <c r="AT484" s="879">
        <f t="shared" ca="1" si="356"/>
        <v>0</v>
      </c>
      <c r="AU484" s="879">
        <f ca="1">COUNTIFS(AT$7:$AT484,1)</f>
        <v>6</v>
      </c>
    </row>
    <row r="485" spans="1:47" ht="12.75" hidden="1" outlineLevel="1">
      <c r="A485" s="1269"/>
      <c r="B485" s="1738" t="s">
        <v>159</v>
      </c>
      <c r="C485" s="313" t="s">
        <v>199</v>
      </c>
      <c r="E485" s="363"/>
      <c r="F485" s="363" t="str">
        <f ca="1">input!F853</f>
        <v>N</v>
      </c>
      <c r="G485" s="363"/>
      <c r="H485" s="313">
        <f ca="1">IF(F485="PCS",$E$4,SUMIFS(Paper!$AC$7:$AC$58,Paper!$A$7:$A$58,'Production cost'!F485))</f>
        <v>0</v>
      </c>
      <c r="I485" s="313">
        <f ca="1">IF(input!$G853&gt;0,input!$G853,9000)</f>
        <v>9000</v>
      </c>
      <c r="J485" s="313" t="str">
        <f>input!$H853</f>
        <v>Pieces</v>
      </c>
      <c r="K485" s="360">
        <v>0</v>
      </c>
      <c r="L485" s="313">
        <f ca="1">IF(input!$I853&gt;0,input!$I853,4)</f>
        <v>4</v>
      </c>
      <c r="M485" s="391">
        <f t="shared" ca="1" si="357"/>
        <v>0</v>
      </c>
      <c r="N485" s="391">
        <f t="shared" ca="1" si="358"/>
        <v>0</v>
      </c>
      <c r="P485" s="313">
        <f>Data!$N$1170</f>
        <v>59357.701116720593</v>
      </c>
      <c r="Q485" s="313">
        <f t="shared" ca="1" si="341"/>
        <v>0</v>
      </c>
      <c r="R485" s="313">
        <f t="shared" ca="1" si="359"/>
        <v>0</v>
      </c>
      <c r="S485" s="1741">
        <f t="shared" ca="1" si="360"/>
        <v>0</v>
      </c>
      <c r="T485" s="313" t="str">
        <f ca="1">input!J853</f>
        <v>1st</v>
      </c>
      <c r="V485" s="3115" t="str">
        <f>input!K853</f>
        <v>Packaging</v>
      </c>
      <c r="W485" s="3115">
        <f t="shared" ca="1" si="361"/>
        <v>0</v>
      </c>
      <c r="X485" s="3119">
        <f>VLOOKUP(V485,'Fix Cost'!$K$177:$M$179,2,0)</f>
        <v>58449.923860467366</v>
      </c>
      <c r="Y485" s="3119">
        <f>VLOOKUP(V485,'Fix Cost'!$K$177:$M$179,3,0)</f>
        <v>267411.04680782068</v>
      </c>
      <c r="Z485" s="3119">
        <f t="shared" ca="1" si="362"/>
        <v>0</v>
      </c>
      <c r="AA485" s="3115">
        <f t="shared" ca="1" si="363"/>
        <v>0</v>
      </c>
      <c r="AB485" s="3115">
        <f t="shared" ca="1" si="364"/>
        <v>0</v>
      </c>
      <c r="AK485" s="313"/>
      <c r="AL485" s="313"/>
      <c r="AM485" s="313"/>
      <c r="AO485" s="385"/>
      <c r="AP485" s="385"/>
      <c r="AQ485" s="385"/>
      <c r="AR485" s="1048"/>
      <c r="AS485" s="1051"/>
      <c r="AT485" s="879">
        <f t="shared" ca="1" si="356"/>
        <v>0</v>
      </c>
      <c r="AU485" s="879">
        <f ca="1">COUNTIFS(AT$7:$AT485,1)</f>
        <v>6</v>
      </c>
    </row>
    <row r="486" spans="1:47" ht="12.75" hidden="1" outlineLevel="1">
      <c r="B486" s="1738" t="s">
        <v>159</v>
      </c>
      <c r="C486" s="313" t="s">
        <v>72</v>
      </c>
      <c r="E486" s="363"/>
      <c r="F486" s="363" t="str">
        <f ca="1">input!F854</f>
        <v>N</v>
      </c>
      <c r="G486" s="363"/>
      <c r="H486" s="313">
        <f ca="1">IF(F486="PCS",$E$4,SUMIFS(Paper!$AC$7:$AC$58,Paper!$A$7:$A$58,'Production cost'!F486))</f>
        <v>0</v>
      </c>
      <c r="I486" s="313">
        <f ca="1">IF(input!$G854&gt;0,input!$G854,9000)</f>
        <v>9000</v>
      </c>
      <c r="J486" s="313" t="str">
        <f>input!$H854</f>
        <v>Pieces</v>
      </c>
      <c r="K486" s="360">
        <v>0</v>
      </c>
      <c r="L486" s="313">
        <f ca="1">IF(input!$I854&gt;0,input!$I854,4)</f>
        <v>4</v>
      </c>
      <c r="M486" s="391">
        <f t="shared" ca="1" si="339"/>
        <v>0</v>
      </c>
      <c r="N486" s="391">
        <f t="shared" ca="1" si="340"/>
        <v>0</v>
      </c>
      <c r="P486" s="313">
        <f>Data!$N$1170</f>
        <v>59357.701116720593</v>
      </c>
      <c r="Q486" s="313">
        <f t="shared" ca="1" si="341"/>
        <v>0</v>
      </c>
      <c r="R486" s="313">
        <f t="shared" ca="1" si="342"/>
        <v>0</v>
      </c>
      <c r="S486" s="1741">
        <f t="shared" ca="1" si="343"/>
        <v>0</v>
      </c>
      <c r="T486" s="313" t="str">
        <f ca="1">input!J854</f>
        <v>E-flute 115/105</v>
      </c>
      <c r="V486" s="3115" t="str">
        <f>input!K854</f>
        <v>Packaging</v>
      </c>
      <c r="W486" s="3115">
        <f t="shared" ca="1" si="344"/>
        <v>0</v>
      </c>
      <c r="X486" s="3119">
        <f>VLOOKUP(V486,'Fix Cost'!$K$177:$M$179,2,0)</f>
        <v>58449.923860467366</v>
      </c>
      <c r="Y486" s="3119">
        <f>VLOOKUP(V486,'Fix Cost'!$K$177:$M$179,3,0)</f>
        <v>267411.04680782068</v>
      </c>
      <c r="Z486" s="3119">
        <f t="shared" ca="1" si="345"/>
        <v>0</v>
      </c>
      <c r="AA486" s="3115">
        <f t="shared" ca="1" si="346"/>
        <v>0</v>
      </c>
      <c r="AB486" s="3115">
        <f t="shared" ca="1" si="347"/>
        <v>0</v>
      </c>
      <c r="AK486" s="313"/>
      <c r="AL486" s="313"/>
      <c r="AM486" s="313"/>
      <c r="AO486" s="385"/>
      <c r="AP486" s="1055"/>
      <c r="AQ486" s="385"/>
      <c r="AR486" s="1048"/>
      <c r="AS486" s="385"/>
      <c r="AT486" s="879">
        <f t="shared" ca="1" si="356"/>
        <v>0</v>
      </c>
      <c r="AU486" s="879">
        <f ca="1">COUNTIFS(AT$7:$AT486,1)</f>
        <v>6</v>
      </c>
    </row>
    <row r="487" spans="1:47" ht="12.75" hidden="1" outlineLevel="1">
      <c r="B487" s="1738" t="s">
        <v>159</v>
      </c>
      <c r="C487" s="313" t="s">
        <v>72</v>
      </c>
      <c r="E487" s="363"/>
      <c r="F487" s="363" t="str">
        <f ca="1">input!F855</f>
        <v>N</v>
      </c>
      <c r="G487" s="363"/>
      <c r="H487" s="313">
        <f ca="1">IF(F487="PCS",$E$4,SUMIFS(Paper!$AC$7:$AC$58,Paper!$A$7:$A$58,'Production cost'!F487))</f>
        <v>0</v>
      </c>
      <c r="I487" s="313">
        <f ca="1">IF(input!$G855&gt;0,input!$G855,9000)</f>
        <v>9000</v>
      </c>
      <c r="J487" s="313" t="str">
        <f>input!$H855</f>
        <v>Pieces</v>
      </c>
      <c r="K487" s="360">
        <v>0</v>
      </c>
      <c r="L487" s="313">
        <f ca="1">IF(input!$I855&gt;0,input!$I855,4)</f>
        <v>4</v>
      </c>
      <c r="M487" s="391">
        <f t="shared" ca="1" si="339"/>
        <v>0</v>
      </c>
      <c r="N487" s="391">
        <f t="shared" ca="1" si="340"/>
        <v>0</v>
      </c>
      <c r="P487" s="313">
        <f>Data!$N$1170</f>
        <v>59357.701116720593</v>
      </c>
      <c r="Q487" s="313">
        <f t="shared" ca="1" si="341"/>
        <v>0</v>
      </c>
      <c r="R487" s="313">
        <f t="shared" ca="1" si="342"/>
        <v>0</v>
      </c>
      <c r="S487" s="1741">
        <f t="shared" ca="1" si="343"/>
        <v>0</v>
      </c>
      <c r="T487" s="313" t="str">
        <f ca="1">input!J855</f>
        <v>N</v>
      </c>
      <c r="V487" s="3115" t="str">
        <f>input!K855</f>
        <v>Packaging</v>
      </c>
      <c r="W487" s="3115">
        <f t="shared" ca="1" si="344"/>
        <v>0</v>
      </c>
      <c r="X487" s="3119">
        <f>VLOOKUP(V487,'Fix Cost'!$K$177:$M$179,2,0)</f>
        <v>58449.923860467366</v>
      </c>
      <c r="Y487" s="3119">
        <f>VLOOKUP(V487,'Fix Cost'!$K$177:$M$179,3,0)</f>
        <v>267411.04680782068</v>
      </c>
      <c r="Z487" s="3119">
        <f t="shared" ca="1" si="345"/>
        <v>0</v>
      </c>
      <c r="AA487" s="3115">
        <f t="shared" ca="1" si="346"/>
        <v>0</v>
      </c>
      <c r="AB487" s="3115">
        <f t="shared" ca="1" si="347"/>
        <v>0</v>
      </c>
      <c r="AK487" s="313"/>
      <c r="AL487" s="313"/>
      <c r="AM487" s="313"/>
      <c r="AO487" s="385"/>
      <c r="AP487" s="1055"/>
      <c r="AQ487" s="385"/>
      <c r="AR487" s="1048"/>
      <c r="AS487" s="385"/>
      <c r="AT487" s="879">
        <f t="shared" ca="1" si="356"/>
        <v>0</v>
      </c>
      <c r="AU487" s="879">
        <f ca="1">COUNTIFS(AT$7:$AT487,1)</f>
        <v>6</v>
      </c>
    </row>
    <row r="488" spans="1:47" ht="12.75" hidden="1" outlineLevel="1">
      <c r="B488" s="1738" t="s">
        <v>159</v>
      </c>
      <c r="C488" s="313" t="s">
        <v>72</v>
      </c>
      <c r="E488" s="363"/>
      <c r="F488" s="363" t="str">
        <f ca="1">input!F856</f>
        <v>N</v>
      </c>
      <c r="G488" s="363"/>
      <c r="H488" s="313">
        <f ca="1">IF(F488="PCS",$E$4,SUMIFS(Paper!$AC$7:$AC$58,Paper!$A$7:$A$58,'Production cost'!F488))</f>
        <v>0</v>
      </c>
      <c r="I488" s="313">
        <f ca="1">IF(input!$G856&gt;0,input!$G856,9000)</f>
        <v>9000</v>
      </c>
      <c r="J488" s="313" t="str">
        <f>input!$H856</f>
        <v>Pieces</v>
      </c>
      <c r="K488" s="360">
        <v>0</v>
      </c>
      <c r="L488" s="313">
        <f ca="1">IF(input!$I856&gt;0,input!$I856,4)</f>
        <v>4</v>
      </c>
      <c r="M488" s="391">
        <f t="shared" ca="1" si="339"/>
        <v>0</v>
      </c>
      <c r="N488" s="391">
        <f t="shared" ca="1" si="340"/>
        <v>0</v>
      </c>
      <c r="P488" s="313">
        <f>Data!$N$1170</f>
        <v>59357.701116720593</v>
      </c>
      <c r="Q488" s="313">
        <f t="shared" ca="1" si="341"/>
        <v>0</v>
      </c>
      <c r="R488" s="313">
        <f t="shared" ca="1" si="342"/>
        <v>0</v>
      </c>
      <c r="S488" s="1741">
        <f t="shared" ca="1" si="343"/>
        <v>0</v>
      </c>
      <c r="T488" s="313" t="str">
        <f ca="1">input!J856</f>
        <v>N</v>
      </c>
      <c r="V488" s="3115" t="str">
        <f>input!K856</f>
        <v>Packaging</v>
      </c>
      <c r="W488" s="3115">
        <f t="shared" ca="1" si="344"/>
        <v>0</v>
      </c>
      <c r="X488" s="3119">
        <f>VLOOKUP(V488,'Fix Cost'!$K$177:$M$179,2,0)</f>
        <v>58449.923860467366</v>
      </c>
      <c r="Y488" s="3119">
        <f>VLOOKUP(V488,'Fix Cost'!$K$177:$M$179,3,0)</f>
        <v>267411.04680782068</v>
      </c>
      <c r="Z488" s="3119">
        <f t="shared" ca="1" si="345"/>
        <v>0</v>
      </c>
      <c r="AA488" s="3115">
        <f t="shared" ca="1" si="346"/>
        <v>0</v>
      </c>
      <c r="AB488" s="3115">
        <f t="shared" ca="1" si="347"/>
        <v>0</v>
      </c>
      <c r="AK488" s="313"/>
      <c r="AL488" s="313"/>
      <c r="AM488" s="313"/>
      <c r="AO488" s="385"/>
      <c r="AP488" s="1055"/>
      <c r="AQ488" s="385"/>
      <c r="AR488" s="1048"/>
      <c r="AS488" s="385"/>
      <c r="AT488" s="879">
        <f t="shared" ca="1" si="356"/>
        <v>0</v>
      </c>
      <c r="AU488" s="879">
        <f ca="1">COUNTIFS(AT$7:$AT488,1)</f>
        <v>6</v>
      </c>
    </row>
    <row r="489" spans="1:47" ht="12.75" hidden="1" outlineLevel="1">
      <c r="B489" s="1738" t="s">
        <v>159</v>
      </c>
      <c r="C489" s="313" t="s">
        <v>72</v>
      </c>
      <c r="E489" s="363"/>
      <c r="F489" s="363" t="str">
        <f ca="1">input!F857</f>
        <v>N</v>
      </c>
      <c r="G489" s="363"/>
      <c r="H489" s="313">
        <f ca="1">IF(F489="PCS",$E$4,SUMIFS(Paper!$AC$7:$AC$58,Paper!$A$7:$A$58,'Production cost'!F489))</f>
        <v>0</v>
      </c>
      <c r="I489" s="313">
        <f ca="1">IF(input!$G857&gt;0,input!$G857,9000)</f>
        <v>9000</v>
      </c>
      <c r="J489" s="313" t="str">
        <f>input!$H857</f>
        <v>Pieces</v>
      </c>
      <c r="K489" s="360">
        <v>0</v>
      </c>
      <c r="L489" s="313">
        <f ca="1">IF(input!$I857&gt;0,input!$I857,4)</f>
        <v>4</v>
      </c>
      <c r="M489" s="391">
        <f t="shared" ca="1" si="339"/>
        <v>0</v>
      </c>
      <c r="N489" s="391">
        <f t="shared" ca="1" si="340"/>
        <v>0</v>
      </c>
      <c r="P489" s="313">
        <f>Data!$N$1170</f>
        <v>59357.701116720593</v>
      </c>
      <c r="Q489" s="313">
        <f t="shared" ca="1" si="341"/>
        <v>0</v>
      </c>
      <c r="R489" s="313">
        <f t="shared" ca="1" si="342"/>
        <v>0</v>
      </c>
      <c r="S489" s="1741">
        <f t="shared" ca="1" si="343"/>
        <v>0</v>
      </c>
      <c r="T489" s="313" t="str">
        <f ca="1">input!J857</f>
        <v>N</v>
      </c>
      <c r="V489" s="3115" t="str">
        <f>input!K857</f>
        <v>Packaging</v>
      </c>
      <c r="W489" s="3115">
        <f t="shared" ca="1" si="344"/>
        <v>0</v>
      </c>
      <c r="X489" s="3119">
        <f>VLOOKUP(V489,'Fix Cost'!$K$177:$M$179,2,0)</f>
        <v>58449.923860467366</v>
      </c>
      <c r="Y489" s="3119">
        <f>VLOOKUP(V489,'Fix Cost'!$K$177:$M$179,3,0)</f>
        <v>267411.04680782068</v>
      </c>
      <c r="Z489" s="3119">
        <f t="shared" ca="1" si="345"/>
        <v>0</v>
      </c>
      <c r="AA489" s="3115">
        <f t="shared" ca="1" si="346"/>
        <v>0</v>
      </c>
      <c r="AB489" s="3115">
        <f t="shared" ca="1" si="347"/>
        <v>0</v>
      </c>
      <c r="AK489" s="313"/>
      <c r="AL489" s="313"/>
      <c r="AM489" s="313"/>
      <c r="AO489" s="385"/>
      <c r="AP489" s="1055"/>
      <c r="AQ489" s="385"/>
      <c r="AR489" s="1048"/>
      <c r="AS489" s="385"/>
      <c r="AT489" s="879">
        <f t="shared" ca="1" si="356"/>
        <v>0</v>
      </c>
      <c r="AU489" s="879">
        <f ca="1">COUNTIFS(AT$7:$AT489,1)</f>
        <v>6</v>
      </c>
    </row>
    <row r="490" spans="1:47" ht="12.75" hidden="1" outlineLevel="1">
      <c r="B490" s="1738" t="s">
        <v>159</v>
      </c>
      <c r="C490" s="313" t="s">
        <v>72</v>
      </c>
      <c r="E490" s="363"/>
      <c r="F490" s="363" t="str">
        <f ca="1">input!F858</f>
        <v>N</v>
      </c>
      <c r="G490" s="363"/>
      <c r="H490" s="313">
        <f ca="1">IF(F490="PCS",$E$4,SUMIFS(Paper!$AC$7:$AC$58,Paper!$A$7:$A$58,'Production cost'!F490))</f>
        <v>0</v>
      </c>
      <c r="I490" s="313">
        <f ca="1">IF(input!$G858&gt;0,input!$G858,9000)</f>
        <v>9000</v>
      </c>
      <c r="J490" s="313" t="str">
        <f>input!$H858</f>
        <v>Pieces</v>
      </c>
      <c r="K490" s="360">
        <v>0</v>
      </c>
      <c r="L490" s="313">
        <f ca="1">IF(input!$I858&gt;0,input!$I858,4)</f>
        <v>4</v>
      </c>
      <c r="M490" s="391">
        <f t="shared" ca="1" si="339"/>
        <v>0</v>
      </c>
      <c r="N490" s="391">
        <f t="shared" ca="1" si="340"/>
        <v>0</v>
      </c>
      <c r="P490" s="313">
        <f>Data!$N$1170</f>
        <v>59357.701116720593</v>
      </c>
      <c r="Q490" s="313">
        <f t="shared" ca="1" si="341"/>
        <v>0</v>
      </c>
      <c r="R490" s="313">
        <f t="shared" ca="1" si="342"/>
        <v>0</v>
      </c>
      <c r="S490" s="1741">
        <f t="shared" ca="1" si="343"/>
        <v>0</v>
      </c>
      <c r="T490" s="313" t="str">
        <f ca="1">input!J858</f>
        <v>N</v>
      </c>
      <c r="V490" s="3115" t="str">
        <f>input!K858</f>
        <v>Packaging</v>
      </c>
      <c r="W490" s="3115">
        <f t="shared" ca="1" si="344"/>
        <v>0</v>
      </c>
      <c r="X490" s="3119">
        <f>VLOOKUP(V490,'Fix Cost'!$K$177:$M$179,2,0)</f>
        <v>58449.923860467366</v>
      </c>
      <c r="Y490" s="3119">
        <f>VLOOKUP(V490,'Fix Cost'!$K$177:$M$179,3,0)</f>
        <v>267411.04680782068</v>
      </c>
      <c r="Z490" s="3119">
        <f t="shared" ca="1" si="345"/>
        <v>0</v>
      </c>
      <c r="AA490" s="3115">
        <f t="shared" ca="1" si="346"/>
        <v>0</v>
      </c>
      <c r="AB490" s="3115">
        <f t="shared" ca="1" si="347"/>
        <v>0</v>
      </c>
      <c r="AK490" s="313"/>
      <c r="AL490" s="313"/>
      <c r="AM490" s="313"/>
      <c r="AO490" s="385"/>
      <c r="AP490" s="1055"/>
      <c r="AQ490" s="385"/>
      <c r="AR490" s="1048"/>
      <c r="AS490" s="385"/>
      <c r="AT490" s="879">
        <f t="shared" ca="1" si="356"/>
        <v>0</v>
      </c>
      <c r="AU490" s="879">
        <f ca="1">COUNTIFS(AT$7:$AT490,1)</f>
        <v>6</v>
      </c>
    </row>
    <row r="491" spans="1:47" ht="14.25" hidden="1" customHeight="1">
      <c r="B491" s="1742" t="s">
        <v>159</v>
      </c>
      <c r="C491" s="1743" t="s">
        <v>72</v>
      </c>
      <c r="D491" s="1743"/>
      <c r="E491" s="1746"/>
      <c r="F491" s="1746" t="str">
        <f>input!F859</f>
        <v>N</v>
      </c>
      <c r="G491" s="1746"/>
      <c r="H491" s="1743">
        <f ca="1">IF(F491="PCS",$E$4,SUMIFS(Paper!$AC$7:$AC$58,Paper!$A$7:$A$58,'Production cost'!F491))</f>
        <v>0</v>
      </c>
      <c r="I491" s="313">
        <f>IF(input!$G859&gt;0,input!$G859,9000)</f>
        <v>9000</v>
      </c>
      <c r="J491" s="1743" t="str">
        <f>input!$H859</f>
        <v>Pieces</v>
      </c>
      <c r="K491" s="1747">
        <v>0</v>
      </c>
      <c r="L491" s="1743">
        <f>IF(input!$I859&gt;0,input!$I859,4)</f>
        <v>4</v>
      </c>
      <c r="M491" s="1748">
        <f t="shared" ca="1" si="339"/>
        <v>0</v>
      </c>
      <c r="N491" s="1748">
        <f t="shared" ca="1" si="340"/>
        <v>0</v>
      </c>
      <c r="O491" s="1743"/>
      <c r="P491" s="1743">
        <f>Data!$N$1170</f>
        <v>59357.701116720593</v>
      </c>
      <c r="Q491" s="1743">
        <f t="shared" ca="1" si="341"/>
        <v>0</v>
      </c>
      <c r="R491" s="1743">
        <f t="shared" ca="1" si="342"/>
        <v>0</v>
      </c>
      <c r="S491" s="1749">
        <f t="shared" ca="1" si="343"/>
        <v>0</v>
      </c>
      <c r="T491" s="313">
        <f>input!J859</f>
        <v>0</v>
      </c>
      <c r="V491" s="3115" t="str">
        <f>input!K859</f>
        <v>Packaging</v>
      </c>
      <c r="W491" s="3115">
        <f t="shared" ca="1" si="344"/>
        <v>0</v>
      </c>
      <c r="X491" s="3119">
        <f>VLOOKUP(V491,'Fix Cost'!$K$177:$M$179,2,0)</f>
        <v>58449.923860467366</v>
      </c>
      <c r="Y491" s="3119">
        <f>VLOOKUP(V491,'Fix Cost'!$K$177:$M$179,3,0)</f>
        <v>267411.04680782068</v>
      </c>
      <c r="Z491" s="3119">
        <f t="shared" ca="1" si="345"/>
        <v>0</v>
      </c>
      <c r="AA491" s="3115">
        <f t="shared" ca="1" si="346"/>
        <v>0</v>
      </c>
      <c r="AB491" s="3115">
        <f t="shared" ca="1" si="347"/>
        <v>0</v>
      </c>
      <c r="AK491" s="313"/>
      <c r="AL491" s="313"/>
      <c r="AM491" s="313"/>
      <c r="AO491" s="385"/>
      <c r="AP491" s="385"/>
      <c r="AQ491" s="385"/>
      <c r="AR491" s="1048"/>
      <c r="AS491" s="385"/>
      <c r="AT491" s="879">
        <f t="shared" ca="1" si="356"/>
        <v>0</v>
      </c>
      <c r="AU491" s="879">
        <f ca="1">COUNTIFS(AT$7:$AT491,1)</f>
        <v>6</v>
      </c>
    </row>
    <row r="492" spans="1:47" ht="14.25" hidden="1" customHeight="1">
      <c r="F492" s="384"/>
      <c r="G492" s="363"/>
      <c r="H492" s="363"/>
      <c r="N492" s="391"/>
      <c r="P492" s="364"/>
      <c r="AK492" s="313"/>
      <c r="AL492" s="313"/>
      <c r="AM492" s="313"/>
      <c r="AO492" s="385"/>
      <c r="AP492" s="385"/>
      <c r="AQ492" s="385"/>
      <c r="AR492" s="1048"/>
      <c r="AS492" s="385"/>
      <c r="AT492" s="879" t="str">
        <f t="shared" si="356"/>
        <v/>
      </c>
      <c r="AU492" s="879">
        <f ca="1">COUNTIFS(AT$7:$AT492,1)</f>
        <v>6</v>
      </c>
    </row>
    <row r="493" spans="1:47" ht="14.25" hidden="1" customHeight="1">
      <c r="F493" s="384"/>
      <c r="G493" s="363"/>
      <c r="H493" s="363"/>
      <c r="N493" s="391"/>
      <c r="P493" s="364"/>
      <c r="AK493" s="313"/>
      <c r="AL493" s="313"/>
      <c r="AM493" s="313"/>
      <c r="AO493" s="385"/>
      <c r="AP493" s="385"/>
      <c r="AQ493" s="385"/>
      <c r="AR493" s="1048"/>
      <c r="AS493" s="385"/>
      <c r="AT493" s="879" t="str">
        <f t="shared" si="356"/>
        <v/>
      </c>
      <c r="AU493" s="879">
        <f ca="1">COUNTIFS(AT$7:$AT493,1)</f>
        <v>6</v>
      </c>
    </row>
    <row r="494" spans="1:47" s="385" customFormat="1" ht="14.25" hidden="1" customHeight="1">
      <c r="A494" s="385" t="s">
        <v>217</v>
      </c>
      <c r="G494" s="1271"/>
      <c r="H494" s="385" t="str">
        <f>(input!B16&amp;" "&amp;input!C16&amp;"  X  "&amp;input!E16)</f>
        <v>Size of Book : 150  X  150</v>
      </c>
      <c r="K494" s="430"/>
      <c r="N494" s="399"/>
      <c r="AR494" s="1048"/>
      <c r="AT494" s="879" t="str">
        <f t="shared" si="356"/>
        <v/>
      </c>
      <c r="AU494" s="879">
        <f ca="1">COUNTIFS(AT$7:$AT494,1)</f>
        <v>6</v>
      </c>
    </row>
    <row r="495" spans="1:47" ht="12.75" hidden="1" customHeight="1">
      <c r="A495" s="1269" t="s">
        <v>141</v>
      </c>
      <c r="B495" s="1269"/>
      <c r="C495" s="385"/>
      <c r="G495" s="1270"/>
      <c r="H495" s="385">
        <f>input!C17</f>
        <v>9</v>
      </c>
      <c r="I495" s="313" t="s">
        <v>191</v>
      </c>
      <c r="K495" s="430">
        <f>input!G19</f>
        <v>0</v>
      </c>
      <c r="L495" s="313" t="s">
        <v>639</v>
      </c>
      <c r="N495" s="391"/>
      <c r="AK495" s="313"/>
      <c r="AL495" s="313"/>
      <c r="AM495" s="313"/>
      <c r="AO495" s="385"/>
      <c r="AP495" s="1055"/>
      <c r="AQ495" s="385"/>
      <c r="AR495" s="1048"/>
      <c r="AS495" s="385"/>
      <c r="AT495" s="879" t="str">
        <f t="shared" si="356"/>
        <v/>
      </c>
      <c r="AU495" s="879">
        <f ca="1">COUNTIFS(AT$7:$AT495,1)</f>
        <v>6</v>
      </c>
    </row>
    <row r="496" spans="1:47" ht="12.75" hidden="1" customHeight="1">
      <c r="A496" s="1269"/>
      <c r="B496" s="1730" t="s">
        <v>159</v>
      </c>
      <c r="C496" s="1731" t="s">
        <v>313</v>
      </c>
      <c r="D496" s="1731"/>
      <c r="E496" s="1734"/>
      <c r="F496" s="1734" t="str">
        <f>input!F863</f>
        <v>N</v>
      </c>
      <c r="G496" s="1734"/>
      <c r="H496" s="1731">
        <f ca="1">IF(F496="PCS",$E$4,SUMIFS(Paper!$AC$7:$AC$58,Paper!$A$7:$A$58,'Production cost'!F496))</f>
        <v>0</v>
      </c>
      <c r="I496" s="1731">
        <f>IF(input!$G863&gt;0,input!$G863,880)</f>
        <v>880</v>
      </c>
      <c r="J496" s="1731" t="str">
        <f>input!$H863</f>
        <v>sheets</v>
      </c>
      <c r="K496" s="1735">
        <v>0</v>
      </c>
      <c r="L496" s="1731">
        <f>IF(input!$I863&gt;0,input!$I863,7)</f>
        <v>7</v>
      </c>
      <c r="M496" s="1736">
        <f t="shared" ref="M496:M505" ca="1" si="365">IF(H496&gt;0,20/60,0)</f>
        <v>0</v>
      </c>
      <c r="N496" s="1736">
        <f t="shared" ref="N496:N505" ca="1" si="366">IF(H496&gt;0,ROUNDUP(((H496/I496)/$M$5+M496),1),0)</f>
        <v>0</v>
      </c>
      <c r="O496" s="1731"/>
      <c r="P496" s="1731">
        <f>Data!$N$1153</f>
        <v>64591.331280067061</v>
      </c>
      <c r="Q496" s="1731">
        <f t="shared" ref="Q496:Q527" ca="1" si="367">(N496*O496*K496+N496*P496*L496)*(1+$R$702)</f>
        <v>0</v>
      </c>
      <c r="R496" s="1731">
        <f t="shared" ref="R496:R541" ca="1" si="368">IF($E$2&gt;0,Q496/$E$2,0)</f>
        <v>0</v>
      </c>
      <c r="S496" s="1737">
        <f t="shared" ref="S496:S505" ca="1" si="369">IF(M496&gt;0,K496*O496+L496*P496,0)</f>
        <v>0</v>
      </c>
      <c r="T496" s="313" t="str">
        <f>input!J863</f>
        <v>N</v>
      </c>
      <c r="V496" s="3115" t="str">
        <f>input!K863</f>
        <v>Assembly</v>
      </c>
      <c r="W496" s="3115">
        <f ca="1">N496*(L496+K496)</f>
        <v>0</v>
      </c>
      <c r="X496" s="3119">
        <f>VLOOKUP(V496,'Fix Cost'!$K$177:$M$179,2,0)</f>
        <v>32032.115313968527</v>
      </c>
      <c r="Y496" s="3119">
        <f>VLOOKUP(V496,'Fix Cost'!$K$177:$M$179,3,0)</f>
        <v>267567.54920876794</v>
      </c>
      <c r="Z496" s="3119">
        <f ca="1">IFERROR($X496*W496,0)</f>
        <v>0</v>
      </c>
      <c r="AA496" s="3115">
        <f ca="1">IFERROR(Y496*N496,0)</f>
        <v>0</v>
      </c>
      <c r="AB496" s="3115">
        <f ca="1">Z496+AA496</f>
        <v>0</v>
      </c>
      <c r="AK496" s="313"/>
      <c r="AL496" s="313"/>
      <c r="AM496" s="313"/>
      <c r="AO496" s="385"/>
      <c r="AP496" s="1055"/>
      <c r="AQ496" s="385"/>
      <c r="AR496" s="1048"/>
      <c r="AS496" s="385"/>
      <c r="AT496" s="879">
        <f t="shared" ca="1" si="356"/>
        <v>0</v>
      </c>
      <c r="AU496" s="879">
        <f ca="1">COUNTIFS(AT$7:$AT496,1)</f>
        <v>6</v>
      </c>
    </row>
    <row r="497" spans="1:47" ht="12.75" hidden="1" customHeight="1">
      <c r="A497" s="1269"/>
      <c r="B497" s="1738" t="s">
        <v>159</v>
      </c>
      <c r="C497" s="313" t="s">
        <v>313</v>
      </c>
      <c r="E497" s="363"/>
      <c r="F497" s="363" t="str">
        <f>input!F864</f>
        <v>N</v>
      </c>
      <c r="G497" s="363"/>
      <c r="H497" s="313">
        <f ca="1">IF(F497="PCS",$E$4,SUMIFS(Paper!$AC$7:$AC$58,Paper!$A$7:$A$58,'Production cost'!F497))</f>
        <v>0</v>
      </c>
      <c r="I497" s="313">
        <f>IF(input!$G864&gt;0,input!$G864,880)</f>
        <v>880</v>
      </c>
      <c r="J497" s="313" t="str">
        <f>input!$H864</f>
        <v>sheets</v>
      </c>
      <c r="K497" s="360">
        <v>0</v>
      </c>
      <c r="L497" s="313">
        <f>IF(input!$I864&gt;0,input!$I864,7)</f>
        <v>7</v>
      </c>
      <c r="M497" s="391">
        <f t="shared" ca="1" si="365"/>
        <v>0</v>
      </c>
      <c r="N497" s="391">
        <f t="shared" ca="1" si="366"/>
        <v>0</v>
      </c>
      <c r="P497" s="313">
        <f>Data!$N$1153</f>
        <v>64591.331280067061</v>
      </c>
      <c r="Q497" s="313">
        <f t="shared" ca="1" si="367"/>
        <v>0</v>
      </c>
      <c r="R497" s="313">
        <f t="shared" ca="1" si="368"/>
        <v>0</v>
      </c>
      <c r="S497" s="1741">
        <f t="shared" ca="1" si="369"/>
        <v>0</v>
      </c>
      <c r="T497" s="313" t="str">
        <f>input!J864</f>
        <v>N</v>
      </c>
      <c r="V497" s="3115" t="str">
        <f>input!K864</f>
        <v>Assembly</v>
      </c>
      <c r="W497" s="3115">
        <f t="shared" ref="W497:W561" ca="1" si="370">N497*(L497+K497)</f>
        <v>0</v>
      </c>
      <c r="X497" s="3119">
        <f>VLOOKUP(V497,'Fix Cost'!$K$177:$M$179,2,0)</f>
        <v>32032.115313968527</v>
      </c>
      <c r="Y497" s="3119">
        <f>VLOOKUP(V497,'Fix Cost'!$K$177:$M$179,3,0)</f>
        <v>267567.54920876794</v>
      </c>
      <c r="Z497" s="3119">
        <f t="shared" ref="Z497:Z561" ca="1" si="371">IFERROR($X497*W497,0)</f>
        <v>0</v>
      </c>
      <c r="AA497" s="3115">
        <f t="shared" ref="AA497:AA561" ca="1" si="372">IFERROR(Y497*N497,0)</f>
        <v>0</v>
      </c>
      <c r="AB497" s="3115">
        <f t="shared" ref="AB497:AB561" ca="1" si="373">Z497+AA497</f>
        <v>0</v>
      </c>
      <c r="AK497" s="313"/>
      <c r="AL497" s="313"/>
      <c r="AM497" s="313"/>
      <c r="AO497" s="385"/>
      <c r="AP497" s="1055"/>
      <c r="AQ497" s="385"/>
      <c r="AR497" s="1048"/>
      <c r="AS497" s="385"/>
      <c r="AT497" s="879">
        <f t="shared" ca="1" si="356"/>
        <v>0</v>
      </c>
      <c r="AU497" s="879">
        <f ca="1">COUNTIFS(AT$7:$AT497,1)</f>
        <v>6</v>
      </c>
    </row>
    <row r="498" spans="1:47" ht="12.75" hidden="1" customHeight="1">
      <c r="A498" s="1269"/>
      <c r="B498" s="1738" t="s">
        <v>159</v>
      </c>
      <c r="C498" s="313" t="s">
        <v>313</v>
      </c>
      <c r="E498" s="363"/>
      <c r="F498" s="363" t="str">
        <f>input!F865</f>
        <v>N</v>
      </c>
      <c r="G498" s="363"/>
      <c r="H498" s="313">
        <f ca="1">IF(F498="PCS",$E$4,SUMIFS(Paper!$AC$7:$AC$58,Paper!$A$7:$A$58,'Production cost'!F498))</f>
        <v>0</v>
      </c>
      <c r="I498" s="313">
        <f>IF(input!$G865&gt;0,input!$G865,880)</f>
        <v>880</v>
      </c>
      <c r="J498" s="313" t="str">
        <f>input!$H865</f>
        <v>sheets</v>
      </c>
      <c r="K498" s="360">
        <v>0</v>
      </c>
      <c r="L498" s="313">
        <f>IF(input!$I865&gt;0,input!$I865,7)</f>
        <v>7</v>
      </c>
      <c r="M498" s="391">
        <f t="shared" ca="1" si="365"/>
        <v>0</v>
      </c>
      <c r="N498" s="391">
        <f t="shared" ca="1" si="366"/>
        <v>0</v>
      </c>
      <c r="P498" s="313">
        <f>Data!$N$1153</f>
        <v>64591.331280067061</v>
      </c>
      <c r="Q498" s="313">
        <f t="shared" ca="1" si="367"/>
        <v>0</v>
      </c>
      <c r="R498" s="313">
        <f t="shared" ca="1" si="368"/>
        <v>0</v>
      </c>
      <c r="S498" s="1741">
        <f t="shared" ca="1" si="369"/>
        <v>0</v>
      </c>
      <c r="T498" s="313" t="str">
        <f>input!J865</f>
        <v>N</v>
      </c>
      <c r="V498" s="3115" t="str">
        <f>input!K865</f>
        <v>Assembly</v>
      </c>
      <c r="W498" s="3115">
        <f t="shared" ca="1" si="370"/>
        <v>0</v>
      </c>
      <c r="X498" s="3119">
        <f>VLOOKUP(V498,'Fix Cost'!$K$177:$M$179,2,0)</f>
        <v>32032.115313968527</v>
      </c>
      <c r="Y498" s="3119">
        <f>VLOOKUP(V498,'Fix Cost'!$K$177:$M$179,3,0)</f>
        <v>267567.54920876794</v>
      </c>
      <c r="Z498" s="3119">
        <f t="shared" ca="1" si="371"/>
        <v>0</v>
      </c>
      <c r="AA498" s="3115">
        <f t="shared" ca="1" si="372"/>
        <v>0</v>
      </c>
      <c r="AB498" s="3115">
        <f t="shared" ca="1" si="373"/>
        <v>0</v>
      </c>
      <c r="AK498" s="313"/>
      <c r="AL498" s="313"/>
      <c r="AM498" s="313"/>
      <c r="AO498" s="385"/>
      <c r="AP498" s="1055"/>
      <c r="AQ498" s="385"/>
      <c r="AR498" s="1048"/>
      <c r="AS498" s="385"/>
      <c r="AT498" s="879">
        <f t="shared" ca="1" si="356"/>
        <v>0</v>
      </c>
      <c r="AU498" s="879">
        <f ca="1">COUNTIFS(AT$7:$AT498,1)</f>
        <v>6</v>
      </c>
    </row>
    <row r="499" spans="1:47" ht="12.75" hidden="1" customHeight="1">
      <c r="A499" s="1269"/>
      <c r="B499" s="1738" t="s">
        <v>159</v>
      </c>
      <c r="C499" s="313" t="s">
        <v>313</v>
      </c>
      <c r="E499" s="363"/>
      <c r="F499" s="363" t="str">
        <f>input!F866</f>
        <v>N</v>
      </c>
      <c r="G499" s="363"/>
      <c r="H499" s="313">
        <f ca="1">IF(F499="PCS",$E$4,SUMIFS(Paper!$AC$7:$AC$58,Paper!$A$7:$A$58,'Production cost'!F499))</f>
        <v>0</v>
      </c>
      <c r="I499" s="313">
        <f>IF(input!$G866&gt;0,input!$G866,880)</f>
        <v>880</v>
      </c>
      <c r="J499" s="313" t="str">
        <f>input!$H866</f>
        <v>sheets</v>
      </c>
      <c r="K499" s="360">
        <v>0</v>
      </c>
      <c r="L499" s="313">
        <f>IF(input!$I866&gt;0,input!$I866,7)</f>
        <v>7</v>
      </c>
      <c r="M499" s="391">
        <f t="shared" ca="1" si="365"/>
        <v>0</v>
      </c>
      <c r="N499" s="391">
        <f t="shared" ca="1" si="366"/>
        <v>0</v>
      </c>
      <c r="P499" s="313">
        <f>Data!$N$1153</f>
        <v>64591.331280067061</v>
      </c>
      <c r="Q499" s="313">
        <f t="shared" ca="1" si="367"/>
        <v>0</v>
      </c>
      <c r="R499" s="313">
        <f t="shared" ca="1" si="368"/>
        <v>0</v>
      </c>
      <c r="S499" s="1741">
        <f t="shared" ca="1" si="369"/>
        <v>0</v>
      </c>
      <c r="T499" s="313" t="str">
        <f>input!J866</f>
        <v>N</v>
      </c>
      <c r="V499" s="3115" t="str">
        <f>input!K866</f>
        <v>Assembly</v>
      </c>
      <c r="W499" s="3115">
        <f t="shared" ca="1" si="370"/>
        <v>0</v>
      </c>
      <c r="X499" s="3119">
        <f>VLOOKUP(V499,'Fix Cost'!$K$177:$M$179,2,0)</f>
        <v>32032.115313968527</v>
      </c>
      <c r="Y499" s="3119">
        <f>VLOOKUP(V499,'Fix Cost'!$K$177:$M$179,3,0)</f>
        <v>267567.54920876794</v>
      </c>
      <c r="Z499" s="3119">
        <f t="shared" ca="1" si="371"/>
        <v>0</v>
      </c>
      <c r="AA499" s="3115">
        <f t="shared" ca="1" si="372"/>
        <v>0</v>
      </c>
      <c r="AB499" s="3115">
        <f t="shared" ca="1" si="373"/>
        <v>0</v>
      </c>
      <c r="AK499" s="313"/>
      <c r="AL499" s="313"/>
      <c r="AM499" s="313"/>
      <c r="AO499" s="385"/>
      <c r="AP499" s="1055"/>
      <c r="AQ499" s="385"/>
      <c r="AR499" s="1048"/>
      <c r="AS499" s="385"/>
      <c r="AT499" s="879">
        <f t="shared" ca="1" si="356"/>
        <v>0</v>
      </c>
      <c r="AU499" s="879">
        <f ca="1">COUNTIFS(AT$7:$AT499,1)</f>
        <v>6</v>
      </c>
    </row>
    <row r="500" spans="1:47" ht="12.75" hidden="1" customHeight="1">
      <c r="A500" s="1269"/>
      <c r="B500" s="1738" t="s">
        <v>159</v>
      </c>
      <c r="C500" s="313" t="s">
        <v>313</v>
      </c>
      <c r="E500" s="363"/>
      <c r="F500" s="363" t="str">
        <f>input!F867</f>
        <v>N</v>
      </c>
      <c r="G500" s="363"/>
      <c r="H500" s="313">
        <f ca="1">IF(F500="PCS",$E$4,SUMIFS(Paper!$AC$7:$AC$58,Paper!$A$7:$A$58,'Production cost'!F500))</f>
        <v>0</v>
      </c>
      <c r="I500" s="313">
        <f>IF(input!$G867&gt;0,input!$G867,880)</f>
        <v>880</v>
      </c>
      <c r="J500" s="313" t="str">
        <f>input!$H867</f>
        <v>sheets</v>
      </c>
      <c r="K500" s="360">
        <v>0</v>
      </c>
      <c r="L500" s="313">
        <f>IF(input!$I867&gt;0,input!$I867,7)</f>
        <v>7</v>
      </c>
      <c r="M500" s="391">
        <f t="shared" ca="1" si="365"/>
        <v>0</v>
      </c>
      <c r="N500" s="391">
        <f t="shared" ca="1" si="366"/>
        <v>0</v>
      </c>
      <c r="P500" s="313">
        <f>Data!$N$1153</f>
        <v>64591.331280067061</v>
      </c>
      <c r="Q500" s="313">
        <f t="shared" ca="1" si="367"/>
        <v>0</v>
      </c>
      <c r="R500" s="313">
        <f t="shared" ca="1" si="368"/>
        <v>0</v>
      </c>
      <c r="S500" s="1741">
        <f t="shared" ca="1" si="369"/>
        <v>0</v>
      </c>
      <c r="T500" s="313" t="str">
        <f>input!J867</f>
        <v>N</v>
      </c>
      <c r="V500" s="3115" t="str">
        <f>input!K867</f>
        <v>Assembly</v>
      </c>
      <c r="W500" s="3115">
        <f t="shared" ca="1" si="370"/>
        <v>0</v>
      </c>
      <c r="X500" s="3119">
        <f>VLOOKUP(V500,'Fix Cost'!$K$177:$M$179,2,0)</f>
        <v>32032.115313968527</v>
      </c>
      <c r="Y500" s="3119">
        <f>VLOOKUP(V500,'Fix Cost'!$K$177:$M$179,3,0)</f>
        <v>267567.54920876794</v>
      </c>
      <c r="Z500" s="3119">
        <f t="shared" ca="1" si="371"/>
        <v>0</v>
      </c>
      <c r="AA500" s="3115">
        <f t="shared" ca="1" si="372"/>
        <v>0</v>
      </c>
      <c r="AB500" s="3115">
        <f t="shared" ca="1" si="373"/>
        <v>0</v>
      </c>
      <c r="AK500" s="313"/>
      <c r="AL500" s="313"/>
      <c r="AM500" s="313"/>
      <c r="AO500" s="385"/>
      <c r="AP500" s="1055"/>
      <c r="AQ500" s="385"/>
      <c r="AR500" s="1048"/>
      <c r="AS500" s="385"/>
      <c r="AT500" s="879">
        <f t="shared" ca="1" si="356"/>
        <v>0</v>
      </c>
      <c r="AU500" s="879">
        <f ca="1">COUNTIFS(AT$7:$AT500,1)</f>
        <v>6</v>
      </c>
    </row>
    <row r="501" spans="1:47" ht="12.75" hidden="1" customHeight="1">
      <c r="A501" s="1269"/>
      <c r="B501" s="1738" t="s">
        <v>159</v>
      </c>
      <c r="C501" s="313" t="s">
        <v>219</v>
      </c>
      <c r="E501" s="363"/>
      <c r="F501" s="363" t="str">
        <f ca="1">input!F868</f>
        <v>N</v>
      </c>
      <c r="G501" s="363"/>
      <c r="H501" s="313">
        <f ca="1">IF(F501="PCS",$E$4,SUMIFS(Paper!$AC$7:$AC$58,Paper!$A$7:$A$58,'Production cost'!F501))</f>
        <v>0</v>
      </c>
      <c r="I501" s="313">
        <f ca="1">IF(input!$G868&gt;0,input!$G868,1200)</f>
        <v>1200</v>
      </c>
      <c r="J501" s="313" t="str">
        <f>input!$H868</f>
        <v>Sheets</v>
      </c>
      <c r="K501" s="360">
        <v>0</v>
      </c>
      <c r="L501" s="313">
        <f ca="1">IF(input!$I868&gt;0,input!$I868,8)</f>
        <v>8</v>
      </c>
      <c r="M501" s="391">
        <f t="shared" ca="1" si="365"/>
        <v>0</v>
      </c>
      <c r="N501" s="391">
        <f t="shared" ca="1" si="366"/>
        <v>0</v>
      </c>
      <c r="P501" s="313">
        <f>Data!$N$1153</f>
        <v>64591.331280067061</v>
      </c>
      <c r="Q501" s="313">
        <f t="shared" ca="1" si="367"/>
        <v>0</v>
      </c>
      <c r="R501" s="313">
        <f t="shared" ca="1" si="368"/>
        <v>0</v>
      </c>
      <c r="S501" s="1741">
        <f t="shared" ca="1" si="369"/>
        <v>0</v>
      </c>
      <c r="T501" s="313" t="str">
        <f ca="1">input!J868</f>
        <v>N</v>
      </c>
      <c r="V501" s="3115" t="str">
        <f>input!K868</f>
        <v>Assembly</v>
      </c>
      <c r="W501" s="3115">
        <f t="shared" ca="1" si="370"/>
        <v>0</v>
      </c>
      <c r="X501" s="3119">
        <f>VLOOKUP(V501,'Fix Cost'!$K$177:$M$179,2,0)</f>
        <v>32032.115313968527</v>
      </c>
      <c r="Y501" s="3119">
        <f>VLOOKUP(V501,'Fix Cost'!$K$177:$M$179,3,0)</f>
        <v>267567.54920876794</v>
      </c>
      <c r="Z501" s="3119">
        <f t="shared" ca="1" si="371"/>
        <v>0</v>
      </c>
      <c r="AA501" s="3115">
        <f t="shared" ca="1" si="372"/>
        <v>0</v>
      </c>
      <c r="AB501" s="3115">
        <f t="shared" ca="1" si="373"/>
        <v>0</v>
      </c>
      <c r="AM501" s="363"/>
      <c r="AN501" s="385"/>
      <c r="AP501" s="1055"/>
      <c r="AQ501" s="385"/>
      <c r="AR501" s="1048"/>
      <c r="AS501" s="385"/>
      <c r="AT501" s="879">
        <f t="shared" ca="1" si="356"/>
        <v>0</v>
      </c>
      <c r="AU501" s="879">
        <f ca="1">COUNTIFS(AT$7:$AT501,1)</f>
        <v>6</v>
      </c>
    </row>
    <row r="502" spans="1:47" ht="12.75" hidden="1" customHeight="1">
      <c r="A502" s="1269"/>
      <c r="B502" s="1738" t="s">
        <v>159</v>
      </c>
      <c r="C502" s="313" t="s">
        <v>219</v>
      </c>
      <c r="E502" s="363"/>
      <c r="F502" s="363" t="str">
        <f ca="1">input!F869</f>
        <v>N</v>
      </c>
      <c r="G502" s="363"/>
      <c r="H502" s="313">
        <f ca="1">IF(F502="PCS",$E$4,SUMIFS(Paper!$AC$7:$AC$58,Paper!$A$7:$A$58,'Production cost'!F502))</f>
        <v>0</v>
      </c>
      <c r="I502" s="313">
        <f ca="1">IF(input!$G869&gt;0,input!$G869,1200)</f>
        <v>1200</v>
      </c>
      <c r="J502" s="313" t="str">
        <f>input!$H869</f>
        <v>Sheets</v>
      </c>
      <c r="K502" s="360">
        <v>0</v>
      </c>
      <c r="L502" s="313">
        <f ca="1">IF(input!$I869&gt;0,input!$I869,8)</f>
        <v>8</v>
      </c>
      <c r="M502" s="391">
        <f t="shared" ca="1" si="365"/>
        <v>0</v>
      </c>
      <c r="N502" s="391">
        <f t="shared" ca="1" si="366"/>
        <v>0</v>
      </c>
      <c r="P502" s="313">
        <f>Data!$N$1153</f>
        <v>64591.331280067061</v>
      </c>
      <c r="Q502" s="313">
        <f t="shared" ca="1" si="367"/>
        <v>0</v>
      </c>
      <c r="R502" s="313">
        <f t="shared" ca="1" si="368"/>
        <v>0</v>
      </c>
      <c r="S502" s="1741">
        <f t="shared" ca="1" si="369"/>
        <v>0</v>
      </c>
      <c r="T502" s="313" t="str">
        <f ca="1">input!J869</f>
        <v>N</v>
      </c>
      <c r="V502" s="3115" t="str">
        <f>input!K869</f>
        <v>Assembly</v>
      </c>
      <c r="W502" s="3115">
        <f t="shared" ca="1" si="370"/>
        <v>0</v>
      </c>
      <c r="X502" s="3119">
        <f>VLOOKUP(V502,'Fix Cost'!$K$177:$M$179,2,0)</f>
        <v>32032.115313968527</v>
      </c>
      <c r="Y502" s="3119">
        <f>VLOOKUP(V502,'Fix Cost'!$K$177:$M$179,3,0)</f>
        <v>267567.54920876794</v>
      </c>
      <c r="Z502" s="3119">
        <f t="shared" ca="1" si="371"/>
        <v>0</v>
      </c>
      <c r="AA502" s="3115">
        <f t="shared" ca="1" si="372"/>
        <v>0</v>
      </c>
      <c r="AB502" s="3115">
        <f t="shared" ca="1" si="373"/>
        <v>0</v>
      </c>
      <c r="AK502" s="313"/>
      <c r="AL502" s="313"/>
      <c r="AM502" s="313"/>
      <c r="AO502" s="385"/>
      <c r="AP502" s="1055"/>
      <c r="AQ502" s="385"/>
      <c r="AR502" s="1048"/>
      <c r="AS502" s="385"/>
      <c r="AT502" s="879">
        <f t="shared" ca="1" si="356"/>
        <v>0</v>
      </c>
      <c r="AU502" s="879">
        <f ca="1">COUNTIFS(AT$7:$AT502,1)</f>
        <v>6</v>
      </c>
    </row>
    <row r="503" spans="1:47" ht="12.75" hidden="1" customHeight="1">
      <c r="A503" s="1269"/>
      <c r="B503" s="1738" t="s">
        <v>159</v>
      </c>
      <c r="C503" s="313" t="s">
        <v>219</v>
      </c>
      <c r="E503" s="363"/>
      <c r="F503" s="363" t="str">
        <f ca="1">input!F870</f>
        <v>N</v>
      </c>
      <c r="G503" s="363"/>
      <c r="H503" s="313">
        <f ca="1">IF(F503="PCS",$E$4,SUMIFS(Paper!$AC$7:$AC$58,Paper!$A$7:$A$58,'Production cost'!F503))</f>
        <v>0</v>
      </c>
      <c r="I503" s="313">
        <f ca="1">IF(input!$G870&gt;0,input!$G870,1200)</f>
        <v>1200</v>
      </c>
      <c r="J503" s="313" t="str">
        <f>input!$H870</f>
        <v>Sheets</v>
      </c>
      <c r="K503" s="360">
        <v>0</v>
      </c>
      <c r="L503" s="313">
        <f ca="1">IF(input!$I870&gt;0,input!$I870,8)</f>
        <v>8</v>
      </c>
      <c r="M503" s="391">
        <f t="shared" ca="1" si="365"/>
        <v>0</v>
      </c>
      <c r="N503" s="391">
        <f t="shared" ca="1" si="366"/>
        <v>0</v>
      </c>
      <c r="P503" s="313">
        <f>Data!$N$1153</f>
        <v>64591.331280067061</v>
      </c>
      <c r="Q503" s="313">
        <f t="shared" ca="1" si="367"/>
        <v>0</v>
      </c>
      <c r="R503" s="313">
        <f t="shared" ca="1" si="368"/>
        <v>0</v>
      </c>
      <c r="S503" s="1741">
        <f t="shared" ca="1" si="369"/>
        <v>0</v>
      </c>
      <c r="T503" s="313" t="str">
        <f ca="1">input!J870</f>
        <v>N</v>
      </c>
      <c r="V503" s="3115" t="str">
        <f>input!K870</f>
        <v>Assembly</v>
      </c>
      <c r="W503" s="3115">
        <f t="shared" ca="1" si="370"/>
        <v>0</v>
      </c>
      <c r="X503" s="3119">
        <f>VLOOKUP(V503,'Fix Cost'!$K$177:$M$179,2,0)</f>
        <v>32032.115313968527</v>
      </c>
      <c r="Y503" s="3119">
        <f>VLOOKUP(V503,'Fix Cost'!$K$177:$M$179,3,0)</f>
        <v>267567.54920876794</v>
      </c>
      <c r="Z503" s="3119">
        <f t="shared" ca="1" si="371"/>
        <v>0</v>
      </c>
      <c r="AA503" s="3115">
        <f t="shared" ca="1" si="372"/>
        <v>0</v>
      </c>
      <c r="AB503" s="3115">
        <f t="shared" ca="1" si="373"/>
        <v>0</v>
      </c>
      <c r="AK503" s="313"/>
      <c r="AL503" s="313"/>
      <c r="AM503" s="313"/>
      <c r="AO503" s="385"/>
      <c r="AP503" s="1055"/>
      <c r="AQ503" s="385"/>
      <c r="AR503" s="1048"/>
      <c r="AS503" s="385"/>
      <c r="AT503" s="879">
        <f t="shared" ca="1" si="356"/>
        <v>0</v>
      </c>
      <c r="AU503" s="879">
        <f ca="1">COUNTIFS(AT$7:$AT503,1)</f>
        <v>6</v>
      </c>
    </row>
    <row r="504" spans="1:47" ht="12.75" hidden="1" customHeight="1">
      <c r="A504" s="1269"/>
      <c r="B504" s="1738" t="s">
        <v>159</v>
      </c>
      <c r="C504" s="313" t="s">
        <v>219</v>
      </c>
      <c r="E504" s="363"/>
      <c r="F504" s="363" t="str">
        <f ca="1">input!F871</f>
        <v>N</v>
      </c>
      <c r="G504" s="363"/>
      <c r="H504" s="313">
        <f ca="1">IF(F504="PCS",$E$4,SUMIFS(Paper!$AC$7:$AC$58,Paper!$A$7:$A$58,'Production cost'!F504))</f>
        <v>0</v>
      </c>
      <c r="I504" s="313">
        <f ca="1">IF(input!$G871&gt;0,input!$G871,1200)</f>
        <v>1200</v>
      </c>
      <c r="J504" s="313" t="str">
        <f>input!$H871</f>
        <v>Sheets</v>
      </c>
      <c r="K504" s="360">
        <v>0</v>
      </c>
      <c r="L504" s="313">
        <f ca="1">IF(input!$I871&gt;0,input!$I871,8)</f>
        <v>8</v>
      </c>
      <c r="M504" s="391">
        <f t="shared" ca="1" si="365"/>
        <v>0</v>
      </c>
      <c r="N504" s="391">
        <f t="shared" ca="1" si="366"/>
        <v>0</v>
      </c>
      <c r="P504" s="313">
        <f>Data!$N$1153</f>
        <v>64591.331280067061</v>
      </c>
      <c r="Q504" s="313">
        <f t="shared" ca="1" si="367"/>
        <v>0</v>
      </c>
      <c r="R504" s="313">
        <f t="shared" ca="1" si="368"/>
        <v>0</v>
      </c>
      <c r="S504" s="1741">
        <f t="shared" ca="1" si="369"/>
        <v>0</v>
      </c>
      <c r="T504" s="313" t="str">
        <f ca="1">input!J871</f>
        <v>N</v>
      </c>
      <c r="V504" s="3115" t="str">
        <f>input!K871</f>
        <v>Assembly</v>
      </c>
      <c r="W504" s="3115">
        <f t="shared" ca="1" si="370"/>
        <v>0</v>
      </c>
      <c r="X504" s="3119">
        <f>VLOOKUP(V504,'Fix Cost'!$K$177:$M$179,2,0)</f>
        <v>32032.115313968527</v>
      </c>
      <c r="Y504" s="3119">
        <f>VLOOKUP(V504,'Fix Cost'!$K$177:$M$179,3,0)</f>
        <v>267567.54920876794</v>
      </c>
      <c r="Z504" s="3119">
        <f t="shared" ca="1" si="371"/>
        <v>0</v>
      </c>
      <c r="AA504" s="3115">
        <f t="shared" ca="1" si="372"/>
        <v>0</v>
      </c>
      <c r="AB504" s="3115">
        <f t="shared" ca="1" si="373"/>
        <v>0</v>
      </c>
      <c r="AK504" s="313"/>
      <c r="AL504" s="313"/>
      <c r="AM504" s="313"/>
      <c r="AO504" s="385"/>
      <c r="AP504" s="1055"/>
      <c r="AQ504" s="385"/>
      <c r="AR504" s="1048"/>
      <c r="AS504" s="385"/>
      <c r="AT504" s="879">
        <f t="shared" ca="1" si="356"/>
        <v>0</v>
      </c>
      <c r="AU504" s="879">
        <f ca="1">COUNTIFS(AT$7:$AT504,1)</f>
        <v>6</v>
      </c>
    </row>
    <row r="505" spans="1:47" ht="12.75" hidden="1" customHeight="1">
      <c r="A505" s="1269"/>
      <c r="B505" s="1738" t="s">
        <v>159</v>
      </c>
      <c r="C505" s="313" t="s">
        <v>219</v>
      </c>
      <c r="E505" s="363"/>
      <c r="F505" s="363" t="str">
        <f ca="1">input!F872</f>
        <v>N</v>
      </c>
      <c r="G505" s="363"/>
      <c r="H505" s="313">
        <f ca="1">IF(F505="PCS",$E$4,SUMIFS(Paper!$AC$7:$AC$58,Paper!$A$7:$A$58,'Production cost'!F505))</f>
        <v>0</v>
      </c>
      <c r="I505" s="313">
        <f ca="1">IF(input!$G872&gt;0,input!$G872,1200)</f>
        <v>1200</v>
      </c>
      <c r="J505" s="313" t="str">
        <f>input!$H872</f>
        <v>Sheets</v>
      </c>
      <c r="K505" s="360">
        <v>0</v>
      </c>
      <c r="L505" s="313">
        <f ca="1">IF(input!$I872&gt;0,input!$I872,8)</f>
        <v>8</v>
      </c>
      <c r="M505" s="391">
        <f t="shared" ca="1" si="365"/>
        <v>0</v>
      </c>
      <c r="N505" s="391">
        <f t="shared" ca="1" si="366"/>
        <v>0</v>
      </c>
      <c r="P505" s="313">
        <f>Data!$N$1153</f>
        <v>64591.331280067061</v>
      </c>
      <c r="Q505" s="313">
        <f t="shared" ca="1" si="367"/>
        <v>0</v>
      </c>
      <c r="R505" s="313">
        <f t="shared" ca="1" si="368"/>
        <v>0</v>
      </c>
      <c r="S505" s="1741">
        <f t="shared" ca="1" si="369"/>
        <v>0</v>
      </c>
      <c r="T505" s="313" t="str">
        <f ca="1">input!J872</f>
        <v>N</v>
      </c>
      <c r="V505" s="3115" t="str">
        <f>input!K872</f>
        <v>Assembly</v>
      </c>
      <c r="W505" s="3115">
        <f t="shared" ca="1" si="370"/>
        <v>0</v>
      </c>
      <c r="X505" s="3119">
        <f>VLOOKUP(V505,'Fix Cost'!$K$177:$M$179,2,0)</f>
        <v>32032.115313968527</v>
      </c>
      <c r="Y505" s="3119">
        <f>VLOOKUP(V505,'Fix Cost'!$K$177:$M$179,3,0)</f>
        <v>267567.54920876794</v>
      </c>
      <c r="Z505" s="3119">
        <f t="shared" ca="1" si="371"/>
        <v>0</v>
      </c>
      <c r="AA505" s="3115">
        <f t="shared" ca="1" si="372"/>
        <v>0</v>
      </c>
      <c r="AB505" s="3115">
        <f t="shared" ca="1" si="373"/>
        <v>0</v>
      </c>
      <c r="AK505" s="313"/>
      <c r="AL505" s="313"/>
      <c r="AM505" s="313"/>
      <c r="AO505" s="385"/>
      <c r="AP505" s="1055"/>
      <c r="AQ505" s="385"/>
      <c r="AR505" s="1048"/>
      <c r="AS505" s="385"/>
      <c r="AT505" s="879">
        <f t="shared" ca="1" si="356"/>
        <v>0</v>
      </c>
      <c r="AU505" s="879">
        <f ca="1">COUNTIFS(AT$7:$AT505,1)</f>
        <v>6</v>
      </c>
    </row>
    <row r="506" spans="1:47" ht="12.75" hidden="1" customHeight="1">
      <c r="A506" s="1269"/>
      <c r="B506" s="1738" t="s">
        <v>159</v>
      </c>
      <c r="C506" s="313" t="s">
        <v>219</v>
      </c>
      <c r="E506" s="363"/>
      <c r="F506" s="363" t="str">
        <f ca="1">input!F873</f>
        <v>N</v>
      </c>
      <c r="G506" s="363"/>
      <c r="H506" s="313">
        <f ca="1">IF(F506="PCS",$E$4,SUMIFS(Paper!$AC$7:$AC$58,Paper!$A$7:$A$58,'Production cost'!F506))</f>
        <v>0</v>
      </c>
      <c r="I506" s="313">
        <f ca="1">IF(input!$G873&gt;0,input!$G873,1200)</f>
        <v>1200</v>
      </c>
      <c r="J506" s="313" t="str">
        <f>input!$H873</f>
        <v>Sheets</v>
      </c>
      <c r="K506" s="360">
        <v>0</v>
      </c>
      <c r="L506" s="313">
        <f ca="1">IF(input!$I873&gt;0,input!$I873,8)</f>
        <v>8</v>
      </c>
      <c r="M506" s="391">
        <f t="shared" ref="M506:M515" ca="1" si="374">IF(H506&gt;0,20/60,0)</f>
        <v>0</v>
      </c>
      <c r="N506" s="391">
        <f t="shared" ref="N506:N515" ca="1" si="375">IF(H506&gt;0,ROUNDUP(((H506/I506)/$M$5+M506),1),0)</f>
        <v>0</v>
      </c>
      <c r="P506" s="313">
        <f>Data!$N$1153</f>
        <v>64591.331280067061</v>
      </c>
      <c r="Q506" s="313">
        <f t="shared" ca="1" si="367"/>
        <v>0</v>
      </c>
      <c r="R506" s="313">
        <f t="shared" ref="R506:R515" ca="1" si="376">IF($E$2&gt;0,Q506/$E$2,0)</f>
        <v>0</v>
      </c>
      <c r="S506" s="1741">
        <f t="shared" ref="S506:S515" ca="1" si="377">IF(M506&gt;0,K506*O506+L506*P506,0)</f>
        <v>0</v>
      </c>
      <c r="T506" s="313" t="str">
        <f ca="1">input!J873</f>
        <v>N</v>
      </c>
      <c r="V506" s="3115" t="str">
        <f>input!K873</f>
        <v>Assembly</v>
      </c>
      <c r="W506" s="3115">
        <f t="shared" ref="W506:W515" ca="1" si="378">N506*(L506+K506)</f>
        <v>0</v>
      </c>
      <c r="X506" s="3119">
        <f>VLOOKUP(V506,'Fix Cost'!$K$177:$M$179,2,0)</f>
        <v>32032.115313968527</v>
      </c>
      <c r="Y506" s="3119">
        <f>VLOOKUP(V506,'Fix Cost'!$K$177:$M$179,3,0)</f>
        <v>267567.54920876794</v>
      </c>
      <c r="Z506" s="3119">
        <f t="shared" ref="Z506:Z515" ca="1" si="379">IFERROR($X506*W506,0)</f>
        <v>0</v>
      </c>
      <c r="AA506" s="3115">
        <f t="shared" ref="AA506:AA515" ca="1" si="380">IFERROR(Y506*N506,0)</f>
        <v>0</v>
      </c>
      <c r="AB506" s="3115">
        <f t="shared" ref="AB506:AB515" ca="1" si="381">Z506+AA506</f>
        <v>0</v>
      </c>
      <c r="AK506" s="313"/>
      <c r="AL506" s="313"/>
      <c r="AM506" s="313"/>
      <c r="AO506" s="385"/>
      <c r="AP506" s="1055"/>
      <c r="AQ506" s="385"/>
      <c r="AR506" s="1048"/>
      <c r="AS506" s="385"/>
      <c r="AT506" s="879">
        <f t="shared" ca="1" si="356"/>
        <v>0</v>
      </c>
      <c r="AU506" s="879">
        <f ca="1">COUNTIFS(AT$7:$AT506,1)</f>
        <v>6</v>
      </c>
    </row>
    <row r="507" spans="1:47" ht="12.75" hidden="1" customHeight="1">
      <c r="A507" s="1269"/>
      <c r="B507" s="1738" t="s">
        <v>159</v>
      </c>
      <c r="C507" s="313" t="s">
        <v>219</v>
      </c>
      <c r="E507" s="363"/>
      <c r="F507" s="363" t="str">
        <f ca="1">input!F874</f>
        <v>N</v>
      </c>
      <c r="G507" s="363"/>
      <c r="H507" s="313">
        <f ca="1">IF(F507="PCS",$E$4,SUMIFS(Paper!$AC$7:$AC$58,Paper!$A$7:$A$58,'Production cost'!F507))</f>
        <v>0</v>
      </c>
      <c r="I507" s="313">
        <f ca="1">IF(input!$G874&gt;0,input!$G874,1200)</f>
        <v>1200</v>
      </c>
      <c r="J507" s="313" t="str">
        <f>input!$H874</f>
        <v>Sheets</v>
      </c>
      <c r="K507" s="360">
        <v>0</v>
      </c>
      <c r="L507" s="313">
        <f ca="1">IF(input!$I874&gt;0,input!$I874,8)</f>
        <v>8</v>
      </c>
      <c r="M507" s="391">
        <f t="shared" ca="1" si="374"/>
        <v>0</v>
      </c>
      <c r="N507" s="391">
        <f t="shared" ca="1" si="375"/>
        <v>0</v>
      </c>
      <c r="P507" s="313">
        <f>Data!$N$1153</f>
        <v>64591.331280067061</v>
      </c>
      <c r="Q507" s="313">
        <f t="shared" ca="1" si="367"/>
        <v>0</v>
      </c>
      <c r="R507" s="313">
        <f t="shared" ca="1" si="376"/>
        <v>0</v>
      </c>
      <c r="S507" s="1741">
        <f t="shared" ca="1" si="377"/>
        <v>0</v>
      </c>
      <c r="T507" s="313" t="str">
        <f ca="1">input!J874</f>
        <v>N</v>
      </c>
      <c r="V507" s="3115" t="str">
        <f>input!K874</f>
        <v>Assembly</v>
      </c>
      <c r="W507" s="3115">
        <f t="shared" ca="1" si="378"/>
        <v>0</v>
      </c>
      <c r="X507" s="3119">
        <f>VLOOKUP(V507,'Fix Cost'!$K$177:$M$179,2,0)</f>
        <v>32032.115313968527</v>
      </c>
      <c r="Y507" s="3119">
        <f>VLOOKUP(V507,'Fix Cost'!$K$177:$M$179,3,0)</f>
        <v>267567.54920876794</v>
      </c>
      <c r="Z507" s="3119">
        <f t="shared" ca="1" si="379"/>
        <v>0</v>
      </c>
      <c r="AA507" s="3115">
        <f t="shared" ca="1" si="380"/>
        <v>0</v>
      </c>
      <c r="AB507" s="3115">
        <f t="shared" ca="1" si="381"/>
        <v>0</v>
      </c>
      <c r="AK507" s="313"/>
      <c r="AL507" s="313"/>
      <c r="AM507" s="313"/>
      <c r="AO507" s="385"/>
      <c r="AP507" s="1055"/>
      <c r="AQ507" s="385"/>
      <c r="AR507" s="1048"/>
      <c r="AS507" s="385"/>
      <c r="AT507" s="879">
        <f t="shared" ca="1" si="356"/>
        <v>0</v>
      </c>
      <c r="AU507" s="879">
        <f ca="1">COUNTIFS(AT$7:$AT507,1)</f>
        <v>6</v>
      </c>
    </row>
    <row r="508" spans="1:47" ht="12.75" hidden="1" customHeight="1">
      <c r="A508" s="1269"/>
      <c r="B508" s="1738" t="s">
        <v>159</v>
      </c>
      <c r="C508" s="313" t="s">
        <v>219</v>
      </c>
      <c r="E508" s="363"/>
      <c r="F508" s="363" t="str">
        <f ca="1">input!F875</f>
        <v>N</v>
      </c>
      <c r="G508" s="363"/>
      <c r="H508" s="313">
        <f ca="1">IF(F508="PCS",$E$4,SUMIFS(Paper!$AC$7:$AC$58,Paper!$A$7:$A$58,'Production cost'!F508))</f>
        <v>0</v>
      </c>
      <c r="I508" s="313">
        <f ca="1">IF(input!$G875&gt;0,input!$G875,1200)</f>
        <v>1200</v>
      </c>
      <c r="J508" s="313" t="str">
        <f>input!$H875</f>
        <v>Sheets</v>
      </c>
      <c r="K508" s="360">
        <v>0</v>
      </c>
      <c r="L508" s="313">
        <f ca="1">IF(input!$I875&gt;0,input!$I875,8)</f>
        <v>8</v>
      </c>
      <c r="M508" s="391">
        <f t="shared" ca="1" si="374"/>
        <v>0</v>
      </c>
      <c r="N508" s="391">
        <f t="shared" ca="1" si="375"/>
        <v>0</v>
      </c>
      <c r="P508" s="313">
        <f>Data!$N$1153</f>
        <v>64591.331280067061</v>
      </c>
      <c r="Q508" s="313">
        <f t="shared" ca="1" si="367"/>
        <v>0</v>
      </c>
      <c r="R508" s="313">
        <f t="shared" ca="1" si="376"/>
        <v>0</v>
      </c>
      <c r="S508" s="1741">
        <f t="shared" ca="1" si="377"/>
        <v>0</v>
      </c>
      <c r="T508" s="313" t="str">
        <f ca="1">input!J875</f>
        <v>N</v>
      </c>
      <c r="V508" s="3115" t="str">
        <f>input!K875</f>
        <v>Assembly</v>
      </c>
      <c r="W508" s="3115">
        <f t="shared" ca="1" si="378"/>
        <v>0</v>
      </c>
      <c r="X508" s="3119">
        <f>VLOOKUP(V508,'Fix Cost'!$K$177:$M$179,2,0)</f>
        <v>32032.115313968527</v>
      </c>
      <c r="Y508" s="3119">
        <f>VLOOKUP(V508,'Fix Cost'!$K$177:$M$179,3,0)</f>
        <v>267567.54920876794</v>
      </c>
      <c r="Z508" s="3119">
        <f t="shared" ca="1" si="379"/>
        <v>0</v>
      </c>
      <c r="AA508" s="3115">
        <f t="shared" ca="1" si="380"/>
        <v>0</v>
      </c>
      <c r="AB508" s="3115">
        <f t="shared" ca="1" si="381"/>
        <v>0</v>
      </c>
      <c r="AK508" s="313"/>
      <c r="AL508" s="313"/>
      <c r="AM508" s="313"/>
      <c r="AO508" s="385"/>
      <c r="AP508" s="1055"/>
      <c r="AQ508" s="385"/>
      <c r="AR508" s="1048"/>
      <c r="AS508" s="385"/>
      <c r="AT508" s="879">
        <f t="shared" ca="1" si="356"/>
        <v>0</v>
      </c>
      <c r="AU508" s="879">
        <f ca="1">COUNTIFS(AT$7:$AT508,1)</f>
        <v>6</v>
      </c>
    </row>
    <row r="509" spans="1:47" ht="12.75" hidden="1" customHeight="1">
      <c r="A509" s="1269"/>
      <c r="B509" s="1738" t="s">
        <v>159</v>
      </c>
      <c r="C509" s="313" t="s">
        <v>219</v>
      </c>
      <c r="E509" s="363"/>
      <c r="F509" s="363" t="str">
        <f ca="1">input!F876</f>
        <v>N</v>
      </c>
      <c r="G509" s="363"/>
      <c r="H509" s="313">
        <f ca="1">IF(F509="PCS",$E$4,SUMIFS(Paper!$AC$7:$AC$58,Paper!$A$7:$A$58,'Production cost'!F509))</f>
        <v>0</v>
      </c>
      <c r="I509" s="313">
        <f ca="1">IF(input!$G876&gt;0,input!$G876,1200)</f>
        <v>1200</v>
      </c>
      <c r="J509" s="313" t="str">
        <f>input!$H876</f>
        <v>Sheets</v>
      </c>
      <c r="K509" s="360">
        <v>0</v>
      </c>
      <c r="L509" s="313">
        <f ca="1">IF(input!$I876&gt;0,input!$I876,8)</f>
        <v>8</v>
      </c>
      <c r="M509" s="391">
        <f t="shared" ca="1" si="374"/>
        <v>0</v>
      </c>
      <c r="N509" s="391">
        <f t="shared" ca="1" si="375"/>
        <v>0</v>
      </c>
      <c r="P509" s="313">
        <f>Data!$N$1153</f>
        <v>64591.331280067061</v>
      </c>
      <c r="Q509" s="313">
        <f t="shared" ca="1" si="367"/>
        <v>0</v>
      </c>
      <c r="R509" s="313">
        <f t="shared" ca="1" si="376"/>
        <v>0</v>
      </c>
      <c r="S509" s="1741">
        <f t="shared" ca="1" si="377"/>
        <v>0</v>
      </c>
      <c r="T509" s="313" t="str">
        <f ca="1">input!J876</f>
        <v>N</v>
      </c>
      <c r="V509" s="3115" t="str">
        <f>input!K876</f>
        <v>Assembly</v>
      </c>
      <c r="W509" s="3115">
        <f t="shared" ca="1" si="378"/>
        <v>0</v>
      </c>
      <c r="X509" s="3119">
        <f>VLOOKUP(V509,'Fix Cost'!$K$177:$M$179,2,0)</f>
        <v>32032.115313968527</v>
      </c>
      <c r="Y509" s="3119">
        <f>VLOOKUP(V509,'Fix Cost'!$K$177:$M$179,3,0)</f>
        <v>267567.54920876794</v>
      </c>
      <c r="Z509" s="3119">
        <f t="shared" ca="1" si="379"/>
        <v>0</v>
      </c>
      <c r="AA509" s="3115">
        <f t="shared" ca="1" si="380"/>
        <v>0</v>
      </c>
      <c r="AB509" s="3115">
        <f t="shared" ca="1" si="381"/>
        <v>0</v>
      </c>
      <c r="AK509" s="313"/>
      <c r="AL509" s="313"/>
      <c r="AM509" s="313"/>
      <c r="AO509" s="385"/>
      <c r="AP509" s="1055"/>
      <c r="AQ509" s="385"/>
      <c r="AR509" s="1048"/>
      <c r="AS509" s="385"/>
      <c r="AT509" s="879">
        <f t="shared" ca="1" si="356"/>
        <v>0</v>
      </c>
      <c r="AU509" s="879">
        <f ca="1">COUNTIFS(AT$7:$AT509,1)</f>
        <v>6</v>
      </c>
    </row>
    <row r="510" spans="1:47" ht="12.75" hidden="1" customHeight="1">
      <c r="A510" s="1269"/>
      <c r="B510" s="1738" t="s">
        <v>159</v>
      </c>
      <c r="C510" s="313" t="s">
        <v>219</v>
      </c>
      <c r="E510" s="363"/>
      <c r="F510" s="363" t="str">
        <f ca="1">input!F877</f>
        <v>N</v>
      </c>
      <c r="G510" s="363"/>
      <c r="H510" s="313">
        <f ca="1">IF(F510="PCS",$E$4,SUMIFS(Paper!$AC$7:$AC$58,Paper!$A$7:$A$58,'Production cost'!F510))</f>
        <v>0</v>
      </c>
      <c r="I510" s="313">
        <f ca="1">IF(input!$G877&gt;0,input!$G877,1200)</f>
        <v>1200</v>
      </c>
      <c r="J510" s="313" t="str">
        <f>input!$H877</f>
        <v>Sheets</v>
      </c>
      <c r="K510" s="360">
        <v>0</v>
      </c>
      <c r="L510" s="313">
        <f ca="1">IF(input!$I877&gt;0,input!$I877,8)</f>
        <v>8</v>
      </c>
      <c r="M510" s="391">
        <f t="shared" ca="1" si="374"/>
        <v>0</v>
      </c>
      <c r="N510" s="391">
        <f t="shared" ca="1" si="375"/>
        <v>0</v>
      </c>
      <c r="P510" s="313">
        <f>Data!$N$1153</f>
        <v>64591.331280067061</v>
      </c>
      <c r="Q510" s="313">
        <f t="shared" ca="1" si="367"/>
        <v>0</v>
      </c>
      <c r="R510" s="313">
        <f t="shared" ca="1" si="376"/>
        <v>0</v>
      </c>
      <c r="S510" s="1741">
        <f t="shared" ca="1" si="377"/>
        <v>0</v>
      </c>
      <c r="T510" s="313" t="str">
        <f ca="1">input!J877</f>
        <v>N</v>
      </c>
      <c r="V510" s="3115" t="str">
        <f>input!K877</f>
        <v>Assembly</v>
      </c>
      <c r="W510" s="3115">
        <f t="shared" ca="1" si="378"/>
        <v>0</v>
      </c>
      <c r="X510" s="3119">
        <f>VLOOKUP(V510,'Fix Cost'!$K$177:$M$179,2,0)</f>
        <v>32032.115313968527</v>
      </c>
      <c r="Y510" s="3119">
        <f>VLOOKUP(V510,'Fix Cost'!$K$177:$M$179,3,0)</f>
        <v>267567.54920876794</v>
      </c>
      <c r="Z510" s="3119">
        <f t="shared" ca="1" si="379"/>
        <v>0</v>
      </c>
      <c r="AA510" s="3115">
        <f t="shared" ca="1" si="380"/>
        <v>0</v>
      </c>
      <c r="AB510" s="3115">
        <f t="shared" ca="1" si="381"/>
        <v>0</v>
      </c>
      <c r="AK510" s="313"/>
      <c r="AL510" s="313"/>
      <c r="AM510" s="313"/>
      <c r="AO510" s="385"/>
      <c r="AP510" s="1055"/>
      <c r="AQ510" s="385"/>
      <c r="AR510" s="1048"/>
      <c r="AS510" s="385"/>
      <c r="AT510" s="879">
        <f t="shared" ca="1" si="356"/>
        <v>0</v>
      </c>
      <c r="AU510" s="879">
        <f ca="1">COUNTIFS(AT$7:$AT510,1)</f>
        <v>6</v>
      </c>
    </row>
    <row r="511" spans="1:47" ht="12.75" hidden="1" customHeight="1">
      <c r="A511" s="1269"/>
      <c r="B511" s="1738" t="s">
        <v>159</v>
      </c>
      <c r="C511" s="313" t="s">
        <v>219</v>
      </c>
      <c r="E511" s="363"/>
      <c r="F511" s="363" t="str">
        <f ca="1">input!F878</f>
        <v>N</v>
      </c>
      <c r="G511" s="363"/>
      <c r="H511" s="313">
        <f ca="1">IF(F511="PCS",$E$4,SUMIFS(Paper!$AC$7:$AC$58,Paper!$A$7:$A$58,'Production cost'!F511))</f>
        <v>0</v>
      </c>
      <c r="I511" s="313">
        <f ca="1">IF(input!$G878&gt;0,input!$G878,1200)</f>
        <v>1200</v>
      </c>
      <c r="J511" s="313" t="str">
        <f>input!$H878</f>
        <v>Sheets</v>
      </c>
      <c r="K511" s="360">
        <v>0</v>
      </c>
      <c r="L511" s="313">
        <f ca="1">IF(input!$I878&gt;0,input!$I878,8)</f>
        <v>8</v>
      </c>
      <c r="M511" s="391">
        <f t="shared" ca="1" si="374"/>
        <v>0</v>
      </c>
      <c r="N511" s="391">
        <f t="shared" ca="1" si="375"/>
        <v>0</v>
      </c>
      <c r="P511" s="313">
        <f>Data!$N$1153</f>
        <v>64591.331280067061</v>
      </c>
      <c r="Q511" s="313">
        <f t="shared" ca="1" si="367"/>
        <v>0</v>
      </c>
      <c r="R511" s="313">
        <f t="shared" ca="1" si="376"/>
        <v>0</v>
      </c>
      <c r="S511" s="1741">
        <f t="shared" ca="1" si="377"/>
        <v>0</v>
      </c>
      <c r="T511" s="313" t="str">
        <f ca="1">input!J878</f>
        <v>N</v>
      </c>
      <c r="V511" s="3115" t="str">
        <f>input!K878</f>
        <v>Assembly</v>
      </c>
      <c r="W511" s="3115">
        <f t="shared" ca="1" si="378"/>
        <v>0</v>
      </c>
      <c r="X511" s="3119">
        <f>VLOOKUP(V511,'Fix Cost'!$K$177:$M$179,2,0)</f>
        <v>32032.115313968527</v>
      </c>
      <c r="Y511" s="3119">
        <f>VLOOKUP(V511,'Fix Cost'!$K$177:$M$179,3,0)</f>
        <v>267567.54920876794</v>
      </c>
      <c r="Z511" s="3119">
        <f t="shared" ca="1" si="379"/>
        <v>0</v>
      </c>
      <c r="AA511" s="3115">
        <f t="shared" ca="1" si="380"/>
        <v>0</v>
      </c>
      <c r="AB511" s="3115">
        <f t="shared" ca="1" si="381"/>
        <v>0</v>
      </c>
      <c r="AK511" s="313"/>
      <c r="AL511" s="313"/>
      <c r="AM511" s="313"/>
      <c r="AO511" s="385"/>
      <c r="AP511" s="1055"/>
      <c r="AQ511" s="385"/>
      <c r="AR511" s="1048"/>
      <c r="AS511" s="385"/>
      <c r="AT511" s="879">
        <f t="shared" ca="1" si="356"/>
        <v>0</v>
      </c>
      <c r="AU511" s="879">
        <f ca="1">COUNTIFS(AT$7:$AT511,1)</f>
        <v>6</v>
      </c>
    </row>
    <row r="512" spans="1:47" ht="12.75" hidden="1" customHeight="1">
      <c r="A512" s="1269"/>
      <c r="B512" s="1738" t="s">
        <v>159</v>
      </c>
      <c r="C512" s="313" t="s">
        <v>219</v>
      </c>
      <c r="E512" s="363"/>
      <c r="F512" s="363" t="str">
        <f ca="1">input!F879</f>
        <v>N</v>
      </c>
      <c r="G512" s="363"/>
      <c r="H512" s="313">
        <f ca="1">IF(F512="PCS",$E$4,SUMIFS(Paper!$AC$7:$AC$58,Paper!$A$7:$A$58,'Production cost'!F512))</f>
        <v>0</v>
      </c>
      <c r="I512" s="313">
        <f ca="1">IF(input!$G879&gt;0,input!$G879,1200)</f>
        <v>1200</v>
      </c>
      <c r="J512" s="313" t="str">
        <f>input!$H879</f>
        <v>Sheets</v>
      </c>
      <c r="K512" s="360">
        <v>0</v>
      </c>
      <c r="L512" s="313">
        <f ca="1">IF(input!$I879&gt;0,input!$I879,8)</f>
        <v>8</v>
      </c>
      <c r="M512" s="391">
        <f t="shared" ca="1" si="374"/>
        <v>0</v>
      </c>
      <c r="N512" s="391">
        <f t="shared" ca="1" si="375"/>
        <v>0</v>
      </c>
      <c r="P512" s="313">
        <f>Data!$N$1153</f>
        <v>64591.331280067061</v>
      </c>
      <c r="Q512" s="313">
        <f t="shared" ca="1" si="367"/>
        <v>0</v>
      </c>
      <c r="R512" s="313">
        <f t="shared" ca="1" si="376"/>
        <v>0</v>
      </c>
      <c r="S512" s="1741">
        <f t="shared" ca="1" si="377"/>
        <v>0</v>
      </c>
      <c r="T512" s="313" t="str">
        <f ca="1">input!J879</f>
        <v>N</v>
      </c>
      <c r="V512" s="3115" t="str">
        <f>input!K879</f>
        <v>Assembly</v>
      </c>
      <c r="W512" s="3115">
        <f t="shared" ca="1" si="378"/>
        <v>0</v>
      </c>
      <c r="X512" s="3119">
        <f>VLOOKUP(V512,'Fix Cost'!$K$177:$M$179,2,0)</f>
        <v>32032.115313968527</v>
      </c>
      <c r="Y512" s="3119">
        <f>VLOOKUP(V512,'Fix Cost'!$K$177:$M$179,3,0)</f>
        <v>267567.54920876794</v>
      </c>
      <c r="Z512" s="3119">
        <f t="shared" ca="1" si="379"/>
        <v>0</v>
      </c>
      <c r="AA512" s="3115">
        <f t="shared" ca="1" si="380"/>
        <v>0</v>
      </c>
      <c r="AB512" s="3115">
        <f t="shared" ca="1" si="381"/>
        <v>0</v>
      </c>
      <c r="AK512" s="313"/>
      <c r="AL512" s="313"/>
      <c r="AM512" s="313"/>
      <c r="AO512" s="385"/>
      <c r="AP512" s="1055"/>
      <c r="AQ512" s="385"/>
      <c r="AR512" s="1048"/>
      <c r="AS512" s="385"/>
      <c r="AT512" s="879">
        <f t="shared" ca="1" si="356"/>
        <v>0</v>
      </c>
      <c r="AU512" s="879">
        <f ca="1">COUNTIFS(AT$7:$AT512,1)</f>
        <v>6</v>
      </c>
    </row>
    <row r="513" spans="1:47" ht="12.75" hidden="1" customHeight="1">
      <c r="A513" s="1269"/>
      <c r="B513" s="1738" t="s">
        <v>159</v>
      </c>
      <c r="C513" s="313" t="s">
        <v>219</v>
      </c>
      <c r="E513" s="363"/>
      <c r="F513" s="363" t="str">
        <f ca="1">input!F880</f>
        <v>N</v>
      </c>
      <c r="G513" s="363"/>
      <c r="H513" s="313">
        <f ca="1">IF(F513="PCS",$E$4,SUMIFS(Paper!$AC$7:$AC$58,Paper!$A$7:$A$58,'Production cost'!F513))</f>
        <v>0</v>
      </c>
      <c r="I513" s="313">
        <f ca="1">IF(input!$G880&gt;0,input!$G880,1200)</f>
        <v>1200</v>
      </c>
      <c r="J513" s="313" t="str">
        <f>input!$H880</f>
        <v>Sheets</v>
      </c>
      <c r="K513" s="360">
        <v>0</v>
      </c>
      <c r="L513" s="313">
        <f ca="1">IF(input!$I880&gt;0,input!$I880,8)</f>
        <v>8</v>
      </c>
      <c r="M513" s="391">
        <f t="shared" ca="1" si="374"/>
        <v>0</v>
      </c>
      <c r="N513" s="391">
        <f t="shared" ca="1" si="375"/>
        <v>0</v>
      </c>
      <c r="P513" s="313">
        <f>Data!$N$1153</f>
        <v>64591.331280067061</v>
      </c>
      <c r="Q513" s="313">
        <f t="shared" ca="1" si="367"/>
        <v>0</v>
      </c>
      <c r="R513" s="313">
        <f t="shared" ca="1" si="376"/>
        <v>0</v>
      </c>
      <c r="S513" s="1741">
        <f t="shared" ca="1" si="377"/>
        <v>0</v>
      </c>
      <c r="T513" s="313" t="str">
        <f ca="1">input!J880</f>
        <v>N</v>
      </c>
      <c r="V513" s="3115" t="str">
        <f>input!K880</f>
        <v>Assembly</v>
      </c>
      <c r="W513" s="3115">
        <f t="shared" ca="1" si="378"/>
        <v>0</v>
      </c>
      <c r="X513" s="3119">
        <f>VLOOKUP(V513,'Fix Cost'!$K$177:$M$179,2,0)</f>
        <v>32032.115313968527</v>
      </c>
      <c r="Y513" s="3119">
        <f>VLOOKUP(V513,'Fix Cost'!$K$177:$M$179,3,0)</f>
        <v>267567.54920876794</v>
      </c>
      <c r="Z513" s="3119">
        <f t="shared" ca="1" si="379"/>
        <v>0</v>
      </c>
      <c r="AA513" s="3115">
        <f t="shared" ca="1" si="380"/>
        <v>0</v>
      </c>
      <c r="AB513" s="3115">
        <f t="shared" ca="1" si="381"/>
        <v>0</v>
      </c>
      <c r="AK513" s="313"/>
      <c r="AL513" s="313"/>
      <c r="AM513" s="313"/>
      <c r="AO513" s="385"/>
      <c r="AP513" s="1055"/>
      <c r="AQ513" s="385"/>
      <c r="AR513" s="1048"/>
      <c r="AS513" s="385"/>
      <c r="AT513" s="879">
        <f t="shared" ca="1" si="356"/>
        <v>0</v>
      </c>
      <c r="AU513" s="879">
        <f ca="1">COUNTIFS(AT$7:$AT513,1)</f>
        <v>6</v>
      </c>
    </row>
    <row r="514" spans="1:47" ht="12.75" hidden="1" customHeight="1">
      <c r="A514" s="1269"/>
      <c r="B514" s="1738" t="s">
        <v>159</v>
      </c>
      <c r="C514" s="313" t="s">
        <v>219</v>
      </c>
      <c r="E514" s="363"/>
      <c r="F514" s="363" t="str">
        <f ca="1">input!F881</f>
        <v>N</v>
      </c>
      <c r="G514" s="363"/>
      <c r="H514" s="313">
        <f ca="1">IF(F514="PCS",$E$4,SUMIFS(Paper!$AC$7:$AC$58,Paper!$A$7:$A$58,'Production cost'!F514))</f>
        <v>0</v>
      </c>
      <c r="I514" s="313">
        <f ca="1">IF(input!$G881&gt;0,input!$G881,1200)</f>
        <v>1200</v>
      </c>
      <c r="J514" s="313" t="str">
        <f>input!$H881</f>
        <v>Sheets</v>
      </c>
      <c r="K514" s="360">
        <v>0</v>
      </c>
      <c r="L514" s="313">
        <f ca="1">IF(input!$I881&gt;0,input!$I881,8)</f>
        <v>8</v>
      </c>
      <c r="M514" s="391">
        <f t="shared" ca="1" si="374"/>
        <v>0</v>
      </c>
      <c r="N514" s="391">
        <f t="shared" ca="1" si="375"/>
        <v>0</v>
      </c>
      <c r="P514" s="313">
        <f>Data!$N$1153</f>
        <v>64591.331280067061</v>
      </c>
      <c r="Q514" s="313">
        <f t="shared" ca="1" si="367"/>
        <v>0</v>
      </c>
      <c r="R514" s="313">
        <f t="shared" ca="1" si="376"/>
        <v>0</v>
      </c>
      <c r="S514" s="1741">
        <f t="shared" ca="1" si="377"/>
        <v>0</v>
      </c>
      <c r="T514" s="313" t="str">
        <f ca="1">input!J881</f>
        <v>N</v>
      </c>
      <c r="V514" s="3115" t="str">
        <f>input!K881</f>
        <v>Assembly</v>
      </c>
      <c r="W514" s="3115">
        <f t="shared" ca="1" si="378"/>
        <v>0</v>
      </c>
      <c r="X514" s="3119">
        <f>VLOOKUP(V514,'Fix Cost'!$K$177:$M$179,2,0)</f>
        <v>32032.115313968527</v>
      </c>
      <c r="Y514" s="3119">
        <f>VLOOKUP(V514,'Fix Cost'!$K$177:$M$179,3,0)</f>
        <v>267567.54920876794</v>
      </c>
      <c r="Z514" s="3119">
        <f t="shared" ca="1" si="379"/>
        <v>0</v>
      </c>
      <c r="AA514" s="3115">
        <f t="shared" ca="1" si="380"/>
        <v>0</v>
      </c>
      <c r="AB514" s="3115">
        <f t="shared" ca="1" si="381"/>
        <v>0</v>
      </c>
      <c r="AK514" s="313"/>
      <c r="AL514" s="313"/>
      <c r="AM514" s="313"/>
      <c r="AO514" s="385"/>
      <c r="AP514" s="1055"/>
      <c r="AQ514" s="385"/>
      <c r="AR514" s="1048"/>
      <c r="AS514" s="385"/>
      <c r="AT514" s="879">
        <f t="shared" ca="1" si="356"/>
        <v>0</v>
      </c>
      <c r="AU514" s="879">
        <f ca="1">COUNTIFS(AT$7:$AT514,1)</f>
        <v>6</v>
      </c>
    </row>
    <row r="515" spans="1:47" ht="12.75" hidden="1" customHeight="1">
      <c r="A515" s="1269"/>
      <c r="B515" s="1738" t="s">
        <v>159</v>
      </c>
      <c r="C515" s="313" t="s">
        <v>219</v>
      </c>
      <c r="E515" s="363"/>
      <c r="F515" s="363" t="str">
        <f ca="1">input!F882</f>
        <v>N</v>
      </c>
      <c r="G515" s="363"/>
      <c r="H515" s="313">
        <f ca="1">IF(F515="PCS",$E$4,SUMIFS(Paper!$AC$7:$AC$58,Paper!$A$7:$A$58,'Production cost'!F515))</f>
        <v>0</v>
      </c>
      <c r="I515" s="313">
        <f ca="1">IF(input!$G882&gt;0,input!$G882,1200)</f>
        <v>1200</v>
      </c>
      <c r="J515" s="313" t="str">
        <f>input!$H882</f>
        <v>Sheets</v>
      </c>
      <c r="K515" s="360">
        <v>0</v>
      </c>
      <c r="L515" s="313">
        <f ca="1">IF(input!$I882&gt;0,input!$I882,8)</f>
        <v>8</v>
      </c>
      <c r="M515" s="391">
        <f t="shared" ca="1" si="374"/>
        <v>0</v>
      </c>
      <c r="N515" s="391">
        <f t="shared" ca="1" si="375"/>
        <v>0</v>
      </c>
      <c r="P515" s="313">
        <f>Data!$N$1153</f>
        <v>64591.331280067061</v>
      </c>
      <c r="Q515" s="313">
        <f t="shared" ca="1" si="367"/>
        <v>0</v>
      </c>
      <c r="R515" s="313">
        <f t="shared" ca="1" si="376"/>
        <v>0</v>
      </c>
      <c r="S515" s="1741">
        <f t="shared" ca="1" si="377"/>
        <v>0</v>
      </c>
      <c r="T515" s="313" t="str">
        <f ca="1">input!J882</f>
        <v>N</v>
      </c>
      <c r="V515" s="3115" t="str">
        <f>input!K882</f>
        <v>Assembly</v>
      </c>
      <c r="W515" s="3115">
        <f t="shared" ca="1" si="378"/>
        <v>0</v>
      </c>
      <c r="X515" s="3119">
        <f>VLOOKUP(V515,'Fix Cost'!$K$177:$M$179,2,0)</f>
        <v>32032.115313968527</v>
      </c>
      <c r="Y515" s="3119">
        <f>VLOOKUP(V515,'Fix Cost'!$K$177:$M$179,3,0)</f>
        <v>267567.54920876794</v>
      </c>
      <c r="Z515" s="3119">
        <f t="shared" ca="1" si="379"/>
        <v>0</v>
      </c>
      <c r="AA515" s="3115">
        <f t="shared" ca="1" si="380"/>
        <v>0</v>
      </c>
      <c r="AB515" s="3115">
        <f t="shared" ca="1" si="381"/>
        <v>0</v>
      </c>
      <c r="AK515" s="313"/>
      <c r="AL515" s="313"/>
      <c r="AM515" s="313"/>
      <c r="AO515" s="385"/>
      <c r="AP515" s="1055"/>
      <c r="AQ515" s="385"/>
      <c r="AR515" s="1048"/>
      <c r="AS515" s="385"/>
      <c r="AT515" s="879">
        <f t="shared" ca="1" si="356"/>
        <v>0</v>
      </c>
      <c r="AU515" s="879">
        <f ca="1">COUNTIFS(AT$7:$AT515,1)</f>
        <v>6</v>
      </c>
    </row>
    <row r="516" spans="1:47" ht="12.75" hidden="1" customHeight="1" outlineLevel="1">
      <c r="B516" s="1738" t="s">
        <v>159</v>
      </c>
      <c r="C516" s="313" t="s">
        <v>599</v>
      </c>
      <c r="E516" s="363"/>
      <c r="F516" s="363" t="str">
        <f>input!F883</f>
        <v>N</v>
      </c>
      <c r="G516" s="363"/>
      <c r="H516" s="313">
        <f ca="1">IF(F516="PCS",$E$4,SUMIFS(Paper!$AC$7:$AC$58,Paper!$A$7:$A$58,'Production cost'!F516))</f>
        <v>0</v>
      </c>
      <c r="I516" s="313">
        <f>IF(input!$G883&gt;0,input!$G883,AVERAGE(10000,5000))</f>
        <v>7500</v>
      </c>
      <c r="J516" s="313" t="str">
        <f>input!$H883</f>
        <v>sheets</v>
      </c>
      <c r="K516" s="360">
        <v>0</v>
      </c>
      <c r="L516" s="313">
        <f>IF(input!$I883&gt;0,input!$I883,2)</f>
        <v>2</v>
      </c>
      <c r="M516" s="391">
        <f ca="1">IF(H516&gt;0,30/60,0)</f>
        <v>0</v>
      </c>
      <c r="N516" s="391">
        <f t="shared" ref="N516:N537" ca="1" si="382">IF(H516&gt;0,ROUNDUP(((H516/I516)/$M$5+M516),1),0)</f>
        <v>0</v>
      </c>
      <c r="P516" s="313">
        <f>Data!$N$1153</f>
        <v>64591.331280067061</v>
      </c>
      <c r="Q516" s="313">
        <f t="shared" ca="1" si="367"/>
        <v>0</v>
      </c>
      <c r="R516" s="313">
        <f t="shared" ca="1" si="368"/>
        <v>0</v>
      </c>
      <c r="S516" s="1741">
        <f t="shared" ref="S516:S560" ca="1" si="383">IF(M516&gt;0,K516*O516+L516*P516,0)</f>
        <v>0</v>
      </c>
      <c r="T516" s="313" t="str">
        <f>input!J883</f>
        <v>N</v>
      </c>
      <c r="V516" s="3115" t="str">
        <f>input!K883</f>
        <v>Assembly</v>
      </c>
      <c r="W516" s="3115">
        <f t="shared" ca="1" si="370"/>
        <v>0</v>
      </c>
      <c r="X516" s="3119">
        <f>VLOOKUP(V516,'Fix Cost'!$K$177:$M$179,2,0)</f>
        <v>32032.115313968527</v>
      </c>
      <c r="Y516" s="3119">
        <f>VLOOKUP(V516,'Fix Cost'!$K$177:$M$179,3,0)</f>
        <v>267567.54920876794</v>
      </c>
      <c r="Z516" s="3119">
        <f t="shared" ca="1" si="371"/>
        <v>0</v>
      </c>
      <c r="AA516" s="3115">
        <f t="shared" ca="1" si="372"/>
        <v>0</v>
      </c>
      <c r="AB516" s="3115">
        <f t="shared" ca="1" si="373"/>
        <v>0</v>
      </c>
      <c r="AK516" s="313"/>
      <c r="AL516" s="313"/>
      <c r="AM516" s="313"/>
      <c r="AP516" s="1055"/>
      <c r="AQ516" s="385"/>
      <c r="AR516" s="1048"/>
      <c r="AT516" s="879">
        <f t="shared" ca="1" si="356"/>
        <v>0</v>
      </c>
      <c r="AU516" s="879">
        <f ca="1">COUNTIFS(AT$7:$AT516,1)</f>
        <v>6</v>
      </c>
    </row>
    <row r="517" spans="1:47" ht="12.75" hidden="1" customHeight="1" outlineLevel="1">
      <c r="B517" s="1738" t="s">
        <v>159</v>
      </c>
      <c r="C517" s="313" t="s">
        <v>599</v>
      </c>
      <c r="E517" s="363"/>
      <c r="F517" s="363" t="str">
        <f>input!F884</f>
        <v>N</v>
      </c>
      <c r="G517" s="363"/>
      <c r="H517" s="313">
        <f ca="1">IF(F517="PCS",$E$4,SUMIFS(Paper!$AC$7:$AC$58,Paper!$A$7:$A$58,'Production cost'!F517))</f>
        <v>0</v>
      </c>
      <c r="I517" s="313">
        <f>IF(input!$G884&gt;0,input!$G884,AVERAGE(10000,5000))</f>
        <v>7500</v>
      </c>
      <c r="J517" s="313" t="str">
        <f>input!$H884</f>
        <v>sheets</v>
      </c>
      <c r="K517" s="360">
        <v>0</v>
      </c>
      <c r="L517" s="313">
        <f>IF(input!$I884&gt;0,input!$I884,2)</f>
        <v>2</v>
      </c>
      <c r="M517" s="391">
        <f ca="1">IF(H517&gt;0,30/60,0)</f>
        <v>0</v>
      </c>
      <c r="N517" s="391">
        <f ca="1">IF(H517&gt;0,ROUNDUP(((H517/I517)/$M$5+M517),1),0)</f>
        <v>0</v>
      </c>
      <c r="P517" s="313">
        <f>Data!$N$1153</f>
        <v>64591.331280067061</v>
      </c>
      <c r="Q517" s="313">
        <f t="shared" ca="1" si="367"/>
        <v>0</v>
      </c>
      <c r="R517" s="313">
        <f t="shared" ca="1" si="368"/>
        <v>0</v>
      </c>
      <c r="S517" s="1741">
        <f ca="1">IF(M517&gt;0,K517*O517+L517*P517,0)</f>
        <v>0</v>
      </c>
      <c r="T517" s="313" t="str">
        <f>input!J884</f>
        <v>N</v>
      </c>
      <c r="V517" s="3115" t="str">
        <f>input!K884</f>
        <v>Assembly</v>
      </c>
      <c r="W517" s="3115">
        <f t="shared" ca="1" si="370"/>
        <v>0</v>
      </c>
      <c r="X517" s="3119">
        <f>VLOOKUP(V517,'Fix Cost'!$K$177:$M$179,2,0)</f>
        <v>32032.115313968527</v>
      </c>
      <c r="Y517" s="3119">
        <f>VLOOKUP(V517,'Fix Cost'!$K$177:$M$179,3,0)</f>
        <v>267567.54920876794</v>
      </c>
      <c r="Z517" s="3119">
        <f t="shared" ca="1" si="371"/>
        <v>0</v>
      </c>
      <c r="AA517" s="3115">
        <f t="shared" ca="1" si="372"/>
        <v>0</v>
      </c>
      <c r="AB517" s="3115">
        <f t="shared" ca="1" si="373"/>
        <v>0</v>
      </c>
      <c r="AK517" s="313"/>
      <c r="AL517" s="313"/>
      <c r="AM517" s="313"/>
      <c r="AP517" s="1055"/>
      <c r="AQ517" s="385"/>
      <c r="AR517" s="1048"/>
      <c r="AT517" s="879">
        <f t="shared" ca="1" si="356"/>
        <v>0</v>
      </c>
      <c r="AU517" s="879">
        <f ca="1">COUNTIFS(AT$7:$AT517,1)</f>
        <v>6</v>
      </c>
    </row>
    <row r="518" spans="1:47" ht="12.75" hidden="1" customHeight="1" outlineLevel="1">
      <c r="B518" s="1738" t="s">
        <v>159</v>
      </c>
      <c r="C518" s="313" t="s">
        <v>599</v>
      </c>
      <c r="E518" s="363"/>
      <c r="F518" s="363" t="str">
        <f>input!F885</f>
        <v>N</v>
      </c>
      <c r="G518" s="363"/>
      <c r="H518" s="313">
        <f ca="1">IF(F518="PCS",$E$4,SUMIFS(Paper!$AC$7:$AC$58,Paper!$A$7:$A$58,'Production cost'!F518))</f>
        <v>0</v>
      </c>
      <c r="I518" s="313">
        <f>IF(input!$G885&gt;0,input!$G885,AVERAGE(10000,5000))</f>
        <v>7500</v>
      </c>
      <c r="J518" s="313" t="str">
        <f>input!$H885</f>
        <v>sheets</v>
      </c>
      <c r="K518" s="360">
        <v>0</v>
      </c>
      <c r="L518" s="313">
        <f>IF(input!$I885&gt;0,input!$I885,2)</f>
        <v>2</v>
      </c>
      <c r="M518" s="391">
        <f ca="1">IF(H518&gt;0,30/60,0)</f>
        <v>0</v>
      </c>
      <c r="N518" s="391">
        <f ca="1">IF(H518&gt;0,ROUNDUP(((H518/I518)/$M$5+M518),1),0)</f>
        <v>0</v>
      </c>
      <c r="P518" s="313">
        <f>Data!$N$1153</f>
        <v>64591.331280067061</v>
      </c>
      <c r="Q518" s="313">
        <f t="shared" ca="1" si="367"/>
        <v>0</v>
      </c>
      <c r="R518" s="313">
        <f t="shared" ca="1" si="368"/>
        <v>0</v>
      </c>
      <c r="S518" s="1741">
        <f ca="1">IF(M518&gt;0,K518*O518+L518*P518,0)</f>
        <v>0</v>
      </c>
      <c r="T518" s="313" t="str">
        <f>input!J885</f>
        <v>N</v>
      </c>
      <c r="V518" s="3115" t="str">
        <f>input!K885</f>
        <v>Assembly</v>
      </c>
      <c r="W518" s="3115">
        <f t="shared" ca="1" si="370"/>
        <v>0</v>
      </c>
      <c r="X518" s="3119">
        <f>VLOOKUP(V518,'Fix Cost'!$K$177:$M$179,2,0)</f>
        <v>32032.115313968527</v>
      </c>
      <c r="Y518" s="3119">
        <f>VLOOKUP(V518,'Fix Cost'!$K$177:$M$179,3,0)</f>
        <v>267567.54920876794</v>
      </c>
      <c r="Z518" s="3119">
        <f t="shared" ca="1" si="371"/>
        <v>0</v>
      </c>
      <c r="AA518" s="3115">
        <f t="shared" ca="1" si="372"/>
        <v>0</v>
      </c>
      <c r="AB518" s="3115">
        <f t="shared" ca="1" si="373"/>
        <v>0</v>
      </c>
      <c r="AK518" s="313"/>
      <c r="AL518" s="313"/>
      <c r="AM518" s="313"/>
      <c r="AP518" s="1055"/>
      <c r="AQ518" s="385"/>
      <c r="AR518" s="1048"/>
      <c r="AT518" s="879">
        <f t="shared" ca="1" si="356"/>
        <v>0</v>
      </c>
      <c r="AU518" s="879">
        <f ca="1">COUNTIFS(AT$7:$AT518,1)</f>
        <v>6</v>
      </c>
    </row>
    <row r="519" spans="1:47" ht="12.75" hidden="1" customHeight="1" outlineLevel="1">
      <c r="B519" s="1738" t="s">
        <v>159</v>
      </c>
      <c r="C519" s="313" t="s">
        <v>600</v>
      </c>
      <c r="E519" s="363"/>
      <c r="F519" s="363" t="str">
        <f>input!F886</f>
        <v>N</v>
      </c>
      <c r="G519" s="363"/>
      <c r="H519" s="313">
        <f ca="1">IF(F519="PCS",$E$4,SUMIFS(Paper!$AC$7:$AC$58,Paper!$A$7:$A$58,'Production cost'!F519))</f>
        <v>0</v>
      </c>
      <c r="I519" s="313">
        <f>IF(input!$G886&gt;0,input!$G886,AVERAGE(7000,3500))</f>
        <v>5250</v>
      </c>
      <c r="J519" s="313" t="str">
        <f>input!$H886</f>
        <v>sheets</v>
      </c>
      <c r="K519" s="360">
        <v>0</v>
      </c>
      <c r="L519" s="313">
        <f>IF(input!$I886&gt;0,input!$I886,2)</f>
        <v>2</v>
      </c>
      <c r="M519" s="391">
        <f ca="1">IF(H519&gt;0,45/60,0)</f>
        <v>0</v>
      </c>
      <c r="N519" s="391">
        <f t="shared" ca="1" si="382"/>
        <v>0</v>
      </c>
      <c r="P519" s="313">
        <f>Data!$N$1153</f>
        <v>64591.331280067061</v>
      </c>
      <c r="Q519" s="313">
        <f t="shared" ca="1" si="367"/>
        <v>0</v>
      </c>
      <c r="R519" s="313">
        <f t="shared" ca="1" si="368"/>
        <v>0</v>
      </c>
      <c r="S519" s="1741">
        <f t="shared" ca="1" si="383"/>
        <v>0</v>
      </c>
      <c r="T519" s="313" t="str">
        <f>input!J886</f>
        <v>N</v>
      </c>
      <c r="V519" s="3115" t="str">
        <f>input!K886</f>
        <v>Assembly</v>
      </c>
      <c r="W519" s="3115">
        <f t="shared" ca="1" si="370"/>
        <v>0</v>
      </c>
      <c r="X519" s="3119">
        <f>VLOOKUP(V519,'Fix Cost'!$K$177:$M$179,2,0)</f>
        <v>32032.115313968527</v>
      </c>
      <c r="Y519" s="3119">
        <f>VLOOKUP(V519,'Fix Cost'!$K$177:$M$179,3,0)</f>
        <v>267567.54920876794</v>
      </c>
      <c r="Z519" s="3119">
        <f t="shared" ca="1" si="371"/>
        <v>0</v>
      </c>
      <c r="AA519" s="3115">
        <f t="shared" ca="1" si="372"/>
        <v>0</v>
      </c>
      <c r="AB519" s="3115">
        <f t="shared" ca="1" si="373"/>
        <v>0</v>
      </c>
      <c r="AK519" s="313"/>
      <c r="AL519" s="313"/>
      <c r="AM519" s="313"/>
      <c r="AP519" s="1055"/>
      <c r="AQ519" s="385"/>
      <c r="AR519" s="1048"/>
      <c r="AT519" s="879">
        <f t="shared" ca="1" si="356"/>
        <v>0</v>
      </c>
      <c r="AU519" s="879">
        <f ca="1">COUNTIFS(AT$7:$AT519,1)</f>
        <v>6</v>
      </c>
    </row>
    <row r="520" spans="1:47" ht="12.75" hidden="1" customHeight="1" outlineLevel="1">
      <c r="B520" s="1738" t="s">
        <v>159</v>
      </c>
      <c r="C520" s="313" t="s">
        <v>600</v>
      </c>
      <c r="E520" s="363"/>
      <c r="F520" s="363" t="str">
        <f>input!F887</f>
        <v>N</v>
      </c>
      <c r="G520" s="363"/>
      <c r="H520" s="313">
        <f ca="1">IF(F520="PCS",$E$4,SUMIFS(Paper!$AC$7:$AC$58,Paper!$A$7:$A$58,'Production cost'!F520))</f>
        <v>0</v>
      </c>
      <c r="I520" s="313">
        <f>IF(input!$G887&gt;0,input!$G887,AVERAGE(7000,3500))</f>
        <v>5250</v>
      </c>
      <c r="J520" s="313" t="str">
        <f>input!$H887</f>
        <v>sheets</v>
      </c>
      <c r="K520" s="360">
        <v>0</v>
      </c>
      <c r="L520" s="313">
        <f>IF(input!$I887&gt;0,input!$I887,2)</f>
        <v>2</v>
      </c>
      <c r="M520" s="391">
        <f ca="1">IF(H520&gt;0,45/60,0)</f>
        <v>0</v>
      </c>
      <c r="N520" s="391">
        <f ca="1">IF(H520&gt;0,ROUNDUP(((H520/I520)/$M$5+M520),1),0)</f>
        <v>0</v>
      </c>
      <c r="P520" s="313">
        <f>Data!$N$1153</f>
        <v>64591.331280067061</v>
      </c>
      <c r="Q520" s="313">
        <f t="shared" ca="1" si="367"/>
        <v>0</v>
      </c>
      <c r="R520" s="313">
        <f t="shared" ca="1" si="368"/>
        <v>0</v>
      </c>
      <c r="S520" s="1741">
        <f ca="1">IF(M520&gt;0,K520*O520+L520*P520,0)</f>
        <v>0</v>
      </c>
      <c r="T520" s="313" t="str">
        <f>input!J887</f>
        <v>N</v>
      </c>
      <c r="V520" s="3115" t="str">
        <f>input!K887</f>
        <v>Assembly</v>
      </c>
      <c r="W520" s="3115">
        <f t="shared" ca="1" si="370"/>
        <v>0</v>
      </c>
      <c r="X520" s="3119">
        <f>VLOOKUP(V520,'Fix Cost'!$K$177:$M$179,2,0)</f>
        <v>32032.115313968527</v>
      </c>
      <c r="Y520" s="3119">
        <f>VLOOKUP(V520,'Fix Cost'!$K$177:$M$179,3,0)</f>
        <v>267567.54920876794</v>
      </c>
      <c r="Z520" s="3119">
        <f t="shared" ca="1" si="371"/>
        <v>0</v>
      </c>
      <c r="AA520" s="3115">
        <f t="shared" ca="1" si="372"/>
        <v>0</v>
      </c>
      <c r="AB520" s="3115">
        <f t="shared" ca="1" si="373"/>
        <v>0</v>
      </c>
      <c r="AK520" s="313"/>
      <c r="AL520" s="313"/>
      <c r="AM520" s="313"/>
      <c r="AP520" s="1055"/>
      <c r="AQ520" s="385"/>
      <c r="AR520" s="1048"/>
      <c r="AT520" s="879">
        <f t="shared" ca="1" si="356"/>
        <v>0</v>
      </c>
      <c r="AU520" s="879">
        <f ca="1">COUNTIFS(AT$7:$AT520,1)</f>
        <v>6</v>
      </c>
    </row>
    <row r="521" spans="1:47" ht="12.75" hidden="1" customHeight="1" outlineLevel="1">
      <c r="B521" s="1738" t="s">
        <v>159</v>
      </c>
      <c r="C521" s="313" t="s">
        <v>600</v>
      </c>
      <c r="E521" s="363"/>
      <c r="F521" s="363" t="str">
        <f>input!F888</f>
        <v>N</v>
      </c>
      <c r="G521" s="363"/>
      <c r="H521" s="313">
        <f ca="1">IF(F521="PCS",$E$4,SUMIFS(Paper!$AC$7:$AC$58,Paper!$A$7:$A$58,'Production cost'!F521))</f>
        <v>0</v>
      </c>
      <c r="I521" s="313">
        <f>IF(input!$G888&gt;0,input!$G888,AVERAGE(7000,3500))</f>
        <v>5250</v>
      </c>
      <c r="J521" s="313" t="str">
        <f>input!$H888</f>
        <v>sheets</v>
      </c>
      <c r="K521" s="360">
        <v>0</v>
      </c>
      <c r="L521" s="313">
        <f>IF(input!$I888&gt;0,input!$I888,2)</f>
        <v>2</v>
      </c>
      <c r="M521" s="391">
        <f ca="1">IF(H521&gt;0,45/60,0)</f>
        <v>0</v>
      </c>
      <c r="N521" s="391">
        <f ca="1">IF(H521&gt;0,ROUNDUP(((H521/I521)/$M$5+M521),1),0)</f>
        <v>0</v>
      </c>
      <c r="P521" s="313">
        <f>Data!$N$1153</f>
        <v>64591.331280067061</v>
      </c>
      <c r="Q521" s="313">
        <f t="shared" ca="1" si="367"/>
        <v>0</v>
      </c>
      <c r="R521" s="313">
        <f t="shared" ca="1" si="368"/>
        <v>0</v>
      </c>
      <c r="S521" s="1741">
        <f ca="1">IF(M521&gt;0,K521*O521+L521*P521,0)</f>
        <v>0</v>
      </c>
      <c r="T521" s="313" t="str">
        <f>input!J888</f>
        <v>N</v>
      </c>
      <c r="V521" s="3115" t="str">
        <f>input!K888</f>
        <v>Assembly</v>
      </c>
      <c r="W521" s="3115">
        <f t="shared" ca="1" si="370"/>
        <v>0</v>
      </c>
      <c r="X521" s="3119">
        <f>VLOOKUP(V521,'Fix Cost'!$K$177:$M$179,2,0)</f>
        <v>32032.115313968527</v>
      </c>
      <c r="Y521" s="3119">
        <f>VLOOKUP(V521,'Fix Cost'!$K$177:$M$179,3,0)</f>
        <v>267567.54920876794</v>
      </c>
      <c r="Z521" s="3119">
        <f t="shared" ca="1" si="371"/>
        <v>0</v>
      </c>
      <c r="AA521" s="3115">
        <f t="shared" ca="1" si="372"/>
        <v>0</v>
      </c>
      <c r="AB521" s="3115">
        <f t="shared" ca="1" si="373"/>
        <v>0</v>
      </c>
      <c r="AK521" s="313"/>
      <c r="AL521" s="313"/>
      <c r="AM521" s="313"/>
      <c r="AP521" s="1055"/>
      <c r="AQ521" s="385"/>
      <c r="AR521" s="1048"/>
      <c r="AT521" s="879">
        <f t="shared" ca="1" si="356"/>
        <v>0</v>
      </c>
      <c r="AU521" s="879">
        <f ca="1">COUNTIFS(AT$7:$AT521,1)</f>
        <v>6</v>
      </c>
    </row>
    <row r="522" spans="1:47" ht="12.75" hidden="1" customHeight="1" outlineLevel="1">
      <c r="B522" s="1738" t="s">
        <v>159</v>
      </c>
      <c r="C522" s="313" t="s">
        <v>601</v>
      </c>
      <c r="E522" s="363"/>
      <c r="F522" s="363" t="str">
        <f>input!F889</f>
        <v>N</v>
      </c>
      <c r="G522" s="363"/>
      <c r="H522" s="313">
        <f ca="1">IF(F522="PCS",$E$4,SUMIFS(Paper!$AC$7:$AC$58,Paper!$A$7:$A$58,'Production cost'!F522))</f>
        <v>0</v>
      </c>
      <c r="I522" s="313">
        <f>IF(input!$G889&gt;0,input!$G889,3500)</f>
        <v>3500</v>
      </c>
      <c r="J522" s="313" t="str">
        <f>input!$H889</f>
        <v>sheets</v>
      </c>
      <c r="K522" s="360">
        <v>0</v>
      </c>
      <c r="L522" s="313">
        <f>IF(input!$I889&gt;0,input!$I889,2)</f>
        <v>2</v>
      </c>
      <c r="M522" s="391">
        <f ca="1">IF(H522&gt;0,60/60,0)</f>
        <v>0</v>
      </c>
      <c r="N522" s="391">
        <f t="shared" ca="1" si="382"/>
        <v>0</v>
      </c>
      <c r="P522" s="313">
        <f>Data!$N$1153</f>
        <v>64591.331280067061</v>
      </c>
      <c r="Q522" s="313">
        <f t="shared" ca="1" si="367"/>
        <v>0</v>
      </c>
      <c r="R522" s="313">
        <f t="shared" ca="1" si="368"/>
        <v>0</v>
      </c>
      <c r="S522" s="1741">
        <f t="shared" ca="1" si="383"/>
        <v>0</v>
      </c>
      <c r="T522" s="313" t="str">
        <f>input!J889</f>
        <v>N</v>
      </c>
      <c r="V522" s="3115" t="str">
        <f>input!K889</f>
        <v>Assembly</v>
      </c>
      <c r="W522" s="3115">
        <f t="shared" ca="1" si="370"/>
        <v>0</v>
      </c>
      <c r="X522" s="3119">
        <f>VLOOKUP(V522,'Fix Cost'!$K$177:$M$179,2,0)</f>
        <v>32032.115313968527</v>
      </c>
      <c r="Y522" s="3119">
        <f>VLOOKUP(V522,'Fix Cost'!$K$177:$M$179,3,0)</f>
        <v>267567.54920876794</v>
      </c>
      <c r="Z522" s="3119">
        <f t="shared" ca="1" si="371"/>
        <v>0</v>
      </c>
      <c r="AA522" s="3115">
        <f t="shared" ca="1" si="372"/>
        <v>0</v>
      </c>
      <c r="AB522" s="3115">
        <f t="shared" ca="1" si="373"/>
        <v>0</v>
      </c>
      <c r="AK522" s="313"/>
      <c r="AL522" s="313"/>
      <c r="AM522" s="313"/>
      <c r="AP522" s="385"/>
      <c r="AQ522" s="385"/>
      <c r="AR522" s="1048"/>
      <c r="AT522" s="879">
        <f t="shared" ca="1" si="356"/>
        <v>0</v>
      </c>
      <c r="AU522" s="879">
        <f ca="1">COUNTIFS(AT$7:$AT522,1)</f>
        <v>6</v>
      </c>
    </row>
    <row r="523" spans="1:47" ht="12.75" hidden="1" customHeight="1" outlineLevel="1">
      <c r="B523" s="1738" t="s">
        <v>159</v>
      </c>
      <c r="C523" s="313" t="s">
        <v>601</v>
      </c>
      <c r="E523" s="363"/>
      <c r="F523" s="363" t="str">
        <f>input!F890</f>
        <v>N</v>
      </c>
      <c r="G523" s="363"/>
      <c r="H523" s="313">
        <f ca="1">IF(F523="PCS",$E$4,SUMIFS(Paper!$AC$7:$AC$58,Paper!$A$7:$A$58,'Production cost'!F523))</f>
        <v>0</v>
      </c>
      <c r="I523" s="313">
        <f>IF(input!$G890&gt;0,input!$G890,3500)</f>
        <v>3500</v>
      </c>
      <c r="J523" s="313" t="str">
        <f>input!$H890</f>
        <v>sheets</v>
      </c>
      <c r="K523" s="360">
        <v>0</v>
      </c>
      <c r="L523" s="313">
        <f>IF(input!$I890&gt;0,input!$I890,2)</f>
        <v>2</v>
      </c>
      <c r="M523" s="391">
        <f ca="1">IF(H523&gt;0,60/60,0)</f>
        <v>0</v>
      </c>
      <c r="N523" s="391">
        <f ca="1">IF(H523&gt;0,ROUNDUP(((H523/I523)/$M$5+M523),1),0)</f>
        <v>0</v>
      </c>
      <c r="P523" s="313">
        <f>Data!$N$1153</f>
        <v>64591.331280067061</v>
      </c>
      <c r="Q523" s="313">
        <f t="shared" ca="1" si="367"/>
        <v>0</v>
      </c>
      <c r="R523" s="313">
        <f t="shared" ca="1" si="368"/>
        <v>0</v>
      </c>
      <c r="S523" s="1741">
        <f ca="1">IF(M523&gt;0,K523*O523+L523*P523,0)</f>
        <v>0</v>
      </c>
      <c r="T523" s="313" t="str">
        <f>input!J890</f>
        <v>N</v>
      </c>
      <c r="V523" s="3115" t="str">
        <f>input!K890</f>
        <v>Assembly</v>
      </c>
      <c r="W523" s="3115">
        <f t="shared" ca="1" si="370"/>
        <v>0</v>
      </c>
      <c r="X523" s="3119">
        <f>VLOOKUP(V523,'Fix Cost'!$K$177:$M$179,2,0)</f>
        <v>32032.115313968527</v>
      </c>
      <c r="Y523" s="3119">
        <f>VLOOKUP(V523,'Fix Cost'!$K$177:$M$179,3,0)</f>
        <v>267567.54920876794</v>
      </c>
      <c r="Z523" s="3119">
        <f t="shared" ca="1" si="371"/>
        <v>0</v>
      </c>
      <c r="AA523" s="3115">
        <f t="shared" ca="1" si="372"/>
        <v>0</v>
      </c>
      <c r="AB523" s="3115">
        <f t="shared" ca="1" si="373"/>
        <v>0</v>
      </c>
      <c r="AK523" s="313"/>
      <c r="AL523" s="313"/>
      <c r="AM523" s="313"/>
      <c r="AP523" s="385"/>
      <c r="AQ523" s="385"/>
      <c r="AR523" s="1048"/>
      <c r="AT523" s="879">
        <f t="shared" ca="1" si="356"/>
        <v>0</v>
      </c>
      <c r="AU523" s="879">
        <f ca="1">COUNTIFS(AT$7:$AT523,1)</f>
        <v>6</v>
      </c>
    </row>
    <row r="524" spans="1:47" ht="12.75" hidden="1" customHeight="1" outlineLevel="1">
      <c r="B524" s="1738" t="s">
        <v>159</v>
      </c>
      <c r="C524" s="313" t="s">
        <v>601</v>
      </c>
      <c r="E524" s="363"/>
      <c r="F524" s="363" t="str">
        <f>input!F891</f>
        <v>N</v>
      </c>
      <c r="G524" s="363"/>
      <c r="H524" s="313">
        <f ca="1">IF(F524="PCS",$E$4,SUMIFS(Paper!$AC$7:$AC$58,Paper!$A$7:$A$58,'Production cost'!F524))</f>
        <v>0</v>
      </c>
      <c r="I524" s="313">
        <f>IF(input!$G891&gt;0,input!$G891,3500)</f>
        <v>3500</v>
      </c>
      <c r="J524" s="313" t="str">
        <f>input!$H891</f>
        <v>sheets</v>
      </c>
      <c r="K524" s="360">
        <v>0</v>
      </c>
      <c r="L524" s="313">
        <f>IF(input!$I891&gt;0,input!$I891,2)</f>
        <v>2</v>
      </c>
      <c r="M524" s="391">
        <f ca="1">IF(H524&gt;0,60/60,0)</f>
        <v>0</v>
      </c>
      <c r="N524" s="391">
        <f ca="1">IF(H524&gt;0,ROUNDUP(((H524/I524)/$M$5+M524),1),0)</f>
        <v>0</v>
      </c>
      <c r="P524" s="313">
        <f>Data!$N$1153</f>
        <v>64591.331280067061</v>
      </c>
      <c r="Q524" s="313">
        <f t="shared" ca="1" si="367"/>
        <v>0</v>
      </c>
      <c r="R524" s="313">
        <f t="shared" ca="1" si="368"/>
        <v>0</v>
      </c>
      <c r="S524" s="1741">
        <f ca="1">IF(M524&gt;0,K524*O524+L524*P524,0)</f>
        <v>0</v>
      </c>
      <c r="T524" s="313" t="str">
        <f>input!J891</f>
        <v>N</v>
      </c>
      <c r="V524" s="3115" t="str">
        <f>input!K891</f>
        <v>Assembly</v>
      </c>
      <c r="W524" s="3115">
        <f t="shared" ca="1" si="370"/>
        <v>0</v>
      </c>
      <c r="X524" s="3119">
        <f>VLOOKUP(V524,'Fix Cost'!$K$177:$M$179,2,0)</f>
        <v>32032.115313968527</v>
      </c>
      <c r="Y524" s="3119">
        <f>VLOOKUP(V524,'Fix Cost'!$K$177:$M$179,3,0)</f>
        <v>267567.54920876794</v>
      </c>
      <c r="Z524" s="3119">
        <f t="shared" ca="1" si="371"/>
        <v>0</v>
      </c>
      <c r="AA524" s="3115">
        <f t="shared" ca="1" si="372"/>
        <v>0</v>
      </c>
      <c r="AB524" s="3115">
        <f t="shared" ca="1" si="373"/>
        <v>0</v>
      </c>
      <c r="AK524" s="313"/>
      <c r="AL524" s="313"/>
      <c r="AM524" s="313"/>
      <c r="AP524" s="385"/>
      <c r="AQ524" s="385"/>
      <c r="AR524" s="1048"/>
      <c r="AT524" s="879">
        <f t="shared" ca="1" si="356"/>
        <v>0</v>
      </c>
      <c r="AU524" s="879">
        <f ca="1">COUNTIFS(AT$7:$AT524,1)</f>
        <v>6</v>
      </c>
    </row>
    <row r="525" spans="1:47" ht="12.75" hidden="1" customHeight="1" outlineLevel="1">
      <c r="B525" s="1738" t="s">
        <v>159</v>
      </c>
      <c r="C525" s="313" t="s">
        <v>218</v>
      </c>
      <c r="E525" s="363"/>
      <c r="F525" s="363" t="str">
        <f>input!F892</f>
        <v>N</v>
      </c>
      <c r="G525" s="363"/>
      <c r="H525" s="313">
        <f ca="1">IF(F525="PCS",$E$4,SUMIFS(Paper!$AC$7:$AC$58,Paper!$A$7:$A$58,'Production cost'!F525))</f>
        <v>0</v>
      </c>
      <c r="I525" s="313">
        <f>IF(input!$G892&gt;0,input!$G892,350)</f>
        <v>350</v>
      </c>
      <c r="J525" s="313" t="str">
        <f>input!$H892</f>
        <v>copies</v>
      </c>
      <c r="K525" s="360">
        <v>0</v>
      </c>
      <c r="L525" s="313">
        <f>IF(input!$I892&gt;0,input!$I892,9)</f>
        <v>9</v>
      </c>
      <c r="M525" s="391">
        <f ca="1">IF(H525&gt;0,15/60,0)</f>
        <v>0</v>
      </c>
      <c r="N525" s="391">
        <f t="shared" ca="1" si="382"/>
        <v>0</v>
      </c>
      <c r="P525" s="313">
        <f>Data!$N$1153</f>
        <v>64591.331280067061</v>
      </c>
      <c r="Q525" s="313">
        <f t="shared" ca="1" si="367"/>
        <v>0</v>
      </c>
      <c r="R525" s="313">
        <f t="shared" ca="1" si="368"/>
        <v>0</v>
      </c>
      <c r="S525" s="1741">
        <f t="shared" ca="1" si="383"/>
        <v>0</v>
      </c>
      <c r="T525" s="313" t="str">
        <f>input!J892</f>
        <v>N</v>
      </c>
      <c r="V525" s="3115" t="str">
        <f>input!K892</f>
        <v>Assembly</v>
      </c>
      <c r="W525" s="3115">
        <f t="shared" ca="1" si="370"/>
        <v>0</v>
      </c>
      <c r="X525" s="3119">
        <f>VLOOKUP(V525,'Fix Cost'!$K$177:$M$179,2,0)</f>
        <v>32032.115313968527</v>
      </c>
      <c r="Y525" s="3119">
        <f>VLOOKUP(V525,'Fix Cost'!$K$177:$M$179,3,0)</f>
        <v>267567.54920876794</v>
      </c>
      <c r="Z525" s="3119">
        <f t="shared" ca="1" si="371"/>
        <v>0</v>
      </c>
      <c r="AA525" s="3115">
        <f t="shared" ca="1" si="372"/>
        <v>0</v>
      </c>
      <c r="AB525" s="3115">
        <f t="shared" ca="1" si="373"/>
        <v>0</v>
      </c>
      <c r="AK525" s="313"/>
      <c r="AL525" s="313"/>
      <c r="AM525" s="313"/>
      <c r="AP525" s="385"/>
      <c r="AQ525" s="385"/>
      <c r="AR525" s="1048"/>
      <c r="AT525" s="879">
        <f t="shared" ca="1" si="356"/>
        <v>0</v>
      </c>
      <c r="AU525" s="879">
        <f ca="1">COUNTIFS(AT$7:$AT525,1)</f>
        <v>6</v>
      </c>
    </row>
    <row r="526" spans="1:47" ht="12.75" hidden="1" customHeight="1" outlineLevel="1">
      <c r="B526" s="1738" t="s">
        <v>159</v>
      </c>
      <c r="C526" s="313" t="s">
        <v>602</v>
      </c>
      <c r="E526" s="363"/>
      <c r="F526" s="363" t="str">
        <f>input!F893</f>
        <v>N</v>
      </c>
      <c r="G526" s="363"/>
      <c r="H526" s="313">
        <f ca="1">IF(F526="PCS",$E$4,SUMIFS(Paper!$AC$7:$AC$58,Paper!$A$7:$A$58,'Production cost'!F526))</f>
        <v>0</v>
      </c>
      <c r="I526" s="313">
        <f>IF(input!$G893&gt;0,input!$G893,3500)</f>
        <v>3500</v>
      </c>
      <c r="J526" s="313" t="str">
        <f>input!$H893</f>
        <v>copies</v>
      </c>
      <c r="K526" s="360">
        <v>0</v>
      </c>
      <c r="L526" s="313">
        <f>IF(input!$I893&gt;0,input!$I893,6)</f>
        <v>6</v>
      </c>
      <c r="M526" s="391">
        <f ca="1">IF(H526&gt;0,120/60,0)</f>
        <v>0</v>
      </c>
      <c r="N526" s="391">
        <f t="shared" ca="1" si="382"/>
        <v>0</v>
      </c>
      <c r="P526" s="313">
        <f>Data!$N$1153</f>
        <v>64591.331280067061</v>
      </c>
      <c r="Q526" s="313">
        <f t="shared" ca="1" si="367"/>
        <v>0</v>
      </c>
      <c r="R526" s="313">
        <f t="shared" ca="1" si="368"/>
        <v>0</v>
      </c>
      <c r="S526" s="1741">
        <f t="shared" ca="1" si="383"/>
        <v>0</v>
      </c>
      <c r="T526" s="313" t="str">
        <f>input!J893</f>
        <v>N</v>
      </c>
      <c r="V526" s="3115" t="str">
        <f>input!K893</f>
        <v>Assembly</v>
      </c>
      <c r="W526" s="3115">
        <f t="shared" ca="1" si="370"/>
        <v>0</v>
      </c>
      <c r="X526" s="3119">
        <f>VLOOKUP(V526,'Fix Cost'!$K$177:$M$179,2,0)</f>
        <v>32032.115313968527</v>
      </c>
      <c r="Y526" s="3119">
        <f>VLOOKUP(V526,'Fix Cost'!$K$177:$M$179,3,0)</f>
        <v>267567.54920876794</v>
      </c>
      <c r="Z526" s="3119">
        <f t="shared" ca="1" si="371"/>
        <v>0</v>
      </c>
      <c r="AA526" s="3115">
        <f t="shared" ca="1" si="372"/>
        <v>0</v>
      </c>
      <c r="AB526" s="3115">
        <f t="shared" ca="1" si="373"/>
        <v>0</v>
      </c>
      <c r="AK526" s="313"/>
      <c r="AL526" s="313"/>
      <c r="AM526" s="313"/>
      <c r="AP526" s="385"/>
      <c r="AQ526" s="385"/>
      <c r="AR526" s="1048"/>
      <c r="AT526" s="879">
        <f t="shared" ca="1" si="356"/>
        <v>0</v>
      </c>
      <c r="AU526" s="879">
        <f ca="1">COUNTIFS(AT$7:$AT526,1)</f>
        <v>6</v>
      </c>
    </row>
    <row r="527" spans="1:47" ht="12.75" hidden="1" customHeight="1" outlineLevel="1">
      <c r="B527" s="1738" t="s">
        <v>159</v>
      </c>
      <c r="C527" s="313" t="s">
        <v>314</v>
      </c>
      <c r="E527" s="363"/>
      <c r="F527" s="363" t="str">
        <f>input!F894</f>
        <v>N</v>
      </c>
      <c r="G527" s="363"/>
      <c r="H527" s="313">
        <f ca="1">IF(F527="PCS",$E$4,SUMIFS(Paper!$AC$7:$AC$58,Paper!$A$7:$A$58,'Production cost'!F527))</f>
        <v>0</v>
      </c>
      <c r="I527" s="313">
        <f>IF(input!$G894&gt;0,input!$G894,1600)</f>
        <v>1600</v>
      </c>
      <c r="J527" s="313" t="str">
        <f>input!$H894</f>
        <v>copies</v>
      </c>
      <c r="K527" s="360">
        <v>0</v>
      </c>
      <c r="L527" s="313">
        <f>IF(input!$I894&gt;0,input!$I894,18)</f>
        <v>18</v>
      </c>
      <c r="M527" s="391">
        <f ca="1">IF(H527&gt;0,30/60,0)</f>
        <v>0</v>
      </c>
      <c r="N527" s="391">
        <f t="shared" ca="1" si="382"/>
        <v>0</v>
      </c>
      <c r="P527" s="313">
        <f>Data!$N$1153</f>
        <v>64591.331280067061</v>
      </c>
      <c r="Q527" s="313">
        <f t="shared" ca="1" si="367"/>
        <v>0</v>
      </c>
      <c r="R527" s="313">
        <f t="shared" ca="1" si="368"/>
        <v>0</v>
      </c>
      <c r="S527" s="1741">
        <f t="shared" ca="1" si="383"/>
        <v>0</v>
      </c>
      <c r="T527" s="313" t="str">
        <f>input!J894</f>
        <v>N</v>
      </c>
      <c r="V527" s="3115" t="str">
        <f>input!K894</f>
        <v>Assembly</v>
      </c>
      <c r="W527" s="3115">
        <f t="shared" ca="1" si="370"/>
        <v>0</v>
      </c>
      <c r="X527" s="3119">
        <f>VLOOKUP(V527,'Fix Cost'!$K$177:$M$179,2,0)</f>
        <v>32032.115313968527</v>
      </c>
      <c r="Y527" s="3119">
        <f>VLOOKUP(V527,'Fix Cost'!$K$177:$M$179,3,0)</f>
        <v>267567.54920876794</v>
      </c>
      <c r="Z527" s="3119">
        <f t="shared" ca="1" si="371"/>
        <v>0</v>
      </c>
      <c r="AA527" s="3115">
        <f t="shared" ca="1" si="372"/>
        <v>0</v>
      </c>
      <c r="AB527" s="3115">
        <f t="shared" ca="1" si="373"/>
        <v>0</v>
      </c>
      <c r="AK527" s="313"/>
      <c r="AL527" s="313"/>
      <c r="AM527" s="313"/>
      <c r="AP527" s="385"/>
      <c r="AQ527" s="385"/>
      <c r="AR527" s="1048"/>
      <c r="AT527" s="879">
        <f t="shared" ca="1" si="356"/>
        <v>0</v>
      </c>
      <c r="AU527" s="879">
        <f ca="1">COUNTIFS(AT$7:$AT527,1)</f>
        <v>6</v>
      </c>
    </row>
    <row r="528" spans="1:47" ht="12.75" hidden="1" customHeight="1" outlineLevel="1">
      <c r="B528" s="1738" t="s">
        <v>159</v>
      </c>
      <c r="C528" s="313" t="s">
        <v>527</v>
      </c>
      <c r="E528" s="363"/>
      <c r="F528" s="363" t="str">
        <f>input!F895</f>
        <v>N</v>
      </c>
      <c r="G528" s="363"/>
      <c r="H528" s="313">
        <f ca="1">IF(F528="PCS",$E$4,SUMIFS(Paper!$AC$7:$AC$58,Paper!$A$7:$A$58,'Production cost'!F528))</f>
        <v>0</v>
      </c>
      <c r="I528" s="313">
        <f>IF(input!$G895&gt;0,input!$G895,3500)</f>
        <v>3500</v>
      </c>
      <c r="J528" s="313" t="str">
        <f>input!$H895</f>
        <v>copies</v>
      </c>
      <c r="K528" s="360">
        <v>0</v>
      </c>
      <c r="L528" s="313">
        <f>IF(input!$I895&gt;0,input!$I895,6)</f>
        <v>6</v>
      </c>
      <c r="M528" s="391">
        <f ca="1">IF(H528&gt;0,120/60,0)</f>
        <v>0</v>
      </c>
      <c r="N528" s="391">
        <f t="shared" ca="1" si="382"/>
        <v>0</v>
      </c>
      <c r="P528" s="313">
        <f>Data!$N$1153</f>
        <v>64591.331280067061</v>
      </c>
      <c r="Q528" s="313">
        <f t="shared" ref="Q528:Q559" ca="1" si="384">(N528*O528*K528+N528*P528*L528)*(1+$R$702)</f>
        <v>0</v>
      </c>
      <c r="R528" s="313">
        <f t="shared" ca="1" si="368"/>
        <v>0</v>
      </c>
      <c r="S528" s="1741">
        <f t="shared" ca="1" si="383"/>
        <v>0</v>
      </c>
      <c r="T528" s="313" t="str">
        <f>input!J895</f>
        <v>N</v>
      </c>
      <c r="V528" s="3115" t="str">
        <f>input!K895</f>
        <v>Assembly</v>
      </c>
      <c r="W528" s="3115">
        <f t="shared" ca="1" si="370"/>
        <v>0</v>
      </c>
      <c r="X528" s="3119">
        <f>VLOOKUP(V528,'Fix Cost'!$K$177:$M$179,2,0)</f>
        <v>32032.115313968527</v>
      </c>
      <c r="Y528" s="3119">
        <f>VLOOKUP(V528,'Fix Cost'!$K$177:$M$179,3,0)</f>
        <v>267567.54920876794</v>
      </c>
      <c r="Z528" s="3119">
        <f t="shared" ca="1" si="371"/>
        <v>0</v>
      </c>
      <c r="AA528" s="3115">
        <f t="shared" ca="1" si="372"/>
        <v>0</v>
      </c>
      <c r="AB528" s="3115">
        <f t="shared" ca="1" si="373"/>
        <v>0</v>
      </c>
      <c r="AK528" s="313"/>
      <c r="AL528" s="313"/>
      <c r="AM528" s="313"/>
      <c r="AP528" s="385"/>
      <c r="AQ528" s="385"/>
      <c r="AR528" s="1048"/>
      <c r="AT528" s="879">
        <f t="shared" ca="1" si="356"/>
        <v>0</v>
      </c>
      <c r="AU528" s="879">
        <f ca="1">COUNTIFS(AT$7:$AT528,1)</f>
        <v>6</v>
      </c>
    </row>
    <row r="529" spans="2:47" ht="12.75" hidden="1" customHeight="1" outlineLevel="1">
      <c r="B529" s="1738" t="s">
        <v>159</v>
      </c>
      <c r="C529" s="313" t="s">
        <v>603</v>
      </c>
      <c r="E529" s="363"/>
      <c r="F529" s="363" t="str">
        <f>input!F896</f>
        <v>N</v>
      </c>
      <c r="G529" s="363"/>
      <c r="H529" s="313">
        <f ca="1">IF(F529="PCS",$E$4,SUMIFS(Paper!$AC$7:$AC$58,Paper!$A$7:$A$58,'Production cost'!F529))</f>
        <v>0</v>
      </c>
      <c r="I529" s="313">
        <f>IF(input!$G896&gt;0,input!$G896,1400)</f>
        <v>1400</v>
      </c>
      <c r="J529" s="313" t="str">
        <f>input!$H896</f>
        <v>copies</v>
      </c>
      <c r="K529" s="360">
        <v>0</v>
      </c>
      <c r="L529" s="313">
        <f>IF(input!$I896&gt;0,input!$I896,7)</f>
        <v>7</v>
      </c>
      <c r="M529" s="391">
        <f ca="1">IF(H529&gt;0,30/60,0)</f>
        <v>0</v>
      </c>
      <c r="N529" s="391">
        <f t="shared" ca="1" si="382"/>
        <v>0</v>
      </c>
      <c r="P529" s="313">
        <f>Data!$N$1153</f>
        <v>64591.331280067061</v>
      </c>
      <c r="Q529" s="313">
        <f t="shared" ca="1" si="384"/>
        <v>0</v>
      </c>
      <c r="R529" s="313">
        <f t="shared" ca="1" si="368"/>
        <v>0</v>
      </c>
      <c r="S529" s="1741">
        <f t="shared" ca="1" si="383"/>
        <v>0</v>
      </c>
      <c r="T529" s="313" t="str">
        <f>input!J896</f>
        <v>N</v>
      </c>
      <c r="V529" s="3115" t="str">
        <f>input!K896</f>
        <v>Assembly</v>
      </c>
      <c r="W529" s="3115">
        <f t="shared" ca="1" si="370"/>
        <v>0</v>
      </c>
      <c r="X529" s="3119">
        <f>VLOOKUP(V529,'Fix Cost'!$K$177:$M$179,2,0)</f>
        <v>32032.115313968527</v>
      </c>
      <c r="Y529" s="3119">
        <f>VLOOKUP(V529,'Fix Cost'!$K$177:$M$179,3,0)</f>
        <v>267567.54920876794</v>
      </c>
      <c r="Z529" s="3119">
        <f t="shared" ca="1" si="371"/>
        <v>0</v>
      </c>
      <c r="AA529" s="3115">
        <f t="shared" ca="1" si="372"/>
        <v>0</v>
      </c>
      <c r="AB529" s="3115">
        <f t="shared" ca="1" si="373"/>
        <v>0</v>
      </c>
      <c r="AK529" s="313"/>
      <c r="AL529" s="313"/>
      <c r="AM529" s="313"/>
      <c r="AP529" s="385"/>
      <c r="AQ529" s="385"/>
      <c r="AR529" s="1048"/>
      <c r="AT529" s="879">
        <f t="shared" ca="1" si="356"/>
        <v>0</v>
      </c>
      <c r="AU529" s="879">
        <f ca="1">COUNTIFS(AT$7:$AT529,1)</f>
        <v>6</v>
      </c>
    </row>
    <row r="530" spans="2:47" ht="12.75" hidden="1" customHeight="1" outlineLevel="1">
      <c r="B530" s="1738" t="s">
        <v>159</v>
      </c>
      <c r="C530" s="313" t="s">
        <v>603</v>
      </c>
      <c r="E530" s="363"/>
      <c r="F530" s="363" t="str">
        <f>input!F897</f>
        <v>N</v>
      </c>
      <c r="G530" s="363"/>
      <c r="H530" s="313">
        <f ca="1">IF(F530="PCS",$E$4,SUMIFS(Paper!$AC$7:$AC$58,Paper!$A$7:$A$58,'Production cost'!F530))</f>
        <v>0</v>
      </c>
      <c r="I530" s="313">
        <f>IF(input!$G897&gt;0,input!$G897,1400)</f>
        <v>1400</v>
      </c>
      <c r="J530" s="313" t="str">
        <f>input!$H897</f>
        <v>copies</v>
      </c>
      <c r="K530" s="360">
        <v>0</v>
      </c>
      <c r="L530" s="313">
        <f>IF(input!$I897&gt;0,input!$I897,7)</f>
        <v>7</v>
      </c>
      <c r="M530" s="391">
        <f ca="1">IF(H530&gt;0,30/60,0)</f>
        <v>0</v>
      </c>
      <c r="N530" s="391">
        <f ca="1">IF(H530&gt;0,ROUNDUP(((H530/I530)/$M$5+M530),1),0)</f>
        <v>0</v>
      </c>
      <c r="P530" s="313">
        <f>Data!$N$1153</f>
        <v>64591.331280067061</v>
      </c>
      <c r="Q530" s="313">
        <f t="shared" ca="1" si="384"/>
        <v>0</v>
      </c>
      <c r="R530" s="313">
        <f t="shared" ca="1" si="368"/>
        <v>0</v>
      </c>
      <c r="S530" s="1741">
        <f ca="1">IF(M530&gt;0,K530*O530+L530*P530,0)</f>
        <v>0</v>
      </c>
      <c r="T530" s="313" t="str">
        <f>input!J897</f>
        <v>N</v>
      </c>
      <c r="V530" s="3115" t="str">
        <f>input!K897</f>
        <v>Assembly</v>
      </c>
      <c r="W530" s="3115">
        <f t="shared" ca="1" si="370"/>
        <v>0</v>
      </c>
      <c r="X530" s="3119">
        <f>VLOOKUP(V530,'Fix Cost'!$K$177:$M$179,2,0)</f>
        <v>32032.115313968527</v>
      </c>
      <c r="Y530" s="3119">
        <f>VLOOKUP(V530,'Fix Cost'!$K$177:$M$179,3,0)</f>
        <v>267567.54920876794</v>
      </c>
      <c r="Z530" s="3119">
        <f t="shared" ca="1" si="371"/>
        <v>0</v>
      </c>
      <c r="AA530" s="3115">
        <f t="shared" ca="1" si="372"/>
        <v>0</v>
      </c>
      <c r="AB530" s="3115">
        <f t="shared" ca="1" si="373"/>
        <v>0</v>
      </c>
      <c r="AK530" s="313"/>
      <c r="AL530" s="313"/>
      <c r="AM530" s="313"/>
      <c r="AP530" s="385"/>
      <c r="AQ530" s="385"/>
      <c r="AR530" s="1048"/>
      <c r="AT530" s="879">
        <f t="shared" ca="1" si="356"/>
        <v>0</v>
      </c>
      <c r="AU530" s="879">
        <f ca="1">COUNTIFS(AT$7:$AT530,1)</f>
        <v>6</v>
      </c>
    </row>
    <row r="531" spans="2:47" ht="12.75" hidden="1" customHeight="1" outlineLevel="1">
      <c r="B531" s="1738" t="s">
        <v>159</v>
      </c>
      <c r="C531" s="313" t="s">
        <v>604</v>
      </c>
      <c r="E531" s="363"/>
      <c r="F531" s="363" t="str">
        <f>input!F898</f>
        <v>N</v>
      </c>
      <c r="G531" s="363"/>
      <c r="H531" s="313">
        <f ca="1">IF(F531="PCS",$E$4,SUMIFS(Paper!$AC$7:$AC$58,Paper!$A$7:$A$58,'Production cost'!F531))</f>
        <v>0</v>
      </c>
      <c r="I531" s="313">
        <f>IF(input!$G898&gt;0,input!$G898,250)</f>
        <v>250</v>
      </c>
      <c r="J531" s="313" t="str">
        <f>input!$H898</f>
        <v>copies</v>
      </c>
      <c r="K531" s="360">
        <v>0</v>
      </c>
      <c r="L531" s="313">
        <f>IF(input!$I898&gt;0,input!$I898,5)</f>
        <v>5</v>
      </c>
      <c r="M531" s="391">
        <f ca="1">IF(H531&gt;0,45/60,0)</f>
        <v>0</v>
      </c>
      <c r="N531" s="391">
        <f t="shared" ca="1" si="382"/>
        <v>0</v>
      </c>
      <c r="P531" s="313">
        <f>Data!$N$1153</f>
        <v>64591.331280067061</v>
      </c>
      <c r="Q531" s="313">
        <f t="shared" ca="1" si="384"/>
        <v>0</v>
      </c>
      <c r="R531" s="313">
        <f t="shared" ca="1" si="368"/>
        <v>0</v>
      </c>
      <c r="S531" s="1741">
        <f t="shared" ca="1" si="383"/>
        <v>0</v>
      </c>
      <c r="T531" s="313" t="str">
        <f>input!J898</f>
        <v>N</v>
      </c>
      <c r="V531" s="3115" t="str">
        <f>input!K898</f>
        <v>Assembly</v>
      </c>
      <c r="W531" s="3115">
        <f t="shared" ca="1" si="370"/>
        <v>0</v>
      </c>
      <c r="X531" s="3119">
        <f>VLOOKUP(V531,'Fix Cost'!$K$177:$M$179,2,0)</f>
        <v>32032.115313968527</v>
      </c>
      <c r="Y531" s="3119">
        <f>VLOOKUP(V531,'Fix Cost'!$K$177:$M$179,3,0)</f>
        <v>267567.54920876794</v>
      </c>
      <c r="Z531" s="3119">
        <f t="shared" ca="1" si="371"/>
        <v>0</v>
      </c>
      <c r="AA531" s="3115">
        <f t="shared" ca="1" si="372"/>
        <v>0</v>
      </c>
      <c r="AB531" s="3115">
        <f t="shared" ca="1" si="373"/>
        <v>0</v>
      </c>
      <c r="AK531" s="313"/>
      <c r="AL531" s="313"/>
      <c r="AM531" s="313"/>
      <c r="AP531" s="385"/>
      <c r="AQ531" s="385"/>
      <c r="AR531" s="1048"/>
      <c r="AT531" s="879">
        <f t="shared" ca="1" si="356"/>
        <v>0</v>
      </c>
      <c r="AU531" s="879">
        <f ca="1">COUNTIFS(AT$7:$AT531,1)</f>
        <v>6</v>
      </c>
    </row>
    <row r="532" spans="2:47" ht="12.75" hidden="1" customHeight="1" outlineLevel="1">
      <c r="B532" s="1738" t="s">
        <v>159</v>
      </c>
      <c r="C532" s="313" t="s">
        <v>604</v>
      </c>
      <c r="E532" s="363"/>
      <c r="F532" s="363" t="str">
        <f>input!F899</f>
        <v>N</v>
      </c>
      <c r="G532" s="363"/>
      <c r="H532" s="313">
        <f ca="1">IF(F532="PCS",$E$4,SUMIFS(Paper!$AC$7:$AC$58,Paper!$A$7:$A$58,'Production cost'!F532))</f>
        <v>0</v>
      </c>
      <c r="I532" s="313">
        <f>IF(input!$G899&gt;0,input!$G899,250)</f>
        <v>250</v>
      </c>
      <c r="J532" s="313" t="str">
        <f>input!$H899</f>
        <v>copies</v>
      </c>
      <c r="K532" s="360">
        <v>0</v>
      </c>
      <c r="L532" s="313">
        <f>IF(input!$I899&gt;0,input!$I899,5)</f>
        <v>5</v>
      </c>
      <c r="M532" s="391">
        <f ca="1">IF(H532&gt;0,45/60,0)</f>
        <v>0</v>
      </c>
      <c r="N532" s="391">
        <f ca="1">IF(H532&gt;0,ROUNDUP(((H532/I532)/$M$5+M532),1),0)</f>
        <v>0</v>
      </c>
      <c r="P532" s="313">
        <f>Data!$N$1153</f>
        <v>64591.331280067061</v>
      </c>
      <c r="Q532" s="313">
        <f t="shared" ca="1" si="384"/>
        <v>0</v>
      </c>
      <c r="R532" s="313">
        <f t="shared" ca="1" si="368"/>
        <v>0</v>
      </c>
      <c r="S532" s="1741">
        <f ca="1">IF(M532&gt;0,K532*O532+L532*P532,0)</f>
        <v>0</v>
      </c>
      <c r="T532" s="313" t="str">
        <f>input!J899</f>
        <v>N</v>
      </c>
      <c r="V532" s="3115" t="str">
        <f>input!K899</f>
        <v>Assembly</v>
      </c>
      <c r="W532" s="3115">
        <f t="shared" ca="1" si="370"/>
        <v>0</v>
      </c>
      <c r="X532" s="3119">
        <f>VLOOKUP(V532,'Fix Cost'!$K$177:$M$179,2,0)</f>
        <v>32032.115313968527</v>
      </c>
      <c r="Y532" s="3119">
        <f>VLOOKUP(V532,'Fix Cost'!$K$177:$M$179,3,0)</f>
        <v>267567.54920876794</v>
      </c>
      <c r="Z532" s="3119">
        <f t="shared" ca="1" si="371"/>
        <v>0</v>
      </c>
      <c r="AA532" s="3115">
        <f t="shared" ca="1" si="372"/>
        <v>0</v>
      </c>
      <c r="AB532" s="3115">
        <f t="shared" ca="1" si="373"/>
        <v>0</v>
      </c>
      <c r="AK532" s="313"/>
      <c r="AL532" s="313"/>
      <c r="AM532" s="313"/>
      <c r="AP532" s="385"/>
      <c r="AQ532" s="385"/>
      <c r="AR532" s="1048"/>
      <c r="AT532" s="879">
        <f t="shared" ca="1" si="356"/>
        <v>0</v>
      </c>
      <c r="AU532" s="879">
        <f ca="1">COUNTIFS(AT$7:$AT532,1)</f>
        <v>6</v>
      </c>
    </row>
    <row r="533" spans="2:47" ht="12.75" hidden="1" customHeight="1" outlineLevel="1">
      <c r="B533" s="1738" t="s">
        <v>159</v>
      </c>
      <c r="C533" s="313" t="s">
        <v>523</v>
      </c>
      <c r="E533" s="363"/>
      <c r="F533" s="363" t="str">
        <f>input!F900</f>
        <v>N</v>
      </c>
      <c r="G533" s="363"/>
      <c r="H533" s="313">
        <f ca="1">IF(F533="PCS",$E$4,SUMIFS(Paper!$AC$7:$AC$58,Paper!$A$7:$A$58,'Production cost'!F533))</f>
        <v>0</v>
      </c>
      <c r="I533" s="313">
        <f>IF(input!$G900&gt;0,input!$G900,9000)</f>
        <v>9000</v>
      </c>
      <c r="J533" s="313" t="str">
        <f>input!$H900</f>
        <v>copies</v>
      </c>
      <c r="K533" s="360">
        <v>0</v>
      </c>
      <c r="L533" s="313">
        <f>input!I900</f>
        <v>0</v>
      </c>
      <c r="M533" s="391">
        <f ca="1">IF(H533&gt;0,60/60,0)</f>
        <v>0</v>
      </c>
      <c r="N533" s="391">
        <f t="shared" ca="1" si="382"/>
        <v>0</v>
      </c>
      <c r="P533" s="313">
        <f>Data!$N$1153</f>
        <v>64591.331280067061</v>
      </c>
      <c r="Q533" s="313">
        <f t="shared" ca="1" si="384"/>
        <v>0</v>
      </c>
      <c r="R533" s="313">
        <f t="shared" ca="1" si="368"/>
        <v>0</v>
      </c>
      <c r="S533" s="1741">
        <f t="shared" ca="1" si="383"/>
        <v>0</v>
      </c>
      <c r="T533" s="313" t="str">
        <f>input!J900</f>
        <v>N</v>
      </c>
      <c r="V533" s="3115" t="str">
        <f>input!K900</f>
        <v>Assembly</v>
      </c>
      <c r="W533" s="3115">
        <f t="shared" ca="1" si="370"/>
        <v>0</v>
      </c>
      <c r="X533" s="3119">
        <f>VLOOKUP(V533,'Fix Cost'!$K$177:$M$179,2,0)</f>
        <v>32032.115313968527</v>
      </c>
      <c r="Y533" s="3119">
        <f>VLOOKUP(V533,'Fix Cost'!$K$177:$M$179,3,0)</f>
        <v>267567.54920876794</v>
      </c>
      <c r="Z533" s="3119">
        <f t="shared" ca="1" si="371"/>
        <v>0</v>
      </c>
      <c r="AA533" s="3115">
        <f t="shared" ca="1" si="372"/>
        <v>0</v>
      </c>
      <c r="AB533" s="3115">
        <f t="shared" ca="1" si="373"/>
        <v>0</v>
      </c>
      <c r="AK533" s="313"/>
      <c r="AL533" s="313"/>
      <c r="AM533" s="313"/>
      <c r="AQ533" s="385"/>
      <c r="AR533" s="1048"/>
      <c r="AT533" s="879">
        <f t="shared" ca="1" si="356"/>
        <v>0</v>
      </c>
      <c r="AU533" s="879">
        <f ca="1">COUNTIFS(AT$7:$AT533,1)</f>
        <v>6</v>
      </c>
    </row>
    <row r="534" spans="2:47" ht="12.75" hidden="1" customHeight="1" outlineLevel="1">
      <c r="B534" s="1738" t="s">
        <v>159</v>
      </c>
      <c r="C534" s="313" t="s">
        <v>523</v>
      </c>
      <c r="E534" s="363"/>
      <c r="F534" s="363" t="str">
        <f>input!F901</f>
        <v>N</v>
      </c>
      <c r="G534" s="363"/>
      <c r="H534" s="313">
        <f ca="1">IF(F534="PCS",$E$4,SUMIFS(Paper!$AC$7:$AC$58,Paper!$A$7:$A$58,'Production cost'!F534))</f>
        <v>0</v>
      </c>
      <c r="I534" s="313">
        <f>IF(input!$G901&gt;0,input!$G901,9000)</f>
        <v>9000</v>
      </c>
      <c r="J534" s="313" t="str">
        <f>input!$H901</f>
        <v>copies</v>
      </c>
      <c r="K534" s="360">
        <v>0</v>
      </c>
      <c r="L534" s="313">
        <f>input!I901</f>
        <v>0</v>
      </c>
      <c r="M534" s="391">
        <f ca="1">IF(H534&gt;0,60/60,0)</f>
        <v>0</v>
      </c>
      <c r="N534" s="391">
        <f ca="1">IF(H534&gt;0,ROUNDUP(((H534/I534)/$M$5+M534),1),0)</f>
        <v>0</v>
      </c>
      <c r="P534" s="313">
        <f>Data!$N$1153</f>
        <v>64591.331280067061</v>
      </c>
      <c r="Q534" s="313">
        <f t="shared" ca="1" si="384"/>
        <v>0</v>
      </c>
      <c r="R534" s="313">
        <f t="shared" ca="1" si="368"/>
        <v>0</v>
      </c>
      <c r="S534" s="1741">
        <f ca="1">IF(M534&gt;0,K534*O534+L534*P534,0)</f>
        <v>0</v>
      </c>
      <c r="T534" s="313" t="str">
        <f>input!J901</f>
        <v>N</v>
      </c>
      <c r="V534" s="3115" t="str">
        <f>input!K901</f>
        <v>Assembly</v>
      </c>
      <c r="W534" s="3115">
        <f t="shared" ca="1" si="370"/>
        <v>0</v>
      </c>
      <c r="X534" s="3119">
        <f>VLOOKUP(V534,'Fix Cost'!$K$177:$M$179,2,0)</f>
        <v>32032.115313968527</v>
      </c>
      <c r="Y534" s="3119">
        <f>VLOOKUP(V534,'Fix Cost'!$K$177:$M$179,3,0)</f>
        <v>267567.54920876794</v>
      </c>
      <c r="Z534" s="3119">
        <f t="shared" ca="1" si="371"/>
        <v>0</v>
      </c>
      <c r="AA534" s="3115">
        <f t="shared" ca="1" si="372"/>
        <v>0</v>
      </c>
      <c r="AB534" s="3115">
        <f t="shared" ca="1" si="373"/>
        <v>0</v>
      </c>
      <c r="AK534" s="313"/>
      <c r="AL534" s="313"/>
      <c r="AM534" s="313"/>
      <c r="AQ534" s="385"/>
      <c r="AR534" s="1048"/>
      <c r="AT534" s="879">
        <f t="shared" ca="1" si="356"/>
        <v>0</v>
      </c>
      <c r="AU534" s="879">
        <f ca="1">COUNTIFS(AT$7:$AT534,1)</f>
        <v>6</v>
      </c>
    </row>
    <row r="535" spans="2:47" ht="12.75" hidden="1" customHeight="1" collapsed="1">
      <c r="B535" s="1738" t="s">
        <v>159</v>
      </c>
      <c r="C535" s="313" t="s">
        <v>611</v>
      </c>
      <c r="E535" s="363"/>
      <c r="F535" s="363" t="str">
        <f>input!F902</f>
        <v>N</v>
      </c>
      <c r="G535" s="363"/>
      <c r="H535" s="313">
        <f ca="1">IF(F535="PCS",$E$4,SUMIFS(Paper!$AC$7:$AC$58,Paper!$A$7:$A$58,'Production cost'!F535))</f>
        <v>0</v>
      </c>
      <c r="I535" s="313">
        <f>IF(input!$G902&gt;0,input!$G902,IF(H495&gt;0,2700/(H495+K495),0))</f>
        <v>300</v>
      </c>
      <c r="J535" s="313" t="str">
        <f>input!$H902</f>
        <v>columns</v>
      </c>
      <c r="K535" s="360">
        <v>0</v>
      </c>
      <c r="L535" s="313">
        <f>IF(input!$I902&gt;0,input!$I902,8)</f>
        <v>8</v>
      </c>
      <c r="M535" s="391">
        <f ca="1">IF(H535&gt;0,25/60,0)</f>
        <v>0</v>
      </c>
      <c r="N535" s="391">
        <f t="shared" ca="1" si="382"/>
        <v>0</v>
      </c>
      <c r="P535" s="313">
        <f>Data!$N$1153</f>
        <v>64591.331280067061</v>
      </c>
      <c r="Q535" s="313">
        <f t="shared" ca="1" si="384"/>
        <v>0</v>
      </c>
      <c r="R535" s="313">
        <f t="shared" ca="1" si="368"/>
        <v>0</v>
      </c>
      <c r="S535" s="1741">
        <f t="shared" ca="1" si="383"/>
        <v>0</v>
      </c>
      <c r="T535" s="313" t="str">
        <f>input!J902</f>
        <v>N</v>
      </c>
      <c r="V535" s="3115" t="str">
        <f>input!K902</f>
        <v>Assembly</v>
      </c>
      <c r="W535" s="3115">
        <f t="shared" ca="1" si="370"/>
        <v>0</v>
      </c>
      <c r="X535" s="3119">
        <f>VLOOKUP(V535,'Fix Cost'!$K$177:$M$179,2,0)</f>
        <v>32032.115313968527</v>
      </c>
      <c r="Y535" s="3119">
        <f>VLOOKUP(V535,'Fix Cost'!$K$177:$M$179,3,0)</f>
        <v>267567.54920876794</v>
      </c>
      <c r="Z535" s="3119">
        <f t="shared" ca="1" si="371"/>
        <v>0</v>
      </c>
      <c r="AA535" s="3115">
        <f t="shared" ca="1" si="372"/>
        <v>0</v>
      </c>
      <c r="AB535" s="3115">
        <f t="shared" ca="1" si="373"/>
        <v>0</v>
      </c>
      <c r="AK535" s="313"/>
      <c r="AL535" s="313"/>
      <c r="AM535" s="313"/>
      <c r="AQ535" s="385"/>
      <c r="AR535" s="1048"/>
      <c r="AT535" s="879">
        <f t="shared" ca="1" si="356"/>
        <v>0</v>
      </c>
      <c r="AU535" s="879">
        <f ca="1">COUNTIFS(AT$7:$AT535,1)</f>
        <v>6</v>
      </c>
    </row>
    <row r="536" spans="2:47" ht="12.75" hidden="1" customHeight="1">
      <c r="B536" s="1738" t="s">
        <v>159</v>
      </c>
      <c r="C536" s="313" t="s">
        <v>612</v>
      </c>
      <c r="E536" s="363"/>
      <c r="F536" s="363" t="str">
        <f>input!F903</f>
        <v>N</v>
      </c>
      <c r="G536" s="363"/>
      <c r="H536" s="313">
        <f ca="1">IF(F536="PCS",$E$4,SUMIFS(Paper!$AC$7:$AC$58,Paper!$A$7:$A$58,'Production cost'!F536))</f>
        <v>0</v>
      </c>
      <c r="I536" s="313">
        <f>IF(input!$G903&gt;0,input!$G903,1500)</f>
        <v>1500</v>
      </c>
      <c r="J536" s="313" t="str">
        <f>input!$H903</f>
        <v>columns</v>
      </c>
      <c r="K536" s="360">
        <v>0</v>
      </c>
      <c r="L536" s="313">
        <f>IF(input!$I903&gt;0,input!$I903,8)</f>
        <v>8</v>
      </c>
      <c r="M536" s="391">
        <f ca="1">IF(H536&gt;0,30/60,0)</f>
        <v>0</v>
      </c>
      <c r="N536" s="391">
        <f t="shared" ca="1" si="382"/>
        <v>0</v>
      </c>
      <c r="P536" s="313">
        <f>Data!$N$1153</f>
        <v>64591.331280067061</v>
      </c>
      <c r="Q536" s="313">
        <f t="shared" ca="1" si="384"/>
        <v>0</v>
      </c>
      <c r="R536" s="313">
        <f t="shared" ca="1" si="368"/>
        <v>0</v>
      </c>
      <c r="S536" s="1741">
        <f t="shared" ca="1" si="383"/>
        <v>0</v>
      </c>
      <c r="T536" s="313" t="str">
        <f>input!J903</f>
        <v>N</v>
      </c>
      <c r="V536" s="3115" t="str">
        <f>input!K903</f>
        <v>Assembly</v>
      </c>
      <c r="W536" s="3115">
        <f t="shared" ca="1" si="370"/>
        <v>0</v>
      </c>
      <c r="X536" s="3119">
        <f>VLOOKUP(V536,'Fix Cost'!$K$177:$M$179,2,0)</f>
        <v>32032.115313968527</v>
      </c>
      <c r="Y536" s="3119">
        <f>VLOOKUP(V536,'Fix Cost'!$K$177:$M$179,3,0)</f>
        <v>267567.54920876794</v>
      </c>
      <c r="Z536" s="3119">
        <f t="shared" ca="1" si="371"/>
        <v>0</v>
      </c>
      <c r="AA536" s="3115">
        <f t="shared" ca="1" si="372"/>
        <v>0</v>
      </c>
      <c r="AB536" s="3115">
        <f t="shared" ca="1" si="373"/>
        <v>0</v>
      </c>
      <c r="AL536" s="1056"/>
      <c r="AQ536" s="385"/>
      <c r="AR536" s="1048"/>
      <c r="AT536" s="879">
        <f t="shared" ca="1" si="356"/>
        <v>0</v>
      </c>
      <c r="AU536" s="879">
        <f ca="1">COUNTIFS(AT$7:$AT536,1)</f>
        <v>6</v>
      </c>
    </row>
    <row r="537" spans="2:47" ht="12.75" hidden="1" customHeight="1" outlineLevel="1">
      <c r="B537" s="1738" t="s">
        <v>159</v>
      </c>
      <c r="C537" s="313" t="s">
        <v>613</v>
      </c>
      <c r="E537" s="363"/>
      <c r="F537" s="363" t="str">
        <f>input!F904</f>
        <v>N</v>
      </c>
      <c r="G537" s="363" t="str">
        <f>input!E904</f>
        <v>&lt; 200 x 200</v>
      </c>
      <c r="H537" s="313">
        <f ca="1">IF(F537="PCS",$E$4,SUMIFS(Paper!$AC$7:$AC$58,Paper!$A$7:$A$58,'Production cost'!F537))</f>
        <v>0</v>
      </c>
      <c r="I537" s="313">
        <f>IF(input!$G904&gt;0,input!$G904,9000)</f>
        <v>9000</v>
      </c>
      <c r="J537" s="313" t="str">
        <f>input!$H904</f>
        <v>copies</v>
      </c>
      <c r="K537" s="360">
        <v>0</v>
      </c>
      <c r="L537" s="313">
        <f>IF(input!$I904&gt;0,input!$I904,2)</f>
        <v>2</v>
      </c>
      <c r="M537" s="391">
        <f ca="1">IF(H537&gt;0,20/60,0)</f>
        <v>0</v>
      </c>
      <c r="N537" s="391">
        <f t="shared" ca="1" si="382"/>
        <v>0</v>
      </c>
      <c r="P537" s="313">
        <f>Data!$N$1153</f>
        <v>64591.331280067061</v>
      </c>
      <c r="Q537" s="313">
        <f t="shared" ca="1" si="384"/>
        <v>0</v>
      </c>
      <c r="R537" s="313">
        <f t="shared" ca="1" si="368"/>
        <v>0</v>
      </c>
      <c r="S537" s="1741">
        <f t="shared" ca="1" si="383"/>
        <v>0</v>
      </c>
      <c r="T537" s="313" t="str">
        <f>input!J904</f>
        <v>N</v>
      </c>
      <c r="V537" s="3115" t="str">
        <f>input!K904</f>
        <v>Assembly</v>
      </c>
      <c r="W537" s="3115">
        <f t="shared" ca="1" si="370"/>
        <v>0</v>
      </c>
      <c r="X537" s="3119">
        <f>VLOOKUP(V537,'Fix Cost'!$K$177:$M$179,2,0)</f>
        <v>32032.115313968527</v>
      </c>
      <c r="Y537" s="3119">
        <f>VLOOKUP(V537,'Fix Cost'!$K$177:$M$179,3,0)</f>
        <v>267567.54920876794</v>
      </c>
      <c r="Z537" s="3119">
        <f t="shared" ca="1" si="371"/>
        <v>0</v>
      </c>
      <c r="AA537" s="3115">
        <f t="shared" ca="1" si="372"/>
        <v>0</v>
      </c>
      <c r="AB537" s="3115">
        <f t="shared" ca="1" si="373"/>
        <v>0</v>
      </c>
      <c r="AL537" s="1056"/>
      <c r="AQ537" s="385"/>
      <c r="AR537" s="1048"/>
      <c r="AT537" s="879">
        <f t="shared" ca="1" si="356"/>
        <v>0</v>
      </c>
      <c r="AU537" s="879">
        <f ca="1">COUNTIFS(AT$7:$AT537,1)</f>
        <v>6</v>
      </c>
    </row>
    <row r="538" spans="2:47" ht="12.75" hidden="1" customHeight="1" outlineLevel="1">
      <c r="B538" s="1738" t="s">
        <v>159</v>
      </c>
      <c r="C538" s="313" t="s">
        <v>614</v>
      </c>
      <c r="E538" s="363"/>
      <c r="F538" s="363" t="str">
        <f>input!F905</f>
        <v>N</v>
      </c>
      <c r="G538" s="363"/>
      <c r="H538" s="313">
        <f ca="1">IF(F538="PCS",$E$4,SUMIFS(Paper!$AC$7:$AC$58,Paper!$A$7:$A$58,'Production cost'!F538))</f>
        <v>0</v>
      </c>
      <c r="I538" s="313">
        <f>IF(input!$G905&gt;0,input!$G905,10500/(H495+K495-1))</f>
        <v>1312.5</v>
      </c>
      <c r="J538" s="313" t="str">
        <f>input!$H905</f>
        <v>copies</v>
      </c>
      <c r="K538" s="360">
        <v>0</v>
      </c>
      <c r="L538" s="313">
        <f>IF(input!$I905&gt;0,input!$I905,5)</f>
        <v>5</v>
      </c>
      <c r="M538" s="391">
        <f ca="1">IF(H538&gt;0,30/60,0)*0</f>
        <v>0</v>
      </c>
      <c r="N538" s="391">
        <f ca="1">IF(H538&gt;0,ROUNDUP(((H538/I538)/$M$4+M538),1),0)</f>
        <v>0</v>
      </c>
      <c r="P538" s="313">
        <f>Data!$N$1153</f>
        <v>64591.331280067061</v>
      </c>
      <c r="Q538" s="313">
        <f t="shared" ca="1" si="384"/>
        <v>0</v>
      </c>
      <c r="R538" s="313">
        <f t="shared" ca="1" si="368"/>
        <v>0</v>
      </c>
      <c r="S538" s="1741">
        <f t="shared" ca="1" si="383"/>
        <v>0</v>
      </c>
      <c r="T538" s="313" t="str">
        <f>input!J905</f>
        <v>N</v>
      </c>
      <c r="V538" s="3115" t="str">
        <f>input!K905</f>
        <v>Assembly</v>
      </c>
      <c r="W538" s="3115">
        <f t="shared" ca="1" si="370"/>
        <v>0</v>
      </c>
      <c r="X538" s="3119">
        <f>VLOOKUP(V538,'Fix Cost'!$K$177:$M$179,2,0)</f>
        <v>32032.115313968527</v>
      </c>
      <c r="Y538" s="3119">
        <f>VLOOKUP(V538,'Fix Cost'!$K$177:$M$179,3,0)</f>
        <v>267567.54920876794</v>
      </c>
      <c r="Z538" s="3119">
        <f t="shared" ca="1" si="371"/>
        <v>0</v>
      </c>
      <c r="AA538" s="3115">
        <f t="shared" ca="1" si="372"/>
        <v>0</v>
      </c>
      <c r="AB538" s="3115">
        <f t="shared" ca="1" si="373"/>
        <v>0</v>
      </c>
      <c r="AL538" s="1056"/>
      <c r="AQ538" s="385"/>
      <c r="AR538" s="1048"/>
      <c r="AT538" s="879">
        <f t="shared" ca="1" si="356"/>
        <v>0</v>
      </c>
      <c r="AU538" s="879">
        <f ca="1">COUNTIFS(AT$7:$AT538,1)</f>
        <v>6</v>
      </c>
    </row>
    <row r="539" spans="2:47" ht="12.75" hidden="1" customHeight="1" outlineLevel="1">
      <c r="B539" s="1738" t="s">
        <v>159</v>
      </c>
      <c r="C539" s="313" t="s">
        <v>615</v>
      </c>
      <c r="E539" s="363"/>
      <c r="F539" s="363" t="str">
        <f>input!F906</f>
        <v>N</v>
      </c>
      <c r="G539" s="363"/>
      <c r="H539" s="313">
        <f ca="1">IF(F539="PCS",$E$4,SUMIFS(Paper!$AC$7:$AC$58,Paper!$A$7:$A$58,'Production cost'!F539))</f>
        <v>0</v>
      </c>
      <c r="I539" s="313">
        <f>IF(input!$G906&gt;0,input!$G906,9000)</f>
        <v>9000</v>
      </c>
      <c r="J539" s="313" t="str">
        <f>input!$H906</f>
        <v>copies</v>
      </c>
      <c r="K539" s="360">
        <v>0</v>
      </c>
      <c r="L539" s="313">
        <f>IF(input!$I906&gt;0,input!$I906,2)</f>
        <v>2</v>
      </c>
      <c r="M539" s="391">
        <f ca="1">IF(H539&gt;0,30/60,0)</f>
        <v>0</v>
      </c>
      <c r="N539" s="391">
        <f t="shared" ref="N539:N560" ca="1" si="385">IF(H539&gt;0,ROUNDUP(((H539/I539)/$M$5+M539),1),0)</f>
        <v>0</v>
      </c>
      <c r="P539" s="313">
        <f>Data!$N$1153</f>
        <v>64591.331280067061</v>
      </c>
      <c r="Q539" s="313">
        <f t="shared" ca="1" si="384"/>
        <v>0</v>
      </c>
      <c r="R539" s="313">
        <f t="shared" ca="1" si="368"/>
        <v>0</v>
      </c>
      <c r="S539" s="1741">
        <f t="shared" ca="1" si="383"/>
        <v>0</v>
      </c>
      <c r="T539" s="313" t="str">
        <f>input!J906</f>
        <v>N</v>
      </c>
      <c r="V539" s="3115" t="str">
        <f>input!K906</f>
        <v>Assembly</v>
      </c>
      <c r="W539" s="3115">
        <f t="shared" ca="1" si="370"/>
        <v>0</v>
      </c>
      <c r="X539" s="3119">
        <f>VLOOKUP(V539,'Fix Cost'!$K$177:$M$179,2,0)</f>
        <v>32032.115313968527</v>
      </c>
      <c r="Y539" s="3119">
        <f>VLOOKUP(V539,'Fix Cost'!$K$177:$M$179,3,0)</f>
        <v>267567.54920876794</v>
      </c>
      <c r="Z539" s="3119">
        <f t="shared" ca="1" si="371"/>
        <v>0</v>
      </c>
      <c r="AA539" s="3115">
        <f t="shared" ca="1" si="372"/>
        <v>0</v>
      </c>
      <c r="AB539" s="3115">
        <f t="shared" ca="1" si="373"/>
        <v>0</v>
      </c>
      <c r="AP539" s="385"/>
      <c r="AQ539" s="385"/>
      <c r="AR539" s="1048"/>
      <c r="AT539" s="879">
        <f t="shared" ca="1" si="356"/>
        <v>0</v>
      </c>
      <c r="AU539" s="879">
        <f ca="1">COUNTIFS(AT$7:$AT539,1)</f>
        <v>6</v>
      </c>
    </row>
    <row r="540" spans="2:47" ht="12.75" hidden="1" customHeight="1" outlineLevel="1">
      <c r="B540" s="1738" t="s">
        <v>159</v>
      </c>
      <c r="C540" s="313" t="s">
        <v>616</v>
      </c>
      <c r="E540" s="363"/>
      <c r="F540" s="363" t="str">
        <f>input!F907</f>
        <v>N</v>
      </c>
      <c r="G540" s="363"/>
      <c r="H540" s="313">
        <f ca="1">IF(F540="PCS",$E$4,SUMIFS(Paper!$AC$7:$AC$58,Paper!$A$7:$A$58,'Production cost'!F540))</f>
        <v>0</v>
      </c>
      <c r="I540" s="313">
        <f>IF(input!$G907&gt;0,input!$G907,600)</f>
        <v>600</v>
      </c>
      <c r="J540" s="313" t="str">
        <f>input!$H907</f>
        <v>copies</v>
      </c>
      <c r="K540" s="360">
        <v>0</v>
      </c>
      <c r="L540" s="313">
        <f>IF(input!$I907&gt;0,input!$I907,8)</f>
        <v>8</v>
      </c>
      <c r="M540" s="391">
        <f ca="1">IF(H540&gt;0,30/60,0)</f>
        <v>0</v>
      </c>
      <c r="N540" s="391">
        <f t="shared" ca="1" si="385"/>
        <v>0</v>
      </c>
      <c r="P540" s="313">
        <f>Data!$N$1153</f>
        <v>64591.331280067061</v>
      </c>
      <c r="Q540" s="313">
        <f t="shared" ca="1" si="384"/>
        <v>0</v>
      </c>
      <c r="R540" s="313">
        <f t="shared" ca="1" si="368"/>
        <v>0</v>
      </c>
      <c r="S540" s="1741">
        <f t="shared" ca="1" si="383"/>
        <v>0</v>
      </c>
      <c r="T540" s="313" t="str">
        <f>input!J907</f>
        <v>N</v>
      </c>
      <c r="V540" s="3115" t="str">
        <f>input!K907</f>
        <v>Assembly</v>
      </c>
      <c r="W540" s="3115">
        <f t="shared" ca="1" si="370"/>
        <v>0</v>
      </c>
      <c r="X540" s="3119">
        <f>VLOOKUP(V540,'Fix Cost'!$K$177:$M$179,2,0)</f>
        <v>32032.115313968527</v>
      </c>
      <c r="Y540" s="3119">
        <f>VLOOKUP(V540,'Fix Cost'!$K$177:$M$179,3,0)</f>
        <v>267567.54920876794</v>
      </c>
      <c r="Z540" s="3119">
        <f t="shared" ca="1" si="371"/>
        <v>0</v>
      </c>
      <c r="AA540" s="3115">
        <f t="shared" ca="1" si="372"/>
        <v>0</v>
      </c>
      <c r="AB540" s="3115">
        <f t="shared" ca="1" si="373"/>
        <v>0</v>
      </c>
      <c r="AP540" s="385"/>
      <c r="AQ540" s="385"/>
      <c r="AR540" s="1048"/>
      <c r="AT540" s="879">
        <f t="shared" ref="AT540:AT603" ca="1" si="386">IF(ISNUMBER(R540),IF(R540&lt;&gt;0,IF(ISNUMBER(SEARCH("to",J540)),0,1),0),"")</f>
        <v>0</v>
      </c>
      <c r="AU540" s="879">
        <f ca="1">COUNTIFS(AT$7:$AT540,1)</f>
        <v>6</v>
      </c>
    </row>
    <row r="541" spans="2:47" ht="12.75" hidden="1" customHeight="1" outlineLevel="1">
      <c r="B541" s="1738" t="s">
        <v>159</v>
      </c>
      <c r="C541" s="313" t="s">
        <v>198</v>
      </c>
      <c r="E541" s="363"/>
      <c r="F541" s="363" t="str">
        <f>input!F908</f>
        <v>N</v>
      </c>
      <c r="G541" s="363"/>
      <c r="H541" s="313">
        <f ca="1">IF(F541="PCS",$E$4,SUMIFS(Paper!$AC$7:$AC$58,Paper!$A$7:$A$58,'Production cost'!F541))</f>
        <v>0</v>
      </c>
      <c r="I541" s="313">
        <f>IF(input!$G908&gt;0,input!$G908,600)</f>
        <v>600</v>
      </c>
      <c r="J541" s="313" t="str">
        <f>input!$H908</f>
        <v>Sheets</v>
      </c>
      <c r="K541" s="360">
        <v>0</v>
      </c>
      <c r="L541" s="313">
        <f>IF(input!$I908&gt;0,input!$I908,12)</f>
        <v>12</v>
      </c>
      <c r="M541" s="391">
        <f ca="1">IF(H541&gt;0,90/60,0)</f>
        <v>0</v>
      </c>
      <c r="N541" s="391">
        <f t="shared" ca="1" si="385"/>
        <v>0</v>
      </c>
      <c r="P541" s="313">
        <f>Data!$N$1153</f>
        <v>64591.331280067061</v>
      </c>
      <c r="Q541" s="313">
        <f t="shared" ca="1" si="384"/>
        <v>0</v>
      </c>
      <c r="R541" s="313">
        <f t="shared" ca="1" si="368"/>
        <v>0</v>
      </c>
      <c r="S541" s="1741">
        <f t="shared" ca="1" si="383"/>
        <v>0</v>
      </c>
      <c r="T541" s="313" t="str">
        <f>input!J908</f>
        <v>N</v>
      </c>
      <c r="V541" s="3115" t="str">
        <f>input!K908</f>
        <v>Assembly</v>
      </c>
      <c r="W541" s="3115">
        <f t="shared" ca="1" si="370"/>
        <v>0</v>
      </c>
      <c r="X541" s="3119">
        <f>VLOOKUP(V541,'Fix Cost'!$K$177:$M$179,2,0)</f>
        <v>32032.115313968527</v>
      </c>
      <c r="Y541" s="3119">
        <f>VLOOKUP(V541,'Fix Cost'!$K$177:$M$179,3,0)</f>
        <v>267567.54920876794</v>
      </c>
      <c r="Z541" s="3119">
        <f t="shared" ca="1" si="371"/>
        <v>0</v>
      </c>
      <c r="AA541" s="3115">
        <f t="shared" ca="1" si="372"/>
        <v>0</v>
      </c>
      <c r="AB541" s="3115">
        <f t="shared" ca="1" si="373"/>
        <v>0</v>
      </c>
      <c r="AM541" s="363"/>
      <c r="AN541" s="385"/>
      <c r="AT541" s="879">
        <f t="shared" ca="1" si="386"/>
        <v>0</v>
      </c>
      <c r="AU541" s="879">
        <f ca="1">COUNTIFS(AT$7:$AT541,1)</f>
        <v>6</v>
      </c>
    </row>
    <row r="542" spans="2:47" ht="12.75" hidden="1" customHeight="1" outlineLevel="1">
      <c r="B542" s="1738" t="s">
        <v>159</v>
      </c>
      <c r="C542" s="313" t="s">
        <v>198</v>
      </c>
      <c r="E542" s="363"/>
      <c r="F542" s="363" t="str">
        <f>input!F909</f>
        <v>N</v>
      </c>
      <c r="G542" s="363"/>
      <c r="H542" s="313">
        <f ca="1">IF(F542="PCS",$E$4,SUMIFS(Paper!$AC$7:$AC$58,Paper!$A$7:$A$58,'Production cost'!F542))</f>
        <v>0</v>
      </c>
      <c r="I542" s="313">
        <f>IF(input!$G909&gt;0,input!$G909,600)</f>
        <v>600</v>
      </c>
      <c r="J542" s="313" t="str">
        <f>input!$H909</f>
        <v>Sheets</v>
      </c>
      <c r="K542" s="360">
        <v>0</v>
      </c>
      <c r="L542" s="313">
        <f>IF(input!$I909&gt;0,input!$I909,12)</f>
        <v>12</v>
      </c>
      <c r="M542" s="391">
        <f t="shared" ref="M542:M550" ca="1" si="387">IF(H542&gt;0,90/60,0)</f>
        <v>0</v>
      </c>
      <c r="N542" s="391">
        <f t="shared" ref="N542:N550" ca="1" si="388">IF(H542&gt;0,ROUNDUP(((H542/I542)/$M$5+M542),1),0)</f>
        <v>0</v>
      </c>
      <c r="P542" s="313">
        <f>Data!$N$1153</f>
        <v>64591.331280067061</v>
      </c>
      <c r="Q542" s="313">
        <f t="shared" ca="1" si="384"/>
        <v>0</v>
      </c>
      <c r="R542" s="313">
        <f t="shared" ref="R542:R550" ca="1" si="389">IF($E$2&gt;0,Q542/$E$2,0)</f>
        <v>0</v>
      </c>
      <c r="S542" s="1741">
        <f t="shared" ref="S542:S550" ca="1" si="390">IF(M542&gt;0,K542*O542+L542*P542,0)</f>
        <v>0</v>
      </c>
      <c r="T542" s="313" t="str">
        <f>input!J909</f>
        <v>N</v>
      </c>
      <c r="V542" s="3115" t="str">
        <f>input!K909</f>
        <v>Assembly</v>
      </c>
      <c r="W542" s="3115">
        <f t="shared" ca="1" si="370"/>
        <v>0</v>
      </c>
      <c r="X542" s="3119">
        <f>VLOOKUP(V542,'Fix Cost'!$K$177:$M$179,2,0)</f>
        <v>32032.115313968527</v>
      </c>
      <c r="Y542" s="3119">
        <f>VLOOKUP(V542,'Fix Cost'!$K$177:$M$179,3,0)</f>
        <v>267567.54920876794</v>
      </c>
      <c r="Z542" s="3119">
        <f t="shared" ca="1" si="371"/>
        <v>0</v>
      </c>
      <c r="AA542" s="3115">
        <f t="shared" ca="1" si="372"/>
        <v>0</v>
      </c>
      <c r="AB542" s="3115">
        <f t="shared" ca="1" si="373"/>
        <v>0</v>
      </c>
      <c r="AM542" s="363"/>
      <c r="AN542" s="385"/>
      <c r="AT542" s="879">
        <f t="shared" ca="1" si="386"/>
        <v>0</v>
      </c>
      <c r="AU542" s="879">
        <f ca="1">COUNTIFS(AT$7:$AT542,1)</f>
        <v>6</v>
      </c>
    </row>
    <row r="543" spans="2:47" ht="12.75" hidden="1" customHeight="1" outlineLevel="1">
      <c r="B543" s="1738" t="s">
        <v>159</v>
      </c>
      <c r="C543" s="313" t="s">
        <v>198</v>
      </c>
      <c r="E543" s="363"/>
      <c r="F543" s="363" t="str">
        <f>input!F910</f>
        <v>N</v>
      </c>
      <c r="G543" s="363"/>
      <c r="H543" s="313">
        <f ca="1">IF(F543="PCS",$E$4,SUMIFS(Paper!$AC$7:$AC$58,Paper!$A$7:$A$58,'Production cost'!F543))</f>
        <v>0</v>
      </c>
      <c r="I543" s="313">
        <f>IF(input!$G910&gt;0,input!$G910,600)</f>
        <v>600</v>
      </c>
      <c r="J543" s="313" t="str">
        <f>input!$H910</f>
        <v>Sheets</v>
      </c>
      <c r="K543" s="360">
        <v>0</v>
      </c>
      <c r="L543" s="313">
        <f>IF(input!$I910&gt;0,input!$I910,12)</f>
        <v>12</v>
      </c>
      <c r="M543" s="391">
        <f t="shared" ca="1" si="387"/>
        <v>0</v>
      </c>
      <c r="N543" s="391">
        <f t="shared" ca="1" si="388"/>
        <v>0</v>
      </c>
      <c r="P543" s="313">
        <f>Data!$N$1153</f>
        <v>64591.331280067061</v>
      </c>
      <c r="Q543" s="313">
        <f t="shared" ca="1" si="384"/>
        <v>0</v>
      </c>
      <c r="R543" s="313">
        <f t="shared" ca="1" si="389"/>
        <v>0</v>
      </c>
      <c r="S543" s="1741">
        <f t="shared" ca="1" si="390"/>
        <v>0</v>
      </c>
      <c r="T543" s="313" t="str">
        <f>input!J910</f>
        <v>N</v>
      </c>
      <c r="V543" s="3115" t="str">
        <f>input!K910</f>
        <v>Assembly</v>
      </c>
      <c r="W543" s="3115">
        <f t="shared" ca="1" si="370"/>
        <v>0</v>
      </c>
      <c r="X543" s="3119">
        <f>VLOOKUP(V543,'Fix Cost'!$K$177:$M$179,2,0)</f>
        <v>32032.115313968527</v>
      </c>
      <c r="Y543" s="3119">
        <f>VLOOKUP(V543,'Fix Cost'!$K$177:$M$179,3,0)</f>
        <v>267567.54920876794</v>
      </c>
      <c r="Z543" s="3119">
        <f t="shared" ca="1" si="371"/>
        <v>0</v>
      </c>
      <c r="AA543" s="3115">
        <f t="shared" ca="1" si="372"/>
        <v>0</v>
      </c>
      <c r="AB543" s="3115">
        <f t="shared" ca="1" si="373"/>
        <v>0</v>
      </c>
      <c r="AM543" s="363"/>
      <c r="AN543" s="385"/>
      <c r="AT543" s="879">
        <f t="shared" ca="1" si="386"/>
        <v>0</v>
      </c>
      <c r="AU543" s="879">
        <f ca="1">COUNTIFS(AT$7:$AT543,1)</f>
        <v>6</v>
      </c>
    </row>
    <row r="544" spans="2:47" ht="12.75" hidden="1" customHeight="1" outlineLevel="1">
      <c r="B544" s="1738" t="s">
        <v>159</v>
      </c>
      <c r="C544" s="313" t="s">
        <v>198</v>
      </c>
      <c r="E544" s="363"/>
      <c r="F544" s="363" t="str">
        <f>input!F911</f>
        <v>N</v>
      </c>
      <c r="G544" s="363"/>
      <c r="H544" s="313">
        <f ca="1">IF(F544="PCS",$E$4,SUMIFS(Paper!$AC$7:$AC$58,Paper!$A$7:$A$58,'Production cost'!F544))</f>
        <v>0</v>
      </c>
      <c r="I544" s="313">
        <f>IF(input!$G911&gt;0,input!$G911,600)</f>
        <v>600</v>
      </c>
      <c r="J544" s="313" t="str">
        <f>input!$H911</f>
        <v>Sheets</v>
      </c>
      <c r="K544" s="360">
        <v>0</v>
      </c>
      <c r="L544" s="313">
        <f>IF(input!$I911&gt;0,input!$I911,12)</f>
        <v>12</v>
      </c>
      <c r="M544" s="391">
        <f t="shared" ca="1" si="387"/>
        <v>0</v>
      </c>
      <c r="N544" s="391">
        <f t="shared" ca="1" si="388"/>
        <v>0</v>
      </c>
      <c r="P544" s="313">
        <f>Data!$N$1153</f>
        <v>64591.331280067061</v>
      </c>
      <c r="Q544" s="313">
        <f t="shared" ca="1" si="384"/>
        <v>0</v>
      </c>
      <c r="R544" s="313">
        <f t="shared" ca="1" si="389"/>
        <v>0</v>
      </c>
      <c r="S544" s="1741">
        <f t="shared" ca="1" si="390"/>
        <v>0</v>
      </c>
      <c r="T544" s="313" t="str">
        <f>input!J911</f>
        <v>N</v>
      </c>
      <c r="V544" s="3115" t="str">
        <f>input!K911</f>
        <v>Assembly</v>
      </c>
      <c r="W544" s="3115">
        <f t="shared" ca="1" si="370"/>
        <v>0</v>
      </c>
      <c r="X544" s="3119">
        <f>VLOOKUP(V544,'Fix Cost'!$K$177:$M$179,2,0)</f>
        <v>32032.115313968527</v>
      </c>
      <c r="Y544" s="3119">
        <f>VLOOKUP(V544,'Fix Cost'!$K$177:$M$179,3,0)</f>
        <v>267567.54920876794</v>
      </c>
      <c r="Z544" s="3119">
        <f t="shared" ca="1" si="371"/>
        <v>0</v>
      </c>
      <c r="AA544" s="3115">
        <f t="shared" ca="1" si="372"/>
        <v>0</v>
      </c>
      <c r="AB544" s="3115">
        <f t="shared" ca="1" si="373"/>
        <v>0</v>
      </c>
      <c r="AM544" s="363"/>
      <c r="AN544" s="385"/>
      <c r="AT544" s="879">
        <f t="shared" ca="1" si="386"/>
        <v>0</v>
      </c>
      <c r="AU544" s="879">
        <f ca="1">COUNTIFS(AT$7:$AT544,1)</f>
        <v>6</v>
      </c>
    </row>
    <row r="545" spans="2:47" ht="12.75" hidden="1" customHeight="1" outlineLevel="1">
      <c r="B545" s="1738" t="s">
        <v>159</v>
      </c>
      <c r="C545" s="313" t="s">
        <v>198</v>
      </c>
      <c r="E545" s="363"/>
      <c r="F545" s="363" t="str">
        <f>input!F912</f>
        <v>N</v>
      </c>
      <c r="G545" s="363"/>
      <c r="H545" s="313">
        <f ca="1">IF(F545="PCS",$E$4,SUMIFS(Paper!$AC$7:$AC$58,Paper!$A$7:$A$58,'Production cost'!F545))</f>
        <v>0</v>
      </c>
      <c r="I545" s="313">
        <f>IF(input!$G912&gt;0,input!$G912,600)</f>
        <v>600</v>
      </c>
      <c r="J545" s="313" t="str">
        <f>input!$H912</f>
        <v>Sheets</v>
      </c>
      <c r="K545" s="360">
        <v>0</v>
      </c>
      <c r="L545" s="313">
        <f>IF(input!$I912&gt;0,input!$I912,12)</f>
        <v>12</v>
      </c>
      <c r="M545" s="391">
        <f t="shared" ca="1" si="387"/>
        <v>0</v>
      </c>
      <c r="N545" s="391">
        <f t="shared" ca="1" si="388"/>
        <v>0</v>
      </c>
      <c r="P545" s="313">
        <f>Data!$N$1153</f>
        <v>64591.331280067061</v>
      </c>
      <c r="Q545" s="313">
        <f t="shared" ca="1" si="384"/>
        <v>0</v>
      </c>
      <c r="R545" s="313">
        <f t="shared" ca="1" si="389"/>
        <v>0</v>
      </c>
      <c r="S545" s="1741">
        <f t="shared" ca="1" si="390"/>
        <v>0</v>
      </c>
      <c r="T545" s="313" t="str">
        <f>input!J912</f>
        <v>N</v>
      </c>
      <c r="V545" s="3115" t="str">
        <f>input!K912</f>
        <v>Assembly</v>
      </c>
      <c r="W545" s="3115">
        <f t="shared" ca="1" si="370"/>
        <v>0</v>
      </c>
      <c r="X545" s="3119">
        <f>VLOOKUP(V545,'Fix Cost'!$K$177:$M$179,2,0)</f>
        <v>32032.115313968527</v>
      </c>
      <c r="Y545" s="3119">
        <f>VLOOKUP(V545,'Fix Cost'!$K$177:$M$179,3,0)</f>
        <v>267567.54920876794</v>
      </c>
      <c r="Z545" s="3119">
        <f t="shared" ca="1" si="371"/>
        <v>0</v>
      </c>
      <c r="AA545" s="3115">
        <f t="shared" ca="1" si="372"/>
        <v>0</v>
      </c>
      <c r="AB545" s="3115">
        <f t="shared" ca="1" si="373"/>
        <v>0</v>
      </c>
      <c r="AM545" s="363"/>
      <c r="AN545" s="385"/>
      <c r="AT545" s="879">
        <f t="shared" ca="1" si="386"/>
        <v>0</v>
      </c>
      <c r="AU545" s="879">
        <f ca="1">COUNTIFS(AT$7:$AT545,1)</f>
        <v>6</v>
      </c>
    </row>
    <row r="546" spans="2:47" ht="12.75" hidden="1" customHeight="1" outlineLevel="1">
      <c r="B546" s="1738" t="s">
        <v>159</v>
      </c>
      <c r="C546" s="313" t="s">
        <v>198</v>
      </c>
      <c r="E546" s="363"/>
      <c r="F546" s="363" t="str">
        <f>input!F913</f>
        <v>N</v>
      </c>
      <c r="G546" s="363"/>
      <c r="H546" s="313">
        <f ca="1">IF(F546="PCS",$E$4,SUMIFS(Paper!$AC$7:$AC$58,Paper!$A$7:$A$58,'Production cost'!F546))</f>
        <v>0</v>
      </c>
      <c r="I546" s="313">
        <f>IF(input!$G913&gt;0,input!$G913,600)</f>
        <v>600</v>
      </c>
      <c r="J546" s="313" t="str">
        <f>input!$H913</f>
        <v>Sheets</v>
      </c>
      <c r="K546" s="360">
        <v>0</v>
      </c>
      <c r="L546" s="313">
        <f>IF(input!$I913&gt;0,input!$I913,12)</f>
        <v>12</v>
      </c>
      <c r="M546" s="391">
        <f t="shared" ca="1" si="387"/>
        <v>0</v>
      </c>
      <c r="N546" s="391">
        <f t="shared" ca="1" si="388"/>
        <v>0</v>
      </c>
      <c r="P546" s="313">
        <f>Data!$N$1153</f>
        <v>64591.331280067061</v>
      </c>
      <c r="Q546" s="313">
        <f t="shared" ca="1" si="384"/>
        <v>0</v>
      </c>
      <c r="R546" s="313">
        <f t="shared" ca="1" si="389"/>
        <v>0</v>
      </c>
      <c r="S546" s="1741">
        <f t="shared" ca="1" si="390"/>
        <v>0</v>
      </c>
      <c r="T546" s="313" t="str">
        <f>input!J913</f>
        <v>N</v>
      </c>
      <c r="V546" s="3115" t="str">
        <f>input!K913</f>
        <v>Assembly</v>
      </c>
      <c r="W546" s="3115">
        <f t="shared" ca="1" si="370"/>
        <v>0</v>
      </c>
      <c r="X546" s="3119">
        <f>VLOOKUP(V546,'Fix Cost'!$K$177:$M$179,2,0)</f>
        <v>32032.115313968527</v>
      </c>
      <c r="Y546" s="3119">
        <f>VLOOKUP(V546,'Fix Cost'!$K$177:$M$179,3,0)</f>
        <v>267567.54920876794</v>
      </c>
      <c r="Z546" s="3119">
        <f t="shared" ca="1" si="371"/>
        <v>0</v>
      </c>
      <c r="AA546" s="3115">
        <f t="shared" ca="1" si="372"/>
        <v>0</v>
      </c>
      <c r="AB546" s="3115">
        <f t="shared" ca="1" si="373"/>
        <v>0</v>
      </c>
      <c r="AM546" s="363"/>
      <c r="AN546" s="385"/>
      <c r="AT546" s="879">
        <f t="shared" ca="1" si="386"/>
        <v>0</v>
      </c>
      <c r="AU546" s="879">
        <f ca="1">COUNTIFS(AT$7:$AT546,1)</f>
        <v>6</v>
      </c>
    </row>
    <row r="547" spans="2:47" ht="12.75" hidden="1" customHeight="1" outlineLevel="1">
      <c r="B547" s="1738" t="s">
        <v>159</v>
      </c>
      <c r="C547" s="313" t="s">
        <v>198</v>
      </c>
      <c r="E547" s="363"/>
      <c r="F547" s="363" t="str">
        <f>input!F914</f>
        <v>N</v>
      </c>
      <c r="G547" s="363"/>
      <c r="H547" s="313">
        <f ca="1">IF(F547="PCS",$E$4,SUMIFS(Paper!$AC$7:$AC$58,Paper!$A$7:$A$58,'Production cost'!F547))</f>
        <v>0</v>
      </c>
      <c r="I547" s="313">
        <f>IF(input!$G914&gt;0,input!$G914,600)</f>
        <v>600</v>
      </c>
      <c r="J547" s="313" t="str">
        <f>input!$H914</f>
        <v>Sheets</v>
      </c>
      <c r="K547" s="360">
        <v>0</v>
      </c>
      <c r="L547" s="313">
        <f>IF(input!$I914&gt;0,input!$I914,12)</f>
        <v>12</v>
      </c>
      <c r="M547" s="391">
        <f t="shared" ca="1" si="387"/>
        <v>0</v>
      </c>
      <c r="N547" s="391">
        <f t="shared" ca="1" si="388"/>
        <v>0</v>
      </c>
      <c r="P547" s="313">
        <f>Data!$N$1153</f>
        <v>64591.331280067061</v>
      </c>
      <c r="Q547" s="313">
        <f t="shared" ca="1" si="384"/>
        <v>0</v>
      </c>
      <c r="R547" s="313">
        <f t="shared" ca="1" si="389"/>
        <v>0</v>
      </c>
      <c r="S547" s="1741">
        <f t="shared" ca="1" si="390"/>
        <v>0</v>
      </c>
      <c r="T547" s="313" t="str">
        <f>input!J914</f>
        <v>N</v>
      </c>
      <c r="V547" s="3115" t="str">
        <f>input!K914</f>
        <v>Assembly</v>
      </c>
      <c r="W547" s="3115">
        <f t="shared" ca="1" si="370"/>
        <v>0</v>
      </c>
      <c r="X547" s="3119">
        <f>VLOOKUP(V547,'Fix Cost'!$K$177:$M$179,2,0)</f>
        <v>32032.115313968527</v>
      </c>
      <c r="Y547" s="3119">
        <f>VLOOKUP(V547,'Fix Cost'!$K$177:$M$179,3,0)</f>
        <v>267567.54920876794</v>
      </c>
      <c r="Z547" s="3119">
        <f t="shared" ca="1" si="371"/>
        <v>0</v>
      </c>
      <c r="AA547" s="3115">
        <f t="shared" ca="1" si="372"/>
        <v>0</v>
      </c>
      <c r="AB547" s="3115">
        <f t="shared" ca="1" si="373"/>
        <v>0</v>
      </c>
      <c r="AM547" s="363"/>
      <c r="AN547" s="385"/>
      <c r="AT547" s="879">
        <f t="shared" ca="1" si="386"/>
        <v>0</v>
      </c>
      <c r="AU547" s="879">
        <f ca="1">COUNTIFS(AT$7:$AT547,1)</f>
        <v>6</v>
      </c>
    </row>
    <row r="548" spans="2:47" ht="12.75" hidden="1" customHeight="1" outlineLevel="1">
      <c r="B548" s="1738" t="s">
        <v>159</v>
      </c>
      <c r="C548" s="313" t="s">
        <v>198</v>
      </c>
      <c r="E548" s="363"/>
      <c r="F548" s="363" t="str">
        <f>input!F915</f>
        <v>N</v>
      </c>
      <c r="G548" s="363"/>
      <c r="H548" s="313">
        <f ca="1">IF(F548="PCS",$E$4,SUMIFS(Paper!$AC$7:$AC$58,Paper!$A$7:$A$58,'Production cost'!F548))</f>
        <v>0</v>
      </c>
      <c r="I548" s="313">
        <f>IF(input!$G915&gt;0,input!$G915,600)</f>
        <v>600</v>
      </c>
      <c r="J548" s="313" t="str">
        <f>input!$H915</f>
        <v>Sheets</v>
      </c>
      <c r="K548" s="360">
        <v>0</v>
      </c>
      <c r="L548" s="313">
        <f>IF(input!$I915&gt;0,input!$I915,12)</f>
        <v>12</v>
      </c>
      <c r="M548" s="391">
        <f t="shared" ca="1" si="387"/>
        <v>0</v>
      </c>
      <c r="N548" s="391">
        <f t="shared" ca="1" si="388"/>
        <v>0</v>
      </c>
      <c r="P548" s="313">
        <f>Data!$N$1153</f>
        <v>64591.331280067061</v>
      </c>
      <c r="Q548" s="313">
        <f t="shared" ca="1" si="384"/>
        <v>0</v>
      </c>
      <c r="R548" s="313">
        <f t="shared" ca="1" si="389"/>
        <v>0</v>
      </c>
      <c r="S548" s="1741">
        <f t="shared" ca="1" si="390"/>
        <v>0</v>
      </c>
      <c r="T548" s="313" t="str">
        <f>input!J915</f>
        <v>N</v>
      </c>
      <c r="V548" s="3115" t="str">
        <f>input!K915</f>
        <v>Assembly</v>
      </c>
      <c r="W548" s="3115">
        <f t="shared" ca="1" si="370"/>
        <v>0</v>
      </c>
      <c r="X548" s="3119">
        <f>VLOOKUP(V548,'Fix Cost'!$K$177:$M$179,2,0)</f>
        <v>32032.115313968527</v>
      </c>
      <c r="Y548" s="3119">
        <f>VLOOKUP(V548,'Fix Cost'!$K$177:$M$179,3,0)</f>
        <v>267567.54920876794</v>
      </c>
      <c r="Z548" s="3119">
        <f t="shared" ca="1" si="371"/>
        <v>0</v>
      </c>
      <c r="AA548" s="3115">
        <f t="shared" ca="1" si="372"/>
        <v>0</v>
      </c>
      <c r="AB548" s="3115">
        <f t="shared" ca="1" si="373"/>
        <v>0</v>
      </c>
      <c r="AM548" s="363"/>
      <c r="AN548" s="385"/>
      <c r="AT548" s="879">
        <f t="shared" ca="1" si="386"/>
        <v>0</v>
      </c>
      <c r="AU548" s="879">
        <f ca="1">COUNTIFS(AT$7:$AT548,1)</f>
        <v>6</v>
      </c>
    </row>
    <row r="549" spans="2:47" ht="12.75" hidden="1" customHeight="1" outlineLevel="1">
      <c r="B549" s="1738" t="s">
        <v>159</v>
      </c>
      <c r="C549" s="313" t="s">
        <v>198</v>
      </c>
      <c r="E549" s="363"/>
      <c r="F549" s="363" t="str">
        <f>input!F916</f>
        <v>N</v>
      </c>
      <c r="G549" s="363"/>
      <c r="H549" s="313">
        <f ca="1">IF(F549="PCS",$E$4,SUMIFS(Paper!$AC$7:$AC$58,Paper!$A$7:$A$58,'Production cost'!F549))</f>
        <v>0</v>
      </c>
      <c r="I549" s="313">
        <f>IF(input!$G916&gt;0,input!$G916,600)</f>
        <v>600</v>
      </c>
      <c r="J549" s="313" t="str">
        <f>input!$H916</f>
        <v>Sheets</v>
      </c>
      <c r="K549" s="360">
        <v>0</v>
      </c>
      <c r="L549" s="313">
        <f>IF(input!$I916&gt;0,input!$I916,12)</f>
        <v>12</v>
      </c>
      <c r="M549" s="391">
        <f t="shared" ca="1" si="387"/>
        <v>0</v>
      </c>
      <c r="N549" s="391">
        <f t="shared" ca="1" si="388"/>
        <v>0</v>
      </c>
      <c r="P549" s="313">
        <f>Data!$N$1153</f>
        <v>64591.331280067061</v>
      </c>
      <c r="Q549" s="313">
        <f t="shared" ca="1" si="384"/>
        <v>0</v>
      </c>
      <c r="R549" s="313">
        <f t="shared" ca="1" si="389"/>
        <v>0</v>
      </c>
      <c r="S549" s="1741">
        <f t="shared" ca="1" si="390"/>
        <v>0</v>
      </c>
      <c r="T549" s="313" t="str">
        <f>input!J916</f>
        <v>N</v>
      </c>
      <c r="V549" s="3115" t="str">
        <f>input!K916</f>
        <v>Assembly</v>
      </c>
      <c r="W549" s="3115">
        <f t="shared" ca="1" si="370"/>
        <v>0</v>
      </c>
      <c r="X549" s="3119">
        <f>VLOOKUP(V549,'Fix Cost'!$K$177:$M$179,2,0)</f>
        <v>32032.115313968527</v>
      </c>
      <c r="Y549" s="3119">
        <f>VLOOKUP(V549,'Fix Cost'!$K$177:$M$179,3,0)</f>
        <v>267567.54920876794</v>
      </c>
      <c r="Z549" s="3119">
        <f t="shared" ca="1" si="371"/>
        <v>0</v>
      </c>
      <c r="AA549" s="3115">
        <f t="shared" ca="1" si="372"/>
        <v>0</v>
      </c>
      <c r="AB549" s="3115">
        <f t="shared" ca="1" si="373"/>
        <v>0</v>
      </c>
      <c r="AM549" s="363"/>
      <c r="AN549" s="385"/>
      <c r="AT549" s="879">
        <f t="shared" ca="1" si="386"/>
        <v>0</v>
      </c>
      <c r="AU549" s="879">
        <f ca="1">COUNTIFS(AT$7:$AT549,1)</f>
        <v>6</v>
      </c>
    </row>
    <row r="550" spans="2:47" ht="12.75" hidden="1" customHeight="1" outlineLevel="1">
      <c r="B550" s="1738" t="s">
        <v>159</v>
      </c>
      <c r="C550" s="313" t="s">
        <v>198</v>
      </c>
      <c r="E550" s="363"/>
      <c r="F550" s="363" t="str">
        <f>input!F917</f>
        <v>N</v>
      </c>
      <c r="G550" s="363"/>
      <c r="H550" s="313">
        <f ca="1">IF(F550="PCS",$E$4,SUMIFS(Paper!$AC$7:$AC$58,Paper!$A$7:$A$58,'Production cost'!F550))</f>
        <v>0</v>
      </c>
      <c r="I550" s="313">
        <f>IF(input!$G917&gt;0,input!$G917,600)</f>
        <v>600</v>
      </c>
      <c r="J550" s="313" t="str">
        <f>input!$H917</f>
        <v>Sheets</v>
      </c>
      <c r="K550" s="360">
        <v>0</v>
      </c>
      <c r="L550" s="313">
        <f>IF(input!$I917&gt;0,input!$I917,12)</f>
        <v>12</v>
      </c>
      <c r="M550" s="391">
        <f t="shared" ca="1" si="387"/>
        <v>0</v>
      </c>
      <c r="N550" s="391">
        <f t="shared" ca="1" si="388"/>
        <v>0</v>
      </c>
      <c r="P550" s="313">
        <f>Data!$N$1153</f>
        <v>64591.331280067061</v>
      </c>
      <c r="Q550" s="313">
        <f t="shared" ca="1" si="384"/>
        <v>0</v>
      </c>
      <c r="R550" s="313">
        <f t="shared" ca="1" si="389"/>
        <v>0</v>
      </c>
      <c r="S550" s="1741">
        <f t="shared" ca="1" si="390"/>
        <v>0</v>
      </c>
      <c r="T550" s="313" t="str">
        <f>input!J917</f>
        <v>N</v>
      </c>
      <c r="V550" s="3115" t="str">
        <f>input!K917</f>
        <v>Assembly</v>
      </c>
      <c r="W550" s="3115">
        <f t="shared" ca="1" si="370"/>
        <v>0</v>
      </c>
      <c r="X550" s="3119">
        <f>VLOOKUP(V550,'Fix Cost'!$K$177:$M$179,2,0)</f>
        <v>32032.115313968527</v>
      </c>
      <c r="Y550" s="3119">
        <f>VLOOKUP(V550,'Fix Cost'!$K$177:$M$179,3,0)</f>
        <v>267567.54920876794</v>
      </c>
      <c r="Z550" s="3119">
        <f t="shared" ca="1" si="371"/>
        <v>0</v>
      </c>
      <c r="AA550" s="3115">
        <f t="shared" ca="1" si="372"/>
        <v>0</v>
      </c>
      <c r="AB550" s="3115">
        <f t="shared" ca="1" si="373"/>
        <v>0</v>
      </c>
      <c r="AM550" s="363"/>
      <c r="AN550" s="385"/>
      <c r="AT550" s="879">
        <f t="shared" ca="1" si="386"/>
        <v>0</v>
      </c>
      <c r="AU550" s="879">
        <f ca="1">COUNTIFS(AT$7:$AT550,1)</f>
        <v>6</v>
      </c>
    </row>
    <row r="551" spans="2:47" ht="12.75" hidden="1" customHeight="1" outlineLevel="1">
      <c r="B551" s="1738" t="s">
        <v>159</v>
      </c>
      <c r="C551" s="313" t="s">
        <v>617</v>
      </c>
      <c r="E551" s="363"/>
      <c r="F551" s="363" t="str">
        <f>input!F918</f>
        <v>N</v>
      </c>
      <c r="G551" s="363" t="str">
        <f>input!E918</f>
        <v>&gt; 200 x 300</v>
      </c>
      <c r="H551" s="313">
        <f ca="1">IF(F551="PCS",$E$4,SUMIFS(Paper!$AC$7:$AC$58,Paper!$A$7:$A$58,'Production cost'!F551))</f>
        <v>0</v>
      </c>
      <c r="I551" s="313">
        <f>IF(input!$G918&gt;0,input!$G918,VLOOKUP($C551,Data!$L$1086:$O$1096,IF(G551=Data!$N$1086,3,4),0))</f>
        <v>900</v>
      </c>
      <c r="J551" s="313" t="str">
        <f>input!$H918</f>
        <v>copies</v>
      </c>
      <c r="K551" s="360">
        <v>0</v>
      </c>
      <c r="L551" s="313">
        <f>IF(input!$I918&gt;0,input!$I918,2)</f>
        <v>2</v>
      </c>
      <c r="M551" s="391">
        <f ca="1">IF(H551&gt;0,45/60,0)</f>
        <v>0</v>
      </c>
      <c r="N551" s="391">
        <f t="shared" ca="1" si="385"/>
        <v>0</v>
      </c>
      <c r="P551" s="313">
        <f>Data!$N$1153</f>
        <v>64591.331280067061</v>
      </c>
      <c r="Q551" s="313">
        <f t="shared" ca="1" si="384"/>
        <v>0</v>
      </c>
      <c r="R551" s="313">
        <f t="shared" ref="R551:R561" ca="1" si="391">IF($E$2&gt;0,Q551/$E$2,0)</f>
        <v>0</v>
      </c>
      <c r="S551" s="1741">
        <f t="shared" ca="1" si="383"/>
        <v>0</v>
      </c>
      <c r="T551" s="313" t="str">
        <f>input!J918</f>
        <v>N</v>
      </c>
      <c r="V551" s="3115" t="str">
        <f>input!K918</f>
        <v>Assembly</v>
      </c>
      <c r="W551" s="3115">
        <f t="shared" ca="1" si="370"/>
        <v>0</v>
      </c>
      <c r="X551" s="3119">
        <f>VLOOKUP(V551,'Fix Cost'!$K$177:$M$179,2,0)</f>
        <v>32032.115313968527</v>
      </c>
      <c r="Y551" s="3119">
        <f>VLOOKUP(V551,'Fix Cost'!$K$177:$M$179,3,0)</f>
        <v>267567.54920876794</v>
      </c>
      <c r="Z551" s="3119">
        <f t="shared" ca="1" si="371"/>
        <v>0</v>
      </c>
      <c r="AA551" s="3115">
        <f t="shared" ca="1" si="372"/>
        <v>0</v>
      </c>
      <c r="AB551" s="3115">
        <f t="shared" ca="1" si="373"/>
        <v>0</v>
      </c>
      <c r="AL551" s="313"/>
      <c r="AM551" s="363"/>
      <c r="AN551" s="385"/>
      <c r="AT551" s="879">
        <f t="shared" ca="1" si="386"/>
        <v>0</v>
      </c>
      <c r="AU551" s="879">
        <f ca="1">COUNTIFS(AT$7:$AT551,1)</f>
        <v>6</v>
      </c>
    </row>
    <row r="552" spans="2:47" ht="12.75" hidden="1" customHeight="1" outlineLevel="1">
      <c r="B552" s="1738" t="s">
        <v>159</v>
      </c>
      <c r="C552" s="313" t="s">
        <v>618</v>
      </c>
      <c r="E552" s="363"/>
      <c r="F552" s="363" t="str">
        <f>input!F919</f>
        <v>N</v>
      </c>
      <c r="G552" s="363" t="str">
        <f>input!E919</f>
        <v>&gt; 200 x 300</v>
      </c>
      <c r="H552" s="313">
        <f ca="1">IF(F552="PCS",$E$4,SUMIFS(Paper!$AC$7:$AC$58,Paper!$A$7:$A$58,'Production cost'!F552))</f>
        <v>0</v>
      </c>
      <c r="I552" s="313">
        <f>IF(input!$G919&gt;0,input!$G919,VLOOKUP($C552,Data!$L$1086:$O$1096,IF(G552=Data!$N$1086,3,4),0))</f>
        <v>900</v>
      </c>
      <c r="J552" s="313" t="str">
        <f>input!$H919</f>
        <v>copies</v>
      </c>
      <c r="K552" s="360">
        <v>0</v>
      </c>
      <c r="L552" s="313">
        <f>IF(input!$I919&gt;0,input!$I919,2)</f>
        <v>2</v>
      </c>
      <c r="M552" s="391">
        <f ca="1">IF(H552&gt;0,45/60,0)</f>
        <v>0</v>
      </c>
      <c r="N552" s="391">
        <f t="shared" ca="1" si="385"/>
        <v>0</v>
      </c>
      <c r="P552" s="313">
        <f>Data!$N$1153</f>
        <v>64591.331280067061</v>
      </c>
      <c r="Q552" s="313">
        <f t="shared" ca="1" si="384"/>
        <v>0</v>
      </c>
      <c r="R552" s="313">
        <f t="shared" ca="1" si="391"/>
        <v>0</v>
      </c>
      <c r="S552" s="1741">
        <f t="shared" ca="1" si="383"/>
        <v>0</v>
      </c>
      <c r="T552" s="313" t="str">
        <f>input!J919</f>
        <v>N</v>
      </c>
      <c r="V552" s="3115" t="str">
        <f>input!K919</f>
        <v>Assembly</v>
      </c>
      <c r="W552" s="3115">
        <f t="shared" ca="1" si="370"/>
        <v>0</v>
      </c>
      <c r="X552" s="3119">
        <f>VLOOKUP(V552,'Fix Cost'!$K$177:$M$179,2,0)</f>
        <v>32032.115313968527</v>
      </c>
      <c r="Y552" s="3119">
        <f>VLOOKUP(V552,'Fix Cost'!$K$177:$M$179,3,0)</f>
        <v>267567.54920876794</v>
      </c>
      <c r="Z552" s="3119">
        <f t="shared" ca="1" si="371"/>
        <v>0</v>
      </c>
      <c r="AA552" s="3115">
        <f t="shared" ca="1" si="372"/>
        <v>0</v>
      </c>
      <c r="AB552" s="3115">
        <f t="shared" ca="1" si="373"/>
        <v>0</v>
      </c>
      <c r="AL552" s="313"/>
      <c r="AM552" s="363"/>
      <c r="AN552" s="385"/>
      <c r="AT552" s="879">
        <f t="shared" ca="1" si="386"/>
        <v>0</v>
      </c>
      <c r="AU552" s="879">
        <f ca="1">COUNTIFS(AT$7:$AT552,1)</f>
        <v>6</v>
      </c>
    </row>
    <row r="553" spans="2:47" ht="12.75" hidden="1" customHeight="1" outlineLevel="1">
      <c r="B553" s="1738" t="s">
        <v>159</v>
      </c>
      <c r="C553" s="313" t="s">
        <v>641</v>
      </c>
      <c r="E553" s="363"/>
      <c r="F553" s="363" t="str">
        <f>input!F920</f>
        <v>N</v>
      </c>
      <c r="G553" s="363" t="str">
        <f>input!E920</f>
        <v>&gt; 200 x 300</v>
      </c>
      <c r="H553" s="313">
        <f ca="1">IF(F553="PCS",$E$4,SUMIFS(Paper!$AC$7:$AC$58,Paper!$A$7:$A$58,'Production cost'!F553))</f>
        <v>0</v>
      </c>
      <c r="I553" s="313">
        <f>IF(input!$G920&gt;0,input!$G920,VLOOKUP($C553,Data!$L$1086:$O$1096,IF(G553=Data!$N$1086,3,4),0))</f>
        <v>1100</v>
      </c>
      <c r="J553" s="313" t="str">
        <f>input!$H920</f>
        <v>copies</v>
      </c>
      <c r="K553" s="360">
        <v>0</v>
      </c>
      <c r="L553" s="313">
        <f>IF(input!$I920&gt;0,input!$I920,5)</f>
        <v>5</v>
      </c>
      <c r="M553" s="391">
        <f ca="1">IF(H553&gt;0,45/60,0)</f>
        <v>0</v>
      </c>
      <c r="N553" s="391">
        <f t="shared" ca="1" si="385"/>
        <v>0</v>
      </c>
      <c r="P553" s="313">
        <f>Data!$N$1153</f>
        <v>64591.331280067061</v>
      </c>
      <c r="Q553" s="313">
        <f t="shared" ca="1" si="384"/>
        <v>0</v>
      </c>
      <c r="R553" s="313">
        <f t="shared" ca="1" si="391"/>
        <v>0</v>
      </c>
      <c r="S553" s="1741">
        <f t="shared" ca="1" si="383"/>
        <v>0</v>
      </c>
      <c r="T553" s="313" t="str">
        <f>input!J920</f>
        <v>N</v>
      </c>
      <c r="V553" s="3115" t="str">
        <f>input!K920</f>
        <v>Assembly</v>
      </c>
      <c r="W553" s="3115">
        <f t="shared" ca="1" si="370"/>
        <v>0</v>
      </c>
      <c r="X553" s="3119">
        <f>VLOOKUP(V553,'Fix Cost'!$K$177:$M$179,2,0)</f>
        <v>32032.115313968527</v>
      </c>
      <c r="Y553" s="3119">
        <f>VLOOKUP(V553,'Fix Cost'!$K$177:$M$179,3,0)</f>
        <v>267567.54920876794</v>
      </c>
      <c r="Z553" s="3119">
        <f t="shared" ca="1" si="371"/>
        <v>0</v>
      </c>
      <c r="AA553" s="3115">
        <f t="shared" ca="1" si="372"/>
        <v>0</v>
      </c>
      <c r="AB553" s="3115">
        <f t="shared" ca="1" si="373"/>
        <v>0</v>
      </c>
      <c r="AL553" s="313"/>
      <c r="AM553" s="363"/>
      <c r="AN553" s="385"/>
      <c r="AT553" s="879">
        <f t="shared" ca="1" si="386"/>
        <v>0</v>
      </c>
      <c r="AU553" s="879">
        <f ca="1">COUNTIFS(AT$7:$AT553,1)</f>
        <v>6</v>
      </c>
    </row>
    <row r="554" spans="2:47" ht="12.75" hidden="1" customHeight="1" outlineLevel="1">
      <c r="B554" s="1738" t="s">
        <v>159</v>
      </c>
      <c r="C554" s="313" t="s">
        <v>620</v>
      </c>
      <c r="E554" s="363"/>
      <c r="F554" s="363" t="str">
        <f>input!F921</f>
        <v>N</v>
      </c>
      <c r="G554" s="363" t="str">
        <f>input!E921</f>
        <v>&gt; 200 x 300</v>
      </c>
      <c r="H554" s="313">
        <f ca="1">IF(F554="PCS",$E$4,SUMIFS(Paper!$AC$7:$AC$58,Paper!$A$7:$A$58,'Production cost'!F554))</f>
        <v>0</v>
      </c>
      <c r="I554" s="313">
        <f>IF(input!$G921&gt;0,input!$G921,VLOOKUP($C554,Data!$L$1086:$O$1096,IF(G554=Data!$N$1086,3,4),0))</f>
        <v>900</v>
      </c>
      <c r="J554" s="313" t="str">
        <f>input!$H921</f>
        <v>copies</v>
      </c>
      <c r="K554" s="360">
        <v>0</v>
      </c>
      <c r="L554" s="313">
        <f>IF(input!$I921&gt;0,input!$I921,5)</f>
        <v>5</v>
      </c>
      <c r="M554" s="391">
        <f ca="1">IF(H554&gt;0,45/60,0)</f>
        <v>0</v>
      </c>
      <c r="N554" s="391">
        <f t="shared" ca="1" si="385"/>
        <v>0</v>
      </c>
      <c r="P554" s="313">
        <f>Data!$N$1153</f>
        <v>64591.331280067061</v>
      </c>
      <c r="Q554" s="313">
        <f t="shared" ca="1" si="384"/>
        <v>0</v>
      </c>
      <c r="R554" s="313">
        <f t="shared" ca="1" si="391"/>
        <v>0</v>
      </c>
      <c r="S554" s="1741">
        <f t="shared" ca="1" si="383"/>
        <v>0</v>
      </c>
      <c r="T554" s="313" t="str">
        <f>input!J921</f>
        <v>N</v>
      </c>
      <c r="V554" s="3115" t="str">
        <f>input!K921</f>
        <v>Assembly</v>
      </c>
      <c r="W554" s="3115">
        <f t="shared" ca="1" si="370"/>
        <v>0</v>
      </c>
      <c r="X554" s="3119">
        <f>VLOOKUP(V554,'Fix Cost'!$K$177:$M$179,2,0)</f>
        <v>32032.115313968527</v>
      </c>
      <c r="Y554" s="3119">
        <f>VLOOKUP(V554,'Fix Cost'!$K$177:$M$179,3,0)</f>
        <v>267567.54920876794</v>
      </c>
      <c r="Z554" s="3119">
        <f t="shared" ca="1" si="371"/>
        <v>0</v>
      </c>
      <c r="AA554" s="3115">
        <f t="shared" ca="1" si="372"/>
        <v>0</v>
      </c>
      <c r="AB554" s="3115">
        <f t="shared" ca="1" si="373"/>
        <v>0</v>
      </c>
      <c r="AL554" s="313"/>
      <c r="AM554" s="363"/>
      <c r="AN554" s="385"/>
      <c r="AT554" s="879">
        <f t="shared" ca="1" si="386"/>
        <v>0</v>
      </c>
      <c r="AU554" s="879">
        <f ca="1">COUNTIFS(AT$7:$AT554,1)</f>
        <v>6</v>
      </c>
    </row>
    <row r="555" spans="2:47" ht="12.75" hidden="1" customHeight="1" outlineLevel="1">
      <c r="B555" s="1738" t="s">
        <v>159</v>
      </c>
      <c r="C555" s="313" t="s">
        <v>261</v>
      </c>
      <c r="E555" s="363"/>
      <c r="F555" s="363" t="str">
        <f>input!F922</f>
        <v>N</v>
      </c>
      <c r="G555" s="363"/>
      <c r="H555" s="313">
        <f ca="1">IF(F555="PCS",$E$4,SUMIFS(Paper!$AC$7:$AC$58,Paper!$A$7:$A$58,'Production cost'!F555))</f>
        <v>0</v>
      </c>
      <c r="I555" s="313">
        <f>IF(input!$G922&gt;0,input!$G922,9000)</f>
        <v>9000</v>
      </c>
      <c r="J555" s="313" t="str">
        <f>input!$H922</f>
        <v>copies</v>
      </c>
      <c r="K555" s="360">
        <v>0</v>
      </c>
      <c r="L555" s="313">
        <f>input!I922</f>
        <v>0</v>
      </c>
      <c r="M555" s="391">
        <f ca="1">IF(H555&gt;0,180/60,0)</f>
        <v>0</v>
      </c>
      <c r="N555" s="391">
        <f t="shared" ca="1" si="385"/>
        <v>0</v>
      </c>
      <c r="P555" s="313">
        <f>Data!$N$1153</f>
        <v>64591.331280067061</v>
      </c>
      <c r="Q555" s="313">
        <f t="shared" ca="1" si="384"/>
        <v>0</v>
      </c>
      <c r="R555" s="313">
        <f t="shared" ca="1" si="391"/>
        <v>0</v>
      </c>
      <c r="S555" s="1741">
        <f t="shared" ca="1" si="383"/>
        <v>0</v>
      </c>
      <c r="T555" s="313" t="str">
        <f>input!J922</f>
        <v>N</v>
      </c>
      <c r="V555" s="3115" t="str">
        <f>input!K922</f>
        <v>Assembly</v>
      </c>
      <c r="W555" s="3115">
        <f t="shared" ca="1" si="370"/>
        <v>0</v>
      </c>
      <c r="X555" s="3119">
        <f>VLOOKUP(V555,'Fix Cost'!$K$177:$M$179,2,0)</f>
        <v>32032.115313968527</v>
      </c>
      <c r="Y555" s="3119">
        <f>VLOOKUP(V555,'Fix Cost'!$K$177:$M$179,3,0)</f>
        <v>267567.54920876794</v>
      </c>
      <c r="Z555" s="3119">
        <f t="shared" ca="1" si="371"/>
        <v>0</v>
      </c>
      <c r="AA555" s="3115">
        <f t="shared" ca="1" si="372"/>
        <v>0</v>
      </c>
      <c r="AB555" s="3115">
        <f t="shared" ca="1" si="373"/>
        <v>0</v>
      </c>
      <c r="AL555" s="313"/>
      <c r="AM555" s="363"/>
      <c r="AN555" s="385"/>
      <c r="AT555" s="879">
        <f t="shared" ca="1" si="386"/>
        <v>0</v>
      </c>
      <c r="AU555" s="879">
        <f ca="1">COUNTIFS(AT$7:$AT555,1)</f>
        <v>6</v>
      </c>
    </row>
    <row r="556" spans="2:47" ht="12.75" hidden="1" customHeight="1" outlineLevel="1">
      <c r="B556" s="1738" t="s">
        <v>159</v>
      </c>
      <c r="C556" s="313" t="s">
        <v>262</v>
      </c>
      <c r="E556" s="363"/>
      <c r="F556" s="363" t="str">
        <f>input!F923</f>
        <v>N</v>
      </c>
      <c r="G556" s="363"/>
      <c r="H556" s="313">
        <f ca="1">IF(F556="PCS",$E$4,SUMIFS(Paper!$AC$7:$AC$58,Paper!$A$7:$A$58,'Production cost'!F556))</f>
        <v>0</v>
      </c>
      <c r="I556" s="313">
        <f>IF(input!$G923&gt;0,input!$G923,9000)</f>
        <v>9000</v>
      </c>
      <c r="J556" s="313" t="str">
        <f>input!$H923</f>
        <v>copies</v>
      </c>
      <c r="K556" s="360">
        <v>0</v>
      </c>
      <c r="L556" s="313">
        <f>input!I923</f>
        <v>0</v>
      </c>
      <c r="M556" s="391">
        <f ca="1">IF(H556&gt;0,180/60,0)</f>
        <v>0</v>
      </c>
      <c r="N556" s="391">
        <f t="shared" ca="1" si="385"/>
        <v>0</v>
      </c>
      <c r="P556" s="313">
        <f>Data!$N$1153</f>
        <v>64591.331280067061</v>
      </c>
      <c r="Q556" s="313">
        <f t="shared" ca="1" si="384"/>
        <v>0</v>
      </c>
      <c r="R556" s="313">
        <f t="shared" ca="1" si="391"/>
        <v>0</v>
      </c>
      <c r="S556" s="1741">
        <f t="shared" ca="1" si="383"/>
        <v>0</v>
      </c>
      <c r="T556" s="313" t="str">
        <f>input!J923</f>
        <v>N</v>
      </c>
      <c r="V556" s="3115" t="str">
        <f>input!K923</f>
        <v>Assembly</v>
      </c>
      <c r="W556" s="3115">
        <f t="shared" ca="1" si="370"/>
        <v>0</v>
      </c>
      <c r="X556" s="3119">
        <f>VLOOKUP(V556,'Fix Cost'!$K$177:$M$179,2,0)</f>
        <v>32032.115313968527</v>
      </c>
      <c r="Y556" s="3119">
        <f>VLOOKUP(V556,'Fix Cost'!$K$177:$M$179,3,0)</f>
        <v>267567.54920876794</v>
      </c>
      <c r="Z556" s="3119">
        <f t="shared" ca="1" si="371"/>
        <v>0</v>
      </c>
      <c r="AA556" s="3115">
        <f t="shared" ca="1" si="372"/>
        <v>0</v>
      </c>
      <c r="AB556" s="3115">
        <f t="shared" ca="1" si="373"/>
        <v>0</v>
      </c>
      <c r="AL556" s="313"/>
      <c r="AM556" s="363"/>
      <c r="AN556" s="385"/>
      <c r="AT556" s="879">
        <f t="shared" ca="1" si="386"/>
        <v>0</v>
      </c>
      <c r="AU556" s="879">
        <f ca="1">COUNTIFS(AT$7:$AT556,1)</f>
        <v>6</v>
      </c>
    </row>
    <row r="557" spans="2:47" ht="12.75" hidden="1" customHeight="1" outlineLevel="1">
      <c r="B557" s="1738" t="s">
        <v>159</v>
      </c>
      <c r="C557" s="313" t="s">
        <v>224</v>
      </c>
      <c r="E557" s="363"/>
      <c r="F557" s="363" t="str">
        <f>input!F924</f>
        <v>N</v>
      </c>
      <c r="G557" s="363"/>
      <c r="H557" s="313">
        <f ca="1">IF(F557="PCS",$E$4,SUMIFS(Paper!$AC$7:$AC$58,Paper!$A$7:$A$58,'Production cost'!F557))</f>
        <v>0</v>
      </c>
      <c r="I557" s="313">
        <f>IF(input!$G924&gt;0,input!$G924,250)</f>
        <v>250</v>
      </c>
      <c r="J557" s="313" t="str">
        <f>input!$H924</f>
        <v>copies</v>
      </c>
      <c r="K557" s="360">
        <v>0</v>
      </c>
      <c r="L557" s="313">
        <f>IF(input!$I924&gt;0,input!$I924,6)</f>
        <v>6</v>
      </c>
      <c r="M557" s="391">
        <f ca="1">IF(H557&gt;0,20/60,0)</f>
        <v>0</v>
      </c>
      <c r="N557" s="391">
        <f t="shared" ca="1" si="385"/>
        <v>0</v>
      </c>
      <c r="P557" s="313">
        <f>Data!$N$1153</f>
        <v>64591.331280067061</v>
      </c>
      <c r="Q557" s="313">
        <f t="shared" ca="1" si="384"/>
        <v>0</v>
      </c>
      <c r="R557" s="313">
        <f t="shared" ca="1" si="391"/>
        <v>0</v>
      </c>
      <c r="S557" s="1741">
        <f t="shared" ca="1" si="383"/>
        <v>0</v>
      </c>
      <c r="T557" s="313" t="str">
        <f>input!J924</f>
        <v>N</v>
      </c>
      <c r="V557" s="3115" t="str">
        <f>input!K924</f>
        <v>Assembly</v>
      </c>
      <c r="W557" s="3115">
        <f t="shared" ca="1" si="370"/>
        <v>0</v>
      </c>
      <c r="X557" s="3119">
        <f>VLOOKUP(V557,'Fix Cost'!$K$177:$M$179,2,0)</f>
        <v>32032.115313968527</v>
      </c>
      <c r="Y557" s="3119">
        <f>VLOOKUP(V557,'Fix Cost'!$K$177:$M$179,3,0)</f>
        <v>267567.54920876794</v>
      </c>
      <c r="Z557" s="3119">
        <f t="shared" ca="1" si="371"/>
        <v>0</v>
      </c>
      <c r="AA557" s="3115">
        <f t="shared" ca="1" si="372"/>
        <v>0</v>
      </c>
      <c r="AB557" s="3115">
        <f t="shared" ca="1" si="373"/>
        <v>0</v>
      </c>
      <c r="AL557" s="313"/>
      <c r="AM557" s="363"/>
      <c r="AN557" s="385"/>
      <c r="AT557" s="879">
        <f t="shared" ca="1" si="386"/>
        <v>0</v>
      </c>
      <c r="AU557" s="879">
        <f ca="1">COUNTIFS(AT$7:$AT557,1)</f>
        <v>6</v>
      </c>
    </row>
    <row r="558" spans="2:47" ht="12.75" hidden="1" customHeight="1" outlineLevel="1">
      <c r="B558" s="1738" t="s">
        <v>159</v>
      </c>
      <c r="C558" s="313" t="s">
        <v>228</v>
      </c>
      <c r="E558" s="363"/>
      <c r="F558" s="363" t="str">
        <f>input!F925</f>
        <v>N</v>
      </c>
      <c r="G558" s="363"/>
      <c r="H558" s="313">
        <f ca="1">IF(F558="PCS",$E$4,SUMIFS(Paper!$AC$7:$AC$58,Paper!$A$7:$A$58,'Production cost'!F558))</f>
        <v>0</v>
      </c>
      <c r="I558" s="313">
        <f>IF(input!$G925&gt;0,input!$G925,550)</f>
        <v>550</v>
      </c>
      <c r="J558" s="313" t="str">
        <f>input!$H925</f>
        <v>copies</v>
      </c>
      <c r="K558" s="360">
        <v>0</v>
      </c>
      <c r="L558" s="313">
        <f>IF(input!$I925&gt;0,input!$I925,7)</f>
        <v>7</v>
      </c>
      <c r="M558" s="391">
        <f ca="1">IF(H558&gt;0,20/60,0)</f>
        <v>0</v>
      </c>
      <c r="N558" s="391">
        <f t="shared" ca="1" si="385"/>
        <v>0</v>
      </c>
      <c r="P558" s="313">
        <f>Data!$N$1153</f>
        <v>64591.331280067061</v>
      </c>
      <c r="Q558" s="313">
        <f t="shared" ca="1" si="384"/>
        <v>0</v>
      </c>
      <c r="R558" s="313">
        <f t="shared" ca="1" si="391"/>
        <v>0</v>
      </c>
      <c r="S558" s="1741">
        <f t="shared" ca="1" si="383"/>
        <v>0</v>
      </c>
      <c r="T558" s="313" t="str">
        <f>input!J925</f>
        <v>N</v>
      </c>
      <c r="V558" s="3115" t="str">
        <f>input!K925</f>
        <v>Assembly</v>
      </c>
      <c r="W558" s="3115">
        <f t="shared" ca="1" si="370"/>
        <v>0</v>
      </c>
      <c r="X558" s="3119">
        <f>VLOOKUP(V558,'Fix Cost'!$K$177:$M$179,2,0)</f>
        <v>32032.115313968527</v>
      </c>
      <c r="Y558" s="3119">
        <f>VLOOKUP(V558,'Fix Cost'!$K$177:$M$179,3,0)</f>
        <v>267567.54920876794</v>
      </c>
      <c r="Z558" s="3119">
        <f t="shared" ca="1" si="371"/>
        <v>0</v>
      </c>
      <c r="AA558" s="3115">
        <f t="shared" ca="1" si="372"/>
        <v>0</v>
      </c>
      <c r="AB558" s="3115">
        <f t="shared" ca="1" si="373"/>
        <v>0</v>
      </c>
      <c r="AL558" s="313"/>
      <c r="AM558" s="363"/>
      <c r="AN558" s="385"/>
      <c r="AT558" s="879">
        <f t="shared" ca="1" si="386"/>
        <v>0</v>
      </c>
      <c r="AU558" s="879">
        <f ca="1">COUNTIFS(AT$7:$AT558,1)</f>
        <v>6</v>
      </c>
    </row>
    <row r="559" spans="2:47" ht="12.75" hidden="1" outlineLevel="1">
      <c r="B559" s="1738" t="s">
        <v>159</v>
      </c>
      <c r="C559" s="313" t="s">
        <v>227</v>
      </c>
      <c r="E559" s="363"/>
      <c r="F559" s="363" t="str">
        <f>input!F926</f>
        <v>N</v>
      </c>
      <c r="G559" s="363"/>
      <c r="H559" s="313">
        <f ca="1">IF(F559="PCS",$E$4,SUMIFS(Paper!$AC$7:$AC$58,Paper!$A$7:$A$58,'Production cost'!F559))</f>
        <v>0</v>
      </c>
      <c r="I559" s="313">
        <f>IF(input!$G926&gt;0,input!$G926,300)</f>
        <v>300</v>
      </c>
      <c r="J559" s="313" t="str">
        <f>input!$H926</f>
        <v>copies</v>
      </c>
      <c r="K559" s="360">
        <v>0</v>
      </c>
      <c r="L559" s="313">
        <f>IF(input!$I926&gt;0,input!$I926,12)</f>
        <v>12</v>
      </c>
      <c r="M559" s="391">
        <f ca="1">IF(H559&gt;0,20/60,0)</f>
        <v>0</v>
      </c>
      <c r="N559" s="391">
        <f t="shared" ca="1" si="385"/>
        <v>0</v>
      </c>
      <c r="P559" s="313">
        <f>Data!$N$1153</f>
        <v>64591.331280067061</v>
      </c>
      <c r="Q559" s="313">
        <f t="shared" ca="1" si="384"/>
        <v>0</v>
      </c>
      <c r="R559" s="313">
        <f t="shared" ca="1" si="391"/>
        <v>0</v>
      </c>
      <c r="S559" s="1741">
        <f t="shared" ca="1" si="383"/>
        <v>0</v>
      </c>
      <c r="T559" s="313" t="str">
        <f>input!J926</f>
        <v>N</v>
      </c>
      <c r="V559" s="3115" t="str">
        <f>input!K926</f>
        <v>Assembly</v>
      </c>
      <c r="W559" s="3115">
        <f t="shared" ca="1" si="370"/>
        <v>0</v>
      </c>
      <c r="X559" s="3119">
        <f>VLOOKUP(V559,'Fix Cost'!$K$177:$M$179,2,0)</f>
        <v>32032.115313968527</v>
      </c>
      <c r="Y559" s="3119">
        <f>VLOOKUP(V559,'Fix Cost'!$K$177:$M$179,3,0)</f>
        <v>267567.54920876794</v>
      </c>
      <c r="Z559" s="3119">
        <f t="shared" ca="1" si="371"/>
        <v>0</v>
      </c>
      <c r="AA559" s="3115">
        <f t="shared" ca="1" si="372"/>
        <v>0</v>
      </c>
      <c r="AB559" s="3115">
        <f t="shared" ca="1" si="373"/>
        <v>0</v>
      </c>
      <c r="AL559" s="313"/>
      <c r="AM559" s="363"/>
      <c r="AN559" s="385"/>
      <c r="AT559" s="879">
        <f t="shared" ca="1" si="386"/>
        <v>0</v>
      </c>
      <c r="AU559" s="879">
        <f ca="1">COUNTIFS(AT$7:$AT559,1)</f>
        <v>6</v>
      </c>
    </row>
    <row r="560" spans="2:47" ht="12.75" hidden="1" customHeight="1" outlineLevel="1">
      <c r="B560" s="1738" t="s">
        <v>159</v>
      </c>
      <c r="C560" s="313" t="s">
        <v>229</v>
      </c>
      <c r="E560" s="363"/>
      <c r="F560" s="363" t="str">
        <f>input!F927</f>
        <v>N</v>
      </c>
      <c r="G560" s="363"/>
      <c r="H560" s="313">
        <f ca="1">IF(F560="PCS",$E$4,SUMIFS(Paper!$AC$7:$AC$58,Paper!$A$7:$A$58,'Production cost'!F560))</f>
        <v>0</v>
      </c>
      <c r="I560" s="313">
        <f>IF(input!$G927&gt;0,input!$G927,270)</f>
        <v>270</v>
      </c>
      <c r="J560" s="313" t="str">
        <f>input!$H927</f>
        <v>copies</v>
      </c>
      <c r="K560" s="360">
        <v>0</v>
      </c>
      <c r="L560" s="313">
        <f>IF(input!$I927&gt;0,input!$I927,12)</f>
        <v>12</v>
      </c>
      <c r="M560" s="391">
        <f ca="1">IF(H560&gt;0,20/60,0)</f>
        <v>0</v>
      </c>
      <c r="N560" s="391">
        <f t="shared" ca="1" si="385"/>
        <v>0</v>
      </c>
      <c r="P560" s="313">
        <f>Data!$N$1153</f>
        <v>64591.331280067061</v>
      </c>
      <c r="Q560" s="313">
        <f t="shared" ref="Q560:Q561" ca="1" si="392">(N560*O560*K560+N560*P560*L560)*(1+$R$702)</f>
        <v>0</v>
      </c>
      <c r="R560" s="313">
        <f t="shared" ca="1" si="391"/>
        <v>0</v>
      </c>
      <c r="S560" s="1741">
        <f t="shared" ca="1" si="383"/>
        <v>0</v>
      </c>
      <c r="T560" s="313" t="str">
        <f>input!J927</f>
        <v>N</v>
      </c>
      <c r="V560" s="3115" t="str">
        <f>input!K927</f>
        <v>Assembly</v>
      </c>
      <c r="W560" s="3115">
        <f t="shared" ca="1" si="370"/>
        <v>0</v>
      </c>
      <c r="X560" s="3119">
        <f>VLOOKUP(V560,'Fix Cost'!$K$177:$M$179,2,0)</f>
        <v>32032.115313968527</v>
      </c>
      <c r="Y560" s="3119">
        <f>VLOOKUP(V560,'Fix Cost'!$K$177:$M$179,3,0)</f>
        <v>267567.54920876794</v>
      </c>
      <c r="Z560" s="3119">
        <f t="shared" ca="1" si="371"/>
        <v>0</v>
      </c>
      <c r="AA560" s="3115">
        <f t="shared" ca="1" si="372"/>
        <v>0</v>
      </c>
      <c r="AB560" s="3115">
        <f t="shared" ca="1" si="373"/>
        <v>0</v>
      </c>
      <c r="AL560" s="313"/>
      <c r="AM560" s="363"/>
      <c r="AN560" s="385"/>
      <c r="AT560" s="879">
        <f t="shared" ca="1" si="386"/>
        <v>0</v>
      </c>
      <c r="AU560" s="879">
        <f ca="1">COUNTIFS(AT$7:$AT560,1)</f>
        <v>6</v>
      </c>
    </row>
    <row r="561" spans="1:47" ht="12.75" hidden="1" customHeight="1" outlineLevel="1">
      <c r="B561" s="1742" t="s">
        <v>159</v>
      </c>
      <c r="C561" s="1743" t="s">
        <v>72</v>
      </c>
      <c r="D561" s="1743"/>
      <c r="E561" s="1746"/>
      <c r="F561" s="1746" t="str">
        <f>input!F928</f>
        <v>N</v>
      </c>
      <c r="G561" s="1746"/>
      <c r="H561" s="1743">
        <f ca="1">IF(F561="PCS",$E$4,SUMIFS(Paper!$AC$7:$AC$58,Paper!$A$7:$A$58,'Production cost'!F561))</f>
        <v>0</v>
      </c>
      <c r="I561" s="313">
        <f>IF(input!$G928&gt;0,input!$G928,9000)</f>
        <v>9000</v>
      </c>
      <c r="J561" s="1743" t="str">
        <f>input!$H928</f>
        <v>copies</v>
      </c>
      <c r="K561" s="1747">
        <v>0</v>
      </c>
      <c r="L561" s="1743">
        <f>input!I928</f>
        <v>0</v>
      </c>
      <c r="M561" s="1748">
        <f ca="1">IF(H561&gt;0,20/60,0)</f>
        <v>0</v>
      </c>
      <c r="N561" s="1748">
        <f ca="1">IF(H561&gt;0,ROUNDUP(((H561/I561)/$M$5+M561),1),0)</f>
        <v>0</v>
      </c>
      <c r="O561" s="1743"/>
      <c r="P561" s="1743">
        <f>Data!$N$1153</f>
        <v>64591.331280067061</v>
      </c>
      <c r="Q561" s="1743">
        <f t="shared" ca="1" si="392"/>
        <v>0</v>
      </c>
      <c r="R561" s="1743">
        <f t="shared" ca="1" si="391"/>
        <v>0</v>
      </c>
      <c r="S561" s="1749">
        <f ca="1">IF(M561&gt;0,K561*O561+L561*P561,0)</f>
        <v>0</v>
      </c>
      <c r="T561" s="313" t="str">
        <f>input!J928</f>
        <v>N</v>
      </c>
      <c r="V561" s="3115" t="str">
        <f>input!K928</f>
        <v>Assembly</v>
      </c>
      <c r="W561" s="3115">
        <f t="shared" ca="1" si="370"/>
        <v>0</v>
      </c>
      <c r="X561" s="3119">
        <f>VLOOKUP(V561,'Fix Cost'!$K$177:$M$179,2,0)</f>
        <v>32032.115313968527</v>
      </c>
      <c r="Y561" s="3119">
        <f>VLOOKUP(V561,'Fix Cost'!$K$177:$M$179,3,0)</f>
        <v>267567.54920876794</v>
      </c>
      <c r="Z561" s="3119">
        <f t="shared" ca="1" si="371"/>
        <v>0</v>
      </c>
      <c r="AA561" s="3115">
        <f t="shared" ca="1" si="372"/>
        <v>0</v>
      </c>
      <c r="AB561" s="3115">
        <f t="shared" ca="1" si="373"/>
        <v>0</v>
      </c>
      <c r="AL561" s="313"/>
      <c r="AM561" s="363"/>
      <c r="AN561" s="385"/>
      <c r="AT561" s="879">
        <f t="shared" ca="1" si="386"/>
        <v>0</v>
      </c>
      <c r="AU561" s="879">
        <f ca="1">COUNTIFS(AT$7:$AT561,1)</f>
        <v>6</v>
      </c>
    </row>
    <row r="562" spans="1:47" ht="12.75" hidden="1" customHeight="1" outlineLevel="1">
      <c r="G562" s="1270"/>
      <c r="M562" s="391"/>
      <c r="N562" s="391"/>
      <c r="AL562" s="313"/>
      <c r="AM562" s="363"/>
      <c r="AN562" s="385"/>
      <c r="AT562" s="879" t="str">
        <f t="shared" si="386"/>
        <v/>
      </c>
      <c r="AU562" s="879">
        <f ca="1">COUNTIFS(AT$7:$AT562,1)</f>
        <v>6</v>
      </c>
    </row>
    <row r="563" spans="1:47" ht="12.75" hidden="1" collapsed="1">
      <c r="B563" s="1269"/>
      <c r="C563" s="385"/>
      <c r="G563" s="1270"/>
      <c r="N563" s="391"/>
      <c r="S563" s="363"/>
      <c r="AL563" s="313"/>
      <c r="AM563" s="363"/>
      <c r="AN563" s="385"/>
      <c r="AT563" s="879" t="str">
        <f t="shared" si="386"/>
        <v/>
      </c>
      <c r="AU563" s="879">
        <f ca="1">COUNTIFS(AT$7:$AT563,1)</f>
        <v>6</v>
      </c>
    </row>
    <row r="564" spans="1:47" ht="12.75" hidden="1" outlineLevel="1">
      <c r="A564" s="1269" t="s">
        <v>142</v>
      </c>
      <c r="B564" s="1730" t="s">
        <v>220</v>
      </c>
      <c r="C564" s="1731" t="s">
        <v>197</v>
      </c>
      <c r="D564" s="1731"/>
      <c r="E564" s="1734"/>
      <c r="F564" s="1734" t="str">
        <f>input!F931</f>
        <v>N</v>
      </c>
      <c r="G564" s="1734"/>
      <c r="H564" s="1731">
        <f ca="1">IF(F564="PCS",$E$4,SUMIFS(Paper!$AC$7:$AC$58,Paper!$A$7:$A$58,'Production cost'!F564))</f>
        <v>0</v>
      </c>
      <c r="I564" s="1731">
        <f>IF(input!$G931&gt;0,input!$G931,1000)</f>
        <v>1000</v>
      </c>
      <c r="J564" s="313" t="str">
        <f>input!$H931</f>
        <v>Sheets</v>
      </c>
      <c r="K564" s="1735">
        <v>0</v>
      </c>
      <c r="L564" s="1731">
        <f>IF(input!$I931&gt;0,input!$I931,3)</f>
        <v>3</v>
      </c>
      <c r="M564" s="1736">
        <f ca="1">IF(H564&gt;0,10/60,0)</f>
        <v>0</v>
      </c>
      <c r="N564" s="1736">
        <f ca="1">IF(H564&gt;0,ROUNDUP(((H564/I564)/$M$5+M564),1),0)</f>
        <v>0</v>
      </c>
      <c r="O564" s="1731"/>
      <c r="P564" s="1731">
        <f>Data!$N$1154</f>
        <v>64591.331280067061</v>
      </c>
      <c r="Q564" s="1731">
        <f t="shared" ref="Q564:Q587" ca="1" si="393">(N564*O564*K564+N564*P564*L564)*(1+$R$702)</f>
        <v>0</v>
      </c>
      <c r="R564" s="1731">
        <f ca="1">IF($E$2&gt;0,Q564/$E$2,0)</f>
        <v>0</v>
      </c>
      <c r="S564" s="1737">
        <f ca="1">IF(M564&gt;0,K564*O564+L564*P564,0)</f>
        <v>0</v>
      </c>
      <c r="T564" s="313" t="str">
        <f>input!J931</f>
        <v>N</v>
      </c>
      <c r="V564" s="3115" t="str">
        <f>input!K931</f>
        <v>Packaging</v>
      </c>
      <c r="W564" s="3115">
        <f t="shared" ref="W564:W587" ca="1" si="394">N564*(L564+K564)</f>
        <v>0</v>
      </c>
      <c r="X564" s="3119">
        <f>VLOOKUP(V564,'Fix Cost'!$K$177:$M$179,2,0)</f>
        <v>58449.923860467366</v>
      </c>
      <c r="Y564" s="3119">
        <f>VLOOKUP(V564,'Fix Cost'!$K$177:$M$179,3,0)</f>
        <v>267411.04680782068</v>
      </c>
      <c r="Z564" s="3119">
        <f t="shared" ref="Z564:Z587" ca="1" si="395">IFERROR($X564*W564,0)</f>
        <v>0</v>
      </c>
      <c r="AA564" s="3115">
        <f t="shared" ref="AA564:AA587" ca="1" si="396">IFERROR(Y564*N564,0)</f>
        <v>0</v>
      </c>
      <c r="AB564" s="3115">
        <f t="shared" ref="AB564:AB587" ca="1" si="397">Z564+AA564</f>
        <v>0</v>
      </c>
      <c r="AL564" s="313"/>
      <c r="AM564" s="363"/>
      <c r="AN564" s="385"/>
      <c r="AT564" s="879">
        <f t="shared" ca="1" si="386"/>
        <v>0</v>
      </c>
      <c r="AU564" s="879">
        <f ca="1">COUNTIFS(AT$7:$AT564,1)</f>
        <v>6</v>
      </c>
    </row>
    <row r="565" spans="1:47" ht="12.75" hidden="1" outlineLevel="1">
      <c r="A565" s="1269"/>
      <c r="B565" s="1738" t="s">
        <v>220</v>
      </c>
      <c r="C565" s="313" t="s">
        <v>197</v>
      </c>
      <c r="E565" s="363"/>
      <c r="F565" s="363" t="str">
        <f>input!F932</f>
        <v>N</v>
      </c>
      <c r="G565" s="363"/>
      <c r="H565" s="313">
        <f ca="1">IF(F565="PCS",$E$4,SUMIFS(Paper!$AC$7:$AC$58,Paper!$A$7:$A$58,'Production cost'!F565))</f>
        <v>0</v>
      </c>
      <c r="I565" s="313">
        <f>IF(input!$G932&gt;0,input!$G932,1000)</f>
        <v>1000</v>
      </c>
      <c r="J565" s="313" t="str">
        <f>input!$H932</f>
        <v>Sheets</v>
      </c>
      <c r="K565" s="360">
        <v>0</v>
      </c>
      <c r="L565" s="313">
        <f>IF(input!$I932&gt;0,input!$I932,3)</f>
        <v>3</v>
      </c>
      <c r="M565" s="391">
        <f t="shared" ref="M565:M573" ca="1" si="398">IF(H565&gt;0,10/60,0)</f>
        <v>0</v>
      </c>
      <c r="N565" s="391">
        <f t="shared" ref="N565:N573" ca="1" si="399">IF(H565&gt;0,ROUNDUP(((H565/I565)/$M$5+M565),1),0)</f>
        <v>0</v>
      </c>
      <c r="P565" s="313">
        <f>Data!$N$1154</f>
        <v>64591.331280067061</v>
      </c>
      <c r="Q565" s="313">
        <f t="shared" ca="1" si="393"/>
        <v>0</v>
      </c>
      <c r="R565" s="313">
        <f t="shared" ref="R565:R573" ca="1" si="400">IF($E$2&gt;0,Q565/$E$2,0)</f>
        <v>0</v>
      </c>
      <c r="S565" s="1741">
        <f t="shared" ref="S565:S573" ca="1" si="401">IF(M565&gt;0,K565*O565+L565*P565,0)</f>
        <v>0</v>
      </c>
      <c r="T565" s="313" t="str">
        <f>input!J932</f>
        <v>N</v>
      </c>
      <c r="V565" s="3115" t="str">
        <f>input!K932</f>
        <v>Packaging</v>
      </c>
      <c r="W565" s="3115">
        <f t="shared" ca="1" si="394"/>
        <v>0</v>
      </c>
      <c r="X565" s="3119">
        <f>VLOOKUP(V565,'Fix Cost'!$K$177:$M$179,2,0)</f>
        <v>58449.923860467366</v>
      </c>
      <c r="Y565" s="3119">
        <f>VLOOKUP(V565,'Fix Cost'!$K$177:$M$179,3,0)</f>
        <v>267411.04680782068</v>
      </c>
      <c r="Z565" s="3119">
        <f t="shared" ca="1" si="395"/>
        <v>0</v>
      </c>
      <c r="AA565" s="3115">
        <f t="shared" ca="1" si="396"/>
        <v>0</v>
      </c>
      <c r="AB565" s="3115">
        <f t="shared" ca="1" si="397"/>
        <v>0</v>
      </c>
      <c r="AL565" s="313"/>
      <c r="AM565" s="363"/>
      <c r="AN565" s="385"/>
      <c r="AT565" s="879">
        <f t="shared" ca="1" si="386"/>
        <v>0</v>
      </c>
      <c r="AU565" s="879">
        <f ca="1">COUNTIFS(AT$7:$AT565,1)</f>
        <v>6</v>
      </c>
    </row>
    <row r="566" spans="1:47" ht="12.75" hidden="1" outlineLevel="1">
      <c r="A566" s="1269"/>
      <c r="B566" s="1738" t="s">
        <v>220</v>
      </c>
      <c r="C566" s="313" t="s">
        <v>197</v>
      </c>
      <c r="E566" s="363"/>
      <c r="F566" s="363" t="str">
        <f>input!F933</f>
        <v>N</v>
      </c>
      <c r="G566" s="363"/>
      <c r="H566" s="313">
        <f ca="1">IF(F566="PCS",$E$4,SUMIFS(Paper!$AC$7:$AC$58,Paper!$A$7:$A$58,'Production cost'!F566))</f>
        <v>0</v>
      </c>
      <c r="I566" s="313">
        <f>IF(input!$G933&gt;0,input!$G933,1000)</f>
        <v>1000</v>
      </c>
      <c r="J566" s="313" t="str">
        <f>input!$H933</f>
        <v>Sheets</v>
      </c>
      <c r="K566" s="360">
        <v>0</v>
      </c>
      <c r="L566" s="313">
        <f>IF(input!$I933&gt;0,input!$I933,3)</f>
        <v>3</v>
      </c>
      <c r="M566" s="391">
        <f t="shared" ca="1" si="398"/>
        <v>0</v>
      </c>
      <c r="N566" s="391">
        <f t="shared" ca="1" si="399"/>
        <v>0</v>
      </c>
      <c r="P566" s="313">
        <f>Data!$N$1154</f>
        <v>64591.331280067061</v>
      </c>
      <c r="Q566" s="313">
        <f t="shared" ca="1" si="393"/>
        <v>0</v>
      </c>
      <c r="R566" s="313">
        <f t="shared" ca="1" si="400"/>
        <v>0</v>
      </c>
      <c r="S566" s="1741">
        <f t="shared" ca="1" si="401"/>
        <v>0</v>
      </c>
      <c r="T566" s="313" t="str">
        <f>input!J933</f>
        <v>N</v>
      </c>
      <c r="V566" s="3115" t="str">
        <f>input!K933</f>
        <v>Packaging</v>
      </c>
      <c r="W566" s="3115">
        <f t="shared" ca="1" si="394"/>
        <v>0</v>
      </c>
      <c r="X566" s="3119">
        <f>VLOOKUP(V566,'Fix Cost'!$K$177:$M$179,2,0)</f>
        <v>58449.923860467366</v>
      </c>
      <c r="Y566" s="3119">
        <f>VLOOKUP(V566,'Fix Cost'!$K$177:$M$179,3,0)</f>
        <v>267411.04680782068</v>
      </c>
      <c r="Z566" s="3119">
        <f t="shared" ca="1" si="395"/>
        <v>0</v>
      </c>
      <c r="AA566" s="3115">
        <f t="shared" ca="1" si="396"/>
        <v>0</v>
      </c>
      <c r="AB566" s="3115">
        <f t="shared" ca="1" si="397"/>
        <v>0</v>
      </c>
      <c r="AL566" s="313"/>
      <c r="AM566" s="363"/>
      <c r="AN566" s="385"/>
      <c r="AT566" s="879">
        <f t="shared" ca="1" si="386"/>
        <v>0</v>
      </c>
      <c r="AU566" s="879">
        <f ca="1">COUNTIFS(AT$7:$AT566,1)</f>
        <v>6</v>
      </c>
    </row>
    <row r="567" spans="1:47" ht="12.75" hidden="1" outlineLevel="1">
      <c r="A567" s="1269"/>
      <c r="B567" s="1738" t="s">
        <v>220</v>
      </c>
      <c r="C567" s="313" t="str">
        <f>input!C934</f>
        <v>Cutting paper - Acc</v>
      </c>
      <c r="E567" s="363"/>
      <c r="F567" s="363" t="str">
        <f>input!F934</f>
        <v>N</v>
      </c>
      <c r="G567" s="363"/>
      <c r="H567" s="313">
        <f>IF(F567="PCS",$E$4,SUMIF('ACC &amp; Other Material '!$B$105:$B$114,'Production cost'!$F567,'ACC &amp; Other Material '!$H$105:$H$114))</f>
        <v>0</v>
      </c>
      <c r="I567" s="313">
        <f>IF(input!$G934&gt;0,input!$G934,1000)</f>
        <v>1000</v>
      </c>
      <c r="J567" s="313" t="str">
        <f>input!$H934</f>
        <v>Sheets</v>
      </c>
      <c r="K567" s="360">
        <v>0</v>
      </c>
      <c r="L567" s="313">
        <f>IF(input!$I934&gt;0,input!$I934,3)</f>
        <v>3</v>
      </c>
      <c r="M567" s="391">
        <f t="shared" si="398"/>
        <v>0</v>
      </c>
      <c r="N567" s="391">
        <f t="shared" si="399"/>
        <v>0</v>
      </c>
      <c r="P567" s="313">
        <f>Data!$N$1154</f>
        <v>64591.331280067061</v>
      </c>
      <c r="Q567" s="313">
        <f t="shared" si="393"/>
        <v>0</v>
      </c>
      <c r="R567" s="313">
        <f t="shared" si="400"/>
        <v>0</v>
      </c>
      <c r="S567" s="1741">
        <f t="shared" si="401"/>
        <v>0</v>
      </c>
      <c r="T567" s="313" t="str">
        <f>input!J934</f>
        <v>N</v>
      </c>
      <c r="V567" s="3115" t="str">
        <f>input!K934</f>
        <v>Packaging</v>
      </c>
      <c r="W567" s="3115">
        <f t="shared" si="394"/>
        <v>0</v>
      </c>
      <c r="X567" s="3119">
        <f>VLOOKUP(V567,'Fix Cost'!$K$177:$M$179,2,0)</f>
        <v>58449.923860467366</v>
      </c>
      <c r="Y567" s="3119">
        <f>VLOOKUP(V567,'Fix Cost'!$K$177:$M$179,3,0)</f>
        <v>267411.04680782068</v>
      </c>
      <c r="Z567" s="3119">
        <f t="shared" si="395"/>
        <v>0</v>
      </c>
      <c r="AA567" s="3115">
        <f t="shared" si="396"/>
        <v>0</v>
      </c>
      <c r="AB567" s="3115">
        <f t="shared" si="397"/>
        <v>0</v>
      </c>
      <c r="AL567" s="313"/>
      <c r="AM567" s="363"/>
      <c r="AN567" s="385"/>
      <c r="AT567" s="879">
        <f t="shared" si="386"/>
        <v>0</v>
      </c>
      <c r="AU567" s="879">
        <f ca="1">COUNTIFS(AT$7:$AT567,1)</f>
        <v>6</v>
      </c>
    </row>
    <row r="568" spans="1:47" ht="12.75" hidden="1" outlineLevel="1">
      <c r="A568" s="1269"/>
      <c r="B568" s="1738" t="s">
        <v>220</v>
      </c>
      <c r="C568" s="313" t="str">
        <f>input!C935</f>
        <v>Cutting paper - Acc</v>
      </c>
      <c r="E568" s="363"/>
      <c r="F568" s="363" t="str">
        <f>input!F935</f>
        <v>N</v>
      </c>
      <c r="G568" s="363"/>
      <c r="H568" s="313">
        <f>IF(F568="PCS",$E$4,SUMIF('ACC &amp; Other Material '!$B$105:$B$114,'Production cost'!$F568,'ACC &amp; Other Material '!$H$105:$H$114))</f>
        <v>0</v>
      </c>
      <c r="I568" s="313">
        <f>IF(input!$G935&gt;0,input!$G935,1000)</f>
        <v>1000</v>
      </c>
      <c r="J568" s="313" t="str">
        <f>input!$H935</f>
        <v>Sheets</v>
      </c>
      <c r="K568" s="360">
        <v>0</v>
      </c>
      <c r="L568" s="313">
        <f>IF(input!$I935&gt;0,input!$I935,3)</f>
        <v>3</v>
      </c>
      <c r="M568" s="391">
        <f t="shared" si="398"/>
        <v>0</v>
      </c>
      <c r="N568" s="391">
        <f t="shared" si="399"/>
        <v>0</v>
      </c>
      <c r="P568" s="313">
        <f>Data!$N$1154</f>
        <v>64591.331280067061</v>
      </c>
      <c r="Q568" s="313">
        <f t="shared" si="393"/>
        <v>0</v>
      </c>
      <c r="R568" s="313">
        <f t="shared" si="400"/>
        <v>0</v>
      </c>
      <c r="S568" s="1741">
        <f t="shared" si="401"/>
        <v>0</v>
      </c>
      <c r="T568" s="313" t="str">
        <f>input!J935</f>
        <v>N</v>
      </c>
      <c r="V568" s="3115" t="str">
        <f>input!K935</f>
        <v>Packaging</v>
      </c>
      <c r="W568" s="3115">
        <f t="shared" si="394"/>
        <v>0</v>
      </c>
      <c r="X568" s="3119">
        <f>VLOOKUP(V568,'Fix Cost'!$K$177:$M$179,2,0)</f>
        <v>58449.923860467366</v>
      </c>
      <c r="Y568" s="3119">
        <f>VLOOKUP(V568,'Fix Cost'!$K$177:$M$179,3,0)</f>
        <v>267411.04680782068</v>
      </c>
      <c r="Z568" s="3119">
        <f t="shared" si="395"/>
        <v>0</v>
      </c>
      <c r="AA568" s="3115">
        <f t="shared" si="396"/>
        <v>0</v>
      </c>
      <c r="AB568" s="3115">
        <f t="shared" si="397"/>
        <v>0</v>
      </c>
      <c r="AL568" s="313"/>
      <c r="AM568" s="363"/>
      <c r="AN568" s="385"/>
      <c r="AT568" s="879">
        <f t="shared" si="386"/>
        <v>0</v>
      </c>
      <c r="AU568" s="879">
        <f ca="1">COUNTIFS(AT$7:$AT568,1)</f>
        <v>6</v>
      </c>
    </row>
    <row r="569" spans="1:47" ht="12.75" hidden="1" outlineLevel="1">
      <c r="A569" s="1269"/>
      <c r="B569" s="1738" t="s">
        <v>220</v>
      </c>
      <c r="C569" s="313" t="s">
        <v>1478</v>
      </c>
      <c r="E569" s="363"/>
      <c r="F569" s="363" t="str">
        <f>input!F936</f>
        <v>N</v>
      </c>
      <c r="G569" s="363"/>
      <c r="H569" s="313">
        <f ca="1">IF(F569="PCS",$E$4,SUMIFS(Paper!$AC$7:$AC$58,Paper!$A$7:$A$58,'Production cost'!F569))</f>
        <v>0</v>
      </c>
      <c r="I569" s="313">
        <f>IF(input!$G936&gt;0,input!$G936,2000)</f>
        <v>2000</v>
      </c>
      <c r="J569" s="313" t="str">
        <f>input!$H936</f>
        <v>Sheets</v>
      </c>
      <c r="K569" s="360">
        <v>0</v>
      </c>
      <c r="L569" s="313">
        <f>IF(input!$I936&gt;0,input!$I936,3)</f>
        <v>3</v>
      </c>
      <c r="M569" s="391">
        <f t="shared" ca="1" si="398"/>
        <v>0</v>
      </c>
      <c r="N569" s="391">
        <f t="shared" ca="1" si="399"/>
        <v>0</v>
      </c>
      <c r="P569" s="313">
        <f>Data!$N$1154</f>
        <v>64591.331280067061</v>
      </c>
      <c r="Q569" s="313">
        <f t="shared" ca="1" si="393"/>
        <v>0</v>
      </c>
      <c r="R569" s="313">
        <f t="shared" ca="1" si="400"/>
        <v>0</v>
      </c>
      <c r="S569" s="1741">
        <f t="shared" ca="1" si="401"/>
        <v>0</v>
      </c>
      <c r="T569" s="313" t="str">
        <f>input!J936</f>
        <v>N</v>
      </c>
      <c r="V569" s="3115" t="str">
        <f>input!K936</f>
        <v>Packaging</v>
      </c>
      <c r="W569" s="3115">
        <f t="shared" ca="1" si="394"/>
        <v>0</v>
      </c>
      <c r="X569" s="3119">
        <f>VLOOKUP(V569,'Fix Cost'!$K$177:$M$179,2,0)</f>
        <v>58449.923860467366</v>
      </c>
      <c r="Y569" s="3119">
        <f>VLOOKUP(V569,'Fix Cost'!$K$177:$M$179,3,0)</f>
        <v>267411.04680782068</v>
      </c>
      <c r="Z569" s="3119">
        <f t="shared" ca="1" si="395"/>
        <v>0</v>
      </c>
      <c r="AA569" s="3115">
        <f t="shared" ca="1" si="396"/>
        <v>0</v>
      </c>
      <c r="AB569" s="3115">
        <f t="shared" ca="1" si="397"/>
        <v>0</v>
      </c>
      <c r="AL569" s="313"/>
      <c r="AM569" s="363"/>
      <c r="AN569" s="385"/>
      <c r="AT569" s="879">
        <f t="shared" ca="1" si="386"/>
        <v>0</v>
      </c>
      <c r="AU569" s="879">
        <f ca="1">COUNTIFS(AT$7:$AT569,1)</f>
        <v>6</v>
      </c>
    </row>
    <row r="570" spans="1:47" ht="12.75" hidden="1" outlineLevel="1">
      <c r="A570" s="1269"/>
      <c r="B570" s="1738" t="s">
        <v>220</v>
      </c>
      <c r="C570" s="313" t="s">
        <v>1478</v>
      </c>
      <c r="E570" s="363"/>
      <c r="F570" s="363" t="str">
        <f>input!F937</f>
        <v>N</v>
      </c>
      <c r="G570" s="363"/>
      <c r="H570" s="313">
        <f ca="1">IF(F570="PCS",$E$4,SUMIFS(Paper!$AC$7:$AC$58,Paper!$A$7:$A$58,'Production cost'!F570))</f>
        <v>0</v>
      </c>
      <c r="I570" s="313">
        <f>IF(input!$G937&gt;0,input!$G937,2000)</f>
        <v>2000</v>
      </c>
      <c r="J570" s="313" t="str">
        <f>input!$H937</f>
        <v>Sheets</v>
      </c>
      <c r="K570" s="360">
        <v>0</v>
      </c>
      <c r="L570" s="313">
        <f>IF(input!$I937&gt;0,input!$I937,3)</f>
        <v>3</v>
      </c>
      <c r="M570" s="391">
        <f t="shared" ca="1" si="398"/>
        <v>0</v>
      </c>
      <c r="N570" s="391">
        <f t="shared" ca="1" si="399"/>
        <v>0</v>
      </c>
      <c r="P570" s="313">
        <f>Data!$N$1154</f>
        <v>64591.331280067061</v>
      </c>
      <c r="Q570" s="313">
        <f t="shared" ca="1" si="393"/>
        <v>0</v>
      </c>
      <c r="R570" s="313">
        <f t="shared" ca="1" si="400"/>
        <v>0</v>
      </c>
      <c r="S570" s="1741">
        <f t="shared" ca="1" si="401"/>
        <v>0</v>
      </c>
      <c r="T570" s="313" t="str">
        <f>input!J937</f>
        <v>N</v>
      </c>
      <c r="V570" s="3115" t="str">
        <f>input!K937</f>
        <v>Packaging</v>
      </c>
      <c r="W570" s="3115">
        <f t="shared" ca="1" si="394"/>
        <v>0</v>
      </c>
      <c r="X570" s="3119">
        <f>VLOOKUP(V570,'Fix Cost'!$K$177:$M$179,2,0)</f>
        <v>58449.923860467366</v>
      </c>
      <c r="Y570" s="3119">
        <f>VLOOKUP(V570,'Fix Cost'!$K$177:$M$179,3,0)</f>
        <v>267411.04680782068</v>
      </c>
      <c r="Z570" s="3119">
        <f t="shared" ca="1" si="395"/>
        <v>0</v>
      </c>
      <c r="AA570" s="3115">
        <f t="shared" ca="1" si="396"/>
        <v>0</v>
      </c>
      <c r="AB570" s="3115">
        <f t="shared" ca="1" si="397"/>
        <v>0</v>
      </c>
      <c r="AL570" s="313"/>
      <c r="AM570" s="363"/>
      <c r="AN570" s="385"/>
      <c r="AT570" s="879">
        <f t="shared" ca="1" si="386"/>
        <v>0</v>
      </c>
      <c r="AU570" s="879">
        <f ca="1">COUNTIFS(AT$7:$AT570,1)</f>
        <v>6</v>
      </c>
    </row>
    <row r="571" spans="1:47" ht="12.75" hidden="1" outlineLevel="1">
      <c r="A571" s="1269"/>
      <c r="B571" s="1738" t="s">
        <v>220</v>
      </c>
      <c r="C571" s="313" t="s">
        <v>1478</v>
      </c>
      <c r="E571" s="363"/>
      <c r="F571" s="363" t="str">
        <f>input!F938</f>
        <v>N</v>
      </c>
      <c r="G571" s="363"/>
      <c r="H571" s="313">
        <f ca="1">IF(F571="PCS",$E$4,SUMIFS(Paper!$AC$7:$AC$58,Paper!$A$7:$A$58,'Production cost'!F571))</f>
        <v>0</v>
      </c>
      <c r="I571" s="313">
        <f>IF(input!$G938&gt;0,input!$G938,2000)</f>
        <v>2000</v>
      </c>
      <c r="J571" s="313" t="str">
        <f>input!$H938</f>
        <v>Sheets</v>
      </c>
      <c r="K571" s="360">
        <v>0</v>
      </c>
      <c r="L571" s="313">
        <f>IF(input!$I938&gt;0,input!$I938,3)</f>
        <v>3</v>
      </c>
      <c r="M571" s="391">
        <f t="shared" ca="1" si="398"/>
        <v>0</v>
      </c>
      <c r="N571" s="391">
        <f t="shared" ca="1" si="399"/>
        <v>0</v>
      </c>
      <c r="P571" s="313">
        <f>Data!$N$1154</f>
        <v>64591.331280067061</v>
      </c>
      <c r="Q571" s="313">
        <f t="shared" ca="1" si="393"/>
        <v>0</v>
      </c>
      <c r="R571" s="313">
        <f t="shared" ca="1" si="400"/>
        <v>0</v>
      </c>
      <c r="S571" s="1741">
        <f t="shared" ca="1" si="401"/>
        <v>0</v>
      </c>
      <c r="T571" s="313" t="str">
        <f>input!J938</f>
        <v>N</v>
      </c>
      <c r="V571" s="3115" t="str">
        <f>input!K938</f>
        <v>Packaging</v>
      </c>
      <c r="W571" s="3115">
        <f t="shared" ca="1" si="394"/>
        <v>0</v>
      </c>
      <c r="X571" s="3119">
        <f>VLOOKUP(V571,'Fix Cost'!$K$177:$M$179,2,0)</f>
        <v>58449.923860467366</v>
      </c>
      <c r="Y571" s="3119">
        <f>VLOOKUP(V571,'Fix Cost'!$K$177:$M$179,3,0)</f>
        <v>267411.04680782068</v>
      </c>
      <c r="Z571" s="3119">
        <f t="shared" ca="1" si="395"/>
        <v>0</v>
      </c>
      <c r="AA571" s="3115">
        <f t="shared" ca="1" si="396"/>
        <v>0</v>
      </c>
      <c r="AB571" s="3115">
        <f t="shared" ca="1" si="397"/>
        <v>0</v>
      </c>
      <c r="AL571" s="313"/>
      <c r="AM571" s="363"/>
      <c r="AN571" s="385"/>
      <c r="AT571" s="879">
        <f t="shared" ca="1" si="386"/>
        <v>0</v>
      </c>
      <c r="AU571" s="879">
        <f ca="1">COUNTIFS(AT$7:$AT571,1)</f>
        <v>6</v>
      </c>
    </row>
    <row r="572" spans="1:47" ht="12.75" hidden="1" outlineLevel="1">
      <c r="A572" s="1269"/>
      <c r="B572" s="1738" t="s">
        <v>220</v>
      </c>
      <c r="C572" s="313" t="str">
        <f>input!C939</f>
        <v>Trimming paper - Acc</v>
      </c>
      <c r="E572" s="363"/>
      <c r="F572" s="363" t="str">
        <f>input!F939</f>
        <v>N</v>
      </c>
      <c r="G572" s="363"/>
      <c r="H572" s="313">
        <f>IF(F572="PCS",$E$4,SUMIF('ACC &amp; Other Material '!$B$105:$B$114,'Production cost'!$F572,'ACC &amp; Other Material '!$H$105:$H$114))</f>
        <v>0</v>
      </c>
      <c r="I572" s="313">
        <f>IF(input!$G939&gt;0,input!$G939,2000)</f>
        <v>2000</v>
      </c>
      <c r="J572" s="313" t="str">
        <f>input!$H939</f>
        <v>Sheets</v>
      </c>
      <c r="K572" s="360">
        <v>0</v>
      </c>
      <c r="L572" s="313">
        <f>IF(input!$I939&gt;0,input!$I939,3)</f>
        <v>3</v>
      </c>
      <c r="M572" s="391">
        <f t="shared" si="398"/>
        <v>0</v>
      </c>
      <c r="N572" s="391">
        <f t="shared" si="399"/>
        <v>0</v>
      </c>
      <c r="P572" s="313">
        <f>Data!$N$1154</f>
        <v>64591.331280067061</v>
      </c>
      <c r="Q572" s="313">
        <f t="shared" si="393"/>
        <v>0</v>
      </c>
      <c r="R572" s="313">
        <f t="shared" si="400"/>
        <v>0</v>
      </c>
      <c r="S572" s="1741">
        <f t="shared" si="401"/>
        <v>0</v>
      </c>
      <c r="T572" s="313" t="str">
        <f>input!J939</f>
        <v>N</v>
      </c>
      <c r="V572" s="3115" t="str">
        <f>input!K939</f>
        <v>Packaging</v>
      </c>
      <c r="W572" s="3115">
        <f t="shared" si="394"/>
        <v>0</v>
      </c>
      <c r="X572" s="3119">
        <f>VLOOKUP(V572,'Fix Cost'!$K$177:$M$179,2,0)</f>
        <v>58449.923860467366</v>
      </c>
      <c r="Y572" s="3119">
        <f>VLOOKUP(V572,'Fix Cost'!$K$177:$M$179,3,0)</f>
        <v>267411.04680782068</v>
      </c>
      <c r="Z572" s="3119">
        <f t="shared" si="395"/>
        <v>0</v>
      </c>
      <c r="AA572" s="3115">
        <f t="shared" si="396"/>
        <v>0</v>
      </c>
      <c r="AB572" s="3115">
        <f t="shared" si="397"/>
        <v>0</v>
      </c>
      <c r="AL572" s="313"/>
      <c r="AM572" s="363"/>
      <c r="AN572" s="385"/>
      <c r="AT572" s="879">
        <f t="shared" si="386"/>
        <v>0</v>
      </c>
      <c r="AU572" s="879">
        <f ca="1">COUNTIFS(AT$7:$AT572,1)</f>
        <v>6</v>
      </c>
    </row>
    <row r="573" spans="1:47" ht="12.75" hidden="1" outlineLevel="1">
      <c r="A573" s="1269"/>
      <c r="B573" s="1738" t="s">
        <v>220</v>
      </c>
      <c r="C573" s="313" t="str">
        <f>input!C940</f>
        <v>Trimming paper - Acc</v>
      </c>
      <c r="E573" s="363"/>
      <c r="F573" s="363" t="str">
        <f>input!F940</f>
        <v>N</v>
      </c>
      <c r="G573" s="363"/>
      <c r="H573" s="313">
        <f>IF(F573="PCS",$E$4,SUMIF('ACC &amp; Other Material '!$B$105:$B$114,'Production cost'!$F573,'ACC &amp; Other Material '!$H$105:$H$114))</f>
        <v>0</v>
      </c>
      <c r="I573" s="313">
        <f>IF(input!$G940&gt;0,input!$G940,2000)</f>
        <v>2000</v>
      </c>
      <c r="J573" s="313" t="str">
        <f>input!$H940</f>
        <v>Sheets</v>
      </c>
      <c r="K573" s="360">
        <v>0</v>
      </c>
      <c r="L573" s="313">
        <f>IF(input!$I940&gt;0,input!$I940,3)</f>
        <v>3</v>
      </c>
      <c r="M573" s="391">
        <f t="shared" si="398"/>
        <v>0</v>
      </c>
      <c r="N573" s="391">
        <f t="shared" si="399"/>
        <v>0</v>
      </c>
      <c r="P573" s="313">
        <f>Data!$N$1154</f>
        <v>64591.331280067061</v>
      </c>
      <c r="Q573" s="313">
        <f t="shared" si="393"/>
        <v>0</v>
      </c>
      <c r="R573" s="313">
        <f t="shared" si="400"/>
        <v>0</v>
      </c>
      <c r="S573" s="1741">
        <f t="shared" si="401"/>
        <v>0</v>
      </c>
      <c r="T573" s="313" t="str">
        <f>input!J940</f>
        <v>N</v>
      </c>
      <c r="V573" s="3115" t="str">
        <f>input!K940</f>
        <v>Packaging</v>
      </c>
      <c r="W573" s="3115">
        <f t="shared" si="394"/>
        <v>0</v>
      </c>
      <c r="X573" s="3119">
        <f>VLOOKUP(V573,'Fix Cost'!$K$177:$M$179,2,0)</f>
        <v>58449.923860467366</v>
      </c>
      <c r="Y573" s="3119">
        <f>VLOOKUP(V573,'Fix Cost'!$K$177:$M$179,3,0)</f>
        <v>267411.04680782068</v>
      </c>
      <c r="Z573" s="3119">
        <f t="shared" si="395"/>
        <v>0</v>
      </c>
      <c r="AA573" s="3115">
        <f t="shared" si="396"/>
        <v>0</v>
      </c>
      <c r="AB573" s="3115">
        <f t="shared" si="397"/>
        <v>0</v>
      </c>
      <c r="AL573" s="313"/>
      <c r="AM573" s="363"/>
      <c r="AN573" s="385"/>
      <c r="AT573" s="879">
        <f t="shared" si="386"/>
        <v>0</v>
      </c>
      <c r="AU573" s="879">
        <f ca="1">COUNTIFS(AT$7:$AT573,1)</f>
        <v>6</v>
      </c>
    </row>
    <row r="574" spans="1:47" ht="12.75" hidden="1" outlineLevel="1">
      <c r="B574" s="1738" t="s">
        <v>220</v>
      </c>
      <c r="C574" s="313" t="s">
        <v>225</v>
      </c>
      <c r="E574" s="363"/>
      <c r="F574" s="363" t="str">
        <f>input!F941</f>
        <v>N</v>
      </c>
      <c r="G574" s="363"/>
      <c r="H574" s="313">
        <f ca="1">IF(F574="PCS",$E$4,SUMIFS(Paper!$AC$7:$AC$58,Paper!$A$7:$A$58,'Production cost'!F574))</f>
        <v>0</v>
      </c>
      <c r="I574" s="313">
        <f>IF(input!$G941&gt;0,input!$G941,300)</f>
        <v>300</v>
      </c>
      <c r="J574" s="313" t="str">
        <f>input!$H941</f>
        <v>Sheets</v>
      </c>
      <c r="K574" s="360">
        <v>0</v>
      </c>
      <c r="L574" s="313">
        <f>IF(input!$I941&gt;0,input!$I941,2)</f>
        <v>2</v>
      </c>
      <c r="M574" s="391">
        <f ca="1">IF(H574&gt;0,10/60,0)</f>
        <v>0</v>
      </c>
      <c r="N574" s="391">
        <f t="shared" ref="N574:N587" ca="1" si="402">IF(H574&gt;0,ROUNDUP(((H574/I574)/$M$5+M574),1),0)</f>
        <v>0</v>
      </c>
      <c r="P574" s="313">
        <f>Data!$N$1155</f>
        <v>52580.182439963428</v>
      </c>
      <c r="Q574" s="313">
        <f t="shared" ca="1" si="393"/>
        <v>0</v>
      </c>
      <c r="R574" s="313">
        <f t="shared" ref="R574:R587" ca="1" si="403">IF($E$2&gt;0,Q574/$E$2,0)</f>
        <v>0</v>
      </c>
      <c r="S574" s="1741">
        <f t="shared" ref="S574:S587" ca="1" si="404">IF(M574&gt;0,K574*O574+L574*P574,0)</f>
        <v>0</v>
      </c>
      <c r="T574" s="313" t="str">
        <f>input!J941</f>
        <v>N</v>
      </c>
      <c r="V574" s="3115" t="str">
        <f>input!K941</f>
        <v>Packaging</v>
      </c>
      <c r="W574" s="3115">
        <f t="shared" ca="1" si="394"/>
        <v>0</v>
      </c>
      <c r="X574" s="3119">
        <f>VLOOKUP(V574,'Fix Cost'!$K$177:$M$179,2,0)</f>
        <v>58449.923860467366</v>
      </c>
      <c r="Y574" s="3119">
        <f>VLOOKUP(V574,'Fix Cost'!$K$177:$M$179,3,0)</f>
        <v>267411.04680782068</v>
      </c>
      <c r="Z574" s="3119">
        <f t="shared" ca="1" si="395"/>
        <v>0</v>
      </c>
      <c r="AA574" s="3115">
        <f t="shared" ca="1" si="396"/>
        <v>0</v>
      </c>
      <c r="AB574" s="3115">
        <f t="shared" ca="1" si="397"/>
        <v>0</v>
      </c>
      <c r="AL574" s="313"/>
      <c r="AM574" s="363"/>
      <c r="AN574" s="385"/>
      <c r="AT574" s="879">
        <f t="shared" ca="1" si="386"/>
        <v>0</v>
      </c>
      <c r="AU574" s="879">
        <f ca="1">COUNTIFS(AT$7:$AT574,1)</f>
        <v>6</v>
      </c>
    </row>
    <row r="575" spans="1:47" ht="12.75" hidden="1" outlineLevel="1">
      <c r="B575" s="1738" t="s">
        <v>220</v>
      </c>
      <c r="C575" s="313" t="s">
        <v>628</v>
      </c>
      <c r="D575" s="363" t="s">
        <v>16</v>
      </c>
      <c r="E575" s="363">
        <f>input!D942</f>
        <v>12</v>
      </c>
      <c r="F575" s="363" t="str">
        <f>input!F942</f>
        <v>N</v>
      </c>
      <c r="G575" s="363" t="str">
        <f>input!E942</f>
        <v>80 x 80</v>
      </c>
      <c r="H575" s="313">
        <f ca="1">IF(F575="PCS",$E$4,SUMIFS(Paper!$AC$7:$AC$58,Paper!$A$7:$A$58,'Production cost'!F575))</f>
        <v>0</v>
      </c>
      <c r="I575" s="313">
        <f>IF(input!$G942&gt;0,input!$G942,HLOOKUP($G575,Data!$N$1097:$S$1109,IF($E575=Data!$M$1098,2,IF($E575=Data!$M$1099,3,4)),0))</f>
        <v>2500</v>
      </c>
      <c r="J575" s="313" t="str">
        <f>input!$H942</f>
        <v>copies</v>
      </c>
      <c r="K575" s="360">
        <v>0</v>
      </c>
      <c r="L575" s="313">
        <f>IF(input!$I942&gt;0,input!$I942,3)</f>
        <v>3</v>
      </c>
      <c r="M575" s="391">
        <f t="shared" ref="M575:M586" ca="1" si="405">IF(H575&gt;0,25/60,0)</f>
        <v>0</v>
      </c>
      <c r="N575" s="391">
        <f t="shared" ca="1" si="402"/>
        <v>0</v>
      </c>
      <c r="P575" s="313">
        <f>Data!$N$1154</f>
        <v>64591.331280067061</v>
      </c>
      <c r="Q575" s="313">
        <f t="shared" ca="1" si="393"/>
        <v>0</v>
      </c>
      <c r="R575" s="313">
        <f t="shared" ca="1" si="403"/>
        <v>0</v>
      </c>
      <c r="S575" s="1741">
        <f t="shared" ca="1" si="404"/>
        <v>0</v>
      </c>
      <c r="T575" s="313" t="str">
        <f>input!J942</f>
        <v>N</v>
      </c>
      <c r="V575" s="3115" t="str">
        <f>input!K942</f>
        <v>Packaging</v>
      </c>
      <c r="W575" s="3115">
        <f t="shared" ca="1" si="394"/>
        <v>0</v>
      </c>
      <c r="X575" s="3119">
        <f>VLOOKUP(V575,'Fix Cost'!$K$177:$M$179,2,0)</f>
        <v>58449.923860467366</v>
      </c>
      <c r="Y575" s="3119">
        <f>VLOOKUP(V575,'Fix Cost'!$K$177:$M$179,3,0)</f>
        <v>267411.04680782068</v>
      </c>
      <c r="Z575" s="3119">
        <f t="shared" ca="1" si="395"/>
        <v>0</v>
      </c>
      <c r="AA575" s="3115">
        <f t="shared" ca="1" si="396"/>
        <v>0</v>
      </c>
      <c r="AB575" s="3115">
        <f t="shared" ca="1" si="397"/>
        <v>0</v>
      </c>
      <c r="AL575" s="313"/>
      <c r="AM575" s="363"/>
      <c r="AN575" s="385"/>
      <c r="AT575" s="879">
        <f t="shared" ca="1" si="386"/>
        <v>0</v>
      </c>
      <c r="AU575" s="879">
        <f ca="1">COUNTIFS(AT$7:$AT575,1)</f>
        <v>6</v>
      </c>
    </row>
    <row r="576" spans="1:47" ht="12.75" hidden="1" outlineLevel="1">
      <c r="B576" s="1738" t="s">
        <v>220</v>
      </c>
      <c r="C576" s="313" t="s">
        <v>628</v>
      </c>
      <c r="D576" s="363" t="s">
        <v>16</v>
      </c>
      <c r="E576" s="363">
        <f>input!D943</f>
        <v>12</v>
      </c>
      <c r="F576" s="363" t="str">
        <f>input!F943</f>
        <v>N</v>
      </c>
      <c r="G576" s="363" t="str">
        <f>input!E943</f>
        <v>80 x 80</v>
      </c>
      <c r="H576" s="313">
        <f ca="1">IF(F576="PCS",$E$4,SUMIFS(Paper!$AC$7:$AC$58,Paper!$A$7:$A$58,'Production cost'!F576))</f>
        <v>0</v>
      </c>
      <c r="I576" s="313">
        <f>IF(input!$G943&gt;0,input!$G943,HLOOKUP($G576,Data!$N$1097:$S$1109,IF($E576=Data!$M$1098,2,IF($E576=Data!$M$1099,3,4)),0))</f>
        <v>2500</v>
      </c>
      <c r="J576" s="313" t="str">
        <f>input!$H943</f>
        <v>copies</v>
      </c>
      <c r="K576" s="360">
        <v>0</v>
      </c>
      <c r="L576" s="313">
        <f>IF(input!$I943&gt;0,input!$I943,3)</f>
        <v>3</v>
      </c>
      <c r="M576" s="391">
        <f t="shared" ca="1" si="405"/>
        <v>0</v>
      </c>
      <c r="N576" s="391">
        <f t="shared" ca="1" si="402"/>
        <v>0</v>
      </c>
      <c r="P576" s="313">
        <f>Data!$N$1154</f>
        <v>64591.331280067061</v>
      </c>
      <c r="Q576" s="313">
        <f t="shared" ca="1" si="393"/>
        <v>0</v>
      </c>
      <c r="R576" s="313">
        <f t="shared" ca="1" si="403"/>
        <v>0</v>
      </c>
      <c r="S576" s="1741">
        <f t="shared" ca="1" si="404"/>
        <v>0</v>
      </c>
      <c r="T576" s="313" t="str">
        <f>input!J943</f>
        <v>N</v>
      </c>
      <c r="V576" s="3115" t="str">
        <f>input!K943</f>
        <v>Packaging</v>
      </c>
      <c r="W576" s="3115">
        <f t="shared" ca="1" si="394"/>
        <v>0</v>
      </c>
      <c r="X576" s="3119">
        <f>VLOOKUP(V576,'Fix Cost'!$K$177:$M$179,2,0)</f>
        <v>58449.923860467366</v>
      </c>
      <c r="Y576" s="3119">
        <f>VLOOKUP(V576,'Fix Cost'!$K$177:$M$179,3,0)</f>
        <v>267411.04680782068</v>
      </c>
      <c r="Z576" s="3119">
        <f t="shared" ca="1" si="395"/>
        <v>0</v>
      </c>
      <c r="AA576" s="3115">
        <f t="shared" ca="1" si="396"/>
        <v>0</v>
      </c>
      <c r="AB576" s="3115">
        <f t="shared" ca="1" si="397"/>
        <v>0</v>
      </c>
      <c r="AL576" s="313"/>
      <c r="AM576" s="363"/>
      <c r="AN576" s="385"/>
      <c r="AT576" s="879">
        <f t="shared" ca="1" si="386"/>
        <v>0</v>
      </c>
      <c r="AU576" s="879">
        <f ca="1">COUNTIFS(AT$7:$AT576,1)</f>
        <v>6</v>
      </c>
    </row>
    <row r="577" spans="1:47" ht="12.75" hidden="1" outlineLevel="1">
      <c r="B577" s="1738" t="s">
        <v>220</v>
      </c>
      <c r="C577" s="313" t="s">
        <v>628</v>
      </c>
      <c r="D577" s="363" t="s">
        <v>16</v>
      </c>
      <c r="E577" s="363">
        <f>input!D944</f>
        <v>12</v>
      </c>
      <c r="F577" s="363" t="str">
        <f>input!F944</f>
        <v>N</v>
      </c>
      <c r="G577" s="363" t="str">
        <f>input!E944</f>
        <v>80 x 80</v>
      </c>
      <c r="H577" s="313">
        <f ca="1">IF(F577="PCS",$E$4,SUMIFS(Paper!$AC$7:$AC$58,Paper!$A$7:$A$58,'Production cost'!F577))</f>
        <v>0</v>
      </c>
      <c r="I577" s="313">
        <f>IF(input!$G944&gt;0,input!$G944,HLOOKUP($G577,Data!$N$1097:$S$1109,IF($E577=Data!$M$1098,2,IF($E577=Data!$M$1099,3,4)),0))</f>
        <v>2500</v>
      </c>
      <c r="J577" s="313" t="str">
        <f>input!$H944</f>
        <v>copies</v>
      </c>
      <c r="K577" s="360">
        <v>0</v>
      </c>
      <c r="L577" s="313">
        <f>IF(input!$I944&gt;0,input!$I944,3)</f>
        <v>3</v>
      </c>
      <c r="M577" s="391">
        <f t="shared" ca="1" si="405"/>
        <v>0</v>
      </c>
      <c r="N577" s="391">
        <f t="shared" ca="1" si="402"/>
        <v>0</v>
      </c>
      <c r="P577" s="313">
        <f>Data!$N$1154</f>
        <v>64591.331280067061</v>
      </c>
      <c r="Q577" s="313">
        <f t="shared" ca="1" si="393"/>
        <v>0</v>
      </c>
      <c r="R577" s="313">
        <f t="shared" ca="1" si="403"/>
        <v>0</v>
      </c>
      <c r="S577" s="1741">
        <f t="shared" ca="1" si="404"/>
        <v>0</v>
      </c>
      <c r="T577" s="313" t="str">
        <f>input!J944</f>
        <v>N</v>
      </c>
      <c r="V577" s="3115" t="str">
        <f>input!K944</f>
        <v>Packaging</v>
      </c>
      <c r="W577" s="3115">
        <f t="shared" ca="1" si="394"/>
        <v>0</v>
      </c>
      <c r="X577" s="3119">
        <f>VLOOKUP(V577,'Fix Cost'!$K$177:$M$179,2,0)</f>
        <v>58449.923860467366</v>
      </c>
      <c r="Y577" s="3119">
        <f>VLOOKUP(V577,'Fix Cost'!$K$177:$M$179,3,0)</f>
        <v>267411.04680782068</v>
      </c>
      <c r="Z577" s="3119">
        <f t="shared" ca="1" si="395"/>
        <v>0</v>
      </c>
      <c r="AA577" s="3115">
        <f t="shared" ca="1" si="396"/>
        <v>0</v>
      </c>
      <c r="AB577" s="3115">
        <f t="shared" ca="1" si="397"/>
        <v>0</v>
      </c>
      <c r="AL577" s="313"/>
      <c r="AM577" s="363"/>
      <c r="AN577" s="385"/>
      <c r="AT577" s="879">
        <f t="shared" ca="1" si="386"/>
        <v>0</v>
      </c>
      <c r="AU577" s="879">
        <f ca="1">COUNTIFS(AT$7:$AT577,1)</f>
        <v>6</v>
      </c>
    </row>
    <row r="578" spans="1:47" ht="12.75" hidden="1" outlineLevel="1">
      <c r="B578" s="1738" t="s">
        <v>220</v>
      </c>
      <c r="C578" s="313" t="s">
        <v>629</v>
      </c>
      <c r="D578" s="363" t="s">
        <v>16</v>
      </c>
      <c r="E578" s="363">
        <f>input!D945</f>
        <v>12</v>
      </c>
      <c r="F578" s="363" t="str">
        <f>input!F945</f>
        <v>N</v>
      </c>
      <c r="G578" s="363" t="str">
        <f>input!E945</f>
        <v>80 x 80</v>
      </c>
      <c r="H578" s="313">
        <f ca="1">IF(F578="PCS",$E$4,SUMIFS(Paper!$AC$7:$AC$58,Paper!$A$7:$A$58,'Production cost'!F578))</f>
        <v>0</v>
      </c>
      <c r="I578" s="313">
        <f>IF(input!$G945&gt;0,input!$G945,HLOOKUP($G578,Data!$N$1097:$S$1109,IF($E578=Data!$M$1098,2,IF($E578=Data!$M$1099,3,4)),0))</f>
        <v>2500</v>
      </c>
      <c r="J578" s="313" t="str">
        <f>input!$H945</f>
        <v>copies</v>
      </c>
      <c r="K578" s="360">
        <v>0</v>
      </c>
      <c r="L578" s="313">
        <f>IF(input!$I945&gt;0,input!$I945,4)</f>
        <v>4</v>
      </c>
      <c r="M578" s="391">
        <f t="shared" ca="1" si="405"/>
        <v>0</v>
      </c>
      <c r="N578" s="391">
        <f t="shared" ca="1" si="402"/>
        <v>0</v>
      </c>
      <c r="P578" s="313">
        <f>Data!$N$1154</f>
        <v>64591.331280067061</v>
      </c>
      <c r="Q578" s="313">
        <f t="shared" ca="1" si="393"/>
        <v>0</v>
      </c>
      <c r="R578" s="313">
        <f t="shared" ca="1" si="403"/>
        <v>0</v>
      </c>
      <c r="S578" s="1741">
        <f t="shared" ca="1" si="404"/>
        <v>0</v>
      </c>
      <c r="T578" s="313" t="str">
        <f>input!J945</f>
        <v>N</v>
      </c>
      <c r="V578" s="3115" t="str">
        <f>input!K945</f>
        <v>Packaging</v>
      </c>
      <c r="W578" s="3115">
        <f t="shared" ca="1" si="394"/>
        <v>0</v>
      </c>
      <c r="X578" s="3119">
        <f>VLOOKUP(V578,'Fix Cost'!$K$177:$M$179,2,0)</f>
        <v>58449.923860467366</v>
      </c>
      <c r="Y578" s="3119">
        <f>VLOOKUP(V578,'Fix Cost'!$K$177:$M$179,3,0)</f>
        <v>267411.04680782068</v>
      </c>
      <c r="Z578" s="3119">
        <f t="shared" ca="1" si="395"/>
        <v>0</v>
      </c>
      <c r="AA578" s="3115">
        <f t="shared" ca="1" si="396"/>
        <v>0</v>
      </c>
      <c r="AB578" s="3115">
        <f t="shared" ca="1" si="397"/>
        <v>0</v>
      </c>
      <c r="AL578" s="313"/>
      <c r="AM578" s="363"/>
      <c r="AN578" s="385"/>
      <c r="AT578" s="879">
        <f t="shared" ca="1" si="386"/>
        <v>0</v>
      </c>
      <c r="AU578" s="879">
        <f ca="1">COUNTIFS(AT$7:$AT578,1)</f>
        <v>6</v>
      </c>
    </row>
    <row r="579" spans="1:47" ht="12.75" hidden="1" outlineLevel="1">
      <c r="B579" s="1738" t="s">
        <v>220</v>
      </c>
      <c r="C579" s="313" t="s">
        <v>629</v>
      </c>
      <c r="D579" s="363" t="s">
        <v>16</v>
      </c>
      <c r="E579" s="363">
        <f>input!D946</f>
        <v>12</v>
      </c>
      <c r="F579" s="363" t="str">
        <f>input!F946</f>
        <v>N</v>
      </c>
      <c r="G579" s="363" t="str">
        <f>input!E946</f>
        <v>80 x 80</v>
      </c>
      <c r="H579" s="313">
        <f ca="1">IF(F579="PCS",$E$4,SUMIFS(Paper!$AC$7:$AC$58,Paper!$A$7:$A$58,'Production cost'!F579))</f>
        <v>0</v>
      </c>
      <c r="I579" s="313">
        <f>IF(input!$G946&gt;0,input!$G946,HLOOKUP($G579,Data!$N$1097:$S$1109,IF($E579=Data!$M$1098,2,IF($E579=Data!$M$1099,3,4)),0))</f>
        <v>2500</v>
      </c>
      <c r="J579" s="313" t="str">
        <f>input!$H946</f>
        <v>copies</v>
      </c>
      <c r="K579" s="360">
        <v>0</v>
      </c>
      <c r="L579" s="313">
        <f>IF(input!$I946&gt;0,input!$I946,4)</f>
        <v>4</v>
      </c>
      <c r="M579" s="391">
        <f t="shared" ca="1" si="405"/>
        <v>0</v>
      </c>
      <c r="N579" s="391">
        <f t="shared" ca="1" si="402"/>
        <v>0</v>
      </c>
      <c r="P579" s="313">
        <f>Data!$N$1154</f>
        <v>64591.331280067061</v>
      </c>
      <c r="Q579" s="313">
        <f t="shared" ca="1" si="393"/>
        <v>0</v>
      </c>
      <c r="R579" s="313">
        <f t="shared" ca="1" si="403"/>
        <v>0</v>
      </c>
      <c r="S579" s="1741">
        <f t="shared" ca="1" si="404"/>
        <v>0</v>
      </c>
      <c r="T579" s="313" t="str">
        <f>input!J946</f>
        <v>N</v>
      </c>
      <c r="V579" s="3115" t="str">
        <f>input!K946</f>
        <v>Packaging</v>
      </c>
      <c r="W579" s="3115">
        <f t="shared" ca="1" si="394"/>
        <v>0</v>
      </c>
      <c r="X579" s="3119">
        <f>VLOOKUP(V579,'Fix Cost'!$K$177:$M$179,2,0)</f>
        <v>58449.923860467366</v>
      </c>
      <c r="Y579" s="3119">
        <f>VLOOKUP(V579,'Fix Cost'!$K$177:$M$179,3,0)</f>
        <v>267411.04680782068</v>
      </c>
      <c r="Z579" s="3119">
        <f t="shared" ca="1" si="395"/>
        <v>0</v>
      </c>
      <c r="AA579" s="3115">
        <f t="shared" ca="1" si="396"/>
        <v>0</v>
      </c>
      <c r="AB579" s="3115">
        <f t="shared" ca="1" si="397"/>
        <v>0</v>
      </c>
      <c r="AL579" s="313"/>
      <c r="AM579" s="363"/>
      <c r="AN579" s="385"/>
      <c r="AT579" s="879">
        <f t="shared" ca="1" si="386"/>
        <v>0</v>
      </c>
      <c r="AU579" s="879">
        <f ca="1">COUNTIFS(AT$7:$AT579,1)</f>
        <v>6</v>
      </c>
    </row>
    <row r="580" spans="1:47" ht="12.75" hidden="1" outlineLevel="1">
      <c r="B580" s="1738" t="s">
        <v>220</v>
      </c>
      <c r="C580" s="313" t="s">
        <v>629</v>
      </c>
      <c r="D580" s="363" t="s">
        <v>16</v>
      </c>
      <c r="E580" s="363">
        <f>input!D947</f>
        <v>12</v>
      </c>
      <c r="F580" s="363" t="str">
        <f>input!F947</f>
        <v>N</v>
      </c>
      <c r="G580" s="363" t="str">
        <f>input!E947</f>
        <v>80 x 80</v>
      </c>
      <c r="H580" s="313">
        <f ca="1">IF(F580="PCS",$E$4,SUMIFS(Paper!$AC$7:$AC$58,Paper!$A$7:$A$58,'Production cost'!F580))</f>
        <v>0</v>
      </c>
      <c r="I580" s="313">
        <f>IF(input!$G947&gt;0,input!$G947,HLOOKUP($G580,Data!$N$1097:$S$1109,IF($E580=Data!$M$1098,2,IF($E580=Data!$M$1099,3,4)),0))</f>
        <v>2500</v>
      </c>
      <c r="J580" s="313" t="str">
        <f>input!$H947</f>
        <v>copies</v>
      </c>
      <c r="K580" s="360">
        <v>0</v>
      </c>
      <c r="L580" s="313">
        <f>IF(input!$I947&gt;0,input!$I947,4)</f>
        <v>4</v>
      </c>
      <c r="M580" s="391">
        <f t="shared" ca="1" si="405"/>
        <v>0</v>
      </c>
      <c r="N580" s="391">
        <f t="shared" ca="1" si="402"/>
        <v>0</v>
      </c>
      <c r="P580" s="313">
        <f>Data!$N$1154</f>
        <v>64591.331280067061</v>
      </c>
      <c r="Q580" s="313">
        <f t="shared" ca="1" si="393"/>
        <v>0</v>
      </c>
      <c r="R580" s="313">
        <f t="shared" ca="1" si="403"/>
        <v>0</v>
      </c>
      <c r="S580" s="1741">
        <f t="shared" ca="1" si="404"/>
        <v>0</v>
      </c>
      <c r="T580" s="313" t="str">
        <f>input!J947</f>
        <v>N</v>
      </c>
      <c r="V580" s="3115" t="str">
        <f>input!K947</f>
        <v>Packaging</v>
      </c>
      <c r="W580" s="3115">
        <f t="shared" ca="1" si="394"/>
        <v>0</v>
      </c>
      <c r="X580" s="3119">
        <f>VLOOKUP(V580,'Fix Cost'!$K$177:$M$179,2,0)</f>
        <v>58449.923860467366</v>
      </c>
      <c r="Y580" s="3119">
        <f>VLOOKUP(V580,'Fix Cost'!$K$177:$M$179,3,0)</f>
        <v>267411.04680782068</v>
      </c>
      <c r="Z580" s="3119">
        <f t="shared" ca="1" si="395"/>
        <v>0</v>
      </c>
      <c r="AA580" s="3115">
        <f t="shared" ca="1" si="396"/>
        <v>0</v>
      </c>
      <c r="AB580" s="3115">
        <f t="shared" ca="1" si="397"/>
        <v>0</v>
      </c>
      <c r="AL580" s="313"/>
      <c r="AM580" s="363"/>
      <c r="AN580" s="385"/>
      <c r="AT580" s="879">
        <f t="shared" ca="1" si="386"/>
        <v>0</v>
      </c>
      <c r="AU580" s="879">
        <f ca="1">COUNTIFS(AT$7:$AT580,1)</f>
        <v>6</v>
      </c>
    </row>
    <row r="581" spans="1:47" ht="12.75" hidden="1" outlineLevel="1">
      <c r="B581" s="1738" t="s">
        <v>220</v>
      </c>
      <c r="C581" s="313" t="s">
        <v>630</v>
      </c>
      <c r="D581" s="363" t="s">
        <v>16</v>
      </c>
      <c r="E581" s="363">
        <f>input!D948</f>
        <v>12</v>
      </c>
      <c r="F581" s="363" t="str">
        <f>input!F948</f>
        <v>N</v>
      </c>
      <c r="G581" s="363" t="str">
        <f>input!E948</f>
        <v>80 x 80</v>
      </c>
      <c r="H581" s="313">
        <f ca="1">IF(F581="PCS",$E$4,SUMIFS(Paper!$AC$7:$AC$58,Paper!$A$7:$A$58,'Production cost'!F581))</f>
        <v>0</v>
      </c>
      <c r="I581" s="313">
        <f>IF(input!$G948&gt;0,input!$G948,HLOOKUP($G581,Data!$N$1097:$S$1109,IF($E581=Data!$M$1098,2,IF($E581=Data!$M$1099,3,4)),0))</f>
        <v>2500</v>
      </c>
      <c r="J581" s="313" t="str">
        <f>input!$H948</f>
        <v>copies</v>
      </c>
      <c r="K581" s="360">
        <v>0</v>
      </c>
      <c r="L581" s="313">
        <f>IF(input!$I948&gt;0,input!$I948,2)</f>
        <v>2</v>
      </c>
      <c r="M581" s="391">
        <f t="shared" ca="1" si="405"/>
        <v>0</v>
      </c>
      <c r="N581" s="391">
        <f t="shared" ca="1" si="402"/>
        <v>0</v>
      </c>
      <c r="P581" s="313">
        <f>Data!$N$1154</f>
        <v>64591.331280067061</v>
      </c>
      <c r="Q581" s="313">
        <f t="shared" ca="1" si="393"/>
        <v>0</v>
      </c>
      <c r="R581" s="313">
        <f t="shared" ca="1" si="403"/>
        <v>0</v>
      </c>
      <c r="S581" s="1741">
        <f t="shared" ca="1" si="404"/>
        <v>0</v>
      </c>
      <c r="T581" s="313" t="str">
        <f>input!J948</f>
        <v>N</v>
      </c>
      <c r="V581" s="3115" t="str">
        <f>input!K948</f>
        <v>Packaging</v>
      </c>
      <c r="W581" s="3115">
        <f t="shared" ca="1" si="394"/>
        <v>0</v>
      </c>
      <c r="X581" s="3119">
        <f>VLOOKUP(V581,'Fix Cost'!$K$177:$M$179,2,0)</f>
        <v>58449.923860467366</v>
      </c>
      <c r="Y581" s="3119">
        <f>VLOOKUP(V581,'Fix Cost'!$K$177:$M$179,3,0)</f>
        <v>267411.04680782068</v>
      </c>
      <c r="Z581" s="3119">
        <f t="shared" ca="1" si="395"/>
        <v>0</v>
      </c>
      <c r="AA581" s="3115">
        <f t="shared" ca="1" si="396"/>
        <v>0</v>
      </c>
      <c r="AB581" s="3115">
        <f t="shared" ca="1" si="397"/>
        <v>0</v>
      </c>
      <c r="AL581" s="313"/>
      <c r="AM581" s="363"/>
      <c r="AN581" s="385"/>
      <c r="AT581" s="879">
        <f t="shared" ca="1" si="386"/>
        <v>0</v>
      </c>
      <c r="AU581" s="879">
        <f ca="1">COUNTIFS(AT$7:$AT581,1)</f>
        <v>6</v>
      </c>
    </row>
    <row r="582" spans="1:47" ht="12.75" hidden="1" outlineLevel="1">
      <c r="B582" s="1738" t="s">
        <v>220</v>
      </c>
      <c r="C582" s="313" t="s">
        <v>630</v>
      </c>
      <c r="D582" s="363" t="s">
        <v>16</v>
      </c>
      <c r="E582" s="363">
        <f>input!D949</f>
        <v>12</v>
      </c>
      <c r="F582" s="363" t="str">
        <f>input!F949</f>
        <v>N</v>
      </c>
      <c r="G582" s="363" t="str">
        <f>input!E949</f>
        <v>80 x 80</v>
      </c>
      <c r="H582" s="313">
        <f ca="1">IF(F582="PCS",$E$4,SUMIFS(Paper!$AC$7:$AC$58,Paper!$A$7:$A$58,'Production cost'!F582))</f>
        <v>0</v>
      </c>
      <c r="I582" s="313">
        <f>IF(input!$G949&gt;0,input!$G949,HLOOKUP($G582,Data!$N$1097:$S$1109,IF($E582=Data!$M$1098,2,IF($E582=Data!$M$1099,3,4)),0))</f>
        <v>2500</v>
      </c>
      <c r="J582" s="313" t="str">
        <f>input!$H949</f>
        <v>copies</v>
      </c>
      <c r="K582" s="360">
        <v>0</v>
      </c>
      <c r="L582" s="313">
        <f>IF(input!$I949&gt;0,input!$I949,2)</f>
        <v>2</v>
      </c>
      <c r="M582" s="391">
        <f t="shared" ca="1" si="405"/>
        <v>0</v>
      </c>
      <c r="N582" s="391">
        <f t="shared" ca="1" si="402"/>
        <v>0</v>
      </c>
      <c r="P582" s="313">
        <f>Data!$N$1154</f>
        <v>64591.331280067061</v>
      </c>
      <c r="Q582" s="313">
        <f t="shared" ca="1" si="393"/>
        <v>0</v>
      </c>
      <c r="R582" s="313">
        <f t="shared" ca="1" si="403"/>
        <v>0</v>
      </c>
      <c r="S582" s="1741">
        <f t="shared" ca="1" si="404"/>
        <v>0</v>
      </c>
      <c r="T582" s="313" t="str">
        <f>input!J949</f>
        <v>N</v>
      </c>
      <c r="V582" s="3115" t="str">
        <f>input!K949</f>
        <v>Packaging</v>
      </c>
      <c r="W582" s="3115">
        <f t="shared" ca="1" si="394"/>
        <v>0</v>
      </c>
      <c r="X582" s="3119">
        <f>VLOOKUP(V582,'Fix Cost'!$K$177:$M$179,2,0)</f>
        <v>58449.923860467366</v>
      </c>
      <c r="Y582" s="3119">
        <f>VLOOKUP(V582,'Fix Cost'!$K$177:$M$179,3,0)</f>
        <v>267411.04680782068</v>
      </c>
      <c r="Z582" s="3119">
        <f t="shared" ca="1" si="395"/>
        <v>0</v>
      </c>
      <c r="AA582" s="3115">
        <f t="shared" ca="1" si="396"/>
        <v>0</v>
      </c>
      <c r="AB582" s="3115">
        <f t="shared" ca="1" si="397"/>
        <v>0</v>
      </c>
      <c r="AL582" s="313"/>
      <c r="AM582" s="363"/>
      <c r="AN582" s="385"/>
      <c r="AT582" s="879">
        <f t="shared" ca="1" si="386"/>
        <v>0</v>
      </c>
      <c r="AU582" s="879">
        <f ca="1">COUNTIFS(AT$7:$AT582,1)</f>
        <v>6</v>
      </c>
    </row>
    <row r="583" spans="1:47" ht="12.75" hidden="1" outlineLevel="1">
      <c r="B583" s="1738" t="s">
        <v>220</v>
      </c>
      <c r="C583" s="313" t="s">
        <v>630</v>
      </c>
      <c r="D583" s="363" t="s">
        <v>16</v>
      </c>
      <c r="E583" s="363">
        <f>input!D950</f>
        <v>12</v>
      </c>
      <c r="F583" s="363" t="str">
        <f>input!F950</f>
        <v>N</v>
      </c>
      <c r="G583" s="363" t="str">
        <f>input!E950</f>
        <v>80 x 80</v>
      </c>
      <c r="H583" s="313">
        <f ca="1">IF(F583="PCS",$E$4,SUMIFS(Paper!$AC$7:$AC$58,Paper!$A$7:$A$58,'Production cost'!F583))</f>
        <v>0</v>
      </c>
      <c r="I583" s="313">
        <f>IF(input!$G950&gt;0,input!$G950,HLOOKUP($G583,Data!$N$1097:$S$1109,IF($E583=Data!$M$1098,2,IF($E583=Data!$M$1099,3,4)),0))</f>
        <v>2500</v>
      </c>
      <c r="J583" s="313" t="str">
        <f>input!$H950</f>
        <v>copies</v>
      </c>
      <c r="K583" s="360">
        <v>0</v>
      </c>
      <c r="L583" s="313">
        <f>IF(input!$I950&gt;0,input!$I950,2)</f>
        <v>2</v>
      </c>
      <c r="M583" s="391">
        <f t="shared" ca="1" si="405"/>
        <v>0</v>
      </c>
      <c r="N583" s="391">
        <f t="shared" ca="1" si="402"/>
        <v>0</v>
      </c>
      <c r="P583" s="313">
        <f>Data!$N$1154</f>
        <v>64591.331280067061</v>
      </c>
      <c r="Q583" s="313">
        <f t="shared" ca="1" si="393"/>
        <v>0</v>
      </c>
      <c r="R583" s="313">
        <f t="shared" ca="1" si="403"/>
        <v>0</v>
      </c>
      <c r="S583" s="1741">
        <f t="shared" ca="1" si="404"/>
        <v>0</v>
      </c>
      <c r="T583" s="313" t="str">
        <f>input!J950</f>
        <v>N</v>
      </c>
      <c r="V583" s="3115" t="str">
        <f>input!K950</f>
        <v>Packaging</v>
      </c>
      <c r="W583" s="3115">
        <f t="shared" ca="1" si="394"/>
        <v>0</v>
      </c>
      <c r="X583" s="3119">
        <f>VLOOKUP(V583,'Fix Cost'!$K$177:$M$179,2,0)</f>
        <v>58449.923860467366</v>
      </c>
      <c r="Y583" s="3119">
        <f>VLOOKUP(V583,'Fix Cost'!$K$177:$M$179,3,0)</f>
        <v>267411.04680782068</v>
      </c>
      <c r="Z583" s="3119">
        <f t="shared" ca="1" si="395"/>
        <v>0</v>
      </c>
      <c r="AA583" s="3115">
        <f t="shared" ca="1" si="396"/>
        <v>0</v>
      </c>
      <c r="AB583" s="3115">
        <f t="shared" ca="1" si="397"/>
        <v>0</v>
      </c>
      <c r="AL583" s="313"/>
      <c r="AM583" s="363"/>
      <c r="AN583" s="385"/>
      <c r="AT583" s="879">
        <f t="shared" ca="1" si="386"/>
        <v>0</v>
      </c>
      <c r="AU583" s="879">
        <f ca="1">COUNTIFS(AT$7:$AT583,1)</f>
        <v>6</v>
      </c>
    </row>
    <row r="584" spans="1:47" ht="12.75" hidden="1" outlineLevel="1">
      <c r="B584" s="1738" t="s">
        <v>220</v>
      </c>
      <c r="C584" s="313" t="s">
        <v>631</v>
      </c>
      <c r="D584" s="363" t="s">
        <v>16</v>
      </c>
      <c r="E584" s="363">
        <f>input!D951</f>
        <v>12</v>
      </c>
      <c r="F584" s="363" t="str">
        <f>input!F951</f>
        <v>N</v>
      </c>
      <c r="G584" s="363" t="str">
        <f>input!E951</f>
        <v>80 x 80</v>
      </c>
      <c r="H584" s="313">
        <f ca="1">IF(F584="PCS",$E$4,SUMIFS(Paper!$AC$7:$AC$58,Paper!$A$7:$A$58,'Production cost'!F584))</f>
        <v>0</v>
      </c>
      <c r="I584" s="313">
        <f>IF(input!$G951&gt;0,input!$G951,HLOOKUP($G584,Data!$N$1097:$S$1109,IF($E584=Data!$M$1098,2,IF($E584=Data!$M$1099,3,4)),0))</f>
        <v>2500</v>
      </c>
      <c r="J584" s="313" t="str">
        <f>input!$H951</f>
        <v>copies</v>
      </c>
      <c r="K584" s="360">
        <v>0</v>
      </c>
      <c r="L584" s="313">
        <f>IF(input!$I951&gt;0,input!$I951,4)</f>
        <v>4</v>
      </c>
      <c r="M584" s="391">
        <f t="shared" ca="1" si="405"/>
        <v>0</v>
      </c>
      <c r="N584" s="391">
        <f t="shared" ca="1" si="402"/>
        <v>0</v>
      </c>
      <c r="P584" s="313">
        <f>Data!$N$1154</f>
        <v>64591.331280067061</v>
      </c>
      <c r="Q584" s="313">
        <f t="shared" ca="1" si="393"/>
        <v>0</v>
      </c>
      <c r="R584" s="313">
        <f t="shared" ca="1" si="403"/>
        <v>0</v>
      </c>
      <c r="S584" s="1741">
        <f t="shared" ca="1" si="404"/>
        <v>0</v>
      </c>
      <c r="T584" s="313" t="str">
        <f>input!J951</f>
        <v>N</v>
      </c>
      <c r="V584" s="3115" t="str">
        <f>input!K951</f>
        <v>Packaging</v>
      </c>
      <c r="W584" s="3115">
        <f t="shared" ca="1" si="394"/>
        <v>0</v>
      </c>
      <c r="X584" s="3119">
        <f>VLOOKUP(V584,'Fix Cost'!$K$177:$M$179,2,0)</f>
        <v>58449.923860467366</v>
      </c>
      <c r="Y584" s="3119">
        <f>VLOOKUP(V584,'Fix Cost'!$K$177:$M$179,3,0)</f>
        <v>267411.04680782068</v>
      </c>
      <c r="Z584" s="3119">
        <f t="shared" ca="1" si="395"/>
        <v>0</v>
      </c>
      <c r="AA584" s="3115">
        <f t="shared" ca="1" si="396"/>
        <v>0</v>
      </c>
      <c r="AB584" s="3115">
        <f t="shared" ca="1" si="397"/>
        <v>0</v>
      </c>
      <c r="AL584" s="313"/>
      <c r="AM584" s="363"/>
      <c r="AN584" s="385"/>
      <c r="AT584" s="879">
        <f t="shared" ca="1" si="386"/>
        <v>0</v>
      </c>
      <c r="AU584" s="879">
        <f ca="1">COUNTIFS(AT$7:$AT584,1)</f>
        <v>6</v>
      </c>
    </row>
    <row r="585" spans="1:47" ht="12.75" hidden="1" outlineLevel="1">
      <c r="B585" s="1738" t="s">
        <v>220</v>
      </c>
      <c r="C585" s="313" t="s">
        <v>631</v>
      </c>
      <c r="D585" s="363" t="s">
        <v>16</v>
      </c>
      <c r="E585" s="363">
        <f>input!D952</f>
        <v>12</v>
      </c>
      <c r="F585" s="363" t="str">
        <f>input!F952</f>
        <v>N</v>
      </c>
      <c r="G585" s="363" t="str">
        <f>input!E952</f>
        <v>80 x 80</v>
      </c>
      <c r="H585" s="313">
        <f ca="1">IF(F585="PCS",$E$4,SUMIFS(Paper!$AC$7:$AC$58,Paper!$A$7:$A$58,'Production cost'!F585))</f>
        <v>0</v>
      </c>
      <c r="I585" s="313">
        <f>IF(input!$G952&gt;0,input!$G952,HLOOKUP($G585,Data!$N$1097:$S$1109,IF($E585=Data!$M$1098,2,IF($E585=Data!$M$1099,3,4)),0))</f>
        <v>2500</v>
      </c>
      <c r="J585" s="313" t="str">
        <f>input!$H952</f>
        <v>copies</v>
      </c>
      <c r="K585" s="360">
        <v>0</v>
      </c>
      <c r="L585" s="313">
        <f>IF(input!$I952&gt;0,input!$I952,4)</f>
        <v>4</v>
      </c>
      <c r="M585" s="391">
        <f t="shared" ca="1" si="405"/>
        <v>0</v>
      </c>
      <c r="N585" s="391">
        <f t="shared" ca="1" si="402"/>
        <v>0</v>
      </c>
      <c r="P585" s="313">
        <f>Data!$N$1154</f>
        <v>64591.331280067061</v>
      </c>
      <c r="Q585" s="313">
        <f t="shared" ca="1" si="393"/>
        <v>0</v>
      </c>
      <c r="R585" s="313">
        <f t="shared" ca="1" si="403"/>
        <v>0</v>
      </c>
      <c r="S585" s="1741">
        <f t="shared" ca="1" si="404"/>
        <v>0</v>
      </c>
      <c r="T585" s="313" t="str">
        <f>input!J952</f>
        <v>N</v>
      </c>
      <c r="V585" s="3115" t="str">
        <f>input!K952</f>
        <v>Packaging</v>
      </c>
      <c r="W585" s="3115">
        <f t="shared" ca="1" si="394"/>
        <v>0</v>
      </c>
      <c r="X585" s="3119">
        <f>VLOOKUP(V585,'Fix Cost'!$K$177:$M$179,2,0)</f>
        <v>58449.923860467366</v>
      </c>
      <c r="Y585" s="3119">
        <f>VLOOKUP(V585,'Fix Cost'!$K$177:$M$179,3,0)</f>
        <v>267411.04680782068</v>
      </c>
      <c r="Z585" s="3119">
        <f t="shared" ca="1" si="395"/>
        <v>0</v>
      </c>
      <c r="AA585" s="3115">
        <f t="shared" ca="1" si="396"/>
        <v>0</v>
      </c>
      <c r="AB585" s="3115">
        <f t="shared" ca="1" si="397"/>
        <v>0</v>
      </c>
      <c r="AL585" s="313"/>
      <c r="AM585" s="363"/>
      <c r="AN585" s="385"/>
      <c r="AT585" s="879">
        <f t="shared" ca="1" si="386"/>
        <v>0</v>
      </c>
      <c r="AU585" s="879">
        <f ca="1">COUNTIFS(AT$7:$AT585,1)</f>
        <v>6</v>
      </c>
    </row>
    <row r="586" spans="1:47" ht="12.75" hidden="1" outlineLevel="1">
      <c r="B586" s="1738" t="s">
        <v>220</v>
      </c>
      <c r="C586" s="313" t="s">
        <v>631</v>
      </c>
      <c r="D586" s="363" t="s">
        <v>16</v>
      </c>
      <c r="E586" s="363">
        <f>input!D953</f>
        <v>12</v>
      </c>
      <c r="F586" s="363" t="str">
        <f>input!F953</f>
        <v>N</v>
      </c>
      <c r="G586" s="363" t="str">
        <f>input!E953</f>
        <v>80 x 80</v>
      </c>
      <c r="H586" s="313">
        <f ca="1">IF(F586="PCS",$E$4,SUMIFS(Paper!$AC$7:$AC$58,Paper!$A$7:$A$58,'Production cost'!F586))</f>
        <v>0</v>
      </c>
      <c r="I586" s="313">
        <f>IF(input!$G953&gt;0,input!$G953,HLOOKUP($G586,Data!$N$1097:$S$1109,IF($E586=Data!$M$1098,2,IF($E586=Data!$M$1099,3,4)),0))</f>
        <v>2500</v>
      </c>
      <c r="J586" s="313" t="str">
        <f>input!$H953</f>
        <v>copies</v>
      </c>
      <c r="K586" s="360">
        <v>0</v>
      </c>
      <c r="L586" s="313">
        <f>IF(input!$I953&gt;0,input!$I953,4)</f>
        <v>4</v>
      </c>
      <c r="M586" s="391">
        <f t="shared" ca="1" si="405"/>
        <v>0</v>
      </c>
      <c r="N586" s="391">
        <f t="shared" ca="1" si="402"/>
        <v>0</v>
      </c>
      <c r="P586" s="313">
        <f>Data!$N$1154</f>
        <v>64591.331280067061</v>
      </c>
      <c r="Q586" s="313">
        <f t="shared" ca="1" si="393"/>
        <v>0</v>
      </c>
      <c r="R586" s="313">
        <f t="shared" ca="1" si="403"/>
        <v>0</v>
      </c>
      <c r="S586" s="1741">
        <f t="shared" ca="1" si="404"/>
        <v>0</v>
      </c>
      <c r="T586" s="313" t="str">
        <f>input!J953</f>
        <v>N</v>
      </c>
      <c r="V586" s="3115" t="str">
        <f>input!K953</f>
        <v>Packaging</v>
      </c>
      <c r="W586" s="3115">
        <f t="shared" ca="1" si="394"/>
        <v>0</v>
      </c>
      <c r="X586" s="3119">
        <f>VLOOKUP(V586,'Fix Cost'!$K$177:$M$179,2,0)</f>
        <v>58449.923860467366</v>
      </c>
      <c r="Y586" s="3119">
        <f>VLOOKUP(V586,'Fix Cost'!$K$177:$M$179,3,0)</f>
        <v>267411.04680782068</v>
      </c>
      <c r="Z586" s="3119">
        <f t="shared" ca="1" si="395"/>
        <v>0</v>
      </c>
      <c r="AA586" s="3115">
        <f t="shared" ca="1" si="396"/>
        <v>0</v>
      </c>
      <c r="AB586" s="3115">
        <f t="shared" ca="1" si="397"/>
        <v>0</v>
      </c>
      <c r="AL586" s="313"/>
      <c r="AM586" s="363"/>
      <c r="AN586" s="385"/>
      <c r="AT586" s="879">
        <f t="shared" ca="1" si="386"/>
        <v>0</v>
      </c>
      <c r="AU586" s="879">
        <f ca="1">COUNTIFS(AT$7:$AT586,1)</f>
        <v>6</v>
      </c>
    </row>
    <row r="587" spans="1:47" ht="12.75" hidden="1" outlineLevel="1">
      <c r="B587" s="1742" t="s">
        <v>220</v>
      </c>
      <c r="C587" s="1743" t="s">
        <v>72</v>
      </c>
      <c r="D587" s="1743"/>
      <c r="E587" s="1746"/>
      <c r="F587" s="1746" t="str">
        <f>input!F954</f>
        <v>N</v>
      </c>
      <c r="G587" s="1746"/>
      <c r="H587" s="1743">
        <f ca="1">IF(F587="PCS",$E$4,SUMIFS(Paper!$AC$7:$AC$58,Paper!$A$7:$A$58,'Production cost'!F587))</f>
        <v>0</v>
      </c>
      <c r="I587" s="313">
        <f>IF(input!$G954&gt;0,input!$G954,9000)</f>
        <v>9000</v>
      </c>
      <c r="J587" s="1743">
        <f>input!$H954</f>
        <v>0</v>
      </c>
      <c r="K587" s="1747"/>
      <c r="L587" s="1743">
        <f>input!I954</f>
        <v>0</v>
      </c>
      <c r="M587" s="1748">
        <f ca="1">IF(H587&gt;0,30/60,0)</f>
        <v>0</v>
      </c>
      <c r="N587" s="1748">
        <f t="shared" ca="1" si="402"/>
        <v>0</v>
      </c>
      <c r="O587" s="1743"/>
      <c r="P587" s="1743">
        <f>Data!$N$1154</f>
        <v>64591.331280067061</v>
      </c>
      <c r="Q587" s="1743">
        <f t="shared" ca="1" si="393"/>
        <v>0</v>
      </c>
      <c r="R587" s="1743">
        <f t="shared" ca="1" si="403"/>
        <v>0</v>
      </c>
      <c r="S587" s="1749">
        <f t="shared" ca="1" si="404"/>
        <v>0</v>
      </c>
      <c r="T587" s="313" t="str">
        <f>input!J954</f>
        <v>N</v>
      </c>
      <c r="V587" s="3115" t="str">
        <f>input!K954</f>
        <v>Packaging</v>
      </c>
      <c r="W587" s="3115">
        <f t="shared" ca="1" si="394"/>
        <v>0</v>
      </c>
      <c r="X587" s="3119">
        <f>VLOOKUP(V587,'Fix Cost'!$K$177:$M$179,2,0)</f>
        <v>58449.923860467366</v>
      </c>
      <c r="Y587" s="3119">
        <f>VLOOKUP(V587,'Fix Cost'!$K$177:$M$179,3,0)</f>
        <v>267411.04680782068</v>
      </c>
      <c r="Z587" s="3119">
        <f t="shared" ca="1" si="395"/>
        <v>0</v>
      </c>
      <c r="AA587" s="3115">
        <f t="shared" ca="1" si="396"/>
        <v>0</v>
      </c>
      <c r="AB587" s="3115">
        <f t="shared" ca="1" si="397"/>
        <v>0</v>
      </c>
      <c r="AL587" s="313"/>
      <c r="AM587" s="363"/>
      <c r="AN587" s="385"/>
      <c r="AT587" s="879">
        <f t="shared" ca="1" si="386"/>
        <v>0</v>
      </c>
      <c r="AU587" s="879">
        <f ca="1">COUNTIFS(AT$7:$AT587,1)</f>
        <v>6</v>
      </c>
    </row>
    <row r="588" spans="1:47" ht="12.75" hidden="1" collapsed="1">
      <c r="B588" s="1269"/>
      <c r="C588" s="385"/>
      <c r="G588" s="1270"/>
      <c r="N588" s="391"/>
      <c r="S588" s="363"/>
      <c r="AL588" s="313"/>
      <c r="AM588" s="363"/>
      <c r="AN588" s="385"/>
      <c r="AT588" s="879" t="str">
        <f t="shared" si="386"/>
        <v/>
      </c>
      <c r="AU588" s="879">
        <f ca="1">COUNTIFS(AT$7:$AT588,1)</f>
        <v>6</v>
      </c>
    </row>
    <row r="589" spans="1:47" ht="12.75" hidden="1">
      <c r="B589" s="1269"/>
      <c r="C589" s="385"/>
      <c r="G589" s="1270"/>
      <c r="N589" s="391"/>
      <c r="S589" s="363"/>
      <c r="AL589" s="313"/>
      <c r="AM589" s="363"/>
      <c r="AN589" s="385"/>
      <c r="AT589" s="879" t="str">
        <f t="shared" si="386"/>
        <v/>
      </c>
      <c r="AU589" s="879">
        <f ca="1">COUNTIFS(AT$7:$AT589,1)</f>
        <v>6</v>
      </c>
    </row>
    <row r="590" spans="1:47" ht="12.75" hidden="1">
      <c r="A590" s="1269" t="s">
        <v>143</v>
      </c>
      <c r="B590" s="1730" t="s">
        <v>179</v>
      </c>
      <c r="C590" s="1731" t="str">
        <f>input!C957</f>
        <v>Packing</v>
      </c>
      <c r="D590" s="1732">
        <f>input!D957</f>
        <v>1</v>
      </c>
      <c r="E590" s="1733">
        <f>input!E957</f>
        <v>1</v>
      </c>
      <c r="F590" s="1734" t="str">
        <f>input!F957</f>
        <v>N</v>
      </c>
      <c r="G590" s="1734"/>
      <c r="H590" s="1731">
        <f ca="1">IF(F590="PCS",$E$4,SUMIFS(Paper!$AC$7:$AC$58,Paper!$A$7:$A$58,'Production cost'!F590))*IF($F590="Pcs",$D590/$E590,1)</f>
        <v>0</v>
      </c>
      <c r="I590" s="1731">
        <f>IF(input!$G957&gt;0,input!$G957,2500)</f>
        <v>2500</v>
      </c>
      <c r="J590" s="1731" t="str">
        <f>input!H957</f>
        <v>Sheets</v>
      </c>
      <c r="K590" s="1735">
        <v>0</v>
      </c>
      <c r="L590" s="1731">
        <f>IF(input!$I957&gt;0,input!$I957,6)</f>
        <v>6</v>
      </c>
      <c r="M590" s="1736">
        <f ca="1">IF(H590&gt;0,90/60,0)*0</f>
        <v>0</v>
      </c>
      <c r="N590" s="1736">
        <f ca="1">IF(H590&gt;0,ROUNDUP(((H590/I590)/$M$4+M590),1),0)</f>
        <v>0</v>
      </c>
      <c r="O590" s="1731"/>
      <c r="P590" s="1731">
        <f>Data!$N$1155</f>
        <v>52580.182439963428</v>
      </c>
      <c r="Q590" s="1731">
        <f t="shared" ref="Q590:Q621" ca="1" si="406">(N590*O590*K590+N590*P590*L590)*(1+$R$702)</f>
        <v>0</v>
      </c>
      <c r="R590" s="1731">
        <f ca="1">IF($E$2&gt;0,Q590/$E$2,0)</f>
        <v>0</v>
      </c>
      <c r="S590" s="1737">
        <f ca="1">IF(M590&gt;0,K590*O590+L590*P590,0)</f>
        <v>0</v>
      </c>
      <c r="T590" s="313" t="str">
        <f>input!J957</f>
        <v>Crayola</v>
      </c>
      <c r="V590" s="3115" t="str">
        <f>input!K957</f>
        <v>Assembly</v>
      </c>
      <c r="W590" s="3115">
        <f t="shared" ref="W590:W694" ca="1" si="407">N590*(L590+K590)</f>
        <v>0</v>
      </c>
      <c r="X590" s="3119">
        <f>VLOOKUP(V590,'Fix Cost'!$K$177:$M$179,2,0)</f>
        <v>32032.115313968527</v>
      </c>
      <c r="Y590" s="3119">
        <f>VLOOKUP(V590,'Fix Cost'!$K$177:$M$179,3,0)</f>
        <v>267567.54920876794</v>
      </c>
      <c r="Z590" s="3119">
        <f t="shared" ref="Z590:Z694" ca="1" si="408">IFERROR($X590*W590,0)</f>
        <v>0</v>
      </c>
      <c r="AA590" s="3115">
        <f t="shared" ref="AA590:AA694" ca="1" si="409">IFERROR(Y590*N590,0)</f>
        <v>0</v>
      </c>
      <c r="AB590" s="3115">
        <f t="shared" ref="AB590:AB694" ca="1" si="410">Z590+AA590</f>
        <v>0</v>
      </c>
      <c r="AL590" s="313"/>
      <c r="AM590" s="363"/>
      <c r="AN590" s="385"/>
      <c r="AT590" s="879">
        <f t="shared" ca="1" si="386"/>
        <v>0</v>
      </c>
      <c r="AU590" s="879">
        <f ca="1">COUNTIFS(AT$7:$AT590,1)</f>
        <v>6</v>
      </c>
    </row>
    <row r="591" spans="1:47" ht="12.75" hidden="1" outlineLevel="1">
      <c r="B591" s="1738" t="s">
        <v>179</v>
      </c>
      <c r="C591" s="313" t="str">
        <f>input!C958</f>
        <v>Print date code on book</v>
      </c>
      <c r="D591" s="1739">
        <f>input!D958</f>
        <v>1</v>
      </c>
      <c r="E591" s="1740">
        <f>input!E958</f>
        <v>1</v>
      </c>
      <c r="F591" s="363" t="str">
        <f>input!F958</f>
        <v>N</v>
      </c>
      <c r="G591" s="363"/>
      <c r="H591" s="313">
        <f ca="1">IF(F591="PCS",$E$4,SUMIFS(Paper!$AC$7:$AC$58,Paper!$A$7:$A$58,'Production cost'!F591))*IF($F591="Pcs",$D591/$E591,1)</f>
        <v>0</v>
      </c>
      <c r="I591" s="313">
        <f>IF(input!$G958&gt;0,input!$G958,2000)</f>
        <v>2000</v>
      </c>
      <c r="J591" s="313" t="str">
        <f>input!H958</f>
        <v>Sheets</v>
      </c>
      <c r="K591" s="360">
        <v>0</v>
      </c>
      <c r="L591" s="313">
        <f>IF(input!$I958&gt;0,input!$I958,2)</f>
        <v>2</v>
      </c>
      <c r="M591" s="391">
        <f ca="1">IF(H591&gt;0,90/60,0)*0</f>
        <v>0</v>
      </c>
      <c r="N591" s="391">
        <f ca="1">IF(H591&gt;0,ROUNDUP(((H591/I591)/$M$4+M591),1),0)</f>
        <v>0</v>
      </c>
      <c r="P591" s="313">
        <f>Data!$N$1155</f>
        <v>52580.182439963428</v>
      </c>
      <c r="Q591" s="313">
        <f t="shared" ca="1" si="406"/>
        <v>0</v>
      </c>
      <c r="R591" s="313">
        <f ca="1">IF($E$2&gt;0,Q591/$E$2,0)</f>
        <v>0</v>
      </c>
      <c r="S591" s="1741">
        <f ca="1">IF(M591&gt;0,K591*O591+L591*P591,0)</f>
        <v>0</v>
      </c>
      <c r="T591" s="313" t="str">
        <f>input!J958</f>
        <v>Crayola</v>
      </c>
      <c r="V591" s="3115" t="str">
        <f>input!K958</f>
        <v>Assembly</v>
      </c>
      <c r="W591" s="3115">
        <f t="shared" ca="1" si="407"/>
        <v>0</v>
      </c>
      <c r="X591" s="3119">
        <f>VLOOKUP(V591,'Fix Cost'!$K$177:$M$179,2,0)</f>
        <v>32032.115313968527</v>
      </c>
      <c r="Y591" s="3119">
        <f>VLOOKUP(V591,'Fix Cost'!$K$177:$M$179,3,0)</f>
        <v>267567.54920876794</v>
      </c>
      <c r="Z591" s="3119">
        <f t="shared" ca="1" si="408"/>
        <v>0</v>
      </c>
      <c r="AA591" s="3115">
        <f t="shared" ca="1" si="409"/>
        <v>0</v>
      </c>
      <c r="AB591" s="3115">
        <f t="shared" ca="1" si="410"/>
        <v>0</v>
      </c>
      <c r="AL591" s="313"/>
      <c r="AM591" s="363"/>
      <c r="AN591" s="385"/>
      <c r="AT591" s="879">
        <f t="shared" ca="1" si="386"/>
        <v>0</v>
      </c>
      <c r="AU591" s="879">
        <f ca="1">COUNTIFS(AT$7:$AT591,1)</f>
        <v>6</v>
      </c>
    </row>
    <row r="592" spans="1:47" ht="12.75" hidden="1" outlineLevel="1">
      <c r="B592" s="1738" t="s">
        <v>179</v>
      </c>
      <c r="C592" s="313" t="str">
        <f>input!C959</f>
        <v>Print date code on carton</v>
      </c>
      <c r="D592" s="1739">
        <f>input!D959</f>
        <v>1</v>
      </c>
      <c r="E592" s="1740">
        <f>input!E959</f>
        <v>150</v>
      </c>
      <c r="F592" s="363" t="str">
        <f>input!F959</f>
        <v>N</v>
      </c>
      <c r="G592" s="363"/>
      <c r="H592" s="313">
        <f ca="1">IF(F592="PCS",$E$4,SUMIFS(Paper!$AC$7:$AC$58,Paper!$A$7:$A$58,'Production cost'!F592))*IF($F592="Pcs",$D592/$E592,1)</f>
        <v>0</v>
      </c>
      <c r="I592" s="313">
        <f>IF(input!$G959&gt;0,input!$G959,800)</f>
        <v>800</v>
      </c>
      <c r="J592" s="313" t="str">
        <f>input!H959</f>
        <v>Sets</v>
      </c>
      <c r="K592" s="360">
        <v>0</v>
      </c>
      <c r="L592" s="313">
        <f>IF(input!$I959&gt;0,input!$I959,2)</f>
        <v>2</v>
      </c>
      <c r="M592" s="391">
        <f ca="1">IF(H592&gt;0,90/60,0)*0</f>
        <v>0</v>
      </c>
      <c r="N592" s="391">
        <f ca="1">IF(H592&gt;0,ROUNDUP(((H592/I592)/$M$4+M592),1),0)</f>
        <v>0</v>
      </c>
      <c r="P592" s="313">
        <f>Data!$N$1155</f>
        <v>52580.182439963428</v>
      </c>
      <c r="Q592" s="313">
        <f t="shared" ca="1" si="406"/>
        <v>0</v>
      </c>
      <c r="R592" s="313">
        <f ca="1">IF($E$2&gt;0,Q592/$E$2,0)</f>
        <v>0</v>
      </c>
      <c r="S592" s="1741">
        <f ca="1">IF(M592&gt;0,K592*O592+L592*P592,0)</f>
        <v>0</v>
      </c>
      <c r="T592" s="313" t="str">
        <f>input!J959</f>
        <v>Crayola</v>
      </c>
      <c r="V592" s="3115" t="str">
        <f>input!K959</f>
        <v>Assembly</v>
      </c>
      <c r="W592" s="3115">
        <f t="shared" ca="1" si="407"/>
        <v>0</v>
      </c>
      <c r="X592" s="3119">
        <f>VLOOKUP(V592,'Fix Cost'!$K$177:$M$179,2,0)</f>
        <v>32032.115313968527</v>
      </c>
      <c r="Y592" s="3119">
        <f>VLOOKUP(V592,'Fix Cost'!$K$177:$M$179,3,0)</f>
        <v>267567.54920876794</v>
      </c>
      <c r="Z592" s="3119">
        <f t="shared" ca="1" si="408"/>
        <v>0</v>
      </c>
      <c r="AA592" s="3115">
        <f t="shared" ca="1" si="409"/>
        <v>0</v>
      </c>
      <c r="AB592" s="3115">
        <f t="shared" ca="1" si="410"/>
        <v>0</v>
      </c>
      <c r="AL592" s="313"/>
      <c r="AM592" s="363"/>
      <c r="AN592" s="385"/>
      <c r="AT592" s="879">
        <f t="shared" ca="1" si="386"/>
        <v>0</v>
      </c>
      <c r="AU592" s="879">
        <f ca="1">COUNTIFS(AT$7:$AT592,1)</f>
        <v>6</v>
      </c>
    </row>
    <row r="593" spans="2:47" ht="12.75" hidden="1" outlineLevel="1">
      <c r="B593" s="1738" t="s">
        <v>179</v>
      </c>
      <c r="C593" s="313" t="str">
        <f>input!C960</f>
        <v>Picking</v>
      </c>
      <c r="D593" s="1739">
        <f>input!D960</f>
        <v>1</v>
      </c>
      <c r="E593" s="1740">
        <f>input!E960</f>
        <v>1</v>
      </c>
      <c r="F593" s="363" t="str">
        <f>input!F960</f>
        <v>N</v>
      </c>
      <c r="G593" s="363"/>
      <c r="H593" s="313">
        <f ca="1">IF(F593="PCS",$E$4,SUMIFS(Paper!$AC$7:$AC$58,Paper!$A$7:$A$58,'Production cost'!F593))*IF($F593="Pcs",$D593/$E593,1)</f>
        <v>0</v>
      </c>
      <c r="I593" s="313">
        <f>IF(input!$G960&gt;0,input!$G960,2000)</f>
        <v>2000</v>
      </c>
      <c r="J593" s="313" t="str">
        <f>input!H960</f>
        <v>Sheets</v>
      </c>
      <c r="K593" s="360">
        <v>0</v>
      </c>
      <c r="L593" s="313">
        <f>IF(input!$I960&gt;0,input!$I960,2)</f>
        <v>2</v>
      </c>
      <c r="M593" s="391">
        <f ca="1">IF(H593&gt;0,90/60,0)*0</f>
        <v>0</v>
      </c>
      <c r="N593" s="391">
        <f ca="1">IF(H593&gt;0,ROUNDUP(((H593/I593)/$M$4+M593),1),0)</f>
        <v>0</v>
      </c>
      <c r="P593" s="313">
        <f>Data!$N$1182</f>
        <v>59357.701116720593</v>
      </c>
      <c r="Q593" s="313">
        <f t="shared" ca="1" si="406"/>
        <v>0</v>
      </c>
      <c r="R593" s="313">
        <f ca="1">IF($E$2&gt;0,Q593/$E$2,0)</f>
        <v>0</v>
      </c>
      <c r="S593" s="1741">
        <f ca="1">IF(M593&gt;0,K593*O593+L593*P593,0)</f>
        <v>0</v>
      </c>
      <c r="T593" s="313" t="str">
        <f>input!J960</f>
        <v>Other</v>
      </c>
      <c r="V593" s="3115" t="str">
        <f>input!K960</f>
        <v>Assembly</v>
      </c>
      <c r="W593" s="3115">
        <f t="shared" ca="1" si="407"/>
        <v>0</v>
      </c>
      <c r="X593" s="3119">
        <f>VLOOKUP(V593,'Fix Cost'!$K$177:$M$179,2,0)</f>
        <v>32032.115313968527</v>
      </c>
      <c r="Y593" s="3119">
        <f>VLOOKUP(V593,'Fix Cost'!$K$177:$M$179,3,0)</f>
        <v>267567.54920876794</v>
      </c>
      <c r="Z593" s="3119">
        <f t="shared" ca="1" si="408"/>
        <v>0</v>
      </c>
      <c r="AA593" s="3115">
        <f t="shared" ca="1" si="409"/>
        <v>0</v>
      </c>
      <c r="AB593" s="3115">
        <f t="shared" ca="1" si="410"/>
        <v>0</v>
      </c>
      <c r="AL593" s="313"/>
      <c r="AM593" s="363"/>
      <c r="AN593" s="385"/>
      <c r="AT593" s="879">
        <f t="shared" ca="1" si="386"/>
        <v>0</v>
      </c>
      <c r="AU593" s="879">
        <f ca="1">COUNTIFS(AT$7:$AT593,1)</f>
        <v>6</v>
      </c>
    </row>
    <row r="594" spans="2:47" ht="12.75" hidden="1" outlineLevel="1">
      <c r="B594" s="1738" t="s">
        <v>179</v>
      </c>
      <c r="C594" s="313" t="str">
        <f>input!C961</f>
        <v>Picking</v>
      </c>
      <c r="D594" s="1739">
        <f>input!D961</f>
        <v>1</v>
      </c>
      <c r="E594" s="1740">
        <f>input!E961</f>
        <v>1</v>
      </c>
      <c r="F594" s="363" t="str">
        <f>input!F961</f>
        <v>N</v>
      </c>
      <c r="G594" s="363"/>
      <c r="H594" s="313">
        <f ca="1">IF(F594="PCS",$E$4,SUMIFS(Paper!$AC$7:$AC$58,Paper!$A$7:$A$58,'Production cost'!F594))*IF($F594="Pcs",$D594/$E594,1)</f>
        <v>0</v>
      </c>
      <c r="I594" s="313">
        <f>IF(input!$G961&gt;0,input!$G961,2000)</f>
        <v>2000</v>
      </c>
      <c r="J594" s="313" t="str">
        <f>input!H961</f>
        <v>Sheets</v>
      </c>
      <c r="K594" s="360">
        <v>0</v>
      </c>
      <c r="L594" s="313">
        <f>IF(input!$I961&gt;0,input!$I961,2)</f>
        <v>2</v>
      </c>
      <c r="M594" s="391">
        <f t="shared" ref="M594:M602" ca="1" si="411">IF(H594&gt;0,90/60,0)*0</f>
        <v>0</v>
      </c>
      <c r="N594" s="391">
        <f t="shared" ref="N594:N602" ca="1" si="412">IF(H594&gt;0,ROUNDUP(((H594/I594)/$M$4+M594),1),0)</f>
        <v>0</v>
      </c>
      <c r="P594" s="313">
        <f>Data!$N$1182</f>
        <v>59357.701116720593</v>
      </c>
      <c r="Q594" s="313">
        <f t="shared" ca="1" si="406"/>
        <v>0</v>
      </c>
      <c r="R594" s="313">
        <f t="shared" ref="R594:R602" ca="1" si="413">IF($E$2&gt;0,Q594/$E$2,0)</f>
        <v>0</v>
      </c>
      <c r="S594" s="1741">
        <f t="shared" ref="S594:S602" ca="1" si="414">IF(M594&gt;0,K594*O594+L594*P594,0)</f>
        <v>0</v>
      </c>
      <c r="T594" s="313" t="str">
        <f>input!J961</f>
        <v>Other</v>
      </c>
      <c r="V594" s="3115" t="str">
        <f>input!K961</f>
        <v>Assembly</v>
      </c>
      <c r="W594" s="3115">
        <f t="shared" ca="1" si="407"/>
        <v>0</v>
      </c>
      <c r="X594" s="3119">
        <f>VLOOKUP(V594,'Fix Cost'!$K$177:$M$179,2,0)</f>
        <v>32032.115313968527</v>
      </c>
      <c r="Y594" s="3119">
        <f>VLOOKUP(V594,'Fix Cost'!$K$177:$M$179,3,0)</f>
        <v>267567.54920876794</v>
      </c>
      <c r="Z594" s="3119">
        <f t="shared" ca="1" si="408"/>
        <v>0</v>
      </c>
      <c r="AA594" s="3115">
        <f t="shared" ca="1" si="409"/>
        <v>0</v>
      </c>
      <c r="AB594" s="3115">
        <f t="shared" ca="1" si="410"/>
        <v>0</v>
      </c>
      <c r="AL594" s="313"/>
      <c r="AM594" s="363"/>
      <c r="AN594" s="385"/>
      <c r="AT594" s="879">
        <f t="shared" ca="1" si="386"/>
        <v>0</v>
      </c>
      <c r="AU594" s="879">
        <f ca="1">COUNTIFS(AT$7:$AT594,1)</f>
        <v>6</v>
      </c>
    </row>
    <row r="595" spans="2:47" ht="12.75" hidden="1" outlineLevel="1">
      <c r="B595" s="1738" t="s">
        <v>179</v>
      </c>
      <c r="C595" s="313" t="str">
        <f>input!C962</f>
        <v>Picking - Acc</v>
      </c>
      <c r="D595" s="1739">
        <f>input!D962</f>
        <v>0</v>
      </c>
      <c r="E595" s="1740">
        <f>input!E962</f>
        <v>0</v>
      </c>
      <c r="F595" s="363" t="str">
        <f>input!F962</f>
        <v>N</v>
      </c>
      <c r="G595" s="363"/>
      <c r="H595" s="313">
        <f>IF(F595="PCS",$E$4,SUMIF('ACC &amp; Other Material '!$B$105:$B$114,'Production cost'!$F595,'ACC &amp; Other Material '!$H$105:$H$114))</f>
        <v>0</v>
      </c>
      <c r="I595" s="313">
        <f>IF(input!$G962&gt;0,input!$G962,2000)</f>
        <v>2000</v>
      </c>
      <c r="J595" s="313" t="str">
        <f>input!H962</f>
        <v>Sheets</v>
      </c>
      <c r="K595" s="360">
        <v>0</v>
      </c>
      <c r="L595" s="313">
        <f>IF(input!$I962&gt;0,input!$I962,2)</f>
        <v>2</v>
      </c>
      <c r="M595" s="391">
        <f t="shared" si="411"/>
        <v>0</v>
      </c>
      <c r="N595" s="391">
        <f t="shared" si="412"/>
        <v>0</v>
      </c>
      <c r="P595" s="313">
        <f>Data!$N$1182</f>
        <v>59357.701116720593</v>
      </c>
      <c r="Q595" s="313">
        <f t="shared" si="406"/>
        <v>0</v>
      </c>
      <c r="R595" s="313">
        <f t="shared" si="413"/>
        <v>0</v>
      </c>
      <c r="S595" s="1741">
        <f t="shared" si="414"/>
        <v>0</v>
      </c>
      <c r="T595" s="313">
        <f>input!J962</f>
        <v>0</v>
      </c>
      <c r="V595" s="3115" t="str">
        <f>input!K962</f>
        <v>Assembly</v>
      </c>
      <c r="W595" s="3115">
        <f t="shared" si="407"/>
        <v>0</v>
      </c>
      <c r="X595" s="3119">
        <f>VLOOKUP(V595,'Fix Cost'!$K$177:$M$179,2,0)</f>
        <v>32032.115313968527</v>
      </c>
      <c r="Y595" s="3119">
        <f>VLOOKUP(V595,'Fix Cost'!$K$177:$M$179,3,0)</f>
        <v>267567.54920876794</v>
      </c>
      <c r="Z595" s="3119">
        <f t="shared" si="408"/>
        <v>0</v>
      </c>
      <c r="AA595" s="3115">
        <f t="shared" si="409"/>
        <v>0</v>
      </c>
      <c r="AB595" s="3115">
        <f t="shared" si="410"/>
        <v>0</v>
      </c>
      <c r="AL595" s="313"/>
      <c r="AM595" s="363"/>
      <c r="AN595" s="385"/>
      <c r="AT595" s="879">
        <f t="shared" si="386"/>
        <v>0</v>
      </c>
      <c r="AU595" s="879">
        <f ca="1">COUNTIFS(AT$7:$AT595,1)</f>
        <v>6</v>
      </c>
    </row>
    <row r="596" spans="2:47" ht="12.75" hidden="1" outlineLevel="1">
      <c r="B596" s="1738" t="s">
        <v>179</v>
      </c>
      <c r="C596" s="313" t="str">
        <f>input!C963</f>
        <v>Picking - Acc</v>
      </c>
      <c r="D596" s="1739">
        <f>input!D963</f>
        <v>0</v>
      </c>
      <c r="E596" s="1740">
        <f>input!E963</f>
        <v>0</v>
      </c>
      <c r="F596" s="363" t="str">
        <f>input!F963</f>
        <v>N</v>
      </c>
      <c r="G596" s="363"/>
      <c r="H596" s="313">
        <f>IF(F596="PCS",$E$4,SUMIF('ACC &amp; Other Material '!$B$105:$B$114,'Production cost'!$F596,'ACC &amp; Other Material '!$H$105:$H$114))</f>
        <v>0</v>
      </c>
      <c r="I596" s="313">
        <f>IF(input!$G963&gt;0,input!$G963,2000)</f>
        <v>2000</v>
      </c>
      <c r="J596" s="313" t="str">
        <f>input!H963</f>
        <v>Sheets</v>
      </c>
      <c r="K596" s="360">
        <v>0</v>
      </c>
      <c r="L596" s="313">
        <f>IF(input!$I963&gt;0,input!$I963,2)</f>
        <v>2</v>
      </c>
      <c r="M596" s="391">
        <f t="shared" si="411"/>
        <v>0</v>
      </c>
      <c r="N596" s="391">
        <f t="shared" si="412"/>
        <v>0</v>
      </c>
      <c r="P596" s="313">
        <f>Data!$N$1182</f>
        <v>59357.701116720593</v>
      </c>
      <c r="Q596" s="313">
        <f t="shared" si="406"/>
        <v>0</v>
      </c>
      <c r="R596" s="313">
        <f t="shared" si="413"/>
        <v>0</v>
      </c>
      <c r="S596" s="1741">
        <f t="shared" si="414"/>
        <v>0</v>
      </c>
      <c r="T596" s="313">
        <f>input!J963</f>
        <v>0</v>
      </c>
      <c r="V596" s="3115" t="str">
        <f>input!K963</f>
        <v>Assembly</v>
      </c>
      <c r="W596" s="3115">
        <f t="shared" si="407"/>
        <v>0</v>
      </c>
      <c r="X596" s="3119">
        <f>VLOOKUP(V596,'Fix Cost'!$K$177:$M$179,2,0)</f>
        <v>32032.115313968527</v>
      </c>
      <c r="Y596" s="3119">
        <f>VLOOKUP(V596,'Fix Cost'!$K$177:$M$179,3,0)</f>
        <v>267567.54920876794</v>
      </c>
      <c r="Z596" s="3119">
        <f t="shared" si="408"/>
        <v>0</v>
      </c>
      <c r="AA596" s="3115">
        <f t="shared" si="409"/>
        <v>0</v>
      </c>
      <c r="AB596" s="3115">
        <f t="shared" si="410"/>
        <v>0</v>
      </c>
      <c r="AL596" s="313"/>
      <c r="AM596" s="363"/>
      <c r="AN596" s="385"/>
      <c r="AT596" s="879">
        <f t="shared" si="386"/>
        <v>0</v>
      </c>
      <c r="AU596" s="879">
        <f ca="1">COUNTIFS(AT$7:$AT596,1)</f>
        <v>6</v>
      </c>
    </row>
    <row r="597" spans="2:47" ht="12.75" outlineLevel="1">
      <c r="B597" s="1738" t="str">
        <f>input!B964</f>
        <v>Pulling</v>
      </c>
      <c r="C597" s="313" t="str">
        <f ca="1">input!C964</f>
        <v>Box</v>
      </c>
      <c r="D597" s="1739">
        <f>input!D964</f>
        <v>1</v>
      </c>
      <c r="E597" s="1740">
        <f>input!E964</f>
        <v>1</v>
      </c>
      <c r="F597" s="363" t="str">
        <f ca="1">input!F964</f>
        <v>Pcs</v>
      </c>
      <c r="G597" s="363"/>
      <c r="H597" s="313">
        <f ca="1">IF(F597="PCS",$E$4,SUMIFS(Paper!$AC$7:$AC$58,Paper!$A$7:$A$58,'Production cost'!F597))*IF($F597="Pcs",$D597/$E597,1)</f>
        <v>5225</v>
      </c>
      <c r="I597" s="313" t="str">
        <f ca="1">IF(input!$G964&gt;0,input!$G964,2000)</f>
        <v>4000</v>
      </c>
      <c r="J597" s="313" t="str">
        <f ca="1">input!H964</f>
        <v>Copies</v>
      </c>
      <c r="K597" s="360">
        <v>0</v>
      </c>
      <c r="L597" s="313" t="str">
        <f ca="1">IF(input!$I964&gt;0,input!$I964,2)</f>
        <v>2</v>
      </c>
      <c r="M597" s="391">
        <f t="shared" ca="1" si="411"/>
        <v>0</v>
      </c>
      <c r="N597" s="391">
        <f t="shared" ca="1" si="412"/>
        <v>1.4000000000000001</v>
      </c>
      <c r="P597" s="313">
        <f>Data!$N$1182</f>
        <v>59357.701116720593</v>
      </c>
      <c r="Q597" s="313">
        <f t="shared" ca="1" si="406"/>
        <v>166201.56312681767</v>
      </c>
      <c r="R597" s="313">
        <f t="shared" ca="1" si="413"/>
        <v>33.240312625363536</v>
      </c>
      <c r="S597" s="1741">
        <f t="shared" ca="1" si="414"/>
        <v>0</v>
      </c>
      <c r="T597" s="313" t="str">
        <f ca="1">input!J964</f>
        <v>Box</v>
      </c>
      <c r="V597" s="3115" t="str">
        <f>input!K964</f>
        <v>Assembly</v>
      </c>
      <c r="W597" s="3115">
        <f t="shared" ca="1" si="407"/>
        <v>2.8000000000000003</v>
      </c>
      <c r="X597" s="3119">
        <f>VLOOKUP(V597,'Fix Cost'!$K$177:$M$179,2,0)</f>
        <v>32032.115313968527</v>
      </c>
      <c r="Y597" s="3119">
        <f>VLOOKUP(V597,'Fix Cost'!$K$177:$M$179,3,0)</f>
        <v>267567.54920876794</v>
      </c>
      <c r="Z597" s="3119">
        <f t="shared" ca="1" si="408"/>
        <v>89689.92287911188</v>
      </c>
      <c r="AA597" s="3115">
        <f t="shared" ca="1" si="409"/>
        <v>374594.56889227516</v>
      </c>
      <c r="AB597" s="3115">
        <f t="shared" ca="1" si="410"/>
        <v>464284.49177138705</v>
      </c>
      <c r="AL597" s="313"/>
      <c r="AM597" s="363"/>
      <c r="AN597" s="385"/>
      <c r="AT597" s="879">
        <f t="shared" ca="1" si="386"/>
        <v>1</v>
      </c>
      <c r="AU597" s="879">
        <f ca="1">COUNTIFS(AT$7:$AT597,1)</f>
        <v>7</v>
      </c>
    </row>
    <row r="598" spans="2:47" ht="12.75" hidden="1" outlineLevel="1">
      <c r="B598" s="1738" t="str">
        <f>input!B965</f>
        <v>Pulling</v>
      </c>
      <c r="C598" s="313" t="str">
        <f ca="1">input!C965</f>
        <v>N</v>
      </c>
      <c r="D598" s="1739">
        <f>input!D965</f>
        <v>1</v>
      </c>
      <c r="E598" s="1740">
        <f>input!E965</f>
        <v>1</v>
      </c>
      <c r="F598" s="363" t="str">
        <f ca="1">input!F965</f>
        <v>N</v>
      </c>
      <c r="G598" s="363"/>
      <c r="H598" s="313">
        <f ca="1">IF(F598="PCS",$E$4,SUMIFS(Paper!$AC$7:$AC$58,Paper!$A$7:$A$58,'Production cost'!F598))*IF($F598="Pcs",$D598/$E598,1)</f>
        <v>0</v>
      </c>
      <c r="I598" s="313">
        <f ca="1">IF(input!$G965&gt;0,input!$G965,2000)</f>
        <v>2000</v>
      </c>
      <c r="J598" s="313" t="str">
        <f ca="1">input!H965</f>
        <v>Sheets</v>
      </c>
      <c r="K598" s="360">
        <v>0</v>
      </c>
      <c r="L598" s="313">
        <f ca="1">IF(input!$I965&gt;0,input!$I965,2)</f>
        <v>2</v>
      </c>
      <c r="M598" s="391">
        <f t="shared" ca="1" si="411"/>
        <v>0</v>
      </c>
      <c r="N598" s="391">
        <f t="shared" ca="1" si="412"/>
        <v>0</v>
      </c>
      <c r="P598" s="313">
        <f>Data!$N$1182</f>
        <v>59357.701116720593</v>
      </c>
      <c r="Q598" s="313">
        <f t="shared" ca="1" si="406"/>
        <v>0</v>
      </c>
      <c r="R598" s="313">
        <f t="shared" ca="1" si="413"/>
        <v>0</v>
      </c>
      <c r="S598" s="1741">
        <f t="shared" ca="1" si="414"/>
        <v>0</v>
      </c>
      <c r="T598" s="313" t="str">
        <f ca="1">input!J965</f>
        <v>N</v>
      </c>
      <c r="V598" s="3115" t="str">
        <f>input!K965</f>
        <v>Assembly</v>
      </c>
      <c r="W598" s="3115">
        <f t="shared" ca="1" si="407"/>
        <v>0</v>
      </c>
      <c r="X598" s="3119">
        <f>VLOOKUP(V598,'Fix Cost'!$K$177:$M$179,2,0)</f>
        <v>32032.115313968527</v>
      </c>
      <c r="Y598" s="3119">
        <f>VLOOKUP(V598,'Fix Cost'!$K$177:$M$179,3,0)</f>
        <v>267567.54920876794</v>
      </c>
      <c r="Z598" s="3119">
        <f t="shared" ca="1" si="408"/>
        <v>0</v>
      </c>
      <c r="AA598" s="3115">
        <f t="shared" ca="1" si="409"/>
        <v>0</v>
      </c>
      <c r="AB598" s="3115">
        <f t="shared" ca="1" si="410"/>
        <v>0</v>
      </c>
      <c r="AL598" s="313"/>
      <c r="AM598" s="363"/>
      <c r="AN598" s="385"/>
      <c r="AT598" s="879">
        <f t="shared" ca="1" si="386"/>
        <v>0</v>
      </c>
      <c r="AU598" s="879">
        <f ca="1">COUNTIFS(AT$7:$AT598,1)</f>
        <v>7</v>
      </c>
    </row>
    <row r="599" spans="2:47" ht="12.75" hidden="1" outlineLevel="1">
      <c r="B599" s="1738" t="str">
        <f>input!B966</f>
        <v>Pulling</v>
      </c>
      <c r="C599" s="313" t="str">
        <f ca="1">input!C966</f>
        <v>N</v>
      </c>
      <c r="D599" s="1739">
        <f>input!D966</f>
        <v>1</v>
      </c>
      <c r="E599" s="1740">
        <f>input!E966</f>
        <v>1</v>
      </c>
      <c r="F599" s="363" t="str">
        <f ca="1">input!F966</f>
        <v>N</v>
      </c>
      <c r="G599" s="363"/>
      <c r="H599" s="313">
        <f ca="1">IF(F599="PCS",$E$4,SUMIFS(Paper!$AC$7:$AC$58,Paper!$A$7:$A$58,'Production cost'!F599))*IF($F599="Pcs",$D599/$E599,1)</f>
        <v>0</v>
      </c>
      <c r="I599" s="313">
        <f ca="1">IF(input!$G966&gt;0,input!$G966,2000)</f>
        <v>2000</v>
      </c>
      <c r="J599" s="313" t="str">
        <f ca="1">input!H966</f>
        <v>Sheets</v>
      </c>
      <c r="K599" s="360">
        <v>0</v>
      </c>
      <c r="L599" s="313">
        <f ca="1">IF(input!$I966&gt;0,input!$I966,2)</f>
        <v>2</v>
      </c>
      <c r="M599" s="391">
        <f t="shared" ca="1" si="411"/>
        <v>0</v>
      </c>
      <c r="N599" s="391">
        <f t="shared" ca="1" si="412"/>
        <v>0</v>
      </c>
      <c r="P599" s="313">
        <f>Data!$N$1182</f>
        <v>59357.701116720593</v>
      </c>
      <c r="Q599" s="313">
        <f t="shared" ca="1" si="406"/>
        <v>0</v>
      </c>
      <c r="R599" s="313">
        <f t="shared" ca="1" si="413"/>
        <v>0</v>
      </c>
      <c r="S599" s="1741">
        <f t="shared" ca="1" si="414"/>
        <v>0</v>
      </c>
      <c r="T599" s="313" t="str">
        <f ca="1">input!J966</f>
        <v>N</v>
      </c>
      <c r="V599" s="3115" t="str">
        <f>input!K966</f>
        <v>Assembly</v>
      </c>
      <c r="W599" s="3115">
        <f t="shared" ca="1" si="407"/>
        <v>0</v>
      </c>
      <c r="X599" s="3119">
        <f>VLOOKUP(V599,'Fix Cost'!$K$177:$M$179,2,0)</f>
        <v>32032.115313968527</v>
      </c>
      <c r="Y599" s="3119">
        <f>VLOOKUP(V599,'Fix Cost'!$K$177:$M$179,3,0)</f>
        <v>267567.54920876794</v>
      </c>
      <c r="Z599" s="3119">
        <f t="shared" ca="1" si="408"/>
        <v>0</v>
      </c>
      <c r="AA599" s="3115">
        <f t="shared" ca="1" si="409"/>
        <v>0</v>
      </c>
      <c r="AB599" s="3115">
        <f t="shared" ca="1" si="410"/>
        <v>0</v>
      </c>
      <c r="AL599" s="313"/>
      <c r="AM599" s="363"/>
      <c r="AN599" s="385"/>
      <c r="AT599" s="879">
        <f t="shared" ca="1" si="386"/>
        <v>0</v>
      </c>
      <c r="AU599" s="879">
        <f ca="1">COUNTIFS(AT$7:$AT599,1)</f>
        <v>7</v>
      </c>
    </row>
    <row r="600" spans="2:47" ht="12.75" hidden="1" outlineLevel="1">
      <c r="B600" s="1738" t="str">
        <f>input!B967</f>
        <v>Pulling</v>
      </c>
      <c r="C600" s="313" t="str">
        <f ca="1">input!C967</f>
        <v>N</v>
      </c>
      <c r="D600" s="1739">
        <f>input!D967</f>
        <v>1</v>
      </c>
      <c r="E600" s="1740">
        <f>input!E967</f>
        <v>1</v>
      </c>
      <c r="F600" s="363" t="str">
        <f ca="1">input!F967</f>
        <v>N</v>
      </c>
      <c r="G600" s="363"/>
      <c r="H600" s="313">
        <f ca="1">IF(F600="PCS",$E$4,SUMIFS(Paper!$AC$7:$AC$58,Paper!$A$7:$A$58,'Production cost'!F600))*IF($F600="Pcs",$D600/$E600,1)</f>
        <v>0</v>
      </c>
      <c r="I600" s="313">
        <f ca="1">IF(input!$G967&gt;0,input!$G967,2000)</f>
        <v>2000</v>
      </c>
      <c r="J600" s="313" t="str">
        <f ca="1">input!H967</f>
        <v>Sheets</v>
      </c>
      <c r="K600" s="360">
        <v>0</v>
      </c>
      <c r="L600" s="313">
        <f ca="1">IF(input!$I967&gt;0,input!$I967,2)</f>
        <v>2</v>
      </c>
      <c r="M600" s="391">
        <f t="shared" ca="1" si="411"/>
        <v>0</v>
      </c>
      <c r="N600" s="391">
        <f t="shared" ca="1" si="412"/>
        <v>0</v>
      </c>
      <c r="P600" s="313">
        <f>Data!$N$1182</f>
        <v>59357.701116720593</v>
      </c>
      <c r="Q600" s="313">
        <f t="shared" ca="1" si="406"/>
        <v>0</v>
      </c>
      <c r="R600" s="313">
        <f t="shared" ca="1" si="413"/>
        <v>0</v>
      </c>
      <c r="S600" s="1741">
        <f t="shared" ca="1" si="414"/>
        <v>0</v>
      </c>
      <c r="T600" s="313" t="str">
        <f ca="1">input!J967</f>
        <v>N</v>
      </c>
      <c r="V600" s="3115" t="str">
        <f>input!K967</f>
        <v>Assembly</v>
      </c>
      <c r="W600" s="3115">
        <f t="shared" ca="1" si="407"/>
        <v>0</v>
      </c>
      <c r="X600" s="3119">
        <f>VLOOKUP(V600,'Fix Cost'!$K$177:$M$179,2,0)</f>
        <v>32032.115313968527</v>
      </c>
      <c r="Y600" s="3119">
        <f>VLOOKUP(V600,'Fix Cost'!$K$177:$M$179,3,0)</f>
        <v>267567.54920876794</v>
      </c>
      <c r="Z600" s="3119">
        <f t="shared" ca="1" si="408"/>
        <v>0</v>
      </c>
      <c r="AA600" s="3115">
        <f t="shared" ca="1" si="409"/>
        <v>0</v>
      </c>
      <c r="AB600" s="3115">
        <f t="shared" ca="1" si="410"/>
        <v>0</v>
      </c>
      <c r="AL600" s="313"/>
      <c r="AM600" s="363"/>
      <c r="AN600" s="385"/>
      <c r="AT600" s="879">
        <f t="shared" ca="1" si="386"/>
        <v>0</v>
      </c>
      <c r="AU600" s="879">
        <f ca="1">COUNTIFS(AT$7:$AT600,1)</f>
        <v>7</v>
      </c>
    </row>
    <row r="601" spans="2:47" ht="12.75" hidden="1" outlineLevel="1">
      <c r="B601" s="1738" t="str">
        <f>input!B968</f>
        <v>Pulling</v>
      </c>
      <c r="C601" s="313" t="str">
        <f ca="1">input!C968</f>
        <v>N</v>
      </c>
      <c r="D601" s="1739">
        <f>input!D968</f>
        <v>1</v>
      </c>
      <c r="E601" s="1740">
        <f>input!E968</f>
        <v>1</v>
      </c>
      <c r="F601" s="363" t="str">
        <f ca="1">input!F968</f>
        <v>N</v>
      </c>
      <c r="G601" s="363"/>
      <c r="H601" s="313">
        <f ca="1">IF(F601="PCS",$E$4,SUMIFS(Paper!$AC$7:$AC$58,Paper!$A$7:$A$58,'Production cost'!F601))*IF($F601="Pcs",$D601/$E601,1)</f>
        <v>0</v>
      </c>
      <c r="I601" s="313">
        <f ca="1">IF(input!$G968&gt;0,input!$G968,2000)</f>
        <v>2000</v>
      </c>
      <c r="J601" s="313" t="str">
        <f ca="1">input!H968</f>
        <v>Sheets</v>
      </c>
      <c r="K601" s="360">
        <v>0</v>
      </c>
      <c r="L601" s="313">
        <f ca="1">IF(input!$I968&gt;0,input!$I968,2)</f>
        <v>2</v>
      </c>
      <c r="M601" s="391">
        <f t="shared" ca="1" si="411"/>
        <v>0</v>
      </c>
      <c r="N601" s="391">
        <f t="shared" ca="1" si="412"/>
        <v>0</v>
      </c>
      <c r="P601" s="313">
        <f>Data!$N$1182</f>
        <v>59357.701116720593</v>
      </c>
      <c r="Q601" s="313">
        <f t="shared" ca="1" si="406"/>
        <v>0</v>
      </c>
      <c r="R601" s="313">
        <f t="shared" ca="1" si="413"/>
        <v>0</v>
      </c>
      <c r="S601" s="1741">
        <f t="shared" ca="1" si="414"/>
        <v>0</v>
      </c>
      <c r="T601" s="313" t="str">
        <f ca="1">input!J968</f>
        <v>N</v>
      </c>
      <c r="V601" s="3115" t="str">
        <f>input!K968</f>
        <v>Assembly</v>
      </c>
      <c r="W601" s="3115">
        <f t="shared" ca="1" si="407"/>
        <v>0</v>
      </c>
      <c r="X601" s="3119">
        <f>VLOOKUP(V601,'Fix Cost'!$K$177:$M$179,2,0)</f>
        <v>32032.115313968527</v>
      </c>
      <c r="Y601" s="3119">
        <f>VLOOKUP(V601,'Fix Cost'!$K$177:$M$179,3,0)</f>
        <v>267567.54920876794</v>
      </c>
      <c r="Z601" s="3119">
        <f t="shared" ca="1" si="408"/>
        <v>0</v>
      </c>
      <c r="AA601" s="3115">
        <f t="shared" ca="1" si="409"/>
        <v>0</v>
      </c>
      <c r="AB601" s="3115">
        <f t="shared" ca="1" si="410"/>
        <v>0</v>
      </c>
      <c r="AL601" s="313"/>
      <c r="AM601" s="363"/>
      <c r="AN601" s="385"/>
      <c r="AT601" s="879">
        <f t="shared" ca="1" si="386"/>
        <v>0</v>
      </c>
      <c r="AU601" s="879">
        <f ca="1">COUNTIFS(AT$7:$AT601,1)</f>
        <v>7</v>
      </c>
    </row>
    <row r="602" spans="2:47" ht="12.75" hidden="1" outlineLevel="1">
      <c r="B602" s="1738" t="str">
        <f>input!B969</f>
        <v>Pulling</v>
      </c>
      <c r="C602" s="313" t="str">
        <f ca="1">input!C969</f>
        <v>N</v>
      </c>
      <c r="D602" s="1739">
        <f>input!D969</f>
        <v>1</v>
      </c>
      <c r="E602" s="1740">
        <f>input!E969</f>
        <v>1</v>
      </c>
      <c r="F602" s="363" t="str">
        <f ca="1">input!F969</f>
        <v>N</v>
      </c>
      <c r="G602" s="363"/>
      <c r="H602" s="313">
        <f ca="1">IF(F602="PCS",$E$4,SUMIFS(Paper!$AC$7:$AC$58,Paper!$A$7:$A$58,'Production cost'!F602))*IF($F602="Pcs",$D602/$E602,1)</f>
        <v>0</v>
      </c>
      <c r="I602" s="313">
        <f ca="1">IF(input!$G969&gt;0,input!$G969,2000)</f>
        <v>2000</v>
      </c>
      <c r="J602" s="313" t="str">
        <f ca="1">input!H969</f>
        <v>Sheets</v>
      </c>
      <c r="K602" s="360">
        <v>0</v>
      </c>
      <c r="L602" s="313">
        <f ca="1">IF(input!$I969&gt;0,input!$I969,2)</f>
        <v>2</v>
      </c>
      <c r="M602" s="391">
        <f t="shared" ca="1" si="411"/>
        <v>0</v>
      </c>
      <c r="N602" s="391">
        <f t="shared" ca="1" si="412"/>
        <v>0</v>
      </c>
      <c r="P602" s="313">
        <f>Data!$N$1182</f>
        <v>59357.701116720593</v>
      </c>
      <c r="Q602" s="313">
        <f t="shared" ca="1" si="406"/>
        <v>0</v>
      </c>
      <c r="R602" s="313">
        <f t="shared" ca="1" si="413"/>
        <v>0</v>
      </c>
      <c r="S602" s="1741">
        <f t="shared" ca="1" si="414"/>
        <v>0</v>
      </c>
      <c r="T602" s="313" t="str">
        <f ca="1">input!J969</f>
        <v>N</v>
      </c>
      <c r="V602" s="3115" t="str">
        <f>input!K969</f>
        <v>Assembly</v>
      </c>
      <c r="W602" s="3115">
        <f t="shared" ca="1" si="407"/>
        <v>0</v>
      </c>
      <c r="X602" s="3119">
        <f>VLOOKUP(V602,'Fix Cost'!$K$177:$M$179,2,0)</f>
        <v>32032.115313968527</v>
      </c>
      <c r="Y602" s="3119">
        <f>VLOOKUP(V602,'Fix Cost'!$K$177:$M$179,3,0)</f>
        <v>267567.54920876794</v>
      </c>
      <c r="Z602" s="3119">
        <f t="shared" ca="1" si="408"/>
        <v>0</v>
      </c>
      <c r="AA602" s="3115">
        <f t="shared" ca="1" si="409"/>
        <v>0</v>
      </c>
      <c r="AB602" s="3115">
        <f t="shared" ca="1" si="410"/>
        <v>0</v>
      </c>
      <c r="AL602" s="313"/>
      <c r="AM602" s="363"/>
      <c r="AN602" s="385"/>
      <c r="AT602" s="879">
        <f t="shared" ca="1" si="386"/>
        <v>0</v>
      </c>
      <c r="AU602" s="879">
        <f ca="1">COUNTIFS(AT$7:$AT602,1)</f>
        <v>7</v>
      </c>
    </row>
    <row r="603" spans="2:47" ht="12.75" hidden="1" outlineLevel="1">
      <c r="B603" s="1738" t="str">
        <f>input!B970</f>
        <v>Pulling</v>
      </c>
      <c r="C603" s="313" t="str">
        <f ca="1">input!C970</f>
        <v>N</v>
      </c>
      <c r="D603" s="1739">
        <f>input!D970</f>
        <v>1</v>
      </c>
      <c r="E603" s="1740">
        <f>input!E970</f>
        <v>1</v>
      </c>
      <c r="F603" s="363" t="str">
        <f ca="1">input!F970</f>
        <v>N</v>
      </c>
      <c r="G603" s="363"/>
      <c r="H603" s="313">
        <f ca="1">IF(F603="PCS",$E$4,SUMIFS(Paper!$AC$7:$AC$58,Paper!$A$7:$A$58,'Production cost'!F603))*IF($F603="Pcs",$D603/$E603,1)</f>
        <v>0</v>
      </c>
      <c r="I603" s="313">
        <f ca="1">IF(input!$G970&gt;0,input!$G970,2000)</f>
        <v>2000</v>
      </c>
      <c r="J603" s="313" t="str">
        <f ca="1">input!H970</f>
        <v>Sheets</v>
      </c>
      <c r="K603" s="360">
        <v>0</v>
      </c>
      <c r="L603" s="313">
        <f ca="1">input!I970</f>
        <v>0</v>
      </c>
      <c r="M603" s="391">
        <f ca="1">IF(H603&gt;0,90/60,0)*0</f>
        <v>0</v>
      </c>
      <c r="N603" s="391">
        <f ca="1">IF(H603&gt;0,ROUNDUP(((H603/I603)/$M$4+M603),1),0)</f>
        <v>0</v>
      </c>
      <c r="P603" s="313">
        <f>Data!$N$1182</f>
        <v>59357.701116720593</v>
      </c>
      <c r="Q603" s="313">
        <f t="shared" ca="1" si="406"/>
        <v>0</v>
      </c>
      <c r="R603" s="313">
        <f ca="1">IF($E$2&gt;0,Q603/$E$2,0)</f>
        <v>0</v>
      </c>
      <c r="S603" s="1741">
        <f ca="1">IF(M603&gt;0,K603*O603+L603*P603,0)</f>
        <v>0</v>
      </c>
      <c r="T603" s="313" t="str">
        <f ca="1">input!J970</f>
        <v>N</v>
      </c>
      <c r="V603" s="3115" t="str">
        <f>input!K970</f>
        <v>Assembly</v>
      </c>
      <c r="W603" s="3115">
        <f t="shared" ca="1" si="407"/>
        <v>0</v>
      </c>
      <c r="X603" s="3119">
        <f>VLOOKUP(V603,'Fix Cost'!$K$177:$M$179,2,0)</f>
        <v>32032.115313968527</v>
      </c>
      <c r="Y603" s="3119">
        <f>VLOOKUP(V603,'Fix Cost'!$K$177:$M$179,3,0)</f>
        <v>267567.54920876794</v>
      </c>
      <c r="Z603" s="3119">
        <f t="shared" ca="1" si="408"/>
        <v>0</v>
      </c>
      <c r="AA603" s="3115">
        <f t="shared" ca="1" si="409"/>
        <v>0</v>
      </c>
      <c r="AB603" s="3115">
        <f t="shared" ca="1" si="410"/>
        <v>0</v>
      </c>
      <c r="AL603" s="313"/>
      <c r="AM603" s="363"/>
      <c r="AN603" s="385"/>
      <c r="AT603" s="879">
        <f t="shared" ca="1" si="386"/>
        <v>0</v>
      </c>
      <c r="AU603" s="879">
        <f ca="1">COUNTIFS(AT$7:$AT603,1)</f>
        <v>7</v>
      </c>
    </row>
    <row r="604" spans="2:47" ht="12.75" hidden="1" outlineLevel="1">
      <c r="B604" s="1738" t="str">
        <f>input!B971</f>
        <v>Pulling</v>
      </c>
      <c r="C604" s="313" t="str">
        <f ca="1">input!C971</f>
        <v>N</v>
      </c>
      <c r="D604" s="1739">
        <f>input!D971</f>
        <v>1</v>
      </c>
      <c r="E604" s="1740">
        <f>input!E971</f>
        <v>1</v>
      </c>
      <c r="F604" s="363" t="str">
        <f ca="1">input!F971</f>
        <v>N</v>
      </c>
      <c r="G604" s="363"/>
      <c r="H604" s="313">
        <f ca="1">IF(F604="PCS",$E$4,SUMIFS(Paper!$AC$7:$AC$58,Paper!$A$7:$A$58,'Production cost'!F604))*IF($F604="Pcs",$D604/$E604,1)</f>
        <v>0</v>
      </c>
      <c r="I604" s="313">
        <f ca="1">IF(input!$G971&gt;0,input!$G971,2000)</f>
        <v>2000</v>
      </c>
      <c r="J604" s="313" t="str">
        <f ca="1">input!H971</f>
        <v>Sheets</v>
      </c>
      <c r="K604" s="360">
        <v>0</v>
      </c>
      <c r="L604" s="313">
        <f ca="1">input!I971</f>
        <v>0</v>
      </c>
      <c r="M604" s="391">
        <f t="shared" ref="M604:M694" ca="1" si="415">IF(H604&gt;0,90/60,0)*0</f>
        <v>0</v>
      </c>
      <c r="N604" s="391">
        <f t="shared" ref="N604:N694" ca="1" si="416">IF(H604&gt;0,ROUNDUP(((H604/I604)/$M$4+M604),1),0)</f>
        <v>0</v>
      </c>
      <c r="P604" s="313">
        <f>Data!$N$1182</f>
        <v>59357.701116720593</v>
      </c>
      <c r="Q604" s="313">
        <f t="shared" ca="1" si="406"/>
        <v>0</v>
      </c>
      <c r="R604" s="313">
        <f t="shared" ref="R604:R674" ca="1" si="417">IF($E$2&gt;0,Q604/$E$2,0)</f>
        <v>0</v>
      </c>
      <c r="S604" s="1741">
        <f t="shared" ref="S604:S694" ca="1" si="418">IF(M604&gt;0,K604*O604+L604*P604,0)</f>
        <v>0</v>
      </c>
      <c r="T604" s="313" t="str">
        <f ca="1">input!J971</f>
        <v>N</v>
      </c>
      <c r="V604" s="3115" t="str">
        <f>input!K971</f>
        <v>Assembly</v>
      </c>
      <c r="W604" s="3115">
        <f t="shared" ca="1" si="407"/>
        <v>0</v>
      </c>
      <c r="X604" s="3119">
        <f>VLOOKUP(V604,'Fix Cost'!$K$177:$M$179,2,0)</f>
        <v>32032.115313968527</v>
      </c>
      <c r="Y604" s="3119">
        <f>VLOOKUP(V604,'Fix Cost'!$K$177:$M$179,3,0)</f>
        <v>267567.54920876794</v>
      </c>
      <c r="Z604" s="3119">
        <f t="shared" ca="1" si="408"/>
        <v>0</v>
      </c>
      <c r="AA604" s="3115">
        <f t="shared" ca="1" si="409"/>
        <v>0</v>
      </c>
      <c r="AB604" s="3115">
        <f t="shared" ca="1" si="410"/>
        <v>0</v>
      </c>
      <c r="AL604" s="313"/>
      <c r="AM604" s="363"/>
      <c r="AN604" s="385"/>
      <c r="AT604" s="879">
        <f t="shared" ref="AT604:AT682" ca="1" si="419">IF(ISNUMBER(R604),IF(R604&lt;&gt;0,IF(ISNUMBER(SEARCH("to",J604)),0,1),0),"")</f>
        <v>0</v>
      </c>
      <c r="AU604" s="879">
        <f ca="1">COUNTIFS(AT$7:$AT604,1)</f>
        <v>7</v>
      </c>
    </row>
    <row r="605" spans="2:47" ht="12.75" hidden="1" outlineLevel="1">
      <c r="B605" s="1738" t="str">
        <f>input!B972</f>
        <v>Pulling</v>
      </c>
      <c r="C605" s="313" t="str">
        <f ca="1">input!C972</f>
        <v>N</v>
      </c>
      <c r="D605" s="1739">
        <f>input!D972</f>
        <v>1</v>
      </c>
      <c r="E605" s="1740">
        <f>input!E972</f>
        <v>1</v>
      </c>
      <c r="F605" s="363" t="str">
        <f ca="1">input!F972</f>
        <v>N</v>
      </c>
      <c r="G605" s="363"/>
      <c r="H605" s="313">
        <f ca="1">IF(F605="PCS",$E$4,SUMIFS(Paper!$AC$7:$AC$58,Paper!$A$7:$A$58,'Production cost'!F605))*IF($F605="Pcs",$D605/$E605,1)</f>
        <v>0</v>
      </c>
      <c r="I605" s="313">
        <f ca="1">IF(input!$G972&gt;0,input!$G972,2000)</f>
        <v>2000</v>
      </c>
      <c r="J605" s="313" t="str">
        <f ca="1">input!H972</f>
        <v>Sheets</v>
      </c>
      <c r="K605" s="360">
        <v>0</v>
      </c>
      <c r="L605" s="313">
        <f ca="1">input!I972</f>
        <v>0</v>
      </c>
      <c r="M605" s="391">
        <f t="shared" ca="1" si="415"/>
        <v>0</v>
      </c>
      <c r="N605" s="391">
        <f t="shared" ca="1" si="416"/>
        <v>0</v>
      </c>
      <c r="P605" s="313">
        <f>Data!$N$1182</f>
        <v>59357.701116720593</v>
      </c>
      <c r="Q605" s="313">
        <f t="shared" ca="1" si="406"/>
        <v>0</v>
      </c>
      <c r="R605" s="313">
        <f t="shared" ca="1" si="417"/>
        <v>0</v>
      </c>
      <c r="S605" s="1741">
        <f t="shared" ca="1" si="418"/>
        <v>0</v>
      </c>
      <c r="T605" s="313" t="str">
        <f ca="1">input!J972</f>
        <v>N</v>
      </c>
      <c r="V605" s="3115" t="str">
        <f>input!K972</f>
        <v>Assembly</v>
      </c>
      <c r="W605" s="3115">
        <f t="shared" ca="1" si="407"/>
        <v>0</v>
      </c>
      <c r="X605" s="3119">
        <f>VLOOKUP(V605,'Fix Cost'!$K$177:$M$179,2,0)</f>
        <v>32032.115313968527</v>
      </c>
      <c r="Y605" s="3119">
        <f>VLOOKUP(V605,'Fix Cost'!$K$177:$M$179,3,0)</f>
        <v>267567.54920876794</v>
      </c>
      <c r="Z605" s="3119">
        <f t="shared" ca="1" si="408"/>
        <v>0</v>
      </c>
      <c r="AA605" s="3115">
        <f t="shared" ca="1" si="409"/>
        <v>0</v>
      </c>
      <c r="AB605" s="3115">
        <f t="shared" ca="1" si="410"/>
        <v>0</v>
      </c>
      <c r="AL605" s="313"/>
      <c r="AM605" s="363"/>
      <c r="AN605" s="385"/>
      <c r="AT605" s="879">
        <f t="shared" ca="1" si="419"/>
        <v>0</v>
      </c>
      <c r="AU605" s="879">
        <f ca="1">COUNTIFS(AT$7:$AT605,1)</f>
        <v>7</v>
      </c>
    </row>
    <row r="606" spans="2:47" ht="12.75" hidden="1" outlineLevel="1">
      <c r="B606" s="1738" t="str">
        <f>input!B973</f>
        <v>Pulling</v>
      </c>
      <c r="C606" s="313" t="str">
        <f ca="1">input!C973</f>
        <v>N</v>
      </c>
      <c r="D606" s="1739">
        <f>input!D973</f>
        <v>1</v>
      </c>
      <c r="E606" s="1740">
        <f>input!E973</f>
        <v>1</v>
      </c>
      <c r="F606" s="363" t="str">
        <f ca="1">input!F973</f>
        <v>N</v>
      </c>
      <c r="G606" s="363"/>
      <c r="H606" s="313">
        <f ca="1">IF(F606="PCS",$E$4,SUMIFS(Paper!$AC$7:$AC$58,Paper!$A$7:$A$58,'Production cost'!F606))*IF($F606="Pcs",$D606/$E606,1)</f>
        <v>0</v>
      </c>
      <c r="I606" s="313">
        <f ca="1">IF(input!$G973&gt;0,input!$G973,2000)</f>
        <v>2000</v>
      </c>
      <c r="J606" s="313" t="str">
        <f ca="1">input!H973</f>
        <v>Sheets</v>
      </c>
      <c r="K606" s="360">
        <v>0</v>
      </c>
      <c r="L606" s="313">
        <f ca="1">input!I973</f>
        <v>0</v>
      </c>
      <c r="M606" s="391">
        <f t="shared" ca="1" si="415"/>
        <v>0</v>
      </c>
      <c r="N606" s="391">
        <f t="shared" ca="1" si="416"/>
        <v>0</v>
      </c>
      <c r="P606" s="313">
        <f>Data!$N$1182</f>
        <v>59357.701116720593</v>
      </c>
      <c r="Q606" s="313">
        <f t="shared" ca="1" si="406"/>
        <v>0</v>
      </c>
      <c r="R606" s="313">
        <f t="shared" ca="1" si="417"/>
        <v>0</v>
      </c>
      <c r="S606" s="1741">
        <f t="shared" ca="1" si="418"/>
        <v>0</v>
      </c>
      <c r="T606" s="313" t="str">
        <f ca="1">input!J973</f>
        <v>N</v>
      </c>
      <c r="V606" s="3115" t="str">
        <f>input!K973</f>
        <v>Assembly</v>
      </c>
      <c r="W606" s="3115">
        <f t="shared" ca="1" si="407"/>
        <v>0</v>
      </c>
      <c r="X606" s="3119">
        <f>VLOOKUP(V606,'Fix Cost'!$K$177:$M$179,2,0)</f>
        <v>32032.115313968527</v>
      </c>
      <c r="Y606" s="3119">
        <f>VLOOKUP(V606,'Fix Cost'!$K$177:$M$179,3,0)</f>
        <v>267567.54920876794</v>
      </c>
      <c r="Z606" s="3119">
        <f t="shared" ca="1" si="408"/>
        <v>0</v>
      </c>
      <c r="AA606" s="3115">
        <f t="shared" ca="1" si="409"/>
        <v>0</v>
      </c>
      <c r="AB606" s="3115">
        <f t="shared" ca="1" si="410"/>
        <v>0</v>
      </c>
      <c r="AL606" s="313"/>
      <c r="AM606" s="363"/>
      <c r="AN606" s="385"/>
      <c r="AT606" s="879">
        <f t="shared" ca="1" si="419"/>
        <v>0</v>
      </c>
      <c r="AU606" s="879">
        <f ca="1">COUNTIFS(AT$7:$AT606,1)</f>
        <v>7</v>
      </c>
    </row>
    <row r="607" spans="2:47" ht="12.75" hidden="1" outlineLevel="1">
      <c r="B607" s="1738" t="str">
        <f>input!B974</f>
        <v>Pulling</v>
      </c>
      <c r="C607" s="313" t="str">
        <f ca="1">input!C974</f>
        <v>N</v>
      </c>
      <c r="D607" s="1739">
        <f>input!D974</f>
        <v>1</v>
      </c>
      <c r="E607" s="1740">
        <f>input!E974</f>
        <v>1</v>
      </c>
      <c r="F607" s="363" t="str">
        <f ca="1">input!F974</f>
        <v>N</v>
      </c>
      <c r="G607" s="363"/>
      <c r="H607" s="313">
        <f ca="1">IF(F607="PCS",$E$4,SUMIFS(Paper!$AC$7:$AC$58,Paper!$A$7:$A$58,'Production cost'!F607))*IF($F607="Pcs",$D607/$E607,1)</f>
        <v>0</v>
      </c>
      <c r="I607" s="313">
        <f ca="1">IF(input!$G974&gt;0,input!$G974,2000)</f>
        <v>2000</v>
      </c>
      <c r="J607" s="313" t="str">
        <f ca="1">input!H974</f>
        <v>Sheets</v>
      </c>
      <c r="K607" s="360">
        <v>0</v>
      </c>
      <c r="L607" s="313">
        <f ca="1">input!I974</f>
        <v>0</v>
      </c>
      <c r="M607" s="391">
        <f t="shared" ref="M607:M619" ca="1" si="420">IF(H607&gt;0,90/60,0)*0</f>
        <v>0</v>
      </c>
      <c r="N607" s="391">
        <f t="shared" ref="N607:N619" ca="1" si="421">IF(H607&gt;0,ROUNDUP(((H607/I607)/$M$4+M607),1),0)</f>
        <v>0</v>
      </c>
      <c r="P607" s="313">
        <f>Data!$N$1182</f>
        <v>59357.701116720593</v>
      </c>
      <c r="Q607" s="313">
        <f t="shared" ca="1" si="406"/>
        <v>0</v>
      </c>
      <c r="R607" s="313">
        <f t="shared" ref="R607:R619" ca="1" si="422">IF($E$2&gt;0,Q607/$E$2,0)</f>
        <v>0</v>
      </c>
      <c r="S607" s="1741">
        <f t="shared" ref="S607:S619" ca="1" si="423">IF(M607&gt;0,K607*O607+L607*P607,0)</f>
        <v>0</v>
      </c>
      <c r="T607" s="313" t="str">
        <f ca="1">input!J974</f>
        <v>N</v>
      </c>
      <c r="V607" s="3115" t="str">
        <f>input!K974</f>
        <v>Assembly</v>
      </c>
      <c r="W607" s="3115">
        <f t="shared" ref="W607:W619" ca="1" si="424">N607*(L607+K607)</f>
        <v>0</v>
      </c>
      <c r="X607" s="3119">
        <f>VLOOKUP(V607,'Fix Cost'!$K$177:$M$179,2,0)</f>
        <v>32032.115313968527</v>
      </c>
      <c r="Y607" s="3119">
        <f>VLOOKUP(V607,'Fix Cost'!$K$177:$M$179,3,0)</f>
        <v>267567.54920876794</v>
      </c>
      <c r="Z607" s="3119">
        <f t="shared" ref="Z607:Z619" ca="1" si="425">IFERROR($X607*W607,0)</f>
        <v>0</v>
      </c>
      <c r="AA607" s="3115">
        <f t="shared" ref="AA607:AA619" ca="1" si="426">IFERROR(Y607*N607,0)</f>
        <v>0</v>
      </c>
      <c r="AB607" s="3115">
        <f t="shared" ref="AB607:AB619" ca="1" si="427">Z607+AA607</f>
        <v>0</v>
      </c>
      <c r="AL607" s="313"/>
      <c r="AM607" s="363"/>
      <c r="AN607" s="385"/>
      <c r="AT607" s="879">
        <f t="shared" ca="1" si="419"/>
        <v>0</v>
      </c>
      <c r="AU607" s="879">
        <f ca="1">COUNTIFS(AT$7:$AT607,1)</f>
        <v>7</v>
      </c>
    </row>
    <row r="608" spans="2:47" ht="12.75" hidden="1" outlineLevel="1">
      <c r="B608" s="1738" t="str">
        <f>input!B975</f>
        <v>Pulling</v>
      </c>
      <c r="C608" s="313" t="str">
        <f ca="1">input!C975</f>
        <v>N</v>
      </c>
      <c r="D608" s="1739">
        <f>input!D975</f>
        <v>1</v>
      </c>
      <c r="E608" s="1740">
        <f>input!E975</f>
        <v>1</v>
      </c>
      <c r="F608" s="363" t="str">
        <f ca="1">input!F975</f>
        <v>N</v>
      </c>
      <c r="G608" s="363"/>
      <c r="H608" s="313">
        <f ca="1">IF(F608="PCS",$E$4,SUMIFS(Paper!$AC$7:$AC$58,Paper!$A$7:$A$58,'Production cost'!F608))*IF($F608="Pcs",$D608/$E608,1)</f>
        <v>0</v>
      </c>
      <c r="I608" s="313">
        <f ca="1">IF(input!$G975&gt;0,input!$G975,2000)</f>
        <v>2000</v>
      </c>
      <c r="J608" s="313" t="str">
        <f ca="1">input!H975</f>
        <v>Sheets</v>
      </c>
      <c r="K608" s="360">
        <v>0</v>
      </c>
      <c r="L608" s="313">
        <f ca="1">input!I975</f>
        <v>0</v>
      </c>
      <c r="M608" s="391">
        <f t="shared" ca="1" si="420"/>
        <v>0</v>
      </c>
      <c r="N608" s="391">
        <f t="shared" ca="1" si="421"/>
        <v>0</v>
      </c>
      <c r="P608" s="313">
        <f>Data!$N$1182</f>
        <v>59357.701116720593</v>
      </c>
      <c r="Q608" s="313">
        <f t="shared" ca="1" si="406"/>
        <v>0</v>
      </c>
      <c r="R608" s="313">
        <f t="shared" ca="1" si="422"/>
        <v>0</v>
      </c>
      <c r="S608" s="1741">
        <f t="shared" ca="1" si="423"/>
        <v>0</v>
      </c>
      <c r="T608" s="313" t="str">
        <f ca="1">input!J975</f>
        <v>N</v>
      </c>
      <c r="V608" s="3115" t="str">
        <f>input!K975</f>
        <v>Assembly</v>
      </c>
      <c r="W608" s="3115">
        <f t="shared" ca="1" si="424"/>
        <v>0</v>
      </c>
      <c r="X608" s="3119">
        <f>VLOOKUP(V608,'Fix Cost'!$K$177:$M$179,2,0)</f>
        <v>32032.115313968527</v>
      </c>
      <c r="Y608" s="3119">
        <f>VLOOKUP(V608,'Fix Cost'!$K$177:$M$179,3,0)</f>
        <v>267567.54920876794</v>
      </c>
      <c r="Z608" s="3119">
        <f t="shared" ca="1" si="425"/>
        <v>0</v>
      </c>
      <c r="AA608" s="3115">
        <f t="shared" ca="1" si="426"/>
        <v>0</v>
      </c>
      <c r="AB608" s="3115">
        <f t="shared" ca="1" si="427"/>
        <v>0</v>
      </c>
      <c r="AL608" s="313"/>
      <c r="AM608" s="363"/>
      <c r="AN608" s="385"/>
      <c r="AT608" s="879">
        <f t="shared" ca="1" si="419"/>
        <v>0</v>
      </c>
      <c r="AU608" s="879">
        <f ca="1">COUNTIFS(AT$7:$AT608,1)</f>
        <v>7</v>
      </c>
    </row>
    <row r="609" spans="2:47" ht="12.75" hidden="1" outlineLevel="1">
      <c r="B609" s="1738" t="str">
        <f>input!B976</f>
        <v>Pulling</v>
      </c>
      <c r="C609" s="313" t="str">
        <f ca="1">input!C976</f>
        <v>N</v>
      </c>
      <c r="D609" s="1739">
        <f>input!D976</f>
        <v>1</v>
      </c>
      <c r="E609" s="1740">
        <f>input!E976</f>
        <v>1</v>
      </c>
      <c r="F609" s="363" t="str">
        <f ca="1">input!F976</f>
        <v>N</v>
      </c>
      <c r="G609" s="363"/>
      <c r="H609" s="313">
        <f ca="1">IF(F609="PCS",$E$4,SUMIFS(Paper!$AC$7:$AC$58,Paper!$A$7:$A$58,'Production cost'!F609))*IF($F609="Pcs",$D609/$E609,1)</f>
        <v>0</v>
      </c>
      <c r="I609" s="313">
        <f ca="1">IF(input!$G976&gt;0,input!$G976,2000)</f>
        <v>2000</v>
      </c>
      <c r="J609" s="313" t="str">
        <f ca="1">input!H976</f>
        <v>Sheets</v>
      </c>
      <c r="K609" s="360">
        <v>0</v>
      </c>
      <c r="L609" s="313">
        <f ca="1">input!I976</f>
        <v>0</v>
      </c>
      <c r="M609" s="391">
        <f t="shared" ca="1" si="420"/>
        <v>0</v>
      </c>
      <c r="N609" s="391">
        <f t="shared" ca="1" si="421"/>
        <v>0</v>
      </c>
      <c r="P609" s="313">
        <f>Data!$N$1182</f>
        <v>59357.701116720593</v>
      </c>
      <c r="Q609" s="313">
        <f t="shared" ca="1" si="406"/>
        <v>0</v>
      </c>
      <c r="R609" s="313">
        <f t="shared" ca="1" si="422"/>
        <v>0</v>
      </c>
      <c r="S609" s="1741">
        <f t="shared" ca="1" si="423"/>
        <v>0</v>
      </c>
      <c r="T609" s="313" t="str">
        <f ca="1">input!J976</f>
        <v>N</v>
      </c>
      <c r="V609" s="3115" t="str">
        <f>input!K976</f>
        <v>Assembly</v>
      </c>
      <c r="W609" s="3115">
        <f t="shared" ca="1" si="424"/>
        <v>0</v>
      </c>
      <c r="X609" s="3119">
        <f>VLOOKUP(V609,'Fix Cost'!$K$177:$M$179,2,0)</f>
        <v>32032.115313968527</v>
      </c>
      <c r="Y609" s="3119">
        <f>VLOOKUP(V609,'Fix Cost'!$K$177:$M$179,3,0)</f>
        <v>267567.54920876794</v>
      </c>
      <c r="Z609" s="3119">
        <f t="shared" ca="1" si="425"/>
        <v>0</v>
      </c>
      <c r="AA609" s="3115">
        <f t="shared" ca="1" si="426"/>
        <v>0</v>
      </c>
      <c r="AB609" s="3115">
        <f t="shared" ca="1" si="427"/>
        <v>0</v>
      </c>
      <c r="AL609" s="313"/>
      <c r="AM609" s="363"/>
      <c r="AN609" s="385"/>
      <c r="AT609" s="879">
        <f t="shared" ca="1" si="419"/>
        <v>0</v>
      </c>
      <c r="AU609" s="879">
        <f ca="1">COUNTIFS(AT$7:$AT609,1)</f>
        <v>7</v>
      </c>
    </row>
    <row r="610" spans="2:47" ht="12.75" hidden="1" outlineLevel="1">
      <c r="B610" s="1738" t="str">
        <f>input!B977</f>
        <v>Pulling</v>
      </c>
      <c r="C610" s="313" t="str">
        <f ca="1">input!C977</f>
        <v>1st</v>
      </c>
      <c r="D610" s="1739">
        <f>input!D977</f>
        <v>1</v>
      </c>
      <c r="E610" s="1740">
        <f>input!E977</f>
        <v>1</v>
      </c>
      <c r="F610" s="363" t="str">
        <f ca="1">input!F977</f>
        <v>N</v>
      </c>
      <c r="G610" s="363"/>
      <c r="H610" s="313">
        <f ca="1">IF(F610="PCS",$E$4,SUMIFS(Paper!$AC$7:$AC$58,Paper!$A$7:$A$58,'Production cost'!F610))*IF($F610="Pcs",$D610/$E610,1)</f>
        <v>0</v>
      </c>
      <c r="I610" s="313">
        <f ca="1">IF(input!$G977&gt;0,input!$G977,2000)</f>
        <v>2000</v>
      </c>
      <c r="J610" s="313" t="str">
        <f ca="1">input!H977</f>
        <v>Sheets</v>
      </c>
      <c r="K610" s="360">
        <v>0</v>
      </c>
      <c r="L610" s="313">
        <f ca="1">input!I977</f>
        <v>0</v>
      </c>
      <c r="M610" s="391">
        <f t="shared" ca="1" si="420"/>
        <v>0</v>
      </c>
      <c r="N610" s="391">
        <f t="shared" ca="1" si="421"/>
        <v>0</v>
      </c>
      <c r="P610" s="313">
        <f>Data!$N$1182</f>
        <v>59357.701116720593</v>
      </c>
      <c r="Q610" s="313">
        <f t="shared" ca="1" si="406"/>
        <v>0</v>
      </c>
      <c r="R610" s="313">
        <f t="shared" ca="1" si="422"/>
        <v>0</v>
      </c>
      <c r="S610" s="1741">
        <f t="shared" ca="1" si="423"/>
        <v>0</v>
      </c>
      <c r="T610" s="313" t="str">
        <f ca="1">input!J977</f>
        <v>1st</v>
      </c>
      <c r="V610" s="3115" t="str">
        <f>input!K977</f>
        <v>Assembly</v>
      </c>
      <c r="W610" s="3115">
        <f t="shared" ca="1" si="424"/>
        <v>0</v>
      </c>
      <c r="X610" s="3119">
        <f>VLOOKUP(V610,'Fix Cost'!$K$177:$M$179,2,0)</f>
        <v>32032.115313968527</v>
      </c>
      <c r="Y610" s="3119">
        <f>VLOOKUP(V610,'Fix Cost'!$K$177:$M$179,3,0)</f>
        <v>267567.54920876794</v>
      </c>
      <c r="Z610" s="3119">
        <f t="shared" ca="1" si="425"/>
        <v>0</v>
      </c>
      <c r="AA610" s="3115">
        <f t="shared" ca="1" si="426"/>
        <v>0</v>
      </c>
      <c r="AB610" s="3115">
        <f t="shared" ca="1" si="427"/>
        <v>0</v>
      </c>
      <c r="AL610" s="313"/>
      <c r="AM610" s="363"/>
      <c r="AN610" s="385"/>
      <c r="AT610" s="879">
        <f t="shared" ca="1" si="419"/>
        <v>0</v>
      </c>
      <c r="AU610" s="879">
        <f ca="1">COUNTIFS(AT$7:$AT610,1)</f>
        <v>7</v>
      </c>
    </row>
    <row r="611" spans="2:47" ht="12.75" hidden="1" outlineLevel="1">
      <c r="B611" s="1738" t="str">
        <f>input!B978</f>
        <v>Pulling</v>
      </c>
      <c r="C611" s="313" t="str">
        <f ca="1">input!C978</f>
        <v>1st</v>
      </c>
      <c r="D611" s="1739">
        <f>input!D978</f>
        <v>1</v>
      </c>
      <c r="E611" s="1740">
        <f>input!E978</f>
        <v>1</v>
      </c>
      <c r="F611" s="363" t="str">
        <f ca="1">input!F978</f>
        <v>N</v>
      </c>
      <c r="G611" s="363"/>
      <c r="H611" s="313">
        <f ca="1">IF(F611="PCS",$E$4,SUMIFS(Paper!$AC$7:$AC$58,Paper!$A$7:$A$58,'Production cost'!F611))*IF($F611="Pcs",$D611/$E611,1)</f>
        <v>0</v>
      </c>
      <c r="I611" s="313">
        <f ca="1">IF(input!$G978&gt;0,input!$G978,2000)</f>
        <v>2000</v>
      </c>
      <c r="J611" s="313" t="str">
        <f ca="1">input!H978</f>
        <v>Sheets</v>
      </c>
      <c r="K611" s="360">
        <v>0</v>
      </c>
      <c r="L611" s="313">
        <f ca="1">input!I978</f>
        <v>0</v>
      </c>
      <c r="M611" s="391">
        <f t="shared" ca="1" si="420"/>
        <v>0</v>
      </c>
      <c r="N611" s="391">
        <f t="shared" ca="1" si="421"/>
        <v>0</v>
      </c>
      <c r="P611" s="313">
        <f>Data!$N$1182</f>
        <v>59357.701116720593</v>
      </c>
      <c r="Q611" s="313">
        <f t="shared" ca="1" si="406"/>
        <v>0</v>
      </c>
      <c r="R611" s="313">
        <f t="shared" ca="1" si="422"/>
        <v>0</v>
      </c>
      <c r="S611" s="1741">
        <f t="shared" ca="1" si="423"/>
        <v>0</v>
      </c>
      <c r="T611" s="313" t="str">
        <f ca="1">input!J978</f>
        <v>1st</v>
      </c>
      <c r="V611" s="3115" t="str">
        <f>input!K978</f>
        <v>Assembly</v>
      </c>
      <c r="W611" s="3115">
        <f t="shared" ca="1" si="424"/>
        <v>0</v>
      </c>
      <c r="X611" s="3119">
        <f>VLOOKUP(V611,'Fix Cost'!$K$177:$M$179,2,0)</f>
        <v>32032.115313968527</v>
      </c>
      <c r="Y611" s="3119">
        <f>VLOOKUP(V611,'Fix Cost'!$K$177:$M$179,3,0)</f>
        <v>267567.54920876794</v>
      </c>
      <c r="Z611" s="3119">
        <f t="shared" ca="1" si="425"/>
        <v>0</v>
      </c>
      <c r="AA611" s="3115">
        <f t="shared" ca="1" si="426"/>
        <v>0</v>
      </c>
      <c r="AB611" s="3115">
        <f t="shared" ca="1" si="427"/>
        <v>0</v>
      </c>
      <c r="AL611" s="313"/>
      <c r="AM611" s="363"/>
      <c r="AN611" s="385"/>
      <c r="AT611" s="879">
        <f t="shared" ca="1" si="419"/>
        <v>0</v>
      </c>
      <c r="AU611" s="879">
        <f ca="1">COUNTIFS(AT$7:$AT611,1)</f>
        <v>7</v>
      </c>
    </row>
    <row r="612" spans="2:47" ht="12.75" hidden="1" outlineLevel="1">
      <c r="B612" s="1738" t="str">
        <f>input!B979</f>
        <v>Pulling</v>
      </c>
      <c r="C612" s="313" t="str">
        <f ca="1">input!C979</f>
        <v>N</v>
      </c>
      <c r="D612" s="1739">
        <f>input!D979</f>
        <v>1</v>
      </c>
      <c r="E612" s="1740">
        <f>input!E979</f>
        <v>1</v>
      </c>
      <c r="F612" s="363" t="str">
        <f ca="1">input!F979</f>
        <v>N</v>
      </c>
      <c r="G612" s="363"/>
      <c r="H612" s="313">
        <f ca="1">IF(F612="PCS",$E$4,SUMIFS(Paper!$AC$7:$AC$58,Paper!$A$7:$A$58,'Production cost'!F612))*IF($F612="Pcs",$D612/$E612,1)</f>
        <v>0</v>
      </c>
      <c r="I612" s="313">
        <f ca="1">IF(input!$G979&gt;0,input!$G979,2000)</f>
        <v>2000</v>
      </c>
      <c r="J612" s="313" t="str">
        <f ca="1">input!H979</f>
        <v>Sheets</v>
      </c>
      <c r="K612" s="360">
        <v>0</v>
      </c>
      <c r="L612" s="313">
        <f ca="1">input!I979</f>
        <v>0</v>
      </c>
      <c r="M612" s="391">
        <f t="shared" ca="1" si="420"/>
        <v>0</v>
      </c>
      <c r="N612" s="391">
        <f t="shared" ca="1" si="421"/>
        <v>0</v>
      </c>
      <c r="P612" s="313">
        <f>Data!$N$1182</f>
        <v>59357.701116720593</v>
      </c>
      <c r="Q612" s="313">
        <f t="shared" ca="1" si="406"/>
        <v>0</v>
      </c>
      <c r="R612" s="313">
        <f t="shared" ca="1" si="422"/>
        <v>0</v>
      </c>
      <c r="S612" s="1741">
        <f t="shared" ca="1" si="423"/>
        <v>0</v>
      </c>
      <c r="T612" s="313" t="str">
        <f ca="1">input!J979</f>
        <v>N</v>
      </c>
      <c r="V612" s="3115" t="str">
        <f>input!K979</f>
        <v>Assembly</v>
      </c>
      <c r="W612" s="3115">
        <f t="shared" ca="1" si="424"/>
        <v>0</v>
      </c>
      <c r="X612" s="3119">
        <f>VLOOKUP(V612,'Fix Cost'!$K$177:$M$179,2,0)</f>
        <v>32032.115313968527</v>
      </c>
      <c r="Y612" s="3119">
        <f>VLOOKUP(V612,'Fix Cost'!$K$177:$M$179,3,0)</f>
        <v>267567.54920876794</v>
      </c>
      <c r="Z612" s="3119">
        <f t="shared" ca="1" si="425"/>
        <v>0</v>
      </c>
      <c r="AA612" s="3115">
        <f t="shared" ca="1" si="426"/>
        <v>0</v>
      </c>
      <c r="AB612" s="3115">
        <f t="shared" ca="1" si="427"/>
        <v>0</v>
      </c>
      <c r="AL612" s="313"/>
      <c r="AM612" s="363"/>
      <c r="AN612" s="385"/>
      <c r="AT612" s="879">
        <f t="shared" ca="1" si="419"/>
        <v>0</v>
      </c>
      <c r="AU612" s="879">
        <f ca="1">COUNTIFS(AT$7:$AT612,1)</f>
        <v>7</v>
      </c>
    </row>
    <row r="613" spans="2:47" ht="12.75" hidden="1" outlineLevel="1">
      <c r="B613" s="1738" t="str">
        <f>input!B980</f>
        <v>Pulling</v>
      </c>
      <c r="C613" s="313" t="str">
        <f ca="1">input!C980</f>
        <v>N</v>
      </c>
      <c r="D613" s="1739">
        <f>input!D980</f>
        <v>1</v>
      </c>
      <c r="E613" s="1740">
        <f>input!E980</f>
        <v>1</v>
      </c>
      <c r="F613" s="363" t="str">
        <f ca="1">input!F980</f>
        <v>N</v>
      </c>
      <c r="G613" s="363"/>
      <c r="H613" s="313">
        <f ca="1">IF(F613="PCS",$E$4,SUMIFS(Paper!$AC$7:$AC$58,Paper!$A$7:$A$58,'Production cost'!F613))*IF($F613="Pcs",$D613/$E613,1)</f>
        <v>0</v>
      </c>
      <c r="I613" s="313">
        <f ca="1">IF(input!$G980&gt;0,input!$G980,2000)</f>
        <v>2000</v>
      </c>
      <c r="J613" s="313" t="str">
        <f ca="1">input!H980</f>
        <v>Sheets</v>
      </c>
      <c r="K613" s="360">
        <v>0</v>
      </c>
      <c r="L613" s="313">
        <f ca="1">input!I980</f>
        <v>0</v>
      </c>
      <c r="M613" s="391">
        <f t="shared" ca="1" si="420"/>
        <v>0</v>
      </c>
      <c r="N613" s="391">
        <f t="shared" ca="1" si="421"/>
        <v>0</v>
      </c>
      <c r="P613" s="313">
        <f>Data!$N$1182</f>
        <v>59357.701116720593</v>
      </c>
      <c r="Q613" s="313">
        <f t="shared" ca="1" si="406"/>
        <v>0</v>
      </c>
      <c r="R613" s="313">
        <f t="shared" ca="1" si="422"/>
        <v>0</v>
      </c>
      <c r="S613" s="1741">
        <f t="shared" ca="1" si="423"/>
        <v>0</v>
      </c>
      <c r="T613" s="313" t="str">
        <f ca="1">input!J980</f>
        <v>N</v>
      </c>
      <c r="V613" s="3115" t="str">
        <f>input!K980</f>
        <v>Assembly</v>
      </c>
      <c r="W613" s="3115">
        <f t="shared" ca="1" si="424"/>
        <v>0</v>
      </c>
      <c r="X613" s="3119">
        <f>VLOOKUP(V613,'Fix Cost'!$K$177:$M$179,2,0)</f>
        <v>32032.115313968527</v>
      </c>
      <c r="Y613" s="3119">
        <f>VLOOKUP(V613,'Fix Cost'!$K$177:$M$179,3,0)</f>
        <v>267567.54920876794</v>
      </c>
      <c r="Z613" s="3119">
        <f t="shared" ca="1" si="425"/>
        <v>0</v>
      </c>
      <c r="AA613" s="3115">
        <f t="shared" ca="1" si="426"/>
        <v>0</v>
      </c>
      <c r="AB613" s="3115">
        <f t="shared" ca="1" si="427"/>
        <v>0</v>
      </c>
      <c r="AL613" s="313"/>
      <c r="AM613" s="363"/>
      <c r="AN613" s="385"/>
      <c r="AT613" s="879">
        <f t="shared" ca="1" si="419"/>
        <v>0</v>
      </c>
      <c r="AU613" s="879">
        <f ca="1">COUNTIFS(AT$7:$AT613,1)</f>
        <v>7</v>
      </c>
    </row>
    <row r="614" spans="2:47" ht="12.75" hidden="1" outlineLevel="1">
      <c r="B614" s="1738" t="str">
        <f>input!B981</f>
        <v>Pulling</v>
      </c>
      <c r="C614" s="313" t="str">
        <f ca="1">input!C981</f>
        <v>N</v>
      </c>
      <c r="D614" s="1739">
        <f>input!D981</f>
        <v>1</v>
      </c>
      <c r="E614" s="1740">
        <f>input!E981</f>
        <v>1</v>
      </c>
      <c r="F614" s="363" t="str">
        <f ca="1">input!F981</f>
        <v>N</v>
      </c>
      <c r="G614" s="363"/>
      <c r="H614" s="313">
        <f ca="1">IF(F614="PCS",$E$4,SUMIFS(Paper!$AC$7:$AC$58,Paper!$A$7:$A$58,'Production cost'!F614))*IF($F614="Pcs",$D614/$E614,1)</f>
        <v>0</v>
      </c>
      <c r="I614" s="313">
        <f ca="1">IF(input!$G981&gt;0,input!$G981,2000)</f>
        <v>2000</v>
      </c>
      <c r="J614" s="313" t="str">
        <f ca="1">input!H981</f>
        <v>Sheets</v>
      </c>
      <c r="K614" s="360">
        <v>0</v>
      </c>
      <c r="L614" s="313">
        <f ca="1">input!I981</f>
        <v>0</v>
      </c>
      <c r="M614" s="391">
        <f t="shared" ca="1" si="420"/>
        <v>0</v>
      </c>
      <c r="N614" s="391">
        <f t="shared" ca="1" si="421"/>
        <v>0</v>
      </c>
      <c r="P614" s="313">
        <f>Data!$N$1182</f>
        <v>59357.701116720593</v>
      </c>
      <c r="Q614" s="313">
        <f t="shared" ca="1" si="406"/>
        <v>0</v>
      </c>
      <c r="R614" s="313">
        <f t="shared" ca="1" si="422"/>
        <v>0</v>
      </c>
      <c r="S614" s="1741">
        <f t="shared" ca="1" si="423"/>
        <v>0</v>
      </c>
      <c r="T614" s="313" t="str">
        <f ca="1">input!J981</f>
        <v>N</v>
      </c>
      <c r="V614" s="3115" t="str">
        <f>input!K981</f>
        <v>Assembly</v>
      </c>
      <c r="W614" s="3115">
        <f t="shared" ca="1" si="424"/>
        <v>0</v>
      </c>
      <c r="X614" s="3119">
        <f>VLOOKUP(V614,'Fix Cost'!$K$177:$M$179,2,0)</f>
        <v>32032.115313968527</v>
      </c>
      <c r="Y614" s="3119">
        <f>VLOOKUP(V614,'Fix Cost'!$K$177:$M$179,3,0)</f>
        <v>267567.54920876794</v>
      </c>
      <c r="Z614" s="3119">
        <f t="shared" ca="1" si="425"/>
        <v>0</v>
      </c>
      <c r="AA614" s="3115">
        <f t="shared" ca="1" si="426"/>
        <v>0</v>
      </c>
      <c r="AB614" s="3115">
        <f t="shared" ca="1" si="427"/>
        <v>0</v>
      </c>
      <c r="AL614" s="313"/>
      <c r="AM614" s="363"/>
      <c r="AN614" s="385"/>
      <c r="AT614" s="879">
        <f t="shared" ca="1" si="419"/>
        <v>0</v>
      </c>
      <c r="AU614" s="879">
        <f ca="1">COUNTIFS(AT$7:$AT614,1)</f>
        <v>7</v>
      </c>
    </row>
    <row r="615" spans="2:47" ht="12.75" hidden="1" outlineLevel="1">
      <c r="B615" s="1738" t="str">
        <f>input!B982</f>
        <v>Pulling</v>
      </c>
      <c r="C615" s="313" t="str">
        <f ca="1">input!C982</f>
        <v>N</v>
      </c>
      <c r="D615" s="1739">
        <f>input!D982</f>
        <v>1</v>
      </c>
      <c r="E615" s="1740">
        <f>input!E982</f>
        <v>1</v>
      </c>
      <c r="F615" s="363" t="str">
        <f ca="1">input!F982</f>
        <v>N</v>
      </c>
      <c r="G615" s="363"/>
      <c r="H615" s="313">
        <f ca="1">IF(F615="PCS",$E$4,SUMIFS(Paper!$AC$7:$AC$58,Paper!$A$7:$A$58,'Production cost'!F615))*IF($F615="Pcs",$D615/$E615,1)</f>
        <v>0</v>
      </c>
      <c r="I615" s="313">
        <f ca="1">IF(input!$G982&gt;0,input!$G982,2000)</f>
        <v>2000</v>
      </c>
      <c r="J615" s="313" t="str">
        <f ca="1">input!H982</f>
        <v>Sheets</v>
      </c>
      <c r="K615" s="360">
        <v>0</v>
      </c>
      <c r="L615" s="313">
        <f ca="1">input!I982</f>
        <v>0</v>
      </c>
      <c r="M615" s="391">
        <f t="shared" ca="1" si="420"/>
        <v>0</v>
      </c>
      <c r="N615" s="391">
        <f t="shared" ca="1" si="421"/>
        <v>0</v>
      </c>
      <c r="P615" s="313">
        <f>Data!$N$1182</f>
        <v>59357.701116720593</v>
      </c>
      <c r="Q615" s="313">
        <f t="shared" ca="1" si="406"/>
        <v>0</v>
      </c>
      <c r="R615" s="313">
        <f t="shared" ca="1" si="422"/>
        <v>0</v>
      </c>
      <c r="S615" s="1741">
        <f t="shared" ca="1" si="423"/>
        <v>0</v>
      </c>
      <c r="T615" s="313" t="str">
        <f ca="1">input!J982</f>
        <v>N</v>
      </c>
      <c r="V615" s="3115" t="str">
        <f>input!K982</f>
        <v>Assembly</v>
      </c>
      <c r="W615" s="3115">
        <f t="shared" ca="1" si="424"/>
        <v>0</v>
      </c>
      <c r="X615" s="3119">
        <f>VLOOKUP(V615,'Fix Cost'!$K$177:$M$179,2,0)</f>
        <v>32032.115313968527</v>
      </c>
      <c r="Y615" s="3119">
        <f>VLOOKUP(V615,'Fix Cost'!$K$177:$M$179,3,0)</f>
        <v>267567.54920876794</v>
      </c>
      <c r="Z615" s="3119">
        <f t="shared" ca="1" si="425"/>
        <v>0</v>
      </c>
      <c r="AA615" s="3115">
        <f t="shared" ca="1" si="426"/>
        <v>0</v>
      </c>
      <c r="AB615" s="3115">
        <f t="shared" ca="1" si="427"/>
        <v>0</v>
      </c>
      <c r="AL615" s="313"/>
      <c r="AM615" s="363"/>
      <c r="AN615" s="385"/>
      <c r="AT615" s="879">
        <f t="shared" ca="1" si="419"/>
        <v>0</v>
      </c>
      <c r="AU615" s="879">
        <f ca="1">COUNTIFS(AT$7:$AT615,1)</f>
        <v>7</v>
      </c>
    </row>
    <row r="616" spans="2:47" ht="12.75" hidden="1" outlineLevel="1">
      <c r="B616" s="1738" t="str">
        <f>input!B983</f>
        <v>Pulling</v>
      </c>
      <c r="C616" s="313" t="str">
        <f ca="1">input!C983</f>
        <v>N</v>
      </c>
      <c r="D616" s="1739">
        <f>input!D983</f>
        <v>1</v>
      </c>
      <c r="E616" s="1740">
        <f>input!E983</f>
        <v>1</v>
      </c>
      <c r="F616" s="363" t="str">
        <f ca="1">input!F983</f>
        <v>N</v>
      </c>
      <c r="G616" s="363"/>
      <c r="H616" s="313">
        <f ca="1">IF(F616="PCS",$E$4,SUMIFS(Paper!$AC$7:$AC$58,Paper!$A$7:$A$58,'Production cost'!F616))*IF($F616="Pcs",$D616/$E616,1)</f>
        <v>0</v>
      </c>
      <c r="I616" s="313">
        <f ca="1">IF(input!$G983&gt;0,input!$G983,2000)</f>
        <v>2000</v>
      </c>
      <c r="J616" s="313" t="str">
        <f ca="1">input!H983</f>
        <v>Sheets</v>
      </c>
      <c r="K616" s="360">
        <v>0</v>
      </c>
      <c r="L616" s="313">
        <f ca="1">input!I983</f>
        <v>0</v>
      </c>
      <c r="M616" s="391">
        <f t="shared" ca="1" si="420"/>
        <v>0</v>
      </c>
      <c r="N616" s="391">
        <f t="shared" ca="1" si="421"/>
        <v>0</v>
      </c>
      <c r="P616" s="313">
        <f>Data!$N$1182</f>
        <v>59357.701116720593</v>
      </c>
      <c r="Q616" s="313">
        <f t="shared" ca="1" si="406"/>
        <v>0</v>
      </c>
      <c r="R616" s="313">
        <f t="shared" ca="1" si="422"/>
        <v>0</v>
      </c>
      <c r="S616" s="1741">
        <f t="shared" ca="1" si="423"/>
        <v>0</v>
      </c>
      <c r="T616" s="313" t="str">
        <f ca="1">input!J983</f>
        <v>N</v>
      </c>
      <c r="V616" s="3115" t="str">
        <f>input!K983</f>
        <v>Assembly</v>
      </c>
      <c r="W616" s="3115">
        <f t="shared" ca="1" si="424"/>
        <v>0</v>
      </c>
      <c r="X616" s="3119">
        <f>VLOOKUP(V616,'Fix Cost'!$K$177:$M$179,2,0)</f>
        <v>32032.115313968527</v>
      </c>
      <c r="Y616" s="3119">
        <f>VLOOKUP(V616,'Fix Cost'!$K$177:$M$179,3,0)</f>
        <v>267567.54920876794</v>
      </c>
      <c r="Z616" s="3119">
        <f t="shared" ca="1" si="425"/>
        <v>0</v>
      </c>
      <c r="AA616" s="3115">
        <f t="shared" ca="1" si="426"/>
        <v>0</v>
      </c>
      <c r="AB616" s="3115">
        <f t="shared" ca="1" si="427"/>
        <v>0</v>
      </c>
      <c r="AL616" s="313"/>
      <c r="AM616" s="363"/>
      <c r="AN616" s="385"/>
      <c r="AT616" s="879">
        <f t="shared" ca="1" si="419"/>
        <v>0</v>
      </c>
      <c r="AU616" s="879">
        <f ca="1">COUNTIFS(AT$7:$AT616,1)</f>
        <v>7</v>
      </c>
    </row>
    <row r="617" spans="2:47" ht="12.75" hidden="1" outlineLevel="1">
      <c r="B617" s="1738" t="str">
        <f>input!B984</f>
        <v>Pulling</v>
      </c>
      <c r="C617" s="313" t="str">
        <f ca="1">input!C984</f>
        <v>N</v>
      </c>
      <c r="D617" s="1739">
        <f>input!D984</f>
        <v>1</v>
      </c>
      <c r="E617" s="1740">
        <f>input!E984</f>
        <v>1</v>
      </c>
      <c r="F617" s="363" t="str">
        <f ca="1">input!F984</f>
        <v>N</v>
      </c>
      <c r="G617" s="363"/>
      <c r="H617" s="313">
        <f ca="1">IF(F617="PCS",$E$4,SUMIFS(Paper!$AC$7:$AC$58,Paper!$A$7:$A$58,'Production cost'!F617))*IF($F617="Pcs",$D617/$E617,1)</f>
        <v>0</v>
      </c>
      <c r="I617" s="313">
        <f ca="1">IF(input!$G984&gt;0,input!$G984,2000)</f>
        <v>2000</v>
      </c>
      <c r="J617" s="313" t="str">
        <f ca="1">input!H984</f>
        <v>Sheets</v>
      </c>
      <c r="K617" s="360">
        <v>0</v>
      </c>
      <c r="L617" s="313">
        <f ca="1">input!I984</f>
        <v>0</v>
      </c>
      <c r="M617" s="391">
        <f t="shared" ca="1" si="420"/>
        <v>0</v>
      </c>
      <c r="N617" s="391">
        <f t="shared" ca="1" si="421"/>
        <v>0</v>
      </c>
      <c r="P617" s="313">
        <f>Data!$N$1182</f>
        <v>59357.701116720593</v>
      </c>
      <c r="Q617" s="313">
        <f t="shared" ca="1" si="406"/>
        <v>0</v>
      </c>
      <c r="R617" s="313">
        <f t="shared" ca="1" si="422"/>
        <v>0</v>
      </c>
      <c r="S617" s="1741">
        <f t="shared" ca="1" si="423"/>
        <v>0</v>
      </c>
      <c r="T617" s="313" t="str">
        <f ca="1">input!J984</f>
        <v>N</v>
      </c>
      <c r="V617" s="3115" t="str">
        <f>input!K984</f>
        <v>Assembly</v>
      </c>
      <c r="W617" s="3115">
        <f t="shared" ca="1" si="424"/>
        <v>0</v>
      </c>
      <c r="X617" s="3119">
        <f>VLOOKUP(V617,'Fix Cost'!$K$177:$M$179,2,0)</f>
        <v>32032.115313968527</v>
      </c>
      <c r="Y617" s="3119">
        <f>VLOOKUP(V617,'Fix Cost'!$K$177:$M$179,3,0)</f>
        <v>267567.54920876794</v>
      </c>
      <c r="Z617" s="3119">
        <f t="shared" ca="1" si="425"/>
        <v>0</v>
      </c>
      <c r="AA617" s="3115">
        <f t="shared" ca="1" si="426"/>
        <v>0</v>
      </c>
      <c r="AB617" s="3115">
        <f t="shared" ca="1" si="427"/>
        <v>0</v>
      </c>
      <c r="AL617" s="313"/>
      <c r="AM617" s="363"/>
      <c r="AN617" s="385"/>
      <c r="AT617" s="879">
        <f t="shared" ca="1" si="419"/>
        <v>0</v>
      </c>
      <c r="AU617" s="879">
        <f ca="1">COUNTIFS(AT$7:$AT617,1)</f>
        <v>7</v>
      </c>
    </row>
    <row r="618" spans="2:47" ht="12.75" hidden="1" outlineLevel="1">
      <c r="B618" s="1738" t="str">
        <f>input!B985</f>
        <v>Pulling</v>
      </c>
      <c r="C618" s="313" t="str">
        <f ca="1">input!C985</f>
        <v>N</v>
      </c>
      <c r="D618" s="1739">
        <f>input!D985</f>
        <v>1</v>
      </c>
      <c r="E618" s="1740">
        <f>input!E985</f>
        <v>1</v>
      </c>
      <c r="F618" s="363" t="str">
        <f ca="1">input!F985</f>
        <v>N</v>
      </c>
      <c r="G618" s="363"/>
      <c r="H618" s="313">
        <f ca="1">IF(F618="PCS",$E$4,SUMIFS(Paper!$AC$7:$AC$58,Paper!$A$7:$A$58,'Production cost'!F618))*IF($F618="Pcs",$D618/$E618,1)</f>
        <v>0</v>
      </c>
      <c r="I618" s="313">
        <f ca="1">IF(input!$G985&gt;0,input!$G985,2000)</f>
        <v>2000</v>
      </c>
      <c r="J618" s="313" t="str">
        <f ca="1">input!H985</f>
        <v>Sheets</v>
      </c>
      <c r="K618" s="360">
        <v>0</v>
      </c>
      <c r="L618" s="313">
        <f ca="1">input!I985</f>
        <v>0</v>
      </c>
      <c r="M618" s="391">
        <f t="shared" ca="1" si="420"/>
        <v>0</v>
      </c>
      <c r="N618" s="391">
        <f t="shared" ca="1" si="421"/>
        <v>0</v>
      </c>
      <c r="P618" s="313">
        <f>Data!$N$1182</f>
        <v>59357.701116720593</v>
      </c>
      <c r="Q618" s="313">
        <f t="shared" ca="1" si="406"/>
        <v>0</v>
      </c>
      <c r="R618" s="313">
        <f t="shared" ca="1" si="422"/>
        <v>0</v>
      </c>
      <c r="S618" s="1741">
        <f t="shared" ca="1" si="423"/>
        <v>0</v>
      </c>
      <c r="T618" s="313" t="str">
        <f ca="1">input!J985</f>
        <v>N</v>
      </c>
      <c r="V618" s="3115" t="str">
        <f>input!K985</f>
        <v>Assembly</v>
      </c>
      <c r="W618" s="3115">
        <f t="shared" ca="1" si="424"/>
        <v>0</v>
      </c>
      <c r="X618" s="3119">
        <f>VLOOKUP(V618,'Fix Cost'!$K$177:$M$179,2,0)</f>
        <v>32032.115313968527</v>
      </c>
      <c r="Y618" s="3119">
        <f>VLOOKUP(V618,'Fix Cost'!$K$177:$M$179,3,0)</f>
        <v>267567.54920876794</v>
      </c>
      <c r="Z618" s="3119">
        <f t="shared" ca="1" si="425"/>
        <v>0</v>
      </c>
      <c r="AA618" s="3115">
        <f t="shared" ca="1" si="426"/>
        <v>0</v>
      </c>
      <c r="AB618" s="3115">
        <f t="shared" ca="1" si="427"/>
        <v>0</v>
      </c>
      <c r="AL618" s="313"/>
      <c r="AM618" s="363"/>
      <c r="AN618" s="385"/>
      <c r="AT618" s="879">
        <f t="shared" ca="1" si="419"/>
        <v>0</v>
      </c>
      <c r="AU618" s="879">
        <f ca="1">COUNTIFS(AT$7:$AT618,1)</f>
        <v>7</v>
      </c>
    </row>
    <row r="619" spans="2:47" ht="12.75" hidden="1" outlineLevel="1">
      <c r="B619" s="1738" t="str">
        <f>input!B986</f>
        <v>Pulling</v>
      </c>
      <c r="C619" s="313" t="str">
        <f ca="1">input!C986</f>
        <v>N</v>
      </c>
      <c r="D619" s="1739">
        <f>input!D986</f>
        <v>1</v>
      </c>
      <c r="E619" s="1740">
        <f>input!E986</f>
        <v>1</v>
      </c>
      <c r="F619" s="363" t="str">
        <f ca="1">input!F986</f>
        <v>N</v>
      </c>
      <c r="G619" s="363"/>
      <c r="H619" s="313">
        <f ca="1">IF(F619="PCS",$E$4,SUMIFS(Paper!$AC$7:$AC$58,Paper!$A$7:$A$58,'Production cost'!F619))*IF($F619="Pcs",$D619/$E619,1)</f>
        <v>0</v>
      </c>
      <c r="I619" s="313">
        <f ca="1">IF(input!$G986&gt;0,input!$G986,2000)</f>
        <v>2000</v>
      </c>
      <c r="J619" s="313" t="str">
        <f ca="1">input!H986</f>
        <v>Sheets</v>
      </c>
      <c r="K619" s="360">
        <v>0</v>
      </c>
      <c r="L619" s="313">
        <f ca="1">input!I986</f>
        <v>0</v>
      </c>
      <c r="M619" s="391">
        <f t="shared" ca="1" si="420"/>
        <v>0</v>
      </c>
      <c r="N619" s="391">
        <f t="shared" ca="1" si="421"/>
        <v>0</v>
      </c>
      <c r="P619" s="313">
        <f>Data!$N$1182</f>
        <v>59357.701116720593</v>
      </c>
      <c r="Q619" s="313">
        <f t="shared" ca="1" si="406"/>
        <v>0</v>
      </c>
      <c r="R619" s="313">
        <f t="shared" ca="1" si="422"/>
        <v>0</v>
      </c>
      <c r="S619" s="1741">
        <f t="shared" ca="1" si="423"/>
        <v>0</v>
      </c>
      <c r="T619" s="313" t="str">
        <f ca="1">input!J986</f>
        <v>N</v>
      </c>
      <c r="V619" s="3115" t="str">
        <f>input!K986</f>
        <v>Assembly</v>
      </c>
      <c r="W619" s="3115">
        <f t="shared" ca="1" si="424"/>
        <v>0</v>
      </c>
      <c r="X619" s="3119">
        <f>VLOOKUP(V619,'Fix Cost'!$K$177:$M$179,2,0)</f>
        <v>32032.115313968527</v>
      </c>
      <c r="Y619" s="3119">
        <f>VLOOKUP(V619,'Fix Cost'!$K$177:$M$179,3,0)</f>
        <v>267567.54920876794</v>
      </c>
      <c r="Z619" s="3119">
        <f t="shared" ca="1" si="425"/>
        <v>0</v>
      </c>
      <c r="AA619" s="3115">
        <f t="shared" ca="1" si="426"/>
        <v>0</v>
      </c>
      <c r="AB619" s="3115">
        <f t="shared" ca="1" si="427"/>
        <v>0</v>
      </c>
      <c r="AL619" s="313"/>
      <c r="AM619" s="363"/>
      <c r="AN619" s="385"/>
      <c r="AT619" s="879">
        <f t="shared" ca="1" si="419"/>
        <v>0</v>
      </c>
      <c r="AU619" s="879">
        <f ca="1">COUNTIFS(AT$7:$AT619,1)</f>
        <v>7</v>
      </c>
    </row>
    <row r="620" spans="2:47" ht="12.75" hidden="1" outlineLevel="1">
      <c r="B620" s="1738" t="str">
        <f>input!B987</f>
        <v>Pulling</v>
      </c>
      <c r="C620" s="313" t="str">
        <f ca="1">input!C987</f>
        <v>N</v>
      </c>
      <c r="D620" s="1739">
        <f>input!D987</f>
        <v>1</v>
      </c>
      <c r="E620" s="1740">
        <f>input!E987</f>
        <v>1</v>
      </c>
      <c r="F620" s="363" t="str">
        <f ca="1">input!F987</f>
        <v>N</v>
      </c>
      <c r="G620" s="363"/>
      <c r="H620" s="313">
        <f ca="1">IF(F620="PCS",$E$4,SUMIFS(Paper!$AC$7:$AC$58,Paper!$A$7:$A$58,'Production cost'!F620))*IF($F620="Pcs",$D620/$E620,1)</f>
        <v>0</v>
      </c>
      <c r="I620" s="313">
        <f ca="1">IF(input!$G987&gt;0,input!$G987,2000)</f>
        <v>2000</v>
      </c>
      <c r="J620" s="313" t="str">
        <f ca="1">input!H987</f>
        <v>Sheets</v>
      </c>
      <c r="K620" s="360">
        <v>0</v>
      </c>
      <c r="L620" s="313">
        <f ca="1">input!I987</f>
        <v>0</v>
      </c>
      <c r="M620" s="391">
        <f t="shared" ref="M620:M629" ca="1" si="428">IF(H620&gt;0,90/60,0)*0</f>
        <v>0</v>
      </c>
      <c r="N620" s="391">
        <f t="shared" ref="N620:N629" ca="1" si="429">IF(H620&gt;0,ROUNDUP(((H620/I620)/$M$4+M620),1),0)</f>
        <v>0</v>
      </c>
      <c r="P620" s="313">
        <f>Data!$N$1182</f>
        <v>59357.701116720593</v>
      </c>
      <c r="Q620" s="313">
        <f t="shared" ca="1" si="406"/>
        <v>0</v>
      </c>
      <c r="R620" s="313">
        <f t="shared" ref="R620:R629" ca="1" si="430">IF($E$2&gt;0,Q620/$E$2,0)</f>
        <v>0</v>
      </c>
      <c r="S620" s="1741">
        <f t="shared" ref="S620:S629" ca="1" si="431">IF(M620&gt;0,K620*O620+L620*P620,0)</f>
        <v>0</v>
      </c>
      <c r="T620" s="313" t="str">
        <f ca="1">input!J987</f>
        <v>N</v>
      </c>
      <c r="V620" s="3115" t="str">
        <f>input!K987</f>
        <v>Assembly</v>
      </c>
      <c r="W620" s="3115">
        <f t="shared" ref="W620:W629" ca="1" si="432">N620*(L620+K620)</f>
        <v>0</v>
      </c>
      <c r="X620" s="3119">
        <f>VLOOKUP(V620,'Fix Cost'!$K$177:$M$179,2,0)</f>
        <v>32032.115313968527</v>
      </c>
      <c r="Y620" s="3119">
        <f>VLOOKUP(V620,'Fix Cost'!$K$177:$M$179,3,0)</f>
        <v>267567.54920876794</v>
      </c>
      <c r="Z620" s="3119">
        <f t="shared" ref="Z620:Z629" ca="1" si="433">IFERROR($X620*W620,0)</f>
        <v>0</v>
      </c>
      <c r="AA620" s="3115">
        <f t="shared" ref="AA620:AA629" ca="1" si="434">IFERROR(Y620*N620,0)</f>
        <v>0</v>
      </c>
      <c r="AB620" s="3115">
        <f t="shared" ref="AB620:AB629" ca="1" si="435">Z620+AA620</f>
        <v>0</v>
      </c>
      <c r="AL620" s="313"/>
      <c r="AM620" s="363"/>
      <c r="AN620" s="385"/>
      <c r="AT620" s="879">
        <f t="shared" ca="1" si="419"/>
        <v>0</v>
      </c>
      <c r="AU620" s="879">
        <f ca="1">COUNTIFS(AT$7:$AT620,1)</f>
        <v>7</v>
      </c>
    </row>
    <row r="621" spans="2:47" ht="12.75" hidden="1" outlineLevel="1">
      <c r="B621" s="1738" t="str">
        <f>input!B988</f>
        <v>Pulling</v>
      </c>
      <c r="C621" s="313" t="str">
        <f ca="1">input!C988</f>
        <v>N</v>
      </c>
      <c r="D621" s="1739">
        <f>input!D988</f>
        <v>1</v>
      </c>
      <c r="E621" s="1740">
        <f>input!E988</f>
        <v>1</v>
      </c>
      <c r="F621" s="363" t="str">
        <f ca="1">input!F988</f>
        <v>N</v>
      </c>
      <c r="G621" s="363"/>
      <c r="H621" s="313">
        <f ca="1">IF(F621="PCS",$E$4,SUMIFS(Paper!$AC$7:$AC$58,Paper!$A$7:$A$58,'Production cost'!F621))*IF($F621="Pcs",$D621/$E621,1)</f>
        <v>0</v>
      </c>
      <c r="I621" s="313">
        <f ca="1">IF(input!$G988&gt;0,input!$G988,2000)</f>
        <v>2000</v>
      </c>
      <c r="J621" s="313" t="str">
        <f ca="1">input!H988</f>
        <v>Sheets</v>
      </c>
      <c r="K621" s="360">
        <v>0</v>
      </c>
      <c r="L621" s="313">
        <f ca="1">input!I988</f>
        <v>0</v>
      </c>
      <c r="M621" s="391">
        <f t="shared" ca="1" si="428"/>
        <v>0</v>
      </c>
      <c r="N621" s="391">
        <f t="shared" ca="1" si="429"/>
        <v>0</v>
      </c>
      <c r="P621" s="313">
        <f>Data!$N$1182</f>
        <v>59357.701116720593</v>
      </c>
      <c r="Q621" s="313">
        <f t="shared" ca="1" si="406"/>
        <v>0</v>
      </c>
      <c r="R621" s="313">
        <f t="shared" ca="1" si="430"/>
        <v>0</v>
      </c>
      <c r="S621" s="1741">
        <f t="shared" ca="1" si="431"/>
        <v>0</v>
      </c>
      <c r="T621" s="313" t="str">
        <f ca="1">input!J988</f>
        <v>N</v>
      </c>
      <c r="V621" s="3115" t="str">
        <f>input!K988</f>
        <v>Assembly</v>
      </c>
      <c r="W621" s="3115">
        <f t="shared" ca="1" si="432"/>
        <v>0</v>
      </c>
      <c r="X621" s="3119">
        <f>VLOOKUP(V621,'Fix Cost'!$K$177:$M$179,2,0)</f>
        <v>32032.115313968527</v>
      </c>
      <c r="Y621" s="3119">
        <f>VLOOKUP(V621,'Fix Cost'!$K$177:$M$179,3,0)</f>
        <v>267567.54920876794</v>
      </c>
      <c r="Z621" s="3119">
        <f t="shared" ca="1" si="433"/>
        <v>0</v>
      </c>
      <c r="AA621" s="3115">
        <f t="shared" ca="1" si="434"/>
        <v>0</v>
      </c>
      <c r="AB621" s="3115">
        <f t="shared" ca="1" si="435"/>
        <v>0</v>
      </c>
      <c r="AL621" s="313"/>
      <c r="AM621" s="363"/>
      <c r="AN621" s="385"/>
      <c r="AT621" s="879">
        <f t="shared" ca="1" si="419"/>
        <v>0</v>
      </c>
      <c r="AU621" s="879">
        <f ca="1">COUNTIFS(AT$7:$AT621,1)</f>
        <v>7</v>
      </c>
    </row>
    <row r="622" spans="2:47" ht="12.75" hidden="1" outlineLevel="1">
      <c r="B622" s="1738" t="str">
        <f>input!B989</f>
        <v>Pulling</v>
      </c>
      <c r="C622" s="313" t="str">
        <f ca="1">input!C989</f>
        <v>N</v>
      </c>
      <c r="D622" s="1739">
        <f>input!D989</f>
        <v>1</v>
      </c>
      <c r="E622" s="1740">
        <f>input!E989</f>
        <v>1</v>
      </c>
      <c r="F622" s="363" t="str">
        <f ca="1">input!F989</f>
        <v>N</v>
      </c>
      <c r="G622" s="363"/>
      <c r="H622" s="313">
        <f ca="1">IF(F622="PCS",$E$4,SUMIFS(Paper!$AC$7:$AC$58,Paper!$A$7:$A$58,'Production cost'!F622))*IF($F622="Pcs",$D622/$E622,1)</f>
        <v>0</v>
      </c>
      <c r="I622" s="313">
        <f ca="1">IF(input!$G989&gt;0,input!$G989,2000)</f>
        <v>2000</v>
      </c>
      <c r="J622" s="313" t="str">
        <f ca="1">input!H989</f>
        <v>Sheets</v>
      </c>
      <c r="K622" s="360">
        <v>0</v>
      </c>
      <c r="L622" s="313">
        <f ca="1">input!I989</f>
        <v>0</v>
      </c>
      <c r="M622" s="391">
        <f t="shared" ref="M622:M626" ca="1" si="436">IF(H622&gt;0,90/60,0)*0</f>
        <v>0</v>
      </c>
      <c r="N622" s="391">
        <f t="shared" ref="N622:N626" ca="1" si="437">IF(H622&gt;0,ROUNDUP(((H622/I622)/$M$4+M622),1),0)</f>
        <v>0</v>
      </c>
      <c r="P622" s="313">
        <f>Data!$N$1182</f>
        <v>59357.701116720593</v>
      </c>
      <c r="Q622" s="313">
        <f t="shared" ref="Q622:Q626" ca="1" si="438">(N622*O622*K622+N622*P622*L622)*(1+$R$702)</f>
        <v>0</v>
      </c>
      <c r="R622" s="313">
        <f t="shared" ref="R622:R626" ca="1" si="439">IF($E$2&gt;0,Q622/$E$2,0)</f>
        <v>0</v>
      </c>
      <c r="S622" s="1741">
        <f t="shared" ref="S622:S626" ca="1" si="440">IF(M622&gt;0,K622*O622+L622*P622,0)</f>
        <v>0</v>
      </c>
      <c r="T622" s="313" t="str">
        <f ca="1">input!J989</f>
        <v>N</v>
      </c>
      <c r="V622" s="3115" t="str">
        <f>input!K989</f>
        <v>Assembly</v>
      </c>
      <c r="W622" s="3115">
        <f t="shared" ref="W622:W626" ca="1" si="441">N622*(L622+K622)</f>
        <v>0</v>
      </c>
      <c r="X622" s="3119">
        <f>VLOOKUP(V622,'Fix Cost'!$K$177:$M$179,2,0)</f>
        <v>32032.115313968527</v>
      </c>
      <c r="Y622" s="3119">
        <f>VLOOKUP(V622,'Fix Cost'!$K$177:$M$179,3,0)</f>
        <v>267567.54920876794</v>
      </c>
      <c r="Z622" s="3119">
        <f t="shared" ref="Z622:Z626" ca="1" si="442">IFERROR($X622*W622,0)</f>
        <v>0</v>
      </c>
      <c r="AA622" s="3115">
        <f t="shared" ref="AA622:AA626" ca="1" si="443">IFERROR(Y622*N622,0)</f>
        <v>0</v>
      </c>
      <c r="AB622" s="3115">
        <f t="shared" ref="AB622:AB626" ca="1" si="444">Z622+AA622</f>
        <v>0</v>
      </c>
      <c r="AL622" s="313"/>
      <c r="AM622" s="363"/>
      <c r="AN622" s="385"/>
      <c r="AT622" s="879"/>
      <c r="AU622" s="879"/>
    </row>
    <row r="623" spans="2:47" ht="12.75" hidden="1" outlineLevel="1">
      <c r="B623" s="1738" t="str">
        <f>input!B990</f>
        <v>Pulling</v>
      </c>
      <c r="C623" s="313" t="str">
        <f ca="1">input!C990</f>
        <v>N</v>
      </c>
      <c r="D623" s="1739">
        <f>input!D990</f>
        <v>1</v>
      </c>
      <c r="E623" s="1740">
        <f>input!E990</f>
        <v>1</v>
      </c>
      <c r="F623" s="363" t="str">
        <f ca="1">input!F990</f>
        <v>N</v>
      </c>
      <c r="G623" s="363"/>
      <c r="H623" s="313">
        <f ca="1">IF(F623="PCS",$E$4,SUMIFS(Paper!$AC$7:$AC$58,Paper!$A$7:$A$58,'Production cost'!F623))*IF($F623="Pcs",$D623/$E623,1)</f>
        <v>0</v>
      </c>
      <c r="I623" s="313">
        <f ca="1">IF(input!$G990&gt;0,input!$G990,2000)</f>
        <v>2000</v>
      </c>
      <c r="J623" s="313" t="str">
        <f ca="1">input!H990</f>
        <v>Sheets</v>
      </c>
      <c r="K623" s="360">
        <v>0</v>
      </c>
      <c r="L623" s="313">
        <f ca="1">input!I990</f>
        <v>0</v>
      </c>
      <c r="M623" s="391">
        <f t="shared" ca="1" si="436"/>
        <v>0</v>
      </c>
      <c r="N623" s="391">
        <f t="shared" ca="1" si="437"/>
        <v>0</v>
      </c>
      <c r="P623" s="313">
        <f>Data!$N$1182</f>
        <v>59357.701116720593</v>
      </c>
      <c r="Q623" s="313">
        <f t="shared" ca="1" si="438"/>
        <v>0</v>
      </c>
      <c r="R623" s="313">
        <f t="shared" ca="1" si="439"/>
        <v>0</v>
      </c>
      <c r="S623" s="1741">
        <f t="shared" ca="1" si="440"/>
        <v>0</v>
      </c>
      <c r="T623" s="313" t="str">
        <f ca="1">input!J990</f>
        <v>N</v>
      </c>
      <c r="V623" s="3115" t="str">
        <f>input!K990</f>
        <v>Assembly</v>
      </c>
      <c r="W623" s="3115">
        <f t="shared" ca="1" si="441"/>
        <v>0</v>
      </c>
      <c r="X623" s="3119">
        <f>VLOOKUP(V623,'Fix Cost'!$K$177:$M$179,2,0)</f>
        <v>32032.115313968527</v>
      </c>
      <c r="Y623" s="3119">
        <f>VLOOKUP(V623,'Fix Cost'!$K$177:$M$179,3,0)</f>
        <v>267567.54920876794</v>
      </c>
      <c r="Z623" s="3119">
        <f t="shared" ca="1" si="442"/>
        <v>0</v>
      </c>
      <c r="AA623" s="3115">
        <f t="shared" ca="1" si="443"/>
        <v>0</v>
      </c>
      <c r="AB623" s="3115">
        <f t="shared" ca="1" si="444"/>
        <v>0</v>
      </c>
      <c r="AL623" s="313"/>
      <c r="AM623" s="363"/>
      <c r="AN623" s="385"/>
      <c r="AT623" s="879"/>
      <c r="AU623" s="879"/>
    </row>
    <row r="624" spans="2:47" ht="12.75" hidden="1" outlineLevel="1">
      <c r="B624" s="1738" t="str">
        <f>input!B991</f>
        <v>Pulling</v>
      </c>
      <c r="C624" s="313" t="str">
        <f ca="1">input!C991</f>
        <v>N</v>
      </c>
      <c r="D624" s="1739">
        <f>input!D991</f>
        <v>1</v>
      </c>
      <c r="E624" s="1740">
        <f>input!E991</f>
        <v>1</v>
      </c>
      <c r="F624" s="363" t="str">
        <f ca="1">input!F991</f>
        <v>N</v>
      </c>
      <c r="G624" s="363"/>
      <c r="H624" s="313">
        <f ca="1">IF(F624="PCS",$E$4,SUMIFS(Paper!$AC$7:$AC$58,Paper!$A$7:$A$58,'Production cost'!F624))*IF($F624="Pcs",$D624/$E624,1)</f>
        <v>0</v>
      </c>
      <c r="I624" s="313">
        <f ca="1">IF(input!$G991&gt;0,input!$G991,2000)</f>
        <v>2000</v>
      </c>
      <c r="J624" s="313" t="str">
        <f ca="1">input!H991</f>
        <v>Sheets</v>
      </c>
      <c r="K624" s="360">
        <v>0</v>
      </c>
      <c r="L624" s="313">
        <f ca="1">input!I991</f>
        <v>0</v>
      </c>
      <c r="M624" s="391">
        <f t="shared" ca="1" si="436"/>
        <v>0</v>
      </c>
      <c r="N624" s="391">
        <f t="shared" ca="1" si="437"/>
        <v>0</v>
      </c>
      <c r="P624" s="313">
        <f>Data!$N$1182</f>
        <v>59357.701116720593</v>
      </c>
      <c r="Q624" s="313">
        <f t="shared" ca="1" si="438"/>
        <v>0</v>
      </c>
      <c r="R624" s="313">
        <f t="shared" ca="1" si="439"/>
        <v>0</v>
      </c>
      <c r="S624" s="1741">
        <f t="shared" ca="1" si="440"/>
        <v>0</v>
      </c>
      <c r="T624" s="313" t="str">
        <f ca="1">input!J991</f>
        <v>N</v>
      </c>
      <c r="V624" s="3115" t="str">
        <f>input!K991</f>
        <v>Assembly</v>
      </c>
      <c r="W624" s="3115">
        <f t="shared" ca="1" si="441"/>
        <v>0</v>
      </c>
      <c r="X624" s="3119">
        <f>VLOOKUP(V624,'Fix Cost'!$K$177:$M$179,2,0)</f>
        <v>32032.115313968527</v>
      </c>
      <c r="Y624" s="3119">
        <f>VLOOKUP(V624,'Fix Cost'!$K$177:$M$179,3,0)</f>
        <v>267567.54920876794</v>
      </c>
      <c r="Z624" s="3119">
        <f t="shared" ca="1" si="442"/>
        <v>0</v>
      </c>
      <c r="AA624" s="3115">
        <f t="shared" ca="1" si="443"/>
        <v>0</v>
      </c>
      <c r="AB624" s="3115">
        <f t="shared" ca="1" si="444"/>
        <v>0</v>
      </c>
      <c r="AL624" s="313"/>
      <c r="AM624" s="363"/>
      <c r="AN624" s="385"/>
      <c r="AT624" s="879"/>
      <c r="AU624" s="879"/>
    </row>
    <row r="625" spans="2:47" ht="12.75" hidden="1" outlineLevel="1">
      <c r="B625" s="1738" t="str">
        <f>input!B992</f>
        <v>Pulling</v>
      </c>
      <c r="C625" s="313" t="str">
        <f ca="1">input!C992</f>
        <v>N</v>
      </c>
      <c r="D625" s="1739">
        <f>input!D992</f>
        <v>1</v>
      </c>
      <c r="E625" s="1740">
        <f>input!E992</f>
        <v>1</v>
      </c>
      <c r="F625" s="363" t="str">
        <f ca="1">input!F992</f>
        <v>N</v>
      </c>
      <c r="G625" s="363"/>
      <c r="H625" s="313">
        <f ca="1">IF(F625="PCS",$E$4,SUMIFS(Paper!$AC$7:$AC$58,Paper!$A$7:$A$58,'Production cost'!F625))*IF($F625="Pcs",$D625/$E625,1)</f>
        <v>0</v>
      </c>
      <c r="I625" s="313">
        <f ca="1">IF(input!$G992&gt;0,input!$G992,2000)</f>
        <v>2000</v>
      </c>
      <c r="J625" s="313" t="str">
        <f ca="1">input!H992</f>
        <v>Sheets</v>
      </c>
      <c r="K625" s="360">
        <v>0</v>
      </c>
      <c r="L625" s="313">
        <f ca="1">input!I992</f>
        <v>0</v>
      </c>
      <c r="M625" s="391">
        <f t="shared" ca="1" si="436"/>
        <v>0</v>
      </c>
      <c r="N625" s="391">
        <f t="shared" ca="1" si="437"/>
        <v>0</v>
      </c>
      <c r="P625" s="313">
        <f>Data!$N$1182</f>
        <v>59357.701116720593</v>
      </c>
      <c r="Q625" s="313">
        <f t="shared" ca="1" si="438"/>
        <v>0</v>
      </c>
      <c r="R625" s="313">
        <f t="shared" ca="1" si="439"/>
        <v>0</v>
      </c>
      <c r="S625" s="1741">
        <f t="shared" ca="1" si="440"/>
        <v>0</v>
      </c>
      <c r="T625" s="313" t="str">
        <f ca="1">input!J992</f>
        <v>N</v>
      </c>
      <c r="V625" s="3115" t="str">
        <f>input!K992</f>
        <v>Assembly</v>
      </c>
      <c r="W625" s="3115">
        <f t="shared" ca="1" si="441"/>
        <v>0</v>
      </c>
      <c r="X625" s="3119">
        <f>VLOOKUP(V625,'Fix Cost'!$K$177:$M$179,2,0)</f>
        <v>32032.115313968527</v>
      </c>
      <c r="Y625" s="3119">
        <f>VLOOKUP(V625,'Fix Cost'!$K$177:$M$179,3,0)</f>
        <v>267567.54920876794</v>
      </c>
      <c r="Z625" s="3119">
        <f t="shared" ca="1" si="442"/>
        <v>0</v>
      </c>
      <c r="AA625" s="3115">
        <f t="shared" ca="1" si="443"/>
        <v>0</v>
      </c>
      <c r="AB625" s="3115">
        <f t="shared" ca="1" si="444"/>
        <v>0</v>
      </c>
      <c r="AL625" s="313"/>
      <c r="AM625" s="363"/>
      <c r="AN625" s="385"/>
      <c r="AT625" s="879"/>
      <c r="AU625" s="879"/>
    </row>
    <row r="626" spans="2:47" ht="12.75" hidden="1" outlineLevel="1">
      <c r="B626" s="1738" t="str">
        <f>input!B993</f>
        <v>Pulling</v>
      </c>
      <c r="C626" s="313" t="str">
        <f ca="1">input!C993</f>
        <v>N</v>
      </c>
      <c r="D626" s="1739">
        <f>input!D993</f>
        <v>1</v>
      </c>
      <c r="E626" s="1740">
        <f>input!E993</f>
        <v>1</v>
      </c>
      <c r="F626" s="363" t="str">
        <f ca="1">input!F993</f>
        <v>N</v>
      </c>
      <c r="G626" s="363"/>
      <c r="H626" s="313">
        <f ca="1">IF(F626="PCS",$E$4,SUMIFS(Paper!$AC$7:$AC$58,Paper!$A$7:$A$58,'Production cost'!F626))*IF($F626="Pcs",$D626/$E626,1)</f>
        <v>0</v>
      </c>
      <c r="I626" s="313">
        <f ca="1">IF(input!$G993&gt;0,input!$G993,2000)</f>
        <v>2000</v>
      </c>
      <c r="J626" s="313" t="str">
        <f ca="1">input!H993</f>
        <v>Sheets</v>
      </c>
      <c r="K626" s="360">
        <v>0</v>
      </c>
      <c r="L626" s="313">
        <f ca="1">input!I993</f>
        <v>0</v>
      </c>
      <c r="M626" s="391">
        <f t="shared" ca="1" si="436"/>
        <v>0</v>
      </c>
      <c r="N626" s="391">
        <f t="shared" ca="1" si="437"/>
        <v>0</v>
      </c>
      <c r="P626" s="313">
        <f>Data!$N$1182</f>
        <v>59357.701116720593</v>
      </c>
      <c r="Q626" s="313">
        <f t="shared" ca="1" si="438"/>
        <v>0</v>
      </c>
      <c r="R626" s="313">
        <f t="shared" ca="1" si="439"/>
        <v>0</v>
      </c>
      <c r="S626" s="1741">
        <f t="shared" ca="1" si="440"/>
        <v>0</v>
      </c>
      <c r="T626" s="313" t="str">
        <f ca="1">input!J993</f>
        <v>N</v>
      </c>
      <c r="V626" s="3115" t="str">
        <f>input!K993</f>
        <v>Assembly</v>
      </c>
      <c r="W626" s="3115">
        <f t="shared" ca="1" si="441"/>
        <v>0</v>
      </c>
      <c r="X626" s="3119">
        <f>VLOOKUP(V626,'Fix Cost'!$K$177:$M$179,2,0)</f>
        <v>32032.115313968527</v>
      </c>
      <c r="Y626" s="3119">
        <f>VLOOKUP(V626,'Fix Cost'!$K$177:$M$179,3,0)</f>
        <v>267567.54920876794</v>
      </c>
      <c r="Z626" s="3119">
        <f t="shared" ca="1" si="442"/>
        <v>0</v>
      </c>
      <c r="AA626" s="3115">
        <f t="shared" ca="1" si="443"/>
        <v>0</v>
      </c>
      <c r="AB626" s="3115">
        <f t="shared" ca="1" si="444"/>
        <v>0</v>
      </c>
      <c r="AL626" s="313"/>
      <c r="AM626" s="363"/>
      <c r="AN626" s="385"/>
      <c r="AT626" s="879"/>
      <c r="AU626" s="879"/>
    </row>
    <row r="627" spans="2:47" ht="12.75" hidden="1" outlineLevel="1">
      <c r="B627" s="1738" t="str">
        <f>input!B994</f>
        <v>Pulling</v>
      </c>
      <c r="C627" s="313" t="str">
        <f ca="1">input!C994</f>
        <v>E-flute 115/105</v>
      </c>
      <c r="D627" s="1739">
        <f>input!D994</f>
        <v>1</v>
      </c>
      <c r="E627" s="1740">
        <f>input!E994</f>
        <v>1</v>
      </c>
      <c r="F627" s="363" t="str">
        <f ca="1">input!F994</f>
        <v>N</v>
      </c>
      <c r="G627" s="363"/>
      <c r="H627" s="313">
        <f ca="1">IF(F627="PCS",$E$4,SUMIFS(Paper!$AC$7:$AC$58,Paper!$A$7:$A$58,'Production cost'!F627))*IF($F627="Pcs",$D627/$E627,1)</f>
        <v>0</v>
      </c>
      <c r="I627" s="313">
        <f ca="1">IF(input!$G994&gt;0,input!$G994,2000)</f>
        <v>2000</v>
      </c>
      <c r="J627" s="313" t="str">
        <f ca="1">input!H994</f>
        <v>Sheets</v>
      </c>
      <c r="K627" s="360">
        <v>0</v>
      </c>
      <c r="L627" s="313">
        <f ca="1">input!I994</f>
        <v>0</v>
      </c>
      <c r="M627" s="391">
        <f t="shared" ca="1" si="428"/>
        <v>0</v>
      </c>
      <c r="N627" s="391">
        <f t="shared" ca="1" si="429"/>
        <v>0</v>
      </c>
      <c r="P627" s="313">
        <f>Data!$N$1182</f>
        <v>59357.701116720593</v>
      </c>
      <c r="Q627" s="313">
        <f t="shared" ref="Q627:Q644" ca="1" si="445">(N627*O627*K627+N627*P627*L627)*(1+$R$702)</f>
        <v>0</v>
      </c>
      <c r="R627" s="313">
        <f t="shared" ca="1" si="430"/>
        <v>0</v>
      </c>
      <c r="S627" s="1741">
        <f t="shared" ca="1" si="431"/>
        <v>0</v>
      </c>
      <c r="T627" s="313" t="str">
        <f ca="1">input!J994</f>
        <v>E-flute 115/105</v>
      </c>
      <c r="V627" s="3115" t="str">
        <f>input!K994</f>
        <v>Assembly</v>
      </c>
      <c r="W627" s="3115">
        <f t="shared" ca="1" si="432"/>
        <v>0</v>
      </c>
      <c r="X627" s="3119">
        <f>VLOOKUP(V627,'Fix Cost'!$K$177:$M$179,2,0)</f>
        <v>32032.115313968527</v>
      </c>
      <c r="Y627" s="3119">
        <f>VLOOKUP(V627,'Fix Cost'!$K$177:$M$179,3,0)</f>
        <v>267567.54920876794</v>
      </c>
      <c r="Z627" s="3119">
        <f t="shared" ca="1" si="433"/>
        <v>0</v>
      </c>
      <c r="AA627" s="3115">
        <f t="shared" ca="1" si="434"/>
        <v>0</v>
      </c>
      <c r="AB627" s="3115">
        <f t="shared" ca="1" si="435"/>
        <v>0</v>
      </c>
      <c r="AL627" s="313"/>
      <c r="AM627" s="363"/>
      <c r="AN627" s="385"/>
      <c r="AT627" s="879">
        <f t="shared" ca="1" si="419"/>
        <v>0</v>
      </c>
      <c r="AU627" s="879">
        <f ca="1">COUNTIFS(AT$7:$AT627,1)</f>
        <v>7</v>
      </c>
    </row>
    <row r="628" spans="2:47" ht="12.75" hidden="1" outlineLevel="1">
      <c r="B628" s="1738" t="str">
        <f>input!B995</f>
        <v>Pulling</v>
      </c>
      <c r="C628" s="313" t="str">
        <f ca="1">input!C995</f>
        <v>N</v>
      </c>
      <c r="D628" s="1739">
        <f>input!D995</f>
        <v>1</v>
      </c>
      <c r="E628" s="1740">
        <f>input!E995</f>
        <v>1</v>
      </c>
      <c r="F628" s="363" t="str">
        <f ca="1">input!F995</f>
        <v>N</v>
      </c>
      <c r="G628" s="363"/>
      <c r="H628" s="313">
        <f ca="1">IF(F628="PCS",$E$4,SUMIFS(Paper!$AC$7:$AC$58,Paper!$A$7:$A$58,'Production cost'!F628))*IF($F628="Pcs",$D628/$E628,1)</f>
        <v>0</v>
      </c>
      <c r="I628" s="313">
        <f ca="1">IF(input!$G995&gt;0,input!$G995,2000)</f>
        <v>2000</v>
      </c>
      <c r="J628" s="313" t="str">
        <f ca="1">input!H995</f>
        <v>Sheets</v>
      </c>
      <c r="K628" s="360">
        <v>0</v>
      </c>
      <c r="L628" s="313">
        <f ca="1">input!I995</f>
        <v>0</v>
      </c>
      <c r="M628" s="391">
        <f t="shared" ca="1" si="428"/>
        <v>0</v>
      </c>
      <c r="N628" s="391">
        <f t="shared" ca="1" si="429"/>
        <v>0</v>
      </c>
      <c r="P628" s="313">
        <f>Data!$N$1182</f>
        <v>59357.701116720593</v>
      </c>
      <c r="Q628" s="313">
        <f t="shared" ca="1" si="445"/>
        <v>0</v>
      </c>
      <c r="R628" s="313">
        <f t="shared" ca="1" si="430"/>
        <v>0</v>
      </c>
      <c r="S628" s="1741">
        <f t="shared" ca="1" si="431"/>
        <v>0</v>
      </c>
      <c r="T628" s="313" t="str">
        <f ca="1">input!J995</f>
        <v>N</v>
      </c>
      <c r="V628" s="3115" t="str">
        <f>input!K995</f>
        <v>Assembly</v>
      </c>
      <c r="W628" s="3115">
        <f t="shared" ca="1" si="432"/>
        <v>0</v>
      </c>
      <c r="X628" s="3119">
        <f>VLOOKUP(V628,'Fix Cost'!$K$177:$M$179,2,0)</f>
        <v>32032.115313968527</v>
      </c>
      <c r="Y628" s="3119">
        <f>VLOOKUP(V628,'Fix Cost'!$K$177:$M$179,3,0)</f>
        <v>267567.54920876794</v>
      </c>
      <c r="Z628" s="3119">
        <f t="shared" ca="1" si="433"/>
        <v>0</v>
      </c>
      <c r="AA628" s="3115">
        <f t="shared" ca="1" si="434"/>
        <v>0</v>
      </c>
      <c r="AB628" s="3115">
        <f t="shared" ca="1" si="435"/>
        <v>0</v>
      </c>
      <c r="AL628" s="313"/>
      <c r="AM628" s="363"/>
      <c r="AN628" s="385"/>
      <c r="AT628" s="879">
        <f t="shared" ca="1" si="419"/>
        <v>0</v>
      </c>
      <c r="AU628" s="879">
        <f ca="1">COUNTIFS(AT$7:$AT628,1)</f>
        <v>7</v>
      </c>
    </row>
    <row r="629" spans="2:47" ht="12.75" hidden="1" outlineLevel="1">
      <c r="B629" s="1738" t="str">
        <f>input!B996</f>
        <v>Pulling</v>
      </c>
      <c r="C629" s="313" t="str">
        <f ca="1">input!C996</f>
        <v>N</v>
      </c>
      <c r="D629" s="1739">
        <f>input!D996</f>
        <v>1</v>
      </c>
      <c r="E629" s="1740">
        <f>input!E996</f>
        <v>1</v>
      </c>
      <c r="F629" s="363" t="str">
        <f ca="1">input!F996</f>
        <v>N</v>
      </c>
      <c r="G629" s="363"/>
      <c r="H629" s="313">
        <f ca="1">IF(F629="PCS",$E$4,SUMIFS(Paper!$AC$7:$AC$58,Paper!$A$7:$A$58,'Production cost'!F629))*IF($F629="Pcs",$D629/$E629,1)</f>
        <v>0</v>
      </c>
      <c r="I629" s="313">
        <f ca="1">IF(input!$G996&gt;0,input!$G996,2000)</f>
        <v>2000</v>
      </c>
      <c r="J629" s="313" t="str">
        <f ca="1">input!H996</f>
        <v>Sheets</v>
      </c>
      <c r="K629" s="360">
        <v>0</v>
      </c>
      <c r="L629" s="313">
        <f ca="1">input!I996</f>
        <v>0</v>
      </c>
      <c r="M629" s="391">
        <f t="shared" ca="1" si="428"/>
        <v>0</v>
      </c>
      <c r="N629" s="391">
        <f t="shared" ca="1" si="429"/>
        <v>0</v>
      </c>
      <c r="P629" s="313">
        <f>Data!$N$1182</f>
        <v>59357.701116720593</v>
      </c>
      <c r="Q629" s="313">
        <f t="shared" ca="1" si="445"/>
        <v>0</v>
      </c>
      <c r="R629" s="313">
        <f t="shared" ca="1" si="430"/>
        <v>0</v>
      </c>
      <c r="S629" s="1741">
        <f t="shared" ca="1" si="431"/>
        <v>0</v>
      </c>
      <c r="T629" s="313" t="str">
        <f ca="1">input!J996</f>
        <v>N</v>
      </c>
      <c r="V629" s="3115" t="str">
        <f>input!K996</f>
        <v>Assembly</v>
      </c>
      <c r="W629" s="3115">
        <f t="shared" ca="1" si="432"/>
        <v>0</v>
      </c>
      <c r="X629" s="3119">
        <f>VLOOKUP(V629,'Fix Cost'!$K$177:$M$179,2,0)</f>
        <v>32032.115313968527</v>
      </c>
      <c r="Y629" s="3119">
        <f>VLOOKUP(V629,'Fix Cost'!$K$177:$M$179,3,0)</f>
        <v>267567.54920876794</v>
      </c>
      <c r="Z629" s="3119">
        <f t="shared" ca="1" si="433"/>
        <v>0</v>
      </c>
      <c r="AA629" s="3115">
        <f t="shared" ca="1" si="434"/>
        <v>0</v>
      </c>
      <c r="AB629" s="3115">
        <f t="shared" ca="1" si="435"/>
        <v>0</v>
      </c>
      <c r="AL629" s="313"/>
      <c r="AM629" s="363"/>
      <c r="AN629" s="385"/>
      <c r="AT629" s="879">
        <f t="shared" ca="1" si="419"/>
        <v>0</v>
      </c>
      <c r="AU629" s="879">
        <f ca="1">COUNTIFS(AT$7:$AT629,1)</f>
        <v>7</v>
      </c>
    </row>
    <row r="630" spans="2:47" ht="12.75" hidden="1" outlineLevel="1">
      <c r="B630" s="1738" t="str">
        <f>input!B997</f>
        <v>Pulling</v>
      </c>
      <c r="C630" s="313" t="str">
        <f ca="1">input!C997</f>
        <v>N</v>
      </c>
      <c r="D630" s="1739">
        <f>input!D997</f>
        <v>1</v>
      </c>
      <c r="E630" s="1740">
        <f>input!E997</f>
        <v>1</v>
      </c>
      <c r="F630" s="363" t="str">
        <f ca="1">input!F997</f>
        <v>N</v>
      </c>
      <c r="G630" s="363"/>
      <c r="H630" s="313">
        <f ca="1">IF(F630="PCS",$E$4,SUMIFS(Paper!$AC$7:$AC$58,Paper!$A$7:$A$58,'Production cost'!F630))*IF($F630="Pcs",$D630/$E630,1)</f>
        <v>0</v>
      </c>
      <c r="I630" s="313">
        <f ca="1">IF(input!$G997&gt;0,input!$G997,2000)</f>
        <v>2000</v>
      </c>
      <c r="J630" s="313" t="str">
        <f ca="1">input!H997</f>
        <v>Sheets</v>
      </c>
      <c r="K630" s="360">
        <v>0</v>
      </c>
      <c r="L630" s="313">
        <f ca="1">input!I997</f>
        <v>0</v>
      </c>
      <c r="M630" s="391">
        <f t="shared" ref="M630:M631" ca="1" si="446">IF(H630&gt;0,90/60,0)*0</f>
        <v>0</v>
      </c>
      <c r="N630" s="391">
        <f t="shared" ref="N630:N631" ca="1" si="447">IF(H630&gt;0,ROUNDUP(((H630/I630)/$M$4+M630),1),0)</f>
        <v>0</v>
      </c>
      <c r="P630" s="313">
        <f>Data!$N$1182</f>
        <v>59357.701116720593</v>
      </c>
      <c r="Q630" s="313">
        <f t="shared" ca="1" si="445"/>
        <v>0</v>
      </c>
      <c r="R630" s="313">
        <f t="shared" ref="R630:R631" ca="1" si="448">IF($E$2&gt;0,Q630/$E$2,0)</f>
        <v>0</v>
      </c>
      <c r="S630" s="1741">
        <f t="shared" ref="S630:S631" ca="1" si="449">IF(M630&gt;0,K630*O630+L630*P630,0)</f>
        <v>0</v>
      </c>
      <c r="T630" s="313" t="str">
        <f ca="1">input!J997</f>
        <v>N</v>
      </c>
      <c r="V630" s="3115" t="str">
        <f>input!K997</f>
        <v>Assembly</v>
      </c>
      <c r="W630" s="3115">
        <f t="shared" ref="W630:W631" ca="1" si="450">N630*(L630+K630)</f>
        <v>0</v>
      </c>
      <c r="X630" s="3119">
        <f>VLOOKUP(V630,'Fix Cost'!$K$177:$M$179,2,0)</f>
        <v>32032.115313968527</v>
      </c>
      <c r="Y630" s="3119">
        <f>VLOOKUP(V630,'Fix Cost'!$K$177:$M$179,3,0)</f>
        <v>267567.54920876794</v>
      </c>
      <c r="Z630" s="3119">
        <f t="shared" ref="Z630:Z631" ca="1" si="451">IFERROR($X630*W630,0)</f>
        <v>0</v>
      </c>
      <c r="AA630" s="3115">
        <f t="shared" ref="AA630:AA631" ca="1" si="452">IFERROR(Y630*N630,0)</f>
        <v>0</v>
      </c>
      <c r="AB630" s="3115">
        <f t="shared" ref="AB630:AB631" ca="1" si="453">Z630+AA630</f>
        <v>0</v>
      </c>
      <c r="AL630" s="313"/>
      <c r="AM630" s="363"/>
      <c r="AN630" s="385"/>
      <c r="AT630" s="879">
        <f t="shared" ca="1" si="419"/>
        <v>0</v>
      </c>
      <c r="AU630" s="879">
        <f ca="1">COUNTIFS(AT$7:$AT630,1)</f>
        <v>7</v>
      </c>
    </row>
    <row r="631" spans="2:47" ht="12.75" hidden="1" outlineLevel="1">
      <c r="B631" s="1738" t="str">
        <f>input!B998</f>
        <v>Pulling</v>
      </c>
      <c r="C631" s="313" t="str">
        <f ca="1">input!C998</f>
        <v>N</v>
      </c>
      <c r="D631" s="1739">
        <f>input!D998</f>
        <v>1</v>
      </c>
      <c r="E631" s="1740">
        <f>input!E998</f>
        <v>1</v>
      </c>
      <c r="F631" s="363" t="str">
        <f ca="1">input!F998</f>
        <v>N</v>
      </c>
      <c r="G631" s="363"/>
      <c r="H631" s="313">
        <f ca="1">IF(F631="PCS",$E$4,SUMIFS(Paper!$AC$7:$AC$58,Paper!$A$7:$A$58,'Production cost'!F631))*IF($F631="Pcs",$D631/$E631,1)</f>
        <v>0</v>
      </c>
      <c r="I631" s="313">
        <f ca="1">IF(input!$G998&gt;0,input!$G998,2000)</f>
        <v>2000</v>
      </c>
      <c r="J631" s="313" t="str">
        <f ca="1">input!H998</f>
        <v>Sheets</v>
      </c>
      <c r="K631" s="360">
        <v>0</v>
      </c>
      <c r="L631" s="313">
        <f ca="1">input!I998</f>
        <v>0</v>
      </c>
      <c r="M631" s="391">
        <f t="shared" ca="1" si="446"/>
        <v>0</v>
      </c>
      <c r="N631" s="391">
        <f t="shared" ca="1" si="447"/>
        <v>0</v>
      </c>
      <c r="P631" s="313">
        <f>Data!$N$1182</f>
        <v>59357.701116720593</v>
      </c>
      <c r="Q631" s="313">
        <f t="shared" ca="1" si="445"/>
        <v>0</v>
      </c>
      <c r="R631" s="313">
        <f t="shared" ca="1" si="448"/>
        <v>0</v>
      </c>
      <c r="S631" s="1741">
        <f t="shared" ca="1" si="449"/>
        <v>0</v>
      </c>
      <c r="T631" s="313" t="str">
        <f ca="1">input!J998</f>
        <v>N</v>
      </c>
      <c r="V631" s="3115" t="str">
        <f>input!K998</f>
        <v>Assembly</v>
      </c>
      <c r="W631" s="3115">
        <f t="shared" ca="1" si="450"/>
        <v>0</v>
      </c>
      <c r="X631" s="3119">
        <f>VLOOKUP(V631,'Fix Cost'!$K$177:$M$179,2,0)</f>
        <v>32032.115313968527</v>
      </c>
      <c r="Y631" s="3119">
        <f>VLOOKUP(V631,'Fix Cost'!$K$177:$M$179,3,0)</f>
        <v>267567.54920876794</v>
      </c>
      <c r="Z631" s="3119">
        <f t="shared" ca="1" si="451"/>
        <v>0</v>
      </c>
      <c r="AA631" s="3115">
        <f t="shared" ca="1" si="452"/>
        <v>0</v>
      </c>
      <c r="AB631" s="3115">
        <f t="shared" ca="1" si="453"/>
        <v>0</v>
      </c>
      <c r="AL631" s="313"/>
      <c r="AM631" s="363"/>
      <c r="AN631" s="385"/>
      <c r="AT631" s="879">
        <f t="shared" ca="1" si="419"/>
        <v>0</v>
      </c>
      <c r="AU631" s="879">
        <f ca="1">COUNTIFS(AT$7:$AT631,1)</f>
        <v>7</v>
      </c>
    </row>
    <row r="632" spans="2:47" ht="12.75" hidden="1" outlineLevel="1">
      <c r="B632" s="1738" t="str">
        <f>input!B999</f>
        <v>Pulling</v>
      </c>
      <c r="C632" s="313" t="str">
        <f ca="1">input!C999</f>
        <v>N</v>
      </c>
      <c r="D632" s="1739">
        <f>input!D999</f>
        <v>1</v>
      </c>
      <c r="E632" s="1740">
        <f>input!E999</f>
        <v>1</v>
      </c>
      <c r="F632" s="363" t="str">
        <f ca="1">input!F999</f>
        <v>N</v>
      </c>
      <c r="G632" s="363"/>
      <c r="H632" s="313">
        <f ca="1">IF(F632="PCS",$E$4,SUMIFS(Paper!$AC$7:$AC$58,Paper!$A$7:$A$58,'Production cost'!F632))*IF($F632="Pcs",$D632/$E632,1)</f>
        <v>0</v>
      </c>
      <c r="I632" s="313">
        <f ca="1">IF(input!$G999&gt;0,input!$G999,2000)</f>
        <v>2000</v>
      </c>
      <c r="J632" s="313" t="str">
        <f ca="1">input!H999</f>
        <v>Sheets</v>
      </c>
      <c r="K632" s="360">
        <v>0</v>
      </c>
      <c r="L632" s="313">
        <f ca="1">input!I999</f>
        <v>0</v>
      </c>
      <c r="M632" s="391">
        <f t="shared" ref="M632:M634" ca="1" si="454">IF(H632&gt;0,90/60,0)*0</f>
        <v>0</v>
      </c>
      <c r="N632" s="391">
        <f t="shared" ref="N632:N634" ca="1" si="455">IF(H632&gt;0,ROUNDUP(((H632/I632)/$M$4+M632),1),0)</f>
        <v>0</v>
      </c>
      <c r="P632" s="313">
        <f>Data!$N$1182</f>
        <v>59357.701116720593</v>
      </c>
      <c r="Q632" s="313">
        <f t="shared" ca="1" si="445"/>
        <v>0</v>
      </c>
      <c r="R632" s="313">
        <f t="shared" ref="R632:R634" ca="1" si="456">IF($E$2&gt;0,Q632/$E$2,0)</f>
        <v>0</v>
      </c>
      <c r="S632" s="1741">
        <f t="shared" ref="S632:S634" ca="1" si="457">IF(M632&gt;0,K632*O632+L632*P632,0)</f>
        <v>0</v>
      </c>
      <c r="T632" s="313" t="str">
        <f ca="1">input!J999</f>
        <v>N</v>
      </c>
      <c r="V632" s="3115" t="str">
        <f>input!K999</f>
        <v>Assembly</v>
      </c>
      <c r="W632" s="3115">
        <f t="shared" ref="W632:W634" ca="1" si="458">N632*(L632+K632)</f>
        <v>0</v>
      </c>
      <c r="X632" s="3119">
        <f>VLOOKUP(V632,'Fix Cost'!$K$177:$M$179,2,0)</f>
        <v>32032.115313968527</v>
      </c>
      <c r="Y632" s="3119">
        <f>VLOOKUP(V632,'Fix Cost'!$K$177:$M$179,3,0)</f>
        <v>267567.54920876794</v>
      </c>
      <c r="Z632" s="3119">
        <f t="shared" ref="Z632:Z634" ca="1" si="459">IFERROR($X632*W632,0)</f>
        <v>0</v>
      </c>
      <c r="AA632" s="3115">
        <f t="shared" ref="AA632:AA634" ca="1" si="460">IFERROR(Y632*N632,0)</f>
        <v>0</v>
      </c>
      <c r="AB632" s="3115">
        <f t="shared" ref="AB632:AB634" ca="1" si="461">Z632+AA632</f>
        <v>0</v>
      </c>
      <c r="AL632" s="313"/>
      <c r="AM632" s="363"/>
      <c r="AN632" s="385"/>
      <c r="AT632" s="879">
        <f t="shared" ca="1" si="419"/>
        <v>0</v>
      </c>
      <c r="AU632" s="879">
        <f ca="1">COUNTIFS(AT$7:$AT632,1)</f>
        <v>7</v>
      </c>
    </row>
    <row r="633" spans="2:47" ht="12.75" hidden="1" outlineLevel="1">
      <c r="B633" s="1738" t="str">
        <f>input!B1000</f>
        <v>Pulling</v>
      </c>
      <c r="C633" s="313" t="str">
        <f ca="1">input!C1000</f>
        <v>N</v>
      </c>
      <c r="D633" s="1739">
        <f>input!D1000</f>
        <v>1</v>
      </c>
      <c r="E633" s="1740">
        <f>input!E1000</f>
        <v>1</v>
      </c>
      <c r="F633" s="363" t="str">
        <f ca="1">input!F1000</f>
        <v>N</v>
      </c>
      <c r="G633" s="363"/>
      <c r="H633" s="313">
        <f ca="1">IF(F633="PCS",$E$4,SUMIFS(Paper!$AC$7:$AC$58,Paper!$A$7:$A$58,'Production cost'!F633))*IF($F633="Pcs",$D633/$E633,1)</f>
        <v>0</v>
      </c>
      <c r="I633" s="313">
        <f ca="1">IF(input!$G1000&gt;0,input!$G1000,2000)</f>
        <v>2000</v>
      </c>
      <c r="J633" s="313" t="str">
        <f ca="1">input!H1000</f>
        <v>Sheets</v>
      </c>
      <c r="K633" s="360">
        <v>0</v>
      </c>
      <c r="L633" s="313">
        <f ca="1">input!I1000</f>
        <v>0</v>
      </c>
      <c r="M633" s="391">
        <f t="shared" ca="1" si="454"/>
        <v>0</v>
      </c>
      <c r="N633" s="391">
        <f t="shared" ca="1" si="455"/>
        <v>0</v>
      </c>
      <c r="P633" s="313">
        <f>Data!$N$1182</f>
        <v>59357.701116720593</v>
      </c>
      <c r="Q633" s="313">
        <f t="shared" ca="1" si="445"/>
        <v>0</v>
      </c>
      <c r="R633" s="313">
        <f t="shared" ca="1" si="456"/>
        <v>0</v>
      </c>
      <c r="S633" s="1741">
        <f t="shared" ca="1" si="457"/>
        <v>0</v>
      </c>
      <c r="T633" s="313" t="str">
        <f ca="1">input!J1000</f>
        <v>N</v>
      </c>
      <c r="V633" s="3115" t="str">
        <f>input!K1000</f>
        <v>Assembly</v>
      </c>
      <c r="W633" s="3115">
        <f t="shared" ca="1" si="458"/>
        <v>0</v>
      </c>
      <c r="X633" s="3119">
        <f>VLOOKUP(V633,'Fix Cost'!$K$177:$M$179,2,0)</f>
        <v>32032.115313968527</v>
      </c>
      <c r="Y633" s="3119">
        <f>VLOOKUP(V633,'Fix Cost'!$K$177:$M$179,3,0)</f>
        <v>267567.54920876794</v>
      </c>
      <c r="Z633" s="3119">
        <f t="shared" ca="1" si="459"/>
        <v>0</v>
      </c>
      <c r="AA633" s="3115">
        <f t="shared" ca="1" si="460"/>
        <v>0</v>
      </c>
      <c r="AB633" s="3115">
        <f t="shared" ca="1" si="461"/>
        <v>0</v>
      </c>
      <c r="AL633" s="313"/>
      <c r="AM633" s="363"/>
      <c r="AN633" s="385"/>
      <c r="AT633" s="879">
        <f t="shared" ca="1" si="419"/>
        <v>0</v>
      </c>
      <c r="AU633" s="879">
        <f ca="1">COUNTIFS(AT$7:$AT633,1)</f>
        <v>7</v>
      </c>
    </row>
    <row r="634" spans="2:47" ht="12.75" hidden="1" outlineLevel="1">
      <c r="B634" s="1738" t="str">
        <f>input!B1001</f>
        <v>Pulling</v>
      </c>
      <c r="C634" s="313" t="str">
        <f ca="1">input!C1001</f>
        <v>N</v>
      </c>
      <c r="D634" s="1739">
        <f>input!D1001</f>
        <v>1</v>
      </c>
      <c r="E634" s="1740">
        <f>input!E1001</f>
        <v>1</v>
      </c>
      <c r="F634" s="363" t="str">
        <f ca="1">input!F1001</f>
        <v>N</v>
      </c>
      <c r="G634" s="363"/>
      <c r="H634" s="313">
        <f ca="1">IF(F634="PCS",$E$4,SUMIFS(Paper!$AC$7:$AC$58,Paper!$A$7:$A$58,'Production cost'!F634))*IF($F634="Pcs",$D634/$E634,1)</f>
        <v>0</v>
      </c>
      <c r="I634" s="313">
        <f ca="1">IF(input!$G1001&gt;0,input!$G1001,2000)</f>
        <v>2000</v>
      </c>
      <c r="J634" s="313" t="str">
        <f ca="1">input!H1001</f>
        <v>Sheets</v>
      </c>
      <c r="K634" s="360">
        <v>0</v>
      </c>
      <c r="L634" s="313">
        <f ca="1">input!I1001</f>
        <v>0</v>
      </c>
      <c r="M634" s="391">
        <f t="shared" ca="1" si="454"/>
        <v>0</v>
      </c>
      <c r="N634" s="391">
        <f t="shared" ca="1" si="455"/>
        <v>0</v>
      </c>
      <c r="P634" s="313">
        <f>Data!$N$1182</f>
        <v>59357.701116720593</v>
      </c>
      <c r="Q634" s="313">
        <f t="shared" ca="1" si="445"/>
        <v>0</v>
      </c>
      <c r="R634" s="313">
        <f t="shared" ca="1" si="456"/>
        <v>0</v>
      </c>
      <c r="S634" s="1741">
        <f t="shared" ca="1" si="457"/>
        <v>0</v>
      </c>
      <c r="T634" s="313" t="str">
        <f ca="1">input!J1001</f>
        <v>N</v>
      </c>
      <c r="V634" s="3115" t="str">
        <f>input!K1001</f>
        <v>Assembly</v>
      </c>
      <c r="W634" s="3115">
        <f t="shared" ca="1" si="458"/>
        <v>0</v>
      </c>
      <c r="X634" s="3119">
        <f>VLOOKUP(V634,'Fix Cost'!$K$177:$M$179,2,0)</f>
        <v>32032.115313968527</v>
      </c>
      <c r="Y634" s="3119">
        <f>VLOOKUP(V634,'Fix Cost'!$K$177:$M$179,3,0)</f>
        <v>267567.54920876794</v>
      </c>
      <c r="Z634" s="3119">
        <f t="shared" ca="1" si="459"/>
        <v>0</v>
      </c>
      <c r="AA634" s="3115">
        <f t="shared" ca="1" si="460"/>
        <v>0</v>
      </c>
      <c r="AB634" s="3115">
        <f t="shared" ca="1" si="461"/>
        <v>0</v>
      </c>
      <c r="AL634" s="313"/>
      <c r="AM634" s="363"/>
      <c r="AN634" s="385"/>
      <c r="AT634" s="879">
        <f t="shared" ca="1" si="419"/>
        <v>0</v>
      </c>
      <c r="AU634" s="879">
        <f ca="1">COUNTIFS(AT$7:$AT634,1)</f>
        <v>7</v>
      </c>
    </row>
    <row r="635" spans="2:47" ht="12.75" hidden="1" outlineLevel="1">
      <c r="B635" s="1738" t="str">
        <f>input!B1002</f>
        <v>Pulling + Packing_Wrapping</v>
      </c>
      <c r="C635" s="313" t="str">
        <f ca="1">input!C1002</f>
        <v>Box</v>
      </c>
      <c r="D635" s="1739">
        <f>input!D1002</f>
        <v>1</v>
      </c>
      <c r="E635" s="1740">
        <f>input!E1002</f>
        <v>1</v>
      </c>
      <c r="F635" s="363" t="str">
        <f ca="1">input!F1002</f>
        <v>N</v>
      </c>
      <c r="G635" s="363"/>
      <c r="H635" s="313">
        <f ca="1">IF(F635="PCS",$E$4,SUMIFS(Paper!$AC$7:$AC$58,Paper!$A$7:$A$58,'Production cost'!F635))*IF($F635="Pcs",$D635/$E635,1)</f>
        <v>0</v>
      </c>
      <c r="I635" s="313">
        <f ca="1">IF(input!$G1002&gt;0,input!$G1002,2000)</f>
        <v>2000</v>
      </c>
      <c r="J635" s="313" t="str">
        <f ca="1">input!H1002</f>
        <v>Sheets</v>
      </c>
      <c r="K635" s="360">
        <v>0</v>
      </c>
      <c r="L635" s="313">
        <f ca="1">input!I1002</f>
        <v>0</v>
      </c>
      <c r="M635" s="391">
        <f t="shared" ca="1" si="415"/>
        <v>0</v>
      </c>
      <c r="N635" s="391">
        <f t="shared" ca="1" si="416"/>
        <v>0</v>
      </c>
      <c r="P635" s="313">
        <f>Data!$N$1182</f>
        <v>59357.701116720593</v>
      </c>
      <c r="Q635" s="313">
        <f t="shared" ca="1" si="445"/>
        <v>0</v>
      </c>
      <c r="R635" s="313">
        <f t="shared" ca="1" si="417"/>
        <v>0</v>
      </c>
      <c r="S635" s="1741">
        <f t="shared" ca="1" si="418"/>
        <v>0</v>
      </c>
      <c r="T635" s="313" t="str">
        <f ca="1">input!J1002</f>
        <v>Box</v>
      </c>
      <c r="V635" s="3115" t="str">
        <f>input!K1002</f>
        <v>Assembly</v>
      </c>
      <c r="W635" s="3115">
        <f t="shared" ca="1" si="407"/>
        <v>0</v>
      </c>
      <c r="X635" s="3119">
        <f>VLOOKUP(V635,'Fix Cost'!$K$177:$M$179,2,0)</f>
        <v>32032.115313968527</v>
      </c>
      <c r="Y635" s="3119">
        <f>VLOOKUP(V635,'Fix Cost'!$K$177:$M$179,3,0)</f>
        <v>267567.54920876794</v>
      </c>
      <c r="Z635" s="3119">
        <f t="shared" ca="1" si="408"/>
        <v>0</v>
      </c>
      <c r="AA635" s="3115">
        <f t="shared" ca="1" si="409"/>
        <v>0</v>
      </c>
      <c r="AB635" s="3115">
        <f t="shared" ca="1" si="410"/>
        <v>0</v>
      </c>
      <c r="AL635" s="313"/>
      <c r="AM635" s="363"/>
      <c r="AN635" s="385"/>
      <c r="AT635" s="879">
        <f t="shared" ca="1" si="419"/>
        <v>0</v>
      </c>
      <c r="AU635" s="879">
        <f ca="1">COUNTIFS(AT$7:$AT635,1)</f>
        <v>7</v>
      </c>
    </row>
    <row r="636" spans="2:47" ht="12.75" hidden="1" outlineLevel="1">
      <c r="B636" s="1738" t="str">
        <f>input!B1003</f>
        <v>Pulling + Packing_Wrapping</v>
      </c>
      <c r="C636" s="313" t="str">
        <f ca="1">input!C1003</f>
        <v>N</v>
      </c>
      <c r="D636" s="1739">
        <f>input!D1003</f>
        <v>1</v>
      </c>
      <c r="E636" s="1740">
        <f>input!E1003</f>
        <v>1</v>
      </c>
      <c r="F636" s="363" t="str">
        <f ca="1">input!F1003</f>
        <v>N</v>
      </c>
      <c r="G636" s="363"/>
      <c r="H636" s="313">
        <f ca="1">IF(F636="PCS",$E$4,SUMIFS(Paper!$AC$7:$AC$58,Paper!$A$7:$A$58,'Production cost'!F636))*IF($F636="Pcs",$D636/$E636,1)</f>
        <v>0</v>
      </c>
      <c r="I636" s="313">
        <f ca="1">IF(input!$G1003&gt;0,input!$G1003,2000)</f>
        <v>2000</v>
      </c>
      <c r="J636" s="313" t="str">
        <f ca="1">input!H1003</f>
        <v>Sheets</v>
      </c>
      <c r="K636" s="360">
        <v>0</v>
      </c>
      <c r="L636" s="313">
        <f ca="1">input!I1003</f>
        <v>0</v>
      </c>
      <c r="M636" s="391">
        <f t="shared" ca="1" si="415"/>
        <v>0</v>
      </c>
      <c r="N636" s="391">
        <f t="shared" ca="1" si="416"/>
        <v>0</v>
      </c>
      <c r="P636" s="313">
        <f>Data!$N$1182</f>
        <v>59357.701116720593</v>
      </c>
      <c r="Q636" s="313">
        <f t="shared" ca="1" si="445"/>
        <v>0</v>
      </c>
      <c r="R636" s="313">
        <f t="shared" ca="1" si="417"/>
        <v>0</v>
      </c>
      <c r="S636" s="1741">
        <f t="shared" ca="1" si="418"/>
        <v>0</v>
      </c>
      <c r="T636" s="313" t="str">
        <f ca="1">input!J1003</f>
        <v>N</v>
      </c>
      <c r="V636" s="3115" t="str">
        <f>input!K1003</f>
        <v>Assembly</v>
      </c>
      <c r="W636" s="3115">
        <f t="shared" ca="1" si="407"/>
        <v>0</v>
      </c>
      <c r="X636" s="3119">
        <f>VLOOKUP(V636,'Fix Cost'!$K$177:$M$179,2,0)</f>
        <v>32032.115313968527</v>
      </c>
      <c r="Y636" s="3119">
        <f>VLOOKUP(V636,'Fix Cost'!$K$177:$M$179,3,0)</f>
        <v>267567.54920876794</v>
      </c>
      <c r="Z636" s="3119">
        <f t="shared" ca="1" si="408"/>
        <v>0</v>
      </c>
      <c r="AA636" s="3115">
        <f t="shared" ca="1" si="409"/>
        <v>0</v>
      </c>
      <c r="AB636" s="3115">
        <f t="shared" ca="1" si="410"/>
        <v>0</v>
      </c>
      <c r="AL636" s="313"/>
      <c r="AM636" s="363"/>
      <c r="AN636" s="385"/>
      <c r="AT636" s="879">
        <f t="shared" ca="1" si="419"/>
        <v>0</v>
      </c>
      <c r="AU636" s="879">
        <f ca="1">COUNTIFS(AT$7:$AT636,1)</f>
        <v>7</v>
      </c>
    </row>
    <row r="637" spans="2:47" ht="12.75" hidden="1" outlineLevel="1">
      <c r="B637" s="1738" t="str">
        <f>input!B1004</f>
        <v>Pulling + Packing_Wrapping</v>
      </c>
      <c r="C637" s="313" t="str">
        <f ca="1">input!C1004</f>
        <v>N</v>
      </c>
      <c r="D637" s="1739">
        <f>input!D1004</f>
        <v>1</v>
      </c>
      <c r="E637" s="1740">
        <f>input!E1004</f>
        <v>1</v>
      </c>
      <c r="F637" s="363" t="str">
        <f ca="1">input!F1004</f>
        <v>N</v>
      </c>
      <c r="G637" s="363"/>
      <c r="H637" s="313">
        <f ca="1">IF(F637="PCS",$E$4,SUMIFS(Paper!$AC$7:$AC$58,Paper!$A$7:$A$58,'Production cost'!F637))*IF($F637="Pcs",$D637/$E637,1)</f>
        <v>0</v>
      </c>
      <c r="I637" s="313">
        <f ca="1">IF(input!$G1004&gt;0,input!$G1004,2000)</f>
        <v>2000</v>
      </c>
      <c r="J637" s="313" t="str">
        <f ca="1">input!H1004</f>
        <v>Sheets</v>
      </c>
      <c r="K637" s="360">
        <v>0</v>
      </c>
      <c r="L637" s="313">
        <f ca="1">input!I1004</f>
        <v>0</v>
      </c>
      <c r="M637" s="391">
        <f t="shared" ca="1" si="415"/>
        <v>0</v>
      </c>
      <c r="N637" s="391">
        <f t="shared" ca="1" si="416"/>
        <v>0</v>
      </c>
      <c r="P637" s="313">
        <f>Data!$N$1182</f>
        <v>59357.701116720593</v>
      </c>
      <c r="Q637" s="313">
        <f t="shared" ca="1" si="445"/>
        <v>0</v>
      </c>
      <c r="R637" s="313">
        <f t="shared" ca="1" si="417"/>
        <v>0</v>
      </c>
      <c r="S637" s="1741">
        <f t="shared" ca="1" si="418"/>
        <v>0</v>
      </c>
      <c r="T637" s="313" t="str">
        <f ca="1">input!J1004</f>
        <v>N</v>
      </c>
      <c r="V637" s="3115" t="str">
        <f>input!K1004</f>
        <v>Assembly</v>
      </c>
      <c r="W637" s="3115">
        <f t="shared" ca="1" si="407"/>
        <v>0</v>
      </c>
      <c r="X637" s="3119">
        <f>VLOOKUP(V637,'Fix Cost'!$K$177:$M$179,2,0)</f>
        <v>32032.115313968527</v>
      </c>
      <c r="Y637" s="3119">
        <f>VLOOKUP(V637,'Fix Cost'!$K$177:$M$179,3,0)</f>
        <v>267567.54920876794</v>
      </c>
      <c r="Z637" s="3119">
        <f t="shared" ca="1" si="408"/>
        <v>0</v>
      </c>
      <c r="AA637" s="3115">
        <f t="shared" ca="1" si="409"/>
        <v>0</v>
      </c>
      <c r="AB637" s="3115">
        <f t="shared" ca="1" si="410"/>
        <v>0</v>
      </c>
      <c r="AL637" s="313"/>
      <c r="AM637" s="363"/>
      <c r="AN637" s="385"/>
      <c r="AT637" s="879">
        <f t="shared" ca="1" si="419"/>
        <v>0</v>
      </c>
      <c r="AU637" s="879">
        <f ca="1">COUNTIFS(AT$7:$AT637,1)</f>
        <v>7</v>
      </c>
    </row>
    <row r="638" spans="2:47" ht="12.75" hidden="1" outlineLevel="1">
      <c r="B638" s="1738" t="str">
        <f>input!B1005</f>
        <v>Pulling + Packing_Wrapping</v>
      </c>
      <c r="C638" s="313" t="str">
        <f ca="1">input!C1005</f>
        <v>N</v>
      </c>
      <c r="D638" s="1739">
        <f>input!D1005</f>
        <v>1</v>
      </c>
      <c r="E638" s="1740">
        <f>input!E1005</f>
        <v>1</v>
      </c>
      <c r="F638" s="363" t="str">
        <f ca="1">input!F1005</f>
        <v>N</v>
      </c>
      <c r="G638" s="363"/>
      <c r="H638" s="313">
        <f ca="1">IF(F638="PCS",$E$4,SUMIFS(Paper!$AC$7:$AC$58,Paper!$A$7:$A$58,'Production cost'!F638))*IF($F638="Pcs",$D638/$E638,1)</f>
        <v>0</v>
      </c>
      <c r="I638" s="313">
        <f ca="1">IF(input!$G1005&gt;0,input!$G1005,2000)</f>
        <v>2000</v>
      </c>
      <c r="J638" s="313" t="str">
        <f ca="1">input!H1005</f>
        <v>Sheets</v>
      </c>
      <c r="K638" s="360">
        <v>0</v>
      </c>
      <c r="L638" s="313">
        <f ca="1">input!I1005</f>
        <v>0</v>
      </c>
      <c r="M638" s="391">
        <f t="shared" ca="1" si="415"/>
        <v>0</v>
      </c>
      <c r="N638" s="391">
        <f t="shared" ca="1" si="416"/>
        <v>0</v>
      </c>
      <c r="P638" s="313">
        <f>Data!$N$1182</f>
        <v>59357.701116720593</v>
      </c>
      <c r="Q638" s="313">
        <f t="shared" ca="1" si="445"/>
        <v>0</v>
      </c>
      <c r="R638" s="313">
        <f t="shared" ca="1" si="417"/>
        <v>0</v>
      </c>
      <c r="S638" s="1741">
        <f t="shared" ca="1" si="418"/>
        <v>0</v>
      </c>
      <c r="T638" s="313" t="str">
        <f ca="1">input!J1005</f>
        <v>N</v>
      </c>
      <c r="V638" s="3115" t="str">
        <f>input!K1005</f>
        <v>Assembly</v>
      </c>
      <c r="W638" s="3115">
        <f t="shared" ca="1" si="407"/>
        <v>0</v>
      </c>
      <c r="X638" s="3119">
        <f>VLOOKUP(V638,'Fix Cost'!$K$177:$M$179,2,0)</f>
        <v>32032.115313968527</v>
      </c>
      <c r="Y638" s="3119">
        <f>VLOOKUP(V638,'Fix Cost'!$K$177:$M$179,3,0)</f>
        <v>267567.54920876794</v>
      </c>
      <c r="Z638" s="3119">
        <f t="shared" ca="1" si="408"/>
        <v>0</v>
      </c>
      <c r="AA638" s="3115">
        <f t="shared" ca="1" si="409"/>
        <v>0</v>
      </c>
      <c r="AB638" s="3115">
        <f t="shared" ca="1" si="410"/>
        <v>0</v>
      </c>
      <c r="AL638" s="313"/>
      <c r="AM638" s="363"/>
      <c r="AN638" s="385"/>
      <c r="AT638" s="879">
        <f t="shared" ca="1" si="419"/>
        <v>0</v>
      </c>
      <c r="AU638" s="879">
        <f ca="1">COUNTIFS(AT$7:$AT638,1)</f>
        <v>7</v>
      </c>
    </row>
    <row r="639" spans="2:47" ht="12.75" hidden="1" outlineLevel="1">
      <c r="B639" s="1738" t="str">
        <f>input!B1006</f>
        <v>Pulling + Packing_Wrapping</v>
      </c>
      <c r="C639" s="313" t="str">
        <f ca="1">input!C1006</f>
        <v>N</v>
      </c>
      <c r="D639" s="1739">
        <f>input!D1006</f>
        <v>1</v>
      </c>
      <c r="E639" s="1740">
        <f>input!E1006</f>
        <v>1</v>
      </c>
      <c r="F639" s="363" t="str">
        <f ca="1">input!F1006</f>
        <v>N</v>
      </c>
      <c r="G639" s="363"/>
      <c r="H639" s="313">
        <f ca="1">IF(F639="PCS",$E$4,SUMIFS(Paper!$AC$7:$AC$58,Paper!$A$7:$A$58,'Production cost'!F639))*IF($F639="Pcs",$D639/$E639,1)</f>
        <v>0</v>
      </c>
      <c r="I639" s="313">
        <f ca="1">IF(input!$G1006&gt;0,input!$G1006,2000)</f>
        <v>2000</v>
      </c>
      <c r="J639" s="313" t="str">
        <f ca="1">input!H1006</f>
        <v>Sheets</v>
      </c>
      <c r="K639" s="360">
        <v>0</v>
      </c>
      <c r="L639" s="313">
        <f ca="1">input!I1006</f>
        <v>0</v>
      </c>
      <c r="M639" s="391">
        <f t="shared" ca="1" si="415"/>
        <v>0</v>
      </c>
      <c r="N639" s="391">
        <f t="shared" ca="1" si="416"/>
        <v>0</v>
      </c>
      <c r="P639" s="313">
        <f>Data!$N$1182</f>
        <v>59357.701116720593</v>
      </c>
      <c r="Q639" s="313">
        <f t="shared" ca="1" si="445"/>
        <v>0</v>
      </c>
      <c r="R639" s="313">
        <f t="shared" ca="1" si="417"/>
        <v>0</v>
      </c>
      <c r="S639" s="1741">
        <f t="shared" ca="1" si="418"/>
        <v>0</v>
      </c>
      <c r="T639" s="313" t="str">
        <f ca="1">input!J1006</f>
        <v>N</v>
      </c>
      <c r="V639" s="3115" t="str">
        <f>input!K1006</f>
        <v>Assembly</v>
      </c>
      <c r="W639" s="3115">
        <f t="shared" ca="1" si="407"/>
        <v>0</v>
      </c>
      <c r="X639" s="3119">
        <f>VLOOKUP(V639,'Fix Cost'!$K$177:$M$179,2,0)</f>
        <v>32032.115313968527</v>
      </c>
      <c r="Y639" s="3119">
        <f>VLOOKUP(V639,'Fix Cost'!$K$177:$M$179,3,0)</f>
        <v>267567.54920876794</v>
      </c>
      <c r="Z639" s="3119">
        <f t="shared" ca="1" si="408"/>
        <v>0</v>
      </c>
      <c r="AA639" s="3115">
        <f t="shared" ca="1" si="409"/>
        <v>0</v>
      </c>
      <c r="AB639" s="3115">
        <f t="shared" ca="1" si="410"/>
        <v>0</v>
      </c>
      <c r="AL639" s="313"/>
      <c r="AM639" s="363"/>
      <c r="AN639" s="385"/>
      <c r="AT639" s="879">
        <f t="shared" ca="1" si="419"/>
        <v>0</v>
      </c>
      <c r="AU639" s="879">
        <f ca="1">COUNTIFS(AT$7:$AT639,1)</f>
        <v>7</v>
      </c>
    </row>
    <row r="640" spans="2:47" ht="12.75" hidden="1" outlineLevel="1">
      <c r="B640" s="1738" t="str">
        <f>input!B1007</f>
        <v>Pulling + Packing_Wrapping</v>
      </c>
      <c r="C640" s="313" t="str">
        <f ca="1">input!C1007</f>
        <v>N</v>
      </c>
      <c r="D640" s="1739">
        <f>input!D1007</f>
        <v>1</v>
      </c>
      <c r="E640" s="1740">
        <f>input!E1007</f>
        <v>1</v>
      </c>
      <c r="F640" s="363" t="str">
        <f ca="1">input!F1007</f>
        <v>N</v>
      </c>
      <c r="G640" s="363"/>
      <c r="H640" s="313">
        <f ca="1">IF(F640="PCS",$E$4,SUMIFS(Paper!$AC$7:$AC$58,Paper!$A$7:$A$58,'Production cost'!F640))*IF($F640="Pcs",$D640/$E640,1)</f>
        <v>0</v>
      </c>
      <c r="I640" s="313">
        <f ca="1">IF(input!$G1007&gt;0,input!$G1007,2000)</f>
        <v>2000</v>
      </c>
      <c r="J640" s="313" t="str">
        <f ca="1">input!H1007</f>
        <v>Sheets</v>
      </c>
      <c r="K640" s="360">
        <v>0</v>
      </c>
      <c r="L640" s="313">
        <f ca="1">input!I1007</f>
        <v>0</v>
      </c>
      <c r="M640" s="391">
        <f t="shared" ca="1" si="415"/>
        <v>0</v>
      </c>
      <c r="N640" s="391">
        <f t="shared" ca="1" si="416"/>
        <v>0</v>
      </c>
      <c r="P640" s="313">
        <f>Data!$N$1182</f>
        <v>59357.701116720593</v>
      </c>
      <c r="Q640" s="313">
        <f t="shared" ca="1" si="445"/>
        <v>0</v>
      </c>
      <c r="R640" s="313">
        <f t="shared" ca="1" si="417"/>
        <v>0</v>
      </c>
      <c r="S640" s="1741">
        <f t="shared" ca="1" si="418"/>
        <v>0</v>
      </c>
      <c r="T640" s="313" t="str">
        <f ca="1">input!J1007</f>
        <v>N</v>
      </c>
      <c r="V640" s="3115" t="str">
        <f>input!K1007</f>
        <v>Assembly</v>
      </c>
      <c r="W640" s="3115">
        <f t="shared" ca="1" si="407"/>
        <v>0</v>
      </c>
      <c r="X640" s="3119">
        <f>VLOOKUP(V640,'Fix Cost'!$K$177:$M$179,2,0)</f>
        <v>32032.115313968527</v>
      </c>
      <c r="Y640" s="3119">
        <f>VLOOKUP(V640,'Fix Cost'!$K$177:$M$179,3,0)</f>
        <v>267567.54920876794</v>
      </c>
      <c r="Z640" s="3119">
        <f t="shared" ca="1" si="408"/>
        <v>0</v>
      </c>
      <c r="AA640" s="3115">
        <f t="shared" ca="1" si="409"/>
        <v>0</v>
      </c>
      <c r="AB640" s="3115">
        <f t="shared" ca="1" si="410"/>
        <v>0</v>
      </c>
      <c r="AL640" s="313"/>
      <c r="AM640" s="363"/>
      <c r="AN640" s="385"/>
      <c r="AT640" s="879">
        <f t="shared" ca="1" si="419"/>
        <v>0</v>
      </c>
      <c r="AU640" s="879">
        <f ca="1">COUNTIFS(AT$7:$AT640,1)</f>
        <v>7</v>
      </c>
    </row>
    <row r="641" spans="2:47" ht="12.75" hidden="1" outlineLevel="1">
      <c r="B641" s="1738" t="str">
        <f>input!B1008</f>
        <v>Pulling + Packing_Wrapping</v>
      </c>
      <c r="C641" s="313" t="str">
        <f ca="1">input!C1008</f>
        <v>N</v>
      </c>
      <c r="D641" s="1739">
        <f>input!D1008</f>
        <v>1</v>
      </c>
      <c r="E641" s="1740">
        <f>input!E1008</f>
        <v>1</v>
      </c>
      <c r="F641" s="363" t="str">
        <f ca="1">input!F1008</f>
        <v>N</v>
      </c>
      <c r="G641" s="363"/>
      <c r="H641" s="313">
        <f ca="1">IF(F641="PCS",$E$4,SUMIFS(Paper!$AC$7:$AC$58,Paper!$A$7:$A$58,'Production cost'!F641))*IF($F641="Pcs",$D641/$E641,1)</f>
        <v>0</v>
      </c>
      <c r="I641" s="313">
        <f ca="1">IF(input!$G1008&gt;0,input!$G1008,2000)</f>
        <v>2000</v>
      </c>
      <c r="J641" s="313" t="str">
        <f ca="1">input!H1008</f>
        <v>Sheets</v>
      </c>
      <c r="K641" s="360">
        <v>0</v>
      </c>
      <c r="L641" s="313">
        <f ca="1">input!I1008</f>
        <v>0</v>
      </c>
      <c r="M641" s="391">
        <f t="shared" ca="1" si="415"/>
        <v>0</v>
      </c>
      <c r="N641" s="391">
        <f t="shared" ca="1" si="416"/>
        <v>0</v>
      </c>
      <c r="P641" s="313">
        <f>Data!$N$1182</f>
        <v>59357.701116720593</v>
      </c>
      <c r="Q641" s="313">
        <f t="shared" ca="1" si="445"/>
        <v>0</v>
      </c>
      <c r="R641" s="313">
        <f t="shared" ca="1" si="417"/>
        <v>0</v>
      </c>
      <c r="S641" s="1741">
        <f t="shared" ca="1" si="418"/>
        <v>0</v>
      </c>
      <c r="T641" s="313" t="str">
        <f ca="1">input!J1008</f>
        <v>N</v>
      </c>
      <c r="V641" s="3115" t="str">
        <f>input!K1008</f>
        <v>Assembly</v>
      </c>
      <c r="W641" s="3115">
        <f t="shared" ca="1" si="407"/>
        <v>0</v>
      </c>
      <c r="X641" s="3119">
        <f>VLOOKUP(V641,'Fix Cost'!$K$177:$M$179,2,0)</f>
        <v>32032.115313968527</v>
      </c>
      <c r="Y641" s="3119">
        <f>VLOOKUP(V641,'Fix Cost'!$K$177:$M$179,3,0)</f>
        <v>267567.54920876794</v>
      </c>
      <c r="Z641" s="3119">
        <f t="shared" ca="1" si="408"/>
        <v>0</v>
      </c>
      <c r="AA641" s="3115">
        <f t="shared" ca="1" si="409"/>
        <v>0</v>
      </c>
      <c r="AB641" s="3115">
        <f t="shared" ca="1" si="410"/>
        <v>0</v>
      </c>
      <c r="AL641" s="313"/>
      <c r="AM641" s="363"/>
      <c r="AN641" s="385"/>
      <c r="AT641" s="879">
        <f t="shared" ca="1" si="419"/>
        <v>0</v>
      </c>
      <c r="AU641" s="879">
        <f ca="1">COUNTIFS(AT$7:$AT641,1)</f>
        <v>7</v>
      </c>
    </row>
    <row r="642" spans="2:47" ht="12.75" hidden="1" outlineLevel="1">
      <c r="B642" s="1738" t="str">
        <f>input!B1009</f>
        <v>Pulling + Packing_Wrapping</v>
      </c>
      <c r="C642" s="313" t="str">
        <f ca="1">input!C1009</f>
        <v>N</v>
      </c>
      <c r="D642" s="1739">
        <f>input!D1009</f>
        <v>1</v>
      </c>
      <c r="E642" s="1740">
        <f>input!E1009</f>
        <v>1</v>
      </c>
      <c r="F642" s="363" t="str">
        <f ca="1">input!F1009</f>
        <v>N</v>
      </c>
      <c r="G642" s="363"/>
      <c r="H642" s="313">
        <f ca="1">IF(F642="PCS",$E$4,SUMIFS(Paper!$AC$7:$AC$58,Paper!$A$7:$A$58,'Production cost'!F642))*IF($F642="Pcs",$D642/$E642,1)</f>
        <v>0</v>
      </c>
      <c r="I642" s="313">
        <f ca="1">IF(input!$G1009&gt;0,input!$G1009,2000)</f>
        <v>2000</v>
      </c>
      <c r="J642" s="313" t="str">
        <f ca="1">input!H1009</f>
        <v>Sheets</v>
      </c>
      <c r="K642" s="360">
        <v>0</v>
      </c>
      <c r="L642" s="313">
        <f ca="1">input!I1009</f>
        <v>0</v>
      </c>
      <c r="M642" s="391">
        <f t="shared" ca="1" si="415"/>
        <v>0</v>
      </c>
      <c r="N642" s="391">
        <f t="shared" ca="1" si="416"/>
        <v>0</v>
      </c>
      <c r="P642" s="313">
        <f>Data!$N$1182</f>
        <v>59357.701116720593</v>
      </c>
      <c r="Q642" s="313">
        <f t="shared" ca="1" si="445"/>
        <v>0</v>
      </c>
      <c r="R642" s="313">
        <f t="shared" ca="1" si="417"/>
        <v>0</v>
      </c>
      <c r="S642" s="1741">
        <f t="shared" ca="1" si="418"/>
        <v>0</v>
      </c>
      <c r="T642" s="313" t="str">
        <f ca="1">input!J1009</f>
        <v>N</v>
      </c>
      <c r="V642" s="3115" t="str">
        <f>input!K1009</f>
        <v>Assembly</v>
      </c>
      <c r="W642" s="3115">
        <f t="shared" ca="1" si="407"/>
        <v>0</v>
      </c>
      <c r="X642" s="3119">
        <f>VLOOKUP(V642,'Fix Cost'!$K$177:$M$179,2,0)</f>
        <v>32032.115313968527</v>
      </c>
      <c r="Y642" s="3119">
        <f>VLOOKUP(V642,'Fix Cost'!$K$177:$M$179,3,0)</f>
        <v>267567.54920876794</v>
      </c>
      <c r="Z642" s="3119">
        <f t="shared" ca="1" si="408"/>
        <v>0</v>
      </c>
      <c r="AA642" s="3115">
        <f t="shared" ca="1" si="409"/>
        <v>0</v>
      </c>
      <c r="AB642" s="3115">
        <f t="shared" ca="1" si="410"/>
        <v>0</v>
      </c>
      <c r="AL642" s="313"/>
      <c r="AM642" s="363"/>
      <c r="AN642" s="385"/>
      <c r="AT642" s="879">
        <f t="shared" ca="1" si="419"/>
        <v>0</v>
      </c>
      <c r="AU642" s="879">
        <f ca="1">COUNTIFS(AT$7:$AT642,1)</f>
        <v>7</v>
      </c>
    </row>
    <row r="643" spans="2:47" ht="12.75" hidden="1" outlineLevel="1">
      <c r="B643" s="1738" t="str">
        <f>input!B1010</f>
        <v>Pulling + Packing_Wrapping</v>
      </c>
      <c r="C643" s="313" t="str">
        <f ca="1">input!C1010</f>
        <v>N</v>
      </c>
      <c r="D643" s="1739">
        <f>input!D1010</f>
        <v>1</v>
      </c>
      <c r="E643" s="1740">
        <f>input!E1010</f>
        <v>1</v>
      </c>
      <c r="F643" s="363" t="str">
        <f ca="1">input!F1010</f>
        <v>N</v>
      </c>
      <c r="G643" s="363"/>
      <c r="H643" s="313">
        <f ca="1">IF(F643="PCS",$E$4,SUMIFS(Paper!$AC$7:$AC$58,Paper!$A$7:$A$58,'Production cost'!F643))*IF($F643="Pcs",$D643/$E643,1)</f>
        <v>0</v>
      </c>
      <c r="I643" s="313">
        <f ca="1">IF(input!$G1010&gt;0,input!$G1010,2000)</f>
        <v>2000</v>
      </c>
      <c r="J643" s="313" t="str">
        <f ca="1">input!H1010</f>
        <v>Sheets</v>
      </c>
      <c r="K643" s="360">
        <v>0</v>
      </c>
      <c r="L643" s="313">
        <f ca="1">input!I1010</f>
        <v>0</v>
      </c>
      <c r="M643" s="391">
        <f t="shared" ca="1" si="415"/>
        <v>0</v>
      </c>
      <c r="N643" s="391">
        <f t="shared" ca="1" si="416"/>
        <v>0</v>
      </c>
      <c r="P643" s="313">
        <f>Data!$N$1182</f>
        <v>59357.701116720593</v>
      </c>
      <c r="Q643" s="313">
        <f t="shared" ca="1" si="445"/>
        <v>0</v>
      </c>
      <c r="R643" s="313">
        <f t="shared" ca="1" si="417"/>
        <v>0</v>
      </c>
      <c r="S643" s="1741">
        <f t="shared" ca="1" si="418"/>
        <v>0</v>
      </c>
      <c r="T643" s="313" t="str">
        <f ca="1">input!J1010</f>
        <v>N</v>
      </c>
      <c r="V643" s="3115" t="str">
        <f>input!K1010</f>
        <v>Assembly</v>
      </c>
      <c r="W643" s="3115">
        <f t="shared" ca="1" si="407"/>
        <v>0</v>
      </c>
      <c r="X643" s="3119">
        <f>VLOOKUP(V643,'Fix Cost'!$K$177:$M$179,2,0)</f>
        <v>32032.115313968527</v>
      </c>
      <c r="Y643" s="3119">
        <f>VLOOKUP(V643,'Fix Cost'!$K$177:$M$179,3,0)</f>
        <v>267567.54920876794</v>
      </c>
      <c r="Z643" s="3119">
        <f t="shared" ca="1" si="408"/>
        <v>0</v>
      </c>
      <c r="AA643" s="3115">
        <f t="shared" ca="1" si="409"/>
        <v>0</v>
      </c>
      <c r="AB643" s="3115">
        <f t="shared" ca="1" si="410"/>
        <v>0</v>
      </c>
      <c r="AL643" s="313"/>
      <c r="AM643" s="363"/>
      <c r="AN643" s="385"/>
      <c r="AT643" s="879">
        <f t="shared" ca="1" si="419"/>
        <v>0</v>
      </c>
      <c r="AU643" s="879">
        <f ca="1">COUNTIFS(AT$7:$AT643,1)</f>
        <v>7</v>
      </c>
    </row>
    <row r="644" spans="2:47" ht="12.75" hidden="1" outlineLevel="1">
      <c r="B644" s="1738" t="str">
        <f>input!B1011</f>
        <v>Pulling + Packing_Wrapping</v>
      </c>
      <c r="C644" s="313" t="str">
        <f ca="1">input!C1011</f>
        <v>N</v>
      </c>
      <c r="D644" s="1739">
        <f>input!D1011</f>
        <v>1</v>
      </c>
      <c r="E644" s="1740">
        <f>input!E1011</f>
        <v>1</v>
      </c>
      <c r="F644" s="363" t="str">
        <f ca="1">input!F1011</f>
        <v>N</v>
      </c>
      <c r="G644" s="363"/>
      <c r="H644" s="313">
        <f ca="1">IF(F644="PCS",$E$4,SUMIFS(Paper!$AC$7:$AC$58,Paper!$A$7:$A$58,'Production cost'!F644))*IF($F644="Pcs",$D644/$E644,1)</f>
        <v>0</v>
      </c>
      <c r="I644" s="313">
        <f ca="1">IF(input!$G1011&gt;0,input!$G1011,2000)</f>
        <v>2000</v>
      </c>
      <c r="J644" s="313" t="str">
        <f ca="1">input!H1011</f>
        <v>Sheets</v>
      </c>
      <c r="K644" s="360">
        <v>0</v>
      </c>
      <c r="L644" s="313">
        <f ca="1">input!I1011</f>
        <v>0</v>
      </c>
      <c r="M644" s="391">
        <f t="shared" ca="1" si="415"/>
        <v>0</v>
      </c>
      <c r="N644" s="391">
        <f t="shared" ca="1" si="416"/>
        <v>0</v>
      </c>
      <c r="P644" s="313">
        <f>Data!$N$1155</f>
        <v>52580.182439963428</v>
      </c>
      <c r="Q644" s="313">
        <f t="shared" ca="1" si="445"/>
        <v>0</v>
      </c>
      <c r="R644" s="313">
        <f t="shared" ca="1" si="417"/>
        <v>0</v>
      </c>
      <c r="S644" s="1741">
        <f t="shared" ca="1" si="418"/>
        <v>0</v>
      </c>
      <c r="T644" s="313" t="str">
        <f ca="1">input!J1011</f>
        <v>N</v>
      </c>
      <c r="V644" s="3115" t="str">
        <f>input!K1011</f>
        <v>Assembly</v>
      </c>
      <c r="W644" s="3115">
        <f t="shared" ca="1" si="407"/>
        <v>0</v>
      </c>
      <c r="X644" s="3119">
        <f>VLOOKUP(V644,'Fix Cost'!$K$177:$M$179,2,0)</f>
        <v>32032.115313968527</v>
      </c>
      <c r="Y644" s="3119">
        <f>VLOOKUP(V644,'Fix Cost'!$K$177:$M$179,3,0)</f>
        <v>267567.54920876794</v>
      </c>
      <c r="Z644" s="3119">
        <f t="shared" ca="1" si="408"/>
        <v>0</v>
      </c>
      <c r="AA644" s="3115">
        <f t="shared" ca="1" si="409"/>
        <v>0</v>
      </c>
      <c r="AB644" s="3115">
        <f t="shared" ca="1" si="410"/>
        <v>0</v>
      </c>
      <c r="AL644" s="313"/>
      <c r="AM644" s="363"/>
      <c r="AN644" s="385"/>
      <c r="AT644" s="879">
        <f t="shared" ca="1" si="419"/>
        <v>0</v>
      </c>
      <c r="AU644" s="879">
        <f ca="1">COUNTIFS(AT$7:$AT644,1)</f>
        <v>7</v>
      </c>
    </row>
    <row r="645" spans="2:47" ht="12.75" hidden="1" outlineLevel="1">
      <c r="B645" s="1738" t="str">
        <f>input!B1012</f>
        <v>Pulling + Packing_Wrapping</v>
      </c>
      <c r="C645" s="313" t="str">
        <f ca="1">input!C1012</f>
        <v>N</v>
      </c>
      <c r="D645" s="1739">
        <f>input!D1012</f>
        <v>1</v>
      </c>
      <c r="E645" s="1740">
        <f>input!E1012</f>
        <v>1</v>
      </c>
      <c r="F645" s="363" t="str">
        <f ca="1">input!F1012</f>
        <v>N</v>
      </c>
      <c r="G645" s="363"/>
      <c r="H645" s="313">
        <f ca="1">IF(F645="PCS",$E$4,SUMIFS(Paper!$AC$7:$AC$58,Paper!$A$7:$A$58,'Production cost'!F645))*IF($F645="Pcs",$D645/$E645,1)</f>
        <v>0</v>
      </c>
      <c r="I645" s="313">
        <f ca="1">IF(input!$G1012&gt;0,input!$G1012,2000)</f>
        <v>2000</v>
      </c>
      <c r="J645" s="313" t="str">
        <f ca="1">input!H1012</f>
        <v>Sheets</v>
      </c>
      <c r="K645" s="360">
        <v>0</v>
      </c>
      <c r="L645" s="313">
        <f ca="1">input!I1012</f>
        <v>0</v>
      </c>
      <c r="M645" s="391">
        <f t="shared" ref="M645:M649" ca="1" si="462">IF(H645&gt;0,90/60,0)*0</f>
        <v>0</v>
      </c>
      <c r="N645" s="391">
        <f t="shared" ref="N645:N649" ca="1" si="463">IF(H645&gt;0,ROUNDUP(((H645/I645)/$M$4+M645),1),0)</f>
        <v>0</v>
      </c>
      <c r="P645" s="313">
        <f>Data!$N$1155</f>
        <v>52580.182439963428</v>
      </c>
      <c r="Q645" s="313">
        <f t="shared" ref="Q645:Q649" ca="1" si="464">(N645*O645*K645+N645*P645*L645)*(1+$R$702)</f>
        <v>0</v>
      </c>
      <c r="R645" s="313">
        <f t="shared" ref="R645:R649" ca="1" si="465">IF($E$2&gt;0,Q645/$E$2,0)</f>
        <v>0</v>
      </c>
      <c r="S645" s="1741">
        <f t="shared" ref="S645:S649" ca="1" si="466">IF(M645&gt;0,K645*O645+L645*P645,0)</f>
        <v>0</v>
      </c>
      <c r="T645" s="313" t="str">
        <f ca="1">input!J1012</f>
        <v>N</v>
      </c>
      <c r="V645" s="3115" t="str">
        <f>input!K1012</f>
        <v>Assembly</v>
      </c>
      <c r="W645" s="3115">
        <f t="shared" ref="W645:W649" ca="1" si="467">N645*(L645+K645)</f>
        <v>0</v>
      </c>
      <c r="X645" s="3119">
        <f>VLOOKUP(V645,'Fix Cost'!$K$177:$M$179,2,0)</f>
        <v>32032.115313968527</v>
      </c>
      <c r="Y645" s="3119">
        <f>VLOOKUP(V645,'Fix Cost'!$K$177:$M$179,3,0)</f>
        <v>267567.54920876794</v>
      </c>
      <c r="Z645" s="3119">
        <f t="shared" ref="Z645:Z649" ca="1" si="468">IFERROR($X645*W645,0)</f>
        <v>0</v>
      </c>
      <c r="AA645" s="3115">
        <f t="shared" ref="AA645:AA649" ca="1" si="469">IFERROR(Y645*N645,0)</f>
        <v>0</v>
      </c>
      <c r="AB645" s="3115">
        <f t="shared" ref="AB645:AB649" ca="1" si="470">Z645+AA645</f>
        <v>0</v>
      </c>
      <c r="AL645" s="313"/>
      <c r="AM645" s="363"/>
      <c r="AN645" s="385"/>
      <c r="AT645" s="879">
        <f t="shared" ca="1" si="419"/>
        <v>0</v>
      </c>
      <c r="AU645" s="879">
        <f ca="1">COUNTIFS(AT$7:$AT645,1)</f>
        <v>7</v>
      </c>
    </row>
    <row r="646" spans="2:47" ht="12.75" hidden="1" outlineLevel="1">
      <c r="B646" s="1738" t="str">
        <f>input!B1013</f>
        <v>Pulling + Packing_Wrapping</v>
      </c>
      <c r="C646" s="313" t="str">
        <f ca="1">input!C1013</f>
        <v>N</v>
      </c>
      <c r="D646" s="1739">
        <f>input!D1013</f>
        <v>1</v>
      </c>
      <c r="E646" s="1740">
        <f>input!E1013</f>
        <v>1</v>
      </c>
      <c r="F646" s="363" t="str">
        <f ca="1">input!F1013</f>
        <v>N</v>
      </c>
      <c r="G646" s="363"/>
      <c r="H646" s="313">
        <f ca="1">IF(F646="PCS",$E$4,SUMIFS(Paper!$AC$7:$AC$58,Paper!$A$7:$A$58,'Production cost'!F646))*IF($F646="Pcs",$D646/$E646,1)</f>
        <v>0</v>
      </c>
      <c r="I646" s="313">
        <f ca="1">IF(input!$G1013&gt;0,input!$G1013,2000)</f>
        <v>2000</v>
      </c>
      <c r="J646" s="313" t="str">
        <f ca="1">input!H1013</f>
        <v>Sheets</v>
      </c>
      <c r="K646" s="360">
        <v>0</v>
      </c>
      <c r="L646" s="313">
        <f ca="1">input!I1013</f>
        <v>0</v>
      </c>
      <c r="M646" s="391">
        <f t="shared" ca="1" si="462"/>
        <v>0</v>
      </c>
      <c r="N646" s="391">
        <f t="shared" ca="1" si="463"/>
        <v>0</v>
      </c>
      <c r="P646" s="313">
        <f>Data!$N$1155</f>
        <v>52580.182439963428</v>
      </c>
      <c r="Q646" s="313">
        <f t="shared" ca="1" si="464"/>
        <v>0</v>
      </c>
      <c r="R646" s="313">
        <f t="shared" ca="1" si="465"/>
        <v>0</v>
      </c>
      <c r="S646" s="1741">
        <f t="shared" ca="1" si="466"/>
        <v>0</v>
      </c>
      <c r="T646" s="313" t="str">
        <f ca="1">input!J1013</f>
        <v>N</v>
      </c>
      <c r="V646" s="3115" t="str">
        <f>input!K1013</f>
        <v>Assembly</v>
      </c>
      <c r="W646" s="3115">
        <f t="shared" ca="1" si="467"/>
        <v>0</v>
      </c>
      <c r="X646" s="3119">
        <f>VLOOKUP(V646,'Fix Cost'!$K$177:$M$179,2,0)</f>
        <v>32032.115313968527</v>
      </c>
      <c r="Y646" s="3119">
        <f>VLOOKUP(V646,'Fix Cost'!$K$177:$M$179,3,0)</f>
        <v>267567.54920876794</v>
      </c>
      <c r="Z646" s="3119">
        <f t="shared" ca="1" si="468"/>
        <v>0</v>
      </c>
      <c r="AA646" s="3115">
        <f t="shared" ca="1" si="469"/>
        <v>0</v>
      </c>
      <c r="AB646" s="3115">
        <f t="shared" ca="1" si="470"/>
        <v>0</v>
      </c>
      <c r="AL646" s="313"/>
      <c r="AM646" s="363"/>
      <c r="AN646" s="385"/>
      <c r="AT646" s="879">
        <f t="shared" ca="1" si="419"/>
        <v>0</v>
      </c>
      <c r="AU646" s="879">
        <f ca="1">COUNTIFS(AT$7:$AT646,1)</f>
        <v>7</v>
      </c>
    </row>
    <row r="647" spans="2:47" ht="12.75" hidden="1" outlineLevel="1">
      <c r="B647" s="1738" t="str">
        <f>input!B1014</f>
        <v>Pulling + Packing_Wrapping</v>
      </c>
      <c r="C647" s="313" t="str">
        <f ca="1">input!C1014</f>
        <v>N</v>
      </c>
      <c r="D647" s="1739">
        <f>input!D1014</f>
        <v>1</v>
      </c>
      <c r="E647" s="1740">
        <f>input!E1014</f>
        <v>1</v>
      </c>
      <c r="F647" s="363" t="str">
        <f ca="1">input!F1014</f>
        <v>N</v>
      </c>
      <c r="G647" s="363"/>
      <c r="H647" s="313">
        <f ca="1">IF(F647="PCS",$E$4,SUMIFS(Paper!$AC$7:$AC$58,Paper!$A$7:$A$58,'Production cost'!F647))*IF($F647="Pcs",$D647/$E647,1)</f>
        <v>0</v>
      </c>
      <c r="I647" s="313">
        <f ca="1">IF(input!$G1014&gt;0,input!$G1014,2000)</f>
        <v>2000</v>
      </c>
      <c r="J647" s="313" t="str">
        <f ca="1">input!H1014</f>
        <v>Sheets</v>
      </c>
      <c r="K647" s="360">
        <v>0</v>
      </c>
      <c r="L647" s="313">
        <f ca="1">input!I1014</f>
        <v>0</v>
      </c>
      <c r="M647" s="391">
        <f t="shared" ca="1" si="462"/>
        <v>0</v>
      </c>
      <c r="N647" s="391">
        <f t="shared" ca="1" si="463"/>
        <v>0</v>
      </c>
      <c r="P647" s="313">
        <f>Data!$N$1155</f>
        <v>52580.182439963428</v>
      </c>
      <c r="Q647" s="313">
        <f t="shared" ca="1" si="464"/>
        <v>0</v>
      </c>
      <c r="R647" s="313">
        <f t="shared" ca="1" si="465"/>
        <v>0</v>
      </c>
      <c r="S647" s="1741">
        <f t="shared" ca="1" si="466"/>
        <v>0</v>
      </c>
      <c r="T647" s="313" t="str">
        <f ca="1">input!J1014</f>
        <v>N</v>
      </c>
      <c r="V647" s="3115" t="str">
        <f>input!K1014</f>
        <v>Assembly</v>
      </c>
      <c r="W647" s="3115">
        <f t="shared" ca="1" si="467"/>
        <v>0</v>
      </c>
      <c r="X647" s="3119">
        <f>VLOOKUP(V647,'Fix Cost'!$K$177:$M$179,2,0)</f>
        <v>32032.115313968527</v>
      </c>
      <c r="Y647" s="3119">
        <f>VLOOKUP(V647,'Fix Cost'!$K$177:$M$179,3,0)</f>
        <v>267567.54920876794</v>
      </c>
      <c r="Z647" s="3119">
        <f t="shared" ca="1" si="468"/>
        <v>0</v>
      </c>
      <c r="AA647" s="3115">
        <f t="shared" ca="1" si="469"/>
        <v>0</v>
      </c>
      <c r="AB647" s="3115">
        <f t="shared" ca="1" si="470"/>
        <v>0</v>
      </c>
      <c r="AL647" s="313"/>
      <c r="AM647" s="363"/>
      <c r="AN647" s="385"/>
      <c r="AT647" s="879">
        <f t="shared" ca="1" si="419"/>
        <v>0</v>
      </c>
      <c r="AU647" s="879">
        <f ca="1">COUNTIFS(AT$7:$AT647,1)</f>
        <v>7</v>
      </c>
    </row>
    <row r="648" spans="2:47" ht="12.75" hidden="1" outlineLevel="1">
      <c r="B648" s="1738" t="str">
        <f>input!B1015</f>
        <v>Pulling + Packing_Wrapping</v>
      </c>
      <c r="C648" s="313" t="str">
        <f ca="1">input!C1015</f>
        <v>1st</v>
      </c>
      <c r="D648" s="1739">
        <f>input!D1015</f>
        <v>1</v>
      </c>
      <c r="E648" s="1740">
        <f>input!E1015</f>
        <v>1</v>
      </c>
      <c r="F648" s="363" t="str">
        <f ca="1">input!F1015</f>
        <v>N</v>
      </c>
      <c r="G648" s="363"/>
      <c r="H648" s="313">
        <f ca="1">IF(F648="PCS",$E$4,SUMIFS(Paper!$AC$7:$AC$58,Paper!$A$7:$A$58,'Production cost'!F648))*IF($F648="Pcs",$D648/$E648,1)</f>
        <v>0</v>
      </c>
      <c r="I648" s="313">
        <f ca="1">IF(input!$G1015&gt;0,input!$G1015,2000)</f>
        <v>2000</v>
      </c>
      <c r="J648" s="313" t="str">
        <f ca="1">input!H1015</f>
        <v>Sheets</v>
      </c>
      <c r="K648" s="360">
        <v>0</v>
      </c>
      <c r="L648" s="313">
        <f ca="1">input!I1015</f>
        <v>0</v>
      </c>
      <c r="M648" s="391">
        <f t="shared" ca="1" si="462"/>
        <v>0</v>
      </c>
      <c r="N648" s="391">
        <f t="shared" ca="1" si="463"/>
        <v>0</v>
      </c>
      <c r="P648" s="313">
        <f>Data!$N$1155</f>
        <v>52580.182439963428</v>
      </c>
      <c r="Q648" s="313">
        <f t="shared" ca="1" si="464"/>
        <v>0</v>
      </c>
      <c r="R648" s="313">
        <f t="shared" ca="1" si="465"/>
        <v>0</v>
      </c>
      <c r="S648" s="1741">
        <f t="shared" ca="1" si="466"/>
        <v>0</v>
      </c>
      <c r="T648" s="313" t="str">
        <f ca="1">input!J1015</f>
        <v>1st</v>
      </c>
      <c r="V648" s="3115" t="str">
        <f>input!K1015</f>
        <v>Assembly</v>
      </c>
      <c r="W648" s="3115">
        <f t="shared" ca="1" si="467"/>
        <v>0</v>
      </c>
      <c r="X648" s="3119">
        <f>VLOOKUP(V648,'Fix Cost'!$K$177:$M$179,2,0)</f>
        <v>32032.115313968527</v>
      </c>
      <c r="Y648" s="3119">
        <f>VLOOKUP(V648,'Fix Cost'!$K$177:$M$179,3,0)</f>
        <v>267567.54920876794</v>
      </c>
      <c r="Z648" s="3119">
        <f t="shared" ca="1" si="468"/>
        <v>0</v>
      </c>
      <c r="AA648" s="3115">
        <f t="shared" ca="1" si="469"/>
        <v>0</v>
      </c>
      <c r="AB648" s="3115">
        <f t="shared" ca="1" si="470"/>
        <v>0</v>
      </c>
      <c r="AL648" s="313"/>
      <c r="AM648" s="363"/>
      <c r="AN648" s="385"/>
      <c r="AT648" s="879">
        <f t="shared" ca="1" si="419"/>
        <v>0</v>
      </c>
      <c r="AU648" s="879">
        <f ca="1">COUNTIFS(AT$7:$AT648,1)</f>
        <v>7</v>
      </c>
    </row>
    <row r="649" spans="2:47" ht="12.75" hidden="1" outlineLevel="1">
      <c r="B649" s="1738" t="str">
        <f>input!B1016</f>
        <v>Pulling + Packing_Wrapping</v>
      </c>
      <c r="C649" s="313" t="str">
        <f ca="1">input!C1016</f>
        <v>1st</v>
      </c>
      <c r="D649" s="1739">
        <f>input!D1016</f>
        <v>1</v>
      </c>
      <c r="E649" s="1740">
        <f>input!E1016</f>
        <v>1</v>
      </c>
      <c r="F649" s="363" t="str">
        <f ca="1">input!F1016</f>
        <v>N</v>
      </c>
      <c r="G649" s="363"/>
      <c r="H649" s="313">
        <f ca="1">IF(F649="PCS",$E$4,SUMIFS(Paper!$AC$7:$AC$58,Paper!$A$7:$A$58,'Production cost'!F649))*IF($F649="Pcs",$D649/$E649,1)</f>
        <v>0</v>
      </c>
      <c r="I649" s="313">
        <f ca="1">IF(input!$G1016&gt;0,input!$G1016,2000)</f>
        <v>2000</v>
      </c>
      <c r="J649" s="313" t="str">
        <f ca="1">input!H1016</f>
        <v>Sheets</v>
      </c>
      <c r="K649" s="360">
        <v>0</v>
      </c>
      <c r="L649" s="313">
        <f ca="1">input!I1016</f>
        <v>0</v>
      </c>
      <c r="M649" s="391">
        <f t="shared" ca="1" si="462"/>
        <v>0</v>
      </c>
      <c r="N649" s="391">
        <f t="shared" ca="1" si="463"/>
        <v>0</v>
      </c>
      <c r="P649" s="313">
        <f>Data!$N$1155</f>
        <v>52580.182439963428</v>
      </c>
      <c r="Q649" s="313">
        <f t="shared" ca="1" si="464"/>
        <v>0</v>
      </c>
      <c r="R649" s="313">
        <f t="shared" ca="1" si="465"/>
        <v>0</v>
      </c>
      <c r="S649" s="1741">
        <f t="shared" ca="1" si="466"/>
        <v>0</v>
      </c>
      <c r="T649" s="313" t="str">
        <f ca="1">input!J1016</f>
        <v>1st</v>
      </c>
      <c r="V649" s="3115" t="str">
        <f>input!K1016</f>
        <v>Assembly</v>
      </c>
      <c r="W649" s="3115">
        <f t="shared" ca="1" si="467"/>
        <v>0</v>
      </c>
      <c r="X649" s="3119">
        <f>VLOOKUP(V649,'Fix Cost'!$K$177:$M$179,2,0)</f>
        <v>32032.115313968527</v>
      </c>
      <c r="Y649" s="3119">
        <f>VLOOKUP(V649,'Fix Cost'!$K$177:$M$179,3,0)</f>
        <v>267567.54920876794</v>
      </c>
      <c r="Z649" s="3119">
        <f t="shared" ca="1" si="468"/>
        <v>0</v>
      </c>
      <c r="AA649" s="3115">
        <f t="shared" ca="1" si="469"/>
        <v>0</v>
      </c>
      <c r="AB649" s="3115">
        <f t="shared" ca="1" si="470"/>
        <v>0</v>
      </c>
      <c r="AL649" s="313"/>
      <c r="AM649" s="363"/>
      <c r="AN649" s="385"/>
      <c r="AT649" s="879">
        <f t="shared" ca="1" si="419"/>
        <v>0</v>
      </c>
      <c r="AU649" s="879">
        <f ca="1">COUNTIFS(AT$7:$AT649,1)</f>
        <v>7</v>
      </c>
    </row>
    <row r="650" spans="2:47" ht="12.75" hidden="1" outlineLevel="1">
      <c r="B650" s="1738" t="str">
        <f>input!B1017</f>
        <v>Grinding CB 1st</v>
      </c>
      <c r="C650" s="313" t="str">
        <f ca="1">input!C1017</f>
        <v>N</v>
      </c>
      <c r="D650" s="1739">
        <f>input!D1017</f>
        <v>1</v>
      </c>
      <c r="E650" s="1740">
        <f>input!E1017</f>
        <v>1</v>
      </c>
      <c r="F650" s="363" t="str">
        <f ca="1">input!F1017</f>
        <v>N</v>
      </c>
      <c r="G650" s="363"/>
      <c r="H650" s="313">
        <f ca="1">IF(F650="PCS",$E$4,SUMIFS(Paper!$AC$7:$AC$58,Paper!$A$7:$A$58,'Production cost'!F650))*IF($F650="Pcs",$D650/$E650,1)</f>
        <v>0</v>
      </c>
      <c r="I650" s="313">
        <f ca="1">IF(input!$G1017&gt;0,input!$G1017,2000)</f>
        <v>2000</v>
      </c>
      <c r="J650" s="313" t="str">
        <f ca="1">input!H1017</f>
        <v>Sheets</v>
      </c>
      <c r="K650" s="360">
        <v>0</v>
      </c>
      <c r="L650" s="313">
        <f ca="1">input!I1017</f>
        <v>0</v>
      </c>
      <c r="M650" s="391">
        <f t="shared" ref="M650:M669" ca="1" si="471">IF(H650&gt;0,90/60,0)*0</f>
        <v>0</v>
      </c>
      <c r="N650" s="391">
        <f t="shared" ref="N650:N669" ca="1" si="472">IF(H650&gt;0,ROUNDUP(((H650/I650)/$M$4+M650),1),0)</f>
        <v>0</v>
      </c>
      <c r="P650" s="313">
        <f>Data!$N$1155</f>
        <v>52580.182439963428</v>
      </c>
      <c r="Q650" s="313">
        <f t="shared" ref="Q650:Q694" ca="1" si="473">(N650*O650*K650+N650*P650*L650)*(1+$R$702)</f>
        <v>0</v>
      </c>
      <c r="R650" s="313">
        <f t="shared" ref="R650:R669" ca="1" si="474">IF($E$2&gt;0,Q650/$E$2,0)</f>
        <v>0</v>
      </c>
      <c r="S650" s="1741">
        <f t="shared" ref="S650:S669" ca="1" si="475">IF(M650&gt;0,K650*O650+L650*P650,0)</f>
        <v>0</v>
      </c>
      <c r="T650" s="313" t="str">
        <f ca="1">input!J1017</f>
        <v>N</v>
      </c>
      <c r="V650" s="3115" t="str">
        <f>input!K1017</f>
        <v>Assembly</v>
      </c>
      <c r="W650" s="3115">
        <f t="shared" ref="W650:W669" ca="1" si="476">N650*(L650+K650)</f>
        <v>0</v>
      </c>
      <c r="X650" s="3119">
        <f>VLOOKUP(V650,'Fix Cost'!$K$177:$M$179,2,0)</f>
        <v>32032.115313968527</v>
      </c>
      <c r="Y650" s="3119">
        <f>VLOOKUP(V650,'Fix Cost'!$K$177:$M$179,3,0)</f>
        <v>267567.54920876794</v>
      </c>
      <c r="Z650" s="3119">
        <f t="shared" ref="Z650:Z669" ca="1" si="477">IFERROR($X650*W650,0)</f>
        <v>0</v>
      </c>
      <c r="AA650" s="3115">
        <f t="shared" ref="AA650:AA669" ca="1" si="478">IFERROR(Y650*N650,0)</f>
        <v>0</v>
      </c>
      <c r="AB650" s="3115">
        <f t="shared" ref="AB650:AB669" ca="1" si="479">Z650+AA650</f>
        <v>0</v>
      </c>
      <c r="AL650" s="313"/>
      <c r="AM650" s="363"/>
      <c r="AN650" s="385"/>
      <c r="AT650" s="879">
        <f t="shared" ca="1" si="419"/>
        <v>0</v>
      </c>
      <c r="AU650" s="879">
        <f ca="1">COUNTIFS(AT$7:$AT650,1)</f>
        <v>7</v>
      </c>
    </row>
    <row r="651" spans="2:47" ht="12.75" hidden="1" outlineLevel="1">
      <c r="B651" s="1738" t="str">
        <f>input!B1018</f>
        <v>Grinding CB 1st</v>
      </c>
      <c r="C651" s="313" t="str">
        <f ca="1">input!C1018</f>
        <v>N</v>
      </c>
      <c r="D651" s="1739">
        <f>input!D1018</f>
        <v>1</v>
      </c>
      <c r="E651" s="1740">
        <f>input!E1018</f>
        <v>1</v>
      </c>
      <c r="F651" s="363" t="str">
        <f ca="1">input!F1018</f>
        <v>N</v>
      </c>
      <c r="G651" s="363"/>
      <c r="H651" s="313">
        <f ca="1">IF(F651="PCS",$E$4,SUMIFS(Paper!$AC$7:$AC$58,Paper!$A$7:$A$58,'Production cost'!F651))*IF($F651="Pcs",$D651/$E651,1)</f>
        <v>0</v>
      </c>
      <c r="I651" s="313">
        <f ca="1">IF(input!$G1018&gt;0,input!$G1018,2000)</f>
        <v>2000</v>
      </c>
      <c r="J651" s="313" t="str">
        <f ca="1">input!H1018</f>
        <v>Sheets</v>
      </c>
      <c r="K651" s="360">
        <v>0</v>
      </c>
      <c r="L651" s="313">
        <f ca="1">input!I1018</f>
        <v>0</v>
      </c>
      <c r="M651" s="391">
        <f t="shared" ca="1" si="471"/>
        <v>0</v>
      </c>
      <c r="N651" s="391">
        <f t="shared" ca="1" si="472"/>
        <v>0</v>
      </c>
      <c r="P651" s="313">
        <f>Data!$N$1155</f>
        <v>52580.182439963428</v>
      </c>
      <c r="Q651" s="313">
        <f t="shared" ca="1" si="473"/>
        <v>0</v>
      </c>
      <c r="R651" s="313">
        <f t="shared" ca="1" si="474"/>
        <v>0</v>
      </c>
      <c r="S651" s="1741">
        <f t="shared" ca="1" si="475"/>
        <v>0</v>
      </c>
      <c r="T651" s="313" t="str">
        <f ca="1">input!J1018</f>
        <v>N</v>
      </c>
      <c r="V651" s="3115" t="str">
        <f>input!K1018</f>
        <v>Assembly</v>
      </c>
      <c r="W651" s="3115">
        <f t="shared" ca="1" si="476"/>
        <v>0</v>
      </c>
      <c r="X651" s="3119">
        <f>VLOOKUP(V651,'Fix Cost'!$K$177:$M$179,2,0)</f>
        <v>32032.115313968527</v>
      </c>
      <c r="Y651" s="3119">
        <f>VLOOKUP(V651,'Fix Cost'!$K$177:$M$179,3,0)</f>
        <v>267567.54920876794</v>
      </c>
      <c r="Z651" s="3119">
        <f t="shared" ca="1" si="477"/>
        <v>0</v>
      </c>
      <c r="AA651" s="3115">
        <f t="shared" ca="1" si="478"/>
        <v>0</v>
      </c>
      <c r="AB651" s="3115">
        <f t="shared" ca="1" si="479"/>
        <v>0</v>
      </c>
      <c r="AL651" s="313"/>
      <c r="AM651" s="363"/>
      <c r="AN651" s="385"/>
      <c r="AT651" s="879">
        <f t="shared" ca="1" si="419"/>
        <v>0</v>
      </c>
      <c r="AU651" s="879">
        <f ca="1">COUNTIFS(AT$7:$AT651,1)</f>
        <v>7</v>
      </c>
    </row>
    <row r="652" spans="2:47" ht="12.75" hidden="1" outlineLevel="1">
      <c r="B652" s="1738" t="str">
        <f>input!B1019</f>
        <v>Grinding CB 1st</v>
      </c>
      <c r="C652" s="313" t="str">
        <f ca="1">input!C1019</f>
        <v>N</v>
      </c>
      <c r="D652" s="1739">
        <f>input!D1019</f>
        <v>1</v>
      </c>
      <c r="E652" s="1740">
        <f>input!E1019</f>
        <v>1</v>
      </c>
      <c r="F652" s="363" t="str">
        <f ca="1">input!F1019</f>
        <v>N</v>
      </c>
      <c r="G652" s="363"/>
      <c r="H652" s="313">
        <f ca="1">IF(F652="PCS",$E$4,SUMIFS(Paper!$AC$7:$AC$58,Paper!$A$7:$A$58,'Production cost'!F652))*IF($F652="Pcs",$D652/$E652,1)</f>
        <v>0</v>
      </c>
      <c r="I652" s="313">
        <f ca="1">IF(input!$G1019&gt;0,input!$G1019,2000)</f>
        <v>2000</v>
      </c>
      <c r="J652" s="313" t="str">
        <f ca="1">input!H1019</f>
        <v>Sheets</v>
      </c>
      <c r="K652" s="360">
        <v>0</v>
      </c>
      <c r="L652" s="313">
        <f ca="1">input!I1019</f>
        <v>0</v>
      </c>
      <c r="M652" s="391">
        <f t="shared" ca="1" si="471"/>
        <v>0</v>
      </c>
      <c r="N652" s="391">
        <f t="shared" ca="1" si="472"/>
        <v>0</v>
      </c>
      <c r="P652" s="313">
        <f>Data!$N$1155</f>
        <v>52580.182439963428</v>
      </c>
      <c r="Q652" s="313">
        <f t="shared" ca="1" si="473"/>
        <v>0</v>
      </c>
      <c r="R652" s="313">
        <f t="shared" ca="1" si="474"/>
        <v>0</v>
      </c>
      <c r="S652" s="1741">
        <f t="shared" ca="1" si="475"/>
        <v>0</v>
      </c>
      <c r="T652" s="313" t="str">
        <f ca="1">input!J1019</f>
        <v>N</v>
      </c>
      <c r="V652" s="3115" t="str">
        <f>input!K1019</f>
        <v>Assembly</v>
      </c>
      <c r="W652" s="3115">
        <f t="shared" ca="1" si="476"/>
        <v>0</v>
      </c>
      <c r="X652" s="3119">
        <f>VLOOKUP(V652,'Fix Cost'!$K$177:$M$179,2,0)</f>
        <v>32032.115313968527</v>
      </c>
      <c r="Y652" s="3119">
        <f>VLOOKUP(V652,'Fix Cost'!$K$177:$M$179,3,0)</f>
        <v>267567.54920876794</v>
      </c>
      <c r="Z652" s="3119">
        <f t="shared" ca="1" si="477"/>
        <v>0</v>
      </c>
      <c r="AA652" s="3115">
        <f t="shared" ca="1" si="478"/>
        <v>0</v>
      </c>
      <c r="AB652" s="3115">
        <f t="shared" ca="1" si="479"/>
        <v>0</v>
      </c>
      <c r="AL652" s="313"/>
      <c r="AM652" s="363"/>
      <c r="AN652" s="385"/>
      <c r="AT652" s="879">
        <f t="shared" ca="1" si="419"/>
        <v>0</v>
      </c>
      <c r="AU652" s="879">
        <f ca="1">COUNTIFS(AT$7:$AT652,1)</f>
        <v>7</v>
      </c>
    </row>
    <row r="653" spans="2:47" ht="12.75" hidden="1" outlineLevel="1">
      <c r="B653" s="1738" t="str">
        <f>input!B1020</f>
        <v>Grinding CB 1st</v>
      </c>
      <c r="C653" s="313" t="str">
        <f ca="1">input!C1020</f>
        <v>N</v>
      </c>
      <c r="D653" s="1739">
        <f>input!D1020</f>
        <v>1</v>
      </c>
      <c r="E653" s="1740">
        <f>input!E1020</f>
        <v>1</v>
      </c>
      <c r="F653" s="363" t="str">
        <f ca="1">input!F1020</f>
        <v>N</v>
      </c>
      <c r="G653" s="363"/>
      <c r="H653" s="313">
        <f ca="1">IF(F653="PCS",$E$4,SUMIFS(Paper!$AC$7:$AC$58,Paper!$A$7:$A$58,'Production cost'!F653))*IF($F653="Pcs",$D653/$E653,1)</f>
        <v>0</v>
      </c>
      <c r="I653" s="313">
        <f ca="1">IF(input!$G1020&gt;0,input!$G1020,2000)</f>
        <v>2000</v>
      </c>
      <c r="J653" s="313" t="str">
        <f ca="1">input!H1020</f>
        <v>Sheets</v>
      </c>
      <c r="K653" s="360">
        <v>0</v>
      </c>
      <c r="L653" s="313">
        <f ca="1">input!I1020</f>
        <v>0</v>
      </c>
      <c r="M653" s="391">
        <f t="shared" ca="1" si="471"/>
        <v>0</v>
      </c>
      <c r="N653" s="391">
        <f t="shared" ca="1" si="472"/>
        <v>0</v>
      </c>
      <c r="P653" s="313">
        <f>Data!$N$1155</f>
        <v>52580.182439963428</v>
      </c>
      <c r="Q653" s="313">
        <f t="shared" ca="1" si="473"/>
        <v>0</v>
      </c>
      <c r="R653" s="313">
        <f t="shared" ca="1" si="474"/>
        <v>0</v>
      </c>
      <c r="S653" s="1741">
        <f t="shared" ca="1" si="475"/>
        <v>0</v>
      </c>
      <c r="T653" s="313" t="str">
        <f ca="1">input!J1020</f>
        <v>N</v>
      </c>
      <c r="V653" s="3115" t="str">
        <f>input!K1020</f>
        <v>Assembly</v>
      </c>
      <c r="W653" s="3115">
        <f t="shared" ca="1" si="476"/>
        <v>0</v>
      </c>
      <c r="X653" s="3119">
        <f>VLOOKUP(V653,'Fix Cost'!$K$177:$M$179,2,0)</f>
        <v>32032.115313968527</v>
      </c>
      <c r="Y653" s="3119">
        <f>VLOOKUP(V653,'Fix Cost'!$K$177:$M$179,3,0)</f>
        <v>267567.54920876794</v>
      </c>
      <c r="Z653" s="3119">
        <f t="shared" ca="1" si="477"/>
        <v>0</v>
      </c>
      <c r="AA653" s="3115">
        <f t="shared" ca="1" si="478"/>
        <v>0</v>
      </c>
      <c r="AB653" s="3115">
        <f t="shared" ca="1" si="479"/>
        <v>0</v>
      </c>
      <c r="AL653" s="313"/>
      <c r="AM653" s="363"/>
      <c r="AN653" s="385"/>
      <c r="AT653" s="879">
        <f t="shared" ca="1" si="419"/>
        <v>0</v>
      </c>
      <c r="AU653" s="879">
        <f ca="1">COUNTIFS(AT$7:$AT653,1)</f>
        <v>7</v>
      </c>
    </row>
    <row r="654" spans="2:47" ht="12.75" hidden="1" outlineLevel="1">
      <c r="B654" s="1738" t="str">
        <f>input!B1021</f>
        <v>Grinding CB 1st</v>
      </c>
      <c r="C654" s="313" t="str">
        <f ca="1">input!C1021</f>
        <v>N</v>
      </c>
      <c r="D654" s="1739">
        <f>input!D1021</f>
        <v>1</v>
      </c>
      <c r="E654" s="1740">
        <f>input!E1021</f>
        <v>1</v>
      </c>
      <c r="F654" s="363" t="str">
        <f ca="1">input!F1021</f>
        <v>N</v>
      </c>
      <c r="G654" s="363"/>
      <c r="H654" s="313">
        <f ca="1">IF(F654="PCS",$E$4,SUMIFS(Paper!$AC$7:$AC$58,Paper!$A$7:$A$58,'Production cost'!F654))*IF($F654="Pcs",$D654/$E654,1)</f>
        <v>0</v>
      </c>
      <c r="I654" s="313">
        <f ca="1">IF(input!$G1021&gt;0,input!$G1021,2000)</f>
        <v>2000</v>
      </c>
      <c r="J654" s="313" t="str">
        <f ca="1">input!H1021</f>
        <v>Sheets</v>
      </c>
      <c r="K654" s="360">
        <v>0</v>
      </c>
      <c r="L654" s="313">
        <f ca="1">input!I1021</f>
        <v>0</v>
      </c>
      <c r="M654" s="391">
        <f t="shared" ca="1" si="471"/>
        <v>0</v>
      </c>
      <c r="N654" s="391">
        <f t="shared" ca="1" si="472"/>
        <v>0</v>
      </c>
      <c r="P654" s="313">
        <f>Data!$N$1155</f>
        <v>52580.182439963428</v>
      </c>
      <c r="Q654" s="313">
        <f t="shared" ca="1" si="473"/>
        <v>0</v>
      </c>
      <c r="R654" s="313">
        <f t="shared" ca="1" si="474"/>
        <v>0</v>
      </c>
      <c r="S654" s="1741">
        <f t="shared" ca="1" si="475"/>
        <v>0</v>
      </c>
      <c r="T654" s="313" t="str">
        <f ca="1">input!J1021</f>
        <v>N</v>
      </c>
      <c r="V654" s="3115" t="str">
        <f>input!K1021</f>
        <v>Assembly</v>
      </c>
      <c r="W654" s="3115">
        <f t="shared" ca="1" si="476"/>
        <v>0</v>
      </c>
      <c r="X654" s="3119">
        <f>VLOOKUP(V654,'Fix Cost'!$K$177:$M$179,2,0)</f>
        <v>32032.115313968527</v>
      </c>
      <c r="Y654" s="3119">
        <f>VLOOKUP(V654,'Fix Cost'!$K$177:$M$179,3,0)</f>
        <v>267567.54920876794</v>
      </c>
      <c r="Z654" s="3119">
        <f t="shared" ca="1" si="477"/>
        <v>0</v>
      </c>
      <c r="AA654" s="3115">
        <f t="shared" ca="1" si="478"/>
        <v>0</v>
      </c>
      <c r="AB654" s="3115">
        <f t="shared" ca="1" si="479"/>
        <v>0</v>
      </c>
      <c r="AL654" s="313"/>
      <c r="AM654" s="363"/>
      <c r="AN654" s="385"/>
      <c r="AT654" s="879">
        <f t="shared" ca="1" si="419"/>
        <v>0</v>
      </c>
      <c r="AU654" s="879">
        <f ca="1">COUNTIFS(AT$7:$AT654,1)</f>
        <v>7</v>
      </c>
    </row>
    <row r="655" spans="2:47" ht="12.75" hidden="1" outlineLevel="1">
      <c r="B655" s="1738" t="str">
        <f>input!B1022</f>
        <v>Grinding CB 1st</v>
      </c>
      <c r="C655" s="313" t="str">
        <f ca="1">input!C1022</f>
        <v>N</v>
      </c>
      <c r="D655" s="1739">
        <f>input!D1022</f>
        <v>1</v>
      </c>
      <c r="E655" s="1740">
        <f>input!E1022</f>
        <v>1</v>
      </c>
      <c r="F655" s="363" t="str">
        <f ca="1">input!F1022</f>
        <v>N</v>
      </c>
      <c r="G655" s="363"/>
      <c r="H655" s="313">
        <f ca="1">IF(F655="PCS",$E$4,SUMIFS(Paper!$AC$7:$AC$58,Paper!$A$7:$A$58,'Production cost'!F655))*IF($F655="Pcs",$D655/$E655,1)</f>
        <v>0</v>
      </c>
      <c r="I655" s="313">
        <f ca="1">IF(input!$G1022&gt;0,input!$G1022,2000)</f>
        <v>2000</v>
      </c>
      <c r="J655" s="313" t="str">
        <f ca="1">input!H1022</f>
        <v>Sheets</v>
      </c>
      <c r="K655" s="360">
        <v>0</v>
      </c>
      <c r="L655" s="313">
        <f ca="1">input!I1022</f>
        <v>0</v>
      </c>
      <c r="M655" s="391">
        <f t="shared" ca="1" si="471"/>
        <v>0</v>
      </c>
      <c r="N655" s="391">
        <f t="shared" ca="1" si="472"/>
        <v>0</v>
      </c>
      <c r="P655" s="313">
        <f>Data!$N$1155</f>
        <v>52580.182439963428</v>
      </c>
      <c r="Q655" s="313">
        <f t="shared" ca="1" si="473"/>
        <v>0</v>
      </c>
      <c r="R655" s="313">
        <f t="shared" ca="1" si="474"/>
        <v>0</v>
      </c>
      <c r="S655" s="1741">
        <f t="shared" ca="1" si="475"/>
        <v>0</v>
      </c>
      <c r="T655" s="313" t="str">
        <f ca="1">input!J1022</f>
        <v>N</v>
      </c>
      <c r="V655" s="3115" t="str">
        <f>input!K1022</f>
        <v>Assembly</v>
      </c>
      <c r="W655" s="3115">
        <f t="shared" ca="1" si="476"/>
        <v>0</v>
      </c>
      <c r="X655" s="3119">
        <f>VLOOKUP(V655,'Fix Cost'!$K$177:$M$179,2,0)</f>
        <v>32032.115313968527</v>
      </c>
      <c r="Y655" s="3119">
        <f>VLOOKUP(V655,'Fix Cost'!$K$177:$M$179,3,0)</f>
        <v>267567.54920876794</v>
      </c>
      <c r="Z655" s="3119">
        <f t="shared" ca="1" si="477"/>
        <v>0</v>
      </c>
      <c r="AA655" s="3115">
        <f t="shared" ca="1" si="478"/>
        <v>0</v>
      </c>
      <c r="AB655" s="3115">
        <f t="shared" ca="1" si="479"/>
        <v>0</v>
      </c>
      <c r="AL655" s="313"/>
      <c r="AM655" s="363"/>
      <c r="AN655" s="385"/>
      <c r="AT655" s="879">
        <f t="shared" ca="1" si="419"/>
        <v>0</v>
      </c>
      <c r="AU655" s="879">
        <f ca="1">COUNTIFS(AT$7:$AT655,1)</f>
        <v>7</v>
      </c>
    </row>
    <row r="656" spans="2:47" ht="12.75" hidden="1" outlineLevel="1">
      <c r="B656" s="1738" t="str">
        <f>input!B1023</f>
        <v>Grinding CB 1st</v>
      </c>
      <c r="C656" s="313" t="str">
        <f ca="1">input!C1023</f>
        <v>N</v>
      </c>
      <c r="D656" s="1739">
        <f>input!D1023</f>
        <v>1</v>
      </c>
      <c r="E656" s="1740">
        <f>input!E1023</f>
        <v>1</v>
      </c>
      <c r="F656" s="363" t="str">
        <f ca="1">input!F1023</f>
        <v>N</v>
      </c>
      <c r="G656" s="363"/>
      <c r="H656" s="313">
        <f ca="1">IF(F656="PCS",$E$4,SUMIFS(Paper!$AC$7:$AC$58,Paper!$A$7:$A$58,'Production cost'!F656))*IF($F656="Pcs",$D656/$E656,1)</f>
        <v>0</v>
      </c>
      <c r="I656" s="313">
        <f ca="1">IF(input!$G1023&gt;0,input!$G1023,2000)</f>
        <v>2000</v>
      </c>
      <c r="J656" s="313" t="str">
        <f ca="1">input!H1023</f>
        <v>Sheets</v>
      </c>
      <c r="K656" s="360">
        <v>0</v>
      </c>
      <c r="L656" s="313">
        <f ca="1">input!I1023</f>
        <v>0</v>
      </c>
      <c r="M656" s="391">
        <f t="shared" ca="1" si="471"/>
        <v>0</v>
      </c>
      <c r="N656" s="391">
        <f t="shared" ca="1" si="472"/>
        <v>0</v>
      </c>
      <c r="P656" s="313">
        <f>Data!$N$1155</f>
        <v>52580.182439963428</v>
      </c>
      <c r="Q656" s="313">
        <f t="shared" ca="1" si="473"/>
        <v>0</v>
      </c>
      <c r="R656" s="313">
        <f t="shared" ca="1" si="474"/>
        <v>0</v>
      </c>
      <c r="S656" s="1741">
        <f t="shared" ca="1" si="475"/>
        <v>0</v>
      </c>
      <c r="T656" s="313" t="str">
        <f ca="1">input!J1023</f>
        <v>N</v>
      </c>
      <c r="V656" s="3115" t="str">
        <f>input!K1023</f>
        <v>Assembly</v>
      </c>
      <c r="W656" s="3115">
        <f t="shared" ca="1" si="476"/>
        <v>0</v>
      </c>
      <c r="X656" s="3119">
        <f>VLOOKUP(V656,'Fix Cost'!$K$177:$M$179,2,0)</f>
        <v>32032.115313968527</v>
      </c>
      <c r="Y656" s="3119">
        <f>VLOOKUP(V656,'Fix Cost'!$K$177:$M$179,3,0)</f>
        <v>267567.54920876794</v>
      </c>
      <c r="Z656" s="3119">
        <f t="shared" ca="1" si="477"/>
        <v>0</v>
      </c>
      <c r="AA656" s="3115">
        <f t="shared" ca="1" si="478"/>
        <v>0</v>
      </c>
      <c r="AB656" s="3115">
        <f t="shared" ca="1" si="479"/>
        <v>0</v>
      </c>
      <c r="AL656" s="313"/>
      <c r="AM656" s="363"/>
      <c r="AN656" s="385"/>
      <c r="AT656" s="879">
        <f t="shared" ca="1" si="419"/>
        <v>0</v>
      </c>
      <c r="AU656" s="879">
        <f ca="1">COUNTIFS(AT$7:$AT656,1)</f>
        <v>7</v>
      </c>
    </row>
    <row r="657" spans="2:47" ht="12.75" hidden="1" outlineLevel="1">
      <c r="B657" s="1738" t="str">
        <f>input!B1024</f>
        <v>Grinding CB 1st</v>
      </c>
      <c r="C657" s="313" t="str">
        <f ca="1">input!C1024</f>
        <v>N</v>
      </c>
      <c r="D657" s="1739">
        <f>input!D1024</f>
        <v>1</v>
      </c>
      <c r="E657" s="1740">
        <f>input!E1024</f>
        <v>1</v>
      </c>
      <c r="F657" s="363" t="str">
        <f ca="1">input!F1024</f>
        <v>N</v>
      </c>
      <c r="G657" s="363"/>
      <c r="H657" s="313">
        <f ca="1">IF(F657="PCS",$E$4,SUMIFS(Paper!$AC$7:$AC$58,Paper!$A$7:$A$58,'Production cost'!F657))*IF($F657="Pcs",$D657/$E657,1)</f>
        <v>0</v>
      </c>
      <c r="I657" s="313">
        <f ca="1">IF(input!$G1024&gt;0,input!$G1024,2000)</f>
        <v>2000</v>
      </c>
      <c r="J657" s="313" t="str">
        <f ca="1">input!H1024</f>
        <v>Sheets</v>
      </c>
      <c r="K657" s="360">
        <v>0</v>
      </c>
      <c r="L657" s="313">
        <f ca="1">input!I1024</f>
        <v>0</v>
      </c>
      <c r="M657" s="391">
        <f t="shared" ca="1" si="471"/>
        <v>0</v>
      </c>
      <c r="N657" s="391">
        <f t="shared" ca="1" si="472"/>
        <v>0</v>
      </c>
      <c r="P657" s="313">
        <f>Data!$N$1155</f>
        <v>52580.182439963428</v>
      </c>
      <c r="Q657" s="313">
        <f t="shared" ca="1" si="473"/>
        <v>0</v>
      </c>
      <c r="R657" s="313">
        <f t="shared" ca="1" si="474"/>
        <v>0</v>
      </c>
      <c r="S657" s="1741">
        <f t="shared" ca="1" si="475"/>
        <v>0</v>
      </c>
      <c r="T657" s="313" t="str">
        <f ca="1">input!J1024</f>
        <v>N</v>
      </c>
      <c r="V657" s="3115" t="str">
        <f>input!K1024</f>
        <v>Assembly</v>
      </c>
      <c r="W657" s="3115">
        <f t="shared" ca="1" si="476"/>
        <v>0</v>
      </c>
      <c r="X657" s="3119">
        <f>VLOOKUP(V657,'Fix Cost'!$K$177:$M$179,2,0)</f>
        <v>32032.115313968527</v>
      </c>
      <c r="Y657" s="3119">
        <f>VLOOKUP(V657,'Fix Cost'!$K$177:$M$179,3,0)</f>
        <v>267567.54920876794</v>
      </c>
      <c r="Z657" s="3119">
        <f t="shared" ca="1" si="477"/>
        <v>0</v>
      </c>
      <c r="AA657" s="3115">
        <f t="shared" ca="1" si="478"/>
        <v>0</v>
      </c>
      <c r="AB657" s="3115">
        <f t="shared" ca="1" si="479"/>
        <v>0</v>
      </c>
      <c r="AL657" s="313"/>
      <c r="AM657" s="363"/>
      <c r="AN657" s="385"/>
      <c r="AT657" s="879">
        <f t="shared" ca="1" si="419"/>
        <v>0</v>
      </c>
      <c r="AU657" s="879">
        <f ca="1">COUNTIFS(AT$7:$AT657,1)</f>
        <v>7</v>
      </c>
    </row>
    <row r="658" spans="2:47" ht="12.75" hidden="1" outlineLevel="1">
      <c r="B658" s="1738" t="str">
        <f>input!B1025</f>
        <v>Grinding CB 1st</v>
      </c>
      <c r="C658" s="313" t="str">
        <f ca="1">input!C1025</f>
        <v>N</v>
      </c>
      <c r="D658" s="1739">
        <f>input!D1025</f>
        <v>1</v>
      </c>
      <c r="E658" s="1740">
        <f>input!E1025</f>
        <v>1</v>
      </c>
      <c r="F658" s="363" t="str">
        <f ca="1">input!F1025</f>
        <v>N</v>
      </c>
      <c r="G658" s="363"/>
      <c r="H658" s="313">
        <f ca="1">IF(F658="PCS",$E$4,SUMIFS(Paper!$AC$7:$AC$58,Paper!$A$7:$A$58,'Production cost'!F658))*IF($F658="Pcs",$D658/$E658,1)</f>
        <v>0</v>
      </c>
      <c r="I658" s="313">
        <f ca="1">IF(input!$G1025&gt;0,input!$G1025,2000)</f>
        <v>2000</v>
      </c>
      <c r="J658" s="313" t="str">
        <f ca="1">input!H1025</f>
        <v>Sheets</v>
      </c>
      <c r="K658" s="360">
        <v>0</v>
      </c>
      <c r="L658" s="313">
        <f ca="1">input!I1025</f>
        <v>0</v>
      </c>
      <c r="M658" s="391">
        <f t="shared" ca="1" si="471"/>
        <v>0</v>
      </c>
      <c r="N658" s="391">
        <f t="shared" ca="1" si="472"/>
        <v>0</v>
      </c>
      <c r="P658" s="313">
        <f>Data!$N$1155</f>
        <v>52580.182439963428</v>
      </c>
      <c r="Q658" s="313">
        <f t="shared" ca="1" si="473"/>
        <v>0</v>
      </c>
      <c r="R658" s="313">
        <f t="shared" ca="1" si="474"/>
        <v>0</v>
      </c>
      <c r="S658" s="1741">
        <f t="shared" ca="1" si="475"/>
        <v>0</v>
      </c>
      <c r="T658" s="313" t="str">
        <f ca="1">input!J1025</f>
        <v>N</v>
      </c>
      <c r="V658" s="3115" t="str">
        <f>input!K1025</f>
        <v>Assembly</v>
      </c>
      <c r="W658" s="3115">
        <f t="shared" ca="1" si="476"/>
        <v>0</v>
      </c>
      <c r="X658" s="3119">
        <f>VLOOKUP(V658,'Fix Cost'!$K$177:$M$179,2,0)</f>
        <v>32032.115313968527</v>
      </c>
      <c r="Y658" s="3119">
        <f>VLOOKUP(V658,'Fix Cost'!$K$177:$M$179,3,0)</f>
        <v>267567.54920876794</v>
      </c>
      <c r="Z658" s="3119">
        <f t="shared" ca="1" si="477"/>
        <v>0</v>
      </c>
      <c r="AA658" s="3115">
        <f t="shared" ca="1" si="478"/>
        <v>0</v>
      </c>
      <c r="AB658" s="3115">
        <f t="shared" ca="1" si="479"/>
        <v>0</v>
      </c>
      <c r="AL658" s="313"/>
      <c r="AM658" s="363"/>
      <c r="AN658" s="385"/>
      <c r="AT658" s="879">
        <f t="shared" ca="1" si="419"/>
        <v>0</v>
      </c>
      <c r="AU658" s="879">
        <f ca="1">COUNTIFS(AT$7:$AT658,1)</f>
        <v>7</v>
      </c>
    </row>
    <row r="659" spans="2:47" ht="12.75" hidden="1" outlineLevel="1">
      <c r="B659" s="1738" t="str">
        <f>input!B1026</f>
        <v>Grinding CB 1st</v>
      </c>
      <c r="C659" s="313" t="str">
        <f ca="1">input!C1026</f>
        <v>N</v>
      </c>
      <c r="D659" s="1739">
        <f>input!D1026</f>
        <v>1</v>
      </c>
      <c r="E659" s="1740">
        <f>input!E1026</f>
        <v>1</v>
      </c>
      <c r="F659" s="363" t="str">
        <f ca="1">input!F1026</f>
        <v>N</v>
      </c>
      <c r="G659" s="363"/>
      <c r="H659" s="313">
        <f ca="1">IF(F659="PCS",$E$4,SUMIFS(Paper!$AC$7:$AC$58,Paper!$A$7:$A$58,'Production cost'!F659))*IF($F659="Pcs",$D659/$E659,1)</f>
        <v>0</v>
      </c>
      <c r="I659" s="313">
        <f ca="1">IF(input!$G1026&gt;0,input!$G1026,2000)</f>
        <v>2000</v>
      </c>
      <c r="J659" s="313" t="str">
        <f ca="1">input!H1026</f>
        <v>Sheets</v>
      </c>
      <c r="K659" s="360">
        <v>0</v>
      </c>
      <c r="L659" s="313">
        <f ca="1">input!I1026</f>
        <v>0</v>
      </c>
      <c r="M659" s="391">
        <f t="shared" ca="1" si="471"/>
        <v>0</v>
      </c>
      <c r="N659" s="391">
        <f t="shared" ca="1" si="472"/>
        <v>0</v>
      </c>
      <c r="P659" s="313">
        <f>Data!$N$1155</f>
        <v>52580.182439963428</v>
      </c>
      <c r="Q659" s="313">
        <f t="shared" ca="1" si="473"/>
        <v>0</v>
      </c>
      <c r="R659" s="313">
        <f t="shared" ca="1" si="474"/>
        <v>0</v>
      </c>
      <c r="S659" s="1741">
        <f t="shared" ca="1" si="475"/>
        <v>0</v>
      </c>
      <c r="T659" s="313" t="str">
        <f ca="1">input!J1026</f>
        <v>N</v>
      </c>
      <c r="V659" s="3115" t="str">
        <f>input!K1026</f>
        <v>Assembly</v>
      </c>
      <c r="W659" s="3115">
        <f t="shared" ca="1" si="476"/>
        <v>0</v>
      </c>
      <c r="X659" s="3119">
        <f>VLOOKUP(V659,'Fix Cost'!$K$177:$M$179,2,0)</f>
        <v>32032.115313968527</v>
      </c>
      <c r="Y659" s="3119">
        <f>VLOOKUP(V659,'Fix Cost'!$K$177:$M$179,3,0)</f>
        <v>267567.54920876794</v>
      </c>
      <c r="Z659" s="3119">
        <f t="shared" ca="1" si="477"/>
        <v>0</v>
      </c>
      <c r="AA659" s="3115">
        <f t="shared" ca="1" si="478"/>
        <v>0</v>
      </c>
      <c r="AB659" s="3115">
        <f t="shared" ca="1" si="479"/>
        <v>0</v>
      </c>
      <c r="AL659" s="313"/>
      <c r="AM659" s="363"/>
      <c r="AN659" s="385"/>
      <c r="AT659" s="879">
        <f t="shared" ca="1" si="419"/>
        <v>0</v>
      </c>
      <c r="AU659" s="879">
        <f ca="1">COUNTIFS(AT$7:$AT659,1)</f>
        <v>7</v>
      </c>
    </row>
    <row r="660" spans="2:47" ht="12.75" hidden="1" outlineLevel="1">
      <c r="B660" s="1738" t="str">
        <f>input!B1027</f>
        <v>Grinding CB 1st</v>
      </c>
      <c r="C660" s="313" t="str">
        <f ca="1">input!C1027</f>
        <v>N</v>
      </c>
      <c r="D660" s="1739">
        <f>input!D1027</f>
        <v>1</v>
      </c>
      <c r="E660" s="1740">
        <f>input!E1027</f>
        <v>1</v>
      </c>
      <c r="F660" s="363" t="str">
        <f ca="1">input!F1027</f>
        <v>N</v>
      </c>
      <c r="G660" s="363"/>
      <c r="H660" s="313">
        <f ca="1">IF(F660="PCS",$E$4,SUMIFS(Paper!$AC$7:$AC$58,Paper!$A$7:$A$58,'Production cost'!F660))*IF($F660="Pcs",$D660/$E660,1)</f>
        <v>0</v>
      </c>
      <c r="I660" s="313">
        <f ca="1">IF(input!$G1027&gt;0,input!$G1027,2000)</f>
        <v>2000</v>
      </c>
      <c r="J660" s="313" t="str">
        <f ca="1">input!H1027</f>
        <v>Sheets</v>
      </c>
      <c r="K660" s="360">
        <v>0</v>
      </c>
      <c r="L660" s="313">
        <f ca="1">input!I1027</f>
        <v>0</v>
      </c>
      <c r="M660" s="391">
        <f t="shared" ref="M660:M664" ca="1" si="480">IF(H660&gt;0,90/60,0)*0</f>
        <v>0</v>
      </c>
      <c r="N660" s="391">
        <f t="shared" ref="N660:N664" ca="1" si="481">IF(H660&gt;0,ROUNDUP(((H660/I660)/$M$4+M660),1),0)</f>
        <v>0</v>
      </c>
      <c r="P660" s="313">
        <f>Data!$N$1155</f>
        <v>52580.182439963428</v>
      </c>
      <c r="Q660" s="313">
        <f t="shared" ref="Q660:Q664" ca="1" si="482">(N660*O660*K660+N660*P660*L660)*(1+$R$702)</f>
        <v>0</v>
      </c>
      <c r="R660" s="313">
        <f t="shared" ref="R660:R664" ca="1" si="483">IF($E$2&gt;0,Q660/$E$2,0)</f>
        <v>0</v>
      </c>
      <c r="S660" s="1741">
        <f t="shared" ref="S660:S664" ca="1" si="484">IF(M660&gt;0,K660*O660+L660*P660,0)</f>
        <v>0</v>
      </c>
      <c r="T660" s="313" t="str">
        <f ca="1">input!J1027</f>
        <v>N</v>
      </c>
      <c r="V660" s="3115" t="str">
        <f>input!K1027</f>
        <v>Assembly</v>
      </c>
      <c r="W660" s="3115">
        <f t="shared" ref="W660:W664" ca="1" si="485">N660*(L660+K660)</f>
        <v>0</v>
      </c>
      <c r="X660" s="3119">
        <f>VLOOKUP(V660,'Fix Cost'!$K$177:$M$179,2,0)</f>
        <v>32032.115313968527</v>
      </c>
      <c r="Y660" s="3119">
        <f>VLOOKUP(V660,'Fix Cost'!$K$177:$M$179,3,0)</f>
        <v>267567.54920876794</v>
      </c>
      <c r="Z660" s="3119">
        <f t="shared" ref="Z660:Z664" ca="1" si="486">IFERROR($X660*W660,0)</f>
        <v>0</v>
      </c>
      <c r="AA660" s="3115">
        <f t="shared" ref="AA660:AA664" ca="1" si="487">IFERROR(Y660*N660,0)</f>
        <v>0</v>
      </c>
      <c r="AB660" s="3115">
        <f t="shared" ref="AB660:AB664" ca="1" si="488">Z660+AA660</f>
        <v>0</v>
      </c>
      <c r="AL660" s="313"/>
      <c r="AM660" s="363"/>
      <c r="AN660" s="385"/>
      <c r="AT660" s="879"/>
      <c r="AU660" s="879"/>
    </row>
    <row r="661" spans="2:47" ht="12.75" hidden="1" outlineLevel="1">
      <c r="B661" s="1738" t="str">
        <f>input!B1028</f>
        <v>Grinding CB 1st</v>
      </c>
      <c r="C661" s="313" t="str">
        <f ca="1">input!C1028</f>
        <v>N</v>
      </c>
      <c r="D661" s="1739">
        <f>input!D1028</f>
        <v>1</v>
      </c>
      <c r="E661" s="1740">
        <f>input!E1028</f>
        <v>1</v>
      </c>
      <c r="F661" s="363" t="str">
        <f ca="1">input!F1028</f>
        <v>N</v>
      </c>
      <c r="G661" s="363"/>
      <c r="H661" s="313">
        <f ca="1">IF(F661="PCS",$E$4,SUMIFS(Paper!$AC$7:$AC$58,Paper!$A$7:$A$58,'Production cost'!F661))*IF($F661="Pcs",$D661/$E661,1)</f>
        <v>0</v>
      </c>
      <c r="I661" s="313">
        <f ca="1">IF(input!$G1028&gt;0,input!$G1028,2000)</f>
        <v>2000</v>
      </c>
      <c r="J661" s="313" t="str">
        <f ca="1">input!H1028</f>
        <v>Sheets</v>
      </c>
      <c r="K661" s="360">
        <v>0</v>
      </c>
      <c r="L661" s="313">
        <f ca="1">input!I1028</f>
        <v>0</v>
      </c>
      <c r="M661" s="391">
        <f t="shared" ca="1" si="480"/>
        <v>0</v>
      </c>
      <c r="N661" s="391">
        <f t="shared" ca="1" si="481"/>
        <v>0</v>
      </c>
      <c r="P661" s="313">
        <f>Data!$N$1155</f>
        <v>52580.182439963428</v>
      </c>
      <c r="Q661" s="313">
        <f t="shared" ca="1" si="482"/>
        <v>0</v>
      </c>
      <c r="R661" s="313">
        <f t="shared" ca="1" si="483"/>
        <v>0</v>
      </c>
      <c r="S661" s="1741">
        <f t="shared" ca="1" si="484"/>
        <v>0</v>
      </c>
      <c r="T661" s="313" t="str">
        <f ca="1">input!J1028</f>
        <v>N</v>
      </c>
      <c r="V661" s="3115" t="str">
        <f>input!K1028</f>
        <v>Assembly</v>
      </c>
      <c r="W661" s="3115">
        <f t="shared" ca="1" si="485"/>
        <v>0</v>
      </c>
      <c r="X661" s="3119">
        <f>VLOOKUP(V661,'Fix Cost'!$K$177:$M$179,2,0)</f>
        <v>32032.115313968527</v>
      </c>
      <c r="Y661" s="3119">
        <f>VLOOKUP(V661,'Fix Cost'!$K$177:$M$179,3,0)</f>
        <v>267567.54920876794</v>
      </c>
      <c r="Z661" s="3119">
        <f t="shared" ca="1" si="486"/>
        <v>0</v>
      </c>
      <c r="AA661" s="3115">
        <f t="shared" ca="1" si="487"/>
        <v>0</v>
      </c>
      <c r="AB661" s="3115">
        <f t="shared" ca="1" si="488"/>
        <v>0</v>
      </c>
      <c r="AL661" s="313"/>
      <c r="AM661" s="363"/>
      <c r="AN661" s="385"/>
      <c r="AT661" s="879"/>
      <c r="AU661" s="879"/>
    </row>
    <row r="662" spans="2:47" ht="12.75" hidden="1" outlineLevel="1">
      <c r="B662" s="1738" t="str">
        <f>input!B1029</f>
        <v>Grinding CB 1st</v>
      </c>
      <c r="C662" s="313" t="str">
        <f ca="1">input!C1029</f>
        <v>N</v>
      </c>
      <c r="D662" s="1739">
        <f>input!D1029</f>
        <v>1</v>
      </c>
      <c r="E662" s="1740">
        <f>input!E1029</f>
        <v>1</v>
      </c>
      <c r="F662" s="363" t="str">
        <f ca="1">input!F1029</f>
        <v>N</v>
      </c>
      <c r="G662" s="363"/>
      <c r="H662" s="313">
        <f ca="1">IF(F662="PCS",$E$4,SUMIFS(Paper!$AC$7:$AC$58,Paper!$A$7:$A$58,'Production cost'!F662))*IF($F662="Pcs",$D662/$E662,1)</f>
        <v>0</v>
      </c>
      <c r="I662" s="313">
        <f ca="1">IF(input!$G1029&gt;0,input!$G1029,2000)</f>
        <v>2000</v>
      </c>
      <c r="J662" s="313" t="str">
        <f ca="1">input!H1029</f>
        <v>Sheets</v>
      </c>
      <c r="K662" s="360">
        <v>0</v>
      </c>
      <c r="L662" s="313">
        <f ca="1">input!I1029</f>
        <v>0</v>
      </c>
      <c r="M662" s="391">
        <f t="shared" ca="1" si="480"/>
        <v>0</v>
      </c>
      <c r="N662" s="391">
        <f t="shared" ca="1" si="481"/>
        <v>0</v>
      </c>
      <c r="P662" s="313">
        <f>Data!$N$1155</f>
        <v>52580.182439963428</v>
      </c>
      <c r="Q662" s="313">
        <f t="shared" ca="1" si="482"/>
        <v>0</v>
      </c>
      <c r="R662" s="313">
        <f t="shared" ca="1" si="483"/>
        <v>0</v>
      </c>
      <c r="S662" s="1741">
        <f t="shared" ca="1" si="484"/>
        <v>0</v>
      </c>
      <c r="T662" s="313" t="str">
        <f ca="1">input!J1029</f>
        <v>N</v>
      </c>
      <c r="V662" s="3115" t="str">
        <f>input!K1029</f>
        <v>Assembly</v>
      </c>
      <c r="W662" s="3115">
        <f t="shared" ca="1" si="485"/>
        <v>0</v>
      </c>
      <c r="X662" s="3119">
        <f>VLOOKUP(V662,'Fix Cost'!$K$177:$M$179,2,0)</f>
        <v>32032.115313968527</v>
      </c>
      <c r="Y662" s="3119">
        <f>VLOOKUP(V662,'Fix Cost'!$K$177:$M$179,3,0)</f>
        <v>267567.54920876794</v>
      </c>
      <c r="Z662" s="3119">
        <f t="shared" ca="1" si="486"/>
        <v>0</v>
      </c>
      <c r="AA662" s="3115">
        <f t="shared" ca="1" si="487"/>
        <v>0</v>
      </c>
      <c r="AB662" s="3115">
        <f t="shared" ca="1" si="488"/>
        <v>0</v>
      </c>
      <c r="AL662" s="313"/>
      <c r="AM662" s="363"/>
      <c r="AN662" s="385"/>
      <c r="AT662" s="879"/>
      <c r="AU662" s="879"/>
    </row>
    <row r="663" spans="2:47" ht="12.75" hidden="1" outlineLevel="1">
      <c r="B663" s="1738" t="str">
        <f>input!B1030</f>
        <v>Grinding CB 1st</v>
      </c>
      <c r="C663" s="313" t="str">
        <f ca="1">input!C1030</f>
        <v>N</v>
      </c>
      <c r="D663" s="1739">
        <f>input!D1030</f>
        <v>1</v>
      </c>
      <c r="E663" s="1740">
        <f>input!E1030</f>
        <v>1</v>
      </c>
      <c r="F663" s="363" t="str">
        <f ca="1">input!F1030</f>
        <v>N</v>
      </c>
      <c r="G663" s="363"/>
      <c r="H663" s="313">
        <f ca="1">IF(F663="PCS",$E$4,SUMIFS(Paper!$AC$7:$AC$58,Paper!$A$7:$A$58,'Production cost'!F663))*IF($F663="Pcs",$D663/$E663,1)</f>
        <v>0</v>
      </c>
      <c r="I663" s="313">
        <f ca="1">IF(input!$G1030&gt;0,input!$G1030,2000)</f>
        <v>2000</v>
      </c>
      <c r="J663" s="313" t="str">
        <f ca="1">input!H1030</f>
        <v>Sheets</v>
      </c>
      <c r="K663" s="360">
        <v>0</v>
      </c>
      <c r="L663" s="313">
        <f ca="1">input!I1030</f>
        <v>0</v>
      </c>
      <c r="M663" s="391">
        <f t="shared" ca="1" si="480"/>
        <v>0</v>
      </c>
      <c r="N663" s="391">
        <f t="shared" ca="1" si="481"/>
        <v>0</v>
      </c>
      <c r="P663" s="313">
        <f>Data!$N$1155</f>
        <v>52580.182439963428</v>
      </c>
      <c r="Q663" s="313">
        <f t="shared" ca="1" si="482"/>
        <v>0</v>
      </c>
      <c r="R663" s="313">
        <f t="shared" ca="1" si="483"/>
        <v>0</v>
      </c>
      <c r="S663" s="1741">
        <f t="shared" ca="1" si="484"/>
        <v>0</v>
      </c>
      <c r="T663" s="313" t="str">
        <f ca="1">input!J1030</f>
        <v>N</v>
      </c>
      <c r="V663" s="3115" t="str">
        <f>input!K1030</f>
        <v>Assembly</v>
      </c>
      <c r="W663" s="3115">
        <f t="shared" ca="1" si="485"/>
        <v>0</v>
      </c>
      <c r="X663" s="3119">
        <f>VLOOKUP(V663,'Fix Cost'!$K$177:$M$179,2,0)</f>
        <v>32032.115313968527</v>
      </c>
      <c r="Y663" s="3119">
        <f>VLOOKUP(V663,'Fix Cost'!$K$177:$M$179,3,0)</f>
        <v>267567.54920876794</v>
      </c>
      <c r="Z663" s="3119">
        <f t="shared" ca="1" si="486"/>
        <v>0</v>
      </c>
      <c r="AA663" s="3115">
        <f t="shared" ca="1" si="487"/>
        <v>0</v>
      </c>
      <c r="AB663" s="3115">
        <f t="shared" ca="1" si="488"/>
        <v>0</v>
      </c>
      <c r="AL663" s="313"/>
      <c r="AM663" s="363"/>
      <c r="AN663" s="385"/>
      <c r="AT663" s="879"/>
      <c r="AU663" s="879"/>
    </row>
    <row r="664" spans="2:47" ht="12.75" hidden="1" outlineLevel="1">
      <c r="B664" s="1738" t="str">
        <f>input!B1031</f>
        <v>Grinding CB 1st</v>
      </c>
      <c r="C664" s="313" t="str">
        <f ca="1">input!C1031</f>
        <v>N</v>
      </c>
      <c r="D664" s="1739">
        <f>input!D1031</f>
        <v>1</v>
      </c>
      <c r="E664" s="1740">
        <f>input!E1031</f>
        <v>1</v>
      </c>
      <c r="F664" s="363" t="str">
        <f ca="1">input!F1031</f>
        <v>N</v>
      </c>
      <c r="G664" s="363"/>
      <c r="H664" s="313">
        <f ca="1">IF(F664="PCS",$E$4,SUMIFS(Paper!$AC$7:$AC$58,Paper!$A$7:$A$58,'Production cost'!F664))*IF($F664="Pcs",$D664/$E664,1)</f>
        <v>0</v>
      </c>
      <c r="I664" s="313">
        <f ca="1">IF(input!$G1031&gt;0,input!$G1031,2000)</f>
        <v>2000</v>
      </c>
      <c r="J664" s="313" t="str">
        <f ca="1">input!H1031</f>
        <v>Sheets</v>
      </c>
      <c r="K664" s="360">
        <v>0</v>
      </c>
      <c r="L664" s="313">
        <f ca="1">input!I1031</f>
        <v>0</v>
      </c>
      <c r="M664" s="391">
        <f t="shared" ca="1" si="480"/>
        <v>0</v>
      </c>
      <c r="N664" s="391">
        <f t="shared" ca="1" si="481"/>
        <v>0</v>
      </c>
      <c r="P664" s="313">
        <f>Data!$N$1155</f>
        <v>52580.182439963428</v>
      </c>
      <c r="Q664" s="313">
        <f t="shared" ca="1" si="482"/>
        <v>0</v>
      </c>
      <c r="R664" s="313">
        <f t="shared" ca="1" si="483"/>
        <v>0</v>
      </c>
      <c r="S664" s="1741">
        <f t="shared" ca="1" si="484"/>
        <v>0</v>
      </c>
      <c r="T664" s="313" t="str">
        <f ca="1">input!J1031</f>
        <v>N</v>
      </c>
      <c r="V664" s="3115" t="str">
        <f>input!K1031</f>
        <v>Assembly</v>
      </c>
      <c r="W664" s="3115">
        <f t="shared" ca="1" si="485"/>
        <v>0</v>
      </c>
      <c r="X664" s="3119">
        <f>VLOOKUP(V664,'Fix Cost'!$K$177:$M$179,2,0)</f>
        <v>32032.115313968527</v>
      </c>
      <c r="Y664" s="3119">
        <f>VLOOKUP(V664,'Fix Cost'!$K$177:$M$179,3,0)</f>
        <v>267567.54920876794</v>
      </c>
      <c r="Z664" s="3119">
        <f t="shared" ca="1" si="486"/>
        <v>0</v>
      </c>
      <c r="AA664" s="3115">
        <f t="shared" ca="1" si="487"/>
        <v>0</v>
      </c>
      <c r="AB664" s="3115">
        <f t="shared" ca="1" si="488"/>
        <v>0</v>
      </c>
      <c r="AL664" s="313"/>
      <c r="AM664" s="363"/>
      <c r="AN664" s="385"/>
      <c r="AT664" s="879"/>
      <c r="AU664" s="879"/>
    </row>
    <row r="665" spans="2:47" ht="12.75" hidden="1" outlineLevel="1">
      <c r="B665" s="1738" t="str">
        <f>input!B1032</f>
        <v>Grinding CB 2nd</v>
      </c>
      <c r="C665" s="313" t="str">
        <f ca="1">input!C1032</f>
        <v>N</v>
      </c>
      <c r="D665" s="1739">
        <f>input!D1032</f>
        <v>1</v>
      </c>
      <c r="E665" s="1740">
        <f>input!E1032</f>
        <v>1</v>
      </c>
      <c r="F665" s="363" t="str">
        <f ca="1">input!F1032</f>
        <v>N</v>
      </c>
      <c r="G665" s="363"/>
      <c r="H665" s="313">
        <f ca="1">IF(F665="PCS",$E$4,SUMIFS(Paper!$AC$7:$AC$58,Paper!$A$7:$A$58,'Production cost'!F665))*IF($F665="Pcs",$D665/$E665,1)</f>
        <v>0</v>
      </c>
      <c r="I665" s="313">
        <f ca="1">IF(input!$G1032&gt;0,input!$G1032,2000)</f>
        <v>2000</v>
      </c>
      <c r="J665" s="313" t="str">
        <f ca="1">input!H1032</f>
        <v>Sheets</v>
      </c>
      <c r="K665" s="360">
        <v>0</v>
      </c>
      <c r="L665" s="313">
        <f ca="1">input!I1032</f>
        <v>0</v>
      </c>
      <c r="M665" s="391">
        <f t="shared" ca="1" si="471"/>
        <v>0</v>
      </c>
      <c r="N665" s="391">
        <f t="shared" ca="1" si="472"/>
        <v>0</v>
      </c>
      <c r="P665" s="313">
        <f>Data!$N$1155</f>
        <v>52580.182439963428</v>
      </c>
      <c r="Q665" s="313">
        <f t="shared" ca="1" si="473"/>
        <v>0</v>
      </c>
      <c r="R665" s="313">
        <f t="shared" ca="1" si="474"/>
        <v>0</v>
      </c>
      <c r="S665" s="1741">
        <f t="shared" ca="1" si="475"/>
        <v>0</v>
      </c>
      <c r="T665" s="313" t="str">
        <f ca="1">input!J1032</f>
        <v>N</v>
      </c>
      <c r="V665" s="3115" t="str">
        <f>input!K1032</f>
        <v>Assembly</v>
      </c>
      <c r="W665" s="3115">
        <f t="shared" ca="1" si="476"/>
        <v>0</v>
      </c>
      <c r="X665" s="3119">
        <f>VLOOKUP(V665,'Fix Cost'!$K$177:$M$179,2,0)</f>
        <v>32032.115313968527</v>
      </c>
      <c r="Y665" s="3119">
        <f>VLOOKUP(V665,'Fix Cost'!$K$177:$M$179,3,0)</f>
        <v>267567.54920876794</v>
      </c>
      <c r="Z665" s="3119">
        <f t="shared" ca="1" si="477"/>
        <v>0</v>
      </c>
      <c r="AA665" s="3115">
        <f t="shared" ca="1" si="478"/>
        <v>0</v>
      </c>
      <c r="AB665" s="3115">
        <f t="shared" ca="1" si="479"/>
        <v>0</v>
      </c>
      <c r="AL665" s="313"/>
      <c r="AM665" s="363"/>
      <c r="AN665" s="385"/>
      <c r="AT665" s="879">
        <f t="shared" ca="1" si="419"/>
        <v>0</v>
      </c>
      <c r="AU665" s="879">
        <f ca="1">COUNTIFS(AT$7:$AT665,1)</f>
        <v>7</v>
      </c>
    </row>
    <row r="666" spans="2:47" ht="12.75" hidden="1" outlineLevel="1">
      <c r="B666" s="1738" t="str">
        <f>input!B1033</f>
        <v>Grinding CB 2nd</v>
      </c>
      <c r="C666" s="313" t="str">
        <f ca="1">input!C1033</f>
        <v>N</v>
      </c>
      <c r="D666" s="1739">
        <f>input!D1033</f>
        <v>1</v>
      </c>
      <c r="E666" s="1740">
        <f>input!E1033</f>
        <v>1</v>
      </c>
      <c r="F666" s="363" t="str">
        <f ca="1">input!F1033</f>
        <v>N</v>
      </c>
      <c r="G666" s="363"/>
      <c r="H666" s="313">
        <f ca="1">IF(F666="PCS",$E$4,SUMIFS(Paper!$AC$7:$AC$58,Paper!$A$7:$A$58,'Production cost'!F666))*IF($F666="Pcs",$D666/$E666,1)</f>
        <v>0</v>
      </c>
      <c r="I666" s="313">
        <f ca="1">IF(input!$G1033&gt;0,input!$G1033,2000)</f>
        <v>2000</v>
      </c>
      <c r="J666" s="313" t="str">
        <f ca="1">input!H1033</f>
        <v>Sheets</v>
      </c>
      <c r="K666" s="360">
        <v>0</v>
      </c>
      <c r="L666" s="313">
        <f ca="1">input!I1033</f>
        <v>0</v>
      </c>
      <c r="M666" s="391">
        <f t="shared" ca="1" si="471"/>
        <v>0</v>
      </c>
      <c r="N666" s="391">
        <f t="shared" ca="1" si="472"/>
        <v>0</v>
      </c>
      <c r="P666" s="313">
        <f>Data!$N$1155</f>
        <v>52580.182439963428</v>
      </c>
      <c r="Q666" s="313">
        <f t="shared" ca="1" si="473"/>
        <v>0</v>
      </c>
      <c r="R666" s="313">
        <f t="shared" ca="1" si="474"/>
        <v>0</v>
      </c>
      <c r="S666" s="1741">
        <f t="shared" ca="1" si="475"/>
        <v>0</v>
      </c>
      <c r="T666" s="313" t="str">
        <f ca="1">input!J1033</f>
        <v>N</v>
      </c>
      <c r="V666" s="3115" t="str">
        <f>input!K1033</f>
        <v>Assembly</v>
      </c>
      <c r="W666" s="3115">
        <f t="shared" ca="1" si="476"/>
        <v>0</v>
      </c>
      <c r="X666" s="3119">
        <f>VLOOKUP(V666,'Fix Cost'!$K$177:$M$179,2,0)</f>
        <v>32032.115313968527</v>
      </c>
      <c r="Y666" s="3119">
        <f>VLOOKUP(V666,'Fix Cost'!$K$177:$M$179,3,0)</f>
        <v>267567.54920876794</v>
      </c>
      <c r="Z666" s="3119">
        <f t="shared" ca="1" si="477"/>
        <v>0</v>
      </c>
      <c r="AA666" s="3115">
        <f t="shared" ca="1" si="478"/>
        <v>0</v>
      </c>
      <c r="AB666" s="3115">
        <f t="shared" ca="1" si="479"/>
        <v>0</v>
      </c>
      <c r="AL666" s="313"/>
      <c r="AM666" s="363"/>
      <c r="AN666" s="385"/>
      <c r="AT666" s="879">
        <f t="shared" ca="1" si="419"/>
        <v>0</v>
      </c>
      <c r="AU666" s="879">
        <f ca="1">COUNTIFS(AT$7:$AT666,1)</f>
        <v>7</v>
      </c>
    </row>
    <row r="667" spans="2:47" ht="12.75" hidden="1" outlineLevel="1">
      <c r="B667" s="1738" t="str">
        <f>input!B1034</f>
        <v>Grinding CB 2nd</v>
      </c>
      <c r="C667" s="313" t="str">
        <f ca="1">input!C1034</f>
        <v>N</v>
      </c>
      <c r="D667" s="1739">
        <f>input!D1034</f>
        <v>1</v>
      </c>
      <c r="E667" s="1740">
        <f>input!E1034</f>
        <v>1</v>
      </c>
      <c r="F667" s="363" t="str">
        <f ca="1">input!F1034</f>
        <v>N</v>
      </c>
      <c r="G667" s="363"/>
      <c r="H667" s="313">
        <f ca="1">IF(F667="PCS",$E$4,SUMIFS(Paper!$AC$7:$AC$58,Paper!$A$7:$A$58,'Production cost'!F667))*IF($F667="Pcs",$D667/$E667,1)</f>
        <v>0</v>
      </c>
      <c r="I667" s="313">
        <f ca="1">IF(input!$G1034&gt;0,input!$G1034,2000)</f>
        <v>2000</v>
      </c>
      <c r="J667" s="313" t="str">
        <f ca="1">input!H1034</f>
        <v>Sheets</v>
      </c>
      <c r="K667" s="360">
        <v>0</v>
      </c>
      <c r="L667" s="313">
        <f ca="1">input!I1034</f>
        <v>0</v>
      </c>
      <c r="M667" s="391">
        <f t="shared" ca="1" si="471"/>
        <v>0</v>
      </c>
      <c r="N667" s="391">
        <f t="shared" ca="1" si="472"/>
        <v>0</v>
      </c>
      <c r="P667" s="313">
        <f>Data!$N$1155</f>
        <v>52580.182439963428</v>
      </c>
      <c r="Q667" s="313">
        <f t="shared" ca="1" si="473"/>
        <v>0</v>
      </c>
      <c r="R667" s="313">
        <f t="shared" ca="1" si="474"/>
        <v>0</v>
      </c>
      <c r="S667" s="1741">
        <f t="shared" ca="1" si="475"/>
        <v>0</v>
      </c>
      <c r="T667" s="313" t="str">
        <f ca="1">input!J1034</f>
        <v>N</v>
      </c>
      <c r="V667" s="3115" t="str">
        <f>input!K1034</f>
        <v>Assembly</v>
      </c>
      <c r="W667" s="3115">
        <f t="shared" ca="1" si="476"/>
        <v>0</v>
      </c>
      <c r="X667" s="3119">
        <f>VLOOKUP(V667,'Fix Cost'!$K$177:$M$179,2,0)</f>
        <v>32032.115313968527</v>
      </c>
      <c r="Y667" s="3119">
        <f>VLOOKUP(V667,'Fix Cost'!$K$177:$M$179,3,0)</f>
        <v>267567.54920876794</v>
      </c>
      <c r="Z667" s="3119">
        <f t="shared" ca="1" si="477"/>
        <v>0</v>
      </c>
      <c r="AA667" s="3115">
        <f t="shared" ca="1" si="478"/>
        <v>0</v>
      </c>
      <c r="AB667" s="3115">
        <f t="shared" ca="1" si="479"/>
        <v>0</v>
      </c>
      <c r="AL667" s="313"/>
      <c r="AM667" s="363"/>
      <c r="AN667" s="385"/>
      <c r="AT667" s="879">
        <f t="shared" ca="1" si="419"/>
        <v>0</v>
      </c>
      <c r="AU667" s="879">
        <f ca="1">COUNTIFS(AT$7:$AT667,1)</f>
        <v>7</v>
      </c>
    </row>
    <row r="668" spans="2:47" ht="12.75" hidden="1" outlineLevel="1">
      <c r="B668" s="1738" t="str">
        <f>input!B1035</f>
        <v>Grinding CB 2nd</v>
      </c>
      <c r="C668" s="313" t="str">
        <f ca="1">input!C1035</f>
        <v>N</v>
      </c>
      <c r="D668" s="1739">
        <f>input!D1035</f>
        <v>1</v>
      </c>
      <c r="E668" s="1740">
        <f>input!E1035</f>
        <v>1</v>
      </c>
      <c r="F668" s="363" t="str">
        <f ca="1">input!F1035</f>
        <v>N</v>
      </c>
      <c r="G668" s="363"/>
      <c r="H668" s="313">
        <f ca="1">IF(F668="PCS",$E$4,SUMIFS(Paper!$AC$7:$AC$58,Paper!$A$7:$A$58,'Production cost'!F668))*IF($F668="Pcs",$D668/$E668,1)</f>
        <v>0</v>
      </c>
      <c r="I668" s="313">
        <f ca="1">IF(input!$G1035&gt;0,input!$G1035,2000)</f>
        <v>2000</v>
      </c>
      <c r="J668" s="313" t="str">
        <f ca="1">input!H1035</f>
        <v>Sheets</v>
      </c>
      <c r="K668" s="360">
        <v>0</v>
      </c>
      <c r="L668" s="313">
        <f ca="1">input!I1035</f>
        <v>0</v>
      </c>
      <c r="M668" s="391">
        <f t="shared" ca="1" si="471"/>
        <v>0</v>
      </c>
      <c r="N668" s="391">
        <f t="shared" ca="1" si="472"/>
        <v>0</v>
      </c>
      <c r="P668" s="313">
        <f>Data!$N$1155</f>
        <v>52580.182439963428</v>
      </c>
      <c r="Q668" s="313">
        <f t="shared" ca="1" si="473"/>
        <v>0</v>
      </c>
      <c r="R668" s="313">
        <f t="shared" ca="1" si="474"/>
        <v>0</v>
      </c>
      <c r="S668" s="1741">
        <f t="shared" ca="1" si="475"/>
        <v>0</v>
      </c>
      <c r="T668" s="313" t="str">
        <f ca="1">input!J1035</f>
        <v>N</v>
      </c>
      <c r="V668" s="3115" t="str">
        <f>input!K1035</f>
        <v>Assembly</v>
      </c>
      <c r="W668" s="3115">
        <f t="shared" ca="1" si="476"/>
        <v>0</v>
      </c>
      <c r="X668" s="3119">
        <f>VLOOKUP(V668,'Fix Cost'!$K$177:$M$179,2,0)</f>
        <v>32032.115313968527</v>
      </c>
      <c r="Y668" s="3119">
        <f>VLOOKUP(V668,'Fix Cost'!$K$177:$M$179,3,0)</f>
        <v>267567.54920876794</v>
      </c>
      <c r="Z668" s="3119">
        <f t="shared" ca="1" si="477"/>
        <v>0</v>
      </c>
      <c r="AA668" s="3115">
        <f t="shared" ca="1" si="478"/>
        <v>0</v>
      </c>
      <c r="AB668" s="3115">
        <f t="shared" ca="1" si="479"/>
        <v>0</v>
      </c>
      <c r="AL668" s="313"/>
      <c r="AM668" s="363"/>
      <c r="AN668" s="385"/>
      <c r="AT668" s="879">
        <f t="shared" ca="1" si="419"/>
        <v>0</v>
      </c>
      <c r="AU668" s="879">
        <f ca="1">COUNTIFS(AT$7:$AT668,1)</f>
        <v>7</v>
      </c>
    </row>
    <row r="669" spans="2:47" ht="12.75" hidden="1" outlineLevel="1">
      <c r="B669" s="1738" t="str">
        <f>input!B1036</f>
        <v>Grinding CB 2nd</v>
      </c>
      <c r="C669" s="313" t="str">
        <f ca="1">input!C1036</f>
        <v>N</v>
      </c>
      <c r="D669" s="1739">
        <f>input!D1036</f>
        <v>1</v>
      </c>
      <c r="E669" s="1740">
        <f>input!E1036</f>
        <v>1</v>
      </c>
      <c r="F669" s="363" t="str">
        <f ca="1">input!F1036</f>
        <v>N</v>
      </c>
      <c r="G669" s="363"/>
      <c r="H669" s="313">
        <f ca="1">IF(F669="PCS",$E$4,SUMIFS(Paper!$AC$7:$AC$58,Paper!$A$7:$A$58,'Production cost'!F669))*IF($F669="Pcs",$D669/$E669,1)</f>
        <v>0</v>
      </c>
      <c r="I669" s="313">
        <f ca="1">IF(input!$G1036&gt;0,input!$G1036,2000)</f>
        <v>2000</v>
      </c>
      <c r="J669" s="313" t="str">
        <f ca="1">input!H1036</f>
        <v>Sheets</v>
      </c>
      <c r="K669" s="360">
        <v>0</v>
      </c>
      <c r="L669" s="313">
        <f ca="1">input!I1036</f>
        <v>0</v>
      </c>
      <c r="M669" s="391">
        <f t="shared" ca="1" si="471"/>
        <v>0</v>
      </c>
      <c r="N669" s="391">
        <f t="shared" ca="1" si="472"/>
        <v>0</v>
      </c>
      <c r="P669" s="313">
        <f>Data!$N$1155</f>
        <v>52580.182439963428</v>
      </c>
      <c r="Q669" s="313">
        <f t="shared" ca="1" si="473"/>
        <v>0</v>
      </c>
      <c r="R669" s="313">
        <f t="shared" ca="1" si="474"/>
        <v>0</v>
      </c>
      <c r="S669" s="1741">
        <f t="shared" ca="1" si="475"/>
        <v>0</v>
      </c>
      <c r="T669" s="313" t="str">
        <f ca="1">input!J1036</f>
        <v>N</v>
      </c>
      <c r="V669" s="3115" t="str">
        <f>input!K1036</f>
        <v>Assembly</v>
      </c>
      <c r="W669" s="3115">
        <f t="shared" ca="1" si="476"/>
        <v>0</v>
      </c>
      <c r="X669" s="3119">
        <f>VLOOKUP(V669,'Fix Cost'!$K$177:$M$179,2,0)</f>
        <v>32032.115313968527</v>
      </c>
      <c r="Y669" s="3119">
        <f>VLOOKUP(V669,'Fix Cost'!$K$177:$M$179,3,0)</f>
        <v>267567.54920876794</v>
      </c>
      <c r="Z669" s="3119">
        <f t="shared" ca="1" si="477"/>
        <v>0</v>
      </c>
      <c r="AA669" s="3115">
        <f t="shared" ca="1" si="478"/>
        <v>0</v>
      </c>
      <c r="AB669" s="3115">
        <f t="shared" ca="1" si="479"/>
        <v>0</v>
      </c>
      <c r="AL669" s="313"/>
      <c r="AM669" s="363"/>
      <c r="AN669" s="385"/>
      <c r="AT669" s="879">
        <f t="shared" ca="1" si="419"/>
        <v>0</v>
      </c>
      <c r="AU669" s="879">
        <f ca="1">COUNTIFS(AT$7:$AT669,1)</f>
        <v>7</v>
      </c>
    </row>
    <row r="670" spans="2:47" ht="12.75" hidden="1" outlineLevel="1">
      <c r="B670" s="1738" t="str">
        <f>input!B1037</f>
        <v>Grinding CB 2nd</v>
      </c>
      <c r="C670" s="313" t="str">
        <f ca="1">input!C1037</f>
        <v>N</v>
      </c>
      <c r="D670" s="1739">
        <f>input!D1037</f>
        <v>1</v>
      </c>
      <c r="E670" s="1740">
        <f>input!E1037</f>
        <v>1</v>
      </c>
      <c r="F670" s="363" t="str">
        <f ca="1">input!F1037</f>
        <v>N</v>
      </c>
      <c r="G670" s="363"/>
      <c r="H670" s="313">
        <f ca="1">IF(F670="PCS",$E$4,SUMIFS(Paper!$AC$7:$AC$58,Paper!$A$7:$A$58,'Production cost'!F670))*IF($F670="Pcs",$D670/$E670,1)</f>
        <v>0</v>
      </c>
      <c r="I670" s="313">
        <f ca="1">IF(input!$G1037&gt;0,input!$G1037,2000)</f>
        <v>2000</v>
      </c>
      <c r="J670" s="313" t="str">
        <f ca="1">input!H1037</f>
        <v>Sheets</v>
      </c>
      <c r="K670" s="360">
        <v>0</v>
      </c>
      <c r="L670" s="313">
        <f ca="1">input!I1037</f>
        <v>0</v>
      </c>
      <c r="M670" s="391">
        <f t="shared" ca="1" si="415"/>
        <v>0</v>
      </c>
      <c r="N670" s="391">
        <f t="shared" ca="1" si="416"/>
        <v>0</v>
      </c>
      <c r="P670" s="313">
        <f>Data!$N$1155</f>
        <v>52580.182439963428</v>
      </c>
      <c r="Q670" s="313">
        <f t="shared" ca="1" si="473"/>
        <v>0</v>
      </c>
      <c r="R670" s="313">
        <f t="shared" ca="1" si="417"/>
        <v>0</v>
      </c>
      <c r="S670" s="1741">
        <f t="shared" ca="1" si="418"/>
        <v>0</v>
      </c>
      <c r="T670" s="313" t="str">
        <f ca="1">input!J1037</f>
        <v>N</v>
      </c>
      <c r="V670" s="3115" t="str">
        <f>input!K1037</f>
        <v>Assembly</v>
      </c>
      <c r="W670" s="3115">
        <f t="shared" ca="1" si="407"/>
        <v>0</v>
      </c>
      <c r="X670" s="3119">
        <f>VLOOKUP(V670,'Fix Cost'!$K$177:$M$179,2,0)</f>
        <v>32032.115313968527</v>
      </c>
      <c r="Y670" s="3119">
        <f>VLOOKUP(V670,'Fix Cost'!$K$177:$M$179,3,0)</f>
        <v>267567.54920876794</v>
      </c>
      <c r="Z670" s="3119">
        <f t="shared" ca="1" si="408"/>
        <v>0</v>
      </c>
      <c r="AA670" s="3115">
        <f t="shared" ca="1" si="409"/>
        <v>0</v>
      </c>
      <c r="AB670" s="3115">
        <f t="shared" ca="1" si="410"/>
        <v>0</v>
      </c>
      <c r="AL670" s="313"/>
      <c r="AM670" s="363"/>
      <c r="AN670" s="385"/>
      <c r="AT670" s="879">
        <f t="shared" ca="1" si="419"/>
        <v>0</v>
      </c>
      <c r="AU670" s="879">
        <f ca="1">COUNTIFS(AT$7:$AT670,1)</f>
        <v>7</v>
      </c>
    </row>
    <row r="671" spans="2:47" ht="12.75" hidden="1" outlineLevel="1">
      <c r="B671" s="1738" t="str">
        <f>input!B1038</f>
        <v>Grinding CB 2nd</v>
      </c>
      <c r="C671" s="313" t="str">
        <f ca="1">input!C1038</f>
        <v>N</v>
      </c>
      <c r="D671" s="1739">
        <f>input!D1038</f>
        <v>1</v>
      </c>
      <c r="E671" s="1740">
        <f>input!E1038</f>
        <v>1</v>
      </c>
      <c r="F671" s="363" t="str">
        <f ca="1">input!F1038</f>
        <v>N</v>
      </c>
      <c r="G671" s="363"/>
      <c r="H671" s="313">
        <f ca="1">IF(F671="PCS",$E$4,SUMIFS(Paper!$AC$7:$AC$58,Paper!$A$7:$A$58,'Production cost'!F671))*IF($F671="Pcs",$D671/$E671,1)</f>
        <v>0</v>
      </c>
      <c r="I671" s="313">
        <f ca="1">IF(input!$G1038&gt;0,input!$G1038,2000)</f>
        <v>2000</v>
      </c>
      <c r="J671" s="313" t="str">
        <f ca="1">input!H1038</f>
        <v>Sheets</v>
      </c>
      <c r="K671" s="360">
        <v>0</v>
      </c>
      <c r="L671" s="313">
        <f ca="1">input!I1038</f>
        <v>0</v>
      </c>
      <c r="M671" s="391">
        <f t="shared" ca="1" si="415"/>
        <v>0</v>
      </c>
      <c r="N671" s="391">
        <f t="shared" ca="1" si="416"/>
        <v>0</v>
      </c>
      <c r="P671" s="313">
        <f>Data!$N$1155</f>
        <v>52580.182439963428</v>
      </c>
      <c r="Q671" s="313">
        <f t="shared" ca="1" si="473"/>
        <v>0</v>
      </c>
      <c r="R671" s="313">
        <f t="shared" ca="1" si="417"/>
        <v>0</v>
      </c>
      <c r="S671" s="1741">
        <f t="shared" ca="1" si="418"/>
        <v>0</v>
      </c>
      <c r="T671" s="313" t="str">
        <f ca="1">input!J1038</f>
        <v>N</v>
      </c>
      <c r="V671" s="3115" t="str">
        <f>input!K1038</f>
        <v>Assembly</v>
      </c>
      <c r="W671" s="3115">
        <f t="shared" ca="1" si="407"/>
        <v>0</v>
      </c>
      <c r="X671" s="3119">
        <f>VLOOKUP(V671,'Fix Cost'!$K$177:$M$179,2,0)</f>
        <v>32032.115313968527</v>
      </c>
      <c r="Y671" s="3119">
        <f>VLOOKUP(V671,'Fix Cost'!$K$177:$M$179,3,0)</f>
        <v>267567.54920876794</v>
      </c>
      <c r="Z671" s="3119">
        <f t="shared" ca="1" si="408"/>
        <v>0</v>
      </c>
      <c r="AA671" s="3115">
        <f t="shared" ca="1" si="409"/>
        <v>0</v>
      </c>
      <c r="AB671" s="3115">
        <f t="shared" ca="1" si="410"/>
        <v>0</v>
      </c>
      <c r="AL671" s="313"/>
      <c r="AM671" s="363"/>
      <c r="AN671" s="385"/>
      <c r="AT671" s="879">
        <f t="shared" ca="1" si="419"/>
        <v>0</v>
      </c>
      <c r="AU671" s="879">
        <f ca="1">COUNTIFS(AT$7:$AT671,1)</f>
        <v>7</v>
      </c>
    </row>
    <row r="672" spans="2:47" ht="12.75" hidden="1" outlineLevel="1">
      <c r="B672" s="1738" t="str">
        <f>input!B1039</f>
        <v>Grinding CB 2nd</v>
      </c>
      <c r="C672" s="313" t="str">
        <f ca="1">input!C1039</f>
        <v>N</v>
      </c>
      <c r="D672" s="1739">
        <f>input!D1039</f>
        <v>1</v>
      </c>
      <c r="E672" s="1740">
        <f>input!E1039</f>
        <v>1</v>
      </c>
      <c r="F672" s="363" t="str">
        <f ca="1">input!F1039</f>
        <v>N</v>
      </c>
      <c r="G672" s="363"/>
      <c r="H672" s="313">
        <f ca="1">IF(F672="PCS",$E$4,SUMIFS(Paper!$AC$7:$AC$58,Paper!$A$7:$A$58,'Production cost'!F672))*IF($F672="Pcs",$D672/$E672,1)</f>
        <v>0</v>
      </c>
      <c r="I672" s="313">
        <f ca="1">IF(input!$G1039&gt;0,input!$G1039,2000)</f>
        <v>2000</v>
      </c>
      <c r="J672" s="313" t="str">
        <f ca="1">input!H1039</f>
        <v>Sheets</v>
      </c>
      <c r="K672" s="360">
        <v>0</v>
      </c>
      <c r="L672" s="313">
        <f ca="1">input!I1039</f>
        <v>0</v>
      </c>
      <c r="M672" s="391">
        <f t="shared" ca="1" si="415"/>
        <v>0</v>
      </c>
      <c r="N672" s="391">
        <f t="shared" ca="1" si="416"/>
        <v>0</v>
      </c>
      <c r="P672" s="313">
        <f>Data!$N$1155</f>
        <v>52580.182439963428</v>
      </c>
      <c r="Q672" s="313">
        <f t="shared" ca="1" si="473"/>
        <v>0</v>
      </c>
      <c r="R672" s="313">
        <f t="shared" ca="1" si="417"/>
        <v>0</v>
      </c>
      <c r="S672" s="1741">
        <f t="shared" ca="1" si="418"/>
        <v>0</v>
      </c>
      <c r="T672" s="313" t="str">
        <f ca="1">input!J1039</f>
        <v>N</v>
      </c>
      <c r="V672" s="3115" t="str">
        <f>input!K1039</f>
        <v>Assembly</v>
      </c>
      <c r="W672" s="3115">
        <f t="shared" ca="1" si="407"/>
        <v>0</v>
      </c>
      <c r="X672" s="3119">
        <f>VLOOKUP(V672,'Fix Cost'!$K$177:$M$179,2,0)</f>
        <v>32032.115313968527</v>
      </c>
      <c r="Y672" s="3119">
        <f>VLOOKUP(V672,'Fix Cost'!$K$177:$M$179,3,0)</f>
        <v>267567.54920876794</v>
      </c>
      <c r="Z672" s="3119">
        <f t="shared" ca="1" si="408"/>
        <v>0</v>
      </c>
      <c r="AA672" s="3115">
        <f t="shared" ca="1" si="409"/>
        <v>0</v>
      </c>
      <c r="AB672" s="3115">
        <f t="shared" ca="1" si="410"/>
        <v>0</v>
      </c>
      <c r="AL672" s="313"/>
      <c r="AM672" s="363"/>
      <c r="AN672" s="385"/>
      <c r="AT672" s="879">
        <f t="shared" ca="1" si="419"/>
        <v>0</v>
      </c>
      <c r="AU672" s="879">
        <f ca="1">COUNTIFS(AT$7:$AT672,1)</f>
        <v>7</v>
      </c>
    </row>
    <row r="673" spans="2:47" ht="12.75" hidden="1" outlineLevel="1">
      <c r="B673" s="1738" t="str">
        <f>input!B1040</f>
        <v>Grinding CB 2nd</v>
      </c>
      <c r="C673" s="313" t="str">
        <f ca="1">input!C1040</f>
        <v>N</v>
      </c>
      <c r="D673" s="1739">
        <f>input!D1040</f>
        <v>1</v>
      </c>
      <c r="E673" s="1740">
        <f>input!E1040</f>
        <v>1</v>
      </c>
      <c r="F673" s="363" t="str">
        <f ca="1">input!F1040</f>
        <v>N</v>
      </c>
      <c r="G673" s="363"/>
      <c r="H673" s="313">
        <f ca="1">IF(F673="PCS",$E$4,SUMIFS(Paper!$AC$7:$AC$58,Paper!$A$7:$A$58,'Production cost'!F673))*IF($F673="Pcs",$D673/$E673,1)</f>
        <v>0</v>
      </c>
      <c r="I673" s="313">
        <f ca="1">IF(input!$G1040&gt;0,input!$G1040,2000)</f>
        <v>2000</v>
      </c>
      <c r="J673" s="313" t="str">
        <f ca="1">input!H1040</f>
        <v>Sheets</v>
      </c>
      <c r="K673" s="360">
        <v>0</v>
      </c>
      <c r="L673" s="313">
        <f ca="1">input!I1040</f>
        <v>0</v>
      </c>
      <c r="M673" s="391">
        <f t="shared" ca="1" si="415"/>
        <v>0</v>
      </c>
      <c r="N673" s="391">
        <f t="shared" ca="1" si="416"/>
        <v>0</v>
      </c>
      <c r="P673" s="313">
        <f>Data!$N$1155</f>
        <v>52580.182439963428</v>
      </c>
      <c r="Q673" s="313">
        <f t="shared" ca="1" si="473"/>
        <v>0</v>
      </c>
      <c r="R673" s="313">
        <f t="shared" ca="1" si="417"/>
        <v>0</v>
      </c>
      <c r="S673" s="1741">
        <f t="shared" ca="1" si="418"/>
        <v>0</v>
      </c>
      <c r="T673" s="313" t="str">
        <f ca="1">input!J1040</f>
        <v>N</v>
      </c>
      <c r="V673" s="3115" t="str">
        <f>input!K1040</f>
        <v>Assembly</v>
      </c>
      <c r="W673" s="3115">
        <f t="shared" ca="1" si="407"/>
        <v>0</v>
      </c>
      <c r="X673" s="3119">
        <f>VLOOKUP(V673,'Fix Cost'!$K$177:$M$179,2,0)</f>
        <v>32032.115313968527</v>
      </c>
      <c r="Y673" s="3119">
        <f>VLOOKUP(V673,'Fix Cost'!$K$177:$M$179,3,0)</f>
        <v>267567.54920876794</v>
      </c>
      <c r="Z673" s="3119">
        <f t="shared" ca="1" si="408"/>
        <v>0</v>
      </c>
      <c r="AA673" s="3115">
        <f t="shared" ca="1" si="409"/>
        <v>0</v>
      </c>
      <c r="AB673" s="3115">
        <f t="shared" ca="1" si="410"/>
        <v>0</v>
      </c>
      <c r="AL673" s="313"/>
      <c r="AM673" s="363"/>
      <c r="AN673" s="385"/>
      <c r="AT673" s="879">
        <f t="shared" ca="1" si="419"/>
        <v>0</v>
      </c>
      <c r="AU673" s="879">
        <f ca="1">COUNTIFS(AT$7:$AT673,1)</f>
        <v>7</v>
      </c>
    </row>
    <row r="674" spans="2:47" ht="12.75" hidden="1" outlineLevel="1">
      <c r="B674" s="1738" t="str">
        <f>input!B1041</f>
        <v>Grinding CB 2nd</v>
      </c>
      <c r="C674" s="313" t="str">
        <f ca="1">input!C1041</f>
        <v>N</v>
      </c>
      <c r="D674" s="1739">
        <f>input!D1041</f>
        <v>1</v>
      </c>
      <c r="E674" s="1740">
        <f>input!E1041</f>
        <v>1</v>
      </c>
      <c r="F674" s="363" t="str">
        <f ca="1">input!F1041</f>
        <v>N</v>
      </c>
      <c r="G674" s="363"/>
      <c r="H674" s="313">
        <f ca="1">IF(F674="PCS",$E$4,SUMIFS(Paper!$AC$7:$AC$58,Paper!$A$7:$A$58,'Production cost'!F674))*IF($F674="Pcs",$D674/$E674,1)</f>
        <v>0</v>
      </c>
      <c r="I674" s="313">
        <f ca="1">IF(input!$G1041&gt;0,input!$G1041,2000)</f>
        <v>2000</v>
      </c>
      <c r="J674" s="313" t="str">
        <f ca="1">input!H1041</f>
        <v>Sheets</v>
      </c>
      <c r="K674" s="360">
        <v>0</v>
      </c>
      <c r="L674" s="313">
        <f ca="1">input!I1041</f>
        <v>0</v>
      </c>
      <c r="M674" s="391">
        <f t="shared" ca="1" si="415"/>
        <v>0</v>
      </c>
      <c r="N674" s="391">
        <f t="shared" ca="1" si="416"/>
        <v>0</v>
      </c>
      <c r="P674" s="313">
        <f>Data!$N$1155</f>
        <v>52580.182439963428</v>
      </c>
      <c r="Q674" s="313">
        <f t="shared" ca="1" si="473"/>
        <v>0</v>
      </c>
      <c r="R674" s="313">
        <f t="shared" ca="1" si="417"/>
        <v>0</v>
      </c>
      <c r="S674" s="1741">
        <f t="shared" ca="1" si="418"/>
        <v>0</v>
      </c>
      <c r="T674" s="313" t="str">
        <f ca="1">input!J1041</f>
        <v>N</v>
      </c>
      <c r="V674" s="3115" t="str">
        <f>input!K1041</f>
        <v>Assembly</v>
      </c>
      <c r="W674" s="3115">
        <f t="shared" ca="1" si="407"/>
        <v>0</v>
      </c>
      <c r="X674" s="3119">
        <f>VLOOKUP(V674,'Fix Cost'!$K$177:$M$179,2,0)</f>
        <v>32032.115313968527</v>
      </c>
      <c r="Y674" s="3119">
        <f>VLOOKUP(V674,'Fix Cost'!$K$177:$M$179,3,0)</f>
        <v>267567.54920876794</v>
      </c>
      <c r="Z674" s="3119">
        <f t="shared" ca="1" si="408"/>
        <v>0</v>
      </c>
      <c r="AA674" s="3115">
        <f t="shared" ca="1" si="409"/>
        <v>0</v>
      </c>
      <c r="AB674" s="3115">
        <f t="shared" ca="1" si="410"/>
        <v>0</v>
      </c>
      <c r="AL674" s="313"/>
      <c r="AM674" s="363"/>
      <c r="AN674" s="385"/>
      <c r="AT674" s="879">
        <f t="shared" ca="1" si="419"/>
        <v>0</v>
      </c>
      <c r="AU674" s="879">
        <f ca="1">COUNTIFS(AT$7:$AT674,1)</f>
        <v>7</v>
      </c>
    </row>
    <row r="675" spans="2:47" ht="12.75" hidden="1" outlineLevel="1">
      <c r="B675" s="1738" t="str">
        <f>input!B1042</f>
        <v>Grinding CB 2nd</v>
      </c>
      <c r="C675" s="313" t="str">
        <f ca="1">input!C1042</f>
        <v>N</v>
      </c>
      <c r="D675" s="1739">
        <f>input!D1042</f>
        <v>1</v>
      </c>
      <c r="E675" s="1740">
        <f>input!E1042</f>
        <v>1</v>
      </c>
      <c r="F675" s="363" t="str">
        <f ca="1">input!F1042</f>
        <v>N</v>
      </c>
      <c r="G675" s="363"/>
      <c r="H675" s="313">
        <f ca="1">IF(F675="PCS",$E$4,SUMIFS(Paper!$AC$7:$AC$58,Paper!$A$7:$A$58,'Production cost'!F675))*IF($F675="Pcs",$D675/$E675,1)</f>
        <v>0</v>
      </c>
      <c r="I675" s="313">
        <f ca="1">IF(input!$G1042&gt;0,input!$G1042,2000)</f>
        <v>2000</v>
      </c>
      <c r="J675" s="313" t="str">
        <f ca="1">input!H1042</f>
        <v>Sheets</v>
      </c>
      <c r="K675" s="360">
        <v>0</v>
      </c>
      <c r="L675" s="313">
        <f ca="1">input!I1042</f>
        <v>0</v>
      </c>
      <c r="M675" s="391">
        <f t="shared" ref="M675:M679" ca="1" si="489">IF(H675&gt;0,90/60,0)*0</f>
        <v>0</v>
      </c>
      <c r="N675" s="391">
        <f t="shared" ref="N675:N679" ca="1" si="490">IF(H675&gt;0,ROUNDUP(((H675/I675)/$M$4+M675),1),0)</f>
        <v>0</v>
      </c>
      <c r="P675" s="313">
        <f>Data!$N$1155</f>
        <v>52580.182439963428</v>
      </c>
      <c r="Q675" s="313">
        <f t="shared" ref="Q675:Q679" ca="1" si="491">(N675*O675*K675+N675*P675*L675)*(1+$R$702)</f>
        <v>0</v>
      </c>
      <c r="R675" s="313">
        <f t="shared" ref="R675:R679" ca="1" si="492">IF($E$2&gt;0,Q675/$E$2,0)</f>
        <v>0</v>
      </c>
      <c r="S675" s="1741">
        <f t="shared" ref="S675:S679" ca="1" si="493">IF(M675&gt;0,K675*O675+L675*P675,0)</f>
        <v>0</v>
      </c>
      <c r="T675" s="313" t="str">
        <f ca="1">input!J1042</f>
        <v>N</v>
      </c>
      <c r="V675" s="3115" t="str">
        <f>input!K1042</f>
        <v>Assembly</v>
      </c>
      <c r="W675" s="3115">
        <f t="shared" ref="W675:W679" ca="1" si="494">N675*(L675+K675)</f>
        <v>0</v>
      </c>
      <c r="X675" s="3119">
        <f>VLOOKUP(V675,'Fix Cost'!$K$177:$M$179,2,0)</f>
        <v>32032.115313968527</v>
      </c>
      <c r="Y675" s="3119">
        <f>VLOOKUP(V675,'Fix Cost'!$K$177:$M$179,3,0)</f>
        <v>267567.54920876794</v>
      </c>
      <c r="Z675" s="3119">
        <f t="shared" ref="Z675:Z679" ca="1" si="495">IFERROR($X675*W675,0)</f>
        <v>0</v>
      </c>
      <c r="AA675" s="3115">
        <f t="shared" ref="AA675:AA679" ca="1" si="496">IFERROR(Y675*N675,0)</f>
        <v>0</v>
      </c>
      <c r="AB675" s="3115">
        <f t="shared" ref="AB675:AB679" ca="1" si="497">Z675+AA675</f>
        <v>0</v>
      </c>
      <c r="AL675" s="313"/>
      <c r="AM675" s="363"/>
      <c r="AN675" s="385"/>
      <c r="AT675" s="879"/>
      <c r="AU675" s="879"/>
    </row>
    <row r="676" spans="2:47" ht="12.75" hidden="1" outlineLevel="1">
      <c r="B676" s="1738" t="str">
        <f>input!B1043</f>
        <v>Grinding CB 2nd</v>
      </c>
      <c r="C676" s="313" t="str">
        <f ca="1">input!C1043</f>
        <v>N</v>
      </c>
      <c r="D676" s="1739">
        <f>input!D1043</f>
        <v>1</v>
      </c>
      <c r="E676" s="1740">
        <f>input!E1043</f>
        <v>1</v>
      </c>
      <c r="F676" s="363" t="str">
        <f ca="1">input!F1043</f>
        <v>N</v>
      </c>
      <c r="G676" s="363"/>
      <c r="H676" s="313">
        <f ca="1">IF(F676="PCS",$E$4,SUMIFS(Paper!$AC$7:$AC$58,Paper!$A$7:$A$58,'Production cost'!F676))*IF($F676="Pcs",$D676/$E676,1)</f>
        <v>0</v>
      </c>
      <c r="I676" s="313">
        <f ca="1">IF(input!$G1043&gt;0,input!$G1043,2000)</f>
        <v>2000</v>
      </c>
      <c r="J676" s="313" t="str">
        <f ca="1">input!H1043</f>
        <v>Sheets</v>
      </c>
      <c r="K676" s="360">
        <v>0</v>
      </c>
      <c r="L676" s="313">
        <f ca="1">input!I1043</f>
        <v>0</v>
      </c>
      <c r="M676" s="391">
        <f t="shared" ca="1" si="489"/>
        <v>0</v>
      </c>
      <c r="N676" s="391">
        <f t="shared" ca="1" si="490"/>
        <v>0</v>
      </c>
      <c r="P676" s="313">
        <f>Data!$N$1155</f>
        <v>52580.182439963428</v>
      </c>
      <c r="Q676" s="313">
        <f t="shared" ca="1" si="491"/>
        <v>0</v>
      </c>
      <c r="R676" s="313">
        <f t="shared" ca="1" si="492"/>
        <v>0</v>
      </c>
      <c r="S676" s="1741">
        <f t="shared" ca="1" si="493"/>
        <v>0</v>
      </c>
      <c r="T676" s="313" t="str">
        <f ca="1">input!J1043</f>
        <v>N</v>
      </c>
      <c r="V676" s="3115" t="str">
        <f>input!K1043</f>
        <v>Assembly</v>
      </c>
      <c r="W676" s="3115">
        <f t="shared" ca="1" si="494"/>
        <v>0</v>
      </c>
      <c r="X676" s="3119">
        <f>VLOOKUP(V676,'Fix Cost'!$K$177:$M$179,2,0)</f>
        <v>32032.115313968527</v>
      </c>
      <c r="Y676" s="3119">
        <f>VLOOKUP(V676,'Fix Cost'!$K$177:$M$179,3,0)</f>
        <v>267567.54920876794</v>
      </c>
      <c r="Z676" s="3119">
        <f t="shared" ca="1" si="495"/>
        <v>0</v>
      </c>
      <c r="AA676" s="3115">
        <f t="shared" ca="1" si="496"/>
        <v>0</v>
      </c>
      <c r="AB676" s="3115">
        <f t="shared" ca="1" si="497"/>
        <v>0</v>
      </c>
      <c r="AL676" s="313"/>
      <c r="AM676" s="363"/>
      <c r="AN676" s="385"/>
      <c r="AT676" s="879"/>
      <c r="AU676" s="879"/>
    </row>
    <row r="677" spans="2:47" ht="12.75" hidden="1" outlineLevel="1">
      <c r="B677" s="1738" t="str">
        <f>input!B1044</f>
        <v>Grinding CB 2nd</v>
      </c>
      <c r="C677" s="313" t="str">
        <f ca="1">input!C1044</f>
        <v>N</v>
      </c>
      <c r="D677" s="1739">
        <f>input!D1044</f>
        <v>1</v>
      </c>
      <c r="E677" s="1740">
        <f>input!E1044</f>
        <v>1</v>
      </c>
      <c r="F677" s="363" t="str">
        <f ca="1">input!F1044</f>
        <v>N</v>
      </c>
      <c r="G677" s="363"/>
      <c r="H677" s="313">
        <f ca="1">IF(F677="PCS",$E$4,SUMIFS(Paper!$AC$7:$AC$58,Paper!$A$7:$A$58,'Production cost'!F677))*IF($F677="Pcs",$D677/$E677,1)</f>
        <v>0</v>
      </c>
      <c r="I677" s="313">
        <f ca="1">IF(input!$G1044&gt;0,input!$G1044,2000)</f>
        <v>2000</v>
      </c>
      <c r="J677" s="313" t="str">
        <f ca="1">input!H1044</f>
        <v>Sheets</v>
      </c>
      <c r="K677" s="360">
        <v>0</v>
      </c>
      <c r="L677" s="313">
        <f ca="1">input!I1044</f>
        <v>0</v>
      </c>
      <c r="M677" s="391">
        <f t="shared" ca="1" si="489"/>
        <v>0</v>
      </c>
      <c r="N677" s="391">
        <f t="shared" ca="1" si="490"/>
        <v>0</v>
      </c>
      <c r="P677" s="313">
        <f>Data!$N$1155</f>
        <v>52580.182439963428</v>
      </c>
      <c r="Q677" s="313">
        <f t="shared" ca="1" si="491"/>
        <v>0</v>
      </c>
      <c r="R677" s="313">
        <f t="shared" ca="1" si="492"/>
        <v>0</v>
      </c>
      <c r="S677" s="1741">
        <f t="shared" ca="1" si="493"/>
        <v>0</v>
      </c>
      <c r="T677" s="313" t="str">
        <f ca="1">input!J1044</f>
        <v>N</v>
      </c>
      <c r="V677" s="3115" t="str">
        <f>input!K1044</f>
        <v>Assembly</v>
      </c>
      <c r="W677" s="3115">
        <f t="shared" ca="1" si="494"/>
        <v>0</v>
      </c>
      <c r="X677" s="3119">
        <f>VLOOKUP(V677,'Fix Cost'!$K$177:$M$179,2,0)</f>
        <v>32032.115313968527</v>
      </c>
      <c r="Y677" s="3119">
        <f>VLOOKUP(V677,'Fix Cost'!$K$177:$M$179,3,0)</f>
        <v>267567.54920876794</v>
      </c>
      <c r="Z677" s="3119">
        <f t="shared" ca="1" si="495"/>
        <v>0</v>
      </c>
      <c r="AA677" s="3115">
        <f t="shared" ca="1" si="496"/>
        <v>0</v>
      </c>
      <c r="AB677" s="3115">
        <f t="shared" ca="1" si="497"/>
        <v>0</v>
      </c>
      <c r="AL677" s="313"/>
      <c r="AM677" s="363"/>
      <c r="AN677" s="385"/>
      <c r="AT677" s="879"/>
      <c r="AU677" s="879"/>
    </row>
    <row r="678" spans="2:47" ht="12.75" hidden="1" outlineLevel="1">
      <c r="B678" s="1738" t="str">
        <f>input!B1045</f>
        <v>Grinding CB 2nd</v>
      </c>
      <c r="C678" s="313" t="str">
        <f ca="1">input!C1045</f>
        <v>N</v>
      </c>
      <c r="D678" s="1739">
        <f>input!D1045</f>
        <v>1</v>
      </c>
      <c r="E678" s="1740">
        <f>input!E1045</f>
        <v>1</v>
      </c>
      <c r="F678" s="363" t="str">
        <f ca="1">input!F1045</f>
        <v>N</v>
      </c>
      <c r="G678" s="363"/>
      <c r="H678" s="313">
        <f ca="1">IF(F678="PCS",$E$4,SUMIFS(Paper!$AC$7:$AC$58,Paper!$A$7:$A$58,'Production cost'!F678))*IF($F678="Pcs",$D678/$E678,1)</f>
        <v>0</v>
      </c>
      <c r="I678" s="313">
        <f ca="1">IF(input!$G1045&gt;0,input!$G1045,2000)</f>
        <v>2000</v>
      </c>
      <c r="J678" s="313" t="str">
        <f ca="1">input!H1045</f>
        <v>Sheets</v>
      </c>
      <c r="K678" s="360">
        <v>0</v>
      </c>
      <c r="L678" s="313">
        <f ca="1">input!I1045</f>
        <v>0</v>
      </c>
      <c r="M678" s="391">
        <f t="shared" ca="1" si="489"/>
        <v>0</v>
      </c>
      <c r="N678" s="391">
        <f t="shared" ca="1" si="490"/>
        <v>0</v>
      </c>
      <c r="P678" s="313">
        <f>Data!$N$1155</f>
        <v>52580.182439963428</v>
      </c>
      <c r="Q678" s="313">
        <f t="shared" ca="1" si="491"/>
        <v>0</v>
      </c>
      <c r="R678" s="313">
        <f t="shared" ca="1" si="492"/>
        <v>0</v>
      </c>
      <c r="S678" s="1741">
        <f t="shared" ca="1" si="493"/>
        <v>0</v>
      </c>
      <c r="T678" s="313" t="str">
        <f ca="1">input!J1045</f>
        <v>N</v>
      </c>
      <c r="V678" s="3115" t="str">
        <f>input!K1045</f>
        <v>Assembly</v>
      </c>
      <c r="W678" s="3115">
        <f t="shared" ca="1" si="494"/>
        <v>0</v>
      </c>
      <c r="X678" s="3119">
        <f>VLOOKUP(V678,'Fix Cost'!$K$177:$M$179,2,0)</f>
        <v>32032.115313968527</v>
      </c>
      <c r="Y678" s="3119">
        <f>VLOOKUP(V678,'Fix Cost'!$K$177:$M$179,3,0)</f>
        <v>267567.54920876794</v>
      </c>
      <c r="Z678" s="3119">
        <f t="shared" ca="1" si="495"/>
        <v>0</v>
      </c>
      <c r="AA678" s="3115">
        <f t="shared" ca="1" si="496"/>
        <v>0</v>
      </c>
      <c r="AB678" s="3115">
        <f t="shared" ca="1" si="497"/>
        <v>0</v>
      </c>
      <c r="AL678" s="313"/>
      <c r="AM678" s="363"/>
      <c r="AN678" s="385"/>
      <c r="AT678" s="879"/>
      <c r="AU678" s="879"/>
    </row>
    <row r="679" spans="2:47" ht="12.75" hidden="1" outlineLevel="1">
      <c r="B679" s="1738" t="str">
        <f>input!B1046</f>
        <v>Grinding CB 2nd</v>
      </c>
      <c r="C679" s="313" t="str">
        <f ca="1">input!C1046</f>
        <v>N</v>
      </c>
      <c r="D679" s="1739">
        <f>input!D1046</f>
        <v>1</v>
      </c>
      <c r="E679" s="1740">
        <f>input!E1046</f>
        <v>1</v>
      </c>
      <c r="F679" s="363" t="str">
        <f ca="1">input!F1046</f>
        <v>N</v>
      </c>
      <c r="G679" s="363"/>
      <c r="H679" s="313">
        <f ca="1">IF(F679="PCS",$E$4,SUMIFS(Paper!$AC$7:$AC$58,Paper!$A$7:$A$58,'Production cost'!F679))*IF($F679="Pcs",$D679/$E679,1)</f>
        <v>0</v>
      </c>
      <c r="I679" s="313">
        <f ca="1">IF(input!$G1046&gt;0,input!$G1046,2000)</f>
        <v>2000</v>
      </c>
      <c r="J679" s="313" t="str">
        <f ca="1">input!H1046</f>
        <v>Sheets</v>
      </c>
      <c r="K679" s="360">
        <v>0</v>
      </c>
      <c r="L679" s="313">
        <f ca="1">input!I1046</f>
        <v>0</v>
      </c>
      <c r="M679" s="391">
        <f t="shared" ca="1" si="489"/>
        <v>0</v>
      </c>
      <c r="N679" s="391">
        <f t="shared" ca="1" si="490"/>
        <v>0</v>
      </c>
      <c r="P679" s="313">
        <f>Data!$N$1155</f>
        <v>52580.182439963428</v>
      </c>
      <c r="Q679" s="313">
        <f t="shared" ca="1" si="491"/>
        <v>0</v>
      </c>
      <c r="R679" s="313">
        <f t="shared" ca="1" si="492"/>
        <v>0</v>
      </c>
      <c r="S679" s="1741">
        <f t="shared" ca="1" si="493"/>
        <v>0</v>
      </c>
      <c r="T679" s="313" t="str">
        <f ca="1">input!J1046</f>
        <v>N</v>
      </c>
      <c r="V679" s="3115" t="str">
        <f>input!K1046</f>
        <v>Assembly</v>
      </c>
      <c r="W679" s="3115">
        <f t="shared" ca="1" si="494"/>
        <v>0</v>
      </c>
      <c r="X679" s="3119">
        <f>VLOOKUP(V679,'Fix Cost'!$K$177:$M$179,2,0)</f>
        <v>32032.115313968527</v>
      </c>
      <c r="Y679" s="3119">
        <f>VLOOKUP(V679,'Fix Cost'!$K$177:$M$179,3,0)</f>
        <v>267567.54920876794</v>
      </c>
      <c r="Z679" s="3119">
        <f t="shared" ca="1" si="495"/>
        <v>0</v>
      </c>
      <c r="AA679" s="3115">
        <f t="shared" ca="1" si="496"/>
        <v>0</v>
      </c>
      <c r="AB679" s="3115">
        <f t="shared" ca="1" si="497"/>
        <v>0</v>
      </c>
      <c r="AL679" s="313"/>
      <c r="AM679" s="363"/>
      <c r="AN679" s="385"/>
      <c r="AT679" s="879"/>
      <c r="AU679" s="879"/>
    </row>
    <row r="680" spans="2:47" ht="12.75" hidden="1" outlineLevel="1">
      <c r="B680" s="1738" t="str">
        <f>input!B1047</f>
        <v>Gấp máy</v>
      </c>
      <c r="C680" s="313" t="str">
        <f>input!C1047</f>
        <v>Box</v>
      </c>
      <c r="D680" s="1739">
        <f>input!D1047</f>
        <v>1</v>
      </c>
      <c r="E680" s="1740">
        <f>input!E1047</f>
        <v>1</v>
      </c>
      <c r="F680" s="363" t="str">
        <f>input!F1047</f>
        <v>N</v>
      </c>
      <c r="G680" s="363"/>
      <c r="H680" s="313">
        <f ca="1">IF(F680="PCS",$E$4,SUMIFS(Paper!$AC$7:$AC$58,Paper!$A$7:$A$58,'Production cost'!F680))*IF($F680="Pcs",$D680/$E680,1)</f>
        <v>0</v>
      </c>
      <c r="I680" s="313">
        <f>IF(input!$G1047&gt;0,input!$G1047,2000)</f>
        <v>2000</v>
      </c>
      <c r="J680" s="313" t="str">
        <f>input!H1047</f>
        <v>Sheets</v>
      </c>
      <c r="K680" s="360">
        <v>0</v>
      </c>
      <c r="L680" s="313">
        <f>input!I1047</f>
        <v>0</v>
      </c>
      <c r="M680" s="391">
        <f t="shared" ref="M680:M693" ca="1" si="498">IF(H680&gt;0,90/60,0)*0</f>
        <v>0</v>
      </c>
      <c r="N680" s="391">
        <f t="shared" ref="N680:N693" ca="1" si="499">IF(H680&gt;0,ROUNDUP(((H680/I680)/$M$4+M680),1),0)</f>
        <v>0</v>
      </c>
      <c r="P680" s="313">
        <f>Data!$N$1155</f>
        <v>52580.182439963428</v>
      </c>
      <c r="Q680" s="313">
        <f t="shared" ca="1" si="473"/>
        <v>0</v>
      </c>
      <c r="R680" s="313">
        <f t="shared" ref="R680:R693" ca="1" si="500">IF($E$2&gt;0,Q680/$E$2,0)</f>
        <v>0</v>
      </c>
      <c r="S680" s="1741">
        <f t="shared" ref="S680:S693" ca="1" si="501">IF(M680&gt;0,K680*O680+L680*P680,0)</f>
        <v>0</v>
      </c>
      <c r="T680" s="313" t="str">
        <f>input!J1047</f>
        <v>Box</v>
      </c>
      <c r="V680" s="3115" t="str">
        <f>input!K1047</f>
        <v>Assembly</v>
      </c>
      <c r="W680" s="3115">
        <f t="shared" ref="W680:W693" ca="1" si="502">N680*(L680+K680)</f>
        <v>0</v>
      </c>
      <c r="X680" s="3119">
        <f>VLOOKUP(V680,'Fix Cost'!$K$177:$M$179,2,0)</f>
        <v>32032.115313968527</v>
      </c>
      <c r="Y680" s="3119">
        <f>VLOOKUP(V680,'Fix Cost'!$K$177:$M$179,3,0)</f>
        <v>267567.54920876794</v>
      </c>
      <c r="Z680" s="3119">
        <f t="shared" ref="Z680:Z693" ca="1" si="503">IFERROR($X680*W680,0)</f>
        <v>0</v>
      </c>
      <c r="AA680" s="3115">
        <f t="shared" ref="AA680:AA693" ca="1" si="504">IFERROR(Y680*N680,0)</f>
        <v>0</v>
      </c>
      <c r="AB680" s="3115">
        <f t="shared" ref="AB680:AB693" ca="1" si="505">Z680+AA680</f>
        <v>0</v>
      </c>
      <c r="AL680" s="313"/>
      <c r="AM680" s="363"/>
      <c r="AN680" s="385"/>
      <c r="AT680" s="879">
        <f t="shared" ca="1" si="419"/>
        <v>0</v>
      </c>
      <c r="AU680" s="879">
        <f ca="1">COUNTIFS(AT$7:$AT680,1)</f>
        <v>7</v>
      </c>
    </row>
    <row r="681" spans="2:47" ht="12.75" hidden="1" outlineLevel="1">
      <c r="B681" s="1738" t="str">
        <f>input!B1048</f>
        <v>Dán PET</v>
      </c>
      <c r="C681" s="313" t="str">
        <f>input!C1048</f>
        <v>Box</v>
      </c>
      <c r="D681" s="1739">
        <f>input!D1048</f>
        <v>1</v>
      </c>
      <c r="E681" s="1740">
        <f>input!E1048</f>
        <v>1</v>
      </c>
      <c r="F681" s="363" t="str">
        <f>input!F1048</f>
        <v>N</v>
      </c>
      <c r="G681" s="363"/>
      <c r="H681" s="313">
        <f ca="1">IF(F681="PCS",$E$4,SUMIFS(Paper!$AC$7:$AC$58,Paper!$A$7:$A$58,'Production cost'!F681))*IF($F681="Pcs",$D681/$E681,1)</f>
        <v>0</v>
      </c>
      <c r="I681" s="313">
        <f>IF(input!$G1048&gt;0,input!$G1048,2000)</f>
        <v>2000</v>
      </c>
      <c r="J681" s="313" t="str">
        <f>input!H1048</f>
        <v>Sheets</v>
      </c>
      <c r="K681" s="360">
        <v>0</v>
      </c>
      <c r="L681" s="313">
        <f>input!I1048</f>
        <v>0</v>
      </c>
      <c r="M681" s="391">
        <f t="shared" ca="1" si="498"/>
        <v>0</v>
      </c>
      <c r="N681" s="391">
        <f t="shared" ca="1" si="499"/>
        <v>0</v>
      </c>
      <c r="P681" s="313">
        <f>Data!$N$1155</f>
        <v>52580.182439963428</v>
      </c>
      <c r="Q681" s="313">
        <f t="shared" ca="1" si="473"/>
        <v>0</v>
      </c>
      <c r="R681" s="313">
        <f t="shared" ca="1" si="500"/>
        <v>0</v>
      </c>
      <c r="S681" s="1741">
        <f t="shared" ca="1" si="501"/>
        <v>0</v>
      </c>
      <c r="T681" s="313" t="str">
        <f>input!J1048</f>
        <v>Box</v>
      </c>
      <c r="V681" s="3115" t="str">
        <f>input!K1048</f>
        <v>Assembly</v>
      </c>
      <c r="W681" s="3115">
        <f t="shared" ca="1" si="502"/>
        <v>0</v>
      </c>
      <c r="X681" s="3119">
        <f>VLOOKUP(V681,'Fix Cost'!$K$177:$M$179,2,0)</f>
        <v>32032.115313968527</v>
      </c>
      <c r="Y681" s="3119">
        <f>VLOOKUP(V681,'Fix Cost'!$K$177:$M$179,3,0)</f>
        <v>267567.54920876794</v>
      </c>
      <c r="Z681" s="3119">
        <f t="shared" ca="1" si="503"/>
        <v>0</v>
      </c>
      <c r="AA681" s="3115">
        <f t="shared" ca="1" si="504"/>
        <v>0</v>
      </c>
      <c r="AB681" s="3115">
        <f t="shared" ca="1" si="505"/>
        <v>0</v>
      </c>
      <c r="AL681" s="313"/>
      <c r="AM681" s="363"/>
      <c r="AN681" s="385"/>
      <c r="AT681" s="879">
        <f t="shared" ca="1" si="419"/>
        <v>0</v>
      </c>
      <c r="AU681" s="879">
        <f ca="1">COUNTIFS(AT$7:$AT681,1)</f>
        <v>7</v>
      </c>
    </row>
    <row r="682" spans="2:47" ht="12.75" hidden="1" outlineLevel="1">
      <c r="B682" s="1738">
        <f>input!B1049</f>
        <v>0</v>
      </c>
      <c r="C682" s="313" t="str">
        <f>input!C1049</f>
        <v>Box</v>
      </c>
      <c r="D682" s="1739">
        <f>input!D1049</f>
        <v>1</v>
      </c>
      <c r="E682" s="1740">
        <f>input!E1049</f>
        <v>1</v>
      </c>
      <c r="F682" s="363" t="str">
        <f>input!F1049</f>
        <v>N</v>
      </c>
      <c r="G682" s="363"/>
      <c r="H682" s="313">
        <f ca="1">IF(F682="PCS",$E$4,SUMIFS(Paper!$AC$7:$AC$58,Paper!$A$7:$A$58,'Production cost'!F682))*IF($F682="Pcs",$D682/$E682,1)</f>
        <v>0</v>
      </c>
      <c r="I682" s="313">
        <f>IF(input!$G1049&gt;0,input!$G1049,2000)</f>
        <v>2000</v>
      </c>
      <c r="J682" s="313" t="str">
        <f>input!H1049</f>
        <v>Sheets</v>
      </c>
      <c r="K682" s="360">
        <v>0</v>
      </c>
      <c r="L682" s="313">
        <f>input!I1049</f>
        <v>0</v>
      </c>
      <c r="M682" s="391">
        <f t="shared" ca="1" si="498"/>
        <v>0</v>
      </c>
      <c r="N682" s="391">
        <f t="shared" ca="1" si="499"/>
        <v>0</v>
      </c>
      <c r="P682" s="313">
        <f>Data!$N$1155</f>
        <v>52580.182439963428</v>
      </c>
      <c r="Q682" s="313">
        <f t="shared" ca="1" si="473"/>
        <v>0</v>
      </c>
      <c r="R682" s="313">
        <f t="shared" ca="1" si="500"/>
        <v>0</v>
      </c>
      <c r="S682" s="1741">
        <f t="shared" ca="1" si="501"/>
        <v>0</v>
      </c>
      <c r="T682" s="313" t="str">
        <f>input!J1049</f>
        <v>Box</v>
      </c>
      <c r="V682" s="3115" t="str">
        <f>input!K1049</f>
        <v>Assembly</v>
      </c>
      <c r="W682" s="3115">
        <f t="shared" ca="1" si="502"/>
        <v>0</v>
      </c>
      <c r="X682" s="3119">
        <f>VLOOKUP(V682,'Fix Cost'!$K$177:$M$179,2,0)</f>
        <v>32032.115313968527</v>
      </c>
      <c r="Y682" s="3119">
        <f>VLOOKUP(V682,'Fix Cost'!$K$177:$M$179,3,0)</f>
        <v>267567.54920876794</v>
      </c>
      <c r="Z682" s="3119">
        <f t="shared" ca="1" si="503"/>
        <v>0</v>
      </c>
      <c r="AA682" s="3115">
        <f t="shared" ca="1" si="504"/>
        <v>0</v>
      </c>
      <c r="AB682" s="3115">
        <f t="shared" ca="1" si="505"/>
        <v>0</v>
      </c>
      <c r="AL682" s="313"/>
      <c r="AM682" s="363"/>
      <c r="AN682" s="385"/>
      <c r="AT682" s="879">
        <f t="shared" ca="1" si="419"/>
        <v>0</v>
      </c>
      <c r="AU682" s="879">
        <f ca="1">COUNTIFS(AT$7:$AT682,1)</f>
        <v>7</v>
      </c>
    </row>
    <row r="683" spans="2:47" ht="12.75" hidden="1" outlineLevel="1">
      <c r="B683" s="1738">
        <f>input!B1050</f>
        <v>0</v>
      </c>
      <c r="C683" s="313" t="str">
        <f>input!C1050</f>
        <v>Box</v>
      </c>
      <c r="D683" s="1739">
        <f>input!D1050</f>
        <v>1</v>
      </c>
      <c r="E683" s="1740">
        <f>input!E1050</f>
        <v>1</v>
      </c>
      <c r="F683" s="363" t="str">
        <f>input!F1050</f>
        <v>N</v>
      </c>
      <c r="G683" s="363"/>
      <c r="H683" s="313">
        <f ca="1">IF(F683="PCS",$E$4,SUMIFS(Paper!$AC$7:$AC$58,Paper!$A$7:$A$58,'Production cost'!F683))*IF($F683="Pcs",$D683/$E683,1)</f>
        <v>0</v>
      </c>
      <c r="I683" s="313">
        <f>IF(input!$G1050&gt;0,input!$G1050,2000)</f>
        <v>2000</v>
      </c>
      <c r="J683" s="313" t="str">
        <f>input!H1050</f>
        <v>Sheets</v>
      </c>
      <c r="K683" s="360">
        <v>0</v>
      </c>
      <c r="L683" s="313">
        <f>input!I1050</f>
        <v>0</v>
      </c>
      <c r="M683" s="391">
        <f t="shared" ca="1" si="498"/>
        <v>0</v>
      </c>
      <c r="N683" s="391">
        <f t="shared" ca="1" si="499"/>
        <v>0</v>
      </c>
      <c r="P683" s="313">
        <f>Data!$N$1155</f>
        <v>52580.182439963428</v>
      </c>
      <c r="Q683" s="313">
        <f t="shared" ca="1" si="473"/>
        <v>0</v>
      </c>
      <c r="R683" s="313">
        <f t="shared" ca="1" si="500"/>
        <v>0</v>
      </c>
      <c r="S683" s="1741">
        <f t="shared" ca="1" si="501"/>
        <v>0</v>
      </c>
      <c r="T683" s="313" t="str">
        <f>input!J1050</f>
        <v>Box</v>
      </c>
      <c r="V683" s="3115" t="str">
        <f>input!K1050</f>
        <v>Assembly</v>
      </c>
      <c r="W683" s="3115">
        <f t="shared" ca="1" si="502"/>
        <v>0</v>
      </c>
      <c r="X683" s="3119">
        <f>VLOOKUP(V683,'Fix Cost'!$K$177:$M$179,2,0)</f>
        <v>32032.115313968527</v>
      </c>
      <c r="Y683" s="3119">
        <f>VLOOKUP(V683,'Fix Cost'!$K$177:$M$179,3,0)</f>
        <v>267567.54920876794</v>
      </c>
      <c r="Z683" s="3119">
        <f t="shared" ca="1" si="503"/>
        <v>0</v>
      </c>
      <c r="AA683" s="3115">
        <f t="shared" ca="1" si="504"/>
        <v>0</v>
      </c>
      <c r="AB683" s="3115">
        <f t="shared" ca="1" si="505"/>
        <v>0</v>
      </c>
      <c r="AL683" s="313"/>
      <c r="AM683" s="363"/>
      <c r="AN683" s="385"/>
      <c r="AT683" s="879">
        <f t="shared" ref="AT683:AT702" ca="1" si="506">IF(ISNUMBER(R683),IF(R683&lt;&gt;0,IF(ISNUMBER(SEARCH("to",J683)),0,1),0),"")</f>
        <v>0</v>
      </c>
      <c r="AU683" s="879">
        <f ca="1">COUNTIFS(AT$7:$AT683,1)</f>
        <v>7</v>
      </c>
    </row>
    <row r="684" spans="2:47" ht="12.75" hidden="1" outlineLevel="1">
      <c r="B684" s="1738">
        <f>input!B1051</f>
        <v>0</v>
      </c>
      <c r="C684" s="313" t="str">
        <f>input!C1051</f>
        <v>Box</v>
      </c>
      <c r="D684" s="1739">
        <f>input!D1051</f>
        <v>1</v>
      </c>
      <c r="E684" s="1740">
        <f>input!E1051</f>
        <v>1</v>
      </c>
      <c r="F684" s="363" t="str">
        <f>input!F1051</f>
        <v>N</v>
      </c>
      <c r="G684" s="363"/>
      <c r="H684" s="313">
        <f ca="1">IF(F684="PCS",$E$4,SUMIFS(Paper!$AC$7:$AC$58,Paper!$A$7:$A$58,'Production cost'!F684))*IF($F684="Pcs",$D684/$E684,1)</f>
        <v>0</v>
      </c>
      <c r="I684" s="313">
        <f>IF(input!$G1051&gt;0,input!$G1051,2000)</f>
        <v>2000</v>
      </c>
      <c r="J684" s="313" t="str">
        <f>input!H1051</f>
        <v>Sheets</v>
      </c>
      <c r="K684" s="360">
        <v>0</v>
      </c>
      <c r="L684" s="313">
        <f>input!I1051</f>
        <v>0</v>
      </c>
      <c r="M684" s="391">
        <f t="shared" ca="1" si="498"/>
        <v>0</v>
      </c>
      <c r="N684" s="391">
        <f t="shared" ca="1" si="499"/>
        <v>0</v>
      </c>
      <c r="P684" s="313">
        <f>Data!$N$1155</f>
        <v>52580.182439963428</v>
      </c>
      <c r="Q684" s="313">
        <f t="shared" ca="1" si="473"/>
        <v>0</v>
      </c>
      <c r="R684" s="313">
        <f t="shared" ca="1" si="500"/>
        <v>0</v>
      </c>
      <c r="S684" s="1741">
        <f t="shared" ca="1" si="501"/>
        <v>0</v>
      </c>
      <c r="T684" s="313" t="str">
        <f>input!J1051</f>
        <v>Box</v>
      </c>
      <c r="V684" s="3115" t="str">
        <f>input!K1051</f>
        <v>Assembly</v>
      </c>
      <c r="W684" s="3115">
        <f t="shared" ca="1" si="502"/>
        <v>0</v>
      </c>
      <c r="X684" s="3119">
        <f>VLOOKUP(V684,'Fix Cost'!$K$177:$M$179,2,0)</f>
        <v>32032.115313968527</v>
      </c>
      <c r="Y684" s="3119">
        <f>VLOOKUP(V684,'Fix Cost'!$K$177:$M$179,3,0)</f>
        <v>267567.54920876794</v>
      </c>
      <c r="Z684" s="3119">
        <f t="shared" ca="1" si="503"/>
        <v>0</v>
      </c>
      <c r="AA684" s="3115">
        <f t="shared" ca="1" si="504"/>
        <v>0</v>
      </c>
      <c r="AB684" s="3115">
        <f t="shared" ca="1" si="505"/>
        <v>0</v>
      </c>
      <c r="AL684" s="313"/>
      <c r="AM684" s="363"/>
      <c r="AN684" s="385"/>
      <c r="AT684" s="879">
        <f t="shared" ca="1" si="506"/>
        <v>0</v>
      </c>
      <c r="AU684" s="879">
        <f ca="1">COUNTIFS(AT$7:$AT684,1)</f>
        <v>7</v>
      </c>
    </row>
    <row r="685" spans="2:47" ht="12.75" hidden="1" outlineLevel="1">
      <c r="B685" s="1738">
        <f>input!B1052</f>
        <v>0</v>
      </c>
      <c r="C685" s="313" t="str">
        <f>input!C1052</f>
        <v>Box</v>
      </c>
      <c r="D685" s="1739">
        <f>input!D1052</f>
        <v>1</v>
      </c>
      <c r="E685" s="1740">
        <f>input!E1052</f>
        <v>1</v>
      </c>
      <c r="F685" s="363" t="str">
        <f>input!F1052</f>
        <v>N</v>
      </c>
      <c r="G685" s="363"/>
      <c r="H685" s="313">
        <f ca="1">IF(F685="PCS",$E$4,SUMIFS(Paper!$AC$7:$AC$58,Paper!$A$7:$A$58,'Production cost'!F685))*IF($F685="Pcs",$D685/$E685,1)</f>
        <v>0</v>
      </c>
      <c r="I685" s="313">
        <f>IF(input!$G1052&gt;0,input!$G1052,2000)</f>
        <v>2000</v>
      </c>
      <c r="J685" s="313" t="str">
        <f>input!H1052</f>
        <v>Sheets</v>
      </c>
      <c r="K685" s="360">
        <v>0</v>
      </c>
      <c r="L685" s="313">
        <f>input!I1052</f>
        <v>0</v>
      </c>
      <c r="M685" s="391">
        <f t="shared" ca="1" si="498"/>
        <v>0</v>
      </c>
      <c r="N685" s="391">
        <f t="shared" ca="1" si="499"/>
        <v>0</v>
      </c>
      <c r="P685" s="313">
        <f>Data!$N$1155</f>
        <v>52580.182439963428</v>
      </c>
      <c r="Q685" s="313">
        <f t="shared" ca="1" si="473"/>
        <v>0</v>
      </c>
      <c r="R685" s="313">
        <f t="shared" ca="1" si="500"/>
        <v>0</v>
      </c>
      <c r="S685" s="1741">
        <f t="shared" ca="1" si="501"/>
        <v>0</v>
      </c>
      <c r="T685" s="313" t="str">
        <f>input!J1052</f>
        <v>Box</v>
      </c>
      <c r="V685" s="3115" t="str">
        <f>input!K1052</f>
        <v>Assembly</v>
      </c>
      <c r="W685" s="3115">
        <f t="shared" ca="1" si="502"/>
        <v>0</v>
      </c>
      <c r="X685" s="3119">
        <f>VLOOKUP(V685,'Fix Cost'!$K$177:$M$179,2,0)</f>
        <v>32032.115313968527</v>
      </c>
      <c r="Y685" s="3119">
        <f>VLOOKUP(V685,'Fix Cost'!$K$177:$M$179,3,0)</f>
        <v>267567.54920876794</v>
      </c>
      <c r="Z685" s="3119">
        <f t="shared" ca="1" si="503"/>
        <v>0</v>
      </c>
      <c r="AA685" s="3115">
        <f t="shared" ca="1" si="504"/>
        <v>0</v>
      </c>
      <c r="AB685" s="3115">
        <f t="shared" ca="1" si="505"/>
        <v>0</v>
      </c>
      <c r="AL685" s="313"/>
      <c r="AM685" s="363"/>
      <c r="AN685" s="385"/>
      <c r="AT685" s="879">
        <f t="shared" ca="1" si="506"/>
        <v>0</v>
      </c>
      <c r="AU685" s="879">
        <f ca="1">COUNTIFS(AT$7:$AT685,1)</f>
        <v>7</v>
      </c>
    </row>
    <row r="686" spans="2:47" ht="12.75" hidden="1" outlineLevel="1">
      <c r="B686" s="1738">
        <f>input!B1053</f>
        <v>0</v>
      </c>
      <c r="C686" s="313" t="str">
        <f>input!C1053</f>
        <v>Box</v>
      </c>
      <c r="D686" s="1739">
        <f>input!D1053</f>
        <v>1</v>
      </c>
      <c r="E686" s="1740">
        <f>input!E1053</f>
        <v>1</v>
      </c>
      <c r="F686" s="363" t="str">
        <f>input!F1053</f>
        <v>N</v>
      </c>
      <c r="G686" s="363"/>
      <c r="H686" s="313">
        <f ca="1">IF(F686="PCS",$E$4,SUMIFS(Paper!$AC$7:$AC$58,Paper!$A$7:$A$58,'Production cost'!F686))*IF($F686="Pcs",$D686/$E686,1)</f>
        <v>0</v>
      </c>
      <c r="I686" s="313">
        <f>IF(input!$G1053&gt;0,input!$G1053,2000)</f>
        <v>2000</v>
      </c>
      <c r="J686" s="313" t="str">
        <f>input!H1053</f>
        <v>Sheets</v>
      </c>
      <c r="K686" s="360">
        <v>0</v>
      </c>
      <c r="L686" s="313">
        <f>input!I1053</f>
        <v>0</v>
      </c>
      <c r="M686" s="391">
        <f t="shared" ca="1" si="498"/>
        <v>0</v>
      </c>
      <c r="N686" s="391">
        <f t="shared" ca="1" si="499"/>
        <v>0</v>
      </c>
      <c r="P686" s="313">
        <f>Data!$N$1155</f>
        <v>52580.182439963428</v>
      </c>
      <c r="Q686" s="313">
        <f t="shared" ca="1" si="473"/>
        <v>0</v>
      </c>
      <c r="R686" s="313">
        <f t="shared" ca="1" si="500"/>
        <v>0</v>
      </c>
      <c r="S686" s="1741">
        <f t="shared" ca="1" si="501"/>
        <v>0</v>
      </c>
      <c r="T686" s="313" t="str">
        <f>input!J1053</f>
        <v>Box</v>
      </c>
      <c r="V686" s="3115" t="str">
        <f>input!K1053</f>
        <v>Assembly</v>
      </c>
      <c r="W686" s="3115">
        <f t="shared" ca="1" si="502"/>
        <v>0</v>
      </c>
      <c r="X686" s="3119">
        <f>VLOOKUP(V686,'Fix Cost'!$K$177:$M$179,2,0)</f>
        <v>32032.115313968527</v>
      </c>
      <c r="Y686" s="3119">
        <f>VLOOKUP(V686,'Fix Cost'!$K$177:$M$179,3,0)</f>
        <v>267567.54920876794</v>
      </c>
      <c r="Z686" s="3119">
        <f t="shared" ca="1" si="503"/>
        <v>0</v>
      </c>
      <c r="AA686" s="3115">
        <f t="shared" ca="1" si="504"/>
        <v>0</v>
      </c>
      <c r="AB686" s="3115">
        <f t="shared" ca="1" si="505"/>
        <v>0</v>
      </c>
      <c r="AL686" s="313"/>
      <c r="AM686" s="363"/>
      <c r="AN686" s="385"/>
      <c r="AT686" s="879">
        <f t="shared" ca="1" si="506"/>
        <v>0</v>
      </c>
      <c r="AU686" s="879">
        <f ca="1">COUNTIFS(AT$7:$AT686,1)</f>
        <v>7</v>
      </c>
    </row>
    <row r="687" spans="2:47" ht="12.75" hidden="1" outlineLevel="1">
      <c r="B687" s="1738">
        <f>input!B1054</f>
        <v>0</v>
      </c>
      <c r="C687" s="313" t="str">
        <f>input!C1054</f>
        <v>Box</v>
      </c>
      <c r="D687" s="1739">
        <f>input!D1054</f>
        <v>1</v>
      </c>
      <c r="E687" s="1740">
        <f>input!E1054</f>
        <v>1</v>
      </c>
      <c r="F687" s="363" t="str">
        <f>input!F1054</f>
        <v>N</v>
      </c>
      <c r="G687" s="363"/>
      <c r="H687" s="313">
        <f ca="1">IF(F687="PCS",$E$4,SUMIFS(Paper!$AC$7:$AC$58,Paper!$A$7:$A$58,'Production cost'!F687))*IF($F687="Pcs",$D687/$E687,1)</f>
        <v>0</v>
      </c>
      <c r="I687" s="313">
        <f>IF(input!$G1054&gt;0,input!$G1054,2000)</f>
        <v>2000</v>
      </c>
      <c r="J687" s="313" t="str">
        <f>input!H1054</f>
        <v>Sheets</v>
      </c>
      <c r="K687" s="360">
        <v>0</v>
      </c>
      <c r="L687" s="313">
        <f>input!I1054</f>
        <v>0</v>
      </c>
      <c r="M687" s="391">
        <f t="shared" ca="1" si="498"/>
        <v>0</v>
      </c>
      <c r="N687" s="391">
        <f t="shared" ca="1" si="499"/>
        <v>0</v>
      </c>
      <c r="P687" s="313">
        <f>Data!$N$1155</f>
        <v>52580.182439963428</v>
      </c>
      <c r="Q687" s="313">
        <f t="shared" ca="1" si="473"/>
        <v>0</v>
      </c>
      <c r="R687" s="313">
        <f t="shared" ca="1" si="500"/>
        <v>0</v>
      </c>
      <c r="S687" s="1741">
        <f t="shared" ca="1" si="501"/>
        <v>0</v>
      </c>
      <c r="T687" s="313" t="str">
        <f>input!J1054</f>
        <v>Box</v>
      </c>
      <c r="V687" s="3115" t="str">
        <f>input!K1054</f>
        <v>Assembly</v>
      </c>
      <c r="W687" s="3115">
        <f t="shared" ca="1" si="502"/>
        <v>0</v>
      </c>
      <c r="X687" s="3119">
        <f>VLOOKUP(V687,'Fix Cost'!$K$177:$M$179,2,0)</f>
        <v>32032.115313968527</v>
      </c>
      <c r="Y687" s="3119">
        <f>VLOOKUP(V687,'Fix Cost'!$K$177:$M$179,3,0)</f>
        <v>267567.54920876794</v>
      </c>
      <c r="Z687" s="3119">
        <f t="shared" ca="1" si="503"/>
        <v>0</v>
      </c>
      <c r="AA687" s="3115">
        <f t="shared" ca="1" si="504"/>
        <v>0</v>
      </c>
      <c r="AB687" s="3115">
        <f t="shared" ca="1" si="505"/>
        <v>0</v>
      </c>
      <c r="AL687" s="313"/>
      <c r="AM687" s="363"/>
      <c r="AN687" s="385"/>
      <c r="AT687" s="879">
        <f t="shared" ca="1" si="506"/>
        <v>0</v>
      </c>
      <c r="AU687" s="879">
        <f ca="1">COUNTIFS(AT$7:$AT687,1)</f>
        <v>7</v>
      </c>
    </row>
    <row r="688" spans="2:47" ht="12.75" hidden="1" outlineLevel="1">
      <c r="B688" s="1738">
        <f>input!B1055</f>
        <v>0</v>
      </c>
      <c r="C688" s="313" t="str">
        <f>input!C1055</f>
        <v>Box</v>
      </c>
      <c r="D688" s="1739">
        <f>input!D1055</f>
        <v>1</v>
      </c>
      <c r="E688" s="1740">
        <f>input!E1055</f>
        <v>1</v>
      </c>
      <c r="F688" s="363" t="str">
        <f>input!F1055</f>
        <v>N</v>
      </c>
      <c r="G688" s="363"/>
      <c r="H688" s="313">
        <f ca="1">IF(F688="PCS",$E$4,SUMIFS(Paper!$AC$7:$AC$58,Paper!$A$7:$A$58,'Production cost'!F688))*IF($F688="Pcs",$D688/$E688,1)</f>
        <v>0</v>
      </c>
      <c r="I688" s="313">
        <f>IF(input!$G1055&gt;0,input!$G1055,2000)</f>
        <v>2000</v>
      </c>
      <c r="J688" s="313" t="str">
        <f>input!H1055</f>
        <v>Sheets</v>
      </c>
      <c r="K688" s="360">
        <v>0</v>
      </c>
      <c r="L688" s="313">
        <f>input!I1055</f>
        <v>0</v>
      </c>
      <c r="M688" s="391">
        <f t="shared" ca="1" si="498"/>
        <v>0</v>
      </c>
      <c r="N688" s="391">
        <f t="shared" ca="1" si="499"/>
        <v>0</v>
      </c>
      <c r="P688" s="313">
        <f>Data!$N$1155</f>
        <v>52580.182439963428</v>
      </c>
      <c r="Q688" s="313">
        <f t="shared" ca="1" si="473"/>
        <v>0</v>
      </c>
      <c r="R688" s="313">
        <f t="shared" ca="1" si="500"/>
        <v>0</v>
      </c>
      <c r="S688" s="1741">
        <f t="shared" ca="1" si="501"/>
        <v>0</v>
      </c>
      <c r="T688" s="313" t="str">
        <f>input!J1055</f>
        <v>Box</v>
      </c>
      <c r="V688" s="3115" t="str">
        <f>input!K1055</f>
        <v>Assembly</v>
      </c>
      <c r="W688" s="3115">
        <f t="shared" ca="1" si="502"/>
        <v>0</v>
      </c>
      <c r="X688" s="3119">
        <f>VLOOKUP(V688,'Fix Cost'!$K$177:$M$179,2,0)</f>
        <v>32032.115313968527</v>
      </c>
      <c r="Y688" s="3119">
        <f>VLOOKUP(V688,'Fix Cost'!$K$177:$M$179,3,0)</f>
        <v>267567.54920876794</v>
      </c>
      <c r="Z688" s="3119">
        <f t="shared" ca="1" si="503"/>
        <v>0</v>
      </c>
      <c r="AA688" s="3115">
        <f t="shared" ca="1" si="504"/>
        <v>0</v>
      </c>
      <c r="AB688" s="3115">
        <f t="shared" ca="1" si="505"/>
        <v>0</v>
      </c>
      <c r="AL688" s="313"/>
      <c r="AM688" s="363"/>
      <c r="AN688" s="385"/>
      <c r="AT688" s="879">
        <f t="shared" ca="1" si="506"/>
        <v>0</v>
      </c>
      <c r="AU688" s="879">
        <f ca="1">COUNTIFS(AT$7:$AT688,1)</f>
        <v>7</v>
      </c>
    </row>
    <row r="689" spans="1:47" ht="12.75" hidden="1" outlineLevel="1">
      <c r="B689" s="1738">
        <f>input!B1056</f>
        <v>0</v>
      </c>
      <c r="C689" s="313" t="str">
        <f>input!C1056</f>
        <v>Box</v>
      </c>
      <c r="D689" s="1739">
        <f>input!D1056</f>
        <v>1</v>
      </c>
      <c r="E689" s="1740">
        <f>input!E1056</f>
        <v>1</v>
      </c>
      <c r="F689" s="363" t="str">
        <f>input!F1056</f>
        <v>N</v>
      </c>
      <c r="G689" s="363"/>
      <c r="H689" s="313">
        <f ca="1">IF(F689="PCS",$E$4,SUMIFS(Paper!$AC$7:$AC$58,Paper!$A$7:$A$58,'Production cost'!F689))*IF($F689="Pcs",$D689/$E689,1)</f>
        <v>0</v>
      </c>
      <c r="I689" s="313">
        <f>IF(input!$G1056&gt;0,input!$G1056,2000)</f>
        <v>2000</v>
      </c>
      <c r="J689" s="313" t="str">
        <f>input!H1056</f>
        <v>Sheets</v>
      </c>
      <c r="K689" s="360">
        <v>0</v>
      </c>
      <c r="L689" s="313">
        <f>input!I1056</f>
        <v>0</v>
      </c>
      <c r="M689" s="391">
        <f t="shared" ca="1" si="498"/>
        <v>0</v>
      </c>
      <c r="N689" s="391">
        <f t="shared" ca="1" si="499"/>
        <v>0</v>
      </c>
      <c r="P689" s="313">
        <f>Data!$N$1155</f>
        <v>52580.182439963428</v>
      </c>
      <c r="Q689" s="313">
        <f t="shared" ca="1" si="473"/>
        <v>0</v>
      </c>
      <c r="R689" s="313">
        <f t="shared" ca="1" si="500"/>
        <v>0</v>
      </c>
      <c r="S689" s="1741">
        <f t="shared" ca="1" si="501"/>
        <v>0</v>
      </c>
      <c r="T689" s="313" t="str">
        <f>input!J1056</f>
        <v>Box</v>
      </c>
      <c r="V689" s="3115" t="str">
        <f>input!K1056</f>
        <v>Assembly</v>
      </c>
      <c r="W689" s="3115">
        <f t="shared" ca="1" si="502"/>
        <v>0</v>
      </c>
      <c r="X689" s="3119">
        <f>VLOOKUP(V689,'Fix Cost'!$K$177:$M$179,2,0)</f>
        <v>32032.115313968527</v>
      </c>
      <c r="Y689" s="3119">
        <f>VLOOKUP(V689,'Fix Cost'!$K$177:$M$179,3,0)</f>
        <v>267567.54920876794</v>
      </c>
      <c r="Z689" s="3119">
        <f t="shared" ca="1" si="503"/>
        <v>0</v>
      </c>
      <c r="AA689" s="3115">
        <f t="shared" ca="1" si="504"/>
        <v>0</v>
      </c>
      <c r="AB689" s="3115">
        <f t="shared" ca="1" si="505"/>
        <v>0</v>
      </c>
      <c r="AL689" s="313"/>
      <c r="AM689" s="363"/>
      <c r="AN689" s="385"/>
      <c r="AT689" s="879">
        <f t="shared" ca="1" si="506"/>
        <v>0</v>
      </c>
      <c r="AU689" s="879">
        <f ca="1">COUNTIFS(AT$7:$AT689,1)</f>
        <v>7</v>
      </c>
    </row>
    <row r="690" spans="1:47" ht="12.75" hidden="1" outlineLevel="1">
      <c r="B690" s="1738">
        <f>input!B1057</f>
        <v>0</v>
      </c>
      <c r="C690" s="313" t="str">
        <f>input!C1057</f>
        <v>Box</v>
      </c>
      <c r="D690" s="1739">
        <f>input!D1057</f>
        <v>1</v>
      </c>
      <c r="E690" s="1740">
        <f>input!E1057</f>
        <v>1</v>
      </c>
      <c r="F690" s="363" t="str">
        <f>input!F1057</f>
        <v>N</v>
      </c>
      <c r="G690" s="363"/>
      <c r="H690" s="313">
        <f ca="1">IF(F690="PCS",$E$4,SUMIFS(Paper!$AC$7:$AC$58,Paper!$A$7:$A$58,'Production cost'!F690))*IF($F690="Pcs",$D690/$E690,1)</f>
        <v>0</v>
      </c>
      <c r="I690" s="313">
        <f>IF(input!$G1057&gt;0,input!$G1057,2000)</f>
        <v>2000</v>
      </c>
      <c r="J690" s="313" t="str">
        <f>input!H1057</f>
        <v>Sheets</v>
      </c>
      <c r="K690" s="360">
        <v>0</v>
      </c>
      <c r="L690" s="313">
        <f>input!I1057</f>
        <v>0</v>
      </c>
      <c r="M690" s="391">
        <f t="shared" ca="1" si="498"/>
        <v>0</v>
      </c>
      <c r="N690" s="391">
        <f t="shared" ca="1" si="499"/>
        <v>0</v>
      </c>
      <c r="P690" s="313">
        <f>Data!$N$1155</f>
        <v>52580.182439963428</v>
      </c>
      <c r="Q690" s="313">
        <f t="shared" ca="1" si="473"/>
        <v>0</v>
      </c>
      <c r="R690" s="313">
        <f t="shared" ca="1" si="500"/>
        <v>0</v>
      </c>
      <c r="S690" s="1741">
        <f t="shared" ca="1" si="501"/>
        <v>0</v>
      </c>
      <c r="T690" s="313" t="str">
        <f>input!J1057</f>
        <v>Box</v>
      </c>
      <c r="V690" s="3115" t="str">
        <f>input!K1057</f>
        <v>Assembly</v>
      </c>
      <c r="W690" s="3115">
        <f t="shared" ca="1" si="502"/>
        <v>0</v>
      </c>
      <c r="X690" s="3119">
        <f>VLOOKUP(V690,'Fix Cost'!$K$177:$M$179,2,0)</f>
        <v>32032.115313968527</v>
      </c>
      <c r="Y690" s="3119">
        <f>VLOOKUP(V690,'Fix Cost'!$K$177:$M$179,3,0)</f>
        <v>267567.54920876794</v>
      </c>
      <c r="Z690" s="3119">
        <f t="shared" ca="1" si="503"/>
        <v>0</v>
      </c>
      <c r="AA690" s="3115">
        <f t="shared" ca="1" si="504"/>
        <v>0</v>
      </c>
      <c r="AB690" s="3115">
        <f t="shared" ca="1" si="505"/>
        <v>0</v>
      </c>
      <c r="AL690" s="313"/>
      <c r="AM690" s="363"/>
      <c r="AN690" s="385"/>
      <c r="AT690" s="879">
        <f t="shared" ca="1" si="506"/>
        <v>0</v>
      </c>
      <c r="AU690" s="879">
        <f ca="1">COUNTIFS(AT$7:$AT690,1)</f>
        <v>7</v>
      </c>
    </row>
    <row r="691" spans="1:47" ht="12.75" hidden="1" outlineLevel="1">
      <c r="B691" s="1738" t="str">
        <f>input!B1058</f>
        <v>Job</v>
      </c>
      <c r="C691" s="313">
        <f>input!C1058</f>
        <v>0</v>
      </c>
      <c r="D691" s="1739">
        <f>input!D1058</f>
        <v>1</v>
      </c>
      <c r="E691" s="1740">
        <f>input!E1058</f>
        <v>1</v>
      </c>
      <c r="F691" s="363" t="str">
        <f>input!F1058</f>
        <v>N</v>
      </c>
      <c r="G691" s="363"/>
      <c r="H691" s="313">
        <f ca="1">IF(F691="PCS",$E$4,SUMIFS(Paper!$AC$7:$AC$58,Paper!$A$7:$A$58,'Production cost'!F691))*IF($F691="Pcs",$D691/$E691,1)</f>
        <v>0</v>
      </c>
      <c r="I691" s="313">
        <f>IF(input!$G1058&gt;0,input!$G1058,2000)</f>
        <v>2000</v>
      </c>
      <c r="J691" s="313" t="str">
        <f>input!H1058</f>
        <v>Sheets</v>
      </c>
      <c r="K691" s="360">
        <v>0</v>
      </c>
      <c r="L691" s="313">
        <f>input!I1058</f>
        <v>0</v>
      </c>
      <c r="M691" s="391">
        <f t="shared" ca="1" si="498"/>
        <v>0</v>
      </c>
      <c r="N691" s="391">
        <f t="shared" ca="1" si="499"/>
        <v>0</v>
      </c>
      <c r="P691" s="313">
        <f>Data!$N$1155</f>
        <v>52580.182439963428</v>
      </c>
      <c r="Q691" s="313">
        <f t="shared" ca="1" si="473"/>
        <v>0</v>
      </c>
      <c r="R691" s="313">
        <f t="shared" ca="1" si="500"/>
        <v>0</v>
      </c>
      <c r="S691" s="1741">
        <f t="shared" ca="1" si="501"/>
        <v>0</v>
      </c>
      <c r="T691" s="313">
        <f>input!J1058</f>
        <v>0</v>
      </c>
      <c r="V691" s="3115" t="str">
        <f>input!K1058</f>
        <v>Assembly</v>
      </c>
      <c r="W691" s="3115">
        <f t="shared" ca="1" si="502"/>
        <v>0</v>
      </c>
      <c r="X691" s="3119">
        <f>VLOOKUP(V691,'Fix Cost'!$K$177:$M$179,2,0)</f>
        <v>32032.115313968527</v>
      </c>
      <c r="Y691" s="3119">
        <f>VLOOKUP(V691,'Fix Cost'!$K$177:$M$179,3,0)</f>
        <v>267567.54920876794</v>
      </c>
      <c r="Z691" s="3119">
        <f t="shared" ca="1" si="503"/>
        <v>0</v>
      </c>
      <c r="AA691" s="3115">
        <f t="shared" ca="1" si="504"/>
        <v>0</v>
      </c>
      <c r="AB691" s="3115">
        <f t="shared" ca="1" si="505"/>
        <v>0</v>
      </c>
      <c r="AL691" s="313"/>
      <c r="AM691" s="363"/>
      <c r="AN691" s="385"/>
      <c r="AT691" s="879">
        <f t="shared" ca="1" si="506"/>
        <v>0</v>
      </c>
      <c r="AU691" s="879">
        <f ca="1">COUNTIFS(AT$7:$AT691,1)</f>
        <v>7</v>
      </c>
    </row>
    <row r="692" spans="1:47" ht="12.75" hidden="1" outlineLevel="1">
      <c r="B692" s="1738" t="str">
        <f>input!B1059</f>
        <v>Job</v>
      </c>
      <c r="C692" s="313">
        <f>input!C1059</f>
        <v>0</v>
      </c>
      <c r="D692" s="1739">
        <f>input!D1059</f>
        <v>1</v>
      </c>
      <c r="E692" s="1740">
        <f>input!E1059</f>
        <v>1</v>
      </c>
      <c r="F692" s="363" t="str">
        <f>input!F1059</f>
        <v>N</v>
      </c>
      <c r="G692" s="363"/>
      <c r="H692" s="313">
        <f ca="1">IF(F692="PCS",$E$4,SUMIFS(Paper!$AC$7:$AC$58,Paper!$A$7:$A$58,'Production cost'!F692))*IF($F692="Pcs",$D692/$E692,1)</f>
        <v>0</v>
      </c>
      <c r="I692" s="313">
        <f>IF(input!$G1059&gt;0,input!$G1059,2000)</f>
        <v>2000</v>
      </c>
      <c r="J692" s="313" t="str">
        <f>input!H1059</f>
        <v>Sheets</v>
      </c>
      <c r="K692" s="360">
        <v>0</v>
      </c>
      <c r="L692" s="313">
        <f>input!I1059</f>
        <v>0</v>
      </c>
      <c r="M692" s="391">
        <f t="shared" ca="1" si="498"/>
        <v>0</v>
      </c>
      <c r="N692" s="391">
        <f t="shared" ca="1" si="499"/>
        <v>0</v>
      </c>
      <c r="P692" s="313">
        <f>Data!$N$1155</f>
        <v>52580.182439963428</v>
      </c>
      <c r="Q692" s="313">
        <f t="shared" ca="1" si="473"/>
        <v>0</v>
      </c>
      <c r="R692" s="313">
        <f t="shared" ca="1" si="500"/>
        <v>0</v>
      </c>
      <c r="S692" s="1741">
        <f t="shared" ca="1" si="501"/>
        <v>0</v>
      </c>
      <c r="T692" s="313">
        <f>input!J1059</f>
        <v>0</v>
      </c>
      <c r="V692" s="3115" t="str">
        <f>input!K1059</f>
        <v>Assembly</v>
      </c>
      <c r="W692" s="3115">
        <f t="shared" ca="1" si="502"/>
        <v>0</v>
      </c>
      <c r="X692" s="3119">
        <f>VLOOKUP(V692,'Fix Cost'!$K$177:$M$179,2,0)</f>
        <v>32032.115313968527</v>
      </c>
      <c r="Y692" s="3119">
        <f>VLOOKUP(V692,'Fix Cost'!$K$177:$M$179,3,0)</f>
        <v>267567.54920876794</v>
      </c>
      <c r="Z692" s="3119">
        <f t="shared" ca="1" si="503"/>
        <v>0</v>
      </c>
      <c r="AA692" s="3115">
        <f t="shared" ca="1" si="504"/>
        <v>0</v>
      </c>
      <c r="AB692" s="3115">
        <f t="shared" ca="1" si="505"/>
        <v>0</v>
      </c>
      <c r="AL692" s="313"/>
      <c r="AM692" s="363"/>
      <c r="AN692" s="385"/>
      <c r="AT692" s="879">
        <f t="shared" ca="1" si="506"/>
        <v>0</v>
      </c>
      <c r="AU692" s="879">
        <f ca="1">COUNTIFS(AT$7:$AT692,1)</f>
        <v>7</v>
      </c>
    </row>
    <row r="693" spans="1:47" ht="12.75" hidden="1" outlineLevel="1">
      <c r="B693" s="1738" t="str">
        <f>input!B1060</f>
        <v>Job</v>
      </c>
      <c r="C693" s="313">
        <f>input!C1060</f>
        <v>0</v>
      </c>
      <c r="D693" s="1739">
        <f>input!D1060</f>
        <v>1</v>
      </c>
      <c r="E693" s="1740">
        <f>input!E1060</f>
        <v>1</v>
      </c>
      <c r="F693" s="363" t="str">
        <f>input!F1060</f>
        <v>N</v>
      </c>
      <c r="G693" s="363"/>
      <c r="H693" s="313">
        <f ca="1">IF(F693="PCS",$E$4,SUMIFS(Paper!$AC$7:$AC$58,Paper!$A$7:$A$58,'Production cost'!F693))*IF($F693="Pcs",$D693/$E693,1)</f>
        <v>0</v>
      </c>
      <c r="I693" s="313">
        <f>IF(input!$G1060&gt;0,input!$G1060,2000)</f>
        <v>2000</v>
      </c>
      <c r="J693" s="313" t="str">
        <f>input!H1060</f>
        <v>Sheets</v>
      </c>
      <c r="K693" s="360">
        <v>0</v>
      </c>
      <c r="L693" s="313">
        <f>input!I1060</f>
        <v>0</v>
      </c>
      <c r="M693" s="391">
        <f t="shared" ca="1" si="498"/>
        <v>0</v>
      </c>
      <c r="N693" s="391">
        <f t="shared" ca="1" si="499"/>
        <v>0</v>
      </c>
      <c r="P693" s="313">
        <f>Data!$N$1155</f>
        <v>52580.182439963428</v>
      </c>
      <c r="Q693" s="313">
        <f t="shared" ca="1" si="473"/>
        <v>0</v>
      </c>
      <c r="R693" s="313">
        <f t="shared" ca="1" si="500"/>
        <v>0</v>
      </c>
      <c r="S693" s="1741">
        <f t="shared" ca="1" si="501"/>
        <v>0</v>
      </c>
      <c r="T693" s="313">
        <f>input!J1060</f>
        <v>0</v>
      </c>
      <c r="V693" s="3115" t="str">
        <f>input!K1060</f>
        <v>Assembly</v>
      </c>
      <c r="W693" s="3115">
        <f t="shared" ca="1" si="502"/>
        <v>0</v>
      </c>
      <c r="X693" s="3119">
        <f>VLOOKUP(V693,'Fix Cost'!$K$177:$M$179,2,0)</f>
        <v>32032.115313968527</v>
      </c>
      <c r="Y693" s="3119">
        <f>VLOOKUP(V693,'Fix Cost'!$K$177:$M$179,3,0)</f>
        <v>267567.54920876794</v>
      </c>
      <c r="Z693" s="3119">
        <f t="shared" ca="1" si="503"/>
        <v>0</v>
      </c>
      <c r="AA693" s="3115">
        <f t="shared" ca="1" si="504"/>
        <v>0</v>
      </c>
      <c r="AB693" s="3115">
        <f t="shared" ca="1" si="505"/>
        <v>0</v>
      </c>
      <c r="AL693" s="313"/>
      <c r="AM693" s="363"/>
      <c r="AN693" s="385"/>
      <c r="AT693" s="879">
        <f t="shared" ca="1" si="506"/>
        <v>0</v>
      </c>
      <c r="AU693" s="879">
        <f ca="1">COUNTIFS(AT$7:$AT693,1)</f>
        <v>7</v>
      </c>
    </row>
    <row r="694" spans="1:47" ht="12.75" hidden="1" outlineLevel="1">
      <c r="B694" s="1738" t="str">
        <f>input!B1061</f>
        <v>Job</v>
      </c>
      <c r="C694" s="1743">
        <f>input!C1061</f>
        <v>0</v>
      </c>
      <c r="D694" s="1744">
        <f>input!D1061</f>
        <v>1</v>
      </c>
      <c r="E694" s="1745">
        <f>input!E1061</f>
        <v>1</v>
      </c>
      <c r="F694" s="1746" t="str">
        <f>input!F1061</f>
        <v>N</v>
      </c>
      <c r="G694" s="1746"/>
      <c r="H694" s="1743">
        <f ca="1">IF(F694="PCS",$E$4,SUMIFS(Paper!$AC$7:$AC$58,Paper!$A$7:$A$58,'Production cost'!F694))*IF($F694="Pcs",$D694/$E694,1)</f>
        <v>0</v>
      </c>
      <c r="I694" s="313">
        <f>IF(input!$G1061&gt;0,input!$G1061,2000)</f>
        <v>2000</v>
      </c>
      <c r="J694" s="1743" t="str">
        <f>input!H1061</f>
        <v>Sheets</v>
      </c>
      <c r="K694" s="1747">
        <v>0</v>
      </c>
      <c r="L694" s="1743">
        <f>input!I1061</f>
        <v>0</v>
      </c>
      <c r="M694" s="1748">
        <f t="shared" ca="1" si="415"/>
        <v>0</v>
      </c>
      <c r="N694" s="1748">
        <f t="shared" ca="1" si="416"/>
        <v>0</v>
      </c>
      <c r="O694" s="1743"/>
      <c r="P694" s="1743">
        <f>Data!$N$1155</f>
        <v>52580.182439963428</v>
      </c>
      <c r="Q694" s="1743">
        <f t="shared" ca="1" si="473"/>
        <v>0</v>
      </c>
      <c r="R694" s="1743">
        <f ca="1">IF($E$2&gt;0,Q694/$E$2,0)</f>
        <v>0</v>
      </c>
      <c r="S694" s="1749">
        <f t="shared" ca="1" si="418"/>
        <v>0</v>
      </c>
      <c r="T694" s="313">
        <f>input!J1061</f>
        <v>0</v>
      </c>
      <c r="V694" s="3115" t="str">
        <f>input!K1061</f>
        <v>Assembly</v>
      </c>
      <c r="W694" s="3115">
        <f t="shared" ca="1" si="407"/>
        <v>0</v>
      </c>
      <c r="X694" s="3119">
        <f>VLOOKUP(V694,'Fix Cost'!$K$177:$M$179,2,0)</f>
        <v>32032.115313968527</v>
      </c>
      <c r="Y694" s="3119">
        <f>VLOOKUP(V694,'Fix Cost'!$K$177:$M$179,3,0)</f>
        <v>267567.54920876794</v>
      </c>
      <c r="Z694" s="3119">
        <f t="shared" ca="1" si="408"/>
        <v>0</v>
      </c>
      <c r="AA694" s="3115">
        <f t="shared" ca="1" si="409"/>
        <v>0</v>
      </c>
      <c r="AB694" s="3115">
        <f t="shared" ca="1" si="410"/>
        <v>0</v>
      </c>
      <c r="AL694" s="313"/>
      <c r="AM694" s="363"/>
      <c r="AN694" s="385"/>
      <c r="AT694" s="879">
        <f t="shared" ca="1" si="506"/>
        <v>0</v>
      </c>
      <c r="AU694" s="879">
        <f ca="1">COUNTIFS(AT$7:$AT694,1)</f>
        <v>7</v>
      </c>
    </row>
    <row r="695" spans="1:47" ht="12.75">
      <c r="G695" s="1270"/>
      <c r="N695" s="391"/>
      <c r="AL695" s="313"/>
      <c r="AM695" s="363"/>
      <c r="AN695" s="385"/>
      <c r="AT695" s="879" t="str">
        <f t="shared" si="506"/>
        <v/>
      </c>
      <c r="AU695" s="879">
        <f ca="1">COUNTIFS(AT$7:$AT695,1)</f>
        <v>7</v>
      </c>
    </row>
    <row r="696" spans="1:47" ht="12.75">
      <c r="A696" s="385"/>
      <c r="E696" s="363"/>
      <c r="F696" s="363"/>
      <c r="G696" s="363"/>
      <c r="M696" s="391"/>
      <c r="N696" s="391"/>
      <c r="AL696" s="313"/>
      <c r="AM696" s="363"/>
      <c r="AN696" s="385"/>
      <c r="AT696" s="879" t="str">
        <f t="shared" si="506"/>
        <v/>
      </c>
      <c r="AU696" s="879">
        <f ca="1">COUNTIFS(AT$7:$AT696,1)</f>
        <v>7</v>
      </c>
    </row>
    <row r="697" spans="1:47" ht="12.75">
      <c r="A697" s="385"/>
      <c r="E697" s="363"/>
      <c r="F697" s="363"/>
      <c r="G697" s="363"/>
      <c r="M697" s="391"/>
      <c r="N697" s="391"/>
      <c r="AL697" s="313"/>
      <c r="AM697" s="363"/>
      <c r="AN697" s="385"/>
      <c r="AT697" s="879" t="str">
        <f t="shared" si="506"/>
        <v/>
      </c>
      <c r="AU697" s="879">
        <f ca="1">COUNTIFS(AT$7:$AT697,1)</f>
        <v>7</v>
      </c>
    </row>
    <row r="698" spans="1:47" ht="12.75">
      <c r="A698" s="385"/>
      <c r="E698" s="363"/>
      <c r="F698" s="363"/>
      <c r="G698" s="363"/>
      <c r="M698" s="391"/>
      <c r="N698" s="391"/>
      <c r="AC698" s="1057"/>
      <c r="AL698" s="313"/>
      <c r="AM698" s="363"/>
      <c r="AN698" s="385"/>
      <c r="AT698" s="879" t="str">
        <f t="shared" si="506"/>
        <v/>
      </c>
      <c r="AU698" s="879">
        <f ca="1">COUNTIFS(AT$7:$AT698,1)</f>
        <v>7</v>
      </c>
    </row>
    <row r="699" spans="1:47" ht="12.75">
      <c r="A699" s="385"/>
      <c r="E699" s="363"/>
      <c r="F699" s="363"/>
      <c r="G699" s="363"/>
      <c r="M699" s="391"/>
      <c r="N699" s="391"/>
      <c r="AC699" s="1057"/>
      <c r="AL699" s="313"/>
      <c r="AM699" s="363"/>
      <c r="AN699" s="385"/>
      <c r="AT699" s="879" t="str">
        <f t="shared" si="506"/>
        <v/>
      </c>
      <c r="AU699" s="879">
        <f ca="1">COUNTIFS(AT$7:$AT699,1)</f>
        <v>7</v>
      </c>
    </row>
    <row r="700" spans="1:47" ht="16.5" customHeight="1" thickBot="1">
      <c r="AL700" s="313"/>
      <c r="AM700" s="363"/>
      <c r="AN700" s="385"/>
      <c r="AQ700" s="393"/>
      <c r="AT700" s="879" t="str">
        <f t="shared" si="506"/>
        <v/>
      </c>
      <c r="AU700" s="879">
        <f ca="1">COUNTIFS(AT$7:$AT700,1)</f>
        <v>7</v>
      </c>
    </row>
    <row r="701" spans="1:47" ht="16.5" customHeight="1" thickBot="1">
      <c r="A701" s="385" t="s">
        <v>189</v>
      </c>
      <c r="B701" s="385"/>
      <c r="C701" s="385" t="s">
        <v>184</v>
      </c>
      <c r="Q701" s="1727">
        <f ca="1">SUM(Q8:Q699)</f>
        <v>2066510.8020716913</v>
      </c>
      <c r="R701" s="1728">
        <f ca="1">SUM(R8:R699)</f>
        <v>413.30216041433829</v>
      </c>
      <c r="AL701" s="313"/>
      <c r="AM701" s="363"/>
      <c r="AN701" s="385"/>
      <c r="AT701" s="879">
        <f t="shared" ca="1" si="506"/>
        <v>1</v>
      </c>
      <c r="AU701" s="879">
        <f ca="1">COUNTIFS(AT$7:$AT701,1)</f>
        <v>8</v>
      </c>
    </row>
    <row r="702" spans="1:47" ht="17.25" customHeight="1" thickBot="1">
      <c r="Q702" s="2387">
        <f>input!J373</f>
        <v>2023</v>
      </c>
      <c r="R702" s="3183">
        <v>0</v>
      </c>
      <c r="S702" s="393"/>
      <c r="AL702" s="313"/>
      <c r="AM702" s="363"/>
      <c r="AN702" s="385"/>
      <c r="AT702" s="879">
        <f t="shared" si="506"/>
        <v>0</v>
      </c>
      <c r="AU702" s="879">
        <f ca="1">COUNTIFS(AT$7:$AT702,1)</f>
        <v>8</v>
      </c>
    </row>
    <row r="703" spans="1:47" ht="12.75">
      <c r="AT703" s="879" t="str">
        <f t="shared" ref="AT703" si="507">IF(ISNUMBER(R703),IF(R703&lt;&gt;0,IF(ISNUMBER(SEARCH("to",J703)),0,1),0),"")</f>
        <v/>
      </c>
      <c r="AU703" s="879">
        <f ca="1">COUNTIFS(AT$7:$AT703,1)</f>
        <v>8</v>
      </c>
    </row>
  </sheetData>
  <autoFilter ref="A6:S694" xr:uid="{00000000-0009-0000-0000-00000E000000}">
    <filterColumn colId="0" showButton="0"/>
    <filterColumn colId="1" showButton="0"/>
    <filterColumn colId="2" showButton="0"/>
    <filterColumn colId="3" showButton="0"/>
    <filterColumn colId="4" showButton="0"/>
    <filterColumn colId="5" showButton="0"/>
    <filterColumn colId="8" showButton="0"/>
    <filterColumn colId="10" showButton="0"/>
    <filterColumn colId="14" showButton="0"/>
    <filterColumn colId="17">
      <filters>
        <filter val="120"/>
        <filter val="136"/>
        <filter val="187"/>
        <filter val="26"/>
        <filter val="35"/>
        <filter val="36"/>
        <filter val="614"/>
      </filters>
    </filterColumn>
  </autoFilter>
  <mergeCells count="17">
    <mergeCell ref="AA6:AA7"/>
    <mergeCell ref="AB6:AB7"/>
    <mergeCell ref="V6:V7"/>
    <mergeCell ref="W6:W7"/>
    <mergeCell ref="X6:X7"/>
    <mergeCell ref="Y6:Y7"/>
    <mergeCell ref="Z6:Z7"/>
    <mergeCell ref="A6:G7"/>
    <mergeCell ref="S6:S7"/>
    <mergeCell ref="M6:M7"/>
    <mergeCell ref="I6:J6"/>
    <mergeCell ref="H6:H7"/>
    <mergeCell ref="R6:R7"/>
    <mergeCell ref="Q6:Q7"/>
    <mergeCell ref="N6:N7"/>
    <mergeCell ref="O6:P6"/>
    <mergeCell ref="K6:L6"/>
  </mergeCells>
  <phoneticPr fontId="0" type="noConversion"/>
  <pageMargins left="0.75" right="0.75" top="1" bottom="1" header="0.5" footer="0.5"/>
  <pageSetup scale="63" orientation="landscape" horizontalDpi="300" verticalDpi="300" r:id="rId1"/>
  <headerFooter alignWithMargins="0"/>
  <rowBreaks count="2" manualBreakCount="2">
    <brk id="518" max="16383" man="1"/>
    <brk id="700" max="16383" man="1"/>
  </rowBreaks>
  <colBreaks count="1" manualBreakCount="1">
    <brk id="27" max="1048575" man="1"/>
  </colBreaks>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CV942"/>
  <sheetViews>
    <sheetView showGridLines="0" topLeftCell="A22" zoomScale="90" zoomScaleNormal="90" workbookViewId="0">
      <selection activeCell="F37" sqref="F37"/>
    </sheetView>
  </sheetViews>
  <sheetFormatPr defaultColWidth="10" defaultRowHeight="15" customHeight="1" outlineLevelRow="1" outlineLevelCol="1"/>
  <cols>
    <col min="1" max="1" width="2" style="2384" customWidth="1"/>
    <col min="2" max="2" width="4.28515625" style="2313" customWidth="1"/>
    <col min="3" max="3" width="3.7109375" style="2313" customWidth="1"/>
    <col min="4" max="4" width="9.85546875" style="2313" customWidth="1"/>
    <col min="5" max="5" width="7.7109375" style="2313" customWidth="1"/>
    <col min="6" max="6" width="9.7109375" style="2313" customWidth="1" outlineLevel="1"/>
    <col min="7" max="7" width="10" style="2313" customWidth="1" outlineLevel="1"/>
    <col min="8" max="8" width="6.42578125" style="2313" customWidth="1" outlineLevel="1"/>
    <col min="9" max="9" width="7" style="2313" customWidth="1" outlineLevel="1"/>
    <col min="10" max="10" width="6.7109375" style="2313" customWidth="1" outlineLevel="1"/>
    <col min="11" max="11" width="7" style="2313" customWidth="1"/>
    <col min="12" max="12" width="10" style="2313" customWidth="1"/>
    <col min="13" max="13" width="6" style="2313" customWidth="1"/>
    <col min="14" max="14" width="6" style="2313" bestFit="1" customWidth="1"/>
    <col min="15" max="15" width="7.85546875" style="2313" bestFit="1" customWidth="1"/>
    <col min="16" max="16" width="6" style="2313" bestFit="1" customWidth="1"/>
    <col min="17" max="17" width="7" style="2313" bestFit="1" customWidth="1"/>
    <col min="18" max="18" width="11.7109375" style="2313" customWidth="1"/>
    <col min="19" max="19" width="6" style="2313" bestFit="1" customWidth="1"/>
    <col min="20" max="20" width="8.42578125" style="2313" bestFit="1" customWidth="1"/>
    <col min="21" max="22" width="5.42578125" style="2313" customWidth="1"/>
    <col min="23" max="30" width="6.5703125" style="2313" bestFit="1" customWidth="1"/>
    <col min="31" max="32" width="5.42578125" style="2313" customWidth="1"/>
    <col min="33" max="40" width="7.5703125" style="2313" bestFit="1" customWidth="1"/>
    <col min="41" max="42" width="5.42578125" style="2313" customWidth="1"/>
    <col min="43" max="50" width="6.5703125" style="2313" bestFit="1" customWidth="1"/>
    <col min="51" max="52" width="5.42578125" style="2313" customWidth="1"/>
    <col min="53" max="60" width="6.5703125" style="2313" bestFit="1" customWidth="1"/>
    <col min="61" max="62" width="5.42578125" style="2313" customWidth="1"/>
    <col min="63" max="70" width="6.5703125" style="2313" bestFit="1" customWidth="1"/>
    <col min="71" max="72" width="5.42578125" style="2313" customWidth="1"/>
    <col min="73" max="78" width="6.5703125" style="2313" bestFit="1" customWidth="1"/>
    <col min="79" max="79" width="5.5703125" style="2313" customWidth="1"/>
    <col min="80" max="80" width="6.5703125" style="2313" bestFit="1" customWidth="1"/>
    <col min="81" max="82" width="5.42578125" style="2313" customWidth="1"/>
    <col min="83" max="88" width="6.5703125" style="2313" bestFit="1" customWidth="1"/>
    <col min="89" max="89" width="5.85546875" style="2313" customWidth="1"/>
    <col min="90" max="90" width="6.5703125" style="2313" bestFit="1" customWidth="1"/>
    <col min="91" max="92" width="5.42578125" style="2313" customWidth="1"/>
    <col min="93" max="100" width="6.5703125" style="2313" bestFit="1" customWidth="1"/>
    <col min="101" max="16384" width="10" style="2313"/>
  </cols>
  <sheetData>
    <row r="1" spans="1:100" ht="10.5" customHeight="1">
      <c r="A1" s="2310"/>
      <c r="B1" s="2311"/>
      <c r="C1" s="2311"/>
      <c r="D1" s="2311"/>
      <c r="E1" s="2311"/>
      <c r="F1" s="2311"/>
      <c r="G1" s="2311"/>
      <c r="H1" s="2311"/>
      <c r="I1" s="2311"/>
      <c r="J1" s="2311"/>
      <c r="K1" s="2311"/>
      <c r="L1" s="2311"/>
      <c r="M1" s="2311"/>
      <c r="N1" s="2311"/>
      <c r="O1" s="2311"/>
      <c r="P1" s="2311"/>
      <c r="Q1" s="2311"/>
      <c r="R1" s="2311"/>
      <c r="S1" s="2311"/>
      <c r="T1" s="2311"/>
      <c r="U1" s="2311"/>
      <c r="V1" s="2311"/>
      <c r="W1" s="2311"/>
      <c r="X1" s="2311"/>
      <c r="Y1" s="2311"/>
      <c r="Z1" s="2311"/>
      <c r="AA1" s="2311"/>
      <c r="AB1" s="2311"/>
      <c r="AC1" s="2311"/>
      <c r="AD1" s="2312"/>
      <c r="AE1" s="2311"/>
      <c r="AF1" s="2311"/>
      <c r="AG1" s="2311"/>
      <c r="AH1" s="2311"/>
      <c r="AI1" s="2311"/>
      <c r="AJ1" s="2311"/>
      <c r="AK1" s="2311"/>
      <c r="AL1" s="2311"/>
      <c r="AM1" s="2311"/>
      <c r="AN1" s="2312"/>
      <c r="AO1" s="2311"/>
      <c r="AP1" s="2311"/>
      <c r="AQ1" s="2311"/>
      <c r="AR1" s="2311"/>
      <c r="AS1" s="2311"/>
      <c r="AT1" s="2311"/>
      <c r="AU1" s="2311"/>
      <c r="AV1" s="2311"/>
      <c r="AW1" s="2311"/>
      <c r="AX1" s="2312"/>
      <c r="AY1" s="2311"/>
      <c r="AZ1" s="2311"/>
      <c r="BA1" s="2311"/>
      <c r="BB1" s="2311"/>
      <c r="BC1" s="2311"/>
      <c r="BD1" s="2311"/>
      <c r="BE1" s="2311"/>
      <c r="BF1" s="2311"/>
      <c r="BG1" s="2311"/>
      <c r="BH1" s="2312"/>
      <c r="BI1" s="2311"/>
      <c r="BJ1" s="2311"/>
      <c r="BK1" s="2311"/>
      <c r="BL1" s="2311"/>
      <c r="BM1" s="2311"/>
      <c r="BN1" s="2311"/>
      <c r="BO1" s="2311"/>
      <c r="BP1" s="2311"/>
      <c r="BQ1" s="2311"/>
      <c r="BR1" s="2312"/>
      <c r="BS1" s="2311"/>
      <c r="BT1" s="2311"/>
      <c r="BU1" s="2311"/>
      <c r="BV1" s="2311"/>
      <c r="BW1" s="2311"/>
      <c r="BX1" s="2311"/>
      <c r="BY1" s="2311"/>
      <c r="BZ1" s="2311"/>
      <c r="CA1" s="2311"/>
      <c r="CB1" s="2312"/>
      <c r="CC1" s="2311"/>
      <c r="CD1" s="2311"/>
      <c r="CE1" s="2311"/>
      <c r="CF1" s="2311"/>
      <c r="CG1" s="2311"/>
      <c r="CH1" s="2311"/>
      <c r="CI1" s="2311"/>
      <c r="CJ1" s="2311"/>
      <c r="CK1" s="2311"/>
      <c r="CL1" s="2312"/>
      <c r="CM1" s="2311"/>
      <c r="CN1" s="2311"/>
      <c r="CO1" s="2311"/>
      <c r="CP1" s="2311"/>
      <c r="CQ1" s="2311"/>
      <c r="CR1" s="2311"/>
      <c r="CS1" s="2311"/>
      <c r="CT1" s="2311"/>
      <c r="CU1" s="2311"/>
      <c r="CV1" s="2312"/>
    </row>
    <row r="2" spans="1:100" ht="36" customHeight="1">
      <c r="A2" s="2310"/>
      <c r="G2" s="2314" t="s">
        <v>2159</v>
      </c>
      <c r="H2" s="2314"/>
      <c r="I2" s="2314"/>
      <c r="J2" s="2314"/>
      <c r="K2" s="2314"/>
      <c r="L2" s="2314"/>
      <c r="M2" s="2314"/>
      <c r="N2" s="2314"/>
      <c r="O2" s="2314"/>
      <c r="P2" s="2314"/>
      <c r="Q2" s="2314"/>
      <c r="R2" s="2314"/>
      <c r="S2" s="2314"/>
      <c r="T2" s="2314"/>
      <c r="U2" s="2314"/>
      <c r="V2" s="2314"/>
      <c r="W2" s="2314"/>
      <c r="X2" s="2314"/>
      <c r="Y2" s="2314"/>
      <c r="Z2" s="2314"/>
      <c r="AA2" s="2314"/>
      <c r="AB2" s="2314"/>
      <c r="AC2" s="2314"/>
      <c r="AD2" s="2314"/>
      <c r="AE2" s="2314"/>
      <c r="AF2" s="2314"/>
      <c r="AG2" s="2314"/>
      <c r="AH2" s="2314"/>
      <c r="AI2" s="2314"/>
      <c r="AJ2" s="2314"/>
      <c r="AK2" s="2314"/>
      <c r="AL2" s="2314"/>
      <c r="AM2" s="2314"/>
      <c r="AN2" s="2312"/>
      <c r="AX2" s="2312"/>
      <c r="BH2" s="2312"/>
      <c r="BR2" s="2312"/>
      <c r="CB2" s="2312"/>
      <c r="CL2" s="2312"/>
      <c r="CV2" s="2312"/>
    </row>
    <row r="3" spans="1:100">
      <c r="A3" s="2315"/>
      <c r="B3" s="2316"/>
      <c r="C3" s="2317"/>
      <c r="D3" s="2318"/>
      <c r="E3" s="2319"/>
      <c r="F3" s="2318"/>
      <c r="G3" s="2319"/>
      <c r="H3" s="2312"/>
      <c r="I3" s="2312"/>
      <c r="J3" s="2312"/>
      <c r="K3" s="2312"/>
      <c r="L3" s="2312"/>
      <c r="M3" s="2312"/>
      <c r="N3" s="2312"/>
      <c r="O3" s="2312"/>
      <c r="P3" s="2312"/>
      <c r="Q3" s="2312"/>
      <c r="R3" s="2312"/>
      <c r="S3" s="2312"/>
      <c r="T3" s="2312"/>
      <c r="U3" s="2312"/>
      <c r="V3" s="2312"/>
      <c r="W3" s="2312"/>
      <c r="X3" s="2312"/>
      <c r="Y3" s="2312"/>
      <c r="Z3" s="2312"/>
      <c r="AA3" s="2312"/>
      <c r="AB3" s="2312"/>
      <c r="AC3" s="2312"/>
      <c r="AD3" s="2312"/>
      <c r="AE3" s="2312"/>
      <c r="AF3" s="2312"/>
      <c r="AG3" s="2312"/>
      <c r="AH3" s="2312"/>
      <c r="AI3" s="2312"/>
      <c r="AJ3" s="2312"/>
      <c r="AK3" s="2312"/>
      <c r="AL3" s="2312"/>
      <c r="AM3" s="2312"/>
      <c r="AN3" s="2312"/>
      <c r="AO3" s="2312"/>
      <c r="AP3" s="2312"/>
      <c r="AQ3" s="2312"/>
      <c r="AR3" s="2312"/>
      <c r="AS3" s="2312"/>
      <c r="AT3" s="2312"/>
      <c r="AU3" s="2312"/>
      <c r="AV3" s="2312"/>
      <c r="AW3" s="2312"/>
      <c r="AX3" s="2312"/>
      <c r="AY3" s="2312"/>
      <c r="AZ3" s="2312"/>
      <c r="BA3" s="2312"/>
      <c r="BB3" s="2312"/>
      <c r="BC3" s="2312"/>
      <c r="BD3" s="2312"/>
      <c r="BE3" s="2312"/>
      <c r="BF3" s="2312"/>
      <c r="BG3" s="2312"/>
      <c r="BH3" s="2312"/>
      <c r="BI3" s="2312"/>
      <c r="BJ3" s="2312"/>
      <c r="BK3" s="2312"/>
      <c r="BL3" s="2312"/>
      <c r="BM3" s="2312"/>
      <c r="BN3" s="2312"/>
      <c r="BO3" s="2312"/>
      <c r="BP3" s="2312"/>
      <c r="BQ3" s="2312"/>
      <c r="BR3" s="2312"/>
      <c r="BS3" s="2312"/>
      <c r="BT3" s="2312"/>
      <c r="BU3" s="2312"/>
      <c r="BV3" s="2312"/>
      <c r="BW3" s="2312"/>
      <c r="BX3" s="2312"/>
      <c r="BY3" s="2312"/>
      <c r="BZ3" s="2312"/>
      <c r="CA3" s="2312"/>
      <c r="CB3" s="2312"/>
      <c r="CC3" s="2312"/>
      <c r="CD3" s="2312"/>
      <c r="CE3" s="2312"/>
      <c r="CF3" s="2312"/>
      <c r="CG3" s="2312"/>
      <c r="CH3" s="2312"/>
      <c r="CI3" s="2312"/>
      <c r="CJ3" s="2312"/>
      <c r="CK3" s="2312"/>
      <c r="CL3" s="2312"/>
      <c r="CM3" s="2312"/>
      <c r="CN3" s="2312"/>
      <c r="CO3" s="2312"/>
      <c r="CP3" s="2312"/>
      <c r="CQ3" s="2312"/>
      <c r="CR3" s="2312"/>
      <c r="CS3" s="2312"/>
      <c r="CT3" s="2312"/>
      <c r="CU3" s="2312"/>
      <c r="CV3" s="2312"/>
    </row>
    <row r="4" spans="1:100">
      <c r="A4" s="2320"/>
      <c r="B4" s="2321" t="s">
        <v>2160</v>
      </c>
      <c r="C4" s="2322"/>
      <c r="D4" s="2318"/>
      <c r="E4" s="2322"/>
      <c r="G4" s="2319"/>
      <c r="H4" s="2312"/>
      <c r="I4" s="2312"/>
      <c r="K4" s="2323" t="s">
        <v>2161</v>
      </c>
      <c r="L4" s="2323"/>
      <c r="M4" s="2324"/>
      <c r="N4" s="2324"/>
      <c r="O4" s="2324"/>
      <c r="P4" s="2324"/>
      <c r="Q4" s="2324"/>
      <c r="R4" s="2324"/>
      <c r="S4" s="2324"/>
      <c r="T4" s="2324"/>
      <c r="U4" s="2324"/>
      <c r="V4" s="2324"/>
      <c r="W4" s="2324"/>
      <c r="X4" s="2324"/>
      <c r="Y4" s="2324"/>
      <c r="Z4" s="2324"/>
      <c r="AA4" s="2324"/>
      <c r="AB4" s="2324"/>
      <c r="AC4" s="2324"/>
      <c r="AD4" s="2324"/>
      <c r="AE4" s="2324"/>
      <c r="AF4" s="2324"/>
      <c r="AG4" s="2324"/>
      <c r="AH4" s="2324"/>
      <c r="AI4" s="2324"/>
      <c r="AJ4" s="2324"/>
      <c r="AK4" s="2324"/>
      <c r="AL4" s="2324"/>
      <c r="AM4" s="2324"/>
      <c r="AN4" s="2324"/>
      <c r="AO4" s="2324"/>
      <c r="AP4" s="2324"/>
      <c r="AQ4" s="2324"/>
      <c r="AR4" s="2324"/>
      <c r="AS4" s="2324"/>
      <c r="AT4" s="2324"/>
      <c r="AU4" s="2324"/>
      <c r="AV4" s="2324"/>
      <c r="AW4" s="2324"/>
      <c r="AX4" s="2324"/>
      <c r="AY4" s="2324"/>
      <c r="AZ4" s="2324"/>
      <c r="BA4" s="2324"/>
      <c r="BB4" s="2324"/>
      <c r="BC4" s="2324"/>
      <c r="BD4" s="2324"/>
      <c r="BE4" s="2324"/>
      <c r="BF4" s="2324"/>
      <c r="BG4" s="2324"/>
      <c r="BH4" s="2324"/>
      <c r="BI4" s="2324"/>
      <c r="BJ4" s="2324"/>
      <c r="BK4" s="2324"/>
      <c r="BL4" s="2324"/>
      <c r="BM4" s="2324"/>
      <c r="BN4" s="2324"/>
      <c r="BO4" s="2324"/>
      <c r="BP4" s="2324"/>
      <c r="BQ4" s="2324"/>
      <c r="BR4" s="2324"/>
      <c r="BS4" s="2324"/>
      <c r="BT4" s="2324"/>
      <c r="BU4" s="2324"/>
      <c r="BV4" s="2324"/>
      <c r="BW4" s="2324"/>
      <c r="BX4" s="2324"/>
      <c r="BY4" s="2324"/>
      <c r="BZ4" s="2324"/>
      <c r="CA4" s="2324"/>
      <c r="CB4" s="2324"/>
      <c r="CC4" s="2324"/>
      <c r="CD4" s="2324"/>
      <c r="CE4" s="2324"/>
      <c r="CF4" s="2324"/>
      <c r="CG4" s="2324"/>
      <c r="CH4" s="2324"/>
      <c r="CI4" s="2324"/>
      <c r="CJ4" s="2324"/>
      <c r="CK4" s="2324"/>
      <c r="CL4" s="2324"/>
      <c r="CM4" s="2324"/>
      <c r="CN4" s="2324"/>
      <c r="CO4" s="2324"/>
      <c r="CP4" s="2324"/>
      <c r="CQ4" s="2324"/>
      <c r="CR4" s="2324"/>
      <c r="CS4" s="2324"/>
      <c r="CT4" s="2324"/>
      <c r="CU4" s="2324"/>
      <c r="CV4" s="2324"/>
    </row>
    <row r="5" spans="1:100" ht="15" customHeight="1" outlineLevel="1">
      <c r="A5" s="2320"/>
      <c r="B5" s="2321"/>
      <c r="C5" s="2322"/>
      <c r="D5" s="2318"/>
      <c r="E5" s="2322"/>
      <c r="G5" s="2319"/>
      <c r="H5" s="2312"/>
      <c r="I5" s="2312"/>
      <c r="K5" s="2323"/>
      <c r="L5" s="2323"/>
      <c r="M5" s="2324"/>
      <c r="N5" s="2324"/>
      <c r="O5" s="2324"/>
      <c r="P5" s="2324"/>
      <c r="Q5" s="2324"/>
      <c r="R5" s="2324"/>
      <c r="S5" s="2324"/>
      <c r="T5" s="2324"/>
      <c r="U5" s="2324"/>
      <c r="V5" s="2324"/>
      <c r="W5" s="2324"/>
      <c r="X5" s="2324"/>
      <c r="Y5" s="2324"/>
      <c r="Z5" s="2324"/>
      <c r="AA5" s="2324"/>
      <c r="AB5" s="2324"/>
      <c r="AC5" s="2324"/>
      <c r="AD5" s="2324"/>
      <c r="AE5" s="2324"/>
      <c r="AF5" s="2324"/>
      <c r="AG5" s="2324"/>
      <c r="AH5" s="2324"/>
      <c r="AI5" s="2324"/>
      <c r="AJ5" s="2324"/>
      <c r="AK5" s="2324"/>
      <c r="AL5" s="2324"/>
      <c r="AM5" s="2324"/>
      <c r="AN5" s="2324"/>
      <c r="AO5" s="2324"/>
      <c r="AP5" s="2324"/>
      <c r="AQ5" s="2324"/>
      <c r="AR5" s="2324"/>
      <c r="AS5" s="2324"/>
      <c r="AT5" s="2324"/>
      <c r="AU5" s="2324"/>
      <c r="AV5" s="2324"/>
      <c r="AW5" s="2324"/>
      <c r="AX5" s="2324"/>
      <c r="AY5" s="2324"/>
      <c r="AZ5" s="2324"/>
      <c r="BA5" s="2324"/>
      <c r="BB5" s="2324"/>
      <c r="BC5" s="2324"/>
      <c r="BD5" s="2324"/>
      <c r="BE5" s="2324"/>
      <c r="BF5" s="2324"/>
      <c r="BG5" s="2324"/>
      <c r="BH5" s="2324"/>
      <c r="BI5" s="2324"/>
      <c r="BJ5" s="2324"/>
      <c r="BK5" s="2324"/>
      <c r="BL5" s="2324"/>
      <c r="BM5" s="2324"/>
      <c r="BN5" s="2324"/>
      <c r="BO5" s="2324"/>
      <c r="BP5" s="2324"/>
      <c r="BQ5" s="2324"/>
      <c r="BR5" s="2324"/>
      <c r="BS5" s="2324"/>
      <c r="BT5" s="2324"/>
      <c r="BU5" s="2324"/>
      <c r="BV5" s="2324"/>
      <c r="BW5" s="2324"/>
      <c r="BX5" s="2324"/>
      <c r="BY5" s="2324"/>
      <c r="BZ5" s="2324"/>
      <c r="CA5" s="2324"/>
      <c r="CB5" s="2324"/>
      <c r="CC5" s="2324"/>
      <c r="CD5" s="2324"/>
      <c r="CE5" s="2324"/>
      <c r="CF5" s="2324"/>
      <c r="CG5" s="2324"/>
      <c r="CH5" s="2324"/>
      <c r="CI5" s="2324"/>
      <c r="CJ5" s="2324"/>
      <c r="CK5" s="2324"/>
      <c r="CL5" s="2324"/>
      <c r="CM5" s="2324"/>
      <c r="CN5" s="2324"/>
      <c r="CO5" s="2324"/>
      <c r="CP5" s="2324"/>
      <c r="CQ5" s="2324"/>
      <c r="CR5" s="2324"/>
      <c r="CS5" s="2324"/>
      <c r="CT5" s="2324"/>
      <c r="CU5" s="2324"/>
      <c r="CV5" s="2324"/>
    </row>
    <row r="6" spans="1:100" ht="27" customHeight="1" outlineLevel="1">
      <c r="A6" s="2320"/>
      <c r="B6" s="2325" t="s">
        <v>2162</v>
      </c>
      <c r="C6" s="2326"/>
      <c r="D6" s="2326"/>
      <c r="E6" s="2327"/>
      <c r="F6" s="2924" t="s">
        <v>2163</v>
      </c>
      <c r="G6" s="2925"/>
      <c r="H6" s="2924" t="s">
        <v>2164</v>
      </c>
      <c r="I6" s="2925"/>
      <c r="J6" s="2924" t="s">
        <v>2165</v>
      </c>
      <c r="K6" s="2925"/>
      <c r="L6" s="2924" t="s">
        <v>2166</v>
      </c>
      <c r="M6" s="2925"/>
      <c r="N6" s="2924" t="s">
        <v>2167</v>
      </c>
      <c r="O6" s="2925"/>
      <c r="P6" s="2924" t="s">
        <v>2168</v>
      </c>
      <c r="Q6" s="2925"/>
      <c r="R6" s="2924" t="s">
        <v>2169</v>
      </c>
      <c r="S6" s="2925"/>
      <c r="T6" s="2324"/>
      <c r="U6" s="2324"/>
      <c r="V6" s="2324"/>
      <c r="W6" s="2324"/>
      <c r="X6" s="2324"/>
      <c r="Y6" s="2324"/>
      <c r="Z6" s="2324"/>
      <c r="AA6" s="2324"/>
      <c r="AB6" s="2324"/>
      <c r="AC6" s="2324"/>
      <c r="AD6" s="2324"/>
      <c r="AE6" s="2324"/>
      <c r="AF6" s="2324"/>
      <c r="AG6" s="2324"/>
      <c r="AH6" s="2324"/>
      <c r="AI6" s="2324"/>
      <c r="AJ6" s="2324"/>
      <c r="AK6" s="2324"/>
      <c r="AL6" s="2324"/>
      <c r="AM6" s="2324"/>
      <c r="AN6" s="2324"/>
      <c r="AO6" s="2324"/>
      <c r="AP6" s="2324"/>
      <c r="AQ6" s="2324"/>
      <c r="AR6" s="2324"/>
      <c r="AS6" s="2324"/>
      <c r="AT6" s="2324"/>
      <c r="AU6" s="2324"/>
      <c r="AV6" s="2324"/>
      <c r="AW6" s="2324"/>
      <c r="AX6" s="2324"/>
      <c r="AY6" s="2324"/>
      <c r="AZ6" s="2324"/>
      <c r="BA6" s="2324"/>
      <c r="BB6" s="2324"/>
      <c r="BC6" s="2324"/>
      <c r="BD6" s="2324"/>
      <c r="BE6" s="2324"/>
      <c r="BF6" s="2324"/>
      <c r="BG6" s="2324"/>
      <c r="BH6" s="2324"/>
      <c r="BI6" s="2324"/>
      <c r="BJ6" s="2324"/>
      <c r="BK6" s="2324"/>
      <c r="BL6" s="2324"/>
      <c r="BM6" s="2324"/>
      <c r="BN6" s="2324"/>
      <c r="BO6" s="2324"/>
      <c r="BP6" s="2324"/>
      <c r="BQ6" s="2324"/>
      <c r="BR6" s="2324"/>
      <c r="BS6" s="2324"/>
      <c r="BT6" s="2324"/>
      <c r="BU6" s="2324"/>
      <c r="BV6" s="2324"/>
      <c r="BW6" s="2324"/>
      <c r="BX6" s="2324"/>
      <c r="BY6" s="2324"/>
      <c r="BZ6" s="2324"/>
      <c r="CA6" s="2324"/>
      <c r="CB6" s="2324"/>
      <c r="CC6" s="2324"/>
      <c r="CD6" s="2324"/>
      <c r="CE6" s="2324"/>
      <c r="CF6" s="2324"/>
      <c r="CG6" s="2324"/>
      <c r="CH6" s="2324"/>
      <c r="CI6" s="2324"/>
      <c r="CJ6" s="2324"/>
      <c r="CK6" s="2324"/>
      <c r="CL6" s="2324"/>
      <c r="CM6" s="2324"/>
      <c r="CN6" s="2324"/>
      <c r="CO6" s="2324"/>
      <c r="CP6" s="2324"/>
      <c r="CQ6" s="2324"/>
      <c r="CR6" s="2324"/>
      <c r="CS6" s="2324"/>
      <c r="CT6" s="2324"/>
      <c r="CU6" s="2324"/>
      <c r="CV6" s="2324"/>
    </row>
    <row r="7" spans="1:100" outlineLevel="1">
      <c r="A7" s="2328" t="s">
        <v>2170</v>
      </c>
      <c r="B7" s="2329" t="s">
        <v>2171</v>
      </c>
      <c r="C7" s="2330"/>
      <c r="D7" s="2330"/>
      <c r="E7" s="2331"/>
      <c r="F7" s="2923">
        <f>Data!D29+Data!F29</f>
        <v>20</v>
      </c>
      <c r="G7" s="2333"/>
      <c r="H7" s="2334">
        <f>Data!$E$30</f>
        <v>0</v>
      </c>
      <c r="I7" s="2333"/>
      <c r="J7" s="2335" t="e">
        <f>Data!$M$7/$P7/$F7</f>
        <v>#REF!</v>
      </c>
      <c r="K7" s="2336"/>
      <c r="L7" s="2337">
        <f>Data!$M$10</f>
        <v>8.0000000000000002E-3</v>
      </c>
      <c r="M7" s="2333"/>
      <c r="N7" s="2332"/>
      <c r="O7" s="2333"/>
      <c r="P7" s="2338" t="e">
        <f>input!#REF!</f>
        <v>#REF!</v>
      </c>
      <c r="Q7" s="2333"/>
      <c r="R7" s="2921" t="e">
        <f t="shared" ref="R7:R16" si="0">F7*(1+J7+L7)*P7</f>
        <v>#REF!</v>
      </c>
      <c r="S7" s="2922"/>
      <c r="T7" s="2324"/>
      <c r="U7" s="2324"/>
      <c r="V7" s="2324"/>
      <c r="W7" s="2324"/>
      <c r="X7" s="2324"/>
      <c r="Y7" s="2324"/>
      <c r="Z7" s="2324"/>
      <c r="AA7" s="2324"/>
      <c r="AB7" s="2324"/>
      <c r="AC7" s="2324"/>
      <c r="AD7" s="2324"/>
      <c r="AE7" s="2324"/>
      <c r="AF7" s="2324"/>
      <c r="AG7" s="2324"/>
      <c r="AH7" s="2324"/>
      <c r="AI7" s="2324"/>
      <c r="AJ7" s="2324"/>
      <c r="AK7" s="2324"/>
      <c r="AL7" s="2324"/>
      <c r="AM7" s="2324"/>
      <c r="AN7" s="2324"/>
      <c r="AO7" s="2324"/>
      <c r="AP7" s="2324"/>
      <c r="AQ7" s="2324"/>
      <c r="AR7" s="2324"/>
      <c r="AS7" s="2324"/>
      <c r="AT7" s="2324"/>
      <c r="AU7" s="2324"/>
      <c r="AV7" s="2324"/>
      <c r="AW7" s="2324"/>
      <c r="AX7" s="2324"/>
      <c r="AY7" s="2324"/>
      <c r="AZ7" s="2324"/>
      <c r="BA7" s="2324"/>
      <c r="BB7" s="2324"/>
      <c r="BC7" s="2324"/>
      <c r="BD7" s="2324"/>
      <c r="BE7" s="2324"/>
      <c r="BF7" s="2324"/>
      <c r="BG7" s="2324"/>
      <c r="BH7" s="2324"/>
      <c r="BI7" s="2324"/>
      <c r="BJ7" s="2324"/>
      <c r="BK7" s="2324"/>
      <c r="BL7" s="2324"/>
      <c r="BM7" s="2324"/>
      <c r="BN7" s="2324"/>
      <c r="BO7" s="2324"/>
      <c r="BP7" s="2324"/>
      <c r="BQ7" s="2324"/>
      <c r="BR7" s="2324"/>
      <c r="BS7" s="2324"/>
      <c r="BT7" s="2324"/>
      <c r="BU7" s="2324"/>
      <c r="BV7" s="2324"/>
      <c r="BW7" s="2324"/>
      <c r="BX7" s="2324"/>
      <c r="BY7" s="2324"/>
      <c r="BZ7" s="2324"/>
      <c r="CA7" s="2324"/>
      <c r="CB7" s="2324"/>
      <c r="CC7" s="2324"/>
      <c r="CD7" s="2324"/>
      <c r="CE7" s="2324"/>
      <c r="CF7" s="2324"/>
      <c r="CG7" s="2324"/>
      <c r="CH7" s="2324"/>
      <c r="CI7" s="2324"/>
      <c r="CJ7" s="2324"/>
      <c r="CK7" s="2324"/>
      <c r="CL7" s="2324"/>
      <c r="CM7" s="2324"/>
      <c r="CN7" s="2324"/>
      <c r="CO7" s="2324"/>
      <c r="CP7" s="2324"/>
      <c r="CQ7" s="2324"/>
      <c r="CR7" s="2324"/>
      <c r="CS7" s="2324"/>
      <c r="CT7" s="2324"/>
      <c r="CU7" s="2324"/>
      <c r="CV7" s="2324"/>
    </row>
    <row r="8" spans="1:100" outlineLevel="1">
      <c r="A8" s="2328" t="s">
        <v>2950</v>
      </c>
      <c r="B8" s="2329" t="s">
        <v>2946</v>
      </c>
      <c r="C8" s="2330"/>
      <c r="D8" s="2330"/>
      <c r="E8" s="2331"/>
      <c r="F8" s="2923">
        <f>Data!D26+Data!F26</f>
        <v>500</v>
      </c>
      <c r="G8" s="2333"/>
      <c r="H8" s="2334">
        <f>Data!$E$175</f>
        <v>0</v>
      </c>
      <c r="I8" s="2333"/>
      <c r="J8" s="2335" t="e">
        <f>Data!$M$7/$P8/$F8</f>
        <v>#REF!</v>
      </c>
      <c r="K8" s="2336"/>
      <c r="L8" s="2337">
        <f>Data!$M$10</f>
        <v>8.0000000000000002E-3</v>
      </c>
      <c r="M8" s="2333"/>
      <c r="N8" s="2332"/>
      <c r="O8" s="2333"/>
      <c r="P8" s="2338" t="e">
        <f>input!#REF!</f>
        <v>#REF!</v>
      </c>
      <c r="Q8" s="2333"/>
      <c r="R8" s="2921" t="e">
        <f t="shared" si="0"/>
        <v>#REF!</v>
      </c>
      <c r="S8" s="2922"/>
      <c r="T8" s="2339"/>
      <c r="U8" s="2324"/>
      <c r="V8" s="2324"/>
      <c r="W8" s="2324"/>
      <c r="X8" s="2324"/>
      <c r="Y8" s="2324"/>
      <c r="Z8" s="2324"/>
      <c r="AA8" s="2324"/>
      <c r="AB8" s="2324"/>
      <c r="AC8" s="2324"/>
      <c r="AD8" s="2324"/>
      <c r="AE8" s="2324"/>
      <c r="AF8" s="2324"/>
      <c r="AG8" s="2324"/>
      <c r="AH8" s="2324"/>
      <c r="AI8" s="2324"/>
      <c r="AJ8" s="2324"/>
      <c r="AK8" s="2324"/>
      <c r="AL8" s="2324"/>
      <c r="AM8" s="2324"/>
      <c r="AN8" s="2324"/>
      <c r="AO8" s="2324"/>
      <c r="AP8" s="2324"/>
      <c r="AQ8" s="2324"/>
      <c r="AR8" s="2324"/>
      <c r="AS8" s="2324"/>
      <c r="AT8" s="2324"/>
      <c r="AU8" s="2324"/>
      <c r="AV8" s="2324"/>
      <c r="AW8" s="2324"/>
      <c r="AX8" s="2324"/>
      <c r="AY8" s="2324"/>
      <c r="AZ8" s="2324"/>
      <c r="BA8" s="2324"/>
      <c r="BB8" s="2324"/>
      <c r="BC8" s="2324"/>
      <c r="BD8" s="2324"/>
      <c r="BE8" s="2324"/>
      <c r="BF8" s="2324"/>
      <c r="BG8" s="2324"/>
      <c r="BH8" s="2324"/>
      <c r="BI8" s="2324"/>
      <c r="BJ8" s="2324"/>
      <c r="BK8" s="2324"/>
      <c r="BL8" s="2324"/>
      <c r="BM8" s="2324"/>
      <c r="BN8" s="2324"/>
      <c r="BO8" s="2324"/>
      <c r="BP8" s="2324"/>
      <c r="BQ8" s="2324"/>
      <c r="BR8" s="2324"/>
      <c r="BS8" s="2324"/>
      <c r="BT8" s="2324"/>
      <c r="BU8" s="2324"/>
      <c r="BV8" s="2324"/>
      <c r="BW8" s="2324"/>
      <c r="BX8" s="2324"/>
      <c r="BY8" s="2324"/>
      <c r="BZ8" s="2324"/>
      <c r="CA8" s="2324"/>
      <c r="CB8" s="2324"/>
      <c r="CC8" s="2324"/>
      <c r="CD8" s="2324"/>
      <c r="CE8" s="2324"/>
      <c r="CF8" s="2324"/>
      <c r="CG8" s="2324"/>
      <c r="CH8" s="2324"/>
      <c r="CI8" s="2324"/>
      <c r="CJ8" s="2324"/>
      <c r="CK8" s="2324"/>
      <c r="CL8" s="2324"/>
      <c r="CM8" s="2324"/>
      <c r="CN8" s="2324"/>
      <c r="CO8" s="2324"/>
      <c r="CP8" s="2324"/>
      <c r="CQ8" s="2324"/>
      <c r="CR8" s="2324"/>
      <c r="CS8" s="2324"/>
      <c r="CT8" s="2324"/>
      <c r="CU8" s="2324"/>
      <c r="CV8" s="2324"/>
    </row>
    <row r="9" spans="1:100" outlineLevel="1">
      <c r="A9" s="2328" t="s">
        <v>2951</v>
      </c>
      <c r="B9" s="2329" t="s">
        <v>2947</v>
      </c>
      <c r="C9" s="2330"/>
      <c r="D9" s="2330"/>
      <c r="E9" s="2331"/>
      <c r="F9" s="2923">
        <f>Data!D23+Data!F23</f>
        <v>515</v>
      </c>
      <c r="G9" s="2333"/>
      <c r="H9" s="2334">
        <f>Data!$E$172</f>
        <v>0</v>
      </c>
      <c r="I9" s="2333"/>
      <c r="J9" s="2335" t="e">
        <f>Data!$M$7/$P9/$F9</f>
        <v>#REF!</v>
      </c>
      <c r="K9" s="2336"/>
      <c r="L9" s="2337">
        <f>Data!$M$10</f>
        <v>8.0000000000000002E-3</v>
      </c>
      <c r="M9" s="2333"/>
      <c r="N9" s="2332"/>
      <c r="O9" s="2333"/>
      <c r="P9" s="2338" t="e">
        <f>input!#REF!</f>
        <v>#REF!</v>
      </c>
      <c r="Q9" s="2333"/>
      <c r="R9" s="2921" t="e">
        <f t="shared" si="0"/>
        <v>#REF!</v>
      </c>
      <c r="S9" s="2922"/>
      <c r="T9" s="2324"/>
      <c r="U9" s="2324"/>
      <c r="V9" s="2324"/>
      <c r="W9" s="2324"/>
      <c r="X9" s="2324"/>
      <c r="Y9" s="2324"/>
      <c r="Z9" s="2324"/>
      <c r="AA9" s="2324"/>
      <c r="AB9" s="2324"/>
      <c r="AC9" s="2324"/>
      <c r="AD9" s="2324"/>
      <c r="AE9" s="2324"/>
      <c r="AF9" s="2324"/>
      <c r="AG9" s="2324"/>
      <c r="AH9" s="2324"/>
      <c r="AI9" s="2324"/>
      <c r="AJ9" s="2324"/>
      <c r="AK9" s="2324"/>
      <c r="AL9" s="2324"/>
      <c r="AM9" s="2324"/>
      <c r="AN9" s="2324"/>
      <c r="AO9" s="2324"/>
      <c r="AP9" s="2324"/>
      <c r="AQ9" s="2324"/>
      <c r="AR9" s="2324"/>
      <c r="AS9" s="2324"/>
      <c r="AT9" s="2324"/>
      <c r="AU9" s="2324"/>
      <c r="AV9" s="2324"/>
      <c r="AW9" s="2324"/>
      <c r="AX9" s="2324"/>
      <c r="AY9" s="2324"/>
      <c r="AZ9" s="2324"/>
      <c r="BA9" s="2324"/>
      <c r="BB9" s="2324"/>
      <c r="BC9" s="2324"/>
      <c r="BD9" s="2324"/>
      <c r="BE9" s="2324"/>
      <c r="BF9" s="2324"/>
      <c r="BG9" s="2324"/>
      <c r="BH9" s="2324"/>
      <c r="BI9" s="2324"/>
      <c r="BJ9" s="2324"/>
      <c r="BK9" s="2324"/>
      <c r="BL9" s="2324"/>
      <c r="BM9" s="2324"/>
      <c r="BN9" s="2324"/>
      <c r="BO9" s="2324"/>
      <c r="BP9" s="2324"/>
      <c r="BQ9" s="2324"/>
      <c r="BR9" s="2324"/>
      <c r="BS9" s="2324"/>
      <c r="BT9" s="2324"/>
      <c r="BU9" s="2324"/>
      <c r="BV9" s="2324"/>
      <c r="BW9" s="2324"/>
      <c r="BX9" s="2324"/>
      <c r="BY9" s="2324"/>
      <c r="BZ9" s="2324"/>
      <c r="CA9" s="2324"/>
      <c r="CB9" s="2324"/>
      <c r="CC9" s="2324"/>
      <c r="CD9" s="2324"/>
      <c r="CE9" s="2324"/>
      <c r="CF9" s="2324"/>
      <c r="CG9" s="2324"/>
      <c r="CH9" s="2324"/>
      <c r="CI9" s="2324"/>
      <c r="CJ9" s="2324"/>
      <c r="CK9" s="2324"/>
      <c r="CL9" s="2324"/>
      <c r="CM9" s="2324"/>
      <c r="CN9" s="2324"/>
      <c r="CO9" s="2324"/>
      <c r="CP9" s="2324"/>
      <c r="CQ9" s="2324"/>
      <c r="CR9" s="2324"/>
      <c r="CS9" s="2324"/>
      <c r="CT9" s="2324"/>
      <c r="CU9" s="2324"/>
      <c r="CV9" s="2324"/>
    </row>
    <row r="10" spans="1:100" outlineLevel="1">
      <c r="A10" s="2328" t="s">
        <v>2174</v>
      </c>
      <c r="B10" s="2329" t="s">
        <v>2175</v>
      </c>
      <c r="C10" s="2330"/>
      <c r="D10" s="2330"/>
      <c r="E10" s="2331"/>
      <c r="F10" s="2923">
        <f>Data!D22+Data!F22</f>
        <v>530</v>
      </c>
      <c r="G10" s="2333"/>
      <c r="H10" s="2334">
        <f>Data!$E$23</f>
        <v>0</v>
      </c>
      <c r="I10" s="2333"/>
      <c r="J10" s="2335" t="e">
        <f>Data!$M$7/$P10/$F10</f>
        <v>#REF!</v>
      </c>
      <c r="K10" s="2336"/>
      <c r="L10" s="2337">
        <f>Data!$M$10</f>
        <v>8.0000000000000002E-3</v>
      </c>
      <c r="M10" s="2333"/>
      <c r="N10" s="2332"/>
      <c r="O10" s="2333"/>
      <c r="P10" s="2338" t="e">
        <f>input!#REF!</f>
        <v>#REF!</v>
      </c>
      <c r="Q10" s="2333"/>
      <c r="R10" s="2921" t="e">
        <f t="shared" si="0"/>
        <v>#REF!</v>
      </c>
      <c r="S10" s="2922"/>
      <c r="T10" s="2324"/>
      <c r="U10" s="2324"/>
      <c r="V10" s="2324"/>
      <c r="W10" s="2324"/>
      <c r="X10" s="2324"/>
      <c r="Y10" s="2324"/>
      <c r="Z10" s="2324"/>
      <c r="AA10" s="2324"/>
      <c r="AB10" s="2324"/>
      <c r="AC10" s="2324"/>
      <c r="AD10" s="2324"/>
      <c r="AE10" s="2324"/>
      <c r="AF10" s="2324"/>
      <c r="AG10" s="2324"/>
      <c r="AH10" s="2324"/>
      <c r="AI10" s="2324"/>
      <c r="AJ10" s="2324"/>
      <c r="AK10" s="2324"/>
      <c r="AL10" s="2324"/>
      <c r="AM10" s="2324"/>
      <c r="AN10" s="2324"/>
      <c r="AO10" s="2324"/>
      <c r="AP10" s="2324"/>
      <c r="AQ10" s="2324"/>
      <c r="AR10" s="2324"/>
      <c r="AS10" s="2324"/>
      <c r="AT10" s="2324"/>
      <c r="AU10" s="2324"/>
      <c r="AV10" s="2324"/>
      <c r="AW10" s="2324"/>
      <c r="AX10" s="2324"/>
      <c r="AY10" s="2324"/>
      <c r="AZ10" s="2324"/>
      <c r="BA10" s="2324"/>
      <c r="BB10" s="2324"/>
      <c r="BC10" s="2324"/>
      <c r="BD10" s="2324"/>
      <c r="BE10" s="2324"/>
      <c r="BF10" s="2324"/>
      <c r="BG10" s="2324"/>
      <c r="BH10" s="2324"/>
      <c r="BI10" s="2324"/>
      <c r="BJ10" s="2324"/>
      <c r="BK10" s="2324"/>
      <c r="BL10" s="2324"/>
      <c r="BM10" s="2324"/>
      <c r="BN10" s="2324"/>
      <c r="BO10" s="2324"/>
      <c r="BP10" s="2324"/>
      <c r="BQ10" s="2324"/>
      <c r="BR10" s="2324"/>
      <c r="BS10" s="2324"/>
      <c r="BT10" s="2324"/>
      <c r="BU10" s="2324"/>
      <c r="BV10" s="2324"/>
      <c r="BW10" s="2324"/>
      <c r="BX10" s="2324"/>
      <c r="BY10" s="2324"/>
      <c r="BZ10" s="2324"/>
      <c r="CA10" s="2324"/>
      <c r="CB10" s="2324"/>
      <c r="CC10" s="2324"/>
      <c r="CD10" s="2324"/>
      <c r="CE10" s="2324"/>
      <c r="CF10" s="2324"/>
      <c r="CG10" s="2324"/>
      <c r="CH10" s="2324"/>
      <c r="CI10" s="2324"/>
      <c r="CJ10" s="2324"/>
      <c r="CK10" s="2324"/>
      <c r="CL10" s="2324"/>
      <c r="CM10" s="2324"/>
      <c r="CN10" s="2324"/>
      <c r="CO10" s="2324"/>
      <c r="CP10" s="2324"/>
      <c r="CQ10" s="2324"/>
      <c r="CR10" s="2324"/>
      <c r="CS10" s="2324"/>
      <c r="CT10" s="2324"/>
      <c r="CU10" s="2324"/>
      <c r="CV10" s="2324"/>
    </row>
    <row r="11" spans="1:100" outlineLevel="1">
      <c r="A11" s="2328" t="s">
        <v>2177</v>
      </c>
      <c r="B11" s="2329" t="s">
        <v>2178</v>
      </c>
      <c r="C11" s="2330"/>
      <c r="D11" s="2330"/>
      <c r="E11" s="2331"/>
      <c r="F11" s="2923">
        <f>Data!D20+Data!F20</f>
        <v>545</v>
      </c>
      <c r="G11" s="2333"/>
      <c r="H11" s="2334">
        <f>Data!$E$170</f>
        <v>0</v>
      </c>
      <c r="I11" s="2333"/>
      <c r="J11" s="2335" t="e">
        <f>Data!$M$7/$P11/$F11</f>
        <v>#REF!</v>
      </c>
      <c r="K11" s="2336"/>
      <c r="L11" s="2337">
        <f>Data!$M$10</f>
        <v>8.0000000000000002E-3</v>
      </c>
      <c r="M11" s="2333"/>
      <c r="N11" s="2332"/>
      <c r="O11" s="2333"/>
      <c r="P11" s="2338" t="e">
        <f>input!#REF!</f>
        <v>#REF!</v>
      </c>
      <c r="Q11" s="2333"/>
      <c r="R11" s="2921" t="e">
        <f t="shared" si="0"/>
        <v>#REF!</v>
      </c>
      <c r="S11" s="2922"/>
      <c r="T11" s="2324"/>
      <c r="U11" s="2324"/>
      <c r="V11" s="2324"/>
      <c r="W11" s="2324"/>
      <c r="X11" s="2324"/>
      <c r="Y11" s="2324"/>
      <c r="Z11" s="2324"/>
      <c r="AA11" s="2324"/>
      <c r="AB11" s="2324"/>
      <c r="AC11" s="2324"/>
      <c r="AD11" s="2324"/>
      <c r="AE11" s="2324"/>
      <c r="AF11" s="2324"/>
      <c r="AG11" s="2324"/>
      <c r="AH11" s="2324"/>
      <c r="AI11" s="2324"/>
      <c r="AJ11" s="2324"/>
      <c r="AK11" s="2324"/>
      <c r="AL11" s="2324"/>
      <c r="AM11" s="2324"/>
      <c r="AN11" s="2324"/>
      <c r="AO11" s="2324"/>
      <c r="AP11" s="2324"/>
      <c r="AQ11" s="2324"/>
      <c r="AR11" s="2324"/>
      <c r="AS11" s="2324"/>
      <c r="AT11" s="2324"/>
      <c r="AU11" s="2324"/>
      <c r="AV11" s="2324"/>
      <c r="AW11" s="2324"/>
      <c r="AX11" s="2324"/>
      <c r="AY11" s="2324"/>
      <c r="AZ11" s="2324"/>
      <c r="BA11" s="2324"/>
      <c r="BB11" s="2324"/>
      <c r="BC11" s="2324"/>
      <c r="BD11" s="2324"/>
      <c r="BE11" s="2324"/>
      <c r="BF11" s="2324"/>
      <c r="BG11" s="2324"/>
      <c r="BH11" s="2324"/>
      <c r="BI11" s="2324"/>
      <c r="BJ11" s="2324"/>
      <c r="BK11" s="2324"/>
      <c r="BL11" s="2324"/>
      <c r="BM11" s="2324"/>
      <c r="BN11" s="2324"/>
      <c r="BO11" s="2324"/>
      <c r="BP11" s="2324"/>
      <c r="BQ11" s="2324"/>
      <c r="BR11" s="2324"/>
      <c r="BS11" s="2324"/>
      <c r="BT11" s="2324"/>
      <c r="BU11" s="2324"/>
      <c r="BV11" s="2324"/>
      <c r="BW11" s="2324"/>
      <c r="BX11" s="2324"/>
      <c r="BY11" s="2324"/>
      <c r="BZ11" s="2324"/>
      <c r="CA11" s="2324"/>
      <c r="CB11" s="2324"/>
      <c r="CC11" s="2324"/>
      <c r="CD11" s="2324"/>
      <c r="CE11" s="2324"/>
      <c r="CF11" s="2324"/>
      <c r="CG11" s="2324"/>
      <c r="CH11" s="2324"/>
      <c r="CI11" s="2324"/>
      <c r="CJ11" s="2324"/>
      <c r="CK11" s="2324"/>
      <c r="CL11" s="2324"/>
      <c r="CM11" s="2324"/>
      <c r="CN11" s="2324"/>
      <c r="CO11" s="2324"/>
      <c r="CP11" s="2324"/>
      <c r="CQ11" s="2324"/>
      <c r="CR11" s="2324"/>
      <c r="CS11" s="2324"/>
      <c r="CT11" s="2324"/>
      <c r="CU11" s="2324"/>
      <c r="CV11" s="2324"/>
    </row>
    <row r="12" spans="1:100" outlineLevel="1">
      <c r="A12" s="2328" t="s">
        <v>2952</v>
      </c>
      <c r="B12" s="2329" t="s">
        <v>2948</v>
      </c>
      <c r="C12" s="2330"/>
      <c r="D12" s="2330"/>
      <c r="E12" s="2331"/>
      <c r="F12" s="2923">
        <f>Data!D219+Data!F219</f>
        <v>600</v>
      </c>
      <c r="G12" s="2333"/>
      <c r="H12" s="2334">
        <f>Data!$E$170</f>
        <v>0</v>
      </c>
      <c r="I12" s="2333"/>
      <c r="J12" s="2335" t="e">
        <f>Data!$M$7/$P12/$F12</f>
        <v>#REF!</v>
      </c>
      <c r="K12" s="2336"/>
      <c r="L12" s="2337">
        <f>Data!$M$10</f>
        <v>8.0000000000000002E-3</v>
      </c>
      <c r="M12" s="2333"/>
      <c r="N12" s="2332"/>
      <c r="O12" s="2333"/>
      <c r="P12" s="2338" t="e">
        <f>input!#REF!</f>
        <v>#REF!</v>
      </c>
      <c r="Q12" s="2333"/>
      <c r="R12" s="2921" t="e">
        <f t="shared" si="0"/>
        <v>#REF!</v>
      </c>
      <c r="S12" s="2922"/>
      <c r="T12" s="2324"/>
      <c r="U12" s="2324"/>
      <c r="V12" s="2324"/>
      <c r="W12" s="2324"/>
      <c r="X12" s="2324"/>
      <c r="Y12" s="2324"/>
      <c r="Z12" s="2324"/>
      <c r="AA12" s="2324"/>
      <c r="AB12" s="2324"/>
      <c r="AC12" s="2324"/>
      <c r="AD12" s="2324"/>
      <c r="AE12" s="2324"/>
      <c r="AF12" s="2324"/>
      <c r="AG12" s="2324"/>
      <c r="AH12" s="2324"/>
      <c r="AI12" s="2324"/>
      <c r="AJ12" s="2324"/>
      <c r="AK12" s="2324"/>
      <c r="AL12" s="2324"/>
      <c r="AM12" s="2324"/>
      <c r="AN12" s="2324"/>
      <c r="AO12" s="2324"/>
      <c r="AP12" s="2324"/>
      <c r="AQ12" s="2324"/>
      <c r="AR12" s="2324"/>
      <c r="AS12" s="2324"/>
      <c r="AT12" s="2324"/>
      <c r="AU12" s="2324"/>
      <c r="AV12" s="2324"/>
      <c r="AW12" s="2324"/>
      <c r="AX12" s="2324"/>
      <c r="AY12" s="2324"/>
      <c r="AZ12" s="2324"/>
      <c r="BA12" s="2324"/>
      <c r="BB12" s="2324"/>
      <c r="BC12" s="2324"/>
      <c r="BD12" s="2324"/>
      <c r="BE12" s="2324"/>
      <c r="BF12" s="2324"/>
      <c r="BG12" s="2324"/>
      <c r="BH12" s="2324"/>
      <c r="BI12" s="2324"/>
      <c r="BJ12" s="2324"/>
      <c r="BK12" s="2324"/>
      <c r="BL12" s="2324"/>
      <c r="BM12" s="2324"/>
      <c r="BN12" s="2324"/>
      <c r="BO12" s="2324"/>
      <c r="BP12" s="2324"/>
      <c r="BQ12" s="2324"/>
      <c r="BR12" s="2324"/>
      <c r="BS12" s="2324"/>
      <c r="BT12" s="2324"/>
      <c r="BU12" s="2324"/>
      <c r="BV12" s="2324"/>
      <c r="BW12" s="2324"/>
      <c r="BX12" s="2324"/>
      <c r="BY12" s="2324"/>
      <c r="BZ12" s="2324"/>
      <c r="CA12" s="2324"/>
      <c r="CB12" s="2324"/>
      <c r="CC12" s="2324"/>
      <c r="CD12" s="2324"/>
      <c r="CE12" s="2324"/>
      <c r="CF12" s="2324"/>
      <c r="CG12" s="2324"/>
      <c r="CH12" s="2324"/>
      <c r="CI12" s="2324"/>
      <c r="CJ12" s="2324"/>
      <c r="CK12" s="2324"/>
      <c r="CL12" s="2324"/>
      <c r="CM12" s="2324"/>
      <c r="CN12" s="2324"/>
      <c r="CO12" s="2324"/>
      <c r="CP12" s="2324"/>
      <c r="CQ12" s="2324"/>
      <c r="CR12" s="2324"/>
      <c r="CS12" s="2324"/>
      <c r="CT12" s="2324"/>
      <c r="CU12" s="2324"/>
      <c r="CV12" s="2324"/>
    </row>
    <row r="13" spans="1:100" outlineLevel="1">
      <c r="A13" s="2328" t="s">
        <v>2953</v>
      </c>
      <c r="B13" s="2329" t="s">
        <v>2172</v>
      </c>
      <c r="C13" s="2330"/>
      <c r="D13" s="2330"/>
      <c r="E13" s="2331"/>
      <c r="F13" s="2923">
        <f>Data!D217+Data!F217</f>
        <v>600</v>
      </c>
      <c r="G13" s="2333"/>
      <c r="H13" s="2334">
        <f>Data!$E$170</f>
        <v>0</v>
      </c>
      <c r="I13" s="2333"/>
      <c r="J13" s="2335" t="e">
        <f>Data!$M$7/$P13/$F13</f>
        <v>#REF!</v>
      </c>
      <c r="K13" s="2336"/>
      <c r="L13" s="2337">
        <f>Data!$M$10</f>
        <v>8.0000000000000002E-3</v>
      </c>
      <c r="M13" s="2333"/>
      <c r="N13" s="2332"/>
      <c r="O13" s="2333"/>
      <c r="P13" s="2338" t="e">
        <f>input!#REF!</f>
        <v>#REF!</v>
      </c>
      <c r="Q13" s="2333"/>
      <c r="R13" s="2921" t="e">
        <f t="shared" si="0"/>
        <v>#REF!</v>
      </c>
      <c r="S13" s="2922"/>
      <c r="T13" s="2324"/>
      <c r="U13" s="2324"/>
      <c r="V13" s="2324"/>
      <c r="W13" s="2324"/>
      <c r="X13" s="2324"/>
      <c r="Y13" s="2324"/>
      <c r="Z13" s="2324"/>
      <c r="AA13" s="2324"/>
      <c r="AB13" s="2324"/>
      <c r="AC13" s="2324"/>
      <c r="AD13" s="2324"/>
      <c r="AE13" s="2324"/>
      <c r="AF13" s="2324"/>
      <c r="AG13" s="2324"/>
      <c r="AH13" s="2324"/>
      <c r="AI13" s="2324"/>
      <c r="AJ13" s="2324"/>
      <c r="AK13" s="2324"/>
      <c r="AL13" s="2324"/>
      <c r="AM13" s="2324"/>
      <c r="AN13" s="2324"/>
      <c r="AO13" s="2324"/>
      <c r="AP13" s="2324"/>
      <c r="AQ13" s="2324"/>
      <c r="AR13" s="2324"/>
      <c r="AS13" s="2324"/>
      <c r="AT13" s="2324"/>
      <c r="AU13" s="2324"/>
      <c r="AV13" s="2324"/>
      <c r="AW13" s="2324"/>
      <c r="AX13" s="2324"/>
      <c r="AY13" s="2324"/>
      <c r="AZ13" s="2324"/>
      <c r="BA13" s="2324"/>
      <c r="BB13" s="2324"/>
      <c r="BC13" s="2324"/>
      <c r="BD13" s="2324"/>
      <c r="BE13" s="2324"/>
      <c r="BF13" s="2324"/>
      <c r="BG13" s="2324"/>
      <c r="BH13" s="2324"/>
      <c r="BI13" s="2324"/>
      <c r="BJ13" s="2324"/>
      <c r="BK13" s="2324"/>
      <c r="BL13" s="2324"/>
      <c r="BM13" s="2324"/>
      <c r="BN13" s="2324"/>
      <c r="BO13" s="2324"/>
      <c r="BP13" s="2324"/>
      <c r="BQ13" s="2324"/>
      <c r="BR13" s="2324"/>
      <c r="BS13" s="2324"/>
      <c r="BT13" s="2324"/>
      <c r="BU13" s="2324"/>
      <c r="BV13" s="2324"/>
      <c r="BW13" s="2324"/>
      <c r="BX13" s="2324"/>
      <c r="BY13" s="2324"/>
      <c r="BZ13" s="2324"/>
      <c r="CA13" s="2324"/>
      <c r="CB13" s="2324"/>
      <c r="CC13" s="2324"/>
      <c r="CD13" s="2324"/>
      <c r="CE13" s="2324"/>
      <c r="CF13" s="2324"/>
      <c r="CG13" s="2324"/>
      <c r="CH13" s="2324"/>
      <c r="CI13" s="2324"/>
      <c r="CJ13" s="2324"/>
      <c r="CK13" s="2324"/>
      <c r="CL13" s="2324"/>
      <c r="CM13" s="2324"/>
      <c r="CN13" s="2324"/>
      <c r="CO13" s="2324"/>
      <c r="CP13" s="2324"/>
      <c r="CQ13" s="2324"/>
      <c r="CR13" s="2324"/>
      <c r="CS13" s="2324"/>
      <c r="CT13" s="2324"/>
      <c r="CU13" s="2324"/>
      <c r="CV13" s="2324"/>
    </row>
    <row r="14" spans="1:100" outlineLevel="1">
      <c r="A14" s="2328" t="s">
        <v>2954</v>
      </c>
      <c r="B14" s="2329" t="s">
        <v>2949</v>
      </c>
      <c r="C14" s="2330"/>
      <c r="D14" s="2330"/>
      <c r="E14" s="2331"/>
      <c r="F14" s="2923">
        <f>Data!D215+Data!F215</f>
        <v>615</v>
      </c>
      <c r="G14" s="2333"/>
      <c r="H14" s="2334">
        <f>Data!$E$170</f>
        <v>0</v>
      </c>
      <c r="I14" s="2333"/>
      <c r="J14" s="2335" t="e">
        <f>Data!$M$7/$P14/$F14</f>
        <v>#REF!</v>
      </c>
      <c r="K14" s="2336"/>
      <c r="L14" s="2337">
        <f>Data!$M$10</f>
        <v>8.0000000000000002E-3</v>
      </c>
      <c r="M14" s="2333"/>
      <c r="N14" s="2332"/>
      <c r="O14" s="2333"/>
      <c r="P14" s="2338" t="e">
        <f>input!#REF!</f>
        <v>#REF!</v>
      </c>
      <c r="Q14" s="2333"/>
      <c r="R14" s="2921" t="e">
        <f t="shared" si="0"/>
        <v>#REF!</v>
      </c>
      <c r="S14" s="2922"/>
      <c r="T14" s="2324"/>
      <c r="U14" s="2324"/>
      <c r="V14" s="2324"/>
      <c r="W14" s="2324"/>
      <c r="X14" s="2324"/>
      <c r="Y14" s="2324"/>
      <c r="Z14" s="2324"/>
      <c r="AA14" s="2324"/>
      <c r="AB14" s="2324"/>
      <c r="AC14" s="2324"/>
      <c r="AD14" s="2324"/>
      <c r="AE14" s="2324"/>
      <c r="AF14" s="2324"/>
      <c r="AG14" s="2324"/>
      <c r="AH14" s="2324"/>
      <c r="AI14" s="2324"/>
      <c r="AJ14" s="2324"/>
      <c r="AK14" s="2324"/>
      <c r="AL14" s="2324"/>
      <c r="AM14" s="2324"/>
      <c r="AN14" s="2324"/>
      <c r="AO14" s="2324"/>
      <c r="AP14" s="2324"/>
      <c r="AQ14" s="2324"/>
      <c r="AR14" s="2324"/>
      <c r="AS14" s="2324"/>
      <c r="AT14" s="2324"/>
      <c r="AU14" s="2324"/>
      <c r="AV14" s="2324"/>
      <c r="AW14" s="2324"/>
      <c r="AX14" s="2324"/>
      <c r="AY14" s="2324"/>
      <c r="AZ14" s="2324"/>
      <c r="BA14" s="2324"/>
      <c r="BB14" s="2324"/>
      <c r="BC14" s="2324"/>
      <c r="BD14" s="2324"/>
      <c r="BE14" s="2324"/>
      <c r="BF14" s="2324"/>
      <c r="BG14" s="2324"/>
      <c r="BH14" s="2324"/>
      <c r="BI14" s="2324"/>
      <c r="BJ14" s="2324"/>
      <c r="BK14" s="2324"/>
      <c r="BL14" s="2324"/>
      <c r="BM14" s="2324"/>
      <c r="BN14" s="2324"/>
      <c r="BO14" s="2324"/>
      <c r="BP14" s="2324"/>
      <c r="BQ14" s="2324"/>
      <c r="BR14" s="2324"/>
      <c r="BS14" s="2324"/>
      <c r="BT14" s="2324"/>
      <c r="BU14" s="2324"/>
      <c r="BV14" s="2324"/>
      <c r="BW14" s="2324"/>
      <c r="BX14" s="2324"/>
      <c r="BY14" s="2324"/>
      <c r="BZ14" s="2324"/>
      <c r="CA14" s="2324"/>
      <c r="CB14" s="2324"/>
      <c r="CC14" s="2324"/>
      <c r="CD14" s="2324"/>
      <c r="CE14" s="2324"/>
      <c r="CF14" s="2324"/>
      <c r="CG14" s="2324"/>
      <c r="CH14" s="2324"/>
      <c r="CI14" s="2324"/>
      <c r="CJ14" s="2324"/>
      <c r="CK14" s="2324"/>
      <c r="CL14" s="2324"/>
      <c r="CM14" s="2324"/>
      <c r="CN14" s="2324"/>
      <c r="CO14" s="2324"/>
      <c r="CP14" s="2324"/>
      <c r="CQ14" s="2324"/>
      <c r="CR14" s="2324"/>
      <c r="CS14" s="2324"/>
      <c r="CT14" s="2324"/>
      <c r="CU14" s="2324"/>
      <c r="CV14" s="2324"/>
    </row>
    <row r="15" spans="1:100" outlineLevel="1">
      <c r="A15" s="2328" t="s">
        <v>2956</v>
      </c>
      <c r="B15" s="2329" t="s">
        <v>2173</v>
      </c>
      <c r="C15" s="2330"/>
      <c r="D15" s="2330"/>
      <c r="E15" s="2331"/>
      <c r="F15" s="2923">
        <f>Data!D214+Data!F214</f>
        <v>630</v>
      </c>
      <c r="G15" s="2333"/>
      <c r="H15" s="2334">
        <f>Data!$E$170</f>
        <v>0</v>
      </c>
      <c r="I15" s="2333"/>
      <c r="J15" s="2335" t="e">
        <f>Data!$M$7/$P15/$F15</f>
        <v>#REF!</v>
      </c>
      <c r="K15" s="2336"/>
      <c r="L15" s="2337">
        <f>Data!$M$10</f>
        <v>8.0000000000000002E-3</v>
      </c>
      <c r="M15" s="2333"/>
      <c r="N15" s="2332"/>
      <c r="O15" s="2333"/>
      <c r="P15" s="2338" t="e">
        <f>input!#REF!</f>
        <v>#REF!</v>
      </c>
      <c r="Q15" s="2333"/>
      <c r="R15" s="2921" t="e">
        <f t="shared" si="0"/>
        <v>#REF!</v>
      </c>
      <c r="S15" s="2922"/>
      <c r="T15" s="2324"/>
      <c r="U15" s="2324"/>
      <c r="V15" s="2324"/>
      <c r="W15" s="2324"/>
      <c r="X15" s="2324"/>
      <c r="Y15" s="2324"/>
      <c r="Z15" s="2324"/>
      <c r="AA15" s="2324"/>
      <c r="AB15" s="2324"/>
      <c r="AC15" s="2324"/>
      <c r="AD15" s="2324"/>
      <c r="AE15" s="2324"/>
      <c r="AF15" s="2324"/>
      <c r="AG15" s="2324"/>
      <c r="AH15" s="2324"/>
      <c r="AI15" s="2324"/>
      <c r="AJ15" s="2324"/>
      <c r="AK15" s="2324"/>
      <c r="AL15" s="2324"/>
      <c r="AM15" s="2324"/>
      <c r="AN15" s="2324"/>
      <c r="AO15" s="2324"/>
      <c r="AP15" s="2324"/>
      <c r="AQ15" s="2324"/>
      <c r="AR15" s="2324"/>
      <c r="AS15" s="2324"/>
      <c r="AT15" s="2324"/>
      <c r="AU15" s="2324"/>
      <c r="AV15" s="2324"/>
      <c r="AW15" s="2324"/>
      <c r="AX15" s="2324"/>
      <c r="AY15" s="2324"/>
      <c r="AZ15" s="2324"/>
      <c r="BA15" s="2324"/>
      <c r="BB15" s="2324"/>
      <c r="BC15" s="2324"/>
      <c r="BD15" s="2324"/>
      <c r="BE15" s="2324"/>
      <c r="BF15" s="2324"/>
      <c r="BG15" s="2324"/>
      <c r="BH15" s="2324"/>
      <c r="BI15" s="2324"/>
      <c r="BJ15" s="2324"/>
      <c r="BK15" s="2324"/>
      <c r="BL15" s="2324"/>
      <c r="BM15" s="2324"/>
      <c r="BN15" s="2324"/>
      <c r="BO15" s="2324"/>
      <c r="BP15" s="2324"/>
      <c r="BQ15" s="2324"/>
      <c r="BR15" s="2324"/>
      <c r="BS15" s="2324"/>
      <c r="BT15" s="2324"/>
      <c r="BU15" s="2324"/>
      <c r="BV15" s="2324"/>
      <c r="BW15" s="2324"/>
      <c r="BX15" s="2324"/>
      <c r="BY15" s="2324"/>
      <c r="BZ15" s="2324"/>
      <c r="CA15" s="2324"/>
      <c r="CB15" s="2324"/>
      <c r="CC15" s="2324"/>
      <c r="CD15" s="2324"/>
      <c r="CE15" s="2324"/>
      <c r="CF15" s="2324"/>
      <c r="CG15" s="2324"/>
      <c r="CH15" s="2324"/>
      <c r="CI15" s="2324"/>
      <c r="CJ15" s="2324"/>
      <c r="CK15" s="2324"/>
      <c r="CL15" s="2324"/>
      <c r="CM15" s="2324"/>
      <c r="CN15" s="2324"/>
      <c r="CO15" s="2324"/>
      <c r="CP15" s="2324"/>
      <c r="CQ15" s="2324"/>
      <c r="CR15" s="2324"/>
      <c r="CS15" s="2324"/>
      <c r="CT15" s="2324"/>
      <c r="CU15" s="2324"/>
      <c r="CV15" s="2324"/>
    </row>
    <row r="16" spans="1:100" outlineLevel="1">
      <c r="A16" s="2328" t="s">
        <v>2955</v>
      </c>
      <c r="B16" s="2329" t="s">
        <v>2176</v>
      </c>
      <c r="C16" s="2330"/>
      <c r="D16" s="2330"/>
      <c r="E16" s="2331"/>
      <c r="F16" s="2923">
        <f>Data!D212+Data!F212</f>
        <v>645</v>
      </c>
      <c r="G16" s="2333"/>
      <c r="H16" s="2334">
        <f>Data!$E$170</f>
        <v>0</v>
      </c>
      <c r="I16" s="2333"/>
      <c r="J16" s="2335" t="e">
        <f>Data!$M$7/$P16/$F16</f>
        <v>#REF!</v>
      </c>
      <c r="K16" s="2336"/>
      <c r="L16" s="2337">
        <f>Data!$M$10</f>
        <v>8.0000000000000002E-3</v>
      </c>
      <c r="M16" s="2333"/>
      <c r="N16" s="2332"/>
      <c r="O16" s="2333"/>
      <c r="P16" s="2338" t="e">
        <f>input!#REF!</f>
        <v>#REF!</v>
      </c>
      <c r="Q16" s="2333"/>
      <c r="R16" s="2921" t="e">
        <f t="shared" si="0"/>
        <v>#REF!</v>
      </c>
      <c r="S16" s="2922"/>
      <c r="T16" s="2324"/>
      <c r="U16" s="2324"/>
      <c r="V16" s="2324"/>
      <c r="W16" s="2324"/>
      <c r="X16" s="2324"/>
      <c r="Y16" s="2324"/>
      <c r="Z16" s="2324"/>
      <c r="AA16" s="2324"/>
      <c r="AB16" s="2324"/>
      <c r="AC16" s="2324"/>
      <c r="AD16" s="2324"/>
      <c r="AE16" s="2324"/>
      <c r="AF16" s="2324"/>
      <c r="AG16" s="2324"/>
      <c r="AH16" s="2324"/>
      <c r="AI16" s="2324"/>
      <c r="AJ16" s="2324"/>
      <c r="AK16" s="2324"/>
      <c r="AL16" s="2324"/>
      <c r="AM16" s="2324"/>
      <c r="AN16" s="2324"/>
      <c r="AO16" s="2324"/>
      <c r="AP16" s="2324"/>
      <c r="AQ16" s="2324"/>
      <c r="AR16" s="2324"/>
      <c r="AS16" s="2324"/>
      <c r="AT16" s="2324"/>
      <c r="AU16" s="2324"/>
      <c r="AV16" s="2324"/>
      <c r="AW16" s="2324"/>
      <c r="AX16" s="2324"/>
      <c r="AY16" s="2324"/>
      <c r="AZ16" s="2324"/>
      <c r="BA16" s="2324"/>
      <c r="BB16" s="2324"/>
      <c r="BC16" s="2324"/>
      <c r="BD16" s="2324"/>
      <c r="BE16" s="2324"/>
      <c r="BF16" s="2324"/>
      <c r="BG16" s="2324"/>
      <c r="BH16" s="2324"/>
      <c r="BI16" s="2324"/>
      <c r="BJ16" s="2324"/>
      <c r="BK16" s="2324"/>
      <c r="BL16" s="2324"/>
      <c r="BM16" s="2324"/>
      <c r="BN16" s="2324"/>
      <c r="BO16" s="2324"/>
      <c r="BP16" s="2324"/>
      <c r="BQ16" s="2324"/>
      <c r="BR16" s="2324"/>
      <c r="BS16" s="2324"/>
      <c r="BT16" s="2324"/>
      <c r="BU16" s="2324"/>
      <c r="BV16" s="2324"/>
      <c r="BW16" s="2324"/>
      <c r="BX16" s="2324"/>
      <c r="BY16" s="2324"/>
      <c r="BZ16" s="2324"/>
      <c r="CA16" s="2324"/>
      <c r="CB16" s="2324"/>
      <c r="CC16" s="2324"/>
      <c r="CD16" s="2324"/>
      <c r="CE16" s="2324"/>
      <c r="CF16" s="2324"/>
      <c r="CG16" s="2324"/>
      <c r="CH16" s="2324"/>
      <c r="CI16" s="2324"/>
      <c r="CJ16" s="2324"/>
      <c r="CK16" s="2324"/>
      <c r="CL16" s="2324"/>
      <c r="CM16" s="2324"/>
      <c r="CN16" s="2324"/>
      <c r="CO16" s="2324"/>
      <c r="CP16" s="2324"/>
      <c r="CQ16" s="2324"/>
      <c r="CR16" s="2324"/>
      <c r="CS16" s="2324"/>
      <c r="CT16" s="2324"/>
      <c r="CU16" s="2324"/>
      <c r="CV16" s="2324"/>
    </row>
    <row r="17" spans="1:100" ht="18.75" customHeight="1" thickBot="1">
      <c r="A17" s="2340"/>
      <c r="B17" s="2341" t="s">
        <v>2179</v>
      </c>
      <c r="C17" s="2319"/>
      <c r="D17" s="2318"/>
      <c r="E17" s="2319"/>
      <c r="F17" s="2318"/>
      <c r="G17" s="2319"/>
      <c r="H17" s="2312"/>
      <c r="I17" s="2312"/>
      <c r="J17" s="2312"/>
      <c r="K17" s="2324"/>
      <c r="L17" s="2324"/>
      <c r="M17" s="2319"/>
      <c r="N17" s="2318"/>
      <c r="O17" s="2319"/>
      <c r="P17" s="2318"/>
      <c r="Q17" s="2319"/>
      <c r="R17" s="2312"/>
      <c r="S17" s="2312"/>
      <c r="T17" s="2312"/>
      <c r="U17" s="2324"/>
      <c r="V17" s="2324"/>
      <c r="W17" s="2324"/>
      <c r="X17" s="2324"/>
      <c r="Y17" s="2324"/>
      <c r="Z17" s="2324"/>
      <c r="AA17" s="2324"/>
      <c r="AB17" s="2324"/>
      <c r="AC17" s="2324"/>
      <c r="AD17" s="2324"/>
      <c r="AE17" s="2324"/>
      <c r="AF17" s="2324"/>
      <c r="AG17" s="2324"/>
      <c r="AH17" s="2324"/>
      <c r="AI17" s="2324"/>
      <c r="AJ17" s="2324"/>
      <c r="AK17" s="2324"/>
      <c r="AL17" s="2324"/>
      <c r="AM17" s="2324"/>
      <c r="AN17" s="2324"/>
      <c r="AO17" s="2324"/>
      <c r="AP17" s="2324"/>
      <c r="AQ17" s="2324"/>
      <c r="AR17" s="2324"/>
      <c r="AS17" s="2324"/>
      <c r="AT17" s="2324"/>
      <c r="AU17" s="2324"/>
      <c r="AV17" s="2324"/>
      <c r="AW17" s="2324"/>
      <c r="AX17" s="2324"/>
      <c r="AY17" s="2324"/>
      <c r="AZ17" s="2324"/>
      <c r="BA17" s="2324"/>
      <c r="BB17" s="2324"/>
      <c r="BC17" s="2324"/>
      <c r="BD17" s="2324"/>
      <c r="BE17" s="2324"/>
      <c r="BF17" s="2324"/>
      <c r="BG17" s="2324"/>
      <c r="BH17" s="2324"/>
      <c r="BI17" s="2324"/>
      <c r="BJ17" s="2324"/>
      <c r="BK17" s="2324"/>
      <c r="BL17" s="2324"/>
      <c r="BM17" s="2324"/>
      <c r="BN17" s="2324"/>
      <c r="BO17" s="2324"/>
      <c r="BP17" s="2324"/>
      <c r="BQ17" s="2324"/>
      <c r="BR17" s="2324"/>
      <c r="BS17" s="2324"/>
      <c r="BT17" s="2324"/>
      <c r="BU17" s="2324"/>
      <c r="BV17" s="2324"/>
      <c r="BW17" s="2324"/>
      <c r="BX17" s="2324"/>
      <c r="BY17" s="2324"/>
      <c r="BZ17" s="2324"/>
      <c r="CA17" s="2324"/>
      <c r="CB17" s="2324"/>
      <c r="CC17" s="2324"/>
      <c r="CD17" s="2324"/>
      <c r="CE17" s="2324"/>
      <c r="CF17" s="2324"/>
      <c r="CG17" s="2324"/>
      <c r="CH17" s="2324"/>
      <c r="CI17" s="2324"/>
      <c r="CJ17" s="2324"/>
      <c r="CK17" s="2324"/>
      <c r="CL17" s="2324"/>
      <c r="CM17" s="2324"/>
      <c r="CN17" s="2324"/>
      <c r="CO17" s="2324"/>
      <c r="CP17" s="2324"/>
      <c r="CQ17" s="2324"/>
      <c r="CR17" s="2324"/>
      <c r="CS17" s="2324"/>
      <c r="CT17" s="2324"/>
      <c r="CU17" s="2324"/>
      <c r="CV17" s="2324"/>
    </row>
    <row r="18" spans="1:100" ht="18.75" customHeight="1">
      <c r="A18" s="2342"/>
      <c r="B18" s="2324"/>
      <c r="C18" s="2343" t="s">
        <v>2180</v>
      </c>
      <c r="D18" s="2344"/>
      <c r="E18" s="2344"/>
      <c r="F18" s="2345" t="s">
        <v>2181</v>
      </c>
      <c r="I18" s="2343" t="s">
        <v>2182</v>
      </c>
      <c r="J18" s="2344"/>
      <c r="K18" s="2344"/>
      <c r="L18" s="2345" t="s">
        <v>2181</v>
      </c>
    </row>
    <row r="19" spans="1:100" ht="18.75" customHeight="1">
      <c r="A19" s="2328"/>
      <c r="B19" s="2322"/>
      <c r="C19" s="2346" t="s">
        <v>1344</v>
      </c>
      <c r="D19" s="2347"/>
      <c r="E19" s="2347"/>
      <c r="F19" s="2348">
        <f>'Cost EST. GM target'!$J$14</f>
        <v>5000</v>
      </c>
      <c r="I19" s="2346" t="s">
        <v>1344</v>
      </c>
      <c r="J19" s="2347"/>
      <c r="K19" s="2347"/>
      <c r="L19" s="2348">
        <f>'Cost EST. GM target'!$J$14</f>
        <v>5000</v>
      </c>
    </row>
    <row r="20" spans="1:100" ht="18.75" customHeight="1">
      <c r="A20" s="2328"/>
      <c r="B20" s="2322"/>
      <c r="C20" s="2349" t="s">
        <v>2183</v>
      </c>
      <c r="D20" s="2350"/>
      <c r="E20" s="2350"/>
      <c r="F20" s="2351">
        <f ca="1">F21*F22/10^6</f>
        <v>6.9160000000000003E-3</v>
      </c>
      <c r="I20" s="2349" t="s">
        <v>2183</v>
      </c>
      <c r="J20" s="2350"/>
      <c r="K20" s="2350"/>
      <c r="L20" s="2351">
        <f ca="1">L21*L22/10^6</f>
        <v>6.9160000000000003E-3</v>
      </c>
    </row>
    <row r="21" spans="1:100" ht="18.75" customHeight="1">
      <c r="A21" s="2328"/>
      <c r="B21" s="2322"/>
      <c r="C21" s="2352"/>
      <c r="D21" s="2353" t="s">
        <v>2184</v>
      </c>
      <c r="E21" s="2354"/>
      <c r="F21" s="2355">
        <f ca="1">input!$D$11</f>
        <v>133</v>
      </c>
      <c r="I21" s="2352"/>
      <c r="J21" s="2353" t="s">
        <v>2184</v>
      </c>
      <c r="K21" s="2354"/>
      <c r="L21" s="2355">
        <f ca="1">input!$D$11</f>
        <v>133</v>
      </c>
    </row>
    <row r="22" spans="1:100" ht="18.75" customHeight="1">
      <c r="A22" s="2328"/>
      <c r="B22" s="2322"/>
      <c r="C22" s="2356"/>
      <c r="D22" s="2357" t="s">
        <v>2185</v>
      </c>
      <c r="E22" s="2358"/>
      <c r="F22" s="2359">
        <f ca="1">input!$E$11</f>
        <v>52</v>
      </c>
      <c r="I22" s="2356"/>
      <c r="J22" s="2357" t="s">
        <v>2185</v>
      </c>
      <c r="K22" s="2358"/>
      <c r="L22" s="2359">
        <f ca="1">input!$E$11</f>
        <v>52</v>
      </c>
    </row>
    <row r="23" spans="1:100" ht="18.75" customHeight="1">
      <c r="A23" s="2328"/>
      <c r="B23" s="2322"/>
      <c r="C23" s="4307" t="s">
        <v>2186</v>
      </c>
      <c r="D23" s="4308"/>
      <c r="E23" s="4308"/>
      <c r="F23" s="2360" t="s">
        <v>2187</v>
      </c>
      <c r="I23" s="4307" t="s">
        <v>2186</v>
      </c>
      <c r="J23" s="4308"/>
      <c r="K23" s="4308"/>
      <c r="L23" s="2360" t="s">
        <v>2187</v>
      </c>
    </row>
    <row r="24" spans="1:100" ht="18.75" customHeight="1">
      <c r="A24" s="2328"/>
      <c r="B24" s="2322"/>
      <c r="C24" s="4309" t="s">
        <v>2188</v>
      </c>
      <c r="D24" s="4310"/>
      <c r="E24" s="4310"/>
      <c r="F24" s="2361">
        <f ca="1">SUM(F25,F33,F38,F43,F48,F52,F53,F54)</f>
        <v>3964.5699495931244</v>
      </c>
      <c r="I24" s="4309" t="s">
        <v>2188</v>
      </c>
      <c r="J24" s="4310"/>
      <c r="K24" s="4310"/>
      <c r="L24" s="2361">
        <f ca="1">SUM(L25,L33,L38,L43,L48,L52,L53,L54)</f>
        <v>3964.5699495931244</v>
      </c>
    </row>
    <row r="25" spans="1:100" ht="18.75" customHeight="1">
      <c r="A25" s="2328"/>
      <c r="B25" s="2322"/>
      <c r="C25" s="2362" t="s">
        <v>2189</v>
      </c>
      <c r="D25" s="2363"/>
      <c r="E25" s="2363"/>
      <c r="F25" s="2364">
        <f ca="1">IFERROR(((F28*F29)*F30/10^9*F26)*(1+F32)/F31,0)</f>
        <v>0</v>
      </c>
      <c r="I25" s="2362" t="s">
        <v>2189</v>
      </c>
      <c r="J25" s="2363"/>
      <c r="K25" s="2363"/>
      <c r="L25" s="2364">
        <f ca="1">IFERROR(((L28*L29)*L30/10^9*L26)*(1+L32)/L31,0)</f>
        <v>0</v>
      </c>
    </row>
    <row r="26" spans="1:100" ht="18.75" customHeight="1">
      <c r="A26" s="2328" t="str">
        <f>input!$B$25&amp;input!$C$25</f>
        <v>300GB</v>
      </c>
      <c r="B26" s="2322"/>
      <c r="C26" s="2352"/>
      <c r="D26" s="4311" t="s">
        <v>2190</v>
      </c>
      <c r="E26" s="4308"/>
      <c r="F26" s="2365">
        <f>VLOOKUP($A$26,$A$7:$S$16,19,0)/1000</f>
        <v>0</v>
      </c>
      <c r="I26" s="2352"/>
      <c r="J26" s="4311" t="s">
        <v>2190</v>
      </c>
      <c r="K26" s="4308"/>
      <c r="L26" s="2365">
        <f>VLOOKUP($A$26,$A$7:$S$16,19,0)/1000</f>
        <v>0</v>
      </c>
    </row>
    <row r="27" spans="1:100" ht="18.75" customHeight="1">
      <c r="A27" s="2328"/>
      <c r="B27" s="2322"/>
      <c r="C27" s="2352"/>
      <c r="D27" s="2366" t="s">
        <v>2191</v>
      </c>
      <c r="E27" s="2367"/>
      <c r="F27" s="2368"/>
      <c r="I27" s="2352"/>
      <c r="J27" s="2366" t="s">
        <v>2191</v>
      </c>
      <c r="K27" s="2367"/>
      <c r="L27" s="2368"/>
    </row>
    <row r="28" spans="1:100" ht="18.75" customHeight="1">
      <c r="A28" s="2328"/>
      <c r="B28" s="2322"/>
      <c r="C28" s="2352"/>
      <c r="D28" s="2352"/>
      <c r="E28" s="2353" t="s">
        <v>2184</v>
      </c>
      <c r="F28" s="2369">
        <f>input!$L$25</f>
        <v>650</v>
      </c>
      <c r="G28" s="2370"/>
      <c r="I28" s="2352"/>
      <c r="J28" s="2352"/>
      <c r="K28" s="2353" t="s">
        <v>2184</v>
      </c>
      <c r="L28" s="2369">
        <f>input!$L$25</f>
        <v>650</v>
      </c>
      <c r="M28" s="2370"/>
    </row>
    <row r="29" spans="1:100" ht="18.75" customHeight="1">
      <c r="A29" s="2371"/>
      <c r="B29" s="2322"/>
      <c r="C29" s="2352"/>
      <c r="D29" s="2356"/>
      <c r="E29" s="2357" t="s">
        <v>2185</v>
      </c>
      <c r="F29" s="2372">
        <f>input!$M$25</f>
        <v>410</v>
      </c>
      <c r="I29" s="2352"/>
      <c r="J29" s="2356"/>
      <c r="K29" s="2357" t="s">
        <v>2185</v>
      </c>
      <c r="L29" s="2372">
        <f>input!$M$25</f>
        <v>410</v>
      </c>
    </row>
    <row r="30" spans="1:100" ht="18.75" customHeight="1">
      <c r="A30" s="2371"/>
      <c r="B30" s="2322"/>
      <c r="C30" s="2352"/>
      <c r="D30" s="4311" t="s">
        <v>2192</v>
      </c>
      <c r="E30" s="4308"/>
      <c r="F30" s="2368">
        <f>input!$B$25</f>
        <v>300</v>
      </c>
      <c r="I30" s="2352"/>
      <c r="J30" s="4311" t="s">
        <v>2192</v>
      </c>
      <c r="K30" s="4308"/>
      <c r="L30" s="2368">
        <f>input!$B$25</f>
        <v>300</v>
      </c>
    </row>
    <row r="31" spans="1:100" ht="18.75" customHeight="1">
      <c r="A31" s="2371"/>
      <c r="B31" s="2322"/>
      <c r="C31" s="2352"/>
      <c r="D31" s="4311" t="s">
        <v>2193</v>
      </c>
      <c r="E31" s="4308"/>
      <c r="F31" s="2373">
        <f>input!$F$25</f>
        <v>2</v>
      </c>
      <c r="I31" s="2352"/>
      <c r="J31" s="4311" t="s">
        <v>2193</v>
      </c>
      <c r="K31" s="4308"/>
      <c r="L31" s="2373">
        <f>input!$F$25</f>
        <v>2</v>
      </c>
    </row>
    <row r="32" spans="1:100" ht="18.75" customHeight="1">
      <c r="A32" s="2371"/>
      <c r="B32" s="2322"/>
      <c r="C32" s="2356"/>
      <c r="D32" s="4311" t="s">
        <v>2194</v>
      </c>
      <c r="E32" s="4308"/>
      <c r="F32" s="2385" t="e">
        <f ca="1">'Cost EST. GM target'!$J$17/((F28*F29)*F30/10^9*F26/F31)-1</f>
        <v>#DIV/0!</v>
      </c>
      <c r="I32" s="2356"/>
      <c r="J32" s="4311" t="s">
        <v>2194</v>
      </c>
      <c r="K32" s="4308"/>
      <c r="L32" s="2385" t="e">
        <f ca="1">'Cost EST. GM target'!$J$17/((L28*L29)*L30/10^9*L26/L31)-1</f>
        <v>#DIV/0!</v>
      </c>
    </row>
    <row r="33" spans="1:12" ht="18.75" customHeight="1">
      <c r="A33" s="2371"/>
      <c r="B33" s="2322"/>
      <c r="C33" s="2362" t="s">
        <v>2195</v>
      </c>
      <c r="D33" s="2363"/>
      <c r="E33" s="2363"/>
      <c r="F33" s="2364">
        <f ca="1">+F37*F34*$F$20/10^3</f>
        <v>55.967603999999994</v>
      </c>
      <c r="I33" s="2362" t="s">
        <v>2195</v>
      </c>
      <c r="J33" s="2363"/>
      <c r="K33" s="2363"/>
      <c r="L33" s="2374">
        <f ca="1">+L37*L34*$L$20/10^3</f>
        <v>80.96106295674852</v>
      </c>
    </row>
    <row r="34" spans="1:12" ht="18.75" customHeight="1">
      <c r="A34" s="2371"/>
      <c r="B34" s="2322"/>
      <c r="C34" s="2352"/>
      <c r="D34" s="4307" t="s">
        <v>2196</v>
      </c>
      <c r="E34" s="4308"/>
      <c r="F34" s="2375">
        <f ca="1">IFERROR(Ink!$L$7/(Ink!$I$7+Ink!$J$7),0)/(1-$F$55)+IFERROR(Ink!$L$7/(Ink!$I$7+Ink!$J$7),0)*$F$56</f>
        <v>699595.05</v>
      </c>
      <c r="I34" s="2352"/>
      <c r="J34" s="4307" t="s">
        <v>2196</v>
      </c>
      <c r="K34" s="4308"/>
      <c r="L34" s="2375">
        <f ca="1">IFERROR(Ink!$L$7/(Ink!$I$7+Ink!$J$7),0)/(1-$L$55)+IFERROR(Ink!$L$7/(Ink!$I$7+Ink!$J$7),0)*$L$56</f>
        <v>1012013.2869593565</v>
      </c>
    </row>
    <row r="35" spans="1:12" ht="18.75" customHeight="1">
      <c r="A35" s="2371"/>
      <c r="B35" s="2322"/>
      <c r="C35" s="2352"/>
      <c r="D35" s="4307" t="s">
        <v>2197</v>
      </c>
      <c r="E35" s="4308"/>
      <c r="F35" s="2373">
        <f ca="1">SUM(input!$B$27:$B$40)*1000/(10000*($F$28*$F$29/10^6))</f>
        <v>0.18761726078799248</v>
      </c>
      <c r="I35" s="2352"/>
      <c r="J35" s="4307" t="s">
        <v>2197</v>
      </c>
      <c r="K35" s="4308"/>
      <c r="L35" s="2373">
        <f ca="1">SUM(input!$B$27:$B$40)*1000/(10000*($L$28*$L$29/10^6))</f>
        <v>0.18761726078799248</v>
      </c>
    </row>
    <row r="36" spans="1:12" ht="18.75" customHeight="1">
      <c r="A36" s="2371"/>
      <c r="B36" s="2322"/>
      <c r="C36" s="2352"/>
      <c r="D36" s="4307" t="s">
        <v>2198</v>
      </c>
      <c r="E36" s="4308"/>
      <c r="F36" s="2386">
        <f ca="1">IFERROR(('Cost EST. GM target'!$J$19/(1-$F$55)+'Cost EST. GM target'!$J$19*$F$56)*10^3/($F$20*$F$34)-F35,0)</f>
        <v>11.379762727644623</v>
      </c>
      <c r="I36" s="2352"/>
      <c r="J36" s="4307" t="s">
        <v>2198</v>
      </c>
      <c r="K36" s="4308"/>
      <c r="L36" s="2386">
        <f ca="1">('Cost EST. GM target'!$J$19/(1-$L$55)+'Cost EST. GM target'!$J$19*$L$56)*10^3/($L$20*$L$34)-L35</f>
        <v>11.379762727644625</v>
      </c>
    </row>
    <row r="37" spans="1:12" ht="18.75" customHeight="1">
      <c r="A37" s="2371"/>
      <c r="B37" s="2322"/>
      <c r="C37" s="2356"/>
      <c r="D37" s="4307" t="s">
        <v>2199</v>
      </c>
      <c r="E37" s="4308"/>
      <c r="F37" s="2368">
        <f ca="1">F35+F36</f>
        <v>11.567379988432616</v>
      </c>
      <c r="I37" s="2356"/>
      <c r="J37" s="4307" t="s">
        <v>2199</v>
      </c>
      <c r="K37" s="4308"/>
      <c r="L37" s="2368">
        <f ca="1">L35+L36</f>
        <v>11.567379988432618</v>
      </c>
    </row>
    <row r="38" spans="1:12" ht="18.75" customHeight="1">
      <c r="A38" s="2371"/>
      <c r="B38" s="2322"/>
      <c r="C38" s="2362" t="s">
        <v>2200</v>
      </c>
      <c r="D38" s="2363"/>
      <c r="E38" s="2363"/>
      <c r="F38" s="2364">
        <f ca="1">+F42*F39*$F$20/10^3</f>
        <v>94.063199999999995</v>
      </c>
      <c r="I38" s="2362" t="s">
        <v>2200</v>
      </c>
      <c r="J38" s="2363"/>
      <c r="K38" s="2363"/>
      <c r="L38" s="2364">
        <f ca="1">+L42*L39*$F$20/10^3</f>
        <v>136.06901337268661</v>
      </c>
    </row>
    <row r="39" spans="1:12" ht="18.75" customHeight="1">
      <c r="A39" s="2371"/>
      <c r="B39" s="2322"/>
      <c r="C39" s="2352"/>
      <c r="D39" s="4307" t="s">
        <v>2201</v>
      </c>
      <c r="E39" s="4308"/>
      <c r="F39" s="2375">
        <f ca="1">IFERROR(Coating!$M$6/(Coating!$J$6+Coating!$K$6),0)/(1-$F$55)+IFERROR(Coating!$M$6/(Coating!$J$6+Coating!$K$6),0)*$F$56</f>
        <v>111980</v>
      </c>
      <c r="I39" s="2352"/>
      <c r="J39" s="4307" t="s">
        <v>2201</v>
      </c>
      <c r="K39" s="4308"/>
      <c r="L39" s="2375">
        <f ca="1">IFERROR(Coating!$M$6/(Coating!$J$6+Coating!$K$6),0)/(1-$L$55)+IFERROR(Coating!$M$6/(Coating!$J$6+Coating!$K$6),0)*$L$56</f>
        <v>161986.92068176976</v>
      </c>
    </row>
    <row r="40" spans="1:12" ht="18.75" customHeight="1">
      <c r="A40" s="2371"/>
      <c r="B40" s="2322"/>
      <c r="C40" s="2352"/>
      <c r="D40" s="4307" t="s">
        <v>2197</v>
      </c>
      <c r="E40" s="4308"/>
      <c r="F40" s="2373">
        <f>SUM(input!$G$27:$G$31)*1000/(10000*($F$28*$F$29/10^6))</f>
        <v>4.3151969981238274</v>
      </c>
      <c r="I40" s="2352"/>
      <c r="J40" s="4307" t="s">
        <v>2197</v>
      </c>
      <c r="K40" s="4308"/>
      <c r="L40" s="2373">
        <f>SUM(input!$G$27:$G$31)*1000/(10000*($F$28*$F$29/10^6))</f>
        <v>4.3151969981238274</v>
      </c>
    </row>
    <row r="41" spans="1:12" ht="18.75" customHeight="1">
      <c r="A41" s="2371"/>
      <c r="B41" s="2322"/>
      <c r="C41" s="2352"/>
      <c r="D41" s="4307" t="s">
        <v>2198</v>
      </c>
      <c r="E41" s="4308"/>
      <c r="F41" s="2386">
        <f ca="1">('Cost EST. GM target'!$J$20/(1-$F$55)+'Cost EST. GM target'!$J$20*$F$56)*10^3/(F20*F39)-F40</f>
        <v>117.14229288041867</v>
      </c>
      <c r="I41" s="2352"/>
      <c r="J41" s="4307" t="s">
        <v>2198</v>
      </c>
      <c r="K41" s="4308"/>
      <c r="L41" s="2386">
        <f ca="1">('Cost EST. GM target'!$J$20/(1-$L$55)+'Cost EST. GM target'!$J$20*$L$56)*10^3/(L20*L39)-L40</f>
        <v>117.14229288041868</v>
      </c>
    </row>
    <row r="42" spans="1:12" ht="18.75" customHeight="1">
      <c r="A42" s="2371"/>
      <c r="B42" s="2322"/>
      <c r="C42" s="2356"/>
      <c r="D42" s="4307" t="s">
        <v>2199</v>
      </c>
      <c r="E42" s="4308"/>
      <c r="F42" s="2368">
        <f ca="1">F40+F41</f>
        <v>121.45748987854249</v>
      </c>
      <c r="I42" s="2356"/>
      <c r="J42" s="4307" t="s">
        <v>2199</v>
      </c>
      <c r="K42" s="4308"/>
      <c r="L42" s="2368">
        <f ca="1">L40+L41</f>
        <v>121.4574898785425</v>
      </c>
    </row>
    <row r="43" spans="1:12" ht="18.75" customHeight="1">
      <c r="A43" s="2371"/>
      <c r="B43" s="2322"/>
      <c r="C43" s="2362" t="s">
        <v>2202</v>
      </c>
      <c r="D43" s="2363"/>
      <c r="E43" s="2363"/>
      <c r="F43" s="2364">
        <f ca="1">+IFERROR(F47*F44*$F$20/10^3,0)</f>
        <v>72.809999999999988</v>
      </c>
      <c r="I43" s="2362" t="s">
        <v>2202</v>
      </c>
      <c r="J43" s="2363"/>
      <c r="K43" s="2363"/>
      <c r="L43" s="2364">
        <f ca="1">+IFERROR(L47*L44*$F$20/10^3,0)</f>
        <v>0</v>
      </c>
    </row>
    <row r="44" spans="1:12" ht="18.75" customHeight="1">
      <c r="A44" s="2371"/>
      <c r="B44" s="2322"/>
      <c r="C44" s="2352"/>
      <c r="D44" s="4307" t="s">
        <v>2203</v>
      </c>
      <c r="E44" s="4308"/>
      <c r="F44" s="2351">
        <f ca="1">IFERROR(Glue!K6/(Glue!H6+Glue!I6),0)</f>
        <v>17091.549295774646</v>
      </c>
      <c r="I44" s="2352"/>
      <c r="J44" s="4307" t="s">
        <v>2203</v>
      </c>
      <c r="K44" s="4308"/>
      <c r="L44" s="2351">
        <f>IFERROR(Glue!U6/(Glue!R6+Glue!S6),0)</f>
        <v>0</v>
      </c>
    </row>
    <row r="45" spans="1:12" ht="18.75" customHeight="1">
      <c r="A45" s="2371"/>
      <c r="B45" s="2322"/>
      <c r="C45" s="2352"/>
      <c r="D45" s="4307" t="s">
        <v>2197</v>
      </c>
      <c r="E45" s="4308"/>
      <c r="F45" s="2373">
        <f>IFERROR(SUM(input!$N$27:$N$31)*1000/(10000*($F$28*$F$29/10^6)),0)</f>
        <v>26.078799249530956</v>
      </c>
      <c r="I45" s="2352"/>
      <c r="J45" s="4307" t="s">
        <v>2197</v>
      </c>
      <c r="K45" s="4308"/>
      <c r="L45" s="2373">
        <f>IFERROR(SUM(input!$N$27:$N$31)*1000/(10000*($F$28*$F$29/10^6)),0)</f>
        <v>26.078799249530956</v>
      </c>
    </row>
    <row r="46" spans="1:12" ht="18.75" customHeight="1">
      <c r="A46" s="2371"/>
      <c r="B46" s="2322"/>
      <c r="C46" s="2352"/>
      <c r="D46" s="4307" t="s">
        <v>2198</v>
      </c>
      <c r="E46" s="4308"/>
      <c r="F46" s="2373">
        <f ca="1">IFERROR('Cost EST. GM target'!$J$21*10^3/(F20*F44)-F45,0)</f>
        <v>589.88418513450608</v>
      </c>
      <c r="I46" s="2352"/>
      <c r="J46" s="4307" t="s">
        <v>2198</v>
      </c>
      <c r="K46" s="4308"/>
      <c r="L46" s="2373">
        <f ca="1">IFERROR('Cost EST. GM target'!$J$21*10^3/(L20*L44)-L45,0)</f>
        <v>0</v>
      </c>
    </row>
    <row r="47" spans="1:12" ht="18.75" customHeight="1">
      <c r="A47" s="2371"/>
      <c r="B47" s="2322"/>
      <c r="C47" s="2356"/>
      <c r="D47" s="4307" t="s">
        <v>2199</v>
      </c>
      <c r="E47" s="4308"/>
      <c r="F47" s="2368">
        <f ca="1">F45+F46</f>
        <v>615.96298438403699</v>
      </c>
      <c r="I47" s="2356"/>
      <c r="J47" s="4307" t="s">
        <v>2199</v>
      </c>
      <c r="K47" s="4308"/>
      <c r="L47" s="2368">
        <f ca="1">L45+L46</f>
        <v>26.078799249530956</v>
      </c>
    </row>
    <row r="48" spans="1:12" ht="18.75" customHeight="1">
      <c r="A48" s="2371"/>
      <c r="B48" s="2322"/>
      <c r="C48" s="2362" t="s">
        <v>2204</v>
      </c>
      <c r="D48" s="2363"/>
      <c r="E48" s="2363"/>
      <c r="F48" s="2364">
        <f ca="1">SUM(F49:F51)</f>
        <v>1811.4698035913605</v>
      </c>
      <c r="I48" s="2362" t="s">
        <v>2204</v>
      </c>
      <c r="J48" s="2363"/>
      <c r="K48" s="2363"/>
      <c r="L48" s="2364">
        <f ca="1">SUM(L49:L51)</f>
        <v>849.95963908861927</v>
      </c>
    </row>
    <row r="49" spans="1:100" ht="18.75" customHeight="1">
      <c r="A49" s="2371"/>
      <c r="B49" s="2322"/>
      <c r="C49" s="2352"/>
      <c r="D49" s="4307" t="s">
        <v>2205</v>
      </c>
      <c r="E49" s="4308"/>
      <c r="F49" s="2373">
        <f ca="1">'Cost EST. GM target'!$J$26/(1-$F$55)+'Cost EST. GM target'!$J$26*$F$56</f>
        <v>525.92699912724538</v>
      </c>
      <c r="I49" s="2352"/>
      <c r="J49" s="4307" t="s">
        <v>2205</v>
      </c>
      <c r="K49" s="4308"/>
      <c r="L49" s="2373">
        <f ca="1">'Cost EST. GM target'!$J$26/(1-$L$55)+'Cost EST. GM target'!$J$26*$L$56-L50</f>
        <v>697.79027587092605</v>
      </c>
    </row>
    <row r="50" spans="1:100" ht="18.75" customHeight="1">
      <c r="A50" s="2371"/>
      <c r="B50" s="2322"/>
      <c r="C50" s="2352"/>
      <c r="D50" s="4307" t="s">
        <v>2206</v>
      </c>
      <c r="E50" s="4308"/>
      <c r="F50" s="2373">
        <f ca="1">'Cost EST. GM target'!$J$33/(1-$F$55)+'Cost EST. GM target'!$J$33*$F$56</f>
        <v>1223.9008814551976</v>
      </c>
      <c r="I50" s="2352"/>
      <c r="J50" s="4307" t="s">
        <v>2206</v>
      </c>
      <c r="K50" s="4308"/>
      <c r="L50" s="2373">
        <v>63</v>
      </c>
    </row>
    <row r="51" spans="1:100" ht="18.75" customHeight="1">
      <c r="A51" s="2371"/>
      <c r="B51" s="2322"/>
      <c r="C51" s="2356"/>
      <c r="D51" s="4307" t="s">
        <v>2207</v>
      </c>
      <c r="E51" s="4308"/>
      <c r="F51" s="2368">
        <f ca="1">'Cost EST. GM target'!$J$30/(1-$F$55)+'Cost EST. GM target'!$J$30*$F$56</f>
        <v>61.641923008917587</v>
      </c>
      <c r="I51" s="2356"/>
      <c r="J51" s="4307" t="s">
        <v>2207</v>
      </c>
      <c r="K51" s="4308"/>
      <c r="L51" s="2368">
        <f ca="1">'Cost EST. GM target'!$J$30/(1-$L$55)+'Cost EST. GM target'!$J$30*$L$56</f>
        <v>89.169363217693245</v>
      </c>
    </row>
    <row r="52" spans="1:100" ht="18.75" customHeight="1">
      <c r="A52" s="2371"/>
      <c r="B52" s="2322"/>
      <c r="C52" s="2362" t="s">
        <v>2208</v>
      </c>
      <c r="D52" s="2363"/>
      <c r="E52" s="2363"/>
      <c r="F52" s="2364">
        <f ca="1">'Cost EST. GM target'!$J$28/(1-$F$55)+'Cost EST. GM target'!$J$28*$F$56</f>
        <v>153.209</v>
      </c>
      <c r="I52" s="2362" t="s">
        <v>2208</v>
      </c>
      <c r="J52" s="2363"/>
      <c r="K52" s="2363"/>
      <c r="L52" s="2364">
        <f ca="1">'Cost EST. GM target'!$J$28/(1-$L$55)+'Cost EST. GM target'!$J$28*$L$56</f>
        <v>221.62755966005773</v>
      </c>
    </row>
    <row r="53" spans="1:100" ht="18.75" customHeight="1">
      <c r="A53" s="2371"/>
      <c r="B53" s="2322"/>
      <c r="C53" s="4314" t="s">
        <v>2209</v>
      </c>
      <c r="D53" s="4308"/>
      <c r="E53" s="4308"/>
      <c r="F53" s="2376">
        <f ca="1">'Cost EST. GM target'!$J$24/(1-$F$55)+'Cost EST. GM target'!$J$24*$F$56</f>
        <v>159.26943381596334</v>
      </c>
      <c r="I53" s="4314" t="s">
        <v>2209</v>
      </c>
      <c r="J53" s="4308"/>
      <c r="K53" s="4308"/>
      <c r="L53" s="2376">
        <f ca="1">'Cost EST. GM target'!$J$24/(1-$L$55)+'Cost EST. GM target'!$J$24*$L$56</f>
        <v>230.3944020590894</v>
      </c>
    </row>
    <row r="54" spans="1:100" ht="18.75" customHeight="1">
      <c r="A54" s="2371"/>
      <c r="B54" s="2322"/>
      <c r="C54" s="4314" t="s">
        <v>2210</v>
      </c>
      <c r="D54" s="4308"/>
      <c r="E54" s="4308"/>
      <c r="F54" s="2364">
        <f ca="1">'Cost EST. GM target'!$J$41-SUM(F25,F33,F38,F43,F48,F52,F53)</f>
        <v>1617.7809081858009</v>
      </c>
      <c r="G54" s="2377"/>
      <c r="I54" s="4314" t="s">
        <v>2210</v>
      </c>
      <c r="J54" s="4308"/>
      <c r="K54" s="4308"/>
      <c r="L54" s="2364">
        <f ca="1">'Cost EST. GM target'!$J$41-SUM(L25,L33,L38,L43,L48,L52,L53)</f>
        <v>2445.5582724559231</v>
      </c>
      <c r="M54" s="2378"/>
    </row>
    <row r="55" spans="1:100" ht="18.75" customHeight="1">
      <c r="A55" s="2371"/>
      <c r="B55" s="2319"/>
      <c r="C55" s="4312" t="s">
        <v>2211</v>
      </c>
      <c r="D55" s="4313"/>
      <c r="E55" s="4313"/>
      <c r="F55" s="2379">
        <f>'Cost EST. GM target'!J35</f>
        <v>0.2</v>
      </c>
      <c r="G55" s="2380"/>
      <c r="H55" s="2319"/>
      <c r="I55" s="4312" t="s">
        <v>1576</v>
      </c>
      <c r="J55" s="4313"/>
      <c r="K55" s="4313"/>
      <c r="L55" s="2379">
        <f ca="1">'Cost EST. GM target'!J73</f>
        <v>0.45002378881461591</v>
      </c>
      <c r="M55" s="2319"/>
      <c r="N55" s="2319"/>
      <c r="O55" s="2319"/>
      <c r="P55" s="2319"/>
      <c r="Q55" s="2319"/>
      <c r="R55" s="2319"/>
      <c r="S55" s="2319"/>
      <c r="T55" s="2319"/>
      <c r="U55" s="2319"/>
      <c r="V55" s="2319"/>
      <c r="W55" s="2319"/>
      <c r="X55" s="2319"/>
      <c r="Y55" s="2319"/>
      <c r="Z55" s="2319"/>
      <c r="AA55" s="2319"/>
      <c r="AB55" s="2319"/>
      <c r="AC55" s="2319"/>
      <c r="AD55" s="2319"/>
      <c r="AE55" s="2319"/>
      <c r="AF55" s="2319"/>
      <c r="AG55" s="2319"/>
      <c r="AH55" s="2319"/>
      <c r="AI55" s="2319"/>
      <c r="AJ55" s="2319"/>
      <c r="AK55" s="2319"/>
      <c r="AL55" s="2319"/>
      <c r="AM55" s="2319"/>
      <c r="AN55" s="2319"/>
      <c r="AO55" s="2319"/>
      <c r="AP55" s="2319"/>
      <c r="AQ55" s="2319"/>
      <c r="AR55" s="2319"/>
      <c r="AS55" s="2319"/>
      <c r="AT55" s="2319"/>
      <c r="AU55" s="2319"/>
      <c r="AV55" s="2319"/>
      <c r="AW55" s="2319"/>
      <c r="AX55" s="2319"/>
      <c r="AY55" s="2319"/>
      <c r="AZ55" s="2319"/>
      <c r="BA55" s="2319"/>
      <c r="BB55" s="2319"/>
      <c r="BC55" s="2319"/>
      <c r="BD55" s="2319"/>
      <c r="BE55" s="2319"/>
      <c r="BF55" s="2319"/>
      <c r="BG55" s="2319"/>
      <c r="BH55" s="2319"/>
      <c r="BI55" s="2319"/>
      <c r="BJ55" s="2319"/>
      <c r="BK55" s="2319"/>
      <c r="BL55" s="2319"/>
      <c r="BM55" s="2319"/>
      <c r="BN55" s="2319"/>
      <c r="BO55" s="2319"/>
      <c r="BP55" s="2319"/>
      <c r="BQ55" s="2319"/>
      <c r="BR55" s="2319"/>
      <c r="BS55" s="2319"/>
      <c r="BT55" s="2319"/>
      <c r="BU55" s="2319"/>
      <c r="BV55" s="2319"/>
      <c r="BW55" s="2319"/>
      <c r="BX55" s="2319"/>
      <c r="BY55" s="2319"/>
      <c r="BZ55" s="2319"/>
      <c r="CA55" s="2319"/>
      <c r="CB55" s="2319"/>
      <c r="CC55" s="2319"/>
      <c r="CD55" s="2319"/>
      <c r="CE55" s="2319"/>
      <c r="CF55" s="2319"/>
      <c r="CG55" s="2319"/>
      <c r="CH55" s="2319"/>
      <c r="CI55" s="2319"/>
      <c r="CJ55" s="2319"/>
      <c r="CK55" s="2319"/>
      <c r="CL55" s="2319"/>
    </row>
    <row r="56" spans="1:100" ht="15.75" customHeight="1">
      <c r="A56" s="2371"/>
      <c r="B56" s="2319"/>
      <c r="C56" s="4312" t="s">
        <v>1627</v>
      </c>
      <c r="D56" s="4313"/>
      <c r="E56" s="4313"/>
      <c r="F56" s="2379">
        <f>'Cost EST. GM target'!$J$37</f>
        <v>2.2499999999999999E-2</v>
      </c>
      <c r="G56" s="2381"/>
      <c r="H56" s="2381"/>
      <c r="I56" s="4312" t="s">
        <v>1627</v>
      </c>
      <c r="J56" s="4313"/>
      <c r="K56" s="4313"/>
      <c r="L56" s="2379">
        <f>'Cost EST. GM target'!$J$37</f>
        <v>2.2499999999999999E-2</v>
      </c>
      <c r="M56" s="2381"/>
      <c r="N56" s="2381"/>
      <c r="O56" s="2381"/>
      <c r="P56" s="2381"/>
      <c r="Q56" s="2381"/>
      <c r="R56" s="2381"/>
      <c r="S56" s="2381"/>
      <c r="T56" s="2381"/>
      <c r="U56" s="2381"/>
      <c r="V56" s="2381"/>
      <c r="W56" s="2381"/>
      <c r="X56" s="2381"/>
      <c r="Y56" s="2381"/>
      <c r="Z56" s="2381"/>
      <c r="AA56" s="2381"/>
      <c r="AB56" s="2381"/>
      <c r="AC56" s="2381"/>
      <c r="AD56" s="2381"/>
      <c r="AE56" s="2381"/>
      <c r="AF56" s="2381"/>
      <c r="AG56" s="2381"/>
      <c r="AH56" s="2381"/>
      <c r="AI56" s="2381"/>
      <c r="AJ56" s="2381"/>
      <c r="AK56" s="2381"/>
      <c r="AL56" s="2381"/>
      <c r="AM56" s="2381"/>
      <c r="AN56" s="2381"/>
      <c r="AO56" s="2319"/>
      <c r="AP56" s="2319"/>
      <c r="AQ56" s="2319"/>
      <c r="AR56" s="2319"/>
      <c r="AS56" s="2319"/>
      <c r="AT56" s="2319"/>
      <c r="AU56" s="2319"/>
      <c r="AV56" s="2319"/>
      <c r="AW56" s="2319"/>
      <c r="AX56" s="2319"/>
      <c r="AY56" s="2381"/>
      <c r="AZ56" s="2381"/>
      <c r="BA56" s="2381"/>
      <c r="BB56" s="2381"/>
      <c r="BC56" s="2381"/>
      <c r="BD56" s="2381"/>
      <c r="BE56" s="2381"/>
      <c r="BF56" s="2381"/>
      <c r="BG56" s="2381"/>
      <c r="BH56" s="2381"/>
      <c r="BI56" s="2319"/>
      <c r="BJ56" s="2319"/>
      <c r="BK56" s="2319"/>
      <c r="BL56" s="2319"/>
      <c r="BM56" s="2319"/>
      <c r="BN56" s="2319"/>
      <c r="BO56" s="2319"/>
      <c r="BP56" s="2319"/>
      <c r="BQ56" s="2319"/>
      <c r="BR56" s="2319"/>
      <c r="BS56" s="2381"/>
      <c r="BT56" s="2381"/>
      <c r="BU56" s="2381"/>
      <c r="BV56" s="2381"/>
      <c r="BW56" s="2381"/>
      <c r="BX56" s="2381"/>
      <c r="BY56" s="2381"/>
      <c r="BZ56" s="2381"/>
      <c r="CA56" s="2381"/>
      <c r="CB56" s="2381"/>
      <c r="CC56" s="2381"/>
      <c r="CD56" s="2381"/>
      <c r="CE56" s="2381"/>
      <c r="CF56" s="2381"/>
      <c r="CG56" s="2381"/>
      <c r="CH56" s="2381"/>
      <c r="CI56" s="2381"/>
      <c r="CJ56" s="2381"/>
      <c r="CK56" s="2381"/>
      <c r="CL56" s="2381"/>
    </row>
    <row r="57" spans="1:100" ht="15.75" customHeight="1" thickBot="1">
      <c r="A57" s="2371"/>
      <c r="B57" s="2319"/>
      <c r="C57" s="4312" t="s">
        <v>177</v>
      </c>
      <c r="D57" s="4313"/>
      <c r="E57" s="4313"/>
      <c r="F57" s="2382">
        <f ca="1">F25+F33+F38+F43+F48+F52+F53+F54</f>
        <v>3964.5699495931244</v>
      </c>
      <c r="G57" s="2383"/>
      <c r="H57" s="2383"/>
      <c r="I57" s="4312" t="s">
        <v>177</v>
      </c>
      <c r="J57" s="4313"/>
      <c r="K57" s="4313"/>
      <c r="L57" s="2382">
        <f ca="1">L25+L33+L38+L43+L48+L52+L53+L54</f>
        <v>3964.5699495931244</v>
      </c>
      <c r="M57" s="2383"/>
      <c r="N57" s="2383"/>
      <c r="O57" s="2383"/>
      <c r="P57" s="2383"/>
      <c r="Q57" s="2383"/>
      <c r="R57" s="2383"/>
      <c r="S57" s="2383"/>
      <c r="T57" s="2383"/>
      <c r="U57" s="2383"/>
      <c r="V57" s="2383"/>
      <c r="W57" s="2383"/>
      <c r="X57" s="2383"/>
      <c r="Y57" s="2383"/>
      <c r="Z57" s="2383"/>
      <c r="AA57" s="2383"/>
      <c r="AB57" s="2383"/>
      <c r="AC57" s="2383"/>
      <c r="AD57" s="2383"/>
      <c r="AE57" s="2383"/>
      <c r="AF57" s="2383"/>
      <c r="AG57" s="2383"/>
      <c r="AH57" s="2383"/>
      <c r="AI57" s="2383"/>
      <c r="AJ57" s="2383"/>
      <c r="AK57" s="2383"/>
      <c r="AL57" s="2383"/>
      <c r="AM57" s="2383"/>
      <c r="AN57" s="2383"/>
      <c r="AO57" s="2383"/>
      <c r="AP57" s="2383"/>
      <c r="AQ57" s="2383"/>
      <c r="AR57" s="2383"/>
      <c r="AS57" s="2383"/>
      <c r="AT57" s="2383"/>
      <c r="AU57" s="2383"/>
      <c r="AV57" s="2383"/>
      <c r="AW57" s="2383"/>
      <c r="AX57" s="2383"/>
      <c r="AY57" s="2383"/>
      <c r="AZ57" s="2383"/>
      <c r="BA57" s="2383"/>
      <c r="BB57" s="2383"/>
      <c r="BC57" s="2383"/>
      <c r="BD57" s="2383"/>
      <c r="BE57" s="2383"/>
      <c r="BF57" s="2383"/>
      <c r="BG57" s="2383"/>
      <c r="BH57" s="2383"/>
      <c r="BI57" s="2383"/>
      <c r="BJ57" s="2383"/>
      <c r="BK57" s="2383"/>
      <c r="BL57" s="2383"/>
      <c r="BM57" s="2383"/>
      <c r="BN57" s="2383"/>
      <c r="BO57" s="2383"/>
      <c r="BP57" s="2383"/>
      <c r="BQ57" s="2383"/>
      <c r="BR57" s="2383"/>
      <c r="BS57" s="2319"/>
      <c r="BT57" s="2319"/>
      <c r="BU57" s="2319"/>
      <c r="BV57" s="2319"/>
      <c r="BW57" s="2319"/>
      <c r="BX57" s="2319"/>
      <c r="BY57" s="2319"/>
      <c r="BZ57" s="2319"/>
      <c r="CA57" s="2319"/>
      <c r="CB57" s="2319"/>
      <c r="CC57" s="2383"/>
      <c r="CD57" s="2383"/>
      <c r="CE57" s="2383"/>
      <c r="CF57" s="2383"/>
      <c r="CG57" s="2383"/>
      <c r="CH57" s="2383"/>
      <c r="CI57" s="2383"/>
      <c r="CJ57" s="2383"/>
      <c r="CK57" s="2383"/>
      <c r="CL57" s="2383"/>
    </row>
    <row r="58" spans="1:100" ht="15.75" customHeight="1">
      <c r="A58" s="2371"/>
      <c r="B58" s="2319"/>
      <c r="C58" s="2319"/>
      <c r="D58" s="2318"/>
      <c r="E58" s="2319"/>
      <c r="F58" s="2319"/>
      <c r="G58" s="2319"/>
      <c r="H58" s="2319"/>
      <c r="I58" s="2319"/>
      <c r="J58" s="2319"/>
      <c r="K58" s="2319"/>
      <c r="L58" s="2319"/>
      <c r="M58" s="2319"/>
      <c r="N58" s="2319"/>
      <c r="O58" s="2319"/>
      <c r="P58" s="2319"/>
      <c r="Q58" s="2319"/>
      <c r="R58" s="2319"/>
      <c r="S58" s="2319"/>
      <c r="T58" s="2319"/>
      <c r="U58" s="2319"/>
      <c r="V58" s="2319"/>
      <c r="W58" s="2319"/>
      <c r="X58" s="2319"/>
      <c r="Y58" s="2319"/>
      <c r="Z58" s="2319"/>
      <c r="AA58" s="2319"/>
      <c r="AB58" s="2319"/>
      <c r="AC58" s="2319"/>
      <c r="AD58" s="2319"/>
      <c r="AE58" s="2319"/>
      <c r="AF58" s="2319"/>
      <c r="AG58" s="2319"/>
      <c r="AH58" s="2319"/>
      <c r="AI58" s="2319"/>
      <c r="AJ58" s="2319"/>
      <c r="AK58" s="2319"/>
      <c r="AL58" s="2319"/>
      <c r="AM58" s="2319"/>
      <c r="AN58" s="2319"/>
      <c r="AO58" s="2319"/>
      <c r="AP58" s="2319"/>
      <c r="AQ58" s="2319"/>
      <c r="AR58" s="2319"/>
      <c r="AS58" s="2319"/>
      <c r="AT58" s="2319"/>
      <c r="AU58" s="2319"/>
      <c r="AV58" s="2319"/>
      <c r="AW58" s="2319"/>
      <c r="AX58" s="2319"/>
      <c r="AY58" s="2319"/>
      <c r="AZ58" s="2319"/>
      <c r="BA58" s="2319"/>
      <c r="BB58" s="2319"/>
      <c r="BC58" s="2319"/>
      <c r="BD58" s="2319"/>
      <c r="BE58" s="2319"/>
      <c r="BF58" s="2319"/>
      <c r="BG58" s="2319"/>
      <c r="BH58" s="2319"/>
      <c r="BI58" s="2319"/>
      <c r="BJ58" s="2319"/>
      <c r="BK58" s="2319"/>
      <c r="BL58" s="2319"/>
      <c r="BM58" s="2319"/>
      <c r="BN58" s="2319"/>
      <c r="BO58" s="2319"/>
      <c r="BP58" s="2319"/>
      <c r="BQ58" s="2319"/>
      <c r="BR58" s="2319"/>
      <c r="BS58" s="2319"/>
      <c r="BT58" s="2319"/>
      <c r="BU58" s="2319"/>
      <c r="BV58" s="2319"/>
      <c r="BW58" s="2319"/>
      <c r="BX58" s="2319"/>
      <c r="BY58" s="2319"/>
      <c r="BZ58" s="2319"/>
      <c r="CA58" s="2319"/>
      <c r="CB58" s="2319"/>
      <c r="CC58" s="2383"/>
      <c r="CD58" s="2383"/>
      <c r="CE58" s="2383"/>
      <c r="CF58" s="2383"/>
      <c r="CG58" s="2383"/>
      <c r="CH58" s="2383"/>
      <c r="CI58" s="2383"/>
      <c r="CJ58" s="2383"/>
      <c r="CK58" s="2383"/>
      <c r="CL58" s="2383"/>
      <c r="CM58" s="2319"/>
      <c r="CN58" s="2319"/>
      <c r="CO58" s="2319"/>
      <c r="CP58" s="2319"/>
      <c r="CQ58" s="2319"/>
      <c r="CR58" s="2319"/>
      <c r="CS58" s="2319"/>
      <c r="CT58" s="2319"/>
      <c r="CU58" s="2319"/>
      <c r="CV58" s="2319"/>
    </row>
    <row r="59" spans="1:100" ht="15.75" customHeight="1">
      <c r="A59" s="2371"/>
      <c r="B59" s="2319"/>
      <c r="C59" s="2319"/>
      <c r="D59" s="2318"/>
      <c r="E59" s="2319"/>
      <c r="F59" s="2319"/>
      <c r="G59" s="2319"/>
      <c r="H59" s="2319"/>
      <c r="I59" s="2319"/>
      <c r="J59" s="2319"/>
      <c r="K59" s="2319"/>
      <c r="L59" s="2319"/>
      <c r="M59" s="2319"/>
      <c r="N59" s="2319"/>
      <c r="O59" s="2319"/>
      <c r="P59" s="2319"/>
      <c r="Q59" s="2319"/>
      <c r="R59" s="2319"/>
      <c r="S59" s="2319"/>
      <c r="T59" s="2319"/>
      <c r="U59" s="2319"/>
      <c r="V59" s="2319"/>
      <c r="W59" s="2319"/>
      <c r="X59" s="2319"/>
      <c r="Y59" s="2319"/>
      <c r="Z59" s="2319"/>
      <c r="AA59" s="2319"/>
      <c r="AB59" s="2319"/>
      <c r="AC59" s="2319"/>
      <c r="AD59" s="2319"/>
      <c r="AE59" s="2319"/>
      <c r="AF59" s="2319"/>
      <c r="AG59" s="2319"/>
      <c r="AH59" s="2319"/>
      <c r="AI59" s="2319"/>
      <c r="AJ59" s="2319"/>
      <c r="AK59" s="2319"/>
      <c r="AL59" s="2319"/>
      <c r="AM59" s="2319"/>
      <c r="AN59" s="2319"/>
      <c r="AO59" s="2319"/>
      <c r="AP59" s="2319"/>
      <c r="AQ59" s="2319"/>
      <c r="AR59" s="2319"/>
      <c r="AS59" s="2319"/>
      <c r="AT59" s="2319"/>
      <c r="AU59" s="2319"/>
      <c r="AV59" s="2319"/>
      <c r="AW59" s="2319"/>
      <c r="AX59" s="2319"/>
      <c r="AY59" s="2319"/>
      <c r="AZ59" s="2319"/>
      <c r="BA59" s="2319"/>
      <c r="BB59" s="2319"/>
      <c r="BC59" s="2319"/>
      <c r="BD59" s="2319"/>
      <c r="BE59" s="2319"/>
      <c r="BF59" s="2319"/>
      <c r="BG59" s="2319"/>
      <c r="BH59" s="2319"/>
      <c r="BI59" s="2319"/>
      <c r="BJ59" s="2319"/>
      <c r="BK59" s="2319"/>
      <c r="BL59" s="2319"/>
      <c r="BM59" s="2319"/>
      <c r="BN59" s="2319"/>
      <c r="BO59" s="2319"/>
      <c r="BP59" s="2319"/>
      <c r="BQ59" s="2319"/>
      <c r="BR59" s="2319"/>
      <c r="BS59" s="2319"/>
      <c r="BT59" s="2319"/>
      <c r="BU59" s="2319"/>
      <c r="BV59" s="2319"/>
      <c r="BW59" s="2319"/>
      <c r="BX59" s="2319"/>
      <c r="BY59" s="2319"/>
      <c r="BZ59" s="2319"/>
      <c r="CA59" s="2319"/>
      <c r="CB59" s="2319"/>
      <c r="CC59" s="2319"/>
      <c r="CD59" s="2319"/>
      <c r="CE59" s="2319"/>
      <c r="CF59" s="2319"/>
      <c r="CG59" s="2319"/>
      <c r="CH59" s="2319"/>
      <c r="CI59" s="2319"/>
      <c r="CJ59" s="2319"/>
      <c r="CK59" s="2319"/>
      <c r="CL59" s="2319"/>
      <c r="CM59" s="2319"/>
      <c r="CN59" s="2319"/>
      <c r="CO59" s="2319"/>
      <c r="CP59" s="2319"/>
      <c r="CQ59" s="2319"/>
      <c r="CR59" s="2319"/>
      <c r="CS59" s="2319"/>
      <c r="CT59" s="2319"/>
      <c r="CU59" s="2319"/>
      <c r="CV59" s="2319"/>
    </row>
    <row r="60" spans="1:100" ht="15.75" customHeight="1">
      <c r="A60" s="2371"/>
      <c r="B60" s="2319"/>
      <c r="C60" s="2319"/>
      <c r="D60" s="2318"/>
      <c r="E60" s="2319"/>
      <c r="F60" s="2319"/>
      <c r="G60" s="2319"/>
      <c r="H60" s="2319"/>
      <c r="I60" s="2319"/>
      <c r="J60" s="2319"/>
      <c r="K60" s="2319"/>
      <c r="L60" s="2319"/>
      <c r="M60" s="2319"/>
      <c r="N60" s="2319"/>
      <c r="O60" s="2319"/>
      <c r="P60" s="2319"/>
      <c r="Q60" s="2319"/>
      <c r="R60" s="2319"/>
      <c r="S60" s="2319"/>
      <c r="T60" s="2319"/>
      <c r="U60" s="2319"/>
      <c r="V60" s="2319"/>
      <c r="W60" s="2319"/>
      <c r="X60" s="2319"/>
      <c r="Y60" s="2319"/>
      <c r="Z60" s="2319"/>
      <c r="AA60" s="2319"/>
      <c r="AB60" s="2319"/>
      <c r="AC60" s="2319"/>
      <c r="AD60" s="2319"/>
      <c r="AE60" s="2319"/>
      <c r="AF60" s="2319"/>
      <c r="AG60" s="2319"/>
      <c r="AH60" s="2319"/>
      <c r="AI60" s="2319"/>
      <c r="AJ60" s="2319"/>
      <c r="AK60" s="2319"/>
      <c r="AL60" s="2319"/>
      <c r="AM60" s="2319"/>
      <c r="AN60" s="2319"/>
      <c r="AO60" s="2319"/>
      <c r="AP60" s="2319"/>
      <c r="AQ60" s="2319"/>
      <c r="AR60" s="2319"/>
      <c r="AS60" s="2319"/>
      <c r="AT60" s="2319"/>
      <c r="AU60" s="2319"/>
      <c r="AV60" s="2319"/>
      <c r="AW60" s="2319"/>
      <c r="AX60" s="2319"/>
      <c r="AY60" s="2319"/>
      <c r="AZ60" s="2319"/>
      <c r="BA60" s="2319"/>
      <c r="BB60" s="2319"/>
      <c r="BC60" s="2319"/>
      <c r="BD60" s="2319"/>
      <c r="BE60" s="2319"/>
      <c r="BF60" s="2319"/>
      <c r="BG60" s="2319"/>
      <c r="BH60" s="2319"/>
      <c r="BI60" s="2319"/>
      <c r="BJ60" s="2319"/>
      <c r="BK60" s="2319"/>
      <c r="BL60" s="2319"/>
      <c r="BM60" s="2319"/>
      <c r="BN60" s="2319"/>
      <c r="BO60" s="2319"/>
      <c r="BP60" s="2319"/>
      <c r="BQ60" s="2319"/>
      <c r="BR60" s="2319"/>
      <c r="BS60" s="2319"/>
      <c r="BT60" s="2319"/>
      <c r="BU60" s="2319"/>
      <c r="BV60" s="2319"/>
      <c r="BW60" s="2319"/>
      <c r="BX60" s="2319"/>
      <c r="BY60" s="2319"/>
      <c r="BZ60" s="2319"/>
      <c r="CA60" s="2319"/>
      <c r="CB60" s="2319"/>
      <c r="CC60" s="2319"/>
      <c r="CD60" s="2319"/>
      <c r="CE60" s="2319"/>
      <c r="CF60" s="2319"/>
      <c r="CG60" s="2319"/>
      <c r="CH60" s="2319"/>
      <c r="CI60" s="2319"/>
      <c r="CJ60" s="2319"/>
      <c r="CK60" s="2319"/>
      <c r="CL60" s="2319"/>
      <c r="CM60" s="2319"/>
      <c r="CN60" s="2319"/>
      <c r="CO60" s="2319"/>
      <c r="CP60" s="2319"/>
      <c r="CQ60" s="2319"/>
      <c r="CR60" s="2319"/>
      <c r="CS60" s="2319"/>
      <c r="CT60" s="2319"/>
      <c r="CU60" s="2319"/>
      <c r="CV60" s="2319"/>
    </row>
    <row r="61" spans="1:100" ht="15.75" customHeight="1">
      <c r="A61" s="2371"/>
      <c r="B61" s="2319"/>
      <c r="C61" s="2319"/>
      <c r="D61" s="2318"/>
      <c r="E61" s="2319"/>
      <c r="F61" s="2319"/>
      <c r="G61" s="2319"/>
      <c r="H61" s="2319"/>
      <c r="I61" s="2319"/>
      <c r="J61" s="2319"/>
      <c r="K61" s="2319"/>
      <c r="L61" s="2319"/>
      <c r="M61" s="2319"/>
      <c r="N61" s="2319"/>
      <c r="O61" s="2319"/>
      <c r="P61" s="2319"/>
      <c r="Q61" s="2319"/>
      <c r="R61" s="2319"/>
      <c r="S61" s="2319"/>
      <c r="T61" s="2319"/>
      <c r="U61" s="2319"/>
      <c r="V61" s="2319"/>
      <c r="W61" s="2319"/>
      <c r="X61" s="2319"/>
      <c r="Y61" s="2319"/>
      <c r="Z61" s="2319"/>
      <c r="AA61" s="2319"/>
      <c r="AB61" s="2319"/>
      <c r="AC61" s="2319"/>
      <c r="AD61" s="2319"/>
      <c r="AE61" s="2319"/>
      <c r="AF61" s="2319"/>
      <c r="AG61" s="2319"/>
      <c r="AH61" s="2319"/>
      <c r="AI61" s="2319"/>
      <c r="AJ61" s="2319"/>
      <c r="AK61" s="2319"/>
      <c r="AL61" s="2319"/>
      <c r="AM61" s="2319"/>
      <c r="AN61" s="2319"/>
      <c r="AO61" s="2319"/>
      <c r="AP61" s="2319"/>
      <c r="AQ61" s="2319"/>
      <c r="AR61" s="2319"/>
      <c r="AS61" s="2319"/>
      <c r="AT61" s="2319"/>
      <c r="AU61" s="2319"/>
      <c r="AV61" s="2319"/>
      <c r="AW61" s="2319"/>
      <c r="AX61" s="2319"/>
      <c r="AY61" s="2319"/>
      <c r="AZ61" s="2319"/>
      <c r="BA61" s="2319"/>
      <c r="BB61" s="2319"/>
      <c r="BC61" s="2319"/>
      <c r="BD61" s="2319"/>
      <c r="BE61" s="2319"/>
      <c r="BF61" s="2319"/>
      <c r="BG61" s="2319"/>
      <c r="BH61" s="2319"/>
      <c r="BI61" s="2319"/>
      <c r="BJ61" s="2319"/>
      <c r="BK61" s="2319"/>
      <c r="BL61" s="2319"/>
      <c r="BM61" s="2319"/>
      <c r="BN61" s="2319"/>
      <c r="BO61" s="2319"/>
      <c r="BP61" s="2319"/>
      <c r="BQ61" s="2319"/>
      <c r="BR61" s="2319"/>
      <c r="BS61" s="2319"/>
      <c r="BT61" s="2319"/>
      <c r="BU61" s="2319"/>
      <c r="BV61" s="2319"/>
      <c r="BW61" s="2319"/>
      <c r="BX61" s="2319"/>
      <c r="BY61" s="2319"/>
      <c r="BZ61" s="2319"/>
      <c r="CA61" s="2319"/>
      <c r="CB61" s="2319"/>
      <c r="CC61" s="2319"/>
      <c r="CD61" s="2319"/>
      <c r="CE61" s="2319"/>
      <c r="CF61" s="2319"/>
      <c r="CG61" s="2319"/>
      <c r="CH61" s="2319"/>
      <c r="CI61" s="2319"/>
      <c r="CJ61" s="2319"/>
      <c r="CK61" s="2319"/>
      <c r="CL61" s="2319"/>
      <c r="CM61" s="2319"/>
      <c r="CN61" s="2319"/>
      <c r="CO61" s="2319"/>
      <c r="CP61" s="2319"/>
      <c r="CQ61" s="2319"/>
      <c r="CR61" s="2319"/>
      <c r="CS61" s="2319"/>
      <c r="CT61" s="2319"/>
      <c r="CU61" s="2319"/>
      <c r="CV61" s="2319"/>
    </row>
    <row r="62" spans="1:100" ht="15.75" customHeight="1">
      <c r="A62" s="2371"/>
      <c r="B62" s="2319"/>
      <c r="C62" s="2319"/>
      <c r="D62" s="2318"/>
      <c r="E62" s="2319"/>
      <c r="F62" s="2319"/>
      <c r="G62" s="2319"/>
      <c r="H62" s="2319"/>
      <c r="I62" s="2319"/>
      <c r="J62" s="2319"/>
      <c r="K62" s="2319"/>
      <c r="L62" s="2319"/>
      <c r="M62" s="2319"/>
      <c r="N62" s="2319"/>
      <c r="O62" s="2319"/>
      <c r="P62" s="2319"/>
      <c r="Q62" s="2319"/>
      <c r="R62" s="2319"/>
      <c r="S62" s="2319"/>
      <c r="T62" s="2319"/>
      <c r="U62" s="2319"/>
      <c r="V62" s="2319"/>
      <c r="W62" s="2319"/>
      <c r="X62" s="2319"/>
      <c r="Y62" s="2319"/>
      <c r="Z62" s="2319"/>
      <c r="AA62" s="2319"/>
      <c r="AB62" s="2319"/>
      <c r="AC62" s="2319"/>
      <c r="AD62" s="2319"/>
      <c r="AE62" s="2319"/>
      <c r="AF62" s="2319"/>
      <c r="AG62" s="2319"/>
      <c r="AH62" s="2319"/>
      <c r="AI62" s="2319"/>
      <c r="AJ62" s="2319"/>
      <c r="AK62" s="2319"/>
      <c r="AL62" s="2319"/>
      <c r="AM62" s="2319"/>
      <c r="AN62" s="2319"/>
      <c r="AO62" s="2319"/>
      <c r="AP62" s="2319"/>
      <c r="AQ62" s="2319"/>
      <c r="AR62" s="2319"/>
      <c r="AS62" s="2319"/>
      <c r="AT62" s="2319"/>
      <c r="AU62" s="2319"/>
      <c r="AV62" s="2319"/>
      <c r="AW62" s="2319"/>
      <c r="AX62" s="2319"/>
      <c r="AY62" s="2319"/>
      <c r="AZ62" s="2319"/>
      <c r="BA62" s="2319"/>
      <c r="BB62" s="2319"/>
      <c r="BC62" s="2319"/>
      <c r="BD62" s="2319"/>
      <c r="BE62" s="2319"/>
      <c r="BF62" s="2319"/>
      <c r="BG62" s="2319"/>
      <c r="BH62" s="2319"/>
      <c r="BI62" s="2319"/>
      <c r="BJ62" s="2319"/>
      <c r="BK62" s="2319"/>
      <c r="BL62" s="2319"/>
      <c r="BM62" s="2319"/>
      <c r="BN62" s="2319"/>
      <c r="BO62" s="2319"/>
      <c r="BP62" s="2319"/>
      <c r="BQ62" s="2319"/>
      <c r="BR62" s="2319"/>
      <c r="BS62" s="2319"/>
      <c r="BT62" s="2319"/>
      <c r="BU62" s="2319"/>
      <c r="BV62" s="2319"/>
      <c r="BW62" s="2319"/>
      <c r="BX62" s="2319"/>
      <c r="BY62" s="2319"/>
      <c r="BZ62" s="2319"/>
      <c r="CA62" s="2319"/>
      <c r="CB62" s="2319"/>
      <c r="CC62" s="2319"/>
      <c r="CD62" s="2319"/>
      <c r="CE62" s="2319"/>
      <c r="CF62" s="2319"/>
      <c r="CG62" s="2319"/>
      <c r="CH62" s="2319"/>
      <c r="CI62" s="2319"/>
      <c r="CJ62" s="2319"/>
      <c r="CK62" s="2319"/>
      <c r="CL62" s="2319"/>
      <c r="CM62" s="2319"/>
      <c r="CN62" s="2319"/>
      <c r="CO62" s="2319"/>
      <c r="CP62" s="2319"/>
      <c r="CQ62" s="2319"/>
      <c r="CR62" s="2319"/>
      <c r="CS62" s="2319"/>
      <c r="CT62" s="2319"/>
      <c r="CU62" s="2319"/>
      <c r="CV62" s="2319"/>
    </row>
    <row r="63" spans="1:100" ht="15.75" customHeight="1">
      <c r="A63" s="2371"/>
      <c r="B63" s="2319"/>
      <c r="C63" s="2319"/>
      <c r="D63" s="2318"/>
      <c r="E63" s="2319"/>
      <c r="F63" s="2319"/>
      <c r="G63" s="2319"/>
      <c r="H63" s="2319"/>
      <c r="I63" s="2319"/>
      <c r="J63" s="2319"/>
      <c r="K63" s="2319"/>
      <c r="L63" s="2319"/>
      <c r="M63" s="2319"/>
      <c r="N63" s="2319"/>
      <c r="O63" s="2319"/>
      <c r="P63" s="2319"/>
      <c r="Q63" s="2319"/>
      <c r="R63" s="2319"/>
      <c r="S63" s="2319"/>
      <c r="T63" s="2319"/>
      <c r="U63" s="2319"/>
      <c r="V63" s="2319"/>
      <c r="W63" s="2319"/>
      <c r="X63" s="2319"/>
      <c r="Y63" s="2319"/>
      <c r="Z63" s="2319"/>
      <c r="AA63" s="2319"/>
      <c r="AB63" s="2319"/>
      <c r="AC63" s="2319"/>
      <c r="AD63" s="2319"/>
      <c r="AE63" s="2319"/>
      <c r="AF63" s="2319"/>
      <c r="AG63" s="2319"/>
      <c r="AH63" s="2319"/>
      <c r="AI63" s="2319"/>
      <c r="AJ63" s="2319"/>
      <c r="AK63" s="2319"/>
      <c r="AL63" s="2319"/>
      <c r="AM63" s="2319"/>
      <c r="AN63" s="2319"/>
      <c r="AO63" s="2319"/>
      <c r="AP63" s="2319"/>
      <c r="AQ63" s="2319"/>
      <c r="AR63" s="2319"/>
      <c r="AS63" s="2319"/>
      <c r="AT63" s="2319"/>
      <c r="AU63" s="2319"/>
      <c r="AV63" s="2319"/>
      <c r="AW63" s="2319"/>
      <c r="AX63" s="2319"/>
      <c r="AY63" s="2319"/>
      <c r="AZ63" s="2319"/>
      <c r="BA63" s="2319"/>
      <c r="BB63" s="2319"/>
      <c r="BC63" s="2319"/>
      <c r="BD63" s="2319"/>
      <c r="BE63" s="2319"/>
      <c r="BF63" s="2319"/>
      <c r="BG63" s="2319"/>
      <c r="BH63" s="2319"/>
      <c r="BI63" s="2319"/>
      <c r="BJ63" s="2319"/>
      <c r="BK63" s="2319"/>
      <c r="BL63" s="2319"/>
      <c r="BM63" s="2319"/>
      <c r="BN63" s="2319"/>
      <c r="BO63" s="2319"/>
      <c r="BP63" s="2319"/>
      <c r="BQ63" s="2319"/>
      <c r="BR63" s="2319"/>
      <c r="BS63" s="2319"/>
      <c r="BT63" s="2319"/>
      <c r="BU63" s="2319"/>
      <c r="BV63" s="2319"/>
      <c r="BW63" s="2319"/>
      <c r="BX63" s="2319"/>
      <c r="BY63" s="2319"/>
      <c r="BZ63" s="2319"/>
      <c r="CA63" s="2319"/>
      <c r="CB63" s="2319"/>
      <c r="CC63" s="2319"/>
      <c r="CD63" s="2319"/>
      <c r="CE63" s="2319"/>
      <c r="CF63" s="2319"/>
      <c r="CG63" s="2319"/>
      <c r="CH63" s="2319"/>
      <c r="CI63" s="2319"/>
      <c r="CJ63" s="2319"/>
      <c r="CK63" s="2319"/>
      <c r="CL63" s="2319"/>
      <c r="CM63" s="2319"/>
      <c r="CN63" s="2319"/>
      <c r="CO63" s="2319"/>
      <c r="CP63" s="2319"/>
      <c r="CQ63" s="2319"/>
      <c r="CR63" s="2319"/>
      <c r="CS63" s="2319"/>
      <c r="CT63" s="2319"/>
      <c r="CU63" s="2319"/>
      <c r="CV63" s="2319"/>
    </row>
    <row r="64" spans="1:100" ht="15.75" customHeight="1">
      <c r="A64" s="2371"/>
      <c r="B64" s="2319"/>
      <c r="C64" s="2319"/>
      <c r="D64" s="2318"/>
      <c r="E64" s="2319"/>
      <c r="F64" s="2319"/>
      <c r="G64" s="2319"/>
      <c r="H64" s="2319"/>
      <c r="I64" s="2319"/>
      <c r="J64" s="2319"/>
      <c r="K64" s="2319"/>
      <c r="L64" s="2319"/>
      <c r="M64" s="2319"/>
      <c r="N64" s="2319"/>
      <c r="O64" s="2319"/>
      <c r="P64" s="2319"/>
      <c r="Q64" s="2319"/>
      <c r="R64" s="2319"/>
      <c r="S64" s="2319"/>
      <c r="T64" s="2319"/>
      <c r="U64" s="2319"/>
      <c r="V64" s="2319"/>
      <c r="W64" s="2319"/>
      <c r="X64" s="2319"/>
      <c r="Y64" s="2319"/>
      <c r="Z64" s="2319"/>
      <c r="AA64" s="2319"/>
      <c r="AB64" s="2319"/>
      <c r="AC64" s="2319"/>
      <c r="AD64" s="2319"/>
      <c r="AE64" s="2319"/>
      <c r="AF64" s="2319"/>
      <c r="AG64" s="2319"/>
      <c r="AH64" s="2319"/>
      <c r="AI64" s="2319"/>
      <c r="AJ64" s="2319"/>
      <c r="AK64" s="2319"/>
      <c r="AL64" s="2319"/>
      <c r="AM64" s="2319"/>
      <c r="AN64" s="2319"/>
      <c r="AO64" s="2319"/>
      <c r="AP64" s="2319"/>
      <c r="AQ64" s="2319"/>
      <c r="AR64" s="2319"/>
      <c r="AS64" s="2319"/>
      <c r="AT64" s="2319"/>
      <c r="AU64" s="2319"/>
      <c r="AV64" s="2319"/>
      <c r="AW64" s="2319"/>
      <c r="AX64" s="2319"/>
      <c r="AY64" s="2319"/>
      <c r="AZ64" s="2319"/>
      <c r="BA64" s="2319"/>
      <c r="BB64" s="2319"/>
      <c r="BC64" s="2319"/>
      <c r="BD64" s="2319"/>
      <c r="BE64" s="2319"/>
      <c r="BF64" s="2319"/>
      <c r="BG64" s="2319"/>
      <c r="BH64" s="2319"/>
      <c r="BI64" s="2319"/>
      <c r="BJ64" s="2319"/>
      <c r="BK64" s="2319"/>
      <c r="BL64" s="2319"/>
      <c r="BM64" s="2319"/>
      <c r="BN64" s="2319"/>
      <c r="BO64" s="2319"/>
      <c r="BP64" s="2319"/>
      <c r="BQ64" s="2319"/>
      <c r="BR64" s="2319"/>
      <c r="BS64" s="2319"/>
      <c r="BT64" s="2319"/>
      <c r="BU64" s="2319"/>
      <c r="BV64" s="2319"/>
      <c r="BW64" s="2319"/>
      <c r="BX64" s="2319"/>
      <c r="BY64" s="2319"/>
      <c r="BZ64" s="2319"/>
      <c r="CA64" s="2319"/>
      <c r="CB64" s="2319"/>
      <c r="CC64" s="2319"/>
      <c r="CD64" s="2319"/>
      <c r="CE64" s="2319"/>
      <c r="CF64" s="2319"/>
      <c r="CG64" s="2319"/>
      <c r="CH64" s="2319"/>
      <c r="CI64" s="2319"/>
      <c r="CJ64" s="2319"/>
      <c r="CK64" s="2319"/>
      <c r="CL64" s="2319"/>
      <c r="CM64" s="2319"/>
      <c r="CN64" s="2319"/>
      <c r="CO64" s="2319"/>
      <c r="CP64" s="2319"/>
      <c r="CQ64" s="2319"/>
      <c r="CR64" s="2319"/>
      <c r="CS64" s="2319"/>
      <c r="CT64" s="2319"/>
      <c r="CU64" s="2319"/>
      <c r="CV64" s="2319"/>
    </row>
    <row r="65" spans="1:100" ht="15.75" customHeight="1">
      <c r="A65" s="2371"/>
      <c r="B65" s="2319"/>
      <c r="C65" s="2319"/>
      <c r="D65" s="2318"/>
      <c r="E65" s="2319"/>
      <c r="F65" s="2319"/>
      <c r="G65" s="2319"/>
      <c r="H65" s="2319"/>
      <c r="I65" s="2319"/>
      <c r="J65" s="2319"/>
      <c r="K65" s="2319"/>
      <c r="L65" s="2319"/>
      <c r="M65" s="2319"/>
      <c r="N65" s="2319"/>
      <c r="O65" s="2319"/>
      <c r="P65" s="2319"/>
      <c r="Q65" s="2319"/>
      <c r="R65" s="2319"/>
      <c r="S65" s="2319"/>
      <c r="T65" s="2319"/>
      <c r="U65" s="2319"/>
      <c r="V65" s="2319"/>
      <c r="W65" s="2319"/>
      <c r="X65" s="2319"/>
      <c r="Y65" s="2319"/>
      <c r="Z65" s="2319"/>
      <c r="AA65" s="2319"/>
      <c r="AB65" s="2319"/>
      <c r="AC65" s="2319"/>
      <c r="AD65" s="2319"/>
      <c r="AE65" s="2319"/>
      <c r="AF65" s="2319"/>
      <c r="AG65" s="2319"/>
      <c r="AH65" s="2319"/>
      <c r="AI65" s="2319"/>
      <c r="AJ65" s="2319"/>
      <c r="AK65" s="2319"/>
      <c r="AL65" s="2319"/>
      <c r="AM65" s="2319"/>
      <c r="AN65" s="2319"/>
      <c r="AO65" s="2319"/>
      <c r="AP65" s="2319"/>
      <c r="AQ65" s="2319"/>
      <c r="AR65" s="2319"/>
      <c r="AS65" s="2319"/>
      <c r="AT65" s="2319"/>
      <c r="AU65" s="2319"/>
      <c r="AV65" s="2319"/>
      <c r="AW65" s="2319"/>
      <c r="AX65" s="2319"/>
      <c r="AY65" s="2319"/>
      <c r="AZ65" s="2319"/>
      <c r="BA65" s="2319"/>
      <c r="BB65" s="2319"/>
      <c r="BC65" s="2319"/>
      <c r="BD65" s="2319"/>
      <c r="BE65" s="2319"/>
      <c r="BF65" s="2319"/>
      <c r="BG65" s="2319"/>
      <c r="BH65" s="2319"/>
      <c r="BI65" s="2319"/>
      <c r="BJ65" s="2319"/>
      <c r="BK65" s="2319"/>
      <c r="BL65" s="2319"/>
      <c r="BM65" s="2319"/>
      <c r="BN65" s="2319"/>
      <c r="BO65" s="2319"/>
      <c r="BP65" s="2319"/>
      <c r="BQ65" s="2319"/>
      <c r="BR65" s="2319"/>
      <c r="BS65" s="2319"/>
      <c r="BT65" s="2319"/>
      <c r="BU65" s="2319"/>
      <c r="BV65" s="2319"/>
      <c r="BW65" s="2319"/>
      <c r="BX65" s="2319"/>
      <c r="BY65" s="2319"/>
      <c r="BZ65" s="2319"/>
      <c r="CA65" s="2319"/>
      <c r="CB65" s="2319"/>
      <c r="CC65" s="2319"/>
      <c r="CD65" s="2319"/>
      <c r="CE65" s="2319"/>
      <c r="CF65" s="2319"/>
      <c r="CG65" s="2319"/>
      <c r="CH65" s="2319"/>
      <c r="CI65" s="2319"/>
      <c r="CJ65" s="2319"/>
      <c r="CK65" s="2319"/>
      <c r="CL65" s="2319"/>
      <c r="CM65" s="2319"/>
      <c r="CN65" s="2319"/>
      <c r="CO65" s="2319"/>
      <c r="CP65" s="2319"/>
      <c r="CQ65" s="2319"/>
      <c r="CR65" s="2319"/>
      <c r="CS65" s="2319"/>
      <c r="CT65" s="2319"/>
      <c r="CU65" s="2319"/>
      <c r="CV65" s="2319"/>
    </row>
    <row r="66" spans="1:100" ht="15.75" customHeight="1">
      <c r="A66" s="2371"/>
      <c r="B66" s="2319"/>
      <c r="C66" s="2319"/>
      <c r="D66" s="2318"/>
      <c r="E66" s="2319"/>
      <c r="F66" s="2319"/>
      <c r="G66" s="2319"/>
      <c r="H66" s="2319"/>
      <c r="I66" s="2319"/>
      <c r="J66" s="2319"/>
      <c r="K66" s="2319"/>
      <c r="L66" s="2319"/>
      <c r="M66" s="2319"/>
      <c r="N66" s="2319"/>
      <c r="O66" s="2319"/>
      <c r="P66" s="2319"/>
      <c r="Q66" s="2319"/>
      <c r="R66" s="2319"/>
      <c r="S66" s="2319"/>
      <c r="T66" s="2319"/>
      <c r="U66" s="2319"/>
      <c r="V66" s="2319"/>
      <c r="W66" s="2319"/>
      <c r="X66" s="2319"/>
      <c r="Y66" s="2319"/>
      <c r="Z66" s="2319"/>
      <c r="AA66" s="2319"/>
      <c r="AB66" s="2319"/>
      <c r="AC66" s="2319"/>
      <c r="AD66" s="2319"/>
      <c r="AE66" s="2319"/>
      <c r="AF66" s="2319"/>
      <c r="AG66" s="2319"/>
      <c r="AH66" s="2319"/>
      <c r="AI66" s="2319"/>
      <c r="AJ66" s="2319"/>
      <c r="AK66" s="2319"/>
      <c r="AL66" s="2319"/>
      <c r="AM66" s="2319"/>
      <c r="AN66" s="2319"/>
      <c r="AO66" s="2319"/>
      <c r="AP66" s="2319"/>
      <c r="AQ66" s="2319"/>
      <c r="AR66" s="2319"/>
      <c r="AS66" s="2319"/>
      <c r="AT66" s="2319"/>
      <c r="AU66" s="2319"/>
      <c r="AV66" s="2319"/>
      <c r="AW66" s="2319"/>
      <c r="AX66" s="2319"/>
      <c r="AY66" s="2319"/>
      <c r="AZ66" s="2319"/>
      <c r="BA66" s="2319"/>
      <c r="BB66" s="2319"/>
      <c r="BC66" s="2319"/>
      <c r="BD66" s="2319"/>
      <c r="BE66" s="2319"/>
      <c r="BF66" s="2319"/>
      <c r="BG66" s="2319"/>
      <c r="BH66" s="2319"/>
      <c r="BI66" s="2319"/>
      <c r="BJ66" s="2319"/>
      <c r="BK66" s="2319"/>
      <c r="BL66" s="2319"/>
      <c r="BM66" s="2319"/>
      <c r="BN66" s="2319"/>
      <c r="BO66" s="2319"/>
      <c r="BP66" s="2319"/>
      <c r="BQ66" s="2319"/>
      <c r="BR66" s="2319"/>
      <c r="BS66" s="2319"/>
      <c r="BT66" s="2319"/>
      <c r="BU66" s="2319"/>
      <c r="BV66" s="2319"/>
      <c r="BW66" s="2319"/>
      <c r="BX66" s="2319"/>
      <c r="BY66" s="2319"/>
      <c r="BZ66" s="2319"/>
      <c r="CA66" s="2319"/>
      <c r="CB66" s="2319"/>
      <c r="CC66" s="2319"/>
      <c r="CD66" s="2319"/>
      <c r="CE66" s="2319"/>
      <c r="CF66" s="2319"/>
      <c r="CG66" s="2319"/>
      <c r="CH66" s="2319"/>
      <c r="CI66" s="2319"/>
      <c r="CJ66" s="2319"/>
      <c r="CK66" s="2319"/>
      <c r="CL66" s="2319"/>
      <c r="CM66" s="2319"/>
      <c r="CN66" s="2319"/>
      <c r="CO66" s="2319"/>
      <c r="CP66" s="2319"/>
      <c r="CQ66" s="2319"/>
      <c r="CR66" s="2319"/>
      <c r="CS66" s="2319"/>
      <c r="CT66" s="2319"/>
      <c r="CU66" s="2319"/>
      <c r="CV66" s="2319"/>
    </row>
    <row r="67" spans="1:100" ht="15.75" customHeight="1">
      <c r="A67" s="2371"/>
      <c r="B67" s="2319"/>
      <c r="C67" s="2319"/>
      <c r="D67" s="2318"/>
      <c r="E67" s="2319"/>
      <c r="F67" s="2319"/>
      <c r="G67" s="2319"/>
      <c r="H67" s="2319"/>
      <c r="I67" s="2319"/>
      <c r="J67" s="2319"/>
      <c r="K67" s="2319"/>
      <c r="L67" s="2319"/>
      <c r="M67" s="2319"/>
      <c r="N67" s="2319"/>
      <c r="O67" s="2319"/>
      <c r="P67" s="2319"/>
      <c r="Q67" s="2319"/>
      <c r="R67" s="2319"/>
      <c r="S67" s="2319"/>
      <c r="T67" s="2319"/>
      <c r="U67" s="2319"/>
      <c r="V67" s="2319"/>
      <c r="W67" s="2319"/>
      <c r="X67" s="2319"/>
      <c r="Y67" s="2319"/>
      <c r="Z67" s="2319"/>
      <c r="AA67" s="2319"/>
      <c r="AB67" s="2319"/>
      <c r="AC67" s="2319"/>
      <c r="AD67" s="2319"/>
      <c r="AE67" s="2319"/>
      <c r="AF67" s="2319"/>
      <c r="AG67" s="2319"/>
      <c r="AH67" s="2319"/>
      <c r="AI67" s="2319"/>
      <c r="AJ67" s="2319"/>
      <c r="AK67" s="2319"/>
      <c r="AL67" s="2319"/>
      <c r="AM67" s="2319"/>
      <c r="AN67" s="2319"/>
      <c r="AO67" s="2319"/>
      <c r="AP67" s="2319"/>
      <c r="AQ67" s="2319"/>
      <c r="AR67" s="2319"/>
      <c r="AS67" s="2319"/>
      <c r="AT67" s="2319"/>
      <c r="AU67" s="2319"/>
      <c r="AV67" s="2319"/>
      <c r="AW67" s="2319"/>
      <c r="AX67" s="2319"/>
      <c r="AY67" s="2319"/>
      <c r="AZ67" s="2319"/>
      <c r="BA67" s="2319"/>
      <c r="BB67" s="2319"/>
      <c r="BC67" s="2319"/>
      <c r="BD67" s="2319"/>
      <c r="BE67" s="2319"/>
      <c r="BF67" s="2319"/>
      <c r="BG67" s="2319"/>
      <c r="BH67" s="2319"/>
      <c r="BI67" s="2319"/>
      <c r="BJ67" s="2319"/>
      <c r="BK67" s="2319"/>
      <c r="BL67" s="2319"/>
      <c r="BM67" s="2319"/>
      <c r="BN67" s="2319"/>
      <c r="BO67" s="2319"/>
      <c r="BP67" s="2319"/>
      <c r="BQ67" s="2319"/>
      <c r="BR67" s="2319"/>
      <c r="BS67" s="2319"/>
      <c r="BT67" s="2319"/>
      <c r="BU67" s="2319"/>
      <c r="BV67" s="2319"/>
      <c r="BW67" s="2319"/>
      <c r="BX67" s="2319"/>
      <c r="BY67" s="2319"/>
      <c r="BZ67" s="2319"/>
      <c r="CA67" s="2319"/>
      <c r="CB67" s="2319"/>
      <c r="CC67" s="2319"/>
      <c r="CD67" s="2319"/>
      <c r="CE67" s="2319"/>
      <c r="CF67" s="2319"/>
      <c r="CG67" s="2319"/>
      <c r="CH67" s="2319"/>
      <c r="CI67" s="2319"/>
      <c r="CJ67" s="2319"/>
      <c r="CK67" s="2319"/>
      <c r="CL67" s="2319"/>
      <c r="CM67" s="2319"/>
      <c r="CN67" s="2319"/>
      <c r="CO67" s="2319"/>
      <c r="CP67" s="2319"/>
      <c r="CQ67" s="2319"/>
      <c r="CR67" s="2319"/>
      <c r="CS67" s="2319"/>
      <c r="CT67" s="2319"/>
      <c r="CU67" s="2319"/>
      <c r="CV67" s="2319"/>
    </row>
    <row r="68" spans="1:100" ht="15.75" customHeight="1">
      <c r="A68" s="2371"/>
      <c r="B68" s="2319"/>
      <c r="C68" s="2319"/>
      <c r="D68" s="2318"/>
      <c r="E68" s="2319"/>
      <c r="F68" s="2319"/>
      <c r="G68" s="2319"/>
      <c r="H68" s="2319"/>
      <c r="I68" s="2319"/>
      <c r="J68" s="2319"/>
      <c r="K68" s="2319"/>
      <c r="L68" s="2319"/>
      <c r="M68" s="2319"/>
      <c r="N68" s="2319"/>
      <c r="O68" s="2319"/>
      <c r="P68" s="2319"/>
      <c r="Q68" s="2319"/>
      <c r="R68" s="2319"/>
      <c r="S68" s="2319"/>
      <c r="T68" s="2319"/>
      <c r="U68" s="2319"/>
      <c r="V68" s="2319"/>
      <c r="W68" s="2319"/>
      <c r="X68" s="2319"/>
      <c r="Y68" s="2319"/>
      <c r="Z68" s="2319"/>
      <c r="AA68" s="2319"/>
      <c r="AB68" s="2319"/>
      <c r="AC68" s="2319"/>
      <c r="AD68" s="2319"/>
      <c r="AE68" s="2319"/>
      <c r="AF68" s="2319"/>
      <c r="AG68" s="2319"/>
      <c r="AH68" s="2319"/>
      <c r="AI68" s="2319"/>
      <c r="AJ68" s="2319"/>
      <c r="AK68" s="2319"/>
      <c r="AL68" s="2319"/>
      <c r="AM68" s="2319"/>
      <c r="AN68" s="2319"/>
      <c r="AO68" s="2319"/>
      <c r="AP68" s="2319"/>
      <c r="AQ68" s="2319"/>
      <c r="AR68" s="2319"/>
      <c r="AS68" s="2319"/>
      <c r="AT68" s="2319"/>
      <c r="AU68" s="2319"/>
      <c r="AV68" s="2319"/>
      <c r="AW68" s="2319"/>
      <c r="AX68" s="2319"/>
      <c r="AY68" s="2319"/>
      <c r="AZ68" s="2319"/>
      <c r="BA68" s="2319"/>
      <c r="BB68" s="2319"/>
      <c r="BC68" s="2319"/>
      <c r="BD68" s="2319"/>
      <c r="BE68" s="2319"/>
      <c r="BF68" s="2319"/>
      <c r="BG68" s="2319"/>
      <c r="BH68" s="2319"/>
      <c r="BI68" s="2319"/>
      <c r="BJ68" s="2319"/>
      <c r="BK68" s="2319"/>
      <c r="BL68" s="2319"/>
      <c r="BM68" s="2319"/>
      <c r="BN68" s="2319"/>
      <c r="BO68" s="2319"/>
      <c r="BP68" s="2319"/>
      <c r="BQ68" s="2319"/>
      <c r="BR68" s="2319"/>
      <c r="BS68" s="2319"/>
      <c r="BT68" s="2319"/>
      <c r="BU68" s="2319"/>
      <c r="BV68" s="2319"/>
      <c r="BW68" s="2319"/>
      <c r="BX68" s="2319"/>
      <c r="BY68" s="2319"/>
      <c r="BZ68" s="2319"/>
      <c r="CA68" s="2319"/>
      <c r="CB68" s="2319"/>
      <c r="CC68" s="2319"/>
      <c r="CD68" s="2319"/>
      <c r="CE68" s="2319"/>
      <c r="CF68" s="2319"/>
      <c r="CG68" s="2319"/>
      <c r="CH68" s="2319"/>
      <c r="CI68" s="2319"/>
      <c r="CJ68" s="2319"/>
      <c r="CK68" s="2319"/>
      <c r="CL68" s="2319"/>
      <c r="CM68" s="2319"/>
      <c r="CN68" s="2319"/>
      <c r="CO68" s="2319"/>
      <c r="CP68" s="2319"/>
      <c r="CQ68" s="2319"/>
      <c r="CR68" s="2319"/>
      <c r="CS68" s="2319"/>
      <c r="CT68" s="2319"/>
      <c r="CU68" s="2319"/>
      <c r="CV68" s="2319"/>
    </row>
    <row r="69" spans="1:100" ht="15.75" customHeight="1">
      <c r="A69" s="2371"/>
      <c r="B69" s="2319"/>
      <c r="C69" s="2319"/>
      <c r="D69" s="2318"/>
      <c r="E69" s="2319"/>
      <c r="F69" s="2319"/>
      <c r="G69" s="2319"/>
      <c r="H69" s="2319"/>
      <c r="I69" s="2319"/>
      <c r="J69" s="2319"/>
      <c r="K69" s="2319"/>
      <c r="L69" s="2319"/>
      <c r="M69" s="2319"/>
      <c r="N69" s="2319"/>
      <c r="O69" s="2319"/>
      <c r="P69" s="2319"/>
      <c r="Q69" s="2319"/>
      <c r="R69" s="2319"/>
      <c r="S69" s="2319"/>
      <c r="T69" s="2319"/>
      <c r="U69" s="2319"/>
      <c r="V69" s="2319"/>
      <c r="W69" s="2319"/>
      <c r="X69" s="2319"/>
      <c r="Y69" s="2319"/>
      <c r="Z69" s="2319"/>
      <c r="AA69" s="2319"/>
      <c r="AB69" s="2319"/>
      <c r="AC69" s="2319"/>
      <c r="AD69" s="2319"/>
      <c r="AE69" s="2319"/>
      <c r="AF69" s="2319"/>
      <c r="AG69" s="2319"/>
      <c r="AH69" s="2319"/>
      <c r="AI69" s="2319"/>
      <c r="AJ69" s="2319"/>
      <c r="AK69" s="2319"/>
      <c r="AL69" s="2319"/>
      <c r="AM69" s="2319"/>
      <c r="AN69" s="2319"/>
      <c r="AO69" s="2319"/>
      <c r="AP69" s="2319"/>
      <c r="AQ69" s="2319"/>
      <c r="AR69" s="2319"/>
      <c r="AS69" s="2319"/>
      <c r="AT69" s="2319"/>
      <c r="AU69" s="2319"/>
      <c r="AV69" s="2319"/>
      <c r="AW69" s="2319"/>
      <c r="AX69" s="2319"/>
      <c r="AY69" s="2319"/>
      <c r="AZ69" s="2319"/>
      <c r="BA69" s="2319"/>
      <c r="BB69" s="2319"/>
      <c r="BC69" s="2319"/>
      <c r="BD69" s="2319"/>
      <c r="BE69" s="2319"/>
      <c r="BF69" s="2319"/>
      <c r="BG69" s="2319"/>
      <c r="BH69" s="2319"/>
      <c r="BI69" s="2319"/>
      <c r="BJ69" s="2319"/>
      <c r="BK69" s="2319"/>
      <c r="BL69" s="2319"/>
      <c r="BM69" s="2319"/>
      <c r="BN69" s="2319"/>
      <c r="BO69" s="2319"/>
      <c r="BP69" s="2319"/>
      <c r="BQ69" s="2319"/>
      <c r="BR69" s="2319"/>
      <c r="BS69" s="2319"/>
      <c r="BT69" s="2319"/>
      <c r="BU69" s="2319"/>
      <c r="BV69" s="2319"/>
      <c r="BW69" s="2319"/>
      <c r="BX69" s="2319"/>
      <c r="BY69" s="2319"/>
      <c r="BZ69" s="2319"/>
      <c r="CA69" s="2319"/>
      <c r="CB69" s="2319"/>
      <c r="CC69" s="2319"/>
      <c r="CD69" s="2319"/>
      <c r="CE69" s="2319"/>
      <c r="CF69" s="2319"/>
      <c r="CG69" s="2319"/>
      <c r="CH69" s="2319"/>
      <c r="CI69" s="2319"/>
      <c r="CJ69" s="2319"/>
      <c r="CK69" s="2319"/>
      <c r="CL69" s="2319"/>
      <c r="CM69" s="2319"/>
      <c r="CN69" s="2319"/>
      <c r="CO69" s="2319"/>
      <c r="CP69" s="2319"/>
      <c r="CQ69" s="2319"/>
      <c r="CR69" s="2319"/>
      <c r="CS69" s="2319"/>
      <c r="CT69" s="2319"/>
      <c r="CU69" s="2319"/>
      <c r="CV69" s="2319"/>
    </row>
    <row r="70" spans="1:100" ht="15.75" customHeight="1">
      <c r="A70" s="2371"/>
      <c r="B70" s="2319"/>
      <c r="C70" s="2319"/>
      <c r="D70" s="2318"/>
      <c r="E70" s="2319"/>
      <c r="F70" s="2319"/>
      <c r="G70" s="2319"/>
      <c r="H70" s="2319"/>
      <c r="I70" s="2319"/>
      <c r="J70" s="2319"/>
      <c r="K70" s="2319"/>
      <c r="L70" s="2319"/>
      <c r="M70" s="2319"/>
      <c r="N70" s="2319"/>
      <c r="O70" s="2319"/>
      <c r="P70" s="2319"/>
      <c r="Q70" s="2319"/>
      <c r="R70" s="2319"/>
      <c r="S70" s="2319"/>
      <c r="T70" s="2319"/>
      <c r="U70" s="2319"/>
      <c r="V70" s="2319"/>
      <c r="W70" s="2319"/>
      <c r="X70" s="2319"/>
      <c r="Y70" s="2319"/>
      <c r="Z70" s="2319"/>
      <c r="AA70" s="2319"/>
      <c r="AB70" s="2319"/>
      <c r="AC70" s="2319"/>
      <c r="AD70" s="2319"/>
      <c r="AE70" s="2319"/>
      <c r="AF70" s="2319"/>
      <c r="AG70" s="2319"/>
      <c r="AH70" s="2319"/>
      <c r="AI70" s="2319"/>
      <c r="AJ70" s="2319"/>
      <c r="AK70" s="2319"/>
      <c r="AL70" s="2319"/>
      <c r="AM70" s="2319"/>
      <c r="AN70" s="2319"/>
      <c r="AO70" s="2319"/>
      <c r="AP70" s="2319"/>
      <c r="AQ70" s="2319"/>
      <c r="AR70" s="2319"/>
      <c r="AS70" s="2319"/>
      <c r="AT70" s="2319"/>
      <c r="AU70" s="2319"/>
      <c r="AV70" s="2319"/>
      <c r="AW70" s="2319"/>
      <c r="AX70" s="2319"/>
      <c r="AY70" s="2319"/>
      <c r="AZ70" s="2319"/>
      <c r="BA70" s="2319"/>
      <c r="BB70" s="2319"/>
      <c r="BC70" s="2319"/>
      <c r="BD70" s="2319"/>
      <c r="BE70" s="2319"/>
      <c r="BF70" s="2319"/>
      <c r="BG70" s="2319"/>
      <c r="BH70" s="2319"/>
      <c r="BI70" s="2319"/>
      <c r="BJ70" s="2319"/>
      <c r="BK70" s="2319"/>
      <c r="BL70" s="2319"/>
      <c r="BM70" s="2319"/>
      <c r="BN70" s="2319"/>
      <c r="BO70" s="2319"/>
      <c r="BP70" s="2319"/>
      <c r="BQ70" s="2319"/>
      <c r="BR70" s="2319"/>
      <c r="BS70" s="2319"/>
      <c r="BT70" s="2319"/>
      <c r="BU70" s="2319"/>
      <c r="BV70" s="2319"/>
      <c r="BW70" s="2319"/>
      <c r="BX70" s="2319"/>
      <c r="BY70" s="2319"/>
      <c r="BZ70" s="2319"/>
      <c r="CA70" s="2319"/>
      <c r="CB70" s="2319"/>
      <c r="CC70" s="2319"/>
      <c r="CD70" s="2319"/>
      <c r="CE70" s="2319"/>
      <c r="CF70" s="2319"/>
      <c r="CG70" s="2319"/>
      <c r="CH70" s="2319"/>
      <c r="CI70" s="2319"/>
      <c r="CJ70" s="2319"/>
      <c r="CK70" s="2319"/>
      <c r="CL70" s="2319"/>
      <c r="CM70" s="2319"/>
      <c r="CN70" s="2319"/>
      <c r="CO70" s="2319"/>
      <c r="CP70" s="2319"/>
      <c r="CQ70" s="2319"/>
      <c r="CR70" s="2319"/>
      <c r="CS70" s="2319"/>
      <c r="CT70" s="2319"/>
      <c r="CU70" s="2319"/>
      <c r="CV70" s="2319"/>
    </row>
    <row r="71" spans="1:100" ht="15.75" customHeight="1">
      <c r="A71" s="2371"/>
      <c r="B71" s="2319"/>
      <c r="C71" s="2319"/>
      <c r="D71" s="2318"/>
      <c r="E71" s="2319"/>
      <c r="F71" s="2319"/>
      <c r="G71" s="2319"/>
      <c r="H71" s="2319"/>
      <c r="I71" s="2319"/>
      <c r="J71" s="2319"/>
      <c r="K71" s="2319"/>
      <c r="L71" s="2319"/>
      <c r="M71" s="2319"/>
      <c r="N71" s="2319"/>
      <c r="O71" s="2319"/>
      <c r="P71" s="2319"/>
      <c r="Q71" s="2319"/>
      <c r="R71" s="2319"/>
      <c r="S71" s="2319"/>
      <c r="T71" s="2319"/>
      <c r="U71" s="2319"/>
      <c r="V71" s="2319"/>
      <c r="W71" s="2319"/>
      <c r="X71" s="2319"/>
      <c r="Y71" s="2319"/>
      <c r="Z71" s="2319"/>
      <c r="AA71" s="2319"/>
      <c r="AB71" s="2319"/>
      <c r="AC71" s="2319"/>
      <c r="AD71" s="2319"/>
      <c r="AE71" s="2319"/>
      <c r="AF71" s="2319"/>
      <c r="AG71" s="2319"/>
      <c r="AH71" s="2319"/>
      <c r="AI71" s="2319"/>
      <c r="AJ71" s="2319"/>
      <c r="AK71" s="2319"/>
      <c r="AL71" s="2319"/>
      <c r="AM71" s="2319"/>
      <c r="AN71" s="2319"/>
      <c r="AO71" s="2319"/>
      <c r="AP71" s="2319"/>
      <c r="AQ71" s="2319"/>
      <c r="AR71" s="2319"/>
      <c r="AS71" s="2319"/>
      <c r="AT71" s="2319"/>
      <c r="AU71" s="2319"/>
      <c r="AV71" s="2319"/>
      <c r="AW71" s="2319"/>
      <c r="AX71" s="2319"/>
      <c r="AY71" s="2319"/>
      <c r="AZ71" s="2319"/>
      <c r="BA71" s="2319"/>
      <c r="BB71" s="2319"/>
      <c r="BC71" s="2319"/>
      <c r="BD71" s="2319"/>
      <c r="BE71" s="2319"/>
      <c r="BF71" s="2319"/>
      <c r="BG71" s="2319"/>
      <c r="BH71" s="2319"/>
      <c r="BI71" s="2319"/>
      <c r="BJ71" s="2319"/>
      <c r="BK71" s="2319"/>
      <c r="BL71" s="2319"/>
      <c r="BM71" s="2319"/>
      <c r="BN71" s="2319"/>
      <c r="BO71" s="2319"/>
      <c r="BP71" s="2319"/>
      <c r="BQ71" s="2319"/>
      <c r="BR71" s="2319"/>
      <c r="BS71" s="2319"/>
      <c r="BT71" s="2319"/>
      <c r="BU71" s="2319"/>
      <c r="BV71" s="2319"/>
      <c r="BW71" s="2319"/>
      <c r="BX71" s="2319"/>
      <c r="BY71" s="2319"/>
      <c r="BZ71" s="2319"/>
      <c r="CA71" s="2319"/>
      <c r="CB71" s="2319"/>
      <c r="CC71" s="2319"/>
      <c r="CD71" s="2319"/>
      <c r="CE71" s="2319"/>
      <c r="CF71" s="2319"/>
      <c r="CG71" s="2319"/>
      <c r="CH71" s="2319"/>
      <c r="CI71" s="2319"/>
      <c r="CJ71" s="2319"/>
      <c r="CK71" s="2319"/>
      <c r="CL71" s="2319"/>
      <c r="CM71" s="2319"/>
      <c r="CN71" s="2319"/>
      <c r="CO71" s="2319"/>
      <c r="CP71" s="2319"/>
      <c r="CQ71" s="2319"/>
      <c r="CR71" s="2319"/>
      <c r="CS71" s="2319"/>
      <c r="CT71" s="2319"/>
      <c r="CU71" s="2319"/>
      <c r="CV71" s="2319"/>
    </row>
    <row r="72" spans="1:100" ht="15.75" customHeight="1">
      <c r="A72" s="2371"/>
      <c r="B72" s="2319"/>
      <c r="C72" s="2319"/>
      <c r="D72" s="2318"/>
      <c r="E72" s="2319"/>
      <c r="F72" s="2319"/>
      <c r="G72" s="2319"/>
      <c r="H72" s="2319"/>
      <c r="I72" s="2319"/>
      <c r="J72" s="2319"/>
      <c r="K72" s="2319"/>
      <c r="L72" s="2319"/>
      <c r="M72" s="2319"/>
      <c r="N72" s="2319"/>
      <c r="O72" s="2319"/>
      <c r="P72" s="2319"/>
      <c r="Q72" s="2319"/>
      <c r="R72" s="2319"/>
      <c r="S72" s="2319"/>
      <c r="T72" s="2319"/>
      <c r="U72" s="2319"/>
      <c r="V72" s="2319"/>
      <c r="W72" s="2319"/>
      <c r="X72" s="2319"/>
      <c r="Y72" s="2319"/>
      <c r="Z72" s="2319"/>
      <c r="AA72" s="2319"/>
      <c r="AB72" s="2319"/>
      <c r="AC72" s="2319"/>
      <c r="AD72" s="2319"/>
      <c r="AE72" s="2319"/>
      <c r="AF72" s="2319"/>
      <c r="AG72" s="2319"/>
      <c r="AH72" s="2319"/>
      <c r="AI72" s="2319"/>
      <c r="AJ72" s="2319"/>
      <c r="AK72" s="2319"/>
      <c r="AL72" s="2319"/>
      <c r="AM72" s="2319"/>
      <c r="AN72" s="2319"/>
      <c r="AO72" s="2319"/>
      <c r="AP72" s="2319"/>
      <c r="AQ72" s="2319"/>
      <c r="AR72" s="2319"/>
      <c r="AS72" s="2319"/>
      <c r="AT72" s="2319"/>
      <c r="AU72" s="2319"/>
      <c r="AV72" s="2319"/>
      <c r="AW72" s="2319"/>
      <c r="AX72" s="2319"/>
      <c r="AY72" s="2319"/>
      <c r="AZ72" s="2319"/>
      <c r="BA72" s="2319"/>
      <c r="BB72" s="2319"/>
      <c r="BC72" s="2319"/>
      <c r="BD72" s="2319"/>
      <c r="BE72" s="2319"/>
      <c r="BF72" s="2319"/>
      <c r="BG72" s="2319"/>
      <c r="BH72" s="2319"/>
      <c r="BI72" s="2319"/>
      <c r="BJ72" s="2319"/>
      <c r="BK72" s="2319"/>
      <c r="BL72" s="2319"/>
      <c r="BM72" s="2319"/>
      <c r="BN72" s="2319"/>
      <c r="BO72" s="2319"/>
      <c r="BP72" s="2319"/>
      <c r="BQ72" s="2319"/>
      <c r="BR72" s="2319"/>
      <c r="BS72" s="2319"/>
      <c r="BT72" s="2319"/>
      <c r="BU72" s="2319"/>
      <c r="BV72" s="2319"/>
      <c r="BW72" s="2319"/>
      <c r="BX72" s="2319"/>
      <c r="BY72" s="2319"/>
      <c r="BZ72" s="2319"/>
      <c r="CA72" s="2319"/>
      <c r="CB72" s="2319"/>
      <c r="CC72" s="2319"/>
      <c r="CD72" s="2319"/>
      <c r="CE72" s="2319"/>
      <c r="CF72" s="2319"/>
      <c r="CG72" s="2319"/>
      <c r="CH72" s="2319"/>
      <c r="CI72" s="2319"/>
      <c r="CJ72" s="2319"/>
      <c r="CK72" s="2319"/>
      <c r="CL72" s="2319"/>
      <c r="CM72" s="2319"/>
      <c r="CN72" s="2319"/>
      <c r="CO72" s="2319"/>
      <c r="CP72" s="2319"/>
      <c r="CQ72" s="2319"/>
      <c r="CR72" s="2319"/>
      <c r="CS72" s="2319"/>
      <c r="CT72" s="2319"/>
      <c r="CU72" s="2319"/>
      <c r="CV72" s="2319"/>
    </row>
    <row r="73" spans="1:100" ht="15.75" customHeight="1">
      <c r="A73" s="2371"/>
      <c r="B73" s="2319"/>
      <c r="C73" s="2319"/>
      <c r="D73" s="2318"/>
      <c r="E73" s="2319"/>
      <c r="F73" s="2319"/>
      <c r="G73" s="2319"/>
      <c r="H73" s="2319"/>
      <c r="I73" s="2319"/>
      <c r="J73" s="2319"/>
      <c r="K73" s="2319"/>
      <c r="L73" s="2319"/>
      <c r="M73" s="2319"/>
      <c r="N73" s="2319"/>
      <c r="O73" s="2319"/>
      <c r="P73" s="2319"/>
      <c r="Q73" s="2319"/>
      <c r="R73" s="2319"/>
      <c r="S73" s="2319"/>
      <c r="T73" s="2319"/>
      <c r="U73" s="2319"/>
      <c r="V73" s="2319"/>
      <c r="W73" s="2319"/>
      <c r="X73" s="2319"/>
      <c r="Y73" s="2319"/>
      <c r="Z73" s="2319"/>
      <c r="AA73" s="2319"/>
      <c r="AB73" s="2319"/>
      <c r="AC73" s="2319"/>
      <c r="AD73" s="2319"/>
      <c r="AE73" s="2319"/>
      <c r="AF73" s="2319"/>
      <c r="AG73" s="2319"/>
      <c r="AH73" s="2319"/>
      <c r="AI73" s="2319"/>
      <c r="AJ73" s="2319"/>
      <c r="AK73" s="2319"/>
      <c r="AL73" s="2319"/>
      <c r="AM73" s="2319"/>
      <c r="AN73" s="2319"/>
      <c r="AO73" s="2319"/>
      <c r="AP73" s="2319"/>
      <c r="AQ73" s="2319"/>
      <c r="AR73" s="2319"/>
      <c r="AS73" s="2319"/>
      <c r="AT73" s="2319"/>
      <c r="AU73" s="2319"/>
      <c r="AV73" s="2319"/>
      <c r="AW73" s="2319"/>
      <c r="AX73" s="2319"/>
      <c r="AY73" s="2319"/>
      <c r="AZ73" s="2319"/>
      <c r="BA73" s="2319"/>
      <c r="BB73" s="2319"/>
      <c r="BC73" s="2319"/>
      <c r="BD73" s="2319"/>
      <c r="BE73" s="2319"/>
      <c r="BF73" s="2319"/>
      <c r="BG73" s="2319"/>
      <c r="BH73" s="2319"/>
      <c r="BI73" s="2319"/>
      <c r="BJ73" s="2319"/>
      <c r="BK73" s="2319"/>
      <c r="BL73" s="2319"/>
      <c r="BM73" s="2319"/>
      <c r="BN73" s="2319"/>
      <c r="BO73" s="2319"/>
      <c r="BP73" s="2319"/>
      <c r="BQ73" s="2319"/>
      <c r="BR73" s="2319"/>
      <c r="BS73" s="2319"/>
      <c r="BT73" s="2319"/>
      <c r="BU73" s="2319"/>
      <c r="BV73" s="2319"/>
      <c r="BW73" s="2319"/>
      <c r="BX73" s="2319"/>
      <c r="BY73" s="2319"/>
      <c r="BZ73" s="2319"/>
      <c r="CA73" s="2319"/>
      <c r="CB73" s="2319"/>
      <c r="CC73" s="2319"/>
      <c r="CD73" s="2319"/>
      <c r="CE73" s="2319"/>
      <c r="CF73" s="2319"/>
      <c r="CG73" s="2319"/>
      <c r="CH73" s="2319"/>
      <c r="CI73" s="2319"/>
      <c r="CJ73" s="2319"/>
      <c r="CK73" s="2319"/>
      <c r="CL73" s="2319"/>
      <c r="CM73" s="2319"/>
      <c r="CN73" s="2319"/>
      <c r="CO73" s="2319"/>
      <c r="CP73" s="2319"/>
      <c r="CQ73" s="2319"/>
      <c r="CR73" s="2319"/>
      <c r="CS73" s="2319"/>
      <c r="CT73" s="2319"/>
      <c r="CU73" s="2319"/>
      <c r="CV73" s="2319"/>
    </row>
    <row r="74" spans="1:100" ht="15.75" customHeight="1">
      <c r="A74" s="2371"/>
      <c r="B74" s="2319"/>
      <c r="C74" s="2319"/>
      <c r="D74" s="2318"/>
      <c r="E74" s="2319"/>
      <c r="F74" s="2319"/>
      <c r="G74" s="2319"/>
      <c r="H74" s="2319"/>
      <c r="I74" s="2319"/>
      <c r="J74" s="2319"/>
      <c r="K74" s="2319"/>
      <c r="L74" s="2319"/>
      <c r="M74" s="2319"/>
      <c r="N74" s="2319"/>
      <c r="O74" s="2319"/>
      <c r="P74" s="2319"/>
      <c r="Q74" s="2319"/>
      <c r="R74" s="2319"/>
      <c r="S74" s="2319"/>
      <c r="T74" s="2319"/>
      <c r="U74" s="2319"/>
      <c r="V74" s="2319"/>
      <c r="W74" s="2319"/>
      <c r="X74" s="2319"/>
      <c r="Y74" s="2319"/>
      <c r="Z74" s="2319"/>
      <c r="AA74" s="2319"/>
      <c r="AB74" s="2319"/>
      <c r="AC74" s="2319"/>
      <c r="AD74" s="2319"/>
      <c r="AE74" s="2319"/>
      <c r="AF74" s="2319"/>
      <c r="AG74" s="2319"/>
      <c r="AH74" s="2319"/>
      <c r="AI74" s="2319"/>
      <c r="AJ74" s="2319"/>
      <c r="AK74" s="2319"/>
      <c r="AL74" s="2319"/>
      <c r="AM74" s="2319"/>
      <c r="AN74" s="2319"/>
      <c r="AO74" s="2319"/>
      <c r="AP74" s="2319"/>
      <c r="AQ74" s="2319"/>
      <c r="AR74" s="2319"/>
      <c r="AS74" s="2319"/>
      <c r="AT74" s="2319"/>
      <c r="AU74" s="2319"/>
      <c r="AV74" s="2319"/>
      <c r="AW74" s="2319"/>
      <c r="AX74" s="2319"/>
      <c r="AY74" s="2319"/>
      <c r="AZ74" s="2319"/>
      <c r="BA74" s="2319"/>
      <c r="BB74" s="2319"/>
      <c r="BC74" s="2319"/>
      <c r="BD74" s="2319"/>
      <c r="BE74" s="2319"/>
      <c r="BF74" s="2319"/>
      <c r="BG74" s="2319"/>
      <c r="BH74" s="2319"/>
      <c r="BI74" s="2319"/>
      <c r="BJ74" s="2319"/>
      <c r="BK74" s="2319"/>
      <c r="BL74" s="2319"/>
      <c r="BM74" s="2319"/>
      <c r="BN74" s="2319"/>
      <c r="BO74" s="2319"/>
      <c r="BP74" s="2319"/>
      <c r="BQ74" s="2319"/>
      <c r="BR74" s="2319"/>
      <c r="BS74" s="2319"/>
      <c r="BT74" s="2319"/>
      <c r="BU74" s="2319"/>
      <c r="BV74" s="2319"/>
      <c r="BW74" s="2319"/>
      <c r="BX74" s="2319"/>
      <c r="BY74" s="2319"/>
      <c r="BZ74" s="2319"/>
      <c r="CA74" s="2319"/>
      <c r="CB74" s="2319"/>
      <c r="CC74" s="2319"/>
      <c r="CD74" s="2319"/>
      <c r="CE74" s="2319"/>
      <c r="CF74" s="2319"/>
      <c r="CG74" s="2319"/>
      <c r="CH74" s="2319"/>
      <c r="CI74" s="2319"/>
      <c r="CJ74" s="2319"/>
      <c r="CK74" s="2319"/>
      <c r="CL74" s="2319"/>
      <c r="CM74" s="2319"/>
      <c r="CN74" s="2319"/>
      <c r="CO74" s="2319"/>
      <c r="CP74" s="2319"/>
      <c r="CQ74" s="2319"/>
      <c r="CR74" s="2319"/>
      <c r="CS74" s="2319"/>
      <c r="CT74" s="2319"/>
      <c r="CU74" s="2319"/>
      <c r="CV74" s="2319"/>
    </row>
    <row r="75" spans="1:100" ht="15.75" customHeight="1">
      <c r="A75" s="2371"/>
      <c r="B75" s="2319"/>
      <c r="C75" s="2319"/>
      <c r="D75" s="2318"/>
      <c r="E75" s="2319"/>
      <c r="F75" s="2319"/>
      <c r="G75" s="2319"/>
      <c r="H75" s="2319"/>
      <c r="I75" s="2319"/>
      <c r="J75" s="2319"/>
      <c r="K75" s="2319"/>
      <c r="L75" s="2319"/>
      <c r="M75" s="2319"/>
      <c r="N75" s="2319"/>
      <c r="O75" s="2319"/>
      <c r="P75" s="2319"/>
      <c r="Q75" s="2319"/>
      <c r="R75" s="2319"/>
      <c r="S75" s="2319"/>
      <c r="T75" s="2319"/>
      <c r="U75" s="2319"/>
      <c r="V75" s="2319"/>
      <c r="W75" s="2319"/>
      <c r="X75" s="2319"/>
      <c r="Y75" s="2319"/>
      <c r="Z75" s="2319"/>
      <c r="AA75" s="2319"/>
      <c r="AB75" s="2319"/>
      <c r="AC75" s="2319"/>
      <c r="AD75" s="2319"/>
      <c r="AE75" s="2319"/>
      <c r="AF75" s="2319"/>
      <c r="AG75" s="2319"/>
      <c r="AH75" s="2319"/>
      <c r="AI75" s="2319"/>
      <c r="AJ75" s="2319"/>
      <c r="AK75" s="2319"/>
      <c r="AL75" s="2319"/>
      <c r="AM75" s="2319"/>
      <c r="AN75" s="2319"/>
      <c r="AO75" s="2319"/>
      <c r="AP75" s="2319"/>
      <c r="AQ75" s="2319"/>
      <c r="AR75" s="2319"/>
      <c r="AS75" s="2319"/>
      <c r="AT75" s="2319"/>
      <c r="AU75" s="2319"/>
      <c r="AV75" s="2319"/>
      <c r="AW75" s="2319"/>
      <c r="AX75" s="2319"/>
      <c r="AY75" s="2319"/>
      <c r="AZ75" s="2319"/>
      <c r="BA75" s="2319"/>
      <c r="BB75" s="2319"/>
      <c r="BC75" s="2319"/>
      <c r="BD75" s="2319"/>
      <c r="BE75" s="2319"/>
      <c r="BF75" s="2319"/>
      <c r="BG75" s="2319"/>
      <c r="BH75" s="2319"/>
      <c r="BI75" s="2319"/>
      <c r="BJ75" s="2319"/>
      <c r="BK75" s="2319"/>
      <c r="BL75" s="2319"/>
      <c r="BM75" s="2319"/>
      <c r="BN75" s="2319"/>
      <c r="BO75" s="2319"/>
      <c r="BP75" s="2319"/>
      <c r="BQ75" s="2319"/>
      <c r="BR75" s="2319"/>
      <c r="BS75" s="2319"/>
      <c r="BT75" s="2319"/>
      <c r="BU75" s="2319"/>
      <c r="BV75" s="2319"/>
      <c r="BW75" s="2319"/>
      <c r="BX75" s="2319"/>
      <c r="BY75" s="2319"/>
      <c r="BZ75" s="2319"/>
      <c r="CA75" s="2319"/>
      <c r="CB75" s="2319"/>
      <c r="CC75" s="2319"/>
      <c r="CD75" s="2319"/>
      <c r="CE75" s="2319"/>
      <c r="CF75" s="2319"/>
      <c r="CG75" s="2319"/>
      <c r="CH75" s="2319"/>
      <c r="CI75" s="2319"/>
      <c r="CJ75" s="2319"/>
      <c r="CK75" s="2319"/>
      <c r="CL75" s="2319"/>
      <c r="CM75" s="2319"/>
      <c r="CN75" s="2319"/>
      <c r="CO75" s="2319"/>
      <c r="CP75" s="2319"/>
      <c r="CQ75" s="2319"/>
      <c r="CR75" s="2319"/>
      <c r="CS75" s="2319"/>
      <c r="CT75" s="2319"/>
      <c r="CU75" s="2319"/>
      <c r="CV75" s="2319"/>
    </row>
    <row r="76" spans="1:100" ht="15.75" customHeight="1">
      <c r="A76" s="2371"/>
      <c r="B76" s="2319"/>
      <c r="C76" s="2319"/>
      <c r="D76" s="2318"/>
      <c r="E76" s="2319"/>
      <c r="F76" s="2319"/>
      <c r="G76" s="2319"/>
      <c r="H76" s="2319"/>
      <c r="I76" s="2319"/>
      <c r="J76" s="2319"/>
      <c r="K76" s="2319"/>
      <c r="L76" s="2319"/>
      <c r="M76" s="2319"/>
      <c r="N76" s="2319"/>
      <c r="O76" s="2319"/>
      <c r="P76" s="2319"/>
      <c r="Q76" s="2319"/>
      <c r="R76" s="2319"/>
      <c r="S76" s="2319"/>
      <c r="T76" s="2319"/>
      <c r="U76" s="2319"/>
      <c r="V76" s="2319"/>
      <c r="W76" s="2319"/>
      <c r="X76" s="2319"/>
      <c r="Y76" s="2319"/>
      <c r="Z76" s="2319"/>
      <c r="AA76" s="2319"/>
      <c r="AB76" s="2319"/>
      <c r="AC76" s="2319"/>
      <c r="AD76" s="2319"/>
      <c r="AE76" s="2319"/>
      <c r="AF76" s="2319"/>
      <c r="AG76" s="2319"/>
      <c r="AH76" s="2319"/>
      <c r="AI76" s="2319"/>
      <c r="AJ76" s="2319"/>
      <c r="AK76" s="2319"/>
      <c r="AL76" s="2319"/>
      <c r="AM76" s="2319"/>
      <c r="AN76" s="2319"/>
      <c r="AO76" s="2319"/>
      <c r="AP76" s="2319"/>
      <c r="AQ76" s="2319"/>
      <c r="AR76" s="2319"/>
      <c r="AS76" s="2319"/>
      <c r="AT76" s="2319"/>
      <c r="AU76" s="2319"/>
      <c r="AV76" s="2319"/>
      <c r="AW76" s="2319"/>
      <c r="AX76" s="2319"/>
      <c r="AY76" s="2319"/>
      <c r="AZ76" s="2319"/>
      <c r="BA76" s="2319"/>
      <c r="BB76" s="2319"/>
      <c r="BC76" s="2319"/>
      <c r="BD76" s="2319"/>
      <c r="BE76" s="2319"/>
      <c r="BF76" s="2319"/>
      <c r="BG76" s="2319"/>
      <c r="BH76" s="2319"/>
      <c r="BI76" s="2319"/>
      <c r="BJ76" s="2319"/>
      <c r="BK76" s="2319"/>
      <c r="BL76" s="2319"/>
      <c r="BM76" s="2319"/>
      <c r="BN76" s="2319"/>
      <c r="BO76" s="2319"/>
      <c r="BP76" s="2319"/>
      <c r="BQ76" s="2319"/>
      <c r="BR76" s="2319"/>
      <c r="BS76" s="2319"/>
      <c r="BT76" s="2319"/>
      <c r="BU76" s="2319"/>
      <c r="BV76" s="2319"/>
      <c r="BW76" s="2319"/>
      <c r="BX76" s="2319"/>
      <c r="BY76" s="2319"/>
      <c r="BZ76" s="2319"/>
      <c r="CA76" s="2319"/>
      <c r="CB76" s="2319"/>
      <c r="CC76" s="2319"/>
      <c r="CD76" s="2319"/>
      <c r="CE76" s="2319"/>
      <c r="CF76" s="2319"/>
      <c r="CG76" s="2319"/>
      <c r="CH76" s="2319"/>
      <c r="CI76" s="2319"/>
      <c r="CJ76" s="2319"/>
      <c r="CK76" s="2319"/>
      <c r="CL76" s="2319"/>
      <c r="CM76" s="2319"/>
      <c r="CN76" s="2319"/>
      <c r="CO76" s="2319"/>
      <c r="CP76" s="2319"/>
      <c r="CQ76" s="2319"/>
      <c r="CR76" s="2319"/>
      <c r="CS76" s="2319"/>
      <c r="CT76" s="2319"/>
      <c r="CU76" s="2319"/>
      <c r="CV76" s="2319"/>
    </row>
    <row r="77" spans="1:100" ht="15.75" customHeight="1">
      <c r="A77" s="2371"/>
      <c r="B77" s="2319"/>
      <c r="C77" s="2319"/>
      <c r="D77" s="2318"/>
      <c r="E77" s="2319"/>
      <c r="F77" s="2319"/>
      <c r="G77" s="2319"/>
      <c r="H77" s="2319"/>
      <c r="I77" s="2319"/>
      <c r="J77" s="2319"/>
      <c r="K77" s="2319"/>
      <c r="L77" s="2319"/>
      <c r="M77" s="2319"/>
      <c r="N77" s="2319"/>
      <c r="O77" s="2319"/>
      <c r="P77" s="2319"/>
      <c r="Q77" s="2319"/>
      <c r="R77" s="2319"/>
      <c r="S77" s="2319"/>
      <c r="T77" s="2319"/>
      <c r="U77" s="2319"/>
      <c r="V77" s="2319"/>
      <c r="W77" s="2319"/>
      <c r="X77" s="2319"/>
      <c r="Y77" s="2319"/>
      <c r="Z77" s="2319"/>
      <c r="AA77" s="2319"/>
      <c r="AB77" s="2319"/>
      <c r="AC77" s="2319"/>
      <c r="AD77" s="2319"/>
      <c r="AE77" s="2319"/>
      <c r="AF77" s="2319"/>
      <c r="AG77" s="2319"/>
      <c r="AH77" s="2319"/>
      <c r="AI77" s="2319"/>
      <c r="AJ77" s="2319"/>
      <c r="AK77" s="2319"/>
      <c r="AL77" s="2319"/>
      <c r="AM77" s="2319"/>
      <c r="AN77" s="2319"/>
      <c r="AO77" s="2319"/>
      <c r="AP77" s="2319"/>
      <c r="AQ77" s="2319"/>
      <c r="AR77" s="2319"/>
      <c r="AS77" s="2319"/>
      <c r="AT77" s="2319"/>
      <c r="AU77" s="2319"/>
      <c r="AV77" s="2319"/>
      <c r="AW77" s="2319"/>
      <c r="AX77" s="2319"/>
      <c r="AY77" s="2319"/>
      <c r="AZ77" s="2319"/>
      <c r="BA77" s="2319"/>
      <c r="BB77" s="2319"/>
      <c r="BC77" s="2319"/>
      <c r="BD77" s="2319"/>
      <c r="BE77" s="2319"/>
      <c r="BF77" s="2319"/>
      <c r="BG77" s="2319"/>
      <c r="BH77" s="2319"/>
      <c r="BI77" s="2319"/>
      <c r="BJ77" s="2319"/>
      <c r="BK77" s="2319"/>
      <c r="BL77" s="2319"/>
      <c r="BM77" s="2319"/>
      <c r="BN77" s="2319"/>
      <c r="BO77" s="2319"/>
      <c r="BP77" s="2319"/>
      <c r="BQ77" s="2319"/>
      <c r="BR77" s="2319"/>
      <c r="BS77" s="2319"/>
      <c r="BT77" s="2319"/>
      <c r="BU77" s="2319"/>
      <c r="BV77" s="2319"/>
      <c r="BW77" s="2319"/>
      <c r="BX77" s="2319"/>
      <c r="BY77" s="2319"/>
      <c r="BZ77" s="2319"/>
      <c r="CA77" s="2319"/>
      <c r="CB77" s="2319"/>
      <c r="CC77" s="2319"/>
      <c r="CD77" s="2319"/>
      <c r="CE77" s="2319"/>
      <c r="CF77" s="2319"/>
      <c r="CG77" s="2319"/>
      <c r="CH77" s="2319"/>
      <c r="CI77" s="2319"/>
      <c r="CJ77" s="2319"/>
      <c r="CK77" s="2319"/>
      <c r="CL77" s="2319"/>
      <c r="CM77" s="2319"/>
      <c r="CN77" s="2319"/>
      <c r="CO77" s="2319"/>
      <c r="CP77" s="2319"/>
      <c r="CQ77" s="2319"/>
      <c r="CR77" s="2319"/>
      <c r="CS77" s="2319"/>
      <c r="CT77" s="2319"/>
      <c r="CU77" s="2319"/>
      <c r="CV77" s="2319"/>
    </row>
    <row r="78" spans="1:100" ht="15.75" customHeight="1">
      <c r="A78" s="2371"/>
      <c r="B78" s="2319"/>
      <c r="C78" s="2319"/>
      <c r="D78" s="2318"/>
      <c r="E78" s="2319"/>
      <c r="F78" s="2319"/>
      <c r="G78" s="2319"/>
      <c r="H78" s="2319"/>
      <c r="I78" s="2319"/>
      <c r="J78" s="2319"/>
      <c r="K78" s="2319"/>
      <c r="L78" s="2319"/>
      <c r="M78" s="2319"/>
      <c r="N78" s="2319"/>
      <c r="O78" s="2319"/>
      <c r="P78" s="2319"/>
      <c r="Q78" s="2319"/>
      <c r="R78" s="2319"/>
      <c r="S78" s="2319"/>
      <c r="T78" s="2319"/>
      <c r="U78" s="2319"/>
      <c r="V78" s="2319"/>
      <c r="W78" s="2319"/>
      <c r="X78" s="2319"/>
      <c r="Y78" s="2319"/>
      <c r="Z78" s="2319"/>
      <c r="AA78" s="2319"/>
      <c r="AB78" s="2319"/>
      <c r="AC78" s="2319"/>
      <c r="AD78" s="2319"/>
      <c r="AE78" s="2319"/>
      <c r="AF78" s="2319"/>
      <c r="AG78" s="2319"/>
      <c r="AH78" s="2319"/>
      <c r="AI78" s="2319"/>
      <c r="AJ78" s="2319"/>
      <c r="AK78" s="2319"/>
      <c r="AL78" s="2319"/>
      <c r="AM78" s="2319"/>
      <c r="AN78" s="2319"/>
      <c r="AO78" s="2319"/>
      <c r="AP78" s="2319"/>
      <c r="AQ78" s="2319"/>
      <c r="AR78" s="2319"/>
      <c r="AS78" s="2319"/>
      <c r="AT78" s="2319"/>
      <c r="AU78" s="2319"/>
      <c r="AV78" s="2319"/>
      <c r="AW78" s="2319"/>
      <c r="AX78" s="2319"/>
      <c r="AY78" s="2319"/>
      <c r="AZ78" s="2319"/>
      <c r="BA78" s="2319"/>
      <c r="BB78" s="2319"/>
      <c r="BC78" s="2319"/>
      <c r="BD78" s="2319"/>
      <c r="BE78" s="2319"/>
      <c r="BF78" s="2319"/>
      <c r="BG78" s="2319"/>
      <c r="BH78" s="2319"/>
      <c r="BI78" s="2319"/>
      <c r="BJ78" s="2319"/>
      <c r="BK78" s="2319"/>
      <c r="BL78" s="2319"/>
      <c r="BM78" s="2319"/>
      <c r="BN78" s="2319"/>
      <c r="BO78" s="2319"/>
      <c r="BP78" s="2319"/>
      <c r="BQ78" s="2319"/>
      <c r="BR78" s="2319"/>
      <c r="BS78" s="2319"/>
      <c r="BT78" s="2319"/>
      <c r="BU78" s="2319"/>
      <c r="BV78" s="2319"/>
      <c r="BW78" s="2319"/>
      <c r="BX78" s="2319"/>
      <c r="BY78" s="2319"/>
      <c r="BZ78" s="2319"/>
      <c r="CA78" s="2319"/>
      <c r="CB78" s="2319"/>
      <c r="CC78" s="2319"/>
      <c r="CD78" s="2319"/>
      <c r="CE78" s="2319"/>
      <c r="CF78" s="2319"/>
      <c r="CG78" s="2319"/>
      <c r="CH78" s="2319"/>
      <c r="CI78" s="2319"/>
      <c r="CJ78" s="2319"/>
      <c r="CK78" s="2319"/>
      <c r="CL78" s="2319"/>
      <c r="CM78" s="2319"/>
      <c r="CN78" s="2319"/>
      <c r="CO78" s="2319"/>
      <c r="CP78" s="2319"/>
      <c r="CQ78" s="2319"/>
      <c r="CR78" s="2319"/>
      <c r="CS78" s="2319"/>
      <c r="CT78" s="2319"/>
      <c r="CU78" s="2319"/>
      <c r="CV78" s="2319"/>
    </row>
    <row r="79" spans="1:100" ht="15.75" customHeight="1">
      <c r="A79" s="2371"/>
      <c r="B79" s="2319"/>
      <c r="C79" s="2319"/>
      <c r="D79" s="2318"/>
      <c r="E79" s="2319"/>
      <c r="F79" s="2319"/>
      <c r="G79" s="2319"/>
      <c r="H79" s="2319"/>
      <c r="I79" s="2319"/>
      <c r="J79" s="2319"/>
      <c r="K79" s="2319"/>
      <c r="L79" s="2319"/>
      <c r="M79" s="2319"/>
      <c r="N79" s="2319"/>
      <c r="O79" s="2319"/>
      <c r="P79" s="2319"/>
      <c r="Q79" s="2319"/>
      <c r="R79" s="2319"/>
      <c r="S79" s="2319"/>
      <c r="T79" s="2319"/>
      <c r="U79" s="2319"/>
      <c r="V79" s="2319"/>
      <c r="W79" s="2319"/>
      <c r="X79" s="2319"/>
      <c r="Y79" s="2319"/>
      <c r="Z79" s="2319"/>
      <c r="AA79" s="2319"/>
      <c r="AB79" s="2319"/>
      <c r="AC79" s="2319"/>
      <c r="AD79" s="2319"/>
      <c r="AE79" s="2319"/>
      <c r="AF79" s="2319"/>
      <c r="AG79" s="2319"/>
      <c r="AH79" s="2319"/>
      <c r="AI79" s="2319"/>
      <c r="AJ79" s="2319"/>
      <c r="AK79" s="2319"/>
      <c r="AL79" s="2319"/>
      <c r="AM79" s="2319"/>
      <c r="AN79" s="2319"/>
      <c r="AO79" s="2319"/>
      <c r="AP79" s="2319"/>
      <c r="AQ79" s="2319"/>
      <c r="AR79" s="2319"/>
      <c r="AS79" s="2319"/>
      <c r="AT79" s="2319"/>
      <c r="AU79" s="2319"/>
      <c r="AV79" s="2319"/>
      <c r="AW79" s="2319"/>
      <c r="AX79" s="2319"/>
      <c r="AY79" s="2319"/>
      <c r="AZ79" s="2319"/>
      <c r="BA79" s="2319"/>
      <c r="BB79" s="2319"/>
      <c r="BC79" s="2319"/>
      <c r="BD79" s="2319"/>
      <c r="BE79" s="2319"/>
      <c r="BF79" s="2319"/>
      <c r="BG79" s="2319"/>
      <c r="BH79" s="2319"/>
      <c r="BI79" s="2319"/>
      <c r="BJ79" s="2319"/>
      <c r="BK79" s="2319"/>
      <c r="BL79" s="2319"/>
      <c r="BM79" s="2319"/>
      <c r="BN79" s="2319"/>
      <c r="BO79" s="2319"/>
      <c r="BP79" s="2319"/>
      <c r="BQ79" s="2319"/>
      <c r="BR79" s="2319"/>
      <c r="BS79" s="2319"/>
      <c r="BT79" s="2319"/>
      <c r="BU79" s="2319"/>
      <c r="BV79" s="2319"/>
      <c r="BW79" s="2319"/>
      <c r="BX79" s="2319"/>
      <c r="BY79" s="2319"/>
      <c r="BZ79" s="2319"/>
      <c r="CA79" s="2319"/>
      <c r="CB79" s="2319"/>
      <c r="CC79" s="2319"/>
      <c r="CD79" s="2319"/>
      <c r="CE79" s="2319"/>
      <c r="CF79" s="2319"/>
      <c r="CG79" s="2319"/>
      <c r="CH79" s="2319"/>
      <c r="CI79" s="2319"/>
      <c r="CJ79" s="2319"/>
      <c r="CK79" s="2319"/>
      <c r="CL79" s="2319"/>
      <c r="CM79" s="2319"/>
      <c r="CN79" s="2319"/>
      <c r="CO79" s="2319"/>
      <c r="CP79" s="2319"/>
      <c r="CQ79" s="2319"/>
      <c r="CR79" s="2319"/>
      <c r="CS79" s="2319"/>
      <c r="CT79" s="2319"/>
      <c r="CU79" s="2319"/>
      <c r="CV79" s="2319"/>
    </row>
    <row r="80" spans="1:100" ht="15.75" customHeight="1">
      <c r="A80" s="2371"/>
      <c r="B80" s="2319"/>
      <c r="C80" s="2319"/>
      <c r="D80" s="2318"/>
      <c r="E80" s="2319"/>
      <c r="F80" s="2319"/>
      <c r="G80" s="2319"/>
      <c r="H80" s="2319"/>
      <c r="I80" s="2319"/>
      <c r="J80" s="2319"/>
      <c r="K80" s="2319"/>
      <c r="L80" s="2319"/>
      <c r="M80" s="2319"/>
      <c r="N80" s="2319"/>
      <c r="O80" s="2319"/>
      <c r="P80" s="2319"/>
      <c r="Q80" s="2319"/>
      <c r="R80" s="2319"/>
      <c r="S80" s="2319"/>
      <c r="T80" s="2319"/>
      <c r="U80" s="2319"/>
      <c r="V80" s="2319"/>
      <c r="W80" s="2319"/>
      <c r="X80" s="2319"/>
      <c r="Y80" s="2319"/>
      <c r="Z80" s="2319"/>
      <c r="AA80" s="2319"/>
      <c r="AB80" s="2319"/>
      <c r="AC80" s="2319"/>
      <c r="AD80" s="2319"/>
      <c r="AE80" s="2319"/>
      <c r="AF80" s="2319"/>
      <c r="AG80" s="2319"/>
      <c r="AH80" s="2319"/>
      <c r="AI80" s="2319"/>
      <c r="AJ80" s="2319"/>
      <c r="AK80" s="2319"/>
      <c r="AL80" s="2319"/>
      <c r="AM80" s="2319"/>
      <c r="AN80" s="2319"/>
      <c r="AO80" s="2319"/>
      <c r="AP80" s="2319"/>
      <c r="AQ80" s="2319"/>
      <c r="AR80" s="2319"/>
      <c r="AS80" s="2319"/>
      <c r="AT80" s="2319"/>
      <c r="AU80" s="2319"/>
      <c r="AV80" s="2319"/>
      <c r="AW80" s="2319"/>
      <c r="AX80" s="2319"/>
      <c r="AY80" s="2319"/>
      <c r="AZ80" s="2319"/>
      <c r="BA80" s="2319"/>
      <c r="BB80" s="2319"/>
      <c r="BC80" s="2319"/>
      <c r="BD80" s="2319"/>
      <c r="BE80" s="2319"/>
      <c r="BF80" s="2319"/>
      <c r="BG80" s="2319"/>
      <c r="BH80" s="2319"/>
      <c r="BI80" s="2319"/>
      <c r="BJ80" s="2319"/>
      <c r="BK80" s="2319"/>
      <c r="BL80" s="2319"/>
      <c r="BM80" s="2319"/>
      <c r="BN80" s="2319"/>
      <c r="BO80" s="2319"/>
      <c r="BP80" s="2319"/>
      <c r="BQ80" s="2319"/>
      <c r="BR80" s="2319"/>
      <c r="BS80" s="2319"/>
      <c r="BT80" s="2319"/>
      <c r="BU80" s="2319"/>
      <c r="BV80" s="2319"/>
      <c r="BW80" s="2319"/>
      <c r="BX80" s="2319"/>
      <c r="BY80" s="2319"/>
      <c r="BZ80" s="2319"/>
      <c r="CA80" s="2319"/>
      <c r="CB80" s="2319"/>
      <c r="CC80" s="2319"/>
      <c r="CD80" s="2319"/>
      <c r="CE80" s="2319"/>
      <c r="CF80" s="2319"/>
      <c r="CG80" s="2319"/>
      <c r="CH80" s="2319"/>
      <c r="CI80" s="2319"/>
      <c r="CJ80" s="2319"/>
      <c r="CK80" s="2319"/>
      <c r="CL80" s="2319"/>
      <c r="CM80" s="2319"/>
      <c r="CN80" s="2319"/>
      <c r="CO80" s="2319"/>
      <c r="CP80" s="2319"/>
      <c r="CQ80" s="2319"/>
      <c r="CR80" s="2319"/>
      <c r="CS80" s="2319"/>
      <c r="CT80" s="2319"/>
      <c r="CU80" s="2319"/>
      <c r="CV80" s="2319"/>
    </row>
    <row r="81" spans="1:100" ht="15.75" customHeight="1">
      <c r="A81" s="2371"/>
      <c r="B81" s="2319"/>
      <c r="C81" s="2319"/>
      <c r="D81" s="2318"/>
      <c r="E81" s="2319"/>
      <c r="F81" s="2319"/>
      <c r="G81" s="2319"/>
      <c r="H81" s="2319"/>
      <c r="I81" s="2319"/>
      <c r="J81" s="2319"/>
      <c r="K81" s="2319"/>
      <c r="L81" s="2319"/>
      <c r="M81" s="2319"/>
      <c r="N81" s="2319"/>
      <c r="O81" s="2319"/>
      <c r="P81" s="2319"/>
      <c r="Q81" s="2319"/>
      <c r="R81" s="2319"/>
      <c r="S81" s="2319"/>
      <c r="T81" s="2319"/>
      <c r="U81" s="2319"/>
      <c r="V81" s="2319"/>
      <c r="W81" s="2319"/>
      <c r="X81" s="2319"/>
      <c r="Y81" s="2319"/>
      <c r="Z81" s="2319"/>
      <c r="AA81" s="2319"/>
      <c r="AB81" s="2319"/>
      <c r="AC81" s="2319"/>
      <c r="AD81" s="2319"/>
      <c r="AE81" s="2319"/>
      <c r="AF81" s="2319"/>
      <c r="AG81" s="2319"/>
      <c r="AH81" s="2319"/>
      <c r="AI81" s="2319"/>
      <c r="AJ81" s="2319"/>
      <c r="AK81" s="2319"/>
      <c r="AL81" s="2319"/>
      <c r="AM81" s="2319"/>
      <c r="AN81" s="2319"/>
      <c r="AO81" s="2319"/>
      <c r="AP81" s="2319"/>
      <c r="AQ81" s="2319"/>
      <c r="AR81" s="2319"/>
      <c r="AS81" s="2319"/>
      <c r="AT81" s="2319"/>
      <c r="AU81" s="2319"/>
      <c r="AV81" s="2319"/>
      <c r="AW81" s="2319"/>
      <c r="AX81" s="2319"/>
      <c r="AY81" s="2319"/>
      <c r="AZ81" s="2319"/>
      <c r="BA81" s="2319"/>
      <c r="BB81" s="2319"/>
      <c r="BC81" s="2319"/>
      <c r="BD81" s="2319"/>
      <c r="BE81" s="2319"/>
      <c r="BF81" s="2319"/>
      <c r="BG81" s="2319"/>
      <c r="BH81" s="2319"/>
      <c r="BI81" s="2319"/>
      <c r="BJ81" s="2319"/>
      <c r="BK81" s="2319"/>
      <c r="BL81" s="2319"/>
      <c r="BM81" s="2319"/>
      <c r="BN81" s="2319"/>
      <c r="BO81" s="2319"/>
      <c r="BP81" s="2319"/>
      <c r="BQ81" s="2319"/>
      <c r="BR81" s="2319"/>
      <c r="BS81" s="2319"/>
      <c r="BT81" s="2319"/>
      <c r="BU81" s="2319"/>
      <c r="BV81" s="2319"/>
      <c r="BW81" s="2319"/>
      <c r="BX81" s="2319"/>
      <c r="BY81" s="2319"/>
      <c r="BZ81" s="2319"/>
      <c r="CA81" s="2319"/>
      <c r="CB81" s="2319"/>
      <c r="CC81" s="2319"/>
      <c r="CD81" s="2319"/>
      <c r="CE81" s="2319"/>
      <c r="CF81" s="2319"/>
      <c r="CG81" s="2319"/>
      <c r="CH81" s="2319"/>
      <c r="CI81" s="2319"/>
      <c r="CJ81" s="2319"/>
      <c r="CK81" s="2319"/>
      <c r="CL81" s="2319"/>
      <c r="CM81" s="2319"/>
      <c r="CN81" s="2319"/>
      <c r="CO81" s="2319"/>
      <c r="CP81" s="2319"/>
      <c r="CQ81" s="2319"/>
      <c r="CR81" s="2319"/>
      <c r="CS81" s="2319"/>
      <c r="CT81" s="2319"/>
      <c r="CU81" s="2319"/>
      <c r="CV81" s="2319"/>
    </row>
    <row r="82" spans="1:100" ht="15.75" customHeight="1">
      <c r="A82" s="2371"/>
      <c r="B82" s="2319"/>
      <c r="C82" s="2319"/>
      <c r="D82" s="2318"/>
      <c r="E82" s="2319"/>
      <c r="F82" s="2319"/>
      <c r="G82" s="2319"/>
      <c r="H82" s="2319"/>
      <c r="I82" s="2319"/>
      <c r="J82" s="2319"/>
      <c r="K82" s="2319"/>
      <c r="L82" s="2319"/>
      <c r="M82" s="2319"/>
      <c r="N82" s="2319"/>
      <c r="O82" s="2319"/>
      <c r="P82" s="2319"/>
      <c r="Q82" s="2319"/>
      <c r="R82" s="2319"/>
      <c r="S82" s="2319"/>
      <c r="T82" s="2319"/>
      <c r="U82" s="2319"/>
      <c r="V82" s="2319"/>
      <c r="W82" s="2319"/>
      <c r="X82" s="2319"/>
      <c r="Y82" s="2319"/>
      <c r="Z82" s="2319"/>
      <c r="AA82" s="2319"/>
      <c r="AB82" s="2319"/>
      <c r="AC82" s="2319"/>
      <c r="AD82" s="2319"/>
      <c r="AE82" s="2319"/>
      <c r="AF82" s="2319"/>
      <c r="AG82" s="2319"/>
      <c r="AH82" s="2319"/>
      <c r="AI82" s="2319"/>
      <c r="AJ82" s="2319"/>
      <c r="AK82" s="2319"/>
      <c r="AL82" s="2319"/>
      <c r="AM82" s="2319"/>
      <c r="AN82" s="2319"/>
      <c r="AO82" s="2319"/>
      <c r="AP82" s="2319"/>
      <c r="AQ82" s="2319"/>
      <c r="AR82" s="2319"/>
      <c r="AS82" s="2319"/>
      <c r="AT82" s="2319"/>
      <c r="AU82" s="2319"/>
      <c r="AV82" s="2319"/>
      <c r="AW82" s="2319"/>
      <c r="AX82" s="2319"/>
      <c r="AY82" s="2319"/>
      <c r="AZ82" s="2319"/>
      <c r="BA82" s="2319"/>
      <c r="BB82" s="2319"/>
      <c r="BC82" s="2319"/>
      <c r="BD82" s="2319"/>
      <c r="BE82" s="2319"/>
      <c r="BF82" s="2319"/>
      <c r="BG82" s="2319"/>
      <c r="BH82" s="2319"/>
      <c r="BI82" s="2319"/>
      <c r="BJ82" s="2319"/>
      <c r="BK82" s="2319"/>
      <c r="BL82" s="2319"/>
      <c r="BM82" s="2319"/>
      <c r="BN82" s="2319"/>
      <c r="BO82" s="2319"/>
      <c r="BP82" s="2319"/>
      <c r="BQ82" s="2319"/>
      <c r="BR82" s="2319"/>
      <c r="BS82" s="2319"/>
      <c r="BT82" s="2319"/>
      <c r="BU82" s="2319"/>
      <c r="BV82" s="2319"/>
      <c r="BW82" s="2319"/>
      <c r="BX82" s="2319"/>
      <c r="BY82" s="2319"/>
      <c r="BZ82" s="2319"/>
      <c r="CA82" s="2319"/>
      <c r="CB82" s="2319"/>
      <c r="CC82" s="2319"/>
      <c r="CD82" s="2319"/>
      <c r="CE82" s="2319"/>
      <c r="CF82" s="2319"/>
      <c r="CG82" s="2319"/>
      <c r="CH82" s="2319"/>
      <c r="CI82" s="2319"/>
      <c r="CJ82" s="2319"/>
      <c r="CK82" s="2319"/>
      <c r="CL82" s="2319"/>
      <c r="CM82" s="2319"/>
      <c r="CN82" s="2319"/>
      <c r="CO82" s="2319"/>
      <c r="CP82" s="2319"/>
      <c r="CQ82" s="2319"/>
      <c r="CR82" s="2319"/>
      <c r="CS82" s="2319"/>
      <c r="CT82" s="2319"/>
      <c r="CU82" s="2319"/>
      <c r="CV82" s="2319"/>
    </row>
    <row r="83" spans="1:100" ht="15.75" customHeight="1">
      <c r="A83" s="2371"/>
      <c r="B83" s="2319"/>
      <c r="C83" s="2319"/>
      <c r="D83" s="2318"/>
      <c r="E83" s="2319"/>
      <c r="F83" s="2319"/>
      <c r="G83" s="2319"/>
      <c r="H83" s="2319"/>
      <c r="I83" s="2319"/>
      <c r="J83" s="2319"/>
      <c r="K83" s="2319"/>
      <c r="L83" s="2319"/>
      <c r="M83" s="2319"/>
      <c r="N83" s="2319"/>
      <c r="O83" s="2319"/>
      <c r="P83" s="2319"/>
      <c r="Q83" s="2319"/>
      <c r="R83" s="2319"/>
      <c r="S83" s="2319"/>
      <c r="T83" s="2319"/>
      <c r="U83" s="2319"/>
      <c r="V83" s="2319"/>
      <c r="W83" s="2319"/>
      <c r="X83" s="2319"/>
      <c r="Y83" s="2319"/>
      <c r="Z83" s="2319"/>
      <c r="AA83" s="2319"/>
      <c r="AB83" s="2319"/>
      <c r="AC83" s="2319"/>
      <c r="AD83" s="2319"/>
      <c r="AE83" s="2319"/>
      <c r="AF83" s="2319"/>
      <c r="AG83" s="2319"/>
      <c r="AH83" s="2319"/>
      <c r="AI83" s="2319"/>
      <c r="AJ83" s="2319"/>
      <c r="AK83" s="2319"/>
      <c r="AL83" s="2319"/>
      <c r="AM83" s="2319"/>
      <c r="AN83" s="2319"/>
      <c r="AO83" s="2319"/>
      <c r="AP83" s="2319"/>
      <c r="AQ83" s="2319"/>
      <c r="AR83" s="2319"/>
      <c r="AS83" s="2319"/>
      <c r="AT83" s="2319"/>
      <c r="AU83" s="2319"/>
      <c r="AV83" s="2319"/>
      <c r="AW83" s="2319"/>
      <c r="AX83" s="2319"/>
      <c r="AY83" s="2319"/>
      <c r="AZ83" s="2319"/>
      <c r="BA83" s="2319"/>
      <c r="BB83" s="2319"/>
      <c r="BC83" s="2319"/>
      <c r="BD83" s="2319"/>
      <c r="BE83" s="2319"/>
      <c r="BF83" s="2319"/>
      <c r="BG83" s="2319"/>
      <c r="BH83" s="2319"/>
      <c r="BI83" s="2319"/>
      <c r="BJ83" s="2319"/>
      <c r="BK83" s="2319"/>
      <c r="BL83" s="2319"/>
      <c r="BM83" s="2319"/>
      <c r="BN83" s="2319"/>
      <c r="BO83" s="2319"/>
      <c r="BP83" s="2319"/>
      <c r="BQ83" s="2319"/>
      <c r="BR83" s="2319"/>
      <c r="BS83" s="2319"/>
      <c r="BT83" s="2319"/>
      <c r="BU83" s="2319"/>
      <c r="BV83" s="2319"/>
      <c r="BW83" s="2319"/>
      <c r="BX83" s="2319"/>
      <c r="BY83" s="2319"/>
      <c r="BZ83" s="2319"/>
      <c r="CA83" s="2319"/>
      <c r="CB83" s="2319"/>
      <c r="CC83" s="2319"/>
      <c r="CD83" s="2319"/>
      <c r="CE83" s="2319"/>
      <c r="CF83" s="2319"/>
      <c r="CG83" s="2319"/>
      <c r="CH83" s="2319"/>
      <c r="CI83" s="2319"/>
      <c r="CJ83" s="2319"/>
      <c r="CK83" s="2319"/>
      <c r="CL83" s="2319"/>
      <c r="CM83" s="2319"/>
      <c r="CN83" s="2319"/>
      <c r="CO83" s="2319"/>
      <c r="CP83" s="2319"/>
      <c r="CQ83" s="2319"/>
      <c r="CR83" s="2319"/>
      <c r="CS83" s="2319"/>
      <c r="CT83" s="2319"/>
      <c r="CU83" s="2319"/>
      <c r="CV83" s="2319"/>
    </row>
    <row r="84" spans="1:100" ht="15.75" customHeight="1">
      <c r="A84" s="2371"/>
      <c r="B84" s="2319"/>
      <c r="C84" s="2319"/>
      <c r="D84" s="2318"/>
      <c r="E84" s="2319"/>
      <c r="F84" s="2319"/>
      <c r="G84" s="2319"/>
      <c r="H84" s="2319"/>
      <c r="I84" s="2319"/>
      <c r="J84" s="2319"/>
      <c r="K84" s="2319"/>
      <c r="L84" s="2319"/>
      <c r="M84" s="2319"/>
      <c r="N84" s="2319"/>
      <c r="O84" s="2319"/>
      <c r="P84" s="2319"/>
      <c r="Q84" s="2319"/>
      <c r="R84" s="2319"/>
      <c r="S84" s="2319"/>
      <c r="T84" s="2319"/>
      <c r="U84" s="2319"/>
      <c r="V84" s="2319"/>
      <c r="W84" s="2319"/>
      <c r="X84" s="2319"/>
      <c r="Y84" s="2319"/>
      <c r="Z84" s="2319"/>
      <c r="AA84" s="2319"/>
      <c r="AB84" s="2319"/>
      <c r="AC84" s="2319"/>
      <c r="AD84" s="2319"/>
      <c r="AE84" s="2319"/>
      <c r="AF84" s="2319"/>
      <c r="AG84" s="2319"/>
      <c r="AH84" s="2319"/>
      <c r="AI84" s="2319"/>
      <c r="AJ84" s="2319"/>
      <c r="AK84" s="2319"/>
      <c r="AL84" s="2319"/>
      <c r="AM84" s="2319"/>
      <c r="AN84" s="2319"/>
      <c r="AO84" s="2319"/>
      <c r="AP84" s="2319"/>
      <c r="AQ84" s="2319"/>
      <c r="AR84" s="2319"/>
      <c r="AS84" s="2319"/>
      <c r="AT84" s="2319"/>
      <c r="AU84" s="2319"/>
      <c r="AV84" s="2319"/>
      <c r="AW84" s="2319"/>
      <c r="AX84" s="2319"/>
      <c r="AY84" s="2319"/>
      <c r="AZ84" s="2319"/>
      <c r="BA84" s="2319"/>
      <c r="BB84" s="2319"/>
      <c r="BC84" s="2319"/>
      <c r="BD84" s="2319"/>
      <c r="BE84" s="2319"/>
      <c r="BF84" s="2319"/>
      <c r="BG84" s="2319"/>
      <c r="BH84" s="2319"/>
      <c r="BI84" s="2319"/>
      <c r="BJ84" s="2319"/>
      <c r="BK84" s="2319"/>
      <c r="BL84" s="2319"/>
      <c r="BM84" s="2319"/>
      <c r="BN84" s="2319"/>
      <c r="BO84" s="2319"/>
      <c r="BP84" s="2319"/>
      <c r="BQ84" s="2319"/>
      <c r="BR84" s="2319"/>
      <c r="BS84" s="2319"/>
      <c r="BT84" s="2319"/>
      <c r="BU84" s="2319"/>
      <c r="BV84" s="2319"/>
      <c r="BW84" s="2319"/>
      <c r="BX84" s="2319"/>
      <c r="BY84" s="2319"/>
      <c r="BZ84" s="2319"/>
      <c r="CA84" s="2319"/>
      <c r="CB84" s="2319"/>
      <c r="CC84" s="2319"/>
      <c r="CD84" s="2319"/>
      <c r="CE84" s="2319"/>
      <c r="CF84" s="2319"/>
      <c r="CG84" s="2319"/>
      <c r="CH84" s="2319"/>
      <c r="CI84" s="2319"/>
      <c r="CJ84" s="2319"/>
      <c r="CK84" s="2319"/>
      <c r="CL84" s="2319"/>
      <c r="CM84" s="2319"/>
      <c r="CN84" s="2319"/>
      <c r="CO84" s="2319"/>
      <c r="CP84" s="2319"/>
      <c r="CQ84" s="2319"/>
      <c r="CR84" s="2319"/>
      <c r="CS84" s="2319"/>
      <c r="CT84" s="2319"/>
      <c r="CU84" s="2319"/>
      <c r="CV84" s="2319"/>
    </row>
    <row r="85" spans="1:100" ht="15.75" customHeight="1">
      <c r="A85" s="2371"/>
      <c r="B85" s="2319"/>
      <c r="C85" s="2319"/>
      <c r="D85" s="2318"/>
      <c r="E85" s="2319"/>
      <c r="F85" s="2319"/>
      <c r="G85" s="2319"/>
      <c r="H85" s="2319"/>
      <c r="I85" s="2319"/>
      <c r="J85" s="2319"/>
      <c r="K85" s="2319"/>
      <c r="L85" s="2319"/>
      <c r="M85" s="2319"/>
      <c r="N85" s="2319"/>
      <c r="O85" s="2319"/>
      <c r="P85" s="2319"/>
      <c r="Q85" s="2319"/>
      <c r="R85" s="2319"/>
      <c r="S85" s="2319"/>
      <c r="T85" s="2319"/>
      <c r="U85" s="2319"/>
      <c r="V85" s="2319"/>
      <c r="W85" s="2319"/>
      <c r="X85" s="2319"/>
      <c r="Y85" s="2319"/>
      <c r="Z85" s="2319"/>
      <c r="AA85" s="2319"/>
      <c r="AB85" s="2319"/>
      <c r="AC85" s="2319"/>
      <c r="AD85" s="2319"/>
      <c r="AE85" s="2319"/>
      <c r="AF85" s="2319"/>
      <c r="AG85" s="2319"/>
      <c r="AH85" s="2319"/>
      <c r="AI85" s="2319"/>
      <c r="AJ85" s="2319"/>
      <c r="AK85" s="2319"/>
      <c r="AL85" s="2319"/>
      <c r="AM85" s="2319"/>
      <c r="AN85" s="2319"/>
      <c r="AO85" s="2319"/>
      <c r="AP85" s="2319"/>
      <c r="AQ85" s="2319"/>
      <c r="AR85" s="2319"/>
      <c r="AS85" s="2319"/>
      <c r="AT85" s="2319"/>
      <c r="AU85" s="2319"/>
      <c r="AV85" s="2319"/>
      <c r="AW85" s="2319"/>
      <c r="AX85" s="2319"/>
      <c r="AY85" s="2319"/>
      <c r="AZ85" s="2319"/>
      <c r="BA85" s="2319"/>
      <c r="BB85" s="2319"/>
      <c r="BC85" s="2319"/>
      <c r="BD85" s="2319"/>
      <c r="BE85" s="2319"/>
      <c r="BF85" s="2319"/>
      <c r="BG85" s="2319"/>
      <c r="BH85" s="2319"/>
      <c r="BI85" s="2319"/>
      <c r="BJ85" s="2319"/>
      <c r="BK85" s="2319"/>
      <c r="BL85" s="2319"/>
      <c r="BM85" s="2319"/>
      <c r="BN85" s="2319"/>
      <c r="BO85" s="2319"/>
      <c r="BP85" s="2319"/>
      <c r="BQ85" s="2319"/>
      <c r="BR85" s="2319"/>
      <c r="BS85" s="2319"/>
      <c r="BT85" s="2319"/>
      <c r="BU85" s="2319"/>
      <c r="BV85" s="2319"/>
      <c r="BW85" s="2319"/>
      <c r="BX85" s="2319"/>
      <c r="BY85" s="2319"/>
      <c r="BZ85" s="2319"/>
      <c r="CA85" s="2319"/>
      <c r="CB85" s="2319"/>
      <c r="CC85" s="2319"/>
      <c r="CD85" s="2319"/>
      <c r="CE85" s="2319"/>
      <c r="CF85" s="2319"/>
      <c r="CG85" s="2319"/>
      <c r="CH85" s="2319"/>
      <c r="CI85" s="2319"/>
      <c r="CJ85" s="2319"/>
      <c r="CK85" s="2319"/>
      <c r="CL85" s="2319"/>
      <c r="CM85" s="2319"/>
      <c r="CN85" s="2319"/>
      <c r="CO85" s="2319"/>
      <c r="CP85" s="2319"/>
      <c r="CQ85" s="2319"/>
      <c r="CR85" s="2319"/>
      <c r="CS85" s="2319"/>
      <c r="CT85" s="2319"/>
      <c r="CU85" s="2319"/>
      <c r="CV85" s="2319"/>
    </row>
    <row r="86" spans="1:100" ht="15.75" customHeight="1">
      <c r="A86" s="2371"/>
      <c r="B86" s="2319"/>
      <c r="C86" s="2319"/>
      <c r="D86" s="2318"/>
      <c r="E86" s="2319"/>
      <c r="F86" s="2319"/>
      <c r="G86" s="2319"/>
      <c r="H86" s="2319"/>
      <c r="I86" s="2319"/>
      <c r="J86" s="2319"/>
      <c r="K86" s="2319"/>
      <c r="L86" s="2319"/>
      <c r="M86" s="2319"/>
      <c r="N86" s="2319"/>
      <c r="O86" s="2319"/>
      <c r="P86" s="2319"/>
      <c r="Q86" s="2319"/>
      <c r="R86" s="2319"/>
      <c r="S86" s="2319"/>
      <c r="T86" s="2319"/>
      <c r="U86" s="2319"/>
      <c r="V86" s="2319"/>
      <c r="W86" s="2319"/>
      <c r="X86" s="2319"/>
      <c r="Y86" s="2319"/>
      <c r="Z86" s="2319"/>
      <c r="AA86" s="2319"/>
      <c r="AB86" s="2319"/>
      <c r="AC86" s="2319"/>
      <c r="AD86" s="2319"/>
      <c r="AE86" s="2319"/>
      <c r="AF86" s="2319"/>
      <c r="AG86" s="2319"/>
      <c r="AH86" s="2319"/>
      <c r="AI86" s="2319"/>
      <c r="AJ86" s="2319"/>
      <c r="AK86" s="2319"/>
      <c r="AL86" s="2319"/>
      <c r="AM86" s="2319"/>
      <c r="AN86" s="2319"/>
      <c r="AO86" s="2319"/>
      <c r="AP86" s="2319"/>
      <c r="AQ86" s="2319"/>
      <c r="AR86" s="2319"/>
      <c r="AS86" s="2319"/>
      <c r="AT86" s="2319"/>
      <c r="AU86" s="2319"/>
      <c r="AV86" s="2319"/>
      <c r="AW86" s="2319"/>
      <c r="AX86" s="2319"/>
      <c r="AY86" s="2319"/>
      <c r="AZ86" s="2319"/>
      <c r="BA86" s="2319"/>
      <c r="BB86" s="2319"/>
      <c r="BC86" s="2319"/>
      <c r="BD86" s="2319"/>
      <c r="BE86" s="2319"/>
      <c r="BF86" s="2319"/>
      <c r="BG86" s="2319"/>
      <c r="BH86" s="2319"/>
      <c r="BI86" s="2319"/>
      <c r="BJ86" s="2319"/>
      <c r="BK86" s="2319"/>
      <c r="BL86" s="2319"/>
      <c r="BM86" s="2319"/>
      <c r="BN86" s="2319"/>
      <c r="BO86" s="2319"/>
      <c r="BP86" s="2319"/>
      <c r="BQ86" s="2319"/>
      <c r="BR86" s="2319"/>
      <c r="BS86" s="2319"/>
      <c r="BT86" s="2319"/>
      <c r="BU86" s="2319"/>
      <c r="BV86" s="2319"/>
      <c r="BW86" s="2319"/>
      <c r="BX86" s="2319"/>
      <c r="BY86" s="2319"/>
      <c r="BZ86" s="2319"/>
      <c r="CA86" s="2319"/>
      <c r="CB86" s="2319"/>
      <c r="CC86" s="2319"/>
      <c r="CD86" s="2319"/>
      <c r="CE86" s="2319"/>
      <c r="CF86" s="2319"/>
      <c r="CG86" s="2319"/>
      <c r="CH86" s="2319"/>
      <c r="CI86" s="2319"/>
      <c r="CJ86" s="2319"/>
      <c r="CK86" s="2319"/>
      <c r="CL86" s="2319"/>
      <c r="CM86" s="2319"/>
      <c r="CN86" s="2319"/>
      <c r="CO86" s="2319"/>
      <c r="CP86" s="2319"/>
      <c r="CQ86" s="2319"/>
      <c r="CR86" s="2319"/>
      <c r="CS86" s="2319"/>
      <c r="CT86" s="2319"/>
      <c r="CU86" s="2319"/>
      <c r="CV86" s="2319"/>
    </row>
    <row r="87" spans="1:100" ht="15.75" customHeight="1">
      <c r="A87" s="2371"/>
      <c r="B87" s="2319"/>
      <c r="C87" s="2319"/>
      <c r="D87" s="2318"/>
      <c r="E87" s="2319"/>
      <c r="F87" s="2319"/>
      <c r="G87" s="2319"/>
      <c r="H87" s="2319"/>
      <c r="I87" s="2319"/>
      <c r="J87" s="2319"/>
      <c r="K87" s="2319"/>
      <c r="L87" s="2319"/>
      <c r="M87" s="2319"/>
      <c r="N87" s="2319"/>
      <c r="O87" s="2319"/>
      <c r="P87" s="2319"/>
      <c r="Q87" s="2319"/>
      <c r="R87" s="2319"/>
      <c r="S87" s="2319"/>
      <c r="T87" s="2319"/>
      <c r="U87" s="2319"/>
      <c r="V87" s="2319"/>
      <c r="W87" s="2319"/>
      <c r="X87" s="2319"/>
      <c r="Y87" s="2319"/>
      <c r="Z87" s="2319"/>
      <c r="AA87" s="2319"/>
      <c r="AB87" s="2319"/>
      <c r="AC87" s="2319"/>
      <c r="AD87" s="2319"/>
      <c r="AE87" s="2319"/>
      <c r="AF87" s="2319"/>
      <c r="AG87" s="2319"/>
      <c r="AH87" s="2319"/>
      <c r="AI87" s="2319"/>
      <c r="AJ87" s="2319"/>
      <c r="AK87" s="2319"/>
      <c r="AL87" s="2319"/>
      <c r="AM87" s="2319"/>
      <c r="AN87" s="2319"/>
      <c r="AO87" s="2319"/>
      <c r="AP87" s="2319"/>
      <c r="AQ87" s="2319"/>
      <c r="AR87" s="2319"/>
      <c r="AS87" s="2319"/>
      <c r="AT87" s="2319"/>
      <c r="AU87" s="2319"/>
      <c r="AV87" s="2319"/>
      <c r="AW87" s="2319"/>
      <c r="AX87" s="2319"/>
      <c r="AY87" s="2319"/>
      <c r="AZ87" s="2319"/>
      <c r="BA87" s="2319"/>
      <c r="BB87" s="2319"/>
      <c r="BC87" s="2319"/>
      <c r="BD87" s="2319"/>
      <c r="BE87" s="2319"/>
      <c r="BF87" s="2319"/>
      <c r="BG87" s="2319"/>
      <c r="BH87" s="2319"/>
      <c r="BI87" s="2319"/>
      <c r="BJ87" s="2319"/>
      <c r="BK87" s="2319"/>
      <c r="BL87" s="2319"/>
      <c r="BM87" s="2319"/>
      <c r="BN87" s="2319"/>
      <c r="BO87" s="2319"/>
      <c r="BP87" s="2319"/>
      <c r="BQ87" s="2319"/>
      <c r="BR87" s="2319"/>
      <c r="BS87" s="2319"/>
      <c r="BT87" s="2319"/>
      <c r="BU87" s="2319"/>
      <c r="BV87" s="2319"/>
      <c r="BW87" s="2319"/>
      <c r="BX87" s="2319"/>
      <c r="BY87" s="2319"/>
      <c r="BZ87" s="2319"/>
      <c r="CA87" s="2319"/>
      <c r="CB87" s="2319"/>
      <c r="CC87" s="2319"/>
      <c r="CD87" s="2319"/>
      <c r="CE87" s="2319"/>
      <c r="CF87" s="2319"/>
      <c r="CG87" s="2319"/>
      <c r="CH87" s="2319"/>
      <c r="CI87" s="2319"/>
      <c r="CJ87" s="2319"/>
      <c r="CK87" s="2319"/>
      <c r="CL87" s="2319"/>
      <c r="CM87" s="2319"/>
      <c r="CN87" s="2319"/>
      <c r="CO87" s="2319"/>
      <c r="CP87" s="2319"/>
      <c r="CQ87" s="2319"/>
      <c r="CR87" s="2319"/>
      <c r="CS87" s="2319"/>
      <c r="CT87" s="2319"/>
      <c r="CU87" s="2319"/>
      <c r="CV87" s="2319"/>
    </row>
    <row r="88" spans="1:100" ht="15.75" customHeight="1">
      <c r="A88" s="2371"/>
      <c r="B88" s="2319"/>
      <c r="C88" s="2319"/>
      <c r="D88" s="2318"/>
      <c r="E88" s="2319"/>
      <c r="F88" s="2319"/>
      <c r="G88" s="2319"/>
      <c r="H88" s="2319"/>
      <c r="I88" s="2319"/>
      <c r="J88" s="2319"/>
      <c r="K88" s="2319"/>
      <c r="L88" s="2319"/>
      <c r="M88" s="2319"/>
      <c r="N88" s="2319"/>
      <c r="O88" s="2319"/>
      <c r="P88" s="2319"/>
      <c r="Q88" s="2319"/>
      <c r="R88" s="2319"/>
      <c r="S88" s="2319"/>
      <c r="T88" s="2319"/>
      <c r="U88" s="2319"/>
      <c r="V88" s="2319"/>
      <c r="W88" s="2319"/>
      <c r="X88" s="2319"/>
      <c r="Y88" s="2319"/>
      <c r="Z88" s="2319"/>
      <c r="AA88" s="2319"/>
      <c r="AB88" s="2319"/>
      <c r="AC88" s="2319"/>
      <c r="AD88" s="2319"/>
      <c r="AE88" s="2319"/>
      <c r="AF88" s="2319"/>
      <c r="AG88" s="2319"/>
      <c r="AH88" s="2319"/>
      <c r="AI88" s="2319"/>
      <c r="AJ88" s="2319"/>
      <c r="AK88" s="2319"/>
      <c r="AL88" s="2319"/>
      <c r="AM88" s="2319"/>
      <c r="AN88" s="2319"/>
      <c r="AO88" s="2319"/>
      <c r="AP88" s="2319"/>
      <c r="AQ88" s="2319"/>
      <c r="AR88" s="2319"/>
      <c r="AS88" s="2319"/>
      <c r="AT88" s="2319"/>
      <c r="AU88" s="2319"/>
      <c r="AV88" s="2319"/>
      <c r="AW88" s="2319"/>
      <c r="AX88" s="2319"/>
      <c r="AY88" s="2319"/>
      <c r="AZ88" s="2319"/>
      <c r="BA88" s="2319"/>
      <c r="BB88" s="2319"/>
      <c r="BC88" s="2319"/>
      <c r="BD88" s="2319"/>
      <c r="BE88" s="2319"/>
      <c r="BF88" s="2319"/>
      <c r="BG88" s="2319"/>
      <c r="BH88" s="2319"/>
      <c r="BI88" s="2319"/>
      <c r="BJ88" s="2319"/>
      <c r="BK88" s="2319"/>
      <c r="BL88" s="2319"/>
      <c r="BM88" s="2319"/>
      <c r="BN88" s="2319"/>
      <c r="BO88" s="2319"/>
      <c r="BP88" s="2319"/>
      <c r="BQ88" s="2319"/>
      <c r="BR88" s="2319"/>
      <c r="BS88" s="2319"/>
      <c r="BT88" s="2319"/>
      <c r="BU88" s="2319"/>
      <c r="BV88" s="2319"/>
      <c r="BW88" s="2319"/>
      <c r="BX88" s="2319"/>
      <c r="BY88" s="2319"/>
      <c r="BZ88" s="2319"/>
      <c r="CA88" s="2319"/>
      <c r="CB88" s="2319"/>
      <c r="CC88" s="2319"/>
      <c r="CD88" s="2319"/>
      <c r="CE88" s="2319"/>
      <c r="CF88" s="2319"/>
      <c r="CG88" s="2319"/>
      <c r="CH88" s="2319"/>
      <c r="CI88" s="2319"/>
      <c r="CJ88" s="2319"/>
      <c r="CK88" s="2319"/>
      <c r="CL88" s="2319"/>
      <c r="CM88" s="2319"/>
      <c r="CN88" s="2319"/>
      <c r="CO88" s="2319"/>
      <c r="CP88" s="2319"/>
      <c r="CQ88" s="2319"/>
      <c r="CR88" s="2319"/>
      <c r="CS88" s="2319"/>
      <c r="CT88" s="2319"/>
      <c r="CU88" s="2319"/>
      <c r="CV88" s="2319"/>
    </row>
    <row r="89" spans="1:100" ht="15.75" customHeight="1">
      <c r="A89" s="2371"/>
      <c r="B89" s="2319"/>
      <c r="C89" s="2319"/>
      <c r="D89" s="2318"/>
      <c r="E89" s="2319"/>
      <c r="F89" s="2319"/>
      <c r="G89" s="2319"/>
      <c r="H89" s="2319"/>
      <c r="I89" s="2319"/>
      <c r="J89" s="2319"/>
      <c r="K89" s="2319"/>
      <c r="L89" s="2319"/>
      <c r="M89" s="2319"/>
      <c r="N89" s="2319"/>
      <c r="O89" s="2319"/>
      <c r="P89" s="2319"/>
      <c r="Q89" s="2319"/>
      <c r="R89" s="2319"/>
      <c r="S89" s="2319"/>
      <c r="T89" s="2319"/>
      <c r="U89" s="2319"/>
      <c r="V89" s="2319"/>
      <c r="W89" s="2319"/>
      <c r="X89" s="2319"/>
      <c r="Y89" s="2319"/>
      <c r="Z89" s="2319"/>
      <c r="AA89" s="2319"/>
      <c r="AB89" s="2319"/>
      <c r="AC89" s="2319"/>
      <c r="AD89" s="2319"/>
      <c r="AE89" s="2319"/>
      <c r="AF89" s="2319"/>
      <c r="AG89" s="2319"/>
      <c r="AH89" s="2319"/>
      <c r="AI89" s="2319"/>
      <c r="AJ89" s="2319"/>
      <c r="AK89" s="2319"/>
      <c r="AL89" s="2319"/>
      <c r="AM89" s="2319"/>
      <c r="AN89" s="2319"/>
      <c r="AO89" s="2319"/>
      <c r="AP89" s="2319"/>
      <c r="AQ89" s="2319"/>
      <c r="AR89" s="2319"/>
      <c r="AS89" s="2319"/>
      <c r="AT89" s="2319"/>
      <c r="AU89" s="2319"/>
      <c r="AV89" s="2319"/>
      <c r="AW89" s="2319"/>
      <c r="AX89" s="2319"/>
      <c r="AY89" s="2319"/>
      <c r="AZ89" s="2319"/>
      <c r="BA89" s="2319"/>
      <c r="BB89" s="2319"/>
      <c r="BC89" s="2319"/>
      <c r="BD89" s="2319"/>
      <c r="BE89" s="2319"/>
      <c r="BF89" s="2319"/>
      <c r="BG89" s="2319"/>
      <c r="BH89" s="2319"/>
      <c r="BI89" s="2319"/>
      <c r="BJ89" s="2319"/>
      <c r="BK89" s="2319"/>
      <c r="BL89" s="2319"/>
      <c r="BM89" s="2319"/>
      <c r="BN89" s="2319"/>
      <c r="BO89" s="2319"/>
      <c r="BP89" s="2319"/>
      <c r="BQ89" s="2319"/>
      <c r="BR89" s="2319"/>
      <c r="BS89" s="2319"/>
      <c r="BT89" s="2319"/>
      <c r="BU89" s="2319"/>
      <c r="BV89" s="2319"/>
      <c r="BW89" s="2319"/>
      <c r="BX89" s="2319"/>
      <c r="BY89" s="2319"/>
      <c r="BZ89" s="2319"/>
      <c r="CA89" s="2319"/>
      <c r="CB89" s="2319"/>
      <c r="CC89" s="2319"/>
      <c r="CD89" s="2319"/>
      <c r="CE89" s="2319"/>
      <c r="CF89" s="2319"/>
      <c r="CG89" s="2319"/>
      <c r="CH89" s="2319"/>
      <c r="CI89" s="2319"/>
      <c r="CJ89" s="2319"/>
      <c r="CK89" s="2319"/>
      <c r="CL89" s="2319"/>
      <c r="CM89" s="2319"/>
      <c r="CN89" s="2319"/>
      <c r="CO89" s="2319"/>
      <c r="CP89" s="2319"/>
      <c r="CQ89" s="2319"/>
      <c r="CR89" s="2319"/>
      <c r="CS89" s="2319"/>
      <c r="CT89" s="2319"/>
      <c r="CU89" s="2319"/>
      <c r="CV89" s="2319"/>
    </row>
    <row r="90" spans="1:100" ht="15.75" customHeight="1">
      <c r="A90" s="2371"/>
      <c r="B90" s="2319"/>
      <c r="C90" s="2319"/>
      <c r="D90" s="2318"/>
      <c r="E90" s="2319"/>
      <c r="F90" s="2319"/>
      <c r="G90" s="2319"/>
      <c r="H90" s="2319"/>
      <c r="I90" s="2319"/>
      <c r="J90" s="2319"/>
      <c r="K90" s="2319"/>
      <c r="L90" s="2319"/>
      <c r="M90" s="2319"/>
      <c r="N90" s="2319"/>
      <c r="O90" s="2319"/>
      <c r="P90" s="2319"/>
      <c r="Q90" s="2319"/>
      <c r="R90" s="2319"/>
      <c r="S90" s="2319"/>
      <c r="T90" s="2319"/>
      <c r="U90" s="2319"/>
      <c r="V90" s="2319"/>
      <c r="W90" s="2319"/>
      <c r="X90" s="2319"/>
      <c r="Y90" s="2319"/>
      <c r="Z90" s="2319"/>
      <c r="AA90" s="2319"/>
      <c r="AB90" s="2319"/>
      <c r="AC90" s="2319"/>
      <c r="AD90" s="2319"/>
      <c r="AE90" s="2319"/>
      <c r="AF90" s="2319"/>
      <c r="AG90" s="2319"/>
      <c r="AH90" s="2319"/>
      <c r="AI90" s="2319"/>
      <c r="AJ90" s="2319"/>
      <c r="AK90" s="2319"/>
      <c r="AL90" s="2319"/>
      <c r="AM90" s="2319"/>
      <c r="AN90" s="2319"/>
      <c r="AO90" s="2319"/>
      <c r="AP90" s="2319"/>
      <c r="AQ90" s="2319"/>
      <c r="AR90" s="2319"/>
      <c r="AS90" s="2319"/>
      <c r="AT90" s="2319"/>
      <c r="AU90" s="2319"/>
      <c r="AV90" s="2319"/>
      <c r="AW90" s="2319"/>
      <c r="AX90" s="2319"/>
      <c r="AY90" s="2319"/>
      <c r="AZ90" s="2319"/>
      <c r="BA90" s="2319"/>
      <c r="BB90" s="2319"/>
      <c r="BC90" s="2319"/>
      <c r="BD90" s="2319"/>
      <c r="BE90" s="2319"/>
      <c r="BF90" s="2319"/>
      <c r="BG90" s="2319"/>
      <c r="BH90" s="2319"/>
      <c r="BI90" s="2319"/>
      <c r="BJ90" s="2319"/>
      <c r="BK90" s="2319"/>
      <c r="BL90" s="2319"/>
      <c r="BM90" s="2319"/>
      <c r="BN90" s="2319"/>
      <c r="BO90" s="2319"/>
      <c r="BP90" s="2319"/>
      <c r="BQ90" s="2319"/>
      <c r="BR90" s="2319"/>
      <c r="BS90" s="2319"/>
      <c r="BT90" s="2319"/>
      <c r="BU90" s="2319"/>
      <c r="BV90" s="2319"/>
      <c r="BW90" s="2319"/>
      <c r="BX90" s="2319"/>
      <c r="BY90" s="2319"/>
      <c r="BZ90" s="2319"/>
      <c r="CA90" s="2319"/>
      <c r="CB90" s="2319"/>
      <c r="CC90" s="2319"/>
      <c r="CD90" s="2319"/>
      <c r="CE90" s="2319"/>
      <c r="CF90" s="2319"/>
      <c r="CG90" s="2319"/>
      <c r="CH90" s="2319"/>
      <c r="CI90" s="2319"/>
      <c r="CJ90" s="2319"/>
      <c r="CK90" s="2319"/>
      <c r="CL90" s="2319"/>
      <c r="CM90" s="2319"/>
      <c r="CN90" s="2319"/>
      <c r="CO90" s="2319"/>
      <c r="CP90" s="2319"/>
      <c r="CQ90" s="2319"/>
      <c r="CR90" s="2319"/>
      <c r="CS90" s="2319"/>
      <c r="CT90" s="2319"/>
      <c r="CU90" s="2319"/>
      <c r="CV90" s="2319"/>
    </row>
    <row r="91" spans="1:100" ht="15.75" customHeight="1">
      <c r="A91" s="2371"/>
      <c r="B91" s="2319"/>
      <c r="C91" s="2319"/>
      <c r="D91" s="2318"/>
      <c r="E91" s="2319"/>
      <c r="F91" s="2319"/>
      <c r="G91" s="2319"/>
      <c r="H91" s="2319"/>
      <c r="I91" s="2319"/>
      <c r="J91" s="2319"/>
      <c r="K91" s="2319"/>
      <c r="L91" s="2319"/>
      <c r="M91" s="2319"/>
      <c r="N91" s="2319"/>
      <c r="O91" s="2319"/>
      <c r="P91" s="2319"/>
      <c r="Q91" s="2319"/>
      <c r="R91" s="2319"/>
      <c r="S91" s="2319"/>
      <c r="T91" s="2319"/>
      <c r="U91" s="2319"/>
      <c r="V91" s="2319"/>
      <c r="W91" s="2319"/>
      <c r="X91" s="2319"/>
      <c r="Y91" s="2319"/>
      <c r="Z91" s="2319"/>
      <c r="AA91" s="2319"/>
      <c r="AB91" s="2319"/>
      <c r="AC91" s="2319"/>
      <c r="AD91" s="2319"/>
      <c r="AE91" s="2319"/>
      <c r="AF91" s="2319"/>
      <c r="AG91" s="2319"/>
      <c r="AH91" s="2319"/>
      <c r="AI91" s="2319"/>
      <c r="AJ91" s="2319"/>
      <c r="AK91" s="2319"/>
      <c r="AL91" s="2319"/>
      <c r="AM91" s="2319"/>
      <c r="AN91" s="2319"/>
      <c r="AO91" s="2319"/>
      <c r="AP91" s="2319"/>
      <c r="AQ91" s="2319"/>
      <c r="AR91" s="2319"/>
      <c r="AS91" s="2319"/>
      <c r="AT91" s="2319"/>
      <c r="AU91" s="2319"/>
      <c r="AV91" s="2319"/>
      <c r="AW91" s="2319"/>
      <c r="AX91" s="2319"/>
      <c r="AY91" s="2319"/>
      <c r="AZ91" s="2319"/>
      <c r="BA91" s="2319"/>
      <c r="BB91" s="2319"/>
      <c r="BC91" s="2319"/>
      <c r="BD91" s="2319"/>
      <c r="BE91" s="2319"/>
      <c r="BF91" s="2319"/>
      <c r="BG91" s="2319"/>
      <c r="BH91" s="2319"/>
      <c r="BI91" s="2319"/>
      <c r="BJ91" s="2319"/>
      <c r="BK91" s="2319"/>
      <c r="BL91" s="2319"/>
      <c r="BM91" s="2319"/>
      <c r="BN91" s="2319"/>
      <c r="BO91" s="2319"/>
      <c r="BP91" s="2319"/>
      <c r="BQ91" s="2319"/>
      <c r="BR91" s="2319"/>
      <c r="BS91" s="2319"/>
      <c r="BT91" s="2319"/>
      <c r="BU91" s="2319"/>
      <c r="BV91" s="2319"/>
      <c r="BW91" s="2319"/>
      <c r="BX91" s="2319"/>
      <c r="BY91" s="2319"/>
      <c r="BZ91" s="2319"/>
      <c r="CA91" s="2319"/>
      <c r="CB91" s="2319"/>
      <c r="CC91" s="2319"/>
      <c r="CD91" s="2319"/>
      <c r="CE91" s="2319"/>
      <c r="CF91" s="2319"/>
      <c r="CG91" s="2319"/>
      <c r="CH91" s="2319"/>
      <c r="CI91" s="2319"/>
      <c r="CJ91" s="2319"/>
      <c r="CK91" s="2319"/>
      <c r="CL91" s="2319"/>
      <c r="CM91" s="2319"/>
      <c r="CN91" s="2319"/>
      <c r="CO91" s="2319"/>
      <c r="CP91" s="2319"/>
      <c r="CQ91" s="2319"/>
      <c r="CR91" s="2319"/>
      <c r="CS91" s="2319"/>
      <c r="CT91" s="2319"/>
      <c r="CU91" s="2319"/>
      <c r="CV91" s="2319"/>
    </row>
    <row r="92" spans="1:100" ht="15.75" customHeight="1">
      <c r="A92" s="2371"/>
      <c r="B92" s="2319"/>
      <c r="C92" s="2319"/>
      <c r="D92" s="2318"/>
      <c r="E92" s="2319"/>
      <c r="F92" s="2319"/>
      <c r="G92" s="2319"/>
      <c r="H92" s="2319"/>
      <c r="I92" s="2319"/>
      <c r="J92" s="2319"/>
      <c r="K92" s="2319"/>
      <c r="L92" s="2319"/>
      <c r="M92" s="2319"/>
      <c r="N92" s="2319"/>
      <c r="O92" s="2319"/>
      <c r="P92" s="2319"/>
      <c r="Q92" s="2319"/>
      <c r="R92" s="2319"/>
      <c r="S92" s="2319"/>
      <c r="T92" s="2319"/>
      <c r="U92" s="2319"/>
      <c r="V92" s="2319"/>
      <c r="W92" s="2319"/>
      <c r="X92" s="2319"/>
      <c r="Y92" s="2319"/>
      <c r="Z92" s="2319"/>
      <c r="AA92" s="2319"/>
      <c r="AB92" s="2319"/>
      <c r="AC92" s="2319"/>
      <c r="AD92" s="2319"/>
      <c r="AE92" s="2319"/>
      <c r="AF92" s="2319"/>
      <c r="AG92" s="2319"/>
      <c r="AH92" s="2319"/>
      <c r="AI92" s="2319"/>
      <c r="AJ92" s="2319"/>
      <c r="AK92" s="2319"/>
      <c r="AL92" s="2319"/>
      <c r="AM92" s="2319"/>
      <c r="AN92" s="2319"/>
      <c r="AO92" s="2319"/>
      <c r="AP92" s="2319"/>
      <c r="AQ92" s="2319"/>
      <c r="AR92" s="2319"/>
      <c r="AS92" s="2319"/>
      <c r="AT92" s="2319"/>
      <c r="AU92" s="2319"/>
      <c r="AV92" s="2319"/>
      <c r="AW92" s="2319"/>
      <c r="AX92" s="2319"/>
      <c r="AY92" s="2319"/>
      <c r="AZ92" s="2319"/>
      <c r="BA92" s="2319"/>
      <c r="BB92" s="2319"/>
      <c r="BC92" s="2319"/>
      <c r="BD92" s="2319"/>
      <c r="BE92" s="2319"/>
      <c r="BF92" s="2319"/>
      <c r="BG92" s="2319"/>
      <c r="BH92" s="2319"/>
      <c r="BI92" s="2319"/>
      <c r="BJ92" s="2319"/>
      <c r="BK92" s="2319"/>
      <c r="BL92" s="2319"/>
      <c r="BM92" s="2319"/>
      <c r="BN92" s="2319"/>
      <c r="BO92" s="2319"/>
      <c r="BP92" s="2319"/>
      <c r="BQ92" s="2319"/>
      <c r="BR92" s="2319"/>
      <c r="BS92" s="2319"/>
      <c r="BT92" s="2319"/>
      <c r="BU92" s="2319"/>
      <c r="BV92" s="2319"/>
      <c r="BW92" s="2319"/>
      <c r="BX92" s="2319"/>
      <c r="BY92" s="2319"/>
      <c r="BZ92" s="2319"/>
      <c r="CA92" s="2319"/>
      <c r="CB92" s="2319"/>
      <c r="CC92" s="2319"/>
      <c r="CD92" s="2319"/>
      <c r="CE92" s="2319"/>
      <c r="CF92" s="2319"/>
      <c r="CG92" s="2319"/>
      <c r="CH92" s="2319"/>
      <c r="CI92" s="2319"/>
      <c r="CJ92" s="2319"/>
      <c r="CK92" s="2319"/>
      <c r="CL92" s="2319"/>
      <c r="CM92" s="2319"/>
      <c r="CN92" s="2319"/>
      <c r="CO92" s="2319"/>
      <c r="CP92" s="2319"/>
      <c r="CQ92" s="2319"/>
      <c r="CR92" s="2319"/>
      <c r="CS92" s="2319"/>
      <c r="CT92" s="2319"/>
      <c r="CU92" s="2319"/>
      <c r="CV92" s="2319"/>
    </row>
    <row r="93" spans="1:100" ht="15.75" customHeight="1">
      <c r="A93" s="2371"/>
      <c r="B93" s="2319"/>
      <c r="C93" s="2319"/>
      <c r="D93" s="2318"/>
      <c r="E93" s="2319"/>
      <c r="F93" s="2319"/>
      <c r="G93" s="2319"/>
      <c r="H93" s="2319"/>
      <c r="I93" s="2319"/>
      <c r="J93" s="2319"/>
      <c r="K93" s="2319"/>
      <c r="L93" s="2319"/>
      <c r="M93" s="2319"/>
      <c r="N93" s="2319"/>
      <c r="O93" s="2319"/>
      <c r="P93" s="2319"/>
      <c r="Q93" s="2319"/>
      <c r="R93" s="2319"/>
      <c r="S93" s="2319"/>
      <c r="T93" s="2319"/>
      <c r="U93" s="2319"/>
      <c r="V93" s="2319"/>
      <c r="W93" s="2319"/>
      <c r="X93" s="2319"/>
      <c r="Y93" s="2319"/>
      <c r="Z93" s="2319"/>
      <c r="AA93" s="2319"/>
      <c r="AB93" s="2319"/>
      <c r="AC93" s="2319"/>
      <c r="AD93" s="2319"/>
      <c r="AE93" s="2319"/>
      <c r="AF93" s="2319"/>
      <c r="AG93" s="2319"/>
      <c r="AH93" s="2319"/>
      <c r="AI93" s="2319"/>
      <c r="AJ93" s="2319"/>
      <c r="AK93" s="2319"/>
      <c r="AL93" s="2319"/>
      <c r="AM93" s="2319"/>
      <c r="AN93" s="2319"/>
      <c r="AO93" s="2319"/>
      <c r="AP93" s="2319"/>
      <c r="AQ93" s="2319"/>
      <c r="AR93" s="2319"/>
      <c r="AS93" s="2319"/>
      <c r="AT93" s="2319"/>
      <c r="AU93" s="2319"/>
      <c r="AV93" s="2319"/>
      <c r="AW93" s="2319"/>
      <c r="AX93" s="2319"/>
      <c r="AY93" s="2319"/>
      <c r="AZ93" s="2319"/>
      <c r="BA93" s="2319"/>
      <c r="BB93" s="2319"/>
      <c r="BC93" s="2319"/>
      <c r="BD93" s="2319"/>
      <c r="BE93" s="2319"/>
      <c r="BF93" s="2319"/>
      <c r="BG93" s="2319"/>
      <c r="BH93" s="2319"/>
      <c r="BI93" s="2319"/>
      <c r="BJ93" s="2319"/>
      <c r="BK93" s="2319"/>
      <c r="BL93" s="2319"/>
      <c r="BM93" s="2319"/>
      <c r="BN93" s="2319"/>
      <c r="BO93" s="2319"/>
      <c r="BP93" s="2319"/>
      <c r="BQ93" s="2319"/>
      <c r="BR93" s="2319"/>
      <c r="BS93" s="2319"/>
      <c r="BT93" s="2319"/>
      <c r="BU93" s="2319"/>
      <c r="BV93" s="2319"/>
      <c r="BW93" s="2319"/>
      <c r="BX93" s="2319"/>
      <c r="BY93" s="2319"/>
      <c r="BZ93" s="2319"/>
      <c r="CA93" s="2319"/>
      <c r="CB93" s="2319"/>
      <c r="CC93" s="2319"/>
      <c r="CD93" s="2319"/>
      <c r="CE93" s="2319"/>
      <c r="CF93" s="2319"/>
      <c r="CG93" s="2319"/>
      <c r="CH93" s="2319"/>
      <c r="CI93" s="2319"/>
      <c r="CJ93" s="2319"/>
      <c r="CK93" s="2319"/>
      <c r="CL93" s="2319"/>
      <c r="CM93" s="2319"/>
      <c r="CN93" s="2319"/>
      <c r="CO93" s="2319"/>
      <c r="CP93" s="2319"/>
      <c r="CQ93" s="2319"/>
      <c r="CR93" s="2319"/>
      <c r="CS93" s="2319"/>
      <c r="CT93" s="2319"/>
      <c r="CU93" s="2319"/>
      <c r="CV93" s="2319"/>
    </row>
    <row r="94" spans="1:100" ht="15.75" customHeight="1">
      <c r="A94" s="2371"/>
      <c r="B94" s="2319"/>
      <c r="C94" s="2319"/>
      <c r="D94" s="2318"/>
      <c r="E94" s="2319"/>
      <c r="F94" s="2319"/>
      <c r="G94" s="2319"/>
      <c r="H94" s="2319"/>
      <c r="I94" s="2319"/>
      <c r="J94" s="2319"/>
      <c r="K94" s="2319"/>
      <c r="L94" s="2319"/>
      <c r="M94" s="2319"/>
      <c r="N94" s="2319"/>
      <c r="O94" s="2319"/>
      <c r="P94" s="2319"/>
      <c r="Q94" s="2319"/>
      <c r="R94" s="2319"/>
      <c r="S94" s="2319"/>
      <c r="T94" s="2319"/>
      <c r="U94" s="2319"/>
      <c r="V94" s="2319"/>
      <c r="W94" s="2319"/>
      <c r="X94" s="2319"/>
      <c r="Y94" s="2319"/>
      <c r="Z94" s="2319"/>
      <c r="AA94" s="2319"/>
      <c r="AB94" s="2319"/>
      <c r="AC94" s="2319"/>
      <c r="AD94" s="2319"/>
      <c r="AE94" s="2319"/>
      <c r="AF94" s="2319"/>
      <c r="AG94" s="2319"/>
      <c r="AH94" s="2319"/>
      <c r="AI94" s="2319"/>
      <c r="AJ94" s="2319"/>
      <c r="AK94" s="2319"/>
      <c r="AL94" s="2319"/>
      <c r="AM94" s="2319"/>
      <c r="AN94" s="2319"/>
      <c r="AO94" s="2319"/>
      <c r="AP94" s="2319"/>
      <c r="AQ94" s="2319"/>
      <c r="AR94" s="2319"/>
      <c r="AS94" s="2319"/>
      <c r="AT94" s="2319"/>
      <c r="AU94" s="2319"/>
      <c r="AV94" s="2319"/>
      <c r="AW94" s="2319"/>
      <c r="AX94" s="2319"/>
      <c r="AY94" s="2319"/>
      <c r="AZ94" s="2319"/>
      <c r="BA94" s="2319"/>
      <c r="BB94" s="2319"/>
      <c r="BC94" s="2319"/>
      <c r="BD94" s="2319"/>
      <c r="BE94" s="2319"/>
      <c r="BF94" s="2319"/>
      <c r="BG94" s="2319"/>
      <c r="BH94" s="2319"/>
      <c r="BI94" s="2319"/>
      <c r="BJ94" s="2319"/>
      <c r="BK94" s="2319"/>
      <c r="BL94" s="2319"/>
      <c r="BM94" s="2319"/>
      <c r="BN94" s="2319"/>
      <c r="BO94" s="2319"/>
      <c r="BP94" s="2319"/>
      <c r="BQ94" s="2319"/>
      <c r="BR94" s="2319"/>
      <c r="BS94" s="2319"/>
      <c r="BT94" s="2319"/>
      <c r="BU94" s="2319"/>
      <c r="BV94" s="2319"/>
      <c r="BW94" s="2319"/>
      <c r="BX94" s="2319"/>
      <c r="BY94" s="2319"/>
      <c r="BZ94" s="2319"/>
      <c r="CA94" s="2319"/>
      <c r="CB94" s="2319"/>
      <c r="CC94" s="2319"/>
      <c r="CD94" s="2319"/>
      <c r="CE94" s="2319"/>
      <c r="CF94" s="2319"/>
      <c r="CG94" s="2319"/>
      <c r="CH94" s="2319"/>
      <c r="CI94" s="2319"/>
      <c r="CJ94" s="2319"/>
      <c r="CK94" s="2319"/>
      <c r="CL94" s="2319"/>
      <c r="CM94" s="2319"/>
      <c r="CN94" s="2319"/>
      <c r="CO94" s="2319"/>
      <c r="CP94" s="2319"/>
      <c r="CQ94" s="2319"/>
      <c r="CR94" s="2319"/>
      <c r="CS94" s="2319"/>
      <c r="CT94" s="2319"/>
      <c r="CU94" s="2319"/>
      <c r="CV94" s="2319"/>
    </row>
    <row r="95" spans="1:100" ht="15.75" customHeight="1">
      <c r="A95" s="2371"/>
      <c r="B95" s="2319"/>
      <c r="C95" s="2319"/>
      <c r="D95" s="2318"/>
      <c r="E95" s="2319"/>
      <c r="F95" s="2319"/>
      <c r="G95" s="2319"/>
      <c r="H95" s="2319"/>
      <c r="I95" s="2319"/>
      <c r="J95" s="2319"/>
      <c r="K95" s="2319"/>
      <c r="L95" s="2319"/>
      <c r="M95" s="2319"/>
      <c r="N95" s="2319"/>
      <c r="O95" s="2319"/>
      <c r="P95" s="2319"/>
      <c r="Q95" s="2319"/>
      <c r="R95" s="2319"/>
      <c r="S95" s="2319"/>
      <c r="T95" s="2319"/>
      <c r="U95" s="2319"/>
      <c r="V95" s="2319"/>
      <c r="W95" s="2319"/>
      <c r="X95" s="2319"/>
      <c r="Y95" s="2319"/>
      <c r="Z95" s="2319"/>
      <c r="AA95" s="2319"/>
      <c r="AB95" s="2319"/>
      <c r="AC95" s="2319"/>
      <c r="AD95" s="2319"/>
      <c r="AE95" s="2319"/>
      <c r="AF95" s="2319"/>
      <c r="AG95" s="2319"/>
      <c r="AH95" s="2319"/>
      <c r="AI95" s="2319"/>
      <c r="AJ95" s="2319"/>
      <c r="AK95" s="2319"/>
      <c r="AL95" s="2319"/>
      <c r="AM95" s="2319"/>
      <c r="AN95" s="2319"/>
      <c r="AO95" s="2319"/>
      <c r="AP95" s="2319"/>
      <c r="AQ95" s="2319"/>
      <c r="AR95" s="2319"/>
      <c r="AS95" s="2319"/>
      <c r="AT95" s="2319"/>
      <c r="AU95" s="2319"/>
      <c r="AV95" s="2319"/>
      <c r="AW95" s="2319"/>
      <c r="AX95" s="2319"/>
      <c r="AY95" s="2319"/>
      <c r="AZ95" s="2319"/>
      <c r="BA95" s="2319"/>
      <c r="BB95" s="2319"/>
      <c r="BC95" s="2319"/>
      <c r="BD95" s="2319"/>
      <c r="BE95" s="2319"/>
      <c r="BF95" s="2319"/>
      <c r="BG95" s="2319"/>
      <c r="BH95" s="2319"/>
      <c r="BI95" s="2319"/>
      <c r="BJ95" s="2319"/>
      <c r="BK95" s="2319"/>
      <c r="BL95" s="2319"/>
      <c r="BM95" s="2319"/>
      <c r="BN95" s="2319"/>
      <c r="BO95" s="2319"/>
      <c r="BP95" s="2319"/>
      <c r="BQ95" s="2319"/>
      <c r="BR95" s="2319"/>
      <c r="BS95" s="2319"/>
      <c r="BT95" s="2319"/>
      <c r="BU95" s="2319"/>
      <c r="BV95" s="2319"/>
      <c r="BW95" s="2319"/>
      <c r="BX95" s="2319"/>
      <c r="BY95" s="2319"/>
      <c r="BZ95" s="2319"/>
      <c r="CA95" s="2319"/>
      <c r="CB95" s="2319"/>
      <c r="CC95" s="2319"/>
      <c r="CD95" s="2319"/>
      <c r="CE95" s="2319"/>
      <c r="CF95" s="2319"/>
      <c r="CG95" s="2319"/>
      <c r="CH95" s="2319"/>
      <c r="CI95" s="2319"/>
      <c r="CJ95" s="2319"/>
      <c r="CK95" s="2319"/>
      <c r="CL95" s="2319"/>
      <c r="CM95" s="2319"/>
      <c r="CN95" s="2319"/>
      <c r="CO95" s="2319"/>
      <c r="CP95" s="2319"/>
      <c r="CQ95" s="2319"/>
      <c r="CR95" s="2319"/>
      <c r="CS95" s="2319"/>
      <c r="CT95" s="2319"/>
      <c r="CU95" s="2319"/>
      <c r="CV95" s="2319"/>
    </row>
    <row r="96" spans="1:100" ht="15.75" customHeight="1">
      <c r="A96" s="2371"/>
      <c r="B96" s="2319"/>
      <c r="C96" s="2319"/>
      <c r="D96" s="2318"/>
      <c r="E96" s="2319"/>
      <c r="F96" s="2319"/>
      <c r="G96" s="2319"/>
      <c r="H96" s="2319"/>
      <c r="I96" s="2319"/>
      <c r="J96" s="2319"/>
      <c r="K96" s="2319"/>
      <c r="L96" s="2319"/>
      <c r="M96" s="2319"/>
      <c r="N96" s="2319"/>
      <c r="O96" s="2319"/>
      <c r="P96" s="2319"/>
      <c r="Q96" s="2319"/>
      <c r="R96" s="2319"/>
      <c r="S96" s="2319"/>
      <c r="T96" s="2319"/>
      <c r="U96" s="2319"/>
      <c r="V96" s="2319"/>
      <c r="W96" s="2319"/>
      <c r="X96" s="2319"/>
      <c r="Y96" s="2319"/>
      <c r="Z96" s="2319"/>
      <c r="AA96" s="2319"/>
      <c r="AB96" s="2319"/>
      <c r="AC96" s="2319"/>
      <c r="AD96" s="2319"/>
      <c r="AE96" s="2319"/>
      <c r="AF96" s="2319"/>
      <c r="AG96" s="2319"/>
      <c r="AH96" s="2319"/>
      <c r="AI96" s="2319"/>
      <c r="AJ96" s="2319"/>
      <c r="AK96" s="2319"/>
      <c r="AL96" s="2319"/>
      <c r="AM96" s="2319"/>
      <c r="AN96" s="2319"/>
      <c r="AO96" s="2319"/>
      <c r="AP96" s="2319"/>
      <c r="AQ96" s="2319"/>
      <c r="AR96" s="2319"/>
      <c r="AS96" s="2319"/>
      <c r="AT96" s="2319"/>
      <c r="AU96" s="2319"/>
      <c r="AV96" s="2319"/>
      <c r="AW96" s="2319"/>
      <c r="AX96" s="2319"/>
      <c r="AY96" s="2319"/>
      <c r="AZ96" s="2319"/>
      <c r="BA96" s="2319"/>
      <c r="BB96" s="2319"/>
      <c r="BC96" s="2319"/>
      <c r="BD96" s="2319"/>
      <c r="BE96" s="2319"/>
      <c r="BF96" s="2319"/>
      <c r="BG96" s="2319"/>
      <c r="BH96" s="2319"/>
      <c r="BI96" s="2319"/>
      <c r="BJ96" s="2319"/>
      <c r="BK96" s="2319"/>
      <c r="BL96" s="2319"/>
      <c r="BM96" s="2319"/>
      <c r="BN96" s="2319"/>
      <c r="BO96" s="2319"/>
      <c r="BP96" s="2319"/>
      <c r="BQ96" s="2319"/>
      <c r="BR96" s="2319"/>
      <c r="BS96" s="2319"/>
      <c r="BT96" s="2319"/>
      <c r="BU96" s="2319"/>
      <c r="BV96" s="2319"/>
      <c r="BW96" s="2319"/>
      <c r="BX96" s="2319"/>
      <c r="BY96" s="2319"/>
      <c r="BZ96" s="2319"/>
      <c r="CA96" s="2319"/>
      <c r="CB96" s="2319"/>
      <c r="CC96" s="2319"/>
      <c r="CD96" s="2319"/>
      <c r="CE96" s="2319"/>
      <c r="CF96" s="2319"/>
      <c r="CG96" s="2319"/>
      <c r="CH96" s="2319"/>
      <c r="CI96" s="2319"/>
      <c r="CJ96" s="2319"/>
      <c r="CK96" s="2319"/>
      <c r="CL96" s="2319"/>
      <c r="CM96" s="2319"/>
      <c r="CN96" s="2319"/>
      <c r="CO96" s="2319"/>
      <c r="CP96" s="2319"/>
      <c r="CQ96" s="2319"/>
      <c r="CR96" s="2319"/>
      <c r="CS96" s="2319"/>
      <c r="CT96" s="2319"/>
      <c r="CU96" s="2319"/>
      <c r="CV96" s="2319"/>
    </row>
    <row r="97" spans="1:100" ht="15.75" customHeight="1">
      <c r="A97" s="2371"/>
      <c r="B97" s="2319"/>
      <c r="C97" s="2319"/>
      <c r="D97" s="2318"/>
      <c r="E97" s="2319"/>
      <c r="F97" s="2319"/>
      <c r="G97" s="2319"/>
      <c r="H97" s="2319"/>
      <c r="I97" s="2319"/>
      <c r="J97" s="2319"/>
      <c r="K97" s="2319"/>
      <c r="L97" s="2319"/>
      <c r="M97" s="2319"/>
      <c r="N97" s="2319"/>
      <c r="O97" s="2319"/>
      <c r="P97" s="2319"/>
      <c r="Q97" s="2319"/>
      <c r="R97" s="2319"/>
      <c r="S97" s="2319"/>
      <c r="T97" s="2319"/>
      <c r="U97" s="2319"/>
      <c r="V97" s="2319"/>
      <c r="W97" s="2319"/>
      <c r="X97" s="2319"/>
      <c r="Y97" s="2319"/>
      <c r="Z97" s="2319"/>
      <c r="AA97" s="2319"/>
      <c r="AB97" s="2319"/>
      <c r="AC97" s="2319"/>
      <c r="AD97" s="2319"/>
      <c r="AE97" s="2319"/>
      <c r="AF97" s="2319"/>
      <c r="AG97" s="2319"/>
      <c r="AH97" s="2319"/>
      <c r="AI97" s="2319"/>
      <c r="AJ97" s="2319"/>
      <c r="AK97" s="2319"/>
      <c r="AL97" s="2319"/>
      <c r="AM97" s="2319"/>
      <c r="AN97" s="2319"/>
      <c r="AO97" s="2319"/>
      <c r="AP97" s="2319"/>
      <c r="AQ97" s="2319"/>
      <c r="AR97" s="2319"/>
      <c r="AS97" s="2319"/>
      <c r="AT97" s="2319"/>
      <c r="AU97" s="2319"/>
      <c r="AV97" s="2319"/>
      <c r="AW97" s="2319"/>
      <c r="AX97" s="2319"/>
      <c r="AY97" s="2319"/>
      <c r="AZ97" s="2319"/>
      <c r="BA97" s="2319"/>
      <c r="BB97" s="2319"/>
      <c r="BC97" s="2319"/>
      <c r="BD97" s="2319"/>
      <c r="BE97" s="2319"/>
      <c r="BF97" s="2319"/>
      <c r="BG97" s="2319"/>
      <c r="BH97" s="2319"/>
      <c r="BI97" s="2319"/>
      <c r="BJ97" s="2319"/>
      <c r="BK97" s="2319"/>
      <c r="BL97" s="2319"/>
      <c r="BM97" s="2319"/>
      <c r="BN97" s="2319"/>
      <c r="BO97" s="2319"/>
      <c r="BP97" s="2319"/>
      <c r="BQ97" s="2319"/>
      <c r="BR97" s="2319"/>
      <c r="BS97" s="2319"/>
      <c r="BT97" s="2319"/>
      <c r="BU97" s="2319"/>
      <c r="BV97" s="2319"/>
      <c r="BW97" s="2319"/>
      <c r="BX97" s="2319"/>
      <c r="BY97" s="2319"/>
      <c r="BZ97" s="2319"/>
      <c r="CA97" s="2319"/>
      <c r="CB97" s="2319"/>
      <c r="CC97" s="2319"/>
      <c r="CD97" s="2319"/>
      <c r="CE97" s="2319"/>
      <c r="CF97" s="2319"/>
      <c r="CG97" s="2319"/>
      <c r="CH97" s="2319"/>
      <c r="CI97" s="2319"/>
      <c r="CJ97" s="2319"/>
      <c r="CK97" s="2319"/>
      <c r="CL97" s="2319"/>
      <c r="CM97" s="2319"/>
      <c r="CN97" s="2319"/>
      <c r="CO97" s="2319"/>
      <c r="CP97" s="2319"/>
      <c r="CQ97" s="2319"/>
      <c r="CR97" s="2319"/>
      <c r="CS97" s="2319"/>
      <c r="CT97" s="2319"/>
      <c r="CU97" s="2319"/>
      <c r="CV97" s="2319"/>
    </row>
    <row r="98" spans="1:100" ht="15.75" customHeight="1">
      <c r="A98" s="2371"/>
      <c r="B98" s="2319"/>
      <c r="C98" s="2319"/>
      <c r="D98" s="2318"/>
      <c r="E98" s="2319"/>
      <c r="F98" s="2319"/>
      <c r="G98" s="2319"/>
      <c r="H98" s="2319"/>
      <c r="I98" s="2319"/>
      <c r="J98" s="2319"/>
      <c r="K98" s="2319"/>
      <c r="L98" s="2319"/>
      <c r="M98" s="2319"/>
      <c r="N98" s="2319"/>
      <c r="O98" s="2319"/>
      <c r="P98" s="2319"/>
      <c r="Q98" s="2319"/>
      <c r="R98" s="2319"/>
      <c r="S98" s="2319"/>
      <c r="T98" s="2319"/>
      <c r="U98" s="2319"/>
      <c r="V98" s="2319"/>
      <c r="W98" s="2319"/>
      <c r="X98" s="2319"/>
      <c r="Y98" s="2319"/>
      <c r="Z98" s="2319"/>
      <c r="AA98" s="2319"/>
      <c r="AB98" s="2319"/>
      <c r="AC98" s="2319"/>
      <c r="AD98" s="2319"/>
      <c r="AE98" s="2319"/>
      <c r="AF98" s="2319"/>
      <c r="AG98" s="2319"/>
      <c r="AH98" s="2319"/>
      <c r="AI98" s="2319"/>
      <c r="AJ98" s="2319"/>
      <c r="AK98" s="2319"/>
      <c r="AL98" s="2319"/>
      <c r="AM98" s="2319"/>
      <c r="AN98" s="2319"/>
      <c r="AO98" s="2319"/>
      <c r="AP98" s="2319"/>
      <c r="AQ98" s="2319"/>
      <c r="AR98" s="2319"/>
      <c r="AS98" s="2319"/>
      <c r="AT98" s="2319"/>
      <c r="AU98" s="2319"/>
      <c r="AV98" s="2319"/>
      <c r="AW98" s="2319"/>
      <c r="AX98" s="2319"/>
      <c r="AY98" s="2319"/>
      <c r="AZ98" s="2319"/>
      <c r="BA98" s="2319"/>
      <c r="BB98" s="2319"/>
      <c r="BC98" s="2319"/>
      <c r="BD98" s="2319"/>
      <c r="BE98" s="2319"/>
      <c r="BF98" s="2319"/>
      <c r="BG98" s="2319"/>
      <c r="BH98" s="2319"/>
      <c r="BI98" s="2319"/>
      <c r="BJ98" s="2319"/>
      <c r="BK98" s="2319"/>
      <c r="BL98" s="2319"/>
      <c r="BM98" s="2319"/>
      <c r="BN98" s="2319"/>
      <c r="BO98" s="2319"/>
      <c r="BP98" s="2319"/>
      <c r="BQ98" s="2319"/>
      <c r="BR98" s="2319"/>
      <c r="BS98" s="2319"/>
      <c r="BT98" s="2319"/>
      <c r="BU98" s="2319"/>
      <c r="BV98" s="2319"/>
      <c r="BW98" s="2319"/>
      <c r="BX98" s="2319"/>
      <c r="BY98" s="2319"/>
      <c r="BZ98" s="2319"/>
      <c r="CA98" s="2319"/>
      <c r="CB98" s="2319"/>
      <c r="CC98" s="2319"/>
      <c r="CD98" s="2319"/>
      <c r="CE98" s="2319"/>
      <c r="CF98" s="2319"/>
      <c r="CG98" s="2319"/>
      <c r="CH98" s="2319"/>
      <c r="CI98" s="2319"/>
      <c r="CJ98" s="2319"/>
      <c r="CK98" s="2319"/>
      <c r="CL98" s="2319"/>
      <c r="CM98" s="2319"/>
      <c r="CN98" s="2319"/>
      <c r="CO98" s="2319"/>
      <c r="CP98" s="2319"/>
      <c r="CQ98" s="2319"/>
      <c r="CR98" s="2319"/>
      <c r="CS98" s="2319"/>
      <c r="CT98" s="2319"/>
      <c r="CU98" s="2319"/>
      <c r="CV98" s="2319"/>
    </row>
    <row r="99" spans="1:100" ht="15.75" customHeight="1">
      <c r="A99" s="2371"/>
      <c r="B99" s="2319"/>
      <c r="C99" s="2319"/>
      <c r="D99" s="2318"/>
      <c r="E99" s="2319"/>
      <c r="F99" s="2319"/>
      <c r="G99" s="2319"/>
      <c r="H99" s="2319"/>
      <c r="I99" s="2319"/>
      <c r="J99" s="2319"/>
      <c r="K99" s="2319"/>
      <c r="L99" s="2319"/>
      <c r="M99" s="2319"/>
      <c r="N99" s="2319"/>
      <c r="O99" s="2319"/>
      <c r="P99" s="2319"/>
      <c r="Q99" s="2319"/>
      <c r="R99" s="2319"/>
      <c r="S99" s="2319"/>
      <c r="T99" s="2319"/>
      <c r="U99" s="2319"/>
      <c r="V99" s="2319"/>
      <c r="W99" s="2319"/>
      <c r="X99" s="2319"/>
      <c r="Y99" s="2319"/>
      <c r="Z99" s="2319"/>
      <c r="AA99" s="2319"/>
      <c r="AB99" s="2319"/>
      <c r="AC99" s="2319"/>
      <c r="AD99" s="2319"/>
      <c r="AE99" s="2319"/>
      <c r="AF99" s="2319"/>
      <c r="AG99" s="2319"/>
      <c r="AH99" s="2319"/>
      <c r="AI99" s="2319"/>
      <c r="AJ99" s="2319"/>
      <c r="AK99" s="2319"/>
      <c r="AL99" s="2319"/>
      <c r="AM99" s="2319"/>
      <c r="AN99" s="2319"/>
      <c r="AO99" s="2319"/>
      <c r="AP99" s="2319"/>
      <c r="AQ99" s="2319"/>
      <c r="AR99" s="2319"/>
      <c r="AS99" s="2319"/>
      <c r="AT99" s="2319"/>
      <c r="AU99" s="2319"/>
      <c r="AV99" s="2319"/>
      <c r="AW99" s="2319"/>
      <c r="AX99" s="2319"/>
      <c r="AY99" s="2319"/>
      <c r="AZ99" s="2319"/>
      <c r="BA99" s="2319"/>
      <c r="BB99" s="2319"/>
      <c r="BC99" s="2319"/>
      <c r="BD99" s="2319"/>
      <c r="BE99" s="2319"/>
      <c r="BF99" s="2319"/>
      <c r="BG99" s="2319"/>
      <c r="BH99" s="2319"/>
      <c r="BI99" s="2319"/>
      <c r="BJ99" s="2319"/>
      <c r="BK99" s="2319"/>
      <c r="BL99" s="2319"/>
      <c r="BM99" s="2319"/>
      <c r="BN99" s="2319"/>
      <c r="BO99" s="2319"/>
      <c r="BP99" s="2319"/>
      <c r="BQ99" s="2319"/>
      <c r="BR99" s="2319"/>
      <c r="BS99" s="2319"/>
      <c r="BT99" s="2319"/>
      <c r="BU99" s="2319"/>
      <c r="BV99" s="2319"/>
      <c r="BW99" s="2319"/>
      <c r="BX99" s="2319"/>
      <c r="BY99" s="2319"/>
      <c r="BZ99" s="2319"/>
      <c r="CA99" s="2319"/>
      <c r="CB99" s="2319"/>
      <c r="CC99" s="2319"/>
      <c r="CD99" s="2319"/>
      <c r="CE99" s="2319"/>
      <c r="CF99" s="2319"/>
      <c r="CG99" s="2319"/>
      <c r="CH99" s="2319"/>
      <c r="CI99" s="2319"/>
      <c r="CJ99" s="2319"/>
      <c r="CK99" s="2319"/>
      <c r="CL99" s="2319"/>
      <c r="CM99" s="2319"/>
      <c r="CN99" s="2319"/>
      <c r="CO99" s="2319"/>
      <c r="CP99" s="2319"/>
      <c r="CQ99" s="2319"/>
      <c r="CR99" s="2319"/>
      <c r="CS99" s="2319"/>
      <c r="CT99" s="2319"/>
      <c r="CU99" s="2319"/>
      <c r="CV99" s="2319"/>
    </row>
    <row r="100" spans="1:100" ht="15.75" customHeight="1">
      <c r="A100" s="2371"/>
      <c r="B100" s="2319"/>
      <c r="C100" s="2319"/>
      <c r="D100" s="2318"/>
      <c r="E100" s="2319"/>
      <c r="F100" s="2319"/>
      <c r="G100" s="2319"/>
      <c r="H100" s="2319"/>
      <c r="I100" s="2319"/>
      <c r="J100" s="2319"/>
      <c r="K100" s="2319"/>
      <c r="L100" s="2319"/>
      <c r="M100" s="2319"/>
      <c r="N100" s="2319"/>
      <c r="O100" s="2319"/>
      <c r="P100" s="2319"/>
      <c r="Q100" s="2319"/>
      <c r="R100" s="2319"/>
      <c r="S100" s="2319"/>
      <c r="T100" s="2319"/>
      <c r="U100" s="2319"/>
      <c r="V100" s="2319"/>
      <c r="W100" s="2319"/>
      <c r="X100" s="2319"/>
      <c r="Y100" s="2319"/>
      <c r="Z100" s="2319"/>
      <c r="AA100" s="2319"/>
      <c r="AB100" s="2319"/>
      <c r="AC100" s="2319"/>
      <c r="AD100" s="2319"/>
      <c r="AE100" s="2319"/>
      <c r="AF100" s="2319"/>
      <c r="AG100" s="2319"/>
      <c r="AH100" s="2319"/>
      <c r="AI100" s="2319"/>
      <c r="AJ100" s="2319"/>
      <c r="AK100" s="2319"/>
      <c r="AL100" s="2319"/>
      <c r="AM100" s="2319"/>
      <c r="AN100" s="2319"/>
      <c r="AO100" s="2319"/>
      <c r="AP100" s="2319"/>
      <c r="AQ100" s="2319"/>
      <c r="AR100" s="2319"/>
      <c r="AS100" s="2319"/>
      <c r="AT100" s="2319"/>
      <c r="AU100" s="2319"/>
      <c r="AV100" s="2319"/>
      <c r="AW100" s="2319"/>
      <c r="AX100" s="2319"/>
      <c r="AY100" s="2319"/>
      <c r="AZ100" s="2319"/>
      <c r="BA100" s="2319"/>
      <c r="BB100" s="2319"/>
      <c r="BC100" s="2319"/>
      <c r="BD100" s="2319"/>
      <c r="BE100" s="2319"/>
      <c r="BF100" s="2319"/>
      <c r="BG100" s="2319"/>
      <c r="BH100" s="2319"/>
      <c r="BI100" s="2319"/>
      <c r="BJ100" s="2319"/>
      <c r="BK100" s="2319"/>
      <c r="BL100" s="2319"/>
      <c r="BM100" s="2319"/>
      <c r="BN100" s="2319"/>
      <c r="BO100" s="2319"/>
      <c r="BP100" s="2319"/>
      <c r="BQ100" s="2319"/>
      <c r="BR100" s="2319"/>
      <c r="BS100" s="2319"/>
      <c r="BT100" s="2319"/>
      <c r="BU100" s="2319"/>
      <c r="BV100" s="2319"/>
      <c r="BW100" s="2319"/>
      <c r="BX100" s="2319"/>
      <c r="BY100" s="2319"/>
      <c r="BZ100" s="2319"/>
      <c r="CA100" s="2319"/>
      <c r="CB100" s="2319"/>
      <c r="CC100" s="2319"/>
      <c r="CD100" s="2319"/>
      <c r="CE100" s="2319"/>
      <c r="CF100" s="2319"/>
      <c r="CG100" s="2319"/>
      <c r="CH100" s="2319"/>
      <c r="CI100" s="2319"/>
      <c r="CJ100" s="2319"/>
      <c r="CK100" s="2319"/>
      <c r="CL100" s="2319"/>
      <c r="CM100" s="2319"/>
      <c r="CN100" s="2319"/>
      <c r="CO100" s="2319"/>
      <c r="CP100" s="2319"/>
      <c r="CQ100" s="2319"/>
      <c r="CR100" s="2319"/>
      <c r="CS100" s="2319"/>
      <c r="CT100" s="2319"/>
      <c r="CU100" s="2319"/>
      <c r="CV100" s="2319"/>
    </row>
    <row r="101" spans="1:100" ht="15.75" customHeight="1">
      <c r="A101" s="2371"/>
      <c r="B101" s="2319"/>
      <c r="C101" s="2319"/>
      <c r="D101" s="2318"/>
      <c r="E101" s="2319"/>
      <c r="F101" s="2319"/>
      <c r="G101" s="2319"/>
      <c r="H101" s="2319"/>
      <c r="I101" s="2319"/>
      <c r="J101" s="2319"/>
      <c r="K101" s="2319"/>
      <c r="L101" s="2319"/>
      <c r="M101" s="2319"/>
      <c r="N101" s="2319"/>
      <c r="O101" s="2319"/>
      <c r="P101" s="2319"/>
      <c r="Q101" s="2319"/>
      <c r="R101" s="2319"/>
      <c r="S101" s="2319"/>
      <c r="T101" s="2319"/>
      <c r="U101" s="2319"/>
      <c r="V101" s="2319"/>
      <c r="W101" s="2319"/>
      <c r="X101" s="2319"/>
      <c r="Y101" s="2319"/>
      <c r="Z101" s="2319"/>
      <c r="AA101" s="2319"/>
      <c r="AB101" s="2319"/>
      <c r="AC101" s="2319"/>
      <c r="AD101" s="2319"/>
      <c r="AE101" s="2319"/>
      <c r="AF101" s="2319"/>
      <c r="AG101" s="2319"/>
      <c r="AH101" s="2319"/>
      <c r="AI101" s="2319"/>
      <c r="AJ101" s="2319"/>
      <c r="AK101" s="2319"/>
      <c r="AL101" s="2319"/>
      <c r="AM101" s="2319"/>
      <c r="AN101" s="2319"/>
      <c r="AO101" s="2319"/>
      <c r="AP101" s="2319"/>
      <c r="AQ101" s="2319"/>
      <c r="AR101" s="2319"/>
      <c r="AS101" s="2319"/>
      <c r="AT101" s="2319"/>
      <c r="AU101" s="2319"/>
      <c r="AV101" s="2319"/>
      <c r="AW101" s="2319"/>
      <c r="AX101" s="2319"/>
      <c r="AY101" s="2319"/>
      <c r="AZ101" s="2319"/>
      <c r="BA101" s="2319"/>
      <c r="BB101" s="2319"/>
      <c r="BC101" s="2319"/>
      <c r="BD101" s="2319"/>
      <c r="BE101" s="2319"/>
      <c r="BF101" s="2319"/>
      <c r="BG101" s="2319"/>
      <c r="BH101" s="2319"/>
      <c r="BI101" s="2319"/>
      <c r="BJ101" s="2319"/>
      <c r="BK101" s="2319"/>
      <c r="BL101" s="2319"/>
      <c r="BM101" s="2319"/>
      <c r="BN101" s="2319"/>
      <c r="BO101" s="2319"/>
      <c r="BP101" s="2319"/>
      <c r="BQ101" s="2319"/>
      <c r="BR101" s="2319"/>
      <c r="BS101" s="2319"/>
      <c r="BT101" s="2319"/>
      <c r="BU101" s="2319"/>
      <c r="BV101" s="2319"/>
      <c r="BW101" s="2319"/>
      <c r="BX101" s="2319"/>
      <c r="BY101" s="2319"/>
      <c r="BZ101" s="2319"/>
      <c r="CA101" s="2319"/>
      <c r="CB101" s="2319"/>
      <c r="CC101" s="2319"/>
      <c r="CD101" s="2319"/>
      <c r="CE101" s="2319"/>
      <c r="CF101" s="2319"/>
      <c r="CG101" s="2319"/>
      <c r="CH101" s="2319"/>
      <c r="CI101" s="2319"/>
      <c r="CJ101" s="2319"/>
      <c r="CK101" s="2319"/>
      <c r="CL101" s="2319"/>
      <c r="CM101" s="2319"/>
      <c r="CN101" s="2319"/>
      <c r="CO101" s="2319"/>
      <c r="CP101" s="2319"/>
      <c r="CQ101" s="2319"/>
      <c r="CR101" s="2319"/>
      <c r="CS101" s="2319"/>
      <c r="CT101" s="2319"/>
      <c r="CU101" s="2319"/>
      <c r="CV101" s="2319"/>
    </row>
    <row r="102" spans="1:100" ht="15.75" customHeight="1">
      <c r="A102" s="2371"/>
      <c r="B102" s="2319"/>
      <c r="C102" s="2319"/>
      <c r="D102" s="2318"/>
      <c r="E102" s="2319"/>
      <c r="F102" s="2319"/>
      <c r="G102" s="2319"/>
      <c r="H102" s="2319"/>
      <c r="I102" s="2319"/>
      <c r="J102" s="2319"/>
      <c r="K102" s="2319"/>
      <c r="L102" s="2319"/>
      <c r="M102" s="2319"/>
      <c r="N102" s="2319"/>
      <c r="O102" s="2319"/>
      <c r="P102" s="2319"/>
      <c r="Q102" s="2319"/>
      <c r="R102" s="2319"/>
      <c r="S102" s="2319"/>
      <c r="T102" s="2319"/>
      <c r="U102" s="2319"/>
      <c r="V102" s="2319"/>
      <c r="W102" s="2319"/>
      <c r="X102" s="2319"/>
      <c r="Y102" s="2319"/>
      <c r="Z102" s="2319"/>
      <c r="AA102" s="2319"/>
      <c r="AB102" s="2319"/>
      <c r="AC102" s="2319"/>
      <c r="AD102" s="2319"/>
      <c r="AE102" s="2319"/>
      <c r="AF102" s="2319"/>
      <c r="AG102" s="2319"/>
      <c r="AH102" s="2319"/>
      <c r="AI102" s="2319"/>
      <c r="AJ102" s="2319"/>
      <c r="AK102" s="2319"/>
      <c r="AL102" s="2319"/>
      <c r="AM102" s="2319"/>
      <c r="AN102" s="2319"/>
      <c r="AO102" s="2319"/>
      <c r="AP102" s="2319"/>
      <c r="AQ102" s="2319"/>
      <c r="AR102" s="2319"/>
      <c r="AS102" s="2319"/>
      <c r="AT102" s="2319"/>
      <c r="AU102" s="2319"/>
      <c r="AV102" s="2319"/>
      <c r="AW102" s="2319"/>
      <c r="AX102" s="2319"/>
      <c r="AY102" s="2319"/>
      <c r="AZ102" s="2319"/>
      <c r="BA102" s="2319"/>
      <c r="BB102" s="2319"/>
      <c r="BC102" s="2319"/>
      <c r="BD102" s="2319"/>
      <c r="BE102" s="2319"/>
      <c r="BF102" s="2319"/>
      <c r="BG102" s="2319"/>
      <c r="BH102" s="2319"/>
      <c r="BI102" s="2319"/>
      <c r="BJ102" s="2319"/>
      <c r="BK102" s="2319"/>
      <c r="BL102" s="2319"/>
      <c r="BM102" s="2319"/>
      <c r="BN102" s="2319"/>
      <c r="BO102" s="2319"/>
      <c r="BP102" s="2319"/>
      <c r="BQ102" s="2319"/>
      <c r="BR102" s="2319"/>
      <c r="BS102" s="2319"/>
      <c r="BT102" s="2319"/>
      <c r="BU102" s="2319"/>
      <c r="BV102" s="2319"/>
      <c r="BW102" s="2319"/>
      <c r="BX102" s="2319"/>
      <c r="BY102" s="2319"/>
      <c r="BZ102" s="2319"/>
      <c r="CA102" s="2319"/>
      <c r="CB102" s="2319"/>
      <c r="CC102" s="2319"/>
      <c r="CD102" s="2319"/>
      <c r="CE102" s="2319"/>
      <c r="CF102" s="2319"/>
      <c r="CG102" s="2319"/>
      <c r="CH102" s="2319"/>
      <c r="CI102" s="2319"/>
      <c r="CJ102" s="2319"/>
      <c r="CK102" s="2319"/>
      <c r="CL102" s="2319"/>
      <c r="CM102" s="2319"/>
      <c r="CN102" s="2319"/>
      <c r="CO102" s="2319"/>
      <c r="CP102" s="2319"/>
      <c r="CQ102" s="2319"/>
      <c r="CR102" s="2319"/>
      <c r="CS102" s="2319"/>
      <c r="CT102" s="2319"/>
      <c r="CU102" s="2319"/>
      <c r="CV102" s="2319"/>
    </row>
    <row r="103" spans="1:100" ht="15.75" customHeight="1">
      <c r="A103" s="2371"/>
      <c r="B103" s="2319"/>
      <c r="C103" s="2319"/>
      <c r="D103" s="2318"/>
      <c r="E103" s="2319"/>
      <c r="F103" s="2319"/>
      <c r="G103" s="2319"/>
      <c r="H103" s="2319"/>
      <c r="I103" s="2319"/>
      <c r="J103" s="2319"/>
      <c r="K103" s="2319"/>
      <c r="L103" s="2319"/>
      <c r="M103" s="2319"/>
      <c r="N103" s="2319"/>
      <c r="O103" s="2319"/>
      <c r="P103" s="2319"/>
      <c r="Q103" s="2319"/>
      <c r="R103" s="2319"/>
      <c r="S103" s="2319"/>
      <c r="T103" s="2319"/>
      <c r="U103" s="2319"/>
      <c r="V103" s="2319"/>
      <c r="W103" s="2319"/>
      <c r="X103" s="2319"/>
      <c r="Y103" s="2319"/>
      <c r="Z103" s="2319"/>
      <c r="AA103" s="2319"/>
      <c r="AB103" s="2319"/>
      <c r="AC103" s="2319"/>
      <c r="AD103" s="2319"/>
      <c r="AE103" s="2319"/>
      <c r="AF103" s="2319"/>
      <c r="AG103" s="2319"/>
      <c r="AH103" s="2319"/>
      <c r="AI103" s="2319"/>
      <c r="AJ103" s="2319"/>
      <c r="AK103" s="2319"/>
      <c r="AL103" s="2319"/>
      <c r="AM103" s="2319"/>
      <c r="AN103" s="2319"/>
      <c r="AO103" s="2319"/>
      <c r="AP103" s="2319"/>
      <c r="AQ103" s="2319"/>
      <c r="AR103" s="2319"/>
      <c r="AS103" s="2319"/>
      <c r="AT103" s="2319"/>
      <c r="AU103" s="2319"/>
      <c r="AV103" s="2319"/>
      <c r="AW103" s="2319"/>
      <c r="AX103" s="2319"/>
      <c r="AY103" s="2319"/>
      <c r="AZ103" s="2319"/>
      <c r="BA103" s="2319"/>
      <c r="BB103" s="2319"/>
      <c r="BC103" s="2319"/>
      <c r="BD103" s="2319"/>
      <c r="BE103" s="2319"/>
      <c r="BF103" s="2319"/>
      <c r="BG103" s="2319"/>
      <c r="BH103" s="2319"/>
      <c r="BI103" s="2319"/>
      <c r="BJ103" s="2319"/>
      <c r="BK103" s="2319"/>
      <c r="BL103" s="2319"/>
      <c r="BM103" s="2319"/>
      <c r="BN103" s="2319"/>
      <c r="BO103" s="2319"/>
      <c r="BP103" s="2319"/>
      <c r="BQ103" s="2319"/>
      <c r="BR103" s="2319"/>
      <c r="BS103" s="2319"/>
      <c r="BT103" s="2319"/>
      <c r="BU103" s="2319"/>
      <c r="BV103" s="2319"/>
      <c r="BW103" s="2319"/>
      <c r="BX103" s="2319"/>
      <c r="BY103" s="2319"/>
      <c r="BZ103" s="2319"/>
      <c r="CA103" s="2319"/>
      <c r="CB103" s="2319"/>
      <c r="CC103" s="2319"/>
      <c r="CD103" s="2319"/>
      <c r="CE103" s="2319"/>
      <c r="CF103" s="2319"/>
      <c r="CG103" s="2319"/>
      <c r="CH103" s="2319"/>
      <c r="CI103" s="2319"/>
      <c r="CJ103" s="2319"/>
      <c r="CK103" s="2319"/>
      <c r="CL103" s="2319"/>
      <c r="CM103" s="2319"/>
      <c r="CN103" s="2319"/>
      <c r="CO103" s="2319"/>
      <c r="CP103" s="2319"/>
      <c r="CQ103" s="2319"/>
      <c r="CR103" s="2319"/>
      <c r="CS103" s="2319"/>
      <c r="CT103" s="2319"/>
      <c r="CU103" s="2319"/>
      <c r="CV103" s="2319"/>
    </row>
    <row r="104" spans="1:100" ht="15.75" customHeight="1">
      <c r="A104" s="2371"/>
      <c r="B104" s="2319"/>
      <c r="C104" s="2319"/>
      <c r="D104" s="2318"/>
      <c r="E104" s="2319"/>
      <c r="F104" s="2319"/>
      <c r="G104" s="2319"/>
      <c r="H104" s="2319"/>
      <c r="I104" s="2319"/>
      <c r="J104" s="2319"/>
      <c r="K104" s="2319"/>
      <c r="L104" s="2319"/>
      <c r="M104" s="2319"/>
      <c r="N104" s="2319"/>
      <c r="O104" s="2319"/>
      <c r="P104" s="2319"/>
      <c r="Q104" s="2319"/>
      <c r="R104" s="2319"/>
      <c r="S104" s="2319"/>
      <c r="T104" s="2319"/>
      <c r="U104" s="2319"/>
      <c r="V104" s="2319"/>
      <c r="W104" s="2319"/>
      <c r="X104" s="2319"/>
      <c r="Y104" s="2319"/>
      <c r="Z104" s="2319"/>
      <c r="AA104" s="2319"/>
      <c r="AB104" s="2319"/>
      <c r="AC104" s="2319"/>
      <c r="AD104" s="2319"/>
      <c r="AE104" s="2319"/>
      <c r="AF104" s="2319"/>
      <c r="AG104" s="2319"/>
      <c r="AH104" s="2319"/>
      <c r="AI104" s="2319"/>
      <c r="AJ104" s="2319"/>
      <c r="AK104" s="2319"/>
      <c r="AL104" s="2319"/>
      <c r="AM104" s="2319"/>
      <c r="AN104" s="2319"/>
      <c r="AO104" s="2319"/>
      <c r="AP104" s="2319"/>
      <c r="AQ104" s="2319"/>
      <c r="AR104" s="2319"/>
      <c r="AS104" s="2319"/>
      <c r="AT104" s="2319"/>
      <c r="AU104" s="2319"/>
      <c r="AV104" s="2319"/>
      <c r="AW104" s="2319"/>
      <c r="AX104" s="2319"/>
      <c r="AY104" s="2319"/>
      <c r="AZ104" s="2319"/>
      <c r="BA104" s="2319"/>
      <c r="BB104" s="2319"/>
      <c r="BC104" s="2319"/>
      <c r="BD104" s="2319"/>
      <c r="BE104" s="2319"/>
      <c r="BF104" s="2319"/>
      <c r="BG104" s="2319"/>
      <c r="BH104" s="2319"/>
      <c r="BI104" s="2319"/>
      <c r="BJ104" s="2319"/>
      <c r="BK104" s="2319"/>
      <c r="BL104" s="2319"/>
      <c r="BM104" s="2319"/>
      <c r="BN104" s="2319"/>
      <c r="BO104" s="2319"/>
      <c r="BP104" s="2319"/>
      <c r="BQ104" s="2319"/>
      <c r="BR104" s="2319"/>
      <c r="BS104" s="2319"/>
      <c r="BT104" s="2319"/>
      <c r="BU104" s="2319"/>
      <c r="BV104" s="2319"/>
      <c r="BW104" s="2319"/>
      <c r="BX104" s="2319"/>
      <c r="BY104" s="2319"/>
      <c r="BZ104" s="2319"/>
      <c r="CA104" s="2319"/>
      <c r="CB104" s="2319"/>
      <c r="CC104" s="2319"/>
      <c r="CD104" s="2319"/>
      <c r="CE104" s="2319"/>
      <c r="CF104" s="2319"/>
      <c r="CG104" s="2319"/>
      <c r="CH104" s="2319"/>
      <c r="CI104" s="2319"/>
      <c r="CJ104" s="2319"/>
      <c r="CK104" s="2319"/>
      <c r="CL104" s="2319"/>
      <c r="CM104" s="2319"/>
      <c r="CN104" s="2319"/>
      <c r="CO104" s="2319"/>
      <c r="CP104" s="2319"/>
      <c r="CQ104" s="2319"/>
      <c r="CR104" s="2319"/>
      <c r="CS104" s="2319"/>
      <c r="CT104" s="2319"/>
      <c r="CU104" s="2319"/>
      <c r="CV104" s="2319"/>
    </row>
    <row r="105" spans="1:100" ht="15.75" customHeight="1">
      <c r="A105" s="2371"/>
      <c r="B105" s="2319"/>
      <c r="C105" s="2319"/>
      <c r="D105" s="2318"/>
      <c r="E105" s="2319"/>
      <c r="F105" s="2319"/>
      <c r="G105" s="2319"/>
      <c r="H105" s="2319"/>
      <c r="I105" s="2319"/>
      <c r="J105" s="2319"/>
      <c r="K105" s="2319"/>
      <c r="L105" s="2319"/>
      <c r="M105" s="2319"/>
      <c r="N105" s="2319"/>
      <c r="O105" s="2319"/>
      <c r="P105" s="2319"/>
      <c r="Q105" s="2319"/>
      <c r="R105" s="2319"/>
      <c r="S105" s="2319"/>
      <c r="T105" s="2319"/>
      <c r="U105" s="2319"/>
      <c r="V105" s="2319"/>
      <c r="W105" s="2319"/>
      <c r="X105" s="2319"/>
      <c r="Y105" s="2319"/>
      <c r="Z105" s="2319"/>
      <c r="AA105" s="2319"/>
      <c r="AB105" s="2319"/>
      <c r="AC105" s="2319"/>
      <c r="AD105" s="2319"/>
      <c r="AE105" s="2319"/>
      <c r="AF105" s="2319"/>
      <c r="AG105" s="2319"/>
      <c r="AH105" s="2319"/>
      <c r="AI105" s="2319"/>
      <c r="AJ105" s="2319"/>
      <c r="AK105" s="2319"/>
      <c r="AL105" s="2319"/>
      <c r="AM105" s="2319"/>
      <c r="AN105" s="2319"/>
      <c r="AO105" s="2319"/>
      <c r="AP105" s="2319"/>
      <c r="AQ105" s="2319"/>
      <c r="AR105" s="2319"/>
      <c r="AS105" s="2319"/>
      <c r="AT105" s="2319"/>
      <c r="AU105" s="2319"/>
      <c r="AV105" s="2319"/>
      <c r="AW105" s="2319"/>
      <c r="AX105" s="2319"/>
      <c r="AY105" s="2319"/>
      <c r="AZ105" s="2319"/>
      <c r="BA105" s="2319"/>
      <c r="BB105" s="2319"/>
      <c r="BC105" s="2319"/>
      <c r="BD105" s="2319"/>
      <c r="BE105" s="2319"/>
      <c r="BF105" s="2319"/>
      <c r="BG105" s="2319"/>
      <c r="BH105" s="2319"/>
      <c r="BI105" s="2319"/>
      <c r="BJ105" s="2319"/>
      <c r="BK105" s="2319"/>
      <c r="BL105" s="2319"/>
      <c r="BM105" s="2319"/>
      <c r="BN105" s="2319"/>
      <c r="BO105" s="2319"/>
      <c r="BP105" s="2319"/>
      <c r="BQ105" s="2319"/>
      <c r="BR105" s="2319"/>
      <c r="BS105" s="2319"/>
      <c r="BT105" s="2319"/>
      <c r="BU105" s="2319"/>
      <c r="BV105" s="2319"/>
      <c r="BW105" s="2319"/>
      <c r="BX105" s="2319"/>
      <c r="BY105" s="2319"/>
      <c r="BZ105" s="2319"/>
      <c r="CA105" s="2319"/>
      <c r="CB105" s="2319"/>
      <c r="CC105" s="2319"/>
      <c r="CD105" s="2319"/>
      <c r="CE105" s="2319"/>
      <c r="CF105" s="2319"/>
      <c r="CG105" s="2319"/>
      <c r="CH105" s="2319"/>
      <c r="CI105" s="2319"/>
      <c r="CJ105" s="2319"/>
      <c r="CK105" s="2319"/>
      <c r="CL105" s="2319"/>
      <c r="CM105" s="2319"/>
      <c r="CN105" s="2319"/>
      <c r="CO105" s="2319"/>
      <c r="CP105" s="2319"/>
      <c r="CQ105" s="2319"/>
      <c r="CR105" s="2319"/>
      <c r="CS105" s="2319"/>
      <c r="CT105" s="2319"/>
      <c r="CU105" s="2319"/>
      <c r="CV105" s="2319"/>
    </row>
    <row r="106" spans="1:100" ht="15.75" customHeight="1">
      <c r="A106" s="2371"/>
      <c r="B106" s="2319"/>
      <c r="C106" s="2319"/>
      <c r="D106" s="2318"/>
      <c r="E106" s="2319"/>
      <c r="F106" s="2319"/>
      <c r="G106" s="2319"/>
      <c r="H106" s="2319"/>
      <c r="I106" s="2319"/>
      <c r="J106" s="2319"/>
      <c r="K106" s="2319"/>
      <c r="L106" s="2319"/>
      <c r="M106" s="2319"/>
      <c r="N106" s="2319"/>
      <c r="O106" s="2319"/>
      <c r="P106" s="2319"/>
      <c r="Q106" s="2319"/>
      <c r="R106" s="2319"/>
      <c r="S106" s="2319"/>
      <c r="T106" s="2319"/>
      <c r="U106" s="2319"/>
      <c r="V106" s="2319"/>
      <c r="W106" s="2319"/>
      <c r="X106" s="2319"/>
      <c r="Y106" s="2319"/>
      <c r="Z106" s="2319"/>
      <c r="AA106" s="2319"/>
      <c r="AB106" s="2319"/>
      <c r="AC106" s="2319"/>
      <c r="AD106" s="2319"/>
      <c r="AE106" s="2319"/>
      <c r="AF106" s="2319"/>
      <c r="AG106" s="2319"/>
      <c r="AH106" s="2319"/>
      <c r="AI106" s="2319"/>
      <c r="AJ106" s="2319"/>
      <c r="AK106" s="2319"/>
      <c r="AL106" s="2319"/>
      <c r="AM106" s="2319"/>
      <c r="AN106" s="2319"/>
      <c r="AO106" s="2319"/>
      <c r="AP106" s="2319"/>
      <c r="AQ106" s="2319"/>
      <c r="AR106" s="2319"/>
      <c r="AS106" s="2319"/>
      <c r="AT106" s="2319"/>
      <c r="AU106" s="2319"/>
      <c r="AV106" s="2319"/>
      <c r="AW106" s="2319"/>
      <c r="AX106" s="2319"/>
      <c r="AY106" s="2319"/>
      <c r="AZ106" s="2319"/>
      <c r="BA106" s="2319"/>
      <c r="BB106" s="2319"/>
      <c r="BC106" s="2319"/>
      <c r="BD106" s="2319"/>
      <c r="BE106" s="2319"/>
      <c r="BF106" s="2319"/>
      <c r="BG106" s="2319"/>
      <c r="BH106" s="2319"/>
      <c r="BI106" s="2319"/>
      <c r="BJ106" s="2319"/>
      <c r="BK106" s="2319"/>
      <c r="BL106" s="2319"/>
      <c r="BM106" s="2319"/>
      <c r="BN106" s="2319"/>
      <c r="BO106" s="2319"/>
      <c r="BP106" s="2319"/>
      <c r="BQ106" s="2319"/>
      <c r="BR106" s="2319"/>
      <c r="BS106" s="2319"/>
      <c r="BT106" s="2319"/>
      <c r="BU106" s="2319"/>
      <c r="BV106" s="2319"/>
      <c r="BW106" s="2319"/>
      <c r="BX106" s="2319"/>
      <c r="BY106" s="2319"/>
      <c r="BZ106" s="2319"/>
      <c r="CA106" s="2319"/>
      <c r="CB106" s="2319"/>
      <c r="CC106" s="2319"/>
      <c r="CD106" s="2319"/>
      <c r="CE106" s="2319"/>
      <c r="CF106" s="2319"/>
      <c r="CG106" s="2319"/>
      <c r="CH106" s="2319"/>
      <c r="CI106" s="2319"/>
      <c r="CJ106" s="2319"/>
      <c r="CK106" s="2319"/>
      <c r="CL106" s="2319"/>
      <c r="CM106" s="2319"/>
      <c r="CN106" s="2319"/>
      <c r="CO106" s="2319"/>
      <c r="CP106" s="2319"/>
      <c r="CQ106" s="2319"/>
      <c r="CR106" s="2319"/>
      <c r="CS106" s="2319"/>
      <c r="CT106" s="2319"/>
      <c r="CU106" s="2319"/>
      <c r="CV106" s="2319"/>
    </row>
    <row r="107" spans="1:100" ht="15.75" customHeight="1">
      <c r="A107" s="2371"/>
      <c r="B107" s="2319"/>
      <c r="C107" s="2319"/>
      <c r="D107" s="2318"/>
      <c r="E107" s="2319"/>
      <c r="F107" s="2319"/>
      <c r="G107" s="2319"/>
      <c r="H107" s="2319"/>
      <c r="I107" s="2319"/>
      <c r="J107" s="2319"/>
      <c r="K107" s="2319"/>
      <c r="L107" s="2319"/>
      <c r="M107" s="2319"/>
      <c r="N107" s="2319"/>
      <c r="O107" s="2319"/>
      <c r="P107" s="2319"/>
      <c r="Q107" s="2319"/>
      <c r="R107" s="2319"/>
      <c r="S107" s="2319"/>
      <c r="T107" s="2319"/>
      <c r="U107" s="2319"/>
      <c r="V107" s="2319"/>
      <c r="W107" s="2319"/>
      <c r="X107" s="2319"/>
      <c r="Y107" s="2319"/>
      <c r="Z107" s="2319"/>
      <c r="AA107" s="2319"/>
      <c r="AB107" s="2319"/>
      <c r="AC107" s="2319"/>
      <c r="AD107" s="2319"/>
      <c r="AE107" s="2319"/>
      <c r="AF107" s="2319"/>
      <c r="AG107" s="2319"/>
      <c r="AH107" s="2319"/>
      <c r="AI107" s="2319"/>
      <c r="AJ107" s="2319"/>
      <c r="AK107" s="2319"/>
      <c r="AL107" s="2319"/>
      <c r="AM107" s="2319"/>
      <c r="AN107" s="2319"/>
      <c r="AO107" s="2319"/>
      <c r="AP107" s="2319"/>
      <c r="AQ107" s="2319"/>
      <c r="AR107" s="2319"/>
      <c r="AS107" s="2319"/>
      <c r="AT107" s="2319"/>
      <c r="AU107" s="2319"/>
      <c r="AV107" s="2319"/>
      <c r="AW107" s="2319"/>
      <c r="AX107" s="2319"/>
      <c r="AY107" s="2319"/>
      <c r="AZ107" s="2319"/>
      <c r="BA107" s="2319"/>
      <c r="BB107" s="2319"/>
      <c r="BC107" s="2319"/>
      <c r="BD107" s="2319"/>
      <c r="BE107" s="2319"/>
      <c r="BF107" s="2319"/>
      <c r="BG107" s="2319"/>
      <c r="BH107" s="2319"/>
      <c r="BI107" s="2319"/>
      <c r="BJ107" s="2319"/>
      <c r="BK107" s="2319"/>
      <c r="BL107" s="2319"/>
      <c r="BM107" s="2319"/>
      <c r="BN107" s="2319"/>
      <c r="BO107" s="2319"/>
      <c r="BP107" s="2319"/>
      <c r="BQ107" s="2319"/>
      <c r="BR107" s="2319"/>
      <c r="BS107" s="2319"/>
      <c r="BT107" s="2319"/>
      <c r="BU107" s="2319"/>
      <c r="BV107" s="2319"/>
      <c r="BW107" s="2319"/>
      <c r="BX107" s="2319"/>
      <c r="BY107" s="2319"/>
      <c r="BZ107" s="2319"/>
      <c r="CA107" s="2319"/>
      <c r="CB107" s="2319"/>
      <c r="CC107" s="2319"/>
      <c r="CD107" s="2319"/>
      <c r="CE107" s="2319"/>
      <c r="CF107" s="2319"/>
      <c r="CG107" s="2319"/>
      <c r="CH107" s="2319"/>
      <c r="CI107" s="2319"/>
      <c r="CJ107" s="2319"/>
      <c r="CK107" s="2319"/>
      <c r="CL107" s="2319"/>
      <c r="CM107" s="2319"/>
      <c r="CN107" s="2319"/>
      <c r="CO107" s="2319"/>
      <c r="CP107" s="2319"/>
      <c r="CQ107" s="2319"/>
      <c r="CR107" s="2319"/>
      <c r="CS107" s="2319"/>
      <c r="CT107" s="2319"/>
      <c r="CU107" s="2319"/>
      <c r="CV107" s="2319"/>
    </row>
    <row r="108" spans="1:100" ht="15.75" customHeight="1">
      <c r="A108" s="2371"/>
      <c r="B108" s="2319"/>
      <c r="C108" s="2319"/>
      <c r="D108" s="2318"/>
      <c r="E108" s="2319"/>
      <c r="F108" s="2319"/>
      <c r="G108" s="2319"/>
      <c r="H108" s="2319"/>
      <c r="I108" s="2319"/>
      <c r="J108" s="2319"/>
      <c r="K108" s="2319"/>
      <c r="L108" s="2319"/>
      <c r="M108" s="2319"/>
      <c r="N108" s="2319"/>
      <c r="O108" s="2319"/>
      <c r="P108" s="2319"/>
      <c r="Q108" s="2319"/>
      <c r="R108" s="2319"/>
      <c r="S108" s="2319"/>
      <c r="T108" s="2319"/>
      <c r="U108" s="2319"/>
      <c r="V108" s="2319"/>
      <c r="W108" s="2319"/>
      <c r="X108" s="2319"/>
      <c r="Y108" s="2319"/>
      <c r="Z108" s="2319"/>
      <c r="AA108" s="2319"/>
      <c r="AB108" s="2319"/>
      <c r="AC108" s="2319"/>
      <c r="AD108" s="2319"/>
      <c r="AE108" s="2319"/>
      <c r="AF108" s="2319"/>
      <c r="AG108" s="2319"/>
      <c r="AH108" s="2319"/>
      <c r="AI108" s="2319"/>
      <c r="AJ108" s="2319"/>
      <c r="AK108" s="2319"/>
      <c r="AL108" s="2319"/>
      <c r="AM108" s="2319"/>
      <c r="AN108" s="2319"/>
      <c r="AO108" s="2319"/>
      <c r="AP108" s="2319"/>
      <c r="AQ108" s="2319"/>
      <c r="AR108" s="2319"/>
      <c r="AS108" s="2319"/>
      <c r="AT108" s="2319"/>
      <c r="AU108" s="2319"/>
      <c r="AV108" s="2319"/>
      <c r="AW108" s="2319"/>
      <c r="AX108" s="2319"/>
      <c r="AY108" s="2319"/>
      <c r="AZ108" s="2319"/>
      <c r="BA108" s="2319"/>
      <c r="BB108" s="2319"/>
      <c r="BC108" s="2319"/>
      <c r="BD108" s="2319"/>
      <c r="BE108" s="2319"/>
      <c r="BF108" s="2319"/>
      <c r="BG108" s="2319"/>
      <c r="BH108" s="2319"/>
      <c r="BI108" s="2319"/>
      <c r="BJ108" s="2319"/>
      <c r="BK108" s="2319"/>
      <c r="BL108" s="2319"/>
      <c r="BM108" s="2319"/>
      <c r="BN108" s="2319"/>
      <c r="BO108" s="2319"/>
      <c r="BP108" s="2319"/>
      <c r="BQ108" s="2319"/>
      <c r="BR108" s="2319"/>
      <c r="BS108" s="2319"/>
      <c r="BT108" s="2319"/>
      <c r="BU108" s="2319"/>
      <c r="BV108" s="2319"/>
      <c r="BW108" s="2319"/>
      <c r="BX108" s="2319"/>
      <c r="BY108" s="2319"/>
      <c r="BZ108" s="2319"/>
      <c r="CA108" s="2319"/>
      <c r="CB108" s="2319"/>
      <c r="CC108" s="2319"/>
      <c r="CD108" s="2319"/>
      <c r="CE108" s="2319"/>
      <c r="CF108" s="2319"/>
      <c r="CG108" s="2319"/>
      <c r="CH108" s="2319"/>
      <c r="CI108" s="2319"/>
      <c r="CJ108" s="2319"/>
      <c r="CK108" s="2319"/>
      <c r="CL108" s="2319"/>
      <c r="CM108" s="2319"/>
      <c r="CN108" s="2319"/>
      <c r="CO108" s="2319"/>
      <c r="CP108" s="2319"/>
      <c r="CQ108" s="2319"/>
      <c r="CR108" s="2319"/>
      <c r="CS108" s="2319"/>
      <c r="CT108" s="2319"/>
      <c r="CU108" s="2319"/>
      <c r="CV108" s="2319"/>
    </row>
    <row r="109" spans="1:100" ht="15.75" customHeight="1">
      <c r="A109" s="2371"/>
      <c r="B109" s="2319"/>
      <c r="C109" s="2319"/>
      <c r="D109" s="2318"/>
      <c r="E109" s="2319"/>
      <c r="F109" s="2319"/>
      <c r="G109" s="2319"/>
      <c r="H109" s="2319"/>
      <c r="I109" s="2319"/>
      <c r="J109" s="2319"/>
      <c r="K109" s="2319"/>
      <c r="L109" s="2319"/>
      <c r="M109" s="2319"/>
      <c r="N109" s="2319"/>
      <c r="O109" s="2319"/>
      <c r="P109" s="2319"/>
      <c r="Q109" s="2319"/>
      <c r="R109" s="2319"/>
      <c r="S109" s="2319"/>
      <c r="T109" s="2319"/>
      <c r="U109" s="2319"/>
      <c r="V109" s="2319"/>
      <c r="W109" s="2319"/>
      <c r="X109" s="2319"/>
      <c r="Y109" s="2319"/>
      <c r="Z109" s="2319"/>
      <c r="AA109" s="2319"/>
      <c r="AB109" s="2319"/>
      <c r="AC109" s="2319"/>
      <c r="AD109" s="2319"/>
      <c r="AE109" s="2319"/>
      <c r="AF109" s="2319"/>
      <c r="AG109" s="2319"/>
      <c r="AH109" s="2319"/>
      <c r="AI109" s="2319"/>
      <c r="AJ109" s="2319"/>
      <c r="AK109" s="2319"/>
      <c r="AL109" s="2319"/>
      <c r="AM109" s="2319"/>
      <c r="AN109" s="2319"/>
      <c r="AO109" s="2319"/>
      <c r="AP109" s="2319"/>
      <c r="AQ109" s="2319"/>
      <c r="AR109" s="2319"/>
      <c r="AS109" s="2319"/>
      <c r="AT109" s="2319"/>
      <c r="AU109" s="2319"/>
      <c r="AV109" s="2319"/>
      <c r="AW109" s="2319"/>
      <c r="AX109" s="2319"/>
      <c r="AY109" s="2319"/>
      <c r="AZ109" s="2319"/>
      <c r="BA109" s="2319"/>
      <c r="BB109" s="2319"/>
      <c r="BC109" s="2319"/>
      <c r="BD109" s="2319"/>
      <c r="BE109" s="2319"/>
      <c r="BF109" s="2319"/>
      <c r="BG109" s="2319"/>
      <c r="BH109" s="2319"/>
      <c r="BI109" s="2319"/>
      <c r="BJ109" s="2319"/>
      <c r="BK109" s="2319"/>
      <c r="BL109" s="2319"/>
      <c r="BM109" s="2319"/>
      <c r="BN109" s="2319"/>
      <c r="BO109" s="2319"/>
      <c r="BP109" s="2319"/>
      <c r="BQ109" s="2319"/>
      <c r="BR109" s="2319"/>
      <c r="BS109" s="2319"/>
      <c r="BT109" s="2319"/>
      <c r="BU109" s="2319"/>
      <c r="BV109" s="2319"/>
      <c r="BW109" s="2319"/>
      <c r="BX109" s="2319"/>
      <c r="BY109" s="2319"/>
      <c r="BZ109" s="2319"/>
      <c r="CA109" s="2319"/>
      <c r="CB109" s="2319"/>
      <c r="CC109" s="2319"/>
      <c r="CD109" s="2319"/>
      <c r="CE109" s="2319"/>
      <c r="CF109" s="2319"/>
      <c r="CG109" s="2319"/>
      <c r="CH109" s="2319"/>
      <c r="CI109" s="2319"/>
      <c r="CJ109" s="2319"/>
      <c r="CK109" s="2319"/>
      <c r="CL109" s="2319"/>
      <c r="CM109" s="2319"/>
      <c r="CN109" s="2319"/>
      <c r="CO109" s="2319"/>
      <c r="CP109" s="2319"/>
      <c r="CQ109" s="2319"/>
      <c r="CR109" s="2319"/>
      <c r="CS109" s="2319"/>
      <c r="CT109" s="2319"/>
      <c r="CU109" s="2319"/>
      <c r="CV109" s="2319"/>
    </row>
    <row r="110" spans="1:100" ht="15.75" customHeight="1">
      <c r="A110" s="2371"/>
      <c r="B110" s="2319"/>
      <c r="C110" s="2319"/>
      <c r="D110" s="2318"/>
      <c r="E110" s="2319"/>
      <c r="F110" s="2319"/>
      <c r="G110" s="2319"/>
      <c r="H110" s="2319"/>
      <c r="I110" s="2319"/>
      <c r="J110" s="2319"/>
      <c r="K110" s="2319"/>
      <c r="L110" s="2319"/>
      <c r="M110" s="2319"/>
      <c r="N110" s="2319"/>
      <c r="O110" s="2319"/>
      <c r="P110" s="2319"/>
      <c r="Q110" s="2319"/>
      <c r="R110" s="2319"/>
      <c r="S110" s="2319"/>
      <c r="T110" s="2319"/>
      <c r="U110" s="2319"/>
      <c r="V110" s="2319"/>
      <c r="W110" s="2319"/>
      <c r="X110" s="2319"/>
      <c r="Y110" s="2319"/>
      <c r="Z110" s="2319"/>
      <c r="AA110" s="2319"/>
      <c r="AB110" s="2319"/>
      <c r="AC110" s="2319"/>
      <c r="AD110" s="2319"/>
      <c r="AE110" s="2319"/>
      <c r="AF110" s="2319"/>
      <c r="AG110" s="2319"/>
      <c r="AH110" s="2319"/>
      <c r="AI110" s="2319"/>
      <c r="AJ110" s="2319"/>
      <c r="AK110" s="2319"/>
      <c r="AL110" s="2319"/>
      <c r="AM110" s="2319"/>
      <c r="AN110" s="2319"/>
      <c r="AO110" s="2319"/>
      <c r="AP110" s="2319"/>
      <c r="AQ110" s="2319"/>
      <c r="AR110" s="2319"/>
      <c r="AS110" s="2319"/>
      <c r="AT110" s="2319"/>
      <c r="AU110" s="2319"/>
      <c r="AV110" s="2319"/>
      <c r="AW110" s="2319"/>
      <c r="AX110" s="2319"/>
      <c r="AY110" s="2319"/>
      <c r="AZ110" s="2319"/>
      <c r="BA110" s="2319"/>
      <c r="BB110" s="2319"/>
      <c r="BC110" s="2319"/>
      <c r="BD110" s="2319"/>
      <c r="BE110" s="2319"/>
      <c r="BF110" s="2319"/>
      <c r="BG110" s="2319"/>
      <c r="BH110" s="2319"/>
      <c r="BI110" s="2319"/>
      <c r="BJ110" s="2319"/>
      <c r="BK110" s="2319"/>
      <c r="BL110" s="2319"/>
      <c r="BM110" s="2319"/>
      <c r="BN110" s="2319"/>
      <c r="BO110" s="2319"/>
      <c r="BP110" s="2319"/>
      <c r="BQ110" s="2319"/>
      <c r="BR110" s="2319"/>
      <c r="BS110" s="2319"/>
      <c r="BT110" s="2319"/>
      <c r="BU110" s="2319"/>
      <c r="BV110" s="2319"/>
      <c r="BW110" s="2319"/>
      <c r="BX110" s="2319"/>
      <c r="BY110" s="2319"/>
      <c r="BZ110" s="2319"/>
      <c r="CA110" s="2319"/>
      <c r="CB110" s="2319"/>
      <c r="CC110" s="2319"/>
      <c r="CD110" s="2319"/>
      <c r="CE110" s="2319"/>
      <c r="CF110" s="2319"/>
      <c r="CG110" s="2319"/>
      <c r="CH110" s="2319"/>
      <c r="CI110" s="2319"/>
      <c r="CJ110" s="2319"/>
      <c r="CK110" s="2319"/>
      <c r="CL110" s="2319"/>
      <c r="CM110" s="2319"/>
      <c r="CN110" s="2319"/>
      <c r="CO110" s="2319"/>
      <c r="CP110" s="2319"/>
      <c r="CQ110" s="2319"/>
      <c r="CR110" s="2319"/>
      <c r="CS110" s="2319"/>
      <c r="CT110" s="2319"/>
      <c r="CU110" s="2319"/>
      <c r="CV110" s="2319"/>
    </row>
    <row r="111" spans="1:100" ht="15.75" customHeight="1">
      <c r="A111" s="2371"/>
      <c r="B111" s="2319"/>
      <c r="C111" s="2319"/>
      <c r="D111" s="2318"/>
      <c r="E111" s="2319"/>
      <c r="F111" s="2319"/>
      <c r="G111" s="2319"/>
      <c r="H111" s="2319"/>
      <c r="I111" s="2319"/>
      <c r="J111" s="2319"/>
      <c r="K111" s="2319"/>
      <c r="L111" s="2319"/>
      <c r="M111" s="2319"/>
      <c r="N111" s="2319"/>
      <c r="O111" s="2319"/>
      <c r="P111" s="2319"/>
      <c r="Q111" s="2319"/>
      <c r="R111" s="2319"/>
      <c r="S111" s="2319"/>
      <c r="T111" s="2319"/>
      <c r="U111" s="2319"/>
      <c r="V111" s="2319"/>
      <c r="W111" s="2319"/>
      <c r="X111" s="2319"/>
      <c r="Y111" s="2319"/>
      <c r="Z111" s="2319"/>
      <c r="AA111" s="2319"/>
      <c r="AB111" s="2319"/>
      <c r="AC111" s="2319"/>
      <c r="AD111" s="2319"/>
      <c r="AE111" s="2319"/>
      <c r="AF111" s="2319"/>
      <c r="AG111" s="2319"/>
      <c r="AH111" s="2319"/>
      <c r="AI111" s="2319"/>
      <c r="AJ111" s="2319"/>
      <c r="AK111" s="2319"/>
      <c r="AL111" s="2319"/>
      <c r="AM111" s="2319"/>
      <c r="AN111" s="2319"/>
      <c r="AO111" s="2319"/>
      <c r="AP111" s="2319"/>
      <c r="AQ111" s="2319"/>
      <c r="AR111" s="2319"/>
      <c r="AS111" s="2319"/>
      <c r="AT111" s="2319"/>
      <c r="AU111" s="2319"/>
      <c r="AV111" s="2319"/>
      <c r="AW111" s="2319"/>
      <c r="AX111" s="2319"/>
      <c r="AY111" s="2319"/>
      <c r="AZ111" s="2319"/>
      <c r="BA111" s="2319"/>
      <c r="BB111" s="2319"/>
      <c r="BC111" s="2319"/>
      <c r="BD111" s="2319"/>
      <c r="BE111" s="2319"/>
      <c r="BF111" s="2319"/>
      <c r="BG111" s="2319"/>
      <c r="BH111" s="2319"/>
      <c r="BI111" s="2319"/>
      <c r="BJ111" s="2319"/>
      <c r="BK111" s="2319"/>
      <c r="BL111" s="2319"/>
      <c r="BM111" s="2319"/>
      <c r="BN111" s="2319"/>
      <c r="BO111" s="2319"/>
      <c r="BP111" s="2319"/>
      <c r="BQ111" s="2319"/>
      <c r="BR111" s="2319"/>
      <c r="BS111" s="2319"/>
      <c r="BT111" s="2319"/>
      <c r="BU111" s="2319"/>
      <c r="BV111" s="2319"/>
      <c r="BW111" s="2319"/>
      <c r="BX111" s="2319"/>
      <c r="BY111" s="2319"/>
      <c r="BZ111" s="2319"/>
      <c r="CA111" s="2319"/>
      <c r="CB111" s="2319"/>
      <c r="CC111" s="2319"/>
      <c r="CD111" s="2319"/>
      <c r="CE111" s="2319"/>
      <c r="CF111" s="2319"/>
      <c r="CG111" s="2319"/>
      <c r="CH111" s="2319"/>
      <c r="CI111" s="2319"/>
      <c r="CJ111" s="2319"/>
      <c r="CK111" s="2319"/>
      <c r="CL111" s="2319"/>
      <c r="CM111" s="2319"/>
      <c r="CN111" s="2319"/>
      <c r="CO111" s="2319"/>
      <c r="CP111" s="2319"/>
      <c r="CQ111" s="2319"/>
      <c r="CR111" s="2319"/>
      <c r="CS111" s="2319"/>
      <c r="CT111" s="2319"/>
      <c r="CU111" s="2319"/>
      <c r="CV111" s="2319"/>
    </row>
    <row r="112" spans="1:100" ht="15.75" customHeight="1">
      <c r="A112" s="2371"/>
      <c r="B112" s="2319"/>
      <c r="C112" s="2319"/>
      <c r="D112" s="2318"/>
      <c r="E112" s="2319"/>
      <c r="F112" s="2319"/>
      <c r="G112" s="2319"/>
      <c r="H112" s="2319"/>
      <c r="I112" s="2319"/>
      <c r="J112" s="2319"/>
      <c r="K112" s="2319"/>
      <c r="L112" s="2319"/>
      <c r="M112" s="2319"/>
      <c r="N112" s="2319"/>
      <c r="O112" s="2319"/>
      <c r="P112" s="2319"/>
      <c r="Q112" s="2319"/>
      <c r="R112" s="2319"/>
      <c r="S112" s="2319"/>
      <c r="T112" s="2319"/>
      <c r="U112" s="2319"/>
      <c r="V112" s="2319"/>
      <c r="W112" s="2319"/>
      <c r="X112" s="2319"/>
      <c r="Y112" s="2319"/>
      <c r="Z112" s="2319"/>
      <c r="AA112" s="2319"/>
      <c r="AB112" s="2319"/>
      <c r="AC112" s="2319"/>
      <c r="AD112" s="2319"/>
      <c r="AE112" s="2319"/>
      <c r="AF112" s="2319"/>
      <c r="AG112" s="2319"/>
      <c r="AH112" s="2319"/>
      <c r="AI112" s="2319"/>
      <c r="AJ112" s="2319"/>
      <c r="AK112" s="2319"/>
      <c r="AL112" s="2319"/>
      <c r="AM112" s="2319"/>
      <c r="AN112" s="2319"/>
      <c r="AO112" s="2319"/>
      <c r="AP112" s="2319"/>
      <c r="AQ112" s="2319"/>
      <c r="AR112" s="2319"/>
      <c r="AS112" s="2319"/>
      <c r="AT112" s="2319"/>
      <c r="AU112" s="2319"/>
      <c r="AV112" s="2319"/>
      <c r="AW112" s="2319"/>
      <c r="AX112" s="2319"/>
      <c r="AY112" s="2319"/>
      <c r="AZ112" s="2319"/>
      <c r="BA112" s="2319"/>
      <c r="BB112" s="2319"/>
      <c r="BC112" s="2319"/>
      <c r="BD112" s="2319"/>
      <c r="BE112" s="2319"/>
      <c r="BF112" s="2319"/>
      <c r="BG112" s="2319"/>
      <c r="BH112" s="2319"/>
      <c r="BI112" s="2319"/>
      <c r="BJ112" s="2319"/>
      <c r="BK112" s="2319"/>
      <c r="BL112" s="2319"/>
      <c r="BM112" s="2319"/>
      <c r="BN112" s="2319"/>
      <c r="BO112" s="2319"/>
      <c r="BP112" s="2319"/>
      <c r="BQ112" s="2319"/>
      <c r="BR112" s="2319"/>
      <c r="BS112" s="2319"/>
      <c r="BT112" s="2319"/>
      <c r="BU112" s="2319"/>
      <c r="BV112" s="2319"/>
      <c r="BW112" s="2319"/>
      <c r="BX112" s="2319"/>
      <c r="BY112" s="2319"/>
      <c r="BZ112" s="2319"/>
      <c r="CA112" s="2319"/>
      <c r="CB112" s="2319"/>
      <c r="CC112" s="2319"/>
      <c r="CD112" s="2319"/>
      <c r="CE112" s="2319"/>
      <c r="CF112" s="2319"/>
      <c r="CG112" s="2319"/>
      <c r="CH112" s="2319"/>
      <c r="CI112" s="2319"/>
      <c r="CJ112" s="2319"/>
      <c r="CK112" s="2319"/>
      <c r="CL112" s="2319"/>
      <c r="CM112" s="2319"/>
      <c r="CN112" s="2319"/>
      <c r="CO112" s="2319"/>
      <c r="CP112" s="2319"/>
      <c r="CQ112" s="2319"/>
      <c r="CR112" s="2319"/>
      <c r="CS112" s="2319"/>
      <c r="CT112" s="2319"/>
      <c r="CU112" s="2319"/>
      <c r="CV112" s="2319"/>
    </row>
    <row r="113" spans="1:100" ht="15.75" customHeight="1">
      <c r="A113" s="2371"/>
      <c r="B113" s="2319"/>
      <c r="C113" s="2319"/>
      <c r="D113" s="2318"/>
      <c r="E113" s="2319"/>
      <c r="F113" s="2319"/>
      <c r="G113" s="2319"/>
      <c r="H113" s="2319"/>
      <c r="I113" s="2319"/>
      <c r="J113" s="2319"/>
      <c r="K113" s="2319"/>
      <c r="L113" s="2319"/>
      <c r="M113" s="2319"/>
      <c r="N113" s="2319"/>
      <c r="O113" s="2319"/>
      <c r="P113" s="2319"/>
      <c r="Q113" s="2319"/>
      <c r="R113" s="2319"/>
      <c r="S113" s="2319"/>
      <c r="T113" s="2319"/>
      <c r="U113" s="2319"/>
      <c r="V113" s="2319"/>
      <c r="W113" s="2319"/>
      <c r="X113" s="2319"/>
      <c r="Y113" s="2319"/>
      <c r="Z113" s="2319"/>
      <c r="AA113" s="2319"/>
      <c r="AB113" s="2319"/>
      <c r="AC113" s="2319"/>
      <c r="AD113" s="2319"/>
      <c r="AE113" s="2319"/>
      <c r="AF113" s="2319"/>
      <c r="AG113" s="2319"/>
      <c r="AH113" s="2319"/>
      <c r="AI113" s="2319"/>
      <c r="AJ113" s="2319"/>
      <c r="AK113" s="2319"/>
      <c r="AL113" s="2319"/>
      <c r="AM113" s="2319"/>
      <c r="AN113" s="2319"/>
      <c r="AO113" s="2319"/>
      <c r="AP113" s="2319"/>
      <c r="AQ113" s="2319"/>
      <c r="AR113" s="2319"/>
      <c r="AS113" s="2319"/>
      <c r="AT113" s="2319"/>
      <c r="AU113" s="2319"/>
      <c r="AV113" s="2319"/>
      <c r="AW113" s="2319"/>
      <c r="AX113" s="2319"/>
      <c r="AY113" s="2319"/>
      <c r="AZ113" s="2319"/>
      <c r="BA113" s="2319"/>
      <c r="BB113" s="2319"/>
      <c r="BC113" s="2319"/>
      <c r="BD113" s="2319"/>
      <c r="BE113" s="2319"/>
      <c r="BF113" s="2319"/>
      <c r="BG113" s="2319"/>
      <c r="BH113" s="2319"/>
      <c r="BI113" s="2319"/>
      <c r="BJ113" s="2319"/>
      <c r="BK113" s="2319"/>
      <c r="BL113" s="2319"/>
      <c r="BM113" s="2319"/>
      <c r="BN113" s="2319"/>
      <c r="BO113" s="2319"/>
      <c r="BP113" s="2319"/>
      <c r="BQ113" s="2319"/>
      <c r="BR113" s="2319"/>
      <c r="BS113" s="2319"/>
      <c r="BT113" s="2319"/>
      <c r="BU113" s="2319"/>
      <c r="BV113" s="2319"/>
      <c r="BW113" s="2319"/>
      <c r="BX113" s="2319"/>
      <c r="BY113" s="2319"/>
      <c r="BZ113" s="2319"/>
      <c r="CA113" s="2319"/>
      <c r="CB113" s="2319"/>
      <c r="CC113" s="2319"/>
      <c r="CD113" s="2319"/>
      <c r="CE113" s="2319"/>
      <c r="CF113" s="2319"/>
      <c r="CG113" s="2319"/>
      <c r="CH113" s="2319"/>
      <c r="CI113" s="2319"/>
      <c r="CJ113" s="2319"/>
      <c r="CK113" s="2319"/>
      <c r="CL113" s="2319"/>
      <c r="CM113" s="2319"/>
      <c r="CN113" s="2319"/>
      <c r="CO113" s="2319"/>
      <c r="CP113" s="2319"/>
      <c r="CQ113" s="2319"/>
      <c r="CR113" s="2319"/>
      <c r="CS113" s="2319"/>
      <c r="CT113" s="2319"/>
      <c r="CU113" s="2319"/>
      <c r="CV113" s="2319"/>
    </row>
    <row r="114" spans="1:100" ht="15.75" customHeight="1">
      <c r="A114" s="2371"/>
      <c r="B114" s="2319"/>
      <c r="C114" s="2319"/>
      <c r="D114" s="2318"/>
      <c r="E114" s="2319"/>
      <c r="F114" s="2319"/>
      <c r="G114" s="2319"/>
      <c r="H114" s="2319"/>
      <c r="I114" s="2319"/>
      <c r="J114" s="2319"/>
      <c r="K114" s="2319"/>
      <c r="L114" s="2319"/>
      <c r="M114" s="2319"/>
      <c r="N114" s="2319"/>
      <c r="O114" s="2319"/>
      <c r="P114" s="2319"/>
      <c r="Q114" s="2319"/>
      <c r="R114" s="2319"/>
      <c r="S114" s="2319"/>
      <c r="T114" s="2319"/>
      <c r="U114" s="2319"/>
      <c r="V114" s="2319"/>
      <c r="W114" s="2319"/>
      <c r="X114" s="2319"/>
      <c r="Y114" s="2319"/>
      <c r="Z114" s="2319"/>
      <c r="AA114" s="2319"/>
      <c r="AB114" s="2319"/>
      <c r="AC114" s="2319"/>
      <c r="AD114" s="2319"/>
      <c r="AE114" s="2319"/>
      <c r="AF114" s="2319"/>
      <c r="AG114" s="2319"/>
      <c r="AH114" s="2319"/>
      <c r="AI114" s="2319"/>
      <c r="AJ114" s="2319"/>
      <c r="AK114" s="2319"/>
      <c r="AL114" s="2319"/>
      <c r="AM114" s="2319"/>
      <c r="AN114" s="2319"/>
      <c r="AO114" s="2319"/>
      <c r="AP114" s="2319"/>
      <c r="AQ114" s="2319"/>
      <c r="AR114" s="2319"/>
      <c r="AS114" s="2319"/>
      <c r="AT114" s="2319"/>
      <c r="AU114" s="2319"/>
      <c r="AV114" s="2319"/>
      <c r="AW114" s="2319"/>
      <c r="AX114" s="2319"/>
      <c r="AY114" s="2319"/>
      <c r="AZ114" s="2319"/>
      <c r="BA114" s="2319"/>
      <c r="BB114" s="2319"/>
      <c r="BC114" s="2319"/>
      <c r="BD114" s="2319"/>
      <c r="BE114" s="2319"/>
      <c r="BF114" s="2319"/>
      <c r="BG114" s="2319"/>
      <c r="BH114" s="2319"/>
      <c r="BI114" s="2319"/>
      <c r="BJ114" s="2319"/>
      <c r="BK114" s="2319"/>
      <c r="BL114" s="2319"/>
      <c r="BM114" s="2319"/>
      <c r="BN114" s="2319"/>
      <c r="BO114" s="2319"/>
      <c r="BP114" s="2319"/>
      <c r="BQ114" s="2319"/>
      <c r="BR114" s="2319"/>
      <c r="BS114" s="2319"/>
      <c r="BT114" s="2319"/>
      <c r="BU114" s="2319"/>
      <c r="BV114" s="2319"/>
      <c r="BW114" s="2319"/>
      <c r="BX114" s="2319"/>
      <c r="BY114" s="2319"/>
      <c r="BZ114" s="2319"/>
      <c r="CA114" s="2319"/>
      <c r="CB114" s="2319"/>
      <c r="CC114" s="2319"/>
      <c r="CD114" s="2319"/>
      <c r="CE114" s="2319"/>
      <c r="CF114" s="2319"/>
      <c r="CG114" s="2319"/>
      <c r="CH114" s="2319"/>
      <c r="CI114" s="2319"/>
      <c r="CJ114" s="2319"/>
      <c r="CK114" s="2319"/>
      <c r="CL114" s="2319"/>
      <c r="CM114" s="2319"/>
      <c r="CN114" s="2319"/>
      <c r="CO114" s="2319"/>
      <c r="CP114" s="2319"/>
      <c r="CQ114" s="2319"/>
      <c r="CR114" s="2319"/>
      <c r="CS114" s="2319"/>
      <c r="CT114" s="2319"/>
      <c r="CU114" s="2319"/>
      <c r="CV114" s="2319"/>
    </row>
    <row r="115" spans="1:100" ht="15.75" customHeight="1">
      <c r="A115" s="2371"/>
      <c r="B115" s="2319"/>
      <c r="C115" s="2319"/>
      <c r="D115" s="2318"/>
      <c r="E115" s="2319"/>
      <c r="F115" s="2319"/>
      <c r="G115" s="2319"/>
      <c r="H115" s="2319"/>
      <c r="I115" s="2319"/>
      <c r="J115" s="2319"/>
      <c r="K115" s="2319"/>
      <c r="L115" s="2319"/>
      <c r="M115" s="2319"/>
      <c r="N115" s="2319"/>
      <c r="O115" s="2319"/>
      <c r="P115" s="2319"/>
      <c r="Q115" s="2319"/>
      <c r="R115" s="2319"/>
      <c r="S115" s="2319"/>
      <c r="T115" s="2319"/>
      <c r="U115" s="2319"/>
      <c r="V115" s="2319"/>
      <c r="W115" s="2319"/>
      <c r="X115" s="2319"/>
      <c r="Y115" s="2319"/>
      <c r="Z115" s="2319"/>
      <c r="AA115" s="2319"/>
      <c r="AB115" s="2319"/>
      <c r="AC115" s="2319"/>
      <c r="AD115" s="2319"/>
      <c r="AE115" s="2319"/>
      <c r="AF115" s="2319"/>
      <c r="AG115" s="2319"/>
      <c r="AH115" s="2319"/>
      <c r="AI115" s="2319"/>
      <c r="AJ115" s="2319"/>
      <c r="AK115" s="2319"/>
      <c r="AL115" s="2319"/>
      <c r="AM115" s="2319"/>
      <c r="AN115" s="2319"/>
      <c r="AO115" s="2319"/>
      <c r="AP115" s="2319"/>
      <c r="AQ115" s="2319"/>
      <c r="AR115" s="2319"/>
      <c r="AS115" s="2319"/>
      <c r="AT115" s="2319"/>
      <c r="AU115" s="2319"/>
      <c r="AV115" s="2319"/>
      <c r="AW115" s="2319"/>
      <c r="AX115" s="2319"/>
      <c r="AY115" s="2319"/>
      <c r="AZ115" s="2319"/>
      <c r="BA115" s="2319"/>
      <c r="BB115" s="2319"/>
      <c r="BC115" s="2319"/>
      <c r="BD115" s="2319"/>
      <c r="BE115" s="2319"/>
      <c r="BF115" s="2319"/>
      <c r="BG115" s="2319"/>
      <c r="BH115" s="2319"/>
      <c r="BI115" s="2319"/>
      <c r="BJ115" s="2319"/>
      <c r="BK115" s="2319"/>
      <c r="BL115" s="2319"/>
      <c r="BM115" s="2319"/>
      <c r="BN115" s="2319"/>
      <c r="BO115" s="2319"/>
      <c r="BP115" s="2319"/>
      <c r="BQ115" s="2319"/>
      <c r="BR115" s="2319"/>
      <c r="BS115" s="2319"/>
      <c r="BT115" s="2319"/>
      <c r="BU115" s="2319"/>
      <c r="BV115" s="2319"/>
      <c r="BW115" s="2319"/>
      <c r="BX115" s="2319"/>
      <c r="BY115" s="2319"/>
      <c r="BZ115" s="2319"/>
      <c r="CA115" s="2319"/>
      <c r="CB115" s="2319"/>
      <c r="CC115" s="2319"/>
      <c r="CD115" s="2319"/>
      <c r="CE115" s="2319"/>
      <c r="CF115" s="2319"/>
      <c r="CG115" s="2319"/>
      <c r="CH115" s="2319"/>
      <c r="CI115" s="2319"/>
      <c r="CJ115" s="2319"/>
      <c r="CK115" s="2319"/>
      <c r="CL115" s="2319"/>
      <c r="CM115" s="2319"/>
      <c r="CN115" s="2319"/>
      <c r="CO115" s="2319"/>
      <c r="CP115" s="2319"/>
      <c r="CQ115" s="2319"/>
      <c r="CR115" s="2319"/>
      <c r="CS115" s="2319"/>
      <c r="CT115" s="2319"/>
      <c r="CU115" s="2319"/>
      <c r="CV115" s="2319"/>
    </row>
    <row r="116" spans="1:100" ht="15.75" customHeight="1">
      <c r="A116" s="2371"/>
      <c r="B116" s="2319"/>
      <c r="C116" s="2319"/>
      <c r="D116" s="2318"/>
      <c r="E116" s="2319"/>
      <c r="F116" s="2319"/>
      <c r="G116" s="2319"/>
      <c r="H116" s="2319"/>
      <c r="I116" s="2319"/>
      <c r="J116" s="2319"/>
      <c r="K116" s="2319"/>
      <c r="L116" s="2319"/>
      <c r="M116" s="2319"/>
      <c r="N116" s="2319"/>
      <c r="O116" s="2319"/>
      <c r="P116" s="2319"/>
      <c r="Q116" s="2319"/>
      <c r="R116" s="2319"/>
      <c r="S116" s="2319"/>
      <c r="T116" s="2319"/>
      <c r="U116" s="2319"/>
      <c r="V116" s="2319"/>
      <c r="W116" s="2319"/>
      <c r="X116" s="2319"/>
      <c r="Y116" s="2319"/>
      <c r="Z116" s="2319"/>
      <c r="AA116" s="2319"/>
      <c r="AB116" s="2319"/>
      <c r="AC116" s="2319"/>
      <c r="AD116" s="2319"/>
      <c r="AE116" s="2319"/>
      <c r="AF116" s="2319"/>
      <c r="AG116" s="2319"/>
      <c r="AH116" s="2319"/>
      <c r="AI116" s="2319"/>
      <c r="AJ116" s="2319"/>
      <c r="AK116" s="2319"/>
      <c r="AL116" s="2319"/>
      <c r="AM116" s="2319"/>
      <c r="AN116" s="2319"/>
      <c r="AO116" s="2319"/>
      <c r="AP116" s="2319"/>
      <c r="AQ116" s="2319"/>
      <c r="AR116" s="2319"/>
      <c r="AS116" s="2319"/>
      <c r="AT116" s="2319"/>
      <c r="AU116" s="2319"/>
      <c r="AV116" s="2319"/>
      <c r="AW116" s="2319"/>
      <c r="AX116" s="2319"/>
      <c r="AY116" s="2319"/>
      <c r="AZ116" s="2319"/>
      <c r="BA116" s="2319"/>
      <c r="BB116" s="2319"/>
      <c r="BC116" s="2319"/>
      <c r="BD116" s="2319"/>
      <c r="BE116" s="2319"/>
      <c r="BF116" s="2319"/>
      <c r="BG116" s="2319"/>
      <c r="BH116" s="2319"/>
      <c r="BI116" s="2319"/>
      <c r="BJ116" s="2319"/>
      <c r="BK116" s="2319"/>
      <c r="BL116" s="2319"/>
      <c r="BM116" s="2319"/>
      <c r="BN116" s="2319"/>
      <c r="BO116" s="2319"/>
      <c r="BP116" s="2319"/>
      <c r="BQ116" s="2319"/>
      <c r="BR116" s="2319"/>
      <c r="BS116" s="2319"/>
      <c r="BT116" s="2319"/>
      <c r="BU116" s="2319"/>
      <c r="BV116" s="2319"/>
      <c r="BW116" s="2319"/>
      <c r="BX116" s="2319"/>
      <c r="BY116" s="2319"/>
      <c r="BZ116" s="2319"/>
      <c r="CA116" s="2319"/>
      <c r="CB116" s="2319"/>
      <c r="CC116" s="2319"/>
      <c r="CD116" s="2319"/>
      <c r="CE116" s="2319"/>
      <c r="CF116" s="2319"/>
      <c r="CG116" s="2319"/>
      <c r="CH116" s="2319"/>
      <c r="CI116" s="2319"/>
      <c r="CJ116" s="2319"/>
      <c r="CK116" s="2319"/>
      <c r="CL116" s="2319"/>
      <c r="CM116" s="2319"/>
      <c r="CN116" s="2319"/>
      <c r="CO116" s="2319"/>
      <c r="CP116" s="2319"/>
      <c r="CQ116" s="2319"/>
      <c r="CR116" s="2319"/>
      <c r="CS116" s="2319"/>
      <c r="CT116" s="2319"/>
      <c r="CU116" s="2319"/>
      <c r="CV116" s="2319"/>
    </row>
    <row r="117" spans="1:100" ht="15.75" customHeight="1">
      <c r="A117" s="2371"/>
      <c r="B117" s="2319"/>
      <c r="C117" s="2319"/>
      <c r="D117" s="2318"/>
      <c r="E117" s="2319"/>
      <c r="F117" s="2319"/>
      <c r="G117" s="2319"/>
      <c r="H117" s="2319"/>
      <c r="I117" s="2319"/>
      <c r="J117" s="2319"/>
      <c r="K117" s="2319"/>
      <c r="L117" s="2319"/>
      <c r="M117" s="2319"/>
      <c r="N117" s="2319"/>
      <c r="O117" s="2319"/>
      <c r="P117" s="2319"/>
      <c r="Q117" s="2319"/>
      <c r="R117" s="2319"/>
      <c r="S117" s="2319"/>
      <c r="T117" s="2319"/>
      <c r="U117" s="2319"/>
      <c r="V117" s="2319"/>
      <c r="W117" s="2319"/>
      <c r="X117" s="2319"/>
      <c r="Y117" s="2319"/>
      <c r="Z117" s="2319"/>
      <c r="AA117" s="2319"/>
      <c r="AB117" s="2319"/>
      <c r="AC117" s="2319"/>
      <c r="AD117" s="2319"/>
      <c r="AE117" s="2319"/>
      <c r="AF117" s="2319"/>
      <c r="AG117" s="2319"/>
      <c r="AH117" s="2319"/>
      <c r="AI117" s="2319"/>
      <c r="AJ117" s="2319"/>
      <c r="AK117" s="2319"/>
      <c r="AL117" s="2319"/>
      <c r="AM117" s="2319"/>
      <c r="AN117" s="2319"/>
      <c r="AO117" s="2319"/>
      <c r="AP117" s="2319"/>
      <c r="AQ117" s="2319"/>
      <c r="AR117" s="2319"/>
      <c r="AS117" s="2319"/>
      <c r="AT117" s="2319"/>
      <c r="AU117" s="2319"/>
      <c r="AV117" s="2319"/>
      <c r="AW117" s="2319"/>
      <c r="AX117" s="2319"/>
      <c r="AY117" s="2319"/>
      <c r="AZ117" s="2319"/>
      <c r="BA117" s="2319"/>
      <c r="BB117" s="2319"/>
      <c r="BC117" s="2319"/>
      <c r="BD117" s="2319"/>
      <c r="BE117" s="2319"/>
      <c r="BF117" s="2319"/>
      <c r="BG117" s="2319"/>
      <c r="BH117" s="2319"/>
      <c r="BI117" s="2319"/>
      <c r="BJ117" s="2319"/>
      <c r="BK117" s="2319"/>
      <c r="BL117" s="2319"/>
      <c r="BM117" s="2319"/>
      <c r="BN117" s="2319"/>
      <c r="BO117" s="2319"/>
      <c r="BP117" s="2319"/>
      <c r="BQ117" s="2319"/>
      <c r="BR117" s="2319"/>
      <c r="BS117" s="2319"/>
      <c r="BT117" s="2319"/>
      <c r="BU117" s="2319"/>
      <c r="BV117" s="2319"/>
      <c r="BW117" s="2319"/>
      <c r="BX117" s="2319"/>
      <c r="BY117" s="2319"/>
      <c r="BZ117" s="2319"/>
      <c r="CA117" s="2319"/>
      <c r="CB117" s="2319"/>
      <c r="CC117" s="2319"/>
      <c r="CD117" s="2319"/>
      <c r="CE117" s="2319"/>
      <c r="CF117" s="2319"/>
      <c r="CG117" s="2319"/>
      <c r="CH117" s="2319"/>
      <c r="CI117" s="2319"/>
      <c r="CJ117" s="2319"/>
      <c r="CK117" s="2319"/>
      <c r="CL117" s="2319"/>
      <c r="CM117" s="2319"/>
      <c r="CN117" s="2319"/>
      <c r="CO117" s="2319"/>
      <c r="CP117" s="2319"/>
      <c r="CQ117" s="2319"/>
      <c r="CR117" s="2319"/>
      <c r="CS117" s="2319"/>
      <c r="CT117" s="2319"/>
      <c r="CU117" s="2319"/>
      <c r="CV117" s="2319"/>
    </row>
    <row r="118" spans="1:100" ht="15.75" customHeight="1">
      <c r="A118" s="2371"/>
      <c r="B118" s="2319"/>
      <c r="C118" s="2319"/>
      <c r="D118" s="2318"/>
      <c r="E118" s="2319"/>
      <c r="F118" s="2319"/>
      <c r="G118" s="2319"/>
      <c r="H118" s="2319"/>
      <c r="I118" s="2319"/>
      <c r="J118" s="2319"/>
      <c r="K118" s="2319"/>
      <c r="L118" s="2319"/>
      <c r="M118" s="2319"/>
      <c r="N118" s="2319"/>
      <c r="O118" s="2319"/>
      <c r="P118" s="2319"/>
      <c r="Q118" s="2319"/>
      <c r="R118" s="2319"/>
      <c r="S118" s="2319"/>
      <c r="T118" s="2319"/>
      <c r="U118" s="2319"/>
      <c r="V118" s="2319"/>
      <c r="W118" s="2319"/>
      <c r="X118" s="2319"/>
      <c r="Y118" s="2319"/>
      <c r="Z118" s="2319"/>
      <c r="AA118" s="2319"/>
      <c r="AB118" s="2319"/>
      <c r="AC118" s="2319"/>
      <c r="AD118" s="2319"/>
      <c r="AE118" s="2319"/>
      <c r="AF118" s="2319"/>
      <c r="AG118" s="2319"/>
      <c r="AH118" s="2319"/>
      <c r="AI118" s="2319"/>
      <c r="AJ118" s="2319"/>
      <c r="AK118" s="2319"/>
      <c r="AL118" s="2319"/>
      <c r="AM118" s="2319"/>
      <c r="AN118" s="2319"/>
      <c r="AO118" s="2319"/>
      <c r="AP118" s="2319"/>
      <c r="AQ118" s="2319"/>
      <c r="AR118" s="2319"/>
      <c r="AS118" s="2319"/>
      <c r="AT118" s="2319"/>
      <c r="AU118" s="2319"/>
      <c r="AV118" s="2319"/>
      <c r="AW118" s="2319"/>
      <c r="AX118" s="2319"/>
      <c r="AY118" s="2319"/>
      <c r="AZ118" s="2319"/>
      <c r="BA118" s="2319"/>
      <c r="BB118" s="2319"/>
      <c r="BC118" s="2319"/>
      <c r="BD118" s="2319"/>
      <c r="BE118" s="2319"/>
      <c r="BF118" s="2319"/>
      <c r="BG118" s="2319"/>
      <c r="BH118" s="2319"/>
      <c r="BI118" s="2319"/>
      <c r="BJ118" s="2319"/>
      <c r="BK118" s="2319"/>
      <c r="BL118" s="2319"/>
      <c r="BM118" s="2319"/>
      <c r="BN118" s="2319"/>
      <c r="BO118" s="2319"/>
      <c r="BP118" s="2319"/>
      <c r="BQ118" s="2319"/>
      <c r="BR118" s="2319"/>
      <c r="BS118" s="2319"/>
      <c r="BT118" s="2319"/>
      <c r="BU118" s="2319"/>
      <c r="BV118" s="2319"/>
      <c r="BW118" s="2319"/>
      <c r="BX118" s="2319"/>
      <c r="BY118" s="2319"/>
      <c r="BZ118" s="2319"/>
      <c r="CA118" s="2319"/>
      <c r="CB118" s="2319"/>
      <c r="CC118" s="2319"/>
      <c r="CD118" s="2319"/>
      <c r="CE118" s="2319"/>
      <c r="CF118" s="2319"/>
      <c r="CG118" s="2319"/>
      <c r="CH118" s="2319"/>
      <c r="CI118" s="2319"/>
      <c r="CJ118" s="2319"/>
      <c r="CK118" s="2319"/>
      <c r="CL118" s="2319"/>
      <c r="CM118" s="2319"/>
      <c r="CN118" s="2319"/>
      <c r="CO118" s="2319"/>
      <c r="CP118" s="2319"/>
      <c r="CQ118" s="2319"/>
      <c r="CR118" s="2319"/>
      <c r="CS118" s="2319"/>
      <c r="CT118" s="2319"/>
      <c r="CU118" s="2319"/>
      <c r="CV118" s="2319"/>
    </row>
    <row r="119" spans="1:100" ht="15.75" customHeight="1">
      <c r="A119" s="2371"/>
      <c r="B119" s="2319"/>
      <c r="C119" s="2319"/>
      <c r="D119" s="2318"/>
      <c r="E119" s="2319"/>
      <c r="F119" s="2319"/>
      <c r="G119" s="2319"/>
      <c r="H119" s="2319"/>
      <c r="I119" s="2319"/>
      <c r="J119" s="2319"/>
      <c r="K119" s="2319"/>
      <c r="L119" s="2319"/>
      <c r="M119" s="2319"/>
      <c r="N119" s="2319"/>
      <c r="O119" s="2319"/>
      <c r="P119" s="2319"/>
      <c r="Q119" s="2319"/>
      <c r="R119" s="2319"/>
      <c r="S119" s="2319"/>
      <c r="T119" s="2319"/>
      <c r="U119" s="2319"/>
      <c r="V119" s="2319"/>
      <c r="W119" s="2319"/>
      <c r="X119" s="2319"/>
      <c r="Y119" s="2319"/>
      <c r="Z119" s="2319"/>
      <c r="AA119" s="2319"/>
      <c r="AB119" s="2319"/>
      <c r="AC119" s="2319"/>
      <c r="AD119" s="2319"/>
      <c r="AE119" s="2319"/>
      <c r="AF119" s="2319"/>
      <c r="AG119" s="2319"/>
      <c r="AH119" s="2319"/>
      <c r="AI119" s="2319"/>
      <c r="AJ119" s="2319"/>
      <c r="AK119" s="2319"/>
      <c r="AL119" s="2319"/>
      <c r="AM119" s="2319"/>
      <c r="AN119" s="2319"/>
      <c r="AO119" s="2319"/>
      <c r="AP119" s="2319"/>
      <c r="AQ119" s="2319"/>
      <c r="AR119" s="2319"/>
      <c r="AS119" s="2319"/>
      <c r="AT119" s="2319"/>
      <c r="AU119" s="2319"/>
      <c r="AV119" s="2319"/>
      <c r="AW119" s="2319"/>
      <c r="AX119" s="2319"/>
      <c r="AY119" s="2319"/>
      <c r="AZ119" s="2319"/>
      <c r="BA119" s="2319"/>
      <c r="BB119" s="2319"/>
      <c r="BC119" s="2319"/>
      <c r="BD119" s="2319"/>
      <c r="BE119" s="2319"/>
      <c r="BF119" s="2319"/>
      <c r="BG119" s="2319"/>
      <c r="BH119" s="2319"/>
      <c r="BI119" s="2319"/>
      <c r="BJ119" s="2319"/>
      <c r="BK119" s="2319"/>
      <c r="BL119" s="2319"/>
      <c r="BM119" s="2319"/>
      <c r="BN119" s="2319"/>
      <c r="BO119" s="2319"/>
      <c r="BP119" s="2319"/>
      <c r="BQ119" s="2319"/>
      <c r="BR119" s="2319"/>
      <c r="BS119" s="2319"/>
      <c r="BT119" s="2319"/>
      <c r="BU119" s="2319"/>
      <c r="BV119" s="2319"/>
      <c r="BW119" s="2319"/>
      <c r="BX119" s="2319"/>
      <c r="BY119" s="2319"/>
      <c r="BZ119" s="2319"/>
      <c r="CA119" s="2319"/>
      <c r="CB119" s="2319"/>
      <c r="CC119" s="2319"/>
      <c r="CD119" s="2319"/>
      <c r="CE119" s="2319"/>
      <c r="CF119" s="2319"/>
      <c r="CG119" s="2319"/>
      <c r="CH119" s="2319"/>
      <c r="CI119" s="2319"/>
      <c r="CJ119" s="2319"/>
      <c r="CK119" s="2319"/>
      <c r="CL119" s="2319"/>
      <c r="CM119" s="2319"/>
      <c r="CN119" s="2319"/>
      <c r="CO119" s="2319"/>
      <c r="CP119" s="2319"/>
      <c r="CQ119" s="2319"/>
      <c r="CR119" s="2319"/>
      <c r="CS119" s="2319"/>
      <c r="CT119" s="2319"/>
      <c r="CU119" s="2319"/>
      <c r="CV119" s="2319"/>
    </row>
    <row r="120" spans="1:100" ht="15.75" customHeight="1">
      <c r="A120" s="2371"/>
      <c r="B120" s="2319"/>
      <c r="C120" s="2319"/>
      <c r="D120" s="2318"/>
      <c r="E120" s="2319"/>
      <c r="F120" s="2319"/>
      <c r="G120" s="2319"/>
      <c r="H120" s="2319"/>
      <c r="I120" s="2319"/>
      <c r="J120" s="2319"/>
      <c r="K120" s="2319"/>
      <c r="L120" s="2319"/>
      <c r="M120" s="2319"/>
      <c r="N120" s="2319"/>
      <c r="O120" s="2319"/>
      <c r="P120" s="2319"/>
      <c r="Q120" s="2319"/>
      <c r="R120" s="2319"/>
      <c r="S120" s="2319"/>
      <c r="T120" s="2319"/>
      <c r="U120" s="2319"/>
      <c r="V120" s="2319"/>
      <c r="W120" s="2319"/>
      <c r="X120" s="2319"/>
      <c r="Y120" s="2319"/>
      <c r="Z120" s="2319"/>
      <c r="AA120" s="2319"/>
      <c r="AB120" s="2319"/>
      <c r="AC120" s="2319"/>
      <c r="AD120" s="2319"/>
      <c r="AE120" s="2319"/>
      <c r="AF120" s="2319"/>
      <c r="AG120" s="2319"/>
      <c r="AH120" s="2319"/>
      <c r="AI120" s="2319"/>
      <c r="AJ120" s="2319"/>
      <c r="AK120" s="2319"/>
      <c r="AL120" s="2319"/>
      <c r="AM120" s="2319"/>
      <c r="AN120" s="2319"/>
      <c r="AO120" s="2319"/>
      <c r="AP120" s="2319"/>
      <c r="AQ120" s="2319"/>
      <c r="AR120" s="2319"/>
      <c r="AS120" s="2319"/>
      <c r="AT120" s="2319"/>
      <c r="AU120" s="2319"/>
      <c r="AV120" s="2319"/>
      <c r="AW120" s="2319"/>
      <c r="AX120" s="2319"/>
      <c r="AY120" s="2319"/>
      <c r="AZ120" s="2319"/>
      <c r="BA120" s="2319"/>
      <c r="BB120" s="2319"/>
      <c r="BC120" s="2319"/>
      <c r="BD120" s="2319"/>
      <c r="BE120" s="2319"/>
      <c r="BF120" s="2319"/>
      <c r="BG120" s="2319"/>
      <c r="BH120" s="2319"/>
      <c r="BI120" s="2319"/>
      <c r="BJ120" s="2319"/>
      <c r="BK120" s="2319"/>
      <c r="BL120" s="2319"/>
      <c r="BM120" s="2319"/>
      <c r="BN120" s="2319"/>
      <c r="BO120" s="2319"/>
      <c r="BP120" s="2319"/>
      <c r="BQ120" s="2319"/>
      <c r="BR120" s="2319"/>
      <c r="BS120" s="2319"/>
      <c r="BT120" s="2319"/>
      <c r="BU120" s="2319"/>
      <c r="BV120" s="2319"/>
      <c r="BW120" s="2319"/>
      <c r="BX120" s="2319"/>
      <c r="BY120" s="2319"/>
      <c r="BZ120" s="2319"/>
      <c r="CA120" s="2319"/>
      <c r="CB120" s="2319"/>
      <c r="CC120" s="2319"/>
      <c r="CD120" s="2319"/>
      <c r="CE120" s="2319"/>
      <c r="CF120" s="2319"/>
      <c r="CG120" s="2319"/>
      <c r="CH120" s="2319"/>
      <c r="CI120" s="2319"/>
      <c r="CJ120" s="2319"/>
      <c r="CK120" s="2319"/>
      <c r="CL120" s="2319"/>
      <c r="CM120" s="2319"/>
      <c r="CN120" s="2319"/>
      <c r="CO120" s="2319"/>
      <c r="CP120" s="2319"/>
      <c r="CQ120" s="2319"/>
      <c r="CR120" s="2319"/>
      <c r="CS120" s="2319"/>
      <c r="CT120" s="2319"/>
      <c r="CU120" s="2319"/>
      <c r="CV120" s="2319"/>
    </row>
    <row r="121" spans="1:100" ht="15.75" customHeight="1">
      <c r="A121" s="2371"/>
      <c r="B121" s="2319"/>
      <c r="C121" s="2319"/>
      <c r="D121" s="2318"/>
      <c r="E121" s="2319"/>
      <c r="F121" s="2319"/>
      <c r="G121" s="2319"/>
      <c r="H121" s="2319"/>
      <c r="I121" s="2319"/>
      <c r="J121" s="2319"/>
      <c r="K121" s="2319"/>
      <c r="L121" s="2319"/>
      <c r="M121" s="2319"/>
      <c r="N121" s="2319"/>
      <c r="O121" s="2319"/>
      <c r="P121" s="2319"/>
      <c r="Q121" s="2319"/>
      <c r="R121" s="2319"/>
      <c r="S121" s="2319"/>
      <c r="T121" s="2319"/>
      <c r="U121" s="2319"/>
      <c r="V121" s="2319"/>
      <c r="W121" s="2319"/>
      <c r="X121" s="2319"/>
      <c r="Y121" s="2319"/>
      <c r="Z121" s="2319"/>
      <c r="AA121" s="2319"/>
      <c r="AB121" s="2319"/>
      <c r="AC121" s="2319"/>
      <c r="AD121" s="2319"/>
      <c r="AE121" s="2319"/>
      <c r="AF121" s="2319"/>
      <c r="AG121" s="2319"/>
      <c r="AH121" s="2319"/>
      <c r="AI121" s="2319"/>
      <c r="AJ121" s="2319"/>
      <c r="AK121" s="2319"/>
      <c r="AL121" s="2319"/>
      <c r="AM121" s="2319"/>
      <c r="AN121" s="2319"/>
      <c r="AO121" s="2319"/>
      <c r="AP121" s="2319"/>
      <c r="AQ121" s="2319"/>
      <c r="AR121" s="2319"/>
      <c r="AS121" s="2319"/>
      <c r="AT121" s="2319"/>
      <c r="AU121" s="2319"/>
      <c r="AV121" s="2319"/>
      <c r="AW121" s="2319"/>
      <c r="AX121" s="2319"/>
      <c r="AY121" s="2319"/>
      <c r="AZ121" s="2319"/>
      <c r="BA121" s="2319"/>
      <c r="BB121" s="2319"/>
      <c r="BC121" s="2319"/>
      <c r="BD121" s="2319"/>
      <c r="BE121" s="2319"/>
      <c r="BF121" s="2319"/>
      <c r="BG121" s="2319"/>
      <c r="BH121" s="2319"/>
      <c r="BI121" s="2319"/>
      <c r="BJ121" s="2319"/>
      <c r="BK121" s="2319"/>
      <c r="BL121" s="2319"/>
      <c r="BM121" s="2319"/>
      <c r="BN121" s="2319"/>
      <c r="BO121" s="2319"/>
      <c r="BP121" s="2319"/>
      <c r="BQ121" s="2319"/>
      <c r="BR121" s="2319"/>
      <c r="BS121" s="2319"/>
      <c r="BT121" s="2319"/>
      <c r="BU121" s="2319"/>
      <c r="BV121" s="2319"/>
      <c r="BW121" s="2319"/>
      <c r="BX121" s="2319"/>
      <c r="BY121" s="2319"/>
      <c r="BZ121" s="2319"/>
      <c r="CA121" s="2319"/>
      <c r="CB121" s="2319"/>
      <c r="CC121" s="2319"/>
      <c r="CD121" s="2319"/>
      <c r="CE121" s="2319"/>
      <c r="CF121" s="2319"/>
      <c r="CG121" s="2319"/>
      <c r="CH121" s="2319"/>
      <c r="CI121" s="2319"/>
      <c r="CJ121" s="2319"/>
      <c r="CK121" s="2319"/>
      <c r="CL121" s="2319"/>
      <c r="CM121" s="2319"/>
      <c r="CN121" s="2319"/>
      <c r="CO121" s="2319"/>
      <c r="CP121" s="2319"/>
      <c r="CQ121" s="2319"/>
      <c r="CR121" s="2319"/>
      <c r="CS121" s="2319"/>
      <c r="CT121" s="2319"/>
      <c r="CU121" s="2319"/>
      <c r="CV121" s="2319"/>
    </row>
    <row r="122" spans="1:100" ht="15.75" customHeight="1">
      <c r="A122" s="2371"/>
      <c r="B122" s="2319"/>
      <c r="C122" s="2319"/>
      <c r="D122" s="2318"/>
      <c r="E122" s="2319"/>
      <c r="F122" s="2319"/>
      <c r="G122" s="2319"/>
      <c r="H122" s="2319"/>
      <c r="I122" s="2319"/>
      <c r="J122" s="2319"/>
      <c r="K122" s="2319"/>
      <c r="L122" s="2319"/>
      <c r="M122" s="2319"/>
      <c r="N122" s="2319"/>
      <c r="O122" s="2319"/>
      <c r="P122" s="2319"/>
      <c r="Q122" s="2319"/>
      <c r="R122" s="2319"/>
      <c r="S122" s="2319"/>
      <c r="T122" s="2319"/>
      <c r="U122" s="2319"/>
      <c r="V122" s="2319"/>
      <c r="W122" s="2319"/>
      <c r="X122" s="2319"/>
      <c r="Y122" s="2319"/>
      <c r="Z122" s="2319"/>
      <c r="AA122" s="2319"/>
      <c r="AB122" s="2319"/>
      <c r="AC122" s="2319"/>
      <c r="AD122" s="2319"/>
      <c r="AE122" s="2319"/>
      <c r="AF122" s="2319"/>
      <c r="AG122" s="2319"/>
      <c r="AH122" s="2319"/>
      <c r="AI122" s="2319"/>
      <c r="AJ122" s="2319"/>
      <c r="AK122" s="2319"/>
      <c r="AL122" s="2319"/>
      <c r="AM122" s="2319"/>
      <c r="AN122" s="2319"/>
      <c r="AO122" s="2319"/>
      <c r="AP122" s="2319"/>
      <c r="AQ122" s="2319"/>
      <c r="AR122" s="2319"/>
      <c r="AS122" s="2319"/>
      <c r="AT122" s="2319"/>
      <c r="AU122" s="2319"/>
      <c r="AV122" s="2319"/>
      <c r="AW122" s="2319"/>
      <c r="AX122" s="2319"/>
      <c r="AY122" s="2319"/>
      <c r="AZ122" s="2319"/>
      <c r="BA122" s="2319"/>
      <c r="BB122" s="2319"/>
      <c r="BC122" s="2319"/>
      <c r="BD122" s="2319"/>
      <c r="BE122" s="2319"/>
      <c r="BF122" s="2319"/>
      <c r="BG122" s="2319"/>
      <c r="BH122" s="2319"/>
      <c r="BI122" s="2319"/>
      <c r="BJ122" s="2319"/>
      <c r="BK122" s="2319"/>
      <c r="BL122" s="2319"/>
      <c r="BM122" s="2319"/>
      <c r="BN122" s="2319"/>
      <c r="BO122" s="2319"/>
      <c r="BP122" s="2319"/>
      <c r="BQ122" s="2319"/>
      <c r="BR122" s="2319"/>
      <c r="BS122" s="2319"/>
      <c r="BT122" s="2319"/>
      <c r="BU122" s="2319"/>
      <c r="BV122" s="2319"/>
      <c r="BW122" s="2319"/>
      <c r="BX122" s="2319"/>
      <c r="BY122" s="2319"/>
      <c r="BZ122" s="2319"/>
      <c r="CA122" s="2319"/>
      <c r="CB122" s="2319"/>
      <c r="CC122" s="2319"/>
      <c r="CD122" s="2319"/>
      <c r="CE122" s="2319"/>
      <c r="CF122" s="2319"/>
      <c r="CG122" s="2319"/>
      <c r="CH122" s="2319"/>
      <c r="CI122" s="2319"/>
      <c r="CJ122" s="2319"/>
      <c r="CK122" s="2319"/>
      <c r="CL122" s="2319"/>
      <c r="CM122" s="2319"/>
      <c r="CN122" s="2319"/>
      <c r="CO122" s="2319"/>
      <c r="CP122" s="2319"/>
      <c r="CQ122" s="2319"/>
      <c r="CR122" s="2319"/>
      <c r="CS122" s="2319"/>
      <c r="CT122" s="2319"/>
      <c r="CU122" s="2319"/>
      <c r="CV122" s="2319"/>
    </row>
    <row r="123" spans="1:100" ht="15.75" customHeight="1">
      <c r="A123" s="2371"/>
      <c r="B123" s="2319"/>
      <c r="C123" s="2319"/>
      <c r="D123" s="2318"/>
      <c r="E123" s="2319"/>
      <c r="F123" s="2319"/>
      <c r="G123" s="2319"/>
      <c r="H123" s="2319"/>
      <c r="I123" s="2319"/>
      <c r="J123" s="2319"/>
      <c r="K123" s="2319"/>
      <c r="L123" s="2319"/>
      <c r="M123" s="2319"/>
      <c r="N123" s="2319"/>
      <c r="O123" s="2319"/>
      <c r="P123" s="2319"/>
      <c r="Q123" s="2319"/>
      <c r="R123" s="2319"/>
      <c r="S123" s="2319"/>
      <c r="T123" s="2319"/>
      <c r="U123" s="2319"/>
      <c r="V123" s="2319"/>
      <c r="W123" s="2319"/>
      <c r="X123" s="2319"/>
      <c r="Y123" s="2319"/>
      <c r="Z123" s="2319"/>
      <c r="AA123" s="2319"/>
      <c r="AB123" s="2319"/>
      <c r="AC123" s="2319"/>
      <c r="AD123" s="2319"/>
      <c r="AE123" s="2319"/>
      <c r="AF123" s="2319"/>
      <c r="AG123" s="2319"/>
      <c r="AH123" s="2319"/>
      <c r="AI123" s="2319"/>
      <c r="AJ123" s="2319"/>
      <c r="AK123" s="2319"/>
      <c r="AL123" s="2319"/>
      <c r="AM123" s="2319"/>
      <c r="AN123" s="2319"/>
      <c r="AO123" s="2319"/>
      <c r="AP123" s="2319"/>
      <c r="AQ123" s="2319"/>
      <c r="AR123" s="2319"/>
      <c r="AS123" s="2319"/>
      <c r="AT123" s="2319"/>
      <c r="AU123" s="2319"/>
      <c r="AV123" s="2319"/>
      <c r="AW123" s="2319"/>
      <c r="AX123" s="2319"/>
      <c r="AY123" s="2319"/>
      <c r="AZ123" s="2319"/>
      <c r="BA123" s="2319"/>
      <c r="BB123" s="2319"/>
      <c r="BC123" s="2319"/>
      <c r="BD123" s="2319"/>
      <c r="BE123" s="2319"/>
      <c r="BF123" s="2319"/>
      <c r="BG123" s="2319"/>
      <c r="BH123" s="2319"/>
      <c r="BI123" s="2319"/>
      <c r="BJ123" s="2319"/>
      <c r="BK123" s="2319"/>
      <c r="BL123" s="2319"/>
      <c r="BM123" s="2319"/>
      <c r="BN123" s="2319"/>
      <c r="BO123" s="2319"/>
      <c r="BP123" s="2319"/>
      <c r="BQ123" s="2319"/>
      <c r="BR123" s="2319"/>
      <c r="BS123" s="2319"/>
      <c r="BT123" s="2319"/>
      <c r="BU123" s="2319"/>
      <c r="BV123" s="2319"/>
      <c r="BW123" s="2319"/>
      <c r="BX123" s="2319"/>
      <c r="BY123" s="2319"/>
      <c r="BZ123" s="2319"/>
      <c r="CA123" s="2319"/>
      <c r="CB123" s="2319"/>
      <c r="CC123" s="2319"/>
      <c r="CD123" s="2319"/>
      <c r="CE123" s="2319"/>
      <c r="CF123" s="2319"/>
      <c r="CG123" s="2319"/>
      <c r="CH123" s="2319"/>
      <c r="CI123" s="2319"/>
      <c r="CJ123" s="2319"/>
      <c r="CK123" s="2319"/>
      <c r="CL123" s="2319"/>
      <c r="CM123" s="2319"/>
      <c r="CN123" s="2319"/>
      <c r="CO123" s="2319"/>
      <c r="CP123" s="2319"/>
      <c r="CQ123" s="2319"/>
      <c r="CR123" s="2319"/>
      <c r="CS123" s="2319"/>
      <c r="CT123" s="2319"/>
      <c r="CU123" s="2319"/>
      <c r="CV123" s="2319"/>
    </row>
    <row r="124" spans="1:100" ht="15.75" customHeight="1">
      <c r="A124" s="2371"/>
      <c r="B124" s="2319"/>
      <c r="C124" s="2319"/>
      <c r="D124" s="2318"/>
      <c r="E124" s="2319"/>
      <c r="F124" s="2319"/>
      <c r="G124" s="2319"/>
      <c r="H124" s="2319"/>
      <c r="I124" s="2319"/>
      <c r="J124" s="2319"/>
      <c r="K124" s="2319"/>
      <c r="L124" s="2319"/>
      <c r="M124" s="2319"/>
      <c r="N124" s="2319"/>
      <c r="O124" s="2319"/>
      <c r="P124" s="2319"/>
      <c r="Q124" s="2319"/>
      <c r="R124" s="2319"/>
      <c r="S124" s="2319"/>
      <c r="T124" s="2319"/>
      <c r="U124" s="2319"/>
      <c r="V124" s="2319"/>
      <c r="W124" s="2319"/>
      <c r="X124" s="2319"/>
      <c r="Y124" s="2319"/>
      <c r="Z124" s="2319"/>
      <c r="AA124" s="2319"/>
      <c r="AB124" s="2319"/>
      <c r="AC124" s="2319"/>
      <c r="AD124" s="2319"/>
      <c r="AE124" s="2319"/>
      <c r="AF124" s="2319"/>
      <c r="AG124" s="2319"/>
      <c r="AH124" s="2319"/>
      <c r="AI124" s="2319"/>
      <c r="AJ124" s="2319"/>
      <c r="AK124" s="2319"/>
      <c r="AL124" s="2319"/>
      <c r="AM124" s="2319"/>
      <c r="AN124" s="2319"/>
      <c r="AO124" s="2319"/>
      <c r="AP124" s="2319"/>
      <c r="AQ124" s="2319"/>
      <c r="AR124" s="2319"/>
      <c r="AS124" s="2319"/>
      <c r="AT124" s="2319"/>
      <c r="AU124" s="2319"/>
      <c r="AV124" s="2319"/>
      <c r="AW124" s="2319"/>
      <c r="AX124" s="2319"/>
      <c r="AY124" s="2319"/>
      <c r="AZ124" s="2319"/>
      <c r="BA124" s="2319"/>
      <c r="BB124" s="2319"/>
      <c r="BC124" s="2319"/>
      <c r="BD124" s="2319"/>
      <c r="BE124" s="2319"/>
      <c r="BF124" s="2319"/>
      <c r="BG124" s="2319"/>
      <c r="BH124" s="2319"/>
      <c r="BI124" s="2319"/>
      <c r="BJ124" s="2319"/>
      <c r="BK124" s="2319"/>
      <c r="BL124" s="2319"/>
      <c r="BM124" s="2319"/>
      <c r="BN124" s="2319"/>
      <c r="BO124" s="2319"/>
      <c r="BP124" s="2319"/>
      <c r="BQ124" s="2319"/>
      <c r="BR124" s="2319"/>
      <c r="BS124" s="2319"/>
      <c r="BT124" s="2319"/>
      <c r="BU124" s="2319"/>
      <c r="BV124" s="2319"/>
      <c r="BW124" s="2319"/>
      <c r="BX124" s="2319"/>
      <c r="BY124" s="2319"/>
      <c r="BZ124" s="2319"/>
      <c r="CA124" s="2319"/>
      <c r="CB124" s="2319"/>
      <c r="CC124" s="2319"/>
      <c r="CD124" s="2319"/>
      <c r="CE124" s="2319"/>
      <c r="CF124" s="2319"/>
      <c r="CG124" s="2319"/>
      <c r="CH124" s="2319"/>
      <c r="CI124" s="2319"/>
      <c r="CJ124" s="2319"/>
      <c r="CK124" s="2319"/>
      <c r="CL124" s="2319"/>
      <c r="CM124" s="2319"/>
      <c r="CN124" s="2319"/>
      <c r="CO124" s="2319"/>
      <c r="CP124" s="2319"/>
      <c r="CQ124" s="2319"/>
      <c r="CR124" s="2319"/>
      <c r="CS124" s="2319"/>
      <c r="CT124" s="2319"/>
      <c r="CU124" s="2319"/>
      <c r="CV124" s="2319"/>
    </row>
    <row r="125" spans="1:100" ht="15.75" customHeight="1">
      <c r="A125" s="2371"/>
      <c r="B125" s="2319"/>
      <c r="C125" s="2319"/>
      <c r="D125" s="2318"/>
      <c r="E125" s="2319"/>
      <c r="F125" s="2319"/>
      <c r="G125" s="2319"/>
      <c r="H125" s="2319"/>
      <c r="I125" s="2319"/>
      <c r="J125" s="2319"/>
      <c r="K125" s="2319"/>
      <c r="L125" s="2319"/>
      <c r="M125" s="2319"/>
      <c r="N125" s="2319"/>
      <c r="O125" s="2319"/>
      <c r="P125" s="2319"/>
      <c r="Q125" s="2319"/>
      <c r="R125" s="2319"/>
      <c r="S125" s="2319"/>
      <c r="T125" s="2319"/>
      <c r="U125" s="2319"/>
      <c r="V125" s="2319"/>
      <c r="W125" s="2319"/>
      <c r="X125" s="2319"/>
      <c r="Y125" s="2319"/>
      <c r="Z125" s="2319"/>
      <c r="AA125" s="2319"/>
      <c r="AB125" s="2319"/>
      <c r="AC125" s="2319"/>
      <c r="AD125" s="2319"/>
      <c r="AE125" s="2319"/>
      <c r="AF125" s="2319"/>
      <c r="AG125" s="2319"/>
      <c r="AH125" s="2319"/>
      <c r="AI125" s="2319"/>
      <c r="AJ125" s="2319"/>
      <c r="AK125" s="2319"/>
      <c r="AL125" s="2319"/>
      <c r="AM125" s="2319"/>
      <c r="AN125" s="2319"/>
      <c r="AO125" s="2319"/>
      <c r="AP125" s="2319"/>
      <c r="AQ125" s="2319"/>
      <c r="AR125" s="2319"/>
      <c r="AS125" s="2319"/>
      <c r="AT125" s="2319"/>
      <c r="AU125" s="2319"/>
      <c r="AV125" s="2319"/>
      <c r="AW125" s="2319"/>
      <c r="AX125" s="2319"/>
      <c r="AY125" s="2319"/>
      <c r="AZ125" s="2319"/>
      <c r="BA125" s="2319"/>
      <c r="BB125" s="2319"/>
      <c r="BC125" s="2319"/>
      <c r="BD125" s="2319"/>
      <c r="BE125" s="2319"/>
      <c r="BF125" s="2319"/>
      <c r="BG125" s="2319"/>
      <c r="BH125" s="2319"/>
      <c r="BI125" s="2319"/>
      <c r="BJ125" s="2319"/>
      <c r="BK125" s="2319"/>
      <c r="BL125" s="2319"/>
      <c r="BM125" s="2319"/>
      <c r="BN125" s="2319"/>
      <c r="BO125" s="2319"/>
      <c r="BP125" s="2319"/>
      <c r="BQ125" s="2319"/>
      <c r="BR125" s="2319"/>
      <c r="BS125" s="2319"/>
      <c r="BT125" s="2319"/>
      <c r="BU125" s="2319"/>
      <c r="BV125" s="2319"/>
      <c r="BW125" s="2319"/>
      <c r="BX125" s="2319"/>
      <c r="BY125" s="2319"/>
      <c r="BZ125" s="2319"/>
      <c r="CA125" s="2319"/>
      <c r="CB125" s="2319"/>
      <c r="CC125" s="2319"/>
      <c r="CD125" s="2319"/>
      <c r="CE125" s="2319"/>
      <c r="CF125" s="2319"/>
      <c r="CG125" s="2319"/>
      <c r="CH125" s="2319"/>
      <c r="CI125" s="2319"/>
      <c r="CJ125" s="2319"/>
      <c r="CK125" s="2319"/>
      <c r="CL125" s="2319"/>
      <c r="CM125" s="2319"/>
      <c r="CN125" s="2319"/>
      <c r="CO125" s="2319"/>
      <c r="CP125" s="2319"/>
      <c r="CQ125" s="2319"/>
      <c r="CR125" s="2319"/>
      <c r="CS125" s="2319"/>
      <c r="CT125" s="2319"/>
      <c r="CU125" s="2319"/>
      <c r="CV125" s="2319"/>
    </row>
    <row r="126" spans="1:100" ht="15.75" customHeight="1">
      <c r="A126" s="2371"/>
      <c r="B126" s="2319"/>
      <c r="C126" s="2319"/>
      <c r="D126" s="2318"/>
      <c r="E126" s="2319"/>
      <c r="F126" s="2319"/>
      <c r="G126" s="2319"/>
      <c r="H126" s="2319"/>
      <c r="I126" s="2319"/>
      <c r="J126" s="2319"/>
      <c r="K126" s="2319"/>
      <c r="L126" s="2319"/>
      <c r="M126" s="2319"/>
      <c r="N126" s="2319"/>
      <c r="O126" s="2319"/>
      <c r="P126" s="2319"/>
      <c r="Q126" s="2319"/>
      <c r="R126" s="2319"/>
      <c r="S126" s="2319"/>
      <c r="T126" s="2319"/>
      <c r="U126" s="2319"/>
      <c r="V126" s="2319"/>
      <c r="W126" s="2319"/>
      <c r="X126" s="2319"/>
      <c r="Y126" s="2319"/>
      <c r="Z126" s="2319"/>
      <c r="AA126" s="2319"/>
      <c r="AB126" s="2319"/>
      <c r="AC126" s="2319"/>
      <c r="AD126" s="2319"/>
      <c r="AE126" s="2319"/>
      <c r="AF126" s="2319"/>
      <c r="AG126" s="2319"/>
      <c r="AH126" s="2319"/>
      <c r="AI126" s="2319"/>
      <c r="AJ126" s="2319"/>
      <c r="AK126" s="2319"/>
      <c r="AL126" s="2319"/>
      <c r="AM126" s="2319"/>
      <c r="AN126" s="2319"/>
      <c r="AO126" s="2319"/>
      <c r="AP126" s="2319"/>
      <c r="AQ126" s="2319"/>
      <c r="AR126" s="2319"/>
      <c r="AS126" s="2319"/>
      <c r="AT126" s="2319"/>
      <c r="AU126" s="2319"/>
      <c r="AV126" s="2319"/>
      <c r="AW126" s="2319"/>
      <c r="AX126" s="2319"/>
      <c r="AY126" s="2319"/>
      <c r="AZ126" s="2319"/>
      <c r="BA126" s="2319"/>
      <c r="BB126" s="2319"/>
      <c r="BC126" s="2319"/>
      <c r="BD126" s="2319"/>
      <c r="BE126" s="2319"/>
      <c r="BF126" s="2319"/>
      <c r="BG126" s="2319"/>
      <c r="BH126" s="2319"/>
      <c r="BI126" s="2319"/>
      <c r="BJ126" s="2319"/>
      <c r="BK126" s="2319"/>
      <c r="BL126" s="2319"/>
      <c r="BM126" s="2319"/>
      <c r="BN126" s="2319"/>
      <c r="BO126" s="2319"/>
      <c r="BP126" s="2319"/>
      <c r="BQ126" s="2319"/>
      <c r="BR126" s="2319"/>
      <c r="BS126" s="2319"/>
      <c r="BT126" s="2319"/>
      <c r="BU126" s="2319"/>
      <c r="BV126" s="2319"/>
      <c r="BW126" s="2319"/>
      <c r="BX126" s="2319"/>
      <c r="BY126" s="2319"/>
      <c r="BZ126" s="2319"/>
      <c r="CA126" s="2319"/>
      <c r="CB126" s="2319"/>
      <c r="CC126" s="2319"/>
      <c r="CD126" s="2319"/>
      <c r="CE126" s="2319"/>
      <c r="CF126" s="2319"/>
      <c r="CG126" s="2319"/>
      <c r="CH126" s="2319"/>
      <c r="CI126" s="2319"/>
      <c r="CJ126" s="2319"/>
      <c r="CK126" s="2319"/>
      <c r="CL126" s="2319"/>
      <c r="CM126" s="2319"/>
      <c r="CN126" s="2319"/>
      <c r="CO126" s="2319"/>
      <c r="CP126" s="2319"/>
      <c r="CQ126" s="2319"/>
      <c r="CR126" s="2319"/>
      <c r="CS126" s="2319"/>
      <c r="CT126" s="2319"/>
      <c r="CU126" s="2319"/>
      <c r="CV126" s="2319"/>
    </row>
    <row r="127" spans="1:100" ht="15.75" customHeight="1">
      <c r="A127" s="2371"/>
      <c r="B127" s="2319"/>
      <c r="C127" s="2319"/>
      <c r="D127" s="2318"/>
      <c r="E127" s="2319"/>
      <c r="F127" s="2319"/>
      <c r="G127" s="2319"/>
      <c r="H127" s="2319"/>
      <c r="I127" s="2319"/>
      <c r="J127" s="2319"/>
      <c r="K127" s="2319"/>
      <c r="L127" s="2319"/>
      <c r="M127" s="2319"/>
      <c r="N127" s="2319"/>
      <c r="O127" s="2319"/>
      <c r="P127" s="2319"/>
      <c r="Q127" s="2319"/>
      <c r="R127" s="2319"/>
      <c r="S127" s="2319"/>
      <c r="T127" s="2319"/>
      <c r="U127" s="2319"/>
      <c r="V127" s="2319"/>
      <c r="W127" s="2319"/>
      <c r="X127" s="2319"/>
      <c r="Y127" s="2319"/>
      <c r="Z127" s="2319"/>
      <c r="AA127" s="2319"/>
      <c r="AB127" s="2319"/>
      <c r="AC127" s="2319"/>
      <c r="AD127" s="2319"/>
      <c r="AE127" s="2319"/>
      <c r="AF127" s="2319"/>
      <c r="AG127" s="2319"/>
      <c r="AH127" s="2319"/>
      <c r="AI127" s="2319"/>
      <c r="AJ127" s="2319"/>
      <c r="AK127" s="2319"/>
      <c r="AL127" s="2319"/>
      <c r="AM127" s="2319"/>
      <c r="AN127" s="2319"/>
      <c r="AO127" s="2319"/>
      <c r="AP127" s="2319"/>
      <c r="AQ127" s="2319"/>
      <c r="AR127" s="2319"/>
      <c r="AS127" s="2319"/>
      <c r="AT127" s="2319"/>
      <c r="AU127" s="2319"/>
      <c r="AV127" s="2319"/>
      <c r="AW127" s="2319"/>
      <c r="AX127" s="2319"/>
      <c r="AY127" s="2319"/>
      <c r="AZ127" s="2319"/>
      <c r="BA127" s="2319"/>
      <c r="BB127" s="2319"/>
      <c r="BC127" s="2319"/>
      <c r="BD127" s="2319"/>
      <c r="BE127" s="2319"/>
      <c r="BF127" s="2319"/>
      <c r="BG127" s="2319"/>
      <c r="BH127" s="2319"/>
      <c r="BI127" s="2319"/>
      <c r="BJ127" s="2319"/>
      <c r="BK127" s="2319"/>
      <c r="BL127" s="2319"/>
      <c r="BM127" s="2319"/>
      <c r="BN127" s="2319"/>
      <c r="BO127" s="2319"/>
      <c r="BP127" s="2319"/>
      <c r="BQ127" s="2319"/>
      <c r="BR127" s="2319"/>
      <c r="BS127" s="2319"/>
      <c r="BT127" s="2319"/>
      <c r="BU127" s="2319"/>
      <c r="BV127" s="2319"/>
      <c r="BW127" s="2319"/>
      <c r="BX127" s="2319"/>
      <c r="BY127" s="2319"/>
      <c r="BZ127" s="2319"/>
      <c r="CA127" s="2319"/>
      <c r="CB127" s="2319"/>
      <c r="CC127" s="2319"/>
      <c r="CD127" s="2319"/>
      <c r="CE127" s="2319"/>
      <c r="CF127" s="2319"/>
      <c r="CG127" s="2319"/>
      <c r="CH127" s="2319"/>
      <c r="CI127" s="2319"/>
      <c r="CJ127" s="2319"/>
      <c r="CK127" s="2319"/>
      <c r="CL127" s="2319"/>
      <c r="CM127" s="2319"/>
      <c r="CN127" s="2319"/>
      <c r="CO127" s="2319"/>
      <c r="CP127" s="2319"/>
      <c r="CQ127" s="2319"/>
      <c r="CR127" s="2319"/>
      <c r="CS127" s="2319"/>
      <c r="CT127" s="2319"/>
      <c r="CU127" s="2319"/>
      <c r="CV127" s="2319"/>
    </row>
    <row r="128" spans="1:100" ht="15.75" customHeight="1">
      <c r="A128" s="2371"/>
      <c r="B128" s="2319"/>
      <c r="C128" s="2319"/>
      <c r="D128" s="2318"/>
      <c r="E128" s="2319"/>
      <c r="F128" s="2319"/>
      <c r="G128" s="2319"/>
      <c r="H128" s="2319"/>
      <c r="I128" s="2319"/>
      <c r="J128" s="2319"/>
      <c r="K128" s="2319"/>
      <c r="L128" s="2319"/>
      <c r="M128" s="2319"/>
      <c r="N128" s="2319"/>
      <c r="O128" s="2319"/>
      <c r="P128" s="2319"/>
      <c r="Q128" s="2319"/>
      <c r="R128" s="2319"/>
      <c r="S128" s="2319"/>
      <c r="T128" s="2319"/>
      <c r="U128" s="2319"/>
      <c r="V128" s="2319"/>
      <c r="W128" s="2319"/>
      <c r="X128" s="2319"/>
      <c r="Y128" s="2319"/>
      <c r="Z128" s="2319"/>
      <c r="AA128" s="2319"/>
      <c r="AB128" s="2319"/>
      <c r="AC128" s="2319"/>
      <c r="AD128" s="2319"/>
      <c r="AE128" s="2319"/>
      <c r="AF128" s="2319"/>
      <c r="AG128" s="2319"/>
      <c r="AH128" s="2319"/>
      <c r="AI128" s="2319"/>
      <c r="AJ128" s="2319"/>
      <c r="AK128" s="2319"/>
      <c r="AL128" s="2319"/>
      <c r="AM128" s="2319"/>
      <c r="AN128" s="2319"/>
      <c r="AO128" s="2319"/>
      <c r="AP128" s="2319"/>
      <c r="AQ128" s="2319"/>
      <c r="AR128" s="2319"/>
      <c r="AS128" s="2319"/>
      <c r="AT128" s="2319"/>
      <c r="AU128" s="2319"/>
      <c r="AV128" s="2319"/>
      <c r="AW128" s="2319"/>
      <c r="AX128" s="2319"/>
      <c r="AY128" s="2319"/>
      <c r="AZ128" s="2319"/>
      <c r="BA128" s="2319"/>
      <c r="BB128" s="2319"/>
      <c r="BC128" s="2319"/>
      <c r="BD128" s="2319"/>
      <c r="BE128" s="2319"/>
      <c r="BF128" s="2319"/>
      <c r="BG128" s="2319"/>
      <c r="BH128" s="2319"/>
      <c r="BI128" s="2319"/>
      <c r="BJ128" s="2319"/>
      <c r="BK128" s="2319"/>
      <c r="BL128" s="2319"/>
      <c r="BM128" s="2319"/>
      <c r="BN128" s="2319"/>
      <c r="BO128" s="2319"/>
      <c r="BP128" s="2319"/>
      <c r="BQ128" s="2319"/>
      <c r="BR128" s="2319"/>
      <c r="BS128" s="2319"/>
      <c r="BT128" s="2319"/>
      <c r="BU128" s="2319"/>
      <c r="BV128" s="2319"/>
      <c r="BW128" s="2319"/>
      <c r="BX128" s="2319"/>
      <c r="BY128" s="2319"/>
      <c r="BZ128" s="2319"/>
      <c r="CA128" s="2319"/>
      <c r="CB128" s="2319"/>
      <c r="CC128" s="2319"/>
      <c r="CD128" s="2319"/>
      <c r="CE128" s="2319"/>
      <c r="CF128" s="2319"/>
      <c r="CG128" s="2319"/>
      <c r="CH128" s="2319"/>
      <c r="CI128" s="2319"/>
      <c r="CJ128" s="2319"/>
      <c r="CK128" s="2319"/>
      <c r="CL128" s="2319"/>
      <c r="CM128" s="2319"/>
      <c r="CN128" s="2319"/>
      <c r="CO128" s="2319"/>
      <c r="CP128" s="2319"/>
      <c r="CQ128" s="2319"/>
      <c r="CR128" s="2319"/>
      <c r="CS128" s="2319"/>
      <c r="CT128" s="2319"/>
      <c r="CU128" s="2319"/>
      <c r="CV128" s="2319"/>
    </row>
    <row r="129" spans="1:100" ht="15.75" customHeight="1">
      <c r="A129" s="2371"/>
      <c r="B129" s="2319"/>
      <c r="C129" s="2319"/>
      <c r="D129" s="2318"/>
      <c r="E129" s="2319"/>
      <c r="F129" s="2319"/>
      <c r="G129" s="2319"/>
      <c r="H129" s="2319"/>
      <c r="I129" s="2319"/>
      <c r="J129" s="2319"/>
      <c r="K129" s="2319"/>
      <c r="L129" s="2319"/>
      <c r="M129" s="2319"/>
      <c r="N129" s="2319"/>
      <c r="O129" s="2319"/>
      <c r="P129" s="2319"/>
      <c r="Q129" s="2319"/>
      <c r="R129" s="2319"/>
      <c r="S129" s="2319"/>
      <c r="T129" s="2319"/>
      <c r="U129" s="2319"/>
      <c r="V129" s="2319"/>
      <c r="W129" s="2319"/>
      <c r="X129" s="2319"/>
      <c r="Y129" s="2319"/>
      <c r="Z129" s="2319"/>
      <c r="AA129" s="2319"/>
      <c r="AB129" s="2319"/>
      <c r="AC129" s="2319"/>
      <c r="AD129" s="2319"/>
      <c r="AE129" s="2319"/>
      <c r="AF129" s="2319"/>
      <c r="AG129" s="2319"/>
      <c r="AH129" s="2319"/>
      <c r="AI129" s="2319"/>
      <c r="AJ129" s="2319"/>
      <c r="AK129" s="2319"/>
      <c r="AL129" s="2319"/>
      <c r="AM129" s="2319"/>
      <c r="AN129" s="2319"/>
      <c r="AO129" s="2319"/>
      <c r="AP129" s="2319"/>
      <c r="AQ129" s="2319"/>
      <c r="AR129" s="2319"/>
      <c r="AS129" s="2319"/>
      <c r="AT129" s="2319"/>
      <c r="AU129" s="2319"/>
      <c r="AV129" s="2319"/>
      <c r="AW129" s="2319"/>
      <c r="AX129" s="2319"/>
      <c r="AY129" s="2319"/>
      <c r="AZ129" s="2319"/>
      <c r="BA129" s="2319"/>
      <c r="BB129" s="2319"/>
      <c r="BC129" s="2319"/>
      <c r="BD129" s="2319"/>
      <c r="BE129" s="2319"/>
      <c r="BF129" s="2319"/>
      <c r="BG129" s="2319"/>
      <c r="BH129" s="2319"/>
      <c r="BI129" s="2319"/>
      <c r="BJ129" s="2319"/>
      <c r="BK129" s="2319"/>
      <c r="BL129" s="2319"/>
      <c r="BM129" s="2319"/>
      <c r="BN129" s="2319"/>
      <c r="BO129" s="2319"/>
      <c r="BP129" s="2319"/>
      <c r="BQ129" s="2319"/>
      <c r="BR129" s="2319"/>
      <c r="BS129" s="2319"/>
      <c r="BT129" s="2319"/>
      <c r="BU129" s="2319"/>
      <c r="BV129" s="2319"/>
      <c r="BW129" s="2319"/>
      <c r="BX129" s="2319"/>
      <c r="BY129" s="2319"/>
      <c r="BZ129" s="2319"/>
      <c r="CA129" s="2319"/>
      <c r="CB129" s="2319"/>
      <c r="CC129" s="2319"/>
      <c r="CD129" s="2319"/>
      <c r="CE129" s="2319"/>
      <c r="CF129" s="2319"/>
      <c r="CG129" s="2319"/>
      <c r="CH129" s="2319"/>
      <c r="CI129" s="2319"/>
      <c r="CJ129" s="2319"/>
      <c r="CK129" s="2319"/>
      <c r="CL129" s="2319"/>
      <c r="CM129" s="2319"/>
      <c r="CN129" s="2319"/>
      <c r="CO129" s="2319"/>
      <c r="CP129" s="2319"/>
      <c r="CQ129" s="2319"/>
      <c r="CR129" s="2319"/>
      <c r="CS129" s="2319"/>
      <c r="CT129" s="2319"/>
      <c r="CU129" s="2319"/>
      <c r="CV129" s="2319"/>
    </row>
    <row r="130" spans="1:100" ht="15.75" customHeight="1">
      <c r="A130" s="2371"/>
      <c r="B130" s="2319"/>
      <c r="C130" s="2319"/>
      <c r="D130" s="2318"/>
      <c r="E130" s="2319"/>
      <c r="F130" s="2319"/>
      <c r="G130" s="2319"/>
      <c r="H130" s="2319"/>
      <c r="I130" s="2319"/>
      <c r="J130" s="2319"/>
      <c r="K130" s="2319"/>
      <c r="L130" s="2319"/>
      <c r="M130" s="2319"/>
      <c r="N130" s="2319"/>
      <c r="O130" s="2319"/>
      <c r="P130" s="2319"/>
      <c r="Q130" s="2319"/>
      <c r="R130" s="2319"/>
      <c r="S130" s="2319"/>
      <c r="T130" s="2319"/>
      <c r="U130" s="2319"/>
      <c r="V130" s="2319"/>
      <c r="W130" s="2319"/>
      <c r="X130" s="2319"/>
      <c r="Y130" s="2319"/>
      <c r="Z130" s="2319"/>
      <c r="AA130" s="2319"/>
      <c r="AB130" s="2319"/>
      <c r="AC130" s="2319"/>
      <c r="AD130" s="2319"/>
      <c r="AE130" s="2319"/>
      <c r="AF130" s="2319"/>
      <c r="AG130" s="2319"/>
      <c r="AH130" s="2319"/>
      <c r="AI130" s="2319"/>
      <c r="AJ130" s="2319"/>
      <c r="AK130" s="2319"/>
      <c r="AL130" s="2319"/>
      <c r="AM130" s="2319"/>
      <c r="AN130" s="2319"/>
      <c r="AO130" s="2319"/>
      <c r="AP130" s="2319"/>
      <c r="AQ130" s="2319"/>
      <c r="AR130" s="2319"/>
      <c r="AS130" s="2319"/>
      <c r="AT130" s="2319"/>
      <c r="AU130" s="2319"/>
      <c r="AV130" s="2319"/>
      <c r="AW130" s="2319"/>
      <c r="AX130" s="2319"/>
      <c r="AY130" s="2319"/>
      <c r="AZ130" s="2319"/>
      <c r="BA130" s="2319"/>
      <c r="BB130" s="2319"/>
      <c r="BC130" s="2319"/>
      <c r="BD130" s="2319"/>
      <c r="BE130" s="2319"/>
      <c r="BF130" s="2319"/>
      <c r="BG130" s="2319"/>
      <c r="BH130" s="2319"/>
      <c r="BI130" s="2319"/>
      <c r="BJ130" s="2319"/>
      <c r="BK130" s="2319"/>
      <c r="BL130" s="2319"/>
      <c r="BM130" s="2319"/>
      <c r="BN130" s="2319"/>
      <c r="BO130" s="2319"/>
      <c r="BP130" s="2319"/>
      <c r="BQ130" s="2319"/>
      <c r="BR130" s="2319"/>
      <c r="BS130" s="2319"/>
      <c r="BT130" s="2319"/>
      <c r="BU130" s="2319"/>
      <c r="BV130" s="2319"/>
      <c r="BW130" s="2319"/>
      <c r="BX130" s="2319"/>
      <c r="BY130" s="2319"/>
      <c r="BZ130" s="2319"/>
      <c r="CA130" s="2319"/>
      <c r="CB130" s="2319"/>
      <c r="CC130" s="2319"/>
      <c r="CD130" s="2319"/>
      <c r="CE130" s="2319"/>
      <c r="CF130" s="2319"/>
      <c r="CG130" s="2319"/>
      <c r="CH130" s="2319"/>
      <c r="CI130" s="2319"/>
      <c r="CJ130" s="2319"/>
      <c r="CK130" s="2319"/>
      <c r="CL130" s="2319"/>
      <c r="CM130" s="2319"/>
      <c r="CN130" s="2319"/>
      <c r="CO130" s="2319"/>
      <c r="CP130" s="2319"/>
      <c r="CQ130" s="2319"/>
      <c r="CR130" s="2319"/>
      <c r="CS130" s="2319"/>
      <c r="CT130" s="2319"/>
      <c r="CU130" s="2319"/>
      <c r="CV130" s="2319"/>
    </row>
    <row r="131" spans="1:100" ht="15.75" customHeight="1">
      <c r="A131" s="2371"/>
      <c r="B131" s="2319"/>
      <c r="C131" s="2319"/>
      <c r="D131" s="2318"/>
      <c r="E131" s="2319"/>
      <c r="F131" s="2319"/>
      <c r="G131" s="2319"/>
      <c r="H131" s="2319"/>
      <c r="I131" s="2319"/>
      <c r="J131" s="2319"/>
      <c r="K131" s="2319"/>
      <c r="L131" s="2319"/>
      <c r="M131" s="2319"/>
      <c r="N131" s="2319"/>
      <c r="O131" s="2319"/>
      <c r="P131" s="2319"/>
      <c r="Q131" s="2319"/>
      <c r="R131" s="2319"/>
      <c r="S131" s="2319"/>
      <c r="T131" s="2319"/>
      <c r="U131" s="2319"/>
      <c r="V131" s="2319"/>
      <c r="W131" s="2319"/>
      <c r="X131" s="2319"/>
      <c r="Y131" s="2319"/>
      <c r="Z131" s="2319"/>
      <c r="AA131" s="2319"/>
      <c r="AB131" s="2319"/>
      <c r="AC131" s="2319"/>
      <c r="AD131" s="2319"/>
      <c r="AE131" s="2319"/>
      <c r="AF131" s="2319"/>
      <c r="AG131" s="2319"/>
      <c r="AH131" s="2319"/>
      <c r="AI131" s="2319"/>
      <c r="AJ131" s="2319"/>
      <c r="AK131" s="2319"/>
      <c r="AL131" s="2319"/>
      <c r="AM131" s="2319"/>
      <c r="AN131" s="2319"/>
      <c r="AO131" s="2319"/>
      <c r="AP131" s="2319"/>
      <c r="AQ131" s="2319"/>
      <c r="AR131" s="2319"/>
      <c r="AS131" s="2319"/>
      <c r="AT131" s="2319"/>
      <c r="AU131" s="2319"/>
      <c r="AV131" s="2319"/>
      <c r="AW131" s="2319"/>
      <c r="AX131" s="2319"/>
      <c r="AY131" s="2319"/>
      <c r="AZ131" s="2319"/>
      <c r="BA131" s="2319"/>
      <c r="BB131" s="2319"/>
      <c r="BC131" s="2319"/>
      <c r="BD131" s="2319"/>
      <c r="BE131" s="2319"/>
      <c r="BF131" s="2319"/>
      <c r="BG131" s="2319"/>
      <c r="BH131" s="2319"/>
      <c r="BI131" s="2319"/>
      <c r="BJ131" s="2319"/>
      <c r="BK131" s="2319"/>
      <c r="BL131" s="2319"/>
      <c r="BM131" s="2319"/>
      <c r="BN131" s="2319"/>
      <c r="BO131" s="2319"/>
      <c r="BP131" s="2319"/>
      <c r="BQ131" s="2319"/>
      <c r="BR131" s="2319"/>
      <c r="BS131" s="2319"/>
      <c r="BT131" s="2319"/>
      <c r="BU131" s="2319"/>
      <c r="BV131" s="2319"/>
      <c r="BW131" s="2319"/>
      <c r="BX131" s="2319"/>
      <c r="BY131" s="2319"/>
      <c r="BZ131" s="2319"/>
      <c r="CA131" s="2319"/>
      <c r="CB131" s="2319"/>
      <c r="CC131" s="2319"/>
      <c r="CD131" s="2319"/>
      <c r="CE131" s="2319"/>
      <c r="CF131" s="2319"/>
      <c r="CG131" s="2319"/>
      <c r="CH131" s="2319"/>
      <c r="CI131" s="2319"/>
      <c r="CJ131" s="2319"/>
      <c r="CK131" s="2319"/>
      <c r="CL131" s="2319"/>
      <c r="CM131" s="2319"/>
      <c r="CN131" s="2319"/>
      <c r="CO131" s="2319"/>
      <c r="CP131" s="2319"/>
      <c r="CQ131" s="2319"/>
      <c r="CR131" s="2319"/>
      <c r="CS131" s="2319"/>
      <c r="CT131" s="2319"/>
      <c r="CU131" s="2319"/>
      <c r="CV131" s="2319"/>
    </row>
    <row r="132" spans="1:100" ht="15.75" customHeight="1">
      <c r="A132" s="2371"/>
      <c r="B132" s="2319"/>
      <c r="C132" s="2319"/>
      <c r="D132" s="2318"/>
      <c r="E132" s="2319"/>
      <c r="F132" s="2319"/>
      <c r="G132" s="2319"/>
      <c r="H132" s="2319"/>
      <c r="I132" s="2319"/>
      <c r="J132" s="2319"/>
      <c r="K132" s="2319"/>
      <c r="L132" s="2319"/>
      <c r="M132" s="2319"/>
      <c r="N132" s="2319"/>
      <c r="O132" s="2319"/>
      <c r="P132" s="2319"/>
      <c r="Q132" s="2319"/>
      <c r="R132" s="2319"/>
      <c r="S132" s="2319"/>
      <c r="T132" s="2319"/>
      <c r="U132" s="2319"/>
      <c r="V132" s="2319"/>
      <c r="W132" s="2319"/>
      <c r="X132" s="2319"/>
      <c r="Y132" s="2319"/>
      <c r="Z132" s="2319"/>
      <c r="AA132" s="2319"/>
      <c r="AB132" s="2319"/>
      <c r="AC132" s="2319"/>
      <c r="AD132" s="2319"/>
      <c r="AE132" s="2319"/>
      <c r="AF132" s="2319"/>
      <c r="AG132" s="2319"/>
      <c r="AH132" s="2319"/>
      <c r="AI132" s="2319"/>
      <c r="AJ132" s="2319"/>
      <c r="AK132" s="2319"/>
      <c r="AL132" s="2319"/>
      <c r="AM132" s="2319"/>
      <c r="AN132" s="2319"/>
      <c r="AO132" s="2319"/>
      <c r="AP132" s="2319"/>
      <c r="AQ132" s="2319"/>
      <c r="AR132" s="2319"/>
      <c r="AS132" s="2319"/>
      <c r="AT132" s="2319"/>
      <c r="AU132" s="2319"/>
      <c r="AV132" s="2319"/>
      <c r="AW132" s="2319"/>
      <c r="AX132" s="2319"/>
      <c r="AY132" s="2319"/>
      <c r="AZ132" s="2319"/>
      <c r="BA132" s="2319"/>
      <c r="BB132" s="2319"/>
      <c r="BC132" s="2319"/>
      <c r="BD132" s="2319"/>
      <c r="BE132" s="2319"/>
      <c r="BF132" s="2319"/>
      <c r="BG132" s="2319"/>
      <c r="BH132" s="2319"/>
      <c r="BI132" s="2319"/>
      <c r="BJ132" s="2319"/>
      <c r="BK132" s="2319"/>
      <c r="BL132" s="2319"/>
      <c r="BM132" s="2319"/>
      <c r="BN132" s="2319"/>
      <c r="BO132" s="2319"/>
      <c r="BP132" s="2319"/>
      <c r="BQ132" s="2319"/>
      <c r="BR132" s="2319"/>
      <c r="BS132" s="2319"/>
      <c r="BT132" s="2319"/>
      <c r="BU132" s="2319"/>
      <c r="BV132" s="2319"/>
      <c r="BW132" s="2319"/>
      <c r="BX132" s="2319"/>
      <c r="BY132" s="2319"/>
      <c r="BZ132" s="2319"/>
      <c r="CA132" s="2319"/>
      <c r="CB132" s="2319"/>
      <c r="CC132" s="2319"/>
      <c r="CD132" s="2319"/>
      <c r="CE132" s="2319"/>
      <c r="CF132" s="2319"/>
      <c r="CG132" s="2319"/>
      <c r="CH132" s="2319"/>
      <c r="CI132" s="2319"/>
      <c r="CJ132" s="2319"/>
      <c r="CK132" s="2319"/>
      <c r="CL132" s="2319"/>
      <c r="CM132" s="2319"/>
      <c r="CN132" s="2319"/>
      <c r="CO132" s="2319"/>
      <c r="CP132" s="2319"/>
      <c r="CQ132" s="2319"/>
      <c r="CR132" s="2319"/>
      <c r="CS132" s="2319"/>
      <c r="CT132" s="2319"/>
      <c r="CU132" s="2319"/>
      <c r="CV132" s="2319"/>
    </row>
    <row r="133" spans="1:100" ht="15.75" customHeight="1">
      <c r="A133" s="2371"/>
      <c r="B133" s="2319"/>
      <c r="C133" s="2319"/>
      <c r="D133" s="2318"/>
      <c r="E133" s="2319"/>
      <c r="F133" s="2319"/>
      <c r="G133" s="2319"/>
      <c r="H133" s="2319"/>
      <c r="I133" s="2319"/>
      <c r="J133" s="2319"/>
      <c r="K133" s="2319"/>
      <c r="L133" s="2319"/>
      <c r="M133" s="2319"/>
      <c r="N133" s="2319"/>
      <c r="O133" s="2319"/>
      <c r="P133" s="2319"/>
      <c r="Q133" s="2319"/>
      <c r="R133" s="2319"/>
      <c r="S133" s="2319"/>
      <c r="T133" s="2319"/>
      <c r="U133" s="2319"/>
      <c r="V133" s="2319"/>
      <c r="W133" s="2319"/>
      <c r="X133" s="2319"/>
      <c r="Y133" s="2319"/>
      <c r="Z133" s="2319"/>
      <c r="AA133" s="2319"/>
      <c r="AB133" s="2319"/>
      <c r="AC133" s="2319"/>
      <c r="AD133" s="2319"/>
      <c r="AE133" s="2319"/>
      <c r="AF133" s="2319"/>
      <c r="AG133" s="2319"/>
      <c r="AH133" s="2319"/>
      <c r="AI133" s="2319"/>
      <c r="AJ133" s="2319"/>
      <c r="AK133" s="2319"/>
      <c r="AL133" s="2319"/>
      <c r="AM133" s="2319"/>
      <c r="AN133" s="2319"/>
      <c r="AO133" s="2319"/>
      <c r="AP133" s="2319"/>
      <c r="AQ133" s="2319"/>
      <c r="AR133" s="2319"/>
      <c r="AS133" s="2319"/>
      <c r="AT133" s="2319"/>
      <c r="AU133" s="2319"/>
      <c r="AV133" s="2319"/>
      <c r="AW133" s="2319"/>
      <c r="AX133" s="2319"/>
      <c r="AY133" s="2319"/>
      <c r="AZ133" s="2319"/>
      <c r="BA133" s="2319"/>
      <c r="BB133" s="2319"/>
      <c r="BC133" s="2319"/>
      <c r="BD133" s="2319"/>
      <c r="BE133" s="2319"/>
      <c r="BF133" s="2319"/>
      <c r="BG133" s="2319"/>
      <c r="BH133" s="2319"/>
      <c r="BI133" s="2319"/>
      <c r="BJ133" s="2319"/>
      <c r="BK133" s="2319"/>
      <c r="BL133" s="2319"/>
      <c r="BM133" s="2319"/>
      <c r="BN133" s="2319"/>
      <c r="BO133" s="2319"/>
      <c r="BP133" s="2319"/>
      <c r="BQ133" s="2319"/>
      <c r="BR133" s="2319"/>
      <c r="BS133" s="2319"/>
      <c r="BT133" s="2319"/>
      <c r="BU133" s="2319"/>
      <c r="BV133" s="2319"/>
      <c r="BW133" s="2319"/>
      <c r="BX133" s="2319"/>
      <c r="BY133" s="2319"/>
      <c r="BZ133" s="2319"/>
      <c r="CA133" s="2319"/>
      <c r="CB133" s="2319"/>
      <c r="CC133" s="2319"/>
      <c r="CD133" s="2319"/>
      <c r="CE133" s="2319"/>
      <c r="CF133" s="2319"/>
      <c r="CG133" s="2319"/>
      <c r="CH133" s="2319"/>
      <c r="CI133" s="2319"/>
      <c r="CJ133" s="2319"/>
      <c r="CK133" s="2319"/>
      <c r="CL133" s="2319"/>
      <c r="CM133" s="2319"/>
      <c r="CN133" s="2319"/>
      <c r="CO133" s="2319"/>
      <c r="CP133" s="2319"/>
      <c r="CQ133" s="2319"/>
      <c r="CR133" s="2319"/>
      <c r="CS133" s="2319"/>
      <c r="CT133" s="2319"/>
      <c r="CU133" s="2319"/>
      <c r="CV133" s="2319"/>
    </row>
    <row r="134" spans="1:100" ht="15.75" customHeight="1">
      <c r="A134" s="2371"/>
      <c r="B134" s="2319"/>
      <c r="C134" s="2319"/>
      <c r="D134" s="2318"/>
      <c r="E134" s="2319"/>
      <c r="F134" s="2319"/>
      <c r="G134" s="2319"/>
      <c r="H134" s="2319"/>
      <c r="I134" s="2319"/>
      <c r="J134" s="2319"/>
      <c r="K134" s="2319"/>
      <c r="L134" s="2319"/>
      <c r="M134" s="2319"/>
      <c r="N134" s="2319"/>
      <c r="O134" s="2319"/>
      <c r="P134" s="2319"/>
      <c r="Q134" s="2319"/>
      <c r="R134" s="2319"/>
      <c r="S134" s="2319"/>
      <c r="T134" s="2319"/>
      <c r="U134" s="2319"/>
      <c r="V134" s="2319"/>
      <c r="W134" s="2319"/>
      <c r="X134" s="2319"/>
      <c r="Y134" s="2319"/>
      <c r="Z134" s="2319"/>
      <c r="AA134" s="2319"/>
      <c r="AB134" s="2319"/>
      <c r="AC134" s="2319"/>
      <c r="AD134" s="2319"/>
      <c r="AE134" s="2319"/>
      <c r="AF134" s="2319"/>
      <c r="AG134" s="2319"/>
      <c r="AH134" s="2319"/>
      <c r="AI134" s="2319"/>
      <c r="AJ134" s="2319"/>
      <c r="AK134" s="2319"/>
      <c r="AL134" s="2319"/>
      <c r="AM134" s="2319"/>
      <c r="AN134" s="2319"/>
      <c r="AO134" s="2319"/>
      <c r="AP134" s="2319"/>
      <c r="AQ134" s="2319"/>
      <c r="AR134" s="2319"/>
      <c r="AS134" s="2319"/>
      <c r="AT134" s="2319"/>
      <c r="AU134" s="2319"/>
      <c r="AV134" s="2319"/>
      <c r="AW134" s="2319"/>
      <c r="AX134" s="2319"/>
      <c r="AY134" s="2319"/>
      <c r="AZ134" s="2319"/>
      <c r="BA134" s="2319"/>
      <c r="BB134" s="2319"/>
      <c r="BC134" s="2319"/>
      <c r="BD134" s="2319"/>
      <c r="BE134" s="2319"/>
      <c r="BF134" s="2319"/>
      <c r="BG134" s="2319"/>
      <c r="BH134" s="2319"/>
      <c r="BI134" s="2319"/>
      <c r="BJ134" s="2319"/>
      <c r="BK134" s="2319"/>
      <c r="BL134" s="2319"/>
      <c r="BM134" s="2319"/>
      <c r="BN134" s="2319"/>
      <c r="BO134" s="2319"/>
      <c r="BP134" s="2319"/>
      <c r="BQ134" s="2319"/>
      <c r="BR134" s="2319"/>
      <c r="BS134" s="2319"/>
      <c r="BT134" s="2319"/>
      <c r="BU134" s="2319"/>
      <c r="BV134" s="2319"/>
      <c r="BW134" s="2319"/>
      <c r="BX134" s="2319"/>
      <c r="BY134" s="2319"/>
      <c r="BZ134" s="2319"/>
      <c r="CA134" s="2319"/>
      <c r="CB134" s="2319"/>
      <c r="CC134" s="2319"/>
      <c r="CD134" s="2319"/>
      <c r="CE134" s="2319"/>
      <c r="CF134" s="2319"/>
      <c r="CG134" s="2319"/>
      <c r="CH134" s="2319"/>
      <c r="CI134" s="2319"/>
      <c r="CJ134" s="2319"/>
      <c r="CK134" s="2319"/>
      <c r="CL134" s="2319"/>
      <c r="CM134" s="2319"/>
      <c r="CN134" s="2319"/>
      <c r="CO134" s="2319"/>
      <c r="CP134" s="2319"/>
      <c r="CQ134" s="2319"/>
      <c r="CR134" s="2319"/>
      <c r="CS134" s="2319"/>
      <c r="CT134" s="2319"/>
      <c r="CU134" s="2319"/>
      <c r="CV134" s="2319"/>
    </row>
    <row r="135" spans="1:100" ht="15.75" customHeight="1">
      <c r="A135" s="2371"/>
      <c r="B135" s="2319"/>
      <c r="C135" s="2319"/>
      <c r="D135" s="2318"/>
      <c r="E135" s="2319"/>
      <c r="F135" s="2319"/>
      <c r="G135" s="2319"/>
      <c r="H135" s="2319"/>
      <c r="I135" s="2319"/>
      <c r="J135" s="2319"/>
      <c r="K135" s="2319"/>
      <c r="L135" s="2319"/>
      <c r="M135" s="2319"/>
      <c r="N135" s="2319"/>
      <c r="O135" s="2319"/>
      <c r="P135" s="2319"/>
      <c r="Q135" s="2319"/>
      <c r="R135" s="2319"/>
      <c r="S135" s="2319"/>
      <c r="T135" s="2319"/>
      <c r="U135" s="2319"/>
      <c r="V135" s="2319"/>
      <c r="W135" s="2319"/>
      <c r="X135" s="2319"/>
      <c r="Y135" s="2319"/>
      <c r="Z135" s="2319"/>
      <c r="AA135" s="2319"/>
      <c r="AB135" s="2319"/>
      <c r="AC135" s="2319"/>
      <c r="AD135" s="2319"/>
      <c r="AE135" s="2319"/>
      <c r="AF135" s="2319"/>
      <c r="AG135" s="2319"/>
      <c r="AH135" s="2319"/>
      <c r="AI135" s="2319"/>
      <c r="AJ135" s="2319"/>
      <c r="AK135" s="2319"/>
      <c r="AL135" s="2319"/>
      <c r="AM135" s="2319"/>
      <c r="AN135" s="2319"/>
      <c r="AO135" s="2319"/>
      <c r="AP135" s="2319"/>
      <c r="AQ135" s="2319"/>
      <c r="AR135" s="2319"/>
      <c r="AS135" s="2319"/>
      <c r="AT135" s="2319"/>
      <c r="AU135" s="2319"/>
      <c r="AV135" s="2319"/>
      <c r="AW135" s="2319"/>
      <c r="AX135" s="2319"/>
      <c r="AY135" s="2319"/>
      <c r="AZ135" s="2319"/>
      <c r="BA135" s="2319"/>
      <c r="BB135" s="2319"/>
      <c r="BC135" s="2319"/>
      <c r="BD135" s="2319"/>
      <c r="BE135" s="2319"/>
      <c r="BF135" s="2319"/>
      <c r="BG135" s="2319"/>
      <c r="BH135" s="2319"/>
      <c r="BI135" s="2319"/>
      <c r="BJ135" s="2319"/>
      <c r="BK135" s="2319"/>
      <c r="BL135" s="2319"/>
      <c r="BM135" s="2319"/>
      <c r="BN135" s="2319"/>
      <c r="BO135" s="2319"/>
      <c r="BP135" s="2319"/>
      <c r="BQ135" s="2319"/>
      <c r="BR135" s="2319"/>
      <c r="BS135" s="2319"/>
      <c r="BT135" s="2319"/>
      <c r="BU135" s="2319"/>
      <c r="BV135" s="2319"/>
      <c r="BW135" s="2319"/>
      <c r="BX135" s="2319"/>
      <c r="BY135" s="2319"/>
      <c r="BZ135" s="2319"/>
      <c r="CA135" s="2319"/>
      <c r="CB135" s="2319"/>
      <c r="CC135" s="2319"/>
      <c r="CD135" s="2319"/>
      <c r="CE135" s="2319"/>
      <c r="CF135" s="2319"/>
      <c r="CG135" s="2319"/>
      <c r="CH135" s="2319"/>
      <c r="CI135" s="2319"/>
      <c r="CJ135" s="2319"/>
      <c r="CK135" s="2319"/>
      <c r="CL135" s="2319"/>
      <c r="CM135" s="2319"/>
      <c r="CN135" s="2319"/>
      <c r="CO135" s="2319"/>
      <c r="CP135" s="2319"/>
      <c r="CQ135" s="2319"/>
      <c r="CR135" s="2319"/>
      <c r="CS135" s="2319"/>
      <c r="CT135" s="2319"/>
      <c r="CU135" s="2319"/>
      <c r="CV135" s="2319"/>
    </row>
    <row r="136" spans="1:100" ht="15.75" customHeight="1">
      <c r="A136" s="2371"/>
      <c r="B136" s="2319"/>
      <c r="C136" s="2319"/>
      <c r="D136" s="2318"/>
      <c r="E136" s="2319"/>
      <c r="F136" s="2319"/>
      <c r="G136" s="2319"/>
      <c r="H136" s="2319"/>
      <c r="I136" s="2319"/>
      <c r="J136" s="2319"/>
      <c r="K136" s="2319"/>
      <c r="L136" s="2319"/>
      <c r="M136" s="2319"/>
      <c r="N136" s="2319"/>
      <c r="O136" s="2319"/>
      <c r="P136" s="2319"/>
      <c r="Q136" s="2319"/>
      <c r="R136" s="2319"/>
      <c r="S136" s="2319"/>
      <c r="T136" s="2319"/>
      <c r="U136" s="2319"/>
      <c r="V136" s="2319"/>
      <c r="W136" s="2319"/>
      <c r="X136" s="2319"/>
      <c r="Y136" s="2319"/>
      <c r="Z136" s="2319"/>
      <c r="AA136" s="2319"/>
      <c r="AB136" s="2319"/>
      <c r="AC136" s="2319"/>
      <c r="AD136" s="2319"/>
      <c r="AE136" s="2319"/>
      <c r="AF136" s="2319"/>
      <c r="AG136" s="2319"/>
      <c r="AH136" s="2319"/>
      <c r="AI136" s="2319"/>
      <c r="AJ136" s="2319"/>
      <c r="AK136" s="2319"/>
      <c r="AL136" s="2319"/>
      <c r="AM136" s="2319"/>
      <c r="AN136" s="2319"/>
      <c r="AO136" s="2319"/>
      <c r="AP136" s="2319"/>
      <c r="AQ136" s="2319"/>
      <c r="AR136" s="2319"/>
      <c r="AS136" s="2319"/>
      <c r="AT136" s="2319"/>
      <c r="AU136" s="2319"/>
      <c r="AV136" s="2319"/>
      <c r="AW136" s="2319"/>
      <c r="AX136" s="2319"/>
      <c r="AY136" s="2319"/>
      <c r="AZ136" s="2319"/>
      <c r="BA136" s="2319"/>
      <c r="BB136" s="2319"/>
      <c r="BC136" s="2319"/>
      <c r="BD136" s="2319"/>
      <c r="BE136" s="2319"/>
      <c r="BF136" s="2319"/>
      <c r="BG136" s="2319"/>
      <c r="BH136" s="2319"/>
      <c r="BI136" s="2319"/>
      <c r="BJ136" s="2319"/>
      <c r="BK136" s="2319"/>
      <c r="BL136" s="2319"/>
      <c r="BM136" s="2319"/>
      <c r="BN136" s="2319"/>
      <c r="BO136" s="2319"/>
      <c r="BP136" s="2319"/>
      <c r="BQ136" s="2319"/>
      <c r="BR136" s="2319"/>
      <c r="BS136" s="2319"/>
      <c r="BT136" s="2319"/>
      <c r="BU136" s="2319"/>
      <c r="BV136" s="2319"/>
      <c r="BW136" s="2319"/>
      <c r="BX136" s="2319"/>
      <c r="BY136" s="2319"/>
      <c r="BZ136" s="2319"/>
      <c r="CA136" s="2319"/>
      <c r="CB136" s="2319"/>
      <c r="CC136" s="2319"/>
      <c r="CD136" s="2319"/>
      <c r="CE136" s="2319"/>
      <c r="CF136" s="2319"/>
      <c r="CG136" s="2319"/>
      <c r="CH136" s="2319"/>
      <c r="CI136" s="2319"/>
      <c r="CJ136" s="2319"/>
      <c r="CK136" s="2319"/>
      <c r="CL136" s="2319"/>
      <c r="CM136" s="2319"/>
      <c r="CN136" s="2319"/>
      <c r="CO136" s="2319"/>
      <c r="CP136" s="2319"/>
      <c r="CQ136" s="2319"/>
      <c r="CR136" s="2319"/>
      <c r="CS136" s="2319"/>
      <c r="CT136" s="2319"/>
      <c r="CU136" s="2319"/>
      <c r="CV136" s="2319"/>
    </row>
    <row r="137" spans="1:100" ht="15.75" customHeight="1">
      <c r="A137" s="2371"/>
      <c r="B137" s="2319"/>
      <c r="C137" s="2319"/>
      <c r="D137" s="2318"/>
      <c r="E137" s="2319"/>
      <c r="F137" s="2319"/>
      <c r="G137" s="2319"/>
      <c r="H137" s="2319"/>
      <c r="I137" s="2319"/>
      <c r="J137" s="2319"/>
      <c r="K137" s="2319"/>
      <c r="L137" s="2319"/>
      <c r="M137" s="2319"/>
      <c r="N137" s="2319"/>
      <c r="O137" s="2319"/>
      <c r="P137" s="2319"/>
      <c r="Q137" s="2319"/>
      <c r="R137" s="2319"/>
      <c r="S137" s="2319"/>
      <c r="T137" s="2319"/>
      <c r="U137" s="2319"/>
      <c r="V137" s="2319"/>
      <c r="W137" s="2319"/>
      <c r="X137" s="2319"/>
      <c r="Y137" s="2319"/>
      <c r="Z137" s="2319"/>
      <c r="AA137" s="2319"/>
      <c r="AB137" s="2319"/>
      <c r="AC137" s="2319"/>
      <c r="AD137" s="2319"/>
      <c r="AE137" s="2319"/>
      <c r="AF137" s="2319"/>
      <c r="AG137" s="2319"/>
      <c r="AH137" s="2319"/>
      <c r="AI137" s="2319"/>
      <c r="AJ137" s="2319"/>
      <c r="AK137" s="2319"/>
      <c r="AL137" s="2319"/>
      <c r="AM137" s="2319"/>
      <c r="AN137" s="2319"/>
      <c r="AO137" s="2319"/>
      <c r="AP137" s="2319"/>
      <c r="AQ137" s="2319"/>
      <c r="AR137" s="2319"/>
      <c r="AS137" s="2319"/>
      <c r="AT137" s="2319"/>
      <c r="AU137" s="2319"/>
      <c r="AV137" s="2319"/>
      <c r="AW137" s="2319"/>
      <c r="AX137" s="2319"/>
      <c r="AY137" s="2319"/>
      <c r="AZ137" s="2319"/>
      <c r="BA137" s="2319"/>
      <c r="BB137" s="2319"/>
      <c r="BC137" s="2319"/>
      <c r="BD137" s="2319"/>
      <c r="BE137" s="2319"/>
      <c r="BF137" s="2319"/>
      <c r="BG137" s="2319"/>
      <c r="BH137" s="2319"/>
      <c r="BI137" s="2319"/>
      <c r="BJ137" s="2319"/>
      <c r="BK137" s="2319"/>
      <c r="BL137" s="2319"/>
      <c r="BM137" s="2319"/>
      <c r="BN137" s="2319"/>
      <c r="BO137" s="2319"/>
      <c r="BP137" s="2319"/>
      <c r="BQ137" s="2319"/>
      <c r="BR137" s="2319"/>
      <c r="BS137" s="2319"/>
      <c r="BT137" s="2319"/>
      <c r="BU137" s="2319"/>
      <c r="BV137" s="2319"/>
      <c r="BW137" s="2319"/>
      <c r="BX137" s="2319"/>
      <c r="BY137" s="2319"/>
      <c r="BZ137" s="2319"/>
      <c r="CA137" s="2319"/>
      <c r="CB137" s="2319"/>
      <c r="CC137" s="2319"/>
      <c r="CD137" s="2319"/>
      <c r="CE137" s="2319"/>
      <c r="CF137" s="2319"/>
      <c r="CG137" s="2319"/>
      <c r="CH137" s="2319"/>
      <c r="CI137" s="2319"/>
      <c r="CJ137" s="2319"/>
      <c r="CK137" s="2319"/>
      <c r="CL137" s="2319"/>
      <c r="CM137" s="2319"/>
      <c r="CN137" s="2319"/>
      <c r="CO137" s="2319"/>
      <c r="CP137" s="2319"/>
      <c r="CQ137" s="2319"/>
      <c r="CR137" s="2319"/>
      <c r="CS137" s="2319"/>
      <c r="CT137" s="2319"/>
      <c r="CU137" s="2319"/>
      <c r="CV137" s="2319"/>
    </row>
    <row r="138" spans="1:100" ht="15.75" customHeight="1">
      <c r="A138" s="2371"/>
      <c r="B138" s="2319"/>
      <c r="C138" s="2319"/>
      <c r="D138" s="2318"/>
      <c r="E138" s="2319"/>
      <c r="F138" s="2319"/>
      <c r="G138" s="2319"/>
      <c r="H138" s="2319"/>
      <c r="I138" s="2319"/>
      <c r="J138" s="2319"/>
      <c r="K138" s="2319"/>
      <c r="L138" s="2319"/>
      <c r="M138" s="2319"/>
      <c r="N138" s="2319"/>
      <c r="O138" s="2319"/>
      <c r="P138" s="2319"/>
      <c r="Q138" s="2319"/>
      <c r="R138" s="2319"/>
      <c r="S138" s="2319"/>
      <c r="T138" s="2319"/>
      <c r="U138" s="2319"/>
      <c r="V138" s="2319"/>
      <c r="W138" s="2319"/>
      <c r="X138" s="2319"/>
      <c r="Y138" s="2319"/>
      <c r="Z138" s="2319"/>
      <c r="AA138" s="2319"/>
      <c r="AB138" s="2319"/>
      <c r="AC138" s="2319"/>
      <c r="AD138" s="2319"/>
      <c r="AE138" s="2319"/>
      <c r="AF138" s="2319"/>
      <c r="AG138" s="2319"/>
      <c r="AH138" s="2319"/>
      <c r="AI138" s="2319"/>
      <c r="AJ138" s="2319"/>
      <c r="AK138" s="2319"/>
      <c r="AL138" s="2319"/>
      <c r="AM138" s="2319"/>
      <c r="AN138" s="2319"/>
      <c r="AO138" s="2319"/>
      <c r="AP138" s="2319"/>
      <c r="AQ138" s="2319"/>
      <c r="AR138" s="2319"/>
      <c r="AS138" s="2319"/>
      <c r="AT138" s="2319"/>
      <c r="AU138" s="2319"/>
      <c r="AV138" s="2319"/>
      <c r="AW138" s="2319"/>
      <c r="AX138" s="2319"/>
      <c r="AY138" s="2319"/>
      <c r="AZ138" s="2319"/>
      <c r="BA138" s="2319"/>
      <c r="BB138" s="2319"/>
      <c r="BC138" s="2319"/>
      <c r="BD138" s="2319"/>
      <c r="BE138" s="2319"/>
      <c r="BF138" s="2319"/>
      <c r="BG138" s="2319"/>
      <c r="BH138" s="2319"/>
      <c r="BI138" s="2319"/>
      <c r="BJ138" s="2319"/>
      <c r="BK138" s="2319"/>
      <c r="BL138" s="2319"/>
      <c r="BM138" s="2319"/>
      <c r="BN138" s="2319"/>
      <c r="BO138" s="2319"/>
      <c r="BP138" s="2319"/>
      <c r="BQ138" s="2319"/>
      <c r="BR138" s="2319"/>
      <c r="BS138" s="2319"/>
      <c r="BT138" s="2319"/>
      <c r="BU138" s="2319"/>
      <c r="BV138" s="2319"/>
      <c r="BW138" s="2319"/>
      <c r="BX138" s="2319"/>
      <c r="BY138" s="2319"/>
      <c r="BZ138" s="2319"/>
      <c r="CA138" s="2319"/>
      <c r="CB138" s="2319"/>
      <c r="CC138" s="2319"/>
      <c r="CD138" s="2319"/>
      <c r="CE138" s="2319"/>
      <c r="CF138" s="2319"/>
      <c r="CG138" s="2319"/>
      <c r="CH138" s="2319"/>
      <c r="CI138" s="2319"/>
      <c r="CJ138" s="2319"/>
      <c r="CK138" s="2319"/>
      <c r="CL138" s="2319"/>
      <c r="CM138" s="2319"/>
      <c r="CN138" s="2319"/>
      <c r="CO138" s="2319"/>
      <c r="CP138" s="2319"/>
      <c r="CQ138" s="2319"/>
      <c r="CR138" s="2319"/>
      <c r="CS138" s="2319"/>
      <c r="CT138" s="2319"/>
      <c r="CU138" s="2319"/>
      <c r="CV138" s="2319"/>
    </row>
    <row r="139" spans="1:100" ht="15.75" customHeight="1">
      <c r="A139" s="2371"/>
      <c r="B139" s="2319"/>
      <c r="C139" s="2319"/>
      <c r="D139" s="2318"/>
      <c r="E139" s="2319"/>
      <c r="F139" s="2319"/>
      <c r="G139" s="2319"/>
      <c r="H139" s="2319"/>
      <c r="I139" s="2319"/>
      <c r="J139" s="2319"/>
      <c r="K139" s="2319"/>
      <c r="L139" s="2319"/>
      <c r="M139" s="2319"/>
      <c r="N139" s="2319"/>
      <c r="O139" s="2319"/>
      <c r="P139" s="2319"/>
      <c r="Q139" s="2319"/>
      <c r="R139" s="2319"/>
      <c r="S139" s="2319"/>
      <c r="T139" s="2319"/>
      <c r="U139" s="2319"/>
      <c r="V139" s="2319"/>
      <c r="W139" s="2319"/>
      <c r="X139" s="2319"/>
      <c r="Y139" s="2319"/>
      <c r="Z139" s="2319"/>
      <c r="AA139" s="2319"/>
      <c r="AB139" s="2319"/>
      <c r="AC139" s="2319"/>
      <c r="AD139" s="2319"/>
      <c r="AE139" s="2319"/>
      <c r="AF139" s="2319"/>
      <c r="AG139" s="2319"/>
      <c r="AH139" s="2319"/>
      <c r="AI139" s="2319"/>
      <c r="AJ139" s="2319"/>
      <c r="AK139" s="2319"/>
      <c r="AL139" s="2319"/>
      <c r="AM139" s="2319"/>
      <c r="AN139" s="2319"/>
      <c r="AO139" s="2319"/>
      <c r="AP139" s="2319"/>
      <c r="AQ139" s="2319"/>
      <c r="AR139" s="2319"/>
      <c r="AS139" s="2319"/>
      <c r="AT139" s="2319"/>
      <c r="AU139" s="2319"/>
      <c r="AV139" s="2319"/>
      <c r="AW139" s="2319"/>
      <c r="AX139" s="2319"/>
      <c r="AY139" s="2319"/>
      <c r="AZ139" s="2319"/>
      <c r="BA139" s="2319"/>
      <c r="BB139" s="2319"/>
      <c r="BC139" s="2319"/>
      <c r="BD139" s="2319"/>
      <c r="BE139" s="2319"/>
      <c r="BF139" s="2319"/>
      <c r="BG139" s="2319"/>
      <c r="BH139" s="2319"/>
      <c r="BI139" s="2319"/>
      <c r="BJ139" s="2319"/>
      <c r="BK139" s="2319"/>
      <c r="BL139" s="2319"/>
      <c r="BM139" s="2319"/>
      <c r="BN139" s="2319"/>
      <c r="BO139" s="2319"/>
      <c r="BP139" s="2319"/>
      <c r="BQ139" s="2319"/>
      <c r="BR139" s="2319"/>
      <c r="BS139" s="2319"/>
      <c r="BT139" s="2319"/>
      <c r="BU139" s="2319"/>
      <c r="BV139" s="2319"/>
      <c r="BW139" s="2319"/>
      <c r="BX139" s="2319"/>
      <c r="BY139" s="2319"/>
      <c r="BZ139" s="2319"/>
      <c r="CA139" s="2319"/>
      <c r="CB139" s="2319"/>
      <c r="CC139" s="2319"/>
      <c r="CD139" s="2319"/>
      <c r="CE139" s="2319"/>
      <c r="CF139" s="2319"/>
      <c r="CG139" s="2319"/>
      <c r="CH139" s="2319"/>
      <c r="CI139" s="2319"/>
      <c r="CJ139" s="2319"/>
      <c r="CK139" s="2319"/>
      <c r="CL139" s="2319"/>
      <c r="CM139" s="2319"/>
      <c r="CN139" s="2319"/>
      <c r="CO139" s="2319"/>
      <c r="CP139" s="2319"/>
      <c r="CQ139" s="2319"/>
      <c r="CR139" s="2319"/>
      <c r="CS139" s="2319"/>
      <c r="CT139" s="2319"/>
      <c r="CU139" s="2319"/>
      <c r="CV139" s="2319"/>
    </row>
    <row r="140" spans="1:100" ht="15.75" customHeight="1">
      <c r="A140" s="2371"/>
      <c r="B140" s="2319"/>
      <c r="C140" s="2319"/>
      <c r="D140" s="2318"/>
      <c r="E140" s="2319"/>
      <c r="F140" s="2319"/>
      <c r="G140" s="2319"/>
      <c r="H140" s="2319"/>
      <c r="I140" s="2319"/>
      <c r="J140" s="2319"/>
      <c r="K140" s="2319"/>
      <c r="L140" s="2319"/>
      <c r="M140" s="2319"/>
      <c r="N140" s="2319"/>
      <c r="O140" s="2319"/>
      <c r="P140" s="2319"/>
      <c r="Q140" s="2319"/>
      <c r="R140" s="2319"/>
      <c r="S140" s="2319"/>
      <c r="T140" s="2319"/>
      <c r="U140" s="2319"/>
      <c r="V140" s="2319"/>
      <c r="W140" s="2319"/>
      <c r="X140" s="2319"/>
      <c r="Y140" s="2319"/>
      <c r="Z140" s="2319"/>
      <c r="AA140" s="2319"/>
      <c r="AB140" s="2319"/>
      <c r="AC140" s="2319"/>
      <c r="AD140" s="2319"/>
      <c r="AE140" s="2319"/>
      <c r="AF140" s="2319"/>
      <c r="AG140" s="2319"/>
      <c r="AH140" s="2319"/>
      <c r="AI140" s="2319"/>
      <c r="AJ140" s="2319"/>
      <c r="AK140" s="2319"/>
      <c r="AL140" s="2319"/>
      <c r="AM140" s="2319"/>
      <c r="AN140" s="2319"/>
      <c r="AO140" s="2319"/>
      <c r="AP140" s="2319"/>
      <c r="AQ140" s="2319"/>
      <c r="AR140" s="2319"/>
      <c r="AS140" s="2319"/>
      <c r="AT140" s="2319"/>
      <c r="AU140" s="2319"/>
      <c r="AV140" s="2319"/>
      <c r="AW140" s="2319"/>
      <c r="AX140" s="2319"/>
      <c r="AY140" s="2319"/>
      <c r="AZ140" s="2319"/>
      <c r="BA140" s="2319"/>
      <c r="BB140" s="2319"/>
      <c r="BC140" s="2319"/>
      <c r="BD140" s="2319"/>
      <c r="BE140" s="2319"/>
      <c r="BF140" s="2319"/>
      <c r="BG140" s="2319"/>
      <c r="BH140" s="2319"/>
      <c r="BI140" s="2319"/>
      <c r="BJ140" s="2319"/>
      <c r="BK140" s="2319"/>
      <c r="BL140" s="2319"/>
      <c r="BM140" s="2319"/>
      <c r="BN140" s="2319"/>
      <c r="BO140" s="2319"/>
      <c r="BP140" s="2319"/>
      <c r="BQ140" s="2319"/>
      <c r="BR140" s="2319"/>
      <c r="BS140" s="2319"/>
      <c r="BT140" s="2319"/>
      <c r="BU140" s="2319"/>
      <c r="BV140" s="2319"/>
      <c r="BW140" s="2319"/>
      <c r="BX140" s="2319"/>
      <c r="BY140" s="2319"/>
      <c r="BZ140" s="2319"/>
      <c r="CA140" s="2319"/>
      <c r="CB140" s="2319"/>
      <c r="CC140" s="2319"/>
      <c r="CD140" s="2319"/>
      <c r="CE140" s="2319"/>
      <c r="CF140" s="2319"/>
      <c r="CG140" s="2319"/>
      <c r="CH140" s="2319"/>
      <c r="CI140" s="2319"/>
      <c r="CJ140" s="2319"/>
      <c r="CK140" s="2319"/>
      <c r="CL140" s="2319"/>
      <c r="CM140" s="2319"/>
      <c r="CN140" s="2319"/>
      <c r="CO140" s="2319"/>
      <c r="CP140" s="2319"/>
      <c r="CQ140" s="2319"/>
      <c r="CR140" s="2319"/>
      <c r="CS140" s="2319"/>
      <c r="CT140" s="2319"/>
      <c r="CU140" s="2319"/>
      <c r="CV140" s="2319"/>
    </row>
    <row r="141" spans="1:100" ht="15.75" customHeight="1">
      <c r="A141" s="2371"/>
      <c r="B141" s="2319"/>
      <c r="C141" s="2319"/>
      <c r="D141" s="2318"/>
      <c r="E141" s="2319"/>
      <c r="F141" s="2319"/>
      <c r="G141" s="2319"/>
      <c r="H141" s="2319"/>
      <c r="I141" s="2319"/>
      <c r="J141" s="2319"/>
      <c r="K141" s="2319"/>
      <c r="L141" s="2319"/>
      <c r="M141" s="2319"/>
      <c r="N141" s="2319"/>
      <c r="O141" s="2319"/>
      <c r="P141" s="2319"/>
      <c r="Q141" s="2319"/>
      <c r="R141" s="2319"/>
      <c r="S141" s="2319"/>
      <c r="T141" s="2319"/>
      <c r="U141" s="2319"/>
      <c r="V141" s="2319"/>
      <c r="W141" s="2319"/>
      <c r="X141" s="2319"/>
      <c r="Y141" s="2319"/>
      <c r="Z141" s="2319"/>
      <c r="AA141" s="2319"/>
      <c r="AB141" s="2319"/>
      <c r="AC141" s="2319"/>
      <c r="AD141" s="2319"/>
      <c r="AE141" s="2319"/>
      <c r="AF141" s="2319"/>
      <c r="AG141" s="2319"/>
      <c r="AH141" s="2319"/>
      <c r="AI141" s="2319"/>
      <c r="AJ141" s="2319"/>
      <c r="AK141" s="2319"/>
      <c r="AL141" s="2319"/>
      <c r="AM141" s="2319"/>
      <c r="AN141" s="2319"/>
      <c r="AO141" s="2319"/>
      <c r="AP141" s="2319"/>
      <c r="AQ141" s="2319"/>
      <c r="AR141" s="2319"/>
      <c r="AS141" s="2319"/>
      <c r="AT141" s="2319"/>
      <c r="AU141" s="2319"/>
      <c r="AV141" s="2319"/>
      <c r="AW141" s="2319"/>
      <c r="AX141" s="2319"/>
      <c r="AY141" s="2319"/>
      <c r="AZ141" s="2319"/>
      <c r="BA141" s="2319"/>
      <c r="BB141" s="2319"/>
      <c r="BC141" s="2319"/>
      <c r="BD141" s="2319"/>
      <c r="BE141" s="2319"/>
      <c r="BF141" s="2319"/>
      <c r="BG141" s="2319"/>
      <c r="BH141" s="2319"/>
      <c r="BI141" s="2319"/>
      <c r="BJ141" s="2319"/>
      <c r="BK141" s="2319"/>
      <c r="BL141" s="2319"/>
      <c r="BM141" s="2319"/>
      <c r="BN141" s="2319"/>
      <c r="BO141" s="2319"/>
      <c r="BP141" s="2319"/>
      <c r="BQ141" s="2319"/>
      <c r="BR141" s="2319"/>
      <c r="BS141" s="2319"/>
      <c r="BT141" s="2319"/>
      <c r="BU141" s="2319"/>
      <c r="BV141" s="2319"/>
      <c r="BW141" s="2319"/>
      <c r="BX141" s="2319"/>
      <c r="BY141" s="2319"/>
      <c r="BZ141" s="2319"/>
      <c r="CA141" s="2319"/>
      <c r="CB141" s="2319"/>
      <c r="CC141" s="2319"/>
      <c r="CD141" s="2319"/>
      <c r="CE141" s="2319"/>
      <c r="CF141" s="2319"/>
      <c r="CG141" s="2319"/>
      <c r="CH141" s="2319"/>
      <c r="CI141" s="2319"/>
      <c r="CJ141" s="2319"/>
      <c r="CK141" s="2319"/>
      <c r="CL141" s="2319"/>
      <c r="CM141" s="2319"/>
      <c r="CN141" s="2319"/>
      <c r="CO141" s="2319"/>
      <c r="CP141" s="2319"/>
      <c r="CQ141" s="2319"/>
      <c r="CR141" s="2319"/>
      <c r="CS141" s="2319"/>
      <c r="CT141" s="2319"/>
      <c r="CU141" s="2319"/>
      <c r="CV141" s="2319"/>
    </row>
    <row r="142" spans="1:100" ht="15.75" customHeight="1">
      <c r="A142" s="2371"/>
      <c r="B142" s="2319"/>
      <c r="C142" s="2319"/>
      <c r="D142" s="2318"/>
      <c r="E142" s="2319"/>
      <c r="F142" s="2319"/>
      <c r="G142" s="2319"/>
      <c r="H142" s="2319"/>
      <c r="I142" s="2319"/>
      <c r="J142" s="2319"/>
      <c r="K142" s="2319"/>
      <c r="L142" s="2319"/>
      <c r="M142" s="2319"/>
      <c r="N142" s="2319"/>
      <c r="O142" s="2319"/>
      <c r="P142" s="2319"/>
      <c r="Q142" s="2319"/>
      <c r="R142" s="2319"/>
      <c r="S142" s="2319"/>
      <c r="T142" s="2319"/>
      <c r="U142" s="2319"/>
      <c r="V142" s="2319"/>
      <c r="W142" s="2319"/>
      <c r="X142" s="2319"/>
      <c r="Y142" s="2319"/>
      <c r="Z142" s="2319"/>
      <c r="AA142" s="2319"/>
      <c r="AB142" s="2319"/>
      <c r="AC142" s="2319"/>
      <c r="AD142" s="2319"/>
      <c r="AE142" s="2319"/>
      <c r="AF142" s="2319"/>
      <c r="AG142" s="2319"/>
      <c r="AH142" s="2319"/>
      <c r="AI142" s="2319"/>
      <c r="AJ142" s="2319"/>
      <c r="AK142" s="2319"/>
      <c r="AL142" s="2319"/>
      <c r="AM142" s="2319"/>
      <c r="AN142" s="2319"/>
      <c r="AO142" s="2319"/>
      <c r="AP142" s="2319"/>
      <c r="AQ142" s="2319"/>
      <c r="AR142" s="2319"/>
      <c r="AS142" s="2319"/>
      <c r="AT142" s="2319"/>
      <c r="AU142" s="2319"/>
      <c r="AV142" s="2319"/>
      <c r="AW142" s="2319"/>
      <c r="AX142" s="2319"/>
      <c r="AY142" s="2319"/>
      <c r="AZ142" s="2319"/>
      <c r="BA142" s="2319"/>
      <c r="BB142" s="2319"/>
      <c r="BC142" s="2319"/>
      <c r="BD142" s="2319"/>
      <c r="BE142" s="2319"/>
      <c r="BF142" s="2319"/>
      <c r="BG142" s="2319"/>
      <c r="BH142" s="2319"/>
      <c r="BI142" s="2319"/>
      <c r="BJ142" s="2319"/>
      <c r="BK142" s="2319"/>
      <c r="BL142" s="2319"/>
      <c r="BM142" s="2319"/>
      <c r="BN142" s="2319"/>
      <c r="BO142" s="2319"/>
      <c r="BP142" s="2319"/>
      <c r="BQ142" s="2319"/>
      <c r="BR142" s="2319"/>
      <c r="BS142" s="2319"/>
      <c r="BT142" s="2319"/>
      <c r="BU142" s="2319"/>
      <c r="BV142" s="2319"/>
      <c r="BW142" s="2319"/>
      <c r="BX142" s="2319"/>
      <c r="BY142" s="2319"/>
      <c r="BZ142" s="2319"/>
      <c r="CA142" s="2319"/>
      <c r="CB142" s="2319"/>
      <c r="CC142" s="2319"/>
      <c r="CD142" s="2319"/>
      <c r="CE142" s="2319"/>
      <c r="CF142" s="2319"/>
      <c r="CG142" s="2319"/>
      <c r="CH142" s="2319"/>
      <c r="CI142" s="2319"/>
      <c r="CJ142" s="2319"/>
      <c r="CK142" s="2319"/>
      <c r="CL142" s="2319"/>
      <c r="CM142" s="2319"/>
      <c r="CN142" s="2319"/>
      <c r="CO142" s="2319"/>
      <c r="CP142" s="2319"/>
      <c r="CQ142" s="2319"/>
      <c r="CR142" s="2319"/>
      <c r="CS142" s="2319"/>
      <c r="CT142" s="2319"/>
      <c r="CU142" s="2319"/>
      <c r="CV142" s="2319"/>
    </row>
    <row r="143" spans="1:100" ht="15.75" customHeight="1">
      <c r="A143" s="2371"/>
      <c r="B143" s="2319"/>
      <c r="C143" s="2319"/>
      <c r="D143" s="2318"/>
      <c r="E143" s="2319"/>
      <c r="F143" s="2319"/>
      <c r="G143" s="2319"/>
      <c r="H143" s="2319"/>
      <c r="I143" s="2319"/>
      <c r="J143" s="2319"/>
      <c r="K143" s="2319"/>
      <c r="L143" s="2319"/>
      <c r="M143" s="2319"/>
      <c r="N143" s="2319"/>
      <c r="O143" s="2319"/>
      <c r="P143" s="2319"/>
      <c r="Q143" s="2319"/>
      <c r="R143" s="2319"/>
      <c r="S143" s="2319"/>
      <c r="T143" s="2319"/>
      <c r="U143" s="2319"/>
      <c r="V143" s="2319"/>
      <c r="W143" s="2319"/>
      <c r="X143" s="2319"/>
      <c r="Y143" s="2319"/>
      <c r="Z143" s="2319"/>
      <c r="AA143" s="2319"/>
      <c r="AB143" s="2319"/>
      <c r="AC143" s="2319"/>
      <c r="AD143" s="2319"/>
      <c r="AE143" s="2319"/>
      <c r="AF143" s="2319"/>
      <c r="AG143" s="2319"/>
      <c r="AH143" s="2319"/>
      <c r="AI143" s="2319"/>
      <c r="AJ143" s="2319"/>
      <c r="AK143" s="2319"/>
      <c r="AL143" s="2319"/>
      <c r="AM143" s="2319"/>
      <c r="AN143" s="2319"/>
      <c r="AO143" s="2319"/>
      <c r="AP143" s="2319"/>
      <c r="AQ143" s="2319"/>
      <c r="AR143" s="2319"/>
      <c r="AS143" s="2319"/>
      <c r="AT143" s="2319"/>
      <c r="AU143" s="2319"/>
      <c r="AV143" s="2319"/>
      <c r="AW143" s="2319"/>
      <c r="AX143" s="2319"/>
      <c r="AY143" s="2319"/>
      <c r="AZ143" s="2319"/>
      <c r="BA143" s="2319"/>
      <c r="BB143" s="2319"/>
      <c r="BC143" s="2319"/>
      <c r="BD143" s="2319"/>
      <c r="BE143" s="2319"/>
      <c r="BF143" s="2319"/>
      <c r="BG143" s="2319"/>
      <c r="BH143" s="2319"/>
      <c r="BI143" s="2319"/>
      <c r="BJ143" s="2319"/>
      <c r="BK143" s="2319"/>
      <c r="BL143" s="2319"/>
      <c r="BM143" s="2319"/>
      <c r="BN143" s="2319"/>
      <c r="BO143" s="2319"/>
      <c r="BP143" s="2319"/>
      <c r="BQ143" s="2319"/>
      <c r="BR143" s="2319"/>
      <c r="BS143" s="2319"/>
      <c r="BT143" s="2319"/>
      <c r="BU143" s="2319"/>
      <c r="BV143" s="2319"/>
      <c r="BW143" s="2319"/>
      <c r="BX143" s="2319"/>
      <c r="BY143" s="2319"/>
      <c r="BZ143" s="2319"/>
      <c r="CA143" s="2319"/>
      <c r="CB143" s="2319"/>
      <c r="CC143" s="2319"/>
      <c r="CD143" s="2319"/>
      <c r="CE143" s="2319"/>
      <c r="CF143" s="2319"/>
      <c r="CG143" s="2319"/>
      <c r="CH143" s="2319"/>
      <c r="CI143" s="2319"/>
      <c r="CJ143" s="2319"/>
      <c r="CK143" s="2319"/>
      <c r="CL143" s="2319"/>
      <c r="CM143" s="2319"/>
      <c r="CN143" s="2319"/>
      <c r="CO143" s="2319"/>
      <c r="CP143" s="2319"/>
      <c r="CQ143" s="2319"/>
      <c r="CR143" s="2319"/>
      <c r="CS143" s="2319"/>
      <c r="CT143" s="2319"/>
      <c r="CU143" s="2319"/>
      <c r="CV143" s="2319"/>
    </row>
    <row r="144" spans="1:100" ht="15.75" customHeight="1">
      <c r="A144" s="2371"/>
      <c r="B144" s="2319"/>
      <c r="C144" s="2319"/>
      <c r="D144" s="2318"/>
      <c r="E144" s="2319"/>
      <c r="F144" s="2319"/>
      <c r="G144" s="2319"/>
      <c r="H144" s="2319"/>
      <c r="I144" s="2319"/>
      <c r="J144" s="2319"/>
      <c r="K144" s="2319"/>
      <c r="L144" s="2319"/>
      <c r="M144" s="2319"/>
      <c r="N144" s="2319"/>
      <c r="O144" s="2319"/>
      <c r="P144" s="2319"/>
      <c r="Q144" s="2319"/>
      <c r="R144" s="2319"/>
      <c r="S144" s="2319"/>
      <c r="T144" s="2319"/>
      <c r="U144" s="2319"/>
      <c r="V144" s="2319"/>
      <c r="W144" s="2319"/>
      <c r="X144" s="2319"/>
      <c r="Y144" s="2319"/>
      <c r="Z144" s="2319"/>
      <c r="AA144" s="2319"/>
      <c r="AB144" s="2319"/>
      <c r="AC144" s="2319"/>
      <c r="AD144" s="2319"/>
      <c r="AE144" s="2319"/>
      <c r="AF144" s="2319"/>
      <c r="AG144" s="2319"/>
      <c r="AH144" s="2319"/>
      <c r="AI144" s="2319"/>
      <c r="AJ144" s="2319"/>
      <c r="AK144" s="2319"/>
      <c r="AL144" s="2319"/>
      <c r="AM144" s="2319"/>
      <c r="AN144" s="2319"/>
      <c r="AO144" s="2319"/>
      <c r="AP144" s="2319"/>
      <c r="AQ144" s="2319"/>
      <c r="AR144" s="2319"/>
      <c r="AS144" s="2319"/>
      <c r="AT144" s="2319"/>
      <c r="AU144" s="2319"/>
      <c r="AV144" s="2319"/>
      <c r="AW144" s="2319"/>
      <c r="AX144" s="2319"/>
      <c r="AY144" s="2319"/>
      <c r="AZ144" s="2319"/>
      <c r="BA144" s="2319"/>
      <c r="BB144" s="2319"/>
      <c r="BC144" s="2319"/>
      <c r="BD144" s="2319"/>
      <c r="BE144" s="2319"/>
      <c r="BF144" s="2319"/>
      <c r="BG144" s="2319"/>
      <c r="BH144" s="2319"/>
      <c r="BI144" s="2319"/>
      <c r="BJ144" s="2319"/>
      <c r="BK144" s="2319"/>
      <c r="BL144" s="2319"/>
      <c r="BM144" s="2319"/>
      <c r="BN144" s="2319"/>
      <c r="BO144" s="2319"/>
      <c r="BP144" s="2319"/>
      <c r="BQ144" s="2319"/>
      <c r="BR144" s="2319"/>
      <c r="BS144" s="2319"/>
      <c r="BT144" s="2319"/>
      <c r="BU144" s="2319"/>
      <c r="BV144" s="2319"/>
      <c r="BW144" s="2319"/>
      <c r="BX144" s="2319"/>
      <c r="BY144" s="2319"/>
      <c r="BZ144" s="2319"/>
      <c r="CA144" s="2319"/>
      <c r="CB144" s="2319"/>
      <c r="CC144" s="2319"/>
      <c r="CD144" s="2319"/>
      <c r="CE144" s="2319"/>
      <c r="CF144" s="2319"/>
      <c r="CG144" s="2319"/>
      <c r="CH144" s="2319"/>
      <c r="CI144" s="2319"/>
      <c r="CJ144" s="2319"/>
      <c r="CK144" s="2319"/>
      <c r="CL144" s="2319"/>
      <c r="CM144" s="2319"/>
      <c r="CN144" s="2319"/>
      <c r="CO144" s="2319"/>
      <c r="CP144" s="2319"/>
      <c r="CQ144" s="2319"/>
      <c r="CR144" s="2319"/>
      <c r="CS144" s="2319"/>
      <c r="CT144" s="2319"/>
      <c r="CU144" s="2319"/>
      <c r="CV144" s="2319"/>
    </row>
    <row r="145" spans="1:100" ht="15.75" customHeight="1">
      <c r="A145" s="2371"/>
      <c r="B145" s="2319"/>
      <c r="C145" s="2319"/>
      <c r="D145" s="2318"/>
      <c r="E145" s="2319"/>
      <c r="F145" s="2319"/>
      <c r="G145" s="2319"/>
      <c r="H145" s="2319"/>
      <c r="I145" s="2319"/>
      <c r="J145" s="2319"/>
      <c r="K145" s="2319"/>
      <c r="L145" s="2319"/>
      <c r="M145" s="2319"/>
      <c r="N145" s="2319"/>
      <c r="O145" s="2319"/>
      <c r="P145" s="2319"/>
      <c r="Q145" s="2319"/>
      <c r="R145" s="2319"/>
      <c r="S145" s="2319"/>
      <c r="T145" s="2319"/>
      <c r="U145" s="2319"/>
      <c r="V145" s="2319"/>
      <c r="W145" s="2319"/>
      <c r="X145" s="2319"/>
      <c r="Y145" s="2319"/>
      <c r="Z145" s="2319"/>
      <c r="AA145" s="2319"/>
      <c r="AB145" s="2319"/>
      <c r="AC145" s="2319"/>
      <c r="AD145" s="2319"/>
      <c r="AE145" s="2319"/>
      <c r="AF145" s="2319"/>
      <c r="AG145" s="2319"/>
      <c r="AH145" s="2319"/>
      <c r="AI145" s="2319"/>
      <c r="AJ145" s="2319"/>
      <c r="AK145" s="2319"/>
      <c r="AL145" s="2319"/>
      <c r="AM145" s="2319"/>
      <c r="AN145" s="2319"/>
      <c r="AO145" s="2319"/>
      <c r="AP145" s="2319"/>
      <c r="AQ145" s="2319"/>
      <c r="AR145" s="2319"/>
      <c r="AS145" s="2319"/>
      <c r="AT145" s="2319"/>
      <c r="AU145" s="2319"/>
      <c r="AV145" s="2319"/>
      <c r="AW145" s="2319"/>
      <c r="AX145" s="2319"/>
      <c r="AY145" s="2319"/>
      <c r="AZ145" s="2319"/>
      <c r="BA145" s="2319"/>
      <c r="BB145" s="2319"/>
      <c r="BC145" s="2319"/>
      <c r="BD145" s="2319"/>
      <c r="BE145" s="2319"/>
      <c r="BF145" s="2319"/>
      <c r="BG145" s="2319"/>
      <c r="BH145" s="2319"/>
      <c r="BI145" s="2319"/>
      <c r="BJ145" s="2319"/>
      <c r="BK145" s="2319"/>
      <c r="BL145" s="2319"/>
      <c r="BM145" s="2319"/>
      <c r="BN145" s="2319"/>
      <c r="BO145" s="2319"/>
      <c r="BP145" s="2319"/>
      <c r="BQ145" s="2319"/>
      <c r="BR145" s="2319"/>
      <c r="BS145" s="2319"/>
      <c r="BT145" s="2319"/>
      <c r="BU145" s="2319"/>
      <c r="BV145" s="2319"/>
      <c r="BW145" s="2319"/>
      <c r="BX145" s="2319"/>
      <c r="BY145" s="2319"/>
      <c r="BZ145" s="2319"/>
      <c r="CA145" s="2319"/>
      <c r="CB145" s="2319"/>
      <c r="CC145" s="2319"/>
      <c r="CD145" s="2319"/>
      <c r="CE145" s="2319"/>
      <c r="CF145" s="2319"/>
      <c r="CG145" s="2319"/>
      <c r="CH145" s="2319"/>
      <c r="CI145" s="2319"/>
      <c r="CJ145" s="2319"/>
      <c r="CK145" s="2319"/>
      <c r="CL145" s="2319"/>
      <c r="CM145" s="2319"/>
      <c r="CN145" s="2319"/>
      <c r="CO145" s="2319"/>
      <c r="CP145" s="2319"/>
      <c r="CQ145" s="2319"/>
      <c r="CR145" s="2319"/>
      <c r="CS145" s="2319"/>
      <c r="CT145" s="2319"/>
      <c r="CU145" s="2319"/>
      <c r="CV145" s="2319"/>
    </row>
    <row r="146" spans="1:100" ht="15.75" customHeight="1">
      <c r="A146" s="2371"/>
      <c r="B146" s="2319"/>
      <c r="C146" s="2319"/>
      <c r="D146" s="2318"/>
      <c r="E146" s="2319"/>
      <c r="F146" s="2319"/>
      <c r="G146" s="2319"/>
      <c r="H146" s="2319"/>
      <c r="I146" s="2319"/>
      <c r="J146" s="2319"/>
      <c r="K146" s="2319"/>
      <c r="L146" s="2319"/>
      <c r="M146" s="2319"/>
      <c r="N146" s="2319"/>
      <c r="O146" s="2319"/>
      <c r="P146" s="2319"/>
      <c r="Q146" s="2319"/>
      <c r="R146" s="2319"/>
      <c r="S146" s="2319"/>
      <c r="T146" s="2319"/>
      <c r="U146" s="2319"/>
      <c r="V146" s="2319"/>
      <c r="W146" s="2319"/>
      <c r="X146" s="2319"/>
      <c r="Y146" s="2319"/>
      <c r="Z146" s="2319"/>
      <c r="AA146" s="2319"/>
      <c r="AB146" s="2319"/>
      <c r="AC146" s="2319"/>
      <c r="AD146" s="2319"/>
      <c r="AE146" s="2319"/>
      <c r="AF146" s="2319"/>
      <c r="AG146" s="2319"/>
      <c r="AH146" s="2319"/>
      <c r="AI146" s="2319"/>
      <c r="AJ146" s="2319"/>
      <c r="AK146" s="2319"/>
      <c r="AL146" s="2319"/>
      <c r="AM146" s="2319"/>
      <c r="AN146" s="2319"/>
      <c r="AO146" s="2319"/>
      <c r="AP146" s="2319"/>
      <c r="AQ146" s="2319"/>
      <c r="AR146" s="2319"/>
      <c r="AS146" s="2319"/>
      <c r="AT146" s="2319"/>
      <c r="AU146" s="2319"/>
      <c r="AV146" s="2319"/>
      <c r="AW146" s="2319"/>
      <c r="AX146" s="2319"/>
      <c r="AY146" s="2319"/>
      <c r="AZ146" s="2319"/>
      <c r="BA146" s="2319"/>
      <c r="BB146" s="2319"/>
      <c r="BC146" s="2319"/>
      <c r="BD146" s="2319"/>
      <c r="BE146" s="2319"/>
      <c r="BF146" s="2319"/>
      <c r="BG146" s="2319"/>
      <c r="BH146" s="2319"/>
      <c r="BI146" s="2319"/>
      <c r="BJ146" s="2319"/>
      <c r="BK146" s="2319"/>
      <c r="BL146" s="2319"/>
      <c r="BM146" s="2319"/>
      <c r="BN146" s="2319"/>
      <c r="BO146" s="2319"/>
      <c r="BP146" s="2319"/>
      <c r="BQ146" s="2319"/>
      <c r="BR146" s="2319"/>
      <c r="BS146" s="2319"/>
      <c r="BT146" s="2319"/>
      <c r="BU146" s="2319"/>
      <c r="BV146" s="2319"/>
      <c r="BW146" s="2319"/>
      <c r="BX146" s="2319"/>
      <c r="BY146" s="2319"/>
      <c r="BZ146" s="2319"/>
      <c r="CA146" s="2319"/>
      <c r="CB146" s="2319"/>
      <c r="CC146" s="2319"/>
      <c r="CD146" s="2319"/>
      <c r="CE146" s="2319"/>
      <c r="CF146" s="2319"/>
      <c r="CG146" s="2319"/>
      <c r="CH146" s="2319"/>
      <c r="CI146" s="2319"/>
      <c r="CJ146" s="2319"/>
      <c r="CK146" s="2319"/>
      <c r="CL146" s="2319"/>
      <c r="CM146" s="2319"/>
      <c r="CN146" s="2319"/>
      <c r="CO146" s="2319"/>
      <c r="CP146" s="2319"/>
      <c r="CQ146" s="2319"/>
      <c r="CR146" s="2319"/>
      <c r="CS146" s="2319"/>
      <c r="CT146" s="2319"/>
      <c r="CU146" s="2319"/>
      <c r="CV146" s="2319"/>
    </row>
    <row r="147" spans="1:100" ht="15.75" customHeight="1">
      <c r="A147" s="2371"/>
      <c r="B147" s="2319"/>
      <c r="C147" s="2319"/>
      <c r="D147" s="2318"/>
      <c r="E147" s="2319"/>
      <c r="F147" s="2319"/>
      <c r="G147" s="2319"/>
      <c r="H147" s="2319"/>
      <c r="I147" s="2319"/>
      <c r="J147" s="2319"/>
      <c r="K147" s="2319"/>
      <c r="L147" s="2319"/>
      <c r="M147" s="2319"/>
      <c r="N147" s="2319"/>
      <c r="O147" s="2319"/>
      <c r="P147" s="2319"/>
      <c r="Q147" s="2319"/>
      <c r="R147" s="2319"/>
      <c r="S147" s="2319"/>
      <c r="T147" s="2319"/>
      <c r="U147" s="2319"/>
      <c r="V147" s="2319"/>
      <c r="W147" s="2319"/>
      <c r="X147" s="2319"/>
      <c r="Y147" s="2319"/>
      <c r="Z147" s="2319"/>
      <c r="AA147" s="2319"/>
      <c r="AB147" s="2319"/>
      <c r="AC147" s="2319"/>
      <c r="AD147" s="2319"/>
      <c r="AE147" s="2319"/>
      <c r="AF147" s="2319"/>
      <c r="AG147" s="2319"/>
      <c r="AH147" s="2319"/>
      <c r="AI147" s="2319"/>
      <c r="AJ147" s="2319"/>
      <c r="AK147" s="2319"/>
      <c r="AL147" s="2319"/>
      <c r="AM147" s="2319"/>
      <c r="AN147" s="2319"/>
      <c r="AO147" s="2319"/>
      <c r="AP147" s="2319"/>
      <c r="AQ147" s="2319"/>
      <c r="AR147" s="2319"/>
      <c r="AS147" s="2319"/>
      <c r="AT147" s="2319"/>
      <c r="AU147" s="2319"/>
      <c r="AV147" s="2319"/>
      <c r="AW147" s="2319"/>
      <c r="AX147" s="2319"/>
      <c r="AY147" s="2319"/>
      <c r="AZ147" s="2319"/>
      <c r="BA147" s="2319"/>
      <c r="BB147" s="2319"/>
      <c r="BC147" s="2319"/>
      <c r="BD147" s="2319"/>
      <c r="BE147" s="2319"/>
      <c r="BF147" s="2319"/>
      <c r="BG147" s="2319"/>
      <c r="BH147" s="2319"/>
      <c r="BI147" s="2319"/>
      <c r="BJ147" s="2319"/>
      <c r="BK147" s="2319"/>
      <c r="BL147" s="2319"/>
      <c r="BM147" s="2319"/>
      <c r="BN147" s="2319"/>
      <c r="BO147" s="2319"/>
      <c r="BP147" s="2319"/>
      <c r="BQ147" s="2319"/>
      <c r="BR147" s="2319"/>
      <c r="BS147" s="2319"/>
      <c r="BT147" s="2319"/>
      <c r="BU147" s="2319"/>
      <c r="BV147" s="2319"/>
      <c r="BW147" s="2319"/>
      <c r="BX147" s="2319"/>
      <c r="BY147" s="2319"/>
      <c r="BZ147" s="2319"/>
      <c r="CA147" s="2319"/>
      <c r="CB147" s="2319"/>
      <c r="CC147" s="2319"/>
      <c r="CD147" s="2319"/>
      <c r="CE147" s="2319"/>
      <c r="CF147" s="2319"/>
      <c r="CG147" s="2319"/>
      <c r="CH147" s="2319"/>
      <c r="CI147" s="2319"/>
      <c r="CJ147" s="2319"/>
      <c r="CK147" s="2319"/>
      <c r="CL147" s="2319"/>
      <c r="CM147" s="2319"/>
      <c r="CN147" s="2319"/>
      <c r="CO147" s="2319"/>
      <c r="CP147" s="2319"/>
      <c r="CQ147" s="2319"/>
      <c r="CR147" s="2319"/>
      <c r="CS147" s="2319"/>
      <c r="CT147" s="2319"/>
      <c r="CU147" s="2319"/>
      <c r="CV147" s="2319"/>
    </row>
    <row r="148" spans="1:100" ht="15.75" customHeight="1">
      <c r="A148" s="2371"/>
      <c r="B148" s="2319"/>
      <c r="C148" s="2319"/>
      <c r="D148" s="2318"/>
      <c r="E148" s="2319"/>
      <c r="F148" s="2319"/>
      <c r="G148" s="2319"/>
      <c r="H148" s="2319"/>
      <c r="I148" s="2319"/>
      <c r="J148" s="2319"/>
      <c r="K148" s="2319"/>
      <c r="L148" s="2319"/>
      <c r="M148" s="2319"/>
      <c r="N148" s="2319"/>
      <c r="O148" s="2319"/>
      <c r="P148" s="2319"/>
      <c r="Q148" s="2319"/>
      <c r="R148" s="2319"/>
      <c r="S148" s="2319"/>
      <c r="T148" s="2319"/>
      <c r="U148" s="2319"/>
      <c r="V148" s="2319"/>
      <c r="W148" s="2319"/>
      <c r="X148" s="2319"/>
      <c r="Y148" s="2319"/>
      <c r="Z148" s="2319"/>
      <c r="AA148" s="2319"/>
      <c r="AB148" s="2319"/>
      <c r="AC148" s="2319"/>
      <c r="AD148" s="2319"/>
      <c r="AE148" s="2319"/>
      <c r="AF148" s="2319"/>
      <c r="AG148" s="2319"/>
      <c r="AH148" s="2319"/>
      <c r="AI148" s="2319"/>
      <c r="AJ148" s="2319"/>
      <c r="AK148" s="2319"/>
      <c r="AL148" s="2319"/>
      <c r="AM148" s="2319"/>
      <c r="AN148" s="2319"/>
      <c r="AO148" s="2319"/>
      <c r="AP148" s="2319"/>
      <c r="AQ148" s="2319"/>
      <c r="AR148" s="2319"/>
      <c r="AS148" s="2319"/>
      <c r="AT148" s="2319"/>
      <c r="AU148" s="2319"/>
      <c r="AV148" s="2319"/>
      <c r="AW148" s="2319"/>
      <c r="AX148" s="2319"/>
      <c r="AY148" s="2319"/>
      <c r="AZ148" s="2319"/>
      <c r="BA148" s="2319"/>
      <c r="BB148" s="2319"/>
      <c r="BC148" s="2319"/>
      <c r="BD148" s="2319"/>
      <c r="BE148" s="2319"/>
      <c r="BF148" s="2319"/>
      <c r="BG148" s="2319"/>
      <c r="BH148" s="2319"/>
      <c r="BI148" s="2319"/>
      <c r="BJ148" s="2319"/>
      <c r="BK148" s="2319"/>
      <c r="BL148" s="2319"/>
      <c r="BM148" s="2319"/>
      <c r="BN148" s="2319"/>
      <c r="BO148" s="2319"/>
      <c r="BP148" s="2319"/>
      <c r="BQ148" s="2319"/>
      <c r="BR148" s="2319"/>
      <c r="BS148" s="2319"/>
      <c r="BT148" s="2319"/>
      <c r="BU148" s="2319"/>
      <c r="BV148" s="2319"/>
      <c r="BW148" s="2319"/>
      <c r="BX148" s="2319"/>
      <c r="BY148" s="2319"/>
      <c r="BZ148" s="2319"/>
      <c r="CA148" s="2319"/>
      <c r="CB148" s="2319"/>
      <c r="CC148" s="2319"/>
      <c r="CD148" s="2319"/>
      <c r="CE148" s="2319"/>
      <c r="CF148" s="2319"/>
      <c r="CG148" s="2319"/>
      <c r="CH148" s="2319"/>
      <c r="CI148" s="2319"/>
      <c r="CJ148" s="2319"/>
      <c r="CK148" s="2319"/>
      <c r="CL148" s="2319"/>
      <c r="CM148" s="2319"/>
      <c r="CN148" s="2319"/>
      <c r="CO148" s="2319"/>
      <c r="CP148" s="2319"/>
      <c r="CQ148" s="2319"/>
      <c r="CR148" s="2319"/>
      <c r="CS148" s="2319"/>
      <c r="CT148" s="2319"/>
      <c r="CU148" s="2319"/>
      <c r="CV148" s="2319"/>
    </row>
    <row r="149" spans="1:100" ht="15.75" customHeight="1">
      <c r="A149" s="2371"/>
      <c r="B149" s="2319"/>
      <c r="C149" s="2319"/>
      <c r="D149" s="2318"/>
      <c r="E149" s="2319"/>
      <c r="F149" s="2319"/>
      <c r="G149" s="2319"/>
      <c r="H149" s="2319"/>
      <c r="I149" s="2319"/>
      <c r="J149" s="2319"/>
      <c r="K149" s="2319"/>
      <c r="L149" s="2319"/>
      <c r="M149" s="2319"/>
      <c r="N149" s="2319"/>
      <c r="O149" s="2319"/>
      <c r="P149" s="2319"/>
      <c r="Q149" s="2319"/>
      <c r="R149" s="2319"/>
      <c r="S149" s="2319"/>
      <c r="T149" s="2319"/>
      <c r="U149" s="2319"/>
      <c r="V149" s="2319"/>
      <c r="W149" s="2319"/>
      <c r="X149" s="2319"/>
      <c r="Y149" s="2319"/>
      <c r="Z149" s="2319"/>
      <c r="AA149" s="2319"/>
      <c r="AB149" s="2319"/>
      <c r="AC149" s="2319"/>
      <c r="AD149" s="2319"/>
      <c r="AE149" s="2319"/>
      <c r="AF149" s="2319"/>
      <c r="AG149" s="2319"/>
      <c r="AH149" s="2319"/>
      <c r="AI149" s="2319"/>
      <c r="AJ149" s="2319"/>
      <c r="AK149" s="2319"/>
      <c r="AL149" s="2319"/>
      <c r="AM149" s="2319"/>
      <c r="AN149" s="2319"/>
      <c r="AO149" s="2319"/>
      <c r="AP149" s="2319"/>
      <c r="AQ149" s="2319"/>
      <c r="AR149" s="2319"/>
      <c r="AS149" s="2319"/>
      <c r="AT149" s="2319"/>
      <c r="AU149" s="2319"/>
      <c r="AV149" s="2319"/>
      <c r="AW149" s="2319"/>
      <c r="AX149" s="2319"/>
      <c r="AY149" s="2319"/>
      <c r="AZ149" s="2319"/>
      <c r="BA149" s="2319"/>
      <c r="BB149" s="2319"/>
      <c r="BC149" s="2319"/>
      <c r="BD149" s="2319"/>
      <c r="BE149" s="2319"/>
      <c r="BF149" s="2319"/>
      <c r="BG149" s="2319"/>
      <c r="BH149" s="2319"/>
      <c r="BI149" s="2319"/>
      <c r="BJ149" s="2319"/>
      <c r="BK149" s="2319"/>
      <c r="BL149" s="2319"/>
      <c r="BM149" s="2319"/>
      <c r="BN149" s="2319"/>
      <c r="BO149" s="2319"/>
      <c r="BP149" s="2319"/>
      <c r="BQ149" s="2319"/>
      <c r="BR149" s="2319"/>
      <c r="BS149" s="2319"/>
      <c r="BT149" s="2319"/>
      <c r="BU149" s="2319"/>
      <c r="BV149" s="2319"/>
      <c r="BW149" s="2319"/>
      <c r="BX149" s="2319"/>
      <c r="BY149" s="2319"/>
      <c r="BZ149" s="2319"/>
      <c r="CA149" s="2319"/>
      <c r="CB149" s="2319"/>
      <c r="CC149" s="2319"/>
      <c r="CD149" s="2319"/>
      <c r="CE149" s="2319"/>
      <c r="CF149" s="2319"/>
      <c r="CG149" s="2319"/>
      <c r="CH149" s="2319"/>
      <c r="CI149" s="2319"/>
      <c r="CJ149" s="2319"/>
      <c r="CK149" s="2319"/>
      <c r="CL149" s="2319"/>
      <c r="CM149" s="2319"/>
      <c r="CN149" s="2319"/>
      <c r="CO149" s="2319"/>
      <c r="CP149" s="2319"/>
      <c r="CQ149" s="2319"/>
      <c r="CR149" s="2319"/>
      <c r="CS149" s="2319"/>
      <c r="CT149" s="2319"/>
      <c r="CU149" s="2319"/>
      <c r="CV149" s="2319"/>
    </row>
    <row r="150" spans="1:100" ht="15.75" customHeight="1">
      <c r="A150" s="2371"/>
      <c r="B150" s="2319"/>
      <c r="C150" s="2319"/>
      <c r="D150" s="2318"/>
      <c r="E150" s="2319"/>
      <c r="F150" s="2319"/>
      <c r="G150" s="2319"/>
      <c r="H150" s="2319"/>
      <c r="I150" s="2319"/>
      <c r="J150" s="2319"/>
      <c r="K150" s="2319"/>
      <c r="L150" s="2319"/>
      <c r="M150" s="2319"/>
      <c r="N150" s="2319"/>
      <c r="O150" s="2319"/>
      <c r="P150" s="2319"/>
      <c r="Q150" s="2319"/>
      <c r="R150" s="2319"/>
      <c r="S150" s="2319"/>
      <c r="T150" s="2319"/>
      <c r="U150" s="2319"/>
      <c r="V150" s="2319"/>
      <c r="W150" s="2319"/>
      <c r="X150" s="2319"/>
      <c r="Y150" s="2319"/>
      <c r="Z150" s="2319"/>
      <c r="AA150" s="2319"/>
      <c r="AB150" s="2319"/>
      <c r="AC150" s="2319"/>
      <c r="AD150" s="2319"/>
      <c r="AE150" s="2319"/>
      <c r="AF150" s="2319"/>
      <c r="AG150" s="2319"/>
      <c r="AH150" s="2319"/>
      <c r="AI150" s="2319"/>
      <c r="AJ150" s="2319"/>
      <c r="AK150" s="2319"/>
      <c r="AL150" s="2319"/>
      <c r="AM150" s="2319"/>
      <c r="AN150" s="2319"/>
      <c r="AO150" s="2319"/>
      <c r="AP150" s="2319"/>
      <c r="AQ150" s="2319"/>
      <c r="AR150" s="2319"/>
      <c r="AS150" s="2319"/>
      <c r="AT150" s="2319"/>
      <c r="AU150" s="2319"/>
      <c r="AV150" s="2319"/>
      <c r="AW150" s="2319"/>
      <c r="AX150" s="2319"/>
      <c r="AY150" s="2319"/>
      <c r="AZ150" s="2319"/>
      <c r="BA150" s="2319"/>
      <c r="BB150" s="2319"/>
      <c r="BC150" s="2319"/>
      <c r="BD150" s="2319"/>
      <c r="BE150" s="2319"/>
      <c r="BF150" s="2319"/>
      <c r="BG150" s="2319"/>
      <c r="BH150" s="2319"/>
      <c r="BI150" s="2319"/>
      <c r="BJ150" s="2319"/>
      <c r="BK150" s="2319"/>
      <c r="BL150" s="2319"/>
      <c r="BM150" s="2319"/>
      <c r="BN150" s="2319"/>
      <c r="BO150" s="2319"/>
      <c r="BP150" s="2319"/>
      <c r="BQ150" s="2319"/>
      <c r="BR150" s="2319"/>
      <c r="BS150" s="2319"/>
      <c r="BT150" s="2319"/>
      <c r="BU150" s="2319"/>
      <c r="BV150" s="2319"/>
      <c r="BW150" s="2319"/>
      <c r="BX150" s="2319"/>
      <c r="BY150" s="2319"/>
      <c r="BZ150" s="2319"/>
      <c r="CA150" s="2319"/>
      <c r="CB150" s="2319"/>
      <c r="CC150" s="2319"/>
      <c r="CD150" s="2319"/>
      <c r="CE150" s="2319"/>
      <c r="CF150" s="2319"/>
      <c r="CG150" s="2319"/>
      <c r="CH150" s="2319"/>
      <c r="CI150" s="2319"/>
      <c r="CJ150" s="2319"/>
      <c r="CK150" s="2319"/>
      <c r="CL150" s="2319"/>
      <c r="CM150" s="2319"/>
      <c r="CN150" s="2319"/>
      <c r="CO150" s="2319"/>
      <c r="CP150" s="2319"/>
      <c r="CQ150" s="2319"/>
      <c r="CR150" s="2319"/>
      <c r="CS150" s="2319"/>
      <c r="CT150" s="2319"/>
      <c r="CU150" s="2319"/>
      <c r="CV150" s="2319"/>
    </row>
    <row r="151" spans="1:100" ht="15.75" customHeight="1">
      <c r="A151" s="2371"/>
      <c r="B151" s="2319"/>
      <c r="C151" s="2319"/>
      <c r="D151" s="2318"/>
      <c r="E151" s="2319"/>
      <c r="F151" s="2319"/>
      <c r="G151" s="2319"/>
      <c r="H151" s="2319"/>
      <c r="I151" s="2319"/>
      <c r="J151" s="2319"/>
      <c r="K151" s="2319"/>
      <c r="L151" s="2319"/>
      <c r="M151" s="2319"/>
      <c r="N151" s="2319"/>
      <c r="O151" s="2319"/>
      <c r="P151" s="2319"/>
      <c r="Q151" s="2319"/>
      <c r="R151" s="2319"/>
      <c r="S151" s="2319"/>
      <c r="T151" s="2319"/>
      <c r="U151" s="2319"/>
      <c r="V151" s="2319"/>
      <c r="W151" s="2319"/>
      <c r="X151" s="2319"/>
      <c r="Y151" s="2319"/>
      <c r="Z151" s="2319"/>
      <c r="AA151" s="2319"/>
      <c r="AB151" s="2319"/>
      <c r="AC151" s="2319"/>
      <c r="AD151" s="2319"/>
      <c r="AE151" s="2319"/>
      <c r="AF151" s="2319"/>
      <c r="AG151" s="2319"/>
      <c r="AH151" s="2319"/>
      <c r="AI151" s="2319"/>
      <c r="AJ151" s="2319"/>
      <c r="AK151" s="2319"/>
      <c r="AL151" s="2319"/>
      <c r="AM151" s="2319"/>
      <c r="AN151" s="2319"/>
      <c r="AO151" s="2319"/>
      <c r="AP151" s="2319"/>
      <c r="AQ151" s="2319"/>
      <c r="AR151" s="2319"/>
      <c r="AS151" s="2319"/>
      <c r="AT151" s="2319"/>
      <c r="AU151" s="2319"/>
      <c r="AV151" s="2319"/>
      <c r="AW151" s="2319"/>
      <c r="AX151" s="2319"/>
      <c r="AY151" s="2319"/>
      <c r="AZ151" s="2319"/>
      <c r="BA151" s="2319"/>
      <c r="BB151" s="2319"/>
      <c r="BC151" s="2319"/>
      <c r="BD151" s="2319"/>
      <c r="BE151" s="2319"/>
      <c r="BF151" s="2319"/>
      <c r="BG151" s="2319"/>
      <c r="BH151" s="2319"/>
      <c r="BI151" s="2319"/>
      <c r="BJ151" s="2319"/>
      <c r="BK151" s="2319"/>
      <c r="BL151" s="2319"/>
      <c r="BM151" s="2319"/>
      <c r="BN151" s="2319"/>
      <c r="BO151" s="2319"/>
      <c r="BP151" s="2319"/>
      <c r="BQ151" s="2319"/>
      <c r="BR151" s="2319"/>
      <c r="BS151" s="2319"/>
      <c r="BT151" s="2319"/>
      <c r="BU151" s="2319"/>
      <c r="BV151" s="2319"/>
      <c r="BW151" s="2319"/>
      <c r="BX151" s="2319"/>
      <c r="BY151" s="2319"/>
      <c r="BZ151" s="2319"/>
      <c r="CA151" s="2319"/>
      <c r="CB151" s="2319"/>
      <c r="CC151" s="2319"/>
      <c r="CD151" s="2319"/>
      <c r="CE151" s="2319"/>
      <c r="CF151" s="2319"/>
      <c r="CG151" s="2319"/>
      <c r="CH151" s="2319"/>
      <c r="CI151" s="2319"/>
      <c r="CJ151" s="2319"/>
      <c r="CK151" s="2319"/>
      <c r="CL151" s="2319"/>
      <c r="CM151" s="2319"/>
      <c r="CN151" s="2319"/>
      <c r="CO151" s="2319"/>
      <c r="CP151" s="2319"/>
      <c r="CQ151" s="2319"/>
      <c r="CR151" s="2319"/>
      <c r="CS151" s="2319"/>
      <c r="CT151" s="2319"/>
      <c r="CU151" s="2319"/>
      <c r="CV151" s="2319"/>
    </row>
    <row r="152" spans="1:100" ht="15.75" customHeight="1">
      <c r="A152" s="2371"/>
      <c r="B152" s="2319"/>
      <c r="C152" s="2319"/>
      <c r="D152" s="2318"/>
      <c r="E152" s="2319"/>
      <c r="F152" s="2319"/>
      <c r="G152" s="2319"/>
      <c r="H152" s="2319"/>
      <c r="I152" s="2319"/>
      <c r="J152" s="2319"/>
      <c r="K152" s="2319"/>
      <c r="L152" s="2319"/>
      <c r="M152" s="2319"/>
      <c r="N152" s="2319"/>
      <c r="O152" s="2319"/>
      <c r="P152" s="2319"/>
      <c r="Q152" s="2319"/>
      <c r="R152" s="2319"/>
      <c r="S152" s="2319"/>
      <c r="T152" s="2319"/>
      <c r="U152" s="2319"/>
      <c r="V152" s="2319"/>
      <c r="W152" s="2319"/>
      <c r="X152" s="2319"/>
      <c r="Y152" s="2319"/>
      <c r="Z152" s="2319"/>
      <c r="AA152" s="2319"/>
      <c r="AB152" s="2319"/>
      <c r="AC152" s="2319"/>
      <c r="AD152" s="2319"/>
      <c r="AE152" s="2319"/>
      <c r="AF152" s="2319"/>
      <c r="AG152" s="2319"/>
      <c r="AH152" s="2319"/>
      <c r="AI152" s="2319"/>
      <c r="AJ152" s="2319"/>
      <c r="AK152" s="2319"/>
      <c r="AL152" s="2319"/>
      <c r="AM152" s="2319"/>
      <c r="AN152" s="2319"/>
      <c r="AO152" s="2319"/>
      <c r="AP152" s="2319"/>
      <c r="AQ152" s="2319"/>
      <c r="AR152" s="2319"/>
      <c r="AS152" s="2319"/>
      <c r="AT152" s="2319"/>
      <c r="AU152" s="2319"/>
      <c r="AV152" s="2319"/>
      <c r="AW152" s="2319"/>
      <c r="AX152" s="2319"/>
      <c r="AY152" s="2319"/>
      <c r="AZ152" s="2319"/>
      <c r="BA152" s="2319"/>
      <c r="BB152" s="2319"/>
      <c r="BC152" s="2319"/>
      <c r="BD152" s="2319"/>
      <c r="BE152" s="2319"/>
      <c r="BF152" s="2319"/>
      <c r="BG152" s="2319"/>
      <c r="BH152" s="2319"/>
      <c r="BI152" s="2319"/>
      <c r="BJ152" s="2319"/>
      <c r="BK152" s="2319"/>
      <c r="BL152" s="2319"/>
      <c r="BM152" s="2319"/>
      <c r="BN152" s="2319"/>
      <c r="BO152" s="2319"/>
      <c r="BP152" s="2319"/>
      <c r="BQ152" s="2319"/>
      <c r="BR152" s="2319"/>
      <c r="BS152" s="2319"/>
      <c r="BT152" s="2319"/>
      <c r="BU152" s="2319"/>
      <c r="BV152" s="2319"/>
      <c r="BW152" s="2319"/>
      <c r="BX152" s="2319"/>
      <c r="BY152" s="2319"/>
      <c r="BZ152" s="2319"/>
      <c r="CA152" s="2319"/>
      <c r="CB152" s="2319"/>
      <c r="CC152" s="2319"/>
      <c r="CD152" s="2319"/>
      <c r="CE152" s="2319"/>
      <c r="CF152" s="2319"/>
      <c r="CG152" s="2319"/>
      <c r="CH152" s="2319"/>
      <c r="CI152" s="2319"/>
      <c r="CJ152" s="2319"/>
      <c r="CK152" s="2319"/>
      <c r="CL152" s="2319"/>
      <c r="CM152" s="2319"/>
      <c r="CN152" s="2319"/>
      <c r="CO152" s="2319"/>
      <c r="CP152" s="2319"/>
      <c r="CQ152" s="2319"/>
      <c r="CR152" s="2319"/>
      <c r="CS152" s="2319"/>
      <c r="CT152" s="2319"/>
      <c r="CU152" s="2319"/>
      <c r="CV152" s="2319"/>
    </row>
    <row r="153" spans="1:100" ht="15.75" customHeight="1">
      <c r="A153" s="2371"/>
      <c r="B153" s="2319"/>
      <c r="C153" s="2319"/>
      <c r="D153" s="2318"/>
      <c r="E153" s="2319"/>
      <c r="F153" s="2319"/>
      <c r="G153" s="2319"/>
      <c r="H153" s="2319"/>
      <c r="I153" s="2319"/>
      <c r="J153" s="2319"/>
      <c r="K153" s="2319"/>
      <c r="L153" s="2319"/>
      <c r="M153" s="2319"/>
      <c r="N153" s="2319"/>
      <c r="O153" s="2319"/>
      <c r="P153" s="2319"/>
      <c r="Q153" s="2319"/>
      <c r="R153" s="2319"/>
      <c r="S153" s="2319"/>
      <c r="T153" s="2319"/>
      <c r="U153" s="2319"/>
      <c r="V153" s="2319"/>
      <c r="W153" s="2319"/>
      <c r="X153" s="2319"/>
      <c r="Y153" s="2319"/>
      <c r="Z153" s="2319"/>
      <c r="AA153" s="2319"/>
      <c r="AB153" s="2319"/>
      <c r="AC153" s="2319"/>
      <c r="AD153" s="2319"/>
      <c r="AE153" s="2319"/>
      <c r="AF153" s="2319"/>
      <c r="AG153" s="2319"/>
      <c r="AH153" s="2319"/>
      <c r="AI153" s="2319"/>
      <c r="AJ153" s="2319"/>
      <c r="AK153" s="2319"/>
      <c r="AL153" s="2319"/>
      <c r="AM153" s="2319"/>
      <c r="AN153" s="2319"/>
      <c r="AO153" s="2319"/>
      <c r="AP153" s="2319"/>
      <c r="AQ153" s="2319"/>
      <c r="AR153" s="2319"/>
      <c r="AS153" s="2319"/>
      <c r="AT153" s="2319"/>
      <c r="AU153" s="2319"/>
      <c r="AV153" s="2319"/>
      <c r="AW153" s="2319"/>
      <c r="AX153" s="2319"/>
      <c r="AY153" s="2319"/>
      <c r="AZ153" s="2319"/>
      <c r="BA153" s="2319"/>
      <c r="BB153" s="2319"/>
      <c r="BC153" s="2319"/>
      <c r="BD153" s="2319"/>
      <c r="BE153" s="2319"/>
      <c r="BF153" s="2319"/>
      <c r="BG153" s="2319"/>
      <c r="BH153" s="2319"/>
      <c r="BI153" s="2319"/>
      <c r="BJ153" s="2319"/>
      <c r="BK153" s="2319"/>
      <c r="BL153" s="2319"/>
      <c r="BM153" s="2319"/>
      <c r="BN153" s="2319"/>
      <c r="BO153" s="2319"/>
      <c r="BP153" s="2319"/>
      <c r="BQ153" s="2319"/>
      <c r="BR153" s="2319"/>
      <c r="BS153" s="2319"/>
      <c r="BT153" s="2319"/>
      <c r="BU153" s="2319"/>
      <c r="BV153" s="2319"/>
      <c r="BW153" s="2319"/>
      <c r="BX153" s="2319"/>
      <c r="BY153" s="2319"/>
      <c r="BZ153" s="2319"/>
      <c r="CA153" s="2319"/>
      <c r="CB153" s="2319"/>
      <c r="CC153" s="2319"/>
      <c r="CD153" s="2319"/>
      <c r="CE153" s="2319"/>
      <c r="CF153" s="2319"/>
      <c r="CG153" s="2319"/>
      <c r="CH153" s="2319"/>
      <c r="CI153" s="2319"/>
      <c r="CJ153" s="2319"/>
      <c r="CK153" s="2319"/>
      <c r="CL153" s="2319"/>
      <c r="CM153" s="2319"/>
      <c r="CN153" s="2319"/>
      <c r="CO153" s="2319"/>
      <c r="CP153" s="2319"/>
      <c r="CQ153" s="2319"/>
      <c r="CR153" s="2319"/>
      <c r="CS153" s="2319"/>
      <c r="CT153" s="2319"/>
      <c r="CU153" s="2319"/>
      <c r="CV153" s="2319"/>
    </row>
    <row r="154" spans="1:100" ht="15.75" customHeight="1">
      <c r="A154" s="2371"/>
      <c r="B154" s="2319"/>
      <c r="C154" s="2319"/>
      <c r="D154" s="2318"/>
      <c r="E154" s="2319"/>
      <c r="F154" s="2319"/>
      <c r="G154" s="2319"/>
      <c r="H154" s="2319"/>
      <c r="I154" s="2319"/>
      <c r="J154" s="2319"/>
      <c r="K154" s="2319"/>
      <c r="L154" s="2319"/>
      <c r="M154" s="2319"/>
      <c r="N154" s="2319"/>
      <c r="O154" s="2319"/>
      <c r="P154" s="2319"/>
      <c r="Q154" s="2319"/>
      <c r="R154" s="2319"/>
      <c r="S154" s="2319"/>
      <c r="T154" s="2319"/>
      <c r="U154" s="2319"/>
      <c r="V154" s="2319"/>
      <c r="W154" s="2319"/>
      <c r="X154" s="2319"/>
      <c r="Y154" s="2319"/>
      <c r="Z154" s="2319"/>
      <c r="AA154" s="2319"/>
      <c r="AB154" s="2319"/>
      <c r="AC154" s="2319"/>
      <c r="AD154" s="2319"/>
      <c r="AE154" s="2319"/>
      <c r="AF154" s="2319"/>
      <c r="AG154" s="2319"/>
      <c r="AH154" s="2319"/>
      <c r="AI154" s="2319"/>
      <c r="AJ154" s="2319"/>
      <c r="AK154" s="2319"/>
      <c r="AL154" s="2319"/>
      <c r="AM154" s="2319"/>
      <c r="AN154" s="2319"/>
      <c r="AO154" s="2319"/>
      <c r="AP154" s="2319"/>
      <c r="AQ154" s="2319"/>
      <c r="AR154" s="2319"/>
      <c r="AS154" s="2319"/>
      <c r="AT154" s="2319"/>
      <c r="AU154" s="2319"/>
      <c r="AV154" s="2319"/>
      <c r="AW154" s="2319"/>
      <c r="AX154" s="2319"/>
      <c r="AY154" s="2319"/>
      <c r="AZ154" s="2319"/>
      <c r="BA154" s="2319"/>
      <c r="BB154" s="2319"/>
      <c r="BC154" s="2319"/>
      <c r="BD154" s="2319"/>
      <c r="BE154" s="2319"/>
      <c r="BF154" s="2319"/>
      <c r="BG154" s="2319"/>
      <c r="BH154" s="2319"/>
      <c r="BI154" s="2319"/>
      <c r="BJ154" s="2319"/>
      <c r="BK154" s="2319"/>
      <c r="BL154" s="2319"/>
      <c r="BM154" s="2319"/>
      <c r="BN154" s="2319"/>
      <c r="BO154" s="2319"/>
      <c r="BP154" s="2319"/>
      <c r="BQ154" s="2319"/>
      <c r="BR154" s="2319"/>
      <c r="BS154" s="2319"/>
      <c r="BT154" s="2319"/>
      <c r="BU154" s="2319"/>
      <c r="BV154" s="2319"/>
      <c r="BW154" s="2319"/>
      <c r="BX154" s="2319"/>
      <c r="BY154" s="2319"/>
      <c r="BZ154" s="2319"/>
      <c r="CA154" s="2319"/>
      <c r="CB154" s="2319"/>
      <c r="CC154" s="2319"/>
      <c r="CD154" s="2319"/>
      <c r="CE154" s="2319"/>
      <c r="CF154" s="2319"/>
      <c r="CG154" s="2319"/>
      <c r="CH154" s="2319"/>
      <c r="CI154" s="2319"/>
      <c r="CJ154" s="2319"/>
      <c r="CK154" s="2319"/>
      <c r="CL154" s="2319"/>
      <c r="CM154" s="2319"/>
      <c r="CN154" s="2319"/>
      <c r="CO154" s="2319"/>
      <c r="CP154" s="2319"/>
      <c r="CQ154" s="2319"/>
      <c r="CR154" s="2319"/>
      <c r="CS154" s="2319"/>
      <c r="CT154" s="2319"/>
      <c r="CU154" s="2319"/>
      <c r="CV154" s="2319"/>
    </row>
    <row r="155" spans="1:100" ht="15.75" customHeight="1">
      <c r="A155" s="2371"/>
      <c r="B155" s="2319"/>
      <c r="C155" s="2319"/>
      <c r="D155" s="2318"/>
      <c r="E155" s="2319"/>
      <c r="F155" s="2319"/>
      <c r="G155" s="2319"/>
      <c r="H155" s="2319"/>
      <c r="I155" s="2319"/>
      <c r="J155" s="2319"/>
      <c r="K155" s="2319"/>
      <c r="L155" s="2319"/>
      <c r="M155" s="2319"/>
      <c r="N155" s="2319"/>
      <c r="O155" s="2319"/>
      <c r="P155" s="2319"/>
      <c r="Q155" s="2319"/>
      <c r="R155" s="2319"/>
      <c r="S155" s="2319"/>
      <c r="T155" s="2319"/>
      <c r="U155" s="2319"/>
      <c r="V155" s="2319"/>
      <c r="W155" s="2319"/>
      <c r="X155" s="2319"/>
      <c r="Y155" s="2319"/>
      <c r="Z155" s="2319"/>
      <c r="AA155" s="2319"/>
      <c r="AB155" s="2319"/>
      <c r="AC155" s="2319"/>
      <c r="AD155" s="2319"/>
      <c r="AE155" s="2319"/>
      <c r="AF155" s="2319"/>
      <c r="AG155" s="2319"/>
      <c r="AH155" s="2319"/>
      <c r="AI155" s="2319"/>
      <c r="AJ155" s="2319"/>
      <c r="AK155" s="2319"/>
      <c r="AL155" s="2319"/>
      <c r="AM155" s="2319"/>
      <c r="AN155" s="2319"/>
      <c r="AO155" s="2319"/>
      <c r="AP155" s="2319"/>
      <c r="AQ155" s="2319"/>
      <c r="AR155" s="2319"/>
      <c r="AS155" s="2319"/>
      <c r="AT155" s="2319"/>
      <c r="AU155" s="2319"/>
      <c r="AV155" s="2319"/>
      <c r="AW155" s="2319"/>
      <c r="AX155" s="2319"/>
      <c r="AY155" s="2319"/>
      <c r="AZ155" s="2319"/>
      <c r="BA155" s="2319"/>
      <c r="BB155" s="2319"/>
      <c r="BC155" s="2319"/>
      <c r="BD155" s="2319"/>
      <c r="BE155" s="2319"/>
      <c r="BF155" s="2319"/>
      <c r="BG155" s="2319"/>
      <c r="BH155" s="2319"/>
      <c r="BI155" s="2319"/>
      <c r="BJ155" s="2319"/>
      <c r="BK155" s="2319"/>
      <c r="BL155" s="2319"/>
      <c r="BM155" s="2319"/>
      <c r="BN155" s="2319"/>
      <c r="BO155" s="2319"/>
      <c r="BP155" s="2319"/>
      <c r="BQ155" s="2319"/>
      <c r="BR155" s="2319"/>
      <c r="BS155" s="2319"/>
      <c r="BT155" s="2319"/>
      <c r="BU155" s="2319"/>
      <c r="BV155" s="2319"/>
      <c r="BW155" s="2319"/>
      <c r="BX155" s="2319"/>
      <c r="BY155" s="2319"/>
      <c r="BZ155" s="2319"/>
      <c r="CA155" s="2319"/>
      <c r="CB155" s="2319"/>
      <c r="CC155" s="2319"/>
      <c r="CD155" s="2319"/>
      <c r="CE155" s="2319"/>
      <c r="CF155" s="2319"/>
      <c r="CG155" s="2319"/>
      <c r="CH155" s="2319"/>
      <c r="CI155" s="2319"/>
      <c r="CJ155" s="2319"/>
      <c r="CK155" s="2319"/>
      <c r="CL155" s="2319"/>
      <c r="CM155" s="2319"/>
      <c r="CN155" s="2319"/>
      <c r="CO155" s="2319"/>
      <c r="CP155" s="2319"/>
      <c r="CQ155" s="2319"/>
      <c r="CR155" s="2319"/>
      <c r="CS155" s="2319"/>
      <c r="CT155" s="2319"/>
      <c r="CU155" s="2319"/>
      <c r="CV155" s="2319"/>
    </row>
    <row r="156" spans="1:100" ht="15.75" customHeight="1">
      <c r="A156" s="2371"/>
      <c r="B156" s="2319"/>
      <c r="C156" s="2319"/>
      <c r="D156" s="2318"/>
      <c r="E156" s="2319"/>
      <c r="F156" s="2319"/>
      <c r="G156" s="2319"/>
      <c r="H156" s="2319"/>
      <c r="I156" s="2319"/>
      <c r="J156" s="2319"/>
      <c r="K156" s="2319"/>
      <c r="L156" s="2319"/>
      <c r="M156" s="2319"/>
      <c r="N156" s="2319"/>
      <c r="O156" s="2319"/>
      <c r="P156" s="2319"/>
      <c r="Q156" s="2319"/>
      <c r="R156" s="2319"/>
      <c r="S156" s="2319"/>
      <c r="T156" s="2319"/>
      <c r="U156" s="2319"/>
      <c r="V156" s="2319"/>
      <c r="W156" s="2319"/>
      <c r="X156" s="2319"/>
      <c r="Y156" s="2319"/>
      <c r="Z156" s="2319"/>
      <c r="AA156" s="2319"/>
      <c r="AB156" s="2319"/>
      <c r="AC156" s="2319"/>
      <c r="AD156" s="2319"/>
      <c r="AE156" s="2319"/>
      <c r="AF156" s="2319"/>
      <c r="AG156" s="2319"/>
      <c r="AH156" s="2319"/>
      <c r="AI156" s="2319"/>
      <c r="AJ156" s="2319"/>
      <c r="AK156" s="2319"/>
      <c r="AL156" s="2319"/>
      <c r="AM156" s="2319"/>
      <c r="AN156" s="2319"/>
      <c r="AO156" s="2319"/>
      <c r="AP156" s="2319"/>
      <c r="AQ156" s="2319"/>
      <c r="AR156" s="2319"/>
      <c r="AS156" s="2319"/>
      <c r="AT156" s="2319"/>
      <c r="AU156" s="2319"/>
      <c r="AV156" s="2319"/>
      <c r="AW156" s="2319"/>
      <c r="AX156" s="2319"/>
      <c r="AY156" s="2319"/>
      <c r="AZ156" s="2319"/>
      <c r="BA156" s="2319"/>
      <c r="BB156" s="2319"/>
      <c r="BC156" s="2319"/>
      <c r="BD156" s="2319"/>
      <c r="BE156" s="2319"/>
      <c r="BF156" s="2319"/>
      <c r="BG156" s="2319"/>
      <c r="BH156" s="2319"/>
      <c r="BI156" s="2319"/>
      <c r="BJ156" s="2319"/>
      <c r="BK156" s="2319"/>
      <c r="BL156" s="2319"/>
      <c r="BM156" s="2319"/>
      <c r="BN156" s="2319"/>
      <c r="BO156" s="2319"/>
      <c r="BP156" s="2319"/>
      <c r="BQ156" s="2319"/>
      <c r="BR156" s="2319"/>
      <c r="BS156" s="2319"/>
      <c r="BT156" s="2319"/>
      <c r="BU156" s="2319"/>
      <c r="BV156" s="2319"/>
      <c r="BW156" s="2319"/>
      <c r="BX156" s="2319"/>
      <c r="BY156" s="2319"/>
      <c r="BZ156" s="2319"/>
      <c r="CA156" s="2319"/>
      <c r="CB156" s="2319"/>
      <c r="CC156" s="2319"/>
      <c r="CD156" s="2319"/>
      <c r="CE156" s="2319"/>
      <c r="CF156" s="2319"/>
      <c r="CG156" s="2319"/>
      <c r="CH156" s="2319"/>
      <c r="CI156" s="2319"/>
      <c r="CJ156" s="2319"/>
      <c r="CK156" s="2319"/>
      <c r="CL156" s="2319"/>
      <c r="CM156" s="2319"/>
      <c r="CN156" s="2319"/>
      <c r="CO156" s="2319"/>
      <c r="CP156" s="2319"/>
      <c r="CQ156" s="2319"/>
      <c r="CR156" s="2319"/>
      <c r="CS156" s="2319"/>
      <c r="CT156" s="2319"/>
      <c r="CU156" s="2319"/>
      <c r="CV156" s="2319"/>
    </row>
    <row r="157" spans="1:100" ht="15.75" customHeight="1">
      <c r="A157" s="2371"/>
      <c r="B157" s="2319"/>
      <c r="C157" s="2319"/>
      <c r="D157" s="2318"/>
      <c r="E157" s="2319"/>
      <c r="F157" s="2319"/>
      <c r="G157" s="2319"/>
      <c r="H157" s="2319"/>
      <c r="I157" s="2319"/>
      <c r="J157" s="2319"/>
      <c r="K157" s="2319"/>
      <c r="L157" s="2319"/>
      <c r="M157" s="2319"/>
      <c r="N157" s="2319"/>
      <c r="O157" s="2319"/>
      <c r="P157" s="2319"/>
      <c r="Q157" s="2319"/>
      <c r="R157" s="2319"/>
      <c r="S157" s="2319"/>
      <c r="T157" s="2319"/>
      <c r="U157" s="2319"/>
      <c r="V157" s="2319"/>
      <c r="W157" s="2319"/>
      <c r="X157" s="2319"/>
      <c r="Y157" s="2319"/>
      <c r="Z157" s="2319"/>
      <c r="AA157" s="2319"/>
      <c r="AB157" s="2319"/>
      <c r="AC157" s="2319"/>
      <c r="AD157" s="2319"/>
      <c r="AE157" s="2319"/>
      <c r="AF157" s="2319"/>
      <c r="AG157" s="2319"/>
      <c r="AH157" s="2319"/>
      <c r="AI157" s="2319"/>
      <c r="AJ157" s="2319"/>
      <c r="AK157" s="2319"/>
      <c r="AL157" s="2319"/>
      <c r="AM157" s="2319"/>
      <c r="AN157" s="2319"/>
      <c r="AO157" s="2319"/>
      <c r="AP157" s="2319"/>
      <c r="AQ157" s="2319"/>
      <c r="AR157" s="2319"/>
      <c r="AS157" s="2319"/>
      <c r="AT157" s="2319"/>
      <c r="AU157" s="2319"/>
      <c r="AV157" s="2319"/>
      <c r="AW157" s="2319"/>
      <c r="AX157" s="2319"/>
      <c r="AY157" s="2319"/>
      <c r="AZ157" s="2319"/>
      <c r="BA157" s="2319"/>
      <c r="BB157" s="2319"/>
      <c r="BC157" s="2319"/>
      <c r="BD157" s="2319"/>
      <c r="BE157" s="2319"/>
      <c r="BF157" s="2319"/>
      <c r="BG157" s="2319"/>
      <c r="BH157" s="2319"/>
      <c r="BI157" s="2319"/>
      <c r="BJ157" s="2319"/>
      <c r="BK157" s="2319"/>
      <c r="BL157" s="2319"/>
      <c r="BM157" s="2319"/>
      <c r="BN157" s="2319"/>
      <c r="BO157" s="2319"/>
      <c r="BP157" s="2319"/>
      <c r="BQ157" s="2319"/>
      <c r="BR157" s="2319"/>
      <c r="BS157" s="2319"/>
      <c r="BT157" s="2319"/>
      <c r="BU157" s="2319"/>
      <c r="BV157" s="2319"/>
      <c r="BW157" s="2319"/>
      <c r="BX157" s="2319"/>
      <c r="BY157" s="2319"/>
      <c r="BZ157" s="2319"/>
      <c r="CA157" s="2319"/>
      <c r="CB157" s="2319"/>
      <c r="CC157" s="2319"/>
      <c r="CD157" s="2319"/>
      <c r="CE157" s="2319"/>
      <c r="CF157" s="2319"/>
      <c r="CG157" s="2319"/>
      <c r="CH157" s="2319"/>
      <c r="CI157" s="2319"/>
      <c r="CJ157" s="2319"/>
      <c r="CK157" s="2319"/>
      <c r="CL157" s="2319"/>
      <c r="CM157" s="2319"/>
      <c r="CN157" s="2319"/>
      <c r="CO157" s="2319"/>
      <c r="CP157" s="2319"/>
      <c r="CQ157" s="2319"/>
      <c r="CR157" s="2319"/>
      <c r="CS157" s="2319"/>
      <c r="CT157" s="2319"/>
      <c r="CU157" s="2319"/>
      <c r="CV157" s="2319"/>
    </row>
    <row r="158" spans="1:100" ht="15.75" customHeight="1">
      <c r="A158" s="2371"/>
      <c r="B158" s="2319"/>
      <c r="C158" s="2319"/>
      <c r="D158" s="2318"/>
      <c r="E158" s="2319"/>
      <c r="F158" s="2319"/>
      <c r="G158" s="2319"/>
      <c r="H158" s="2319"/>
      <c r="I158" s="2319"/>
      <c r="J158" s="2319"/>
      <c r="K158" s="2319"/>
      <c r="L158" s="2319"/>
      <c r="M158" s="2319"/>
      <c r="N158" s="2319"/>
      <c r="O158" s="2319"/>
      <c r="P158" s="2319"/>
      <c r="Q158" s="2319"/>
      <c r="R158" s="2319"/>
      <c r="S158" s="2319"/>
      <c r="T158" s="2319"/>
      <c r="U158" s="2319"/>
      <c r="V158" s="2319"/>
      <c r="W158" s="2319"/>
      <c r="X158" s="2319"/>
      <c r="Y158" s="2319"/>
      <c r="Z158" s="2319"/>
      <c r="AA158" s="2319"/>
      <c r="AB158" s="2319"/>
      <c r="AC158" s="2319"/>
      <c r="AD158" s="2319"/>
      <c r="AE158" s="2319"/>
      <c r="AF158" s="2319"/>
      <c r="AG158" s="2319"/>
      <c r="AH158" s="2319"/>
      <c r="AI158" s="2319"/>
      <c r="AJ158" s="2319"/>
      <c r="AK158" s="2319"/>
      <c r="AL158" s="2319"/>
      <c r="AM158" s="2319"/>
      <c r="AN158" s="2319"/>
      <c r="AO158" s="2319"/>
      <c r="AP158" s="2319"/>
      <c r="AQ158" s="2319"/>
      <c r="AR158" s="2319"/>
      <c r="AS158" s="2319"/>
      <c r="AT158" s="2319"/>
      <c r="AU158" s="2319"/>
      <c r="AV158" s="2319"/>
      <c r="AW158" s="2319"/>
      <c r="AX158" s="2319"/>
      <c r="AY158" s="2319"/>
      <c r="AZ158" s="2319"/>
      <c r="BA158" s="2319"/>
      <c r="BB158" s="2319"/>
      <c r="BC158" s="2319"/>
      <c r="BD158" s="2319"/>
      <c r="BE158" s="2319"/>
      <c r="BF158" s="2319"/>
      <c r="BG158" s="2319"/>
      <c r="BH158" s="2319"/>
      <c r="BI158" s="2319"/>
      <c r="BJ158" s="2319"/>
      <c r="BK158" s="2319"/>
      <c r="BL158" s="2319"/>
      <c r="BM158" s="2319"/>
      <c r="BN158" s="2319"/>
      <c r="BO158" s="2319"/>
      <c r="BP158" s="2319"/>
      <c r="BQ158" s="2319"/>
      <c r="BR158" s="2319"/>
      <c r="BS158" s="2319"/>
      <c r="BT158" s="2319"/>
      <c r="BU158" s="2319"/>
      <c r="BV158" s="2319"/>
      <c r="BW158" s="2319"/>
      <c r="BX158" s="2319"/>
      <c r="BY158" s="2319"/>
      <c r="BZ158" s="2319"/>
      <c r="CA158" s="2319"/>
      <c r="CB158" s="2319"/>
      <c r="CC158" s="2319"/>
      <c r="CD158" s="2319"/>
      <c r="CE158" s="2319"/>
      <c r="CF158" s="2319"/>
      <c r="CG158" s="2319"/>
      <c r="CH158" s="2319"/>
      <c r="CI158" s="2319"/>
      <c r="CJ158" s="2319"/>
      <c r="CK158" s="2319"/>
      <c r="CL158" s="2319"/>
      <c r="CM158" s="2319"/>
      <c r="CN158" s="2319"/>
      <c r="CO158" s="2319"/>
      <c r="CP158" s="2319"/>
      <c r="CQ158" s="2319"/>
      <c r="CR158" s="2319"/>
      <c r="CS158" s="2319"/>
      <c r="CT158" s="2319"/>
      <c r="CU158" s="2319"/>
      <c r="CV158" s="2319"/>
    </row>
    <row r="159" spans="1:100" ht="15.75" customHeight="1">
      <c r="A159" s="2371"/>
      <c r="B159" s="2319"/>
      <c r="C159" s="2319"/>
      <c r="D159" s="2318"/>
      <c r="E159" s="2319"/>
      <c r="F159" s="2319"/>
      <c r="G159" s="2319"/>
      <c r="H159" s="2319"/>
      <c r="I159" s="2319"/>
      <c r="J159" s="2319"/>
      <c r="K159" s="2319"/>
      <c r="L159" s="2319"/>
      <c r="M159" s="2319"/>
      <c r="N159" s="2319"/>
      <c r="O159" s="2319"/>
      <c r="P159" s="2319"/>
      <c r="Q159" s="2319"/>
      <c r="R159" s="2319"/>
      <c r="S159" s="2319"/>
      <c r="T159" s="2319"/>
      <c r="U159" s="2319"/>
      <c r="V159" s="2319"/>
      <c r="W159" s="2319"/>
      <c r="X159" s="2319"/>
      <c r="Y159" s="2319"/>
      <c r="Z159" s="2319"/>
      <c r="AA159" s="2319"/>
      <c r="AB159" s="2319"/>
      <c r="AC159" s="2319"/>
      <c r="AD159" s="2319"/>
      <c r="AE159" s="2319"/>
      <c r="AF159" s="2319"/>
      <c r="AG159" s="2319"/>
      <c r="AH159" s="2319"/>
      <c r="AI159" s="2319"/>
      <c r="AJ159" s="2319"/>
      <c r="AK159" s="2319"/>
      <c r="AL159" s="2319"/>
      <c r="AM159" s="2319"/>
      <c r="AN159" s="2319"/>
      <c r="AO159" s="2319"/>
      <c r="AP159" s="2319"/>
      <c r="AQ159" s="2319"/>
      <c r="AR159" s="2319"/>
      <c r="AS159" s="2319"/>
      <c r="AT159" s="2319"/>
      <c r="AU159" s="2319"/>
      <c r="AV159" s="2319"/>
      <c r="AW159" s="2319"/>
      <c r="AX159" s="2319"/>
      <c r="AY159" s="2319"/>
      <c r="AZ159" s="2319"/>
      <c r="BA159" s="2319"/>
      <c r="BB159" s="2319"/>
      <c r="BC159" s="2319"/>
      <c r="BD159" s="2319"/>
      <c r="BE159" s="2319"/>
      <c r="BF159" s="2319"/>
      <c r="BG159" s="2319"/>
      <c r="BH159" s="2319"/>
      <c r="BI159" s="2319"/>
      <c r="BJ159" s="2319"/>
      <c r="BK159" s="2319"/>
      <c r="BL159" s="2319"/>
      <c r="BM159" s="2319"/>
      <c r="BN159" s="2319"/>
      <c r="BO159" s="2319"/>
      <c r="BP159" s="2319"/>
      <c r="BQ159" s="2319"/>
      <c r="BR159" s="2319"/>
      <c r="BS159" s="2319"/>
      <c r="BT159" s="2319"/>
      <c r="BU159" s="2319"/>
      <c r="BV159" s="2319"/>
      <c r="BW159" s="2319"/>
      <c r="BX159" s="2319"/>
      <c r="BY159" s="2319"/>
      <c r="BZ159" s="2319"/>
      <c r="CA159" s="2319"/>
      <c r="CB159" s="2319"/>
      <c r="CC159" s="2319"/>
      <c r="CD159" s="2319"/>
      <c r="CE159" s="2319"/>
      <c r="CF159" s="2319"/>
      <c r="CG159" s="2319"/>
      <c r="CH159" s="2319"/>
      <c r="CI159" s="2319"/>
      <c r="CJ159" s="2319"/>
      <c r="CK159" s="2319"/>
      <c r="CL159" s="2319"/>
      <c r="CM159" s="2319"/>
      <c r="CN159" s="2319"/>
      <c r="CO159" s="2319"/>
      <c r="CP159" s="2319"/>
      <c r="CQ159" s="2319"/>
      <c r="CR159" s="2319"/>
      <c r="CS159" s="2319"/>
      <c r="CT159" s="2319"/>
      <c r="CU159" s="2319"/>
      <c r="CV159" s="2319"/>
    </row>
    <row r="160" spans="1:100" ht="15.75" customHeight="1">
      <c r="A160" s="2371"/>
      <c r="B160" s="2319"/>
      <c r="C160" s="2319"/>
      <c r="D160" s="2318"/>
      <c r="E160" s="2319"/>
      <c r="F160" s="2319"/>
      <c r="G160" s="2319"/>
      <c r="H160" s="2319"/>
      <c r="I160" s="2319"/>
      <c r="J160" s="2319"/>
      <c r="K160" s="2319"/>
      <c r="L160" s="2319"/>
      <c r="M160" s="2319"/>
      <c r="N160" s="2319"/>
      <c r="O160" s="2319"/>
      <c r="P160" s="2319"/>
      <c r="Q160" s="2319"/>
      <c r="R160" s="2319"/>
      <c r="S160" s="2319"/>
      <c r="T160" s="2319"/>
      <c r="U160" s="2319"/>
      <c r="V160" s="2319"/>
      <c r="W160" s="2319"/>
      <c r="X160" s="2319"/>
      <c r="Y160" s="2319"/>
      <c r="Z160" s="2319"/>
      <c r="AA160" s="2319"/>
      <c r="AB160" s="2319"/>
      <c r="AC160" s="2319"/>
      <c r="AD160" s="2319"/>
      <c r="AE160" s="2319"/>
      <c r="AF160" s="2319"/>
      <c r="AG160" s="2319"/>
      <c r="AH160" s="2319"/>
      <c r="AI160" s="2319"/>
      <c r="AJ160" s="2319"/>
      <c r="AK160" s="2319"/>
      <c r="AL160" s="2319"/>
      <c r="AM160" s="2319"/>
      <c r="AN160" s="2319"/>
      <c r="AO160" s="2319"/>
      <c r="AP160" s="2319"/>
      <c r="AQ160" s="2319"/>
      <c r="AR160" s="2319"/>
      <c r="AS160" s="2319"/>
      <c r="AT160" s="2319"/>
      <c r="AU160" s="2319"/>
      <c r="AV160" s="2319"/>
      <c r="AW160" s="2319"/>
      <c r="AX160" s="2319"/>
      <c r="AY160" s="2319"/>
      <c r="AZ160" s="2319"/>
      <c r="BA160" s="2319"/>
      <c r="BB160" s="2319"/>
      <c r="BC160" s="2319"/>
      <c r="BD160" s="2319"/>
      <c r="BE160" s="2319"/>
      <c r="BF160" s="2319"/>
      <c r="BG160" s="2319"/>
      <c r="BH160" s="2319"/>
      <c r="BI160" s="2319"/>
      <c r="BJ160" s="2319"/>
      <c r="BK160" s="2319"/>
      <c r="BL160" s="2319"/>
      <c r="BM160" s="2319"/>
      <c r="BN160" s="2319"/>
      <c r="BO160" s="2319"/>
      <c r="BP160" s="2319"/>
      <c r="BQ160" s="2319"/>
      <c r="BR160" s="2319"/>
      <c r="BS160" s="2319"/>
      <c r="BT160" s="2319"/>
      <c r="BU160" s="2319"/>
      <c r="BV160" s="2319"/>
      <c r="BW160" s="2319"/>
      <c r="BX160" s="2319"/>
      <c r="BY160" s="2319"/>
      <c r="BZ160" s="2319"/>
      <c r="CA160" s="2319"/>
      <c r="CB160" s="2319"/>
      <c r="CC160" s="2319"/>
      <c r="CD160" s="2319"/>
      <c r="CE160" s="2319"/>
      <c r="CF160" s="2319"/>
      <c r="CG160" s="2319"/>
      <c r="CH160" s="2319"/>
      <c r="CI160" s="2319"/>
      <c r="CJ160" s="2319"/>
      <c r="CK160" s="2319"/>
      <c r="CL160" s="2319"/>
      <c r="CM160" s="2319"/>
      <c r="CN160" s="2319"/>
      <c r="CO160" s="2319"/>
      <c r="CP160" s="2319"/>
      <c r="CQ160" s="2319"/>
      <c r="CR160" s="2319"/>
      <c r="CS160" s="2319"/>
      <c r="CT160" s="2319"/>
      <c r="CU160" s="2319"/>
      <c r="CV160" s="2319"/>
    </row>
    <row r="161" spans="1:100" ht="15.75" customHeight="1">
      <c r="A161" s="2371"/>
      <c r="B161" s="2319"/>
      <c r="C161" s="2319"/>
      <c r="D161" s="2318"/>
      <c r="E161" s="2319"/>
      <c r="F161" s="2319"/>
      <c r="G161" s="2319"/>
      <c r="H161" s="2319"/>
      <c r="I161" s="2319"/>
      <c r="J161" s="2319"/>
      <c r="K161" s="2319"/>
      <c r="L161" s="2319"/>
      <c r="M161" s="2319"/>
      <c r="N161" s="2319"/>
      <c r="O161" s="2319"/>
      <c r="P161" s="2319"/>
      <c r="Q161" s="2319"/>
      <c r="R161" s="2319"/>
      <c r="S161" s="2319"/>
      <c r="T161" s="2319"/>
      <c r="U161" s="2319"/>
      <c r="V161" s="2319"/>
      <c r="W161" s="2319"/>
      <c r="X161" s="2319"/>
      <c r="Y161" s="2319"/>
      <c r="Z161" s="2319"/>
      <c r="AA161" s="2319"/>
      <c r="AB161" s="2319"/>
      <c r="AC161" s="2319"/>
      <c r="AD161" s="2319"/>
      <c r="AE161" s="2319"/>
      <c r="AF161" s="2319"/>
      <c r="AG161" s="2319"/>
      <c r="AH161" s="2319"/>
      <c r="AI161" s="2319"/>
      <c r="AJ161" s="2319"/>
      <c r="AK161" s="2319"/>
      <c r="AL161" s="2319"/>
      <c r="AM161" s="2319"/>
      <c r="AN161" s="2319"/>
      <c r="AO161" s="2319"/>
      <c r="AP161" s="2319"/>
      <c r="AQ161" s="2319"/>
      <c r="AR161" s="2319"/>
      <c r="AS161" s="2319"/>
      <c r="AT161" s="2319"/>
      <c r="AU161" s="2319"/>
      <c r="AV161" s="2319"/>
      <c r="AW161" s="2319"/>
      <c r="AX161" s="2319"/>
      <c r="AY161" s="2319"/>
      <c r="AZ161" s="2319"/>
      <c r="BA161" s="2319"/>
      <c r="BB161" s="2319"/>
      <c r="BC161" s="2319"/>
      <c r="BD161" s="2319"/>
      <c r="BE161" s="2319"/>
      <c r="BF161" s="2319"/>
      <c r="BG161" s="2319"/>
      <c r="BH161" s="2319"/>
      <c r="BI161" s="2319"/>
      <c r="BJ161" s="2319"/>
      <c r="BK161" s="2319"/>
      <c r="BL161" s="2319"/>
      <c r="BM161" s="2319"/>
      <c r="BN161" s="2319"/>
      <c r="BO161" s="2319"/>
      <c r="BP161" s="2319"/>
      <c r="BQ161" s="2319"/>
      <c r="BR161" s="2319"/>
      <c r="BS161" s="2319"/>
      <c r="BT161" s="2319"/>
      <c r="BU161" s="2319"/>
      <c r="BV161" s="2319"/>
      <c r="BW161" s="2319"/>
      <c r="BX161" s="2319"/>
      <c r="BY161" s="2319"/>
      <c r="BZ161" s="2319"/>
      <c r="CA161" s="2319"/>
      <c r="CB161" s="2319"/>
      <c r="CC161" s="2319"/>
      <c r="CD161" s="2319"/>
      <c r="CE161" s="2319"/>
      <c r="CF161" s="2319"/>
      <c r="CG161" s="2319"/>
      <c r="CH161" s="2319"/>
      <c r="CI161" s="2319"/>
      <c r="CJ161" s="2319"/>
      <c r="CK161" s="2319"/>
      <c r="CL161" s="2319"/>
      <c r="CM161" s="2319"/>
      <c r="CN161" s="2319"/>
      <c r="CO161" s="2319"/>
      <c r="CP161" s="2319"/>
      <c r="CQ161" s="2319"/>
      <c r="CR161" s="2319"/>
      <c r="CS161" s="2319"/>
      <c r="CT161" s="2319"/>
      <c r="CU161" s="2319"/>
      <c r="CV161" s="2319"/>
    </row>
    <row r="162" spans="1:100" ht="15.75" customHeight="1">
      <c r="A162" s="2371"/>
      <c r="B162" s="2319"/>
      <c r="C162" s="2319"/>
      <c r="D162" s="2318"/>
      <c r="E162" s="2319"/>
      <c r="F162" s="2319"/>
      <c r="G162" s="2319"/>
      <c r="H162" s="2319"/>
      <c r="I162" s="2319"/>
      <c r="J162" s="2319"/>
      <c r="K162" s="2319"/>
      <c r="L162" s="2319"/>
      <c r="M162" s="2319"/>
      <c r="N162" s="2319"/>
      <c r="O162" s="2319"/>
      <c r="P162" s="2319"/>
      <c r="Q162" s="2319"/>
      <c r="R162" s="2319"/>
      <c r="S162" s="2319"/>
      <c r="T162" s="2319"/>
      <c r="U162" s="2319"/>
      <c r="V162" s="2319"/>
      <c r="W162" s="2319"/>
      <c r="X162" s="2319"/>
      <c r="Y162" s="2319"/>
      <c r="Z162" s="2319"/>
      <c r="AA162" s="2319"/>
      <c r="AB162" s="2319"/>
      <c r="AC162" s="2319"/>
      <c r="AD162" s="2319"/>
      <c r="AE162" s="2319"/>
      <c r="AF162" s="2319"/>
      <c r="AG162" s="2319"/>
      <c r="AH162" s="2319"/>
      <c r="AI162" s="2319"/>
      <c r="AJ162" s="2319"/>
      <c r="AK162" s="2319"/>
      <c r="AL162" s="2319"/>
      <c r="AM162" s="2319"/>
      <c r="AN162" s="2319"/>
      <c r="AO162" s="2319"/>
      <c r="AP162" s="2319"/>
      <c r="AQ162" s="2319"/>
      <c r="AR162" s="2319"/>
      <c r="AS162" s="2319"/>
      <c r="AT162" s="2319"/>
      <c r="AU162" s="2319"/>
      <c r="AV162" s="2319"/>
      <c r="AW162" s="2319"/>
      <c r="AX162" s="2319"/>
      <c r="AY162" s="2319"/>
      <c r="AZ162" s="2319"/>
      <c r="BA162" s="2319"/>
      <c r="BB162" s="2319"/>
      <c r="BC162" s="2319"/>
      <c r="BD162" s="2319"/>
      <c r="BE162" s="2319"/>
      <c r="BF162" s="2319"/>
      <c r="BG162" s="2319"/>
      <c r="BH162" s="2319"/>
      <c r="BI162" s="2319"/>
      <c r="BJ162" s="2319"/>
      <c r="BK162" s="2319"/>
      <c r="BL162" s="2319"/>
      <c r="BM162" s="2319"/>
      <c r="BN162" s="2319"/>
      <c r="BO162" s="2319"/>
      <c r="BP162" s="2319"/>
      <c r="BQ162" s="2319"/>
      <c r="BR162" s="2319"/>
      <c r="BS162" s="2319"/>
      <c r="BT162" s="2319"/>
      <c r="BU162" s="2319"/>
      <c r="BV162" s="2319"/>
      <c r="BW162" s="2319"/>
      <c r="BX162" s="2319"/>
      <c r="BY162" s="2319"/>
      <c r="BZ162" s="2319"/>
      <c r="CA162" s="2319"/>
      <c r="CB162" s="2319"/>
      <c r="CC162" s="2319"/>
      <c r="CD162" s="2319"/>
      <c r="CE162" s="2319"/>
      <c r="CF162" s="2319"/>
      <c r="CG162" s="2319"/>
      <c r="CH162" s="2319"/>
      <c r="CI162" s="2319"/>
      <c r="CJ162" s="2319"/>
      <c r="CK162" s="2319"/>
      <c r="CL162" s="2319"/>
      <c r="CM162" s="2319"/>
      <c r="CN162" s="2319"/>
      <c r="CO162" s="2319"/>
      <c r="CP162" s="2319"/>
      <c r="CQ162" s="2319"/>
      <c r="CR162" s="2319"/>
      <c r="CS162" s="2319"/>
      <c r="CT162" s="2319"/>
      <c r="CU162" s="2319"/>
      <c r="CV162" s="2319"/>
    </row>
    <row r="163" spans="1:100" ht="15.75" customHeight="1">
      <c r="A163" s="2371"/>
      <c r="B163" s="2319"/>
      <c r="C163" s="2319"/>
      <c r="D163" s="2318"/>
      <c r="E163" s="2319"/>
      <c r="F163" s="2319"/>
      <c r="G163" s="2319"/>
      <c r="H163" s="2319"/>
      <c r="I163" s="2319"/>
      <c r="J163" s="2319"/>
      <c r="K163" s="2319"/>
      <c r="L163" s="2319"/>
      <c r="M163" s="2319"/>
      <c r="N163" s="2319"/>
      <c r="O163" s="2319"/>
      <c r="P163" s="2319"/>
      <c r="Q163" s="2319"/>
      <c r="R163" s="2319"/>
      <c r="S163" s="2319"/>
      <c r="T163" s="2319"/>
      <c r="U163" s="2319"/>
      <c r="V163" s="2319"/>
      <c r="W163" s="2319"/>
      <c r="X163" s="2319"/>
      <c r="Y163" s="2319"/>
      <c r="Z163" s="2319"/>
      <c r="AA163" s="2319"/>
      <c r="AB163" s="2319"/>
      <c r="AC163" s="2319"/>
      <c r="AD163" s="2319"/>
      <c r="AE163" s="2319"/>
      <c r="AF163" s="2319"/>
      <c r="AG163" s="2319"/>
      <c r="AH163" s="2319"/>
      <c r="AI163" s="2319"/>
      <c r="AJ163" s="2319"/>
      <c r="AK163" s="2319"/>
      <c r="AL163" s="2319"/>
      <c r="AM163" s="2319"/>
      <c r="AN163" s="2319"/>
      <c r="AO163" s="2319"/>
      <c r="AP163" s="2319"/>
      <c r="AQ163" s="2319"/>
      <c r="AR163" s="2319"/>
      <c r="AS163" s="2319"/>
      <c r="AT163" s="2319"/>
      <c r="AU163" s="2319"/>
      <c r="AV163" s="2319"/>
      <c r="AW163" s="2319"/>
      <c r="AX163" s="2319"/>
      <c r="AY163" s="2319"/>
      <c r="AZ163" s="2319"/>
      <c r="BA163" s="2319"/>
      <c r="BB163" s="2319"/>
      <c r="BC163" s="2319"/>
      <c r="BD163" s="2319"/>
      <c r="BE163" s="2319"/>
      <c r="BF163" s="2319"/>
      <c r="BG163" s="2319"/>
      <c r="BH163" s="2319"/>
      <c r="BI163" s="2319"/>
      <c r="BJ163" s="2319"/>
      <c r="BK163" s="2319"/>
      <c r="BL163" s="2319"/>
      <c r="BM163" s="2319"/>
      <c r="BN163" s="2319"/>
      <c r="BO163" s="2319"/>
      <c r="BP163" s="2319"/>
      <c r="BQ163" s="2319"/>
      <c r="BR163" s="2319"/>
      <c r="BS163" s="2319"/>
      <c r="BT163" s="2319"/>
      <c r="BU163" s="2319"/>
      <c r="BV163" s="2319"/>
      <c r="BW163" s="2319"/>
      <c r="BX163" s="2319"/>
      <c r="BY163" s="2319"/>
      <c r="BZ163" s="2319"/>
      <c r="CA163" s="2319"/>
      <c r="CB163" s="2319"/>
      <c r="CC163" s="2319"/>
      <c r="CD163" s="2319"/>
      <c r="CE163" s="2319"/>
      <c r="CF163" s="2319"/>
      <c r="CG163" s="2319"/>
      <c r="CH163" s="2319"/>
      <c r="CI163" s="2319"/>
      <c r="CJ163" s="2319"/>
      <c r="CK163" s="2319"/>
      <c r="CL163" s="2319"/>
      <c r="CM163" s="2319"/>
      <c r="CN163" s="2319"/>
      <c r="CO163" s="2319"/>
      <c r="CP163" s="2319"/>
      <c r="CQ163" s="2319"/>
      <c r="CR163" s="2319"/>
      <c r="CS163" s="2319"/>
      <c r="CT163" s="2319"/>
      <c r="CU163" s="2319"/>
      <c r="CV163" s="2319"/>
    </row>
    <row r="164" spans="1:100" ht="15.75" customHeight="1">
      <c r="A164" s="2371"/>
      <c r="B164" s="2319"/>
      <c r="C164" s="2319"/>
      <c r="D164" s="2318"/>
      <c r="E164" s="2319"/>
      <c r="F164" s="2319"/>
      <c r="G164" s="2319"/>
      <c r="H164" s="2319"/>
      <c r="I164" s="2319"/>
      <c r="J164" s="2319"/>
      <c r="K164" s="2319"/>
      <c r="L164" s="2319"/>
      <c r="M164" s="2319"/>
      <c r="N164" s="2319"/>
      <c r="O164" s="2319"/>
      <c r="P164" s="2319"/>
      <c r="Q164" s="2319"/>
      <c r="R164" s="2319"/>
      <c r="S164" s="2319"/>
      <c r="T164" s="2319"/>
      <c r="U164" s="2319"/>
      <c r="V164" s="2319"/>
      <c r="W164" s="2319"/>
      <c r="X164" s="2319"/>
      <c r="Y164" s="2319"/>
      <c r="Z164" s="2319"/>
      <c r="AA164" s="2319"/>
      <c r="AB164" s="2319"/>
      <c r="AC164" s="2319"/>
      <c r="AD164" s="2319"/>
      <c r="AE164" s="2319"/>
      <c r="AF164" s="2319"/>
      <c r="AG164" s="2319"/>
      <c r="AH164" s="2319"/>
      <c r="AI164" s="2319"/>
      <c r="AJ164" s="2319"/>
      <c r="AK164" s="2319"/>
      <c r="AL164" s="2319"/>
      <c r="AM164" s="2319"/>
      <c r="AN164" s="2319"/>
      <c r="AO164" s="2319"/>
      <c r="AP164" s="2319"/>
      <c r="AQ164" s="2319"/>
      <c r="AR164" s="2319"/>
      <c r="AS164" s="2319"/>
      <c r="AT164" s="2319"/>
      <c r="AU164" s="2319"/>
      <c r="AV164" s="2319"/>
      <c r="AW164" s="2319"/>
      <c r="AX164" s="2319"/>
      <c r="AY164" s="2319"/>
      <c r="AZ164" s="2319"/>
      <c r="BA164" s="2319"/>
      <c r="BB164" s="2319"/>
      <c r="BC164" s="2319"/>
      <c r="BD164" s="2319"/>
      <c r="BE164" s="2319"/>
      <c r="BF164" s="2319"/>
      <c r="BG164" s="2319"/>
      <c r="BH164" s="2319"/>
      <c r="BI164" s="2319"/>
      <c r="BJ164" s="2319"/>
      <c r="BK164" s="2319"/>
      <c r="BL164" s="2319"/>
      <c r="BM164" s="2319"/>
      <c r="BN164" s="2319"/>
      <c r="BO164" s="2319"/>
      <c r="BP164" s="2319"/>
      <c r="BQ164" s="2319"/>
      <c r="BR164" s="2319"/>
      <c r="BS164" s="2319"/>
      <c r="BT164" s="2319"/>
      <c r="BU164" s="2319"/>
      <c r="BV164" s="2319"/>
      <c r="BW164" s="2319"/>
      <c r="BX164" s="2319"/>
      <c r="BY164" s="2319"/>
      <c r="BZ164" s="2319"/>
      <c r="CA164" s="2319"/>
      <c r="CB164" s="2319"/>
      <c r="CC164" s="2319"/>
      <c r="CD164" s="2319"/>
      <c r="CE164" s="2319"/>
      <c r="CF164" s="2319"/>
      <c r="CG164" s="2319"/>
      <c r="CH164" s="2319"/>
      <c r="CI164" s="2319"/>
      <c r="CJ164" s="2319"/>
      <c r="CK164" s="2319"/>
      <c r="CL164" s="2319"/>
      <c r="CM164" s="2319"/>
      <c r="CN164" s="2319"/>
      <c r="CO164" s="2319"/>
      <c r="CP164" s="2319"/>
      <c r="CQ164" s="2319"/>
      <c r="CR164" s="2319"/>
      <c r="CS164" s="2319"/>
      <c r="CT164" s="2319"/>
      <c r="CU164" s="2319"/>
      <c r="CV164" s="2319"/>
    </row>
    <row r="165" spans="1:100" ht="15.75" customHeight="1">
      <c r="A165" s="2371"/>
      <c r="B165" s="2319"/>
      <c r="C165" s="2319"/>
      <c r="D165" s="2318"/>
      <c r="E165" s="2319"/>
      <c r="F165" s="2319"/>
      <c r="G165" s="2319"/>
      <c r="H165" s="2319"/>
      <c r="I165" s="2319"/>
      <c r="J165" s="2319"/>
      <c r="K165" s="2319"/>
      <c r="L165" s="2319"/>
      <c r="M165" s="2319"/>
      <c r="N165" s="2319"/>
      <c r="O165" s="2319"/>
      <c r="P165" s="2319"/>
      <c r="Q165" s="2319"/>
      <c r="R165" s="2319"/>
      <c r="S165" s="2319"/>
      <c r="T165" s="2319"/>
      <c r="U165" s="2319"/>
      <c r="V165" s="2319"/>
      <c r="W165" s="2319"/>
      <c r="X165" s="2319"/>
      <c r="Y165" s="2319"/>
      <c r="Z165" s="2319"/>
      <c r="AA165" s="2319"/>
      <c r="AB165" s="2319"/>
      <c r="AC165" s="2319"/>
      <c r="AD165" s="2319"/>
      <c r="AE165" s="2319"/>
      <c r="AF165" s="2319"/>
      <c r="AG165" s="2319"/>
      <c r="AH165" s="2319"/>
      <c r="AI165" s="2319"/>
      <c r="AJ165" s="2319"/>
      <c r="AK165" s="2319"/>
      <c r="AL165" s="2319"/>
      <c r="AM165" s="2319"/>
      <c r="AN165" s="2319"/>
      <c r="AO165" s="2319"/>
      <c r="AP165" s="2319"/>
      <c r="AQ165" s="2319"/>
      <c r="AR165" s="2319"/>
      <c r="AS165" s="2319"/>
      <c r="AT165" s="2319"/>
      <c r="AU165" s="2319"/>
      <c r="AV165" s="2319"/>
      <c r="AW165" s="2319"/>
      <c r="AX165" s="2319"/>
      <c r="AY165" s="2319"/>
      <c r="AZ165" s="2319"/>
      <c r="BA165" s="2319"/>
      <c r="BB165" s="2319"/>
      <c r="BC165" s="2319"/>
      <c r="BD165" s="2319"/>
      <c r="BE165" s="2319"/>
      <c r="BF165" s="2319"/>
      <c r="BG165" s="2319"/>
      <c r="BH165" s="2319"/>
      <c r="BI165" s="2319"/>
      <c r="BJ165" s="2319"/>
      <c r="BK165" s="2319"/>
      <c r="BL165" s="2319"/>
      <c r="BM165" s="2319"/>
      <c r="BN165" s="2319"/>
      <c r="BO165" s="2319"/>
      <c r="BP165" s="2319"/>
      <c r="BQ165" s="2319"/>
      <c r="BR165" s="2319"/>
      <c r="BS165" s="2319"/>
      <c r="BT165" s="2319"/>
      <c r="BU165" s="2319"/>
      <c r="BV165" s="2319"/>
      <c r="BW165" s="2319"/>
      <c r="BX165" s="2319"/>
      <c r="BY165" s="2319"/>
      <c r="BZ165" s="2319"/>
      <c r="CA165" s="2319"/>
      <c r="CB165" s="2319"/>
      <c r="CC165" s="2319"/>
      <c r="CD165" s="2319"/>
      <c r="CE165" s="2319"/>
      <c r="CF165" s="2319"/>
      <c r="CG165" s="2319"/>
      <c r="CH165" s="2319"/>
      <c r="CI165" s="2319"/>
      <c r="CJ165" s="2319"/>
      <c r="CK165" s="2319"/>
      <c r="CL165" s="2319"/>
      <c r="CM165" s="2319"/>
      <c r="CN165" s="2319"/>
      <c r="CO165" s="2319"/>
      <c r="CP165" s="2319"/>
      <c r="CQ165" s="2319"/>
      <c r="CR165" s="2319"/>
      <c r="CS165" s="2319"/>
      <c r="CT165" s="2319"/>
      <c r="CU165" s="2319"/>
      <c r="CV165" s="2319"/>
    </row>
    <row r="166" spans="1:100" ht="15.75" customHeight="1">
      <c r="A166" s="2371"/>
      <c r="B166" s="2319"/>
      <c r="C166" s="2319"/>
      <c r="D166" s="2318"/>
      <c r="E166" s="2319"/>
      <c r="F166" s="2319"/>
      <c r="G166" s="2319"/>
      <c r="H166" s="2319"/>
      <c r="I166" s="2319"/>
      <c r="J166" s="2319"/>
      <c r="K166" s="2319"/>
      <c r="L166" s="2319"/>
      <c r="M166" s="2319"/>
      <c r="N166" s="2319"/>
      <c r="O166" s="2319"/>
      <c r="P166" s="2319"/>
      <c r="Q166" s="2319"/>
      <c r="R166" s="2319"/>
      <c r="S166" s="2319"/>
      <c r="T166" s="2319"/>
      <c r="U166" s="2319"/>
      <c r="V166" s="2319"/>
      <c r="W166" s="2319"/>
      <c r="X166" s="2319"/>
      <c r="Y166" s="2319"/>
      <c r="Z166" s="2319"/>
      <c r="AA166" s="2319"/>
      <c r="AB166" s="2319"/>
      <c r="AC166" s="2319"/>
      <c r="AD166" s="2319"/>
      <c r="AE166" s="2319"/>
      <c r="AF166" s="2319"/>
      <c r="AG166" s="2319"/>
      <c r="AH166" s="2319"/>
      <c r="AI166" s="2319"/>
      <c r="AJ166" s="2319"/>
      <c r="AK166" s="2319"/>
      <c r="AL166" s="2319"/>
      <c r="AM166" s="2319"/>
      <c r="AN166" s="2319"/>
      <c r="AO166" s="2319"/>
      <c r="AP166" s="2319"/>
      <c r="AQ166" s="2319"/>
      <c r="AR166" s="2319"/>
      <c r="AS166" s="2319"/>
      <c r="AT166" s="2319"/>
      <c r="AU166" s="2319"/>
      <c r="AV166" s="2319"/>
      <c r="AW166" s="2319"/>
      <c r="AX166" s="2319"/>
      <c r="AY166" s="2319"/>
      <c r="AZ166" s="2319"/>
      <c r="BA166" s="2319"/>
      <c r="BB166" s="2319"/>
      <c r="BC166" s="2319"/>
      <c r="BD166" s="2319"/>
      <c r="BE166" s="2319"/>
      <c r="BF166" s="2319"/>
      <c r="BG166" s="2319"/>
      <c r="BH166" s="2319"/>
      <c r="BI166" s="2319"/>
      <c r="BJ166" s="2319"/>
      <c r="BK166" s="2319"/>
      <c r="BL166" s="2319"/>
      <c r="BM166" s="2319"/>
      <c r="BN166" s="2319"/>
      <c r="BO166" s="2319"/>
      <c r="BP166" s="2319"/>
      <c r="BQ166" s="2319"/>
      <c r="BR166" s="2319"/>
      <c r="BS166" s="2319"/>
      <c r="BT166" s="2319"/>
      <c r="BU166" s="2319"/>
      <c r="BV166" s="2319"/>
      <c r="BW166" s="2319"/>
      <c r="BX166" s="2319"/>
      <c r="BY166" s="2319"/>
      <c r="BZ166" s="2319"/>
      <c r="CA166" s="2319"/>
      <c r="CB166" s="2319"/>
      <c r="CC166" s="2319"/>
      <c r="CD166" s="2319"/>
      <c r="CE166" s="2319"/>
      <c r="CF166" s="2319"/>
      <c r="CG166" s="2319"/>
      <c r="CH166" s="2319"/>
      <c r="CI166" s="2319"/>
      <c r="CJ166" s="2319"/>
      <c r="CK166" s="2319"/>
      <c r="CL166" s="2319"/>
      <c r="CM166" s="2319"/>
      <c r="CN166" s="2319"/>
      <c r="CO166" s="2319"/>
      <c r="CP166" s="2319"/>
      <c r="CQ166" s="2319"/>
      <c r="CR166" s="2319"/>
      <c r="CS166" s="2319"/>
      <c r="CT166" s="2319"/>
      <c r="CU166" s="2319"/>
      <c r="CV166" s="2319"/>
    </row>
    <row r="167" spans="1:100" ht="15.75" customHeight="1">
      <c r="A167" s="2371"/>
      <c r="B167" s="2319"/>
      <c r="C167" s="2319"/>
      <c r="D167" s="2318"/>
      <c r="E167" s="2319"/>
      <c r="F167" s="2319"/>
      <c r="G167" s="2319"/>
      <c r="H167" s="2319"/>
      <c r="I167" s="2319"/>
      <c r="J167" s="2319"/>
      <c r="K167" s="2319"/>
      <c r="L167" s="2319"/>
      <c r="M167" s="2319"/>
      <c r="N167" s="2319"/>
      <c r="O167" s="2319"/>
      <c r="P167" s="2319"/>
      <c r="Q167" s="2319"/>
      <c r="R167" s="2319"/>
      <c r="S167" s="2319"/>
      <c r="T167" s="2319"/>
      <c r="U167" s="2319"/>
      <c r="V167" s="2319"/>
      <c r="W167" s="2319"/>
      <c r="X167" s="2319"/>
      <c r="Y167" s="2319"/>
      <c r="Z167" s="2319"/>
      <c r="AA167" s="2319"/>
      <c r="AB167" s="2319"/>
      <c r="AC167" s="2319"/>
      <c r="AD167" s="2319"/>
      <c r="AE167" s="2319"/>
      <c r="AF167" s="2319"/>
      <c r="AG167" s="2319"/>
      <c r="AH167" s="2319"/>
      <c r="AI167" s="2319"/>
      <c r="AJ167" s="2319"/>
      <c r="AK167" s="2319"/>
      <c r="AL167" s="2319"/>
      <c r="AM167" s="2319"/>
      <c r="AN167" s="2319"/>
      <c r="AO167" s="2319"/>
      <c r="AP167" s="2319"/>
      <c r="AQ167" s="2319"/>
      <c r="AR167" s="2319"/>
      <c r="AS167" s="2319"/>
      <c r="AT167" s="2319"/>
      <c r="AU167" s="2319"/>
      <c r="AV167" s="2319"/>
      <c r="AW167" s="2319"/>
      <c r="AX167" s="2319"/>
      <c r="AY167" s="2319"/>
      <c r="AZ167" s="2319"/>
      <c r="BA167" s="2319"/>
      <c r="BB167" s="2319"/>
      <c r="BC167" s="2319"/>
      <c r="BD167" s="2319"/>
      <c r="BE167" s="2319"/>
      <c r="BF167" s="2319"/>
      <c r="BG167" s="2319"/>
      <c r="BH167" s="2319"/>
      <c r="BI167" s="2319"/>
      <c r="BJ167" s="2319"/>
      <c r="BK167" s="2319"/>
      <c r="BL167" s="2319"/>
      <c r="BM167" s="2319"/>
      <c r="BN167" s="2319"/>
      <c r="BO167" s="2319"/>
      <c r="BP167" s="2319"/>
      <c r="BQ167" s="2319"/>
      <c r="BR167" s="2319"/>
      <c r="BS167" s="2319"/>
      <c r="BT167" s="2319"/>
      <c r="BU167" s="2319"/>
      <c r="BV167" s="2319"/>
      <c r="BW167" s="2319"/>
      <c r="BX167" s="2319"/>
      <c r="BY167" s="2319"/>
      <c r="BZ167" s="2319"/>
      <c r="CA167" s="2319"/>
      <c r="CB167" s="2319"/>
      <c r="CC167" s="2319"/>
      <c r="CD167" s="2319"/>
      <c r="CE167" s="2319"/>
      <c r="CF167" s="2319"/>
      <c r="CG167" s="2319"/>
      <c r="CH167" s="2319"/>
      <c r="CI167" s="2319"/>
      <c r="CJ167" s="2319"/>
      <c r="CK167" s="2319"/>
      <c r="CL167" s="2319"/>
      <c r="CM167" s="2319"/>
      <c r="CN167" s="2319"/>
      <c r="CO167" s="2319"/>
      <c r="CP167" s="2319"/>
      <c r="CQ167" s="2319"/>
      <c r="CR167" s="2319"/>
      <c r="CS167" s="2319"/>
      <c r="CT167" s="2319"/>
      <c r="CU167" s="2319"/>
      <c r="CV167" s="2319"/>
    </row>
    <row r="168" spans="1:100" ht="15.75" customHeight="1">
      <c r="A168" s="2371"/>
      <c r="B168" s="2319"/>
      <c r="C168" s="2319"/>
      <c r="D168" s="2318"/>
      <c r="E168" s="2319"/>
      <c r="F168" s="2319"/>
      <c r="G168" s="2319"/>
      <c r="H168" s="2319"/>
      <c r="I168" s="2319"/>
      <c r="J168" s="2319"/>
      <c r="K168" s="2319"/>
      <c r="L168" s="2319"/>
      <c r="M168" s="2319"/>
      <c r="N168" s="2319"/>
      <c r="O168" s="2319"/>
      <c r="P168" s="2319"/>
      <c r="Q168" s="2319"/>
      <c r="R168" s="2319"/>
      <c r="S168" s="2319"/>
      <c r="T168" s="2319"/>
      <c r="U168" s="2319"/>
      <c r="V168" s="2319"/>
      <c r="W168" s="2319"/>
      <c r="X168" s="2319"/>
      <c r="Y168" s="2319"/>
      <c r="Z168" s="2319"/>
      <c r="AA168" s="2319"/>
      <c r="AB168" s="2319"/>
      <c r="AC168" s="2319"/>
      <c r="AD168" s="2319"/>
      <c r="AE168" s="2319"/>
      <c r="AF168" s="2319"/>
      <c r="AG168" s="2319"/>
      <c r="AH168" s="2319"/>
      <c r="AI168" s="2319"/>
      <c r="AJ168" s="2319"/>
      <c r="AK168" s="2319"/>
      <c r="AL168" s="2319"/>
      <c r="AM168" s="2319"/>
      <c r="AN168" s="2319"/>
      <c r="AO168" s="2319"/>
      <c r="AP168" s="2319"/>
      <c r="AQ168" s="2319"/>
      <c r="AR168" s="2319"/>
      <c r="AS168" s="2319"/>
      <c r="AT168" s="2319"/>
      <c r="AU168" s="2319"/>
      <c r="AV168" s="2319"/>
      <c r="AW168" s="2319"/>
      <c r="AX168" s="2319"/>
      <c r="AY168" s="2319"/>
      <c r="AZ168" s="2319"/>
      <c r="BA168" s="2319"/>
      <c r="BB168" s="2319"/>
      <c r="BC168" s="2319"/>
      <c r="BD168" s="2319"/>
      <c r="BE168" s="2319"/>
      <c r="BF168" s="2319"/>
      <c r="BG168" s="2319"/>
      <c r="BH168" s="2319"/>
      <c r="BI168" s="2319"/>
      <c r="BJ168" s="2319"/>
      <c r="BK168" s="2319"/>
      <c r="BL168" s="2319"/>
      <c r="BM168" s="2319"/>
      <c r="BN168" s="2319"/>
      <c r="BO168" s="2319"/>
      <c r="BP168" s="2319"/>
      <c r="BQ168" s="2319"/>
      <c r="BR168" s="2319"/>
      <c r="BS168" s="2319"/>
      <c r="BT168" s="2319"/>
      <c r="BU168" s="2319"/>
      <c r="BV168" s="2319"/>
      <c r="BW168" s="2319"/>
      <c r="BX168" s="2319"/>
      <c r="BY168" s="2319"/>
      <c r="BZ168" s="2319"/>
      <c r="CA168" s="2319"/>
      <c r="CB168" s="2319"/>
      <c r="CC168" s="2319"/>
      <c r="CD168" s="2319"/>
      <c r="CE168" s="2319"/>
      <c r="CF168" s="2319"/>
      <c r="CG168" s="2319"/>
      <c r="CH168" s="2319"/>
      <c r="CI168" s="2319"/>
      <c r="CJ168" s="2319"/>
      <c r="CK168" s="2319"/>
      <c r="CL168" s="2319"/>
      <c r="CM168" s="2319"/>
      <c r="CN168" s="2319"/>
      <c r="CO168" s="2319"/>
      <c r="CP168" s="2319"/>
      <c r="CQ168" s="2319"/>
      <c r="CR168" s="2319"/>
      <c r="CS168" s="2319"/>
      <c r="CT168" s="2319"/>
      <c r="CU168" s="2319"/>
      <c r="CV168" s="2319"/>
    </row>
    <row r="169" spans="1:100" ht="15.75" customHeight="1">
      <c r="A169" s="2371"/>
      <c r="B169" s="2319"/>
      <c r="C169" s="2319"/>
      <c r="D169" s="2318"/>
      <c r="E169" s="2319"/>
      <c r="F169" s="2319"/>
      <c r="G169" s="2319"/>
      <c r="H169" s="2319"/>
      <c r="I169" s="2319"/>
      <c r="J169" s="2319"/>
      <c r="K169" s="2319"/>
      <c r="L169" s="2319"/>
      <c r="M169" s="2319"/>
      <c r="N169" s="2319"/>
      <c r="O169" s="2319"/>
      <c r="P169" s="2319"/>
      <c r="Q169" s="2319"/>
      <c r="R169" s="2319"/>
      <c r="S169" s="2319"/>
      <c r="T169" s="2319"/>
      <c r="U169" s="2319"/>
      <c r="V169" s="2319"/>
      <c r="W169" s="2319"/>
      <c r="X169" s="2319"/>
      <c r="Y169" s="2319"/>
      <c r="Z169" s="2319"/>
      <c r="AA169" s="2319"/>
      <c r="AB169" s="2319"/>
      <c r="AC169" s="2319"/>
      <c r="AD169" s="2319"/>
      <c r="AE169" s="2319"/>
      <c r="AF169" s="2319"/>
      <c r="AG169" s="2319"/>
      <c r="AH169" s="2319"/>
      <c r="AI169" s="2319"/>
      <c r="AJ169" s="2319"/>
      <c r="AK169" s="2319"/>
      <c r="AL169" s="2319"/>
      <c r="AM169" s="2319"/>
      <c r="AN169" s="2319"/>
      <c r="AO169" s="2319"/>
      <c r="AP169" s="2319"/>
      <c r="AQ169" s="2319"/>
      <c r="AR169" s="2319"/>
      <c r="AS169" s="2319"/>
      <c r="AT169" s="2319"/>
      <c r="AU169" s="2319"/>
      <c r="AV169" s="2319"/>
      <c r="AW169" s="2319"/>
      <c r="AX169" s="2319"/>
      <c r="AY169" s="2319"/>
      <c r="AZ169" s="2319"/>
      <c r="BA169" s="2319"/>
      <c r="BB169" s="2319"/>
      <c r="BC169" s="2319"/>
      <c r="BD169" s="2319"/>
      <c r="BE169" s="2319"/>
      <c r="BF169" s="2319"/>
      <c r="BG169" s="2319"/>
      <c r="BH169" s="2319"/>
      <c r="BI169" s="2319"/>
      <c r="BJ169" s="2319"/>
      <c r="BK169" s="2319"/>
      <c r="BL169" s="2319"/>
      <c r="BM169" s="2319"/>
      <c r="BN169" s="2319"/>
      <c r="BO169" s="2319"/>
      <c r="BP169" s="2319"/>
      <c r="BQ169" s="2319"/>
      <c r="BR169" s="2319"/>
      <c r="BS169" s="2319"/>
      <c r="BT169" s="2319"/>
      <c r="BU169" s="2319"/>
      <c r="BV169" s="2319"/>
      <c r="BW169" s="2319"/>
      <c r="BX169" s="2319"/>
      <c r="BY169" s="2319"/>
      <c r="BZ169" s="2319"/>
      <c r="CA169" s="2319"/>
      <c r="CB169" s="2319"/>
      <c r="CC169" s="2319"/>
      <c r="CD169" s="2319"/>
      <c r="CE169" s="2319"/>
      <c r="CF169" s="2319"/>
      <c r="CG169" s="2319"/>
      <c r="CH169" s="2319"/>
      <c r="CI169" s="2319"/>
      <c r="CJ169" s="2319"/>
      <c r="CK169" s="2319"/>
      <c r="CL169" s="2319"/>
      <c r="CM169" s="2319"/>
      <c r="CN169" s="2319"/>
      <c r="CO169" s="2319"/>
      <c r="CP169" s="2319"/>
      <c r="CQ169" s="2319"/>
      <c r="CR169" s="2319"/>
      <c r="CS169" s="2319"/>
      <c r="CT169" s="2319"/>
      <c r="CU169" s="2319"/>
      <c r="CV169" s="2319"/>
    </row>
    <row r="170" spans="1:100" ht="15.75" customHeight="1">
      <c r="A170" s="2371"/>
      <c r="B170" s="2319"/>
      <c r="C170" s="2319"/>
      <c r="D170" s="2318"/>
      <c r="E170" s="2319"/>
      <c r="F170" s="2319"/>
      <c r="G170" s="2319"/>
      <c r="H170" s="2319"/>
      <c r="I170" s="2319"/>
      <c r="J170" s="2319"/>
      <c r="K170" s="2319"/>
      <c r="L170" s="2319"/>
      <c r="M170" s="2319"/>
      <c r="N170" s="2319"/>
      <c r="O170" s="2319"/>
      <c r="P170" s="2319"/>
      <c r="Q170" s="2319"/>
      <c r="R170" s="2319"/>
      <c r="S170" s="2319"/>
      <c r="T170" s="2319"/>
      <c r="U170" s="2319"/>
      <c r="V170" s="2319"/>
      <c r="W170" s="2319"/>
      <c r="X170" s="2319"/>
      <c r="Y170" s="2319"/>
      <c r="Z170" s="2319"/>
      <c r="AA170" s="2319"/>
      <c r="AB170" s="2319"/>
      <c r="AC170" s="2319"/>
      <c r="AD170" s="2319"/>
      <c r="AE170" s="2319"/>
      <c r="AF170" s="2319"/>
      <c r="AG170" s="2319"/>
      <c r="AH170" s="2319"/>
      <c r="AI170" s="2319"/>
      <c r="AJ170" s="2319"/>
      <c r="AK170" s="2319"/>
      <c r="AL170" s="2319"/>
      <c r="AM170" s="2319"/>
      <c r="AN170" s="2319"/>
      <c r="AO170" s="2319"/>
      <c r="AP170" s="2319"/>
      <c r="AQ170" s="2319"/>
      <c r="AR170" s="2319"/>
      <c r="AS170" s="2319"/>
      <c r="AT170" s="2319"/>
      <c r="AU170" s="2319"/>
      <c r="AV170" s="2319"/>
      <c r="AW170" s="2319"/>
      <c r="AX170" s="2319"/>
      <c r="AY170" s="2319"/>
      <c r="AZ170" s="2319"/>
      <c r="BA170" s="2319"/>
      <c r="BB170" s="2319"/>
      <c r="BC170" s="2319"/>
      <c r="BD170" s="2319"/>
      <c r="BE170" s="2319"/>
      <c r="BF170" s="2319"/>
      <c r="BG170" s="2319"/>
      <c r="BH170" s="2319"/>
      <c r="BI170" s="2319"/>
      <c r="BJ170" s="2319"/>
      <c r="BK170" s="2319"/>
      <c r="BL170" s="2319"/>
      <c r="BM170" s="2319"/>
      <c r="BN170" s="2319"/>
      <c r="BO170" s="2319"/>
      <c r="BP170" s="2319"/>
      <c r="BQ170" s="2319"/>
      <c r="BR170" s="2319"/>
      <c r="BS170" s="2319"/>
      <c r="BT170" s="2319"/>
      <c r="BU170" s="2319"/>
      <c r="BV170" s="2319"/>
      <c r="BW170" s="2319"/>
      <c r="BX170" s="2319"/>
      <c r="BY170" s="2319"/>
      <c r="BZ170" s="2319"/>
      <c r="CA170" s="2319"/>
      <c r="CB170" s="2319"/>
      <c r="CC170" s="2319"/>
      <c r="CD170" s="2319"/>
      <c r="CE170" s="2319"/>
      <c r="CF170" s="2319"/>
      <c r="CG170" s="2319"/>
      <c r="CH170" s="2319"/>
      <c r="CI170" s="2319"/>
      <c r="CJ170" s="2319"/>
      <c r="CK170" s="2319"/>
      <c r="CL170" s="2319"/>
      <c r="CM170" s="2319"/>
      <c r="CN170" s="2319"/>
      <c r="CO170" s="2319"/>
      <c r="CP170" s="2319"/>
      <c r="CQ170" s="2319"/>
      <c r="CR170" s="2319"/>
      <c r="CS170" s="2319"/>
      <c r="CT170" s="2319"/>
      <c r="CU170" s="2319"/>
      <c r="CV170" s="2319"/>
    </row>
    <row r="171" spans="1:100" ht="15.75" customHeight="1">
      <c r="A171" s="2371"/>
      <c r="B171" s="2319"/>
      <c r="C171" s="2319"/>
      <c r="D171" s="2318"/>
      <c r="E171" s="2319"/>
      <c r="F171" s="2319"/>
      <c r="G171" s="2319"/>
      <c r="H171" s="2319"/>
      <c r="I171" s="2319"/>
      <c r="J171" s="2319"/>
      <c r="K171" s="2319"/>
      <c r="L171" s="2319"/>
      <c r="M171" s="2319"/>
      <c r="N171" s="2319"/>
      <c r="O171" s="2319"/>
      <c r="P171" s="2319"/>
      <c r="Q171" s="2319"/>
      <c r="R171" s="2319"/>
      <c r="S171" s="2319"/>
      <c r="T171" s="2319"/>
      <c r="U171" s="2319"/>
      <c r="V171" s="2319"/>
      <c r="W171" s="2319"/>
      <c r="X171" s="2319"/>
      <c r="Y171" s="2319"/>
      <c r="Z171" s="2319"/>
      <c r="AA171" s="2319"/>
      <c r="AB171" s="2319"/>
      <c r="AC171" s="2319"/>
      <c r="AD171" s="2319"/>
      <c r="AE171" s="2319"/>
      <c r="AF171" s="2319"/>
      <c r="AG171" s="2319"/>
      <c r="AH171" s="2319"/>
      <c r="AI171" s="2319"/>
      <c r="AJ171" s="2319"/>
      <c r="AK171" s="2319"/>
      <c r="AL171" s="2319"/>
      <c r="AM171" s="2319"/>
      <c r="AN171" s="2319"/>
      <c r="AO171" s="2319"/>
      <c r="AP171" s="2319"/>
      <c r="AQ171" s="2319"/>
      <c r="AR171" s="2319"/>
      <c r="AS171" s="2319"/>
      <c r="AT171" s="2319"/>
      <c r="AU171" s="2319"/>
      <c r="AV171" s="2319"/>
      <c r="AW171" s="2319"/>
      <c r="AX171" s="2319"/>
      <c r="AY171" s="2319"/>
      <c r="AZ171" s="2319"/>
      <c r="BA171" s="2319"/>
      <c r="BB171" s="2319"/>
      <c r="BC171" s="2319"/>
      <c r="BD171" s="2319"/>
      <c r="BE171" s="2319"/>
      <c r="BF171" s="2319"/>
      <c r="BG171" s="2319"/>
      <c r="BH171" s="2319"/>
      <c r="BI171" s="2319"/>
      <c r="BJ171" s="2319"/>
      <c r="BK171" s="2319"/>
      <c r="BL171" s="2319"/>
      <c r="BM171" s="2319"/>
      <c r="BN171" s="2319"/>
      <c r="BO171" s="2319"/>
      <c r="BP171" s="2319"/>
      <c r="BQ171" s="2319"/>
      <c r="BR171" s="2319"/>
      <c r="BS171" s="2319"/>
      <c r="BT171" s="2319"/>
      <c r="BU171" s="2319"/>
      <c r="BV171" s="2319"/>
      <c r="BW171" s="2319"/>
      <c r="BX171" s="2319"/>
      <c r="BY171" s="2319"/>
      <c r="BZ171" s="2319"/>
      <c r="CA171" s="2319"/>
      <c r="CB171" s="2319"/>
      <c r="CC171" s="2319"/>
      <c r="CD171" s="2319"/>
      <c r="CE171" s="2319"/>
      <c r="CF171" s="2319"/>
      <c r="CG171" s="2319"/>
      <c r="CH171" s="2319"/>
      <c r="CI171" s="2319"/>
      <c r="CJ171" s="2319"/>
      <c r="CK171" s="2319"/>
      <c r="CL171" s="2319"/>
      <c r="CM171" s="2319"/>
      <c r="CN171" s="2319"/>
      <c r="CO171" s="2319"/>
      <c r="CP171" s="2319"/>
      <c r="CQ171" s="2319"/>
      <c r="CR171" s="2319"/>
      <c r="CS171" s="2319"/>
      <c r="CT171" s="2319"/>
      <c r="CU171" s="2319"/>
      <c r="CV171" s="2319"/>
    </row>
    <row r="172" spans="1:100" ht="15.75" customHeight="1">
      <c r="A172" s="2371"/>
      <c r="B172" s="2319"/>
      <c r="C172" s="2319"/>
      <c r="D172" s="2318"/>
      <c r="E172" s="2319"/>
      <c r="F172" s="2319"/>
      <c r="G172" s="2319"/>
      <c r="H172" s="2319"/>
      <c r="I172" s="2319"/>
      <c r="J172" s="2319"/>
      <c r="K172" s="2319"/>
      <c r="L172" s="2319"/>
      <c r="M172" s="2319"/>
      <c r="N172" s="2319"/>
      <c r="O172" s="2319"/>
      <c r="P172" s="2319"/>
      <c r="Q172" s="2319"/>
      <c r="R172" s="2319"/>
      <c r="S172" s="2319"/>
      <c r="T172" s="2319"/>
      <c r="U172" s="2319"/>
      <c r="V172" s="2319"/>
      <c r="W172" s="2319"/>
      <c r="X172" s="2319"/>
      <c r="Y172" s="2319"/>
      <c r="Z172" s="2319"/>
      <c r="AA172" s="2319"/>
      <c r="AB172" s="2319"/>
      <c r="AC172" s="2319"/>
      <c r="AD172" s="2319"/>
      <c r="AE172" s="2319"/>
      <c r="AF172" s="2319"/>
      <c r="AG172" s="2319"/>
      <c r="AH172" s="2319"/>
      <c r="AI172" s="2319"/>
      <c r="AJ172" s="2319"/>
      <c r="AK172" s="2319"/>
      <c r="AL172" s="2319"/>
      <c r="AM172" s="2319"/>
      <c r="AN172" s="2319"/>
      <c r="AO172" s="2319"/>
      <c r="AP172" s="2319"/>
      <c r="AQ172" s="2319"/>
      <c r="AR172" s="2319"/>
      <c r="AS172" s="2319"/>
      <c r="AT172" s="2319"/>
      <c r="AU172" s="2319"/>
      <c r="AV172" s="2319"/>
      <c r="AW172" s="2319"/>
      <c r="AX172" s="2319"/>
      <c r="AY172" s="2319"/>
      <c r="AZ172" s="2319"/>
      <c r="BA172" s="2319"/>
      <c r="BB172" s="2319"/>
      <c r="BC172" s="2319"/>
      <c r="BD172" s="2319"/>
      <c r="BE172" s="2319"/>
      <c r="BF172" s="2319"/>
      <c r="BG172" s="2319"/>
      <c r="BH172" s="2319"/>
      <c r="BI172" s="2319"/>
      <c r="BJ172" s="2319"/>
      <c r="BK172" s="2319"/>
      <c r="BL172" s="2319"/>
      <c r="BM172" s="2319"/>
      <c r="BN172" s="2319"/>
      <c r="BO172" s="2319"/>
      <c r="BP172" s="2319"/>
      <c r="BQ172" s="2319"/>
      <c r="BR172" s="2319"/>
      <c r="BS172" s="2319"/>
      <c r="BT172" s="2319"/>
      <c r="BU172" s="2319"/>
      <c r="BV172" s="2319"/>
      <c r="BW172" s="2319"/>
      <c r="BX172" s="2319"/>
      <c r="BY172" s="2319"/>
      <c r="BZ172" s="2319"/>
      <c r="CA172" s="2319"/>
      <c r="CB172" s="2319"/>
      <c r="CC172" s="2319"/>
      <c r="CD172" s="2319"/>
      <c r="CE172" s="2319"/>
      <c r="CF172" s="2319"/>
      <c r="CG172" s="2319"/>
      <c r="CH172" s="2319"/>
      <c r="CI172" s="2319"/>
      <c r="CJ172" s="2319"/>
      <c r="CK172" s="2319"/>
      <c r="CL172" s="2319"/>
      <c r="CM172" s="2319"/>
      <c r="CN172" s="2319"/>
      <c r="CO172" s="2319"/>
      <c r="CP172" s="2319"/>
      <c r="CQ172" s="2319"/>
      <c r="CR172" s="2319"/>
      <c r="CS172" s="2319"/>
      <c r="CT172" s="2319"/>
      <c r="CU172" s="2319"/>
      <c r="CV172" s="2319"/>
    </row>
    <row r="173" spans="1:100" ht="15.75" customHeight="1">
      <c r="A173" s="2371"/>
      <c r="B173" s="2319"/>
      <c r="C173" s="2319"/>
      <c r="D173" s="2318"/>
      <c r="E173" s="2319"/>
      <c r="F173" s="2319"/>
      <c r="G173" s="2319"/>
      <c r="H173" s="2319"/>
      <c r="I173" s="2319"/>
      <c r="J173" s="2319"/>
      <c r="K173" s="2319"/>
      <c r="L173" s="2319"/>
      <c r="M173" s="2319"/>
      <c r="N173" s="2319"/>
      <c r="O173" s="2319"/>
      <c r="P173" s="2319"/>
      <c r="Q173" s="2319"/>
      <c r="R173" s="2319"/>
      <c r="S173" s="2319"/>
      <c r="T173" s="2319"/>
      <c r="U173" s="2319"/>
      <c r="V173" s="2319"/>
      <c r="W173" s="2319"/>
      <c r="X173" s="2319"/>
      <c r="Y173" s="2319"/>
      <c r="Z173" s="2319"/>
      <c r="AA173" s="2319"/>
      <c r="AB173" s="2319"/>
      <c r="AC173" s="2319"/>
      <c r="AD173" s="2319"/>
      <c r="AE173" s="2319"/>
      <c r="AF173" s="2319"/>
      <c r="AG173" s="2319"/>
      <c r="AH173" s="2319"/>
      <c r="AI173" s="2319"/>
      <c r="AJ173" s="2319"/>
      <c r="AK173" s="2319"/>
      <c r="AL173" s="2319"/>
      <c r="AM173" s="2319"/>
      <c r="AN173" s="2319"/>
      <c r="AO173" s="2319"/>
      <c r="AP173" s="2319"/>
      <c r="AQ173" s="2319"/>
      <c r="AR173" s="2319"/>
      <c r="AS173" s="2319"/>
      <c r="AT173" s="2319"/>
      <c r="AU173" s="2319"/>
      <c r="AV173" s="2319"/>
      <c r="AW173" s="2319"/>
      <c r="AX173" s="2319"/>
      <c r="AY173" s="2319"/>
      <c r="AZ173" s="2319"/>
      <c r="BA173" s="2319"/>
      <c r="BB173" s="2319"/>
      <c r="BC173" s="2319"/>
      <c r="BD173" s="2319"/>
      <c r="BE173" s="2319"/>
      <c r="BF173" s="2319"/>
      <c r="BG173" s="2319"/>
      <c r="BH173" s="2319"/>
      <c r="BI173" s="2319"/>
      <c r="BJ173" s="2319"/>
      <c r="BK173" s="2319"/>
      <c r="BL173" s="2319"/>
      <c r="BM173" s="2319"/>
      <c r="BN173" s="2319"/>
      <c r="BO173" s="2319"/>
      <c r="BP173" s="2319"/>
      <c r="BQ173" s="2319"/>
      <c r="BR173" s="2319"/>
      <c r="BS173" s="2319"/>
      <c r="BT173" s="2319"/>
      <c r="BU173" s="2319"/>
      <c r="BV173" s="2319"/>
      <c r="BW173" s="2319"/>
      <c r="BX173" s="2319"/>
      <c r="BY173" s="2319"/>
      <c r="BZ173" s="2319"/>
      <c r="CA173" s="2319"/>
      <c r="CB173" s="2319"/>
      <c r="CC173" s="2319"/>
      <c r="CD173" s="2319"/>
      <c r="CE173" s="2319"/>
      <c r="CF173" s="2319"/>
      <c r="CG173" s="2319"/>
      <c r="CH173" s="2319"/>
      <c r="CI173" s="2319"/>
      <c r="CJ173" s="2319"/>
      <c r="CK173" s="2319"/>
      <c r="CL173" s="2319"/>
      <c r="CM173" s="2319"/>
      <c r="CN173" s="2319"/>
      <c r="CO173" s="2319"/>
      <c r="CP173" s="2319"/>
      <c r="CQ173" s="2319"/>
      <c r="CR173" s="2319"/>
      <c r="CS173" s="2319"/>
      <c r="CT173" s="2319"/>
      <c r="CU173" s="2319"/>
      <c r="CV173" s="2319"/>
    </row>
    <row r="174" spans="1:100" ht="15.75" customHeight="1">
      <c r="A174" s="2371"/>
      <c r="B174" s="2319"/>
      <c r="C174" s="2319"/>
      <c r="D174" s="2318"/>
      <c r="E174" s="2319"/>
      <c r="F174" s="2319"/>
      <c r="G174" s="2319"/>
      <c r="H174" s="2319"/>
      <c r="I174" s="2319"/>
      <c r="J174" s="2319"/>
      <c r="K174" s="2319"/>
      <c r="L174" s="2319"/>
      <c r="M174" s="2319"/>
      <c r="N174" s="2319"/>
      <c r="O174" s="2319"/>
      <c r="P174" s="2319"/>
      <c r="Q174" s="2319"/>
      <c r="R174" s="2319"/>
      <c r="S174" s="2319"/>
      <c r="T174" s="2319"/>
      <c r="U174" s="2319"/>
      <c r="V174" s="2319"/>
      <c r="W174" s="2319"/>
      <c r="X174" s="2319"/>
      <c r="Y174" s="2319"/>
      <c r="Z174" s="2319"/>
      <c r="AA174" s="2319"/>
      <c r="AB174" s="2319"/>
      <c r="AC174" s="2319"/>
      <c r="AD174" s="2319"/>
      <c r="AE174" s="2319"/>
      <c r="AF174" s="2319"/>
      <c r="AG174" s="2319"/>
      <c r="AH174" s="2319"/>
      <c r="AI174" s="2319"/>
      <c r="AJ174" s="2319"/>
      <c r="AK174" s="2319"/>
      <c r="AL174" s="2319"/>
      <c r="AM174" s="2319"/>
      <c r="AN174" s="2319"/>
      <c r="AO174" s="2319"/>
      <c r="AP174" s="2319"/>
      <c r="AQ174" s="2319"/>
      <c r="AR174" s="2319"/>
      <c r="AS174" s="2319"/>
      <c r="AT174" s="2319"/>
      <c r="AU174" s="2319"/>
      <c r="AV174" s="2319"/>
      <c r="AW174" s="2319"/>
      <c r="AX174" s="2319"/>
      <c r="AY174" s="2319"/>
      <c r="AZ174" s="2319"/>
      <c r="BA174" s="2319"/>
      <c r="BB174" s="2319"/>
      <c r="BC174" s="2319"/>
      <c r="BD174" s="2319"/>
      <c r="BE174" s="2319"/>
      <c r="BF174" s="2319"/>
      <c r="BG174" s="2319"/>
      <c r="BH174" s="2319"/>
      <c r="BI174" s="2319"/>
      <c r="BJ174" s="2319"/>
      <c r="BK174" s="2319"/>
      <c r="BL174" s="2319"/>
      <c r="BM174" s="2319"/>
      <c r="BN174" s="2319"/>
      <c r="BO174" s="2319"/>
      <c r="BP174" s="2319"/>
      <c r="BQ174" s="2319"/>
      <c r="BR174" s="2319"/>
      <c r="BS174" s="2319"/>
      <c r="BT174" s="2319"/>
      <c r="BU174" s="2319"/>
      <c r="BV174" s="2319"/>
      <c r="BW174" s="2319"/>
      <c r="BX174" s="2319"/>
      <c r="BY174" s="2319"/>
      <c r="BZ174" s="2319"/>
      <c r="CA174" s="2319"/>
      <c r="CB174" s="2319"/>
      <c r="CC174" s="2319"/>
      <c r="CD174" s="2319"/>
      <c r="CE174" s="2319"/>
      <c r="CF174" s="2319"/>
      <c r="CG174" s="2319"/>
      <c r="CH174" s="2319"/>
      <c r="CI174" s="2319"/>
      <c r="CJ174" s="2319"/>
      <c r="CK174" s="2319"/>
      <c r="CL174" s="2319"/>
      <c r="CM174" s="2319"/>
      <c r="CN174" s="2319"/>
      <c r="CO174" s="2319"/>
      <c r="CP174" s="2319"/>
      <c r="CQ174" s="2319"/>
      <c r="CR174" s="2319"/>
      <c r="CS174" s="2319"/>
      <c r="CT174" s="2319"/>
      <c r="CU174" s="2319"/>
      <c r="CV174" s="2319"/>
    </row>
    <row r="175" spans="1:100" ht="15.75" customHeight="1">
      <c r="A175" s="2371"/>
      <c r="B175" s="2319"/>
      <c r="C175" s="2319"/>
      <c r="D175" s="2318"/>
      <c r="E175" s="2319"/>
      <c r="F175" s="2319"/>
      <c r="G175" s="2319"/>
      <c r="H175" s="2319"/>
      <c r="I175" s="2319"/>
      <c r="J175" s="2319"/>
      <c r="K175" s="2319"/>
      <c r="L175" s="2319"/>
      <c r="M175" s="2319"/>
      <c r="N175" s="2319"/>
      <c r="O175" s="2319"/>
      <c r="P175" s="2319"/>
      <c r="Q175" s="2319"/>
      <c r="R175" s="2319"/>
      <c r="S175" s="2319"/>
      <c r="T175" s="2319"/>
      <c r="U175" s="2319"/>
      <c r="V175" s="2319"/>
      <c r="W175" s="2319"/>
      <c r="X175" s="2319"/>
      <c r="Y175" s="2319"/>
      <c r="Z175" s="2319"/>
      <c r="AA175" s="2319"/>
      <c r="AB175" s="2319"/>
      <c r="AC175" s="2319"/>
      <c r="AD175" s="2319"/>
      <c r="AE175" s="2319"/>
      <c r="AF175" s="2319"/>
      <c r="AG175" s="2319"/>
      <c r="AH175" s="2319"/>
      <c r="AI175" s="2319"/>
      <c r="AJ175" s="2319"/>
      <c r="AK175" s="2319"/>
      <c r="AL175" s="2319"/>
      <c r="AM175" s="2319"/>
      <c r="AN175" s="2319"/>
      <c r="AO175" s="2319"/>
      <c r="AP175" s="2319"/>
      <c r="AQ175" s="2319"/>
      <c r="AR175" s="2319"/>
      <c r="AS175" s="2319"/>
      <c r="AT175" s="2319"/>
      <c r="AU175" s="2319"/>
      <c r="AV175" s="2319"/>
      <c r="AW175" s="2319"/>
      <c r="AX175" s="2319"/>
      <c r="AY175" s="2319"/>
      <c r="AZ175" s="2319"/>
      <c r="BA175" s="2319"/>
      <c r="BB175" s="2319"/>
      <c r="BC175" s="2319"/>
      <c r="BD175" s="2319"/>
      <c r="BE175" s="2319"/>
      <c r="BF175" s="2319"/>
      <c r="BG175" s="2319"/>
      <c r="BH175" s="2319"/>
      <c r="BI175" s="2319"/>
      <c r="BJ175" s="2319"/>
      <c r="BK175" s="2319"/>
      <c r="BL175" s="2319"/>
      <c r="BM175" s="2319"/>
      <c r="BN175" s="2319"/>
      <c r="BO175" s="2319"/>
      <c r="BP175" s="2319"/>
      <c r="BQ175" s="2319"/>
      <c r="BR175" s="2319"/>
      <c r="BS175" s="2319"/>
      <c r="BT175" s="2319"/>
      <c r="BU175" s="2319"/>
      <c r="BV175" s="2319"/>
      <c r="BW175" s="2319"/>
      <c r="BX175" s="2319"/>
      <c r="BY175" s="2319"/>
      <c r="BZ175" s="2319"/>
      <c r="CA175" s="2319"/>
      <c r="CB175" s="2319"/>
      <c r="CC175" s="2319"/>
      <c r="CD175" s="2319"/>
      <c r="CE175" s="2319"/>
      <c r="CF175" s="2319"/>
      <c r="CG175" s="2319"/>
      <c r="CH175" s="2319"/>
      <c r="CI175" s="2319"/>
      <c r="CJ175" s="2319"/>
      <c r="CK175" s="2319"/>
      <c r="CL175" s="2319"/>
      <c r="CM175" s="2319"/>
      <c r="CN175" s="2319"/>
      <c r="CO175" s="2319"/>
      <c r="CP175" s="2319"/>
      <c r="CQ175" s="2319"/>
      <c r="CR175" s="2319"/>
      <c r="CS175" s="2319"/>
      <c r="CT175" s="2319"/>
      <c r="CU175" s="2319"/>
      <c r="CV175" s="2319"/>
    </row>
    <row r="176" spans="1:100" ht="15.75" customHeight="1">
      <c r="A176" s="2371"/>
      <c r="B176" s="2319"/>
      <c r="C176" s="2319"/>
      <c r="D176" s="2318"/>
      <c r="E176" s="2319"/>
      <c r="F176" s="2319"/>
      <c r="G176" s="2319"/>
      <c r="H176" s="2319"/>
      <c r="I176" s="2319"/>
      <c r="J176" s="2319"/>
      <c r="K176" s="2319"/>
      <c r="L176" s="2319"/>
      <c r="M176" s="2319"/>
      <c r="N176" s="2319"/>
      <c r="O176" s="2319"/>
      <c r="P176" s="2319"/>
      <c r="Q176" s="2319"/>
      <c r="R176" s="2319"/>
      <c r="S176" s="2319"/>
      <c r="T176" s="2319"/>
      <c r="U176" s="2319"/>
      <c r="V176" s="2319"/>
      <c r="W176" s="2319"/>
      <c r="X176" s="2319"/>
      <c r="Y176" s="2319"/>
      <c r="Z176" s="2319"/>
      <c r="AA176" s="2319"/>
      <c r="AB176" s="2319"/>
      <c r="AC176" s="2319"/>
      <c r="AD176" s="2319"/>
      <c r="AE176" s="2319"/>
      <c r="AF176" s="2319"/>
      <c r="AG176" s="2319"/>
      <c r="AH176" s="2319"/>
      <c r="AI176" s="2319"/>
      <c r="AJ176" s="2319"/>
      <c r="AK176" s="2319"/>
      <c r="AL176" s="2319"/>
      <c r="AM176" s="2319"/>
      <c r="AN176" s="2319"/>
      <c r="AO176" s="2319"/>
      <c r="AP176" s="2319"/>
      <c r="AQ176" s="2319"/>
      <c r="AR176" s="2319"/>
      <c r="AS176" s="2319"/>
      <c r="AT176" s="2319"/>
      <c r="AU176" s="2319"/>
      <c r="AV176" s="2319"/>
      <c r="AW176" s="2319"/>
      <c r="AX176" s="2319"/>
      <c r="AY176" s="2319"/>
      <c r="AZ176" s="2319"/>
      <c r="BA176" s="2319"/>
      <c r="BB176" s="2319"/>
      <c r="BC176" s="2319"/>
      <c r="BD176" s="2319"/>
      <c r="BE176" s="2319"/>
      <c r="BF176" s="2319"/>
      <c r="BG176" s="2319"/>
      <c r="BH176" s="2319"/>
      <c r="BI176" s="2319"/>
      <c r="BJ176" s="2319"/>
      <c r="BK176" s="2319"/>
      <c r="BL176" s="2319"/>
      <c r="BM176" s="2319"/>
      <c r="BN176" s="2319"/>
      <c r="BO176" s="2319"/>
      <c r="BP176" s="2319"/>
      <c r="BQ176" s="2319"/>
      <c r="BR176" s="2319"/>
      <c r="BS176" s="2319"/>
      <c r="BT176" s="2319"/>
      <c r="BU176" s="2319"/>
      <c r="BV176" s="2319"/>
      <c r="BW176" s="2319"/>
      <c r="BX176" s="2319"/>
      <c r="BY176" s="2319"/>
      <c r="BZ176" s="2319"/>
      <c r="CA176" s="2319"/>
      <c r="CB176" s="2319"/>
      <c r="CC176" s="2319"/>
      <c r="CD176" s="2319"/>
      <c r="CE176" s="2319"/>
      <c r="CF176" s="2319"/>
      <c r="CG176" s="2319"/>
      <c r="CH176" s="2319"/>
      <c r="CI176" s="2319"/>
      <c r="CJ176" s="2319"/>
      <c r="CK176" s="2319"/>
      <c r="CL176" s="2319"/>
      <c r="CM176" s="2319"/>
      <c r="CN176" s="2319"/>
      <c r="CO176" s="2319"/>
      <c r="CP176" s="2319"/>
      <c r="CQ176" s="2319"/>
      <c r="CR176" s="2319"/>
      <c r="CS176" s="2319"/>
      <c r="CT176" s="2319"/>
      <c r="CU176" s="2319"/>
      <c r="CV176" s="2319"/>
    </row>
    <row r="177" spans="1:100" ht="15.75" customHeight="1">
      <c r="A177" s="2371"/>
      <c r="B177" s="2319"/>
      <c r="C177" s="2319"/>
      <c r="D177" s="2318"/>
      <c r="E177" s="2319"/>
      <c r="F177" s="2319"/>
      <c r="G177" s="2319"/>
      <c r="H177" s="2319"/>
      <c r="I177" s="2319"/>
      <c r="J177" s="2319"/>
      <c r="K177" s="2319"/>
      <c r="L177" s="2319"/>
      <c r="M177" s="2319"/>
      <c r="N177" s="2319"/>
      <c r="O177" s="2319"/>
      <c r="P177" s="2319"/>
      <c r="Q177" s="2319"/>
      <c r="R177" s="2319"/>
      <c r="S177" s="2319"/>
      <c r="T177" s="2319"/>
      <c r="U177" s="2319"/>
      <c r="V177" s="2319"/>
      <c r="W177" s="2319"/>
      <c r="X177" s="2319"/>
      <c r="Y177" s="2319"/>
      <c r="Z177" s="2319"/>
      <c r="AA177" s="2319"/>
      <c r="AB177" s="2319"/>
      <c r="AC177" s="2319"/>
      <c r="AD177" s="2319"/>
      <c r="AE177" s="2319"/>
      <c r="AF177" s="2319"/>
      <c r="AG177" s="2319"/>
      <c r="AH177" s="2319"/>
      <c r="AI177" s="2319"/>
      <c r="AJ177" s="2319"/>
      <c r="AK177" s="2319"/>
      <c r="AL177" s="2319"/>
      <c r="AM177" s="2319"/>
      <c r="AN177" s="2319"/>
      <c r="AO177" s="2319"/>
      <c r="AP177" s="2319"/>
      <c r="AQ177" s="2319"/>
      <c r="AR177" s="2319"/>
      <c r="AS177" s="2319"/>
      <c r="AT177" s="2319"/>
      <c r="AU177" s="2319"/>
      <c r="AV177" s="2319"/>
      <c r="AW177" s="2319"/>
      <c r="AX177" s="2319"/>
      <c r="AY177" s="2319"/>
      <c r="AZ177" s="2319"/>
      <c r="BA177" s="2319"/>
      <c r="BB177" s="2319"/>
      <c r="BC177" s="2319"/>
      <c r="BD177" s="2319"/>
      <c r="BE177" s="2319"/>
      <c r="BF177" s="2319"/>
      <c r="BG177" s="2319"/>
      <c r="BH177" s="2319"/>
      <c r="BI177" s="2319"/>
      <c r="BJ177" s="2319"/>
      <c r="BK177" s="2319"/>
      <c r="BL177" s="2319"/>
      <c r="BM177" s="2319"/>
      <c r="BN177" s="2319"/>
      <c r="BO177" s="2319"/>
      <c r="BP177" s="2319"/>
      <c r="BQ177" s="2319"/>
      <c r="BR177" s="2319"/>
      <c r="BS177" s="2319"/>
      <c r="BT177" s="2319"/>
      <c r="BU177" s="2319"/>
      <c r="BV177" s="2319"/>
      <c r="BW177" s="2319"/>
      <c r="BX177" s="2319"/>
      <c r="BY177" s="2319"/>
      <c r="BZ177" s="2319"/>
      <c r="CA177" s="2319"/>
      <c r="CB177" s="2319"/>
      <c r="CC177" s="2319"/>
      <c r="CD177" s="2319"/>
      <c r="CE177" s="2319"/>
      <c r="CF177" s="2319"/>
      <c r="CG177" s="2319"/>
      <c r="CH177" s="2319"/>
      <c r="CI177" s="2319"/>
      <c r="CJ177" s="2319"/>
      <c r="CK177" s="2319"/>
      <c r="CL177" s="2319"/>
      <c r="CM177" s="2319"/>
      <c r="CN177" s="2319"/>
      <c r="CO177" s="2319"/>
      <c r="CP177" s="2319"/>
      <c r="CQ177" s="2319"/>
      <c r="CR177" s="2319"/>
      <c r="CS177" s="2319"/>
      <c r="CT177" s="2319"/>
      <c r="CU177" s="2319"/>
      <c r="CV177" s="2319"/>
    </row>
    <row r="178" spans="1:100" ht="15.75" customHeight="1">
      <c r="A178" s="2371"/>
      <c r="B178" s="2319"/>
      <c r="C178" s="2319"/>
      <c r="D178" s="2318"/>
      <c r="E178" s="2319"/>
      <c r="F178" s="2319"/>
      <c r="G178" s="2319"/>
      <c r="H178" s="2319"/>
      <c r="I178" s="2319"/>
      <c r="J178" s="2319"/>
      <c r="K178" s="2319"/>
      <c r="L178" s="2319"/>
      <c r="M178" s="2319"/>
      <c r="N178" s="2319"/>
      <c r="O178" s="2319"/>
      <c r="P178" s="2319"/>
      <c r="Q178" s="2319"/>
      <c r="R178" s="2319"/>
      <c r="S178" s="2319"/>
      <c r="T178" s="2319"/>
      <c r="U178" s="2319"/>
      <c r="V178" s="2319"/>
      <c r="W178" s="2319"/>
      <c r="X178" s="2319"/>
      <c r="Y178" s="2319"/>
      <c r="Z178" s="2319"/>
      <c r="AA178" s="2319"/>
      <c r="AB178" s="2319"/>
      <c r="AC178" s="2319"/>
      <c r="AD178" s="2319"/>
      <c r="AE178" s="2319"/>
      <c r="AF178" s="2319"/>
      <c r="AG178" s="2319"/>
      <c r="AH178" s="2319"/>
      <c r="AI178" s="2319"/>
      <c r="AJ178" s="2319"/>
      <c r="AK178" s="2319"/>
      <c r="AL178" s="2319"/>
      <c r="AM178" s="2319"/>
      <c r="AN178" s="2319"/>
      <c r="AO178" s="2319"/>
      <c r="AP178" s="2319"/>
      <c r="AQ178" s="2319"/>
      <c r="AR178" s="2319"/>
      <c r="AS178" s="2319"/>
      <c r="AT178" s="2319"/>
      <c r="AU178" s="2319"/>
      <c r="AV178" s="2319"/>
      <c r="AW178" s="2319"/>
      <c r="AX178" s="2319"/>
      <c r="AY178" s="2319"/>
      <c r="AZ178" s="2319"/>
      <c r="BA178" s="2319"/>
      <c r="BB178" s="2319"/>
      <c r="BC178" s="2319"/>
      <c r="BD178" s="2319"/>
      <c r="BE178" s="2319"/>
      <c r="BF178" s="2319"/>
      <c r="BG178" s="2319"/>
      <c r="BH178" s="2319"/>
      <c r="BI178" s="2319"/>
      <c r="BJ178" s="2319"/>
      <c r="BK178" s="2319"/>
      <c r="BL178" s="2319"/>
      <c r="BM178" s="2319"/>
      <c r="BN178" s="2319"/>
      <c r="BO178" s="2319"/>
      <c r="BP178" s="2319"/>
      <c r="BQ178" s="2319"/>
      <c r="BR178" s="2319"/>
      <c r="BS178" s="2319"/>
      <c r="BT178" s="2319"/>
      <c r="BU178" s="2319"/>
      <c r="BV178" s="2319"/>
      <c r="BW178" s="2319"/>
      <c r="BX178" s="2319"/>
      <c r="BY178" s="2319"/>
      <c r="BZ178" s="2319"/>
      <c r="CA178" s="2319"/>
      <c r="CB178" s="2319"/>
      <c r="CC178" s="2319"/>
      <c r="CD178" s="2319"/>
      <c r="CE178" s="2319"/>
      <c r="CF178" s="2319"/>
      <c r="CG178" s="2319"/>
      <c r="CH178" s="2319"/>
      <c r="CI178" s="2319"/>
      <c r="CJ178" s="2319"/>
      <c r="CK178" s="2319"/>
      <c r="CL178" s="2319"/>
      <c r="CM178" s="2319"/>
      <c r="CN178" s="2319"/>
      <c r="CO178" s="2319"/>
      <c r="CP178" s="2319"/>
      <c r="CQ178" s="2319"/>
      <c r="CR178" s="2319"/>
      <c r="CS178" s="2319"/>
      <c r="CT178" s="2319"/>
      <c r="CU178" s="2319"/>
      <c r="CV178" s="2319"/>
    </row>
    <row r="179" spans="1:100" ht="15.75" customHeight="1">
      <c r="A179" s="2371"/>
      <c r="B179" s="2319"/>
      <c r="C179" s="2319"/>
      <c r="D179" s="2318"/>
      <c r="E179" s="2319"/>
      <c r="F179" s="2319"/>
      <c r="G179" s="2319"/>
      <c r="H179" s="2319"/>
      <c r="I179" s="2319"/>
      <c r="J179" s="2319"/>
      <c r="K179" s="2319"/>
      <c r="L179" s="2319"/>
      <c r="M179" s="2319"/>
      <c r="N179" s="2319"/>
      <c r="O179" s="2319"/>
      <c r="P179" s="2319"/>
      <c r="Q179" s="2319"/>
      <c r="R179" s="2319"/>
      <c r="S179" s="2319"/>
      <c r="T179" s="2319"/>
      <c r="U179" s="2319"/>
      <c r="V179" s="2319"/>
      <c r="W179" s="2319"/>
      <c r="X179" s="2319"/>
      <c r="Y179" s="2319"/>
      <c r="Z179" s="2319"/>
      <c r="AA179" s="2319"/>
      <c r="AB179" s="2319"/>
      <c r="AC179" s="2319"/>
      <c r="AD179" s="2319"/>
      <c r="AE179" s="2319"/>
      <c r="AF179" s="2319"/>
      <c r="AG179" s="2319"/>
      <c r="AH179" s="2319"/>
      <c r="AI179" s="2319"/>
      <c r="AJ179" s="2319"/>
      <c r="AK179" s="2319"/>
      <c r="AL179" s="2319"/>
      <c r="AM179" s="2319"/>
      <c r="AN179" s="2319"/>
      <c r="AO179" s="2319"/>
      <c r="AP179" s="2319"/>
      <c r="AQ179" s="2319"/>
      <c r="AR179" s="2319"/>
      <c r="AS179" s="2319"/>
      <c r="AT179" s="2319"/>
      <c r="AU179" s="2319"/>
      <c r="AV179" s="2319"/>
      <c r="AW179" s="2319"/>
      <c r="AX179" s="2319"/>
      <c r="AY179" s="2319"/>
      <c r="AZ179" s="2319"/>
      <c r="BA179" s="2319"/>
      <c r="BB179" s="2319"/>
      <c r="BC179" s="2319"/>
      <c r="BD179" s="2319"/>
      <c r="BE179" s="2319"/>
      <c r="BF179" s="2319"/>
      <c r="BG179" s="2319"/>
      <c r="BH179" s="2319"/>
      <c r="BI179" s="2319"/>
      <c r="BJ179" s="2319"/>
      <c r="BK179" s="2319"/>
      <c r="BL179" s="2319"/>
      <c r="BM179" s="2319"/>
      <c r="BN179" s="2319"/>
      <c r="BO179" s="2319"/>
      <c r="BP179" s="2319"/>
      <c r="BQ179" s="2319"/>
      <c r="BR179" s="2319"/>
      <c r="BS179" s="2319"/>
      <c r="BT179" s="2319"/>
      <c r="BU179" s="2319"/>
      <c r="BV179" s="2319"/>
      <c r="BW179" s="2319"/>
      <c r="BX179" s="2319"/>
      <c r="BY179" s="2319"/>
      <c r="BZ179" s="2319"/>
      <c r="CA179" s="2319"/>
      <c r="CB179" s="2319"/>
      <c r="CC179" s="2319"/>
      <c r="CD179" s="2319"/>
      <c r="CE179" s="2319"/>
      <c r="CF179" s="2319"/>
      <c r="CG179" s="2319"/>
      <c r="CH179" s="2319"/>
      <c r="CI179" s="2319"/>
      <c r="CJ179" s="2319"/>
      <c r="CK179" s="2319"/>
      <c r="CL179" s="2319"/>
      <c r="CM179" s="2319"/>
      <c r="CN179" s="2319"/>
      <c r="CO179" s="2319"/>
      <c r="CP179" s="2319"/>
      <c r="CQ179" s="2319"/>
      <c r="CR179" s="2319"/>
      <c r="CS179" s="2319"/>
      <c r="CT179" s="2319"/>
      <c r="CU179" s="2319"/>
      <c r="CV179" s="2319"/>
    </row>
    <row r="180" spans="1:100" ht="15.75" customHeight="1">
      <c r="A180" s="2371"/>
      <c r="B180" s="2319"/>
      <c r="C180" s="2319"/>
      <c r="D180" s="2318"/>
      <c r="E180" s="2319"/>
      <c r="F180" s="2319"/>
      <c r="G180" s="2319"/>
      <c r="H180" s="2319"/>
      <c r="I180" s="2319"/>
      <c r="J180" s="2319"/>
      <c r="K180" s="2319"/>
      <c r="L180" s="2319"/>
      <c r="M180" s="2319"/>
      <c r="N180" s="2319"/>
      <c r="O180" s="2319"/>
      <c r="P180" s="2319"/>
      <c r="Q180" s="2319"/>
      <c r="R180" s="2319"/>
      <c r="S180" s="2319"/>
      <c r="T180" s="2319"/>
      <c r="U180" s="2319"/>
      <c r="V180" s="2319"/>
      <c r="W180" s="2319"/>
      <c r="X180" s="2319"/>
      <c r="Y180" s="2319"/>
      <c r="Z180" s="2319"/>
      <c r="AA180" s="2319"/>
      <c r="AB180" s="2319"/>
      <c r="AC180" s="2319"/>
      <c r="AD180" s="2319"/>
      <c r="AE180" s="2319"/>
      <c r="AF180" s="2319"/>
      <c r="AG180" s="2319"/>
      <c r="AH180" s="2319"/>
      <c r="AI180" s="2319"/>
      <c r="AJ180" s="2319"/>
      <c r="AK180" s="2319"/>
      <c r="AL180" s="2319"/>
      <c r="AM180" s="2319"/>
      <c r="AN180" s="2319"/>
      <c r="AO180" s="2319"/>
      <c r="AP180" s="2319"/>
      <c r="AQ180" s="2319"/>
      <c r="AR180" s="2319"/>
      <c r="AS180" s="2319"/>
      <c r="AT180" s="2319"/>
      <c r="AU180" s="2319"/>
      <c r="AV180" s="2319"/>
      <c r="AW180" s="2319"/>
      <c r="AX180" s="2319"/>
      <c r="AY180" s="2319"/>
      <c r="AZ180" s="2319"/>
      <c r="BA180" s="2319"/>
      <c r="BB180" s="2319"/>
      <c r="BC180" s="2319"/>
      <c r="BD180" s="2319"/>
      <c r="BE180" s="2319"/>
      <c r="BF180" s="2319"/>
      <c r="BG180" s="2319"/>
      <c r="BH180" s="2319"/>
      <c r="BI180" s="2319"/>
      <c r="BJ180" s="2319"/>
      <c r="BK180" s="2319"/>
      <c r="BL180" s="2319"/>
      <c r="BM180" s="2319"/>
      <c r="BN180" s="2319"/>
      <c r="BO180" s="2319"/>
      <c r="BP180" s="2319"/>
      <c r="BQ180" s="2319"/>
      <c r="BR180" s="2319"/>
      <c r="BS180" s="2319"/>
      <c r="BT180" s="2319"/>
      <c r="BU180" s="2319"/>
      <c r="BV180" s="2319"/>
      <c r="BW180" s="2319"/>
      <c r="BX180" s="2319"/>
      <c r="BY180" s="2319"/>
      <c r="BZ180" s="2319"/>
      <c r="CA180" s="2319"/>
      <c r="CB180" s="2319"/>
      <c r="CC180" s="2319"/>
      <c r="CD180" s="2319"/>
      <c r="CE180" s="2319"/>
      <c r="CF180" s="2319"/>
      <c r="CG180" s="2319"/>
      <c r="CH180" s="2319"/>
      <c r="CI180" s="2319"/>
      <c r="CJ180" s="2319"/>
      <c r="CK180" s="2319"/>
      <c r="CL180" s="2319"/>
      <c r="CM180" s="2319"/>
      <c r="CN180" s="2319"/>
      <c r="CO180" s="2319"/>
      <c r="CP180" s="2319"/>
      <c r="CQ180" s="2319"/>
      <c r="CR180" s="2319"/>
      <c r="CS180" s="2319"/>
      <c r="CT180" s="2319"/>
      <c r="CU180" s="2319"/>
      <c r="CV180" s="2319"/>
    </row>
    <row r="181" spans="1:100" ht="15.75" customHeight="1">
      <c r="A181" s="2371"/>
      <c r="B181" s="2319"/>
      <c r="C181" s="2319"/>
      <c r="D181" s="2318"/>
      <c r="E181" s="2319"/>
      <c r="F181" s="2319"/>
      <c r="G181" s="2319"/>
      <c r="H181" s="2319"/>
      <c r="I181" s="2319"/>
      <c r="J181" s="2319"/>
      <c r="K181" s="2319"/>
      <c r="L181" s="2319"/>
      <c r="M181" s="2319"/>
      <c r="N181" s="2319"/>
      <c r="O181" s="2319"/>
      <c r="P181" s="2319"/>
      <c r="Q181" s="2319"/>
      <c r="R181" s="2319"/>
      <c r="S181" s="2319"/>
      <c r="T181" s="2319"/>
      <c r="U181" s="2319"/>
      <c r="V181" s="2319"/>
      <c r="W181" s="2319"/>
      <c r="X181" s="2319"/>
      <c r="Y181" s="2319"/>
      <c r="Z181" s="2319"/>
      <c r="AA181" s="2319"/>
      <c r="AB181" s="2319"/>
      <c r="AC181" s="2319"/>
      <c r="AD181" s="2319"/>
      <c r="AE181" s="2319"/>
      <c r="AF181" s="2319"/>
      <c r="AG181" s="2319"/>
      <c r="AH181" s="2319"/>
      <c r="AI181" s="2319"/>
      <c r="AJ181" s="2319"/>
      <c r="AK181" s="2319"/>
      <c r="AL181" s="2319"/>
      <c r="AM181" s="2319"/>
      <c r="AN181" s="2319"/>
      <c r="AO181" s="2319"/>
      <c r="AP181" s="2319"/>
      <c r="AQ181" s="2319"/>
      <c r="AR181" s="2319"/>
      <c r="AS181" s="2319"/>
      <c r="AT181" s="2319"/>
      <c r="AU181" s="2319"/>
      <c r="AV181" s="2319"/>
      <c r="AW181" s="2319"/>
      <c r="AX181" s="2319"/>
      <c r="AY181" s="2319"/>
      <c r="AZ181" s="2319"/>
      <c r="BA181" s="2319"/>
      <c r="BB181" s="2319"/>
      <c r="BC181" s="2319"/>
      <c r="BD181" s="2319"/>
      <c r="BE181" s="2319"/>
      <c r="BF181" s="2319"/>
      <c r="BG181" s="2319"/>
      <c r="BH181" s="2319"/>
      <c r="BI181" s="2319"/>
      <c r="BJ181" s="2319"/>
      <c r="BK181" s="2319"/>
      <c r="BL181" s="2319"/>
      <c r="BM181" s="2319"/>
      <c r="BN181" s="2319"/>
      <c r="BO181" s="2319"/>
      <c r="BP181" s="2319"/>
      <c r="BQ181" s="2319"/>
      <c r="BR181" s="2319"/>
      <c r="BS181" s="2319"/>
      <c r="BT181" s="2319"/>
      <c r="BU181" s="2319"/>
      <c r="BV181" s="2319"/>
      <c r="BW181" s="2319"/>
      <c r="BX181" s="2319"/>
      <c r="BY181" s="2319"/>
      <c r="BZ181" s="2319"/>
      <c r="CA181" s="2319"/>
      <c r="CB181" s="2319"/>
      <c r="CC181" s="2319"/>
      <c r="CD181" s="2319"/>
      <c r="CE181" s="2319"/>
      <c r="CF181" s="2319"/>
      <c r="CG181" s="2319"/>
      <c r="CH181" s="2319"/>
      <c r="CI181" s="2319"/>
      <c r="CJ181" s="2319"/>
      <c r="CK181" s="2319"/>
      <c r="CL181" s="2319"/>
      <c r="CM181" s="2319"/>
      <c r="CN181" s="2319"/>
      <c r="CO181" s="2319"/>
      <c r="CP181" s="2319"/>
      <c r="CQ181" s="2319"/>
      <c r="CR181" s="2319"/>
      <c r="CS181" s="2319"/>
      <c r="CT181" s="2319"/>
      <c r="CU181" s="2319"/>
      <c r="CV181" s="2319"/>
    </row>
    <row r="182" spans="1:100" ht="15.75" customHeight="1">
      <c r="A182" s="2371"/>
      <c r="B182" s="2319"/>
      <c r="C182" s="2319"/>
      <c r="D182" s="2318"/>
      <c r="E182" s="2319"/>
      <c r="F182" s="2319"/>
      <c r="G182" s="2319"/>
      <c r="H182" s="2319"/>
      <c r="I182" s="2319"/>
      <c r="J182" s="2319"/>
      <c r="K182" s="2319"/>
      <c r="L182" s="2319"/>
      <c r="M182" s="2319"/>
      <c r="N182" s="2319"/>
      <c r="O182" s="2319"/>
      <c r="P182" s="2319"/>
      <c r="Q182" s="2319"/>
      <c r="R182" s="2319"/>
      <c r="S182" s="2319"/>
      <c r="T182" s="2319"/>
      <c r="U182" s="2319"/>
      <c r="V182" s="2319"/>
      <c r="W182" s="2319"/>
      <c r="X182" s="2319"/>
      <c r="Y182" s="2319"/>
      <c r="Z182" s="2319"/>
      <c r="AA182" s="2319"/>
      <c r="AB182" s="2319"/>
      <c r="AC182" s="2319"/>
      <c r="AD182" s="2319"/>
      <c r="AE182" s="2319"/>
      <c r="AF182" s="2319"/>
      <c r="AG182" s="2319"/>
      <c r="AH182" s="2319"/>
      <c r="AI182" s="2319"/>
      <c r="AJ182" s="2319"/>
      <c r="AK182" s="2319"/>
      <c r="AL182" s="2319"/>
      <c r="AM182" s="2319"/>
      <c r="AN182" s="2319"/>
      <c r="AO182" s="2319"/>
      <c r="AP182" s="2319"/>
      <c r="AQ182" s="2319"/>
      <c r="AR182" s="2319"/>
      <c r="AS182" s="2319"/>
      <c r="AT182" s="2319"/>
      <c r="AU182" s="2319"/>
      <c r="AV182" s="2319"/>
      <c r="AW182" s="2319"/>
      <c r="AX182" s="2319"/>
      <c r="AY182" s="2319"/>
      <c r="AZ182" s="2319"/>
      <c r="BA182" s="2319"/>
      <c r="BB182" s="2319"/>
      <c r="BC182" s="2319"/>
      <c r="BD182" s="2319"/>
      <c r="BE182" s="2319"/>
      <c r="BF182" s="2319"/>
      <c r="BG182" s="2319"/>
      <c r="BH182" s="2319"/>
      <c r="BI182" s="2319"/>
      <c r="BJ182" s="2319"/>
      <c r="BK182" s="2319"/>
      <c r="BL182" s="2319"/>
      <c r="BM182" s="2319"/>
      <c r="BN182" s="2319"/>
      <c r="BO182" s="2319"/>
      <c r="BP182" s="2319"/>
      <c r="BQ182" s="2319"/>
      <c r="BR182" s="2319"/>
      <c r="BS182" s="2319"/>
      <c r="BT182" s="2319"/>
      <c r="BU182" s="2319"/>
      <c r="BV182" s="2319"/>
      <c r="BW182" s="2319"/>
      <c r="BX182" s="2319"/>
      <c r="BY182" s="2319"/>
      <c r="BZ182" s="2319"/>
      <c r="CA182" s="2319"/>
      <c r="CB182" s="2319"/>
      <c r="CC182" s="2319"/>
      <c r="CD182" s="2319"/>
      <c r="CE182" s="2319"/>
      <c r="CF182" s="2319"/>
      <c r="CG182" s="2319"/>
      <c r="CH182" s="2319"/>
      <c r="CI182" s="2319"/>
      <c r="CJ182" s="2319"/>
      <c r="CK182" s="2319"/>
      <c r="CL182" s="2319"/>
      <c r="CM182" s="2319"/>
      <c r="CN182" s="2319"/>
      <c r="CO182" s="2319"/>
      <c r="CP182" s="2319"/>
      <c r="CQ182" s="2319"/>
      <c r="CR182" s="2319"/>
      <c r="CS182" s="2319"/>
      <c r="CT182" s="2319"/>
      <c r="CU182" s="2319"/>
      <c r="CV182" s="2319"/>
    </row>
    <row r="183" spans="1:100" ht="15.75" customHeight="1">
      <c r="A183" s="2371"/>
      <c r="B183" s="2319"/>
      <c r="C183" s="2319"/>
      <c r="D183" s="2318"/>
      <c r="E183" s="2319"/>
      <c r="F183" s="2319"/>
      <c r="G183" s="2319"/>
      <c r="H183" s="2319"/>
      <c r="I183" s="2319"/>
      <c r="J183" s="2319"/>
      <c r="K183" s="2319"/>
      <c r="L183" s="2319"/>
      <c r="M183" s="2319"/>
      <c r="N183" s="2319"/>
      <c r="O183" s="2319"/>
      <c r="P183" s="2319"/>
      <c r="Q183" s="2319"/>
      <c r="R183" s="2319"/>
      <c r="S183" s="2319"/>
      <c r="T183" s="2319"/>
      <c r="U183" s="2319"/>
      <c r="V183" s="2319"/>
      <c r="W183" s="2319"/>
      <c r="X183" s="2319"/>
      <c r="Y183" s="2319"/>
      <c r="Z183" s="2319"/>
      <c r="AA183" s="2319"/>
      <c r="AB183" s="2319"/>
      <c r="AC183" s="2319"/>
      <c r="AD183" s="2319"/>
      <c r="AE183" s="2319"/>
      <c r="AF183" s="2319"/>
      <c r="AG183" s="2319"/>
      <c r="AH183" s="2319"/>
      <c r="AI183" s="2319"/>
      <c r="AJ183" s="2319"/>
      <c r="AK183" s="2319"/>
      <c r="AL183" s="2319"/>
      <c r="AM183" s="2319"/>
      <c r="AN183" s="2319"/>
      <c r="AO183" s="2319"/>
      <c r="AP183" s="2319"/>
      <c r="AQ183" s="2319"/>
      <c r="AR183" s="2319"/>
      <c r="AS183" s="2319"/>
      <c r="AT183" s="2319"/>
      <c r="AU183" s="2319"/>
      <c r="AV183" s="2319"/>
      <c r="AW183" s="2319"/>
      <c r="AX183" s="2319"/>
      <c r="AY183" s="2319"/>
      <c r="AZ183" s="2319"/>
      <c r="BA183" s="2319"/>
      <c r="BB183" s="2319"/>
      <c r="BC183" s="2319"/>
      <c r="BD183" s="2319"/>
      <c r="BE183" s="2319"/>
      <c r="BF183" s="2319"/>
      <c r="BG183" s="2319"/>
      <c r="BH183" s="2319"/>
      <c r="BI183" s="2319"/>
      <c r="BJ183" s="2319"/>
      <c r="BK183" s="2319"/>
      <c r="BL183" s="2319"/>
      <c r="BM183" s="2319"/>
      <c r="BN183" s="2319"/>
      <c r="BO183" s="2319"/>
      <c r="BP183" s="2319"/>
      <c r="BQ183" s="2319"/>
      <c r="BR183" s="2319"/>
      <c r="BS183" s="2319"/>
      <c r="BT183" s="2319"/>
      <c r="BU183" s="2319"/>
      <c r="BV183" s="2319"/>
      <c r="BW183" s="2319"/>
      <c r="BX183" s="2319"/>
      <c r="BY183" s="2319"/>
      <c r="BZ183" s="2319"/>
      <c r="CA183" s="2319"/>
      <c r="CB183" s="2319"/>
      <c r="CC183" s="2319"/>
      <c r="CD183" s="2319"/>
      <c r="CE183" s="2319"/>
      <c r="CF183" s="2319"/>
      <c r="CG183" s="2319"/>
      <c r="CH183" s="2319"/>
      <c r="CI183" s="2319"/>
      <c r="CJ183" s="2319"/>
      <c r="CK183" s="2319"/>
      <c r="CL183" s="2319"/>
      <c r="CM183" s="2319"/>
      <c r="CN183" s="2319"/>
      <c r="CO183" s="2319"/>
      <c r="CP183" s="2319"/>
      <c r="CQ183" s="2319"/>
      <c r="CR183" s="2319"/>
      <c r="CS183" s="2319"/>
      <c r="CT183" s="2319"/>
      <c r="CU183" s="2319"/>
      <c r="CV183" s="2319"/>
    </row>
    <row r="184" spans="1:100" ht="15.75" customHeight="1">
      <c r="A184" s="2371"/>
      <c r="B184" s="2319"/>
      <c r="C184" s="2319"/>
      <c r="D184" s="2318"/>
      <c r="E184" s="2319"/>
      <c r="F184" s="2319"/>
      <c r="G184" s="2319"/>
      <c r="H184" s="2319"/>
      <c r="I184" s="2319"/>
      <c r="J184" s="2319"/>
      <c r="K184" s="2319"/>
      <c r="L184" s="2319"/>
      <c r="M184" s="2319"/>
      <c r="N184" s="2319"/>
      <c r="O184" s="2319"/>
      <c r="P184" s="2319"/>
      <c r="Q184" s="2319"/>
      <c r="R184" s="2319"/>
      <c r="S184" s="2319"/>
      <c r="T184" s="2319"/>
      <c r="U184" s="2319"/>
      <c r="V184" s="2319"/>
      <c r="W184" s="2319"/>
      <c r="X184" s="2319"/>
      <c r="Y184" s="2319"/>
      <c r="Z184" s="2319"/>
      <c r="AA184" s="2319"/>
      <c r="AB184" s="2319"/>
      <c r="AC184" s="2319"/>
      <c r="AD184" s="2319"/>
      <c r="AE184" s="2319"/>
      <c r="AF184" s="2319"/>
      <c r="AG184" s="2319"/>
      <c r="AH184" s="2319"/>
      <c r="AI184" s="2319"/>
      <c r="AJ184" s="2319"/>
      <c r="AK184" s="2319"/>
      <c r="AL184" s="2319"/>
      <c r="AM184" s="2319"/>
      <c r="AN184" s="2319"/>
      <c r="AO184" s="2319"/>
      <c r="AP184" s="2319"/>
      <c r="AQ184" s="2319"/>
      <c r="AR184" s="2319"/>
      <c r="AS184" s="2319"/>
      <c r="AT184" s="2319"/>
      <c r="AU184" s="2319"/>
      <c r="AV184" s="2319"/>
      <c r="AW184" s="2319"/>
      <c r="AX184" s="2319"/>
      <c r="AY184" s="2319"/>
      <c r="AZ184" s="2319"/>
      <c r="BA184" s="2319"/>
      <c r="BB184" s="2319"/>
      <c r="BC184" s="2319"/>
      <c r="BD184" s="2319"/>
      <c r="BE184" s="2319"/>
      <c r="BF184" s="2319"/>
      <c r="BG184" s="2319"/>
      <c r="BH184" s="2319"/>
      <c r="BI184" s="2319"/>
      <c r="BJ184" s="2319"/>
      <c r="BK184" s="2319"/>
      <c r="BL184" s="2319"/>
      <c r="BM184" s="2319"/>
      <c r="BN184" s="2319"/>
      <c r="BO184" s="2319"/>
      <c r="BP184" s="2319"/>
      <c r="BQ184" s="2319"/>
      <c r="BR184" s="2319"/>
      <c r="BS184" s="2319"/>
      <c r="BT184" s="2319"/>
      <c r="BU184" s="2319"/>
      <c r="BV184" s="2319"/>
      <c r="BW184" s="2319"/>
      <c r="BX184" s="2319"/>
      <c r="BY184" s="2319"/>
      <c r="BZ184" s="2319"/>
      <c r="CA184" s="2319"/>
      <c r="CB184" s="2319"/>
      <c r="CC184" s="2319"/>
      <c r="CD184" s="2319"/>
      <c r="CE184" s="2319"/>
      <c r="CF184" s="2319"/>
      <c r="CG184" s="2319"/>
      <c r="CH184" s="2319"/>
      <c r="CI184" s="2319"/>
      <c r="CJ184" s="2319"/>
      <c r="CK184" s="2319"/>
      <c r="CL184" s="2319"/>
      <c r="CM184" s="2319"/>
      <c r="CN184" s="2319"/>
      <c r="CO184" s="2319"/>
      <c r="CP184" s="2319"/>
      <c r="CQ184" s="2319"/>
      <c r="CR184" s="2319"/>
      <c r="CS184" s="2319"/>
      <c r="CT184" s="2319"/>
      <c r="CU184" s="2319"/>
      <c r="CV184" s="2319"/>
    </row>
    <row r="185" spans="1:100" ht="15.75" customHeight="1">
      <c r="A185" s="2371"/>
      <c r="B185" s="2319"/>
      <c r="C185" s="2319"/>
      <c r="D185" s="2318"/>
      <c r="E185" s="2319"/>
      <c r="F185" s="2319"/>
      <c r="G185" s="2319"/>
      <c r="H185" s="2319"/>
      <c r="I185" s="2319"/>
      <c r="J185" s="2319"/>
      <c r="K185" s="2319"/>
      <c r="L185" s="2319"/>
      <c r="M185" s="2319"/>
      <c r="N185" s="2319"/>
      <c r="O185" s="2319"/>
      <c r="P185" s="2319"/>
      <c r="Q185" s="2319"/>
      <c r="R185" s="2319"/>
      <c r="S185" s="2319"/>
      <c r="T185" s="2319"/>
      <c r="U185" s="2319"/>
      <c r="V185" s="2319"/>
      <c r="W185" s="2319"/>
      <c r="X185" s="2319"/>
      <c r="Y185" s="2319"/>
      <c r="Z185" s="2319"/>
      <c r="AA185" s="2319"/>
      <c r="AB185" s="2319"/>
      <c r="AC185" s="2319"/>
      <c r="AD185" s="2319"/>
      <c r="AE185" s="2319"/>
      <c r="AF185" s="2319"/>
      <c r="AG185" s="2319"/>
      <c r="AH185" s="2319"/>
      <c r="AI185" s="2319"/>
      <c r="AJ185" s="2319"/>
      <c r="AK185" s="2319"/>
      <c r="AL185" s="2319"/>
      <c r="AM185" s="2319"/>
      <c r="AN185" s="2319"/>
      <c r="AO185" s="2319"/>
      <c r="AP185" s="2319"/>
      <c r="AQ185" s="2319"/>
      <c r="AR185" s="2319"/>
      <c r="AS185" s="2319"/>
      <c r="AT185" s="2319"/>
      <c r="AU185" s="2319"/>
      <c r="AV185" s="2319"/>
      <c r="AW185" s="2319"/>
      <c r="AX185" s="2319"/>
      <c r="AY185" s="2319"/>
      <c r="AZ185" s="2319"/>
      <c r="BA185" s="2319"/>
      <c r="BB185" s="2319"/>
      <c r="BC185" s="2319"/>
      <c r="BD185" s="2319"/>
      <c r="BE185" s="2319"/>
      <c r="BF185" s="2319"/>
      <c r="BG185" s="2319"/>
      <c r="BH185" s="2319"/>
      <c r="BI185" s="2319"/>
      <c r="BJ185" s="2319"/>
      <c r="BK185" s="2319"/>
      <c r="BL185" s="2319"/>
      <c r="BM185" s="2319"/>
      <c r="BN185" s="2319"/>
      <c r="BO185" s="2319"/>
      <c r="BP185" s="2319"/>
      <c r="BQ185" s="2319"/>
      <c r="BR185" s="2319"/>
      <c r="BS185" s="2319"/>
      <c r="BT185" s="2319"/>
      <c r="BU185" s="2319"/>
      <c r="BV185" s="2319"/>
      <c r="BW185" s="2319"/>
      <c r="BX185" s="2319"/>
      <c r="BY185" s="2319"/>
      <c r="BZ185" s="2319"/>
      <c r="CA185" s="2319"/>
      <c r="CB185" s="2319"/>
      <c r="CC185" s="2319"/>
      <c r="CD185" s="2319"/>
      <c r="CE185" s="2319"/>
      <c r="CF185" s="2319"/>
      <c r="CG185" s="2319"/>
      <c r="CH185" s="2319"/>
      <c r="CI185" s="2319"/>
      <c r="CJ185" s="2319"/>
      <c r="CK185" s="2319"/>
      <c r="CL185" s="2319"/>
      <c r="CM185" s="2319"/>
      <c r="CN185" s="2319"/>
      <c r="CO185" s="2319"/>
      <c r="CP185" s="2319"/>
      <c r="CQ185" s="2319"/>
      <c r="CR185" s="2319"/>
      <c r="CS185" s="2319"/>
      <c r="CT185" s="2319"/>
      <c r="CU185" s="2319"/>
      <c r="CV185" s="2319"/>
    </row>
    <row r="186" spans="1:100" ht="15.75" customHeight="1">
      <c r="A186" s="2371"/>
      <c r="B186" s="2319"/>
      <c r="C186" s="2319"/>
      <c r="D186" s="2318"/>
      <c r="E186" s="2319"/>
      <c r="F186" s="2319"/>
      <c r="G186" s="2319"/>
      <c r="H186" s="2319"/>
      <c r="I186" s="2319"/>
      <c r="J186" s="2319"/>
      <c r="K186" s="2319"/>
      <c r="L186" s="2319"/>
      <c r="M186" s="2319"/>
      <c r="N186" s="2319"/>
      <c r="O186" s="2319"/>
      <c r="P186" s="2319"/>
      <c r="Q186" s="2319"/>
      <c r="R186" s="2319"/>
      <c r="S186" s="2319"/>
      <c r="T186" s="2319"/>
      <c r="U186" s="2319"/>
      <c r="V186" s="2319"/>
      <c r="W186" s="2319"/>
      <c r="X186" s="2319"/>
      <c r="Y186" s="2319"/>
      <c r="Z186" s="2319"/>
      <c r="AA186" s="2319"/>
      <c r="AB186" s="2319"/>
      <c r="AC186" s="2319"/>
      <c r="AD186" s="2319"/>
      <c r="AE186" s="2319"/>
      <c r="AF186" s="2319"/>
      <c r="AG186" s="2319"/>
      <c r="AH186" s="2319"/>
      <c r="AI186" s="2319"/>
      <c r="AJ186" s="2319"/>
      <c r="AK186" s="2319"/>
      <c r="AL186" s="2319"/>
      <c r="AM186" s="2319"/>
      <c r="AN186" s="2319"/>
      <c r="AO186" s="2319"/>
      <c r="AP186" s="2319"/>
      <c r="AQ186" s="2319"/>
      <c r="AR186" s="2319"/>
      <c r="AS186" s="2319"/>
      <c r="AT186" s="2319"/>
      <c r="AU186" s="2319"/>
      <c r="AV186" s="2319"/>
      <c r="AW186" s="2319"/>
      <c r="AX186" s="2319"/>
      <c r="AY186" s="2319"/>
      <c r="AZ186" s="2319"/>
      <c r="BA186" s="2319"/>
      <c r="BB186" s="2319"/>
      <c r="BC186" s="2319"/>
      <c r="BD186" s="2319"/>
      <c r="BE186" s="2319"/>
      <c r="BF186" s="2319"/>
      <c r="BG186" s="2319"/>
      <c r="BH186" s="2319"/>
      <c r="BI186" s="2319"/>
      <c r="BJ186" s="2319"/>
      <c r="BK186" s="2319"/>
      <c r="BL186" s="2319"/>
      <c r="BM186" s="2319"/>
      <c r="BN186" s="2319"/>
      <c r="BO186" s="2319"/>
      <c r="BP186" s="2319"/>
      <c r="BQ186" s="2319"/>
      <c r="BR186" s="2319"/>
      <c r="BS186" s="2319"/>
      <c r="BT186" s="2319"/>
      <c r="BU186" s="2319"/>
      <c r="BV186" s="2319"/>
      <c r="BW186" s="2319"/>
      <c r="BX186" s="2319"/>
      <c r="BY186" s="2319"/>
      <c r="BZ186" s="2319"/>
      <c r="CA186" s="2319"/>
      <c r="CB186" s="2319"/>
      <c r="CC186" s="2319"/>
      <c r="CD186" s="2319"/>
      <c r="CE186" s="2319"/>
      <c r="CF186" s="2319"/>
      <c r="CG186" s="2319"/>
      <c r="CH186" s="2319"/>
      <c r="CI186" s="2319"/>
      <c r="CJ186" s="2319"/>
      <c r="CK186" s="2319"/>
      <c r="CL186" s="2319"/>
      <c r="CM186" s="2319"/>
      <c r="CN186" s="2319"/>
      <c r="CO186" s="2319"/>
      <c r="CP186" s="2319"/>
      <c r="CQ186" s="2319"/>
      <c r="CR186" s="2319"/>
      <c r="CS186" s="2319"/>
      <c r="CT186" s="2319"/>
      <c r="CU186" s="2319"/>
      <c r="CV186" s="2319"/>
    </row>
    <row r="187" spans="1:100" ht="15.75" customHeight="1">
      <c r="A187" s="2371"/>
      <c r="B187" s="2319"/>
      <c r="C187" s="2319"/>
      <c r="D187" s="2318"/>
      <c r="E187" s="2319"/>
      <c r="F187" s="2319"/>
      <c r="G187" s="2319"/>
      <c r="H187" s="2319"/>
      <c r="I187" s="2319"/>
      <c r="J187" s="2319"/>
      <c r="K187" s="2319"/>
      <c r="L187" s="2319"/>
      <c r="M187" s="2319"/>
      <c r="N187" s="2319"/>
      <c r="O187" s="2319"/>
      <c r="P187" s="2319"/>
      <c r="Q187" s="2319"/>
      <c r="R187" s="2319"/>
      <c r="S187" s="2319"/>
      <c r="T187" s="2319"/>
      <c r="U187" s="2319"/>
      <c r="V187" s="2319"/>
      <c r="W187" s="2319"/>
      <c r="X187" s="2319"/>
      <c r="Y187" s="2319"/>
      <c r="Z187" s="2319"/>
      <c r="AA187" s="2319"/>
      <c r="AB187" s="2319"/>
      <c r="AC187" s="2319"/>
      <c r="AD187" s="2319"/>
      <c r="AE187" s="2319"/>
      <c r="AF187" s="2319"/>
      <c r="AG187" s="2319"/>
      <c r="AH187" s="2319"/>
      <c r="AI187" s="2319"/>
      <c r="AJ187" s="2319"/>
      <c r="AK187" s="2319"/>
      <c r="AL187" s="2319"/>
      <c r="AM187" s="2319"/>
      <c r="AN187" s="2319"/>
      <c r="AO187" s="2319"/>
      <c r="AP187" s="2319"/>
      <c r="AQ187" s="2319"/>
      <c r="AR187" s="2319"/>
      <c r="AS187" s="2319"/>
      <c r="AT187" s="2319"/>
      <c r="AU187" s="2319"/>
      <c r="AV187" s="2319"/>
      <c r="AW187" s="2319"/>
      <c r="AX187" s="2319"/>
      <c r="AY187" s="2319"/>
      <c r="AZ187" s="2319"/>
      <c r="BA187" s="2319"/>
      <c r="BB187" s="2319"/>
      <c r="BC187" s="2319"/>
      <c r="BD187" s="2319"/>
      <c r="BE187" s="2319"/>
      <c r="BF187" s="2319"/>
      <c r="BG187" s="2319"/>
      <c r="BH187" s="2319"/>
      <c r="BI187" s="2319"/>
      <c r="BJ187" s="2319"/>
      <c r="BK187" s="2319"/>
      <c r="BL187" s="2319"/>
      <c r="BM187" s="2319"/>
      <c r="BN187" s="2319"/>
      <c r="BO187" s="2319"/>
      <c r="BP187" s="2319"/>
      <c r="BQ187" s="2319"/>
      <c r="BR187" s="2319"/>
      <c r="BS187" s="2319"/>
      <c r="BT187" s="2319"/>
      <c r="BU187" s="2319"/>
      <c r="BV187" s="2319"/>
      <c r="BW187" s="2319"/>
      <c r="BX187" s="2319"/>
      <c r="BY187" s="2319"/>
      <c r="BZ187" s="2319"/>
      <c r="CA187" s="2319"/>
      <c r="CB187" s="2319"/>
      <c r="CC187" s="2319"/>
      <c r="CD187" s="2319"/>
      <c r="CE187" s="2319"/>
      <c r="CF187" s="2319"/>
      <c r="CG187" s="2319"/>
      <c r="CH187" s="2319"/>
      <c r="CI187" s="2319"/>
      <c r="CJ187" s="2319"/>
      <c r="CK187" s="2319"/>
      <c r="CL187" s="2319"/>
      <c r="CM187" s="2319"/>
      <c r="CN187" s="2319"/>
      <c r="CO187" s="2319"/>
      <c r="CP187" s="2319"/>
      <c r="CQ187" s="2319"/>
      <c r="CR187" s="2319"/>
      <c r="CS187" s="2319"/>
      <c r="CT187" s="2319"/>
      <c r="CU187" s="2319"/>
      <c r="CV187" s="2319"/>
    </row>
    <row r="188" spans="1:100" ht="15.75" customHeight="1">
      <c r="A188" s="2371"/>
      <c r="B188" s="2319"/>
      <c r="C188" s="2319"/>
      <c r="D188" s="2318"/>
      <c r="E188" s="2319"/>
      <c r="F188" s="2319"/>
      <c r="G188" s="2319"/>
      <c r="H188" s="2319"/>
      <c r="I188" s="2319"/>
      <c r="J188" s="2319"/>
      <c r="K188" s="2319"/>
      <c r="L188" s="2319"/>
      <c r="M188" s="2319"/>
      <c r="N188" s="2319"/>
      <c r="O188" s="2319"/>
      <c r="P188" s="2319"/>
      <c r="Q188" s="2319"/>
      <c r="R188" s="2319"/>
      <c r="S188" s="2319"/>
      <c r="T188" s="2319"/>
      <c r="U188" s="2319"/>
      <c r="V188" s="2319"/>
      <c r="W188" s="2319"/>
      <c r="X188" s="2319"/>
      <c r="Y188" s="2319"/>
      <c r="Z188" s="2319"/>
      <c r="AA188" s="2319"/>
      <c r="AB188" s="2319"/>
      <c r="AC188" s="2319"/>
      <c r="AD188" s="2319"/>
      <c r="AE188" s="2319"/>
      <c r="AF188" s="2319"/>
      <c r="AG188" s="2319"/>
      <c r="AH188" s="2319"/>
      <c r="AI188" s="2319"/>
      <c r="AJ188" s="2319"/>
      <c r="AK188" s="2319"/>
      <c r="AL188" s="2319"/>
      <c r="AM188" s="2319"/>
      <c r="AN188" s="2319"/>
      <c r="AO188" s="2319"/>
      <c r="AP188" s="2319"/>
      <c r="AQ188" s="2319"/>
      <c r="AR188" s="2319"/>
      <c r="AS188" s="2319"/>
      <c r="AT188" s="2319"/>
      <c r="AU188" s="2319"/>
      <c r="AV188" s="2319"/>
      <c r="AW188" s="2319"/>
      <c r="AX188" s="2319"/>
      <c r="AY188" s="2319"/>
      <c r="AZ188" s="2319"/>
      <c r="BA188" s="2319"/>
      <c r="BB188" s="2319"/>
      <c r="BC188" s="2319"/>
      <c r="BD188" s="2319"/>
      <c r="BE188" s="2319"/>
      <c r="BF188" s="2319"/>
      <c r="BG188" s="2319"/>
      <c r="BH188" s="2319"/>
      <c r="BI188" s="2319"/>
      <c r="BJ188" s="2319"/>
      <c r="BK188" s="2319"/>
      <c r="BL188" s="2319"/>
      <c r="BM188" s="2319"/>
      <c r="BN188" s="2319"/>
      <c r="BO188" s="2319"/>
      <c r="BP188" s="2319"/>
      <c r="BQ188" s="2319"/>
      <c r="BR188" s="2319"/>
      <c r="BS188" s="2319"/>
      <c r="BT188" s="2319"/>
      <c r="BU188" s="2319"/>
      <c r="BV188" s="2319"/>
      <c r="BW188" s="2319"/>
      <c r="BX188" s="2319"/>
      <c r="BY188" s="2319"/>
      <c r="BZ188" s="2319"/>
      <c r="CA188" s="2319"/>
      <c r="CB188" s="2319"/>
      <c r="CC188" s="2319"/>
      <c r="CD188" s="2319"/>
      <c r="CE188" s="2319"/>
      <c r="CF188" s="2319"/>
      <c r="CG188" s="2319"/>
      <c r="CH188" s="2319"/>
      <c r="CI188" s="2319"/>
      <c r="CJ188" s="2319"/>
      <c r="CK188" s="2319"/>
      <c r="CL188" s="2319"/>
      <c r="CM188" s="2319"/>
      <c r="CN188" s="2319"/>
      <c r="CO188" s="2319"/>
      <c r="CP188" s="2319"/>
      <c r="CQ188" s="2319"/>
      <c r="CR188" s="2319"/>
      <c r="CS188" s="2319"/>
      <c r="CT188" s="2319"/>
      <c r="CU188" s="2319"/>
      <c r="CV188" s="2319"/>
    </row>
    <row r="189" spans="1:100" ht="15.75" customHeight="1">
      <c r="A189" s="2371"/>
      <c r="B189" s="2319"/>
      <c r="C189" s="2319"/>
      <c r="D189" s="2318"/>
      <c r="E189" s="2319"/>
      <c r="F189" s="2319"/>
      <c r="G189" s="2319"/>
      <c r="H189" s="2319"/>
      <c r="I189" s="2319"/>
      <c r="J189" s="2319"/>
      <c r="K189" s="2319"/>
      <c r="L189" s="2319"/>
      <c r="M189" s="2319"/>
      <c r="N189" s="2319"/>
      <c r="O189" s="2319"/>
      <c r="P189" s="2319"/>
      <c r="Q189" s="2319"/>
      <c r="R189" s="2319"/>
      <c r="S189" s="2319"/>
      <c r="T189" s="2319"/>
      <c r="U189" s="2319"/>
      <c r="V189" s="2319"/>
      <c r="W189" s="2319"/>
      <c r="X189" s="2319"/>
      <c r="Y189" s="2319"/>
      <c r="Z189" s="2319"/>
      <c r="AA189" s="2319"/>
      <c r="AB189" s="2319"/>
      <c r="AC189" s="2319"/>
      <c r="AD189" s="2319"/>
      <c r="AE189" s="2319"/>
      <c r="AF189" s="2319"/>
      <c r="AG189" s="2319"/>
      <c r="AH189" s="2319"/>
      <c r="AI189" s="2319"/>
      <c r="AJ189" s="2319"/>
      <c r="AK189" s="2319"/>
      <c r="AL189" s="2319"/>
      <c r="AM189" s="2319"/>
      <c r="AN189" s="2319"/>
      <c r="AO189" s="2319"/>
      <c r="AP189" s="2319"/>
      <c r="AQ189" s="2319"/>
      <c r="AR189" s="2319"/>
      <c r="AS189" s="2319"/>
      <c r="AT189" s="2319"/>
      <c r="AU189" s="2319"/>
      <c r="AV189" s="2319"/>
      <c r="AW189" s="2319"/>
      <c r="AX189" s="2319"/>
      <c r="AY189" s="2319"/>
      <c r="AZ189" s="2319"/>
      <c r="BA189" s="2319"/>
      <c r="BB189" s="2319"/>
      <c r="BC189" s="2319"/>
      <c r="BD189" s="2319"/>
      <c r="BE189" s="2319"/>
      <c r="BF189" s="2319"/>
      <c r="BG189" s="2319"/>
      <c r="BH189" s="2319"/>
      <c r="BI189" s="2319"/>
      <c r="BJ189" s="2319"/>
      <c r="BK189" s="2319"/>
      <c r="BL189" s="2319"/>
      <c r="BM189" s="2319"/>
      <c r="BN189" s="2319"/>
      <c r="BO189" s="2319"/>
      <c r="BP189" s="2319"/>
      <c r="BQ189" s="2319"/>
      <c r="BR189" s="2319"/>
      <c r="BS189" s="2319"/>
      <c r="BT189" s="2319"/>
      <c r="BU189" s="2319"/>
      <c r="BV189" s="2319"/>
      <c r="BW189" s="2319"/>
      <c r="BX189" s="2319"/>
      <c r="BY189" s="2319"/>
      <c r="BZ189" s="2319"/>
      <c r="CA189" s="2319"/>
      <c r="CB189" s="2319"/>
      <c r="CC189" s="2319"/>
      <c r="CD189" s="2319"/>
      <c r="CE189" s="2319"/>
      <c r="CF189" s="2319"/>
      <c r="CG189" s="2319"/>
      <c r="CH189" s="2319"/>
      <c r="CI189" s="2319"/>
      <c r="CJ189" s="2319"/>
      <c r="CK189" s="2319"/>
      <c r="CL189" s="2319"/>
      <c r="CM189" s="2319"/>
      <c r="CN189" s="2319"/>
      <c r="CO189" s="2319"/>
      <c r="CP189" s="2319"/>
      <c r="CQ189" s="2319"/>
      <c r="CR189" s="2319"/>
      <c r="CS189" s="2319"/>
      <c r="CT189" s="2319"/>
      <c r="CU189" s="2319"/>
      <c r="CV189" s="2319"/>
    </row>
    <row r="190" spans="1:100" ht="15.75" customHeight="1">
      <c r="A190" s="2371"/>
      <c r="B190" s="2319"/>
      <c r="C190" s="2319"/>
      <c r="D190" s="2318"/>
      <c r="E190" s="2319"/>
      <c r="F190" s="2319"/>
      <c r="G190" s="2319"/>
      <c r="H190" s="2319"/>
      <c r="I190" s="2319"/>
      <c r="J190" s="2319"/>
      <c r="K190" s="2319"/>
      <c r="L190" s="2319"/>
      <c r="M190" s="2319"/>
      <c r="N190" s="2319"/>
      <c r="O190" s="2319"/>
      <c r="P190" s="2319"/>
      <c r="Q190" s="2319"/>
      <c r="R190" s="2319"/>
      <c r="S190" s="2319"/>
      <c r="T190" s="2319"/>
      <c r="U190" s="2319"/>
      <c r="V190" s="2319"/>
      <c r="W190" s="2319"/>
      <c r="X190" s="2319"/>
      <c r="Y190" s="2319"/>
      <c r="Z190" s="2319"/>
      <c r="AA190" s="2319"/>
      <c r="AB190" s="2319"/>
      <c r="AC190" s="2319"/>
      <c r="AD190" s="2319"/>
      <c r="AE190" s="2319"/>
      <c r="AF190" s="2319"/>
      <c r="AG190" s="2319"/>
      <c r="AH190" s="2319"/>
      <c r="AI190" s="2319"/>
      <c r="AJ190" s="2319"/>
      <c r="AK190" s="2319"/>
      <c r="AL190" s="2319"/>
      <c r="AM190" s="2319"/>
      <c r="AN190" s="2319"/>
      <c r="AO190" s="2319"/>
      <c r="AP190" s="2319"/>
      <c r="AQ190" s="2319"/>
      <c r="AR190" s="2319"/>
      <c r="AS190" s="2319"/>
      <c r="AT190" s="2319"/>
      <c r="AU190" s="2319"/>
      <c r="AV190" s="2319"/>
      <c r="AW190" s="2319"/>
      <c r="AX190" s="2319"/>
      <c r="AY190" s="2319"/>
      <c r="AZ190" s="2319"/>
      <c r="BA190" s="2319"/>
      <c r="BB190" s="2319"/>
      <c r="BC190" s="2319"/>
      <c r="BD190" s="2319"/>
      <c r="BE190" s="2319"/>
      <c r="BF190" s="2319"/>
      <c r="BG190" s="2319"/>
      <c r="BH190" s="2319"/>
      <c r="BI190" s="2319"/>
      <c r="BJ190" s="2319"/>
      <c r="BK190" s="2319"/>
      <c r="BL190" s="2319"/>
      <c r="BM190" s="2319"/>
      <c r="BN190" s="2319"/>
      <c r="BO190" s="2319"/>
      <c r="BP190" s="2319"/>
      <c r="BQ190" s="2319"/>
      <c r="BR190" s="2319"/>
      <c r="BS190" s="2319"/>
      <c r="BT190" s="2319"/>
      <c r="BU190" s="2319"/>
      <c r="BV190" s="2319"/>
      <c r="BW190" s="2319"/>
      <c r="BX190" s="2319"/>
      <c r="BY190" s="2319"/>
      <c r="BZ190" s="2319"/>
      <c r="CA190" s="2319"/>
      <c r="CB190" s="2319"/>
      <c r="CC190" s="2319"/>
      <c r="CD190" s="2319"/>
      <c r="CE190" s="2319"/>
      <c r="CF190" s="2319"/>
      <c r="CG190" s="2319"/>
      <c r="CH190" s="2319"/>
      <c r="CI190" s="2319"/>
      <c r="CJ190" s="2319"/>
      <c r="CK190" s="2319"/>
      <c r="CL190" s="2319"/>
      <c r="CM190" s="2319"/>
      <c r="CN190" s="2319"/>
      <c r="CO190" s="2319"/>
      <c r="CP190" s="2319"/>
      <c r="CQ190" s="2319"/>
      <c r="CR190" s="2319"/>
      <c r="CS190" s="2319"/>
      <c r="CT190" s="2319"/>
      <c r="CU190" s="2319"/>
      <c r="CV190" s="2319"/>
    </row>
    <row r="191" spans="1:100" ht="15.75" customHeight="1">
      <c r="A191" s="2371"/>
      <c r="B191" s="2319"/>
      <c r="C191" s="2319"/>
      <c r="D191" s="2318"/>
      <c r="E191" s="2319"/>
      <c r="F191" s="2319"/>
      <c r="G191" s="2319"/>
      <c r="H191" s="2319"/>
      <c r="I191" s="2319"/>
      <c r="J191" s="2319"/>
      <c r="K191" s="2319"/>
      <c r="L191" s="2319"/>
      <c r="M191" s="2319"/>
      <c r="N191" s="2319"/>
      <c r="O191" s="2319"/>
      <c r="P191" s="2319"/>
      <c r="Q191" s="2319"/>
      <c r="R191" s="2319"/>
      <c r="S191" s="2319"/>
      <c r="T191" s="2319"/>
      <c r="U191" s="2319"/>
      <c r="V191" s="2319"/>
      <c r="W191" s="2319"/>
      <c r="X191" s="2319"/>
      <c r="Y191" s="2319"/>
      <c r="Z191" s="2319"/>
      <c r="AA191" s="2319"/>
      <c r="AB191" s="2319"/>
      <c r="AC191" s="2319"/>
      <c r="AD191" s="2319"/>
      <c r="AE191" s="2319"/>
      <c r="AF191" s="2319"/>
      <c r="AG191" s="2319"/>
      <c r="AH191" s="2319"/>
      <c r="AI191" s="2319"/>
      <c r="AJ191" s="2319"/>
      <c r="AK191" s="2319"/>
      <c r="AL191" s="2319"/>
      <c r="AM191" s="2319"/>
      <c r="AN191" s="2319"/>
      <c r="AO191" s="2319"/>
      <c r="AP191" s="2319"/>
      <c r="AQ191" s="2319"/>
      <c r="AR191" s="2319"/>
      <c r="AS191" s="2319"/>
      <c r="AT191" s="2319"/>
      <c r="AU191" s="2319"/>
      <c r="AV191" s="2319"/>
      <c r="AW191" s="2319"/>
      <c r="AX191" s="2319"/>
      <c r="AY191" s="2319"/>
      <c r="AZ191" s="2319"/>
      <c r="BA191" s="2319"/>
      <c r="BB191" s="2319"/>
      <c r="BC191" s="2319"/>
      <c r="BD191" s="2319"/>
      <c r="BE191" s="2319"/>
      <c r="BF191" s="2319"/>
      <c r="BG191" s="2319"/>
      <c r="BH191" s="2319"/>
      <c r="BI191" s="2319"/>
      <c r="BJ191" s="2319"/>
      <c r="BK191" s="2319"/>
      <c r="BL191" s="2319"/>
      <c r="BM191" s="2319"/>
      <c r="BN191" s="2319"/>
      <c r="BO191" s="2319"/>
      <c r="BP191" s="2319"/>
      <c r="BQ191" s="2319"/>
      <c r="BR191" s="2319"/>
      <c r="BS191" s="2319"/>
      <c r="BT191" s="2319"/>
      <c r="BU191" s="2319"/>
      <c r="BV191" s="2319"/>
      <c r="BW191" s="2319"/>
      <c r="BX191" s="2319"/>
      <c r="BY191" s="2319"/>
      <c r="BZ191" s="2319"/>
      <c r="CA191" s="2319"/>
      <c r="CB191" s="2319"/>
      <c r="CC191" s="2319"/>
      <c r="CD191" s="2319"/>
      <c r="CE191" s="2319"/>
      <c r="CF191" s="2319"/>
      <c r="CG191" s="2319"/>
      <c r="CH191" s="2319"/>
      <c r="CI191" s="2319"/>
      <c r="CJ191" s="2319"/>
      <c r="CK191" s="2319"/>
      <c r="CL191" s="2319"/>
      <c r="CM191" s="2319"/>
      <c r="CN191" s="2319"/>
      <c r="CO191" s="2319"/>
      <c r="CP191" s="2319"/>
      <c r="CQ191" s="2319"/>
      <c r="CR191" s="2319"/>
      <c r="CS191" s="2319"/>
      <c r="CT191" s="2319"/>
      <c r="CU191" s="2319"/>
      <c r="CV191" s="2319"/>
    </row>
    <row r="192" spans="1:100" ht="15.75" customHeight="1">
      <c r="A192" s="2371"/>
      <c r="B192" s="2319"/>
      <c r="C192" s="2319"/>
      <c r="D192" s="2318"/>
      <c r="E192" s="2319"/>
      <c r="F192" s="2319"/>
      <c r="G192" s="2319"/>
      <c r="H192" s="2319"/>
      <c r="I192" s="2319"/>
      <c r="J192" s="2319"/>
      <c r="K192" s="2319"/>
      <c r="L192" s="2319"/>
      <c r="M192" s="2319"/>
      <c r="N192" s="2319"/>
      <c r="O192" s="2319"/>
      <c r="P192" s="2319"/>
      <c r="Q192" s="2319"/>
      <c r="R192" s="2319"/>
      <c r="S192" s="2319"/>
      <c r="T192" s="2319"/>
      <c r="U192" s="2319"/>
      <c r="V192" s="2319"/>
      <c r="W192" s="2319"/>
      <c r="X192" s="2319"/>
      <c r="Y192" s="2319"/>
      <c r="Z192" s="2319"/>
      <c r="AA192" s="2319"/>
      <c r="AB192" s="2319"/>
      <c r="AC192" s="2319"/>
      <c r="AD192" s="2319"/>
      <c r="AE192" s="2319"/>
      <c r="AF192" s="2319"/>
      <c r="AG192" s="2319"/>
      <c r="AH192" s="2319"/>
      <c r="AI192" s="2319"/>
      <c r="AJ192" s="2319"/>
      <c r="AK192" s="2319"/>
      <c r="AL192" s="2319"/>
      <c r="AM192" s="2319"/>
      <c r="AN192" s="2319"/>
      <c r="AO192" s="2319"/>
      <c r="AP192" s="2319"/>
      <c r="AQ192" s="2319"/>
      <c r="AR192" s="2319"/>
      <c r="AS192" s="2319"/>
      <c r="AT192" s="2319"/>
      <c r="AU192" s="2319"/>
      <c r="AV192" s="2319"/>
      <c r="AW192" s="2319"/>
      <c r="AX192" s="2319"/>
      <c r="AY192" s="2319"/>
      <c r="AZ192" s="2319"/>
      <c r="BA192" s="2319"/>
      <c r="BB192" s="2319"/>
      <c r="BC192" s="2319"/>
      <c r="BD192" s="2319"/>
      <c r="BE192" s="2319"/>
      <c r="BF192" s="2319"/>
      <c r="BG192" s="2319"/>
      <c r="BH192" s="2319"/>
      <c r="BI192" s="2319"/>
      <c r="BJ192" s="2319"/>
      <c r="BK192" s="2319"/>
      <c r="BL192" s="2319"/>
      <c r="BM192" s="2319"/>
      <c r="BN192" s="2319"/>
      <c r="BO192" s="2319"/>
      <c r="BP192" s="2319"/>
      <c r="BQ192" s="2319"/>
      <c r="BR192" s="2319"/>
      <c r="BS192" s="2319"/>
      <c r="BT192" s="2319"/>
      <c r="BU192" s="2319"/>
      <c r="BV192" s="2319"/>
      <c r="BW192" s="2319"/>
      <c r="BX192" s="2319"/>
      <c r="BY192" s="2319"/>
      <c r="BZ192" s="2319"/>
      <c r="CA192" s="2319"/>
      <c r="CB192" s="2319"/>
      <c r="CC192" s="2319"/>
      <c r="CD192" s="2319"/>
      <c r="CE192" s="2319"/>
      <c r="CF192" s="2319"/>
      <c r="CG192" s="2319"/>
      <c r="CH192" s="2319"/>
      <c r="CI192" s="2319"/>
      <c r="CJ192" s="2319"/>
      <c r="CK192" s="2319"/>
      <c r="CL192" s="2319"/>
      <c r="CM192" s="2319"/>
      <c r="CN192" s="2319"/>
      <c r="CO192" s="2319"/>
      <c r="CP192" s="2319"/>
      <c r="CQ192" s="2319"/>
      <c r="CR192" s="2319"/>
      <c r="CS192" s="2319"/>
      <c r="CT192" s="2319"/>
      <c r="CU192" s="2319"/>
      <c r="CV192" s="2319"/>
    </row>
    <row r="193" spans="1:100" ht="15.75" customHeight="1">
      <c r="A193" s="2371"/>
      <c r="B193" s="2319"/>
      <c r="C193" s="2319"/>
      <c r="D193" s="2318"/>
      <c r="E193" s="2319"/>
      <c r="F193" s="2319"/>
      <c r="G193" s="2319"/>
      <c r="H193" s="2319"/>
      <c r="I193" s="2319"/>
      <c r="J193" s="2319"/>
      <c r="K193" s="2319"/>
      <c r="L193" s="2319"/>
      <c r="M193" s="2319"/>
      <c r="N193" s="2319"/>
      <c r="O193" s="2319"/>
      <c r="P193" s="2319"/>
      <c r="Q193" s="2319"/>
      <c r="R193" s="2319"/>
      <c r="S193" s="2319"/>
      <c r="T193" s="2319"/>
      <c r="U193" s="2319"/>
      <c r="V193" s="2319"/>
      <c r="W193" s="2319"/>
      <c r="X193" s="2319"/>
      <c r="Y193" s="2319"/>
      <c r="Z193" s="2319"/>
      <c r="AA193" s="2319"/>
      <c r="AB193" s="2319"/>
      <c r="AC193" s="2319"/>
      <c r="AD193" s="2319"/>
      <c r="AE193" s="2319"/>
      <c r="AF193" s="2319"/>
      <c r="AG193" s="2319"/>
      <c r="AH193" s="2319"/>
      <c r="AI193" s="2319"/>
      <c r="AJ193" s="2319"/>
      <c r="AK193" s="2319"/>
      <c r="AL193" s="2319"/>
      <c r="AM193" s="2319"/>
      <c r="AN193" s="2319"/>
      <c r="AO193" s="2319"/>
      <c r="AP193" s="2319"/>
      <c r="AQ193" s="2319"/>
      <c r="AR193" s="2319"/>
      <c r="AS193" s="2319"/>
      <c r="AT193" s="2319"/>
      <c r="AU193" s="2319"/>
      <c r="AV193" s="2319"/>
      <c r="AW193" s="2319"/>
      <c r="AX193" s="2319"/>
      <c r="AY193" s="2319"/>
      <c r="AZ193" s="2319"/>
      <c r="BA193" s="2319"/>
      <c r="BB193" s="2319"/>
      <c r="BC193" s="2319"/>
      <c r="BD193" s="2319"/>
      <c r="BE193" s="2319"/>
      <c r="BF193" s="2319"/>
      <c r="BG193" s="2319"/>
      <c r="BH193" s="2319"/>
      <c r="BI193" s="2319"/>
      <c r="BJ193" s="2319"/>
      <c r="BK193" s="2319"/>
      <c r="BL193" s="2319"/>
      <c r="BM193" s="2319"/>
      <c r="BN193" s="2319"/>
      <c r="BO193" s="2319"/>
      <c r="BP193" s="2319"/>
      <c r="BQ193" s="2319"/>
      <c r="BR193" s="2319"/>
      <c r="BS193" s="2319"/>
      <c r="BT193" s="2319"/>
      <c r="BU193" s="2319"/>
      <c r="BV193" s="2319"/>
      <c r="BW193" s="2319"/>
      <c r="BX193" s="2319"/>
      <c r="BY193" s="2319"/>
      <c r="BZ193" s="2319"/>
      <c r="CA193" s="2319"/>
      <c r="CB193" s="2319"/>
      <c r="CC193" s="2319"/>
      <c r="CD193" s="2319"/>
      <c r="CE193" s="2319"/>
      <c r="CF193" s="2319"/>
      <c r="CG193" s="2319"/>
      <c r="CH193" s="2319"/>
      <c r="CI193" s="2319"/>
      <c r="CJ193" s="2319"/>
      <c r="CK193" s="2319"/>
      <c r="CL193" s="2319"/>
      <c r="CM193" s="2319"/>
      <c r="CN193" s="2319"/>
      <c r="CO193" s="2319"/>
      <c r="CP193" s="2319"/>
      <c r="CQ193" s="2319"/>
      <c r="CR193" s="2319"/>
      <c r="CS193" s="2319"/>
      <c r="CT193" s="2319"/>
      <c r="CU193" s="2319"/>
      <c r="CV193" s="2319"/>
    </row>
    <row r="194" spans="1:100" ht="15.75" customHeight="1">
      <c r="A194" s="2371"/>
      <c r="B194" s="2319"/>
      <c r="C194" s="2319"/>
      <c r="D194" s="2318"/>
      <c r="E194" s="2319"/>
      <c r="F194" s="2319"/>
      <c r="G194" s="2319"/>
      <c r="H194" s="2319"/>
      <c r="I194" s="2319"/>
      <c r="J194" s="2319"/>
      <c r="K194" s="2319"/>
      <c r="L194" s="2319"/>
      <c r="M194" s="2319"/>
      <c r="N194" s="2319"/>
      <c r="O194" s="2319"/>
      <c r="P194" s="2319"/>
      <c r="Q194" s="2319"/>
      <c r="R194" s="2319"/>
      <c r="S194" s="2319"/>
      <c r="T194" s="2319"/>
      <c r="U194" s="2319"/>
      <c r="V194" s="2319"/>
      <c r="W194" s="2319"/>
      <c r="X194" s="2319"/>
      <c r="Y194" s="2319"/>
      <c r="Z194" s="2319"/>
      <c r="AA194" s="2319"/>
      <c r="AB194" s="2319"/>
      <c r="AC194" s="2319"/>
      <c r="AD194" s="2319"/>
      <c r="AE194" s="2319"/>
      <c r="AF194" s="2319"/>
      <c r="AG194" s="2319"/>
      <c r="AH194" s="2319"/>
      <c r="AI194" s="2319"/>
      <c r="AJ194" s="2319"/>
      <c r="AK194" s="2319"/>
      <c r="AL194" s="2319"/>
      <c r="AM194" s="2319"/>
      <c r="AN194" s="2319"/>
      <c r="AO194" s="2319"/>
      <c r="AP194" s="2319"/>
      <c r="AQ194" s="2319"/>
      <c r="AR194" s="2319"/>
      <c r="AS194" s="2319"/>
      <c r="AT194" s="2319"/>
      <c r="AU194" s="2319"/>
      <c r="AV194" s="2319"/>
      <c r="AW194" s="2319"/>
      <c r="AX194" s="2319"/>
      <c r="AY194" s="2319"/>
      <c r="AZ194" s="2319"/>
      <c r="BA194" s="2319"/>
      <c r="BB194" s="2319"/>
      <c r="BC194" s="2319"/>
      <c r="BD194" s="2319"/>
      <c r="BE194" s="2319"/>
      <c r="BF194" s="2319"/>
      <c r="BG194" s="2319"/>
      <c r="BH194" s="2319"/>
      <c r="BI194" s="2319"/>
      <c r="BJ194" s="2319"/>
      <c r="BK194" s="2319"/>
      <c r="BL194" s="2319"/>
      <c r="BM194" s="2319"/>
      <c r="BN194" s="2319"/>
      <c r="BO194" s="2319"/>
      <c r="BP194" s="2319"/>
      <c r="BQ194" s="2319"/>
      <c r="BR194" s="2319"/>
      <c r="BS194" s="2319"/>
      <c r="BT194" s="2319"/>
      <c r="BU194" s="2319"/>
      <c r="BV194" s="2319"/>
      <c r="BW194" s="2319"/>
      <c r="BX194" s="2319"/>
      <c r="BY194" s="2319"/>
      <c r="BZ194" s="2319"/>
      <c r="CA194" s="2319"/>
      <c r="CB194" s="2319"/>
      <c r="CC194" s="2319"/>
      <c r="CD194" s="2319"/>
      <c r="CE194" s="2319"/>
      <c r="CF194" s="2319"/>
      <c r="CG194" s="2319"/>
      <c r="CH194" s="2319"/>
      <c r="CI194" s="2319"/>
      <c r="CJ194" s="2319"/>
      <c r="CK194" s="2319"/>
      <c r="CL194" s="2319"/>
      <c r="CM194" s="2319"/>
      <c r="CN194" s="2319"/>
      <c r="CO194" s="2319"/>
      <c r="CP194" s="2319"/>
      <c r="CQ194" s="2319"/>
      <c r="CR194" s="2319"/>
      <c r="CS194" s="2319"/>
      <c r="CT194" s="2319"/>
      <c r="CU194" s="2319"/>
      <c r="CV194" s="2319"/>
    </row>
    <row r="195" spans="1:100" ht="15.75" customHeight="1">
      <c r="A195" s="2371"/>
      <c r="B195" s="2319"/>
      <c r="C195" s="2319"/>
      <c r="D195" s="2318"/>
      <c r="E195" s="2319"/>
      <c r="F195" s="2319"/>
      <c r="G195" s="2319"/>
      <c r="H195" s="2319"/>
      <c r="I195" s="2319"/>
      <c r="J195" s="2319"/>
      <c r="K195" s="2319"/>
      <c r="L195" s="2319"/>
      <c r="M195" s="2319"/>
      <c r="N195" s="2319"/>
      <c r="O195" s="2319"/>
      <c r="P195" s="2319"/>
      <c r="Q195" s="2319"/>
      <c r="R195" s="2319"/>
      <c r="S195" s="2319"/>
      <c r="T195" s="2319"/>
      <c r="U195" s="2319"/>
      <c r="V195" s="2319"/>
      <c r="W195" s="2319"/>
      <c r="X195" s="2319"/>
      <c r="Y195" s="2319"/>
      <c r="Z195" s="2319"/>
      <c r="AA195" s="2319"/>
      <c r="AB195" s="2319"/>
      <c r="AC195" s="2319"/>
      <c r="AD195" s="2319"/>
      <c r="AE195" s="2319"/>
      <c r="AF195" s="2319"/>
      <c r="AG195" s="2319"/>
      <c r="AH195" s="2319"/>
      <c r="AI195" s="2319"/>
      <c r="AJ195" s="2319"/>
      <c r="AK195" s="2319"/>
      <c r="AL195" s="2319"/>
      <c r="AM195" s="2319"/>
      <c r="AN195" s="2319"/>
      <c r="AO195" s="2319"/>
      <c r="AP195" s="2319"/>
      <c r="AQ195" s="2319"/>
      <c r="AR195" s="2319"/>
      <c r="AS195" s="2319"/>
      <c r="AT195" s="2319"/>
      <c r="AU195" s="2319"/>
      <c r="AV195" s="2319"/>
      <c r="AW195" s="2319"/>
      <c r="AX195" s="2319"/>
      <c r="AY195" s="2319"/>
      <c r="AZ195" s="2319"/>
      <c r="BA195" s="2319"/>
      <c r="BB195" s="2319"/>
      <c r="BC195" s="2319"/>
      <c r="BD195" s="2319"/>
      <c r="BE195" s="2319"/>
      <c r="BF195" s="2319"/>
      <c r="BG195" s="2319"/>
      <c r="BH195" s="2319"/>
      <c r="BI195" s="2319"/>
      <c r="BJ195" s="2319"/>
      <c r="BK195" s="2319"/>
      <c r="BL195" s="2319"/>
      <c r="BM195" s="2319"/>
      <c r="BN195" s="2319"/>
      <c r="BO195" s="2319"/>
      <c r="BP195" s="2319"/>
      <c r="BQ195" s="2319"/>
      <c r="BR195" s="2319"/>
      <c r="BS195" s="2319"/>
      <c r="BT195" s="2319"/>
      <c r="BU195" s="2319"/>
      <c r="BV195" s="2319"/>
      <c r="BW195" s="2319"/>
      <c r="BX195" s="2319"/>
      <c r="BY195" s="2319"/>
      <c r="BZ195" s="2319"/>
      <c r="CA195" s="2319"/>
      <c r="CB195" s="2319"/>
      <c r="CC195" s="2319"/>
      <c r="CD195" s="2319"/>
      <c r="CE195" s="2319"/>
      <c r="CF195" s="2319"/>
      <c r="CG195" s="2319"/>
      <c r="CH195" s="2319"/>
      <c r="CI195" s="2319"/>
      <c r="CJ195" s="2319"/>
      <c r="CK195" s="2319"/>
      <c r="CL195" s="2319"/>
      <c r="CM195" s="2319"/>
      <c r="CN195" s="2319"/>
      <c r="CO195" s="2319"/>
      <c r="CP195" s="2319"/>
      <c r="CQ195" s="2319"/>
      <c r="CR195" s="2319"/>
      <c r="CS195" s="2319"/>
      <c r="CT195" s="2319"/>
      <c r="CU195" s="2319"/>
      <c r="CV195" s="2319"/>
    </row>
    <row r="196" spans="1:100" ht="15.75" customHeight="1">
      <c r="A196" s="2371"/>
      <c r="B196" s="2319"/>
      <c r="C196" s="2319"/>
      <c r="D196" s="2318"/>
      <c r="E196" s="2319"/>
      <c r="F196" s="2319"/>
      <c r="G196" s="2319"/>
      <c r="H196" s="2319"/>
      <c r="I196" s="2319"/>
      <c r="J196" s="2319"/>
      <c r="K196" s="2319"/>
      <c r="L196" s="2319"/>
      <c r="M196" s="2319"/>
      <c r="N196" s="2319"/>
      <c r="O196" s="2319"/>
      <c r="P196" s="2319"/>
      <c r="Q196" s="2319"/>
      <c r="R196" s="2319"/>
      <c r="S196" s="2319"/>
      <c r="T196" s="2319"/>
      <c r="U196" s="2319"/>
      <c r="V196" s="2319"/>
      <c r="W196" s="2319"/>
      <c r="X196" s="2319"/>
      <c r="Y196" s="2319"/>
      <c r="Z196" s="2319"/>
      <c r="AA196" s="2319"/>
      <c r="AB196" s="2319"/>
      <c r="AC196" s="2319"/>
      <c r="AD196" s="2319"/>
      <c r="AE196" s="2319"/>
      <c r="AF196" s="2319"/>
      <c r="AG196" s="2319"/>
      <c r="AH196" s="2319"/>
      <c r="AI196" s="2319"/>
      <c r="AJ196" s="2319"/>
      <c r="AK196" s="2319"/>
      <c r="AL196" s="2319"/>
      <c r="AM196" s="2319"/>
      <c r="AN196" s="2319"/>
      <c r="AO196" s="2319"/>
      <c r="AP196" s="2319"/>
      <c r="AQ196" s="2319"/>
      <c r="AR196" s="2319"/>
      <c r="AS196" s="2319"/>
      <c r="AT196" s="2319"/>
      <c r="AU196" s="2319"/>
      <c r="AV196" s="2319"/>
      <c r="AW196" s="2319"/>
      <c r="AX196" s="2319"/>
      <c r="AY196" s="2319"/>
      <c r="AZ196" s="2319"/>
      <c r="BA196" s="2319"/>
      <c r="BB196" s="2319"/>
      <c r="BC196" s="2319"/>
      <c r="BD196" s="2319"/>
      <c r="BE196" s="2319"/>
      <c r="BF196" s="2319"/>
      <c r="BG196" s="2319"/>
      <c r="BH196" s="2319"/>
      <c r="BI196" s="2319"/>
      <c r="BJ196" s="2319"/>
      <c r="BK196" s="2319"/>
      <c r="BL196" s="2319"/>
      <c r="BM196" s="2319"/>
      <c r="BN196" s="2319"/>
      <c r="BO196" s="2319"/>
      <c r="BP196" s="2319"/>
      <c r="BQ196" s="2319"/>
      <c r="BR196" s="2319"/>
      <c r="BS196" s="2319"/>
      <c r="BT196" s="2319"/>
      <c r="BU196" s="2319"/>
      <c r="BV196" s="2319"/>
      <c r="BW196" s="2319"/>
      <c r="BX196" s="2319"/>
      <c r="BY196" s="2319"/>
      <c r="BZ196" s="2319"/>
      <c r="CA196" s="2319"/>
      <c r="CB196" s="2319"/>
      <c r="CC196" s="2319"/>
      <c r="CD196" s="2319"/>
      <c r="CE196" s="2319"/>
      <c r="CF196" s="2319"/>
      <c r="CG196" s="2319"/>
      <c r="CH196" s="2319"/>
      <c r="CI196" s="2319"/>
      <c r="CJ196" s="2319"/>
      <c r="CK196" s="2319"/>
      <c r="CL196" s="2319"/>
      <c r="CM196" s="2319"/>
      <c r="CN196" s="2319"/>
      <c r="CO196" s="2319"/>
      <c r="CP196" s="2319"/>
      <c r="CQ196" s="2319"/>
      <c r="CR196" s="2319"/>
      <c r="CS196" s="2319"/>
      <c r="CT196" s="2319"/>
      <c r="CU196" s="2319"/>
      <c r="CV196" s="2319"/>
    </row>
    <row r="197" spans="1:100" ht="15.75" customHeight="1">
      <c r="A197" s="2371"/>
      <c r="B197" s="2319"/>
      <c r="C197" s="2319"/>
      <c r="D197" s="2318"/>
      <c r="E197" s="2319"/>
      <c r="F197" s="2319"/>
      <c r="G197" s="2319"/>
      <c r="H197" s="2319"/>
      <c r="I197" s="2319"/>
      <c r="J197" s="2319"/>
      <c r="K197" s="2319"/>
      <c r="L197" s="2319"/>
      <c r="M197" s="2319"/>
      <c r="N197" s="2319"/>
      <c r="O197" s="2319"/>
      <c r="P197" s="2319"/>
      <c r="Q197" s="2319"/>
      <c r="R197" s="2319"/>
      <c r="S197" s="2319"/>
      <c r="T197" s="2319"/>
      <c r="U197" s="2319"/>
      <c r="V197" s="2319"/>
      <c r="W197" s="2319"/>
      <c r="X197" s="2319"/>
      <c r="Y197" s="2319"/>
      <c r="Z197" s="2319"/>
      <c r="AA197" s="2319"/>
      <c r="AB197" s="2319"/>
      <c r="AC197" s="2319"/>
      <c r="AD197" s="2319"/>
      <c r="AE197" s="2319"/>
      <c r="AF197" s="2319"/>
      <c r="AG197" s="2319"/>
      <c r="AH197" s="2319"/>
      <c r="AI197" s="2319"/>
      <c r="AJ197" s="2319"/>
      <c r="AK197" s="2319"/>
      <c r="AL197" s="2319"/>
      <c r="AM197" s="2319"/>
      <c r="AN197" s="2319"/>
      <c r="AO197" s="2319"/>
      <c r="AP197" s="2319"/>
      <c r="AQ197" s="2319"/>
      <c r="AR197" s="2319"/>
      <c r="AS197" s="2319"/>
      <c r="AT197" s="2319"/>
      <c r="AU197" s="2319"/>
      <c r="AV197" s="2319"/>
      <c r="AW197" s="2319"/>
      <c r="AX197" s="2319"/>
      <c r="AY197" s="2319"/>
      <c r="AZ197" s="2319"/>
      <c r="BA197" s="2319"/>
      <c r="BB197" s="2319"/>
      <c r="BC197" s="2319"/>
      <c r="BD197" s="2319"/>
      <c r="BE197" s="2319"/>
      <c r="BF197" s="2319"/>
      <c r="BG197" s="2319"/>
      <c r="BH197" s="2319"/>
      <c r="BI197" s="2319"/>
      <c r="BJ197" s="2319"/>
      <c r="BK197" s="2319"/>
      <c r="BL197" s="2319"/>
      <c r="BM197" s="2319"/>
      <c r="BN197" s="2319"/>
      <c r="BO197" s="2319"/>
      <c r="BP197" s="2319"/>
      <c r="BQ197" s="2319"/>
      <c r="BR197" s="2319"/>
      <c r="BS197" s="2319"/>
      <c r="BT197" s="2319"/>
      <c r="BU197" s="2319"/>
      <c r="BV197" s="2319"/>
      <c r="BW197" s="2319"/>
      <c r="BX197" s="2319"/>
      <c r="BY197" s="2319"/>
      <c r="BZ197" s="2319"/>
      <c r="CA197" s="2319"/>
      <c r="CB197" s="2319"/>
      <c r="CC197" s="2319"/>
      <c r="CD197" s="2319"/>
      <c r="CE197" s="2319"/>
      <c r="CF197" s="2319"/>
      <c r="CG197" s="2319"/>
      <c r="CH197" s="2319"/>
      <c r="CI197" s="2319"/>
      <c r="CJ197" s="2319"/>
      <c r="CK197" s="2319"/>
      <c r="CL197" s="2319"/>
      <c r="CM197" s="2319"/>
      <c r="CN197" s="2319"/>
      <c r="CO197" s="2319"/>
      <c r="CP197" s="2319"/>
      <c r="CQ197" s="2319"/>
      <c r="CR197" s="2319"/>
      <c r="CS197" s="2319"/>
      <c r="CT197" s="2319"/>
      <c r="CU197" s="2319"/>
      <c r="CV197" s="2319"/>
    </row>
    <row r="198" spans="1:100" ht="15.75" customHeight="1">
      <c r="A198" s="2371"/>
      <c r="B198" s="2319"/>
      <c r="C198" s="2319"/>
      <c r="D198" s="2318"/>
      <c r="E198" s="2319"/>
      <c r="F198" s="2319"/>
      <c r="G198" s="2319"/>
      <c r="H198" s="2319"/>
      <c r="I198" s="2319"/>
      <c r="J198" s="2319"/>
      <c r="K198" s="2319"/>
      <c r="L198" s="2319"/>
      <c r="M198" s="2319"/>
      <c r="N198" s="2319"/>
      <c r="O198" s="2319"/>
      <c r="P198" s="2319"/>
      <c r="Q198" s="2319"/>
      <c r="R198" s="2319"/>
      <c r="S198" s="2319"/>
      <c r="T198" s="2319"/>
      <c r="U198" s="2319"/>
      <c r="V198" s="2319"/>
      <c r="W198" s="2319"/>
      <c r="X198" s="2319"/>
      <c r="Y198" s="2319"/>
      <c r="Z198" s="2319"/>
      <c r="AA198" s="2319"/>
      <c r="AB198" s="2319"/>
      <c r="AC198" s="2319"/>
      <c r="AD198" s="2319"/>
      <c r="AE198" s="2319"/>
      <c r="AF198" s="2319"/>
      <c r="AG198" s="2319"/>
      <c r="AH198" s="2319"/>
      <c r="AI198" s="2319"/>
      <c r="AJ198" s="2319"/>
      <c r="AK198" s="2319"/>
      <c r="AL198" s="2319"/>
      <c r="AM198" s="2319"/>
      <c r="AN198" s="2319"/>
      <c r="AO198" s="2319"/>
      <c r="AP198" s="2319"/>
      <c r="AQ198" s="2319"/>
      <c r="AR198" s="2319"/>
      <c r="AS198" s="2319"/>
      <c r="AT198" s="2319"/>
      <c r="AU198" s="2319"/>
      <c r="AV198" s="2319"/>
      <c r="AW198" s="2319"/>
      <c r="AX198" s="2319"/>
      <c r="AY198" s="2319"/>
      <c r="AZ198" s="2319"/>
      <c r="BA198" s="2319"/>
      <c r="BB198" s="2319"/>
      <c r="BC198" s="2319"/>
      <c r="BD198" s="2319"/>
      <c r="BE198" s="2319"/>
      <c r="BF198" s="2319"/>
      <c r="BG198" s="2319"/>
      <c r="BH198" s="2319"/>
      <c r="BI198" s="2319"/>
      <c r="BJ198" s="2319"/>
      <c r="BK198" s="2319"/>
      <c r="BL198" s="2319"/>
      <c r="BM198" s="2319"/>
      <c r="BN198" s="2319"/>
      <c r="BO198" s="2319"/>
      <c r="BP198" s="2319"/>
      <c r="BQ198" s="2319"/>
      <c r="BR198" s="2319"/>
      <c r="BS198" s="2319"/>
      <c r="BT198" s="2319"/>
      <c r="BU198" s="2319"/>
      <c r="BV198" s="2319"/>
      <c r="BW198" s="2319"/>
      <c r="BX198" s="2319"/>
      <c r="BY198" s="2319"/>
      <c r="BZ198" s="2319"/>
      <c r="CA198" s="2319"/>
      <c r="CB198" s="2319"/>
      <c r="CC198" s="2319"/>
      <c r="CD198" s="2319"/>
      <c r="CE198" s="2319"/>
      <c r="CF198" s="2319"/>
      <c r="CG198" s="2319"/>
      <c r="CH198" s="2319"/>
      <c r="CI198" s="2319"/>
      <c r="CJ198" s="2319"/>
      <c r="CK198" s="2319"/>
      <c r="CL198" s="2319"/>
      <c r="CM198" s="2319"/>
      <c r="CN198" s="2319"/>
      <c r="CO198" s="2319"/>
      <c r="CP198" s="2319"/>
      <c r="CQ198" s="2319"/>
      <c r="CR198" s="2319"/>
      <c r="CS198" s="2319"/>
      <c r="CT198" s="2319"/>
      <c r="CU198" s="2319"/>
      <c r="CV198" s="2319"/>
    </row>
    <row r="199" spans="1:100" ht="15.75" customHeight="1">
      <c r="A199" s="2371"/>
      <c r="B199" s="2319"/>
      <c r="C199" s="2319"/>
      <c r="D199" s="2318"/>
      <c r="E199" s="2319"/>
      <c r="F199" s="2319"/>
      <c r="G199" s="2319"/>
      <c r="H199" s="2319"/>
      <c r="I199" s="2319"/>
      <c r="J199" s="2319"/>
      <c r="K199" s="2319"/>
      <c r="L199" s="2319"/>
      <c r="M199" s="2319"/>
      <c r="N199" s="2319"/>
      <c r="O199" s="2319"/>
      <c r="P199" s="2319"/>
      <c r="Q199" s="2319"/>
      <c r="R199" s="2319"/>
      <c r="S199" s="2319"/>
      <c r="T199" s="2319"/>
      <c r="U199" s="2319"/>
      <c r="V199" s="2319"/>
      <c r="W199" s="2319"/>
      <c r="X199" s="2319"/>
      <c r="Y199" s="2319"/>
      <c r="Z199" s="2319"/>
      <c r="AA199" s="2319"/>
      <c r="AB199" s="2319"/>
      <c r="AC199" s="2319"/>
      <c r="AD199" s="2319"/>
      <c r="AE199" s="2319"/>
      <c r="AF199" s="2319"/>
      <c r="AG199" s="2319"/>
      <c r="AH199" s="2319"/>
      <c r="AI199" s="2319"/>
      <c r="AJ199" s="2319"/>
      <c r="AK199" s="2319"/>
      <c r="AL199" s="2319"/>
      <c r="AM199" s="2319"/>
      <c r="AN199" s="2319"/>
      <c r="AO199" s="2319"/>
      <c r="AP199" s="2319"/>
      <c r="AQ199" s="2319"/>
      <c r="AR199" s="2319"/>
      <c r="AS199" s="2319"/>
      <c r="AT199" s="2319"/>
      <c r="AU199" s="2319"/>
      <c r="AV199" s="2319"/>
      <c r="AW199" s="2319"/>
      <c r="AX199" s="2319"/>
      <c r="AY199" s="2319"/>
      <c r="AZ199" s="2319"/>
      <c r="BA199" s="2319"/>
      <c r="BB199" s="2319"/>
      <c r="BC199" s="2319"/>
      <c r="BD199" s="2319"/>
      <c r="BE199" s="2319"/>
      <c r="BF199" s="2319"/>
      <c r="BG199" s="2319"/>
      <c r="BH199" s="2319"/>
      <c r="BI199" s="2319"/>
      <c r="BJ199" s="2319"/>
      <c r="BK199" s="2319"/>
      <c r="BL199" s="2319"/>
      <c r="BM199" s="2319"/>
      <c r="BN199" s="2319"/>
      <c r="BO199" s="2319"/>
      <c r="BP199" s="2319"/>
      <c r="BQ199" s="2319"/>
      <c r="BR199" s="2319"/>
      <c r="BS199" s="2319"/>
      <c r="BT199" s="2319"/>
      <c r="BU199" s="2319"/>
      <c r="BV199" s="2319"/>
      <c r="BW199" s="2319"/>
      <c r="BX199" s="2319"/>
      <c r="BY199" s="2319"/>
      <c r="BZ199" s="2319"/>
      <c r="CA199" s="2319"/>
      <c r="CB199" s="2319"/>
      <c r="CC199" s="2319"/>
      <c r="CD199" s="2319"/>
      <c r="CE199" s="2319"/>
      <c r="CF199" s="2319"/>
      <c r="CG199" s="2319"/>
      <c r="CH199" s="2319"/>
      <c r="CI199" s="2319"/>
      <c r="CJ199" s="2319"/>
      <c r="CK199" s="2319"/>
      <c r="CL199" s="2319"/>
      <c r="CM199" s="2319"/>
      <c r="CN199" s="2319"/>
      <c r="CO199" s="2319"/>
      <c r="CP199" s="2319"/>
      <c r="CQ199" s="2319"/>
      <c r="CR199" s="2319"/>
      <c r="CS199" s="2319"/>
      <c r="CT199" s="2319"/>
      <c r="CU199" s="2319"/>
      <c r="CV199" s="2319"/>
    </row>
    <row r="200" spans="1:100" ht="15.75" customHeight="1">
      <c r="A200" s="2371"/>
      <c r="B200" s="2319"/>
      <c r="C200" s="2319"/>
      <c r="D200" s="2318"/>
      <c r="E200" s="2319"/>
      <c r="F200" s="2319"/>
      <c r="G200" s="2319"/>
      <c r="H200" s="2319"/>
      <c r="I200" s="2319"/>
      <c r="J200" s="2319"/>
      <c r="K200" s="2319"/>
      <c r="L200" s="2319"/>
      <c r="M200" s="2319"/>
      <c r="N200" s="2319"/>
      <c r="O200" s="2319"/>
      <c r="P200" s="2319"/>
      <c r="Q200" s="2319"/>
      <c r="R200" s="2319"/>
      <c r="S200" s="2319"/>
      <c r="T200" s="2319"/>
      <c r="U200" s="2319"/>
      <c r="V200" s="2319"/>
      <c r="W200" s="2319"/>
      <c r="X200" s="2319"/>
      <c r="Y200" s="2319"/>
      <c r="Z200" s="2319"/>
      <c r="AA200" s="2319"/>
      <c r="AB200" s="2319"/>
      <c r="AC200" s="2319"/>
      <c r="AD200" s="2319"/>
      <c r="AE200" s="2319"/>
      <c r="AF200" s="2319"/>
      <c r="AG200" s="2319"/>
      <c r="AH200" s="2319"/>
      <c r="AI200" s="2319"/>
      <c r="AJ200" s="2319"/>
      <c r="AK200" s="2319"/>
      <c r="AL200" s="2319"/>
      <c r="AM200" s="2319"/>
      <c r="AN200" s="2319"/>
      <c r="AO200" s="2319"/>
      <c r="AP200" s="2319"/>
      <c r="AQ200" s="2319"/>
      <c r="AR200" s="2319"/>
      <c r="AS200" s="2319"/>
      <c r="AT200" s="2319"/>
      <c r="AU200" s="2319"/>
      <c r="AV200" s="2319"/>
      <c r="AW200" s="2319"/>
      <c r="AX200" s="2319"/>
      <c r="AY200" s="2319"/>
      <c r="AZ200" s="2319"/>
      <c r="BA200" s="2319"/>
      <c r="BB200" s="2319"/>
      <c r="BC200" s="2319"/>
      <c r="BD200" s="2319"/>
      <c r="BE200" s="2319"/>
      <c r="BF200" s="2319"/>
      <c r="BG200" s="2319"/>
      <c r="BH200" s="2319"/>
      <c r="BI200" s="2319"/>
      <c r="BJ200" s="2319"/>
      <c r="BK200" s="2319"/>
      <c r="BL200" s="2319"/>
      <c r="BM200" s="2319"/>
      <c r="BN200" s="2319"/>
      <c r="BO200" s="2319"/>
      <c r="BP200" s="2319"/>
      <c r="BQ200" s="2319"/>
      <c r="BR200" s="2319"/>
      <c r="BS200" s="2319"/>
      <c r="BT200" s="2319"/>
      <c r="BU200" s="2319"/>
      <c r="BV200" s="2319"/>
      <c r="BW200" s="2319"/>
      <c r="BX200" s="2319"/>
      <c r="BY200" s="2319"/>
      <c r="BZ200" s="2319"/>
      <c r="CA200" s="2319"/>
      <c r="CB200" s="2319"/>
      <c r="CC200" s="2319"/>
      <c r="CD200" s="2319"/>
      <c r="CE200" s="2319"/>
      <c r="CF200" s="2319"/>
      <c r="CG200" s="2319"/>
      <c r="CH200" s="2319"/>
      <c r="CI200" s="2319"/>
      <c r="CJ200" s="2319"/>
      <c r="CK200" s="2319"/>
      <c r="CL200" s="2319"/>
      <c r="CM200" s="2319"/>
      <c r="CN200" s="2319"/>
      <c r="CO200" s="2319"/>
      <c r="CP200" s="2319"/>
      <c r="CQ200" s="2319"/>
      <c r="CR200" s="2319"/>
      <c r="CS200" s="2319"/>
      <c r="CT200" s="2319"/>
      <c r="CU200" s="2319"/>
      <c r="CV200" s="2319"/>
    </row>
    <row r="201" spans="1:100" ht="15.75" customHeight="1">
      <c r="A201" s="2371"/>
      <c r="B201" s="2319"/>
      <c r="C201" s="2319"/>
      <c r="D201" s="2318"/>
      <c r="E201" s="2319"/>
      <c r="F201" s="2319"/>
      <c r="G201" s="2319"/>
      <c r="H201" s="2319"/>
      <c r="I201" s="2319"/>
      <c r="J201" s="2319"/>
      <c r="K201" s="2319"/>
      <c r="L201" s="2319"/>
      <c r="M201" s="2319"/>
      <c r="N201" s="2319"/>
      <c r="O201" s="2319"/>
      <c r="P201" s="2319"/>
      <c r="Q201" s="2319"/>
      <c r="R201" s="2319"/>
      <c r="S201" s="2319"/>
      <c r="T201" s="2319"/>
      <c r="U201" s="2319"/>
      <c r="V201" s="2319"/>
      <c r="W201" s="2319"/>
      <c r="X201" s="2319"/>
      <c r="Y201" s="2319"/>
      <c r="Z201" s="2319"/>
      <c r="AA201" s="2319"/>
      <c r="AB201" s="2319"/>
      <c r="AC201" s="2319"/>
      <c r="AD201" s="2319"/>
      <c r="AE201" s="2319"/>
      <c r="AF201" s="2319"/>
      <c r="AG201" s="2319"/>
      <c r="AH201" s="2319"/>
      <c r="AI201" s="2319"/>
      <c r="AJ201" s="2319"/>
      <c r="AK201" s="2319"/>
      <c r="AL201" s="2319"/>
      <c r="AM201" s="2319"/>
      <c r="AN201" s="2319"/>
      <c r="AO201" s="2319"/>
      <c r="AP201" s="2319"/>
      <c r="AQ201" s="2319"/>
      <c r="AR201" s="2319"/>
      <c r="AS201" s="2319"/>
      <c r="AT201" s="2319"/>
      <c r="AU201" s="2319"/>
      <c r="AV201" s="2319"/>
      <c r="AW201" s="2319"/>
      <c r="AX201" s="2319"/>
      <c r="AY201" s="2319"/>
      <c r="AZ201" s="2319"/>
      <c r="BA201" s="2319"/>
      <c r="BB201" s="2319"/>
      <c r="BC201" s="2319"/>
      <c r="BD201" s="2319"/>
      <c r="BE201" s="2319"/>
      <c r="BF201" s="2319"/>
      <c r="BG201" s="2319"/>
      <c r="BH201" s="2319"/>
      <c r="BI201" s="2319"/>
      <c r="BJ201" s="2319"/>
      <c r="BK201" s="2319"/>
      <c r="BL201" s="2319"/>
      <c r="BM201" s="2319"/>
      <c r="BN201" s="2319"/>
      <c r="BO201" s="2319"/>
      <c r="BP201" s="2319"/>
      <c r="BQ201" s="2319"/>
      <c r="BR201" s="2319"/>
      <c r="BS201" s="2319"/>
      <c r="BT201" s="2319"/>
      <c r="BU201" s="2319"/>
      <c r="BV201" s="2319"/>
      <c r="BW201" s="2319"/>
      <c r="BX201" s="2319"/>
      <c r="BY201" s="2319"/>
      <c r="BZ201" s="2319"/>
      <c r="CA201" s="2319"/>
      <c r="CB201" s="2319"/>
      <c r="CC201" s="2319"/>
      <c r="CD201" s="2319"/>
      <c r="CE201" s="2319"/>
      <c r="CF201" s="2319"/>
      <c r="CG201" s="2319"/>
      <c r="CH201" s="2319"/>
      <c r="CI201" s="2319"/>
      <c r="CJ201" s="2319"/>
      <c r="CK201" s="2319"/>
      <c r="CL201" s="2319"/>
      <c r="CM201" s="2319"/>
      <c r="CN201" s="2319"/>
      <c r="CO201" s="2319"/>
      <c r="CP201" s="2319"/>
      <c r="CQ201" s="2319"/>
      <c r="CR201" s="2319"/>
      <c r="CS201" s="2319"/>
      <c r="CT201" s="2319"/>
      <c r="CU201" s="2319"/>
      <c r="CV201" s="2319"/>
    </row>
    <row r="202" spans="1:100" ht="15.75" customHeight="1">
      <c r="A202" s="2371"/>
      <c r="B202" s="2319"/>
      <c r="C202" s="2319"/>
      <c r="D202" s="2318"/>
      <c r="E202" s="2319"/>
      <c r="F202" s="2319"/>
      <c r="G202" s="2319"/>
      <c r="H202" s="2319"/>
      <c r="I202" s="2319"/>
      <c r="J202" s="2319"/>
      <c r="K202" s="2319"/>
      <c r="L202" s="2319"/>
      <c r="M202" s="2319"/>
      <c r="N202" s="2319"/>
      <c r="O202" s="2319"/>
      <c r="P202" s="2319"/>
      <c r="Q202" s="2319"/>
      <c r="R202" s="2319"/>
      <c r="S202" s="2319"/>
      <c r="T202" s="2319"/>
      <c r="U202" s="2319"/>
      <c r="V202" s="2319"/>
      <c r="W202" s="2319"/>
      <c r="X202" s="2319"/>
      <c r="Y202" s="2319"/>
      <c r="Z202" s="2319"/>
      <c r="AA202" s="2319"/>
      <c r="AB202" s="2319"/>
      <c r="AC202" s="2319"/>
      <c r="AD202" s="2319"/>
      <c r="AE202" s="2319"/>
      <c r="AF202" s="2319"/>
      <c r="AG202" s="2319"/>
      <c r="AH202" s="2319"/>
      <c r="AI202" s="2319"/>
      <c r="AJ202" s="2319"/>
      <c r="AK202" s="2319"/>
      <c r="AL202" s="2319"/>
      <c r="AM202" s="2319"/>
      <c r="AN202" s="2319"/>
      <c r="AO202" s="2319"/>
      <c r="AP202" s="2319"/>
      <c r="AQ202" s="2319"/>
      <c r="AR202" s="2319"/>
      <c r="AS202" s="2319"/>
      <c r="AT202" s="2319"/>
      <c r="AU202" s="2319"/>
      <c r="AV202" s="2319"/>
      <c r="AW202" s="2319"/>
      <c r="AX202" s="2319"/>
      <c r="AY202" s="2319"/>
      <c r="AZ202" s="2319"/>
      <c r="BA202" s="2319"/>
      <c r="BB202" s="2319"/>
      <c r="BC202" s="2319"/>
      <c r="BD202" s="2319"/>
      <c r="BE202" s="2319"/>
      <c r="BF202" s="2319"/>
      <c r="BG202" s="2319"/>
      <c r="BH202" s="2319"/>
      <c r="BI202" s="2319"/>
      <c r="BJ202" s="2319"/>
      <c r="BK202" s="2319"/>
      <c r="BL202" s="2319"/>
      <c r="BM202" s="2319"/>
      <c r="BN202" s="2319"/>
      <c r="BO202" s="2319"/>
      <c r="BP202" s="2319"/>
      <c r="BQ202" s="2319"/>
      <c r="BR202" s="2319"/>
      <c r="BS202" s="2319"/>
      <c r="BT202" s="2319"/>
      <c r="BU202" s="2319"/>
      <c r="BV202" s="2319"/>
      <c r="BW202" s="2319"/>
      <c r="BX202" s="2319"/>
      <c r="BY202" s="2319"/>
      <c r="BZ202" s="2319"/>
      <c r="CA202" s="2319"/>
      <c r="CB202" s="2319"/>
      <c r="CC202" s="2319"/>
      <c r="CD202" s="2319"/>
      <c r="CE202" s="2319"/>
      <c r="CF202" s="2319"/>
      <c r="CG202" s="2319"/>
      <c r="CH202" s="2319"/>
      <c r="CI202" s="2319"/>
      <c r="CJ202" s="2319"/>
      <c r="CK202" s="2319"/>
      <c r="CL202" s="2319"/>
      <c r="CM202" s="2319"/>
      <c r="CN202" s="2319"/>
      <c r="CO202" s="2319"/>
      <c r="CP202" s="2319"/>
      <c r="CQ202" s="2319"/>
      <c r="CR202" s="2319"/>
      <c r="CS202" s="2319"/>
      <c r="CT202" s="2319"/>
      <c r="CU202" s="2319"/>
      <c r="CV202" s="2319"/>
    </row>
    <row r="203" spans="1:100" ht="15.75" customHeight="1">
      <c r="A203" s="2371"/>
      <c r="B203" s="2319"/>
      <c r="C203" s="2319"/>
      <c r="D203" s="2318"/>
      <c r="E203" s="2319"/>
      <c r="F203" s="2319"/>
      <c r="G203" s="2319"/>
      <c r="H203" s="2319"/>
      <c r="I203" s="2319"/>
      <c r="J203" s="2319"/>
      <c r="K203" s="2319"/>
      <c r="L203" s="2319"/>
      <c r="M203" s="2319"/>
      <c r="N203" s="2319"/>
      <c r="O203" s="2319"/>
      <c r="P203" s="2319"/>
      <c r="Q203" s="2319"/>
      <c r="R203" s="2319"/>
      <c r="S203" s="2319"/>
      <c r="T203" s="2319"/>
      <c r="U203" s="2319"/>
      <c r="V203" s="2319"/>
      <c r="W203" s="2319"/>
      <c r="X203" s="2319"/>
      <c r="Y203" s="2319"/>
      <c r="Z203" s="2319"/>
      <c r="AA203" s="2319"/>
      <c r="AB203" s="2319"/>
      <c r="AC203" s="2319"/>
      <c r="AD203" s="2319"/>
      <c r="AE203" s="2319"/>
      <c r="AF203" s="2319"/>
      <c r="AG203" s="2319"/>
      <c r="AH203" s="2319"/>
      <c r="AI203" s="2319"/>
      <c r="AJ203" s="2319"/>
      <c r="AK203" s="2319"/>
      <c r="AL203" s="2319"/>
      <c r="AM203" s="2319"/>
      <c r="AN203" s="2319"/>
      <c r="AO203" s="2319"/>
      <c r="AP203" s="2319"/>
      <c r="AQ203" s="2319"/>
      <c r="AR203" s="2319"/>
      <c r="AS203" s="2319"/>
      <c r="AT203" s="2319"/>
      <c r="AU203" s="2319"/>
      <c r="AV203" s="2319"/>
      <c r="AW203" s="2319"/>
      <c r="AX203" s="2319"/>
      <c r="AY203" s="2319"/>
      <c r="AZ203" s="2319"/>
      <c r="BA203" s="2319"/>
      <c r="BB203" s="2319"/>
      <c r="BC203" s="2319"/>
      <c r="BD203" s="2319"/>
      <c r="BE203" s="2319"/>
      <c r="BF203" s="2319"/>
      <c r="BG203" s="2319"/>
      <c r="BH203" s="2319"/>
      <c r="BI203" s="2319"/>
      <c r="BJ203" s="2319"/>
      <c r="BK203" s="2319"/>
      <c r="BL203" s="2319"/>
      <c r="BM203" s="2319"/>
      <c r="BN203" s="2319"/>
      <c r="BO203" s="2319"/>
      <c r="BP203" s="2319"/>
      <c r="BQ203" s="2319"/>
      <c r="BR203" s="2319"/>
      <c r="BS203" s="2319"/>
      <c r="BT203" s="2319"/>
      <c r="BU203" s="2319"/>
      <c r="BV203" s="2319"/>
      <c r="BW203" s="2319"/>
      <c r="BX203" s="2319"/>
      <c r="BY203" s="2319"/>
      <c r="BZ203" s="2319"/>
      <c r="CA203" s="2319"/>
      <c r="CB203" s="2319"/>
      <c r="CC203" s="2319"/>
      <c r="CD203" s="2319"/>
      <c r="CE203" s="2319"/>
      <c r="CF203" s="2319"/>
      <c r="CG203" s="2319"/>
      <c r="CH203" s="2319"/>
      <c r="CI203" s="2319"/>
      <c r="CJ203" s="2319"/>
      <c r="CK203" s="2319"/>
      <c r="CL203" s="2319"/>
      <c r="CM203" s="2319"/>
      <c r="CN203" s="2319"/>
      <c r="CO203" s="2319"/>
      <c r="CP203" s="2319"/>
      <c r="CQ203" s="2319"/>
      <c r="CR203" s="2319"/>
      <c r="CS203" s="2319"/>
      <c r="CT203" s="2319"/>
      <c r="CU203" s="2319"/>
      <c r="CV203" s="2319"/>
    </row>
    <row r="204" spans="1:100" ht="15.75" customHeight="1">
      <c r="A204" s="2371"/>
      <c r="B204" s="2319"/>
      <c r="C204" s="2319"/>
      <c r="D204" s="2318"/>
      <c r="E204" s="2319"/>
      <c r="F204" s="2319"/>
      <c r="G204" s="2319"/>
      <c r="H204" s="2319"/>
      <c r="I204" s="2319"/>
      <c r="J204" s="2319"/>
      <c r="K204" s="2319"/>
      <c r="L204" s="2319"/>
      <c r="M204" s="2319"/>
      <c r="N204" s="2319"/>
      <c r="O204" s="2319"/>
      <c r="P204" s="2319"/>
      <c r="Q204" s="2319"/>
      <c r="R204" s="2319"/>
      <c r="S204" s="2319"/>
      <c r="T204" s="2319"/>
      <c r="U204" s="2319"/>
      <c r="V204" s="2319"/>
      <c r="W204" s="2319"/>
      <c r="X204" s="2319"/>
      <c r="Y204" s="2319"/>
      <c r="Z204" s="2319"/>
      <c r="AA204" s="2319"/>
      <c r="AB204" s="2319"/>
      <c r="AC204" s="2319"/>
      <c r="AD204" s="2319"/>
      <c r="AE204" s="2319"/>
      <c r="AF204" s="2319"/>
      <c r="AG204" s="2319"/>
      <c r="AH204" s="2319"/>
      <c r="AI204" s="2319"/>
      <c r="AJ204" s="2319"/>
      <c r="AK204" s="2319"/>
      <c r="AL204" s="2319"/>
      <c r="AM204" s="2319"/>
      <c r="AN204" s="2319"/>
      <c r="AO204" s="2319"/>
      <c r="AP204" s="2319"/>
      <c r="AQ204" s="2319"/>
      <c r="AR204" s="2319"/>
      <c r="AS204" s="2319"/>
      <c r="AT204" s="2319"/>
      <c r="AU204" s="2319"/>
      <c r="AV204" s="2319"/>
      <c r="AW204" s="2319"/>
      <c r="AX204" s="2319"/>
      <c r="AY204" s="2319"/>
      <c r="AZ204" s="2319"/>
      <c r="BA204" s="2319"/>
      <c r="BB204" s="2319"/>
      <c r="BC204" s="2319"/>
      <c r="BD204" s="2319"/>
      <c r="BE204" s="2319"/>
      <c r="BF204" s="2319"/>
      <c r="BG204" s="2319"/>
      <c r="BH204" s="2319"/>
      <c r="BI204" s="2319"/>
      <c r="BJ204" s="2319"/>
      <c r="BK204" s="2319"/>
      <c r="BL204" s="2319"/>
      <c r="BM204" s="2319"/>
      <c r="BN204" s="2319"/>
      <c r="BO204" s="2319"/>
      <c r="BP204" s="2319"/>
      <c r="BQ204" s="2319"/>
      <c r="BR204" s="2319"/>
      <c r="BS204" s="2319"/>
      <c r="BT204" s="2319"/>
      <c r="BU204" s="2319"/>
      <c r="BV204" s="2319"/>
      <c r="BW204" s="2319"/>
      <c r="BX204" s="2319"/>
      <c r="BY204" s="2319"/>
      <c r="BZ204" s="2319"/>
      <c r="CA204" s="2319"/>
      <c r="CB204" s="2319"/>
      <c r="CC204" s="2319"/>
      <c r="CD204" s="2319"/>
      <c r="CE204" s="2319"/>
      <c r="CF204" s="2319"/>
      <c r="CG204" s="2319"/>
      <c r="CH204" s="2319"/>
      <c r="CI204" s="2319"/>
      <c r="CJ204" s="2319"/>
      <c r="CK204" s="2319"/>
      <c r="CL204" s="2319"/>
      <c r="CM204" s="2319"/>
      <c r="CN204" s="2319"/>
      <c r="CO204" s="2319"/>
      <c r="CP204" s="2319"/>
      <c r="CQ204" s="2319"/>
      <c r="CR204" s="2319"/>
      <c r="CS204" s="2319"/>
      <c r="CT204" s="2319"/>
      <c r="CU204" s="2319"/>
      <c r="CV204" s="2319"/>
    </row>
    <row r="205" spans="1:100" ht="15.75" customHeight="1">
      <c r="A205" s="2371"/>
      <c r="B205" s="2319"/>
      <c r="C205" s="2319"/>
      <c r="D205" s="2318"/>
      <c r="E205" s="2319"/>
      <c r="F205" s="2319"/>
      <c r="G205" s="2319"/>
      <c r="H205" s="2319"/>
      <c r="I205" s="2319"/>
      <c r="J205" s="2319"/>
      <c r="K205" s="2319"/>
      <c r="L205" s="2319"/>
      <c r="M205" s="2319"/>
      <c r="N205" s="2319"/>
      <c r="O205" s="2319"/>
      <c r="P205" s="2319"/>
      <c r="Q205" s="2319"/>
      <c r="R205" s="2319"/>
      <c r="S205" s="2319"/>
      <c r="T205" s="2319"/>
      <c r="U205" s="2319"/>
      <c r="V205" s="2319"/>
      <c r="W205" s="2319"/>
      <c r="X205" s="2319"/>
      <c r="Y205" s="2319"/>
      <c r="Z205" s="2319"/>
      <c r="AA205" s="2319"/>
      <c r="AB205" s="2319"/>
      <c r="AC205" s="2319"/>
      <c r="AD205" s="2319"/>
      <c r="AE205" s="2319"/>
      <c r="AF205" s="2319"/>
      <c r="AG205" s="2319"/>
      <c r="AH205" s="2319"/>
      <c r="AI205" s="2319"/>
      <c r="AJ205" s="2319"/>
      <c r="AK205" s="2319"/>
      <c r="AL205" s="2319"/>
      <c r="AM205" s="2319"/>
      <c r="AN205" s="2319"/>
      <c r="AO205" s="2319"/>
      <c r="AP205" s="2319"/>
      <c r="AQ205" s="2319"/>
      <c r="AR205" s="2319"/>
      <c r="AS205" s="2319"/>
      <c r="AT205" s="2319"/>
      <c r="AU205" s="2319"/>
      <c r="AV205" s="2319"/>
      <c r="AW205" s="2319"/>
      <c r="AX205" s="2319"/>
      <c r="AY205" s="2319"/>
      <c r="AZ205" s="2319"/>
      <c r="BA205" s="2319"/>
      <c r="BB205" s="2319"/>
      <c r="BC205" s="2319"/>
      <c r="BD205" s="2319"/>
      <c r="BE205" s="2319"/>
      <c r="BF205" s="2319"/>
      <c r="BG205" s="2319"/>
      <c r="BH205" s="2319"/>
      <c r="BI205" s="2319"/>
      <c r="BJ205" s="2319"/>
      <c r="BK205" s="2319"/>
      <c r="BL205" s="2319"/>
      <c r="BM205" s="2319"/>
      <c r="BN205" s="2319"/>
      <c r="BO205" s="2319"/>
      <c r="BP205" s="2319"/>
      <c r="BQ205" s="2319"/>
      <c r="BR205" s="2319"/>
      <c r="BS205" s="2319"/>
      <c r="BT205" s="2319"/>
      <c r="BU205" s="2319"/>
      <c r="BV205" s="2319"/>
      <c r="BW205" s="2319"/>
      <c r="BX205" s="2319"/>
      <c r="BY205" s="2319"/>
      <c r="BZ205" s="2319"/>
      <c r="CA205" s="2319"/>
      <c r="CB205" s="2319"/>
      <c r="CC205" s="2319"/>
      <c r="CD205" s="2319"/>
      <c r="CE205" s="2319"/>
      <c r="CF205" s="2319"/>
      <c r="CG205" s="2319"/>
      <c r="CH205" s="2319"/>
      <c r="CI205" s="2319"/>
      <c r="CJ205" s="2319"/>
      <c r="CK205" s="2319"/>
      <c r="CL205" s="2319"/>
      <c r="CM205" s="2319"/>
      <c r="CN205" s="2319"/>
      <c r="CO205" s="2319"/>
      <c r="CP205" s="2319"/>
      <c r="CQ205" s="2319"/>
      <c r="CR205" s="2319"/>
      <c r="CS205" s="2319"/>
      <c r="CT205" s="2319"/>
      <c r="CU205" s="2319"/>
      <c r="CV205" s="2319"/>
    </row>
    <row r="206" spans="1:100" ht="15.75" customHeight="1">
      <c r="A206" s="2371"/>
      <c r="B206" s="2319"/>
      <c r="C206" s="2319"/>
      <c r="D206" s="2318"/>
      <c r="E206" s="2319"/>
      <c r="F206" s="2319"/>
      <c r="G206" s="2319"/>
      <c r="H206" s="2319"/>
      <c r="I206" s="2319"/>
      <c r="J206" s="2319"/>
      <c r="K206" s="2319"/>
      <c r="L206" s="2319"/>
      <c r="M206" s="2319"/>
      <c r="N206" s="2319"/>
      <c r="O206" s="2319"/>
      <c r="P206" s="2319"/>
      <c r="Q206" s="2319"/>
      <c r="R206" s="2319"/>
      <c r="S206" s="2319"/>
      <c r="T206" s="2319"/>
      <c r="U206" s="2319"/>
      <c r="V206" s="2319"/>
      <c r="W206" s="2319"/>
      <c r="X206" s="2319"/>
      <c r="Y206" s="2319"/>
      <c r="Z206" s="2319"/>
      <c r="AA206" s="2319"/>
      <c r="AB206" s="2319"/>
      <c r="AC206" s="2319"/>
      <c r="AD206" s="2319"/>
      <c r="AE206" s="2319"/>
      <c r="AF206" s="2319"/>
      <c r="AG206" s="2319"/>
      <c r="AH206" s="2319"/>
      <c r="AI206" s="2319"/>
      <c r="AJ206" s="2319"/>
      <c r="AK206" s="2319"/>
      <c r="AL206" s="2319"/>
      <c r="AM206" s="2319"/>
      <c r="AN206" s="2319"/>
      <c r="AO206" s="2319"/>
      <c r="AP206" s="2319"/>
      <c r="AQ206" s="2319"/>
      <c r="AR206" s="2319"/>
      <c r="AS206" s="2319"/>
      <c r="AT206" s="2319"/>
      <c r="AU206" s="2319"/>
      <c r="AV206" s="2319"/>
      <c r="AW206" s="2319"/>
      <c r="AX206" s="2319"/>
      <c r="AY206" s="2319"/>
      <c r="AZ206" s="2319"/>
      <c r="BA206" s="2319"/>
      <c r="BB206" s="2319"/>
      <c r="BC206" s="2319"/>
      <c r="BD206" s="2319"/>
      <c r="BE206" s="2319"/>
      <c r="BF206" s="2319"/>
      <c r="BG206" s="2319"/>
      <c r="BH206" s="2319"/>
      <c r="BI206" s="2319"/>
      <c r="BJ206" s="2319"/>
      <c r="BK206" s="2319"/>
      <c r="BL206" s="2319"/>
      <c r="BM206" s="2319"/>
      <c r="BN206" s="2319"/>
      <c r="BO206" s="2319"/>
      <c r="BP206" s="2319"/>
      <c r="BQ206" s="2319"/>
      <c r="BR206" s="2319"/>
      <c r="BS206" s="2319"/>
      <c r="BT206" s="2319"/>
      <c r="BU206" s="2319"/>
      <c r="BV206" s="2319"/>
      <c r="BW206" s="2319"/>
      <c r="BX206" s="2319"/>
      <c r="BY206" s="2319"/>
      <c r="BZ206" s="2319"/>
      <c r="CA206" s="2319"/>
      <c r="CB206" s="2319"/>
      <c r="CC206" s="2319"/>
      <c r="CD206" s="2319"/>
      <c r="CE206" s="2319"/>
      <c r="CF206" s="2319"/>
      <c r="CG206" s="2319"/>
      <c r="CH206" s="2319"/>
      <c r="CI206" s="2319"/>
      <c r="CJ206" s="2319"/>
      <c r="CK206" s="2319"/>
      <c r="CL206" s="2319"/>
      <c r="CM206" s="2319"/>
      <c r="CN206" s="2319"/>
      <c r="CO206" s="2319"/>
      <c r="CP206" s="2319"/>
      <c r="CQ206" s="2319"/>
      <c r="CR206" s="2319"/>
      <c r="CS206" s="2319"/>
      <c r="CT206" s="2319"/>
      <c r="CU206" s="2319"/>
      <c r="CV206" s="2319"/>
    </row>
    <row r="207" spans="1:100" ht="15.75" customHeight="1">
      <c r="A207" s="2371"/>
      <c r="B207" s="2319"/>
      <c r="C207" s="2319"/>
      <c r="D207" s="2318"/>
      <c r="E207" s="2319"/>
      <c r="F207" s="2319"/>
      <c r="G207" s="2319"/>
      <c r="H207" s="2319"/>
      <c r="I207" s="2319"/>
      <c r="J207" s="2319"/>
      <c r="K207" s="2319"/>
      <c r="L207" s="2319"/>
      <c r="M207" s="2319"/>
      <c r="N207" s="2319"/>
      <c r="O207" s="2319"/>
      <c r="P207" s="2319"/>
      <c r="Q207" s="2319"/>
      <c r="R207" s="2319"/>
      <c r="S207" s="2319"/>
      <c r="T207" s="2319"/>
      <c r="U207" s="2319"/>
      <c r="V207" s="2319"/>
      <c r="W207" s="2319"/>
      <c r="X207" s="2319"/>
      <c r="Y207" s="2319"/>
      <c r="Z207" s="2319"/>
      <c r="AA207" s="2319"/>
      <c r="AB207" s="2319"/>
      <c r="AC207" s="2319"/>
      <c r="AD207" s="2319"/>
      <c r="AE207" s="2319"/>
      <c r="AF207" s="2319"/>
      <c r="AG207" s="2319"/>
      <c r="AH207" s="2319"/>
      <c r="AI207" s="2319"/>
      <c r="AJ207" s="2319"/>
      <c r="AK207" s="2319"/>
      <c r="AL207" s="2319"/>
      <c r="AM207" s="2319"/>
      <c r="AN207" s="2319"/>
      <c r="AO207" s="2319"/>
      <c r="AP207" s="2319"/>
      <c r="AQ207" s="2319"/>
      <c r="AR207" s="2319"/>
      <c r="AS207" s="2319"/>
      <c r="AT207" s="2319"/>
      <c r="AU207" s="2319"/>
      <c r="AV207" s="2319"/>
      <c r="AW207" s="2319"/>
      <c r="AX207" s="2319"/>
      <c r="AY207" s="2319"/>
      <c r="AZ207" s="2319"/>
      <c r="BA207" s="2319"/>
      <c r="BB207" s="2319"/>
      <c r="BC207" s="2319"/>
      <c r="BD207" s="2319"/>
      <c r="BE207" s="2319"/>
      <c r="BF207" s="2319"/>
      <c r="BG207" s="2319"/>
      <c r="BH207" s="2319"/>
      <c r="BI207" s="2319"/>
      <c r="BJ207" s="2319"/>
      <c r="BK207" s="2319"/>
      <c r="BL207" s="2319"/>
      <c r="BM207" s="2319"/>
      <c r="BN207" s="2319"/>
      <c r="BO207" s="2319"/>
      <c r="BP207" s="2319"/>
      <c r="BQ207" s="2319"/>
      <c r="BR207" s="2319"/>
      <c r="BS207" s="2319"/>
      <c r="BT207" s="2319"/>
      <c r="BU207" s="2319"/>
      <c r="BV207" s="2319"/>
      <c r="BW207" s="2319"/>
      <c r="BX207" s="2319"/>
      <c r="BY207" s="2319"/>
      <c r="BZ207" s="2319"/>
      <c r="CA207" s="2319"/>
      <c r="CB207" s="2319"/>
      <c r="CC207" s="2319"/>
      <c r="CD207" s="2319"/>
      <c r="CE207" s="2319"/>
      <c r="CF207" s="2319"/>
      <c r="CG207" s="2319"/>
      <c r="CH207" s="2319"/>
      <c r="CI207" s="2319"/>
      <c r="CJ207" s="2319"/>
      <c r="CK207" s="2319"/>
      <c r="CL207" s="2319"/>
      <c r="CM207" s="2319"/>
      <c r="CN207" s="2319"/>
      <c r="CO207" s="2319"/>
      <c r="CP207" s="2319"/>
      <c r="CQ207" s="2319"/>
      <c r="CR207" s="2319"/>
      <c r="CS207" s="2319"/>
      <c r="CT207" s="2319"/>
      <c r="CU207" s="2319"/>
      <c r="CV207" s="2319"/>
    </row>
    <row r="208" spans="1:100" ht="15.75" customHeight="1">
      <c r="A208" s="2371"/>
      <c r="B208" s="2319"/>
      <c r="C208" s="2319"/>
      <c r="D208" s="2318"/>
      <c r="E208" s="2319"/>
      <c r="F208" s="2319"/>
      <c r="G208" s="2319"/>
      <c r="H208" s="2319"/>
      <c r="I208" s="2319"/>
      <c r="J208" s="2319"/>
      <c r="K208" s="2319"/>
      <c r="L208" s="2319"/>
      <c r="M208" s="2319"/>
      <c r="N208" s="2319"/>
      <c r="O208" s="2319"/>
      <c r="P208" s="2319"/>
      <c r="Q208" s="2319"/>
      <c r="R208" s="2319"/>
      <c r="S208" s="2319"/>
      <c r="T208" s="2319"/>
      <c r="U208" s="2319"/>
      <c r="V208" s="2319"/>
      <c r="W208" s="2319"/>
      <c r="X208" s="2319"/>
      <c r="Y208" s="2319"/>
      <c r="Z208" s="2319"/>
      <c r="AA208" s="2319"/>
      <c r="AB208" s="2319"/>
      <c r="AC208" s="2319"/>
      <c r="AD208" s="2319"/>
      <c r="AE208" s="2319"/>
      <c r="AF208" s="2319"/>
      <c r="AG208" s="2319"/>
      <c r="AH208" s="2319"/>
      <c r="AI208" s="2319"/>
      <c r="AJ208" s="2319"/>
      <c r="AK208" s="2319"/>
      <c r="AL208" s="2319"/>
      <c r="AM208" s="2319"/>
      <c r="AN208" s="2319"/>
      <c r="AO208" s="2319"/>
      <c r="AP208" s="2319"/>
      <c r="AQ208" s="2319"/>
      <c r="AR208" s="2319"/>
      <c r="AS208" s="2319"/>
      <c r="AT208" s="2319"/>
      <c r="AU208" s="2319"/>
      <c r="AV208" s="2319"/>
      <c r="AW208" s="2319"/>
      <c r="AX208" s="2319"/>
      <c r="AY208" s="2319"/>
      <c r="AZ208" s="2319"/>
      <c r="BA208" s="2319"/>
      <c r="BB208" s="2319"/>
      <c r="BC208" s="2319"/>
      <c r="BD208" s="2319"/>
      <c r="BE208" s="2319"/>
      <c r="BF208" s="2319"/>
      <c r="BG208" s="2319"/>
      <c r="BH208" s="2319"/>
      <c r="BI208" s="2319"/>
      <c r="BJ208" s="2319"/>
      <c r="BK208" s="2319"/>
      <c r="BL208" s="2319"/>
      <c r="BM208" s="2319"/>
      <c r="BN208" s="2319"/>
      <c r="BO208" s="2319"/>
      <c r="BP208" s="2319"/>
      <c r="BQ208" s="2319"/>
      <c r="BR208" s="2319"/>
      <c r="BS208" s="2319"/>
      <c r="BT208" s="2319"/>
      <c r="BU208" s="2319"/>
      <c r="BV208" s="2319"/>
      <c r="BW208" s="2319"/>
      <c r="BX208" s="2319"/>
      <c r="BY208" s="2319"/>
      <c r="BZ208" s="2319"/>
      <c r="CA208" s="2319"/>
      <c r="CB208" s="2319"/>
      <c r="CC208" s="2319"/>
      <c r="CD208" s="2319"/>
      <c r="CE208" s="2319"/>
      <c r="CF208" s="2319"/>
      <c r="CG208" s="2319"/>
      <c r="CH208" s="2319"/>
      <c r="CI208" s="2319"/>
      <c r="CJ208" s="2319"/>
      <c r="CK208" s="2319"/>
      <c r="CL208" s="2319"/>
      <c r="CM208" s="2319"/>
      <c r="CN208" s="2319"/>
      <c r="CO208" s="2319"/>
      <c r="CP208" s="2319"/>
      <c r="CQ208" s="2319"/>
      <c r="CR208" s="2319"/>
      <c r="CS208" s="2319"/>
      <c r="CT208" s="2319"/>
      <c r="CU208" s="2319"/>
      <c r="CV208" s="2319"/>
    </row>
    <row r="209" spans="1:100" ht="15.75" customHeight="1">
      <c r="A209" s="2371"/>
      <c r="B209" s="2319"/>
      <c r="C209" s="2319"/>
      <c r="D209" s="2318"/>
      <c r="E209" s="2319"/>
      <c r="F209" s="2319"/>
      <c r="G209" s="2319"/>
      <c r="H209" s="2319"/>
      <c r="I209" s="2319"/>
      <c r="J209" s="2319"/>
      <c r="K209" s="2319"/>
      <c r="L209" s="2319"/>
      <c r="M209" s="2319"/>
      <c r="N209" s="2319"/>
      <c r="O209" s="2319"/>
      <c r="P209" s="2319"/>
      <c r="Q209" s="2319"/>
      <c r="R209" s="2319"/>
      <c r="S209" s="2319"/>
      <c r="T209" s="2319"/>
      <c r="U209" s="2319"/>
      <c r="V209" s="2319"/>
      <c r="W209" s="2319"/>
      <c r="X209" s="2319"/>
      <c r="Y209" s="2319"/>
      <c r="Z209" s="2319"/>
      <c r="AA209" s="2319"/>
      <c r="AB209" s="2319"/>
      <c r="AC209" s="2319"/>
      <c r="AD209" s="2319"/>
      <c r="AE209" s="2319"/>
      <c r="AF209" s="2319"/>
      <c r="AG209" s="2319"/>
      <c r="AH209" s="2319"/>
      <c r="AI209" s="2319"/>
      <c r="AJ209" s="2319"/>
      <c r="AK209" s="2319"/>
      <c r="AL209" s="2319"/>
      <c r="AM209" s="2319"/>
      <c r="AN209" s="2319"/>
      <c r="AO209" s="2319"/>
      <c r="AP209" s="2319"/>
      <c r="AQ209" s="2319"/>
      <c r="AR209" s="2319"/>
      <c r="AS209" s="2319"/>
      <c r="AT209" s="2319"/>
      <c r="AU209" s="2319"/>
      <c r="AV209" s="2319"/>
      <c r="AW209" s="2319"/>
      <c r="AX209" s="2319"/>
      <c r="AY209" s="2319"/>
      <c r="AZ209" s="2319"/>
      <c r="BA209" s="2319"/>
      <c r="BB209" s="2319"/>
      <c r="BC209" s="2319"/>
      <c r="BD209" s="2319"/>
      <c r="BE209" s="2319"/>
      <c r="BF209" s="2319"/>
      <c r="BG209" s="2319"/>
      <c r="BH209" s="2319"/>
      <c r="BI209" s="2319"/>
      <c r="BJ209" s="2319"/>
      <c r="BK209" s="2319"/>
      <c r="BL209" s="2319"/>
      <c r="BM209" s="2319"/>
      <c r="BN209" s="2319"/>
      <c r="BO209" s="2319"/>
      <c r="BP209" s="2319"/>
      <c r="BQ209" s="2319"/>
      <c r="BR209" s="2319"/>
      <c r="BS209" s="2319"/>
      <c r="BT209" s="2319"/>
      <c r="BU209" s="2319"/>
      <c r="BV209" s="2319"/>
      <c r="BW209" s="2319"/>
      <c r="BX209" s="2319"/>
      <c r="BY209" s="2319"/>
      <c r="BZ209" s="2319"/>
      <c r="CA209" s="2319"/>
      <c r="CB209" s="2319"/>
      <c r="CC209" s="2319"/>
      <c r="CD209" s="2319"/>
      <c r="CE209" s="2319"/>
      <c r="CF209" s="2319"/>
      <c r="CG209" s="2319"/>
      <c r="CH209" s="2319"/>
      <c r="CI209" s="2319"/>
      <c r="CJ209" s="2319"/>
      <c r="CK209" s="2319"/>
      <c r="CL209" s="2319"/>
      <c r="CM209" s="2319"/>
      <c r="CN209" s="2319"/>
      <c r="CO209" s="2319"/>
      <c r="CP209" s="2319"/>
      <c r="CQ209" s="2319"/>
      <c r="CR209" s="2319"/>
      <c r="CS209" s="2319"/>
      <c r="CT209" s="2319"/>
      <c r="CU209" s="2319"/>
      <c r="CV209" s="2319"/>
    </row>
    <row r="210" spans="1:100" ht="15.75" customHeight="1">
      <c r="A210" s="2371"/>
      <c r="B210" s="2319"/>
      <c r="C210" s="2319"/>
      <c r="D210" s="2318"/>
      <c r="E210" s="2319"/>
      <c r="F210" s="2319"/>
      <c r="G210" s="2319"/>
      <c r="H210" s="2319"/>
      <c r="I210" s="2319"/>
      <c r="J210" s="2319"/>
      <c r="K210" s="2319"/>
      <c r="L210" s="2319"/>
      <c r="M210" s="2319"/>
      <c r="N210" s="2319"/>
      <c r="O210" s="2319"/>
      <c r="P210" s="2319"/>
      <c r="Q210" s="2319"/>
      <c r="R210" s="2319"/>
      <c r="S210" s="2319"/>
      <c r="T210" s="2319"/>
      <c r="U210" s="2319"/>
      <c r="V210" s="2319"/>
      <c r="W210" s="2319"/>
      <c r="X210" s="2319"/>
      <c r="Y210" s="2319"/>
      <c r="Z210" s="2319"/>
      <c r="AA210" s="2319"/>
      <c r="AB210" s="2319"/>
      <c r="AC210" s="2319"/>
      <c r="AD210" s="2319"/>
      <c r="AE210" s="2319"/>
      <c r="AF210" s="2319"/>
      <c r="AG210" s="2319"/>
      <c r="AH210" s="2319"/>
      <c r="AI210" s="2319"/>
      <c r="AJ210" s="2319"/>
      <c r="AK210" s="2319"/>
      <c r="AL210" s="2319"/>
      <c r="AM210" s="2319"/>
      <c r="AN210" s="2319"/>
      <c r="AO210" s="2319"/>
      <c r="AP210" s="2319"/>
      <c r="AQ210" s="2319"/>
      <c r="AR210" s="2319"/>
      <c r="AS210" s="2319"/>
      <c r="AT210" s="2319"/>
      <c r="AU210" s="2319"/>
      <c r="AV210" s="2319"/>
      <c r="AW210" s="2319"/>
      <c r="AX210" s="2319"/>
      <c r="AY210" s="2319"/>
      <c r="AZ210" s="2319"/>
      <c r="BA210" s="2319"/>
      <c r="BB210" s="2319"/>
      <c r="BC210" s="2319"/>
      <c r="BD210" s="2319"/>
      <c r="BE210" s="2319"/>
      <c r="BF210" s="2319"/>
      <c r="BG210" s="2319"/>
      <c r="BH210" s="2319"/>
      <c r="BI210" s="2319"/>
      <c r="BJ210" s="2319"/>
      <c r="BK210" s="2319"/>
      <c r="BL210" s="2319"/>
      <c r="BM210" s="2319"/>
      <c r="BN210" s="2319"/>
      <c r="BO210" s="2319"/>
      <c r="BP210" s="2319"/>
      <c r="BQ210" s="2319"/>
      <c r="BR210" s="2319"/>
      <c r="BS210" s="2319"/>
      <c r="BT210" s="2319"/>
      <c r="BU210" s="2319"/>
      <c r="BV210" s="2319"/>
      <c r="BW210" s="2319"/>
      <c r="BX210" s="2319"/>
      <c r="BY210" s="2319"/>
      <c r="BZ210" s="2319"/>
      <c r="CA210" s="2319"/>
      <c r="CB210" s="2319"/>
      <c r="CC210" s="2319"/>
      <c r="CD210" s="2319"/>
      <c r="CE210" s="2319"/>
      <c r="CF210" s="2319"/>
      <c r="CG210" s="2319"/>
      <c r="CH210" s="2319"/>
      <c r="CI210" s="2319"/>
      <c r="CJ210" s="2319"/>
      <c r="CK210" s="2319"/>
      <c r="CL210" s="2319"/>
      <c r="CM210" s="2319"/>
      <c r="CN210" s="2319"/>
      <c r="CO210" s="2319"/>
      <c r="CP210" s="2319"/>
      <c r="CQ210" s="2319"/>
      <c r="CR210" s="2319"/>
      <c r="CS210" s="2319"/>
      <c r="CT210" s="2319"/>
      <c r="CU210" s="2319"/>
      <c r="CV210" s="2319"/>
    </row>
    <row r="211" spans="1:100" ht="15.75" customHeight="1">
      <c r="A211" s="2371"/>
      <c r="B211" s="2319"/>
      <c r="C211" s="2319"/>
      <c r="D211" s="2318"/>
      <c r="E211" s="2319"/>
      <c r="F211" s="2319"/>
      <c r="G211" s="2319"/>
      <c r="H211" s="2319"/>
      <c r="I211" s="2319"/>
      <c r="J211" s="2319"/>
      <c r="K211" s="2319"/>
      <c r="L211" s="2319"/>
      <c r="M211" s="2319"/>
      <c r="N211" s="2319"/>
      <c r="O211" s="2319"/>
      <c r="P211" s="2319"/>
      <c r="Q211" s="2319"/>
      <c r="R211" s="2319"/>
      <c r="S211" s="2319"/>
      <c r="T211" s="2319"/>
      <c r="U211" s="2319"/>
      <c r="V211" s="2319"/>
      <c r="W211" s="2319"/>
      <c r="X211" s="2319"/>
      <c r="Y211" s="2319"/>
      <c r="Z211" s="2319"/>
      <c r="AA211" s="2319"/>
      <c r="AB211" s="2319"/>
      <c r="AC211" s="2319"/>
      <c r="AD211" s="2319"/>
      <c r="AE211" s="2319"/>
      <c r="AF211" s="2319"/>
      <c r="AG211" s="2319"/>
      <c r="AH211" s="2319"/>
      <c r="AI211" s="2319"/>
      <c r="AJ211" s="2319"/>
      <c r="AK211" s="2319"/>
      <c r="AL211" s="2319"/>
      <c r="AM211" s="2319"/>
      <c r="AN211" s="2319"/>
      <c r="AO211" s="2319"/>
      <c r="AP211" s="2319"/>
      <c r="AQ211" s="2319"/>
      <c r="AR211" s="2319"/>
      <c r="AS211" s="2319"/>
      <c r="AT211" s="2319"/>
      <c r="AU211" s="2319"/>
      <c r="AV211" s="2319"/>
      <c r="AW211" s="2319"/>
      <c r="AX211" s="2319"/>
      <c r="AY211" s="2319"/>
      <c r="AZ211" s="2319"/>
      <c r="BA211" s="2319"/>
      <c r="BB211" s="2319"/>
      <c r="BC211" s="2319"/>
      <c r="BD211" s="2319"/>
      <c r="BE211" s="2319"/>
      <c r="BF211" s="2319"/>
      <c r="BG211" s="2319"/>
      <c r="BH211" s="2319"/>
      <c r="BI211" s="2319"/>
      <c r="BJ211" s="2319"/>
      <c r="BK211" s="2319"/>
      <c r="BL211" s="2319"/>
      <c r="BM211" s="2319"/>
      <c r="BN211" s="2319"/>
      <c r="BO211" s="2319"/>
      <c r="BP211" s="2319"/>
      <c r="BQ211" s="2319"/>
      <c r="BR211" s="2319"/>
      <c r="BS211" s="2319"/>
      <c r="BT211" s="2319"/>
      <c r="BU211" s="2319"/>
      <c r="BV211" s="2319"/>
      <c r="BW211" s="2319"/>
      <c r="BX211" s="2319"/>
      <c r="BY211" s="2319"/>
      <c r="BZ211" s="2319"/>
      <c r="CA211" s="2319"/>
      <c r="CB211" s="2319"/>
      <c r="CC211" s="2319"/>
      <c r="CD211" s="2319"/>
      <c r="CE211" s="2319"/>
      <c r="CF211" s="2319"/>
      <c r="CG211" s="2319"/>
      <c r="CH211" s="2319"/>
      <c r="CI211" s="2319"/>
      <c r="CJ211" s="2319"/>
      <c r="CK211" s="2319"/>
      <c r="CL211" s="2319"/>
      <c r="CM211" s="2319"/>
      <c r="CN211" s="2319"/>
      <c r="CO211" s="2319"/>
      <c r="CP211" s="2319"/>
      <c r="CQ211" s="2319"/>
      <c r="CR211" s="2319"/>
      <c r="CS211" s="2319"/>
      <c r="CT211" s="2319"/>
      <c r="CU211" s="2319"/>
      <c r="CV211" s="2319"/>
    </row>
    <row r="212" spans="1:100" ht="15.75" customHeight="1">
      <c r="A212" s="2371"/>
      <c r="B212" s="2319"/>
      <c r="C212" s="2319"/>
      <c r="D212" s="2318"/>
      <c r="E212" s="2319"/>
      <c r="F212" s="2319"/>
      <c r="G212" s="2319"/>
      <c r="H212" s="2319"/>
      <c r="I212" s="2319"/>
      <c r="J212" s="2319"/>
      <c r="K212" s="2319"/>
      <c r="L212" s="2319"/>
      <c r="M212" s="2319"/>
      <c r="N212" s="2319"/>
      <c r="O212" s="2319"/>
      <c r="P212" s="2319"/>
      <c r="Q212" s="2319"/>
      <c r="R212" s="2319"/>
      <c r="S212" s="2319"/>
      <c r="T212" s="2319"/>
      <c r="U212" s="2319"/>
      <c r="V212" s="2319"/>
      <c r="W212" s="2319"/>
      <c r="X212" s="2319"/>
      <c r="Y212" s="2319"/>
      <c r="Z212" s="2319"/>
      <c r="AA212" s="2319"/>
      <c r="AB212" s="2319"/>
      <c r="AC212" s="2319"/>
      <c r="AD212" s="2319"/>
      <c r="AE212" s="2319"/>
      <c r="AF212" s="2319"/>
      <c r="AG212" s="2319"/>
      <c r="AH212" s="2319"/>
      <c r="AI212" s="2319"/>
      <c r="AJ212" s="2319"/>
      <c r="AK212" s="2319"/>
      <c r="AL212" s="2319"/>
      <c r="AM212" s="2319"/>
      <c r="AN212" s="2319"/>
      <c r="AO212" s="2319"/>
      <c r="AP212" s="2319"/>
      <c r="AQ212" s="2319"/>
      <c r="AR212" s="2319"/>
      <c r="AS212" s="2319"/>
      <c r="AT212" s="2319"/>
      <c r="AU212" s="2319"/>
      <c r="AV212" s="2319"/>
      <c r="AW212" s="2319"/>
      <c r="AX212" s="2319"/>
      <c r="AY212" s="2319"/>
      <c r="AZ212" s="2319"/>
      <c r="BA212" s="2319"/>
      <c r="BB212" s="2319"/>
      <c r="BC212" s="2319"/>
      <c r="BD212" s="2319"/>
      <c r="BE212" s="2319"/>
      <c r="BF212" s="2319"/>
      <c r="BG212" s="2319"/>
      <c r="BH212" s="2319"/>
      <c r="BI212" s="2319"/>
      <c r="BJ212" s="2319"/>
      <c r="BK212" s="2319"/>
      <c r="BL212" s="2319"/>
      <c r="BM212" s="2319"/>
      <c r="BN212" s="2319"/>
      <c r="BO212" s="2319"/>
      <c r="BP212" s="2319"/>
      <c r="BQ212" s="2319"/>
      <c r="BR212" s="2319"/>
      <c r="BS212" s="2319"/>
      <c r="BT212" s="2319"/>
      <c r="BU212" s="2319"/>
      <c r="BV212" s="2319"/>
      <c r="BW212" s="2319"/>
      <c r="BX212" s="2319"/>
      <c r="BY212" s="2319"/>
      <c r="BZ212" s="2319"/>
      <c r="CA212" s="2319"/>
      <c r="CB212" s="2319"/>
      <c r="CC212" s="2319"/>
      <c r="CD212" s="2319"/>
      <c r="CE212" s="2319"/>
      <c r="CF212" s="2319"/>
      <c r="CG212" s="2319"/>
      <c r="CH212" s="2319"/>
      <c r="CI212" s="2319"/>
      <c r="CJ212" s="2319"/>
      <c r="CK212" s="2319"/>
      <c r="CL212" s="2319"/>
      <c r="CM212" s="2319"/>
      <c r="CN212" s="2319"/>
      <c r="CO212" s="2319"/>
      <c r="CP212" s="2319"/>
      <c r="CQ212" s="2319"/>
      <c r="CR212" s="2319"/>
      <c r="CS212" s="2319"/>
      <c r="CT212" s="2319"/>
      <c r="CU212" s="2319"/>
      <c r="CV212" s="2319"/>
    </row>
    <row r="213" spans="1:100" ht="15.75" customHeight="1">
      <c r="A213" s="2371"/>
      <c r="B213" s="2319"/>
      <c r="C213" s="2319"/>
      <c r="D213" s="2318"/>
      <c r="E213" s="2319"/>
      <c r="F213" s="2319"/>
      <c r="G213" s="2319"/>
      <c r="H213" s="2319"/>
      <c r="I213" s="2319"/>
      <c r="J213" s="2319"/>
      <c r="K213" s="2319"/>
      <c r="L213" s="2319"/>
      <c r="M213" s="2319"/>
      <c r="N213" s="2319"/>
      <c r="O213" s="2319"/>
      <c r="P213" s="2319"/>
      <c r="Q213" s="2319"/>
      <c r="R213" s="2319"/>
      <c r="S213" s="2319"/>
      <c r="T213" s="2319"/>
      <c r="U213" s="2319"/>
      <c r="V213" s="2319"/>
      <c r="W213" s="2319"/>
      <c r="X213" s="2319"/>
      <c r="Y213" s="2319"/>
      <c r="Z213" s="2319"/>
      <c r="AA213" s="2319"/>
      <c r="AB213" s="2319"/>
      <c r="AC213" s="2319"/>
      <c r="AD213" s="2319"/>
      <c r="AE213" s="2319"/>
      <c r="AF213" s="2319"/>
      <c r="AG213" s="2319"/>
      <c r="AH213" s="2319"/>
      <c r="AI213" s="2319"/>
      <c r="AJ213" s="2319"/>
      <c r="AK213" s="2319"/>
      <c r="AL213" s="2319"/>
      <c r="AM213" s="2319"/>
      <c r="AN213" s="2319"/>
      <c r="AO213" s="2319"/>
      <c r="AP213" s="2319"/>
      <c r="AQ213" s="2319"/>
      <c r="AR213" s="2319"/>
      <c r="AS213" s="2319"/>
      <c r="AT213" s="2319"/>
      <c r="AU213" s="2319"/>
      <c r="AV213" s="2319"/>
      <c r="AW213" s="2319"/>
      <c r="AX213" s="2319"/>
      <c r="AY213" s="2319"/>
      <c r="AZ213" s="2319"/>
      <c r="BA213" s="2319"/>
      <c r="BB213" s="2319"/>
      <c r="BC213" s="2319"/>
      <c r="BD213" s="2319"/>
      <c r="BE213" s="2319"/>
      <c r="BF213" s="2319"/>
      <c r="BG213" s="2319"/>
      <c r="BH213" s="2319"/>
      <c r="BI213" s="2319"/>
      <c r="BJ213" s="2319"/>
      <c r="BK213" s="2319"/>
      <c r="BL213" s="2319"/>
      <c r="BM213" s="2319"/>
      <c r="BN213" s="2319"/>
      <c r="BO213" s="2319"/>
      <c r="BP213" s="2319"/>
      <c r="BQ213" s="2319"/>
      <c r="BR213" s="2319"/>
      <c r="BS213" s="2319"/>
      <c r="BT213" s="2319"/>
      <c r="BU213" s="2319"/>
      <c r="BV213" s="2319"/>
      <c r="BW213" s="2319"/>
      <c r="BX213" s="2319"/>
      <c r="BY213" s="2319"/>
      <c r="BZ213" s="2319"/>
      <c r="CA213" s="2319"/>
      <c r="CB213" s="2319"/>
      <c r="CC213" s="2319"/>
      <c r="CD213" s="2319"/>
      <c r="CE213" s="2319"/>
      <c r="CF213" s="2319"/>
      <c r="CG213" s="2319"/>
      <c r="CH213" s="2319"/>
      <c r="CI213" s="2319"/>
      <c r="CJ213" s="2319"/>
      <c r="CK213" s="2319"/>
      <c r="CL213" s="2319"/>
      <c r="CM213" s="2319"/>
      <c r="CN213" s="2319"/>
      <c r="CO213" s="2319"/>
      <c r="CP213" s="2319"/>
      <c r="CQ213" s="2319"/>
      <c r="CR213" s="2319"/>
      <c r="CS213" s="2319"/>
      <c r="CT213" s="2319"/>
      <c r="CU213" s="2319"/>
      <c r="CV213" s="2319"/>
    </row>
    <row r="214" spans="1:100" ht="15.75" customHeight="1">
      <c r="A214" s="2371"/>
      <c r="B214" s="2319"/>
      <c r="C214" s="2319"/>
      <c r="D214" s="2318"/>
      <c r="E214" s="2319"/>
      <c r="F214" s="2319"/>
      <c r="G214" s="2319"/>
      <c r="H214" s="2319"/>
      <c r="I214" s="2319"/>
      <c r="J214" s="2319"/>
      <c r="K214" s="2319"/>
      <c r="L214" s="2319"/>
      <c r="M214" s="2319"/>
      <c r="N214" s="2319"/>
      <c r="O214" s="2319"/>
      <c r="P214" s="2319"/>
      <c r="Q214" s="2319"/>
      <c r="R214" s="2319"/>
      <c r="S214" s="2319"/>
      <c r="T214" s="2319"/>
      <c r="U214" s="2319"/>
      <c r="V214" s="2319"/>
      <c r="W214" s="2319"/>
      <c r="X214" s="2319"/>
      <c r="Y214" s="2319"/>
      <c r="Z214" s="2319"/>
      <c r="AA214" s="2319"/>
      <c r="AB214" s="2319"/>
      <c r="AC214" s="2319"/>
      <c r="AD214" s="2319"/>
      <c r="AE214" s="2319"/>
      <c r="AF214" s="2319"/>
      <c r="AG214" s="2319"/>
      <c r="AH214" s="2319"/>
      <c r="AI214" s="2319"/>
      <c r="AJ214" s="2319"/>
      <c r="AK214" s="2319"/>
      <c r="AL214" s="2319"/>
      <c r="AM214" s="2319"/>
      <c r="AN214" s="2319"/>
      <c r="AO214" s="2319"/>
      <c r="AP214" s="2319"/>
      <c r="AQ214" s="2319"/>
      <c r="AR214" s="2319"/>
      <c r="AS214" s="2319"/>
      <c r="AT214" s="2319"/>
      <c r="AU214" s="2319"/>
      <c r="AV214" s="2319"/>
      <c r="AW214" s="2319"/>
      <c r="AX214" s="2319"/>
      <c r="AY214" s="2319"/>
      <c r="AZ214" s="2319"/>
      <c r="BA214" s="2319"/>
      <c r="BB214" s="2319"/>
      <c r="BC214" s="2319"/>
      <c r="BD214" s="2319"/>
      <c r="BE214" s="2319"/>
      <c r="BF214" s="2319"/>
      <c r="BG214" s="2319"/>
      <c r="BH214" s="2319"/>
      <c r="BI214" s="2319"/>
      <c r="BJ214" s="2319"/>
      <c r="BK214" s="2319"/>
      <c r="BL214" s="2319"/>
      <c r="BM214" s="2319"/>
      <c r="BN214" s="2319"/>
      <c r="BO214" s="2319"/>
      <c r="BP214" s="2319"/>
      <c r="BQ214" s="2319"/>
      <c r="BR214" s="2319"/>
      <c r="BS214" s="2319"/>
      <c r="BT214" s="2319"/>
      <c r="BU214" s="2319"/>
      <c r="BV214" s="2319"/>
      <c r="BW214" s="2319"/>
      <c r="BX214" s="2319"/>
      <c r="BY214" s="2319"/>
      <c r="BZ214" s="2319"/>
      <c r="CA214" s="2319"/>
      <c r="CB214" s="2319"/>
      <c r="CC214" s="2319"/>
      <c r="CD214" s="2319"/>
      <c r="CE214" s="2319"/>
      <c r="CF214" s="2319"/>
      <c r="CG214" s="2319"/>
      <c r="CH214" s="2319"/>
      <c r="CI214" s="2319"/>
      <c r="CJ214" s="2319"/>
      <c r="CK214" s="2319"/>
      <c r="CL214" s="2319"/>
      <c r="CM214" s="2319"/>
      <c r="CN214" s="2319"/>
      <c r="CO214" s="2319"/>
      <c r="CP214" s="2319"/>
      <c r="CQ214" s="2319"/>
      <c r="CR214" s="2319"/>
      <c r="CS214" s="2319"/>
      <c r="CT214" s="2319"/>
      <c r="CU214" s="2319"/>
      <c r="CV214" s="2319"/>
    </row>
    <row r="215" spans="1:100" ht="15.75" customHeight="1">
      <c r="A215" s="2371"/>
      <c r="B215" s="2319"/>
      <c r="C215" s="2319"/>
      <c r="D215" s="2318"/>
      <c r="E215" s="2319"/>
      <c r="F215" s="2319"/>
      <c r="G215" s="2319"/>
      <c r="H215" s="2319"/>
      <c r="I215" s="2319"/>
      <c r="J215" s="2319"/>
      <c r="K215" s="2319"/>
      <c r="L215" s="2319"/>
      <c r="M215" s="2319"/>
      <c r="N215" s="2319"/>
      <c r="O215" s="2319"/>
      <c r="P215" s="2319"/>
      <c r="Q215" s="2319"/>
      <c r="R215" s="2319"/>
      <c r="S215" s="2319"/>
      <c r="T215" s="2319"/>
      <c r="U215" s="2319"/>
      <c r="V215" s="2319"/>
      <c r="W215" s="2319"/>
      <c r="X215" s="2319"/>
      <c r="Y215" s="2319"/>
      <c r="Z215" s="2319"/>
      <c r="AA215" s="2319"/>
      <c r="AB215" s="2319"/>
      <c r="AC215" s="2319"/>
      <c r="AD215" s="2319"/>
      <c r="AE215" s="2319"/>
      <c r="AF215" s="2319"/>
      <c r="AG215" s="2319"/>
      <c r="AH215" s="2319"/>
      <c r="AI215" s="2319"/>
      <c r="AJ215" s="2319"/>
      <c r="AK215" s="2319"/>
      <c r="AL215" s="2319"/>
      <c r="AM215" s="2319"/>
      <c r="AN215" s="2319"/>
      <c r="AO215" s="2319"/>
      <c r="AP215" s="2319"/>
      <c r="AQ215" s="2319"/>
      <c r="AR215" s="2319"/>
      <c r="AS215" s="2319"/>
      <c r="AT215" s="2319"/>
      <c r="AU215" s="2319"/>
      <c r="AV215" s="2319"/>
      <c r="AW215" s="2319"/>
      <c r="AX215" s="2319"/>
      <c r="AY215" s="2319"/>
      <c r="AZ215" s="2319"/>
      <c r="BA215" s="2319"/>
      <c r="BB215" s="2319"/>
      <c r="BC215" s="2319"/>
      <c r="BD215" s="2319"/>
      <c r="BE215" s="2319"/>
      <c r="BF215" s="2319"/>
      <c r="BG215" s="2319"/>
      <c r="BH215" s="2319"/>
      <c r="BI215" s="2319"/>
      <c r="BJ215" s="2319"/>
      <c r="BK215" s="2319"/>
      <c r="BL215" s="2319"/>
      <c r="BM215" s="2319"/>
      <c r="BN215" s="2319"/>
      <c r="BO215" s="2319"/>
      <c r="BP215" s="2319"/>
      <c r="BQ215" s="2319"/>
      <c r="BR215" s="2319"/>
      <c r="BS215" s="2319"/>
      <c r="BT215" s="2319"/>
      <c r="BU215" s="2319"/>
      <c r="BV215" s="2319"/>
      <c r="BW215" s="2319"/>
      <c r="BX215" s="2319"/>
      <c r="BY215" s="2319"/>
      <c r="BZ215" s="2319"/>
      <c r="CA215" s="2319"/>
      <c r="CB215" s="2319"/>
      <c r="CC215" s="2319"/>
      <c r="CD215" s="2319"/>
      <c r="CE215" s="2319"/>
      <c r="CF215" s="2319"/>
      <c r="CG215" s="2319"/>
      <c r="CH215" s="2319"/>
      <c r="CI215" s="2319"/>
      <c r="CJ215" s="2319"/>
      <c r="CK215" s="2319"/>
      <c r="CL215" s="2319"/>
      <c r="CM215" s="2319"/>
      <c r="CN215" s="2319"/>
      <c r="CO215" s="2319"/>
      <c r="CP215" s="2319"/>
      <c r="CQ215" s="2319"/>
      <c r="CR215" s="2319"/>
      <c r="CS215" s="2319"/>
      <c r="CT215" s="2319"/>
      <c r="CU215" s="2319"/>
      <c r="CV215" s="2319"/>
    </row>
    <row r="216" spans="1:100" ht="15.75" customHeight="1">
      <c r="A216" s="2328"/>
      <c r="B216" s="2322"/>
      <c r="C216" s="2322"/>
      <c r="D216" s="2322"/>
      <c r="E216" s="2322"/>
      <c r="F216" s="2322"/>
      <c r="G216" s="2322"/>
      <c r="H216" s="2322"/>
      <c r="I216" s="2322"/>
      <c r="J216" s="2322"/>
      <c r="K216" s="2322"/>
      <c r="L216" s="2322"/>
      <c r="M216" s="2322"/>
      <c r="N216" s="2322"/>
      <c r="O216" s="2322"/>
      <c r="P216" s="2322"/>
      <c r="Q216" s="2322"/>
      <c r="R216" s="2322"/>
      <c r="S216" s="2322"/>
      <c r="T216" s="2322"/>
      <c r="U216" s="2322"/>
      <c r="V216" s="2322"/>
      <c r="W216" s="2322"/>
      <c r="X216" s="2322"/>
      <c r="Y216" s="2322"/>
      <c r="Z216" s="2322"/>
      <c r="AA216" s="2322"/>
      <c r="AB216" s="2322"/>
      <c r="AC216" s="2322"/>
      <c r="AD216" s="2322"/>
      <c r="AE216" s="2322"/>
      <c r="AF216" s="2322"/>
      <c r="AG216" s="2322"/>
      <c r="AH216" s="2322"/>
      <c r="AI216" s="2322"/>
      <c r="AJ216" s="2322"/>
      <c r="AK216" s="2322"/>
      <c r="AL216" s="2322"/>
      <c r="AM216" s="2322"/>
      <c r="AN216" s="2322"/>
      <c r="AO216" s="2322"/>
      <c r="AP216" s="2322"/>
      <c r="AQ216" s="2322"/>
      <c r="AR216" s="2322"/>
      <c r="AS216" s="2322"/>
      <c r="AT216" s="2322"/>
      <c r="AU216" s="2322"/>
      <c r="AV216" s="2322"/>
      <c r="AW216" s="2322"/>
      <c r="AX216" s="2322"/>
      <c r="AY216" s="2322"/>
      <c r="AZ216" s="2322"/>
      <c r="BA216" s="2322"/>
      <c r="BB216" s="2322"/>
      <c r="BC216" s="2322"/>
      <c r="BD216" s="2322"/>
      <c r="BE216" s="2322"/>
      <c r="BF216" s="2322"/>
      <c r="BG216" s="2322"/>
      <c r="BH216" s="2322"/>
      <c r="BI216" s="2322"/>
      <c r="BJ216" s="2322"/>
      <c r="BK216" s="2322"/>
      <c r="BL216" s="2322"/>
      <c r="BM216" s="2322"/>
      <c r="BN216" s="2322"/>
      <c r="BO216" s="2322"/>
      <c r="BP216" s="2322"/>
      <c r="BQ216" s="2322"/>
      <c r="BR216" s="2322"/>
      <c r="BS216" s="2322"/>
      <c r="BT216" s="2322"/>
      <c r="BU216" s="2322"/>
      <c r="BV216" s="2322"/>
      <c r="BW216" s="2322"/>
      <c r="BX216" s="2322"/>
      <c r="BY216" s="2322"/>
      <c r="BZ216" s="2322"/>
      <c r="CA216" s="2322"/>
      <c r="CB216" s="2322"/>
      <c r="CC216" s="2322"/>
      <c r="CD216" s="2322"/>
      <c r="CE216" s="2322"/>
      <c r="CF216" s="2322"/>
      <c r="CG216" s="2322"/>
      <c r="CH216" s="2322"/>
      <c r="CI216" s="2322"/>
      <c r="CJ216" s="2322"/>
      <c r="CK216" s="2322"/>
      <c r="CL216" s="2322"/>
      <c r="CM216" s="2322"/>
      <c r="CN216" s="2322"/>
      <c r="CO216" s="2322"/>
      <c r="CP216" s="2322"/>
      <c r="CQ216" s="2322"/>
      <c r="CR216" s="2322"/>
      <c r="CS216" s="2322"/>
      <c r="CT216" s="2322"/>
      <c r="CU216" s="2322"/>
      <c r="CV216" s="2322"/>
    </row>
    <row r="217" spans="1:100" ht="15.75" customHeight="1">
      <c r="A217" s="2328"/>
      <c r="B217" s="2322"/>
      <c r="C217" s="2322"/>
      <c r="D217" s="2322"/>
      <c r="E217" s="2322"/>
      <c r="F217" s="2322"/>
      <c r="G217" s="2322"/>
      <c r="H217" s="2322"/>
      <c r="I217" s="2322"/>
      <c r="J217" s="2322"/>
      <c r="K217" s="2322"/>
      <c r="L217" s="2322"/>
      <c r="M217" s="2322"/>
      <c r="N217" s="2322"/>
      <c r="O217" s="2322"/>
      <c r="P217" s="2322"/>
      <c r="Q217" s="2322"/>
      <c r="R217" s="2322"/>
      <c r="S217" s="2322"/>
      <c r="T217" s="2322"/>
      <c r="U217" s="2322"/>
      <c r="V217" s="2322"/>
      <c r="W217" s="2322"/>
      <c r="X217" s="2322"/>
      <c r="Y217" s="2322"/>
      <c r="Z217" s="2322"/>
      <c r="AA217" s="2322"/>
      <c r="AB217" s="2322"/>
      <c r="AC217" s="2322"/>
      <c r="AD217" s="2322"/>
      <c r="AE217" s="2322"/>
      <c r="AF217" s="2322"/>
      <c r="AG217" s="2322"/>
      <c r="AH217" s="2322"/>
      <c r="AI217" s="2322"/>
      <c r="AJ217" s="2322"/>
      <c r="AK217" s="2322"/>
      <c r="AL217" s="2322"/>
      <c r="AM217" s="2322"/>
      <c r="AN217" s="2322"/>
      <c r="AO217" s="2322"/>
      <c r="AP217" s="2322"/>
      <c r="AQ217" s="2322"/>
      <c r="AR217" s="2322"/>
      <c r="AS217" s="2322"/>
      <c r="AT217" s="2322"/>
      <c r="AU217" s="2322"/>
      <c r="AV217" s="2322"/>
      <c r="AW217" s="2322"/>
      <c r="AX217" s="2322"/>
      <c r="AY217" s="2322"/>
      <c r="AZ217" s="2322"/>
      <c r="BA217" s="2322"/>
      <c r="BB217" s="2322"/>
      <c r="BC217" s="2322"/>
      <c r="BD217" s="2322"/>
      <c r="BE217" s="2322"/>
      <c r="BF217" s="2322"/>
      <c r="BG217" s="2322"/>
      <c r="BH217" s="2322"/>
      <c r="BI217" s="2322"/>
      <c r="BJ217" s="2322"/>
      <c r="BK217" s="2322"/>
      <c r="BL217" s="2322"/>
      <c r="BM217" s="2322"/>
      <c r="BN217" s="2322"/>
      <c r="BO217" s="2322"/>
      <c r="BP217" s="2322"/>
      <c r="BQ217" s="2322"/>
      <c r="BR217" s="2322"/>
      <c r="BS217" s="2322"/>
      <c r="BT217" s="2322"/>
      <c r="BU217" s="2322"/>
      <c r="BV217" s="2322"/>
      <c r="BW217" s="2322"/>
      <c r="BX217" s="2322"/>
      <c r="BY217" s="2322"/>
      <c r="BZ217" s="2322"/>
      <c r="CA217" s="2322"/>
      <c r="CB217" s="2322"/>
      <c r="CC217" s="2322"/>
      <c r="CD217" s="2322"/>
      <c r="CE217" s="2322"/>
      <c r="CF217" s="2322"/>
      <c r="CG217" s="2322"/>
      <c r="CH217" s="2322"/>
      <c r="CI217" s="2322"/>
      <c r="CJ217" s="2322"/>
      <c r="CK217" s="2322"/>
      <c r="CL217" s="2322"/>
      <c r="CM217" s="2322"/>
      <c r="CN217" s="2322"/>
      <c r="CO217" s="2322"/>
      <c r="CP217" s="2322"/>
      <c r="CQ217" s="2322"/>
      <c r="CR217" s="2322"/>
      <c r="CS217" s="2322"/>
      <c r="CT217" s="2322"/>
      <c r="CU217" s="2322"/>
      <c r="CV217" s="2322"/>
    </row>
    <row r="218" spans="1:100" ht="15.75" customHeight="1">
      <c r="A218" s="2328"/>
      <c r="B218" s="2322"/>
      <c r="C218" s="2322"/>
      <c r="D218" s="2322"/>
      <c r="E218" s="2322"/>
      <c r="F218" s="2322"/>
      <c r="G218" s="2322"/>
      <c r="H218" s="2322"/>
      <c r="I218" s="2322"/>
      <c r="J218" s="2322"/>
      <c r="K218" s="2322"/>
      <c r="L218" s="2322"/>
      <c r="M218" s="2322"/>
      <c r="N218" s="2322"/>
      <c r="O218" s="2322"/>
      <c r="P218" s="2322"/>
      <c r="Q218" s="2322"/>
      <c r="R218" s="2322"/>
      <c r="S218" s="2322"/>
      <c r="T218" s="2322"/>
      <c r="U218" s="2322"/>
      <c r="V218" s="2322"/>
      <c r="W218" s="2322"/>
      <c r="X218" s="2322"/>
      <c r="Y218" s="2322"/>
      <c r="Z218" s="2322"/>
      <c r="AA218" s="2322"/>
      <c r="AB218" s="2322"/>
      <c r="AC218" s="2322"/>
      <c r="AD218" s="2322"/>
      <c r="AE218" s="2322"/>
      <c r="AF218" s="2322"/>
      <c r="AG218" s="2322"/>
      <c r="AH218" s="2322"/>
      <c r="AI218" s="2322"/>
      <c r="AJ218" s="2322"/>
      <c r="AK218" s="2322"/>
      <c r="AL218" s="2322"/>
      <c r="AM218" s="2322"/>
      <c r="AN218" s="2322"/>
      <c r="AO218" s="2322"/>
      <c r="AP218" s="2322"/>
      <c r="AQ218" s="2322"/>
      <c r="AR218" s="2322"/>
      <c r="AS218" s="2322"/>
      <c r="AT218" s="2322"/>
      <c r="AU218" s="2322"/>
      <c r="AV218" s="2322"/>
      <c r="AW218" s="2322"/>
      <c r="AX218" s="2322"/>
      <c r="AY218" s="2322"/>
      <c r="AZ218" s="2322"/>
      <c r="BA218" s="2322"/>
      <c r="BB218" s="2322"/>
      <c r="BC218" s="2322"/>
      <c r="BD218" s="2322"/>
      <c r="BE218" s="2322"/>
      <c r="BF218" s="2322"/>
      <c r="BG218" s="2322"/>
      <c r="BH218" s="2322"/>
      <c r="BI218" s="2322"/>
      <c r="BJ218" s="2322"/>
      <c r="BK218" s="2322"/>
      <c r="BL218" s="2322"/>
      <c r="BM218" s="2322"/>
      <c r="BN218" s="2322"/>
      <c r="BO218" s="2322"/>
      <c r="BP218" s="2322"/>
      <c r="BQ218" s="2322"/>
      <c r="BR218" s="2322"/>
      <c r="BS218" s="2322"/>
      <c r="BT218" s="2322"/>
      <c r="BU218" s="2322"/>
      <c r="BV218" s="2322"/>
      <c r="BW218" s="2322"/>
      <c r="BX218" s="2322"/>
      <c r="BY218" s="2322"/>
      <c r="BZ218" s="2322"/>
      <c r="CA218" s="2322"/>
      <c r="CB218" s="2322"/>
      <c r="CC218" s="2322"/>
      <c r="CD218" s="2322"/>
      <c r="CE218" s="2322"/>
      <c r="CF218" s="2322"/>
      <c r="CG218" s="2322"/>
      <c r="CH218" s="2322"/>
      <c r="CI218" s="2322"/>
      <c r="CJ218" s="2322"/>
      <c r="CK218" s="2322"/>
      <c r="CL218" s="2322"/>
      <c r="CM218" s="2322"/>
      <c r="CN218" s="2322"/>
      <c r="CO218" s="2322"/>
      <c r="CP218" s="2322"/>
      <c r="CQ218" s="2322"/>
      <c r="CR218" s="2322"/>
      <c r="CS218" s="2322"/>
      <c r="CT218" s="2322"/>
      <c r="CU218" s="2322"/>
      <c r="CV218" s="2322"/>
    </row>
    <row r="219" spans="1:100" ht="15.75" customHeight="1">
      <c r="A219" s="2328"/>
      <c r="B219" s="2322"/>
      <c r="C219" s="2322"/>
      <c r="D219" s="2322"/>
      <c r="E219" s="2322"/>
      <c r="F219" s="2322"/>
      <c r="G219" s="2322"/>
      <c r="H219" s="2322"/>
      <c r="I219" s="2322"/>
      <c r="J219" s="2322"/>
      <c r="K219" s="2322"/>
      <c r="L219" s="2322"/>
      <c r="M219" s="2322"/>
      <c r="N219" s="2322"/>
      <c r="O219" s="2322"/>
      <c r="P219" s="2322"/>
      <c r="Q219" s="2322"/>
      <c r="R219" s="2322"/>
      <c r="S219" s="2322"/>
      <c r="T219" s="2322"/>
      <c r="U219" s="2322"/>
      <c r="V219" s="2322"/>
      <c r="W219" s="2322"/>
      <c r="X219" s="2322"/>
      <c r="Y219" s="2322"/>
      <c r="Z219" s="2322"/>
      <c r="AA219" s="2322"/>
      <c r="AB219" s="2322"/>
      <c r="AC219" s="2322"/>
      <c r="AD219" s="2322"/>
      <c r="AE219" s="2322"/>
      <c r="AF219" s="2322"/>
      <c r="AG219" s="2322"/>
      <c r="AH219" s="2322"/>
      <c r="AI219" s="2322"/>
      <c r="AJ219" s="2322"/>
      <c r="AK219" s="2322"/>
      <c r="AL219" s="2322"/>
      <c r="AM219" s="2322"/>
      <c r="AN219" s="2322"/>
      <c r="AO219" s="2322"/>
      <c r="AP219" s="2322"/>
      <c r="AQ219" s="2322"/>
      <c r="AR219" s="2322"/>
      <c r="AS219" s="2322"/>
      <c r="AT219" s="2322"/>
      <c r="AU219" s="2322"/>
      <c r="AV219" s="2322"/>
      <c r="AW219" s="2322"/>
      <c r="AX219" s="2322"/>
      <c r="AY219" s="2322"/>
      <c r="AZ219" s="2322"/>
      <c r="BA219" s="2322"/>
      <c r="BB219" s="2322"/>
      <c r="BC219" s="2322"/>
      <c r="BD219" s="2322"/>
      <c r="BE219" s="2322"/>
      <c r="BF219" s="2322"/>
      <c r="BG219" s="2322"/>
      <c r="BH219" s="2322"/>
      <c r="BI219" s="2322"/>
      <c r="BJ219" s="2322"/>
      <c r="BK219" s="2322"/>
      <c r="BL219" s="2322"/>
      <c r="BM219" s="2322"/>
      <c r="BN219" s="2322"/>
      <c r="BO219" s="2322"/>
      <c r="BP219" s="2322"/>
      <c r="BQ219" s="2322"/>
      <c r="BR219" s="2322"/>
      <c r="BS219" s="2322"/>
      <c r="BT219" s="2322"/>
      <c r="BU219" s="2322"/>
      <c r="BV219" s="2322"/>
      <c r="BW219" s="2322"/>
      <c r="BX219" s="2322"/>
      <c r="BY219" s="2322"/>
      <c r="BZ219" s="2322"/>
      <c r="CA219" s="2322"/>
      <c r="CB219" s="2322"/>
      <c r="CC219" s="2322"/>
      <c r="CD219" s="2322"/>
      <c r="CE219" s="2322"/>
      <c r="CF219" s="2322"/>
      <c r="CG219" s="2322"/>
      <c r="CH219" s="2322"/>
      <c r="CI219" s="2322"/>
      <c r="CJ219" s="2322"/>
      <c r="CK219" s="2322"/>
      <c r="CL219" s="2322"/>
      <c r="CM219" s="2322"/>
      <c r="CN219" s="2322"/>
      <c r="CO219" s="2322"/>
      <c r="CP219" s="2322"/>
      <c r="CQ219" s="2322"/>
      <c r="CR219" s="2322"/>
      <c r="CS219" s="2322"/>
      <c r="CT219" s="2322"/>
      <c r="CU219" s="2322"/>
      <c r="CV219" s="2322"/>
    </row>
    <row r="220" spans="1:100" ht="15.75" customHeight="1">
      <c r="A220" s="2328"/>
      <c r="B220" s="2322"/>
      <c r="C220" s="2322"/>
      <c r="D220" s="2322"/>
      <c r="E220" s="2322"/>
      <c r="F220" s="2322"/>
      <c r="G220" s="2322"/>
      <c r="H220" s="2322"/>
      <c r="I220" s="2322"/>
      <c r="J220" s="2322"/>
      <c r="K220" s="2322"/>
      <c r="L220" s="2322"/>
      <c r="M220" s="2322"/>
      <c r="N220" s="2322"/>
      <c r="O220" s="2322"/>
      <c r="P220" s="2322"/>
      <c r="Q220" s="2322"/>
      <c r="R220" s="2322"/>
      <c r="S220" s="2322"/>
      <c r="T220" s="2322"/>
      <c r="U220" s="2322"/>
      <c r="V220" s="2322"/>
      <c r="W220" s="2322"/>
      <c r="X220" s="2322"/>
      <c r="Y220" s="2322"/>
      <c r="Z220" s="2322"/>
      <c r="AA220" s="2322"/>
      <c r="AB220" s="2322"/>
      <c r="AC220" s="2322"/>
      <c r="AD220" s="2322"/>
      <c r="AE220" s="2322"/>
      <c r="AF220" s="2322"/>
      <c r="AG220" s="2322"/>
      <c r="AH220" s="2322"/>
      <c r="AI220" s="2322"/>
      <c r="AJ220" s="2322"/>
      <c r="AK220" s="2322"/>
      <c r="AL220" s="2322"/>
      <c r="AM220" s="2322"/>
      <c r="AN220" s="2322"/>
      <c r="AO220" s="2322"/>
      <c r="AP220" s="2322"/>
      <c r="AQ220" s="2322"/>
      <c r="AR220" s="2322"/>
      <c r="AS220" s="2322"/>
      <c r="AT220" s="2322"/>
      <c r="AU220" s="2322"/>
      <c r="AV220" s="2322"/>
      <c r="AW220" s="2322"/>
      <c r="AX220" s="2322"/>
      <c r="AY220" s="2322"/>
      <c r="AZ220" s="2322"/>
      <c r="BA220" s="2322"/>
      <c r="BB220" s="2322"/>
      <c r="BC220" s="2322"/>
      <c r="BD220" s="2322"/>
      <c r="BE220" s="2322"/>
      <c r="BF220" s="2322"/>
      <c r="BG220" s="2322"/>
      <c r="BH220" s="2322"/>
      <c r="BI220" s="2322"/>
      <c r="BJ220" s="2322"/>
      <c r="BK220" s="2322"/>
      <c r="BL220" s="2322"/>
      <c r="BM220" s="2322"/>
      <c r="BN220" s="2322"/>
      <c r="BO220" s="2322"/>
      <c r="BP220" s="2322"/>
      <c r="BQ220" s="2322"/>
      <c r="BR220" s="2322"/>
      <c r="BS220" s="2322"/>
      <c r="BT220" s="2322"/>
      <c r="BU220" s="2322"/>
      <c r="BV220" s="2322"/>
      <c r="BW220" s="2322"/>
      <c r="BX220" s="2322"/>
      <c r="BY220" s="2322"/>
      <c r="BZ220" s="2322"/>
      <c r="CA220" s="2322"/>
      <c r="CB220" s="2322"/>
      <c r="CC220" s="2322"/>
      <c r="CD220" s="2322"/>
      <c r="CE220" s="2322"/>
      <c r="CF220" s="2322"/>
      <c r="CG220" s="2322"/>
      <c r="CH220" s="2322"/>
      <c r="CI220" s="2322"/>
      <c r="CJ220" s="2322"/>
      <c r="CK220" s="2322"/>
      <c r="CL220" s="2322"/>
      <c r="CM220" s="2322"/>
      <c r="CN220" s="2322"/>
      <c r="CO220" s="2322"/>
      <c r="CP220" s="2322"/>
      <c r="CQ220" s="2322"/>
      <c r="CR220" s="2322"/>
      <c r="CS220" s="2322"/>
      <c r="CT220" s="2322"/>
      <c r="CU220" s="2322"/>
      <c r="CV220" s="2322"/>
    </row>
    <row r="221" spans="1:100" ht="15.75" customHeight="1">
      <c r="A221" s="2328"/>
      <c r="B221" s="2322"/>
      <c r="C221" s="2322"/>
      <c r="D221" s="2322"/>
      <c r="E221" s="2322"/>
      <c r="F221" s="2322"/>
      <c r="G221" s="2322"/>
      <c r="H221" s="2322"/>
      <c r="I221" s="2322"/>
      <c r="J221" s="2322"/>
      <c r="K221" s="2322"/>
      <c r="L221" s="2322"/>
      <c r="M221" s="2322"/>
      <c r="N221" s="2322"/>
      <c r="O221" s="2322"/>
      <c r="P221" s="2322"/>
      <c r="Q221" s="2322"/>
      <c r="R221" s="2322"/>
      <c r="S221" s="2322"/>
      <c r="T221" s="2322"/>
      <c r="U221" s="2322"/>
      <c r="V221" s="2322"/>
      <c r="W221" s="2322"/>
      <c r="X221" s="2322"/>
      <c r="Y221" s="2322"/>
      <c r="Z221" s="2322"/>
      <c r="AA221" s="2322"/>
      <c r="AB221" s="2322"/>
      <c r="AC221" s="2322"/>
      <c r="AD221" s="2322"/>
      <c r="AE221" s="2322"/>
      <c r="AF221" s="2322"/>
      <c r="AG221" s="2322"/>
      <c r="AH221" s="2322"/>
      <c r="AI221" s="2322"/>
      <c r="AJ221" s="2322"/>
      <c r="AK221" s="2322"/>
      <c r="AL221" s="2322"/>
      <c r="AM221" s="2322"/>
      <c r="AN221" s="2322"/>
      <c r="AO221" s="2322"/>
      <c r="AP221" s="2322"/>
      <c r="AQ221" s="2322"/>
      <c r="AR221" s="2322"/>
      <c r="AS221" s="2322"/>
      <c r="AT221" s="2322"/>
      <c r="AU221" s="2322"/>
      <c r="AV221" s="2322"/>
      <c r="AW221" s="2322"/>
      <c r="AX221" s="2322"/>
      <c r="AY221" s="2322"/>
      <c r="AZ221" s="2322"/>
      <c r="BA221" s="2322"/>
      <c r="BB221" s="2322"/>
      <c r="BC221" s="2322"/>
      <c r="BD221" s="2322"/>
      <c r="BE221" s="2322"/>
      <c r="BF221" s="2322"/>
      <c r="BG221" s="2322"/>
      <c r="BH221" s="2322"/>
      <c r="BI221" s="2322"/>
      <c r="BJ221" s="2322"/>
      <c r="BK221" s="2322"/>
      <c r="BL221" s="2322"/>
      <c r="BM221" s="2322"/>
      <c r="BN221" s="2322"/>
      <c r="BO221" s="2322"/>
      <c r="BP221" s="2322"/>
      <c r="BQ221" s="2322"/>
      <c r="BR221" s="2322"/>
      <c r="BS221" s="2322"/>
      <c r="BT221" s="2322"/>
      <c r="BU221" s="2322"/>
      <c r="BV221" s="2322"/>
      <c r="BW221" s="2322"/>
      <c r="BX221" s="2322"/>
      <c r="BY221" s="2322"/>
      <c r="BZ221" s="2322"/>
      <c r="CA221" s="2322"/>
      <c r="CB221" s="2322"/>
      <c r="CC221" s="2322"/>
      <c r="CD221" s="2322"/>
      <c r="CE221" s="2322"/>
      <c r="CF221" s="2322"/>
      <c r="CG221" s="2322"/>
      <c r="CH221" s="2322"/>
      <c r="CI221" s="2322"/>
      <c r="CJ221" s="2322"/>
      <c r="CK221" s="2322"/>
      <c r="CL221" s="2322"/>
      <c r="CM221" s="2322"/>
      <c r="CN221" s="2322"/>
      <c r="CO221" s="2322"/>
      <c r="CP221" s="2322"/>
      <c r="CQ221" s="2322"/>
      <c r="CR221" s="2322"/>
      <c r="CS221" s="2322"/>
      <c r="CT221" s="2322"/>
      <c r="CU221" s="2322"/>
      <c r="CV221" s="2322"/>
    </row>
    <row r="222" spans="1:100" ht="15.75" customHeight="1">
      <c r="A222" s="2328"/>
      <c r="B222" s="2322"/>
      <c r="C222" s="2322"/>
      <c r="D222" s="2322"/>
      <c r="E222" s="2322"/>
      <c r="F222" s="2322"/>
      <c r="G222" s="2322"/>
      <c r="H222" s="2322"/>
      <c r="I222" s="2322"/>
      <c r="J222" s="2322"/>
      <c r="K222" s="2322"/>
      <c r="L222" s="2322"/>
      <c r="M222" s="2322"/>
      <c r="N222" s="2322"/>
      <c r="O222" s="2322"/>
      <c r="P222" s="2322"/>
      <c r="Q222" s="2322"/>
      <c r="R222" s="2322"/>
      <c r="S222" s="2322"/>
      <c r="T222" s="2322"/>
      <c r="U222" s="2322"/>
      <c r="V222" s="2322"/>
      <c r="W222" s="2322"/>
      <c r="X222" s="2322"/>
      <c r="Y222" s="2322"/>
      <c r="Z222" s="2322"/>
      <c r="AA222" s="2322"/>
      <c r="AB222" s="2322"/>
      <c r="AC222" s="2322"/>
      <c r="AD222" s="2322"/>
      <c r="AE222" s="2322"/>
      <c r="AF222" s="2322"/>
      <c r="AG222" s="2322"/>
      <c r="AH222" s="2322"/>
      <c r="AI222" s="2322"/>
      <c r="AJ222" s="2322"/>
      <c r="AK222" s="2322"/>
      <c r="AL222" s="2322"/>
      <c r="AM222" s="2322"/>
      <c r="AN222" s="2322"/>
      <c r="AO222" s="2322"/>
      <c r="AP222" s="2322"/>
      <c r="AQ222" s="2322"/>
      <c r="AR222" s="2322"/>
      <c r="AS222" s="2322"/>
      <c r="AT222" s="2322"/>
      <c r="AU222" s="2322"/>
      <c r="AV222" s="2322"/>
      <c r="AW222" s="2322"/>
      <c r="AX222" s="2322"/>
      <c r="AY222" s="2322"/>
      <c r="AZ222" s="2322"/>
      <c r="BA222" s="2322"/>
      <c r="BB222" s="2322"/>
      <c r="BC222" s="2322"/>
      <c r="BD222" s="2322"/>
      <c r="BE222" s="2322"/>
      <c r="BF222" s="2322"/>
      <c r="BG222" s="2322"/>
      <c r="BH222" s="2322"/>
      <c r="BI222" s="2322"/>
      <c r="BJ222" s="2322"/>
      <c r="BK222" s="2322"/>
      <c r="BL222" s="2322"/>
      <c r="BM222" s="2322"/>
      <c r="BN222" s="2322"/>
      <c r="BO222" s="2322"/>
      <c r="BP222" s="2322"/>
      <c r="BQ222" s="2322"/>
      <c r="BR222" s="2322"/>
      <c r="BS222" s="2322"/>
      <c r="BT222" s="2322"/>
      <c r="BU222" s="2322"/>
      <c r="BV222" s="2322"/>
      <c r="BW222" s="2322"/>
      <c r="BX222" s="2322"/>
      <c r="BY222" s="2322"/>
      <c r="BZ222" s="2322"/>
      <c r="CA222" s="2322"/>
      <c r="CB222" s="2322"/>
      <c r="CC222" s="2322"/>
      <c r="CD222" s="2322"/>
      <c r="CE222" s="2322"/>
      <c r="CF222" s="2322"/>
      <c r="CG222" s="2322"/>
      <c r="CH222" s="2322"/>
      <c r="CI222" s="2322"/>
      <c r="CJ222" s="2322"/>
      <c r="CK222" s="2322"/>
      <c r="CL222" s="2322"/>
      <c r="CM222" s="2322"/>
      <c r="CN222" s="2322"/>
      <c r="CO222" s="2322"/>
      <c r="CP222" s="2322"/>
      <c r="CQ222" s="2322"/>
      <c r="CR222" s="2322"/>
      <c r="CS222" s="2322"/>
      <c r="CT222" s="2322"/>
      <c r="CU222" s="2322"/>
      <c r="CV222" s="2322"/>
    </row>
    <row r="223" spans="1:100" ht="15.75" customHeight="1">
      <c r="A223" s="2328"/>
      <c r="B223" s="2322"/>
      <c r="C223" s="2322"/>
      <c r="D223" s="2322"/>
      <c r="E223" s="2322"/>
      <c r="F223" s="2322"/>
      <c r="G223" s="2322"/>
      <c r="H223" s="2322"/>
      <c r="I223" s="2322"/>
      <c r="J223" s="2322"/>
      <c r="K223" s="2322"/>
      <c r="L223" s="2322"/>
      <c r="M223" s="2322"/>
      <c r="N223" s="2322"/>
      <c r="O223" s="2322"/>
      <c r="P223" s="2322"/>
      <c r="Q223" s="2322"/>
      <c r="R223" s="2322"/>
      <c r="S223" s="2322"/>
      <c r="T223" s="2322"/>
      <c r="U223" s="2322"/>
      <c r="V223" s="2322"/>
      <c r="W223" s="2322"/>
      <c r="X223" s="2322"/>
      <c r="Y223" s="2322"/>
      <c r="Z223" s="2322"/>
      <c r="AA223" s="2322"/>
      <c r="AB223" s="2322"/>
      <c r="AC223" s="2322"/>
      <c r="AD223" s="2322"/>
      <c r="AE223" s="2322"/>
      <c r="AF223" s="2322"/>
      <c r="AG223" s="2322"/>
      <c r="AH223" s="2322"/>
      <c r="AI223" s="2322"/>
      <c r="AJ223" s="2322"/>
      <c r="AK223" s="2322"/>
      <c r="AL223" s="2322"/>
      <c r="AM223" s="2322"/>
      <c r="AN223" s="2322"/>
      <c r="AO223" s="2322"/>
      <c r="AP223" s="2322"/>
      <c r="AQ223" s="2322"/>
      <c r="AR223" s="2322"/>
      <c r="AS223" s="2322"/>
      <c r="AT223" s="2322"/>
      <c r="AU223" s="2322"/>
      <c r="AV223" s="2322"/>
      <c r="AW223" s="2322"/>
      <c r="AX223" s="2322"/>
      <c r="AY223" s="2322"/>
      <c r="AZ223" s="2322"/>
      <c r="BA223" s="2322"/>
      <c r="BB223" s="2322"/>
      <c r="BC223" s="2322"/>
      <c r="BD223" s="2322"/>
      <c r="BE223" s="2322"/>
      <c r="BF223" s="2322"/>
      <c r="BG223" s="2322"/>
      <c r="BH223" s="2322"/>
      <c r="BI223" s="2322"/>
      <c r="BJ223" s="2322"/>
      <c r="BK223" s="2322"/>
      <c r="BL223" s="2322"/>
      <c r="BM223" s="2322"/>
      <c r="BN223" s="2322"/>
      <c r="BO223" s="2322"/>
      <c r="BP223" s="2322"/>
      <c r="BQ223" s="2322"/>
      <c r="BR223" s="2322"/>
      <c r="BS223" s="2322"/>
      <c r="BT223" s="2322"/>
      <c r="BU223" s="2322"/>
      <c r="BV223" s="2322"/>
      <c r="BW223" s="2322"/>
      <c r="BX223" s="2322"/>
      <c r="BY223" s="2322"/>
      <c r="BZ223" s="2322"/>
      <c r="CA223" s="2322"/>
      <c r="CB223" s="2322"/>
      <c r="CC223" s="2322"/>
      <c r="CD223" s="2322"/>
      <c r="CE223" s="2322"/>
      <c r="CF223" s="2322"/>
      <c r="CG223" s="2322"/>
      <c r="CH223" s="2322"/>
      <c r="CI223" s="2322"/>
      <c r="CJ223" s="2322"/>
      <c r="CK223" s="2322"/>
      <c r="CL223" s="2322"/>
      <c r="CM223" s="2322"/>
      <c r="CN223" s="2322"/>
      <c r="CO223" s="2322"/>
      <c r="CP223" s="2322"/>
      <c r="CQ223" s="2322"/>
      <c r="CR223" s="2322"/>
      <c r="CS223" s="2322"/>
      <c r="CT223" s="2322"/>
      <c r="CU223" s="2322"/>
      <c r="CV223" s="2322"/>
    </row>
    <row r="224" spans="1:100" ht="15.75" customHeight="1">
      <c r="A224" s="2328"/>
      <c r="B224" s="2322"/>
      <c r="C224" s="2322"/>
      <c r="D224" s="2322"/>
      <c r="E224" s="2322"/>
      <c r="F224" s="2322"/>
      <c r="G224" s="2322"/>
      <c r="H224" s="2322"/>
      <c r="I224" s="2322"/>
      <c r="J224" s="2322"/>
      <c r="K224" s="2322"/>
      <c r="L224" s="2322"/>
      <c r="M224" s="2322"/>
      <c r="N224" s="2322"/>
      <c r="O224" s="2322"/>
      <c r="P224" s="2322"/>
      <c r="Q224" s="2322"/>
      <c r="R224" s="2322"/>
      <c r="S224" s="2322"/>
      <c r="T224" s="2322"/>
      <c r="U224" s="2322"/>
      <c r="V224" s="2322"/>
      <c r="W224" s="2322"/>
      <c r="X224" s="2322"/>
      <c r="Y224" s="2322"/>
      <c r="Z224" s="2322"/>
      <c r="AA224" s="2322"/>
      <c r="AB224" s="2322"/>
      <c r="AC224" s="2322"/>
      <c r="AD224" s="2322"/>
      <c r="AE224" s="2322"/>
      <c r="AF224" s="2322"/>
      <c r="AG224" s="2322"/>
      <c r="AH224" s="2322"/>
      <c r="AI224" s="2322"/>
      <c r="AJ224" s="2322"/>
      <c r="AK224" s="2322"/>
      <c r="AL224" s="2322"/>
      <c r="AM224" s="2322"/>
      <c r="AN224" s="2322"/>
      <c r="AO224" s="2322"/>
      <c r="AP224" s="2322"/>
      <c r="AQ224" s="2322"/>
      <c r="AR224" s="2322"/>
      <c r="AS224" s="2322"/>
      <c r="AT224" s="2322"/>
      <c r="AU224" s="2322"/>
      <c r="AV224" s="2322"/>
      <c r="AW224" s="2322"/>
      <c r="AX224" s="2322"/>
      <c r="AY224" s="2322"/>
      <c r="AZ224" s="2322"/>
      <c r="BA224" s="2322"/>
      <c r="BB224" s="2322"/>
      <c r="BC224" s="2322"/>
      <c r="BD224" s="2322"/>
      <c r="BE224" s="2322"/>
      <c r="BF224" s="2322"/>
      <c r="BG224" s="2322"/>
      <c r="BH224" s="2322"/>
      <c r="BI224" s="2322"/>
      <c r="BJ224" s="2322"/>
      <c r="BK224" s="2322"/>
      <c r="BL224" s="2322"/>
      <c r="BM224" s="2322"/>
      <c r="BN224" s="2322"/>
      <c r="BO224" s="2322"/>
      <c r="BP224" s="2322"/>
      <c r="BQ224" s="2322"/>
      <c r="BR224" s="2322"/>
      <c r="BS224" s="2322"/>
      <c r="BT224" s="2322"/>
      <c r="BU224" s="2322"/>
      <c r="BV224" s="2322"/>
      <c r="BW224" s="2322"/>
      <c r="BX224" s="2322"/>
      <c r="BY224" s="2322"/>
      <c r="BZ224" s="2322"/>
      <c r="CA224" s="2322"/>
      <c r="CB224" s="2322"/>
      <c r="CC224" s="2322"/>
      <c r="CD224" s="2322"/>
      <c r="CE224" s="2322"/>
      <c r="CF224" s="2322"/>
      <c r="CG224" s="2322"/>
      <c r="CH224" s="2322"/>
      <c r="CI224" s="2322"/>
      <c r="CJ224" s="2322"/>
      <c r="CK224" s="2322"/>
      <c r="CL224" s="2322"/>
      <c r="CM224" s="2322"/>
      <c r="CN224" s="2322"/>
      <c r="CO224" s="2322"/>
      <c r="CP224" s="2322"/>
      <c r="CQ224" s="2322"/>
      <c r="CR224" s="2322"/>
      <c r="CS224" s="2322"/>
      <c r="CT224" s="2322"/>
      <c r="CU224" s="2322"/>
      <c r="CV224" s="2322"/>
    </row>
    <row r="225" spans="1:100" ht="15.75" customHeight="1">
      <c r="A225" s="2328"/>
      <c r="B225" s="2322"/>
      <c r="C225" s="2322"/>
      <c r="D225" s="2322"/>
      <c r="E225" s="2322"/>
      <c r="F225" s="2322"/>
      <c r="G225" s="2322"/>
      <c r="H225" s="2322"/>
      <c r="I225" s="2322"/>
      <c r="J225" s="2322"/>
      <c r="K225" s="2322"/>
      <c r="L225" s="2322"/>
      <c r="M225" s="2322"/>
      <c r="N225" s="2322"/>
      <c r="O225" s="2322"/>
      <c r="P225" s="2322"/>
      <c r="Q225" s="2322"/>
      <c r="R225" s="2322"/>
      <c r="S225" s="2322"/>
      <c r="T225" s="2322"/>
      <c r="U225" s="2322"/>
      <c r="V225" s="2322"/>
      <c r="W225" s="2322"/>
      <c r="X225" s="2322"/>
      <c r="Y225" s="2322"/>
      <c r="Z225" s="2322"/>
      <c r="AA225" s="2322"/>
      <c r="AB225" s="2322"/>
      <c r="AC225" s="2322"/>
      <c r="AD225" s="2322"/>
      <c r="AE225" s="2322"/>
      <c r="AF225" s="2322"/>
      <c r="AG225" s="2322"/>
      <c r="AH225" s="2322"/>
      <c r="AI225" s="2322"/>
      <c r="AJ225" s="2322"/>
      <c r="AK225" s="2322"/>
      <c r="AL225" s="2322"/>
      <c r="AM225" s="2322"/>
      <c r="AN225" s="2322"/>
      <c r="AO225" s="2322"/>
      <c r="AP225" s="2322"/>
      <c r="AQ225" s="2322"/>
      <c r="AR225" s="2322"/>
      <c r="AS225" s="2322"/>
      <c r="AT225" s="2322"/>
      <c r="AU225" s="2322"/>
      <c r="AV225" s="2322"/>
      <c r="AW225" s="2322"/>
      <c r="AX225" s="2322"/>
      <c r="AY225" s="2322"/>
      <c r="AZ225" s="2322"/>
      <c r="BA225" s="2322"/>
      <c r="BB225" s="2322"/>
      <c r="BC225" s="2322"/>
      <c r="BD225" s="2322"/>
      <c r="BE225" s="2322"/>
      <c r="BF225" s="2322"/>
      <c r="BG225" s="2322"/>
      <c r="BH225" s="2322"/>
      <c r="BI225" s="2322"/>
      <c r="BJ225" s="2322"/>
      <c r="BK225" s="2322"/>
      <c r="BL225" s="2322"/>
      <c r="BM225" s="2322"/>
      <c r="BN225" s="2322"/>
      <c r="BO225" s="2322"/>
      <c r="BP225" s="2322"/>
      <c r="BQ225" s="2322"/>
      <c r="BR225" s="2322"/>
      <c r="BS225" s="2322"/>
      <c r="BT225" s="2322"/>
      <c r="BU225" s="2322"/>
      <c r="BV225" s="2322"/>
      <c r="BW225" s="2322"/>
      <c r="BX225" s="2322"/>
      <c r="BY225" s="2322"/>
      <c r="BZ225" s="2322"/>
      <c r="CA225" s="2322"/>
      <c r="CB225" s="2322"/>
      <c r="CC225" s="2322"/>
      <c r="CD225" s="2322"/>
      <c r="CE225" s="2322"/>
      <c r="CF225" s="2322"/>
      <c r="CG225" s="2322"/>
      <c r="CH225" s="2322"/>
      <c r="CI225" s="2322"/>
      <c r="CJ225" s="2322"/>
      <c r="CK225" s="2322"/>
      <c r="CL225" s="2322"/>
      <c r="CM225" s="2322"/>
      <c r="CN225" s="2322"/>
      <c r="CO225" s="2322"/>
      <c r="CP225" s="2322"/>
      <c r="CQ225" s="2322"/>
      <c r="CR225" s="2322"/>
      <c r="CS225" s="2322"/>
      <c r="CT225" s="2322"/>
      <c r="CU225" s="2322"/>
      <c r="CV225" s="2322"/>
    </row>
    <row r="226" spans="1:100" ht="15.75" customHeight="1">
      <c r="A226" s="2328"/>
      <c r="B226" s="2322"/>
      <c r="C226" s="2322"/>
      <c r="D226" s="2322"/>
      <c r="E226" s="2322"/>
      <c r="F226" s="2322"/>
      <c r="G226" s="2322"/>
      <c r="H226" s="2322"/>
      <c r="I226" s="2322"/>
      <c r="J226" s="2322"/>
      <c r="K226" s="2322"/>
      <c r="L226" s="2322"/>
      <c r="M226" s="2322"/>
      <c r="N226" s="2322"/>
      <c r="O226" s="2322"/>
      <c r="P226" s="2322"/>
      <c r="Q226" s="2322"/>
      <c r="R226" s="2322"/>
      <c r="S226" s="2322"/>
      <c r="T226" s="2322"/>
      <c r="U226" s="2322"/>
      <c r="V226" s="2322"/>
      <c r="W226" s="2322"/>
      <c r="X226" s="2322"/>
      <c r="Y226" s="2322"/>
      <c r="Z226" s="2322"/>
      <c r="AA226" s="2322"/>
      <c r="AB226" s="2322"/>
      <c r="AC226" s="2322"/>
      <c r="AD226" s="2322"/>
      <c r="AE226" s="2322"/>
      <c r="AF226" s="2322"/>
      <c r="AG226" s="2322"/>
      <c r="AH226" s="2322"/>
      <c r="AI226" s="2322"/>
      <c r="AJ226" s="2322"/>
      <c r="AK226" s="2322"/>
      <c r="AL226" s="2322"/>
      <c r="AM226" s="2322"/>
      <c r="AN226" s="2322"/>
      <c r="AO226" s="2322"/>
      <c r="AP226" s="2322"/>
      <c r="AQ226" s="2322"/>
      <c r="AR226" s="2322"/>
      <c r="AS226" s="2322"/>
      <c r="AT226" s="2322"/>
      <c r="AU226" s="2322"/>
      <c r="AV226" s="2322"/>
      <c r="AW226" s="2322"/>
      <c r="AX226" s="2322"/>
      <c r="AY226" s="2322"/>
      <c r="AZ226" s="2322"/>
      <c r="BA226" s="2322"/>
      <c r="BB226" s="2322"/>
      <c r="BC226" s="2322"/>
      <c r="BD226" s="2322"/>
      <c r="BE226" s="2322"/>
      <c r="BF226" s="2322"/>
      <c r="BG226" s="2322"/>
      <c r="BH226" s="2322"/>
      <c r="BI226" s="2322"/>
      <c r="BJ226" s="2322"/>
      <c r="BK226" s="2322"/>
      <c r="BL226" s="2322"/>
      <c r="BM226" s="2322"/>
      <c r="BN226" s="2322"/>
      <c r="BO226" s="2322"/>
      <c r="BP226" s="2322"/>
      <c r="BQ226" s="2322"/>
      <c r="BR226" s="2322"/>
      <c r="BS226" s="2322"/>
      <c r="BT226" s="2322"/>
      <c r="BU226" s="2322"/>
      <c r="BV226" s="2322"/>
      <c r="BW226" s="2322"/>
      <c r="BX226" s="2322"/>
      <c r="BY226" s="2322"/>
      <c r="BZ226" s="2322"/>
      <c r="CA226" s="2322"/>
      <c r="CB226" s="2322"/>
      <c r="CC226" s="2322"/>
      <c r="CD226" s="2322"/>
      <c r="CE226" s="2322"/>
      <c r="CF226" s="2322"/>
      <c r="CG226" s="2322"/>
      <c r="CH226" s="2322"/>
      <c r="CI226" s="2322"/>
      <c r="CJ226" s="2322"/>
      <c r="CK226" s="2322"/>
      <c r="CL226" s="2322"/>
      <c r="CM226" s="2322"/>
      <c r="CN226" s="2322"/>
      <c r="CO226" s="2322"/>
      <c r="CP226" s="2322"/>
      <c r="CQ226" s="2322"/>
      <c r="CR226" s="2322"/>
      <c r="CS226" s="2322"/>
      <c r="CT226" s="2322"/>
      <c r="CU226" s="2322"/>
      <c r="CV226" s="2322"/>
    </row>
    <row r="227" spans="1:100" ht="15.75" customHeight="1">
      <c r="A227" s="2328"/>
      <c r="B227" s="2322"/>
      <c r="C227" s="2322"/>
      <c r="D227" s="2322"/>
      <c r="E227" s="2322"/>
      <c r="F227" s="2322"/>
      <c r="G227" s="2322"/>
      <c r="H227" s="2322"/>
      <c r="I227" s="2322"/>
      <c r="J227" s="2322"/>
      <c r="K227" s="2322"/>
      <c r="L227" s="2322"/>
      <c r="M227" s="2322"/>
      <c r="N227" s="2322"/>
      <c r="O227" s="2322"/>
      <c r="P227" s="2322"/>
      <c r="Q227" s="2322"/>
      <c r="R227" s="2322"/>
      <c r="S227" s="2322"/>
      <c r="T227" s="2322"/>
      <c r="U227" s="2322"/>
      <c r="V227" s="2322"/>
      <c r="W227" s="2322"/>
      <c r="X227" s="2322"/>
      <c r="Y227" s="2322"/>
      <c r="Z227" s="2322"/>
      <c r="AA227" s="2322"/>
      <c r="AB227" s="2322"/>
      <c r="AC227" s="2322"/>
      <c r="AD227" s="2322"/>
      <c r="AE227" s="2322"/>
      <c r="AF227" s="2322"/>
      <c r="AG227" s="2322"/>
      <c r="AH227" s="2322"/>
      <c r="AI227" s="2322"/>
      <c r="AJ227" s="2322"/>
      <c r="AK227" s="2322"/>
      <c r="AL227" s="2322"/>
      <c r="AM227" s="2322"/>
      <c r="AN227" s="2322"/>
      <c r="AO227" s="2322"/>
      <c r="AP227" s="2322"/>
      <c r="AQ227" s="2322"/>
      <c r="AR227" s="2322"/>
      <c r="AS227" s="2322"/>
      <c r="AT227" s="2322"/>
      <c r="AU227" s="2322"/>
      <c r="AV227" s="2322"/>
      <c r="AW227" s="2322"/>
      <c r="AX227" s="2322"/>
      <c r="AY227" s="2322"/>
      <c r="AZ227" s="2322"/>
      <c r="BA227" s="2322"/>
      <c r="BB227" s="2322"/>
      <c r="BC227" s="2322"/>
      <c r="BD227" s="2322"/>
      <c r="BE227" s="2322"/>
      <c r="BF227" s="2322"/>
      <c r="BG227" s="2322"/>
      <c r="BH227" s="2322"/>
      <c r="BI227" s="2322"/>
      <c r="BJ227" s="2322"/>
      <c r="BK227" s="2322"/>
      <c r="BL227" s="2322"/>
      <c r="BM227" s="2322"/>
      <c r="BN227" s="2322"/>
      <c r="BO227" s="2322"/>
      <c r="BP227" s="2322"/>
      <c r="BQ227" s="2322"/>
      <c r="BR227" s="2322"/>
      <c r="BS227" s="2322"/>
      <c r="BT227" s="2322"/>
      <c r="BU227" s="2322"/>
      <c r="BV227" s="2322"/>
      <c r="BW227" s="2322"/>
      <c r="BX227" s="2322"/>
      <c r="BY227" s="2322"/>
      <c r="BZ227" s="2322"/>
      <c r="CA227" s="2322"/>
      <c r="CB227" s="2322"/>
      <c r="CC227" s="2322"/>
      <c r="CD227" s="2322"/>
      <c r="CE227" s="2322"/>
      <c r="CF227" s="2322"/>
      <c r="CG227" s="2322"/>
      <c r="CH227" s="2322"/>
      <c r="CI227" s="2322"/>
      <c r="CJ227" s="2322"/>
      <c r="CK227" s="2322"/>
      <c r="CL227" s="2322"/>
      <c r="CM227" s="2322"/>
      <c r="CN227" s="2322"/>
      <c r="CO227" s="2322"/>
      <c r="CP227" s="2322"/>
      <c r="CQ227" s="2322"/>
      <c r="CR227" s="2322"/>
      <c r="CS227" s="2322"/>
      <c r="CT227" s="2322"/>
      <c r="CU227" s="2322"/>
      <c r="CV227" s="2322"/>
    </row>
    <row r="228" spans="1:100" ht="15.75" customHeight="1">
      <c r="A228" s="2328"/>
      <c r="B228" s="2322"/>
      <c r="C228" s="2322"/>
      <c r="D228" s="2322"/>
      <c r="E228" s="2322"/>
      <c r="F228" s="2322"/>
      <c r="G228" s="2322"/>
      <c r="H228" s="2322"/>
      <c r="I228" s="2322"/>
      <c r="J228" s="2322"/>
      <c r="K228" s="2322"/>
      <c r="L228" s="2322"/>
      <c r="M228" s="2322"/>
      <c r="N228" s="2322"/>
      <c r="O228" s="2322"/>
      <c r="P228" s="2322"/>
      <c r="Q228" s="2322"/>
      <c r="R228" s="2322"/>
      <c r="S228" s="2322"/>
      <c r="T228" s="2322"/>
      <c r="U228" s="2322"/>
      <c r="V228" s="2322"/>
      <c r="W228" s="2322"/>
      <c r="X228" s="2322"/>
      <c r="Y228" s="2322"/>
      <c r="Z228" s="2322"/>
      <c r="AA228" s="2322"/>
      <c r="AB228" s="2322"/>
      <c r="AC228" s="2322"/>
      <c r="AD228" s="2322"/>
      <c r="AE228" s="2322"/>
      <c r="AF228" s="2322"/>
      <c r="AG228" s="2322"/>
      <c r="AH228" s="2322"/>
      <c r="AI228" s="2322"/>
      <c r="AJ228" s="2322"/>
      <c r="AK228" s="2322"/>
      <c r="AL228" s="2322"/>
      <c r="AM228" s="2322"/>
      <c r="AN228" s="2322"/>
      <c r="AO228" s="2322"/>
      <c r="AP228" s="2322"/>
      <c r="AQ228" s="2322"/>
      <c r="AR228" s="2322"/>
      <c r="AS228" s="2322"/>
      <c r="AT228" s="2322"/>
      <c r="AU228" s="2322"/>
      <c r="AV228" s="2322"/>
      <c r="AW228" s="2322"/>
      <c r="AX228" s="2322"/>
      <c r="AY228" s="2322"/>
      <c r="AZ228" s="2322"/>
      <c r="BA228" s="2322"/>
      <c r="BB228" s="2322"/>
      <c r="BC228" s="2322"/>
      <c r="BD228" s="2322"/>
      <c r="BE228" s="2322"/>
      <c r="BF228" s="2322"/>
      <c r="BG228" s="2322"/>
      <c r="BH228" s="2322"/>
      <c r="BI228" s="2322"/>
      <c r="BJ228" s="2322"/>
      <c r="BK228" s="2322"/>
      <c r="BL228" s="2322"/>
      <c r="BM228" s="2322"/>
      <c r="BN228" s="2322"/>
      <c r="BO228" s="2322"/>
      <c r="BP228" s="2322"/>
      <c r="BQ228" s="2322"/>
      <c r="BR228" s="2322"/>
      <c r="BS228" s="2322"/>
      <c r="BT228" s="2322"/>
      <c r="BU228" s="2322"/>
      <c r="BV228" s="2322"/>
      <c r="BW228" s="2322"/>
      <c r="BX228" s="2322"/>
      <c r="BY228" s="2322"/>
      <c r="BZ228" s="2322"/>
      <c r="CA228" s="2322"/>
      <c r="CB228" s="2322"/>
      <c r="CC228" s="2322"/>
      <c r="CD228" s="2322"/>
      <c r="CE228" s="2322"/>
      <c r="CF228" s="2322"/>
      <c r="CG228" s="2322"/>
      <c r="CH228" s="2322"/>
      <c r="CI228" s="2322"/>
      <c r="CJ228" s="2322"/>
      <c r="CK228" s="2322"/>
      <c r="CL228" s="2322"/>
      <c r="CM228" s="2322"/>
      <c r="CN228" s="2322"/>
      <c r="CO228" s="2322"/>
      <c r="CP228" s="2322"/>
      <c r="CQ228" s="2322"/>
      <c r="CR228" s="2322"/>
      <c r="CS228" s="2322"/>
      <c r="CT228" s="2322"/>
      <c r="CU228" s="2322"/>
      <c r="CV228" s="2322"/>
    </row>
    <row r="229" spans="1:100" ht="15.75" customHeight="1">
      <c r="A229" s="2328"/>
      <c r="B229" s="2322"/>
      <c r="C229" s="2322"/>
      <c r="D229" s="2322"/>
      <c r="E229" s="2322"/>
      <c r="F229" s="2322"/>
      <c r="G229" s="2322"/>
      <c r="H229" s="2322"/>
      <c r="I229" s="2322"/>
      <c r="J229" s="2322"/>
      <c r="K229" s="2322"/>
      <c r="L229" s="2322"/>
      <c r="M229" s="2322"/>
      <c r="N229" s="2322"/>
      <c r="O229" s="2322"/>
      <c r="P229" s="2322"/>
      <c r="Q229" s="2322"/>
      <c r="R229" s="2322"/>
      <c r="S229" s="2322"/>
      <c r="T229" s="2322"/>
      <c r="U229" s="2322"/>
      <c r="V229" s="2322"/>
      <c r="W229" s="2322"/>
      <c r="X229" s="2322"/>
      <c r="Y229" s="2322"/>
      <c r="Z229" s="2322"/>
      <c r="AA229" s="2322"/>
      <c r="AB229" s="2322"/>
      <c r="AC229" s="2322"/>
      <c r="AD229" s="2322"/>
      <c r="AE229" s="2322"/>
      <c r="AF229" s="2322"/>
      <c r="AG229" s="2322"/>
      <c r="AH229" s="2322"/>
      <c r="AI229" s="2322"/>
      <c r="AJ229" s="2322"/>
      <c r="AK229" s="2322"/>
      <c r="AL229" s="2322"/>
      <c r="AM229" s="2322"/>
      <c r="AN229" s="2322"/>
      <c r="AO229" s="2322"/>
      <c r="AP229" s="2322"/>
      <c r="AQ229" s="2322"/>
      <c r="AR229" s="2322"/>
      <c r="AS229" s="2322"/>
      <c r="AT229" s="2322"/>
      <c r="AU229" s="2322"/>
      <c r="AV229" s="2322"/>
      <c r="AW229" s="2322"/>
      <c r="AX229" s="2322"/>
      <c r="AY229" s="2322"/>
      <c r="AZ229" s="2322"/>
      <c r="BA229" s="2322"/>
      <c r="BB229" s="2322"/>
      <c r="BC229" s="2322"/>
      <c r="BD229" s="2322"/>
      <c r="BE229" s="2322"/>
      <c r="BF229" s="2322"/>
      <c r="BG229" s="2322"/>
      <c r="BH229" s="2322"/>
      <c r="BI229" s="2322"/>
      <c r="BJ229" s="2322"/>
      <c r="BK229" s="2322"/>
      <c r="BL229" s="2322"/>
      <c r="BM229" s="2322"/>
      <c r="BN229" s="2322"/>
      <c r="BO229" s="2322"/>
      <c r="BP229" s="2322"/>
      <c r="BQ229" s="2322"/>
      <c r="BR229" s="2322"/>
      <c r="BS229" s="2322"/>
      <c r="BT229" s="2322"/>
      <c r="BU229" s="2322"/>
      <c r="BV229" s="2322"/>
      <c r="BW229" s="2322"/>
      <c r="BX229" s="2322"/>
      <c r="BY229" s="2322"/>
      <c r="BZ229" s="2322"/>
      <c r="CA229" s="2322"/>
      <c r="CB229" s="2322"/>
      <c r="CC229" s="2322"/>
      <c r="CD229" s="2322"/>
      <c r="CE229" s="2322"/>
      <c r="CF229" s="2322"/>
      <c r="CG229" s="2322"/>
      <c r="CH229" s="2322"/>
      <c r="CI229" s="2322"/>
      <c r="CJ229" s="2322"/>
      <c r="CK229" s="2322"/>
      <c r="CL229" s="2322"/>
      <c r="CM229" s="2322"/>
      <c r="CN229" s="2322"/>
      <c r="CO229" s="2322"/>
      <c r="CP229" s="2322"/>
      <c r="CQ229" s="2322"/>
      <c r="CR229" s="2322"/>
      <c r="CS229" s="2322"/>
      <c r="CT229" s="2322"/>
      <c r="CU229" s="2322"/>
      <c r="CV229" s="2322"/>
    </row>
    <row r="230" spans="1:100" ht="15.75" customHeight="1">
      <c r="A230" s="2328"/>
      <c r="B230" s="2322"/>
      <c r="C230" s="2322"/>
      <c r="D230" s="2322"/>
      <c r="E230" s="2322"/>
      <c r="F230" s="2322"/>
      <c r="G230" s="2322"/>
      <c r="H230" s="2322"/>
      <c r="I230" s="2322"/>
      <c r="J230" s="2322"/>
      <c r="K230" s="2322"/>
      <c r="L230" s="2322"/>
      <c r="M230" s="2322"/>
      <c r="N230" s="2322"/>
      <c r="O230" s="2322"/>
      <c r="P230" s="2322"/>
      <c r="Q230" s="2322"/>
      <c r="R230" s="2322"/>
      <c r="S230" s="2322"/>
      <c r="T230" s="2322"/>
      <c r="U230" s="2322"/>
      <c r="V230" s="2322"/>
      <c r="W230" s="2322"/>
      <c r="X230" s="2322"/>
      <c r="Y230" s="2322"/>
      <c r="Z230" s="2322"/>
      <c r="AA230" s="2322"/>
      <c r="AB230" s="2322"/>
      <c r="AC230" s="2322"/>
      <c r="AD230" s="2322"/>
      <c r="AE230" s="2322"/>
      <c r="AF230" s="2322"/>
      <c r="AG230" s="2322"/>
      <c r="AH230" s="2322"/>
      <c r="AI230" s="2322"/>
      <c r="AJ230" s="2322"/>
      <c r="AK230" s="2322"/>
      <c r="AL230" s="2322"/>
      <c r="AM230" s="2322"/>
      <c r="AN230" s="2322"/>
      <c r="AO230" s="2322"/>
      <c r="AP230" s="2322"/>
      <c r="AQ230" s="2322"/>
      <c r="AR230" s="2322"/>
      <c r="AS230" s="2322"/>
      <c r="AT230" s="2322"/>
      <c r="AU230" s="2322"/>
      <c r="AV230" s="2322"/>
      <c r="AW230" s="2322"/>
      <c r="AX230" s="2322"/>
      <c r="AY230" s="2322"/>
      <c r="AZ230" s="2322"/>
      <c r="BA230" s="2322"/>
      <c r="BB230" s="2322"/>
      <c r="BC230" s="2322"/>
      <c r="BD230" s="2322"/>
      <c r="BE230" s="2322"/>
      <c r="BF230" s="2322"/>
      <c r="BG230" s="2322"/>
      <c r="BH230" s="2322"/>
      <c r="BI230" s="2322"/>
      <c r="BJ230" s="2322"/>
      <c r="BK230" s="2322"/>
      <c r="BL230" s="2322"/>
      <c r="BM230" s="2322"/>
      <c r="BN230" s="2322"/>
      <c r="BO230" s="2322"/>
      <c r="BP230" s="2322"/>
      <c r="BQ230" s="2322"/>
      <c r="BR230" s="2322"/>
      <c r="BS230" s="2322"/>
      <c r="BT230" s="2322"/>
      <c r="BU230" s="2322"/>
      <c r="BV230" s="2322"/>
      <c r="BW230" s="2322"/>
      <c r="BX230" s="2322"/>
      <c r="BY230" s="2322"/>
      <c r="BZ230" s="2322"/>
      <c r="CA230" s="2322"/>
      <c r="CB230" s="2322"/>
      <c r="CC230" s="2322"/>
      <c r="CD230" s="2322"/>
      <c r="CE230" s="2322"/>
      <c r="CF230" s="2322"/>
      <c r="CG230" s="2322"/>
      <c r="CH230" s="2322"/>
      <c r="CI230" s="2322"/>
      <c r="CJ230" s="2322"/>
      <c r="CK230" s="2322"/>
      <c r="CL230" s="2322"/>
      <c r="CM230" s="2322"/>
      <c r="CN230" s="2322"/>
      <c r="CO230" s="2322"/>
      <c r="CP230" s="2322"/>
      <c r="CQ230" s="2322"/>
      <c r="CR230" s="2322"/>
      <c r="CS230" s="2322"/>
      <c r="CT230" s="2322"/>
      <c r="CU230" s="2322"/>
      <c r="CV230" s="2322"/>
    </row>
    <row r="231" spans="1:100" ht="15.75" customHeight="1">
      <c r="A231" s="2328"/>
      <c r="B231" s="2322"/>
      <c r="C231" s="2322"/>
      <c r="D231" s="2322"/>
      <c r="E231" s="2322"/>
      <c r="F231" s="2322"/>
      <c r="G231" s="2322"/>
      <c r="H231" s="2322"/>
      <c r="I231" s="2322"/>
      <c r="J231" s="2322"/>
      <c r="K231" s="2322"/>
      <c r="L231" s="2322"/>
      <c r="M231" s="2322"/>
      <c r="N231" s="2322"/>
      <c r="O231" s="2322"/>
      <c r="P231" s="2322"/>
      <c r="Q231" s="2322"/>
      <c r="R231" s="2322"/>
      <c r="S231" s="2322"/>
      <c r="T231" s="2322"/>
      <c r="U231" s="2322"/>
      <c r="V231" s="2322"/>
      <c r="W231" s="2322"/>
      <c r="X231" s="2322"/>
      <c r="Y231" s="2322"/>
      <c r="Z231" s="2322"/>
      <c r="AA231" s="2322"/>
      <c r="AB231" s="2322"/>
      <c r="AC231" s="2322"/>
      <c r="AD231" s="2322"/>
      <c r="AE231" s="2322"/>
      <c r="AF231" s="2322"/>
      <c r="AG231" s="2322"/>
      <c r="AH231" s="2322"/>
      <c r="AI231" s="2322"/>
      <c r="AJ231" s="2322"/>
      <c r="AK231" s="2322"/>
      <c r="AL231" s="2322"/>
      <c r="AM231" s="2322"/>
      <c r="AN231" s="2322"/>
      <c r="AO231" s="2322"/>
      <c r="AP231" s="2322"/>
      <c r="AQ231" s="2322"/>
      <c r="AR231" s="2322"/>
      <c r="AS231" s="2322"/>
      <c r="AT231" s="2322"/>
      <c r="AU231" s="2322"/>
      <c r="AV231" s="2322"/>
      <c r="AW231" s="2322"/>
      <c r="AX231" s="2322"/>
      <c r="AY231" s="2322"/>
      <c r="AZ231" s="2322"/>
      <c r="BA231" s="2322"/>
      <c r="BB231" s="2322"/>
      <c r="BC231" s="2322"/>
      <c r="BD231" s="2322"/>
      <c r="BE231" s="2322"/>
      <c r="BF231" s="2322"/>
      <c r="BG231" s="2322"/>
      <c r="BH231" s="2322"/>
      <c r="BI231" s="2322"/>
      <c r="BJ231" s="2322"/>
      <c r="BK231" s="2322"/>
      <c r="BL231" s="2322"/>
      <c r="BM231" s="2322"/>
      <c r="BN231" s="2322"/>
      <c r="BO231" s="2322"/>
      <c r="BP231" s="2322"/>
      <c r="BQ231" s="2322"/>
      <c r="BR231" s="2322"/>
      <c r="BS231" s="2322"/>
      <c r="BT231" s="2322"/>
      <c r="BU231" s="2322"/>
      <c r="BV231" s="2322"/>
      <c r="BW231" s="2322"/>
      <c r="BX231" s="2322"/>
      <c r="BY231" s="2322"/>
      <c r="BZ231" s="2322"/>
      <c r="CA231" s="2322"/>
      <c r="CB231" s="2322"/>
      <c r="CC231" s="2322"/>
      <c r="CD231" s="2322"/>
      <c r="CE231" s="2322"/>
      <c r="CF231" s="2322"/>
      <c r="CG231" s="2322"/>
      <c r="CH231" s="2322"/>
      <c r="CI231" s="2322"/>
      <c r="CJ231" s="2322"/>
      <c r="CK231" s="2322"/>
      <c r="CL231" s="2322"/>
      <c r="CM231" s="2322"/>
      <c r="CN231" s="2322"/>
      <c r="CO231" s="2322"/>
      <c r="CP231" s="2322"/>
      <c r="CQ231" s="2322"/>
      <c r="CR231" s="2322"/>
      <c r="CS231" s="2322"/>
      <c r="CT231" s="2322"/>
      <c r="CU231" s="2322"/>
      <c r="CV231" s="2322"/>
    </row>
    <row r="232" spans="1:100" ht="15.75" customHeight="1">
      <c r="A232" s="2328"/>
      <c r="B232" s="2322"/>
      <c r="C232" s="2322"/>
      <c r="D232" s="2322"/>
      <c r="E232" s="2322"/>
      <c r="F232" s="2322"/>
      <c r="G232" s="2322"/>
      <c r="H232" s="2322"/>
      <c r="I232" s="2322"/>
      <c r="J232" s="2322"/>
      <c r="K232" s="2322"/>
      <c r="L232" s="2322"/>
      <c r="M232" s="2322"/>
      <c r="N232" s="2322"/>
      <c r="O232" s="2322"/>
      <c r="P232" s="2322"/>
      <c r="Q232" s="2322"/>
      <c r="R232" s="2322"/>
      <c r="S232" s="2322"/>
      <c r="T232" s="2322"/>
      <c r="U232" s="2322"/>
      <c r="V232" s="2322"/>
      <c r="W232" s="2322"/>
      <c r="X232" s="2322"/>
      <c r="Y232" s="2322"/>
      <c r="Z232" s="2322"/>
      <c r="AA232" s="2322"/>
      <c r="AB232" s="2322"/>
      <c r="AC232" s="2322"/>
      <c r="AD232" s="2322"/>
      <c r="AE232" s="2322"/>
      <c r="AF232" s="2322"/>
      <c r="AG232" s="2322"/>
      <c r="AH232" s="2322"/>
      <c r="AI232" s="2322"/>
      <c r="AJ232" s="2322"/>
      <c r="AK232" s="2322"/>
      <c r="AL232" s="2322"/>
      <c r="AM232" s="2322"/>
      <c r="AN232" s="2322"/>
      <c r="AO232" s="2322"/>
      <c r="AP232" s="2322"/>
      <c r="AQ232" s="2322"/>
      <c r="AR232" s="2322"/>
      <c r="AS232" s="2322"/>
      <c r="AT232" s="2322"/>
      <c r="AU232" s="2322"/>
      <c r="AV232" s="2322"/>
      <c r="AW232" s="2322"/>
      <c r="AX232" s="2322"/>
      <c r="AY232" s="2322"/>
      <c r="AZ232" s="2322"/>
      <c r="BA232" s="2322"/>
      <c r="BB232" s="2322"/>
      <c r="BC232" s="2322"/>
      <c r="BD232" s="2322"/>
      <c r="BE232" s="2322"/>
      <c r="BF232" s="2322"/>
      <c r="BG232" s="2322"/>
      <c r="BH232" s="2322"/>
      <c r="BI232" s="2322"/>
      <c r="BJ232" s="2322"/>
      <c r="BK232" s="2322"/>
      <c r="BL232" s="2322"/>
      <c r="BM232" s="2322"/>
      <c r="BN232" s="2322"/>
      <c r="BO232" s="2322"/>
      <c r="BP232" s="2322"/>
      <c r="BQ232" s="2322"/>
      <c r="BR232" s="2322"/>
      <c r="BS232" s="2322"/>
      <c r="BT232" s="2322"/>
      <c r="BU232" s="2322"/>
      <c r="BV232" s="2322"/>
      <c r="BW232" s="2322"/>
      <c r="BX232" s="2322"/>
      <c r="BY232" s="2322"/>
      <c r="BZ232" s="2322"/>
      <c r="CA232" s="2322"/>
      <c r="CB232" s="2322"/>
      <c r="CC232" s="2322"/>
      <c r="CD232" s="2322"/>
      <c r="CE232" s="2322"/>
      <c r="CF232" s="2322"/>
      <c r="CG232" s="2322"/>
      <c r="CH232" s="2322"/>
      <c r="CI232" s="2322"/>
      <c r="CJ232" s="2322"/>
      <c r="CK232" s="2322"/>
      <c r="CL232" s="2322"/>
      <c r="CM232" s="2322"/>
      <c r="CN232" s="2322"/>
      <c r="CO232" s="2322"/>
      <c r="CP232" s="2322"/>
      <c r="CQ232" s="2322"/>
      <c r="CR232" s="2322"/>
      <c r="CS232" s="2322"/>
      <c r="CT232" s="2322"/>
      <c r="CU232" s="2322"/>
      <c r="CV232" s="2322"/>
    </row>
    <row r="233" spans="1:100" ht="15.75" customHeight="1">
      <c r="A233" s="2328"/>
      <c r="B233" s="2322"/>
      <c r="C233" s="2322"/>
      <c r="D233" s="2322"/>
      <c r="E233" s="2322"/>
      <c r="F233" s="2322"/>
      <c r="G233" s="2322"/>
      <c r="H233" s="2322"/>
      <c r="I233" s="2322"/>
      <c r="J233" s="2322"/>
      <c r="K233" s="2322"/>
      <c r="L233" s="2322"/>
      <c r="M233" s="2322"/>
      <c r="N233" s="2322"/>
      <c r="O233" s="2322"/>
      <c r="P233" s="2322"/>
      <c r="Q233" s="2322"/>
      <c r="R233" s="2322"/>
      <c r="S233" s="2322"/>
      <c r="T233" s="2322"/>
      <c r="U233" s="2322"/>
      <c r="V233" s="2322"/>
      <c r="W233" s="2322"/>
      <c r="X233" s="2322"/>
      <c r="Y233" s="2322"/>
      <c r="Z233" s="2322"/>
      <c r="AA233" s="2322"/>
      <c r="AB233" s="2322"/>
      <c r="AC233" s="2322"/>
      <c r="AD233" s="2322"/>
      <c r="AE233" s="2322"/>
      <c r="AF233" s="2322"/>
      <c r="AG233" s="2322"/>
      <c r="AH233" s="2322"/>
      <c r="AI233" s="2322"/>
      <c r="AJ233" s="2322"/>
      <c r="AK233" s="2322"/>
      <c r="AL233" s="2322"/>
      <c r="AM233" s="2322"/>
      <c r="AN233" s="2322"/>
      <c r="AO233" s="2322"/>
      <c r="AP233" s="2322"/>
      <c r="AQ233" s="2322"/>
      <c r="AR233" s="2322"/>
      <c r="AS233" s="2322"/>
      <c r="AT233" s="2322"/>
      <c r="AU233" s="2322"/>
      <c r="AV233" s="2322"/>
      <c r="AW233" s="2322"/>
      <c r="AX233" s="2322"/>
      <c r="AY233" s="2322"/>
      <c r="AZ233" s="2322"/>
      <c r="BA233" s="2322"/>
      <c r="BB233" s="2322"/>
      <c r="BC233" s="2322"/>
      <c r="BD233" s="2322"/>
      <c r="BE233" s="2322"/>
      <c r="BF233" s="2322"/>
      <c r="BG233" s="2322"/>
      <c r="BH233" s="2322"/>
      <c r="BI233" s="2322"/>
      <c r="BJ233" s="2322"/>
      <c r="BK233" s="2322"/>
      <c r="BL233" s="2322"/>
      <c r="BM233" s="2322"/>
      <c r="BN233" s="2322"/>
      <c r="BO233" s="2322"/>
      <c r="BP233" s="2322"/>
      <c r="BQ233" s="2322"/>
      <c r="BR233" s="2322"/>
      <c r="BS233" s="2322"/>
      <c r="BT233" s="2322"/>
      <c r="BU233" s="2322"/>
      <c r="BV233" s="2322"/>
      <c r="BW233" s="2322"/>
      <c r="BX233" s="2322"/>
      <c r="BY233" s="2322"/>
      <c r="BZ233" s="2322"/>
      <c r="CA233" s="2322"/>
      <c r="CB233" s="2322"/>
      <c r="CC233" s="2322"/>
      <c r="CD233" s="2322"/>
      <c r="CE233" s="2322"/>
      <c r="CF233" s="2322"/>
      <c r="CG233" s="2322"/>
      <c r="CH233" s="2322"/>
      <c r="CI233" s="2322"/>
      <c r="CJ233" s="2322"/>
      <c r="CK233" s="2322"/>
      <c r="CL233" s="2322"/>
      <c r="CM233" s="2322"/>
      <c r="CN233" s="2322"/>
      <c r="CO233" s="2322"/>
      <c r="CP233" s="2322"/>
      <c r="CQ233" s="2322"/>
      <c r="CR233" s="2322"/>
      <c r="CS233" s="2322"/>
      <c r="CT233" s="2322"/>
      <c r="CU233" s="2322"/>
      <c r="CV233" s="2322"/>
    </row>
    <row r="234" spans="1:100" ht="15.75" customHeight="1">
      <c r="A234" s="2328"/>
      <c r="B234" s="2322"/>
      <c r="C234" s="2322"/>
      <c r="D234" s="2322"/>
      <c r="E234" s="2322"/>
      <c r="F234" s="2322"/>
      <c r="G234" s="2322"/>
      <c r="H234" s="2322"/>
      <c r="I234" s="2322"/>
      <c r="J234" s="2322"/>
      <c r="K234" s="2322"/>
      <c r="L234" s="2322"/>
      <c r="M234" s="2322"/>
      <c r="N234" s="2322"/>
      <c r="O234" s="2322"/>
      <c r="P234" s="2322"/>
      <c r="Q234" s="2322"/>
      <c r="R234" s="2322"/>
      <c r="S234" s="2322"/>
      <c r="T234" s="2322"/>
      <c r="U234" s="2322"/>
      <c r="V234" s="2322"/>
      <c r="W234" s="2322"/>
      <c r="X234" s="2322"/>
      <c r="Y234" s="2322"/>
      <c r="Z234" s="2322"/>
      <c r="AA234" s="2322"/>
      <c r="AB234" s="2322"/>
      <c r="AC234" s="2322"/>
      <c r="AD234" s="2322"/>
      <c r="AE234" s="2322"/>
      <c r="AF234" s="2322"/>
      <c r="AG234" s="2322"/>
      <c r="AH234" s="2322"/>
      <c r="AI234" s="2322"/>
      <c r="AJ234" s="2322"/>
      <c r="AK234" s="2322"/>
      <c r="AL234" s="2322"/>
      <c r="AM234" s="2322"/>
      <c r="AN234" s="2322"/>
      <c r="AO234" s="2322"/>
      <c r="AP234" s="2322"/>
      <c r="AQ234" s="2322"/>
      <c r="AR234" s="2322"/>
      <c r="AS234" s="2322"/>
      <c r="AT234" s="2322"/>
      <c r="AU234" s="2322"/>
      <c r="AV234" s="2322"/>
      <c r="AW234" s="2322"/>
      <c r="AX234" s="2322"/>
      <c r="AY234" s="2322"/>
      <c r="AZ234" s="2322"/>
      <c r="BA234" s="2322"/>
      <c r="BB234" s="2322"/>
      <c r="BC234" s="2322"/>
      <c r="BD234" s="2322"/>
      <c r="BE234" s="2322"/>
      <c r="BF234" s="2322"/>
      <c r="BG234" s="2322"/>
      <c r="BH234" s="2322"/>
      <c r="BI234" s="2322"/>
      <c r="BJ234" s="2322"/>
      <c r="BK234" s="2322"/>
      <c r="BL234" s="2322"/>
      <c r="BM234" s="2322"/>
      <c r="BN234" s="2322"/>
      <c r="BO234" s="2322"/>
      <c r="BP234" s="2322"/>
      <c r="BQ234" s="2322"/>
      <c r="BR234" s="2322"/>
      <c r="BS234" s="2322"/>
      <c r="BT234" s="2322"/>
      <c r="BU234" s="2322"/>
      <c r="BV234" s="2322"/>
      <c r="BW234" s="2322"/>
      <c r="BX234" s="2322"/>
      <c r="BY234" s="2322"/>
      <c r="BZ234" s="2322"/>
      <c r="CA234" s="2322"/>
      <c r="CB234" s="2322"/>
      <c r="CC234" s="2322"/>
      <c r="CD234" s="2322"/>
      <c r="CE234" s="2322"/>
      <c r="CF234" s="2322"/>
      <c r="CG234" s="2322"/>
      <c r="CH234" s="2322"/>
      <c r="CI234" s="2322"/>
      <c r="CJ234" s="2322"/>
      <c r="CK234" s="2322"/>
      <c r="CL234" s="2322"/>
      <c r="CM234" s="2322"/>
      <c r="CN234" s="2322"/>
      <c r="CO234" s="2322"/>
      <c r="CP234" s="2322"/>
      <c r="CQ234" s="2322"/>
      <c r="CR234" s="2322"/>
      <c r="CS234" s="2322"/>
      <c r="CT234" s="2322"/>
      <c r="CU234" s="2322"/>
      <c r="CV234" s="2322"/>
    </row>
    <row r="235" spans="1:100" ht="15.75" customHeight="1">
      <c r="A235" s="2328"/>
      <c r="B235" s="2322"/>
      <c r="C235" s="2322"/>
      <c r="D235" s="2322"/>
      <c r="E235" s="2322"/>
      <c r="F235" s="2322"/>
      <c r="G235" s="2322"/>
      <c r="H235" s="2322"/>
      <c r="I235" s="2322"/>
      <c r="J235" s="2322"/>
      <c r="K235" s="2322"/>
      <c r="L235" s="2322"/>
      <c r="M235" s="2322"/>
      <c r="N235" s="2322"/>
      <c r="O235" s="2322"/>
      <c r="P235" s="2322"/>
      <c r="Q235" s="2322"/>
      <c r="R235" s="2322"/>
      <c r="S235" s="2322"/>
      <c r="T235" s="2322"/>
      <c r="U235" s="2322"/>
      <c r="V235" s="2322"/>
      <c r="W235" s="2322"/>
      <c r="X235" s="2322"/>
      <c r="Y235" s="2322"/>
      <c r="Z235" s="2322"/>
      <c r="AA235" s="2322"/>
      <c r="AB235" s="2322"/>
      <c r="AC235" s="2322"/>
      <c r="AD235" s="2322"/>
      <c r="AE235" s="2322"/>
      <c r="AF235" s="2322"/>
      <c r="AG235" s="2322"/>
      <c r="AH235" s="2322"/>
      <c r="AI235" s="2322"/>
      <c r="AJ235" s="2322"/>
      <c r="AK235" s="2322"/>
      <c r="AL235" s="2322"/>
      <c r="AM235" s="2322"/>
      <c r="AN235" s="2322"/>
      <c r="AO235" s="2322"/>
      <c r="AP235" s="2322"/>
      <c r="AQ235" s="2322"/>
      <c r="AR235" s="2322"/>
      <c r="AS235" s="2322"/>
      <c r="AT235" s="2322"/>
      <c r="AU235" s="2322"/>
      <c r="AV235" s="2322"/>
      <c r="AW235" s="2322"/>
      <c r="AX235" s="2322"/>
      <c r="AY235" s="2322"/>
      <c r="AZ235" s="2322"/>
      <c r="BA235" s="2322"/>
      <c r="BB235" s="2322"/>
      <c r="BC235" s="2322"/>
      <c r="BD235" s="2322"/>
      <c r="BE235" s="2322"/>
      <c r="BF235" s="2322"/>
      <c r="BG235" s="2322"/>
      <c r="BH235" s="2322"/>
      <c r="BI235" s="2322"/>
      <c r="BJ235" s="2322"/>
      <c r="BK235" s="2322"/>
      <c r="BL235" s="2322"/>
      <c r="BM235" s="2322"/>
      <c r="BN235" s="2322"/>
      <c r="BO235" s="2322"/>
      <c r="BP235" s="2322"/>
      <c r="BQ235" s="2322"/>
      <c r="BR235" s="2322"/>
      <c r="BS235" s="2322"/>
      <c r="BT235" s="2322"/>
      <c r="BU235" s="2322"/>
      <c r="BV235" s="2322"/>
      <c r="BW235" s="2322"/>
      <c r="BX235" s="2322"/>
      <c r="BY235" s="2322"/>
      <c r="BZ235" s="2322"/>
      <c r="CA235" s="2322"/>
      <c r="CB235" s="2322"/>
      <c r="CC235" s="2322"/>
      <c r="CD235" s="2322"/>
      <c r="CE235" s="2322"/>
      <c r="CF235" s="2322"/>
      <c r="CG235" s="2322"/>
      <c r="CH235" s="2322"/>
      <c r="CI235" s="2322"/>
      <c r="CJ235" s="2322"/>
      <c r="CK235" s="2322"/>
      <c r="CL235" s="2322"/>
      <c r="CM235" s="2322"/>
      <c r="CN235" s="2322"/>
      <c r="CO235" s="2322"/>
      <c r="CP235" s="2322"/>
      <c r="CQ235" s="2322"/>
      <c r="CR235" s="2322"/>
      <c r="CS235" s="2322"/>
      <c r="CT235" s="2322"/>
      <c r="CU235" s="2322"/>
      <c r="CV235" s="2322"/>
    </row>
    <row r="236" spans="1:100" ht="15.75" customHeight="1">
      <c r="A236" s="2328"/>
      <c r="B236" s="2322"/>
      <c r="C236" s="2322"/>
      <c r="D236" s="2322"/>
      <c r="E236" s="2322"/>
      <c r="F236" s="2322"/>
      <c r="G236" s="2322"/>
      <c r="H236" s="2322"/>
      <c r="I236" s="2322"/>
      <c r="J236" s="2322"/>
      <c r="K236" s="2322"/>
      <c r="L236" s="2322"/>
      <c r="M236" s="2322"/>
      <c r="N236" s="2322"/>
      <c r="O236" s="2322"/>
      <c r="P236" s="2322"/>
      <c r="Q236" s="2322"/>
      <c r="R236" s="2322"/>
      <c r="S236" s="2322"/>
      <c r="T236" s="2322"/>
      <c r="U236" s="2322"/>
      <c r="V236" s="2322"/>
      <c r="W236" s="2322"/>
      <c r="X236" s="2322"/>
      <c r="Y236" s="2322"/>
      <c r="Z236" s="2322"/>
      <c r="AA236" s="2322"/>
      <c r="AB236" s="2322"/>
      <c r="AC236" s="2322"/>
      <c r="AD236" s="2322"/>
      <c r="AE236" s="2322"/>
      <c r="AF236" s="2322"/>
      <c r="AG236" s="2322"/>
      <c r="AH236" s="2322"/>
      <c r="AI236" s="2322"/>
      <c r="AJ236" s="2322"/>
      <c r="AK236" s="2322"/>
      <c r="AL236" s="2322"/>
      <c r="AM236" s="2322"/>
      <c r="AN236" s="2322"/>
      <c r="AO236" s="2322"/>
      <c r="AP236" s="2322"/>
      <c r="AQ236" s="2322"/>
      <c r="AR236" s="2322"/>
      <c r="AS236" s="2322"/>
      <c r="AT236" s="2322"/>
      <c r="AU236" s="2322"/>
      <c r="AV236" s="2322"/>
      <c r="AW236" s="2322"/>
      <c r="AX236" s="2322"/>
      <c r="AY236" s="2322"/>
      <c r="AZ236" s="2322"/>
      <c r="BA236" s="2322"/>
      <c r="BB236" s="2322"/>
      <c r="BC236" s="2322"/>
      <c r="BD236" s="2322"/>
      <c r="BE236" s="2322"/>
      <c r="BF236" s="2322"/>
      <c r="BG236" s="2322"/>
      <c r="BH236" s="2322"/>
      <c r="BI236" s="2322"/>
      <c r="BJ236" s="2322"/>
      <c r="BK236" s="2322"/>
      <c r="BL236" s="2322"/>
      <c r="BM236" s="2322"/>
      <c r="BN236" s="2322"/>
      <c r="BO236" s="2322"/>
      <c r="BP236" s="2322"/>
      <c r="BQ236" s="2322"/>
      <c r="BR236" s="2322"/>
      <c r="BS236" s="2322"/>
      <c r="BT236" s="2322"/>
      <c r="BU236" s="2322"/>
      <c r="BV236" s="2322"/>
      <c r="BW236" s="2322"/>
      <c r="BX236" s="2322"/>
      <c r="BY236" s="2322"/>
      <c r="BZ236" s="2322"/>
      <c r="CA236" s="2322"/>
      <c r="CB236" s="2322"/>
      <c r="CC236" s="2322"/>
      <c r="CD236" s="2322"/>
      <c r="CE236" s="2322"/>
      <c r="CF236" s="2322"/>
      <c r="CG236" s="2322"/>
      <c r="CH236" s="2322"/>
      <c r="CI236" s="2322"/>
      <c r="CJ236" s="2322"/>
      <c r="CK236" s="2322"/>
      <c r="CL236" s="2322"/>
      <c r="CM236" s="2322"/>
      <c r="CN236" s="2322"/>
      <c r="CO236" s="2322"/>
      <c r="CP236" s="2322"/>
      <c r="CQ236" s="2322"/>
      <c r="CR236" s="2322"/>
      <c r="CS236" s="2322"/>
      <c r="CT236" s="2322"/>
      <c r="CU236" s="2322"/>
      <c r="CV236" s="2322"/>
    </row>
    <row r="237" spans="1:100" ht="15.75" customHeight="1">
      <c r="A237" s="2328"/>
      <c r="B237" s="2322"/>
      <c r="C237" s="2322"/>
      <c r="D237" s="2322"/>
      <c r="E237" s="2322"/>
      <c r="F237" s="2322"/>
      <c r="G237" s="2322"/>
      <c r="H237" s="2322"/>
      <c r="I237" s="2322"/>
      <c r="J237" s="2322"/>
      <c r="K237" s="2322"/>
      <c r="L237" s="2322"/>
      <c r="M237" s="2322"/>
      <c r="N237" s="2322"/>
      <c r="O237" s="2322"/>
      <c r="P237" s="2322"/>
      <c r="Q237" s="2322"/>
      <c r="R237" s="2322"/>
      <c r="S237" s="2322"/>
      <c r="T237" s="2322"/>
      <c r="U237" s="2322"/>
      <c r="V237" s="2322"/>
      <c r="W237" s="2322"/>
      <c r="X237" s="2322"/>
      <c r="Y237" s="2322"/>
      <c r="Z237" s="2322"/>
      <c r="AA237" s="2322"/>
      <c r="AB237" s="2322"/>
      <c r="AC237" s="2322"/>
      <c r="AD237" s="2322"/>
      <c r="AE237" s="2322"/>
      <c r="AF237" s="2322"/>
      <c r="AG237" s="2322"/>
      <c r="AH237" s="2322"/>
      <c r="AI237" s="2322"/>
      <c r="AJ237" s="2322"/>
      <c r="AK237" s="2322"/>
      <c r="AL237" s="2322"/>
      <c r="AM237" s="2322"/>
      <c r="AN237" s="2322"/>
      <c r="AO237" s="2322"/>
      <c r="AP237" s="2322"/>
      <c r="AQ237" s="2322"/>
      <c r="AR237" s="2322"/>
      <c r="AS237" s="2322"/>
      <c r="AT237" s="2322"/>
      <c r="AU237" s="2322"/>
      <c r="AV237" s="2322"/>
      <c r="AW237" s="2322"/>
      <c r="AX237" s="2322"/>
      <c r="AY237" s="2322"/>
      <c r="AZ237" s="2322"/>
      <c r="BA237" s="2322"/>
      <c r="BB237" s="2322"/>
      <c r="BC237" s="2322"/>
      <c r="BD237" s="2322"/>
      <c r="BE237" s="2322"/>
      <c r="BF237" s="2322"/>
      <c r="BG237" s="2322"/>
      <c r="BH237" s="2322"/>
      <c r="BI237" s="2322"/>
      <c r="BJ237" s="2322"/>
      <c r="BK237" s="2322"/>
      <c r="BL237" s="2322"/>
      <c r="BM237" s="2322"/>
      <c r="BN237" s="2322"/>
      <c r="BO237" s="2322"/>
      <c r="BP237" s="2322"/>
      <c r="BQ237" s="2322"/>
      <c r="BR237" s="2322"/>
      <c r="BS237" s="2322"/>
      <c r="BT237" s="2322"/>
      <c r="BU237" s="2322"/>
      <c r="BV237" s="2322"/>
      <c r="BW237" s="2322"/>
      <c r="BX237" s="2322"/>
      <c r="BY237" s="2322"/>
      <c r="BZ237" s="2322"/>
      <c r="CA237" s="2322"/>
      <c r="CB237" s="2322"/>
      <c r="CC237" s="2322"/>
      <c r="CD237" s="2322"/>
      <c r="CE237" s="2322"/>
      <c r="CF237" s="2322"/>
      <c r="CG237" s="2322"/>
      <c r="CH237" s="2322"/>
      <c r="CI237" s="2322"/>
      <c r="CJ237" s="2322"/>
      <c r="CK237" s="2322"/>
      <c r="CL237" s="2322"/>
      <c r="CM237" s="2322"/>
      <c r="CN237" s="2322"/>
      <c r="CO237" s="2322"/>
      <c r="CP237" s="2322"/>
      <c r="CQ237" s="2322"/>
      <c r="CR237" s="2322"/>
      <c r="CS237" s="2322"/>
      <c r="CT237" s="2322"/>
      <c r="CU237" s="2322"/>
      <c r="CV237" s="2322"/>
    </row>
    <row r="238" spans="1:100" ht="15.75" customHeight="1">
      <c r="A238" s="2328"/>
      <c r="B238" s="2322"/>
      <c r="C238" s="2322"/>
      <c r="D238" s="2322"/>
      <c r="E238" s="2322"/>
      <c r="F238" s="2322"/>
      <c r="G238" s="2322"/>
      <c r="H238" s="2322"/>
      <c r="I238" s="2322"/>
      <c r="J238" s="2322"/>
      <c r="K238" s="2322"/>
      <c r="L238" s="2322"/>
      <c r="M238" s="2322"/>
      <c r="N238" s="2322"/>
      <c r="O238" s="2322"/>
      <c r="P238" s="2322"/>
      <c r="Q238" s="2322"/>
      <c r="R238" s="2322"/>
      <c r="S238" s="2322"/>
      <c r="T238" s="2322"/>
      <c r="U238" s="2322"/>
      <c r="V238" s="2322"/>
      <c r="W238" s="2322"/>
      <c r="X238" s="2322"/>
      <c r="Y238" s="2322"/>
      <c r="Z238" s="2322"/>
      <c r="AA238" s="2322"/>
      <c r="AB238" s="2322"/>
      <c r="AC238" s="2322"/>
      <c r="AD238" s="2322"/>
      <c r="AE238" s="2322"/>
      <c r="AF238" s="2322"/>
      <c r="AG238" s="2322"/>
      <c r="AH238" s="2322"/>
      <c r="AI238" s="2322"/>
      <c r="AJ238" s="2322"/>
      <c r="AK238" s="2322"/>
      <c r="AL238" s="2322"/>
      <c r="AM238" s="2322"/>
      <c r="AN238" s="2322"/>
      <c r="AO238" s="2322"/>
      <c r="AP238" s="2322"/>
      <c r="AQ238" s="2322"/>
      <c r="AR238" s="2322"/>
      <c r="AS238" s="2322"/>
      <c r="AT238" s="2322"/>
      <c r="AU238" s="2322"/>
      <c r="AV238" s="2322"/>
      <c r="AW238" s="2322"/>
      <c r="AX238" s="2322"/>
      <c r="AY238" s="2322"/>
      <c r="AZ238" s="2322"/>
      <c r="BA238" s="2322"/>
      <c r="BB238" s="2322"/>
      <c r="BC238" s="2322"/>
      <c r="BD238" s="2322"/>
      <c r="BE238" s="2322"/>
      <c r="BF238" s="2322"/>
      <c r="BG238" s="2322"/>
      <c r="BH238" s="2322"/>
      <c r="BI238" s="2322"/>
      <c r="BJ238" s="2322"/>
      <c r="BK238" s="2322"/>
      <c r="BL238" s="2322"/>
      <c r="BM238" s="2322"/>
      <c r="BN238" s="2322"/>
      <c r="BO238" s="2322"/>
      <c r="BP238" s="2322"/>
      <c r="BQ238" s="2322"/>
      <c r="BR238" s="2322"/>
      <c r="BS238" s="2322"/>
      <c r="BT238" s="2322"/>
      <c r="BU238" s="2322"/>
      <c r="BV238" s="2322"/>
      <c r="BW238" s="2322"/>
      <c r="BX238" s="2322"/>
      <c r="BY238" s="2322"/>
      <c r="BZ238" s="2322"/>
      <c r="CA238" s="2322"/>
      <c r="CB238" s="2322"/>
      <c r="CC238" s="2322"/>
      <c r="CD238" s="2322"/>
      <c r="CE238" s="2322"/>
      <c r="CF238" s="2322"/>
      <c r="CG238" s="2322"/>
      <c r="CH238" s="2322"/>
      <c r="CI238" s="2322"/>
      <c r="CJ238" s="2322"/>
      <c r="CK238" s="2322"/>
      <c r="CL238" s="2322"/>
      <c r="CM238" s="2322"/>
      <c r="CN238" s="2322"/>
      <c r="CO238" s="2322"/>
      <c r="CP238" s="2322"/>
      <c r="CQ238" s="2322"/>
      <c r="CR238" s="2322"/>
      <c r="CS238" s="2322"/>
      <c r="CT238" s="2322"/>
      <c r="CU238" s="2322"/>
      <c r="CV238" s="2322"/>
    </row>
    <row r="239" spans="1:100" ht="15.75" customHeight="1">
      <c r="A239" s="2328"/>
      <c r="B239" s="2322"/>
      <c r="C239" s="2322"/>
      <c r="D239" s="2322"/>
      <c r="E239" s="2322"/>
      <c r="F239" s="2322"/>
      <c r="G239" s="2322"/>
      <c r="H239" s="2322"/>
      <c r="I239" s="2322"/>
      <c r="J239" s="2322"/>
      <c r="K239" s="2322"/>
      <c r="L239" s="2322"/>
      <c r="M239" s="2322"/>
      <c r="N239" s="2322"/>
      <c r="O239" s="2322"/>
      <c r="P239" s="2322"/>
      <c r="Q239" s="2322"/>
      <c r="R239" s="2322"/>
      <c r="S239" s="2322"/>
      <c r="T239" s="2322"/>
      <c r="U239" s="2322"/>
      <c r="V239" s="2322"/>
      <c r="W239" s="2322"/>
      <c r="X239" s="2322"/>
      <c r="Y239" s="2322"/>
      <c r="Z239" s="2322"/>
      <c r="AA239" s="2322"/>
      <c r="AB239" s="2322"/>
      <c r="AC239" s="2322"/>
      <c r="AD239" s="2322"/>
      <c r="AE239" s="2322"/>
      <c r="AF239" s="2322"/>
      <c r="AG239" s="2322"/>
      <c r="AH239" s="2322"/>
      <c r="AI239" s="2322"/>
      <c r="AJ239" s="2322"/>
      <c r="AK239" s="2322"/>
      <c r="AL239" s="2322"/>
      <c r="AM239" s="2322"/>
      <c r="AN239" s="2322"/>
      <c r="AO239" s="2322"/>
      <c r="AP239" s="2322"/>
      <c r="AQ239" s="2322"/>
      <c r="AR239" s="2322"/>
      <c r="AS239" s="2322"/>
      <c r="AT239" s="2322"/>
      <c r="AU239" s="2322"/>
      <c r="AV239" s="2322"/>
      <c r="AW239" s="2322"/>
      <c r="AX239" s="2322"/>
      <c r="AY239" s="2322"/>
      <c r="AZ239" s="2322"/>
      <c r="BA239" s="2322"/>
      <c r="BB239" s="2322"/>
      <c r="BC239" s="2322"/>
      <c r="BD239" s="2322"/>
      <c r="BE239" s="2322"/>
      <c r="BF239" s="2322"/>
      <c r="BG239" s="2322"/>
      <c r="BH239" s="2322"/>
      <c r="BI239" s="2322"/>
      <c r="BJ239" s="2322"/>
      <c r="BK239" s="2322"/>
      <c r="BL239" s="2322"/>
      <c r="BM239" s="2322"/>
      <c r="BN239" s="2322"/>
      <c r="BO239" s="2322"/>
      <c r="BP239" s="2322"/>
      <c r="BQ239" s="2322"/>
      <c r="BR239" s="2322"/>
      <c r="BS239" s="2322"/>
      <c r="BT239" s="2322"/>
      <c r="BU239" s="2322"/>
      <c r="BV239" s="2322"/>
      <c r="BW239" s="2322"/>
      <c r="BX239" s="2322"/>
      <c r="BY239" s="2322"/>
      <c r="BZ239" s="2322"/>
      <c r="CA239" s="2322"/>
      <c r="CB239" s="2322"/>
      <c r="CC239" s="2322"/>
      <c r="CD239" s="2322"/>
      <c r="CE239" s="2322"/>
      <c r="CF239" s="2322"/>
      <c r="CG239" s="2322"/>
      <c r="CH239" s="2322"/>
      <c r="CI239" s="2322"/>
      <c r="CJ239" s="2322"/>
      <c r="CK239" s="2322"/>
      <c r="CL239" s="2322"/>
      <c r="CM239" s="2322"/>
      <c r="CN239" s="2322"/>
      <c r="CO239" s="2322"/>
      <c r="CP239" s="2322"/>
      <c r="CQ239" s="2322"/>
      <c r="CR239" s="2322"/>
      <c r="CS239" s="2322"/>
      <c r="CT239" s="2322"/>
      <c r="CU239" s="2322"/>
      <c r="CV239" s="2322"/>
    </row>
    <row r="240" spans="1:100" ht="15.75" customHeight="1">
      <c r="A240" s="2328"/>
      <c r="B240" s="2322"/>
      <c r="C240" s="2322"/>
      <c r="D240" s="2322"/>
      <c r="E240" s="2322"/>
      <c r="F240" s="2322"/>
      <c r="G240" s="2322"/>
      <c r="H240" s="2322"/>
      <c r="I240" s="2322"/>
      <c r="J240" s="2322"/>
      <c r="K240" s="2322"/>
      <c r="L240" s="2322"/>
      <c r="M240" s="2322"/>
      <c r="N240" s="2322"/>
      <c r="O240" s="2322"/>
      <c r="P240" s="2322"/>
      <c r="Q240" s="2322"/>
      <c r="R240" s="2322"/>
      <c r="S240" s="2322"/>
      <c r="T240" s="2322"/>
      <c r="U240" s="2322"/>
      <c r="V240" s="2322"/>
      <c r="W240" s="2322"/>
      <c r="X240" s="2322"/>
      <c r="Y240" s="2322"/>
      <c r="Z240" s="2322"/>
      <c r="AA240" s="2322"/>
      <c r="AB240" s="2322"/>
      <c r="AC240" s="2322"/>
      <c r="AD240" s="2322"/>
      <c r="AE240" s="2322"/>
      <c r="AF240" s="2322"/>
      <c r="AG240" s="2322"/>
      <c r="AH240" s="2322"/>
      <c r="AI240" s="2322"/>
      <c r="AJ240" s="2322"/>
      <c r="AK240" s="2322"/>
      <c r="AL240" s="2322"/>
      <c r="AM240" s="2322"/>
      <c r="AN240" s="2322"/>
      <c r="AO240" s="2322"/>
      <c r="AP240" s="2322"/>
      <c r="AQ240" s="2322"/>
      <c r="AR240" s="2322"/>
      <c r="AS240" s="2322"/>
      <c r="AT240" s="2322"/>
      <c r="AU240" s="2322"/>
      <c r="AV240" s="2322"/>
      <c r="AW240" s="2322"/>
      <c r="AX240" s="2322"/>
      <c r="AY240" s="2322"/>
      <c r="AZ240" s="2322"/>
      <c r="BA240" s="2322"/>
      <c r="BB240" s="2322"/>
      <c r="BC240" s="2322"/>
      <c r="BD240" s="2322"/>
      <c r="BE240" s="2322"/>
      <c r="BF240" s="2322"/>
      <c r="BG240" s="2322"/>
      <c r="BH240" s="2322"/>
      <c r="BI240" s="2322"/>
      <c r="BJ240" s="2322"/>
      <c r="BK240" s="2322"/>
      <c r="BL240" s="2322"/>
      <c r="BM240" s="2322"/>
      <c r="BN240" s="2322"/>
      <c r="BO240" s="2322"/>
      <c r="BP240" s="2322"/>
      <c r="BQ240" s="2322"/>
      <c r="BR240" s="2322"/>
      <c r="BS240" s="2322"/>
      <c r="BT240" s="2322"/>
      <c r="BU240" s="2322"/>
      <c r="BV240" s="2322"/>
      <c r="BW240" s="2322"/>
      <c r="BX240" s="2322"/>
      <c r="BY240" s="2322"/>
      <c r="BZ240" s="2322"/>
      <c r="CA240" s="2322"/>
      <c r="CB240" s="2322"/>
      <c r="CC240" s="2322"/>
      <c r="CD240" s="2322"/>
      <c r="CE240" s="2322"/>
      <c r="CF240" s="2322"/>
      <c r="CG240" s="2322"/>
      <c r="CH240" s="2322"/>
      <c r="CI240" s="2322"/>
      <c r="CJ240" s="2322"/>
      <c r="CK240" s="2322"/>
      <c r="CL240" s="2322"/>
      <c r="CM240" s="2322"/>
      <c r="CN240" s="2322"/>
      <c r="CO240" s="2322"/>
      <c r="CP240" s="2322"/>
      <c r="CQ240" s="2322"/>
      <c r="CR240" s="2322"/>
      <c r="CS240" s="2322"/>
      <c r="CT240" s="2322"/>
      <c r="CU240" s="2322"/>
      <c r="CV240" s="2322"/>
    </row>
    <row r="241" spans="1:100" ht="15.75" customHeight="1">
      <c r="A241" s="2328"/>
      <c r="B241" s="2322"/>
      <c r="C241" s="2322"/>
      <c r="D241" s="2322"/>
      <c r="E241" s="2322"/>
      <c r="F241" s="2322"/>
      <c r="G241" s="2322"/>
      <c r="H241" s="2322"/>
      <c r="I241" s="2322"/>
      <c r="J241" s="2322"/>
      <c r="K241" s="2322"/>
      <c r="L241" s="2322"/>
      <c r="M241" s="2322"/>
      <c r="N241" s="2322"/>
      <c r="O241" s="2322"/>
      <c r="P241" s="2322"/>
      <c r="Q241" s="2322"/>
      <c r="R241" s="2322"/>
      <c r="S241" s="2322"/>
      <c r="T241" s="2322"/>
      <c r="U241" s="2322"/>
      <c r="V241" s="2322"/>
      <c r="W241" s="2322"/>
      <c r="X241" s="2322"/>
      <c r="Y241" s="2322"/>
      <c r="Z241" s="2322"/>
      <c r="AA241" s="2322"/>
      <c r="AB241" s="2322"/>
      <c r="AC241" s="2322"/>
      <c r="AD241" s="2322"/>
      <c r="AE241" s="2322"/>
      <c r="AF241" s="2322"/>
      <c r="AG241" s="2322"/>
      <c r="AH241" s="2322"/>
      <c r="AI241" s="2322"/>
      <c r="AJ241" s="2322"/>
      <c r="AK241" s="2322"/>
      <c r="AL241" s="2322"/>
      <c r="AM241" s="2322"/>
      <c r="AN241" s="2322"/>
      <c r="AO241" s="2322"/>
      <c r="AP241" s="2322"/>
      <c r="AQ241" s="2322"/>
      <c r="AR241" s="2322"/>
      <c r="AS241" s="2322"/>
      <c r="AT241" s="2322"/>
      <c r="AU241" s="2322"/>
      <c r="AV241" s="2322"/>
      <c r="AW241" s="2322"/>
      <c r="AX241" s="2322"/>
      <c r="AY241" s="2322"/>
      <c r="AZ241" s="2322"/>
      <c r="BA241" s="2322"/>
      <c r="BB241" s="2322"/>
      <c r="BC241" s="2322"/>
      <c r="BD241" s="2322"/>
      <c r="BE241" s="2322"/>
      <c r="BF241" s="2322"/>
      <c r="BG241" s="2322"/>
      <c r="BH241" s="2322"/>
      <c r="BI241" s="2322"/>
      <c r="BJ241" s="2322"/>
      <c r="BK241" s="2322"/>
      <c r="BL241" s="2322"/>
      <c r="BM241" s="2322"/>
      <c r="BN241" s="2322"/>
      <c r="BO241" s="2322"/>
      <c r="BP241" s="2322"/>
      <c r="BQ241" s="2322"/>
      <c r="BR241" s="2322"/>
      <c r="BS241" s="2322"/>
      <c r="BT241" s="2322"/>
      <c r="BU241" s="2322"/>
      <c r="BV241" s="2322"/>
      <c r="BW241" s="2322"/>
      <c r="BX241" s="2322"/>
      <c r="BY241" s="2322"/>
      <c r="BZ241" s="2322"/>
      <c r="CA241" s="2322"/>
      <c r="CB241" s="2322"/>
      <c r="CC241" s="2322"/>
      <c r="CD241" s="2322"/>
      <c r="CE241" s="2322"/>
      <c r="CF241" s="2322"/>
      <c r="CG241" s="2322"/>
      <c r="CH241" s="2322"/>
      <c r="CI241" s="2322"/>
      <c r="CJ241" s="2322"/>
      <c r="CK241" s="2322"/>
      <c r="CL241" s="2322"/>
      <c r="CM241" s="2322"/>
      <c r="CN241" s="2322"/>
      <c r="CO241" s="2322"/>
      <c r="CP241" s="2322"/>
      <c r="CQ241" s="2322"/>
      <c r="CR241" s="2322"/>
      <c r="CS241" s="2322"/>
      <c r="CT241" s="2322"/>
      <c r="CU241" s="2322"/>
      <c r="CV241" s="2322"/>
    </row>
    <row r="242" spans="1:100" ht="15.75" customHeight="1">
      <c r="A242" s="2328"/>
      <c r="B242" s="2322"/>
      <c r="C242" s="2322"/>
      <c r="D242" s="2322"/>
      <c r="E242" s="2322"/>
      <c r="F242" s="2322"/>
      <c r="G242" s="2322"/>
      <c r="H242" s="2322"/>
      <c r="I242" s="2322"/>
      <c r="J242" s="2322"/>
      <c r="K242" s="2322"/>
      <c r="L242" s="2322"/>
      <c r="M242" s="2322"/>
      <c r="N242" s="2322"/>
      <c r="O242" s="2322"/>
      <c r="P242" s="2322"/>
      <c r="Q242" s="2322"/>
      <c r="R242" s="2322"/>
      <c r="S242" s="2322"/>
      <c r="T242" s="2322"/>
      <c r="U242" s="2322"/>
      <c r="V242" s="2322"/>
      <c r="W242" s="2322"/>
      <c r="X242" s="2322"/>
      <c r="Y242" s="2322"/>
      <c r="Z242" s="2322"/>
      <c r="AA242" s="2322"/>
      <c r="AB242" s="2322"/>
      <c r="AC242" s="2322"/>
      <c r="AD242" s="2322"/>
      <c r="AE242" s="2322"/>
      <c r="AF242" s="2322"/>
      <c r="AG242" s="2322"/>
      <c r="AH242" s="2322"/>
      <c r="AI242" s="2322"/>
      <c r="AJ242" s="2322"/>
      <c r="AK242" s="2322"/>
      <c r="AL242" s="2322"/>
      <c r="AM242" s="2322"/>
      <c r="AN242" s="2322"/>
      <c r="AO242" s="2322"/>
      <c r="AP242" s="2322"/>
      <c r="AQ242" s="2322"/>
      <c r="AR242" s="2322"/>
      <c r="AS242" s="2322"/>
      <c r="AT242" s="2322"/>
      <c r="AU242" s="2322"/>
      <c r="AV242" s="2322"/>
      <c r="AW242" s="2322"/>
      <c r="AX242" s="2322"/>
      <c r="AY242" s="2322"/>
      <c r="AZ242" s="2322"/>
      <c r="BA242" s="2322"/>
      <c r="BB242" s="2322"/>
      <c r="BC242" s="2322"/>
      <c r="BD242" s="2322"/>
      <c r="BE242" s="2322"/>
      <c r="BF242" s="2322"/>
      <c r="BG242" s="2322"/>
      <c r="BH242" s="2322"/>
      <c r="BI242" s="2322"/>
      <c r="BJ242" s="2322"/>
      <c r="BK242" s="2322"/>
      <c r="BL242" s="2322"/>
      <c r="BM242" s="2322"/>
      <c r="BN242" s="2322"/>
      <c r="BO242" s="2322"/>
      <c r="BP242" s="2322"/>
      <c r="BQ242" s="2322"/>
      <c r="BR242" s="2322"/>
      <c r="BS242" s="2322"/>
      <c r="BT242" s="2322"/>
      <c r="BU242" s="2322"/>
      <c r="BV242" s="2322"/>
      <c r="BW242" s="2322"/>
      <c r="BX242" s="2322"/>
      <c r="BY242" s="2322"/>
      <c r="BZ242" s="2322"/>
      <c r="CA242" s="2322"/>
      <c r="CB242" s="2322"/>
      <c r="CC242" s="2322"/>
      <c r="CD242" s="2322"/>
      <c r="CE242" s="2322"/>
      <c r="CF242" s="2322"/>
      <c r="CG242" s="2322"/>
      <c r="CH242" s="2322"/>
      <c r="CI242" s="2322"/>
      <c r="CJ242" s="2322"/>
      <c r="CK242" s="2322"/>
      <c r="CL242" s="2322"/>
      <c r="CM242" s="2322"/>
      <c r="CN242" s="2322"/>
      <c r="CO242" s="2322"/>
      <c r="CP242" s="2322"/>
      <c r="CQ242" s="2322"/>
      <c r="CR242" s="2322"/>
      <c r="CS242" s="2322"/>
      <c r="CT242" s="2322"/>
      <c r="CU242" s="2322"/>
      <c r="CV242" s="2322"/>
    </row>
    <row r="243" spans="1:100" ht="15.75" customHeight="1">
      <c r="A243" s="2328"/>
      <c r="B243" s="2322"/>
      <c r="C243" s="2322"/>
      <c r="D243" s="2322"/>
      <c r="E243" s="2322"/>
      <c r="F243" s="2322"/>
      <c r="G243" s="2322"/>
      <c r="H243" s="2322"/>
      <c r="I243" s="2322"/>
      <c r="J243" s="2322"/>
      <c r="K243" s="2322"/>
      <c r="L243" s="2322"/>
      <c r="M243" s="2322"/>
      <c r="N243" s="2322"/>
      <c r="O243" s="2322"/>
      <c r="P243" s="2322"/>
      <c r="Q243" s="2322"/>
      <c r="R243" s="2322"/>
      <c r="S243" s="2322"/>
      <c r="T243" s="2322"/>
      <c r="U243" s="2322"/>
      <c r="V243" s="2322"/>
      <c r="W243" s="2322"/>
      <c r="X243" s="2322"/>
      <c r="Y243" s="2322"/>
      <c r="Z243" s="2322"/>
      <c r="AA243" s="2322"/>
      <c r="AB243" s="2322"/>
      <c r="AC243" s="2322"/>
      <c r="AD243" s="2322"/>
      <c r="AE243" s="2322"/>
      <c r="AF243" s="2322"/>
      <c r="AG243" s="2322"/>
      <c r="AH243" s="2322"/>
      <c r="AI243" s="2322"/>
      <c r="AJ243" s="2322"/>
      <c r="AK243" s="2322"/>
      <c r="AL243" s="2322"/>
      <c r="AM243" s="2322"/>
      <c r="AN243" s="2322"/>
      <c r="AO243" s="2322"/>
      <c r="AP243" s="2322"/>
      <c r="AQ243" s="2322"/>
      <c r="AR243" s="2322"/>
      <c r="AS243" s="2322"/>
      <c r="AT243" s="2322"/>
      <c r="AU243" s="2322"/>
      <c r="AV243" s="2322"/>
      <c r="AW243" s="2322"/>
      <c r="AX243" s="2322"/>
      <c r="AY243" s="2322"/>
      <c r="AZ243" s="2322"/>
      <c r="BA243" s="2322"/>
      <c r="BB243" s="2322"/>
      <c r="BC243" s="2322"/>
      <c r="BD243" s="2322"/>
      <c r="BE243" s="2322"/>
      <c r="BF243" s="2322"/>
      <c r="BG243" s="2322"/>
      <c r="BH243" s="2322"/>
      <c r="BI243" s="2322"/>
      <c r="BJ243" s="2322"/>
      <c r="BK243" s="2322"/>
      <c r="BL243" s="2322"/>
      <c r="BM243" s="2322"/>
      <c r="BN243" s="2322"/>
      <c r="BO243" s="2322"/>
      <c r="BP243" s="2322"/>
      <c r="BQ243" s="2322"/>
      <c r="BR243" s="2322"/>
      <c r="BS243" s="2322"/>
      <c r="BT243" s="2322"/>
      <c r="BU243" s="2322"/>
      <c r="BV243" s="2322"/>
      <c r="BW243" s="2322"/>
      <c r="BX243" s="2322"/>
      <c r="BY243" s="2322"/>
      <c r="BZ243" s="2322"/>
      <c r="CA243" s="2322"/>
      <c r="CB243" s="2322"/>
      <c r="CC243" s="2322"/>
      <c r="CD243" s="2322"/>
      <c r="CE243" s="2322"/>
      <c r="CF243" s="2322"/>
      <c r="CG243" s="2322"/>
      <c r="CH243" s="2322"/>
      <c r="CI243" s="2322"/>
      <c r="CJ243" s="2322"/>
      <c r="CK243" s="2322"/>
      <c r="CL243" s="2322"/>
      <c r="CM243" s="2322"/>
      <c r="CN243" s="2322"/>
      <c r="CO243" s="2322"/>
      <c r="CP243" s="2322"/>
      <c r="CQ243" s="2322"/>
      <c r="CR243" s="2322"/>
      <c r="CS243" s="2322"/>
      <c r="CT243" s="2322"/>
      <c r="CU243" s="2322"/>
      <c r="CV243" s="2322"/>
    </row>
    <row r="244" spans="1:100" ht="15.75" customHeight="1">
      <c r="A244" s="2328"/>
      <c r="B244" s="2322"/>
      <c r="C244" s="2322"/>
      <c r="D244" s="2322"/>
      <c r="E244" s="2322"/>
      <c r="F244" s="2322"/>
      <c r="G244" s="2322"/>
      <c r="H244" s="2322"/>
      <c r="I244" s="2322"/>
      <c r="J244" s="2322"/>
      <c r="K244" s="2322"/>
      <c r="L244" s="2322"/>
      <c r="M244" s="2322"/>
      <c r="N244" s="2322"/>
      <c r="O244" s="2322"/>
      <c r="P244" s="2322"/>
      <c r="Q244" s="2322"/>
      <c r="R244" s="2322"/>
      <c r="S244" s="2322"/>
      <c r="T244" s="2322"/>
      <c r="U244" s="2322"/>
      <c r="V244" s="2322"/>
      <c r="W244" s="2322"/>
      <c r="X244" s="2322"/>
      <c r="Y244" s="2322"/>
      <c r="Z244" s="2322"/>
      <c r="AA244" s="2322"/>
      <c r="AB244" s="2322"/>
      <c r="AC244" s="2322"/>
      <c r="AD244" s="2322"/>
      <c r="AE244" s="2322"/>
      <c r="AF244" s="2322"/>
      <c r="AG244" s="2322"/>
      <c r="AH244" s="2322"/>
      <c r="AI244" s="2322"/>
      <c r="AJ244" s="2322"/>
      <c r="AK244" s="2322"/>
      <c r="AL244" s="2322"/>
      <c r="AM244" s="2322"/>
      <c r="AN244" s="2322"/>
      <c r="AO244" s="2322"/>
      <c r="AP244" s="2322"/>
      <c r="AQ244" s="2322"/>
      <c r="AR244" s="2322"/>
      <c r="AS244" s="2322"/>
      <c r="AT244" s="2322"/>
      <c r="AU244" s="2322"/>
      <c r="AV244" s="2322"/>
      <c r="AW244" s="2322"/>
      <c r="AX244" s="2322"/>
      <c r="AY244" s="2322"/>
      <c r="AZ244" s="2322"/>
      <c r="BA244" s="2322"/>
      <c r="BB244" s="2322"/>
      <c r="BC244" s="2322"/>
      <c r="BD244" s="2322"/>
      <c r="BE244" s="2322"/>
      <c r="BF244" s="2322"/>
      <c r="BG244" s="2322"/>
      <c r="BH244" s="2322"/>
      <c r="BI244" s="2322"/>
      <c r="BJ244" s="2322"/>
      <c r="BK244" s="2322"/>
      <c r="BL244" s="2322"/>
      <c r="BM244" s="2322"/>
      <c r="BN244" s="2322"/>
      <c r="BO244" s="2322"/>
      <c r="BP244" s="2322"/>
      <c r="BQ244" s="2322"/>
      <c r="BR244" s="2322"/>
      <c r="BS244" s="2322"/>
      <c r="BT244" s="2322"/>
      <c r="BU244" s="2322"/>
      <c r="BV244" s="2322"/>
      <c r="BW244" s="2322"/>
      <c r="BX244" s="2322"/>
      <c r="BY244" s="2322"/>
      <c r="BZ244" s="2322"/>
      <c r="CA244" s="2322"/>
      <c r="CB244" s="2322"/>
      <c r="CC244" s="2322"/>
      <c r="CD244" s="2322"/>
      <c r="CE244" s="2322"/>
      <c r="CF244" s="2322"/>
      <c r="CG244" s="2322"/>
      <c r="CH244" s="2322"/>
      <c r="CI244" s="2322"/>
      <c r="CJ244" s="2322"/>
      <c r="CK244" s="2322"/>
      <c r="CL244" s="2322"/>
      <c r="CM244" s="2322"/>
      <c r="CN244" s="2322"/>
      <c r="CO244" s="2322"/>
      <c r="CP244" s="2322"/>
      <c r="CQ244" s="2322"/>
      <c r="CR244" s="2322"/>
      <c r="CS244" s="2322"/>
      <c r="CT244" s="2322"/>
      <c r="CU244" s="2322"/>
      <c r="CV244" s="2322"/>
    </row>
    <row r="245" spans="1:100" ht="15.75" customHeight="1">
      <c r="A245" s="2328"/>
      <c r="B245" s="2322"/>
      <c r="C245" s="2322"/>
      <c r="D245" s="2322"/>
      <c r="E245" s="2322"/>
      <c r="F245" s="2322"/>
      <c r="G245" s="2322"/>
      <c r="H245" s="2322"/>
      <c r="I245" s="2322"/>
      <c r="J245" s="2322"/>
      <c r="K245" s="2322"/>
      <c r="L245" s="2322"/>
      <c r="M245" s="2322"/>
      <c r="N245" s="2322"/>
      <c r="O245" s="2322"/>
      <c r="P245" s="2322"/>
      <c r="Q245" s="2322"/>
      <c r="R245" s="2322"/>
      <c r="S245" s="2322"/>
      <c r="T245" s="2322"/>
      <c r="U245" s="2322"/>
      <c r="V245" s="2322"/>
      <c r="W245" s="2322"/>
      <c r="X245" s="2322"/>
      <c r="Y245" s="2322"/>
      <c r="Z245" s="2322"/>
      <c r="AA245" s="2322"/>
      <c r="AB245" s="2322"/>
      <c r="AC245" s="2322"/>
      <c r="AD245" s="2322"/>
      <c r="AE245" s="2322"/>
      <c r="AF245" s="2322"/>
      <c r="AG245" s="2322"/>
      <c r="AH245" s="2322"/>
      <c r="AI245" s="2322"/>
      <c r="AJ245" s="2322"/>
      <c r="AK245" s="2322"/>
      <c r="AL245" s="2322"/>
      <c r="AM245" s="2322"/>
      <c r="AN245" s="2322"/>
      <c r="AO245" s="2322"/>
      <c r="AP245" s="2322"/>
      <c r="AQ245" s="2322"/>
      <c r="AR245" s="2322"/>
      <c r="AS245" s="2322"/>
      <c r="AT245" s="2322"/>
      <c r="AU245" s="2322"/>
      <c r="AV245" s="2322"/>
      <c r="AW245" s="2322"/>
      <c r="AX245" s="2322"/>
      <c r="AY245" s="2322"/>
      <c r="AZ245" s="2322"/>
      <c r="BA245" s="2322"/>
      <c r="BB245" s="2322"/>
      <c r="BC245" s="2322"/>
      <c r="BD245" s="2322"/>
      <c r="BE245" s="2322"/>
      <c r="BF245" s="2322"/>
      <c r="BG245" s="2322"/>
      <c r="BH245" s="2322"/>
      <c r="BI245" s="2322"/>
      <c r="BJ245" s="2322"/>
      <c r="BK245" s="2322"/>
      <c r="BL245" s="2322"/>
      <c r="BM245" s="2322"/>
      <c r="BN245" s="2322"/>
      <c r="BO245" s="2322"/>
      <c r="BP245" s="2322"/>
      <c r="BQ245" s="2322"/>
      <c r="BR245" s="2322"/>
      <c r="BS245" s="2322"/>
      <c r="BT245" s="2322"/>
      <c r="BU245" s="2322"/>
      <c r="BV245" s="2322"/>
      <c r="BW245" s="2322"/>
      <c r="BX245" s="2322"/>
      <c r="BY245" s="2322"/>
      <c r="BZ245" s="2322"/>
      <c r="CA245" s="2322"/>
      <c r="CB245" s="2322"/>
      <c r="CC245" s="2322"/>
      <c r="CD245" s="2322"/>
      <c r="CE245" s="2322"/>
      <c r="CF245" s="2322"/>
      <c r="CG245" s="2322"/>
      <c r="CH245" s="2322"/>
      <c r="CI245" s="2322"/>
      <c r="CJ245" s="2322"/>
      <c r="CK245" s="2322"/>
      <c r="CL245" s="2322"/>
      <c r="CM245" s="2322"/>
      <c r="CN245" s="2322"/>
      <c r="CO245" s="2322"/>
      <c r="CP245" s="2322"/>
      <c r="CQ245" s="2322"/>
      <c r="CR245" s="2322"/>
      <c r="CS245" s="2322"/>
      <c r="CT245" s="2322"/>
      <c r="CU245" s="2322"/>
      <c r="CV245" s="2322"/>
    </row>
    <row r="246" spans="1:100" ht="15.75" customHeight="1">
      <c r="A246" s="2328"/>
      <c r="B246" s="2322"/>
      <c r="C246" s="2322"/>
      <c r="D246" s="2322"/>
      <c r="E246" s="2322"/>
      <c r="F246" s="2322"/>
      <c r="G246" s="2322"/>
      <c r="H246" s="2322"/>
      <c r="I246" s="2322"/>
      <c r="J246" s="2322"/>
      <c r="K246" s="2322"/>
      <c r="L246" s="2322"/>
      <c r="M246" s="2322"/>
      <c r="N246" s="2322"/>
      <c r="O246" s="2322"/>
      <c r="P246" s="2322"/>
      <c r="Q246" s="2322"/>
      <c r="R246" s="2322"/>
      <c r="S246" s="2322"/>
      <c r="T246" s="2322"/>
      <c r="U246" s="2322"/>
      <c r="V246" s="2322"/>
      <c r="W246" s="2322"/>
      <c r="X246" s="2322"/>
      <c r="Y246" s="2322"/>
      <c r="Z246" s="2322"/>
      <c r="AA246" s="2322"/>
      <c r="AB246" s="2322"/>
      <c r="AC246" s="2322"/>
      <c r="AD246" s="2322"/>
      <c r="AE246" s="2322"/>
      <c r="AF246" s="2322"/>
      <c r="AG246" s="2322"/>
      <c r="AH246" s="2322"/>
      <c r="AI246" s="2322"/>
      <c r="AJ246" s="2322"/>
      <c r="AK246" s="2322"/>
      <c r="AL246" s="2322"/>
      <c r="AM246" s="2322"/>
      <c r="AN246" s="2322"/>
      <c r="AO246" s="2322"/>
      <c r="AP246" s="2322"/>
      <c r="AQ246" s="2322"/>
      <c r="AR246" s="2322"/>
      <c r="AS246" s="2322"/>
      <c r="AT246" s="2322"/>
      <c r="AU246" s="2322"/>
      <c r="AV246" s="2322"/>
      <c r="AW246" s="2322"/>
      <c r="AX246" s="2322"/>
      <c r="AY246" s="2322"/>
      <c r="AZ246" s="2322"/>
      <c r="BA246" s="2322"/>
      <c r="BB246" s="2322"/>
      <c r="BC246" s="2322"/>
      <c r="BD246" s="2322"/>
      <c r="BE246" s="2322"/>
      <c r="BF246" s="2322"/>
      <c r="BG246" s="2322"/>
      <c r="BH246" s="2322"/>
      <c r="BI246" s="2322"/>
      <c r="BJ246" s="2322"/>
      <c r="BK246" s="2322"/>
      <c r="BL246" s="2322"/>
      <c r="BM246" s="2322"/>
      <c r="BN246" s="2322"/>
      <c r="BO246" s="2322"/>
      <c r="BP246" s="2322"/>
      <c r="BQ246" s="2322"/>
      <c r="BR246" s="2322"/>
      <c r="BS246" s="2322"/>
      <c r="BT246" s="2322"/>
      <c r="BU246" s="2322"/>
      <c r="BV246" s="2322"/>
      <c r="BW246" s="2322"/>
      <c r="BX246" s="2322"/>
      <c r="BY246" s="2322"/>
      <c r="BZ246" s="2322"/>
      <c r="CA246" s="2322"/>
      <c r="CB246" s="2322"/>
      <c r="CC246" s="2322"/>
      <c r="CD246" s="2322"/>
      <c r="CE246" s="2322"/>
      <c r="CF246" s="2322"/>
      <c r="CG246" s="2322"/>
      <c r="CH246" s="2322"/>
      <c r="CI246" s="2322"/>
      <c r="CJ246" s="2322"/>
      <c r="CK246" s="2322"/>
      <c r="CL246" s="2322"/>
      <c r="CM246" s="2322"/>
      <c r="CN246" s="2322"/>
      <c r="CO246" s="2322"/>
      <c r="CP246" s="2322"/>
      <c r="CQ246" s="2322"/>
      <c r="CR246" s="2322"/>
      <c r="CS246" s="2322"/>
      <c r="CT246" s="2322"/>
      <c r="CU246" s="2322"/>
      <c r="CV246" s="2322"/>
    </row>
    <row r="247" spans="1:100" ht="15.75" customHeight="1">
      <c r="A247" s="2328"/>
      <c r="B247" s="2322"/>
      <c r="C247" s="2322"/>
      <c r="D247" s="2322"/>
      <c r="E247" s="2322"/>
      <c r="F247" s="2322"/>
      <c r="G247" s="2322"/>
      <c r="H247" s="2322"/>
      <c r="I247" s="2322"/>
      <c r="J247" s="2322"/>
      <c r="K247" s="2322"/>
      <c r="L247" s="2322"/>
      <c r="M247" s="2322"/>
      <c r="N247" s="2322"/>
      <c r="O247" s="2322"/>
      <c r="P247" s="2322"/>
      <c r="Q247" s="2322"/>
      <c r="R247" s="2322"/>
      <c r="S247" s="2322"/>
      <c r="T247" s="2322"/>
      <c r="U247" s="2322"/>
      <c r="V247" s="2322"/>
      <c r="W247" s="2322"/>
      <c r="X247" s="2322"/>
      <c r="Y247" s="2322"/>
      <c r="Z247" s="2322"/>
      <c r="AA247" s="2322"/>
      <c r="AB247" s="2322"/>
      <c r="AC247" s="2322"/>
      <c r="AD247" s="2322"/>
      <c r="AE247" s="2322"/>
      <c r="AF247" s="2322"/>
      <c r="AG247" s="2322"/>
      <c r="AH247" s="2322"/>
      <c r="AI247" s="2322"/>
      <c r="AJ247" s="2322"/>
      <c r="AK247" s="2322"/>
      <c r="AL247" s="2322"/>
      <c r="AM247" s="2322"/>
      <c r="AN247" s="2322"/>
      <c r="AO247" s="2322"/>
      <c r="AP247" s="2322"/>
      <c r="AQ247" s="2322"/>
      <c r="AR247" s="2322"/>
      <c r="AS247" s="2322"/>
      <c r="AT247" s="2322"/>
      <c r="AU247" s="2322"/>
      <c r="AV247" s="2322"/>
      <c r="AW247" s="2322"/>
      <c r="AX247" s="2322"/>
      <c r="AY247" s="2322"/>
      <c r="AZ247" s="2322"/>
      <c r="BA247" s="2322"/>
      <c r="BB247" s="2322"/>
      <c r="BC247" s="2322"/>
      <c r="BD247" s="2322"/>
      <c r="BE247" s="2322"/>
      <c r="BF247" s="2322"/>
      <c r="BG247" s="2322"/>
      <c r="BH247" s="2322"/>
      <c r="BI247" s="2322"/>
      <c r="BJ247" s="2322"/>
      <c r="BK247" s="2322"/>
      <c r="BL247" s="2322"/>
      <c r="BM247" s="2322"/>
      <c r="BN247" s="2322"/>
      <c r="BO247" s="2322"/>
      <c r="BP247" s="2322"/>
      <c r="BQ247" s="2322"/>
      <c r="BR247" s="2322"/>
      <c r="BS247" s="2322"/>
      <c r="BT247" s="2322"/>
      <c r="BU247" s="2322"/>
      <c r="BV247" s="2322"/>
      <c r="BW247" s="2322"/>
      <c r="BX247" s="2322"/>
      <c r="BY247" s="2322"/>
      <c r="BZ247" s="2322"/>
      <c r="CA247" s="2322"/>
      <c r="CB247" s="2322"/>
      <c r="CC247" s="2322"/>
      <c r="CD247" s="2322"/>
      <c r="CE247" s="2322"/>
      <c r="CF247" s="2322"/>
      <c r="CG247" s="2322"/>
      <c r="CH247" s="2322"/>
      <c r="CI247" s="2322"/>
      <c r="CJ247" s="2322"/>
      <c r="CK247" s="2322"/>
      <c r="CL247" s="2322"/>
      <c r="CM247" s="2322"/>
      <c r="CN247" s="2322"/>
      <c r="CO247" s="2322"/>
      <c r="CP247" s="2322"/>
      <c r="CQ247" s="2322"/>
      <c r="CR247" s="2322"/>
      <c r="CS247" s="2322"/>
      <c r="CT247" s="2322"/>
      <c r="CU247" s="2322"/>
      <c r="CV247" s="2322"/>
    </row>
    <row r="248" spans="1:100" ht="15.75" customHeight="1">
      <c r="A248" s="2328"/>
      <c r="B248" s="2322"/>
      <c r="C248" s="2322"/>
      <c r="D248" s="2322"/>
      <c r="E248" s="2322"/>
      <c r="F248" s="2322"/>
      <c r="G248" s="2322"/>
      <c r="H248" s="2322"/>
      <c r="I248" s="2322"/>
      <c r="J248" s="2322"/>
      <c r="K248" s="2322"/>
      <c r="L248" s="2322"/>
      <c r="M248" s="2322"/>
      <c r="N248" s="2322"/>
      <c r="O248" s="2322"/>
      <c r="P248" s="2322"/>
      <c r="Q248" s="2322"/>
      <c r="R248" s="2322"/>
      <c r="S248" s="2322"/>
      <c r="T248" s="2322"/>
      <c r="U248" s="2322"/>
      <c r="V248" s="2322"/>
      <c r="W248" s="2322"/>
      <c r="X248" s="2322"/>
      <c r="Y248" s="2322"/>
      <c r="Z248" s="2322"/>
      <c r="AA248" s="2322"/>
      <c r="AB248" s="2322"/>
      <c r="AC248" s="2322"/>
      <c r="AD248" s="2322"/>
      <c r="AE248" s="2322"/>
      <c r="AF248" s="2322"/>
      <c r="AG248" s="2322"/>
      <c r="AH248" s="2322"/>
      <c r="AI248" s="2322"/>
      <c r="AJ248" s="2322"/>
      <c r="AK248" s="2322"/>
      <c r="AL248" s="2322"/>
      <c r="AM248" s="2322"/>
      <c r="AN248" s="2322"/>
      <c r="AO248" s="2322"/>
      <c r="AP248" s="2322"/>
      <c r="AQ248" s="2322"/>
      <c r="AR248" s="2322"/>
      <c r="AS248" s="2322"/>
      <c r="AT248" s="2322"/>
      <c r="AU248" s="2322"/>
      <c r="AV248" s="2322"/>
      <c r="AW248" s="2322"/>
      <c r="AX248" s="2322"/>
      <c r="AY248" s="2322"/>
      <c r="AZ248" s="2322"/>
      <c r="BA248" s="2322"/>
      <c r="BB248" s="2322"/>
      <c r="BC248" s="2322"/>
      <c r="BD248" s="2322"/>
      <c r="BE248" s="2322"/>
      <c r="BF248" s="2322"/>
      <c r="BG248" s="2322"/>
      <c r="BH248" s="2322"/>
      <c r="BI248" s="2322"/>
      <c r="BJ248" s="2322"/>
      <c r="BK248" s="2322"/>
      <c r="BL248" s="2322"/>
      <c r="BM248" s="2322"/>
      <c r="BN248" s="2322"/>
      <c r="BO248" s="2322"/>
      <c r="BP248" s="2322"/>
      <c r="BQ248" s="2322"/>
      <c r="BR248" s="2322"/>
      <c r="BS248" s="2322"/>
      <c r="BT248" s="2322"/>
      <c r="BU248" s="2322"/>
      <c r="BV248" s="2322"/>
      <c r="BW248" s="2322"/>
      <c r="BX248" s="2322"/>
      <c r="BY248" s="2322"/>
      <c r="BZ248" s="2322"/>
      <c r="CA248" s="2322"/>
      <c r="CB248" s="2322"/>
      <c r="CC248" s="2322"/>
      <c r="CD248" s="2322"/>
      <c r="CE248" s="2322"/>
      <c r="CF248" s="2322"/>
      <c r="CG248" s="2322"/>
      <c r="CH248" s="2322"/>
      <c r="CI248" s="2322"/>
      <c r="CJ248" s="2322"/>
      <c r="CK248" s="2322"/>
      <c r="CL248" s="2322"/>
      <c r="CM248" s="2322"/>
      <c r="CN248" s="2322"/>
      <c r="CO248" s="2322"/>
      <c r="CP248" s="2322"/>
      <c r="CQ248" s="2322"/>
      <c r="CR248" s="2322"/>
      <c r="CS248" s="2322"/>
      <c r="CT248" s="2322"/>
      <c r="CU248" s="2322"/>
      <c r="CV248" s="2322"/>
    </row>
    <row r="249" spans="1:100" ht="15.75" customHeight="1">
      <c r="A249" s="2328"/>
      <c r="B249" s="2322"/>
      <c r="C249" s="2322"/>
      <c r="D249" s="2322"/>
      <c r="E249" s="2322"/>
      <c r="F249" s="2322"/>
      <c r="G249" s="2322"/>
      <c r="H249" s="2322"/>
      <c r="I249" s="2322"/>
      <c r="J249" s="2322"/>
      <c r="K249" s="2322"/>
      <c r="L249" s="2322"/>
      <c r="M249" s="2322"/>
      <c r="N249" s="2322"/>
      <c r="O249" s="2322"/>
      <c r="P249" s="2322"/>
      <c r="Q249" s="2322"/>
      <c r="R249" s="2322"/>
      <c r="S249" s="2322"/>
      <c r="T249" s="2322"/>
      <c r="U249" s="2322"/>
      <c r="V249" s="2322"/>
      <c r="W249" s="2322"/>
      <c r="X249" s="2322"/>
      <c r="Y249" s="2322"/>
      <c r="Z249" s="2322"/>
      <c r="AA249" s="2322"/>
      <c r="AB249" s="2322"/>
      <c r="AC249" s="2322"/>
      <c r="AD249" s="2322"/>
      <c r="AE249" s="2322"/>
      <c r="AF249" s="2322"/>
      <c r="AG249" s="2322"/>
      <c r="AH249" s="2322"/>
      <c r="AI249" s="2322"/>
      <c r="AJ249" s="2322"/>
      <c r="AK249" s="2322"/>
      <c r="AL249" s="2322"/>
      <c r="AM249" s="2322"/>
      <c r="AN249" s="2322"/>
      <c r="AO249" s="2322"/>
      <c r="AP249" s="2322"/>
      <c r="AQ249" s="2322"/>
      <c r="AR249" s="2322"/>
      <c r="AS249" s="2322"/>
      <c r="AT249" s="2322"/>
      <c r="AU249" s="2322"/>
      <c r="AV249" s="2322"/>
      <c r="AW249" s="2322"/>
      <c r="AX249" s="2322"/>
      <c r="AY249" s="2322"/>
      <c r="AZ249" s="2322"/>
      <c r="BA249" s="2322"/>
      <c r="BB249" s="2322"/>
      <c r="BC249" s="2322"/>
      <c r="BD249" s="2322"/>
      <c r="BE249" s="2322"/>
      <c r="BF249" s="2322"/>
      <c r="BG249" s="2322"/>
      <c r="BH249" s="2322"/>
      <c r="BI249" s="2322"/>
      <c r="BJ249" s="2322"/>
      <c r="BK249" s="2322"/>
      <c r="BL249" s="2322"/>
      <c r="BM249" s="2322"/>
      <c r="BN249" s="2322"/>
      <c r="BO249" s="2322"/>
      <c r="BP249" s="2322"/>
      <c r="BQ249" s="2322"/>
      <c r="BR249" s="2322"/>
      <c r="BS249" s="2322"/>
      <c r="BT249" s="2322"/>
      <c r="BU249" s="2322"/>
      <c r="BV249" s="2322"/>
      <c r="BW249" s="2322"/>
      <c r="BX249" s="2322"/>
      <c r="BY249" s="2322"/>
      <c r="BZ249" s="2322"/>
      <c r="CA249" s="2322"/>
      <c r="CB249" s="2322"/>
      <c r="CC249" s="2322"/>
      <c r="CD249" s="2322"/>
      <c r="CE249" s="2322"/>
      <c r="CF249" s="2322"/>
      <c r="CG249" s="2322"/>
      <c r="CH249" s="2322"/>
      <c r="CI249" s="2322"/>
      <c r="CJ249" s="2322"/>
      <c r="CK249" s="2322"/>
      <c r="CL249" s="2322"/>
      <c r="CM249" s="2322"/>
      <c r="CN249" s="2322"/>
      <c r="CO249" s="2322"/>
      <c r="CP249" s="2322"/>
      <c r="CQ249" s="2322"/>
      <c r="CR249" s="2322"/>
      <c r="CS249" s="2322"/>
      <c r="CT249" s="2322"/>
      <c r="CU249" s="2322"/>
      <c r="CV249" s="2322"/>
    </row>
    <row r="250" spans="1:100" ht="15.75" customHeight="1">
      <c r="A250" s="2328"/>
      <c r="B250" s="2322"/>
      <c r="C250" s="2322"/>
      <c r="D250" s="2322"/>
      <c r="E250" s="2322"/>
      <c r="F250" s="2322"/>
      <c r="G250" s="2322"/>
      <c r="H250" s="2322"/>
      <c r="I250" s="2322"/>
      <c r="J250" s="2322"/>
      <c r="K250" s="2322"/>
      <c r="L250" s="2322"/>
      <c r="M250" s="2322"/>
      <c r="N250" s="2322"/>
      <c r="O250" s="2322"/>
      <c r="P250" s="2322"/>
      <c r="Q250" s="2322"/>
      <c r="R250" s="2322"/>
      <c r="S250" s="2322"/>
      <c r="T250" s="2322"/>
      <c r="U250" s="2322"/>
      <c r="V250" s="2322"/>
      <c r="W250" s="2322"/>
      <c r="X250" s="2322"/>
      <c r="Y250" s="2322"/>
      <c r="Z250" s="2322"/>
      <c r="AA250" s="2322"/>
      <c r="AB250" s="2322"/>
      <c r="AC250" s="2322"/>
      <c r="AD250" s="2322"/>
      <c r="AE250" s="2322"/>
      <c r="AF250" s="2322"/>
      <c r="AG250" s="2322"/>
      <c r="AH250" s="2322"/>
      <c r="AI250" s="2322"/>
      <c r="AJ250" s="2322"/>
      <c r="AK250" s="2322"/>
      <c r="AL250" s="2322"/>
      <c r="AM250" s="2322"/>
      <c r="AN250" s="2322"/>
      <c r="AO250" s="2322"/>
      <c r="AP250" s="2322"/>
      <c r="AQ250" s="2322"/>
      <c r="AR250" s="2322"/>
      <c r="AS250" s="2322"/>
      <c r="AT250" s="2322"/>
      <c r="AU250" s="2322"/>
      <c r="AV250" s="2322"/>
      <c r="AW250" s="2322"/>
      <c r="AX250" s="2322"/>
      <c r="AY250" s="2322"/>
      <c r="AZ250" s="2322"/>
      <c r="BA250" s="2322"/>
      <c r="BB250" s="2322"/>
      <c r="BC250" s="2322"/>
      <c r="BD250" s="2322"/>
      <c r="BE250" s="2322"/>
      <c r="BF250" s="2322"/>
      <c r="BG250" s="2322"/>
      <c r="BH250" s="2322"/>
      <c r="BI250" s="2322"/>
      <c r="BJ250" s="2322"/>
      <c r="BK250" s="2322"/>
      <c r="BL250" s="2322"/>
      <c r="BM250" s="2322"/>
      <c r="BN250" s="2322"/>
      <c r="BO250" s="2322"/>
      <c r="BP250" s="2322"/>
      <c r="BQ250" s="2322"/>
      <c r="BR250" s="2322"/>
      <c r="BS250" s="2322"/>
      <c r="BT250" s="2322"/>
      <c r="BU250" s="2322"/>
      <c r="BV250" s="2322"/>
      <c r="BW250" s="2322"/>
      <c r="BX250" s="2322"/>
      <c r="BY250" s="2322"/>
      <c r="BZ250" s="2322"/>
      <c r="CA250" s="2322"/>
      <c r="CB250" s="2322"/>
      <c r="CC250" s="2322"/>
      <c r="CD250" s="2322"/>
      <c r="CE250" s="2322"/>
      <c r="CF250" s="2322"/>
      <c r="CG250" s="2322"/>
      <c r="CH250" s="2322"/>
      <c r="CI250" s="2322"/>
      <c r="CJ250" s="2322"/>
      <c r="CK250" s="2322"/>
      <c r="CL250" s="2322"/>
      <c r="CM250" s="2322"/>
      <c r="CN250" s="2322"/>
      <c r="CO250" s="2322"/>
      <c r="CP250" s="2322"/>
      <c r="CQ250" s="2322"/>
      <c r="CR250" s="2322"/>
      <c r="CS250" s="2322"/>
      <c r="CT250" s="2322"/>
      <c r="CU250" s="2322"/>
      <c r="CV250" s="2322"/>
    </row>
    <row r="251" spans="1:100" ht="15.75" customHeight="1">
      <c r="A251" s="2328"/>
      <c r="B251" s="2322"/>
      <c r="C251" s="2322"/>
      <c r="D251" s="2322"/>
      <c r="E251" s="2322"/>
      <c r="F251" s="2322"/>
      <c r="G251" s="2322"/>
      <c r="H251" s="2322"/>
      <c r="I251" s="2322"/>
      <c r="J251" s="2322"/>
      <c r="K251" s="2322"/>
      <c r="L251" s="2322"/>
      <c r="M251" s="2322"/>
      <c r="N251" s="2322"/>
      <c r="O251" s="2322"/>
      <c r="P251" s="2322"/>
      <c r="Q251" s="2322"/>
      <c r="R251" s="2322"/>
      <c r="S251" s="2322"/>
      <c r="T251" s="2322"/>
      <c r="U251" s="2322"/>
      <c r="V251" s="2322"/>
      <c r="W251" s="2322"/>
      <c r="X251" s="2322"/>
      <c r="Y251" s="2322"/>
      <c r="Z251" s="2322"/>
      <c r="AA251" s="2322"/>
      <c r="AB251" s="2322"/>
      <c r="AC251" s="2322"/>
      <c r="AD251" s="2322"/>
      <c r="AE251" s="2322"/>
      <c r="AF251" s="2322"/>
      <c r="AG251" s="2322"/>
      <c r="AH251" s="2322"/>
      <c r="AI251" s="2322"/>
      <c r="AJ251" s="2322"/>
      <c r="AK251" s="2322"/>
      <c r="AL251" s="2322"/>
      <c r="AM251" s="2322"/>
      <c r="AN251" s="2322"/>
      <c r="AO251" s="2322"/>
      <c r="AP251" s="2322"/>
      <c r="AQ251" s="2322"/>
      <c r="AR251" s="2322"/>
      <c r="AS251" s="2322"/>
      <c r="AT251" s="2322"/>
      <c r="AU251" s="2322"/>
      <c r="AV251" s="2322"/>
      <c r="AW251" s="2322"/>
      <c r="AX251" s="2322"/>
      <c r="AY251" s="2322"/>
      <c r="AZ251" s="2322"/>
      <c r="BA251" s="2322"/>
      <c r="BB251" s="2322"/>
      <c r="BC251" s="2322"/>
      <c r="BD251" s="2322"/>
      <c r="BE251" s="2322"/>
      <c r="BF251" s="2322"/>
      <c r="BG251" s="2322"/>
      <c r="BH251" s="2322"/>
      <c r="BI251" s="2322"/>
      <c r="BJ251" s="2322"/>
      <c r="BK251" s="2322"/>
      <c r="BL251" s="2322"/>
      <c r="BM251" s="2322"/>
      <c r="BN251" s="2322"/>
      <c r="BO251" s="2322"/>
      <c r="BP251" s="2322"/>
      <c r="BQ251" s="2322"/>
      <c r="BR251" s="2322"/>
      <c r="BS251" s="2322"/>
      <c r="BT251" s="2322"/>
      <c r="BU251" s="2322"/>
      <c r="BV251" s="2322"/>
      <c r="BW251" s="2322"/>
      <c r="BX251" s="2322"/>
      <c r="BY251" s="2322"/>
      <c r="BZ251" s="2322"/>
      <c r="CA251" s="2322"/>
      <c r="CB251" s="2322"/>
      <c r="CC251" s="2322"/>
      <c r="CD251" s="2322"/>
      <c r="CE251" s="2322"/>
      <c r="CF251" s="2322"/>
      <c r="CG251" s="2322"/>
      <c r="CH251" s="2322"/>
      <c r="CI251" s="2322"/>
      <c r="CJ251" s="2322"/>
      <c r="CK251" s="2322"/>
      <c r="CL251" s="2322"/>
      <c r="CM251" s="2322"/>
      <c r="CN251" s="2322"/>
      <c r="CO251" s="2322"/>
      <c r="CP251" s="2322"/>
      <c r="CQ251" s="2322"/>
      <c r="CR251" s="2322"/>
      <c r="CS251" s="2322"/>
      <c r="CT251" s="2322"/>
      <c r="CU251" s="2322"/>
      <c r="CV251" s="2322"/>
    </row>
    <row r="252" spans="1:100" ht="15.75" customHeight="1">
      <c r="A252" s="2328"/>
      <c r="B252" s="2322"/>
      <c r="C252" s="2322"/>
      <c r="D252" s="2322"/>
      <c r="E252" s="2322"/>
      <c r="F252" s="2322"/>
      <c r="G252" s="2322"/>
      <c r="H252" s="2322"/>
      <c r="I252" s="2322"/>
      <c r="J252" s="2322"/>
      <c r="K252" s="2322"/>
      <c r="L252" s="2322"/>
      <c r="M252" s="2322"/>
      <c r="N252" s="2322"/>
      <c r="O252" s="2322"/>
      <c r="P252" s="2322"/>
      <c r="Q252" s="2322"/>
      <c r="R252" s="2322"/>
      <c r="S252" s="2322"/>
      <c r="T252" s="2322"/>
      <c r="U252" s="2322"/>
      <c r="V252" s="2322"/>
      <c r="W252" s="2322"/>
      <c r="X252" s="2322"/>
      <c r="Y252" s="2322"/>
      <c r="Z252" s="2322"/>
      <c r="AA252" s="2322"/>
      <c r="AB252" s="2322"/>
      <c r="AC252" s="2322"/>
      <c r="AD252" s="2322"/>
      <c r="AE252" s="2322"/>
      <c r="AF252" s="2322"/>
      <c r="AG252" s="2322"/>
      <c r="AH252" s="2322"/>
      <c r="AI252" s="2322"/>
      <c r="AJ252" s="2322"/>
      <c r="AK252" s="2322"/>
      <c r="AL252" s="2322"/>
      <c r="AM252" s="2322"/>
      <c r="AN252" s="2322"/>
      <c r="AO252" s="2322"/>
      <c r="AP252" s="2322"/>
      <c r="AQ252" s="2322"/>
      <c r="AR252" s="2322"/>
      <c r="AS252" s="2322"/>
      <c r="AT252" s="2322"/>
      <c r="AU252" s="2322"/>
      <c r="AV252" s="2322"/>
      <c r="AW252" s="2322"/>
      <c r="AX252" s="2322"/>
      <c r="AY252" s="2322"/>
      <c r="AZ252" s="2322"/>
      <c r="BA252" s="2322"/>
      <c r="BB252" s="2322"/>
      <c r="BC252" s="2322"/>
      <c r="BD252" s="2322"/>
      <c r="BE252" s="2322"/>
      <c r="BF252" s="2322"/>
      <c r="BG252" s="2322"/>
      <c r="BH252" s="2322"/>
      <c r="BI252" s="2322"/>
      <c r="BJ252" s="2322"/>
      <c r="BK252" s="2322"/>
      <c r="BL252" s="2322"/>
      <c r="BM252" s="2322"/>
      <c r="BN252" s="2322"/>
      <c r="BO252" s="2322"/>
      <c r="BP252" s="2322"/>
      <c r="BQ252" s="2322"/>
      <c r="BR252" s="2322"/>
      <c r="BS252" s="2322"/>
      <c r="BT252" s="2322"/>
      <c r="BU252" s="2322"/>
      <c r="BV252" s="2322"/>
      <c r="BW252" s="2322"/>
      <c r="BX252" s="2322"/>
      <c r="BY252" s="2322"/>
      <c r="BZ252" s="2322"/>
      <c r="CA252" s="2322"/>
      <c r="CB252" s="2322"/>
      <c r="CC252" s="2322"/>
      <c r="CD252" s="2322"/>
      <c r="CE252" s="2322"/>
      <c r="CF252" s="2322"/>
      <c r="CG252" s="2322"/>
      <c r="CH252" s="2322"/>
      <c r="CI252" s="2322"/>
      <c r="CJ252" s="2322"/>
      <c r="CK252" s="2322"/>
      <c r="CL252" s="2322"/>
      <c r="CM252" s="2322"/>
      <c r="CN252" s="2322"/>
      <c r="CO252" s="2322"/>
      <c r="CP252" s="2322"/>
      <c r="CQ252" s="2322"/>
      <c r="CR252" s="2322"/>
      <c r="CS252" s="2322"/>
      <c r="CT252" s="2322"/>
      <c r="CU252" s="2322"/>
      <c r="CV252" s="2322"/>
    </row>
    <row r="253" spans="1:100" ht="15.75" customHeight="1">
      <c r="A253" s="2328"/>
      <c r="B253" s="2322"/>
      <c r="C253" s="2322"/>
      <c r="D253" s="2322"/>
      <c r="E253" s="2322"/>
      <c r="F253" s="2322"/>
      <c r="G253" s="2322"/>
      <c r="H253" s="2322"/>
      <c r="I253" s="2322"/>
      <c r="J253" s="2322"/>
      <c r="K253" s="2322"/>
      <c r="L253" s="2322"/>
      <c r="M253" s="2322"/>
      <c r="N253" s="2322"/>
      <c r="O253" s="2322"/>
      <c r="P253" s="2322"/>
      <c r="Q253" s="2322"/>
      <c r="R253" s="2322"/>
      <c r="S253" s="2322"/>
      <c r="T253" s="2322"/>
      <c r="U253" s="2322"/>
      <c r="V253" s="2322"/>
      <c r="W253" s="2322"/>
      <c r="X253" s="2322"/>
      <c r="Y253" s="2322"/>
      <c r="Z253" s="2322"/>
      <c r="AA253" s="2322"/>
      <c r="AB253" s="2322"/>
      <c r="AC253" s="2322"/>
      <c r="AD253" s="2322"/>
      <c r="AE253" s="2322"/>
      <c r="AF253" s="2322"/>
      <c r="AG253" s="2322"/>
      <c r="AH253" s="2322"/>
      <c r="AI253" s="2322"/>
      <c r="AJ253" s="2322"/>
      <c r="AK253" s="2322"/>
      <c r="AL253" s="2322"/>
      <c r="AM253" s="2322"/>
      <c r="AN253" s="2322"/>
      <c r="AO253" s="2322"/>
      <c r="AP253" s="2322"/>
      <c r="AQ253" s="2322"/>
      <c r="AR253" s="2322"/>
      <c r="AS253" s="2322"/>
      <c r="AT253" s="2322"/>
      <c r="AU253" s="2322"/>
      <c r="AV253" s="2322"/>
      <c r="AW253" s="2322"/>
      <c r="AX253" s="2322"/>
      <c r="AY253" s="2322"/>
      <c r="AZ253" s="2322"/>
      <c r="BA253" s="2322"/>
      <c r="BB253" s="2322"/>
      <c r="BC253" s="2322"/>
      <c r="BD253" s="2322"/>
      <c r="BE253" s="2322"/>
      <c r="BF253" s="2322"/>
      <c r="BG253" s="2322"/>
      <c r="BH253" s="2322"/>
      <c r="BI253" s="2322"/>
      <c r="BJ253" s="2322"/>
      <c r="BK253" s="2322"/>
      <c r="BL253" s="2322"/>
      <c r="BM253" s="2322"/>
      <c r="BN253" s="2322"/>
      <c r="BO253" s="2322"/>
      <c r="BP253" s="2322"/>
      <c r="BQ253" s="2322"/>
      <c r="BR253" s="2322"/>
      <c r="BS253" s="2322"/>
      <c r="BT253" s="2322"/>
      <c r="BU253" s="2322"/>
      <c r="BV253" s="2322"/>
      <c r="BW253" s="2322"/>
      <c r="BX253" s="2322"/>
      <c r="BY253" s="2322"/>
      <c r="BZ253" s="2322"/>
      <c r="CA253" s="2322"/>
      <c r="CB253" s="2322"/>
      <c r="CC253" s="2322"/>
      <c r="CD253" s="2322"/>
      <c r="CE253" s="2322"/>
      <c r="CF253" s="2322"/>
      <c r="CG253" s="2322"/>
      <c r="CH253" s="2322"/>
      <c r="CI253" s="2322"/>
      <c r="CJ253" s="2322"/>
      <c r="CK253" s="2322"/>
      <c r="CL253" s="2322"/>
      <c r="CM253" s="2322"/>
      <c r="CN253" s="2322"/>
      <c r="CO253" s="2322"/>
      <c r="CP253" s="2322"/>
      <c r="CQ253" s="2322"/>
      <c r="CR253" s="2322"/>
      <c r="CS253" s="2322"/>
      <c r="CT253" s="2322"/>
      <c r="CU253" s="2322"/>
      <c r="CV253" s="2322"/>
    </row>
    <row r="254" spans="1:100" ht="15.75" customHeight="1">
      <c r="A254" s="2328"/>
      <c r="B254" s="2322"/>
      <c r="C254" s="2322"/>
      <c r="D254" s="2322"/>
      <c r="E254" s="2322"/>
      <c r="F254" s="2322"/>
      <c r="G254" s="2322"/>
      <c r="H254" s="2322"/>
      <c r="I254" s="2322"/>
      <c r="J254" s="2322"/>
      <c r="K254" s="2322"/>
      <c r="L254" s="2322"/>
      <c r="M254" s="2322"/>
      <c r="N254" s="2322"/>
      <c r="O254" s="2322"/>
      <c r="P254" s="2322"/>
      <c r="Q254" s="2322"/>
      <c r="R254" s="2322"/>
      <c r="S254" s="2322"/>
      <c r="T254" s="2322"/>
      <c r="U254" s="2322"/>
      <c r="V254" s="2322"/>
      <c r="W254" s="2322"/>
      <c r="X254" s="2322"/>
      <c r="Y254" s="2322"/>
      <c r="Z254" s="2322"/>
      <c r="AA254" s="2322"/>
      <c r="AB254" s="2322"/>
      <c r="AC254" s="2322"/>
      <c r="AD254" s="2322"/>
      <c r="AE254" s="2322"/>
      <c r="AF254" s="2322"/>
      <c r="AG254" s="2322"/>
      <c r="AH254" s="2322"/>
      <c r="AI254" s="2322"/>
      <c r="AJ254" s="2322"/>
      <c r="AK254" s="2322"/>
      <c r="AL254" s="2322"/>
      <c r="AM254" s="2322"/>
      <c r="AN254" s="2322"/>
      <c r="AO254" s="2322"/>
      <c r="AP254" s="2322"/>
      <c r="AQ254" s="2322"/>
      <c r="AR254" s="2322"/>
      <c r="AS254" s="2322"/>
      <c r="AT254" s="2322"/>
      <c r="AU254" s="2322"/>
      <c r="AV254" s="2322"/>
      <c r="AW254" s="2322"/>
      <c r="AX254" s="2322"/>
      <c r="AY254" s="2322"/>
      <c r="AZ254" s="2322"/>
      <c r="BA254" s="2322"/>
      <c r="BB254" s="2322"/>
      <c r="BC254" s="2322"/>
      <c r="BD254" s="2322"/>
      <c r="BE254" s="2322"/>
      <c r="BF254" s="2322"/>
      <c r="BG254" s="2322"/>
      <c r="BH254" s="2322"/>
      <c r="BI254" s="2322"/>
      <c r="BJ254" s="2322"/>
      <c r="BK254" s="2322"/>
      <c r="BL254" s="2322"/>
      <c r="BM254" s="2322"/>
      <c r="BN254" s="2322"/>
      <c r="BO254" s="2322"/>
      <c r="BP254" s="2322"/>
      <c r="BQ254" s="2322"/>
      <c r="BR254" s="2322"/>
      <c r="BS254" s="2322"/>
      <c r="BT254" s="2322"/>
      <c r="BU254" s="2322"/>
      <c r="BV254" s="2322"/>
      <c r="BW254" s="2322"/>
      <c r="BX254" s="2322"/>
      <c r="BY254" s="2322"/>
      <c r="BZ254" s="2322"/>
      <c r="CA254" s="2322"/>
      <c r="CB254" s="2322"/>
      <c r="CC254" s="2322"/>
      <c r="CD254" s="2322"/>
      <c r="CE254" s="2322"/>
      <c r="CF254" s="2322"/>
      <c r="CG254" s="2322"/>
      <c r="CH254" s="2322"/>
      <c r="CI254" s="2322"/>
      <c r="CJ254" s="2322"/>
      <c r="CK254" s="2322"/>
      <c r="CL254" s="2322"/>
      <c r="CM254" s="2322"/>
      <c r="CN254" s="2322"/>
      <c r="CO254" s="2322"/>
      <c r="CP254" s="2322"/>
      <c r="CQ254" s="2322"/>
      <c r="CR254" s="2322"/>
      <c r="CS254" s="2322"/>
      <c r="CT254" s="2322"/>
      <c r="CU254" s="2322"/>
      <c r="CV254" s="2322"/>
    </row>
    <row r="255" spans="1:100" ht="15.75" customHeight="1">
      <c r="A255" s="2328"/>
      <c r="B255" s="2322"/>
      <c r="C255" s="2322"/>
      <c r="D255" s="2322"/>
      <c r="E255" s="2322"/>
      <c r="F255" s="2322"/>
      <c r="G255" s="2322"/>
      <c r="H255" s="2322"/>
      <c r="I255" s="2322"/>
      <c r="J255" s="2322"/>
      <c r="K255" s="2322"/>
      <c r="L255" s="2322"/>
      <c r="M255" s="2322"/>
      <c r="N255" s="2322"/>
      <c r="O255" s="2322"/>
      <c r="P255" s="2322"/>
      <c r="Q255" s="2322"/>
      <c r="R255" s="2322"/>
      <c r="S255" s="2322"/>
      <c r="T255" s="2322"/>
      <c r="U255" s="2322"/>
      <c r="V255" s="2322"/>
      <c r="W255" s="2322"/>
      <c r="X255" s="2322"/>
      <c r="Y255" s="2322"/>
      <c r="Z255" s="2322"/>
      <c r="AA255" s="2322"/>
      <c r="AB255" s="2322"/>
      <c r="AC255" s="2322"/>
      <c r="AD255" s="2322"/>
      <c r="AE255" s="2322"/>
      <c r="AF255" s="2322"/>
      <c r="AG255" s="2322"/>
      <c r="AH255" s="2322"/>
      <c r="AI255" s="2322"/>
      <c r="AJ255" s="2322"/>
      <c r="AK255" s="2322"/>
      <c r="AL255" s="2322"/>
      <c r="AM255" s="2322"/>
      <c r="AN255" s="2322"/>
      <c r="AO255" s="2322"/>
      <c r="AP255" s="2322"/>
      <c r="AQ255" s="2322"/>
      <c r="AR255" s="2322"/>
      <c r="AS255" s="2322"/>
      <c r="AT255" s="2322"/>
      <c r="AU255" s="2322"/>
      <c r="AV255" s="2322"/>
      <c r="AW255" s="2322"/>
      <c r="AX255" s="2322"/>
      <c r="AY255" s="2322"/>
      <c r="AZ255" s="2322"/>
      <c r="BA255" s="2322"/>
      <c r="BB255" s="2322"/>
      <c r="BC255" s="2322"/>
      <c r="BD255" s="2322"/>
      <c r="BE255" s="2322"/>
      <c r="BF255" s="2322"/>
      <c r="BG255" s="2322"/>
      <c r="BH255" s="2322"/>
      <c r="BI255" s="2322"/>
      <c r="BJ255" s="2322"/>
      <c r="BK255" s="2322"/>
      <c r="BL255" s="2322"/>
      <c r="BM255" s="2322"/>
      <c r="BN255" s="2322"/>
      <c r="BO255" s="2322"/>
      <c r="BP255" s="2322"/>
      <c r="BQ255" s="2322"/>
      <c r="BR255" s="2322"/>
      <c r="BS255" s="2322"/>
      <c r="BT255" s="2322"/>
      <c r="BU255" s="2322"/>
      <c r="BV255" s="2322"/>
      <c r="BW255" s="2322"/>
      <c r="BX255" s="2322"/>
      <c r="BY255" s="2322"/>
      <c r="BZ255" s="2322"/>
      <c r="CA255" s="2322"/>
      <c r="CB255" s="2322"/>
      <c r="CC255" s="2322"/>
      <c r="CD255" s="2322"/>
      <c r="CE255" s="2322"/>
      <c r="CF255" s="2322"/>
      <c r="CG255" s="2322"/>
      <c r="CH255" s="2322"/>
      <c r="CI255" s="2322"/>
      <c r="CJ255" s="2322"/>
      <c r="CK255" s="2322"/>
      <c r="CL255" s="2322"/>
      <c r="CM255" s="2322"/>
      <c r="CN255" s="2322"/>
      <c r="CO255" s="2322"/>
      <c r="CP255" s="2322"/>
      <c r="CQ255" s="2322"/>
      <c r="CR255" s="2322"/>
      <c r="CS255" s="2322"/>
      <c r="CT255" s="2322"/>
      <c r="CU255" s="2322"/>
      <c r="CV255" s="2322"/>
    </row>
    <row r="256" spans="1:100" ht="15.75" customHeight="1">
      <c r="A256" s="2328"/>
      <c r="B256" s="2322"/>
      <c r="C256" s="2322"/>
      <c r="D256" s="2322"/>
      <c r="E256" s="2322"/>
      <c r="F256" s="2322"/>
      <c r="G256" s="2322"/>
      <c r="H256" s="2322"/>
      <c r="I256" s="2322"/>
      <c r="J256" s="2322"/>
      <c r="K256" s="2322"/>
      <c r="L256" s="2322"/>
      <c r="M256" s="2322"/>
      <c r="N256" s="2322"/>
      <c r="O256" s="2322"/>
      <c r="P256" s="2322"/>
      <c r="Q256" s="2322"/>
      <c r="R256" s="2322"/>
      <c r="S256" s="2322"/>
      <c r="T256" s="2322"/>
      <c r="U256" s="2322"/>
      <c r="V256" s="2322"/>
      <c r="W256" s="2322"/>
      <c r="X256" s="2322"/>
      <c r="Y256" s="2322"/>
      <c r="Z256" s="2322"/>
      <c r="AA256" s="2322"/>
      <c r="AB256" s="2322"/>
      <c r="AC256" s="2322"/>
      <c r="AD256" s="2322"/>
      <c r="AE256" s="2322"/>
      <c r="AF256" s="2322"/>
      <c r="AG256" s="2322"/>
      <c r="AH256" s="2322"/>
      <c r="AI256" s="2322"/>
      <c r="AJ256" s="2322"/>
      <c r="AK256" s="2322"/>
      <c r="AL256" s="2322"/>
      <c r="AM256" s="2322"/>
      <c r="AN256" s="2322"/>
      <c r="AO256" s="2322"/>
      <c r="AP256" s="2322"/>
      <c r="AQ256" s="2322"/>
      <c r="AR256" s="2322"/>
      <c r="AS256" s="2322"/>
      <c r="AT256" s="2322"/>
      <c r="AU256" s="2322"/>
      <c r="AV256" s="2322"/>
      <c r="AW256" s="2322"/>
      <c r="AX256" s="2322"/>
      <c r="AY256" s="2322"/>
      <c r="AZ256" s="2322"/>
      <c r="BA256" s="2322"/>
      <c r="BB256" s="2322"/>
      <c r="BC256" s="2322"/>
      <c r="BD256" s="2322"/>
      <c r="BE256" s="2322"/>
      <c r="BF256" s="2322"/>
      <c r="BG256" s="2322"/>
      <c r="BH256" s="2322"/>
      <c r="BI256" s="2322"/>
      <c r="BJ256" s="2322"/>
      <c r="BK256" s="2322"/>
      <c r="BL256" s="2322"/>
      <c r="BM256" s="2322"/>
      <c r="BN256" s="2322"/>
      <c r="BO256" s="2322"/>
      <c r="BP256" s="2322"/>
      <c r="BQ256" s="2322"/>
      <c r="BR256" s="2322"/>
      <c r="BS256" s="2322"/>
      <c r="BT256" s="2322"/>
      <c r="BU256" s="2322"/>
      <c r="BV256" s="2322"/>
      <c r="BW256" s="2322"/>
      <c r="BX256" s="2322"/>
      <c r="BY256" s="2322"/>
      <c r="BZ256" s="2322"/>
      <c r="CA256" s="2322"/>
      <c r="CB256" s="2322"/>
      <c r="CC256" s="2322"/>
      <c r="CD256" s="2322"/>
      <c r="CE256" s="2322"/>
      <c r="CF256" s="2322"/>
      <c r="CG256" s="2322"/>
      <c r="CH256" s="2322"/>
      <c r="CI256" s="2322"/>
      <c r="CJ256" s="2322"/>
      <c r="CK256" s="2322"/>
      <c r="CL256" s="2322"/>
      <c r="CM256" s="2322"/>
      <c r="CN256" s="2322"/>
      <c r="CO256" s="2322"/>
      <c r="CP256" s="2322"/>
      <c r="CQ256" s="2322"/>
      <c r="CR256" s="2322"/>
      <c r="CS256" s="2322"/>
      <c r="CT256" s="2322"/>
      <c r="CU256" s="2322"/>
      <c r="CV256" s="2322"/>
    </row>
    <row r="257" spans="1:100" ht="15.75" customHeight="1">
      <c r="A257" s="2328"/>
      <c r="B257" s="2322"/>
      <c r="C257" s="2322"/>
      <c r="D257" s="2322"/>
      <c r="E257" s="2322"/>
      <c r="F257" s="2322"/>
      <c r="G257" s="2322"/>
      <c r="H257" s="2322"/>
      <c r="I257" s="2322"/>
      <c r="J257" s="2322"/>
      <c r="K257" s="2322"/>
      <c r="L257" s="2322"/>
      <c r="M257" s="2322"/>
      <c r="N257" s="2322"/>
      <c r="O257" s="2322"/>
      <c r="P257" s="2322"/>
      <c r="Q257" s="2322"/>
      <c r="R257" s="2322"/>
      <c r="S257" s="2322"/>
      <c r="T257" s="2322"/>
      <c r="U257" s="2322"/>
      <c r="V257" s="2322"/>
      <c r="W257" s="2322"/>
      <c r="X257" s="2322"/>
      <c r="Y257" s="2322"/>
      <c r="Z257" s="2322"/>
      <c r="AA257" s="2322"/>
      <c r="AB257" s="2322"/>
      <c r="AC257" s="2322"/>
      <c r="AD257" s="2322"/>
      <c r="AE257" s="2322"/>
      <c r="AF257" s="2322"/>
      <c r="AG257" s="2322"/>
      <c r="AH257" s="2322"/>
      <c r="AI257" s="2322"/>
      <c r="AJ257" s="2322"/>
      <c r="AK257" s="2322"/>
      <c r="AL257" s="2322"/>
      <c r="AM257" s="2322"/>
      <c r="AN257" s="2322"/>
      <c r="AO257" s="2322"/>
      <c r="AP257" s="2322"/>
      <c r="AQ257" s="2322"/>
      <c r="AR257" s="2322"/>
      <c r="AS257" s="2322"/>
      <c r="AT257" s="2322"/>
      <c r="AU257" s="2322"/>
      <c r="AV257" s="2322"/>
      <c r="AW257" s="2322"/>
      <c r="AX257" s="2322"/>
      <c r="AY257" s="2322"/>
      <c r="AZ257" s="2322"/>
      <c r="BA257" s="2322"/>
      <c r="BB257" s="2322"/>
      <c r="BC257" s="2322"/>
      <c r="BD257" s="2322"/>
      <c r="BE257" s="2322"/>
      <c r="BF257" s="2322"/>
      <c r="BG257" s="2322"/>
      <c r="BH257" s="2322"/>
      <c r="BI257" s="2322"/>
      <c r="BJ257" s="2322"/>
      <c r="BK257" s="2322"/>
      <c r="BL257" s="2322"/>
      <c r="BM257" s="2322"/>
      <c r="BN257" s="2322"/>
      <c r="BO257" s="2322"/>
      <c r="BP257" s="2322"/>
      <c r="BQ257" s="2322"/>
      <c r="BR257" s="2322"/>
      <c r="BS257" s="2322"/>
      <c r="BT257" s="2322"/>
      <c r="BU257" s="2322"/>
      <c r="BV257" s="2322"/>
      <c r="BW257" s="2322"/>
      <c r="BX257" s="2322"/>
      <c r="BY257" s="2322"/>
      <c r="BZ257" s="2322"/>
      <c r="CA257" s="2322"/>
      <c r="CB257" s="2322"/>
      <c r="CC257" s="2322"/>
      <c r="CD257" s="2322"/>
      <c r="CE257" s="2322"/>
      <c r="CF257" s="2322"/>
      <c r="CG257" s="2322"/>
      <c r="CH257" s="2322"/>
      <c r="CI257" s="2322"/>
      <c r="CJ257" s="2322"/>
      <c r="CK257" s="2322"/>
      <c r="CL257" s="2322"/>
      <c r="CM257" s="2322"/>
      <c r="CN257" s="2322"/>
      <c r="CO257" s="2322"/>
      <c r="CP257" s="2322"/>
      <c r="CQ257" s="2322"/>
      <c r="CR257" s="2322"/>
      <c r="CS257" s="2322"/>
      <c r="CT257" s="2322"/>
      <c r="CU257" s="2322"/>
      <c r="CV257" s="2322"/>
    </row>
    <row r="258" spans="1:100" ht="15.75" customHeight="1">
      <c r="A258" s="2328"/>
      <c r="B258" s="2322"/>
      <c r="C258" s="2322"/>
      <c r="D258" s="2322"/>
      <c r="E258" s="2322"/>
      <c r="F258" s="2322"/>
      <c r="G258" s="2322"/>
      <c r="H258" s="2322"/>
      <c r="I258" s="2322"/>
      <c r="J258" s="2322"/>
      <c r="K258" s="2322"/>
      <c r="L258" s="2322"/>
      <c r="M258" s="2322"/>
      <c r="N258" s="2322"/>
      <c r="O258" s="2322"/>
      <c r="P258" s="2322"/>
      <c r="Q258" s="2322"/>
      <c r="R258" s="2322"/>
      <c r="S258" s="2322"/>
      <c r="T258" s="2322"/>
      <c r="U258" s="2322"/>
      <c r="V258" s="2322"/>
      <c r="W258" s="2322"/>
      <c r="X258" s="2322"/>
      <c r="Y258" s="2322"/>
      <c r="Z258" s="2322"/>
      <c r="AA258" s="2322"/>
      <c r="AB258" s="2322"/>
      <c r="AC258" s="2322"/>
      <c r="AD258" s="2322"/>
      <c r="AE258" s="2322"/>
      <c r="AF258" s="2322"/>
      <c r="AG258" s="2322"/>
      <c r="AH258" s="2322"/>
      <c r="AI258" s="2322"/>
      <c r="AJ258" s="2322"/>
      <c r="AK258" s="2322"/>
      <c r="AL258" s="2322"/>
      <c r="AM258" s="2322"/>
      <c r="AN258" s="2322"/>
      <c r="AO258" s="2322"/>
      <c r="AP258" s="2322"/>
      <c r="AQ258" s="2322"/>
      <c r="AR258" s="2322"/>
      <c r="AS258" s="2322"/>
      <c r="AT258" s="2322"/>
      <c r="AU258" s="2322"/>
      <c r="AV258" s="2322"/>
      <c r="AW258" s="2322"/>
      <c r="AX258" s="2322"/>
      <c r="AY258" s="2322"/>
      <c r="AZ258" s="2322"/>
      <c r="BA258" s="2322"/>
      <c r="BB258" s="2322"/>
      <c r="BC258" s="2322"/>
      <c r="BD258" s="2322"/>
      <c r="BE258" s="2322"/>
      <c r="BF258" s="2322"/>
      <c r="BG258" s="2322"/>
      <c r="BH258" s="2322"/>
      <c r="BI258" s="2322"/>
      <c r="BJ258" s="2322"/>
      <c r="BK258" s="2322"/>
      <c r="BL258" s="2322"/>
      <c r="BM258" s="2322"/>
      <c r="BN258" s="2322"/>
      <c r="BO258" s="2322"/>
      <c r="BP258" s="2322"/>
      <c r="BQ258" s="2322"/>
      <c r="BR258" s="2322"/>
      <c r="BS258" s="2322"/>
      <c r="BT258" s="2322"/>
      <c r="BU258" s="2322"/>
      <c r="BV258" s="2322"/>
      <c r="BW258" s="2322"/>
      <c r="BX258" s="2322"/>
      <c r="BY258" s="2322"/>
      <c r="BZ258" s="2322"/>
      <c r="CA258" s="2322"/>
      <c r="CB258" s="2322"/>
      <c r="CC258" s="2322"/>
      <c r="CD258" s="2322"/>
      <c r="CE258" s="2322"/>
      <c r="CF258" s="2322"/>
      <c r="CG258" s="2322"/>
      <c r="CH258" s="2322"/>
      <c r="CI258" s="2322"/>
      <c r="CJ258" s="2322"/>
      <c r="CK258" s="2322"/>
      <c r="CL258" s="2322"/>
      <c r="CM258" s="2322"/>
      <c r="CN258" s="2322"/>
      <c r="CO258" s="2322"/>
      <c r="CP258" s="2322"/>
      <c r="CQ258" s="2322"/>
      <c r="CR258" s="2322"/>
      <c r="CS258" s="2322"/>
      <c r="CT258" s="2322"/>
      <c r="CU258" s="2322"/>
      <c r="CV258" s="2322"/>
    </row>
    <row r="259" spans="1:100" ht="15.75" customHeight="1">
      <c r="A259" s="2328"/>
      <c r="B259" s="2322"/>
      <c r="C259" s="2322"/>
      <c r="D259" s="2322"/>
      <c r="E259" s="2322"/>
      <c r="F259" s="2322"/>
      <c r="G259" s="2322"/>
      <c r="H259" s="2322"/>
      <c r="I259" s="2322"/>
      <c r="J259" s="2322"/>
      <c r="K259" s="2322"/>
      <c r="L259" s="2322"/>
      <c r="M259" s="2322"/>
      <c r="N259" s="2322"/>
      <c r="O259" s="2322"/>
      <c r="P259" s="2322"/>
      <c r="Q259" s="2322"/>
      <c r="R259" s="2322"/>
      <c r="S259" s="2322"/>
      <c r="T259" s="2322"/>
      <c r="U259" s="2322"/>
      <c r="V259" s="2322"/>
      <c r="W259" s="2322"/>
      <c r="X259" s="2322"/>
      <c r="Y259" s="2322"/>
      <c r="Z259" s="2322"/>
      <c r="AA259" s="2322"/>
      <c r="AB259" s="2322"/>
      <c r="AC259" s="2322"/>
      <c r="AD259" s="2322"/>
      <c r="AE259" s="2322"/>
      <c r="AF259" s="2322"/>
      <c r="AG259" s="2322"/>
      <c r="AH259" s="2322"/>
      <c r="AI259" s="2322"/>
      <c r="AJ259" s="2322"/>
      <c r="AK259" s="2322"/>
      <c r="AL259" s="2322"/>
      <c r="AM259" s="2322"/>
      <c r="AN259" s="2322"/>
      <c r="AO259" s="2322"/>
      <c r="AP259" s="2322"/>
      <c r="AQ259" s="2322"/>
      <c r="AR259" s="2322"/>
      <c r="AS259" s="2322"/>
      <c r="AT259" s="2322"/>
      <c r="AU259" s="2322"/>
      <c r="AV259" s="2322"/>
      <c r="AW259" s="2322"/>
      <c r="AX259" s="2322"/>
      <c r="AY259" s="2322"/>
      <c r="AZ259" s="2322"/>
      <c r="BA259" s="2322"/>
      <c r="BB259" s="2322"/>
      <c r="BC259" s="2322"/>
      <c r="BD259" s="2322"/>
      <c r="BE259" s="2322"/>
      <c r="BF259" s="2322"/>
      <c r="BG259" s="2322"/>
      <c r="BH259" s="2322"/>
      <c r="BI259" s="2322"/>
      <c r="BJ259" s="2322"/>
      <c r="BK259" s="2322"/>
      <c r="BL259" s="2322"/>
      <c r="BM259" s="2322"/>
      <c r="BN259" s="2322"/>
      <c r="BO259" s="2322"/>
      <c r="BP259" s="2322"/>
      <c r="BQ259" s="2322"/>
      <c r="BR259" s="2322"/>
      <c r="BS259" s="2322"/>
      <c r="BT259" s="2322"/>
      <c r="BU259" s="2322"/>
      <c r="BV259" s="2322"/>
      <c r="BW259" s="2322"/>
      <c r="BX259" s="2322"/>
      <c r="BY259" s="2322"/>
      <c r="BZ259" s="2322"/>
      <c r="CA259" s="2322"/>
      <c r="CB259" s="2322"/>
      <c r="CC259" s="2322"/>
      <c r="CD259" s="2322"/>
      <c r="CE259" s="2322"/>
      <c r="CF259" s="2322"/>
      <c r="CG259" s="2322"/>
      <c r="CH259" s="2322"/>
      <c r="CI259" s="2322"/>
      <c r="CJ259" s="2322"/>
      <c r="CK259" s="2322"/>
      <c r="CL259" s="2322"/>
      <c r="CM259" s="2322"/>
      <c r="CN259" s="2322"/>
      <c r="CO259" s="2322"/>
      <c r="CP259" s="2322"/>
      <c r="CQ259" s="2322"/>
      <c r="CR259" s="2322"/>
      <c r="CS259" s="2322"/>
      <c r="CT259" s="2322"/>
      <c r="CU259" s="2322"/>
      <c r="CV259" s="2322"/>
    </row>
    <row r="260" spans="1:100" ht="15.75" customHeight="1">
      <c r="A260" s="2328"/>
      <c r="B260" s="2322"/>
      <c r="C260" s="2322"/>
      <c r="D260" s="2322"/>
      <c r="E260" s="2322"/>
      <c r="F260" s="2322"/>
      <c r="G260" s="2322"/>
      <c r="H260" s="2322"/>
      <c r="I260" s="2322"/>
      <c r="J260" s="2322"/>
      <c r="K260" s="2322"/>
      <c r="L260" s="2322"/>
      <c r="M260" s="2322"/>
      <c r="N260" s="2322"/>
      <c r="O260" s="2322"/>
      <c r="P260" s="2322"/>
      <c r="Q260" s="2322"/>
      <c r="R260" s="2322"/>
      <c r="S260" s="2322"/>
      <c r="T260" s="2322"/>
      <c r="U260" s="2322"/>
      <c r="V260" s="2322"/>
      <c r="W260" s="2322"/>
      <c r="X260" s="2322"/>
      <c r="Y260" s="2322"/>
      <c r="Z260" s="2322"/>
      <c r="AA260" s="2322"/>
      <c r="AB260" s="2322"/>
      <c r="AC260" s="2322"/>
      <c r="AD260" s="2322"/>
      <c r="AE260" s="2322"/>
      <c r="AF260" s="2322"/>
      <c r="AG260" s="2322"/>
      <c r="AH260" s="2322"/>
      <c r="AI260" s="2322"/>
      <c r="AJ260" s="2322"/>
      <c r="AK260" s="2322"/>
      <c r="AL260" s="2322"/>
      <c r="AM260" s="2322"/>
      <c r="AN260" s="2322"/>
      <c r="AO260" s="2322"/>
      <c r="AP260" s="2322"/>
      <c r="AQ260" s="2322"/>
      <c r="AR260" s="2322"/>
      <c r="AS260" s="2322"/>
      <c r="AT260" s="2322"/>
      <c r="AU260" s="2322"/>
      <c r="AV260" s="2322"/>
      <c r="AW260" s="2322"/>
      <c r="AX260" s="2322"/>
      <c r="AY260" s="2322"/>
      <c r="AZ260" s="2322"/>
      <c r="BA260" s="2322"/>
      <c r="BB260" s="2322"/>
      <c r="BC260" s="2322"/>
      <c r="BD260" s="2322"/>
      <c r="BE260" s="2322"/>
      <c r="BF260" s="2322"/>
      <c r="BG260" s="2322"/>
      <c r="BH260" s="2322"/>
      <c r="BI260" s="2322"/>
      <c r="BJ260" s="2322"/>
      <c r="BK260" s="2322"/>
      <c r="BL260" s="2322"/>
      <c r="BM260" s="2322"/>
      <c r="BN260" s="2322"/>
      <c r="BO260" s="2322"/>
      <c r="BP260" s="2322"/>
      <c r="BQ260" s="2322"/>
      <c r="BR260" s="2322"/>
      <c r="BS260" s="2322"/>
      <c r="BT260" s="2322"/>
      <c r="BU260" s="2322"/>
      <c r="BV260" s="2322"/>
      <c r="BW260" s="2322"/>
      <c r="BX260" s="2322"/>
      <c r="BY260" s="2322"/>
      <c r="BZ260" s="2322"/>
      <c r="CA260" s="2322"/>
      <c r="CB260" s="2322"/>
      <c r="CC260" s="2322"/>
      <c r="CD260" s="2322"/>
      <c r="CE260" s="2322"/>
      <c r="CF260" s="2322"/>
      <c r="CG260" s="2322"/>
      <c r="CH260" s="2322"/>
      <c r="CI260" s="2322"/>
      <c r="CJ260" s="2322"/>
      <c r="CK260" s="2322"/>
      <c r="CL260" s="2322"/>
      <c r="CM260" s="2322"/>
      <c r="CN260" s="2322"/>
      <c r="CO260" s="2322"/>
      <c r="CP260" s="2322"/>
      <c r="CQ260" s="2322"/>
      <c r="CR260" s="2322"/>
      <c r="CS260" s="2322"/>
      <c r="CT260" s="2322"/>
      <c r="CU260" s="2322"/>
      <c r="CV260" s="2322"/>
    </row>
    <row r="261" spans="1:100" ht="15.75" customHeight="1">
      <c r="A261" s="2328"/>
      <c r="B261" s="2322"/>
      <c r="C261" s="2322"/>
      <c r="D261" s="2322"/>
      <c r="E261" s="2322"/>
      <c r="F261" s="2322"/>
      <c r="G261" s="2322"/>
      <c r="H261" s="2322"/>
      <c r="I261" s="2322"/>
      <c r="J261" s="2322"/>
      <c r="K261" s="2322"/>
      <c r="L261" s="2322"/>
      <c r="M261" s="2322"/>
      <c r="N261" s="2322"/>
      <c r="O261" s="2322"/>
      <c r="P261" s="2322"/>
      <c r="Q261" s="2322"/>
      <c r="R261" s="2322"/>
      <c r="S261" s="2322"/>
      <c r="T261" s="2322"/>
      <c r="U261" s="2322"/>
      <c r="V261" s="2322"/>
      <c r="W261" s="2322"/>
      <c r="X261" s="2322"/>
      <c r="Y261" s="2322"/>
      <c r="Z261" s="2322"/>
      <c r="AA261" s="2322"/>
      <c r="AB261" s="2322"/>
      <c r="AC261" s="2322"/>
      <c r="AD261" s="2322"/>
      <c r="AE261" s="2322"/>
      <c r="AF261" s="2322"/>
      <c r="AG261" s="2322"/>
      <c r="AH261" s="2322"/>
      <c r="AI261" s="2322"/>
      <c r="AJ261" s="2322"/>
      <c r="AK261" s="2322"/>
      <c r="AL261" s="2322"/>
      <c r="AM261" s="2322"/>
      <c r="AN261" s="2322"/>
      <c r="AO261" s="2322"/>
      <c r="AP261" s="2322"/>
      <c r="AQ261" s="2322"/>
      <c r="AR261" s="2322"/>
      <c r="AS261" s="2322"/>
      <c r="AT261" s="2322"/>
      <c r="AU261" s="2322"/>
      <c r="AV261" s="2322"/>
      <c r="AW261" s="2322"/>
      <c r="AX261" s="2322"/>
      <c r="AY261" s="2322"/>
      <c r="AZ261" s="2322"/>
      <c r="BA261" s="2322"/>
      <c r="BB261" s="2322"/>
      <c r="BC261" s="2322"/>
      <c r="BD261" s="2322"/>
      <c r="BE261" s="2322"/>
      <c r="BF261" s="2322"/>
      <c r="BG261" s="2322"/>
      <c r="BH261" s="2322"/>
      <c r="BI261" s="2322"/>
      <c r="BJ261" s="2322"/>
      <c r="BK261" s="2322"/>
      <c r="BL261" s="2322"/>
      <c r="BM261" s="2322"/>
      <c r="BN261" s="2322"/>
      <c r="BO261" s="2322"/>
      <c r="BP261" s="2322"/>
      <c r="BQ261" s="2322"/>
      <c r="BR261" s="2322"/>
      <c r="BS261" s="2322"/>
      <c r="BT261" s="2322"/>
      <c r="BU261" s="2322"/>
      <c r="BV261" s="2322"/>
      <c r="BW261" s="2322"/>
      <c r="BX261" s="2322"/>
      <c r="BY261" s="2322"/>
      <c r="BZ261" s="2322"/>
      <c r="CA261" s="2322"/>
      <c r="CB261" s="2322"/>
      <c r="CC261" s="2322"/>
      <c r="CD261" s="2322"/>
      <c r="CE261" s="2322"/>
      <c r="CF261" s="2322"/>
      <c r="CG261" s="2322"/>
      <c r="CH261" s="2322"/>
      <c r="CI261" s="2322"/>
      <c r="CJ261" s="2322"/>
      <c r="CK261" s="2322"/>
      <c r="CL261" s="2322"/>
      <c r="CM261" s="2322"/>
      <c r="CN261" s="2322"/>
      <c r="CO261" s="2322"/>
      <c r="CP261" s="2322"/>
      <c r="CQ261" s="2322"/>
      <c r="CR261" s="2322"/>
      <c r="CS261" s="2322"/>
      <c r="CT261" s="2322"/>
      <c r="CU261" s="2322"/>
      <c r="CV261" s="2322"/>
    </row>
    <row r="262" spans="1:100" ht="15.75" customHeight="1">
      <c r="A262" s="2328"/>
      <c r="B262" s="2322"/>
      <c r="C262" s="2322"/>
      <c r="D262" s="2322"/>
      <c r="E262" s="2322"/>
      <c r="F262" s="2322"/>
      <c r="G262" s="2322"/>
      <c r="H262" s="2322"/>
      <c r="I262" s="2322"/>
      <c r="J262" s="2322"/>
      <c r="K262" s="2322"/>
      <c r="L262" s="2322"/>
      <c r="M262" s="2322"/>
      <c r="N262" s="2322"/>
      <c r="O262" s="2322"/>
      <c r="P262" s="2322"/>
      <c r="Q262" s="2322"/>
      <c r="R262" s="2322"/>
      <c r="S262" s="2322"/>
      <c r="T262" s="2322"/>
      <c r="U262" s="2322"/>
      <c r="V262" s="2322"/>
      <c r="W262" s="2322"/>
      <c r="X262" s="2322"/>
      <c r="Y262" s="2322"/>
      <c r="Z262" s="2322"/>
      <c r="AA262" s="2322"/>
      <c r="AB262" s="2322"/>
      <c r="AC262" s="2322"/>
      <c r="AD262" s="2322"/>
      <c r="AE262" s="2322"/>
      <c r="AF262" s="2322"/>
      <c r="AG262" s="2322"/>
      <c r="AH262" s="2322"/>
      <c r="AI262" s="2322"/>
      <c r="AJ262" s="2322"/>
      <c r="AK262" s="2322"/>
      <c r="AL262" s="2322"/>
      <c r="AM262" s="2322"/>
      <c r="AN262" s="2322"/>
      <c r="AO262" s="2322"/>
      <c r="AP262" s="2322"/>
      <c r="AQ262" s="2322"/>
      <c r="AR262" s="2322"/>
      <c r="AS262" s="2322"/>
      <c r="AT262" s="2322"/>
      <c r="AU262" s="2322"/>
      <c r="AV262" s="2322"/>
      <c r="AW262" s="2322"/>
      <c r="AX262" s="2322"/>
      <c r="AY262" s="2322"/>
      <c r="AZ262" s="2322"/>
      <c r="BA262" s="2322"/>
      <c r="BB262" s="2322"/>
      <c r="BC262" s="2322"/>
      <c r="BD262" s="2322"/>
      <c r="BE262" s="2322"/>
      <c r="BF262" s="2322"/>
      <c r="BG262" s="2322"/>
      <c r="BH262" s="2322"/>
      <c r="BI262" s="2322"/>
      <c r="BJ262" s="2322"/>
      <c r="BK262" s="2322"/>
      <c r="BL262" s="2322"/>
      <c r="BM262" s="2322"/>
      <c r="BN262" s="2322"/>
      <c r="BO262" s="2322"/>
      <c r="BP262" s="2322"/>
      <c r="BQ262" s="2322"/>
      <c r="BR262" s="2322"/>
      <c r="BS262" s="2322"/>
      <c r="BT262" s="2322"/>
      <c r="BU262" s="2322"/>
      <c r="BV262" s="2322"/>
      <c r="BW262" s="2322"/>
      <c r="BX262" s="2322"/>
      <c r="BY262" s="2322"/>
      <c r="BZ262" s="2322"/>
      <c r="CA262" s="2322"/>
      <c r="CB262" s="2322"/>
      <c r="CC262" s="2322"/>
      <c r="CD262" s="2322"/>
      <c r="CE262" s="2322"/>
      <c r="CF262" s="2322"/>
      <c r="CG262" s="2322"/>
      <c r="CH262" s="2322"/>
      <c r="CI262" s="2322"/>
      <c r="CJ262" s="2322"/>
      <c r="CK262" s="2322"/>
      <c r="CL262" s="2322"/>
      <c r="CM262" s="2322"/>
      <c r="CN262" s="2322"/>
      <c r="CO262" s="2322"/>
      <c r="CP262" s="2322"/>
      <c r="CQ262" s="2322"/>
      <c r="CR262" s="2322"/>
      <c r="CS262" s="2322"/>
      <c r="CT262" s="2322"/>
      <c r="CU262" s="2322"/>
      <c r="CV262" s="2322"/>
    </row>
    <row r="263" spans="1:100" ht="15.75" customHeight="1">
      <c r="A263" s="2328"/>
      <c r="B263" s="2322"/>
      <c r="C263" s="2322"/>
      <c r="D263" s="2322"/>
      <c r="E263" s="2322"/>
      <c r="F263" s="2322"/>
      <c r="G263" s="2322"/>
      <c r="H263" s="2322"/>
      <c r="I263" s="2322"/>
      <c r="J263" s="2322"/>
      <c r="K263" s="2322"/>
      <c r="L263" s="2322"/>
      <c r="M263" s="2322"/>
      <c r="N263" s="2322"/>
      <c r="O263" s="2322"/>
      <c r="P263" s="2322"/>
      <c r="Q263" s="2322"/>
      <c r="R263" s="2322"/>
      <c r="S263" s="2322"/>
      <c r="T263" s="2322"/>
      <c r="U263" s="2322"/>
      <c r="V263" s="2322"/>
      <c r="W263" s="2322"/>
      <c r="X263" s="2322"/>
      <c r="Y263" s="2322"/>
      <c r="Z263" s="2322"/>
      <c r="AA263" s="2322"/>
      <c r="AB263" s="2322"/>
      <c r="AC263" s="2322"/>
      <c r="AD263" s="2322"/>
      <c r="AE263" s="2322"/>
      <c r="AF263" s="2322"/>
      <c r="AG263" s="2322"/>
      <c r="AH263" s="2322"/>
      <c r="AI263" s="2322"/>
      <c r="AJ263" s="2322"/>
      <c r="AK263" s="2322"/>
      <c r="AL263" s="2322"/>
      <c r="AM263" s="2322"/>
      <c r="AN263" s="2322"/>
      <c r="AO263" s="2322"/>
      <c r="AP263" s="2322"/>
      <c r="AQ263" s="2322"/>
      <c r="AR263" s="2322"/>
      <c r="AS263" s="2322"/>
      <c r="AT263" s="2322"/>
      <c r="AU263" s="2322"/>
      <c r="AV263" s="2322"/>
      <c r="AW263" s="2322"/>
      <c r="AX263" s="2322"/>
      <c r="AY263" s="2322"/>
      <c r="AZ263" s="2322"/>
      <c r="BA263" s="2322"/>
      <c r="BB263" s="2322"/>
      <c r="BC263" s="2322"/>
      <c r="BD263" s="2322"/>
      <c r="BE263" s="2322"/>
      <c r="BF263" s="2322"/>
      <c r="BG263" s="2322"/>
      <c r="BH263" s="2322"/>
      <c r="BI263" s="2322"/>
      <c r="BJ263" s="2322"/>
      <c r="BK263" s="2322"/>
      <c r="BL263" s="2322"/>
      <c r="BM263" s="2322"/>
      <c r="BN263" s="2322"/>
      <c r="BO263" s="2322"/>
      <c r="BP263" s="2322"/>
      <c r="BQ263" s="2322"/>
      <c r="BR263" s="2322"/>
      <c r="BS263" s="2322"/>
      <c r="BT263" s="2322"/>
      <c r="BU263" s="2322"/>
      <c r="BV263" s="2322"/>
      <c r="BW263" s="2322"/>
      <c r="BX263" s="2322"/>
      <c r="BY263" s="2322"/>
      <c r="BZ263" s="2322"/>
      <c r="CA263" s="2322"/>
      <c r="CB263" s="2322"/>
      <c r="CC263" s="2322"/>
      <c r="CD263" s="2322"/>
      <c r="CE263" s="2322"/>
      <c r="CF263" s="2322"/>
      <c r="CG263" s="2322"/>
      <c r="CH263" s="2322"/>
      <c r="CI263" s="2322"/>
      <c r="CJ263" s="2322"/>
      <c r="CK263" s="2322"/>
      <c r="CL263" s="2322"/>
      <c r="CM263" s="2322"/>
      <c r="CN263" s="2322"/>
      <c r="CO263" s="2322"/>
      <c r="CP263" s="2322"/>
      <c r="CQ263" s="2322"/>
      <c r="CR263" s="2322"/>
      <c r="CS263" s="2322"/>
      <c r="CT263" s="2322"/>
      <c r="CU263" s="2322"/>
      <c r="CV263" s="2322"/>
    </row>
    <row r="264" spans="1:100" ht="15.75" customHeight="1">
      <c r="A264" s="2328"/>
      <c r="B264" s="2322"/>
      <c r="C264" s="2322"/>
      <c r="D264" s="2322"/>
      <c r="E264" s="2322"/>
      <c r="F264" s="2322"/>
      <c r="G264" s="2322"/>
      <c r="H264" s="2322"/>
      <c r="I264" s="2322"/>
      <c r="J264" s="2322"/>
      <c r="K264" s="2322"/>
      <c r="L264" s="2322"/>
      <c r="M264" s="2322"/>
      <c r="N264" s="2322"/>
      <c r="O264" s="2322"/>
      <c r="P264" s="2322"/>
      <c r="Q264" s="2322"/>
      <c r="R264" s="2322"/>
      <c r="S264" s="2322"/>
      <c r="T264" s="2322"/>
      <c r="U264" s="2322"/>
      <c r="V264" s="2322"/>
      <c r="W264" s="2322"/>
      <c r="X264" s="2322"/>
      <c r="Y264" s="2322"/>
      <c r="Z264" s="2322"/>
      <c r="AA264" s="2322"/>
      <c r="AB264" s="2322"/>
      <c r="AC264" s="2322"/>
      <c r="AD264" s="2322"/>
      <c r="AE264" s="2322"/>
      <c r="AF264" s="2322"/>
      <c r="AG264" s="2322"/>
      <c r="AH264" s="2322"/>
      <c r="AI264" s="2322"/>
      <c r="AJ264" s="2322"/>
      <c r="AK264" s="2322"/>
      <c r="AL264" s="2322"/>
      <c r="AM264" s="2322"/>
      <c r="AN264" s="2322"/>
      <c r="AO264" s="2322"/>
      <c r="AP264" s="2322"/>
      <c r="AQ264" s="2322"/>
      <c r="AR264" s="2322"/>
      <c r="AS264" s="2322"/>
      <c r="AT264" s="2322"/>
      <c r="AU264" s="2322"/>
      <c r="AV264" s="2322"/>
      <c r="AW264" s="2322"/>
      <c r="AX264" s="2322"/>
      <c r="AY264" s="2322"/>
      <c r="AZ264" s="2322"/>
      <c r="BA264" s="2322"/>
      <c r="BB264" s="2322"/>
      <c r="BC264" s="2322"/>
      <c r="BD264" s="2322"/>
      <c r="BE264" s="2322"/>
      <c r="BF264" s="2322"/>
      <c r="BG264" s="2322"/>
      <c r="BH264" s="2322"/>
      <c r="BI264" s="2322"/>
      <c r="BJ264" s="2322"/>
      <c r="BK264" s="2322"/>
      <c r="BL264" s="2322"/>
      <c r="BM264" s="2322"/>
      <c r="BN264" s="2322"/>
      <c r="BO264" s="2322"/>
      <c r="BP264" s="2322"/>
      <c r="BQ264" s="2322"/>
      <c r="BR264" s="2322"/>
      <c r="BS264" s="2322"/>
      <c r="BT264" s="2322"/>
      <c r="BU264" s="2322"/>
      <c r="BV264" s="2322"/>
      <c r="BW264" s="2322"/>
      <c r="BX264" s="2322"/>
      <c r="BY264" s="2322"/>
      <c r="BZ264" s="2322"/>
      <c r="CA264" s="2322"/>
      <c r="CB264" s="2322"/>
      <c r="CC264" s="2322"/>
      <c r="CD264" s="2322"/>
      <c r="CE264" s="2322"/>
      <c r="CF264" s="2322"/>
      <c r="CG264" s="2322"/>
      <c r="CH264" s="2322"/>
      <c r="CI264" s="2322"/>
      <c r="CJ264" s="2322"/>
      <c r="CK264" s="2322"/>
      <c r="CL264" s="2322"/>
      <c r="CM264" s="2322"/>
      <c r="CN264" s="2322"/>
      <c r="CO264" s="2322"/>
      <c r="CP264" s="2322"/>
      <c r="CQ264" s="2322"/>
      <c r="CR264" s="2322"/>
      <c r="CS264" s="2322"/>
      <c r="CT264" s="2322"/>
      <c r="CU264" s="2322"/>
      <c r="CV264" s="2322"/>
    </row>
    <row r="265" spans="1:100" ht="15.75" customHeight="1">
      <c r="A265" s="2328"/>
      <c r="B265" s="2322"/>
      <c r="C265" s="2322"/>
      <c r="D265" s="2322"/>
      <c r="E265" s="2322"/>
      <c r="F265" s="2322"/>
      <c r="G265" s="2322"/>
      <c r="H265" s="2322"/>
      <c r="I265" s="2322"/>
      <c r="J265" s="2322"/>
      <c r="K265" s="2322"/>
      <c r="L265" s="2322"/>
      <c r="M265" s="2322"/>
      <c r="N265" s="2322"/>
      <c r="O265" s="2322"/>
      <c r="P265" s="2322"/>
      <c r="Q265" s="2322"/>
      <c r="R265" s="2322"/>
      <c r="S265" s="2322"/>
      <c r="T265" s="2322"/>
      <c r="U265" s="2322"/>
      <c r="V265" s="2322"/>
      <c r="W265" s="2322"/>
      <c r="X265" s="2322"/>
      <c r="Y265" s="2322"/>
      <c r="Z265" s="2322"/>
      <c r="AA265" s="2322"/>
      <c r="AB265" s="2322"/>
      <c r="AC265" s="2322"/>
      <c r="AD265" s="2322"/>
      <c r="AE265" s="2322"/>
      <c r="AF265" s="2322"/>
      <c r="AG265" s="2322"/>
      <c r="AH265" s="2322"/>
      <c r="AI265" s="2322"/>
      <c r="AJ265" s="2322"/>
      <c r="AK265" s="2322"/>
      <c r="AL265" s="2322"/>
      <c r="AM265" s="2322"/>
      <c r="AN265" s="2322"/>
      <c r="AO265" s="2322"/>
      <c r="AP265" s="2322"/>
      <c r="AQ265" s="2322"/>
      <c r="AR265" s="2322"/>
      <c r="AS265" s="2322"/>
      <c r="AT265" s="2322"/>
      <c r="AU265" s="2322"/>
      <c r="AV265" s="2322"/>
      <c r="AW265" s="2322"/>
      <c r="AX265" s="2322"/>
      <c r="AY265" s="2322"/>
      <c r="AZ265" s="2322"/>
      <c r="BA265" s="2322"/>
      <c r="BB265" s="2322"/>
      <c r="BC265" s="2322"/>
      <c r="BD265" s="2322"/>
      <c r="BE265" s="2322"/>
      <c r="BF265" s="2322"/>
      <c r="BG265" s="2322"/>
      <c r="BH265" s="2322"/>
      <c r="BI265" s="2322"/>
      <c r="BJ265" s="2322"/>
      <c r="BK265" s="2322"/>
      <c r="BL265" s="2322"/>
      <c r="BM265" s="2322"/>
      <c r="BN265" s="2322"/>
      <c r="BO265" s="2322"/>
      <c r="BP265" s="2322"/>
      <c r="BQ265" s="2322"/>
      <c r="BR265" s="2322"/>
      <c r="BS265" s="2322"/>
      <c r="BT265" s="2322"/>
      <c r="BU265" s="2322"/>
      <c r="BV265" s="2322"/>
      <c r="BW265" s="2322"/>
      <c r="BX265" s="2322"/>
      <c r="BY265" s="2322"/>
      <c r="BZ265" s="2322"/>
      <c r="CA265" s="2322"/>
      <c r="CB265" s="2322"/>
      <c r="CC265" s="2322"/>
      <c r="CD265" s="2322"/>
      <c r="CE265" s="2322"/>
      <c r="CF265" s="2322"/>
      <c r="CG265" s="2322"/>
      <c r="CH265" s="2322"/>
      <c r="CI265" s="2322"/>
      <c r="CJ265" s="2322"/>
      <c r="CK265" s="2322"/>
      <c r="CL265" s="2322"/>
      <c r="CM265" s="2322"/>
      <c r="CN265" s="2322"/>
      <c r="CO265" s="2322"/>
      <c r="CP265" s="2322"/>
      <c r="CQ265" s="2322"/>
      <c r="CR265" s="2322"/>
      <c r="CS265" s="2322"/>
      <c r="CT265" s="2322"/>
      <c r="CU265" s="2322"/>
      <c r="CV265" s="2322"/>
    </row>
    <row r="266" spans="1:100" ht="15.75" customHeight="1">
      <c r="A266" s="2328"/>
      <c r="B266" s="2322"/>
      <c r="C266" s="2322"/>
      <c r="D266" s="2322"/>
      <c r="E266" s="2322"/>
      <c r="F266" s="2322"/>
      <c r="G266" s="2322"/>
      <c r="H266" s="2322"/>
      <c r="I266" s="2322"/>
      <c r="J266" s="2322"/>
      <c r="K266" s="2322"/>
      <c r="L266" s="2322"/>
      <c r="M266" s="2322"/>
      <c r="N266" s="2322"/>
      <c r="O266" s="2322"/>
      <c r="P266" s="2322"/>
      <c r="Q266" s="2322"/>
      <c r="R266" s="2322"/>
      <c r="S266" s="2322"/>
      <c r="T266" s="2322"/>
      <c r="U266" s="2322"/>
      <c r="V266" s="2322"/>
      <c r="W266" s="2322"/>
      <c r="X266" s="2322"/>
      <c r="Y266" s="2322"/>
      <c r="Z266" s="2322"/>
      <c r="AA266" s="2322"/>
      <c r="AB266" s="2322"/>
      <c r="AC266" s="2322"/>
      <c r="AD266" s="2322"/>
      <c r="AE266" s="2322"/>
      <c r="AF266" s="2322"/>
      <c r="AG266" s="2322"/>
      <c r="AH266" s="2322"/>
      <c r="AI266" s="2322"/>
      <c r="AJ266" s="2322"/>
      <c r="AK266" s="2322"/>
      <c r="AL266" s="2322"/>
      <c r="AM266" s="2322"/>
      <c r="AN266" s="2322"/>
      <c r="AO266" s="2322"/>
      <c r="AP266" s="2322"/>
      <c r="AQ266" s="2322"/>
      <c r="AR266" s="2322"/>
      <c r="AS266" s="2322"/>
      <c r="AT266" s="2322"/>
      <c r="AU266" s="2322"/>
      <c r="AV266" s="2322"/>
      <c r="AW266" s="2322"/>
      <c r="AX266" s="2322"/>
      <c r="AY266" s="2322"/>
      <c r="AZ266" s="2322"/>
      <c r="BA266" s="2322"/>
      <c r="BB266" s="2322"/>
      <c r="BC266" s="2322"/>
      <c r="BD266" s="2322"/>
      <c r="BE266" s="2322"/>
      <c r="BF266" s="2322"/>
      <c r="BG266" s="2322"/>
      <c r="BH266" s="2322"/>
      <c r="BI266" s="2322"/>
      <c r="BJ266" s="2322"/>
      <c r="BK266" s="2322"/>
      <c r="BL266" s="2322"/>
      <c r="BM266" s="2322"/>
      <c r="BN266" s="2322"/>
      <c r="BO266" s="2322"/>
      <c r="BP266" s="2322"/>
      <c r="BQ266" s="2322"/>
      <c r="BR266" s="2322"/>
      <c r="BS266" s="2322"/>
      <c r="BT266" s="2322"/>
      <c r="BU266" s="2322"/>
      <c r="BV266" s="2322"/>
      <c r="BW266" s="2322"/>
      <c r="BX266" s="2322"/>
      <c r="BY266" s="2322"/>
      <c r="BZ266" s="2322"/>
      <c r="CA266" s="2322"/>
      <c r="CB266" s="2322"/>
      <c r="CC266" s="2322"/>
      <c r="CD266" s="2322"/>
      <c r="CE266" s="2322"/>
      <c r="CF266" s="2322"/>
      <c r="CG266" s="2322"/>
      <c r="CH266" s="2322"/>
      <c r="CI266" s="2322"/>
      <c r="CJ266" s="2322"/>
      <c r="CK266" s="2322"/>
      <c r="CL266" s="2322"/>
      <c r="CM266" s="2322"/>
      <c r="CN266" s="2322"/>
      <c r="CO266" s="2322"/>
      <c r="CP266" s="2322"/>
      <c r="CQ266" s="2322"/>
      <c r="CR266" s="2322"/>
      <c r="CS266" s="2322"/>
      <c r="CT266" s="2322"/>
      <c r="CU266" s="2322"/>
      <c r="CV266" s="2322"/>
    </row>
    <row r="267" spans="1:100" ht="15.75" customHeight="1">
      <c r="A267" s="2328"/>
      <c r="B267" s="2322"/>
      <c r="C267" s="2322"/>
      <c r="D267" s="2322"/>
      <c r="E267" s="2322"/>
      <c r="F267" s="2322"/>
      <c r="G267" s="2322"/>
      <c r="H267" s="2322"/>
      <c r="I267" s="2322"/>
      <c r="J267" s="2322"/>
      <c r="K267" s="2322"/>
      <c r="L267" s="2322"/>
      <c r="M267" s="2322"/>
      <c r="N267" s="2322"/>
      <c r="O267" s="2322"/>
      <c r="P267" s="2322"/>
      <c r="Q267" s="2322"/>
      <c r="R267" s="2322"/>
      <c r="S267" s="2322"/>
      <c r="T267" s="2322"/>
      <c r="U267" s="2322"/>
      <c r="V267" s="2322"/>
      <c r="W267" s="2322"/>
      <c r="X267" s="2322"/>
      <c r="Y267" s="2322"/>
      <c r="Z267" s="2322"/>
      <c r="AA267" s="2322"/>
      <c r="AB267" s="2322"/>
      <c r="AC267" s="2322"/>
      <c r="AD267" s="2322"/>
      <c r="AE267" s="2322"/>
      <c r="AF267" s="2322"/>
      <c r="AG267" s="2322"/>
      <c r="AH267" s="2322"/>
      <c r="AI267" s="2322"/>
      <c r="AJ267" s="2322"/>
      <c r="AK267" s="2322"/>
      <c r="AL267" s="2322"/>
      <c r="AM267" s="2322"/>
      <c r="AN267" s="2322"/>
      <c r="AO267" s="2322"/>
      <c r="AP267" s="2322"/>
      <c r="AQ267" s="2322"/>
      <c r="AR267" s="2322"/>
      <c r="AS267" s="2322"/>
      <c r="AT267" s="2322"/>
      <c r="AU267" s="2322"/>
      <c r="AV267" s="2322"/>
      <c r="AW267" s="2322"/>
      <c r="AX267" s="2322"/>
      <c r="AY267" s="2322"/>
      <c r="AZ267" s="2322"/>
      <c r="BA267" s="2322"/>
      <c r="BB267" s="2322"/>
      <c r="BC267" s="2322"/>
      <c r="BD267" s="2322"/>
      <c r="BE267" s="2322"/>
      <c r="BF267" s="2322"/>
      <c r="BG267" s="2322"/>
      <c r="BH267" s="2322"/>
      <c r="BI267" s="2322"/>
      <c r="BJ267" s="2322"/>
      <c r="BK267" s="2322"/>
      <c r="BL267" s="2322"/>
      <c r="BM267" s="2322"/>
      <c r="BN267" s="2322"/>
      <c r="BO267" s="2322"/>
      <c r="BP267" s="2322"/>
      <c r="BQ267" s="2322"/>
      <c r="BR267" s="2322"/>
      <c r="BS267" s="2322"/>
      <c r="BT267" s="2322"/>
      <c r="BU267" s="2322"/>
      <c r="BV267" s="2322"/>
      <c r="BW267" s="2322"/>
      <c r="BX267" s="2322"/>
      <c r="BY267" s="2322"/>
      <c r="BZ267" s="2322"/>
      <c r="CA267" s="2322"/>
      <c r="CB267" s="2322"/>
      <c r="CC267" s="2322"/>
      <c r="CD267" s="2322"/>
      <c r="CE267" s="2322"/>
      <c r="CF267" s="2322"/>
      <c r="CG267" s="2322"/>
      <c r="CH267" s="2322"/>
      <c r="CI267" s="2322"/>
      <c r="CJ267" s="2322"/>
      <c r="CK267" s="2322"/>
      <c r="CL267" s="2322"/>
      <c r="CM267" s="2322"/>
      <c r="CN267" s="2322"/>
      <c r="CO267" s="2322"/>
      <c r="CP267" s="2322"/>
      <c r="CQ267" s="2322"/>
      <c r="CR267" s="2322"/>
      <c r="CS267" s="2322"/>
      <c r="CT267" s="2322"/>
      <c r="CU267" s="2322"/>
      <c r="CV267" s="2322"/>
    </row>
    <row r="268" spans="1:100" ht="15.75" customHeight="1">
      <c r="A268" s="2328"/>
      <c r="B268" s="2322"/>
      <c r="C268" s="2322"/>
      <c r="D268" s="2322"/>
      <c r="E268" s="2322"/>
      <c r="F268" s="2322"/>
      <c r="G268" s="2322"/>
      <c r="H268" s="2322"/>
      <c r="I268" s="2322"/>
      <c r="J268" s="2322"/>
      <c r="K268" s="2322"/>
      <c r="L268" s="2322"/>
      <c r="M268" s="2322"/>
      <c r="N268" s="2322"/>
      <c r="O268" s="2322"/>
      <c r="P268" s="2322"/>
      <c r="Q268" s="2322"/>
      <c r="R268" s="2322"/>
      <c r="S268" s="2322"/>
      <c r="T268" s="2322"/>
      <c r="U268" s="2322"/>
      <c r="V268" s="2322"/>
      <c r="W268" s="2322"/>
      <c r="X268" s="2322"/>
      <c r="Y268" s="2322"/>
      <c r="Z268" s="2322"/>
      <c r="AA268" s="2322"/>
      <c r="AB268" s="2322"/>
      <c r="AC268" s="2322"/>
      <c r="AD268" s="2322"/>
      <c r="AE268" s="2322"/>
      <c r="AF268" s="2322"/>
      <c r="AG268" s="2322"/>
      <c r="AH268" s="2322"/>
      <c r="AI268" s="2322"/>
      <c r="AJ268" s="2322"/>
      <c r="AK268" s="2322"/>
      <c r="AL268" s="2322"/>
      <c r="AM268" s="2322"/>
      <c r="AN268" s="2322"/>
      <c r="AO268" s="2322"/>
      <c r="AP268" s="2322"/>
      <c r="AQ268" s="2322"/>
      <c r="AR268" s="2322"/>
      <c r="AS268" s="2322"/>
      <c r="AT268" s="2322"/>
      <c r="AU268" s="2322"/>
      <c r="AV268" s="2322"/>
      <c r="AW268" s="2322"/>
      <c r="AX268" s="2322"/>
      <c r="AY268" s="2322"/>
      <c r="AZ268" s="2322"/>
      <c r="BA268" s="2322"/>
      <c r="BB268" s="2322"/>
      <c r="BC268" s="2322"/>
      <c r="BD268" s="2322"/>
      <c r="BE268" s="2322"/>
      <c r="BF268" s="2322"/>
      <c r="BG268" s="2322"/>
      <c r="BH268" s="2322"/>
      <c r="BI268" s="2322"/>
      <c r="BJ268" s="2322"/>
      <c r="BK268" s="2322"/>
      <c r="BL268" s="2322"/>
      <c r="BM268" s="2322"/>
      <c r="BN268" s="2322"/>
      <c r="BO268" s="2322"/>
      <c r="BP268" s="2322"/>
      <c r="BQ268" s="2322"/>
      <c r="BR268" s="2322"/>
      <c r="BS268" s="2322"/>
      <c r="BT268" s="2322"/>
      <c r="BU268" s="2322"/>
      <c r="BV268" s="2322"/>
      <c r="BW268" s="2322"/>
      <c r="BX268" s="2322"/>
      <c r="BY268" s="2322"/>
      <c r="BZ268" s="2322"/>
      <c r="CA268" s="2322"/>
      <c r="CB268" s="2322"/>
      <c r="CC268" s="2322"/>
      <c r="CD268" s="2322"/>
      <c r="CE268" s="2322"/>
      <c r="CF268" s="2322"/>
      <c r="CG268" s="2322"/>
      <c r="CH268" s="2322"/>
      <c r="CI268" s="2322"/>
      <c r="CJ268" s="2322"/>
      <c r="CK268" s="2322"/>
      <c r="CL268" s="2322"/>
      <c r="CM268" s="2322"/>
      <c r="CN268" s="2322"/>
      <c r="CO268" s="2322"/>
      <c r="CP268" s="2322"/>
      <c r="CQ268" s="2322"/>
      <c r="CR268" s="2322"/>
      <c r="CS268" s="2322"/>
      <c r="CT268" s="2322"/>
      <c r="CU268" s="2322"/>
      <c r="CV268" s="2322"/>
    </row>
    <row r="269" spans="1:100" ht="15.75" customHeight="1">
      <c r="A269" s="2328"/>
      <c r="B269" s="2322"/>
      <c r="C269" s="2322"/>
      <c r="D269" s="2322"/>
      <c r="E269" s="2322"/>
      <c r="F269" s="2322"/>
      <c r="G269" s="2322"/>
      <c r="H269" s="2322"/>
      <c r="I269" s="2322"/>
      <c r="J269" s="2322"/>
      <c r="K269" s="2322"/>
      <c r="L269" s="2322"/>
      <c r="M269" s="2322"/>
      <c r="N269" s="2322"/>
      <c r="O269" s="2322"/>
      <c r="P269" s="2322"/>
      <c r="Q269" s="2322"/>
      <c r="R269" s="2322"/>
      <c r="S269" s="2322"/>
      <c r="T269" s="2322"/>
      <c r="U269" s="2322"/>
      <c r="V269" s="2322"/>
      <c r="W269" s="2322"/>
      <c r="X269" s="2322"/>
      <c r="Y269" s="2322"/>
      <c r="Z269" s="2322"/>
      <c r="AA269" s="2322"/>
      <c r="AB269" s="2322"/>
      <c r="AC269" s="2322"/>
      <c r="AD269" s="2322"/>
      <c r="AE269" s="2322"/>
      <c r="AF269" s="2322"/>
      <c r="AG269" s="2322"/>
      <c r="AH269" s="2322"/>
      <c r="AI269" s="2322"/>
      <c r="AJ269" s="2322"/>
      <c r="AK269" s="2322"/>
      <c r="AL269" s="2322"/>
      <c r="AM269" s="2322"/>
      <c r="AN269" s="2322"/>
      <c r="AO269" s="2322"/>
      <c r="AP269" s="2322"/>
      <c r="AQ269" s="2322"/>
      <c r="AR269" s="2322"/>
      <c r="AS269" s="2322"/>
      <c r="AT269" s="2322"/>
      <c r="AU269" s="2322"/>
      <c r="AV269" s="2322"/>
      <c r="AW269" s="2322"/>
      <c r="AX269" s="2322"/>
      <c r="AY269" s="2322"/>
      <c r="AZ269" s="2322"/>
      <c r="BA269" s="2322"/>
      <c r="BB269" s="2322"/>
      <c r="BC269" s="2322"/>
      <c r="BD269" s="2322"/>
      <c r="BE269" s="2322"/>
      <c r="BF269" s="2322"/>
      <c r="BG269" s="2322"/>
      <c r="BH269" s="2322"/>
      <c r="BI269" s="2322"/>
      <c r="BJ269" s="2322"/>
      <c r="BK269" s="2322"/>
      <c r="BL269" s="2322"/>
      <c r="BM269" s="2322"/>
      <c r="BN269" s="2322"/>
      <c r="BO269" s="2322"/>
      <c r="BP269" s="2322"/>
      <c r="BQ269" s="2322"/>
      <c r="BR269" s="2322"/>
      <c r="BS269" s="2322"/>
      <c r="BT269" s="2322"/>
      <c r="BU269" s="2322"/>
      <c r="BV269" s="2322"/>
      <c r="BW269" s="2322"/>
      <c r="BX269" s="2322"/>
      <c r="BY269" s="2322"/>
      <c r="BZ269" s="2322"/>
      <c r="CA269" s="2322"/>
      <c r="CB269" s="2322"/>
      <c r="CC269" s="2322"/>
      <c r="CD269" s="2322"/>
      <c r="CE269" s="2322"/>
      <c r="CF269" s="2322"/>
      <c r="CG269" s="2322"/>
      <c r="CH269" s="2322"/>
      <c r="CI269" s="2322"/>
      <c r="CJ269" s="2322"/>
      <c r="CK269" s="2322"/>
      <c r="CL269" s="2322"/>
      <c r="CM269" s="2322"/>
      <c r="CN269" s="2322"/>
      <c r="CO269" s="2322"/>
      <c r="CP269" s="2322"/>
      <c r="CQ269" s="2322"/>
      <c r="CR269" s="2322"/>
      <c r="CS269" s="2322"/>
      <c r="CT269" s="2322"/>
      <c r="CU269" s="2322"/>
      <c r="CV269" s="2322"/>
    </row>
    <row r="270" spans="1:100" ht="15.75" customHeight="1">
      <c r="A270" s="2328"/>
      <c r="B270" s="2322"/>
      <c r="C270" s="2322"/>
      <c r="D270" s="2322"/>
      <c r="E270" s="2322"/>
      <c r="F270" s="2322"/>
      <c r="G270" s="2322"/>
      <c r="H270" s="2322"/>
      <c r="I270" s="2322"/>
      <c r="J270" s="2322"/>
      <c r="K270" s="2322"/>
      <c r="L270" s="2322"/>
      <c r="M270" s="2322"/>
      <c r="N270" s="2322"/>
      <c r="O270" s="2322"/>
      <c r="P270" s="2322"/>
      <c r="Q270" s="2322"/>
      <c r="R270" s="2322"/>
      <c r="S270" s="2322"/>
      <c r="T270" s="2322"/>
      <c r="U270" s="2322"/>
      <c r="V270" s="2322"/>
      <c r="W270" s="2322"/>
      <c r="X270" s="2322"/>
      <c r="Y270" s="2322"/>
      <c r="Z270" s="2322"/>
      <c r="AA270" s="2322"/>
      <c r="AB270" s="2322"/>
      <c r="AC270" s="2322"/>
      <c r="AD270" s="2322"/>
      <c r="AE270" s="2322"/>
      <c r="AF270" s="2322"/>
      <c r="AG270" s="2322"/>
      <c r="AH270" s="2322"/>
      <c r="AI270" s="2322"/>
      <c r="AJ270" s="2322"/>
      <c r="AK270" s="2322"/>
      <c r="AL270" s="2322"/>
      <c r="AM270" s="2322"/>
      <c r="AN270" s="2322"/>
      <c r="AO270" s="2322"/>
      <c r="AP270" s="2322"/>
      <c r="AQ270" s="2322"/>
      <c r="AR270" s="2322"/>
      <c r="AS270" s="2322"/>
      <c r="AT270" s="2322"/>
      <c r="AU270" s="2322"/>
      <c r="AV270" s="2322"/>
      <c r="AW270" s="2322"/>
      <c r="AX270" s="2322"/>
      <c r="AY270" s="2322"/>
      <c r="AZ270" s="2322"/>
      <c r="BA270" s="2322"/>
      <c r="BB270" s="2322"/>
      <c r="BC270" s="2322"/>
      <c r="BD270" s="2322"/>
      <c r="BE270" s="2322"/>
      <c r="BF270" s="2322"/>
      <c r="BG270" s="2322"/>
      <c r="BH270" s="2322"/>
      <c r="BI270" s="2322"/>
      <c r="BJ270" s="2322"/>
      <c r="BK270" s="2322"/>
      <c r="BL270" s="2322"/>
      <c r="BM270" s="2322"/>
      <c r="BN270" s="2322"/>
      <c r="BO270" s="2322"/>
      <c r="BP270" s="2322"/>
      <c r="BQ270" s="2322"/>
      <c r="BR270" s="2322"/>
      <c r="BS270" s="2322"/>
      <c r="BT270" s="2322"/>
      <c r="BU270" s="2322"/>
      <c r="BV270" s="2322"/>
      <c r="BW270" s="2322"/>
      <c r="BX270" s="2322"/>
      <c r="BY270" s="2322"/>
      <c r="BZ270" s="2322"/>
      <c r="CA270" s="2322"/>
      <c r="CB270" s="2322"/>
      <c r="CC270" s="2322"/>
      <c r="CD270" s="2322"/>
      <c r="CE270" s="2322"/>
      <c r="CF270" s="2322"/>
      <c r="CG270" s="2322"/>
      <c r="CH270" s="2322"/>
      <c r="CI270" s="2322"/>
      <c r="CJ270" s="2322"/>
      <c r="CK270" s="2322"/>
      <c r="CL270" s="2322"/>
      <c r="CM270" s="2322"/>
      <c r="CN270" s="2322"/>
      <c r="CO270" s="2322"/>
      <c r="CP270" s="2322"/>
      <c r="CQ270" s="2322"/>
      <c r="CR270" s="2322"/>
      <c r="CS270" s="2322"/>
      <c r="CT270" s="2322"/>
      <c r="CU270" s="2322"/>
      <c r="CV270" s="2322"/>
    </row>
    <row r="271" spans="1:100" ht="15.75" customHeight="1">
      <c r="A271" s="2328"/>
      <c r="B271" s="2322"/>
      <c r="C271" s="2322"/>
      <c r="D271" s="2322"/>
      <c r="E271" s="2322"/>
      <c r="F271" s="2322"/>
      <c r="G271" s="2322"/>
      <c r="H271" s="2322"/>
      <c r="I271" s="2322"/>
      <c r="J271" s="2322"/>
      <c r="K271" s="2322"/>
      <c r="L271" s="2322"/>
      <c r="M271" s="2322"/>
      <c r="N271" s="2322"/>
      <c r="O271" s="2322"/>
      <c r="P271" s="2322"/>
      <c r="Q271" s="2322"/>
      <c r="R271" s="2322"/>
      <c r="S271" s="2322"/>
      <c r="T271" s="2322"/>
      <c r="U271" s="2322"/>
      <c r="V271" s="2322"/>
      <c r="W271" s="2322"/>
      <c r="X271" s="2322"/>
      <c r="Y271" s="2322"/>
      <c r="Z271" s="2322"/>
      <c r="AA271" s="2322"/>
      <c r="AB271" s="2322"/>
      <c r="AC271" s="2322"/>
      <c r="AD271" s="2322"/>
      <c r="AE271" s="2322"/>
      <c r="AF271" s="2322"/>
      <c r="AG271" s="2322"/>
      <c r="AH271" s="2322"/>
      <c r="AI271" s="2322"/>
      <c r="AJ271" s="2322"/>
      <c r="AK271" s="2322"/>
      <c r="AL271" s="2322"/>
      <c r="AM271" s="2322"/>
      <c r="AN271" s="2322"/>
      <c r="AO271" s="2322"/>
      <c r="AP271" s="2322"/>
      <c r="AQ271" s="2322"/>
      <c r="AR271" s="2322"/>
      <c r="AS271" s="2322"/>
      <c r="AT271" s="2322"/>
      <c r="AU271" s="2322"/>
      <c r="AV271" s="2322"/>
      <c r="AW271" s="2322"/>
      <c r="AX271" s="2322"/>
      <c r="AY271" s="2322"/>
      <c r="AZ271" s="2322"/>
      <c r="BA271" s="2322"/>
      <c r="BB271" s="2322"/>
      <c r="BC271" s="2322"/>
      <c r="BD271" s="2322"/>
      <c r="BE271" s="2322"/>
      <c r="BF271" s="2322"/>
      <c r="BG271" s="2322"/>
      <c r="BH271" s="2322"/>
      <c r="BI271" s="2322"/>
      <c r="BJ271" s="2322"/>
      <c r="BK271" s="2322"/>
      <c r="BL271" s="2322"/>
      <c r="BM271" s="2322"/>
      <c r="BN271" s="2322"/>
      <c r="BO271" s="2322"/>
      <c r="BP271" s="2322"/>
      <c r="BQ271" s="2322"/>
      <c r="BR271" s="2322"/>
      <c r="BS271" s="2322"/>
      <c r="BT271" s="2322"/>
      <c r="BU271" s="2322"/>
      <c r="BV271" s="2322"/>
      <c r="BW271" s="2322"/>
      <c r="BX271" s="2322"/>
      <c r="BY271" s="2322"/>
      <c r="BZ271" s="2322"/>
      <c r="CA271" s="2322"/>
      <c r="CB271" s="2322"/>
      <c r="CC271" s="2322"/>
      <c r="CD271" s="2322"/>
      <c r="CE271" s="2322"/>
      <c r="CF271" s="2322"/>
      <c r="CG271" s="2322"/>
      <c r="CH271" s="2322"/>
      <c r="CI271" s="2322"/>
      <c r="CJ271" s="2322"/>
      <c r="CK271" s="2322"/>
      <c r="CL271" s="2322"/>
      <c r="CM271" s="2322"/>
      <c r="CN271" s="2322"/>
      <c r="CO271" s="2322"/>
      <c r="CP271" s="2322"/>
      <c r="CQ271" s="2322"/>
      <c r="CR271" s="2322"/>
      <c r="CS271" s="2322"/>
      <c r="CT271" s="2322"/>
      <c r="CU271" s="2322"/>
      <c r="CV271" s="2322"/>
    </row>
    <row r="272" spans="1:100" ht="15.75" customHeight="1">
      <c r="A272" s="2328"/>
      <c r="B272" s="2322"/>
      <c r="C272" s="2322"/>
      <c r="D272" s="2322"/>
      <c r="E272" s="2322"/>
      <c r="F272" s="2322"/>
      <c r="G272" s="2322"/>
      <c r="H272" s="2322"/>
      <c r="I272" s="2322"/>
      <c r="J272" s="2322"/>
      <c r="K272" s="2322"/>
      <c r="L272" s="2322"/>
      <c r="M272" s="2322"/>
      <c r="N272" s="2322"/>
      <c r="O272" s="2322"/>
      <c r="P272" s="2322"/>
      <c r="Q272" s="2322"/>
      <c r="R272" s="2322"/>
      <c r="S272" s="2322"/>
      <c r="T272" s="2322"/>
      <c r="U272" s="2322"/>
      <c r="V272" s="2322"/>
      <c r="W272" s="2322"/>
      <c r="X272" s="2322"/>
      <c r="Y272" s="2322"/>
      <c r="Z272" s="2322"/>
      <c r="AA272" s="2322"/>
      <c r="AB272" s="2322"/>
      <c r="AC272" s="2322"/>
      <c r="AD272" s="2322"/>
      <c r="AE272" s="2322"/>
      <c r="AF272" s="2322"/>
      <c r="AG272" s="2322"/>
      <c r="AH272" s="2322"/>
      <c r="AI272" s="2322"/>
      <c r="AJ272" s="2322"/>
      <c r="AK272" s="2322"/>
      <c r="AL272" s="2322"/>
      <c r="AM272" s="2322"/>
      <c r="AN272" s="2322"/>
      <c r="AO272" s="2322"/>
      <c r="AP272" s="2322"/>
      <c r="AQ272" s="2322"/>
      <c r="AR272" s="2322"/>
      <c r="AS272" s="2322"/>
      <c r="AT272" s="2322"/>
      <c r="AU272" s="2322"/>
      <c r="AV272" s="2322"/>
      <c r="AW272" s="2322"/>
      <c r="AX272" s="2322"/>
      <c r="AY272" s="2322"/>
      <c r="AZ272" s="2322"/>
      <c r="BA272" s="2322"/>
      <c r="BB272" s="2322"/>
      <c r="BC272" s="2322"/>
      <c r="BD272" s="2322"/>
      <c r="BE272" s="2322"/>
      <c r="BF272" s="2322"/>
      <c r="BG272" s="2322"/>
      <c r="BH272" s="2322"/>
      <c r="BI272" s="2322"/>
      <c r="BJ272" s="2322"/>
      <c r="BK272" s="2322"/>
      <c r="BL272" s="2322"/>
      <c r="BM272" s="2322"/>
      <c r="BN272" s="2322"/>
      <c r="BO272" s="2322"/>
      <c r="BP272" s="2322"/>
      <c r="BQ272" s="2322"/>
      <c r="BR272" s="2322"/>
      <c r="BS272" s="2322"/>
      <c r="BT272" s="2322"/>
      <c r="BU272" s="2322"/>
      <c r="BV272" s="2322"/>
      <c r="BW272" s="2322"/>
      <c r="BX272" s="2322"/>
      <c r="BY272" s="2322"/>
      <c r="BZ272" s="2322"/>
      <c r="CA272" s="2322"/>
      <c r="CB272" s="2322"/>
      <c r="CC272" s="2322"/>
      <c r="CD272" s="2322"/>
      <c r="CE272" s="2322"/>
      <c r="CF272" s="2322"/>
      <c r="CG272" s="2322"/>
      <c r="CH272" s="2322"/>
      <c r="CI272" s="2322"/>
      <c r="CJ272" s="2322"/>
      <c r="CK272" s="2322"/>
      <c r="CL272" s="2322"/>
      <c r="CM272" s="2322"/>
      <c r="CN272" s="2322"/>
      <c r="CO272" s="2322"/>
      <c r="CP272" s="2322"/>
      <c r="CQ272" s="2322"/>
      <c r="CR272" s="2322"/>
      <c r="CS272" s="2322"/>
      <c r="CT272" s="2322"/>
      <c r="CU272" s="2322"/>
      <c r="CV272" s="2322"/>
    </row>
    <row r="273" spans="1:100" ht="15.75" customHeight="1">
      <c r="A273" s="2328"/>
      <c r="B273" s="2322"/>
      <c r="C273" s="2322"/>
      <c r="D273" s="2322"/>
      <c r="E273" s="2322"/>
      <c r="F273" s="2322"/>
      <c r="G273" s="2322"/>
      <c r="H273" s="2322"/>
      <c r="I273" s="2322"/>
      <c r="J273" s="2322"/>
      <c r="K273" s="2322"/>
      <c r="L273" s="2322"/>
      <c r="M273" s="2322"/>
      <c r="N273" s="2322"/>
      <c r="O273" s="2322"/>
      <c r="P273" s="2322"/>
      <c r="Q273" s="2322"/>
      <c r="R273" s="2322"/>
      <c r="S273" s="2322"/>
      <c r="T273" s="2322"/>
      <c r="U273" s="2322"/>
      <c r="V273" s="2322"/>
      <c r="W273" s="2322"/>
      <c r="X273" s="2322"/>
      <c r="Y273" s="2322"/>
      <c r="Z273" s="2322"/>
      <c r="AA273" s="2322"/>
      <c r="AB273" s="2322"/>
      <c r="AC273" s="2322"/>
      <c r="AD273" s="2322"/>
      <c r="AE273" s="2322"/>
      <c r="AF273" s="2322"/>
      <c r="AG273" s="2322"/>
      <c r="AH273" s="2322"/>
      <c r="AI273" s="2322"/>
      <c r="AJ273" s="2322"/>
      <c r="AK273" s="2322"/>
      <c r="AL273" s="2322"/>
      <c r="AM273" s="2322"/>
      <c r="AN273" s="2322"/>
      <c r="AO273" s="2322"/>
      <c r="AP273" s="2322"/>
      <c r="AQ273" s="2322"/>
      <c r="AR273" s="2322"/>
      <c r="AS273" s="2322"/>
      <c r="AT273" s="2322"/>
      <c r="AU273" s="2322"/>
      <c r="AV273" s="2322"/>
      <c r="AW273" s="2322"/>
      <c r="AX273" s="2322"/>
      <c r="AY273" s="2322"/>
      <c r="AZ273" s="2322"/>
      <c r="BA273" s="2322"/>
      <c r="BB273" s="2322"/>
      <c r="BC273" s="2322"/>
      <c r="BD273" s="2322"/>
      <c r="BE273" s="2322"/>
      <c r="BF273" s="2322"/>
      <c r="BG273" s="2322"/>
      <c r="BH273" s="2322"/>
      <c r="BI273" s="2322"/>
      <c r="BJ273" s="2322"/>
      <c r="BK273" s="2322"/>
      <c r="BL273" s="2322"/>
      <c r="BM273" s="2322"/>
      <c r="BN273" s="2322"/>
      <c r="BO273" s="2322"/>
      <c r="BP273" s="2322"/>
      <c r="BQ273" s="2322"/>
      <c r="BR273" s="2322"/>
      <c r="BS273" s="2322"/>
      <c r="BT273" s="2322"/>
      <c r="BU273" s="2322"/>
      <c r="BV273" s="2322"/>
      <c r="BW273" s="2322"/>
      <c r="BX273" s="2322"/>
      <c r="BY273" s="2322"/>
      <c r="BZ273" s="2322"/>
      <c r="CA273" s="2322"/>
      <c r="CB273" s="2322"/>
      <c r="CC273" s="2322"/>
      <c r="CD273" s="2322"/>
      <c r="CE273" s="2322"/>
      <c r="CF273" s="2322"/>
      <c r="CG273" s="2322"/>
      <c r="CH273" s="2322"/>
      <c r="CI273" s="2322"/>
      <c r="CJ273" s="2322"/>
      <c r="CK273" s="2322"/>
      <c r="CL273" s="2322"/>
      <c r="CM273" s="2322"/>
      <c r="CN273" s="2322"/>
      <c r="CO273" s="2322"/>
      <c r="CP273" s="2322"/>
      <c r="CQ273" s="2322"/>
      <c r="CR273" s="2322"/>
      <c r="CS273" s="2322"/>
      <c r="CT273" s="2322"/>
      <c r="CU273" s="2322"/>
      <c r="CV273" s="2322"/>
    </row>
    <row r="274" spans="1:100" ht="15.75" customHeight="1">
      <c r="A274" s="2328"/>
      <c r="B274" s="2322"/>
      <c r="C274" s="2322"/>
      <c r="D274" s="2322"/>
      <c r="E274" s="2322"/>
      <c r="F274" s="2322"/>
      <c r="G274" s="2322"/>
      <c r="H274" s="2322"/>
      <c r="I274" s="2322"/>
      <c r="J274" s="2322"/>
      <c r="K274" s="2322"/>
      <c r="L274" s="2322"/>
      <c r="M274" s="2322"/>
      <c r="N274" s="2322"/>
      <c r="O274" s="2322"/>
      <c r="P274" s="2322"/>
      <c r="Q274" s="2322"/>
      <c r="R274" s="2322"/>
      <c r="S274" s="2322"/>
      <c r="T274" s="2322"/>
      <c r="U274" s="2322"/>
      <c r="V274" s="2322"/>
      <c r="W274" s="2322"/>
      <c r="X274" s="2322"/>
      <c r="Y274" s="2322"/>
      <c r="Z274" s="2322"/>
      <c r="AA274" s="2322"/>
      <c r="AB274" s="2322"/>
      <c r="AC274" s="2322"/>
      <c r="AD274" s="2322"/>
      <c r="AE274" s="2322"/>
      <c r="AF274" s="2322"/>
      <c r="AG274" s="2322"/>
      <c r="AH274" s="2322"/>
      <c r="AI274" s="2322"/>
      <c r="AJ274" s="2322"/>
      <c r="AK274" s="2322"/>
      <c r="AL274" s="2322"/>
      <c r="AM274" s="2322"/>
      <c r="AN274" s="2322"/>
      <c r="AO274" s="2322"/>
      <c r="AP274" s="2322"/>
      <c r="AQ274" s="2322"/>
      <c r="AR274" s="2322"/>
      <c r="AS274" s="2322"/>
      <c r="AT274" s="2322"/>
      <c r="AU274" s="2322"/>
      <c r="AV274" s="2322"/>
      <c r="AW274" s="2322"/>
      <c r="AX274" s="2322"/>
      <c r="AY274" s="2322"/>
      <c r="AZ274" s="2322"/>
      <c r="BA274" s="2322"/>
      <c r="BB274" s="2322"/>
      <c r="BC274" s="2322"/>
      <c r="BD274" s="2322"/>
      <c r="BE274" s="2322"/>
      <c r="BF274" s="2322"/>
      <c r="BG274" s="2322"/>
      <c r="BH274" s="2322"/>
      <c r="BI274" s="2322"/>
      <c r="BJ274" s="2322"/>
      <c r="BK274" s="2322"/>
      <c r="BL274" s="2322"/>
      <c r="BM274" s="2322"/>
      <c r="BN274" s="2322"/>
      <c r="BO274" s="2322"/>
      <c r="BP274" s="2322"/>
      <c r="BQ274" s="2322"/>
      <c r="BR274" s="2322"/>
      <c r="BS274" s="2322"/>
      <c r="BT274" s="2322"/>
      <c r="BU274" s="2322"/>
      <c r="BV274" s="2322"/>
      <c r="BW274" s="2322"/>
      <c r="BX274" s="2322"/>
      <c r="BY274" s="2322"/>
      <c r="BZ274" s="2322"/>
      <c r="CA274" s="2322"/>
      <c r="CB274" s="2322"/>
      <c r="CC274" s="2322"/>
      <c r="CD274" s="2322"/>
      <c r="CE274" s="2322"/>
      <c r="CF274" s="2322"/>
      <c r="CG274" s="2322"/>
      <c r="CH274" s="2322"/>
      <c r="CI274" s="2322"/>
      <c r="CJ274" s="2322"/>
      <c r="CK274" s="2322"/>
      <c r="CL274" s="2322"/>
      <c r="CM274" s="2322"/>
      <c r="CN274" s="2322"/>
      <c r="CO274" s="2322"/>
      <c r="CP274" s="2322"/>
      <c r="CQ274" s="2322"/>
      <c r="CR274" s="2322"/>
      <c r="CS274" s="2322"/>
      <c r="CT274" s="2322"/>
      <c r="CU274" s="2322"/>
      <c r="CV274" s="2322"/>
    </row>
    <row r="275" spans="1:100" ht="15.75" customHeight="1">
      <c r="A275" s="2328"/>
      <c r="B275" s="2322"/>
      <c r="C275" s="2322"/>
      <c r="D275" s="2322"/>
      <c r="E275" s="2322"/>
      <c r="F275" s="2322"/>
      <c r="G275" s="2322"/>
      <c r="H275" s="2322"/>
      <c r="I275" s="2322"/>
      <c r="J275" s="2322"/>
      <c r="K275" s="2322"/>
      <c r="L275" s="2322"/>
      <c r="M275" s="2322"/>
      <c r="N275" s="2322"/>
      <c r="O275" s="2322"/>
      <c r="P275" s="2322"/>
      <c r="Q275" s="2322"/>
      <c r="R275" s="2322"/>
      <c r="S275" s="2322"/>
      <c r="T275" s="2322"/>
      <c r="U275" s="2322"/>
      <c r="V275" s="2322"/>
      <c r="W275" s="2322"/>
      <c r="X275" s="2322"/>
      <c r="Y275" s="2322"/>
      <c r="Z275" s="2322"/>
      <c r="AA275" s="2322"/>
      <c r="AB275" s="2322"/>
      <c r="AC275" s="2322"/>
      <c r="AD275" s="2322"/>
      <c r="AE275" s="2322"/>
      <c r="AF275" s="2322"/>
      <c r="AG275" s="2322"/>
      <c r="AH275" s="2322"/>
      <c r="AI275" s="2322"/>
      <c r="AJ275" s="2322"/>
      <c r="AK275" s="2322"/>
      <c r="AL275" s="2322"/>
      <c r="AM275" s="2322"/>
      <c r="AN275" s="2322"/>
      <c r="AO275" s="2322"/>
      <c r="AP275" s="2322"/>
      <c r="AQ275" s="2322"/>
      <c r="AR275" s="2322"/>
      <c r="AS275" s="2322"/>
      <c r="AT275" s="2322"/>
      <c r="AU275" s="2322"/>
      <c r="AV275" s="2322"/>
      <c r="AW275" s="2322"/>
      <c r="AX275" s="2322"/>
      <c r="AY275" s="2322"/>
      <c r="AZ275" s="2322"/>
      <c r="BA275" s="2322"/>
      <c r="BB275" s="2322"/>
      <c r="BC275" s="2322"/>
      <c r="BD275" s="2322"/>
      <c r="BE275" s="2322"/>
      <c r="BF275" s="2322"/>
      <c r="BG275" s="2322"/>
      <c r="BH275" s="2322"/>
      <c r="BI275" s="2322"/>
      <c r="BJ275" s="2322"/>
      <c r="BK275" s="2322"/>
      <c r="BL275" s="2322"/>
      <c r="BM275" s="2322"/>
      <c r="BN275" s="2322"/>
      <c r="BO275" s="2322"/>
      <c r="BP275" s="2322"/>
      <c r="BQ275" s="2322"/>
      <c r="BR275" s="2322"/>
      <c r="BS275" s="2322"/>
      <c r="BT275" s="2322"/>
      <c r="BU275" s="2322"/>
      <c r="BV275" s="2322"/>
      <c r="BW275" s="2322"/>
      <c r="BX275" s="2322"/>
      <c r="BY275" s="2322"/>
      <c r="BZ275" s="2322"/>
      <c r="CA275" s="2322"/>
      <c r="CB275" s="2322"/>
      <c r="CC275" s="2322"/>
      <c r="CD275" s="2322"/>
      <c r="CE275" s="2322"/>
      <c r="CF275" s="2322"/>
      <c r="CG275" s="2322"/>
      <c r="CH275" s="2322"/>
      <c r="CI275" s="2322"/>
      <c r="CJ275" s="2322"/>
      <c r="CK275" s="2322"/>
      <c r="CL275" s="2322"/>
      <c r="CM275" s="2322"/>
      <c r="CN275" s="2322"/>
      <c r="CO275" s="2322"/>
      <c r="CP275" s="2322"/>
      <c r="CQ275" s="2322"/>
      <c r="CR275" s="2322"/>
      <c r="CS275" s="2322"/>
      <c r="CT275" s="2322"/>
      <c r="CU275" s="2322"/>
      <c r="CV275" s="2322"/>
    </row>
    <row r="276" spans="1:100" ht="15.75" customHeight="1">
      <c r="A276" s="2328"/>
      <c r="B276" s="2322"/>
      <c r="C276" s="2322"/>
      <c r="D276" s="2322"/>
      <c r="E276" s="2322"/>
      <c r="F276" s="2322"/>
      <c r="G276" s="2322"/>
      <c r="H276" s="2322"/>
      <c r="I276" s="2322"/>
      <c r="J276" s="2322"/>
      <c r="K276" s="2322"/>
      <c r="L276" s="2322"/>
      <c r="M276" s="2322"/>
      <c r="N276" s="2322"/>
      <c r="O276" s="2322"/>
      <c r="P276" s="2322"/>
      <c r="Q276" s="2322"/>
      <c r="R276" s="2322"/>
      <c r="S276" s="2322"/>
      <c r="T276" s="2322"/>
      <c r="U276" s="2322"/>
      <c r="V276" s="2322"/>
      <c r="W276" s="2322"/>
      <c r="X276" s="2322"/>
      <c r="Y276" s="2322"/>
      <c r="Z276" s="2322"/>
      <c r="AA276" s="2322"/>
      <c r="AB276" s="2322"/>
      <c r="AC276" s="2322"/>
      <c r="AD276" s="2322"/>
      <c r="AE276" s="2322"/>
      <c r="AF276" s="2322"/>
      <c r="AG276" s="2322"/>
      <c r="AH276" s="2322"/>
      <c r="AI276" s="2322"/>
      <c r="AJ276" s="2322"/>
      <c r="AK276" s="2322"/>
      <c r="AL276" s="2322"/>
      <c r="AM276" s="2322"/>
      <c r="AN276" s="2322"/>
      <c r="AO276" s="2322"/>
      <c r="AP276" s="2322"/>
      <c r="AQ276" s="2322"/>
      <c r="AR276" s="2322"/>
      <c r="AS276" s="2322"/>
      <c r="AT276" s="2322"/>
      <c r="AU276" s="2322"/>
      <c r="AV276" s="2322"/>
      <c r="AW276" s="2322"/>
      <c r="AX276" s="2322"/>
      <c r="AY276" s="2322"/>
      <c r="AZ276" s="2322"/>
      <c r="BA276" s="2322"/>
      <c r="BB276" s="2322"/>
      <c r="BC276" s="2322"/>
      <c r="BD276" s="2322"/>
      <c r="BE276" s="2322"/>
      <c r="BF276" s="2322"/>
      <c r="BG276" s="2322"/>
      <c r="BH276" s="2322"/>
      <c r="BI276" s="2322"/>
      <c r="BJ276" s="2322"/>
      <c r="BK276" s="2322"/>
      <c r="BL276" s="2322"/>
      <c r="BM276" s="2322"/>
      <c r="BN276" s="2322"/>
      <c r="BO276" s="2322"/>
      <c r="BP276" s="2322"/>
      <c r="BQ276" s="2322"/>
      <c r="BR276" s="2322"/>
      <c r="BS276" s="2322"/>
      <c r="BT276" s="2322"/>
      <c r="BU276" s="2322"/>
      <c r="BV276" s="2322"/>
      <c r="BW276" s="2322"/>
      <c r="BX276" s="2322"/>
      <c r="BY276" s="2322"/>
      <c r="BZ276" s="2322"/>
      <c r="CA276" s="2322"/>
      <c r="CB276" s="2322"/>
      <c r="CC276" s="2322"/>
      <c r="CD276" s="2322"/>
      <c r="CE276" s="2322"/>
      <c r="CF276" s="2322"/>
      <c r="CG276" s="2322"/>
      <c r="CH276" s="2322"/>
      <c r="CI276" s="2322"/>
      <c r="CJ276" s="2322"/>
      <c r="CK276" s="2322"/>
      <c r="CL276" s="2322"/>
      <c r="CM276" s="2322"/>
      <c r="CN276" s="2322"/>
      <c r="CO276" s="2322"/>
      <c r="CP276" s="2322"/>
      <c r="CQ276" s="2322"/>
      <c r="CR276" s="2322"/>
      <c r="CS276" s="2322"/>
      <c r="CT276" s="2322"/>
      <c r="CU276" s="2322"/>
      <c r="CV276" s="2322"/>
    </row>
    <row r="277" spans="1:100" ht="15.75" customHeight="1">
      <c r="A277" s="2328"/>
      <c r="B277" s="2322"/>
      <c r="C277" s="2322"/>
      <c r="D277" s="2322"/>
      <c r="E277" s="2322"/>
      <c r="F277" s="2322"/>
      <c r="G277" s="2322"/>
      <c r="H277" s="2322"/>
      <c r="I277" s="2322"/>
      <c r="J277" s="2322"/>
      <c r="K277" s="2322"/>
      <c r="L277" s="2322"/>
      <c r="M277" s="2322"/>
      <c r="N277" s="2322"/>
      <c r="O277" s="2322"/>
      <c r="P277" s="2322"/>
      <c r="Q277" s="2322"/>
      <c r="R277" s="2322"/>
      <c r="S277" s="2322"/>
      <c r="T277" s="2322"/>
      <c r="U277" s="2322"/>
      <c r="V277" s="2322"/>
      <c r="W277" s="2322"/>
      <c r="X277" s="2322"/>
      <c r="Y277" s="2322"/>
      <c r="Z277" s="2322"/>
      <c r="AA277" s="2322"/>
      <c r="AB277" s="2322"/>
      <c r="AC277" s="2322"/>
      <c r="AD277" s="2322"/>
      <c r="AE277" s="2322"/>
      <c r="AF277" s="2322"/>
      <c r="AG277" s="2322"/>
      <c r="AH277" s="2322"/>
      <c r="AI277" s="2322"/>
      <c r="AJ277" s="2322"/>
      <c r="AK277" s="2322"/>
      <c r="AL277" s="2322"/>
      <c r="AM277" s="2322"/>
      <c r="AN277" s="2322"/>
      <c r="AO277" s="2322"/>
      <c r="AP277" s="2322"/>
      <c r="AQ277" s="2322"/>
      <c r="AR277" s="2322"/>
      <c r="AS277" s="2322"/>
      <c r="AT277" s="2322"/>
      <c r="AU277" s="2322"/>
      <c r="AV277" s="2322"/>
      <c r="AW277" s="2322"/>
      <c r="AX277" s="2322"/>
      <c r="AY277" s="2322"/>
      <c r="AZ277" s="2322"/>
      <c r="BA277" s="2322"/>
      <c r="BB277" s="2322"/>
      <c r="BC277" s="2322"/>
      <c r="BD277" s="2322"/>
      <c r="BE277" s="2322"/>
      <c r="BF277" s="2322"/>
      <c r="BG277" s="2322"/>
      <c r="BH277" s="2322"/>
      <c r="BI277" s="2322"/>
      <c r="BJ277" s="2322"/>
      <c r="BK277" s="2322"/>
      <c r="BL277" s="2322"/>
      <c r="BM277" s="2322"/>
      <c r="BN277" s="2322"/>
      <c r="BO277" s="2322"/>
      <c r="BP277" s="2322"/>
      <c r="BQ277" s="2322"/>
      <c r="BR277" s="2322"/>
      <c r="BS277" s="2322"/>
      <c r="BT277" s="2322"/>
      <c r="BU277" s="2322"/>
      <c r="BV277" s="2322"/>
      <c r="BW277" s="2322"/>
      <c r="BX277" s="2322"/>
      <c r="BY277" s="2322"/>
      <c r="BZ277" s="2322"/>
      <c r="CA277" s="2322"/>
      <c r="CB277" s="2322"/>
      <c r="CC277" s="2322"/>
      <c r="CD277" s="2322"/>
      <c r="CE277" s="2322"/>
      <c r="CF277" s="2322"/>
      <c r="CG277" s="2322"/>
      <c r="CH277" s="2322"/>
      <c r="CI277" s="2322"/>
      <c r="CJ277" s="2322"/>
      <c r="CK277" s="2322"/>
      <c r="CL277" s="2322"/>
      <c r="CM277" s="2322"/>
      <c r="CN277" s="2322"/>
      <c r="CO277" s="2322"/>
      <c r="CP277" s="2322"/>
      <c r="CQ277" s="2322"/>
      <c r="CR277" s="2322"/>
      <c r="CS277" s="2322"/>
      <c r="CT277" s="2322"/>
      <c r="CU277" s="2322"/>
      <c r="CV277" s="2322"/>
    </row>
    <row r="278" spans="1:100" ht="15.75" customHeight="1">
      <c r="A278" s="2328"/>
      <c r="B278" s="2322"/>
      <c r="C278" s="2322"/>
      <c r="D278" s="2322"/>
      <c r="E278" s="2322"/>
      <c r="F278" s="2322"/>
      <c r="G278" s="2322"/>
      <c r="H278" s="2322"/>
      <c r="I278" s="2322"/>
      <c r="J278" s="2322"/>
      <c r="K278" s="2322"/>
      <c r="L278" s="2322"/>
      <c r="M278" s="2322"/>
      <c r="N278" s="2322"/>
      <c r="O278" s="2322"/>
      <c r="P278" s="2322"/>
      <c r="Q278" s="2322"/>
      <c r="R278" s="2322"/>
      <c r="S278" s="2322"/>
      <c r="T278" s="2322"/>
      <c r="U278" s="2322"/>
      <c r="V278" s="2322"/>
      <c r="W278" s="2322"/>
      <c r="X278" s="2322"/>
      <c r="Y278" s="2322"/>
      <c r="Z278" s="2322"/>
      <c r="AA278" s="2322"/>
      <c r="AB278" s="2322"/>
      <c r="AC278" s="2322"/>
      <c r="AD278" s="2322"/>
      <c r="AE278" s="2322"/>
      <c r="AF278" s="2322"/>
      <c r="AG278" s="2322"/>
      <c r="AH278" s="2322"/>
      <c r="AI278" s="2322"/>
      <c r="AJ278" s="2322"/>
      <c r="AK278" s="2322"/>
      <c r="AL278" s="2322"/>
      <c r="AM278" s="2322"/>
      <c r="AN278" s="2322"/>
      <c r="AO278" s="2322"/>
      <c r="AP278" s="2322"/>
      <c r="AQ278" s="2322"/>
      <c r="AR278" s="2322"/>
      <c r="AS278" s="2322"/>
      <c r="AT278" s="2322"/>
      <c r="AU278" s="2322"/>
      <c r="AV278" s="2322"/>
      <c r="AW278" s="2322"/>
      <c r="AX278" s="2322"/>
      <c r="AY278" s="2322"/>
      <c r="AZ278" s="2322"/>
      <c r="BA278" s="2322"/>
      <c r="BB278" s="2322"/>
      <c r="BC278" s="2322"/>
      <c r="BD278" s="2322"/>
      <c r="BE278" s="2322"/>
      <c r="BF278" s="2322"/>
      <c r="BG278" s="2322"/>
      <c r="BH278" s="2322"/>
      <c r="BI278" s="2322"/>
      <c r="BJ278" s="2322"/>
      <c r="BK278" s="2322"/>
      <c r="BL278" s="2322"/>
      <c r="BM278" s="2322"/>
      <c r="BN278" s="2322"/>
      <c r="BO278" s="2322"/>
      <c r="BP278" s="2322"/>
      <c r="BQ278" s="2322"/>
      <c r="BR278" s="2322"/>
      <c r="BS278" s="2322"/>
      <c r="BT278" s="2322"/>
      <c r="BU278" s="2322"/>
      <c r="BV278" s="2322"/>
      <c r="BW278" s="2322"/>
      <c r="BX278" s="2322"/>
      <c r="BY278" s="2322"/>
      <c r="BZ278" s="2322"/>
      <c r="CA278" s="2322"/>
      <c r="CB278" s="2322"/>
      <c r="CC278" s="2322"/>
      <c r="CD278" s="2322"/>
      <c r="CE278" s="2322"/>
      <c r="CF278" s="2322"/>
      <c r="CG278" s="2322"/>
      <c r="CH278" s="2322"/>
      <c r="CI278" s="2322"/>
      <c r="CJ278" s="2322"/>
      <c r="CK278" s="2322"/>
      <c r="CL278" s="2322"/>
      <c r="CM278" s="2322"/>
      <c r="CN278" s="2322"/>
      <c r="CO278" s="2322"/>
      <c r="CP278" s="2322"/>
      <c r="CQ278" s="2322"/>
      <c r="CR278" s="2322"/>
      <c r="CS278" s="2322"/>
      <c r="CT278" s="2322"/>
      <c r="CU278" s="2322"/>
      <c r="CV278" s="2322"/>
    </row>
    <row r="279" spans="1:100" ht="15.75" customHeight="1">
      <c r="A279" s="2328"/>
      <c r="B279" s="2322"/>
      <c r="C279" s="2322"/>
      <c r="D279" s="2322"/>
      <c r="E279" s="2322"/>
      <c r="F279" s="2322"/>
      <c r="G279" s="2322"/>
      <c r="H279" s="2322"/>
      <c r="I279" s="2322"/>
      <c r="J279" s="2322"/>
      <c r="K279" s="2322"/>
      <c r="L279" s="2322"/>
      <c r="M279" s="2322"/>
      <c r="N279" s="2322"/>
      <c r="O279" s="2322"/>
      <c r="P279" s="2322"/>
      <c r="Q279" s="2322"/>
      <c r="R279" s="2322"/>
      <c r="S279" s="2322"/>
      <c r="T279" s="2322"/>
      <c r="U279" s="2322"/>
      <c r="V279" s="2322"/>
      <c r="W279" s="2322"/>
      <c r="X279" s="2322"/>
      <c r="Y279" s="2322"/>
      <c r="Z279" s="2322"/>
      <c r="AA279" s="2322"/>
      <c r="AB279" s="2322"/>
      <c r="AC279" s="2322"/>
      <c r="AD279" s="2322"/>
      <c r="AE279" s="2322"/>
      <c r="AF279" s="2322"/>
      <c r="AG279" s="2322"/>
      <c r="AH279" s="2322"/>
      <c r="AI279" s="2322"/>
      <c r="AJ279" s="2322"/>
      <c r="AK279" s="2322"/>
      <c r="AL279" s="2322"/>
      <c r="AM279" s="2322"/>
      <c r="AN279" s="2322"/>
      <c r="AO279" s="2322"/>
      <c r="AP279" s="2322"/>
      <c r="AQ279" s="2322"/>
      <c r="AR279" s="2322"/>
      <c r="AS279" s="2322"/>
      <c r="AT279" s="2322"/>
      <c r="AU279" s="2322"/>
      <c r="AV279" s="2322"/>
      <c r="AW279" s="2322"/>
      <c r="AX279" s="2322"/>
      <c r="AY279" s="2322"/>
      <c r="AZ279" s="2322"/>
      <c r="BA279" s="2322"/>
      <c r="BB279" s="2322"/>
      <c r="BC279" s="2322"/>
      <c r="BD279" s="2322"/>
      <c r="BE279" s="2322"/>
      <c r="BF279" s="2322"/>
      <c r="BG279" s="2322"/>
      <c r="BH279" s="2322"/>
      <c r="BI279" s="2322"/>
      <c r="BJ279" s="2322"/>
      <c r="BK279" s="2322"/>
      <c r="BL279" s="2322"/>
      <c r="BM279" s="2322"/>
      <c r="BN279" s="2322"/>
      <c r="BO279" s="2322"/>
      <c r="BP279" s="2322"/>
      <c r="BQ279" s="2322"/>
      <c r="BR279" s="2322"/>
      <c r="BS279" s="2322"/>
      <c r="BT279" s="2322"/>
      <c r="BU279" s="2322"/>
      <c r="BV279" s="2322"/>
      <c r="BW279" s="2322"/>
      <c r="BX279" s="2322"/>
      <c r="BY279" s="2322"/>
      <c r="BZ279" s="2322"/>
      <c r="CA279" s="2322"/>
      <c r="CB279" s="2322"/>
      <c r="CC279" s="2322"/>
      <c r="CD279" s="2322"/>
      <c r="CE279" s="2322"/>
      <c r="CF279" s="2322"/>
      <c r="CG279" s="2322"/>
      <c r="CH279" s="2322"/>
      <c r="CI279" s="2322"/>
      <c r="CJ279" s="2322"/>
      <c r="CK279" s="2322"/>
      <c r="CL279" s="2322"/>
      <c r="CM279" s="2322"/>
      <c r="CN279" s="2322"/>
      <c r="CO279" s="2322"/>
      <c r="CP279" s="2322"/>
      <c r="CQ279" s="2322"/>
      <c r="CR279" s="2322"/>
      <c r="CS279" s="2322"/>
      <c r="CT279" s="2322"/>
      <c r="CU279" s="2322"/>
      <c r="CV279" s="2322"/>
    </row>
    <row r="280" spans="1:100" ht="15.75" customHeight="1">
      <c r="A280" s="2328"/>
      <c r="B280" s="2322"/>
      <c r="C280" s="2322"/>
      <c r="D280" s="2322"/>
      <c r="E280" s="2322"/>
      <c r="F280" s="2322"/>
      <c r="G280" s="2322"/>
      <c r="H280" s="2322"/>
      <c r="I280" s="2322"/>
      <c r="J280" s="2322"/>
      <c r="K280" s="2322"/>
      <c r="L280" s="2322"/>
      <c r="M280" s="2322"/>
      <c r="N280" s="2322"/>
      <c r="O280" s="2322"/>
      <c r="P280" s="2322"/>
      <c r="Q280" s="2322"/>
      <c r="R280" s="2322"/>
      <c r="S280" s="2322"/>
      <c r="T280" s="2322"/>
      <c r="U280" s="2322"/>
      <c r="V280" s="2322"/>
      <c r="W280" s="2322"/>
      <c r="X280" s="2322"/>
      <c r="Y280" s="2322"/>
      <c r="Z280" s="2322"/>
      <c r="AA280" s="2322"/>
      <c r="AB280" s="2322"/>
      <c r="AC280" s="2322"/>
      <c r="AD280" s="2322"/>
      <c r="AE280" s="2322"/>
      <c r="AF280" s="2322"/>
      <c r="AG280" s="2322"/>
      <c r="AH280" s="2322"/>
      <c r="AI280" s="2322"/>
      <c r="AJ280" s="2322"/>
      <c r="AK280" s="2322"/>
      <c r="AL280" s="2322"/>
      <c r="AM280" s="2322"/>
      <c r="AN280" s="2322"/>
      <c r="AO280" s="2322"/>
      <c r="AP280" s="2322"/>
      <c r="AQ280" s="2322"/>
      <c r="AR280" s="2322"/>
      <c r="AS280" s="2322"/>
      <c r="AT280" s="2322"/>
      <c r="AU280" s="2322"/>
      <c r="AV280" s="2322"/>
      <c r="AW280" s="2322"/>
      <c r="AX280" s="2322"/>
      <c r="AY280" s="2322"/>
      <c r="AZ280" s="2322"/>
      <c r="BA280" s="2322"/>
      <c r="BB280" s="2322"/>
      <c r="BC280" s="2322"/>
      <c r="BD280" s="2322"/>
      <c r="BE280" s="2322"/>
      <c r="BF280" s="2322"/>
      <c r="BG280" s="2322"/>
      <c r="BH280" s="2322"/>
      <c r="BI280" s="2322"/>
      <c r="BJ280" s="2322"/>
      <c r="BK280" s="2322"/>
      <c r="BL280" s="2322"/>
      <c r="BM280" s="2322"/>
      <c r="BN280" s="2322"/>
      <c r="BO280" s="2322"/>
      <c r="BP280" s="2322"/>
      <c r="BQ280" s="2322"/>
      <c r="BR280" s="2322"/>
      <c r="BS280" s="2322"/>
      <c r="BT280" s="2322"/>
      <c r="BU280" s="2322"/>
      <c r="BV280" s="2322"/>
      <c r="BW280" s="2322"/>
      <c r="BX280" s="2322"/>
      <c r="BY280" s="2322"/>
      <c r="BZ280" s="2322"/>
      <c r="CA280" s="2322"/>
      <c r="CB280" s="2322"/>
      <c r="CC280" s="2322"/>
      <c r="CD280" s="2322"/>
      <c r="CE280" s="2322"/>
      <c r="CF280" s="2322"/>
      <c r="CG280" s="2322"/>
      <c r="CH280" s="2322"/>
      <c r="CI280" s="2322"/>
      <c r="CJ280" s="2322"/>
      <c r="CK280" s="2322"/>
      <c r="CL280" s="2322"/>
      <c r="CM280" s="2322"/>
      <c r="CN280" s="2322"/>
      <c r="CO280" s="2322"/>
      <c r="CP280" s="2322"/>
      <c r="CQ280" s="2322"/>
      <c r="CR280" s="2322"/>
      <c r="CS280" s="2322"/>
      <c r="CT280" s="2322"/>
      <c r="CU280" s="2322"/>
      <c r="CV280" s="2322"/>
    </row>
    <row r="281" spans="1:100" ht="15.75" customHeight="1">
      <c r="A281" s="2328"/>
      <c r="B281" s="2322"/>
      <c r="C281" s="2322"/>
      <c r="D281" s="2322"/>
      <c r="E281" s="2322"/>
      <c r="F281" s="2322"/>
      <c r="G281" s="2322"/>
      <c r="H281" s="2322"/>
      <c r="I281" s="2322"/>
      <c r="J281" s="2322"/>
      <c r="K281" s="2322"/>
      <c r="L281" s="2322"/>
      <c r="M281" s="2322"/>
      <c r="N281" s="2322"/>
      <c r="O281" s="2322"/>
      <c r="P281" s="2322"/>
      <c r="Q281" s="2322"/>
      <c r="R281" s="2322"/>
      <c r="S281" s="2322"/>
      <c r="T281" s="2322"/>
      <c r="U281" s="2322"/>
      <c r="V281" s="2322"/>
      <c r="W281" s="2322"/>
      <c r="X281" s="2322"/>
      <c r="Y281" s="2322"/>
      <c r="Z281" s="2322"/>
      <c r="AA281" s="2322"/>
      <c r="AB281" s="2322"/>
      <c r="AC281" s="2322"/>
      <c r="AD281" s="2322"/>
      <c r="AE281" s="2322"/>
      <c r="AF281" s="2322"/>
      <c r="AG281" s="2322"/>
      <c r="AH281" s="2322"/>
      <c r="AI281" s="2322"/>
      <c r="AJ281" s="2322"/>
      <c r="AK281" s="2322"/>
      <c r="AL281" s="2322"/>
      <c r="AM281" s="2322"/>
      <c r="AN281" s="2322"/>
      <c r="AO281" s="2322"/>
      <c r="AP281" s="2322"/>
      <c r="AQ281" s="2322"/>
      <c r="AR281" s="2322"/>
      <c r="AS281" s="2322"/>
      <c r="AT281" s="2322"/>
      <c r="AU281" s="2322"/>
      <c r="AV281" s="2322"/>
      <c r="AW281" s="2322"/>
      <c r="AX281" s="2322"/>
      <c r="AY281" s="2322"/>
      <c r="AZ281" s="2322"/>
      <c r="BA281" s="2322"/>
      <c r="BB281" s="2322"/>
      <c r="BC281" s="2322"/>
      <c r="BD281" s="2322"/>
      <c r="BE281" s="2322"/>
      <c r="BF281" s="2322"/>
      <c r="BG281" s="2322"/>
      <c r="BH281" s="2322"/>
      <c r="BI281" s="2322"/>
      <c r="BJ281" s="2322"/>
      <c r="BK281" s="2322"/>
      <c r="BL281" s="2322"/>
      <c r="BM281" s="2322"/>
      <c r="BN281" s="2322"/>
      <c r="BO281" s="2322"/>
      <c r="BP281" s="2322"/>
      <c r="BQ281" s="2322"/>
      <c r="BR281" s="2322"/>
      <c r="BS281" s="2322"/>
      <c r="BT281" s="2322"/>
      <c r="BU281" s="2322"/>
      <c r="BV281" s="2322"/>
      <c r="BW281" s="2322"/>
      <c r="BX281" s="2322"/>
      <c r="BY281" s="2322"/>
      <c r="BZ281" s="2322"/>
      <c r="CA281" s="2322"/>
      <c r="CB281" s="2322"/>
      <c r="CC281" s="2322"/>
      <c r="CD281" s="2322"/>
      <c r="CE281" s="2322"/>
      <c r="CF281" s="2322"/>
      <c r="CG281" s="2322"/>
      <c r="CH281" s="2322"/>
      <c r="CI281" s="2322"/>
      <c r="CJ281" s="2322"/>
      <c r="CK281" s="2322"/>
      <c r="CL281" s="2322"/>
      <c r="CM281" s="2322"/>
      <c r="CN281" s="2322"/>
      <c r="CO281" s="2322"/>
      <c r="CP281" s="2322"/>
      <c r="CQ281" s="2322"/>
      <c r="CR281" s="2322"/>
      <c r="CS281" s="2322"/>
      <c r="CT281" s="2322"/>
      <c r="CU281" s="2322"/>
      <c r="CV281" s="2322"/>
    </row>
    <row r="282" spans="1:100" ht="15.75" customHeight="1">
      <c r="A282" s="2328"/>
      <c r="B282" s="2322"/>
      <c r="C282" s="2322"/>
      <c r="D282" s="2322"/>
      <c r="E282" s="2322"/>
      <c r="F282" s="2322"/>
      <c r="G282" s="2322"/>
      <c r="H282" s="2322"/>
      <c r="I282" s="2322"/>
      <c r="J282" s="2322"/>
      <c r="K282" s="2322"/>
      <c r="L282" s="2322"/>
      <c r="M282" s="2322"/>
      <c r="N282" s="2322"/>
      <c r="O282" s="2322"/>
      <c r="P282" s="2322"/>
      <c r="Q282" s="2322"/>
      <c r="R282" s="2322"/>
      <c r="S282" s="2322"/>
      <c r="T282" s="2322"/>
      <c r="U282" s="2322"/>
      <c r="V282" s="2322"/>
      <c r="W282" s="2322"/>
      <c r="X282" s="2322"/>
      <c r="Y282" s="2322"/>
      <c r="Z282" s="2322"/>
      <c r="AA282" s="2322"/>
      <c r="AB282" s="2322"/>
      <c r="AC282" s="2322"/>
      <c r="AD282" s="2322"/>
      <c r="AE282" s="2322"/>
      <c r="AF282" s="2322"/>
      <c r="AG282" s="2322"/>
      <c r="AH282" s="2322"/>
      <c r="AI282" s="2322"/>
      <c r="AJ282" s="2322"/>
      <c r="AK282" s="2322"/>
      <c r="AL282" s="2322"/>
      <c r="AM282" s="2322"/>
      <c r="AN282" s="2322"/>
      <c r="AO282" s="2322"/>
      <c r="AP282" s="2322"/>
      <c r="AQ282" s="2322"/>
      <c r="AR282" s="2322"/>
      <c r="AS282" s="2322"/>
      <c r="AT282" s="2322"/>
      <c r="AU282" s="2322"/>
      <c r="AV282" s="2322"/>
      <c r="AW282" s="2322"/>
      <c r="AX282" s="2322"/>
      <c r="AY282" s="2322"/>
      <c r="AZ282" s="2322"/>
      <c r="BA282" s="2322"/>
      <c r="BB282" s="2322"/>
      <c r="BC282" s="2322"/>
      <c r="BD282" s="2322"/>
      <c r="BE282" s="2322"/>
      <c r="BF282" s="2322"/>
      <c r="BG282" s="2322"/>
      <c r="BH282" s="2322"/>
      <c r="BI282" s="2322"/>
      <c r="BJ282" s="2322"/>
      <c r="BK282" s="2322"/>
      <c r="BL282" s="2322"/>
      <c r="BM282" s="2322"/>
      <c r="BN282" s="2322"/>
      <c r="BO282" s="2322"/>
      <c r="BP282" s="2322"/>
      <c r="BQ282" s="2322"/>
      <c r="BR282" s="2322"/>
      <c r="BS282" s="2322"/>
      <c r="BT282" s="2322"/>
      <c r="BU282" s="2322"/>
      <c r="BV282" s="2322"/>
      <c r="BW282" s="2322"/>
      <c r="BX282" s="2322"/>
      <c r="BY282" s="2322"/>
      <c r="BZ282" s="2322"/>
      <c r="CA282" s="2322"/>
      <c r="CB282" s="2322"/>
      <c r="CC282" s="2322"/>
      <c r="CD282" s="2322"/>
      <c r="CE282" s="2322"/>
      <c r="CF282" s="2322"/>
      <c r="CG282" s="2322"/>
      <c r="CH282" s="2322"/>
      <c r="CI282" s="2322"/>
      <c r="CJ282" s="2322"/>
      <c r="CK282" s="2322"/>
      <c r="CL282" s="2322"/>
      <c r="CM282" s="2322"/>
      <c r="CN282" s="2322"/>
      <c r="CO282" s="2322"/>
      <c r="CP282" s="2322"/>
      <c r="CQ282" s="2322"/>
      <c r="CR282" s="2322"/>
      <c r="CS282" s="2322"/>
      <c r="CT282" s="2322"/>
      <c r="CU282" s="2322"/>
      <c r="CV282" s="2322"/>
    </row>
    <row r="283" spans="1:100" ht="15.75" customHeight="1">
      <c r="A283" s="2328"/>
      <c r="B283" s="2322"/>
      <c r="C283" s="2322"/>
      <c r="D283" s="2322"/>
      <c r="E283" s="2322"/>
      <c r="F283" s="2322"/>
      <c r="G283" s="2322"/>
      <c r="H283" s="2322"/>
      <c r="I283" s="2322"/>
      <c r="J283" s="2322"/>
      <c r="K283" s="2322"/>
      <c r="L283" s="2322"/>
      <c r="M283" s="2322"/>
      <c r="N283" s="2322"/>
      <c r="O283" s="2322"/>
      <c r="P283" s="2322"/>
      <c r="Q283" s="2322"/>
      <c r="R283" s="2322"/>
      <c r="S283" s="2322"/>
      <c r="T283" s="2322"/>
      <c r="U283" s="2322"/>
      <c r="V283" s="2322"/>
      <c r="W283" s="2322"/>
      <c r="X283" s="2322"/>
      <c r="Y283" s="2322"/>
      <c r="Z283" s="2322"/>
      <c r="AA283" s="2322"/>
      <c r="AB283" s="2322"/>
      <c r="AC283" s="2322"/>
      <c r="AD283" s="2322"/>
      <c r="AE283" s="2322"/>
      <c r="AF283" s="2322"/>
      <c r="AG283" s="2322"/>
      <c r="AH283" s="2322"/>
      <c r="AI283" s="2322"/>
      <c r="AJ283" s="2322"/>
      <c r="AK283" s="2322"/>
      <c r="AL283" s="2322"/>
      <c r="AM283" s="2322"/>
      <c r="AN283" s="2322"/>
      <c r="AO283" s="2322"/>
      <c r="AP283" s="2322"/>
      <c r="AQ283" s="2322"/>
      <c r="AR283" s="2322"/>
      <c r="AS283" s="2322"/>
      <c r="AT283" s="2322"/>
      <c r="AU283" s="2322"/>
      <c r="AV283" s="2322"/>
      <c r="AW283" s="2322"/>
      <c r="AX283" s="2322"/>
      <c r="AY283" s="2322"/>
      <c r="AZ283" s="2322"/>
      <c r="BA283" s="2322"/>
      <c r="BB283" s="2322"/>
      <c r="BC283" s="2322"/>
      <c r="BD283" s="2322"/>
      <c r="BE283" s="2322"/>
      <c r="BF283" s="2322"/>
      <c r="BG283" s="2322"/>
      <c r="BH283" s="2322"/>
      <c r="BI283" s="2322"/>
      <c r="BJ283" s="2322"/>
      <c r="BK283" s="2322"/>
      <c r="BL283" s="2322"/>
      <c r="BM283" s="2322"/>
      <c r="BN283" s="2322"/>
      <c r="BO283" s="2322"/>
      <c r="BP283" s="2322"/>
      <c r="BQ283" s="2322"/>
      <c r="BR283" s="2322"/>
      <c r="BS283" s="2322"/>
      <c r="BT283" s="2322"/>
      <c r="BU283" s="2322"/>
      <c r="BV283" s="2322"/>
      <c r="BW283" s="2322"/>
      <c r="BX283" s="2322"/>
      <c r="BY283" s="2322"/>
      <c r="BZ283" s="2322"/>
      <c r="CA283" s="2322"/>
      <c r="CB283" s="2322"/>
      <c r="CC283" s="2322"/>
      <c r="CD283" s="2322"/>
      <c r="CE283" s="2322"/>
      <c r="CF283" s="2322"/>
      <c r="CG283" s="2322"/>
      <c r="CH283" s="2322"/>
      <c r="CI283" s="2322"/>
      <c r="CJ283" s="2322"/>
      <c r="CK283" s="2322"/>
      <c r="CL283" s="2322"/>
      <c r="CM283" s="2322"/>
      <c r="CN283" s="2322"/>
      <c r="CO283" s="2322"/>
      <c r="CP283" s="2322"/>
      <c r="CQ283" s="2322"/>
      <c r="CR283" s="2322"/>
      <c r="CS283" s="2322"/>
      <c r="CT283" s="2322"/>
      <c r="CU283" s="2322"/>
      <c r="CV283" s="2322"/>
    </row>
    <row r="284" spans="1:100" ht="15.75" customHeight="1">
      <c r="A284" s="2328"/>
      <c r="B284" s="2322"/>
      <c r="C284" s="2322"/>
      <c r="D284" s="2322"/>
      <c r="E284" s="2322"/>
      <c r="F284" s="2322"/>
      <c r="G284" s="2322"/>
      <c r="H284" s="2322"/>
      <c r="I284" s="2322"/>
      <c r="J284" s="2322"/>
      <c r="K284" s="2322"/>
      <c r="L284" s="2322"/>
      <c r="M284" s="2322"/>
      <c r="N284" s="2322"/>
      <c r="O284" s="2322"/>
      <c r="P284" s="2322"/>
      <c r="Q284" s="2322"/>
      <c r="R284" s="2322"/>
      <c r="S284" s="2322"/>
      <c r="T284" s="2322"/>
      <c r="U284" s="2322"/>
      <c r="V284" s="2322"/>
      <c r="W284" s="2322"/>
      <c r="X284" s="2322"/>
      <c r="Y284" s="2322"/>
      <c r="Z284" s="2322"/>
      <c r="AA284" s="2322"/>
      <c r="AB284" s="2322"/>
      <c r="AC284" s="2322"/>
      <c r="AD284" s="2322"/>
      <c r="AE284" s="2322"/>
      <c r="AF284" s="2322"/>
      <c r="AG284" s="2322"/>
      <c r="AH284" s="2322"/>
      <c r="AI284" s="2322"/>
      <c r="AJ284" s="2322"/>
      <c r="AK284" s="2322"/>
      <c r="AL284" s="2322"/>
      <c r="AM284" s="2322"/>
      <c r="AN284" s="2322"/>
      <c r="AO284" s="2322"/>
      <c r="AP284" s="2322"/>
      <c r="AQ284" s="2322"/>
      <c r="AR284" s="2322"/>
      <c r="AS284" s="2322"/>
      <c r="AT284" s="2322"/>
      <c r="AU284" s="2322"/>
      <c r="AV284" s="2322"/>
      <c r="AW284" s="2322"/>
      <c r="AX284" s="2322"/>
      <c r="AY284" s="2322"/>
      <c r="AZ284" s="2322"/>
      <c r="BA284" s="2322"/>
      <c r="BB284" s="2322"/>
      <c r="BC284" s="2322"/>
      <c r="BD284" s="2322"/>
      <c r="BE284" s="2322"/>
      <c r="BF284" s="2322"/>
      <c r="BG284" s="2322"/>
      <c r="BH284" s="2322"/>
      <c r="BI284" s="2322"/>
      <c r="BJ284" s="2322"/>
      <c r="BK284" s="2322"/>
      <c r="BL284" s="2322"/>
      <c r="BM284" s="2322"/>
      <c r="BN284" s="2322"/>
      <c r="BO284" s="2322"/>
      <c r="BP284" s="2322"/>
      <c r="BQ284" s="2322"/>
      <c r="BR284" s="2322"/>
      <c r="BS284" s="2322"/>
      <c r="BT284" s="2322"/>
      <c r="BU284" s="2322"/>
      <c r="BV284" s="2322"/>
      <c r="BW284" s="2322"/>
      <c r="BX284" s="2322"/>
      <c r="BY284" s="2322"/>
      <c r="BZ284" s="2322"/>
      <c r="CA284" s="2322"/>
      <c r="CB284" s="2322"/>
      <c r="CC284" s="2322"/>
      <c r="CD284" s="2322"/>
      <c r="CE284" s="2322"/>
      <c r="CF284" s="2322"/>
      <c r="CG284" s="2322"/>
      <c r="CH284" s="2322"/>
      <c r="CI284" s="2322"/>
      <c r="CJ284" s="2322"/>
      <c r="CK284" s="2322"/>
      <c r="CL284" s="2322"/>
      <c r="CM284" s="2322"/>
      <c r="CN284" s="2322"/>
      <c r="CO284" s="2322"/>
      <c r="CP284" s="2322"/>
      <c r="CQ284" s="2322"/>
      <c r="CR284" s="2322"/>
      <c r="CS284" s="2322"/>
      <c r="CT284" s="2322"/>
      <c r="CU284" s="2322"/>
      <c r="CV284" s="2322"/>
    </row>
    <row r="285" spans="1:100" ht="15.75" customHeight="1">
      <c r="A285" s="2328"/>
      <c r="B285" s="2322"/>
      <c r="C285" s="2322"/>
      <c r="D285" s="2322"/>
      <c r="E285" s="2322"/>
      <c r="F285" s="2322"/>
      <c r="G285" s="2322"/>
      <c r="H285" s="2322"/>
      <c r="I285" s="2322"/>
      <c r="J285" s="2322"/>
      <c r="K285" s="2322"/>
      <c r="L285" s="2322"/>
      <c r="M285" s="2322"/>
      <c r="N285" s="2322"/>
      <c r="O285" s="2322"/>
      <c r="P285" s="2322"/>
      <c r="Q285" s="2322"/>
      <c r="R285" s="2322"/>
      <c r="S285" s="2322"/>
      <c r="T285" s="2322"/>
      <c r="U285" s="2322"/>
      <c r="V285" s="2322"/>
      <c r="W285" s="2322"/>
      <c r="X285" s="2322"/>
      <c r="Y285" s="2322"/>
      <c r="Z285" s="2322"/>
      <c r="AA285" s="2322"/>
      <c r="AB285" s="2322"/>
      <c r="AC285" s="2322"/>
      <c r="AD285" s="2322"/>
      <c r="AE285" s="2322"/>
      <c r="AF285" s="2322"/>
      <c r="AG285" s="2322"/>
      <c r="AH285" s="2322"/>
      <c r="AI285" s="2322"/>
      <c r="AJ285" s="2322"/>
      <c r="AK285" s="2322"/>
      <c r="AL285" s="2322"/>
      <c r="AM285" s="2322"/>
      <c r="AN285" s="2322"/>
      <c r="AO285" s="2322"/>
      <c r="AP285" s="2322"/>
      <c r="AQ285" s="2322"/>
      <c r="AR285" s="2322"/>
      <c r="AS285" s="2322"/>
      <c r="AT285" s="2322"/>
      <c r="AU285" s="2322"/>
      <c r="AV285" s="2322"/>
      <c r="AW285" s="2322"/>
      <c r="AX285" s="2322"/>
      <c r="AY285" s="2322"/>
      <c r="AZ285" s="2322"/>
      <c r="BA285" s="2322"/>
      <c r="BB285" s="2322"/>
      <c r="BC285" s="2322"/>
      <c r="BD285" s="2322"/>
      <c r="BE285" s="2322"/>
      <c r="BF285" s="2322"/>
      <c r="BG285" s="2322"/>
      <c r="BH285" s="2322"/>
      <c r="BI285" s="2322"/>
      <c r="BJ285" s="2322"/>
      <c r="BK285" s="2322"/>
      <c r="BL285" s="2322"/>
      <c r="BM285" s="2322"/>
      <c r="BN285" s="2322"/>
      <c r="BO285" s="2322"/>
      <c r="BP285" s="2322"/>
      <c r="BQ285" s="2322"/>
      <c r="BR285" s="2322"/>
      <c r="BS285" s="2322"/>
      <c r="BT285" s="2322"/>
      <c r="BU285" s="2322"/>
      <c r="BV285" s="2322"/>
      <c r="BW285" s="2322"/>
      <c r="BX285" s="2322"/>
      <c r="BY285" s="2322"/>
      <c r="BZ285" s="2322"/>
      <c r="CA285" s="2322"/>
      <c r="CB285" s="2322"/>
      <c r="CC285" s="2322"/>
      <c r="CD285" s="2322"/>
      <c r="CE285" s="2322"/>
      <c r="CF285" s="2322"/>
      <c r="CG285" s="2322"/>
      <c r="CH285" s="2322"/>
      <c r="CI285" s="2322"/>
      <c r="CJ285" s="2322"/>
      <c r="CK285" s="2322"/>
      <c r="CL285" s="2322"/>
      <c r="CM285" s="2322"/>
      <c r="CN285" s="2322"/>
      <c r="CO285" s="2322"/>
      <c r="CP285" s="2322"/>
      <c r="CQ285" s="2322"/>
      <c r="CR285" s="2322"/>
      <c r="CS285" s="2322"/>
      <c r="CT285" s="2322"/>
      <c r="CU285" s="2322"/>
      <c r="CV285" s="2322"/>
    </row>
    <row r="286" spans="1:100" ht="15.75" customHeight="1">
      <c r="A286" s="2328"/>
      <c r="B286" s="2322"/>
      <c r="C286" s="2322"/>
      <c r="D286" s="2322"/>
      <c r="E286" s="2322"/>
      <c r="F286" s="2322"/>
      <c r="G286" s="2322"/>
      <c r="H286" s="2322"/>
      <c r="I286" s="2322"/>
      <c r="J286" s="2322"/>
      <c r="K286" s="2322"/>
      <c r="L286" s="2322"/>
      <c r="M286" s="2322"/>
      <c r="N286" s="2322"/>
      <c r="O286" s="2322"/>
      <c r="P286" s="2322"/>
      <c r="Q286" s="2322"/>
      <c r="R286" s="2322"/>
      <c r="S286" s="2322"/>
      <c r="T286" s="2322"/>
      <c r="U286" s="2322"/>
      <c r="V286" s="2322"/>
      <c r="W286" s="2322"/>
      <c r="X286" s="2322"/>
      <c r="Y286" s="2322"/>
      <c r="Z286" s="2322"/>
      <c r="AA286" s="2322"/>
      <c r="AB286" s="2322"/>
      <c r="AC286" s="2322"/>
      <c r="AD286" s="2322"/>
      <c r="AE286" s="2322"/>
      <c r="AF286" s="2322"/>
      <c r="AG286" s="2322"/>
      <c r="AH286" s="2322"/>
      <c r="AI286" s="2322"/>
      <c r="AJ286" s="2322"/>
      <c r="AK286" s="2322"/>
      <c r="AL286" s="2322"/>
      <c r="AM286" s="2322"/>
      <c r="AN286" s="2322"/>
      <c r="AO286" s="2322"/>
      <c r="AP286" s="2322"/>
      <c r="AQ286" s="2322"/>
      <c r="AR286" s="2322"/>
      <c r="AS286" s="2322"/>
      <c r="AT286" s="2322"/>
      <c r="AU286" s="2322"/>
      <c r="AV286" s="2322"/>
      <c r="AW286" s="2322"/>
      <c r="AX286" s="2322"/>
      <c r="AY286" s="2322"/>
      <c r="AZ286" s="2322"/>
      <c r="BA286" s="2322"/>
      <c r="BB286" s="2322"/>
      <c r="BC286" s="2322"/>
      <c r="BD286" s="2322"/>
      <c r="BE286" s="2322"/>
      <c r="BF286" s="2322"/>
      <c r="BG286" s="2322"/>
      <c r="BH286" s="2322"/>
      <c r="BI286" s="2322"/>
      <c r="BJ286" s="2322"/>
      <c r="BK286" s="2322"/>
      <c r="BL286" s="2322"/>
      <c r="BM286" s="2322"/>
      <c r="BN286" s="2322"/>
      <c r="BO286" s="2322"/>
      <c r="BP286" s="2322"/>
      <c r="BQ286" s="2322"/>
      <c r="BR286" s="2322"/>
      <c r="BS286" s="2322"/>
      <c r="BT286" s="2322"/>
      <c r="BU286" s="2322"/>
      <c r="BV286" s="2322"/>
      <c r="BW286" s="2322"/>
      <c r="BX286" s="2322"/>
      <c r="BY286" s="2322"/>
      <c r="BZ286" s="2322"/>
      <c r="CA286" s="2322"/>
      <c r="CB286" s="2322"/>
      <c r="CC286" s="2322"/>
      <c r="CD286" s="2322"/>
      <c r="CE286" s="2322"/>
      <c r="CF286" s="2322"/>
      <c r="CG286" s="2322"/>
      <c r="CH286" s="2322"/>
      <c r="CI286" s="2322"/>
      <c r="CJ286" s="2322"/>
      <c r="CK286" s="2322"/>
      <c r="CL286" s="2322"/>
      <c r="CM286" s="2322"/>
      <c r="CN286" s="2322"/>
      <c r="CO286" s="2322"/>
      <c r="CP286" s="2322"/>
      <c r="CQ286" s="2322"/>
      <c r="CR286" s="2322"/>
      <c r="CS286" s="2322"/>
      <c r="CT286" s="2322"/>
      <c r="CU286" s="2322"/>
      <c r="CV286" s="2322"/>
    </row>
    <row r="287" spans="1:100" ht="15.75" customHeight="1">
      <c r="A287" s="2328"/>
      <c r="B287" s="2322"/>
      <c r="C287" s="2322"/>
      <c r="D287" s="2322"/>
      <c r="E287" s="2322"/>
      <c r="F287" s="2322"/>
      <c r="G287" s="2322"/>
      <c r="H287" s="2322"/>
      <c r="I287" s="2322"/>
      <c r="J287" s="2322"/>
      <c r="K287" s="2322"/>
      <c r="L287" s="2322"/>
      <c r="M287" s="2322"/>
      <c r="N287" s="2322"/>
      <c r="O287" s="2322"/>
      <c r="P287" s="2322"/>
      <c r="Q287" s="2322"/>
      <c r="R287" s="2322"/>
      <c r="S287" s="2322"/>
      <c r="T287" s="2322"/>
      <c r="U287" s="2322"/>
      <c r="V287" s="2322"/>
      <c r="W287" s="2322"/>
      <c r="X287" s="2322"/>
      <c r="Y287" s="2322"/>
      <c r="Z287" s="2322"/>
      <c r="AA287" s="2322"/>
      <c r="AB287" s="2322"/>
      <c r="AC287" s="2322"/>
      <c r="AD287" s="2322"/>
      <c r="AE287" s="2322"/>
      <c r="AF287" s="2322"/>
      <c r="AG287" s="2322"/>
      <c r="AH287" s="2322"/>
      <c r="AI287" s="2322"/>
      <c r="AJ287" s="2322"/>
      <c r="AK287" s="2322"/>
      <c r="AL287" s="2322"/>
      <c r="AM287" s="2322"/>
      <c r="AN287" s="2322"/>
      <c r="AO287" s="2322"/>
      <c r="AP287" s="2322"/>
      <c r="AQ287" s="2322"/>
      <c r="AR287" s="2322"/>
      <c r="AS287" s="2322"/>
      <c r="AT287" s="2322"/>
      <c r="AU287" s="2322"/>
      <c r="AV287" s="2322"/>
      <c r="AW287" s="2322"/>
      <c r="AX287" s="2322"/>
      <c r="AY287" s="2322"/>
      <c r="AZ287" s="2322"/>
      <c r="BA287" s="2322"/>
      <c r="BB287" s="2322"/>
      <c r="BC287" s="2322"/>
      <c r="BD287" s="2322"/>
      <c r="BE287" s="2322"/>
      <c r="BF287" s="2322"/>
      <c r="BG287" s="2322"/>
      <c r="BH287" s="2322"/>
      <c r="BI287" s="2322"/>
      <c r="BJ287" s="2322"/>
      <c r="BK287" s="2322"/>
      <c r="BL287" s="2322"/>
      <c r="BM287" s="2322"/>
      <c r="BN287" s="2322"/>
      <c r="BO287" s="2322"/>
      <c r="BP287" s="2322"/>
      <c r="BQ287" s="2322"/>
      <c r="BR287" s="2322"/>
      <c r="BS287" s="2322"/>
      <c r="BT287" s="2322"/>
      <c r="BU287" s="2322"/>
      <c r="BV287" s="2322"/>
      <c r="BW287" s="2322"/>
      <c r="BX287" s="2322"/>
      <c r="BY287" s="2322"/>
      <c r="BZ287" s="2322"/>
      <c r="CA287" s="2322"/>
      <c r="CB287" s="2322"/>
      <c r="CC287" s="2322"/>
      <c r="CD287" s="2322"/>
      <c r="CE287" s="2322"/>
      <c r="CF287" s="2322"/>
      <c r="CG287" s="2322"/>
      <c r="CH287" s="2322"/>
      <c r="CI287" s="2322"/>
      <c r="CJ287" s="2322"/>
      <c r="CK287" s="2322"/>
      <c r="CL287" s="2322"/>
      <c r="CM287" s="2322"/>
      <c r="CN287" s="2322"/>
      <c r="CO287" s="2322"/>
      <c r="CP287" s="2322"/>
      <c r="CQ287" s="2322"/>
      <c r="CR287" s="2322"/>
      <c r="CS287" s="2322"/>
      <c r="CT287" s="2322"/>
      <c r="CU287" s="2322"/>
      <c r="CV287" s="2322"/>
    </row>
    <row r="288" spans="1:100" ht="15.75" customHeight="1">
      <c r="A288" s="2328"/>
      <c r="B288" s="2322"/>
      <c r="C288" s="2322"/>
      <c r="D288" s="2322"/>
      <c r="E288" s="2322"/>
      <c r="F288" s="2322"/>
      <c r="G288" s="2322"/>
      <c r="H288" s="2322"/>
      <c r="I288" s="2322"/>
      <c r="J288" s="2322"/>
      <c r="K288" s="2322"/>
      <c r="L288" s="2322"/>
      <c r="M288" s="2322"/>
      <c r="N288" s="2322"/>
      <c r="O288" s="2322"/>
      <c r="P288" s="2322"/>
      <c r="Q288" s="2322"/>
      <c r="R288" s="2322"/>
      <c r="S288" s="2322"/>
      <c r="T288" s="2322"/>
      <c r="U288" s="2322"/>
      <c r="V288" s="2322"/>
      <c r="W288" s="2322"/>
      <c r="X288" s="2322"/>
      <c r="Y288" s="2322"/>
      <c r="Z288" s="2322"/>
      <c r="AA288" s="2322"/>
      <c r="AB288" s="2322"/>
      <c r="AC288" s="2322"/>
      <c r="AD288" s="2322"/>
      <c r="AE288" s="2322"/>
      <c r="AF288" s="2322"/>
      <c r="AG288" s="2322"/>
      <c r="AH288" s="2322"/>
      <c r="AI288" s="2322"/>
      <c r="AJ288" s="2322"/>
      <c r="AK288" s="2322"/>
      <c r="AL288" s="2322"/>
      <c r="AM288" s="2322"/>
      <c r="AN288" s="2322"/>
      <c r="AO288" s="2322"/>
      <c r="AP288" s="2322"/>
      <c r="AQ288" s="2322"/>
      <c r="AR288" s="2322"/>
      <c r="AS288" s="2322"/>
      <c r="AT288" s="2322"/>
      <c r="AU288" s="2322"/>
      <c r="AV288" s="2322"/>
      <c r="AW288" s="2322"/>
      <c r="AX288" s="2322"/>
      <c r="AY288" s="2322"/>
      <c r="AZ288" s="2322"/>
      <c r="BA288" s="2322"/>
      <c r="BB288" s="2322"/>
      <c r="BC288" s="2322"/>
      <c r="BD288" s="2322"/>
      <c r="BE288" s="2322"/>
      <c r="BF288" s="2322"/>
      <c r="BG288" s="2322"/>
      <c r="BH288" s="2322"/>
      <c r="BI288" s="2322"/>
      <c r="BJ288" s="2322"/>
      <c r="BK288" s="2322"/>
      <c r="BL288" s="2322"/>
      <c r="BM288" s="2322"/>
      <c r="BN288" s="2322"/>
      <c r="BO288" s="2322"/>
      <c r="BP288" s="2322"/>
      <c r="BQ288" s="2322"/>
      <c r="BR288" s="2322"/>
      <c r="BS288" s="2322"/>
      <c r="BT288" s="2322"/>
      <c r="BU288" s="2322"/>
      <c r="BV288" s="2322"/>
      <c r="BW288" s="2322"/>
      <c r="BX288" s="2322"/>
      <c r="BY288" s="2322"/>
      <c r="BZ288" s="2322"/>
      <c r="CA288" s="2322"/>
      <c r="CB288" s="2322"/>
      <c r="CC288" s="2322"/>
      <c r="CD288" s="2322"/>
      <c r="CE288" s="2322"/>
      <c r="CF288" s="2322"/>
      <c r="CG288" s="2322"/>
      <c r="CH288" s="2322"/>
      <c r="CI288" s="2322"/>
      <c r="CJ288" s="2322"/>
      <c r="CK288" s="2322"/>
      <c r="CL288" s="2322"/>
      <c r="CM288" s="2322"/>
      <c r="CN288" s="2322"/>
      <c r="CO288" s="2322"/>
      <c r="CP288" s="2322"/>
      <c r="CQ288" s="2322"/>
      <c r="CR288" s="2322"/>
      <c r="CS288" s="2322"/>
      <c r="CT288" s="2322"/>
      <c r="CU288" s="2322"/>
      <c r="CV288" s="2322"/>
    </row>
    <row r="289" spans="1:100" ht="15.75" customHeight="1">
      <c r="A289" s="2328"/>
      <c r="B289" s="2322"/>
      <c r="C289" s="2322"/>
      <c r="D289" s="2322"/>
      <c r="E289" s="2322"/>
      <c r="F289" s="2322"/>
      <c r="G289" s="2322"/>
      <c r="H289" s="2322"/>
      <c r="I289" s="2322"/>
      <c r="J289" s="2322"/>
      <c r="K289" s="2322"/>
      <c r="L289" s="2322"/>
      <c r="M289" s="2322"/>
      <c r="N289" s="2322"/>
      <c r="O289" s="2322"/>
      <c r="P289" s="2322"/>
      <c r="Q289" s="2322"/>
      <c r="R289" s="2322"/>
      <c r="S289" s="2322"/>
      <c r="T289" s="2322"/>
      <c r="U289" s="2322"/>
      <c r="V289" s="2322"/>
      <c r="W289" s="2322"/>
      <c r="X289" s="2322"/>
      <c r="Y289" s="2322"/>
      <c r="Z289" s="2322"/>
      <c r="AA289" s="2322"/>
      <c r="AB289" s="2322"/>
      <c r="AC289" s="2322"/>
      <c r="AD289" s="2322"/>
      <c r="AE289" s="2322"/>
      <c r="AF289" s="2322"/>
      <c r="AG289" s="2322"/>
      <c r="AH289" s="2322"/>
      <c r="AI289" s="2322"/>
      <c r="AJ289" s="2322"/>
      <c r="AK289" s="2322"/>
      <c r="AL289" s="2322"/>
      <c r="AM289" s="2322"/>
      <c r="AN289" s="2322"/>
      <c r="AO289" s="2322"/>
      <c r="AP289" s="2322"/>
      <c r="AQ289" s="2322"/>
      <c r="AR289" s="2322"/>
      <c r="AS289" s="2322"/>
      <c r="AT289" s="2322"/>
      <c r="AU289" s="2322"/>
      <c r="AV289" s="2322"/>
      <c r="AW289" s="2322"/>
      <c r="AX289" s="2322"/>
      <c r="AY289" s="2322"/>
      <c r="AZ289" s="2322"/>
      <c r="BA289" s="2322"/>
      <c r="BB289" s="2322"/>
      <c r="BC289" s="2322"/>
      <c r="BD289" s="2322"/>
      <c r="BE289" s="2322"/>
      <c r="BF289" s="2322"/>
      <c r="BG289" s="2322"/>
      <c r="BH289" s="2322"/>
      <c r="BI289" s="2322"/>
      <c r="BJ289" s="2322"/>
      <c r="BK289" s="2322"/>
      <c r="BL289" s="2322"/>
      <c r="BM289" s="2322"/>
      <c r="BN289" s="2322"/>
      <c r="BO289" s="2322"/>
      <c r="BP289" s="2322"/>
      <c r="BQ289" s="2322"/>
      <c r="BR289" s="2322"/>
      <c r="BS289" s="2322"/>
      <c r="BT289" s="2322"/>
      <c r="BU289" s="2322"/>
      <c r="BV289" s="2322"/>
      <c r="BW289" s="2322"/>
      <c r="BX289" s="2322"/>
      <c r="BY289" s="2322"/>
      <c r="BZ289" s="2322"/>
      <c r="CA289" s="2322"/>
      <c r="CB289" s="2322"/>
      <c r="CC289" s="2322"/>
      <c r="CD289" s="2322"/>
      <c r="CE289" s="2322"/>
      <c r="CF289" s="2322"/>
      <c r="CG289" s="2322"/>
      <c r="CH289" s="2322"/>
      <c r="CI289" s="2322"/>
      <c r="CJ289" s="2322"/>
      <c r="CK289" s="2322"/>
      <c r="CL289" s="2322"/>
      <c r="CM289" s="2322"/>
      <c r="CN289" s="2322"/>
      <c r="CO289" s="2322"/>
      <c r="CP289" s="2322"/>
      <c r="CQ289" s="2322"/>
      <c r="CR289" s="2322"/>
      <c r="CS289" s="2322"/>
      <c r="CT289" s="2322"/>
      <c r="CU289" s="2322"/>
      <c r="CV289" s="2322"/>
    </row>
    <row r="290" spans="1:100" ht="15.75" customHeight="1">
      <c r="A290" s="2328"/>
      <c r="B290" s="2322"/>
      <c r="C290" s="2322"/>
      <c r="D290" s="2322"/>
      <c r="E290" s="2322"/>
      <c r="F290" s="2322"/>
      <c r="G290" s="2322"/>
      <c r="H290" s="2322"/>
      <c r="I290" s="2322"/>
      <c r="J290" s="2322"/>
      <c r="K290" s="2322"/>
      <c r="L290" s="2322"/>
      <c r="M290" s="2322"/>
      <c r="N290" s="2322"/>
      <c r="O290" s="2322"/>
      <c r="P290" s="2322"/>
      <c r="Q290" s="2322"/>
      <c r="R290" s="2322"/>
      <c r="S290" s="2322"/>
      <c r="T290" s="2322"/>
      <c r="U290" s="2322"/>
      <c r="V290" s="2322"/>
      <c r="W290" s="2322"/>
      <c r="X290" s="2322"/>
      <c r="Y290" s="2322"/>
      <c r="Z290" s="2322"/>
      <c r="AA290" s="2322"/>
      <c r="AB290" s="2322"/>
      <c r="AC290" s="2322"/>
      <c r="AD290" s="2322"/>
      <c r="AE290" s="2322"/>
      <c r="AF290" s="2322"/>
      <c r="AG290" s="2322"/>
      <c r="AH290" s="2322"/>
      <c r="AI290" s="2322"/>
      <c r="AJ290" s="2322"/>
      <c r="AK290" s="2322"/>
      <c r="AL290" s="2322"/>
      <c r="AM290" s="2322"/>
      <c r="AN290" s="2322"/>
      <c r="AO290" s="2322"/>
      <c r="AP290" s="2322"/>
      <c r="AQ290" s="2322"/>
      <c r="AR290" s="2322"/>
      <c r="AS290" s="2322"/>
      <c r="AT290" s="2322"/>
      <c r="AU290" s="2322"/>
      <c r="AV290" s="2322"/>
      <c r="AW290" s="2322"/>
      <c r="AX290" s="2322"/>
      <c r="AY290" s="2322"/>
      <c r="AZ290" s="2322"/>
      <c r="BA290" s="2322"/>
      <c r="BB290" s="2322"/>
      <c r="BC290" s="2322"/>
      <c r="BD290" s="2322"/>
      <c r="BE290" s="2322"/>
      <c r="BF290" s="2322"/>
      <c r="BG290" s="2322"/>
      <c r="BH290" s="2322"/>
      <c r="BI290" s="2322"/>
      <c r="BJ290" s="2322"/>
      <c r="BK290" s="2322"/>
      <c r="BL290" s="2322"/>
      <c r="BM290" s="2322"/>
      <c r="BN290" s="2322"/>
      <c r="BO290" s="2322"/>
      <c r="BP290" s="2322"/>
      <c r="BQ290" s="2322"/>
      <c r="BR290" s="2322"/>
      <c r="BS290" s="2322"/>
      <c r="BT290" s="2322"/>
      <c r="BU290" s="2322"/>
      <c r="BV290" s="2322"/>
      <c r="BW290" s="2322"/>
      <c r="BX290" s="2322"/>
      <c r="BY290" s="2322"/>
      <c r="BZ290" s="2322"/>
      <c r="CA290" s="2322"/>
      <c r="CB290" s="2322"/>
      <c r="CC290" s="2322"/>
      <c r="CD290" s="2322"/>
      <c r="CE290" s="2322"/>
      <c r="CF290" s="2322"/>
      <c r="CG290" s="2322"/>
      <c r="CH290" s="2322"/>
      <c r="CI290" s="2322"/>
      <c r="CJ290" s="2322"/>
      <c r="CK290" s="2322"/>
      <c r="CL290" s="2322"/>
      <c r="CM290" s="2322"/>
      <c r="CN290" s="2322"/>
      <c r="CO290" s="2322"/>
      <c r="CP290" s="2322"/>
      <c r="CQ290" s="2322"/>
      <c r="CR290" s="2322"/>
      <c r="CS290" s="2322"/>
      <c r="CT290" s="2322"/>
      <c r="CU290" s="2322"/>
      <c r="CV290" s="2322"/>
    </row>
    <row r="291" spans="1:100" ht="15.75" customHeight="1">
      <c r="A291" s="2328"/>
      <c r="B291" s="2322"/>
      <c r="C291" s="2322"/>
      <c r="D291" s="2322"/>
      <c r="E291" s="2322"/>
      <c r="F291" s="2322"/>
      <c r="G291" s="2322"/>
      <c r="H291" s="2322"/>
      <c r="I291" s="2322"/>
      <c r="J291" s="2322"/>
      <c r="K291" s="2322"/>
      <c r="L291" s="2322"/>
      <c r="M291" s="2322"/>
      <c r="N291" s="2322"/>
      <c r="O291" s="2322"/>
      <c r="P291" s="2322"/>
      <c r="Q291" s="2322"/>
      <c r="R291" s="2322"/>
      <c r="S291" s="2322"/>
      <c r="T291" s="2322"/>
      <c r="U291" s="2322"/>
      <c r="V291" s="2322"/>
      <c r="W291" s="2322"/>
      <c r="X291" s="2322"/>
      <c r="Y291" s="2322"/>
      <c r="Z291" s="2322"/>
      <c r="AA291" s="2322"/>
      <c r="AB291" s="2322"/>
      <c r="AC291" s="2322"/>
      <c r="AD291" s="2322"/>
      <c r="AE291" s="2322"/>
      <c r="AF291" s="2322"/>
      <c r="AG291" s="2322"/>
      <c r="AH291" s="2322"/>
      <c r="AI291" s="2322"/>
      <c r="AJ291" s="2322"/>
      <c r="AK291" s="2322"/>
      <c r="AL291" s="2322"/>
      <c r="AM291" s="2322"/>
      <c r="AN291" s="2322"/>
      <c r="AO291" s="2322"/>
      <c r="AP291" s="2322"/>
      <c r="AQ291" s="2322"/>
      <c r="AR291" s="2322"/>
      <c r="AS291" s="2322"/>
      <c r="AT291" s="2322"/>
      <c r="AU291" s="2322"/>
      <c r="AV291" s="2322"/>
      <c r="AW291" s="2322"/>
      <c r="AX291" s="2322"/>
      <c r="AY291" s="2322"/>
      <c r="AZ291" s="2322"/>
      <c r="BA291" s="2322"/>
      <c r="BB291" s="2322"/>
      <c r="BC291" s="2322"/>
      <c r="BD291" s="2322"/>
      <c r="BE291" s="2322"/>
      <c r="BF291" s="2322"/>
      <c r="BG291" s="2322"/>
      <c r="BH291" s="2322"/>
      <c r="BI291" s="2322"/>
      <c r="BJ291" s="2322"/>
      <c r="BK291" s="2322"/>
      <c r="BL291" s="2322"/>
      <c r="BM291" s="2322"/>
      <c r="BN291" s="2322"/>
      <c r="BO291" s="2322"/>
      <c r="BP291" s="2322"/>
      <c r="BQ291" s="2322"/>
      <c r="BR291" s="2322"/>
      <c r="BS291" s="2322"/>
      <c r="BT291" s="2322"/>
      <c r="BU291" s="2322"/>
      <c r="BV291" s="2322"/>
      <c r="BW291" s="2322"/>
      <c r="BX291" s="2322"/>
      <c r="BY291" s="2322"/>
      <c r="BZ291" s="2322"/>
      <c r="CA291" s="2322"/>
      <c r="CB291" s="2322"/>
      <c r="CC291" s="2322"/>
      <c r="CD291" s="2322"/>
      <c r="CE291" s="2322"/>
      <c r="CF291" s="2322"/>
      <c r="CG291" s="2322"/>
      <c r="CH291" s="2322"/>
      <c r="CI291" s="2322"/>
      <c r="CJ291" s="2322"/>
      <c r="CK291" s="2322"/>
      <c r="CL291" s="2322"/>
      <c r="CM291" s="2322"/>
      <c r="CN291" s="2322"/>
      <c r="CO291" s="2322"/>
      <c r="CP291" s="2322"/>
      <c r="CQ291" s="2322"/>
      <c r="CR291" s="2322"/>
      <c r="CS291" s="2322"/>
      <c r="CT291" s="2322"/>
      <c r="CU291" s="2322"/>
      <c r="CV291" s="2322"/>
    </row>
    <row r="292" spans="1:100" ht="15.75" customHeight="1">
      <c r="A292" s="2328"/>
      <c r="B292" s="2322"/>
      <c r="C292" s="2322"/>
      <c r="D292" s="2322"/>
      <c r="E292" s="2322"/>
      <c r="F292" s="2322"/>
      <c r="G292" s="2322"/>
      <c r="H292" s="2322"/>
      <c r="I292" s="2322"/>
      <c r="J292" s="2322"/>
      <c r="K292" s="2322"/>
      <c r="L292" s="2322"/>
      <c r="M292" s="2322"/>
      <c r="N292" s="2322"/>
      <c r="O292" s="2322"/>
      <c r="P292" s="2322"/>
      <c r="Q292" s="2322"/>
      <c r="R292" s="2322"/>
      <c r="S292" s="2322"/>
      <c r="T292" s="2322"/>
      <c r="U292" s="2322"/>
      <c r="V292" s="2322"/>
      <c r="W292" s="2322"/>
      <c r="X292" s="2322"/>
      <c r="Y292" s="2322"/>
      <c r="Z292" s="2322"/>
      <c r="AA292" s="2322"/>
      <c r="AB292" s="2322"/>
      <c r="AC292" s="2322"/>
      <c r="AD292" s="2322"/>
      <c r="AE292" s="2322"/>
      <c r="AF292" s="2322"/>
      <c r="AG292" s="2322"/>
      <c r="AH292" s="2322"/>
      <c r="AI292" s="2322"/>
      <c r="AJ292" s="2322"/>
      <c r="AK292" s="2322"/>
      <c r="AL292" s="2322"/>
      <c r="AM292" s="2322"/>
      <c r="AN292" s="2322"/>
      <c r="AO292" s="2322"/>
      <c r="AP292" s="2322"/>
      <c r="AQ292" s="2322"/>
      <c r="AR292" s="2322"/>
      <c r="AS292" s="2322"/>
      <c r="AT292" s="2322"/>
      <c r="AU292" s="2322"/>
      <c r="AV292" s="2322"/>
      <c r="AW292" s="2322"/>
      <c r="AX292" s="2322"/>
      <c r="AY292" s="2322"/>
      <c r="AZ292" s="2322"/>
      <c r="BA292" s="2322"/>
      <c r="BB292" s="2322"/>
      <c r="BC292" s="2322"/>
      <c r="BD292" s="2322"/>
      <c r="BE292" s="2322"/>
      <c r="BF292" s="2322"/>
      <c r="BG292" s="2322"/>
      <c r="BH292" s="2322"/>
      <c r="BI292" s="2322"/>
      <c r="BJ292" s="2322"/>
      <c r="BK292" s="2322"/>
      <c r="BL292" s="2322"/>
      <c r="BM292" s="2322"/>
      <c r="BN292" s="2322"/>
      <c r="BO292" s="2322"/>
      <c r="BP292" s="2322"/>
      <c r="BQ292" s="2322"/>
      <c r="BR292" s="2322"/>
      <c r="BS292" s="2322"/>
      <c r="BT292" s="2322"/>
      <c r="BU292" s="2322"/>
      <c r="BV292" s="2322"/>
      <c r="BW292" s="2322"/>
      <c r="BX292" s="2322"/>
      <c r="BY292" s="2322"/>
      <c r="BZ292" s="2322"/>
      <c r="CA292" s="2322"/>
      <c r="CB292" s="2322"/>
      <c r="CC292" s="2322"/>
      <c r="CD292" s="2322"/>
      <c r="CE292" s="2322"/>
      <c r="CF292" s="2322"/>
      <c r="CG292" s="2322"/>
      <c r="CH292" s="2322"/>
      <c r="CI292" s="2322"/>
      <c r="CJ292" s="2322"/>
      <c r="CK292" s="2322"/>
      <c r="CL292" s="2322"/>
      <c r="CM292" s="2322"/>
      <c r="CN292" s="2322"/>
      <c r="CO292" s="2322"/>
      <c r="CP292" s="2322"/>
      <c r="CQ292" s="2322"/>
      <c r="CR292" s="2322"/>
      <c r="CS292" s="2322"/>
      <c r="CT292" s="2322"/>
      <c r="CU292" s="2322"/>
      <c r="CV292" s="2322"/>
    </row>
    <row r="293" spans="1:100" ht="15.75" customHeight="1">
      <c r="A293" s="2328"/>
      <c r="B293" s="2322"/>
      <c r="C293" s="2322"/>
      <c r="D293" s="2322"/>
      <c r="E293" s="2322"/>
      <c r="F293" s="2322"/>
      <c r="G293" s="2322"/>
      <c r="H293" s="2322"/>
      <c r="I293" s="2322"/>
      <c r="J293" s="2322"/>
      <c r="K293" s="2322"/>
      <c r="L293" s="2322"/>
      <c r="M293" s="2322"/>
      <c r="N293" s="2322"/>
      <c r="O293" s="2322"/>
      <c r="P293" s="2322"/>
      <c r="Q293" s="2322"/>
      <c r="R293" s="2322"/>
      <c r="S293" s="2322"/>
      <c r="T293" s="2322"/>
      <c r="U293" s="2322"/>
      <c r="V293" s="2322"/>
      <c r="W293" s="2322"/>
      <c r="X293" s="2322"/>
      <c r="Y293" s="2322"/>
      <c r="Z293" s="2322"/>
      <c r="AA293" s="2322"/>
      <c r="AB293" s="2322"/>
      <c r="AC293" s="2322"/>
      <c r="AD293" s="2322"/>
      <c r="AE293" s="2322"/>
      <c r="AF293" s="2322"/>
      <c r="AG293" s="2322"/>
      <c r="AH293" s="2322"/>
      <c r="AI293" s="2322"/>
      <c r="AJ293" s="2322"/>
      <c r="AK293" s="2322"/>
      <c r="AL293" s="2322"/>
      <c r="AM293" s="2322"/>
      <c r="AN293" s="2322"/>
      <c r="AO293" s="2322"/>
      <c r="AP293" s="2322"/>
      <c r="AQ293" s="2322"/>
      <c r="AR293" s="2322"/>
      <c r="AS293" s="2322"/>
      <c r="AT293" s="2322"/>
      <c r="AU293" s="2322"/>
      <c r="AV293" s="2322"/>
      <c r="AW293" s="2322"/>
      <c r="AX293" s="2322"/>
      <c r="AY293" s="2322"/>
      <c r="AZ293" s="2322"/>
      <c r="BA293" s="2322"/>
      <c r="BB293" s="2322"/>
      <c r="BC293" s="2322"/>
      <c r="BD293" s="2322"/>
      <c r="BE293" s="2322"/>
      <c r="BF293" s="2322"/>
      <c r="BG293" s="2322"/>
      <c r="BH293" s="2322"/>
      <c r="BI293" s="2322"/>
      <c r="BJ293" s="2322"/>
      <c r="BK293" s="2322"/>
      <c r="BL293" s="2322"/>
      <c r="BM293" s="2322"/>
      <c r="BN293" s="2322"/>
      <c r="BO293" s="2322"/>
      <c r="BP293" s="2322"/>
      <c r="BQ293" s="2322"/>
      <c r="BR293" s="2322"/>
      <c r="BS293" s="2322"/>
      <c r="BT293" s="2322"/>
      <c r="BU293" s="2322"/>
      <c r="BV293" s="2322"/>
      <c r="BW293" s="2322"/>
      <c r="BX293" s="2322"/>
      <c r="BY293" s="2322"/>
      <c r="BZ293" s="2322"/>
      <c r="CA293" s="2322"/>
      <c r="CB293" s="2322"/>
      <c r="CC293" s="2322"/>
      <c r="CD293" s="2322"/>
      <c r="CE293" s="2322"/>
      <c r="CF293" s="2322"/>
      <c r="CG293" s="2322"/>
      <c r="CH293" s="2322"/>
      <c r="CI293" s="2322"/>
      <c r="CJ293" s="2322"/>
      <c r="CK293" s="2322"/>
      <c r="CL293" s="2322"/>
      <c r="CM293" s="2322"/>
      <c r="CN293" s="2322"/>
      <c r="CO293" s="2322"/>
      <c r="CP293" s="2322"/>
      <c r="CQ293" s="2322"/>
      <c r="CR293" s="2322"/>
      <c r="CS293" s="2322"/>
      <c r="CT293" s="2322"/>
      <c r="CU293" s="2322"/>
      <c r="CV293" s="2322"/>
    </row>
    <row r="294" spans="1:100" ht="15.75" customHeight="1">
      <c r="A294" s="2328"/>
      <c r="B294" s="2322"/>
      <c r="C294" s="2322"/>
      <c r="D294" s="2322"/>
      <c r="E294" s="2322"/>
      <c r="F294" s="2322"/>
      <c r="G294" s="2322"/>
      <c r="H294" s="2322"/>
      <c r="I294" s="2322"/>
      <c r="J294" s="2322"/>
      <c r="K294" s="2322"/>
      <c r="L294" s="2322"/>
      <c r="M294" s="2322"/>
      <c r="N294" s="2322"/>
      <c r="O294" s="2322"/>
      <c r="P294" s="2322"/>
      <c r="Q294" s="2322"/>
      <c r="R294" s="2322"/>
      <c r="S294" s="2322"/>
      <c r="T294" s="2322"/>
      <c r="U294" s="2322"/>
      <c r="V294" s="2322"/>
      <c r="W294" s="2322"/>
      <c r="X294" s="2322"/>
      <c r="Y294" s="2322"/>
      <c r="Z294" s="2322"/>
      <c r="AA294" s="2322"/>
      <c r="AB294" s="2322"/>
      <c r="AC294" s="2322"/>
      <c r="AD294" s="2322"/>
      <c r="AE294" s="2322"/>
      <c r="AF294" s="2322"/>
      <c r="AG294" s="2322"/>
      <c r="AH294" s="2322"/>
      <c r="AI294" s="2322"/>
      <c r="AJ294" s="2322"/>
      <c r="AK294" s="2322"/>
      <c r="AL294" s="2322"/>
      <c r="AM294" s="2322"/>
      <c r="AN294" s="2322"/>
      <c r="AO294" s="2322"/>
      <c r="AP294" s="2322"/>
      <c r="AQ294" s="2322"/>
      <c r="AR294" s="2322"/>
      <c r="AS294" s="2322"/>
      <c r="AT294" s="2322"/>
      <c r="AU294" s="2322"/>
      <c r="AV294" s="2322"/>
      <c r="AW294" s="2322"/>
      <c r="AX294" s="2322"/>
      <c r="AY294" s="2322"/>
      <c r="AZ294" s="2322"/>
      <c r="BA294" s="2322"/>
      <c r="BB294" s="2322"/>
      <c r="BC294" s="2322"/>
      <c r="BD294" s="2322"/>
      <c r="BE294" s="2322"/>
      <c r="BF294" s="2322"/>
      <c r="BG294" s="2322"/>
      <c r="BH294" s="2322"/>
      <c r="BI294" s="2322"/>
      <c r="BJ294" s="2322"/>
      <c r="BK294" s="2322"/>
      <c r="BL294" s="2322"/>
      <c r="BM294" s="2322"/>
      <c r="BN294" s="2322"/>
      <c r="BO294" s="2322"/>
      <c r="BP294" s="2322"/>
      <c r="BQ294" s="2322"/>
      <c r="BR294" s="2322"/>
      <c r="BS294" s="2322"/>
      <c r="BT294" s="2322"/>
      <c r="BU294" s="2322"/>
      <c r="BV294" s="2322"/>
      <c r="BW294" s="2322"/>
      <c r="BX294" s="2322"/>
      <c r="BY294" s="2322"/>
      <c r="BZ294" s="2322"/>
      <c r="CA294" s="2322"/>
      <c r="CB294" s="2322"/>
      <c r="CC294" s="2322"/>
      <c r="CD294" s="2322"/>
      <c r="CE294" s="2322"/>
      <c r="CF294" s="2322"/>
      <c r="CG294" s="2322"/>
      <c r="CH294" s="2322"/>
      <c r="CI294" s="2322"/>
      <c r="CJ294" s="2322"/>
      <c r="CK294" s="2322"/>
      <c r="CL294" s="2322"/>
      <c r="CM294" s="2322"/>
      <c r="CN294" s="2322"/>
      <c r="CO294" s="2322"/>
      <c r="CP294" s="2322"/>
      <c r="CQ294" s="2322"/>
      <c r="CR294" s="2322"/>
      <c r="CS294" s="2322"/>
      <c r="CT294" s="2322"/>
      <c r="CU294" s="2322"/>
      <c r="CV294" s="2322"/>
    </row>
    <row r="295" spans="1:100" ht="15.75" customHeight="1">
      <c r="A295" s="2328"/>
      <c r="B295" s="2322"/>
      <c r="C295" s="2322"/>
      <c r="D295" s="2322"/>
      <c r="E295" s="2322"/>
      <c r="F295" s="2322"/>
      <c r="G295" s="2322"/>
      <c r="H295" s="2322"/>
      <c r="I295" s="2322"/>
      <c r="J295" s="2322"/>
      <c r="K295" s="2322"/>
      <c r="L295" s="2322"/>
      <c r="M295" s="2322"/>
      <c r="N295" s="2322"/>
      <c r="O295" s="2322"/>
      <c r="P295" s="2322"/>
      <c r="Q295" s="2322"/>
      <c r="R295" s="2322"/>
      <c r="S295" s="2322"/>
      <c r="T295" s="2322"/>
      <c r="U295" s="2322"/>
      <c r="V295" s="2322"/>
      <c r="W295" s="2322"/>
      <c r="X295" s="2322"/>
      <c r="Y295" s="2322"/>
      <c r="Z295" s="2322"/>
      <c r="AA295" s="2322"/>
      <c r="AB295" s="2322"/>
      <c r="AC295" s="2322"/>
      <c r="AD295" s="2322"/>
      <c r="AE295" s="2322"/>
      <c r="AF295" s="2322"/>
      <c r="AG295" s="2322"/>
      <c r="AH295" s="2322"/>
      <c r="AI295" s="2322"/>
      <c r="AJ295" s="2322"/>
      <c r="AK295" s="2322"/>
      <c r="AL295" s="2322"/>
      <c r="AM295" s="2322"/>
      <c r="AN295" s="2322"/>
      <c r="AO295" s="2322"/>
      <c r="AP295" s="2322"/>
      <c r="AQ295" s="2322"/>
      <c r="AR295" s="2322"/>
      <c r="AS295" s="2322"/>
      <c r="AT295" s="2322"/>
      <c r="AU295" s="2322"/>
      <c r="AV295" s="2322"/>
      <c r="AW295" s="2322"/>
      <c r="AX295" s="2322"/>
      <c r="AY295" s="2322"/>
      <c r="AZ295" s="2322"/>
      <c r="BA295" s="2322"/>
      <c r="BB295" s="2322"/>
      <c r="BC295" s="2322"/>
      <c r="BD295" s="2322"/>
      <c r="BE295" s="2322"/>
      <c r="BF295" s="2322"/>
      <c r="BG295" s="2322"/>
      <c r="BH295" s="2322"/>
      <c r="BI295" s="2322"/>
      <c r="BJ295" s="2322"/>
      <c r="BK295" s="2322"/>
      <c r="BL295" s="2322"/>
      <c r="BM295" s="2322"/>
      <c r="BN295" s="2322"/>
      <c r="BO295" s="2322"/>
      <c r="BP295" s="2322"/>
      <c r="BQ295" s="2322"/>
      <c r="BR295" s="2322"/>
      <c r="BS295" s="2322"/>
      <c r="BT295" s="2322"/>
      <c r="BU295" s="2322"/>
      <c r="BV295" s="2322"/>
      <c r="BW295" s="2322"/>
      <c r="BX295" s="2322"/>
      <c r="BY295" s="2322"/>
      <c r="BZ295" s="2322"/>
      <c r="CA295" s="2322"/>
      <c r="CB295" s="2322"/>
      <c r="CC295" s="2322"/>
      <c r="CD295" s="2322"/>
      <c r="CE295" s="2322"/>
      <c r="CF295" s="2322"/>
      <c r="CG295" s="2322"/>
      <c r="CH295" s="2322"/>
      <c r="CI295" s="2322"/>
      <c r="CJ295" s="2322"/>
      <c r="CK295" s="2322"/>
      <c r="CL295" s="2322"/>
      <c r="CM295" s="2322"/>
      <c r="CN295" s="2322"/>
      <c r="CO295" s="2322"/>
      <c r="CP295" s="2322"/>
      <c r="CQ295" s="2322"/>
      <c r="CR295" s="2322"/>
      <c r="CS295" s="2322"/>
      <c r="CT295" s="2322"/>
      <c r="CU295" s="2322"/>
      <c r="CV295" s="2322"/>
    </row>
    <row r="296" spans="1:100" ht="15.75" customHeight="1">
      <c r="A296" s="2328"/>
      <c r="B296" s="2322"/>
      <c r="C296" s="2322"/>
      <c r="D296" s="2322"/>
      <c r="E296" s="2322"/>
      <c r="F296" s="2322"/>
      <c r="G296" s="2322"/>
      <c r="H296" s="2322"/>
      <c r="I296" s="2322"/>
      <c r="J296" s="2322"/>
      <c r="K296" s="2322"/>
      <c r="L296" s="2322"/>
      <c r="M296" s="2322"/>
      <c r="N296" s="2322"/>
      <c r="O296" s="2322"/>
      <c r="P296" s="2322"/>
      <c r="Q296" s="2322"/>
      <c r="R296" s="2322"/>
      <c r="S296" s="2322"/>
      <c r="T296" s="2322"/>
      <c r="U296" s="2322"/>
      <c r="V296" s="2322"/>
      <c r="W296" s="2322"/>
      <c r="X296" s="2322"/>
      <c r="Y296" s="2322"/>
      <c r="Z296" s="2322"/>
      <c r="AA296" s="2322"/>
      <c r="AB296" s="2322"/>
      <c r="AC296" s="2322"/>
      <c r="AD296" s="2322"/>
      <c r="AE296" s="2322"/>
      <c r="AF296" s="2322"/>
      <c r="AG296" s="2322"/>
      <c r="AH296" s="2322"/>
      <c r="AI296" s="2322"/>
      <c r="AJ296" s="2322"/>
      <c r="AK296" s="2322"/>
      <c r="AL296" s="2322"/>
      <c r="AM296" s="2322"/>
      <c r="AN296" s="2322"/>
      <c r="AO296" s="2322"/>
      <c r="AP296" s="2322"/>
      <c r="AQ296" s="2322"/>
      <c r="AR296" s="2322"/>
      <c r="AS296" s="2322"/>
      <c r="AT296" s="2322"/>
      <c r="AU296" s="2322"/>
      <c r="AV296" s="2322"/>
      <c r="AW296" s="2322"/>
      <c r="AX296" s="2322"/>
      <c r="AY296" s="2322"/>
      <c r="AZ296" s="2322"/>
      <c r="BA296" s="2322"/>
      <c r="BB296" s="2322"/>
      <c r="BC296" s="2322"/>
      <c r="BD296" s="2322"/>
      <c r="BE296" s="2322"/>
      <c r="BF296" s="2322"/>
      <c r="BG296" s="2322"/>
      <c r="BH296" s="2322"/>
      <c r="BI296" s="2322"/>
      <c r="BJ296" s="2322"/>
      <c r="BK296" s="2322"/>
      <c r="BL296" s="2322"/>
      <c r="BM296" s="2322"/>
      <c r="BN296" s="2322"/>
      <c r="BO296" s="2322"/>
      <c r="BP296" s="2322"/>
      <c r="BQ296" s="2322"/>
      <c r="BR296" s="2322"/>
      <c r="BS296" s="2322"/>
      <c r="BT296" s="2322"/>
      <c r="BU296" s="2322"/>
      <c r="BV296" s="2322"/>
      <c r="BW296" s="2322"/>
      <c r="BX296" s="2322"/>
      <c r="BY296" s="2322"/>
      <c r="BZ296" s="2322"/>
      <c r="CA296" s="2322"/>
      <c r="CB296" s="2322"/>
      <c r="CC296" s="2322"/>
      <c r="CD296" s="2322"/>
      <c r="CE296" s="2322"/>
      <c r="CF296" s="2322"/>
      <c r="CG296" s="2322"/>
      <c r="CH296" s="2322"/>
      <c r="CI296" s="2322"/>
      <c r="CJ296" s="2322"/>
      <c r="CK296" s="2322"/>
      <c r="CL296" s="2322"/>
      <c r="CM296" s="2322"/>
      <c r="CN296" s="2322"/>
      <c r="CO296" s="2322"/>
      <c r="CP296" s="2322"/>
      <c r="CQ296" s="2322"/>
      <c r="CR296" s="2322"/>
      <c r="CS296" s="2322"/>
      <c r="CT296" s="2322"/>
      <c r="CU296" s="2322"/>
      <c r="CV296" s="2322"/>
    </row>
    <row r="297" spans="1:100" ht="15.75" customHeight="1">
      <c r="A297" s="2328"/>
      <c r="B297" s="2322"/>
      <c r="C297" s="2322"/>
      <c r="D297" s="2322"/>
      <c r="E297" s="2322"/>
      <c r="F297" s="2322"/>
      <c r="G297" s="2322"/>
      <c r="H297" s="2322"/>
      <c r="I297" s="2322"/>
      <c r="J297" s="2322"/>
      <c r="K297" s="2322"/>
      <c r="L297" s="2322"/>
      <c r="M297" s="2322"/>
      <c r="N297" s="2322"/>
      <c r="O297" s="2322"/>
      <c r="P297" s="2322"/>
      <c r="Q297" s="2322"/>
      <c r="R297" s="2322"/>
      <c r="S297" s="2322"/>
      <c r="T297" s="2322"/>
      <c r="U297" s="2322"/>
      <c r="V297" s="2322"/>
      <c r="W297" s="2322"/>
      <c r="X297" s="2322"/>
      <c r="Y297" s="2322"/>
      <c r="Z297" s="2322"/>
      <c r="AA297" s="2322"/>
      <c r="AB297" s="2322"/>
      <c r="AC297" s="2322"/>
      <c r="AD297" s="2322"/>
      <c r="AE297" s="2322"/>
      <c r="AF297" s="2322"/>
      <c r="AG297" s="2322"/>
      <c r="AH297" s="2322"/>
      <c r="AI297" s="2322"/>
      <c r="AJ297" s="2322"/>
      <c r="AK297" s="2322"/>
      <c r="AL297" s="2322"/>
      <c r="AM297" s="2322"/>
      <c r="AN297" s="2322"/>
      <c r="AO297" s="2322"/>
      <c r="AP297" s="2322"/>
      <c r="AQ297" s="2322"/>
      <c r="AR297" s="2322"/>
      <c r="AS297" s="2322"/>
      <c r="AT297" s="2322"/>
      <c r="AU297" s="2322"/>
      <c r="AV297" s="2322"/>
      <c r="AW297" s="2322"/>
      <c r="AX297" s="2322"/>
      <c r="AY297" s="2322"/>
      <c r="AZ297" s="2322"/>
      <c r="BA297" s="2322"/>
      <c r="BB297" s="2322"/>
      <c r="BC297" s="2322"/>
      <c r="BD297" s="2322"/>
      <c r="BE297" s="2322"/>
      <c r="BF297" s="2322"/>
      <c r="BG297" s="2322"/>
      <c r="BH297" s="2322"/>
      <c r="BI297" s="2322"/>
      <c r="BJ297" s="2322"/>
      <c r="BK297" s="2322"/>
      <c r="BL297" s="2322"/>
      <c r="BM297" s="2322"/>
      <c r="BN297" s="2322"/>
      <c r="BO297" s="2322"/>
      <c r="BP297" s="2322"/>
      <c r="BQ297" s="2322"/>
      <c r="BR297" s="2322"/>
      <c r="BS297" s="2322"/>
      <c r="BT297" s="2322"/>
      <c r="BU297" s="2322"/>
      <c r="BV297" s="2322"/>
      <c r="BW297" s="2322"/>
      <c r="BX297" s="2322"/>
      <c r="BY297" s="2322"/>
      <c r="BZ297" s="2322"/>
      <c r="CA297" s="2322"/>
      <c r="CB297" s="2322"/>
      <c r="CC297" s="2322"/>
      <c r="CD297" s="2322"/>
      <c r="CE297" s="2322"/>
      <c r="CF297" s="2322"/>
      <c r="CG297" s="2322"/>
      <c r="CH297" s="2322"/>
      <c r="CI297" s="2322"/>
      <c r="CJ297" s="2322"/>
      <c r="CK297" s="2322"/>
      <c r="CL297" s="2322"/>
      <c r="CM297" s="2322"/>
      <c r="CN297" s="2322"/>
      <c r="CO297" s="2322"/>
      <c r="CP297" s="2322"/>
      <c r="CQ297" s="2322"/>
      <c r="CR297" s="2322"/>
      <c r="CS297" s="2322"/>
      <c r="CT297" s="2322"/>
      <c r="CU297" s="2322"/>
      <c r="CV297" s="2322"/>
    </row>
    <row r="298" spans="1:100" ht="15.75" customHeight="1">
      <c r="A298" s="2328"/>
      <c r="B298" s="2322"/>
      <c r="C298" s="2322"/>
      <c r="D298" s="2322"/>
      <c r="E298" s="2322"/>
      <c r="F298" s="2322"/>
      <c r="G298" s="2322"/>
      <c r="H298" s="2322"/>
      <c r="I298" s="2322"/>
      <c r="J298" s="2322"/>
      <c r="K298" s="2322"/>
      <c r="L298" s="2322"/>
      <c r="M298" s="2322"/>
      <c r="N298" s="2322"/>
      <c r="O298" s="2322"/>
      <c r="P298" s="2322"/>
      <c r="Q298" s="2322"/>
      <c r="R298" s="2322"/>
      <c r="S298" s="2322"/>
      <c r="T298" s="2322"/>
      <c r="U298" s="2322"/>
      <c r="V298" s="2322"/>
      <c r="W298" s="2322"/>
      <c r="X298" s="2322"/>
      <c r="Y298" s="2322"/>
      <c r="Z298" s="2322"/>
      <c r="AA298" s="2322"/>
      <c r="AB298" s="2322"/>
      <c r="AC298" s="2322"/>
      <c r="AD298" s="2322"/>
      <c r="AE298" s="2322"/>
      <c r="AF298" s="2322"/>
      <c r="AG298" s="2322"/>
      <c r="AH298" s="2322"/>
      <c r="AI298" s="2322"/>
      <c r="AJ298" s="2322"/>
      <c r="AK298" s="2322"/>
      <c r="AL298" s="2322"/>
      <c r="AM298" s="2322"/>
      <c r="AN298" s="2322"/>
      <c r="AO298" s="2322"/>
      <c r="AP298" s="2322"/>
      <c r="AQ298" s="2322"/>
      <c r="AR298" s="2322"/>
      <c r="AS298" s="2322"/>
      <c r="AT298" s="2322"/>
      <c r="AU298" s="2322"/>
      <c r="AV298" s="2322"/>
      <c r="AW298" s="2322"/>
      <c r="AX298" s="2322"/>
      <c r="AY298" s="2322"/>
      <c r="AZ298" s="2322"/>
      <c r="BA298" s="2322"/>
      <c r="BB298" s="2322"/>
      <c r="BC298" s="2322"/>
      <c r="BD298" s="2322"/>
      <c r="BE298" s="2322"/>
      <c r="BF298" s="2322"/>
      <c r="BG298" s="2322"/>
      <c r="BH298" s="2322"/>
      <c r="BI298" s="2322"/>
      <c r="BJ298" s="2322"/>
      <c r="BK298" s="2322"/>
      <c r="BL298" s="2322"/>
      <c r="BM298" s="2322"/>
      <c r="BN298" s="2322"/>
      <c r="BO298" s="2322"/>
      <c r="BP298" s="2322"/>
      <c r="BQ298" s="2322"/>
      <c r="BR298" s="2322"/>
      <c r="BS298" s="2322"/>
      <c r="BT298" s="2322"/>
      <c r="BU298" s="2322"/>
      <c r="BV298" s="2322"/>
      <c r="BW298" s="2322"/>
      <c r="BX298" s="2322"/>
      <c r="BY298" s="2322"/>
      <c r="BZ298" s="2322"/>
      <c r="CA298" s="2322"/>
      <c r="CB298" s="2322"/>
      <c r="CC298" s="2322"/>
      <c r="CD298" s="2322"/>
      <c r="CE298" s="2322"/>
      <c r="CF298" s="2322"/>
      <c r="CG298" s="2322"/>
      <c r="CH298" s="2322"/>
      <c r="CI298" s="2322"/>
      <c r="CJ298" s="2322"/>
      <c r="CK298" s="2322"/>
      <c r="CL298" s="2322"/>
      <c r="CM298" s="2322"/>
      <c r="CN298" s="2322"/>
      <c r="CO298" s="2322"/>
      <c r="CP298" s="2322"/>
      <c r="CQ298" s="2322"/>
      <c r="CR298" s="2322"/>
      <c r="CS298" s="2322"/>
      <c r="CT298" s="2322"/>
      <c r="CU298" s="2322"/>
      <c r="CV298" s="2322"/>
    </row>
    <row r="299" spans="1:100" ht="15.75" customHeight="1">
      <c r="A299" s="2328"/>
      <c r="B299" s="2322"/>
      <c r="C299" s="2322"/>
      <c r="D299" s="2322"/>
      <c r="E299" s="2322"/>
      <c r="F299" s="2322"/>
      <c r="G299" s="2322"/>
      <c r="H299" s="2322"/>
      <c r="I299" s="2322"/>
      <c r="J299" s="2322"/>
      <c r="K299" s="2322"/>
      <c r="L299" s="2322"/>
      <c r="M299" s="2322"/>
      <c r="N299" s="2322"/>
      <c r="O299" s="2322"/>
      <c r="P299" s="2322"/>
      <c r="Q299" s="2322"/>
      <c r="R299" s="2322"/>
      <c r="S299" s="2322"/>
      <c r="T299" s="2322"/>
      <c r="U299" s="2322"/>
      <c r="V299" s="2322"/>
      <c r="W299" s="2322"/>
      <c r="X299" s="2322"/>
      <c r="Y299" s="2322"/>
      <c r="Z299" s="2322"/>
      <c r="AA299" s="2322"/>
      <c r="AB299" s="2322"/>
      <c r="AC299" s="2322"/>
      <c r="AD299" s="2322"/>
      <c r="AE299" s="2322"/>
      <c r="AF299" s="2322"/>
      <c r="AG299" s="2322"/>
      <c r="AH299" s="2322"/>
      <c r="AI299" s="2322"/>
      <c r="AJ299" s="2322"/>
      <c r="AK299" s="2322"/>
      <c r="AL299" s="2322"/>
      <c r="AM299" s="2322"/>
      <c r="AN299" s="2322"/>
      <c r="AO299" s="2322"/>
      <c r="AP299" s="2322"/>
      <c r="AQ299" s="2322"/>
      <c r="AR299" s="2322"/>
      <c r="AS299" s="2322"/>
      <c r="AT299" s="2322"/>
      <c r="AU299" s="2322"/>
      <c r="AV299" s="2322"/>
      <c r="AW299" s="2322"/>
      <c r="AX299" s="2322"/>
      <c r="AY299" s="2322"/>
      <c r="AZ299" s="2322"/>
      <c r="BA299" s="2322"/>
      <c r="BB299" s="2322"/>
      <c r="BC299" s="2322"/>
      <c r="BD299" s="2322"/>
      <c r="BE299" s="2322"/>
      <c r="BF299" s="2322"/>
      <c r="BG299" s="2322"/>
      <c r="BH299" s="2322"/>
      <c r="BI299" s="2322"/>
      <c r="BJ299" s="2322"/>
      <c r="BK299" s="2322"/>
      <c r="BL299" s="2322"/>
      <c r="BM299" s="2322"/>
      <c r="BN299" s="2322"/>
      <c r="BO299" s="2322"/>
      <c r="BP299" s="2322"/>
      <c r="BQ299" s="2322"/>
      <c r="BR299" s="2322"/>
      <c r="BS299" s="2322"/>
      <c r="BT299" s="2322"/>
      <c r="BU299" s="2322"/>
      <c r="BV299" s="2322"/>
      <c r="BW299" s="2322"/>
      <c r="BX299" s="2322"/>
      <c r="BY299" s="2322"/>
      <c r="BZ299" s="2322"/>
      <c r="CA299" s="2322"/>
      <c r="CB299" s="2322"/>
      <c r="CC299" s="2322"/>
      <c r="CD299" s="2322"/>
      <c r="CE299" s="2322"/>
      <c r="CF299" s="2322"/>
      <c r="CG299" s="2322"/>
      <c r="CH299" s="2322"/>
      <c r="CI299" s="2322"/>
      <c r="CJ299" s="2322"/>
      <c r="CK299" s="2322"/>
      <c r="CL299" s="2322"/>
      <c r="CM299" s="2322"/>
      <c r="CN299" s="2322"/>
      <c r="CO299" s="2322"/>
      <c r="CP299" s="2322"/>
      <c r="CQ299" s="2322"/>
      <c r="CR299" s="2322"/>
      <c r="CS299" s="2322"/>
      <c r="CT299" s="2322"/>
      <c r="CU299" s="2322"/>
      <c r="CV299" s="2322"/>
    </row>
    <row r="300" spans="1:100" ht="15.75" customHeight="1">
      <c r="A300" s="2328"/>
      <c r="B300" s="2322"/>
      <c r="C300" s="2322"/>
      <c r="D300" s="2322"/>
      <c r="E300" s="2322"/>
      <c r="F300" s="2322"/>
      <c r="G300" s="2322"/>
      <c r="H300" s="2322"/>
      <c r="I300" s="2322"/>
      <c r="J300" s="2322"/>
      <c r="K300" s="2322"/>
      <c r="L300" s="2322"/>
      <c r="M300" s="2322"/>
      <c r="N300" s="2322"/>
      <c r="O300" s="2322"/>
      <c r="P300" s="2322"/>
      <c r="Q300" s="2322"/>
      <c r="R300" s="2322"/>
      <c r="S300" s="2322"/>
      <c r="T300" s="2322"/>
      <c r="U300" s="2322"/>
      <c r="V300" s="2322"/>
      <c r="W300" s="2322"/>
      <c r="X300" s="2322"/>
      <c r="Y300" s="2322"/>
      <c r="Z300" s="2322"/>
      <c r="AA300" s="2322"/>
      <c r="AB300" s="2322"/>
      <c r="AC300" s="2322"/>
      <c r="AD300" s="2322"/>
      <c r="AE300" s="2322"/>
      <c r="AF300" s="2322"/>
      <c r="AG300" s="2322"/>
      <c r="AH300" s="2322"/>
      <c r="AI300" s="2322"/>
      <c r="AJ300" s="2322"/>
      <c r="AK300" s="2322"/>
      <c r="AL300" s="2322"/>
      <c r="AM300" s="2322"/>
      <c r="AN300" s="2322"/>
      <c r="AO300" s="2322"/>
      <c r="AP300" s="2322"/>
      <c r="AQ300" s="2322"/>
      <c r="AR300" s="2322"/>
      <c r="AS300" s="2322"/>
      <c r="AT300" s="2322"/>
      <c r="AU300" s="2322"/>
      <c r="AV300" s="2322"/>
      <c r="AW300" s="2322"/>
      <c r="AX300" s="2322"/>
      <c r="AY300" s="2322"/>
      <c r="AZ300" s="2322"/>
      <c r="BA300" s="2322"/>
      <c r="BB300" s="2322"/>
      <c r="BC300" s="2322"/>
      <c r="BD300" s="2322"/>
      <c r="BE300" s="2322"/>
      <c r="BF300" s="2322"/>
      <c r="BG300" s="2322"/>
      <c r="BH300" s="2322"/>
      <c r="BI300" s="2322"/>
      <c r="BJ300" s="2322"/>
      <c r="BK300" s="2322"/>
      <c r="BL300" s="2322"/>
      <c r="BM300" s="2322"/>
      <c r="BN300" s="2322"/>
      <c r="BO300" s="2322"/>
      <c r="BP300" s="2322"/>
      <c r="BQ300" s="2322"/>
      <c r="BR300" s="2322"/>
      <c r="BS300" s="2322"/>
      <c r="BT300" s="2322"/>
      <c r="BU300" s="2322"/>
      <c r="BV300" s="2322"/>
      <c r="BW300" s="2322"/>
      <c r="BX300" s="2322"/>
      <c r="BY300" s="2322"/>
      <c r="BZ300" s="2322"/>
      <c r="CA300" s="2322"/>
      <c r="CB300" s="2322"/>
      <c r="CC300" s="2322"/>
      <c r="CD300" s="2322"/>
      <c r="CE300" s="2322"/>
      <c r="CF300" s="2322"/>
      <c r="CG300" s="2322"/>
      <c r="CH300" s="2322"/>
      <c r="CI300" s="2322"/>
      <c r="CJ300" s="2322"/>
      <c r="CK300" s="2322"/>
      <c r="CL300" s="2322"/>
      <c r="CM300" s="2322"/>
      <c r="CN300" s="2322"/>
      <c r="CO300" s="2322"/>
      <c r="CP300" s="2322"/>
      <c r="CQ300" s="2322"/>
      <c r="CR300" s="2322"/>
      <c r="CS300" s="2322"/>
      <c r="CT300" s="2322"/>
      <c r="CU300" s="2322"/>
      <c r="CV300" s="2322"/>
    </row>
    <row r="301" spans="1:100" ht="15.75" customHeight="1">
      <c r="A301" s="2328"/>
      <c r="B301" s="2322"/>
      <c r="C301" s="2322"/>
      <c r="D301" s="2322"/>
      <c r="E301" s="2322"/>
      <c r="F301" s="2322"/>
      <c r="G301" s="2322"/>
      <c r="H301" s="2322"/>
      <c r="I301" s="2322"/>
      <c r="J301" s="2322"/>
      <c r="K301" s="2322"/>
      <c r="L301" s="2322"/>
      <c r="M301" s="2322"/>
      <c r="N301" s="2322"/>
      <c r="O301" s="2322"/>
      <c r="P301" s="2322"/>
      <c r="Q301" s="2322"/>
      <c r="R301" s="2322"/>
      <c r="S301" s="2322"/>
      <c r="T301" s="2322"/>
      <c r="U301" s="2322"/>
      <c r="V301" s="2322"/>
      <c r="W301" s="2322"/>
      <c r="X301" s="2322"/>
      <c r="Y301" s="2322"/>
      <c r="Z301" s="2322"/>
      <c r="AA301" s="2322"/>
      <c r="AB301" s="2322"/>
      <c r="AC301" s="2322"/>
      <c r="AD301" s="2322"/>
      <c r="AE301" s="2322"/>
      <c r="AF301" s="2322"/>
      <c r="AG301" s="2322"/>
      <c r="AH301" s="2322"/>
      <c r="AI301" s="2322"/>
      <c r="AJ301" s="2322"/>
      <c r="AK301" s="2322"/>
      <c r="AL301" s="2322"/>
      <c r="AM301" s="2322"/>
      <c r="AN301" s="2322"/>
      <c r="AO301" s="2322"/>
      <c r="AP301" s="2322"/>
      <c r="AQ301" s="2322"/>
      <c r="AR301" s="2322"/>
      <c r="AS301" s="2322"/>
      <c r="AT301" s="2322"/>
      <c r="AU301" s="2322"/>
      <c r="AV301" s="2322"/>
      <c r="AW301" s="2322"/>
      <c r="AX301" s="2322"/>
      <c r="AY301" s="2322"/>
      <c r="AZ301" s="2322"/>
      <c r="BA301" s="2322"/>
      <c r="BB301" s="2322"/>
      <c r="BC301" s="2322"/>
      <c r="BD301" s="2322"/>
      <c r="BE301" s="2322"/>
      <c r="BF301" s="2322"/>
      <c r="BG301" s="2322"/>
      <c r="BH301" s="2322"/>
      <c r="BI301" s="2322"/>
      <c r="BJ301" s="2322"/>
      <c r="BK301" s="2322"/>
      <c r="BL301" s="2322"/>
      <c r="BM301" s="2322"/>
      <c r="BN301" s="2322"/>
      <c r="BO301" s="2322"/>
      <c r="BP301" s="2322"/>
      <c r="BQ301" s="2322"/>
      <c r="BR301" s="2322"/>
      <c r="BS301" s="2322"/>
      <c r="BT301" s="2322"/>
      <c r="BU301" s="2322"/>
      <c r="BV301" s="2322"/>
      <c r="BW301" s="2322"/>
      <c r="BX301" s="2322"/>
      <c r="BY301" s="2322"/>
      <c r="BZ301" s="2322"/>
      <c r="CA301" s="2322"/>
      <c r="CB301" s="2322"/>
      <c r="CC301" s="2322"/>
      <c r="CD301" s="2322"/>
      <c r="CE301" s="2322"/>
      <c r="CF301" s="2322"/>
      <c r="CG301" s="2322"/>
      <c r="CH301" s="2322"/>
      <c r="CI301" s="2322"/>
      <c r="CJ301" s="2322"/>
      <c r="CK301" s="2322"/>
      <c r="CL301" s="2322"/>
      <c r="CM301" s="2322"/>
      <c r="CN301" s="2322"/>
      <c r="CO301" s="2322"/>
      <c r="CP301" s="2322"/>
      <c r="CQ301" s="2322"/>
      <c r="CR301" s="2322"/>
      <c r="CS301" s="2322"/>
      <c r="CT301" s="2322"/>
      <c r="CU301" s="2322"/>
      <c r="CV301" s="2322"/>
    </row>
    <row r="302" spans="1:100" ht="15.75" customHeight="1">
      <c r="A302" s="2328"/>
      <c r="B302" s="2322"/>
      <c r="C302" s="2322"/>
      <c r="D302" s="2322"/>
      <c r="E302" s="2322"/>
      <c r="F302" s="2322"/>
      <c r="G302" s="2322"/>
      <c r="H302" s="2322"/>
      <c r="I302" s="2322"/>
      <c r="J302" s="2322"/>
      <c r="K302" s="2322"/>
      <c r="L302" s="2322"/>
      <c r="M302" s="2322"/>
      <c r="N302" s="2322"/>
      <c r="O302" s="2322"/>
      <c r="P302" s="2322"/>
      <c r="Q302" s="2322"/>
      <c r="R302" s="2322"/>
      <c r="S302" s="2322"/>
      <c r="T302" s="2322"/>
      <c r="U302" s="2322"/>
      <c r="V302" s="2322"/>
      <c r="W302" s="2322"/>
      <c r="X302" s="2322"/>
      <c r="Y302" s="2322"/>
      <c r="Z302" s="2322"/>
      <c r="AA302" s="2322"/>
      <c r="AB302" s="2322"/>
      <c r="AC302" s="2322"/>
      <c r="AD302" s="2322"/>
      <c r="AE302" s="2322"/>
      <c r="AF302" s="2322"/>
      <c r="AG302" s="2322"/>
      <c r="AH302" s="2322"/>
      <c r="AI302" s="2322"/>
      <c r="AJ302" s="2322"/>
      <c r="AK302" s="2322"/>
      <c r="AL302" s="2322"/>
      <c r="AM302" s="2322"/>
      <c r="AN302" s="2322"/>
      <c r="AO302" s="2322"/>
      <c r="AP302" s="2322"/>
      <c r="AQ302" s="2322"/>
      <c r="AR302" s="2322"/>
      <c r="AS302" s="2322"/>
      <c r="AT302" s="2322"/>
      <c r="AU302" s="2322"/>
      <c r="AV302" s="2322"/>
      <c r="AW302" s="2322"/>
      <c r="AX302" s="2322"/>
      <c r="AY302" s="2322"/>
      <c r="AZ302" s="2322"/>
      <c r="BA302" s="2322"/>
      <c r="BB302" s="2322"/>
      <c r="BC302" s="2322"/>
      <c r="BD302" s="2322"/>
      <c r="BE302" s="2322"/>
      <c r="BF302" s="2322"/>
      <c r="BG302" s="2322"/>
      <c r="BH302" s="2322"/>
      <c r="BI302" s="2322"/>
      <c r="BJ302" s="2322"/>
      <c r="BK302" s="2322"/>
      <c r="BL302" s="2322"/>
      <c r="BM302" s="2322"/>
      <c r="BN302" s="2322"/>
      <c r="BO302" s="2322"/>
      <c r="BP302" s="2322"/>
      <c r="BQ302" s="2322"/>
      <c r="BR302" s="2322"/>
      <c r="BS302" s="2322"/>
      <c r="BT302" s="2322"/>
      <c r="BU302" s="2322"/>
      <c r="BV302" s="2322"/>
      <c r="BW302" s="2322"/>
      <c r="BX302" s="2322"/>
      <c r="BY302" s="2322"/>
      <c r="BZ302" s="2322"/>
      <c r="CA302" s="2322"/>
      <c r="CB302" s="2322"/>
      <c r="CC302" s="2322"/>
      <c r="CD302" s="2322"/>
      <c r="CE302" s="2322"/>
      <c r="CF302" s="2322"/>
      <c r="CG302" s="2322"/>
      <c r="CH302" s="2322"/>
      <c r="CI302" s="2322"/>
      <c r="CJ302" s="2322"/>
      <c r="CK302" s="2322"/>
      <c r="CL302" s="2322"/>
      <c r="CM302" s="2322"/>
      <c r="CN302" s="2322"/>
      <c r="CO302" s="2322"/>
      <c r="CP302" s="2322"/>
      <c r="CQ302" s="2322"/>
      <c r="CR302" s="2322"/>
      <c r="CS302" s="2322"/>
      <c r="CT302" s="2322"/>
      <c r="CU302" s="2322"/>
      <c r="CV302" s="2322"/>
    </row>
    <row r="303" spans="1:100" ht="15.75" customHeight="1">
      <c r="A303" s="2328"/>
      <c r="B303" s="2322"/>
      <c r="C303" s="2322"/>
      <c r="D303" s="2322"/>
      <c r="E303" s="2322"/>
      <c r="F303" s="2322"/>
      <c r="G303" s="2322"/>
      <c r="H303" s="2322"/>
      <c r="I303" s="2322"/>
      <c r="J303" s="2322"/>
      <c r="K303" s="2322"/>
      <c r="L303" s="2322"/>
      <c r="M303" s="2322"/>
      <c r="N303" s="2322"/>
      <c r="O303" s="2322"/>
      <c r="P303" s="2322"/>
      <c r="Q303" s="2322"/>
      <c r="R303" s="2322"/>
      <c r="S303" s="2322"/>
      <c r="T303" s="2322"/>
      <c r="U303" s="2322"/>
      <c r="V303" s="2322"/>
      <c r="W303" s="2322"/>
      <c r="X303" s="2322"/>
      <c r="Y303" s="2322"/>
      <c r="Z303" s="2322"/>
      <c r="AA303" s="2322"/>
      <c r="AB303" s="2322"/>
      <c r="AC303" s="2322"/>
      <c r="AD303" s="2322"/>
      <c r="AE303" s="2322"/>
      <c r="AF303" s="2322"/>
      <c r="AG303" s="2322"/>
      <c r="AH303" s="2322"/>
      <c r="AI303" s="2322"/>
      <c r="AJ303" s="2322"/>
      <c r="AK303" s="2322"/>
      <c r="AL303" s="2322"/>
      <c r="AM303" s="2322"/>
      <c r="AN303" s="2322"/>
      <c r="AO303" s="2322"/>
      <c r="AP303" s="2322"/>
      <c r="AQ303" s="2322"/>
      <c r="AR303" s="2322"/>
      <c r="AS303" s="2322"/>
      <c r="AT303" s="2322"/>
      <c r="AU303" s="2322"/>
      <c r="AV303" s="2322"/>
      <c r="AW303" s="2322"/>
      <c r="AX303" s="2322"/>
      <c r="AY303" s="2322"/>
      <c r="AZ303" s="2322"/>
      <c r="BA303" s="2322"/>
      <c r="BB303" s="2322"/>
      <c r="BC303" s="2322"/>
      <c r="BD303" s="2322"/>
      <c r="BE303" s="2322"/>
      <c r="BF303" s="2322"/>
      <c r="BG303" s="2322"/>
      <c r="BH303" s="2322"/>
      <c r="BI303" s="2322"/>
      <c r="BJ303" s="2322"/>
      <c r="BK303" s="2322"/>
      <c r="BL303" s="2322"/>
      <c r="BM303" s="2322"/>
      <c r="BN303" s="2322"/>
      <c r="BO303" s="2322"/>
      <c r="BP303" s="2322"/>
      <c r="BQ303" s="2322"/>
      <c r="BR303" s="2322"/>
      <c r="BS303" s="2322"/>
      <c r="BT303" s="2322"/>
      <c r="BU303" s="2322"/>
      <c r="BV303" s="2322"/>
      <c r="BW303" s="2322"/>
      <c r="BX303" s="2322"/>
      <c r="BY303" s="2322"/>
      <c r="BZ303" s="2322"/>
      <c r="CA303" s="2322"/>
      <c r="CB303" s="2322"/>
      <c r="CC303" s="2322"/>
      <c r="CD303" s="2322"/>
      <c r="CE303" s="2322"/>
      <c r="CF303" s="2322"/>
      <c r="CG303" s="2322"/>
      <c r="CH303" s="2322"/>
      <c r="CI303" s="2322"/>
      <c r="CJ303" s="2322"/>
      <c r="CK303" s="2322"/>
      <c r="CL303" s="2322"/>
      <c r="CM303" s="2322"/>
      <c r="CN303" s="2322"/>
      <c r="CO303" s="2322"/>
      <c r="CP303" s="2322"/>
      <c r="CQ303" s="2322"/>
      <c r="CR303" s="2322"/>
      <c r="CS303" s="2322"/>
      <c r="CT303" s="2322"/>
      <c r="CU303" s="2322"/>
      <c r="CV303" s="2322"/>
    </row>
    <row r="304" spans="1:100" ht="15.75" customHeight="1">
      <c r="A304" s="2328"/>
      <c r="B304" s="2322"/>
      <c r="C304" s="2322"/>
      <c r="D304" s="2322"/>
      <c r="E304" s="2322"/>
      <c r="F304" s="2322"/>
      <c r="G304" s="2322"/>
      <c r="H304" s="2322"/>
      <c r="I304" s="2322"/>
      <c r="J304" s="2322"/>
      <c r="K304" s="2322"/>
      <c r="L304" s="2322"/>
      <c r="M304" s="2322"/>
      <c r="N304" s="2322"/>
      <c r="O304" s="2322"/>
      <c r="P304" s="2322"/>
      <c r="Q304" s="2322"/>
      <c r="R304" s="2322"/>
      <c r="S304" s="2322"/>
      <c r="T304" s="2322"/>
      <c r="U304" s="2322"/>
      <c r="V304" s="2322"/>
      <c r="W304" s="2322"/>
      <c r="X304" s="2322"/>
      <c r="Y304" s="2322"/>
      <c r="Z304" s="2322"/>
      <c r="AA304" s="2322"/>
      <c r="AB304" s="2322"/>
      <c r="AC304" s="2322"/>
      <c r="AD304" s="2322"/>
      <c r="AE304" s="2322"/>
      <c r="AF304" s="2322"/>
      <c r="AG304" s="2322"/>
      <c r="AH304" s="2322"/>
      <c r="AI304" s="2322"/>
      <c r="AJ304" s="2322"/>
      <c r="AK304" s="2322"/>
      <c r="AL304" s="2322"/>
      <c r="AM304" s="2322"/>
      <c r="AN304" s="2322"/>
      <c r="AO304" s="2322"/>
      <c r="AP304" s="2322"/>
      <c r="AQ304" s="2322"/>
      <c r="AR304" s="2322"/>
      <c r="AS304" s="2322"/>
      <c r="AT304" s="2322"/>
      <c r="AU304" s="2322"/>
      <c r="AV304" s="2322"/>
      <c r="AW304" s="2322"/>
      <c r="AX304" s="2322"/>
      <c r="AY304" s="2322"/>
      <c r="AZ304" s="2322"/>
      <c r="BA304" s="2322"/>
      <c r="BB304" s="2322"/>
      <c r="BC304" s="2322"/>
      <c r="BD304" s="2322"/>
      <c r="BE304" s="2322"/>
      <c r="BF304" s="2322"/>
      <c r="BG304" s="2322"/>
      <c r="BH304" s="2322"/>
      <c r="BI304" s="2322"/>
      <c r="BJ304" s="2322"/>
      <c r="BK304" s="2322"/>
      <c r="BL304" s="2322"/>
      <c r="BM304" s="2322"/>
      <c r="BN304" s="2322"/>
      <c r="BO304" s="2322"/>
      <c r="BP304" s="2322"/>
      <c r="BQ304" s="2322"/>
      <c r="BR304" s="2322"/>
      <c r="BS304" s="2322"/>
      <c r="BT304" s="2322"/>
      <c r="BU304" s="2322"/>
      <c r="BV304" s="2322"/>
      <c r="BW304" s="2322"/>
      <c r="BX304" s="2322"/>
      <c r="BY304" s="2322"/>
      <c r="BZ304" s="2322"/>
      <c r="CA304" s="2322"/>
      <c r="CB304" s="2322"/>
      <c r="CC304" s="2322"/>
      <c r="CD304" s="2322"/>
      <c r="CE304" s="2322"/>
      <c r="CF304" s="2322"/>
      <c r="CG304" s="2322"/>
      <c r="CH304" s="2322"/>
      <c r="CI304" s="2322"/>
      <c r="CJ304" s="2322"/>
      <c r="CK304" s="2322"/>
      <c r="CL304" s="2322"/>
      <c r="CM304" s="2322"/>
      <c r="CN304" s="2322"/>
      <c r="CO304" s="2322"/>
      <c r="CP304" s="2322"/>
      <c r="CQ304" s="2322"/>
      <c r="CR304" s="2322"/>
      <c r="CS304" s="2322"/>
      <c r="CT304" s="2322"/>
      <c r="CU304" s="2322"/>
      <c r="CV304" s="2322"/>
    </row>
    <row r="305" spans="1:100" ht="15.75" customHeight="1">
      <c r="A305" s="2328"/>
      <c r="B305" s="2322"/>
      <c r="C305" s="2322"/>
      <c r="D305" s="2322"/>
      <c r="E305" s="2322"/>
      <c r="F305" s="2322"/>
      <c r="G305" s="2322"/>
      <c r="H305" s="2322"/>
      <c r="I305" s="2322"/>
      <c r="J305" s="2322"/>
      <c r="K305" s="2322"/>
      <c r="L305" s="2322"/>
      <c r="M305" s="2322"/>
      <c r="N305" s="2322"/>
      <c r="O305" s="2322"/>
      <c r="P305" s="2322"/>
      <c r="Q305" s="2322"/>
      <c r="R305" s="2322"/>
      <c r="S305" s="2322"/>
      <c r="T305" s="2322"/>
      <c r="U305" s="2322"/>
      <c r="V305" s="2322"/>
      <c r="W305" s="2322"/>
      <c r="X305" s="2322"/>
      <c r="Y305" s="2322"/>
      <c r="Z305" s="2322"/>
      <c r="AA305" s="2322"/>
      <c r="AB305" s="2322"/>
      <c r="AC305" s="2322"/>
      <c r="AD305" s="2322"/>
      <c r="AE305" s="2322"/>
      <c r="AF305" s="2322"/>
      <c r="AG305" s="2322"/>
      <c r="AH305" s="2322"/>
      <c r="AI305" s="2322"/>
      <c r="AJ305" s="2322"/>
      <c r="AK305" s="2322"/>
      <c r="AL305" s="2322"/>
      <c r="AM305" s="2322"/>
      <c r="AN305" s="2322"/>
      <c r="AO305" s="2322"/>
      <c r="AP305" s="2322"/>
      <c r="AQ305" s="2322"/>
      <c r="AR305" s="2322"/>
      <c r="AS305" s="2322"/>
      <c r="AT305" s="2322"/>
      <c r="AU305" s="2322"/>
      <c r="AV305" s="2322"/>
      <c r="AW305" s="2322"/>
      <c r="AX305" s="2322"/>
      <c r="AY305" s="2322"/>
      <c r="AZ305" s="2322"/>
      <c r="BA305" s="2322"/>
      <c r="BB305" s="2322"/>
      <c r="BC305" s="2322"/>
      <c r="BD305" s="2322"/>
      <c r="BE305" s="2322"/>
      <c r="BF305" s="2322"/>
      <c r="BG305" s="2322"/>
      <c r="BH305" s="2322"/>
      <c r="BI305" s="2322"/>
      <c r="BJ305" s="2322"/>
      <c r="BK305" s="2322"/>
      <c r="BL305" s="2322"/>
      <c r="BM305" s="2322"/>
      <c r="BN305" s="2322"/>
      <c r="BO305" s="2322"/>
      <c r="BP305" s="2322"/>
      <c r="BQ305" s="2322"/>
      <c r="BR305" s="2322"/>
      <c r="BS305" s="2322"/>
      <c r="BT305" s="2322"/>
      <c r="BU305" s="2322"/>
      <c r="BV305" s="2322"/>
      <c r="BW305" s="2322"/>
      <c r="BX305" s="2322"/>
      <c r="BY305" s="2322"/>
      <c r="BZ305" s="2322"/>
      <c r="CA305" s="2322"/>
      <c r="CB305" s="2322"/>
      <c r="CC305" s="2322"/>
      <c r="CD305" s="2322"/>
      <c r="CE305" s="2322"/>
      <c r="CF305" s="2322"/>
      <c r="CG305" s="2322"/>
      <c r="CH305" s="2322"/>
      <c r="CI305" s="2322"/>
      <c r="CJ305" s="2322"/>
      <c r="CK305" s="2322"/>
      <c r="CL305" s="2322"/>
      <c r="CM305" s="2322"/>
      <c r="CN305" s="2322"/>
      <c r="CO305" s="2322"/>
      <c r="CP305" s="2322"/>
      <c r="CQ305" s="2322"/>
      <c r="CR305" s="2322"/>
      <c r="CS305" s="2322"/>
      <c r="CT305" s="2322"/>
      <c r="CU305" s="2322"/>
      <c r="CV305" s="2322"/>
    </row>
    <row r="306" spans="1:100" ht="15.75" customHeight="1">
      <c r="A306" s="2328"/>
      <c r="B306" s="2322"/>
      <c r="C306" s="2322"/>
      <c r="D306" s="2322"/>
      <c r="E306" s="2322"/>
      <c r="F306" s="2322"/>
      <c r="G306" s="2322"/>
      <c r="H306" s="2322"/>
      <c r="I306" s="2322"/>
      <c r="J306" s="2322"/>
      <c r="K306" s="2322"/>
      <c r="L306" s="2322"/>
      <c r="M306" s="2322"/>
      <c r="N306" s="2322"/>
      <c r="O306" s="2322"/>
      <c r="P306" s="2322"/>
      <c r="Q306" s="2322"/>
      <c r="R306" s="2322"/>
      <c r="S306" s="2322"/>
      <c r="T306" s="2322"/>
      <c r="U306" s="2322"/>
      <c r="V306" s="2322"/>
      <c r="W306" s="2322"/>
      <c r="X306" s="2322"/>
      <c r="Y306" s="2322"/>
      <c r="Z306" s="2322"/>
      <c r="AA306" s="2322"/>
      <c r="AB306" s="2322"/>
      <c r="AC306" s="2322"/>
      <c r="AD306" s="2322"/>
      <c r="AE306" s="2322"/>
      <c r="AF306" s="2322"/>
      <c r="AG306" s="2322"/>
      <c r="AH306" s="2322"/>
      <c r="AI306" s="2322"/>
      <c r="AJ306" s="2322"/>
      <c r="AK306" s="2322"/>
      <c r="AL306" s="2322"/>
      <c r="AM306" s="2322"/>
      <c r="AN306" s="2322"/>
      <c r="AO306" s="2322"/>
      <c r="AP306" s="2322"/>
      <c r="AQ306" s="2322"/>
      <c r="AR306" s="2322"/>
      <c r="AS306" s="2322"/>
      <c r="AT306" s="2322"/>
      <c r="AU306" s="2322"/>
      <c r="AV306" s="2322"/>
      <c r="AW306" s="2322"/>
      <c r="AX306" s="2322"/>
      <c r="AY306" s="2322"/>
      <c r="AZ306" s="2322"/>
      <c r="BA306" s="2322"/>
      <c r="BB306" s="2322"/>
      <c r="BC306" s="2322"/>
      <c r="BD306" s="2322"/>
      <c r="BE306" s="2322"/>
      <c r="BF306" s="2322"/>
      <c r="BG306" s="2322"/>
      <c r="BH306" s="2322"/>
      <c r="BI306" s="2322"/>
      <c r="BJ306" s="2322"/>
      <c r="BK306" s="2322"/>
      <c r="BL306" s="2322"/>
      <c r="BM306" s="2322"/>
      <c r="BN306" s="2322"/>
      <c r="BO306" s="2322"/>
      <c r="BP306" s="2322"/>
      <c r="BQ306" s="2322"/>
      <c r="BR306" s="2322"/>
      <c r="BS306" s="2322"/>
      <c r="BT306" s="2322"/>
      <c r="BU306" s="2322"/>
      <c r="BV306" s="2322"/>
      <c r="BW306" s="2322"/>
      <c r="BX306" s="2322"/>
      <c r="BY306" s="2322"/>
      <c r="BZ306" s="2322"/>
      <c r="CA306" s="2322"/>
      <c r="CB306" s="2322"/>
      <c r="CC306" s="2322"/>
      <c r="CD306" s="2322"/>
      <c r="CE306" s="2322"/>
      <c r="CF306" s="2322"/>
      <c r="CG306" s="2322"/>
      <c r="CH306" s="2322"/>
      <c r="CI306" s="2322"/>
      <c r="CJ306" s="2322"/>
      <c r="CK306" s="2322"/>
      <c r="CL306" s="2322"/>
      <c r="CM306" s="2322"/>
      <c r="CN306" s="2322"/>
      <c r="CO306" s="2322"/>
      <c r="CP306" s="2322"/>
      <c r="CQ306" s="2322"/>
      <c r="CR306" s="2322"/>
      <c r="CS306" s="2322"/>
      <c r="CT306" s="2322"/>
      <c r="CU306" s="2322"/>
      <c r="CV306" s="2322"/>
    </row>
    <row r="307" spans="1:100" ht="15.75" customHeight="1">
      <c r="A307" s="2328"/>
      <c r="B307" s="2322"/>
      <c r="C307" s="2322"/>
      <c r="D307" s="2322"/>
      <c r="E307" s="2322"/>
      <c r="F307" s="2322"/>
      <c r="G307" s="2322"/>
      <c r="H307" s="2322"/>
      <c r="I307" s="2322"/>
      <c r="J307" s="2322"/>
      <c r="K307" s="2322"/>
      <c r="L307" s="2322"/>
      <c r="M307" s="2322"/>
      <c r="N307" s="2322"/>
      <c r="O307" s="2322"/>
      <c r="P307" s="2322"/>
      <c r="Q307" s="2322"/>
      <c r="R307" s="2322"/>
      <c r="S307" s="2322"/>
      <c r="T307" s="2322"/>
      <c r="U307" s="2322"/>
      <c r="V307" s="2322"/>
      <c r="W307" s="2322"/>
      <c r="X307" s="2322"/>
      <c r="Y307" s="2322"/>
      <c r="Z307" s="2322"/>
      <c r="AA307" s="2322"/>
      <c r="AB307" s="2322"/>
      <c r="AC307" s="2322"/>
      <c r="AD307" s="2322"/>
      <c r="AE307" s="2322"/>
      <c r="AF307" s="2322"/>
      <c r="AG307" s="2322"/>
      <c r="AH307" s="2322"/>
      <c r="AI307" s="2322"/>
      <c r="AJ307" s="2322"/>
      <c r="AK307" s="2322"/>
      <c r="AL307" s="2322"/>
      <c r="AM307" s="2322"/>
      <c r="AN307" s="2322"/>
      <c r="AO307" s="2322"/>
      <c r="AP307" s="2322"/>
      <c r="AQ307" s="2322"/>
      <c r="AR307" s="2322"/>
      <c r="AS307" s="2322"/>
      <c r="AT307" s="2322"/>
      <c r="AU307" s="2322"/>
      <c r="AV307" s="2322"/>
      <c r="AW307" s="2322"/>
      <c r="AX307" s="2322"/>
      <c r="AY307" s="2322"/>
      <c r="AZ307" s="2322"/>
      <c r="BA307" s="2322"/>
      <c r="BB307" s="2322"/>
      <c r="BC307" s="2322"/>
      <c r="BD307" s="2322"/>
      <c r="BE307" s="2322"/>
      <c r="BF307" s="2322"/>
      <c r="BG307" s="2322"/>
      <c r="BH307" s="2322"/>
      <c r="BI307" s="2322"/>
      <c r="BJ307" s="2322"/>
      <c r="BK307" s="2322"/>
      <c r="BL307" s="2322"/>
      <c r="BM307" s="2322"/>
      <c r="BN307" s="2322"/>
      <c r="BO307" s="2322"/>
      <c r="BP307" s="2322"/>
      <c r="BQ307" s="2322"/>
      <c r="BR307" s="2322"/>
      <c r="BS307" s="2322"/>
      <c r="BT307" s="2322"/>
      <c r="BU307" s="2322"/>
      <c r="BV307" s="2322"/>
      <c r="BW307" s="2322"/>
      <c r="BX307" s="2322"/>
      <c r="BY307" s="2322"/>
      <c r="BZ307" s="2322"/>
      <c r="CA307" s="2322"/>
      <c r="CB307" s="2322"/>
      <c r="CC307" s="2322"/>
      <c r="CD307" s="2322"/>
      <c r="CE307" s="2322"/>
      <c r="CF307" s="2322"/>
      <c r="CG307" s="2322"/>
      <c r="CH307" s="2322"/>
      <c r="CI307" s="2322"/>
      <c r="CJ307" s="2322"/>
      <c r="CK307" s="2322"/>
      <c r="CL307" s="2322"/>
      <c r="CM307" s="2322"/>
      <c r="CN307" s="2322"/>
      <c r="CO307" s="2322"/>
      <c r="CP307" s="2322"/>
      <c r="CQ307" s="2322"/>
      <c r="CR307" s="2322"/>
      <c r="CS307" s="2322"/>
      <c r="CT307" s="2322"/>
      <c r="CU307" s="2322"/>
      <c r="CV307" s="2322"/>
    </row>
    <row r="308" spans="1:100" ht="15.75" customHeight="1">
      <c r="A308" s="2328"/>
      <c r="B308" s="2322"/>
      <c r="C308" s="2322"/>
      <c r="D308" s="2322"/>
      <c r="E308" s="2322"/>
      <c r="F308" s="2322"/>
      <c r="G308" s="2322"/>
      <c r="H308" s="2322"/>
      <c r="I308" s="2322"/>
      <c r="J308" s="2322"/>
      <c r="K308" s="2322"/>
      <c r="L308" s="2322"/>
      <c r="M308" s="2322"/>
      <c r="N308" s="2322"/>
      <c r="O308" s="2322"/>
      <c r="P308" s="2322"/>
      <c r="Q308" s="2322"/>
      <c r="R308" s="2322"/>
      <c r="S308" s="2322"/>
      <c r="T308" s="2322"/>
      <c r="U308" s="2322"/>
      <c r="V308" s="2322"/>
      <c r="W308" s="2322"/>
      <c r="X308" s="2322"/>
      <c r="Y308" s="2322"/>
      <c r="Z308" s="2322"/>
      <c r="AA308" s="2322"/>
      <c r="AB308" s="2322"/>
      <c r="AC308" s="2322"/>
      <c r="AD308" s="2322"/>
      <c r="AE308" s="2322"/>
      <c r="AF308" s="2322"/>
      <c r="AG308" s="2322"/>
      <c r="AH308" s="2322"/>
      <c r="AI308" s="2322"/>
      <c r="AJ308" s="2322"/>
      <c r="AK308" s="2322"/>
      <c r="AL308" s="2322"/>
      <c r="AM308" s="2322"/>
      <c r="AN308" s="2322"/>
      <c r="AO308" s="2322"/>
      <c r="AP308" s="2322"/>
      <c r="AQ308" s="2322"/>
      <c r="AR308" s="2322"/>
      <c r="AS308" s="2322"/>
      <c r="AT308" s="2322"/>
      <c r="AU308" s="2322"/>
      <c r="AV308" s="2322"/>
      <c r="AW308" s="2322"/>
      <c r="AX308" s="2322"/>
      <c r="AY308" s="2322"/>
      <c r="AZ308" s="2322"/>
      <c r="BA308" s="2322"/>
      <c r="BB308" s="2322"/>
      <c r="BC308" s="2322"/>
      <c r="BD308" s="2322"/>
      <c r="BE308" s="2322"/>
      <c r="BF308" s="2322"/>
      <c r="BG308" s="2322"/>
      <c r="BH308" s="2322"/>
      <c r="BI308" s="2322"/>
      <c r="BJ308" s="2322"/>
      <c r="BK308" s="2322"/>
      <c r="BL308" s="2322"/>
      <c r="BM308" s="2322"/>
      <c r="BN308" s="2322"/>
      <c r="BO308" s="2322"/>
      <c r="BP308" s="2322"/>
      <c r="BQ308" s="2322"/>
      <c r="BR308" s="2322"/>
      <c r="BS308" s="2322"/>
      <c r="BT308" s="2322"/>
      <c r="BU308" s="2322"/>
      <c r="BV308" s="2322"/>
      <c r="BW308" s="2322"/>
      <c r="BX308" s="2322"/>
      <c r="BY308" s="2322"/>
      <c r="BZ308" s="2322"/>
      <c r="CA308" s="2322"/>
      <c r="CB308" s="2322"/>
      <c r="CC308" s="2322"/>
      <c r="CD308" s="2322"/>
      <c r="CE308" s="2322"/>
      <c r="CF308" s="2322"/>
      <c r="CG308" s="2322"/>
      <c r="CH308" s="2322"/>
      <c r="CI308" s="2322"/>
      <c r="CJ308" s="2322"/>
      <c r="CK308" s="2322"/>
      <c r="CL308" s="2322"/>
      <c r="CM308" s="2322"/>
      <c r="CN308" s="2322"/>
      <c r="CO308" s="2322"/>
      <c r="CP308" s="2322"/>
      <c r="CQ308" s="2322"/>
      <c r="CR308" s="2322"/>
      <c r="CS308" s="2322"/>
      <c r="CT308" s="2322"/>
      <c r="CU308" s="2322"/>
      <c r="CV308" s="2322"/>
    </row>
    <row r="309" spans="1:100" ht="15.75" customHeight="1">
      <c r="A309" s="2328"/>
      <c r="B309" s="2322"/>
      <c r="C309" s="2322"/>
      <c r="D309" s="2322"/>
      <c r="E309" s="2322"/>
      <c r="F309" s="2322"/>
      <c r="G309" s="2322"/>
      <c r="H309" s="2322"/>
      <c r="I309" s="2322"/>
      <c r="J309" s="2322"/>
      <c r="K309" s="2322"/>
      <c r="L309" s="2322"/>
      <c r="M309" s="2322"/>
      <c r="N309" s="2322"/>
      <c r="O309" s="2322"/>
      <c r="P309" s="2322"/>
      <c r="Q309" s="2322"/>
      <c r="R309" s="2322"/>
      <c r="S309" s="2322"/>
      <c r="T309" s="2322"/>
      <c r="U309" s="2322"/>
      <c r="V309" s="2322"/>
      <c r="W309" s="2322"/>
      <c r="X309" s="2322"/>
      <c r="Y309" s="2322"/>
      <c r="Z309" s="2322"/>
      <c r="AA309" s="2322"/>
      <c r="AB309" s="2322"/>
      <c r="AC309" s="2322"/>
      <c r="AD309" s="2322"/>
      <c r="AE309" s="2322"/>
      <c r="AF309" s="2322"/>
      <c r="AG309" s="2322"/>
      <c r="AH309" s="2322"/>
      <c r="AI309" s="2322"/>
      <c r="AJ309" s="2322"/>
      <c r="AK309" s="2322"/>
      <c r="AL309" s="2322"/>
      <c r="AM309" s="2322"/>
      <c r="AN309" s="2322"/>
      <c r="AO309" s="2322"/>
      <c r="AP309" s="2322"/>
      <c r="AQ309" s="2322"/>
      <c r="AR309" s="2322"/>
      <c r="AS309" s="2322"/>
      <c r="AT309" s="2322"/>
      <c r="AU309" s="2322"/>
      <c r="AV309" s="2322"/>
      <c r="AW309" s="2322"/>
      <c r="AX309" s="2322"/>
      <c r="AY309" s="2322"/>
      <c r="AZ309" s="2322"/>
      <c r="BA309" s="2322"/>
      <c r="BB309" s="2322"/>
      <c r="BC309" s="2322"/>
      <c r="BD309" s="2322"/>
      <c r="BE309" s="2322"/>
      <c r="BF309" s="2322"/>
      <c r="BG309" s="2322"/>
      <c r="BH309" s="2322"/>
      <c r="BI309" s="2322"/>
      <c r="BJ309" s="2322"/>
      <c r="BK309" s="2322"/>
      <c r="BL309" s="2322"/>
      <c r="BM309" s="2322"/>
      <c r="BN309" s="2322"/>
      <c r="BO309" s="2322"/>
      <c r="BP309" s="2322"/>
      <c r="BQ309" s="2322"/>
      <c r="BR309" s="2322"/>
      <c r="BS309" s="2322"/>
      <c r="BT309" s="2322"/>
      <c r="BU309" s="2322"/>
      <c r="BV309" s="2322"/>
      <c r="BW309" s="2322"/>
      <c r="BX309" s="2322"/>
      <c r="BY309" s="2322"/>
      <c r="BZ309" s="2322"/>
      <c r="CA309" s="2322"/>
      <c r="CB309" s="2322"/>
      <c r="CC309" s="2322"/>
      <c r="CD309" s="2322"/>
      <c r="CE309" s="2322"/>
      <c r="CF309" s="2322"/>
      <c r="CG309" s="2322"/>
      <c r="CH309" s="2322"/>
      <c r="CI309" s="2322"/>
      <c r="CJ309" s="2322"/>
      <c r="CK309" s="2322"/>
      <c r="CL309" s="2322"/>
      <c r="CM309" s="2322"/>
      <c r="CN309" s="2322"/>
      <c r="CO309" s="2322"/>
      <c r="CP309" s="2322"/>
      <c r="CQ309" s="2322"/>
      <c r="CR309" s="2322"/>
      <c r="CS309" s="2322"/>
      <c r="CT309" s="2322"/>
      <c r="CU309" s="2322"/>
      <c r="CV309" s="2322"/>
    </row>
    <row r="310" spans="1:100" ht="15.75" customHeight="1">
      <c r="A310" s="2328"/>
      <c r="B310" s="2322"/>
      <c r="C310" s="2322"/>
      <c r="D310" s="2322"/>
      <c r="E310" s="2322"/>
      <c r="F310" s="2322"/>
      <c r="G310" s="2322"/>
      <c r="H310" s="2322"/>
      <c r="I310" s="2322"/>
      <c r="J310" s="2322"/>
      <c r="K310" s="2322"/>
      <c r="L310" s="2322"/>
      <c r="M310" s="2322"/>
      <c r="N310" s="2322"/>
      <c r="O310" s="2322"/>
      <c r="P310" s="2322"/>
      <c r="Q310" s="2322"/>
      <c r="R310" s="2322"/>
      <c r="S310" s="2322"/>
      <c r="T310" s="2322"/>
      <c r="U310" s="2322"/>
      <c r="V310" s="2322"/>
      <c r="W310" s="2322"/>
      <c r="X310" s="2322"/>
      <c r="Y310" s="2322"/>
      <c r="Z310" s="2322"/>
      <c r="AA310" s="2322"/>
      <c r="AB310" s="2322"/>
      <c r="AC310" s="2322"/>
      <c r="AD310" s="2322"/>
      <c r="AE310" s="2322"/>
      <c r="AF310" s="2322"/>
      <c r="AG310" s="2322"/>
      <c r="AH310" s="2322"/>
      <c r="AI310" s="2322"/>
      <c r="AJ310" s="2322"/>
      <c r="AK310" s="2322"/>
      <c r="AL310" s="2322"/>
      <c r="AM310" s="2322"/>
      <c r="AN310" s="2322"/>
      <c r="AO310" s="2322"/>
      <c r="AP310" s="2322"/>
      <c r="AQ310" s="2322"/>
      <c r="AR310" s="2322"/>
      <c r="AS310" s="2322"/>
      <c r="AT310" s="2322"/>
      <c r="AU310" s="2322"/>
      <c r="AV310" s="2322"/>
      <c r="AW310" s="2322"/>
      <c r="AX310" s="2322"/>
      <c r="AY310" s="2322"/>
      <c r="AZ310" s="2322"/>
      <c r="BA310" s="2322"/>
      <c r="BB310" s="2322"/>
      <c r="BC310" s="2322"/>
      <c r="BD310" s="2322"/>
      <c r="BE310" s="2322"/>
      <c r="BF310" s="2322"/>
      <c r="BG310" s="2322"/>
      <c r="BH310" s="2322"/>
      <c r="BI310" s="2322"/>
      <c r="BJ310" s="2322"/>
      <c r="BK310" s="2322"/>
      <c r="BL310" s="2322"/>
      <c r="BM310" s="2322"/>
      <c r="BN310" s="2322"/>
      <c r="BO310" s="2322"/>
      <c r="BP310" s="2322"/>
      <c r="BQ310" s="2322"/>
      <c r="BR310" s="2322"/>
      <c r="BS310" s="2322"/>
      <c r="BT310" s="2322"/>
      <c r="BU310" s="2322"/>
      <c r="BV310" s="2322"/>
      <c r="BW310" s="2322"/>
      <c r="BX310" s="2322"/>
      <c r="BY310" s="2322"/>
      <c r="BZ310" s="2322"/>
      <c r="CA310" s="2322"/>
      <c r="CB310" s="2322"/>
      <c r="CC310" s="2322"/>
      <c r="CD310" s="2322"/>
      <c r="CE310" s="2322"/>
      <c r="CF310" s="2322"/>
      <c r="CG310" s="2322"/>
      <c r="CH310" s="2322"/>
      <c r="CI310" s="2322"/>
      <c r="CJ310" s="2322"/>
      <c r="CK310" s="2322"/>
      <c r="CL310" s="2322"/>
      <c r="CM310" s="2322"/>
      <c r="CN310" s="2322"/>
      <c r="CO310" s="2322"/>
      <c r="CP310" s="2322"/>
      <c r="CQ310" s="2322"/>
      <c r="CR310" s="2322"/>
      <c r="CS310" s="2322"/>
      <c r="CT310" s="2322"/>
      <c r="CU310" s="2322"/>
      <c r="CV310" s="2322"/>
    </row>
    <row r="311" spans="1:100" ht="15.75" customHeight="1">
      <c r="A311" s="2328"/>
      <c r="B311" s="2322"/>
      <c r="C311" s="2322"/>
      <c r="D311" s="2322"/>
      <c r="E311" s="2322"/>
      <c r="F311" s="2322"/>
      <c r="G311" s="2322"/>
      <c r="H311" s="2322"/>
      <c r="I311" s="2322"/>
      <c r="J311" s="2322"/>
      <c r="K311" s="2322"/>
      <c r="L311" s="2322"/>
      <c r="M311" s="2322"/>
      <c r="N311" s="2322"/>
      <c r="O311" s="2322"/>
      <c r="P311" s="2322"/>
      <c r="Q311" s="2322"/>
      <c r="R311" s="2322"/>
      <c r="S311" s="2322"/>
      <c r="T311" s="2322"/>
      <c r="U311" s="2322"/>
      <c r="V311" s="2322"/>
      <c r="W311" s="2322"/>
      <c r="X311" s="2322"/>
      <c r="Y311" s="2322"/>
      <c r="Z311" s="2322"/>
      <c r="AA311" s="2322"/>
      <c r="AB311" s="2322"/>
      <c r="AC311" s="2322"/>
      <c r="AD311" s="2322"/>
      <c r="AE311" s="2322"/>
      <c r="AF311" s="2322"/>
      <c r="AG311" s="2322"/>
      <c r="AH311" s="2322"/>
      <c r="AI311" s="2322"/>
      <c r="AJ311" s="2322"/>
      <c r="AK311" s="2322"/>
      <c r="AL311" s="2322"/>
      <c r="AM311" s="2322"/>
      <c r="AN311" s="2322"/>
      <c r="AO311" s="2322"/>
      <c r="AP311" s="2322"/>
      <c r="AQ311" s="2322"/>
      <c r="AR311" s="2322"/>
      <c r="AS311" s="2322"/>
      <c r="AT311" s="2322"/>
      <c r="AU311" s="2322"/>
      <c r="AV311" s="2322"/>
      <c r="AW311" s="2322"/>
      <c r="AX311" s="2322"/>
      <c r="AY311" s="2322"/>
      <c r="AZ311" s="2322"/>
      <c r="BA311" s="2322"/>
      <c r="BB311" s="2322"/>
      <c r="BC311" s="2322"/>
      <c r="BD311" s="2322"/>
      <c r="BE311" s="2322"/>
      <c r="BF311" s="2322"/>
      <c r="BG311" s="2322"/>
      <c r="BH311" s="2322"/>
      <c r="BI311" s="2322"/>
      <c r="BJ311" s="2322"/>
      <c r="BK311" s="2322"/>
      <c r="BL311" s="2322"/>
      <c r="BM311" s="2322"/>
      <c r="BN311" s="2322"/>
      <c r="BO311" s="2322"/>
      <c r="BP311" s="2322"/>
      <c r="BQ311" s="2322"/>
      <c r="BR311" s="2322"/>
      <c r="BS311" s="2322"/>
      <c r="BT311" s="2322"/>
      <c r="BU311" s="2322"/>
      <c r="BV311" s="2322"/>
      <c r="BW311" s="2322"/>
      <c r="BX311" s="2322"/>
      <c r="BY311" s="2322"/>
      <c r="BZ311" s="2322"/>
      <c r="CA311" s="2322"/>
      <c r="CB311" s="2322"/>
      <c r="CC311" s="2322"/>
      <c r="CD311" s="2322"/>
      <c r="CE311" s="2322"/>
      <c r="CF311" s="2322"/>
      <c r="CG311" s="2322"/>
      <c r="CH311" s="2322"/>
      <c r="CI311" s="2322"/>
      <c r="CJ311" s="2322"/>
      <c r="CK311" s="2322"/>
      <c r="CL311" s="2322"/>
      <c r="CM311" s="2322"/>
      <c r="CN311" s="2322"/>
      <c r="CO311" s="2322"/>
      <c r="CP311" s="2322"/>
      <c r="CQ311" s="2322"/>
      <c r="CR311" s="2322"/>
      <c r="CS311" s="2322"/>
      <c r="CT311" s="2322"/>
      <c r="CU311" s="2322"/>
      <c r="CV311" s="2322"/>
    </row>
    <row r="312" spans="1:100" ht="15.75" customHeight="1">
      <c r="A312" s="2328"/>
      <c r="B312" s="2322"/>
      <c r="C312" s="2322"/>
      <c r="D312" s="2322"/>
      <c r="E312" s="2322"/>
      <c r="F312" s="2322"/>
      <c r="G312" s="2322"/>
      <c r="H312" s="2322"/>
      <c r="I312" s="2322"/>
      <c r="J312" s="2322"/>
      <c r="K312" s="2322"/>
      <c r="L312" s="2322"/>
      <c r="M312" s="2322"/>
      <c r="N312" s="2322"/>
      <c r="O312" s="2322"/>
      <c r="P312" s="2322"/>
      <c r="Q312" s="2322"/>
      <c r="R312" s="2322"/>
      <c r="S312" s="2322"/>
      <c r="T312" s="2322"/>
      <c r="U312" s="2322"/>
      <c r="V312" s="2322"/>
      <c r="W312" s="2322"/>
      <c r="X312" s="2322"/>
      <c r="Y312" s="2322"/>
      <c r="Z312" s="2322"/>
      <c r="AA312" s="2322"/>
      <c r="AB312" s="2322"/>
      <c r="AC312" s="2322"/>
      <c r="AD312" s="2322"/>
      <c r="AE312" s="2322"/>
      <c r="AF312" s="2322"/>
      <c r="AG312" s="2322"/>
      <c r="AH312" s="2322"/>
      <c r="AI312" s="2322"/>
      <c r="AJ312" s="2322"/>
      <c r="AK312" s="2322"/>
      <c r="AL312" s="2322"/>
      <c r="AM312" s="2322"/>
      <c r="AN312" s="2322"/>
      <c r="AO312" s="2322"/>
      <c r="AP312" s="2322"/>
      <c r="AQ312" s="2322"/>
      <c r="AR312" s="2322"/>
      <c r="AS312" s="2322"/>
      <c r="AT312" s="2322"/>
      <c r="AU312" s="2322"/>
      <c r="AV312" s="2322"/>
      <c r="AW312" s="2322"/>
      <c r="AX312" s="2322"/>
      <c r="AY312" s="2322"/>
      <c r="AZ312" s="2322"/>
      <c r="BA312" s="2322"/>
      <c r="BB312" s="2322"/>
      <c r="BC312" s="2322"/>
      <c r="BD312" s="2322"/>
      <c r="BE312" s="2322"/>
      <c r="BF312" s="2322"/>
      <c r="BG312" s="2322"/>
      <c r="BH312" s="2322"/>
      <c r="BI312" s="2322"/>
      <c r="BJ312" s="2322"/>
      <c r="BK312" s="2322"/>
      <c r="BL312" s="2322"/>
      <c r="BM312" s="2322"/>
      <c r="BN312" s="2322"/>
      <c r="BO312" s="2322"/>
      <c r="BP312" s="2322"/>
      <c r="BQ312" s="2322"/>
      <c r="BR312" s="2322"/>
      <c r="BS312" s="2322"/>
      <c r="BT312" s="2322"/>
      <c r="BU312" s="2322"/>
      <c r="BV312" s="2322"/>
      <c r="BW312" s="2322"/>
      <c r="BX312" s="2322"/>
      <c r="BY312" s="2322"/>
      <c r="BZ312" s="2322"/>
      <c r="CA312" s="2322"/>
      <c r="CB312" s="2322"/>
      <c r="CC312" s="2322"/>
      <c r="CD312" s="2322"/>
      <c r="CE312" s="2322"/>
      <c r="CF312" s="2322"/>
      <c r="CG312" s="2322"/>
      <c r="CH312" s="2322"/>
      <c r="CI312" s="2322"/>
      <c r="CJ312" s="2322"/>
      <c r="CK312" s="2322"/>
      <c r="CL312" s="2322"/>
      <c r="CM312" s="2322"/>
      <c r="CN312" s="2322"/>
      <c r="CO312" s="2322"/>
      <c r="CP312" s="2322"/>
      <c r="CQ312" s="2322"/>
      <c r="CR312" s="2322"/>
      <c r="CS312" s="2322"/>
      <c r="CT312" s="2322"/>
      <c r="CU312" s="2322"/>
      <c r="CV312" s="2322"/>
    </row>
    <row r="313" spans="1:100" ht="15.75" customHeight="1">
      <c r="A313" s="2328"/>
      <c r="B313" s="2322"/>
      <c r="C313" s="2322"/>
      <c r="D313" s="2322"/>
      <c r="E313" s="2322"/>
      <c r="F313" s="2322"/>
      <c r="G313" s="2322"/>
      <c r="H313" s="2322"/>
      <c r="I313" s="2322"/>
      <c r="J313" s="2322"/>
      <c r="K313" s="2322"/>
      <c r="L313" s="2322"/>
      <c r="M313" s="2322"/>
      <c r="N313" s="2322"/>
      <c r="O313" s="2322"/>
      <c r="P313" s="2322"/>
      <c r="Q313" s="2322"/>
      <c r="R313" s="2322"/>
      <c r="S313" s="2322"/>
      <c r="T313" s="2322"/>
      <c r="U313" s="2322"/>
      <c r="V313" s="2322"/>
      <c r="W313" s="2322"/>
      <c r="X313" s="2322"/>
      <c r="Y313" s="2322"/>
      <c r="Z313" s="2322"/>
      <c r="AA313" s="2322"/>
      <c r="AB313" s="2322"/>
      <c r="AC313" s="2322"/>
      <c r="AD313" s="2322"/>
      <c r="AE313" s="2322"/>
      <c r="AF313" s="2322"/>
      <c r="AG313" s="2322"/>
      <c r="AH313" s="2322"/>
      <c r="AI313" s="2322"/>
      <c r="AJ313" s="2322"/>
      <c r="AK313" s="2322"/>
      <c r="AL313" s="2322"/>
      <c r="AM313" s="2322"/>
      <c r="AN313" s="2322"/>
      <c r="AO313" s="2322"/>
      <c r="AP313" s="2322"/>
      <c r="AQ313" s="2322"/>
      <c r="AR313" s="2322"/>
      <c r="AS313" s="2322"/>
      <c r="AT313" s="2322"/>
      <c r="AU313" s="2322"/>
      <c r="AV313" s="2322"/>
      <c r="AW313" s="2322"/>
      <c r="AX313" s="2322"/>
      <c r="AY313" s="2322"/>
      <c r="AZ313" s="2322"/>
      <c r="BA313" s="2322"/>
      <c r="BB313" s="2322"/>
      <c r="BC313" s="2322"/>
      <c r="BD313" s="2322"/>
      <c r="BE313" s="2322"/>
      <c r="BF313" s="2322"/>
      <c r="BG313" s="2322"/>
      <c r="BH313" s="2322"/>
      <c r="BI313" s="2322"/>
      <c r="BJ313" s="2322"/>
      <c r="BK313" s="2322"/>
      <c r="BL313" s="2322"/>
      <c r="BM313" s="2322"/>
      <c r="BN313" s="2322"/>
      <c r="BO313" s="2322"/>
      <c r="BP313" s="2322"/>
      <c r="BQ313" s="2322"/>
      <c r="BR313" s="2322"/>
      <c r="BS313" s="2322"/>
      <c r="BT313" s="2322"/>
      <c r="BU313" s="2322"/>
      <c r="BV313" s="2322"/>
      <c r="BW313" s="2322"/>
      <c r="BX313" s="2322"/>
      <c r="BY313" s="2322"/>
      <c r="BZ313" s="2322"/>
      <c r="CA313" s="2322"/>
      <c r="CB313" s="2322"/>
      <c r="CC313" s="2322"/>
      <c r="CD313" s="2322"/>
      <c r="CE313" s="2322"/>
      <c r="CF313" s="2322"/>
      <c r="CG313" s="2322"/>
      <c r="CH313" s="2322"/>
      <c r="CI313" s="2322"/>
      <c r="CJ313" s="2322"/>
      <c r="CK313" s="2322"/>
      <c r="CL313" s="2322"/>
      <c r="CM313" s="2322"/>
      <c r="CN313" s="2322"/>
      <c r="CO313" s="2322"/>
      <c r="CP313" s="2322"/>
      <c r="CQ313" s="2322"/>
      <c r="CR313" s="2322"/>
      <c r="CS313" s="2322"/>
      <c r="CT313" s="2322"/>
      <c r="CU313" s="2322"/>
      <c r="CV313" s="2322"/>
    </row>
    <row r="314" spans="1:100" ht="15.75" customHeight="1">
      <c r="A314" s="2328"/>
      <c r="B314" s="2322"/>
      <c r="C314" s="2322"/>
      <c r="D314" s="2322"/>
      <c r="E314" s="2322"/>
      <c r="F314" s="2322"/>
      <c r="G314" s="2322"/>
      <c r="H314" s="2322"/>
      <c r="I314" s="2322"/>
      <c r="J314" s="2322"/>
      <c r="K314" s="2322"/>
      <c r="L314" s="2322"/>
      <c r="M314" s="2322"/>
      <c r="N314" s="2322"/>
      <c r="O314" s="2322"/>
      <c r="P314" s="2322"/>
      <c r="Q314" s="2322"/>
      <c r="R314" s="2322"/>
      <c r="S314" s="2322"/>
      <c r="T314" s="2322"/>
      <c r="U314" s="2322"/>
      <c r="V314" s="2322"/>
      <c r="W314" s="2322"/>
      <c r="X314" s="2322"/>
      <c r="Y314" s="2322"/>
      <c r="Z314" s="2322"/>
      <c r="AA314" s="2322"/>
      <c r="AB314" s="2322"/>
      <c r="AC314" s="2322"/>
      <c r="AD314" s="2322"/>
      <c r="AE314" s="2322"/>
      <c r="AF314" s="2322"/>
      <c r="AG314" s="2322"/>
      <c r="AH314" s="2322"/>
      <c r="AI314" s="2322"/>
      <c r="AJ314" s="2322"/>
      <c r="AK314" s="2322"/>
      <c r="AL314" s="2322"/>
      <c r="AM314" s="2322"/>
      <c r="AN314" s="2322"/>
      <c r="AO314" s="2322"/>
      <c r="AP314" s="2322"/>
      <c r="AQ314" s="2322"/>
      <c r="AR314" s="2322"/>
      <c r="AS314" s="2322"/>
      <c r="AT314" s="2322"/>
      <c r="AU314" s="2322"/>
      <c r="AV314" s="2322"/>
      <c r="AW314" s="2322"/>
      <c r="AX314" s="2322"/>
      <c r="AY314" s="2322"/>
      <c r="AZ314" s="2322"/>
      <c r="BA314" s="2322"/>
      <c r="BB314" s="2322"/>
      <c r="BC314" s="2322"/>
      <c r="BD314" s="2322"/>
      <c r="BE314" s="2322"/>
      <c r="BF314" s="2322"/>
      <c r="BG314" s="2322"/>
      <c r="BH314" s="2322"/>
      <c r="BI314" s="2322"/>
      <c r="BJ314" s="2322"/>
      <c r="BK314" s="2322"/>
      <c r="BL314" s="2322"/>
      <c r="BM314" s="2322"/>
      <c r="BN314" s="2322"/>
      <c r="BO314" s="2322"/>
      <c r="BP314" s="2322"/>
      <c r="BQ314" s="2322"/>
      <c r="BR314" s="2322"/>
      <c r="BS314" s="2322"/>
      <c r="BT314" s="2322"/>
      <c r="BU314" s="2322"/>
      <c r="BV314" s="2322"/>
      <c r="BW314" s="2322"/>
      <c r="BX314" s="2322"/>
      <c r="BY314" s="2322"/>
      <c r="BZ314" s="2322"/>
      <c r="CA314" s="2322"/>
      <c r="CB314" s="2322"/>
      <c r="CC314" s="2322"/>
      <c r="CD314" s="2322"/>
      <c r="CE314" s="2322"/>
      <c r="CF314" s="2322"/>
      <c r="CG314" s="2322"/>
      <c r="CH314" s="2322"/>
      <c r="CI314" s="2322"/>
      <c r="CJ314" s="2322"/>
      <c r="CK314" s="2322"/>
      <c r="CL314" s="2322"/>
      <c r="CM314" s="2322"/>
      <c r="CN314" s="2322"/>
      <c r="CO314" s="2322"/>
      <c r="CP314" s="2322"/>
      <c r="CQ314" s="2322"/>
      <c r="CR314" s="2322"/>
      <c r="CS314" s="2322"/>
      <c r="CT314" s="2322"/>
      <c r="CU314" s="2322"/>
      <c r="CV314" s="2322"/>
    </row>
    <row r="315" spans="1:100" ht="15.75" customHeight="1">
      <c r="A315" s="2328"/>
      <c r="B315" s="2322"/>
      <c r="C315" s="2322"/>
      <c r="D315" s="2322"/>
      <c r="E315" s="2322"/>
      <c r="F315" s="2322"/>
      <c r="G315" s="2322"/>
      <c r="H315" s="2322"/>
      <c r="I315" s="2322"/>
      <c r="J315" s="2322"/>
      <c r="K315" s="2322"/>
      <c r="L315" s="2322"/>
      <c r="M315" s="2322"/>
      <c r="N315" s="2322"/>
      <c r="O315" s="2322"/>
      <c r="P315" s="2322"/>
      <c r="Q315" s="2322"/>
      <c r="R315" s="2322"/>
      <c r="S315" s="2322"/>
      <c r="T315" s="2322"/>
      <c r="U315" s="2322"/>
      <c r="V315" s="2322"/>
      <c r="W315" s="2322"/>
      <c r="X315" s="2322"/>
      <c r="Y315" s="2322"/>
      <c r="Z315" s="2322"/>
      <c r="AA315" s="2322"/>
      <c r="AB315" s="2322"/>
      <c r="AC315" s="2322"/>
      <c r="AD315" s="2322"/>
      <c r="AE315" s="2322"/>
      <c r="AF315" s="2322"/>
      <c r="AG315" s="2322"/>
      <c r="AH315" s="2322"/>
      <c r="AI315" s="2322"/>
      <c r="AJ315" s="2322"/>
      <c r="AK315" s="2322"/>
      <c r="AL315" s="2322"/>
      <c r="AM315" s="2322"/>
      <c r="AN315" s="2322"/>
      <c r="AO315" s="2322"/>
      <c r="AP315" s="2322"/>
      <c r="AQ315" s="2322"/>
      <c r="AR315" s="2322"/>
      <c r="AS315" s="2322"/>
      <c r="AT315" s="2322"/>
      <c r="AU315" s="2322"/>
      <c r="AV315" s="2322"/>
      <c r="AW315" s="2322"/>
      <c r="AX315" s="2322"/>
      <c r="AY315" s="2322"/>
      <c r="AZ315" s="2322"/>
      <c r="BA315" s="2322"/>
      <c r="BB315" s="2322"/>
      <c r="BC315" s="2322"/>
      <c r="BD315" s="2322"/>
      <c r="BE315" s="2322"/>
      <c r="BF315" s="2322"/>
      <c r="BG315" s="2322"/>
      <c r="BH315" s="2322"/>
      <c r="BI315" s="2322"/>
      <c r="BJ315" s="2322"/>
      <c r="BK315" s="2322"/>
      <c r="BL315" s="2322"/>
      <c r="BM315" s="2322"/>
      <c r="BN315" s="2322"/>
      <c r="BO315" s="2322"/>
      <c r="BP315" s="2322"/>
      <c r="BQ315" s="2322"/>
      <c r="BR315" s="2322"/>
      <c r="BS315" s="2322"/>
      <c r="BT315" s="2322"/>
      <c r="BU315" s="2322"/>
      <c r="BV315" s="2322"/>
      <c r="BW315" s="2322"/>
      <c r="BX315" s="2322"/>
      <c r="BY315" s="2322"/>
      <c r="BZ315" s="2322"/>
      <c r="CA315" s="2322"/>
      <c r="CB315" s="2322"/>
      <c r="CC315" s="2322"/>
      <c r="CD315" s="2322"/>
      <c r="CE315" s="2322"/>
      <c r="CF315" s="2322"/>
      <c r="CG315" s="2322"/>
      <c r="CH315" s="2322"/>
      <c r="CI315" s="2322"/>
      <c r="CJ315" s="2322"/>
      <c r="CK315" s="2322"/>
      <c r="CL315" s="2322"/>
      <c r="CM315" s="2322"/>
      <c r="CN315" s="2322"/>
      <c r="CO315" s="2322"/>
      <c r="CP315" s="2322"/>
      <c r="CQ315" s="2322"/>
      <c r="CR315" s="2322"/>
      <c r="CS315" s="2322"/>
      <c r="CT315" s="2322"/>
      <c r="CU315" s="2322"/>
      <c r="CV315" s="2322"/>
    </row>
    <row r="316" spans="1:100" ht="15.75" customHeight="1">
      <c r="A316" s="2328"/>
      <c r="B316" s="2322"/>
      <c r="C316" s="2322"/>
      <c r="D316" s="2322"/>
      <c r="E316" s="2322"/>
      <c r="F316" s="2322"/>
      <c r="G316" s="2322"/>
      <c r="H316" s="2322"/>
      <c r="I316" s="2322"/>
      <c r="J316" s="2322"/>
      <c r="K316" s="2322"/>
      <c r="L316" s="2322"/>
      <c r="M316" s="2322"/>
      <c r="N316" s="2322"/>
      <c r="O316" s="2322"/>
      <c r="P316" s="2322"/>
      <c r="Q316" s="2322"/>
      <c r="R316" s="2322"/>
      <c r="S316" s="2322"/>
      <c r="T316" s="2322"/>
      <c r="U316" s="2322"/>
      <c r="V316" s="2322"/>
      <c r="W316" s="2322"/>
      <c r="X316" s="2322"/>
      <c r="Y316" s="2322"/>
      <c r="Z316" s="2322"/>
      <c r="AA316" s="2322"/>
      <c r="AB316" s="2322"/>
      <c r="AC316" s="2322"/>
      <c r="AD316" s="2322"/>
      <c r="AE316" s="2322"/>
      <c r="AF316" s="2322"/>
      <c r="AG316" s="2322"/>
      <c r="AH316" s="2322"/>
      <c r="AI316" s="2322"/>
      <c r="AJ316" s="2322"/>
      <c r="AK316" s="2322"/>
      <c r="AL316" s="2322"/>
      <c r="AM316" s="2322"/>
      <c r="AN316" s="2322"/>
      <c r="AO316" s="2322"/>
      <c r="AP316" s="2322"/>
      <c r="AQ316" s="2322"/>
      <c r="AR316" s="2322"/>
      <c r="AS316" s="2322"/>
      <c r="AT316" s="2322"/>
      <c r="AU316" s="2322"/>
      <c r="AV316" s="2322"/>
      <c r="AW316" s="2322"/>
      <c r="AX316" s="2322"/>
      <c r="AY316" s="2322"/>
      <c r="AZ316" s="2322"/>
      <c r="BA316" s="2322"/>
      <c r="BB316" s="2322"/>
      <c r="BC316" s="2322"/>
      <c r="BD316" s="2322"/>
      <c r="BE316" s="2322"/>
      <c r="BF316" s="2322"/>
      <c r="BG316" s="2322"/>
      <c r="BH316" s="2322"/>
      <c r="BI316" s="2322"/>
      <c r="BJ316" s="2322"/>
      <c r="BK316" s="2322"/>
      <c r="BL316" s="2322"/>
      <c r="BM316" s="2322"/>
      <c r="BN316" s="2322"/>
      <c r="BO316" s="2322"/>
      <c r="BP316" s="2322"/>
      <c r="BQ316" s="2322"/>
      <c r="BR316" s="2322"/>
      <c r="BS316" s="2322"/>
      <c r="BT316" s="2322"/>
      <c r="BU316" s="2322"/>
      <c r="BV316" s="2322"/>
      <c r="BW316" s="2322"/>
      <c r="BX316" s="2322"/>
      <c r="BY316" s="2322"/>
      <c r="BZ316" s="2322"/>
      <c r="CA316" s="2322"/>
      <c r="CB316" s="2322"/>
      <c r="CC316" s="2322"/>
      <c r="CD316" s="2322"/>
      <c r="CE316" s="2322"/>
      <c r="CF316" s="2322"/>
      <c r="CG316" s="2322"/>
      <c r="CH316" s="2322"/>
      <c r="CI316" s="2322"/>
      <c r="CJ316" s="2322"/>
      <c r="CK316" s="2322"/>
      <c r="CL316" s="2322"/>
      <c r="CM316" s="2322"/>
      <c r="CN316" s="2322"/>
      <c r="CO316" s="2322"/>
      <c r="CP316" s="2322"/>
      <c r="CQ316" s="2322"/>
      <c r="CR316" s="2322"/>
      <c r="CS316" s="2322"/>
      <c r="CT316" s="2322"/>
      <c r="CU316" s="2322"/>
      <c r="CV316" s="2322"/>
    </row>
    <row r="317" spans="1:100" ht="15.75" customHeight="1">
      <c r="A317" s="2328"/>
      <c r="B317" s="2322"/>
      <c r="C317" s="2322"/>
      <c r="D317" s="2322"/>
      <c r="E317" s="2322"/>
      <c r="F317" s="2322"/>
      <c r="G317" s="2322"/>
      <c r="H317" s="2322"/>
      <c r="I317" s="2322"/>
      <c r="J317" s="2322"/>
      <c r="K317" s="2322"/>
      <c r="L317" s="2322"/>
      <c r="M317" s="2322"/>
      <c r="N317" s="2322"/>
      <c r="O317" s="2322"/>
      <c r="P317" s="2322"/>
      <c r="Q317" s="2322"/>
      <c r="R317" s="2322"/>
      <c r="S317" s="2322"/>
      <c r="T317" s="2322"/>
      <c r="U317" s="2322"/>
      <c r="V317" s="2322"/>
      <c r="W317" s="2322"/>
      <c r="X317" s="2322"/>
      <c r="Y317" s="2322"/>
      <c r="Z317" s="2322"/>
      <c r="AA317" s="2322"/>
      <c r="AB317" s="2322"/>
      <c r="AC317" s="2322"/>
      <c r="AD317" s="2322"/>
      <c r="AE317" s="2322"/>
      <c r="AF317" s="2322"/>
      <c r="AG317" s="2322"/>
      <c r="AH317" s="2322"/>
      <c r="AI317" s="2322"/>
      <c r="AJ317" s="2322"/>
      <c r="AK317" s="2322"/>
      <c r="AL317" s="2322"/>
      <c r="AM317" s="2322"/>
      <c r="AN317" s="2322"/>
      <c r="AO317" s="2322"/>
      <c r="AP317" s="2322"/>
      <c r="AQ317" s="2322"/>
      <c r="AR317" s="2322"/>
      <c r="AS317" s="2322"/>
      <c r="AT317" s="2322"/>
      <c r="AU317" s="2322"/>
      <c r="AV317" s="2322"/>
      <c r="AW317" s="2322"/>
      <c r="AX317" s="2322"/>
      <c r="AY317" s="2322"/>
      <c r="AZ317" s="2322"/>
      <c r="BA317" s="2322"/>
      <c r="BB317" s="2322"/>
      <c r="BC317" s="2322"/>
      <c r="BD317" s="2322"/>
      <c r="BE317" s="2322"/>
      <c r="BF317" s="2322"/>
      <c r="BG317" s="2322"/>
      <c r="BH317" s="2322"/>
      <c r="BI317" s="2322"/>
      <c r="BJ317" s="2322"/>
      <c r="BK317" s="2322"/>
      <c r="BL317" s="2322"/>
      <c r="BM317" s="2322"/>
      <c r="BN317" s="2322"/>
      <c r="BO317" s="2322"/>
      <c r="BP317" s="2322"/>
      <c r="BQ317" s="2322"/>
      <c r="BR317" s="2322"/>
      <c r="BS317" s="2322"/>
      <c r="BT317" s="2322"/>
      <c r="BU317" s="2322"/>
      <c r="BV317" s="2322"/>
      <c r="BW317" s="2322"/>
      <c r="BX317" s="2322"/>
      <c r="BY317" s="2322"/>
      <c r="BZ317" s="2322"/>
      <c r="CA317" s="2322"/>
      <c r="CB317" s="2322"/>
      <c r="CC317" s="2322"/>
      <c r="CD317" s="2322"/>
      <c r="CE317" s="2322"/>
      <c r="CF317" s="2322"/>
      <c r="CG317" s="2322"/>
      <c r="CH317" s="2322"/>
      <c r="CI317" s="2322"/>
      <c r="CJ317" s="2322"/>
      <c r="CK317" s="2322"/>
      <c r="CL317" s="2322"/>
      <c r="CM317" s="2322"/>
      <c r="CN317" s="2322"/>
      <c r="CO317" s="2322"/>
      <c r="CP317" s="2322"/>
      <c r="CQ317" s="2322"/>
      <c r="CR317" s="2322"/>
      <c r="CS317" s="2322"/>
      <c r="CT317" s="2322"/>
      <c r="CU317" s="2322"/>
      <c r="CV317" s="2322"/>
    </row>
    <row r="318" spans="1:100" ht="15.75" customHeight="1">
      <c r="A318" s="2328"/>
      <c r="B318" s="2322"/>
      <c r="C318" s="2322"/>
      <c r="D318" s="2322"/>
      <c r="E318" s="2322"/>
      <c r="F318" s="2322"/>
      <c r="G318" s="2322"/>
      <c r="H318" s="2322"/>
      <c r="I318" s="2322"/>
      <c r="J318" s="2322"/>
      <c r="K318" s="2322"/>
      <c r="L318" s="2322"/>
      <c r="M318" s="2322"/>
      <c r="N318" s="2322"/>
      <c r="O318" s="2322"/>
      <c r="P318" s="2322"/>
      <c r="Q318" s="2322"/>
      <c r="R318" s="2322"/>
      <c r="S318" s="2322"/>
      <c r="T318" s="2322"/>
      <c r="U318" s="2322"/>
      <c r="V318" s="2322"/>
      <c r="W318" s="2322"/>
      <c r="X318" s="2322"/>
      <c r="Y318" s="2322"/>
      <c r="Z318" s="2322"/>
      <c r="AA318" s="2322"/>
      <c r="AB318" s="2322"/>
      <c r="AC318" s="2322"/>
      <c r="AD318" s="2322"/>
      <c r="AE318" s="2322"/>
      <c r="AF318" s="2322"/>
      <c r="AG318" s="2322"/>
      <c r="AH318" s="2322"/>
      <c r="AI318" s="2322"/>
      <c r="AJ318" s="2322"/>
      <c r="AK318" s="2322"/>
      <c r="AL318" s="2322"/>
      <c r="AM318" s="2322"/>
      <c r="AN318" s="2322"/>
      <c r="AO318" s="2322"/>
      <c r="AP318" s="2322"/>
      <c r="AQ318" s="2322"/>
      <c r="AR318" s="2322"/>
      <c r="AS318" s="2322"/>
      <c r="AT318" s="2322"/>
      <c r="AU318" s="2322"/>
      <c r="AV318" s="2322"/>
      <c r="AW318" s="2322"/>
      <c r="AX318" s="2322"/>
      <c r="AY318" s="2322"/>
      <c r="AZ318" s="2322"/>
      <c r="BA318" s="2322"/>
      <c r="BB318" s="2322"/>
      <c r="BC318" s="2322"/>
      <c r="BD318" s="2322"/>
      <c r="BE318" s="2322"/>
      <c r="BF318" s="2322"/>
      <c r="BG318" s="2322"/>
      <c r="BH318" s="2322"/>
      <c r="BI318" s="2322"/>
      <c r="BJ318" s="2322"/>
      <c r="BK318" s="2322"/>
      <c r="BL318" s="2322"/>
      <c r="BM318" s="2322"/>
      <c r="BN318" s="2322"/>
      <c r="BO318" s="2322"/>
      <c r="BP318" s="2322"/>
      <c r="BQ318" s="2322"/>
      <c r="BR318" s="2322"/>
      <c r="BS318" s="2322"/>
      <c r="BT318" s="2322"/>
      <c r="BU318" s="2322"/>
      <c r="BV318" s="2322"/>
      <c r="BW318" s="2322"/>
      <c r="BX318" s="2322"/>
      <c r="BY318" s="2322"/>
      <c r="BZ318" s="2322"/>
      <c r="CA318" s="2322"/>
      <c r="CB318" s="2322"/>
      <c r="CC318" s="2322"/>
      <c r="CD318" s="2322"/>
      <c r="CE318" s="2322"/>
      <c r="CF318" s="2322"/>
      <c r="CG318" s="2322"/>
      <c r="CH318" s="2322"/>
      <c r="CI318" s="2322"/>
      <c r="CJ318" s="2322"/>
      <c r="CK318" s="2322"/>
      <c r="CL318" s="2322"/>
      <c r="CM318" s="2322"/>
      <c r="CN318" s="2322"/>
      <c r="CO318" s="2322"/>
      <c r="CP318" s="2322"/>
      <c r="CQ318" s="2322"/>
      <c r="CR318" s="2322"/>
      <c r="CS318" s="2322"/>
      <c r="CT318" s="2322"/>
      <c r="CU318" s="2322"/>
      <c r="CV318" s="2322"/>
    </row>
    <row r="319" spans="1:100" ht="15.75" customHeight="1">
      <c r="A319" s="2328"/>
      <c r="B319" s="2322"/>
      <c r="C319" s="2322"/>
      <c r="D319" s="2322"/>
      <c r="E319" s="2322"/>
      <c r="F319" s="2322"/>
      <c r="G319" s="2322"/>
      <c r="H319" s="2322"/>
      <c r="I319" s="2322"/>
      <c r="J319" s="2322"/>
      <c r="K319" s="2322"/>
      <c r="L319" s="2322"/>
      <c r="M319" s="2322"/>
      <c r="N319" s="2322"/>
      <c r="O319" s="2322"/>
      <c r="P319" s="2322"/>
      <c r="Q319" s="2322"/>
      <c r="R319" s="2322"/>
      <c r="S319" s="2322"/>
      <c r="T319" s="2322"/>
      <c r="U319" s="2322"/>
      <c r="V319" s="2322"/>
      <c r="W319" s="2322"/>
      <c r="X319" s="2322"/>
      <c r="Y319" s="2322"/>
      <c r="Z319" s="2322"/>
      <c r="AA319" s="2322"/>
      <c r="AB319" s="2322"/>
      <c r="AC319" s="2322"/>
      <c r="AD319" s="2322"/>
      <c r="AE319" s="2322"/>
      <c r="AF319" s="2322"/>
      <c r="AG319" s="2322"/>
      <c r="AH319" s="2322"/>
      <c r="AI319" s="2322"/>
      <c r="AJ319" s="2322"/>
      <c r="AK319" s="2322"/>
      <c r="AL319" s="2322"/>
      <c r="AM319" s="2322"/>
      <c r="AN319" s="2322"/>
      <c r="AO319" s="2322"/>
      <c r="AP319" s="2322"/>
      <c r="AQ319" s="2322"/>
      <c r="AR319" s="2322"/>
      <c r="AS319" s="2322"/>
      <c r="AT319" s="2322"/>
      <c r="AU319" s="2322"/>
      <c r="AV319" s="2322"/>
      <c r="AW319" s="2322"/>
      <c r="AX319" s="2322"/>
      <c r="AY319" s="2322"/>
      <c r="AZ319" s="2322"/>
      <c r="BA319" s="2322"/>
      <c r="BB319" s="2322"/>
      <c r="BC319" s="2322"/>
      <c r="BD319" s="2322"/>
      <c r="BE319" s="2322"/>
      <c r="BF319" s="2322"/>
      <c r="BG319" s="2322"/>
      <c r="BH319" s="2322"/>
      <c r="BI319" s="2322"/>
      <c r="BJ319" s="2322"/>
      <c r="BK319" s="2322"/>
      <c r="BL319" s="2322"/>
      <c r="BM319" s="2322"/>
      <c r="BN319" s="2322"/>
      <c r="BO319" s="2322"/>
      <c r="BP319" s="2322"/>
      <c r="BQ319" s="2322"/>
      <c r="BR319" s="2322"/>
      <c r="BS319" s="2322"/>
      <c r="BT319" s="2322"/>
      <c r="BU319" s="2322"/>
      <c r="BV319" s="2322"/>
      <c r="BW319" s="2322"/>
      <c r="BX319" s="2322"/>
      <c r="BY319" s="2322"/>
      <c r="BZ319" s="2322"/>
      <c r="CA319" s="2322"/>
      <c r="CB319" s="2322"/>
      <c r="CC319" s="2322"/>
      <c r="CD319" s="2322"/>
      <c r="CE319" s="2322"/>
      <c r="CF319" s="2322"/>
      <c r="CG319" s="2322"/>
      <c r="CH319" s="2322"/>
      <c r="CI319" s="2322"/>
      <c r="CJ319" s="2322"/>
      <c r="CK319" s="2322"/>
      <c r="CL319" s="2322"/>
      <c r="CM319" s="2322"/>
      <c r="CN319" s="2322"/>
      <c r="CO319" s="2322"/>
      <c r="CP319" s="2322"/>
      <c r="CQ319" s="2322"/>
      <c r="CR319" s="2322"/>
      <c r="CS319" s="2322"/>
      <c r="CT319" s="2322"/>
      <c r="CU319" s="2322"/>
      <c r="CV319" s="2322"/>
    </row>
    <row r="320" spans="1:100" ht="15.75" customHeight="1">
      <c r="A320" s="2328"/>
      <c r="B320" s="2322"/>
      <c r="C320" s="2322"/>
      <c r="D320" s="2322"/>
      <c r="E320" s="2322"/>
      <c r="F320" s="2322"/>
      <c r="G320" s="2322"/>
      <c r="H320" s="2322"/>
      <c r="I320" s="2322"/>
      <c r="J320" s="2322"/>
      <c r="K320" s="2322"/>
      <c r="L320" s="2322"/>
      <c r="M320" s="2322"/>
      <c r="N320" s="2322"/>
      <c r="O320" s="2322"/>
      <c r="P320" s="2322"/>
      <c r="Q320" s="2322"/>
      <c r="R320" s="2322"/>
      <c r="S320" s="2322"/>
      <c r="T320" s="2322"/>
      <c r="U320" s="2322"/>
      <c r="V320" s="2322"/>
      <c r="W320" s="2322"/>
      <c r="X320" s="2322"/>
      <c r="Y320" s="2322"/>
      <c r="Z320" s="2322"/>
      <c r="AA320" s="2322"/>
      <c r="AB320" s="2322"/>
      <c r="AC320" s="2322"/>
      <c r="AD320" s="2322"/>
      <c r="AE320" s="2322"/>
      <c r="AF320" s="2322"/>
      <c r="AG320" s="2322"/>
      <c r="AH320" s="2322"/>
      <c r="AI320" s="2322"/>
      <c r="AJ320" s="2322"/>
      <c r="AK320" s="2322"/>
      <c r="AL320" s="2322"/>
      <c r="AM320" s="2322"/>
      <c r="AN320" s="2322"/>
      <c r="AO320" s="2322"/>
      <c r="AP320" s="2322"/>
      <c r="AQ320" s="2322"/>
      <c r="AR320" s="2322"/>
      <c r="AS320" s="2322"/>
      <c r="AT320" s="2322"/>
      <c r="AU320" s="2322"/>
      <c r="AV320" s="2322"/>
      <c r="AW320" s="2322"/>
      <c r="AX320" s="2322"/>
      <c r="AY320" s="2322"/>
      <c r="AZ320" s="2322"/>
      <c r="BA320" s="2322"/>
      <c r="BB320" s="2322"/>
      <c r="BC320" s="2322"/>
      <c r="BD320" s="2322"/>
      <c r="BE320" s="2322"/>
      <c r="BF320" s="2322"/>
      <c r="BG320" s="2322"/>
      <c r="BH320" s="2322"/>
      <c r="BI320" s="2322"/>
      <c r="BJ320" s="2322"/>
      <c r="BK320" s="2322"/>
      <c r="BL320" s="2322"/>
      <c r="BM320" s="2322"/>
      <c r="BN320" s="2322"/>
      <c r="BO320" s="2322"/>
      <c r="BP320" s="2322"/>
      <c r="BQ320" s="2322"/>
      <c r="BR320" s="2322"/>
      <c r="BS320" s="2322"/>
      <c r="BT320" s="2322"/>
      <c r="BU320" s="2322"/>
      <c r="BV320" s="2322"/>
      <c r="BW320" s="2322"/>
      <c r="BX320" s="2322"/>
      <c r="BY320" s="2322"/>
      <c r="BZ320" s="2322"/>
      <c r="CA320" s="2322"/>
      <c r="CB320" s="2322"/>
      <c r="CC320" s="2322"/>
      <c r="CD320" s="2322"/>
      <c r="CE320" s="2322"/>
      <c r="CF320" s="2322"/>
      <c r="CG320" s="2322"/>
      <c r="CH320" s="2322"/>
      <c r="CI320" s="2322"/>
      <c r="CJ320" s="2322"/>
      <c r="CK320" s="2322"/>
      <c r="CL320" s="2322"/>
      <c r="CM320" s="2322"/>
      <c r="CN320" s="2322"/>
      <c r="CO320" s="2322"/>
      <c r="CP320" s="2322"/>
      <c r="CQ320" s="2322"/>
      <c r="CR320" s="2322"/>
      <c r="CS320" s="2322"/>
      <c r="CT320" s="2322"/>
      <c r="CU320" s="2322"/>
      <c r="CV320" s="2322"/>
    </row>
    <row r="321" spans="1:100" ht="15.75" customHeight="1">
      <c r="A321" s="2328"/>
      <c r="B321" s="2322"/>
      <c r="C321" s="2322"/>
      <c r="D321" s="2322"/>
      <c r="E321" s="2322"/>
      <c r="F321" s="2322"/>
      <c r="G321" s="2322"/>
      <c r="H321" s="2322"/>
      <c r="I321" s="2322"/>
      <c r="J321" s="2322"/>
      <c r="K321" s="2322"/>
      <c r="L321" s="2322"/>
      <c r="M321" s="2322"/>
      <c r="N321" s="2322"/>
      <c r="O321" s="2322"/>
      <c r="P321" s="2322"/>
      <c r="Q321" s="2322"/>
      <c r="R321" s="2322"/>
      <c r="S321" s="2322"/>
      <c r="T321" s="2322"/>
      <c r="U321" s="2322"/>
      <c r="V321" s="2322"/>
      <c r="W321" s="2322"/>
      <c r="X321" s="2322"/>
      <c r="Y321" s="2322"/>
      <c r="Z321" s="2322"/>
      <c r="AA321" s="2322"/>
      <c r="AB321" s="2322"/>
      <c r="AC321" s="2322"/>
      <c r="AD321" s="2322"/>
      <c r="AE321" s="2322"/>
      <c r="AF321" s="2322"/>
      <c r="AG321" s="2322"/>
      <c r="AH321" s="2322"/>
      <c r="AI321" s="2322"/>
      <c r="AJ321" s="2322"/>
      <c r="AK321" s="2322"/>
      <c r="AL321" s="2322"/>
      <c r="AM321" s="2322"/>
      <c r="AN321" s="2322"/>
      <c r="AO321" s="2322"/>
      <c r="AP321" s="2322"/>
      <c r="AQ321" s="2322"/>
      <c r="AR321" s="2322"/>
      <c r="AS321" s="2322"/>
      <c r="AT321" s="2322"/>
      <c r="AU321" s="2322"/>
      <c r="AV321" s="2322"/>
      <c r="AW321" s="2322"/>
      <c r="AX321" s="2322"/>
      <c r="AY321" s="2322"/>
      <c r="AZ321" s="2322"/>
      <c r="BA321" s="2322"/>
      <c r="BB321" s="2322"/>
      <c r="BC321" s="2322"/>
      <c r="BD321" s="2322"/>
      <c r="BE321" s="2322"/>
      <c r="BF321" s="2322"/>
      <c r="BG321" s="2322"/>
      <c r="BH321" s="2322"/>
      <c r="BI321" s="2322"/>
      <c r="BJ321" s="2322"/>
      <c r="BK321" s="2322"/>
      <c r="BL321" s="2322"/>
      <c r="BM321" s="2322"/>
      <c r="BN321" s="2322"/>
      <c r="BO321" s="2322"/>
      <c r="BP321" s="2322"/>
      <c r="BQ321" s="2322"/>
      <c r="BR321" s="2322"/>
      <c r="BS321" s="2322"/>
      <c r="BT321" s="2322"/>
      <c r="BU321" s="2322"/>
      <c r="BV321" s="2322"/>
      <c r="BW321" s="2322"/>
      <c r="BX321" s="2322"/>
      <c r="BY321" s="2322"/>
      <c r="BZ321" s="2322"/>
      <c r="CA321" s="2322"/>
      <c r="CB321" s="2322"/>
      <c r="CC321" s="2322"/>
      <c r="CD321" s="2322"/>
      <c r="CE321" s="2322"/>
      <c r="CF321" s="2322"/>
      <c r="CG321" s="2322"/>
      <c r="CH321" s="2322"/>
      <c r="CI321" s="2322"/>
      <c r="CJ321" s="2322"/>
      <c r="CK321" s="2322"/>
      <c r="CL321" s="2322"/>
      <c r="CM321" s="2322"/>
      <c r="CN321" s="2322"/>
      <c r="CO321" s="2322"/>
      <c r="CP321" s="2322"/>
      <c r="CQ321" s="2322"/>
      <c r="CR321" s="2322"/>
      <c r="CS321" s="2322"/>
      <c r="CT321" s="2322"/>
      <c r="CU321" s="2322"/>
      <c r="CV321" s="2322"/>
    </row>
    <row r="322" spans="1:100" ht="15.75" customHeight="1">
      <c r="A322" s="2328"/>
      <c r="B322" s="2322"/>
      <c r="C322" s="2322"/>
      <c r="D322" s="2322"/>
      <c r="E322" s="2322"/>
      <c r="F322" s="2322"/>
      <c r="G322" s="2322"/>
      <c r="H322" s="2322"/>
      <c r="I322" s="2322"/>
      <c r="J322" s="2322"/>
      <c r="K322" s="2322"/>
      <c r="L322" s="2322"/>
      <c r="M322" s="2322"/>
      <c r="N322" s="2322"/>
      <c r="O322" s="2322"/>
      <c r="P322" s="2322"/>
      <c r="Q322" s="2322"/>
      <c r="R322" s="2322"/>
      <c r="S322" s="2322"/>
      <c r="T322" s="2322"/>
      <c r="U322" s="2322"/>
      <c r="V322" s="2322"/>
      <c r="W322" s="2322"/>
      <c r="X322" s="2322"/>
      <c r="Y322" s="2322"/>
      <c r="Z322" s="2322"/>
      <c r="AA322" s="2322"/>
      <c r="AB322" s="2322"/>
      <c r="AC322" s="2322"/>
      <c r="AD322" s="2322"/>
      <c r="AE322" s="2322"/>
      <c r="AF322" s="2322"/>
      <c r="AG322" s="2322"/>
      <c r="AH322" s="2322"/>
      <c r="AI322" s="2322"/>
      <c r="AJ322" s="2322"/>
      <c r="AK322" s="2322"/>
      <c r="AL322" s="2322"/>
      <c r="AM322" s="2322"/>
      <c r="AN322" s="2322"/>
      <c r="AO322" s="2322"/>
      <c r="AP322" s="2322"/>
      <c r="AQ322" s="2322"/>
      <c r="AR322" s="2322"/>
      <c r="AS322" s="2322"/>
      <c r="AT322" s="2322"/>
      <c r="AU322" s="2322"/>
      <c r="AV322" s="2322"/>
      <c r="AW322" s="2322"/>
      <c r="AX322" s="2322"/>
      <c r="AY322" s="2322"/>
      <c r="AZ322" s="2322"/>
      <c r="BA322" s="2322"/>
      <c r="BB322" s="2322"/>
      <c r="BC322" s="2322"/>
      <c r="BD322" s="2322"/>
      <c r="BE322" s="2322"/>
      <c r="BF322" s="2322"/>
      <c r="BG322" s="2322"/>
      <c r="BH322" s="2322"/>
      <c r="BI322" s="2322"/>
      <c r="BJ322" s="2322"/>
      <c r="BK322" s="2322"/>
      <c r="BL322" s="2322"/>
      <c r="BM322" s="2322"/>
      <c r="BN322" s="2322"/>
      <c r="BO322" s="2322"/>
      <c r="BP322" s="2322"/>
      <c r="BQ322" s="2322"/>
      <c r="BR322" s="2322"/>
      <c r="BS322" s="2322"/>
      <c r="BT322" s="2322"/>
      <c r="BU322" s="2322"/>
      <c r="BV322" s="2322"/>
      <c r="BW322" s="2322"/>
      <c r="BX322" s="2322"/>
      <c r="BY322" s="2322"/>
      <c r="BZ322" s="2322"/>
      <c r="CA322" s="2322"/>
      <c r="CB322" s="2322"/>
      <c r="CC322" s="2322"/>
      <c r="CD322" s="2322"/>
      <c r="CE322" s="2322"/>
      <c r="CF322" s="2322"/>
      <c r="CG322" s="2322"/>
      <c r="CH322" s="2322"/>
      <c r="CI322" s="2322"/>
      <c r="CJ322" s="2322"/>
      <c r="CK322" s="2322"/>
      <c r="CL322" s="2322"/>
      <c r="CM322" s="2322"/>
      <c r="CN322" s="2322"/>
      <c r="CO322" s="2322"/>
      <c r="CP322" s="2322"/>
      <c r="CQ322" s="2322"/>
      <c r="CR322" s="2322"/>
      <c r="CS322" s="2322"/>
      <c r="CT322" s="2322"/>
      <c r="CU322" s="2322"/>
      <c r="CV322" s="2322"/>
    </row>
    <row r="323" spans="1:100" ht="15.75" customHeight="1">
      <c r="A323" s="2328"/>
      <c r="B323" s="2322"/>
      <c r="C323" s="2322"/>
      <c r="D323" s="2322"/>
      <c r="E323" s="2322"/>
      <c r="F323" s="2322"/>
      <c r="G323" s="2322"/>
      <c r="H323" s="2322"/>
      <c r="I323" s="2322"/>
      <c r="J323" s="2322"/>
      <c r="K323" s="2322"/>
      <c r="L323" s="2322"/>
      <c r="M323" s="2322"/>
      <c r="N323" s="2322"/>
      <c r="O323" s="2322"/>
      <c r="P323" s="2322"/>
      <c r="Q323" s="2322"/>
      <c r="R323" s="2322"/>
      <c r="S323" s="2322"/>
      <c r="T323" s="2322"/>
      <c r="U323" s="2322"/>
      <c r="V323" s="2322"/>
      <c r="W323" s="2322"/>
      <c r="X323" s="2322"/>
      <c r="Y323" s="2322"/>
      <c r="Z323" s="2322"/>
      <c r="AA323" s="2322"/>
      <c r="AB323" s="2322"/>
      <c r="AC323" s="2322"/>
      <c r="AD323" s="2322"/>
      <c r="AE323" s="2322"/>
      <c r="AF323" s="2322"/>
      <c r="AG323" s="2322"/>
      <c r="AH323" s="2322"/>
      <c r="AI323" s="2322"/>
      <c r="AJ323" s="2322"/>
      <c r="AK323" s="2322"/>
      <c r="AL323" s="2322"/>
      <c r="AM323" s="2322"/>
      <c r="AN323" s="2322"/>
      <c r="AO323" s="2322"/>
      <c r="AP323" s="2322"/>
      <c r="AQ323" s="2322"/>
      <c r="AR323" s="2322"/>
      <c r="AS323" s="2322"/>
      <c r="AT323" s="2322"/>
      <c r="AU323" s="2322"/>
      <c r="AV323" s="2322"/>
      <c r="AW323" s="2322"/>
      <c r="AX323" s="2322"/>
      <c r="AY323" s="2322"/>
      <c r="AZ323" s="2322"/>
      <c r="BA323" s="2322"/>
      <c r="BB323" s="2322"/>
      <c r="BC323" s="2322"/>
      <c r="BD323" s="2322"/>
      <c r="BE323" s="2322"/>
      <c r="BF323" s="2322"/>
      <c r="BG323" s="2322"/>
      <c r="BH323" s="2322"/>
      <c r="BI323" s="2322"/>
      <c r="BJ323" s="2322"/>
      <c r="BK323" s="2322"/>
      <c r="BL323" s="2322"/>
      <c r="BM323" s="2322"/>
      <c r="BN323" s="2322"/>
      <c r="BO323" s="2322"/>
      <c r="BP323" s="2322"/>
      <c r="BQ323" s="2322"/>
      <c r="BR323" s="2322"/>
      <c r="BS323" s="2322"/>
      <c r="BT323" s="2322"/>
      <c r="BU323" s="2322"/>
      <c r="BV323" s="2322"/>
      <c r="BW323" s="2322"/>
      <c r="BX323" s="2322"/>
      <c r="BY323" s="2322"/>
      <c r="BZ323" s="2322"/>
      <c r="CA323" s="2322"/>
      <c r="CB323" s="2322"/>
      <c r="CC323" s="2322"/>
      <c r="CD323" s="2322"/>
      <c r="CE323" s="2322"/>
      <c r="CF323" s="2322"/>
      <c r="CG323" s="2322"/>
      <c r="CH323" s="2322"/>
      <c r="CI323" s="2322"/>
      <c r="CJ323" s="2322"/>
      <c r="CK323" s="2322"/>
      <c r="CL323" s="2322"/>
      <c r="CM323" s="2322"/>
      <c r="CN323" s="2322"/>
      <c r="CO323" s="2322"/>
      <c r="CP323" s="2322"/>
      <c r="CQ323" s="2322"/>
      <c r="CR323" s="2322"/>
      <c r="CS323" s="2322"/>
      <c r="CT323" s="2322"/>
      <c r="CU323" s="2322"/>
      <c r="CV323" s="2322"/>
    </row>
    <row r="324" spans="1:100" ht="15.75" customHeight="1">
      <c r="A324" s="2328"/>
      <c r="B324" s="2322"/>
      <c r="C324" s="2322"/>
      <c r="D324" s="2322"/>
      <c r="E324" s="2322"/>
      <c r="F324" s="2322"/>
      <c r="G324" s="2322"/>
      <c r="H324" s="2322"/>
      <c r="I324" s="2322"/>
      <c r="J324" s="2322"/>
      <c r="K324" s="2322"/>
      <c r="L324" s="2322"/>
      <c r="M324" s="2322"/>
      <c r="N324" s="2322"/>
      <c r="O324" s="2322"/>
      <c r="P324" s="2322"/>
      <c r="Q324" s="2322"/>
      <c r="R324" s="2322"/>
      <c r="S324" s="2322"/>
      <c r="T324" s="2322"/>
      <c r="U324" s="2322"/>
      <c r="V324" s="2322"/>
      <c r="W324" s="2322"/>
      <c r="X324" s="2322"/>
      <c r="Y324" s="2322"/>
      <c r="Z324" s="2322"/>
      <c r="AA324" s="2322"/>
      <c r="AB324" s="2322"/>
      <c r="AC324" s="2322"/>
      <c r="AD324" s="2322"/>
      <c r="AE324" s="2322"/>
      <c r="AF324" s="2322"/>
      <c r="AG324" s="2322"/>
      <c r="AH324" s="2322"/>
      <c r="AI324" s="2322"/>
      <c r="AJ324" s="2322"/>
      <c r="AK324" s="2322"/>
      <c r="AL324" s="2322"/>
      <c r="AM324" s="2322"/>
      <c r="AN324" s="2322"/>
      <c r="AO324" s="2322"/>
      <c r="AP324" s="2322"/>
      <c r="AQ324" s="2322"/>
      <c r="AR324" s="2322"/>
      <c r="AS324" s="2322"/>
      <c r="AT324" s="2322"/>
      <c r="AU324" s="2322"/>
      <c r="AV324" s="2322"/>
      <c r="AW324" s="2322"/>
      <c r="AX324" s="2322"/>
      <c r="AY324" s="2322"/>
      <c r="AZ324" s="2322"/>
      <c r="BA324" s="2322"/>
      <c r="BB324" s="2322"/>
      <c r="BC324" s="2322"/>
      <c r="BD324" s="2322"/>
      <c r="BE324" s="2322"/>
      <c r="BF324" s="2322"/>
      <c r="BG324" s="2322"/>
      <c r="BH324" s="2322"/>
      <c r="BI324" s="2322"/>
      <c r="BJ324" s="2322"/>
      <c r="BK324" s="2322"/>
      <c r="BL324" s="2322"/>
      <c r="BM324" s="2322"/>
      <c r="BN324" s="2322"/>
      <c r="BO324" s="2322"/>
      <c r="BP324" s="2322"/>
      <c r="BQ324" s="2322"/>
      <c r="BR324" s="2322"/>
      <c r="BS324" s="2322"/>
      <c r="BT324" s="2322"/>
      <c r="BU324" s="2322"/>
      <c r="BV324" s="2322"/>
      <c r="BW324" s="2322"/>
      <c r="BX324" s="2322"/>
      <c r="BY324" s="2322"/>
      <c r="BZ324" s="2322"/>
      <c r="CA324" s="2322"/>
      <c r="CB324" s="2322"/>
      <c r="CC324" s="2322"/>
      <c r="CD324" s="2322"/>
      <c r="CE324" s="2322"/>
      <c r="CF324" s="2322"/>
      <c r="CG324" s="2322"/>
      <c r="CH324" s="2322"/>
      <c r="CI324" s="2322"/>
      <c r="CJ324" s="2322"/>
      <c r="CK324" s="2322"/>
      <c r="CL324" s="2322"/>
      <c r="CM324" s="2322"/>
      <c r="CN324" s="2322"/>
      <c r="CO324" s="2322"/>
      <c r="CP324" s="2322"/>
      <c r="CQ324" s="2322"/>
      <c r="CR324" s="2322"/>
      <c r="CS324" s="2322"/>
      <c r="CT324" s="2322"/>
      <c r="CU324" s="2322"/>
      <c r="CV324" s="2322"/>
    </row>
    <row r="325" spans="1:100" ht="15.75" customHeight="1">
      <c r="A325" s="2328"/>
      <c r="B325" s="2322"/>
      <c r="C325" s="2322"/>
      <c r="D325" s="2322"/>
      <c r="E325" s="2322"/>
      <c r="F325" s="2322"/>
      <c r="G325" s="2322"/>
      <c r="H325" s="2322"/>
      <c r="I325" s="2322"/>
      <c r="J325" s="2322"/>
      <c r="K325" s="2322"/>
      <c r="L325" s="2322"/>
      <c r="M325" s="2322"/>
      <c r="N325" s="2322"/>
      <c r="O325" s="2322"/>
      <c r="P325" s="2322"/>
      <c r="Q325" s="2322"/>
      <c r="R325" s="2322"/>
      <c r="S325" s="2322"/>
      <c r="T325" s="2322"/>
      <c r="U325" s="2322"/>
      <c r="V325" s="2322"/>
      <c r="W325" s="2322"/>
      <c r="X325" s="2322"/>
      <c r="Y325" s="2322"/>
      <c r="Z325" s="2322"/>
      <c r="AA325" s="2322"/>
      <c r="AB325" s="2322"/>
      <c r="AC325" s="2322"/>
      <c r="AD325" s="2322"/>
      <c r="AE325" s="2322"/>
      <c r="AF325" s="2322"/>
      <c r="AG325" s="2322"/>
      <c r="AH325" s="2322"/>
      <c r="AI325" s="2322"/>
      <c r="AJ325" s="2322"/>
      <c r="AK325" s="2322"/>
      <c r="AL325" s="2322"/>
      <c r="AM325" s="2322"/>
      <c r="AN325" s="2322"/>
      <c r="AO325" s="2322"/>
      <c r="AP325" s="2322"/>
      <c r="AQ325" s="2322"/>
      <c r="AR325" s="2322"/>
      <c r="AS325" s="2322"/>
      <c r="AT325" s="2322"/>
      <c r="AU325" s="2322"/>
      <c r="AV325" s="2322"/>
      <c r="AW325" s="2322"/>
      <c r="AX325" s="2322"/>
      <c r="AY325" s="2322"/>
      <c r="AZ325" s="2322"/>
      <c r="BA325" s="2322"/>
      <c r="BB325" s="2322"/>
      <c r="BC325" s="2322"/>
      <c r="BD325" s="2322"/>
      <c r="BE325" s="2322"/>
      <c r="BF325" s="2322"/>
      <c r="BG325" s="2322"/>
      <c r="BH325" s="2322"/>
      <c r="BI325" s="2322"/>
      <c r="BJ325" s="2322"/>
      <c r="BK325" s="2322"/>
      <c r="BL325" s="2322"/>
      <c r="BM325" s="2322"/>
      <c r="BN325" s="2322"/>
      <c r="BO325" s="2322"/>
      <c r="BP325" s="2322"/>
      <c r="BQ325" s="2322"/>
      <c r="BR325" s="2322"/>
      <c r="BS325" s="2322"/>
      <c r="BT325" s="2322"/>
      <c r="BU325" s="2322"/>
      <c r="BV325" s="2322"/>
      <c r="BW325" s="2322"/>
      <c r="BX325" s="2322"/>
      <c r="BY325" s="2322"/>
      <c r="BZ325" s="2322"/>
      <c r="CA325" s="2322"/>
      <c r="CB325" s="2322"/>
      <c r="CC325" s="2322"/>
      <c r="CD325" s="2322"/>
      <c r="CE325" s="2322"/>
      <c r="CF325" s="2322"/>
      <c r="CG325" s="2322"/>
      <c r="CH325" s="2322"/>
      <c r="CI325" s="2322"/>
      <c r="CJ325" s="2322"/>
      <c r="CK325" s="2322"/>
      <c r="CL325" s="2322"/>
      <c r="CM325" s="2322"/>
      <c r="CN325" s="2322"/>
      <c r="CO325" s="2322"/>
      <c r="CP325" s="2322"/>
      <c r="CQ325" s="2322"/>
      <c r="CR325" s="2322"/>
      <c r="CS325" s="2322"/>
      <c r="CT325" s="2322"/>
      <c r="CU325" s="2322"/>
      <c r="CV325" s="2322"/>
    </row>
    <row r="326" spans="1:100" ht="15.75" customHeight="1">
      <c r="A326" s="2328"/>
      <c r="B326" s="2322"/>
      <c r="C326" s="2322"/>
      <c r="D326" s="2322"/>
      <c r="E326" s="2322"/>
      <c r="F326" s="2322"/>
      <c r="G326" s="2322"/>
      <c r="H326" s="2322"/>
      <c r="I326" s="2322"/>
      <c r="J326" s="2322"/>
      <c r="K326" s="2322"/>
      <c r="L326" s="2322"/>
      <c r="M326" s="2322"/>
      <c r="N326" s="2322"/>
      <c r="O326" s="2322"/>
      <c r="P326" s="2322"/>
      <c r="Q326" s="2322"/>
      <c r="R326" s="2322"/>
      <c r="S326" s="2322"/>
      <c r="T326" s="2322"/>
      <c r="U326" s="2322"/>
      <c r="V326" s="2322"/>
      <c r="W326" s="2322"/>
      <c r="X326" s="2322"/>
      <c r="Y326" s="2322"/>
      <c r="Z326" s="2322"/>
      <c r="AA326" s="2322"/>
      <c r="AB326" s="2322"/>
      <c r="AC326" s="2322"/>
      <c r="AD326" s="2322"/>
      <c r="AE326" s="2322"/>
      <c r="AF326" s="2322"/>
      <c r="AG326" s="2322"/>
      <c r="AH326" s="2322"/>
      <c r="AI326" s="2322"/>
      <c r="AJ326" s="2322"/>
      <c r="AK326" s="2322"/>
      <c r="AL326" s="2322"/>
      <c r="AM326" s="2322"/>
      <c r="AN326" s="2322"/>
      <c r="AO326" s="2322"/>
      <c r="AP326" s="2322"/>
      <c r="AQ326" s="2322"/>
      <c r="AR326" s="2322"/>
      <c r="AS326" s="2322"/>
      <c r="AT326" s="2322"/>
      <c r="AU326" s="2322"/>
      <c r="AV326" s="2322"/>
      <c r="AW326" s="2322"/>
      <c r="AX326" s="2322"/>
      <c r="AY326" s="2322"/>
      <c r="AZ326" s="2322"/>
      <c r="BA326" s="2322"/>
      <c r="BB326" s="2322"/>
      <c r="BC326" s="2322"/>
      <c r="BD326" s="2322"/>
      <c r="BE326" s="2322"/>
      <c r="BF326" s="2322"/>
      <c r="BG326" s="2322"/>
      <c r="BH326" s="2322"/>
      <c r="BI326" s="2322"/>
      <c r="BJ326" s="2322"/>
      <c r="BK326" s="2322"/>
      <c r="BL326" s="2322"/>
      <c r="BM326" s="2322"/>
      <c r="BN326" s="2322"/>
      <c r="BO326" s="2322"/>
      <c r="BP326" s="2322"/>
      <c r="BQ326" s="2322"/>
      <c r="BR326" s="2322"/>
      <c r="BS326" s="2322"/>
      <c r="BT326" s="2322"/>
      <c r="BU326" s="2322"/>
      <c r="BV326" s="2322"/>
      <c r="BW326" s="2322"/>
      <c r="BX326" s="2322"/>
      <c r="BY326" s="2322"/>
      <c r="BZ326" s="2322"/>
      <c r="CA326" s="2322"/>
      <c r="CB326" s="2322"/>
      <c r="CC326" s="2322"/>
      <c r="CD326" s="2322"/>
      <c r="CE326" s="2322"/>
      <c r="CF326" s="2322"/>
      <c r="CG326" s="2322"/>
      <c r="CH326" s="2322"/>
      <c r="CI326" s="2322"/>
      <c r="CJ326" s="2322"/>
      <c r="CK326" s="2322"/>
      <c r="CL326" s="2322"/>
      <c r="CM326" s="2322"/>
      <c r="CN326" s="2322"/>
      <c r="CO326" s="2322"/>
      <c r="CP326" s="2322"/>
      <c r="CQ326" s="2322"/>
      <c r="CR326" s="2322"/>
      <c r="CS326" s="2322"/>
      <c r="CT326" s="2322"/>
      <c r="CU326" s="2322"/>
      <c r="CV326" s="2322"/>
    </row>
    <row r="327" spans="1:100" ht="15.75" customHeight="1">
      <c r="A327" s="2328"/>
      <c r="B327" s="2322"/>
      <c r="C327" s="2322"/>
      <c r="D327" s="2322"/>
      <c r="E327" s="2322"/>
      <c r="F327" s="2322"/>
      <c r="G327" s="2322"/>
      <c r="H327" s="2322"/>
      <c r="I327" s="2322"/>
      <c r="J327" s="2322"/>
      <c r="K327" s="2322"/>
      <c r="L327" s="2322"/>
      <c r="M327" s="2322"/>
      <c r="N327" s="2322"/>
      <c r="O327" s="2322"/>
      <c r="P327" s="2322"/>
      <c r="Q327" s="2322"/>
      <c r="R327" s="2322"/>
      <c r="S327" s="2322"/>
      <c r="T327" s="2322"/>
      <c r="U327" s="2322"/>
      <c r="V327" s="2322"/>
      <c r="W327" s="2322"/>
      <c r="X327" s="2322"/>
      <c r="Y327" s="2322"/>
      <c r="Z327" s="2322"/>
      <c r="AA327" s="2322"/>
      <c r="AB327" s="2322"/>
      <c r="AC327" s="2322"/>
      <c r="AD327" s="2322"/>
      <c r="AE327" s="2322"/>
      <c r="AF327" s="2322"/>
      <c r="AG327" s="2322"/>
      <c r="AH327" s="2322"/>
      <c r="AI327" s="2322"/>
      <c r="AJ327" s="2322"/>
      <c r="AK327" s="2322"/>
      <c r="AL327" s="2322"/>
      <c r="AM327" s="2322"/>
      <c r="AN327" s="2322"/>
      <c r="AO327" s="2322"/>
      <c r="AP327" s="2322"/>
      <c r="AQ327" s="2322"/>
      <c r="AR327" s="2322"/>
      <c r="AS327" s="2322"/>
      <c r="AT327" s="2322"/>
      <c r="AU327" s="2322"/>
      <c r="AV327" s="2322"/>
      <c r="AW327" s="2322"/>
      <c r="AX327" s="2322"/>
      <c r="AY327" s="2322"/>
      <c r="AZ327" s="2322"/>
      <c r="BA327" s="2322"/>
      <c r="BB327" s="2322"/>
      <c r="BC327" s="2322"/>
      <c r="BD327" s="2322"/>
      <c r="BE327" s="2322"/>
      <c r="BF327" s="2322"/>
      <c r="BG327" s="2322"/>
      <c r="BH327" s="2322"/>
      <c r="BI327" s="2322"/>
      <c r="BJ327" s="2322"/>
      <c r="BK327" s="2322"/>
      <c r="BL327" s="2322"/>
      <c r="BM327" s="2322"/>
      <c r="BN327" s="2322"/>
      <c r="BO327" s="2322"/>
      <c r="BP327" s="2322"/>
      <c r="BQ327" s="2322"/>
      <c r="BR327" s="2322"/>
      <c r="BS327" s="2322"/>
      <c r="BT327" s="2322"/>
      <c r="BU327" s="2322"/>
      <c r="BV327" s="2322"/>
      <c r="BW327" s="2322"/>
      <c r="BX327" s="2322"/>
      <c r="BY327" s="2322"/>
      <c r="BZ327" s="2322"/>
      <c r="CA327" s="2322"/>
      <c r="CB327" s="2322"/>
      <c r="CC327" s="2322"/>
      <c r="CD327" s="2322"/>
      <c r="CE327" s="2322"/>
      <c r="CF327" s="2322"/>
      <c r="CG327" s="2322"/>
      <c r="CH327" s="2322"/>
      <c r="CI327" s="2322"/>
      <c r="CJ327" s="2322"/>
      <c r="CK327" s="2322"/>
      <c r="CL327" s="2322"/>
      <c r="CM327" s="2322"/>
      <c r="CN327" s="2322"/>
      <c r="CO327" s="2322"/>
      <c r="CP327" s="2322"/>
      <c r="CQ327" s="2322"/>
      <c r="CR327" s="2322"/>
      <c r="CS327" s="2322"/>
      <c r="CT327" s="2322"/>
      <c r="CU327" s="2322"/>
      <c r="CV327" s="2322"/>
    </row>
    <row r="328" spans="1:100" ht="15.75" customHeight="1">
      <c r="A328" s="2328"/>
      <c r="B328" s="2322"/>
      <c r="C328" s="2322"/>
      <c r="D328" s="2322"/>
      <c r="E328" s="2322"/>
      <c r="F328" s="2322"/>
      <c r="G328" s="2322"/>
      <c r="H328" s="2322"/>
      <c r="I328" s="2322"/>
      <c r="J328" s="2322"/>
      <c r="K328" s="2322"/>
      <c r="L328" s="2322"/>
      <c r="M328" s="2322"/>
      <c r="N328" s="2322"/>
      <c r="O328" s="2322"/>
      <c r="P328" s="2322"/>
      <c r="Q328" s="2322"/>
      <c r="R328" s="2322"/>
      <c r="S328" s="2322"/>
      <c r="T328" s="2322"/>
      <c r="U328" s="2322"/>
      <c r="V328" s="2322"/>
      <c r="W328" s="2322"/>
      <c r="X328" s="2322"/>
      <c r="Y328" s="2322"/>
      <c r="Z328" s="2322"/>
      <c r="AA328" s="2322"/>
      <c r="AB328" s="2322"/>
      <c r="AC328" s="2322"/>
      <c r="AD328" s="2322"/>
      <c r="AE328" s="2322"/>
      <c r="AF328" s="2322"/>
      <c r="AG328" s="2322"/>
      <c r="AH328" s="2322"/>
      <c r="AI328" s="2322"/>
      <c r="AJ328" s="2322"/>
      <c r="AK328" s="2322"/>
      <c r="AL328" s="2322"/>
      <c r="AM328" s="2322"/>
      <c r="AN328" s="2322"/>
      <c r="AO328" s="2322"/>
      <c r="AP328" s="2322"/>
      <c r="AQ328" s="2322"/>
      <c r="AR328" s="2322"/>
      <c r="AS328" s="2322"/>
      <c r="AT328" s="2322"/>
      <c r="AU328" s="2322"/>
      <c r="AV328" s="2322"/>
      <c r="AW328" s="2322"/>
      <c r="AX328" s="2322"/>
      <c r="AY328" s="2322"/>
      <c r="AZ328" s="2322"/>
      <c r="BA328" s="2322"/>
      <c r="BB328" s="2322"/>
      <c r="BC328" s="2322"/>
      <c r="BD328" s="2322"/>
      <c r="BE328" s="2322"/>
      <c r="BF328" s="2322"/>
      <c r="BG328" s="2322"/>
      <c r="BH328" s="2322"/>
      <c r="BI328" s="2322"/>
      <c r="BJ328" s="2322"/>
      <c r="BK328" s="2322"/>
      <c r="BL328" s="2322"/>
      <c r="BM328" s="2322"/>
      <c r="BN328" s="2322"/>
      <c r="BO328" s="2322"/>
      <c r="BP328" s="2322"/>
      <c r="BQ328" s="2322"/>
      <c r="BR328" s="2322"/>
      <c r="BS328" s="2322"/>
      <c r="BT328" s="2322"/>
      <c r="BU328" s="2322"/>
      <c r="BV328" s="2322"/>
      <c r="BW328" s="2322"/>
      <c r="BX328" s="2322"/>
      <c r="BY328" s="2322"/>
      <c r="BZ328" s="2322"/>
      <c r="CA328" s="2322"/>
      <c r="CB328" s="2322"/>
      <c r="CC328" s="2322"/>
      <c r="CD328" s="2322"/>
      <c r="CE328" s="2322"/>
      <c r="CF328" s="2322"/>
      <c r="CG328" s="2322"/>
      <c r="CH328" s="2322"/>
      <c r="CI328" s="2322"/>
      <c r="CJ328" s="2322"/>
      <c r="CK328" s="2322"/>
      <c r="CL328" s="2322"/>
      <c r="CM328" s="2322"/>
      <c r="CN328" s="2322"/>
      <c r="CO328" s="2322"/>
      <c r="CP328" s="2322"/>
      <c r="CQ328" s="2322"/>
      <c r="CR328" s="2322"/>
      <c r="CS328" s="2322"/>
      <c r="CT328" s="2322"/>
      <c r="CU328" s="2322"/>
      <c r="CV328" s="2322"/>
    </row>
    <row r="329" spans="1:100" ht="15.75" customHeight="1">
      <c r="A329" s="2328"/>
      <c r="B329" s="2322"/>
      <c r="C329" s="2322"/>
      <c r="D329" s="2322"/>
      <c r="E329" s="2322"/>
      <c r="F329" s="2322"/>
      <c r="G329" s="2322"/>
      <c r="H329" s="2322"/>
      <c r="I329" s="2322"/>
      <c r="J329" s="2322"/>
      <c r="K329" s="2322"/>
      <c r="L329" s="2322"/>
      <c r="M329" s="2322"/>
      <c r="N329" s="2322"/>
      <c r="O329" s="2322"/>
      <c r="P329" s="2322"/>
      <c r="Q329" s="2322"/>
      <c r="R329" s="2322"/>
      <c r="S329" s="2322"/>
      <c r="T329" s="2322"/>
      <c r="U329" s="2322"/>
      <c r="V329" s="2322"/>
      <c r="W329" s="2322"/>
      <c r="X329" s="2322"/>
      <c r="Y329" s="2322"/>
      <c r="Z329" s="2322"/>
      <c r="AA329" s="2322"/>
      <c r="AB329" s="2322"/>
      <c r="AC329" s="2322"/>
      <c r="AD329" s="2322"/>
      <c r="AE329" s="2322"/>
      <c r="AF329" s="2322"/>
      <c r="AG329" s="2322"/>
      <c r="AH329" s="2322"/>
      <c r="AI329" s="2322"/>
      <c r="AJ329" s="2322"/>
      <c r="AK329" s="2322"/>
      <c r="AL329" s="2322"/>
      <c r="AM329" s="2322"/>
      <c r="AN329" s="2322"/>
      <c r="AO329" s="2322"/>
      <c r="AP329" s="2322"/>
      <c r="AQ329" s="2322"/>
      <c r="AR329" s="2322"/>
      <c r="AS329" s="2322"/>
      <c r="AT329" s="2322"/>
      <c r="AU329" s="2322"/>
      <c r="AV329" s="2322"/>
      <c r="AW329" s="2322"/>
      <c r="AX329" s="2322"/>
      <c r="AY329" s="2322"/>
      <c r="AZ329" s="2322"/>
      <c r="BA329" s="2322"/>
      <c r="BB329" s="2322"/>
      <c r="BC329" s="2322"/>
      <c r="BD329" s="2322"/>
      <c r="BE329" s="2322"/>
      <c r="BF329" s="2322"/>
      <c r="BG329" s="2322"/>
      <c r="BH329" s="2322"/>
      <c r="BI329" s="2322"/>
      <c r="BJ329" s="2322"/>
      <c r="BK329" s="2322"/>
      <c r="BL329" s="2322"/>
      <c r="BM329" s="2322"/>
      <c r="BN329" s="2322"/>
      <c r="BO329" s="2322"/>
      <c r="BP329" s="2322"/>
      <c r="BQ329" s="2322"/>
      <c r="BR329" s="2322"/>
      <c r="BS329" s="2322"/>
      <c r="BT329" s="2322"/>
      <c r="BU329" s="2322"/>
      <c r="BV329" s="2322"/>
      <c r="BW329" s="2322"/>
      <c r="BX329" s="2322"/>
      <c r="BY329" s="2322"/>
      <c r="BZ329" s="2322"/>
      <c r="CA329" s="2322"/>
      <c r="CB329" s="2322"/>
      <c r="CC329" s="2322"/>
      <c r="CD329" s="2322"/>
      <c r="CE329" s="2322"/>
      <c r="CF329" s="2322"/>
      <c r="CG329" s="2322"/>
      <c r="CH329" s="2322"/>
      <c r="CI329" s="2322"/>
      <c r="CJ329" s="2322"/>
      <c r="CK329" s="2322"/>
      <c r="CL329" s="2322"/>
      <c r="CM329" s="2322"/>
      <c r="CN329" s="2322"/>
      <c r="CO329" s="2322"/>
      <c r="CP329" s="2322"/>
      <c r="CQ329" s="2322"/>
      <c r="CR329" s="2322"/>
      <c r="CS329" s="2322"/>
      <c r="CT329" s="2322"/>
      <c r="CU329" s="2322"/>
      <c r="CV329" s="2322"/>
    </row>
    <row r="330" spans="1:100" ht="15.75" customHeight="1">
      <c r="A330" s="2328"/>
      <c r="B330" s="2322"/>
      <c r="C330" s="2322"/>
      <c r="D330" s="2322"/>
      <c r="E330" s="2322"/>
      <c r="F330" s="2322"/>
      <c r="G330" s="2322"/>
      <c r="H330" s="2322"/>
      <c r="I330" s="2322"/>
      <c r="J330" s="2322"/>
      <c r="K330" s="2322"/>
      <c r="L330" s="2322"/>
      <c r="M330" s="2322"/>
      <c r="N330" s="2322"/>
      <c r="O330" s="2322"/>
      <c r="P330" s="2322"/>
      <c r="Q330" s="2322"/>
      <c r="R330" s="2322"/>
      <c r="S330" s="2322"/>
      <c r="T330" s="2322"/>
      <c r="U330" s="2322"/>
      <c r="V330" s="2322"/>
      <c r="W330" s="2322"/>
      <c r="X330" s="2322"/>
      <c r="Y330" s="2322"/>
      <c r="Z330" s="2322"/>
      <c r="AA330" s="2322"/>
      <c r="AB330" s="2322"/>
      <c r="AC330" s="2322"/>
      <c r="AD330" s="2322"/>
      <c r="AE330" s="2322"/>
      <c r="AF330" s="2322"/>
      <c r="AG330" s="2322"/>
      <c r="AH330" s="2322"/>
      <c r="AI330" s="2322"/>
      <c r="AJ330" s="2322"/>
      <c r="AK330" s="2322"/>
      <c r="AL330" s="2322"/>
      <c r="AM330" s="2322"/>
      <c r="AN330" s="2322"/>
      <c r="AO330" s="2322"/>
      <c r="AP330" s="2322"/>
      <c r="AQ330" s="2322"/>
      <c r="AR330" s="2322"/>
      <c r="AS330" s="2322"/>
      <c r="AT330" s="2322"/>
      <c r="AU330" s="2322"/>
      <c r="AV330" s="2322"/>
      <c r="AW330" s="2322"/>
      <c r="AX330" s="2322"/>
      <c r="AY330" s="2322"/>
      <c r="AZ330" s="2322"/>
      <c r="BA330" s="2322"/>
      <c r="BB330" s="2322"/>
      <c r="BC330" s="2322"/>
      <c r="BD330" s="2322"/>
      <c r="BE330" s="2322"/>
      <c r="BF330" s="2322"/>
      <c r="BG330" s="2322"/>
      <c r="BH330" s="2322"/>
      <c r="BI330" s="2322"/>
      <c r="BJ330" s="2322"/>
      <c r="BK330" s="2322"/>
      <c r="BL330" s="2322"/>
      <c r="BM330" s="2322"/>
      <c r="BN330" s="2322"/>
      <c r="BO330" s="2322"/>
      <c r="BP330" s="2322"/>
      <c r="BQ330" s="2322"/>
      <c r="BR330" s="2322"/>
      <c r="BS330" s="2322"/>
      <c r="BT330" s="2322"/>
      <c r="BU330" s="2322"/>
      <c r="BV330" s="2322"/>
      <c r="BW330" s="2322"/>
      <c r="BX330" s="2322"/>
      <c r="BY330" s="2322"/>
      <c r="BZ330" s="2322"/>
      <c r="CA330" s="2322"/>
      <c r="CB330" s="2322"/>
      <c r="CC330" s="2322"/>
      <c r="CD330" s="2322"/>
      <c r="CE330" s="2322"/>
      <c r="CF330" s="2322"/>
      <c r="CG330" s="2322"/>
      <c r="CH330" s="2322"/>
      <c r="CI330" s="2322"/>
      <c r="CJ330" s="2322"/>
      <c r="CK330" s="2322"/>
      <c r="CL330" s="2322"/>
      <c r="CM330" s="2322"/>
      <c r="CN330" s="2322"/>
      <c r="CO330" s="2322"/>
      <c r="CP330" s="2322"/>
      <c r="CQ330" s="2322"/>
      <c r="CR330" s="2322"/>
      <c r="CS330" s="2322"/>
      <c r="CT330" s="2322"/>
      <c r="CU330" s="2322"/>
      <c r="CV330" s="2322"/>
    </row>
    <row r="331" spans="1:100" ht="15.75" customHeight="1">
      <c r="A331" s="2328"/>
      <c r="B331" s="2322"/>
      <c r="C331" s="2322"/>
      <c r="D331" s="2322"/>
      <c r="E331" s="2322"/>
      <c r="F331" s="2322"/>
      <c r="G331" s="2322"/>
      <c r="H331" s="2322"/>
      <c r="I331" s="2322"/>
      <c r="J331" s="2322"/>
      <c r="K331" s="2322"/>
      <c r="L331" s="2322"/>
      <c r="M331" s="2322"/>
      <c r="N331" s="2322"/>
      <c r="O331" s="2322"/>
      <c r="P331" s="2322"/>
      <c r="Q331" s="2322"/>
      <c r="R331" s="2322"/>
      <c r="S331" s="2322"/>
      <c r="T331" s="2322"/>
      <c r="U331" s="2322"/>
      <c r="V331" s="2322"/>
      <c r="W331" s="2322"/>
      <c r="X331" s="2322"/>
      <c r="Y331" s="2322"/>
      <c r="Z331" s="2322"/>
      <c r="AA331" s="2322"/>
      <c r="AB331" s="2322"/>
      <c r="AC331" s="2322"/>
      <c r="AD331" s="2322"/>
      <c r="AE331" s="2322"/>
      <c r="AF331" s="2322"/>
      <c r="AG331" s="2322"/>
      <c r="AH331" s="2322"/>
      <c r="AI331" s="2322"/>
      <c r="AJ331" s="2322"/>
      <c r="AK331" s="2322"/>
      <c r="AL331" s="2322"/>
      <c r="AM331" s="2322"/>
      <c r="AN331" s="2322"/>
      <c r="AO331" s="2322"/>
      <c r="AP331" s="2322"/>
      <c r="AQ331" s="2322"/>
      <c r="AR331" s="2322"/>
      <c r="AS331" s="2322"/>
      <c r="AT331" s="2322"/>
      <c r="AU331" s="2322"/>
      <c r="AV331" s="2322"/>
      <c r="AW331" s="2322"/>
      <c r="AX331" s="2322"/>
      <c r="AY331" s="2322"/>
      <c r="AZ331" s="2322"/>
      <c r="BA331" s="2322"/>
      <c r="BB331" s="2322"/>
      <c r="BC331" s="2322"/>
      <c r="BD331" s="2322"/>
      <c r="BE331" s="2322"/>
      <c r="BF331" s="2322"/>
      <c r="BG331" s="2322"/>
      <c r="BH331" s="2322"/>
      <c r="BI331" s="2322"/>
      <c r="BJ331" s="2322"/>
      <c r="BK331" s="2322"/>
      <c r="BL331" s="2322"/>
      <c r="BM331" s="2322"/>
      <c r="BN331" s="2322"/>
      <c r="BO331" s="2322"/>
      <c r="BP331" s="2322"/>
      <c r="BQ331" s="2322"/>
      <c r="BR331" s="2322"/>
      <c r="BS331" s="2322"/>
      <c r="BT331" s="2322"/>
      <c r="BU331" s="2322"/>
      <c r="BV331" s="2322"/>
      <c r="BW331" s="2322"/>
      <c r="BX331" s="2322"/>
      <c r="BY331" s="2322"/>
      <c r="BZ331" s="2322"/>
      <c r="CA331" s="2322"/>
      <c r="CB331" s="2322"/>
      <c r="CC331" s="2322"/>
      <c r="CD331" s="2322"/>
      <c r="CE331" s="2322"/>
      <c r="CF331" s="2322"/>
      <c r="CG331" s="2322"/>
      <c r="CH331" s="2322"/>
      <c r="CI331" s="2322"/>
      <c r="CJ331" s="2322"/>
      <c r="CK331" s="2322"/>
      <c r="CL331" s="2322"/>
      <c r="CM331" s="2322"/>
      <c r="CN331" s="2322"/>
      <c r="CO331" s="2322"/>
      <c r="CP331" s="2322"/>
      <c r="CQ331" s="2322"/>
      <c r="CR331" s="2322"/>
      <c r="CS331" s="2322"/>
      <c r="CT331" s="2322"/>
      <c r="CU331" s="2322"/>
      <c r="CV331" s="2322"/>
    </row>
    <row r="332" spans="1:100" ht="15.75" customHeight="1">
      <c r="A332" s="2328"/>
      <c r="B332" s="2322"/>
      <c r="C332" s="2322"/>
      <c r="D332" s="2322"/>
      <c r="E332" s="2322"/>
      <c r="F332" s="2322"/>
      <c r="G332" s="2322"/>
      <c r="H332" s="2322"/>
      <c r="I332" s="2322"/>
      <c r="J332" s="2322"/>
      <c r="K332" s="2322"/>
      <c r="L332" s="2322"/>
      <c r="M332" s="2322"/>
      <c r="N332" s="2322"/>
      <c r="O332" s="2322"/>
      <c r="P332" s="2322"/>
      <c r="Q332" s="2322"/>
      <c r="R332" s="2322"/>
      <c r="S332" s="2322"/>
      <c r="T332" s="2322"/>
      <c r="U332" s="2322"/>
      <c r="V332" s="2322"/>
      <c r="W332" s="2322"/>
      <c r="X332" s="2322"/>
      <c r="Y332" s="2322"/>
      <c r="Z332" s="2322"/>
      <c r="AA332" s="2322"/>
      <c r="AB332" s="2322"/>
      <c r="AC332" s="2322"/>
      <c r="AD332" s="2322"/>
      <c r="AE332" s="2322"/>
      <c r="AF332" s="2322"/>
      <c r="AG332" s="2322"/>
      <c r="AH332" s="2322"/>
      <c r="AI332" s="2322"/>
      <c r="AJ332" s="2322"/>
      <c r="AK332" s="2322"/>
      <c r="AL332" s="2322"/>
      <c r="AM332" s="2322"/>
      <c r="AN332" s="2322"/>
      <c r="AO332" s="2322"/>
      <c r="AP332" s="2322"/>
      <c r="AQ332" s="2322"/>
      <c r="AR332" s="2322"/>
      <c r="AS332" s="2322"/>
      <c r="AT332" s="2322"/>
      <c r="AU332" s="2322"/>
      <c r="AV332" s="2322"/>
      <c r="AW332" s="2322"/>
      <c r="AX332" s="2322"/>
      <c r="AY332" s="2322"/>
      <c r="AZ332" s="2322"/>
      <c r="BA332" s="2322"/>
      <c r="BB332" s="2322"/>
      <c r="BC332" s="2322"/>
      <c r="BD332" s="2322"/>
      <c r="BE332" s="2322"/>
      <c r="BF332" s="2322"/>
      <c r="BG332" s="2322"/>
      <c r="BH332" s="2322"/>
      <c r="BI332" s="2322"/>
      <c r="BJ332" s="2322"/>
      <c r="BK332" s="2322"/>
      <c r="BL332" s="2322"/>
      <c r="BM332" s="2322"/>
      <c r="BN332" s="2322"/>
      <c r="BO332" s="2322"/>
      <c r="BP332" s="2322"/>
      <c r="BQ332" s="2322"/>
      <c r="BR332" s="2322"/>
      <c r="BS332" s="2322"/>
      <c r="BT332" s="2322"/>
      <c r="BU332" s="2322"/>
      <c r="BV332" s="2322"/>
      <c r="BW332" s="2322"/>
      <c r="BX332" s="2322"/>
      <c r="BY332" s="2322"/>
      <c r="BZ332" s="2322"/>
      <c r="CA332" s="2322"/>
      <c r="CB332" s="2322"/>
      <c r="CC332" s="2322"/>
      <c r="CD332" s="2322"/>
      <c r="CE332" s="2322"/>
      <c r="CF332" s="2322"/>
      <c r="CG332" s="2322"/>
      <c r="CH332" s="2322"/>
      <c r="CI332" s="2322"/>
      <c r="CJ332" s="2322"/>
      <c r="CK332" s="2322"/>
      <c r="CL332" s="2322"/>
      <c r="CM332" s="2322"/>
      <c r="CN332" s="2322"/>
      <c r="CO332" s="2322"/>
      <c r="CP332" s="2322"/>
      <c r="CQ332" s="2322"/>
      <c r="CR332" s="2322"/>
      <c r="CS332" s="2322"/>
      <c r="CT332" s="2322"/>
      <c r="CU332" s="2322"/>
      <c r="CV332" s="2322"/>
    </row>
    <row r="333" spans="1:100" ht="15.75" customHeight="1">
      <c r="A333" s="2328"/>
      <c r="B333" s="2322"/>
      <c r="C333" s="2322"/>
      <c r="D333" s="2322"/>
      <c r="E333" s="2322"/>
      <c r="F333" s="2322"/>
      <c r="G333" s="2322"/>
      <c r="H333" s="2322"/>
      <c r="I333" s="2322"/>
      <c r="J333" s="2322"/>
      <c r="K333" s="2322"/>
      <c r="L333" s="2322"/>
      <c r="M333" s="2322"/>
      <c r="N333" s="2322"/>
      <c r="O333" s="2322"/>
      <c r="P333" s="2322"/>
      <c r="Q333" s="2322"/>
      <c r="R333" s="2322"/>
      <c r="S333" s="2322"/>
      <c r="T333" s="2322"/>
      <c r="U333" s="2322"/>
      <c r="V333" s="2322"/>
      <c r="W333" s="2322"/>
      <c r="X333" s="2322"/>
      <c r="Y333" s="2322"/>
      <c r="Z333" s="2322"/>
      <c r="AA333" s="2322"/>
      <c r="AB333" s="2322"/>
      <c r="AC333" s="2322"/>
      <c r="AD333" s="2322"/>
      <c r="AE333" s="2322"/>
      <c r="AF333" s="2322"/>
      <c r="AG333" s="2322"/>
      <c r="AH333" s="2322"/>
      <c r="AI333" s="2322"/>
      <c r="AJ333" s="2322"/>
      <c r="AK333" s="2322"/>
      <c r="AL333" s="2322"/>
      <c r="AM333" s="2322"/>
      <c r="AN333" s="2322"/>
      <c r="AO333" s="2322"/>
      <c r="AP333" s="2322"/>
      <c r="AQ333" s="2322"/>
      <c r="AR333" s="2322"/>
      <c r="AS333" s="2322"/>
      <c r="AT333" s="2322"/>
      <c r="AU333" s="2322"/>
      <c r="AV333" s="2322"/>
      <c r="AW333" s="2322"/>
      <c r="AX333" s="2322"/>
      <c r="AY333" s="2322"/>
      <c r="AZ333" s="2322"/>
      <c r="BA333" s="2322"/>
      <c r="BB333" s="2322"/>
      <c r="BC333" s="2322"/>
      <c r="BD333" s="2322"/>
      <c r="BE333" s="2322"/>
      <c r="BF333" s="2322"/>
      <c r="BG333" s="2322"/>
      <c r="BH333" s="2322"/>
      <c r="BI333" s="2322"/>
      <c r="BJ333" s="2322"/>
      <c r="BK333" s="2322"/>
      <c r="BL333" s="2322"/>
      <c r="BM333" s="2322"/>
      <c r="BN333" s="2322"/>
      <c r="BO333" s="2322"/>
      <c r="BP333" s="2322"/>
      <c r="BQ333" s="2322"/>
      <c r="BR333" s="2322"/>
      <c r="BS333" s="2322"/>
      <c r="BT333" s="2322"/>
      <c r="BU333" s="2322"/>
      <c r="BV333" s="2322"/>
      <c r="BW333" s="2322"/>
      <c r="BX333" s="2322"/>
      <c r="BY333" s="2322"/>
      <c r="BZ333" s="2322"/>
      <c r="CA333" s="2322"/>
      <c r="CB333" s="2322"/>
      <c r="CC333" s="2322"/>
      <c r="CD333" s="2322"/>
      <c r="CE333" s="2322"/>
      <c r="CF333" s="2322"/>
      <c r="CG333" s="2322"/>
      <c r="CH333" s="2322"/>
      <c r="CI333" s="2322"/>
      <c r="CJ333" s="2322"/>
      <c r="CK333" s="2322"/>
      <c r="CL333" s="2322"/>
      <c r="CM333" s="2322"/>
      <c r="CN333" s="2322"/>
      <c r="CO333" s="2322"/>
      <c r="CP333" s="2322"/>
      <c r="CQ333" s="2322"/>
      <c r="CR333" s="2322"/>
      <c r="CS333" s="2322"/>
      <c r="CT333" s="2322"/>
      <c r="CU333" s="2322"/>
      <c r="CV333" s="2322"/>
    </row>
    <row r="334" spans="1:100" ht="15.75" customHeight="1">
      <c r="A334" s="2328"/>
      <c r="B334" s="2322"/>
      <c r="C334" s="2322"/>
      <c r="D334" s="2322"/>
      <c r="E334" s="2322"/>
      <c r="F334" s="2322"/>
      <c r="G334" s="2322"/>
      <c r="H334" s="2322"/>
      <c r="I334" s="2322"/>
      <c r="J334" s="2322"/>
      <c r="K334" s="2322"/>
      <c r="L334" s="2322"/>
      <c r="M334" s="2322"/>
      <c r="N334" s="2322"/>
      <c r="O334" s="2322"/>
      <c r="P334" s="2322"/>
      <c r="Q334" s="2322"/>
      <c r="R334" s="2322"/>
      <c r="S334" s="2322"/>
      <c r="T334" s="2322"/>
      <c r="U334" s="2322"/>
      <c r="V334" s="2322"/>
      <c r="W334" s="2322"/>
      <c r="X334" s="2322"/>
      <c r="Y334" s="2322"/>
      <c r="Z334" s="2322"/>
      <c r="AA334" s="2322"/>
      <c r="AB334" s="2322"/>
      <c r="AC334" s="2322"/>
      <c r="AD334" s="2322"/>
      <c r="AE334" s="2322"/>
      <c r="AF334" s="2322"/>
      <c r="AG334" s="2322"/>
      <c r="AH334" s="2322"/>
      <c r="AI334" s="2322"/>
      <c r="AJ334" s="2322"/>
      <c r="AK334" s="2322"/>
      <c r="AL334" s="2322"/>
      <c r="AM334" s="2322"/>
      <c r="AN334" s="2322"/>
      <c r="AO334" s="2322"/>
      <c r="AP334" s="2322"/>
      <c r="AQ334" s="2322"/>
      <c r="AR334" s="2322"/>
      <c r="AS334" s="2322"/>
      <c r="AT334" s="2322"/>
      <c r="AU334" s="2322"/>
      <c r="AV334" s="2322"/>
      <c r="AW334" s="2322"/>
      <c r="AX334" s="2322"/>
      <c r="AY334" s="2322"/>
      <c r="AZ334" s="2322"/>
      <c r="BA334" s="2322"/>
      <c r="BB334" s="2322"/>
      <c r="BC334" s="2322"/>
      <c r="BD334" s="2322"/>
      <c r="BE334" s="2322"/>
      <c r="BF334" s="2322"/>
      <c r="BG334" s="2322"/>
      <c r="BH334" s="2322"/>
      <c r="BI334" s="2322"/>
      <c r="BJ334" s="2322"/>
      <c r="BK334" s="2322"/>
      <c r="BL334" s="2322"/>
      <c r="BM334" s="2322"/>
      <c r="BN334" s="2322"/>
      <c r="BO334" s="2322"/>
      <c r="BP334" s="2322"/>
      <c r="BQ334" s="2322"/>
      <c r="BR334" s="2322"/>
      <c r="BS334" s="2322"/>
      <c r="BT334" s="2322"/>
      <c r="BU334" s="2322"/>
      <c r="BV334" s="2322"/>
      <c r="BW334" s="2322"/>
      <c r="BX334" s="2322"/>
      <c r="BY334" s="2322"/>
      <c r="BZ334" s="2322"/>
      <c r="CA334" s="2322"/>
      <c r="CB334" s="2322"/>
      <c r="CC334" s="2322"/>
      <c r="CD334" s="2322"/>
      <c r="CE334" s="2322"/>
      <c r="CF334" s="2322"/>
      <c r="CG334" s="2322"/>
      <c r="CH334" s="2322"/>
      <c r="CI334" s="2322"/>
      <c r="CJ334" s="2322"/>
      <c r="CK334" s="2322"/>
      <c r="CL334" s="2322"/>
      <c r="CM334" s="2322"/>
      <c r="CN334" s="2322"/>
      <c r="CO334" s="2322"/>
      <c r="CP334" s="2322"/>
      <c r="CQ334" s="2322"/>
      <c r="CR334" s="2322"/>
      <c r="CS334" s="2322"/>
      <c r="CT334" s="2322"/>
      <c r="CU334" s="2322"/>
      <c r="CV334" s="2322"/>
    </row>
    <row r="335" spans="1:100" ht="15.75" customHeight="1">
      <c r="A335" s="2328"/>
      <c r="B335" s="2322"/>
      <c r="C335" s="2322"/>
      <c r="D335" s="2322"/>
      <c r="E335" s="2322"/>
      <c r="F335" s="2322"/>
      <c r="G335" s="2322"/>
      <c r="H335" s="2322"/>
      <c r="I335" s="2322"/>
      <c r="J335" s="2322"/>
      <c r="K335" s="2322"/>
      <c r="L335" s="2322"/>
      <c r="M335" s="2322"/>
      <c r="N335" s="2322"/>
      <c r="O335" s="2322"/>
      <c r="P335" s="2322"/>
      <c r="Q335" s="2322"/>
      <c r="R335" s="2322"/>
      <c r="S335" s="2322"/>
      <c r="T335" s="2322"/>
      <c r="U335" s="2322"/>
      <c r="V335" s="2322"/>
      <c r="W335" s="2322"/>
      <c r="X335" s="2322"/>
      <c r="Y335" s="2322"/>
      <c r="Z335" s="2322"/>
      <c r="AA335" s="2322"/>
      <c r="AB335" s="2322"/>
      <c r="AC335" s="2322"/>
      <c r="AD335" s="2322"/>
      <c r="AE335" s="2322"/>
      <c r="AF335" s="2322"/>
      <c r="AG335" s="2322"/>
      <c r="AH335" s="2322"/>
      <c r="AI335" s="2322"/>
      <c r="AJ335" s="2322"/>
      <c r="AK335" s="2322"/>
      <c r="AL335" s="2322"/>
      <c r="AM335" s="2322"/>
      <c r="AN335" s="2322"/>
      <c r="AO335" s="2322"/>
      <c r="AP335" s="2322"/>
      <c r="AQ335" s="2322"/>
      <c r="AR335" s="2322"/>
      <c r="AS335" s="2322"/>
      <c r="AT335" s="2322"/>
      <c r="AU335" s="2322"/>
      <c r="AV335" s="2322"/>
      <c r="AW335" s="2322"/>
      <c r="AX335" s="2322"/>
      <c r="AY335" s="2322"/>
      <c r="AZ335" s="2322"/>
      <c r="BA335" s="2322"/>
      <c r="BB335" s="2322"/>
      <c r="BC335" s="2322"/>
      <c r="BD335" s="2322"/>
      <c r="BE335" s="2322"/>
      <c r="BF335" s="2322"/>
      <c r="BG335" s="2322"/>
      <c r="BH335" s="2322"/>
      <c r="BI335" s="2322"/>
      <c r="BJ335" s="2322"/>
      <c r="BK335" s="2322"/>
      <c r="BL335" s="2322"/>
      <c r="BM335" s="2322"/>
      <c r="BN335" s="2322"/>
      <c r="BO335" s="2322"/>
      <c r="BP335" s="2322"/>
      <c r="BQ335" s="2322"/>
      <c r="BR335" s="2322"/>
      <c r="BS335" s="2322"/>
      <c r="BT335" s="2322"/>
      <c r="BU335" s="2322"/>
      <c r="BV335" s="2322"/>
      <c r="BW335" s="2322"/>
      <c r="BX335" s="2322"/>
      <c r="BY335" s="2322"/>
      <c r="BZ335" s="2322"/>
      <c r="CA335" s="2322"/>
      <c r="CB335" s="2322"/>
      <c r="CC335" s="2322"/>
      <c r="CD335" s="2322"/>
      <c r="CE335" s="2322"/>
      <c r="CF335" s="2322"/>
      <c r="CG335" s="2322"/>
      <c r="CH335" s="2322"/>
      <c r="CI335" s="2322"/>
      <c r="CJ335" s="2322"/>
      <c r="CK335" s="2322"/>
      <c r="CL335" s="2322"/>
      <c r="CM335" s="2322"/>
      <c r="CN335" s="2322"/>
      <c r="CO335" s="2322"/>
      <c r="CP335" s="2322"/>
      <c r="CQ335" s="2322"/>
      <c r="CR335" s="2322"/>
      <c r="CS335" s="2322"/>
      <c r="CT335" s="2322"/>
      <c r="CU335" s="2322"/>
      <c r="CV335" s="2322"/>
    </row>
    <row r="336" spans="1:100" ht="15.75" customHeight="1">
      <c r="A336" s="2328"/>
      <c r="B336" s="2322"/>
      <c r="C336" s="2322"/>
      <c r="D336" s="2322"/>
      <c r="E336" s="2322"/>
      <c r="F336" s="2322"/>
      <c r="G336" s="2322"/>
      <c r="H336" s="2322"/>
      <c r="I336" s="2322"/>
      <c r="J336" s="2322"/>
      <c r="K336" s="2322"/>
      <c r="L336" s="2322"/>
      <c r="M336" s="2322"/>
      <c r="N336" s="2322"/>
      <c r="O336" s="2322"/>
      <c r="P336" s="2322"/>
      <c r="Q336" s="2322"/>
      <c r="R336" s="2322"/>
      <c r="S336" s="2322"/>
      <c r="T336" s="2322"/>
      <c r="U336" s="2322"/>
      <c r="V336" s="2322"/>
      <c r="W336" s="2322"/>
      <c r="X336" s="2322"/>
      <c r="Y336" s="2322"/>
      <c r="Z336" s="2322"/>
      <c r="AA336" s="2322"/>
      <c r="AB336" s="2322"/>
      <c r="AC336" s="2322"/>
      <c r="AD336" s="2322"/>
      <c r="AE336" s="2322"/>
      <c r="AF336" s="2322"/>
      <c r="AG336" s="2322"/>
      <c r="AH336" s="2322"/>
      <c r="AI336" s="2322"/>
      <c r="AJ336" s="2322"/>
      <c r="AK336" s="2322"/>
      <c r="AL336" s="2322"/>
      <c r="AM336" s="2322"/>
      <c r="AN336" s="2322"/>
      <c r="AO336" s="2322"/>
      <c r="AP336" s="2322"/>
      <c r="AQ336" s="2322"/>
      <c r="AR336" s="2322"/>
      <c r="AS336" s="2322"/>
      <c r="AT336" s="2322"/>
      <c r="AU336" s="2322"/>
      <c r="AV336" s="2322"/>
      <c r="AW336" s="2322"/>
      <c r="AX336" s="2322"/>
      <c r="AY336" s="2322"/>
      <c r="AZ336" s="2322"/>
      <c r="BA336" s="2322"/>
      <c r="BB336" s="2322"/>
      <c r="BC336" s="2322"/>
      <c r="BD336" s="2322"/>
      <c r="BE336" s="2322"/>
      <c r="BF336" s="2322"/>
      <c r="BG336" s="2322"/>
      <c r="BH336" s="2322"/>
      <c r="BI336" s="2322"/>
      <c r="BJ336" s="2322"/>
      <c r="BK336" s="2322"/>
      <c r="BL336" s="2322"/>
      <c r="BM336" s="2322"/>
      <c r="BN336" s="2322"/>
      <c r="BO336" s="2322"/>
      <c r="BP336" s="2322"/>
      <c r="BQ336" s="2322"/>
      <c r="BR336" s="2322"/>
      <c r="BS336" s="2322"/>
      <c r="BT336" s="2322"/>
      <c r="BU336" s="2322"/>
      <c r="BV336" s="2322"/>
      <c r="BW336" s="2322"/>
      <c r="BX336" s="2322"/>
      <c r="BY336" s="2322"/>
      <c r="BZ336" s="2322"/>
      <c r="CA336" s="2322"/>
      <c r="CB336" s="2322"/>
      <c r="CC336" s="2322"/>
      <c r="CD336" s="2322"/>
      <c r="CE336" s="2322"/>
      <c r="CF336" s="2322"/>
      <c r="CG336" s="2322"/>
      <c r="CH336" s="2322"/>
      <c r="CI336" s="2322"/>
      <c r="CJ336" s="2322"/>
      <c r="CK336" s="2322"/>
      <c r="CL336" s="2322"/>
      <c r="CM336" s="2322"/>
      <c r="CN336" s="2322"/>
      <c r="CO336" s="2322"/>
      <c r="CP336" s="2322"/>
      <c r="CQ336" s="2322"/>
      <c r="CR336" s="2322"/>
      <c r="CS336" s="2322"/>
      <c r="CT336" s="2322"/>
      <c r="CU336" s="2322"/>
      <c r="CV336" s="2322"/>
    </row>
    <row r="337" spans="1:100" ht="15.75" customHeight="1">
      <c r="A337" s="2328"/>
      <c r="B337" s="2322"/>
      <c r="C337" s="2322"/>
      <c r="D337" s="2322"/>
      <c r="E337" s="2322"/>
      <c r="F337" s="2322"/>
      <c r="G337" s="2322"/>
      <c r="H337" s="2322"/>
      <c r="I337" s="2322"/>
      <c r="J337" s="2322"/>
      <c r="K337" s="2322"/>
      <c r="L337" s="2322"/>
      <c r="M337" s="2322"/>
      <c r="N337" s="2322"/>
      <c r="O337" s="2322"/>
      <c r="P337" s="2322"/>
      <c r="Q337" s="2322"/>
      <c r="R337" s="2322"/>
      <c r="S337" s="2322"/>
      <c r="T337" s="2322"/>
      <c r="U337" s="2322"/>
      <c r="V337" s="2322"/>
      <c r="W337" s="2322"/>
      <c r="X337" s="2322"/>
      <c r="Y337" s="2322"/>
      <c r="Z337" s="2322"/>
      <c r="AA337" s="2322"/>
      <c r="AB337" s="2322"/>
      <c r="AC337" s="2322"/>
      <c r="AD337" s="2322"/>
      <c r="AE337" s="2322"/>
      <c r="AF337" s="2322"/>
      <c r="AG337" s="2322"/>
      <c r="AH337" s="2322"/>
      <c r="AI337" s="2322"/>
      <c r="AJ337" s="2322"/>
      <c r="AK337" s="2322"/>
      <c r="AL337" s="2322"/>
      <c r="AM337" s="2322"/>
      <c r="AN337" s="2322"/>
      <c r="AO337" s="2322"/>
      <c r="AP337" s="2322"/>
      <c r="AQ337" s="2322"/>
      <c r="AR337" s="2322"/>
      <c r="AS337" s="2322"/>
      <c r="AT337" s="2322"/>
      <c r="AU337" s="2322"/>
      <c r="AV337" s="2322"/>
      <c r="AW337" s="2322"/>
      <c r="AX337" s="2322"/>
      <c r="AY337" s="2322"/>
      <c r="AZ337" s="2322"/>
      <c r="BA337" s="2322"/>
      <c r="BB337" s="2322"/>
      <c r="BC337" s="2322"/>
      <c r="BD337" s="2322"/>
      <c r="BE337" s="2322"/>
      <c r="BF337" s="2322"/>
      <c r="BG337" s="2322"/>
      <c r="BH337" s="2322"/>
      <c r="BI337" s="2322"/>
      <c r="BJ337" s="2322"/>
      <c r="BK337" s="2322"/>
      <c r="BL337" s="2322"/>
      <c r="BM337" s="2322"/>
      <c r="BN337" s="2322"/>
      <c r="BO337" s="2322"/>
      <c r="BP337" s="2322"/>
      <c r="BQ337" s="2322"/>
      <c r="BR337" s="2322"/>
      <c r="BS337" s="2322"/>
      <c r="BT337" s="2322"/>
      <c r="BU337" s="2322"/>
      <c r="BV337" s="2322"/>
      <c r="BW337" s="2322"/>
      <c r="BX337" s="2322"/>
      <c r="BY337" s="2322"/>
      <c r="BZ337" s="2322"/>
      <c r="CA337" s="2322"/>
      <c r="CB337" s="2322"/>
      <c r="CC337" s="2322"/>
      <c r="CD337" s="2322"/>
      <c r="CE337" s="2322"/>
      <c r="CF337" s="2322"/>
      <c r="CG337" s="2322"/>
      <c r="CH337" s="2322"/>
      <c r="CI337" s="2322"/>
      <c r="CJ337" s="2322"/>
      <c r="CK337" s="2322"/>
      <c r="CL337" s="2322"/>
      <c r="CM337" s="2322"/>
      <c r="CN337" s="2322"/>
      <c r="CO337" s="2322"/>
      <c r="CP337" s="2322"/>
      <c r="CQ337" s="2322"/>
      <c r="CR337" s="2322"/>
      <c r="CS337" s="2322"/>
      <c r="CT337" s="2322"/>
      <c r="CU337" s="2322"/>
      <c r="CV337" s="2322"/>
    </row>
    <row r="338" spans="1:100" ht="15.75" customHeight="1">
      <c r="A338" s="2328"/>
      <c r="B338" s="2322"/>
      <c r="C338" s="2322"/>
      <c r="D338" s="2322"/>
      <c r="E338" s="2322"/>
      <c r="F338" s="2322"/>
      <c r="G338" s="2322"/>
      <c r="H338" s="2322"/>
      <c r="I338" s="2322"/>
      <c r="J338" s="2322"/>
      <c r="K338" s="2322"/>
      <c r="L338" s="2322"/>
      <c r="M338" s="2322"/>
      <c r="N338" s="2322"/>
      <c r="O338" s="2322"/>
      <c r="P338" s="2322"/>
      <c r="Q338" s="2322"/>
      <c r="R338" s="2322"/>
      <c r="S338" s="2322"/>
      <c r="T338" s="2322"/>
      <c r="U338" s="2322"/>
      <c r="V338" s="2322"/>
      <c r="W338" s="2322"/>
      <c r="X338" s="2322"/>
      <c r="Y338" s="2322"/>
      <c r="Z338" s="2322"/>
      <c r="AA338" s="2322"/>
      <c r="AB338" s="2322"/>
      <c r="AC338" s="2322"/>
      <c r="AD338" s="2322"/>
      <c r="AE338" s="2322"/>
      <c r="AF338" s="2322"/>
      <c r="AG338" s="2322"/>
      <c r="AH338" s="2322"/>
      <c r="AI338" s="2322"/>
      <c r="AJ338" s="2322"/>
      <c r="AK338" s="2322"/>
      <c r="AL338" s="2322"/>
      <c r="AM338" s="2322"/>
      <c r="AN338" s="2322"/>
      <c r="AO338" s="2322"/>
      <c r="AP338" s="2322"/>
      <c r="AQ338" s="2322"/>
      <c r="AR338" s="2322"/>
      <c r="AS338" s="2322"/>
      <c r="AT338" s="2322"/>
      <c r="AU338" s="2322"/>
      <c r="AV338" s="2322"/>
      <c r="AW338" s="2322"/>
      <c r="AX338" s="2322"/>
      <c r="AY338" s="2322"/>
      <c r="AZ338" s="2322"/>
      <c r="BA338" s="2322"/>
      <c r="BB338" s="2322"/>
      <c r="BC338" s="2322"/>
      <c r="BD338" s="2322"/>
      <c r="BE338" s="2322"/>
      <c r="BF338" s="2322"/>
      <c r="BG338" s="2322"/>
      <c r="BH338" s="2322"/>
      <c r="BI338" s="2322"/>
      <c r="BJ338" s="2322"/>
      <c r="BK338" s="2322"/>
      <c r="BL338" s="2322"/>
      <c r="BM338" s="2322"/>
      <c r="BN338" s="2322"/>
      <c r="BO338" s="2322"/>
      <c r="BP338" s="2322"/>
      <c r="BQ338" s="2322"/>
      <c r="BR338" s="2322"/>
      <c r="BS338" s="2322"/>
      <c r="BT338" s="2322"/>
      <c r="BU338" s="2322"/>
      <c r="BV338" s="2322"/>
      <c r="BW338" s="2322"/>
      <c r="BX338" s="2322"/>
      <c r="BY338" s="2322"/>
      <c r="BZ338" s="2322"/>
      <c r="CA338" s="2322"/>
      <c r="CB338" s="2322"/>
      <c r="CC338" s="2322"/>
      <c r="CD338" s="2322"/>
      <c r="CE338" s="2322"/>
      <c r="CF338" s="2322"/>
      <c r="CG338" s="2322"/>
      <c r="CH338" s="2322"/>
      <c r="CI338" s="2322"/>
      <c r="CJ338" s="2322"/>
      <c r="CK338" s="2322"/>
      <c r="CL338" s="2322"/>
      <c r="CM338" s="2322"/>
      <c r="CN338" s="2322"/>
      <c r="CO338" s="2322"/>
      <c r="CP338" s="2322"/>
      <c r="CQ338" s="2322"/>
      <c r="CR338" s="2322"/>
      <c r="CS338" s="2322"/>
      <c r="CT338" s="2322"/>
      <c r="CU338" s="2322"/>
      <c r="CV338" s="2322"/>
    </row>
    <row r="339" spans="1:100" ht="15.75" customHeight="1">
      <c r="A339" s="2328"/>
      <c r="B339" s="2322"/>
      <c r="C339" s="2322"/>
      <c r="D339" s="2322"/>
      <c r="E339" s="2322"/>
      <c r="F339" s="2322"/>
      <c r="G339" s="2322"/>
      <c r="H339" s="2322"/>
      <c r="I339" s="2322"/>
      <c r="J339" s="2322"/>
      <c r="K339" s="2322"/>
      <c r="L339" s="2322"/>
      <c r="M339" s="2322"/>
      <c r="N339" s="2322"/>
      <c r="O339" s="2322"/>
      <c r="P339" s="2322"/>
      <c r="Q339" s="2322"/>
      <c r="R339" s="2322"/>
      <c r="S339" s="2322"/>
      <c r="T339" s="2322"/>
      <c r="U339" s="2322"/>
      <c r="V339" s="2322"/>
      <c r="W339" s="2322"/>
      <c r="X339" s="2322"/>
      <c r="Y339" s="2322"/>
      <c r="Z339" s="2322"/>
      <c r="AA339" s="2322"/>
      <c r="AB339" s="2322"/>
      <c r="AC339" s="2322"/>
      <c r="AD339" s="2322"/>
      <c r="AE339" s="2322"/>
      <c r="AF339" s="2322"/>
      <c r="AG339" s="2322"/>
      <c r="AH339" s="2322"/>
      <c r="AI339" s="2322"/>
      <c r="AJ339" s="2322"/>
      <c r="AK339" s="2322"/>
      <c r="AL339" s="2322"/>
      <c r="AM339" s="2322"/>
      <c r="AN339" s="2322"/>
      <c r="AO339" s="2322"/>
      <c r="AP339" s="2322"/>
      <c r="AQ339" s="2322"/>
      <c r="AR339" s="2322"/>
      <c r="AS339" s="2322"/>
      <c r="AT339" s="2322"/>
      <c r="AU339" s="2322"/>
      <c r="AV339" s="2322"/>
      <c r="AW339" s="2322"/>
      <c r="AX339" s="2322"/>
      <c r="AY339" s="2322"/>
      <c r="AZ339" s="2322"/>
      <c r="BA339" s="2322"/>
      <c r="BB339" s="2322"/>
      <c r="BC339" s="2322"/>
      <c r="BD339" s="2322"/>
      <c r="BE339" s="2322"/>
      <c r="BF339" s="2322"/>
      <c r="BG339" s="2322"/>
      <c r="BH339" s="2322"/>
      <c r="BI339" s="2322"/>
      <c r="BJ339" s="2322"/>
      <c r="BK339" s="2322"/>
      <c r="BL339" s="2322"/>
      <c r="BM339" s="2322"/>
      <c r="BN339" s="2322"/>
      <c r="BO339" s="2322"/>
      <c r="BP339" s="2322"/>
      <c r="BQ339" s="2322"/>
      <c r="BR339" s="2322"/>
      <c r="BS339" s="2322"/>
      <c r="BT339" s="2322"/>
      <c r="BU339" s="2322"/>
      <c r="BV339" s="2322"/>
      <c r="BW339" s="2322"/>
      <c r="BX339" s="2322"/>
      <c r="BY339" s="2322"/>
      <c r="BZ339" s="2322"/>
      <c r="CA339" s="2322"/>
      <c r="CB339" s="2322"/>
      <c r="CC339" s="2322"/>
      <c r="CD339" s="2322"/>
      <c r="CE339" s="2322"/>
      <c r="CF339" s="2322"/>
      <c r="CG339" s="2322"/>
      <c r="CH339" s="2322"/>
      <c r="CI339" s="2322"/>
      <c r="CJ339" s="2322"/>
      <c r="CK339" s="2322"/>
      <c r="CL339" s="2322"/>
      <c r="CM339" s="2322"/>
      <c r="CN339" s="2322"/>
      <c r="CO339" s="2322"/>
      <c r="CP339" s="2322"/>
      <c r="CQ339" s="2322"/>
      <c r="CR339" s="2322"/>
      <c r="CS339" s="2322"/>
      <c r="CT339" s="2322"/>
      <c r="CU339" s="2322"/>
      <c r="CV339" s="2322"/>
    </row>
    <row r="340" spans="1:100" ht="15.75" customHeight="1">
      <c r="A340" s="2328"/>
      <c r="B340" s="2322"/>
      <c r="C340" s="2322"/>
      <c r="D340" s="2322"/>
      <c r="E340" s="2322"/>
      <c r="F340" s="2322"/>
      <c r="G340" s="2322"/>
      <c r="H340" s="2322"/>
      <c r="I340" s="2322"/>
      <c r="J340" s="2322"/>
      <c r="K340" s="2322"/>
      <c r="L340" s="2322"/>
      <c r="M340" s="2322"/>
      <c r="N340" s="2322"/>
      <c r="O340" s="2322"/>
      <c r="P340" s="2322"/>
      <c r="Q340" s="2322"/>
      <c r="R340" s="2322"/>
      <c r="S340" s="2322"/>
      <c r="T340" s="2322"/>
      <c r="U340" s="2322"/>
      <c r="V340" s="2322"/>
      <c r="W340" s="2322"/>
      <c r="X340" s="2322"/>
      <c r="Y340" s="2322"/>
      <c r="Z340" s="2322"/>
      <c r="AA340" s="2322"/>
      <c r="AB340" s="2322"/>
      <c r="AC340" s="2322"/>
      <c r="AD340" s="2322"/>
      <c r="AE340" s="2322"/>
      <c r="AF340" s="2322"/>
      <c r="AG340" s="2322"/>
      <c r="AH340" s="2322"/>
      <c r="AI340" s="2322"/>
      <c r="AJ340" s="2322"/>
      <c r="AK340" s="2322"/>
      <c r="AL340" s="2322"/>
      <c r="AM340" s="2322"/>
      <c r="AN340" s="2322"/>
      <c r="AO340" s="2322"/>
      <c r="AP340" s="2322"/>
      <c r="AQ340" s="2322"/>
      <c r="AR340" s="2322"/>
      <c r="AS340" s="2322"/>
      <c r="AT340" s="2322"/>
      <c r="AU340" s="2322"/>
      <c r="AV340" s="2322"/>
      <c r="AW340" s="2322"/>
      <c r="AX340" s="2322"/>
      <c r="AY340" s="2322"/>
      <c r="AZ340" s="2322"/>
      <c r="BA340" s="2322"/>
      <c r="BB340" s="2322"/>
      <c r="BC340" s="2322"/>
      <c r="BD340" s="2322"/>
      <c r="BE340" s="2322"/>
      <c r="BF340" s="2322"/>
      <c r="BG340" s="2322"/>
      <c r="BH340" s="2322"/>
      <c r="BI340" s="2322"/>
      <c r="BJ340" s="2322"/>
      <c r="BK340" s="2322"/>
      <c r="BL340" s="2322"/>
      <c r="BM340" s="2322"/>
      <c r="BN340" s="2322"/>
      <c r="BO340" s="2322"/>
      <c r="BP340" s="2322"/>
      <c r="BQ340" s="2322"/>
      <c r="BR340" s="2322"/>
      <c r="BS340" s="2322"/>
      <c r="BT340" s="2322"/>
      <c r="BU340" s="2322"/>
      <c r="BV340" s="2322"/>
      <c r="BW340" s="2322"/>
      <c r="BX340" s="2322"/>
      <c r="BY340" s="2322"/>
      <c r="BZ340" s="2322"/>
      <c r="CA340" s="2322"/>
      <c r="CB340" s="2322"/>
      <c r="CC340" s="2322"/>
      <c r="CD340" s="2322"/>
      <c r="CE340" s="2322"/>
      <c r="CF340" s="2322"/>
      <c r="CG340" s="2322"/>
      <c r="CH340" s="2322"/>
      <c r="CI340" s="2322"/>
      <c r="CJ340" s="2322"/>
      <c r="CK340" s="2322"/>
      <c r="CL340" s="2322"/>
      <c r="CM340" s="2322"/>
      <c r="CN340" s="2322"/>
      <c r="CO340" s="2322"/>
      <c r="CP340" s="2322"/>
      <c r="CQ340" s="2322"/>
      <c r="CR340" s="2322"/>
      <c r="CS340" s="2322"/>
      <c r="CT340" s="2322"/>
      <c r="CU340" s="2322"/>
      <c r="CV340" s="2322"/>
    </row>
    <row r="341" spans="1:100" ht="15.75" customHeight="1">
      <c r="A341" s="2328"/>
      <c r="B341" s="2322"/>
      <c r="C341" s="2322"/>
      <c r="D341" s="2322"/>
      <c r="E341" s="2322"/>
      <c r="F341" s="2322"/>
      <c r="G341" s="2322"/>
      <c r="H341" s="2322"/>
      <c r="I341" s="2322"/>
      <c r="J341" s="2322"/>
      <c r="K341" s="2322"/>
      <c r="L341" s="2322"/>
      <c r="M341" s="2322"/>
      <c r="N341" s="2322"/>
      <c r="O341" s="2322"/>
      <c r="P341" s="2322"/>
      <c r="Q341" s="2322"/>
      <c r="R341" s="2322"/>
      <c r="S341" s="2322"/>
      <c r="T341" s="2322"/>
      <c r="U341" s="2322"/>
      <c r="V341" s="2322"/>
      <c r="W341" s="2322"/>
      <c r="X341" s="2322"/>
      <c r="Y341" s="2322"/>
      <c r="Z341" s="2322"/>
      <c r="AA341" s="2322"/>
      <c r="AB341" s="2322"/>
      <c r="AC341" s="2322"/>
      <c r="AD341" s="2322"/>
      <c r="AE341" s="2322"/>
      <c r="AF341" s="2322"/>
      <c r="AG341" s="2322"/>
      <c r="AH341" s="2322"/>
      <c r="AI341" s="2322"/>
      <c r="AJ341" s="2322"/>
      <c r="AK341" s="2322"/>
      <c r="AL341" s="2322"/>
      <c r="AM341" s="2322"/>
      <c r="AN341" s="2322"/>
      <c r="AO341" s="2322"/>
      <c r="AP341" s="2322"/>
      <c r="AQ341" s="2322"/>
      <c r="AR341" s="2322"/>
      <c r="AS341" s="2322"/>
      <c r="AT341" s="2322"/>
      <c r="AU341" s="2322"/>
      <c r="AV341" s="2322"/>
      <c r="AW341" s="2322"/>
      <c r="AX341" s="2322"/>
      <c r="AY341" s="2322"/>
      <c r="AZ341" s="2322"/>
      <c r="BA341" s="2322"/>
      <c r="BB341" s="2322"/>
      <c r="BC341" s="2322"/>
      <c r="BD341" s="2322"/>
      <c r="BE341" s="2322"/>
      <c r="BF341" s="2322"/>
      <c r="BG341" s="2322"/>
      <c r="BH341" s="2322"/>
      <c r="BI341" s="2322"/>
      <c r="BJ341" s="2322"/>
      <c r="BK341" s="2322"/>
      <c r="BL341" s="2322"/>
      <c r="BM341" s="2322"/>
      <c r="BN341" s="2322"/>
      <c r="BO341" s="2322"/>
      <c r="BP341" s="2322"/>
      <c r="BQ341" s="2322"/>
      <c r="BR341" s="2322"/>
      <c r="BS341" s="2322"/>
      <c r="BT341" s="2322"/>
      <c r="BU341" s="2322"/>
      <c r="BV341" s="2322"/>
      <c r="BW341" s="2322"/>
      <c r="BX341" s="2322"/>
      <c r="BY341" s="2322"/>
      <c r="BZ341" s="2322"/>
      <c r="CA341" s="2322"/>
      <c r="CB341" s="2322"/>
      <c r="CC341" s="2322"/>
      <c r="CD341" s="2322"/>
      <c r="CE341" s="2322"/>
      <c r="CF341" s="2322"/>
      <c r="CG341" s="2322"/>
      <c r="CH341" s="2322"/>
      <c r="CI341" s="2322"/>
      <c r="CJ341" s="2322"/>
      <c r="CK341" s="2322"/>
      <c r="CL341" s="2322"/>
      <c r="CM341" s="2322"/>
      <c r="CN341" s="2322"/>
      <c r="CO341" s="2322"/>
      <c r="CP341" s="2322"/>
      <c r="CQ341" s="2322"/>
      <c r="CR341" s="2322"/>
      <c r="CS341" s="2322"/>
      <c r="CT341" s="2322"/>
      <c r="CU341" s="2322"/>
      <c r="CV341" s="2322"/>
    </row>
    <row r="342" spans="1:100" ht="15.75" customHeight="1">
      <c r="A342" s="2328"/>
      <c r="B342" s="2322"/>
      <c r="C342" s="2322"/>
      <c r="D342" s="2322"/>
      <c r="E342" s="2322"/>
      <c r="F342" s="2322"/>
      <c r="G342" s="2322"/>
      <c r="H342" s="2322"/>
      <c r="I342" s="2322"/>
      <c r="J342" s="2322"/>
      <c r="K342" s="2322"/>
      <c r="L342" s="2322"/>
      <c r="M342" s="2322"/>
      <c r="N342" s="2322"/>
      <c r="O342" s="2322"/>
      <c r="P342" s="2322"/>
      <c r="Q342" s="2322"/>
      <c r="R342" s="2322"/>
      <c r="S342" s="2322"/>
      <c r="T342" s="2322"/>
      <c r="U342" s="2322"/>
      <c r="V342" s="2322"/>
      <c r="W342" s="2322"/>
      <c r="X342" s="2322"/>
      <c r="Y342" s="2322"/>
      <c r="Z342" s="2322"/>
      <c r="AA342" s="2322"/>
      <c r="AB342" s="2322"/>
      <c r="AC342" s="2322"/>
      <c r="AD342" s="2322"/>
      <c r="AE342" s="2322"/>
      <c r="AF342" s="2322"/>
      <c r="AG342" s="2322"/>
      <c r="AH342" s="2322"/>
      <c r="AI342" s="2322"/>
      <c r="AJ342" s="2322"/>
      <c r="AK342" s="2322"/>
      <c r="AL342" s="2322"/>
      <c r="AM342" s="2322"/>
      <c r="AN342" s="2322"/>
      <c r="AO342" s="2322"/>
      <c r="AP342" s="2322"/>
      <c r="AQ342" s="2322"/>
      <c r="AR342" s="2322"/>
      <c r="AS342" s="2322"/>
      <c r="AT342" s="2322"/>
      <c r="AU342" s="2322"/>
      <c r="AV342" s="2322"/>
      <c r="AW342" s="2322"/>
      <c r="AX342" s="2322"/>
      <c r="AY342" s="2322"/>
      <c r="AZ342" s="2322"/>
      <c r="BA342" s="2322"/>
      <c r="BB342" s="2322"/>
      <c r="BC342" s="2322"/>
      <c r="BD342" s="2322"/>
      <c r="BE342" s="2322"/>
      <c r="BF342" s="2322"/>
      <c r="BG342" s="2322"/>
      <c r="BH342" s="2322"/>
      <c r="BI342" s="2322"/>
      <c r="BJ342" s="2322"/>
      <c r="BK342" s="2322"/>
      <c r="BL342" s="2322"/>
      <c r="BM342" s="2322"/>
      <c r="BN342" s="2322"/>
      <c r="BO342" s="2322"/>
      <c r="BP342" s="2322"/>
      <c r="BQ342" s="2322"/>
      <c r="BR342" s="2322"/>
      <c r="BS342" s="2322"/>
      <c r="BT342" s="2322"/>
      <c r="BU342" s="2322"/>
      <c r="BV342" s="2322"/>
      <c r="BW342" s="2322"/>
      <c r="BX342" s="2322"/>
      <c r="BY342" s="2322"/>
      <c r="BZ342" s="2322"/>
      <c r="CA342" s="2322"/>
      <c r="CB342" s="2322"/>
      <c r="CC342" s="2322"/>
      <c r="CD342" s="2322"/>
      <c r="CE342" s="2322"/>
      <c r="CF342" s="2322"/>
      <c r="CG342" s="2322"/>
      <c r="CH342" s="2322"/>
      <c r="CI342" s="2322"/>
      <c r="CJ342" s="2322"/>
      <c r="CK342" s="2322"/>
      <c r="CL342" s="2322"/>
      <c r="CM342" s="2322"/>
      <c r="CN342" s="2322"/>
      <c r="CO342" s="2322"/>
      <c r="CP342" s="2322"/>
      <c r="CQ342" s="2322"/>
      <c r="CR342" s="2322"/>
      <c r="CS342" s="2322"/>
      <c r="CT342" s="2322"/>
      <c r="CU342" s="2322"/>
      <c r="CV342" s="2322"/>
    </row>
    <row r="343" spans="1:100" ht="15.75" customHeight="1">
      <c r="A343" s="2328"/>
      <c r="B343" s="2322"/>
      <c r="C343" s="2322"/>
      <c r="D343" s="2322"/>
      <c r="E343" s="2322"/>
      <c r="F343" s="2322"/>
      <c r="G343" s="2322"/>
      <c r="H343" s="2322"/>
      <c r="I343" s="2322"/>
      <c r="J343" s="2322"/>
      <c r="K343" s="2322"/>
      <c r="L343" s="2322"/>
      <c r="M343" s="2322"/>
      <c r="N343" s="2322"/>
      <c r="O343" s="2322"/>
      <c r="P343" s="2322"/>
      <c r="Q343" s="2322"/>
      <c r="R343" s="2322"/>
      <c r="S343" s="2322"/>
      <c r="T343" s="2322"/>
      <c r="U343" s="2322"/>
      <c r="V343" s="2322"/>
      <c r="W343" s="2322"/>
      <c r="X343" s="2322"/>
      <c r="Y343" s="2322"/>
      <c r="Z343" s="2322"/>
      <c r="AA343" s="2322"/>
      <c r="AB343" s="2322"/>
      <c r="AC343" s="2322"/>
      <c r="AD343" s="2322"/>
      <c r="AE343" s="2322"/>
      <c r="AF343" s="2322"/>
      <c r="AG343" s="2322"/>
      <c r="AH343" s="2322"/>
      <c r="AI343" s="2322"/>
      <c r="AJ343" s="2322"/>
      <c r="AK343" s="2322"/>
      <c r="AL343" s="2322"/>
      <c r="AM343" s="2322"/>
      <c r="AN343" s="2322"/>
      <c r="AO343" s="2322"/>
      <c r="AP343" s="2322"/>
      <c r="AQ343" s="2322"/>
      <c r="AR343" s="2322"/>
      <c r="AS343" s="2322"/>
      <c r="AT343" s="2322"/>
      <c r="AU343" s="2322"/>
      <c r="AV343" s="2322"/>
      <c r="AW343" s="2322"/>
      <c r="AX343" s="2322"/>
      <c r="AY343" s="2322"/>
      <c r="AZ343" s="2322"/>
      <c r="BA343" s="2322"/>
      <c r="BB343" s="2322"/>
      <c r="BC343" s="2322"/>
      <c r="BD343" s="2322"/>
      <c r="BE343" s="2322"/>
      <c r="BF343" s="2322"/>
      <c r="BG343" s="2322"/>
      <c r="BH343" s="2322"/>
      <c r="BI343" s="2322"/>
      <c r="BJ343" s="2322"/>
      <c r="BK343" s="2322"/>
      <c r="BL343" s="2322"/>
      <c r="BM343" s="2322"/>
      <c r="BN343" s="2322"/>
      <c r="BO343" s="2322"/>
      <c r="BP343" s="2322"/>
      <c r="BQ343" s="2322"/>
      <c r="BR343" s="2322"/>
      <c r="BS343" s="2322"/>
      <c r="BT343" s="2322"/>
      <c r="BU343" s="2322"/>
      <c r="BV343" s="2322"/>
      <c r="BW343" s="2322"/>
      <c r="BX343" s="2322"/>
      <c r="BY343" s="2322"/>
      <c r="BZ343" s="2322"/>
      <c r="CA343" s="2322"/>
      <c r="CB343" s="2322"/>
      <c r="CC343" s="2322"/>
      <c r="CD343" s="2322"/>
      <c r="CE343" s="2322"/>
      <c r="CF343" s="2322"/>
      <c r="CG343" s="2322"/>
      <c r="CH343" s="2322"/>
      <c r="CI343" s="2322"/>
      <c r="CJ343" s="2322"/>
      <c r="CK343" s="2322"/>
      <c r="CL343" s="2322"/>
      <c r="CM343" s="2322"/>
      <c r="CN343" s="2322"/>
      <c r="CO343" s="2322"/>
      <c r="CP343" s="2322"/>
      <c r="CQ343" s="2322"/>
      <c r="CR343" s="2322"/>
      <c r="CS343" s="2322"/>
      <c r="CT343" s="2322"/>
      <c r="CU343" s="2322"/>
      <c r="CV343" s="2322"/>
    </row>
    <row r="344" spans="1:100" ht="15.75" customHeight="1">
      <c r="A344" s="2328"/>
      <c r="B344" s="2322"/>
      <c r="C344" s="2322"/>
      <c r="D344" s="2322"/>
      <c r="E344" s="2322"/>
      <c r="F344" s="2322"/>
      <c r="G344" s="2322"/>
      <c r="H344" s="2322"/>
      <c r="I344" s="2322"/>
      <c r="J344" s="2322"/>
      <c r="K344" s="2322"/>
      <c r="L344" s="2322"/>
      <c r="M344" s="2322"/>
      <c r="N344" s="2322"/>
      <c r="O344" s="2322"/>
      <c r="P344" s="2322"/>
      <c r="Q344" s="2322"/>
      <c r="R344" s="2322"/>
      <c r="S344" s="2322"/>
      <c r="T344" s="2322"/>
      <c r="U344" s="2322"/>
      <c r="V344" s="2322"/>
      <c r="W344" s="2322"/>
      <c r="X344" s="2322"/>
      <c r="Y344" s="2322"/>
      <c r="Z344" s="2322"/>
      <c r="AA344" s="2322"/>
      <c r="AB344" s="2322"/>
      <c r="AC344" s="2322"/>
      <c r="AD344" s="2322"/>
      <c r="AE344" s="2322"/>
      <c r="AF344" s="2322"/>
      <c r="AG344" s="2322"/>
      <c r="AH344" s="2322"/>
      <c r="AI344" s="2322"/>
      <c r="AJ344" s="2322"/>
      <c r="AK344" s="2322"/>
      <c r="AL344" s="2322"/>
      <c r="AM344" s="2322"/>
      <c r="AN344" s="2322"/>
      <c r="AO344" s="2322"/>
      <c r="AP344" s="2322"/>
      <c r="AQ344" s="2322"/>
      <c r="AR344" s="2322"/>
      <c r="AS344" s="2322"/>
      <c r="AT344" s="2322"/>
      <c r="AU344" s="2322"/>
      <c r="AV344" s="2322"/>
      <c r="AW344" s="2322"/>
      <c r="AX344" s="2322"/>
      <c r="AY344" s="2322"/>
      <c r="AZ344" s="2322"/>
      <c r="BA344" s="2322"/>
      <c r="BB344" s="2322"/>
      <c r="BC344" s="2322"/>
      <c r="BD344" s="2322"/>
      <c r="BE344" s="2322"/>
      <c r="BF344" s="2322"/>
      <c r="BG344" s="2322"/>
      <c r="BH344" s="2322"/>
      <c r="BI344" s="2322"/>
      <c r="BJ344" s="2322"/>
      <c r="BK344" s="2322"/>
      <c r="BL344" s="2322"/>
      <c r="BM344" s="2322"/>
      <c r="BN344" s="2322"/>
      <c r="BO344" s="2322"/>
      <c r="BP344" s="2322"/>
      <c r="BQ344" s="2322"/>
      <c r="BR344" s="2322"/>
      <c r="BS344" s="2322"/>
      <c r="BT344" s="2322"/>
      <c r="BU344" s="2322"/>
      <c r="BV344" s="2322"/>
      <c r="BW344" s="2322"/>
      <c r="BX344" s="2322"/>
      <c r="BY344" s="2322"/>
      <c r="BZ344" s="2322"/>
      <c r="CA344" s="2322"/>
      <c r="CB344" s="2322"/>
      <c r="CC344" s="2322"/>
      <c r="CD344" s="2322"/>
      <c r="CE344" s="2322"/>
      <c r="CF344" s="2322"/>
      <c r="CG344" s="2322"/>
      <c r="CH344" s="2322"/>
      <c r="CI344" s="2322"/>
      <c r="CJ344" s="2322"/>
      <c r="CK344" s="2322"/>
      <c r="CL344" s="2322"/>
      <c r="CM344" s="2322"/>
      <c r="CN344" s="2322"/>
      <c r="CO344" s="2322"/>
      <c r="CP344" s="2322"/>
      <c r="CQ344" s="2322"/>
      <c r="CR344" s="2322"/>
      <c r="CS344" s="2322"/>
      <c r="CT344" s="2322"/>
      <c r="CU344" s="2322"/>
      <c r="CV344" s="2322"/>
    </row>
    <row r="345" spans="1:100" ht="15.75" customHeight="1">
      <c r="A345" s="2328"/>
      <c r="B345" s="2322"/>
      <c r="C345" s="2322"/>
      <c r="D345" s="2322"/>
      <c r="E345" s="2322"/>
      <c r="F345" s="2322"/>
      <c r="G345" s="2322"/>
      <c r="H345" s="2322"/>
      <c r="I345" s="2322"/>
      <c r="J345" s="2322"/>
      <c r="K345" s="2322"/>
      <c r="L345" s="2322"/>
      <c r="M345" s="2322"/>
      <c r="N345" s="2322"/>
      <c r="O345" s="2322"/>
      <c r="P345" s="2322"/>
      <c r="Q345" s="2322"/>
      <c r="R345" s="2322"/>
      <c r="S345" s="2322"/>
      <c r="T345" s="2322"/>
      <c r="U345" s="2322"/>
      <c r="V345" s="2322"/>
      <c r="W345" s="2322"/>
      <c r="X345" s="2322"/>
      <c r="Y345" s="2322"/>
      <c r="Z345" s="2322"/>
      <c r="AA345" s="2322"/>
      <c r="AB345" s="2322"/>
      <c r="AC345" s="2322"/>
      <c r="AD345" s="2322"/>
      <c r="AE345" s="2322"/>
      <c r="AF345" s="2322"/>
      <c r="AG345" s="2322"/>
      <c r="AH345" s="2322"/>
      <c r="AI345" s="2322"/>
      <c r="AJ345" s="2322"/>
      <c r="AK345" s="2322"/>
      <c r="AL345" s="2322"/>
      <c r="AM345" s="2322"/>
      <c r="AN345" s="2322"/>
      <c r="AO345" s="2322"/>
      <c r="AP345" s="2322"/>
      <c r="AQ345" s="2322"/>
      <c r="AR345" s="2322"/>
      <c r="AS345" s="2322"/>
      <c r="AT345" s="2322"/>
      <c r="AU345" s="2322"/>
      <c r="AV345" s="2322"/>
      <c r="AW345" s="2322"/>
      <c r="AX345" s="2322"/>
      <c r="AY345" s="2322"/>
      <c r="AZ345" s="2322"/>
      <c r="BA345" s="2322"/>
      <c r="BB345" s="2322"/>
      <c r="BC345" s="2322"/>
      <c r="BD345" s="2322"/>
      <c r="BE345" s="2322"/>
      <c r="BF345" s="2322"/>
      <c r="BG345" s="2322"/>
      <c r="BH345" s="2322"/>
      <c r="BI345" s="2322"/>
      <c r="BJ345" s="2322"/>
      <c r="BK345" s="2322"/>
      <c r="BL345" s="2322"/>
      <c r="BM345" s="2322"/>
      <c r="BN345" s="2322"/>
      <c r="BO345" s="2322"/>
      <c r="BP345" s="2322"/>
      <c r="BQ345" s="2322"/>
      <c r="BR345" s="2322"/>
      <c r="BS345" s="2322"/>
      <c r="BT345" s="2322"/>
      <c r="BU345" s="2322"/>
      <c r="BV345" s="2322"/>
      <c r="BW345" s="2322"/>
      <c r="BX345" s="2322"/>
      <c r="BY345" s="2322"/>
      <c r="BZ345" s="2322"/>
      <c r="CA345" s="2322"/>
      <c r="CB345" s="2322"/>
      <c r="CC345" s="2322"/>
      <c r="CD345" s="2322"/>
      <c r="CE345" s="2322"/>
      <c r="CF345" s="2322"/>
      <c r="CG345" s="2322"/>
      <c r="CH345" s="2322"/>
      <c r="CI345" s="2322"/>
      <c r="CJ345" s="2322"/>
      <c r="CK345" s="2322"/>
      <c r="CL345" s="2322"/>
      <c r="CM345" s="2322"/>
      <c r="CN345" s="2322"/>
      <c r="CO345" s="2322"/>
      <c r="CP345" s="2322"/>
      <c r="CQ345" s="2322"/>
      <c r="CR345" s="2322"/>
      <c r="CS345" s="2322"/>
      <c r="CT345" s="2322"/>
      <c r="CU345" s="2322"/>
      <c r="CV345" s="2322"/>
    </row>
    <row r="346" spans="1:100" ht="15.75" customHeight="1">
      <c r="A346" s="2328"/>
      <c r="B346" s="2322"/>
      <c r="C346" s="2322"/>
      <c r="D346" s="2322"/>
      <c r="E346" s="2322"/>
      <c r="F346" s="2322"/>
      <c r="G346" s="2322"/>
      <c r="H346" s="2322"/>
      <c r="I346" s="2322"/>
      <c r="J346" s="2322"/>
      <c r="K346" s="2322"/>
      <c r="L346" s="2322"/>
      <c r="M346" s="2322"/>
      <c r="N346" s="2322"/>
      <c r="O346" s="2322"/>
      <c r="P346" s="2322"/>
      <c r="Q346" s="2322"/>
      <c r="R346" s="2322"/>
      <c r="S346" s="2322"/>
      <c r="T346" s="2322"/>
      <c r="U346" s="2322"/>
      <c r="V346" s="2322"/>
      <c r="W346" s="2322"/>
      <c r="X346" s="2322"/>
      <c r="Y346" s="2322"/>
      <c r="Z346" s="2322"/>
      <c r="AA346" s="2322"/>
      <c r="AB346" s="2322"/>
      <c r="AC346" s="2322"/>
      <c r="AD346" s="2322"/>
      <c r="AE346" s="2322"/>
      <c r="AF346" s="2322"/>
      <c r="AG346" s="2322"/>
      <c r="AH346" s="2322"/>
      <c r="AI346" s="2322"/>
      <c r="AJ346" s="2322"/>
      <c r="AK346" s="2322"/>
      <c r="AL346" s="2322"/>
      <c r="AM346" s="2322"/>
      <c r="AN346" s="2322"/>
      <c r="AO346" s="2322"/>
      <c r="AP346" s="2322"/>
      <c r="AQ346" s="2322"/>
      <c r="AR346" s="2322"/>
      <c r="AS346" s="2322"/>
      <c r="AT346" s="2322"/>
      <c r="AU346" s="2322"/>
      <c r="AV346" s="2322"/>
      <c r="AW346" s="2322"/>
      <c r="AX346" s="2322"/>
      <c r="AY346" s="2322"/>
      <c r="AZ346" s="2322"/>
      <c r="BA346" s="2322"/>
      <c r="BB346" s="2322"/>
      <c r="BC346" s="2322"/>
      <c r="BD346" s="2322"/>
      <c r="BE346" s="2322"/>
      <c r="BF346" s="2322"/>
      <c r="BG346" s="2322"/>
      <c r="BH346" s="2322"/>
      <c r="BI346" s="2322"/>
      <c r="BJ346" s="2322"/>
      <c r="BK346" s="2322"/>
      <c r="BL346" s="2322"/>
      <c r="BM346" s="2322"/>
      <c r="BN346" s="2322"/>
      <c r="BO346" s="2322"/>
      <c r="BP346" s="2322"/>
      <c r="BQ346" s="2322"/>
      <c r="BR346" s="2322"/>
      <c r="BS346" s="2322"/>
      <c r="BT346" s="2322"/>
      <c r="BU346" s="2322"/>
      <c r="BV346" s="2322"/>
      <c r="BW346" s="2322"/>
      <c r="BX346" s="2322"/>
      <c r="BY346" s="2322"/>
      <c r="BZ346" s="2322"/>
      <c r="CA346" s="2322"/>
      <c r="CB346" s="2322"/>
      <c r="CC346" s="2322"/>
      <c r="CD346" s="2322"/>
      <c r="CE346" s="2322"/>
      <c r="CF346" s="2322"/>
      <c r="CG346" s="2322"/>
      <c r="CH346" s="2322"/>
      <c r="CI346" s="2322"/>
      <c r="CJ346" s="2322"/>
      <c r="CK346" s="2322"/>
      <c r="CL346" s="2322"/>
      <c r="CM346" s="2322"/>
      <c r="CN346" s="2322"/>
      <c r="CO346" s="2322"/>
      <c r="CP346" s="2322"/>
      <c r="CQ346" s="2322"/>
      <c r="CR346" s="2322"/>
      <c r="CS346" s="2322"/>
      <c r="CT346" s="2322"/>
      <c r="CU346" s="2322"/>
      <c r="CV346" s="2322"/>
    </row>
    <row r="347" spans="1:100" ht="15.75" customHeight="1">
      <c r="A347" s="2328"/>
      <c r="B347" s="2322"/>
      <c r="C347" s="2322"/>
      <c r="D347" s="2322"/>
      <c r="E347" s="2322"/>
      <c r="F347" s="2322"/>
      <c r="G347" s="2322"/>
      <c r="H347" s="2322"/>
      <c r="I347" s="2322"/>
      <c r="J347" s="2322"/>
      <c r="K347" s="2322"/>
      <c r="L347" s="2322"/>
      <c r="M347" s="2322"/>
      <c r="N347" s="2322"/>
      <c r="O347" s="2322"/>
      <c r="P347" s="2322"/>
      <c r="Q347" s="2322"/>
      <c r="R347" s="2322"/>
      <c r="S347" s="2322"/>
      <c r="T347" s="2322"/>
      <c r="U347" s="2322"/>
      <c r="V347" s="2322"/>
      <c r="W347" s="2322"/>
      <c r="X347" s="2322"/>
      <c r="Y347" s="2322"/>
      <c r="Z347" s="2322"/>
      <c r="AA347" s="2322"/>
      <c r="AB347" s="2322"/>
      <c r="AC347" s="2322"/>
      <c r="AD347" s="2322"/>
      <c r="AE347" s="2322"/>
      <c r="AF347" s="2322"/>
      <c r="AG347" s="2322"/>
      <c r="AH347" s="2322"/>
      <c r="AI347" s="2322"/>
      <c r="AJ347" s="2322"/>
      <c r="AK347" s="2322"/>
      <c r="AL347" s="2322"/>
      <c r="AM347" s="2322"/>
      <c r="AN347" s="2322"/>
      <c r="AO347" s="2322"/>
      <c r="AP347" s="2322"/>
      <c r="AQ347" s="2322"/>
      <c r="AR347" s="2322"/>
      <c r="AS347" s="2322"/>
      <c r="AT347" s="2322"/>
      <c r="AU347" s="2322"/>
      <c r="AV347" s="2322"/>
      <c r="AW347" s="2322"/>
      <c r="AX347" s="2322"/>
      <c r="AY347" s="2322"/>
      <c r="AZ347" s="2322"/>
      <c r="BA347" s="2322"/>
      <c r="BB347" s="2322"/>
      <c r="BC347" s="2322"/>
      <c r="BD347" s="2322"/>
      <c r="BE347" s="2322"/>
      <c r="BF347" s="2322"/>
      <c r="BG347" s="2322"/>
      <c r="BH347" s="2322"/>
      <c r="BI347" s="2322"/>
      <c r="BJ347" s="2322"/>
      <c r="BK347" s="2322"/>
      <c r="BL347" s="2322"/>
      <c r="BM347" s="2322"/>
      <c r="BN347" s="2322"/>
      <c r="BO347" s="2322"/>
      <c r="BP347" s="2322"/>
      <c r="BQ347" s="2322"/>
      <c r="BR347" s="2322"/>
      <c r="BS347" s="2322"/>
      <c r="BT347" s="2322"/>
      <c r="BU347" s="2322"/>
      <c r="BV347" s="2322"/>
      <c r="BW347" s="2322"/>
      <c r="BX347" s="2322"/>
      <c r="BY347" s="2322"/>
      <c r="BZ347" s="2322"/>
      <c r="CA347" s="2322"/>
      <c r="CB347" s="2322"/>
      <c r="CC347" s="2322"/>
      <c r="CD347" s="2322"/>
      <c r="CE347" s="2322"/>
      <c r="CF347" s="2322"/>
      <c r="CG347" s="2322"/>
      <c r="CH347" s="2322"/>
      <c r="CI347" s="2322"/>
      <c r="CJ347" s="2322"/>
      <c r="CK347" s="2322"/>
      <c r="CL347" s="2322"/>
      <c r="CM347" s="2322"/>
      <c r="CN347" s="2322"/>
      <c r="CO347" s="2322"/>
      <c r="CP347" s="2322"/>
      <c r="CQ347" s="2322"/>
      <c r="CR347" s="2322"/>
      <c r="CS347" s="2322"/>
      <c r="CT347" s="2322"/>
      <c r="CU347" s="2322"/>
      <c r="CV347" s="2322"/>
    </row>
    <row r="348" spans="1:100" ht="15.75" customHeight="1">
      <c r="A348" s="2328"/>
      <c r="B348" s="2322"/>
      <c r="C348" s="2322"/>
      <c r="D348" s="2322"/>
      <c r="E348" s="2322"/>
      <c r="F348" s="2322"/>
      <c r="G348" s="2322"/>
      <c r="H348" s="2322"/>
      <c r="I348" s="2322"/>
      <c r="J348" s="2322"/>
      <c r="K348" s="2322"/>
      <c r="L348" s="2322"/>
      <c r="M348" s="2322"/>
      <c r="N348" s="2322"/>
      <c r="O348" s="2322"/>
      <c r="P348" s="2322"/>
      <c r="Q348" s="2322"/>
      <c r="R348" s="2322"/>
      <c r="S348" s="2322"/>
      <c r="T348" s="2322"/>
      <c r="U348" s="2322"/>
      <c r="V348" s="2322"/>
      <c r="W348" s="2322"/>
      <c r="X348" s="2322"/>
      <c r="Y348" s="2322"/>
      <c r="Z348" s="2322"/>
      <c r="AA348" s="2322"/>
      <c r="AB348" s="2322"/>
      <c r="AC348" s="2322"/>
      <c r="AD348" s="2322"/>
      <c r="AE348" s="2322"/>
      <c r="AF348" s="2322"/>
      <c r="AG348" s="2322"/>
      <c r="AH348" s="2322"/>
      <c r="AI348" s="2322"/>
      <c r="AJ348" s="2322"/>
      <c r="AK348" s="2322"/>
      <c r="AL348" s="2322"/>
      <c r="AM348" s="2322"/>
      <c r="AN348" s="2322"/>
      <c r="AO348" s="2322"/>
      <c r="AP348" s="2322"/>
      <c r="AQ348" s="2322"/>
      <c r="AR348" s="2322"/>
      <c r="AS348" s="2322"/>
      <c r="AT348" s="2322"/>
      <c r="AU348" s="2322"/>
      <c r="AV348" s="2322"/>
      <c r="AW348" s="2322"/>
      <c r="AX348" s="2322"/>
      <c r="AY348" s="2322"/>
      <c r="AZ348" s="2322"/>
      <c r="BA348" s="2322"/>
      <c r="BB348" s="2322"/>
      <c r="BC348" s="2322"/>
      <c r="BD348" s="2322"/>
      <c r="BE348" s="2322"/>
      <c r="BF348" s="2322"/>
      <c r="BG348" s="2322"/>
      <c r="BH348" s="2322"/>
      <c r="BI348" s="2322"/>
      <c r="BJ348" s="2322"/>
      <c r="BK348" s="2322"/>
      <c r="BL348" s="2322"/>
      <c r="BM348" s="2322"/>
      <c r="BN348" s="2322"/>
      <c r="BO348" s="2322"/>
      <c r="BP348" s="2322"/>
      <c r="BQ348" s="2322"/>
      <c r="BR348" s="2322"/>
      <c r="BS348" s="2322"/>
      <c r="BT348" s="2322"/>
      <c r="BU348" s="2322"/>
      <c r="BV348" s="2322"/>
      <c r="BW348" s="2322"/>
      <c r="BX348" s="2322"/>
      <c r="BY348" s="2322"/>
      <c r="BZ348" s="2322"/>
      <c r="CA348" s="2322"/>
      <c r="CB348" s="2322"/>
      <c r="CC348" s="2322"/>
      <c r="CD348" s="2322"/>
      <c r="CE348" s="2322"/>
      <c r="CF348" s="2322"/>
      <c r="CG348" s="2322"/>
      <c r="CH348" s="2322"/>
      <c r="CI348" s="2322"/>
      <c r="CJ348" s="2322"/>
      <c r="CK348" s="2322"/>
      <c r="CL348" s="2322"/>
      <c r="CM348" s="2322"/>
      <c r="CN348" s="2322"/>
      <c r="CO348" s="2322"/>
      <c r="CP348" s="2322"/>
      <c r="CQ348" s="2322"/>
      <c r="CR348" s="2322"/>
      <c r="CS348" s="2322"/>
      <c r="CT348" s="2322"/>
      <c r="CU348" s="2322"/>
      <c r="CV348" s="2322"/>
    </row>
    <row r="349" spans="1:100" ht="15.75" customHeight="1">
      <c r="A349" s="2328"/>
      <c r="B349" s="2322"/>
      <c r="C349" s="2322"/>
      <c r="D349" s="2322"/>
      <c r="E349" s="2322"/>
      <c r="F349" s="2322"/>
      <c r="G349" s="2322"/>
      <c r="H349" s="2322"/>
      <c r="I349" s="2322"/>
      <c r="J349" s="2322"/>
      <c r="K349" s="2322"/>
      <c r="L349" s="2322"/>
      <c r="M349" s="2322"/>
      <c r="N349" s="2322"/>
      <c r="O349" s="2322"/>
      <c r="P349" s="2322"/>
      <c r="Q349" s="2322"/>
      <c r="R349" s="2322"/>
      <c r="S349" s="2322"/>
      <c r="T349" s="2322"/>
      <c r="U349" s="2322"/>
      <c r="V349" s="2322"/>
      <c r="W349" s="2322"/>
      <c r="X349" s="2322"/>
      <c r="Y349" s="2322"/>
      <c r="Z349" s="2322"/>
      <c r="AA349" s="2322"/>
      <c r="AB349" s="2322"/>
      <c r="AC349" s="2322"/>
      <c r="AD349" s="2322"/>
      <c r="AE349" s="2322"/>
      <c r="AF349" s="2322"/>
      <c r="AG349" s="2322"/>
      <c r="AH349" s="2322"/>
      <c r="AI349" s="2322"/>
      <c r="AJ349" s="2322"/>
      <c r="AK349" s="2322"/>
      <c r="AL349" s="2322"/>
      <c r="AM349" s="2322"/>
      <c r="AN349" s="2322"/>
      <c r="AO349" s="2322"/>
      <c r="AP349" s="2322"/>
      <c r="AQ349" s="2322"/>
      <c r="AR349" s="2322"/>
      <c r="AS349" s="2322"/>
      <c r="AT349" s="2322"/>
      <c r="AU349" s="2322"/>
      <c r="AV349" s="2322"/>
      <c r="AW349" s="2322"/>
      <c r="AX349" s="2322"/>
      <c r="AY349" s="2322"/>
      <c r="AZ349" s="2322"/>
      <c r="BA349" s="2322"/>
      <c r="BB349" s="2322"/>
      <c r="BC349" s="2322"/>
      <c r="BD349" s="2322"/>
      <c r="BE349" s="2322"/>
      <c r="BF349" s="2322"/>
      <c r="BG349" s="2322"/>
      <c r="BH349" s="2322"/>
      <c r="BI349" s="2322"/>
      <c r="BJ349" s="2322"/>
      <c r="BK349" s="2322"/>
      <c r="BL349" s="2322"/>
      <c r="BM349" s="2322"/>
      <c r="BN349" s="2322"/>
      <c r="BO349" s="2322"/>
      <c r="BP349" s="2322"/>
      <c r="BQ349" s="2322"/>
      <c r="BR349" s="2322"/>
      <c r="BS349" s="2322"/>
      <c r="BT349" s="2322"/>
      <c r="BU349" s="2322"/>
      <c r="BV349" s="2322"/>
      <c r="BW349" s="2322"/>
      <c r="BX349" s="2322"/>
      <c r="BY349" s="2322"/>
      <c r="BZ349" s="2322"/>
      <c r="CA349" s="2322"/>
      <c r="CB349" s="2322"/>
      <c r="CC349" s="2322"/>
      <c r="CD349" s="2322"/>
      <c r="CE349" s="2322"/>
      <c r="CF349" s="2322"/>
      <c r="CG349" s="2322"/>
      <c r="CH349" s="2322"/>
      <c r="CI349" s="2322"/>
      <c r="CJ349" s="2322"/>
      <c r="CK349" s="2322"/>
      <c r="CL349" s="2322"/>
      <c r="CM349" s="2322"/>
      <c r="CN349" s="2322"/>
      <c r="CO349" s="2322"/>
      <c r="CP349" s="2322"/>
      <c r="CQ349" s="2322"/>
      <c r="CR349" s="2322"/>
      <c r="CS349" s="2322"/>
      <c r="CT349" s="2322"/>
      <c r="CU349" s="2322"/>
      <c r="CV349" s="2322"/>
    </row>
    <row r="350" spans="1:100" ht="15.75" customHeight="1">
      <c r="A350" s="2328"/>
      <c r="B350" s="2322"/>
      <c r="C350" s="2322"/>
      <c r="D350" s="2322"/>
      <c r="E350" s="2322"/>
      <c r="F350" s="2322"/>
      <c r="G350" s="2322"/>
      <c r="H350" s="2322"/>
      <c r="I350" s="2322"/>
      <c r="J350" s="2322"/>
      <c r="K350" s="2322"/>
      <c r="L350" s="2322"/>
      <c r="M350" s="2322"/>
      <c r="N350" s="2322"/>
      <c r="O350" s="2322"/>
      <c r="P350" s="2322"/>
      <c r="Q350" s="2322"/>
      <c r="R350" s="2322"/>
      <c r="S350" s="2322"/>
      <c r="T350" s="2322"/>
      <c r="U350" s="2322"/>
      <c r="V350" s="2322"/>
      <c r="W350" s="2322"/>
      <c r="X350" s="2322"/>
      <c r="Y350" s="2322"/>
      <c r="Z350" s="2322"/>
      <c r="AA350" s="2322"/>
      <c r="AB350" s="2322"/>
      <c r="AC350" s="2322"/>
      <c r="AD350" s="2322"/>
      <c r="AE350" s="2322"/>
      <c r="AF350" s="2322"/>
      <c r="AG350" s="2322"/>
      <c r="AH350" s="2322"/>
      <c r="AI350" s="2322"/>
      <c r="AJ350" s="2322"/>
      <c r="AK350" s="2322"/>
      <c r="AL350" s="2322"/>
      <c r="AM350" s="2322"/>
      <c r="AN350" s="2322"/>
      <c r="AO350" s="2322"/>
      <c r="AP350" s="2322"/>
      <c r="AQ350" s="2322"/>
      <c r="AR350" s="2322"/>
      <c r="AS350" s="2322"/>
      <c r="AT350" s="2322"/>
      <c r="AU350" s="2322"/>
      <c r="AV350" s="2322"/>
      <c r="AW350" s="2322"/>
      <c r="AX350" s="2322"/>
      <c r="AY350" s="2322"/>
      <c r="AZ350" s="2322"/>
      <c r="BA350" s="2322"/>
      <c r="BB350" s="2322"/>
      <c r="BC350" s="2322"/>
      <c r="BD350" s="2322"/>
      <c r="BE350" s="2322"/>
      <c r="BF350" s="2322"/>
      <c r="BG350" s="2322"/>
      <c r="BH350" s="2322"/>
      <c r="BI350" s="2322"/>
      <c r="BJ350" s="2322"/>
      <c r="BK350" s="2322"/>
      <c r="BL350" s="2322"/>
      <c r="BM350" s="2322"/>
      <c r="BN350" s="2322"/>
      <c r="BO350" s="2322"/>
      <c r="BP350" s="2322"/>
      <c r="BQ350" s="2322"/>
      <c r="BR350" s="2322"/>
      <c r="BS350" s="2322"/>
      <c r="BT350" s="2322"/>
      <c r="BU350" s="2322"/>
      <c r="BV350" s="2322"/>
      <c r="BW350" s="2322"/>
      <c r="BX350" s="2322"/>
      <c r="BY350" s="2322"/>
      <c r="BZ350" s="2322"/>
      <c r="CA350" s="2322"/>
      <c r="CB350" s="2322"/>
      <c r="CC350" s="2322"/>
      <c r="CD350" s="2322"/>
      <c r="CE350" s="2322"/>
      <c r="CF350" s="2322"/>
      <c r="CG350" s="2322"/>
      <c r="CH350" s="2322"/>
      <c r="CI350" s="2322"/>
      <c r="CJ350" s="2322"/>
      <c r="CK350" s="2322"/>
      <c r="CL350" s="2322"/>
      <c r="CM350" s="2322"/>
      <c r="CN350" s="2322"/>
      <c r="CO350" s="2322"/>
      <c r="CP350" s="2322"/>
      <c r="CQ350" s="2322"/>
      <c r="CR350" s="2322"/>
      <c r="CS350" s="2322"/>
      <c r="CT350" s="2322"/>
      <c r="CU350" s="2322"/>
      <c r="CV350" s="2322"/>
    </row>
    <row r="351" spans="1:100" ht="15.75" customHeight="1">
      <c r="A351" s="2328"/>
      <c r="B351" s="2322"/>
      <c r="C351" s="2322"/>
      <c r="D351" s="2322"/>
      <c r="E351" s="2322"/>
      <c r="F351" s="2322"/>
      <c r="G351" s="2322"/>
      <c r="H351" s="2322"/>
      <c r="I351" s="2322"/>
      <c r="J351" s="2322"/>
      <c r="K351" s="2322"/>
      <c r="L351" s="2322"/>
      <c r="M351" s="2322"/>
      <c r="N351" s="2322"/>
      <c r="O351" s="2322"/>
      <c r="P351" s="2322"/>
      <c r="Q351" s="2322"/>
      <c r="R351" s="2322"/>
      <c r="S351" s="2322"/>
      <c r="T351" s="2322"/>
      <c r="U351" s="2322"/>
      <c r="V351" s="2322"/>
      <c r="W351" s="2322"/>
      <c r="X351" s="2322"/>
      <c r="Y351" s="2322"/>
      <c r="Z351" s="2322"/>
      <c r="AA351" s="2322"/>
      <c r="AB351" s="2322"/>
      <c r="AC351" s="2322"/>
      <c r="AD351" s="2322"/>
      <c r="AE351" s="2322"/>
      <c r="AF351" s="2322"/>
      <c r="AG351" s="2322"/>
      <c r="AH351" s="2322"/>
      <c r="AI351" s="2322"/>
      <c r="AJ351" s="2322"/>
      <c r="AK351" s="2322"/>
      <c r="AL351" s="2322"/>
      <c r="AM351" s="2322"/>
      <c r="AN351" s="2322"/>
      <c r="AO351" s="2322"/>
      <c r="AP351" s="2322"/>
      <c r="AQ351" s="2322"/>
      <c r="AR351" s="2322"/>
      <c r="AS351" s="2322"/>
      <c r="AT351" s="2322"/>
      <c r="AU351" s="2322"/>
      <c r="AV351" s="2322"/>
      <c r="AW351" s="2322"/>
      <c r="AX351" s="2322"/>
      <c r="AY351" s="2322"/>
      <c r="AZ351" s="2322"/>
      <c r="BA351" s="2322"/>
      <c r="BB351" s="2322"/>
      <c r="BC351" s="2322"/>
      <c r="BD351" s="2322"/>
      <c r="BE351" s="2322"/>
      <c r="BF351" s="2322"/>
      <c r="BG351" s="2322"/>
      <c r="BH351" s="2322"/>
      <c r="BI351" s="2322"/>
      <c r="BJ351" s="2322"/>
      <c r="BK351" s="2322"/>
      <c r="BL351" s="2322"/>
      <c r="BM351" s="2322"/>
      <c r="BN351" s="2322"/>
      <c r="BO351" s="2322"/>
      <c r="BP351" s="2322"/>
      <c r="BQ351" s="2322"/>
      <c r="BR351" s="2322"/>
      <c r="BS351" s="2322"/>
      <c r="BT351" s="2322"/>
      <c r="BU351" s="2322"/>
      <c r="BV351" s="2322"/>
      <c r="BW351" s="2322"/>
      <c r="BX351" s="2322"/>
      <c r="BY351" s="2322"/>
      <c r="BZ351" s="2322"/>
      <c r="CA351" s="2322"/>
      <c r="CB351" s="2322"/>
      <c r="CC351" s="2322"/>
      <c r="CD351" s="2322"/>
      <c r="CE351" s="2322"/>
      <c r="CF351" s="2322"/>
      <c r="CG351" s="2322"/>
      <c r="CH351" s="2322"/>
      <c r="CI351" s="2322"/>
      <c r="CJ351" s="2322"/>
      <c r="CK351" s="2322"/>
      <c r="CL351" s="2322"/>
      <c r="CM351" s="2322"/>
      <c r="CN351" s="2322"/>
      <c r="CO351" s="2322"/>
      <c r="CP351" s="2322"/>
      <c r="CQ351" s="2322"/>
      <c r="CR351" s="2322"/>
      <c r="CS351" s="2322"/>
      <c r="CT351" s="2322"/>
      <c r="CU351" s="2322"/>
      <c r="CV351" s="2322"/>
    </row>
    <row r="352" spans="1:100" ht="15.75" customHeight="1">
      <c r="A352" s="2328"/>
      <c r="B352" s="2322"/>
      <c r="C352" s="2322"/>
      <c r="D352" s="2322"/>
      <c r="E352" s="2322"/>
      <c r="F352" s="2322"/>
      <c r="G352" s="2322"/>
      <c r="H352" s="2322"/>
      <c r="I352" s="2322"/>
      <c r="J352" s="2322"/>
      <c r="K352" s="2322"/>
      <c r="L352" s="2322"/>
      <c r="M352" s="2322"/>
      <c r="N352" s="2322"/>
      <c r="O352" s="2322"/>
      <c r="P352" s="2322"/>
      <c r="Q352" s="2322"/>
      <c r="R352" s="2322"/>
      <c r="S352" s="2322"/>
      <c r="T352" s="2322"/>
      <c r="U352" s="2322"/>
      <c r="V352" s="2322"/>
      <c r="W352" s="2322"/>
      <c r="X352" s="2322"/>
      <c r="Y352" s="2322"/>
      <c r="Z352" s="2322"/>
      <c r="AA352" s="2322"/>
      <c r="AB352" s="2322"/>
      <c r="AC352" s="2322"/>
      <c r="AD352" s="2322"/>
      <c r="AE352" s="2322"/>
      <c r="AF352" s="2322"/>
      <c r="AG352" s="2322"/>
      <c r="AH352" s="2322"/>
      <c r="AI352" s="2322"/>
      <c r="AJ352" s="2322"/>
      <c r="AK352" s="2322"/>
      <c r="AL352" s="2322"/>
      <c r="AM352" s="2322"/>
      <c r="AN352" s="2322"/>
      <c r="AO352" s="2322"/>
      <c r="AP352" s="2322"/>
      <c r="AQ352" s="2322"/>
      <c r="AR352" s="2322"/>
      <c r="AS352" s="2322"/>
      <c r="AT352" s="2322"/>
      <c r="AU352" s="2322"/>
      <c r="AV352" s="2322"/>
      <c r="AW352" s="2322"/>
      <c r="AX352" s="2322"/>
      <c r="AY352" s="2322"/>
      <c r="AZ352" s="2322"/>
      <c r="BA352" s="2322"/>
      <c r="BB352" s="2322"/>
      <c r="BC352" s="2322"/>
      <c r="BD352" s="2322"/>
      <c r="BE352" s="2322"/>
      <c r="BF352" s="2322"/>
      <c r="BG352" s="2322"/>
      <c r="BH352" s="2322"/>
      <c r="BI352" s="2322"/>
      <c r="BJ352" s="2322"/>
      <c r="BK352" s="2322"/>
      <c r="BL352" s="2322"/>
      <c r="BM352" s="2322"/>
      <c r="BN352" s="2322"/>
      <c r="BO352" s="2322"/>
      <c r="BP352" s="2322"/>
      <c r="BQ352" s="2322"/>
      <c r="BR352" s="2322"/>
      <c r="BS352" s="2322"/>
      <c r="BT352" s="2322"/>
      <c r="BU352" s="2322"/>
      <c r="BV352" s="2322"/>
      <c r="BW352" s="2322"/>
      <c r="BX352" s="2322"/>
      <c r="BY352" s="2322"/>
      <c r="BZ352" s="2322"/>
      <c r="CA352" s="2322"/>
      <c r="CB352" s="2322"/>
      <c r="CC352" s="2322"/>
      <c r="CD352" s="2322"/>
      <c r="CE352" s="2322"/>
      <c r="CF352" s="2322"/>
      <c r="CG352" s="2322"/>
      <c r="CH352" s="2322"/>
      <c r="CI352" s="2322"/>
      <c r="CJ352" s="2322"/>
      <c r="CK352" s="2322"/>
      <c r="CL352" s="2322"/>
      <c r="CM352" s="2322"/>
      <c r="CN352" s="2322"/>
      <c r="CO352" s="2322"/>
      <c r="CP352" s="2322"/>
      <c r="CQ352" s="2322"/>
      <c r="CR352" s="2322"/>
      <c r="CS352" s="2322"/>
      <c r="CT352" s="2322"/>
      <c r="CU352" s="2322"/>
      <c r="CV352" s="2322"/>
    </row>
    <row r="353" spans="1:100" ht="15.75" customHeight="1">
      <c r="A353" s="2328"/>
      <c r="B353" s="2322"/>
      <c r="C353" s="2322"/>
      <c r="D353" s="2322"/>
      <c r="E353" s="2322"/>
      <c r="F353" s="2322"/>
      <c r="G353" s="2322"/>
      <c r="H353" s="2322"/>
      <c r="I353" s="2322"/>
      <c r="J353" s="2322"/>
      <c r="K353" s="2322"/>
      <c r="L353" s="2322"/>
      <c r="M353" s="2322"/>
      <c r="N353" s="2322"/>
      <c r="O353" s="2322"/>
      <c r="P353" s="2322"/>
      <c r="Q353" s="2322"/>
      <c r="R353" s="2322"/>
      <c r="S353" s="2322"/>
      <c r="T353" s="2322"/>
      <c r="U353" s="2322"/>
      <c r="V353" s="2322"/>
      <c r="W353" s="2322"/>
      <c r="X353" s="2322"/>
      <c r="Y353" s="2322"/>
      <c r="Z353" s="2322"/>
      <c r="AA353" s="2322"/>
      <c r="AB353" s="2322"/>
      <c r="AC353" s="2322"/>
      <c r="AD353" s="2322"/>
      <c r="AE353" s="2322"/>
      <c r="AF353" s="2322"/>
      <c r="AG353" s="2322"/>
      <c r="AH353" s="2322"/>
      <c r="AI353" s="2322"/>
      <c r="AJ353" s="2322"/>
      <c r="AK353" s="2322"/>
      <c r="AL353" s="2322"/>
      <c r="AM353" s="2322"/>
      <c r="AN353" s="2322"/>
      <c r="AO353" s="2322"/>
      <c r="AP353" s="2322"/>
      <c r="AQ353" s="2322"/>
      <c r="AR353" s="2322"/>
      <c r="AS353" s="2322"/>
      <c r="AT353" s="2322"/>
      <c r="AU353" s="2322"/>
      <c r="AV353" s="2322"/>
      <c r="AW353" s="2322"/>
      <c r="AX353" s="2322"/>
      <c r="AY353" s="2322"/>
      <c r="AZ353" s="2322"/>
      <c r="BA353" s="2322"/>
      <c r="BB353" s="2322"/>
      <c r="BC353" s="2322"/>
      <c r="BD353" s="2322"/>
      <c r="BE353" s="2322"/>
      <c r="BF353" s="2322"/>
      <c r="BG353" s="2322"/>
      <c r="BH353" s="2322"/>
      <c r="BI353" s="2322"/>
      <c r="BJ353" s="2322"/>
      <c r="BK353" s="2322"/>
      <c r="BL353" s="2322"/>
      <c r="BM353" s="2322"/>
      <c r="BN353" s="2322"/>
      <c r="BO353" s="2322"/>
      <c r="BP353" s="2322"/>
      <c r="BQ353" s="2322"/>
      <c r="BR353" s="2322"/>
      <c r="BS353" s="2322"/>
      <c r="BT353" s="2322"/>
      <c r="BU353" s="2322"/>
      <c r="BV353" s="2322"/>
      <c r="BW353" s="2322"/>
      <c r="BX353" s="2322"/>
      <c r="BY353" s="2322"/>
      <c r="BZ353" s="2322"/>
      <c r="CA353" s="2322"/>
      <c r="CB353" s="2322"/>
      <c r="CC353" s="2322"/>
      <c r="CD353" s="2322"/>
      <c r="CE353" s="2322"/>
      <c r="CF353" s="2322"/>
      <c r="CG353" s="2322"/>
      <c r="CH353" s="2322"/>
      <c r="CI353" s="2322"/>
      <c r="CJ353" s="2322"/>
      <c r="CK353" s="2322"/>
      <c r="CL353" s="2322"/>
      <c r="CM353" s="2322"/>
      <c r="CN353" s="2322"/>
      <c r="CO353" s="2322"/>
      <c r="CP353" s="2322"/>
      <c r="CQ353" s="2322"/>
      <c r="CR353" s="2322"/>
      <c r="CS353" s="2322"/>
      <c r="CT353" s="2322"/>
      <c r="CU353" s="2322"/>
      <c r="CV353" s="2322"/>
    </row>
    <row r="354" spans="1:100" ht="15.75" customHeight="1">
      <c r="A354" s="2328"/>
      <c r="B354" s="2322"/>
      <c r="C354" s="2322"/>
      <c r="D354" s="2322"/>
      <c r="E354" s="2322"/>
      <c r="F354" s="2322"/>
      <c r="G354" s="2322"/>
      <c r="H354" s="2322"/>
      <c r="I354" s="2322"/>
      <c r="J354" s="2322"/>
      <c r="K354" s="2322"/>
      <c r="L354" s="2322"/>
      <c r="M354" s="2322"/>
      <c r="N354" s="2322"/>
      <c r="O354" s="2322"/>
      <c r="P354" s="2322"/>
      <c r="Q354" s="2322"/>
      <c r="R354" s="2322"/>
      <c r="S354" s="2322"/>
      <c r="T354" s="2322"/>
      <c r="U354" s="2322"/>
      <c r="V354" s="2322"/>
      <c r="W354" s="2322"/>
      <c r="X354" s="2322"/>
      <c r="Y354" s="2322"/>
      <c r="Z354" s="2322"/>
      <c r="AA354" s="2322"/>
      <c r="AB354" s="2322"/>
      <c r="AC354" s="2322"/>
      <c r="AD354" s="2322"/>
      <c r="AE354" s="2322"/>
      <c r="AF354" s="2322"/>
      <c r="AG354" s="2322"/>
      <c r="AH354" s="2322"/>
      <c r="AI354" s="2322"/>
      <c r="AJ354" s="2322"/>
      <c r="AK354" s="2322"/>
      <c r="AL354" s="2322"/>
      <c r="AM354" s="2322"/>
      <c r="AN354" s="2322"/>
      <c r="AO354" s="2322"/>
      <c r="AP354" s="2322"/>
      <c r="AQ354" s="2322"/>
      <c r="AR354" s="2322"/>
      <c r="AS354" s="2322"/>
      <c r="AT354" s="2322"/>
      <c r="AU354" s="2322"/>
      <c r="AV354" s="2322"/>
      <c r="AW354" s="2322"/>
      <c r="AX354" s="2322"/>
      <c r="AY354" s="2322"/>
      <c r="AZ354" s="2322"/>
      <c r="BA354" s="2322"/>
      <c r="BB354" s="2322"/>
      <c r="BC354" s="2322"/>
      <c r="BD354" s="2322"/>
      <c r="BE354" s="2322"/>
      <c r="BF354" s="2322"/>
      <c r="BG354" s="2322"/>
      <c r="BH354" s="2322"/>
      <c r="BI354" s="2322"/>
      <c r="BJ354" s="2322"/>
      <c r="BK354" s="2322"/>
      <c r="BL354" s="2322"/>
      <c r="BM354" s="2322"/>
      <c r="BN354" s="2322"/>
      <c r="BO354" s="2322"/>
      <c r="BP354" s="2322"/>
      <c r="BQ354" s="2322"/>
      <c r="BR354" s="2322"/>
      <c r="BS354" s="2322"/>
      <c r="BT354" s="2322"/>
      <c r="BU354" s="2322"/>
      <c r="BV354" s="2322"/>
      <c r="BW354" s="2322"/>
      <c r="BX354" s="2322"/>
      <c r="BY354" s="2322"/>
      <c r="BZ354" s="2322"/>
      <c r="CA354" s="2322"/>
      <c r="CB354" s="2322"/>
      <c r="CC354" s="2322"/>
      <c r="CD354" s="2322"/>
      <c r="CE354" s="2322"/>
      <c r="CF354" s="2322"/>
      <c r="CG354" s="2322"/>
      <c r="CH354" s="2322"/>
      <c r="CI354" s="2322"/>
      <c r="CJ354" s="2322"/>
      <c r="CK354" s="2322"/>
      <c r="CL354" s="2322"/>
      <c r="CM354" s="2322"/>
      <c r="CN354" s="2322"/>
      <c r="CO354" s="2322"/>
      <c r="CP354" s="2322"/>
      <c r="CQ354" s="2322"/>
      <c r="CR354" s="2322"/>
      <c r="CS354" s="2322"/>
      <c r="CT354" s="2322"/>
      <c r="CU354" s="2322"/>
      <c r="CV354" s="2322"/>
    </row>
    <row r="355" spans="1:100" ht="15.75" customHeight="1">
      <c r="A355" s="2328"/>
      <c r="B355" s="2322"/>
      <c r="C355" s="2322"/>
      <c r="D355" s="2322"/>
      <c r="E355" s="2322"/>
      <c r="F355" s="2322"/>
      <c r="G355" s="2322"/>
      <c r="H355" s="2322"/>
      <c r="I355" s="2322"/>
      <c r="J355" s="2322"/>
      <c r="K355" s="2322"/>
      <c r="L355" s="2322"/>
      <c r="M355" s="2322"/>
      <c r="N355" s="2322"/>
      <c r="O355" s="2322"/>
      <c r="P355" s="2322"/>
      <c r="Q355" s="2322"/>
      <c r="R355" s="2322"/>
      <c r="S355" s="2322"/>
      <c r="T355" s="2322"/>
      <c r="U355" s="2322"/>
      <c r="V355" s="2322"/>
      <c r="W355" s="2322"/>
      <c r="X355" s="2322"/>
      <c r="Y355" s="2322"/>
      <c r="Z355" s="2322"/>
      <c r="AA355" s="2322"/>
      <c r="AB355" s="2322"/>
      <c r="AC355" s="2322"/>
      <c r="AD355" s="2322"/>
      <c r="AE355" s="2322"/>
      <c r="AF355" s="2322"/>
      <c r="AG355" s="2322"/>
      <c r="AH355" s="2322"/>
      <c r="AI355" s="2322"/>
      <c r="AJ355" s="2322"/>
      <c r="AK355" s="2322"/>
      <c r="AL355" s="2322"/>
      <c r="AM355" s="2322"/>
      <c r="AN355" s="2322"/>
      <c r="AO355" s="2322"/>
      <c r="AP355" s="2322"/>
      <c r="AQ355" s="2322"/>
      <c r="AR355" s="2322"/>
      <c r="AS355" s="2322"/>
      <c r="AT355" s="2322"/>
      <c r="AU355" s="2322"/>
      <c r="AV355" s="2322"/>
      <c r="AW355" s="2322"/>
      <c r="AX355" s="2322"/>
      <c r="AY355" s="2322"/>
      <c r="AZ355" s="2322"/>
      <c r="BA355" s="2322"/>
      <c r="BB355" s="2322"/>
      <c r="BC355" s="2322"/>
      <c r="BD355" s="2322"/>
      <c r="BE355" s="2322"/>
      <c r="BF355" s="2322"/>
      <c r="BG355" s="2322"/>
      <c r="BH355" s="2322"/>
      <c r="BI355" s="2322"/>
      <c r="BJ355" s="2322"/>
      <c r="BK355" s="2322"/>
      <c r="BL355" s="2322"/>
      <c r="BM355" s="2322"/>
      <c r="BN355" s="2322"/>
      <c r="BO355" s="2322"/>
      <c r="BP355" s="2322"/>
      <c r="BQ355" s="2322"/>
      <c r="BR355" s="2322"/>
      <c r="BS355" s="2322"/>
      <c r="BT355" s="2322"/>
      <c r="BU355" s="2322"/>
      <c r="BV355" s="2322"/>
      <c r="BW355" s="2322"/>
      <c r="BX355" s="2322"/>
      <c r="BY355" s="2322"/>
      <c r="BZ355" s="2322"/>
      <c r="CA355" s="2322"/>
      <c r="CB355" s="2322"/>
      <c r="CC355" s="2322"/>
      <c r="CD355" s="2322"/>
      <c r="CE355" s="2322"/>
      <c r="CF355" s="2322"/>
      <c r="CG355" s="2322"/>
      <c r="CH355" s="2322"/>
      <c r="CI355" s="2322"/>
      <c r="CJ355" s="2322"/>
      <c r="CK355" s="2322"/>
      <c r="CL355" s="2322"/>
      <c r="CM355" s="2322"/>
      <c r="CN355" s="2322"/>
      <c r="CO355" s="2322"/>
      <c r="CP355" s="2322"/>
      <c r="CQ355" s="2322"/>
      <c r="CR355" s="2322"/>
      <c r="CS355" s="2322"/>
      <c r="CT355" s="2322"/>
      <c r="CU355" s="2322"/>
      <c r="CV355" s="2322"/>
    </row>
    <row r="356" spans="1:100" ht="15.75" customHeight="1">
      <c r="A356" s="2328"/>
      <c r="B356" s="2322"/>
      <c r="C356" s="2322"/>
      <c r="D356" s="2322"/>
      <c r="E356" s="2322"/>
      <c r="F356" s="2322"/>
      <c r="G356" s="2322"/>
      <c r="H356" s="2322"/>
      <c r="I356" s="2322"/>
      <c r="J356" s="2322"/>
      <c r="K356" s="2322"/>
      <c r="L356" s="2322"/>
      <c r="M356" s="2322"/>
      <c r="N356" s="2322"/>
      <c r="O356" s="2322"/>
      <c r="P356" s="2322"/>
      <c r="Q356" s="2322"/>
      <c r="R356" s="2322"/>
      <c r="S356" s="2322"/>
      <c r="T356" s="2322"/>
      <c r="U356" s="2322"/>
      <c r="V356" s="2322"/>
      <c r="W356" s="2322"/>
      <c r="X356" s="2322"/>
      <c r="Y356" s="2322"/>
      <c r="Z356" s="2322"/>
      <c r="AA356" s="2322"/>
      <c r="AB356" s="2322"/>
      <c r="AC356" s="2322"/>
      <c r="AD356" s="2322"/>
      <c r="AE356" s="2322"/>
      <c r="AF356" s="2322"/>
      <c r="AG356" s="2322"/>
      <c r="AH356" s="2322"/>
      <c r="AI356" s="2322"/>
      <c r="AJ356" s="2322"/>
      <c r="AK356" s="2322"/>
      <c r="AL356" s="2322"/>
      <c r="AM356" s="2322"/>
      <c r="AN356" s="2322"/>
      <c r="AO356" s="2322"/>
      <c r="AP356" s="2322"/>
      <c r="AQ356" s="2322"/>
      <c r="AR356" s="2322"/>
      <c r="AS356" s="2322"/>
      <c r="AT356" s="2322"/>
      <c r="AU356" s="2322"/>
      <c r="AV356" s="2322"/>
      <c r="AW356" s="2322"/>
      <c r="AX356" s="2322"/>
      <c r="AY356" s="2322"/>
      <c r="AZ356" s="2322"/>
      <c r="BA356" s="2322"/>
      <c r="BB356" s="2322"/>
      <c r="BC356" s="2322"/>
      <c r="BD356" s="2322"/>
      <c r="BE356" s="2322"/>
      <c r="BF356" s="2322"/>
      <c r="BG356" s="2322"/>
      <c r="BH356" s="2322"/>
      <c r="BI356" s="2322"/>
      <c r="BJ356" s="2322"/>
      <c r="BK356" s="2322"/>
      <c r="BL356" s="2322"/>
      <c r="BM356" s="2322"/>
      <c r="BN356" s="2322"/>
      <c r="BO356" s="2322"/>
      <c r="BP356" s="2322"/>
      <c r="BQ356" s="2322"/>
      <c r="BR356" s="2322"/>
      <c r="BS356" s="2322"/>
      <c r="BT356" s="2322"/>
      <c r="BU356" s="2322"/>
      <c r="BV356" s="2322"/>
      <c r="BW356" s="2322"/>
      <c r="BX356" s="2322"/>
      <c r="BY356" s="2322"/>
      <c r="BZ356" s="2322"/>
      <c r="CA356" s="2322"/>
      <c r="CB356" s="2322"/>
      <c r="CC356" s="2322"/>
      <c r="CD356" s="2322"/>
      <c r="CE356" s="2322"/>
      <c r="CF356" s="2322"/>
      <c r="CG356" s="2322"/>
      <c r="CH356" s="2322"/>
      <c r="CI356" s="2322"/>
      <c r="CJ356" s="2322"/>
      <c r="CK356" s="2322"/>
      <c r="CL356" s="2322"/>
      <c r="CM356" s="2322"/>
      <c r="CN356" s="2322"/>
      <c r="CO356" s="2322"/>
      <c r="CP356" s="2322"/>
      <c r="CQ356" s="2322"/>
      <c r="CR356" s="2322"/>
      <c r="CS356" s="2322"/>
      <c r="CT356" s="2322"/>
      <c r="CU356" s="2322"/>
      <c r="CV356" s="2322"/>
    </row>
    <row r="357" spans="1:100" ht="15.75" customHeight="1">
      <c r="A357" s="2328"/>
      <c r="B357" s="2322"/>
      <c r="C357" s="2322"/>
      <c r="D357" s="2322"/>
      <c r="E357" s="2322"/>
      <c r="F357" s="2322"/>
      <c r="G357" s="2322"/>
      <c r="H357" s="2322"/>
      <c r="I357" s="2322"/>
      <c r="J357" s="2322"/>
      <c r="K357" s="2322"/>
      <c r="L357" s="2322"/>
      <c r="M357" s="2322"/>
      <c r="N357" s="2322"/>
      <c r="O357" s="2322"/>
      <c r="P357" s="2322"/>
      <c r="Q357" s="2322"/>
      <c r="R357" s="2322"/>
      <c r="S357" s="2322"/>
      <c r="T357" s="2322"/>
      <c r="U357" s="2322"/>
      <c r="V357" s="2322"/>
      <c r="W357" s="2322"/>
      <c r="X357" s="2322"/>
      <c r="Y357" s="2322"/>
      <c r="Z357" s="2322"/>
      <c r="AA357" s="2322"/>
      <c r="AB357" s="2322"/>
      <c r="AC357" s="2322"/>
      <c r="AD357" s="2322"/>
      <c r="AE357" s="2322"/>
      <c r="AF357" s="2322"/>
      <c r="AG357" s="2322"/>
      <c r="AH357" s="2322"/>
      <c r="AI357" s="2322"/>
      <c r="AJ357" s="2322"/>
      <c r="AK357" s="2322"/>
      <c r="AL357" s="2322"/>
      <c r="AM357" s="2322"/>
      <c r="AN357" s="2322"/>
      <c r="AO357" s="2322"/>
      <c r="AP357" s="2322"/>
      <c r="AQ357" s="2322"/>
      <c r="AR357" s="2322"/>
      <c r="AS357" s="2322"/>
      <c r="AT357" s="2322"/>
      <c r="AU357" s="2322"/>
      <c r="AV357" s="2322"/>
      <c r="AW357" s="2322"/>
      <c r="AX357" s="2322"/>
      <c r="AY357" s="2322"/>
      <c r="AZ357" s="2322"/>
      <c r="BA357" s="2322"/>
      <c r="BB357" s="2322"/>
      <c r="BC357" s="2322"/>
      <c r="BD357" s="2322"/>
      <c r="BE357" s="2322"/>
      <c r="BF357" s="2322"/>
      <c r="BG357" s="2322"/>
      <c r="BH357" s="2322"/>
      <c r="BI357" s="2322"/>
      <c r="BJ357" s="2322"/>
      <c r="BK357" s="2322"/>
      <c r="BL357" s="2322"/>
      <c r="BM357" s="2322"/>
      <c r="BN357" s="2322"/>
      <c r="BO357" s="2322"/>
      <c r="BP357" s="2322"/>
      <c r="BQ357" s="2322"/>
      <c r="BR357" s="2322"/>
      <c r="BS357" s="2322"/>
      <c r="BT357" s="2322"/>
      <c r="BU357" s="2322"/>
      <c r="BV357" s="2322"/>
      <c r="BW357" s="2322"/>
      <c r="BX357" s="2322"/>
      <c r="BY357" s="2322"/>
      <c r="BZ357" s="2322"/>
      <c r="CA357" s="2322"/>
      <c r="CB357" s="2322"/>
      <c r="CC357" s="2322"/>
      <c r="CD357" s="2322"/>
      <c r="CE357" s="2322"/>
      <c r="CF357" s="2322"/>
      <c r="CG357" s="2322"/>
      <c r="CH357" s="2322"/>
      <c r="CI357" s="2322"/>
      <c r="CJ357" s="2322"/>
      <c r="CK357" s="2322"/>
      <c r="CL357" s="2322"/>
      <c r="CM357" s="2322"/>
      <c r="CN357" s="2322"/>
      <c r="CO357" s="2322"/>
      <c r="CP357" s="2322"/>
      <c r="CQ357" s="2322"/>
      <c r="CR357" s="2322"/>
      <c r="CS357" s="2322"/>
      <c r="CT357" s="2322"/>
      <c r="CU357" s="2322"/>
      <c r="CV357" s="2322"/>
    </row>
    <row r="358" spans="1:100" ht="15.75" customHeight="1">
      <c r="A358" s="2328"/>
      <c r="B358" s="2322"/>
      <c r="C358" s="2322"/>
      <c r="D358" s="2322"/>
      <c r="E358" s="2322"/>
      <c r="F358" s="2322"/>
      <c r="G358" s="2322"/>
      <c r="H358" s="2322"/>
      <c r="I358" s="2322"/>
      <c r="J358" s="2322"/>
      <c r="K358" s="2322"/>
      <c r="L358" s="2322"/>
      <c r="M358" s="2322"/>
      <c r="N358" s="2322"/>
      <c r="O358" s="2322"/>
      <c r="P358" s="2322"/>
      <c r="Q358" s="2322"/>
      <c r="R358" s="2322"/>
      <c r="S358" s="2322"/>
      <c r="T358" s="2322"/>
      <c r="U358" s="2322"/>
      <c r="V358" s="2322"/>
      <c r="W358" s="2322"/>
      <c r="X358" s="2322"/>
      <c r="Y358" s="2322"/>
      <c r="Z358" s="2322"/>
      <c r="AA358" s="2322"/>
      <c r="AB358" s="2322"/>
      <c r="AC358" s="2322"/>
      <c r="AD358" s="2322"/>
      <c r="AE358" s="2322"/>
      <c r="AF358" s="2322"/>
      <c r="AG358" s="2322"/>
      <c r="AH358" s="2322"/>
      <c r="AI358" s="2322"/>
      <c r="AJ358" s="2322"/>
      <c r="AK358" s="2322"/>
      <c r="AL358" s="2322"/>
      <c r="AM358" s="2322"/>
      <c r="AN358" s="2322"/>
      <c r="AO358" s="2322"/>
      <c r="AP358" s="2322"/>
      <c r="AQ358" s="2322"/>
      <c r="AR358" s="2322"/>
      <c r="AS358" s="2322"/>
      <c r="AT358" s="2322"/>
      <c r="AU358" s="2322"/>
      <c r="AV358" s="2322"/>
      <c r="AW358" s="2322"/>
      <c r="AX358" s="2322"/>
      <c r="AY358" s="2322"/>
      <c r="AZ358" s="2322"/>
      <c r="BA358" s="2322"/>
      <c r="BB358" s="2322"/>
      <c r="BC358" s="2322"/>
      <c r="BD358" s="2322"/>
      <c r="BE358" s="2322"/>
      <c r="BF358" s="2322"/>
      <c r="BG358" s="2322"/>
      <c r="BH358" s="2322"/>
      <c r="BI358" s="2322"/>
      <c r="BJ358" s="2322"/>
      <c r="BK358" s="2322"/>
      <c r="BL358" s="2322"/>
      <c r="BM358" s="2322"/>
      <c r="BN358" s="2322"/>
      <c r="BO358" s="2322"/>
      <c r="BP358" s="2322"/>
      <c r="BQ358" s="2322"/>
      <c r="BR358" s="2322"/>
      <c r="BS358" s="2322"/>
      <c r="BT358" s="2322"/>
      <c r="BU358" s="2322"/>
      <c r="BV358" s="2322"/>
      <c r="BW358" s="2322"/>
      <c r="BX358" s="2322"/>
      <c r="BY358" s="2322"/>
      <c r="BZ358" s="2322"/>
      <c r="CA358" s="2322"/>
      <c r="CB358" s="2322"/>
      <c r="CC358" s="2322"/>
      <c r="CD358" s="2322"/>
      <c r="CE358" s="2322"/>
      <c r="CF358" s="2322"/>
      <c r="CG358" s="2322"/>
      <c r="CH358" s="2322"/>
      <c r="CI358" s="2322"/>
      <c r="CJ358" s="2322"/>
      <c r="CK358" s="2322"/>
      <c r="CL358" s="2322"/>
      <c r="CM358" s="2322"/>
      <c r="CN358" s="2322"/>
      <c r="CO358" s="2322"/>
      <c r="CP358" s="2322"/>
      <c r="CQ358" s="2322"/>
      <c r="CR358" s="2322"/>
      <c r="CS358" s="2322"/>
      <c r="CT358" s="2322"/>
      <c r="CU358" s="2322"/>
      <c r="CV358" s="2322"/>
    </row>
    <row r="359" spans="1:100" ht="15.75" customHeight="1">
      <c r="A359" s="2328"/>
      <c r="B359" s="2322"/>
      <c r="C359" s="2322"/>
      <c r="D359" s="2322"/>
      <c r="E359" s="2322"/>
      <c r="F359" s="2322"/>
      <c r="G359" s="2322"/>
      <c r="H359" s="2322"/>
      <c r="I359" s="2322"/>
      <c r="J359" s="2322"/>
      <c r="K359" s="2322"/>
      <c r="L359" s="2322"/>
      <c r="M359" s="2322"/>
      <c r="N359" s="2322"/>
      <c r="O359" s="2322"/>
      <c r="P359" s="2322"/>
      <c r="Q359" s="2322"/>
      <c r="R359" s="2322"/>
      <c r="S359" s="2322"/>
      <c r="T359" s="2322"/>
      <c r="U359" s="2322"/>
      <c r="V359" s="2322"/>
      <c r="W359" s="2322"/>
      <c r="X359" s="2322"/>
      <c r="Y359" s="2322"/>
      <c r="Z359" s="2322"/>
      <c r="AA359" s="2322"/>
      <c r="AB359" s="2322"/>
      <c r="AC359" s="2322"/>
      <c r="AD359" s="2322"/>
      <c r="AE359" s="2322"/>
      <c r="AF359" s="2322"/>
      <c r="AG359" s="2322"/>
      <c r="AH359" s="2322"/>
      <c r="AI359" s="2322"/>
      <c r="AJ359" s="2322"/>
      <c r="AK359" s="2322"/>
      <c r="AL359" s="2322"/>
      <c r="AM359" s="2322"/>
      <c r="AN359" s="2322"/>
      <c r="AO359" s="2322"/>
      <c r="AP359" s="2322"/>
      <c r="AQ359" s="2322"/>
      <c r="AR359" s="2322"/>
      <c r="AS359" s="2322"/>
      <c r="AT359" s="2322"/>
      <c r="AU359" s="2322"/>
      <c r="AV359" s="2322"/>
      <c r="AW359" s="2322"/>
      <c r="AX359" s="2322"/>
      <c r="AY359" s="2322"/>
      <c r="AZ359" s="2322"/>
      <c r="BA359" s="2322"/>
      <c r="BB359" s="2322"/>
      <c r="BC359" s="2322"/>
      <c r="BD359" s="2322"/>
      <c r="BE359" s="2322"/>
      <c r="BF359" s="2322"/>
      <c r="BG359" s="2322"/>
      <c r="BH359" s="2322"/>
      <c r="BI359" s="2322"/>
      <c r="BJ359" s="2322"/>
      <c r="BK359" s="2322"/>
      <c r="BL359" s="2322"/>
      <c r="BM359" s="2322"/>
      <c r="BN359" s="2322"/>
      <c r="BO359" s="2322"/>
      <c r="BP359" s="2322"/>
      <c r="BQ359" s="2322"/>
      <c r="BR359" s="2322"/>
      <c r="BS359" s="2322"/>
      <c r="BT359" s="2322"/>
      <c r="BU359" s="2322"/>
      <c r="BV359" s="2322"/>
      <c r="BW359" s="2322"/>
      <c r="BX359" s="2322"/>
      <c r="BY359" s="2322"/>
      <c r="BZ359" s="2322"/>
      <c r="CA359" s="2322"/>
      <c r="CB359" s="2322"/>
      <c r="CC359" s="2322"/>
      <c r="CD359" s="2322"/>
      <c r="CE359" s="2322"/>
      <c r="CF359" s="2322"/>
      <c r="CG359" s="2322"/>
      <c r="CH359" s="2322"/>
      <c r="CI359" s="2322"/>
      <c r="CJ359" s="2322"/>
      <c r="CK359" s="2322"/>
      <c r="CL359" s="2322"/>
      <c r="CM359" s="2322"/>
      <c r="CN359" s="2322"/>
      <c r="CO359" s="2322"/>
      <c r="CP359" s="2322"/>
      <c r="CQ359" s="2322"/>
      <c r="CR359" s="2322"/>
      <c r="CS359" s="2322"/>
      <c r="CT359" s="2322"/>
      <c r="CU359" s="2322"/>
      <c r="CV359" s="2322"/>
    </row>
    <row r="360" spans="1:100" ht="15.75" customHeight="1">
      <c r="A360" s="2328"/>
      <c r="B360" s="2322"/>
      <c r="C360" s="2322"/>
      <c r="D360" s="2322"/>
      <c r="E360" s="2322"/>
      <c r="F360" s="2322"/>
      <c r="G360" s="2322"/>
      <c r="H360" s="2322"/>
      <c r="I360" s="2322"/>
      <c r="J360" s="2322"/>
      <c r="K360" s="2322"/>
      <c r="L360" s="2322"/>
      <c r="M360" s="2322"/>
      <c r="N360" s="2322"/>
      <c r="O360" s="2322"/>
      <c r="P360" s="2322"/>
      <c r="Q360" s="2322"/>
      <c r="R360" s="2322"/>
      <c r="S360" s="2322"/>
      <c r="T360" s="2322"/>
      <c r="U360" s="2322"/>
      <c r="V360" s="2322"/>
      <c r="W360" s="2322"/>
      <c r="X360" s="2322"/>
      <c r="Y360" s="2322"/>
      <c r="Z360" s="2322"/>
      <c r="AA360" s="2322"/>
      <c r="AB360" s="2322"/>
      <c r="AC360" s="2322"/>
      <c r="AD360" s="2322"/>
      <c r="AE360" s="2322"/>
      <c r="AF360" s="2322"/>
      <c r="AG360" s="2322"/>
      <c r="AH360" s="2322"/>
      <c r="AI360" s="2322"/>
      <c r="AJ360" s="2322"/>
      <c r="AK360" s="2322"/>
      <c r="AL360" s="2322"/>
      <c r="AM360" s="2322"/>
      <c r="AN360" s="2322"/>
      <c r="AO360" s="2322"/>
      <c r="AP360" s="2322"/>
      <c r="AQ360" s="2322"/>
      <c r="AR360" s="2322"/>
      <c r="AS360" s="2322"/>
      <c r="AT360" s="2322"/>
      <c r="AU360" s="2322"/>
      <c r="AV360" s="2322"/>
      <c r="AW360" s="2322"/>
      <c r="AX360" s="2322"/>
      <c r="AY360" s="2322"/>
      <c r="AZ360" s="2322"/>
      <c r="BA360" s="2322"/>
      <c r="BB360" s="2322"/>
      <c r="BC360" s="2322"/>
      <c r="BD360" s="2322"/>
      <c r="BE360" s="2322"/>
      <c r="BF360" s="2322"/>
      <c r="BG360" s="2322"/>
      <c r="BH360" s="2322"/>
      <c r="BI360" s="2322"/>
      <c r="BJ360" s="2322"/>
      <c r="BK360" s="2322"/>
      <c r="BL360" s="2322"/>
      <c r="BM360" s="2322"/>
      <c r="BN360" s="2322"/>
      <c r="BO360" s="2322"/>
      <c r="BP360" s="2322"/>
      <c r="BQ360" s="2322"/>
      <c r="BR360" s="2322"/>
      <c r="BS360" s="2322"/>
      <c r="BT360" s="2322"/>
      <c r="BU360" s="2322"/>
      <c r="BV360" s="2322"/>
      <c r="BW360" s="2322"/>
      <c r="BX360" s="2322"/>
      <c r="BY360" s="2322"/>
      <c r="BZ360" s="2322"/>
      <c r="CA360" s="2322"/>
      <c r="CB360" s="2322"/>
      <c r="CC360" s="2322"/>
      <c r="CD360" s="2322"/>
      <c r="CE360" s="2322"/>
      <c r="CF360" s="2322"/>
      <c r="CG360" s="2322"/>
      <c r="CH360" s="2322"/>
      <c r="CI360" s="2322"/>
      <c r="CJ360" s="2322"/>
      <c r="CK360" s="2322"/>
      <c r="CL360" s="2322"/>
      <c r="CM360" s="2322"/>
      <c r="CN360" s="2322"/>
      <c r="CO360" s="2322"/>
      <c r="CP360" s="2322"/>
      <c r="CQ360" s="2322"/>
      <c r="CR360" s="2322"/>
      <c r="CS360" s="2322"/>
      <c r="CT360" s="2322"/>
      <c r="CU360" s="2322"/>
      <c r="CV360" s="2322"/>
    </row>
    <row r="361" spans="1:100" ht="15.75" customHeight="1">
      <c r="A361" s="2328"/>
      <c r="B361" s="2322"/>
      <c r="C361" s="2322"/>
      <c r="D361" s="2322"/>
      <c r="E361" s="2322"/>
      <c r="F361" s="2322"/>
      <c r="G361" s="2322"/>
      <c r="H361" s="2322"/>
      <c r="I361" s="2322"/>
      <c r="J361" s="2322"/>
      <c r="K361" s="2322"/>
      <c r="L361" s="2322"/>
      <c r="M361" s="2322"/>
      <c r="N361" s="2322"/>
      <c r="O361" s="2322"/>
      <c r="P361" s="2322"/>
      <c r="Q361" s="2322"/>
      <c r="R361" s="2322"/>
      <c r="S361" s="2322"/>
      <c r="T361" s="2322"/>
      <c r="U361" s="2322"/>
      <c r="V361" s="2322"/>
      <c r="W361" s="2322"/>
      <c r="X361" s="2322"/>
      <c r="Y361" s="2322"/>
      <c r="Z361" s="2322"/>
      <c r="AA361" s="2322"/>
      <c r="AB361" s="2322"/>
      <c r="AC361" s="2322"/>
      <c r="AD361" s="2322"/>
      <c r="AE361" s="2322"/>
      <c r="AF361" s="2322"/>
      <c r="AG361" s="2322"/>
      <c r="AH361" s="2322"/>
      <c r="AI361" s="2322"/>
      <c r="AJ361" s="2322"/>
      <c r="AK361" s="2322"/>
      <c r="AL361" s="2322"/>
      <c r="AM361" s="2322"/>
      <c r="AN361" s="2322"/>
      <c r="AO361" s="2322"/>
      <c r="AP361" s="2322"/>
      <c r="AQ361" s="2322"/>
      <c r="AR361" s="2322"/>
      <c r="AS361" s="2322"/>
      <c r="AT361" s="2322"/>
      <c r="AU361" s="2322"/>
      <c r="AV361" s="2322"/>
      <c r="AW361" s="2322"/>
      <c r="AX361" s="2322"/>
      <c r="AY361" s="2322"/>
      <c r="AZ361" s="2322"/>
      <c r="BA361" s="2322"/>
      <c r="BB361" s="2322"/>
      <c r="BC361" s="2322"/>
      <c r="BD361" s="2322"/>
      <c r="BE361" s="2322"/>
      <c r="BF361" s="2322"/>
      <c r="BG361" s="2322"/>
      <c r="BH361" s="2322"/>
      <c r="BI361" s="2322"/>
      <c r="BJ361" s="2322"/>
      <c r="BK361" s="2322"/>
      <c r="BL361" s="2322"/>
      <c r="BM361" s="2322"/>
      <c r="BN361" s="2322"/>
      <c r="BO361" s="2322"/>
      <c r="BP361" s="2322"/>
      <c r="BQ361" s="2322"/>
      <c r="BR361" s="2322"/>
      <c r="BS361" s="2322"/>
      <c r="BT361" s="2322"/>
      <c r="BU361" s="2322"/>
      <c r="BV361" s="2322"/>
      <c r="BW361" s="2322"/>
      <c r="BX361" s="2322"/>
      <c r="BY361" s="2322"/>
      <c r="BZ361" s="2322"/>
      <c r="CA361" s="2322"/>
      <c r="CB361" s="2322"/>
      <c r="CC361" s="2322"/>
      <c r="CD361" s="2322"/>
      <c r="CE361" s="2322"/>
      <c r="CF361" s="2322"/>
      <c r="CG361" s="2322"/>
      <c r="CH361" s="2322"/>
      <c r="CI361" s="2322"/>
      <c r="CJ361" s="2322"/>
      <c r="CK361" s="2322"/>
      <c r="CL361" s="2322"/>
      <c r="CM361" s="2322"/>
      <c r="CN361" s="2322"/>
      <c r="CO361" s="2322"/>
      <c r="CP361" s="2322"/>
      <c r="CQ361" s="2322"/>
      <c r="CR361" s="2322"/>
      <c r="CS361" s="2322"/>
      <c r="CT361" s="2322"/>
      <c r="CU361" s="2322"/>
      <c r="CV361" s="2322"/>
    </row>
    <row r="362" spans="1:100" ht="15.75" customHeight="1">
      <c r="A362" s="2328"/>
      <c r="B362" s="2322"/>
      <c r="C362" s="2322"/>
      <c r="D362" s="2322"/>
      <c r="E362" s="2322"/>
      <c r="F362" s="2322"/>
      <c r="G362" s="2322"/>
      <c r="H362" s="2322"/>
      <c r="I362" s="2322"/>
      <c r="J362" s="2322"/>
      <c r="K362" s="2322"/>
      <c r="L362" s="2322"/>
      <c r="M362" s="2322"/>
      <c r="N362" s="2322"/>
      <c r="O362" s="2322"/>
      <c r="P362" s="2322"/>
      <c r="Q362" s="2322"/>
      <c r="R362" s="2322"/>
      <c r="S362" s="2322"/>
      <c r="T362" s="2322"/>
      <c r="U362" s="2322"/>
      <c r="V362" s="2322"/>
      <c r="W362" s="2322"/>
      <c r="X362" s="2322"/>
      <c r="Y362" s="2322"/>
      <c r="Z362" s="2322"/>
      <c r="AA362" s="2322"/>
      <c r="AB362" s="2322"/>
      <c r="AC362" s="2322"/>
      <c r="AD362" s="2322"/>
      <c r="AE362" s="2322"/>
      <c r="AF362" s="2322"/>
      <c r="AG362" s="2322"/>
      <c r="AH362" s="2322"/>
      <c r="AI362" s="2322"/>
      <c r="AJ362" s="2322"/>
      <c r="AK362" s="2322"/>
      <c r="AL362" s="2322"/>
      <c r="AM362" s="2322"/>
      <c r="AN362" s="2322"/>
      <c r="AO362" s="2322"/>
      <c r="AP362" s="2322"/>
      <c r="AQ362" s="2322"/>
      <c r="AR362" s="2322"/>
      <c r="AS362" s="2322"/>
      <c r="AT362" s="2322"/>
      <c r="AU362" s="2322"/>
      <c r="AV362" s="2322"/>
      <c r="AW362" s="2322"/>
      <c r="AX362" s="2322"/>
      <c r="AY362" s="2322"/>
      <c r="AZ362" s="2322"/>
      <c r="BA362" s="2322"/>
      <c r="BB362" s="2322"/>
      <c r="BC362" s="2322"/>
      <c r="BD362" s="2322"/>
      <c r="BE362" s="2322"/>
      <c r="BF362" s="2322"/>
      <c r="BG362" s="2322"/>
      <c r="BH362" s="2322"/>
      <c r="BI362" s="2322"/>
      <c r="BJ362" s="2322"/>
      <c r="BK362" s="2322"/>
      <c r="BL362" s="2322"/>
      <c r="BM362" s="2322"/>
      <c r="BN362" s="2322"/>
      <c r="BO362" s="2322"/>
      <c r="BP362" s="2322"/>
      <c r="BQ362" s="2322"/>
      <c r="BR362" s="2322"/>
      <c r="BS362" s="2322"/>
      <c r="BT362" s="2322"/>
      <c r="BU362" s="2322"/>
      <c r="BV362" s="2322"/>
      <c r="BW362" s="2322"/>
      <c r="BX362" s="2322"/>
      <c r="BY362" s="2322"/>
      <c r="BZ362" s="2322"/>
      <c r="CA362" s="2322"/>
      <c r="CB362" s="2322"/>
      <c r="CC362" s="2322"/>
      <c r="CD362" s="2322"/>
      <c r="CE362" s="2322"/>
      <c r="CF362" s="2322"/>
      <c r="CG362" s="2322"/>
      <c r="CH362" s="2322"/>
      <c r="CI362" s="2322"/>
      <c r="CJ362" s="2322"/>
      <c r="CK362" s="2322"/>
      <c r="CL362" s="2322"/>
      <c r="CM362" s="2322"/>
      <c r="CN362" s="2322"/>
      <c r="CO362" s="2322"/>
      <c r="CP362" s="2322"/>
      <c r="CQ362" s="2322"/>
      <c r="CR362" s="2322"/>
      <c r="CS362" s="2322"/>
      <c r="CT362" s="2322"/>
      <c r="CU362" s="2322"/>
      <c r="CV362" s="2322"/>
    </row>
    <row r="363" spans="1:100" ht="15.75" customHeight="1">
      <c r="A363" s="2328"/>
      <c r="B363" s="2322"/>
      <c r="C363" s="2322"/>
      <c r="D363" s="2322"/>
      <c r="E363" s="2322"/>
      <c r="F363" s="2322"/>
      <c r="G363" s="2322"/>
      <c r="H363" s="2322"/>
      <c r="I363" s="2322"/>
      <c r="J363" s="2322"/>
      <c r="K363" s="2322"/>
      <c r="L363" s="2322"/>
      <c r="M363" s="2322"/>
      <c r="N363" s="2322"/>
      <c r="O363" s="2322"/>
      <c r="P363" s="2322"/>
      <c r="Q363" s="2322"/>
      <c r="R363" s="2322"/>
      <c r="S363" s="2322"/>
      <c r="T363" s="2322"/>
      <c r="U363" s="2322"/>
      <c r="V363" s="2322"/>
      <c r="W363" s="2322"/>
      <c r="X363" s="2322"/>
      <c r="Y363" s="2322"/>
      <c r="Z363" s="2322"/>
      <c r="AA363" s="2322"/>
      <c r="AB363" s="2322"/>
      <c r="AC363" s="2322"/>
      <c r="AD363" s="2322"/>
      <c r="AE363" s="2322"/>
      <c r="AF363" s="2322"/>
      <c r="AG363" s="2322"/>
      <c r="AH363" s="2322"/>
      <c r="AI363" s="2322"/>
      <c r="AJ363" s="2322"/>
      <c r="AK363" s="2322"/>
      <c r="AL363" s="2322"/>
      <c r="AM363" s="2322"/>
      <c r="AN363" s="2322"/>
      <c r="AO363" s="2322"/>
      <c r="AP363" s="2322"/>
      <c r="AQ363" s="2322"/>
      <c r="AR363" s="2322"/>
      <c r="AS363" s="2322"/>
      <c r="AT363" s="2322"/>
      <c r="AU363" s="2322"/>
      <c r="AV363" s="2322"/>
      <c r="AW363" s="2322"/>
      <c r="AX363" s="2322"/>
      <c r="AY363" s="2322"/>
      <c r="AZ363" s="2322"/>
      <c r="BA363" s="2322"/>
      <c r="BB363" s="2322"/>
      <c r="BC363" s="2322"/>
      <c r="BD363" s="2322"/>
      <c r="BE363" s="2322"/>
      <c r="BF363" s="2322"/>
      <c r="BG363" s="2322"/>
      <c r="BH363" s="2322"/>
      <c r="BI363" s="2322"/>
      <c r="BJ363" s="2322"/>
      <c r="BK363" s="2322"/>
      <c r="BL363" s="2322"/>
      <c r="BM363" s="2322"/>
      <c r="BN363" s="2322"/>
      <c r="BO363" s="2322"/>
      <c r="BP363" s="2322"/>
      <c r="BQ363" s="2322"/>
      <c r="BR363" s="2322"/>
      <c r="BS363" s="2322"/>
      <c r="BT363" s="2322"/>
      <c r="BU363" s="2322"/>
      <c r="BV363" s="2322"/>
      <c r="BW363" s="2322"/>
      <c r="BX363" s="2322"/>
      <c r="BY363" s="2322"/>
      <c r="BZ363" s="2322"/>
      <c r="CA363" s="2322"/>
      <c r="CB363" s="2322"/>
      <c r="CC363" s="2322"/>
      <c r="CD363" s="2322"/>
      <c r="CE363" s="2322"/>
      <c r="CF363" s="2322"/>
      <c r="CG363" s="2322"/>
      <c r="CH363" s="2322"/>
      <c r="CI363" s="2322"/>
      <c r="CJ363" s="2322"/>
      <c r="CK363" s="2322"/>
      <c r="CL363" s="2322"/>
      <c r="CM363" s="2322"/>
      <c r="CN363" s="2322"/>
      <c r="CO363" s="2322"/>
      <c r="CP363" s="2322"/>
      <c r="CQ363" s="2322"/>
      <c r="CR363" s="2322"/>
      <c r="CS363" s="2322"/>
      <c r="CT363" s="2322"/>
      <c r="CU363" s="2322"/>
      <c r="CV363" s="2322"/>
    </row>
    <row r="364" spans="1:100" ht="15.75" customHeight="1">
      <c r="A364" s="2328"/>
      <c r="B364" s="2322"/>
      <c r="C364" s="2322"/>
      <c r="D364" s="2322"/>
      <c r="E364" s="2322"/>
      <c r="F364" s="2322"/>
      <c r="G364" s="2322"/>
      <c r="H364" s="2322"/>
      <c r="I364" s="2322"/>
      <c r="J364" s="2322"/>
      <c r="K364" s="2322"/>
      <c r="L364" s="2322"/>
      <c r="M364" s="2322"/>
      <c r="N364" s="2322"/>
      <c r="O364" s="2322"/>
      <c r="P364" s="2322"/>
      <c r="Q364" s="2322"/>
      <c r="R364" s="2322"/>
      <c r="S364" s="2322"/>
      <c r="T364" s="2322"/>
      <c r="U364" s="2322"/>
      <c r="V364" s="2322"/>
      <c r="W364" s="2322"/>
      <c r="X364" s="2322"/>
      <c r="Y364" s="2322"/>
      <c r="Z364" s="2322"/>
      <c r="AA364" s="2322"/>
      <c r="AB364" s="2322"/>
      <c r="AC364" s="2322"/>
      <c r="AD364" s="2322"/>
      <c r="AE364" s="2322"/>
      <c r="AF364" s="2322"/>
      <c r="AG364" s="2322"/>
      <c r="AH364" s="2322"/>
      <c r="AI364" s="2322"/>
      <c r="AJ364" s="2322"/>
      <c r="AK364" s="2322"/>
      <c r="AL364" s="2322"/>
      <c r="AM364" s="2322"/>
      <c r="AN364" s="2322"/>
      <c r="AO364" s="2322"/>
      <c r="AP364" s="2322"/>
      <c r="AQ364" s="2322"/>
      <c r="AR364" s="2322"/>
      <c r="AS364" s="2322"/>
      <c r="AT364" s="2322"/>
      <c r="AU364" s="2322"/>
      <c r="AV364" s="2322"/>
      <c r="AW364" s="2322"/>
      <c r="AX364" s="2322"/>
      <c r="AY364" s="2322"/>
      <c r="AZ364" s="2322"/>
      <c r="BA364" s="2322"/>
      <c r="BB364" s="2322"/>
      <c r="BC364" s="2322"/>
      <c r="BD364" s="2322"/>
      <c r="BE364" s="2322"/>
      <c r="BF364" s="2322"/>
      <c r="BG364" s="2322"/>
      <c r="BH364" s="2322"/>
      <c r="BI364" s="2322"/>
      <c r="BJ364" s="2322"/>
      <c r="BK364" s="2322"/>
      <c r="BL364" s="2322"/>
      <c r="BM364" s="2322"/>
      <c r="BN364" s="2322"/>
      <c r="BO364" s="2322"/>
      <c r="BP364" s="2322"/>
      <c r="BQ364" s="2322"/>
      <c r="BR364" s="2322"/>
      <c r="BS364" s="2322"/>
      <c r="BT364" s="2322"/>
      <c r="BU364" s="2322"/>
      <c r="BV364" s="2322"/>
      <c r="BW364" s="2322"/>
      <c r="BX364" s="2322"/>
      <c r="BY364" s="2322"/>
      <c r="BZ364" s="2322"/>
      <c r="CA364" s="2322"/>
      <c r="CB364" s="2322"/>
      <c r="CC364" s="2322"/>
      <c r="CD364" s="2322"/>
      <c r="CE364" s="2322"/>
      <c r="CF364" s="2322"/>
      <c r="CG364" s="2322"/>
      <c r="CH364" s="2322"/>
      <c r="CI364" s="2322"/>
      <c r="CJ364" s="2322"/>
      <c r="CK364" s="2322"/>
      <c r="CL364" s="2322"/>
      <c r="CM364" s="2322"/>
      <c r="CN364" s="2322"/>
      <c r="CO364" s="2322"/>
      <c r="CP364" s="2322"/>
      <c r="CQ364" s="2322"/>
      <c r="CR364" s="2322"/>
      <c r="CS364" s="2322"/>
      <c r="CT364" s="2322"/>
      <c r="CU364" s="2322"/>
      <c r="CV364" s="2322"/>
    </row>
    <row r="365" spans="1:100" ht="15.75" customHeight="1">
      <c r="A365" s="2328"/>
      <c r="B365" s="2322"/>
      <c r="C365" s="2322"/>
      <c r="D365" s="2322"/>
      <c r="E365" s="2322"/>
      <c r="F365" s="2322"/>
      <c r="G365" s="2322"/>
      <c r="H365" s="2322"/>
      <c r="I365" s="2322"/>
      <c r="J365" s="2322"/>
      <c r="K365" s="2322"/>
      <c r="L365" s="2322"/>
      <c r="M365" s="2322"/>
      <c r="N365" s="2322"/>
      <c r="O365" s="2322"/>
      <c r="P365" s="2322"/>
      <c r="Q365" s="2322"/>
      <c r="R365" s="2322"/>
      <c r="S365" s="2322"/>
      <c r="T365" s="2322"/>
      <c r="U365" s="2322"/>
      <c r="V365" s="2322"/>
      <c r="W365" s="2322"/>
      <c r="X365" s="2322"/>
      <c r="Y365" s="2322"/>
      <c r="Z365" s="2322"/>
      <c r="AA365" s="2322"/>
      <c r="AB365" s="2322"/>
      <c r="AC365" s="2322"/>
      <c r="AD365" s="2322"/>
      <c r="AE365" s="2322"/>
      <c r="AF365" s="2322"/>
      <c r="AG365" s="2322"/>
      <c r="AH365" s="2322"/>
      <c r="AI365" s="2322"/>
      <c r="AJ365" s="2322"/>
      <c r="AK365" s="2322"/>
      <c r="AL365" s="2322"/>
      <c r="AM365" s="2322"/>
      <c r="AN365" s="2322"/>
      <c r="AO365" s="2322"/>
      <c r="AP365" s="2322"/>
      <c r="AQ365" s="2322"/>
      <c r="AR365" s="2322"/>
      <c r="AS365" s="2322"/>
      <c r="AT365" s="2322"/>
      <c r="AU365" s="2322"/>
      <c r="AV365" s="2322"/>
      <c r="AW365" s="2322"/>
      <c r="AX365" s="2322"/>
      <c r="AY365" s="2322"/>
      <c r="AZ365" s="2322"/>
      <c r="BA365" s="2322"/>
      <c r="BB365" s="2322"/>
      <c r="BC365" s="2322"/>
      <c r="BD365" s="2322"/>
      <c r="BE365" s="2322"/>
      <c r="BF365" s="2322"/>
      <c r="BG365" s="2322"/>
      <c r="BH365" s="2322"/>
      <c r="BI365" s="2322"/>
      <c r="BJ365" s="2322"/>
      <c r="BK365" s="2322"/>
      <c r="BL365" s="2322"/>
      <c r="BM365" s="2322"/>
      <c r="BN365" s="2322"/>
      <c r="BO365" s="2322"/>
      <c r="BP365" s="2322"/>
      <c r="BQ365" s="2322"/>
      <c r="BR365" s="2322"/>
      <c r="BS365" s="2322"/>
      <c r="BT365" s="2322"/>
      <c r="BU365" s="2322"/>
      <c r="BV365" s="2322"/>
      <c r="BW365" s="2322"/>
      <c r="BX365" s="2322"/>
      <c r="BY365" s="2322"/>
      <c r="BZ365" s="2322"/>
      <c r="CA365" s="2322"/>
      <c r="CB365" s="2322"/>
      <c r="CC365" s="2322"/>
      <c r="CD365" s="2322"/>
      <c r="CE365" s="2322"/>
      <c r="CF365" s="2322"/>
      <c r="CG365" s="2322"/>
      <c r="CH365" s="2322"/>
      <c r="CI365" s="2322"/>
      <c r="CJ365" s="2322"/>
      <c r="CK365" s="2322"/>
      <c r="CL365" s="2322"/>
      <c r="CM365" s="2322"/>
      <c r="CN365" s="2322"/>
      <c r="CO365" s="2322"/>
      <c r="CP365" s="2322"/>
      <c r="CQ365" s="2322"/>
      <c r="CR365" s="2322"/>
      <c r="CS365" s="2322"/>
      <c r="CT365" s="2322"/>
      <c r="CU365" s="2322"/>
      <c r="CV365" s="2322"/>
    </row>
    <row r="366" spans="1:100" ht="15.75" customHeight="1">
      <c r="A366" s="2328"/>
      <c r="B366" s="2322"/>
      <c r="C366" s="2322"/>
      <c r="D366" s="2322"/>
      <c r="E366" s="2322"/>
      <c r="F366" s="2322"/>
      <c r="G366" s="2322"/>
      <c r="H366" s="2322"/>
      <c r="I366" s="2322"/>
      <c r="J366" s="2322"/>
      <c r="K366" s="2322"/>
      <c r="L366" s="2322"/>
      <c r="M366" s="2322"/>
      <c r="N366" s="2322"/>
      <c r="O366" s="2322"/>
      <c r="P366" s="2322"/>
      <c r="Q366" s="2322"/>
      <c r="R366" s="2322"/>
      <c r="S366" s="2322"/>
      <c r="T366" s="2322"/>
      <c r="U366" s="2322"/>
      <c r="V366" s="2322"/>
      <c r="W366" s="2322"/>
      <c r="X366" s="2322"/>
      <c r="Y366" s="2322"/>
      <c r="Z366" s="2322"/>
      <c r="AA366" s="2322"/>
      <c r="AB366" s="2322"/>
      <c r="AC366" s="2322"/>
      <c r="AD366" s="2322"/>
      <c r="AE366" s="2322"/>
      <c r="AF366" s="2322"/>
      <c r="AG366" s="2322"/>
      <c r="AH366" s="2322"/>
      <c r="AI366" s="2322"/>
      <c r="AJ366" s="2322"/>
      <c r="AK366" s="2322"/>
      <c r="AL366" s="2322"/>
      <c r="AM366" s="2322"/>
      <c r="AN366" s="2322"/>
      <c r="AO366" s="2322"/>
      <c r="AP366" s="2322"/>
      <c r="AQ366" s="2322"/>
      <c r="AR366" s="2322"/>
      <c r="AS366" s="2322"/>
      <c r="AT366" s="2322"/>
      <c r="AU366" s="2322"/>
      <c r="AV366" s="2322"/>
      <c r="AW366" s="2322"/>
      <c r="AX366" s="2322"/>
      <c r="AY366" s="2322"/>
      <c r="AZ366" s="2322"/>
      <c r="BA366" s="2322"/>
      <c r="BB366" s="2322"/>
      <c r="BC366" s="2322"/>
      <c r="BD366" s="2322"/>
      <c r="BE366" s="2322"/>
      <c r="BF366" s="2322"/>
      <c r="BG366" s="2322"/>
      <c r="BH366" s="2322"/>
      <c r="BI366" s="2322"/>
      <c r="BJ366" s="2322"/>
      <c r="BK366" s="2322"/>
      <c r="BL366" s="2322"/>
      <c r="BM366" s="2322"/>
      <c r="BN366" s="2322"/>
      <c r="BO366" s="2322"/>
      <c r="BP366" s="2322"/>
      <c r="BQ366" s="2322"/>
      <c r="BR366" s="2322"/>
      <c r="BS366" s="2322"/>
      <c r="BT366" s="2322"/>
      <c r="BU366" s="2322"/>
      <c r="BV366" s="2322"/>
      <c r="BW366" s="2322"/>
      <c r="BX366" s="2322"/>
      <c r="BY366" s="2322"/>
      <c r="BZ366" s="2322"/>
      <c r="CA366" s="2322"/>
      <c r="CB366" s="2322"/>
      <c r="CC366" s="2322"/>
      <c r="CD366" s="2322"/>
      <c r="CE366" s="2322"/>
      <c r="CF366" s="2322"/>
      <c r="CG366" s="2322"/>
      <c r="CH366" s="2322"/>
      <c r="CI366" s="2322"/>
      <c r="CJ366" s="2322"/>
      <c r="CK366" s="2322"/>
      <c r="CL366" s="2322"/>
      <c r="CM366" s="2322"/>
      <c r="CN366" s="2322"/>
      <c r="CO366" s="2322"/>
      <c r="CP366" s="2322"/>
      <c r="CQ366" s="2322"/>
      <c r="CR366" s="2322"/>
      <c r="CS366" s="2322"/>
      <c r="CT366" s="2322"/>
      <c r="CU366" s="2322"/>
      <c r="CV366" s="2322"/>
    </row>
    <row r="367" spans="1:100" ht="15.75" customHeight="1">
      <c r="A367" s="2328"/>
      <c r="B367" s="2322"/>
      <c r="C367" s="2322"/>
      <c r="D367" s="2322"/>
      <c r="E367" s="2322"/>
      <c r="F367" s="2322"/>
      <c r="G367" s="2322"/>
      <c r="H367" s="2322"/>
      <c r="I367" s="2322"/>
      <c r="J367" s="2322"/>
      <c r="K367" s="2322"/>
      <c r="L367" s="2322"/>
      <c r="M367" s="2322"/>
      <c r="N367" s="2322"/>
      <c r="O367" s="2322"/>
      <c r="P367" s="2322"/>
      <c r="Q367" s="2322"/>
      <c r="R367" s="2322"/>
      <c r="S367" s="2322"/>
      <c r="T367" s="2322"/>
      <c r="U367" s="2322"/>
      <c r="V367" s="2322"/>
      <c r="W367" s="2322"/>
      <c r="X367" s="2322"/>
      <c r="Y367" s="2322"/>
      <c r="Z367" s="2322"/>
      <c r="AA367" s="2322"/>
      <c r="AB367" s="2322"/>
      <c r="AC367" s="2322"/>
      <c r="AD367" s="2322"/>
      <c r="AE367" s="2322"/>
      <c r="AF367" s="2322"/>
      <c r="AG367" s="2322"/>
      <c r="AH367" s="2322"/>
      <c r="AI367" s="2322"/>
      <c r="AJ367" s="2322"/>
      <c r="AK367" s="2322"/>
      <c r="AL367" s="2322"/>
      <c r="AM367" s="2322"/>
      <c r="AN367" s="2322"/>
      <c r="AO367" s="2322"/>
      <c r="AP367" s="2322"/>
      <c r="AQ367" s="2322"/>
      <c r="AR367" s="2322"/>
      <c r="AS367" s="2322"/>
      <c r="AT367" s="2322"/>
      <c r="AU367" s="2322"/>
      <c r="AV367" s="2322"/>
      <c r="AW367" s="2322"/>
      <c r="AX367" s="2322"/>
      <c r="AY367" s="2322"/>
      <c r="AZ367" s="2322"/>
      <c r="BA367" s="2322"/>
      <c r="BB367" s="2322"/>
      <c r="BC367" s="2322"/>
      <c r="BD367" s="2322"/>
      <c r="BE367" s="2322"/>
      <c r="BF367" s="2322"/>
      <c r="BG367" s="2322"/>
      <c r="BH367" s="2322"/>
      <c r="BI367" s="2322"/>
      <c r="BJ367" s="2322"/>
      <c r="BK367" s="2322"/>
      <c r="BL367" s="2322"/>
      <c r="BM367" s="2322"/>
      <c r="BN367" s="2322"/>
      <c r="BO367" s="2322"/>
      <c r="BP367" s="2322"/>
      <c r="BQ367" s="2322"/>
      <c r="BR367" s="2322"/>
      <c r="BS367" s="2322"/>
      <c r="BT367" s="2322"/>
      <c r="BU367" s="2322"/>
      <c r="BV367" s="2322"/>
      <c r="BW367" s="2322"/>
      <c r="BX367" s="2322"/>
      <c r="BY367" s="2322"/>
      <c r="BZ367" s="2322"/>
      <c r="CA367" s="2322"/>
      <c r="CB367" s="2322"/>
      <c r="CC367" s="2322"/>
      <c r="CD367" s="2322"/>
      <c r="CE367" s="2322"/>
      <c r="CF367" s="2322"/>
      <c r="CG367" s="2322"/>
      <c r="CH367" s="2322"/>
      <c r="CI367" s="2322"/>
      <c r="CJ367" s="2322"/>
      <c r="CK367" s="2322"/>
      <c r="CL367" s="2322"/>
      <c r="CM367" s="2322"/>
      <c r="CN367" s="2322"/>
      <c r="CO367" s="2322"/>
      <c r="CP367" s="2322"/>
      <c r="CQ367" s="2322"/>
      <c r="CR367" s="2322"/>
      <c r="CS367" s="2322"/>
      <c r="CT367" s="2322"/>
      <c r="CU367" s="2322"/>
      <c r="CV367" s="2322"/>
    </row>
    <row r="368" spans="1:100" ht="15.75" customHeight="1">
      <c r="A368" s="2328"/>
      <c r="B368" s="2322"/>
      <c r="C368" s="2322"/>
      <c r="D368" s="2322"/>
      <c r="E368" s="2322"/>
      <c r="F368" s="2322"/>
      <c r="G368" s="2322"/>
      <c r="H368" s="2322"/>
      <c r="I368" s="2322"/>
      <c r="J368" s="2322"/>
      <c r="K368" s="2322"/>
      <c r="L368" s="2322"/>
      <c r="M368" s="2322"/>
      <c r="N368" s="2322"/>
      <c r="O368" s="2322"/>
      <c r="P368" s="2322"/>
      <c r="Q368" s="2322"/>
      <c r="R368" s="2322"/>
      <c r="S368" s="2322"/>
      <c r="T368" s="2322"/>
      <c r="U368" s="2322"/>
      <c r="V368" s="2322"/>
      <c r="W368" s="2322"/>
      <c r="X368" s="2322"/>
      <c r="Y368" s="2322"/>
      <c r="Z368" s="2322"/>
      <c r="AA368" s="2322"/>
      <c r="AB368" s="2322"/>
      <c r="AC368" s="2322"/>
      <c r="AD368" s="2322"/>
      <c r="AE368" s="2322"/>
      <c r="AF368" s="2322"/>
      <c r="AG368" s="2322"/>
      <c r="AH368" s="2322"/>
      <c r="AI368" s="2322"/>
      <c r="AJ368" s="2322"/>
      <c r="AK368" s="2322"/>
      <c r="AL368" s="2322"/>
      <c r="AM368" s="2322"/>
      <c r="AN368" s="2322"/>
      <c r="AO368" s="2322"/>
      <c r="AP368" s="2322"/>
      <c r="AQ368" s="2322"/>
      <c r="AR368" s="2322"/>
      <c r="AS368" s="2322"/>
      <c r="AT368" s="2322"/>
      <c r="AU368" s="2322"/>
      <c r="AV368" s="2322"/>
      <c r="AW368" s="2322"/>
      <c r="AX368" s="2322"/>
      <c r="AY368" s="2322"/>
      <c r="AZ368" s="2322"/>
      <c r="BA368" s="2322"/>
      <c r="BB368" s="2322"/>
      <c r="BC368" s="2322"/>
      <c r="BD368" s="2322"/>
      <c r="BE368" s="2322"/>
      <c r="BF368" s="2322"/>
      <c r="BG368" s="2322"/>
      <c r="BH368" s="2322"/>
      <c r="BI368" s="2322"/>
      <c r="BJ368" s="2322"/>
      <c r="BK368" s="2322"/>
      <c r="BL368" s="2322"/>
      <c r="BM368" s="2322"/>
      <c r="BN368" s="2322"/>
      <c r="BO368" s="2322"/>
      <c r="BP368" s="2322"/>
      <c r="BQ368" s="2322"/>
      <c r="BR368" s="2322"/>
      <c r="BS368" s="2322"/>
      <c r="BT368" s="2322"/>
      <c r="BU368" s="2322"/>
      <c r="BV368" s="2322"/>
      <c r="BW368" s="2322"/>
      <c r="BX368" s="2322"/>
      <c r="BY368" s="2322"/>
      <c r="BZ368" s="2322"/>
      <c r="CA368" s="2322"/>
      <c r="CB368" s="2322"/>
      <c r="CC368" s="2322"/>
      <c r="CD368" s="2322"/>
      <c r="CE368" s="2322"/>
      <c r="CF368" s="2322"/>
      <c r="CG368" s="2322"/>
      <c r="CH368" s="2322"/>
      <c r="CI368" s="2322"/>
      <c r="CJ368" s="2322"/>
      <c r="CK368" s="2322"/>
      <c r="CL368" s="2322"/>
      <c r="CM368" s="2322"/>
      <c r="CN368" s="2322"/>
      <c r="CO368" s="2322"/>
      <c r="CP368" s="2322"/>
      <c r="CQ368" s="2322"/>
      <c r="CR368" s="2322"/>
      <c r="CS368" s="2322"/>
      <c r="CT368" s="2322"/>
      <c r="CU368" s="2322"/>
      <c r="CV368" s="2322"/>
    </row>
    <row r="369" spans="1:100" ht="15.75" customHeight="1">
      <c r="A369" s="2328"/>
      <c r="B369" s="2322"/>
      <c r="C369" s="2322"/>
      <c r="D369" s="2322"/>
      <c r="E369" s="2322"/>
      <c r="F369" s="2322"/>
      <c r="G369" s="2322"/>
      <c r="H369" s="2322"/>
      <c r="I369" s="2322"/>
      <c r="J369" s="2322"/>
      <c r="K369" s="2322"/>
      <c r="L369" s="2322"/>
      <c r="M369" s="2322"/>
      <c r="N369" s="2322"/>
      <c r="O369" s="2322"/>
      <c r="P369" s="2322"/>
      <c r="Q369" s="2322"/>
      <c r="R369" s="2322"/>
      <c r="S369" s="2322"/>
      <c r="T369" s="2322"/>
      <c r="U369" s="2322"/>
      <c r="V369" s="2322"/>
      <c r="W369" s="2322"/>
      <c r="X369" s="2322"/>
      <c r="Y369" s="2322"/>
      <c r="Z369" s="2322"/>
      <c r="AA369" s="2322"/>
      <c r="AB369" s="2322"/>
      <c r="AC369" s="2322"/>
      <c r="AD369" s="2322"/>
      <c r="AE369" s="2322"/>
      <c r="AF369" s="2322"/>
      <c r="AG369" s="2322"/>
      <c r="AH369" s="2322"/>
      <c r="AI369" s="2322"/>
      <c r="AJ369" s="2322"/>
      <c r="AK369" s="2322"/>
      <c r="AL369" s="2322"/>
      <c r="AM369" s="2322"/>
      <c r="AN369" s="2322"/>
      <c r="AO369" s="2322"/>
      <c r="AP369" s="2322"/>
      <c r="AQ369" s="2322"/>
      <c r="AR369" s="2322"/>
      <c r="AS369" s="2322"/>
      <c r="AT369" s="2322"/>
      <c r="AU369" s="2322"/>
      <c r="AV369" s="2322"/>
      <c r="AW369" s="2322"/>
      <c r="AX369" s="2322"/>
      <c r="AY369" s="2322"/>
      <c r="AZ369" s="2322"/>
      <c r="BA369" s="2322"/>
      <c r="BB369" s="2322"/>
      <c r="BC369" s="2322"/>
      <c r="BD369" s="2322"/>
      <c r="BE369" s="2322"/>
      <c r="BF369" s="2322"/>
      <c r="BG369" s="2322"/>
      <c r="BH369" s="2322"/>
      <c r="BI369" s="2322"/>
      <c r="BJ369" s="2322"/>
      <c r="BK369" s="2322"/>
      <c r="BL369" s="2322"/>
      <c r="BM369" s="2322"/>
      <c r="BN369" s="2322"/>
      <c r="BO369" s="2322"/>
      <c r="BP369" s="2322"/>
      <c r="BQ369" s="2322"/>
      <c r="BR369" s="2322"/>
      <c r="BS369" s="2322"/>
      <c r="BT369" s="2322"/>
      <c r="BU369" s="2322"/>
      <c r="BV369" s="2322"/>
      <c r="BW369" s="2322"/>
      <c r="BX369" s="2322"/>
      <c r="BY369" s="2322"/>
      <c r="BZ369" s="2322"/>
      <c r="CA369" s="2322"/>
      <c r="CB369" s="2322"/>
      <c r="CC369" s="2322"/>
      <c r="CD369" s="2322"/>
      <c r="CE369" s="2322"/>
      <c r="CF369" s="2322"/>
      <c r="CG369" s="2322"/>
      <c r="CH369" s="2322"/>
      <c r="CI369" s="2322"/>
      <c r="CJ369" s="2322"/>
      <c r="CK369" s="2322"/>
      <c r="CL369" s="2322"/>
      <c r="CM369" s="2322"/>
      <c r="CN369" s="2322"/>
      <c r="CO369" s="2322"/>
      <c r="CP369" s="2322"/>
      <c r="CQ369" s="2322"/>
      <c r="CR369" s="2322"/>
      <c r="CS369" s="2322"/>
      <c r="CT369" s="2322"/>
      <c r="CU369" s="2322"/>
      <c r="CV369" s="2322"/>
    </row>
    <row r="370" spans="1:100" ht="15.75" customHeight="1">
      <c r="A370" s="2328"/>
      <c r="B370" s="2322"/>
      <c r="C370" s="2322"/>
      <c r="D370" s="2322"/>
      <c r="E370" s="2322"/>
      <c r="F370" s="2322"/>
      <c r="G370" s="2322"/>
      <c r="H370" s="2322"/>
      <c r="I370" s="2322"/>
      <c r="J370" s="2322"/>
      <c r="K370" s="2322"/>
      <c r="L370" s="2322"/>
      <c r="M370" s="2322"/>
      <c r="N370" s="2322"/>
      <c r="O370" s="2322"/>
      <c r="P370" s="2322"/>
      <c r="Q370" s="2322"/>
      <c r="R370" s="2322"/>
      <c r="S370" s="2322"/>
      <c r="T370" s="2322"/>
      <c r="U370" s="2322"/>
      <c r="V370" s="2322"/>
      <c r="W370" s="2322"/>
      <c r="X370" s="2322"/>
      <c r="Y370" s="2322"/>
      <c r="Z370" s="2322"/>
      <c r="AA370" s="2322"/>
      <c r="AB370" s="2322"/>
      <c r="AC370" s="2322"/>
      <c r="AD370" s="2322"/>
      <c r="AE370" s="2322"/>
      <c r="AF370" s="2322"/>
      <c r="AG370" s="2322"/>
      <c r="AH370" s="2322"/>
      <c r="AI370" s="2322"/>
      <c r="AJ370" s="2322"/>
      <c r="AK370" s="2322"/>
      <c r="AL370" s="2322"/>
      <c r="AM370" s="2322"/>
      <c r="AN370" s="2322"/>
      <c r="AO370" s="2322"/>
      <c r="AP370" s="2322"/>
      <c r="AQ370" s="2322"/>
      <c r="AR370" s="2322"/>
      <c r="AS370" s="2322"/>
      <c r="AT370" s="2322"/>
      <c r="AU370" s="2322"/>
      <c r="AV370" s="2322"/>
      <c r="AW370" s="2322"/>
      <c r="AX370" s="2322"/>
      <c r="AY370" s="2322"/>
      <c r="AZ370" s="2322"/>
      <c r="BA370" s="2322"/>
      <c r="BB370" s="2322"/>
      <c r="BC370" s="2322"/>
      <c r="BD370" s="2322"/>
      <c r="BE370" s="2322"/>
      <c r="BF370" s="2322"/>
      <c r="BG370" s="2322"/>
      <c r="BH370" s="2322"/>
      <c r="BI370" s="2322"/>
      <c r="BJ370" s="2322"/>
      <c r="BK370" s="2322"/>
      <c r="BL370" s="2322"/>
      <c r="BM370" s="2322"/>
      <c r="BN370" s="2322"/>
      <c r="BO370" s="2322"/>
      <c r="BP370" s="2322"/>
      <c r="BQ370" s="2322"/>
      <c r="BR370" s="2322"/>
      <c r="BS370" s="2322"/>
      <c r="BT370" s="2322"/>
      <c r="BU370" s="2322"/>
      <c r="BV370" s="2322"/>
      <c r="BW370" s="2322"/>
      <c r="BX370" s="2322"/>
      <c r="BY370" s="2322"/>
      <c r="BZ370" s="2322"/>
      <c r="CA370" s="2322"/>
      <c r="CB370" s="2322"/>
      <c r="CC370" s="2322"/>
      <c r="CD370" s="2322"/>
      <c r="CE370" s="2322"/>
      <c r="CF370" s="2322"/>
      <c r="CG370" s="2322"/>
      <c r="CH370" s="2322"/>
      <c r="CI370" s="2322"/>
      <c r="CJ370" s="2322"/>
      <c r="CK370" s="2322"/>
      <c r="CL370" s="2322"/>
      <c r="CM370" s="2322"/>
      <c r="CN370" s="2322"/>
      <c r="CO370" s="2322"/>
      <c r="CP370" s="2322"/>
      <c r="CQ370" s="2322"/>
      <c r="CR370" s="2322"/>
      <c r="CS370" s="2322"/>
      <c r="CT370" s="2322"/>
      <c r="CU370" s="2322"/>
      <c r="CV370" s="2322"/>
    </row>
    <row r="371" spans="1:100" ht="15.75" customHeight="1">
      <c r="A371" s="2328"/>
      <c r="B371" s="2322"/>
      <c r="C371" s="2322"/>
      <c r="D371" s="2322"/>
      <c r="E371" s="2322"/>
      <c r="F371" s="2322"/>
      <c r="G371" s="2322"/>
      <c r="H371" s="2322"/>
      <c r="I371" s="2322"/>
      <c r="J371" s="2322"/>
      <c r="K371" s="2322"/>
      <c r="L371" s="2322"/>
      <c r="M371" s="2322"/>
      <c r="N371" s="2322"/>
      <c r="O371" s="2322"/>
      <c r="P371" s="2322"/>
      <c r="Q371" s="2322"/>
      <c r="R371" s="2322"/>
      <c r="S371" s="2322"/>
      <c r="T371" s="2322"/>
      <c r="U371" s="2322"/>
      <c r="V371" s="2322"/>
      <c r="W371" s="2322"/>
      <c r="X371" s="2322"/>
      <c r="Y371" s="2322"/>
      <c r="Z371" s="2322"/>
      <c r="AA371" s="2322"/>
      <c r="AB371" s="2322"/>
      <c r="AC371" s="2322"/>
      <c r="AD371" s="2322"/>
      <c r="AE371" s="2322"/>
      <c r="AF371" s="2322"/>
      <c r="AG371" s="2322"/>
      <c r="AH371" s="2322"/>
      <c r="AI371" s="2322"/>
      <c r="AJ371" s="2322"/>
      <c r="AK371" s="2322"/>
      <c r="AL371" s="2322"/>
      <c r="AM371" s="2322"/>
      <c r="AN371" s="2322"/>
      <c r="AO371" s="2322"/>
      <c r="AP371" s="2322"/>
      <c r="AQ371" s="2322"/>
      <c r="AR371" s="2322"/>
      <c r="AS371" s="2322"/>
      <c r="AT371" s="2322"/>
      <c r="AU371" s="2322"/>
      <c r="AV371" s="2322"/>
      <c r="AW371" s="2322"/>
      <c r="AX371" s="2322"/>
      <c r="AY371" s="2322"/>
      <c r="AZ371" s="2322"/>
      <c r="BA371" s="2322"/>
      <c r="BB371" s="2322"/>
      <c r="BC371" s="2322"/>
      <c r="BD371" s="2322"/>
      <c r="BE371" s="2322"/>
      <c r="BF371" s="2322"/>
      <c r="BG371" s="2322"/>
      <c r="BH371" s="2322"/>
      <c r="BI371" s="2322"/>
      <c r="BJ371" s="2322"/>
      <c r="BK371" s="2322"/>
      <c r="BL371" s="2322"/>
      <c r="BM371" s="2322"/>
      <c r="BN371" s="2322"/>
      <c r="BO371" s="2322"/>
      <c r="BP371" s="2322"/>
      <c r="BQ371" s="2322"/>
      <c r="BR371" s="2322"/>
      <c r="BS371" s="2322"/>
      <c r="BT371" s="2322"/>
      <c r="BU371" s="2322"/>
      <c r="BV371" s="2322"/>
      <c r="BW371" s="2322"/>
      <c r="BX371" s="2322"/>
      <c r="BY371" s="2322"/>
      <c r="BZ371" s="2322"/>
      <c r="CA371" s="2322"/>
      <c r="CB371" s="2322"/>
      <c r="CC371" s="2322"/>
      <c r="CD371" s="2322"/>
      <c r="CE371" s="2322"/>
      <c r="CF371" s="2322"/>
      <c r="CG371" s="2322"/>
      <c r="CH371" s="2322"/>
      <c r="CI371" s="2322"/>
      <c r="CJ371" s="2322"/>
      <c r="CK371" s="2322"/>
      <c r="CL371" s="2322"/>
      <c r="CM371" s="2322"/>
      <c r="CN371" s="2322"/>
      <c r="CO371" s="2322"/>
      <c r="CP371" s="2322"/>
      <c r="CQ371" s="2322"/>
      <c r="CR371" s="2322"/>
      <c r="CS371" s="2322"/>
      <c r="CT371" s="2322"/>
      <c r="CU371" s="2322"/>
      <c r="CV371" s="2322"/>
    </row>
    <row r="372" spans="1:100" ht="15.75" customHeight="1">
      <c r="A372" s="2328"/>
      <c r="B372" s="2322"/>
      <c r="C372" s="2322"/>
      <c r="D372" s="2322"/>
      <c r="E372" s="2322"/>
      <c r="F372" s="2322"/>
      <c r="G372" s="2322"/>
      <c r="H372" s="2322"/>
      <c r="I372" s="2322"/>
      <c r="J372" s="2322"/>
      <c r="K372" s="2322"/>
      <c r="L372" s="2322"/>
      <c r="M372" s="2322"/>
      <c r="N372" s="2322"/>
      <c r="O372" s="2322"/>
      <c r="P372" s="2322"/>
      <c r="Q372" s="2322"/>
      <c r="R372" s="2322"/>
      <c r="S372" s="2322"/>
      <c r="T372" s="2322"/>
      <c r="U372" s="2322"/>
      <c r="V372" s="2322"/>
      <c r="W372" s="2322"/>
      <c r="X372" s="2322"/>
      <c r="Y372" s="2322"/>
      <c r="Z372" s="2322"/>
      <c r="AA372" s="2322"/>
      <c r="AB372" s="2322"/>
      <c r="AC372" s="2322"/>
      <c r="AD372" s="2322"/>
      <c r="AE372" s="2322"/>
      <c r="AF372" s="2322"/>
      <c r="AG372" s="2322"/>
      <c r="AH372" s="2322"/>
      <c r="AI372" s="2322"/>
      <c r="AJ372" s="2322"/>
      <c r="AK372" s="2322"/>
      <c r="AL372" s="2322"/>
      <c r="AM372" s="2322"/>
      <c r="AN372" s="2322"/>
      <c r="AO372" s="2322"/>
      <c r="AP372" s="2322"/>
      <c r="AQ372" s="2322"/>
      <c r="AR372" s="2322"/>
      <c r="AS372" s="2322"/>
      <c r="AT372" s="2322"/>
      <c r="AU372" s="2322"/>
      <c r="AV372" s="2322"/>
      <c r="AW372" s="2322"/>
      <c r="AX372" s="2322"/>
      <c r="AY372" s="2322"/>
      <c r="AZ372" s="2322"/>
      <c r="BA372" s="2322"/>
      <c r="BB372" s="2322"/>
      <c r="BC372" s="2322"/>
      <c r="BD372" s="2322"/>
      <c r="BE372" s="2322"/>
      <c r="BF372" s="2322"/>
      <c r="BG372" s="2322"/>
      <c r="BH372" s="2322"/>
      <c r="BI372" s="2322"/>
      <c r="BJ372" s="2322"/>
      <c r="BK372" s="2322"/>
      <c r="BL372" s="2322"/>
      <c r="BM372" s="2322"/>
      <c r="BN372" s="2322"/>
      <c r="BO372" s="2322"/>
      <c r="BP372" s="2322"/>
      <c r="BQ372" s="2322"/>
      <c r="BR372" s="2322"/>
      <c r="BS372" s="2322"/>
      <c r="BT372" s="2322"/>
      <c r="BU372" s="2322"/>
      <c r="BV372" s="2322"/>
      <c r="BW372" s="2322"/>
      <c r="BX372" s="2322"/>
      <c r="BY372" s="2322"/>
      <c r="BZ372" s="2322"/>
      <c r="CA372" s="2322"/>
      <c r="CB372" s="2322"/>
      <c r="CC372" s="2322"/>
      <c r="CD372" s="2322"/>
      <c r="CE372" s="2322"/>
      <c r="CF372" s="2322"/>
      <c r="CG372" s="2322"/>
      <c r="CH372" s="2322"/>
      <c r="CI372" s="2322"/>
      <c r="CJ372" s="2322"/>
      <c r="CK372" s="2322"/>
      <c r="CL372" s="2322"/>
      <c r="CM372" s="2322"/>
      <c r="CN372" s="2322"/>
      <c r="CO372" s="2322"/>
      <c r="CP372" s="2322"/>
      <c r="CQ372" s="2322"/>
      <c r="CR372" s="2322"/>
      <c r="CS372" s="2322"/>
      <c r="CT372" s="2322"/>
      <c r="CU372" s="2322"/>
      <c r="CV372" s="2322"/>
    </row>
    <row r="373" spans="1:100" ht="15.75" customHeight="1">
      <c r="A373" s="2328"/>
      <c r="B373" s="2322"/>
      <c r="C373" s="2322"/>
      <c r="D373" s="2322"/>
      <c r="E373" s="2322"/>
      <c r="F373" s="2322"/>
      <c r="G373" s="2322"/>
      <c r="H373" s="2322"/>
      <c r="I373" s="2322"/>
      <c r="J373" s="2322"/>
      <c r="K373" s="2322"/>
      <c r="L373" s="2322"/>
      <c r="M373" s="2322"/>
      <c r="N373" s="2322"/>
      <c r="O373" s="2322"/>
      <c r="P373" s="2322"/>
      <c r="Q373" s="2322"/>
      <c r="R373" s="2322"/>
      <c r="S373" s="2322"/>
      <c r="T373" s="2322"/>
      <c r="U373" s="2322"/>
      <c r="V373" s="2322"/>
      <c r="W373" s="2322"/>
      <c r="X373" s="2322"/>
      <c r="Y373" s="2322"/>
      <c r="Z373" s="2322"/>
      <c r="AA373" s="2322"/>
      <c r="AB373" s="2322"/>
      <c r="AC373" s="2322"/>
      <c r="AD373" s="2322"/>
      <c r="AE373" s="2322"/>
      <c r="AF373" s="2322"/>
      <c r="AG373" s="2322"/>
      <c r="AH373" s="2322"/>
      <c r="AI373" s="2322"/>
      <c r="AJ373" s="2322"/>
      <c r="AK373" s="2322"/>
      <c r="AL373" s="2322"/>
      <c r="AM373" s="2322"/>
      <c r="AN373" s="2322"/>
      <c r="AO373" s="2322"/>
      <c r="AP373" s="2322"/>
      <c r="AQ373" s="2322"/>
      <c r="AR373" s="2322"/>
      <c r="AS373" s="2322"/>
      <c r="AT373" s="2322"/>
      <c r="AU373" s="2322"/>
      <c r="AV373" s="2322"/>
      <c r="AW373" s="2322"/>
      <c r="AX373" s="2322"/>
      <c r="AY373" s="2322"/>
      <c r="AZ373" s="2322"/>
      <c r="BA373" s="2322"/>
      <c r="BB373" s="2322"/>
      <c r="BC373" s="2322"/>
      <c r="BD373" s="2322"/>
      <c r="BE373" s="2322"/>
      <c r="BF373" s="2322"/>
      <c r="BG373" s="2322"/>
      <c r="BH373" s="2322"/>
      <c r="BI373" s="2322"/>
      <c r="BJ373" s="2322"/>
      <c r="BK373" s="2322"/>
      <c r="BL373" s="2322"/>
      <c r="BM373" s="2322"/>
      <c r="BN373" s="2322"/>
      <c r="BO373" s="2322"/>
      <c r="BP373" s="2322"/>
      <c r="BQ373" s="2322"/>
      <c r="BR373" s="2322"/>
      <c r="BS373" s="2322"/>
      <c r="BT373" s="2322"/>
      <c r="BU373" s="2322"/>
      <c r="BV373" s="2322"/>
      <c r="BW373" s="2322"/>
      <c r="BX373" s="2322"/>
      <c r="BY373" s="2322"/>
      <c r="BZ373" s="2322"/>
      <c r="CA373" s="2322"/>
      <c r="CB373" s="2322"/>
      <c r="CC373" s="2322"/>
      <c r="CD373" s="2322"/>
      <c r="CE373" s="2322"/>
      <c r="CF373" s="2322"/>
      <c r="CG373" s="2322"/>
      <c r="CH373" s="2322"/>
      <c r="CI373" s="2322"/>
      <c r="CJ373" s="2322"/>
      <c r="CK373" s="2322"/>
      <c r="CL373" s="2322"/>
      <c r="CM373" s="2322"/>
      <c r="CN373" s="2322"/>
      <c r="CO373" s="2322"/>
      <c r="CP373" s="2322"/>
      <c r="CQ373" s="2322"/>
      <c r="CR373" s="2322"/>
      <c r="CS373" s="2322"/>
      <c r="CT373" s="2322"/>
      <c r="CU373" s="2322"/>
      <c r="CV373" s="2322"/>
    </row>
    <row r="374" spans="1:100" ht="15.75" customHeight="1">
      <c r="A374" s="2328"/>
      <c r="B374" s="2322"/>
      <c r="C374" s="2322"/>
      <c r="D374" s="2322"/>
      <c r="E374" s="2322"/>
      <c r="F374" s="2322"/>
      <c r="G374" s="2322"/>
      <c r="H374" s="2322"/>
      <c r="I374" s="2322"/>
      <c r="J374" s="2322"/>
      <c r="K374" s="2322"/>
      <c r="L374" s="2322"/>
      <c r="M374" s="2322"/>
      <c r="N374" s="2322"/>
      <c r="O374" s="2322"/>
      <c r="P374" s="2322"/>
      <c r="Q374" s="2322"/>
      <c r="R374" s="2322"/>
      <c r="S374" s="2322"/>
      <c r="T374" s="2322"/>
      <c r="U374" s="2322"/>
      <c r="V374" s="2322"/>
      <c r="W374" s="2322"/>
      <c r="X374" s="2322"/>
      <c r="Y374" s="2322"/>
      <c r="Z374" s="2322"/>
      <c r="AA374" s="2322"/>
      <c r="AB374" s="2322"/>
      <c r="AC374" s="2322"/>
      <c r="AD374" s="2322"/>
      <c r="AE374" s="2322"/>
      <c r="AF374" s="2322"/>
      <c r="AG374" s="2322"/>
      <c r="AH374" s="2322"/>
      <c r="AI374" s="2322"/>
      <c r="AJ374" s="2322"/>
      <c r="AK374" s="2322"/>
      <c r="AL374" s="2322"/>
      <c r="AM374" s="2322"/>
      <c r="AN374" s="2322"/>
      <c r="AO374" s="2322"/>
      <c r="AP374" s="2322"/>
      <c r="AQ374" s="2322"/>
      <c r="AR374" s="2322"/>
      <c r="AS374" s="2322"/>
      <c r="AT374" s="2322"/>
      <c r="AU374" s="2322"/>
      <c r="AV374" s="2322"/>
      <c r="AW374" s="2322"/>
      <c r="AX374" s="2322"/>
      <c r="AY374" s="2322"/>
      <c r="AZ374" s="2322"/>
      <c r="BA374" s="2322"/>
      <c r="BB374" s="2322"/>
      <c r="BC374" s="2322"/>
      <c r="BD374" s="2322"/>
      <c r="BE374" s="2322"/>
      <c r="BF374" s="2322"/>
      <c r="BG374" s="2322"/>
      <c r="BH374" s="2322"/>
      <c r="BI374" s="2322"/>
      <c r="BJ374" s="2322"/>
      <c r="BK374" s="2322"/>
      <c r="BL374" s="2322"/>
      <c r="BM374" s="2322"/>
      <c r="BN374" s="2322"/>
      <c r="BO374" s="2322"/>
      <c r="BP374" s="2322"/>
      <c r="BQ374" s="2322"/>
      <c r="BR374" s="2322"/>
      <c r="BS374" s="2322"/>
      <c r="BT374" s="2322"/>
      <c r="BU374" s="2322"/>
      <c r="BV374" s="2322"/>
      <c r="BW374" s="2322"/>
      <c r="BX374" s="2322"/>
      <c r="BY374" s="2322"/>
      <c r="BZ374" s="2322"/>
      <c r="CA374" s="2322"/>
      <c r="CB374" s="2322"/>
      <c r="CC374" s="2322"/>
      <c r="CD374" s="2322"/>
      <c r="CE374" s="2322"/>
      <c r="CF374" s="2322"/>
      <c r="CG374" s="2322"/>
      <c r="CH374" s="2322"/>
      <c r="CI374" s="2322"/>
      <c r="CJ374" s="2322"/>
      <c r="CK374" s="2322"/>
      <c r="CL374" s="2322"/>
      <c r="CM374" s="2322"/>
      <c r="CN374" s="2322"/>
      <c r="CO374" s="2322"/>
      <c r="CP374" s="2322"/>
      <c r="CQ374" s="2322"/>
      <c r="CR374" s="2322"/>
      <c r="CS374" s="2322"/>
      <c r="CT374" s="2322"/>
      <c r="CU374" s="2322"/>
      <c r="CV374" s="2322"/>
    </row>
    <row r="375" spans="1:100" ht="15.75" customHeight="1">
      <c r="A375" s="2328"/>
      <c r="B375" s="2322"/>
      <c r="C375" s="2322"/>
      <c r="D375" s="2322"/>
      <c r="E375" s="2322"/>
      <c r="F375" s="2322"/>
      <c r="G375" s="2322"/>
      <c r="H375" s="2322"/>
      <c r="I375" s="2322"/>
      <c r="J375" s="2322"/>
      <c r="K375" s="2322"/>
      <c r="L375" s="2322"/>
      <c r="M375" s="2322"/>
      <c r="N375" s="2322"/>
      <c r="O375" s="2322"/>
      <c r="P375" s="2322"/>
      <c r="Q375" s="2322"/>
      <c r="R375" s="2322"/>
      <c r="S375" s="2322"/>
      <c r="T375" s="2322"/>
      <c r="U375" s="2322"/>
      <c r="V375" s="2322"/>
      <c r="W375" s="2322"/>
      <c r="X375" s="2322"/>
      <c r="Y375" s="2322"/>
      <c r="Z375" s="2322"/>
      <c r="AA375" s="2322"/>
      <c r="AB375" s="2322"/>
      <c r="AC375" s="2322"/>
      <c r="AD375" s="2322"/>
      <c r="AE375" s="2322"/>
      <c r="AF375" s="2322"/>
      <c r="AG375" s="2322"/>
      <c r="AH375" s="2322"/>
      <c r="AI375" s="2322"/>
      <c r="AJ375" s="2322"/>
      <c r="AK375" s="2322"/>
      <c r="AL375" s="2322"/>
      <c r="AM375" s="2322"/>
      <c r="AN375" s="2322"/>
      <c r="AO375" s="2322"/>
      <c r="AP375" s="2322"/>
      <c r="AQ375" s="2322"/>
      <c r="AR375" s="2322"/>
      <c r="AS375" s="2322"/>
      <c r="AT375" s="2322"/>
      <c r="AU375" s="2322"/>
      <c r="AV375" s="2322"/>
      <c r="AW375" s="2322"/>
      <c r="AX375" s="2322"/>
      <c r="AY375" s="2322"/>
      <c r="AZ375" s="2322"/>
      <c r="BA375" s="2322"/>
      <c r="BB375" s="2322"/>
      <c r="BC375" s="2322"/>
      <c r="BD375" s="2322"/>
      <c r="BE375" s="2322"/>
      <c r="BF375" s="2322"/>
      <c r="BG375" s="2322"/>
      <c r="BH375" s="2322"/>
      <c r="BI375" s="2322"/>
      <c r="BJ375" s="2322"/>
      <c r="BK375" s="2322"/>
      <c r="BL375" s="2322"/>
      <c r="BM375" s="2322"/>
      <c r="BN375" s="2322"/>
      <c r="BO375" s="2322"/>
      <c r="BP375" s="2322"/>
      <c r="BQ375" s="2322"/>
      <c r="BR375" s="2322"/>
      <c r="BS375" s="2322"/>
      <c r="BT375" s="2322"/>
      <c r="BU375" s="2322"/>
      <c r="BV375" s="2322"/>
      <c r="BW375" s="2322"/>
      <c r="BX375" s="2322"/>
      <c r="BY375" s="2322"/>
      <c r="BZ375" s="2322"/>
      <c r="CA375" s="2322"/>
      <c r="CB375" s="2322"/>
      <c r="CC375" s="2322"/>
      <c r="CD375" s="2322"/>
      <c r="CE375" s="2322"/>
      <c r="CF375" s="2322"/>
      <c r="CG375" s="2322"/>
      <c r="CH375" s="2322"/>
      <c r="CI375" s="2322"/>
      <c r="CJ375" s="2322"/>
      <c r="CK375" s="2322"/>
      <c r="CL375" s="2322"/>
      <c r="CM375" s="2322"/>
      <c r="CN375" s="2322"/>
      <c r="CO375" s="2322"/>
      <c r="CP375" s="2322"/>
      <c r="CQ375" s="2322"/>
      <c r="CR375" s="2322"/>
      <c r="CS375" s="2322"/>
      <c r="CT375" s="2322"/>
      <c r="CU375" s="2322"/>
      <c r="CV375" s="2322"/>
    </row>
    <row r="376" spans="1:100" ht="15.75" customHeight="1">
      <c r="A376" s="2328"/>
      <c r="B376" s="2322"/>
      <c r="C376" s="2322"/>
      <c r="D376" s="2322"/>
      <c r="E376" s="2322"/>
      <c r="F376" s="2322"/>
      <c r="G376" s="2322"/>
      <c r="H376" s="2322"/>
      <c r="I376" s="2322"/>
      <c r="J376" s="2322"/>
      <c r="K376" s="2322"/>
      <c r="L376" s="2322"/>
      <c r="M376" s="2322"/>
      <c r="N376" s="2322"/>
      <c r="O376" s="2322"/>
      <c r="P376" s="2322"/>
      <c r="Q376" s="2322"/>
      <c r="R376" s="2322"/>
      <c r="S376" s="2322"/>
      <c r="T376" s="2322"/>
      <c r="U376" s="2322"/>
      <c r="V376" s="2322"/>
      <c r="W376" s="2322"/>
      <c r="X376" s="2322"/>
      <c r="Y376" s="2322"/>
      <c r="Z376" s="2322"/>
      <c r="AA376" s="2322"/>
      <c r="AB376" s="2322"/>
      <c r="AC376" s="2322"/>
      <c r="AD376" s="2322"/>
      <c r="AE376" s="2322"/>
      <c r="AF376" s="2322"/>
      <c r="AG376" s="2322"/>
      <c r="AH376" s="2322"/>
      <c r="AI376" s="2322"/>
      <c r="AJ376" s="2322"/>
      <c r="AK376" s="2322"/>
      <c r="AL376" s="2322"/>
      <c r="AM376" s="2322"/>
      <c r="AN376" s="2322"/>
      <c r="AO376" s="2322"/>
      <c r="AP376" s="2322"/>
      <c r="AQ376" s="2322"/>
      <c r="AR376" s="2322"/>
      <c r="AS376" s="2322"/>
      <c r="AT376" s="2322"/>
      <c r="AU376" s="2322"/>
      <c r="AV376" s="2322"/>
      <c r="AW376" s="2322"/>
      <c r="AX376" s="2322"/>
      <c r="AY376" s="2322"/>
      <c r="AZ376" s="2322"/>
      <c r="BA376" s="2322"/>
      <c r="BB376" s="2322"/>
      <c r="BC376" s="2322"/>
      <c r="BD376" s="2322"/>
      <c r="BE376" s="2322"/>
      <c r="BF376" s="2322"/>
      <c r="BG376" s="2322"/>
      <c r="BH376" s="2322"/>
      <c r="BI376" s="2322"/>
      <c r="BJ376" s="2322"/>
      <c r="BK376" s="2322"/>
      <c r="BL376" s="2322"/>
      <c r="BM376" s="2322"/>
      <c r="BN376" s="2322"/>
      <c r="BO376" s="2322"/>
      <c r="BP376" s="2322"/>
      <c r="BQ376" s="2322"/>
      <c r="BR376" s="2322"/>
      <c r="BS376" s="2322"/>
      <c r="BT376" s="2322"/>
      <c r="BU376" s="2322"/>
      <c r="BV376" s="2322"/>
      <c r="BW376" s="2322"/>
      <c r="BX376" s="2322"/>
      <c r="BY376" s="2322"/>
      <c r="BZ376" s="2322"/>
      <c r="CA376" s="2322"/>
      <c r="CB376" s="2322"/>
      <c r="CC376" s="2322"/>
      <c r="CD376" s="2322"/>
      <c r="CE376" s="2322"/>
      <c r="CF376" s="2322"/>
      <c r="CG376" s="2322"/>
      <c r="CH376" s="2322"/>
      <c r="CI376" s="2322"/>
      <c r="CJ376" s="2322"/>
      <c r="CK376" s="2322"/>
      <c r="CL376" s="2322"/>
      <c r="CM376" s="2322"/>
      <c r="CN376" s="2322"/>
      <c r="CO376" s="2322"/>
      <c r="CP376" s="2322"/>
      <c r="CQ376" s="2322"/>
      <c r="CR376" s="2322"/>
      <c r="CS376" s="2322"/>
      <c r="CT376" s="2322"/>
      <c r="CU376" s="2322"/>
      <c r="CV376" s="2322"/>
    </row>
    <row r="377" spans="1:100" ht="15.75" customHeight="1">
      <c r="A377" s="2328"/>
      <c r="B377" s="2322"/>
      <c r="C377" s="2322"/>
      <c r="D377" s="2322"/>
      <c r="E377" s="2322"/>
      <c r="F377" s="2322"/>
      <c r="G377" s="2322"/>
      <c r="H377" s="2322"/>
      <c r="I377" s="2322"/>
      <c r="J377" s="2322"/>
      <c r="K377" s="2322"/>
      <c r="L377" s="2322"/>
      <c r="M377" s="2322"/>
      <c r="N377" s="2322"/>
      <c r="O377" s="2322"/>
      <c r="P377" s="2322"/>
      <c r="Q377" s="2322"/>
      <c r="R377" s="2322"/>
      <c r="S377" s="2322"/>
      <c r="T377" s="2322"/>
      <c r="U377" s="2322"/>
      <c r="V377" s="2322"/>
      <c r="W377" s="2322"/>
      <c r="X377" s="2322"/>
      <c r="Y377" s="2322"/>
      <c r="Z377" s="2322"/>
      <c r="AA377" s="2322"/>
      <c r="AB377" s="2322"/>
      <c r="AC377" s="2322"/>
      <c r="AD377" s="2322"/>
      <c r="AE377" s="2322"/>
      <c r="AF377" s="2322"/>
      <c r="AG377" s="2322"/>
      <c r="AH377" s="2322"/>
      <c r="AI377" s="2322"/>
      <c r="AJ377" s="2322"/>
      <c r="AK377" s="2322"/>
      <c r="AL377" s="2322"/>
      <c r="AM377" s="2322"/>
      <c r="AN377" s="2322"/>
      <c r="AO377" s="2322"/>
      <c r="AP377" s="2322"/>
      <c r="AQ377" s="2322"/>
      <c r="AR377" s="2322"/>
      <c r="AS377" s="2322"/>
      <c r="AT377" s="2322"/>
      <c r="AU377" s="2322"/>
      <c r="AV377" s="2322"/>
      <c r="AW377" s="2322"/>
      <c r="AX377" s="2322"/>
      <c r="AY377" s="2322"/>
      <c r="AZ377" s="2322"/>
      <c r="BA377" s="2322"/>
      <c r="BB377" s="2322"/>
      <c r="BC377" s="2322"/>
      <c r="BD377" s="2322"/>
      <c r="BE377" s="2322"/>
      <c r="BF377" s="2322"/>
      <c r="BG377" s="2322"/>
      <c r="BH377" s="2322"/>
      <c r="BI377" s="2322"/>
      <c r="BJ377" s="2322"/>
      <c r="BK377" s="2322"/>
      <c r="BL377" s="2322"/>
      <c r="BM377" s="2322"/>
      <c r="BN377" s="2322"/>
      <c r="BO377" s="2322"/>
      <c r="BP377" s="2322"/>
      <c r="BQ377" s="2322"/>
      <c r="BR377" s="2322"/>
      <c r="BS377" s="2322"/>
      <c r="BT377" s="2322"/>
      <c r="BU377" s="2322"/>
      <c r="BV377" s="2322"/>
      <c r="BW377" s="2322"/>
      <c r="BX377" s="2322"/>
      <c r="BY377" s="2322"/>
      <c r="BZ377" s="2322"/>
      <c r="CA377" s="2322"/>
      <c r="CB377" s="2322"/>
      <c r="CC377" s="2322"/>
      <c r="CD377" s="2322"/>
      <c r="CE377" s="2322"/>
      <c r="CF377" s="2322"/>
      <c r="CG377" s="2322"/>
      <c r="CH377" s="2322"/>
      <c r="CI377" s="2322"/>
      <c r="CJ377" s="2322"/>
      <c r="CK377" s="2322"/>
      <c r="CL377" s="2322"/>
      <c r="CM377" s="2322"/>
      <c r="CN377" s="2322"/>
      <c r="CO377" s="2322"/>
      <c r="CP377" s="2322"/>
      <c r="CQ377" s="2322"/>
      <c r="CR377" s="2322"/>
      <c r="CS377" s="2322"/>
      <c r="CT377" s="2322"/>
      <c r="CU377" s="2322"/>
      <c r="CV377" s="2322"/>
    </row>
    <row r="378" spans="1:100" ht="15.75" customHeight="1">
      <c r="A378" s="2328"/>
      <c r="B378" s="2322"/>
      <c r="C378" s="2322"/>
      <c r="D378" s="2322"/>
      <c r="E378" s="2322"/>
      <c r="F378" s="2322"/>
      <c r="G378" s="2322"/>
      <c r="H378" s="2322"/>
      <c r="I378" s="2322"/>
      <c r="J378" s="2322"/>
      <c r="K378" s="2322"/>
      <c r="L378" s="2322"/>
      <c r="M378" s="2322"/>
      <c r="N378" s="2322"/>
      <c r="O378" s="2322"/>
      <c r="P378" s="2322"/>
      <c r="Q378" s="2322"/>
      <c r="R378" s="2322"/>
      <c r="S378" s="2322"/>
      <c r="T378" s="2322"/>
      <c r="U378" s="2322"/>
      <c r="V378" s="2322"/>
      <c r="W378" s="2322"/>
      <c r="X378" s="2322"/>
      <c r="Y378" s="2322"/>
      <c r="Z378" s="2322"/>
      <c r="AA378" s="2322"/>
      <c r="AB378" s="2322"/>
      <c r="AC378" s="2322"/>
      <c r="AD378" s="2322"/>
      <c r="AE378" s="2322"/>
      <c r="AF378" s="2322"/>
      <c r="AG378" s="2322"/>
      <c r="AH378" s="2322"/>
      <c r="AI378" s="2322"/>
      <c r="AJ378" s="2322"/>
      <c r="AK378" s="2322"/>
      <c r="AL378" s="2322"/>
      <c r="AM378" s="2322"/>
      <c r="AN378" s="2322"/>
      <c r="AO378" s="2322"/>
      <c r="AP378" s="2322"/>
      <c r="AQ378" s="2322"/>
      <c r="AR378" s="2322"/>
      <c r="AS378" s="2322"/>
      <c r="AT378" s="2322"/>
      <c r="AU378" s="2322"/>
      <c r="AV378" s="2322"/>
      <c r="AW378" s="2322"/>
      <c r="AX378" s="2322"/>
      <c r="AY378" s="2322"/>
      <c r="AZ378" s="2322"/>
      <c r="BA378" s="2322"/>
      <c r="BB378" s="2322"/>
      <c r="BC378" s="2322"/>
      <c r="BD378" s="2322"/>
      <c r="BE378" s="2322"/>
      <c r="BF378" s="2322"/>
      <c r="BG378" s="2322"/>
      <c r="BH378" s="2322"/>
      <c r="BI378" s="2322"/>
      <c r="BJ378" s="2322"/>
      <c r="BK378" s="2322"/>
      <c r="BL378" s="2322"/>
      <c r="BM378" s="2322"/>
      <c r="BN378" s="2322"/>
      <c r="BO378" s="2322"/>
      <c r="BP378" s="2322"/>
      <c r="BQ378" s="2322"/>
      <c r="BR378" s="2322"/>
      <c r="BS378" s="2322"/>
      <c r="BT378" s="2322"/>
      <c r="BU378" s="2322"/>
      <c r="BV378" s="2322"/>
      <c r="BW378" s="2322"/>
      <c r="BX378" s="2322"/>
      <c r="BY378" s="2322"/>
      <c r="BZ378" s="2322"/>
      <c r="CA378" s="2322"/>
      <c r="CB378" s="2322"/>
      <c r="CC378" s="2322"/>
      <c r="CD378" s="2322"/>
      <c r="CE378" s="2322"/>
      <c r="CF378" s="2322"/>
      <c r="CG378" s="2322"/>
      <c r="CH378" s="2322"/>
      <c r="CI378" s="2322"/>
      <c r="CJ378" s="2322"/>
      <c r="CK378" s="2322"/>
      <c r="CL378" s="2322"/>
      <c r="CM378" s="2322"/>
      <c r="CN378" s="2322"/>
      <c r="CO378" s="2322"/>
      <c r="CP378" s="2322"/>
      <c r="CQ378" s="2322"/>
      <c r="CR378" s="2322"/>
      <c r="CS378" s="2322"/>
      <c r="CT378" s="2322"/>
      <c r="CU378" s="2322"/>
      <c r="CV378" s="2322"/>
    </row>
    <row r="379" spans="1:100" ht="15.75" customHeight="1">
      <c r="A379" s="2328"/>
      <c r="B379" s="2322"/>
      <c r="C379" s="2322"/>
      <c r="D379" s="2322"/>
      <c r="E379" s="2322"/>
      <c r="F379" s="2322"/>
      <c r="G379" s="2322"/>
      <c r="H379" s="2322"/>
      <c r="I379" s="2322"/>
      <c r="J379" s="2322"/>
      <c r="K379" s="2322"/>
      <c r="L379" s="2322"/>
      <c r="M379" s="2322"/>
      <c r="N379" s="2322"/>
      <c r="O379" s="2322"/>
      <c r="P379" s="2322"/>
      <c r="Q379" s="2322"/>
      <c r="R379" s="2322"/>
      <c r="S379" s="2322"/>
      <c r="T379" s="2322"/>
      <c r="U379" s="2322"/>
      <c r="V379" s="2322"/>
      <c r="W379" s="2322"/>
      <c r="X379" s="2322"/>
      <c r="Y379" s="2322"/>
      <c r="Z379" s="2322"/>
      <c r="AA379" s="2322"/>
      <c r="AB379" s="2322"/>
      <c r="AC379" s="2322"/>
      <c r="AD379" s="2322"/>
      <c r="AE379" s="2322"/>
      <c r="AF379" s="2322"/>
      <c r="AG379" s="2322"/>
      <c r="AH379" s="2322"/>
      <c r="AI379" s="2322"/>
      <c r="AJ379" s="2322"/>
      <c r="AK379" s="2322"/>
      <c r="AL379" s="2322"/>
      <c r="AM379" s="2322"/>
      <c r="AN379" s="2322"/>
      <c r="AO379" s="2322"/>
      <c r="AP379" s="2322"/>
      <c r="AQ379" s="2322"/>
      <c r="AR379" s="2322"/>
      <c r="AS379" s="2322"/>
      <c r="AT379" s="2322"/>
      <c r="AU379" s="2322"/>
      <c r="AV379" s="2322"/>
      <c r="AW379" s="2322"/>
      <c r="AX379" s="2322"/>
      <c r="AY379" s="2322"/>
      <c r="AZ379" s="2322"/>
      <c r="BA379" s="2322"/>
      <c r="BB379" s="2322"/>
      <c r="BC379" s="2322"/>
      <c r="BD379" s="2322"/>
      <c r="BE379" s="2322"/>
      <c r="BF379" s="2322"/>
      <c r="BG379" s="2322"/>
      <c r="BH379" s="2322"/>
      <c r="BI379" s="2322"/>
      <c r="BJ379" s="2322"/>
      <c r="BK379" s="2322"/>
      <c r="BL379" s="2322"/>
      <c r="BM379" s="2322"/>
      <c r="BN379" s="2322"/>
      <c r="BO379" s="2322"/>
      <c r="BP379" s="2322"/>
      <c r="BQ379" s="2322"/>
      <c r="BR379" s="2322"/>
      <c r="BS379" s="2322"/>
      <c r="BT379" s="2322"/>
      <c r="BU379" s="2322"/>
      <c r="BV379" s="2322"/>
      <c r="BW379" s="2322"/>
      <c r="BX379" s="2322"/>
      <c r="BY379" s="2322"/>
      <c r="BZ379" s="2322"/>
      <c r="CA379" s="2322"/>
      <c r="CB379" s="2322"/>
      <c r="CC379" s="2322"/>
      <c r="CD379" s="2322"/>
      <c r="CE379" s="2322"/>
      <c r="CF379" s="2322"/>
      <c r="CG379" s="2322"/>
      <c r="CH379" s="2322"/>
      <c r="CI379" s="2322"/>
      <c r="CJ379" s="2322"/>
      <c r="CK379" s="2322"/>
      <c r="CL379" s="2322"/>
      <c r="CM379" s="2322"/>
      <c r="CN379" s="2322"/>
      <c r="CO379" s="2322"/>
      <c r="CP379" s="2322"/>
      <c r="CQ379" s="2322"/>
      <c r="CR379" s="2322"/>
      <c r="CS379" s="2322"/>
      <c r="CT379" s="2322"/>
      <c r="CU379" s="2322"/>
      <c r="CV379" s="2322"/>
    </row>
    <row r="380" spans="1:100" ht="15.75" customHeight="1">
      <c r="A380" s="2328"/>
      <c r="B380" s="2322"/>
      <c r="C380" s="2322"/>
      <c r="D380" s="2322"/>
      <c r="E380" s="2322"/>
      <c r="F380" s="2322"/>
      <c r="G380" s="2322"/>
      <c r="H380" s="2322"/>
      <c r="I380" s="2322"/>
      <c r="J380" s="2322"/>
      <c r="K380" s="2322"/>
      <c r="L380" s="2322"/>
      <c r="M380" s="2322"/>
      <c r="N380" s="2322"/>
      <c r="O380" s="2322"/>
      <c r="P380" s="2322"/>
      <c r="Q380" s="2322"/>
      <c r="R380" s="2322"/>
      <c r="S380" s="2322"/>
      <c r="T380" s="2322"/>
      <c r="U380" s="2322"/>
      <c r="V380" s="2322"/>
      <c r="W380" s="2322"/>
      <c r="X380" s="2322"/>
      <c r="Y380" s="2322"/>
      <c r="Z380" s="2322"/>
      <c r="AA380" s="2322"/>
      <c r="AB380" s="2322"/>
      <c r="AC380" s="2322"/>
      <c r="AD380" s="2322"/>
      <c r="AE380" s="2322"/>
      <c r="AF380" s="2322"/>
      <c r="AG380" s="2322"/>
      <c r="AH380" s="2322"/>
      <c r="AI380" s="2322"/>
      <c r="AJ380" s="2322"/>
      <c r="AK380" s="2322"/>
      <c r="AL380" s="2322"/>
      <c r="AM380" s="2322"/>
      <c r="AN380" s="2322"/>
      <c r="AO380" s="2322"/>
      <c r="AP380" s="2322"/>
      <c r="AQ380" s="2322"/>
      <c r="AR380" s="2322"/>
      <c r="AS380" s="2322"/>
      <c r="AT380" s="2322"/>
      <c r="AU380" s="2322"/>
      <c r="AV380" s="2322"/>
      <c r="AW380" s="2322"/>
      <c r="AX380" s="2322"/>
      <c r="AY380" s="2322"/>
      <c r="AZ380" s="2322"/>
      <c r="BA380" s="2322"/>
      <c r="BB380" s="2322"/>
      <c r="BC380" s="2322"/>
      <c r="BD380" s="2322"/>
      <c r="BE380" s="2322"/>
      <c r="BF380" s="2322"/>
      <c r="BG380" s="2322"/>
      <c r="BH380" s="2322"/>
      <c r="BI380" s="2322"/>
      <c r="BJ380" s="2322"/>
      <c r="BK380" s="2322"/>
      <c r="BL380" s="2322"/>
      <c r="BM380" s="2322"/>
      <c r="BN380" s="2322"/>
      <c r="BO380" s="2322"/>
      <c r="BP380" s="2322"/>
      <c r="BQ380" s="2322"/>
      <c r="BR380" s="2322"/>
      <c r="BS380" s="2322"/>
      <c r="BT380" s="2322"/>
      <c r="BU380" s="2322"/>
      <c r="BV380" s="2322"/>
      <c r="BW380" s="2322"/>
      <c r="BX380" s="2322"/>
      <c r="BY380" s="2322"/>
      <c r="BZ380" s="2322"/>
      <c r="CA380" s="2322"/>
      <c r="CB380" s="2322"/>
      <c r="CC380" s="2322"/>
      <c r="CD380" s="2322"/>
      <c r="CE380" s="2322"/>
      <c r="CF380" s="2322"/>
      <c r="CG380" s="2322"/>
      <c r="CH380" s="2322"/>
      <c r="CI380" s="2322"/>
      <c r="CJ380" s="2322"/>
      <c r="CK380" s="2322"/>
      <c r="CL380" s="2322"/>
      <c r="CM380" s="2322"/>
      <c r="CN380" s="2322"/>
      <c r="CO380" s="2322"/>
      <c r="CP380" s="2322"/>
      <c r="CQ380" s="2322"/>
      <c r="CR380" s="2322"/>
      <c r="CS380" s="2322"/>
      <c r="CT380" s="2322"/>
      <c r="CU380" s="2322"/>
      <c r="CV380" s="2322"/>
    </row>
    <row r="381" spans="1:100" ht="15.75" customHeight="1">
      <c r="A381" s="2328"/>
      <c r="B381" s="2322"/>
      <c r="C381" s="2322"/>
      <c r="D381" s="2322"/>
      <c r="E381" s="2322"/>
      <c r="F381" s="2322"/>
      <c r="G381" s="2322"/>
      <c r="H381" s="2322"/>
      <c r="I381" s="2322"/>
      <c r="J381" s="2322"/>
      <c r="K381" s="2322"/>
      <c r="L381" s="2322"/>
      <c r="M381" s="2322"/>
      <c r="N381" s="2322"/>
      <c r="O381" s="2322"/>
      <c r="P381" s="2322"/>
      <c r="Q381" s="2322"/>
      <c r="R381" s="2322"/>
      <c r="S381" s="2322"/>
      <c r="T381" s="2322"/>
      <c r="U381" s="2322"/>
      <c r="V381" s="2322"/>
      <c r="W381" s="2322"/>
      <c r="X381" s="2322"/>
      <c r="Y381" s="2322"/>
      <c r="Z381" s="2322"/>
      <c r="AA381" s="2322"/>
      <c r="AB381" s="2322"/>
      <c r="AC381" s="2322"/>
      <c r="AD381" s="2322"/>
      <c r="AE381" s="2322"/>
      <c r="AF381" s="2322"/>
      <c r="AG381" s="2322"/>
      <c r="AH381" s="2322"/>
      <c r="AI381" s="2322"/>
      <c r="AJ381" s="2322"/>
      <c r="AK381" s="2322"/>
      <c r="AL381" s="2322"/>
      <c r="AM381" s="2322"/>
      <c r="AN381" s="2322"/>
      <c r="AO381" s="2322"/>
      <c r="AP381" s="2322"/>
      <c r="AQ381" s="2322"/>
      <c r="AR381" s="2322"/>
      <c r="AS381" s="2322"/>
      <c r="AT381" s="2322"/>
      <c r="AU381" s="2322"/>
      <c r="AV381" s="2322"/>
      <c r="AW381" s="2322"/>
      <c r="AX381" s="2322"/>
      <c r="AY381" s="2322"/>
      <c r="AZ381" s="2322"/>
      <c r="BA381" s="2322"/>
      <c r="BB381" s="2322"/>
      <c r="BC381" s="2322"/>
      <c r="BD381" s="2322"/>
      <c r="BE381" s="2322"/>
      <c r="BF381" s="2322"/>
      <c r="BG381" s="2322"/>
      <c r="BH381" s="2322"/>
      <c r="BI381" s="2322"/>
      <c r="BJ381" s="2322"/>
      <c r="BK381" s="2322"/>
      <c r="BL381" s="2322"/>
      <c r="BM381" s="2322"/>
      <c r="BN381" s="2322"/>
      <c r="BO381" s="2322"/>
      <c r="BP381" s="2322"/>
      <c r="BQ381" s="2322"/>
      <c r="BR381" s="2322"/>
      <c r="BS381" s="2322"/>
      <c r="BT381" s="2322"/>
      <c r="BU381" s="2322"/>
      <c r="BV381" s="2322"/>
      <c r="BW381" s="2322"/>
      <c r="BX381" s="2322"/>
      <c r="BY381" s="2322"/>
      <c r="BZ381" s="2322"/>
      <c r="CA381" s="2322"/>
      <c r="CB381" s="2322"/>
      <c r="CC381" s="2322"/>
      <c r="CD381" s="2322"/>
      <c r="CE381" s="2322"/>
      <c r="CF381" s="2322"/>
      <c r="CG381" s="2322"/>
      <c r="CH381" s="2322"/>
      <c r="CI381" s="2322"/>
      <c r="CJ381" s="2322"/>
      <c r="CK381" s="2322"/>
      <c r="CL381" s="2322"/>
      <c r="CM381" s="2322"/>
      <c r="CN381" s="2322"/>
      <c r="CO381" s="2322"/>
      <c r="CP381" s="2322"/>
      <c r="CQ381" s="2322"/>
      <c r="CR381" s="2322"/>
      <c r="CS381" s="2322"/>
      <c r="CT381" s="2322"/>
      <c r="CU381" s="2322"/>
      <c r="CV381" s="2322"/>
    </row>
    <row r="382" spans="1:100" ht="15.75" customHeight="1">
      <c r="A382" s="2328"/>
      <c r="B382" s="2322"/>
      <c r="C382" s="2322"/>
      <c r="D382" s="2322"/>
      <c r="E382" s="2322"/>
      <c r="F382" s="2322"/>
      <c r="G382" s="2322"/>
      <c r="H382" s="2322"/>
      <c r="I382" s="2322"/>
      <c r="J382" s="2322"/>
      <c r="K382" s="2322"/>
      <c r="L382" s="2322"/>
      <c r="M382" s="2322"/>
      <c r="N382" s="2322"/>
      <c r="O382" s="2322"/>
      <c r="P382" s="2322"/>
      <c r="Q382" s="2322"/>
      <c r="R382" s="2322"/>
      <c r="S382" s="2322"/>
      <c r="T382" s="2322"/>
      <c r="U382" s="2322"/>
      <c r="V382" s="2322"/>
      <c r="W382" s="2322"/>
      <c r="X382" s="2322"/>
      <c r="Y382" s="2322"/>
      <c r="Z382" s="2322"/>
      <c r="AA382" s="2322"/>
      <c r="AB382" s="2322"/>
      <c r="AC382" s="2322"/>
      <c r="AD382" s="2322"/>
      <c r="AE382" s="2322"/>
      <c r="AF382" s="2322"/>
      <c r="AG382" s="2322"/>
      <c r="AH382" s="2322"/>
      <c r="AI382" s="2322"/>
      <c r="AJ382" s="2322"/>
      <c r="AK382" s="2322"/>
      <c r="AL382" s="2322"/>
      <c r="AM382" s="2322"/>
      <c r="AN382" s="2322"/>
      <c r="AO382" s="2322"/>
      <c r="AP382" s="2322"/>
      <c r="AQ382" s="2322"/>
      <c r="AR382" s="2322"/>
      <c r="AS382" s="2322"/>
      <c r="AT382" s="2322"/>
      <c r="AU382" s="2322"/>
      <c r="AV382" s="2322"/>
      <c r="AW382" s="2322"/>
      <c r="AX382" s="2322"/>
      <c r="AY382" s="2322"/>
      <c r="AZ382" s="2322"/>
      <c r="BA382" s="2322"/>
      <c r="BB382" s="2322"/>
      <c r="BC382" s="2322"/>
      <c r="BD382" s="2322"/>
      <c r="BE382" s="2322"/>
      <c r="BF382" s="2322"/>
      <c r="BG382" s="2322"/>
      <c r="BH382" s="2322"/>
      <c r="BI382" s="2322"/>
      <c r="BJ382" s="2322"/>
      <c r="BK382" s="2322"/>
      <c r="BL382" s="2322"/>
      <c r="BM382" s="2322"/>
      <c r="BN382" s="2322"/>
      <c r="BO382" s="2322"/>
      <c r="BP382" s="2322"/>
      <c r="BQ382" s="2322"/>
      <c r="BR382" s="2322"/>
      <c r="BS382" s="2322"/>
      <c r="BT382" s="2322"/>
      <c r="BU382" s="2322"/>
      <c r="BV382" s="2322"/>
      <c r="BW382" s="2322"/>
      <c r="BX382" s="2322"/>
      <c r="BY382" s="2322"/>
      <c r="BZ382" s="2322"/>
      <c r="CA382" s="2322"/>
      <c r="CB382" s="2322"/>
      <c r="CC382" s="2322"/>
      <c r="CD382" s="2322"/>
      <c r="CE382" s="2322"/>
      <c r="CF382" s="2322"/>
      <c r="CG382" s="2322"/>
      <c r="CH382" s="2322"/>
      <c r="CI382" s="2322"/>
      <c r="CJ382" s="2322"/>
      <c r="CK382" s="2322"/>
      <c r="CL382" s="2322"/>
      <c r="CM382" s="2322"/>
      <c r="CN382" s="2322"/>
      <c r="CO382" s="2322"/>
      <c r="CP382" s="2322"/>
      <c r="CQ382" s="2322"/>
      <c r="CR382" s="2322"/>
      <c r="CS382" s="2322"/>
      <c r="CT382" s="2322"/>
      <c r="CU382" s="2322"/>
      <c r="CV382" s="2322"/>
    </row>
    <row r="383" spans="1:100" ht="15.75" customHeight="1">
      <c r="A383" s="2328"/>
      <c r="B383" s="2322"/>
      <c r="C383" s="2322"/>
      <c r="D383" s="2322"/>
      <c r="E383" s="2322"/>
      <c r="F383" s="2322"/>
      <c r="G383" s="2322"/>
      <c r="H383" s="2322"/>
      <c r="I383" s="2322"/>
      <c r="J383" s="2322"/>
      <c r="K383" s="2322"/>
      <c r="L383" s="2322"/>
      <c r="M383" s="2322"/>
      <c r="N383" s="2322"/>
      <c r="O383" s="2322"/>
      <c r="P383" s="2322"/>
      <c r="Q383" s="2322"/>
      <c r="R383" s="2322"/>
      <c r="S383" s="2322"/>
      <c r="T383" s="2322"/>
      <c r="U383" s="2322"/>
      <c r="V383" s="2322"/>
      <c r="W383" s="2322"/>
      <c r="X383" s="2322"/>
      <c r="Y383" s="2322"/>
      <c r="Z383" s="2322"/>
      <c r="AA383" s="2322"/>
      <c r="AB383" s="2322"/>
      <c r="AC383" s="2322"/>
      <c r="AD383" s="2322"/>
      <c r="AE383" s="2322"/>
      <c r="AF383" s="2322"/>
      <c r="AG383" s="2322"/>
      <c r="AH383" s="2322"/>
      <c r="AI383" s="2322"/>
      <c r="AJ383" s="2322"/>
      <c r="AK383" s="2322"/>
      <c r="AL383" s="2322"/>
      <c r="AM383" s="2322"/>
      <c r="AN383" s="2322"/>
      <c r="AO383" s="2322"/>
      <c r="AP383" s="2322"/>
      <c r="AQ383" s="2322"/>
      <c r="AR383" s="2322"/>
      <c r="AS383" s="2322"/>
      <c r="AT383" s="2322"/>
      <c r="AU383" s="2322"/>
      <c r="AV383" s="2322"/>
      <c r="AW383" s="2322"/>
      <c r="AX383" s="2322"/>
      <c r="AY383" s="2322"/>
      <c r="AZ383" s="2322"/>
      <c r="BA383" s="2322"/>
      <c r="BB383" s="2322"/>
      <c r="BC383" s="2322"/>
      <c r="BD383" s="2322"/>
      <c r="BE383" s="2322"/>
      <c r="BF383" s="2322"/>
      <c r="BG383" s="2322"/>
      <c r="BH383" s="2322"/>
      <c r="BI383" s="2322"/>
      <c r="BJ383" s="2322"/>
      <c r="BK383" s="2322"/>
      <c r="BL383" s="2322"/>
      <c r="BM383" s="2322"/>
      <c r="BN383" s="2322"/>
      <c r="BO383" s="2322"/>
      <c r="BP383" s="2322"/>
      <c r="BQ383" s="2322"/>
      <c r="BR383" s="2322"/>
      <c r="BS383" s="2322"/>
      <c r="BT383" s="2322"/>
      <c r="BU383" s="2322"/>
      <c r="BV383" s="2322"/>
      <c r="BW383" s="2322"/>
      <c r="BX383" s="2322"/>
      <c r="BY383" s="2322"/>
      <c r="BZ383" s="2322"/>
      <c r="CA383" s="2322"/>
      <c r="CB383" s="2322"/>
      <c r="CC383" s="2322"/>
      <c r="CD383" s="2322"/>
      <c r="CE383" s="2322"/>
      <c r="CF383" s="2322"/>
      <c r="CG383" s="2322"/>
      <c r="CH383" s="2322"/>
      <c r="CI383" s="2322"/>
      <c r="CJ383" s="2322"/>
      <c r="CK383" s="2322"/>
      <c r="CL383" s="2322"/>
      <c r="CM383" s="2322"/>
      <c r="CN383" s="2322"/>
      <c r="CO383" s="2322"/>
      <c r="CP383" s="2322"/>
      <c r="CQ383" s="2322"/>
      <c r="CR383" s="2322"/>
      <c r="CS383" s="2322"/>
      <c r="CT383" s="2322"/>
      <c r="CU383" s="2322"/>
      <c r="CV383" s="2322"/>
    </row>
    <row r="384" spans="1:100" ht="15.75" customHeight="1">
      <c r="A384" s="2328"/>
      <c r="B384" s="2322"/>
      <c r="C384" s="2322"/>
      <c r="D384" s="2322"/>
      <c r="E384" s="2322"/>
      <c r="F384" s="2322"/>
      <c r="G384" s="2322"/>
      <c r="H384" s="2322"/>
      <c r="I384" s="2322"/>
      <c r="J384" s="2322"/>
      <c r="K384" s="2322"/>
      <c r="L384" s="2322"/>
      <c r="M384" s="2322"/>
      <c r="N384" s="2322"/>
      <c r="O384" s="2322"/>
      <c r="P384" s="2322"/>
      <c r="Q384" s="2322"/>
      <c r="R384" s="2322"/>
      <c r="S384" s="2322"/>
      <c r="T384" s="2322"/>
      <c r="U384" s="2322"/>
      <c r="V384" s="2322"/>
      <c r="W384" s="2322"/>
      <c r="X384" s="2322"/>
      <c r="Y384" s="2322"/>
      <c r="Z384" s="2322"/>
      <c r="AA384" s="2322"/>
      <c r="AB384" s="2322"/>
      <c r="AC384" s="2322"/>
      <c r="AD384" s="2322"/>
      <c r="AE384" s="2322"/>
      <c r="AF384" s="2322"/>
      <c r="AG384" s="2322"/>
      <c r="AH384" s="2322"/>
      <c r="AI384" s="2322"/>
      <c r="AJ384" s="2322"/>
      <c r="AK384" s="2322"/>
      <c r="AL384" s="2322"/>
      <c r="AM384" s="2322"/>
      <c r="AN384" s="2322"/>
      <c r="AO384" s="2322"/>
      <c r="AP384" s="2322"/>
      <c r="AQ384" s="2322"/>
      <c r="AR384" s="2322"/>
      <c r="AS384" s="2322"/>
      <c r="AT384" s="2322"/>
      <c r="AU384" s="2322"/>
      <c r="AV384" s="2322"/>
      <c r="AW384" s="2322"/>
      <c r="AX384" s="2322"/>
      <c r="AY384" s="2322"/>
      <c r="AZ384" s="2322"/>
      <c r="BA384" s="2322"/>
      <c r="BB384" s="2322"/>
      <c r="BC384" s="2322"/>
      <c r="BD384" s="2322"/>
      <c r="BE384" s="2322"/>
      <c r="BF384" s="2322"/>
      <c r="BG384" s="2322"/>
      <c r="BH384" s="2322"/>
      <c r="BI384" s="2322"/>
      <c r="BJ384" s="2322"/>
      <c r="BK384" s="2322"/>
      <c r="BL384" s="2322"/>
      <c r="BM384" s="2322"/>
      <c r="BN384" s="2322"/>
      <c r="BO384" s="2322"/>
      <c r="BP384" s="2322"/>
      <c r="BQ384" s="2322"/>
      <c r="BR384" s="2322"/>
      <c r="BS384" s="2322"/>
      <c r="BT384" s="2322"/>
      <c r="BU384" s="2322"/>
      <c r="BV384" s="2322"/>
      <c r="BW384" s="2322"/>
      <c r="BX384" s="2322"/>
      <c r="BY384" s="2322"/>
      <c r="BZ384" s="2322"/>
      <c r="CA384" s="2322"/>
      <c r="CB384" s="2322"/>
      <c r="CC384" s="2322"/>
      <c r="CD384" s="2322"/>
      <c r="CE384" s="2322"/>
      <c r="CF384" s="2322"/>
      <c r="CG384" s="2322"/>
      <c r="CH384" s="2322"/>
      <c r="CI384" s="2322"/>
      <c r="CJ384" s="2322"/>
      <c r="CK384" s="2322"/>
      <c r="CL384" s="2322"/>
      <c r="CM384" s="2322"/>
      <c r="CN384" s="2322"/>
      <c r="CO384" s="2322"/>
      <c r="CP384" s="2322"/>
      <c r="CQ384" s="2322"/>
      <c r="CR384" s="2322"/>
      <c r="CS384" s="2322"/>
      <c r="CT384" s="2322"/>
      <c r="CU384" s="2322"/>
      <c r="CV384" s="2322"/>
    </row>
    <row r="385" spans="1:100" ht="15.75" customHeight="1">
      <c r="A385" s="2328"/>
      <c r="B385" s="2322"/>
      <c r="C385" s="2322"/>
      <c r="D385" s="2322"/>
      <c r="E385" s="2322"/>
      <c r="F385" s="2322"/>
      <c r="G385" s="2322"/>
      <c r="H385" s="2322"/>
      <c r="I385" s="2322"/>
      <c r="J385" s="2322"/>
      <c r="K385" s="2322"/>
      <c r="L385" s="2322"/>
      <c r="M385" s="2322"/>
      <c r="N385" s="2322"/>
      <c r="O385" s="2322"/>
      <c r="P385" s="2322"/>
      <c r="Q385" s="2322"/>
      <c r="R385" s="2322"/>
      <c r="S385" s="2322"/>
      <c r="T385" s="2322"/>
      <c r="U385" s="2322"/>
      <c r="V385" s="2322"/>
      <c r="W385" s="2322"/>
      <c r="X385" s="2322"/>
      <c r="Y385" s="2322"/>
      <c r="Z385" s="2322"/>
      <c r="AA385" s="2322"/>
      <c r="AB385" s="2322"/>
      <c r="AC385" s="2322"/>
      <c r="AD385" s="2322"/>
      <c r="AE385" s="2322"/>
      <c r="AF385" s="2322"/>
      <c r="AG385" s="2322"/>
      <c r="AH385" s="2322"/>
      <c r="AI385" s="2322"/>
      <c r="AJ385" s="2322"/>
      <c r="AK385" s="2322"/>
      <c r="AL385" s="2322"/>
      <c r="AM385" s="2322"/>
      <c r="AN385" s="2322"/>
      <c r="AO385" s="2322"/>
      <c r="AP385" s="2322"/>
      <c r="AQ385" s="2322"/>
      <c r="AR385" s="2322"/>
      <c r="AS385" s="2322"/>
      <c r="AT385" s="2322"/>
      <c r="AU385" s="2322"/>
      <c r="AV385" s="2322"/>
      <c r="AW385" s="2322"/>
      <c r="AX385" s="2322"/>
      <c r="AY385" s="2322"/>
      <c r="AZ385" s="2322"/>
      <c r="BA385" s="2322"/>
      <c r="BB385" s="2322"/>
      <c r="BC385" s="2322"/>
      <c r="BD385" s="2322"/>
      <c r="BE385" s="2322"/>
      <c r="BF385" s="2322"/>
      <c r="BG385" s="2322"/>
      <c r="BH385" s="2322"/>
      <c r="BI385" s="2322"/>
      <c r="BJ385" s="2322"/>
      <c r="BK385" s="2322"/>
      <c r="BL385" s="2322"/>
      <c r="BM385" s="2322"/>
      <c r="BN385" s="2322"/>
      <c r="BO385" s="2322"/>
      <c r="BP385" s="2322"/>
      <c r="BQ385" s="2322"/>
      <c r="BR385" s="2322"/>
      <c r="BS385" s="2322"/>
      <c r="BT385" s="2322"/>
      <c r="BU385" s="2322"/>
      <c r="BV385" s="2322"/>
      <c r="BW385" s="2322"/>
      <c r="BX385" s="2322"/>
      <c r="BY385" s="2322"/>
      <c r="BZ385" s="2322"/>
      <c r="CA385" s="2322"/>
      <c r="CB385" s="2322"/>
      <c r="CC385" s="2322"/>
      <c r="CD385" s="2322"/>
      <c r="CE385" s="2322"/>
      <c r="CF385" s="2322"/>
      <c r="CG385" s="2322"/>
      <c r="CH385" s="2322"/>
      <c r="CI385" s="2322"/>
      <c r="CJ385" s="2322"/>
      <c r="CK385" s="2322"/>
      <c r="CL385" s="2322"/>
      <c r="CM385" s="2322"/>
      <c r="CN385" s="2322"/>
      <c r="CO385" s="2322"/>
      <c r="CP385" s="2322"/>
      <c r="CQ385" s="2322"/>
      <c r="CR385" s="2322"/>
      <c r="CS385" s="2322"/>
      <c r="CT385" s="2322"/>
      <c r="CU385" s="2322"/>
      <c r="CV385" s="2322"/>
    </row>
    <row r="386" spans="1:100" ht="15.75" customHeight="1">
      <c r="A386" s="2328"/>
      <c r="B386" s="2322"/>
      <c r="C386" s="2322"/>
      <c r="D386" s="2322"/>
      <c r="E386" s="2322"/>
      <c r="F386" s="2322"/>
      <c r="G386" s="2322"/>
      <c r="H386" s="2322"/>
      <c r="I386" s="2322"/>
      <c r="J386" s="2322"/>
      <c r="K386" s="2322"/>
      <c r="L386" s="2322"/>
      <c r="M386" s="2322"/>
      <c r="N386" s="2322"/>
      <c r="O386" s="2322"/>
      <c r="P386" s="2322"/>
      <c r="Q386" s="2322"/>
      <c r="R386" s="2322"/>
      <c r="S386" s="2322"/>
      <c r="T386" s="2322"/>
      <c r="U386" s="2322"/>
      <c r="V386" s="2322"/>
      <c r="W386" s="2322"/>
      <c r="X386" s="2322"/>
      <c r="Y386" s="2322"/>
      <c r="Z386" s="2322"/>
      <c r="AA386" s="2322"/>
      <c r="AB386" s="2322"/>
      <c r="AC386" s="2322"/>
      <c r="AD386" s="2322"/>
      <c r="AE386" s="2322"/>
      <c r="AF386" s="2322"/>
      <c r="AG386" s="2322"/>
      <c r="AH386" s="2322"/>
      <c r="AI386" s="2322"/>
      <c r="AJ386" s="2322"/>
      <c r="AK386" s="2322"/>
      <c r="AL386" s="2322"/>
      <c r="AM386" s="2322"/>
      <c r="AN386" s="2322"/>
      <c r="AO386" s="2322"/>
      <c r="AP386" s="2322"/>
      <c r="AQ386" s="2322"/>
      <c r="AR386" s="2322"/>
      <c r="AS386" s="2322"/>
      <c r="AT386" s="2322"/>
      <c r="AU386" s="2322"/>
      <c r="AV386" s="2322"/>
      <c r="AW386" s="2322"/>
      <c r="AX386" s="2322"/>
      <c r="AY386" s="2322"/>
      <c r="AZ386" s="2322"/>
      <c r="BA386" s="2322"/>
      <c r="BB386" s="2322"/>
      <c r="BC386" s="2322"/>
      <c r="BD386" s="2322"/>
      <c r="BE386" s="2322"/>
      <c r="BF386" s="2322"/>
      <c r="BG386" s="2322"/>
      <c r="BH386" s="2322"/>
      <c r="BI386" s="2322"/>
      <c r="BJ386" s="2322"/>
      <c r="BK386" s="2322"/>
      <c r="BL386" s="2322"/>
      <c r="BM386" s="2322"/>
      <c r="BN386" s="2322"/>
      <c r="BO386" s="2322"/>
      <c r="BP386" s="2322"/>
      <c r="BQ386" s="2322"/>
      <c r="BR386" s="2322"/>
      <c r="BS386" s="2322"/>
      <c r="BT386" s="2322"/>
      <c r="BU386" s="2322"/>
      <c r="BV386" s="2322"/>
      <c r="BW386" s="2322"/>
      <c r="BX386" s="2322"/>
      <c r="BY386" s="2322"/>
      <c r="BZ386" s="2322"/>
      <c r="CA386" s="2322"/>
      <c r="CB386" s="2322"/>
      <c r="CC386" s="2322"/>
      <c r="CD386" s="2322"/>
      <c r="CE386" s="2322"/>
      <c r="CF386" s="2322"/>
      <c r="CG386" s="2322"/>
      <c r="CH386" s="2322"/>
      <c r="CI386" s="2322"/>
      <c r="CJ386" s="2322"/>
      <c r="CK386" s="2322"/>
      <c r="CL386" s="2322"/>
      <c r="CM386" s="2322"/>
      <c r="CN386" s="2322"/>
      <c r="CO386" s="2322"/>
      <c r="CP386" s="2322"/>
      <c r="CQ386" s="2322"/>
      <c r="CR386" s="2322"/>
      <c r="CS386" s="2322"/>
      <c r="CT386" s="2322"/>
      <c r="CU386" s="2322"/>
      <c r="CV386" s="2322"/>
    </row>
    <row r="387" spans="1:100" ht="15.75" customHeight="1">
      <c r="A387" s="2328"/>
      <c r="B387" s="2322"/>
      <c r="C387" s="2322"/>
      <c r="D387" s="2322"/>
      <c r="E387" s="2322"/>
      <c r="F387" s="2322"/>
      <c r="G387" s="2322"/>
      <c r="H387" s="2322"/>
      <c r="I387" s="2322"/>
      <c r="J387" s="2322"/>
      <c r="K387" s="2322"/>
      <c r="L387" s="2322"/>
      <c r="M387" s="2322"/>
      <c r="N387" s="2322"/>
      <c r="O387" s="2322"/>
      <c r="P387" s="2322"/>
      <c r="Q387" s="2322"/>
      <c r="R387" s="2322"/>
      <c r="S387" s="2322"/>
      <c r="T387" s="2322"/>
      <c r="U387" s="2322"/>
      <c r="V387" s="2322"/>
      <c r="W387" s="2322"/>
      <c r="X387" s="2322"/>
      <c r="Y387" s="2322"/>
      <c r="Z387" s="2322"/>
      <c r="AA387" s="2322"/>
      <c r="AB387" s="2322"/>
      <c r="AC387" s="2322"/>
      <c r="AD387" s="2322"/>
      <c r="AE387" s="2322"/>
      <c r="AF387" s="2322"/>
      <c r="AG387" s="2322"/>
      <c r="AH387" s="2322"/>
      <c r="AI387" s="2322"/>
      <c r="AJ387" s="2322"/>
      <c r="AK387" s="2322"/>
      <c r="AL387" s="2322"/>
      <c r="AM387" s="2322"/>
      <c r="AN387" s="2322"/>
      <c r="AO387" s="2322"/>
      <c r="AP387" s="2322"/>
      <c r="AQ387" s="2322"/>
      <c r="AR387" s="2322"/>
      <c r="AS387" s="2322"/>
      <c r="AT387" s="2322"/>
      <c r="AU387" s="2322"/>
      <c r="AV387" s="2322"/>
      <c r="AW387" s="2322"/>
      <c r="AX387" s="2322"/>
      <c r="AY387" s="2322"/>
      <c r="AZ387" s="2322"/>
      <c r="BA387" s="2322"/>
      <c r="BB387" s="2322"/>
      <c r="BC387" s="2322"/>
      <c r="BD387" s="2322"/>
      <c r="BE387" s="2322"/>
      <c r="BF387" s="2322"/>
      <c r="BG387" s="2322"/>
      <c r="BH387" s="2322"/>
      <c r="BI387" s="2322"/>
      <c r="BJ387" s="2322"/>
      <c r="BK387" s="2322"/>
      <c r="BL387" s="2322"/>
      <c r="BM387" s="2322"/>
      <c r="BN387" s="2322"/>
      <c r="BO387" s="2322"/>
      <c r="BP387" s="2322"/>
      <c r="BQ387" s="2322"/>
      <c r="BR387" s="2322"/>
      <c r="BS387" s="2322"/>
      <c r="BT387" s="2322"/>
      <c r="BU387" s="2322"/>
      <c r="BV387" s="2322"/>
      <c r="BW387" s="2322"/>
      <c r="BX387" s="2322"/>
      <c r="BY387" s="2322"/>
      <c r="BZ387" s="2322"/>
      <c r="CA387" s="2322"/>
      <c r="CB387" s="2322"/>
      <c r="CC387" s="2322"/>
      <c r="CD387" s="2322"/>
      <c r="CE387" s="2322"/>
      <c r="CF387" s="2322"/>
      <c r="CG387" s="2322"/>
      <c r="CH387" s="2322"/>
      <c r="CI387" s="2322"/>
      <c r="CJ387" s="2322"/>
      <c r="CK387" s="2322"/>
      <c r="CL387" s="2322"/>
      <c r="CM387" s="2322"/>
      <c r="CN387" s="2322"/>
      <c r="CO387" s="2322"/>
      <c r="CP387" s="2322"/>
      <c r="CQ387" s="2322"/>
      <c r="CR387" s="2322"/>
      <c r="CS387" s="2322"/>
      <c r="CT387" s="2322"/>
      <c r="CU387" s="2322"/>
      <c r="CV387" s="2322"/>
    </row>
    <row r="388" spans="1:100" ht="15.75" customHeight="1">
      <c r="A388" s="2328"/>
      <c r="B388" s="2322"/>
      <c r="C388" s="2322"/>
      <c r="D388" s="2322"/>
      <c r="E388" s="2322"/>
      <c r="F388" s="2322"/>
      <c r="G388" s="2322"/>
      <c r="H388" s="2322"/>
      <c r="I388" s="2322"/>
      <c r="J388" s="2322"/>
      <c r="K388" s="2322"/>
      <c r="L388" s="2322"/>
      <c r="M388" s="2322"/>
      <c r="N388" s="2322"/>
      <c r="O388" s="2322"/>
      <c r="P388" s="2322"/>
      <c r="Q388" s="2322"/>
      <c r="R388" s="2322"/>
      <c r="S388" s="2322"/>
      <c r="T388" s="2322"/>
      <c r="U388" s="2322"/>
      <c r="V388" s="2322"/>
      <c r="W388" s="2322"/>
      <c r="X388" s="2322"/>
      <c r="Y388" s="2322"/>
      <c r="Z388" s="2322"/>
      <c r="AA388" s="2322"/>
      <c r="AB388" s="2322"/>
      <c r="AC388" s="2322"/>
      <c r="AD388" s="2322"/>
      <c r="AE388" s="2322"/>
      <c r="AF388" s="2322"/>
      <c r="AG388" s="2322"/>
      <c r="AH388" s="2322"/>
      <c r="AI388" s="2322"/>
      <c r="AJ388" s="2322"/>
      <c r="AK388" s="2322"/>
      <c r="AL388" s="2322"/>
      <c r="AM388" s="2322"/>
      <c r="AN388" s="2322"/>
      <c r="AO388" s="2322"/>
      <c r="AP388" s="2322"/>
      <c r="AQ388" s="2322"/>
      <c r="AR388" s="2322"/>
      <c r="AS388" s="2322"/>
      <c r="AT388" s="2322"/>
      <c r="AU388" s="2322"/>
      <c r="AV388" s="2322"/>
      <c r="AW388" s="2322"/>
      <c r="AX388" s="2322"/>
      <c r="AY388" s="2322"/>
      <c r="AZ388" s="2322"/>
      <c r="BA388" s="2322"/>
      <c r="BB388" s="2322"/>
      <c r="BC388" s="2322"/>
      <c r="BD388" s="2322"/>
      <c r="BE388" s="2322"/>
      <c r="BF388" s="2322"/>
      <c r="BG388" s="2322"/>
      <c r="BH388" s="2322"/>
      <c r="BI388" s="2322"/>
      <c r="BJ388" s="2322"/>
      <c r="BK388" s="2322"/>
      <c r="BL388" s="2322"/>
      <c r="BM388" s="2322"/>
      <c r="BN388" s="2322"/>
      <c r="BO388" s="2322"/>
      <c r="BP388" s="2322"/>
      <c r="BQ388" s="2322"/>
      <c r="BR388" s="2322"/>
      <c r="BS388" s="2322"/>
      <c r="BT388" s="2322"/>
      <c r="BU388" s="2322"/>
      <c r="BV388" s="2322"/>
      <c r="BW388" s="2322"/>
      <c r="BX388" s="2322"/>
      <c r="BY388" s="2322"/>
      <c r="BZ388" s="2322"/>
      <c r="CA388" s="2322"/>
      <c r="CB388" s="2322"/>
      <c r="CC388" s="2322"/>
      <c r="CD388" s="2322"/>
      <c r="CE388" s="2322"/>
      <c r="CF388" s="2322"/>
      <c r="CG388" s="2322"/>
      <c r="CH388" s="2322"/>
      <c r="CI388" s="2322"/>
      <c r="CJ388" s="2322"/>
      <c r="CK388" s="2322"/>
      <c r="CL388" s="2322"/>
      <c r="CM388" s="2322"/>
      <c r="CN388" s="2322"/>
      <c r="CO388" s="2322"/>
      <c r="CP388" s="2322"/>
      <c r="CQ388" s="2322"/>
      <c r="CR388" s="2322"/>
      <c r="CS388" s="2322"/>
      <c r="CT388" s="2322"/>
      <c r="CU388" s="2322"/>
      <c r="CV388" s="2322"/>
    </row>
    <row r="389" spans="1:100" ht="15.75" customHeight="1">
      <c r="A389" s="2328"/>
      <c r="B389" s="2322"/>
      <c r="C389" s="2322"/>
      <c r="D389" s="2322"/>
      <c r="E389" s="2322"/>
      <c r="F389" s="2322"/>
      <c r="G389" s="2322"/>
      <c r="H389" s="2322"/>
      <c r="I389" s="2322"/>
      <c r="J389" s="2322"/>
      <c r="K389" s="2322"/>
      <c r="L389" s="2322"/>
      <c r="M389" s="2322"/>
      <c r="N389" s="2322"/>
      <c r="O389" s="2322"/>
      <c r="P389" s="2322"/>
      <c r="Q389" s="2322"/>
      <c r="R389" s="2322"/>
      <c r="S389" s="2322"/>
      <c r="T389" s="2322"/>
      <c r="U389" s="2322"/>
      <c r="V389" s="2322"/>
      <c r="W389" s="2322"/>
      <c r="X389" s="2322"/>
      <c r="Y389" s="2322"/>
      <c r="Z389" s="2322"/>
      <c r="AA389" s="2322"/>
      <c r="AB389" s="2322"/>
      <c r="AC389" s="2322"/>
      <c r="AD389" s="2322"/>
      <c r="AE389" s="2322"/>
      <c r="AF389" s="2322"/>
      <c r="AG389" s="2322"/>
      <c r="AH389" s="2322"/>
      <c r="AI389" s="2322"/>
      <c r="AJ389" s="2322"/>
      <c r="AK389" s="2322"/>
      <c r="AL389" s="2322"/>
      <c r="AM389" s="2322"/>
      <c r="AN389" s="2322"/>
      <c r="AO389" s="2322"/>
      <c r="AP389" s="2322"/>
      <c r="AQ389" s="2322"/>
      <c r="AR389" s="2322"/>
      <c r="AS389" s="2322"/>
      <c r="AT389" s="2322"/>
      <c r="AU389" s="2322"/>
      <c r="AV389" s="2322"/>
      <c r="AW389" s="2322"/>
      <c r="AX389" s="2322"/>
      <c r="AY389" s="2322"/>
      <c r="AZ389" s="2322"/>
      <c r="BA389" s="2322"/>
      <c r="BB389" s="2322"/>
      <c r="BC389" s="2322"/>
      <c r="BD389" s="2322"/>
      <c r="BE389" s="2322"/>
      <c r="BF389" s="2322"/>
      <c r="BG389" s="2322"/>
      <c r="BH389" s="2322"/>
      <c r="BI389" s="2322"/>
      <c r="BJ389" s="2322"/>
      <c r="BK389" s="2322"/>
      <c r="BL389" s="2322"/>
      <c r="BM389" s="2322"/>
      <c r="BN389" s="2322"/>
      <c r="BO389" s="2322"/>
      <c r="BP389" s="2322"/>
      <c r="BQ389" s="2322"/>
      <c r="BR389" s="2322"/>
      <c r="BS389" s="2322"/>
      <c r="BT389" s="2322"/>
      <c r="BU389" s="2322"/>
      <c r="BV389" s="2322"/>
      <c r="BW389" s="2322"/>
      <c r="BX389" s="2322"/>
      <c r="BY389" s="2322"/>
      <c r="BZ389" s="2322"/>
      <c r="CA389" s="2322"/>
      <c r="CB389" s="2322"/>
      <c r="CC389" s="2322"/>
      <c r="CD389" s="2322"/>
      <c r="CE389" s="2322"/>
      <c r="CF389" s="2322"/>
      <c r="CG389" s="2322"/>
      <c r="CH389" s="2322"/>
      <c r="CI389" s="2322"/>
      <c r="CJ389" s="2322"/>
      <c r="CK389" s="2322"/>
      <c r="CL389" s="2322"/>
      <c r="CM389" s="2322"/>
      <c r="CN389" s="2322"/>
      <c r="CO389" s="2322"/>
      <c r="CP389" s="2322"/>
      <c r="CQ389" s="2322"/>
      <c r="CR389" s="2322"/>
      <c r="CS389" s="2322"/>
      <c r="CT389" s="2322"/>
      <c r="CU389" s="2322"/>
      <c r="CV389" s="2322"/>
    </row>
    <row r="390" spans="1:100" ht="15.75" customHeight="1">
      <c r="A390" s="2328"/>
      <c r="B390" s="2322"/>
      <c r="C390" s="2322"/>
      <c r="D390" s="2322"/>
      <c r="E390" s="2322"/>
      <c r="F390" s="2322"/>
      <c r="G390" s="2322"/>
      <c r="H390" s="2322"/>
      <c r="I390" s="2322"/>
      <c r="J390" s="2322"/>
      <c r="K390" s="2322"/>
      <c r="L390" s="2322"/>
      <c r="M390" s="2322"/>
      <c r="N390" s="2322"/>
      <c r="O390" s="2322"/>
      <c r="P390" s="2322"/>
      <c r="Q390" s="2322"/>
      <c r="R390" s="2322"/>
      <c r="S390" s="2322"/>
      <c r="T390" s="2322"/>
      <c r="U390" s="2322"/>
      <c r="V390" s="2322"/>
      <c r="W390" s="2322"/>
      <c r="X390" s="2322"/>
      <c r="Y390" s="2322"/>
      <c r="Z390" s="2322"/>
      <c r="AA390" s="2322"/>
      <c r="AB390" s="2322"/>
      <c r="AC390" s="2322"/>
      <c r="AD390" s="2322"/>
      <c r="AE390" s="2322"/>
      <c r="AF390" s="2322"/>
      <c r="AG390" s="2322"/>
      <c r="AH390" s="2322"/>
      <c r="AI390" s="2322"/>
      <c r="AJ390" s="2322"/>
      <c r="AK390" s="2322"/>
      <c r="AL390" s="2322"/>
      <c r="AM390" s="2322"/>
      <c r="AN390" s="2322"/>
      <c r="AO390" s="2322"/>
      <c r="AP390" s="2322"/>
      <c r="AQ390" s="2322"/>
      <c r="AR390" s="2322"/>
      <c r="AS390" s="2322"/>
      <c r="AT390" s="2322"/>
      <c r="AU390" s="2322"/>
      <c r="AV390" s="2322"/>
      <c r="AW390" s="2322"/>
      <c r="AX390" s="2322"/>
      <c r="AY390" s="2322"/>
      <c r="AZ390" s="2322"/>
      <c r="BA390" s="2322"/>
      <c r="BB390" s="2322"/>
      <c r="BC390" s="2322"/>
      <c r="BD390" s="2322"/>
      <c r="BE390" s="2322"/>
      <c r="BF390" s="2322"/>
      <c r="BG390" s="2322"/>
      <c r="BH390" s="2322"/>
      <c r="BI390" s="2322"/>
      <c r="BJ390" s="2322"/>
      <c r="BK390" s="2322"/>
      <c r="BL390" s="2322"/>
      <c r="BM390" s="2322"/>
      <c r="BN390" s="2322"/>
      <c r="BO390" s="2322"/>
      <c r="BP390" s="2322"/>
      <c r="BQ390" s="2322"/>
      <c r="BR390" s="2322"/>
      <c r="BS390" s="2322"/>
      <c r="BT390" s="2322"/>
      <c r="BU390" s="2322"/>
      <c r="BV390" s="2322"/>
      <c r="BW390" s="2322"/>
      <c r="BX390" s="2322"/>
      <c r="BY390" s="2322"/>
      <c r="BZ390" s="2322"/>
      <c r="CA390" s="2322"/>
      <c r="CB390" s="2322"/>
      <c r="CC390" s="2322"/>
      <c r="CD390" s="2322"/>
      <c r="CE390" s="2322"/>
      <c r="CF390" s="2322"/>
      <c r="CG390" s="2322"/>
      <c r="CH390" s="2322"/>
      <c r="CI390" s="2322"/>
      <c r="CJ390" s="2322"/>
      <c r="CK390" s="2322"/>
      <c r="CL390" s="2322"/>
      <c r="CM390" s="2322"/>
      <c r="CN390" s="2322"/>
      <c r="CO390" s="2322"/>
      <c r="CP390" s="2322"/>
      <c r="CQ390" s="2322"/>
      <c r="CR390" s="2322"/>
      <c r="CS390" s="2322"/>
      <c r="CT390" s="2322"/>
      <c r="CU390" s="2322"/>
      <c r="CV390" s="2322"/>
    </row>
    <row r="391" spans="1:100" ht="15.75" customHeight="1">
      <c r="A391" s="2328"/>
      <c r="B391" s="2322"/>
      <c r="C391" s="2322"/>
      <c r="D391" s="2322"/>
      <c r="E391" s="2322"/>
      <c r="F391" s="2322"/>
      <c r="G391" s="2322"/>
      <c r="H391" s="2322"/>
      <c r="I391" s="2322"/>
      <c r="J391" s="2322"/>
      <c r="K391" s="2322"/>
      <c r="L391" s="2322"/>
      <c r="M391" s="2322"/>
      <c r="N391" s="2322"/>
      <c r="O391" s="2322"/>
      <c r="P391" s="2322"/>
      <c r="Q391" s="2322"/>
      <c r="R391" s="2322"/>
      <c r="S391" s="2322"/>
      <c r="T391" s="2322"/>
      <c r="U391" s="2322"/>
      <c r="V391" s="2322"/>
      <c r="W391" s="2322"/>
      <c r="X391" s="2322"/>
      <c r="Y391" s="2322"/>
      <c r="Z391" s="2322"/>
      <c r="AA391" s="2322"/>
      <c r="AB391" s="2322"/>
      <c r="AC391" s="2322"/>
      <c r="AD391" s="2322"/>
      <c r="AE391" s="2322"/>
      <c r="AF391" s="2322"/>
      <c r="AG391" s="2322"/>
      <c r="AH391" s="2322"/>
      <c r="AI391" s="2322"/>
      <c r="AJ391" s="2322"/>
      <c r="AK391" s="2322"/>
      <c r="AL391" s="2322"/>
      <c r="AM391" s="2322"/>
      <c r="AN391" s="2322"/>
      <c r="AO391" s="2322"/>
      <c r="AP391" s="2322"/>
      <c r="AQ391" s="2322"/>
      <c r="AR391" s="2322"/>
      <c r="AS391" s="2322"/>
      <c r="AT391" s="2322"/>
      <c r="AU391" s="2322"/>
      <c r="AV391" s="2322"/>
      <c r="AW391" s="2322"/>
      <c r="AX391" s="2322"/>
      <c r="AY391" s="2322"/>
      <c r="AZ391" s="2322"/>
      <c r="BA391" s="2322"/>
      <c r="BB391" s="2322"/>
      <c r="BC391" s="2322"/>
      <c r="BD391" s="2322"/>
      <c r="BE391" s="2322"/>
      <c r="BF391" s="2322"/>
      <c r="BG391" s="2322"/>
      <c r="BH391" s="2322"/>
      <c r="BI391" s="2322"/>
      <c r="BJ391" s="2322"/>
      <c r="BK391" s="2322"/>
      <c r="BL391" s="2322"/>
      <c r="BM391" s="2322"/>
      <c r="BN391" s="2322"/>
      <c r="BO391" s="2322"/>
      <c r="BP391" s="2322"/>
      <c r="BQ391" s="2322"/>
      <c r="BR391" s="2322"/>
      <c r="BS391" s="2322"/>
      <c r="BT391" s="2322"/>
      <c r="BU391" s="2322"/>
      <c r="BV391" s="2322"/>
      <c r="BW391" s="2322"/>
      <c r="BX391" s="2322"/>
      <c r="BY391" s="2322"/>
      <c r="BZ391" s="2322"/>
      <c r="CA391" s="2322"/>
      <c r="CB391" s="2322"/>
      <c r="CC391" s="2322"/>
      <c r="CD391" s="2322"/>
      <c r="CE391" s="2322"/>
      <c r="CF391" s="2322"/>
      <c r="CG391" s="2322"/>
      <c r="CH391" s="2322"/>
      <c r="CI391" s="2322"/>
      <c r="CJ391" s="2322"/>
      <c r="CK391" s="2322"/>
      <c r="CL391" s="2322"/>
      <c r="CM391" s="2322"/>
      <c r="CN391" s="2322"/>
      <c r="CO391" s="2322"/>
      <c r="CP391" s="2322"/>
      <c r="CQ391" s="2322"/>
      <c r="CR391" s="2322"/>
      <c r="CS391" s="2322"/>
      <c r="CT391" s="2322"/>
      <c r="CU391" s="2322"/>
      <c r="CV391" s="2322"/>
    </row>
    <row r="392" spans="1:100" ht="15.75" customHeight="1">
      <c r="A392" s="2328"/>
      <c r="B392" s="2322"/>
      <c r="C392" s="2322"/>
      <c r="D392" s="2322"/>
      <c r="E392" s="2322"/>
      <c r="F392" s="2322"/>
      <c r="G392" s="2322"/>
      <c r="H392" s="2322"/>
      <c r="I392" s="2322"/>
      <c r="J392" s="2322"/>
      <c r="K392" s="2322"/>
      <c r="L392" s="2322"/>
      <c r="M392" s="2322"/>
      <c r="N392" s="2322"/>
      <c r="O392" s="2322"/>
      <c r="P392" s="2322"/>
      <c r="Q392" s="2322"/>
      <c r="R392" s="2322"/>
      <c r="S392" s="2322"/>
      <c r="T392" s="2322"/>
      <c r="U392" s="2322"/>
      <c r="V392" s="2322"/>
      <c r="W392" s="2322"/>
      <c r="X392" s="2322"/>
      <c r="Y392" s="2322"/>
      <c r="Z392" s="2322"/>
      <c r="AA392" s="2322"/>
      <c r="AB392" s="2322"/>
      <c r="AC392" s="2322"/>
      <c r="AD392" s="2322"/>
      <c r="AE392" s="2322"/>
      <c r="AF392" s="2322"/>
      <c r="AG392" s="2322"/>
      <c r="AH392" s="2322"/>
      <c r="AI392" s="2322"/>
      <c r="AJ392" s="2322"/>
      <c r="AK392" s="2322"/>
      <c r="AL392" s="2322"/>
      <c r="AM392" s="2322"/>
      <c r="AN392" s="2322"/>
      <c r="AO392" s="2322"/>
      <c r="AP392" s="2322"/>
      <c r="AQ392" s="2322"/>
      <c r="AR392" s="2322"/>
      <c r="AS392" s="2322"/>
      <c r="AT392" s="2322"/>
      <c r="AU392" s="2322"/>
      <c r="AV392" s="2322"/>
      <c r="AW392" s="2322"/>
      <c r="AX392" s="2322"/>
      <c r="AY392" s="2322"/>
      <c r="AZ392" s="2322"/>
      <c r="BA392" s="2322"/>
      <c r="BB392" s="2322"/>
      <c r="BC392" s="2322"/>
      <c r="BD392" s="2322"/>
      <c r="BE392" s="2322"/>
      <c r="BF392" s="2322"/>
      <c r="BG392" s="2322"/>
      <c r="BH392" s="2322"/>
      <c r="BI392" s="2322"/>
      <c r="BJ392" s="2322"/>
      <c r="BK392" s="2322"/>
      <c r="BL392" s="2322"/>
      <c r="BM392" s="2322"/>
      <c r="BN392" s="2322"/>
      <c r="BO392" s="2322"/>
      <c r="BP392" s="2322"/>
      <c r="BQ392" s="2322"/>
      <c r="BR392" s="2322"/>
      <c r="BS392" s="2322"/>
      <c r="BT392" s="2322"/>
      <c r="BU392" s="2322"/>
      <c r="BV392" s="2322"/>
      <c r="BW392" s="2322"/>
      <c r="BX392" s="2322"/>
      <c r="BY392" s="2322"/>
      <c r="BZ392" s="2322"/>
      <c r="CA392" s="2322"/>
      <c r="CB392" s="2322"/>
      <c r="CC392" s="2322"/>
      <c r="CD392" s="2322"/>
      <c r="CE392" s="2322"/>
      <c r="CF392" s="2322"/>
      <c r="CG392" s="2322"/>
      <c r="CH392" s="2322"/>
      <c r="CI392" s="2322"/>
      <c r="CJ392" s="2322"/>
      <c r="CK392" s="2322"/>
      <c r="CL392" s="2322"/>
      <c r="CM392" s="2322"/>
      <c r="CN392" s="2322"/>
      <c r="CO392" s="2322"/>
      <c r="CP392" s="2322"/>
      <c r="CQ392" s="2322"/>
      <c r="CR392" s="2322"/>
      <c r="CS392" s="2322"/>
      <c r="CT392" s="2322"/>
      <c r="CU392" s="2322"/>
      <c r="CV392" s="2322"/>
    </row>
    <row r="393" spans="1:100" ht="15.75" customHeight="1">
      <c r="A393" s="2328"/>
      <c r="B393" s="2322"/>
      <c r="C393" s="2322"/>
      <c r="D393" s="2322"/>
      <c r="E393" s="2322"/>
      <c r="F393" s="2322"/>
      <c r="G393" s="2322"/>
      <c r="H393" s="2322"/>
      <c r="I393" s="2322"/>
      <c r="J393" s="2322"/>
      <c r="K393" s="2322"/>
      <c r="L393" s="2322"/>
      <c r="M393" s="2322"/>
      <c r="N393" s="2322"/>
      <c r="O393" s="2322"/>
      <c r="P393" s="2322"/>
      <c r="Q393" s="2322"/>
      <c r="R393" s="2322"/>
      <c r="S393" s="2322"/>
      <c r="T393" s="2322"/>
      <c r="U393" s="2322"/>
      <c r="V393" s="2322"/>
      <c r="W393" s="2322"/>
      <c r="X393" s="2322"/>
      <c r="Y393" s="2322"/>
      <c r="Z393" s="2322"/>
      <c r="AA393" s="2322"/>
      <c r="AB393" s="2322"/>
      <c r="AC393" s="2322"/>
      <c r="AD393" s="2322"/>
      <c r="AE393" s="2322"/>
      <c r="AF393" s="2322"/>
      <c r="AG393" s="2322"/>
      <c r="AH393" s="2322"/>
      <c r="AI393" s="2322"/>
      <c r="AJ393" s="2322"/>
      <c r="AK393" s="2322"/>
      <c r="AL393" s="2322"/>
      <c r="AM393" s="2322"/>
      <c r="AN393" s="2322"/>
      <c r="AO393" s="2322"/>
      <c r="AP393" s="2322"/>
      <c r="AQ393" s="2322"/>
      <c r="AR393" s="2322"/>
      <c r="AS393" s="2322"/>
      <c r="AT393" s="2322"/>
      <c r="AU393" s="2322"/>
      <c r="AV393" s="2322"/>
      <c r="AW393" s="2322"/>
      <c r="AX393" s="2322"/>
      <c r="AY393" s="2322"/>
      <c r="AZ393" s="2322"/>
      <c r="BA393" s="2322"/>
      <c r="BB393" s="2322"/>
      <c r="BC393" s="2322"/>
      <c r="BD393" s="2322"/>
      <c r="BE393" s="2322"/>
      <c r="BF393" s="2322"/>
      <c r="BG393" s="2322"/>
      <c r="BH393" s="2322"/>
      <c r="BI393" s="2322"/>
      <c r="BJ393" s="2322"/>
      <c r="BK393" s="2322"/>
      <c r="BL393" s="2322"/>
      <c r="BM393" s="2322"/>
      <c r="BN393" s="2322"/>
      <c r="BO393" s="2322"/>
      <c r="BP393" s="2322"/>
      <c r="BQ393" s="2322"/>
      <c r="BR393" s="2322"/>
      <c r="BS393" s="2322"/>
      <c r="BT393" s="2322"/>
      <c r="BU393" s="2322"/>
      <c r="BV393" s="2322"/>
      <c r="BW393" s="2322"/>
      <c r="BX393" s="2322"/>
      <c r="BY393" s="2322"/>
      <c r="BZ393" s="2322"/>
      <c r="CA393" s="2322"/>
      <c r="CB393" s="2322"/>
      <c r="CC393" s="2322"/>
      <c r="CD393" s="2322"/>
      <c r="CE393" s="2322"/>
      <c r="CF393" s="2322"/>
      <c r="CG393" s="2322"/>
      <c r="CH393" s="2322"/>
      <c r="CI393" s="2322"/>
      <c r="CJ393" s="2322"/>
      <c r="CK393" s="2322"/>
      <c r="CL393" s="2322"/>
      <c r="CM393" s="2322"/>
      <c r="CN393" s="2322"/>
      <c r="CO393" s="2322"/>
      <c r="CP393" s="2322"/>
      <c r="CQ393" s="2322"/>
      <c r="CR393" s="2322"/>
      <c r="CS393" s="2322"/>
      <c r="CT393" s="2322"/>
      <c r="CU393" s="2322"/>
      <c r="CV393" s="2322"/>
    </row>
    <row r="394" spans="1:100" ht="15.75" customHeight="1">
      <c r="A394" s="2328"/>
      <c r="B394" s="2322"/>
      <c r="C394" s="2322"/>
      <c r="D394" s="2322"/>
      <c r="E394" s="2322"/>
      <c r="F394" s="2322"/>
      <c r="G394" s="2322"/>
      <c r="H394" s="2322"/>
      <c r="I394" s="2322"/>
      <c r="J394" s="2322"/>
      <c r="K394" s="2322"/>
      <c r="L394" s="2322"/>
      <c r="M394" s="2322"/>
      <c r="N394" s="2322"/>
      <c r="O394" s="2322"/>
      <c r="P394" s="2322"/>
      <c r="Q394" s="2322"/>
      <c r="R394" s="2322"/>
      <c r="S394" s="2322"/>
      <c r="T394" s="2322"/>
      <c r="U394" s="2322"/>
      <c r="V394" s="2322"/>
      <c r="W394" s="2322"/>
      <c r="X394" s="2322"/>
      <c r="Y394" s="2322"/>
      <c r="Z394" s="2322"/>
      <c r="AA394" s="2322"/>
      <c r="AB394" s="2322"/>
      <c r="AC394" s="2322"/>
      <c r="AD394" s="2322"/>
      <c r="AE394" s="2322"/>
      <c r="AF394" s="2322"/>
      <c r="AG394" s="2322"/>
      <c r="AH394" s="2322"/>
      <c r="AI394" s="2322"/>
      <c r="AJ394" s="2322"/>
      <c r="AK394" s="2322"/>
      <c r="AL394" s="2322"/>
      <c r="AM394" s="2322"/>
      <c r="AN394" s="2322"/>
      <c r="AO394" s="2322"/>
      <c r="AP394" s="2322"/>
      <c r="AQ394" s="2322"/>
      <c r="AR394" s="2322"/>
      <c r="AS394" s="2322"/>
      <c r="AT394" s="2322"/>
      <c r="AU394" s="2322"/>
      <c r="AV394" s="2322"/>
      <c r="AW394" s="2322"/>
      <c r="AX394" s="2322"/>
      <c r="AY394" s="2322"/>
      <c r="AZ394" s="2322"/>
      <c r="BA394" s="2322"/>
      <c r="BB394" s="2322"/>
      <c r="BC394" s="2322"/>
      <c r="BD394" s="2322"/>
      <c r="BE394" s="2322"/>
      <c r="BF394" s="2322"/>
      <c r="BG394" s="2322"/>
      <c r="BH394" s="2322"/>
      <c r="BI394" s="2322"/>
      <c r="BJ394" s="2322"/>
      <c r="BK394" s="2322"/>
      <c r="BL394" s="2322"/>
      <c r="BM394" s="2322"/>
      <c r="BN394" s="2322"/>
      <c r="BO394" s="2322"/>
      <c r="BP394" s="2322"/>
      <c r="BQ394" s="2322"/>
      <c r="BR394" s="2322"/>
      <c r="BS394" s="2322"/>
      <c r="BT394" s="2322"/>
      <c r="BU394" s="2322"/>
      <c r="BV394" s="2322"/>
      <c r="BW394" s="2322"/>
      <c r="BX394" s="2322"/>
      <c r="BY394" s="2322"/>
      <c r="BZ394" s="2322"/>
      <c r="CA394" s="2322"/>
      <c r="CB394" s="2322"/>
      <c r="CC394" s="2322"/>
      <c r="CD394" s="2322"/>
      <c r="CE394" s="2322"/>
      <c r="CF394" s="2322"/>
      <c r="CG394" s="2322"/>
      <c r="CH394" s="2322"/>
      <c r="CI394" s="2322"/>
      <c r="CJ394" s="2322"/>
      <c r="CK394" s="2322"/>
      <c r="CL394" s="2322"/>
      <c r="CM394" s="2322"/>
      <c r="CN394" s="2322"/>
      <c r="CO394" s="2322"/>
      <c r="CP394" s="2322"/>
      <c r="CQ394" s="2322"/>
      <c r="CR394" s="2322"/>
      <c r="CS394" s="2322"/>
      <c r="CT394" s="2322"/>
      <c r="CU394" s="2322"/>
      <c r="CV394" s="2322"/>
    </row>
    <row r="395" spans="1:100" ht="15.75" customHeight="1">
      <c r="A395" s="2328"/>
      <c r="B395" s="2322"/>
      <c r="C395" s="2322"/>
      <c r="D395" s="2322"/>
      <c r="E395" s="2322"/>
      <c r="F395" s="2322"/>
      <c r="G395" s="2322"/>
      <c r="H395" s="2322"/>
      <c r="I395" s="2322"/>
      <c r="J395" s="2322"/>
      <c r="K395" s="2322"/>
      <c r="L395" s="2322"/>
      <c r="M395" s="2322"/>
      <c r="N395" s="2322"/>
      <c r="O395" s="2322"/>
      <c r="P395" s="2322"/>
      <c r="Q395" s="2322"/>
      <c r="R395" s="2322"/>
      <c r="S395" s="2322"/>
      <c r="T395" s="2322"/>
      <c r="U395" s="2322"/>
      <c r="V395" s="2322"/>
      <c r="W395" s="2322"/>
      <c r="X395" s="2322"/>
      <c r="Y395" s="2322"/>
      <c r="Z395" s="2322"/>
      <c r="AA395" s="2322"/>
      <c r="AB395" s="2322"/>
      <c r="AC395" s="2322"/>
      <c r="AD395" s="2322"/>
      <c r="AE395" s="2322"/>
      <c r="AF395" s="2322"/>
      <c r="AG395" s="2322"/>
      <c r="AH395" s="2322"/>
      <c r="AI395" s="2322"/>
      <c r="AJ395" s="2322"/>
      <c r="AK395" s="2322"/>
      <c r="AL395" s="2322"/>
      <c r="AM395" s="2322"/>
      <c r="AN395" s="2322"/>
      <c r="AO395" s="2322"/>
      <c r="AP395" s="2322"/>
      <c r="AQ395" s="2322"/>
      <c r="AR395" s="2322"/>
      <c r="AS395" s="2322"/>
      <c r="AT395" s="2322"/>
      <c r="AU395" s="2322"/>
      <c r="AV395" s="2322"/>
      <c r="AW395" s="2322"/>
      <c r="AX395" s="2322"/>
      <c r="AY395" s="2322"/>
      <c r="AZ395" s="2322"/>
      <c r="BA395" s="2322"/>
      <c r="BB395" s="2322"/>
      <c r="BC395" s="2322"/>
      <c r="BD395" s="2322"/>
      <c r="BE395" s="2322"/>
      <c r="BF395" s="2322"/>
      <c r="BG395" s="2322"/>
      <c r="BH395" s="2322"/>
      <c r="BI395" s="2322"/>
      <c r="BJ395" s="2322"/>
      <c r="BK395" s="2322"/>
      <c r="BL395" s="2322"/>
      <c r="BM395" s="2322"/>
      <c r="BN395" s="2322"/>
      <c r="BO395" s="2322"/>
      <c r="BP395" s="2322"/>
      <c r="BQ395" s="2322"/>
      <c r="BR395" s="2322"/>
      <c r="BS395" s="2322"/>
      <c r="BT395" s="2322"/>
      <c r="BU395" s="2322"/>
      <c r="BV395" s="2322"/>
      <c r="BW395" s="2322"/>
      <c r="BX395" s="2322"/>
      <c r="BY395" s="2322"/>
      <c r="BZ395" s="2322"/>
      <c r="CA395" s="2322"/>
      <c r="CB395" s="2322"/>
      <c r="CC395" s="2322"/>
      <c r="CD395" s="2322"/>
      <c r="CE395" s="2322"/>
      <c r="CF395" s="2322"/>
      <c r="CG395" s="2322"/>
      <c r="CH395" s="2322"/>
      <c r="CI395" s="2322"/>
      <c r="CJ395" s="2322"/>
      <c r="CK395" s="2322"/>
      <c r="CL395" s="2322"/>
      <c r="CM395" s="2322"/>
      <c r="CN395" s="2322"/>
      <c r="CO395" s="2322"/>
      <c r="CP395" s="2322"/>
      <c r="CQ395" s="2322"/>
      <c r="CR395" s="2322"/>
      <c r="CS395" s="2322"/>
      <c r="CT395" s="2322"/>
      <c r="CU395" s="2322"/>
      <c r="CV395" s="2322"/>
    </row>
    <row r="396" spans="1:100" ht="15.75" customHeight="1">
      <c r="A396" s="2328"/>
      <c r="B396" s="2322"/>
      <c r="C396" s="2322"/>
      <c r="D396" s="2322"/>
      <c r="E396" s="2322"/>
      <c r="F396" s="2322"/>
      <c r="G396" s="2322"/>
      <c r="H396" s="2322"/>
      <c r="I396" s="2322"/>
      <c r="J396" s="2322"/>
      <c r="K396" s="2322"/>
      <c r="L396" s="2322"/>
      <c r="M396" s="2322"/>
      <c r="N396" s="2322"/>
      <c r="O396" s="2322"/>
      <c r="P396" s="2322"/>
      <c r="Q396" s="2322"/>
      <c r="R396" s="2322"/>
      <c r="S396" s="2322"/>
      <c r="T396" s="2322"/>
      <c r="U396" s="2322"/>
      <c r="V396" s="2322"/>
      <c r="W396" s="2322"/>
      <c r="X396" s="2322"/>
      <c r="Y396" s="2322"/>
      <c r="Z396" s="2322"/>
      <c r="AA396" s="2322"/>
      <c r="AB396" s="2322"/>
      <c r="AC396" s="2322"/>
      <c r="AD396" s="2322"/>
      <c r="AE396" s="2322"/>
      <c r="AF396" s="2322"/>
      <c r="AG396" s="2322"/>
      <c r="AH396" s="2322"/>
      <c r="AI396" s="2322"/>
      <c r="AJ396" s="2322"/>
      <c r="AK396" s="2322"/>
      <c r="AL396" s="2322"/>
      <c r="AM396" s="2322"/>
      <c r="AN396" s="2322"/>
      <c r="AO396" s="2322"/>
      <c r="AP396" s="2322"/>
      <c r="AQ396" s="2322"/>
      <c r="AR396" s="2322"/>
      <c r="AS396" s="2322"/>
      <c r="AT396" s="2322"/>
      <c r="AU396" s="2322"/>
      <c r="AV396" s="2322"/>
      <c r="AW396" s="2322"/>
      <c r="AX396" s="2322"/>
      <c r="AY396" s="2322"/>
      <c r="AZ396" s="2322"/>
      <c r="BA396" s="2322"/>
      <c r="BB396" s="2322"/>
      <c r="BC396" s="2322"/>
      <c r="BD396" s="2322"/>
      <c r="BE396" s="2322"/>
      <c r="BF396" s="2322"/>
      <c r="BG396" s="2322"/>
      <c r="BH396" s="2322"/>
      <c r="BI396" s="2322"/>
      <c r="BJ396" s="2322"/>
      <c r="BK396" s="2322"/>
      <c r="BL396" s="2322"/>
      <c r="BM396" s="2322"/>
      <c r="BN396" s="2322"/>
      <c r="BO396" s="2322"/>
      <c r="BP396" s="2322"/>
      <c r="BQ396" s="2322"/>
      <c r="BR396" s="2322"/>
      <c r="BS396" s="2322"/>
      <c r="BT396" s="2322"/>
      <c r="BU396" s="2322"/>
      <c r="BV396" s="2322"/>
      <c r="BW396" s="2322"/>
      <c r="BX396" s="2322"/>
      <c r="BY396" s="2322"/>
      <c r="BZ396" s="2322"/>
      <c r="CA396" s="2322"/>
      <c r="CB396" s="2322"/>
      <c r="CC396" s="2322"/>
      <c r="CD396" s="2322"/>
      <c r="CE396" s="2322"/>
      <c r="CF396" s="2322"/>
      <c r="CG396" s="2322"/>
      <c r="CH396" s="2322"/>
      <c r="CI396" s="2322"/>
      <c r="CJ396" s="2322"/>
      <c r="CK396" s="2322"/>
      <c r="CL396" s="2322"/>
      <c r="CM396" s="2322"/>
      <c r="CN396" s="2322"/>
      <c r="CO396" s="2322"/>
      <c r="CP396" s="2322"/>
      <c r="CQ396" s="2322"/>
      <c r="CR396" s="2322"/>
      <c r="CS396" s="2322"/>
      <c r="CT396" s="2322"/>
      <c r="CU396" s="2322"/>
      <c r="CV396" s="2322"/>
    </row>
    <row r="397" spans="1:100" ht="15.75" customHeight="1">
      <c r="A397" s="2328"/>
      <c r="B397" s="2322"/>
      <c r="C397" s="2322"/>
      <c r="D397" s="2322"/>
      <c r="E397" s="2322"/>
      <c r="F397" s="2322"/>
      <c r="G397" s="2322"/>
      <c r="H397" s="2322"/>
      <c r="I397" s="2322"/>
      <c r="J397" s="2322"/>
      <c r="K397" s="2322"/>
      <c r="L397" s="2322"/>
      <c r="M397" s="2322"/>
      <c r="N397" s="2322"/>
      <c r="O397" s="2322"/>
      <c r="P397" s="2322"/>
      <c r="Q397" s="2322"/>
      <c r="R397" s="2322"/>
      <c r="S397" s="2322"/>
      <c r="T397" s="2322"/>
      <c r="U397" s="2322"/>
      <c r="V397" s="2322"/>
      <c r="W397" s="2322"/>
      <c r="X397" s="2322"/>
      <c r="Y397" s="2322"/>
      <c r="Z397" s="2322"/>
      <c r="AA397" s="2322"/>
      <c r="AB397" s="2322"/>
      <c r="AC397" s="2322"/>
      <c r="AD397" s="2322"/>
      <c r="AE397" s="2322"/>
      <c r="AF397" s="2322"/>
      <c r="AG397" s="2322"/>
      <c r="AH397" s="2322"/>
      <c r="AI397" s="2322"/>
      <c r="AJ397" s="2322"/>
      <c r="AK397" s="2322"/>
      <c r="AL397" s="2322"/>
      <c r="AM397" s="2322"/>
      <c r="AN397" s="2322"/>
      <c r="AO397" s="2322"/>
      <c r="AP397" s="2322"/>
      <c r="AQ397" s="2322"/>
      <c r="AR397" s="2322"/>
      <c r="AS397" s="2322"/>
      <c r="AT397" s="2322"/>
      <c r="AU397" s="2322"/>
      <c r="AV397" s="2322"/>
      <c r="AW397" s="2322"/>
      <c r="AX397" s="2322"/>
      <c r="AY397" s="2322"/>
      <c r="AZ397" s="2322"/>
      <c r="BA397" s="2322"/>
      <c r="BB397" s="2322"/>
      <c r="BC397" s="2322"/>
      <c r="BD397" s="2322"/>
      <c r="BE397" s="2322"/>
      <c r="BF397" s="2322"/>
      <c r="BG397" s="2322"/>
      <c r="BH397" s="2322"/>
      <c r="BI397" s="2322"/>
      <c r="BJ397" s="2322"/>
      <c r="BK397" s="2322"/>
      <c r="BL397" s="2322"/>
      <c r="BM397" s="2322"/>
      <c r="BN397" s="2322"/>
      <c r="BO397" s="2322"/>
      <c r="BP397" s="2322"/>
      <c r="BQ397" s="2322"/>
      <c r="BR397" s="2322"/>
      <c r="BS397" s="2322"/>
      <c r="BT397" s="2322"/>
      <c r="BU397" s="2322"/>
      <c r="BV397" s="2322"/>
      <c r="BW397" s="2322"/>
      <c r="BX397" s="2322"/>
      <c r="BY397" s="2322"/>
      <c r="BZ397" s="2322"/>
      <c r="CA397" s="2322"/>
      <c r="CB397" s="2322"/>
      <c r="CC397" s="2322"/>
      <c r="CD397" s="2322"/>
      <c r="CE397" s="2322"/>
      <c r="CF397" s="2322"/>
      <c r="CG397" s="2322"/>
      <c r="CH397" s="2322"/>
      <c r="CI397" s="2322"/>
      <c r="CJ397" s="2322"/>
      <c r="CK397" s="2322"/>
      <c r="CL397" s="2322"/>
      <c r="CM397" s="2322"/>
      <c r="CN397" s="2322"/>
      <c r="CO397" s="2322"/>
      <c r="CP397" s="2322"/>
      <c r="CQ397" s="2322"/>
      <c r="CR397" s="2322"/>
      <c r="CS397" s="2322"/>
      <c r="CT397" s="2322"/>
      <c r="CU397" s="2322"/>
      <c r="CV397" s="2322"/>
    </row>
    <row r="398" spans="1:100" ht="15.75" customHeight="1">
      <c r="A398" s="2328"/>
      <c r="B398" s="2322"/>
      <c r="C398" s="2322"/>
      <c r="D398" s="2322"/>
      <c r="E398" s="2322"/>
      <c r="F398" s="2322"/>
      <c r="G398" s="2322"/>
      <c r="H398" s="2322"/>
      <c r="I398" s="2322"/>
      <c r="J398" s="2322"/>
      <c r="K398" s="2322"/>
      <c r="L398" s="2322"/>
      <c r="M398" s="2322"/>
      <c r="N398" s="2322"/>
      <c r="O398" s="2322"/>
      <c r="P398" s="2322"/>
      <c r="Q398" s="2322"/>
      <c r="R398" s="2322"/>
      <c r="S398" s="2322"/>
      <c r="T398" s="2322"/>
      <c r="U398" s="2322"/>
      <c r="V398" s="2322"/>
      <c r="W398" s="2322"/>
      <c r="X398" s="2322"/>
      <c r="Y398" s="2322"/>
      <c r="Z398" s="2322"/>
      <c r="AA398" s="2322"/>
      <c r="AB398" s="2322"/>
      <c r="AC398" s="2322"/>
      <c r="AD398" s="2322"/>
      <c r="AE398" s="2322"/>
      <c r="AF398" s="2322"/>
      <c r="AG398" s="2322"/>
      <c r="AH398" s="2322"/>
      <c r="AI398" s="2322"/>
      <c r="AJ398" s="2322"/>
      <c r="AK398" s="2322"/>
      <c r="AL398" s="2322"/>
      <c r="AM398" s="2322"/>
      <c r="AN398" s="2322"/>
      <c r="AO398" s="2322"/>
      <c r="AP398" s="2322"/>
      <c r="AQ398" s="2322"/>
      <c r="AR398" s="2322"/>
      <c r="AS398" s="2322"/>
      <c r="AT398" s="2322"/>
      <c r="AU398" s="2322"/>
      <c r="AV398" s="2322"/>
      <c r="AW398" s="2322"/>
      <c r="AX398" s="2322"/>
      <c r="AY398" s="2322"/>
      <c r="AZ398" s="2322"/>
      <c r="BA398" s="2322"/>
      <c r="BB398" s="2322"/>
      <c r="BC398" s="2322"/>
      <c r="BD398" s="2322"/>
      <c r="BE398" s="2322"/>
      <c r="BF398" s="2322"/>
      <c r="BG398" s="2322"/>
      <c r="BH398" s="2322"/>
      <c r="BI398" s="2322"/>
      <c r="BJ398" s="2322"/>
      <c r="BK398" s="2322"/>
      <c r="BL398" s="2322"/>
      <c r="BM398" s="2322"/>
      <c r="BN398" s="2322"/>
      <c r="BO398" s="2322"/>
      <c r="BP398" s="2322"/>
      <c r="BQ398" s="2322"/>
      <c r="BR398" s="2322"/>
      <c r="BS398" s="2322"/>
      <c r="BT398" s="2322"/>
      <c r="BU398" s="2322"/>
      <c r="BV398" s="2322"/>
      <c r="BW398" s="2322"/>
      <c r="BX398" s="2322"/>
      <c r="BY398" s="2322"/>
      <c r="BZ398" s="2322"/>
      <c r="CA398" s="2322"/>
      <c r="CB398" s="2322"/>
      <c r="CC398" s="2322"/>
      <c r="CD398" s="2322"/>
      <c r="CE398" s="2322"/>
      <c r="CF398" s="2322"/>
      <c r="CG398" s="2322"/>
      <c r="CH398" s="2322"/>
      <c r="CI398" s="2322"/>
      <c r="CJ398" s="2322"/>
      <c r="CK398" s="2322"/>
      <c r="CL398" s="2322"/>
      <c r="CM398" s="2322"/>
      <c r="CN398" s="2322"/>
      <c r="CO398" s="2322"/>
      <c r="CP398" s="2322"/>
      <c r="CQ398" s="2322"/>
      <c r="CR398" s="2322"/>
      <c r="CS398" s="2322"/>
      <c r="CT398" s="2322"/>
      <c r="CU398" s="2322"/>
      <c r="CV398" s="2322"/>
    </row>
    <row r="399" spans="1:100" ht="15.75" customHeight="1">
      <c r="A399" s="2328"/>
      <c r="B399" s="2322"/>
      <c r="C399" s="2322"/>
      <c r="D399" s="2322"/>
      <c r="E399" s="2322"/>
      <c r="F399" s="2322"/>
      <c r="G399" s="2322"/>
      <c r="H399" s="2322"/>
      <c r="I399" s="2322"/>
      <c r="J399" s="2322"/>
      <c r="K399" s="2322"/>
      <c r="L399" s="2322"/>
      <c r="M399" s="2322"/>
      <c r="N399" s="2322"/>
      <c r="O399" s="2322"/>
      <c r="P399" s="2322"/>
      <c r="Q399" s="2322"/>
      <c r="R399" s="2322"/>
      <c r="S399" s="2322"/>
      <c r="T399" s="2322"/>
      <c r="U399" s="2322"/>
      <c r="V399" s="2322"/>
      <c r="W399" s="2322"/>
      <c r="X399" s="2322"/>
      <c r="Y399" s="2322"/>
      <c r="Z399" s="2322"/>
      <c r="AA399" s="2322"/>
      <c r="AB399" s="2322"/>
      <c r="AC399" s="2322"/>
      <c r="AD399" s="2322"/>
      <c r="AE399" s="2322"/>
      <c r="AF399" s="2322"/>
      <c r="AG399" s="2322"/>
      <c r="AH399" s="2322"/>
      <c r="AI399" s="2322"/>
      <c r="AJ399" s="2322"/>
      <c r="AK399" s="2322"/>
      <c r="AL399" s="2322"/>
      <c r="AM399" s="2322"/>
      <c r="AN399" s="2322"/>
      <c r="AO399" s="2322"/>
      <c r="AP399" s="2322"/>
      <c r="AQ399" s="2322"/>
      <c r="AR399" s="2322"/>
      <c r="AS399" s="2322"/>
      <c r="AT399" s="2322"/>
      <c r="AU399" s="2322"/>
      <c r="AV399" s="2322"/>
      <c r="AW399" s="2322"/>
      <c r="AX399" s="2322"/>
      <c r="AY399" s="2322"/>
      <c r="AZ399" s="2322"/>
      <c r="BA399" s="2322"/>
      <c r="BB399" s="2322"/>
      <c r="BC399" s="2322"/>
      <c r="BD399" s="2322"/>
      <c r="BE399" s="2322"/>
      <c r="BF399" s="2322"/>
      <c r="BG399" s="2322"/>
      <c r="BH399" s="2322"/>
      <c r="BI399" s="2322"/>
      <c r="BJ399" s="2322"/>
      <c r="BK399" s="2322"/>
      <c r="BL399" s="2322"/>
      <c r="BM399" s="2322"/>
      <c r="BN399" s="2322"/>
      <c r="BO399" s="2322"/>
      <c r="BP399" s="2322"/>
      <c r="BQ399" s="2322"/>
      <c r="BR399" s="2322"/>
      <c r="BS399" s="2322"/>
      <c r="BT399" s="2322"/>
      <c r="BU399" s="2322"/>
      <c r="BV399" s="2322"/>
      <c r="BW399" s="2322"/>
      <c r="BX399" s="2322"/>
      <c r="BY399" s="2322"/>
      <c r="BZ399" s="2322"/>
      <c r="CA399" s="2322"/>
      <c r="CB399" s="2322"/>
      <c r="CC399" s="2322"/>
      <c r="CD399" s="2322"/>
      <c r="CE399" s="2322"/>
      <c r="CF399" s="2322"/>
      <c r="CG399" s="2322"/>
      <c r="CH399" s="2322"/>
      <c r="CI399" s="2322"/>
      <c r="CJ399" s="2322"/>
      <c r="CK399" s="2322"/>
      <c r="CL399" s="2322"/>
      <c r="CM399" s="2322"/>
      <c r="CN399" s="2322"/>
      <c r="CO399" s="2322"/>
      <c r="CP399" s="2322"/>
      <c r="CQ399" s="2322"/>
      <c r="CR399" s="2322"/>
      <c r="CS399" s="2322"/>
      <c r="CT399" s="2322"/>
      <c r="CU399" s="2322"/>
      <c r="CV399" s="2322"/>
    </row>
    <row r="400" spans="1:100" ht="15.75" customHeight="1">
      <c r="A400" s="2328"/>
      <c r="B400" s="2322"/>
      <c r="C400" s="2322"/>
      <c r="D400" s="2322"/>
      <c r="E400" s="2322"/>
      <c r="F400" s="2322"/>
      <c r="G400" s="2322"/>
      <c r="H400" s="2322"/>
      <c r="I400" s="2322"/>
      <c r="J400" s="2322"/>
      <c r="K400" s="2322"/>
      <c r="L400" s="2322"/>
      <c r="M400" s="2322"/>
      <c r="N400" s="2322"/>
      <c r="O400" s="2322"/>
      <c r="P400" s="2322"/>
      <c r="Q400" s="2322"/>
      <c r="R400" s="2322"/>
      <c r="S400" s="2322"/>
      <c r="T400" s="2322"/>
      <c r="U400" s="2322"/>
      <c r="V400" s="2322"/>
      <c r="W400" s="2322"/>
      <c r="X400" s="2322"/>
      <c r="Y400" s="2322"/>
      <c r="Z400" s="2322"/>
      <c r="AA400" s="2322"/>
      <c r="AB400" s="2322"/>
      <c r="AC400" s="2322"/>
      <c r="AD400" s="2322"/>
      <c r="AE400" s="2322"/>
      <c r="AF400" s="2322"/>
      <c r="AG400" s="2322"/>
      <c r="AH400" s="2322"/>
      <c r="AI400" s="2322"/>
      <c r="AJ400" s="2322"/>
      <c r="AK400" s="2322"/>
      <c r="AL400" s="2322"/>
      <c r="AM400" s="2322"/>
      <c r="AN400" s="2322"/>
      <c r="AO400" s="2322"/>
      <c r="AP400" s="2322"/>
      <c r="AQ400" s="2322"/>
      <c r="AR400" s="2322"/>
      <c r="AS400" s="2322"/>
      <c r="AT400" s="2322"/>
      <c r="AU400" s="2322"/>
      <c r="AV400" s="2322"/>
      <c r="AW400" s="2322"/>
      <c r="AX400" s="2322"/>
      <c r="AY400" s="2322"/>
      <c r="AZ400" s="2322"/>
      <c r="BA400" s="2322"/>
      <c r="BB400" s="2322"/>
      <c r="BC400" s="2322"/>
      <c r="BD400" s="2322"/>
      <c r="BE400" s="2322"/>
      <c r="BF400" s="2322"/>
      <c r="BG400" s="2322"/>
      <c r="BH400" s="2322"/>
      <c r="BI400" s="2322"/>
      <c r="BJ400" s="2322"/>
      <c r="BK400" s="2322"/>
      <c r="BL400" s="2322"/>
      <c r="BM400" s="2322"/>
      <c r="BN400" s="2322"/>
      <c r="BO400" s="2322"/>
      <c r="BP400" s="2322"/>
      <c r="BQ400" s="2322"/>
      <c r="BR400" s="2322"/>
      <c r="BS400" s="2322"/>
      <c r="BT400" s="2322"/>
      <c r="BU400" s="2322"/>
      <c r="BV400" s="2322"/>
      <c r="BW400" s="2322"/>
      <c r="BX400" s="2322"/>
      <c r="BY400" s="2322"/>
      <c r="BZ400" s="2322"/>
      <c r="CA400" s="2322"/>
      <c r="CB400" s="2322"/>
      <c r="CC400" s="2322"/>
      <c r="CD400" s="2322"/>
      <c r="CE400" s="2322"/>
      <c r="CF400" s="2322"/>
      <c r="CG400" s="2322"/>
      <c r="CH400" s="2322"/>
      <c r="CI400" s="2322"/>
      <c r="CJ400" s="2322"/>
      <c r="CK400" s="2322"/>
      <c r="CL400" s="2322"/>
      <c r="CM400" s="2322"/>
      <c r="CN400" s="2322"/>
      <c r="CO400" s="2322"/>
      <c r="CP400" s="2322"/>
      <c r="CQ400" s="2322"/>
      <c r="CR400" s="2322"/>
      <c r="CS400" s="2322"/>
      <c r="CT400" s="2322"/>
      <c r="CU400" s="2322"/>
      <c r="CV400" s="2322"/>
    </row>
    <row r="401" spans="1:100" ht="15.75" customHeight="1">
      <c r="A401" s="2328"/>
      <c r="B401" s="2322"/>
      <c r="C401" s="2322"/>
      <c r="D401" s="2322"/>
      <c r="E401" s="2322"/>
      <c r="F401" s="2322"/>
      <c r="G401" s="2322"/>
      <c r="H401" s="2322"/>
      <c r="I401" s="2322"/>
      <c r="J401" s="2322"/>
      <c r="K401" s="2322"/>
      <c r="L401" s="2322"/>
      <c r="M401" s="2322"/>
      <c r="N401" s="2322"/>
      <c r="O401" s="2322"/>
      <c r="P401" s="2322"/>
      <c r="Q401" s="2322"/>
      <c r="R401" s="2322"/>
      <c r="S401" s="2322"/>
      <c r="T401" s="2322"/>
      <c r="U401" s="2322"/>
      <c r="V401" s="2322"/>
      <c r="W401" s="2322"/>
      <c r="X401" s="2322"/>
      <c r="Y401" s="2322"/>
      <c r="Z401" s="2322"/>
      <c r="AA401" s="2322"/>
      <c r="AB401" s="2322"/>
      <c r="AC401" s="2322"/>
      <c r="AD401" s="2322"/>
      <c r="AE401" s="2322"/>
      <c r="AF401" s="2322"/>
      <c r="AG401" s="2322"/>
      <c r="AH401" s="2322"/>
      <c r="AI401" s="2322"/>
      <c r="AJ401" s="2322"/>
      <c r="AK401" s="2322"/>
      <c r="AL401" s="2322"/>
      <c r="AM401" s="2322"/>
      <c r="AN401" s="2322"/>
      <c r="AO401" s="2322"/>
      <c r="AP401" s="2322"/>
      <c r="AQ401" s="2322"/>
      <c r="AR401" s="2322"/>
      <c r="AS401" s="2322"/>
      <c r="AT401" s="2322"/>
      <c r="AU401" s="2322"/>
      <c r="AV401" s="2322"/>
      <c r="AW401" s="2322"/>
      <c r="AX401" s="2322"/>
      <c r="AY401" s="2322"/>
      <c r="AZ401" s="2322"/>
      <c r="BA401" s="2322"/>
      <c r="BB401" s="2322"/>
      <c r="BC401" s="2322"/>
      <c r="BD401" s="2322"/>
      <c r="BE401" s="2322"/>
      <c r="BF401" s="2322"/>
      <c r="BG401" s="2322"/>
      <c r="BH401" s="2322"/>
      <c r="BI401" s="2322"/>
      <c r="BJ401" s="2322"/>
      <c r="BK401" s="2322"/>
      <c r="BL401" s="2322"/>
      <c r="BM401" s="2322"/>
      <c r="BN401" s="2322"/>
      <c r="BO401" s="2322"/>
      <c r="BP401" s="2322"/>
      <c r="BQ401" s="2322"/>
      <c r="BR401" s="2322"/>
      <c r="BS401" s="2322"/>
      <c r="BT401" s="2322"/>
      <c r="BU401" s="2322"/>
      <c r="BV401" s="2322"/>
      <c r="BW401" s="2322"/>
      <c r="BX401" s="2322"/>
      <c r="BY401" s="2322"/>
      <c r="BZ401" s="2322"/>
      <c r="CA401" s="2322"/>
      <c r="CB401" s="2322"/>
      <c r="CC401" s="2322"/>
      <c r="CD401" s="2322"/>
      <c r="CE401" s="2322"/>
      <c r="CF401" s="2322"/>
      <c r="CG401" s="2322"/>
      <c r="CH401" s="2322"/>
      <c r="CI401" s="2322"/>
      <c r="CJ401" s="2322"/>
      <c r="CK401" s="2322"/>
      <c r="CL401" s="2322"/>
      <c r="CM401" s="2322"/>
      <c r="CN401" s="2322"/>
      <c r="CO401" s="2322"/>
      <c r="CP401" s="2322"/>
      <c r="CQ401" s="2322"/>
      <c r="CR401" s="2322"/>
      <c r="CS401" s="2322"/>
      <c r="CT401" s="2322"/>
      <c r="CU401" s="2322"/>
      <c r="CV401" s="2322"/>
    </row>
    <row r="402" spans="1:100" ht="15.75" customHeight="1">
      <c r="A402" s="2328"/>
      <c r="B402" s="2322"/>
      <c r="C402" s="2322"/>
      <c r="D402" s="2322"/>
      <c r="E402" s="2322"/>
      <c r="F402" s="2322"/>
      <c r="G402" s="2322"/>
      <c r="H402" s="2322"/>
      <c r="I402" s="2322"/>
      <c r="J402" s="2322"/>
      <c r="K402" s="2322"/>
      <c r="L402" s="2322"/>
      <c r="M402" s="2322"/>
      <c r="N402" s="2322"/>
      <c r="O402" s="2322"/>
      <c r="P402" s="2322"/>
      <c r="Q402" s="2322"/>
      <c r="R402" s="2322"/>
      <c r="S402" s="2322"/>
      <c r="T402" s="2322"/>
      <c r="U402" s="2322"/>
      <c r="V402" s="2322"/>
      <c r="W402" s="2322"/>
      <c r="X402" s="2322"/>
      <c r="Y402" s="2322"/>
      <c r="Z402" s="2322"/>
      <c r="AA402" s="2322"/>
      <c r="AB402" s="2322"/>
      <c r="AC402" s="2322"/>
      <c r="AD402" s="2322"/>
      <c r="AE402" s="2322"/>
      <c r="AF402" s="2322"/>
      <c r="AG402" s="2322"/>
      <c r="AH402" s="2322"/>
      <c r="AI402" s="2322"/>
      <c r="AJ402" s="2322"/>
      <c r="AK402" s="2322"/>
      <c r="AL402" s="2322"/>
      <c r="AM402" s="2322"/>
      <c r="AN402" s="2322"/>
      <c r="AO402" s="2322"/>
      <c r="AP402" s="2322"/>
      <c r="AQ402" s="2322"/>
      <c r="AR402" s="2322"/>
      <c r="AS402" s="2322"/>
      <c r="AT402" s="2322"/>
      <c r="AU402" s="2322"/>
      <c r="AV402" s="2322"/>
      <c r="AW402" s="2322"/>
      <c r="AX402" s="2322"/>
      <c r="AY402" s="2322"/>
      <c r="AZ402" s="2322"/>
      <c r="BA402" s="2322"/>
      <c r="BB402" s="2322"/>
      <c r="BC402" s="2322"/>
      <c r="BD402" s="2322"/>
      <c r="BE402" s="2322"/>
      <c r="BF402" s="2322"/>
      <c r="BG402" s="2322"/>
      <c r="BH402" s="2322"/>
      <c r="BI402" s="2322"/>
      <c r="BJ402" s="2322"/>
      <c r="BK402" s="2322"/>
      <c r="BL402" s="2322"/>
      <c r="BM402" s="2322"/>
      <c r="BN402" s="2322"/>
      <c r="BO402" s="2322"/>
      <c r="BP402" s="2322"/>
      <c r="BQ402" s="2322"/>
      <c r="BR402" s="2322"/>
      <c r="BS402" s="2322"/>
      <c r="BT402" s="2322"/>
      <c r="BU402" s="2322"/>
      <c r="BV402" s="2322"/>
      <c r="BW402" s="2322"/>
      <c r="BX402" s="2322"/>
      <c r="BY402" s="2322"/>
      <c r="BZ402" s="2322"/>
      <c r="CA402" s="2322"/>
      <c r="CB402" s="2322"/>
      <c r="CC402" s="2322"/>
      <c r="CD402" s="2322"/>
      <c r="CE402" s="2322"/>
      <c r="CF402" s="2322"/>
      <c r="CG402" s="2322"/>
      <c r="CH402" s="2322"/>
      <c r="CI402" s="2322"/>
      <c r="CJ402" s="2322"/>
      <c r="CK402" s="2322"/>
      <c r="CL402" s="2322"/>
      <c r="CM402" s="2322"/>
      <c r="CN402" s="2322"/>
      <c r="CO402" s="2322"/>
      <c r="CP402" s="2322"/>
      <c r="CQ402" s="2322"/>
      <c r="CR402" s="2322"/>
      <c r="CS402" s="2322"/>
      <c r="CT402" s="2322"/>
      <c r="CU402" s="2322"/>
      <c r="CV402" s="2322"/>
    </row>
    <row r="403" spans="1:100" ht="15.75" customHeight="1">
      <c r="A403" s="2328"/>
      <c r="B403" s="2322"/>
      <c r="C403" s="2322"/>
      <c r="D403" s="2322"/>
      <c r="E403" s="2322"/>
      <c r="F403" s="2322"/>
      <c r="G403" s="2322"/>
      <c r="H403" s="2322"/>
      <c r="I403" s="2322"/>
      <c r="J403" s="2322"/>
      <c r="K403" s="2322"/>
      <c r="L403" s="2322"/>
      <c r="M403" s="2322"/>
      <c r="N403" s="2322"/>
      <c r="O403" s="2322"/>
      <c r="P403" s="2322"/>
      <c r="Q403" s="2322"/>
      <c r="R403" s="2322"/>
      <c r="S403" s="2322"/>
      <c r="T403" s="2322"/>
      <c r="U403" s="2322"/>
      <c r="V403" s="2322"/>
      <c r="W403" s="2322"/>
      <c r="X403" s="2322"/>
      <c r="Y403" s="2322"/>
      <c r="Z403" s="2322"/>
      <c r="AA403" s="2322"/>
      <c r="AB403" s="2322"/>
      <c r="AC403" s="2322"/>
      <c r="AD403" s="2322"/>
      <c r="AE403" s="2322"/>
      <c r="AF403" s="2322"/>
      <c r="AG403" s="2322"/>
      <c r="AH403" s="2322"/>
      <c r="AI403" s="2322"/>
      <c r="AJ403" s="2322"/>
      <c r="AK403" s="2322"/>
      <c r="AL403" s="2322"/>
      <c r="AM403" s="2322"/>
      <c r="AN403" s="2322"/>
      <c r="AO403" s="2322"/>
      <c r="AP403" s="2322"/>
      <c r="AQ403" s="2322"/>
      <c r="AR403" s="2322"/>
      <c r="AS403" s="2322"/>
      <c r="AT403" s="2322"/>
      <c r="AU403" s="2322"/>
      <c r="AV403" s="2322"/>
      <c r="AW403" s="2322"/>
      <c r="AX403" s="2322"/>
      <c r="AY403" s="2322"/>
      <c r="AZ403" s="2322"/>
      <c r="BA403" s="2322"/>
      <c r="BB403" s="2322"/>
      <c r="BC403" s="2322"/>
      <c r="BD403" s="2322"/>
      <c r="BE403" s="2322"/>
      <c r="BF403" s="2322"/>
      <c r="BG403" s="2322"/>
      <c r="BH403" s="2322"/>
      <c r="BI403" s="2322"/>
      <c r="BJ403" s="2322"/>
      <c r="BK403" s="2322"/>
      <c r="BL403" s="2322"/>
      <c r="BM403" s="2322"/>
      <c r="BN403" s="2322"/>
      <c r="BO403" s="2322"/>
      <c r="BP403" s="2322"/>
      <c r="BQ403" s="2322"/>
      <c r="BR403" s="2322"/>
      <c r="BS403" s="2322"/>
      <c r="BT403" s="2322"/>
      <c r="BU403" s="2322"/>
      <c r="BV403" s="2322"/>
      <c r="BW403" s="2322"/>
      <c r="BX403" s="2322"/>
      <c r="BY403" s="2322"/>
      <c r="BZ403" s="2322"/>
      <c r="CA403" s="2322"/>
      <c r="CB403" s="2322"/>
      <c r="CC403" s="2322"/>
      <c r="CD403" s="2322"/>
      <c r="CE403" s="2322"/>
      <c r="CF403" s="2322"/>
      <c r="CG403" s="2322"/>
      <c r="CH403" s="2322"/>
      <c r="CI403" s="2322"/>
      <c r="CJ403" s="2322"/>
      <c r="CK403" s="2322"/>
      <c r="CL403" s="2322"/>
      <c r="CM403" s="2322"/>
      <c r="CN403" s="2322"/>
      <c r="CO403" s="2322"/>
      <c r="CP403" s="2322"/>
      <c r="CQ403" s="2322"/>
      <c r="CR403" s="2322"/>
      <c r="CS403" s="2322"/>
      <c r="CT403" s="2322"/>
      <c r="CU403" s="2322"/>
      <c r="CV403" s="2322"/>
    </row>
    <row r="404" spans="1:100" ht="15.75" customHeight="1">
      <c r="A404" s="2328"/>
      <c r="B404" s="2322"/>
      <c r="C404" s="2322"/>
      <c r="D404" s="2322"/>
      <c r="E404" s="2322"/>
      <c r="F404" s="2322"/>
      <c r="G404" s="2322"/>
      <c r="H404" s="2322"/>
      <c r="I404" s="2322"/>
      <c r="J404" s="2322"/>
      <c r="K404" s="2322"/>
      <c r="L404" s="2322"/>
      <c r="M404" s="2322"/>
      <c r="N404" s="2322"/>
      <c r="O404" s="2322"/>
      <c r="P404" s="2322"/>
      <c r="Q404" s="2322"/>
      <c r="R404" s="2322"/>
      <c r="S404" s="2322"/>
      <c r="T404" s="2322"/>
      <c r="U404" s="2322"/>
      <c r="V404" s="2322"/>
      <c r="W404" s="2322"/>
      <c r="X404" s="2322"/>
      <c r="Y404" s="2322"/>
      <c r="Z404" s="2322"/>
      <c r="AA404" s="2322"/>
      <c r="AB404" s="2322"/>
      <c r="AC404" s="2322"/>
      <c r="AD404" s="2322"/>
      <c r="AE404" s="2322"/>
      <c r="AF404" s="2322"/>
      <c r="AG404" s="2322"/>
      <c r="AH404" s="2322"/>
      <c r="AI404" s="2322"/>
      <c r="AJ404" s="2322"/>
      <c r="AK404" s="2322"/>
      <c r="AL404" s="2322"/>
      <c r="AM404" s="2322"/>
      <c r="AN404" s="2322"/>
      <c r="AO404" s="2322"/>
      <c r="AP404" s="2322"/>
      <c r="AQ404" s="2322"/>
      <c r="AR404" s="2322"/>
      <c r="AS404" s="2322"/>
      <c r="AT404" s="2322"/>
      <c r="AU404" s="2322"/>
      <c r="AV404" s="2322"/>
      <c r="AW404" s="2322"/>
      <c r="AX404" s="2322"/>
      <c r="AY404" s="2322"/>
      <c r="AZ404" s="2322"/>
      <c r="BA404" s="2322"/>
      <c r="BB404" s="2322"/>
      <c r="BC404" s="2322"/>
      <c r="BD404" s="2322"/>
      <c r="BE404" s="2322"/>
      <c r="BF404" s="2322"/>
      <c r="BG404" s="2322"/>
      <c r="BH404" s="2322"/>
      <c r="BI404" s="2322"/>
      <c r="BJ404" s="2322"/>
      <c r="BK404" s="2322"/>
      <c r="BL404" s="2322"/>
      <c r="BM404" s="2322"/>
      <c r="BN404" s="2322"/>
      <c r="BO404" s="2322"/>
      <c r="BP404" s="2322"/>
      <c r="BQ404" s="2322"/>
      <c r="BR404" s="2322"/>
      <c r="BS404" s="2322"/>
      <c r="BT404" s="2322"/>
      <c r="BU404" s="2322"/>
      <c r="BV404" s="2322"/>
      <c r="BW404" s="2322"/>
      <c r="BX404" s="2322"/>
      <c r="BY404" s="2322"/>
      <c r="BZ404" s="2322"/>
      <c r="CA404" s="2322"/>
      <c r="CB404" s="2322"/>
      <c r="CC404" s="2322"/>
      <c r="CD404" s="2322"/>
      <c r="CE404" s="2322"/>
      <c r="CF404" s="2322"/>
      <c r="CG404" s="2322"/>
      <c r="CH404" s="2322"/>
      <c r="CI404" s="2322"/>
      <c r="CJ404" s="2322"/>
      <c r="CK404" s="2322"/>
      <c r="CL404" s="2322"/>
      <c r="CM404" s="2322"/>
      <c r="CN404" s="2322"/>
      <c r="CO404" s="2322"/>
      <c r="CP404" s="2322"/>
      <c r="CQ404" s="2322"/>
      <c r="CR404" s="2322"/>
      <c r="CS404" s="2322"/>
      <c r="CT404" s="2322"/>
      <c r="CU404" s="2322"/>
      <c r="CV404" s="2322"/>
    </row>
    <row r="405" spans="1:100" ht="15.75" customHeight="1">
      <c r="A405" s="2328"/>
      <c r="B405" s="2322"/>
      <c r="C405" s="2322"/>
      <c r="D405" s="2322"/>
      <c r="E405" s="2322"/>
      <c r="F405" s="2322"/>
      <c r="G405" s="2322"/>
      <c r="H405" s="2322"/>
      <c r="I405" s="2322"/>
      <c r="J405" s="2322"/>
      <c r="K405" s="2322"/>
      <c r="L405" s="2322"/>
      <c r="M405" s="2322"/>
      <c r="N405" s="2322"/>
      <c r="O405" s="2322"/>
      <c r="P405" s="2322"/>
      <c r="Q405" s="2322"/>
      <c r="R405" s="2322"/>
      <c r="S405" s="2322"/>
      <c r="T405" s="2322"/>
      <c r="U405" s="2322"/>
      <c r="V405" s="2322"/>
      <c r="W405" s="2322"/>
      <c r="X405" s="2322"/>
      <c r="Y405" s="2322"/>
      <c r="Z405" s="2322"/>
      <c r="AA405" s="2322"/>
      <c r="AB405" s="2322"/>
      <c r="AC405" s="2322"/>
      <c r="AD405" s="2322"/>
      <c r="AE405" s="2322"/>
      <c r="AF405" s="2322"/>
      <c r="AG405" s="2322"/>
      <c r="AH405" s="2322"/>
      <c r="AI405" s="2322"/>
      <c r="AJ405" s="2322"/>
      <c r="AK405" s="2322"/>
      <c r="AL405" s="2322"/>
      <c r="AM405" s="2322"/>
      <c r="AN405" s="2322"/>
      <c r="AO405" s="2322"/>
      <c r="AP405" s="2322"/>
      <c r="AQ405" s="2322"/>
      <c r="AR405" s="2322"/>
      <c r="AS405" s="2322"/>
      <c r="AT405" s="2322"/>
      <c r="AU405" s="2322"/>
      <c r="AV405" s="2322"/>
      <c r="AW405" s="2322"/>
      <c r="AX405" s="2322"/>
      <c r="AY405" s="2322"/>
      <c r="AZ405" s="2322"/>
      <c r="BA405" s="2322"/>
      <c r="BB405" s="2322"/>
      <c r="BC405" s="2322"/>
      <c r="BD405" s="2322"/>
      <c r="BE405" s="2322"/>
      <c r="BF405" s="2322"/>
      <c r="BG405" s="2322"/>
      <c r="BH405" s="2322"/>
      <c r="BI405" s="2322"/>
      <c r="BJ405" s="2322"/>
      <c r="BK405" s="2322"/>
      <c r="BL405" s="2322"/>
      <c r="BM405" s="2322"/>
      <c r="BN405" s="2322"/>
      <c r="BO405" s="2322"/>
      <c r="BP405" s="2322"/>
      <c r="BQ405" s="2322"/>
      <c r="BR405" s="2322"/>
      <c r="BS405" s="2322"/>
      <c r="BT405" s="2322"/>
      <c r="BU405" s="2322"/>
      <c r="BV405" s="2322"/>
      <c r="BW405" s="2322"/>
      <c r="BX405" s="2322"/>
      <c r="BY405" s="2322"/>
      <c r="BZ405" s="2322"/>
      <c r="CA405" s="2322"/>
      <c r="CB405" s="2322"/>
      <c r="CC405" s="2322"/>
      <c r="CD405" s="2322"/>
      <c r="CE405" s="2322"/>
      <c r="CF405" s="2322"/>
      <c r="CG405" s="2322"/>
      <c r="CH405" s="2322"/>
      <c r="CI405" s="2322"/>
      <c r="CJ405" s="2322"/>
      <c r="CK405" s="2322"/>
      <c r="CL405" s="2322"/>
      <c r="CM405" s="2322"/>
      <c r="CN405" s="2322"/>
      <c r="CO405" s="2322"/>
      <c r="CP405" s="2322"/>
      <c r="CQ405" s="2322"/>
      <c r="CR405" s="2322"/>
      <c r="CS405" s="2322"/>
      <c r="CT405" s="2322"/>
      <c r="CU405" s="2322"/>
      <c r="CV405" s="2322"/>
    </row>
    <row r="406" spans="1:100" ht="15.75" customHeight="1">
      <c r="A406" s="2328"/>
      <c r="B406" s="2322"/>
      <c r="C406" s="2322"/>
      <c r="D406" s="2322"/>
      <c r="E406" s="2322"/>
      <c r="F406" s="2322"/>
      <c r="G406" s="2322"/>
      <c r="H406" s="2322"/>
      <c r="I406" s="2322"/>
      <c r="J406" s="2322"/>
      <c r="K406" s="2322"/>
      <c r="L406" s="2322"/>
      <c r="M406" s="2322"/>
      <c r="N406" s="2322"/>
      <c r="O406" s="2322"/>
      <c r="P406" s="2322"/>
      <c r="Q406" s="2322"/>
      <c r="R406" s="2322"/>
      <c r="S406" s="2322"/>
      <c r="T406" s="2322"/>
      <c r="U406" s="2322"/>
      <c r="V406" s="2322"/>
      <c r="W406" s="2322"/>
      <c r="X406" s="2322"/>
      <c r="Y406" s="2322"/>
      <c r="Z406" s="2322"/>
      <c r="AA406" s="2322"/>
      <c r="AB406" s="2322"/>
      <c r="AC406" s="2322"/>
      <c r="AD406" s="2322"/>
      <c r="AE406" s="2322"/>
      <c r="AF406" s="2322"/>
      <c r="AG406" s="2322"/>
      <c r="AH406" s="2322"/>
      <c r="AI406" s="2322"/>
      <c r="AJ406" s="2322"/>
      <c r="AK406" s="2322"/>
      <c r="AL406" s="2322"/>
      <c r="AM406" s="2322"/>
      <c r="AN406" s="2322"/>
      <c r="AO406" s="2322"/>
      <c r="AP406" s="2322"/>
      <c r="AQ406" s="2322"/>
      <c r="AR406" s="2322"/>
      <c r="AS406" s="2322"/>
      <c r="AT406" s="2322"/>
      <c r="AU406" s="2322"/>
      <c r="AV406" s="2322"/>
      <c r="AW406" s="2322"/>
      <c r="AX406" s="2322"/>
      <c r="AY406" s="2322"/>
      <c r="AZ406" s="2322"/>
      <c r="BA406" s="2322"/>
      <c r="BB406" s="2322"/>
      <c r="BC406" s="2322"/>
      <c r="BD406" s="2322"/>
      <c r="BE406" s="2322"/>
      <c r="BF406" s="2322"/>
      <c r="BG406" s="2322"/>
      <c r="BH406" s="2322"/>
      <c r="BI406" s="2322"/>
      <c r="BJ406" s="2322"/>
      <c r="BK406" s="2322"/>
      <c r="BL406" s="2322"/>
      <c r="BM406" s="2322"/>
      <c r="BN406" s="2322"/>
      <c r="BO406" s="2322"/>
      <c r="BP406" s="2322"/>
      <c r="BQ406" s="2322"/>
      <c r="BR406" s="2322"/>
      <c r="BS406" s="2322"/>
      <c r="BT406" s="2322"/>
      <c r="BU406" s="2322"/>
      <c r="BV406" s="2322"/>
      <c r="BW406" s="2322"/>
      <c r="BX406" s="2322"/>
      <c r="BY406" s="2322"/>
      <c r="BZ406" s="2322"/>
      <c r="CA406" s="2322"/>
      <c r="CB406" s="2322"/>
      <c r="CC406" s="2322"/>
      <c r="CD406" s="2322"/>
      <c r="CE406" s="2322"/>
      <c r="CF406" s="2322"/>
      <c r="CG406" s="2322"/>
      <c r="CH406" s="2322"/>
      <c r="CI406" s="2322"/>
      <c r="CJ406" s="2322"/>
      <c r="CK406" s="2322"/>
      <c r="CL406" s="2322"/>
      <c r="CM406" s="2322"/>
      <c r="CN406" s="2322"/>
      <c r="CO406" s="2322"/>
      <c r="CP406" s="2322"/>
      <c r="CQ406" s="2322"/>
      <c r="CR406" s="2322"/>
      <c r="CS406" s="2322"/>
      <c r="CT406" s="2322"/>
      <c r="CU406" s="2322"/>
      <c r="CV406" s="2322"/>
    </row>
    <row r="407" spans="1:100" ht="15.75" customHeight="1">
      <c r="A407" s="2328"/>
      <c r="B407" s="2322"/>
      <c r="C407" s="2322"/>
      <c r="D407" s="2322"/>
      <c r="E407" s="2322"/>
      <c r="F407" s="2322"/>
      <c r="G407" s="2322"/>
      <c r="H407" s="2322"/>
      <c r="I407" s="2322"/>
      <c r="J407" s="2322"/>
      <c r="K407" s="2322"/>
      <c r="L407" s="2322"/>
      <c r="M407" s="2322"/>
      <c r="N407" s="2322"/>
      <c r="O407" s="2322"/>
      <c r="P407" s="2322"/>
      <c r="Q407" s="2322"/>
      <c r="R407" s="2322"/>
      <c r="S407" s="2322"/>
      <c r="T407" s="2322"/>
      <c r="U407" s="2322"/>
      <c r="V407" s="2322"/>
      <c r="W407" s="2322"/>
      <c r="X407" s="2322"/>
      <c r="Y407" s="2322"/>
      <c r="Z407" s="2322"/>
      <c r="AA407" s="2322"/>
      <c r="AB407" s="2322"/>
      <c r="AC407" s="2322"/>
      <c r="AD407" s="2322"/>
      <c r="AE407" s="2322"/>
      <c r="AF407" s="2322"/>
      <c r="AG407" s="2322"/>
      <c r="AH407" s="2322"/>
      <c r="AI407" s="2322"/>
      <c r="AJ407" s="2322"/>
      <c r="AK407" s="2322"/>
      <c r="AL407" s="2322"/>
      <c r="AM407" s="2322"/>
      <c r="AN407" s="2322"/>
      <c r="AO407" s="2322"/>
      <c r="AP407" s="2322"/>
      <c r="AQ407" s="2322"/>
      <c r="AR407" s="2322"/>
      <c r="AS407" s="2322"/>
      <c r="AT407" s="2322"/>
      <c r="AU407" s="2322"/>
      <c r="AV407" s="2322"/>
      <c r="AW407" s="2322"/>
      <c r="AX407" s="2322"/>
      <c r="AY407" s="2322"/>
      <c r="AZ407" s="2322"/>
      <c r="BA407" s="2322"/>
      <c r="BB407" s="2322"/>
      <c r="BC407" s="2322"/>
      <c r="BD407" s="2322"/>
      <c r="BE407" s="2322"/>
      <c r="BF407" s="2322"/>
      <c r="BG407" s="2322"/>
      <c r="BH407" s="2322"/>
      <c r="BI407" s="2322"/>
      <c r="BJ407" s="2322"/>
      <c r="BK407" s="2322"/>
      <c r="BL407" s="2322"/>
      <c r="BM407" s="2322"/>
      <c r="BN407" s="2322"/>
      <c r="BO407" s="2322"/>
      <c r="BP407" s="2322"/>
      <c r="BQ407" s="2322"/>
      <c r="BR407" s="2322"/>
      <c r="BS407" s="2322"/>
      <c r="BT407" s="2322"/>
      <c r="BU407" s="2322"/>
      <c r="BV407" s="2322"/>
      <c r="BW407" s="2322"/>
      <c r="BX407" s="2322"/>
      <c r="BY407" s="2322"/>
      <c r="BZ407" s="2322"/>
      <c r="CA407" s="2322"/>
      <c r="CB407" s="2322"/>
      <c r="CC407" s="2322"/>
      <c r="CD407" s="2322"/>
      <c r="CE407" s="2322"/>
      <c r="CF407" s="2322"/>
      <c r="CG407" s="2322"/>
      <c r="CH407" s="2322"/>
      <c r="CI407" s="2322"/>
      <c r="CJ407" s="2322"/>
      <c r="CK407" s="2322"/>
      <c r="CL407" s="2322"/>
      <c r="CM407" s="2322"/>
      <c r="CN407" s="2322"/>
      <c r="CO407" s="2322"/>
      <c r="CP407" s="2322"/>
      <c r="CQ407" s="2322"/>
      <c r="CR407" s="2322"/>
      <c r="CS407" s="2322"/>
      <c r="CT407" s="2322"/>
      <c r="CU407" s="2322"/>
      <c r="CV407" s="2322"/>
    </row>
    <row r="408" spans="1:100" ht="15.75" customHeight="1">
      <c r="A408" s="2328"/>
      <c r="B408" s="2322"/>
      <c r="C408" s="2322"/>
      <c r="D408" s="2322"/>
      <c r="E408" s="2322"/>
      <c r="F408" s="2322"/>
      <c r="G408" s="2322"/>
      <c r="H408" s="2322"/>
      <c r="I408" s="2322"/>
      <c r="J408" s="2322"/>
      <c r="K408" s="2322"/>
      <c r="L408" s="2322"/>
      <c r="M408" s="2322"/>
      <c r="N408" s="2322"/>
      <c r="O408" s="2322"/>
      <c r="P408" s="2322"/>
      <c r="Q408" s="2322"/>
      <c r="R408" s="2322"/>
      <c r="S408" s="2322"/>
      <c r="T408" s="2322"/>
      <c r="U408" s="2322"/>
      <c r="V408" s="2322"/>
      <c r="W408" s="2322"/>
      <c r="X408" s="2322"/>
      <c r="Y408" s="2322"/>
      <c r="Z408" s="2322"/>
      <c r="AA408" s="2322"/>
      <c r="AB408" s="2322"/>
      <c r="AC408" s="2322"/>
      <c r="AD408" s="2322"/>
      <c r="AE408" s="2322"/>
      <c r="AF408" s="2322"/>
      <c r="AG408" s="2322"/>
      <c r="AH408" s="2322"/>
      <c r="AI408" s="2322"/>
      <c r="AJ408" s="2322"/>
      <c r="AK408" s="2322"/>
      <c r="AL408" s="2322"/>
      <c r="AM408" s="2322"/>
      <c r="AN408" s="2322"/>
      <c r="AO408" s="2322"/>
      <c r="AP408" s="2322"/>
      <c r="AQ408" s="2322"/>
      <c r="AR408" s="2322"/>
      <c r="AS408" s="2322"/>
      <c r="AT408" s="2322"/>
      <c r="AU408" s="2322"/>
      <c r="AV408" s="2322"/>
      <c r="AW408" s="2322"/>
      <c r="AX408" s="2322"/>
      <c r="AY408" s="2322"/>
      <c r="AZ408" s="2322"/>
      <c r="BA408" s="2322"/>
      <c r="BB408" s="2322"/>
      <c r="BC408" s="2322"/>
      <c r="BD408" s="2322"/>
      <c r="BE408" s="2322"/>
      <c r="BF408" s="2322"/>
      <c r="BG408" s="2322"/>
      <c r="BH408" s="2322"/>
      <c r="BI408" s="2322"/>
      <c r="BJ408" s="2322"/>
      <c r="BK408" s="2322"/>
      <c r="BL408" s="2322"/>
      <c r="BM408" s="2322"/>
      <c r="BN408" s="2322"/>
      <c r="BO408" s="2322"/>
      <c r="BP408" s="2322"/>
      <c r="BQ408" s="2322"/>
      <c r="BR408" s="2322"/>
      <c r="BS408" s="2322"/>
      <c r="BT408" s="2322"/>
      <c r="BU408" s="2322"/>
      <c r="BV408" s="2322"/>
      <c r="BW408" s="2322"/>
      <c r="BX408" s="2322"/>
      <c r="BY408" s="2322"/>
      <c r="BZ408" s="2322"/>
      <c r="CA408" s="2322"/>
      <c r="CB408" s="2322"/>
      <c r="CC408" s="2322"/>
      <c r="CD408" s="2322"/>
      <c r="CE408" s="2322"/>
      <c r="CF408" s="2322"/>
      <c r="CG408" s="2322"/>
      <c r="CH408" s="2322"/>
      <c r="CI408" s="2322"/>
      <c r="CJ408" s="2322"/>
      <c r="CK408" s="2322"/>
      <c r="CL408" s="2322"/>
      <c r="CM408" s="2322"/>
      <c r="CN408" s="2322"/>
      <c r="CO408" s="2322"/>
      <c r="CP408" s="2322"/>
      <c r="CQ408" s="2322"/>
      <c r="CR408" s="2322"/>
      <c r="CS408" s="2322"/>
      <c r="CT408" s="2322"/>
      <c r="CU408" s="2322"/>
      <c r="CV408" s="2322"/>
    </row>
    <row r="409" spans="1:100" ht="15.75" customHeight="1">
      <c r="A409" s="2328"/>
      <c r="B409" s="2322"/>
      <c r="C409" s="2322"/>
      <c r="D409" s="2322"/>
      <c r="E409" s="2322"/>
      <c r="F409" s="2322"/>
      <c r="G409" s="2322"/>
      <c r="H409" s="2322"/>
      <c r="I409" s="2322"/>
      <c r="J409" s="2322"/>
      <c r="K409" s="2322"/>
      <c r="L409" s="2322"/>
      <c r="M409" s="2322"/>
      <c r="N409" s="2322"/>
      <c r="O409" s="2322"/>
      <c r="P409" s="2322"/>
      <c r="Q409" s="2322"/>
      <c r="R409" s="2322"/>
      <c r="S409" s="2322"/>
      <c r="T409" s="2322"/>
      <c r="U409" s="2322"/>
      <c r="V409" s="2322"/>
      <c r="W409" s="2322"/>
      <c r="X409" s="2322"/>
      <c r="Y409" s="2322"/>
      <c r="Z409" s="2322"/>
      <c r="AA409" s="2322"/>
      <c r="AB409" s="2322"/>
      <c r="AC409" s="2322"/>
      <c r="AD409" s="2322"/>
      <c r="AE409" s="2322"/>
      <c r="AF409" s="2322"/>
      <c r="AG409" s="2322"/>
      <c r="AH409" s="2322"/>
      <c r="AI409" s="2322"/>
      <c r="AJ409" s="2322"/>
      <c r="AK409" s="2322"/>
      <c r="AL409" s="2322"/>
      <c r="AM409" s="2322"/>
      <c r="AN409" s="2322"/>
      <c r="AO409" s="2322"/>
      <c r="AP409" s="2322"/>
      <c r="AQ409" s="2322"/>
      <c r="AR409" s="2322"/>
      <c r="AS409" s="2322"/>
      <c r="AT409" s="2322"/>
      <c r="AU409" s="2322"/>
      <c r="AV409" s="2322"/>
      <c r="AW409" s="2322"/>
      <c r="AX409" s="2322"/>
      <c r="AY409" s="2322"/>
      <c r="AZ409" s="2322"/>
      <c r="BA409" s="2322"/>
      <c r="BB409" s="2322"/>
      <c r="BC409" s="2322"/>
      <c r="BD409" s="2322"/>
      <c r="BE409" s="2322"/>
      <c r="BF409" s="2322"/>
      <c r="BG409" s="2322"/>
      <c r="BH409" s="2322"/>
      <c r="BI409" s="2322"/>
      <c r="BJ409" s="2322"/>
      <c r="BK409" s="2322"/>
      <c r="BL409" s="2322"/>
      <c r="BM409" s="2322"/>
      <c r="BN409" s="2322"/>
      <c r="BO409" s="2322"/>
      <c r="BP409" s="2322"/>
      <c r="BQ409" s="2322"/>
      <c r="BR409" s="2322"/>
      <c r="BS409" s="2322"/>
      <c r="BT409" s="2322"/>
      <c r="BU409" s="2322"/>
      <c r="BV409" s="2322"/>
      <c r="BW409" s="2322"/>
      <c r="BX409" s="2322"/>
      <c r="BY409" s="2322"/>
      <c r="BZ409" s="2322"/>
      <c r="CA409" s="2322"/>
      <c r="CB409" s="2322"/>
      <c r="CC409" s="2322"/>
      <c r="CD409" s="2322"/>
      <c r="CE409" s="2322"/>
      <c r="CF409" s="2322"/>
      <c r="CG409" s="2322"/>
      <c r="CH409" s="2322"/>
      <c r="CI409" s="2322"/>
      <c r="CJ409" s="2322"/>
      <c r="CK409" s="2322"/>
      <c r="CL409" s="2322"/>
      <c r="CM409" s="2322"/>
      <c r="CN409" s="2322"/>
      <c r="CO409" s="2322"/>
      <c r="CP409" s="2322"/>
      <c r="CQ409" s="2322"/>
      <c r="CR409" s="2322"/>
      <c r="CS409" s="2322"/>
      <c r="CT409" s="2322"/>
      <c r="CU409" s="2322"/>
      <c r="CV409" s="2322"/>
    </row>
    <row r="410" spans="1:100" ht="15.75" customHeight="1">
      <c r="A410" s="2328"/>
      <c r="B410" s="2322"/>
      <c r="C410" s="2322"/>
      <c r="D410" s="2322"/>
      <c r="E410" s="2322"/>
      <c r="F410" s="2322"/>
      <c r="G410" s="2322"/>
      <c r="H410" s="2322"/>
      <c r="I410" s="2322"/>
      <c r="J410" s="2322"/>
      <c r="K410" s="2322"/>
      <c r="L410" s="2322"/>
      <c r="M410" s="2322"/>
      <c r="N410" s="2322"/>
      <c r="O410" s="2322"/>
      <c r="P410" s="2322"/>
      <c r="Q410" s="2322"/>
      <c r="R410" s="2322"/>
      <c r="S410" s="2322"/>
      <c r="T410" s="2322"/>
      <c r="U410" s="2322"/>
      <c r="V410" s="2322"/>
      <c r="W410" s="2322"/>
      <c r="X410" s="2322"/>
      <c r="Y410" s="2322"/>
      <c r="Z410" s="2322"/>
      <c r="AA410" s="2322"/>
      <c r="AB410" s="2322"/>
      <c r="AC410" s="2322"/>
      <c r="AD410" s="2322"/>
      <c r="AE410" s="2322"/>
      <c r="AF410" s="2322"/>
      <c r="AG410" s="2322"/>
      <c r="AH410" s="2322"/>
      <c r="AI410" s="2322"/>
      <c r="AJ410" s="2322"/>
      <c r="AK410" s="2322"/>
      <c r="AL410" s="2322"/>
      <c r="AM410" s="2322"/>
      <c r="AN410" s="2322"/>
      <c r="AO410" s="2322"/>
      <c r="AP410" s="2322"/>
      <c r="AQ410" s="2322"/>
      <c r="AR410" s="2322"/>
      <c r="AS410" s="2322"/>
      <c r="AT410" s="2322"/>
      <c r="AU410" s="2322"/>
      <c r="AV410" s="2322"/>
      <c r="AW410" s="2322"/>
      <c r="AX410" s="2322"/>
      <c r="AY410" s="2322"/>
      <c r="AZ410" s="2322"/>
      <c r="BA410" s="2322"/>
      <c r="BB410" s="2322"/>
      <c r="BC410" s="2322"/>
      <c r="BD410" s="2322"/>
      <c r="BE410" s="2322"/>
      <c r="BF410" s="2322"/>
      <c r="BG410" s="2322"/>
      <c r="BH410" s="2322"/>
      <c r="BI410" s="2322"/>
      <c r="BJ410" s="2322"/>
      <c r="BK410" s="2322"/>
      <c r="BL410" s="2322"/>
      <c r="BM410" s="2322"/>
      <c r="BN410" s="2322"/>
      <c r="BO410" s="2322"/>
      <c r="BP410" s="2322"/>
      <c r="BQ410" s="2322"/>
      <c r="BR410" s="2322"/>
      <c r="BS410" s="2322"/>
      <c r="BT410" s="2322"/>
      <c r="BU410" s="2322"/>
      <c r="BV410" s="2322"/>
      <c r="BW410" s="2322"/>
      <c r="BX410" s="2322"/>
      <c r="BY410" s="2322"/>
      <c r="BZ410" s="2322"/>
      <c r="CA410" s="2322"/>
      <c r="CB410" s="2322"/>
      <c r="CC410" s="2322"/>
      <c r="CD410" s="2322"/>
      <c r="CE410" s="2322"/>
      <c r="CF410" s="2322"/>
      <c r="CG410" s="2322"/>
      <c r="CH410" s="2322"/>
      <c r="CI410" s="2322"/>
      <c r="CJ410" s="2322"/>
      <c r="CK410" s="2322"/>
      <c r="CL410" s="2322"/>
      <c r="CM410" s="2322"/>
      <c r="CN410" s="2322"/>
      <c r="CO410" s="2322"/>
      <c r="CP410" s="2322"/>
      <c r="CQ410" s="2322"/>
      <c r="CR410" s="2322"/>
      <c r="CS410" s="2322"/>
      <c r="CT410" s="2322"/>
      <c r="CU410" s="2322"/>
      <c r="CV410" s="2322"/>
    </row>
    <row r="411" spans="1:100" ht="15.75" customHeight="1">
      <c r="A411" s="2328"/>
      <c r="B411" s="2322"/>
      <c r="C411" s="2322"/>
      <c r="D411" s="2322"/>
      <c r="E411" s="2322"/>
      <c r="F411" s="2322"/>
      <c r="G411" s="2322"/>
      <c r="H411" s="2322"/>
      <c r="I411" s="2322"/>
      <c r="J411" s="2322"/>
      <c r="K411" s="2322"/>
      <c r="L411" s="2322"/>
      <c r="M411" s="2322"/>
      <c r="N411" s="2322"/>
      <c r="O411" s="2322"/>
      <c r="P411" s="2322"/>
      <c r="Q411" s="2322"/>
      <c r="R411" s="2322"/>
      <c r="S411" s="2322"/>
      <c r="T411" s="2322"/>
      <c r="U411" s="2322"/>
      <c r="V411" s="2322"/>
      <c r="W411" s="2322"/>
      <c r="X411" s="2322"/>
      <c r="Y411" s="2322"/>
      <c r="Z411" s="2322"/>
      <c r="AA411" s="2322"/>
      <c r="AB411" s="2322"/>
      <c r="AC411" s="2322"/>
      <c r="AD411" s="2322"/>
      <c r="AE411" s="2322"/>
      <c r="AF411" s="2322"/>
      <c r="AG411" s="2322"/>
      <c r="AH411" s="2322"/>
      <c r="AI411" s="2322"/>
      <c r="AJ411" s="2322"/>
      <c r="AK411" s="2322"/>
      <c r="AL411" s="2322"/>
      <c r="AM411" s="2322"/>
      <c r="AN411" s="2322"/>
      <c r="AO411" s="2322"/>
      <c r="AP411" s="2322"/>
      <c r="AQ411" s="2322"/>
      <c r="AR411" s="2322"/>
      <c r="AS411" s="2322"/>
      <c r="AT411" s="2322"/>
      <c r="AU411" s="2322"/>
      <c r="AV411" s="2322"/>
      <c r="AW411" s="2322"/>
      <c r="AX411" s="2322"/>
      <c r="AY411" s="2322"/>
      <c r="AZ411" s="2322"/>
      <c r="BA411" s="2322"/>
      <c r="BB411" s="2322"/>
      <c r="BC411" s="2322"/>
      <c r="BD411" s="2322"/>
      <c r="BE411" s="2322"/>
      <c r="BF411" s="2322"/>
      <c r="BG411" s="2322"/>
      <c r="BH411" s="2322"/>
      <c r="BI411" s="2322"/>
      <c r="BJ411" s="2322"/>
      <c r="BK411" s="2322"/>
      <c r="BL411" s="2322"/>
      <c r="BM411" s="2322"/>
      <c r="BN411" s="2322"/>
      <c r="BO411" s="2322"/>
      <c r="BP411" s="2322"/>
      <c r="BQ411" s="2322"/>
      <c r="BR411" s="2322"/>
      <c r="BS411" s="2322"/>
      <c r="BT411" s="2322"/>
      <c r="BU411" s="2322"/>
      <c r="BV411" s="2322"/>
      <c r="BW411" s="2322"/>
      <c r="BX411" s="2322"/>
      <c r="BY411" s="2322"/>
      <c r="BZ411" s="2322"/>
      <c r="CA411" s="2322"/>
      <c r="CB411" s="2322"/>
      <c r="CC411" s="2322"/>
      <c r="CD411" s="2322"/>
      <c r="CE411" s="2322"/>
      <c r="CF411" s="2322"/>
      <c r="CG411" s="2322"/>
      <c r="CH411" s="2322"/>
      <c r="CI411" s="2322"/>
      <c r="CJ411" s="2322"/>
      <c r="CK411" s="2322"/>
      <c r="CL411" s="2322"/>
      <c r="CM411" s="2322"/>
      <c r="CN411" s="2322"/>
      <c r="CO411" s="2322"/>
      <c r="CP411" s="2322"/>
      <c r="CQ411" s="2322"/>
      <c r="CR411" s="2322"/>
      <c r="CS411" s="2322"/>
      <c r="CT411" s="2322"/>
      <c r="CU411" s="2322"/>
      <c r="CV411" s="2322"/>
    </row>
    <row r="412" spans="1:100" ht="15.75" customHeight="1">
      <c r="A412" s="2328"/>
      <c r="B412" s="2322"/>
      <c r="C412" s="2322"/>
      <c r="D412" s="2322"/>
      <c r="E412" s="2322"/>
      <c r="F412" s="2322"/>
      <c r="G412" s="2322"/>
      <c r="H412" s="2322"/>
      <c r="I412" s="2322"/>
      <c r="J412" s="2322"/>
      <c r="K412" s="2322"/>
      <c r="L412" s="2322"/>
      <c r="M412" s="2322"/>
      <c r="N412" s="2322"/>
      <c r="O412" s="2322"/>
      <c r="P412" s="2322"/>
      <c r="Q412" s="2322"/>
      <c r="R412" s="2322"/>
      <c r="S412" s="2322"/>
      <c r="T412" s="2322"/>
      <c r="U412" s="2322"/>
      <c r="V412" s="2322"/>
      <c r="W412" s="2322"/>
      <c r="X412" s="2322"/>
      <c r="Y412" s="2322"/>
      <c r="Z412" s="2322"/>
      <c r="AA412" s="2322"/>
      <c r="AB412" s="2322"/>
      <c r="AC412" s="2322"/>
      <c r="AD412" s="2322"/>
      <c r="AE412" s="2322"/>
      <c r="AF412" s="2322"/>
      <c r="AG412" s="2322"/>
      <c r="AH412" s="2322"/>
      <c r="AI412" s="2322"/>
      <c r="AJ412" s="2322"/>
      <c r="AK412" s="2322"/>
      <c r="AL412" s="2322"/>
      <c r="AM412" s="2322"/>
      <c r="AN412" s="2322"/>
      <c r="AO412" s="2322"/>
      <c r="AP412" s="2322"/>
      <c r="AQ412" s="2322"/>
      <c r="AR412" s="2322"/>
      <c r="AS412" s="2322"/>
      <c r="AT412" s="2322"/>
      <c r="AU412" s="2322"/>
      <c r="AV412" s="2322"/>
      <c r="AW412" s="2322"/>
      <c r="AX412" s="2322"/>
      <c r="AY412" s="2322"/>
      <c r="AZ412" s="2322"/>
      <c r="BA412" s="2322"/>
      <c r="BB412" s="2322"/>
      <c r="BC412" s="2322"/>
      <c r="BD412" s="2322"/>
      <c r="BE412" s="2322"/>
      <c r="BF412" s="2322"/>
      <c r="BG412" s="2322"/>
      <c r="BH412" s="2322"/>
      <c r="BI412" s="2322"/>
      <c r="BJ412" s="2322"/>
      <c r="BK412" s="2322"/>
      <c r="BL412" s="2322"/>
      <c r="BM412" s="2322"/>
      <c r="BN412" s="2322"/>
      <c r="BO412" s="2322"/>
      <c r="BP412" s="2322"/>
      <c r="BQ412" s="2322"/>
      <c r="BR412" s="2322"/>
      <c r="BS412" s="2322"/>
      <c r="BT412" s="2322"/>
      <c r="BU412" s="2322"/>
      <c r="BV412" s="2322"/>
      <c r="BW412" s="2322"/>
      <c r="BX412" s="2322"/>
      <c r="BY412" s="2322"/>
      <c r="BZ412" s="2322"/>
      <c r="CA412" s="2322"/>
      <c r="CB412" s="2322"/>
      <c r="CC412" s="2322"/>
      <c r="CD412" s="2322"/>
      <c r="CE412" s="2322"/>
      <c r="CF412" s="2322"/>
      <c r="CG412" s="2322"/>
      <c r="CH412" s="2322"/>
      <c r="CI412" s="2322"/>
      <c r="CJ412" s="2322"/>
      <c r="CK412" s="2322"/>
      <c r="CL412" s="2322"/>
      <c r="CM412" s="2322"/>
      <c r="CN412" s="2322"/>
      <c r="CO412" s="2322"/>
      <c r="CP412" s="2322"/>
      <c r="CQ412" s="2322"/>
      <c r="CR412" s="2322"/>
      <c r="CS412" s="2322"/>
      <c r="CT412" s="2322"/>
      <c r="CU412" s="2322"/>
      <c r="CV412" s="2322"/>
    </row>
    <row r="413" spans="1:100" ht="15.75" customHeight="1">
      <c r="A413" s="2328"/>
      <c r="B413" s="2322"/>
      <c r="C413" s="2322"/>
      <c r="D413" s="2322"/>
      <c r="E413" s="2322"/>
      <c r="F413" s="2322"/>
      <c r="G413" s="2322"/>
      <c r="H413" s="2322"/>
      <c r="I413" s="2322"/>
      <c r="J413" s="2322"/>
      <c r="K413" s="2322"/>
      <c r="L413" s="2322"/>
      <c r="M413" s="2322"/>
      <c r="N413" s="2322"/>
      <c r="O413" s="2322"/>
      <c r="P413" s="2322"/>
      <c r="Q413" s="2322"/>
      <c r="R413" s="2322"/>
      <c r="S413" s="2322"/>
      <c r="T413" s="2322"/>
      <c r="U413" s="2322"/>
      <c r="V413" s="2322"/>
      <c r="W413" s="2322"/>
      <c r="X413" s="2322"/>
      <c r="Y413" s="2322"/>
      <c r="Z413" s="2322"/>
      <c r="AA413" s="2322"/>
      <c r="AB413" s="2322"/>
      <c r="AC413" s="2322"/>
      <c r="AD413" s="2322"/>
      <c r="AE413" s="2322"/>
      <c r="AF413" s="2322"/>
      <c r="AG413" s="2322"/>
      <c r="AH413" s="2322"/>
      <c r="AI413" s="2322"/>
      <c r="AJ413" s="2322"/>
      <c r="AK413" s="2322"/>
      <c r="AL413" s="2322"/>
      <c r="AM413" s="2322"/>
      <c r="AN413" s="2322"/>
      <c r="AO413" s="2322"/>
      <c r="AP413" s="2322"/>
      <c r="AQ413" s="2322"/>
      <c r="AR413" s="2322"/>
      <c r="AS413" s="2322"/>
      <c r="AT413" s="2322"/>
      <c r="AU413" s="2322"/>
      <c r="AV413" s="2322"/>
      <c r="AW413" s="2322"/>
      <c r="AX413" s="2322"/>
      <c r="AY413" s="2322"/>
      <c r="AZ413" s="2322"/>
      <c r="BA413" s="2322"/>
      <c r="BB413" s="2322"/>
      <c r="BC413" s="2322"/>
      <c r="BD413" s="2322"/>
      <c r="BE413" s="2322"/>
      <c r="BF413" s="2322"/>
      <c r="BG413" s="2322"/>
      <c r="BH413" s="2322"/>
      <c r="BI413" s="2322"/>
      <c r="BJ413" s="2322"/>
      <c r="BK413" s="2322"/>
      <c r="BL413" s="2322"/>
      <c r="BM413" s="2322"/>
      <c r="BN413" s="2322"/>
      <c r="BO413" s="2322"/>
      <c r="BP413" s="2322"/>
      <c r="BQ413" s="2322"/>
      <c r="BR413" s="2322"/>
      <c r="BS413" s="2322"/>
      <c r="BT413" s="2322"/>
      <c r="BU413" s="2322"/>
      <c r="BV413" s="2322"/>
      <c r="BW413" s="2322"/>
      <c r="BX413" s="2322"/>
      <c r="BY413" s="2322"/>
      <c r="BZ413" s="2322"/>
      <c r="CA413" s="2322"/>
      <c r="CB413" s="2322"/>
      <c r="CC413" s="2322"/>
      <c r="CD413" s="2322"/>
      <c r="CE413" s="2322"/>
      <c r="CF413" s="2322"/>
      <c r="CG413" s="2322"/>
      <c r="CH413" s="2322"/>
      <c r="CI413" s="2322"/>
      <c r="CJ413" s="2322"/>
      <c r="CK413" s="2322"/>
      <c r="CL413" s="2322"/>
      <c r="CM413" s="2322"/>
      <c r="CN413" s="2322"/>
      <c r="CO413" s="2322"/>
      <c r="CP413" s="2322"/>
      <c r="CQ413" s="2322"/>
      <c r="CR413" s="2322"/>
      <c r="CS413" s="2322"/>
      <c r="CT413" s="2322"/>
      <c r="CU413" s="2322"/>
      <c r="CV413" s="2322"/>
    </row>
    <row r="414" spans="1:100" ht="15.75" customHeight="1">
      <c r="A414" s="2328"/>
      <c r="B414" s="2322"/>
      <c r="C414" s="2322"/>
      <c r="D414" s="2322"/>
      <c r="E414" s="2322"/>
      <c r="F414" s="2322"/>
      <c r="G414" s="2322"/>
      <c r="H414" s="2322"/>
      <c r="I414" s="2322"/>
      <c r="J414" s="2322"/>
      <c r="K414" s="2322"/>
      <c r="L414" s="2322"/>
      <c r="M414" s="2322"/>
      <c r="N414" s="2322"/>
      <c r="O414" s="2322"/>
      <c r="P414" s="2322"/>
      <c r="Q414" s="2322"/>
      <c r="R414" s="2322"/>
      <c r="S414" s="2322"/>
      <c r="T414" s="2322"/>
      <c r="U414" s="2322"/>
      <c r="V414" s="2322"/>
      <c r="W414" s="2322"/>
      <c r="X414" s="2322"/>
      <c r="Y414" s="2322"/>
      <c r="Z414" s="2322"/>
      <c r="AA414" s="2322"/>
      <c r="AB414" s="2322"/>
      <c r="AC414" s="2322"/>
      <c r="AD414" s="2322"/>
      <c r="AE414" s="2322"/>
      <c r="AF414" s="2322"/>
      <c r="AG414" s="2322"/>
      <c r="AH414" s="2322"/>
      <c r="AI414" s="2322"/>
      <c r="AJ414" s="2322"/>
      <c r="AK414" s="2322"/>
      <c r="AL414" s="2322"/>
      <c r="AM414" s="2322"/>
      <c r="AN414" s="2322"/>
      <c r="AO414" s="2322"/>
      <c r="AP414" s="2322"/>
      <c r="AQ414" s="2322"/>
      <c r="AR414" s="2322"/>
      <c r="AS414" s="2322"/>
      <c r="AT414" s="2322"/>
      <c r="AU414" s="2322"/>
      <c r="AV414" s="2322"/>
      <c r="AW414" s="2322"/>
      <c r="AX414" s="2322"/>
      <c r="AY414" s="2322"/>
      <c r="AZ414" s="2322"/>
      <c r="BA414" s="2322"/>
      <c r="BB414" s="2322"/>
      <c r="BC414" s="2322"/>
      <c r="BD414" s="2322"/>
      <c r="BE414" s="2322"/>
      <c r="BF414" s="2322"/>
      <c r="BG414" s="2322"/>
      <c r="BH414" s="2322"/>
      <c r="BI414" s="2322"/>
      <c r="BJ414" s="2322"/>
      <c r="BK414" s="2322"/>
      <c r="BL414" s="2322"/>
      <c r="BM414" s="2322"/>
      <c r="BN414" s="2322"/>
      <c r="BO414" s="2322"/>
      <c r="BP414" s="2322"/>
      <c r="BQ414" s="2322"/>
      <c r="BR414" s="2322"/>
      <c r="BS414" s="2322"/>
      <c r="BT414" s="2322"/>
      <c r="BU414" s="2322"/>
      <c r="BV414" s="2322"/>
      <c r="BW414" s="2322"/>
      <c r="BX414" s="2322"/>
      <c r="BY414" s="2322"/>
      <c r="BZ414" s="2322"/>
      <c r="CA414" s="2322"/>
      <c r="CB414" s="2322"/>
      <c r="CC414" s="2322"/>
      <c r="CD414" s="2322"/>
      <c r="CE414" s="2322"/>
      <c r="CF414" s="2322"/>
      <c r="CG414" s="2322"/>
      <c r="CH414" s="2322"/>
      <c r="CI414" s="2322"/>
      <c r="CJ414" s="2322"/>
      <c r="CK414" s="2322"/>
      <c r="CL414" s="2322"/>
      <c r="CM414" s="2322"/>
      <c r="CN414" s="2322"/>
      <c r="CO414" s="2322"/>
      <c r="CP414" s="2322"/>
      <c r="CQ414" s="2322"/>
      <c r="CR414" s="2322"/>
      <c r="CS414" s="2322"/>
      <c r="CT414" s="2322"/>
      <c r="CU414" s="2322"/>
      <c r="CV414" s="2322"/>
    </row>
    <row r="415" spans="1:100" ht="15.75" customHeight="1">
      <c r="A415" s="2328"/>
      <c r="B415" s="2322"/>
      <c r="C415" s="2322"/>
      <c r="D415" s="2322"/>
      <c r="E415" s="2322"/>
      <c r="F415" s="2322"/>
      <c r="G415" s="2322"/>
      <c r="H415" s="2322"/>
      <c r="I415" s="2322"/>
      <c r="J415" s="2322"/>
      <c r="K415" s="2322"/>
      <c r="L415" s="2322"/>
      <c r="M415" s="2322"/>
      <c r="N415" s="2322"/>
      <c r="O415" s="2322"/>
      <c r="P415" s="2322"/>
      <c r="Q415" s="2322"/>
      <c r="R415" s="2322"/>
      <c r="S415" s="2322"/>
      <c r="T415" s="2322"/>
      <c r="U415" s="2322"/>
      <c r="V415" s="2322"/>
      <c r="W415" s="2322"/>
      <c r="X415" s="2322"/>
      <c r="Y415" s="2322"/>
      <c r="Z415" s="2322"/>
      <c r="AA415" s="2322"/>
      <c r="AB415" s="2322"/>
      <c r="AC415" s="2322"/>
      <c r="AD415" s="2322"/>
      <c r="AE415" s="2322"/>
      <c r="AF415" s="2322"/>
      <c r="AG415" s="2322"/>
      <c r="AH415" s="2322"/>
      <c r="AI415" s="2322"/>
      <c r="AJ415" s="2322"/>
      <c r="AK415" s="2322"/>
      <c r="AL415" s="2322"/>
      <c r="AM415" s="2322"/>
      <c r="AN415" s="2322"/>
      <c r="AO415" s="2322"/>
      <c r="AP415" s="2322"/>
      <c r="AQ415" s="2322"/>
      <c r="AR415" s="2322"/>
      <c r="AS415" s="2322"/>
      <c r="AT415" s="2322"/>
      <c r="AU415" s="2322"/>
      <c r="AV415" s="2322"/>
      <c r="AW415" s="2322"/>
      <c r="AX415" s="2322"/>
      <c r="AY415" s="2322"/>
      <c r="AZ415" s="2322"/>
      <c r="BA415" s="2322"/>
      <c r="BB415" s="2322"/>
      <c r="BC415" s="2322"/>
      <c r="BD415" s="2322"/>
      <c r="BE415" s="2322"/>
      <c r="BF415" s="2322"/>
      <c r="BG415" s="2322"/>
      <c r="BH415" s="2322"/>
      <c r="BI415" s="2322"/>
      <c r="BJ415" s="2322"/>
      <c r="BK415" s="2322"/>
      <c r="BL415" s="2322"/>
      <c r="BM415" s="2322"/>
      <c r="BN415" s="2322"/>
      <c r="BO415" s="2322"/>
      <c r="BP415" s="2322"/>
      <c r="BQ415" s="2322"/>
      <c r="BR415" s="2322"/>
      <c r="BS415" s="2322"/>
      <c r="BT415" s="2322"/>
      <c r="BU415" s="2322"/>
      <c r="BV415" s="2322"/>
      <c r="BW415" s="2322"/>
      <c r="BX415" s="2322"/>
      <c r="BY415" s="2322"/>
      <c r="BZ415" s="2322"/>
      <c r="CA415" s="2322"/>
      <c r="CB415" s="2322"/>
      <c r="CC415" s="2322"/>
      <c r="CD415" s="2322"/>
      <c r="CE415" s="2322"/>
      <c r="CF415" s="2322"/>
      <c r="CG415" s="2322"/>
      <c r="CH415" s="2322"/>
      <c r="CI415" s="2322"/>
      <c r="CJ415" s="2322"/>
      <c r="CK415" s="2322"/>
      <c r="CL415" s="2322"/>
      <c r="CM415" s="2322"/>
      <c r="CN415" s="2322"/>
      <c r="CO415" s="2322"/>
      <c r="CP415" s="2322"/>
      <c r="CQ415" s="2322"/>
      <c r="CR415" s="2322"/>
      <c r="CS415" s="2322"/>
      <c r="CT415" s="2322"/>
      <c r="CU415" s="2322"/>
      <c r="CV415" s="2322"/>
    </row>
    <row r="416" spans="1:100" ht="15.75" customHeight="1">
      <c r="A416" s="2328"/>
      <c r="B416" s="2322"/>
      <c r="C416" s="2322"/>
      <c r="D416" s="2322"/>
      <c r="E416" s="2322"/>
      <c r="F416" s="2322"/>
      <c r="G416" s="2322"/>
      <c r="H416" s="2322"/>
      <c r="I416" s="2322"/>
      <c r="J416" s="2322"/>
      <c r="K416" s="2322"/>
      <c r="L416" s="2322"/>
      <c r="M416" s="2322"/>
      <c r="N416" s="2322"/>
      <c r="O416" s="2322"/>
      <c r="P416" s="2322"/>
      <c r="Q416" s="2322"/>
      <c r="R416" s="2322"/>
      <c r="S416" s="2322"/>
      <c r="T416" s="2322"/>
      <c r="U416" s="2322"/>
      <c r="V416" s="2322"/>
      <c r="W416" s="2322"/>
      <c r="X416" s="2322"/>
      <c r="Y416" s="2322"/>
      <c r="Z416" s="2322"/>
      <c r="AA416" s="2322"/>
      <c r="AB416" s="2322"/>
      <c r="AC416" s="2322"/>
      <c r="AD416" s="2322"/>
      <c r="AE416" s="2322"/>
      <c r="AF416" s="2322"/>
      <c r="AG416" s="2322"/>
      <c r="AH416" s="2322"/>
      <c r="AI416" s="2322"/>
      <c r="AJ416" s="2322"/>
      <c r="AK416" s="2322"/>
      <c r="AL416" s="2322"/>
      <c r="AM416" s="2322"/>
      <c r="AN416" s="2322"/>
      <c r="AO416" s="2322"/>
      <c r="AP416" s="2322"/>
      <c r="AQ416" s="2322"/>
      <c r="AR416" s="2322"/>
      <c r="AS416" s="2322"/>
      <c r="AT416" s="2322"/>
      <c r="AU416" s="2322"/>
      <c r="AV416" s="2322"/>
      <c r="AW416" s="2322"/>
      <c r="AX416" s="2322"/>
      <c r="AY416" s="2322"/>
      <c r="AZ416" s="2322"/>
      <c r="BA416" s="2322"/>
      <c r="BB416" s="2322"/>
      <c r="BC416" s="2322"/>
      <c r="BD416" s="2322"/>
      <c r="BE416" s="2322"/>
      <c r="BF416" s="2322"/>
      <c r="BG416" s="2322"/>
      <c r="BH416" s="2322"/>
      <c r="BI416" s="2322"/>
      <c r="BJ416" s="2322"/>
      <c r="BK416" s="2322"/>
      <c r="BL416" s="2322"/>
      <c r="BM416" s="2322"/>
      <c r="BN416" s="2322"/>
      <c r="BO416" s="2322"/>
      <c r="BP416" s="2322"/>
      <c r="BQ416" s="2322"/>
      <c r="BR416" s="2322"/>
      <c r="BS416" s="2322"/>
      <c r="BT416" s="2322"/>
      <c r="BU416" s="2322"/>
      <c r="BV416" s="2322"/>
      <c r="BW416" s="2322"/>
      <c r="BX416" s="2322"/>
      <c r="BY416" s="2322"/>
      <c r="BZ416" s="2322"/>
      <c r="CA416" s="2322"/>
      <c r="CB416" s="2322"/>
      <c r="CC416" s="2322"/>
      <c r="CD416" s="2322"/>
      <c r="CE416" s="2322"/>
      <c r="CF416" s="2322"/>
      <c r="CG416" s="2322"/>
      <c r="CH416" s="2322"/>
      <c r="CI416" s="2322"/>
      <c r="CJ416" s="2322"/>
      <c r="CK416" s="2322"/>
      <c r="CL416" s="2322"/>
      <c r="CM416" s="2322"/>
      <c r="CN416" s="2322"/>
      <c r="CO416" s="2322"/>
      <c r="CP416" s="2322"/>
      <c r="CQ416" s="2322"/>
      <c r="CR416" s="2322"/>
      <c r="CS416" s="2322"/>
      <c r="CT416" s="2322"/>
      <c r="CU416" s="2322"/>
      <c r="CV416" s="2322"/>
    </row>
    <row r="417" spans="1:100" ht="15.75" customHeight="1">
      <c r="A417" s="2328"/>
      <c r="B417" s="2322"/>
      <c r="C417" s="2322"/>
      <c r="D417" s="2322"/>
      <c r="E417" s="2322"/>
      <c r="F417" s="2322"/>
      <c r="G417" s="2322"/>
      <c r="H417" s="2322"/>
      <c r="I417" s="2322"/>
      <c r="J417" s="2322"/>
      <c r="K417" s="2322"/>
      <c r="L417" s="2322"/>
      <c r="M417" s="2322"/>
      <c r="N417" s="2322"/>
      <c r="O417" s="2322"/>
      <c r="P417" s="2322"/>
      <c r="Q417" s="2322"/>
      <c r="R417" s="2322"/>
      <c r="S417" s="2322"/>
      <c r="T417" s="2322"/>
      <c r="U417" s="2322"/>
      <c r="V417" s="2322"/>
      <c r="W417" s="2322"/>
      <c r="X417" s="2322"/>
      <c r="Y417" s="2322"/>
      <c r="Z417" s="2322"/>
      <c r="AA417" s="2322"/>
      <c r="AB417" s="2322"/>
      <c r="AC417" s="2322"/>
      <c r="AD417" s="2322"/>
      <c r="AE417" s="2322"/>
      <c r="AF417" s="2322"/>
      <c r="AG417" s="2322"/>
      <c r="AH417" s="2322"/>
      <c r="AI417" s="2322"/>
      <c r="AJ417" s="2322"/>
      <c r="AK417" s="2322"/>
      <c r="AL417" s="2322"/>
      <c r="AM417" s="2322"/>
      <c r="AN417" s="2322"/>
      <c r="AO417" s="2322"/>
      <c r="AP417" s="2322"/>
      <c r="AQ417" s="2322"/>
      <c r="AR417" s="2322"/>
      <c r="AS417" s="2322"/>
      <c r="AT417" s="2322"/>
      <c r="AU417" s="2322"/>
      <c r="AV417" s="2322"/>
      <c r="AW417" s="2322"/>
      <c r="AX417" s="2322"/>
      <c r="AY417" s="2322"/>
      <c r="AZ417" s="2322"/>
      <c r="BA417" s="2322"/>
      <c r="BB417" s="2322"/>
      <c r="BC417" s="2322"/>
      <c r="BD417" s="2322"/>
      <c r="BE417" s="2322"/>
      <c r="BF417" s="2322"/>
      <c r="BG417" s="2322"/>
      <c r="BH417" s="2322"/>
      <c r="BI417" s="2322"/>
      <c r="BJ417" s="2322"/>
      <c r="BK417" s="2322"/>
      <c r="BL417" s="2322"/>
      <c r="BM417" s="2322"/>
      <c r="BN417" s="2322"/>
      <c r="BO417" s="2322"/>
      <c r="BP417" s="2322"/>
      <c r="BQ417" s="2322"/>
      <c r="BR417" s="2322"/>
      <c r="BS417" s="2322"/>
      <c r="BT417" s="2322"/>
      <c r="BU417" s="2322"/>
      <c r="BV417" s="2322"/>
      <c r="BW417" s="2322"/>
      <c r="BX417" s="2322"/>
      <c r="BY417" s="2322"/>
      <c r="BZ417" s="2322"/>
      <c r="CA417" s="2322"/>
      <c r="CB417" s="2322"/>
      <c r="CC417" s="2322"/>
      <c r="CD417" s="2322"/>
      <c r="CE417" s="2322"/>
      <c r="CF417" s="2322"/>
      <c r="CG417" s="2322"/>
      <c r="CH417" s="2322"/>
      <c r="CI417" s="2322"/>
      <c r="CJ417" s="2322"/>
      <c r="CK417" s="2322"/>
      <c r="CL417" s="2322"/>
      <c r="CM417" s="2322"/>
      <c r="CN417" s="2322"/>
      <c r="CO417" s="2322"/>
      <c r="CP417" s="2322"/>
      <c r="CQ417" s="2322"/>
      <c r="CR417" s="2322"/>
      <c r="CS417" s="2322"/>
      <c r="CT417" s="2322"/>
      <c r="CU417" s="2322"/>
      <c r="CV417" s="2322"/>
    </row>
    <row r="418" spans="1:100" ht="15.75" customHeight="1">
      <c r="A418" s="2328"/>
      <c r="B418" s="2322"/>
      <c r="C418" s="2322"/>
      <c r="D418" s="2322"/>
      <c r="E418" s="2322"/>
      <c r="F418" s="2322"/>
      <c r="G418" s="2322"/>
      <c r="H418" s="2322"/>
      <c r="I418" s="2322"/>
      <c r="J418" s="2322"/>
      <c r="K418" s="2322"/>
      <c r="L418" s="2322"/>
      <c r="M418" s="2322"/>
      <c r="N418" s="2322"/>
      <c r="O418" s="2322"/>
      <c r="P418" s="2322"/>
      <c r="Q418" s="2322"/>
      <c r="R418" s="2322"/>
      <c r="S418" s="2322"/>
      <c r="T418" s="2322"/>
      <c r="U418" s="2322"/>
      <c r="V418" s="2322"/>
      <c r="W418" s="2322"/>
      <c r="X418" s="2322"/>
      <c r="Y418" s="2322"/>
      <c r="Z418" s="2322"/>
      <c r="AA418" s="2322"/>
      <c r="AB418" s="2322"/>
      <c r="AC418" s="2322"/>
      <c r="AD418" s="2322"/>
      <c r="AE418" s="2322"/>
      <c r="AF418" s="2322"/>
      <c r="AG418" s="2322"/>
      <c r="AH418" s="2322"/>
      <c r="AI418" s="2322"/>
      <c r="AJ418" s="2322"/>
      <c r="AK418" s="2322"/>
      <c r="AL418" s="2322"/>
      <c r="AM418" s="2322"/>
      <c r="AN418" s="2322"/>
      <c r="AO418" s="2322"/>
      <c r="AP418" s="2322"/>
      <c r="AQ418" s="2322"/>
      <c r="AR418" s="2322"/>
      <c r="AS418" s="2322"/>
      <c r="AT418" s="2322"/>
      <c r="AU418" s="2322"/>
      <c r="AV418" s="2322"/>
      <c r="AW418" s="2322"/>
      <c r="AX418" s="2322"/>
      <c r="AY418" s="2322"/>
      <c r="AZ418" s="2322"/>
      <c r="BA418" s="2322"/>
      <c r="BB418" s="2322"/>
      <c r="BC418" s="2322"/>
      <c r="BD418" s="2322"/>
      <c r="BE418" s="2322"/>
      <c r="BF418" s="2322"/>
      <c r="BG418" s="2322"/>
      <c r="BH418" s="2322"/>
      <c r="BI418" s="2322"/>
      <c r="BJ418" s="2322"/>
      <c r="BK418" s="2322"/>
      <c r="BL418" s="2322"/>
      <c r="BM418" s="2322"/>
      <c r="BN418" s="2322"/>
      <c r="BO418" s="2322"/>
      <c r="BP418" s="2322"/>
      <c r="BQ418" s="2322"/>
      <c r="BR418" s="2322"/>
      <c r="BS418" s="2322"/>
      <c r="BT418" s="2322"/>
      <c r="BU418" s="2322"/>
      <c r="BV418" s="2322"/>
      <c r="BW418" s="2322"/>
      <c r="BX418" s="2322"/>
      <c r="BY418" s="2322"/>
      <c r="BZ418" s="2322"/>
      <c r="CA418" s="2322"/>
      <c r="CB418" s="2322"/>
      <c r="CC418" s="2322"/>
      <c r="CD418" s="2322"/>
      <c r="CE418" s="2322"/>
      <c r="CF418" s="2322"/>
      <c r="CG418" s="2322"/>
      <c r="CH418" s="2322"/>
      <c r="CI418" s="2322"/>
      <c r="CJ418" s="2322"/>
      <c r="CK418" s="2322"/>
      <c r="CL418" s="2322"/>
      <c r="CM418" s="2322"/>
      <c r="CN418" s="2322"/>
      <c r="CO418" s="2322"/>
      <c r="CP418" s="2322"/>
      <c r="CQ418" s="2322"/>
      <c r="CR418" s="2322"/>
      <c r="CS418" s="2322"/>
      <c r="CT418" s="2322"/>
      <c r="CU418" s="2322"/>
      <c r="CV418" s="2322"/>
    </row>
    <row r="419" spans="1:100" ht="15.75" customHeight="1">
      <c r="A419" s="2328"/>
      <c r="B419" s="2322"/>
      <c r="C419" s="2322"/>
      <c r="D419" s="2322"/>
      <c r="E419" s="2322"/>
      <c r="F419" s="2322"/>
      <c r="G419" s="2322"/>
      <c r="H419" s="2322"/>
      <c r="I419" s="2322"/>
      <c r="J419" s="2322"/>
      <c r="K419" s="2322"/>
      <c r="L419" s="2322"/>
      <c r="M419" s="2322"/>
      <c r="N419" s="2322"/>
      <c r="O419" s="2322"/>
      <c r="P419" s="2322"/>
      <c r="Q419" s="2322"/>
      <c r="R419" s="2322"/>
      <c r="S419" s="2322"/>
      <c r="T419" s="2322"/>
      <c r="U419" s="2322"/>
      <c r="V419" s="2322"/>
      <c r="W419" s="2322"/>
      <c r="X419" s="2322"/>
      <c r="Y419" s="2322"/>
      <c r="Z419" s="2322"/>
      <c r="AA419" s="2322"/>
      <c r="AB419" s="2322"/>
      <c r="AC419" s="2322"/>
      <c r="AD419" s="2322"/>
      <c r="AE419" s="2322"/>
      <c r="AF419" s="2322"/>
      <c r="AG419" s="2322"/>
      <c r="AH419" s="2322"/>
      <c r="AI419" s="2322"/>
      <c r="AJ419" s="2322"/>
      <c r="AK419" s="2322"/>
      <c r="AL419" s="2322"/>
      <c r="AM419" s="2322"/>
      <c r="AN419" s="2322"/>
      <c r="AO419" s="2322"/>
      <c r="AP419" s="2322"/>
      <c r="AQ419" s="2322"/>
      <c r="AR419" s="2322"/>
      <c r="AS419" s="2322"/>
      <c r="AT419" s="2322"/>
      <c r="AU419" s="2322"/>
      <c r="AV419" s="2322"/>
      <c r="AW419" s="2322"/>
      <c r="AX419" s="2322"/>
      <c r="AY419" s="2322"/>
      <c r="AZ419" s="2322"/>
      <c r="BA419" s="2322"/>
      <c r="BB419" s="2322"/>
      <c r="BC419" s="2322"/>
      <c r="BD419" s="2322"/>
      <c r="BE419" s="2322"/>
      <c r="BF419" s="2322"/>
      <c r="BG419" s="2322"/>
      <c r="BH419" s="2322"/>
      <c r="BI419" s="2322"/>
      <c r="BJ419" s="2322"/>
      <c r="BK419" s="2322"/>
      <c r="BL419" s="2322"/>
      <c r="BM419" s="2322"/>
      <c r="BN419" s="2322"/>
      <c r="BO419" s="2322"/>
      <c r="BP419" s="2322"/>
      <c r="BQ419" s="2322"/>
      <c r="BR419" s="2322"/>
      <c r="BS419" s="2322"/>
      <c r="BT419" s="2322"/>
      <c r="BU419" s="2322"/>
      <c r="BV419" s="2322"/>
      <c r="BW419" s="2322"/>
      <c r="BX419" s="2322"/>
      <c r="BY419" s="2322"/>
      <c r="BZ419" s="2322"/>
      <c r="CA419" s="2322"/>
      <c r="CB419" s="2322"/>
      <c r="CC419" s="2322"/>
      <c r="CD419" s="2322"/>
      <c r="CE419" s="2322"/>
      <c r="CF419" s="2322"/>
      <c r="CG419" s="2322"/>
      <c r="CH419" s="2322"/>
      <c r="CI419" s="2322"/>
      <c r="CJ419" s="2322"/>
      <c r="CK419" s="2322"/>
      <c r="CL419" s="2322"/>
      <c r="CM419" s="2322"/>
      <c r="CN419" s="2322"/>
      <c r="CO419" s="2322"/>
      <c r="CP419" s="2322"/>
      <c r="CQ419" s="2322"/>
      <c r="CR419" s="2322"/>
      <c r="CS419" s="2322"/>
      <c r="CT419" s="2322"/>
      <c r="CU419" s="2322"/>
      <c r="CV419" s="2322"/>
    </row>
    <row r="420" spans="1:100" ht="15.75" customHeight="1">
      <c r="A420" s="2328"/>
      <c r="B420" s="2322"/>
      <c r="C420" s="2322"/>
      <c r="D420" s="2322"/>
      <c r="E420" s="2322"/>
      <c r="F420" s="2322"/>
      <c r="G420" s="2322"/>
      <c r="H420" s="2322"/>
      <c r="I420" s="2322"/>
      <c r="J420" s="2322"/>
      <c r="K420" s="2322"/>
      <c r="L420" s="2322"/>
      <c r="M420" s="2322"/>
      <c r="N420" s="2322"/>
      <c r="O420" s="2322"/>
      <c r="P420" s="2322"/>
      <c r="Q420" s="2322"/>
      <c r="R420" s="2322"/>
      <c r="S420" s="2322"/>
      <c r="T420" s="2322"/>
      <c r="U420" s="2322"/>
      <c r="V420" s="2322"/>
      <c r="W420" s="2322"/>
      <c r="X420" s="2322"/>
      <c r="Y420" s="2322"/>
      <c r="Z420" s="2322"/>
      <c r="AA420" s="2322"/>
      <c r="AB420" s="2322"/>
      <c r="AC420" s="2322"/>
      <c r="AD420" s="2322"/>
      <c r="AE420" s="2322"/>
      <c r="AF420" s="2322"/>
      <c r="AG420" s="2322"/>
      <c r="AH420" s="2322"/>
      <c r="AI420" s="2322"/>
      <c r="AJ420" s="2322"/>
      <c r="AK420" s="2322"/>
      <c r="AL420" s="2322"/>
      <c r="AM420" s="2322"/>
      <c r="AN420" s="2322"/>
      <c r="AO420" s="2322"/>
      <c r="AP420" s="2322"/>
      <c r="AQ420" s="2322"/>
      <c r="AR420" s="2322"/>
      <c r="AS420" s="2322"/>
      <c r="AT420" s="2322"/>
      <c r="AU420" s="2322"/>
      <c r="AV420" s="2322"/>
      <c r="AW420" s="2322"/>
      <c r="AX420" s="2322"/>
      <c r="AY420" s="2322"/>
      <c r="AZ420" s="2322"/>
      <c r="BA420" s="2322"/>
      <c r="BB420" s="2322"/>
      <c r="BC420" s="2322"/>
      <c r="BD420" s="2322"/>
      <c r="BE420" s="2322"/>
      <c r="BF420" s="2322"/>
      <c r="BG420" s="2322"/>
      <c r="BH420" s="2322"/>
      <c r="BI420" s="2322"/>
      <c r="BJ420" s="2322"/>
      <c r="BK420" s="2322"/>
      <c r="BL420" s="2322"/>
      <c r="BM420" s="2322"/>
      <c r="BN420" s="2322"/>
      <c r="BO420" s="2322"/>
      <c r="BP420" s="2322"/>
      <c r="BQ420" s="2322"/>
      <c r="BR420" s="2322"/>
      <c r="BS420" s="2322"/>
      <c r="BT420" s="2322"/>
      <c r="BU420" s="2322"/>
      <c r="BV420" s="2322"/>
      <c r="BW420" s="2322"/>
      <c r="BX420" s="2322"/>
      <c r="BY420" s="2322"/>
      <c r="BZ420" s="2322"/>
      <c r="CA420" s="2322"/>
      <c r="CB420" s="2322"/>
      <c r="CC420" s="2322"/>
      <c r="CD420" s="2322"/>
      <c r="CE420" s="2322"/>
      <c r="CF420" s="2322"/>
      <c r="CG420" s="2322"/>
      <c r="CH420" s="2322"/>
      <c r="CI420" s="2322"/>
      <c r="CJ420" s="2322"/>
      <c r="CK420" s="2322"/>
      <c r="CL420" s="2322"/>
      <c r="CM420" s="2322"/>
      <c r="CN420" s="2322"/>
      <c r="CO420" s="2322"/>
      <c r="CP420" s="2322"/>
      <c r="CQ420" s="2322"/>
      <c r="CR420" s="2322"/>
      <c r="CS420" s="2322"/>
      <c r="CT420" s="2322"/>
      <c r="CU420" s="2322"/>
      <c r="CV420" s="2322"/>
    </row>
    <row r="421" spans="1:100" ht="15.75" customHeight="1">
      <c r="A421" s="2328"/>
      <c r="B421" s="2322"/>
      <c r="C421" s="2322"/>
      <c r="D421" s="2322"/>
      <c r="E421" s="2322"/>
      <c r="F421" s="2322"/>
      <c r="G421" s="2322"/>
      <c r="H421" s="2322"/>
      <c r="I421" s="2322"/>
      <c r="J421" s="2322"/>
      <c r="K421" s="2322"/>
      <c r="L421" s="2322"/>
      <c r="M421" s="2322"/>
      <c r="N421" s="2322"/>
      <c r="O421" s="2322"/>
      <c r="P421" s="2322"/>
      <c r="Q421" s="2322"/>
      <c r="R421" s="2322"/>
      <c r="S421" s="2322"/>
      <c r="T421" s="2322"/>
      <c r="U421" s="2322"/>
      <c r="V421" s="2322"/>
      <c r="W421" s="2322"/>
      <c r="X421" s="2322"/>
      <c r="Y421" s="2322"/>
      <c r="Z421" s="2322"/>
      <c r="AA421" s="2322"/>
      <c r="AB421" s="2322"/>
      <c r="AC421" s="2322"/>
      <c r="AD421" s="2322"/>
      <c r="AE421" s="2322"/>
      <c r="AF421" s="2322"/>
      <c r="AG421" s="2322"/>
      <c r="AH421" s="2322"/>
      <c r="AI421" s="2322"/>
      <c r="AJ421" s="2322"/>
      <c r="AK421" s="2322"/>
      <c r="AL421" s="2322"/>
      <c r="AM421" s="2322"/>
      <c r="AN421" s="2322"/>
      <c r="AO421" s="2322"/>
      <c r="AP421" s="2322"/>
      <c r="AQ421" s="2322"/>
      <c r="AR421" s="2322"/>
      <c r="AS421" s="2322"/>
      <c r="AT421" s="2322"/>
      <c r="AU421" s="2322"/>
      <c r="AV421" s="2322"/>
      <c r="AW421" s="2322"/>
      <c r="AX421" s="2322"/>
      <c r="AY421" s="2322"/>
      <c r="AZ421" s="2322"/>
      <c r="BA421" s="2322"/>
      <c r="BB421" s="2322"/>
      <c r="BC421" s="2322"/>
      <c r="BD421" s="2322"/>
      <c r="BE421" s="2322"/>
      <c r="BF421" s="2322"/>
      <c r="BG421" s="2322"/>
      <c r="BH421" s="2322"/>
      <c r="BI421" s="2322"/>
      <c r="BJ421" s="2322"/>
      <c r="BK421" s="2322"/>
      <c r="BL421" s="2322"/>
      <c r="BM421" s="2322"/>
      <c r="BN421" s="2322"/>
      <c r="BO421" s="2322"/>
      <c r="BP421" s="2322"/>
      <c r="BQ421" s="2322"/>
      <c r="BR421" s="2322"/>
      <c r="BS421" s="2322"/>
      <c r="BT421" s="2322"/>
      <c r="BU421" s="2322"/>
      <c r="BV421" s="2322"/>
      <c r="BW421" s="2322"/>
      <c r="BX421" s="2322"/>
      <c r="BY421" s="2322"/>
      <c r="BZ421" s="2322"/>
      <c r="CA421" s="2322"/>
      <c r="CB421" s="2322"/>
      <c r="CC421" s="2322"/>
      <c r="CD421" s="2322"/>
      <c r="CE421" s="2322"/>
      <c r="CF421" s="2322"/>
      <c r="CG421" s="2322"/>
      <c r="CH421" s="2322"/>
      <c r="CI421" s="2322"/>
      <c r="CJ421" s="2322"/>
      <c r="CK421" s="2322"/>
      <c r="CL421" s="2322"/>
      <c r="CM421" s="2322"/>
      <c r="CN421" s="2322"/>
      <c r="CO421" s="2322"/>
      <c r="CP421" s="2322"/>
      <c r="CQ421" s="2322"/>
      <c r="CR421" s="2322"/>
      <c r="CS421" s="2322"/>
      <c r="CT421" s="2322"/>
      <c r="CU421" s="2322"/>
      <c r="CV421" s="2322"/>
    </row>
    <row r="422" spans="1:100" ht="15.75" customHeight="1">
      <c r="A422" s="2328"/>
      <c r="B422" s="2322"/>
      <c r="C422" s="2322"/>
      <c r="D422" s="2322"/>
      <c r="E422" s="2322"/>
      <c r="F422" s="2322"/>
      <c r="G422" s="2322"/>
      <c r="H422" s="2322"/>
      <c r="I422" s="2322"/>
      <c r="J422" s="2322"/>
      <c r="K422" s="2322"/>
      <c r="L422" s="2322"/>
      <c r="M422" s="2322"/>
      <c r="N422" s="2322"/>
      <c r="O422" s="2322"/>
      <c r="P422" s="2322"/>
      <c r="Q422" s="2322"/>
      <c r="R422" s="2322"/>
      <c r="S422" s="2322"/>
      <c r="T422" s="2322"/>
      <c r="U422" s="2322"/>
      <c r="V422" s="2322"/>
      <c r="W422" s="2322"/>
      <c r="X422" s="2322"/>
      <c r="Y422" s="2322"/>
      <c r="Z422" s="2322"/>
      <c r="AA422" s="2322"/>
      <c r="AB422" s="2322"/>
      <c r="AC422" s="2322"/>
      <c r="AD422" s="2322"/>
      <c r="AE422" s="2322"/>
      <c r="AF422" s="2322"/>
      <c r="AG422" s="2322"/>
      <c r="AH422" s="2322"/>
      <c r="AI422" s="2322"/>
      <c r="AJ422" s="2322"/>
      <c r="AK422" s="2322"/>
      <c r="AL422" s="2322"/>
      <c r="AM422" s="2322"/>
      <c r="AN422" s="2322"/>
      <c r="AO422" s="2322"/>
      <c r="AP422" s="2322"/>
      <c r="AQ422" s="2322"/>
      <c r="AR422" s="2322"/>
      <c r="AS422" s="2322"/>
      <c r="AT422" s="2322"/>
      <c r="AU422" s="2322"/>
      <c r="AV422" s="2322"/>
      <c r="AW422" s="2322"/>
      <c r="AX422" s="2322"/>
      <c r="AY422" s="2322"/>
      <c r="AZ422" s="2322"/>
      <c r="BA422" s="2322"/>
      <c r="BB422" s="2322"/>
      <c r="BC422" s="2322"/>
      <c r="BD422" s="2322"/>
      <c r="BE422" s="2322"/>
      <c r="BF422" s="2322"/>
      <c r="BG422" s="2322"/>
      <c r="BH422" s="2322"/>
      <c r="BI422" s="2322"/>
      <c r="BJ422" s="2322"/>
      <c r="BK422" s="2322"/>
      <c r="BL422" s="2322"/>
      <c r="BM422" s="2322"/>
      <c r="BN422" s="2322"/>
      <c r="BO422" s="2322"/>
      <c r="BP422" s="2322"/>
      <c r="BQ422" s="2322"/>
      <c r="BR422" s="2322"/>
      <c r="BS422" s="2322"/>
      <c r="BT422" s="2322"/>
      <c r="BU422" s="2322"/>
      <c r="BV422" s="2322"/>
      <c r="BW422" s="2322"/>
      <c r="BX422" s="2322"/>
      <c r="BY422" s="2322"/>
      <c r="BZ422" s="2322"/>
      <c r="CA422" s="2322"/>
      <c r="CB422" s="2322"/>
      <c r="CC422" s="2322"/>
      <c r="CD422" s="2322"/>
      <c r="CE422" s="2322"/>
      <c r="CF422" s="2322"/>
      <c r="CG422" s="2322"/>
      <c r="CH422" s="2322"/>
      <c r="CI422" s="2322"/>
      <c r="CJ422" s="2322"/>
      <c r="CK422" s="2322"/>
      <c r="CL422" s="2322"/>
      <c r="CM422" s="2322"/>
      <c r="CN422" s="2322"/>
      <c r="CO422" s="2322"/>
      <c r="CP422" s="2322"/>
      <c r="CQ422" s="2322"/>
      <c r="CR422" s="2322"/>
      <c r="CS422" s="2322"/>
      <c r="CT422" s="2322"/>
      <c r="CU422" s="2322"/>
      <c r="CV422" s="2322"/>
    </row>
    <row r="423" spans="1:100" ht="15.75" customHeight="1">
      <c r="A423" s="2328"/>
      <c r="B423" s="2322"/>
      <c r="C423" s="2322"/>
      <c r="D423" s="2322"/>
      <c r="E423" s="2322"/>
      <c r="F423" s="2322"/>
      <c r="G423" s="2322"/>
      <c r="H423" s="2322"/>
      <c r="I423" s="2322"/>
      <c r="J423" s="2322"/>
      <c r="K423" s="2322"/>
      <c r="L423" s="2322"/>
      <c r="M423" s="2322"/>
      <c r="N423" s="2322"/>
      <c r="O423" s="2322"/>
      <c r="P423" s="2322"/>
      <c r="Q423" s="2322"/>
      <c r="R423" s="2322"/>
      <c r="S423" s="2322"/>
      <c r="T423" s="2322"/>
      <c r="U423" s="2322"/>
      <c r="V423" s="2322"/>
      <c r="W423" s="2322"/>
      <c r="X423" s="2322"/>
      <c r="Y423" s="2322"/>
      <c r="Z423" s="2322"/>
      <c r="AA423" s="2322"/>
      <c r="AB423" s="2322"/>
      <c r="AC423" s="2322"/>
      <c r="AD423" s="2322"/>
      <c r="AE423" s="2322"/>
      <c r="AF423" s="2322"/>
      <c r="AG423" s="2322"/>
      <c r="AH423" s="2322"/>
      <c r="AI423" s="2322"/>
      <c r="AJ423" s="2322"/>
      <c r="AK423" s="2322"/>
      <c r="AL423" s="2322"/>
      <c r="AM423" s="2322"/>
      <c r="AN423" s="2322"/>
      <c r="AO423" s="2322"/>
      <c r="AP423" s="2322"/>
      <c r="AQ423" s="2322"/>
      <c r="AR423" s="2322"/>
      <c r="AS423" s="2322"/>
      <c r="AT423" s="2322"/>
      <c r="AU423" s="2322"/>
      <c r="AV423" s="2322"/>
      <c r="AW423" s="2322"/>
      <c r="AX423" s="2322"/>
      <c r="AY423" s="2322"/>
      <c r="AZ423" s="2322"/>
      <c r="BA423" s="2322"/>
      <c r="BB423" s="2322"/>
      <c r="BC423" s="2322"/>
      <c r="BD423" s="2322"/>
      <c r="BE423" s="2322"/>
      <c r="BF423" s="2322"/>
      <c r="BG423" s="2322"/>
      <c r="BH423" s="2322"/>
      <c r="BI423" s="2322"/>
      <c r="BJ423" s="2322"/>
      <c r="BK423" s="2322"/>
      <c r="BL423" s="2322"/>
      <c r="BM423" s="2322"/>
      <c r="BN423" s="2322"/>
      <c r="BO423" s="2322"/>
      <c r="BP423" s="2322"/>
      <c r="BQ423" s="2322"/>
      <c r="BR423" s="2322"/>
      <c r="BS423" s="2322"/>
      <c r="BT423" s="2322"/>
      <c r="BU423" s="2322"/>
      <c r="BV423" s="2322"/>
      <c r="BW423" s="2322"/>
      <c r="BX423" s="2322"/>
      <c r="BY423" s="2322"/>
      <c r="BZ423" s="2322"/>
      <c r="CA423" s="2322"/>
      <c r="CB423" s="2322"/>
      <c r="CC423" s="2322"/>
      <c r="CD423" s="2322"/>
      <c r="CE423" s="2322"/>
      <c r="CF423" s="2322"/>
      <c r="CG423" s="2322"/>
      <c r="CH423" s="2322"/>
      <c r="CI423" s="2322"/>
      <c r="CJ423" s="2322"/>
      <c r="CK423" s="2322"/>
      <c r="CL423" s="2322"/>
      <c r="CM423" s="2322"/>
      <c r="CN423" s="2322"/>
      <c r="CO423" s="2322"/>
      <c r="CP423" s="2322"/>
      <c r="CQ423" s="2322"/>
      <c r="CR423" s="2322"/>
      <c r="CS423" s="2322"/>
      <c r="CT423" s="2322"/>
      <c r="CU423" s="2322"/>
      <c r="CV423" s="2322"/>
    </row>
    <row r="424" spans="1:100" ht="15.75" customHeight="1">
      <c r="A424" s="2328"/>
      <c r="B424" s="2322"/>
      <c r="C424" s="2322"/>
      <c r="D424" s="2322"/>
      <c r="E424" s="2322"/>
      <c r="F424" s="2322"/>
      <c r="G424" s="2322"/>
      <c r="H424" s="2322"/>
      <c r="I424" s="2322"/>
      <c r="J424" s="2322"/>
      <c r="K424" s="2322"/>
      <c r="L424" s="2322"/>
      <c r="M424" s="2322"/>
      <c r="N424" s="2322"/>
      <c r="O424" s="2322"/>
      <c r="P424" s="2322"/>
      <c r="Q424" s="2322"/>
      <c r="R424" s="2322"/>
      <c r="S424" s="2322"/>
      <c r="T424" s="2322"/>
      <c r="U424" s="2322"/>
      <c r="V424" s="2322"/>
      <c r="W424" s="2322"/>
      <c r="X424" s="2322"/>
      <c r="Y424" s="2322"/>
      <c r="Z424" s="2322"/>
      <c r="AA424" s="2322"/>
      <c r="AB424" s="2322"/>
      <c r="AC424" s="2322"/>
      <c r="AD424" s="2322"/>
      <c r="AE424" s="2322"/>
      <c r="AF424" s="2322"/>
      <c r="AG424" s="2322"/>
      <c r="AH424" s="2322"/>
      <c r="AI424" s="2322"/>
      <c r="AJ424" s="2322"/>
      <c r="AK424" s="2322"/>
      <c r="AL424" s="2322"/>
      <c r="AM424" s="2322"/>
      <c r="AN424" s="2322"/>
      <c r="AO424" s="2322"/>
      <c r="AP424" s="2322"/>
      <c r="AQ424" s="2322"/>
      <c r="AR424" s="2322"/>
      <c r="AS424" s="2322"/>
      <c r="AT424" s="2322"/>
      <c r="AU424" s="2322"/>
      <c r="AV424" s="2322"/>
      <c r="AW424" s="2322"/>
      <c r="AX424" s="2322"/>
      <c r="AY424" s="2322"/>
      <c r="AZ424" s="2322"/>
      <c r="BA424" s="2322"/>
      <c r="BB424" s="2322"/>
      <c r="BC424" s="2322"/>
      <c r="BD424" s="2322"/>
      <c r="BE424" s="2322"/>
      <c r="BF424" s="2322"/>
      <c r="BG424" s="2322"/>
      <c r="BH424" s="2322"/>
      <c r="BI424" s="2322"/>
      <c r="BJ424" s="2322"/>
      <c r="BK424" s="2322"/>
      <c r="BL424" s="2322"/>
      <c r="BM424" s="2322"/>
      <c r="BN424" s="2322"/>
      <c r="BO424" s="2322"/>
      <c r="BP424" s="2322"/>
      <c r="BQ424" s="2322"/>
      <c r="BR424" s="2322"/>
      <c r="BS424" s="2322"/>
      <c r="BT424" s="2322"/>
      <c r="BU424" s="2322"/>
      <c r="BV424" s="2322"/>
      <c r="BW424" s="2322"/>
      <c r="BX424" s="2322"/>
      <c r="BY424" s="2322"/>
      <c r="BZ424" s="2322"/>
      <c r="CA424" s="2322"/>
      <c r="CB424" s="2322"/>
      <c r="CC424" s="2322"/>
      <c r="CD424" s="2322"/>
      <c r="CE424" s="2322"/>
      <c r="CF424" s="2322"/>
      <c r="CG424" s="2322"/>
      <c r="CH424" s="2322"/>
      <c r="CI424" s="2322"/>
      <c r="CJ424" s="2322"/>
      <c r="CK424" s="2322"/>
      <c r="CL424" s="2322"/>
      <c r="CM424" s="2322"/>
      <c r="CN424" s="2322"/>
      <c r="CO424" s="2322"/>
      <c r="CP424" s="2322"/>
      <c r="CQ424" s="2322"/>
      <c r="CR424" s="2322"/>
      <c r="CS424" s="2322"/>
      <c r="CT424" s="2322"/>
      <c r="CU424" s="2322"/>
      <c r="CV424" s="2322"/>
    </row>
    <row r="425" spans="1:100" ht="15.75" customHeight="1">
      <c r="A425" s="2328"/>
      <c r="B425" s="2322"/>
      <c r="C425" s="2322"/>
      <c r="D425" s="2322"/>
      <c r="E425" s="2322"/>
      <c r="F425" s="2322"/>
      <c r="G425" s="2322"/>
      <c r="H425" s="2322"/>
      <c r="I425" s="2322"/>
      <c r="J425" s="2322"/>
      <c r="K425" s="2322"/>
      <c r="L425" s="2322"/>
      <c r="M425" s="2322"/>
      <c r="N425" s="2322"/>
      <c r="O425" s="2322"/>
      <c r="P425" s="2322"/>
      <c r="Q425" s="2322"/>
      <c r="R425" s="2322"/>
      <c r="S425" s="2322"/>
      <c r="T425" s="2322"/>
      <c r="U425" s="2322"/>
      <c r="V425" s="2322"/>
      <c r="W425" s="2322"/>
      <c r="X425" s="2322"/>
      <c r="Y425" s="2322"/>
      <c r="Z425" s="2322"/>
      <c r="AA425" s="2322"/>
      <c r="AB425" s="2322"/>
      <c r="AC425" s="2322"/>
      <c r="AD425" s="2322"/>
      <c r="AE425" s="2322"/>
      <c r="AF425" s="2322"/>
      <c r="AG425" s="2322"/>
      <c r="AH425" s="2322"/>
      <c r="AI425" s="2322"/>
      <c r="AJ425" s="2322"/>
      <c r="AK425" s="2322"/>
      <c r="AL425" s="2322"/>
      <c r="AM425" s="2322"/>
      <c r="AN425" s="2322"/>
      <c r="AO425" s="2322"/>
      <c r="AP425" s="2322"/>
      <c r="AQ425" s="2322"/>
      <c r="AR425" s="2322"/>
      <c r="AS425" s="2322"/>
      <c r="AT425" s="2322"/>
      <c r="AU425" s="2322"/>
      <c r="AV425" s="2322"/>
      <c r="AW425" s="2322"/>
      <c r="AX425" s="2322"/>
      <c r="AY425" s="2322"/>
      <c r="AZ425" s="2322"/>
      <c r="BA425" s="2322"/>
      <c r="BB425" s="2322"/>
      <c r="BC425" s="2322"/>
      <c r="BD425" s="2322"/>
      <c r="BE425" s="2322"/>
      <c r="BF425" s="2322"/>
      <c r="BG425" s="2322"/>
      <c r="BH425" s="2322"/>
      <c r="BI425" s="2322"/>
      <c r="BJ425" s="2322"/>
      <c r="BK425" s="2322"/>
      <c r="BL425" s="2322"/>
      <c r="BM425" s="2322"/>
      <c r="BN425" s="2322"/>
      <c r="BO425" s="2322"/>
      <c r="BP425" s="2322"/>
      <c r="BQ425" s="2322"/>
      <c r="BR425" s="2322"/>
      <c r="BS425" s="2322"/>
      <c r="BT425" s="2322"/>
      <c r="BU425" s="2322"/>
      <c r="BV425" s="2322"/>
      <c r="BW425" s="2322"/>
      <c r="BX425" s="2322"/>
      <c r="BY425" s="2322"/>
      <c r="BZ425" s="2322"/>
      <c r="CA425" s="2322"/>
      <c r="CB425" s="2322"/>
      <c r="CC425" s="2322"/>
      <c r="CD425" s="2322"/>
      <c r="CE425" s="2322"/>
      <c r="CF425" s="2322"/>
      <c r="CG425" s="2322"/>
      <c r="CH425" s="2322"/>
      <c r="CI425" s="2322"/>
      <c r="CJ425" s="2322"/>
      <c r="CK425" s="2322"/>
      <c r="CL425" s="2322"/>
      <c r="CM425" s="2322"/>
      <c r="CN425" s="2322"/>
      <c r="CO425" s="2322"/>
      <c r="CP425" s="2322"/>
      <c r="CQ425" s="2322"/>
      <c r="CR425" s="2322"/>
      <c r="CS425" s="2322"/>
      <c r="CT425" s="2322"/>
      <c r="CU425" s="2322"/>
      <c r="CV425" s="2322"/>
    </row>
    <row r="426" spans="1:100" ht="15.75" customHeight="1">
      <c r="A426" s="2328"/>
      <c r="B426" s="2322"/>
      <c r="C426" s="2322"/>
      <c r="D426" s="2322"/>
      <c r="E426" s="2322"/>
      <c r="F426" s="2322"/>
      <c r="G426" s="2322"/>
      <c r="H426" s="2322"/>
      <c r="I426" s="2322"/>
      <c r="J426" s="2322"/>
      <c r="K426" s="2322"/>
      <c r="L426" s="2322"/>
      <c r="M426" s="2322"/>
      <c r="N426" s="2322"/>
      <c r="O426" s="2322"/>
      <c r="P426" s="2322"/>
      <c r="Q426" s="2322"/>
      <c r="R426" s="2322"/>
      <c r="S426" s="2322"/>
      <c r="T426" s="2322"/>
      <c r="U426" s="2322"/>
      <c r="V426" s="2322"/>
      <c r="W426" s="2322"/>
      <c r="X426" s="2322"/>
      <c r="Y426" s="2322"/>
      <c r="Z426" s="2322"/>
      <c r="AA426" s="2322"/>
      <c r="AB426" s="2322"/>
      <c r="AC426" s="2322"/>
      <c r="AD426" s="2322"/>
      <c r="AE426" s="2322"/>
      <c r="AF426" s="2322"/>
      <c r="AG426" s="2322"/>
      <c r="AH426" s="2322"/>
      <c r="AI426" s="2322"/>
      <c r="AJ426" s="2322"/>
      <c r="AK426" s="2322"/>
      <c r="AL426" s="2322"/>
      <c r="AM426" s="2322"/>
      <c r="AN426" s="2322"/>
      <c r="AO426" s="2322"/>
      <c r="AP426" s="2322"/>
      <c r="AQ426" s="2322"/>
      <c r="AR426" s="2322"/>
      <c r="AS426" s="2322"/>
      <c r="AT426" s="2322"/>
      <c r="AU426" s="2322"/>
      <c r="AV426" s="2322"/>
      <c r="AW426" s="2322"/>
      <c r="AX426" s="2322"/>
      <c r="AY426" s="2322"/>
      <c r="AZ426" s="2322"/>
      <c r="BA426" s="2322"/>
      <c r="BB426" s="2322"/>
      <c r="BC426" s="2322"/>
      <c r="BD426" s="2322"/>
      <c r="BE426" s="2322"/>
      <c r="BF426" s="2322"/>
      <c r="BG426" s="2322"/>
      <c r="BH426" s="2322"/>
      <c r="BI426" s="2322"/>
      <c r="BJ426" s="2322"/>
      <c r="BK426" s="2322"/>
      <c r="BL426" s="2322"/>
      <c r="BM426" s="2322"/>
      <c r="BN426" s="2322"/>
      <c r="BO426" s="2322"/>
      <c r="BP426" s="2322"/>
      <c r="BQ426" s="2322"/>
      <c r="BR426" s="2322"/>
      <c r="BS426" s="2322"/>
      <c r="BT426" s="2322"/>
      <c r="BU426" s="2322"/>
      <c r="BV426" s="2322"/>
      <c r="BW426" s="2322"/>
      <c r="BX426" s="2322"/>
      <c r="BY426" s="2322"/>
      <c r="BZ426" s="2322"/>
      <c r="CA426" s="2322"/>
      <c r="CB426" s="2322"/>
      <c r="CC426" s="2322"/>
      <c r="CD426" s="2322"/>
      <c r="CE426" s="2322"/>
      <c r="CF426" s="2322"/>
      <c r="CG426" s="2322"/>
      <c r="CH426" s="2322"/>
      <c r="CI426" s="2322"/>
      <c r="CJ426" s="2322"/>
      <c r="CK426" s="2322"/>
      <c r="CL426" s="2322"/>
      <c r="CM426" s="2322"/>
      <c r="CN426" s="2322"/>
      <c r="CO426" s="2322"/>
      <c r="CP426" s="2322"/>
      <c r="CQ426" s="2322"/>
      <c r="CR426" s="2322"/>
      <c r="CS426" s="2322"/>
      <c r="CT426" s="2322"/>
      <c r="CU426" s="2322"/>
      <c r="CV426" s="2322"/>
    </row>
    <row r="427" spans="1:100" ht="15.75" customHeight="1">
      <c r="A427" s="2328"/>
      <c r="B427" s="2322"/>
      <c r="C427" s="2322"/>
      <c r="D427" s="2322"/>
      <c r="E427" s="2322"/>
      <c r="F427" s="2322"/>
      <c r="G427" s="2322"/>
      <c r="H427" s="2322"/>
      <c r="I427" s="2322"/>
      <c r="J427" s="2322"/>
      <c r="K427" s="2322"/>
      <c r="L427" s="2322"/>
      <c r="M427" s="2322"/>
      <c r="N427" s="2322"/>
      <c r="O427" s="2322"/>
      <c r="P427" s="2322"/>
      <c r="Q427" s="2322"/>
      <c r="R427" s="2322"/>
      <c r="S427" s="2322"/>
      <c r="T427" s="2322"/>
      <c r="U427" s="2322"/>
      <c r="V427" s="2322"/>
      <c r="W427" s="2322"/>
      <c r="X427" s="2322"/>
      <c r="Y427" s="2322"/>
      <c r="Z427" s="2322"/>
      <c r="AA427" s="2322"/>
      <c r="AB427" s="2322"/>
      <c r="AC427" s="2322"/>
      <c r="AD427" s="2322"/>
      <c r="AE427" s="2322"/>
      <c r="AF427" s="2322"/>
      <c r="AG427" s="2322"/>
      <c r="AH427" s="2322"/>
      <c r="AI427" s="2322"/>
      <c r="AJ427" s="2322"/>
      <c r="AK427" s="2322"/>
      <c r="AL427" s="2322"/>
      <c r="AM427" s="2322"/>
      <c r="AN427" s="2322"/>
      <c r="AO427" s="2322"/>
      <c r="AP427" s="2322"/>
      <c r="AQ427" s="2322"/>
      <c r="AR427" s="2322"/>
      <c r="AS427" s="2322"/>
      <c r="AT427" s="2322"/>
      <c r="AU427" s="2322"/>
      <c r="AV427" s="2322"/>
      <c r="AW427" s="2322"/>
      <c r="AX427" s="2322"/>
      <c r="AY427" s="2322"/>
      <c r="AZ427" s="2322"/>
      <c r="BA427" s="2322"/>
      <c r="BB427" s="2322"/>
      <c r="BC427" s="2322"/>
      <c r="BD427" s="2322"/>
      <c r="BE427" s="2322"/>
      <c r="BF427" s="2322"/>
      <c r="BG427" s="2322"/>
      <c r="BH427" s="2322"/>
      <c r="BI427" s="2322"/>
      <c r="BJ427" s="2322"/>
      <c r="BK427" s="2322"/>
      <c r="BL427" s="2322"/>
      <c r="BM427" s="2322"/>
      <c r="BN427" s="2322"/>
      <c r="BO427" s="2322"/>
      <c r="BP427" s="2322"/>
      <c r="BQ427" s="2322"/>
      <c r="BR427" s="2322"/>
      <c r="BS427" s="2322"/>
      <c r="BT427" s="2322"/>
      <c r="BU427" s="2322"/>
      <c r="BV427" s="2322"/>
      <c r="BW427" s="2322"/>
      <c r="BX427" s="2322"/>
      <c r="BY427" s="2322"/>
      <c r="BZ427" s="2322"/>
      <c r="CA427" s="2322"/>
      <c r="CB427" s="2322"/>
      <c r="CC427" s="2322"/>
      <c r="CD427" s="2322"/>
      <c r="CE427" s="2322"/>
      <c r="CF427" s="2322"/>
      <c r="CG427" s="2322"/>
      <c r="CH427" s="2322"/>
      <c r="CI427" s="2322"/>
      <c r="CJ427" s="2322"/>
      <c r="CK427" s="2322"/>
      <c r="CL427" s="2322"/>
      <c r="CM427" s="2322"/>
      <c r="CN427" s="2322"/>
      <c r="CO427" s="2322"/>
      <c r="CP427" s="2322"/>
      <c r="CQ427" s="2322"/>
      <c r="CR427" s="2322"/>
      <c r="CS427" s="2322"/>
      <c r="CT427" s="2322"/>
      <c r="CU427" s="2322"/>
      <c r="CV427" s="2322"/>
    </row>
    <row r="428" spans="1:100" ht="15.75" customHeight="1">
      <c r="A428" s="2328"/>
      <c r="B428" s="2322"/>
      <c r="C428" s="2322"/>
      <c r="D428" s="2322"/>
      <c r="E428" s="2322"/>
      <c r="F428" s="2322"/>
      <c r="G428" s="2322"/>
      <c r="H428" s="2322"/>
      <c r="I428" s="2322"/>
      <c r="J428" s="2322"/>
      <c r="K428" s="2322"/>
      <c r="L428" s="2322"/>
      <c r="M428" s="2322"/>
      <c r="N428" s="2322"/>
      <c r="O428" s="2322"/>
      <c r="P428" s="2322"/>
      <c r="Q428" s="2322"/>
      <c r="R428" s="2322"/>
      <c r="S428" s="2322"/>
      <c r="T428" s="2322"/>
      <c r="U428" s="2322"/>
      <c r="V428" s="2322"/>
      <c r="W428" s="2322"/>
      <c r="X428" s="2322"/>
      <c r="Y428" s="2322"/>
      <c r="Z428" s="2322"/>
      <c r="AA428" s="2322"/>
      <c r="AB428" s="2322"/>
      <c r="AC428" s="2322"/>
      <c r="AD428" s="2322"/>
      <c r="AE428" s="2322"/>
      <c r="AF428" s="2322"/>
      <c r="AG428" s="2322"/>
      <c r="AH428" s="2322"/>
      <c r="AI428" s="2322"/>
      <c r="AJ428" s="2322"/>
      <c r="AK428" s="2322"/>
      <c r="AL428" s="2322"/>
      <c r="AM428" s="2322"/>
      <c r="AN428" s="2322"/>
      <c r="AO428" s="2322"/>
      <c r="AP428" s="2322"/>
      <c r="AQ428" s="2322"/>
      <c r="AR428" s="2322"/>
      <c r="AS428" s="2322"/>
      <c r="AT428" s="2322"/>
      <c r="AU428" s="2322"/>
      <c r="AV428" s="2322"/>
      <c r="AW428" s="2322"/>
      <c r="AX428" s="2322"/>
      <c r="AY428" s="2322"/>
      <c r="AZ428" s="2322"/>
      <c r="BA428" s="2322"/>
      <c r="BB428" s="2322"/>
      <c r="BC428" s="2322"/>
      <c r="BD428" s="2322"/>
      <c r="BE428" s="2322"/>
      <c r="BF428" s="2322"/>
      <c r="BG428" s="2322"/>
      <c r="BH428" s="2322"/>
      <c r="BI428" s="2322"/>
      <c r="BJ428" s="2322"/>
      <c r="BK428" s="2322"/>
      <c r="BL428" s="2322"/>
      <c r="BM428" s="2322"/>
      <c r="BN428" s="2322"/>
      <c r="BO428" s="2322"/>
      <c r="BP428" s="2322"/>
      <c r="BQ428" s="2322"/>
      <c r="BR428" s="2322"/>
      <c r="BS428" s="2322"/>
      <c r="BT428" s="2322"/>
      <c r="BU428" s="2322"/>
      <c r="BV428" s="2322"/>
      <c r="BW428" s="2322"/>
      <c r="BX428" s="2322"/>
      <c r="BY428" s="2322"/>
      <c r="BZ428" s="2322"/>
      <c r="CA428" s="2322"/>
      <c r="CB428" s="2322"/>
      <c r="CC428" s="2322"/>
      <c r="CD428" s="2322"/>
      <c r="CE428" s="2322"/>
      <c r="CF428" s="2322"/>
      <c r="CG428" s="2322"/>
      <c r="CH428" s="2322"/>
      <c r="CI428" s="2322"/>
      <c r="CJ428" s="2322"/>
      <c r="CK428" s="2322"/>
      <c r="CL428" s="2322"/>
      <c r="CM428" s="2322"/>
      <c r="CN428" s="2322"/>
      <c r="CO428" s="2322"/>
      <c r="CP428" s="2322"/>
      <c r="CQ428" s="2322"/>
      <c r="CR428" s="2322"/>
      <c r="CS428" s="2322"/>
      <c r="CT428" s="2322"/>
      <c r="CU428" s="2322"/>
      <c r="CV428" s="2322"/>
    </row>
    <row r="429" spans="1:100" ht="15.75" customHeight="1">
      <c r="A429" s="2328"/>
      <c r="B429" s="2322"/>
      <c r="C429" s="2322"/>
      <c r="D429" s="2322"/>
      <c r="E429" s="2322"/>
      <c r="F429" s="2322"/>
      <c r="G429" s="2322"/>
      <c r="H429" s="2322"/>
      <c r="I429" s="2322"/>
      <c r="J429" s="2322"/>
      <c r="K429" s="2322"/>
      <c r="L429" s="2322"/>
      <c r="M429" s="2322"/>
      <c r="N429" s="2322"/>
      <c r="O429" s="2322"/>
      <c r="P429" s="2322"/>
      <c r="Q429" s="2322"/>
      <c r="R429" s="2322"/>
      <c r="S429" s="2322"/>
      <c r="T429" s="2322"/>
      <c r="U429" s="2322"/>
      <c r="V429" s="2322"/>
      <c r="W429" s="2322"/>
      <c r="X429" s="2322"/>
      <c r="Y429" s="2322"/>
      <c r="Z429" s="2322"/>
      <c r="AA429" s="2322"/>
      <c r="AB429" s="2322"/>
      <c r="AC429" s="2322"/>
      <c r="AD429" s="2322"/>
      <c r="AE429" s="2322"/>
      <c r="AF429" s="2322"/>
      <c r="AG429" s="2322"/>
      <c r="AH429" s="2322"/>
      <c r="AI429" s="2322"/>
      <c r="AJ429" s="2322"/>
      <c r="AK429" s="2322"/>
      <c r="AL429" s="2322"/>
      <c r="AM429" s="2322"/>
      <c r="AN429" s="2322"/>
      <c r="AO429" s="2322"/>
      <c r="AP429" s="2322"/>
      <c r="AQ429" s="2322"/>
      <c r="AR429" s="2322"/>
      <c r="AS429" s="2322"/>
      <c r="AT429" s="2322"/>
      <c r="AU429" s="2322"/>
      <c r="AV429" s="2322"/>
      <c r="AW429" s="2322"/>
      <c r="AX429" s="2322"/>
      <c r="AY429" s="2322"/>
      <c r="AZ429" s="2322"/>
      <c r="BA429" s="2322"/>
      <c r="BB429" s="2322"/>
      <c r="BC429" s="2322"/>
      <c r="BD429" s="2322"/>
      <c r="BE429" s="2322"/>
      <c r="BF429" s="2322"/>
      <c r="BG429" s="2322"/>
      <c r="BH429" s="2322"/>
      <c r="BI429" s="2322"/>
      <c r="BJ429" s="2322"/>
      <c r="BK429" s="2322"/>
      <c r="BL429" s="2322"/>
      <c r="BM429" s="2322"/>
      <c r="BN429" s="2322"/>
      <c r="BO429" s="2322"/>
      <c r="BP429" s="2322"/>
      <c r="BQ429" s="2322"/>
      <c r="BR429" s="2322"/>
      <c r="BS429" s="2322"/>
      <c r="BT429" s="2322"/>
      <c r="BU429" s="2322"/>
      <c r="BV429" s="2322"/>
      <c r="BW429" s="2322"/>
      <c r="BX429" s="2322"/>
      <c r="BY429" s="2322"/>
      <c r="BZ429" s="2322"/>
      <c r="CA429" s="2322"/>
      <c r="CB429" s="2322"/>
      <c r="CC429" s="2322"/>
      <c r="CD429" s="2322"/>
      <c r="CE429" s="2322"/>
      <c r="CF429" s="2322"/>
      <c r="CG429" s="2322"/>
      <c r="CH429" s="2322"/>
      <c r="CI429" s="2322"/>
      <c r="CJ429" s="2322"/>
      <c r="CK429" s="2322"/>
      <c r="CL429" s="2322"/>
      <c r="CM429" s="2322"/>
      <c r="CN429" s="2322"/>
      <c r="CO429" s="2322"/>
      <c r="CP429" s="2322"/>
      <c r="CQ429" s="2322"/>
      <c r="CR429" s="2322"/>
      <c r="CS429" s="2322"/>
      <c r="CT429" s="2322"/>
      <c r="CU429" s="2322"/>
      <c r="CV429" s="2322"/>
    </row>
    <row r="430" spans="1:100" ht="15.75" customHeight="1">
      <c r="A430" s="2328"/>
      <c r="B430" s="2322"/>
      <c r="C430" s="2322"/>
      <c r="D430" s="2322"/>
      <c r="E430" s="2322"/>
      <c r="F430" s="2322"/>
      <c r="G430" s="2322"/>
      <c r="H430" s="2322"/>
      <c r="I430" s="2322"/>
      <c r="J430" s="2322"/>
      <c r="K430" s="2322"/>
      <c r="L430" s="2322"/>
      <c r="M430" s="2322"/>
      <c r="N430" s="2322"/>
      <c r="O430" s="2322"/>
      <c r="P430" s="2322"/>
      <c r="Q430" s="2322"/>
      <c r="R430" s="2322"/>
      <c r="S430" s="2322"/>
      <c r="T430" s="2322"/>
      <c r="U430" s="2322"/>
      <c r="V430" s="2322"/>
      <c r="W430" s="2322"/>
      <c r="X430" s="2322"/>
      <c r="Y430" s="2322"/>
      <c r="Z430" s="2322"/>
      <c r="AA430" s="2322"/>
      <c r="AB430" s="2322"/>
      <c r="AC430" s="2322"/>
      <c r="AD430" s="2322"/>
      <c r="AE430" s="2322"/>
      <c r="AF430" s="2322"/>
      <c r="AG430" s="2322"/>
      <c r="AH430" s="2322"/>
      <c r="AI430" s="2322"/>
      <c r="AJ430" s="2322"/>
      <c r="AK430" s="2322"/>
      <c r="AL430" s="2322"/>
      <c r="AM430" s="2322"/>
      <c r="AN430" s="2322"/>
      <c r="AO430" s="2322"/>
      <c r="AP430" s="2322"/>
      <c r="AQ430" s="2322"/>
      <c r="AR430" s="2322"/>
      <c r="AS430" s="2322"/>
      <c r="AT430" s="2322"/>
      <c r="AU430" s="2322"/>
      <c r="AV430" s="2322"/>
      <c r="AW430" s="2322"/>
      <c r="AX430" s="2322"/>
      <c r="AY430" s="2322"/>
      <c r="AZ430" s="2322"/>
      <c r="BA430" s="2322"/>
      <c r="BB430" s="2322"/>
      <c r="BC430" s="2322"/>
      <c r="BD430" s="2322"/>
      <c r="BE430" s="2322"/>
      <c r="BF430" s="2322"/>
      <c r="BG430" s="2322"/>
      <c r="BH430" s="2322"/>
      <c r="BI430" s="2322"/>
      <c r="BJ430" s="2322"/>
      <c r="BK430" s="2322"/>
      <c r="BL430" s="2322"/>
      <c r="BM430" s="2322"/>
      <c r="BN430" s="2322"/>
      <c r="BO430" s="2322"/>
      <c r="BP430" s="2322"/>
      <c r="BQ430" s="2322"/>
      <c r="BR430" s="2322"/>
      <c r="BS430" s="2322"/>
      <c r="BT430" s="2322"/>
      <c r="BU430" s="2322"/>
      <c r="BV430" s="2322"/>
      <c r="BW430" s="2322"/>
      <c r="BX430" s="2322"/>
      <c r="BY430" s="2322"/>
      <c r="BZ430" s="2322"/>
      <c r="CA430" s="2322"/>
      <c r="CB430" s="2322"/>
      <c r="CC430" s="2322"/>
      <c r="CD430" s="2322"/>
      <c r="CE430" s="2322"/>
      <c r="CF430" s="2322"/>
      <c r="CG430" s="2322"/>
      <c r="CH430" s="2322"/>
      <c r="CI430" s="2322"/>
      <c r="CJ430" s="2322"/>
      <c r="CK430" s="2322"/>
      <c r="CL430" s="2322"/>
      <c r="CM430" s="2322"/>
      <c r="CN430" s="2322"/>
      <c r="CO430" s="2322"/>
      <c r="CP430" s="2322"/>
      <c r="CQ430" s="2322"/>
      <c r="CR430" s="2322"/>
      <c r="CS430" s="2322"/>
      <c r="CT430" s="2322"/>
      <c r="CU430" s="2322"/>
      <c r="CV430" s="2322"/>
    </row>
    <row r="431" spans="1:100" ht="15.75" customHeight="1">
      <c r="A431" s="2328"/>
      <c r="B431" s="2322"/>
      <c r="C431" s="2322"/>
      <c r="D431" s="2322"/>
      <c r="E431" s="2322"/>
      <c r="F431" s="2322"/>
      <c r="G431" s="2322"/>
      <c r="H431" s="2322"/>
      <c r="I431" s="2322"/>
      <c r="J431" s="2322"/>
      <c r="K431" s="2322"/>
      <c r="L431" s="2322"/>
      <c r="M431" s="2322"/>
      <c r="N431" s="2322"/>
      <c r="O431" s="2322"/>
      <c r="P431" s="2322"/>
      <c r="Q431" s="2322"/>
      <c r="R431" s="2322"/>
      <c r="S431" s="2322"/>
      <c r="T431" s="2322"/>
      <c r="U431" s="2322"/>
      <c r="V431" s="2322"/>
      <c r="W431" s="2322"/>
      <c r="X431" s="2322"/>
      <c r="Y431" s="2322"/>
      <c r="Z431" s="2322"/>
      <c r="AA431" s="2322"/>
      <c r="AB431" s="2322"/>
      <c r="AC431" s="2322"/>
      <c r="AD431" s="2322"/>
      <c r="AE431" s="2322"/>
      <c r="AF431" s="2322"/>
      <c r="AG431" s="2322"/>
      <c r="AH431" s="2322"/>
      <c r="AI431" s="2322"/>
      <c r="AJ431" s="2322"/>
      <c r="AK431" s="2322"/>
      <c r="AL431" s="2322"/>
      <c r="AM431" s="2322"/>
      <c r="AN431" s="2322"/>
      <c r="AO431" s="2322"/>
      <c r="AP431" s="2322"/>
      <c r="AQ431" s="2322"/>
      <c r="AR431" s="2322"/>
      <c r="AS431" s="2322"/>
      <c r="AT431" s="2322"/>
      <c r="AU431" s="2322"/>
      <c r="AV431" s="2322"/>
      <c r="AW431" s="2322"/>
      <c r="AX431" s="2322"/>
      <c r="AY431" s="2322"/>
      <c r="AZ431" s="2322"/>
      <c r="BA431" s="2322"/>
      <c r="BB431" s="2322"/>
      <c r="BC431" s="2322"/>
      <c r="BD431" s="2322"/>
      <c r="BE431" s="2322"/>
      <c r="BF431" s="2322"/>
      <c r="BG431" s="2322"/>
      <c r="BH431" s="2322"/>
      <c r="BI431" s="2322"/>
      <c r="BJ431" s="2322"/>
      <c r="BK431" s="2322"/>
      <c r="BL431" s="2322"/>
      <c r="BM431" s="2322"/>
      <c r="BN431" s="2322"/>
      <c r="BO431" s="2322"/>
      <c r="BP431" s="2322"/>
      <c r="BQ431" s="2322"/>
      <c r="BR431" s="2322"/>
      <c r="BS431" s="2322"/>
      <c r="BT431" s="2322"/>
      <c r="BU431" s="2322"/>
      <c r="BV431" s="2322"/>
      <c r="BW431" s="2322"/>
      <c r="BX431" s="2322"/>
      <c r="BY431" s="2322"/>
      <c r="BZ431" s="2322"/>
      <c r="CA431" s="2322"/>
      <c r="CB431" s="2322"/>
      <c r="CC431" s="2322"/>
      <c r="CD431" s="2322"/>
      <c r="CE431" s="2322"/>
      <c r="CF431" s="2322"/>
      <c r="CG431" s="2322"/>
      <c r="CH431" s="2322"/>
      <c r="CI431" s="2322"/>
      <c r="CJ431" s="2322"/>
      <c r="CK431" s="2322"/>
      <c r="CL431" s="2322"/>
      <c r="CM431" s="2322"/>
      <c r="CN431" s="2322"/>
      <c r="CO431" s="2322"/>
      <c r="CP431" s="2322"/>
      <c r="CQ431" s="2322"/>
      <c r="CR431" s="2322"/>
      <c r="CS431" s="2322"/>
      <c r="CT431" s="2322"/>
      <c r="CU431" s="2322"/>
      <c r="CV431" s="2322"/>
    </row>
    <row r="432" spans="1:100" ht="15.75" customHeight="1">
      <c r="A432" s="2328"/>
      <c r="B432" s="2322"/>
      <c r="C432" s="2322"/>
      <c r="D432" s="2322"/>
      <c r="E432" s="2322"/>
      <c r="F432" s="2322"/>
      <c r="G432" s="2322"/>
      <c r="H432" s="2322"/>
      <c r="I432" s="2322"/>
      <c r="J432" s="2322"/>
      <c r="K432" s="2322"/>
      <c r="L432" s="2322"/>
      <c r="M432" s="2322"/>
      <c r="N432" s="2322"/>
      <c r="O432" s="2322"/>
      <c r="P432" s="2322"/>
      <c r="Q432" s="2322"/>
      <c r="R432" s="2322"/>
      <c r="S432" s="2322"/>
      <c r="T432" s="2322"/>
      <c r="U432" s="2322"/>
      <c r="V432" s="2322"/>
      <c r="W432" s="2322"/>
      <c r="X432" s="2322"/>
      <c r="Y432" s="2322"/>
      <c r="Z432" s="2322"/>
      <c r="AA432" s="2322"/>
      <c r="AB432" s="2322"/>
      <c r="AC432" s="2322"/>
      <c r="AD432" s="2322"/>
      <c r="AE432" s="2322"/>
      <c r="AF432" s="2322"/>
      <c r="AG432" s="2322"/>
      <c r="AH432" s="2322"/>
      <c r="AI432" s="2322"/>
      <c r="AJ432" s="2322"/>
      <c r="AK432" s="2322"/>
      <c r="AL432" s="2322"/>
      <c r="AM432" s="2322"/>
      <c r="AN432" s="2322"/>
      <c r="AO432" s="2322"/>
      <c r="AP432" s="2322"/>
      <c r="AQ432" s="2322"/>
      <c r="AR432" s="2322"/>
      <c r="AS432" s="2322"/>
      <c r="AT432" s="2322"/>
      <c r="AU432" s="2322"/>
      <c r="AV432" s="2322"/>
      <c r="AW432" s="2322"/>
      <c r="AX432" s="2322"/>
      <c r="AY432" s="2322"/>
      <c r="AZ432" s="2322"/>
      <c r="BA432" s="2322"/>
      <c r="BB432" s="2322"/>
      <c r="BC432" s="2322"/>
      <c r="BD432" s="2322"/>
      <c r="BE432" s="2322"/>
      <c r="BF432" s="2322"/>
      <c r="BG432" s="2322"/>
      <c r="BH432" s="2322"/>
      <c r="BI432" s="2322"/>
      <c r="BJ432" s="2322"/>
      <c r="BK432" s="2322"/>
      <c r="BL432" s="2322"/>
      <c r="BM432" s="2322"/>
      <c r="BN432" s="2322"/>
      <c r="BO432" s="2322"/>
      <c r="BP432" s="2322"/>
      <c r="BQ432" s="2322"/>
      <c r="BR432" s="2322"/>
      <c r="BS432" s="2322"/>
      <c r="BT432" s="2322"/>
      <c r="BU432" s="2322"/>
      <c r="BV432" s="2322"/>
      <c r="BW432" s="2322"/>
      <c r="BX432" s="2322"/>
      <c r="BY432" s="2322"/>
      <c r="BZ432" s="2322"/>
      <c r="CA432" s="2322"/>
      <c r="CB432" s="2322"/>
      <c r="CC432" s="2322"/>
      <c r="CD432" s="2322"/>
      <c r="CE432" s="2322"/>
      <c r="CF432" s="2322"/>
      <c r="CG432" s="2322"/>
      <c r="CH432" s="2322"/>
      <c r="CI432" s="2322"/>
      <c r="CJ432" s="2322"/>
      <c r="CK432" s="2322"/>
      <c r="CL432" s="2322"/>
      <c r="CM432" s="2322"/>
      <c r="CN432" s="2322"/>
      <c r="CO432" s="2322"/>
      <c r="CP432" s="2322"/>
      <c r="CQ432" s="2322"/>
      <c r="CR432" s="2322"/>
      <c r="CS432" s="2322"/>
      <c r="CT432" s="2322"/>
      <c r="CU432" s="2322"/>
      <c r="CV432" s="2322"/>
    </row>
    <row r="433" spans="1:100" ht="15.75" customHeight="1">
      <c r="A433" s="2328"/>
      <c r="B433" s="2322"/>
      <c r="C433" s="2322"/>
      <c r="D433" s="2322"/>
      <c r="E433" s="2322"/>
      <c r="F433" s="2322"/>
      <c r="G433" s="2322"/>
      <c r="H433" s="2322"/>
      <c r="I433" s="2322"/>
      <c r="J433" s="2322"/>
      <c r="K433" s="2322"/>
      <c r="L433" s="2322"/>
      <c r="M433" s="2322"/>
      <c r="N433" s="2322"/>
      <c r="O433" s="2322"/>
      <c r="P433" s="2322"/>
      <c r="Q433" s="2322"/>
      <c r="R433" s="2322"/>
      <c r="S433" s="2322"/>
      <c r="T433" s="2322"/>
      <c r="U433" s="2322"/>
      <c r="V433" s="2322"/>
      <c r="W433" s="2322"/>
      <c r="X433" s="2322"/>
      <c r="Y433" s="2322"/>
      <c r="Z433" s="2322"/>
      <c r="AA433" s="2322"/>
      <c r="AB433" s="2322"/>
      <c r="AC433" s="2322"/>
      <c r="AD433" s="2322"/>
      <c r="AE433" s="2322"/>
      <c r="AF433" s="2322"/>
      <c r="AG433" s="2322"/>
      <c r="AH433" s="2322"/>
      <c r="AI433" s="2322"/>
      <c r="AJ433" s="2322"/>
      <c r="AK433" s="2322"/>
      <c r="AL433" s="2322"/>
      <c r="AM433" s="2322"/>
      <c r="AN433" s="2322"/>
      <c r="AO433" s="2322"/>
      <c r="AP433" s="2322"/>
      <c r="AQ433" s="2322"/>
      <c r="AR433" s="2322"/>
      <c r="AS433" s="2322"/>
      <c r="AT433" s="2322"/>
      <c r="AU433" s="2322"/>
      <c r="AV433" s="2322"/>
      <c r="AW433" s="2322"/>
      <c r="AX433" s="2322"/>
      <c r="AY433" s="2322"/>
      <c r="AZ433" s="2322"/>
      <c r="BA433" s="2322"/>
      <c r="BB433" s="2322"/>
      <c r="BC433" s="2322"/>
      <c r="BD433" s="2322"/>
      <c r="BE433" s="2322"/>
      <c r="BF433" s="2322"/>
      <c r="BG433" s="2322"/>
      <c r="BH433" s="2322"/>
      <c r="BI433" s="2322"/>
      <c r="BJ433" s="2322"/>
      <c r="BK433" s="2322"/>
      <c r="BL433" s="2322"/>
      <c r="BM433" s="2322"/>
      <c r="BN433" s="2322"/>
      <c r="BO433" s="2322"/>
      <c r="BP433" s="2322"/>
      <c r="BQ433" s="2322"/>
      <c r="BR433" s="2322"/>
      <c r="BS433" s="2322"/>
      <c r="BT433" s="2322"/>
      <c r="BU433" s="2322"/>
      <c r="BV433" s="2322"/>
      <c r="BW433" s="2322"/>
      <c r="BX433" s="2322"/>
      <c r="BY433" s="2322"/>
      <c r="BZ433" s="2322"/>
      <c r="CA433" s="2322"/>
      <c r="CB433" s="2322"/>
      <c r="CC433" s="2322"/>
      <c r="CD433" s="2322"/>
      <c r="CE433" s="2322"/>
      <c r="CF433" s="2322"/>
      <c r="CG433" s="2322"/>
      <c r="CH433" s="2322"/>
      <c r="CI433" s="2322"/>
      <c r="CJ433" s="2322"/>
      <c r="CK433" s="2322"/>
      <c r="CL433" s="2322"/>
      <c r="CM433" s="2322"/>
      <c r="CN433" s="2322"/>
      <c r="CO433" s="2322"/>
      <c r="CP433" s="2322"/>
      <c r="CQ433" s="2322"/>
      <c r="CR433" s="2322"/>
      <c r="CS433" s="2322"/>
      <c r="CT433" s="2322"/>
      <c r="CU433" s="2322"/>
      <c r="CV433" s="2322"/>
    </row>
    <row r="434" spans="1:100" ht="15.75" customHeight="1">
      <c r="A434" s="2328"/>
      <c r="B434" s="2322"/>
      <c r="C434" s="2322"/>
      <c r="D434" s="2322"/>
      <c r="E434" s="2322"/>
      <c r="F434" s="2322"/>
      <c r="G434" s="2322"/>
      <c r="H434" s="2322"/>
      <c r="I434" s="2322"/>
      <c r="J434" s="2322"/>
      <c r="K434" s="2322"/>
      <c r="L434" s="2322"/>
      <c r="M434" s="2322"/>
      <c r="N434" s="2322"/>
      <c r="O434" s="2322"/>
      <c r="P434" s="2322"/>
      <c r="Q434" s="2322"/>
      <c r="R434" s="2322"/>
      <c r="S434" s="2322"/>
      <c r="T434" s="2322"/>
      <c r="U434" s="2322"/>
      <c r="V434" s="2322"/>
      <c r="W434" s="2322"/>
      <c r="X434" s="2322"/>
      <c r="Y434" s="2322"/>
      <c r="Z434" s="2322"/>
      <c r="AA434" s="2322"/>
      <c r="AB434" s="2322"/>
      <c r="AC434" s="2322"/>
      <c r="AD434" s="2322"/>
      <c r="AE434" s="2322"/>
      <c r="AF434" s="2322"/>
      <c r="AG434" s="2322"/>
      <c r="AH434" s="2322"/>
      <c r="AI434" s="2322"/>
      <c r="AJ434" s="2322"/>
      <c r="AK434" s="2322"/>
      <c r="AL434" s="2322"/>
      <c r="AM434" s="2322"/>
      <c r="AN434" s="2322"/>
      <c r="AO434" s="2322"/>
      <c r="AP434" s="2322"/>
      <c r="AQ434" s="2322"/>
      <c r="AR434" s="2322"/>
      <c r="AS434" s="2322"/>
      <c r="AT434" s="2322"/>
      <c r="AU434" s="2322"/>
      <c r="AV434" s="2322"/>
      <c r="AW434" s="2322"/>
      <c r="AX434" s="2322"/>
      <c r="AY434" s="2322"/>
      <c r="AZ434" s="2322"/>
      <c r="BA434" s="2322"/>
      <c r="BB434" s="2322"/>
      <c r="BC434" s="2322"/>
      <c r="BD434" s="2322"/>
      <c r="BE434" s="2322"/>
      <c r="BF434" s="2322"/>
      <c r="BG434" s="2322"/>
      <c r="BH434" s="2322"/>
      <c r="BI434" s="2322"/>
      <c r="BJ434" s="2322"/>
      <c r="BK434" s="2322"/>
      <c r="BL434" s="2322"/>
      <c r="BM434" s="2322"/>
      <c r="BN434" s="2322"/>
      <c r="BO434" s="2322"/>
      <c r="BP434" s="2322"/>
      <c r="BQ434" s="2322"/>
      <c r="BR434" s="2322"/>
      <c r="BS434" s="2322"/>
      <c r="BT434" s="2322"/>
      <c r="BU434" s="2322"/>
      <c r="BV434" s="2322"/>
      <c r="BW434" s="2322"/>
      <c r="BX434" s="2322"/>
      <c r="BY434" s="2322"/>
      <c r="BZ434" s="2322"/>
      <c r="CA434" s="2322"/>
      <c r="CB434" s="2322"/>
      <c r="CC434" s="2322"/>
      <c r="CD434" s="2322"/>
      <c r="CE434" s="2322"/>
      <c r="CF434" s="2322"/>
      <c r="CG434" s="2322"/>
      <c r="CH434" s="2322"/>
      <c r="CI434" s="2322"/>
      <c r="CJ434" s="2322"/>
      <c r="CK434" s="2322"/>
      <c r="CL434" s="2322"/>
      <c r="CM434" s="2322"/>
      <c r="CN434" s="2322"/>
      <c r="CO434" s="2322"/>
      <c r="CP434" s="2322"/>
      <c r="CQ434" s="2322"/>
      <c r="CR434" s="2322"/>
      <c r="CS434" s="2322"/>
      <c r="CT434" s="2322"/>
      <c r="CU434" s="2322"/>
      <c r="CV434" s="2322"/>
    </row>
    <row r="435" spans="1:100" ht="15.75" customHeight="1">
      <c r="A435" s="2328"/>
      <c r="B435" s="2322"/>
      <c r="C435" s="2322"/>
      <c r="D435" s="2322"/>
      <c r="E435" s="2322"/>
      <c r="F435" s="2322"/>
      <c r="G435" s="2322"/>
      <c r="H435" s="2322"/>
      <c r="I435" s="2322"/>
      <c r="J435" s="2322"/>
      <c r="K435" s="2322"/>
      <c r="L435" s="2322"/>
      <c r="M435" s="2322"/>
      <c r="N435" s="2322"/>
      <c r="O435" s="2322"/>
      <c r="P435" s="2322"/>
      <c r="Q435" s="2322"/>
      <c r="R435" s="2322"/>
      <c r="S435" s="2322"/>
      <c r="T435" s="2322"/>
      <c r="U435" s="2322"/>
      <c r="V435" s="2322"/>
      <c r="W435" s="2322"/>
      <c r="X435" s="2322"/>
      <c r="Y435" s="2322"/>
      <c r="Z435" s="2322"/>
      <c r="AA435" s="2322"/>
      <c r="AB435" s="2322"/>
      <c r="AC435" s="2322"/>
      <c r="AD435" s="2322"/>
      <c r="AE435" s="2322"/>
      <c r="AF435" s="2322"/>
      <c r="AG435" s="2322"/>
      <c r="AH435" s="2322"/>
      <c r="AI435" s="2322"/>
      <c r="AJ435" s="2322"/>
      <c r="AK435" s="2322"/>
      <c r="AL435" s="2322"/>
      <c r="AM435" s="2322"/>
      <c r="AN435" s="2322"/>
      <c r="AO435" s="2322"/>
      <c r="AP435" s="2322"/>
      <c r="AQ435" s="2322"/>
      <c r="AR435" s="2322"/>
      <c r="AS435" s="2322"/>
      <c r="AT435" s="2322"/>
      <c r="AU435" s="2322"/>
      <c r="AV435" s="2322"/>
      <c r="AW435" s="2322"/>
      <c r="AX435" s="2322"/>
      <c r="AY435" s="2322"/>
      <c r="AZ435" s="2322"/>
      <c r="BA435" s="2322"/>
      <c r="BB435" s="2322"/>
      <c r="BC435" s="2322"/>
      <c r="BD435" s="2322"/>
      <c r="BE435" s="2322"/>
      <c r="BF435" s="2322"/>
      <c r="BG435" s="2322"/>
      <c r="BH435" s="2322"/>
      <c r="BI435" s="2322"/>
      <c r="BJ435" s="2322"/>
      <c r="BK435" s="2322"/>
      <c r="BL435" s="2322"/>
      <c r="BM435" s="2322"/>
      <c r="BN435" s="2322"/>
      <c r="BO435" s="2322"/>
      <c r="BP435" s="2322"/>
      <c r="BQ435" s="2322"/>
      <c r="BR435" s="2322"/>
      <c r="BS435" s="2322"/>
      <c r="BT435" s="2322"/>
      <c r="BU435" s="2322"/>
      <c r="BV435" s="2322"/>
      <c r="BW435" s="2322"/>
      <c r="BX435" s="2322"/>
      <c r="BY435" s="2322"/>
      <c r="BZ435" s="2322"/>
      <c r="CA435" s="2322"/>
      <c r="CB435" s="2322"/>
      <c r="CC435" s="2322"/>
      <c r="CD435" s="2322"/>
      <c r="CE435" s="2322"/>
      <c r="CF435" s="2322"/>
      <c r="CG435" s="2322"/>
      <c r="CH435" s="2322"/>
      <c r="CI435" s="2322"/>
      <c r="CJ435" s="2322"/>
      <c r="CK435" s="2322"/>
      <c r="CL435" s="2322"/>
      <c r="CM435" s="2322"/>
      <c r="CN435" s="2322"/>
      <c r="CO435" s="2322"/>
      <c r="CP435" s="2322"/>
      <c r="CQ435" s="2322"/>
      <c r="CR435" s="2322"/>
      <c r="CS435" s="2322"/>
      <c r="CT435" s="2322"/>
      <c r="CU435" s="2322"/>
      <c r="CV435" s="2322"/>
    </row>
    <row r="436" spans="1:100" ht="15.75" customHeight="1">
      <c r="A436" s="2328"/>
      <c r="B436" s="2322"/>
      <c r="C436" s="2322"/>
      <c r="D436" s="2322"/>
      <c r="E436" s="2322"/>
      <c r="F436" s="2322"/>
      <c r="G436" s="2322"/>
      <c r="H436" s="2322"/>
      <c r="I436" s="2322"/>
      <c r="J436" s="2322"/>
      <c r="K436" s="2322"/>
      <c r="L436" s="2322"/>
      <c r="M436" s="2322"/>
      <c r="N436" s="2322"/>
      <c r="O436" s="2322"/>
      <c r="P436" s="2322"/>
      <c r="Q436" s="2322"/>
      <c r="R436" s="2322"/>
      <c r="S436" s="2322"/>
      <c r="T436" s="2322"/>
      <c r="U436" s="2322"/>
      <c r="V436" s="2322"/>
      <c r="W436" s="2322"/>
      <c r="X436" s="2322"/>
      <c r="Y436" s="2322"/>
      <c r="Z436" s="2322"/>
      <c r="AA436" s="2322"/>
      <c r="AB436" s="2322"/>
      <c r="AC436" s="2322"/>
      <c r="AD436" s="2322"/>
      <c r="AE436" s="2322"/>
      <c r="AF436" s="2322"/>
      <c r="AG436" s="2322"/>
      <c r="AH436" s="2322"/>
      <c r="AI436" s="2322"/>
      <c r="AJ436" s="2322"/>
      <c r="AK436" s="2322"/>
      <c r="AL436" s="2322"/>
      <c r="AM436" s="2322"/>
      <c r="AN436" s="2322"/>
      <c r="AO436" s="2322"/>
      <c r="AP436" s="2322"/>
      <c r="AQ436" s="2322"/>
      <c r="AR436" s="2322"/>
      <c r="AS436" s="2322"/>
      <c r="AT436" s="2322"/>
      <c r="AU436" s="2322"/>
      <c r="AV436" s="2322"/>
      <c r="AW436" s="2322"/>
      <c r="AX436" s="2322"/>
      <c r="AY436" s="2322"/>
      <c r="AZ436" s="2322"/>
      <c r="BA436" s="2322"/>
      <c r="BB436" s="2322"/>
      <c r="BC436" s="2322"/>
      <c r="BD436" s="2322"/>
      <c r="BE436" s="2322"/>
      <c r="BF436" s="2322"/>
      <c r="BG436" s="2322"/>
      <c r="BH436" s="2322"/>
      <c r="BI436" s="2322"/>
      <c r="BJ436" s="2322"/>
      <c r="BK436" s="2322"/>
      <c r="BL436" s="2322"/>
      <c r="BM436" s="2322"/>
      <c r="BN436" s="2322"/>
      <c r="BO436" s="2322"/>
      <c r="BP436" s="2322"/>
      <c r="BQ436" s="2322"/>
      <c r="BR436" s="2322"/>
      <c r="BS436" s="2322"/>
      <c r="BT436" s="2322"/>
      <c r="BU436" s="2322"/>
      <c r="BV436" s="2322"/>
      <c r="BW436" s="2322"/>
      <c r="BX436" s="2322"/>
      <c r="BY436" s="2322"/>
      <c r="BZ436" s="2322"/>
      <c r="CA436" s="2322"/>
      <c r="CB436" s="2322"/>
      <c r="CC436" s="2322"/>
      <c r="CD436" s="2322"/>
      <c r="CE436" s="2322"/>
      <c r="CF436" s="2322"/>
      <c r="CG436" s="2322"/>
      <c r="CH436" s="2322"/>
      <c r="CI436" s="2322"/>
      <c r="CJ436" s="2322"/>
      <c r="CK436" s="2322"/>
      <c r="CL436" s="2322"/>
      <c r="CM436" s="2322"/>
      <c r="CN436" s="2322"/>
      <c r="CO436" s="2322"/>
      <c r="CP436" s="2322"/>
      <c r="CQ436" s="2322"/>
      <c r="CR436" s="2322"/>
      <c r="CS436" s="2322"/>
      <c r="CT436" s="2322"/>
      <c r="CU436" s="2322"/>
      <c r="CV436" s="2322"/>
    </row>
    <row r="437" spans="1:100" ht="15.75" customHeight="1">
      <c r="A437" s="2328"/>
      <c r="B437" s="2322"/>
      <c r="C437" s="2322"/>
      <c r="D437" s="2322"/>
      <c r="E437" s="2322"/>
      <c r="F437" s="2322"/>
      <c r="G437" s="2322"/>
      <c r="H437" s="2322"/>
      <c r="I437" s="2322"/>
      <c r="J437" s="2322"/>
      <c r="K437" s="2322"/>
      <c r="L437" s="2322"/>
      <c r="M437" s="2322"/>
      <c r="N437" s="2322"/>
      <c r="O437" s="2322"/>
      <c r="P437" s="2322"/>
      <c r="Q437" s="2322"/>
      <c r="R437" s="2322"/>
      <c r="S437" s="2322"/>
      <c r="T437" s="2322"/>
      <c r="U437" s="2322"/>
      <c r="V437" s="2322"/>
      <c r="W437" s="2322"/>
      <c r="X437" s="2322"/>
      <c r="Y437" s="2322"/>
      <c r="Z437" s="2322"/>
      <c r="AA437" s="2322"/>
      <c r="AB437" s="2322"/>
      <c r="AC437" s="2322"/>
      <c r="AD437" s="2322"/>
      <c r="AE437" s="2322"/>
      <c r="AF437" s="2322"/>
      <c r="AG437" s="2322"/>
      <c r="AH437" s="2322"/>
      <c r="AI437" s="2322"/>
      <c r="AJ437" s="2322"/>
      <c r="AK437" s="2322"/>
      <c r="AL437" s="2322"/>
      <c r="AM437" s="2322"/>
      <c r="AN437" s="2322"/>
      <c r="AO437" s="2322"/>
      <c r="AP437" s="2322"/>
      <c r="AQ437" s="2322"/>
      <c r="AR437" s="2322"/>
      <c r="AS437" s="2322"/>
      <c r="AT437" s="2322"/>
      <c r="AU437" s="2322"/>
      <c r="AV437" s="2322"/>
      <c r="AW437" s="2322"/>
      <c r="AX437" s="2322"/>
      <c r="AY437" s="2322"/>
      <c r="AZ437" s="2322"/>
      <c r="BA437" s="2322"/>
      <c r="BB437" s="2322"/>
      <c r="BC437" s="2322"/>
      <c r="BD437" s="2322"/>
      <c r="BE437" s="2322"/>
      <c r="BF437" s="2322"/>
      <c r="BG437" s="2322"/>
      <c r="BH437" s="2322"/>
      <c r="BI437" s="2322"/>
      <c r="BJ437" s="2322"/>
      <c r="BK437" s="2322"/>
      <c r="BL437" s="2322"/>
      <c r="BM437" s="2322"/>
      <c r="BN437" s="2322"/>
      <c r="BO437" s="2322"/>
      <c r="BP437" s="2322"/>
      <c r="BQ437" s="2322"/>
      <c r="BR437" s="2322"/>
      <c r="BS437" s="2322"/>
      <c r="BT437" s="2322"/>
      <c r="BU437" s="2322"/>
      <c r="BV437" s="2322"/>
      <c r="BW437" s="2322"/>
      <c r="BX437" s="2322"/>
      <c r="BY437" s="2322"/>
      <c r="BZ437" s="2322"/>
      <c r="CA437" s="2322"/>
      <c r="CB437" s="2322"/>
      <c r="CC437" s="2322"/>
      <c r="CD437" s="2322"/>
      <c r="CE437" s="2322"/>
      <c r="CF437" s="2322"/>
      <c r="CG437" s="2322"/>
      <c r="CH437" s="2322"/>
      <c r="CI437" s="2322"/>
      <c r="CJ437" s="2322"/>
      <c r="CK437" s="2322"/>
      <c r="CL437" s="2322"/>
      <c r="CM437" s="2322"/>
      <c r="CN437" s="2322"/>
      <c r="CO437" s="2322"/>
      <c r="CP437" s="2322"/>
      <c r="CQ437" s="2322"/>
      <c r="CR437" s="2322"/>
      <c r="CS437" s="2322"/>
      <c r="CT437" s="2322"/>
      <c r="CU437" s="2322"/>
      <c r="CV437" s="2322"/>
    </row>
    <row r="438" spans="1:100" ht="15.75" customHeight="1">
      <c r="A438" s="2328"/>
      <c r="B438" s="2322"/>
      <c r="C438" s="2322"/>
      <c r="D438" s="2322"/>
      <c r="E438" s="2322"/>
      <c r="F438" s="2322"/>
      <c r="G438" s="2322"/>
      <c r="H438" s="2322"/>
      <c r="I438" s="2322"/>
      <c r="J438" s="2322"/>
      <c r="K438" s="2322"/>
      <c r="L438" s="2322"/>
      <c r="M438" s="2322"/>
      <c r="N438" s="2322"/>
      <c r="O438" s="2322"/>
      <c r="P438" s="2322"/>
      <c r="Q438" s="2322"/>
      <c r="R438" s="2322"/>
      <c r="S438" s="2322"/>
      <c r="T438" s="2322"/>
      <c r="U438" s="2322"/>
      <c r="V438" s="2322"/>
      <c r="W438" s="2322"/>
      <c r="X438" s="2322"/>
      <c r="Y438" s="2322"/>
      <c r="Z438" s="2322"/>
      <c r="AA438" s="2322"/>
      <c r="AB438" s="2322"/>
      <c r="AC438" s="2322"/>
      <c r="AD438" s="2322"/>
      <c r="AE438" s="2322"/>
      <c r="AF438" s="2322"/>
      <c r="AG438" s="2322"/>
      <c r="AH438" s="2322"/>
      <c r="AI438" s="2322"/>
      <c r="AJ438" s="2322"/>
      <c r="AK438" s="2322"/>
      <c r="AL438" s="2322"/>
      <c r="AM438" s="2322"/>
      <c r="AN438" s="2322"/>
      <c r="AO438" s="2322"/>
      <c r="AP438" s="2322"/>
      <c r="AQ438" s="2322"/>
      <c r="AR438" s="2322"/>
      <c r="AS438" s="2322"/>
      <c r="AT438" s="2322"/>
      <c r="AU438" s="2322"/>
      <c r="AV438" s="2322"/>
      <c r="AW438" s="2322"/>
      <c r="AX438" s="2322"/>
      <c r="AY438" s="2322"/>
      <c r="AZ438" s="2322"/>
      <c r="BA438" s="2322"/>
      <c r="BB438" s="2322"/>
      <c r="BC438" s="2322"/>
      <c r="BD438" s="2322"/>
      <c r="BE438" s="2322"/>
      <c r="BF438" s="2322"/>
      <c r="BG438" s="2322"/>
      <c r="BH438" s="2322"/>
      <c r="BI438" s="2322"/>
      <c r="BJ438" s="2322"/>
      <c r="BK438" s="2322"/>
      <c r="BL438" s="2322"/>
      <c r="BM438" s="2322"/>
      <c r="BN438" s="2322"/>
      <c r="BO438" s="2322"/>
      <c r="BP438" s="2322"/>
      <c r="BQ438" s="2322"/>
      <c r="BR438" s="2322"/>
      <c r="BS438" s="2322"/>
      <c r="BT438" s="2322"/>
      <c r="BU438" s="2322"/>
      <c r="BV438" s="2322"/>
      <c r="BW438" s="2322"/>
      <c r="BX438" s="2322"/>
      <c r="BY438" s="2322"/>
      <c r="BZ438" s="2322"/>
      <c r="CA438" s="2322"/>
      <c r="CB438" s="2322"/>
      <c r="CC438" s="2322"/>
      <c r="CD438" s="2322"/>
      <c r="CE438" s="2322"/>
      <c r="CF438" s="2322"/>
      <c r="CG438" s="2322"/>
      <c r="CH438" s="2322"/>
      <c r="CI438" s="2322"/>
      <c r="CJ438" s="2322"/>
      <c r="CK438" s="2322"/>
      <c r="CL438" s="2322"/>
      <c r="CM438" s="2322"/>
      <c r="CN438" s="2322"/>
      <c r="CO438" s="2322"/>
      <c r="CP438" s="2322"/>
      <c r="CQ438" s="2322"/>
      <c r="CR438" s="2322"/>
      <c r="CS438" s="2322"/>
      <c r="CT438" s="2322"/>
      <c r="CU438" s="2322"/>
      <c r="CV438" s="2322"/>
    </row>
    <row r="439" spans="1:100" ht="15.75" customHeight="1">
      <c r="A439" s="2328"/>
      <c r="B439" s="2322"/>
      <c r="C439" s="2322"/>
      <c r="D439" s="2322"/>
      <c r="E439" s="2322"/>
      <c r="F439" s="2322"/>
      <c r="G439" s="2322"/>
      <c r="H439" s="2322"/>
      <c r="I439" s="2322"/>
      <c r="J439" s="2322"/>
      <c r="K439" s="2322"/>
      <c r="L439" s="2322"/>
      <c r="M439" s="2322"/>
      <c r="N439" s="2322"/>
      <c r="O439" s="2322"/>
      <c r="P439" s="2322"/>
      <c r="Q439" s="2322"/>
      <c r="R439" s="2322"/>
      <c r="S439" s="2322"/>
      <c r="T439" s="2322"/>
      <c r="U439" s="2322"/>
      <c r="V439" s="2322"/>
      <c r="W439" s="2322"/>
      <c r="X439" s="2322"/>
      <c r="Y439" s="2322"/>
      <c r="Z439" s="2322"/>
      <c r="AA439" s="2322"/>
      <c r="AB439" s="2322"/>
      <c r="AC439" s="2322"/>
      <c r="AD439" s="2322"/>
      <c r="AE439" s="2322"/>
      <c r="AF439" s="2322"/>
      <c r="AG439" s="2322"/>
      <c r="AH439" s="2322"/>
      <c r="AI439" s="2322"/>
      <c r="AJ439" s="2322"/>
      <c r="AK439" s="2322"/>
      <c r="AL439" s="2322"/>
      <c r="AM439" s="2322"/>
      <c r="AN439" s="2322"/>
      <c r="AO439" s="2322"/>
      <c r="AP439" s="2322"/>
      <c r="AQ439" s="2322"/>
      <c r="AR439" s="2322"/>
      <c r="AS439" s="2322"/>
      <c r="AT439" s="2322"/>
      <c r="AU439" s="2322"/>
      <c r="AV439" s="2322"/>
      <c r="AW439" s="2322"/>
      <c r="AX439" s="2322"/>
      <c r="AY439" s="2322"/>
      <c r="AZ439" s="2322"/>
      <c r="BA439" s="2322"/>
      <c r="BB439" s="2322"/>
      <c r="BC439" s="2322"/>
      <c r="BD439" s="2322"/>
      <c r="BE439" s="2322"/>
      <c r="BF439" s="2322"/>
      <c r="BG439" s="2322"/>
      <c r="BH439" s="2322"/>
      <c r="BI439" s="2322"/>
      <c r="BJ439" s="2322"/>
      <c r="BK439" s="2322"/>
      <c r="BL439" s="2322"/>
      <c r="BM439" s="2322"/>
      <c r="BN439" s="2322"/>
      <c r="BO439" s="2322"/>
      <c r="BP439" s="2322"/>
      <c r="BQ439" s="2322"/>
      <c r="BR439" s="2322"/>
      <c r="BS439" s="2322"/>
      <c r="BT439" s="2322"/>
      <c r="BU439" s="2322"/>
      <c r="BV439" s="2322"/>
      <c r="BW439" s="2322"/>
      <c r="BX439" s="2322"/>
      <c r="BY439" s="2322"/>
      <c r="BZ439" s="2322"/>
      <c r="CA439" s="2322"/>
      <c r="CB439" s="2322"/>
      <c r="CC439" s="2322"/>
      <c r="CD439" s="2322"/>
      <c r="CE439" s="2322"/>
      <c r="CF439" s="2322"/>
      <c r="CG439" s="2322"/>
      <c r="CH439" s="2322"/>
      <c r="CI439" s="2322"/>
      <c r="CJ439" s="2322"/>
      <c r="CK439" s="2322"/>
      <c r="CL439" s="2322"/>
      <c r="CM439" s="2322"/>
      <c r="CN439" s="2322"/>
      <c r="CO439" s="2322"/>
      <c r="CP439" s="2322"/>
      <c r="CQ439" s="2322"/>
      <c r="CR439" s="2322"/>
      <c r="CS439" s="2322"/>
      <c r="CT439" s="2322"/>
      <c r="CU439" s="2322"/>
      <c r="CV439" s="2322"/>
    </row>
    <row r="440" spans="1:100" ht="15.75" customHeight="1">
      <c r="A440" s="2328"/>
      <c r="B440" s="2322"/>
      <c r="C440" s="2322"/>
      <c r="D440" s="2322"/>
      <c r="E440" s="2322"/>
      <c r="F440" s="2322"/>
      <c r="G440" s="2322"/>
      <c r="H440" s="2322"/>
      <c r="I440" s="2322"/>
      <c r="J440" s="2322"/>
      <c r="K440" s="2322"/>
      <c r="L440" s="2322"/>
      <c r="M440" s="2322"/>
      <c r="N440" s="2322"/>
      <c r="O440" s="2322"/>
      <c r="P440" s="2322"/>
      <c r="Q440" s="2322"/>
      <c r="R440" s="2322"/>
      <c r="S440" s="2322"/>
      <c r="T440" s="2322"/>
      <c r="U440" s="2322"/>
      <c r="V440" s="2322"/>
      <c r="W440" s="2322"/>
      <c r="X440" s="2322"/>
      <c r="Y440" s="2322"/>
      <c r="Z440" s="2322"/>
      <c r="AA440" s="2322"/>
      <c r="AB440" s="2322"/>
      <c r="AC440" s="2322"/>
      <c r="AD440" s="2322"/>
      <c r="AE440" s="2322"/>
      <c r="AF440" s="2322"/>
      <c r="AG440" s="2322"/>
      <c r="AH440" s="2322"/>
      <c r="AI440" s="2322"/>
      <c r="AJ440" s="2322"/>
      <c r="AK440" s="2322"/>
      <c r="AL440" s="2322"/>
      <c r="AM440" s="2322"/>
      <c r="AN440" s="2322"/>
      <c r="AO440" s="2322"/>
      <c r="AP440" s="2322"/>
      <c r="AQ440" s="2322"/>
      <c r="AR440" s="2322"/>
      <c r="AS440" s="2322"/>
      <c r="AT440" s="2322"/>
      <c r="AU440" s="2322"/>
      <c r="AV440" s="2322"/>
      <c r="AW440" s="2322"/>
      <c r="AX440" s="2322"/>
      <c r="AY440" s="2322"/>
      <c r="AZ440" s="2322"/>
      <c r="BA440" s="2322"/>
      <c r="BB440" s="2322"/>
      <c r="BC440" s="2322"/>
      <c r="BD440" s="2322"/>
      <c r="BE440" s="2322"/>
      <c r="BF440" s="2322"/>
      <c r="BG440" s="2322"/>
      <c r="BH440" s="2322"/>
      <c r="BI440" s="2322"/>
      <c r="BJ440" s="2322"/>
      <c r="BK440" s="2322"/>
      <c r="BL440" s="2322"/>
      <c r="BM440" s="2322"/>
      <c r="BN440" s="2322"/>
      <c r="BO440" s="2322"/>
      <c r="BP440" s="2322"/>
      <c r="BQ440" s="2322"/>
      <c r="BR440" s="2322"/>
      <c r="BS440" s="2322"/>
      <c r="BT440" s="2322"/>
      <c r="BU440" s="2322"/>
      <c r="BV440" s="2322"/>
      <c r="BW440" s="2322"/>
      <c r="BX440" s="2322"/>
      <c r="BY440" s="2322"/>
      <c r="BZ440" s="2322"/>
      <c r="CA440" s="2322"/>
      <c r="CB440" s="2322"/>
      <c r="CC440" s="2322"/>
      <c r="CD440" s="2322"/>
      <c r="CE440" s="2322"/>
      <c r="CF440" s="2322"/>
      <c r="CG440" s="2322"/>
      <c r="CH440" s="2322"/>
      <c r="CI440" s="2322"/>
      <c r="CJ440" s="2322"/>
      <c r="CK440" s="2322"/>
      <c r="CL440" s="2322"/>
      <c r="CM440" s="2322"/>
      <c r="CN440" s="2322"/>
      <c r="CO440" s="2322"/>
      <c r="CP440" s="2322"/>
      <c r="CQ440" s="2322"/>
      <c r="CR440" s="2322"/>
      <c r="CS440" s="2322"/>
      <c r="CT440" s="2322"/>
      <c r="CU440" s="2322"/>
      <c r="CV440" s="2322"/>
    </row>
    <row r="441" spans="1:100" ht="15.75" customHeight="1">
      <c r="A441" s="2328"/>
      <c r="B441" s="2322"/>
      <c r="C441" s="2322"/>
      <c r="D441" s="2322"/>
      <c r="E441" s="2322"/>
      <c r="F441" s="2322"/>
      <c r="G441" s="2322"/>
      <c r="H441" s="2322"/>
      <c r="I441" s="2322"/>
      <c r="J441" s="2322"/>
      <c r="K441" s="2322"/>
      <c r="L441" s="2322"/>
      <c r="M441" s="2322"/>
      <c r="N441" s="2322"/>
      <c r="O441" s="2322"/>
      <c r="P441" s="2322"/>
      <c r="Q441" s="2322"/>
      <c r="R441" s="2322"/>
      <c r="S441" s="2322"/>
      <c r="T441" s="2322"/>
      <c r="U441" s="2322"/>
      <c r="V441" s="2322"/>
      <c r="W441" s="2322"/>
      <c r="X441" s="2322"/>
      <c r="Y441" s="2322"/>
      <c r="Z441" s="2322"/>
      <c r="AA441" s="2322"/>
      <c r="AB441" s="2322"/>
      <c r="AC441" s="2322"/>
      <c r="AD441" s="2322"/>
      <c r="AE441" s="2322"/>
      <c r="AF441" s="2322"/>
      <c r="AG441" s="2322"/>
      <c r="AH441" s="2322"/>
      <c r="AI441" s="2322"/>
      <c r="AJ441" s="2322"/>
      <c r="AK441" s="2322"/>
      <c r="AL441" s="2322"/>
      <c r="AM441" s="2322"/>
      <c r="AN441" s="2322"/>
      <c r="AO441" s="2322"/>
      <c r="AP441" s="2322"/>
      <c r="AQ441" s="2322"/>
      <c r="AR441" s="2322"/>
      <c r="AS441" s="2322"/>
      <c r="AT441" s="2322"/>
      <c r="AU441" s="2322"/>
      <c r="AV441" s="2322"/>
      <c r="AW441" s="2322"/>
      <c r="AX441" s="2322"/>
      <c r="AY441" s="2322"/>
      <c r="AZ441" s="2322"/>
      <c r="BA441" s="2322"/>
      <c r="BB441" s="2322"/>
      <c r="BC441" s="2322"/>
      <c r="BD441" s="2322"/>
      <c r="BE441" s="2322"/>
      <c r="BF441" s="2322"/>
      <c r="BG441" s="2322"/>
      <c r="BH441" s="2322"/>
      <c r="BI441" s="2322"/>
      <c r="BJ441" s="2322"/>
      <c r="BK441" s="2322"/>
      <c r="BL441" s="2322"/>
      <c r="BM441" s="2322"/>
      <c r="BN441" s="2322"/>
      <c r="BO441" s="2322"/>
      <c r="BP441" s="2322"/>
      <c r="BQ441" s="2322"/>
      <c r="BR441" s="2322"/>
      <c r="BS441" s="2322"/>
      <c r="BT441" s="2322"/>
      <c r="BU441" s="2322"/>
      <c r="BV441" s="2322"/>
      <c r="BW441" s="2322"/>
      <c r="BX441" s="2322"/>
      <c r="BY441" s="2322"/>
      <c r="BZ441" s="2322"/>
      <c r="CA441" s="2322"/>
      <c r="CB441" s="2322"/>
      <c r="CC441" s="2322"/>
      <c r="CD441" s="2322"/>
      <c r="CE441" s="2322"/>
      <c r="CF441" s="2322"/>
      <c r="CG441" s="2322"/>
      <c r="CH441" s="2322"/>
      <c r="CI441" s="2322"/>
      <c r="CJ441" s="2322"/>
      <c r="CK441" s="2322"/>
      <c r="CL441" s="2322"/>
      <c r="CM441" s="2322"/>
      <c r="CN441" s="2322"/>
      <c r="CO441" s="2322"/>
      <c r="CP441" s="2322"/>
      <c r="CQ441" s="2322"/>
      <c r="CR441" s="2322"/>
      <c r="CS441" s="2322"/>
      <c r="CT441" s="2322"/>
      <c r="CU441" s="2322"/>
      <c r="CV441" s="2322"/>
    </row>
    <row r="442" spans="1:100" ht="15.75" customHeight="1">
      <c r="A442" s="2328"/>
      <c r="B442" s="2322"/>
      <c r="C442" s="2322"/>
      <c r="D442" s="2322"/>
      <c r="E442" s="2322"/>
      <c r="F442" s="2322"/>
      <c r="G442" s="2322"/>
      <c r="H442" s="2322"/>
      <c r="I442" s="2322"/>
      <c r="J442" s="2322"/>
      <c r="K442" s="2322"/>
      <c r="L442" s="2322"/>
      <c r="M442" s="2322"/>
      <c r="N442" s="2322"/>
      <c r="O442" s="2322"/>
      <c r="P442" s="2322"/>
      <c r="Q442" s="2322"/>
      <c r="R442" s="2322"/>
      <c r="S442" s="2322"/>
      <c r="T442" s="2322"/>
      <c r="U442" s="2322"/>
      <c r="V442" s="2322"/>
      <c r="W442" s="2322"/>
      <c r="X442" s="2322"/>
      <c r="Y442" s="2322"/>
      <c r="Z442" s="2322"/>
      <c r="AA442" s="2322"/>
      <c r="AB442" s="2322"/>
      <c r="AC442" s="2322"/>
      <c r="AD442" s="2322"/>
      <c r="AE442" s="2322"/>
      <c r="AF442" s="2322"/>
      <c r="AG442" s="2322"/>
      <c r="AH442" s="2322"/>
      <c r="AI442" s="2322"/>
      <c r="AJ442" s="2322"/>
      <c r="AK442" s="2322"/>
      <c r="AL442" s="2322"/>
      <c r="AM442" s="2322"/>
      <c r="AN442" s="2322"/>
      <c r="AO442" s="2322"/>
      <c r="AP442" s="2322"/>
      <c r="AQ442" s="2322"/>
      <c r="AR442" s="2322"/>
      <c r="AS442" s="2322"/>
      <c r="AT442" s="2322"/>
      <c r="AU442" s="2322"/>
      <c r="AV442" s="2322"/>
      <c r="AW442" s="2322"/>
      <c r="AX442" s="2322"/>
      <c r="AY442" s="2322"/>
      <c r="AZ442" s="2322"/>
      <c r="BA442" s="2322"/>
      <c r="BB442" s="2322"/>
      <c r="BC442" s="2322"/>
      <c r="BD442" s="2322"/>
      <c r="BE442" s="2322"/>
      <c r="BF442" s="2322"/>
      <c r="BG442" s="2322"/>
      <c r="BH442" s="2322"/>
      <c r="BI442" s="2322"/>
      <c r="BJ442" s="2322"/>
      <c r="BK442" s="2322"/>
      <c r="BL442" s="2322"/>
      <c r="BM442" s="2322"/>
      <c r="BN442" s="2322"/>
      <c r="BO442" s="2322"/>
      <c r="BP442" s="2322"/>
      <c r="BQ442" s="2322"/>
      <c r="BR442" s="2322"/>
      <c r="BS442" s="2322"/>
      <c r="BT442" s="2322"/>
      <c r="BU442" s="2322"/>
      <c r="BV442" s="2322"/>
      <c r="BW442" s="2322"/>
      <c r="BX442" s="2322"/>
      <c r="BY442" s="2322"/>
      <c r="BZ442" s="2322"/>
      <c r="CA442" s="2322"/>
      <c r="CB442" s="2322"/>
      <c r="CC442" s="2322"/>
      <c r="CD442" s="2322"/>
      <c r="CE442" s="2322"/>
      <c r="CF442" s="2322"/>
      <c r="CG442" s="2322"/>
      <c r="CH442" s="2322"/>
      <c r="CI442" s="2322"/>
      <c r="CJ442" s="2322"/>
      <c r="CK442" s="2322"/>
      <c r="CL442" s="2322"/>
      <c r="CM442" s="2322"/>
      <c r="CN442" s="2322"/>
      <c r="CO442" s="2322"/>
      <c r="CP442" s="2322"/>
      <c r="CQ442" s="2322"/>
      <c r="CR442" s="2322"/>
      <c r="CS442" s="2322"/>
      <c r="CT442" s="2322"/>
      <c r="CU442" s="2322"/>
      <c r="CV442" s="2322"/>
    </row>
    <row r="443" spans="1:100" ht="15.75" customHeight="1">
      <c r="A443" s="2328"/>
      <c r="B443" s="2322"/>
      <c r="C443" s="2322"/>
      <c r="D443" s="2322"/>
      <c r="E443" s="2322"/>
      <c r="F443" s="2322"/>
      <c r="G443" s="2322"/>
      <c r="H443" s="2322"/>
      <c r="I443" s="2322"/>
      <c r="J443" s="2322"/>
      <c r="K443" s="2322"/>
      <c r="L443" s="2322"/>
      <c r="M443" s="2322"/>
      <c r="N443" s="2322"/>
      <c r="O443" s="2322"/>
      <c r="P443" s="2322"/>
      <c r="Q443" s="2322"/>
      <c r="R443" s="2322"/>
      <c r="S443" s="2322"/>
      <c r="T443" s="2322"/>
      <c r="U443" s="2322"/>
      <c r="V443" s="2322"/>
      <c r="W443" s="2322"/>
      <c r="X443" s="2322"/>
      <c r="Y443" s="2322"/>
      <c r="Z443" s="2322"/>
      <c r="AA443" s="2322"/>
      <c r="AB443" s="2322"/>
      <c r="AC443" s="2322"/>
      <c r="AD443" s="2322"/>
      <c r="AE443" s="2322"/>
      <c r="AF443" s="2322"/>
      <c r="AG443" s="2322"/>
      <c r="AH443" s="2322"/>
      <c r="AI443" s="2322"/>
      <c r="AJ443" s="2322"/>
      <c r="AK443" s="2322"/>
      <c r="AL443" s="2322"/>
      <c r="AM443" s="2322"/>
      <c r="AN443" s="2322"/>
      <c r="AO443" s="2322"/>
      <c r="AP443" s="2322"/>
      <c r="AQ443" s="2322"/>
      <c r="AR443" s="2322"/>
      <c r="AS443" s="2322"/>
      <c r="AT443" s="2322"/>
      <c r="AU443" s="2322"/>
      <c r="AV443" s="2322"/>
      <c r="AW443" s="2322"/>
      <c r="AX443" s="2322"/>
      <c r="AY443" s="2322"/>
      <c r="AZ443" s="2322"/>
      <c r="BA443" s="2322"/>
      <c r="BB443" s="2322"/>
      <c r="BC443" s="2322"/>
      <c r="BD443" s="2322"/>
      <c r="BE443" s="2322"/>
      <c r="BF443" s="2322"/>
      <c r="BG443" s="2322"/>
      <c r="BH443" s="2322"/>
      <c r="BI443" s="2322"/>
      <c r="BJ443" s="2322"/>
      <c r="BK443" s="2322"/>
      <c r="BL443" s="2322"/>
      <c r="BM443" s="2322"/>
      <c r="BN443" s="2322"/>
      <c r="BO443" s="2322"/>
      <c r="BP443" s="2322"/>
      <c r="BQ443" s="2322"/>
      <c r="BR443" s="2322"/>
      <c r="BS443" s="2322"/>
      <c r="BT443" s="2322"/>
      <c r="BU443" s="2322"/>
      <c r="BV443" s="2322"/>
      <c r="BW443" s="2322"/>
      <c r="BX443" s="2322"/>
      <c r="BY443" s="2322"/>
      <c r="BZ443" s="2322"/>
      <c r="CA443" s="2322"/>
      <c r="CB443" s="2322"/>
      <c r="CC443" s="2322"/>
      <c r="CD443" s="2322"/>
      <c r="CE443" s="2322"/>
      <c r="CF443" s="2322"/>
      <c r="CG443" s="2322"/>
      <c r="CH443" s="2322"/>
      <c r="CI443" s="2322"/>
      <c r="CJ443" s="2322"/>
      <c r="CK443" s="2322"/>
      <c r="CL443" s="2322"/>
      <c r="CM443" s="2322"/>
      <c r="CN443" s="2322"/>
      <c r="CO443" s="2322"/>
      <c r="CP443" s="2322"/>
      <c r="CQ443" s="2322"/>
      <c r="CR443" s="2322"/>
      <c r="CS443" s="2322"/>
      <c r="CT443" s="2322"/>
      <c r="CU443" s="2322"/>
      <c r="CV443" s="2322"/>
    </row>
    <row r="444" spans="1:100" ht="15.75" customHeight="1">
      <c r="A444" s="2328"/>
      <c r="B444" s="2322"/>
      <c r="C444" s="2322"/>
      <c r="D444" s="2322"/>
      <c r="E444" s="2322"/>
      <c r="F444" s="2322"/>
      <c r="G444" s="2322"/>
      <c r="H444" s="2322"/>
      <c r="I444" s="2322"/>
      <c r="J444" s="2322"/>
      <c r="K444" s="2322"/>
      <c r="L444" s="2322"/>
      <c r="M444" s="2322"/>
      <c r="N444" s="2322"/>
      <c r="O444" s="2322"/>
      <c r="P444" s="2322"/>
      <c r="Q444" s="2322"/>
      <c r="R444" s="2322"/>
      <c r="S444" s="2322"/>
      <c r="T444" s="2322"/>
      <c r="U444" s="2322"/>
      <c r="V444" s="2322"/>
      <c r="W444" s="2322"/>
      <c r="X444" s="2322"/>
      <c r="Y444" s="2322"/>
      <c r="Z444" s="2322"/>
      <c r="AA444" s="2322"/>
      <c r="AB444" s="2322"/>
      <c r="AC444" s="2322"/>
      <c r="AD444" s="2322"/>
      <c r="AE444" s="2322"/>
      <c r="AF444" s="2322"/>
      <c r="AG444" s="2322"/>
      <c r="AH444" s="2322"/>
      <c r="AI444" s="2322"/>
      <c r="AJ444" s="2322"/>
      <c r="AK444" s="2322"/>
      <c r="AL444" s="2322"/>
      <c r="AM444" s="2322"/>
      <c r="AN444" s="2322"/>
      <c r="AO444" s="2322"/>
      <c r="AP444" s="2322"/>
      <c r="AQ444" s="2322"/>
      <c r="AR444" s="2322"/>
      <c r="AS444" s="2322"/>
      <c r="AT444" s="2322"/>
      <c r="AU444" s="2322"/>
      <c r="AV444" s="2322"/>
      <c r="AW444" s="2322"/>
      <c r="AX444" s="2322"/>
      <c r="AY444" s="2322"/>
      <c r="AZ444" s="2322"/>
      <c r="BA444" s="2322"/>
      <c r="BB444" s="2322"/>
      <c r="BC444" s="2322"/>
      <c r="BD444" s="2322"/>
      <c r="BE444" s="2322"/>
      <c r="BF444" s="2322"/>
      <c r="BG444" s="2322"/>
      <c r="BH444" s="2322"/>
      <c r="BI444" s="2322"/>
      <c r="BJ444" s="2322"/>
      <c r="BK444" s="2322"/>
      <c r="BL444" s="2322"/>
      <c r="BM444" s="2322"/>
      <c r="BN444" s="2322"/>
      <c r="BO444" s="2322"/>
      <c r="BP444" s="2322"/>
      <c r="BQ444" s="2322"/>
      <c r="BR444" s="2322"/>
      <c r="BS444" s="2322"/>
      <c r="BT444" s="2322"/>
      <c r="BU444" s="2322"/>
      <c r="BV444" s="2322"/>
      <c r="BW444" s="2322"/>
      <c r="BX444" s="2322"/>
      <c r="BY444" s="2322"/>
      <c r="BZ444" s="2322"/>
      <c r="CA444" s="2322"/>
      <c r="CB444" s="2322"/>
      <c r="CC444" s="2322"/>
      <c r="CD444" s="2322"/>
      <c r="CE444" s="2322"/>
      <c r="CF444" s="2322"/>
      <c r="CG444" s="2322"/>
      <c r="CH444" s="2322"/>
      <c r="CI444" s="2322"/>
      <c r="CJ444" s="2322"/>
      <c r="CK444" s="2322"/>
      <c r="CL444" s="2322"/>
      <c r="CM444" s="2322"/>
      <c r="CN444" s="2322"/>
      <c r="CO444" s="2322"/>
      <c r="CP444" s="2322"/>
      <c r="CQ444" s="2322"/>
      <c r="CR444" s="2322"/>
      <c r="CS444" s="2322"/>
      <c r="CT444" s="2322"/>
      <c r="CU444" s="2322"/>
      <c r="CV444" s="2322"/>
    </row>
    <row r="445" spans="1:100" ht="15.75" customHeight="1">
      <c r="A445" s="2328"/>
      <c r="B445" s="2322"/>
      <c r="C445" s="2322"/>
      <c r="D445" s="2322"/>
      <c r="E445" s="2322"/>
      <c r="F445" s="2322"/>
      <c r="G445" s="2322"/>
      <c r="H445" s="2322"/>
      <c r="I445" s="2322"/>
      <c r="J445" s="2322"/>
      <c r="K445" s="2322"/>
      <c r="L445" s="2322"/>
      <c r="M445" s="2322"/>
      <c r="N445" s="2322"/>
      <c r="O445" s="2322"/>
      <c r="P445" s="2322"/>
      <c r="Q445" s="2322"/>
      <c r="R445" s="2322"/>
      <c r="S445" s="2322"/>
      <c r="T445" s="2322"/>
      <c r="U445" s="2322"/>
      <c r="V445" s="2322"/>
      <c r="W445" s="2322"/>
      <c r="X445" s="2322"/>
      <c r="Y445" s="2322"/>
      <c r="Z445" s="2322"/>
      <c r="AA445" s="2322"/>
      <c r="AB445" s="2322"/>
      <c r="AC445" s="2322"/>
      <c r="AD445" s="2322"/>
      <c r="AE445" s="2322"/>
      <c r="AF445" s="2322"/>
      <c r="AG445" s="2322"/>
      <c r="AH445" s="2322"/>
      <c r="AI445" s="2322"/>
      <c r="AJ445" s="2322"/>
      <c r="AK445" s="2322"/>
      <c r="AL445" s="2322"/>
      <c r="AM445" s="2322"/>
      <c r="AN445" s="2322"/>
      <c r="AO445" s="2322"/>
      <c r="AP445" s="2322"/>
      <c r="AQ445" s="2322"/>
      <c r="AR445" s="2322"/>
      <c r="AS445" s="2322"/>
      <c r="AT445" s="2322"/>
      <c r="AU445" s="2322"/>
      <c r="AV445" s="2322"/>
      <c r="AW445" s="2322"/>
      <c r="AX445" s="2322"/>
      <c r="AY445" s="2322"/>
      <c r="AZ445" s="2322"/>
      <c r="BA445" s="2322"/>
      <c r="BB445" s="2322"/>
      <c r="BC445" s="2322"/>
      <c r="BD445" s="2322"/>
      <c r="BE445" s="2322"/>
      <c r="BF445" s="2322"/>
      <c r="BG445" s="2322"/>
      <c r="BH445" s="2322"/>
      <c r="BI445" s="2322"/>
      <c r="BJ445" s="2322"/>
      <c r="BK445" s="2322"/>
      <c r="BL445" s="2322"/>
      <c r="BM445" s="2322"/>
      <c r="BN445" s="2322"/>
      <c r="BO445" s="2322"/>
      <c r="BP445" s="2322"/>
      <c r="BQ445" s="2322"/>
      <c r="BR445" s="2322"/>
      <c r="BS445" s="2322"/>
      <c r="BT445" s="2322"/>
      <c r="BU445" s="2322"/>
      <c r="BV445" s="2322"/>
      <c r="BW445" s="2322"/>
      <c r="BX445" s="2322"/>
      <c r="BY445" s="2322"/>
      <c r="BZ445" s="2322"/>
      <c r="CA445" s="2322"/>
      <c r="CB445" s="2322"/>
      <c r="CC445" s="2322"/>
      <c r="CD445" s="2322"/>
      <c r="CE445" s="2322"/>
      <c r="CF445" s="2322"/>
      <c r="CG445" s="2322"/>
      <c r="CH445" s="2322"/>
      <c r="CI445" s="2322"/>
      <c r="CJ445" s="2322"/>
      <c r="CK445" s="2322"/>
      <c r="CL445" s="2322"/>
      <c r="CM445" s="2322"/>
      <c r="CN445" s="2322"/>
      <c r="CO445" s="2322"/>
      <c r="CP445" s="2322"/>
      <c r="CQ445" s="2322"/>
      <c r="CR445" s="2322"/>
      <c r="CS445" s="2322"/>
      <c r="CT445" s="2322"/>
      <c r="CU445" s="2322"/>
      <c r="CV445" s="2322"/>
    </row>
    <row r="446" spans="1:100" ht="15.75" customHeight="1">
      <c r="A446" s="2328"/>
      <c r="B446" s="2322"/>
      <c r="C446" s="2322"/>
      <c r="D446" s="2322"/>
      <c r="E446" s="2322"/>
      <c r="F446" s="2322"/>
      <c r="G446" s="2322"/>
      <c r="H446" s="2322"/>
      <c r="I446" s="2322"/>
      <c r="J446" s="2322"/>
      <c r="K446" s="2322"/>
      <c r="L446" s="2322"/>
      <c r="M446" s="2322"/>
      <c r="N446" s="2322"/>
      <c r="O446" s="2322"/>
      <c r="P446" s="2322"/>
      <c r="Q446" s="2322"/>
      <c r="R446" s="2322"/>
      <c r="S446" s="2322"/>
      <c r="T446" s="2322"/>
      <c r="U446" s="2322"/>
      <c r="V446" s="2322"/>
      <c r="W446" s="2322"/>
      <c r="X446" s="2322"/>
      <c r="Y446" s="2322"/>
      <c r="Z446" s="2322"/>
      <c r="AA446" s="2322"/>
      <c r="AB446" s="2322"/>
      <c r="AC446" s="2322"/>
      <c r="AD446" s="2322"/>
      <c r="AE446" s="2322"/>
      <c r="AF446" s="2322"/>
      <c r="AG446" s="2322"/>
      <c r="AH446" s="2322"/>
      <c r="AI446" s="2322"/>
      <c r="AJ446" s="2322"/>
      <c r="AK446" s="2322"/>
      <c r="AL446" s="2322"/>
      <c r="AM446" s="2322"/>
      <c r="AN446" s="2322"/>
      <c r="AO446" s="2322"/>
      <c r="AP446" s="2322"/>
      <c r="AQ446" s="2322"/>
      <c r="AR446" s="2322"/>
      <c r="AS446" s="2322"/>
      <c r="AT446" s="2322"/>
      <c r="AU446" s="2322"/>
      <c r="AV446" s="2322"/>
      <c r="AW446" s="2322"/>
      <c r="AX446" s="2322"/>
      <c r="AY446" s="2322"/>
      <c r="AZ446" s="2322"/>
      <c r="BA446" s="2322"/>
      <c r="BB446" s="2322"/>
      <c r="BC446" s="2322"/>
      <c r="BD446" s="2322"/>
      <c r="BE446" s="2322"/>
      <c r="BF446" s="2322"/>
      <c r="BG446" s="2322"/>
      <c r="BH446" s="2322"/>
      <c r="BI446" s="2322"/>
      <c r="BJ446" s="2322"/>
      <c r="BK446" s="2322"/>
      <c r="BL446" s="2322"/>
      <c r="BM446" s="2322"/>
      <c r="BN446" s="2322"/>
      <c r="BO446" s="2322"/>
      <c r="BP446" s="2322"/>
      <c r="BQ446" s="2322"/>
      <c r="BR446" s="2322"/>
      <c r="BS446" s="2322"/>
      <c r="BT446" s="2322"/>
      <c r="BU446" s="2322"/>
      <c r="BV446" s="2322"/>
      <c r="BW446" s="2322"/>
      <c r="BX446" s="2322"/>
      <c r="BY446" s="2322"/>
      <c r="BZ446" s="2322"/>
      <c r="CA446" s="2322"/>
      <c r="CB446" s="2322"/>
      <c r="CC446" s="2322"/>
      <c r="CD446" s="2322"/>
      <c r="CE446" s="2322"/>
      <c r="CF446" s="2322"/>
      <c r="CG446" s="2322"/>
      <c r="CH446" s="2322"/>
      <c r="CI446" s="2322"/>
      <c r="CJ446" s="2322"/>
      <c r="CK446" s="2322"/>
      <c r="CL446" s="2322"/>
      <c r="CM446" s="2322"/>
      <c r="CN446" s="2322"/>
      <c r="CO446" s="2322"/>
      <c r="CP446" s="2322"/>
      <c r="CQ446" s="2322"/>
      <c r="CR446" s="2322"/>
      <c r="CS446" s="2322"/>
      <c r="CT446" s="2322"/>
      <c r="CU446" s="2322"/>
      <c r="CV446" s="2322"/>
    </row>
    <row r="447" spans="1:100" ht="15.75" customHeight="1">
      <c r="A447" s="2328"/>
      <c r="B447" s="2322"/>
      <c r="C447" s="2322"/>
      <c r="D447" s="2322"/>
      <c r="E447" s="2322"/>
      <c r="F447" s="2322"/>
      <c r="G447" s="2322"/>
      <c r="H447" s="2322"/>
      <c r="I447" s="2322"/>
      <c r="J447" s="2322"/>
      <c r="K447" s="2322"/>
      <c r="L447" s="2322"/>
      <c r="M447" s="2322"/>
      <c r="N447" s="2322"/>
      <c r="O447" s="2322"/>
      <c r="P447" s="2322"/>
      <c r="Q447" s="2322"/>
      <c r="R447" s="2322"/>
      <c r="S447" s="2322"/>
      <c r="T447" s="2322"/>
      <c r="U447" s="2322"/>
      <c r="V447" s="2322"/>
      <c r="W447" s="2322"/>
      <c r="X447" s="2322"/>
      <c r="Y447" s="2322"/>
      <c r="Z447" s="2322"/>
      <c r="AA447" s="2322"/>
      <c r="AB447" s="2322"/>
      <c r="AC447" s="2322"/>
      <c r="AD447" s="2322"/>
      <c r="AE447" s="2322"/>
      <c r="AF447" s="2322"/>
      <c r="AG447" s="2322"/>
      <c r="AH447" s="2322"/>
      <c r="AI447" s="2322"/>
      <c r="AJ447" s="2322"/>
      <c r="AK447" s="2322"/>
      <c r="AL447" s="2322"/>
      <c r="AM447" s="2322"/>
      <c r="AN447" s="2322"/>
      <c r="AO447" s="2322"/>
      <c r="AP447" s="2322"/>
      <c r="AQ447" s="2322"/>
      <c r="AR447" s="2322"/>
      <c r="AS447" s="2322"/>
      <c r="AT447" s="2322"/>
      <c r="AU447" s="2322"/>
      <c r="AV447" s="2322"/>
      <c r="AW447" s="2322"/>
      <c r="AX447" s="2322"/>
      <c r="AY447" s="2322"/>
      <c r="AZ447" s="2322"/>
      <c r="BA447" s="2322"/>
      <c r="BB447" s="2322"/>
      <c r="BC447" s="2322"/>
      <c r="BD447" s="2322"/>
      <c r="BE447" s="2322"/>
      <c r="BF447" s="2322"/>
      <c r="BG447" s="2322"/>
      <c r="BH447" s="2322"/>
      <c r="BI447" s="2322"/>
      <c r="BJ447" s="2322"/>
      <c r="BK447" s="2322"/>
      <c r="BL447" s="2322"/>
      <c r="BM447" s="2322"/>
      <c r="BN447" s="2322"/>
      <c r="BO447" s="2322"/>
      <c r="BP447" s="2322"/>
      <c r="BQ447" s="2322"/>
      <c r="BR447" s="2322"/>
      <c r="BS447" s="2322"/>
      <c r="BT447" s="2322"/>
      <c r="BU447" s="2322"/>
      <c r="BV447" s="2322"/>
      <c r="BW447" s="2322"/>
      <c r="BX447" s="2322"/>
      <c r="BY447" s="2322"/>
      <c r="BZ447" s="2322"/>
      <c r="CA447" s="2322"/>
      <c r="CB447" s="2322"/>
      <c r="CC447" s="2322"/>
      <c r="CD447" s="2322"/>
      <c r="CE447" s="2322"/>
      <c r="CF447" s="2322"/>
      <c r="CG447" s="2322"/>
      <c r="CH447" s="2322"/>
      <c r="CI447" s="2322"/>
      <c r="CJ447" s="2322"/>
      <c r="CK447" s="2322"/>
      <c r="CL447" s="2322"/>
      <c r="CM447" s="2322"/>
      <c r="CN447" s="2322"/>
      <c r="CO447" s="2322"/>
      <c r="CP447" s="2322"/>
      <c r="CQ447" s="2322"/>
      <c r="CR447" s="2322"/>
      <c r="CS447" s="2322"/>
      <c r="CT447" s="2322"/>
      <c r="CU447" s="2322"/>
      <c r="CV447" s="2322"/>
    </row>
    <row r="448" spans="1:100" ht="15.75" customHeight="1">
      <c r="A448" s="2328"/>
      <c r="B448" s="2322"/>
      <c r="C448" s="2322"/>
      <c r="D448" s="2322"/>
      <c r="E448" s="2322"/>
      <c r="F448" s="2322"/>
      <c r="G448" s="2322"/>
      <c r="H448" s="2322"/>
      <c r="I448" s="2322"/>
      <c r="J448" s="2322"/>
      <c r="K448" s="2322"/>
      <c r="L448" s="2322"/>
      <c r="M448" s="2322"/>
      <c r="N448" s="2322"/>
      <c r="O448" s="2322"/>
      <c r="P448" s="2322"/>
      <c r="Q448" s="2322"/>
      <c r="R448" s="2322"/>
      <c r="S448" s="2322"/>
      <c r="T448" s="2322"/>
      <c r="U448" s="2322"/>
      <c r="V448" s="2322"/>
      <c r="W448" s="2322"/>
      <c r="X448" s="2322"/>
      <c r="Y448" s="2322"/>
      <c r="Z448" s="2322"/>
      <c r="AA448" s="2322"/>
      <c r="AB448" s="2322"/>
      <c r="AC448" s="2322"/>
      <c r="AD448" s="2322"/>
      <c r="AE448" s="2322"/>
      <c r="AF448" s="2322"/>
      <c r="AG448" s="2322"/>
      <c r="AH448" s="2322"/>
      <c r="AI448" s="2322"/>
      <c r="AJ448" s="2322"/>
      <c r="AK448" s="2322"/>
      <c r="AL448" s="2322"/>
      <c r="AM448" s="2322"/>
      <c r="AN448" s="2322"/>
      <c r="AO448" s="2322"/>
      <c r="AP448" s="2322"/>
      <c r="AQ448" s="2322"/>
      <c r="AR448" s="2322"/>
      <c r="AS448" s="2322"/>
      <c r="AT448" s="2322"/>
      <c r="AU448" s="2322"/>
      <c r="AV448" s="2322"/>
      <c r="AW448" s="2322"/>
      <c r="AX448" s="2322"/>
      <c r="AY448" s="2322"/>
      <c r="AZ448" s="2322"/>
      <c r="BA448" s="2322"/>
      <c r="BB448" s="2322"/>
      <c r="BC448" s="2322"/>
      <c r="BD448" s="2322"/>
      <c r="BE448" s="2322"/>
      <c r="BF448" s="2322"/>
      <c r="BG448" s="2322"/>
      <c r="BH448" s="2322"/>
      <c r="BI448" s="2322"/>
      <c r="BJ448" s="2322"/>
      <c r="BK448" s="2322"/>
      <c r="BL448" s="2322"/>
      <c r="BM448" s="2322"/>
      <c r="BN448" s="2322"/>
      <c r="BO448" s="2322"/>
      <c r="BP448" s="2322"/>
      <c r="BQ448" s="2322"/>
      <c r="BR448" s="2322"/>
      <c r="BS448" s="2322"/>
      <c r="BT448" s="2322"/>
      <c r="BU448" s="2322"/>
      <c r="BV448" s="2322"/>
      <c r="BW448" s="2322"/>
      <c r="BX448" s="2322"/>
      <c r="BY448" s="2322"/>
      <c r="BZ448" s="2322"/>
      <c r="CA448" s="2322"/>
      <c r="CB448" s="2322"/>
      <c r="CC448" s="2322"/>
      <c r="CD448" s="2322"/>
      <c r="CE448" s="2322"/>
      <c r="CF448" s="2322"/>
      <c r="CG448" s="2322"/>
      <c r="CH448" s="2322"/>
      <c r="CI448" s="2322"/>
      <c r="CJ448" s="2322"/>
      <c r="CK448" s="2322"/>
      <c r="CL448" s="2322"/>
      <c r="CM448" s="2322"/>
      <c r="CN448" s="2322"/>
      <c r="CO448" s="2322"/>
      <c r="CP448" s="2322"/>
      <c r="CQ448" s="2322"/>
      <c r="CR448" s="2322"/>
      <c r="CS448" s="2322"/>
      <c r="CT448" s="2322"/>
      <c r="CU448" s="2322"/>
      <c r="CV448" s="2322"/>
    </row>
    <row r="449" spans="1:100" ht="15.75" customHeight="1">
      <c r="A449" s="2328"/>
      <c r="B449" s="2322"/>
      <c r="C449" s="2322"/>
      <c r="D449" s="2322"/>
      <c r="E449" s="2322"/>
      <c r="F449" s="2322"/>
      <c r="G449" s="2322"/>
      <c r="H449" s="2322"/>
      <c r="I449" s="2322"/>
      <c r="J449" s="2322"/>
      <c r="K449" s="2322"/>
      <c r="L449" s="2322"/>
      <c r="M449" s="2322"/>
      <c r="N449" s="2322"/>
      <c r="O449" s="2322"/>
      <c r="P449" s="2322"/>
      <c r="Q449" s="2322"/>
      <c r="R449" s="2322"/>
      <c r="S449" s="2322"/>
      <c r="T449" s="2322"/>
      <c r="U449" s="2322"/>
      <c r="V449" s="2322"/>
      <c r="W449" s="2322"/>
      <c r="X449" s="2322"/>
      <c r="Y449" s="2322"/>
      <c r="Z449" s="2322"/>
      <c r="AA449" s="2322"/>
      <c r="AB449" s="2322"/>
      <c r="AC449" s="2322"/>
      <c r="AD449" s="2322"/>
      <c r="AE449" s="2322"/>
      <c r="AF449" s="2322"/>
      <c r="AG449" s="2322"/>
      <c r="AH449" s="2322"/>
      <c r="AI449" s="2322"/>
      <c r="AJ449" s="2322"/>
      <c r="AK449" s="2322"/>
      <c r="AL449" s="2322"/>
      <c r="AM449" s="2322"/>
      <c r="AN449" s="2322"/>
      <c r="AO449" s="2322"/>
      <c r="AP449" s="2322"/>
      <c r="AQ449" s="2322"/>
      <c r="AR449" s="2322"/>
      <c r="AS449" s="2322"/>
      <c r="AT449" s="2322"/>
      <c r="AU449" s="2322"/>
      <c r="AV449" s="2322"/>
      <c r="AW449" s="2322"/>
      <c r="AX449" s="2322"/>
      <c r="AY449" s="2322"/>
      <c r="AZ449" s="2322"/>
      <c r="BA449" s="2322"/>
      <c r="BB449" s="2322"/>
      <c r="BC449" s="2322"/>
      <c r="BD449" s="2322"/>
      <c r="BE449" s="2322"/>
      <c r="BF449" s="2322"/>
      <c r="BG449" s="2322"/>
      <c r="BH449" s="2322"/>
      <c r="BI449" s="2322"/>
      <c r="BJ449" s="2322"/>
      <c r="BK449" s="2322"/>
      <c r="BL449" s="2322"/>
      <c r="BM449" s="2322"/>
      <c r="BN449" s="2322"/>
      <c r="BO449" s="2322"/>
      <c r="BP449" s="2322"/>
      <c r="BQ449" s="2322"/>
      <c r="BR449" s="2322"/>
      <c r="BS449" s="2322"/>
      <c r="BT449" s="2322"/>
      <c r="BU449" s="2322"/>
      <c r="BV449" s="2322"/>
      <c r="BW449" s="2322"/>
      <c r="BX449" s="2322"/>
      <c r="BY449" s="2322"/>
      <c r="BZ449" s="2322"/>
      <c r="CA449" s="2322"/>
      <c r="CB449" s="2322"/>
      <c r="CC449" s="2322"/>
      <c r="CD449" s="2322"/>
      <c r="CE449" s="2322"/>
      <c r="CF449" s="2322"/>
      <c r="CG449" s="2322"/>
      <c r="CH449" s="2322"/>
      <c r="CI449" s="2322"/>
      <c r="CJ449" s="2322"/>
      <c r="CK449" s="2322"/>
      <c r="CL449" s="2322"/>
      <c r="CM449" s="2322"/>
      <c r="CN449" s="2322"/>
      <c r="CO449" s="2322"/>
      <c r="CP449" s="2322"/>
      <c r="CQ449" s="2322"/>
      <c r="CR449" s="2322"/>
      <c r="CS449" s="2322"/>
      <c r="CT449" s="2322"/>
      <c r="CU449" s="2322"/>
      <c r="CV449" s="2322"/>
    </row>
    <row r="450" spans="1:100" ht="15.75" customHeight="1">
      <c r="A450" s="2328"/>
      <c r="B450" s="2322"/>
      <c r="C450" s="2322"/>
      <c r="D450" s="2322"/>
      <c r="E450" s="2322"/>
      <c r="F450" s="2322"/>
      <c r="G450" s="2322"/>
      <c r="H450" s="2322"/>
      <c r="I450" s="2322"/>
      <c r="J450" s="2322"/>
      <c r="K450" s="2322"/>
      <c r="L450" s="2322"/>
      <c r="M450" s="2322"/>
      <c r="N450" s="2322"/>
      <c r="O450" s="2322"/>
      <c r="P450" s="2322"/>
      <c r="Q450" s="2322"/>
      <c r="R450" s="2322"/>
      <c r="S450" s="2322"/>
      <c r="T450" s="2322"/>
      <c r="U450" s="2322"/>
      <c r="V450" s="2322"/>
      <c r="W450" s="2322"/>
      <c r="X450" s="2322"/>
      <c r="Y450" s="2322"/>
      <c r="Z450" s="2322"/>
      <c r="AA450" s="2322"/>
      <c r="AB450" s="2322"/>
      <c r="AC450" s="2322"/>
      <c r="AD450" s="2322"/>
      <c r="AE450" s="2322"/>
      <c r="AF450" s="2322"/>
      <c r="AG450" s="2322"/>
      <c r="AH450" s="2322"/>
      <c r="AI450" s="2322"/>
      <c r="AJ450" s="2322"/>
      <c r="AK450" s="2322"/>
      <c r="AL450" s="2322"/>
      <c r="AM450" s="2322"/>
      <c r="AN450" s="2322"/>
      <c r="AO450" s="2322"/>
      <c r="AP450" s="2322"/>
      <c r="AQ450" s="2322"/>
      <c r="AR450" s="2322"/>
      <c r="AS450" s="2322"/>
      <c r="AT450" s="2322"/>
      <c r="AU450" s="2322"/>
      <c r="AV450" s="2322"/>
      <c r="AW450" s="2322"/>
      <c r="AX450" s="2322"/>
      <c r="AY450" s="2322"/>
      <c r="AZ450" s="2322"/>
      <c r="BA450" s="2322"/>
      <c r="BB450" s="2322"/>
      <c r="BC450" s="2322"/>
      <c r="BD450" s="2322"/>
      <c r="BE450" s="2322"/>
      <c r="BF450" s="2322"/>
      <c r="BG450" s="2322"/>
      <c r="BH450" s="2322"/>
      <c r="BI450" s="2322"/>
      <c r="BJ450" s="2322"/>
      <c r="BK450" s="2322"/>
      <c r="BL450" s="2322"/>
      <c r="BM450" s="2322"/>
      <c r="BN450" s="2322"/>
      <c r="BO450" s="2322"/>
      <c r="BP450" s="2322"/>
      <c r="BQ450" s="2322"/>
      <c r="BR450" s="2322"/>
      <c r="BS450" s="2322"/>
      <c r="BT450" s="2322"/>
      <c r="BU450" s="2322"/>
      <c r="BV450" s="2322"/>
      <c r="BW450" s="2322"/>
      <c r="BX450" s="2322"/>
      <c r="BY450" s="2322"/>
      <c r="BZ450" s="2322"/>
      <c r="CA450" s="2322"/>
      <c r="CB450" s="2322"/>
      <c r="CC450" s="2322"/>
      <c r="CD450" s="2322"/>
      <c r="CE450" s="2322"/>
      <c r="CF450" s="2322"/>
      <c r="CG450" s="2322"/>
      <c r="CH450" s="2322"/>
      <c r="CI450" s="2322"/>
      <c r="CJ450" s="2322"/>
      <c r="CK450" s="2322"/>
      <c r="CL450" s="2322"/>
      <c r="CM450" s="2322"/>
      <c r="CN450" s="2322"/>
      <c r="CO450" s="2322"/>
      <c r="CP450" s="2322"/>
      <c r="CQ450" s="2322"/>
      <c r="CR450" s="2322"/>
      <c r="CS450" s="2322"/>
      <c r="CT450" s="2322"/>
      <c r="CU450" s="2322"/>
      <c r="CV450" s="2322"/>
    </row>
    <row r="451" spans="1:100" ht="15.75" customHeight="1">
      <c r="A451" s="2328"/>
      <c r="B451" s="2322"/>
      <c r="C451" s="2322"/>
      <c r="D451" s="2322"/>
      <c r="E451" s="2322"/>
      <c r="F451" s="2322"/>
      <c r="G451" s="2322"/>
      <c r="H451" s="2322"/>
      <c r="I451" s="2322"/>
      <c r="J451" s="2322"/>
      <c r="K451" s="2322"/>
      <c r="L451" s="2322"/>
      <c r="M451" s="2322"/>
      <c r="N451" s="2322"/>
      <c r="O451" s="2322"/>
      <c r="P451" s="2322"/>
      <c r="Q451" s="2322"/>
      <c r="R451" s="2322"/>
      <c r="S451" s="2322"/>
      <c r="T451" s="2322"/>
      <c r="U451" s="2322"/>
      <c r="V451" s="2322"/>
      <c r="W451" s="2322"/>
      <c r="X451" s="2322"/>
      <c r="Y451" s="2322"/>
      <c r="Z451" s="2322"/>
      <c r="AA451" s="2322"/>
      <c r="AB451" s="2322"/>
      <c r="AC451" s="2322"/>
      <c r="AD451" s="2322"/>
      <c r="AE451" s="2322"/>
      <c r="AF451" s="2322"/>
      <c r="AG451" s="2322"/>
      <c r="AH451" s="2322"/>
      <c r="AI451" s="2322"/>
      <c r="AJ451" s="2322"/>
      <c r="AK451" s="2322"/>
      <c r="AL451" s="2322"/>
      <c r="AM451" s="2322"/>
      <c r="AN451" s="2322"/>
      <c r="AO451" s="2322"/>
      <c r="AP451" s="2322"/>
      <c r="AQ451" s="2322"/>
      <c r="AR451" s="2322"/>
      <c r="AS451" s="2322"/>
      <c r="AT451" s="2322"/>
      <c r="AU451" s="2322"/>
      <c r="AV451" s="2322"/>
      <c r="AW451" s="2322"/>
      <c r="AX451" s="2322"/>
      <c r="AY451" s="2322"/>
      <c r="AZ451" s="2322"/>
      <c r="BA451" s="2322"/>
      <c r="BB451" s="2322"/>
      <c r="BC451" s="2322"/>
      <c r="BD451" s="2322"/>
      <c r="BE451" s="2322"/>
      <c r="BF451" s="2322"/>
      <c r="BG451" s="2322"/>
      <c r="BH451" s="2322"/>
      <c r="BI451" s="2322"/>
      <c r="BJ451" s="2322"/>
      <c r="BK451" s="2322"/>
      <c r="BL451" s="2322"/>
      <c r="BM451" s="2322"/>
      <c r="BN451" s="2322"/>
      <c r="BO451" s="2322"/>
      <c r="BP451" s="2322"/>
      <c r="BQ451" s="2322"/>
      <c r="BR451" s="2322"/>
      <c r="BS451" s="2322"/>
      <c r="BT451" s="2322"/>
      <c r="BU451" s="2322"/>
      <c r="BV451" s="2322"/>
      <c r="BW451" s="2322"/>
      <c r="BX451" s="2322"/>
      <c r="BY451" s="2322"/>
      <c r="BZ451" s="2322"/>
      <c r="CA451" s="2322"/>
      <c r="CB451" s="2322"/>
      <c r="CC451" s="2322"/>
      <c r="CD451" s="2322"/>
      <c r="CE451" s="2322"/>
      <c r="CF451" s="2322"/>
      <c r="CG451" s="2322"/>
      <c r="CH451" s="2322"/>
      <c r="CI451" s="2322"/>
      <c r="CJ451" s="2322"/>
      <c r="CK451" s="2322"/>
      <c r="CL451" s="2322"/>
      <c r="CM451" s="2322"/>
      <c r="CN451" s="2322"/>
      <c r="CO451" s="2322"/>
      <c r="CP451" s="2322"/>
      <c r="CQ451" s="2322"/>
      <c r="CR451" s="2322"/>
      <c r="CS451" s="2322"/>
      <c r="CT451" s="2322"/>
      <c r="CU451" s="2322"/>
      <c r="CV451" s="2322"/>
    </row>
    <row r="452" spans="1:100" ht="15.75" customHeight="1">
      <c r="A452" s="2328"/>
      <c r="B452" s="2322"/>
      <c r="C452" s="2322"/>
      <c r="D452" s="2322"/>
      <c r="E452" s="2322"/>
      <c r="F452" s="2322"/>
      <c r="G452" s="2322"/>
      <c r="H452" s="2322"/>
      <c r="I452" s="2322"/>
      <c r="J452" s="2322"/>
      <c r="K452" s="2322"/>
      <c r="L452" s="2322"/>
      <c r="M452" s="2322"/>
      <c r="N452" s="2322"/>
      <c r="O452" s="2322"/>
      <c r="P452" s="2322"/>
      <c r="Q452" s="2322"/>
      <c r="R452" s="2322"/>
      <c r="S452" s="2322"/>
      <c r="T452" s="2322"/>
      <c r="U452" s="2322"/>
      <c r="V452" s="2322"/>
      <c r="W452" s="2322"/>
      <c r="X452" s="2322"/>
      <c r="Y452" s="2322"/>
      <c r="Z452" s="2322"/>
      <c r="AA452" s="2322"/>
      <c r="AB452" s="2322"/>
      <c r="AC452" s="2322"/>
      <c r="AD452" s="2322"/>
      <c r="AE452" s="2322"/>
      <c r="AF452" s="2322"/>
      <c r="AG452" s="2322"/>
      <c r="AH452" s="2322"/>
      <c r="AI452" s="2322"/>
      <c r="AJ452" s="2322"/>
      <c r="AK452" s="2322"/>
      <c r="AL452" s="2322"/>
      <c r="AM452" s="2322"/>
      <c r="AN452" s="2322"/>
      <c r="AO452" s="2322"/>
      <c r="AP452" s="2322"/>
      <c r="AQ452" s="2322"/>
      <c r="AR452" s="2322"/>
      <c r="AS452" s="2322"/>
      <c r="AT452" s="2322"/>
      <c r="AU452" s="2322"/>
      <c r="AV452" s="2322"/>
      <c r="AW452" s="2322"/>
      <c r="AX452" s="2322"/>
      <c r="AY452" s="2322"/>
      <c r="AZ452" s="2322"/>
      <c r="BA452" s="2322"/>
      <c r="BB452" s="2322"/>
      <c r="BC452" s="2322"/>
      <c r="BD452" s="2322"/>
      <c r="BE452" s="2322"/>
      <c r="BF452" s="2322"/>
      <c r="BG452" s="2322"/>
      <c r="BH452" s="2322"/>
      <c r="BI452" s="2322"/>
      <c r="BJ452" s="2322"/>
      <c r="BK452" s="2322"/>
      <c r="BL452" s="2322"/>
      <c r="BM452" s="2322"/>
      <c r="BN452" s="2322"/>
      <c r="BO452" s="2322"/>
      <c r="BP452" s="2322"/>
      <c r="BQ452" s="2322"/>
      <c r="BR452" s="2322"/>
      <c r="BS452" s="2322"/>
      <c r="BT452" s="2322"/>
      <c r="BU452" s="2322"/>
      <c r="BV452" s="2322"/>
      <c r="BW452" s="2322"/>
      <c r="BX452" s="2322"/>
      <c r="BY452" s="2322"/>
      <c r="BZ452" s="2322"/>
      <c r="CA452" s="2322"/>
      <c r="CB452" s="2322"/>
      <c r="CC452" s="2322"/>
      <c r="CD452" s="2322"/>
      <c r="CE452" s="2322"/>
      <c r="CF452" s="2322"/>
      <c r="CG452" s="2322"/>
      <c r="CH452" s="2322"/>
      <c r="CI452" s="2322"/>
      <c r="CJ452" s="2322"/>
      <c r="CK452" s="2322"/>
      <c r="CL452" s="2322"/>
      <c r="CM452" s="2322"/>
      <c r="CN452" s="2322"/>
      <c r="CO452" s="2322"/>
      <c r="CP452" s="2322"/>
      <c r="CQ452" s="2322"/>
      <c r="CR452" s="2322"/>
      <c r="CS452" s="2322"/>
      <c r="CT452" s="2322"/>
      <c r="CU452" s="2322"/>
      <c r="CV452" s="2322"/>
    </row>
    <row r="453" spans="1:100" ht="15.75" customHeight="1">
      <c r="A453" s="2328"/>
      <c r="B453" s="2322"/>
      <c r="C453" s="2322"/>
      <c r="D453" s="2322"/>
      <c r="E453" s="2322"/>
      <c r="F453" s="2322"/>
      <c r="G453" s="2322"/>
      <c r="H453" s="2322"/>
      <c r="I453" s="2322"/>
      <c r="J453" s="2322"/>
      <c r="K453" s="2322"/>
      <c r="L453" s="2322"/>
      <c r="M453" s="2322"/>
      <c r="N453" s="2322"/>
      <c r="O453" s="2322"/>
      <c r="P453" s="2322"/>
      <c r="Q453" s="2322"/>
      <c r="R453" s="2322"/>
      <c r="S453" s="2322"/>
      <c r="T453" s="2322"/>
      <c r="U453" s="2322"/>
      <c r="V453" s="2322"/>
      <c r="W453" s="2322"/>
      <c r="X453" s="2322"/>
      <c r="Y453" s="2322"/>
      <c r="Z453" s="2322"/>
      <c r="AA453" s="2322"/>
      <c r="AB453" s="2322"/>
      <c r="AC453" s="2322"/>
      <c r="AD453" s="2322"/>
      <c r="AE453" s="2322"/>
      <c r="AF453" s="2322"/>
      <c r="AG453" s="2322"/>
      <c r="AH453" s="2322"/>
      <c r="AI453" s="2322"/>
      <c r="AJ453" s="2322"/>
      <c r="AK453" s="2322"/>
      <c r="AL453" s="2322"/>
      <c r="AM453" s="2322"/>
      <c r="AN453" s="2322"/>
      <c r="AO453" s="2322"/>
      <c r="AP453" s="2322"/>
      <c r="AQ453" s="2322"/>
      <c r="AR453" s="2322"/>
      <c r="AS453" s="2322"/>
      <c r="AT453" s="2322"/>
      <c r="AU453" s="2322"/>
      <c r="AV453" s="2322"/>
      <c r="AW453" s="2322"/>
      <c r="AX453" s="2322"/>
      <c r="AY453" s="2322"/>
      <c r="AZ453" s="2322"/>
      <c r="BA453" s="2322"/>
      <c r="BB453" s="2322"/>
      <c r="BC453" s="2322"/>
      <c r="BD453" s="2322"/>
      <c r="BE453" s="2322"/>
      <c r="BF453" s="2322"/>
      <c r="BG453" s="2322"/>
      <c r="BH453" s="2322"/>
      <c r="BI453" s="2322"/>
      <c r="BJ453" s="2322"/>
      <c r="BK453" s="2322"/>
      <c r="BL453" s="2322"/>
      <c r="BM453" s="2322"/>
      <c r="BN453" s="2322"/>
      <c r="BO453" s="2322"/>
      <c r="BP453" s="2322"/>
      <c r="BQ453" s="2322"/>
      <c r="BR453" s="2322"/>
      <c r="BS453" s="2322"/>
      <c r="BT453" s="2322"/>
      <c r="BU453" s="2322"/>
      <c r="BV453" s="2322"/>
      <c r="BW453" s="2322"/>
      <c r="BX453" s="2322"/>
      <c r="BY453" s="2322"/>
      <c r="BZ453" s="2322"/>
      <c r="CA453" s="2322"/>
      <c r="CB453" s="2322"/>
      <c r="CC453" s="2322"/>
      <c r="CD453" s="2322"/>
      <c r="CE453" s="2322"/>
      <c r="CF453" s="2322"/>
      <c r="CG453" s="2322"/>
      <c r="CH453" s="2322"/>
      <c r="CI453" s="2322"/>
      <c r="CJ453" s="2322"/>
      <c r="CK453" s="2322"/>
      <c r="CL453" s="2322"/>
      <c r="CM453" s="2322"/>
      <c r="CN453" s="2322"/>
      <c r="CO453" s="2322"/>
      <c r="CP453" s="2322"/>
      <c r="CQ453" s="2322"/>
      <c r="CR453" s="2322"/>
      <c r="CS453" s="2322"/>
      <c r="CT453" s="2322"/>
      <c r="CU453" s="2322"/>
      <c r="CV453" s="2322"/>
    </row>
    <row r="454" spans="1:100" ht="15.75" customHeight="1">
      <c r="A454" s="2328"/>
      <c r="B454" s="2322"/>
      <c r="C454" s="2322"/>
      <c r="D454" s="2322"/>
      <c r="E454" s="2322"/>
      <c r="F454" s="2322"/>
      <c r="G454" s="2322"/>
      <c r="H454" s="2322"/>
      <c r="I454" s="2322"/>
      <c r="J454" s="2322"/>
      <c r="K454" s="2322"/>
      <c r="L454" s="2322"/>
      <c r="M454" s="2322"/>
      <c r="N454" s="2322"/>
      <c r="O454" s="2322"/>
      <c r="P454" s="2322"/>
      <c r="Q454" s="2322"/>
      <c r="R454" s="2322"/>
      <c r="S454" s="2322"/>
      <c r="T454" s="2322"/>
      <c r="U454" s="2322"/>
      <c r="V454" s="2322"/>
      <c r="W454" s="2322"/>
      <c r="X454" s="2322"/>
      <c r="Y454" s="2322"/>
      <c r="Z454" s="2322"/>
      <c r="AA454" s="2322"/>
      <c r="AB454" s="2322"/>
      <c r="AC454" s="2322"/>
      <c r="AD454" s="2322"/>
      <c r="AE454" s="2322"/>
      <c r="AF454" s="2322"/>
      <c r="AG454" s="2322"/>
      <c r="AH454" s="2322"/>
      <c r="AI454" s="2322"/>
      <c r="AJ454" s="2322"/>
      <c r="AK454" s="2322"/>
      <c r="AL454" s="2322"/>
      <c r="AM454" s="2322"/>
      <c r="AN454" s="2322"/>
      <c r="AO454" s="2322"/>
      <c r="AP454" s="2322"/>
      <c r="AQ454" s="2322"/>
      <c r="AR454" s="2322"/>
      <c r="AS454" s="2322"/>
      <c r="AT454" s="2322"/>
      <c r="AU454" s="2322"/>
      <c r="AV454" s="2322"/>
      <c r="AW454" s="2322"/>
      <c r="AX454" s="2322"/>
      <c r="AY454" s="2322"/>
      <c r="AZ454" s="2322"/>
      <c r="BA454" s="2322"/>
      <c r="BB454" s="2322"/>
      <c r="BC454" s="2322"/>
      <c r="BD454" s="2322"/>
      <c r="BE454" s="2322"/>
      <c r="BF454" s="2322"/>
      <c r="BG454" s="2322"/>
      <c r="BH454" s="2322"/>
      <c r="BI454" s="2322"/>
      <c r="BJ454" s="2322"/>
      <c r="BK454" s="2322"/>
      <c r="BL454" s="2322"/>
      <c r="BM454" s="2322"/>
      <c r="BN454" s="2322"/>
      <c r="BO454" s="2322"/>
      <c r="BP454" s="2322"/>
      <c r="BQ454" s="2322"/>
      <c r="BR454" s="2322"/>
      <c r="BS454" s="2322"/>
      <c r="BT454" s="2322"/>
      <c r="BU454" s="2322"/>
      <c r="BV454" s="2322"/>
      <c r="BW454" s="2322"/>
      <c r="BX454" s="2322"/>
      <c r="BY454" s="2322"/>
      <c r="BZ454" s="2322"/>
      <c r="CA454" s="2322"/>
      <c r="CB454" s="2322"/>
      <c r="CC454" s="2322"/>
      <c r="CD454" s="2322"/>
      <c r="CE454" s="2322"/>
      <c r="CF454" s="2322"/>
      <c r="CG454" s="2322"/>
      <c r="CH454" s="2322"/>
      <c r="CI454" s="2322"/>
      <c r="CJ454" s="2322"/>
      <c r="CK454" s="2322"/>
      <c r="CL454" s="2322"/>
      <c r="CM454" s="2322"/>
      <c r="CN454" s="2322"/>
      <c r="CO454" s="2322"/>
      <c r="CP454" s="2322"/>
      <c r="CQ454" s="2322"/>
      <c r="CR454" s="2322"/>
      <c r="CS454" s="2322"/>
      <c r="CT454" s="2322"/>
      <c r="CU454" s="2322"/>
      <c r="CV454" s="2322"/>
    </row>
    <row r="455" spans="1:100" ht="15.75" customHeight="1">
      <c r="A455" s="2328"/>
      <c r="B455" s="2322"/>
      <c r="C455" s="2322"/>
      <c r="D455" s="2322"/>
      <c r="E455" s="2322"/>
      <c r="F455" s="2322"/>
      <c r="G455" s="2322"/>
      <c r="H455" s="2322"/>
      <c r="I455" s="2322"/>
      <c r="J455" s="2322"/>
      <c r="K455" s="2322"/>
      <c r="L455" s="2322"/>
      <c r="M455" s="2322"/>
      <c r="N455" s="2322"/>
      <c r="O455" s="2322"/>
      <c r="P455" s="2322"/>
      <c r="Q455" s="2322"/>
      <c r="R455" s="2322"/>
      <c r="S455" s="2322"/>
      <c r="T455" s="2322"/>
      <c r="U455" s="2322"/>
      <c r="V455" s="2322"/>
      <c r="W455" s="2322"/>
      <c r="X455" s="2322"/>
      <c r="Y455" s="2322"/>
      <c r="Z455" s="2322"/>
      <c r="AA455" s="2322"/>
      <c r="AB455" s="2322"/>
      <c r="AC455" s="2322"/>
      <c r="AD455" s="2322"/>
      <c r="AE455" s="2322"/>
      <c r="AF455" s="2322"/>
      <c r="AG455" s="2322"/>
      <c r="AH455" s="2322"/>
      <c r="AI455" s="2322"/>
      <c r="AJ455" s="2322"/>
      <c r="AK455" s="2322"/>
      <c r="AL455" s="2322"/>
      <c r="AM455" s="2322"/>
      <c r="AN455" s="2322"/>
      <c r="AO455" s="2322"/>
      <c r="AP455" s="2322"/>
      <c r="AQ455" s="2322"/>
      <c r="AR455" s="2322"/>
      <c r="AS455" s="2322"/>
      <c r="AT455" s="2322"/>
      <c r="AU455" s="2322"/>
      <c r="AV455" s="2322"/>
      <c r="AW455" s="2322"/>
      <c r="AX455" s="2322"/>
      <c r="AY455" s="2322"/>
      <c r="AZ455" s="2322"/>
      <c r="BA455" s="2322"/>
      <c r="BB455" s="2322"/>
      <c r="BC455" s="2322"/>
      <c r="BD455" s="2322"/>
      <c r="BE455" s="2322"/>
      <c r="BF455" s="2322"/>
      <c r="BG455" s="2322"/>
      <c r="BH455" s="2322"/>
      <c r="BI455" s="2322"/>
      <c r="BJ455" s="2322"/>
      <c r="BK455" s="2322"/>
      <c r="BL455" s="2322"/>
      <c r="BM455" s="2322"/>
      <c r="BN455" s="2322"/>
      <c r="BO455" s="2322"/>
      <c r="BP455" s="2322"/>
      <c r="BQ455" s="2322"/>
      <c r="BR455" s="2322"/>
      <c r="BS455" s="2322"/>
      <c r="BT455" s="2322"/>
      <c r="BU455" s="2322"/>
      <c r="BV455" s="2322"/>
      <c r="BW455" s="2322"/>
      <c r="BX455" s="2322"/>
      <c r="BY455" s="2322"/>
      <c r="BZ455" s="2322"/>
      <c r="CA455" s="2322"/>
      <c r="CB455" s="2322"/>
      <c r="CC455" s="2322"/>
      <c r="CD455" s="2322"/>
      <c r="CE455" s="2322"/>
      <c r="CF455" s="2322"/>
      <c r="CG455" s="2322"/>
      <c r="CH455" s="2322"/>
      <c r="CI455" s="2322"/>
      <c r="CJ455" s="2322"/>
      <c r="CK455" s="2322"/>
      <c r="CL455" s="2322"/>
      <c r="CM455" s="2322"/>
      <c r="CN455" s="2322"/>
      <c r="CO455" s="2322"/>
      <c r="CP455" s="2322"/>
      <c r="CQ455" s="2322"/>
      <c r="CR455" s="2322"/>
      <c r="CS455" s="2322"/>
      <c r="CT455" s="2322"/>
      <c r="CU455" s="2322"/>
      <c r="CV455" s="2322"/>
    </row>
    <row r="456" spans="1:100" ht="15.75" customHeight="1">
      <c r="A456" s="2328"/>
      <c r="B456" s="2322"/>
      <c r="C456" s="2322"/>
      <c r="D456" s="2322"/>
      <c r="E456" s="2322"/>
      <c r="F456" s="2322"/>
      <c r="G456" s="2322"/>
      <c r="H456" s="2322"/>
      <c r="I456" s="2322"/>
      <c r="J456" s="2322"/>
      <c r="K456" s="2322"/>
      <c r="L456" s="2322"/>
      <c r="M456" s="2322"/>
      <c r="N456" s="2322"/>
      <c r="O456" s="2322"/>
      <c r="P456" s="2322"/>
      <c r="Q456" s="2322"/>
      <c r="R456" s="2322"/>
      <c r="S456" s="2322"/>
      <c r="T456" s="2322"/>
      <c r="U456" s="2322"/>
      <c r="V456" s="2322"/>
      <c r="W456" s="2322"/>
      <c r="X456" s="2322"/>
      <c r="Y456" s="2322"/>
      <c r="Z456" s="2322"/>
      <c r="AA456" s="2322"/>
      <c r="AB456" s="2322"/>
      <c r="AC456" s="2322"/>
      <c r="AD456" s="2322"/>
      <c r="AE456" s="2322"/>
      <c r="AF456" s="2322"/>
      <c r="AG456" s="2322"/>
      <c r="AH456" s="2322"/>
      <c r="AI456" s="2322"/>
      <c r="AJ456" s="2322"/>
      <c r="AK456" s="2322"/>
      <c r="AL456" s="2322"/>
      <c r="AM456" s="2322"/>
      <c r="AN456" s="2322"/>
      <c r="AO456" s="2322"/>
      <c r="AP456" s="2322"/>
      <c r="AQ456" s="2322"/>
      <c r="AR456" s="2322"/>
      <c r="AS456" s="2322"/>
      <c r="AT456" s="2322"/>
      <c r="AU456" s="2322"/>
      <c r="AV456" s="2322"/>
      <c r="AW456" s="2322"/>
      <c r="AX456" s="2322"/>
      <c r="AY456" s="2322"/>
      <c r="AZ456" s="2322"/>
      <c r="BA456" s="2322"/>
      <c r="BB456" s="2322"/>
      <c r="BC456" s="2322"/>
      <c r="BD456" s="2322"/>
      <c r="BE456" s="2322"/>
      <c r="BF456" s="2322"/>
      <c r="BG456" s="2322"/>
      <c r="BH456" s="2322"/>
      <c r="BI456" s="2322"/>
      <c r="BJ456" s="2322"/>
      <c r="BK456" s="2322"/>
      <c r="BL456" s="2322"/>
      <c r="BM456" s="2322"/>
      <c r="BN456" s="2322"/>
      <c r="BO456" s="2322"/>
      <c r="BP456" s="2322"/>
      <c r="BQ456" s="2322"/>
      <c r="BR456" s="2322"/>
      <c r="BS456" s="2322"/>
      <c r="BT456" s="2322"/>
      <c r="BU456" s="2322"/>
      <c r="BV456" s="2322"/>
      <c r="BW456" s="2322"/>
      <c r="BX456" s="2322"/>
      <c r="BY456" s="2322"/>
      <c r="BZ456" s="2322"/>
      <c r="CA456" s="2322"/>
      <c r="CB456" s="2322"/>
      <c r="CC456" s="2322"/>
      <c r="CD456" s="2322"/>
      <c r="CE456" s="2322"/>
      <c r="CF456" s="2322"/>
      <c r="CG456" s="2322"/>
      <c r="CH456" s="2322"/>
      <c r="CI456" s="2322"/>
      <c r="CJ456" s="2322"/>
      <c r="CK456" s="2322"/>
      <c r="CL456" s="2322"/>
      <c r="CM456" s="2322"/>
      <c r="CN456" s="2322"/>
      <c r="CO456" s="2322"/>
      <c r="CP456" s="2322"/>
      <c r="CQ456" s="2322"/>
      <c r="CR456" s="2322"/>
      <c r="CS456" s="2322"/>
      <c r="CT456" s="2322"/>
      <c r="CU456" s="2322"/>
      <c r="CV456" s="2322"/>
    </row>
    <row r="457" spans="1:100" ht="15.75" customHeight="1">
      <c r="A457" s="2328"/>
      <c r="B457" s="2322"/>
      <c r="C457" s="2322"/>
      <c r="D457" s="2322"/>
      <c r="E457" s="2322"/>
      <c r="F457" s="2322"/>
      <c r="G457" s="2322"/>
      <c r="H457" s="2322"/>
      <c r="I457" s="2322"/>
      <c r="J457" s="2322"/>
      <c r="K457" s="2322"/>
      <c r="L457" s="2322"/>
      <c r="M457" s="2322"/>
      <c r="N457" s="2322"/>
      <c r="O457" s="2322"/>
      <c r="P457" s="2322"/>
      <c r="Q457" s="2322"/>
      <c r="R457" s="2322"/>
      <c r="S457" s="2322"/>
      <c r="T457" s="2322"/>
      <c r="U457" s="2322"/>
      <c r="V457" s="2322"/>
      <c r="W457" s="2322"/>
      <c r="X457" s="2322"/>
      <c r="Y457" s="2322"/>
      <c r="Z457" s="2322"/>
      <c r="AA457" s="2322"/>
      <c r="AB457" s="2322"/>
      <c r="AC457" s="2322"/>
      <c r="AD457" s="2322"/>
      <c r="AE457" s="2322"/>
      <c r="AF457" s="2322"/>
      <c r="AG457" s="2322"/>
      <c r="AH457" s="2322"/>
      <c r="AI457" s="2322"/>
      <c r="AJ457" s="2322"/>
      <c r="AK457" s="2322"/>
      <c r="AL457" s="2322"/>
      <c r="AM457" s="2322"/>
      <c r="AN457" s="2322"/>
      <c r="AO457" s="2322"/>
      <c r="AP457" s="2322"/>
      <c r="AQ457" s="2322"/>
      <c r="AR457" s="2322"/>
      <c r="AS457" s="2322"/>
      <c r="AT457" s="2322"/>
      <c r="AU457" s="2322"/>
      <c r="AV457" s="2322"/>
      <c r="AW457" s="2322"/>
      <c r="AX457" s="2322"/>
      <c r="AY457" s="2322"/>
      <c r="AZ457" s="2322"/>
      <c r="BA457" s="2322"/>
      <c r="BB457" s="2322"/>
      <c r="BC457" s="2322"/>
      <c r="BD457" s="2322"/>
      <c r="BE457" s="2322"/>
      <c r="BF457" s="2322"/>
      <c r="BG457" s="2322"/>
      <c r="BH457" s="2322"/>
      <c r="BI457" s="2322"/>
      <c r="BJ457" s="2322"/>
      <c r="BK457" s="2322"/>
      <c r="BL457" s="2322"/>
      <c r="BM457" s="2322"/>
      <c r="BN457" s="2322"/>
      <c r="BO457" s="2322"/>
      <c r="BP457" s="2322"/>
      <c r="BQ457" s="2322"/>
      <c r="BR457" s="2322"/>
      <c r="BS457" s="2322"/>
      <c r="BT457" s="2322"/>
      <c r="BU457" s="2322"/>
      <c r="BV457" s="2322"/>
      <c r="BW457" s="2322"/>
      <c r="BX457" s="2322"/>
      <c r="BY457" s="2322"/>
      <c r="BZ457" s="2322"/>
      <c r="CA457" s="2322"/>
      <c r="CB457" s="2322"/>
      <c r="CC457" s="2322"/>
      <c r="CD457" s="2322"/>
      <c r="CE457" s="2322"/>
      <c r="CF457" s="2322"/>
      <c r="CG457" s="2322"/>
      <c r="CH457" s="2322"/>
      <c r="CI457" s="2322"/>
      <c r="CJ457" s="2322"/>
      <c r="CK457" s="2322"/>
      <c r="CL457" s="2322"/>
      <c r="CM457" s="2322"/>
      <c r="CN457" s="2322"/>
      <c r="CO457" s="2322"/>
      <c r="CP457" s="2322"/>
      <c r="CQ457" s="2322"/>
      <c r="CR457" s="2322"/>
      <c r="CS457" s="2322"/>
      <c r="CT457" s="2322"/>
      <c r="CU457" s="2322"/>
      <c r="CV457" s="2322"/>
    </row>
    <row r="458" spans="1:100" ht="15.75" customHeight="1">
      <c r="A458" s="2328"/>
      <c r="B458" s="2322"/>
      <c r="C458" s="2322"/>
      <c r="D458" s="2322"/>
      <c r="E458" s="2322"/>
      <c r="F458" s="2322"/>
      <c r="G458" s="2322"/>
      <c r="H458" s="2322"/>
      <c r="I458" s="2322"/>
      <c r="J458" s="2322"/>
      <c r="K458" s="2322"/>
      <c r="L458" s="2322"/>
      <c r="M458" s="2322"/>
      <c r="N458" s="2322"/>
      <c r="O458" s="2322"/>
      <c r="P458" s="2322"/>
      <c r="Q458" s="2322"/>
      <c r="R458" s="2322"/>
      <c r="S458" s="2322"/>
      <c r="T458" s="2322"/>
      <c r="U458" s="2322"/>
      <c r="V458" s="2322"/>
      <c r="W458" s="2322"/>
      <c r="X458" s="2322"/>
      <c r="Y458" s="2322"/>
      <c r="Z458" s="2322"/>
      <c r="AA458" s="2322"/>
      <c r="AB458" s="2322"/>
      <c r="AC458" s="2322"/>
      <c r="AD458" s="2322"/>
      <c r="AE458" s="2322"/>
      <c r="AF458" s="2322"/>
      <c r="AG458" s="2322"/>
      <c r="AH458" s="2322"/>
      <c r="AI458" s="2322"/>
      <c r="AJ458" s="2322"/>
      <c r="AK458" s="2322"/>
      <c r="AL458" s="2322"/>
      <c r="AM458" s="2322"/>
      <c r="AN458" s="2322"/>
      <c r="AO458" s="2322"/>
      <c r="AP458" s="2322"/>
      <c r="AQ458" s="2322"/>
      <c r="AR458" s="2322"/>
      <c r="AS458" s="2322"/>
      <c r="AT458" s="2322"/>
      <c r="AU458" s="2322"/>
      <c r="AV458" s="2322"/>
      <c r="AW458" s="2322"/>
      <c r="AX458" s="2322"/>
      <c r="AY458" s="2322"/>
      <c r="AZ458" s="2322"/>
      <c r="BA458" s="2322"/>
      <c r="BB458" s="2322"/>
      <c r="BC458" s="2322"/>
      <c r="BD458" s="2322"/>
      <c r="BE458" s="2322"/>
      <c r="BF458" s="2322"/>
      <c r="BG458" s="2322"/>
      <c r="BH458" s="2322"/>
      <c r="BI458" s="2322"/>
      <c r="BJ458" s="2322"/>
      <c r="BK458" s="2322"/>
      <c r="BL458" s="2322"/>
      <c r="BM458" s="2322"/>
      <c r="BN458" s="2322"/>
      <c r="BO458" s="2322"/>
      <c r="BP458" s="2322"/>
      <c r="BQ458" s="2322"/>
      <c r="BR458" s="2322"/>
      <c r="BS458" s="2322"/>
      <c r="BT458" s="2322"/>
      <c r="BU458" s="2322"/>
      <c r="BV458" s="2322"/>
      <c r="BW458" s="2322"/>
      <c r="BX458" s="2322"/>
      <c r="BY458" s="2322"/>
      <c r="BZ458" s="2322"/>
      <c r="CA458" s="2322"/>
      <c r="CB458" s="2322"/>
      <c r="CC458" s="2322"/>
      <c r="CD458" s="2322"/>
      <c r="CE458" s="2322"/>
      <c r="CF458" s="2322"/>
      <c r="CG458" s="2322"/>
      <c r="CH458" s="2322"/>
      <c r="CI458" s="2322"/>
      <c r="CJ458" s="2322"/>
      <c r="CK458" s="2322"/>
      <c r="CL458" s="2322"/>
      <c r="CM458" s="2322"/>
      <c r="CN458" s="2322"/>
      <c r="CO458" s="2322"/>
      <c r="CP458" s="2322"/>
      <c r="CQ458" s="2322"/>
      <c r="CR458" s="2322"/>
      <c r="CS458" s="2322"/>
      <c r="CT458" s="2322"/>
      <c r="CU458" s="2322"/>
      <c r="CV458" s="2322"/>
    </row>
    <row r="459" spans="1:100" ht="15.75" customHeight="1">
      <c r="A459" s="2328"/>
      <c r="B459" s="2322"/>
      <c r="C459" s="2322"/>
      <c r="D459" s="2322"/>
      <c r="E459" s="2322"/>
      <c r="F459" s="2322"/>
      <c r="G459" s="2322"/>
      <c r="H459" s="2322"/>
      <c r="I459" s="2322"/>
      <c r="J459" s="2322"/>
      <c r="K459" s="2322"/>
      <c r="L459" s="2322"/>
      <c r="M459" s="2322"/>
      <c r="N459" s="2322"/>
      <c r="O459" s="2322"/>
      <c r="P459" s="2322"/>
      <c r="Q459" s="2322"/>
      <c r="R459" s="2322"/>
      <c r="S459" s="2322"/>
      <c r="T459" s="2322"/>
      <c r="U459" s="2322"/>
      <c r="V459" s="2322"/>
      <c r="W459" s="2322"/>
      <c r="X459" s="2322"/>
      <c r="Y459" s="2322"/>
      <c r="Z459" s="2322"/>
      <c r="AA459" s="2322"/>
      <c r="AB459" s="2322"/>
      <c r="AC459" s="2322"/>
      <c r="AD459" s="2322"/>
      <c r="AE459" s="2322"/>
      <c r="AF459" s="2322"/>
      <c r="AG459" s="2322"/>
      <c r="AH459" s="2322"/>
      <c r="AI459" s="2322"/>
      <c r="AJ459" s="2322"/>
      <c r="AK459" s="2322"/>
      <c r="AL459" s="2322"/>
      <c r="AM459" s="2322"/>
      <c r="AN459" s="2322"/>
      <c r="AO459" s="2322"/>
      <c r="AP459" s="2322"/>
      <c r="AQ459" s="2322"/>
      <c r="AR459" s="2322"/>
      <c r="AS459" s="2322"/>
      <c r="AT459" s="2322"/>
      <c r="AU459" s="2322"/>
      <c r="AV459" s="2322"/>
      <c r="AW459" s="2322"/>
      <c r="AX459" s="2322"/>
      <c r="AY459" s="2322"/>
      <c r="AZ459" s="2322"/>
      <c r="BA459" s="2322"/>
      <c r="BB459" s="2322"/>
      <c r="BC459" s="2322"/>
      <c r="BD459" s="2322"/>
      <c r="BE459" s="2322"/>
      <c r="BF459" s="2322"/>
      <c r="BG459" s="2322"/>
      <c r="BH459" s="2322"/>
      <c r="BI459" s="2322"/>
      <c r="BJ459" s="2322"/>
      <c r="BK459" s="2322"/>
      <c r="BL459" s="2322"/>
      <c r="BM459" s="2322"/>
      <c r="BN459" s="2322"/>
      <c r="BO459" s="2322"/>
      <c r="BP459" s="2322"/>
      <c r="BQ459" s="2322"/>
      <c r="BR459" s="2322"/>
      <c r="BS459" s="2322"/>
      <c r="BT459" s="2322"/>
      <c r="BU459" s="2322"/>
      <c r="BV459" s="2322"/>
      <c r="BW459" s="2322"/>
      <c r="BX459" s="2322"/>
      <c r="BY459" s="2322"/>
      <c r="BZ459" s="2322"/>
      <c r="CA459" s="2322"/>
      <c r="CB459" s="2322"/>
      <c r="CC459" s="2322"/>
      <c r="CD459" s="2322"/>
      <c r="CE459" s="2322"/>
      <c r="CF459" s="2322"/>
      <c r="CG459" s="2322"/>
      <c r="CH459" s="2322"/>
      <c r="CI459" s="2322"/>
      <c r="CJ459" s="2322"/>
      <c r="CK459" s="2322"/>
      <c r="CL459" s="2322"/>
      <c r="CM459" s="2322"/>
      <c r="CN459" s="2322"/>
      <c r="CO459" s="2322"/>
      <c r="CP459" s="2322"/>
      <c r="CQ459" s="2322"/>
      <c r="CR459" s="2322"/>
      <c r="CS459" s="2322"/>
      <c r="CT459" s="2322"/>
      <c r="CU459" s="2322"/>
      <c r="CV459" s="2322"/>
    </row>
    <row r="460" spans="1:100" ht="15.75" customHeight="1">
      <c r="A460" s="2328"/>
      <c r="B460" s="2322"/>
      <c r="C460" s="2322"/>
      <c r="D460" s="2322"/>
      <c r="E460" s="2322"/>
      <c r="F460" s="2322"/>
      <c r="G460" s="2322"/>
      <c r="H460" s="2322"/>
      <c r="I460" s="2322"/>
      <c r="J460" s="2322"/>
      <c r="K460" s="2322"/>
      <c r="L460" s="2322"/>
      <c r="M460" s="2322"/>
      <c r="N460" s="2322"/>
      <c r="O460" s="2322"/>
      <c r="P460" s="2322"/>
      <c r="Q460" s="2322"/>
      <c r="R460" s="2322"/>
      <c r="S460" s="2322"/>
      <c r="T460" s="2322"/>
      <c r="U460" s="2322"/>
      <c r="V460" s="2322"/>
      <c r="W460" s="2322"/>
      <c r="X460" s="2322"/>
      <c r="Y460" s="2322"/>
      <c r="Z460" s="2322"/>
      <c r="AA460" s="2322"/>
      <c r="AB460" s="2322"/>
      <c r="AC460" s="2322"/>
      <c r="AD460" s="2322"/>
      <c r="AE460" s="2322"/>
      <c r="AF460" s="2322"/>
      <c r="AG460" s="2322"/>
      <c r="AH460" s="2322"/>
      <c r="AI460" s="2322"/>
      <c r="AJ460" s="2322"/>
      <c r="AK460" s="2322"/>
      <c r="AL460" s="2322"/>
      <c r="AM460" s="2322"/>
      <c r="AN460" s="2322"/>
      <c r="AO460" s="2322"/>
      <c r="AP460" s="2322"/>
      <c r="AQ460" s="2322"/>
      <c r="AR460" s="2322"/>
      <c r="AS460" s="2322"/>
      <c r="AT460" s="2322"/>
      <c r="AU460" s="2322"/>
      <c r="AV460" s="2322"/>
      <c r="AW460" s="2322"/>
      <c r="AX460" s="2322"/>
      <c r="AY460" s="2322"/>
      <c r="AZ460" s="2322"/>
      <c r="BA460" s="2322"/>
      <c r="BB460" s="2322"/>
      <c r="BC460" s="2322"/>
      <c r="BD460" s="2322"/>
      <c r="BE460" s="2322"/>
      <c r="BF460" s="2322"/>
      <c r="BG460" s="2322"/>
      <c r="BH460" s="2322"/>
      <c r="BI460" s="2322"/>
      <c r="BJ460" s="2322"/>
      <c r="BK460" s="2322"/>
      <c r="BL460" s="2322"/>
      <c r="BM460" s="2322"/>
      <c r="BN460" s="2322"/>
      <c r="BO460" s="2322"/>
      <c r="BP460" s="2322"/>
      <c r="BQ460" s="2322"/>
      <c r="BR460" s="2322"/>
      <c r="BS460" s="2322"/>
      <c r="BT460" s="2322"/>
      <c r="BU460" s="2322"/>
      <c r="BV460" s="2322"/>
      <c r="BW460" s="2322"/>
      <c r="BX460" s="2322"/>
      <c r="BY460" s="2322"/>
      <c r="BZ460" s="2322"/>
      <c r="CA460" s="2322"/>
      <c r="CB460" s="2322"/>
      <c r="CC460" s="2322"/>
      <c r="CD460" s="2322"/>
      <c r="CE460" s="2322"/>
      <c r="CF460" s="2322"/>
      <c r="CG460" s="2322"/>
      <c r="CH460" s="2322"/>
      <c r="CI460" s="2322"/>
      <c r="CJ460" s="2322"/>
      <c r="CK460" s="2322"/>
      <c r="CL460" s="2322"/>
      <c r="CM460" s="2322"/>
      <c r="CN460" s="2322"/>
      <c r="CO460" s="2322"/>
      <c r="CP460" s="2322"/>
      <c r="CQ460" s="2322"/>
      <c r="CR460" s="2322"/>
      <c r="CS460" s="2322"/>
      <c r="CT460" s="2322"/>
      <c r="CU460" s="2322"/>
      <c r="CV460" s="2322"/>
    </row>
    <row r="461" spans="1:100" ht="15.75" customHeight="1">
      <c r="A461" s="2328"/>
      <c r="B461" s="2322"/>
      <c r="C461" s="2322"/>
      <c r="D461" s="2322"/>
      <c r="E461" s="2322"/>
      <c r="F461" s="2322"/>
      <c r="G461" s="2322"/>
      <c r="H461" s="2322"/>
      <c r="I461" s="2322"/>
      <c r="J461" s="2322"/>
      <c r="K461" s="2322"/>
      <c r="L461" s="2322"/>
      <c r="M461" s="2322"/>
      <c r="N461" s="2322"/>
      <c r="O461" s="2322"/>
      <c r="P461" s="2322"/>
      <c r="Q461" s="2322"/>
      <c r="R461" s="2322"/>
      <c r="S461" s="2322"/>
      <c r="T461" s="2322"/>
      <c r="U461" s="2322"/>
      <c r="V461" s="2322"/>
      <c r="W461" s="2322"/>
      <c r="X461" s="2322"/>
      <c r="Y461" s="2322"/>
      <c r="Z461" s="2322"/>
      <c r="AA461" s="2322"/>
      <c r="AB461" s="2322"/>
      <c r="AC461" s="2322"/>
      <c r="AD461" s="2322"/>
      <c r="AE461" s="2322"/>
      <c r="AF461" s="2322"/>
      <c r="AG461" s="2322"/>
      <c r="AH461" s="2322"/>
      <c r="AI461" s="2322"/>
      <c r="AJ461" s="2322"/>
      <c r="AK461" s="2322"/>
      <c r="AL461" s="2322"/>
      <c r="AM461" s="2322"/>
      <c r="AN461" s="2322"/>
      <c r="AO461" s="2322"/>
      <c r="AP461" s="2322"/>
      <c r="AQ461" s="2322"/>
      <c r="AR461" s="2322"/>
      <c r="AS461" s="2322"/>
      <c r="AT461" s="2322"/>
      <c r="AU461" s="2322"/>
      <c r="AV461" s="2322"/>
      <c r="AW461" s="2322"/>
      <c r="AX461" s="2322"/>
      <c r="AY461" s="2322"/>
      <c r="AZ461" s="2322"/>
      <c r="BA461" s="2322"/>
      <c r="BB461" s="2322"/>
      <c r="BC461" s="2322"/>
      <c r="BD461" s="2322"/>
      <c r="BE461" s="2322"/>
      <c r="BF461" s="2322"/>
      <c r="BG461" s="2322"/>
      <c r="BH461" s="2322"/>
      <c r="BI461" s="2322"/>
      <c r="BJ461" s="2322"/>
      <c r="BK461" s="2322"/>
      <c r="BL461" s="2322"/>
      <c r="BM461" s="2322"/>
      <c r="BN461" s="2322"/>
      <c r="BO461" s="2322"/>
      <c r="BP461" s="2322"/>
      <c r="BQ461" s="2322"/>
      <c r="BR461" s="2322"/>
      <c r="BS461" s="2322"/>
      <c r="BT461" s="2322"/>
      <c r="BU461" s="2322"/>
      <c r="BV461" s="2322"/>
      <c r="BW461" s="2322"/>
      <c r="BX461" s="2322"/>
      <c r="BY461" s="2322"/>
      <c r="BZ461" s="2322"/>
      <c r="CA461" s="2322"/>
      <c r="CB461" s="2322"/>
      <c r="CC461" s="2322"/>
      <c r="CD461" s="2322"/>
      <c r="CE461" s="2322"/>
      <c r="CF461" s="2322"/>
      <c r="CG461" s="2322"/>
      <c r="CH461" s="2322"/>
      <c r="CI461" s="2322"/>
      <c r="CJ461" s="2322"/>
      <c r="CK461" s="2322"/>
      <c r="CL461" s="2322"/>
      <c r="CM461" s="2322"/>
      <c r="CN461" s="2322"/>
      <c r="CO461" s="2322"/>
      <c r="CP461" s="2322"/>
      <c r="CQ461" s="2322"/>
      <c r="CR461" s="2322"/>
      <c r="CS461" s="2322"/>
      <c r="CT461" s="2322"/>
      <c r="CU461" s="2322"/>
      <c r="CV461" s="2322"/>
    </row>
    <row r="462" spans="1:100" ht="15.75" customHeight="1">
      <c r="A462" s="2328"/>
      <c r="B462" s="2322"/>
      <c r="C462" s="2322"/>
      <c r="D462" s="2322"/>
      <c r="E462" s="2322"/>
      <c r="F462" s="2322"/>
      <c r="G462" s="2322"/>
      <c r="H462" s="2322"/>
      <c r="I462" s="2322"/>
      <c r="J462" s="2322"/>
      <c r="K462" s="2322"/>
      <c r="L462" s="2322"/>
      <c r="M462" s="2322"/>
      <c r="N462" s="2322"/>
      <c r="O462" s="2322"/>
      <c r="P462" s="2322"/>
      <c r="Q462" s="2322"/>
      <c r="R462" s="2322"/>
      <c r="S462" s="2322"/>
      <c r="T462" s="2322"/>
      <c r="U462" s="2322"/>
      <c r="V462" s="2322"/>
      <c r="W462" s="2322"/>
      <c r="X462" s="2322"/>
      <c r="Y462" s="2322"/>
      <c r="Z462" s="2322"/>
      <c r="AA462" s="2322"/>
      <c r="AB462" s="2322"/>
      <c r="AC462" s="2322"/>
      <c r="AD462" s="2322"/>
      <c r="AE462" s="2322"/>
      <c r="AF462" s="2322"/>
      <c r="AG462" s="2322"/>
      <c r="AH462" s="2322"/>
      <c r="AI462" s="2322"/>
      <c r="AJ462" s="2322"/>
      <c r="AK462" s="2322"/>
      <c r="AL462" s="2322"/>
      <c r="AM462" s="2322"/>
      <c r="AN462" s="2322"/>
      <c r="AO462" s="2322"/>
      <c r="AP462" s="2322"/>
      <c r="AQ462" s="2322"/>
      <c r="AR462" s="2322"/>
      <c r="AS462" s="2322"/>
      <c r="AT462" s="2322"/>
      <c r="AU462" s="2322"/>
      <c r="AV462" s="2322"/>
      <c r="AW462" s="2322"/>
      <c r="AX462" s="2322"/>
      <c r="AY462" s="2322"/>
      <c r="AZ462" s="2322"/>
      <c r="BA462" s="2322"/>
      <c r="BB462" s="2322"/>
      <c r="BC462" s="2322"/>
      <c r="BD462" s="2322"/>
      <c r="BE462" s="2322"/>
      <c r="BF462" s="2322"/>
      <c r="BG462" s="2322"/>
      <c r="BH462" s="2322"/>
      <c r="BI462" s="2322"/>
      <c r="BJ462" s="2322"/>
      <c r="BK462" s="2322"/>
      <c r="BL462" s="2322"/>
      <c r="BM462" s="2322"/>
      <c r="BN462" s="2322"/>
      <c r="BO462" s="2322"/>
      <c r="BP462" s="2322"/>
      <c r="BQ462" s="2322"/>
      <c r="BR462" s="2322"/>
      <c r="BS462" s="2322"/>
      <c r="BT462" s="2322"/>
      <c r="BU462" s="2322"/>
      <c r="BV462" s="2322"/>
      <c r="BW462" s="2322"/>
      <c r="BX462" s="2322"/>
      <c r="BY462" s="2322"/>
      <c r="BZ462" s="2322"/>
      <c r="CA462" s="2322"/>
      <c r="CB462" s="2322"/>
      <c r="CC462" s="2322"/>
      <c r="CD462" s="2322"/>
      <c r="CE462" s="2322"/>
      <c r="CF462" s="2322"/>
      <c r="CG462" s="2322"/>
      <c r="CH462" s="2322"/>
      <c r="CI462" s="2322"/>
      <c r="CJ462" s="2322"/>
      <c r="CK462" s="2322"/>
      <c r="CL462" s="2322"/>
      <c r="CM462" s="2322"/>
      <c r="CN462" s="2322"/>
      <c r="CO462" s="2322"/>
      <c r="CP462" s="2322"/>
      <c r="CQ462" s="2322"/>
      <c r="CR462" s="2322"/>
      <c r="CS462" s="2322"/>
      <c r="CT462" s="2322"/>
      <c r="CU462" s="2322"/>
      <c r="CV462" s="2322"/>
    </row>
    <row r="463" spans="1:100" ht="15.75" customHeight="1">
      <c r="A463" s="2328"/>
      <c r="B463" s="2322"/>
      <c r="C463" s="2322"/>
      <c r="D463" s="2322"/>
      <c r="E463" s="2322"/>
      <c r="F463" s="2322"/>
      <c r="G463" s="2322"/>
      <c r="H463" s="2322"/>
      <c r="I463" s="2322"/>
      <c r="J463" s="2322"/>
      <c r="K463" s="2322"/>
      <c r="L463" s="2322"/>
      <c r="M463" s="2322"/>
      <c r="N463" s="2322"/>
      <c r="O463" s="2322"/>
      <c r="P463" s="2322"/>
      <c r="Q463" s="2322"/>
      <c r="R463" s="2322"/>
      <c r="S463" s="2322"/>
      <c r="T463" s="2322"/>
      <c r="U463" s="2322"/>
      <c r="V463" s="2322"/>
      <c r="W463" s="2322"/>
      <c r="X463" s="2322"/>
      <c r="Y463" s="2322"/>
      <c r="Z463" s="2322"/>
      <c r="AA463" s="2322"/>
      <c r="AB463" s="2322"/>
      <c r="AC463" s="2322"/>
      <c r="AD463" s="2322"/>
      <c r="AE463" s="2322"/>
      <c r="AF463" s="2322"/>
      <c r="AG463" s="2322"/>
      <c r="AH463" s="2322"/>
      <c r="AI463" s="2322"/>
      <c r="AJ463" s="2322"/>
      <c r="AK463" s="2322"/>
      <c r="AL463" s="2322"/>
      <c r="AM463" s="2322"/>
      <c r="AN463" s="2322"/>
      <c r="AO463" s="2322"/>
      <c r="AP463" s="2322"/>
      <c r="AQ463" s="2322"/>
      <c r="AR463" s="2322"/>
      <c r="AS463" s="2322"/>
      <c r="AT463" s="2322"/>
      <c r="AU463" s="2322"/>
      <c r="AV463" s="2322"/>
      <c r="AW463" s="2322"/>
      <c r="AX463" s="2322"/>
      <c r="AY463" s="2322"/>
      <c r="AZ463" s="2322"/>
      <c r="BA463" s="2322"/>
      <c r="BB463" s="2322"/>
      <c r="BC463" s="2322"/>
      <c r="BD463" s="2322"/>
      <c r="BE463" s="2322"/>
      <c r="BF463" s="2322"/>
      <c r="BG463" s="2322"/>
      <c r="BH463" s="2322"/>
      <c r="BI463" s="2322"/>
      <c r="BJ463" s="2322"/>
      <c r="BK463" s="2322"/>
      <c r="BL463" s="2322"/>
      <c r="BM463" s="2322"/>
      <c r="BN463" s="2322"/>
      <c r="BO463" s="2322"/>
      <c r="BP463" s="2322"/>
      <c r="BQ463" s="2322"/>
      <c r="BR463" s="2322"/>
      <c r="BS463" s="2322"/>
      <c r="BT463" s="2322"/>
      <c r="BU463" s="2322"/>
      <c r="BV463" s="2322"/>
      <c r="BW463" s="2322"/>
      <c r="BX463" s="2322"/>
      <c r="BY463" s="2322"/>
      <c r="BZ463" s="2322"/>
      <c r="CA463" s="2322"/>
      <c r="CB463" s="2322"/>
      <c r="CC463" s="2322"/>
      <c r="CD463" s="2322"/>
      <c r="CE463" s="2322"/>
      <c r="CF463" s="2322"/>
      <c r="CG463" s="2322"/>
      <c r="CH463" s="2322"/>
      <c r="CI463" s="2322"/>
      <c r="CJ463" s="2322"/>
      <c r="CK463" s="2322"/>
      <c r="CL463" s="2322"/>
      <c r="CM463" s="2322"/>
      <c r="CN463" s="2322"/>
      <c r="CO463" s="2322"/>
      <c r="CP463" s="2322"/>
      <c r="CQ463" s="2322"/>
      <c r="CR463" s="2322"/>
      <c r="CS463" s="2322"/>
      <c r="CT463" s="2322"/>
      <c r="CU463" s="2322"/>
      <c r="CV463" s="2322"/>
    </row>
    <row r="464" spans="1:100" ht="15.75" customHeight="1">
      <c r="A464" s="2328"/>
      <c r="B464" s="2322"/>
      <c r="C464" s="2322"/>
      <c r="D464" s="2322"/>
      <c r="E464" s="2322"/>
      <c r="F464" s="2322"/>
      <c r="G464" s="2322"/>
      <c r="H464" s="2322"/>
      <c r="I464" s="2322"/>
      <c r="J464" s="2322"/>
      <c r="K464" s="2322"/>
      <c r="L464" s="2322"/>
      <c r="M464" s="2322"/>
      <c r="N464" s="2322"/>
      <c r="O464" s="2322"/>
      <c r="P464" s="2322"/>
      <c r="Q464" s="2322"/>
      <c r="R464" s="2322"/>
      <c r="S464" s="2322"/>
      <c r="T464" s="2322"/>
      <c r="U464" s="2322"/>
      <c r="V464" s="2322"/>
      <c r="W464" s="2322"/>
      <c r="X464" s="2322"/>
      <c r="Y464" s="2322"/>
      <c r="Z464" s="2322"/>
      <c r="AA464" s="2322"/>
      <c r="AB464" s="2322"/>
      <c r="AC464" s="2322"/>
      <c r="AD464" s="2322"/>
      <c r="AE464" s="2322"/>
      <c r="AF464" s="2322"/>
      <c r="AG464" s="2322"/>
      <c r="AH464" s="2322"/>
      <c r="AI464" s="2322"/>
      <c r="AJ464" s="2322"/>
      <c r="AK464" s="2322"/>
      <c r="AL464" s="2322"/>
      <c r="AM464" s="2322"/>
      <c r="AN464" s="2322"/>
      <c r="AO464" s="2322"/>
      <c r="AP464" s="2322"/>
      <c r="AQ464" s="2322"/>
      <c r="AR464" s="2322"/>
      <c r="AS464" s="2322"/>
      <c r="AT464" s="2322"/>
      <c r="AU464" s="2322"/>
      <c r="AV464" s="2322"/>
      <c r="AW464" s="2322"/>
      <c r="AX464" s="2322"/>
      <c r="AY464" s="2322"/>
      <c r="AZ464" s="2322"/>
      <c r="BA464" s="2322"/>
      <c r="BB464" s="2322"/>
      <c r="BC464" s="2322"/>
      <c r="BD464" s="2322"/>
      <c r="BE464" s="2322"/>
      <c r="BF464" s="2322"/>
      <c r="BG464" s="2322"/>
      <c r="BH464" s="2322"/>
      <c r="BI464" s="2322"/>
      <c r="BJ464" s="2322"/>
      <c r="BK464" s="2322"/>
      <c r="BL464" s="2322"/>
      <c r="BM464" s="2322"/>
      <c r="BN464" s="2322"/>
      <c r="BO464" s="2322"/>
      <c r="BP464" s="2322"/>
      <c r="BQ464" s="2322"/>
      <c r="BR464" s="2322"/>
      <c r="BS464" s="2322"/>
      <c r="BT464" s="2322"/>
      <c r="BU464" s="2322"/>
      <c r="BV464" s="2322"/>
      <c r="BW464" s="2322"/>
      <c r="BX464" s="2322"/>
      <c r="BY464" s="2322"/>
      <c r="BZ464" s="2322"/>
      <c r="CA464" s="2322"/>
      <c r="CB464" s="2322"/>
      <c r="CC464" s="2322"/>
      <c r="CD464" s="2322"/>
      <c r="CE464" s="2322"/>
      <c r="CF464" s="2322"/>
      <c r="CG464" s="2322"/>
      <c r="CH464" s="2322"/>
      <c r="CI464" s="2322"/>
      <c r="CJ464" s="2322"/>
      <c r="CK464" s="2322"/>
      <c r="CL464" s="2322"/>
      <c r="CM464" s="2322"/>
      <c r="CN464" s="2322"/>
      <c r="CO464" s="2322"/>
      <c r="CP464" s="2322"/>
      <c r="CQ464" s="2322"/>
      <c r="CR464" s="2322"/>
      <c r="CS464" s="2322"/>
      <c r="CT464" s="2322"/>
      <c r="CU464" s="2322"/>
      <c r="CV464" s="2322"/>
    </row>
    <row r="465" spans="1:100" ht="15.75" customHeight="1">
      <c r="A465" s="2328"/>
      <c r="B465" s="2322"/>
      <c r="C465" s="2322"/>
      <c r="D465" s="2322"/>
      <c r="E465" s="2322"/>
      <c r="F465" s="2322"/>
      <c r="G465" s="2322"/>
      <c r="H465" s="2322"/>
      <c r="I465" s="2322"/>
      <c r="J465" s="2322"/>
      <c r="K465" s="2322"/>
      <c r="L465" s="2322"/>
      <c r="M465" s="2322"/>
      <c r="N465" s="2322"/>
      <c r="O465" s="2322"/>
      <c r="P465" s="2322"/>
      <c r="Q465" s="2322"/>
      <c r="R465" s="2322"/>
      <c r="S465" s="2322"/>
      <c r="T465" s="2322"/>
      <c r="U465" s="2322"/>
      <c r="V465" s="2322"/>
      <c r="W465" s="2322"/>
      <c r="X465" s="2322"/>
      <c r="Y465" s="2322"/>
      <c r="Z465" s="2322"/>
      <c r="AA465" s="2322"/>
      <c r="AB465" s="2322"/>
      <c r="AC465" s="2322"/>
      <c r="AD465" s="2322"/>
      <c r="AE465" s="2322"/>
      <c r="AF465" s="2322"/>
      <c r="AG465" s="2322"/>
      <c r="AH465" s="2322"/>
      <c r="AI465" s="2322"/>
      <c r="AJ465" s="2322"/>
      <c r="AK465" s="2322"/>
      <c r="AL465" s="2322"/>
      <c r="AM465" s="2322"/>
      <c r="AN465" s="2322"/>
      <c r="AO465" s="2322"/>
      <c r="AP465" s="2322"/>
      <c r="AQ465" s="2322"/>
      <c r="AR465" s="2322"/>
      <c r="AS465" s="2322"/>
      <c r="AT465" s="2322"/>
      <c r="AU465" s="2322"/>
      <c r="AV465" s="2322"/>
      <c r="AW465" s="2322"/>
      <c r="AX465" s="2322"/>
      <c r="AY465" s="2322"/>
      <c r="AZ465" s="2322"/>
      <c r="BA465" s="2322"/>
      <c r="BB465" s="2322"/>
      <c r="BC465" s="2322"/>
      <c r="BD465" s="2322"/>
      <c r="BE465" s="2322"/>
      <c r="BF465" s="2322"/>
      <c r="BG465" s="2322"/>
      <c r="BH465" s="2322"/>
      <c r="BI465" s="2322"/>
      <c r="BJ465" s="2322"/>
      <c r="BK465" s="2322"/>
      <c r="BL465" s="2322"/>
      <c r="BM465" s="2322"/>
      <c r="BN465" s="2322"/>
      <c r="BO465" s="2322"/>
      <c r="BP465" s="2322"/>
      <c r="BQ465" s="2322"/>
      <c r="BR465" s="2322"/>
      <c r="BS465" s="2322"/>
      <c r="BT465" s="2322"/>
      <c r="BU465" s="2322"/>
      <c r="BV465" s="2322"/>
      <c r="BW465" s="2322"/>
      <c r="BX465" s="2322"/>
      <c r="BY465" s="2322"/>
      <c r="BZ465" s="2322"/>
      <c r="CA465" s="2322"/>
      <c r="CB465" s="2322"/>
      <c r="CC465" s="2322"/>
      <c r="CD465" s="2322"/>
      <c r="CE465" s="2322"/>
      <c r="CF465" s="2322"/>
      <c r="CG465" s="2322"/>
      <c r="CH465" s="2322"/>
      <c r="CI465" s="2322"/>
      <c r="CJ465" s="2322"/>
      <c r="CK465" s="2322"/>
      <c r="CL465" s="2322"/>
      <c r="CM465" s="2322"/>
      <c r="CN465" s="2322"/>
      <c r="CO465" s="2322"/>
      <c r="CP465" s="2322"/>
      <c r="CQ465" s="2322"/>
      <c r="CR465" s="2322"/>
      <c r="CS465" s="2322"/>
      <c r="CT465" s="2322"/>
      <c r="CU465" s="2322"/>
      <c r="CV465" s="2322"/>
    </row>
    <row r="466" spans="1:100" ht="15.75" customHeight="1">
      <c r="A466" s="2328"/>
      <c r="B466" s="2322"/>
      <c r="C466" s="2322"/>
      <c r="D466" s="2322"/>
      <c r="E466" s="2322"/>
      <c r="F466" s="2322"/>
      <c r="G466" s="2322"/>
      <c r="H466" s="2322"/>
      <c r="I466" s="2322"/>
      <c r="J466" s="2322"/>
      <c r="K466" s="2322"/>
      <c r="L466" s="2322"/>
      <c r="M466" s="2322"/>
      <c r="N466" s="2322"/>
      <c r="O466" s="2322"/>
      <c r="P466" s="2322"/>
      <c r="Q466" s="2322"/>
      <c r="R466" s="2322"/>
      <c r="S466" s="2322"/>
      <c r="T466" s="2322"/>
      <c r="U466" s="2322"/>
      <c r="V466" s="2322"/>
      <c r="W466" s="2322"/>
      <c r="X466" s="2322"/>
      <c r="Y466" s="2322"/>
      <c r="Z466" s="2322"/>
      <c r="AA466" s="2322"/>
      <c r="AB466" s="2322"/>
      <c r="AC466" s="2322"/>
      <c r="AD466" s="2322"/>
      <c r="AE466" s="2322"/>
      <c r="AF466" s="2322"/>
      <c r="AG466" s="2322"/>
      <c r="AH466" s="2322"/>
      <c r="AI466" s="2322"/>
      <c r="AJ466" s="2322"/>
      <c r="AK466" s="2322"/>
      <c r="AL466" s="2322"/>
      <c r="AM466" s="2322"/>
      <c r="AN466" s="2322"/>
      <c r="AO466" s="2322"/>
      <c r="AP466" s="2322"/>
      <c r="AQ466" s="2322"/>
      <c r="AR466" s="2322"/>
      <c r="AS466" s="2322"/>
      <c r="AT466" s="2322"/>
      <c r="AU466" s="2322"/>
      <c r="AV466" s="2322"/>
      <c r="AW466" s="2322"/>
      <c r="AX466" s="2322"/>
      <c r="AY466" s="2322"/>
      <c r="AZ466" s="2322"/>
      <c r="BA466" s="2322"/>
      <c r="BB466" s="2322"/>
      <c r="BC466" s="2322"/>
      <c r="BD466" s="2322"/>
      <c r="BE466" s="2322"/>
      <c r="BF466" s="2322"/>
      <c r="BG466" s="2322"/>
      <c r="BH466" s="2322"/>
      <c r="BI466" s="2322"/>
      <c r="BJ466" s="2322"/>
      <c r="BK466" s="2322"/>
      <c r="BL466" s="2322"/>
      <c r="BM466" s="2322"/>
      <c r="BN466" s="2322"/>
      <c r="BO466" s="2322"/>
      <c r="BP466" s="2322"/>
      <c r="BQ466" s="2322"/>
      <c r="BR466" s="2322"/>
      <c r="BS466" s="2322"/>
      <c r="BT466" s="2322"/>
      <c r="BU466" s="2322"/>
      <c r="BV466" s="2322"/>
      <c r="BW466" s="2322"/>
      <c r="BX466" s="2322"/>
      <c r="BY466" s="2322"/>
      <c r="BZ466" s="2322"/>
      <c r="CA466" s="2322"/>
      <c r="CB466" s="2322"/>
      <c r="CC466" s="2322"/>
      <c r="CD466" s="2322"/>
      <c r="CE466" s="2322"/>
      <c r="CF466" s="2322"/>
      <c r="CG466" s="2322"/>
      <c r="CH466" s="2322"/>
      <c r="CI466" s="2322"/>
      <c r="CJ466" s="2322"/>
      <c r="CK466" s="2322"/>
      <c r="CL466" s="2322"/>
      <c r="CM466" s="2322"/>
      <c r="CN466" s="2322"/>
      <c r="CO466" s="2322"/>
      <c r="CP466" s="2322"/>
      <c r="CQ466" s="2322"/>
      <c r="CR466" s="2322"/>
      <c r="CS466" s="2322"/>
      <c r="CT466" s="2322"/>
      <c r="CU466" s="2322"/>
      <c r="CV466" s="2322"/>
    </row>
    <row r="467" spans="1:100" ht="15.75" customHeight="1">
      <c r="A467" s="2328"/>
      <c r="B467" s="2322"/>
      <c r="C467" s="2322"/>
      <c r="D467" s="2322"/>
      <c r="E467" s="2322"/>
      <c r="F467" s="2322"/>
      <c r="G467" s="2322"/>
      <c r="H467" s="2322"/>
      <c r="I467" s="2322"/>
      <c r="J467" s="2322"/>
      <c r="K467" s="2322"/>
      <c r="L467" s="2322"/>
      <c r="M467" s="2322"/>
      <c r="N467" s="2322"/>
      <c r="O467" s="2322"/>
      <c r="P467" s="2322"/>
      <c r="Q467" s="2322"/>
      <c r="R467" s="2322"/>
      <c r="S467" s="2322"/>
      <c r="T467" s="2322"/>
      <c r="U467" s="2322"/>
      <c r="V467" s="2322"/>
      <c r="W467" s="2322"/>
      <c r="X467" s="2322"/>
      <c r="Y467" s="2322"/>
      <c r="Z467" s="2322"/>
      <c r="AA467" s="2322"/>
      <c r="AB467" s="2322"/>
      <c r="AC467" s="2322"/>
      <c r="AD467" s="2322"/>
      <c r="AE467" s="2322"/>
      <c r="AF467" s="2322"/>
      <c r="AG467" s="2322"/>
      <c r="AH467" s="2322"/>
      <c r="AI467" s="2322"/>
      <c r="AJ467" s="2322"/>
      <c r="AK467" s="2322"/>
      <c r="AL467" s="2322"/>
      <c r="AM467" s="2322"/>
      <c r="AN467" s="2322"/>
      <c r="AO467" s="2322"/>
      <c r="AP467" s="2322"/>
      <c r="AQ467" s="2322"/>
      <c r="AR467" s="2322"/>
      <c r="AS467" s="2322"/>
      <c r="AT467" s="2322"/>
      <c r="AU467" s="2322"/>
      <c r="AV467" s="2322"/>
      <c r="AW467" s="2322"/>
      <c r="AX467" s="2322"/>
      <c r="AY467" s="2322"/>
      <c r="AZ467" s="2322"/>
      <c r="BA467" s="2322"/>
      <c r="BB467" s="2322"/>
      <c r="BC467" s="2322"/>
      <c r="BD467" s="2322"/>
      <c r="BE467" s="2322"/>
      <c r="BF467" s="2322"/>
      <c r="BG467" s="2322"/>
      <c r="BH467" s="2322"/>
      <c r="BI467" s="2322"/>
      <c r="BJ467" s="2322"/>
      <c r="BK467" s="2322"/>
      <c r="BL467" s="2322"/>
      <c r="BM467" s="2322"/>
      <c r="BN467" s="2322"/>
      <c r="BO467" s="2322"/>
      <c r="BP467" s="2322"/>
      <c r="BQ467" s="2322"/>
      <c r="BR467" s="2322"/>
      <c r="BS467" s="2322"/>
      <c r="BT467" s="2322"/>
      <c r="BU467" s="2322"/>
      <c r="BV467" s="2322"/>
      <c r="BW467" s="2322"/>
      <c r="BX467" s="2322"/>
      <c r="BY467" s="2322"/>
      <c r="BZ467" s="2322"/>
      <c r="CA467" s="2322"/>
      <c r="CB467" s="2322"/>
      <c r="CC467" s="2322"/>
      <c r="CD467" s="2322"/>
      <c r="CE467" s="2322"/>
      <c r="CF467" s="2322"/>
      <c r="CG467" s="2322"/>
      <c r="CH467" s="2322"/>
      <c r="CI467" s="2322"/>
      <c r="CJ467" s="2322"/>
      <c r="CK467" s="2322"/>
      <c r="CL467" s="2322"/>
      <c r="CM467" s="2322"/>
      <c r="CN467" s="2322"/>
      <c r="CO467" s="2322"/>
      <c r="CP467" s="2322"/>
      <c r="CQ467" s="2322"/>
      <c r="CR467" s="2322"/>
      <c r="CS467" s="2322"/>
      <c r="CT467" s="2322"/>
      <c r="CU467" s="2322"/>
      <c r="CV467" s="2322"/>
    </row>
    <row r="468" spans="1:100" ht="15.75" customHeight="1">
      <c r="A468" s="2328"/>
      <c r="B468" s="2322"/>
      <c r="C468" s="2322"/>
      <c r="D468" s="2322"/>
      <c r="E468" s="2322"/>
      <c r="F468" s="2322"/>
      <c r="G468" s="2322"/>
      <c r="H468" s="2322"/>
      <c r="I468" s="2322"/>
      <c r="J468" s="2322"/>
      <c r="K468" s="2322"/>
      <c r="L468" s="2322"/>
      <c r="M468" s="2322"/>
      <c r="N468" s="2322"/>
      <c r="O468" s="2322"/>
      <c r="P468" s="2322"/>
      <c r="Q468" s="2322"/>
      <c r="R468" s="2322"/>
      <c r="S468" s="2322"/>
      <c r="T468" s="2322"/>
      <c r="U468" s="2322"/>
      <c r="V468" s="2322"/>
      <c r="W468" s="2322"/>
      <c r="X468" s="2322"/>
      <c r="Y468" s="2322"/>
      <c r="Z468" s="2322"/>
      <c r="AA468" s="2322"/>
      <c r="AB468" s="2322"/>
      <c r="AC468" s="2322"/>
      <c r="AD468" s="2322"/>
      <c r="AE468" s="2322"/>
      <c r="AF468" s="2322"/>
      <c r="AG468" s="2322"/>
      <c r="AH468" s="2322"/>
      <c r="AI468" s="2322"/>
      <c r="AJ468" s="2322"/>
      <c r="AK468" s="2322"/>
      <c r="AL468" s="2322"/>
      <c r="AM468" s="2322"/>
      <c r="AN468" s="2322"/>
      <c r="AO468" s="2322"/>
      <c r="AP468" s="2322"/>
      <c r="AQ468" s="2322"/>
      <c r="AR468" s="2322"/>
      <c r="AS468" s="2322"/>
      <c r="AT468" s="2322"/>
      <c r="AU468" s="2322"/>
      <c r="AV468" s="2322"/>
      <c r="AW468" s="2322"/>
      <c r="AX468" s="2322"/>
      <c r="AY468" s="2322"/>
      <c r="AZ468" s="2322"/>
      <c r="BA468" s="2322"/>
      <c r="BB468" s="2322"/>
      <c r="BC468" s="2322"/>
      <c r="BD468" s="2322"/>
      <c r="BE468" s="2322"/>
      <c r="BF468" s="2322"/>
      <c r="BG468" s="2322"/>
      <c r="BH468" s="2322"/>
      <c r="BI468" s="2322"/>
      <c r="BJ468" s="2322"/>
      <c r="BK468" s="2322"/>
      <c r="BL468" s="2322"/>
      <c r="BM468" s="2322"/>
      <c r="BN468" s="2322"/>
      <c r="BO468" s="2322"/>
      <c r="BP468" s="2322"/>
      <c r="BQ468" s="2322"/>
      <c r="BR468" s="2322"/>
      <c r="BS468" s="2322"/>
      <c r="BT468" s="2322"/>
      <c r="BU468" s="2322"/>
      <c r="BV468" s="2322"/>
      <c r="BW468" s="2322"/>
      <c r="BX468" s="2322"/>
      <c r="BY468" s="2322"/>
      <c r="BZ468" s="2322"/>
      <c r="CA468" s="2322"/>
      <c r="CB468" s="2322"/>
      <c r="CC468" s="2322"/>
      <c r="CD468" s="2322"/>
      <c r="CE468" s="2322"/>
      <c r="CF468" s="2322"/>
      <c r="CG468" s="2322"/>
      <c r="CH468" s="2322"/>
      <c r="CI468" s="2322"/>
      <c r="CJ468" s="2322"/>
      <c r="CK468" s="2322"/>
      <c r="CL468" s="2322"/>
      <c r="CM468" s="2322"/>
      <c r="CN468" s="2322"/>
      <c r="CO468" s="2322"/>
      <c r="CP468" s="2322"/>
      <c r="CQ468" s="2322"/>
      <c r="CR468" s="2322"/>
      <c r="CS468" s="2322"/>
      <c r="CT468" s="2322"/>
      <c r="CU468" s="2322"/>
      <c r="CV468" s="2322"/>
    </row>
    <row r="469" spans="1:100" ht="15.75" customHeight="1">
      <c r="A469" s="2328"/>
      <c r="B469" s="2322"/>
      <c r="C469" s="2322"/>
      <c r="D469" s="2322"/>
      <c r="E469" s="2322"/>
      <c r="F469" s="2322"/>
      <c r="G469" s="2322"/>
      <c r="H469" s="2322"/>
      <c r="I469" s="2322"/>
      <c r="J469" s="2322"/>
      <c r="K469" s="2322"/>
      <c r="L469" s="2322"/>
      <c r="M469" s="2322"/>
      <c r="N469" s="2322"/>
      <c r="O469" s="2322"/>
      <c r="P469" s="2322"/>
      <c r="Q469" s="2322"/>
      <c r="R469" s="2322"/>
      <c r="S469" s="2322"/>
      <c r="T469" s="2322"/>
      <c r="U469" s="2322"/>
      <c r="V469" s="2322"/>
      <c r="W469" s="2322"/>
      <c r="X469" s="2322"/>
      <c r="Y469" s="2322"/>
      <c r="Z469" s="2322"/>
      <c r="AA469" s="2322"/>
      <c r="AB469" s="2322"/>
      <c r="AC469" s="2322"/>
      <c r="AD469" s="2322"/>
      <c r="AE469" s="2322"/>
      <c r="AF469" s="2322"/>
      <c r="AG469" s="2322"/>
      <c r="AH469" s="2322"/>
      <c r="AI469" s="2322"/>
      <c r="AJ469" s="2322"/>
      <c r="AK469" s="2322"/>
      <c r="AL469" s="2322"/>
      <c r="AM469" s="2322"/>
      <c r="AN469" s="2322"/>
      <c r="AO469" s="2322"/>
      <c r="AP469" s="2322"/>
      <c r="AQ469" s="2322"/>
      <c r="AR469" s="2322"/>
      <c r="AS469" s="2322"/>
      <c r="AT469" s="2322"/>
      <c r="AU469" s="2322"/>
      <c r="AV469" s="2322"/>
      <c r="AW469" s="2322"/>
      <c r="AX469" s="2322"/>
      <c r="AY469" s="2322"/>
      <c r="AZ469" s="2322"/>
      <c r="BA469" s="2322"/>
      <c r="BB469" s="2322"/>
      <c r="BC469" s="2322"/>
      <c r="BD469" s="2322"/>
      <c r="BE469" s="2322"/>
      <c r="BF469" s="2322"/>
      <c r="BG469" s="2322"/>
      <c r="BH469" s="2322"/>
      <c r="BI469" s="2322"/>
      <c r="BJ469" s="2322"/>
      <c r="BK469" s="2322"/>
      <c r="BL469" s="2322"/>
      <c r="BM469" s="2322"/>
      <c r="BN469" s="2322"/>
      <c r="BO469" s="2322"/>
      <c r="BP469" s="2322"/>
      <c r="BQ469" s="2322"/>
      <c r="BR469" s="2322"/>
      <c r="BS469" s="2322"/>
      <c r="BT469" s="2322"/>
      <c r="BU469" s="2322"/>
      <c r="BV469" s="2322"/>
      <c r="BW469" s="2322"/>
      <c r="BX469" s="2322"/>
      <c r="BY469" s="2322"/>
      <c r="BZ469" s="2322"/>
      <c r="CA469" s="2322"/>
      <c r="CB469" s="2322"/>
      <c r="CC469" s="2322"/>
      <c r="CD469" s="2322"/>
      <c r="CE469" s="2322"/>
      <c r="CF469" s="2322"/>
      <c r="CG469" s="2322"/>
      <c r="CH469" s="2322"/>
      <c r="CI469" s="2322"/>
      <c r="CJ469" s="2322"/>
      <c r="CK469" s="2322"/>
      <c r="CL469" s="2322"/>
      <c r="CM469" s="2322"/>
      <c r="CN469" s="2322"/>
      <c r="CO469" s="2322"/>
      <c r="CP469" s="2322"/>
      <c r="CQ469" s="2322"/>
      <c r="CR469" s="2322"/>
      <c r="CS469" s="2322"/>
      <c r="CT469" s="2322"/>
      <c r="CU469" s="2322"/>
      <c r="CV469" s="2322"/>
    </row>
    <row r="470" spans="1:100" ht="15.75" customHeight="1">
      <c r="A470" s="2328"/>
      <c r="B470" s="2322"/>
      <c r="C470" s="2322"/>
      <c r="D470" s="2322"/>
      <c r="E470" s="2322"/>
      <c r="F470" s="2322"/>
      <c r="G470" s="2322"/>
      <c r="H470" s="2322"/>
      <c r="I470" s="2322"/>
      <c r="J470" s="2322"/>
      <c r="K470" s="2322"/>
      <c r="L470" s="2322"/>
      <c r="M470" s="2322"/>
      <c r="N470" s="2322"/>
      <c r="O470" s="2322"/>
      <c r="P470" s="2322"/>
      <c r="Q470" s="2322"/>
      <c r="R470" s="2322"/>
      <c r="S470" s="2322"/>
      <c r="T470" s="2322"/>
      <c r="U470" s="2322"/>
      <c r="V470" s="2322"/>
      <c r="W470" s="2322"/>
      <c r="X470" s="2322"/>
      <c r="Y470" s="2322"/>
      <c r="Z470" s="2322"/>
      <c r="AA470" s="2322"/>
      <c r="AB470" s="2322"/>
      <c r="AC470" s="2322"/>
      <c r="AD470" s="2322"/>
      <c r="AE470" s="2322"/>
      <c r="AF470" s="2322"/>
      <c r="AG470" s="2322"/>
      <c r="AH470" s="2322"/>
      <c r="AI470" s="2322"/>
      <c r="AJ470" s="2322"/>
      <c r="AK470" s="2322"/>
      <c r="AL470" s="2322"/>
      <c r="AM470" s="2322"/>
      <c r="AN470" s="2322"/>
      <c r="AO470" s="2322"/>
      <c r="AP470" s="2322"/>
      <c r="AQ470" s="2322"/>
      <c r="AR470" s="2322"/>
      <c r="AS470" s="2322"/>
      <c r="AT470" s="2322"/>
      <c r="AU470" s="2322"/>
      <c r="AV470" s="2322"/>
      <c r="AW470" s="2322"/>
      <c r="AX470" s="2322"/>
      <c r="AY470" s="2322"/>
      <c r="AZ470" s="2322"/>
      <c r="BA470" s="2322"/>
      <c r="BB470" s="2322"/>
      <c r="BC470" s="2322"/>
      <c r="BD470" s="2322"/>
      <c r="BE470" s="2322"/>
      <c r="BF470" s="2322"/>
      <c r="BG470" s="2322"/>
      <c r="BH470" s="2322"/>
      <c r="BI470" s="2322"/>
      <c r="BJ470" s="2322"/>
      <c r="BK470" s="2322"/>
      <c r="BL470" s="2322"/>
      <c r="BM470" s="2322"/>
      <c r="BN470" s="2322"/>
      <c r="BO470" s="2322"/>
      <c r="BP470" s="2322"/>
      <c r="BQ470" s="2322"/>
      <c r="BR470" s="2322"/>
      <c r="BS470" s="2322"/>
      <c r="BT470" s="2322"/>
      <c r="BU470" s="2322"/>
      <c r="BV470" s="2322"/>
      <c r="BW470" s="2322"/>
      <c r="BX470" s="2322"/>
      <c r="BY470" s="2322"/>
      <c r="BZ470" s="2322"/>
      <c r="CA470" s="2322"/>
      <c r="CB470" s="2322"/>
      <c r="CC470" s="2322"/>
      <c r="CD470" s="2322"/>
      <c r="CE470" s="2322"/>
      <c r="CF470" s="2322"/>
      <c r="CG470" s="2322"/>
      <c r="CH470" s="2322"/>
      <c r="CI470" s="2322"/>
      <c r="CJ470" s="2322"/>
      <c r="CK470" s="2322"/>
      <c r="CL470" s="2322"/>
      <c r="CM470" s="2322"/>
      <c r="CN470" s="2322"/>
      <c r="CO470" s="2322"/>
      <c r="CP470" s="2322"/>
      <c r="CQ470" s="2322"/>
      <c r="CR470" s="2322"/>
      <c r="CS470" s="2322"/>
      <c r="CT470" s="2322"/>
      <c r="CU470" s="2322"/>
      <c r="CV470" s="2322"/>
    </row>
    <row r="471" spans="1:100" ht="15.75" customHeight="1">
      <c r="A471" s="2328"/>
      <c r="B471" s="2322"/>
      <c r="C471" s="2322"/>
      <c r="D471" s="2322"/>
      <c r="E471" s="2322"/>
      <c r="F471" s="2322"/>
      <c r="G471" s="2322"/>
      <c r="H471" s="2322"/>
      <c r="I471" s="2322"/>
      <c r="J471" s="2322"/>
      <c r="K471" s="2322"/>
      <c r="L471" s="2322"/>
      <c r="M471" s="2322"/>
      <c r="N471" s="2322"/>
      <c r="O471" s="2322"/>
      <c r="P471" s="2322"/>
      <c r="Q471" s="2322"/>
      <c r="R471" s="2322"/>
      <c r="S471" s="2322"/>
      <c r="T471" s="2322"/>
      <c r="U471" s="2322"/>
      <c r="V471" s="2322"/>
      <c r="W471" s="2322"/>
      <c r="X471" s="2322"/>
      <c r="Y471" s="2322"/>
      <c r="Z471" s="2322"/>
      <c r="AA471" s="2322"/>
      <c r="AB471" s="2322"/>
      <c r="AC471" s="2322"/>
      <c r="AD471" s="2322"/>
      <c r="AE471" s="2322"/>
      <c r="AF471" s="2322"/>
      <c r="AG471" s="2322"/>
      <c r="AH471" s="2322"/>
      <c r="AI471" s="2322"/>
      <c r="AJ471" s="2322"/>
      <c r="AK471" s="2322"/>
      <c r="AL471" s="2322"/>
      <c r="AM471" s="2322"/>
      <c r="AN471" s="2322"/>
      <c r="AO471" s="2322"/>
      <c r="AP471" s="2322"/>
      <c r="AQ471" s="2322"/>
      <c r="AR471" s="2322"/>
      <c r="AS471" s="2322"/>
      <c r="AT471" s="2322"/>
      <c r="AU471" s="2322"/>
      <c r="AV471" s="2322"/>
      <c r="AW471" s="2322"/>
      <c r="AX471" s="2322"/>
      <c r="AY471" s="2322"/>
      <c r="AZ471" s="2322"/>
      <c r="BA471" s="2322"/>
      <c r="BB471" s="2322"/>
      <c r="BC471" s="2322"/>
      <c r="BD471" s="2322"/>
      <c r="BE471" s="2322"/>
      <c r="BF471" s="2322"/>
      <c r="BG471" s="2322"/>
      <c r="BH471" s="2322"/>
      <c r="BI471" s="2322"/>
      <c r="BJ471" s="2322"/>
      <c r="BK471" s="2322"/>
      <c r="BL471" s="2322"/>
      <c r="BM471" s="2322"/>
      <c r="BN471" s="2322"/>
      <c r="BO471" s="2322"/>
      <c r="BP471" s="2322"/>
      <c r="BQ471" s="2322"/>
      <c r="BR471" s="2322"/>
      <c r="BS471" s="2322"/>
      <c r="BT471" s="2322"/>
      <c r="BU471" s="2322"/>
      <c r="BV471" s="2322"/>
      <c r="BW471" s="2322"/>
      <c r="BX471" s="2322"/>
      <c r="BY471" s="2322"/>
      <c r="BZ471" s="2322"/>
      <c r="CA471" s="2322"/>
      <c r="CB471" s="2322"/>
      <c r="CC471" s="2322"/>
      <c r="CD471" s="2322"/>
      <c r="CE471" s="2322"/>
      <c r="CF471" s="2322"/>
      <c r="CG471" s="2322"/>
      <c r="CH471" s="2322"/>
      <c r="CI471" s="2322"/>
      <c r="CJ471" s="2322"/>
      <c r="CK471" s="2322"/>
      <c r="CL471" s="2322"/>
      <c r="CM471" s="2322"/>
      <c r="CN471" s="2322"/>
      <c r="CO471" s="2322"/>
      <c r="CP471" s="2322"/>
      <c r="CQ471" s="2322"/>
      <c r="CR471" s="2322"/>
      <c r="CS471" s="2322"/>
      <c r="CT471" s="2322"/>
      <c r="CU471" s="2322"/>
      <c r="CV471" s="2322"/>
    </row>
    <row r="472" spans="1:100" ht="15.75" customHeight="1">
      <c r="A472" s="2328"/>
      <c r="B472" s="2322"/>
      <c r="C472" s="2322"/>
      <c r="D472" s="2322"/>
      <c r="E472" s="2322"/>
      <c r="F472" s="2322"/>
      <c r="G472" s="2322"/>
      <c r="H472" s="2322"/>
      <c r="I472" s="2322"/>
      <c r="J472" s="2322"/>
      <c r="K472" s="2322"/>
      <c r="L472" s="2322"/>
      <c r="M472" s="2322"/>
      <c r="N472" s="2322"/>
      <c r="O472" s="2322"/>
      <c r="P472" s="2322"/>
      <c r="Q472" s="2322"/>
      <c r="R472" s="2322"/>
      <c r="S472" s="2322"/>
      <c r="T472" s="2322"/>
      <c r="U472" s="2322"/>
      <c r="V472" s="2322"/>
      <c r="W472" s="2322"/>
      <c r="X472" s="2322"/>
      <c r="Y472" s="2322"/>
      <c r="Z472" s="2322"/>
      <c r="AA472" s="2322"/>
      <c r="AB472" s="2322"/>
      <c r="AC472" s="2322"/>
      <c r="AD472" s="2322"/>
      <c r="AE472" s="2322"/>
      <c r="AF472" s="2322"/>
      <c r="AG472" s="2322"/>
      <c r="AH472" s="2322"/>
      <c r="AI472" s="2322"/>
      <c r="AJ472" s="2322"/>
      <c r="AK472" s="2322"/>
      <c r="AL472" s="2322"/>
      <c r="AM472" s="2322"/>
      <c r="AN472" s="2322"/>
      <c r="AO472" s="2322"/>
      <c r="AP472" s="2322"/>
      <c r="AQ472" s="2322"/>
      <c r="AR472" s="2322"/>
      <c r="AS472" s="2322"/>
      <c r="AT472" s="2322"/>
      <c r="AU472" s="2322"/>
      <c r="AV472" s="2322"/>
      <c r="AW472" s="2322"/>
      <c r="AX472" s="2322"/>
      <c r="AY472" s="2322"/>
      <c r="AZ472" s="2322"/>
      <c r="BA472" s="2322"/>
      <c r="BB472" s="2322"/>
      <c r="BC472" s="2322"/>
      <c r="BD472" s="2322"/>
      <c r="BE472" s="2322"/>
      <c r="BF472" s="2322"/>
      <c r="BG472" s="2322"/>
      <c r="BH472" s="2322"/>
      <c r="BI472" s="2322"/>
      <c r="BJ472" s="2322"/>
      <c r="BK472" s="2322"/>
      <c r="BL472" s="2322"/>
      <c r="BM472" s="2322"/>
      <c r="BN472" s="2322"/>
      <c r="BO472" s="2322"/>
      <c r="BP472" s="2322"/>
      <c r="BQ472" s="2322"/>
      <c r="BR472" s="2322"/>
      <c r="BS472" s="2322"/>
      <c r="BT472" s="2322"/>
      <c r="BU472" s="2322"/>
      <c r="BV472" s="2322"/>
      <c r="BW472" s="2322"/>
      <c r="BX472" s="2322"/>
      <c r="BY472" s="2322"/>
      <c r="BZ472" s="2322"/>
      <c r="CA472" s="2322"/>
      <c r="CB472" s="2322"/>
      <c r="CC472" s="2322"/>
      <c r="CD472" s="2322"/>
      <c r="CE472" s="2322"/>
      <c r="CF472" s="2322"/>
      <c r="CG472" s="2322"/>
      <c r="CH472" s="2322"/>
      <c r="CI472" s="2322"/>
      <c r="CJ472" s="2322"/>
      <c r="CK472" s="2322"/>
      <c r="CL472" s="2322"/>
      <c r="CM472" s="2322"/>
      <c r="CN472" s="2322"/>
      <c r="CO472" s="2322"/>
      <c r="CP472" s="2322"/>
      <c r="CQ472" s="2322"/>
      <c r="CR472" s="2322"/>
      <c r="CS472" s="2322"/>
      <c r="CT472" s="2322"/>
      <c r="CU472" s="2322"/>
      <c r="CV472" s="2322"/>
    </row>
    <row r="473" spans="1:100" ht="15.75" customHeight="1">
      <c r="A473" s="2328"/>
      <c r="B473" s="2322"/>
      <c r="C473" s="2322"/>
      <c r="D473" s="2322"/>
      <c r="E473" s="2322"/>
      <c r="F473" s="2322"/>
      <c r="G473" s="2322"/>
      <c r="H473" s="2322"/>
      <c r="I473" s="2322"/>
      <c r="J473" s="2322"/>
      <c r="K473" s="2322"/>
      <c r="L473" s="2322"/>
      <c r="M473" s="2322"/>
      <c r="N473" s="2322"/>
      <c r="O473" s="2322"/>
      <c r="P473" s="2322"/>
      <c r="Q473" s="2322"/>
      <c r="R473" s="2322"/>
      <c r="S473" s="2322"/>
      <c r="T473" s="2322"/>
      <c r="U473" s="2322"/>
      <c r="V473" s="2322"/>
      <c r="W473" s="2322"/>
      <c r="X473" s="2322"/>
      <c r="Y473" s="2322"/>
      <c r="Z473" s="2322"/>
      <c r="AA473" s="2322"/>
      <c r="AB473" s="2322"/>
      <c r="AC473" s="2322"/>
      <c r="AD473" s="2322"/>
      <c r="AE473" s="2322"/>
      <c r="AF473" s="2322"/>
      <c r="AG473" s="2322"/>
      <c r="AH473" s="2322"/>
      <c r="AI473" s="2322"/>
      <c r="AJ473" s="2322"/>
      <c r="AK473" s="2322"/>
      <c r="AL473" s="2322"/>
      <c r="AM473" s="2322"/>
      <c r="AN473" s="2322"/>
      <c r="AO473" s="2322"/>
      <c r="AP473" s="2322"/>
      <c r="AQ473" s="2322"/>
      <c r="AR473" s="2322"/>
      <c r="AS473" s="2322"/>
      <c r="AT473" s="2322"/>
      <c r="AU473" s="2322"/>
      <c r="AV473" s="2322"/>
      <c r="AW473" s="2322"/>
      <c r="AX473" s="2322"/>
      <c r="AY473" s="2322"/>
      <c r="AZ473" s="2322"/>
      <c r="BA473" s="2322"/>
      <c r="BB473" s="2322"/>
      <c r="BC473" s="2322"/>
      <c r="BD473" s="2322"/>
      <c r="BE473" s="2322"/>
      <c r="BF473" s="2322"/>
      <c r="BG473" s="2322"/>
      <c r="BH473" s="2322"/>
      <c r="BI473" s="2322"/>
      <c r="BJ473" s="2322"/>
      <c r="BK473" s="2322"/>
      <c r="BL473" s="2322"/>
      <c r="BM473" s="2322"/>
      <c r="BN473" s="2322"/>
      <c r="BO473" s="2322"/>
      <c r="BP473" s="2322"/>
      <c r="BQ473" s="2322"/>
      <c r="BR473" s="2322"/>
      <c r="BS473" s="2322"/>
      <c r="BT473" s="2322"/>
      <c r="BU473" s="2322"/>
      <c r="BV473" s="2322"/>
      <c r="BW473" s="2322"/>
      <c r="BX473" s="2322"/>
      <c r="BY473" s="2322"/>
      <c r="BZ473" s="2322"/>
      <c r="CA473" s="2322"/>
      <c r="CB473" s="2322"/>
      <c r="CC473" s="2322"/>
      <c r="CD473" s="2322"/>
      <c r="CE473" s="2322"/>
      <c r="CF473" s="2322"/>
      <c r="CG473" s="2322"/>
      <c r="CH473" s="2322"/>
      <c r="CI473" s="2322"/>
      <c r="CJ473" s="2322"/>
      <c r="CK473" s="2322"/>
      <c r="CL473" s="2322"/>
      <c r="CM473" s="2322"/>
      <c r="CN473" s="2322"/>
      <c r="CO473" s="2322"/>
      <c r="CP473" s="2322"/>
      <c r="CQ473" s="2322"/>
      <c r="CR473" s="2322"/>
      <c r="CS473" s="2322"/>
      <c r="CT473" s="2322"/>
      <c r="CU473" s="2322"/>
      <c r="CV473" s="2322"/>
    </row>
    <row r="474" spans="1:100" ht="15.75" customHeight="1">
      <c r="A474" s="2328"/>
      <c r="B474" s="2322"/>
      <c r="C474" s="2322"/>
      <c r="D474" s="2322"/>
      <c r="E474" s="2322"/>
      <c r="F474" s="2322"/>
      <c r="G474" s="2322"/>
      <c r="H474" s="2322"/>
      <c r="I474" s="2322"/>
      <c r="J474" s="2322"/>
      <c r="K474" s="2322"/>
      <c r="L474" s="2322"/>
      <c r="M474" s="2322"/>
      <c r="N474" s="2322"/>
      <c r="O474" s="2322"/>
      <c r="P474" s="2322"/>
      <c r="Q474" s="2322"/>
      <c r="R474" s="2322"/>
      <c r="S474" s="2322"/>
      <c r="T474" s="2322"/>
      <c r="U474" s="2322"/>
      <c r="V474" s="2322"/>
      <c r="W474" s="2322"/>
      <c r="X474" s="2322"/>
      <c r="Y474" s="2322"/>
      <c r="Z474" s="2322"/>
      <c r="AA474" s="2322"/>
      <c r="AB474" s="2322"/>
      <c r="AC474" s="2322"/>
      <c r="AD474" s="2322"/>
      <c r="AE474" s="2322"/>
      <c r="AF474" s="2322"/>
      <c r="AG474" s="2322"/>
      <c r="AH474" s="2322"/>
      <c r="AI474" s="2322"/>
      <c r="AJ474" s="2322"/>
      <c r="AK474" s="2322"/>
      <c r="AL474" s="2322"/>
      <c r="AM474" s="2322"/>
      <c r="AN474" s="2322"/>
      <c r="AO474" s="2322"/>
      <c r="AP474" s="2322"/>
      <c r="AQ474" s="2322"/>
      <c r="AR474" s="2322"/>
      <c r="AS474" s="2322"/>
      <c r="AT474" s="2322"/>
      <c r="AU474" s="2322"/>
      <c r="AV474" s="2322"/>
      <c r="AW474" s="2322"/>
      <c r="AX474" s="2322"/>
      <c r="AY474" s="2322"/>
      <c r="AZ474" s="2322"/>
      <c r="BA474" s="2322"/>
      <c r="BB474" s="2322"/>
      <c r="BC474" s="2322"/>
      <c r="BD474" s="2322"/>
      <c r="BE474" s="2322"/>
      <c r="BF474" s="2322"/>
      <c r="BG474" s="2322"/>
      <c r="BH474" s="2322"/>
      <c r="BI474" s="2322"/>
      <c r="BJ474" s="2322"/>
      <c r="BK474" s="2322"/>
      <c r="BL474" s="2322"/>
      <c r="BM474" s="2322"/>
      <c r="BN474" s="2322"/>
      <c r="BO474" s="2322"/>
      <c r="BP474" s="2322"/>
      <c r="BQ474" s="2322"/>
      <c r="BR474" s="2322"/>
      <c r="BS474" s="2322"/>
      <c r="BT474" s="2322"/>
      <c r="BU474" s="2322"/>
      <c r="BV474" s="2322"/>
      <c r="BW474" s="2322"/>
      <c r="BX474" s="2322"/>
      <c r="BY474" s="2322"/>
      <c r="BZ474" s="2322"/>
      <c r="CA474" s="2322"/>
      <c r="CB474" s="2322"/>
      <c r="CC474" s="2322"/>
      <c r="CD474" s="2322"/>
      <c r="CE474" s="2322"/>
      <c r="CF474" s="2322"/>
      <c r="CG474" s="2322"/>
      <c r="CH474" s="2322"/>
      <c r="CI474" s="2322"/>
      <c r="CJ474" s="2322"/>
      <c r="CK474" s="2322"/>
      <c r="CL474" s="2322"/>
      <c r="CM474" s="2322"/>
      <c r="CN474" s="2322"/>
      <c r="CO474" s="2322"/>
      <c r="CP474" s="2322"/>
      <c r="CQ474" s="2322"/>
      <c r="CR474" s="2322"/>
      <c r="CS474" s="2322"/>
      <c r="CT474" s="2322"/>
      <c r="CU474" s="2322"/>
      <c r="CV474" s="2322"/>
    </row>
    <row r="475" spans="1:100" ht="15.75" customHeight="1">
      <c r="A475" s="2328"/>
      <c r="B475" s="2322"/>
      <c r="C475" s="2322"/>
      <c r="D475" s="2322"/>
      <c r="E475" s="2322"/>
      <c r="F475" s="2322"/>
      <c r="G475" s="2322"/>
      <c r="H475" s="2322"/>
      <c r="I475" s="2322"/>
      <c r="J475" s="2322"/>
      <c r="K475" s="2322"/>
      <c r="L475" s="2322"/>
      <c r="M475" s="2322"/>
      <c r="N475" s="2322"/>
      <c r="O475" s="2322"/>
      <c r="P475" s="2322"/>
      <c r="Q475" s="2322"/>
      <c r="R475" s="2322"/>
      <c r="S475" s="2322"/>
      <c r="T475" s="2322"/>
      <c r="U475" s="2322"/>
      <c r="V475" s="2322"/>
      <c r="W475" s="2322"/>
      <c r="X475" s="2322"/>
      <c r="Y475" s="2322"/>
      <c r="Z475" s="2322"/>
      <c r="AA475" s="2322"/>
      <c r="AB475" s="2322"/>
      <c r="AC475" s="2322"/>
      <c r="AD475" s="2322"/>
      <c r="AE475" s="2322"/>
      <c r="AF475" s="2322"/>
      <c r="AG475" s="2322"/>
      <c r="AH475" s="2322"/>
      <c r="AI475" s="2322"/>
      <c r="AJ475" s="2322"/>
      <c r="AK475" s="2322"/>
      <c r="AL475" s="2322"/>
      <c r="AM475" s="2322"/>
      <c r="AN475" s="2322"/>
      <c r="AO475" s="2322"/>
      <c r="AP475" s="2322"/>
      <c r="AQ475" s="2322"/>
      <c r="AR475" s="2322"/>
      <c r="AS475" s="2322"/>
      <c r="AT475" s="2322"/>
      <c r="AU475" s="2322"/>
      <c r="AV475" s="2322"/>
      <c r="AW475" s="2322"/>
      <c r="AX475" s="2322"/>
      <c r="AY475" s="2322"/>
      <c r="AZ475" s="2322"/>
      <c r="BA475" s="2322"/>
      <c r="BB475" s="2322"/>
      <c r="BC475" s="2322"/>
      <c r="BD475" s="2322"/>
      <c r="BE475" s="2322"/>
      <c r="BF475" s="2322"/>
      <c r="BG475" s="2322"/>
      <c r="BH475" s="2322"/>
      <c r="BI475" s="2322"/>
      <c r="BJ475" s="2322"/>
      <c r="BK475" s="2322"/>
      <c r="BL475" s="2322"/>
      <c r="BM475" s="2322"/>
      <c r="BN475" s="2322"/>
      <c r="BO475" s="2322"/>
      <c r="BP475" s="2322"/>
      <c r="BQ475" s="2322"/>
      <c r="BR475" s="2322"/>
      <c r="BS475" s="2322"/>
      <c r="BT475" s="2322"/>
      <c r="BU475" s="2322"/>
      <c r="BV475" s="2322"/>
      <c r="BW475" s="2322"/>
      <c r="BX475" s="2322"/>
      <c r="BY475" s="2322"/>
      <c r="BZ475" s="2322"/>
      <c r="CA475" s="2322"/>
      <c r="CB475" s="2322"/>
      <c r="CC475" s="2322"/>
      <c r="CD475" s="2322"/>
      <c r="CE475" s="2322"/>
      <c r="CF475" s="2322"/>
      <c r="CG475" s="2322"/>
      <c r="CH475" s="2322"/>
      <c r="CI475" s="2322"/>
      <c r="CJ475" s="2322"/>
      <c r="CK475" s="2322"/>
      <c r="CL475" s="2322"/>
      <c r="CM475" s="2322"/>
      <c r="CN475" s="2322"/>
      <c r="CO475" s="2322"/>
      <c r="CP475" s="2322"/>
      <c r="CQ475" s="2322"/>
      <c r="CR475" s="2322"/>
      <c r="CS475" s="2322"/>
      <c r="CT475" s="2322"/>
      <c r="CU475" s="2322"/>
      <c r="CV475" s="2322"/>
    </row>
    <row r="476" spans="1:100" ht="15.75" customHeight="1">
      <c r="A476" s="2328"/>
      <c r="B476" s="2322"/>
      <c r="C476" s="2322"/>
      <c r="D476" s="2322"/>
      <c r="E476" s="2322"/>
      <c r="F476" s="2322"/>
      <c r="G476" s="2322"/>
      <c r="H476" s="2322"/>
      <c r="I476" s="2322"/>
      <c r="J476" s="2322"/>
      <c r="K476" s="2322"/>
      <c r="L476" s="2322"/>
      <c r="M476" s="2322"/>
      <c r="N476" s="2322"/>
      <c r="O476" s="2322"/>
      <c r="P476" s="2322"/>
      <c r="Q476" s="2322"/>
      <c r="R476" s="2322"/>
      <c r="S476" s="2322"/>
      <c r="T476" s="2322"/>
      <c r="U476" s="2322"/>
      <c r="V476" s="2322"/>
      <c r="W476" s="2322"/>
      <c r="X476" s="2322"/>
      <c r="Y476" s="2322"/>
      <c r="Z476" s="2322"/>
      <c r="AA476" s="2322"/>
      <c r="AB476" s="2322"/>
      <c r="AC476" s="2322"/>
      <c r="AD476" s="2322"/>
      <c r="AE476" s="2322"/>
      <c r="AF476" s="2322"/>
      <c r="AG476" s="2322"/>
      <c r="AH476" s="2322"/>
      <c r="AI476" s="2322"/>
      <c r="AJ476" s="2322"/>
      <c r="AK476" s="2322"/>
      <c r="AL476" s="2322"/>
      <c r="AM476" s="2322"/>
      <c r="AN476" s="2322"/>
      <c r="AO476" s="2322"/>
      <c r="AP476" s="2322"/>
      <c r="AQ476" s="2322"/>
      <c r="AR476" s="2322"/>
      <c r="AS476" s="2322"/>
      <c r="AT476" s="2322"/>
      <c r="AU476" s="2322"/>
      <c r="AV476" s="2322"/>
      <c r="AW476" s="2322"/>
      <c r="AX476" s="2322"/>
      <c r="AY476" s="2322"/>
      <c r="AZ476" s="2322"/>
      <c r="BA476" s="2322"/>
      <c r="BB476" s="2322"/>
      <c r="BC476" s="2322"/>
      <c r="BD476" s="2322"/>
      <c r="BE476" s="2322"/>
      <c r="BF476" s="2322"/>
      <c r="BG476" s="2322"/>
      <c r="BH476" s="2322"/>
      <c r="BI476" s="2322"/>
      <c r="BJ476" s="2322"/>
      <c r="BK476" s="2322"/>
      <c r="BL476" s="2322"/>
      <c r="BM476" s="2322"/>
      <c r="BN476" s="2322"/>
      <c r="BO476" s="2322"/>
      <c r="BP476" s="2322"/>
      <c r="BQ476" s="2322"/>
      <c r="BR476" s="2322"/>
      <c r="BS476" s="2322"/>
      <c r="BT476" s="2322"/>
      <c r="BU476" s="2322"/>
      <c r="BV476" s="2322"/>
      <c r="BW476" s="2322"/>
      <c r="BX476" s="2322"/>
      <c r="BY476" s="2322"/>
      <c r="BZ476" s="2322"/>
      <c r="CA476" s="2322"/>
      <c r="CB476" s="2322"/>
      <c r="CC476" s="2322"/>
      <c r="CD476" s="2322"/>
      <c r="CE476" s="2322"/>
      <c r="CF476" s="2322"/>
      <c r="CG476" s="2322"/>
      <c r="CH476" s="2322"/>
      <c r="CI476" s="2322"/>
      <c r="CJ476" s="2322"/>
      <c r="CK476" s="2322"/>
      <c r="CL476" s="2322"/>
      <c r="CM476" s="2322"/>
      <c r="CN476" s="2322"/>
      <c r="CO476" s="2322"/>
      <c r="CP476" s="2322"/>
      <c r="CQ476" s="2322"/>
      <c r="CR476" s="2322"/>
      <c r="CS476" s="2322"/>
      <c r="CT476" s="2322"/>
      <c r="CU476" s="2322"/>
      <c r="CV476" s="2322"/>
    </row>
    <row r="477" spans="1:100" ht="15.75" customHeight="1">
      <c r="A477" s="2328"/>
      <c r="B477" s="2322"/>
      <c r="C477" s="2322"/>
      <c r="D477" s="2322"/>
      <c r="E477" s="2322"/>
      <c r="F477" s="2322"/>
      <c r="G477" s="2322"/>
      <c r="H477" s="2322"/>
      <c r="I477" s="2322"/>
      <c r="J477" s="2322"/>
      <c r="K477" s="2322"/>
      <c r="L477" s="2322"/>
      <c r="M477" s="2322"/>
      <c r="N477" s="2322"/>
      <c r="O477" s="2322"/>
      <c r="P477" s="2322"/>
      <c r="Q477" s="2322"/>
      <c r="R477" s="2322"/>
      <c r="S477" s="2322"/>
      <c r="T477" s="2322"/>
      <c r="U477" s="2322"/>
      <c r="V477" s="2322"/>
      <c r="W477" s="2322"/>
      <c r="X477" s="2322"/>
      <c r="Y477" s="2322"/>
      <c r="Z477" s="2322"/>
      <c r="AA477" s="2322"/>
      <c r="AB477" s="2322"/>
      <c r="AC477" s="2322"/>
      <c r="AD477" s="2322"/>
      <c r="AE477" s="2322"/>
      <c r="AF477" s="2322"/>
      <c r="AG477" s="2322"/>
      <c r="AH477" s="2322"/>
      <c r="AI477" s="2322"/>
      <c r="AJ477" s="2322"/>
      <c r="AK477" s="2322"/>
      <c r="AL477" s="2322"/>
      <c r="AM477" s="2322"/>
      <c r="AN477" s="2322"/>
      <c r="AO477" s="2322"/>
      <c r="AP477" s="2322"/>
      <c r="AQ477" s="2322"/>
      <c r="AR477" s="2322"/>
      <c r="AS477" s="2322"/>
      <c r="AT477" s="2322"/>
      <c r="AU477" s="2322"/>
      <c r="AV477" s="2322"/>
      <c r="AW477" s="2322"/>
      <c r="AX477" s="2322"/>
      <c r="AY477" s="2322"/>
      <c r="AZ477" s="2322"/>
      <c r="BA477" s="2322"/>
      <c r="BB477" s="2322"/>
      <c r="BC477" s="2322"/>
      <c r="BD477" s="2322"/>
      <c r="BE477" s="2322"/>
      <c r="BF477" s="2322"/>
      <c r="BG477" s="2322"/>
      <c r="BH477" s="2322"/>
      <c r="BI477" s="2322"/>
      <c r="BJ477" s="2322"/>
      <c r="BK477" s="2322"/>
      <c r="BL477" s="2322"/>
      <c r="BM477" s="2322"/>
      <c r="BN477" s="2322"/>
      <c r="BO477" s="2322"/>
      <c r="BP477" s="2322"/>
      <c r="BQ477" s="2322"/>
      <c r="BR477" s="2322"/>
      <c r="BS477" s="2322"/>
      <c r="BT477" s="2322"/>
      <c r="BU477" s="2322"/>
      <c r="BV477" s="2322"/>
      <c r="BW477" s="2322"/>
      <c r="BX477" s="2322"/>
      <c r="BY477" s="2322"/>
      <c r="BZ477" s="2322"/>
      <c r="CA477" s="2322"/>
      <c r="CB477" s="2322"/>
      <c r="CC477" s="2322"/>
      <c r="CD477" s="2322"/>
      <c r="CE477" s="2322"/>
      <c r="CF477" s="2322"/>
      <c r="CG477" s="2322"/>
      <c r="CH477" s="2322"/>
      <c r="CI477" s="2322"/>
      <c r="CJ477" s="2322"/>
      <c r="CK477" s="2322"/>
      <c r="CL477" s="2322"/>
      <c r="CM477" s="2322"/>
      <c r="CN477" s="2322"/>
      <c r="CO477" s="2322"/>
      <c r="CP477" s="2322"/>
      <c r="CQ477" s="2322"/>
      <c r="CR477" s="2322"/>
      <c r="CS477" s="2322"/>
      <c r="CT477" s="2322"/>
      <c r="CU477" s="2322"/>
      <c r="CV477" s="2322"/>
    </row>
    <row r="478" spans="1:100" ht="15.75" customHeight="1">
      <c r="A478" s="2328"/>
      <c r="B478" s="2322"/>
      <c r="C478" s="2322"/>
      <c r="D478" s="2322"/>
      <c r="E478" s="2322"/>
      <c r="F478" s="2322"/>
      <c r="G478" s="2322"/>
      <c r="H478" s="2322"/>
      <c r="I478" s="2322"/>
      <c r="J478" s="2322"/>
      <c r="K478" s="2322"/>
      <c r="L478" s="2322"/>
      <c r="M478" s="2322"/>
      <c r="N478" s="2322"/>
      <c r="O478" s="2322"/>
      <c r="P478" s="2322"/>
      <c r="Q478" s="2322"/>
      <c r="R478" s="2322"/>
      <c r="S478" s="2322"/>
      <c r="T478" s="2322"/>
      <c r="U478" s="2322"/>
      <c r="V478" s="2322"/>
      <c r="W478" s="2322"/>
      <c r="X478" s="2322"/>
      <c r="Y478" s="2322"/>
      <c r="Z478" s="2322"/>
      <c r="AA478" s="2322"/>
      <c r="AB478" s="2322"/>
      <c r="AC478" s="2322"/>
      <c r="AD478" s="2322"/>
      <c r="AE478" s="2322"/>
      <c r="AF478" s="2322"/>
      <c r="AG478" s="2322"/>
      <c r="AH478" s="2322"/>
      <c r="AI478" s="2322"/>
      <c r="AJ478" s="2322"/>
      <c r="AK478" s="2322"/>
      <c r="AL478" s="2322"/>
      <c r="AM478" s="2322"/>
      <c r="AN478" s="2322"/>
      <c r="AO478" s="2322"/>
      <c r="AP478" s="2322"/>
      <c r="AQ478" s="2322"/>
      <c r="AR478" s="2322"/>
      <c r="AS478" s="2322"/>
      <c r="AT478" s="2322"/>
      <c r="AU478" s="2322"/>
      <c r="AV478" s="2322"/>
      <c r="AW478" s="2322"/>
      <c r="AX478" s="2322"/>
      <c r="AY478" s="2322"/>
      <c r="AZ478" s="2322"/>
      <c r="BA478" s="2322"/>
      <c r="BB478" s="2322"/>
      <c r="BC478" s="2322"/>
      <c r="BD478" s="2322"/>
      <c r="BE478" s="2322"/>
      <c r="BF478" s="2322"/>
      <c r="BG478" s="2322"/>
      <c r="BH478" s="2322"/>
      <c r="BI478" s="2322"/>
      <c r="BJ478" s="2322"/>
      <c r="BK478" s="2322"/>
      <c r="BL478" s="2322"/>
      <c r="BM478" s="2322"/>
      <c r="BN478" s="2322"/>
      <c r="BO478" s="2322"/>
      <c r="BP478" s="2322"/>
      <c r="BQ478" s="2322"/>
      <c r="BR478" s="2322"/>
      <c r="BS478" s="2322"/>
      <c r="BT478" s="2322"/>
      <c r="BU478" s="2322"/>
      <c r="BV478" s="2322"/>
      <c r="BW478" s="2322"/>
      <c r="BX478" s="2322"/>
      <c r="BY478" s="2322"/>
      <c r="BZ478" s="2322"/>
      <c r="CA478" s="2322"/>
      <c r="CB478" s="2322"/>
      <c r="CC478" s="2322"/>
      <c r="CD478" s="2322"/>
      <c r="CE478" s="2322"/>
      <c r="CF478" s="2322"/>
      <c r="CG478" s="2322"/>
      <c r="CH478" s="2322"/>
      <c r="CI478" s="2322"/>
      <c r="CJ478" s="2322"/>
      <c r="CK478" s="2322"/>
      <c r="CL478" s="2322"/>
      <c r="CM478" s="2322"/>
      <c r="CN478" s="2322"/>
      <c r="CO478" s="2322"/>
      <c r="CP478" s="2322"/>
      <c r="CQ478" s="2322"/>
      <c r="CR478" s="2322"/>
      <c r="CS478" s="2322"/>
      <c r="CT478" s="2322"/>
      <c r="CU478" s="2322"/>
      <c r="CV478" s="2322"/>
    </row>
    <row r="479" spans="1:100" ht="15.75" customHeight="1">
      <c r="A479" s="2328"/>
      <c r="B479" s="2322"/>
      <c r="C479" s="2322"/>
      <c r="D479" s="2322"/>
      <c r="E479" s="2322"/>
      <c r="F479" s="2322"/>
      <c r="G479" s="2322"/>
      <c r="H479" s="2322"/>
      <c r="I479" s="2322"/>
      <c r="J479" s="2322"/>
      <c r="K479" s="2322"/>
      <c r="L479" s="2322"/>
      <c r="M479" s="2322"/>
      <c r="N479" s="2322"/>
      <c r="O479" s="2322"/>
      <c r="P479" s="2322"/>
      <c r="Q479" s="2322"/>
      <c r="R479" s="2322"/>
      <c r="S479" s="2322"/>
      <c r="T479" s="2322"/>
      <c r="U479" s="2322"/>
      <c r="V479" s="2322"/>
      <c r="W479" s="2322"/>
      <c r="X479" s="2322"/>
      <c r="Y479" s="2322"/>
      <c r="Z479" s="2322"/>
      <c r="AA479" s="2322"/>
      <c r="AB479" s="2322"/>
      <c r="AC479" s="2322"/>
      <c r="AD479" s="2322"/>
      <c r="AE479" s="2322"/>
      <c r="AF479" s="2322"/>
      <c r="AG479" s="2322"/>
      <c r="AH479" s="2322"/>
      <c r="AI479" s="2322"/>
      <c r="AJ479" s="2322"/>
      <c r="AK479" s="2322"/>
      <c r="AL479" s="2322"/>
      <c r="AM479" s="2322"/>
      <c r="AN479" s="2322"/>
      <c r="AO479" s="2322"/>
      <c r="AP479" s="2322"/>
      <c r="AQ479" s="2322"/>
      <c r="AR479" s="2322"/>
      <c r="AS479" s="2322"/>
      <c r="AT479" s="2322"/>
      <c r="AU479" s="2322"/>
      <c r="AV479" s="2322"/>
      <c r="AW479" s="2322"/>
      <c r="AX479" s="2322"/>
      <c r="AY479" s="2322"/>
      <c r="AZ479" s="2322"/>
      <c r="BA479" s="2322"/>
      <c r="BB479" s="2322"/>
      <c r="BC479" s="2322"/>
      <c r="BD479" s="2322"/>
      <c r="BE479" s="2322"/>
      <c r="BF479" s="2322"/>
      <c r="BG479" s="2322"/>
      <c r="BH479" s="2322"/>
      <c r="BI479" s="2322"/>
      <c r="BJ479" s="2322"/>
      <c r="BK479" s="2322"/>
      <c r="BL479" s="2322"/>
      <c r="BM479" s="2322"/>
      <c r="BN479" s="2322"/>
      <c r="BO479" s="2322"/>
      <c r="BP479" s="2322"/>
      <c r="BQ479" s="2322"/>
      <c r="BR479" s="2322"/>
      <c r="BS479" s="2322"/>
      <c r="BT479" s="2322"/>
      <c r="BU479" s="2322"/>
      <c r="BV479" s="2322"/>
      <c r="BW479" s="2322"/>
      <c r="BX479" s="2322"/>
      <c r="BY479" s="2322"/>
      <c r="BZ479" s="2322"/>
      <c r="CA479" s="2322"/>
      <c r="CB479" s="2322"/>
      <c r="CC479" s="2322"/>
      <c r="CD479" s="2322"/>
      <c r="CE479" s="2322"/>
      <c r="CF479" s="2322"/>
      <c r="CG479" s="2322"/>
      <c r="CH479" s="2322"/>
      <c r="CI479" s="2322"/>
      <c r="CJ479" s="2322"/>
      <c r="CK479" s="2322"/>
      <c r="CL479" s="2322"/>
      <c r="CM479" s="2322"/>
      <c r="CN479" s="2322"/>
      <c r="CO479" s="2322"/>
      <c r="CP479" s="2322"/>
      <c r="CQ479" s="2322"/>
      <c r="CR479" s="2322"/>
      <c r="CS479" s="2322"/>
      <c r="CT479" s="2322"/>
      <c r="CU479" s="2322"/>
      <c r="CV479" s="2322"/>
    </row>
    <row r="480" spans="1:100" ht="15.75" customHeight="1">
      <c r="A480" s="2328"/>
      <c r="B480" s="2322"/>
      <c r="C480" s="2322"/>
      <c r="D480" s="2322"/>
      <c r="E480" s="2322"/>
      <c r="F480" s="2322"/>
      <c r="G480" s="2322"/>
      <c r="H480" s="2322"/>
      <c r="I480" s="2322"/>
      <c r="J480" s="2322"/>
      <c r="K480" s="2322"/>
      <c r="L480" s="2322"/>
      <c r="M480" s="2322"/>
      <c r="N480" s="2322"/>
      <c r="O480" s="2322"/>
      <c r="P480" s="2322"/>
      <c r="Q480" s="2322"/>
      <c r="R480" s="2322"/>
      <c r="S480" s="2322"/>
      <c r="T480" s="2322"/>
      <c r="U480" s="2322"/>
      <c r="V480" s="2322"/>
      <c r="W480" s="2322"/>
      <c r="X480" s="2322"/>
      <c r="Y480" s="2322"/>
      <c r="Z480" s="2322"/>
      <c r="AA480" s="2322"/>
      <c r="AB480" s="2322"/>
      <c r="AC480" s="2322"/>
      <c r="AD480" s="2322"/>
      <c r="AE480" s="2322"/>
      <c r="AF480" s="2322"/>
      <c r="AG480" s="2322"/>
      <c r="AH480" s="2322"/>
      <c r="AI480" s="2322"/>
      <c r="AJ480" s="2322"/>
      <c r="AK480" s="2322"/>
      <c r="AL480" s="2322"/>
      <c r="AM480" s="2322"/>
      <c r="AN480" s="2322"/>
      <c r="AO480" s="2322"/>
      <c r="AP480" s="2322"/>
      <c r="AQ480" s="2322"/>
      <c r="AR480" s="2322"/>
      <c r="AS480" s="2322"/>
      <c r="AT480" s="2322"/>
      <c r="AU480" s="2322"/>
      <c r="AV480" s="2322"/>
      <c r="AW480" s="2322"/>
      <c r="AX480" s="2322"/>
      <c r="AY480" s="2322"/>
      <c r="AZ480" s="2322"/>
      <c r="BA480" s="2322"/>
      <c r="BB480" s="2322"/>
      <c r="BC480" s="2322"/>
      <c r="BD480" s="2322"/>
      <c r="BE480" s="2322"/>
      <c r="BF480" s="2322"/>
      <c r="BG480" s="2322"/>
      <c r="BH480" s="2322"/>
      <c r="BI480" s="2322"/>
      <c r="BJ480" s="2322"/>
      <c r="BK480" s="2322"/>
      <c r="BL480" s="2322"/>
      <c r="BM480" s="2322"/>
      <c r="BN480" s="2322"/>
      <c r="BO480" s="2322"/>
      <c r="BP480" s="2322"/>
      <c r="BQ480" s="2322"/>
      <c r="BR480" s="2322"/>
      <c r="BS480" s="2322"/>
      <c r="BT480" s="2322"/>
      <c r="BU480" s="2322"/>
      <c r="BV480" s="2322"/>
      <c r="BW480" s="2322"/>
      <c r="BX480" s="2322"/>
      <c r="BY480" s="2322"/>
      <c r="BZ480" s="2322"/>
      <c r="CA480" s="2322"/>
      <c r="CB480" s="2322"/>
      <c r="CC480" s="2322"/>
      <c r="CD480" s="2322"/>
      <c r="CE480" s="2322"/>
      <c r="CF480" s="2322"/>
      <c r="CG480" s="2322"/>
      <c r="CH480" s="2322"/>
      <c r="CI480" s="2322"/>
      <c r="CJ480" s="2322"/>
      <c r="CK480" s="2322"/>
      <c r="CL480" s="2322"/>
      <c r="CM480" s="2322"/>
      <c r="CN480" s="2322"/>
      <c r="CO480" s="2322"/>
      <c r="CP480" s="2322"/>
      <c r="CQ480" s="2322"/>
      <c r="CR480" s="2322"/>
      <c r="CS480" s="2322"/>
      <c r="CT480" s="2322"/>
      <c r="CU480" s="2322"/>
      <c r="CV480" s="2322"/>
    </row>
    <row r="481" spans="1:100" ht="15.75" customHeight="1">
      <c r="A481" s="2328"/>
      <c r="B481" s="2322"/>
      <c r="C481" s="2322"/>
      <c r="D481" s="2322"/>
      <c r="E481" s="2322"/>
      <c r="F481" s="2322"/>
      <c r="G481" s="2322"/>
      <c r="H481" s="2322"/>
      <c r="I481" s="2322"/>
      <c r="J481" s="2322"/>
      <c r="K481" s="2322"/>
      <c r="L481" s="2322"/>
      <c r="M481" s="2322"/>
      <c r="N481" s="2322"/>
      <c r="O481" s="2322"/>
      <c r="P481" s="2322"/>
      <c r="Q481" s="2322"/>
      <c r="R481" s="2322"/>
      <c r="S481" s="2322"/>
      <c r="T481" s="2322"/>
      <c r="U481" s="2322"/>
      <c r="V481" s="2322"/>
      <c r="W481" s="2322"/>
      <c r="X481" s="2322"/>
      <c r="Y481" s="2322"/>
      <c r="Z481" s="2322"/>
      <c r="AA481" s="2322"/>
      <c r="AB481" s="2322"/>
      <c r="AC481" s="2322"/>
      <c r="AD481" s="2322"/>
      <c r="AE481" s="2322"/>
      <c r="AF481" s="2322"/>
      <c r="AG481" s="2322"/>
      <c r="AH481" s="2322"/>
      <c r="AI481" s="2322"/>
      <c r="AJ481" s="2322"/>
      <c r="AK481" s="2322"/>
      <c r="AL481" s="2322"/>
      <c r="AM481" s="2322"/>
      <c r="AN481" s="2322"/>
      <c r="AO481" s="2322"/>
      <c r="AP481" s="2322"/>
      <c r="AQ481" s="2322"/>
      <c r="AR481" s="2322"/>
      <c r="AS481" s="2322"/>
      <c r="AT481" s="2322"/>
      <c r="AU481" s="2322"/>
      <c r="AV481" s="2322"/>
      <c r="AW481" s="2322"/>
      <c r="AX481" s="2322"/>
      <c r="AY481" s="2322"/>
      <c r="AZ481" s="2322"/>
      <c r="BA481" s="2322"/>
      <c r="BB481" s="2322"/>
      <c r="BC481" s="2322"/>
      <c r="BD481" s="2322"/>
      <c r="BE481" s="2322"/>
      <c r="BF481" s="2322"/>
      <c r="BG481" s="2322"/>
      <c r="BH481" s="2322"/>
      <c r="BI481" s="2322"/>
      <c r="BJ481" s="2322"/>
      <c r="BK481" s="2322"/>
      <c r="BL481" s="2322"/>
      <c r="BM481" s="2322"/>
      <c r="BN481" s="2322"/>
      <c r="BO481" s="2322"/>
      <c r="BP481" s="2322"/>
      <c r="BQ481" s="2322"/>
      <c r="BR481" s="2322"/>
      <c r="BS481" s="2322"/>
      <c r="BT481" s="2322"/>
      <c r="BU481" s="2322"/>
      <c r="BV481" s="2322"/>
      <c r="BW481" s="2322"/>
      <c r="BX481" s="2322"/>
      <c r="BY481" s="2322"/>
      <c r="BZ481" s="2322"/>
      <c r="CA481" s="2322"/>
      <c r="CB481" s="2322"/>
      <c r="CC481" s="2322"/>
      <c r="CD481" s="2322"/>
      <c r="CE481" s="2322"/>
      <c r="CF481" s="2322"/>
      <c r="CG481" s="2322"/>
      <c r="CH481" s="2322"/>
      <c r="CI481" s="2322"/>
      <c r="CJ481" s="2322"/>
      <c r="CK481" s="2322"/>
      <c r="CL481" s="2322"/>
      <c r="CM481" s="2322"/>
      <c r="CN481" s="2322"/>
      <c r="CO481" s="2322"/>
      <c r="CP481" s="2322"/>
      <c r="CQ481" s="2322"/>
      <c r="CR481" s="2322"/>
      <c r="CS481" s="2322"/>
      <c r="CT481" s="2322"/>
      <c r="CU481" s="2322"/>
      <c r="CV481" s="2322"/>
    </row>
    <row r="482" spans="1:100" ht="15.75" customHeight="1">
      <c r="A482" s="2328"/>
      <c r="B482" s="2322"/>
      <c r="C482" s="2322"/>
      <c r="D482" s="2322"/>
      <c r="E482" s="2322"/>
      <c r="F482" s="2322"/>
      <c r="G482" s="2322"/>
      <c r="H482" s="2322"/>
      <c r="I482" s="2322"/>
      <c r="J482" s="2322"/>
      <c r="K482" s="2322"/>
      <c r="L482" s="2322"/>
      <c r="M482" s="2322"/>
      <c r="N482" s="2322"/>
      <c r="O482" s="2322"/>
      <c r="P482" s="2322"/>
      <c r="Q482" s="2322"/>
      <c r="R482" s="2322"/>
      <c r="S482" s="2322"/>
      <c r="T482" s="2322"/>
      <c r="U482" s="2322"/>
      <c r="V482" s="2322"/>
      <c r="W482" s="2322"/>
      <c r="X482" s="2322"/>
      <c r="Y482" s="2322"/>
      <c r="Z482" s="2322"/>
      <c r="AA482" s="2322"/>
      <c r="AB482" s="2322"/>
      <c r="AC482" s="2322"/>
      <c r="AD482" s="2322"/>
      <c r="AE482" s="2322"/>
      <c r="AF482" s="2322"/>
      <c r="AG482" s="2322"/>
      <c r="AH482" s="2322"/>
      <c r="AI482" s="2322"/>
      <c r="AJ482" s="2322"/>
      <c r="AK482" s="2322"/>
      <c r="AL482" s="2322"/>
      <c r="AM482" s="2322"/>
      <c r="AN482" s="2322"/>
      <c r="AO482" s="2322"/>
      <c r="AP482" s="2322"/>
      <c r="AQ482" s="2322"/>
      <c r="AR482" s="2322"/>
      <c r="AS482" s="2322"/>
      <c r="AT482" s="2322"/>
      <c r="AU482" s="2322"/>
      <c r="AV482" s="2322"/>
      <c r="AW482" s="2322"/>
      <c r="AX482" s="2322"/>
      <c r="AY482" s="2322"/>
      <c r="AZ482" s="2322"/>
      <c r="BA482" s="2322"/>
      <c r="BB482" s="2322"/>
      <c r="BC482" s="2322"/>
      <c r="BD482" s="2322"/>
      <c r="BE482" s="2322"/>
      <c r="BF482" s="2322"/>
      <c r="BG482" s="2322"/>
      <c r="BH482" s="2322"/>
      <c r="BI482" s="2322"/>
      <c r="BJ482" s="2322"/>
      <c r="BK482" s="2322"/>
      <c r="BL482" s="2322"/>
      <c r="BM482" s="2322"/>
      <c r="BN482" s="2322"/>
      <c r="BO482" s="2322"/>
      <c r="BP482" s="2322"/>
      <c r="BQ482" s="2322"/>
      <c r="BR482" s="2322"/>
      <c r="BS482" s="2322"/>
      <c r="BT482" s="2322"/>
      <c r="BU482" s="2322"/>
      <c r="BV482" s="2322"/>
      <c r="BW482" s="2322"/>
      <c r="BX482" s="2322"/>
      <c r="BY482" s="2322"/>
      <c r="BZ482" s="2322"/>
      <c r="CA482" s="2322"/>
      <c r="CB482" s="2322"/>
      <c r="CC482" s="2322"/>
      <c r="CD482" s="2322"/>
      <c r="CE482" s="2322"/>
      <c r="CF482" s="2322"/>
      <c r="CG482" s="2322"/>
      <c r="CH482" s="2322"/>
      <c r="CI482" s="2322"/>
      <c r="CJ482" s="2322"/>
      <c r="CK482" s="2322"/>
      <c r="CL482" s="2322"/>
      <c r="CM482" s="2322"/>
      <c r="CN482" s="2322"/>
      <c r="CO482" s="2322"/>
      <c r="CP482" s="2322"/>
      <c r="CQ482" s="2322"/>
      <c r="CR482" s="2322"/>
      <c r="CS482" s="2322"/>
      <c r="CT482" s="2322"/>
      <c r="CU482" s="2322"/>
      <c r="CV482" s="2322"/>
    </row>
    <row r="483" spans="1:100" ht="15.75" customHeight="1">
      <c r="A483" s="2328"/>
      <c r="B483" s="2322"/>
      <c r="C483" s="2322"/>
      <c r="D483" s="2322"/>
      <c r="E483" s="2322"/>
      <c r="F483" s="2322"/>
      <c r="G483" s="2322"/>
      <c r="H483" s="2322"/>
      <c r="I483" s="2322"/>
      <c r="J483" s="2322"/>
      <c r="K483" s="2322"/>
      <c r="L483" s="2322"/>
      <c r="M483" s="2322"/>
      <c r="N483" s="2322"/>
      <c r="O483" s="2322"/>
      <c r="P483" s="2322"/>
      <c r="Q483" s="2322"/>
      <c r="R483" s="2322"/>
      <c r="S483" s="2322"/>
      <c r="T483" s="2322"/>
      <c r="U483" s="2322"/>
      <c r="V483" s="2322"/>
      <c r="W483" s="2322"/>
      <c r="X483" s="2322"/>
      <c r="Y483" s="2322"/>
      <c r="Z483" s="2322"/>
      <c r="AA483" s="2322"/>
      <c r="AB483" s="2322"/>
      <c r="AC483" s="2322"/>
      <c r="AD483" s="2322"/>
      <c r="AE483" s="2322"/>
      <c r="AF483" s="2322"/>
      <c r="AG483" s="2322"/>
      <c r="AH483" s="2322"/>
      <c r="AI483" s="2322"/>
      <c r="AJ483" s="2322"/>
      <c r="AK483" s="2322"/>
      <c r="AL483" s="2322"/>
      <c r="AM483" s="2322"/>
      <c r="AN483" s="2322"/>
      <c r="AO483" s="2322"/>
      <c r="AP483" s="2322"/>
      <c r="AQ483" s="2322"/>
      <c r="AR483" s="2322"/>
      <c r="AS483" s="2322"/>
      <c r="AT483" s="2322"/>
      <c r="AU483" s="2322"/>
      <c r="AV483" s="2322"/>
      <c r="AW483" s="2322"/>
      <c r="AX483" s="2322"/>
      <c r="AY483" s="2322"/>
      <c r="AZ483" s="2322"/>
      <c r="BA483" s="2322"/>
      <c r="BB483" s="2322"/>
      <c r="BC483" s="2322"/>
      <c r="BD483" s="2322"/>
      <c r="BE483" s="2322"/>
      <c r="BF483" s="2322"/>
      <c r="BG483" s="2322"/>
      <c r="BH483" s="2322"/>
      <c r="BI483" s="2322"/>
      <c r="BJ483" s="2322"/>
      <c r="BK483" s="2322"/>
      <c r="BL483" s="2322"/>
      <c r="BM483" s="2322"/>
      <c r="BN483" s="2322"/>
      <c r="BO483" s="2322"/>
      <c r="BP483" s="2322"/>
      <c r="BQ483" s="2322"/>
      <c r="BR483" s="2322"/>
      <c r="BS483" s="2322"/>
      <c r="BT483" s="2322"/>
      <c r="BU483" s="2322"/>
      <c r="BV483" s="2322"/>
      <c r="BW483" s="2322"/>
      <c r="BX483" s="2322"/>
      <c r="BY483" s="2322"/>
      <c r="BZ483" s="2322"/>
      <c r="CA483" s="2322"/>
      <c r="CB483" s="2322"/>
      <c r="CC483" s="2322"/>
      <c r="CD483" s="2322"/>
      <c r="CE483" s="2322"/>
      <c r="CF483" s="2322"/>
      <c r="CG483" s="2322"/>
      <c r="CH483" s="2322"/>
      <c r="CI483" s="2322"/>
      <c r="CJ483" s="2322"/>
      <c r="CK483" s="2322"/>
      <c r="CL483" s="2322"/>
      <c r="CM483" s="2322"/>
      <c r="CN483" s="2322"/>
      <c r="CO483" s="2322"/>
      <c r="CP483" s="2322"/>
      <c r="CQ483" s="2322"/>
      <c r="CR483" s="2322"/>
      <c r="CS483" s="2322"/>
      <c r="CT483" s="2322"/>
      <c r="CU483" s="2322"/>
      <c r="CV483" s="2322"/>
    </row>
    <row r="484" spans="1:100" ht="15.75" customHeight="1">
      <c r="A484" s="2328"/>
      <c r="B484" s="2322"/>
      <c r="C484" s="2322"/>
      <c r="D484" s="2322"/>
      <c r="E484" s="2322"/>
      <c r="F484" s="2322"/>
      <c r="G484" s="2322"/>
      <c r="H484" s="2322"/>
      <c r="I484" s="2322"/>
      <c r="J484" s="2322"/>
      <c r="K484" s="2322"/>
      <c r="L484" s="2322"/>
      <c r="M484" s="2322"/>
      <c r="N484" s="2322"/>
      <c r="O484" s="2322"/>
      <c r="P484" s="2322"/>
      <c r="Q484" s="2322"/>
      <c r="R484" s="2322"/>
      <c r="S484" s="2322"/>
      <c r="T484" s="2322"/>
      <c r="U484" s="2322"/>
      <c r="V484" s="2322"/>
      <c r="W484" s="2322"/>
      <c r="X484" s="2322"/>
      <c r="Y484" s="2322"/>
      <c r="Z484" s="2322"/>
      <c r="AA484" s="2322"/>
      <c r="AB484" s="2322"/>
      <c r="AC484" s="2322"/>
      <c r="AD484" s="2322"/>
      <c r="AE484" s="2322"/>
      <c r="AF484" s="2322"/>
      <c r="AG484" s="2322"/>
      <c r="AH484" s="2322"/>
      <c r="AI484" s="2322"/>
      <c r="AJ484" s="2322"/>
      <c r="AK484" s="2322"/>
      <c r="AL484" s="2322"/>
      <c r="AM484" s="2322"/>
      <c r="AN484" s="2322"/>
      <c r="AO484" s="2322"/>
      <c r="AP484" s="2322"/>
      <c r="AQ484" s="2322"/>
      <c r="AR484" s="2322"/>
      <c r="AS484" s="2322"/>
      <c r="AT484" s="2322"/>
      <c r="AU484" s="2322"/>
      <c r="AV484" s="2322"/>
      <c r="AW484" s="2322"/>
      <c r="AX484" s="2322"/>
      <c r="AY484" s="2322"/>
      <c r="AZ484" s="2322"/>
      <c r="BA484" s="2322"/>
      <c r="BB484" s="2322"/>
      <c r="BC484" s="2322"/>
      <c r="BD484" s="2322"/>
      <c r="BE484" s="2322"/>
      <c r="BF484" s="2322"/>
      <c r="BG484" s="2322"/>
      <c r="BH484" s="2322"/>
      <c r="BI484" s="2322"/>
      <c r="BJ484" s="2322"/>
      <c r="BK484" s="2322"/>
      <c r="BL484" s="2322"/>
      <c r="BM484" s="2322"/>
      <c r="BN484" s="2322"/>
      <c r="BO484" s="2322"/>
      <c r="BP484" s="2322"/>
      <c r="BQ484" s="2322"/>
      <c r="BR484" s="2322"/>
      <c r="BS484" s="2322"/>
      <c r="BT484" s="2322"/>
      <c r="BU484" s="2322"/>
      <c r="BV484" s="2322"/>
      <c r="BW484" s="2322"/>
      <c r="BX484" s="2322"/>
      <c r="BY484" s="2322"/>
      <c r="BZ484" s="2322"/>
      <c r="CA484" s="2322"/>
      <c r="CB484" s="2322"/>
      <c r="CC484" s="2322"/>
      <c r="CD484" s="2322"/>
      <c r="CE484" s="2322"/>
      <c r="CF484" s="2322"/>
      <c r="CG484" s="2322"/>
      <c r="CH484" s="2322"/>
      <c r="CI484" s="2322"/>
      <c r="CJ484" s="2322"/>
      <c r="CK484" s="2322"/>
      <c r="CL484" s="2322"/>
      <c r="CM484" s="2322"/>
      <c r="CN484" s="2322"/>
      <c r="CO484" s="2322"/>
      <c r="CP484" s="2322"/>
      <c r="CQ484" s="2322"/>
      <c r="CR484" s="2322"/>
      <c r="CS484" s="2322"/>
      <c r="CT484" s="2322"/>
      <c r="CU484" s="2322"/>
      <c r="CV484" s="2322"/>
    </row>
    <row r="485" spans="1:100" ht="15.75" customHeight="1">
      <c r="A485" s="2328"/>
      <c r="B485" s="2322"/>
      <c r="C485" s="2322"/>
      <c r="D485" s="2322"/>
      <c r="E485" s="2322"/>
      <c r="F485" s="2322"/>
      <c r="G485" s="2322"/>
      <c r="H485" s="2322"/>
      <c r="I485" s="2322"/>
      <c r="J485" s="2322"/>
      <c r="K485" s="2322"/>
      <c r="L485" s="2322"/>
      <c r="M485" s="2322"/>
      <c r="N485" s="2322"/>
      <c r="O485" s="2322"/>
      <c r="P485" s="2322"/>
      <c r="Q485" s="2322"/>
      <c r="R485" s="2322"/>
      <c r="S485" s="2322"/>
      <c r="T485" s="2322"/>
      <c r="U485" s="2322"/>
      <c r="V485" s="2322"/>
      <c r="W485" s="2322"/>
      <c r="X485" s="2322"/>
      <c r="Y485" s="2322"/>
      <c r="Z485" s="2322"/>
      <c r="AA485" s="2322"/>
      <c r="AB485" s="2322"/>
      <c r="AC485" s="2322"/>
      <c r="AD485" s="2322"/>
      <c r="AE485" s="2322"/>
      <c r="AF485" s="2322"/>
      <c r="AG485" s="2322"/>
      <c r="AH485" s="2322"/>
      <c r="AI485" s="2322"/>
      <c r="AJ485" s="2322"/>
      <c r="AK485" s="2322"/>
      <c r="AL485" s="2322"/>
      <c r="AM485" s="2322"/>
      <c r="AN485" s="2322"/>
      <c r="AO485" s="2322"/>
      <c r="AP485" s="2322"/>
      <c r="AQ485" s="2322"/>
      <c r="AR485" s="2322"/>
      <c r="AS485" s="2322"/>
      <c r="AT485" s="2322"/>
      <c r="AU485" s="2322"/>
      <c r="AV485" s="2322"/>
      <c r="AW485" s="2322"/>
      <c r="AX485" s="2322"/>
      <c r="AY485" s="2322"/>
      <c r="AZ485" s="2322"/>
      <c r="BA485" s="2322"/>
      <c r="BB485" s="2322"/>
      <c r="BC485" s="2322"/>
      <c r="BD485" s="2322"/>
      <c r="BE485" s="2322"/>
      <c r="BF485" s="2322"/>
      <c r="BG485" s="2322"/>
      <c r="BH485" s="2322"/>
      <c r="BI485" s="2322"/>
      <c r="BJ485" s="2322"/>
      <c r="BK485" s="2322"/>
      <c r="BL485" s="2322"/>
      <c r="BM485" s="2322"/>
      <c r="BN485" s="2322"/>
      <c r="BO485" s="2322"/>
      <c r="BP485" s="2322"/>
      <c r="BQ485" s="2322"/>
      <c r="BR485" s="2322"/>
      <c r="BS485" s="2322"/>
      <c r="BT485" s="2322"/>
      <c r="BU485" s="2322"/>
      <c r="BV485" s="2322"/>
      <c r="BW485" s="2322"/>
      <c r="BX485" s="2322"/>
      <c r="BY485" s="2322"/>
      <c r="BZ485" s="2322"/>
      <c r="CA485" s="2322"/>
      <c r="CB485" s="2322"/>
      <c r="CC485" s="2322"/>
      <c r="CD485" s="2322"/>
      <c r="CE485" s="2322"/>
      <c r="CF485" s="2322"/>
      <c r="CG485" s="2322"/>
      <c r="CH485" s="2322"/>
      <c r="CI485" s="2322"/>
      <c r="CJ485" s="2322"/>
      <c r="CK485" s="2322"/>
      <c r="CL485" s="2322"/>
      <c r="CM485" s="2322"/>
      <c r="CN485" s="2322"/>
      <c r="CO485" s="2322"/>
      <c r="CP485" s="2322"/>
      <c r="CQ485" s="2322"/>
      <c r="CR485" s="2322"/>
      <c r="CS485" s="2322"/>
      <c r="CT485" s="2322"/>
      <c r="CU485" s="2322"/>
      <c r="CV485" s="2322"/>
    </row>
    <row r="486" spans="1:100" ht="15.75" customHeight="1">
      <c r="A486" s="2328"/>
      <c r="B486" s="2322"/>
      <c r="C486" s="2322"/>
      <c r="D486" s="2322"/>
      <c r="E486" s="2322"/>
      <c r="F486" s="2322"/>
      <c r="G486" s="2322"/>
      <c r="H486" s="2322"/>
      <c r="I486" s="2322"/>
      <c r="J486" s="2322"/>
      <c r="K486" s="2322"/>
      <c r="L486" s="2322"/>
      <c r="M486" s="2322"/>
      <c r="N486" s="2322"/>
      <c r="O486" s="2322"/>
      <c r="P486" s="2322"/>
      <c r="Q486" s="2322"/>
      <c r="R486" s="2322"/>
      <c r="S486" s="2322"/>
      <c r="T486" s="2322"/>
      <c r="U486" s="2322"/>
      <c r="V486" s="2322"/>
      <c r="W486" s="2322"/>
      <c r="X486" s="2322"/>
      <c r="Y486" s="2322"/>
      <c r="Z486" s="2322"/>
      <c r="AA486" s="2322"/>
      <c r="AB486" s="2322"/>
      <c r="AC486" s="2322"/>
      <c r="AD486" s="2322"/>
      <c r="AE486" s="2322"/>
      <c r="AF486" s="2322"/>
      <c r="AG486" s="2322"/>
      <c r="AH486" s="2322"/>
      <c r="AI486" s="2322"/>
      <c r="AJ486" s="2322"/>
      <c r="AK486" s="2322"/>
      <c r="AL486" s="2322"/>
      <c r="AM486" s="2322"/>
      <c r="AN486" s="2322"/>
      <c r="AO486" s="2322"/>
      <c r="AP486" s="2322"/>
      <c r="AQ486" s="2322"/>
      <c r="AR486" s="2322"/>
      <c r="AS486" s="2322"/>
      <c r="AT486" s="2322"/>
      <c r="AU486" s="2322"/>
      <c r="AV486" s="2322"/>
      <c r="AW486" s="2322"/>
      <c r="AX486" s="2322"/>
      <c r="AY486" s="2322"/>
      <c r="AZ486" s="2322"/>
      <c r="BA486" s="2322"/>
      <c r="BB486" s="2322"/>
      <c r="BC486" s="2322"/>
      <c r="BD486" s="2322"/>
      <c r="BE486" s="2322"/>
      <c r="BF486" s="2322"/>
      <c r="BG486" s="2322"/>
      <c r="BH486" s="2322"/>
      <c r="BI486" s="2322"/>
      <c r="BJ486" s="2322"/>
      <c r="BK486" s="2322"/>
      <c r="BL486" s="2322"/>
      <c r="BM486" s="2322"/>
      <c r="BN486" s="2322"/>
      <c r="BO486" s="2322"/>
      <c r="BP486" s="2322"/>
      <c r="BQ486" s="2322"/>
      <c r="BR486" s="2322"/>
      <c r="BS486" s="2322"/>
      <c r="BT486" s="2322"/>
      <c r="BU486" s="2322"/>
      <c r="BV486" s="2322"/>
      <c r="BW486" s="2322"/>
      <c r="BX486" s="2322"/>
      <c r="BY486" s="2322"/>
      <c r="BZ486" s="2322"/>
      <c r="CA486" s="2322"/>
      <c r="CB486" s="2322"/>
      <c r="CC486" s="2322"/>
      <c r="CD486" s="2322"/>
      <c r="CE486" s="2322"/>
      <c r="CF486" s="2322"/>
      <c r="CG486" s="2322"/>
      <c r="CH486" s="2322"/>
      <c r="CI486" s="2322"/>
      <c r="CJ486" s="2322"/>
      <c r="CK486" s="2322"/>
      <c r="CL486" s="2322"/>
      <c r="CM486" s="2322"/>
      <c r="CN486" s="2322"/>
      <c r="CO486" s="2322"/>
      <c r="CP486" s="2322"/>
      <c r="CQ486" s="2322"/>
      <c r="CR486" s="2322"/>
      <c r="CS486" s="2322"/>
      <c r="CT486" s="2322"/>
      <c r="CU486" s="2322"/>
      <c r="CV486" s="2322"/>
    </row>
    <row r="487" spans="1:100" ht="15.75" customHeight="1">
      <c r="A487" s="2328"/>
      <c r="B487" s="2322"/>
      <c r="C487" s="2322"/>
      <c r="D487" s="2322"/>
      <c r="E487" s="2322"/>
      <c r="F487" s="2322"/>
      <c r="G487" s="2322"/>
      <c r="H487" s="2322"/>
      <c r="I487" s="2322"/>
      <c r="J487" s="2322"/>
      <c r="K487" s="2322"/>
      <c r="L487" s="2322"/>
      <c r="M487" s="2322"/>
      <c r="N487" s="2322"/>
      <c r="O487" s="2322"/>
      <c r="P487" s="2322"/>
      <c r="Q487" s="2322"/>
      <c r="R487" s="2322"/>
      <c r="S487" s="2322"/>
      <c r="T487" s="2322"/>
      <c r="U487" s="2322"/>
      <c r="V487" s="2322"/>
      <c r="W487" s="2322"/>
      <c r="X487" s="2322"/>
      <c r="Y487" s="2322"/>
      <c r="Z487" s="2322"/>
      <c r="AA487" s="2322"/>
      <c r="AB487" s="2322"/>
      <c r="AC487" s="2322"/>
      <c r="AD487" s="2322"/>
      <c r="AE487" s="2322"/>
      <c r="AF487" s="2322"/>
      <c r="AG487" s="2322"/>
      <c r="AH487" s="2322"/>
      <c r="AI487" s="2322"/>
      <c r="AJ487" s="2322"/>
      <c r="AK487" s="2322"/>
      <c r="AL487" s="2322"/>
      <c r="AM487" s="2322"/>
      <c r="AN487" s="2322"/>
      <c r="AO487" s="2322"/>
      <c r="AP487" s="2322"/>
      <c r="AQ487" s="2322"/>
      <c r="AR487" s="2322"/>
      <c r="AS487" s="2322"/>
      <c r="AT487" s="2322"/>
      <c r="AU487" s="2322"/>
      <c r="AV487" s="2322"/>
      <c r="AW487" s="2322"/>
      <c r="AX487" s="2322"/>
      <c r="AY487" s="2322"/>
      <c r="AZ487" s="2322"/>
      <c r="BA487" s="2322"/>
      <c r="BB487" s="2322"/>
      <c r="BC487" s="2322"/>
      <c r="BD487" s="2322"/>
      <c r="BE487" s="2322"/>
      <c r="BF487" s="2322"/>
      <c r="BG487" s="2322"/>
      <c r="BH487" s="2322"/>
      <c r="BI487" s="2322"/>
      <c r="BJ487" s="2322"/>
      <c r="BK487" s="2322"/>
      <c r="BL487" s="2322"/>
      <c r="BM487" s="2322"/>
      <c r="BN487" s="2322"/>
      <c r="BO487" s="2322"/>
      <c r="BP487" s="2322"/>
      <c r="BQ487" s="2322"/>
      <c r="BR487" s="2322"/>
      <c r="BS487" s="2322"/>
      <c r="BT487" s="2322"/>
      <c r="BU487" s="2322"/>
      <c r="BV487" s="2322"/>
      <c r="BW487" s="2322"/>
      <c r="BX487" s="2322"/>
      <c r="BY487" s="2322"/>
      <c r="BZ487" s="2322"/>
      <c r="CA487" s="2322"/>
      <c r="CB487" s="2322"/>
      <c r="CC487" s="2322"/>
      <c r="CD487" s="2322"/>
      <c r="CE487" s="2322"/>
      <c r="CF487" s="2322"/>
      <c r="CG487" s="2322"/>
      <c r="CH487" s="2322"/>
      <c r="CI487" s="2322"/>
      <c r="CJ487" s="2322"/>
      <c r="CK487" s="2322"/>
      <c r="CL487" s="2322"/>
      <c r="CM487" s="2322"/>
      <c r="CN487" s="2322"/>
      <c r="CO487" s="2322"/>
      <c r="CP487" s="2322"/>
      <c r="CQ487" s="2322"/>
      <c r="CR487" s="2322"/>
      <c r="CS487" s="2322"/>
      <c r="CT487" s="2322"/>
      <c r="CU487" s="2322"/>
      <c r="CV487" s="2322"/>
    </row>
    <row r="488" spans="1:100" ht="15.75" customHeight="1">
      <c r="A488" s="2328"/>
      <c r="B488" s="2322"/>
      <c r="C488" s="2322"/>
      <c r="D488" s="2322"/>
      <c r="E488" s="2322"/>
      <c r="F488" s="2322"/>
      <c r="G488" s="2322"/>
      <c r="H488" s="2322"/>
      <c r="I488" s="2322"/>
      <c r="J488" s="2322"/>
      <c r="K488" s="2322"/>
      <c r="L488" s="2322"/>
      <c r="M488" s="2322"/>
      <c r="N488" s="2322"/>
      <c r="O488" s="2322"/>
      <c r="P488" s="2322"/>
      <c r="Q488" s="2322"/>
      <c r="R488" s="2322"/>
      <c r="S488" s="2322"/>
      <c r="T488" s="2322"/>
      <c r="U488" s="2322"/>
      <c r="V488" s="2322"/>
      <c r="W488" s="2322"/>
      <c r="X488" s="2322"/>
      <c r="Y488" s="2322"/>
      <c r="Z488" s="2322"/>
      <c r="AA488" s="2322"/>
      <c r="AB488" s="2322"/>
      <c r="AC488" s="2322"/>
      <c r="AD488" s="2322"/>
      <c r="AE488" s="2322"/>
      <c r="AF488" s="2322"/>
      <c r="AG488" s="2322"/>
      <c r="AH488" s="2322"/>
      <c r="AI488" s="2322"/>
      <c r="AJ488" s="2322"/>
      <c r="AK488" s="2322"/>
      <c r="AL488" s="2322"/>
      <c r="AM488" s="2322"/>
      <c r="AN488" s="2322"/>
      <c r="AO488" s="2322"/>
      <c r="AP488" s="2322"/>
      <c r="AQ488" s="2322"/>
      <c r="AR488" s="2322"/>
      <c r="AS488" s="2322"/>
      <c r="AT488" s="2322"/>
      <c r="AU488" s="2322"/>
      <c r="AV488" s="2322"/>
      <c r="AW488" s="2322"/>
      <c r="AX488" s="2322"/>
      <c r="AY488" s="2322"/>
      <c r="AZ488" s="2322"/>
      <c r="BA488" s="2322"/>
      <c r="BB488" s="2322"/>
      <c r="BC488" s="2322"/>
      <c r="BD488" s="2322"/>
      <c r="BE488" s="2322"/>
      <c r="BF488" s="2322"/>
      <c r="BG488" s="2322"/>
      <c r="BH488" s="2322"/>
      <c r="BI488" s="2322"/>
      <c r="BJ488" s="2322"/>
      <c r="BK488" s="2322"/>
      <c r="BL488" s="2322"/>
      <c r="BM488" s="2322"/>
      <c r="BN488" s="2322"/>
      <c r="BO488" s="2322"/>
      <c r="BP488" s="2322"/>
      <c r="BQ488" s="2322"/>
      <c r="BR488" s="2322"/>
      <c r="BS488" s="2322"/>
      <c r="BT488" s="2322"/>
      <c r="BU488" s="2322"/>
      <c r="BV488" s="2322"/>
      <c r="BW488" s="2322"/>
      <c r="BX488" s="2322"/>
      <c r="BY488" s="2322"/>
      <c r="BZ488" s="2322"/>
      <c r="CA488" s="2322"/>
      <c r="CB488" s="2322"/>
      <c r="CC488" s="2322"/>
      <c r="CD488" s="2322"/>
      <c r="CE488" s="2322"/>
      <c r="CF488" s="2322"/>
      <c r="CG488" s="2322"/>
      <c r="CH488" s="2322"/>
      <c r="CI488" s="2322"/>
      <c r="CJ488" s="2322"/>
      <c r="CK488" s="2322"/>
      <c r="CL488" s="2322"/>
      <c r="CM488" s="2322"/>
      <c r="CN488" s="2322"/>
      <c r="CO488" s="2322"/>
      <c r="CP488" s="2322"/>
      <c r="CQ488" s="2322"/>
      <c r="CR488" s="2322"/>
      <c r="CS488" s="2322"/>
      <c r="CT488" s="2322"/>
      <c r="CU488" s="2322"/>
      <c r="CV488" s="2322"/>
    </row>
    <row r="489" spans="1:100" ht="15.75" customHeight="1">
      <c r="A489" s="2328"/>
      <c r="B489" s="2322"/>
      <c r="C489" s="2322"/>
      <c r="D489" s="2322"/>
      <c r="E489" s="2322"/>
      <c r="F489" s="2322"/>
      <c r="G489" s="2322"/>
      <c r="H489" s="2322"/>
      <c r="I489" s="2322"/>
      <c r="J489" s="2322"/>
      <c r="K489" s="2322"/>
      <c r="L489" s="2322"/>
      <c r="M489" s="2322"/>
      <c r="N489" s="2322"/>
      <c r="O489" s="2322"/>
      <c r="P489" s="2322"/>
      <c r="Q489" s="2322"/>
      <c r="R489" s="2322"/>
      <c r="S489" s="2322"/>
      <c r="T489" s="2322"/>
      <c r="U489" s="2322"/>
      <c r="V489" s="2322"/>
      <c r="W489" s="2322"/>
      <c r="X489" s="2322"/>
      <c r="Y489" s="2322"/>
      <c r="Z489" s="2322"/>
      <c r="AA489" s="2322"/>
      <c r="AB489" s="2322"/>
      <c r="AC489" s="2322"/>
      <c r="AD489" s="2322"/>
      <c r="AE489" s="2322"/>
      <c r="AF489" s="2322"/>
      <c r="AG489" s="2322"/>
      <c r="AH489" s="2322"/>
      <c r="AI489" s="2322"/>
      <c r="AJ489" s="2322"/>
      <c r="AK489" s="2322"/>
      <c r="AL489" s="2322"/>
      <c r="AM489" s="2322"/>
      <c r="AN489" s="2322"/>
      <c r="AO489" s="2322"/>
      <c r="AP489" s="2322"/>
      <c r="AQ489" s="2322"/>
      <c r="AR489" s="2322"/>
      <c r="AS489" s="2322"/>
      <c r="AT489" s="2322"/>
      <c r="AU489" s="2322"/>
      <c r="AV489" s="2322"/>
      <c r="AW489" s="2322"/>
      <c r="AX489" s="2322"/>
      <c r="AY489" s="2322"/>
      <c r="AZ489" s="2322"/>
      <c r="BA489" s="2322"/>
      <c r="BB489" s="2322"/>
      <c r="BC489" s="2322"/>
      <c r="BD489" s="2322"/>
      <c r="BE489" s="2322"/>
      <c r="BF489" s="2322"/>
      <c r="BG489" s="2322"/>
      <c r="BH489" s="2322"/>
      <c r="BI489" s="2322"/>
      <c r="BJ489" s="2322"/>
      <c r="BK489" s="2322"/>
      <c r="BL489" s="2322"/>
      <c r="BM489" s="2322"/>
      <c r="BN489" s="2322"/>
      <c r="BO489" s="2322"/>
      <c r="BP489" s="2322"/>
      <c r="BQ489" s="2322"/>
      <c r="BR489" s="2322"/>
      <c r="BS489" s="2322"/>
      <c r="BT489" s="2322"/>
      <c r="BU489" s="2322"/>
      <c r="BV489" s="2322"/>
      <c r="BW489" s="2322"/>
      <c r="BX489" s="2322"/>
      <c r="BY489" s="2322"/>
      <c r="BZ489" s="2322"/>
      <c r="CA489" s="2322"/>
      <c r="CB489" s="2322"/>
      <c r="CC489" s="2322"/>
      <c r="CD489" s="2322"/>
      <c r="CE489" s="2322"/>
      <c r="CF489" s="2322"/>
      <c r="CG489" s="2322"/>
      <c r="CH489" s="2322"/>
      <c r="CI489" s="2322"/>
      <c r="CJ489" s="2322"/>
      <c r="CK489" s="2322"/>
      <c r="CL489" s="2322"/>
      <c r="CM489" s="2322"/>
      <c r="CN489" s="2322"/>
      <c r="CO489" s="2322"/>
      <c r="CP489" s="2322"/>
      <c r="CQ489" s="2322"/>
      <c r="CR489" s="2322"/>
      <c r="CS489" s="2322"/>
      <c r="CT489" s="2322"/>
      <c r="CU489" s="2322"/>
      <c r="CV489" s="2322"/>
    </row>
    <row r="490" spans="1:100" ht="15.75" customHeight="1">
      <c r="A490" s="2328"/>
      <c r="B490" s="2322"/>
      <c r="C490" s="2322"/>
      <c r="D490" s="2322"/>
      <c r="E490" s="2322"/>
      <c r="F490" s="2322"/>
      <c r="G490" s="2322"/>
      <c r="H490" s="2322"/>
      <c r="I490" s="2322"/>
      <c r="J490" s="2322"/>
      <c r="K490" s="2322"/>
      <c r="L490" s="2322"/>
      <c r="M490" s="2322"/>
      <c r="N490" s="2322"/>
      <c r="O490" s="2322"/>
      <c r="P490" s="2322"/>
      <c r="Q490" s="2322"/>
      <c r="R490" s="2322"/>
      <c r="S490" s="2322"/>
      <c r="T490" s="2322"/>
      <c r="U490" s="2322"/>
      <c r="V490" s="2322"/>
      <c r="W490" s="2322"/>
      <c r="X490" s="2322"/>
      <c r="Y490" s="2322"/>
      <c r="Z490" s="2322"/>
      <c r="AA490" s="2322"/>
      <c r="AB490" s="2322"/>
      <c r="AC490" s="2322"/>
      <c r="AD490" s="2322"/>
      <c r="AE490" s="2322"/>
      <c r="AF490" s="2322"/>
      <c r="AG490" s="2322"/>
      <c r="AH490" s="2322"/>
      <c r="AI490" s="2322"/>
      <c r="AJ490" s="2322"/>
      <c r="AK490" s="2322"/>
      <c r="AL490" s="2322"/>
      <c r="AM490" s="2322"/>
      <c r="AN490" s="2322"/>
      <c r="AO490" s="2322"/>
      <c r="AP490" s="2322"/>
      <c r="AQ490" s="2322"/>
      <c r="AR490" s="2322"/>
      <c r="AS490" s="2322"/>
      <c r="AT490" s="2322"/>
      <c r="AU490" s="2322"/>
      <c r="AV490" s="2322"/>
      <c r="AW490" s="2322"/>
      <c r="AX490" s="2322"/>
      <c r="AY490" s="2322"/>
      <c r="AZ490" s="2322"/>
      <c r="BA490" s="2322"/>
      <c r="BB490" s="2322"/>
      <c r="BC490" s="2322"/>
      <c r="BD490" s="2322"/>
      <c r="BE490" s="2322"/>
      <c r="BF490" s="2322"/>
      <c r="BG490" s="2322"/>
      <c r="BH490" s="2322"/>
      <c r="BI490" s="2322"/>
      <c r="BJ490" s="2322"/>
      <c r="BK490" s="2322"/>
      <c r="BL490" s="2322"/>
      <c r="BM490" s="2322"/>
      <c r="BN490" s="2322"/>
      <c r="BO490" s="2322"/>
      <c r="BP490" s="2322"/>
      <c r="BQ490" s="2322"/>
      <c r="BR490" s="2322"/>
      <c r="BS490" s="2322"/>
      <c r="BT490" s="2322"/>
      <c r="BU490" s="2322"/>
      <c r="BV490" s="2322"/>
      <c r="BW490" s="2322"/>
      <c r="BX490" s="2322"/>
      <c r="BY490" s="2322"/>
      <c r="BZ490" s="2322"/>
      <c r="CA490" s="2322"/>
      <c r="CB490" s="2322"/>
      <c r="CC490" s="2322"/>
      <c r="CD490" s="2322"/>
      <c r="CE490" s="2322"/>
      <c r="CF490" s="2322"/>
      <c r="CG490" s="2322"/>
      <c r="CH490" s="2322"/>
      <c r="CI490" s="2322"/>
      <c r="CJ490" s="2322"/>
      <c r="CK490" s="2322"/>
      <c r="CL490" s="2322"/>
      <c r="CM490" s="2322"/>
      <c r="CN490" s="2322"/>
      <c r="CO490" s="2322"/>
      <c r="CP490" s="2322"/>
      <c r="CQ490" s="2322"/>
      <c r="CR490" s="2322"/>
      <c r="CS490" s="2322"/>
      <c r="CT490" s="2322"/>
      <c r="CU490" s="2322"/>
      <c r="CV490" s="2322"/>
    </row>
    <row r="491" spans="1:100" ht="15.75" customHeight="1">
      <c r="A491" s="2328"/>
      <c r="B491" s="2322"/>
      <c r="C491" s="2322"/>
      <c r="D491" s="2322"/>
      <c r="E491" s="2322"/>
      <c r="F491" s="2322"/>
      <c r="G491" s="2322"/>
      <c r="H491" s="2322"/>
      <c r="I491" s="2322"/>
      <c r="J491" s="2322"/>
      <c r="K491" s="2322"/>
      <c r="L491" s="2322"/>
      <c r="M491" s="2322"/>
      <c r="N491" s="2322"/>
      <c r="O491" s="2322"/>
      <c r="P491" s="2322"/>
      <c r="Q491" s="2322"/>
      <c r="R491" s="2322"/>
      <c r="S491" s="2322"/>
      <c r="T491" s="2322"/>
      <c r="U491" s="2322"/>
      <c r="V491" s="2322"/>
      <c r="W491" s="2322"/>
      <c r="X491" s="2322"/>
      <c r="Y491" s="2322"/>
      <c r="Z491" s="2322"/>
      <c r="AA491" s="2322"/>
      <c r="AB491" s="2322"/>
      <c r="AC491" s="2322"/>
      <c r="AD491" s="2322"/>
      <c r="AE491" s="2322"/>
      <c r="AF491" s="2322"/>
      <c r="AG491" s="2322"/>
      <c r="AH491" s="2322"/>
      <c r="AI491" s="2322"/>
      <c r="AJ491" s="2322"/>
      <c r="AK491" s="2322"/>
      <c r="AL491" s="2322"/>
      <c r="AM491" s="2322"/>
      <c r="AN491" s="2322"/>
      <c r="AO491" s="2322"/>
      <c r="AP491" s="2322"/>
      <c r="AQ491" s="2322"/>
      <c r="AR491" s="2322"/>
      <c r="AS491" s="2322"/>
      <c r="AT491" s="2322"/>
      <c r="AU491" s="2322"/>
      <c r="AV491" s="2322"/>
      <c r="AW491" s="2322"/>
      <c r="AX491" s="2322"/>
      <c r="AY491" s="2322"/>
      <c r="AZ491" s="2322"/>
      <c r="BA491" s="2322"/>
      <c r="BB491" s="2322"/>
      <c r="BC491" s="2322"/>
      <c r="BD491" s="2322"/>
      <c r="BE491" s="2322"/>
      <c r="BF491" s="2322"/>
      <c r="BG491" s="2322"/>
      <c r="BH491" s="2322"/>
      <c r="BI491" s="2322"/>
      <c r="BJ491" s="2322"/>
      <c r="BK491" s="2322"/>
      <c r="BL491" s="2322"/>
      <c r="BM491" s="2322"/>
      <c r="BN491" s="2322"/>
      <c r="BO491" s="2322"/>
      <c r="BP491" s="2322"/>
      <c r="BQ491" s="2322"/>
      <c r="BR491" s="2322"/>
      <c r="BS491" s="2322"/>
      <c r="BT491" s="2322"/>
      <c r="BU491" s="2322"/>
      <c r="BV491" s="2322"/>
      <c r="BW491" s="2322"/>
      <c r="BX491" s="2322"/>
      <c r="BY491" s="2322"/>
      <c r="BZ491" s="2322"/>
      <c r="CA491" s="2322"/>
      <c r="CB491" s="2322"/>
      <c r="CC491" s="2322"/>
      <c r="CD491" s="2322"/>
      <c r="CE491" s="2322"/>
      <c r="CF491" s="2322"/>
      <c r="CG491" s="2322"/>
      <c r="CH491" s="2322"/>
      <c r="CI491" s="2322"/>
      <c r="CJ491" s="2322"/>
      <c r="CK491" s="2322"/>
      <c r="CL491" s="2322"/>
      <c r="CM491" s="2322"/>
      <c r="CN491" s="2322"/>
      <c r="CO491" s="2322"/>
      <c r="CP491" s="2322"/>
      <c r="CQ491" s="2322"/>
      <c r="CR491" s="2322"/>
      <c r="CS491" s="2322"/>
      <c r="CT491" s="2322"/>
      <c r="CU491" s="2322"/>
      <c r="CV491" s="2322"/>
    </row>
    <row r="492" spans="1:100" ht="15.75" customHeight="1">
      <c r="A492" s="2328"/>
      <c r="B492" s="2322"/>
      <c r="C492" s="2322"/>
      <c r="D492" s="2322"/>
      <c r="E492" s="2322"/>
      <c r="F492" s="2322"/>
      <c r="G492" s="2322"/>
      <c r="H492" s="2322"/>
      <c r="I492" s="2322"/>
      <c r="J492" s="2322"/>
      <c r="K492" s="2322"/>
      <c r="L492" s="2322"/>
      <c r="M492" s="2322"/>
      <c r="N492" s="2322"/>
      <c r="O492" s="2322"/>
      <c r="P492" s="2322"/>
      <c r="Q492" s="2322"/>
      <c r="R492" s="2322"/>
      <c r="S492" s="2322"/>
      <c r="T492" s="2322"/>
      <c r="U492" s="2322"/>
      <c r="V492" s="2322"/>
      <c r="W492" s="2322"/>
      <c r="X492" s="2322"/>
      <c r="Y492" s="2322"/>
      <c r="Z492" s="2322"/>
      <c r="AA492" s="2322"/>
      <c r="AB492" s="2322"/>
      <c r="AC492" s="2322"/>
      <c r="AD492" s="2322"/>
      <c r="AE492" s="2322"/>
      <c r="AF492" s="2322"/>
      <c r="AG492" s="2322"/>
      <c r="AH492" s="2322"/>
      <c r="AI492" s="2322"/>
      <c r="AJ492" s="2322"/>
      <c r="AK492" s="2322"/>
      <c r="AL492" s="2322"/>
      <c r="AM492" s="2322"/>
      <c r="AN492" s="2322"/>
      <c r="AO492" s="2322"/>
      <c r="AP492" s="2322"/>
      <c r="AQ492" s="2322"/>
      <c r="AR492" s="2322"/>
      <c r="AS492" s="2322"/>
      <c r="AT492" s="2322"/>
      <c r="AU492" s="2322"/>
      <c r="AV492" s="2322"/>
      <c r="AW492" s="2322"/>
      <c r="AX492" s="2322"/>
      <c r="AY492" s="2322"/>
      <c r="AZ492" s="2322"/>
      <c r="BA492" s="2322"/>
      <c r="BB492" s="2322"/>
      <c r="BC492" s="2322"/>
      <c r="BD492" s="2322"/>
      <c r="BE492" s="2322"/>
      <c r="BF492" s="2322"/>
      <c r="BG492" s="2322"/>
      <c r="BH492" s="2322"/>
      <c r="BI492" s="2322"/>
      <c r="BJ492" s="2322"/>
      <c r="BK492" s="2322"/>
      <c r="BL492" s="2322"/>
      <c r="BM492" s="2322"/>
      <c r="BN492" s="2322"/>
      <c r="BO492" s="2322"/>
      <c r="BP492" s="2322"/>
      <c r="BQ492" s="2322"/>
      <c r="BR492" s="2322"/>
      <c r="BS492" s="2322"/>
      <c r="BT492" s="2322"/>
      <c r="BU492" s="2322"/>
      <c r="BV492" s="2322"/>
      <c r="BW492" s="2322"/>
      <c r="BX492" s="2322"/>
      <c r="BY492" s="2322"/>
      <c r="BZ492" s="2322"/>
      <c r="CA492" s="2322"/>
      <c r="CB492" s="2322"/>
      <c r="CC492" s="2322"/>
      <c r="CD492" s="2322"/>
      <c r="CE492" s="2322"/>
      <c r="CF492" s="2322"/>
      <c r="CG492" s="2322"/>
      <c r="CH492" s="2322"/>
      <c r="CI492" s="2322"/>
      <c r="CJ492" s="2322"/>
      <c r="CK492" s="2322"/>
      <c r="CL492" s="2322"/>
      <c r="CM492" s="2322"/>
      <c r="CN492" s="2322"/>
      <c r="CO492" s="2322"/>
      <c r="CP492" s="2322"/>
      <c r="CQ492" s="2322"/>
      <c r="CR492" s="2322"/>
      <c r="CS492" s="2322"/>
      <c r="CT492" s="2322"/>
      <c r="CU492" s="2322"/>
      <c r="CV492" s="2322"/>
    </row>
    <row r="493" spans="1:100" ht="15.75" customHeight="1">
      <c r="A493" s="2328"/>
      <c r="B493" s="2322"/>
      <c r="C493" s="2322"/>
      <c r="D493" s="2322"/>
      <c r="E493" s="2322"/>
      <c r="F493" s="2322"/>
      <c r="G493" s="2322"/>
      <c r="H493" s="2322"/>
      <c r="I493" s="2322"/>
      <c r="J493" s="2322"/>
      <c r="K493" s="2322"/>
      <c r="L493" s="2322"/>
      <c r="M493" s="2322"/>
      <c r="N493" s="2322"/>
      <c r="O493" s="2322"/>
      <c r="P493" s="2322"/>
      <c r="Q493" s="2322"/>
      <c r="R493" s="2322"/>
      <c r="S493" s="2322"/>
      <c r="T493" s="2322"/>
      <c r="U493" s="2322"/>
      <c r="V493" s="2322"/>
      <c r="W493" s="2322"/>
      <c r="X493" s="2322"/>
      <c r="Y493" s="2322"/>
      <c r="Z493" s="2322"/>
      <c r="AA493" s="2322"/>
      <c r="AB493" s="2322"/>
      <c r="AC493" s="2322"/>
      <c r="AD493" s="2322"/>
      <c r="AE493" s="2322"/>
      <c r="AF493" s="2322"/>
      <c r="AG493" s="2322"/>
      <c r="AH493" s="2322"/>
      <c r="AI493" s="2322"/>
      <c r="AJ493" s="2322"/>
      <c r="AK493" s="2322"/>
      <c r="AL493" s="2322"/>
      <c r="AM493" s="2322"/>
      <c r="AN493" s="2322"/>
      <c r="AO493" s="2322"/>
      <c r="AP493" s="2322"/>
      <c r="AQ493" s="2322"/>
      <c r="AR493" s="2322"/>
      <c r="AS493" s="2322"/>
      <c r="AT493" s="2322"/>
      <c r="AU493" s="2322"/>
      <c r="AV493" s="2322"/>
      <c r="AW493" s="2322"/>
      <c r="AX493" s="2322"/>
      <c r="AY493" s="2322"/>
      <c r="AZ493" s="2322"/>
      <c r="BA493" s="2322"/>
      <c r="BB493" s="2322"/>
      <c r="BC493" s="2322"/>
      <c r="BD493" s="2322"/>
      <c r="BE493" s="2322"/>
      <c r="BF493" s="2322"/>
      <c r="BG493" s="2322"/>
      <c r="BH493" s="2322"/>
      <c r="BI493" s="2322"/>
      <c r="BJ493" s="2322"/>
      <c r="BK493" s="2322"/>
      <c r="BL493" s="2322"/>
      <c r="BM493" s="2322"/>
      <c r="BN493" s="2322"/>
      <c r="BO493" s="2322"/>
      <c r="BP493" s="2322"/>
      <c r="BQ493" s="2322"/>
      <c r="BR493" s="2322"/>
      <c r="BS493" s="2322"/>
      <c r="BT493" s="2322"/>
      <c r="BU493" s="2322"/>
      <c r="BV493" s="2322"/>
      <c r="BW493" s="2322"/>
      <c r="BX493" s="2322"/>
      <c r="BY493" s="2322"/>
      <c r="BZ493" s="2322"/>
      <c r="CA493" s="2322"/>
      <c r="CB493" s="2322"/>
      <c r="CC493" s="2322"/>
      <c r="CD493" s="2322"/>
      <c r="CE493" s="2322"/>
      <c r="CF493" s="2322"/>
      <c r="CG493" s="2322"/>
      <c r="CH493" s="2322"/>
      <c r="CI493" s="2322"/>
      <c r="CJ493" s="2322"/>
      <c r="CK493" s="2322"/>
      <c r="CL493" s="2322"/>
      <c r="CM493" s="2322"/>
      <c r="CN493" s="2322"/>
      <c r="CO493" s="2322"/>
      <c r="CP493" s="2322"/>
      <c r="CQ493" s="2322"/>
      <c r="CR493" s="2322"/>
      <c r="CS493" s="2322"/>
      <c r="CT493" s="2322"/>
      <c r="CU493" s="2322"/>
      <c r="CV493" s="2322"/>
    </row>
    <row r="494" spans="1:100" ht="15.75" customHeight="1">
      <c r="A494" s="2328"/>
      <c r="B494" s="2322"/>
      <c r="C494" s="2322"/>
      <c r="D494" s="2322"/>
      <c r="E494" s="2322"/>
      <c r="F494" s="2322"/>
      <c r="G494" s="2322"/>
      <c r="H494" s="2322"/>
      <c r="I494" s="2322"/>
      <c r="J494" s="2322"/>
      <c r="K494" s="2322"/>
      <c r="L494" s="2322"/>
      <c r="M494" s="2322"/>
      <c r="N494" s="2322"/>
      <c r="O494" s="2322"/>
      <c r="P494" s="2322"/>
      <c r="Q494" s="2322"/>
      <c r="R494" s="2322"/>
      <c r="S494" s="2322"/>
      <c r="T494" s="2322"/>
      <c r="U494" s="2322"/>
      <c r="V494" s="2322"/>
      <c r="W494" s="2322"/>
      <c r="X494" s="2322"/>
      <c r="Y494" s="2322"/>
      <c r="Z494" s="2322"/>
      <c r="AA494" s="2322"/>
      <c r="AB494" s="2322"/>
      <c r="AC494" s="2322"/>
      <c r="AD494" s="2322"/>
      <c r="AE494" s="2322"/>
      <c r="AF494" s="2322"/>
      <c r="AG494" s="2322"/>
      <c r="AH494" s="2322"/>
      <c r="AI494" s="2322"/>
      <c r="AJ494" s="2322"/>
      <c r="AK494" s="2322"/>
      <c r="AL494" s="2322"/>
      <c r="AM494" s="2322"/>
      <c r="AN494" s="2322"/>
      <c r="AO494" s="2322"/>
      <c r="AP494" s="2322"/>
      <c r="AQ494" s="2322"/>
      <c r="AR494" s="2322"/>
      <c r="AS494" s="2322"/>
      <c r="AT494" s="2322"/>
      <c r="AU494" s="2322"/>
      <c r="AV494" s="2322"/>
      <c r="AW494" s="2322"/>
      <c r="AX494" s="2322"/>
      <c r="AY494" s="2322"/>
      <c r="AZ494" s="2322"/>
      <c r="BA494" s="2322"/>
      <c r="BB494" s="2322"/>
      <c r="BC494" s="2322"/>
      <c r="BD494" s="2322"/>
      <c r="BE494" s="2322"/>
      <c r="BF494" s="2322"/>
      <c r="BG494" s="2322"/>
      <c r="BH494" s="2322"/>
      <c r="BI494" s="2322"/>
      <c r="BJ494" s="2322"/>
      <c r="BK494" s="2322"/>
      <c r="BL494" s="2322"/>
      <c r="BM494" s="2322"/>
      <c r="BN494" s="2322"/>
      <c r="BO494" s="2322"/>
      <c r="BP494" s="2322"/>
      <c r="BQ494" s="2322"/>
      <c r="BR494" s="2322"/>
      <c r="BS494" s="2322"/>
      <c r="BT494" s="2322"/>
      <c r="BU494" s="2322"/>
      <c r="BV494" s="2322"/>
      <c r="BW494" s="2322"/>
      <c r="BX494" s="2322"/>
      <c r="BY494" s="2322"/>
      <c r="BZ494" s="2322"/>
      <c r="CA494" s="2322"/>
      <c r="CB494" s="2322"/>
      <c r="CC494" s="2322"/>
      <c r="CD494" s="2322"/>
      <c r="CE494" s="2322"/>
      <c r="CF494" s="2322"/>
      <c r="CG494" s="2322"/>
      <c r="CH494" s="2322"/>
      <c r="CI494" s="2322"/>
      <c r="CJ494" s="2322"/>
      <c r="CK494" s="2322"/>
      <c r="CL494" s="2322"/>
      <c r="CM494" s="2322"/>
      <c r="CN494" s="2322"/>
      <c r="CO494" s="2322"/>
      <c r="CP494" s="2322"/>
      <c r="CQ494" s="2322"/>
      <c r="CR494" s="2322"/>
      <c r="CS494" s="2322"/>
      <c r="CT494" s="2322"/>
      <c r="CU494" s="2322"/>
      <c r="CV494" s="2322"/>
    </row>
    <row r="495" spans="1:100" ht="15.75" customHeight="1">
      <c r="A495" s="2328"/>
      <c r="B495" s="2322"/>
      <c r="C495" s="2322"/>
      <c r="D495" s="2322"/>
      <c r="E495" s="2322"/>
      <c r="F495" s="2322"/>
      <c r="G495" s="2322"/>
      <c r="H495" s="2322"/>
      <c r="I495" s="2322"/>
      <c r="J495" s="2322"/>
      <c r="K495" s="2322"/>
      <c r="L495" s="2322"/>
      <c r="M495" s="2322"/>
      <c r="N495" s="2322"/>
      <c r="O495" s="2322"/>
      <c r="P495" s="2322"/>
      <c r="Q495" s="2322"/>
      <c r="R495" s="2322"/>
      <c r="S495" s="2322"/>
      <c r="T495" s="2322"/>
      <c r="U495" s="2322"/>
      <c r="V495" s="2322"/>
      <c r="W495" s="2322"/>
      <c r="X495" s="2322"/>
      <c r="Y495" s="2322"/>
      <c r="Z495" s="2322"/>
      <c r="AA495" s="2322"/>
      <c r="AB495" s="2322"/>
      <c r="AC495" s="2322"/>
      <c r="AD495" s="2322"/>
      <c r="AE495" s="2322"/>
      <c r="AF495" s="2322"/>
      <c r="AG495" s="2322"/>
      <c r="AH495" s="2322"/>
      <c r="AI495" s="2322"/>
      <c r="AJ495" s="2322"/>
      <c r="AK495" s="2322"/>
      <c r="AL495" s="2322"/>
      <c r="AM495" s="2322"/>
      <c r="AN495" s="2322"/>
      <c r="AO495" s="2322"/>
      <c r="AP495" s="2322"/>
      <c r="AQ495" s="2322"/>
      <c r="AR495" s="2322"/>
      <c r="AS495" s="2322"/>
      <c r="AT495" s="2322"/>
      <c r="AU495" s="2322"/>
      <c r="AV495" s="2322"/>
      <c r="AW495" s="2322"/>
      <c r="AX495" s="2322"/>
      <c r="AY495" s="2322"/>
      <c r="AZ495" s="2322"/>
      <c r="BA495" s="2322"/>
      <c r="BB495" s="2322"/>
      <c r="BC495" s="2322"/>
      <c r="BD495" s="2322"/>
      <c r="BE495" s="2322"/>
      <c r="BF495" s="2322"/>
      <c r="BG495" s="2322"/>
      <c r="BH495" s="2322"/>
      <c r="BI495" s="2322"/>
      <c r="BJ495" s="2322"/>
      <c r="BK495" s="2322"/>
      <c r="BL495" s="2322"/>
      <c r="BM495" s="2322"/>
      <c r="BN495" s="2322"/>
      <c r="BO495" s="2322"/>
      <c r="BP495" s="2322"/>
      <c r="BQ495" s="2322"/>
      <c r="BR495" s="2322"/>
      <c r="BS495" s="2322"/>
      <c r="BT495" s="2322"/>
      <c r="BU495" s="2322"/>
      <c r="BV495" s="2322"/>
      <c r="BW495" s="2322"/>
      <c r="BX495" s="2322"/>
      <c r="BY495" s="2322"/>
      <c r="BZ495" s="2322"/>
      <c r="CA495" s="2322"/>
      <c r="CB495" s="2322"/>
      <c r="CC495" s="2322"/>
      <c r="CD495" s="2322"/>
      <c r="CE495" s="2322"/>
      <c r="CF495" s="2322"/>
      <c r="CG495" s="2322"/>
      <c r="CH495" s="2322"/>
      <c r="CI495" s="2322"/>
      <c r="CJ495" s="2322"/>
      <c r="CK495" s="2322"/>
      <c r="CL495" s="2322"/>
      <c r="CM495" s="2322"/>
      <c r="CN495" s="2322"/>
      <c r="CO495" s="2322"/>
      <c r="CP495" s="2322"/>
      <c r="CQ495" s="2322"/>
      <c r="CR495" s="2322"/>
      <c r="CS495" s="2322"/>
      <c r="CT495" s="2322"/>
      <c r="CU495" s="2322"/>
      <c r="CV495" s="2322"/>
    </row>
    <row r="496" spans="1:100" ht="15.75" customHeight="1">
      <c r="A496" s="2328"/>
      <c r="B496" s="2322"/>
      <c r="C496" s="2322"/>
      <c r="D496" s="2322"/>
      <c r="E496" s="2322"/>
      <c r="F496" s="2322"/>
      <c r="G496" s="2322"/>
      <c r="H496" s="2322"/>
      <c r="I496" s="2322"/>
      <c r="J496" s="2322"/>
      <c r="K496" s="2322"/>
      <c r="L496" s="2322"/>
      <c r="M496" s="2322"/>
      <c r="N496" s="2322"/>
      <c r="O496" s="2322"/>
      <c r="P496" s="2322"/>
      <c r="Q496" s="2322"/>
      <c r="R496" s="2322"/>
      <c r="S496" s="2322"/>
      <c r="T496" s="2322"/>
      <c r="U496" s="2322"/>
      <c r="V496" s="2322"/>
      <c r="W496" s="2322"/>
      <c r="X496" s="2322"/>
      <c r="Y496" s="2322"/>
      <c r="Z496" s="2322"/>
      <c r="AA496" s="2322"/>
      <c r="AB496" s="2322"/>
      <c r="AC496" s="2322"/>
      <c r="AD496" s="2322"/>
      <c r="AE496" s="2322"/>
      <c r="AF496" s="2322"/>
      <c r="AG496" s="2322"/>
      <c r="AH496" s="2322"/>
      <c r="AI496" s="2322"/>
      <c r="AJ496" s="2322"/>
      <c r="AK496" s="2322"/>
      <c r="AL496" s="2322"/>
      <c r="AM496" s="2322"/>
      <c r="AN496" s="2322"/>
      <c r="AO496" s="2322"/>
      <c r="AP496" s="2322"/>
      <c r="AQ496" s="2322"/>
      <c r="AR496" s="2322"/>
      <c r="AS496" s="2322"/>
      <c r="AT496" s="2322"/>
      <c r="AU496" s="2322"/>
      <c r="AV496" s="2322"/>
      <c r="AW496" s="2322"/>
      <c r="AX496" s="2322"/>
      <c r="AY496" s="2322"/>
      <c r="AZ496" s="2322"/>
      <c r="BA496" s="2322"/>
      <c r="BB496" s="2322"/>
      <c r="BC496" s="2322"/>
      <c r="BD496" s="2322"/>
      <c r="BE496" s="2322"/>
      <c r="BF496" s="2322"/>
      <c r="BG496" s="2322"/>
      <c r="BH496" s="2322"/>
      <c r="BI496" s="2322"/>
      <c r="BJ496" s="2322"/>
      <c r="BK496" s="2322"/>
      <c r="BL496" s="2322"/>
      <c r="BM496" s="2322"/>
      <c r="BN496" s="2322"/>
      <c r="BO496" s="2322"/>
      <c r="BP496" s="2322"/>
      <c r="BQ496" s="2322"/>
      <c r="BR496" s="2322"/>
      <c r="BS496" s="2322"/>
      <c r="BT496" s="2322"/>
      <c r="BU496" s="2322"/>
      <c r="BV496" s="2322"/>
      <c r="BW496" s="2322"/>
      <c r="BX496" s="2322"/>
      <c r="BY496" s="2322"/>
      <c r="BZ496" s="2322"/>
      <c r="CA496" s="2322"/>
      <c r="CB496" s="2322"/>
      <c r="CC496" s="2322"/>
      <c r="CD496" s="2322"/>
      <c r="CE496" s="2322"/>
      <c r="CF496" s="2322"/>
      <c r="CG496" s="2322"/>
      <c r="CH496" s="2322"/>
      <c r="CI496" s="2322"/>
      <c r="CJ496" s="2322"/>
      <c r="CK496" s="2322"/>
      <c r="CL496" s="2322"/>
      <c r="CM496" s="2322"/>
      <c r="CN496" s="2322"/>
      <c r="CO496" s="2322"/>
      <c r="CP496" s="2322"/>
      <c r="CQ496" s="2322"/>
      <c r="CR496" s="2322"/>
      <c r="CS496" s="2322"/>
      <c r="CT496" s="2322"/>
      <c r="CU496" s="2322"/>
      <c r="CV496" s="2322"/>
    </row>
    <row r="497" spans="1:100" ht="15.75" customHeight="1">
      <c r="A497" s="2328"/>
      <c r="B497" s="2322"/>
      <c r="C497" s="2322"/>
      <c r="D497" s="2322"/>
      <c r="E497" s="2322"/>
      <c r="F497" s="2322"/>
      <c r="G497" s="2322"/>
      <c r="H497" s="2322"/>
      <c r="I497" s="2322"/>
      <c r="J497" s="2322"/>
      <c r="K497" s="2322"/>
      <c r="L497" s="2322"/>
      <c r="M497" s="2322"/>
      <c r="N497" s="2322"/>
      <c r="O497" s="2322"/>
      <c r="P497" s="2322"/>
      <c r="Q497" s="2322"/>
      <c r="R497" s="2322"/>
      <c r="S497" s="2322"/>
      <c r="T497" s="2322"/>
      <c r="U497" s="2322"/>
      <c r="V497" s="2322"/>
      <c r="W497" s="2322"/>
      <c r="X497" s="2322"/>
      <c r="Y497" s="2322"/>
      <c r="Z497" s="2322"/>
      <c r="AA497" s="2322"/>
      <c r="AB497" s="2322"/>
      <c r="AC497" s="2322"/>
      <c r="AD497" s="2322"/>
      <c r="AE497" s="2322"/>
      <c r="AF497" s="2322"/>
      <c r="AG497" s="2322"/>
      <c r="AH497" s="2322"/>
      <c r="AI497" s="2322"/>
      <c r="AJ497" s="2322"/>
      <c r="AK497" s="2322"/>
      <c r="AL497" s="2322"/>
      <c r="AM497" s="2322"/>
      <c r="AN497" s="2322"/>
      <c r="AO497" s="2322"/>
      <c r="AP497" s="2322"/>
      <c r="AQ497" s="2322"/>
      <c r="AR497" s="2322"/>
      <c r="AS497" s="2322"/>
      <c r="AT497" s="2322"/>
      <c r="AU497" s="2322"/>
      <c r="AV497" s="2322"/>
      <c r="AW497" s="2322"/>
      <c r="AX497" s="2322"/>
      <c r="AY497" s="2322"/>
      <c r="AZ497" s="2322"/>
      <c r="BA497" s="2322"/>
      <c r="BB497" s="2322"/>
      <c r="BC497" s="2322"/>
      <c r="BD497" s="2322"/>
      <c r="BE497" s="2322"/>
      <c r="BF497" s="2322"/>
      <c r="BG497" s="2322"/>
      <c r="BH497" s="2322"/>
      <c r="BI497" s="2322"/>
      <c r="BJ497" s="2322"/>
      <c r="BK497" s="2322"/>
      <c r="BL497" s="2322"/>
      <c r="BM497" s="2322"/>
      <c r="BN497" s="2322"/>
      <c r="BO497" s="2322"/>
      <c r="BP497" s="2322"/>
      <c r="BQ497" s="2322"/>
      <c r="BR497" s="2322"/>
      <c r="BS497" s="2322"/>
      <c r="BT497" s="2322"/>
      <c r="BU497" s="2322"/>
      <c r="BV497" s="2322"/>
      <c r="BW497" s="2322"/>
      <c r="BX497" s="2322"/>
      <c r="BY497" s="2322"/>
      <c r="BZ497" s="2322"/>
      <c r="CA497" s="2322"/>
      <c r="CB497" s="2322"/>
      <c r="CC497" s="2322"/>
      <c r="CD497" s="2322"/>
      <c r="CE497" s="2322"/>
      <c r="CF497" s="2322"/>
      <c r="CG497" s="2322"/>
      <c r="CH497" s="2322"/>
      <c r="CI497" s="2322"/>
      <c r="CJ497" s="2322"/>
      <c r="CK497" s="2322"/>
      <c r="CL497" s="2322"/>
      <c r="CM497" s="2322"/>
      <c r="CN497" s="2322"/>
      <c r="CO497" s="2322"/>
      <c r="CP497" s="2322"/>
      <c r="CQ497" s="2322"/>
      <c r="CR497" s="2322"/>
      <c r="CS497" s="2322"/>
      <c r="CT497" s="2322"/>
      <c r="CU497" s="2322"/>
      <c r="CV497" s="2322"/>
    </row>
    <row r="498" spans="1:100" ht="15.75" customHeight="1">
      <c r="A498" s="2328"/>
      <c r="B498" s="2322"/>
      <c r="C498" s="2322"/>
      <c r="D498" s="2322"/>
      <c r="E498" s="2322"/>
      <c r="F498" s="2322"/>
      <c r="G498" s="2322"/>
      <c r="H498" s="2322"/>
      <c r="I498" s="2322"/>
      <c r="J498" s="2322"/>
      <c r="K498" s="2322"/>
      <c r="L498" s="2322"/>
      <c r="M498" s="2322"/>
      <c r="N498" s="2322"/>
      <c r="O498" s="2322"/>
      <c r="P498" s="2322"/>
      <c r="Q498" s="2322"/>
      <c r="R498" s="2322"/>
      <c r="S498" s="2322"/>
      <c r="T498" s="2322"/>
      <c r="U498" s="2322"/>
      <c r="V498" s="2322"/>
      <c r="W498" s="2322"/>
      <c r="X498" s="2322"/>
      <c r="Y498" s="2322"/>
      <c r="Z498" s="2322"/>
      <c r="AA498" s="2322"/>
      <c r="AB498" s="2322"/>
      <c r="AC498" s="2322"/>
      <c r="AD498" s="2322"/>
      <c r="AE498" s="2322"/>
      <c r="AF498" s="2322"/>
      <c r="AG498" s="2322"/>
      <c r="AH498" s="2322"/>
      <c r="AI498" s="2322"/>
      <c r="AJ498" s="2322"/>
      <c r="AK498" s="2322"/>
      <c r="AL498" s="2322"/>
      <c r="AM498" s="2322"/>
      <c r="AN498" s="2322"/>
      <c r="AO498" s="2322"/>
      <c r="AP498" s="2322"/>
      <c r="AQ498" s="2322"/>
      <c r="AR498" s="2322"/>
      <c r="AS498" s="2322"/>
      <c r="AT498" s="2322"/>
      <c r="AU498" s="2322"/>
      <c r="AV498" s="2322"/>
      <c r="AW498" s="2322"/>
      <c r="AX498" s="2322"/>
      <c r="AY498" s="2322"/>
      <c r="AZ498" s="2322"/>
      <c r="BA498" s="2322"/>
      <c r="BB498" s="2322"/>
      <c r="BC498" s="2322"/>
      <c r="BD498" s="2322"/>
      <c r="BE498" s="2322"/>
      <c r="BF498" s="2322"/>
      <c r="BG498" s="2322"/>
      <c r="BH498" s="2322"/>
      <c r="BI498" s="2322"/>
      <c r="BJ498" s="2322"/>
      <c r="BK498" s="2322"/>
      <c r="BL498" s="2322"/>
      <c r="BM498" s="2322"/>
      <c r="BN498" s="2322"/>
      <c r="BO498" s="2322"/>
      <c r="BP498" s="2322"/>
      <c r="BQ498" s="2322"/>
      <c r="BR498" s="2322"/>
      <c r="BS498" s="2322"/>
      <c r="BT498" s="2322"/>
      <c r="BU498" s="2322"/>
      <c r="BV498" s="2322"/>
      <c r="BW498" s="2322"/>
      <c r="BX498" s="2322"/>
      <c r="BY498" s="2322"/>
      <c r="BZ498" s="2322"/>
      <c r="CA498" s="2322"/>
      <c r="CB498" s="2322"/>
      <c r="CC498" s="2322"/>
      <c r="CD498" s="2322"/>
      <c r="CE498" s="2322"/>
      <c r="CF498" s="2322"/>
      <c r="CG498" s="2322"/>
      <c r="CH498" s="2322"/>
      <c r="CI498" s="2322"/>
      <c r="CJ498" s="2322"/>
      <c r="CK498" s="2322"/>
      <c r="CL498" s="2322"/>
      <c r="CM498" s="2322"/>
      <c r="CN498" s="2322"/>
      <c r="CO498" s="2322"/>
      <c r="CP498" s="2322"/>
      <c r="CQ498" s="2322"/>
      <c r="CR498" s="2322"/>
      <c r="CS498" s="2322"/>
      <c r="CT498" s="2322"/>
      <c r="CU498" s="2322"/>
      <c r="CV498" s="2322"/>
    </row>
    <row r="499" spans="1:100" ht="15.75" customHeight="1">
      <c r="A499" s="2328"/>
      <c r="B499" s="2322"/>
      <c r="C499" s="2322"/>
      <c r="D499" s="2322"/>
      <c r="E499" s="2322"/>
      <c r="F499" s="2322"/>
      <c r="G499" s="2322"/>
      <c r="H499" s="2322"/>
      <c r="I499" s="2322"/>
      <c r="J499" s="2322"/>
      <c r="K499" s="2322"/>
      <c r="L499" s="2322"/>
      <c r="M499" s="2322"/>
      <c r="N499" s="2322"/>
      <c r="O499" s="2322"/>
      <c r="P499" s="2322"/>
      <c r="Q499" s="2322"/>
      <c r="R499" s="2322"/>
      <c r="S499" s="2322"/>
      <c r="T499" s="2322"/>
      <c r="U499" s="2322"/>
      <c r="V499" s="2322"/>
      <c r="W499" s="2322"/>
      <c r="X499" s="2322"/>
      <c r="Y499" s="2322"/>
      <c r="Z499" s="2322"/>
      <c r="AA499" s="2322"/>
      <c r="AB499" s="2322"/>
      <c r="AC499" s="2322"/>
      <c r="AD499" s="2322"/>
      <c r="AE499" s="2322"/>
      <c r="AF499" s="2322"/>
      <c r="AG499" s="2322"/>
      <c r="AH499" s="2322"/>
      <c r="AI499" s="2322"/>
      <c r="AJ499" s="2322"/>
      <c r="AK499" s="2322"/>
      <c r="AL499" s="2322"/>
      <c r="AM499" s="2322"/>
      <c r="AN499" s="2322"/>
      <c r="AO499" s="2322"/>
      <c r="AP499" s="2322"/>
      <c r="AQ499" s="2322"/>
      <c r="AR499" s="2322"/>
      <c r="AS499" s="2322"/>
      <c r="AT499" s="2322"/>
      <c r="AU499" s="2322"/>
      <c r="AV499" s="2322"/>
      <c r="AW499" s="2322"/>
      <c r="AX499" s="2322"/>
      <c r="AY499" s="2322"/>
      <c r="AZ499" s="2322"/>
      <c r="BA499" s="2322"/>
      <c r="BB499" s="2322"/>
      <c r="BC499" s="2322"/>
      <c r="BD499" s="2322"/>
      <c r="BE499" s="2322"/>
      <c r="BF499" s="2322"/>
      <c r="BG499" s="2322"/>
      <c r="BH499" s="2322"/>
      <c r="BI499" s="2322"/>
      <c r="BJ499" s="2322"/>
      <c r="BK499" s="2322"/>
      <c r="BL499" s="2322"/>
      <c r="BM499" s="2322"/>
      <c r="BN499" s="2322"/>
      <c r="BO499" s="2322"/>
      <c r="BP499" s="2322"/>
      <c r="BQ499" s="2322"/>
      <c r="BR499" s="2322"/>
      <c r="BS499" s="2322"/>
      <c r="BT499" s="2322"/>
      <c r="BU499" s="2322"/>
      <c r="BV499" s="2322"/>
      <c r="BW499" s="2322"/>
      <c r="BX499" s="2322"/>
      <c r="BY499" s="2322"/>
      <c r="BZ499" s="2322"/>
      <c r="CA499" s="2322"/>
      <c r="CB499" s="2322"/>
      <c r="CC499" s="2322"/>
      <c r="CD499" s="2322"/>
      <c r="CE499" s="2322"/>
      <c r="CF499" s="2322"/>
      <c r="CG499" s="2322"/>
      <c r="CH499" s="2322"/>
      <c r="CI499" s="2322"/>
      <c r="CJ499" s="2322"/>
      <c r="CK499" s="2322"/>
      <c r="CL499" s="2322"/>
      <c r="CM499" s="2322"/>
      <c r="CN499" s="2322"/>
      <c r="CO499" s="2322"/>
      <c r="CP499" s="2322"/>
      <c r="CQ499" s="2322"/>
      <c r="CR499" s="2322"/>
      <c r="CS499" s="2322"/>
      <c r="CT499" s="2322"/>
      <c r="CU499" s="2322"/>
      <c r="CV499" s="2322"/>
    </row>
    <row r="500" spans="1:100" ht="15.75" customHeight="1">
      <c r="A500" s="2328"/>
      <c r="B500" s="2322"/>
      <c r="C500" s="2322"/>
      <c r="D500" s="2322"/>
      <c r="E500" s="2322"/>
      <c r="F500" s="2322"/>
      <c r="G500" s="2322"/>
      <c r="H500" s="2322"/>
      <c r="I500" s="2322"/>
      <c r="J500" s="2322"/>
      <c r="K500" s="2322"/>
      <c r="L500" s="2322"/>
      <c r="M500" s="2322"/>
      <c r="N500" s="2322"/>
      <c r="O500" s="2322"/>
      <c r="P500" s="2322"/>
      <c r="Q500" s="2322"/>
      <c r="R500" s="2322"/>
      <c r="S500" s="2322"/>
      <c r="T500" s="2322"/>
      <c r="U500" s="2322"/>
      <c r="V500" s="2322"/>
      <c r="W500" s="2322"/>
      <c r="X500" s="2322"/>
      <c r="Y500" s="2322"/>
      <c r="Z500" s="2322"/>
      <c r="AA500" s="2322"/>
      <c r="AB500" s="2322"/>
      <c r="AC500" s="2322"/>
      <c r="AD500" s="2322"/>
      <c r="AE500" s="2322"/>
      <c r="AF500" s="2322"/>
      <c r="AG500" s="2322"/>
      <c r="AH500" s="2322"/>
      <c r="AI500" s="2322"/>
      <c r="AJ500" s="2322"/>
      <c r="AK500" s="2322"/>
      <c r="AL500" s="2322"/>
      <c r="AM500" s="2322"/>
      <c r="AN500" s="2322"/>
      <c r="AO500" s="2322"/>
      <c r="AP500" s="2322"/>
      <c r="AQ500" s="2322"/>
      <c r="AR500" s="2322"/>
      <c r="AS500" s="2322"/>
      <c r="AT500" s="2322"/>
      <c r="AU500" s="2322"/>
      <c r="AV500" s="2322"/>
      <c r="AW500" s="2322"/>
      <c r="AX500" s="2322"/>
      <c r="AY500" s="2322"/>
      <c r="AZ500" s="2322"/>
      <c r="BA500" s="2322"/>
      <c r="BB500" s="2322"/>
      <c r="BC500" s="2322"/>
      <c r="BD500" s="2322"/>
      <c r="BE500" s="2322"/>
      <c r="BF500" s="2322"/>
      <c r="BG500" s="2322"/>
      <c r="BH500" s="2322"/>
      <c r="BI500" s="2322"/>
      <c r="BJ500" s="2322"/>
      <c r="BK500" s="2322"/>
      <c r="BL500" s="2322"/>
      <c r="BM500" s="2322"/>
      <c r="BN500" s="2322"/>
      <c r="BO500" s="2322"/>
      <c r="BP500" s="2322"/>
      <c r="BQ500" s="2322"/>
      <c r="BR500" s="2322"/>
      <c r="BS500" s="2322"/>
      <c r="BT500" s="2322"/>
      <c r="BU500" s="2322"/>
      <c r="BV500" s="2322"/>
      <c r="BW500" s="2322"/>
      <c r="BX500" s="2322"/>
      <c r="BY500" s="2322"/>
      <c r="BZ500" s="2322"/>
      <c r="CA500" s="2322"/>
      <c r="CB500" s="2322"/>
      <c r="CC500" s="2322"/>
      <c r="CD500" s="2322"/>
      <c r="CE500" s="2322"/>
      <c r="CF500" s="2322"/>
      <c r="CG500" s="2322"/>
      <c r="CH500" s="2322"/>
      <c r="CI500" s="2322"/>
      <c r="CJ500" s="2322"/>
      <c r="CK500" s="2322"/>
      <c r="CL500" s="2322"/>
      <c r="CM500" s="2322"/>
      <c r="CN500" s="2322"/>
      <c r="CO500" s="2322"/>
      <c r="CP500" s="2322"/>
      <c r="CQ500" s="2322"/>
      <c r="CR500" s="2322"/>
      <c r="CS500" s="2322"/>
      <c r="CT500" s="2322"/>
      <c r="CU500" s="2322"/>
      <c r="CV500" s="2322"/>
    </row>
    <row r="501" spans="1:100" ht="15.75" customHeight="1">
      <c r="A501" s="2328"/>
      <c r="B501" s="2322"/>
      <c r="C501" s="2322"/>
      <c r="D501" s="2322"/>
      <c r="E501" s="2322"/>
      <c r="F501" s="2322"/>
      <c r="G501" s="2322"/>
      <c r="H501" s="2322"/>
      <c r="I501" s="2322"/>
      <c r="J501" s="2322"/>
      <c r="K501" s="2322"/>
      <c r="L501" s="2322"/>
      <c r="M501" s="2322"/>
      <c r="N501" s="2322"/>
      <c r="O501" s="2322"/>
      <c r="P501" s="2322"/>
      <c r="Q501" s="2322"/>
      <c r="R501" s="2322"/>
      <c r="S501" s="2322"/>
      <c r="T501" s="2322"/>
      <c r="U501" s="2322"/>
      <c r="V501" s="2322"/>
      <c r="W501" s="2322"/>
      <c r="X501" s="2322"/>
      <c r="Y501" s="2322"/>
      <c r="Z501" s="2322"/>
      <c r="AA501" s="2322"/>
      <c r="AB501" s="2322"/>
      <c r="AC501" s="2322"/>
      <c r="AD501" s="2322"/>
      <c r="AE501" s="2322"/>
      <c r="AF501" s="2322"/>
      <c r="AG501" s="2322"/>
      <c r="AH501" s="2322"/>
      <c r="AI501" s="2322"/>
      <c r="AJ501" s="2322"/>
      <c r="AK501" s="2322"/>
      <c r="AL501" s="2322"/>
      <c r="AM501" s="2322"/>
      <c r="AN501" s="2322"/>
      <c r="AO501" s="2322"/>
      <c r="AP501" s="2322"/>
      <c r="AQ501" s="2322"/>
      <c r="AR501" s="2322"/>
      <c r="AS501" s="2322"/>
      <c r="AT501" s="2322"/>
      <c r="AU501" s="2322"/>
      <c r="AV501" s="2322"/>
      <c r="AW501" s="2322"/>
      <c r="AX501" s="2322"/>
      <c r="AY501" s="2322"/>
      <c r="AZ501" s="2322"/>
      <c r="BA501" s="2322"/>
      <c r="BB501" s="2322"/>
      <c r="BC501" s="2322"/>
      <c r="BD501" s="2322"/>
      <c r="BE501" s="2322"/>
      <c r="BF501" s="2322"/>
      <c r="BG501" s="2322"/>
      <c r="BH501" s="2322"/>
      <c r="BI501" s="2322"/>
      <c r="BJ501" s="2322"/>
      <c r="BK501" s="2322"/>
      <c r="BL501" s="2322"/>
      <c r="BM501" s="2322"/>
      <c r="BN501" s="2322"/>
      <c r="BO501" s="2322"/>
      <c r="BP501" s="2322"/>
      <c r="BQ501" s="2322"/>
      <c r="BR501" s="2322"/>
      <c r="BS501" s="2322"/>
      <c r="BT501" s="2322"/>
      <c r="BU501" s="2322"/>
      <c r="BV501" s="2322"/>
      <c r="BW501" s="2322"/>
      <c r="BX501" s="2322"/>
      <c r="BY501" s="2322"/>
      <c r="BZ501" s="2322"/>
      <c r="CA501" s="2322"/>
      <c r="CB501" s="2322"/>
      <c r="CC501" s="2322"/>
      <c r="CD501" s="2322"/>
      <c r="CE501" s="2322"/>
      <c r="CF501" s="2322"/>
      <c r="CG501" s="2322"/>
      <c r="CH501" s="2322"/>
      <c r="CI501" s="2322"/>
      <c r="CJ501" s="2322"/>
      <c r="CK501" s="2322"/>
      <c r="CL501" s="2322"/>
      <c r="CM501" s="2322"/>
      <c r="CN501" s="2322"/>
      <c r="CO501" s="2322"/>
      <c r="CP501" s="2322"/>
      <c r="CQ501" s="2322"/>
      <c r="CR501" s="2322"/>
      <c r="CS501" s="2322"/>
      <c r="CT501" s="2322"/>
      <c r="CU501" s="2322"/>
      <c r="CV501" s="2322"/>
    </row>
    <row r="502" spans="1:100" ht="15.75" customHeight="1">
      <c r="A502" s="2328"/>
      <c r="B502" s="2322"/>
      <c r="C502" s="2322"/>
      <c r="D502" s="2322"/>
      <c r="E502" s="2322"/>
      <c r="F502" s="2322"/>
      <c r="G502" s="2322"/>
      <c r="H502" s="2322"/>
      <c r="I502" s="2322"/>
      <c r="J502" s="2322"/>
      <c r="K502" s="2322"/>
      <c r="L502" s="2322"/>
      <c r="M502" s="2322"/>
      <c r="N502" s="2322"/>
      <c r="O502" s="2322"/>
      <c r="P502" s="2322"/>
      <c r="Q502" s="2322"/>
      <c r="R502" s="2322"/>
      <c r="S502" s="2322"/>
      <c r="T502" s="2322"/>
      <c r="U502" s="2322"/>
      <c r="V502" s="2322"/>
      <c r="W502" s="2322"/>
      <c r="X502" s="2322"/>
      <c r="Y502" s="2322"/>
      <c r="Z502" s="2322"/>
      <c r="AA502" s="2322"/>
      <c r="AB502" s="2322"/>
      <c r="AC502" s="2322"/>
      <c r="AD502" s="2322"/>
      <c r="AE502" s="2322"/>
      <c r="AF502" s="2322"/>
      <c r="AG502" s="2322"/>
      <c r="AH502" s="2322"/>
      <c r="AI502" s="2322"/>
      <c r="AJ502" s="2322"/>
      <c r="AK502" s="2322"/>
      <c r="AL502" s="2322"/>
      <c r="AM502" s="2322"/>
      <c r="AN502" s="2322"/>
      <c r="AO502" s="2322"/>
      <c r="AP502" s="2322"/>
      <c r="AQ502" s="2322"/>
      <c r="AR502" s="2322"/>
      <c r="AS502" s="2322"/>
      <c r="AT502" s="2322"/>
      <c r="AU502" s="2322"/>
      <c r="AV502" s="2322"/>
      <c r="AW502" s="2322"/>
      <c r="AX502" s="2322"/>
      <c r="AY502" s="2322"/>
      <c r="AZ502" s="2322"/>
      <c r="BA502" s="2322"/>
      <c r="BB502" s="2322"/>
      <c r="BC502" s="2322"/>
      <c r="BD502" s="2322"/>
      <c r="BE502" s="2322"/>
      <c r="BF502" s="2322"/>
      <c r="BG502" s="2322"/>
      <c r="BH502" s="2322"/>
      <c r="BI502" s="2322"/>
      <c r="BJ502" s="2322"/>
      <c r="BK502" s="2322"/>
      <c r="BL502" s="2322"/>
      <c r="BM502" s="2322"/>
      <c r="BN502" s="2322"/>
      <c r="BO502" s="2322"/>
      <c r="BP502" s="2322"/>
      <c r="BQ502" s="2322"/>
      <c r="BR502" s="2322"/>
      <c r="BS502" s="2322"/>
      <c r="BT502" s="2322"/>
      <c r="BU502" s="2322"/>
      <c r="BV502" s="2322"/>
      <c r="BW502" s="2322"/>
      <c r="BX502" s="2322"/>
      <c r="BY502" s="2322"/>
      <c r="BZ502" s="2322"/>
      <c r="CA502" s="2322"/>
      <c r="CB502" s="2322"/>
      <c r="CC502" s="2322"/>
      <c r="CD502" s="2322"/>
      <c r="CE502" s="2322"/>
      <c r="CF502" s="2322"/>
      <c r="CG502" s="2322"/>
      <c r="CH502" s="2322"/>
      <c r="CI502" s="2322"/>
      <c r="CJ502" s="2322"/>
      <c r="CK502" s="2322"/>
      <c r="CL502" s="2322"/>
      <c r="CM502" s="2322"/>
      <c r="CN502" s="2322"/>
      <c r="CO502" s="2322"/>
      <c r="CP502" s="2322"/>
      <c r="CQ502" s="2322"/>
      <c r="CR502" s="2322"/>
      <c r="CS502" s="2322"/>
      <c r="CT502" s="2322"/>
      <c r="CU502" s="2322"/>
      <c r="CV502" s="2322"/>
    </row>
    <row r="503" spans="1:100" ht="15.75" customHeight="1">
      <c r="A503" s="2328"/>
      <c r="B503" s="2322"/>
      <c r="C503" s="2322"/>
      <c r="D503" s="2322"/>
      <c r="E503" s="2322"/>
      <c r="F503" s="2322"/>
      <c r="G503" s="2322"/>
      <c r="H503" s="2322"/>
      <c r="I503" s="2322"/>
      <c r="J503" s="2322"/>
      <c r="K503" s="2322"/>
      <c r="L503" s="2322"/>
      <c r="M503" s="2322"/>
      <c r="N503" s="2322"/>
      <c r="O503" s="2322"/>
      <c r="P503" s="2322"/>
      <c r="Q503" s="2322"/>
      <c r="R503" s="2322"/>
      <c r="S503" s="2322"/>
      <c r="T503" s="2322"/>
      <c r="U503" s="2322"/>
      <c r="V503" s="2322"/>
      <c r="W503" s="2322"/>
      <c r="X503" s="2322"/>
      <c r="Y503" s="2322"/>
      <c r="Z503" s="2322"/>
      <c r="AA503" s="2322"/>
      <c r="AB503" s="2322"/>
      <c r="AC503" s="2322"/>
      <c r="AD503" s="2322"/>
      <c r="AE503" s="2322"/>
      <c r="AF503" s="2322"/>
      <c r="AG503" s="2322"/>
      <c r="AH503" s="2322"/>
      <c r="AI503" s="2322"/>
      <c r="AJ503" s="2322"/>
      <c r="AK503" s="2322"/>
      <c r="AL503" s="2322"/>
      <c r="AM503" s="2322"/>
      <c r="AN503" s="2322"/>
      <c r="AO503" s="2322"/>
      <c r="AP503" s="2322"/>
      <c r="AQ503" s="2322"/>
      <c r="AR503" s="2322"/>
      <c r="AS503" s="2322"/>
      <c r="AT503" s="2322"/>
      <c r="AU503" s="2322"/>
      <c r="AV503" s="2322"/>
      <c r="AW503" s="2322"/>
      <c r="AX503" s="2322"/>
      <c r="AY503" s="2322"/>
      <c r="AZ503" s="2322"/>
      <c r="BA503" s="2322"/>
      <c r="BB503" s="2322"/>
      <c r="BC503" s="2322"/>
      <c r="BD503" s="2322"/>
      <c r="BE503" s="2322"/>
      <c r="BF503" s="2322"/>
      <c r="BG503" s="2322"/>
      <c r="BH503" s="2322"/>
      <c r="BI503" s="2322"/>
      <c r="BJ503" s="2322"/>
      <c r="BK503" s="2322"/>
      <c r="BL503" s="2322"/>
      <c r="BM503" s="2322"/>
      <c r="BN503" s="2322"/>
      <c r="BO503" s="2322"/>
      <c r="BP503" s="2322"/>
      <c r="BQ503" s="2322"/>
      <c r="BR503" s="2322"/>
      <c r="BS503" s="2322"/>
      <c r="BT503" s="2322"/>
      <c r="BU503" s="2322"/>
      <c r="BV503" s="2322"/>
      <c r="BW503" s="2322"/>
      <c r="BX503" s="2322"/>
      <c r="BY503" s="2322"/>
      <c r="BZ503" s="2322"/>
      <c r="CA503" s="2322"/>
      <c r="CB503" s="2322"/>
      <c r="CC503" s="2322"/>
      <c r="CD503" s="2322"/>
      <c r="CE503" s="2322"/>
      <c r="CF503" s="2322"/>
      <c r="CG503" s="2322"/>
      <c r="CH503" s="2322"/>
      <c r="CI503" s="2322"/>
      <c r="CJ503" s="2322"/>
      <c r="CK503" s="2322"/>
      <c r="CL503" s="2322"/>
      <c r="CM503" s="2322"/>
      <c r="CN503" s="2322"/>
      <c r="CO503" s="2322"/>
      <c r="CP503" s="2322"/>
      <c r="CQ503" s="2322"/>
      <c r="CR503" s="2322"/>
      <c r="CS503" s="2322"/>
      <c r="CT503" s="2322"/>
      <c r="CU503" s="2322"/>
      <c r="CV503" s="2322"/>
    </row>
    <row r="504" spans="1:100" ht="15.75" customHeight="1">
      <c r="A504" s="2328"/>
      <c r="B504" s="2322"/>
      <c r="C504" s="2322"/>
      <c r="D504" s="2322"/>
      <c r="E504" s="2322"/>
      <c r="F504" s="2322"/>
      <c r="G504" s="2322"/>
      <c r="H504" s="2322"/>
      <c r="I504" s="2322"/>
      <c r="J504" s="2322"/>
      <c r="K504" s="2322"/>
      <c r="L504" s="2322"/>
      <c r="M504" s="2322"/>
      <c r="N504" s="2322"/>
      <c r="O504" s="2322"/>
      <c r="P504" s="2322"/>
      <c r="Q504" s="2322"/>
      <c r="R504" s="2322"/>
      <c r="S504" s="2322"/>
      <c r="T504" s="2322"/>
      <c r="U504" s="2322"/>
      <c r="V504" s="2322"/>
      <c r="W504" s="2322"/>
      <c r="X504" s="2322"/>
      <c r="Y504" s="2322"/>
      <c r="Z504" s="2322"/>
      <c r="AA504" s="2322"/>
      <c r="AB504" s="2322"/>
      <c r="AC504" s="2322"/>
      <c r="AD504" s="2322"/>
      <c r="AE504" s="2322"/>
      <c r="AF504" s="2322"/>
      <c r="AG504" s="2322"/>
      <c r="AH504" s="2322"/>
      <c r="AI504" s="2322"/>
      <c r="AJ504" s="2322"/>
      <c r="AK504" s="2322"/>
      <c r="AL504" s="2322"/>
      <c r="AM504" s="2322"/>
      <c r="AN504" s="2322"/>
      <c r="AO504" s="2322"/>
      <c r="AP504" s="2322"/>
      <c r="AQ504" s="2322"/>
      <c r="AR504" s="2322"/>
      <c r="AS504" s="2322"/>
      <c r="AT504" s="2322"/>
      <c r="AU504" s="2322"/>
      <c r="AV504" s="2322"/>
      <c r="AW504" s="2322"/>
      <c r="AX504" s="2322"/>
      <c r="AY504" s="2322"/>
      <c r="AZ504" s="2322"/>
      <c r="BA504" s="2322"/>
      <c r="BB504" s="2322"/>
      <c r="BC504" s="2322"/>
      <c r="BD504" s="2322"/>
      <c r="BE504" s="2322"/>
      <c r="BF504" s="2322"/>
      <c r="BG504" s="2322"/>
      <c r="BH504" s="2322"/>
      <c r="BI504" s="2322"/>
      <c r="BJ504" s="2322"/>
      <c r="BK504" s="2322"/>
      <c r="BL504" s="2322"/>
      <c r="BM504" s="2322"/>
      <c r="BN504" s="2322"/>
      <c r="BO504" s="2322"/>
      <c r="BP504" s="2322"/>
      <c r="BQ504" s="2322"/>
      <c r="BR504" s="2322"/>
      <c r="BS504" s="2322"/>
      <c r="BT504" s="2322"/>
      <c r="BU504" s="2322"/>
      <c r="BV504" s="2322"/>
      <c r="BW504" s="2322"/>
      <c r="BX504" s="2322"/>
      <c r="BY504" s="2322"/>
      <c r="BZ504" s="2322"/>
      <c r="CA504" s="2322"/>
      <c r="CB504" s="2322"/>
      <c r="CC504" s="2322"/>
      <c r="CD504" s="2322"/>
      <c r="CE504" s="2322"/>
      <c r="CF504" s="2322"/>
      <c r="CG504" s="2322"/>
      <c r="CH504" s="2322"/>
      <c r="CI504" s="2322"/>
      <c r="CJ504" s="2322"/>
      <c r="CK504" s="2322"/>
      <c r="CL504" s="2322"/>
      <c r="CM504" s="2322"/>
      <c r="CN504" s="2322"/>
      <c r="CO504" s="2322"/>
      <c r="CP504" s="2322"/>
      <c r="CQ504" s="2322"/>
      <c r="CR504" s="2322"/>
      <c r="CS504" s="2322"/>
      <c r="CT504" s="2322"/>
      <c r="CU504" s="2322"/>
      <c r="CV504" s="2322"/>
    </row>
    <row r="505" spans="1:100" ht="15.75" customHeight="1">
      <c r="A505" s="2328"/>
      <c r="B505" s="2322"/>
      <c r="C505" s="2322"/>
      <c r="D505" s="2322"/>
      <c r="E505" s="2322"/>
      <c r="F505" s="2322"/>
      <c r="G505" s="2322"/>
      <c r="H505" s="2322"/>
      <c r="I505" s="2322"/>
      <c r="J505" s="2322"/>
      <c r="K505" s="2322"/>
      <c r="L505" s="2322"/>
      <c r="M505" s="2322"/>
      <c r="N505" s="2322"/>
      <c r="O505" s="2322"/>
      <c r="P505" s="2322"/>
      <c r="Q505" s="2322"/>
      <c r="R505" s="2322"/>
      <c r="S505" s="2322"/>
      <c r="T505" s="2322"/>
      <c r="U505" s="2322"/>
      <c r="V505" s="2322"/>
      <c r="W505" s="2322"/>
      <c r="X505" s="2322"/>
      <c r="Y505" s="2322"/>
      <c r="Z505" s="2322"/>
      <c r="AA505" s="2322"/>
      <c r="AB505" s="2322"/>
      <c r="AC505" s="2322"/>
      <c r="AD505" s="2322"/>
      <c r="AE505" s="2322"/>
      <c r="AF505" s="2322"/>
      <c r="AG505" s="2322"/>
      <c r="AH505" s="2322"/>
      <c r="AI505" s="2322"/>
      <c r="AJ505" s="2322"/>
      <c r="AK505" s="2322"/>
      <c r="AL505" s="2322"/>
      <c r="AM505" s="2322"/>
      <c r="AN505" s="2322"/>
      <c r="AO505" s="2322"/>
      <c r="AP505" s="2322"/>
      <c r="AQ505" s="2322"/>
      <c r="AR505" s="2322"/>
      <c r="AS505" s="2322"/>
      <c r="AT505" s="2322"/>
      <c r="AU505" s="2322"/>
      <c r="AV505" s="2322"/>
      <c r="AW505" s="2322"/>
      <c r="AX505" s="2322"/>
      <c r="AY505" s="2322"/>
      <c r="AZ505" s="2322"/>
      <c r="BA505" s="2322"/>
      <c r="BB505" s="2322"/>
      <c r="BC505" s="2322"/>
      <c r="BD505" s="2322"/>
      <c r="BE505" s="2322"/>
      <c r="BF505" s="2322"/>
      <c r="BG505" s="2322"/>
      <c r="BH505" s="2322"/>
      <c r="BI505" s="2322"/>
      <c r="BJ505" s="2322"/>
      <c r="BK505" s="2322"/>
      <c r="BL505" s="2322"/>
      <c r="BM505" s="2322"/>
      <c r="BN505" s="2322"/>
      <c r="BO505" s="2322"/>
      <c r="BP505" s="2322"/>
      <c r="BQ505" s="2322"/>
      <c r="BR505" s="2322"/>
      <c r="BS505" s="2322"/>
      <c r="BT505" s="2322"/>
      <c r="BU505" s="2322"/>
      <c r="BV505" s="2322"/>
      <c r="BW505" s="2322"/>
      <c r="BX505" s="2322"/>
      <c r="BY505" s="2322"/>
      <c r="BZ505" s="2322"/>
      <c r="CA505" s="2322"/>
      <c r="CB505" s="2322"/>
      <c r="CC505" s="2322"/>
      <c r="CD505" s="2322"/>
      <c r="CE505" s="2322"/>
      <c r="CF505" s="2322"/>
      <c r="CG505" s="2322"/>
      <c r="CH505" s="2322"/>
      <c r="CI505" s="2322"/>
      <c r="CJ505" s="2322"/>
      <c r="CK505" s="2322"/>
      <c r="CL505" s="2322"/>
      <c r="CM505" s="2322"/>
      <c r="CN505" s="2322"/>
      <c r="CO505" s="2322"/>
      <c r="CP505" s="2322"/>
      <c r="CQ505" s="2322"/>
      <c r="CR505" s="2322"/>
      <c r="CS505" s="2322"/>
      <c r="CT505" s="2322"/>
      <c r="CU505" s="2322"/>
      <c r="CV505" s="2322"/>
    </row>
    <row r="506" spans="1:100" ht="15.75" customHeight="1">
      <c r="A506" s="2328"/>
      <c r="B506" s="2322"/>
      <c r="C506" s="2322"/>
      <c r="D506" s="2322"/>
      <c r="E506" s="2322"/>
      <c r="F506" s="2322"/>
      <c r="G506" s="2322"/>
      <c r="H506" s="2322"/>
      <c r="I506" s="2322"/>
      <c r="J506" s="2322"/>
      <c r="K506" s="2322"/>
      <c r="L506" s="2322"/>
      <c r="M506" s="2322"/>
      <c r="N506" s="2322"/>
      <c r="O506" s="2322"/>
      <c r="P506" s="2322"/>
      <c r="Q506" s="2322"/>
      <c r="R506" s="2322"/>
      <c r="S506" s="2322"/>
      <c r="T506" s="2322"/>
      <c r="U506" s="2322"/>
      <c r="V506" s="2322"/>
      <c r="W506" s="2322"/>
      <c r="X506" s="2322"/>
      <c r="Y506" s="2322"/>
      <c r="Z506" s="2322"/>
      <c r="AA506" s="2322"/>
      <c r="AB506" s="2322"/>
      <c r="AC506" s="2322"/>
      <c r="AD506" s="2322"/>
      <c r="AE506" s="2322"/>
      <c r="AF506" s="2322"/>
      <c r="AG506" s="2322"/>
      <c r="AH506" s="2322"/>
      <c r="AI506" s="2322"/>
      <c r="AJ506" s="2322"/>
      <c r="AK506" s="2322"/>
      <c r="AL506" s="2322"/>
      <c r="AM506" s="2322"/>
      <c r="AN506" s="2322"/>
      <c r="AO506" s="2322"/>
      <c r="AP506" s="2322"/>
      <c r="AQ506" s="2322"/>
      <c r="AR506" s="2322"/>
      <c r="AS506" s="2322"/>
      <c r="AT506" s="2322"/>
      <c r="AU506" s="2322"/>
      <c r="AV506" s="2322"/>
      <c r="AW506" s="2322"/>
      <c r="AX506" s="2322"/>
      <c r="AY506" s="2322"/>
      <c r="AZ506" s="2322"/>
      <c r="BA506" s="2322"/>
      <c r="BB506" s="2322"/>
      <c r="BC506" s="2322"/>
      <c r="BD506" s="2322"/>
      <c r="BE506" s="2322"/>
      <c r="BF506" s="2322"/>
      <c r="BG506" s="2322"/>
      <c r="BH506" s="2322"/>
      <c r="BI506" s="2322"/>
      <c r="BJ506" s="2322"/>
      <c r="BK506" s="2322"/>
      <c r="BL506" s="2322"/>
      <c r="BM506" s="2322"/>
      <c r="BN506" s="2322"/>
      <c r="BO506" s="2322"/>
      <c r="BP506" s="2322"/>
      <c r="BQ506" s="2322"/>
      <c r="BR506" s="2322"/>
      <c r="BS506" s="2322"/>
      <c r="BT506" s="2322"/>
      <c r="BU506" s="2322"/>
      <c r="BV506" s="2322"/>
      <c r="BW506" s="2322"/>
      <c r="BX506" s="2322"/>
      <c r="BY506" s="2322"/>
      <c r="BZ506" s="2322"/>
      <c r="CA506" s="2322"/>
      <c r="CB506" s="2322"/>
      <c r="CC506" s="2322"/>
      <c r="CD506" s="2322"/>
      <c r="CE506" s="2322"/>
      <c r="CF506" s="2322"/>
      <c r="CG506" s="2322"/>
      <c r="CH506" s="2322"/>
      <c r="CI506" s="2322"/>
      <c r="CJ506" s="2322"/>
      <c r="CK506" s="2322"/>
      <c r="CL506" s="2322"/>
      <c r="CM506" s="2322"/>
      <c r="CN506" s="2322"/>
      <c r="CO506" s="2322"/>
      <c r="CP506" s="2322"/>
      <c r="CQ506" s="2322"/>
      <c r="CR506" s="2322"/>
      <c r="CS506" s="2322"/>
      <c r="CT506" s="2322"/>
      <c r="CU506" s="2322"/>
      <c r="CV506" s="2322"/>
    </row>
    <row r="507" spans="1:100" ht="15.75" customHeight="1">
      <c r="A507" s="2328"/>
      <c r="B507" s="2322"/>
      <c r="C507" s="2322"/>
      <c r="D507" s="2322"/>
      <c r="E507" s="2322"/>
      <c r="F507" s="2322"/>
      <c r="G507" s="2322"/>
      <c r="H507" s="2322"/>
      <c r="I507" s="2322"/>
      <c r="J507" s="2322"/>
      <c r="K507" s="2322"/>
      <c r="L507" s="2322"/>
      <c r="M507" s="2322"/>
      <c r="N507" s="2322"/>
      <c r="O507" s="2322"/>
      <c r="P507" s="2322"/>
      <c r="Q507" s="2322"/>
      <c r="R507" s="2322"/>
      <c r="S507" s="2322"/>
      <c r="T507" s="2322"/>
      <c r="U507" s="2322"/>
      <c r="V507" s="2322"/>
      <c r="W507" s="2322"/>
      <c r="X507" s="2322"/>
      <c r="Y507" s="2322"/>
      <c r="Z507" s="2322"/>
      <c r="AA507" s="2322"/>
      <c r="AB507" s="2322"/>
      <c r="AC507" s="2322"/>
      <c r="AD507" s="2322"/>
      <c r="AE507" s="2322"/>
      <c r="AF507" s="2322"/>
      <c r="AG507" s="2322"/>
      <c r="AH507" s="2322"/>
      <c r="AI507" s="2322"/>
      <c r="AJ507" s="2322"/>
      <c r="AK507" s="2322"/>
      <c r="AL507" s="2322"/>
      <c r="AM507" s="2322"/>
      <c r="AN507" s="2322"/>
      <c r="AO507" s="2322"/>
      <c r="AP507" s="2322"/>
      <c r="AQ507" s="2322"/>
      <c r="AR507" s="2322"/>
      <c r="AS507" s="2322"/>
      <c r="AT507" s="2322"/>
      <c r="AU507" s="2322"/>
      <c r="AV507" s="2322"/>
      <c r="AW507" s="2322"/>
      <c r="AX507" s="2322"/>
      <c r="AY507" s="2322"/>
      <c r="AZ507" s="2322"/>
      <c r="BA507" s="2322"/>
      <c r="BB507" s="2322"/>
      <c r="BC507" s="2322"/>
      <c r="BD507" s="2322"/>
      <c r="BE507" s="2322"/>
      <c r="BF507" s="2322"/>
      <c r="BG507" s="2322"/>
      <c r="BH507" s="2322"/>
      <c r="BI507" s="2322"/>
      <c r="BJ507" s="2322"/>
      <c r="BK507" s="2322"/>
      <c r="BL507" s="2322"/>
      <c r="BM507" s="2322"/>
      <c r="BN507" s="2322"/>
      <c r="BO507" s="2322"/>
      <c r="BP507" s="2322"/>
      <c r="BQ507" s="2322"/>
      <c r="BR507" s="2322"/>
      <c r="BS507" s="2322"/>
      <c r="BT507" s="2322"/>
      <c r="BU507" s="2322"/>
      <c r="BV507" s="2322"/>
      <c r="BW507" s="2322"/>
      <c r="BX507" s="2322"/>
      <c r="BY507" s="2322"/>
      <c r="BZ507" s="2322"/>
      <c r="CA507" s="2322"/>
      <c r="CB507" s="2322"/>
      <c r="CC507" s="2322"/>
      <c r="CD507" s="2322"/>
      <c r="CE507" s="2322"/>
      <c r="CF507" s="2322"/>
      <c r="CG507" s="2322"/>
      <c r="CH507" s="2322"/>
      <c r="CI507" s="2322"/>
      <c r="CJ507" s="2322"/>
      <c r="CK507" s="2322"/>
      <c r="CL507" s="2322"/>
      <c r="CM507" s="2322"/>
      <c r="CN507" s="2322"/>
      <c r="CO507" s="2322"/>
      <c r="CP507" s="2322"/>
      <c r="CQ507" s="2322"/>
      <c r="CR507" s="2322"/>
      <c r="CS507" s="2322"/>
      <c r="CT507" s="2322"/>
      <c r="CU507" s="2322"/>
      <c r="CV507" s="2322"/>
    </row>
    <row r="508" spans="1:100" ht="15.75" customHeight="1">
      <c r="A508" s="2328"/>
      <c r="B508" s="2322"/>
      <c r="C508" s="2322"/>
      <c r="D508" s="2322"/>
      <c r="E508" s="2322"/>
      <c r="F508" s="2322"/>
      <c r="G508" s="2322"/>
      <c r="H508" s="2322"/>
      <c r="I508" s="2322"/>
      <c r="J508" s="2322"/>
      <c r="K508" s="2322"/>
      <c r="L508" s="2322"/>
      <c r="M508" s="2322"/>
      <c r="N508" s="2322"/>
      <c r="O508" s="2322"/>
      <c r="P508" s="2322"/>
      <c r="Q508" s="2322"/>
      <c r="R508" s="2322"/>
      <c r="S508" s="2322"/>
      <c r="T508" s="2322"/>
      <c r="U508" s="2322"/>
      <c r="V508" s="2322"/>
      <c r="W508" s="2322"/>
      <c r="X508" s="2322"/>
      <c r="Y508" s="2322"/>
      <c r="Z508" s="2322"/>
      <c r="AA508" s="2322"/>
      <c r="AB508" s="2322"/>
      <c r="AC508" s="2322"/>
      <c r="AD508" s="2322"/>
      <c r="AE508" s="2322"/>
      <c r="AF508" s="2322"/>
      <c r="AG508" s="2322"/>
      <c r="AH508" s="2322"/>
      <c r="AI508" s="2322"/>
      <c r="AJ508" s="2322"/>
      <c r="AK508" s="2322"/>
      <c r="AL508" s="2322"/>
      <c r="AM508" s="2322"/>
      <c r="AN508" s="2322"/>
      <c r="AO508" s="2322"/>
      <c r="AP508" s="2322"/>
      <c r="AQ508" s="2322"/>
      <c r="AR508" s="2322"/>
      <c r="AS508" s="2322"/>
      <c r="AT508" s="2322"/>
      <c r="AU508" s="2322"/>
      <c r="AV508" s="2322"/>
      <c r="AW508" s="2322"/>
      <c r="AX508" s="2322"/>
      <c r="AY508" s="2322"/>
      <c r="AZ508" s="2322"/>
      <c r="BA508" s="2322"/>
      <c r="BB508" s="2322"/>
      <c r="BC508" s="2322"/>
      <c r="BD508" s="2322"/>
      <c r="BE508" s="2322"/>
      <c r="BF508" s="2322"/>
      <c r="BG508" s="2322"/>
      <c r="BH508" s="2322"/>
      <c r="BI508" s="2322"/>
      <c r="BJ508" s="2322"/>
      <c r="BK508" s="2322"/>
      <c r="BL508" s="2322"/>
      <c r="BM508" s="2322"/>
      <c r="BN508" s="2322"/>
      <c r="BO508" s="2322"/>
      <c r="BP508" s="2322"/>
      <c r="BQ508" s="2322"/>
      <c r="BR508" s="2322"/>
      <c r="BS508" s="2322"/>
      <c r="BT508" s="2322"/>
      <c r="BU508" s="2322"/>
      <c r="BV508" s="2322"/>
      <c r="BW508" s="2322"/>
      <c r="BX508" s="2322"/>
      <c r="BY508" s="2322"/>
      <c r="BZ508" s="2322"/>
      <c r="CA508" s="2322"/>
      <c r="CB508" s="2322"/>
      <c r="CC508" s="2322"/>
      <c r="CD508" s="2322"/>
      <c r="CE508" s="2322"/>
      <c r="CF508" s="2322"/>
      <c r="CG508" s="2322"/>
      <c r="CH508" s="2322"/>
      <c r="CI508" s="2322"/>
      <c r="CJ508" s="2322"/>
      <c r="CK508" s="2322"/>
      <c r="CL508" s="2322"/>
      <c r="CM508" s="2322"/>
      <c r="CN508" s="2322"/>
      <c r="CO508" s="2322"/>
      <c r="CP508" s="2322"/>
      <c r="CQ508" s="2322"/>
      <c r="CR508" s="2322"/>
      <c r="CS508" s="2322"/>
      <c r="CT508" s="2322"/>
      <c r="CU508" s="2322"/>
      <c r="CV508" s="2322"/>
    </row>
    <row r="509" spans="1:100" ht="15.75" customHeight="1">
      <c r="A509" s="2328"/>
      <c r="B509" s="2322"/>
      <c r="C509" s="2322"/>
      <c r="D509" s="2322"/>
      <c r="E509" s="2322"/>
      <c r="F509" s="2322"/>
      <c r="G509" s="2322"/>
      <c r="H509" s="2322"/>
      <c r="I509" s="2322"/>
      <c r="J509" s="2322"/>
      <c r="K509" s="2322"/>
      <c r="L509" s="2322"/>
      <c r="M509" s="2322"/>
      <c r="N509" s="2322"/>
      <c r="O509" s="2322"/>
      <c r="P509" s="2322"/>
      <c r="Q509" s="2322"/>
      <c r="R509" s="2322"/>
      <c r="S509" s="2322"/>
      <c r="T509" s="2322"/>
      <c r="U509" s="2322"/>
      <c r="V509" s="2322"/>
      <c r="W509" s="2322"/>
      <c r="X509" s="2322"/>
      <c r="Y509" s="2322"/>
      <c r="Z509" s="2322"/>
      <c r="AA509" s="2322"/>
      <c r="AB509" s="2322"/>
      <c r="AC509" s="2322"/>
      <c r="AD509" s="2322"/>
      <c r="AE509" s="2322"/>
      <c r="AF509" s="2322"/>
      <c r="AG509" s="2322"/>
      <c r="AH509" s="2322"/>
      <c r="AI509" s="2322"/>
      <c r="AJ509" s="2322"/>
      <c r="AK509" s="2322"/>
      <c r="AL509" s="2322"/>
      <c r="AM509" s="2322"/>
      <c r="AN509" s="2322"/>
      <c r="AO509" s="2322"/>
      <c r="AP509" s="2322"/>
      <c r="AQ509" s="2322"/>
      <c r="AR509" s="2322"/>
      <c r="AS509" s="2322"/>
      <c r="AT509" s="2322"/>
      <c r="AU509" s="2322"/>
      <c r="AV509" s="2322"/>
      <c r="AW509" s="2322"/>
      <c r="AX509" s="2322"/>
      <c r="AY509" s="2322"/>
      <c r="AZ509" s="2322"/>
      <c r="BA509" s="2322"/>
      <c r="BB509" s="2322"/>
      <c r="BC509" s="2322"/>
      <c r="BD509" s="2322"/>
      <c r="BE509" s="2322"/>
      <c r="BF509" s="2322"/>
      <c r="BG509" s="2322"/>
      <c r="BH509" s="2322"/>
      <c r="BI509" s="2322"/>
      <c r="BJ509" s="2322"/>
      <c r="BK509" s="2322"/>
      <c r="BL509" s="2322"/>
      <c r="BM509" s="2322"/>
      <c r="BN509" s="2322"/>
      <c r="BO509" s="2322"/>
      <c r="BP509" s="2322"/>
      <c r="BQ509" s="2322"/>
      <c r="BR509" s="2322"/>
      <c r="BS509" s="2322"/>
      <c r="BT509" s="2322"/>
      <c r="BU509" s="2322"/>
      <c r="BV509" s="2322"/>
      <c r="BW509" s="2322"/>
      <c r="BX509" s="2322"/>
      <c r="BY509" s="2322"/>
      <c r="BZ509" s="2322"/>
      <c r="CA509" s="2322"/>
      <c r="CB509" s="2322"/>
      <c r="CC509" s="2322"/>
      <c r="CD509" s="2322"/>
      <c r="CE509" s="2322"/>
      <c r="CF509" s="2322"/>
      <c r="CG509" s="2322"/>
      <c r="CH509" s="2322"/>
      <c r="CI509" s="2322"/>
      <c r="CJ509" s="2322"/>
      <c r="CK509" s="2322"/>
      <c r="CL509" s="2322"/>
      <c r="CM509" s="2322"/>
      <c r="CN509" s="2322"/>
      <c r="CO509" s="2322"/>
      <c r="CP509" s="2322"/>
      <c r="CQ509" s="2322"/>
      <c r="CR509" s="2322"/>
      <c r="CS509" s="2322"/>
      <c r="CT509" s="2322"/>
      <c r="CU509" s="2322"/>
      <c r="CV509" s="2322"/>
    </row>
    <row r="510" spans="1:100" ht="15.75" customHeight="1">
      <c r="A510" s="2328"/>
      <c r="B510" s="2322"/>
      <c r="C510" s="2322"/>
      <c r="D510" s="2322"/>
      <c r="E510" s="2322"/>
      <c r="F510" s="2322"/>
      <c r="G510" s="2322"/>
      <c r="H510" s="2322"/>
      <c r="I510" s="2322"/>
      <c r="J510" s="2322"/>
      <c r="K510" s="2322"/>
      <c r="L510" s="2322"/>
      <c r="M510" s="2322"/>
      <c r="N510" s="2322"/>
      <c r="O510" s="2322"/>
      <c r="P510" s="2322"/>
      <c r="Q510" s="2322"/>
      <c r="R510" s="2322"/>
      <c r="S510" s="2322"/>
      <c r="T510" s="2322"/>
      <c r="U510" s="2322"/>
      <c r="V510" s="2322"/>
      <c r="W510" s="2322"/>
      <c r="X510" s="2322"/>
      <c r="Y510" s="2322"/>
      <c r="Z510" s="2322"/>
      <c r="AA510" s="2322"/>
      <c r="AB510" s="2322"/>
      <c r="AC510" s="2322"/>
      <c r="AD510" s="2322"/>
      <c r="AE510" s="2322"/>
      <c r="AF510" s="2322"/>
      <c r="AG510" s="2322"/>
      <c r="AH510" s="2322"/>
      <c r="AI510" s="2322"/>
      <c r="AJ510" s="2322"/>
      <c r="AK510" s="2322"/>
      <c r="AL510" s="2322"/>
      <c r="AM510" s="2322"/>
      <c r="AN510" s="2322"/>
      <c r="AO510" s="2322"/>
      <c r="AP510" s="2322"/>
      <c r="AQ510" s="2322"/>
      <c r="AR510" s="2322"/>
      <c r="AS510" s="2322"/>
      <c r="AT510" s="2322"/>
      <c r="AU510" s="2322"/>
      <c r="AV510" s="2322"/>
      <c r="AW510" s="2322"/>
      <c r="AX510" s="2322"/>
      <c r="AY510" s="2322"/>
      <c r="AZ510" s="2322"/>
      <c r="BA510" s="2322"/>
      <c r="BB510" s="2322"/>
      <c r="BC510" s="2322"/>
      <c r="BD510" s="2322"/>
      <c r="BE510" s="2322"/>
      <c r="BF510" s="2322"/>
      <c r="BG510" s="2322"/>
      <c r="BH510" s="2322"/>
      <c r="BI510" s="2322"/>
      <c r="BJ510" s="2322"/>
      <c r="BK510" s="2322"/>
      <c r="BL510" s="2322"/>
      <c r="BM510" s="2322"/>
      <c r="BN510" s="2322"/>
      <c r="BO510" s="2322"/>
      <c r="BP510" s="2322"/>
      <c r="BQ510" s="2322"/>
      <c r="BR510" s="2322"/>
      <c r="BS510" s="2322"/>
      <c r="BT510" s="2322"/>
      <c r="BU510" s="2322"/>
      <c r="BV510" s="2322"/>
      <c r="BW510" s="2322"/>
      <c r="BX510" s="2322"/>
      <c r="BY510" s="2322"/>
      <c r="BZ510" s="2322"/>
      <c r="CA510" s="2322"/>
      <c r="CB510" s="2322"/>
      <c r="CC510" s="2322"/>
      <c r="CD510" s="2322"/>
      <c r="CE510" s="2322"/>
      <c r="CF510" s="2322"/>
      <c r="CG510" s="2322"/>
      <c r="CH510" s="2322"/>
      <c r="CI510" s="2322"/>
      <c r="CJ510" s="2322"/>
      <c r="CK510" s="2322"/>
      <c r="CL510" s="2322"/>
      <c r="CM510" s="2322"/>
      <c r="CN510" s="2322"/>
      <c r="CO510" s="2322"/>
      <c r="CP510" s="2322"/>
      <c r="CQ510" s="2322"/>
      <c r="CR510" s="2322"/>
      <c r="CS510" s="2322"/>
      <c r="CT510" s="2322"/>
      <c r="CU510" s="2322"/>
      <c r="CV510" s="2322"/>
    </row>
    <row r="511" spans="1:100" ht="15.75" customHeight="1">
      <c r="A511" s="2328"/>
      <c r="B511" s="2322"/>
      <c r="C511" s="2322"/>
      <c r="D511" s="2322"/>
      <c r="E511" s="2322"/>
      <c r="F511" s="2322"/>
      <c r="G511" s="2322"/>
      <c r="H511" s="2322"/>
      <c r="I511" s="2322"/>
      <c r="J511" s="2322"/>
      <c r="K511" s="2322"/>
      <c r="L511" s="2322"/>
      <c r="M511" s="2322"/>
      <c r="N511" s="2322"/>
      <c r="O511" s="2322"/>
      <c r="P511" s="2322"/>
      <c r="Q511" s="2322"/>
      <c r="R511" s="2322"/>
      <c r="S511" s="2322"/>
      <c r="T511" s="2322"/>
      <c r="U511" s="2322"/>
      <c r="V511" s="2322"/>
      <c r="W511" s="2322"/>
      <c r="X511" s="2322"/>
      <c r="Y511" s="2322"/>
      <c r="Z511" s="2322"/>
      <c r="AA511" s="2322"/>
      <c r="AB511" s="2322"/>
      <c r="AC511" s="2322"/>
      <c r="AD511" s="2322"/>
      <c r="AE511" s="2322"/>
      <c r="AF511" s="2322"/>
      <c r="AG511" s="2322"/>
      <c r="AH511" s="2322"/>
      <c r="AI511" s="2322"/>
      <c r="AJ511" s="2322"/>
      <c r="AK511" s="2322"/>
      <c r="AL511" s="2322"/>
      <c r="AM511" s="2322"/>
      <c r="AN511" s="2322"/>
      <c r="AO511" s="2322"/>
      <c r="AP511" s="2322"/>
      <c r="AQ511" s="2322"/>
      <c r="AR511" s="2322"/>
      <c r="AS511" s="2322"/>
      <c r="AT511" s="2322"/>
      <c r="AU511" s="2322"/>
      <c r="AV511" s="2322"/>
      <c r="AW511" s="2322"/>
      <c r="AX511" s="2322"/>
      <c r="AY511" s="2322"/>
      <c r="AZ511" s="2322"/>
      <c r="BA511" s="2322"/>
      <c r="BB511" s="2322"/>
      <c r="BC511" s="2322"/>
      <c r="BD511" s="2322"/>
      <c r="BE511" s="2322"/>
      <c r="BF511" s="2322"/>
      <c r="BG511" s="2322"/>
      <c r="BH511" s="2322"/>
      <c r="BI511" s="2322"/>
      <c r="BJ511" s="2322"/>
      <c r="BK511" s="2322"/>
      <c r="BL511" s="2322"/>
      <c r="BM511" s="2322"/>
      <c r="BN511" s="2322"/>
      <c r="BO511" s="2322"/>
      <c r="BP511" s="2322"/>
      <c r="BQ511" s="2322"/>
      <c r="BR511" s="2322"/>
      <c r="BS511" s="2322"/>
      <c r="BT511" s="2322"/>
      <c r="BU511" s="2322"/>
      <c r="BV511" s="2322"/>
      <c r="BW511" s="2322"/>
      <c r="BX511" s="2322"/>
      <c r="BY511" s="2322"/>
      <c r="BZ511" s="2322"/>
      <c r="CA511" s="2322"/>
      <c r="CB511" s="2322"/>
      <c r="CC511" s="2322"/>
      <c r="CD511" s="2322"/>
      <c r="CE511" s="2322"/>
      <c r="CF511" s="2322"/>
      <c r="CG511" s="2322"/>
      <c r="CH511" s="2322"/>
      <c r="CI511" s="2322"/>
      <c r="CJ511" s="2322"/>
      <c r="CK511" s="2322"/>
      <c r="CL511" s="2322"/>
      <c r="CM511" s="2322"/>
      <c r="CN511" s="2322"/>
      <c r="CO511" s="2322"/>
      <c r="CP511" s="2322"/>
      <c r="CQ511" s="2322"/>
      <c r="CR511" s="2322"/>
      <c r="CS511" s="2322"/>
      <c r="CT511" s="2322"/>
      <c r="CU511" s="2322"/>
      <c r="CV511" s="2322"/>
    </row>
    <row r="512" spans="1:100" ht="15.75" customHeight="1">
      <c r="A512" s="2328"/>
      <c r="B512" s="2322"/>
      <c r="C512" s="2322"/>
      <c r="D512" s="2322"/>
      <c r="E512" s="2322"/>
      <c r="F512" s="2322"/>
      <c r="G512" s="2322"/>
      <c r="H512" s="2322"/>
      <c r="I512" s="2322"/>
      <c r="J512" s="2322"/>
      <c r="K512" s="2322"/>
      <c r="L512" s="2322"/>
      <c r="M512" s="2322"/>
      <c r="N512" s="2322"/>
      <c r="O512" s="2322"/>
      <c r="P512" s="2322"/>
      <c r="Q512" s="2322"/>
      <c r="R512" s="2322"/>
      <c r="S512" s="2322"/>
      <c r="T512" s="2322"/>
      <c r="U512" s="2322"/>
      <c r="V512" s="2322"/>
      <c r="W512" s="2322"/>
      <c r="X512" s="2322"/>
      <c r="Y512" s="2322"/>
      <c r="Z512" s="2322"/>
      <c r="AA512" s="2322"/>
      <c r="AB512" s="2322"/>
      <c r="AC512" s="2322"/>
      <c r="AD512" s="2322"/>
      <c r="AE512" s="2322"/>
      <c r="AF512" s="2322"/>
      <c r="AG512" s="2322"/>
      <c r="AH512" s="2322"/>
      <c r="AI512" s="2322"/>
      <c r="AJ512" s="2322"/>
      <c r="AK512" s="2322"/>
      <c r="AL512" s="2322"/>
      <c r="AM512" s="2322"/>
      <c r="AN512" s="2322"/>
      <c r="AO512" s="2322"/>
      <c r="AP512" s="2322"/>
      <c r="AQ512" s="2322"/>
      <c r="AR512" s="2322"/>
      <c r="AS512" s="2322"/>
      <c r="AT512" s="2322"/>
      <c r="AU512" s="2322"/>
      <c r="AV512" s="2322"/>
      <c r="AW512" s="2322"/>
      <c r="AX512" s="2322"/>
      <c r="AY512" s="2322"/>
      <c r="AZ512" s="2322"/>
      <c r="BA512" s="2322"/>
      <c r="BB512" s="2322"/>
      <c r="BC512" s="2322"/>
      <c r="BD512" s="2322"/>
      <c r="BE512" s="2322"/>
      <c r="BF512" s="2322"/>
      <c r="BG512" s="2322"/>
      <c r="BH512" s="2322"/>
      <c r="BI512" s="2322"/>
      <c r="BJ512" s="2322"/>
      <c r="BK512" s="2322"/>
      <c r="BL512" s="2322"/>
      <c r="BM512" s="2322"/>
      <c r="BN512" s="2322"/>
      <c r="BO512" s="2322"/>
      <c r="BP512" s="2322"/>
      <c r="BQ512" s="2322"/>
      <c r="BR512" s="2322"/>
      <c r="BS512" s="2322"/>
      <c r="BT512" s="2322"/>
      <c r="BU512" s="2322"/>
      <c r="BV512" s="2322"/>
      <c r="BW512" s="2322"/>
      <c r="BX512" s="2322"/>
      <c r="BY512" s="2322"/>
      <c r="BZ512" s="2322"/>
      <c r="CA512" s="2322"/>
      <c r="CB512" s="2322"/>
      <c r="CC512" s="2322"/>
      <c r="CD512" s="2322"/>
      <c r="CE512" s="2322"/>
      <c r="CF512" s="2322"/>
      <c r="CG512" s="2322"/>
      <c r="CH512" s="2322"/>
      <c r="CI512" s="2322"/>
      <c r="CJ512" s="2322"/>
      <c r="CK512" s="2322"/>
      <c r="CL512" s="2322"/>
      <c r="CM512" s="2322"/>
      <c r="CN512" s="2322"/>
      <c r="CO512" s="2322"/>
      <c r="CP512" s="2322"/>
      <c r="CQ512" s="2322"/>
      <c r="CR512" s="2322"/>
      <c r="CS512" s="2322"/>
      <c r="CT512" s="2322"/>
      <c r="CU512" s="2322"/>
      <c r="CV512" s="2322"/>
    </row>
    <row r="513" spans="1:100" ht="15.75" customHeight="1">
      <c r="A513" s="2328"/>
      <c r="B513" s="2322"/>
      <c r="C513" s="2322"/>
      <c r="D513" s="2322"/>
      <c r="E513" s="2322"/>
      <c r="F513" s="2322"/>
      <c r="G513" s="2322"/>
      <c r="H513" s="2322"/>
      <c r="I513" s="2322"/>
      <c r="J513" s="2322"/>
      <c r="K513" s="2322"/>
      <c r="L513" s="2322"/>
      <c r="M513" s="2322"/>
      <c r="N513" s="2322"/>
      <c r="O513" s="2322"/>
      <c r="P513" s="2322"/>
      <c r="Q513" s="2322"/>
      <c r="R513" s="2322"/>
      <c r="S513" s="2322"/>
      <c r="T513" s="2322"/>
      <c r="U513" s="2322"/>
      <c r="V513" s="2322"/>
      <c r="W513" s="2322"/>
      <c r="X513" s="2322"/>
      <c r="Y513" s="2322"/>
      <c r="Z513" s="2322"/>
      <c r="AA513" s="2322"/>
      <c r="AB513" s="2322"/>
      <c r="AC513" s="2322"/>
      <c r="AD513" s="2322"/>
      <c r="AE513" s="2322"/>
      <c r="AF513" s="2322"/>
      <c r="AG513" s="2322"/>
      <c r="AH513" s="2322"/>
      <c r="AI513" s="2322"/>
      <c r="AJ513" s="2322"/>
      <c r="AK513" s="2322"/>
      <c r="AL513" s="2322"/>
      <c r="AM513" s="2322"/>
      <c r="AN513" s="2322"/>
      <c r="AO513" s="2322"/>
      <c r="AP513" s="2322"/>
      <c r="AQ513" s="2322"/>
      <c r="AR513" s="2322"/>
      <c r="AS513" s="2322"/>
      <c r="AT513" s="2322"/>
      <c r="AU513" s="2322"/>
      <c r="AV513" s="2322"/>
      <c r="AW513" s="2322"/>
      <c r="AX513" s="2322"/>
      <c r="AY513" s="2322"/>
      <c r="AZ513" s="2322"/>
      <c r="BA513" s="2322"/>
      <c r="BB513" s="2322"/>
      <c r="BC513" s="2322"/>
      <c r="BD513" s="2322"/>
      <c r="BE513" s="2322"/>
      <c r="BF513" s="2322"/>
      <c r="BG513" s="2322"/>
      <c r="BH513" s="2322"/>
      <c r="BI513" s="2322"/>
      <c r="BJ513" s="2322"/>
      <c r="BK513" s="2322"/>
      <c r="BL513" s="2322"/>
      <c r="BM513" s="2322"/>
      <c r="BN513" s="2322"/>
      <c r="BO513" s="2322"/>
      <c r="BP513" s="2322"/>
      <c r="BQ513" s="2322"/>
      <c r="BR513" s="2322"/>
      <c r="BS513" s="2322"/>
      <c r="BT513" s="2322"/>
      <c r="BU513" s="2322"/>
      <c r="BV513" s="2322"/>
      <c r="BW513" s="2322"/>
      <c r="BX513" s="2322"/>
      <c r="BY513" s="2322"/>
      <c r="BZ513" s="2322"/>
      <c r="CA513" s="2322"/>
      <c r="CB513" s="2322"/>
      <c r="CC513" s="2322"/>
      <c r="CD513" s="2322"/>
      <c r="CE513" s="2322"/>
      <c r="CF513" s="2322"/>
      <c r="CG513" s="2322"/>
      <c r="CH513" s="2322"/>
      <c r="CI513" s="2322"/>
      <c r="CJ513" s="2322"/>
      <c r="CK513" s="2322"/>
      <c r="CL513" s="2322"/>
      <c r="CM513" s="2322"/>
      <c r="CN513" s="2322"/>
      <c r="CO513" s="2322"/>
      <c r="CP513" s="2322"/>
      <c r="CQ513" s="2322"/>
      <c r="CR513" s="2322"/>
      <c r="CS513" s="2322"/>
      <c r="CT513" s="2322"/>
      <c r="CU513" s="2322"/>
      <c r="CV513" s="2322"/>
    </row>
    <row r="514" spans="1:100" ht="15.75" customHeight="1">
      <c r="A514" s="2328"/>
      <c r="B514" s="2322"/>
      <c r="C514" s="2322"/>
      <c r="D514" s="2322"/>
      <c r="E514" s="2322"/>
      <c r="F514" s="2322"/>
      <c r="G514" s="2322"/>
      <c r="H514" s="2322"/>
      <c r="I514" s="2322"/>
      <c r="J514" s="2322"/>
      <c r="K514" s="2322"/>
      <c r="L514" s="2322"/>
      <c r="M514" s="2322"/>
      <c r="N514" s="2322"/>
      <c r="O514" s="2322"/>
      <c r="P514" s="2322"/>
      <c r="Q514" s="2322"/>
      <c r="R514" s="2322"/>
      <c r="S514" s="2322"/>
      <c r="T514" s="2322"/>
      <c r="U514" s="2322"/>
      <c r="V514" s="2322"/>
      <c r="W514" s="2322"/>
      <c r="X514" s="2322"/>
      <c r="Y514" s="2322"/>
      <c r="Z514" s="2322"/>
      <c r="AA514" s="2322"/>
      <c r="AB514" s="2322"/>
      <c r="AC514" s="2322"/>
      <c r="AD514" s="2322"/>
      <c r="AE514" s="2322"/>
      <c r="AF514" s="2322"/>
      <c r="AG514" s="2322"/>
      <c r="AH514" s="2322"/>
      <c r="AI514" s="2322"/>
      <c r="AJ514" s="2322"/>
      <c r="AK514" s="2322"/>
      <c r="AL514" s="2322"/>
      <c r="AM514" s="2322"/>
      <c r="AN514" s="2322"/>
      <c r="AO514" s="2322"/>
      <c r="AP514" s="2322"/>
      <c r="AQ514" s="2322"/>
      <c r="AR514" s="2322"/>
      <c r="AS514" s="2322"/>
      <c r="AT514" s="2322"/>
      <c r="AU514" s="2322"/>
      <c r="AV514" s="2322"/>
      <c r="AW514" s="2322"/>
      <c r="AX514" s="2322"/>
      <c r="AY514" s="2322"/>
      <c r="AZ514" s="2322"/>
      <c r="BA514" s="2322"/>
      <c r="BB514" s="2322"/>
      <c r="BC514" s="2322"/>
      <c r="BD514" s="2322"/>
      <c r="BE514" s="2322"/>
      <c r="BF514" s="2322"/>
      <c r="BG514" s="2322"/>
      <c r="BH514" s="2322"/>
      <c r="BI514" s="2322"/>
      <c r="BJ514" s="2322"/>
      <c r="BK514" s="2322"/>
      <c r="BL514" s="2322"/>
      <c r="BM514" s="2322"/>
      <c r="BN514" s="2322"/>
      <c r="BO514" s="2322"/>
      <c r="BP514" s="2322"/>
      <c r="BQ514" s="2322"/>
      <c r="BR514" s="2322"/>
      <c r="BS514" s="2322"/>
      <c r="BT514" s="2322"/>
      <c r="BU514" s="2322"/>
      <c r="BV514" s="2322"/>
      <c r="BW514" s="2322"/>
      <c r="BX514" s="2322"/>
      <c r="BY514" s="2322"/>
      <c r="BZ514" s="2322"/>
      <c r="CA514" s="2322"/>
      <c r="CB514" s="2322"/>
      <c r="CC514" s="2322"/>
      <c r="CD514" s="2322"/>
      <c r="CE514" s="2322"/>
      <c r="CF514" s="2322"/>
      <c r="CG514" s="2322"/>
      <c r="CH514" s="2322"/>
      <c r="CI514" s="2322"/>
      <c r="CJ514" s="2322"/>
      <c r="CK514" s="2322"/>
      <c r="CL514" s="2322"/>
      <c r="CM514" s="2322"/>
      <c r="CN514" s="2322"/>
      <c r="CO514" s="2322"/>
      <c r="CP514" s="2322"/>
      <c r="CQ514" s="2322"/>
      <c r="CR514" s="2322"/>
      <c r="CS514" s="2322"/>
      <c r="CT514" s="2322"/>
      <c r="CU514" s="2322"/>
      <c r="CV514" s="2322"/>
    </row>
    <row r="515" spans="1:100" ht="15.75" customHeight="1">
      <c r="A515" s="2328"/>
      <c r="B515" s="2322"/>
      <c r="C515" s="2322"/>
      <c r="D515" s="2322"/>
      <c r="E515" s="2322"/>
      <c r="F515" s="2322"/>
      <c r="G515" s="2322"/>
      <c r="H515" s="2322"/>
      <c r="I515" s="2322"/>
      <c r="J515" s="2322"/>
      <c r="K515" s="2322"/>
      <c r="L515" s="2322"/>
      <c r="M515" s="2322"/>
      <c r="N515" s="2322"/>
      <c r="O515" s="2322"/>
      <c r="P515" s="2322"/>
      <c r="Q515" s="2322"/>
      <c r="R515" s="2322"/>
      <c r="S515" s="2322"/>
      <c r="T515" s="2322"/>
      <c r="U515" s="2322"/>
      <c r="V515" s="2322"/>
      <c r="W515" s="2322"/>
      <c r="X515" s="2322"/>
      <c r="Y515" s="2322"/>
      <c r="Z515" s="2322"/>
      <c r="AA515" s="2322"/>
      <c r="AB515" s="2322"/>
      <c r="AC515" s="2322"/>
      <c r="AD515" s="2322"/>
      <c r="AE515" s="2322"/>
      <c r="AF515" s="2322"/>
      <c r="AG515" s="2322"/>
      <c r="AH515" s="2322"/>
      <c r="AI515" s="2322"/>
      <c r="AJ515" s="2322"/>
      <c r="AK515" s="2322"/>
      <c r="AL515" s="2322"/>
      <c r="AM515" s="2322"/>
      <c r="AN515" s="2322"/>
      <c r="AO515" s="2322"/>
      <c r="AP515" s="2322"/>
      <c r="AQ515" s="2322"/>
      <c r="AR515" s="2322"/>
      <c r="AS515" s="2322"/>
      <c r="AT515" s="2322"/>
      <c r="AU515" s="2322"/>
      <c r="AV515" s="2322"/>
      <c r="AW515" s="2322"/>
      <c r="AX515" s="2322"/>
      <c r="AY515" s="2322"/>
      <c r="AZ515" s="2322"/>
      <c r="BA515" s="2322"/>
      <c r="BB515" s="2322"/>
      <c r="BC515" s="2322"/>
      <c r="BD515" s="2322"/>
      <c r="BE515" s="2322"/>
      <c r="BF515" s="2322"/>
      <c r="BG515" s="2322"/>
      <c r="BH515" s="2322"/>
      <c r="BI515" s="2322"/>
      <c r="BJ515" s="2322"/>
      <c r="BK515" s="2322"/>
      <c r="BL515" s="2322"/>
      <c r="BM515" s="2322"/>
      <c r="BN515" s="2322"/>
      <c r="BO515" s="2322"/>
      <c r="BP515" s="2322"/>
      <c r="BQ515" s="2322"/>
      <c r="BR515" s="2322"/>
      <c r="BS515" s="2322"/>
      <c r="BT515" s="2322"/>
      <c r="BU515" s="2322"/>
      <c r="BV515" s="2322"/>
      <c r="BW515" s="2322"/>
      <c r="BX515" s="2322"/>
      <c r="BY515" s="2322"/>
      <c r="BZ515" s="2322"/>
      <c r="CA515" s="2322"/>
      <c r="CB515" s="2322"/>
      <c r="CC515" s="2322"/>
      <c r="CD515" s="2322"/>
      <c r="CE515" s="2322"/>
      <c r="CF515" s="2322"/>
      <c r="CG515" s="2322"/>
      <c r="CH515" s="2322"/>
      <c r="CI515" s="2322"/>
      <c r="CJ515" s="2322"/>
      <c r="CK515" s="2322"/>
      <c r="CL515" s="2322"/>
      <c r="CM515" s="2322"/>
      <c r="CN515" s="2322"/>
      <c r="CO515" s="2322"/>
      <c r="CP515" s="2322"/>
      <c r="CQ515" s="2322"/>
      <c r="CR515" s="2322"/>
      <c r="CS515" s="2322"/>
      <c r="CT515" s="2322"/>
      <c r="CU515" s="2322"/>
      <c r="CV515" s="2322"/>
    </row>
    <row r="516" spans="1:100" ht="15.75" customHeight="1">
      <c r="A516" s="2328"/>
      <c r="B516" s="2322"/>
      <c r="C516" s="2322"/>
      <c r="D516" s="2322"/>
      <c r="E516" s="2322"/>
      <c r="F516" s="2322"/>
      <c r="G516" s="2322"/>
      <c r="H516" s="2322"/>
      <c r="I516" s="2322"/>
      <c r="J516" s="2322"/>
      <c r="K516" s="2322"/>
      <c r="L516" s="2322"/>
      <c r="M516" s="2322"/>
      <c r="N516" s="2322"/>
      <c r="O516" s="2322"/>
      <c r="P516" s="2322"/>
      <c r="Q516" s="2322"/>
      <c r="R516" s="2322"/>
      <c r="S516" s="2322"/>
      <c r="T516" s="2322"/>
      <c r="U516" s="2322"/>
      <c r="V516" s="2322"/>
      <c r="W516" s="2322"/>
      <c r="X516" s="2322"/>
      <c r="Y516" s="2322"/>
      <c r="Z516" s="2322"/>
      <c r="AA516" s="2322"/>
      <c r="AB516" s="2322"/>
      <c r="AC516" s="2322"/>
      <c r="AD516" s="2322"/>
      <c r="AE516" s="2322"/>
      <c r="AF516" s="2322"/>
      <c r="AG516" s="2322"/>
      <c r="AH516" s="2322"/>
      <c r="AI516" s="2322"/>
      <c r="AJ516" s="2322"/>
      <c r="AK516" s="2322"/>
      <c r="AL516" s="2322"/>
      <c r="AM516" s="2322"/>
      <c r="AN516" s="2322"/>
      <c r="AO516" s="2322"/>
      <c r="AP516" s="2322"/>
      <c r="AQ516" s="2322"/>
      <c r="AR516" s="2322"/>
      <c r="AS516" s="2322"/>
      <c r="AT516" s="2322"/>
      <c r="AU516" s="2322"/>
      <c r="AV516" s="2322"/>
      <c r="AW516" s="2322"/>
      <c r="AX516" s="2322"/>
      <c r="AY516" s="2322"/>
      <c r="AZ516" s="2322"/>
      <c r="BA516" s="2322"/>
      <c r="BB516" s="2322"/>
      <c r="BC516" s="2322"/>
      <c r="BD516" s="2322"/>
      <c r="BE516" s="2322"/>
      <c r="BF516" s="2322"/>
      <c r="BG516" s="2322"/>
      <c r="BH516" s="2322"/>
      <c r="BI516" s="2322"/>
      <c r="BJ516" s="2322"/>
      <c r="BK516" s="2322"/>
      <c r="BL516" s="2322"/>
      <c r="BM516" s="2322"/>
      <c r="BN516" s="2322"/>
      <c r="BO516" s="2322"/>
      <c r="BP516" s="2322"/>
      <c r="BQ516" s="2322"/>
      <c r="BR516" s="2322"/>
      <c r="BS516" s="2322"/>
      <c r="BT516" s="2322"/>
      <c r="BU516" s="2322"/>
      <c r="BV516" s="2322"/>
      <c r="BW516" s="2322"/>
      <c r="BX516" s="2322"/>
      <c r="BY516" s="2322"/>
      <c r="BZ516" s="2322"/>
      <c r="CA516" s="2322"/>
      <c r="CB516" s="2322"/>
      <c r="CC516" s="2322"/>
      <c r="CD516" s="2322"/>
      <c r="CE516" s="2322"/>
      <c r="CF516" s="2322"/>
      <c r="CG516" s="2322"/>
      <c r="CH516" s="2322"/>
      <c r="CI516" s="2322"/>
      <c r="CJ516" s="2322"/>
      <c r="CK516" s="2322"/>
      <c r="CL516" s="2322"/>
      <c r="CM516" s="2322"/>
      <c r="CN516" s="2322"/>
      <c r="CO516" s="2322"/>
      <c r="CP516" s="2322"/>
      <c r="CQ516" s="2322"/>
      <c r="CR516" s="2322"/>
      <c r="CS516" s="2322"/>
      <c r="CT516" s="2322"/>
      <c r="CU516" s="2322"/>
      <c r="CV516" s="2322"/>
    </row>
    <row r="517" spans="1:100" ht="15.75" customHeight="1">
      <c r="A517" s="2328"/>
      <c r="B517" s="2322"/>
      <c r="C517" s="2322"/>
      <c r="D517" s="2322"/>
      <c r="E517" s="2322"/>
      <c r="F517" s="2322"/>
      <c r="G517" s="2322"/>
      <c r="H517" s="2322"/>
      <c r="I517" s="2322"/>
      <c r="J517" s="2322"/>
      <c r="K517" s="2322"/>
      <c r="L517" s="2322"/>
      <c r="M517" s="2322"/>
      <c r="N517" s="2322"/>
      <c r="O517" s="2322"/>
      <c r="P517" s="2322"/>
      <c r="Q517" s="2322"/>
      <c r="R517" s="2322"/>
      <c r="S517" s="2322"/>
      <c r="T517" s="2322"/>
      <c r="U517" s="2322"/>
      <c r="V517" s="2322"/>
      <c r="W517" s="2322"/>
      <c r="X517" s="2322"/>
      <c r="Y517" s="2322"/>
      <c r="Z517" s="2322"/>
      <c r="AA517" s="2322"/>
      <c r="AB517" s="2322"/>
      <c r="AC517" s="2322"/>
      <c r="AD517" s="2322"/>
      <c r="AE517" s="2322"/>
      <c r="AF517" s="2322"/>
      <c r="AG517" s="2322"/>
      <c r="AH517" s="2322"/>
      <c r="AI517" s="2322"/>
      <c r="AJ517" s="2322"/>
      <c r="AK517" s="2322"/>
      <c r="AL517" s="2322"/>
      <c r="AM517" s="2322"/>
      <c r="AN517" s="2322"/>
      <c r="AO517" s="2322"/>
      <c r="AP517" s="2322"/>
      <c r="AQ517" s="2322"/>
      <c r="AR517" s="2322"/>
      <c r="AS517" s="2322"/>
      <c r="AT517" s="2322"/>
      <c r="AU517" s="2322"/>
      <c r="AV517" s="2322"/>
      <c r="AW517" s="2322"/>
      <c r="AX517" s="2322"/>
      <c r="AY517" s="2322"/>
      <c r="AZ517" s="2322"/>
      <c r="BA517" s="2322"/>
      <c r="BB517" s="2322"/>
      <c r="BC517" s="2322"/>
      <c r="BD517" s="2322"/>
      <c r="BE517" s="2322"/>
      <c r="BF517" s="2322"/>
      <c r="BG517" s="2322"/>
      <c r="BH517" s="2322"/>
      <c r="BI517" s="2322"/>
      <c r="BJ517" s="2322"/>
      <c r="BK517" s="2322"/>
      <c r="BL517" s="2322"/>
      <c r="BM517" s="2322"/>
      <c r="BN517" s="2322"/>
      <c r="BO517" s="2322"/>
      <c r="BP517" s="2322"/>
      <c r="BQ517" s="2322"/>
      <c r="BR517" s="2322"/>
      <c r="BS517" s="2322"/>
      <c r="BT517" s="2322"/>
      <c r="BU517" s="2322"/>
      <c r="BV517" s="2322"/>
      <c r="BW517" s="2322"/>
      <c r="BX517" s="2322"/>
      <c r="BY517" s="2322"/>
      <c r="BZ517" s="2322"/>
      <c r="CA517" s="2322"/>
      <c r="CB517" s="2322"/>
      <c r="CC517" s="2322"/>
      <c r="CD517" s="2322"/>
      <c r="CE517" s="2322"/>
      <c r="CF517" s="2322"/>
      <c r="CG517" s="2322"/>
      <c r="CH517" s="2322"/>
      <c r="CI517" s="2322"/>
      <c r="CJ517" s="2322"/>
      <c r="CK517" s="2322"/>
      <c r="CL517" s="2322"/>
      <c r="CM517" s="2322"/>
      <c r="CN517" s="2322"/>
      <c r="CO517" s="2322"/>
      <c r="CP517" s="2322"/>
      <c r="CQ517" s="2322"/>
      <c r="CR517" s="2322"/>
      <c r="CS517" s="2322"/>
      <c r="CT517" s="2322"/>
      <c r="CU517" s="2322"/>
      <c r="CV517" s="2322"/>
    </row>
    <row r="518" spans="1:100" ht="15.75" customHeight="1">
      <c r="A518" s="2328"/>
      <c r="B518" s="2322"/>
      <c r="C518" s="2322"/>
      <c r="D518" s="2322"/>
      <c r="E518" s="2322"/>
      <c r="F518" s="2322"/>
      <c r="G518" s="2322"/>
      <c r="H518" s="2322"/>
      <c r="I518" s="2322"/>
      <c r="J518" s="2322"/>
      <c r="K518" s="2322"/>
      <c r="L518" s="2322"/>
      <c r="M518" s="2322"/>
      <c r="N518" s="2322"/>
      <c r="O518" s="2322"/>
      <c r="P518" s="2322"/>
      <c r="Q518" s="2322"/>
      <c r="R518" s="2322"/>
      <c r="S518" s="2322"/>
      <c r="T518" s="2322"/>
      <c r="U518" s="2322"/>
      <c r="V518" s="2322"/>
      <c r="W518" s="2322"/>
      <c r="X518" s="2322"/>
      <c r="Y518" s="2322"/>
      <c r="Z518" s="2322"/>
      <c r="AA518" s="2322"/>
      <c r="AB518" s="2322"/>
      <c r="AC518" s="2322"/>
      <c r="AD518" s="2322"/>
      <c r="AE518" s="2322"/>
      <c r="AF518" s="2322"/>
      <c r="AG518" s="2322"/>
      <c r="AH518" s="2322"/>
      <c r="AI518" s="2322"/>
      <c r="AJ518" s="2322"/>
      <c r="AK518" s="2322"/>
      <c r="AL518" s="2322"/>
      <c r="AM518" s="2322"/>
      <c r="AN518" s="2322"/>
      <c r="AO518" s="2322"/>
      <c r="AP518" s="2322"/>
      <c r="AQ518" s="2322"/>
      <c r="AR518" s="2322"/>
      <c r="AS518" s="2322"/>
      <c r="AT518" s="2322"/>
      <c r="AU518" s="2322"/>
      <c r="AV518" s="2322"/>
      <c r="AW518" s="2322"/>
      <c r="AX518" s="2322"/>
      <c r="AY518" s="2322"/>
      <c r="AZ518" s="2322"/>
      <c r="BA518" s="2322"/>
      <c r="BB518" s="2322"/>
      <c r="BC518" s="2322"/>
      <c r="BD518" s="2322"/>
      <c r="BE518" s="2322"/>
      <c r="BF518" s="2322"/>
      <c r="BG518" s="2322"/>
      <c r="BH518" s="2322"/>
      <c r="BI518" s="2322"/>
      <c r="BJ518" s="2322"/>
      <c r="BK518" s="2322"/>
      <c r="BL518" s="2322"/>
      <c r="BM518" s="2322"/>
      <c r="BN518" s="2322"/>
      <c r="BO518" s="2322"/>
      <c r="BP518" s="2322"/>
      <c r="BQ518" s="2322"/>
      <c r="BR518" s="2322"/>
      <c r="BS518" s="2322"/>
      <c r="BT518" s="2322"/>
      <c r="BU518" s="2322"/>
      <c r="BV518" s="2322"/>
      <c r="BW518" s="2322"/>
      <c r="BX518" s="2322"/>
      <c r="BY518" s="2322"/>
      <c r="BZ518" s="2322"/>
      <c r="CA518" s="2322"/>
      <c r="CB518" s="2322"/>
      <c r="CC518" s="2322"/>
      <c r="CD518" s="2322"/>
      <c r="CE518" s="2322"/>
      <c r="CF518" s="2322"/>
      <c r="CG518" s="2322"/>
      <c r="CH518" s="2322"/>
      <c r="CI518" s="2322"/>
      <c r="CJ518" s="2322"/>
      <c r="CK518" s="2322"/>
      <c r="CL518" s="2322"/>
      <c r="CM518" s="2322"/>
      <c r="CN518" s="2322"/>
      <c r="CO518" s="2322"/>
      <c r="CP518" s="2322"/>
      <c r="CQ518" s="2322"/>
      <c r="CR518" s="2322"/>
      <c r="CS518" s="2322"/>
      <c r="CT518" s="2322"/>
      <c r="CU518" s="2322"/>
      <c r="CV518" s="2322"/>
    </row>
    <row r="519" spans="1:100" ht="15.75" customHeight="1">
      <c r="A519" s="2328"/>
      <c r="B519" s="2322"/>
      <c r="C519" s="2322"/>
      <c r="D519" s="2322"/>
      <c r="E519" s="2322"/>
      <c r="F519" s="2322"/>
      <c r="G519" s="2322"/>
      <c r="H519" s="2322"/>
      <c r="I519" s="2322"/>
      <c r="J519" s="2322"/>
      <c r="K519" s="2322"/>
      <c r="L519" s="2322"/>
      <c r="M519" s="2322"/>
      <c r="N519" s="2322"/>
      <c r="O519" s="2322"/>
      <c r="P519" s="2322"/>
      <c r="Q519" s="2322"/>
      <c r="R519" s="2322"/>
      <c r="S519" s="2322"/>
      <c r="T519" s="2322"/>
      <c r="U519" s="2322"/>
      <c r="V519" s="2322"/>
      <c r="W519" s="2322"/>
      <c r="X519" s="2322"/>
      <c r="Y519" s="2322"/>
      <c r="Z519" s="2322"/>
      <c r="AA519" s="2322"/>
      <c r="AB519" s="2322"/>
      <c r="AC519" s="2322"/>
      <c r="AD519" s="2322"/>
      <c r="AE519" s="2322"/>
      <c r="AF519" s="2322"/>
      <c r="AG519" s="2322"/>
      <c r="AH519" s="2322"/>
      <c r="AI519" s="2322"/>
      <c r="AJ519" s="2322"/>
      <c r="AK519" s="2322"/>
      <c r="AL519" s="2322"/>
      <c r="AM519" s="2322"/>
      <c r="AN519" s="2322"/>
      <c r="AO519" s="2322"/>
      <c r="AP519" s="2322"/>
      <c r="AQ519" s="2322"/>
      <c r="AR519" s="2322"/>
      <c r="AS519" s="2322"/>
      <c r="AT519" s="2322"/>
      <c r="AU519" s="2322"/>
      <c r="AV519" s="2322"/>
      <c r="AW519" s="2322"/>
      <c r="AX519" s="2322"/>
      <c r="AY519" s="2322"/>
      <c r="AZ519" s="2322"/>
      <c r="BA519" s="2322"/>
      <c r="BB519" s="2322"/>
      <c r="BC519" s="2322"/>
      <c r="BD519" s="2322"/>
      <c r="BE519" s="2322"/>
      <c r="BF519" s="2322"/>
      <c r="BG519" s="2322"/>
      <c r="BH519" s="2322"/>
      <c r="BI519" s="2322"/>
      <c r="BJ519" s="2322"/>
      <c r="BK519" s="2322"/>
      <c r="BL519" s="2322"/>
      <c r="BM519" s="2322"/>
      <c r="BN519" s="2322"/>
      <c r="BO519" s="2322"/>
      <c r="BP519" s="2322"/>
      <c r="BQ519" s="2322"/>
      <c r="BR519" s="2322"/>
      <c r="BS519" s="2322"/>
      <c r="BT519" s="2322"/>
      <c r="BU519" s="2322"/>
      <c r="BV519" s="2322"/>
      <c r="BW519" s="2322"/>
      <c r="BX519" s="2322"/>
      <c r="BY519" s="2322"/>
      <c r="BZ519" s="2322"/>
      <c r="CA519" s="2322"/>
      <c r="CB519" s="2322"/>
      <c r="CC519" s="2322"/>
      <c r="CD519" s="2322"/>
      <c r="CE519" s="2322"/>
      <c r="CF519" s="2322"/>
      <c r="CG519" s="2322"/>
      <c r="CH519" s="2322"/>
      <c r="CI519" s="2322"/>
      <c r="CJ519" s="2322"/>
      <c r="CK519" s="2322"/>
      <c r="CL519" s="2322"/>
      <c r="CM519" s="2322"/>
      <c r="CN519" s="2322"/>
      <c r="CO519" s="2322"/>
      <c r="CP519" s="2322"/>
      <c r="CQ519" s="2322"/>
      <c r="CR519" s="2322"/>
      <c r="CS519" s="2322"/>
      <c r="CT519" s="2322"/>
      <c r="CU519" s="2322"/>
      <c r="CV519" s="2322"/>
    </row>
    <row r="520" spans="1:100" ht="15.75" customHeight="1">
      <c r="A520" s="2328"/>
      <c r="B520" s="2322"/>
      <c r="C520" s="2322"/>
      <c r="D520" s="2322"/>
      <c r="E520" s="2322"/>
      <c r="F520" s="2322"/>
      <c r="G520" s="2322"/>
      <c r="H520" s="2322"/>
      <c r="I520" s="2322"/>
      <c r="J520" s="2322"/>
      <c r="K520" s="2322"/>
      <c r="L520" s="2322"/>
      <c r="M520" s="2322"/>
      <c r="N520" s="2322"/>
      <c r="O520" s="2322"/>
      <c r="P520" s="2322"/>
      <c r="Q520" s="2322"/>
      <c r="R520" s="2322"/>
      <c r="S520" s="2322"/>
      <c r="T520" s="2322"/>
      <c r="U520" s="2322"/>
      <c r="V520" s="2322"/>
      <c r="W520" s="2322"/>
      <c r="X520" s="2322"/>
      <c r="Y520" s="2322"/>
      <c r="Z520" s="2322"/>
      <c r="AA520" s="2322"/>
      <c r="AB520" s="2322"/>
      <c r="AC520" s="2322"/>
      <c r="AD520" s="2322"/>
      <c r="AE520" s="2322"/>
      <c r="AF520" s="2322"/>
      <c r="AG520" s="2322"/>
      <c r="AH520" s="2322"/>
      <c r="AI520" s="2322"/>
      <c r="AJ520" s="2322"/>
      <c r="AK520" s="2322"/>
      <c r="AL520" s="2322"/>
      <c r="AM520" s="2322"/>
      <c r="AN520" s="2322"/>
      <c r="AO520" s="2322"/>
      <c r="AP520" s="2322"/>
      <c r="AQ520" s="2322"/>
      <c r="AR520" s="2322"/>
      <c r="AS520" s="2322"/>
      <c r="AT520" s="2322"/>
      <c r="AU520" s="2322"/>
      <c r="AV520" s="2322"/>
      <c r="AW520" s="2322"/>
      <c r="AX520" s="2322"/>
      <c r="AY520" s="2322"/>
      <c r="AZ520" s="2322"/>
      <c r="BA520" s="2322"/>
      <c r="BB520" s="2322"/>
      <c r="BC520" s="2322"/>
      <c r="BD520" s="2322"/>
      <c r="BE520" s="2322"/>
      <c r="BF520" s="2322"/>
      <c r="BG520" s="2322"/>
      <c r="BH520" s="2322"/>
      <c r="BI520" s="2322"/>
      <c r="BJ520" s="2322"/>
      <c r="BK520" s="2322"/>
      <c r="BL520" s="2322"/>
      <c r="BM520" s="2322"/>
      <c r="BN520" s="2322"/>
      <c r="BO520" s="2322"/>
      <c r="BP520" s="2322"/>
      <c r="BQ520" s="2322"/>
      <c r="BR520" s="2322"/>
      <c r="BS520" s="2322"/>
      <c r="BT520" s="2322"/>
      <c r="BU520" s="2322"/>
      <c r="BV520" s="2322"/>
      <c r="BW520" s="2322"/>
      <c r="BX520" s="2322"/>
      <c r="BY520" s="2322"/>
      <c r="BZ520" s="2322"/>
      <c r="CA520" s="2322"/>
      <c r="CB520" s="2322"/>
      <c r="CC520" s="2322"/>
      <c r="CD520" s="2322"/>
      <c r="CE520" s="2322"/>
      <c r="CF520" s="2322"/>
      <c r="CG520" s="2322"/>
      <c r="CH520" s="2322"/>
      <c r="CI520" s="2322"/>
      <c r="CJ520" s="2322"/>
      <c r="CK520" s="2322"/>
      <c r="CL520" s="2322"/>
      <c r="CM520" s="2322"/>
      <c r="CN520" s="2322"/>
      <c r="CO520" s="2322"/>
      <c r="CP520" s="2322"/>
      <c r="CQ520" s="2322"/>
      <c r="CR520" s="2322"/>
      <c r="CS520" s="2322"/>
      <c r="CT520" s="2322"/>
      <c r="CU520" s="2322"/>
      <c r="CV520" s="2322"/>
    </row>
    <row r="521" spans="1:100" ht="15.75" customHeight="1">
      <c r="A521" s="2328"/>
      <c r="B521" s="2322"/>
      <c r="C521" s="2322"/>
      <c r="D521" s="2322"/>
      <c r="E521" s="2322"/>
      <c r="F521" s="2322"/>
      <c r="G521" s="2322"/>
      <c r="H521" s="2322"/>
      <c r="I521" s="2322"/>
      <c r="J521" s="2322"/>
      <c r="K521" s="2322"/>
      <c r="L521" s="2322"/>
      <c r="M521" s="2322"/>
      <c r="N521" s="2322"/>
      <c r="O521" s="2322"/>
      <c r="P521" s="2322"/>
      <c r="Q521" s="2322"/>
      <c r="R521" s="2322"/>
      <c r="S521" s="2322"/>
      <c r="T521" s="2322"/>
      <c r="U521" s="2322"/>
      <c r="V521" s="2322"/>
      <c r="W521" s="2322"/>
      <c r="X521" s="2322"/>
      <c r="Y521" s="2322"/>
      <c r="Z521" s="2322"/>
      <c r="AA521" s="2322"/>
      <c r="AB521" s="2322"/>
      <c r="AC521" s="2322"/>
      <c r="AD521" s="2322"/>
      <c r="AE521" s="2322"/>
      <c r="AF521" s="2322"/>
      <c r="AG521" s="2322"/>
      <c r="AH521" s="2322"/>
      <c r="AI521" s="2322"/>
      <c r="AJ521" s="2322"/>
      <c r="AK521" s="2322"/>
      <c r="AL521" s="2322"/>
      <c r="AM521" s="2322"/>
      <c r="AN521" s="2322"/>
      <c r="AO521" s="2322"/>
      <c r="AP521" s="2322"/>
      <c r="AQ521" s="2322"/>
      <c r="AR521" s="2322"/>
      <c r="AS521" s="2322"/>
      <c r="AT521" s="2322"/>
      <c r="AU521" s="2322"/>
      <c r="AV521" s="2322"/>
      <c r="AW521" s="2322"/>
      <c r="AX521" s="2322"/>
      <c r="AY521" s="2322"/>
      <c r="AZ521" s="2322"/>
      <c r="BA521" s="2322"/>
      <c r="BB521" s="2322"/>
      <c r="BC521" s="2322"/>
      <c r="BD521" s="2322"/>
      <c r="BE521" s="2322"/>
      <c r="BF521" s="2322"/>
      <c r="BG521" s="2322"/>
      <c r="BH521" s="2322"/>
      <c r="BI521" s="2322"/>
      <c r="BJ521" s="2322"/>
      <c r="BK521" s="2322"/>
      <c r="BL521" s="2322"/>
      <c r="BM521" s="2322"/>
      <c r="BN521" s="2322"/>
      <c r="BO521" s="2322"/>
      <c r="BP521" s="2322"/>
      <c r="BQ521" s="2322"/>
      <c r="BR521" s="2322"/>
      <c r="BS521" s="2322"/>
      <c r="BT521" s="2322"/>
      <c r="BU521" s="2322"/>
      <c r="BV521" s="2322"/>
      <c r="BW521" s="2322"/>
      <c r="BX521" s="2322"/>
      <c r="BY521" s="2322"/>
      <c r="BZ521" s="2322"/>
      <c r="CA521" s="2322"/>
      <c r="CB521" s="2322"/>
      <c r="CC521" s="2322"/>
      <c r="CD521" s="2322"/>
      <c r="CE521" s="2322"/>
      <c r="CF521" s="2322"/>
      <c r="CG521" s="2322"/>
      <c r="CH521" s="2322"/>
      <c r="CI521" s="2322"/>
      <c r="CJ521" s="2322"/>
      <c r="CK521" s="2322"/>
      <c r="CL521" s="2322"/>
      <c r="CM521" s="2322"/>
      <c r="CN521" s="2322"/>
      <c r="CO521" s="2322"/>
      <c r="CP521" s="2322"/>
      <c r="CQ521" s="2322"/>
      <c r="CR521" s="2322"/>
      <c r="CS521" s="2322"/>
      <c r="CT521" s="2322"/>
      <c r="CU521" s="2322"/>
      <c r="CV521" s="2322"/>
    </row>
    <row r="522" spans="1:100" ht="15.75" customHeight="1">
      <c r="A522" s="2328"/>
      <c r="B522" s="2322"/>
      <c r="C522" s="2322"/>
      <c r="D522" s="2322"/>
      <c r="E522" s="2322"/>
      <c r="F522" s="2322"/>
      <c r="G522" s="2322"/>
      <c r="H522" s="2322"/>
      <c r="I522" s="2322"/>
      <c r="J522" s="2322"/>
      <c r="K522" s="2322"/>
      <c r="L522" s="2322"/>
      <c r="M522" s="2322"/>
      <c r="N522" s="2322"/>
      <c r="O522" s="2322"/>
      <c r="P522" s="2322"/>
      <c r="Q522" s="2322"/>
      <c r="R522" s="2322"/>
      <c r="S522" s="2322"/>
      <c r="T522" s="2322"/>
      <c r="U522" s="2322"/>
      <c r="V522" s="2322"/>
      <c r="W522" s="2322"/>
      <c r="X522" s="2322"/>
      <c r="Y522" s="2322"/>
      <c r="Z522" s="2322"/>
      <c r="AA522" s="2322"/>
      <c r="AB522" s="2322"/>
      <c r="AC522" s="2322"/>
      <c r="AD522" s="2322"/>
      <c r="AE522" s="2322"/>
      <c r="AF522" s="2322"/>
      <c r="AG522" s="2322"/>
      <c r="AH522" s="2322"/>
      <c r="AI522" s="2322"/>
      <c r="AJ522" s="2322"/>
      <c r="AK522" s="2322"/>
      <c r="AL522" s="2322"/>
      <c r="AM522" s="2322"/>
      <c r="AN522" s="2322"/>
      <c r="AO522" s="2322"/>
      <c r="AP522" s="2322"/>
      <c r="AQ522" s="2322"/>
      <c r="AR522" s="2322"/>
      <c r="AS522" s="2322"/>
      <c r="AT522" s="2322"/>
      <c r="AU522" s="2322"/>
      <c r="AV522" s="2322"/>
      <c r="AW522" s="2322"/>
      <c r="AX522" s="2322"/>
      <c r="AY522" s="2322"/>
      <c r="AZ522" s="2322"/>
      <c r="BA522" s="2322"/>
      <c r="BB522" s="2322"/>
      <c r="BC522" s="2322"/>
      <c r="BD522" s="2322"/>
      <c r="BE522" s="2322"/>
      <c r="BF522" s="2322"/>
      <c r="BG522" s="2322"/>
      <c r="BH522" s="2322"/>
      <c r="BI522" s="2322"/>
      <c r="BJ522" s="2322"/>
      <c r="BK522" s="2322"/>
      <c r="BL522" s="2322"/>
      <c r="BM522" s="2322"/>
      <c r="BN522" s="2322"/>
      <c r="BO522" s="2322"/>
      <c r="BP522" s="2322"/>
      <c r="BQ522" s="2322"/>
      <c r="BR522" s="2322"/>
      <c r="BS522" s="2322"/>
      <c r="BT522" s="2322"/>
      <c r="BU522" s="2322"/>
      <c r="BV522" s="2322"/>
      <c r="BW522" s="2322"/>
      <c r="BX522" s="2322"/>
      <c r="BY522" s="2322"/>
      <c r="BZ522" s="2322"/>
      <c r="CA522" s="2322"/>
      <c r="CB522" s="2322"/>
      <c r="CC522" s="2322"/>
      <c r="CD522" s="2322"/>
      <c r="CE522" s="2322"/>
      <c r="CF522" s="2322"/>
      <c r="CG522" s="2322"/>
      <c r="CH522" s="2322"/>
      <c r="CI522" s="2322"/>
      <c r="CJ522" s="2322"/>
      <c r="CK522" s="2322"/>
      <c r="CL522" s="2322"/>
      <c r="CM522" s="2322"/>
      <c r="CN522" s="2322"/>
      <c r="CO522" s="2322"/>
      <c r="CP522" s="2322"/>
      <c r="CQ522" s="2322"/>
      <c r="CR522" s="2322"/>
      <c r="CS522" s="2322"/>
      <c r="CT522" s="2322"/>
      <c r="CU522" s="2322"/>
      <c r="CV522" s="2322"/>
    </row>
    <row r="523" spans="1:100" ht="15.75" customHeight="1">
      <c r="A523" s="2328"/>
      <c r="B523" s="2322"/>
      <c r="C523" s="2322"/>
      <c r="D523" s="2322"/>
      <c r="E523" s="2322"/>
      <c r="F523" s="2322"/>
      <c r="G523" s="2322"/>
      <c r="H523" s="2322"/>
      <c r="I523" s="2322"/>
      <c r="J523" s="2322"/>
      <c r="K523" s="2322"/>
      <c r="L523" s="2322"/>
      <c r="M523" s="2322"/>
      <c r="N523" s="2322"/>
      <c r="O523" s="2322"/>
      <c r="P523" s="2322"/>
      <c r="Q523" s="2322"/>
      <c r="R523" s="2322"/>
      <c r="S523" s="2322"/>
      <c r="T523" s="2322"/>
      <c r="U523" s="2322"/>
      <c r="V523" s="2322"/>
      <c r="W523" s="2322"/>
      <c r="X523" s="2322"/>
      <c r="Y523" s="2322"/>
      <c r="Z523" s="2322"/>
      <c r="AA523" s="2322"/>
      <c r="AB523" s="2322"/>
      <c r="AC523" s="2322"/>
      <c r="AD523" s="2322"/>
      <c r="AE523" s="2322"/>
      <c r="AF523" s="2322"/>
      <c r="AG523" s="2322"/>
      <c r="AH523" s="2322"/>
      <c r="AI523" s="2322"/>
      <c r="AJ523" s="2322"/>
      <c r="AK523" s="2322"/>
      <c r="AL523" s="2322"/>
      <c r="AM523" s="2322"/>
      <c r="AN523" s="2322"/>
      <c r="AO523" s="2322"/>
      <c r="AP523" s="2322"/>
      <c r="AQ523" s="2322"/>
      <c r="AR523" s="2322"/>
      <c r="AS523" s="2322"/>
      <c r="AT523" s="2322"/>
      <c r="AU523" s="2322"/>
      <c r="AV523" s="2322"/>
      <c r="AW523" s="2322"/>
      <c r="AX523" s="2322"/>
      <c r="AY523" s="2322"/>
      <c r="AZ523" s="2322"/>
      <c r="BA523" s="2322"/>
      <c r="BB523" s="2322"/>
      <c r="BC523" s="2322"/>
      <c r="BD523" s="2322"/>
      <c r="BE523" s="2322"/>
      <c r="BF523" s="2322"/>
      <c r="BG523" s="2322"/>
      <c r="BH523" s="2322"/>
      <c r="BI523" s="2322"/>
      <c r="BJ523" s="2322"/>
      <c r="BK523" s="2322"/>
      <c r="BL523" s="2322"/>
      <c r="BM523" s="2322"/>
      <c r="BN523" s="2322"/>
      <c r="BO523" s="2322"/>
      <c r="BP523" s="2322"/>
      <c r="BQ523" s="2322"/>
      <c r="BR523" s="2322"/>
      <c r="BS523" s="2322"/>
      <c r="BT523" s="2322"/>
      <c r="BU523" s="2322"/>
      <c r="BV523" s="2322"/>
      <c r="BW523" s="2322"/>
      <c r="BX523" s="2322"/>
      <c r="BY523" s="2322"/>
      <c r="BZ523" s="2322"/>
      <c r="CA523" s="2322"/>
      <c r="CB523" s="2322"/>
      <c r="CC523" s="2322"/>
      <c r="CD523" s="2322"/>
      <c r="CE523" s="2322"/>
      <c r="CF523" s="2322"/>
      <c r="CG523" s="2322"/>
      <c r="CH523" s="2322"/>
      <c r="CI523" s="2322"/>
      <c r="CJ523" s="2322"/>
      <c r="CK523" s="2322"/>
      <c r="CL523" s="2322"/>
      <c r="CM523" s="2322"/>
      <c r="CN523" s="2322"/>
      <c r="CO523" s="2322"/>
      <c r="CP523" s="2322"/>
      <c r="CQ523" s="2322"/>
      <c r="CR523" s="2322"/>
      <c r="CS523" s="2322"/>
      <c r="CT523" s="2322"/>
      <c r="CU523" s="2322"/>
      <c r="CV523" s="2322"/>
    </row>
    <row r="524" spans="1:100" ht="15.75" customHeight="1">
      <c r="A524" s="2328"/>
      <c r="B524" s="2322"/>
      <c r="C524" s="2322"/>
      <c r="D524" s="2322"/>
      <c r="E524" s="2322"/>
      <c r="F524" s="2322"/>
      <c r="G524" s="2322"/>
      <c r="H524" s="2322"/>
      <c r="I524" s="2322"/>
      <c r="J524" s="2322"/>
      <c r="K524" s="2322"/>
      <c r="L524" s="2322"/>
      <c r="M524" s="2322"/>
      <c r="N524" s="2322"/>
      <c r="O524" s="2322"/>
      <c r="P524" s="2322"/>
      <c r="Q524" s="2322"/>
      <c r="R524" s="2322"/>
      <c r="S524" s="2322"/>
      <c r="T524" s="2322"/>
      <c r="U524" s="2322"/>
      <c r="V524" s="2322"/>
      <c r="W524" s="2322"/>
      <c r="X524" s="2322"/>
      <c r="Y524" s="2322"/>
      <c r="Z524" s="2322"/>
      <c r="AA524" s="2322"/>
      <c r="AB524" s="2322"/>
      <c r="AC524" s="2322"/>
      <c r="AD524" s="2322"/>
      <c r="AE524" s="2322"/>
      <c r="AF524" s="2322"/>
      <c r="AG524" s="2322"/>
      <c r="AH524" s="2322"/>
      <c r="AI524" s="2322"/>
      <c r="AJ524" s="2322"/>
      <c r="AK524" s="2322"/>
      <c r="AL524" s="2322"/>
      <c r="AM524" s="2322"/>
      <c r="AN524" s="2322"/>
      <c r="AO524" s="2322"/>
      <c r="AP524" s="2322"/>
      <c r="AQ524" s="2322"/>
      <c r="AR524" s="2322"/>
      <c r="AS524" s="2322"/>
      <c r="AT524" s="2322"/>
      <c r="AU524" s="2322"/>
      <c r="AV524" s="2322"/>
      <c r="AW524" s="2322"/>
      <c r="AX524" s="2322"/>
      <c r="AY524" s="2322"/>
      <c r="AZ524" s="2322"/>
      <c r="BA524" s="2322"/>
      <c r="BB524" s="2322"/>
      <c r="BC524" s="2322"/>
      <c r="BD524" s="2322"/>
      <c r="BE524" s="2322"/>
      <c r="BF524" s="2322"/>
      <c r="BG524" s="2322"/>
      <c r="BH524" s="2322"/>
      <c r="BI524" s="2322"/>
      <c r="BJ524" s="2322"/>
      <c r="BK524" s="2322"/>
      <c r="BL524" s="2322"/>
      <c r="BM524" s="2322"/>
      <c r="BN524" s="2322"/>
      <c r="BO524" s="2322"/>
      <c r="BP524" s="2322"/>
      <c r="BQ524" s="2322"/>
      <c r="BR524" s="2322"/>
      <c r="BS524" s="2322"/>
      <c r="BT524" s="2322"/>
      <c r="BU524" s="2322"/>
      <c r="BV524" s="2322"/>
      <c r="BW524" s="2322"/>
      <c r="BX524" s="2322"/>
      <c r="BY524" s="2322"/>
      <c r="BZ524" s="2322"/>
      <c r="CA524" s="2322"/>
      <c r="CB524" s="2322"/>
      <c r="CC524" s="2322"/>
      <c r="CD524" s="2322"/>
      <c r="CE524" s="2322"/>
      <c r="CF524" s="2322"/>
      <c r="CG524" s="2322"/>
      <c r="CH524" s="2322"/>
      <c r="CI524" s="2322"/>
      <c r="CJ524" s="2322"/>
      <c r="CK524" s="2322"/>
      <c r="CL524" s="2322"/>
      <c r="CM524" s="2322"/>
      <c r="CN524" s="2322"/>
      <c r="CO524" s="2322"/>
      <c r="CP524" s="2322"/>
      <c r="CQ524" s="2322"/>
      <c r="CR524" s="2322"/>
      <c r="CS524" s="2322"/>
      <c r="CT524" s="2322"/>
      <c r="CU524" s="2322"/>
      <c r="CV524" s="2322"/>
    </row>
    <row r="525" spans="1:100" ht="15.75" customHeight="1">
      <c r="A525" s="2328"/>
      <c r="B525" s="2322"/>
      <c r="C525" s="2322"/>
      <c r="D525" s="2322"/>
      <c r="E525" s="2322"/>
      <c r="F525" s="2322"/>
      <c r="G525" s="2322"/>
      <c r="H525" s="2322"/>
      <c r="I525" s="2322"/>
      <c r="J525" s="2322"/>
      <c r="K525" s="2322"/>
      <c r="L525" s="2322"/>
      <c r="M525" s="2322"/>
      <c r="N525" s="2322"/>
      <c r="O525" s="2322"/>
      <c r="P525" s="2322"/>
      <c r="Q525" s="2322"/>
      <c r="R525" s="2322"/>
      <c r="S525" s="2322"/>
      <c r="T525" s="2322"/>
      <c r="U525" s="2322"/>
      <c r="V525" s="2322"/>
      <c r="W525" s="2322"/>
      <c r="X525" s="2322"/>
      <c r="Y525" s="2322"/>
      <c r="Z525" s="2322"/>
      <c r="AA525" s="2322"/>
      <c r="AB525" s="2322"/>
      <c r="AC525" s="2322"/>
      <c r="AD525" s="2322"/>
      <c r="AE525" s="2322"/>
      <c r="AF525" s="2322"/>
      <c r="AG525" s="2322"/>
      <c r="AH525" s="2322"/>
      <c r="AI525" s="2322"/>
      <c r="AJ525" s="2322"/>
      <c r="AK525" s="2322"/>
      <c r="AL525" s="2322"/>
      <c r="AM525" s="2322"/>
      <c r="AN525" s="2322"/>
      <c r="AO525" s="2322"/>
      <c r="AP525" s="2322"/>
      <c r="AQ525" s="2322"/>
      <c r="AR525" s="2322"/>
      <c r="AS525" s="2322"/>
      <c r="AT525" s="2322"/>
      <c r="AU525" s="2322"/>
      <c r="AV525" s="2322"/>
      <c r="AW525" s="2322"/>
      <c r="AX525" s="2322"/>
      <c r="AY525" s="2322"/>
      <c r="AZ525" s="2322"/>
      <c r="BA525" s="2322"/>
      <c r="BB525" s="2322"/>
      <c r="BC525" s="2322"/>
      <c r="BD525" s="2322"/>
      <c r="BE525" s="2322"/>
      <c r="BF525" s="2322"/>
      <c r="BG525" s="2322"/>
      <c r="BH525" s="2322"/>
      <c r="BI525" s="2322"/>
      <c r="BJ525" s="2322"/>
      <c r="BK525" s="2322"/>
      <c r="BL525" s="2322"/>
      <c r="BM525" s="2322"/>
      <c r="BN525" s="2322"/>
      <c r="BO525" s="2322"/>
      <c r="BP525" s="2322"/>
      <c r="BQ525" s="2322"/>
      <c r="BR525" s="2322"/>
      <c r="BS525" s="2322"/>
      <c r="BT525" s="2322"/>
      <c r="BU525" s="2322"/>
      <c r="BV525" s="2322"/>
      <c r="BW525" s="2322"/>
      <c r="BX525" s="2322"/>
      <c r="BY525" s="2322"/>
      <c r="BZ525" s="2322"/>
      <c r="CA525" s="2322"/>
      <c r="CB525" s="2322"/>
      <c r="CC525" s="2322"/>
      <c r="CD525" s="2322"/>
      <c r="CE525" s="2322"/>
      <c r="CF525" s="2322"/>
      <c r="CG525" s="2322"/>
      <c r="CH525" s="2322"/>
      <c r="CI525" s="2322"/>
      <c r="CJ525" s="2322"/>
      <c r="CK525" s="2322"/>
      <c r="CL525" s="2322"/>
      <c r="CM525" s="2322"/>
      <c r="CN525" s="2322"/>
      <c r="CO525" s="2322"/>
      <c r="CP525" s="2322"/>
      <c r="CQ525" s="2322"/>
      <c r="CR525" s="2322"/>
      <c r="CS525" s="2322"/>
      <c r="CT525" s="2322"/>
      <c r="CU525" s="2322"/>
      <c r="CV525" s="2322"/>
    </row>
    <row r="526" spans="1:100" ht="15.75" customHeight="1">
      <c r="A526" s="2328"/>
      <c r="B526" s="2322"/>
      <c r="C526" s="2322"/>
      <c r="D526" s="2322"/>
      <c r="E526" s="2322"/>
      <c r="F526" s="2322"/>
      <c r="G526" s="2322"/>
      <c r="H526" s="2322"/>
      <c r="I526" s="2322"/>
      <c r="J526" s="2322"/>
      <c r="K526" s="2322"/>
      <c r="L526" s="2322"/>
      <c r="M526" s="2322"/>
      <c r="N526" s="2322"/>
      <c r="O526" s="2322"/>
      <c r="P526" s="2322"/>
      <c r="Q526" s="2322"/>
      <c r="R526" s="2322"/>
      <c r="S526" s="2322"/>
      <c r="T526" s="2322"/>
      <c r="U526" s="2322"/>
      <c r="V526" s="2322"/>
      <c r="W526" s="2322"/>
      <c r="X526" s="2322"/>
      <c r="Y526" s="2322"/>
      <c r="Z526" s="2322"/>
      <c r="AA526" s="2322"/>
      <c r="AB526" s="2322"/>
      <c r="AC526" s="2322"/>
      <c r="AD526" s="2322"/>
      <c r="AE526" s="2322"/>
      <c r="AF526" s="2322"/>
      <c r="AG526" s="2322"/>
      <c r="AH526" s="2322"/>
      <c r="AI526" s="2322"/>
      <c r="AJ526" s="2322"/>
      <c r="AK526" s="2322"/>
      <c r="AL526" s="2322"/>
      <c r="AM526" s="2322"/>
      <c r="AN526" s="2322"/>
      <c r="AO526" s="2322"/>
      <c r="AP526" s="2322"/>
      <c r="AQ526" s="2322"/>
      <c r="AR526" s="2322"/>
      <c r="AS526" s="2322"/>
      <c r="AT526" s="2322"/>
      <c r="AU526" s="2322"/>
      <c r="AV526" s="2322"/>
      <c r="AW526" s="2322"/>
      <c r="AX526" s="2322"/>
      <c r="AY526" s="2322"/>
      <c r="AZ526" s="2322"/>
      <c r="BA526" s="2322"/>
      <c r="BB526" s="2322"/>
      <c r="BC526" s="2322"/>
      <c r="BD526" s="2322"/>
      <c r="BE526" s="2322"/>
      <c r="BF526" s="2322"/>
      <c r="BG526" s="2322"/>
      <c r="BH526" s="2322"/>
      <c r="BI526" s="2322"/>
      <c r="BJ526" s="2322"/>
      <c r="BK526" s="2322"/>
      <c r="BL526" s="2322"/>
      <c r="BM526" s="2322"/>
      <c r="BN526" s="2322"/>
      <c r="BO526" s="2322"/>
      <c r="BP526" s="2322"/>
      <c r="BQ526" s="2322"/>
      <c r="BR526" s="2322"/>
      <c r="BS526" s="2322"/>
      <c r="BT526" s="2322"/>
      <c r="BU526" s="2322"/>
      <c r="BV526" s="2322"/>
      <c r="BW526" s="2322"/>
      <c r="BX526" s="2322"/>
      <c r="BY526" s="2322"/>
      <c r="BZ526" s="2322"/>
      <c r="CA526" s="2322"/>
      <c r="CB526" s="2322"/>
      <c r="CC526" s="2322"/>
      <c r="CD526" s="2322"/>
      <c r="CE526" s="2322"/>
      <c r="CF526" s="2322"/>
      <c r="CG526" s="2322"/>
      <c r="CH526" s="2322"/>
      <c r="CI526" s="2322"/>
      <c r="CJ526" s="2322"/>
      <c r="CK526" s="2322"/>
      <c r="CL526" s="2322"/>
      <c r="CM526" s="2322"/>
      <c r="CN526" s="2322"/>
      <c r="CO526" s="2322"/>
      <c r="CP526" s="2322"/>
      <c r="CQ526" s="2322"/>
      <c r="CR526" s="2322"/>
      <c r="CS526" s="2322"/>
      <c r="CT526" s="2322"/>
      <c r="CU526" s="2322"/>
      <c r="CV526" s="2322"/>
    </row>
    <row r="527" spans="1:100" ht="15.75" customHeight="1">
      <c r="A527" s="2328"/>
      <c r="B527" s="2322"/>
      <c r="C527" s="2322"/>
      <c r="D527" s="2322"/>
      <c r="E527" s="2322"/>
      <c r="F527" s="2322"/>
      <c r="G527" s="2322"/>
      <c r="H527" s="2322"/>
      <c r="I527" s="2322"/>
      <c r="J527" s="2322"/>
      <c r="K527" s="2322"/>
      <c r="L527" s="2322"/>
      <c r="M527" s="2322"/>
      <c r="N527" s="2322"/>
      <c r="O527" s="2322"/>
      <c r="P527" s="2322"/>
      <c r="Q527" s="2322"/>
      <c r="R527" s="2322"/>
      <c r="S527" s="2322"/>
      <c r="T527" s="2322"/>
      <c r="U527" s="2322"/>
      <c r="V527" s="2322"/>
      <c r="W527" s="2322"/>
      <c r="X527" s="2322"/>
      <c r="Y527" s="2322"/>
      <c r="Z527" s="2322"/>
      <c r="AA527" s="2322"/>
      <c r="AB527" s="2322"/>
      <c r="AC527" s="2322"/>
      <c r="AD527" s="2322"/>
      <c r="AE527" s="2322"/>
      <c r="AF527" s="2322"/>
      <c r="AG527" s="2322"/>
      <c r="AH527" s="2322"/>
      <c r="AI527" s="2322"/>
      <c r="AJ527" s="2322"/>
      <c r="AK527" s="2322"/>
      <c r="AL527" s="2322"/>
      <c r="AM527" s="2322"/>
      <c r="AN527" s="2322"/>
      <c r="AO527" s="2322"/>
      <c r="AP527" s="2322"/>
      <c r="AQ527" s="2322"/>
      <c r="AR527" s="2322"/>
      <c r="AS527" s="2322"/>
      <c r="AT527" s="2322"/>
      <c r="AU527" s="2322"/>
      <c r="AV527" s="2322"/>
      <c r="AW527" s="2322"/>
      <c r="AX527" s="2322"/>
      <c r="AY527" s="2322"/>
      <c r="AZ527" s="2322"/>
      <c r="BA527" s="2322"/>
      <c r="BB527" s="2322"/>
      <c r="BC527" s="2322"/>
      <c r="BD527" s="2322"/>
      <c r="BE527" s="2322"/>
      <c r="BF527" s="2322"/>
      <c r="BG527" s="2322"/>
      <c r="BH527" s="2322"/>
      <c r="BI527" s="2322"/>
      <c r="BJ527" s="2322"/>
      <c r="BK527" s="2322"/>
      <c r="BL527" s="2322"/>
      <c r="BM527" s="2322"/>
      <c r="BN527" s="2322"/>
      <c r="BO527" s="2322"/>
      <c r="BP527" s="2322"/>
      <c r="BQ527" s="2322"/>
      <c r="BR527" s="2322"/>
      <c r="BS527" s="2322"/>
      <c r="BT527" s="2322"/>
      <c r="BU527" s="2322"/>
      <c r="BV527" s="2322"/>
      <c r="BW527" s="2322"/>
      <c r="BX527" s="2322"/>
      <c r="BY527" s="2322"/>
      <c r="BZ527" s="2322"/>
      <c r="CA527" s="2322"/>
      <c r="CB527" s="2322"/>
      <c r="CC527" s="2322"/>
      <c r="CD527" s="2322"/>
      <c r="CE527" s="2322"/>
      <c r="CF527" s="2322"/>
      <c r="CG527" s="2322"/>
      <c r="CH527" s="2322"/>
      <c r="CI527" s="2322"/>
      <c r="CJ527" s="2322"/>
      <c r="CK527" s="2322"/>
      <c r="CL527" s="2322"/>
      <c r="CM527" s="2322"/>
      <c r="CN527" s="2322"/>
      <c r="CO527" s="2322"/>
      <c r="CP527" s="2322"/>
      <c r="CQ527" s="2322"/>
      <c r="CR527" s="2322"/>
      <c r="CS527" s="2322"/>
      <c r="CT527" s="2322"/>
      <c r="CU527" s="2322"/>
      <c r="CV527" s="2322"/>
    </row>
    <row r="528" spans="1:100" ht="15.75" customHeight="1">
      <c r="A528" s="2328"/>
      <c r="B528" s="2322"/>
      <c r="C528" s="2322"/>
      <c r="D528" s="2322"/>
      <c r="E528" s="2322"/>
      <c r="F528" s="2322"/>
      <c r="G528" s="2322"/>
      <c r="H528" s="2322"/>
      <c r="I528" s="2322"/>
      <c r="J528" s="2322"/>
      <c r="K528" s="2322"/>
      <c r="L528" s="2322"/>
      <c r="M528" s="2322"/>
      <c r="N528" s="2322"/>
      <c r="O528" s="2322"/>
      <c r="P528" s="2322"/>
      <c r="Q528" s="2322"/>
      <c r="R528" s="2322"/>
      <c r="S528" s="2322"/>
      <c r="T528" s="2322"/>
      <c r="U528" s="2322"/>
      <c r="V528" s="2322"/>
      <c r="W528" s="2322"/>
      <c r="X528" s="2322"/>
      <c r="Y528" s="2322"/>
      <c r="Z528" s="2322"/>
      <c r="AA528" s="2322"/>
      <c r="AB528" s="2322"/>
      <c r="AC528" s="2322"/>
      <c r="AD528" s="2322"/>
      <c r="AE528" s="2322"/>
      <c r="AF528" s="2322"/>
      <c r="AG528" s="2322"/>
      <c r="AH528" s="2322"/>
      <c r="AI528" s="2322"/>
      <c r="AJ528" s="2322"/>
      <c r="AK528" s="2322"/>
      <c r="AL528" s="2322"/>
      <c r="AM528" s="2322"/>
      <c r="AN528" s="2322"/>
      <c r="AO528" s="2322"/>
      <c r="AP528" s="2322"/>
      <c r="AQ528" s="2322"/>
      <c r="AR528" s="2322"/>
      <c r="AS528" s="2322"/>
      <c r="AT528" s="2322"/>
      <c r="AU528" s="2322"/>
      <c r="AV528" s="2322"/>
      <c r="AW528" s="2322"/>
      <c r="AX528" s="2322"/>
      <c r="AY528" s="2322"/>
      <c r="AZ528" s="2322"/>
      <c r="BA528" s="2322"/>
      <c r="BB528" s="2322"/>
      <c r="BC528" s="2322"/>
      <c r="BD528" s="2322"/>
      <c r="BE528" s="2322"/>
      <c r="BF528" s="2322"/>
      <c r="BG528" s="2322"/>
      <c r="BH528" s="2322"/>
      <c r="BI528" s="2322"/>
      <c r="BJ528" s="2322"/>
      <c r="BK528" s="2322"/>
      <c r="BL528" s="2322"/>
      <c r="BM528" s="2322"/>
      <c r="BN528" s="2322"/>
      <c r="BO528" s="2322"/>
      <c r="BP528" s="2322"/>
      <c r="BQ528" s="2322"/>
      <c r="BR528" s="2322"/>
      <c r="BS528" s="2322"/>
      <c r="BT528" s="2322"/>
      <c r="BU528" s="2322"/>
      <c r="BV528" s="2322"/>
      <c r="BW528" s="2322"/>
      <c r="BX528" s="2322"/>
      <c r="BY528" s="2322"/>
      <c r="BZ528" s="2322"/>
      <c r="CA528" s="2322"/>
      <c r="CB528" s="2322"/>
      <c r="CC528" s="2322"/>
      <c r="CD528" s="2322"/>
      <c r="CE528" s="2322"/>
      <c r="CF528" s="2322"/>
      <c r="CG528" s="2322"/>
      <c r="CH528" s="2322"/>
      <c r="CI528" s="2322"/>
      <c r="CJ528" s="2322"/>
      <c r="CK528" s="2322"/>
      <c r="CL528" s="2322"/>
      <c r="CM528" s="2322"/>
      <c r="CN528" s="2322"/>
      <c r="CO528" s="2322"/>
      <c r="CP528" s="2322"/>
      <c r="CQ528" s="2322"/>
      <c r="CR528" s="2322"/>
      <c r="CS528" s="2322"/>
      <c r="CT528" s="2322"/>
      <c r="CU528" s="2322"/>
      <c r="CV528" s="2322"/>
    </row>
    <row r="529" spans="1:100" ht="15.75" customHeight="1">
      <c r="A529" s="2328"/>
      <c r="B529" s="2322"/>
      <c r="C529" s="2322"/>
      <c r="D529" s="2322"/>
      <c r="E529" s="2322"/>
      <c r="F529" s="2322"/>
      <c r="G529" s="2322"/>
      <c r="H529" s="2322"/>
      <c r="I529" s="2322"/>
      <c r="J529" s="2322"/>
      <c r="K529" s="2322"/>
      <c r="L529" s="2322"/>
      <c r="M529" s="2322"/>
      <c r="N529" s="2322"/>
      <c r="O529" s="2322"/>
      <c r="P529" s="2322"/>
      <c r="Q529" s="2322"/>
      <c r="R529" s="2322"/>
      <c r="S529" s="2322"/>
      <c r="T529" s="2322"/>
      <c r="U529" s="2322"/>
      <c r="V529" s="2322"/>
      <c r="W529" s="2322"/>
      <c r="X529" s="2322"/>
      <c r="Y529" s="2322"/>
      <c r="Z529" s="2322"/>
      <c r="AA529" s="2322"/>
      <c r="AB529" s="2322"/>
      <c r="AC529" s="2322"/>
      <c r="AD529" s="2322"/>
      <c r="AE529" s="2322"/>
      <c r="AF529" s="2322"/>
      <c r="AG529" s="2322"/>
      <c r="AH529" s="2322"/>
      <c r="AI529" s="2322"/>
      <c r="AJ529" s="2322"/>
      <c r="AK529" s="2322"/>
      <c r="AL529" s="2322"/>
      <c r="AM529" s="2322"/>
      <c r="AN529" s="2322"/>
      <c r="AO529" s="2322"/>
      <c r="AP529" s="2322"/>
      <c r="AQ529" s="2322"/>
      <c r="AR529" s="2322"/>
      <c r="AS529" s="2322"/>
      <c r="AT529" s="2322"/>
      <c r="AU529" s="2322"/>
      <c r="AV529" s="2322"/>
      <c r="AW529" s="2322"/>
      <c r="AX529" s="2322"/>
      <c r="AY529" s="2322"/>
      <c r="AZ529" s="2322"/>
      <c r="BA529" s="2322"/>
      <c r="BB529" s="2322"/>
      <c r="BC529" s="2322"/>
      <c r="BD529" s="2322"/>
      <c r="BE529" s="2322"/>
      <c r="BF529" s="2322"/>
      <c r="BG529" s="2322"/>
      <c r="BH529" s="2322"/>
      <c r="BI529" s="2322"/>
      <c r="BJ529" s="2322"/>
      <c r="BK529" s="2322"/>
      <c r="BL529" s="2322"/>
      <c r="BM529" s="2322"/>
      <c r="BN529" s="2322"/>
      <c r="BO529" s="2322"/>
      <c r="BP529" s="2322"/>
      <c r="BQ529" s="2322"/>
      <c r="BR529" s="2322"/>
      <c r="BS529" s="2322"/>
      <c r="BT529" s="2322"/>
      <c r="BU529" s="2322"/>
      <c r="BV529" s="2322"/>
      <c r="BW529" s="2322"/>
      <c r="BX529" s="2322"/>
      <c r="BY529" s="2322"/>
      <c r="BZ529" s="2322"/>
      <c r="CA529" s="2322"/>
      <c r="CB529" s="2322"/>
      <c r="CC529" s="2322"/>
      <c r="CD529" s="2322"/>
      <c r="CE529" s="2322"/>
      <c r="CF529" s="2322"/>
      <c r="CG529" s="2322"/>
      <c r="CH529" s="2322"/>
      <c r="CI529" s="2322"/>
      <c r="CJ529" s="2322"/>
      <c r="CK529" s="2322"/>
      <c r="CL529" s="2322"/>
      <c r="CM529" s="2322"/>
      <c r="CN529" s="2322"/>
      <c r="CO529" s="2322"/>
      <c r="CP529" s="2322"/>
      <c r="CQ529" s="2322"/>
      <c r="CR529" s="2322"/>
      <c r="CS529" s="2322"/>
      <c r="CT529" s="2322"/>
      <c r="CU529" s="2322"/>
      <c r="CV529" s="2322"/>
    </row>
    <row r="530" spans="1:100" ht="15.75" customHeight="1">
      <c r="A530" s="2328"/>
      <c r="B530" s="2322"/>
      <c r="C530" s="2322"/>
      <c r="D530" s="2322"/>
      <c r="E530" s="2322"/>
      <c r="F530" s="2322"/>
      <c r="G530" s="2322"/>
      <c r="H530" s="2322"/>
      <c r="I530" s="2322"/>
      <c r="J530" s="2322"/>
      <c r="K530" s="2322"/>
      <c r="L530" s="2322"/>
      <c r="M530" s="2322"/>
      <c r="N530" s="2322"/>
      <c r="O530" s="2322"/>
      <c r="P530" s="2322"/>
      <c r="Q530" s="2322"/>
      <c r="R530" s="2322"/>
      <c r="S530" s="2322"/>
      <c r="T530" s="2322"/>
      <c r="U530" s="2322"/>
      <c r="V530" s="2322"/>
      <c r="W530" s="2322"/>
      <c r="X530" s="2322"/>
      <c r="Y530" s="2322"/>
      <c r="Z530" s="2322"/>
      <c r="AA530" s="2322"/>
      <c r="AB530" s="2322"/>
      <c r="AC530" s="2322"/>
      <c r="AD530" s="2322"/>
      <c r="AE530" s="2322"/>
      <c r="AF530" s="2322"/>
      <c r="AG530" s="2322"/>
      <c r="AH530" s="2322"/>
      <c r="AI530" s="2322"/>
      <c r="AJ530" s="2322"/>
      <c r="AK530" s="2322"/>
      <c r="AL530" s="2322"/>
      <c r="AM530" s="2322"/>
      <c r="AN530" s="2322"/>
      <c r="AO530" s="2322"/>
      <c r="AP530" s="2322"/>
      <c r="AQ530" s="2322"/>
      <c r="AR530" s="2322"/>
      <c r="AS530" s="2322"/>
      <c r="AT530" s="2322"/>
      <c r="AU530" s="2322"/>
      <c r="AV530" s="2322"/>
      <c r="AW530" s="2322"/>
      <c r="AX530" s="2322"/>
      <c r="AY530" s="2322"/>
      <c r="AZ530" s="2322"/>
      <c r="BA530" s="2322"/>
      <c r="BB530" s="2322"/>
      <c r="BC530" s="2322"/>
      <c r="BD530" s="2322"/>
      <c r="BE530" s="2322"/>
      <c r="BF530" s="2322"/>
      <c r="BG530" s="2322"/>
      <c r="BH530" s="2322"/>
      <c r="BI530" s="2322"/>
      <c r="BJ530" s="2322"/>
      <c r="BK530" s="2322"/>
      <c r="BL530" s="2322"/>
      <c r="BM530" s="2322"/>
      <c r="BN530" s="2322"/>
      <c r="BO530" s="2322"/>
      <c r="BP530" s="2322"/>
      <c r="BQ530" s="2322"/>
      <c r="BR530" s="2322"/>
      <c r="BS530" s="2322"/>
      <c r="BT530" s="2322"/>
      <c r="BU530" s="2322"/>
      <c r="BV530" s="2322"/>
      <c r="BW530" s="2322"/>
      <c r="BX530" s="2322"/>
      <c r="BY530" s="2322"/>
      <c r="BZ530" s="2322"/>
      <c r="CA530" s="2322"/>
      <c r="CB530" s="2322"/>
      <c r="CC530" s="2322"/>
      <c r="CD530" s="2322"/>
      <c r="CE530" s="2322"/>
      <c r="CF530" s="2322"/>
      <c r="CG530" s="2322"/>
      <c r="CH530" s="2322"/>
      <c r="CI530" s="2322"/>
      <c r="CJ530" s="2322"/>
      <c r="CK530" s="2322"/>
      <c r="CL530" s="2322"/>
      <c r="CM530" s="2322"/>
      <c r="CN530" s="2322"/>
      <c r="CO530" s="2322"/>
      <c r="CP530" s="2322"/>
      <c r="CQ530" s="2322"/>
      <c r="CR530" s="2322"/>
      <c r="CS530" s="2322"/>
      <c r="CT530" s="2322"/>
      <c r="CU530" s="2322"/>
      <c r="CV530" s="2322"/>
    </row>
    <row r="531" spans="1:100" ht="15.75" customHeight="1">
      <c r="A531" s="2328"/>
      <c r="B531" s="2322"/>
      <c r="C531" s="2322"/>
      <c r="D531" s="2322"/>
      <c r="E531" s="2322"/>
      <c r="F531" s="2322"/>
      <c r="G531" s="2322"/>
      <c r="H531" s="2322"/>
      <c r="I531" s="2322"/>
      <c r="J531" s="2322"/>
      <c r="K531" s="2322"/>
      <c r="L531" s="2322"/>
      <c r="M531" s="2322"/>
      <c r="N531" s="2322"/>
      <c r="O531" s="2322"/>
      <c r="P531" s="2322"/>
      <c r="Q531" s="2322"/>
      <c r="R531" s="2322"/>
      <c r="S531" s="2322"/>
      <c r="T531" s="2322"/>
      <c r="U531" s="2322"/>
      <c r="V531" s="2322"/>
      <c r="W531" s="2322"/>
      <c r="X531" s="2322"/>
      <c r="Y531" s="2322"/>
      <c r="Z531" s="2322"/>
      <c r="AA531" s="2322"/>
      <c r="AB531" s="2322"/>
      <c r="AC531" s="2322"/>
      <c r="AD531" s="2322"/>
      <c r="AE531" s="2322"/>
      <c r="AF531" s="2322"/>
      <c r="AG531" s="2322"/>
      <c r="AH531" s="2322"/>
      <c r="AI531" s="2322"/>
      <c r="AJ531" s="2322"/>
      <c r="AK531" s="2322"/>
      <c r="AL531" s="2322"/>
      <c r="AM531" s="2322"/>
      <c r="AN531" s="2322"/>
      <c r="AO531" s="2322"/>
      <c r="AP531" s="2322"/>
      <c r="AQ531" s="2322"/>
      <c r="AR531" s="2322"/>
      <c r="AS531" s="2322"/>
      <c r="AT531" s="2322"/>
      <c r="AU531" s="2322"/>
      <c r="AV531" s="2322"/>
      <c r="AW531" s="2322"/>
      <c r="AX531" s="2322"/>
      <c r="AY531" s="2322"/>
      <c r="AZ531" s="2322"/>
      <c r="BA531" s="2322"/>
      <c r="BB531" s="2322"/>
      <c r="BC531" s="2322"/>
      <c r="BD531" s="2322"/>
      <c r="BE531" s="2322"/>
      <c r="BF531" s="2322"/>
      <c r="BG531" s="2322"/>
      <c r="BH531" s="2322"/>
      <c r="BI531" s="2322"/>
      <c r="BJ531" s="2322"/>
      <c r="BK531" s="2322"/>
      <c r="BL531" s="2322"/>
      <c r="BM531" s="2322"/>
      <c r="BN531" s="2322"/>
      <c r="BO531" s="2322"/>
      <c r="BP531" s="2322"/>
      <c r="BQ531" s="2322"/>
      <c r="BR531" s="2322"/>
      <c r="BS531" s="2322"/>
      <c r="BT531" s="2322"/>
      <c r="BU531" s="2322"/>
      <c r="BV531" s="2322"/>
      <c r="BW531" s="2322"/>
      <c r="BX531" s="2322"/>
      <c r="BY531" s="2322"/>
      <c r="BZ531" s="2322"/>
      <c r="CA531" s="2322"/>
      <c r="CB531" s="2322"/>
      <c r="CC531" s="2322"/>
      <c r="CD531" s="2322"/>
      <c r="CE531" s="2322"/>
      <c r="CF531" s="2322"/>
      <c r="CG531" s="2322"/>
      <c r="CH531" s="2322"/>
      <c r="CI531" s="2322"/>
      <c r="CJ531" s="2322"/>
      <c r="CK531" s="2322"/>
      <c r="CL531" s="2322"/>
      <c r="CM531" s="2322"/>
      <c r="CN531" s="2322"/>
      <c r="CO531" s="2322"/>
      <c r="CP531" s="2322"/>
      <c r="CQ531" s="2322"/>
      <c r="CR531" s="2322"/>
      <c r="CS531" s="2322"/>
      <c r="CT531" s="2322"/>
      <c r="CU531" s="2322"/>
      <c r="CV531" s="2322"/>
    </row>
    <row r="532" spans="1:100" ht="15.75" customHeight="1">
      <c r="A532" s="2328"/>
      <c r="B532" s="2322"/>
      <c r="C532" s="2322"/>
      <c r="D532" s="2322"/>
      <c r="E532" s="2322"/>
      <c r="F532" s="2322"/>
      <c r="G532" s="2322"/>
      <c r="H532" s="2322"/>
      <c r="I532" s="2322"/>
      <c r="J532" s="2322"/>
      <c r="K532" s="2322"/>
      <c r="L532" s="2322"/>
      <c r="M532" s="2322"/>
      <c r="N532" s="2322"/>
      <c r="O532" s="2322"/>
      <c r="P532" s="2322"/>
      <c r="Q532" s="2322"/>
      <c r="R532" s="2322"/>
      <c r="S532" s="2322"/>
      <c r="T532" s="2322"/>
      <c r="U532" s="2322"/>
      <c r="V532" s="2322"/>
      <c r="W532" s="2322"/>
      <c r="X532" s="2322"/>
      <c r="Y532" s="2322"/>
      <c r="Z532" s="2322"/>
      <c r="AA532" s="2322"/>
      <c r="AB532" s="2322"/>
      <c r="AC532" s="2322"/>
      <c r="AD532" s="2322"/>
      <c r="AE532" s="2322"/>
      <c r="AF532" s="2322"/>
      <c r="AG532" s="2322"/>
      <c r="AH532" s="2322"/>
      <c r="AI532" s="2322"/>
      <c r="AJ532" s="2322"/>
      <c r="AK532" s="2322"/>
      <c r="AL532" s="2322"/>
      <c r="AM532" s="2322"/>
      <c r="AN532" s="2322"/>
      <c r="AO532" s="2322"/>
      <c r="AP532" s="2322"/>
      <c r="AQ532" s="2322"/>
      <c r="AR532" s="2322"/>
      <c r="AS532" s="2322"/>
      <c r="AT532" s="2322"/>
      <c r="AU532" s="2322"/>
      <c r="AV532" s="2322"/>
      <c r="AW532" s="2322"/>
      <c r="AX532" s="2322"/>
      <c r="AY532" s="2322"/>
      <c r="AZ532" s="2322"/>
      <c r="BA532" s="2322"/>
      <c r="BB532" s="2322"/>
      <c r="BC532" s="2322"/>
      <c r="BD532" s="2322"/>
      <c r="BE532" s="2322"/>
      <c r="BF532" s="2322"/>
      <c r="BG532" s="2322"/>
      <c r="BH532" s="2322"/>
      <c r="BI532" s="2322"/>
      <c r="BJ532" s="2322"/>
      <c r="BK532" s="2322"/>
      <c r="BL532" s="2322"/>
      <c r="BM532" s="2322"/>
      <c r="BN532" s="2322"/>
      <c r="BO532" s="2322"/>
      <c r="BP532" s="2322"/>
      <c r="BQ532" s="2322"/>
      <c r="BR532" s="2322"/>
      <c r="BS532" s="2322"/>
      <c r="BT532" s="2322"/>
      <c r="BU532" s="2322"/>
      <c r="BV532" s="2322"/>
      <c r="BW532" s="2322"/>
      <c r="BX532" s="2322"/>
      <c r="BY532" s="2322"/>
      <c r="BZ532" s="2322"/>
      <c r="CA532" s="2322"/>
      <c r="CB532" s="2322"/>
      <c r="CC532" s="2322"/>
      <c r="CD532" s="2322"/>
      <c r="CE532" s="2322"/>
      <c r="CF532" s="2322"/>
      <c r="CG532" s="2322"/>
      <c r="CH532" s="2322"/>
      <c r="CI532" s="2322"/>
      <c r="CJ532" s="2322"/>
      <c r="CK532" s="2322"/>
      <c r="CL532" s="2322"/>
      <c r="CM532" s="2322"/>
      <c r="CN532" s="2322"/>
      <c r="CO532" s="2322"/>
      <c r="CP532" s="2322"/>
      <c r="CQ532" s="2322"/>
      <c r="CR532" s="2322"/>
      <c r="CS532" s="2322"/>
      <c r="CT532" s="2322"/>
      <c r="CU532" s="2322"/>
      <c r="CV532" s="2322"/>
    </row>
    <row r="533" spans="1:100" ht="15.75" customHeight="1">
      <c r="A533" s="2328"/>
      <c r="B533" s="2322"/>
      <c r="C533" s="2322"/>
      <c r="D533" s="2322"/>
      <c r="E533" s="2322"/>
      <c r="F533" s="2322"/>
      <c r="G533" s="2322"/>
      <c r="H533" s="2322"/>
      <c r="I533" s="2322"/>
      <c r="J533" s="2322"/>
      <c r="K533" s="2322"/>
      <c r="L533" s="2322"/>
      <c r="M533" s="2322"/>
      <c r="N533" s="2322"/>
      <c r="O533" s="2322"/>
      <c r="P533" s="2322"/>
      <c r="Q533" s="2322"/>
      <c r="R533" s="2322"/>
      <c r="S533" s="2322"/>
      <c r="T533" s="2322"/>
      <c r="U533" s="2322"/>
      <c r="V533" s="2322"/>
      <c r="W533" s="2322"/>
      <c r="X533" s="2322"/>
      <c r="Y533" s="2322"/>
      <c r="Z533" s="2322"/>
      <c r="AA533" s="2322"/>
      <c r="AB533" s="2322"/>
      <c r="AC533" s="2322"/>
      <c r="AD533" s="2322"/>
      <c r="AE533" s="2322"/>
      <c r="AF533" s="2322"/>
      <c r="AG533" s="2322"/>
      <c r="AH533" s="2322"/>
      <c r="AI533" s="2322"/>
      <c r="AJ533" s="2322"/>
      <c r="AK533" s="2322"/>
      <c r="AL533" s="2322"/>
      <c r="AM533" s="2322"/>
      <c r="AN533" s="2322"/>
      <c r="AO533" s="2322"/>
      <c r="AP533" s="2322"/>
      <c r="AQ533" s="2322"/>
      <c r="AR533" s="2322"/>
      <c r="AS533" s="2322"/>
      <c r="AT533" s="2322"/>
      <c r="AU533" s="2322"/>
      <c r="AV533" s="2322"/>
      <c r="AW533" s="2322"/>
      <c r="AX533" s="2322"/>
      <c r="AY533" s="2322"/>
      <c r="AZ533" s="2322"/>
      <c r="BA533" s="2322"/>
      <c r="BB533" s="2322"/>
      <c r="BC533" s="2322"/>
      <c r="BD533" s="2322"/>
      <c r="BE533" s="2322"/>
      <c r="BF533" s="2322"/>
      <c r="BG533" s="2322"/>
      <c r="BH533" s="2322"/>
      <c r="BI533" s="2322"/>
      <c r="BJ533" s="2322"/>
      <c r="BK533" s="2322"/>
      <c r="BL533" s="2322"/>
      <c r="BM533" s="2322"/>
      <c r="BN533" s="2322"/>
      <c r="BO533" s="2322"/>
      <c r="BP533" s="2322"/>
      <c r="BQ533" s="2322"/>
      <c r="BR533" s="2322"/>
      <c r="BS533" s="2322"/>
      <c r="BT533" s="2322"/>
      <c r="BU533" s="2322"/>
      <c r="BV533" s="2322"/>
      <c r="BW533" s="2322"/>
      <c r="BX533" s="2322"/>
      <c r="BY533" s="2322"/>
      <c r="BZ533" s="2322"/>
      <c r="CA533" s="2322"/>
      <c r="CB533" s="2322"/>
      <c r="CC533" s="2322"/>
      <c r="CD533" s="2322"/>
      <c r="CE533" s="2322"/>
      <c r="CF533" s="2322"/>
      <c r="CG533" s="2322"/>
      <c r="CH533" s="2322"/>
      <c r="CI533" s="2322"/>
      <c r="CJ533" s="2322"/>
      <c r="CK533" s="2322"/>
      <c r="CL533" s="2322"/>
      <c r="CM533" s="2322"/>
      <c r="CN533" s="2322"/>
      <c r="CO533" s="2322"/>
      <c r="CP533" s="2322"/>
      <c r="CQ533" s="2322"/>
      <c r="CR533" s="2322"/>
      <c r="CS533" s="2322"/>
      <c r="CT533" s="2322"/>
      <c r="CU533" s="2322"/>
      <c r="CV533" s="2322"/>
    </row>
    <row r="534" spans="1:100" ht="15.75" customHeight="1">
      <c r="A534" s="2328"/>
      <c r="B534" s="2322"/>
      <c r="C534" s="2322"/>
      <c r="D534" s="2322"/>
      <c r="E534" s="2322"/>
      <c r="F534" s="2322"/>
      <c r="G534" s="2322"/>
      <c r="H534" s="2322"/>
      <c r="I534" s="2322"/>
      <c r="J534" s="2322"/>
      <c r="K534" s="2322"/>
      <c r="L534" s="2322"/>
      <c r="M534" s="2322"/>
      <c r="N534" s="2322"/>
      <c r="O534" s="2322"/>
      <c r="P534" s="2322"/>
      <c r="Q534" s="2322"/>
      <c r="R534" s="2322"/>
      <c r="S534" s="2322"/>
      <c r="T534" s="2322"/>
      <c r="U534" s="2322"/>
      <c r="V534" s="2322"/>
      <c r="W534" s="2322"/>
      <c r="X534" s="2322"/>
      <c r="Y534" s="2322"/>
      <c r="Z534" s="2322"/>
      <c r="AA534" s="2322"/>
      <c r="AB534" s="2322"/>
      <c r="AC534" s="2322"/>
      <c r="AD534" s="2322"/>
      <c r="AE534" s="2322"/>
      <c r="AF534" s="2322"/>
      <c r="AG534" s="2322"/>
      <c r="AH534" s="2322"/>
      <c r="AI534" s="2322"/>
      <c r="AJ534" s="2322"/>
      <c r="AK534" s="2322"/>
      <c r="AL534" s="2322"/>
      <c r="AM534" s="2322"/>
      <c r="AN534" s="2322"/>
      <c r="AO534" s="2322"/>
      <c r="AP534" s="2322"/>
      <c r="AQ534" s="2322"/>
      <c r="AR534" s="2322"/>
      <c r="AS534" s="2322"/>
      <c r="AT534" s="2322"/>
      <c r="AU534" s="2322"/>
      <c r="AV534" s="2322"/>
      <c r="AW534" s="2322"/>
      <c r="AX534" s="2322"/>
      <c r="AY534" s="2322"/>
      <c r="AZ534" s="2322"/>
      <c r="BA534" s="2322"/>
      <c r="BB534" s="2322"/>
      <c r="BC534" s="2322"/>
      <c r="BD534" s="2322"/>
      <c r="BE534" s="2322"/>
      <c r="BF534" s="2322"/>
      <c r="BG534" s="2322"/>
      <c r="BH534" s="2322"/>
      <c r="BI534" s="2322"/>
      <c r="BJ534" s="2322"/>
      <c r="BK534" s="2322"/>
      <c r="BL534" s="2322"/>
      <c r="BM534" s="2322"/>
      <c r="BN534" s="2322"/>
      <c r="BO534" s="2322"/>
      <c r="BP534" s="2322"/>
      <c r="BQ534" s="2322"/>
      <c r="BR534" s="2322"/>
      <c r="BS534" s="2322"/>
      <c r="BT534" s="2322"/>
      <c r="BU534" s="2322"/>
      <c r="BV534" s="2322"/>
      <c r="BW534" s="2322"/>
      <c r="BX534" s="2322"/>
      <c r="BY534" s="2322"/>
      <c r="BZ534" s="2322"/>
      <c r="CA534" s="2322"/>
      <c r="CB534" s="2322"/>
      <c r="CC534" s="2322"/>
      <c r="CD534" s="2322"/>
      <c r="CE534" s="2322"/>
      <c r="CF534" s="2322"/>
      <c r="CG534" s="2322"/>
      <c r="CH534" s="2322"/>
      <c r="CI534" s="2322"/>
      <c r="CJ534" s="2322"/>
      <c r="CK534" s="2322"/>
      <c r="CL534" s="2322"/>
      <c r="CM534" s="2322"/>
      <c r="CN534" s="2322"/>
      <c r="CO534" s="2322"/>
      <c r="CP534" s="2322"/>
      <c r="CQ534" s="2322"/>
      <c r="CR534" s="2322"/>
      <c r="CS534" s="2322"/>
      <c r="CT534" s="2322"/>
      <c r="CU534" s="2322"/>
      <c r="CV534" s="2322"/>
    </row>
    <row r="535" spans="1:100" ht="15.75" customHeight="1">
      <c r="A535" s="2328"/>
      <c r="B535" s="2322"/>
      <c r="C535" s="2322"/>
      <c r="D535" s="2322"/>
      <c r="E535" s="2322"/>
      <c r="F535" s="2322"/>
      <c r="G535" s="2322"/>
      <c r="H535" s="2322"/>
      <c r="I535" s="2322"/>
      <c r="J535" s="2322"/>
      <c r="K535" s="2322"/>
      <c r="L535" s="2322"/>
      <c r="M535" s="2322"/>
      <c r="N535" s="2322"/>
      <c r="O535" s="2322"/>
      <c r="P535" s="2322"/>
      <c r="Q535" s="2322"/>
      <c r="R535" s="2322"/>
      <c r="S535" s="2322"/>
      <c r="T535" s="2322"/>
      <c r="U535" s="2322"/>
      <c r="V535" s="2322"/>
      <c r="W535" s="2322"/>
      <c r="X535" s="2322"/>
      <c r="Y535" s="2322"/>
      <c r="Z535" s="2322"/>
      <c r="AA535" s="2322"/>
      <c r="AB535" s="2322"/>
      <c r="AC535" s="2322"/>
      <c r="AD535" s="2322"/>
      <c r="AE535" s="2322"/>
      <c r="AF535" s="2322"/>
      <c r="AG535" s="2322"/>
      <c r="AH535" s="2322"/>
      <c r="AI535" s="2322"/>
      <c r="AJ535" s="2322"/>
      <c r="AK535" s="2322"/>
      <c r="AL535" s="2322"/>
      <c r="AM535" s="2322"/>
      <c r="AN535" s="2322"/>
      <c r="AO535" s="2322"/>
      <c r="AP535" s="2322"/>
      <c r="AQ535" s="2322"/>
      <c r="AR535" s="2322"/>
      <c r="AS535" s="2322"/>
      <c r="AT535" s="2322"/>
      <c r="AU535" s="2322"/>
      <c r="AV535" s="2322"/>
      <c r="AW535" s="2322"/>
      <c r="AX535" s="2322"/>
      <c r="AY535" s="2322"/>
      <c r="AZ535" s="2322"/>
      <c r="BA535" s="2322"/>
      <c r="BB535" s="2322"/>
      <c r="BC535" s="2322"/>
      <c r="BD535" s="2322"/>
      <c r="BE535" s="2322"/>
      <c r="BF535" s="2322"/>
      <c r="BG535" s="2322"/>
      <c r="BH535" s="2322"/>
      <c r="BI535" s="2322"/>
      <c r="BJ535" s="2322"/>
      <c r="BK535" s="2322"/>
      <c r="BL535" s="2322"/>
      <c r="BM535" s="2322"/>
      <c r="BN535" s="2322"/>
      <c r="BO535" s="2322"/>
      <c r="BP535" s="2322"/>
      <c r="BQ535" s="2322"/>
      <c r="BR535" s="2322"/>
      <c r="BS535" s="2322"/>
      <c r="BT535" s="2322"/>
      <c r="BU535" s="2322"/>
      <c r="BV535" s="2322"/>
      <c r="BW535" s="2322"/>
      <c r="BX535" s="2322"/>
      <c r="BY535" s="2322"/>
      <c r="BZ535" s="2322"/>
      <c r="CA535" s="2322"/>
      <c r="CB535" s="2322"/>
      <c r="CC535" s="2322"/>
      <c r="CD535" s="2322"/>
      <c r="CE535" s="2322"/>
      <c r="CF535" s="2322"/>
      <c r="CG535" s="2322"/>
      <c r="CH535" s="2322"/>
      <c r="CI535" s="2322"/>
      <c r="CJ535" s="2322"/>
      <c r="CK535" s="2322"/>
      <c r="CL535" s="2322"/>
      <c r="CM535" s="2322"/>
      <c r="CN535" s="2322"/>
      <c r="CO535" s="2322"/>
      <c r="CP535" s="2322"/>
      <c r="CQ535" s="2322"/>
      <c r="CR535" s="2322"/>
      <c r="CS535" s="2322"/>
      <c r="CT535" s="2322"/>
      <c r="CU535" s="2322"/>
      <c r="CV535" s="2322"/>
    </row>
    <row r="536" spans="1:100" ht="15.75" customHeight="1">
      <c r="A536" s="2328"/>
      <c r="B536" s="2322"/>
      <c r="C536" s="2322"/>
      <c r="D536" s="2322"/>
      <c r="E536" s="2322"/>
      <c r="F536" s="2322"/>
      <c r="G536" s="2322"/>
      <c r="H536" s="2322"/>
      <c r="I536" s="2322"/>
      <c r="J536" s="2322"/>
      <c r="K536" s="2322"/>
      <c r="L536" s="2322"/>
      <c r="M536" s="2322"/>
      <c r="N536" s="2322"/>
      <c r="O536" s="2322"/>
      <c r="P536" s="2322"/>
      <c r="Q536" s="2322"/>
      <c r="R536" s="2322"/>
      <c r="S536" s="2322"/>
      <c r="T536" s="2322"/>
      <c r="U536" s="2322"/>
      <c r="V536" s="2322"/>
      <c r="W536" s="2322"/>
      <c r="X536" s="2322"/>
      <c r="Y536" s="2322"/>
      <c r="Z536" s="2322"/>
      <c r="AA536" s="2322"/>
      <c r="AB536" s="2322"/>
      <c r="AC536" s="2322"/>
      <c r="AD536" s="2322"/>
      <c r="AE536" s="2322"/>
      <c r="AF536" s="2322"/>
      <c r="AG536" s="2322"/>
      <c r="AH536" s="2322"/>
      <c r="AI536" s="2322"/>
      <c r="AJ536" s="2322"/>
      <c r="AK536" s="2322"/>
      <c r="AL536" s="2322"/>
      <c r="AM536" s="2322"/>
      <c r="AN536" s="2322"/>
      <c r="AO536" s="2322"/>
      <c r="AP536" s="2322"/>
      <c r="AQ536" s="2322"/>
      <c r="AR536" s="2322"/>
      <c r="AS536" s="2322"/>
      <c r="AT536" s="2322"/>
      <c r="AU536" s="2322"/>
      <c r="AV536" s="2322"/>
      <c r="AW536" s="2322"/>
      <c r="AX536" s="2322"/>
      <c r="AY536" s="2322"/>
      <c r="AZ536" s="2322"/>
      <c r="BA536" s="2322"/>
      <c r="BB536" s="2322"/>
      <c r="BC536" s="2322"/>
      <c r="BD536" s="2322"/>
      <c r="BE536" s="2322"/>
      <c r="BF536" s="2322"/>
      <c r="BG536" s="2322"/>
      <c r="BH536" s="2322"/>
      <c r="BI536" s="2322"/>
      <c r="BJ536" s="2322"/>
      <c r="BK536" s="2322"/>
      <c r="BL536" s="2322"/>
      <c r="BM536" s="2322"/>
      <c r="BN536" s="2322"/>
      <c r="BO536" s="2322"/>
      <c r="BP536" s="2322"/>
      <c r="BQ536" s="2322"/>
      <c r="BR536" s="2322"/>
      <c r="BS536" s="2322"/>
      <c r="BT536" s="2322"/>
      <c r="BU536" s="2322"/>
      <c r="BV536" s="2322"/>
      <c r="BW536" s="2322"/>
      <c r="BX536" s="2322"/>
      <c r="BY536" s="2322"/>
      <c r="BZ536" s="2322"/>
      <c r="CA536" s="2322"/>
      <c r="CB536" s="2322"/>
      <c r="CC536" s="2322"/>
      <c r="CD536" s="2322"/>
      <c r="CE536" s="2322"/>
      <c r="CF536" s="2322"/>
      <c r="CG536" s="2322"/>
      <c r="CH536" s="2322"/>
      <c r="CI536" s="2322"/>
      <c r="CJ536" s="2322"/>
      <c r="CK536" s="2322"/>
      <c r="CL536" s="2322"/>
      <c r="CM536" s="2322"/>
      <c r="CN536" s="2322"/>
      <c r="CO536" s="2322"/>
      <c r="CP536" s="2322"/>
      <c r="CQ536" s="2322"/>
      <c r="CR536" s="2322"/>
      <c r="CS536" s="2322"/>
      <c r="CT536" s="2322"/>
      <c r="CU536" s="2322"/>
      <c r="CV536" s="2322"/>
    </row>
    <row r="537" spans="1:100" ht="15.75" customHeight="1">
      <c r="A537" s="2328"/>
      <c r="B537" s="2322"/>
      <c r="C537" s="2322"/>
      <c r="D537" s="2322"/>
      <c r="E537" s="2322"/>
      <c r="F537" s="2322"/>
      <c r="G537" s="2322"/>
      <c r="H537" s="2322"/>
      <c r="I537" s="2322"/>
      <c r="J537" s="2322"/>
      <c r="K537" s="2322"/>
      <c r="L537" s="2322"/>
      <c r="M537" s="2322"/>
      <c r="N537" s="2322"/>
      <c r="O537" s="2322"/>
      <c r="P537" s="2322"/>
      <c r="Q537" s="2322"/>
      <c r="R537" s="2322"/>
      <c r="S537" s="2322"/>
      <c r="T537" s="2322"/>
      <c r="U537" s="2322"/>
      <c r="V537" s="2322"/>
      <c r="W537" s="2322"/>
      <c r="X537" s="2322"/>
      <c r="Y537" s="2322"/>
      <c r="Z537" s="2322"/>
      <c r="AA537" s="2322"/>
      <c r="AB537" s="2322"/>
      <c r="AC537" s="2322"/>
      <c r="AD537" s="2322"/>
      <c r="AE537" s="2322"/>
      <c r="AF537" s="2322"/>
      <c r="AG537" s="2322"/>
      <c r="AH537" s="2322"/>
      <c r="AI537" s="2322"/>
      <c r="AJ537" s="2322"/>
      <c r="AK537" s="2322"/>
      <c r="AL537" s="2322"/>
      <c r="AM537" s="2322"/>
      <c r="AN537" s="2322"/>
      <c r="AO537" s="2322"/>
      <c r="AP537" s="2322"/>
      <c r="AQ537" s="2322"/>
      <c r="AR537" s="2322"/>
      <c r="AS537" s="2322"/>
      <c r="AT537" s="2322"/>
      <c r="AU537" s="2322"/>
      <c r="AV537" s="2322"/>
      <c r="AW537" s="2322"/>
      <c r="AX537" s="2322"/>
      <c r="AY537" s="2322"/>
      <c r="AZ537" s="2322"/>
      <c r="BA537" s="2322"/>
      <c r="BB537" s="2322"/>
      <c r="BC537" s="2322"/>
      <c r="BD537" s="2322"/>
      <c r="BE537" s="2322"/>
      <c r="BF537" s="2322"/>
      <c r="BG537" s="2322"/>
      <c r="BH537" s="2322"/>
      <c r="BI537" s="2322"/>
      <c r="BJ537" s="2322"/>
      <c r="BK537" s="2322"/>
      <c r="BL537" s="2322"/>
      <c r="BM537" s="2322"/>
      <c r="BN537" s="2322"/>
      <c r="BO537" s="2322"/>
      <c r="BP537" s="2322"/>
      <c r="BQ537" s="2322"/>
      <c r="BR537" s="2322"/>
      <c r="BS537" s="2322"/>
      <c r="BT537" s="2322"/>
      <c r="BU537" s="2322"/>
      <c r="BV537" s="2322"/>
      <c r="BW537" s="2322"/>
      <c r="BX537" s="2322"/>
      <c r="BY537" s="2322"/>
      <c r="BZ537" s="2322"/>
      <c r="CA537" s="2322"/>
      <c r="CB537" s="2322"/>
      <c r="CC537" s="2322"/>
      <c r="CD537" s="2322"/>
      <c r="CE537" s="2322"/>
      <c r="CF537" s="2322"/>
      <c r="CG537" s="2322"/>
      <c r="CH537" s="2322"/>
      <c r="CI537" s="2322"/>
      <c r="CJ537" s="2322"/>
      <c r="CK537" s="2322"/>
      <c r="CL537" s="2322"/>
      <c r="CM537" s="2322"/>
      <c r="CN537" s="2322"/>
      <c r="CO537" s="2322"/>
      <c r="CP537" s="2322"/>
      <c r="CQ537" s="2322"/>
      <c r="CR537" s="2322"/>
      <c r="CS537" s="2322"/>
      <c r="CT537" s="2322"/>
      <c r="CU537" s="2322"/>
      <c r="CV537" s="2322"/>
    </row>
    <row r="538" spans="1:100" ht="15.75" customHeight="1">
      <c r="A538" s="2328"/>
      <c r="B538" s="2322"/>
      <c r="C538" s="2322"/>
      <c r="D538" s="2322"/>
      <c r="E538" s="2322"/>
      <c r="F538" s="2322"/>
      <c r="G538" s="2322"/>
      <c r="H538" s="2322"/>
      <c r="I538" s="2322"/>
      <c r="J538" s="2322"/>
      <c r="K538" s="2322"/>
      <c r="L538" s="2322"/>
      <c r="M538" s="2322"/>
      <c r="N538" s="2322"/>
      <c r="O538" s="2322"/>
      <c r="P538" s="2322"/>
      <c r="Q538" s="2322"/>
      <c r="R538" s="2322"/>
      <c r="S538" s="2322"/>
      <c r="T538" s="2322"/>
      <c r="U538" s="2322"/>
      <c r="V538" s="2322"/>
      <c r="W538" s="2322"/>
      <c r="X538" s="2322"/>
      <c r="Y538" s="2322"/>
      <c r="Z538" s="2322"/>
      <c r="AA538" s="2322"/>
      <c r="AB538" s="2322"/>
      <c r="AC538" s="2322"/>
      <c r="AD538" s="2322"/>
      <c r="AE538" s="2322"/>
      <c r="AF538" s="2322"/>
      <c r="AG538" s="2322"/>
      <c r="AH538" s="2322"/>
      <c r="AI538" s="2322"/>
      <c r="AJ538" s="2322"/>
      <c r="AK538" s="2322"/>
      <c r="AL538" s="2322"/>
      <c r="AM538" s="2322"/>
      <c r="AN538" s="2322"/>
      <c r="AO538" s="2322"/>
      <c r="AP538" s="2322"/>
      <c r="AQ538" s="2322"/>
      <c r="AR538" s="2322"/>
      <c r="AS538" s="2322"/>
      <c r="AT538" s="2322"/>
      <c r="AU538" s="2322"/>
      <c r="AV538" s="2322"/>
      <c r="AW538" s="2322"/>
      <c r="AX538" s="2322"/>
      <c r="AY538" s="2322"/>
      <c r="AZ538" s="2322"/>
      <c r="BA538" s="2322"/>
      <c r="BB538" s="2322"/>
      <c r="BC538" s="2322"/>
      <c r="BD538" s="2322"/>
      <c r="BE538" s="2322"/>
      <c r="BF538" s="2322"/>
      <c r="BG538" s="2322"/>
      <c r="BH538" s="2322"/>
      <c r="BI538" s="2322"/>
      <c r="BJ538" s="2322"/>
      <c r="BK538" s="2322"/>
      <c r="BL538" s="2322"/>
      <c r="BM538" s="2322"/>
      <c r="BN538" s="2322"/>
      <c r="BO538" s="2322"/>
      <c r="BP538" s="2322"/>
      <c r="BQ538" s="2322"/>
      <c r="BR538" s="2322"/>
      <c r="BS538" s="2322"/>
      <c r="BT538" s="2322"/>
      <c r="BU538" s="2322"/>
      <c r="BV538" s="2322"/>
      <c r="BW538" s="2322"/>
      <c r="BX538" s="2322"/>
      <c r="BY538" s="2322"/>
      <c r="BZ538" s="2322"/>
      <c r="CA538" s="2322"/>
      <c r="CB538" s="2322"/>
      <c r="CC538" s="2322"/>
      <c r="CD538" s="2322"/>
      <c r="CE538" s="2322"/>
      <c r="CF538" s="2322"/>
      <c r="CG538" s="2322"/>
      <c r="CH538" s="2322"/>
      <c r="CI538" s="2322"/>
      <c r="CJ538" s="2322"/>
      <c r="CK538" s="2322"/>
      <c r="CL538" s="2322"/>
      <c r="CM538" s="2322"/>
      <c r="CN538" s="2322"/>
      <c r="CO538" s="2322"/>
      <c r="CP538" s="2322"/>
      <c r="CQ538" s="2322"/>
      <c r="CR538" s="2322"/>
      <c r="CS538" s="2322"/>
      <c r="CT538" s="2322"/>
      <c r="CU538" s="2322"/>
      <c r="CV538" s="2322"/>
    </row>
    <row r="539" spans="1:100" ht="15.75" customHeight="1">
      <c r="A539" s="2328"/>
      <c r="B539" s="2322"/>
      <c r="C539" s="2322"/>
      <c r="D539" s="2322"/>
      <c r="E539" s="2322"/>
      <c r="F539" s="2322"/>
      <c r="G539" s="2322"/>
      <c r="H539" s="2322"/>
      <c r="I539" s="2322"/>
      <c r="J539" s="2322"/>
      <c r="K539" s="2322"/>
      <c r="L539" s="2322"/>
      <c r="M539" s="2322"/>
      <c r="N539" s="2322"/>
      <c r="O539" s="2322"/>
      <c r="P539" s="2322"/>
      <c r="Q539" s="2322"/>
      <c r="R539" s="2322"/>
      <c r="S539" s="2322"/>
      <c r="T539" s="2322"/>
      <c r="U539" s="2322"/>
      <c r="V539" s="2322"/>
      <c r="W539" s="2322"/>
      <c r="X539" s="2322"/>
      <c r="Y539" s="2322"/>
      <c r="Z539" s="2322"/>
      <c r="AA539" s="2322"/>
      <c r="AB539" s="2322"/>
      <c r="AC539" s="2322"/>
      <c r="AD539" s="2322"/>
      <c r="AE539" s="2322"/>
      <c r="AF539" s="2322"/>
      <c r="AG539" s="2322"/>
      <c r="AH539" s="2322"/>
      <c r="AI539" s="2322"/>
      <c r="AJ539" s="2322"/>
      <c r="AK539" s="2322"/>
      <c r="AL539" s="2322"/>
      <c r="AM539" s="2322"/>
      <c r="AN539" s="2322"/>
      <c r="AO539" s="2322"/>
      <c r="AP539" s="2322"/>
      <c r="AQ539" s="2322"/>
      <c r="AR539" s="2322"/>
      <c r="AS539" s="2322"/>
      <c r="AT539" s="2322"/>
      <c r="AU539" s="2322"/>
      <c r="AV539" s="2322"/>
      <c r="AW539" s="2322"/>
      <c r="AX539" s="2322"/>
      <c r="AY539" s="2322"/>
      <c r="AZ539" s="2322"/>
      <c r="BA539" s="2322"/>
      <c r="BB539" s="2322"/>
      <c r="BC539" s="2322"/>
      <c r="BD539" s="2322"/>
      <c r="BE539" s="2322"/>
      <c r="BF539" s="2322"/>
      <c r="BG539" s="2322"/>
      <c r="BH539" s="2322"/>
      <c r="BI539" s="2322"/>
      <c r="BJ539" s="2322"/>
      <c r="BK539" s="2322"/>
      <c r="BL539" s="2322"/>
      <c r="BM539" s="2322"/>
      <c r="BN539" s="2322"/>
      <c r="BO539" s="2322"/>
      <c r="BP539" s="2322"/>
      <c r="BQ539" s="2322"/>
      <c r="BR539" s="2322"/>
      <c r="BS539" s="2322"/>
      <c r="BT539" s="2322"/>
      <c r="BU539" s="2322"/>
      <c r="BV539" s="2322"/>
      <c r="BW539" s="2322"/>
      <c r="BX539" s="2322"/>
      <c r="BY539" s="2322"/>
      <c r="BZ539" s="2322"/>
      <c r="CA539" s="2322"/>
      <c r="CB539" s="2322"/>
      <c r="CC539" s="2322"/>
      <c r="CD539" s="2322"/>
      <c r="CE539" s="2322"/>
      <c r="CF539" s="2322"/>
      <c r="CG539" s="2322"/>
      <c r="CH539" s="2322"/>
      <c r="CI539" s="2322"/>
      <c r="CJ539" s="2322"/>
      <c r="CK539" s="2322"/>
      <c r="CL539" s="2322"/>
      <c r="CM539" s="2322"/>
      <c r="CN539" s="2322"/>
      <c r="CO539" s="2322"/>
      <c r="CP539" s="2322"/>
      <c r="CQ539" s="2322"/>
      <c r="CR539" s="2322"/>
      <c r="CS539" s="2322"/>
      <c r="CT539" s="2322"/>
      <c r="CU539" s="2322"/>
      <c r="CV539" s="2322"/>
    </row>
    <row r="540" spans="1:100" ht="15.75" customHeight="1">
      <c r="A540" s="2328"/>
      <c r="B540" s="2322"/>
      <c r="C540" s="2322"/>
      <c r="D540" s="2322"/>
      <c r="E540" s="2322"/>
      <c r="F540" s="2322"/>
      <c r="G540" s="2322"/>
      <c r="H540" s="2322"/>
      <c r="I540" s="2322"/>
      <c r="J540" s="2322"/>
      <c r="K540" s="2322"/>
      <c r="L540" s="2322"/>
      <c r="M540" s="2322"/>
      <c r="N540" s="2322"/>
      <c r="O540" s="2322"/>
      <c r="P540" s="2322"/>
      <c r="Q540" s="2322"/>
      <c r="R540" s="2322"/>
      <c r="S540" s="2322"/>
      <c r="T540" s="2322"/>
      <c r="U540" s="2322"/>
      <c r="V540" s="2322"/>
      <c r="W540" s="2322"/>
      <c r="X540" s="2322"/>
      <c r="Y540" s="2322"/>
      <c r="Z540" s="2322"/>
      <c r="AA540" s="2322"/>
      <c r="AB540" s="2322"/>
      <c r="AC540" s="2322"/>
      <c r="AD540" s="2322"/>
      <c r="AE540" s="2322"/>
      <c r="AF540" s="2322"/>
      <c r="AG540" s="2322"/>
      <c r="AH540" s="2322"/>
      <c r="AI540" s="2322"/>
      <c r="AJ540" s="2322"/>
      <c r="AK540" s="2322"/>
      <c r="AL540" s="2322"/>
      <c r="AM540" s="2322"/>
      <c r="AN540" s="2322"/>
      <c r="AO540" s="2322"/>
      <c r="AP540" s="2322"/>
      <c r="AQ540" s="2322"/>
      <c r="AR540" s="2322"/>
      <c r="AS540" s="2322"/>
      <c r="AT540" s="2322"/>
      <c r="AU540" s="2322"/>
      <c r="AV540" s="2322"/>
      <c r="AW540" s="2322"/>
      <c r="AX540" s="2322"/>
      <c r="AY540" s="2322"/>
      <c r="AZ540" s="2322"/>
      <c r="BA540" s="2322"/>
      <c r="BB540" s="2322"/>
      <c r="BC540" s="2322"/>
      <c r="BD540" s="2322"/>
      <c r="BE540" s="2322"/>
      <c r="BF540" s="2322"/>
      <c r="BG540" s="2322"/>
      <c r="BH540" s="2322"/>
      <c r="BI540" s="2322"/>
      <c r="BJ540" s="2322"/>
      <c r="BK540" s="2322"/>
      <c r="BL540" s="2322"/>
      <c r="BM540" s="2322"/>
      <c r="BN540" s="2322"/>
      <c r="BO540" s="2322"/>
      <c r="BP540" s="2322"/>
      <c r="BQ540" s="2322"/>
      <c r="BR540" s="2322"/>
      <c r="BS540" s="2322"/>
      <c r="BT540" s="2322"/>
      <c r="BU540" s="2322"/>
      <c r="BV540" s="2322"/>
      <c r="BW540" s="2322"/>
      <c r="BX540" s="2322"/>
      <c r="BY540" s="2322"/>
      <c r="BZ540" s="2322"/>
      <c r="CA540" s="2322"/>
      <c r="CB540" s="2322"/>
      <c r="CC540" s="2322"/>
      <c r="CD540" s="2322"/>
      <c r="CE540" s="2322"/>
      <c r="CF540" s="2322"/>
      <c r="CG540" s="2322"/>
      <c r="CH540" s="2322"/>
      <c r="CI540" s="2322"/>
      <c r="CJ540" s="2322"/>
      <c r="CK540" s="2322"/>
      <c r="CL540" s="2322"/>
      <c r="CM540" s="2322"/>
      <c r="CN540" s="2322"/>
      <c r="CO540" s="2322"/>
      <c r="CP540" s="2322"/>
      <c r="CQ540" s="2322"/>
      <c r="CR540" s="2322"/>
      <c r="CS540" s="2322"/>
      <c r="CT540" s="2322"/>
      <c r="CU540" s="2322"/>
      <c r="CV540" s="2322"/>
    </row>
    <row r="541" spans="1:100" ht="15.75" customHeight="1">
      <c r="A541" s="2328"/>
      <c r="B541" s="2322"/>
      <c r="C541" s="2322"/>
      <c r="D541" s="2322"/>
      <c r="E541" s="2322"/>
      <c r="F541" s="2322"/>
      <c r="G541" s="2322"/>
      <c r="H541" s="2322"/>
      <c r="I541" s="2322"/>
      <c r="J541" s="2322"/>
      <c r="K541" s="2322"/>
      <c r="L541" s="2322"/>
      <c r="M541" s="2322"/>
      <c r="N541" s="2322"/>
      <c r="O541" s="2322"/>
      <c r="P541" s="2322"/>
      <c r="Q541" s="2322"/>
      <c r="R541" s="2322"/>
      <c r="S541" s="2322"/>
      <c r="T541" s="2322"/>
      <c r="U541" s="2322"/>
      <c r="V541" s="2322"/>
      <c r="W541" s="2322"/>
      <c r="X541" s="2322"/>
      <c r="Y541" s="2322"/>
      <c r="Z541" s="2322"/>
      <c r="AA541" s="2322"/>
      <c r="AB541" s="2322"/>
      <c r="AC541" s="2322"/>
      <c r="AD541" s="2322"/>
      <c r="AE541" s="2322"/>
      <c r="AF541" s="2322"/>
      <c r="AG541" s="2322"/>
      <c r="AH541" s="2322"/>
      <c r="AI541" s="2322"/>
      <c r="AJ541" s="2322"/>
      <c r="AK541" s="2322"/>
      <c r="AL541" s="2322"/>
      <c r="AM541" s="2322"/>
      <c r="AN541" s="2322"/>
      <c r="AO541" s="2322"/>
      <c r="AP541" s="2322"/>
      <c r="AQ541" s="2322"/>
      <c r="AR541" s="2322"/>
      <c r="AS541" s="2322"/>
      <c r="AT541" s="2322"/>
      <c r="AU541" s="2322"/>
      <c r="AV541" s="2322"/>
      <c r="AW541" s="2322"/>
      <c r="AX541" s="2322"/>
      <c r="AY541" s="2322"/>
      <c r="AZ541" s="2322"/>
      <c r="BA541" s="2322"/>
      <c r="BB541" s="2322"/>
      <c r="BC541" s="2322"/>
      <c r="BD541" s="2322"/>
      <c r="BE541" s="2322"/>
      <c r="BF541" s="2322"/>
      <c r="BG541" s="2322"/>
      <c r="BH541" s="2322"/>
      <c r="BI541" s="2322"/>
      <c r="BJ541" s="2322"/>
      <c r="BK541" s="2322"/>
      <c r="BL541" s="2322"/>
      <c r="BM541" s="2322"/>
      <c r="BN541" s="2322"/>
      <c r="BO541" s="2322"/>
      <c r="BP541" s="2322"/>
      <c r="BQ541" s="2322"/>
      <c r="BR541" s="2322"/>
      <c r="BS541" s="2322"/>
      <c r="BT541" s="2322"/>
      <c r="BU541" s="2322"/>
      <c r="BV541" s="2322"/>
      <c r="BW541" s="2322"/>
      <c r="BX541" s="2322"/>
      <c r="BY541" s="2322"/>
      <c r="BZ541" s="2322"/>
      <c r="CA541" s="2322"/>
      <c r="CB541" s="2322"/>
      <c r="CC541" s="2322"/>
      <c r="CD541" s="2322"/>
      <c r="CE541" s="2322"/>
      <c r="CF541" s="2322"/>
      <c r="CG541" s="2322"/>
      <c r="CH541" s="2322"/>
      <c r="CI541" s="2322"/>
      <c r="CJ541" s="2322"/>
      <c r="CK541" s="2322"/>
      <c r="CL541" s="2322"/>
      <c r="CM541" s="2322"/>
      <c r="CN541" s="2322"/>
      <c r="CO541" s="2322"/>
      <c r="CP541" s="2322"/>
      <c r="CQ541" s="2322"/>
      <c r="CR541" s="2322"/>
      <c r="CS541" s="2322"/>
      <c r="CT541" s="2322"/>
      <c r="CU541" s="2322"/>
      <c r="CV541" s="2322"/>
    </row>
    <row r="542" spans="1:100" ht="15.75" customHeight="1">
      <c r="A542" s="2328"/>
      <c r="B542" s="2322"/>
      <c r="C542" s="2322"/>
      <c r="D542" s="2322"/>
      <c r="E542" s="2322"/>
      <c r="F542" s="2322"/>
      <c r="G542" s="2322"/>
      <c r="H542" s="2322"/>
      <c r="I542" s="2322"/>
      <c r="J542" s="2322"/>
      <c r="K542" s="2322"/>
      <c r="L542" s="2322"/>
      <c r="M542" s="2322"/>
      <c r="N542" s="2322"/>
      <c r="O542" s="2322"/>
      <c r="P542" s="2322"/>
      <c r="Q542" s="2322"/>
      <c r="R542" s="2322"/>
      <c r="S542" s="2322"/>
      <c r="T542" s="2322"/>
      <c r="U542" s="2322"/>
      <c r="V542" s="2322"/>
      <c r="W542" s="2322"/>
      <c r="X542" s="2322"/>
      <c r="Y542" s="2322"/>
      <c r="Z542" s="2322"/>
      <c r="AA542" s="2322"/>
      <c r="AB542" s="2322"/>
      <c r="AC542" s="2322"/>
      <c r="AD542" s="2322"/>
      <c r="AE542" s="2322"/>
      <c r="AF542" s="2322"/>
      <c r="AG542" s="2322"/>
      <c r="AH542" s="2322"/>
      <c r="AI542" s="2322"/>
      <c r="AJ542" s="2322"/>
      <c r="AK542" s="2322"/>
      <c r="AL542" s="2322"/>
      <c r="AM542" s="2322"/>
      <c r="AN542" s="2322"/>
      <c r="AO542" s="2322"/>
      <c r="AP542" s="2322"/>
      <c r="AQ542" s="2322"/>
      <c r="AR542" s="2322"/>
      <c r="AS542" s="2322"/>
      <c r="AT542" s="2322"/>
      <c r="AU542" s="2322"/>
      <c r="AV542" s="2322"/>
      <c r="AW542" s="2322"/>
      <c r="AX542" s="2322"/>
      <c r="AY542" s="2322"/>
      <c r="AZ542" s="2322"/>
      <c r="BA542" s="2322"/>
      <c r="BB542" s="2322"/>
      <c r="BC542" s="2322"/>
      <c r="BD542" s="2322"/>
      <c r="BE542" s="2322"/>
      <c r="BF542" s="2322"/>
      <c r="BG542" s="2322"/>
      <c r="BH542" s="2322"/>
      <c r="BI542" s="2322"/>
      <c r="BJ542" s="2322"/>
      <c r="BK542" s="2322"/>
      <c r="BL542" s="2322"/>
      <c r="BM542" s="2322"/>
      <c r="BN542" s="2322"/>
      <c r="BO542" s="2322"/>
      <c r="BP542" s="2322"/>
      <c r="BQ542" s="2322"/>
      <c r="BR542" s="2322"/>
      <c r="BS542" s="2322"/>
      <c r="BT542" s="2322"/>
      <c r="BU542" s="2322"/>
      <c r="BV542" s="2322"/>
      <c r="BW542" s="2322"/>
      <c r="BX542" s="2322"/>
      <c r="BY542" s="2322"/>
      <c r="BZ542" s="2322"/>
      <c r="CA542" s="2322"/>
      <c r="CB542" s="2322"/>
      <c r="CC542" s="2322"/>
      <c r="CD542" s="2322"/>
      <c r="CE542" s="2322"/>
      <c r="CF542" s="2322"/>
      <c r="CG542" s="2322"/>
      <c r="CH542" s="2322"/>
      <c r="CI542" s="2322"/>
      <c r="CJ542" s="2322"/>
      <c r="CK542" s="2322"/>
      <c r="CL542" s="2322"/>
      <c r="CM542" s="2322"/>
      <c r="CN542" s="2322"/>
      <c r="CO542" s="2322"/>
      <c r="CP542" s="2322"/>
      <c r="CQ542" s="2322"/>
      <c r="CR542" s="2322"/>
      <c r="CS542" s="2322"/>
      <c r="CT542" s="2322"/>
      <c r="CU542" s="2322"/>
      <c r="CV542" s="2322"/>
    </row>
    <row r="543" spans="1:100" ht="15.75" customHeight="1">
      <c r="A543" s="2328"/>
      <c r="B543" s="2322"/>
      <c r="C543" s="2322"/>
      <c r="D543" s="2322"/>
      <c r="E543" s="2322"/>
      <c r="F543" s="2322"/>
      <c r="G543" s="2322"/>
      <c r="H543" s="2322"/>
      <c r="I543" s="2322"/>
      <c r="J543" s="2322"/>
      <c r="K543" s="2322"/>
      <c r="L543" s="2322"/>
      <c r="M543" s="2322"/>
      <c r="N543" s="2322"/>
      <c r="O543" s="2322"/>
      <c r="P543" s="2322"/>
      <c r="Q543" s="2322"/>
      <c r="R543" s="2322"/>
      <c r="S543" s="2322"/>
      <c r="T543" s="2322"/>
      <c r="U543" s="2322"/>
      <c r="V543" s="2322"/>
      <c r="W543" s="2322"/>
      <c r="X543" s="2322"/>
      <c r="Y543" s="2322"/>
      <c r="Z543" s="2322"/>
      <c r="AA543" s="2322"/>
      <c r="AB543" s="2322"/>
      <c r="AC543" s="2322"/>
      <c r="AD543" s="2322"/>
      <c r="AE543" s="2322"/>
      <c r="AF543" s="2322"/>
      <c r="AG543" s="2322"/>
      <c r="AH543" s="2322"/>
      <c r="AI543" s="2322"/>
      <c r="AJ543" s="2322"/>
      <c r="AK543" s="2322"/>
      <c r="AL543" s="2322"/>
      <c r="AM543" s="2322"/>
      <c r="AN543" s="2322"/>
      <c r="AO543" s="2322"/>
      <c r="AP543" s="2322"/>
      <c r="AQ543" s="2322"/>
      <c r="AR543" s="2322"/>
      <c r="AS543" s="2322"/>
      <c r="AT543" s="2322"/>
      <c r="AU543" s="2322"/>
      <c r="AV543" s="2322"/>
      <c r="AW543" s="2322"/>
      <c r="AX543" s="2322"/>
      <c r="AY543" s="2322"/>
      <c r="AZ543" s="2322"/>
      <c r="BA543" s="2322"/>
      <c r="BB543" s="2322"/>
      <c r="BC543" s="2322"/>
      <c r="BD543" s="2322"/>
      <c r="BE543" s="2322"/>
      <c r="BF543" s="2322"/>
      <c r="BG543" s="2322"/>
      <c r="BH543" s="2322"/>
      <c r="BI543" s="2322"/>
      <c r="BJ543" s="2322"/>
      <c r="BK543" s="2322"/>
      <c r="BL543" s="2322"/>
      <c r="BM543" s="2322"/>
      <c r="BN543" s="2322"/>
      <c r="BO543" s="2322"/>
      <c r="BP543" s="2322"/>
      <c r="BQ543" s="2322"/>
      <c r="BR543" s="2322"/>
      <c r="BS543" s="2322"/>
      <c r="BT543" s="2322"/>
      <c r="BU543" s="2322"/>
      <c r="BV543" s="2322"/>
      <c r="BW543" s="2322"/>
      <c r="BX543" s="2322"/>
      <c r="BY543" s="2322"/>
      <c r="BZ543" s="2322"/>
      <c r="CA543" s="2322"/>
      <c r="CB543" s="2322"/>
      <c r="CC543" s="2322"/>
      <c r="CD543" s="2322"/>
      <c r="CE543" s="2322"/>
      <c r="CF543" s="2322"/>
      <c r="CG543" s="2322"/>
      <c r="CH543" s="2322"/>
      <c r="CI543" s="2322"/>
      <c r="CJ543" s="2322"/>
      <c r="CK543" s="2322"/>
      <c r="CL543" s="2322"/>
      <c r="CM543" s="2322"/>
      <c r="CN543" s="2322"/>
      <c r="CO543" s="2322"/>
      <c r="CP543" s="2322"/>
      <c r="CQ543" s="2322"/>
      <c r="CR543" s="2322"/>
      <c r="CS543" s="2322"/>
      <c r="CT543" s="2322"/>
      <c r="CU543" s="2322"/>
      <c r="CV543" s="2322"/>
    </row>
    <row r="544" spans="1:100" ht="15.75" customHeight="1">
      <c r="A544" s="2328"/>
      <c r="B544" s="2322"/>
      <c r="C544" s="2322"/>
      <c r="D544" s="2322"/>
      <c r="E544" s="2322"/>
      <c r="F544" s="2322"/>
      <c r="G544" s="2322"/>
      <c r="H544" s="2322"/>
      <c r="I544" s="2322"/>
      <c r="J544" s="2322"/>
      <c r="K544" s="2322"/>
      <c r="L544" s="2322"/>
      <c r="M544" s="2322"/>
      <c r="N544" s="2322"/>
      <c r="O544" s="2322"/>
      <c r="P544" s="2322"/>
      <c r="Q544" s="2322"/>
      <c r="R544" s="2322"/>
      <c r="S544" s="2322"/>
      <c r="T544" s="2322"/>
      <c r="U544" s="2322"/>
      <c r="V544" s="2322"/>
      <c r="W544" s="2322"/>
      <c r="X544" s="2322"/>
      <c r="Y544" s="2322"/>
      <c r="Z544" s="2322"/>
      <c r="AA544" s="2322"/>
      <c r="AB544" s="2322"/>
      <c r="AC544" s="2322"/>
      <c r="AD544" s="2322"/>
      <c r="AE544" s="2322"/>
      <c r="AF544" s="2322"/>
      <c r="AG544" s="2322"/>
      <c r="AH544" s="2322"/>
      <c r="AI544" s="2322"/>
      <c r="AJ544" s="2322"/>
      <c r="AK544" s="2322"/>
      <c r="AL544" s="2322"/>
      <c r="AM544" s="2322"/>
      <c r="AN544" s="2322"/>
      <c r="AO544" s="2322"/>
      <c r="AP544" s="2322"/>
      <c r="AQ544" s="2322"/>
      <c r="AR544" s="2322"/>
      <c r="AS544" s="2322"/>
      <c r="AT544" s="2322"/>
      <c r="AU544" s="2322"/>
      <c r="AV544" s="2322"/>
      <c r="AW544" s="2322"/>
      <c r="AX544" s="2322"/>
      <c r="AY544" s="2322"/>
      <c r="AZ544" s="2322"/>
      <c r="BA544" s="2322"/>
      <c r="BB544" s="2322"/>
      <c r="BC544" s="2322"/>
      <c r="BD544" s="2322"/>
      <c r="BE544" s="2322"/>
      <c r="BF544" s="2322"/>
      <c r="BG544" s="2322"/>
      <c r="BH544" s="2322"/>
      <c r="BI544" s="2322"/>
      <c r="BJ544" s="2322"/>
      <c r="BK544" s="2322"/>
      <c r="BL544" s="2322"/>
      <c r="BM544" s="2322"/>
      <c r="BN544" s="2322"/>
      <c r="BO544" s="2322"/>
      <c r="BP544" s="2322"/>
      <c r="BQ544" s="2322"/>
      <c r="BR544" s="2322"/>
      <c r="BS544" s="2322"/>
      <c r="BT544" s="2322"/>
      <c r="BU544" s="2322"/>
      <c r="BV544" s="2322"/>
      <c r="BW544" s="2322"/>
      <c r="BX544" s="2322"/>
      <c r="BY544" s="2322"/>
      <c r="BZ544" s="2322"/>
      <c r="CA544" s="2322"/>
      <c r="CB544" s="2322"/>
      <c r="CC544" s="2322"/>
      <c r="CD544" s="2322"/>
      <c r="CE544" s="2322"/>
      <c r="CF544" s="2322"/>
      <c r="CG544" s="2322"/>
      <c r="CH544" s="2322"/>
      <c r="CI544" s="2322"/>
      <c r="CJ544" s="2322"/>
      <c r="CK544" s="2322"/>
      <c r="CL544" s="2322"/>
      <c r="CM544" s="2322"/>
      <c r="CN544" s="2322"/>
      <c r="CO544" s="2322"/>
      <c r="CP544" s="2322"/>
      <c r="CQ544" s="2322"/>
      <c r="CR544" s="2322"/>
      <c r="CS544" s="2322"/>
      <c r="CT544" s="2322"/>
      <c r="CU544" s="2322"/>
      <c r="CV544" s="2322"/>
    </row>
    <row r="545" spans="1:100" ht="15.75" customHeight="1">
      <c r="A545" s="2328"/>
      <c r="B545" s="2322"/>
      <c r="C545" s="2322"/>
      <c r="D545" s="2322"/>
      <c r="E545" s="2322"/>
      <c r="F545" s="2322"/>
      <c r="G545" s="2322"/>
      <c r="H545" s="2322"/>
      <c r="I545" s="2322"/>
      <c r="J545" s="2322"/>
      <c r="K545" s="2322"/>
      <c r="L545" s="2322"/>
      <c r="M545" s="2322"/>
      <c r="N545" s="2322"/>
      <c r="O545" s="2322"/>
      <c r="P545" s="2322"/>
      <c r="Q545" s="2322"/>
      <c r="R545" s="2322"/>
      <c r="S545" s="2322"/>
      <c r="T545" s="2322"/>
      <c r="U545" s="2322"/>
      <c r="V545" s="2322"/>
      <c r="W545" s="2322"/>
      <c r="X545" s="2322"/>
      <c r="Y545" s="2322"/>
      <c r="Z545" s="2322"/>
      <c r="AA545" s="2322"/>
      <c r="AB545" s="2322"/>
      <c r="AC545" s="2322"/>
      <c r="AD545" s="2322"/>
      <c r="AE545" s="2322"/>
      <c r="AF545" s="2322"/>
      <c r="AG545" s="2322"/>
      <c r="AH545" s="2322"/>
      <c r="AI545" s="2322"/>
      <c r="AJ545" s="2322"/>
      <c r="AK545" s="2322"/>
      <c r="AL545" s="2322"/>
      <c r="AM545" s="2322"/>
      <c r="AN545" s="2322"/>
      <c r="AO545" s="2322"/>
      <c r="AP545" s="2322"/>
      <c r="AQ545" s="2322"/>
      <c r="AR545" s="2322"/>
      <c r="AS545" s="2322"/>
      <c r="AT545" s="2322"/>
      <c r="AU545" s="2322"/>
      <c r="AV545" s="2322"/>
      <c r="AW545" s="2322"/>
      <c r="AX545" s="2322"/>
      <c r="AY545" s="2322"/>
      <c r="AZ545" s="2322"/>
      <c r="BA545" s="2322"/>
      <c r="BB545" s="2322"/>
      <c r="BC545" s="2322"/>
      <c r="BD545" s="2322"/>
      <c r="BE545" s="2322"/>
      <c r="BF545" s="2322"/>
      <c r="BG545" s="2322"/>
      <c r="BH545" s="2322"/>
      <c r="BI545" s="2322"/>
      <c r="BJ545" s="2322"/>
      <c r="BK545" s="2322"/>
      <c r="BL545" s="2322"/>
      <c r="BM545" s="2322"/>
      <c r="BN545" s="2322"/>
      <c r="BO545" s="2322"/>
      <c r="BP545" s="2322"/>
      <c r="BQ545" s="2322"/>
      <c r="BR545" s="2322"/>
      <c r="BS545" s="2322"/>
      <c r="BT545" s="2322"/>
      <c r="BU545" s="2322"/>
      <c r="BV545" s="2322"/>
      <c r="BW545" s="2322"/>
      <c r="BX545" s="2322"/>
      <c r="BY545" s="2322"/>
      <c r="BZ545" s="2322"/>
      <c r="CA545" s="2322"/>
      <c r="CB545" s="2322"/>
      <c r="CC545" s="2322"/>
      <c r="CD545" s="2322"/>
      <c r="CE545" s="2322"/>
      <c r="CF545" s="2322"/>
      <c r="CG545" s="2322"/>
      <c r="CH545" s="2322"/>
      <c r="CI545" s="2322"/>
      <c r="CJ545" s="2322"/>
      <c r="CK545" s="2322"/>
      <c r="CL545" s="2322"/>
      <c r="CM545" s="2322"/>
      <c r="CN545" s="2322"/>
      <c r="CO545" s="2322"/>
      <c r="CP545" s="2322"/>
      <c r="CQ545" s="2322"/>
      <c r="CR545" s="2322"/>
      <c r="CS545" s="2322"/>
      <c r="CT545" s="2322"/>
      <c r="CU545" s="2322"/>
      <c r="CV545" s="2322"/>
    </row>
    <row r="546" spans="1:100" ht="15.75" customHeight="1">
      <c r="A546" s="2328"/>
      <c r="B546" s="2322"/>
      <c r="C546" s="2322"/>
      <c r="D546" s="2322"/>
      <c r="E546" s="2322"/>
      <c r="F546" s="2322"/>
      <c r="G546" s="2322"/>
      <c r="H546" s="2322"/>
      <c r="I546" s="2322"/>
      <c r="J546" s="2322"/>
      <c r="K546" s="2322"/>
      <c r="L546" s="2322"/>
      <c r="M546" s="2322"/>
      <c r="N546" s="2322"/>
      <c r="O546" s="2322"/>
      <c r="P546" s="2322"/>
      <c r="Q546" s="2322"/>
      <c r="R546" s="2322"/>
      <c r="S546" s="2322"/>
      <c r="T546" s="2322"/>
      <c r="U546" s="2322"/>
      <c r="V546" s="2322"/>
      <c r="W546" s="2322"/>
      <c r="X546" s="2322"/>
      <c r="Y546" s="2322"/>
      <c r="Z546" s="2322"/>
      <c r="AA546" s="2322"/>
      <c r="AB546" s="2322"/>
      <c r="AC546" s="2322"/>
      <c r="AD546" s="2322"/>
      <c r="AE546" s="2322"/>
      <c r="AF546" s="2322"/>
      <c r="AG546" s="2322"/>
      <c r="AH546" s="2322"/>
      <c r="AI546" s="2322"/>
      <c r="AJ546" s="2322"/>
      <c r="AK546" s="2322"/>
      <c r="AL546" s="2322"/>
      <c r="AM546" s="2322"/>
      <c r="AN546" s="2322"/>
      <c r="AO546" s="2322"/>
      <c r="AP546" s="2322"/>
      <c r="AQ546" s="2322"/>
      <c r="AR546" s="2322"/>
      <c r="AS546" s="2322"/>
      <c r="AT546" s="2322"/>
      <c r="AU546" s="2322"/>
      <c r="AV546" s="2322"/>
      <c r="AW546" s="2322"/>
      <c r="AX546" s="2322"/>
      <c r="AY546" s="2322"/>
      <c r="AZ546" s="2322"/>
      <c r="BA546" s="2322"/>
      <c r="BB546" s="2322"/>
      <c r="BC546" s="2322"/>
      <c r="BD546" s="2322"/>
      <c r="BE546" s="2322"/>
      <c r="BF546" s="2322"/>
      <c r="BG546" s="2322"/>
      <c r="BH546" s="2322"/>
      <c r="BI546" s="2322"/>
      <c r="BJ546" s="2322"/>
      <c r="BK546" s="2322"/>
      <c r="BL546" s="2322"/>
      <c r="BM546" s="2322"/>
      <c r="BN546" s="2322"/>
      <c r="BO546" s="2322"/>
      <c r="BP546" s="2322"/>
      <c r="BQ546" s="2322"/>
      <c r="BR546" s="2322"/>
      <c r="BS546" s="2322"/>
      <c r="BT546" s="2322"/>
      <c r="BU546" s="2322"/>
      <c r="BV546" s="2322"/>
      <c r="BW546" s="2322"/>
      <c r="BX546" s="2322"/>
      <c r="BY546" s="2322"/>
      <c r="BZ546" s="2322"/>
      <c r="CA546" s="2322"/>
      <c r="CB546" s="2322"/>
      <c r="CC546" s="2322"/>
      <c r="CD546" s="2322"/>
      <c r="CE546" s="2322"/>
      <c r="CF546" s="2322"/>
      <c r="CG546" s="2322"/>
      <c r="CH546" s="2322"/>
      <c r="CI546" s="2322"/>
      <c r="CJ546" s="2322"/>
      <c r="CK546" s="2322"/>
      <c r="CL546" s="2322"/>
      <c r="CM546" s="2322"/>
      <c r="CN546" s="2322"/>
      <c r="CO546" s="2322"/>
      <c r="CP546" s="2322"/>
      <c r="CQ546" s="2322"/>
      <c r="CR546" s="2322"/>
      <c r="CS546" s="2322"/>
      <c r="CT546" s="2322"/>
      <c r="CU546" s="2322"/>
      <c r="CV546" s="2322"/>
    </row>
    <row r="547" spans="1:100" ht="15.75" customHeight="1">
      <c r="A547" s="2328"/>
      <c r="B547" s="2322"/>
      <c r="C547" s="2322"/>
      <c r="D547" s="2322"/>
      <c r="E547" s="2322"/>
      <c r="F547" s="2322"/>
      <c r="G547" s="2322"/>
      <c r="H547" s="2322"/>
      <c r="I547" s="2322"/>
      <c r="J547" s="2322"/>
      <c r="K547" s="2322"/>
      <c r="L547" s="2322"/>
      <c r="M547" s="2322"/>
      <c r="N547" s="2322"/>
      <c r="O547" s="2322"/>
      <c r="P547" s="2322"/>
      <c r="Q547" s="2322"/>
      <c r="R547" s="2322"/>
      <c r="S547" s="2322"/>
      <c r="T547" s="2322"/>
      <c r="U547" s="2322"/>
      <c r="V547" s="2322"/>
      <c r="W547" s="2322"/>
      <c r="X547" s="2322"/>
      <c r="Y547" s="2322"/>
      <c r="Z547" s="2322"/>
      <c r="AA547" s="2322"/>
      <c r="AB547" s="2322"/>
      <c r="AC547" s="2322"/>
      <c r="AD547" s="2322"/>
      <c r="AE547" s="2322"/>
      <c r="AF547" s="2322"/>
      <c r="AG547" s="2322"/>
      <c r="AH547" s="2322"/>
      <c r="AI547" s="2322"/>
      <c r="AJ547" s="2322"/>
      <c r="AK547" s="2322"/>
      <c r="AL547" s="2322"/>
      <c r="AM547" s="2322"/>
      <c r="AN547" s="2322"/>
      <c r="AO547" s="2322"/>
      <c r="AP547" s="2322"/>
      <c r="AQ547" s="2322"/>
      <c r="AR547" s="2322"/>
      <c r="AS547" s="2322"/>
      <c r="AT547" s="2322"/>
      <c r="AU547" s="2322"/>
      <c r="AV547" s="2322"/>
      <c r="AW547" s="2322"/>
      <c r="AX547" s="2322"/>
      <c r="AY547" s="2322"/>
      <c r="AZ547" s="2322"/>
      <c r="BA547" s="2322"/>
      <c r="BB547" s="2322"/>
      <c r="BC547" s="2322"/>
      <c r="BD547" s="2322"/>
      <c r="BE547" s="2322"/>
      <c r="BF547" s="2322"/>
      <c r="BG547" s="2322"/>
      <c r="BH547" s="2322"/>
      <c r="BI547" s="2322"/>
      <c r="BJ547" s="2322"/>
      <c r="BK547" s="2322"/>
      <c r="BL547" s="2322"/>
      <c r="BM547" s="2322"/>
      <c r="BN547" s="2322"/>
      <c r="BO547" s="2322"/>
      <c r="BP547" s="2322"/>
      <c r="BQ547" s="2322"/>
      <c r="BR547" s="2322"/>
      <c r="BS547" s="2322"/>
      <c r="BT547" s="2322"/>
      <c r="BU547" s="2322"/>
      <c r="BV547" s="2322"/>
      <c r="BW547" s="2322"/>
      <c r="BX547" s="2322"/>
      <c r="BY547" s="2322"/>
      <c r="BZ547" s="2322"/>
      <c r="CA547" s="2322"/>
      <c r="CB547" s="2322"/>
      <c r="CC547" s="2322"/>
      <c r="CD547" s="2322"/>
      <c r="CE547" s="2322"/>
      <c r="CF547" s="2322"/>
      <c r="CG547" s="2322"/>
      <c r="CH547" s="2322"/>
      <c r="CI547" s="2322"/>
      <c r="CJ547" s="2322"/>
      <c r="CK547" s="2322"/>
      <c r="CL547" s="2322"/>
      <c r="CM547" s="2322"/>
      <c r="CN547" s="2322"/>
      <c r="CO547" s="2322"/>
      <c r="CP547" s="2322"/>
      <c r="CQ547" s="2322"/>
      <c r="CR547" s="2322"/>
      <c r="CS547" s="2322"/>
      <c r="CT547" s="2322"/>
      <c r="CU547" s="2322"/>
      <c r="CV547" s="2322"/>
    </row>
    <row r="548" spans="1:100" ht="15.75" customHeight="1">
      <c r="A548" s="2328"/>
      <c r="B548" s="2322"/>
      <c r="C548" s="2322"/>
      <c r="D548" s="2322"/>
      <c r="E548" s="2322"/>
      <c r="F548" s="2322"/>
      <c r="G548" s="2322"/>
      <c r="H548" s="2322"/>
      <c r="I548" s="2322"/>
      <c r="J548" s="2322"/>
      <c r="K548" s="2322"/>
      <c r="L548" s="2322"/>
      <c r="M548" s="2322"/>
      <c r="N548" s="2322"/>
      <c r="O548" s="2322"/>
      <c r="P548" s="2322"/>
      <c r="Q548" s="2322"/>
      <c r="R548" s="2322"/>
      <c r="S548" s="2322"/>
      <c r="T548" s="2322"/>
      <c r="U548" s="2322"/>
      <c r="V548" s="2322"/>
      <c r="W548" s="2322"/>
      <c r="X548" s="2322"/>
      <c r="Y548" s="2322"/>
      <c r="Z548" s="2322"/>
      <c r="AA548" s="2322"/>
      <c r="AB548" s="2322"/>
      <c r="AC548" s="2322"/>
      <c r="AD548" s="2322"/>
      <c r="AE548" s="2322"/>
      <c r="AF548" s="2322"/>
      <c r="AG548" s="2322"/>
      <c r="AH548" s="2322"/>
      <c r="AI548" s="2322"/>
      <c r="AJ548" s="2322"/>
      <c r="AK548" s="2322"/>
      <c r="AL548" s="2322"/>
      <c r="AM548" s="2322"/>
      <c r="AN548" s="2322"/>
      <c r="AO548" s="2322"/>
      <c r="AP548" s="2322"/>
      <c r="AQ548" s="2322"/>
      <c r="AR548" s="2322"/>
      <c r="AS548" s="2322"/>
      <c r="AT548" s="2322"/>
      <c r="AU548" s="2322"/>
      <c r="AV548" s="2322"/>
      <c r="AW548" s="2322"/>
      <c r="AX548" s="2322"/>
      <c r="AY548" s="2322"/>
      <c r="AZ548" s="2322"/>
      <c r="BA548" s="2322"/>
      <c r="BB548" s="2322"/>
      <c r="BC548" s="2322"/>
      <c r="BD548" s="2322"/>
      <c r="BE548" s="2322"/>
      <c r="BF548" s="2322"/>
      <c r="BG548" s="2322"/>
      <c r="BH548" s="2322"/>
      <c r="BI548" s="2322"/>
      <c r="BJ548" s="2322"/>
      <c r="BK548" s="2322"/>
      <c r="BL548" s="2322"/>
      <c r="BM548" s="2322"/>
      <c r="BN548" s="2322"/>
      <c r="BO548" s="2322"/>
      <c r="BP548" s="2322"/>
      <c r="BQ548" s="2322"/>
      <c r="BR548" s="2322"/>
      <c r="BS548" s="2322"/>
      <c r="BT548" s="2322"/>
      <c r="BU548" s="2322"/>
      <c r="BV548" s="2322"/>
      <c r="BW548" s="2322"/>
      <c r="BX548" s="2322"/>
      <c r="BY548" s="2322"/>
      <c r="BZ548" s="2322"/>
      <c r="CA548" s="2322"/>
      <c r="CB548" s="2322"/>
      <c r="CC548" s="2322"/>
      <c r="CD548" s="2322"/>
      <c r="CE548" s="2322"/>
      <c r="CF548" s="2322"/>
      <c r="CG548" s="2322"/>
      <c r="CH548" s="2322"/>
      <c r="CI548" s="2322"/>
      <c r="CJ548" s="2322"/>
      <c r="CK548" s="2322"/>
      <c r="CL548" s="2322"/>
      <c r="CM548" s="2322"/>
      <c r="CN548" s="2322"/>
      <c r="CO548" s="2322"/>
      <c r="CP548" s="2322"/>
      <c r="CQ548" s="2322"/>
      <c r="CR548" s="2322"/>
      <c r="CS548" s="2322"/>
      <c r="CT548" s="2322"/>
      <c r="CU548" s="2322"/>
      <c r="CV548" s="2322"/>
    </row>
    <row r="549" spans="1:100" ht="15.75" customHeight="1">
      <c r="A549" s="2328"/>
      <c r="B549" s="2322"/>
      <c r="C549" s="2322"/>
      <c r="D549" s="2322"/>
      <c r="E549" s="2322"/>
      <c r="F549" s="2322"/>
      <c r="G549" s="2322"/>
      <c r="H549" s="2322"/>
      <c r="I549" s="2322"/>
      <c r="J549" s="2322"/>
      <c r="K549" s="2322"/>
      <c r="L549" s="2322"/>
      <c r="M549" s="2322"/>
      <c r="N549" s="2322"/>
      <c r="O549" s="2322"/>
      <c r="P549" s="2322"/>
      <c r="Q549" s="2322"/>
      <c r="R549" s="2322"/>
      <c r="S549" s="2322"/>
      <c r="T549" s="2322"/>
      <c r="U549" s="2322"/>
      <c r="V549" s="2322"/>
      <c r="W549" s="2322"/>
      <c r="X549" s="2322"/>
      <c r="Y549" s="2322"/>
      <c r="Z549" s="2322"/>
      <c r="AA549" s="2322"/>
      <c r="AB549" s="2322"/>
      <c r="AC549" s="2322"/>
      <c r="AD549" s="2322"/>
      <c r="AE549" s="2322"/>
      <c r="AF549" s="2322"/>
      <c r="AG549" s="2322"/>
      <c r="AH549" s="2322"/>
      <c r="AI549" s="2322"/>
      <c r="AJ549" s="2322"/>
      <c r="AK549" s="2322"/>
      <c r="AL549" s="2322"/>
      <c r="AM549" s="2322"/>
      <c r="AN549" s="2322"/>
      <c r="AO549" s="2322"/>
      <c r="AP549" s="2322"/>
      <c r="AQ549" s="2322"/>
      <c r="AR549" s="2322"/>
      <c r="AS549" s="2322"/>
      <c r="AT549" s="2322"/>
      <c r="AU549" s="2322"/>
      <c r="AV549" s="2322"/>
      <c r="AW549" s="2322"/>
      <c r="AX549" s="2322"/>
      <c r="AY549" s="2322"/>
      <c r="AZ549" s="2322"/>
      <c r="BA549" s="2322"/>
      <c r="BB549" s="2322"/>
      <c r="BC549" s="2322"/>
      <c r="BD549" s="2322"/>
      <c r="BE549" s="2322"/>
      <c r="BF549" s="2322"/>
      <c r="BG549" s="2322"/>
      <c r="BH549" s="2322"/>
      <c r="BI549" s="2322"/>
      <c r="BJ549" s="2322"/>
      <c r="BK549" s="2322"/>
      <c r="BL549" s="2322"/>
      <c r="BM549" s="2322"/>
      <c r="BN549" s="2322"/>
      <c r="BO549" s="2322"/>
      <c r="BP549" s="2322"/>
      <c r="BQ549" s="2322"/>
      <c r="BR549" s="2322"/>
      <c r="BS549" s="2322"/>
      <c r="BT549" s="2322"/>
      <c r="BU549" s="2322"/>
      <c r="BV549" s="2322"/>
      <c r="BW549" s="2322"/>
      <c r="BX549" s="2322"/>
      <c r="BY549" s="2322"/>
      <c r="BZ549" s="2322"/>
      <c r="CA549" s="2322"/>
      <c r="CB549" s="2322"/>
      <c r="CC549" s="2322"/>
      <c r="CD549" s="2322"/>
      <c r="CE549" s="2322"/>
      <c r="CF549" s="2322"/>
      <c r="CG549" s="2322"/>
      <c r="CH549" s="2322"/>
      <c r="CI549" s="2322"/>
      <c r="CJ549" s="2322"/>
      <c r="CK549" s="2322"/>
      <c r="CL549" s="2322"/>
      <c r="CM549" s="2322"/>
      <c r="CN549" s="2322"/>
      <c r="CO549" s="2322"/>
      <c r="CP549" s="2322"/>
      <c r="CQ549" s="2322"/>
      <c r="CR549" s="2322"/>
      <c r="CS549" s="2322"/>
      <c r="CT549" s="2322"/>
      <c r="CU549" s="2322"/>
      <c r="CV549" s="2322"/>
    </row>
    <row r="550" spans="1:100" ht="15.75" customHeight="1">
      <c r="A550" s="2328"/>
      <c r="B550" s="2322"/>
      <c r="C550" s="2322"/>
      <c r="D550" s="2322"/>
      <c r="E550" s="2322"/>
      <c r="F550" s="2322"/>
      <c r="G550" s="2322"/>
      <c r="H550" s="2322"/>
      <c r="I550" s="2322"/>
      <c r="J550" s="2322"/>
      <c r="K550" s="2322"/>
      <c r="L550" s="2322"/>
      <c r="M550" s="2322"/>
      <c r="N550" s="2322"/>
      <c r="O550" s="2322"/>
      <c r="P550" s="2322"/>
      <c r="Q550" s="2322"/>
      <c r="R550" s="2322"/>
      <c r="S550" s="2322"/>
      <c r="T550" s="2322"/>
      <c r="U550" s="2322"/>
      <c r="V550" s="2322"/>
      <c r="W550" s="2322"/>
      <c r="X550" s="2322"/>
      <c r="Y550" s="2322"/>
      <c r="Z550" s="2322"/>
      <c r="AA550" s="2322"/>
      <c r="AB550" s="2322"/>
      <c r="AC550" s="2322"/>
      <c r="AD550" s="2322"/>
      <c r="AE550" s="2322"/>
      <c r="AF550" s="2322"/>
      <c r="AG550" s="2322"/>
      <c r="AH550" s="2322"/>
      <c r="AI550" s="2322"/>
      <c r="AJ550" s="2322"/>
      <c r="AK550" s="2322"/>
      <c r="AL550" s="2322"/>
      <c r="AM550" s="2322"/>
      <c r="AN550" s="2322"/>
      <c r="AO550" s="2322"/>
      <c r="AP550" s="2322"/>
      <c r="AQ550" s="2322"/>
      <c r="AR550" s="2322"/>
      <c r="AS550" s="2322"/>
      <c r="AT550" s="2322"/>
      <c r="AU550" s="2322"/>
      <c r="AV550" s="2322"/>
      <c r="AW550" s="2322"/>
      <c r="AX550" s="2322"/>
      <c r="AY550" s="2322"/>
      <c r="AZ550" s="2322"/>
      <c r="BA550" s="2322"/>
      <c r="BB550" s="2322"/>
      <c r="BC550" s="2322"/>
      <c r="BD550" s="2322"/>
      <c r="BE550" s="2322"/>
      <c r="BF550" s="2322"/>
      <c r="BG550" s="2322"/>
      <c r="BH550" s="2322"/>
      <c r="BI550" s="2322"/>
      <c r="BJ550" s="2322"/>
      <c r="BK550" s="2322"/>
      <c r="BL550" s="2322"/>
      <c r="BM550" s="2322"/>
      <c r="BN550" s="2322"/>
      <c r="BO550" s="2322"/>
      <c r="BP550" s="2322"/>
      <c r="BQ550" s="2322"/>
      <c r="BR550" s="2322"/>
      <c r="BS550" s="2322"/>
      <c r="BT550" s="2322"/>
      <c r="BU550" s="2322"/>
      <c r="BV550" s="2322"/>
      <c r="BW550" s="2322"/>
      <c r="BX550" s="2322"/>
      <c r="BY550" s="2322"/>
      <c r="BZ550" s="2322"/>
      <c r="CA550" s="2322"/>
      <c r="CB550" s="2322"/>
      <c r="CC550" s="2322"/>
      <c r="CD550" s="2322"/>
      <c r="CE550" s="2322"/>
      <c r="CF550" s="2322"/>
      <c r="CG550" s="2322"/>
      <c r="CH550" s="2322"/>
      <c r="CI550" s="2322"/>
      <c r="CJ550" s="2322"/>
      <c r="CK550" s="2322"/>
      <c r="CL550" s="2322"/>
      <c r="CM550" s="2322"/>
      <c r="CN550" s="2322"/>
      <c r="CO550" s="2322"/>
      <c r="CP550" s="2322"/>
      <c r="CQ550" s="2322"/>
      <c r="CR550" s="2322"/>
      <c r="CS550" s="2322"/>
      <c r="CT550" s="2322"/>
      <c r="CU550" s="2322"/>
      <c r="CV550" s="2322"/>
    </row>
    <row r="551" spans="1:100" ht="15.75" customHeight="1">
      <c r="A551" s="2328"/>
      <c r="B551" s="2322"/>
      <c r="C551" s="2322"/>
      <c r="D551" s="2322"/>
      <c r="E551" s="2322"/>
      <c r="F551" s="2322"/>
      <c r="G551" s="2322"/>
      <c r="H551" s="2322"/>
      <c r="I551" s="2322"/>
      <c r="J551" s="2322"/>
      <c r="K551" s="2322"/>
      <c r="L551" s="2322"/>
      <c r="M551" s="2322"/>
      <c r="N551" s="2322"/>
      <c r="O551" s="2322"/>
      <c r="P551" s="2322"/>
      <c r="Q551" s="2322"/>
      <c r="R551" s="2322"/>
      <c r="S551" s="2322"/>
      <c r="T551" s="2322"/>
      <c r="U551" s="2322"/>
      <c r="V551" s="2322"/>
      <c r="W551" s="2322"/>
      <c r="X551" s="2322"/>
      <c r="Y551" s="2322"/>
      <c r="Z551" s="2322"/>
      <c r="AA551" s="2322"/>
      <c r="AB551" s="2322"/>
      <c r="AC551" s="2322"/>
      <c r="AD551" s="2322"/>
      <c r="AE551" s="2322"/>
      <c r="AF551" s="2322"/>
      <c r="AG551" s="2322"/>
      <c r="AH551" s="2322"/>
      <c r="AI551" s="2322"/>
      <c r="AJ551" s="2322"/>
      <c r="AK551" s="2322"/>
      <c r="AL551" s="2322"/>
      <c r="AM551" s="2322"/>
      <c r="AN551" s="2322"/>
      <c r="AO551" s="2322"/>
      <c r="AP551" s="2322"/>
      <c r="AQ551" s="2322"/>
      <c r="AR551" s="2322"/>
      <c r="AS551" s="2322"/>
      <c r="AT551" s="2322"/>
      <c r="AU551" s="2322"/>
      <c r="AV551" s="2322"/>
      <c r="AW551" s="2322"/>
      <c r="AX551" s="2322"/>
      <c r="AY551" s="2322"/>
      <c r="AZ551" s="2322"/>
      <c r="BA551" s="2322"/>
      <c r="BB551" s="2322"/>
      <c r="BC551" s="2322"/>
      <c r="BD551" s="2322"/>
      <c r="BE551" s="2322"/>
      <c r="BF551" s="2322"/>
      <c r="BG551" s="2322"/>
      <c r="BH551" s="2322"/>
      <c r="BI551" s="2322"/>
      <c r="BJ551" s="2322"/>
      <c r="BK551" s="2322"/>
      <c r="BL551" s="2322"/>
      <c r="BM551" s="2322"/>
      <c r="BN551" s="2322"/>
      <c r="BO551" s="2322"/>
      <c r="BP551" s="2322"/>
      <c r="BQ551" s="2322"/>
      <c r="BR551" s="2322"/>
      <c r="BS551" s="2322"/>
      <c r="BT551" s="2322"/>
      <c r="BU551" s="2322"/>
      <c r="BV551" s="2322"/>
      <c r="BW551" s="2322"/>
      <c r="BX551" s="2322"/>
      <c r="BY551" s="2322"/>
      <c r="BZ551" s="2322"/>
      <c r="CA551" s="2322"/>
      <c r="CB551" s="2322"/>
      <c r="CC551" s="2322"/>
      <c r="CD551" s="2322"/>
      <c r="CE551" s="2322"/>
      <c r="CF551" s="2322"/>
      <c r="CG551" s="2322"/>
      <c r="CH551" s="2322"/>
      <c r="CI551" s="2322"/>
      <c r="CJ551" s="2322"/>
      <c r="CK551" s="2322"/>
      <c r="CL551" s="2322"/>
      <c r="CM551" s="2322"/>
      <c r="CN551" s="2322"/>
      <c r="CO551" s="2322"/>
      <c r="CP551" s="2322"/>
      <c r="CQ551" s="2322"/>
      <c r="CR551" s="2322"/>
      <c r="CS551" s="2322"/>
      <c r="CT551" s="2322"/>
      <c r="CU551" s="2322"/>
      <c r="CV551" s="2322"/>
    </row>
    <row r="552" spans="1:100" ht="15.75" customHeight="1">
      <c r="A552" s="2328"/>
      <c r="B552" s="2322"/>
      <c r="C552" s="2322"/>
      <c r="D552" s="2322"/>
      <c r="E552" s="2322"/>
      <c r="F552" s="2322"/>
      <c r="G552" s="2322"/>
      <c r="H552" s="2322"/>
      <c r="I552" s="2322"/>
      <c r="J552" s="2322"/>
      <c r="K552" s="2322"/>
      <c r="L552" s="2322"/>
      <c r="M552" s="2322"/>
      <c r="N552" s="2322"/>
      <c r="O552" s="2322"/>
      <c r="P552" s="2322"/>
      <c r="Q552" s="2322"/>
      <c r="R552" s="2322"/>
      <c r="S552" s="2322"/>
      <c r="T552" s="2322"/>
      <c r="U552" s="2322"/>
      <c r="V552" s="2322"/>
      <c r="W552" s="2322"/>
      <c r="X552" s="2322"/>
      <c r="Y552" s="2322"/>
      <c r="Z552" s="2322"/>
      <c r="AA552" s="2322"/>
      <c r="AB552" s="2322"/>
      <c r="AC552" s="2322"/>
      <c r="AD552" s="2322"/>
      <c r="AE552" s="2322"/>
      <c r="AF552" s="2322"/>
      <c r="AG552" s="2322"/>
      <c r="AH552" s="2322"/>
      <c r="AI552" s="2322"/>
      <c r="AJ552" s="2322"/>
      <c r="AK552" s="2322"/>
      <c r="AL552" s="2322"/>
      <c r="AM552" s="2322"/>
      <c r="AN552" s="2322"/>
      <c r="AO552" s="2322"/>
      <c r="AP552" s="2322"/>
      <c r="AQ552" s="2322"/>
      <c r="AR552" s="2322"/>
      <c r="AS552" s="2322"/>
      <c r="AT552" s="2322"/>
      <c r="AU552" s="2322"/>
      <c r="AV552" s="2322"/>
      <c r="AW552" s="2322"/>
      <c r="AX552" s="2322"/>
      <c r="AY552" s="2322"/>
      <c r="AZ552" s="2322"/>
      <c r="BA552" s="2322"/>
      <c r="BB552" s="2322"/>
      <c r="BC552" s="2322"/>
      <c r="BD552" s="2322"/>
      <c r="BE552" s="2322"/>
      <c r="BF552" s="2322"/>
      <c r="BG552" s="2322"/>
      <c r="BH552" s="2322"/>
      <c r="BI552" s="2322"/>
      <c r="BJ552" s="2322"/>
      <c r="BK552" s="2322"/>
      <c r="BL552" s="2322"/>
      <c r="BM552" s="2322"/>
      <c r="BN552" s="2322"/>
      <c r="BO552" s="2322"/>
      <c r="BP552" s="2322"/>
      <c r="BQ552" s="2322"/>
      <c r="BR552" s="2322"/>
      <c r="BS552" s="2322"/>
      <c r="BT552" s="2322"/>
      <c r="BU552" s="2322"/>
      <c r="BV552" s="2322"/>
      <c r="BW552" s="2322"/>
      <c r="BX552" s="2322"/>
      <c r="BY552" s="2322"/>
      <c r="BZ552" s="2322"/>
      <c r="CA552" s="2322"/>
      <c r="CB552" s="2322"/>
      <c r="CC552" s="2322"/>
      <c r="CD552" s="2322"/>
      <c r="CE552" s="2322"/>
      <c r="CF552" s="2322"/>
      <c r="CG552" s="2322"/>
      <c r="CH552" s="2322"/>
      <c r="CI552" s="2322"/>
      <c r="CJ552" s="2322"/>
      <c r="CK552" s="2322"/>
      <c r="CL552" s="2322"/>
      <c r="CM552" s="2322"/>
      <c r="CN552" s="2322"/>
      <c r="CO552" s="2322"/>
      <c r="CP552" s="2322"/>
      <c r="CQ552" s="2322"/>
      <c r="CR552" s="2322"/>
      <c r="CS552" s="2322"/>
      <c r="CT552" s="2322"/>
      <c r="CU552" s="2322"/>
      <c r="CV552" s="2322"/>
    </row>
    <row r="553" spans="1:100" ht="15.75" customHeight="1">
      <c r="A553" s="2328"/>
      <c r="B553" s="2322"/>
      <c r="C553" s="2322"/>
      <c r="D553" s="2322"/>
      <c r="E553" s="2322"/>
      <c r="F553" s="2322"/>
      <c r="G553" s="2322"/>
      <c r="H553" s="2322"/>
      <c r="I553" s="2322"/>
      <c r="J553" s="2322"/>
      <c r="K553" s="2322"/>
      <c r="L553" s="2322"/>
      <c r="M553" s="2322"/>
      <c r="N553" s="2322"/>
      <c r="O553" s="2322"/>
      <c r="P553" s="2322"/>
      <c r="Q553" s="2322"/>
      <c r="R553" s="2322"/>
      <c r="S553" s="2322"/>
      <c r="T553" s="2322"/>
      <c r="U553" s="2322"/>
      <c r="V553" s="2322"/>
      <c r="W553" s="2322"/>
      <c r="X553" s="2322"/>
      <c r="Y553" s="2322"/>
      <c r="Z553" s="2322"/>
      <c r="AA553" s="2322"/>
      <c r="AB553" s="2322"/>
      <c r="AC553" s="2322"/>
      <c r="AD553" s="2322"/>
      <c r="AE553" s="2322"/>
      <c r="AF553" s="2322"/>
      <c r="AG553" s="2322"/>
      <c r="AH553" s="2322"/>
      <c r="AI553" s="2322"/>
      <c r="AJ553" s="2322"/>
      <c r="AK553" s="2322"/>
      <c r="AL553" s="2322"/>
      <c r="AM553" s="2322"/>
      <c r="AN553" s="2322"/>
      <c r="AO553" s="2322"/>
      <c r="AP553" s="2322"/>
      <c r="AQ553" s="2322"/>
      <c r="AR553" s="2322"/>
      <c r="AS553" s="2322"/>
      <c r="AT553" s="2322"/>
      <c r="AU553" s="2322"/>
      <c r="AV553" s="2322"/>
      <c r="AW553" s="2322"/>
      <c r="AX553" s="2322"/>
      <c r="AY553" s="2322"/>
      <c r="AZ553" s="2322"/>
      <c r="BA553" s="2322"/>
      <c r="BB553" s="2322"/>
      <c r="BC553" s="2322"/>
      <c r="BD553" s="2322"/>
      <c r="BE553" s="2322"/>
      <c r="BF553" s="2322"/>
      <c r="BG553" s="2322"/>
      <c r="BH553" s="2322"/>
      <c r="BI553" s="2322"/>
      <c r="BJ553" s="2322"/>
      <c r="BK553" s="2322"/>
      <c r="BL553" s="2322"/>
      <c r="BM553" s="2322"/>
      <c r="BN553" s="2322"/>
      <c r="BO553" s="2322"/>
      <c r="BP553" s="2322"/>
      <c r="BQ553" s="2322"/>
      <c r="BR553" s="2322"/>
      <c r="BS553" s="2322"/>
      <c r="BT553" s="2322"/>
      <c r="BU553" s="2322"/>
      <c r="BV553" s="2322"/>
      <c r="BW553" s="2322"/>
      <c r="BX553" s="2322"/>
      <c r="BY553" s="2322"/>
      <c r="BZ553" s="2322"/>
      <c r="CA553" s="2322"/>
      <c r="CB553" s="2322"/>
      <c r="CC553" s="2322"/>
      <c r="CD553" s="2322"/>
      <c r="CE553" s="2322"/>
      <c r="CF553" s="2322"/>
      <c r="CG553" s="2322"/>
      <c r="CH553" s="2322"/>
      <c r="CI553" s="2322"/>
      <c r="CJ553" s="2322"/>
      <c r="CK553" s="2322"/>
      <c r="CL553" s="2322"/>
      <c r="CM553" s="2322"/>
      <c r="CN553" s="2322"/>
      <c r="CO553" s="2322"/>
      <c r="CP553" s="2322"/>
      <c r="CQ553" s="2322"/>
      <c r="CR553" s="2322"/>
      <c r="CS553" s="2322"/>
      <c r="CT553" s="2322"/>
      <c r="CU553" s="2322"/>
      <c r="CV553" s="2322"/>
    </row>
    <row r="554" spans="1:100" ht="15.75" customHeight="1">
      <c r="A554" s="2328"/>
      <c r="B554" s="2322"/>
      <c r="C554" s="2322"/>
      <c r="D554" s="2322"/>
      <c r="E554" s="2322"/>
      <c r="F554" s="2322"/>
      <c r="G554" s="2322"/>
      <c r="H554" s="2322"/>
      <c r="I554" s="2322"/>
      <c r="J554" s="2322"/>
      <c r="K554" s="2322"/>
      <c r="L554" s="2322"/>
      <c r="M554" s="2322"/>
      <c r="N554" s="2322"/>
      <c r="O554" s="2322"/>
      <c r="P554" s="2322"/>
      <c r="Q554" s="2322"/>
      <c r="R554" s="2322"/>
      <c r="S554" s="2322"/>
      <c r="T554" s="2322"/>
      <c r="U554" s="2322"/>
      <c r="V554" s="2322"/>
      <c r="W554" s="2322"/>
      <c r="X554" s="2322"/>
      <c r="Y554" s="2322"/>
      <c r="Z554" s="2322"/>
      <c r="AA554" s="2322"/>
      <c r="AB554" s="2322"/>
      <c r="AC554" s="2322"/>
      <c r="AD554" s="2322"/>
      <c r="AE554" s="2322"/>
      <c r="AF554" s="2322"/>
      <c r="AG554" s="2322"/>
      <c r="AH554" s="2322"/>
      <c r="AI554" s="2322"/>
      <c r="AJ554" s="2322"/>
      <c r="AK554" s="2322"/>
      <c r="AL554" s="2322"/>
      <c r="AM554" s="2322"/>
      <c r="AN554" s="2322"/>
      <c r="AO554" s="2322"/>
      <c r="AP554" s="2322"/>
      <c r="AQ554" s="2322"/>
      <c r="AR554" s="2322"/>
      <c r="AS554" s="2322"/>
      <c r="AT554" s="2322"/>
      <c r="AU554" s="2322"/>
      <c r="AV554" s="2322"/>
      <c r="AW554" s="2322"/>
      <c r="AX554" s="2322"/>
      <c r="AY554" s="2322"/>
      <c r="AZ554" s="2322"/>
      <c r="BA554" s="2322"/>
      <c r="BB554" s="2322"/>
      <c r="BC554" s="2322"/>
      <c r="BD554" s="2322"/>
      <c r="BE554" s="2322"/>
      <c r="BF554" s="2322"/>
      <c r="BG554" s="2322"/>
      <c r="BH554" s="2322"/>
      <c r="BI554" s="2322"/>
      <c r="BJ554" s="2322"/>
      <c r="BK554" s="2322"/>
      <c r="BL554" s="2322"/>
      <c r="BM554" s="2322"/>
      <c r="BN554" s="2322"/>
      <c r="BO554" s="2322"/>
      <c r="BP554" s="2322"/>
      <c r="BQ554" s="2322"/>
      <c r="BR554" s="2322"/>
      <c r="BS554" s="2322"/>
      <c r="BT554" s="2322"/>
      <c r="BU554" s="2322"/>
      <c r="BV554" s="2322"/>
      <c r="BW554" s="2322"/>
      <c r="BX554" s="2322"/>
      <c r="BY554" s="2322"/>
      <c r="BZ554" s="2322"/>
      <c r="CA554" s="2322"/>
      <c r="CB554" s="2322"/>
      <c r="CC554" s="2322"/>
      <c r="CD554" s="2322"/>
      <c r="CE554" s="2322"/>
      <c r="CF554" s="2322"/>
      <c r="CG554" s="2322"/>
      <c r="CH554" s="2322"/>
      <c r="CI554" s="2322"/>
      <c r="CJ554" s="2322"/>
      <c r="CK554" s="2322"/>
      <c r="CL554" s="2322"/>
      <c r="CM554" s="2322"/>
      <c r="CN554" s="2322"/>
      <c r="CO554" s="2322"/>
      <c r="CP554" s="2322"/>
      <c r="CQ554" s="2322"/>
      <c r="CR554" s="2322"/>
      <c r="CS554" s="2322"/>
      <c r="CT554" s="2322"/>
      <c r="CU554" s="2322"/>
      <c r="CV554" s="2322"/>
    </row>
    <row r="555" spans="1:100" ht="15.75" customHeight="1">
      <c r="A555" s="2328"/>
      <c r="B555" s="2322"/>
      <c r="C555" s="2322"/>
      <c r="D555" s="2322"/>
      <c r="E555" s="2322"/>
      <c r="F555" s="2322"/>
      <c r="G555" s="2322"/>
      <c r="H555" s="2322"/>
      <c r="I555" s="2322"/>
      <c r="J555" s="2322"/>
      <c r="K555" s="2322"/>
      <c r="L555" s="2322"/>
      <c r="M555" s="2322"/>
      <c r="N555" s="2322"/>
      <c r="O555" s="2322"/>
      <c r="P555" s="2322"/>
      <c r="Q555" s="2322"/>
      <c r="R555" s="2322"/>
      <c r="S555" s="2322"/>
      <c r="T555" s="2322"/>
      <c r="U555" s="2322"/>
      <c r="V555" s="2322"/>
      <c r="W555" s="2322"/>
      <c r="X555" s="2322"/>
      <c r="Y555" s="2322"/>
      <c r="Z555" s="2322"/>
      <c r="AA555" s="2322"/>
      <c r="AB555" s="2322"/>
      <c r="AC555" s="2322"/>
      <c r="AD555" s="2322"/>
      <c r="AE555" s="2322"/>
      <c r="AF555" s="2322"/>
      <c r="AG555" s="2322"/>
      <c r="AH555" s="2322"/>
      <c r="AI555" s="2322"/>
      <c r="AJ555" s="2322"/>
      <c r="AK555" s="2322"/>
      <c r="AL555" s="2322"/>
      <c r="AM555" s="2322"/>
      <c r="AN555" s="2322"/>
      <c r="AO555" s="2322"/>
      <c r="AP555" s="2322"/>
      <c r="AQ555" s="2322"/>
      <c r="AR555" s="2322"/>
      <c r="AS555" s="2322"/>
      <c r="AT555" s="2322"/>
      <c r="AU555" s="2322"/>
      <c r="AV555" s="2322"/>
      <c r="AW555" s="2322"/>
      <c r="AX555" s="2322"/>
      <c r="AY555" s="2322"/>
      <c r="AZ555" s="2322"/>
      <c r="BA555" s="2322"/>
      <c r="BB555" s="2322"/>
      <c r="BC555" s="2322"/>
      <c r="BD555" s="2322"/>
      <c r="BE555" s="2322"/>
      <c r="BF555" s="2322"/>
      <c r="BG555" s="2322"/>
      <c r="BH555" s="2322"/>
      <c r="BI555" s="2322"/>
      <c r="BJ555" s="2322"/>
      <c r="BK555" s="2322"/>
      <c r="BL555" s="2322"/>
      <c r="BM555" s="2322"/>
      <c r="BN555" s="2322"/>
      <c r="BO555" s="2322"/>
      <c r="BP555" s="2322"/>
      <c r="BQ555" s="2322"/>
      <c r="BR555" s="2322"/>
      <c r="BS555" s="2322"/>
      <c r="BT555" s="2322"/>
      <c r="BU555" s="2322"/>
      <c r="BV555" s="2322"/>
      <c r="BW555" s="2322"/>
      <c r="BX555" s="2322"/>
      <c r="BY555" s="2322"/>
      <c r="BZ555" s="2322"/>
      <c r="CA555" s="2322"/>
      <c r="CB555" s="2322"/>
      <c r="CC555" s="2322"/>
      <c r="CD555" s="2322"/>
      <c r="CE555" s="2322"/>
      <c r="CF555" s="2322"/>
      <c r="CG555" s="2322"/>
      <c r="CH555" s="2322"/>
      <c r="CI555" s="2322"/>
      <c r="CJ555" s="2322"/>
      <c r="CK555" s="2322"/>
      <c r="CL555" s="2322"/>
      <c r="CM555" s="2322"/>
      <c r="CN555" s="2322"/>
      <c r="CO555" s="2322"/>
      <c r="CP555" s="2322"/>
      <c r="CQ555" s="2322"/>
      <c r="CR555" s="2322"/>
      <c r="CS555" s="2322"/>
      <c r="CT555" s="2322"/>
      <c r="CU555" s="2322"/>
      <c r="CV555" s="2322"/>
    </row>
    <row r="556" spans="1:100" ht="15.75" customHeight="1">
      <c r="A556" s="2328"/>
      <c r="B556" s="2322"/>
      <c r="C556" s="2322"/>
      <c r="D556" s="2322"/>
      <c r="E556" s="2322"/>
      <c r="F556" s="2322"/>
      <c r="G556" s="2322"/>
      <c r="H556" s="2322"/>
      <c r="I556" s="2322"/>
      <c r="J556" s="2322"/>
      <c r="K556" s="2322"/>
      <c r="L556" s="2322"/>
      <c r="M556" s="2322"/>
      <c r="N556" s="2322"/>
      <c r="O556" s="2322"/>
      <c r="P556" s="2322"/>
      <c r="Q556" s="2322"/>
      <c r="R556" s="2322"/>
      <c r="S556" s="2322"/>
      <c r="T556" s="2322"/>
      <c r="U556" s="2322"/>
      <c r="V556" s="2322"/>
      <c r="W556" s="2322"/>
      <c r="X556" s="2322"/>
      <c r="Y556" s="2322"/>
      <c r="Z556" s="2322"/>
      <c r="AA556" s="2322"/>
      <c r="AB556" s="2322"/>
      <c r="AC556" s="2322"/>
      <c r="AD556" s="2322"/>
      <c r="AE556" s="2322"/>
      <c r="AF556" s="2322"/>
      <c r="AG556" s="2322"/>
      <c r="AH556" s="2322"/>
      <c r="AI556" s="2322"/>
      <c r="AJ556" s="2322"/>
      <c r="AK556" s="2322"/>
      <c r="AL556" s="2322"/>
      <c r="AM556" s="2322"/>
      <c r="AN556" s="2322"/>
      <c r="AO556" s="2322"/>
      <c r="AP556" s="2322"/>
      <c r="AQ556" s="2322"/>
      <c r="AR556" s="2322"/>
      <c r="AS556" s="2322"/>
      <c r="AT556" s="2322"/>
      <c r="AU556" s="2322"/>
      <c r="AV556" s="2322"/>
      <c r="AW556" s="2322"/>
      <c r="AX556" s="2322"/>
      <c r="AY556" s="2322"/>
      <c r="AZ556" s="2322"/>
      <c r="BA556" s="2322"/>
      <c r="BB556" s="2322"/>
      <c r="BC556" s="2322"/>
      <c r="BD556" s="2322"/>
      <c r="BE556" s="2322"/>
      <c r="BF556" s="2322"/>
      <c r="BG556" s="2322"/>
      <c r="BH556" s="2322"/>
      <c r="BI556" s="2322"/>
      <c r="BJ556" s="2322"/>
      <c r="BK556" s="2322"/>
      <c r="BL556" s="2322"/>
      <c r="BM556" s="2322"/>
      <c r="BN556" s="2322"/>
      <c r="BO556" s="2322"/>
      <c r="BP556" s="2322"/>
      <c r="BQ556" s="2322"/>
      <c r="BR556" s="2322"/>
      <c r="BS556" s="2322"/>
      <c r="BT556" s="2322"/>
      <c r="BU556" s="2322"/>
      <c r="BV556" s="2322"/>
      <c r="BW556" s="2322"/>
      <c r="BX556" s="2322"/>
      <c r="BY556" s="2322"/>
      <c r="BZ556" s="2322"/>
      <c r="CA556" s="2322"/>
      <c r="CB556" s="2322"/>
      <c r="CC556" s="2322"/>
      <c r="CD556" s="2322"/>
      <c r="CE556" s="2322"/>
      <c r="CF556" s="2322"/>
      <c r="CG556" s="2322"/>
      <c r="CH556" s="2322"/>
      <c r="CI556" s="2322"/>
      <c r="CJ556" s="2322"/>
      <c r="CK556" s="2322"/>
      <c r="CL556" s="2322"/>
      <c r="CM556" s="2322"/>
      <c r="CN556" s="2322"/>
      <c r="CO556" s="2322"/>
      <c r="CP556" s="2322"/>
      <c r="CQ556" s="2322"/>
      <c r="CR556" s="2322"/>
      <c r="CS556" s="2322"/>
      <c r="CT556" s="2322"/>
      <c r="CU556" s="2322"/>
      <c r="CV556" s="2322"/>
    </row>
    <row r="557" spans="1:100" ht="15.75" customHeight="1">
      <c r="A557" s="2328"/>
      <c r="B557" s="2322"/>
      <c r="C557" s="2322"/>
      <c r="D557" s="2322"/>
      <c r="E557" s="2322"/>
      <c r="F557" s="2322"/>
      <c r="G557" s="2322"/>
      <c r="H557" s="2322"/>
      <c r="I557" s="2322"/>
      <c r="J557" s="2322"/>
      <c r="K557" s="2322"/>
      <c r="L557" s="2322"/>
      <c r="M557" s="2322"/>
      <c r="N557" s="2322"/>
      <c r="O557" s="2322"/>
      <c r="P557" s="2322"/>
      <c r="Q557" s="2322"/>
      <c r="R557" s="2322"/>
      <c r="S557" s="2322"/>
      <c r="T557" s="2322"/>
      <c r="U557" s="2322"/>
      <c r="V557" s="2322"/>
      <c r="W557" s="2322"/>
      <c r="X557" s="2322"/>
      <c r="Y557" s="2322"/>
      <c r="Z557" s="2322"/>
      <c r="AA557" s="2322"/>
      <c r="AB557" s="2322"/>
      <c r="AC557" s="2322"/>
      <c r="AD557" s="2322"/>
      <c r="AE557" s="2322"/>
      <c r="AF557" s="2322"/>
      <c r="AG557" s="2322"/>
      <c r="AH557" s="2322"/>
      <c r="AI557" s="2322"/>
      <c r="AJ557" s="2322"/>
      <c r="AK557" s="2322"/>
      <c r="AL557" s="2322"/>
      <c r="AM557" s="2322"/>
      <c r="AN557" s="2322"/>
      <c r="AO557" s="2322"/>
      <c r="AP557" s="2322"/>
      <c r="AQ557" s="2322"/>
      <c r="AR557" s="2322"/>
      <c r="AS557" s="2322"/>
      <c r="AT557" s="2322"/>
      <c r="AU557" s="2322"/>
      <c r="AV557" s="2322"/>
      <c r="AW557" s="2322"/>
      <c r="AX557" s="2322"/>
      <c r="AY557" s="2322"/>
      <c r="AZ557" s="2322"/>
      <c r="BA557" s="2322"/>
      <c r="BB557" s="2322"/>
      <c r="BC557" s="2322"/>
      <c r="BD557" s="2322"/>
      <c r="BE557" s="2322"/>
      <c r="BF557" s="2322"/>
      <c r="BG557" s="2322"/>
      <c r="BH557" s="2322"/>
      <c r="BI557" s="2322"/>
      <c r="BJ557" s="2322"/>
      <c r="BK557" s="2322"/>
      <c r="BL557" s="2322"/>
      <c r="BM557" s="2322"/>
      <c r="BN557" s="2322"/>
      <c r="BO557" s="2322"/>
      <c r="BP557" s="2322"/>
      <c r="BQ557" s="2322"/>
      <c r="BR557" s="2322"/>
      <c r="BS557" s="2322"/>
      <c r="BT557" s="2322"/>
      <c r="BU557" s="2322"/>
      <c r="BV557" s="2322"/>
      <c r="BW557" s="2322"/>
      <c r="BX557" s="2322"/>
      <c r="BY557" s="2322"/>
      <c r="BZ557" s="2322"/>
      <c r="CA557" s="2322"/>
      <c r="CB557" s="2322"/>
      <c r="CC557" s="2322"/>
      <c r="CD557" s="2322"/>
      <c r="CE557" s="2322"/>
      <c r="CF557" s="2322"/>
      <c r="CG557" s="2322"/>
      <c r="CH557" s="2322"/>
      <c r="CI557" s="2322"/>
      <c r="CJ557" s="2322"/>
      <c r="CK557" s="2322"/>
      <c r="CL557" s="2322"/>
      <c r="CM557" s="2322"/>
      <c r="CN557" s="2322"/>
      <c r="CO557" s="2322"/>
      <c r="CP557" s="2322"/>
      <c r="CQ557" s="2322"/>
      <c r="CR557" s="2322"/>
      <c r="CS557" s="2322"/>
      <c r="CT557" s="2322"/>
      <c r="CU557" s="2322"/>
      <c r="CV557" s="2322"/>
    </row>
    <row r="558" spans="1:100" ht="15.75" customHeight="1">
      <c r="A558" s="2328"/>
      <c r="B558" s="2322"/>
      <c r="C558" s="2322"/>
      <c r="D558" s="2322"/>
      <c r="E558" s="2322"/>
      <c r="F558" s="2322"/>
      <c r="G558" s="2322"/>
      <c r="H558" s="2322"/>
      <c r="I558" s="2322"/>
      <c r="J558" s="2322"/>
      <c r="K558" s="2322"/>
      <c r="L558" s="2322"/>
      <c r="M558" s="2322"/>
      <c r="N558" s="2322"/>
      <c r="O558" s="2322"/>
      <c r="P558" s="2322"/>
      <c r="Q558" s="2322"/>
      <c r="R558" s="2322"/>
      <c r="S558" s="2322"/>
      <c r="T558" s="2322"/>
      <c r="U558" s="2322"/>
      <c r="V558" s="2322"/>
      <c r="W558" s="2322"/>
      <c r="X558" s="2322"/>
      <c r="Y558" s="2322"/>
      <c r="Z558" s="2322"/>
      <c r="AA558" s="2322"/>
      <c r="AB558" s="2322"/>
      <c r="AC558" s="2322"/>
      <c r="AD558" s="2322"/>
      <c r="AE558" s="2322"/>
      <c r="AF558" s="2322"/>
      <c r="AG558" s="2322"/>
      <c r="AH558" s="2322"/>
      <c r="AI558" s="2322"/>
      <c r="AJ558" s="2322"/>
      <c r="AK558" s="2322"/>
      <c r="AL558" s="2322"/>
      <c r="AM558" s="2322"/>
      <c r="AN558" s="2322"/>
      <c r="AO558" s="2322"/>
      <c r="AP558" s="2322"/>
      <c r="AQ558" s="2322"/>
      <c r="AR558" s="2322"/>
      <c r="AS558" s="2322"/>
      <c r="AT558" s="2322"/>
      <c r="AU558" s="2322"/>
      <c r="AV558" s="2322"/>
      <c r="AW558" s="2322"/>
      <c r="AX558" s="2322"/>
      <c r="AY558" s="2322"/>
      <c r="AZ558" s="2322"/>
      <c r="BA558" s="2322"/>
      <c r="BB558" s="2322"/>
      <c r="BC558" s="2322"/>
      <c r="BD558" s="2322"/>
      <c r="BE558" s="2322"/>
      <c r="BF558" s="2322"/>
      <c r="BG558" s="2322"/>
      <c r="BH558" s="2322"/>
      <c r="BI558" s="2322"/>
      <c r="BJ558" s="2322"/>
      <c r="BK558" s="2322"/>
      <c r="BL558" s="2322"/>
      <c r="BM558" s="2322"/>
      <c r="BN558" s="2322"/>
      <c r="BO558" s="2322"/>
      <c r="BP558" s="2322"/>
      <c r="BQ558" s="2322"/>
      <c r="BR558" s="2322"/>
      <c r="BS558" s="2322"/>
      <c r="BT558" s="2322"/>
      <c r="BU558" s="2322"/>
      <c r="BV558" s="2322"/>
      <c r="BW558" s="2322"/>
      <c r="BX558" s="2322"/>
      <c r="BY558" s="2322"/>
      <c r="BZ558" s="2322"/>
      <c r="CA558" s="2322"/>
      <c r="CB558" s="2322"/>
      <c r="CC558" s="2322"/>
      <c r="CD558" s="2322"/>
      <c r="CE558" s="2322"/>
      <c r="CF558" s="2322"/>
      <c r="CG558" s="2322"/>
      <c r="CH558" s="2322"/>
      <c r="CI558" s="2322"/>
      <c r="CJ558" s="2322"/>
      <c r="CK558" s="2322"/>
      <c r="CL558" s="2322"/>
      <c r="CM558" s="2322"/>
      <c r="CN558" s="2322"/>
      <c r="CO558" s="2322"/>
      <c r="CP558" s="2322"/>
      <c r="CQ558" s="2322"/>
      <c r="CR558" s="2322"/>
      <c r="CS558" s="2322"/>
      <c r="CT558" s="2322"/>
      <c r="CU558" s="2322"/>
      <c r="CV558" s="2322"/>
    </row>
    <row r="559" spans="1:100" ht="15.75" customHeight="1">
      <c r="A559" s="2328"/>
      <c r="B559" s="2322"/>
      <c r="C559" s="2322"/>
      <c r="D559" s="2322"/>
      <c r="E559" s="2322"/>
      <c r="F559" s="2322"/>
      <c r="G559" s="2322"/>
      <c r="H559" s="2322"/>
      <c r="I559" s="2322"/>
      <c r="J559" s="2322"/>
      <c r="K559" s="2322"/>
      <c r="L559" s="2322"/>
      <c r="M559" s="2322"/>
      <c r="N559" s="2322"/>
      <c r="O559" s="2322"/>
      <c r="P559" s="2322"/>
      <c r="Q559" s="2322"/>
      <c r="R559" s="2322"/>
      <c r="S559" s="2322"/>
      <c r="T559" s="2322"/>
      <c r="U559" s="2322"/>
      <c r="V559" s="2322"/>
      <c r="W559" s="2322"/>
      <c r="X559" s="2322"/>
      <c r="Y559" s="2322"/>
      <c r="Z559" s="2322"/>
      <c r="AA559" s="2322"/>
      <c r="AB559" s="2322"/>
      <c r="AC559" s="2322"/>
      <c r="AD559" s="2322"/>
      <c r="AE559" s="2322"/>
      <c r="AF559" s="2322"/>
      <c r="AG559" s="2322"/>
      <c r="AH559" s="2322"/>
      <c r="AI559" s="2322"/>
      <c r="AJ559" s="2322"/>
      <c r="AK559" s="2322"/>
      <c r="AL559" s="2322"/>
      <c r="AM559" s="2322"/>
      <c r="AN559" s="2322"/>
      <c r="AO559" s="2322"/>
      <c r="AP559" s="2322"/>
      <c r="AQ559" s="2322"/>
      <c r="AR559" s="2322"/>
      <c r="AS559" s="2322"/>
      <c r="AT559" s="2322"/>
      <c r="AU559" s="2322"/>
      <c r="AV559" s="2322"/>
      <c r="AW559" s="2322"/>
      <c r="AX559" s="2322"/>
      <c r="AY559" s="2322"/>
      <c r="AZ559" s="2322"/>
      <c r="BA559" s="2322"/>
      <c r="BB559" s="2322"/>
      <c r="BC559" s="2322"/>
      <c r="BD559" s="2322"/>
      <c r="BE559" s="2322"/>
      <c r="BF559" s="2322"/>
      <c r="BG559" s="2322"/>
      <c r="BH559" s="2322"/>
      <c r="BI559" s="2322"/>
      <c r="BJ559" s="2322"/>
      <c r="BK559" s="2322"/>
      <c r="BL559" s="2322"/>
      <c r="BM559" s="2322"/>
      <c r="BN559" s="2322"/>
      <c r="BO559" s="2322"/>
      <c r="BP559" s="2322"/>
      <c r="BQ559" s="2322"/>
      <c r="BR559" s="2322"/>
      <c r="BS559" s="2322"/>
      <c r="BT559" s="2322"/>
      <c r="BU559" s="2322"/>
      <c r="BV559" s="2322"/>
      <c r="BW559" s="2322"/>
      <c r="BX559" s="2322"/>
      <c r="BY559" s="2322"/>
      <c r="BZ559" s="2322"/>
      <c r="CA559" s="2322"/>
      <c r="CB559" s="2322"/>
      <c r="CC559" s="2322"/>
      <c r="CD559" s="2322"/>
      <c r="CE559" s="2322"/>
      <c r="CF559" s="2322"/>
      <c r="CG559" s="2322"/>
      <c r="CH559" s="2322"/>
      <c r="CI559" s="2322"/>
      <c r="CJ559" s="2322"/>
      <c r="CK559" s="2322"/>
      <c r="CL559" s="2322"/>
      <c r="CM559" s="2322"/>
      <c r="CN559" s="2322"/>
      <c r="CO559" s="2322"/>
      <c r="CP559" s="2322"/>
      <c r="CQ559" s="2322"/>
      <c r="CR559" s="2322"/>
      <c r="CS559" s="2322"/>
      <c r="CT559" s="2322"/>
      <c r="CU559" s="2322"/>
      <c r="CV559" s="2322"/>
    </row>
    <row r="560" spans="1:100" ht="15.75" customHeight="1">
      <c r="A560" s="2328"/>
      <c r="B560" s="2322"/>
      <c r="C560" s="2322"/>
      <c r="D560" s="2322"/>
      <c r="E560" s="2322"/>
      <c r="F560" s="2322"/>
      <c r="G560" s="2322"/>
      <c r="H560" s="2322"/>
      <c r="I560" s="2322"/>
      <c r="J560" s="2322"/>
      <c r="K560" s="2322"/>
      <c r="L560" s="2322"/>
      <c r="M560" s="2322"/>
      <c r="N560" s="2322"/>
      <c r="O560" s="2322"/>
      <c r="P560" s="2322"/>
      <c r="Q560" s="2322"/>
      <c r="R560" s="2322"/>
      <c r="S560" s="2322"/>
      <c r="T560" s="2322"/>
      <c r="U560" s="2322"/>
      <c r="V560" s="2322"/>
      <c r="W560" s="2322"/>
      <c r="X560" s="2322"/>
      <c r="Y560" s="2322"/>
      <c r="Z560" s="2322"/>
      <c r="AA560" s="2322"/>
      <c r="AB560" s="2322"/>
      <c r="AC560" s="2322"/>
      <c r="AD560" s="2322"/>
      <c r="AE560" s="2322"/>
      <c r="AF560" s="2322"/>
      <c r="AG560" s="2322"/>
      <c r="AH560" s="2322"/>
      <c r="AI560" s="2322"/>
      <c r="AJ560" s="2322"/>
      <c r="AK560" s="2322"/>
      <c r="AL560" s="2322"/>
      <c r="AM560" s="2322"/>
      <c r="AN560" s="2322"/>
      <c r="AO560" s="2322"/>
      <c r="AP560" s="2322"/>
      <c r="AQ560" s="2322"/>
      <c r="AR560" s="2322"/>
      <c r="AS560" s="2322"/>
      <c r="AT560" s="2322"/>
      <c r="AU560" s="2322"/>
      <c r="AV560" s="2322"/>
      <c r="AW560" s="2322"/>
      <c r="AX560" s="2322"/>
      <c r="AY560" s="2322"/>
      <c r="AZ560" s="2322"/>
      <c r="BA560" s="2322"/>
      <c r="BB560" s="2322"/>
      <c r="BC560" s="2322"/>
      <c r="BD560" s="2322"/>
      <c r="BE560" s="2322"/>
      <c r="BF560" s="2322"/>
      <c r="BG560" s="2322"/>
      <c r="BH560" s="2322"/>
      <c r="BI560" s="2322"/>
      <c r="BJ560" s="2322"/>
      <c r="BK560" s="2322"/>
      <c r="BL560" s="2322"/>
      <c r="BM560" s="2322"/>
      <c r="BN560" s="2322"/>
      <c r="BO560" s="2322"/>
      <c r="BP560" s="2322"/>
      <c r="BQ560" s="2322"/>
      <c r="BR560" s="2322"/>
      <c r="BS560" s="2322"/>
      <c r="BT560" s="2322"/>
      <c r="BU560" s="2322"/>
      <c r="BV560" s="2322"/>
      <c r="BW560" s="2322"/>
      <c r="BX560" s="2322"/>
      <c r="BY560" s="2322"/>
      <c r="BZ560" s="2322"/>
      <c r="CA560" s="2322"/>
      <c r="CB560" s="2322"/>
      <c r="CC560" s="2322"/>
      <c r="CD560" s="2322"/>
      <c r="CE560" s="2322"/>
      <c r="CF560" s="2322"/>
      <c r="CG560" s="2322"/>
      <c r="CH560" s="2322"/>
      <c r="CI560" s="2322"/>
      <c r="CJ560" s="2322"/>
      <c r="CK560" s="2322"/>
      <c r="CL560" s="2322"/>
      <c r="CM560" s="2322"/>
      <c r="CN560" s="2322"/>
      <c r="CO560" s="2322"/>
      <c r="CP560" s="2322"/>
      <c r="CQ560" s="2322"/>
      <c r="CR560" s="2322"/>
      <c r="CS560" s="2322"/>
      <c r="CT560" s="2322"/>
      <c r="CU560" s="2322"/>
      <c r="CV560" s="2322"/>
    </row>
    <row r="561" spans="1:100" ht="15.75" customHeight="1">
      <c r="A561" s="2328"/>
      <c r="B561" s="2322"/>
      <c r="C561" s="2322"/>
      <c r="D561" s="2322"/>
      <c r="E561" s="2322"/>
      <c r="F561" s="2322"/>
      <c r="G561" s="2322"/>
      <c r="H561" s="2322"/>
      <c r="I561" s="2322"/>
      <c r="J561" s="2322"/>
      <c r="K561" s="2322"/>
      <c r="L561" s="2322"/>
      <c r="M561" s="2322"/>
      <c r="N561" s="2322"/>
      <c r="O561" s="2322"/>
      <c r="P561" s="2322"/>
      <c r="Q561" s="2322"/>
      <c r="R561" s="2322"/>
      <c r="S561" s="2322"/>
      <c r="T561" s="2322"/>
      <c r="U561" s="2322"/>
      <c r="V561" s="2322"/>
      <c r="W561" s="2322"/>
      <c r="X561" s="2322"/>
      <c r="Y561" s="2322"/>
      <c r="Z561" s="2322"/>
      <c r="AA561" s="2322"/>
      <c r="AB561" s="2322"/>
      <c r="AC561" s="2322"/>
      <c r="AD561" s="2322"/>
      <c r="AE561" s="2322"/>
      <c r="AF561" s="2322"/>
      <c r="AG561" s="2322"/>
      <c r="AH561" s="2322"/>
      <c r="AI561" s="2322"/>
      <c r="AJ561" s="2322"/>
      <c r="AK561" s="2322"/>
      <c r="AL561" s="2322"/>
      <c r="AM561" s="2322"/>
      <c r="AN561" s="2322"/>
      <c r="AO561" s="2322"/>
      <c r="AP561" s="2322"/>
      <c r="AQ561" s="2322"/>
      <c r="AR561" s="2322"/>
      <c r="AS561" s="2322"/>
      <c r="AT561" s="2322"/>
      <c r="AU561" s="2322"/>
      <c r="AV561" s="2322"/>
      <c r="AW561" s="2322"/>
      <c r="AX561" s="2322"/>
      <c r="AY561" s="2322"/>
      <c r="AZ561" s="2322"/>
      <c r="BA561" s="2322"/>
      <c r="BB561" s="2322"/>
      <c r="BC561" s="2322"/>
      <c r="BD561" s="2322"/>
      <c r="BE561" s="2322"/>
      <c r="BF561" s="2322"/>
      <c r="BG561" s="2322"/>
      <c r="BH561" s="2322"/>
      <c r="BI561" s="2322"/>
      <c r="BJ561" s="2322"/>
      <c r="BK561" s="2322"/>
      <c r="BL561" s="2322"/>
      <c r="BM561" s="2322"/>
      <c r="BN561" s="2322"/>
      <c r="BO561" s="2322"/>
      <c r="BP561" s="2322"/>
      <c r="BQ561" s="2322"/>
      <c r="BR561" s="2322"/>
      <c r="BS561" s="2322"/>
      <c r="BT561" s="2322"/>
      <c r="BU561" s="2322"/>
      <c r="BV561" s="2322"/>
      <c r="BW561" s="2322"/>
      <c r="BX561" s="2322"/>
      <c r="BY561" s="2322"/>
      <c r="BZ561" s="2322"/>
      <c r="CA561" s="2322"/>
      <c r="CB561" s="2322"/>
      <c r="CC561" s="2322"/>
      <c r="CD561" s="2322"/>
      <c r="CE561" s="2322"/>
      <c r="CF561" s="2322"/>
      <c r="CG561" s="2322"/>
      <c r="CH561" s="2322"/>
      <c r="CI561" s="2322"/>
      <c r="CJ561" s="2322"/>
      <c r="CK561" s="2322"/>
      <c r="CL561" s="2322"/>
      <c r="CM561" s="2322"/>
      <c r="CN561" s="2322"/>
      <c r="CO561" s="2322"/>
      <c r="CP561" s="2322"/>
      <c r="CQ561" s="2322"/>
      <c r="CR561" s="2322"/>
      <c r="CS561" s="2322"/>
      <c r="CT561" s="2322"/>
      <c r="CU561" s="2322"/>
      <c r="CV561" s="2322"/>
    </row>
    <row r="562" spans="1:100" ht="15.75" customHeight="1">
      <c r="A562" s="2328"/>
      <c r="B562" s="2322"/>
      <c r="C562" s="2322"/>
      <c r="D562" s="2322"/>
      <c r="E562" s="2322"/>
      <c r="F562" s="2322"/>
      <c r="G562" s="2322"/>
      <c r="H562" s="2322"/>
      <c r="I562" s="2322"/>
      <c r="J562" s="2322"/>
      <c r="K562" s="2322"/>
      <c r="L562" s="2322"/>
      <c r="M562" s="2322"/>
      <c r="N562" s="2322"/>
      <c r="O562" s="2322"/>
      <c r="P562" s="2322"/>
      <c r="Q562" s="2322"/>
      <c r="R562" s="2322"/>
      <c r="S562" s="2322"/>
      <c r="T562" s="2322"/>
      <c r="U562" s="2322"/>
      <c r="V562" s="2322"/>
      <c r="W562" s="2322"/>
      <c r="X562" s="2322"/>
      <c r="Y562" s="2322"/>
      <c r="Z562" s="2322"/>
      <c r="AA562" s="2322"/>
      <c r="AB562" s="2322"/>
      <c r="AC562" s="2322"/>
      <c r="AD562" s="2322"/>
      <c r="AE562" s="2322"/>
      <c r="AF562" s="2322"/>
      <c r="AG562" s="2322"/>
      <c r="AH562" s="2322"/>
      <c r="AI562" s="2322"/>
      <c r="AJ562" s="2322"/>
      <c r="AK562" s="2322"/>
      <c r="AL562" s="2322"/>
      <c r="AM562" s="2322"/>
      <c r="AN562" s="2322"/>
      <c r="AO562" s="2322"/>
      <c r="AP562" s="2322"/>
      <c r="AQ562" s="2322"/>
      <c r="AR562" s="2322"/>
      <c r="AS562" s="2322"/>
      <c r="AT562" s="2322"/>
      <c r="AU562" s="2322"/>
      <c r="AV562" s="2322"/>
      <c r="AW562" s="2322"/>
      <c r="AX562" s="2322"/>
      <c r="AY562" s="2322"/>
      <c r="AZ562" s="2322"/>
      <c r="BA562" s="2322"/>
      <c r="BB562" s="2322"/>
      <c r="BC562" s="2322"/>
      <c r="BD562" s="2322"/>
      <c r="BE562" s="2322"/>
      <c r="BF562" s="2322"/>
      <c r="BG562" s="2322"/>
      <c r="BH562" s="2322"/>
      <c r="BI562" s="2322"/>
      <c r="BJ562" s="2322"/>
      <c r="BK562" s="2322"/>
      <c r="BL562" s="2322"/>
      <c r="BM562" s="2322"/>
      <c r="BN562" s="2322"/>
      <c r="BO562" s="2322"/>
      <c r="BP562" s="2322"/>
      <c r="BQ562" s="2322"/>
      <c r="BR562" s="2322"/>
      <c r="BS562" s="2322"/>
      <c r="BT562" s="2322"/>
      <c r="BU562" s="2322"/>
      <c r="BV562" s="2322"/>
      <c r="BW562" s="2322"/>
      <c r="BX562" s="2322"/>
      <c r="BY562" s="2322"/>
      <c r="BZ562" s="2322"/>
      <c r="CA562" s="2322"/>
      <c r="CB562" s="2322"/>
      <c r="CC562" s="2322"/>
      <c r="CD562" s="2322"/>
      <c r="CE562" s="2322"/>
      <c r="CF562" s="2322"/>
      <c r="CG562" s="2322"/>
      <c r="CH562" s="2322"/>
      <c r="CI562" s="2322"/>
      <c r="CJ562" s="2322"/>
      <c r="CK562" s="2322"/>
      <c r="CL562" s="2322"/>
      <c r="CM562" s="2322"/>
      <c r="CN562" s="2322"/>
      <c r="CO562" s="2322"/>
      <c r="CP562" s="2322"/>
      <c r="CQ562" s="2322"/>
      <c r="CR562" s="2322"/>
      <c r="CS562" s="2322"/>
      <c r="CT562" s="2322"/>
      <c r="CU562" s="2322"/>
      <c r="CV562" s="2322"/>
    </row>
    <row r="563" spans="1:100" ht="15.75" customHeight="1">
      <c r="A563" s="2328"/>
      <c r="B563" s="2322"/>
      <c r="C563" s="2322"/>
      <c r="D563" s="2322"/>
      <c r="E563" s="2322"/>
      <c r="F563" s="2322"/>
      <c r="G563" s="2322"/>
      <c r="H563" s="2322"/>
      <c r="I563" s="2322"/>
      <c r="J563" s="2322"/>
      <c r="K563" s="2322"/>
      <c r="L563" s="2322"/>
      <c r="M563" s="2322"/>
      <c r="N563" s="2322"/>
      <c r="O563" s="2322"/>
      <c r="P563" s="2322"/>
      <c r="Q563" s="2322"/>
      <c r="R563" s="2322"/>
      <c r="S563" s="2322"/>
      <c r="T563" s="2322"/>
      <c r="U563" s="2322"/>
      <c r="V563" s="2322"/>
      <c r="W563" s="2322"/>
      <c r="X563" s="2322"/>
      <c r="Y563" s="2322"/>
      <c r="Z563" s="2322"/>
      <c r="AA563" s="2322"/>
      <c r="AB563" s="2322"/>
      <c r="AC563" s="2322"/>
      <c r="AD563" s="2322"/>
      <c r="AE563" s="2322"/>
      <c r="AF563" s="2322"/>
      <c r="AG563" s="2322"/>
      <c r="AH563" s="2322"/>
      <c r="AI563" s="2322"/>
      <c r="AJ563" s="2322"/>
      <c r="AK563" s="2322"/>
      <c r="AL563" s="2322"/>
      <c r="AM563" s="2322"/>
      <c r="AN563" s="2322"/>
      <c r="AO563" s="2322"/>
      <c r="AP563" s="2322"/>
      <c r="AQ563" s="2322"/>
      <c r="AR563" s="2322"/>
      <c r="AS563" s="2322"/>
      <c r="AT563" s="2322"/>
      <c r="AU563" s="2322"/>
      <c r="AV563" s="2322"/>
      <c r="AW563" s="2322"/>
      <c r="AX563" s="2322"/>
      <c r="AY563" s="2322"/>
      <c r="AZ563" s="2322"/>
      <c r="BA563" s="2322"/>
      <c r="BB563" s="2322"/>
      <c r="BC563" s="2322"/>
      <c r="BD563" s="2322"/>
      <c r="BE563" s="2322"/>
      <c r="BF563" s="2322"/>
      <c r="BG563" s="2322"/>
      <c r="BH563" s="2322"/>
      <c r="BI563" s="2322"/>
      <c r="BJ563" s="2322"/>
      <c r="BK563" s="2322"/>
      <c r="BL563" s="2322"/>
      <c r="BM563" s="2322"/>
      <c r="BN563" s="2322"/>
      <c r="BO563" s="2322"/>
      <c r="BP563" s="2322"/>
      <c r="BQ563" s="2322"/>
      <c r="BR563" s="2322"/>
      <c r="BS563" s="2322"/>
      <c r="BT563" s="2322"/>
      <c r="BU563" s="2322"/>
      <c r="BV563" s="2322"/>
      <c r="BW563" s="2322"/>
      <c r="BX563" s="2322"/>
      <c r="BY563" s="2322"/>
      <c r="BZ563" s="2322"/>
      <c r="CA563" s="2322"/>
      <c r="CB563" s="2322"/>
      <c r="CC563" s="2322"/>
      <c r="CD563" s="2322"/>
      <c r="CE563" s="2322"/>
      <c r="CF563" s="2322"/>
      <c r="CG563" s="2322"/>
      <c r="CH563" s="2322"/>
      <c r="CI563" s="2322"/>
      <c r="CJ563" s="2322"/>
      <c r="CK563" s="2322"/>
      <c r="CL563" s="2322"/>
      <c r="CM563" s="2322"/>
      <c r="CN563" s="2322"/>
      <c r="CO563" s="2322"/>
      <c r="CP563" s="2322"/>
      <c r="CQ563" s="2322"/>
      <c r="CR563" s="2322"/>
      <c r="CS563" s="2322"/>
      <c r="CT563" s="2322"/>
      <c r="CU563" s="2322"/>
      <c r="CV563" s="2322"/>
    </row>
    <row r="564" spans="1:100" ht="15.75" customHeight="1">
      <c r="A564" s="2328"/>
      <c r="B564" s="2322"/>
      <c r="C564" s="2322"/>
      <c r="D564" s="2322"/>
      <c r="E564" s="2322"/>
      <c r="F564" s="2322"/>
      <c r="G564" s="2322"/>
      <c r="H564" s="2322"/>
      <c r="I564" s="2322"/>
      <c r="J564" s="2322"/>
      <c r="K564" s="2322"/>
      <c r="L564" s="2322"/>
      <c r="M564" s="2322"/>
      <c r="N564" s="2322"/>
      <c r="O564" s="2322"/>
      <c r="P564" s="2322"/>
      <c r="Q564" s="2322"/>
      <c r="R564" s="2322"/>
      <c r="S564" s="2322"/>
      <c r="T564" s="2322"/>
      <c r="U564" s="2322"/>
      <c r="V564" s="2322"/>
      <c r="W564" s="2322"/>
      <c r="X564" s="2322"/>
      <c r="Y564" s="2322"/>
      <c r="Z564" s="2322"/>
      <c r="AA564" s="2322"/>
      <c r="AB564" s="2322"/>
      <c r="AC564" s="2322"/>
      <c r="AD564" s="2322"/>
      <c r="AE564" s="2322"/>
      <c r="AF564" s="2322"/>
      <c r="AG564" s="2322"/>
      <c r="AH564" s="2322"/>
      <c r="AI564" s="2322"/>
      <c r="AJ564" s="2322"/>
      <c r="AK564" s="2322"/>
      <c r="AL564" s="2322"/>
      <c r="AM564" s="2322"/>
      <c r="AN564" s="2322"/>
      <c r="AO564" s="2322"/>
      <c r="AP564" s="2322"/>
      <c r="AQ564" s="2322"/>
      <c r="AR564" s="2322"/>
      <c r="AS564" s="2322"/>
      <c r="AT564" s="2322"/>
      <c r="AU564" s="2322"/>
      <c r="AV564" s="2322"/>
      <c r="AW564" s="2322"/>
      <c r="AX564" s="2322"/>
      <c r="AY564" s="2322"/>
      <c r="AZ564" s="2322"/>
      <c r="BA564" s="2322"/>
      <c r="BB564" s="2322"/>
      <c r="BC564" s="2322"/>
      <c r="BD564" s="2322"/>
      <c r="BE564" s="2322"/>
      <c r="BF564" s="2322"/>
      <c r="BG564" s="2322"/>
      <c r="BH564" s="2322"/>
      <c r="BI564" s="2322"/>
      <c r="BJ564" s="2322"/>
      <c r="BK564" s="2322"/>
      <c r="BL564" s="2322"/>
      <c r="BM564" s="2322"/>
      <c r="BN564" s="2322"/>
      <c r="BO564" s="2322"/>
      <c r="BP564" s="2322"/>
      <c r="BQ564" s="2322"/>
      <c r="BR564" s="2322"/>
      <c r="BS564" s="2322"/>
      <c r="BT564" s="2322"/>
      <c r="BU564" s="2322"/>
      <c r="BV564" s="2322"/>
      <c r="BW564" s="2322"/>
      <c r="BX564" s="2322"/>
      <c r="BY564" s="2322"/>
      <c r="BZ564" s="2322"/>
      <c r="CA564" s="2322"/>
      <c r="CB564" s="2322"/>
      <c r="CC564" s="2322"/>
      <c r="CD564" s="2322"/>
      <c r="CE564" s="2322"/>
      <c r="CF564" s="2322"/>
      <c r="CG564" s="2322"/>
      <c r="CH564" s="2322"/>
      <c r="CI564" s="2322"/>
      <c r="CJ564" s="2322"/>
      <c r="CK564" s="2322"/>
      <c r="CL564" s="2322"/>
      <c r="CM564" s="2322"/>
      <c r="CN564" s="2322"/>
      <c r="CO564" s="2322"/>
      <c r="CP564" s="2322"/>
      <c r="CQ564" s="2322"/>
      <c r="CR564" s="2322"/>
      <c r="CS564" s="2322"/>
      <c r="CT564" s="2322"/>
      <c r="CU564" s="2322"/>
      <c r="CV564" s="2322"/>
    </row>
    <row r="565" spans="1:100" ht="15.75" customHeight="1">
      <c r="A565" s="2328"/>
      <c r="B565" s="2322"/>
      <c r="C565" s="2322"/>
      <c r="D565" s="2322"/>
      <c r="E565" s="2322"/>
      <c r="F565" s="2322"/>
      <c r="G565" s="2322"/>
      <c r="H565" s="2322"/>
      <c r="I565" s="2322"/>
      <c r="J565" s="2322"/>
      <c r="K565" s="2322"/>
      <c r="L565" s="2322"/>
      <c r="M565" s="2322"/>
      <c r="N565" s="2322"/>
      <c r="O565" s="2322"/>
      <c r="P565" s="2322"/>
      <c r="Q565" s="2322"/>
      <c r="R565" s="2322"/>
      <c r="S565" s="2322"/>
      <c r="T565" s="2322"/>
      <c r="U565" s="2322"/>
      <c r="V565" s="2322"/>
      <c r="W565" s="2322"/>
      <c r="X565" s="2322"/>
      <c r="Y565" s="2322"/>
      <c r="Z565" s="2322"/>
      <c r="AA565" s="2322"/>
      <c r="AB565" s="2322"/>
      <c r="AC565" s="2322"/>
      <c r="AD565" s="2322"/>
      <c r="AE565" s="2322"/>
      <c r="AF565" s="2322"/>
      <c r="AG565" s="2322"/>
      <c r="AH565" s="2322"/>
      <c r="AI565" s="2322"/>
      <c r="AJ565" s="2322"/>
      <c r="AK565" s="2322"/>
      <c r="AL565" s="2322"/>
      <c r="AM565" s="2322"/>
      <c r="AN565" s="2322"/>
      <c r="AO565" s="2322"/>
      <c r="AP565" s="2322"/>
      <c r="AQ565" s="2322"/>
      <c r="AR565" s="2322"/>
      <c r="AS565" s="2322"/>
      <c r="AT565" s="2322"/>
      <c r="AU565" s="2322"/>
      <c r="AV565" s="2322"/>
      <c r="AW565" s="2322"/>
      <c r="AX565" s="2322"/>
      <c r="AY565" s="2322"/>
      <c r="AZ565" s="2322"/>
      <c r="BA565" s="2322"/>
      <c r="BB565" s="2322"/>
      <c r="BC565" s="2322"/>
      <c r="BD565" s="2322"/>
      <c r="BE565" s="2322"/>
      <c r="BF565" s="2322"/>
      <c r="BG565" s="2322"/>
      <c r="BH565" s="2322"/>
      <c r="BI565" s="2322"/>
      <c r="BJ565" s="2322"/>
      <c r="BK565" s="2322"/>
      <c r="BL565" s="2322"/>
      <c r="BM565" s="2322"/>
      <c r="BN565" s="2322"/>
      <c r="BO565" s="2322"/>
      <c r="BP565" s="2322"/>
      <c r="BQ565" s="2322"/>
      <c r="BR565" s="2322"/>
      <c r="BS565" s="2322"/>
      <c r="BT565" s="2322"/>
      <c r="BU565" s="2322"/>
      <c r="BV565" s="2322"/>
      <c r="BW565" s="2322"/>
      <c r="BX565" s="2322"/>
      <c r="BY565" s="2322"/>
      <c r="BZ565" s="2322"/>
      <c r="CA565" s="2322"/>
      <c r="CB565" s="2322"/>
      <c r="CC565" s="2322"/>
      <c r="CD565" s="2322"/>
      <c r="CE565" s="2322"/>
      <c r="CF565" s="2322"/>
      <c r="CG565" s="2322"/>
      <c r="CH565" s="2322"/>
      <c r="CI565" s="2322"/>
      <c r="CJ565" s="2322"/>
      <c r="CK565" s="2322"/>
      <c r="CL565" s="2322"/>
      <c r="CM565" s="2322"/>
      <c r="CN565" s="2322"/>
      <c r="CO565" s="2322"/>
      <c r="CP565" s="2322"/>
      <c r="CQ565" s="2322"/>
      <c r="CR565" s="2322"/>
      <c r="CS565" s="2322"/>
      <c r="CT565" s="2322"/>
      <c r="CU565" s="2322"/>
      <c r="CV565" s="2322"/>
    </row>
    <row r="566" spans="1:100" ht="15.75" customHeight="1">
      <c r="A566" s="2328"/>
      <c r="B566" s="2322"/>
      <c r="C566" s="2322"/>
      <c r="D566" s="2322"/>
      <c r="E566" s="2322"/>
      <c r="F566" s="2322"/>
      <c r="G566" s="2322"/>
      <c r="H566" s="2322"/>
      <c r="I566" s="2322"/>
      <c r="J566" s="2322"/>
      <c r="K566" s="2322"/>
      <c r="L566" s="2322"/>
      <c r="M566" s="2322"/>
      <c r="N566" s="2322"/>
      <c r="O566" s="2322"/>
      <c r="P566" s="2322"/>
      <c r="Q566" s="2322"/>
      <c r="R566" s="2322"/>
      <c r="S566" s="2322"/>
      <c r="T566" s="2322"/>
      <c r="U566" s="2322"/>
      <c r="V566" s="2322"/>
      <c r="W566" s="2322"/>
      <c r="X566" s="2322"/>
      <c r="Y566" s="2322"/>
      <c r="Z566" s="2322"/>
      <c r="AA566" s="2322"/>
      <c r="AB566" s="2322"/>
      <c r="AC566" s="2322"/>
      <c r="AD566" s="2322"/>
      <c r="AE566" s="2322"/>
      <c r="AF566" s="2322"/>
      <c r="AG566" s="2322"/>
      <c r="AH566" s="2322"/>
      <c r="AI566" s="2322"/>
      <c r="AJ566" s="2322"/>
      <c r="AK566" s="2322"/>
      <c r="AL566" s="2322"/>
      <c r="AM566" s="2322"/>
      <c r="AN566" s="2322"/>
      <c r="AO566" s="2322"/>
      <c r="AP566" s="2322"/>
      <c r="AQ566" s="2322"/>
      <c r="AR566" s="2322"/>
      <c r="AS566" s="2322"/>
      <c r="AT566" s="2322"/>
      <c r="AU566" s="2322"/>
      <c r="AV566" s="2322"/>
      <c r="AW566" s="2322"/>
      <c r="AX566" s="2322"/>
      <c r="AY566" s="2322"/>
      <c r="AZ566" s="2322"/>
      <c r="BA566" s="2322"/>
      <c r="BB566" s="2322"/>
      <c r="BC566" s="2322"/>
      <c r="BD566" s="2322"/>
      <c r="BE566" s="2322"/>
      <c r="BF566" s="2322"/>
      <c r="BG566" s="2322"/>
      <c r="BH566" s="2322"/>
      <c r="BI566" s="2322"/>
      <c r="BJ566" s="2322"/>
      <c r="BK566" s="2322"/>
      <c r="BL566" s="2322"/>
      <c r="BM566" s="2322"/>
      <c r="BN566" s="2322"/>
      <c r="BO566" s="2322"/>
      <c r="BP566" s="2322"/>
      <c r="BQ566" s="2322"/>
      <c r="BR566" s="2322"/>
      <c r="BS566" s="2322"/>
      <c r="BT566" s="2322"/>
      <c r="BU566" s="2322"/>
      <c r="BV566" s="2322"/>
      <c r="BW566" s="2322"/>
      <c r="BX566" s="2322"/>
      <c r="BY566" s="2322"/>
      <c r="BZ566" s="2322"/>
      <c r="CA566" s="2322"/>
      <c r="CB566" s="2322"/>
      <c r="CC566" s="2322"/>
      <c r="CD566" s="2322"/>
      <c r="CE566" s="2322"/>
      <c r="CF566" s="2322"/>
      <c r="CG566" s="2322"/>
      <c r="CH566" s="2322"/>
      <c r="CI566" s="2322"/>
      <c r="CJ566" s="2322"/>
      <c r="CK566" s="2322"/>
      <c r="CL566" s="2322"/>
      <c r="CM566" s="2322"/>
      <c r="CN566" s="2322"/>
      <c r="CO566" s="2322"/>
      <c r="CP566" s="2322"/>
      <c r="CQ566" s="2322"/>
      <c r="CR566" s="2322"/>
      <c r="CS566" s="2322"/>
      <c r="CT566" s="2322"/>
      <c r="CU566" s="2322"/>
      <c r="CV566" s="2322"/>
    </row>
    <row r="567" spans="1:100" ht="15.75" customHeight="1">
      <c r="A567" s="2328"/>
      <c r="B567" s="2322"/>
      <c r="C567" s="2322"/>
      <c r="D567" s="2322"/>
      <c r="E567" s="2322"/>
      <c r="F567" s="2322"/>
      <c r="G567" s="2322"/>
      <c r="H567" s="2322"/>
      <c r="I567" s="2322"/>
      <c r="J567" s="2322"/>
      <c r="K567" s="2322"/>
      <c r="L567" s="2322"/>
      <c r="M567" s="2322"/>
      <c r="N567" s="2322"/>
      <c r="O567" s="2322"/>
      <c r="P567" s="2322"/>
      <c r="Q567" s="2322"/>
      <c r="R567" s="2322"/>
      <c r="S567" s="2322"/>
      <c r="T567" s="2322"/>
      <c r="U567" s="2322"/>
      <c r="V567" s="2322"/>
      <c r="W567" s="2322"/>
      <c r="X567" s="2322"/>
      <c r="Y567" s="2322"/>
      <c r="Z567" s="2322"/>
      <c r="AA567" s="2322"/>
      <c r="AB567" s="2322"/>
      <c r="AC567" s="2322"/>
      <c r="AD567" s="2322"/>
      <c r="AE567" s="2322"/>
      <c r="AF567" s="2322"/>
      <c r="AG567" s="2322"/>
      <c r="AH567" s="2322"/>
      <c r="AI567" s="2322"/>
      <c r="AJ567" s="2322"/>
      <c r="AK567" s="2322"/>
      <c r="AL567" s="2322"/>
      <c r="AM567" s="2322"/>
      <c r="AN567" s="2322"/>
      <c r="AO567" s="2322"/>
      <c r="AP567" s="2322"/>
      <c r="AQ567" s="2322"/>
      <c r="AR567" s="2322"/>
      <c r="AS567" s="2322"/>
      <c r="AT567" s="2322"/>
      <c r="AU567" s="2322"/>
      <c r="AV567" s="2322"/>
      <c r="AW567" s="2322"/>
      <c r="AX567" s="2322"/>
      <c r="AY567" s="2322"/>
      <c r="AZ567" s="2322"/>
      <c r="BA567" s="2322"/>
      <c r="BB567" s="2322"/>
      <c r="BC567" s="2322"/>
      <c r="BD567" s="2322"/>
      <c r="BE567" s="2322"/>
      <c r="BF567" s="2322"/>
      <c r="BG567" s="2322"/>
      <c r="BH567" s="2322"/>
      <c r="BI567" s="2322"/>
      <c r="BJ567" s="2322"/>
      <c r="BK567" s="2322"/>
      <c r="BL567" s="2322"/>
      <c r="BM567" s="2322"/>
      <c r="BN567" s="2322"/>
      <c r="BO567" s="2322"/>
      <c r="BP567" s="2322"/>
      <c r="BQ567" s="2322"/>
      <c r="BR567" s="2322"/>
      <c r="BS567" s="2322"/>
      <c r="BT567" s="2322"/>
      <c r="BU567" s="2322"/>
      <c r="BV567" s="2322"/>
      <c r="BW567" s="2322"/>
      <c r="BX567" s="2322"/>
      <c r="BY567" s="2322"/>
      <c r="BZ567" s="2322"/>
      <c r="CA567" s="2322"/>
      <c r="CB567" s="2322"/>
      <c r="CC567" s="2322"/>
      <c r="CD567" s="2322"/>
      <c r="CE567" s="2322"/>
      <c r="CF567" s="2322"/>
      <c r="CG567" s="2322"/>
      <c r="CH567" s="2322"/>
      <c r="CI567" s="2322"/>
      <c r="CJ567" s="2322"/>
      <c r="CK567" s="2322"/>
      <c r="CL567" s="2322"/>
      <c r="CM567" s="2322"/>
      <c r="CN567" s="2322"/>
      <c r="CO567" s="2322"/>
      <c r="CP567" s="2322"/>
      <c r="CQ567" s="2322"/>
      <c r="CR567" s="2322"/>
      <c r="CS567" s="2322"/>
      <c r="CT567" s="2322"/>
      <c r="CU567" s="2322"/>
      <c r="CV567" s="2322"/>
    </row>
    <row r="568" spans="1:100" ht="15.75" customHeight="1">
      <c r="A568" s="2328"/>
      <c r="B568" s="2322"/>
      <c r="C568" s="2322"/>
      <c r="D568" s="2322"/>
      <c r="E568" s="2322"/>
      <c r="F568" s="2322"/>
      <c r="G568" s="2322"/>
      <c r="H568" s="2322"/>
      <c r="I568" s="2322"/>
      <c r="J568" s="2322"/>
      <c r="K568" s="2322"/>
      <c r="L568" s="2322"/>
      <c r="M568" s="2322"/>
      <c r="N568" s="2322"/>
      <c r="O568" s="2322"/>
      <c r="P568" s="2322"/>
      <c r="Q568" s="2322"/>
      <c r="R568" s="2322"/>
      <c r="S568" s="2322"/>
      <c r="T568" s="2322"/>
      <c r="U568" s="2322"/>
      <c r="V568" s="2322"/>
      <c r="W568" s="2322"/>
      <c r="X568" s="2322"/>
      <c r="Y568" s="2322"/>
      <c r="Z568" s="2322"/>
      <c r="AA568" s="2322"/>
      <c r="AB568" s="2322"/>
      <c r="AC568" s="2322"/>
      <c r="AD568" s="2322"/>
      <c r="AE568" s="2322"/>
      <c r="AF568" s="2322"/>
      <c r="AG568" s="2322"/>
      <c r="AH568" s="2322"/>
      <c r="AI568" s="2322"/>
      <c r="AJ568" s="2322"/>
      <c r="AK568" s="2322"/>
      <c r="AL568" s="2322"/>
      <c r="AM568" s="2322"/>
      <c r="AN568" s="2322"/>
      <c r="AO568" s="2322"/>
      <c r="AP568" s="2322"/>
      <c r="AQ568" s="2322"/>
      <c r="AR568" s="2322"/>
      <c r="AS568" s="2322"/>
      <c r="AT568" s="2322"/>
      <c r="AU568" s="2322"/>
      <c r="AV568" s="2322"/>
      <c r="AW568" s="2322"/>
      <c r="AX568" s="2322"/>
      <c r="AY568" s="2322"/>
      <c r="AZ568" s="2322"/>
      <c r="BA568" s="2322"/>
      <c r="BB568" s="2322"/>
      <c r="BC568" s="2322"/>
      <c r="BD568" s="2322"/>
      <c r="BE568" s="2322"/>
      <c r="BF568" s="2322"/>
      <c r="BG568" s="2322"/>
      <c r="BH568" s="2322"/>
      <c r="BI568" s="2322"/>
      <c r="BJ568" s="2322"/>
      <c r="BK568" s="2322"/>
      <c r="BL568" s="2322"/>
      <c r="BM568" s="2322"/>
      <c r="BN568" s="2322"/>
      <c r="BO568" s="2322"/>
      <c r="BP568" s="2322"/>
      <c r="BQ568" s="2322"/>
      <c r="BR568" s="2322"/>
      <c r="BS568" s="2322"/>
      <c r="BT568" s="2322"/>
      <c r="BU568" s="2322"/>
      <c r="BV568" s="2322"/>
      <c r="BW568" s="2322"/>
      <c r="BX568" s="2322"/>
      <c r="BY568" s="2322"/>
      <c r="BZ568" s="2322"/>
      <c r="CA568" s="2322"/>
      <c r="CB568" s="2322"/>
      <c r="CC568" s="2322"/>
      <c r="CD568" s="2322"/>
      <c r="CE568" s="2322"/>
      <c r="CF568" s="2322"/>
      <c r="CG568" s="2322"/>
      <c r="CH568" s="2322"/>
      <c r="CI568" s="2322"/>
      <c r="CJ568" s="2322"/>
      <c r="CK568" s="2322"/>
      <c r="CL568" s="2322"/>
      <c r="CM568" s="2322"/>
      <c r="CN568" s="2322"/>
      <c r="CO568" s="2322"/>
      <c r="CP568" s="2322"/>
      <c r="CQ568" s="2322"/>
      <c r="CR568" s="2322"/>
      <c r="CS568" s="2322"/>
      <c r="CT568" s="2322"/>
      <c r="CU568" s="2322"/>
      <c r="CV568" s="2322"/>
    </row>
    <row r="569" spans="1:100" ht="15.75" customHeight="1">
      <c r="A569" s="2328"/>
      <c r="B569" s="2322"/>
      <c r="C569" s="2322"/>
      <c r="D569" s="2322"/>
      <c r="E569" s="2322"/>
      <c r="F569" s="2322"/>
      <c r="G569" s="2322"/>
      <c r="H569" s="2322"/>
      <c r="I569" s="2322"/>
      <c r="J569" s="2322"/>
      <c r="K569" s="2322"/>
      <c r="L569" s="2322"/>
      <c r="M569" s="2322"/>
      <c r="N569" s="2322"/>
      <c r="O569" s="2322"/>
      <c r="P569" s="2322"/>
      <c r="Q569" s="2322"/>
      <c r="R569" s="2322"/>
      <c r="S569" s="2322"/>
      <c r="T569" s="2322"/>
      <c r="U569" s="2322"/>
      <c r="V569" s="2322"/>
      <c r="W569" s="2322"/>
      <c r="X569" s="2322"/>
      <c r="Y569" s="2322"/>
      <c r="Z569" s="2322"/>
      <c r="AA569" s="2322"/>
      <c r="AB569" s="2322"/>
      <c r="AC569" s="2322"/>
      <c r="AD569" s="2322"/>
      <c r="AE569" s="2322"/>
      <c r="AF569" s="2322"/>
      <c r="AG569" s="2322"/>
      <c r="AH569" s="2322"/>
      <c r="AI569" s="2322"/>
      <c r="AJ569" s="2322"/>
      <c r="AK569" s="2322"/>
      <c r="AL569" s="2322"/>
      <c r="AM569" s="2322"/>
      <c r="AN569" s="2322"/>
      <c r="AO569" s="2322"/>
      <c r="AP569" s="2322"/>
      <c r="AQ569" s="2322"/>
      <c r="AR569" s="2322"/>
      <c r="AS569" s="2322"/>
      <c r="AT569" s="2322"/>
      <c r="AU569" s="2322"/>
      <c r="AV569" s="2322"/>
      <c r="AW569" s="2322"/>
      <c r="AX569" s="2322"/>
      <c r="AY569" s="2322"/>
      <c r="AZ569" s="2322"/>
      <c r="BA569" s="2322"/>
      <c r="BB569" s="2322"/>
      <c r="BC569" s="2322"/>
      <c r="BD569" s="2322"/>
      <c r="BE569" s="2322"/>
      <c r="BF569" s="2322"/>
      <c r="BG569" s="2322"/>
      <c r="BH569" s="2322"/>
      <c r="BI569" s="2322"/>
      <c r="BJ569" s="2322"/>
      <c r="BK569" s="2322"/>
      <c r="BL569" s="2322"/>
      <c r="BM569" s="2322"/>
      <c r="BN569" s="2322"/>
      <c r="BO569" s="2322"/>
      <c r="BP569" s="2322"/>
      <c r="BQ569" s="2322"/>
      <c r="BR569" s="2322"/>
      <c r="BS569" s="2322"/>
      <c r="BT569" s="2322"/>
      <c r="BU569" s="2322"/>
      <c r="BV569" s="2322"/>
      <c r="BW569" s="2322"/>
      <c r="BX569" s="2322"/>
      <c r="BY569" s="2322"/>
      <c r="BZ569" s="2322"/>
      <c r="CA569" s="2322"/>
      <c r="CB569" s="2322"/>
      <c r="CC569" s="2322"/>
      <c r="CD569" s="2322"/>
      <c r="CE569" s="2322"/>
      <c r="CF569" s="2322"/>
      <c r="CG569" s="2322"/>
      <c r="CH569" s="2322"/>
      <c r="CI569" s="2322"/>
      <c r="CJ569" s="2322"/>
      <c r="CK569" s="2322"/>
      <c r="CL569" s="2322"/>
      <c r="CM569" s="2322"/>
      <c r="CN569" s="2322"/>
      <c r="CO569" s="2322"/>
      <c r="CP569" s="2322"/>
      <c r="CQ569" s="2322"/>
      <c r="CR569" s="2322"/>
      <c r="CS569" s="2322"/>
      <c r="CT569" s="2322"/>
      <c r="CU569" s="2322"/>
      <c r="CV569" s="2322"/>
    </row>
    <row r="570" spans="1:100" ht="15.75" customHeight="1">
      <c r="A570" s="2328"/>
      <c r="B570" s="2322"/>
      <c r="C570" s="2322"/>
      <c r="D570" s="2322"/>
      <c r="E570" s="2322"/>
      <c r="F570" s="2322"/>
      <c r="G570" s="2322"/>
      <c r="H570" s="2322"/>
      <c r="I570" s="2322"/>
      <c r="J570" s="2322"/>
      <c r="K570" s="2322"/>
      <c r="L570" s="2322"/>
      <c r="M570" s="2322"/>
      <c r="N570" s="2322"/>
      <c r="O570" s="2322"/>
      <c r="P570" s="2322"/>
      <c r="Q570" s="2322"/>
      <c r="R570" s="2322"/>
      <c r="S570" s="2322"/>
      <c r="T570" s="2322"/>
      <c r="U570" s="2322"/>
      <c r="V570" s="2322"/>
      <c r="W570" s="2322"/>
      <c r="X570" s="2322"/>
      <c r="Y570" s="2322"/>
      <c r="Z570" s="2322"/>
      <c r="AA570" s="2322"/>
      <c r="AB570" s="2322"/>
      <c r="AC570" s="2322"/>
      <c r="AD570" s="2322"/>
      <c r="AE570" s="2322"/>
      <c r="AF570" s="2322"/>
      <c r="AG570" s="2322"/>
      <c r="AH570" s="2322"/>
      <c r="AI570" s="2322"/>
      <c r="AJ570" s="2322"/>
      <c r="AK570" s="2322"/>
      <c r="AL570" s="2322"/>
      <c r="AM570" s="2322"/>
      <c r="AN570" s="2322"/>
      <c r="AO570" s="2322"/>
      <c r="AP570" s="2322"/>
      <c r="AQ570" s="2322"/>
      <c r="AR570" s="2322"/>
      <c r="AS570" s="2322"/>
      <c r="AT570" s="2322"/>
      <c r="AU570" s="2322"/>
      <c r="AV570" s="2322"/>
      <c r="AW570" s="2322"/>
      <c r="AX570" s="2322"/>
      <c r="AY570" s="2322"/>
      <c r="AZ570" s="2322"/>
      <c r="BA570" s="2322"/>
      <c r="BB570" s="2322"/>
      <c r="BC570" s="2322"/>
      <c r="BD570" s="2322"/>
      <c r="BE570" s="2322"/>
      <c r="BF570" s="2322"/>
      <c r="BG570" s="2322"/>
      <c r="BH570" s="2322"/>
      <c r="BI570" s="2322"/>
      <c r="BJ570" s="2322"/>
      <c r="BK570" s="2322"/>
      <c r="BL570" s="2322"/>
      <c r="BM570" s="2322"/>
      <c r="BN570" s="2322"/>
      <c r="BO570" s="2322"/>
      <c r="BP570" s="2322"/>
      <c r="BQ570" s="2322"/>
      <c r="BR570" s="2322"/>
      <c r="BS570" s="2322"/>
      <c r="BT570" s="2322"/>
      <c r="BU570" s="2322"/>
      <c r="BV570" s="2322"/>
      <c r="BW570" s="2322"/>
      <c r="BX570" s="2322"/>
      <c r="BY570" s="2322"/>
      <c r="BZ570" s="2322"/>
      <c r="CA570" s="2322"/>
      <c r="CB570" s="2322"/>
      <c r="CC570" s="2322"/>
      <c r="CD570" s="2322"/>
      <c r="CE570" s="2322"/>
      <c r="CF570" s="2322"/>
      <c r="CG570" s="2322"/>
      <c r="CH570" s="2322"/>
      <c r="CI570" s="2322"/>
      <c r="CJ570" s="2322"/>
      <c r="CK570" s="2322"/>
      <c r="CL570" s="2322"/>
      <c r="CM570" s="2322"/>
      <c r="CN570" s="2322"/>
      <c r="CO570" s="2322"/>
      <c r="CP570" s="2322"/>
      <c r="CQ570" s="2322"/>
      <c r="CR570" s="2322"/>
      <c r="CS570" s="2322"/>
      <c r="CT570" s="2322"/>
      <c r="CU570" s="2322"/>
      <c r="CV570" s="2322"/>
    </row>
    <row r="571" spans="1:100" ht="15.75" customHeight="1">
      <c r="A571" s="2328"/>
      <c r="B571" s="2322"/>
      <c r="C571" s="2322"/>
      <c r="D571" s="2322"/>
      <c r="E571" s="2322"/>
      <c r="F571" s="2322"/>
      <c r="G571" s="2322"/>
      <c r="H571" s="2322"/>
      <c r="I571" s="2322"/>
      <c r="J571" s="2322"/>
      <c r="K571" s="2322"/>
      <c r="L571" s="2322"/>
      <c r="M571" s="2322"/>
      <c r="N571" s="2322"/>
      <c r="O571" s="2322"/>
      <c r="P571" s="2322"/>
      <c r="Q571" s="2322"/>
      <c r="R571" s="2322"/>
      <c r="S571" s="2322"/>
      <c r="T571" s="2322"/>
      <c r="U571" s="2322"/>
      <c r="V571" s="2322"/>
      <c r="W571" s="2322"/>
      <c r="X571" s="2322"/>
      <c r="Y571" s="2322"/>
      <c r="Z571" s="2322"/>
      <c r="AA571" s="2322"/>
      <c r="AB571" s="2322"/>
      <c r="AC571" s="2322"/>
      <c r="AD571" s="2322"/>
      <c r="AE571" s="2322"/>
      <c r="AF571" s="2322"/>
      <c r="AG571" s="2322"/>
      <c r="AH571" s="2322"/>
      <c r="AI571" s="2322"/>
      <c r="AJ571" s="2322"/>
      <c r="AK571" s="2322"/>
      <c r="AL571" s="2322"/>
      <c r="AM571" s="2322"/>
      <c r="AN571" s="2322"/>
      <c r="AO571" s="2322"/>
      <c r="AP571" s="2322"/>
      <c r="AQ571" s="2322"/>
      <c r="AR571" s="2322"/>
      <c r="AS571" s="2322"/>
      <c r="AT571" s="2322"/>
      <c r="AU571" s="2322"/>
      <c r="AV571" s="2322"/>
      <c r="AW571" s="2322"/>
      <c r="AX571" s="2322"/>
      <c r="AY571" s="2322"/>
      <c r="AZ571" s="2322"/>
      <c r="BA571" s="2322"/>
      <c r="BB571" s="2322"/>
      <c r="BC571" s="2322"/>
      <c r="BD571" s="2322"/>
      <c r="BE571" s="2322"/>
      <c r="BF571" s="2322"/>
      <c r="BG571" s="2322"/>
      <c r="BH571" s="2322"/>
      <c r="BI571" s="2322"/>
      <c r="BJ571" s="2322"/>
      <c r="BK571" s="2322"/>
      <c r="BL571" s="2322"/>
      <c r="BM571" s="2322"/>
      <c r="BN571" s="2322"/>
      <c r="BO571" s="2322"/>
      <c r="BP571" s="2322"/>
      <c r="BQ571" s="2322"/>
      <c r="BR571" s="2322"/>
      <c r="BS571" s="2322"/>
      <c r="BT571" s="2322"/>
      <c r="BU571" s="2322"/>
      <c r="BV571" s="2322"/>
      <c r="BW571" s="2322"/>
      <c r="BX571" s="2322"/>
      <c r="BY571" s="2322"/>
      <c r="BZ571" s="2322"/>
      <c r="CA571" s="2322"/>
      <c r="CB571" s="2322"/>
      <c r="CC571" s="2322"/>
      <c r="CD571" s="2322"/>
      <c r="CE571" s="2322"/>
      <c r="CF571" s="2322"/>
      <c r="CG571" s="2322"/>
      <c r="CH571" s="2322"/>
      <c r="CI571" s="2322"/>
      <c r="CJ571" s="2322"/>
      <c r="CK571" s="2322"/>
      <c r="CL571" s="2322"/>
      <c r="CM571" s="2322"/>
      <c r="CN571" s="2322"/>
      <c r="CO571" s="2322"/>
      <c r="CP571" s="2322"/>
      <c r="CQ571" s="2322"/>
      <c r="CR571" s="2322"/>
      <c r="CS571" s="2322"/>
      <c r="CT571" s="2322"/>
      <c r="CU571" s="2322"/>
      <c r="CV571" s="2322"/>
    </row>
    <row r="572" spans="1:100" ht="15.75" customHeight="1">
      <c r="A572" s="2328"/>
      <c r="B572" s="2322"/>
      <c r="C572" s="2322"/>
      <c r="D572" s="2322"/>
      <c r="E572" s="2322"/>
      <c r="F572" s="2322"/>
      <c r="G572" s="2322"/>
      <c r="H572" s="2322"/>
      <c r="I572" s="2322"/>
      <c r="J572" s="2322"/>
      <c r="K572" s="2322"/>
      <c r="L572" s="2322"/>
      <c r="M572" s="2322"/>
      <c r="N572" s="2322"/>
      <c r="O572" s="2322"/>
      <c r="P572" s="2322"/>
      <c r="Q572" s="2322"/>
      <c r="R572" s="2322"/>
      <c r="S572" s="2322"/>
      <c r="T572" s="2322"/>
      <c r="U572" s="2322"/>
      <c r="V572" s="2322"/>
      <c r="W572" s="2322"/>
      <c r="X572" s="2322"/>
      <c r="Y572" s="2322"/>
      <c r="Z572" s="2322"/>
      <c r="AA572" s="2322"/>
      <c r="AB572" s="2322"/>
      <c r="AC572" s="2322"/>
      <c r="AD572" s="2322"/>
      <c r="AE572" s="2322"/>
      <c r="AF572" s="2322"/>
      <c r="AG572" s="2322"/>
      <c r="AH572" s="2322"/>
      <c r="AI572" s="2322"/>
      <c r="AJ572" s="2322"/>
      <c r="AK572" s="2322"/>
      <c r="AL572" s="2322"/>
      <c r="AM572" s="2322"/>
      <c r="AN572" s="2322"/>
      <c r="AO572" s="2322"/>
      <c r="AP572" s="2322"/>
      <c r="AQ572" s="2322"/>
      <c r="AR572" s="2322"/>
      <c r="AS572" s="2322"/>
      <c r="AT572" s="2322"/>
      <c r="AU572" s="2322"/>
      <c r="AV572" s="2322"/>
      <c r="AW572" s="2322"/>
      <c r="AX572" s="2322"/>
      <c r="AY572" s="2322"/>
      <c r="AZ572" s="2322"/>
      <c r="BA572" s="2322"/>
      <c r="BB572" s="2322"/>
      <c r="BC572" s="2322"/>
      <c r="BD572" s="2322"/>
      <c r="BE572" s="2322"/>
      <c r="BF572" s="2322"/>
      <c r="BG572" s="2322"/>
      <c r="BH572" s="2322"/>
      <c r="BI572" s="2322"/>
      <c r="BJ572" s="2322"/>
      <c r="BK572" s="2322"/>
      <c r="BL572" s="2322"/>
      <c r="BM572" s="2322"/>
      <c r="BN572" s="2322"/>
      <c r="BO572" s="2322"/>
      <c r="BP572" s="2322"/>
      <c r="BQ572" s="2322"/>
      <c r="BR572" s="2322"/>
      <c r="BS572" s="2322"/>
      <c r="BT572" s="2322"/>
      <c r="BU572" s="2322"/>
      <c r="BV572" s="2322"/>
      <c r="BW572" s="2322"/>
      <c r="BX572" s="2322"/>
      <c r="BY572" s="2322"/>
      <c r="BZ572" s="2322"/>
      <c r="CA572" s="2322"/>
      <c r="CB572" s="2322"/>
      <c r="CC572" s="2322"/>
      <c r="CD572" s="2322"/>
      <c r="CE572" s="2322"/>
      <c r="CF572" s="2322"/>
      <c r="CG572" s="2322"/>
      <c r="CH572" s="2322"/>
      <c r="CI572" s="2322"/>
      <c r="CJ572" s="2322"/>
      <c r="CK572" s="2322"/>
      <c r="CL572" s="2322"/>
      <c r="CM572" s="2322"/>
      <c r="CN572" s="2322"/>
      <c r="CO572" s="2322"/>
      <c r="CP572" s="2322"/>
      <c r="CQ572" s="2322"/>
      <c r="CR572" s="2322"/>
      <c r="CS572" s="2322"/>
      <c r="CT572" s="2322"/>
      <c r="CU572" s="2322"/>
      <c r="CV572" s="2322"/>
    </row>
    <row r="573" spans="1:100" ht="15.75" customHeight="1">
      <c r="A573" s="2328"/>
      <c r="B573" s="2322"/>
      <c r="C573" s="2322"/>
      <c r="D573" s="2322"/>
      <c r="E573" s="2322"/>
      <c r="F573" s="2322"/>
      <c r="G573" s="2322"/>
      <c r="H573" s="2322"/>
      <c r="I573" s="2322"/>
      <c r="J573" s="2322"/>
      <c r="K573" s="2322"/>
      <c r="L573" s="2322"/>
      <c r="M573" s="2322"/>
      <c r="N573" s="2322"/>
      <c r="O573" s="2322"/>
      <c r="P573" s="2322"/>
      <c r="Q573" s="2322"/>
      <c r="R573" s="2322"/>
      <c r="S573" s="2322"/>
      <c r="T573" s="2322"/>
      <c r="U573" s="2322"/>
      <c r="V573" s="2322"/>
      <c r="W573" s="2322"/>
      <c r="X573" s="2322"/>
      <c r="Y573" s="2322"/>
      <c r="Z573" s="2322"/>
      <c r="AA573" s="2322"/>
      <c r="AB573" s="2322"/>
      <c r="AC573" s="2322"/>
      <c r="AD573" s="2322"/>
      <c r="AE573" s="2322"/>
      <c r="AF573" s="2322"/>
      <c r="AG573" s="2322"/>
      <c r="AH573" s="2322"/>
      <c r="AI573" s="2322"/>
      <c r="AJ573" s="2322"/>
      <c r="AK573" s="2322"/>
      <c r="AL573" s="2322"/>
      <c r="AM573" s="2322"/>
      <c r="AN573" s="2322"/>
      <c r="AO573" s="2322"/>
      <c r="AP573" s="2322"/>
      <c r="AQ573" s="2322"/>
      <c r="AR573" s="2322"/>
      <c r="AS573" s="2322"/>
      <c r="AT573" s="2322"/>
      <c r="AU573" s="2322"/>
      <c r="AV573" s="2322"/>
      <c r="AW573" s="2322"/>
      <c r="AX573" s="2322"/>
      <c r="AY573" s="2322"/>
      <c r="AZ573" s="2322"/>
      <c r="BA573" s="2322"/>
      <c r="BB573" s="2322"/>
      <c r="BC573" s="2322"/>
      <c r="BD573" s="2322"/>
      <c r="BE573" s="2322"/>
      <c r="BF573" s="2322"/>
      <c r="BG573" s="2322"/>
      <c r="BH573" s="2322"/>
      <c r="BI573" s="2322"/>
      <c r="BJ573" s="2322"/>
      <c r="BK573" s="2322"/>
      <c r="BL573" s="2322"/>
      <c r="BM573" s="2322"/>
      <c r="BN573" s="2322"/>
      <c r="BO573" s="2322"/>
      <c r="BP573" s="2322"/>
      <c r="BQ573" s="2322"/>
      <c r="BR573" s="2322"/>
      <c r="BS573" s="2322"/>
      <c r="BT573" s="2322"/>
      <c r="BU573" s="2322"/>
      <c r="BV573" s="2322"/>
      <c r="BW573" s="2322"/>
      <c r="BX573" s="2322"/>
      <c r="BY573" s="2322"/>
      <c r="BZ573" s="2322"/>
      <c r="CA573" s="2322"/>
      <c r="CB573" s="2322"/>
      <c r="CC573" s="2322"/>
      <c r="CD573" s="2322"/>
      <c r="CE573" s="2322"/>
      <c r="CF573" s="2322"/>
      <c r="CG573" s="2322"/>
      <c r="CH573" s="2322"/>
      <c r="CI573" s="2322"/>
      <c r="CJ573" s="2322"/>
      <c r="CK573" s="2322"/>
      <c r="CL573" s="2322"/>
      <c r="CM573" s="2322"/>
      <c r="CN573" s="2322"/>
      <c r="CO573" s="2322"/>
      <c r="CP573" s="2322"/>
      <c r="CQ573" s="2322"/>
      <c r="CR573" s="2322"/>
      <c r="CS573" s="2322"/>
      <c r="CT573" s="2322"/>
      <c r="CU573" s="2322"/>
      <c r="CV573" s="2322"/>
    </row>
    <row r="574" spans="1:100" ht="15.75" customHeight="1">
      <c r="A574" s="2328"/>
      <c r="B574" s="2322"/>
      <c r="C574" s="2322"/>
      <c r="D574" s="2322"/>
      <c r="E574" s="2322"/>
      <c r="F574" s="2322"/>
      <c r="G574" s="2322"/>
      <c r="H574" s="2322"/>
      <c r="I574" s="2322"/>
      <c r="J574" s="2322"/>
      <c r="K574" s="2322"/>
      <c r="L574" s="2322"/>
      <c r="M574" s="2322"/>
      <c r="N574" s="2322"/>
      <c r="O574" s="2322"/>
      <c r="P574" s="2322"/>
      <c r="Q574" s="2322"/>
      <c r="R574" s="2322"/>
      <c r="S574" s="2322"/>
      <c r="T574" s="2322"/>
      <c r="U574" s="2322"/>
      <c r="V574" s="2322"/>
      <c r="W574" s="2322"/>
      <c r="X574" s="2322"/>
      <c r="Y574" s="2322"/>
      <c r="Z574" s="2322"/>
      <c r="AA574" s="2322"/>
      <c r="AB574" s="2322"/>
      <c r="AC574" s="2322"/>
      <c r="AD574" s="2322"/>
      <c r="AE574" s="2322"/>
      <c r="AF574" s="2322"/>
      <c r="AG574" s="2322"/>
      <c r="AH574" s="2322"/>
      <c r="AI574" s="2322"/>
      <c r="AJ574" s="2322"/>
      <c r="AK574" s="2322"/>
      <c r="AL574" s="2322"/>
      <c r="AM574" s="2322"/>
      <c r="AN574" s="2322"/>
      <c r="AO574" s="2322"/>
      <c r="AP574" s="2322"/>
      <c r="AQ574" s="2322"/>
      <c r="AR574" s="2322"/>
      <c r="AS574" s="2322"/>
      <c r="AT574" s="2322"/>
      <c r="AU574" s="2322"/>
      <c r="AV574" s="2322"/>
      <c r="AW574" s="2322"/>
      <c r="AX574" s="2322"/>
      <c r="AY574" s="2322"/>
      <c r="AZ574" s="2322"/>
      <c r="BA574" s="2322"/>
      <c r="BB574" s="2322"/>
      <c r="BC574" s="2322"/>
      <c r="BD574" s="2322"/>
      <c r="BE574" s="2322"/>
      <c r="BF574" s="2322"/>
      <c r="BG574" s="2322"/>
      <c r="BH574" s="2322"/>
      <c r="BI574" s="2322"/>
      <c r="BJ574" s="2322"/>
      <c r="BK574" s="2322"/>
      <c r="BL574" s="2322"/>
      <c r="BM574" s="2322"/>
      <c r="BN574" s="2322"/>
      <c r="BO574" s="2322"/>
      <c r="BP574" s="2322"/>
      <c r="BQ574" s="2322"/>
      <c r="BR574" s="2322"/>
      <c r="BS574" s="2322"/>
      <c r="BT574" s="2322"/>
      <c r="BU574" s="2322"/>
      <c r="BV574" s="2322"/>
      <c r="BW574" s="2322"/>
      <c r="BX574" s="2322"/>
      <c r="BY574" s="2322"/>
      <c r="BZ574" s="2322"/>
      <c r="CA574" s="2322"/>
      <c r="CB574" s="2322"/>
      <c r="CC574" s="2322"/>
      <c r="CD574" s="2322"/>
      <c r="CE574" s="2322"/>
      <c r="CF574" s="2322"/>
      <c r="CG574" s="2322"/>
      <c r="CH574" s="2322"/>
      <c r="CI574" s="2322"/>
      <c r="CJ574" s="2322"/>
      <c r="CK574" s="2322"/>
      <c r="CL574" s="2322"/>
      <c r="CM574" s="2322"/>
      <c r="CN574" s="2322"/>
      <c r="CO574" s="2322"/>
      <c r="CP574" s="2322"/>
      <c r="CQ574" s="2322"/>
      <c r="CR574" s="2322"/>
      <c r="CS574" s="2322"/>
      <c r="CT574" s="2322"/>
      <c r="CU574" s="2322"/>
      <c r="CV574" s="2322"/>
    </row>
    <row r="575" spans="1:100" ht="15.75" customHeight="1">
      <c r="A575" s="2328"/>
      <c r="B575" s="2322"/>
      <c r="C575" s="2322"/>
      <c r="D575" s="2322"/>
      <c r="E575" s="2322"/>
      <c r="F575" s="2322"/>
      <c r="G575" s="2322"/>
      <c r="H575" s="2322"/>
      <c r="I575" s="2322"/>
      <c r="J575" s="2322"/>
      <c r="K575" s="2322"/>
      <c r="L575" s="2322"/>
      <c r="M575" s="2322"/>
      <c r="N575" s="2322"/>
      <c r="O575" s="2322"/>
      <c r="P575" s="2322"/>
      <c r="Q575" s="2322"/>
      <c r="R575" s="2322"/>
      <c r="S575" s="2322"/>
      <c r="T575" s="2322"/>
      <c r="U575" s="2322"/>
      <c r="V575" s="2322"/>
      <c r="W575" s="2322"/>
      <c r="X575" s="2322"/>
      <c r="Y575" s="2322"/>
      <c r="Z575" s="2322"/>
      <c r="AA575" s="2322"/>
      <c r="AB575" s="2322"/>
      <c r="AC575" s="2322"/>
      <c r="AD575" s="2322"/>
      <c r="AE575" s="2322"/>
      <c r="AF575" s="2322"/>
      <c r="AG575" s="2322"/>
      <c r="AH575" s="2322"/>
      <c r="AI575" s="2322"/>
      <c r="AJ575" s="2322"/>
      <c r="AK575" s="2322"/>
      <c r="AL575" s="2322"/>
      <c r="AM575" s="2322"/>
      <c r="AN575" s="2322"/>
      <c r="AO575" s="2322"/>
      <c r="AP575" s="2322"/>
      <c r="AQ575" s="2322"/>
      <c r="AR575" s="2322"/>
      <c r="AS575" s="2322"/>
      <c r="AT575" s="2322"/>
      <c r="AU575" s="2322"/>
      <c r="AV575" s="2322"/>
      <c r="AW575" s="2322"/>
      <c r="AX575" s="2322"/>
      <c r="AY575" s="2322"/>
      <c r="AZ575" s="2322"/>
      <c r="BA575" s="2322"/>
      <c r="BB575" s="2322"/>
      <c r="BC575" s="2322"/>
      <c r="BD575" s="2322"/>
      <c r="BE575" s="2322"/>
      <c r="BF575" s="2322"/>
      <c r="BG575" s="2322"/>
      <c r="BH575" s="2322"/>
      <c r="BI575" s="2322"/>
      <c r="BJ575" s="2322"/>
      <c r="BK575" s="2322"/>
      <c r="BL575" s="2322"/>
      <c r="BM575" s="2322"/>
      <c r="BN575" s="2322"/>
      <c r="BO575" s="2322"/>
      <c r="BP575" s="2322"/>
      <c r="BQ575" s="2322"/>
      <c r="BR575" s="2322"/>
      <c r="BS575" s="2322"/>
      <c r="BT575" s="2322"/>
      <c r="BU575" s="2322"/>
      <c r="BV575" s="2322"/>
      <c r="BW575" s="2322"/>
      <c r="BX575" s="2322"/>
      <c r="BY575" s="2322"/>
      <c r="BZ575" s="2322"/>
      <c r="CA575" s="2322"/>
      <c r="CB575" s="2322"/>
      <c r="CC575" s="2322"/>
      <c r="CD575" s="2322"/>
      <c r="CE575" s="2322"/>
      <c r="CF575" s="2322"/>
      <c r="CG575" s="2322"/>
      <c r="CH575" s="2322"/>
      <c r="CI575" s="2322"/>
      <c r="CJ575" s="2322"/>
      <c r="CK575" s="2322"/>
      <c r="CL575" s="2322"/>
      <c r="CM575" s="2322"/>
      <c r="CN575" s="2322"/>
      <c r="CO575" s="2322"/>
      <c r="CP575" s="2322"/>
      <c r="CQ575" s="2322"/>
      <c r="CR575" s="2322"/>
      <c r="CS575" s="2322"/>
      <c r="CT575" s="2322"/>
      <c r="CU575" s="2322"/>
      <c r="CV575" s="2322"/>
    </row>
    <row r="576" spans="1:100" ht="15.75" customHeight="1">
      <c r="A576" s="2328"/>
      <c r="B576" s="2322"/>
      <c r="C576" s="2322"/>
      <c r="D576" s="2322"/>
      <c r="E576" s="2322"/>
      <c r="F576" s="2322"/>
      <c r="G576" s="2322"/>
      <c r="H576" s="2322"/>
      <c r="I576" s="2322"/>
      <c r="J576" s="2322"/>
      <c r="K576" s="2322"/>
      <c r="L576" s="2322"/>
      <c r="M576" s="2322"/>
      <c r="N576" s="2322"/>
      <c r="O576" s="2322"/>
      <c r="P576" s="2322"/>
      <c r="Q576" s="2322"/>
      <c r="R576" s="2322"/>
      <c r="S576" s="2322"/>
      <c r="T576" s="2322"/>
      <c r="U576" s="2322"/>
      <c r="V576" s="2322"/>
      <c r="W576" s="2322"/>
      <c r="X576" s="2322"/>
      <c r="Y576" s="2322"/>
      <c r="Z576" s="2322"/>
      <c r="AA576" s="2322"/>
      <c r="AB576" s="2322"/>
      <c r="AC576" s="2322"/>
      <c r="AD576" s="2322"/>
      <c r="AE576" s="2322"/>
      <c r="AF576" s="2322"/>
      <c r="AG576" s="2322"/>
      <c r="AH576" s="2322"/>
      <c r="AI576" s="2322"/>
      <c r="AJ576" s="2322"/>
      <c r="AK576" s="2322"/>
      <c r="AL576" s="2322"/>
      <c r="AM576" s="2322"/>
      <c r="AN576" s="2322"/>
      <c r="AO576" s="2322"/>
      <c r="AP576" s="2322"/>
      <c r="AQ576" s="2322"/>
      <c r="AR576" s="2322"/>
      <c r="AS576" s="2322"/>
      <c r="AT576" s="2322"/>
      <c r="AU576" s="2322"/>
      <c r="AV576" s="2322"/>
      <c r="AW576" s="2322"/>
      <c r="AX576" s="2322"/>
      <c r="AY576" s="2322"/>
      <c r="AZ576" s="2322"/>
      <c r="BA576" s="2322"/>
      <c r="BB576" s="2322"/>
      <c r="BC576" s="2322"/>
      <c r="BD576" s="2322"/>
      <c r="BE576" s="2322"/>
      <c r="BF576" s="2322"/>
      <c r="BG576" s="2322"/>
      <c r="BH576" s="2322"/>
      <c r="BI576" s="2322"/>
      <c r="BJ576" s="2322"/>
      <c r="BK576" s="2322"/>
      <c r="BL576" s="2322"/>
      <c r="BM576" s="2322"/>
      <c r="BN576" s="2322"/>
      <c r="BO576" s="2322"/>
      <c r="BP576" s="2322"/>
      <c r="BQ576" s="2322"/>
      <c r="BR576" s="2322"/>
      <c r="BS576" s="2322"/>
      <c r="BT576" s="2322"/>
      <c r="BU576" s="2322"/>
      <c r="BV576" s="2322"/>
      <c r="BW576" s="2322"/>
      <c r="BX576" s="2322"/>
      <c r="BY576" s="2322"/>
      <c r="BZ576" s="2322"/>
      <c r="CA576" s="2322"/>
      <c r="CB576" s="2322"/>
      <c r="CC576" s="2322"/>
      <c r="CD576" s="2322"/>
      <c r="CE576" s="2322"/>
      <c r="CF576" s="2322"/>
      <c r="CG576" s="2322"/>
      <c r="CH576" s="2322"/>
      <c r="CI576" s="2322"/>
      <c r="CJ576" s="2322"/>
      <c r="CK576" s="2322"/>
      <c r="CL576" s="2322"/>
      <c r="CM576" s="2322"/>
      <c r="CN576" s="2322"/>
      <c r="CO576" s="2322"/>
      <c r="CP576" s="2322"/>
      <c r="CQ576" s="2322"/>
      <c r="CR576" s="2322"/>
      <c r="CS576" s="2322"/>
      <c r="CT576" s="2322"/>
      <c r="CU576" s="2322"/>
      <c r="CV576" s="2322"/>
    </row>
    <row r="577" spans="1:100" ht="15.75" customHeight="1">
      <c r="A577" s="2328"/>
      <c r="B577" s="2322"/>
      <c r="C577" s="2322"/>
      <c r="D577" s="2322"/>
      <c r="E577" s="2322"/>
      <c r="F577" s="2322"/>
      <c r="G577" s="2322"/>
      <c r="H577" s="2322"/>
      <c r="I577" s="2322"/>
      <c r="J577" s="2322"/>
      <c r="K577" s="2322"/>
      <c r="L577" s="2322"/>
      <c r="M577" s="2322"/>
      <c r="N577" s="2322"/>
      <c r="O577" s="2322"/>
      <c r="P577" s="2322"/>
      <c r="Q577" s="2322"/>
      <c r="R577" s="2322"/>
      <c r="S577" s="2322"/>
      <c r="T577" s="2322"/>
      <c r="U577" s="2322"/>
      <c r="V577" s="2322"/>
      <c r="W577" s="2322"/>
      <c r="X577" s="2322"/>
      <c r="Y577" s="2322"/>
      <c r="Z577" s="2322"/>
      <c r="AA577" s="2322"/>
      <c r="AB577" s="2322"/>
      <c r="AC577" s="2322"/>
      <c r="AD577" s="2322"/>
      <c r="AE577" s="2322"/>
      <c r="AF577" s="2322"/>
      <c r="AG577" s="2322"/>
      <c r="AH577" s="2322"/>
      <c r="AI577" s="2322"/>
      <c r="AJ577" s="2322"/>
      <c r="AK577" s="2322"/>
      <c r="AL577" s="2322"/>
      <c r="AM577" s="2322"/>
      <c r="AN577" s="2322"/>
      <c r="AO577" s="2322"/>
      <c r="AP577" s="2322"/>
      <c r="AQ577" s="2322"/>
      <c r="AR577" s="2322"/>
      <c r="AS577" s="2322"/>
      <c r="AT577" s="2322"/>
      <c r="AU577" s="2322"/>
      <c r="AV577" s="2322"/>
      <c r="AW577" s="2322"/>
      <c r="AX577" s="2322"/>
      <c r="AY577" s="2322"/>
      <c r="AZ577" s="2322"/>
      <c r="BA577" s="2322"/>
      <c r="BB577" s="2322"/>
      <c r="BC577" s="2322"/>
      <c r="BD577" s="2322"/>
      <c r="BE577" s="2322"/>
      <c r="BF577" s="2322"/>
      <c r="BG577" s="2322"/>
      <c r="BH577" s="2322"/>
      <c r="BI577" s="2322"/>
      <c r="BJ577" s="2322"/>
      <c r="BK577" s="2322"/>
      <c r="BL577" s="2322"/>
      <c r="BM577" s="2322"/>
      <c r="BN577" s="2322"/>
      <c r="BO577" s="2322"/>
      <c r="BP577" s="2322"/>
      <c r="BQ577" s="2322"/>
      <c r="BR577" s="2322"/>
      <c r="BS577" s="2322"/>
      <c r="BT577" s="2322"/>
      <c r="BU577" s="2322"/>
      <c r="BV577" s="2322"/>
      <c r="BW577" s="2322"/>
      <c r="BX577" s="2322"/>
      <c r="BY577" s="2322"/>
      <c r="BZ577" s="2322"/>
      <c r="CA577" s="2322"/>
      <c r="CB577" s="2322"/>
      <c r="CC577" s="2322"/>
      <c r="CD577" s="2322"/>
      <c r="CE577" s="2322"/>
      <c r="CF577" s="2322"/>
      <c r="CG577" s="2322"/>
      <c r="CH577" s="2322"/>
      <c r="CI577" s="2322"/>
      <c r="CJ577" s="2322"/>
      <c r="CK577" s="2322"/>
      <c r="CL577" s="2322"/>
      <c r="CM577" s="2322"/>
      <c r="CN577" s="2322"/>
      <c r="CO577" s="2322"/>
      <c r="CP577" s="2322"/>
      <c r="CQ577" s="2322"/>
      <c r="CR577" s="2322"/>
      <c r="CS577" s="2322"/>
      <c r="CT577" s="2322"/>
      <c r="CU577" s="2322"/>
      <c r="CV577" s="2322"/>
    </row>
    <row r="578" spans="1:100" ht="15.75" customHeight="1">
      <c r="A578" s="2328"/>
      <c r="B578" s="2322"/>
      <c r="C578" s="2322"/>
      <c r="D578" s="2322"/>
      <c r="E578" s="2322"/>
      <c r="F578" s="2322"/>
      <c r="G578" s="2322"/>
      <c r="H578" s="2322"/>
      <c r="I578" s="2322"/>
      <c r="J578" s="2322"/>
      <c r="K578" s="2322"/>
      <c r="L578" s="2322"/>
      <c r="M578" s="2322"/>
      <c r="N578" s="2322"/>
      <c r="O578" s="2322"/>
      <c r="P578" s="2322"/>
      <c r="Q578" s="2322"/>
      <c r="R578" s="2322"/>
      <c r="S578" s="2322"/>
      <c r="T578" s="2322"/>
      <c r="U578" s="2322"/>
      <c r="V578" s="2322"/>
      <c r="W578" s="2322"/>
      <c r="X578" s="2322"/>
      <c r="Y578" s="2322"/>
      <c r="Z578" s="2322"/>
      <c r="AA578" s="2322"/>
      <c r="AB578" s="2322"/>
      <c r="AC578" s="2322"/>
      <c r="AD578" s="2322"/>
      <c r="AE578" s="2322"/>
      <c r="AF578" s="2322"/>
      <c r="AG578" s="2322"/>
      <c r="AH578" s="2322"/>
      <c r="AI578" s="2322"/>
      <c r="AJ578" s="2322"/>
      <c r="AK578" s="2322"/>
      <c r="AL578" s="2322"/>
      <c r="AM578" s="2322"/>
      <c r="AN578" s="2322"/>
      <c r="AO578" s="2322"/>
      <c r="AP578" s="2322"/>
      <c r="AQ578" s="2322"/>
      <c r="AR578" s="2322"/>
      <c r="AS578" s="2322"/>
      <c r="AT578" s="2322"/>
      <c r="AU578" s="2322"/>
      <c r="AV578" s="2322"/>
      <c r="AW578" s="2322"/>
      <c r="AX578" s="2322"/>
      <c r="AY578" s="2322"/>
      <c r="AZ578" s="2322"/>
      <c r="BA578" s="2322"/>
      <c r="BB578" s="2322"/>
      <c r="BC578" s="2322"/>
      <c r="BD578" s="2322"/>
      <c r="BE578" s="2322"/>
      <c r="BF578" s="2322"/>
      <c r="BG578" s="2322"/>
      <c r="BH578" s="2322"/>
      <c r="BI578" s="2322"/>
      <c r="BJ578" s="2322"/>
      <c r="BK578" s="2322"/>
      <c r="BL578" s="2322"/>
      <c r="BM578" s="2322"/>
      <c r="BN578" s="2322"/>
      <c r="BO578" s="2322"/>
      <c r="BP578" s="2322"/>
      <c r="BQ578" s="2322"/>
      <c r="BR578" s="2322"/>
      <c r="BS578" s="2322"/>
      <c r="BT578" s="2322"/>
      <c r="BU578" s="2322"/>
      <c r="BV578" s="2322"/>
      <c r="BW578" s="2322"/>
      <c r="BX578" s="2322"/>
      <c r="BY578" s="2322"/>
      <c r="BZ578" s="2322"/>
      <c r="CA578" s="2322"/>
      <c r="CB578" s="2322"/>
      <c r="CC578" s="2322"/>
      <c r="CD578" s="2322"/>
      <c r="CE578" s="2322"/>
      <c r="CF578" s="2322"/>
      <c r="CG578" s="2322"/>
      <c r="CH578" s="2322"/>
      <c r="CI578" s="2322"/>
      <c r="CJ578" s="2322"/>
      <c r="CK578" s="2322"/>
      <c r="CL578" s="2322"/>
      <c r="CM578" s="2322"/>
      <c r="CN578" s="2322"/>
      <c r="CO578" s="2322"/>
      <c r="CP578" s="2322"/>
      <c r="CQ578" s="2322"/>
      <c r="CR578" s="2322"/>
      <c r="CS578" s="2322"/>
      <c r="CT578" s="2322"/>
      <c r="CU578" s="2322"/>
      <c r="CV578" s="2322"/>
    </row>
    <row r="579" spans="1:100" ht="15.75" customHeight="1">
      <c r="A579" s="2328"/>
      <c r="B579" s="2322"/>
      <c r="C579" s="2322"/>
      <c r="D579" s="2322"/>
      <c r="E579" s="2322"/>
      <c r="F579" s="2322"/>
      <c r="G579" s="2322"/>
      <c r="H579" s="2322"/>
      <c r="I579" s="2322"/>
      <c r="J579" s="2322"/>
      <c r="K579" s="2322"/>
      <c r="L579" s="2322"/>
      <c r="M579" s="2322"/>
      <c r="N579" s="2322"/>
      <c r="O579" s="2322"/>
      <c r="P579" s="2322"/>
      <c r="Q579" s="2322"/>
      <c r="R579" s="2322"/>
      <c r="S579" s="2322"/>
      <c r="T579" s="2322"/>
      <c r="U579" s="2322"/>
      <c r="V579" s="2322"/>
      <c r="W579" s="2322"/>
      <c r="X579" s="2322"/>
      <c r="Y579" s="2322"/>
      <c r="Z579" s="2322"/>
      <c r="AA579" s="2322"/>
      <c r="AB579" s="2322"/>
      <c r="AC579" s="2322"/>
      <c r="AD579" s="2322"/>
      <c r="AE579" s="2322"/>
      <c r="AF579" s="2322"/>
      <c r="AG579" s="2322"/>
      <c r="AH579" s="2322"/>
      <c r="AI579" s="2322"/>
      <c r="AJ579" s="2322"/>
      <c r="AK579" s="2322"/>
      <c r="AL579" s="2322"/>
      <c r="AM579" s="2322"/>
      <c r="AN579" s="2322"/>
      <c r="AO579" s="2322"/>
      <c r="AP579" s="2322"/>
      <c r="AQ579" s="2322"/>
      <c r="AR579" s="2322"/>
      <c r="AS579" s="2322"/>
      <c r="AT579" s="2322"/>
      <c r="AU579" s="2322"/>
      <c r="AV579" s="2322"/>
      <c r="AW579" s="2322"/>
      <c r="AX579" s="2322"/>
      <c r="AY579" s="2322"/>
      <c r="AZ579" s="2322"/>
      <c r="BA579" s="2322"/>
      <c r="BB579" s="2322"/>
      <c r="BC579" s="2322"/>
      <c r="BD579" s="2322"/>
      <c r="BE579" s="2322"/>
      <c r="BF579" s="2322"/>
      <c r="BG579" s="2322"/>
      <c r="BH579" s="2322"/>
      <c r="BI579" s="2322"/>
      <c r="BJ579" s="2322"/>
      <c r="BK579" s="2322"/>
      <c r="BL579" s="2322"/>
      <c r="BM579" s="2322"/>
      <c r="BN579" s="2322"/>
      <c r="BO579" s="2322"/>
      <c r="BP579" s="2322"/>
      <c r="BQ579" s="2322"/>
      <c r="BR579" s="2322"/>
      <c r="BS579" s="2322"/>
      <c r="BT579" s="2322"/>
      <c r="BU579" s="2322"/>
      <c r="BV579" s="2322"/>
      <c r="BW579" s="2322"/>
      <c r="BX579" s="2322"/>
      <c r="BY579" s="2322"/>
      <c r="BZ579" s="2322"/>
      <c r="CA579" s="2322"/>
      <c r="CB579" s="2322"/>
      <c r="CC579" s="2322"/>
      <c r="CD579" s="2322"/>
      <c r="CE579" s="2322"/>
      <c r="CF579" s="2322"/>
      <c r="CG579" s="2322"/>
      <c r="CH579" s="2322"/>
      <c r="CI579" s="2322"/>
      <c r="CJ579" s="2322"/>
      <c r="CK579" s="2322"/>
      <c r="CL579" s="2322"/>
      <c r="CM579" s="2322"/>
      <c r="CN579" s="2322"/>
      <c r="CO579" s="2322"/>
      <c r="CP579" s="2322"/>
      <c r="CQ579" s="2322"/>
      <c r="CR579" s="2322"/>
      <c r="CS579" s="2322"/>
      <c r="CT579" s="2322"/>
      <c r="CU579" s="2322"/>
      <c r="CV579" s="2322"/>
    </row>
    <row r="580" spans="1:100" ht="15.75" customHeight="1">
      <c r="A580" s="2328"/>
      <c r="B580" s="2322"/>
      <c r="C580" s="2322"/>
      <c r="D580" s="2322"/>
      <c r="E580" s="2322"/>
      <c r="F580" s="2322"/>
      <c r="G580" s="2322"/>
      <c r="H580" s="2322"/>
      <c r="I580" s="2322"/>
      <c r="J580" s="2322"/>
      <c r="K580" s="2322"/>
      <c r="L580" s="2322"/>
      <c r="M580" s="2322"/>
      <c r="N580" s="2322"/>
      <c r="O580" s="2322"/>
      <c r="P580" s="2322"/>
      <c r="Q580" s="2322"/>
      <c r="R580" s="2322"/>
      <c r="S580" s="2322"/>
      <c r="T580" s="2322"/>
      <c r="U580" s="2322"/>
      <c r="V580" s="2322"/>
      <c r="W580" s="2322"/>
      <c r="X580" s="2322"/>
      <c r="Y580" s="2322"/>
      <c r="Z580" s="2322"/>
      <c r="AA580" s="2322"/>
      <c r="AB580" s="2322"/>
      <c r="AC580" s="2322"/>
      <c r="AD580" s="2322"/>
      <c r="AE580" s="2322"/>
      <c r="AF580" s="2322"/>
      <c r="AG580" s="2322"/>
      <c r="AH580" s="2322"/>
      <c r="AI580" s="2322"/>
      <c r="AJ580" s="2322"/>
      <c r="AK580" s="2322"/>
      <c r="AL580" s="2322"/>
      <c r="AM580" s="2322"/>
      <c r="AN580" s="2322"/>
      <c r="AO580" s="2322"/>
      <c r="AP580" s="2322"/>
      <c r="AQ580" s="2322"/>
      <c r="AR580" s="2322"/>
      <c r="AS580" s="2322"/>
      <c r="AT580" s="2322"/>
      <c r="AU580" s="2322"/>
      <c r="AV580" s="2322"/>
      <c r="AW580" s="2322"/>
      <c r="AX580" s="2322"/>
      <c r="AY580" s="2322"/>
      <c r="AZ580" s="2322"/>
      <c r="BA580" s="2322"/>
      <c r="BB580" s="2322"/>
      <c r="BC580" s="2322"/>
      <c r="BD580" s="2322"/>
      <c r="BE580" s="2322"/>
      <c r="BF580" s="2322"/>
      <c r="BG580" s="2322"/>
      <c r="BH580" s="2322"/>
      <c r="BI580" s="2322"/>
      <c r="BJ580" s="2322"/>
      <c r="BK580" s="2322"/>
      <c r="BL580" s="2322"/>
      <c r="BM580" s="2322"/>
      <c r="BN580" s="2322"/>
      <c r="BO580" s="2322"/>
      <c r="BP580" s="2322"/>
      <c r="BQ580" s="2322"/>
      <c r="BR580" s="2322"/>
      <c r="BS580" s="2322"/>
      <c r="BT580" s="2322"/>
      <c r="BU580" s="2322"/>
      <c r="BV580" s="2322"/>
      <c r="BW580" s="2322"/>
      <c r="BX580" s="2322"/>
      <c r="BY580" s="2322"/>
      <c r="BZ580" s="2322"/>
      <c r="CA580" s="2322"/>
      <c r="CB580" s="2322"/>
      <c r="CC580" s="2322"/>
      <c r="CD580" s="2322"/>
      <c r="CE580" s="2322"/>
      <c r="CF580" s="2322"/>
      <c r="CG580" s="2322"/>
      <c r="CH580" s="2322"/>
      <c r="CI580" s="2322"/>
      <c r="CJ580" s="2322"/>
      <c r="CK580" s="2322"/>
      <c r="CL580" s="2322"/>
      <c r="CM580" s="2322"/>
      <c r="CN580" s="2322"/>
      <c r="CO580" s="2322"/>
      <c r="CP580" s="2322"/>
      <c r="CQ580" s="2322"/>
      <c r="CR580" s="2322"/>
      <c r="CS580" s="2322"/>
      <c r="CT580" s="2322"/>
      <c r="CU580" s="2322"/>
      <c r="CV580" s="2322"/>
    </row>
    <row r="581" spans="1:100" ht="15.75" customHeight="1">
      <c r="A581" s="2328"/>
      <c r="B581" s="2322"/>
      <c r="C581" s="2322"/>
      <c r="D581" s="2322"/>
      <c r="E581" s="2322"/>
      <c r="F581" s="2322"/>
      <c r="G581" s="2322"/>
      <c r="H581" s="2322"/>
      <c r="I581" s="2322"/>
      <c r="J581" s="2322"/>
      <c r="K581" s="2322"/>
      <c r="L581" s="2322"/>
      <c r="M581" s="2322"/>
      <c r="N581" s="2322"/>
      <c r="O581" s="2322"/>
      <c r="P581" s="2322"/>
      <c r="Q581" s="2322"/>
      <c r="R581" s="2322"/>
      <c r="S581" s="2322"/>
      <c r="T581" s="2322"/>
      <c r="U581" s="2322"/>
      <c r="V581" s="2322"/>
      <c r="W581" s="2322"/>
      <c r="X581" s="2322"/>
      <c r="Y581" s="2322"/>
      <c r="Z581" s="2322"/>
      <c r="AA581" s="2322"/>
      <c r="AB581" s="2322"/>
      <c r="AC581" s="2322"/>
      <c r="AD581" s="2322"/>
      <c r="AE581" s="2322"/>
      <c r="AF581" s="2322"/>
      <c r="AG581" s="2322"/>
      <c r="AH581" s="2322"/>
      <c r="AI581" s="2322"/>
      <c r="AJ581" s="2322"/>
      <c r="AK581" s="2322"/>
      <c r="AL581" s="2322"/>
      <c r="AM581" s="2322"/>
      <c r="AN581" s="2322"/>
      <c r="AO581" s="2322"/>
      <c r="AP581" s="2322"/>
      <c r="AQ581" s="2322"/>
      <c r="AR581" s="2322"/>
      <c r="AS581" s="2322"/>
      <c r="AT581" s="2322"/>
      <c r="AU581" s="2322"/>
      <c r="AV581" s="2322"/>
      <c r="AW581" s="2322"/>
      <c r="AX581" s="2322"/>
      <c r="AY581" s="2322"/>
      <c r="AZ581" s="2322"/>
      <c r="BA581" s="2322"/>
      <c r="BB581" s="2322"/>
      <c r="BC581" s="2322"/>
      <c r="BD581" s="2322"/>
      <c r="BE581" s="2322"/>
      <c r="BF581" s="2322"/>
      <c r="BG581" s="2322"/>
      <c r="BH581" s="2322"/>
      <c r="BI581" s="2322"/>
      <c r="BJ581" s="2322"/>
      <c r="BK581" s="2322"/>
      <c r="BL581" s="2322"/>
      <c r="BM581" s="2322"/>
      <c r="BN581" s="2322"/>
      <c r="BO581" s="2322"/>
      <c r="BP581" s="2322"/>
      <c r="BQ581" s="2322"/>
      <c r="BR581" s="2322"/>
      <c r="BS581" s="2322"/>
      <c r="BT581" s="2322"/>
      <c r="BU581" s="2322"/>
      <c r="BV581" s="2322"/>
      <c r="BW581" s="2322"/>
      <c r="BX581" s="2322"/>
      <c r="BY581" s="2322"/>
      <c r="BZ581" s="2322"/>
      <c r="CA581" s="2322"/>
      <c r="CB581" s="2322"/>
      <c r="CC581" s="2322"/>
      <c r="CD581" s="2322"/>
      <c r="CE581" s="2322"/>
      <c r="CF581" s="2322"/>
      <c r="CG581" s="2322"/>
      <c r="CH581" s="2322"/>
      <c r="CI581" s="2322"/>
      <c r="CJ581" s="2322"/>
      <c r="CK581" s="2322"/>
      <c r="CL581" s="2322"/>
      <c r="CM581" s="2322"/>
      <c r="CN581" s="2322"/>
      <c r="CO581" s="2322"/>
      <c r="CP581" s="2322"/>
      <c r="CQ581" s="2322"/>
      <c r="CR581" s="2322"/>
      <c r="CS581" s="2322"/>
      <c r="CT581" s="2322"/>
      <c r="CU581" s="2322"/>
      <c r="CV581" s="2322"/>
    </row>
    <row r="582" spans="1:100" ht="15.75" customHeight="1">
      <c r="A582" s="2328"/>
      <c r="B582" s="2322"/>
      <c r="C582" s="2322"/>
      <c r="D582" s="2322"/>
      <c r="E582" s="2322"/>
      <c r="F582" s="2322"/>
      <c r="G582" s="2322"/>
      <c r="H582" s="2322"/>
      <c r="I582" s="2322"/>
      <c r="J582" s="2322"/>
      <c r="K582" s="2322"/>
      <c r="L582" s="2322"/>
      <c r="M582" s="2322"/>
      <c r="N582" s="2322"/>
      <c r="O582" s="2322"/>
      <c r="P582" s="2322"/>
      <c r="Q582" s="2322"/>
      <c r="R582" s="2322"/>
      <c r="S582" s="2322"/>
      <c r="T582" s="2322"/>
      <c r="U582" s="2322"/>
      <c r="V582" s="2322"/>
      <c r="W582" s="2322"/>
      <c r="X582" s="2322"/>
      <c r="Y582" s="2322"/>
      <c r="Z582" s="2322"/>
      <c r="AA582" s="2322"/>
      <c r="AB582" s="2322"/>
      <c r="AC582" s="2322"/>
      <c r="AD582" s="2322"/>
      <c r="AE582" s="2322"/>
      <c r="AF582" s="2322"/>
      <c r="AG582" s="2322"/>
      <c r="AH582" s="2322"/>
      <c r="AI582" s="2322"/>
      <c r="AJ582" s="2322"/>
      <c r="AK582" s="2322"/>
      <c r="AL582" s="2322"/>
      <c r="AM582" s="2322"/>
      <c r="AN582" s="2322"/>
      <c r="AO582" s="2322"/>
      <c r="AP582" s="2322"/>
      <c r="AQ582" s="2322"/>
      <c r="AR582" s="2322"/>
      <c r="AS582" s="2322"/>
      <c r="AT582" s="2322"/>
      <c r="AU582" s="2322"/>
      <c r="AV582" s="2322"/>
      <c r="AW582" s="2322"/>
      <c r="AX582" s="2322"/>
      <c r="AY582" s="2322"/>
      <c r="AZ582" s="2322"/>
      <c r="BA582" s="2322"/>
      <c r="BB582" s="2322"/>
      <c r="BC582" s="2322"/>
      <c r="BD582" s="2322"/>
      <c r="BE582" s="2322"/>
      <c r="BF582" s="2322"/>
      <c r="BG582" s="2322"/>
      <c r="BH582" s="2322"/>
      <c r="BI582" s="2322"/>
      <c r="BJ582" s="2322"/>
      <c r="BK582" s="2322"/>
      <c r="BL582" s="2322"/>
      <c r="BM582" s="2322"/>
      <c r="BN582" s="2322"/>
      <c r="BO582" s="2322"/>
      <c r="BP582" s="2322"/>
      <c r="BQ582" s="2322"/>
      <c r="BR582" s="2322"/>
      <c r="BS582" s="2322"/>
      <c r="BT582" s="2322"/>
      <c r="BU582" s="2322"/>
      <c r="BV582" s="2322"/>
      <c r="BW582" s="2322"/>
      <c r="BX582" s="2322"/>
      <c r="BY582" s="2322"/>
      <c r="BZ582" s="2322"/>
      <c r="CA582" s="2322"/>
      <c r="CB582" s="2322"/>
      <c r="CC582" s="2322"/>
      <c r="CD582" s="2322"/>
      <c r="CE582" s="2322"/>
      <c r="CF582" s="2322"/>
      <c r="CG582" s="2322"/>
      <c r="CH582" s="2322"/>
      <c r="CI582" s="2322"/>
      <c r="CJ582" s="2322"/>
      <c r="CK582" s="2322"/>
      <c r="CL582" s="2322"/>
      <c r="CM582" s="2322"/>
      <c r="CN582" s="2322"/>
      <c r="CO582" s="2322"/>
      <c r="CP582" s="2322"/>
      <c r="CQ582" s="2322"/>
      <c r="CR582" s="2322"/>
      <c r="CS582" s="2322"/>
      <c r="CT582" s="2322"/>
      <c r="CU582" s="2322"/>
      <c r="CV582" s="2322"/>
    </row>
    <row r="583" spans="1:100" ht="15.75" customHeight="1">
      <c r="A583" s="2328"/>
      <c r="B583" s="2322"/>
      <c r="C583" s="2322"/>
      <c r="D583" s="2322"/>
      <c r="E583" s="2322"/>
      <c r="F583" s="2322"/>
      <c r="G583" s="2322"/>
      <c r="H583" s="2322"/>
      <c r="I583" s="2322"/>
      <c r="J583" s="2322"/>
      <c r="K583" s="2322"/>
      <c r="L583" s="2322"/>
      <c r="M583" s="2322"/>
      <c r="N583" s="2322"/>
      <c r="O583" s="2322"/>
      <c r="P583" s="2322"/>
      <c r="Q583" s="2322"/>
      <c r="R583" s="2322"/>
      <c r="S583" s="2322"/>
      <c r="T583" s="2322"/>
      <c r="U583" s="2322"/>
      <c r="V583" s="2322"/>
      <c r="W583" s="2322"/>
      <c r="X583" s="2322"/>
      <c r="Y583" s="2322"/>
      <c r="Z583" s="2322"/>
      <c r="AA583" s="2322"/>
      <c r="AB583" s="2322"/>
      <c r="AC583" s="2322"/>
      <c r="AD583" s="2322"/>
      <c r="AE583" s="2322"/>
      <c r="AF583" s="2322"/>
      <c r="AG583" s="2322"/>
      <c r="AH583" s="2322"/>
      <c r="AI583" s="2322"/>
      <c r="AJ583" s="2322"/>
      <c r="AK583" s="2322"/>
      <c r="AL583" s="2322"/>
      <c r="AM583" s="2322"/>
      <c r="AN583" s="2322"/>
      <c r="AO583" s="2322"/>
      <c r="AP583" s="2322"/>
      <c r="AQ583" s="2322"/>
      <c r="AR583" s="2322"/>
      <c r="AS583" s="2322"/>
      <c r="AT583" s="2322"/>
      <c r="AU583" s="2322"/>
      <c r="AV583" s="2322"/>
      <c r="AW583" s="2322"/>
      <c r="AX583" s="2322"/>
      <c r="AY583" s="2322"/>
      <c r="AZ583" s="2322"/>
      <c r="BA583" s="2322"/>
      <c r="BB583" s="2322"/>
      <c r="BC583" s="2322"/>
      <c r="BD583" s="2322"/>
      <c r="BE583" s="2322"/>
      <c r="BF583" s="2322"/>
      <c r="BG583" s="2322"/>
      <c r="BH583" s="2322"/>
      <c r="BI583" s="2322"/>
      <c r="BJ583" s="2322"/>
      <c r="BK583" s="2322"/>
      <c r="BL583" s="2322"/>
      <c r="BM583" s="2322"/>
      <c r="BN583" s="2322"/>
      <c r="BO583" s="2322"/>
      <c r="BP583" s="2322"/>
      <c r="BQ583" s="2322"/>
      <c r="BR583" s="2322"/>
      <c r="BS583" s="2322"/>
      <c r="BT583" s="2322"/>
      <c r="BU583" s="2322"/>
      <c r="BV583" s="2322"/>
      <c r="BW583" s="2322"/>
      <c r="BX583" s="2322"/>
      <c r="BY583" s="2322"/>
      <c r="BZ583" s="2322"/>
      <c r="CA583" s="2322"/>
      <c r="CB583" s="2322"/>
      <c r="CC583" s="2322"/>
      <c r="CD583" s="2322"/>
      <c r="CE583" s="2322"/>
      <c r="CF583" s="2322"/>
      <c r="CG583" s="2322"/>
      <c r="CH583" s="2322"/>
      <c r="CI583" s="2322"/>
      <c r="CJ583" s="2322"/>
      <c r="CK583" s="2322"/>
      <c r="CL583" s="2322"/>
      <c r="CM583" s="2322"/>
      <c r="CN583" s="2322"/>
      <c r="CO583" s="2322"/>
      <c r="CP583" s="2322"/>
      <c r="CQ583" s="2322"/>
      <c r="CR583" s="2322"/>
      <c r="CS583" s="2322"/>
      <c r="CT583" s="2322"/>
      <c r="CU583" s="2322"/>
      <c r="CV583" s="2322"/>
    </row>
    <row r="584" spans="1:100" ht="15.75" customHeight="1">
      <c r="A584" s="2328"/>
      <c r="B584" s="2322"/>
      <c r="C584" s="2322"/>
      <c r="D584" s="2322"/>
      <c r="E584" s="2322"/>
      <c r="F584" s="2322"/>
      <c r="G584" s="2322"/>
      <c r="H584" s="2322"/>
      <c r="I584" s="2322"/>
      <c r="J584" s="2322"/>
      <c r="K584" s="2322"/>
      <c r="L584" s="2322"/>
      <c r="M584" s="2322"/>
      <c r="N584" s="2322"/>
      <c r="O584" s="2322"/>
      <c r="P584" s="2322"/>
      <c r="Q584" s="2322"/>
      <c r="R584" s="2322"/>
      <c r="S584" s="2322"/>
      <c r="T584" s="2322"/>
      <c r="U584" s="2322"/>
      <c r="V584" s="2322"/>
      <c r="W584" s="2322"/>
      <c r="X584" s="2322"/>
      <c r="Y584" s="2322"/>
      <c r="Z584" s="2322"/>
      <c r="AA584" s="2322"/>
      <c r="AB584" s="2322"/>
      <c r="AC584" s="2322"/>
      <c r="AD584" s="2322"/>
      <c r="AE584" s="2322"/>
      <c r="AF584" s="2322"/>
      <c r="AG584" s="2322"/>
      <c r="AH584" s="2322"/>
      <c r="AI584" s="2322"/>
      <c r="AJ584" s="2322"/>
      <c r="AK584" s="2322"/>
      <c r="AL584" s="2322"/>
      <c r="AM584" s="2322"/>
      <c r="AN584" s="2322"/>
      <c r="AO584" s="2322"/>
      <c r="AP584" s="2322"/>
      <c r="AQ584" s="2322"/>
      <c r="AR584" s="2322"/>
      <c r="AS584" s="2322"/>
      <c r="AT584" s="2322"/>
      <c r="AU584" s="2322"/>
      <c r="AV584" s="2322"/>
      <c r="AW584" s="2322"/>
      <c r="AX584" s="2322"/>
      <c r="AY584" s="2322"/>
      <c r="AZ584" s="2322"/>
      <c r="BA584" s="2322"/>
      <c r="BB584" s="2322"/>
      <c r="BC584" s="2322"/>
      <c r="BD584" s="2322"/>
      <c r="BE584" s="2322"/>
      <c r="BF584" s="2322"/>
      <c r="BG584" s="2322"/>
      <c r="BH584" s="2322"/>
      <c r="BI584" s="2322"/>
      <c r="BJ584" s="2322"/>
      <c r="BK584" s="2322"/>
      <c r="BL584" s="2322"/>
      <c r="BM584" s="2322"/>
      <c r="BN584" s="2322"/>
      <c r="BO584" s="2322"/>
      <c r="BP584" s="2322"/>
      <c r="BQ584" s="2322"/>
      <c r="BR584" s="2322"/>
      <c r="BS584" s="2322"/>
      <c r="BT584" s="2322"/>
      <c r="BU584" s="2322"/>
      <c r="BV584" s="2322"/>
      <c r="BW584" s="2322"/>
      <c r="BX584" s="2322"/>
      <c r="BY584" s="2322"/>
      <c r="BZ584" s="2322"/>
      <c r="CA584" s="2322"/>
      <c r="CB584" s="2322"/>
      <c r="CC584" s="2322"/>
      <c r="CD584" s="2322"/>
      <c r="CE584" s="2322"/>
      <c r="CF584" s="2322"/>
      <c r="CG584" s="2322"/>
      <c r="CH584" s="2322"/>
      <c r="CI584" s="2322"/>
      <c r="CJ584" s="2322"/>
      <c r="CK584" s="2322"/>
      <c r="CL584" s="2322"/>
      <c r="CM584" s="2322"/>
      <c r="CN584" s="2322"/>
      <c r="CO584" s="2322"/>
      <c r="CP584" s="2322"/>
      <c r="CQ584" s="2322"/>
      <c r="CR584" s="2322"/>
      <c r="CS584" s="2322"/>
      <c r="CT584" s="2322"/>
      <c r="CU584" s="2322"/>
      <c r="CV584" s="2322"/>
    </row>
    <row r="585" spans="1:100" ht="15.75" customHeight="1">
      <c r="A585" s="2328"/>
      <c r="B585" s="2322"/>
      <c r="C585" s="2322"/>
      <c r="D585" s="2322"/>
      <c r="E585" s="2322"/>
      <c r="F585" s="2322"/>
      <c r="G585" s="2322"/>
      <c r="H585" s="2322"/>
      <c r="I585" s="2322"/>
      <c r="J585" s="2322"/>
      <c r="K585" s="2322"/>
      <c r="L585" s="2322"/>
      <c r="M585" s="2322"/>
      <c r="N585" s="2322"/>
      <c r="O585" s="2322"/>
      <c r="P585" s="2322"/>
      <c r="Q585" s="2322"/>
      <c r="R585" s="2322"/>
      <c r="S585" s="2322"/>
      <c r="T585" s="2322"/>
      <c r="U585" s="2322"/>
      <c r="V585" s="2322"/>
      <c r="W585" s="2322"/>
      <c r="X585" s="2322"/>
      <c r="Y585" s="2322"/>
      <c r="Z585" s="2322"/>
      <c r="AA585" s="2322"/>
      <c r="AB585" s="2322"/>
      <c r="AC585" s="2322"/>
      <c r="AD585" s="2322"/>
      <c r="AE585" s="2322"/>
      <c r="AF585" s="2322"/>
      <c r="AG585" s="2322"/>
      <c r="AH585" s="2322"/>
      <c r="AI585" s="2322"/>
      <c r="AJ585" s="2322"/>
      <c r="AK585" s="2322"/>
      <c r="AL585" s="2322"/>
      <c r="AM585" s="2322"/>
      <c r="AN585" s="2322"/>
      <c r="AO585" s="2322"/>
      <c r="AP585" s="2322"/>
      <c r="AQ585" s="2322"/>
      <c r="AR585" s="2322"/>
      <c r="AS585" s="2322"/>
      <c r="AT585" s="2322"/>
      <c r="AU585" s="2322"/>
      <c r="AV585" s="2322"/>
      <c r="AW585" s="2322"/>
      <c r="AX585" s="2322"/>
      <c r="AY585" s="2322"/>
      <c r="AZ585" s="2322"/>
      <c r="BA585" s="2322"/>
      <c r="BB585" s="2322"/>
      <c r="BC585" s="2322"/>
      <c r="BD585" s="2322"/>
      <c r="BE585" s="2322"/>
      <c r="BF585" s="2322"/>
      <c r="BG585" s="2322"/>
      <c r="BH585" s="2322"/>
      <c r="BI585" s="2322"/>
      <c r="BJ585" s="2322"/>
      <c r="BK585" s="2322"/>
      <c r="BL585" s="2322"/>
      <c r="BM585" s="2322"/>
      <c r="BN585" s="2322"/>
      <c r="BO585" s="2322"/>
      <c r="BP585" s="2322"/>
      <c r="BQ585" s="2322"/>
      <c r="BR585" s="2322"/>
      <c r="BS585" s="2322"/>
      <c r="BT585" s="2322"/>
      <c r="BU585" s="2322"/>
      <c r="BV585" s="2322"/>
      <c r="BW585" s="2322"/>
      <c r="BX585" s="2322"/>
      <c r="BY585" s="2322"/>
      <c r="BZ585" s="2322"/>
      <c r="CA585" s="2322"/>
      <c r="CB585" s="2322"/>
      <c r="CC585" s="2322"/>
      <c r="CD585" s="2322"/>
      <c r="CE585" s="2322"/>
      <c r="CF585" s="2322"/>
      <c r="CG585" s="2322"/>
      <c r="CH585" s="2322"/>
      <c r="CI585" s="2322"/>
      <c r="CJ585" s="2322"/>
      <c r="CK585" s="2322"/>
      <c r="CL585" s="2322"/>
      <c r="CM585" s="2322"/>
      <c r="CN585" s="2322"/>
      <c r="CO585" s="2322"/>
      <c r="CP585" s="2322"/>
      <c r="CQ585" s="2322"/>
      <c r="CR585" s="2322"/>
      <c r="CS585" s="2322"/>
      <c r="CT585" s="2322"/>
      <c r="CU585" s="2322"/>
      <c r="CV585" s="2322"/>
    </row>
    <row r="586" spans="1:100" ht="15.75" customHeight="1">
      <c r="A586" s="2328"/>
      <c r="B586" s="2322"/>
      <c r="C586" s="2322"/>
      <c r="D586" s="2322"/>
      <c r="E586" s="2322"/>
      <c r="F586" s="2322"/>
      <c r="G586" s="2322"/>
      <c r="H586" s="2322"/>
      <c r="I586" s="2322"/>
      <c r="J586" s="2322"/>
      <c r="K586" s="2322"/>
      <c r="L586" s="2322"/>
      <c r="M586" s="2322"/>
      <c r="N586" s="2322"/>
      <c r="O586" s="2322"/>
      <c r="P586" s="2322"/>
      <c r="Q586" s="2322"/>
      <c r="R586" s="2322"/>
      <c r="S586" s="2322"/>
      <c r="T586" s="2322"/>
      <c r="U586" s="2322"/>
      <c r="V586" s="2322"/>
      <c r="W586" s="2322"/>
      <c r="X586" s="2322"/>
      <c r="Y586" s="2322"/>
      <c r="Z586" s="2322"/>
      <c r="AA586" s="2322"/>
      <c r="AB586" s="2322"/>
      <c r="AC586" s="2322"/>
      <c r="AD586" s="2322"/>
      <c r="AE586" s="2322"/>
      <c r="AF586" s="2322"/>
      <c r="AG586" s="2322"/>
      <c r="AH586" s="2322"/>
      <c r="AI586" s="2322"/>
      <c r="AJ586" s="2322"/>
      <c r="AK586" s="2322"/>
      <c r="AL586" s="2322"/>
      <c r="AM586" s="2322"/>
      <c r="AN586" s="2322"/>
      <c r="AO586" s="2322"/>
      <c r="AP586" s="2322"/>
      <c r="AQ586" s="2322"/>
      <c r="AR586" s="2322"/>
      <c r="AS586" s="2322"/>
      <c r="AT586" s="2322"/>
      <c r="AU586" s="2322"/>
      <c r="AV586" s="2322"/>
      <c r="AW586" s="2322"/>
      <c r="AX586" s="2322"/>
      <c r="AY586" s="2322"/>
      <c r="AZ586" s="2322"/>
      <c r="BA586" s="2322"/>
      <c r="BB586" s="2322"/>
      <c r="BC586" s="2322"/>
      <c r="BD586" s="2322"/>
      <c r="BE586" s="2322"/>
      <c r="BF586" s="2322"/>
      <c r="BG586" s="2322"/>
      <c r="BH586" s="2322"/>
      <c r="BI586" s="2322"/>
      <c r="BJ586" s="2322"/>
      <c r="BK586" s="2322"/>
      <c r="BL586" s="2322"/>
      <c r="BM586" s="2322"/>
      <c r="BN586" s="2322"/>
      <c r="BO586" s="2322"/>
      <c r="BP586" s="2322"/>
      <c r="BQ586" s="2322"/>
      <c r="BR586" s="2322"/>
      <c r="BS586" s="2322"/>
      <c r="BT586" s="2322"/>
      <c r="BU586" s="2322"/>
      <c r="BV586" s="2322"/>
      <c r="BW586" s="2322"/>
      <c r="BX586" s="2322"/>
      <c r="BY586" s="2322"/>
      <c r="BZ586" s="2322"/>
      <c r="CA586" s="2322"/>
      <c r="CB586" s="2322"/>
      <c r="CC586" s="2322"/>
      <c r="CD586" s="2322"/>
      <c r="CE586" s="2322"/>
      <c r="CF586" s="2322"/>
      <c r="CG586" s="2322"/>
      <c r="CH586" s="2322"/>
      <c r="CI586" s="2322"/>
      <c r="CJ586" s="2322"/>
      <c r="CK586" s="2322"/>
      <c r="CL586" s="2322"/>
      <c r="CM586" s="2322"/>
      <c r="CN586" s="2322"/>
      <c r="CO586" s="2322"/>
      <c r="CP586" s="2322"/>
      <c r="CQ586" s="2322"/>
      <c r="CR586" s="2322"/>
      <c r="CS586" s="2322"/>
      <c r="CT586" s="2322"/>
      <c r="CU586" s="2322"/>
      <c r="CV586" s="2322"/>
    </row>
    <row r="587" spans="1:100" ht="15.75" customHeight="1">
      <c r="A587" s="2328"/>
      <c r="B587" s="2322"/>
      <c r="C587" s="2322"/>
      <c r="D587" s="2322"/>
      <c r="E587" s="2322"/>
      <c r="F587" s="2322"/>
      <c r="G587" s="2322"/>
      <c r="H587" s="2322"/>
      <c r="I587" s="2322"/>
      <c r="J587" s="2322"/>
      <c r="K587" s="2322"/>
      <c r="L587" s="2322"/>
      <c r="M587" s="2322"/>
      <c r="N587" s="2322"/>
      <c r="O587" s="2322"/>
      <c r="P587" s="2322"/>
      <c r="Q587" s="2322"/>
      <c r="R587" s="2322"/>
      <c r="S587" s="2322"/>
      <c r="T587" s="2322"/>
      <c r="U587" s="2322"/>
      <c r="V587" s="2322"/>
      <c r="W587" s="2322"/>
      <c r="X587" s="2322"/>
      <c r="Y587" s="2322"/>
      <c r="Z587" s="2322"/>
      <c r="AA587" s="2322"/>
      <c r="AB587" s="2322"/>
      <c r="AC587" s="2322"/>
      <c r="AD587" s="2322"/>
      <c r="AE587" s="2322"/>
      <c r="AF587" s="2322"/>
      <c r="AG587" s="2322"/>
      <c r="AH587" s="2322"/>
      <c r="AI587" s="2322"/>
      <c r="AJ587" s="2322"/>
      <c r="AK587" s="2322"/>
      <c r="AL587" s="2322"/>
      <c r="AM587" s="2322"/>
      <c r="AN587" s="2322"/>
      <c r="AO587" s="2322"/>
      <c r="AP587" s="2322"/>
      <c r="AQ587" s="2322"/>
      <c r="AR587" s="2322"/>
      <c r="AS587" s="2322"/>
      <c r="AT587" s="2322"/>
      <c r="AU587" s="2322"/>
      <c r="AV587" s="2322"/>
      <c r="AW587" s="2322"/>
      <c r="AX587" s="2322"/>
      <c r="AY587" s="2322"/>
      <c r="AZ587" s="2322"/>
      <c r="BA587" s="2322"/>
      <c r="BB587" s="2322"/>
      <c r="BC587" s="2322"/>
      <c r="BD587" s="2322"/>
      <c r="BE587" s="2322"/>
      <c r="BF587" s="2322"/>
      <c r="BG587" s="2322"/>
      <c r="BH587" s="2322"/>
      <c r="BI587" s="2322"/>
      <c r="BJ587" s="2322"/>
      <c r="BK587" s="2322"/>
      <c r="BL587" s="2322"/>
      <c r="BM587" s="2322"/>
      <c r="BN587" s="2322"/>
      <c r="BO587" s="2322"/>
      <c r="BP587" s="2322"/>
      <c r="BQ587" s="2322"/>
      <c r="BR587" s="2322"/>
      <c r="BS587" s="2322"/>
      <c r="BT587" s="2322"/>
      <c r="BU587" s="2322"/>
      <c r="BV587" s="2322"/>
      <c r="BW587" s="2322"/>
      <c r="BX587" s="2322"/>
      <c r="BY587" s="2322"/>
      <c r="BZ587" s="2322"/>
      <c r="CA587" s="2322"/>
      <c r="CB587" s="2322"/>
      <c r="CC587" s="2322"/>
      <c r="CD587" s="2322"/>
      <c r="CE587" s="2322"/>
      <c r="CF587" s="2322"/>
      <c r="CG587" s="2322"/>
      <c r="CH587" s="2322"/>
      <c r="CI587" s="2322"/>
      <c r="CJ587" s="2322"/>
      <c r="CK587" s="2322"/>
      <c r="CL587" s="2322"/>
      <c r="CM587" s="2322"/>
      <c r="CN587" s="2322"/>
      <c r="CO587" s="2322"/>
      <c r="CP587" s="2322"/>
      <c r="CQ587" s="2322"/>
      <c r="CR587" s="2322"/>
      <c r="CS587" s="2322"/>
      <c r="CT587" s="2322"/>
      <c r="CU587" s="2322"/>
      <c r="CV587" s="2322"/>
    </row>
    <row r="588" spans="1:100" ht="15.75" customHeight="1">
      <c r="A588" s="2328"/>
      <c r="B588" s="2322"/>
      <c r="C588" s="2322"/>
      <c r="D588" s="2322"/>
      <c r="E588" s="2322"/>
      <c r="F588" s="2322"/>
      <c r="G588" s="2322"/>
      <c r="H588" s="2322"/>
      <c r="I588" s="2322"/>
      <c r="J588" s="2322"/>
      <c r="K588" s="2322"/>
      <c r="L588" s="2322"/>
      <c r="M588" s="2322"/>
      <c r="N588" s="2322"/>
      <c r="O588" s="2322"/>
      <c r="P588" s="2322"/>
      <c r="Q588" s="2322"/>
      <c r="R588" s="2322"/>
      <c r="S588" s="2322"/>
      <c r="T588" s="2322"/>
      <c r="U588" s="2322"/>
      <c r="V588" s="2322"/>
      <c r="W588" s="2322"/>
      <c r="X588" s="2322"/>
      <c r="Y588" s="2322"/>
      <c r="Z588" s="2322"/>
      <c r="AA588" s="2322"/>
      <c r="AB588" s="2322"/>
      <c r="AC588" s="2322"/>
      <c r="AD588" s="2322"/>
      <c r="AE588" s="2322"/>
      <c r="AF588" s="2322"/>
      <c r="AG588" s="2322"/>
      <c r="AH588" s="2322"/>
      <c r="AI588" s="2322"/>
      <c r="AJ588" s="2322"/>
      <c r="AK588" s="2322"/>
      <c r="AL588" s="2322"/>
      <c r="AM588" s="2322"/>
      <c r="AN588" s="2322"/>
      <c r="AO588" s="2322"/>
      <c r="AP588" s="2322"/>
      <c r="AQ588" s="2322"/>
      <c r="AR588" s="2322"/>
      <c r="AS588" s="2322"/>
      <c r="AT588" s="2322"/>
      <c r="AU588" s="2322"/>
      <c r="AV588" s="2322"/>
      <c r="AW588" s="2322"/>
      <c r="AX588" s="2322"/>
      <c r="AY588" s="2322"/>
      <c r="AZ588" s="2322"/>
      <c r="BA588" s="2322"/>
      <c r="BB588" s="2322"/>
      <c r="BC588" s="2322"/>
      <c r="BD588" s="2322"/>
      <c r="BE588" s="2322"/>
      <c r="BF588" s="2322"/>
      <c r="BG588" s="2322"/>
      <c r="BH588" s="2322"/>
      <c r="BI588" s="2322"/>
      <c r="BJ588" s="2322"/>
      <c r="BK588" s="2322"/>
      <c r="BL588" s="2322"/>
      <c r="BM588" s="2322"/>
      <c r="BN588" s="2322"/>
      <c r="BO588" s="2322"/>
      <c r="BP588" s="2322"/>
      <c r="BQ588" s="2322"/>
      <c r="BR588" s="2322"/>
      <c r="BS588" s="2322"/>
      <c r="BT588" s="2322"/>
      <c r="BU588" s="2322"/>
      <c r="BV588" s="2322"/>
      <c r="BW588" s="2322"/>
      <c r="BX588" s="2322"/>
      <c r="BY588" s="2322"/>
      <c r="BZ588" s="2322"/>
      <c r="CA588" s="2322"/>
      <c r="CB588" s="2322"/>
      <c r="CC588" s="2322"/>
      <c r="CD588" s="2322"/>
      <c r="CE588" s="2322"/>
      <c r="CF588" s="2322"/>
      <c r="CG588" s="2322"/>
      <c r="CH588" s="2322"/>
      <c r="CI588" s="2322"/>
      <c r="CJ588" s="2322"/>
      <c r="CK588" s="2322"/>
      <c r="CL588" s="2322"/>
      <c r="CM588" s="2322"/>
      <c r="CN588" s="2322"/>
      <c r="CO588" s="2322"/>
      <c r="CP588" s="2322"/>
      <c r="CQ588" s="2322"/>
      <c r="CR588" s="2322"/>
      <c r="CS588" s="2322"/>
      <c r="CT588" s="2322"/>
      <c r="CU588" s="2322"/>
      <c r="CV588" s="2322"/>
    </row>
    <row r="589" spans="1:100" ht="15.75" customHeight="1">
      <c r="A589" s="2328"/>
      <c r="B589" s="2322"/>
      <c r="C589" s="2322"/>
      <c r="D589" s="2322"/>
      <c r="E589" s="2322"/>
      <c r="F589" s="2322"/>
      <c r="G589" s="2322"/>
      <c r="H589" s="2322"/>
      <c r="I589" s="2322"/>
      <c r="J589" s="2322"/>
      <c r="K589" s="2322"/>
      <c r="L589" s="2322"/>
      <c r="M589" s="2322"/>
      <c r="N589" s="2322"/>
      <c r="O589" s="2322"/>
      <c r="P589" s="2322"/>
      <c r="Q589" s="2322"/>
      <c r="R589" s="2322"/>
      <c r="S589" s="2322"/>
      <c r="T589" s="2322"/>
      <c r="U589" s="2322"/>
      <c r="V589" s="2322"/>
      <c r="W589" s="2322"/>
      <c r="X589" s="2322"/>
      <c r="Y589" s="2322"/>
      <c r="Z589" s="2322"/>
      <c r="AA589" s="2322"/>
      <c r="AB589" s="2322"/>
      <c r="AC589" s="2322"/>
      <c r="AD589" s="2322"/>
      <c r="AE589" s="2322"/>
      <c r="AF589" s="2322"/>
      <c r="AG589" s="2322"/>
      <c r="AH589" s="2322"/>
      <c r="AI589" s="2322"/>
      <c r="AJ589" s="2322"/>
      <c r="AK589" s="2322"/>
      <c r="AL589" s="2322"/>
      <c r="AM589" s="2322"/>
      <c r="AN589" s="2322"/>
      <c r="AO589" s="2322"/>
      <c r="AP589" s="2322"/>
      <c r="AQ589" s="2322"/>
      <c r="AR589" s="2322"/>
      <c r="AS589" s="2322"/>
      <c r="AT589" s="2322"/>
      <c r="AU589" s="2322"/>
      <c r="AV589" s="2322"/>
      <c r="AW589" s="2322"/>
      <c r="AX589" s="2322"/>
      <c r="AY589" s="2322"/>
      <c r="AZ589" s="2322"/>
      <c r="BA589" s="2322"/>
      <c r="BB589" s="2322"/>
      <c r="BC589" s="2322"/>
      <c r="BD589" s="2322"/>
      <c r="BE589" s="2322"/>
      <c r="BF589" s="2322"/>
      <c r="BG589" s="2322"/>
      <c r="BH589" s="2322"/>
      <c r="BI589" s="2322"/>
      <c r="BJ589" s="2322"/>
      <c r="BK589" s="2322"/>
      <c r="BL589" s="2322"/>
      <c r="BM589" s="2322"/>
      <c r="BN589" s="2322"/>
      <c r="BO589" s="2322"/>
      <c r="BP589" s="2322"/>
      <c r="BQ589" s="2322"/>
      <c r="BR589" s="2322"/>
      <c r="BS589" s="2322"/>
      <c r="BT589" s="2322"/>
      <c r="BU589" s="2322"/>
      <c r="BV589" s="2322"/>
      <c r="BW589" s="2322"/>
      <c r="BX589" s="2322"/>
      <c r="BY589" s="2322"/>
      <c r="BZ589" s="2322"/>
      <c r="CA589" s="2322"/>
      <c r="CB589" s="2322"/>
      <c r="CC589" s="2322"/>
      <c r="CD589" s="2322"/>
      <c r="CE589" s="2322"/>
      <c r="CF589" s="2322"/>
      <c r="CG589" s="2322"/>
      <c r="CH589" s="2322"/>
      <c r="CI589" s="2322"/>
      <c r="CJ589" s="2322"/>
      <c r="CK589" s="2322"/>
      <c r="CL589" s="2322"/>
      <c r="CM589" s="2322"/>
      <c r="CN589" s="2322"/>
      <c r="CO589" s="2322"/>
      <c r="CP589" s="2322"/>
      <c r="CQ589" s="2322"/>
      <c r="CR589" s="2322"/>
      <c r="CS589" s="2322"/>
      <c r="CT589" s="2322"/>
      <c r="CU589" s="2322"/>
      <c r="CV589" s="2322"/>
    </row>
    <row r="590" spans="1:100" ht="15.75" customHeight="1">
      <c r="A590" s="2328"/>
      <c r="B590" s="2322"/>
      <c r="C590" s="2322"/>
      <c r="D590" s="2322"/>
      <c r="E590" s="2322"/>
      <c r="F590" s="2322"/>
      <c r="G590" s="2322"/>
      <c r="H590" s="2322"/>
      <c r="I590" s="2322"/>
      <c r="J590" s="2322"/>
      <c r="K590" s="2322"/>
      <c r="L590" s="2322"/>
      <c r="M590" s="2322"/>
      <c r="N590" s="2322"/>
      <c r="O590" s="2322"/>
      <c r="P590" s="2322"/>
      <c r="Q590" s="2322"/>
      <c r="R590" s="2322"/>
      <c r="S590" s="2322"/>
      <c r="T590" s="2322"/>
      <c r="U590" s="2322"/>
      <c r="V590" s="2322"/>
      <c r="W590" s="2322"/>
      <c r="X590" s="2322"/>
      <c r="Y590" s="2322"/>
      <c r="Z590" s="2322"/>
      <c r="AA590" s="2322"/>
      <c r="AB590" s="2322"/>
      <c r="AC590" s="2322"/>
      <c r="AD590" s="2322"/>
      <c r="AE590" s="2322"/>
      <c r="AF590" s="2322"/>
      <c r="AG590" s="2322"/>
      <c r="AH590" s="2322"/>
      <c r="AI590" s="2322"/>
      <c r="AJ590" s="2322"/>
      <c r="AK590" s="2322"/>
      <c r="AL590" s="2322"/>
      <c r="AM590" s="2322"/>
      <c r="AN590" s="2322"/>
      <c r="AO590" s="2322"/>
      <c r="AP590" s="2322"/>
      <c r="AQ590" s="2322"/>
      <c r="AR590" s="2322"/>
      <c r="AS590" s="2322"/>
      <c r="AT590" s="2322"/>
      <c r="AU590" s="2322"/>
      <c r="AV590" s="2322"/>
      <c r="AW590" s="2322"/>
      <c r="AX590" s="2322"/>
      <c r="AY590" s="2322"/>
      <c r="AZ590" s="2322"/>
      <c r="BA590" s="2322"/>
      <c r="BB590" s="2322"/>
      <c r="BC590" s="2322"/>
      <c r="BD590" s="2322"/>
      <c r="BE590" s="2322"/>
      <c r="BF590" s="2322"/>
      <c r="BG590" s="2322"/>
      <c r="BH590" s="2322"/>
      <c r="BI590" s="2322"/>
      <c r="BJ590" s="2322"/>
      <c r="BK590" s="2322"/>
      <c r="BL590" s="2322"/>
      <c r="BM590" s="2322"/>
      <c r="BN590" s="2322"/>
      <c r="BO590" s="2322"/>
      <c r="BP590" s="2322"/>
      <c r="BQ590" s="2322"/>
      <c r="BR590" s="2322"/>
      <c r="BS590" s="2322"/>
      <c r="BT590" s="2322"/>
      <c r="BU590" s="2322"/>
      <c r="BV590" s="2322"/>
      <c r="BW590" s="2322"/>
      <c r="BX590" s="2322"/>
      <c r="BY590" s="2322"/>
      <c r="BZ590" s="2322"/>
      <c r="CA590" s="2322"/>
      <c r="CB590" s="2322"/>
      <c r="CC590" s="2322"/>
      <c r="CD590" s="2322"/>
      <c r="CE590" s="2322"/>
      <c r="CF590" s="2322"/>
      <c r="CG590" s="2322"/>
      <c r="CH590" s="2322"/>
      <c r="CI590" s="2322"/>
      <c r="CJ590" s="2322"/>
      <c r="CK590" s="2322"/>
      <c r="CL590" s="2322"/>
      <c r="CM590" s="2322"/>
      <c r="CN590" s="2322"/>
      <c r="CO590" s="2322"/>
      <c r="CP590" s="2322"/>
      <c r="CQ590" s="2322"/>
      <c r="CR590" s="2322"/>
      <c r="CS590" s="2322"/>
      <c r="CT590" s="2322"/>
      <c r="CU590" s="2322"/>
      <c r="CV590" s="2322"/>
    </row>
    <row r="591" spans="1:100" ht="15.75" customHeight="1">
      <c r="A591" s="2328"/>
      <c r="B591" s="2322"/>
      <c r="C591" s="2322"/>
      <c r="D591" s="2322"/>
      <c r="E591" s="2322"/>
      <c r="F591" s="2322"/>
      <c r="G591" s="2322"/>
      <c r="H591" s="2322"/>
      <c r="I591" s="2322"/>
      <c r="J591" s="2322"/>
      <c r="K591" s="2322"/>
      <c r="L591" s="2322"/>
      <c r="M591" s="2322"/>
      <c r="N591" s="2322"/>
      <c r="O591" s="2322"/>
      <c r="P591" s="2322"/>
      <c r="Q591" s="2322"/>
      <c r="R591" s="2322"/>
      <c r="S591" s="2322"/>
      <c r="T591" s="2322"/>
      <c r="U591" s="2322"/>
      <c r="V591" s="2322"/>
      <c r="W591" s="2322"/>
      <c r="X591" s="2322"/>
      <c r="Y591" s="2322"/>
      <c r="Z591" s="2322"/>
      <c r="AA591" s="2322"/>
      <c r="AB591" s="2322"/>
      <c r="AC591" s="2322"/>
      <c r="AD591" s="2322"/>
      <c r="AE591" s="2322"/>
      <c r="AF591" s="2322"/>
      <c r="AG591" s="2322"/>
      <c r="AH591" s="2322"/>
      <c r="AI591" s="2322"/>
      <c r="AJ591" s="2322"/>
      <c r="AK591" s="2322"/>
      <c r="AL591" s="2322"/>
      <c r="AM591" s="2322"/>
      <c r="AN591" s="2322"/>
      <c r="AO591" s="2322"/>
      <c r="AP591" s="2322"/>
      <c r="AQ591" s="2322"/>
      <c r="AR591" s="2322"/>
      <c r="AS591" s="2322"/>
      <c r="AT591" s="2322"/>
      <c r="AU591" s="2322"/>
      <c r="AV591" s="2322"/>
      <c r="AW591" s="2322"/>
      <c r="AX591" s="2322"/>
      <c r="AY591" s="2322"/>
      <c r="AZ591" s="2322"/>
      <c r="BA591" s="2322"/>
      <c r="BB591" s="2322"/>
      <c r="BC591" s="2322"/>
      <c r="BD591" s="2322"/>
      <c r="BE591" s="2322"/>
      <c r="BF591" s="2322"/>
      <c r="BG591" s="2322"/>
      <c r="BH591" s="2322"/>
      <c r="BI591" s="2322"/>
      <c r="BJ591" s="2322"/>
      <c r="BK591" s="2322"/>
      <c r="BL591" s="2322"/>
      <c r="BM591" s="2322"/>
      <c r="BN591" s="2322"/>
      <c r="BO591" s="2322"/>
      <c r="BP591" s="2322"/>
      <c r="BQ591" s="2322"/>
      <c r="BR591" s="2322"/>
      <c r="BS591" s="2322"/>
      <c r="BT591" s="2322"/>
      <c r="BU591" s="2322"/>
      <c r="BV591" s="2322"/>
      <c r="BW591" s="2322"/>
      <c r="BX591" s="2322"/>
      <c r="BY591" s="2322"/>
      <c r="BZ591" s="2322"/>
      <c r="CA591" s="2322"/>
      <c r="CB591" s="2322"/>
      <c r="CC591" s="2322"/>
      <c r="CD591" s="2322"/>
      <c r="CE591" s="2322"/>
      <c r="CF591" s="2322"/>
      <c r="CG591" s="2322"/>
      <c r="CH591" s="2322"/>
      <c r="CI591" s="2322"/>
      <c r="CJ591" s="2322"/>
      <c r="CK591" s="2322"/>
      <c r="CL591" s="2322"/>
      <c r="CM591" s="2322"/>
      <c r="CN591" s="2322"/>
      <c r="CO591" s="2322"/>
      <c r="CP591" s="2322"/>
      <c r="CQ591" s="2322"/>
      <c r="CR591" s="2322"/>
      <c r="CS591" s="2322"/>
      <c r="CT591" s="2322"/>
      <c r="CU591" s="2322"/>
      <c r="CV591" s="2322"/>
    </row>
    <row r="592" spans="1:100" ht="15.75" customHeight="1">
      <c r="A592" s="2328"/>
      <c r="B592" s="2322"/>
      <c r="C592" s="2322"/>
      <c r="D592" s="2322"/>
      <c r="E592" s="2322"/>
      <c r="F592" s="2322"/>
      <c r="G592" s="2322"/>
      <c r="H592" s="2322"/>
      <c r="I592" s="2322"/>
      <c r="J592" s="2322"/>
      <c r="K592" s="2322"/>
      <c r="L592" s="2322"/>
      <c r="M592" s="2322"/>
      <c r="N592" s="2322"/>
      <c r="O592" s="2322"/>
      <c r="P592" s="2322"/>
      <c r="Q592" s="2322"/>
      <c r="R592" s="2322"/>
      <c r="S592" s="2322"/>
      <c r="T592" s="2322"/>
      <c r="U592" s="2322"/>
      <c r="V592" s="2322"/>
      <c r="W592" s="2322"/>
      <c r="X592" s="2322"/>
      <c r="Y592" s="2322"/>
      <c r="Z592" s="2322"/>
      <c r="AA592" s="2322"/>
      <c r="AB592" s="2322"/>
      <c r="AC592" s="2322"/>
      <c r="AD592" s="2322"/>
      <c r="AE592" s="2322"/>
      <c r="AF592" s="2322"/>
      <c r="AG592" s="2322"/>
      <c r="AH592" s="2322"/>
      <c r="AI592" s="2322"/>
      <c r="AJ592" s="2322"/>
      <c r="AK592" s="2322"/>
      <c r="AL592" s="2322"/>
      <c r="AM592" s="2322"/>
      <c r="AN592" s="2322"/>
      <c r="AO592" s="2322"/>
      <c r="AP592" s="2322"/>
      <c r="AQ592" s="2322"/>
      <c r="AR592" s="2322"/>
      <c r="AS592" s="2322"/>
      <c r="AT592" s="2322"/>
      <c r="AU592" s="2322"/>
      <c r="AV592" s="2322"/>
      <c r="AW592" s="2322"/>
      <c r="AX592" s="2322"/>
      <c r="AY592" s="2322"/>
      <c r="AZ592" s="2322"/>
      <c r="BA592" s="2322"/>
      <c r="BB592" s="2322"/>
      <c r="BC592" s="2322"/>
      <c r="BD592" s="2322"/>
      <c r="BE592" s="2322"/>
      <c r="BF592" s="2322"/>
      <c r="BG592" s="2322"/>
      <c r="BH592" s="2322"/>
      <c r="BI592" s="2322"/>
      <c r="BJ592" s="2322"/>
      <c r="BK592" s="2322"/>
      <c r="BL592" s="2322"/>
      <c r="BM592" s="2322"/>
      <c r="BN592" s="2322"/>
      <c r="BO592" s="2322"/>
      <c r="BP592" s="2322"/>
      <c r="BQ592" s="2322"/>
      <c r="BR592" s="2322"/>
      <c r="BS592" s="2322"/>
      <c r="BT592" s="2322"/>
      <c r="BU592" s="2322"/>
      <c r="BV592" s="2322"/>
      <c r="BW592" s="2322"/>
      <c r="BX592" s="2322"/>
      <c r="BY592" s="2322"/>
      <c r="BZ592" s="2322"/>
      <c r="CA592" s="2322"/>
      <c r="CB592" s="2322"/>
      <c r="CC592" s="2322"/>
      <c r="CD592" s="2322"/>
      <c r="CE592" s="2322"/>
      <c r="CF592" s="2322"/>
      <c r="CG592" s="2322"/>
      <c r="CH592" s="2322"/>
      <c r="CI592" s="2322"/>
      <c r="CJ592" s="2322"/>
      <c r="CK592" s="2322"/>
      <c r="CL592" s="2322"/>
      <c r="CM592" s="2322"/>
      <c r="CN592" s="2322"/>
      <c r="CO592" s="2322"/>
      <c r="CP592" s="2322"/>
      <c r="CQ592" s="2322"/>
      <c r="CR592" s="2322"/>
      <c r="CS592" s="2322"/>
      <c r="CT592" s="2322"/>
      <c r="CU592" s="2322"/>
      <c r="CV592" s="2322"/>
    </row>
    <row r="593" spans="1:100" ht="15.75" customHeight="1">
      <c r="A593" s="2328"/>
      <c r="B593" s="2322"/>
      <c r="C593" s="2322"/>
      <c r="D593" s="2322"/>
      <c r="E593" s="2322"/>
      <c r="F593" s="2322"/>
      <c r="G593" s="2322"/>
      <c r="H593" s="2322"/>
      <c r="I593" s="2322"/>
      <c r="J593" s="2322"/>
      <c r="K593" s="2322"/>
      <c r="L593" s="2322"/>
      <c r="M593" s="2322"/>
      <c r="N593" s="2322"/>
      <c r="O593" s="2322"/>
      <c r="P593" s="2322"/>
      <c r="Q593" s="2322"/>
      <c r="R593" s="2322"/>
      <c r="S593" s="2322"/>
      <c r="T593" s="2322"/>
      <c r="U593" s="2322"/>
      <c r="V593" s="2322"/>
      <c r="W593" s="2322"/>
      <c r="X593" s="2322"/>
      <c r="Y593" s="2322"/>
      <c r="Z593" s="2322"/>
      <c r="AA593" s="2322"/>
      <c r="AB593" s="2322"/>
      <c r="AC593" s="2322"/>
      <c r="AD593" s="2322"/>
      <c r="AE593" s="2322"/>
      <c r="AF593" s="2322"/>
      <c r="AG593" s="2322"/>
      <c r="AH593" s="2322"/>
      <c r="AI593" s="2322"/>
      <c r="AJ593" s="2322"/>
      <c r="AK593" s="2322"/>
      <c r="AL593" s="2322"/>
      <c r="AM593" s="2322"/>
      <c r="AN593" s="2322"/>
      <c r="AO593" s="2322"/>
      <c r="AP593" s="2322"/>
      <c r="AQ593" s="2322"/>
      <c r="AR593" s="2322"/>
      <c r="AS593" s="2322"/>
      <c r="AT593" s="2322"/>
      <c r="AU593" s="2322"/>
      <c r="AV593" s="2322"/>
      <c r="AW593" s="2322"/>
      <c r="AX593" s="2322"/>
      <c r="AY593" s="2322"/>
      <c r="AZ593" s="2322"/>
      <c r="BA593" s="2322"/>
      <c r="BB593" s="2322"/>
      <c r="BC593" s="2322"/>
      <c r="BD593" s="2322"/>
      <c r="BE593" s="2322"/>
      <c r="BF593" s="2322"/>
      <c r="BG593" s="2322"/>
      <c r="BH593" s="2322"/>
      <c r="BI593" s="2322"/>
      <c r="BJ593" s="2322"/>
      <c r="BK593" s="2322"/>
      <c r="BL593" s="2322"/>
      <c r="BM593" s="2322"/>
      <c r="BN593" s="2322"/>
      <c r="BO593" s="2322"/>
      <c r="BP593" s="2322"/>
      <c r="BQ593" s="2322"/>
      <c r="BR593" s="2322"/>
      <c r="BS593" s="2322"/>
      <c r="BT593" s="2322"/>
      <c r="BU593" s="2322"/>
      <c r="BV593" s="2322"/>
      <c r="BW593" s="2322"/>
      <c r="BX593" s="2322"/>
      <c r="BY593" s="2322"/>
      <c r="BZ593" s="2322"/>
      <c r="CA593" s="2322"/>
      <c r="CB593" s="2322"/>
      <c r="CC593" s="2322"/>
      <c r="CD593" s="2322"/>
      <c r="CE593" s="2322"/>
      <c r="CF593" s="2322"/>
      <c r="CG593" s="2322"/>
      <c r="CH593" s="2322"/>
      <c r="CI593" s="2322"/>
      <c r="CJ593" s="2322"/>
      <c r="CK593" s="2322"/>
      <c r="CL593" s="2322"/>
      <c r="CM593" s="2322"/>
      <c r="CN593" s="2322"/>
      <c r="CO593" s="2322"/>
      <c r="CP593" s="2322"/>
      <c r="CQ593" s="2322"/>
      <c r="CR593" s="2322"/>
      <c r="CS593" s="2322"/>
      <c r="CT593" s="2322"/>
      <c r="CU593" s="2322"/>
      <c r="CV593" s="2322"/>
    </row>
    <row r="594" spans="1:100" ht="15.75" customHeight="1">
      <c r="A594" s="2328"/>
      <c r="B594" s="2322"/>
      <c r="C594" s="2322"/>
      <c r="D594" s="2322"/>
      <c r="E594" s="2322"/>
      <c r="F594" s="2322"/>
      <c r="G594" s="2322"/>
      <c r="H594" s="2322"/>
      <c r="I594" s="2322"/>
      <c r="J594" s="2322"/>
      <c r="K594" s="2322"/>
      <c r="L594" s="2322"/>
      <c r="M594" s="2322"/>
      <c r="N594" s="2322"/>
      <c r="O594" s="2322"/>
      <c r="P594" s="2322"/>
      <c r="Q594" s="2322"/>
      <c r="R594" s="2322"/>
      <c r="S594" s="2322"/>
      <c r="T594" s="2322"/>
      <c r="U594" s="2322"/>
      <c r="V594" s="2322"/>
      <c r="W594" s="2322"/>
      <c r="X594" s="2322"/>
      <c r="Y594" s="2322"/>
      <c r="Z594" s="2322"/>
      <c r="AA594" s="2322"/>
      <c r="AB594" s="2322"/>
      <c r="AC594" s="2322"/>
      <c r="AD594" s="2322"/>
      <c r="AE594" s="2322"/>
      <c r="AF594" s="2322"/>
      <c r="AG594" s="2322"/>
      <c r="AH594" s="2322"/>
      <c r="AI594" s="2322"/>
      <c r="AJ594" s="2322"/>
      <c r="AK594" s="2322"/>
      <c r="AL594" s="2322"/>
      <c r="AM594" s="2322"/>
      <c r="AN594" s="2322"/>
      <c r="AO594" s="2322"/>
      <c r="AP594" s="2322"/>
      <c r="AQ594" s="2322"/>
      <c r="AR594" s="2322"/>
      <c r="AS594" s="2322"/>
      <c r="AT594" s="2322"/>
      <c r="AU594" s="2322"/>
      <c r="AV594" s="2322"/>
      <c r="AW594" s="2322"/>
      <c r="AX594" s="2322"/>
      <c r="AY594" s="2322"/>
      <c r="AZ594" s="2322"/>
      <c r="BA594" s="2322"/>
      <c r="BB594" s="2322"/>
      <c r="BC594" s="2322"/>
      <c r="BD594" s="2322"/>
      <c r="BE594" s="2322"/>
      <c r="BF594" s="2322"/>
      <c r="BG594" s="2322"/>
      <c r="BH594" s="2322"/>
      <c r="BI594" s="2322"/>
      <c r="BJ594" s="2322"/>
      <c r="BK594" s="2322"/>
      <c r="BL594" s="2322"/>
      <c r="BM594" s="2322"/>
      <c r="BN594" s="2322"/>
      <c r="BO594" s="2322"/>
      <c r="BP594" s="2322"/>
      <c r="BQ594" s="2322"/>
      <c r="BR594" s="2322"/>
      <c r="BS594" s="2322"/>
      <c r="BT594" s="2322"/>
      <c r="BU594" s="2322"/>
      <c r="BV594" s="2322"/>
      <c r="BW594" s="2322"/>
      <c r="BX594" s="2322"/>
      <c r="BY594" s="2322"/>
      <c r="BZ594" s="2322"/>
      <c r="CA594" s="2322"/>
      <c r="CB594" s="2322"/>
      <c r="CC594" s="2322"/>
      <c r="CD594" s="2322"/>
      <c r="CE594" s="2322"/>
      <c r="CF594" s="2322"/>
      <c r="CG594" s="2322"/>
      <c r="CH594" s="2322"/>
      <c r="CI594" s="2322"/>
      <c r="CJ594" s="2322"/>
      <c r="CK594" s="2322"/>
      <c r="CL594" s="2322"/>
      <c r="CM594" s="2322"/>
      <c r="CN594" s="2322"/>
      <c r="CO594" s="2322"/>
      <c r="CP594" s="2322"/>
      <c r="CQ594" s="2322"/>
      <c r="CR594" s="2322"/>
      <c r="CS594" s="2322"/>
      <c r="CT594" s="2322"/>
      <c r="CU594" s="2322"/>
      <c r="CV594" s="2322"/>
    </row>
    <row r="595" spans="1:100" ht="15.75" customHeight="1">
      <c r="A595" s="2328"/>
      <c r="B595" s="2322"/>
      <c r="C595" s="2322"/>
      <c r="D595" s="2322"/>
      <c r="E595" s="2322"/>
      <c r="F595" s="2322"/>
      <c r="G595" s="2322"/>
      <c r="H595" s="2322"/>
      <c r="I595" s="2322"/>
      <c r="J595" s="2322"/>
      <c r="K595" s="2322"/>
      <c r="L595" s="2322"/>
      <c r="M595" s="2322"/>
      <c r="N595" s="2322"/>
      <c r="O595" s="2322"/>
      <c r="P595" s="2322"/>
      <c r="Q595" s="2322"/>
      <c r="R595" s="2322"/>
      <c r="S595" s="2322"/>
      <c r="T595" s="2322"/>
      <c r="U595" s="2322"/>
      <c r="V595" s="2322"/>
      <c r="W595" s="2322"/>
      <c r="X595" s="2322"/>
      <c r="Y595" s="2322"/>
      <c r="Z595" s="2322"/>
      <c r="AA595" s="2322"/>
      <c r="AB595" s="2322"/>
      <c r="AC595" s="2322"/>
      <c r="AD595" s="2322"/>
      <c r="AE595" s="2322"/>
      <c r="AF595" s="2322"/>
      <c r="AG595" s="2322"/>
      <c r="AH595" s="2322"/>
      <c r="AI595" s="2322"/>
      <c r="AJ595" s="2322"/>
      <c r="AK595" s="2322"/>
      <c r="AL595" s="2322"/>
      <c r="AM595" s="2322"/>
      <c r="AN595" s="2322"/>
      <c r="AO595" s="2322"/>
      <c r="AP595" s="2322"/>
      <c r="AQ595" s="2322"/>
      <c r="AR595" s="2322"/>
      <c r="AS595" s="2322"/>
      <c r="AT595" s="2322"/>
      <c r="AU595" s="2322"/>
      <c r="AV595" s="2322"/>
      <c r="AW595" s="2322"/>
      <c r="AX595" s="2322"/>
      <c r="AY595" s="2322"/>
      <c r="AZ595" s="2322"/>
      <c r="BA595" s="2322"/>
      <c r="BB595" s="2322"/>
      <c r="BC595" s="2322"/>
      <c r="BD595" s="2322"/>
      <c r="BE595" s="2322"/>
      <c r="BF595" s="2322"/>
      <c r="BG595" s="2322"/>
      <c r="BH595" s="2322"/>
      <c r="BI595" s="2322"/>
      <c r="BJ595" s="2322"/>
      <c r="BK595" s="2322"/>
      <c r="BL595" s="2322"/>
      <c r="BM595" s="2322"/>
      <c r="BN595" s="2322"/>
      <c r="BO595" s="2322"/>
      <c r="BP595" s="2322"/>
      <c r="BQ595" s="2322"/>
      <c r="BR595" s="2322"/>
      <c r="BS595" s="2322"/>
      <c r="BT595" s="2322"/>
      <c r="BU595" s="2322"/>
      <c r="BV595" s="2322"/>
      <c r="BW595" s="2322"/>
      <c r="BX595" s="2322"/>
      <c r="BY595" s="2322"/>
      <c r="BZ595" s="2322"/>
      <c r="CA595" s="2322"/>
      <c r="CB595" s="2322"/>
      <c r="CC595" s="2322"/>
      <c r="CD595" s="2322"/>
      <c r="CE595" s="2322"/>
      <c r="CF595" s="2322"/>
      <c r="CG595" s="2322"/>
      <c r="CH595" s="2322"/>
      <c r="CI595" s="2322"/>
      <c r="CJ595" s="2322"/>
      <c r="CK595" s="2322"/>
      <c r="CL595" s="2322"/>
      <c r="CM595" s="2322"/>
      <c r="CN595" s="2322"/>
      <c r="CO595" s="2322"/>
      <c r="CP595" s="2322"/>
      <c r="CQ595" s="2322"/>
      <c r="CR595" s="2322"/>
      <c r="CS595" s="2322"/>
      <c r="CT595" s="2322"/>
      <c r="CU595" s="2322"/>
      <c r="CV595" s="2322"/>
    </row>
    <row r="596" spans="1:100" ht="15.75" customHeight="1">
      <c r="A596" s="2328"/>
      <c r="B596" s="2322"/>
      <c r="C596" s="2322"/>
      <c r="D596" s="2322"/>
      <c r="E596" s="2322"/>
      <c r="F596" s="2322"/>
      <c r="G596" s="2322"/>
      <c r="H596" s="2322"/>
      <c r="I596" s="2322"/>
      <c r="J596" s="2322"/>
      <c r="K596" s="2322"/>
      <c r="L596" s="2322"/>
      <c r="M596" s="2322"/>
      <c r="N596" s="2322"/>
      <c r="O596" s="2322"/>
      <c r="P596" s="2322"/>
      <c r="Q596" s="2322"/>
      <c r="R596" s="2322"/>
      <c r="S596" s="2322"/>
      <c r="T596" s="2322"/>
      <c r="U596" s="2322"/>
      <c r="V596" s="2322"/>
      <c r="W596" s="2322"/>
      <c r="X596" s="2322"/>
      <c r="Y596" s="2322"/>
      <c r="Z596" s="2322"/>
      <c r="AA596" s="2322"/>
      <c r="AB596" s="2322"/>
      <c r="AC596" s="2322"/>
      <c r="AD596" s="2322"/>
      <c r="AE596" s="2322"/>
      <c r="AF596" s="2322"/>
      <c r="AG596" s="2322"/>
      <c r="AH596" s="2322"/>
      <c r="AI596" s="2322"/>
      <c r="AJ596" s="2322"/>
      <c r="AK596" s="2322"/>
      <c r="AL596" s="2322"/>
      <c r="AM596" s="2322"/>
      <c r="AN596" s="2322"/>
      <c r="AO596" s="2322"/>
      <c r="AP596" s="2322"/>
      <c r="AQ596" s="2322"/>
      <c r="AR596" s="2322"/>
      <c r="AS596" s="2322"/>
      <c r="AT596" s="2322"/>
      <c r="AU596" s="2322"/>
      <c r="AV596" s="2322"/>
      <c r="AW596" s="2322"/>
      <c r="AX596" s="2322"/>
      <c r="AY596" s="2322"/>
      <c r="AZ596" s="2322"/>
      <c r="BA596" s="2322"/>
      <c r="BB596" s="2322"/>
      <c r="BC596" s="2322"/>
      <c r="BD596" s="2322"/>
      <c r="BE596" s="2322"/>
      <c r="BF596" s="2322"/>
      <c r="BG596" s="2322"/>
      <c r="BH596" s="2322"/>
      <c r="BI596" s="2322"/>
      <c r="BJ596" s="2322"/>
      <c r="BK596" s="2322"/>
      <c r="BL596" s="2322"/>
      <c r="BM596" s="2322"/>
      <c r="BN596" s="2322"/>
      <c r="BO596" s="2322"/>
      <c r="BP596" s="2322"/>
      <c r="BQ596" s="2322"/>
      <c r="BR596" s="2322"/>
      <c r="BS596" s="2322"/>
      <c r="BT596" s="2322"/>
      <c r="BU596" s="2322"/>
      <c r="BV596" s="2322"/>
      <c r="BW596" s="2322"/>
      <c r="BX596" s="2322"/>
      <c r="BY596" s="2322"/>
      <c r="BZ596" s="2322"/>
      <c r="CA596" s="2322"/>
      <c r="CB596" s="2322"/>
      <c r="CC596" s="2322"/>
      <c r="CD596" s="2322"/>
      <c r="CE596" s="2322"/>
      <c r="CF596" s="2322"/>
      <c r="CG596" s="2322"/>
      <c r="CH596" s="2322"/>
      <c r="CI596" s="2322"/>
      <c r="CJ596" s="2322"/>
      <c r="CK596" s="2322"/>
      <c r="CL596" s="2322"/>
      <c r="CM596" s="2322"/>
      <c r="CN596" s="2322"/>
      <c r="CO596" s="2322"/>
      <c r="CP596" s="2322"/>
      <c r="CQ596" s="2322"/>
      <c r="CR596" s="2322"/>
      <c r="CS596" s="2322"/>
      <c r="CT596" s="2322"/>
      <c r="CU596" s="2322"/>
      <c r="CV596" s="2322"/>
    </row>
    <row r="597" spans="1:100" ht="15.75" customHeight="1">
      <c r="A597" s="2328"/>
      <c r="B597" s="2322"/>
      <c r="C597" s="2322"/>
      <c r="D597" s="2322"/>
      <c r="E597" s="2322"/>
      <c r="F597" s="2322"/>
      <c r="G597" s="2322"/>
      <c r="H597" s="2322"/>
      <c r="I597" s="2322"/>
      <c r="J597" s="2322"/>
      <c r="K597" s="2322"/>
      <c r="L597" s="2322"/>
      <c r="M597" s="2322"/>
      <c r="N597" s="2322"/>
      <c r="O597" s="2322"/>
      <c r="P597" s="2322"/>
      <c r="Q597" s="2322"/>
      <c r="R597" s="2322"/>
      <c r="S597" s="2322"/>
      <c r="T597" s="2322"/>
      <c r="U597" s="2322"/>
      <c r="V597" s="2322"/>
      <c r="W597" s="2322"/>
      <c r="X597" s="2322"/>
      <c r="Y597" s="2322"/>
      <c r="Z597" s="2322"/>
      <c r="AA597" s="2322"/>
      <c r="AB597" s="2322"/>
      <c r="AC597" s="2322"/>
      <c r="AD597" s="2322"/>
      <c r="AE597" s="2322"/>
      <c r="AF597" s="2322"/>
      <c r="AG597" s="2322"/>
      <c r="AH597" s="2322"/>
      <c r="AI597" s="2322"/>
      <c r="AJ597" s="2322"/>
      <c r="AK597" s="2322"/>
      <c r="AL597" s="2322"/>
      <c r="AM597" s="2322"/>
      <c r="AN597" s="2322"/>
      <c r="AO597" s="2322"/>
      <c r="AP597" s="2322"/>
      <c r="AQ597" s="2322"/>
      <c r="AR597" s="2322"/>
      <c r="AS597" s="2322"/>
      <c r="AT597" s="2322"/>
      <c r="AU597" s="2322"/>
      <c r="AV597" s="2322"/>
      <c r="AW597" s="2322"/>
      <c r="AX597" s="2322"/>
      <c r="AY597" s="2322"/>
      <c r="AZ597" s="2322"/>
      <c r="BA597" s="2322"/>
      <c r="BB597" s="2322"/>
      <c r="BC597" s="2322"/>
      <c r="BD597" s="2322"/>
      <c r="BE597" s="2322"/>
      <c r="BF597" s="2322"/>
      <c r="BG597" s="2322"/>
      <c r="BH597" s="2322"/>
      <c r="BI597" s="2322"/>
      <c r="BJ597" s="2322"/>
      <c r="BK597" s="2322"/>
      <c r="BL597" s="2322"/>
      <c r="BM597" s="2322"/>
      <c r="BN597" s="2322"/>
      <c r="BO597" s="2322"/>
      <c r="BP597" s="2322"/>
      <c r="BQ597" s="2322"/>
      <c r="BR597" s="2322"/>
      <c r="BS597" s="2322"/>
      <c r="BT597" s="2322"/>
      <c r="BU597" s="2322"/>
      <c r="BV597" s="2322"/>
      <c r="BW597" s="2322"/>
      <c r="BX597" s="2322"/>
      <c r="BY597" s="2322"/>
      <c r="BZ597" s="2322"/>
      <c r="CA597" s="2322"/>
      <c r="CB597" s="2322"/>
      <c r="CC597" s="2322"/>
      <c r="CD597" s="2322"/>
      <c r="CE597" s="2322"/>
      <c r="CF597" s="2322"/>
      <c r="CG597" s="2322"/>
      <c r="CH597" s="2322"/>
      <c r="CI597" s="2322"/>
      <c r="CJ597" s="2322"/>
      <c r="CK597" s="2322"/>
      <c r="CL597" s="2322"/>
      <c r="CM597" s="2322"/>
      <c r="CN597" s="2322"/>
      <c r="CO597" s="2322"/>
      <c r="CP597" s="2322"/>
      <c r="CQ597" s="2322"/>
      <c r="CR597" s="2322"/>
      <c r="CS597" s="2322"/>
      <c r="CT597" s="2322"/>
      <c r="CU597" s="2322"/>
      <c r="CV597" s="2322"/>
    </row>
    <row r="598" spans="1:100" ht="15.75" customHeight="1">
      <c r="A598" s="2328"/>
      <c r="B598" s="2322"/>
      <c r="C598" s="2322"/>
      <c r="D598" s="2322"/>
      <c r="E598" s="2322"/>
      <c r="F598" s="2322"/>
      <c r="G598" s="2322"/>
      <c r="H598" s="2322"/>
      <c r="I598" s="2322"/>
      <c r="J598" s="2322"/>
      <c r="K598" s="2322"/>
      <c r="L598" s="2322"/>
      <c r="M598" s="2322"/>
      <c r="N598" s="2322"/>
      <c r="O598" s="2322"/>
      <c r="P598" s="2322"/>
      <c r="Q598" s="2322"/>
      <c r="R598" s="2322"/>
      <c r="S598" s="2322"/>
      <c r="T598" s="2322"/>
      <c r="U598" s="2322"/>
      <c r="V598" s="2322"/>
      <c r="W598" s="2322"/>
      <c r="X598" s="2322"/>
      <c r="Y598" s="2322"/>
      <c r="Z598" s="2322"/>
      <c r="AA598" s="2322"/>
      <c r="AB598" s="2322"/>
      <c r="AC598" s="2322"/>
      <c r="AD598" s="2322"/>
      <c r="AE598" s="2322"/>
      <c r="AF598" s="2322"/>
      <c r="AG598" s="2322"/>
      <c r="AH598" s="2322"/>
      <c r="AI598" s="2322"/>
      <c r="AJ598" s="2322"/>
      <c r="AK598" s="2322"/>
      <c r="AL598" s="2322"/>
      <c r="AM598" s="2322"/>
      <c r="AN598" s="2322"/>
      <c r="AO598" s="2322"/>
      <c r="AP598" s="2322"/>
      <c r="AQ598" s="2322"/>
      <c r="AR598" s="2322"/>
      <c r="AS598" s="2322"/>
      <c r="AT598" s="2322"/>
      <c r="AU598" s="2322"/>
      <c r="AV598" s="2322"/>
      <c r="AW598" s="2322"/>
      <c r="AX598" s="2322"/>
      <c r="AY598" s="2322"/>
      <c r="AZ598" s="2322"/>
      <c r="BA598" s="2322"/>
      <c r="BB598" s="2322"/>
      <c r="BC598" s="2322"/>
      <c r="BD598" s="2322"/>
      <c r="BE598" s="2322"/>
      <c r="BF598" s="2322"/>
      <c r="BG598" s="2322"/>
      <c r="BH598" s="2322"/>
      <c r="BI598" s="2322"/>
      <c r="BJ598" s="2322"/>
      <c r="BK598" s="2322"/>
      <c r="BL598" s="2322"/>
      <c r="BM598" s="2322"/>
      <c r="BN598" s="2322"/>
      <c r="BO598" s="2322"/>
      <c r="BP598" s="2322"/>
      <c r="BQ598" s="2322"/>
      <c r="BR598" s="2322"/>
      <c r="BS598" s="2322"/>
      <c r="BT598" s="2322"/>
      <c r="BU598" s="2322"/>
      <c r="BV598" s="2322"/>
      <c r="BW598" s="2322"/>
      <c r="BX598" s="2322"/>
      <c r="BY598" s="2322"/>
      <c r="BZ598" s="2322"/>
      <c r="CA598" s="2322"/>
      <c r="CB598" s="2322"/>
      <c r="CC598" s="2322"/>
      <c r="CD598" s="2322"/>
      <c r="CE598" s="2322"/>
      <c r="CF598" s="2322"/>
      <c r="CG598" s="2322"/>
      <c r="CH598" s="2322"/>
      <c r="CI598" s="2322"/>
      <c r="CJ598" s="2322"/>
      <c r="CK598" s="2322"/>
      <c r="CL598" s="2322"/>
      <c r="CM598" s="2322"/>
      <c r="CN598" s="2322"/>
      <c r="CO598" s="2322"/>
      <c r="CP598" s="2322"/>
      <c r="CQ598" s="2322"/>
      <c r="CR598" s="2322"/>
      <c r="CS598" s="2322"/>
      <c r="CT598" s="2322"/>
      <c r="CU598" s="2322"/>
      <c r="CV598" s="2322"/>
    </row>
    <row r="599" spans="1:100" ht="15.75" customHeight="1">
      <c r="A599" s="2328"/>
      <c r="B599" s="2322"/>
      <c r="C599" s="2322"/>
      <c r="D599" s="2322"/>
      <c r="E599" s="2322"/>
      <c r="F599" s="2322"/>
      <c r="G599" s="2322"/>
      <c r="H599" s="2322"/>
      <c r="I599" s="2322"/>
      <c r="J599" s="2322"/>
      <c r="K599" s="2322"/>
      <c r="L599" s="2322"/>
      <c r="M599" s="2322"/>
      <c r="N599" s="2322"/>
      <c r="O599" s="2322"/>
      <c r="P599" s="2322"/>
      <c r="Q599" s="2322"/>
      <c r="R599" s="2322"/>
      <c r="S599" s="2322"/>
      <c r="T599" s="2322"/>
      <c r="U599" s="2322"/>
      <c r="V599" s="2322"/>
      <c r="W599" s="2322"/>
      <c r="X599" s="2322"/>
      <c r="Y599" s="2322"/>
      <c r="Z599" s="2322"/>
      <c r="AA599" s="2322"/>
      <c r="AB599" s="2322"/>
      <c r="AC599" s="2322"/>
      <c r="AD599" s="2322"/>
      <c r="AE599" s="2322"/>
      <c r="AF599" s="2322"/>
      <c r="AG599" s="2322"/>
      <c r="AH599" s="2322"/>
      <c r="AI599" s="2322"/>
      <c r="AJ599" s="2322"/>
      <c r="AK599" s="2322"/>
      <c r="AL599" s="2322"/>
      <c r="AM599" s="2322"/>
      <c r="AN599" s="2322"/>
      <c r="AO599" s="2322"/>
      <c r="AP599" s="2322"/>
      <c r="AQ599" s="2322"/>
      <c r="AR599" s="2322"/>
      <c r="AS599" s="2322"/>
      <c r="AT599" s="2322"/>
      <c r="AU599" s="2322"/>
      <c r="AV599" s="2322"/>
      <c r="AW599" s="2322"/>
      <c r="AX599" s="2322"/>
      <c r="AY599" s="2322"/>
      <c r="AZ599" s="2322"/>
      <c r="BA599" s="2322"/>
      <c r="BB599" s="2322"/>
      <c r="BC599" s="2322"/>
      <c r="BD599" s="2322"/>
      <c r="BE599" s="2322"/>
      <c r="BF599" s="2322"/>
      <c r="BG599" s="2322"/>
      <c r="BH599" s="2322"/>
      <c r="BI599" s="2322"/>
      <c r="BJ599" s="2322"/>
      <c r="BK599" s="2322"/>
      <c r="BL599" s="2322"/>
      <c r="BM599" s="2322"/>
      <c r="BN599" s="2322"/>
      <c r="BO599" s="2322"/>
      <c r="BP599" s="2322"/>
      <c r="BQ599" s="2322"/>
      <c r="BR599" s="2322"/>
      <c r="BS599" s="2322"/>
      <c r="BT599" s="2322"/>
      <c r="BU599" s="2322"/>
      <c r="BV599" s="2322"/>
      <c r="BW599" s="2322"/>
      <c r="BX599" s="2322"/>
      <c r="BY599" s="2322"/>
      <c r="BZ599" s="2322"/>
      <c r="CA599" s="2322"/>
      <c r="CB599" s="2322"/>
      <c r="CC599" s="2322"/>
      <c r="CD599" s="2322"/>
      <c r="CE599" s="2322"/>
      <c r="CF599" s="2322"/>
      <c r="CG599" s="2322"/>
      <c r="CH599" s="2322"/>
      <c r="CI599" s="2322"/>
      <c r="CJ599" s="2322"/>
      <c r="CK599" s="2322"/>
      <c r="CL599" s="2322"/>
      <c r="CM599" s="2322"/>
      <c r="CN599" s="2322"/>
      <c r="CO599" s="2322"/>
      <c r="CP599" s="2322"/>
      <c r="CQ599" s="2322"/>
      <c r="CR599" s="2322"/>
      <c r="CS599" s="2322"/>
      <c r="CT599" s="2322"/>
      <c r="CU599" s="2322"/>
      <c r="CV599" s="2322"/>
    </row>
    <row r="600" spans="1:100" ht="15.75" customHeight="1">
      <c r="A600" s="2328"/>
      <c r="B600" s="2322"/>
      <c r="C600" s="2322"/>
      <c r="D600" s="2322"/>
      <c r="E600" s="2322"/>
      <c r="F600" s="2322"/>
      <c r="G600" s="2322"/>
      <c r="H600" s="2322"/>
      <c r="I600" s="2322"/>
      <c r="J600" s="2322"/>
      <c r="K600" s="2322"/>
      <c r="L600" s="2322"/>
      <c r="M600" s="2322"/>
      <c r="N600" s="2322"/>
      <c r="O600" s="2322"/>
      <c r="P600" s="2322"/>
      <c r="Q600" s="2322"/>
      <c r="R600" s="2322"/>
      <c r="S600" s="2322"/>
      <c r="T600" s="2322"/>
      <c r="U600" s="2322"/>
      <c r="V600" s="2322"/>
      <c r="W600" s="2322"/>
      <c r="X600" s="2322"/>
      <c r="Y600" s="2322"/>
      <c r="Z600" s="2322"/>
      <c r="AA600" s="2322"/>
      <c r="AB600" s="2322"/>
      <c r="AC600" s="2322"/>
      <c r="AD600" s="2322"/>
      <c r="AE600" s="2322"/>
      <c r="AF600" s="2322"/>
      <c r="AG600" s="2322"/>
      <c r="AH600" s="2322"/>
      <c r="AI600" s="2322"/>
      <c r="AJ600" s="2322"/>
      <c r="AK600" s="2322"/>
      <c r="AL600" s="2322"/>
      <c r="AM600" s="2322"/>
      <c r="AN600" s="2322"/>
      <c r="AO600" s="2322"/>
      <c r="AP600" s="2322"/>
      <c r="AQ600" s="2322"/>
      <c r="AR600" s="2322"/>
      <c r="AS600" s="2322"/>
      <c r="AT600" s="2322"/>
      <c r="AU600" s="2322"/>
      <c r="AV600" s="2322"/>
      <c r="AW600" s="2322"/>
      <c r="AX600" s="2322"/>
      <c r="AY600" s="2322"/>
      <c r="AZ600" s="2322"/>
      <c r="BA600" s="2322"/>
      <c r="BB600" s="2322"/>
      <c r="BC600" s="2322"/>
      <c r="BD600" s="2322"/>
      <c r="BE600" s="2322"/>
      <c r="BF600" s="2322"/>
      <c r="BG600" s="2322"/>
      <c r="BH600" s="2322"/>
      <c r="BI600" s="2322"/>
      <c r="BJ600" s="2322"/>
      <c r="BK600" s="2322"/>
      <c r="BL600" s="2322"/>
      <c r="BM600" s="2322"/>
      <c r="BN600" s="2322"/>
      <c r="BO600" s="2322"/>
      <c r="BP600" s="2322"/>
      <c r="BQ600" s="2322"/>
      <c r="BR600" s="2322"/>
      <c r="BS600" s="2322"/>
      <c r="BT600" s="2322"/>
      <c r="BU600" s="2322"/>
      <c r="BV600" s="2322"/>
      <c r="BW600" s="2322"/>
      <c r="BX600" s="2322"/>
      <c r="BY600" s="2322"/>
      <c r="BZ600" s="2322"/>
      <c r="CA600" s="2322"/>
      <c r="CB600" s="2322"/>
      <c r="CC600" s="2322"/>
      <c r="CD600" s="2322"/>
      <c r="CE600" s="2322"/>
      <c r="CF600" s="2322"/>
      <c r="CG600" s="2322"/>
      <c r="CH600" s="2322"/>
      <c r="CI600" s="2322"/>
      <c r="CJ600" s="2322"/>
      <c r="CK600" s="2322"/>
      <c r="CL600" s="2322"/>
      <c r="CM600" s="2322"/>
      <c r="CN600" s="2322"/>
      <c r="CO600" s="2322"/>
      <c r="CP600" s="2322"/>
      <c r="CQ600" s="2322"/>
      <c r="CR600" s="2322"/>
      <c r="CS600" s="2322"/>
      <c r="CT600" s="2322"/>
      <c r="CU600" s="2322"/>
      <c r="CV600" s="2322"/>
    </row>
    <row r="601" spans="1:100" ht="15.75" customHeight="1">
      <c r="A601" s="2328"/>
      <c r="B601" s="2322"/>
      <c r="C601" s="2322"/>
      <c r="D601" s="2322"/>
      <c r="E601" s="2322"/>
      <c r="F601" s="2322"/>
      <c r="G601" s="2322"/>
      <c r="H601" s="2322"/>
      <c r="I601" s="2322"/>
      <c r="J601" s="2322"/>
      <c r="K601" s="2322"/>
      <c r="L601" s="2322"/>
      <c r="M601" s="2322"/>
      <c r="N601" s="2322"/>
      <c r="O601" s="2322"/>
      <c r="P601" s="2322"/>
      <c r="Q601" s="2322"/>
      <c r="R601" s="2322"/>
      <c r="S601" s="2322"/>
      <c r="T601" s="2322"/>
      <c r="U601" s="2322"/>
      <c r="V601" s="2322"/>
      <c r="W601" s="2322"/>
      <c r="X601" s="2322"/>
      <c r="Y601" s="2322"/>
      <c r="Z601" s="2322"/>
      <c r="AA601" s="2322"/>
      <c r="AB601" s="2322"/>
      <c r="AC601" s="2322"/>
      <c r="AD601" s="2322"/>
      <c r="AE601" s="2322"/>
      <c r="AF601" s="2322"/>
      <c r="AG601" s="2322"/>
      <c r="AH601" s="2322"/>
      <c r="AI601" s="2322"/>
      <c r="AJ601" s="2322"/>
      <c r="AK601" s="2322"/>
      <c r="AL601" s="2322"/>
      <c r="AM601" s="2322"/>
      <c r="AN601" s="2322"/>
      <c r="AO601" s="2322"/>
      <c r="AP601" s="2322"/>
      <c r="AQ601" s="2322"/>
      <c r="AR601" s="2322"/>
      <c r="AS601" s="2322"/>
      <c r="AT601" s="2322"/>
      <c r="AU601" s="2322"/>
      <c r="AV601" s="2322"/>
      <c r="AW601" s="2322"/>
      <c r="AX601" s="2322"/>
      <c r="AY601" s="2322"/>
      <c r="AZ601" s="2322"/>
      <c r="BA601" s="2322"/>
      <c r="BB601" s="2322"/>
      <c r="BC601" s="2322"/>
      <c r="BD601" s="2322"/>
      <c r="BE601" s="2322"/>
      <c r="BF601" s="2322"/>
      <c r="BG601" s="2322"/>
      <c r="BH601" s="2322"/>
      <c r="BI601" s="2322"/>
      <c r="BJ601" s="2322"/>
      <c r="BK601" s="2322"/>
      <c r="BL601" s="2322"/>
      <c r="BM601" s="2322"/>
      <c r="BN601" s="2322"/>
      <c r="BO601" s="2322"/>
      <c r="BP601" s="2322"/>
      <c r="BQ601" s="2322"/>
      <c r="BR601" s="2322"/>
      <c r="BS601" s="2322"/>
      <c r="BT601" s="2322"/>
      <c r="BU601" s="2322"/>
      <c r="BV601" s="2322"/>
      <c r="BW601" s="2322"/>
      <c r="BX601" s="2322"/>
      <c r="BY601" s="2322"/>
      <c r="BZ601" s="2322"/>
      <c r="CA601" s="2322"/>
      <c r="CB601" s="2322"/>
      <c r="CC601" s="2322"/>
      <c r="CD601" s="2322"/>
      <c r="CE601" s="2322"/>
      <c r="CF601" s="2322"/>
      <c r="CG601" s="2322"/>
      <c r="CH601" s="2322"/>
      <c r="CI601" s="2322"/>
      <c r="CJ601" s="2322"/>
      <c r="CK601" s="2322"/>
      <c r="CL601" s="2322"/>
      <c r="CM601" s="2322"/>
      <c r="CN601" s="2322"/>
      <c r="CO601" s="2322"/>
      <c r="CP601" s="2322"/>
      <c r="CQ601" s="2322"/>
      <c r="CR601" s="2322"/>
      <c r="CS601" s="2322"/>
      <c r="CT601" s="2322"/>
      <c r="CU601" s="2322"/>
      <c r="CV601" s="2322"/>
    </row>
    <row r="602" spans="1:100" ht="15.75" customHeight="1">
      <c r="A602" s="2328"/>
      <c r="B602" s="2322"/>
      <c r="C602" s="2322"/>
      <c r="D602" s="2322"/>
      <c r="E602" s="2322"/>
      <c r="F602" s="2322"/>
      <c r="G602" s="2322"/>
      <c r="H602" s="2322"/>
      <c r="I602" s="2322"/>
      <c r="J602" s="2322"/>
      <c r="K602" s="2322"/>
      <c r="L602" s="2322"/>
      <c r="M602" s="2322"/>
      <c r="N602" s="2322"/>
      <c r="O602" s="2322"/>
      <c r="P602" s="2322"/>
      <c r="Q602" s="2322"/>
      <c r="R602" s="2322"/>
      <c r="S602" s="2322"/>
      <c r="T602" s="2322"/>
      <c r="U602" s="2322"/>
      <c r="V602" s="2322"/>
      <c r="W602" s="2322"/>
      <c r="X602" s="2322"/>
      <c r="Y602" s="2322"/>
      <c r="Z602" s="2322"/>
      <c r="AA602" s="2322"/>
      <c r="AB602" s="2322"/>
      <c r="AC602" s="2322"/>
      <c r="AD602" s="2322"/>
      <c r="AE602" s="2322"/>
      <c r="AF602" s="2322"/>
      <c r="AG602" s="2322"/>
      <c r="AH602" s="2322"/>
      <c r="AI602" s="2322"/>
      <c r="AJ602" s="2322"/>
      <c r="AK602" s="2322"/>
      <c r="AL602" s="2322"/>
      <c r="AM602" s="2322"/>
      <c r="AN602" s="2322"/>
      <c r="AO602" s="2322"/>
      <c r="AP602" s="2322"/>
      <c r="AQ602" s="2322"/>
      <c r="AR602" s="2322"/>
      <c r="AS602" s="2322"/>
      <c r="AT602" s="2322"/>
      <c r="AU602" s="2322"/>
      <c r="AV602" s="2322"/>
      <c r="AW602" s="2322"/>
      <c r="AX602" s="2322"/>
      <c r="AY602" s="2322"/>
      <c r="AZ602" s="2322"/>
      <c r="BA602" s="2322"/>
      <c r="BB602" s="2322"/>
      <c r="BC602" s="2322"/>
      <c r="BD602" s="2322"/>
      <c r="BE602" s="2322"/>
      <c r="BF602" s="2322"/>
      <c r="BG602" s="2322"/>
      <c r="BH602" s="2322"/>
      <c r="BI602" s="2322"/>
      <c r="BJ602" s="2322"/>
      <c r="BK602" s="2322"/>
      <c r="BL602" s="2322"/>
      <c r="BM602" s="2322"/>
      <c r="BN602" s="2322"/>
      <c r="BO602" s="2322"/>
      <c r="BP602" s="2322"/>
      <c r="BQ602" s="2322"/>
      <c r="BR602" s="2322"/>
      <c r="BS602" s="2322"/>
      <c r="BT602" s="2322"/>
      <c r="BU602" s="2322"/>
      <c r="BV602" s="2322"/>
      <c r="BW602" s="2322"/>
      <c r="BX602" s="2322"/>
      <c r="BY602" s="2322"/>
      <c r="BZ602" s="2322"/>
      <c r="CA602" s="2322"/>
      <c r="CB602" s="2322"/>
      <c r="CC602" s="2322"/>
      <c r="CD602" s="2322"/>
      <c r="CE602" s="2322"/>
      <c r="CF602" s="2322"/>
      <c r="CG602" s="2322"/>
      <c r="CH602" s="2322"/>
      <c r="CI602" s="2322"/>
      <c r="CJ602" s="2322"/>
      <c r="CK602" s="2322"/>
      <c r="CL602" s="2322"/>
      <c r="CM602" s="2322"/>
      <c r="CN602" s="2322"/>
      <c r="CO602" s="2322"/>
      <c r="CP602" s="2322"/>
      <c r="CQ602" s="2322"/>
      <c r="CR602" s="2322"/>
      <c r="CS602" s="2322"/>
      <c r="CT602" s="2322"/>
      <c r="CU602" s="2322"/>
      <c r="CV602" s="2322"/>
    </row>
    <row r="603" spans="1:100" ht="15.75" customHeight="1">
      <c r="A603" s="2328"/>
      <c r="B603" s="2322"/>
      <c r="C603" s="2322"/>
      <c r="D603" s="2322"/>
      <c r="E603" s="2322"/>
      <c r="F603" s="2322"/>
      <c r="G603" s="2322"/>
      <c r="H603" s="2322"/>
      <c r="I603" s="2322"/>
      <c r="J603" s="2322"/>
      <c r="K603" s="2322"/>
      <c r="L603" s="2322"/>
      <c r="M603" s="2322"/>
      <c r="N603" s="2322"/>
      <c r="O603" s="2322"/>
      <c r="P603" s="2322"/>
      <c r="Q603" s="2322"/>
      <c r="R603" s="2322"/>
      <c r="S603" s="2322"/>
      <c r="T603" s="2322"/>
      <c r="U603" s="2322"/>
      <c r="V603" s="2322"/>
      <c r="W603" s="2322"/>
      <c r="X603" s="2322"/>
      <c r="Y603" s="2322"/>
      <c r="Z603" s="2322"/>
      <c r="AA603" s="2322"/>
      <c r="AB603" s="2322"/>
      <c r="AC603" s="2322"/>
      <c r="AD603" s="2322"/>
      <c r="AE603" s="2322"/>
      <c r="AF603" s="2322"/>
      <c r="AG603" s="2322"/>
      <c r="AH603" s="2322"/>
      <c r="AI603" s="2322"/>
      <c r="AJ603" s="2322"/>
      <c r="AK603" s="2322"/>
      <c r="AL603" s="2322"/>
      <c r="AM603" s="2322"/>
      <c r="AN603" s="2322"/>
      <c r="AO603" s="2322"/>
      <c r="AP603" s="2322"/>
      <c r="AQ603" s="2322"/>
      <c r="AR603" s="2322"/>
      <c r="AS603" s="2322"/>
      <c r="AT603" s="2322"/>
      <c r="AU603" s="2322"/>
      <c r="AV603" s="2322"/>
      <c r="AW603" s="2322"/>
      <c r="AX603" s="2322"/>
      <c r="AY603" s="2322"/>
      <c r="AZ603" s="2322"/>
      <c r="BA603" s="2322"/>
      <c r="BB603" s="2322"/>
      <c r="BC603" s="2322"/>
      <c r="BD603" s="2322"/>
      <c r="BE603" s="2322"/>
      <c r="BF603" s="2322"/>
      <c r="BG603" s="2322"/>
      <c r="BH603" s="2322"/>
      <c r="BI603" s="2322"/>
      <c r="BJ603" s="2322"/>
      <c r="BK603" s="2322"/>
      <c r="BL603" s="2322"/>
      <c r="BM603" s="2322"/>
      <c r="BN603" s="2322"/>
      <c r="BO603" s="2322"/>
      <c r="BP603" s="2322"/>
      <c r="BQ603" s="2322"/>
      <c r="BR603" s="2322"/>
      <c r="BS603" s="2322"/>
      <c r="BT603" s="2322"/>
      <c r="BU603" s="2322"/>
      <c r="BV603" s="2322"/>
      <c r="BW603" s="2322"/>
      <c r="BX603" s="2322"/>
      <c r="BY603" s="2322"/>
      <c r="BZ603" s="2322"/>
      <c r="CA603" s="2322"/>
      <c r="CB603" s="2322"/>
      <c r="CC603" s="2322"/>
      <c r="CD603" s="2322"/>
      <c r="CE603" s="2322"/>
      <c r="CF603" s="2322"/>
      <c r="CG603" s="2322"/>
      <c r="CH603" s="2322"/>
      <c r="CI603" s="2322"/>
      <c r="CJ603" s="2322"/>
      <c r="CK603" s="2322"/>
      <c r="CL603" s="2322"/>
      <c r="CM603" s="2322"/>
      <c r="CN603" s="2322"/>
      <c r="CO603" s="2322"/>
      <c r="CP603" s="2322"/>
      <c r="CQ603" s="2322"/>
      <c r="CR603" s="2322"/>
      <c r="CS603" s="2322"/>
      <c r="CT603" s="2322"/>
      <c r="CU603" s="2322"/>
      <c r="CV603" s="2322"/>
    </row>
    <row r="604" spans="1:100" ht="15.75" customHeight="1">
      <c r="A604" s="2328"/>
      <c r="B604" s="2322"/>
      <c r="C604" s="2322"/>
      <c r="D604" s="2322"/>
      <c r="E604" s="2322"/>
      <c r="F604" s="2322"/>
      <c r="G604" s="2322"/>
      <c r="H604" s="2322"/>
      <c r="I604" s="2322"/>
      <c r="J604" s="2322"/>
      <c r="K604" s="2322"/>
      <c r="L604" s="2322"/>
      <c r="M604" s="2322"/>
      <c r="N604" s="2322"/>
      <c r="O604" s="2322"/>
      <c r="P604" s="2322"/>
      <c r="Q604" s="2322"/>
      <c r="R604" s="2322"/>
      <c r="S604" s="2322"/>
      <c r="T604" s="2322"/>
      <c r="U604" s="2322"/>
      <c r="V604" s="2322"/>
      <c r="W604" s="2322"/>
      <c r="X604" s="2322"/>
      <c r="Y604" s="2322"/>
      <c r="Z604" s="2322"/>
      <c r="AA604" s="2322"/>
      <c r="AB604" s="2322"/>
      <c r="AC604" s="2322"/>
      <c r="AD604" s="2322"/>
      <c r="AE604" s="2322"/>
      <c r="AF604" s="2322"/>
      <c r="AG604" s="2322"/>
      <c r="AH604" s="2322"/>
      <c r="AI604" s="2322"/>
      <c r="AJ604" s="2322"/>
      <c r="AK604" s="2322"/>
      <c r="AL604" s="2322"/>
      <c r="AM604" s="2322"/>
      <c r="AN604" s="2322"/>
      <c r="AO604" s="2322"/>
      <c r="AP604" s="2322"/>
      <c r="AQ604" s="2322"/>
      <c r="AR604" s="2322"/>
      <c r="AS604" s="2322"/>
      <c r="AT604" s="2322"/>
      <c r="AU604" s="2322"/>
      <c r="AV604" s="2322"/>
      <c r="AW604" s="2322"/>
      <c r="AX604" s="2322"/>
      <c r="AY604" s="2322"/>
      <c r="AZ604" s="2322"/>
      <c r="BA604" s="2322"/>
      <c r="BB604" s="2322"/>
      <c r="BC604" s="2322"/>
      <c r="BD604" s="2322"/>
      <c r="BE604" s="2322"/>
      <c r="BF604" s="2322"/>
      <c r="BG604" s="2322"/>
      <c r="BH604" s="2322"/>
      <c r="BI604" s="2322"/>
      <c r="BJ604" s="2322"/>
      <c r="BK604" s="2322"/>
      <c r="BL604" s="2322"/>
      <c r="BM604" s="2322"/>
      <c r="BN604" s="2322"/>
      <c r="BO604" s="2322"/>
      <c r="BP604" s="2322"/>
      <c r="BQ604" s="2322"/>
      <c r="BR604" s="2322"/>
      <c r="BS604" s="2322"/>
      <c r="BT604" s="2322"/>
      <c r="BU604" s="2322"/>
      <c r="BV604" s="2322"/>
      <c r="BW604" s="2322"/>
      <c r="BX604" s="2322"/>
      <c r="BY604" s="2322"/>
      <c r="BZ604" s="2322"/>
      <c r="CA604" s="2322"/>
      <c r="CB604" s="2322"/>
      <c r="CC604" s="2322"/>
      <c r="CD604" s="2322"/>
      <c r="CE604" s="2322"/>
      <c r="CF604" s="2322"/>
      <c r="CG604" s="2322"/>
      <c r="CH604" s="2322"/>
      <c r="CI604" s="2322"/>
      <c r="CJ604" s="2322"/>
      <c r="CK604" s="2322"/>
      <c r="CL604" s="2322"/>
      <c r="CM604" s="2322"/>
      <c r="CN604" s="2322"/>
      <c r="CO604" s="2322"/>
      <c r="CP604" s="2322"/>
      <c r="CQ604" s="2322"/>
      <c r="CR604" s="2322"/>
      <c r="CS604" s="2322"/>
      <c r="CT604" s="2322"/>
      <c r="CU604" s="2322"/>
      <c r="CV604" s="2322"/>
    </row>
    <row r="605" spans="1:100" ht="15.75" customHeight="1">
      <c r="A605" s="2328"/>
      <c r="B605" s="2322"/>
      <c r="C605" s="2322"/>
      <c r="D605" s="2322"/>
      <c r="E605" s="2322"/>
      <c r="F605" s="2322"/>
      <c r="G605" s="2322"/>
      <c r="H605" s="2322"/>
      <c r="I605" s="2322"/>
      <c r="J605" s="2322"/>
      <c r="K605" s="2322"/>
      <c r="L605" s="2322"/>
      <c r="M605" s="2322"/>
      <c r="N605" s="2322"/>
      <c r="O605" s="2322"/>
      <c r="P605" s="2322"/>
      <c r="Q605" s="2322"/>
      <c r="R605" s="2322"/>
      <c r="S605" s="2322"/>
      <c r="T605" s="2322"/>
      <c r="U605" s="2322"/>
      <c r="V605" s="2322"/>
      <c r="W605" s="2322"/>
      <c r="X605" s="2322"/>
      <c r="Y605" s="2322"/>
      <c r="Z605" s="2322"/>
      <c r="AA605" s="2322"/>
      <c r="AB605" s="2322"/>
      <c r="AC605" s="2322"/>
      <c r="AD605" s="2322"/>
      <c r="AE605" s="2322"/>
      <c r="AF605" s="2322"/>
      <c r="AG605" s="2322"/>
      <c r="AH605" s="2322"/>
      <c r="AI605" s="2322"/>
      <c r="AJ605" s="2322"/>
      <c r="AK605" s="2322"/>
      <c r="AL605" s="2322"/>
      <c r="AM605" s="2322"/>
      <c r="AN605" s="2322"/>
      <c r="AO605" s="2322"/>
      <c r="AP605" s="2322"/>
      <c r="AQ605" s="2322"/>
      <c r="AR605" s="2322"/>
      <c r="AS605" s="2322"/>
      <c r="AT605" s="2322"/>
      <c r="AU605" s="2322"/>
      <c r="AV605" s="2322"/>
      <c r="AW605" s="2322"/>
      <c r="AX605" s="2322"/>
      <c r="AY605" s="2322"/>
      <c r="AZ605" s="2322"/>
      <c r="BA605" s="2322"/>
      <c r="BB605" s="2322"/>
      <c r="BC605" s="2322"/>
      <c r="BD605" s="2322"/>
      <c r="BE605" s="2322"/>
      <c r="BF605" s="2322"/>
      <c r="BG605" s="2322"/>
      <c r="BH605" s="2322"/>
      <c r="BI605" s="2322"/>
      <c r="BJ605" s="2322"/>
      <c r="BK605" s="2322"/>
      <c r="BL605" s="2322"/>
      <c r="BM605" s="2322"/>
      <c r="BN605" s="2322"/>
      <c r="BO605" s="2322"/>
      <c r="BP605" s="2322"/>
      <c r="BQ605" s="2322"/>
      <c r="BR605" s="2322"/>
      <c r="BS605" s="2322"/>
      <c r="BT605" s="2322"/>
      <c r="BU605" s="2322"/>
      <c r="BV605" s="2322"/>
      <c r="BW605" s="2322"/>
      <c r="BX605" s="2322"/>
      <c r="BY605" s="2322"/>
      <c r="BZ605" s="2322"/>
      <c r="CA605" s="2322"/>
      <c r="CB605" s="2322"/>
      <c r="CC605" s="2322"/>
      <c r="CD605" s="2322"/>
      <c r="CE605" s="2322"/>
      <c r="CF605" s="2322"/>
      <c r="CG605" s="2322"/>
      <c r="CH605" s="2322"/>
      <c r="CI605" s="2322"/>
      <c r="CJ605" s="2322"/>
      <c r="CK605" s="2322"/>
      <c r="CL605" s="2322"/>
      <c r="CM605" s="2322"/>
      <c r="CN605" s="2322"/>
      <c r="CO605" s="2322"/>
      <c r="CP605" s="2322"/>
      <c r="CQ605" s="2322"/>
      <c r="CR605" s="2322"/>
      <c r="CS605" s="2322"/>
      <c r="CT605" s="2322"/>
      <c r="CU605" s="2322"/>
      <c r="CV605" s="2322"/>
    </row>
    <row r="606" spans="1:100" ht="15.75" customHeight="1">
      <c r="A606" s="2328"/>
      <c r="B606" s="2322"/>
      <c r="C606" s="2322"/>
      <c r="D606" s="2322"/>
      <c r="E606" s="2322"/>
      <c r="F606" s="2322"/>
      <c r="G606" s="2322"/>
      <c r="H606" s="2322"/>
      <c r="I606" s="2322"/>
      <c r="J606" s="2322"/>
      <c r="K606" s="2322"/>
      <c r="L606" s="2322"/>
      <c r="M606" s="2322"/>
      <c r="N606" s="2322"/>
      <c r="O606" s="2322"/>
      <c r="P606" s="2322"/>
      <c r="Q606" s="2322"/>
      <c r="R606" s="2322"/>
      <c r="S606" s="2322"/>
      <c r="T606" s="2322"/>
      <c r="U606" s="2322"/>
      <c r="V606" s="2322"/>
      <c r="W606" s="2322"/>
      <c r="X606" s="2322"/>
      <c r="Y606" s="2322"/>
      <c r="Z606" s="2322"/>
      <c r="AA606" s="2322"/>
      <c r="AB606" s="2322"/>
      <c r="AC606" s="2322"/>
      <c r="AD606" s="2322"/>
      <c r="AE606" s="2322"/>
      <c r="AF606" s="2322"/>
      <c r="AG606" s="2322"/>
      <c r="AH606" s="2322"/>
      <c r="AI606" s="2322"/>
      <c r="AJ606" s="2322"/>
      <c r="AK606" s="2322"/>
      <c r="AL606" s="2322"/>
      <c r="AM606" s="2322"/>
      <c r="AN606" s="2322"/>
      <c r="AO606" s="2322"/>
      <c r="AP606" s="2322"/>
      <c r="AQ606" s="2322"/>
      <c r="AR606" s="2322"/>
      <c r="AS606" s="2322"/>
      <c r="AT606" s="2322"/>
      <c r="AU606" s="2322"/>
      <c r="AV606" s="2322"/>
      <c r="AW606" s="2322"/>
      <c r="AX606" s="2322"/>
      <c r="AY606" s="2322"/>
      <c r="AZ606" s="2322"/>
      <c r="BA606" s="2322"/>
      <c r="BB606" s="2322"/>
      <c r="BC606" s="2322"/>
      <c r="BD606" s="2322"/>
      <c r="BE606" s="2322"/>
      <c r="BF606" s="2322"/>
      <c r="BG606" s="2322"/>
      <c r="BH606" s="2322"/>
      <c r="BI606" s="2322"/>
      <c r="BJ606" s="2322"/>
      <c r="BK606" s="2322"/>
      <c r="BL606" s="2322"/>
      <c r="BM606" s="2322"/>
      <c r="BN606" s="2322"/>
      <c r="BO606" s="2322"/>
      <c r="BP606" s="2322"/>
      <c r="BQ606" s="2322"/>
      <c r="BR606" s="2322"/>
      <c r="BS606" s="2322"/>
      <c r="BT606" s="2322"/>
      <c r="BU606" s="2322"/>
      <c r="BV606" s="2322"/>
      <c r="BW606" s="2322"/>
      <c r="BX606" s="2322"/>
      <c r="BY606" s="2322"/>
      <c r="BZ606" s="2322"/>
      <c r="CA606" s="2322"/>
      <c r="CB606" s="2322"/>
      <c r="CC606" s="2322"/>
      <c r="CD606" s="2322"/>
      <c r="CE606" s="2322"/>
      <c r="CF606" s="2322"/>
      <c r="CG606" s="2322"/>
      <c r="CH606" s="2322"/>
      <c r="CI606" s="2322"/>
      <c r="CJ606" s="2322"/>
      <c r="CK606" s="2322"/>
      <c r="CL606" s="2322"/>
      <c r="CM606" s="2322"/>
      <c r="CN606" s="2322"/>
      <c r="CO606" s="2322"/>
      <c r="CP606" s="2322"/>
      <c r="CQ606" s="2322"/>
      <c r="CR606" s="2322"/>
      <c r="CS606" s="2322"/>
      <c r="CT606" s="2322"/>
      <c r="CU606" s="2322"/>
      <c r="CV606" s="2322"/>
    </row>
    <row r="607" spans="1:100" ht="15.75" customHeight="1">
      <c r="A607" s="2328"/>
      <c r="B607" s="2322"/>
      <c r="C607" s="2322"/>
      <c r="D607" s="2322"/>
      <c r="E607" s="2322"/>
      <c r="F607" s="2322"/>
      <c r="G607" s="2322"/>
      <c r="H607" s="2322"/>
      <c r="I607" s="2322"/>
      <c r="J607" s="2322"/>
      <c r="K607" s="2322"/>
      <c r="L607" s="2322"/>
      <c r="M607" s="2322"/>
      <c r="N607" s="2322"/>
      <c r="O607" s="2322"/>
      <c r="P607" s="2322"/>
      <c r="Q607" s="2322"/>
      <c r="R607" s="2322"/>
      <c r="S607" s="2322"/>
      <c r="T607" s="2322"/>
      <c r="U607" s="2322"/>
      <c r="V607" s="2322"/>
      <c r="W607" s="2322"/>
      <c r="X607" s="2322"/>
      <c r="Y607" s="2322"/>
      <c r="Z607" s="2322"/>
      <c r="AA607" s="2322"/>
      <c r="AB607" s="2322"/>
      <c r="AC607" s="2322"/>
      <c r="AD607" s="2322"/>
      <c r="AE607" s="2322"/>
      <c r="AF607" s="2322"/>
      <c r="AG607" s="2322"/>
      <c r="AH607" s="2322"/>
      <c r="AI607" s="2322"/>
      <c r="AJ607" s="2322"/>
      <c r="AK607" s="2322"/>
      <c r="AL607" s="2322"/>
      <c r="AM607" s="2322"/>
      <c r="AN607" s="2322"/>
      <c r="AO607" s="2322"/>
      <c r="AP607" s="2322"/>
      <c r="AQ607" s="2322"/>
      <c r="AR607" s="2322"/>
      <c r="AS607" s="2322"/>
      <c r="AT607" s="2322"/>
      <c r="AU607" s="2322"/>
      <c r="AV607" s="2322"/>
      <c r="AW607" s="2322"/>
      <c r="AX607" s="2322"/>
      <c r="AY607" s="2322"/>
      <c r="AZ607" s="2322"/>
      <c r="BA607" s="2322"/>
      <c r="BB607" s="2322"/>
      <c r="BC607" s="2322"/>
      <c r="BD607" s="2322"/>
      <c r="BE607" s="2322"/>
      <c r="BF607" s="2322"/>
      <c r="BG607" s="2322"/>
      <c r="BH607" s="2322"/>
      <c r="BI607" s="2322"/>
      <c r="BJ607" s="2322"/>
      <c r="BK607" s="2322"/>
      <c r="BL607" s="2322"/>
      <c r="BM607" s="2322"/>
      <c r="BN607" s="2322"/>
      <c r="BO607" s="2322"/>
      <c r="BP607" s="2322"/>
      <c r="BQ607" s="2322"/>
      <c r="BR607" s="2322"/>
      <c r="BS607" s="2322"/>
      <c r="BT607" s="2322"/>
      <c r="BU607" s="2322"/>
      <c r="BV607" s="2322"/>
      <c r="BW607" s="2322"/>
      <c r="BX607" s="2322"/>
      <c r="BY607" s="2322"/>
      <c r="BZ607" s="2322"/>
      <c r="CA607" s="2322"/>
      <c r="CB607" s="2322"/>
      <c r="CC607" s="2322"/>
      <c r="CD607" s="2322"/>
      <c r="CE607" s="2322"/>
      <c r="CF607" s="2322"/>
      <c r="CG607" s="2322"/>
      <c r="CH607" s="2322"/>
      <c r="CI607" s="2322"/>
      <c r="CJ607" s="2322"/>
      <c r="CK607" s="2322"/>
      <c r="CL607" s="2322"/>
      <c r="CM607" s="2322"/>
      <c r="CN607" s="2322"/>
      <c r="CO607" s="2322"/>
      <c r="CP607" s="2322"/>
      <c r="CQ607" s="2322"/>
      <c r="CR607" s="2322"/>
      <c r="CS607" s="2322"/>
      <c r="CT607" s="2322"/>
      <c r="CU607" s="2322"/>
      <c r="CV607" s="2322"/>
    </row>
    <row r="608" spans="1:100" ht="15.75" customHeight="1">
      <c r="A608" s="2328"/>
      <c r="B608" s="2322"/>
      <c r="C608" s="2322"/>
      <c r="D608" s="2322"/>
      <c r="E608" s="2322"/>
      <c r="F608" s="2322"/>
      <c r="G608" s="2322"/>
      <c r="H608" s="2322"/>
      <c r="I608" s="2322"/>
      <c r="J608" s="2322"/>
      <c r="K608" s="2322"/>
      <c r="L608" s="2322"/>
      <c r="M608" s="2322"/>
      <c r="N608" s="2322"/>
      <c r="O608" s="2322"/>
      <c r="P608" s="2322"/>
      <c r="Q608" s="2322"/>
      <c r="R608" s="2322"/>
      <c r="S608" s="2322"/>
      <c r="T608" s="2322"/>
      <c r="U608" s="2322"/>
      <c r="V608" s="2322"/>
      <c r="W608" s="2322"/>
      <c r="X608" s="2322"/>
      <c r="Y608" s="2322"/>
      <c r="Z608" s="2322"/>
      <c r="AA608" s="2322"/>
      <c r="AB608" s="2322"/>
      <c r="AC608" s="2322"/>
      <c r="AD608" s="2322"/>
      <c r="AE608" s="2322"/>
      <c r="AF608" s="2322"/>
      <c r="AG608" s="2322"/>
      <c r="AH608" s="2322"/>
      <c r="AI608" s="2322"/>
      <c r="AJ608" s="2322"/>
      <c r="AK608" s="2322"/>
      <c r="AL608" s="2322"/>
      <c r="AM608" s="2322"/>
      <c r="AN608" s="2322"/>
      <c r="AO608" s="2322"/>
      <c r="AP608" s="2322"/>
      <c r="AQ608" s="2322"/>
      <c r="AR608" s="2322"/>
      <c r="AS608" s="2322"/>
      <c r="AT608" s="2322"/>
      <c r="AU608" s="2322"/>
      <c r="AV608" s="2322"/>
      <c r="AW608" s="2322"/>
      <c r="AX608" s="2322"/>
      <c r="AY608" s="2322"/>
      <c r="AZ608" s="2322"/>
      <c r="BA608" s="2322"/>
      <c r="BB608" s="2322"/>
      <c r="BC608" s="2322"/>
      <c r="BD608" s="2322"/>
      <c r="BE608" s="2322"/>
      <c r="BF608" s="2322"/>
      <c r="BG608" s="2322"/>
      <c r="BH608" s="2322"/>
      <c r="BI608" s="2322"/>
      <c r="BJ608" s="2322"/>
      <c r="BK608" s="2322"/>
      <c r="BL608" s="2322"/>
      <c r="BM608" s="2322"/>
      <c r="BN608" s="2322"/>
      <c r="BO608" s="2322"/>
      <c r="BP608" s="2322"/>
      <c r="BQ608" s="2322"/>
      <c r="BR608" s="2322"/>
      <c r="BS608" s="2322"/>
      <c r="BT608" s="2322"/>
      <c r="BU608" s="2322"/>
      <c r="BV608" s="2322"/>
      <c r="BW608" s="2322"/>
      <c r="BX608" s="2322"/>
      <c r="BY608" s="2322"/>
      <c r="BZ608" s="2322"/>
      <c r="CA608" s="2322"/>
      <c r="CB608" s="2322"/>
      <c r="CC608" s="2322"/>
      <c r="CD608" s="2322"/>
      <c r="CE608" s="2322"/>
      <c r="CF608" s="2322"/>
      <c r="CG608" s="2322"/>
      <c r="CH608" s="2322"/>
      <c r="CI608" s="2322"/>
      <c r="CJ608" s="2322"/>
      <c r="CK608" s="2322"/>
      <c r="CL608" s="2322"/>
      <c r="CM608" s="2322"/>
      <c r="CN608" s="2322"/>
      <c r="CO608" s="2322"/>
      <c r="CP608" s="2322"/>
      <c r="CQ608" s="2322"/>
      <c r="CR608" s="2322"/>
      <c r="CS608" s="2322"/>
      <c r="CT608" s="2322"/>
      <c r="CU608" s="2322"/>
      <c r="CV608" s="2322"/>
    </row>
    <row r="609" spans="1:100" ht="15.75" customHeight="1">
      <c r="A609" s="2328"/>
      <c r="B609" s="2322"/>
      <c r="C609" s="2322"/>
      <c r="D609" s="2322"/>
      <c r="E609" s="2322"/>
      <c r="F609" s="2322"/>
      <c r="G609" s="2322"/>
      <c r="H609" s="2322"/>
      <c r="I609" s="2322"/>
      <c r="J609" s="2322"/>
      <c r="K609" s="2322"/>
      <c r="L609" s="2322"/>
      <c r="M609" s="2322"/>
      <c r="N609" s="2322"/>
      <c r="O609" s="2322"/>
      <c r="P609" s="2322"/>
      <c r="Q609" s="2322"/>
      <c r="R609" s="2322"/>
      <c r="S609" s="2322"/>
      <c r="T609" s="2322"/>
      <c r="U609" s="2322"/>
      <c r="V609" s="2322"/>
      <c r="W609" s="2322"/>
      <c r="X609" s="2322"/>
      <c r="Y609" s="2322"/>
      <c r="Z609" s="2322"/>
      <c r="AA609" s="2322"/>
      <c r="AB609" s="2322"/>
      <c r="AC609" s="2322"/>
      <c r="AD609" s="2322"/>
      <c r="AE609" s="2322"/>
      <c r="AF609" s="2322"/>
      <c r="AG609" s="2322"/>
      <c r="AH609" s="2322"/>
      <c r="AI609" s="2322"/>
      <c r="AJ609" s="2322"/>
      <c r="AK609" s="2322"/>
      <c r="AL609" s="2322"/>
      <c r="AM609" s="2322"/>
      <c r="AN609" s="2322"/>
      <c r="AO609" s="2322"/>
      <c r="AP609" s="2322"/>
      <c r="AQ609" s="2322"/>
      <c r="AR609" s="2322"/>
      <c r="AS609" s="2322"/>
      <c r="AT609" s="2322"/>
      <c r="AU609" s="2322"/>
      <c r="AV609" s="2322"/>
      <c r="AW609" s="2322"/>
      <c r="AX609" s="2322"/>
      <c r="AY609" s="2322"/>
      <c r="AZ609" s="2322"/>
      <c r="BA609" s="2322"/>
      <c r="BB609" s="2322"/>
      <c r="BC609" s="2322"/>
      <c r="BD609" s="2322"/>
      <c r="BE609" s="2322"/>
      <c r="BF609" s="2322"/>
      <c r="BG609" s="2322"/>
      <c r="BH609" s="2322"/>
      <c r="BI609" s="2322"/>
      <c r="BJ609" s="2322"/>
      <c r="BK609" s="2322"/>
      <c r="BL609" s="2322"/>
      <c r="BM609" s="2322"/>
      <c r="BN609" s="2322"/>
      <c r="BO609" s="2322"/>
      <c r="BP609" s="2322"/>
      <c r="BQ609" s="2322"/>
      <c r="BR609" s="2322"/>
      <c r="BS609" s="2322"/>
      <c r="BT609" s="2322"/>
      <c r="BU609" s="2322"/>
      <c r="BV609" s="2322"/>
      <c r="BW609" s="2322"/>
      <c r="BX609" s="2322"/>
      <c r="BY609" s="2322"/>
      <c r="BZ609" s="2322"/>
      <c r="CA609" s="2322"/>
      <c r="CB609" s="2322"/>
      <c r="CC609" s="2322"/>
      <c r="CD609" s="2322"/>
      <c r="CE609" s="2322"/>
      <c r="CF609" s="2322"/>
      <c r="CG609" s="2322"/>
      <c r="CH609" s="2322"/>
      <c r="CI609" s="2322"/>
      <c r="CJ609" s="2322"/>
      <c r="CK609" s="2322"/>
      <c r="CL609" s="2322"/>
      <c r="CM609" s="2322"/>
      <c r="CN609" s="2322"/>
      <c r="CO609" s="2322"/>
      <c r="CP609" s="2322"/>
      <c r="CQ609" s="2322"/>
      <c r="CR609" s="2322"/>
      <c r="CS609" s="2322"/>
      <c r="CT609" s="2322"/>
      <c r="CU609" s="2322"/>
      <c r="CV609" s="2322"/>
    </row>
    <row r="610" spans="1:100" ht="15.75" customHeight="1">
      <c r="A610" s="2328"/>
      <c r="B610" s="2322"/>
      <c r="C610" s="2322"/>
      <c r="D610" s="2322"/>
      <c r="E610" s="2322"/>
      <c r="F610" s="2322"/>
      <c r="G610" s="2322"/>
      <c r="H610" s="2322"/>
      <c r="I610" s="2322"/>
      <c r="J610" s="2322"/>
      <c r="K610" s="2322"/>
      <c r="L610" s="2322"/>
      <c r="M610" s="2322"/>
      <c r="N610" s="2322"/>
      <c r="O610" s="2322"/>
      <c r="P610" s="2322"/>
      <c r="Q610" s="2322"/>
      <c r="R610" s="2322"/>
      <c r="S610" s="2322"/>
      <c r="T610" s="2322"/>
      <c r="U610" s="2322"/>
      <c r="V610" s="2322"/>
      <c r="W610" s="2322"/>
      <c r="X610" s="2322"/>
      <c r="Y610" s="2322"/>
      <c r="Z610" s="2322"/>
      <c r="AA610" s="2322"/>
      <c r="AB610" s="2322"/>
      <c r="AC610" s="2322"/>
      <c r="AD610" s="2322"/>
      <c r="AE610" s="2322"/>
      <c r="AF610" s="2322"/>
      <c r="AG610" s="2322"/>
      <c r="AH610" s="2322"/>
      <c r="AI610" s="2322"/>
      <c r="AJ610" s="2322"/>
      <c r="AK610" s="2322"/>
      <c r="AL610" s="2322"/>
      <c r="AM610" s="2322"/>
      <c r="AN610" s="2322"/>
      <c r="AO610" s="2322"/>
      <c r="AP610" s="2322"/>
      <c r="AQ610" s="2322"/>
      <c r="AR610" s="2322"/>
      <c r="AS610" s="2322"/>
      <c r="AT610" s="2322"/>
      <c r="AU610" s="2322"/>
      <c r="AV610" s="2322"/>
      <c r="AW610" s="2322"/>
      <c r="AX610" s="2322"/>
      <c r="AY610" s="2322"/>
      <c r="AZ610" s="2322"/>
      <c r="BA610" s="2322"/>
      <c r="BB610" s="2322"/>
      <c r="BC610" s="2322"/>
      <c r="BD610" s="2322"/>
      <c r="BE610" s="2322"/>
      <c r="BF610" s="2322"/>
      <c r="BG610" s="2322"/>
      <c r="BH610" s="2322"/>
      <c r="BI610" s="2322"/>
      <c r="BJ610" s="2322"/>
      <c r="BK610" s="2322"/>
      <c r="BL610" s="2322"/>
      <c r="BM610" s="2322"/>
      <c r="BN610" s="2322"/>
      <c r="BO610" s="2322"/>
      <c r="BP610" s="2322"/>
      <c r="BQ610" s="2322"/>
      <c r="BR610" s="2322"/>
      <c r="BS610" s="2322"/>
      <c r="BT610" s="2322"/>
      <c r="BU610" s="2322"/>
      <c r="BV610" s="2322"/>
      <c r="BW610" s="2322"/>
      <c r="BX610" s="2322"/>
      <c r="BY610" s="2322"/>
      <c r="BZ610" s="2322"/>
      <c r="CA610" s="2322"/>
      <c r="CB610" s="2322"/>
      <c r="CC610" s="2322"/>
      <c r="CD610" s="2322"/>
      <c r="CE610" s="2322"/>
      <c r="CF610" s="2322"/>
      <c r="CG610" s="2322"/>
      <c r="CH610" s="2322"/>
      <c r="CI610" s="2322"/>
      <c r="CJ610" s="2322"/>
      <c r="CK610" s="2322"/>
      <c r="CL610" s="2322"/>
      <c r="CM610" s="2322"/>
      <c r="CN610" s="2322"/>
      <c r="CO610" s="2322"/>
      <c r="CP610" s="2322"/>
      <c r="CQ610" s="2322"/>
      <c r="CR610" s="2322"/>
      <c r="CS610" s="2322"/>
      <c r="CT610" s="2322"/>
      <c r="CU610" s="2322"/>
      <c r="CV610" s="2322"/>
    </row>
    <row r="611" spans="1:100" ht="15.75" customHeight="1">
      <c r="A611" s="2328"/>
      <c r="B611" s="2322"/>
      <c r="C611" s="2322"/>
      <c r="D611" s="2322"/>
      <c r="E611" s="2322"/>
      <c r="F611" s="2322"/>
      <c r="G611" s="2322"/>
      <c r="H611" s="2322"/>
      <c r="I611" s="2322"/>
      <c r="J611" s="2322"/>
      <c r="K611" s="2322"/>
      <c r="L611" s="2322"/>
      <c r="M611" s="2322"/>
      <c r="N611" s="2322"/>
      <c r="O611" s="2322"/>
      <c r="P611" s="2322"/>
      <c r="Q611" s="2322"/>
      <c r="R611" s="2322"/>
      <c r="S611" s="2322"/>
      <c r="T611" s="2322"/>
      <c r="U611" s="2322"/>
      <c r="V611" s="2322"/>
      <c r="W611" s="2322"/>
      <c r="X611" s="2322"/>
      <c r="Y611" s="2322"/>
      <c r="Z611" s="2322"/>
      <c r="AA611" s="2322"/>
      <c r="AB611" s="2322"/>
      <c r="AC611" s="2322"/>
      <c r="AD611" s="2322"/>
      <c r="AE611" s="2322"/>
      <c r="AF611" s="2322"/>
      <c r="AG611" s="2322"/>
      <c r="AH611" s="2322"/>
      <c r="AI611" s="2322"/>
      <c r="AJ611" s="2322"/>
      <c r="AK611" s="2322"/>
      <c r="AL611" s="2322"/>
      <c r="AM611" s="2322"/>
      <c r="AN611" s="2322"/>
      <c r="AO611" s="2322"/>
      <c r="AP611" s="2322"/>
      <c r="AQ611" s="2322"/>
      <c r="AR611" s="2322"/>
      <c r="AS611" s="2322"/>
      <c r="AT611" s="2322"/>
      <c r="AU611" s="2322"/>
      <c r="AV611" s="2322"/>
      <c r="AW611" s="2322"/>
      <c r="AX611" s="2322"/>
      <c r="AY611" s="2322"/>
      <c r="AZ611" s="2322"/>
      <c r="BA611" s="2322"/>
      <c r="BB611" s="2322"/>
      <c r="BC611" s="2322"/>
      <c r="BD611" s="2322"/>
      <c r="BE611" s="2322"/>
      <c r="BF611" s="2322"/>
      <c r="BG611" s="2322"/>
      <c r="BH611" s="2322"/>
      <c r="BI611" s="2322"/>
      <c r="BJ611" s="2322"/>
      <c r="BK611" s="2322"/>
      <c r="BL611" s="2322"/>
      <c r="BM611" s="2322"/>
      <c r="BN611" s="2322"/>
      <c r="BO611" s="2322"/>
      <c r="BP611" s="2322"/>
      <c r="BQ611" s="2322"/>
      <c r="BR611" s="2322"/>
      <c r="BS611" s="2322"/>
      <c r="BT611" s="2322"/>
      <c r="BU611" s="2322"/>
      <c r="BV611" s="2322"/>
      <c r="BW611" s="2322"/>
      <c r="BX611" s="2322"/>
      <c r="BY611" s="2322"/>
      <c r="BZ611" s="2322"/>
      <c r="CA611" s="2322"/>
      <c r="CB611" s="2322"/>
      <c r="CC611" s="2322"/>
      <c r="CD611" s="2322"/>
      <c r="CE611" s="2322"/>
      <c r="CF611" s="2322"/>
      <c r="CG611" s="2322"/>
      <c r="CH611" s="2322"/>
      <c r="CI611" s="2322"/>
      <c r="CJ611" s="2322"/>
      <c r="CK611" s="2322"/>
      <c r="CL611" s="2322"/>
      <c r="CM611" s="2322"/>
      <c r="CN611" s="2322"/>
      <c r="CO611" s="2322"/>
      <c r="CP611" s="2322"/>
      <c r="CQ611" s="2322"/>
      <c r="CR611" s="2322"/>
      <c r="CS611" s="2322"/>
      <c r="CT611" s="2322"/>
      <c r="CU611" s="2322"/>
      <c r="CV611" s="2322"/>
    </row>
    <row r="612" spans="1:100" ht="15.75" customHeight="1">
      <c r="A612" s="2328"/>
      <c r="B612" s="2322"/>
      <c r="C612" s="2322"/>
      <c r="D612" s="2322"/>
      <c r="E612" s="2322"/>
      <c r="F612" s="2322"/>
      <c r="G612" s="2322"/>
      <c r="H612" s="2322"/>
      <c r="I612" s="2322"/>
      <c r="J612" s="2322"/>
      <c r="K612" s="2322"/>
      <c r="L612" s="2322"/>
      <c r="M612" s="2322"/>
      <c r="N612" s="2322"/>
      <c r="O612" s="2322"/>
      <c r="P612" s="2322"/>
      <c r="Q612" s="2322"/>
      <c r="R612" s="2322"/>
      <c r="S612" s="2322"/>
      <c r="T612" s="2322"/>
      <c r="U612" s="2322"/>
      <c r="V612" s="2322"/>
      <c r="W612" s="2322"/>
      <c r="X612" s="2322"/>
      <c r="Y612" s="2322"/>
      <c r="Z612" s="2322"/>
      <c r="AA612" s="2322"/>
      <c r="AB612" s="2322"/>
      <c r="AC612" s="2322"/>
      <c r="AD612" s="2322"/>
      <c r="AE612" s="2322"/>
      <c r="AF612" s="2322"/>
      <c r="AG612" s="2322"/>
      <c r="AH612" s="2322"/>
      <c r="AI612" s="2322"/>
      <c r="AJ612" s="2322"/>
      <c r="AK612" s="2322"/>
      <c r="AL612" s="2322"/>
      <c r="AM612" s="2322"/>
      <c r="AN612" s="2322"/>
      <c r="AO612" s="2322"/>
      <c r="AP612" s="2322"/>
      <c r="AQ612" s="2322"/>
      <c r="AR612" s="2322"/>
      <c r="AS612" s="2322"/>
      <c r="AT612" s="2322"/>
      <c r="AU612" s="2322"/>
      <c r="AV612" s="2322"/>
      <c r="AW612" s="2322"/>
      <c r="AX612" s="2322"/>
      <c r="AY612" s="2322"/>
      <c r="AZ612" s="2322"/>
      <c r="BA612" s="2322"/>
      <c r="BB612" s="2322"/>
      <c r="BC612" s="2322"/>
      <c r="BD612" s="2322"/>
      <c r="BE612" s="2322"/>
      <c r="BF612" s="2322"/>
      <c r="BG612" s="2322"/>
      <c r="BH612" s="2322"/>
      <c r="BI612" s="2322"/>
      <c r="BJ612" s="2322"/>
      <c r="BK612" s="2322"/>
      <c r="BL612" s="2322"/>
      <c r="BM612" s="2322"/>
      <c r="BN612" s="2322"/>
      <c r="BO612" s="2322"/>
      <c r="BP612" s="2322"/>
      <c r="BQ612" s="2322"/>
      <c r="BR612" s="2322"/>
      <c r="BS612" s="2322"/>
      <c r="BT612" s="2322"/>
      <c r="BU612" s="2322"/>
      <c r="BV612" s="2322"/>
      <c r="BW612" s="2322"/>
      <c r="BX612" s="2322"/>
      <c r="BY612" s="2322"/>
      <c r="BZ612" s="2322"/>
      <c r="CA612" s="2322"/>
      <c r="CB612" s="2322"/>
      <c r="CC612" s="2322"/>
      <c r="CD612" s="2322"/>
      <c r="CE612" s="2322"/>
      <c r="CF612" s="2322"/>
      <c r="CG612" s="2322"/>
      <c r="CH612" s="2322"/>
      <c r="CI612" s="2322"/>
      <c r="CJ612" s="2322"/>
      <c r="CK612" s="2322"/>
      <c r="CL612" s="2322"/>
      <c r="CM612" s="2322"/>
      <c r="CN612" s="2322"/>
      <c r="CO612" s="2322"/>
      <c r="CP612" s="2322"/>
      <c r="CQ612" s="2322"/>
      <c r="CR612" s="2322"/>
      <c r="CS612" s="2322"/>
      <c r="CT612" s="2322"/>
      <c r="CU612" s="2322"/>
      <c r="CV612" s="2322"/>
    </row>
    <row r="613" spans="1:100" ht="15.75" customHeight="1">
      <c r="A613" s="2328"/>
      <c r="B613" s="2322"/>
      <c r="C613" s="2322"/>
      <c r="D613" s="2322"/>
      <c r="E613" s="2322"/>
      <c r="F613" s="2322"/>
      <c r="G613" s="2322"/>
      <c r="H613" s="2322"/>
      <c r="I613" s="2322"/>
      <c r="J613" s="2322"/>
      <c r="K613" s="2322"/>
      <c r="L613" s="2322"/>
      <c r="M613" s="2322"/>
      <c r="N613" s="2322"/>
      <c r="O613" s="2322"/>
      <c r="P613" s="2322"/>
      <c r="Q613" s="2322"/>
      <c r="R613" s="2322"/>
      <c r="S613" s="2322"/>
      <c r="T613" s="2322"/>
      <c r="U613" s="2322"/>
      <c r="V613" s="2322"/>
      <c r="W613" s="2322"/>
      <c r="X613" s="2322"/>
      <c r="Y613" s="2322"/>
      <c r="Z613" s="2322"/>
      <c r="AA613" s="2322"/>
      <c r="AB613" s="2322"/>
      <c r="AC613" s="2322"/>
      <c r="AD613" s="2322"/>
      <c r="AE613" s="2322"/>
      <c r="AF613" s="2322"/>
      <c r="AG613" s="2322"/>
      <c r="AH613" s="2322"/>
      <c r="AI613" s="2322"/>
      <c r="AJ613" s="2322"/>
      <c r="AK613" s="2322"/>
      <c r="AL613" s="2322"/>
      <c r="AM613" s="2322"/>
      <c r="AN613" s="2322"/>
      <c r="AO613" s="2322"/>
      <c r="AP613" s="2322"/>
      <c r="AQ613" s="2322"/>
      <c r="AR613" s="2322"/>
      <c r="AS613" s="2322"/>
      <c r="AT613" s="2322"/>
      <c r="AU613" s="2322"/>
      <c r="AV613" s="2322"/>
      <c r="AW613" s="2322"/>
      <c r="AX613" s="2322"/>
      <c r="AY613" s="2322"/>
      <c r="AZ613" s="2322"/>
      <c r="BA613" s="2322"/>
      <c r="BB613" s="2322"/>
      <c r="BC613" s="2322"/>
      <c r="BD613" s="2322"/>
      <c r="BE613" s="2322"/>
      <c r="BF613" s="2322"/>
      <c r="BG613" s="2322"/>
      <c r="BH613" s="2322"/>
      <c r="BI613" s="2322"/>
      <c r="BJ613" s="2322"/>
      <c r="BK613" s="2322"/>
      <c r="BL613" s="2322"/>
      <c r="BM613" s="2322"/>
      <c r="BN613" s="2322"/>
      <c r="BO613" s="2322"/>
      <c r="BP613" s="2322"/>
      <c r="BQ613" s="2322"/>
      <c r="BR613" s="2322"/>
      <c r="BS613" s="2322"/>
      <c r="BT613" s="2322"/>
      <c r="BU613" s="2322"/>
      <c r="BV613" s="2322"/>
      <c r="BW613" s="2322"/>
      <c r="BX613" s="2322"/>
      <c r="BY613" s="2322"/>
      <c r="BZ613" s="2322"/>
      <c r="CA613" s="2322"/>
      <c r="CB613" s="2322"/>
      <c r="CC613" s="2322"/>
      <c r="CD613" s="2322"/>
      <c r="CE613" s="2322"/>
      <c r="CF613" s="2322"/>
      <c r="CG613" s="2322"/>
      <c r="CH613" s="2322"/>
      <c r="CI613" s="2322"/>
      <c r="CJ613" s="2322"/>
      <c r="CK613" s="2322"/>
      <c r="CL613" s="2322"/>
      <c r="CM613" s="2322"/>
      <c r="CN613" s="2322"/>
      <c r="CO613" s="2322"/>
      <c r="CP613" s="2322"/>
      <c r="CQ613" s="2322"/>
      <c r="CR613" s="2322"/>
      <c r="CS613" s="2322"/>
      <c r="CT613" s="2322"/>
      <c r="CU613" s="2322"/>
      <c r="CV613" s="2322"/>
    </row>
    <row r="614" spans="1:100" ht="15.75" customHeight="1">
      <c r="A614" s="2328"/>
      <c r="B614" s="2322"/>
      <c r="C614" s="2322"/>
      <c r="D614" s="2322"/>
      <c r="E614" s="2322"/>
      <c r="F614" s="2322"/>
      <c r="G614" s="2322"/>
      <c r="H614" s="2322"/>
      <c r="I614" s="2322"/>
      <c r="J614" s="2322"/>
      <c r="K614" s="2322"/>
      <c r="L614" s="2322"/>
      <c r="M614" s="2322"/>
      <c r="N614" s="2322"/>
      <c r="O614" s="2322"/>
      <c r="P614" s="2322"/>
      <c r="Q614" s="2322"/>
      <c r="R614" s="2322"/>
      <c r="S614" s="2322"/>
      <c r="T614" s="2322"/>
      <c r="U614" s="2322"/>
      <c r="V614" s="2322"/>
      <c r="W614" s="2322"/>
      <c r="X614" s="2322"/>
      <c r="Y614" s="2322"/>
      <c r="Z614" s="2322"/>
      <c r="AA614" s="2322"/>
      <c r="AB614" s="2322"/>
      <c r="AC614" s="2322"/>
      <c r="AD614" s="2322"/>
      <c r="AE614" s="2322"/>
      <c r="AF614" s="2322"/>
      <c r="AG614" s="2322"/>
      <c r="AH614" s="2322"/>
      <c r="AI614" s="2322"/>
      <c r="AJ614" s="2322"/>
      <c r="AK614" s="2322"/>
      <c r="AL614" s="2322"/>
      <c r="AM614" s="2322"/>
      <c r="AN614" s="2322"/>
      <c r="AO614" s="2322"/>
      <c r="AP614" s="2322"/>
      <c r="AQ614" s="2322"/>
      <c r="AR614" s="2322"/>
      <c r="AS614" s="2322"/>
      <c r="AT614" s="2322"/>
      <c r="AU614" s="2322"/>
      <c r="AV614" s="2322"/>
      <c r="AW614" s="2322"/>
      <c r="AX614" s="2322"/>
      <c r="AY614" s="2322"/>
      <c r="AZ614" s="2322"/>
      <c r="BA614" s="2322"/>
      <c r="BB614" s="2322"/>
      <c r="BC614" s="2322"/>
      <c r="BD614" s="2322"/>
      <c r="BE614" s="2322"/>
      <c r="BF614" s="2322"/>
      <c r="BG614" s="2322"/>
      <c r="BH614" s="2322"/>
      <c r="BI614" s="2322"/>
      <c r="BJ614" s="2322"/>
      <c r="BK614" s="2322"/>
      <c r="BL614" s="2322"/>
      <c r="BM614" s="2322"/>
      <c r="BN614" s="2322"/>
      <c r="BO614" s="2322"/>
      <c r="BP614" s="2322"/>
      <c r="BQ614" s="2322"/>
      <c r="BR614" s="2322"/>
      <c r="BS614" s="2322"/>
      <c r="BT614" s="2322"/>
      <c r="BU614" s="2322"/>
      <c r="BV614" s="2322"/>
      <c r="BW614" s="2322"/>
      <c r="BX614" s="2322"/>
      <c r="BY614" s="2322"/>
      <c r="BZ614" s="2322"/>
      <c r="CA614" s="2322"/>
      <c r="CB614" s="2322"/>
      <c r="CC614" s="2322"/>
      <c r="CD614" s="2322"/>
      <c r="CE614" s="2322"/>
      <c r="CF614" s="2322"/>
      <c r="CG614" s="2322"/>
      <c r="CH614" s="2322"/>
      <c r="CI614" s="2322"/>
      <c r="CJ614" s="2322"/>
      <c r="CK614" s="2322"/>
      <c r="CL614" s="2322"/>
      <c r="CM614" s="2322"/>
      <c r="CN614" s="2322"/>
      <c r="CO614" s="2322"/>
      <c r="CP614" s="2322"/>
      <c r="CQ614" s="2322"/>
      <c r="CR614" s="2322"/>
      <c r="CS614" s="2322"/>
      <c r="CT614" s="2322"/>
      <c r="CU614" s="2322"/>
      <c r="CV614" s="2322"/>
    </row>
    <row r="615" spans="1:100" ht="15.75" customHeight="1">
      <c r="A615" s="2328"/>
      <c r="B615" s="2322"/>
      <c r="C615" s="2322"/>
      <c r="D615" s="2322"/>
      <c r="E615" s="2322"/>
      <c r="F615" s="2322"/>
      <c r="G615" s="2322"/>
      <c r="H615" s="2322"/>
      <c r="I615" s="2322"/>
      <c r="J615" s="2322"/>
      <c r="K615" s="2322"/>
      <c r="L615" s="2322"/>
      <c r="M615" s="2322"/>
      <c r="N615" s="2322"/>
      <c r="O615" s="2322"/>
      <c r="P615" s="2322"/>
      <c r="Q615" s="2322"/>
      <c r="R615" s="2322"/>
      <c r="S615" s="2322"/>
      <c r="T615" s="2322"/>
      <c r="U615" s="2322"/>
      <c r="V615" s="2322"/>
      <c r="W615" s="2322"/>
      <c r="X615" s="2322"/>
      <c r="Y615" s="2322"/>
      <c r="Z615" s="2322"/>
      <c r="AA615" s="2322"/>
      <c r="AB615" s="2322"/>
      <c r="AC615" s="2322"/>
      <c r="AD615" s="2322"/>
      <c r="AE615" s="2322"/>
      <c r="AF615" s="2322"/>
      <c r="AG615" s="2322"/>
      <c r="AH615" s="2322"/>
      <c r="AI615" s="2322"/>
      <c r="AJ615" s="2322"/>
      <c r="AK615" s="2322"/>
      <c r="AL615" s="2322"/>
      <c r="AM615" s="2322"/>
      <c r="AN615" s="2322"/>
      <c r="AO615" s="2322"/>
      <c r="AP615" s="2322"/>
      <c r="AQ615" s="2322"/>
      <c r="AR615" s="2322"/>
      <c r="AS615" s="2322"/>
      <c r="AT615" s="2322"/>
      <c r="AU615" s="2322"/>
      <c r="AV615" s="2322"/>
      <c r="AW615" s="2322"/>
      <c r="AX615" s="2322"/>
      <c r="AY615" s="2322"/>
      <c r="AZ615" s="2322"/>
      <c r="BA615" s="2322"/>
      <c r="BB615" s="2322"/>
      <c r="BC615" s="2322"/>
      <c r="BD615" s="2322"/>
      <c r="BE615" s="2322"/>
      <c r="BF615" s="2322"/>
      <c r="BG615" s="2322"/>
      <c r="BH615" s="2322"/>
      <c r="BI615" s="2322"/>
      <c r="BJ615" s="2322"/>
      <c r="BK615" s="2322"/>
      <c r="BL615" s="2322"/>
      <c r="BM615" s="2322"/>
      <c r="BN615" s="2322"/>
      <c r="BO615" s="2322"/>
      <c r="BP615" s="2322"/>
      <c r="BQ615" s="2322"/>
      <c r="BR615" s="2322"/>
      <c r="BS615" s="2322"/>
      <c r="BT615" s="2322"/>
      <c r="BU615" s="2322"/>
      <c r="BV615" s="2322"/>
      <c r="BW615" s="2322"/>
      <c r="BX615" s="2322"/>
      <c r="BY615" s="2322"/>
      <c r="BZ615" s="2322"/>
      <c r="CA615" s="2322"/>
      <c r="CB615" s="2322"/>
      <c r="CC615" s="2322"/>
      <c r="CD615" s="2322"/>
      <c r="CE615" s="2322"/>
      <c r="CF615" s="2322"/>
      <c r="CG615" s="2322"/>
      <c r="CH615" s="2322"/>
      <c r="CI615" s="2322"/>
      <c r="CJ615" s="2322"/>
      <c r="CK615" s="2322"/>
      <c r="CL615" s="2322"/>
      <c r="CM615" s="2322"/>
      <c r="CN615" s="2322"/>
      <c r="CO615" s="2322"/>
      <c r="CP615" s="2322"/>
      <c r="CQ615" s="2322"/>
      <c r="CR615" s="2322"/>
      <c r="CS615" s="2322"/>
      <c r="CT615" s="2322"/>
      <c r="CU615" s="2322"/>
      <c r="CV615" s="2322"/>
    </row>
    <row r="616" spans="1:100" ht="15.75" customHeight="1">
      <c r="A616" s="2328"/>
      <c r="B616" s="2322"/>
      <c r="C616" s="2322"/>
      <c r="D616" s="2322"/>
      <c r="E616" s="2322"/>
      <c r="F616" s="2322"/>
      <c r="G616" s="2322"/>
      <c r="H616" s="2322"/>
      <c r="I616" s="2322"/>
      <c r="J616" s="2322"/>
      <c r="K616" s="2322"/>
      <c r="L616" s="2322"/>
      <c r="M616" s="2322"/>
      <c r="N616" s="2322"/>
      <c r="O616" s="2322"/>
      <c r="P616" s="2322"/>
      <c r="Q616" s="2322"/>
      <c r="R616" s="2322"/>
      <c r="S616" s="2322"/>
      <c r="T616" s="2322"/>
      <c r="U616" s="2322"/>
      <c r="V616" s="2322"/>
      <c r="W616" s="2322"/>
      <c r="X616" s="2322"/>
      <c r="Y616" s="2322"/>
      <c r="Z616" s="2322"/>
      <c r="AA616" s="2322"/>
      <c r="AB616" s="2322"/>
      <c r="AC616" s="2322"/>
      <c r="AD616" s="2322"/>
      <c r="AE616" s="2322"/>
      <c r="AF616" s="2322"/>
      <c r="AG616" s="2322"/>
      <c r="AH616" s="2322"/>
      <c r="AI616" s="2322"/>
      <c r="AJ616" s="2322"/>
      <c r="AK616" s="2322"/>
      <c r="AL616" s="2322"/>
      <c r="AM616" s="2322"/>
      <c r="AN616" s="2322"/>
      <c r="AO616" s="2322"/>
      <c r="AP616" s="2322"/>
      <c r="AQ616" s="2322"/>
      <c r="AR616" s="2322"/>
      <c r="AS616" s="2322"/>
      <c r="AT616" s="2322"/>
      <c r="AU616" s="2322"/>
      <c r="AV616" s="2322"/>
      <c r="AW616" s="2322"/>
      <c r="AX616" s="2322"/>
      <c r="AY616" s="2322"/>
      <c r="AZ616" s="2322"/>
      <c r="BA616" s="2322"/>
      <c r="BB616" s="2322"/>
      <c r="BC616" s="2322"/>
      <c r="BD616" s="2322"/>
      <c r="BE616" s="2322"/>
      <c r="BF616" s="2322"/>
      <c r="BG616" s="2322"/>
      <c r="BH616" s="2322"/>
      <c r="BI616" s="2322"/>
      <c r="BJ616" s="2322"/>
      <c r="BK616" s="2322"/>
      <c r="BL616" s="2322"/>
      <c r="BM616" s="2322"/>
      <c r="BN616" s="2322"/>
      <c r="BO616" s="2322"/>
      <c r="BP616" s="2322"/>
      <c r="BQ616" s="2322"/>
      <c r="BR616" s="2322"/>
      <c r="BS616" s="2322"/>
      <c r="BT616" s="2322"/>
      <c r="BU616" s="2322"/>
      <c r="BV616" s="2322"/>
      <c r="BW616" s="2322"/>
      <c r="BX616" s="2322"/>
      <c r="BY616" s="2322"/>
      <c r="BZ616" s="2322"/>
      <c r="CA616" s="2322"/>
      <c r="CB616" s="2322"/>
      <c r="CC616" s="2322"/>
      <c r="CD616" s="2322"/>
      <c r="CE616" s="2322"/>
      <c r="CF616" s="2322"/>
      <c r="CG616" s="2322"/>
      <c r="CH616" s="2322"/>
      <c r="CI616" s="2322"/>
      <c r="CJ616" s="2322"/>
      <c r="CK616" s="2322"/>
      <c r="CL616" s="2322"/>
      <c r="CM616" s="2322"/>
      <c r="CN616" s="2322"/>
      <c r="CO616" s="2322"/>
      <c r="CP616" s="2322"/>
      <c r="CQ616" s="2322"/>
      <c r="CR616" s="2322"/>
      <c r="CS616" s="2322"/>
      <c r="CT616" s="2322"/>
      <c r="CU616" s="2322"/>
      <c r="CV616" s="2322"/>
    </row>
    <row r="617" spans="1:100" ht="15.75" customHeight="1">
      <c r="A617" s="2328"/>
      <c r="B617" s="2322"/>
      <c r="C617" s="2322"/>
      <c r="D617" s="2322"/>
      <c r="E617" s="2322"/>
      <c r="F617" s="2322"/>
      <c r="G617" s="2322"/>
      <c r="H617" s="2322"/>
      <c r="I617" s="2322"/>
      <c r="J617" s="2322"/>
      <c r="K617" s="2322"/>
      <c r="L617" s="2322"/>
      <c r="M617" s="2322"/>
      <c r="N617" s="2322"/>
      <c r="O617" s="2322"/>
      <c r="P617" s="2322"/>
      <c r="Q617" s="2322"/>
      <c r="R617" s="2322"/>
      <c r="S617" s="2322"/>
      <c r="T617" s="2322"/>
      <c r="U617" s="2322"/>
      <c r="V617" s="2322"/>
      <c r="W617" s="2322"/>
      <c r="X617" s="2322"/>
      <c r="Y617" s="2322"/>
      <c r="Z617" s="2322"/>
      <c r="AA617" s="2322"/>
      <c r="AB617" s="2322"/>
      <c r="AC617" s="2322"/>
      <c r="AD617" s="2322"/>
      <c r="AE617" s="2322"/>
      <c r="AF617" s="2322"/>
      <c r="AG617" s="2322"/>
      <c r="AH617" s="2322"/>
      <c r="AI617" s="2322"/>
      <c r="AJ617" s="2322"/>
      <c r="AK617" s="2322"/>
      <c r="AL617" s="2322"/>
      <c r="AM617" s="2322"/>
      <c r="AN617" s="2322"/>
      <c r="AO617" s="2322"/>
      <c r="AP617" s="2322"/>
      <c r="AQ617" s="2322"/>
      <c r="AR617" s="2322"/>
      <c r="AS617" s="2322"/>
      <c r="AT617" s="2322"/>
      <c r="AU617" s="2322"/>
      <c r="AV617" s="2322"/>
      <c r="AW617" s="2322"/>
      <c r="AX617" s="2322"/>
      <c r="AY617" s="2322"/>
      <c r="AZ617" s="2322"/>
      <c r="BA617" s="2322"/>
      <c r="BB617" s="2322"/>
      <c r="BC617" s="2322"/>
      <c r="BD617" s="2322"/>
      <c r="BE617" s="2322"/>
      <c r="BF617" s="2322"/>
      <c r="BG617" s="2322"/>
      <c r="BH617" s="2322"/>
      <c r="BI617" s="2322"/>
      <c r="BJ617" s="2322"/>
      <c r="BK617" s="2322"/>
      <c r="BL617" s="2322"/>
      <c r="BM617" s="2322"/>
      <c r="BN617" s="2322"/>
      <c r="BO617" s="2322"/>
      <c r="BP617" s="2322"/>
      <c r="BQ617" s="2322"/>
      <c r="BR617" s="2322"/>
      <c r="BS617" s="2322"/>
      <c r="BT617" s="2322"/>
      <c r="BU617" s="2322"/>
      <c r="BV617" s="2322"/>
      <c r="BW617" s="2322"/>
      <c r="BX617" s="2322"/>
      <c r="BY617" s="2322"/>
      <c r="BZ617" s="2322"/>
      <c r="CA617" s="2322"/>
      <c r="CB617" s="2322"/>
      <c r="CC617" s="2322"/>
      <c r="CD617" s="2322"/>
      <c r="CE617" s="2322"/>
      <c r="CF617" s="2322"/>
      <c r="CG617" s="2322"/>
      <c r="CH617" s="2322"/>
      <c r="CI617" s="2322"/>
      <c r="CJ617" s="2322"/>
      <c r="CK617" s="2322"/>
      <c r="CL617" s="2322"/>
      <c r="CM617" s="2322"/>
      <c r="CN617" s="2322"/>
      <c r="CO617" s="2322"/>
      <c r="CP617" s="2322"/>
      <c r="CQ617" s="2322"/>
      <c r="CR617" s="2322"/>
      <c r="CS617" s="2322"/>
      <c r="CT617" s="2322"/>
      <c r="CU617" s="2322"/>
      <c r="CV617" s="2322"/>
    </row>
    <row r="618" spans="1:100" ht="15.75" customHeight="1">
      <c r="A618" s="2328"/>
      <c r="B618" s="2322"/>
      <c r="C618" s="2322"/>
      <c r="D618" s="2322"/>
      <c r="E618" s="2322"/>
      <c r="F618" s="2322"/>
      <c r="G618" s="2322"/>
      <c r="H618" s="2322"/>
      <c r="I618" s="2322"/>
      <c r="J618" s="2322"/>
      <c r="K618" s="2322"/>
      <c r="L618" s="2322"/>
      <c r="M618" s="2322"/>
      <c r="N618" s="2322"/>
      <c r="O618" s="2322"/>
      <c r="P618" s="2322"/>
      <c r="Q618" s="2322"/>
      <c r="R618" s="2322"/>
      <c r="S618" s="2322"/>
      <c r="T618" s="2322"/>
      <c r="U618" s="2322"/>
      <c r="V618" s="2322"/>
      <c r="W618" s="2322"/>
      <c r="X618" s="2322"/>
      <c r="Y618" s="2322"/>
      <c r="Z618" s="2322"/>
      <c r="AA618" s="2322"/>
      <c r="AB618" s="2322"/>
      <c r="AC618" s="2322"/>
      <c r="AD618" s="2322"/>
      <c r="AE618" s="2322"/>
      <c r="AF618" s="2322"/>
      <c r="AG618" s="2322"/>
      <c r="AH618" s="2322"/>
      <c r="AI618" s="2322"/>
      <c r="AJ618" s="2322"/>
      <c r="AK618" s="2322"/>
      <c r="AL618" s="2322"/>
      <c r="AM618" s="2322"/>
      <c r="AN618" s="2322"/>
      <c r="AO618" s="2322"/>
      <c r="AP618" s="2322"/>
      <c r="AQ618" s="2322"/>
      <c r="AR618" s="2322"/>
      <c r="AS618" s="2322"/>
      <c r="AT618" s="2322"/>
      <c r="AU618" s="2322"/>
      <c r="AV618" s="2322"/>
      <c r="AW618" s="2322"/>
      <c r="AX618" s="2322"/>
      <c r="AY618" s="2322"/>
      <c r="AZ618" s="2322"/>
      <c r="BA618" s="2322"/>
      <c r="BB618" s="2322"/>
      <c r="BC618" s="2322"/>
      <c r="BD618" s="2322"/>
      <c r="BE618" s="2322"/>
      <c r="BF618" s="2322"/>
      <c r="BG618" s="2322"/>
      <c r="BH618" s="2322"/>
      <c r="BI618" s="2322"/>
      <c r="BJ618" s="2322"/>
      <c r="BK618" s="2322"/>
      <c r="BL618" s="2322"/>
      <c r="BM618" s="2322"/>
      <c r="BN618" s="2322"/>
      <c r="BO618" s="2322"/>
      <c r="BP618" s="2322"/>
      <c r="BQ618" s="2322"/>
      <c r="BR618" s="2322"/>
      <c r="BS618" s="2322"/>
      <c r="BT618" s="2322"/>
      <c r="BU618" s="2322"/>
      <c r="BV618" s="2322"/>
      <c r="BW618" s="2322"/>
      <c r="BX618" s="2322"/>
      <c r="BY618" s="2322"/>
      <c r="BZ618" s="2322"/>
      <c r="CA618" s="2322"/>
      <c r="CB618" s="2322"/>
      <c r="CC618" s="2322"/>
      <c r="CD618" s="2322"/>
      <c r="CE618" s="2322"/>
      <c r="CF618" s="2322"/>
      <c r="CG618" s="2322"/>
      <c r="CH618" s="2322"/>
      <c r="CI618" s="2322"/>
      <c r="CJ618" s="2322"/>
      <c r="CK618" s="2322"/>
      <c r="CL618" s="2322"/>
      <c r="CM618" s="2322"/>
      <c r="CN618" s="2322"/>
      <c r="CO618" s="2322"/>
      <c r="CP618" s="2322"/>
      <c r="CQ618" s="2322"/>
      <c r="CR618" s="2322"/>
      <c r="CS618" s="2322"/>
      <c r="CT618" s="2322"/>
      <c r="CU618" s="2322"/>
      <c r="CV618" s="2322"/>
    </row>
    <row r="619" spans="1:100" ht="15.75" customHeight="1">
      <c r="A619" s="2328"/>
      <c r="B619" s="2322"/>
      <c r="C619" s="2322"/>
      <c r="D619" s="2322"/>
      <c r="E619" s="2322"/>
      <c r="F619" s="2322"/>
      <c r="G619" s="2322"/>
      <c r="H619" s="2322"/>
      <c r="I619" s="2322"/>
      <c r="J619" s="2322"/>
      <c r="K619" s="2322"/>
      <c r="L619" s="2322"/>
      <c r="M619" s="2322"/>
      <c r="N619" s="2322"/>
      <c r="O619" s="2322"/>
      <c r="P619" s="2322"/>
      <c r="Q619" s="2322"/>
      <c r="R619" s="2322"/>
      <c r="S619" s="2322"/>
      <c r="T619" s="2322"/>
      <c r="U619" s="2322"/>
      <c r="V619" s="2322"/>
      <c r="W619" s="2322"/>
      <c r="X619" s="2322"/>
      <c r="Y619" s="2322"/>
      <c r="Z619" s="2322"/>
      <c r="AA619" s="2322"/>
      <c r="AB619" s="2322"/>
      <c r="AC619" s="2322"/>
      <c r="AD619" s="2322"/>
      <c r="AE619" s="2322"/>
      <c r="AF619" s="2322"/>
      <c r="AG619" s="2322"/>
      <c r="AH619" s="2322"/>
      <c r="AI619" s="2322"/>
      <c r="AJ619" s="2322"/>
      <c r="AK619" s="2322"/>
      <c r="AL619" s="2322"/>
      <c r="AM619" s="2322"/>
      <c r="AN619" s="2322"/>
      <c r="AO619" s="2322"/>
      <c r="AP619" s="2322"/>
      <c r="AQ619" s="2322"/>
      <c r="AR619" s="2322"/>
      <c r="AS619" s="2322"/>
      <c r="AT619" s="2322"/>
      <c r="AU619" s="2322"/>
      <c r="AV619" s="2322"/>
      <c r="AW619" s="2322"/>
      <c r="AX619" s="2322"/>
      <c r="AY619" s="2322"/>
      <c r="AZ619" s="2322"/>
      <c r="BA619" s="2322"/>
      <c r="BB619" s="2322"/>
      <c r="BC619" s="2322"/>
      <c r="BD619" s="2322"/>
      <c r="BE619" s="2322"/>
      <c r="BF619" s="2322"/>
      <c r="BG619" s="2322"/>
      <c r="BH619" s="2322"/>
      <c r="BI619" s="2322"/>
      <c r="BJ619" s="2322"/>
      <c r="BK619" s="2322"/>
      <c r="BL619" s="2322"/>
      <c r="BM619" s="2322"/>
      <c r="BN619" s="2322"/>
      <c r="BO619" s="2322"/>
      <c r="BP619" s="2322"/>
      <c r="BQ619" s="2322"/>
      <c r="BR619" s="2322"/>
      <c r="BS619" s="2322"/>
      <c r="BT619" s="2322"/>
      <c r="BU619" s="2322"/>
      <c r="BV619" s="2322"/>
      <c r="BW619" s="2322"/>
      <c r="BX619" s="2322"/>
      <c r="BY619" s="2322"/>
      <c r="BZ619" s="2322"/>
      <c r="CA619" s="2322"/>
      <c r="CB619" s="2322"/>
      <c r="CC619" s="2322"/>
      <c r="CD619" s="2322"/>
      <c r="CE619" s="2322"/>
      <c r="CF619" s="2322"/>
      <c r="CG619" s="2322"/>
      <c r="CH619" s="2322"/>
      <c r="CI619" s="2322"/>
      <c r="CJ619" s="2322"/>
      <c r="CK619" s="2322"/>
      <c r="CL619" s="2322"/>
      <c r="CM619" s="2322"/>
      <c r="CN619" s="2322"/>
      <c r="CO619" s="2322"/>
      <c r="CP619" s="2322"/>
      <c r="CQ619" s="2322"/>
      <c r="CR619" s="2322"/>
      <c r="CS619" s="2322"/>
      <c r="CT619" s="2322"/>
      <c r="CU619" s="2322"/>
      <c r="CV619" s="2322"/>
    </row>
    <row r="620" spans="1:100" ht="15.75" customHeight="1">
      <c r="A620" s="2328"/>
      <c r="B620" s="2322"/>
      <c r="C620" s="2322"/>
      <c r="D620" s="2322"/>
      <c r="E620" s="2322"/>
      <c r="F620" s="2322"/>
      <c r="G620" s="2322"/>
      <c r="H620" s="2322"/>
      <c r="I620" s="2322"/>
      <c r="J620" s="2322"/>
      <c r="K620" s="2322"/>
      <c r="L620" s="2322"/>
      <c r="M620" s="2322"/>
      <c r="N620" s="2322"/>
      <c r="O620" s="2322"/>
      <c r="P620" s="2322"/>
      <c r="Q620" s="2322"/>
      <c r="R620" s="2322"/>
      <c r="S620" s="2322"/>
      <c r="T620" s="2322"/>
      <c r="U620" s="2322"/>
      <c r="V620" s="2322"/>
      <c r="W620" s="2322"/>
      <c r="X620" s="2322"/>
      <c r="Y620" s="2322"/>
      <c r="Z620" s="2322"/>
      <c r="AA620" s="2322"/>
      <c r="AB620" s="2322"/>
      <c r="AC620" s="2322"/>
      <c r="AD620" s="2322"/>
      <c r="AE620" s="2322"/>
      <c r="AF620" s="2322"/>
      <c r="AG620" s="2322"/>
      <c r="AH620" s="2322"/>
      <c r="AI620" s="2322"/>
      <c r="AJ620" s="2322"/>
      <c r="AK620" s="2322"/>
      <c r="AL620" s="2322"/>
      <c r="AM620" s="2322"/>
      <c r="AN620" s="2322"/>
      <c r="AO620" s="2322"/>
      <c r="AP620" s="2322"/>
      <c r="AQ620" s="2322"/>
      <c r="AR620" s="2322"/>
      <c r="AS620" s="2322"/>
      <c r="AT620" s="2322"/>
      <c r="AU620" s="2322"/>
      <c r="AV620" s="2322"/>
      <c r="AW620" s="2322"/>
      <c r="AX620" s="2322"/>
      <c r="AY620" s="2322"/>
      <c r="AZ620" s="2322"/>
      <c r="BA620" s="2322"/>
      <c r="BB620" s="2322"/>
      <c r="BC620" s="2322"/>
      <c r="BD620" s="2322"/>
      <c r="BE620" s="2322"/>
      <c r="BF620" s="2322"/>
      <c r="BG620" s="2322"/>
      <c r="BH620" s="2322"/>
      <c r="BI620" s="2322"/>
      <c r="BJ620" s="2322"/>
      <c r="BK620" s="2322"/>
      <c r="BL620" s="2322"/>
      <c r="BM620" s="2322"/>
      <c r="BN620" s="2322"/>
      <c r="BO620" s="2322"/>
      <c r="BP620" s="2322"/>
      <c r="BQ620" s="2322"/>
      <c r="BR620" s="2322"/>
      <c r="BS620" s="2322"/>
      <c r="BT620" s="2322"/>
      <c r="BU620" s="2322"/>
      <c r="BV620" s="2322"/>
      <c r="BW620" s="2322"/>
      <c r="BX620" s="2322"/>
      <c r="BY620" s="2322"/>
      <c r="BZ620" s="2322"/>
      <c r="CA620" s="2322"/>
      <c r="CB620" s="2322"/>
      <c r="CC620" s="2322"/>
      <c r="CD620" s="2322"/>
      <c r="CE620" s="2322"/>
      <c r="CF620" s="2322"/>
      <c r="CG620" s="2322"/>
      <c r="CH620" s="2322"/>
      <c r="CI620" s="2322"/>
      <c r="CJ620" s="2322"/>
      <c r="CK620" s="2322"/>
      <c r="CL620" s="2322"/>
      <c r="CM620" s="2322"/>
      <c r="CN620" s="2322"/>
      <c r="CO620" s="2322"/>
      <c r="CP620" s="2322"/>
      <c r="CQ620" s="2322"/>
      <c r="CR620" s="2322"/>
      <c r="CS620" s="2322"/>
      <c r="CT620" s="2322"/>
      <c r="CU620" s="2322"/>
      <c r="CV620" s="2322"/>
    </row>
    <row r="621" spans="1:100" ht="15.75" customHeight="1">
      <c r="A621" s="2328"/>
      <c r="B621" s="2322"/>
      <c r="C621" s="2322"/>
      <c r="D621" s="2322"/>
      <c r="E621" s="2322"/>
      <c r="F621" s="2322"/>
      <c r="G621" s="2322"/>
      <c r="H621" s="2322"/>
      <c r="I621" s="2322"/>
      <c r="J621" s="2322"/>
      <c r="K621" s="2322"/>
      <c r="L621" s="2322"/>
      <c r="M621" s="2322"/>
      <c r="N621" s="2322"/>
      <c r="O621" s="2322"/>
      <c r="P621" s="2322"/>
      <c r="Q621" s="2322"/>
      <c r="R621" s="2322"/>
      <c r="S621" s="2322"/>
      <c r="T621" s="2322"/>
      <c r="U621" s="2322"/>
      <c r="V621" s="2322"/>
      <c r="W621" s="2322"/>
      <c r="X621" s="2322"/>
      <c r="Y621" s="2322"/>
      <c r="Z621" s="2322"/>
      <c r="AA621" s="2322"/>
      <c r="AB621" s="2322"/>
      <c r="AC621" s="2322"/>
      <c r="AD621" s="2322"/>
      <c r="AE621" s="2322"/>
      <c r="AF621" s="2322"/>
      <c r="AG621" s="2322"/>
      <c r="AH621" s="2322"/>
      <c r="AI621" s="2322"/>
      <c r="AJ621" s="2322"/>
      <c r="AK621" s="2322"/>
      <c r="AL621" s="2322"/>
      <c r="AM621" s="2322"/>
      <c r="AN621" s="2322"/>
      <c r="AO621" s="2322"/>
      <c r="AP621" s="2322"/>
      <c r="AQ621" s="2322"/>
      <c r="AR621" s="2322"/>
      <c r="AS621" s="2322"/>
      <c r="AT621" s="2322"/>
      <c r="AU621" s="2322"/>
      <c r="AV621" s="2322"/>
      <c r="AW621" s="2322"/>
      <c r="AX621" s="2322"/>
      <c r="AY621" s="2322"/>
      <c r="AZ621" s="2322"/>
      <c r="BA621" s="2322"/>
      <c r="BB621" s="2322"/>
      <c r="BC621" s="2322"/>
      <c r="BD621" s="2322"/>
      <c r="BE621" s="2322"/>
      <c r="BF621" s="2322"/>
      <c r="BG621" s="2322"/>
      <c r="BH621" s="2322"/>
      <c r="BI621" s="2322"/>
      <c r="BJ621" s="2322"/>
      <c r="BK621" s="2322"/>
      <c r="BL621" s="2322"/>
      <c r="BM621" s="2322"/>
      <c r="BN621" s="2322"/>
      <c r="BO621" s="2322"/>
      <c r="BP621" s="2322"/>
      <c r="BQ621" s="2322"/>
      <c r="BR621" s="2322"/>
      <c r="BS621" s="2322"/>
      <c r="BT621" s="2322"/>
      <c r="BU621" s="2322"/>
      <c r="BV621" s="2322"/>
      <c r="BW621" s="2322"/>
      <c r="BX621" s="2322"/>
      <c r="BY621" s="2322"/>
      <c r="BZ621" s="2322"/>
      <c r="CA621" s="2322"/>
      <c r="CB621" s="2322"/>
      <c r="CC621" s="2322"/>
      <c r="CD621" s="2322"/>
      <c r="CE621" s="2322"/>
      <c r="CF621" s="2322"/>
      <c r="CG621" s="2322"/>
      <c r="CH621" s="2322"/>
      <c r="CI621" s="2322"/>
      <c r="CJ621" s="2322"/>
      <c r="CK621" s="2322"/>
      <c r="CL621" s="2322"/>
      <c r="CM621" s="2322"/>
      <c r="CN621" s="2322"/>
      <c r="CO621" s="2322"/>
      <c r="CP621" s="2322"/>
      <c r="CQ621" s="2322"/>
      <c r="CR621" s="2322"/>
      <c r="CS621" s="2322"/>
      <c r="CT621" s="2322"/>
      <c r="CU621" s="2322"/>
      <c r="CV621" s="2322"/>
    </row>
    <row r="622" spans="1:100" ht="15.75" customHeight="1">
      <c r="A622" s="2328"/>
      <c r="B622" s="2322"/>
      <c r="C622" s="2322"/>
      <c r="D622" s="2322"/>
      <c r="E622" s="2322"/>
      <c r="F622" s="2322"/>
      <c r="G622" s="2322"/>
      <c r="H622" s="2322"/>
      <c r="I622" s="2322"/>
      <c r="J622" s="2322"/>
      <c r="K622" s="2322"/>
      <c r="L622" s="2322"/>
      <c r="M622" s="2322"/>
      <c r="N622" s="2322"/>
      <c r="O622" s="2322"/>
      <c r="P622" s="2322"/>
      <c r="Q622" s="2322"/>
      <c r="R622" s="2322"/>
      <c r="S622" s="2322"/>
      <c r="T622" s="2322"/>
      <c r="U622" s="2322"/>
      <c r="V622" s="2322"/>
      <c r="W622" s="2322"/>
      <c r="X622" s="2322"/>
      <c r="Y622" s="2322"/>
      <c r="Z622" s="2322"/>
      <c r="AA622" s="2322"/>
      <c r="AB622" s="2322"/>
      <c r="AC622" s="2322"/>
      <c r="AD622" s="2322"/>
      <c r="AE622" s="2322"/>
      <c r="AF622" s="2322"/>
      <c r="AG622" s="2322"/>
      <c r="AH622" s="2322"/>
      <c r="AI622" s="2322"/>
      <c r="AJ622" s="2322"/>
      <c r="AK622" s="2322"/>
      <c r="AL622" s="2322"/>
      <c r="AM622" s="2322"/>
      <c r="AN622" s="2322"/>
      <c r="AO622" s="2322"/>
      <c r="AP622" s="2322"/>
      <c r="AQ622" s="2322"/>
      <c r="AR622" s="2322"/>
      <c r="AS622" s="2322"/>
      <c r="AT622" s="2322"/>
      <c r="AU622" s="2322"/>
      <c r="AV622" s="2322"/>
      <c r="AW622" s="2322"/>
      <c r="AX622" s="2322"/>
      <c r="AY622" s="2322"/>
      <c r="AZ622" s="2322"/>
      <c r="BA622" s="2322"/>
      <c r="BB622" s="2322"/>
      <c r="BC622" s="2322"/>
      <c r="BD622" s="2322"/>
      <c r="BE622" s="2322"/>
      <c r="BF622" s="2322"/>
      <c r="BG622" s="2322"/>
      <c r="BH622" s="2322"/>
      <c r="BI622" s="2322"/>
      <c r="BJ622" s="2322"/>
      <c r="BK622" s="2322"/>
      <c r="BL622" s="2322"/>
      <c r="BM622" s="2322"/>
      <c r="BN622" s="2322"/>
      <c r="BO622" s="2322"/>
      <c r="BP622" s="2322"/>
      <c r="BQ622" s="2322"/>
      <c r="BR622" s="2322"/>
      <c r="BS622" s="2322"/>
      <c r="BT622" s="2322"/>
      <c r="BU622" s="2322"/>
      <c r="BV622" s="2322"/>
      <c r="BW622" s="2322"/>
      <c r="BX622" s="2322"/>
      <c r="BY622" s="2322"/>
      <c r="BZ622" s="2322"/>
      <c r="CA622" s="2322"/>
      <c r="CB622" s="2322"/>
      <c r="CC622" s="2322"/>
      <c r="CD622" s="2322"/>
      <c r="CE622" s="2322"/>
      <c r="CF622" s="2322"/>
      <c r="CG622" s="2322"/>
      <c r="CH622" s="2322"/>
      <c r="CI622" s="2322"/>
      <c r="CJ622" s="2322"/>
      <c r="CK622" s="2322"/>
      <c r="CL622" s="2322"/>
      <c r="CM622" s="2322"/>
      <c r="CN622" s="2322"/>
      <c r="CO622" s="2322"/>
      <c r="CP622" s="2322"/>
      <c r="CQ622" s="2322"/>
      <c r="CR622" s="2322"/>
      <c r="CS622" s="2322"/>
      <c r="CT622" s="2322"/>
      <c r="CU622" s="2322"/>
      <c r="CV622" s="2322"/>
    </row>
    <row r="623" spans="1:100" ht="15.75" customHeight="1">
      <c r="A623" s="2328"/>
      <c r="B623" s="2322"/>
      <c r="C623" s="2322"/>
      <c r="D623" s="2322"/>
      <c r="E623" s="2322"/>
      <c r="F623" s="2322"/>
      <c r="G623" s="2322"/>
      <c r="H623" s="2322"/>
      <c r="I623" s="2322"/>
      <c r="J623" s="2322"/>
      <c r="K623" s="2322"/>
      <c r="L623" s="2322"/>
      <c r="M623" s="2322"/>
      <c r="N623" s="2322"/>
      <c r="O623" s="2322"/>
      <c r="P623" s="2322"/>
      <c r="Q623" s="2322"/>
      <c r="R623" s="2322"/>
      <c r="S623" s="2322"/>
      <c r="T623" s="2322"/>
      <c r="U623" s="2322"/>
      <c r="V623" s="2322"/>
      <c r="W623" s="2322"/>
      <c r="X623" s="2322"/>
      <c r="Y623" s="2322"/>
      <c r="Z623" s="2322"/>
      <c r="AA623" s="2322"/>
      <c r="AB623" s="2322"/>
      <c r="AC623" s="2322"/>
      <c r="AD623" s="2322"/>
      <c r="AE623" s="2322"/>
      <c r="AF623" s="2322"/>
      <c r="AG623" s="2322"/>
      <c r="AH623" s="2322"/>
      <c r="AI623" s="2322"/>
      <c r="AJ623" s="2322"/>
      <c r="AK623" s="2322"/>
      <c r="AL623" s="2322"/>
      <c r="AM623" s="2322"/>
      <c r="AN623" s="2322"/>
      <c r="AO623" s="2322"/>
      <c r="AP623" s="2322"/>
      <c r="AQ623" s="2322"/>
      <c r="AR623" s="2322"/>
      <c r="AS623" s="2322"/>
      <c r="AT623" s="2322"/>
      <c r="AU623" s="2322"/>
      <c r="AV623" s="2322"/>
      <c r="AW623" s="2322"/>
      <c r="AX623" s="2322"/>
      <c r="AY623" s="2322"/>
      <c r="AZ623" s="2322"/>
      <c r="BA623" s="2322"/>
      <c r="BB623" s="2322"/>
      <c r="BC623" s="2322"/>
      <c r="BD623" s="2322"/>
      <c r="BE623" s="2322"/>
      <c r="BF623" s="2322"/>
      <c r="BG623" s="2322"/>
      <c r="BH623" s="2322"/>
      <c r="BI623" s="2322"/>
      <c r="BJ623" s="2322"/>
      <c r="BK623" s="2322"/>
      <c r="BL623" s="2322"/>
      <c r="BM623" s="2322"/>
      <c r="BN623" s="2322"/>
      <c r="BO623" s="2322"/>
      <c r="BP623" s="2322"/>
      <c r="BQ623" s="2322"/>
      <c r="BR623" s="2322"/>
      <c r="BS623" s="2322"/>
      <c r="BT623" s="2322"/>
      <c r="BU623" s="2322"/>
      <c r="BV623" s="2322"/>
      <c r="BW623" s="2322"/>
      <c r="BX623" s="2322"/>
      <c r="BY623" s="2322"/>
      <c r="BZ623" s="2322"/>
      <c r="CA623" s="2322"/>
      <c r="CB623" s="2322"/>
      <c r="CC623" s="2322"/>
      <c r="CD623" s="2322"/>
      <c r="CE623" s="2322"/>
      <c r="CF623" s="2322"/>
      <c r="CG623" s="2322"/>
      <c r="CH623" s="2322"/>
      <c r="CI623" s="2322"/>
      <c r="CJ623" s="2322"/>
      <c r="CK623" s="2322"/>
      <c r="CL623" s="2322"/>
      <c r="CM623" s="2322"/>
      <c r="CN623" s="2322"/>
      <c r="CO623" s="2322"/>
      <c r="CP623" s="2322"/>
      <c r="CQ623" s="2322"/>
      <c r="CR623" s="2322"/>
      <c r="CS623" s="2322"/>
      <c r="CT623" s="2322"/>
      <c r="CU623" s="2322"/>
      <c r="CV623" s="2322"/>
    </row>
    <row r="624" spans="1:100" ht="15.75" customHeight="1">
      <c r="A624" s="2328"/>
      <c r="B624" s="2322"/>
      <c r="C624" s="2322"/>
      <c r="D624" s="2322"/>
      <c r="E624" s="2322"/>
      <c r="F624" s="2322"/>
      <c r="G624" s="2322"/>
      <c r="H624" s="2322"/>
      <c r="I624" s="2322"/>
      <c r="J624" s="2322"/>
      <c r="K624" s="2322"/>
      <c r="L624" s="2322"/>
      <c r="M624" s="2322"/>
      <c r="N624" s="2322"/>
      <c r="O624" s="2322"/>
      <c r="P624" s="2322"/>
      <c r="Q624" s="2322"/>
      <c r="R624" s="2322"/>
      <c r="S624" s="2322"/>
      <c r="T624" s="2322"/>
      <c r="U624" s="2322"/>
      <c r="V624" s="2322"/>
      <c r="W624" s="2322"/>
      <c r="X624" s="2322"/>
      <c r="Y624" s="2322"/>
      <c r="Z624" s="2322"/>
      <c r="AA624" s="2322"/>
      <c r="AB624" s="2322"/>
      <c r="AC624" s="2322"/>
      <c r="AD624" s="2322"/>
      <c r="AE624" s="2322"/>
      <c r="AF624" s="2322"/>
      <c r="AG624" s="2322"/>
      <c r="AH624" s="2322"/>
      <c r="AI624" s="2322"/>
      <c r="AJ624" s="2322"/>
      <c r="AK624" s="2322"/>
      <c r="AL624" s="2322"/>
      <c r="AM624" s="2322"/>
      <c r="AN624" s="2322"/>
      <c r="AO624" s="2322"/>
      <c r="AP624" s="2322"/>
      <c r="AQ624" s="2322"/>
      <c r="AR624" s="2322"/>
      <c r="AS624" s="2322"/>
      <c r="AT624" s="2322"/>
      <c r="AU624" s="2322"/>
      <c r="AV624" s="2322"/>
      <c r="AW624" s="2322"/>
      <c r="AX624" s="2322"/>
      <c r="AY624" s="2322"/>
      <c r="AZ624" s="2322"/>
      <c r="BA624" s="2322"/>
      <c r="BB624" s="2322"/>
      <c r="BC624" s="2322"/>
      <c r="BD624" s="2322"/>
      <c r="BE624" s="2322"/>
      <c r="BF624" s="2322"/>
      <c r="BG624" s="2322"/>
      <c r="BH624" s="2322"/>
      <c r="BI624" s="2322"/>
      <c r="BJ624" s="2322"/>
      <c r="BK624" s="2322"/>
      <c r="BL624" s="2322"/>
      <c r="BM624" s="2322"/>
      <c r="BN624" s="2322"/>
      <c r="BO624" s="2322"/>
      <c r="BP624" s="2322"/>
      <c r="BQ624" s="2322"/>
      <c r="BR624" s="2322"/>
      <c r="BS624" s="2322"/>
      <c r="BT624" s="2322"/>
      <c r="BU624" s="2322"/>
      <c r="BV624" s="2322"/>
      <c r="BW624" s="2322"/>
      <c r="BX624" s="2322"/>
      <c r="BY624" s="2322"/>
      <c r="BZ624" s="2322"/>
      <c r="CA624" s="2322"/>
      <c r="CB624" s="2322"/>
      <c r="CC624" s="2322"/>
      <c r="CD624" s="2322"/>
      <c r="CE624" s="2322"/>
      <c r="CF624" s="2322"/>
      <c r="CG624" s="2322"/>
      <c r="CH624" s="2322"/>
      <c r="CI624" s="2322"/>
      <c r="CJ624" s="2322"/>
      <c r="CK624" s="2322"/>
      <c r="CL624" s="2322"/>
      <c r="CM624" s="2322"/>
      <c r="CN624" s="2322"/>
      <c r="CO624" s="2322"/>
      <c r="CP624" s="2322"/>
      <c r="CQ624" s="2322"/>
      <c r="CR624" s="2322"/>
      <c r="CS624" s="2322"/>
      <c r="CT624" s="2322"/>
      <c r="CU624" s="2322"/>
      <c r="CV624" s="2322"/>
    </row>
    <row r="625" spans="1:100" ht="15.75" customHeight="1">
      <c r="A625" s="2328"/>
      <c r="B625" s="2322"/>
      <c r="C625" s="2322"/>
      <c r="D625" s="2322"/>
      <c r="E625" s="2322"/>
      <c r="F625" s="2322"/>
      <c r="G625" s="2322"/>
      <c r="H625" s="2322"/>
      <c r="I625" s="2322"/>
      <c r="J625" s="2322"/>
      <c r="K625" s="2322"/>
      <c r="L625" s="2322"/>
      <c r="M625" s="2322"/>
      <c r="N625" s="2322"/>
      <c r="O625" s="2322"/>
      <c r="P625" s="2322"/>
      <c r="Q625" s="2322"/>
      <c r="R625" s="2322"/>
      <c r="S625" s="2322"/>
      <c r="T625" s="2322"/>
      <c r="U625" s="2322"/>
      <c r="V625" s="2322"/>
      <c r="W625" s="2322"/>
      <c r="X625" s="2322"/>
      <c r="Y625" s="2322"/>
      <c r="Z625" s="2322"/>
      <c r="AA625" s="2322"/>
      <c r="AB625" s="2322"/>
      <c r="AC625" s="2322"/>
      <c r="AD625" s="2322"/>
      <c r="AE625" s="2322"/>
      <c r="AF625" s="2322"/>
      <c r="AG625" s="2322"/>
      <c r="AH625" s="2322"/>
      <c r="AI625" s="2322"/>
      <c r="AJ625" s="2322"/>
      <c r="AK625" s="2322"/>
      <c r="AL625" s="2322"/>
      <c r="AM625" s="2322"/>
      <c r="AN625" s="2322"/>
      <c r="AO625" s="2322"/>
      <c r="AP625" s="2322"/>
      <c r="AQ625" s="2322"/>
      <c r="AR625" s="2322"/>
      <c r="AS625" s="2322"/>
      <c r="AT625" s="2322"/>
      <c r="AU625" s="2322"/>
      <c r="AV625" s="2322"/>
      <c r="AW625" s="2322"/>
      <c r="AX625" s="2322"/>
      <c r="AY625" s="2322"/>
      <c r="AZ625" s="2322"/>
      <c r="BA625" s="2322"/>
      <c r="BB625" s="2322"/>
      <c r="BC625" s="2322"/>
      <c r="BD625" s="2322"/>
      <c r="BE625" s="2322"/>
      <c r="BF625" s="2322"/>
      <c r="BG625" s="2322"/>
      <c r="BH625" s="2322"/>
      <c r="BI625" s="2322"/>
      <c r="BJ625" s="2322"/>
      <c r="BK625" s="2322"/>
      <c r="BL625" s="2322"/>
      <c r="BM625" s="2322"/>
      <c r="BN625" s="2322"/>
      <c r="BO625" s="2322"/>
      <c r="BP625" s="2322"/>
      <c r="BQ625" s="2322"/>
      <c r="BR625" s="2322"/>
      <c r="BS625" s="2322"/>
      <c r="BT625" s="2322"/>
      <c r="BU625" s="2322"/>
      <c r="BV625" s="2322"/>
      <c r="BW625" s="2322"/>
      <c r="BX625" s="2322"/>
      <c r="BY625" s="2322"/>
      <c r="BZ625" s="2322"/>
      <c r="CA625" s="2322"/>
      <c r="CB625" s="2322"/>
      <c r="CC625" s="2322"/>
      <c r="CD625" s="2322"/>
      <c r="CE625" s="2322"/>
      <c r="CF625" s="2322"/>
      <c r="CG625" s="2322"/>
      <c r="CH625" s="2322"/>
      <c r="CI625" s="2322"/>
      <c r="CJ625" s="2322"/>
      <c r="CK625" s="2322"/>
      <c r="CL625" s="2322"/>
      <c r="CM625" s="2322"/>
      <c r="CN625" s="2322"/>
      <c r="CO625" s="2322"/>
      <c r="CP625" s="2322"/>
      <c r="CQ625" s="2322"/>
      <c r="CR625" s="2322"/>
      <c r="CS625" s="2322"/>
      <c r="CT625" s="2322"/>
      <c r="CU625" s="2322"/>
      <c r="CV625" s="2322"/>
    </row>
    <row r="626" spans="1:100" ht="15.75" customHeight="1">
      <c r="A626" s="2328"/>
      <c r="B626" s="2322"/>
      <c r="C626" s="2322"/>
      <c r="D626" s="2322"/>
      <c r="E626" s="2322"/>
      <c r="F626" s="2322"/>
      <c r="G626" s="2322"/>
      <c r="H626" s="2322"/>
      <c r="I626" s="2322"/>
      <c r="J626" s="2322"/>
      <c r="K626" s="2322"/>
      <c r="L626" s="2322"/>
      <c r="M626" s="2322"/>
      <c r="N626" s="2322"/>
      <c r="O626" s="2322"/>
      <c r="P626" s="2322"/>
      <c r="Q626" s="2322"/>
      <c r="R626" s="2322"/>
      <c r="S626" s="2322"/>
      <c r="T626" s="2322"/>
      <c r="U626" s="2322"/>
      <c r="V626" s="2322"/>
      <c r="W626" s="2322"/>
      <c r="X626" s="2322"/>
      <c r="Y626" s="2322"/>
      <c r="Z626" s="2322"/>
      <c r="AA626" s="2322"/>
      <c r="AB626" s="2322"/>
      <c r="AC626" s="2322"/>
      <c r="AD626" s="2322"/>
      <c r="AE626" s="2322"/>
      <c r="AF626" s="2322"/>
      <c r="AG626" s="2322"/>
      <c r="AH626" s="2322"/>
      <c r="AI626" s="2322"/>
      <c r="AJ626" s="2322"/>
      <c r="AK626" s="2322"/>
      <c r="AL626" s="2322"/>
      <c r="AM626" s="2322"/>
      <c r="AN626" s="2322"/>
      <c r="AO626" s="2322"/>
      <c r="AP626" s="2322"/>
      <c r="AQ626" s="2322"/>
      <c r="AR626" s="2322"/>
      <c r="AS626" s="2322"/>
      <c r="AT626" s="2322"/>
      <c r="AU626" s="2322"/>
      <c r="AV626" s="2322"/>
      <c r="AW626" s="2322"/>
      <c r="AX626" s="2322"/>
      <c r="AY626" s="2322"/>
      <c r="AZ626" s="2322"/>
      <c r="BA626" s="2322"/>
      <c r="BB626" s="2322"/>
      <c r="BC626" s="2322"/>
      <c r="BD626" s="2322"/>
      <c r="BE626" s="2322"/>
      <c r="BF626" s="2322"/>
      <c r="BG626" s="2322"/>
      <c r="BH626" s="2322"/>
      <c r="BI626" s="2322"/>
      <c r="BJ626" s="2322"/>
      <c r="BK626" s="2322"/>
      <c r="BL626" s="2322"/>
      <c r="BM626" s="2322"/>
      <c r="BN626" s="2322"/>
      <c r="BO626" s="2322"/>
      <c r="BP626" s="2322"/>
      <c r="BQ626" s="2322"/>
      <c r="BR626" s="2322"/>
      <c r="BS626" s="2322"/>
      <c r="BT626" s="2322"/>
      <c r="BU626" s="2322"/>
      <c r="BV626" s="2322"/>
      <c r="BW626" s="2322"/>
      <c r="BX626" s="2322"/>
      <c r="BY626" s="2322"/>
      <c r="BZ626" s="2322"/>
      <c r="CA626" s="2322"/>
      <c r="CB626" s="2322"/>
      <c r="CC626" s="2322"/>
      <c r="CD626" s="2322"/>
      <c r="CE626" s="2322"/>
      <c r="CF626" s="2322"/>
      <c r="CG626" s="2322"/>
      <c r="CH626" s="2322"/>
      <c r="CI626" s="2322"/>
      <c r="CJ626" s="2322"/>
      <c r="CK626" s="2322"/>
      <c r="CL626" s="2322"/>
      <c r="CM626" s="2322"/>
      <c r="CN626" s="2322"/>
      <c r="CO626" s="2322"/>
      <c r="CP626" s="2322"/>
      <c r="CQ626" s="2322"/>
      <c r="CR626" s="2322"/>
      <c r="CS626" s="2322"/>
      <c r="CT626" s="2322"/>
      <c r="CU626" s="2322"/>
      <c r="CV626" s="2322"/>
    </row>
    <row r="627" spans="1:100" ht="15.75" customHeight="1">
      <c r="A627" s="2328"/>
      <c r="B627" s="2322"/>
      <c r="C627" s="2322"/>
      <c r="D627" s="2322"/>
      <c r="E627" s="2322"/>
      <c r="F627" s="2322"/>
      <c r="G627" s="2322"/>
      <c r="H627" s="2322"/>
      <c r="I627" s="2322"/>
      <c r="J627" s="2322"/>
      <c r="K627" s="2322"/>
      <c r="L627" s="2322"/>
      <c r="M627" s="2322"/>
      <c r="N627" s="2322"/>
      <c r="O627" s="2322"/>
      <c r="P627" s="2322"/>
      <c r="Q627" s="2322"/>
      <c r="R627" s="2322"/>
      <c r="S627" s="2322"/>
      <c r="T627" s="2322"/>
      <c r="U627" s="2322"/>
      <c r="V627" s="2322"/>
      <c r="W627" s="2322"/>
      <c r="X627" s="2322"/>
      <c r="Y627" s="2322"/>
      <c r="Z627" s="2322"/>
      <c r="AA627" s="2322"/>
      <c r="AB627" s="2322"/>
      <c r="AC627" s="2322"/>
      <c r="AD627" s="2322"/>
      <c r="AE627" s="2322"/>
      <c r="AF627" s="2322"/>
      <c r="AG627" s="2322"/>
      <c r="AH627" s="2322"/>
      <c r="AI627" s="2322"/>
      <c r="AJ627" s="2322"/>
      <c r="AK627" s="2322"/>
      <c r="AL627" s="2322"/>
      <c r="AM627" s="2322"/>
      <c r="AN627" s="2322"/>
      <c r="AO627" s="2322"/>
      <c r="AP627" s="2322"/>
      <c r="AQ627" s="2322"/>
      <c r="AR627" s="2322"/>
      <c r="AS627" s="2322"/>
      <c r="AT627" s="2322"/>
      <c r="AU627" s="2322"/>
      <c r="AV627" s="2322"/>
      <c r="AW627" s="2322"/>
      <c r="AX627" s="2322"/>
      <c r="AY627" s="2322"/>
      <c r="AZ627" s="2322"/>
      <c r="BA627" s="2322"/>
      <c r="BB627" s="2322"/>
      <c r="BC627" s="2322"/>
      <c r="BD627" s="2322"/>
      <c r="BE627" s="2322"/>
      <c r="BF627" s="2322"/>
      <c r="BG627" s="2322"/>
      <c r="BH627" s="2322"/>
      <c r="BI627" s="2322"/>
      <c r="BJ627" s="2322"/>
      <c r="BK627" s="2322"/>
      <c r="BL627" s="2322"/>
      <c r="BM627" s="2322"/>
      <c r="BN627" s="2322"/>
      <c r="BO627" s="2322"/>
      <c r="BP627" s="2322"/>
      <c r="BQ627" s="2322"/>
      <c r="BR627" s="2322"/>
      <c r="BS627" s="2322"/>
      <c r="BT627" s="2322"/>
      <c r="BU627" s="2322"/>
      <c r="BV627" s="2322"/>
      <c r="BW627" s="2322"/>
      <c r="BX627" s="2322"/>
      <c r="BY627" s="2322"/>
      <c r="BZ627" s="2322"/>
      <c r="CA627" s="2322"/>
      <c r="CB627" s="2322"/>
      <c r="CC627" s="2322"/>
      <c r="CD627" s="2322"/>
      <c r="CE627" s="2322"/>
      <c r="CF627" s="2322"/>
      <c r="CG627" s="2322"/>
      <c r="CH627" s="2322"/>
      <c r="CI627" s="2322"/>
      <c r="CJ627" s="2322"/>
      <c r="CK627" s="2322"/>
      <c r="CL627" s="2322"/>
      <c r="CM627" s="2322"/>
      <c r="CN627" s="2322"/>
      <c r="CO627" s="2322"/>
      <c r="CP627" s="2322"/>
      <c r="CQ627" s="2322"/>
      <c r="CR627" s="2322"/>
      <c r="CS627" s="2322"/>
      <c r="CT627" s="2322"/>
      <c r="CU627" s="2322"/>
      <c r="CV627" s="2322"/>
    </row>
    <row r="628" spans="1:100" ht="15.75" customHeight="1">
      <c r="A628" s="2328"/>
      <c r="B628" s="2322"/>
      <c r="C628" s="2322"/>
      <c r="D628" s="2322"/>
      <c r="E628" s="2322"/>
      <c r="F628" s="2322"/>
      <c r="G628" s="2322"/>
      <c r="H628" s="2322"/>
      <c r="I628" s="2322"/>
      <c r="J628" s="2322"/>
      <c r="K628" s="2322"/>
      <c r="L628" s="2322"/>
      <c r="M628" s="2322"/>
      <c r="N628" s="2322"/>
      <c r="O628" s="2322"/>
      <c r="P628" s="2322"/>
      <c r="Q628" s="2322"/>
      <c r="R628" s="2322"/>
      <c r="S628" s="2322"/>
      <c r="T628" s="2322"/>
      <c r="U628" s="2322"/>
      <c r="V628" s="2322"/>
      <c r="W628" s="2322"/>
      <c r="X628" s="2322"/>
      <c r="Y628" s="2322"/>
      <c r="Z628" s="2322"/>
      <c r="AA628" s="2322"/>
      <c r="AB628" s="2322"/>
      <c r="AC628" s="2322"/>
      <c r="AD628" s="2322"/>
      <c r="AE628" s="2322"/>
      <c r="AF628" s="2322"/>
      <c r="AG628" s="2322"/>
      <c r="AH628" s="2322"/>
      <c r="AI628" s="2322"/>
      <c r="AJ628" s="2322"/>
      <c r="AK628" s="2322"/>
      <c r="AL628" s="2322"/>
      <c r="AM628" s="2322"/>
      <c r="AN628" s="2322"/>
      <c r="AO628" s="2322"/>
      <c r="AP628" s="2322"/>
      <c r="AQ628" s="2322"/>
      <c r="AR628" s="2322"/>
      <c r="AS628" s="2322"/>
      <c r="AT628" s="2322"/>
      <c r="AU628" s="2322"/>
      <c r="AV628" s="2322"/>
      <c r="AW628" s="2322"/>
      <c r="AX628" s="2322"/>
      <c r="AY628" s="2322"/>
      <c r="AZ628" s="2322"/>
      <c r="BA628" s="2322"/>
      <c r="BB628" s="2322"/>
      <c r="BC628" s="2322"/>
      <c r="BD628" s="2322"/>
      <c r="BE628" s="2322"/>
      <c r="BF628" s="2322"/>
      <c r="BG628" s="2322"/>
      <c r="BH628" s="2322"/>
      <c r="BI628" s="2322"/>
      <c r="BJ628" s="2322"/>
      <c r="BK628" s="2322"/>
      <c r="BL628" s="2322"/>
      <c r="BM628" s="2322"/>
      <c r="BN628" s="2322"/>
      <c r="BO628" s="2322"/>
      <c r="BP628" s="2322"/>
      <c r="BQ628" s="2322"/>
      <c r="BR628" s="2322"/>
      <c r="BS628" s="2322"/>
      <c r="BT628" s="2322"/>
      <c r="BU628" s="2322"/>
      <c r="BV628" s="2322"/>
      <c r="BW628" s="2322"/>
      <c r="BX628" s="2322"/>
      <c r="BY628" s="2322"/>
      <c r="BZ628" s="2322"/>
      <c r="CA628" s="2322"/>
      <c r="CB628" s="2322"/>
      <c r="CC628" s="2322"/>
      <c r="CD628" s="2322"/>
      <c r="CE628" s="2322"/>
      <c r="CF628" s="2322"/>
      <c r="CG628" s="2322"/>
      <c r="CH628" s="2322"/>
      <c r="CI628" s="2322"/>
      <c r="CJ628" s="2322"/>
      <c r="CK628" s="2322"/>
      <c r="CL628" s="2322"/>
      <c r="CM628" s="2322"/>
      <c r="CN628" s="2322"/>
      <c r="CO628" s="2322"/>
      <c r="CP628" s="2322"/>
      <c r="CQ628" s="2322"/>
      <c r="CR628" s="2322"/>
      <c r="CS628" s="2322"/>
      <c r="CT628" s="2322"/>
      <c r="CU628" s="2322"/>
      <c r="CV628" s="2322"/>
    </row>
    <row r="629" spans="1:100" ht="15.75" customHeight="1">
      <c r="A629" s="2328"/>
      <c r="B629" s="2322"/>
      <c r="C629" s="2322"/>
      <c r="D629" s="2322"/>
      <c r="E629" s="2322"/>
      <c r="F629" s="2322"/>
      <c r="G629" s="2322"/>
      <c r="H629" s="2322"/>
      <c r="I629" s="2322"/>
      <c r="J629" s="2322"/>
      <c r="K629" s="2322"/>
      <c r="L629" s="2322"/>
      <c r="M629" s="2322"/>
      <c r="N629" s="2322"/>
      <c r="O629" s="2322"/>
      <c r="P629" s="2322"/>
      <c r="Q629" s="2322"/>
      <c r="R629" s="2322"/>
      <c r="S629" s="2322"/>
      <c r="T629" s="2322"/>
      <c r="U629" s="2322"/>
      <c r="V629" s="2322"/>
      <c r="W629" s="2322"/>
      <c r="X629" s="2322"/>
      <c r="Y629" s="2322"/>
      <c r="Z629" s="2322"/>
      <c r="AA629" s="2322"/>
      <c r="AB629" s="2322"/>
      <c r="AC629" s="2322"/>
      <c r="AD629" s="2322"/>
      <c r="AE629" s="2322"/>
      <c r="AF629" s="2322"/>
      <c r="AG629" s="2322"/>
      <c r="AH629" s="2322"/>
      <c r="AI629" s="2322"/>
      <c r="AJ629" s="2322"/>
      <c r="AK629" s="2322"/>
      <c r="AL629" s="2322"/>
      <c r="AM629" s="2322"/>
      <c r="AN629" s="2322"/>
      <c r="AO629" s="2322"/>
      <c r="AP629" s="2322"/>
      <c r="AQ629" s="2322"/>
      <c r="AR629" s="2322"/>
      <c r="AS629" s="2322"/>
      <c r="AT629" s="2322"/>
      <c r="AU629" s="2322"/>
      <c r="AV629" s="2322"/>
      <c r="AW629" s="2322"/>
      <c r="AX629" s="2322"/>
      <c r="AY629" s="2322"/>
      <c r="AZ629" s="2322"/>
      <c r="BA629" s="2322"/>
      <c r="BB629" s="2322"/>
      <c r="BC629" s="2322"/>
      <c r="BD629" s="2322"/>
      <c r="BE629" s="2322"/>
      <c r="BF629" s="2322"/>
      <c r="BG629" s="2322"/>
      <c r="BH629" s="2322"/>
      <c r="BI629" s="2322"/>
      <c r="BJ629" s="2322"/>
      <c r="BK629" s="2322"/>
      <c r="BL629" s="2322"/>
      <c r="BM629" s="2322"/>
      <c r="BN629" s="2322"/>
      <c r="BO629" s="2322"/>
      <c r="BP629" s="2322"/>
      <c r="BQ629" s="2322"/>
      <c r="BR629" s="2322"/>
      <c r="BS629" s="2322"/>
      <c r="BT629" s="2322"/>
      <c r="BU629" s="2322"/>
      <c r="BV629" s="2322"/>
      <c r="BW629" s="2322"/>
      <c r="BX629" s="2322"/>
      <c r="BY629" s="2322"/>
      <c r="BZ629" s="2322"/>
      <c r="CA629" s="2322"/>
      <c r="CB629" s="2322"/>
      <c r="CC629" s="2322"/>
      <c r="CD629" s="2322"/>
      <c r="CE629" s="2322"/>
      <c r="CF629" s="2322"/>
      <c r="CG629" s="2322"/>
      <c r="CH629" s="2322"/>
      <c r="CI629" s="2322"/>
      <c r="CJ629" s="2322"/>
      <c r="CK629" s="2322"/>
      <c r="CL629" s="2322"/>
      <c r="CM629" s="2322"/>
      <c r="CN629" s="2322"/>
      <c r="CO629" s="2322"/>
      <c r="CP629" s="2322"/>
      <c r="CQ629" s="2322"/>
      <c r="CR629" s="2322"/>
      <c r="CS629" s="2322"/>
      <c r="CT629" s="2322"/>
      <c r="CU629" s="2322"/>
      <c r="CV629" s="2322"/>
    </row>
    <row r="630" spans="1:100" ht="15.75" customHeight="1">
      <c r="A630" s="2328"/>
      <c r="B630" s="2322"/>
      <c r="C630" s="2322"/>
      <c r="D630" s="2322"/>
      <c r="E630" s="2322"/>
      <c r="F630" s="2322"/>
      <c r="G630" s="2322"/>
      <c r="H630" s="2322"/>
      <c r="I630" s="2322"/>
      <c r="J630" s="2322"/>
      <c r="K630" s="2322"/>
      <c r="L630" s="2322"/>
      <c r="M630" s="2322"/>
      <c r="N630" s="2322"/>
      <c r="O630" s="2322"/>
      <c r="P630" s="2322"/>
      <c r="Q630" s="2322"/>
      <c r="R630" s="2322"/>
      <c r="S630" s="2322"/>
      <c r="T630" s="2322"/>
      <c r="U630" s="2322"/>
      <c r="V630" s="2322"/>
      <c r="W630" s="2322"/>
      <c r="X630" s="2322"/>
      <c r="Y630" s="2322"/>
      <c r="Z630" s="2322"/>
      <c r="AA630" s="2322"/>
      <c r="AB630" s="2322"/>
      <c r="AC630" s="2322"/>
      <c r="AD630" s="2322"/>
      <c r="AE630" s="2322"/>
      <c r="AF630" s="2322"/>
      <c r="AG630" s="2322"/>
      <c r="AH630" s="2322"/>
      <c r="AI630" s="2322"/>
      <c r="AJ630" s="2322"/>
      <c r="AK630" s="2322"/>
      <c r="AL630" s="2322"/>
      <c r="AM630" s="2322"/>
      <c r="AN630" s="2322"/>
      <c r="AO630" s="2322"/>
      <c r="AP630" s="2322"/>
      <c r="AQ630" s="2322"/>
      <c r="AR630" s="2322"/>
      <c r="AS630" s="2322"/>
      <c r="AT630" s="2322"/>
      <c r="AU630" s="2322"/>
      <c r="AV630" s="2322"/>
      <c r="AW630" s="2322"/>
      <c r="AX630" s="2322"/>
      <c r="AY630" s="2322"/>
      <c r="AZ630" s="2322"/>
      <c r="BA630" s="2322"/>
      <c r="BB630" s="2322"/>
      <c r="BC630" s="2322"/>
      <c r="BD630" s="2322"/>
      <c r="BE630" s="2322"/>
      <c r="BF630" s="2322"/>
      <c r="BG630" s="2322"/>
      <c r="BH630" s="2322"/>
      <c r="BI630" s="2322"/>
      <c r="BJ630" s="2322"/>
      <c r="BK630" s="2322"/>
      <c r="BL630" s="2322"/>
      <c r="BM630" s="2322"/>
      <c r="BN630" s="2322"/>
      <c r="BO630" s="2322"/>
      <c r="BP630" s="2322"/>
      <c r="BQ630" s="2322"/>
      <c r="BR630" s="2322"/>
      <c r="BS630" s="2322"/>
      <c r="BT630" s="2322"/>
      <c r="BU630" s="2322"/>
      <c r="BV630" s="2322"/>
      <c r="BW630" s="2322"/>
      <c r="BX630" s="2322"/>
      <c r="BY630" s="2322"/>
      <c r="BZ630" s="2322"/>
      <c r="CA630" s="2322"/>
      <c r="CB630" s="2322"/>
      <c r="CC630" s="2322"/>
      <c r="CD630" s="2322"/>
      <c r="CE630" s="2322"/>
      <c r="CF630" s="2322"/>
      <c r="CG630" s="2322"/>
      <c r="CH630" s="2322"/>
      <c r="CI630" s="2322"/>
      <c r="CJ630" s="2322"/>
      <c r="CK630" s="2322"/>
      <c r="CL630" s="2322"/>
      <c r="CM630" s="2322"/>
      <c r="CN630" s="2322"/>
      <c r="CO630" s="2322"/>
      <c r="CP630" s="2322"/>
      <c r="CQ630" s="2322"/>
      <c r="CR630" s="2322"/>
      <c r="CS630" s="2322"/>
      <c r="CT630" s="2322"/>
      <c r="CU630" s="2322"/>
      <c r="CV630" s="2322"/>
    </row>
    <row r="631" spans="1:100" ht="15.75" customHeight="1">
      <c r="A631" s="2328"/>
      <c r="B631" s="2322"/>
      <c r="C631" s="2322"/>
      <c r="D631" s="2322"/>
      <c r="E631" s="2322"/>
      <c r="F631" s="2322"/>
      <c r="G631" s="2322"/>
      <c r="H631" s="2322"/>
      <c r="I631" s="2322"/>
      <c r="J631" s="2322"/>
      <c r="K631" s="2322"/>
      <c r="L631" s="2322"/>
      <c r="M631" s="2322"/>
      <c r="N631" s="2322"/>
      <c r="O631" s="2322"/>
      <c r="P631" s="2322"/>
      <c r="Q631" s="2322"/>
      <c r="R631" s="2322"/>
      <c r="S631" s="2322"/>
      <c r="T631" s="2322"/>
      <c r="U631" s="2322"/>
      <c r="V631" s="2322"/>
      <c r="W631" s="2322"/>
      <c r="X631" s="2322"/>
      <c r="Y631" s="2322"/>
      <c r="Z631" s="2322"/>
      <c r="AA631" s="2322"/>
      <c r="AB631" s="2322"/>
      <c r="AC631" s="2322"/>
      <c r="AD631" s="2322"/>
      <c r="AE631" s="2322"/>
      <c r="AF631" s="2322"/>
      <c r="AG631" s="2322"/>
      <c r="AH631" s="2322"/>
      <c r="AI631" s="2322"/>
      <c r="AJ631" s="2322"/>
      <c r="AK631" s="2322"/>
      <c r="AL631" s="2322"/>
      <c r="AM631" s="2322"/>
      <c r="AN631" s="2322"/>
      <c r="AO631" s="2322"/>
      <c r="AP631" s="2322"/>
      <c r="AQ631" s="2322"/>
      <c r="AR631" s="2322"/>
      <c r="AS631" s="2322"/>
      <c r="AT631" s="2322"/>
      <c r="AU631" s="2322"/>
      <c r="AV631" s="2322"/>
      <c r="AW631" s="2322"/>
      <c r="AX631" s="2322"/>
      <c r="AY631" s="2322"/>
      <c r="AZ631" s="2322"/>
      <c r="BA631" s="2322"/>
      <c r="BB631" s="2322"/>
      <c r="BC631" s="2322"/>
      <c r="BD631" s="2322"/>
      <c r="BE631" s="2322"/>
      <c r="BF631" s="2322"/>
      <c r="BG631" s="2322"/>
      <c r="BH631" s="2322"/>
      <c r="BI631" s="2322"/>
      <c r="BJ631" s="2322"/>
      <c r="BK631" s="2322"/>
      <c r="BL631" s="2322"/>
      <c r="BM631" s="2322"/>
      <c r="BN631" s="2322"/>
      <c r="BO631" s="2322"/>
      <c r="BP631" s="2322"/>
      <c r="BQ631" s="2322"/>
      <c r="BR631" s="2322"/>
      <c r="BS631" s="2322"/>
      <c r="BT631" s="2322"/>
      <c r="BU631" s="2322"/>
      <c r="BV631" s="2322"/>
      <c r="BW631" s="2322"/>
      <c r="BX631" s="2322"/>
      <c r="BY631" s="2322"/>
      <c r="BZ631" s="2322"/>
      <c r="CA631" s="2322"/>
      <c r="CB631" s="2322"/>
      <c r="CC631" s="2322"/>
      <c r="CD631" s="2322"/>
      <c r="CE631" s="2322"/>
      <c r="CF631" s="2322"/>
      <c r="CG631" s="2322"/>
      <c r="CH631" s="2322"/>
      <c r="CI631" s="2322"/>
      <c r="CJ631" s="2322"/>
      <c r="CK631" s="2322"/>
      <c r="CL631" s="2322"/>
      <c r="CM631" s="2322"/>
      <c r="CN631" s="2322"/>
      <c r="CO631" s="2322"/>
      <c r="CP631" s="2322"/>
      <c r="CQ631" s="2322"/>
      <c r="CR631" s="2322"/>
      <c r="CS631" s="2322"/>
      <c r="CT631" s="2322"/>
      <c r="CU631" s="2322"/>
      <c r="CV631" s="2322"/>
    </row>
    <row r="632" spans="1:100" ht="15.75" customHeight="1">
      <c r="A632" s="2328"/>
      <c r="B632" s="2322"/>
      <c r="C632" s="2322"/>
      <c r="D632" s="2322"/>
      <c r="E632" s="2322"/>
      <c r="F632" s="2322"/>
      <c r="G632" s="2322"/>
      <c r="H632" s="2322"/>
      <c r="I632" s="2322"/>
      <c r="J632" s="2322"/>
      <c r="K632" s="2322"/>
      <c r="L632" s="2322"/>
      <c r="M632" s="2322"/>
      <c r="N632" s="2322"/>
      <c r="O632" s="2322"/>
      <c r="P632" s="2322"/>
      <c r="Q632" s="2322"/>
      <c r="R632" s="2322"/>
      <c r="S632" s="2322"/>
      <c r="T632" s="2322"/>
      <c r="U632" s="2322"/>
      <c r="V632" s="2322"/>
      <c r="W632" s="2322"/>
      <c r="X632" s="2322"/>
      <c r="Y632" s="2322"/>
      <c r="Z632" s="2322"/>
      <c r="AA632" s="2322"/>
      <c r="AB632" s="2322"/>
      <c r="AC632" s="2322"/>
      <c r="AD632" s="2322"/>
      <c r="AE632" s="2322"/>
      <c r="AF632" s="2322"/>
      <c r="AG632" s="2322"/>
      <c r="AH632" s="2322"/>
      <c r="AI632" s="2322"/>
      <c r="AJ632" s="2322"/>
      <c r="AK632" s="2322"/>
      <c r="AL632" s="2322"/>
      <c r="AM632" s="2322"/>
      <c r="AN632" s="2322"/>
      <c r="AO632" s="2322"/>
      <c r="AP632" s="2322"/>
      <c r="AQ632" s="2322"/>
      <c r="AR632" s="2322"/>
      <c r="AS632" s="2322"/>
      <c r="AT632" s="2322"/>
      <c r="AU632" s="2322"/>
      <c r="AV632" s="2322"/>
      <c r="AW632" s="2322"/>
      <c r="AX632" s="2322"/>
      <c r="AY632" s="2322"/>
      <c r="AZ632" s="2322"/>
      <c r="BA632" s="2322"/>
      <c r="BB632" s="2322"/>
      <c r="BC632" s="2322"/>
      <c r="BD632" s="2322"/>
      <c r="BE632" s="2322"/>
      <c r="BF632" s="2322"/>
      <c r="BG632" s="2322"/>
      <c r="BH632" s="2322"/>
      <c r="BI632" s="2322"/>
      <c r="BJ632" s="2322"/>
      <c r="BK632" s="2322"/>
      <c r="BL632" s="2322"/>
      <c r="BM632" s="2322"/>
      <c r="BN632" s="2322"/>
      <c r="BO632" s="2322"/>
      <c r="BP632" s="2322"/>
      <c r="BQ632" s="2322"/>
      <c r="BR632" s="2322"/>
      <c r="BS632" s="2322"/>
      <c r="BT632" s="2322"/>
      <c r="BU632" s="2322"/>
      <c r="BV632" s="2322"/>
      <c r="BW632" s="2322"/>
      <c r="BX632" s="2322"/>
      <c r="BY632" s="2322"/>
      <c r="BZ632" s="2322"/>
      <c r="CA632" s="2322"/>
      <c r="CB632" s="2322"/>
      <c r="CC632" s="2322"/>
      <c r="CD632" s="2322"/>
      <c r="CE632" s="2322"/>
      <c r="CF632" s="2322"/>
      <c r="CG632" s="2322"/>
      <c r="CH632" s="2322"/>
      <c r="CI632" s="2322"/>
      <c r="CJ632" s="2322"/>
      <c r="CK632" s="2322"/>
      <c r="CL632" s="2322"/>
      <c r="CM632" s="2322"/>
      <c r="CN632" s="2322"/>
      <c r="CO632" s="2322"/>
      <c r="CP632" s="2322"/>
      <c r="CQ632" s="2322"/>
      <c r="CR632" s="2322"/>
      <c r="CS632" s="2322"/>
      <c r="CT632" s="2322"/>
      <c r="CU632" s="2322"/>
      <c r="CV632" s="2322"/>
    </row>
    <row r="633" spans="1:100" ht="15.75" customHeight="1">
      <c r="A633" s="2328"/>
      <c r="B633" s="2322"/>
      <c r="C633" s="2322"/>
      <c r="D633" s="2322"/>
      <c r="E633" s="2322"/>
      <c r="F633" s="2322"/>
      <c r="G633" s="2322"/>
      <c r="H633" s="2322"/>
      <c r="I633" s="2322"/>
      <c r="J633" s="2322"/>
      <c r="K633" s="2322"/>
      <c r="L633" s="2322"/>
      <c r="M633" s="2322"/>
      <c r="N633" s="2322"/>
      <c r="O633" s="2322"/>
      <c r="P633" s="2322"/>
      <c r="Q633" s="2322"/>
      <c r="R633" s="2322"/>
      <c r="S633" s="2322"/>
      <c r="T633" s="2322"/>
      <c r="U633" s="2322"/>
      <c r="V633" s="2322"/>
      <c r="W633" s="2322"/>
      <c r="X633" s="2322"/>
      <c r="Y633" s="2322"/>
      <c r="Z633" s="2322"/>
      <c r="AA633" s="2322"/>
      <c r="AB633" s="2322"/>
      <c r="AC633" s="2322"/>
      <c r="AD633" s="2322"/>
      <c r="AE633" s="2322"/>
      <c r="AF633" s="2322"/>
      <c r="AG633" s="2322"/>
      <c r="AH633" s="2322"/>
      <c r="AI633" s="2322"/>
      <c r="AJ633" s="2322"/>
      <c r="AK633" s="2322"/>
      <c r="AL633" s="2322"/>
      <c r="AM633" s="2322"/>
      <c r="AN633" s="2322"/>
      <c r="AO633" s="2322"/>
      <c r="AP633" s="2322"/>
      <c r="AQ633" s="2322"/>
      <c r="AR633" s="2322"/>
      <c r="AS633" s="2322"/>
      <c r="AT633" s="2322"/>
      <c r="AU633" s="2322"/>
      <c r="AV633" s="2322"/>
      <c r="AW633" s="2322"/>
      <c r="AX633" s="2322"/>
      <c r="AY633" s="2322"/>
      <c r="AZ633" s="2322"/>
      <c r="BA633" s="2322"/>
      <c r="BB633" s="2322"/>
      <c r="BC633" s="2322"/>
      <c r="BD633" s="2322"/>
      <c r="BE633" s="2322"/>
      <c r="BF633" s="2322"/>
      <c r="BG633" s="2322"/>
      <c r="BH633" s="2322"/>
      <c r="BI633" s="2322"/>
      <c r="BJ633" s="2322"/>
      <c r="BK633" s="2322"/>
      <c r="BL633" s="2322"/>
      <c r="BM633" s="2322"/>
      <c r="BN633" s="2322"/>
      <c r="BO633" s="2322"/>
      <c r="BP633" s="2322"/>
      <c r="BQ633" s="2322"/>
      <c r="BR633" s="2322"/>
      <c r="BS633" s="2322"/>
      <c r="BT633" s="2322"/>
      <c r="BU633" s="2322"/>
      <c r="BV633" s="2322"/>
      <c r="BW633" s="2322"/>
      <c r="BX633" s="2322"/>
      <c r="BY633" s="2322"/>
      <c r="BZ633" s="2322"/>
      <c r="CA633" s="2322"/>
      <c r="CB633" s="2322"/>
      <c r="CC633" s="2322"/>
      <c r="CD633" s="2322"/>
      <c r="CE633" s="2322"/>
      <c r="CF633" s="2322"/>
      <c r="CG633" s="2322"/>
      <c r="CH633" s="2322"/>
      <c r="CI633" s="2322"/>
      <c r="CJ633" s="2322"/>
      <c r="CK633" s="2322"/>
      <c r="CL633" s="2322"/>
      <c r="CM633" s="2322"/>
      <c r="CN633" s="2322"/>
      <c r="CO633" s="2322"/>
      <c r="CP633" s="2322"/>
      <c r="CQ633" s="2322"/>
      <c r="CR633" s="2322"/>
      <c r="CS633" s="2322"/>
      <c r="CT633" s="2322"/>
      <c r="CU633" s="2322"/>
      <c r="CV633" s="2322"/>
    </row>
    <row r="634" spans="1:100" ht="15.75" customHeight="1">
      <c r="A634" s="2328"/>
      <c r="B634" s="2322"/>
      <c r="C634" s="2322"/>
      <c r="D634" s="2322"/>
      <c r="E634" s="2322"/>
      <c r="F634" s="2322"/>
      <c r="G634" s="2322"/>
      <c r="H634" s="2322"/>
      <c r="I634" s="2322"/>
      <c r="J634" s="2322"/>
      <c r="K634" s="2322"/>
      <c r="L634" s="2322"/>
      <c r="M634" s="2322"/>
      <c r="N634" s="2322"/>
      <c r="O634" s="2322"/>
      <c r="P634" s="2322"/>
      <c r="Q634" s="2322"/>
      <c r="R634" s="2322"/>
      <c r="S634" s="2322"/>
      <c r="T634" s="2322"/>
      <c r="U634" s="2322"/>
      <c r="V634" s="2322"/>
      <c r="W634" s="2322"/>
      <c r="X634" s="2322"/>
      <c r="Y634" s="2322"/>
      <c r="Z634" s="2322"/>
      <c r="AA634" s="2322"/>
      <c r="AB634" s="2322"/>
      <c r="AC634" s="2322"/>
      <c r="AD634" s="2322"/>
      <c r="AE634" s="2322"/>
      <c r="AF634" s="2322"/>
      <c r="AG634" s="2322"/>
      <c r="AH634" s="2322"/>
      <c r="AI634" s="2322"/>
      <c r="AJ634" s="2322"/>
      <c r="AK634" s="2322"/>
      <c r="AL634" s="2322"/>
      <c r="AM634" s="2322"/>
      <c r="AN634" s="2322"/>
      <c r="AO634" s="2322"/>
      <c r="AP634" s="2322"/>
      <c r="AQ634" s="2322"/>
      <c r="AR634" s="2322"/>
      <c r="AS634" s="2322"/>
      <c r="AT634" s="2322"/>
      <c r="AU634" s="2322"/>
      <c r="AV634" s="2322"/>
      <c r="AW634" s="2322"/>
      <c r="AX634" s="2322"/>
      <c r="AY634" s="2322"/>
      <c r="AZ634" s="2322"/>
      <c r="BA634" s="2322"/>
      <c r="BB634" s="2322"/>
      <c r="BC634" s="2322"/>
      <c r="BD634" s="2322"/>
      <c r="BE634" s="2322"/>
      <c r="BF634" s="2322"/>
      <c r="BG634" s="2322"/>
      <c r="BH634" s="2322"/>
      <c r="BI634" s="2322"/>
      <c r="BJ634" s="2322"/>
      <c r="BK634" s="2322"/>
      <c r="BL634" s="2322"/>
      <c r="BM634" s="2322"/>
      <c r="BN634" s="2322"/>
      <c r="BO634" s="2322"/>
      <c r="BP634" s="2322"/>
      <c r="BQ634" s="2322"/>
      <c r="BR634" s="2322"/>
      <c r="BS634" s="2322"/>
      <c r="BT634" s="2322"/>
      <c r="BU634" s="2322"/>
      <c r="BV634" s="2322"/>
      <c r="BW634" s="2322"/>
      <c r="BX634" s="2322"/>
      <c r="BY634" s="2322"/>
      <c r="BZ634" s="2322"/>
      <c r="CA634" s="2322"/>
      <c r="CB634" s="2322"/>
      <c r="CC634" s="2322"/>
      <c r="CD634" s="2322"/>
      <c r="CE634" s="2322"/>
      <c r="CF634" s="2322"/>
      <c r="CG634" s="2322"/>
      <c r="CH634" s="2322"/>
      <c r="CI634" s="2322"/>
      <c r="CJ634" s="2322"/>
      <c r="CK634" s="2322"/>
      <c r="CL634" s="2322"/>
      <c r="CM634" s="2322"/>
      <c r="CN634" s="2322"/>
      <c r="CO634" s="2322"/>
      <c r="CP634" s="2322"/>
      <c r="CQ634" s="2322"/>
      <c r="CR634" s="2322"/>
      <c r="CS634" s="2322"/>
      <c r="CT634" s="2322"/>
      <c r="CU634" s="2322"/>
      <c r="CV634" s="2322"/>
    </row>
    <row r="635" spans="1:100" ht="15.75" customHeight="1">
      <c r="A635" s="2328"/>
      <c r="B635" s="2322"/>
      <c r="C635" s="2322"/>
      <c r="D635" s="2322"/>
      <c r="E635" s="2322"/>
      <c r="F635" s="2322"/>
      <c r="G635" s="2322"/>
      <c r="H635" s="2322"/>
      <c r="I635" s="2322"/>
      <c r="J635" s="2322"/>
      <c r="K635" s="2322"/>
      <c r="L635" s="2322"/>
      <c r="M635" s="2322"/>
      <c r="N635" s="2322"/>
      <c r="O635" s="2322"/>
      <c r="P635" s="2322"/>
      <c r="Q635" s="2322"/>
      <c r="R635" s="2322"/>
      <c r="S635" s="2322"/>
      <c r="T635" s="2322"/>
      <c r="U635" s="2322"/>
      <c r="V635" s="2322"/>
      <c r="W635" s="2322"/>
      <c r="X635" s="2322"/>
      <c r="Y635" s="2322"/>
      <c r="Z635" s="2322"/>
      <c r="AA635" s="2322"/>
      <c r="AB635" s="2322"/>
      <c r="AC635" s="2322"/>
      <c r="AD635" s="2322"/>
      <c r="AE635" s="2322"/>
      <c r="AF635" s="2322"/>
      <c r="AG635" s="2322"/>
      <c r="AH635" s="2322"/>
      <c r="AI635" s="2322"/>
      <c r="AJ635" s="2322"/>
      <c r="AK635" s="2322"/>
      <c r="AL635" s="2322"/>
      <c r="AM635" s="2322"/>
      <c r="AN635" s="2322"/>
      <c r="AO635" s="2322"/>
      <c r="AP635" s="2322"/>
      <c r="AQ635" s="2322"/>
      <c r="AR635" s="2322"/>
      <c r="AS635" s="2322"/>
      <c r="AT635" s="2322"/>
      <c r="AU635" s="2322"/>
      <c r="AV635" s="2322"/>
      <c r="AW635" s="2322"/>
      <c r="AX635" s="2322"/>
      <c r="AY635" s="2322"/>
      <c r="AZ635" s="2322"/>
      <c r="BA635" s="2322"/>
      <c r="BB635" s="2322"/>
      <c r="BC635" s="2322"/>
      <c r="BD635" s="2322"/>
      <c r="BE635" s="2322"/>
      <c r="BF635" s="2322"/>
      <c r="BG635" s="2322"/>
      <c r="BH635" s="2322"/>
      <c r="BI635" s="2322"/>
      <c r="BJ635" s="2322"/>
      <c r="BK635" s="2322"/>
      <c r="BL635" s="2322"/>
      <c r="BM635" s="2322"/>
      <c r="BN635" s="2322"/>
      <c r="BO635" s="2322"/>
      <c r="BP635" s="2322"/>
      <c r="BQ635" s="2322"/>
      <c r="BR635" s="2322"/>
      <c r="BS635" s="2322"/>
      <c r="BT635" s="2322"/>
      <c r="BU635" s="2322"/>
      <c r="BV635" s="2322"/>
      <c r="BW635" s="2322"/>
      <c r="BX635" s="2322"/>
      <c r="BY635" s="2322"/>
      <c r="BZ635" s="2322"/>
      <c r="CA635" s="2322"/>
      <c r="CB635" s="2322"/>
      <c r="CC635" s="2322"/>
      <c r="CD635" s="2322"/>
      <c r="CE635" s="2322"/>
      <c r="CF635" s="2322"/>
      <c r="CG635" s="2322"/>
      <c r="CH635" s="2322"/>
      <c r="CI635" s="2322"/>
      <c r="CJ635" s="2322"/>
      <c r="CK635" s="2322"/>
      <c r="CL635" s="2322"/>
      <c r="CM635" s="2322"/>
      <c r="CN635" s="2322"/>
      <c r="CO635" s="2322"/>
      <c r="CP635" s="2322"/>
      <c r="CQ635" s="2322"/>
      <c r="CR635" s="2322"/>
      <c r="CS635" s="2322"/>
      <c r="CT635" s="2322"/>
      <c r="CU635" s="2322"/>
      <c r="CV635" s="2322"/>
    </row>
    <row r="636" spans="1:100" ht="15.75" customHeight="1">
      <c r="A636" s="2328"/>
      <c r="B636" s="2322"/>
      <c r="C636" s="2322"/>
      <c r="D636" s="2322"/>
      <c r="E636" s="2322"/>
      <c r="F636" s="2322"/>
      <c r="G636" s="2322"/>
      <c r="H636" s="2322"/>
      <c r="I636" s="2322"/>
      <c r="J636" s="2322"/>
      <c r="K636" s="2322"/>
      <c r="L636" s="2322"/>
      <c r="M636" s="2322"/>
      <c r="N636" s="2322"/>
      <c r="O636" s="2322"/>
      <c r="P636" s="2322"/>
      <c r="Q636" s="2322"/>
      <c r="R636" s="2322"/>
      <c r="S636" s="2322"/>
      <c r="T636" s="2322"/>
      <c r="U636" s="2322"/>
      <c r="V636" s="2322"/>
      <c r="W636" s="2322"/>
      <c r="X636" s="2322"/>
      <c r="Y636" s="2322"/>
      <c r="Z636" s="2322"/>
      <c r="AA636" s="2322"/>
      <c r="AB636" s="2322"/>
      <c r="AC636" s="2322"/>
      <c r="AD636" s="2322"/>
      <c r="AE636" s="2322"/>
      <c r="AF636" s="2322"/>
      <c r="AG636" s="2322"/>
      <c r="AH636" s="2322"/>
      <c r="AI636" s="2322"/>
      <c r="AJ636" s="2322"/>
      <c r="AK636" s="2322"/>
      <c r="AL636" s="2322"/>
      <c r="AM636" s="2322"/>
      <c r="AN636" s="2322"/>
      <c r="AO636" s="2322"/>
      <c r="AP636" s="2322"/>
      <c r="AQ636" s="2322"/>
      <c r="AR636" s="2322"/>
      <c r="AS636" s="2322"/>
      <c r="AT636" s="2322"/>
      <c r="AU636" s="2322"/>
      <c r="AV636" s="2322"/>
      <c r="AW636" s="2322"/>
      <c r="AX636" s="2322"/>
      <c r="AY636" s="2322"/>
      <c r="AZ636" s="2322"/>
      <c r="BA636" s="2322"/>
      <c r="BB636" s="2322"/>
      <c r="BC636" s="2322"/>
      <c r="BD636" s="2322"/>
      <c r="BE636" s="2322"/>
      <c r="BF636" s="2322"/>
      <c r="BG636" s="2322"/>
      <c r="BH636" s="2322"/>
      <c r="BI636" s="2322"/>
      <c r="BJ636" s="2322"/>
      <c r="BK636" s="2322"/>
      <c r="BL636" s="2322"/>
      <c r="BM636" s="2322"/>
      <c r="BN636" s="2322"/>
      <c r="BO636" s="2322"/>
      <c r="BP636" s="2322"/>
      <c r="BQ636" s="2322"/>
      <c r="BR636" s="2322"/>
      <c r="BS636" s="2322"/>
      <c r="BT636" s="2322"/>
      <c r="BU636" s="2322"/>
      <c r="BV636" s="2322"/>
      <c r="BW636" s="2322"/>
      <c r="BX636" s="2322"/>
      <c r="BY636" s="2322"/>
      <c r="BZ636" s="2322"/>
      <c r="CA636" s="2322"/>
      <c r="CB636" s="2322"/>
      <c r="CC636" s="2322"/>
      <c r="CD636" s="2322"/>
      <c r="CE636" s="2322"/>
      <c r="CF636" s="2322"/>
      <c r="CG636" s="2322"/>
      <c r="CH636" s="2322"/>
      <c r="CI636" s="2322"/>
      <c r="CJ636" s="2322"/>
      <c r="CK636" s="2322"/>
      <c r="CL636" s="2322"/>
      <c r="CM636" s="2322"/>
      <c r="CN636" s="2322"/>
      <c r="CO636" s="2322"/>
      <c r="CP636" s="2322"/>
      <c r="CQ636" s="2322"/>
      <c r="CR636" s="2322"/>
      <c r="CS636" s="2322"/>
      <c r="CT636" s="2322"/>
      <c r="CU636" s="2322"/>
      <c r="CV636" s="2322"/>
    </row>
    <row r="637" spans="1:100" ht="15.75" customHeight="1">
      <c r="A637" s="2328"/>
      <c r="B637" s="2322"/>
      <c r="C637" s="2322"/>
      <c r="D637" s="2322"/>
      <c r="E637" s="2322"/>
      <c r="F637" s="2322"/>
      <c r="G637" s="2322"/>
      <c r="H637" s="2322"/>
      <c r="I637" s="2322"/>
      <c r="J637" s="2322"/>
      <c r="K637" s="2322"/>
      <c r="L637" s="2322"/>
      <c r="M637" s="2322"/>
      <c r="N637" s="2322"/>
      <c r="O637" s="2322"/>
      <c r="P637" s="2322"/>
      <c r="Q637" s="2322"/>
      <c r="R637" s="2322"/>
      <c r="S637" s="2322"/>
      <c r="T637" s="2322"/>
      <c r="U637" s="2322"/>
      <c r="V637" s="2322"/>
      <c r="W637" s="2322"/>
      <c r="X637" s="2322"/>
      <c r="Y637" s="2322"/>
      <c r="Z637" s="2322"/>
      <c r="AA637" s="2322"/>
      <c r="AB637" s="2322"/>
      <c r="AC637" s="2322"/>
      <c r="AD637" s="2322"/>
      <c r="AE637" s="2322"/>
      <c r="AF637" s="2322"/>
      <c r="AG637" s="2322"/>
      <c r="AH637" s="2322"/>
      <c r="AI637" s="2322"/>
      <c r="AJ637" s="2322"/>
      <c r="AK637" s="2322"/>
      <c r="AL637" s="2322"/>
      <c r="AM637" s="2322"/>
      <c r="AN637" s="2322"/>
      <c r="AO637" s="2322"/>
      <c r="AP637" s="2322"/>
      <c r="AQ637" s="2322"/>
      <c r="AR637" s="2322"/>
      <c r="AS637" s="2322"/>
      <c r="AT637" s="2322"/>
      <c r="AU637" s="2322"/>
      <c r="AV637" s="2322"/>
      <c r="AW637" s="2322"/>
      <c r="AX637" s="2322"/>
      <c r="AY637" s="2322"/>
      <c r="AZ637" s="2322"/>
      <c r="BA637" s="2322"/>
      <c r="BB637" s="2322"/>
      <c r="BC637" s="2322"/>
      <c r="BD637" s="2322"/>
      <c r="BE637" s="2322"/>
      <c r="BF637" s="2322"/>
      <c r="BG637" s="2322"/>
      <c r="BH637" s="2322"/>
      <c r="BI637" s="2322"/>
      <c r="BJ637" s="2322"/>
      <c r="BK637" s="2322"/>
      <c r="BL637" s="2322"/>
      <c r="BM637" s="2322"/>
      <c r="BN637" s="2322"/>
      <c r="BO637" s="2322"/>
      <c r="BP637" s="2322"/>
      <c r="BQ637" s="2322"/>
      <c r="BR637" s="2322"/>
      <c r="BS637" s="2322"/>
      <c r="BT637" s="2322"/>
      <c r="BU637" s="2322"/>
      <c r="BV637" s="2322"/>
      <c r="BW637" s="2322"/>
      <c r="BX637" s="2322"/>
      <c r="BY637" s="2322"/>
      <c r="BZ637" s="2322"/>
      <c r="CA637" s="2322"/>
      <c r="CB637" s="2322"/>
      <c r="CC637" s="2322"/>
      <c r="CD637" s="2322"/>
      <c r="CE637" s="2322"/>
      <c r="CF637" s="2322"/>
      <c r="CG637" s="2322"/>
      <c r="CH637" s="2322"/>
      <c r="CI637" s="2322"/>
      <c r="CJ637" s="2322"/>
      <c r="CK637" s="2322"/>
      <c r="CL637" s="2322"/>
      <c r="CM637" s="2322"/>
      <c r="CN637" s="2322"/>
      <c r="CO637" s="2322"/>
      <c r="CP637" s="2322"/>
      <c r="CQ637" s="2322"/>
      <c r="CR637" s="2322"/>
      <c r="CS637" s="2322"/>
      <c r="CT637" s="2322"/>
      <c r="CU637" s="2322"/>
      <c r="CV637" s="2322"/>
    </row>
    <row r="638" spans="1:100" ht="15.75" customHeight="1">
      <c r="A638" s="2328"/>
      <c r="B638" s="2322"/>
      <c r="C638" s="2322"/>
      <c r="D638" s="2322"/>
      <c r="E638" s="2322"/>
      <c r="F638" s="2322"/>
      <c r="G638" s="2322"/>
      <c r="H638" s="2322"/>
      <c r="I638" s="2322"/>
      <c r="J638" s="2322"/>
      <c r="K638" s="2322"/>
      <c r="L638" s="2322"/>
      <c r="M638" s="2322"/>
      <c r="N638" s="2322"/>
      <c r="O638" s="2322"/>
      <c r="P638" s="2322"/>
      <c r="Q638" s="2322"/>
      <c r="R638" s="2322"/>
      <c r="S638" s="2322"/>
      <c r="T638" s="2322"/>
      <c r="U638" s="2322"/>
      <c r="V638" s="2322"/>
      <c r="W638" s="2322"/>
      <c r="X638" s="2322"/>
      <c r="Y638" s="2322"/>
      <c r="Z638" s="2322"/>
      <c r="AA638" s="2322"/>
      <c r="AB638" s="2322"/>
      <c r="AC638" s="2322"/>
      <c r="AD638" s="2322"/>
      <c r="AE638" s="2322"/>
      <c r="AF638" s="2322"/>
      <c r="AG638" s="2322"/>
      <c r="AH638" s="2322"/>
      <c r="AI638" s="2322"/>
      <c r="AJ638" s="2322"/>
      <c r="AK638" s="2322"/>
      <c r="AL638" s="2322"/>
      <c r="AM638" s="2322"/>
      <c r="AN638" s="2322"/>
      <c r="AO638" s="2322"/>
      <c r="AP638" s="2322"/>
      <c r="AQ638" s="2322"/>
      <c r="AR638" s="2322"/>
      <c r="AS638" s="2322"/>
      <c r="AT638" s="2322"/>
      <c r="AU638" s="2322"/>
      <c r="AV638" s="2322"/>
      <c r="AW638" s="2322"/>
      <c r="AX638" s="2322"/>
      <c r="AY638" s="2322"/>
      <c r="AZ638" s="2322"/>
      <c r="BA638" s="2322"/>
      <c r="BB638" s="2322"/>
      <c r="BC638" s="2322"/>
      <c r="BD638" s="2322"/>
      <c r="BE638" s="2322"/>
      <c r="BF638" s="2322"/>
      <c r="BG638" s="2322"/>
      <c r="BH638" s="2322"/>
      <c r="BI638" s="2322"/>
      <c r="BJ638" s="2322"/>
      <c r="BK638" s="2322"/>
      <c r="BL638" s="2322"/>
      <c r="BM638" s="2322"/>
      <c r="BN638" s="2322"/>
      <c r="BO638" s="2322"/>
      <c r="BP638" s="2322"/>
      <c r="BQ638" s="2322"/>
      <c r="BR638" s="2322"/>
      <c r="BS638" s="2322"/>
      <c r="BT638" s="2322"/>
      <c r="BU638" s="2322"/>
      <c r="BV638" s="2322"/>
      <c r="BW638" s="2322"/>
      <c r="BX638" s="2322"/>
      <c r="BY638" s="2322"/>
      <c r="BZ638" s="2322"/>
      <c r="CA638" s="2322"/>
      <c r="CB638" s="2322"/>
      <c r="CC638" s="2322"/>
      <c r="CD638" s="2322"/>
      <c r="CE638" s="2322"/>
      <c r="CF638" s="2322"/>
      <c r="CG638" s="2322"/>
      <c r="CH638" s="2322"/>
      <c r="CI638" s="2322"/>
      <c r="CJ638" s="2322"/>
      <c r="CK638" s="2322"/>
      <c r="CL638" s="2322"/>
      <c r="CM638" s="2322"/>
      <c r="CN638" s="2322"/>
      <c r="CO638" s="2322"/>
      <c r="CP638" s="2322"/>
      <c r="CQ638" s="2322"/>
      <c r="CR638" s="2322"/>
      <c r="CS638" s="2322"/>
      <c r="CT638" s="2322"/>
      <c r="CU638" s="2322"/>
      <c r="CV638" s="2322"/>
    </row>
    <row r="639" spans="1:100" ht="15.75" customHeight="1">
      <c r="A639" s="2328"/>
      <c r="B639" s="2322"/>
      <c r="C639" s="2322"/>
      <c r="D639" s="2322"/>
      <c r="E639" s="2322"/>
      <c r="F639" s="2322"/>
      <c r="G639" s="2322"/>
      <c r="H639" s="2322"/>
      <c r="I639" s="2322"/>
      <c r="J639" s="2322"/>
      <c r="K639" s="2322"/>
      <c r="L639" s="2322"/>
      <c r="M639" s="2322"/>
      <c r="N639" s="2322"/>
      <c r="O639" s="2322"/>
      <c r="P639" s="2322"/>
      <c r="Q639" s="2322"/>
      <c r="R639" s="2322"/>
      <c r="S639" s="2322"/>
      <c r="T639" s="2322"/>
      <c r="U639" s="2322"/>
      <c r="V639" s="2322"/>
      <c r="W639" s="2322"/>
      <c r="X639" s="2322"/>
      <c r="Y639" s="2322"/>
      <c r="Z639" s="2322"/>
      <c r="AA639" s="2322"/>
      <c r="AB639" s="2322"/>
      <c r="AC639" s="2322"/>
      <c r="AD639" s="2322"/>
      <c r="AE639" s="2322"/>
      <c r="AF639" s="2322"/>
      <c r="AG639" s="2322"/>
      <c r="AH639" s="2322"/>
      <c r="AI639" s="2322"/>
      <c r="AJ639" s="2322"/>
      <c r="AK639" s="2322"/>
      <c r="AL639" s="2322"/>
      <c r="AM639" s="2322"/>
      <c r="AN639" s="2322"/>
      <c r="AO639" s="2322"/>
      <c r="AP639" s="2322"/>
      <c r="AQ639" s="2322"/>
      <c r="AR639" s="2322"/>
      <c r="AS639" s="2322"/>
      <c r="AT639" s="2322"/>
      <c r="AU639" s="2322"/>
      <c r="AV639" s="2322"/>
      <c r="AW639" s="2322"/>
      <c r="AX639" s="2322"/>
      <c r="AY639" s="2322"/>
      <c r="AZ639" s="2322"/>
      <c r="BA639" s="2322"/>
      <c r="BB639" s="2322"/>
      <c r="BC639" s="2322"/>
      <c r="BD639" s="2322"/>
      <c r="BE639" s="2322"/>
      <c r="BF639" s="2322"/>
      <c r="BG639" s="2322"/>
      <c r="BH639" s="2322"/>
      <c r="BI639" s="2322"/>
      <c r="BJ639" s="2322"/>
      <c r="BK639" s="2322"/>
      <c r="BL639" s="2322"/>
      <c r="BM639" s="2322"/>
      <c r="BN639" s="2322"/>
      <c r="BO639" s="2322"/>
      <c r="BP639" s="2322"/>
      <c r="BQ639" s="2322"/>
      <c r="BR639" s="2322"/>
      <c r="BS639" s="2322"/>
      <c r="BT639" s="2322"/>
      <c r="BU639" s="2322"/>
      <c r="BV639" s="2322"/>
      <c r="BW639" s="2322"/>
      <c r="BX639" s="2322"/>
      <c r="BY639" s="2322"/>
      <c r="BZ639" s="2322"/>
      <c r="CA639" s="2322"/>
      <c r="CB639" s="2322"/>
      <c r="CC639" s="2322"/>
      <c r="CD639" s="2322"/>
      <c r="CE639" s="2322"/>
      <c r="CF639" s="2322"/>
      <c r="CG639" s="2322"/>
      <c r="CH639" s="2322"/>
      <c r="CI639" s="2322"/>
      <c r="CJ639" s="2322"/>
      <c r="CK639" s="2322"/>
      <c r="CL639" s="2322"/>
      <c r="CM639" s="2322"/>
      <c r="CN639" s="2322"/>
      <c r="CO639" s="2322"/>
      <c r="CP639" s="2322"/>
      <c r="CQ639" s="2322"/>
      <c r="CR639" s="2322"/>
      <c r="CS639" s="2322"/>
      <c r="CT639" s="2322"/>
      <c r="CU639" s="2322"/>
      <c r="CV639" s="2322"/>
    </row>
    <row r="640" spans="1:100" ht="15.75" customHeight="1">
      <c r="A640" s="2328"/>
      <c r="B640" s="2322"/>
      <c r="C640" s="2322"/>
      <c r="D640" s="2322"/>
      <c r="E640" s="2322"/>
      <c r="F640" s="2322"/>
      <c r="G640" s="2322"/>
      <c r="H640" s="2322"/>
      <c r="I640" s="2322"/>
      <c r="J640" s="2322"/>
      <c r="K640" s="2322"/>
      <c r="L640" s="2322"/>
      <c r="M640" s="2322"/>
      <c r="N640" s="2322"/>
      <c r="O640" s="2322"/>
      <c r="P640" s="2322"/>
      <c r="Q640" s="2322"/>
      <c r="R640" s="2322"/>
      <c r="S640" s="2322"/>
      <c r="T640" s="2322"/>
      <c r="U640" s="2322"/>
      <c r="V640" s="2322"/>
      <c r="W640" s="2322"/>
      <c r="X640" s="2322"/>
      <c r="Y640" s="2322"/>
      <c r="Z640" s="2322"/>
      <c r="AA640" s="2322"/>
      <c r="AB640" s="2322"/>
      <c r="AC640" s="2322"/>
      <c r="AD640" s="2322"/>
      <c r="AE640" s="2322"/>
      <c r="AF640" s="2322"/>
      <c r="AG640" s="2322"/>
      <c r="AH640" s="2322"/>
      <c r="AI640" s="2322"/>
      <c r="AJ640" s="2322"/>
      <c r="AK640" s="2322"/>
      <c r="AL640" s="2322"/>
      <c r="AM640" s="2322"/>
      <c r="AN640" s="2322"/>
      <c r="AO640" s="2322"/>
      <c r="AP640" s="2322"/>
      <c r="AQ640" s="2322"/>
      <c r="AR640" s="2322"/>
      <c r="AS640" s="2322"/>
      <c r="AT640" s="2322"/>
      <c r="AU640" s="2322"/>
      <c r="AV640" s="2322"/>
      <c r="AW640" s="2322"/>
      <c r="AX640" s="2322"/>
      <c r="AY640" s="2322"/>
      <c r="AZ640" s="2322"/>
      <c r="BA640" s="2322"/>
      <c r="BB640" s="2322"/>
      <c r="BC640" s="2322"/>
      <c r="BD640" s="2322"/>
      <c r="BE640" s="2322"/>
      <c r="BF640" s="2322"/>
      <c r="BG640" s="2322"/>
      <c r="BH640" s="2322"/>
      <c r="BI640" s="2322"/>
      <c r="BJ640" s="2322"/>
      <c r="BK640" s="2322"/>
      <c r="BL640" s="2322"/>
      <c r="BM640" s="2322"/>
      <c r="BN640" s="2322"/>
      <c r="BO640" s="2322"/>
      <c r="BP640" s="2322"/>
      <c r="BQ640" s="2322"/>
      <c r="BR640" s="2322"/>
      <c r="BS640" s="2322"/>
      <c r="BT640" s="2322"/>
      <c r="BU640" s="2322"/>
      <c r="BV640" s="2322"/>
      <c r="BW640" s="2322"/>
      <c r="BX640" s="2322"/>
      <c r="BY640" s="2322"/>
      <c r="BZ640" s="2322"/>
      <c r="CA640" s="2322"/>
      <c r="CB640" s="2322"/>
      <c r="CC640" s="2322"/>
      <c r="CD640" s="2322"/>
      <c r="CE640" s="2322"/>
      <c r="CF640" s="2322"/>
      <c r="CG640" s="2322"/>
      <c r="CH640" s="2322"/>
      <c r="CI640" s="2322"/>
      <c r="CJ640" s="2322"/>
      <c r="CK640" s="2322"/>
      <c r="CL640" s="2322"/>
      <c r="CM640" s="2322"/>
      <c r="CN640" s="2322"/>
      <c r="CO640" s="2322"/>
      <c r="CP640" s="2322"/>
      <c r="CQ640" s="2322"/>
      <c r="CR640" s="2322"/>
      <c r="CS640" s="2322"/>
      <c r="CT640" s="2322"/>
      <c r="CU640" s="2322"/>
      <c r="CV640" s="2322"/>
    </row>
    <row r="641" spans="1:100" ht="15.75" customHeight="1">
      <c r="A641" s="2328"/>
      <c r="B641" s="2322"/>
      <c r="C641" s="2322"/>
      <c r="D641" s="2322"/>
      <c r="E641" s="2322"/>
      <c r="F641" s="2322"/>
      <c r="G641" s="2322"/>
      <c r="H641" s="2322"/>
      <c r="I641" s="2322"/>
      <c r="J641" s="2322"/>
      <c r="K641" s="2322"/>
      <c r="L641" s="2322"/>
      <c r="M641" s="2322"/>
      <c r="N641" s="2322"/>
      <c r="O641" s="2322"/>
      <c r="P641" s="2322"/>
      <c r="Q641" s="2322"/>
      <c r="R641" s="2322"/>
      <c r="S641" s="2322"/>
      <c r="T641" s="2322"/>
      <c r="U641" s="2322"/>
      <c r="V641" s="2322"/>
      <c r="W641" s="2322"/>
      <c r="X641" s="2322"/>
      <c r="Y641" s="2322"/>
      <c r="Z641" s="2322"/>
      <c r="AA641" s="2322"/>
      <c r="AB641" s="2322"/>
      <c r="AC641" s="2322"/>
      <c r="AD641" s="2322"/>
      <c r="AE641" s="2322"/>
      <c r="AF641" s="2322"/>
      <c r="AG641" s="2322"/>
      <c r="AH641" s="2322"/>
      <c r="AI641" s="2322"/>
      <c r="AJ641" s="2322"/>
      <c r="AK641" s="2322"/>
      <c r="AL641" s="2322"/>
      <c r="AM641" s="2322"/>
      <c r="AN641" s="2322"/>
      <c r="AO641" s="2322"/>
      <c r="AP641" s="2322"/>
      <c r="AQ641" s="2322"/>
      <c r="AR641" s="2322"/>
      <c r="AS641" s="2322"/>
      <c r="AT641" s="2322"/>
      <c r="AU641" s="2322"/>
      <c r="AV641" s="2322"/>
      <c r="AW641" s="2322"/>
      <c r="AX641" s="2322"/>
      <c r="AY641" s="2322"/>
      <c r="AZ641" s="2322"/>
      <c r="BA641" s="2322"/>
      <c r="BB641" s="2322"/>
      <c r="BC641" s="2322"/>
      <c r="BD641" s="2322"/>
      <c r="BE641" s="2322"/>
      <c r="BF641" s="2322"/>
      <c r="BG641" s="2322"/>
      <c r="BH641" s="2322"/>
      <c r="BI641" s="2322"/>
      <c r="BJ641" s="2322"/>
      <c r="BK641" s="2322"/>
      <c r="BL641" s="2322"/>
      <c r="BM641" s="2322"/>
      <c r="BN641" s="2322"/>
      <c r="BO641" s="2322"/>
      <c r="BP641" s="2322"/>
      <c r="BQ641" s="2322"/>
      <c r="BR641" s="2322"/>
      <c r="BS641" s="2322"/>
      <c r="BT641" s="2322"/>
      <c r="BU641" s="2322"/>
      <c r="BV641" s="2322"/>
      <c r="BW641" s="2322"/>
      <c r="BX641" s="2322"/>
      <c r="BY641" s="2322"/>
      <c r="BZ641" s="2322"/>
      <c r="CA641" s="2322"/>
      <c r="CB641" s="2322"/>
      <c r="CC641" s="2322"/>
      <c r="CD641" s="2322"/>
      <c r="CE641" s="2322"/>
      <c r="CF641" s="2322"/>
      <c r="CG641" s="2322"/>
      <c r="CH641" s="2322"/>
      <c r="CI641" s="2322"/>
      <c r="CJ641" s="2322"/>
      <c r="CK641" s="2322"/>
      <c r="CL641" s="2322"/>
      <c r="CM641" s="2322"/>
      <c r="CN641" s="2322"/>
      <c r="CO641" s="2322"/>
      <c r="CP641" s="2322"/>
      <c r="CQ641" s="2322"/>
      <c r="CR641" s="2322"/>
      <c r="CS641" s="2322"/>
      <c r="CT641" s="2322"/>
      <c r="CU641" s="2322"/>
      <c r="CV641" s="2322"/>
    </row>
    <row r="642" spans="1:100" ht="15.75" customHeight="1">
      <c r="A642" s="2328"/>
      <c r="B642" s="2322"/>
      <c r="C642" s="2322"/>
      <c r="D642" s="2322"/>
      <c r="E642" s="2322"/>
      <c r="F642" s="2322"/>
      <c r="G642" s="2322"/>
      <c r="H642" s="2322"/>
      <c r="I642" s="2322"/>
      <c r="J642" s="2322"/>
      <c r="K642" s="2322"/>
      <c r="L642" s="2322"/>
      <c r="M642" s="2322"/>
      <c r="N642" s="2322"/>
      <c r="O642" s="2322"/>
      <c r="P642" s="2322"/>
      <c r="Q642" s="2322"/>
      <c r="R642" s="2322"/>
      <c r="S642" s="2322"/>
      <c r="T642" s="2322"/>
      <c r="U642" s="2322"/>
      <c r="V642" s="2322"/>
      <c r="W642" s="2322"/>
      <c r="X642" s="2322"/>
      <c r="Y642" s="2322"/>
      <c r="Z642" s="2322"/>
      <c r="AA642" s="2322"/>
      <c r="AB642" s="2322"/>
      <c r="AC642" s="2322"/>
      <c r="AD642" s="2322"/>
      <c r="AE642" s="2322"/>
      <c r="AF642" s="2322"/>
      <c r="AG642" s="2322"/>
      <c r="AH642" s="2322"/>
      <c r="AI642" s="2322"/>
      <c r="AJ642" s="2322"/>
      <c r="AK642" s="2322"/>
      <c r="AL642" s="2322"/>
      <c r="AM642" s="2322"/>
      <c r="AN642" s="2322"/>
      <c r="AO642" s="2322"/>
      <c r="AP642" s="2322"/>
      <c r="AQ642" s="2322"/>
      <c r="AR642" s="2322"/>
      <c r="AS642" s="2322"/>
      <c r="AT642" s="2322"/>
      <c r="AU642" s="2322"/>
      <c r="AV642" s="2322"/>
      <c r="AW642" s="2322"/>
      <c r="AX642" s="2322"/>
      <c r="AY642" s="2322"/>
      <c r="AZ642" s="2322"/>
      <c r="BA642" s="2322"/>
      <c r="BB642" s="2322"/>
      <c r="BC642" s="2322"/>
      <c r="BD642" s="2322"/>
      <c r="BE642" s="2322"/>
      <c r="BF642" s="2322"/>
      <c r="BG642" s="2322"/>
      <c r="BH642" s="2322"/>
      <c r="BI642" s="2322"/>
      <c r="BJ642" s="2322"/>
      <c r="BK642" s="2322"/>
      <c r="BL642" s="2322"/>
      <c r="BM642" s="2322"/>
      <c r="BN642" s="2322"/>
      <c r="BO642" s="2322"/>
      <c r="BP642" s="2322"/>
      <c r="BQ642" s="2322"/>
      <c r="BR642" s="2322"/>
      <c r="BS642" s="2322"/>
      <c r="BT642" s="2322"/>
      <c r="BU642" s="2322"/>
      <c r="BV642" s="2322"/>
      <c r="BW642" s="2322"/>
      <c r="BX642" s="2322"/>
      <c r="BY642" s="2322"/>
      <c r="BZ642" s="2322"/>
      <c r="CA642" s="2322"/>
      <c r="CB642" s="2322"/>
      <c r="CC642" s="2322"/>
      <c r="CD642" s="2322"/>
      <c r="CE642" s="2322"/>
      <c r="CF642" s="2322"/>
      <c r="CG642" s="2322"/>
      <c r="CH642" s="2322"/>
      <c r="CI642" s="2322"/>
      <c r="CJ642" s="2322"/>
      <c r="CK642" s="2322"/>
      <c r="CL642" s="2322"/>
      <c r="CM642" s="2322"/>
      <c r="CN642" s="2322"/>
      <c r="CO642" s="2322"/>
      <c r="CP642" s="2322"/>
      <c r="CQ642" s="2322"/>
      <c r="CR642" s="2322"/>
      <c r="CS642" s="2322"/>
      <c r="CT642" s="2322"/>
      <c r="CU642" s="2322"/>
      <c r="CV642" s="2322"/>
    </row>
    <row r="643" spans="1:100" ht="15.75" customHeight="1">
      <c r="A643" s="2328"/>
      <c r="B643" s="2322"/>
      <c r="C643" s="2322"/>
      <c r="D643" s="2322"/>
      <c r="E643" s="2322"/>
      <c r="F643" s="2322"/>
      <c r="G643" s="2322"/>
      <c r="H643" s="2322"/>
      <c r="I643" s="2322"/>
      <c r="J643" s="2322"/>
      <c r="K643" s="2322"/>
      <c r="L643" s="2322"/>
      <c r="M643" s="2322"/>
      <c r="N643" s="2322"/>
      <c r="O643" s="2322"/>
      <c r="P643" s="2322"/>
      <c r="Q643" s="2322"/>
      <c r="R643" s="2322"/>
      <c r="S643" s="2322"/>
      <c r="T643" s="2322"/>
      <c r="U643" s="2322"/>
      <c r="V643" s="2322"/>
      <c r="W643" s="2322"/>
      <c r="X643" s="2322"/>
      <c r="Y643" s="2322"/>
      <c r="Z643" s="2322"/>
      <c r="AA643" s="2322"/>
      <c r="AB643" s="2322"/>
      <c r="AC643" s="2322"/>
      <c r="AD643" s="2322"/>
      <c r="AE643" s="2322"/>
      <c r="AF643" s="2322"/>
      <c r="AG643" s="2322"/>
      <c r="AH643" s="2322"/>
      <c r="AI643" s="2322"/>
      <c r="AJ643" s="2322"/>
      <c r="AK643" s="2322"/>
      <c r="AL643" s="2322"/>
      <c r="AM643" s="2322"/>
      <c r="AN643" s="2322"/>
      <c r="AO643" s="2322"/>
      <c r="AP643" s="2322"/>
      <c r="AQ643" s="2322"/>
      <c r="AR643" s="2322"/>
      <c r="AS643" s="2322"/>
      <c r="AT643" s="2322"/>
      <c r="AU643" s="2322"/>
      <c r="AV643" s="2322"/>
      <c r="AW643" s="2322"/>
      <c r="AX643" s="2322"/>
      <c r="AY643" s="2322"/>
      <c r="AZ643" s="2322"/>
      <c r="BA643" s="2322"/>
      <c r="BB643" s="2322"/>
      <c r="BC643" s="2322"/>
      <c r="BD643" s="2322"/>
      <c r="BE643" s="2322"/>
      <c r="BF643" s="2322"/>
      <c r="BG643" s="2322"/>
      <c r="BH643" s="2322"/>
      <c r="BI643" s="2322"/>
      <c r="BJ643" s="2322"/>
      <c r="BK643" s="2322"/>
      <c r="BL643" s="2322"/>
      <c r="BM643" s="2322"/>
      <c r="BN643" s="2322"/>
      <c r="BO643" s="2322"/>
      <c r="BP643" s="2322"/>
      <c r="BQ643" s="2322"/>
      <c r="BR643" s="2322"/>
      <c r="BS643" s="2322"/>
      <c r="BT643" s="2322"/>
      <c r="BU643" s="2322"/>
      <c r="BV643" s="2322"/>
      <c r="BW643" s="2322"/>
      <c r="BX643" s="2322"/>
      <c r="BY643" s="2322"/>
      <c r="BZ643" s="2322"/>
      <c r="CA643" s="2322"/>
      <c r="CB643" s="2322"/>
      <c r="CC643" s="2322"/>
      <c r="CD643" s="2322"/>
      <c r="CE643" s="2322"/>
      <c r="CF643" s="2322"/>
      <c r="CG643" s="2322"/>
      <c r="CH643" s="2322"/>
      <c r="CI643" s="2322"/>
      <c r="CJ643" s="2322"/>
      <c r="CK643" s="2322"/>
      <c r="CL643" s="2322"/>
      <c r="CM643" s="2322"/>
      <c r="CN643" s="2322"/>
      <c r="CO643" s="2322"/>
      <c r="CP643" s="2322"/>
      <c r="CQ643" s="2322"/>
      <c r="CR643" s="2322"/>
      <c r="CS643" s="2322"/>
      <c r="CT643" s="2322"/>
      <c r="CU643" s="2322"/>
      <c r="CV643" s="2322"/>
    </row>
    <row r="644" spans="1:100" ht="15.75" customHeight="1">
      <c r="A644" s="2328"/>
      <c r="B644" s="2322"/>
      <c r="C644" s="2322"/>
      <c r="D644" s="2322"/>
      <c r="E644" s="2322"/>
      <c r="F644" s="2322"/>
      <c r="G644" s="2322"/>
      <c r="H644" s="2322"/>
      <c r="I644" s="2322"/>
      <c r="J644" s="2322"/>
      <c r="K644" s="2322"/>
      <c r="L644" s="2322"/>
      <c r="M644" s="2322"/>
      <c r="N644" s="2322"/>
      <c r="O644" s="2322"/>
      <c r="P644" s="2322"/>
      <c r="Q644" s="2322"/>
      <c r="R644" s="2322"/>
      <c r="S644" s="2322"/>
      <c r="T644" s="2322"/>
      <c r="U644" s="2322"/>
      <c r="V644" s="2322"/>
      <c r="W644" s="2322"/>
      <c r="X644" s="2322"/>
      <c r="Y644" s="2322"/>
      <c r="Z644" s="2322"/>
      <c r="AA644" s="2322"/>
      <c r="AB644" s="2322"/>
      <c r="AC644" s="2322"/>
      <c r="AD644" s="2322"/>
      <c r="AE644" s="2322"/>
      <c r="AF644" s="2322"/>
      <c r="AG644" s="2322"/>
      <c r="AH644" s="2322"/>
      <c r="AI644" s="2322"/>
      <c r="AJ644" s="2322"/>
      <c r="AK644" s="2322"/>
      <c r="AL644" s="2322"/>
      <c r="AM644" s="2322"/>
      <c r="AN644" s="2322"/>
      <c r="AO644" s="2322"/>
      <c r="AP644" s="2322"/>
      <c r="AQ644" s="2322"/>
      <c r="AR644" s="2322"/>
      <c r="AS644" s="2322"/>
      <c r="AT644" s="2322"/>
      <c r="AU644" s="2322"/>
      <c r="AV644" s="2322"/>
      <c r="AW644" s="2322"/>
      <c r="AX644" s="2322"/>
      <c r="AY644" s="2322"/>
      <c r="AZ644" s="2322"/>
      <c r="BA644" s="2322"/>
      <c r="BB644" s="2322"/>
      <c r="BC644" s="2322"/>
      <c r="BD644" s="2322"/>
      <c r="BE644" s="2322"/>
      <c r="BF644" s="2322"/>
      <c r="BG644" s="2322"/>
      <c r="BH644" s="2322"/>
      <c r="BI644" s="2322"/>
      <c r="BJ644" s="2322"/>
      <c r="BK644" s="2322"/>
      <c r="BL644" s="2322"/>
      <c r="BM644" s="2322"/>
      <c r="BN644" s="2322"/>
      <c r="BO644" s="2322"/>
      <c r="BP644" s="2322"/>
      <c r="BQ644" s="2322"/>
      <c r="BR644" s="2322"/>
      <c r="BS644" s="2322"/>
      <c r="BT644" s="2322"/>
      <c r="BU644" s="2322"/>
      <c r="BV644" s="2322"/>
      <c r="BW644" s="2322"/>
      <c r="BX644" s="2322"/>
      <c r="BY644" s="2322"/>
      <c r="BZ644" s="2322"/>
      <c r="CA644" s="2322"/>
      <c r="CB644" s="2322"/>
      <c r="CC644" s="2322"/>
      <c r="CD644" s="2322"/>
      <c r="CE644" s="2322"/>
      <c r="CF644" s="2322"/>
      <c r="CG644" s="2322"/>
      <c r="CH644" s="2322"/>
      <c r="CI644" s="2322"/>
      <c r="CJ644" s="2322"/>
      <c r="CK644" s="2322"/>
      <c r="CL644" s="2322"/>
      <c r="CM644" s="2322"/>
      <c r="CN644" s="2322"/>
      <c r="CO644" s="2322"/>
      <c r="CP644" s="2322"/>
      <c r="CQ644" s="2322"/>
      <c r="CR644" s="2322"/>
      <c r="CS644" s="2322"/>
      <c r="CT644" s="2322"/>
      <c r="CU644" s="2322"/>
      <c r="CV644" s="2322"/>
    </row>
    <row r="645" spans="1:100" ht="15.75" customHeight="1">
      <c r="A645" s="2328"/>
      <c r="B645" s="2322"/>
      <c r="C645" s="2322"/>
      <c r="D645" s="2322"/>
      <c r="E645" s="2322"/>
      <c r="F645" s="2322"/>
      <c r="G645" s="2322"/>
      <c r="H645" s="2322"/>
      <c r="I645" s="2322"/>
      <c r="J645" s="2322"/>
      <c r="K645" s="2322"/>
      <c r="L645" s="2322"/>
      <c r="M645" s="2322"/>
      <c r="N645" s="2322"/>
      <c r="O645" s="2322"/>
      <c r="P645" s="2322"/>
      <c r="Q645" s="2322"/>
      <c r="R645" s="2322"/>
      <c r="S645" s="2322"/>
      <c r="T645" s="2322"/>
      <c r="U645" s="2322"/>
      <c r="V645" s="2322"/>
      <c r="W645" s="2322"/>
      <c r="X645" s="2322"/>
      <c r="Y645" s="2322"/>
      <c r="Z645" s="2322"/>
      <c r="AA645" s="2322"/>
      <c r="AB645" s="2322"/>
      <c r="AC645" s="2322"/>
      <c r="AD645" s="2322"/>
      <c r="AE645" s="2322"/>
      <c r="AF645" s="2322"/>
      <c r="AG645" s="2322"/>
      <c r="AH645" s="2322"/>
      <c r="AI645" s="2322"/>
      <c r="AJ645" s="2322"/>
      <c r="AK645" s="2322"/>
      <c r="AL645" s="2322"/>
      <c r="AM645" s="2322"/>
      <c r="AN645" s="2322"/>
      <c r="AO645" s="2322"/>
      <c r="AP645" s="2322"/>
      <c r="AQ645" s="2322"/>
      <c r="AR645" s="2322"/>
      <c r="AS645" s="2322"/>
      <c r="AT645" s="2322"/>
      <c r="AU645" s="2322"/>
      <c r="AV645" s="2322"/>
      <c r="AW645" s="2322"/>
      <c r="AX645" s="2322"/>
      <c r="AY645" s="2322"/>
      <c r="AZ645" s="2322"/>
      <c r="BA645" s="2322"/>
      <c r="BB645" s="2322"/>
      <c r="BC645" s="2322"/>
      <c r="BD645" s="2322"/>
      <c r="BE645" s="2322"/>
      <c r="BF645" s="2322"/>
      <c r="BG645" s="2322"/>
      <c r="BH645" s="2322"/>
      <c r="BI645" s="2322"/>
      <c r="BJ645" s="2322"/>
      <c r="BK645" s="2322"/>
      <c r="BL645" s="2322"/>
      <c r="BM645" s="2322"/>
      <c r="BN645" s="2322"/>
      <c r="BO645" s="2322"/>
      <c r="BP645" s="2322"/>
      <c r="BQ645" s="2322"/>
      <c r="BR645" s="2322"/>
      <c r="BS645" s="2322"/>
      <c r="BT645" s="2322"/>
      <c r="BU645" s="2322"/>
      <c r="BV645" s="2322"/>
      <c r="BW645" s="2322"/>
      <c r="BX645" s="2322"/>
      <c r="BY645" s="2322"/>
      <c r="BZ645" s="2322"/>
      <c r="CA645" s="2322"/>
      <c r="CB645" s="2322"/>
      <c r="CC645" s="2322"/>
      <c r="CD645" s="2322"/>
      <c r="CE645" s="2322"/>
      <c r="CF645" s="2322"/>
      <c r="CG645" s="2322"/>
      <c r="CH645" s="2322"/>
      <c r="CI645" s="2322"/>
      <c r="CJ645" s="2322"/>
      <c r="CK645" s="2322"/>
      <c r="CL645" s="2322"/>
      <c r="CM645" s="2322"/>
      <c r="CN645" s="2322"/>
      <c r="CO645" s="2322"/>
      <c r="CP645" s="2322"/>
      <c r="CQ645" s="2322"/>
      <c r="CR645" s="2322"/>
      <c r="CS645" s="2322"/>
      <c r="CT645" s="2322"/>
      <c r="CU645" s="2322"/>
      <c r="CV645" s="2322"/>
    </row>
    <row r="646" spans="1:100" ht="15.75" customHeight="1">
      <c r="A646" s="2328"/>
      <c r="B646" s="2322"/>
      <c r="C646" s="2322"/>
      <c r="D646" s="2322"/>
      <c r="E646" s="2322"/>
      <c r="F646" s="2322"/>
      <c r="G646" s="2322"/>
      <c r="H646" s="2322"/>
      <c r="I646" s="2322"/>
      <c r="J646" s="2322"/>
      <c r="K646" s="2322"/>
      <c r="L646" s="2322"/>
      <c r="M646" s="2322"/>
      <c r="N646" s="2322"/>
      <c r="O646" s="2322"/>
      <c r="P646" s="2322"/>
      <c r="Q646" s="2322"/>
      <c r="R646" s="2322"/>
      <c r="S646" s="2322"/>
      <c r="T646" s="2322"/>
      <c r="U646" s="2322"/>
      <c r="V646" s="2322"/>
      <c r="W646" s="2322"/>
      <c r="X646" s="2322"/>
      <c r="Y646" s="2322"/>
      <c r="Z646" s="2322"/>
      <c r="AA646" s="2322"/>
      <c r="AB646" s="2322"/>
      <c r="AC646" s="2322"/>
      <c r="AD646" s="2322"/>
      <c r="AE646" s="2322"/>
      <c r="AF646" s="2322"/>
      <c r="AG646" s="2322"/>
      <c r="AH646" s="2322"/>
      <c r="AI646" s="2322"/>
      <c r="AJ646" s="2322"/>
      <c r="AK646" s="2322"/>
      <c r="AL646" s="2322"/>
      <c r="AM646" s="2322"/>
      <c r="AN646" s="2322"/>
      <c r="AO646" s="2322"/>
      <c r="AP646" s="2322"/>
      <c r="AQ646" s="2322"/>
      <c r="AR646" s="2322"/>
      <c r="AS646" s="2322"/>
      <c r="AT646" s="2322"/>
      <c r="AU646" s="2322"/>
      <c r="AV646" s="2322"/>
      <c r="AW646" s="2322"/>
      <c r="AX646" s="2322"/>
      <c r="AY646" s="2322"/>
      <c r="AZ646" s="2322"/>
      <c r="BA646" s="2322"/>
      <c r="BB646" s="2322"/>
      <c r="BC646" s="2322"/>
      <c r="BD646" s="2322"/>
      <c r="BE646" s="2322"/>
      <c r="BF646" s="2322"/>
      <c r="BG646" s="2322"/>
      <c r="BH646" s="2322"/>
      <c r="BI646" s="2322"/>
      <c r="BJ646" s="2322"/>
      <c r="BK646" s="2322"/>
      <c r="BL646" s="2322"/>
      <c r="BM646" s="2322"/>
      <c r="BN646" s="2322"/>
      <c r="BO646" s="2322"/>
      <c r="BP646" s="2322"/>
      <c r="BQ646" s="2322"/>
      <c r="BR646" s="2322"/>
      <c r="BS646" s="2322"/>
      <c r="BT646" s="2322"/>
      <c r="BU646" s="2322"/>
      <c r="BV646" s="2322"/>
      <c r="BW646" s="2322"/>
      <c r="BX646" s="2322"/>
      <c r="BY646" s="2322"/>
      <c r="BZ646" s="2322"/>
      <c r="CA646" s="2322"/>
      <c r="CB646" s="2322"/>
      <c r="CC646" s="2322"/>
      <c r="CD646" s="2322"/>
      <c r="CE646" s="2322"/>
      <c r="CF646" s="2322"/>
      <c r="CG646" s="2322"/>
      <c r="CH646" s="2322"/>
      <c r="CI646" s="2322"/>
      <c r="CJ646" s="2322"/>
      <c r="CK646" s="2322"/>
      <c r="CL646" s="2322"/>
      <c r="CM646" s="2322"/>
      <c r="CN646" s="2322"/>
      <c r="CO646" s="2322"/>
      <c r="CP646" s="2322"/>
      <c r="CQ646" s="2322"/>
      <c r="CR646" s="2322"/>
      <c r="CS646" s="2322"/>
      <c r="CT646" s="2322"/>
      <c r="CU646" s="2322"/>
      <c r="CV646" s="2322"/>
    </row>
    <row r="647" spans="1:100" ht="15.75" customHeight="1">
      <c r="A647" s="2328"/>
      <c r="B647" s="2322"/>
      <c r="C647" s="2322"/>
      <c r="D647" s="2322"/>
      <c r="E647" s="2322"/>
      <c r="F647" s="2322"/>
      <c r="G647" s="2322"/>
      <c r="H647" s="2322"/>
      <c r="I647" s="2322"/>
      <c r="J647" s="2322"/>
      <c r="K647" s="2322"/>
      <c r="L647" s="2322"/>
      <c r="M647" s="2322"/>
      <c r="N647" s="2322"/>
      <c r="O647" s="2322"/>
      <c r="P647" s="2322"/>
      <c r="Q647" s="2322"/>
      <c r="R647" s="2322"/>
      <c r="S647" s="2322"/>
      <c r="T647" s="2322"/>
      <c r="U647" s="2322"/>
      <c r="V647" s="2322"/>
      <c r="W647" s="2322"/>
      <c r="X647" s="2322"/>
      <c r="Y647" s="2322"/>
      <c r="Z647" s="2322"/>
      <c r="AA647" s="2322"/>
      <c r="AB647" s="2322"/>
      <c r="AC647" s="2322"/>
      <c r="AD647" s="2322"/>
      <c r="AE647" s="2322"/>
      <c r="AF647" s="2322"/>
      <c r="AG647" s="2322"/>
      <c r="AH647" s="2322"/>
      <c r="AI647" s="2322"/>
      <c r="AJ647" s="2322"/>
      <c r="AK647" s="2322"/>
      <c r="AL647" s="2322"/>
      <c r="AM647" s="2322"/>
      <c r="AN647" s="2322"/>
      <c r="AO647" s="2322"/>
      <c r="AP647" s="2322"/>
      <c r="AQ647" s="2322"/>
      <c r="AR647" s="2322"/>
      <c r="AS647" s="2322"/>
      <c r="AT647" s="2322"/>
      <c r="AU647" s="2322"/>
      <c r="AV647" s="2322"/>
      <c r="AW647" s="2322"/>
      <c r="AX647" s="2322"/>
      <c r="AY647" s="2322"/>
      <c r="AZ647" s="2322"/>
      <c r="BA647" s="2322"/>
      <c r="BB647" s="2322"/>
      <c r="BC647" s="2322"/>
      <c r="BD647" s="2322"/>
      <c r="BE647" s="2322"/>
      <c r="BF647" s="2322"/>
      <c r="BG647" s="2322"/>
      <c r="BH647" s="2322"/>
      <c r="BI647" s="2322"/>
      <c r="BJ647" s="2322"/>
      <c r="BK647" s="2322"/>
      <c r="BL647" s="2322"/>
      <c r="BM647" s="2322"/>
      <c r="BN647" s="2322"/>
      <c r="BO647" s="2322"/>
      <c r="BP647" s="2322"/>
      <c r="BQ647" s="2322"/>
      <c r="BR647" s="2322"/>
      <c r="BS647" s="2322"/>
      <c r="BT647" s="2322"/>
      <c r="BU647" s="2322"/>
      <c r="BV647" s="2322"/>
      <c r="BW647" s="2322"/>
      <c r="BX647" s="2322"/>
      <c r="BY647" s="2322"/>
      <c r="BZ647" s="2322"/>
      <c r="CA647" s="2322"/>
      <c r="CB647" s="2322"/>
      <c r="CC647" s="2322"/>
      <c r="CD647" s="2322"/>
      <c r="CE647" s="2322"/>
      <c r="CF647" s="2322"/>
      <c r="CG647" s="2322"/>
      <c r="CH647" s="2322"/>
      <c r="CI647" s="2322"/>
      <c r="CJ647" s="2322"/>
      <c r="CK647" s="2322"/>
      <c r="CL647" s="2322"/>
      <c r="CM647" s="2322"/>
      <c r="CN647" s="2322"/>
      <c r="CO647" s="2322"/>
      <c r="CP647" s="2322"/>
      <c r="CQ647" s="2322"/>
      <c r="CR647" s="2322"/>
      <c r="CS647" s="2322"/>
      <c r="CT647" s="2322"/>
      <c r="CU647" s="2322"/>
      <c r="CV647" s="2322"/>
    </row>
    <row r="648" spans="1:100" ht="15.75" customHeight="1">
      <c r="A648" s="2328"/>
      <c r="B648" s="2322"/>
      <c r="C648" s="2322"/>
      <c r="D648" s="2322"/>
      <c r="E648" s="2322"/>
      <c r="F648" s="2322"/>
      <c r="G648" s="2322"/>
      <c r="H648" s="2322"/>
      <c r="I648" s="2322"/>
      <c r="J648" s="2322"/>
      <c r="K648" s="2322"/>
      <c r="L648" s="2322"/>
      <c r="M648" s="2322"/>
      <c r="N648" s="2322"/>
      <c r="O648" s="2322"/>
      <c r="P648" s="2322"/>
      <c r="Q648" s="2322"/>
      <c r="R648" s="2322"/>
      <c r="S648" s="2322"/>
      <c r="T648" s="2322"/>
      <c r="U648" s="2322"/>
      <c r="V648" s="2322"/>
      <c r="W648" s="2322"/>
      <c r="X648" s="2322"/>
      <c r="Y648" s="2322"/>
      <c r="Z648" s="2322"/>
      <c r="AA648" s="2322"/>
      <c r="AB648" s="2322"/>
      <c r="AC648" s="2322"/>
      <c r="AD648" s="2322"/>
      <c r="AE648" s="2322"/>
      <c r="AF648" s="2322"/>
      <c r="AG648" s="2322"/>
      <c r="AH648" s="2322"/>
      <c r="AI648" s="2322"/>
      <c r="AJ648" s="2322"/>
      <c r="AK648" s="2322"/>
      <c r="AL648" s="2322"/>
      <c r="AM648" s="2322"/>
      <c r="AN648" s="2322"/>
      <c r="AO648" s="2322"/>
      <c r="AP648" s="2322"/>
      <c r="AQ648" s="2322"/>
      <c r="AR648" s="2322"/>
      <c r="AS648" s="2322"/>
      <c r="AT648" s="2322"/>
      <c r="AU648" s="2322"/>
      <c r="AV648" s="2322"/>
      <c r="AW648" s="2322"/>
      <c r="AX648" s="2322"/>
      <c r="AY648" s="2322"/>
      <c r="AZ648" s="2322"/>
      <c r="BA648" s="2322"/>
      <c r="BB648" s="2322"/>
      <c r="BC648" s="2322"/>
      <c r="BD648" s="2322"/>
      <c r="BE648" s="2322"/>
      <c r="BF648" s="2322"/>
      <c r="BG648" s="2322"/>
      <c r="BH648" s="2322"/>
      <c r="BI648" s="2322"/>
      <c r="BJ648" s="2322"/>
      <c r="BK648" s="2322"/>
      <c r="BL648" s="2322"/>
      <c r="BM648" s="2322"/>
      <c r="BN648" s="2322"/>
      <c r="BO648" s="2322"/>
      <c r="BP648" s="2322"/>
      <c r="BQ648" s="2322"/>
      <c r="BR648" s="2322"/>
      <c r="BS648" s="2322"/>
      <c r="BT648" s="2322"/>
      <c r="BU648" s="2322"/>
      <c r="BV648" s="2322"/>
      <c r="BW648" s="2322"/>
      <c r="BX648" s="2322"/>
      <c r="BY648" s="2322"/>
      <c r="BZ648" s="2322"/>
      <c r="CA648" s="2322"/>
      <c r="CB648" s="2322"/>
      <c r="CC648" s="2322"/>
      <c r="CD648" s="2322"/>
      <c r="CE648" s="2322"/>
      <c r="CF648" s="2322"/>
      <c r="CG648" s="2322"/>
      <c r="CH648" s="2322"/>
      <c r="CI648" s="2322"/>
      <c r="CJ648" s="2322"/>
      <c r="CK648" s="2322"/>
      <c r="CL648" s="2322"/>
      <c r="CM648" s="2322"/>
      <c r="CN648" s="2322"/>
      <c r="CO648" s="2322"/>
      <c r="CP648" s="2322"/>
      <c r="CQ648" s="2322"/>
      <c r="CR648" s="2322"/>
      <c r="CS648" s="2322"/>
      <c r="CT648" s="2322"/>
      <c r="CU648" s="2322"/>
      <c r="CV648" s="2322"/>
    </row>
    <row r="649" spans="1:100" ht="15.75" customHeight="1">
      <c r="A649" s="2328"/>
      <c r="B649" s="2322"/>
      <c r="C649" s="2322"/>
      <c r="D649" s="2322"/>
      <c r="E649" s="2322"/>
      <c r="F649" s="2322"/>
      <c r="G649" s="2322"/>
      <c r="H649" s="2322"/>
      <c r="I649" s="2322"/>
      <c r="J649" s="2322"/>
      <c r="K649" s="2322"/>
      <c r="L649" s="2322"/>
      <c r="M649" s="2322"/>
      <c r="N649" s="2322"/>
      <c r="O649" s="2322"/>
      <c r="P649" s="2322"/>
      <c r="Q649" s="2322"/>
      <c r="R649" s="2322"/>
      <c r="S649" s="2322"/>
      <c r="T649" s="2322"/>
      <c r="U649" s="2322"/>
      <c r="V649" s="2322"/>
      <c r="W649" s="2322"/>
      <c r="X649" s="2322"/>
      <c r="Y649" s="2322"/>
      <c r="Z649" s="2322"/>
      <c r="AA649" s="2322"/>
      <c r="AB649" s="2322"/>
      <c r="AC649" s="2322"/>
      <c r="AD649" s="2322"/>
      <c r="AE649" s="2322"/>
      <c r="AF649" s="2322"/>
      <c r="AG649" s="2322"/>
      <c r="AH649" s="2322"/>
      <c r="AI649" s="2322"/>
      <c r="AJ649" s="2322"/>
      <c r="AK649" s="2322"/>
      <c r="AL649" s="2322"/>
      <c r="AM649" s="2322"/>
      <c r="AN649" s="2322"/>
      <c r="AO649" s="2322"/>
      <c r="AP649" s="2322"/>
      <c r="AQ649" s="2322"/>
      <c r="AR649" s="2322"/>
      <c r="AS649" s="2322"/>
      <c r="AT649" s="2322"/>
      <c r="AU649" s="2322"/>
      <c r="AV649" s="2322"/>
      <c r="AW649" s="2322"/>
      <c r="AX649" s="2322"/>
      <c r="AY649" s="2322"/>
      <c r="AZ649" s="2322"/>
      <c r="BA649" s="2322"/>
      <c r="BB649" s="2322"/>
      <c r="BC649" s="2322"/>
      <c r="BD649" s="2322"/>
      <c r="BE649" s="2322"/>
      <c r="BF649" s="2322"/>
      <c r="BG649" s="2322"/>
      <c r="BH649" s="2322"/>
      <c r="BI649" s="2322"/>
      <c r="BJ649" s="2322"/>
      <c r="BK649" s="2322"/>
      <c r="BL649" s="2322"/>
      <c r="BM649" s="2322"/>
      <c r="BN649" s="2322"/>
      <c r="BO649" s="2322"/>
      <c r="BP649" s="2322"/>
      <c r="BQ649" s="2322"/>
      <c r="BR649" s="2322"/>
      <c r="BS649" s="2322"/>
      <c r="BT649" s="2322"/>
      <c r="BU649" s="2322"/>
      <c r="BV649" s="2322"/>
      <c r="BW649" s="2322"/>
      <c r="BX649" s="2322"/>
      <c r="BY649" s="2322"/>
      <c r="BZ649" s="2322"/>
      <c r="CA649" s="2322"/>
      <c r="CB649" s="2322"/>
      <c r="CC649" s="2322"/>
      <c r="CD649" s="2322"/>
      <c r="CE649" s="2322"/>
      <c r="CF649" s="2322"/>
      <c r="CG649" s="2322"/>
      <c r="CH649" s="2322"/>
      <c r="CI649" s="2322"/>
      <c r="CJ649" s="2322"/>
      <c r="CK649" s="2322"/>
      <c r="CL649" s="2322"/>
      <c r="CM649" s="2322"/>
      <c r="CN649" s="2322"/>
      <c r="CO649" s="2322"/>
      <c r="CP649" s="2322"/>
      <c r="CQ649" s="2322"/>
      <c r="CR649" s="2322"/>
      <c r="CS649" s="2322"/>
      <c r="CT649" s="2322"/>
      <c r="CU649" s="2322"/>
      <c r="CV649" s="2322"/>
    </row>
    <row r="650" spans="1:100" ht="15.75" customHeight="1">
      <c r="A650" s="2328"/>
      <c r="B650" s="2322"/>
      <c r="C650" s="2322"/>
      <c r="D650" s="2322"/>
      <c r="E650" s="2322"/>
      <c r="F650" s="2322"/>
      <c r="G650" s="2322"/>
      <c r="H650" s="2322"/>
      <c r="I650" s="2322"/>
      <c r="J650" s="2322"/>
      <c r="K650" s="2322"/>
      <c r="L650" s="2322"/>
      <c r="M650" s="2322"/>
      <c r="N650" s="2322"/>
      <c r="O650" s="2322"/>
      <c r="P650" s="2322"/>
      <c r="Q650" s="2322"/>
      <c r="R650" s="2322"/>
      <c r="S650" s="2322"/>
      <c r="T650" s="2322"/>
      <c r="U650" s="2322"/>
      <c r="V650" s="2322"/>
      <c r="W650" s="2322"/>
      <c r="X650" s="2322"/>
      <c r="Y650" s="2322"/>
      <c r="Z650" s="2322"/>
      <c r="AA650" s="2322"/>
      <c r="AB650" s="2322"/>
      <c r="AC650" s="2322"/>
      <c r="AD650" s="2322"/>
      <c r="AE650" s="2322"/>
      <c r="AF650" s="2322"/>
      <c r="AG650" s="2322"/>
      <c r="AH650" s="2322"/>
      <c r="AI650" s="2322"/>
      <c r="AJ650" s="2322"/>
      <c r="AK650" s="2322"/>
      <c r="AL650" s="2322"/>
      <c r="AM650" s="2322"/>
      <c r="AN650" s="2322"/>
      <c r="AO650" s="2322"/>
      <c r="AP650" s="2322"/>
      <c r="AQ650" s="2322"/>
      <c r="AR650" s="2322"/>
      <c r="AS650" s="2322"/>
      <c r="AT650" s="2322"/>
      <c r="AU650" s="2322"/>
      <c r="AV650" s="2322"/>
      <c r="AW650" s="2322"/>
      <c r="AX650" s="2322"/>
      <c r="AY650" s="2322"/>
      <c r="AZ650" s="2322"/>
      <c r="BA650" s="2322"/>
      <c r="BB650" s="2322"/>
      <c r="BC650" s="2322"/>
      <c r="BD650" s="2322"/>
      <c r="BE650" s="2322"/>
      <c r="BF650" s="2322"/>
      <c r="BG650" s="2322"/>
      <c r="BH650" s="2322"/>
      <c r="BI650" s="2322"/>
      <c r="BJ650" s="2322"/>
      <c r="BK650" s="2322"/>
      <c r="BL650" s="2322"/>
      <c r="BM650" s="2322"/>
      <c r="BN650" s="2322"/>
      <c r="BO650" s="2322"/>
      <c r="BP650" s="2322"/>
      <c r="BQ650" s="2322"/>
      <c r="BR650" s="2322"/>
      <c r="BS650" s="2322"/>
      <c r="BT650" s="2322"/>
      <c r="BU650" s="2322"/>
      <c r="BV650" s="2322"/>
      <c r="BW650" s="2322"/>
      <c r="BX650" s="2322"/>
      <c r="BY650" s="2322"/>
      <c r="BZ650" s="2322"/>
      <c r="CA650" s="2322"/>
      <c r="CB650" s="2322"/>
      <c r="CC650" s="2322"/>
      <c r="CD650" s="2322"/>
      <c r="CE650" s="2322"/>
      <c r="CF650" s="2322"/>
      <c r="CG650" s="2322"/>
      <c r="CH650" s="2322"/>
      <c r="CI650" s="2322"/>
      <c r="CJ650" s="2322"/>
      <c r="CK650" s="2322"/>
      <c r="CL650" s="2322"/>
      <c r="CM650" s="2322"/>
      <c r="CN650" s="2322"/>
      <c r="CO650" s="2322"/>
      <c r="CP650" s="2322"/>
      <c r="CQ650" s="2322"/>
      <c r="CR650" s="2322"/>
      <c r="CS650" s="2322"/>
      <c r="CT650" s="2322"/>
      <c r="CU650" s="2322"/>
      <c r="CV650" s="2322"/>
    </row>
    <row r="651" spans="1:100" ht="15.75" customHeight="1">
      <c r="A651" s="2328"/>
      <c r="B651" s="2322"/>
      <c r="C651" s="2322"/>
      <c r="D651" s="2322"/>
      <c r="E651" s="2322"/>
      <c r="F651" s="2322"/>
      <c r="G651" s="2322"/>
      <c r="H651" s="2322"/>
      <c r="I651" s="2322"/>
      <c r="J651" s="2322"/>
      <c r="K651" s="2322"/>
      <c r="L651" s="2322"/>
      <c r="M651" s="2322"/>
      <c r="N651" s="2322"/>
      <c r="O651" s="2322"/>
      <c r="P651" s="2322"/>
      <c r="Q651" s="2322"/>
      <c r="R651" s="2322"/>
      <c r="S651" s="2322"/>
      <c r="T651" s="2322"/>
      <c r="U651" s="2322"/>
      <c r="V651" s="2322"/>
      <c r="W651" s="2322"/>
      <c r="X651" s="2322"/>
      <c r="Y651" s="2322"/>
      <c r="Z651" s="2322"/>
      <c r="AA651" s="2322"/>
      <c r="AB651" s="2322"/>
      <c r="AC651" s="2322"/>
      <c r="AD651" s="2322"/>
      <c r="AE651" s="2322"/>
      <c r="AF651" s="2322"/>
      <c r="AG651" s="2322"/>
      <c r="AH651" s="2322"/>
      <c r="AI651" s="2322"/>
      <c r="AJ651" s="2322"/>
      <c r="AK651" s="2322"/>
      <c r="AL651" s="2322"/>
      <c r="AM651" s="2322"/>
      <c r="AN651" s="2322"/>
      <c r="AO651" s="2322"/>
      <c r="AP651" s="2322"/>
      <c r="AQ651" s="2322"/>
      <c r="AR651" s="2322"/>
      <c r="AS651" s="2322"/>
      <c r="AT651" s="2322"/>
      <c r="AU651" s="2322"/>
      <c r="AV651" s="2322"/>
      <c r="AW651" s="2322"/>
      <c r="AX651" s="2322"/>
      <c r="AY651" s="2322"/>
      <c r="AZ651" s="2322"/>
      <c r="BA651" s="2322"/>
      <c r="BB651" s="2322"/>
      <c r="BC651" s="2322"/>
      <c r="BD651" s="2322"/>
      <c r="BE651" s="2322"/>
      <c r="BF651" s="2322"/>
      <c r="BG651" s="2322"/>
      <c r="BH651" s="2322"/>
      <c r="BI651" s="2322"/>
      <c r="BJ651" s="2322"/>
      <c r="BK651" s="2322"/>
      <c r="BL651" s="2322"/>
      <c r="BM651" s="2322"/>
      <c r="BN651" s="2322"/>
      <c r="BO651" s="2322"/>
      <c r="BP651" s="2322"/>
      <c r="BQ651" s="2322"/>
      <c r="BR651" s="2322"/>
      <c r="BS651" s="2322"/>
      <c r="BT651" s="2322"/>
      <c r="BU651" s="2322"/>
      <c r="BV651" s="2322"/>
      <c r="BW651" s="2322"/>
      <c r="BX651" s="2322"/>
      <c r="BY651" s="2322"/>
      <c r="BZ651" s="2322"/>
      <c r="CA651" s="2322"/>
      <c r="CB651" s="2322"/>
      <c r="CC651" s="2322"/>
      <c r="CD651" s="2322"/>
      <c r="CE651" s="2322"/>
      <c r="CF651" s="2322"/>
      <c r="CG651" s="2322"/>
      <c r="CH651" s="2322"/>
      <c r="CI651" s="2322"/>
      <c r="CJ651" s="2322"/>
      <c r="CK651" s="2322"/>
      <c r="CL651" s="2322"/>
      <c r="CM651" s="2322"/>
      <c r="CN651" s="2322"/>
      <c r="CO651" s="2322"/>
      <c r="CP651" s="2322"/>
      <c r="CQ651" s="2322"/>
      <c r="CR651" s="2322"/>
      <c r="CS651" s="2322"/>
      <c r="CT651" s="2322"/>
      <c r="CU651" s="2322"/>
      <c r="CV651" s="2322"/>
    </row>
    <row r="652" spans="1:100" ht="15.75" customHeight="1">
      <c r="A652" s="2328"/>
      <c r="B652" s="2322"/>
      <c r="C652" s="2322"/>
      <c r="D652" s="2322"/>
      <c r="E652" s="2322"/>
      <c r="F652" s="2322"/>
      <c r="G652" s="2322"/>
      <c r="H652" s="2322"/>
      <c r="I652" s="2322"/>
      <c r="J652" s="2322"/>
      <c r="K652" s="2322"/>
      <c r="L652" s="2322"/>
      <c r="M652" s="2322"/>
      <c r="N652" s="2322"/>
      <c r="O652" s="2322"/>
      <c r="P652" s="2322"/>
      <c r="Q652" s="2322"/>
      <c r="R652" s="2322"/>
      <c r="S652" s="2322"/>
      <c r="T652" s="2322"/>
      <c r="U652" s="2322"/>
      <c r="V652" s="2322"/>
      <c r="W652" s="2322"/>
      <c r="X652" s="2322"/>
      <c r="Y652" s="2322"/>
      <c r="Z652" s="2322"/>
      <c r="AA652" s="2322"/>
      <c r="AB652" s="2322"/>
      <c r="AC652" s="2322"/>
      <c r="AD652" s="2322"/>
      <c r="AE652" s="2322"/>
      <c r="AF652" s="2322"/>
      <c r="AG652" s="2322"/>
      <c r="AH652" s="2322"/>
      <c r="AI652" s="2322"/>
      <c r="AJ652" s="2322"/>
      <c r="AK652" s="2322"/>
      <c r="AL652" s="2322"/>
      <c r="AM652" s="2322"/>
      <c r="AN652" s="2322"/>
      <c r="AO652" s="2322"/>
      <c r="AP652" s="2322"/>
      <c r="AQ652" s="2322"/>
      <c r="AR652" s="2322"/>
      <c r="AS652" s="2322"/>
      <c r="AT652" s="2322"/>
      <c r="AU652" s="2322"/>
      <c r="AV652" s="2322"/>
      <c r="AW652" s="2322"/>
      <c r="AX652" s="2322"/>
      <c r="AY652" s="2322"/>
      <c r="AZ652" s="2322"/>
      <c r="BA652" s="2322"/>
      <c r="BB652" s="2322"/>
      <c r="BC652" s="2322"/>
      <c r="BD652" s="2322"/>
      <c r="BE652" s="2322"/>
      <c r="BF652" s="2322"/>
      <c r="BG652" s="2322"/>
      <c r="BH652" s="2322"/>
      <c r="BI652" s="2322"/>
      <c r="BJ652" s="2322"/>
      <c r="BK652" s="2322"/>
      <c r="BL652" s="2322"/>
      <c r="BM652" s="2322"/>
      <c r="BN652" s="2322"/>
      <c r="BO652" s="2322"/>
      <c r="BP652" s="2322"/>
      <c r="BQ652" s="2322"/>
      <c r="BR652" s="2322"/>
      <c r="BS652" s="2322"/>
      <c r="BT652" s="2322"/>
      <c r="BU652" s="2322"/>
      <c r="BV652" s="2322"/>
      <c r="BW652" s="2322"/>
      <c r="BX652" s="2322"/>
      <c r="BY652" s="2322"/>
      <c r="BZ652" s="2322"/>
      <c r="CA652" s="2322"/>
      <c r="CB652" s="2322"/>
      <c r="CC652" s="2322"/>
      <c r="CD652" s="2322"/>
      <c r="CE652" s="2322"/>
      <c r="CF652" s="2322"/>
      <c r="CG652" s="2322"/>
      <c r="CH652" s="2322"/>
      <c r="CI652" s="2322"/>
      <c r="CJ652" s="2322"/>
      <c r="CK652" s="2322"/>
      <c r="CL652" s="2322"/>
      <c r="CM652" s="2322"/>
      <c r="CN652" s="2322"/>
      <c r="CO652" s="2322"/>
      <c r="CP652" s="2322"/>
      <c r="CQ652" s="2322"/>
      <c r="CR652" s="2322"/>
      <c r="CS652" s="2322"/>
      <c r="CT652" s="2322"/>
      <c r="CU652" s="2322"/>
      <c r="CV652" s="2322"/>
    </row>
    <row r="653" spans="1:100" ht="15.75" customHeight="1">
      <c r="A653" s="2328"/>
      <c r="B653" s="2322"/>
      <c r="C653" s="2322"/>
      <c r="D653" s="2322"/>
      <c r="E653" s="2322"/>
      <c r="F653" s="2322"/>
      <c r="G653" s="2322"/>
      <c r="H653" s="2322"/>
      <c r="I653" s="2322"/>
      <c r="J653" s="2322"/>
      <c r="K653" s="2322"/>
      <c r="L653" s="2322"/>
      <c r="M653" s="2322"/>
      <c r="N653" s="2322"/>
      <c r="O653" s="2322"/>
      <c r="P653" s="2322"/>
      <c r="Q653" s="2322"/>
      <c r="R653" s="2322"/>
      <c r="S653" s="2322"/>
      <c r="T653" s="2322"/>
      <c r="U653" s="2322"/>
      <c r="V653" s="2322"/>
      <c r="W653" s="2322"/>
      <c r="X653" s="2322"/>
      <c r="Y653" s="2322"/>
      <c r="Z653" s="2322"/>
      <c r="AA653" s="2322"/>
      <c r="AB653" s="2322"/>
      <c r="AC653" s="2322"/>
      <c r="AD653" s="2322"/>
      <c r="AE653" s="2322"/>
      <c r="AF653" s="2322"/>
      <c r="AG653" s="2322"/>
      <c r="AH653" s="2322"/>
      <c r="AI653" s="2322"/>
      <c r="AJ653" s="2322"/>
      <c r="AK653" s="2322"/>
      <c r="AL653" s="2322"/>
      <c r="AM653" s="2322"/>
      <c r="AN653" s="2322"/>
      <c r="AO653" s="2322"/>
      <c r="AP653" s="2322"/>
      <c r="AQ653" s="2322"/>
      <c r="AR653" s="2322"/>
      <c r="AS653" s="2322"/>
      <c r="AT653" s="2322"/>
      <c r="AU653" s="2322"/>
      <c r="AV653" s="2322"/>
      <c r="AW653" s="2322"/>
      <c r="AX653" s="2322"/>
      <c r="AY653" s="2322"/>
      <c r="AZ653" s="2322"/>
      <c r="BA653" s="2322"/>
      <c r="BB653" s="2322"/>
      <c r="BC653" s="2322"/>
      <c r="BD653" s="2322"/>
      <c r="BE653" s="2322"/>
      <c r="BF653" s="2322"/>
      <c r="BG653" s="2322"/>
      <c r="BH653" s="2322"/>
      <c r="BI653" s="2322"/>
      <c r="BJ653" s="2322"/>
      <c r="BK653" s="2322"/>
      <c r="BL653" s="2322"/>
      <c r="BM653" s="2322"/>
      <c r="BN653" s="2322"/>
      <c r="BO653" s="2322"/>
      <c r="BP653" s="2322"/>
      <c r="BQ653" s="2322"/>
      <c r="BR653" s="2322"/>
      <c r="BS653" s="2322"/>
      <c r="BT653" s="2322"/>
      <c r="BU653" s="2322"/>
      <c r="BV653" s="2322"/>
      <c r="BW653" s="2322"/>
      <c r="BX653" s="2322"/>
      <c r="BY653" s="2322"/>
      <c r="BZ653" s="2322"/>
      <c r="CA653" s="2322"/>
      <c r="CB653" s="2322"/>
      <c r="CC653" s="2322"/>
      <c r="CD653" s="2322"/>
      <c r="CE653" s="2322"/>
      <c r="CF653" s="2322"/>
      <c r="CG653" s="2322"/>
      <c r="CH653" s="2322"/>
      <c r="CI653" s="2322"/>
      <c r="CJ653" s="2322"/>
      <c r="CK653" s="2322"/>
      <c r="CL653" s="2322"/>
      <c r="CM653" s="2322"/>
      <c r="CN653" s="2322"/>
      <c r="CO653" s="2322"/>
      <c r="CP653" s="2322"/>
      <c r="CQ653" s="2322"/>
      <c r="CR653" s="2322"/>
      <c r="CS653" s="2322"/>
      <c r="CT653" s="2322"/>
      <c r="CU653" s="2322"/>
      <c r="CV653" s="2322"/>
    </row>
    <row r="654" spans="1:100" ht="15.75" customHeight="1">
      <c r="A654" s="2328"/>
      <c r="B654" s="2322"/>
      <c r="C654" s="2322"/>
      <c r="D654" s="2322"/>
      <c r="E654" s="2322"/>
      <c r="F654" s="2322"/>
      <c r="G654" s="2322"/>
      <c r="H654" s="2322"/>
      <c r="I654" s="2322"/>
      <c r="J654" s="2322"/>
      <c r="K654" s="2322"/>
      <c r="L654" s="2322"/>
      <c r="M654" s="2322"/>
      <c r="N654" s="2322"/>
      <c r="O654" s="2322"/>
      <c r="P654" s="2322"/>
      <c r="Q654" s="2322"/>
      <c r="R654" s="2322"/>
      <c r="S654" s="2322"/>
      <c r="T654" s="2322"/>
      <c r="U654" s="2322"/>
      <c r="V654" s="2322"/>
      <c r="W654" s="2322"/>
      <c r="X654" s="2322"/>
      <c r="Y654" s="2322"/>
      <c r="Z654" s="2322"/>
      <c r="AA654" s="2322"/>
      <c r="AB654" s="2322"/>
      <c r="AC654" s="2322"/>
      <c r="AD654" s="2322"/>
      <c r="AE654" s="2322"/>
      <c r="AF654" s="2322"/>
      <c r="AG654" s="2322"/>
      <c r="AH654" s="2322"/>
      <c r="AI654" s="2322"/>
      <c r="AJ654" s="2322"/>
      <c r="AK654" s="2322"/>
      <c r="AL654" s="2322"/>
      <c r="AM654" s="2322"/>
      <c r="AN654" s="2322"/>
      <c r="AO654" s="2322"/>
      <c r="AP654" s="2322"/>
      <c r="AQ654" s="2322"/>
      <c r="AR654" s="2322"/>
      <c r="AS654" s="2322"/>
      <c r="AT654" s="2322"/>
      <c r="AU654" s="2322"/>
      <c r="AV654" s="2322"/>
      <c r="AW654" s="2322"/>
      <c r="AX654" s="2322"/>
      <c r="AY654" s="2322"/>
      <c r="AZ654" s="2322"/>
      <c r="BA654" s="2322"/>
      <c r="BB654" s="2322"/>
      <c r="BC654" s="2322"/>
      <c r="BD654" s="2322"/>
      <c r="BE654" s="2322"/>
      <c r="BF654" s="2322"/>
      <c r="BG654" s="2322"/>
      <c r="BH654" s="2322"/>
      <c r="BI654" s="2322"/>
      <c r="BJ654" s="2322"/>
      <c r="BK654" s="2322"/>
      <c r="BL654" s="2322"/>
      <c r="BM654" s="2322"/>
      <c r="BN654" s="2322"/>
      <c r="BO654" s="2322"/>
      <c r="BP654" s="2322"/>
      <c r="BQ654" s="2322"/>
      <c r="BR654" s="2322"/>
      <c r="BS654" s="2322"/>
      <c r="BT654" s="2322"/>
      <c r="BU654" s="2322"/>
      <c r="BV654" s="2322"/>
      <c r="BW654" s="2322"/>
      <c r="BX654" s="2322"/>
      <c r="BY654" s="2322"/>
      <c r="BZ654" s="2322"/>
      <c r="CA654" s="2322"/>
      <c r="CB654" s="2322"/>
      <c r="CC654" s="2322"/>
      <c r="CD654" s="2322"/>
      <c r="CE654" s="2322"/>
      <c r="CF654" s="2322"/>
      <c r="CG654" s="2322"/>
      <c r="CH654" s="2322"/>
      <c r="CI654" s="2322"/>
      <c r="CJ654" s="2322"/>
      <c r="CK654" s="2322"/>
      <c r="CL654" s="2322"/>
      <c r="CM654" s="2322"/>
      <c r="CN654" s="2322"/>
      <c r="CO654" s="2322"/>
      <c r="CP654" s="2322"/>
      <c r="CQ654" s="2322"/>
      <c r="CR654" s="2322"/>
      <c r="CS654" s="2322"/>
      <c r="CT654" s="2322"/>
      <c r="CU654" s="2322"/>
      <c r="CV654" s="2322"/>
    </row>
    <row r="655" spans="1:100" ht="15.75" customHeight="1">
      <c r="A655" s="2328"/>
      <c r="B655" s="2322"/>
      <c r="C655" s="2322"/>
      <c r="D655" s="2322"/>
      <c r="E655" s="2322"/>
      <c r="F655" s="2322"/>
      <c r="G655" s="2322"/>
      <c r="H655" s="2322"/>
      <c r="I655" s="2322"/>
      <c r="J655" s="2322"/>
      <c r="K655" s="2322"/>
      <c r="L655" s="2322"/>
      <c r="M655" s="2322"/>
      <c r="N655" s="2322"/>
      <c r="O655" s="2322"/>
      <c r="P655" s="2322"/>
      <c r="Q655" s="2322"/>
      <c r="R655" s="2322"/>
      <c r="S655" s="2322"/>
      <c r="T655" s="2322"/>
      <c r="U655" s="2322"/>
      <c r="V655" s="2322"/>
      <c r="W655" s="2322"/>
      <c r="X655" s="2322"/>
      <c r="Y655" s="2322"/>
      <c r="Z655" s="2322"/>
      <c r="AA655" s="2322"/>
      <c r="AB655" s="2322"/>
      <c r="AC655" s="2322"/>
      <c r="AD655" s="2322"/>
      <c r="AE655" s="2322"/>
      <c r="AF655" s="2322"/>
      <c r="AG655" s="2322"/>
      <c r="AH655" s="2322"/>
      <c r="AI655" s="2322"/>
      <c r="AJ655" s="2322"/>
      <c r="AK655" s="2322"/>
      <c r="AL655" s="2322"/>
      <c r="AM655" s="2322"/>
      <c r="AN655" s="2322"/>
      <c r="AO655" s="2322"/>
      <c r="AP655" s="2322"/>
      <c r="AQ655" s="2322"/>
      <c r="AR655" s="2322"/>
      <c r="AS655" s="2322"/>
      <c r="AT655" s="2322"/>
      <c r="AU655" s="2322"/>
      <c r="AV655" s="2322"/>
      <c r="AW655" s="2322"/>
      <c r="AX655" s="2322"/>
      <c r="AY655" s="2322"/>
      <c r="AZ655" s="2322"/>
      <c r="BA655" s="2322"/>
      <c r="BB655" s="2322"/>
      <c r="BC655" s="2322"/>
      <c r="BD655" s="2322"/>
      <c r="BE655" s="2322"/>
      <c r="BF655" s="2322"/>
      <c r="BG655" s="2322"/>
      <c r="BH655" s="2322"/>
      <c r="BI655" s="2322"/>
      <c r="BJ655" s="2322"/>
      <c r="BK655" s="2322"/>
      <c r="BL655" s="2322"/>
      <c r="BM655" s="2322"/>
      <c r="BN655" s="2322"/>
      <c r="BO655" s="2322"/>
      <c r="BP655" s="2322"/>
      <c r="BQ655" s="2322"/>
      <c r="BR655" s="2322"/>
      <c r="BS655" s="2322"/>
      <c r="BT655" s="2322"/>
      <c r="BU655" s="2322"/>
      <c r="BV655" s="2322"/>
      <c r="BW655" s="2322"/>
      <c r="BX655" s="2322"/>
      <c r="BY655" s="2322"/>
      <c r="BZ655" s="2322"/>
      <c r="CA655" s="2322"/>
      <c r="CB655" s="2322"/>
      <c r="CC655" s="2322"/>
      <c r="CD655" s="2322"/>
      <c r="CE655" s="2322"/>
      <c r="CF655" s="2322"/>
      <c r="CG655" s="2322"/>
      <c r="CH655" s="2322"/>
      <c r="CI655" s="2322"/>
      <c r="CJ655" s="2322"/>
      <c r="CK655" s="2322"/>
      <c r="CL655" s="2322"/>
      <c r="CM655" s="2322"/>
      <c r="CN655" s="2322"/>
      <c r="CO655" s="2322"/>
      <c r="CP655" s="2322"/>
      <c r="CQ655" s="2322"/>
      <c r="CR655" s="2322"/>
      <c r="CS655" s="2322"/>
      <c r="CT655" s="2322"/>
      <c r="CU655" s="2322"/>
      <c r="CV655" s="2322"/>
    </row>
    <row r="656" spans="1:100" ht="15.75" customHeight="1">
      <c r="A656" s="2328"/>
      <c r="B656" s="2322"/>
      <c r="C656" s="2322"/>
      <c r="D656" s="2322"/>
      <c r="E656" s="2322"/>
      <c r="F656" s="2322"/>
      <c r="G656" s="2322"/>
      <c r="H656" s="2322"/>
      <c r="I656" s="2322"/>
      <c r="J656" s="2322"/>
      <c r="K656" s="2322"/>
      <c r="L656" s="2322"/>
      <c r="M656" s="2322"/>
      <c r="N656" s="2322"/>
      <c r="O656" s="2322"/>
      <c r="P656" s="2322"/>
      <c r="Q656" s="2322"/>
      <c r="R656" s="2322"/>
      <c r="S656" s="2322"/>
      <c r="T656" s="2322"/>
      <c r="U656" s="2322"/>
      <c r="V656" s="2322"/>
      <c r="W656" s="2322"/>
      <c r="X656" s="2322"/>
      <c r="Y656" s="2322"/>
      <c r="Z656" s="2322"/>
      <c r="AA656" s="2322"/>
      <c r="AB656" s="2322"/>
      <c r="AC656" s="2322"/>
      <c r="AD656" s="2322"/>
      <c r="AE656" s="2322"/>
      <c r="AF656" s="2322"/>
      <c r="AG656" s="2322"/>
      <c r="AH656" s="2322"/>
      <c r="AI656" s="2322"/>
      <c r="AJ656" s="2322"/>
      <c r="AK656" s="2322"/>
      <c r="AL656" s="2322"/>
      <c r="AM656" s="2322"/>
      <c r="AN656" s="2322"/>
      <c r="AO656" s="2322"/>
      <c r="AP656" s="2322"/>
      <c r="AQ656" s="2322"/>
      <c r="AR656" s="2322"/>
      <c r="AS656" s="2322"/>
      <c r="AT656" s="2322"/>
      <c r="AU656" s="2322"/>
      <c r="AV656" s="2322"/>
      <c r="AW656" s="2322"/>
      <c r="AX656" s="2322"/>
      <c r="AY656" s="2322"/>
      <c r="AZ656" s="2322"/>
      <c r="BA656" s="2322"/>
      <c r="BB656" s="2322"/>
      <c r="BC656" s="2322"/>
      <c r="BD656" s="2322"/>
      <c r="BE656" s="2322"/>
      <c r="BF656" s="2322"/>
      <c r="BG656" s="2322"/>
      <c r="BH656" s="2322"/>
      <c r="BI656" s="2322"/>
      <c r="BJ656" s="2322"/>
      <c r="BK656" s="2322"/>
      <c r="BL656" s="2322"/>
      <c r="BM656" s="2322"/>
      <c r="BN656" s="2322"/>
      <c r="BO656" s="2322"/>
      <c r="BP656" s="2322"/>
      <c r="BQ656" s="2322"/>
      <c r="BR656" s="2322"/>
      <c r="BS656" s="2322"/>
      <c r="BT656" s="2322"/>
      <c r="BU656" s="2322"/>
      <c r="BV656" s="2322"/>
      <c r="BW656" s="2322"/>
      <c r="BX656" s="2322"/>
      <c r="BY656" s="2322"/>
      <c r="BZ656" s="2322"/>
      <c r="CA656" s="2322"/>
      <c r="CB656" s="2322"/>
      <c r="CC656" s="2322"/>
      <c r="CD656" s="2322"/>
      <c r="CE656" s="2322"/>
      <c r="CF656" s="2322"/>
      <c r="CG656" s="2322"/>
      <c r="CH656" s="2322"/>
      <c r="CI656" s="2322"/>
      <c r="CJ656" s="2322"/>
      <c r="CK656" s="2322"/>
      <c r="CL656" s="2322"/>
      <c r="CM656" s="2322"/>
      <c r="CN656" s="2322"/>
      <c r="CO656" s="2322"/>
      <c r="CP656" s="2322"/>
      <c r="CQ656" s="2322"/>
      <c r="CR656" s="2322"/>
      <c r="CS656" s="2322"/>
      <c r="CT656" s="2322"/>
      <c r="CU656" s="2322"/>
      <c r="CV656" s="2322"/>
    </row>
    <row r="657" spans="1:100" ht="15.75" customHeight="1">
      <c r="A657" s="2328"/>
      <c r="B657" s="2322"/>
      <c r="C657" s="2322"/>
      <c r="D657" s="2322"/>
      <c r="E657" s="2322"/>
      <c r="F657" s="2322"/>
      <c r="G657" s="2322"/>
      <c r="H657" s="2322"/>
      <c r="I657" s="2322"/>
      <c r="J657" s="2322"/>
      <c r="K657" s="2322"/>
      <c r="L657" s="2322"/>
      <c r="M657" s="2322"/>
      <c r="N657" s="2322"/>
      <c r="O657" s="2322"/>
      <c r="P657" s="2322"/>
      <c r="Q657" s="2322"/>
      <c r="R657" s="2322"/>
      <c r="S657" s="2322"/>
      <c r="T657" s="2322"/>
      <c r="U657" s="2322"/>
      <c r="V657" s="2322"/>
      <c r="W657" s="2322"/>
      <c r="X657" s="2322"/>
      <c r="Y657" s="2322"/>
      <c r="Z657" s="2322"/>
      <c r="AA657" s="2322"/>
      <c r="AB657" s="2322"/>
      <c r="AC657" s="2322"/>
      <c r="AD657" s="2322"/>
      <c r="AE657" s="2322"/>
      <c r="AF657" s="2322"/>
      <c r="AG657" s="2322"/>
      <c r="AH657" s="2322"/>
      <c r="AI657" s="2322"/>
      <c r="AJ657" s="2322"/>
      <c r="AK657" s="2322"/>
      <c r="AL657" s="2322"/>
      <c r="AM657" s="2322"/>
      <c r="AN657" s="2322"/>
      <c r="AO657" s="2322"/>
      <c r="AP657" s="2322"/>
      <c r="AQ657" s="2322"/>
      <c r="AR657" s="2322"/>
      <c r="AS657" s="2322"/>
      <c r="AT657" s="2322"/>
      <c r="AU657" s="2322"/>
      <c r="AV657" s="2322"/>
      <c r="AW657" s="2322"/>
      <c r="AX657" s="2322"/>
      <c r="AY657" s="2322"/>
      <c r="AZ657" s="2322"/>
      <c r="BA657" s="2322"/>
      <c r="BB657" s="2322"/>
      <c r="BC657" s="2322"/>
      <c r="BD657" s="2322"/>
      <c r="BE657" s="2322"/>
      <c r="BF657" s="2322"/>
      <c r="BG657" s="2322"/>
      <c r="BH657" s="2322"/>
      <c r="BI657" s="2322"/>
      <c r="BJ657" s="2322"/>
      <c r="BK657" s="2322"/>
      <c r="BL657" s="2322"/>
      <c r="BM657" s="2322"/>
      <c r="BN657" s="2322"/>
      <c r="BO657" s="2322"/>
      <c r="BP657" s="2322"/>
      <c r="BQ657" s="2322"/>
      <c r="BR657" s="2322"/>
      <c r="BS657" s="2322"/>
      <c r="BT657" s="2322"/>
      <c r="BU657" s="2322"/>
      <c r="BV657" s="2322"/>
      <c r="BW657" s="2322"/>
      <c r="BX657" s="2322"/>
      <c r="BY657" s="2322"/>
      <c r="BZ657" s="2322"/>
      <c r="CA657" s="2322"/>
      <c r="CB657" s="2322"/>
      <c r="CC657" s="2322"/>
      <c r="CD657" s="2322"/>
      <c r="CE657" s="2322"/>
      <c r="CF657" s="2322"/>
      <c r="CG657" s="2322"/>
      <c r="CH657" s="2322"/>
      <c r="CI657" s="2322"/>
      <c r="CJ657" s="2322"/>
      <c r="CK657" s="2322"/>
      <c r="CL657" s="2322"/>
      <c r="CM657" s="2322"/>
      <c r="CN657" s="2322"/>
      <c r="CO657" s="2322"/>
      <c r="CP657" s="2322"/>
      <c r="CQ657" s="2322"/>
      <c r="CR657" s="2322"/>
      <c r="CS657" s="2322"/>
      <c r="CT657" s="2322"/>
      <c r="CU657" s="2322"/>
      <c r="CV657" s="2322"/>
    </row>
    <row r="658" spans="1:100" ht="15.75" customHeight="1">
      <c r="A658" s="2328"/>
      <c r="B658" s="2322"/>
      <c r="C658" s="2322"/>
      <c r="D658" s="2322"/>
      <c r="E658" s="2322"/>
      <c r="F658" s="2322"/>
      <c r="G658" s="2322"/>
      <c r="H658" s="2322"/>
      <c r="I658" s="2322"/>
      <c r="J658" s="2322"/>
      <c r="K658" s="2322"/>
      <c r="L658" s="2322"/>
      <c r="M658" s="2322"/>
      <c r="N658" s="2322"/>
      <c r="O658" s="2322"/>
      <c r="P658" s="2322"/>
      <c r="Q658" s="2322"/>
      <c r="R658" s="2322"/>
      <c r="S658" s="2322"/>
      <c r="T658" s="2322"/>
      <c r="U658" s="2322"/>
      <c r="V658" s="2322"/>
      <c r="W658" s="2322"/>
      <c r="X658" s="2322"/>
      <c r="Y658" s="2322"/>
      <c r="Z658" s="2322"/>
      <c r="AA658" s="2322"/>
      <c r="AB658" s="2322"/>
      <c r="AC658" s="2322"/>
      <c r="AD658" s="2322"/>
      <c r="AE658" s="2322"/>
      <c r="AF658" s="2322"/>
      <c r="AG658" s="2322"/>
      <c r="AH658" s="2322"/>
      <c r="AI658" s="2322"/>
      <c r="AJ658" s="2322"/>
      <c r="AK658" s="2322"/>
      <c r="AL658" s="2322"/>
      <c r="AM658" s="2322"/>
      <c r="AN658" s="2322"/>
      <c r="AO658" s="2322"/>
      <c r="AP658" s="2322"/>
      <c r="AQ658" s="2322"/>
      <c r="AR658" s="2322"/>
      <c r="AS658" s="2322"/>
      <c r="AT658" s="2322"/>
      <c r="AU658" s="2322"/>
      <c r="AV658" s="2322"/>
      <c r="AW658" s="2322"/>
      <c r="AX658" s="2322"/>
      <c r="AY658" s="2322"/>
      <c r="AZ658" s="2322"/>
      <c r="BA658" s="2322"/>
      <c r="BB658" s="2322"/>
      <c r="BC658" s="2322"/>
      <c r="BD658" s="2322"/>
      <c r="BE658" s="2322"/>
      <c r="BF658" s="2322"/>
      <c r="BG658" s="2322"/>
      <c r="BH658" s="2322"/>
      <c r="BI658" s="2322"/>
      <c r="BJ658" s="2322"/>
      <c r="BK658" s="2322"/>
      <c r="BL658" s="2322"/>
      <c r="BM658" s="2322"/>
      <c r="BN658" s="2322"/>
      <c r="BO658" s="2322"/>
      <c r="BP658" s="2322"/>
      <c r="BQ658" s="2322"/>
      <c r="BR658" s="2322"/>
      <c r="BS658" s="2322"/>
      <c r="BT658" s="2322"/>
      <c r="BU658" s="2322"/>
      <c r="BV658" s="2322"/>
      <c r="BW658" s="2322"/>
      <c r="BX658" s="2322"/>
      <c r="BY658" s="2322"/>
      <c r="BZ658" s="2322"/>
      <c r="CA658" s="2322"/>
      <c r="CB658" s="2322"/>
      <c r="CC658" s="2322"/>
      <c r="CD658" s="2322"/>
      <c r="CE658" s="2322"/>
      <c r="CF658" s="2322"/>
      <c r="CG658" s="2322"/>
      <c r="CH658" s="2322"/>
      <c r="CI658" s="2322"/>
      <c r="CJ658" s="2322"/>
      <c r="CK658" s="2322"/>
      <c r="CL658" s="2322"/>
      <c r="CM658" s="2322"/>
      <c r="CN658" s="2322"/>
      <c r="CO658" s="2322"/>
      <c r="CP658" s="2322"/>
      <c r="CQ658" s="2322"/>
      <c r="CR658" s="2322"/>
      <c r="CS658" s="2322"/>
      <c r="CT658" s="2322"/>
      <c r="CU658" s="2322"/>
      <c r="CV658" s="2322"/>
    </row>
    <row r="659" spans="1:100" ht="15.75" customHeight="1">
      <c r="A659" s="2328"/>
      <c r="B659" s="2322"/>
      <c r="C659" s="2322"/>
      <c r="D659" s="2322"/>
      <c r="E659" s="2322"/>
      <c r="F659" s="2322"/>
      <c r="G659" s="2322"/>
      <c r="H659" s="2322"/>
      <c r="I659" s="2322"/>
      <c r="J659" s="2322"/>
      <c r="K659" s="2322"/>
      <c r="L659" s="2322"/>
      <c r="M659" s="2322"/>
      <c r="N659" s="2322"/>
      <c r="O659" s="2322"/>
      <c r="P659" s="2322"/>
      <c r="Q659" s="2322"/>
      <c r="R659" s="2322"/>
      <c r="S659" s="2322"/>
      <c r="T659" s="2322"/>
      <c r="U659" s="2322"/>
      <c r="V659" s="2322"/>
      <c r="W659" s="2322"/>
      <c r="X659" s="2322"/>
      <c r="Y659" s="2322"/>
      <c r="Z659" s="2322"/>
      <c r="AA659" s="2322"/>
      <c r="AB659" s="2322"/>
      <c r="AC659" s="2322"/>
      <c r="AD659" s="2322"/>
      <c r="AE659" s="2322"/>
      <c r="AF659" s="2322"/>
      <c r="AG659" s="2322"/>
      <c r="AH659" s="2322"/>
      <c r="AI659" s="2322"/>
      <c r="AJ659" s="2322"/>
      <c r="AK659" s="2322"/>
      <c r="AL659" s="2322"/>
      <c r="AM659" s="2322"/>
      <c r="AN659" s="2322"/>
      <c r="AO659" s="2322"/>
      <c r="AP659" s="2322"/>
      <c r="AQ659" s="2322"/>
      <c r="AR659" s="2322"/>
      <c r="AS659" s="2322"/>
      <c r="AT659" s="2322"/>
      <c r="AU659" s="2322"/>
      <c r="AV659" s="2322"/>
      <c r="AW659" s="2322"/>
      <c r="AX659" s="2322"/>
      <c r="AY659" s="2322"/>
      <c r="AZ659" s="2322"/>
      <c r="BA659" s="2322"/>
      <c r="BB659" s="2322"/>
      <c r="BC659" s="2322"/>
      <c r="BD659" s="2322"/>
      <c r="BE659" s="2322"/>
      <c r="BF659" s="2322"/>
      <c r="BG659" s="2322"/>
      <c r="BH659" s="2322"/>
      <c r="BI659" s="2322"/>
      <c r="BJ659" s="2322"/>
      <c r="BK659" s="2322"/>
      <c r="BL659" s="2322"/>
      <c r="BM659" s="2322"/>
      <c r="BN659" s="2322"/>
      <c r="BO659" s="2322"/>
      <c r="BP659" s="2322"/>
      <c r="BQ659" s="2322"/>
      <c r="BR659" s="2322"/>
      <c r="BS659" s="2322"/>
      <c r="BT659" s="2322"/>
      <c r="BU659" s="2322"/>
      <c r="BV659" s="2322"/>
      <c r="BW659" s="2322"/>
      <c r="BX659" s="2322"/>
      <c r="BY659" s="2322"/>
      <c r="BZ659" s="2322"/>
      <c r="CA659" s="2322"/>
      <c r="CB659" s="2322"/>
      <c r="CC659" s="2322"/>
      <c r="CD659" s="2322"/>
      <c r="CE659" s="2322"/>
      <c r="CF659" s="2322"/>
      <c r="CG659" s="2322"/>
      <c r="CH659" s="2322"/>
      <c r="CI659" s="2322"/>
      <c r="CJ659" s="2322"/>
      <c r="CK659" s="2322"/>
      <c r="CL659" s="2322"/>
      <c r="CM659" s="2322"/>
      <c r="CN659" s="2322"/>
      <c r="CO659" s="2322"/>
      <c r="CP659" s="2322"/>
      <c r="CQ659" s="2322"/>
      <c r="CR659" s="2322"/>
      <c r="CS659" s="2322"/>
      <c r="CT659" s="2322"/>
      <c r="CU659" s="2322"/>
      <c r="CV659" s="2322"/>
    </row>
    <row r="660" spans="1:100" ht="15.75" customHeight="1">
      <c r="A660" s="2328"/>
      <c r="B660" s="2322"/>
      <c r="C660" s="2322"/>
      <c r="D660" s="2322"/>
      <c r="E660" s="2322"/>
      <c r="F660" s="2322"/>
      <c r="G660" s="2322"/>
      <c r="H660" s="2322"/>
      <c r="I660" s="2322"/>
      <c r="J660" s="2322"/>
      <c r="K660" s="2322"/>
      <c r="L660" s="2322"/>
      <c r="M660" s="2322"/>
      <c r="N660" s="2322"/>
      <c r="O660" s="2322"/>
      <c r="P660" s="2322"/>
      <c r="Q660" s="2322"/>
      <c r="R660" s="2322"/>
      <c r="S660" s="2322"/>
      <c r="T660" s="2322"/>
      <c r="U660" s="2322"/>
      <c r="V660" s="2322"/>
      <c r="W660" s="2322"/>
      <c r="X660" s="2322"/>
      <c r="Y660" s="2322"/>
      <c r="Z660" s="2322"/>
      <c r="AA660" s="2322"/>
      <c r="AB660" s="2322"/>
      <c r="AC660" s="2322"/>
      <c r="AD660" s="2322"/>
      <c r="AE660" s="2322"/>
      <c r="AF660" s="2322"/>
      <c r="AG660" s="2322"/>
      <c r="AH660" s="2322"/>
      <c r="AI660" s="2322"/>
      <c r="AJ660" s="2322"/>
      <c r="AK660" s="2322"/>
      <c r="AL660" s="2322"/>
      <c r="AM660" s="2322"/>
      <c r="AN660" s="2322"/>
      <c r="AO660" s="2322"/>
      <c r="AP660" s="2322"/>
      <c r="AQ660" s="2322"/>
      <c r="AR660" s="2322"/>
      <c r="AS660" s="2322"/>
      <c r="AT660" s="2322"/>
      <c r="AU660" s="2322"/>
      <c r="AV660" s="2322"/>
      <c r="AW660" s="2322"/>
      <c r="AX660" s="2322"/>
      <c r="AY660" s="2322"/>
      <c r="AZ660" s="2322"/>
      <c r="BA660" s="2322"/>
      <c r="BB660" s="2322"/>
      <c r="BC660" s="2322"/>
      <c r="BD660" s="2322"/>
      <c r="BE660" s="2322"/>
      <c r="BF660" s="2322"/>
      <c r="BG660" s="2322"/>
      <c r="BH660" s="2322"/>
      <c r="BI660" s="2322"/>
      <c r="BJ660" s="2322"/>
      <c r="BK660" s="2322"/>
      <c r="BL660" s="2322"/>
      <c r="BM660" s="2322"/>
      <c r="BN660" s="2322"/>
      <c r="BO660" s="2322"/>
      <c r="BP660" s="2322"/>
      <c r="BQ660" s="2322"/>
      <c r="BR660" s="2322"/>
      <c r="BS660" s="2322"/>
      <c r="BT660" s="2322"/>
      <c r="BU660" s="2322"/>
      <c r="BV660" s="2322"/>
      <c r="BW660" s="2322"/>
      <c r="BX660" s="2322"/>
      <c r="BY660" s="2322"/>
      <c r="BZ660" s="2322"/>
      <c r="CA660" s="2322"/>
      <c r="CB660" s="2322"/>
      <c r="CC660" s="2322"/>
      <c r="CD660" s="2322"/>
      <c r="CE660" s="2322"/>
      <c r="CF660" s="2322"/>
      <c r="CG660" s="2322"/>
      <c r="CH660" s="2322"/>
      <c r="CI660" s="2322"/>
      <c r="CJ660" s="2322"/>
      <c r="CK660" s="2322"/>
      <c r="CL660" s="2322"/>
      <c r="CM660" s="2322"/>
      <c r="CN660" s="2322"/>
      <c r="CO660" s="2322"/>
      <c r="CP660" s="2322"/>
      <c r="CQ660" s="2322"/>
      <c r="CR660" s="2322"/>
      <c r="CS660" s="2322"/>
      <c r="CT660" s="2322"/>
      <c r="CU660" s="2322"/>
      <c r="CV660" s="2322"/>
    </row>
    <row r="661" spans="1:100" ht="15.75" customHeight="1">
      <c r="A661" s="2328"/>
      <c r="B661" s="2322"/>
      <c r="C661" s="2322"/>
      <c r="D661" s="2322"/>
      <c r="E661" s="2322"/>
      <c r="F661" s="2322"/>
      <c r="G661" s="2322"/>
      <c r="H661" s="2322"/>
      <c r="I661" s="2322"/>
      <c r="J661" s="2322"/>
      <c r="K661" s="2322"/>
      <c r="L661" s="2322"/>
      <c r="M661" s="2322"/>
      <c r="N661" s="2322"/>
      <c r="O661" s="2322"/>
      <c r="P661" s="2322"/>
      <c r="Q661" s="2322"/>
      <c r="R661" s="2322"/>
      <c r="S661" s="2322"/>
      <c r="T661" s="2322"/>
      <c r="U661" s="2322"/>
      <c r="V661" s="2322"/>
      <c r="W661" s="2322"/>
      <c r="X661" s="2322"/>
      <c r="Y661" s="2322"/>
      <c r="Z661" s="2322"/>
      <c r="AA661" s="2322"/>
      <c r="AB661" s="2322"/>
      <c r="AC661" s="2322"/>
      <c r="AD661" s="2322"/>
      <c r="AE661" s="2322"/>
      <c r="AF661" s="2322"/>
      <c r="AG661" s="2322"/>
      <c r="AH661" s="2322"/>
      <c r="AI661" s="2322"/>
      <c r="AJ661" s="2322"/>
      <c r="AK661" s="2322"/>
      <c r="AL661" s="2322"/>
      <c r="AM661" s="2322"/>
      <c r="AN661" s="2322"/>
      <c r="AO661" s="2322"/>
      <c r="AP661" s="2322"/>
      <c r="AQ661" s="2322"/>
      <c r="AR661" s="2322"/>
      <c r="AS661" s="2322"/>
      <c r="AT661" s="2322"/>
      <c r="AU661" s="2322"/>
      <c r="AV661" s="2322"/>
      <c r="AW661" s="2322"/>
      <c r="AX661" s="2322"/>
      <c r="AY661" s="2322"/>
      <c r="AZ661" s="2322"/>
      <c r="BA661" s="2322"/>
      <c r="BB661" s="2322"/>
      <c r="BC661" s="2322"/>
      <c r="BD661" s="2322"/>
      <c r="BE661" s="2322"/>
      <c r="BF661" s="2322"/>
      <c r="BG661" s="2322"/>
      <c r="BH661" s="2322"/>
      <c r="BI661" s="2322"/>
      <c r="BJ661" s="2322"/>
      <c r="BK661" s="2322"/>
      <c r="BL661" s="2322"/>
      <c r="BM661" s="2322"/>
      <c r="BN661" s="2322"/>
      <c r="BO661" s="2322"/>
      <c r="BP661" s="2322"/>
      <c r="BQ661" s="2322"/>
      <c r="BR661" s="2322"/>
      <c r="BS661" s="2322"/>
      <c r="BT661" s="2322"/>
      <c r="BU661" s="2322"/>
      <c r="BV661" s="2322"/>
      <c r="BW661" s="2322"/>
      <c r="BX661" s="2322"/>
      <c r="BY661" s="2322"/>
      <c r="BZ661" s="2322"/>
      <c r="CA661" s="2322"/>
      <c r="CB661" s="2322"/>
      <c r="CC661" s="2322"/>
      <c r="CD661" s="2322"/>
      <c r="CE661" s="2322"/>
      <c r="CF661" s="2322"/>
      <c r="CG661" s="2322"/>
      <c r="CH661" s="2322"/>
      <c r="CI661" s="2322"/>
      <c r="CJ661" s="2322"/>
      <c r="CK661" s="2322"/>
      <c r="CL661" s="2322"/>
      <c r="CM661" s="2322"/>
      <c r="CN661" s="2322"/>
      <c r="CO661" s="2322"/>
      <c r="CP661" s="2322"/>
      <c r="CQ661" s="2322"/>
      <c r="CR661" s="2322"/>
      <c r="CS661" s="2322"/>
      <c r="CT661" s="2322"/>
      <c r="CU661" s="2322"/>
      <c r="CV661" s="2322"/>
    </row>
    <row r="662" spans="1:100" ht="15.75" customHeight="1">
      <c r="A662" s="2328"/>
      <c r="B662" s="2322"/>
      <c r="C662" s="2322"/>
      <c r="D662" s="2322"/>
      <c r="E662" s="2322"/>
      <c r="F662" s="2322"/>
      <c r="G662" s="2322"/>
      <c r="H662" s="2322"/>
      <c r="I662" s="2322"/>
      <c r="J662" s="2322"/>
      <c r="K662" s="2322"/>
      <c r="L662" s="2322"/>
      <c r="M662" s="2322"/>
      <c r="N662" s="2322"/>
      <c r="O662" s="2322"/>
      <c r="P662" s="2322"/>
      <c r="Q662" s="2322"/>
      <c r="R662" s="2322"/>
      <c r="S662" s="2322"/>
      <c r="T662" s="2322"/>
      <c r="U662" s="2322"/>
      <c r="V662" s="2322"/>
      <c r="W662" s="2322"/>
      <c r="X662" s="2322"/>
      <c r="Y662" s="2322"/>
      <c r="Z662" s="2322"/>
      <c r="AA662" s="2322"/>
      <c r="AB662" s="2322"/>
      <c r="AC662" s="2322"/>
      <c r="AD662" s="2322"/>
      <c r="AE662" s="2322"/>
      <c r="AF662" s="2322"/>
      <c r="AG662" s="2322"/>
      <c r="AH662" s="2322"/>
      <c r="AI662" s="2322"/>
      <c r="AJ662" s="2322"/>
      <c r="AK662" s="2322"/>
      <c r="AL662" s="2322"/>
      <c r="AM662" s="2322"/>
      <c r="AN662" s="2322"/>
      <c r="AO662" s="2322"/>
      <c r="AP662" s="2322"/>
      <c r="AQ662" s="2322"/>
      <c r="AR662" s="2322"/>
      <c r="AS662" s="2322"/>
      <c r="AT662" s="2322"/>
      <c r="AU662" s="2322"/>
      <c r="AV662" s="2322"/>
      <c r="AW662" s="2322"/>
      <c r="AX662" s="2322"/>
      <c r="AY662" s="2322"/>
      <c r="AZ662" s="2322"/>
      <c r="BA662" s="2322"/>
      <c r="BB662" s="2322"/>
      <c r="BC662" s="2322"/>
      <c r="BD662" s="2322"/>
      <c r="BE662" s="2322"/>
      <c r="BF662" s="2322"/>
      <c r="BG662" s="2322"/>
      <c r="BH662" s="2322"/>
      <c r="BI662" s="2322"/>
      <c r="BJ662" s="2322"/>
      <c r="BK662" s="2322"/>
      <c r="BL662" s="2322"/>
      <c r="BM662" s="2322"/>
      <c r="BN662" s="2322"/>
      <c r="BO662" s="2322"/>
      <c r="BP662" s="2322"/>
      <c r="BQ662" s="2322"/>
      <c r="BR662" s="2322"/>
      <c r="BS662" s="2322"/>
      <c r="BT662" s="2322"/>
      <c r="BU662" s="2322"/>
      <c r="BV662" s="2322"/>
      <c r="BW662" s="2322"/>
      <c r="BX662" s="2322"/>
      <c r="BY662" s="2322"/>
      <c r="BZ662" s="2322"/>
      <c r="CA662" s="2322"/>
      <c r="CB662" s="2322"/>
      <c r="CC662" s="2322"/>
      <c r="CD662" s="2322"/>
      <c r="CE662" s="2322"/>
      <c r="CF662" s="2322"/>
      <c r="CG662" s="2322"/>
      <c r="CH662" s="2322"/>
      <c r="CI662" s="2322"/>
      <c r="CJ662" s="2322"/>
      <c r="CK662" s="2322"/>
      <c r="CL662" s="2322"/>
      <c r="CM662" s="2322"/>
      <c r="CN662" s="2322"/>
      <c r="CO662" s="2322"/>
      <c r="CP662" s="2322"/>
      <c r="CQ662" s="2322"/>
      <c r="CR662" s="2322"/>
      <c r="CS662" s="2322"/>
      <c r="CT662" s="2322"/>
      <c r="CU662" s="2322"/>
      <c r="CV662" s="2322"/>
    </row>
    <row r="663" spans="1:100" ht="15.75" customHeight="1">
      <c r="A663" s="2328"/>
      <c r="B663" s="2322"/>
      <c r="C663" s="2322"/>
      <c r="D663" s="2322"/>
      <c r="E663" s="2322"/>
      <c r="F663" s="2322"/>
      <c r="G663" s="2322"/>
      <c r="H663" s="2322"/>
      <c r="I663" s="2322"/>
      <c r="J663" s="2322"/>
      <c r="K663" s="2322"/>
      <c r="L663" s="2322"/>
      <c r="M663" s="2322"/>
      <c r="N663" s="2322"/>
      <c r="O663" s="2322"/>
      <c r="P663" s="2322"/>
      <c r="Q663" s="2322"/>
      <c r="R663" s="2322"/>
      <c r="S663" s="2322"/>
      <c r="T663" s="2322"/>
      <c r="U663" s="2322"/>
      <c r="V663" s="2322"/>
      <c r="W663" s="2322"/>
      <c r="X663" s="2322"/>
      <c r="Y663" s="2322"/>
      <c r="Z663" s="2322"/>
      <c r="AA663" s="2322"/>
      <c r="AB663" s="2322"/>
      <c r="AC663" s="2322"/>
      <c r="AD663" s="2322"/>
      <c r="AE663" s="2322"/>
      <c r="AF663" s="2322"/>
      <c r="AG663" s="2322"/>
      <c r="AH663" s="2322"/>
      <c r="AI663" s="2322"/>
      <c r="AJ663" s="2322"/>
      <c r="AK663" s="2322"/>
      <c r="AL663" s="2322"/>
      <c r="AM663" s="2322"/>
      <c r="AN663" s="2322"/>
      <c r="AO663" s="2322"/>
      <c r="AP663" s="2322"/>
      <c r="AQ663" s="2322"/>
      <c r="AR663" s="2322"/>
      <c r="AS663" s="2322"/>
      <c r="AT663" s="2322"/>
      <c r="AU663" s="2322"/>
      <c r="AV663" s="2322"/>
      <c r="AW663" s="2322"/>
      <c r="AX663" s="2322"/>
      <c r="AY663" s="2322"/>
      <c r="AZ663" s="2322"/>
      <c r="BA663" s="2322"/>
      <c r="BB663" s="2322"/>
      <c r="BC663" s="2322"/>
      <c r="BD663" s="2322"/>
      <c r="BE663" s="2322"/>
      <c r="BF663" s="2322"/>
      <c r="BG663" s="2322"/>
      <c r="BH663" s="2322"/>
      <c r="BI663" s="2322"/>
      <c r="BJ663" s="2322"/>
      <c r="BK663" s="2322"/>
      <c r="BL663" s="2322"/>
      <c r="BM663" s="2322"/>
      <c r="BN663" s="2322"/>
      <c r="BO663" s="2322"/>
      <c r="BP663" s="2322"/>
      <c r="BQ663" s="2322"/>
      <c r="BR663" s="2322"/>
      <c r="BS663" s="2322"/>
      <c r="BT663" s="2322"/>
      <c r="BU663" s="2322"/>
      <c r="BV663" s="2322"/>
      <c r="BW663" s="2322"/>
      <c r="BX663" s="2322"/>
      <c r="BY663" s="2322"/>
      <c r="BZ663" s="2322"/>
      <c r="CA663" s="2322"/>
      <c r="CB663" s="2322"/>
      <c r="CC663" s="2322"/>
      <c r="CD663" s="2322"/>
      <c r="CE663" s="2322"/>
      <c r="CF663" s="2322"/>
      <c r="CG663" s="2322"/>
      <c r="CH663" s="2322"/>
      <c r="CI663" s="2322"/>
      <c r="CJ663" s="2322"/>
      <c r="CK663" s="2322"/>
      <c r="CL663" s="2322"/>
      <c r="CM663" s="2322"/>
      <c r="CN663" s="2322"/>
      <c r="CO663" s="2322"/>
      <c r="CP663" s="2322"/>
      <c r="CQ663" s="2322"/>
      <c r="CR663" s="2322"/>
      <c r="CS663" s="2322"/>
      <c r="CT663" s="2322"/>
      <c r="CU663" s="2322"/>
      <c r="CV663" s="2322"/>
    </row>
    <row r="664" spans="1:100" ht="15.75" customHeight="1">
      <c r="A664" s="2328"/>
      <c r="B664" s="2322"/>
      <c r="C664" s="2322"/>
      <c r="D664" s="2322"/>
      <c r="E664" s="2322"/>
      <c r="F664" s="2322"/>
      <c r="G664" s="2322"/>
      <c r="H664" s="2322"/>
      <c r="I664" s="2322"/>
      <c r="J664" s="2322"/>
      <c r="K664" s="2322"/>
      <c r="L664" s="2322"/>
      <c r="M664" s="2322"/>
      <c r="N664" s="2322"/>
      <c r="O664" s="2322"/>
      <c r="P664" s="2322"/>
      <c r="Q664" s="2322"/>
      <c r="R664" s="2322"/>
      <c r="S664" s="2322"/>
      <c r="T664" s="2322"/>
      <c r="U664" s="2322"/>
      <c r="V664" s="2322"/>
      <c r="W664" s="2322"/>
      <c r="X664" s="2322"/>
      <c r="Y664" s="2322"/>
      <c r="Z664" s="2322"/>
      <c r="AA664" s="2322"/>
      <c r="AB664" s="2322"/>
      <c r="AC664" s="2322"/>
      <c r="AD664" s="2322"/>
      <c r="AE664" s="2322"/>
      <c r="AF664" s="2322"/>
      <c r="AG664" s="2322"/>
      <c r="AH664" s="2322"/>
      <c r="AI664" s="2322"/>
      <c r="AJ664" s="2322"/>
      <c r="AK664" s="2322"/>
      <c r="AL664" s="2322"/>
      <c r="AM664" s="2322"/>
      <c r="AN664" s="2322"/>
      <c r="AO664" s="2322"/>
      <c r="AP664" s="2322"/>
      <c r="AQ664" s="2322"/>
      <c r="AR664" s="2322"/>
      <c r="AS664" s="2322"/>
      <c r="AT664" s="2322"/>
      <c r="AU664" s="2322"/>
      <c r="AV664" s="2322"/>
      <c r="AW664" s="2322"/>
      <c r="AX664" s="2322"/>
      <c r="AY664" s="2322"/>
      <c r="AZ664" s="2322"/>
      <c r="BA664" s="2322"/>
      <c r="BB664" s="2322"/>
      <c r="BC664" s="2322"/>
      <c r="BD664" s="2322"/>
      <c r="BE664" s="2322"/>
      <c r="BF664" s="2322"/>
      <c r="BG664" s="2322"/>
      <c r="BH664" s="2322"/>
      <c r="BI664" s="2322"/>
      <c r="BJ664" s="2322"/>
      <c r="BK664" s="2322"/>
      <c r="BL664" s="2322"/>
      <c r="BM664" s="2322"/>
      <c r="BN664" s="2322"/>
      <c r="BO664" s="2322"/>
      <c r="BP664" s="2322"/>
      <c r="BQ664" s="2322"/>
      <c r="BR664" s="2322"/>
      <c r="BS664" s="2322"/>
      <c r="BT664" s="2322"/>
      <c r="BU664" s="2322"/>
      <c r="BV664" s="2322"/>
      <c r="BW664" s="2322"/>
      <c r="BX664" s="2322"/>
      <c r="BY664" s="2322"/>
      <c r="BZ664" s="2322"/>
      <c r="CA664" s="2322"/>
      <c r="CB664" s="2322"/>
      <c r="CC664" s="2322"/>
      <c r="CD664" s="2322"/>
      <c r="CE664" s="2322"/>
      <c r="CF664" s="2322"/>
      <c r="CG664" s="2322"/>
      <c r="CH664" s="2322"/>
      <c r="CI664" s="2322"/>
      <c r="CJ664" s="2322"/>
      <c r="CK664" s="2322"/>
      <c r="CL664" s="2322"/>
      <c r="CM664" s="2322"/>
      <c r="CN664" s="2322"/>
      <c r="CO664" s="2322"/>
      <c r="CP664" s="2322"/>
      <c r="CQ664" s="2322"/>
      <c r="CR664" s="2322"/>
      <c r="CS664" s="2322"/>
      <c r="CT664" s="2322"/>
      <c r="CU664" s="2322"/>
      <c r="CV664" s="2322"/>
    </row>
    <row r="665" spans="1:100" ht="15.75" customHeight="1">
      <c r="A665" s="2328"/>
      <c r="B665" s="2322"/>
      <c r="C665" s="2322"/>
      <c r="D665" s="2322"/>
      <c r="E665" s="2322"/>
      <c r="F665" s="2322"/>
      <c r="G665" s="2322"/>
      <c r="H665" s="2322"/>
      <c r="I665" s="2322"/>
      <c r="J665" s="2322"/>
      <c r="K665" s="2322"/>
      <c r="L665" s="2322"/>
      <c r="M665" s="2322"/>
      <c r="N665" s="2322"/>
      <c r="O665" s="2322"/>
      <c r="P665" s="2322"/>
      <c r="Q665" s="2322"/>
      <c r="R665" s="2322"/>
      <c r="S665" s="2322"/>
      <c r="T665" s="2322"/>
      <c r="U665" s="2322"/>
      <c r="V665" s="2322"/>
      <c r="W665" s="2322"/>
      <c r="X665" s="2322"/>
      <c r="Y665" s="2322"/>
      <c r="Z665" s="2322"/>
      <c r="AA665" s="2322"/>
      <c r="AB665" s="2322"/>
      <c r="AC665" s="2322"/>
      <c r="AD665" s="2322"/>
      <c r="AE665" s="2322"/>
      <c r="AF665" s="2322"/>
      <c r="AG665" s="2322"/>
      <c r="AH665" s="2322"/>
      <c r="AI665" s="2322"/>
      <c r="AJ665" s="2322"/>
      <c r="AK665" s="2322"/>
      <c r="AL665" s="2322"/>
      <c r="AM665" s="2322"/>
      <c r="AN665" s="2322"/>
      <c r="AO665" s="2322"/>
      <c r="AP665" s="2322"/>
      <c r="AQ665" s="2322"/>
      <c r="AR665" s="2322"/>
      <c r="AS665" s="2322"/>
      <c r="AT665" s="2322"/>
      <c r="AU665" s="2322"/>
      <c r="AV665" s="2322"/>
      <c r="AW665" s="2322"/>
      <c r="AX665" s="2322"/>
      <c r="AY665" s="2322"/>
      <c r="AZ665" s="2322"/>
      <c r="BA665" s="2322"/>
      <c r="BB665" s="2322"/>
      <c r="BC665" s="2322"/>
      <c r="BD665" s="2322"/>
      <c r="BE665" s="2322"/>
      <c r="BF665" s="2322"/>
      <c r="BG665" s="2322"/>
      <c r="BH665" s="2322"/>
      <c r="BI665" s="2322"/>
      <c r="BJ665" s="2322"/>
      <c r="BK665" s="2322"/>
      <c r="BL665" s="2322"/>
      <c r="BM665" s="2322"/>
      <c r="BN665" s="2322"/>
      <c r="BO665" s="2322"/>
      <c r="BP665" s="2322"/>
      <c r="BQ665" s="2322"/>
      <c r="BR665" s="2322"/>
      <c r="BS665" s="2322"/>
      <c r="BT665" s="2322"/>
      <c r="BU665" s="2322"/>
      <c r="BV665" s="2322"/>
      <c r="BW665" s="2322"/>
      <c r="BX665" s="2322"/>
      <c r="BY665" s="2322"/>
      <c r="BZ665" s="2322"/>
      <c r="CA665" s="2322"/>
      <c r="CB665" s="2322"/>
      <c r="CC665" s="2322"/>
      <c r="CD665" s="2322"/>
      <c r="CE665" s="2322"/>
      <c r="CF665" s="2322"/>
      <c r="CG665" s="2322"/>
      <c r="CH665" s="2322"/>
      <c r="CI665" s="2322"/>
      <c r="CJ665" s="2322"/>
      <c r="CK665" s="2322"/>
      <c r="CL665" s="2322"/>
      <c r="CM665" s="2322"/>
      <c r="CN665" s="2322"/>
      <c r="CO665" s="2322"/>
      <c r="CP665" s="2322"/>
      <c r="CQ665" s="2322"/>
      <c r="CR665" s="2322"/>
      <c r="CS665" s="2322"/>
      <c r="CT665" s="2322"/>
      <c r="CU665" s="2322"/>
      <c r="CV665" s="2322"/>
    </row>
    <row r="666" spans="1:100" ht="15.75" customHeight="1">
      <c r="A666" s="2328"/>
      <c r="B666" s="2322"/>
      <c r="C666" s="2322"/>
      <c r="D666" s="2322"/>
      <c r="E666" s="2322"/>
      <c r="F666" s="2322"/>
      <c r="G666" s="2322"/>
      <c r="H666" s="2322"/>
      <c r="I666" s="2322"/>
      <c r="J666" s="2322"/>
      <c r="K666" s="2322"/>
      <c r="L666" s="2322"/>
      <c r="M666" s="2322"/>
      <c r="N666" s="2322"/>
      <c r="O666" s="2322"/>
      <c r="P666" s="2322"/>
      <c r="Q666" s="2322"/>
      <c r="R666" s="2322"/>
      <c r="S666" s="2322"/>
      <c r="T666" s="2322"/>
      <c r="U666" s="2322"/>
      <c r="V666" s="2322"/>
      <c r="W666" s="2322"/>
      <c r="X666" s="2322"/>
      <c r="Y666" s="2322"/>
      <c r="Z666" s="2322"/>
      <c r="AA666" s="2322"/>
      <c r="AB666" s="2322"/>
      <c r="AC666" s="2322"/>
      <c r="AD666" s="2322"/>
      <c r="AE666" s="2322"/>
      <c r="AF666" s="2322"/>
      <c r="AG666" s="2322"/>
      <c r="AH666" s="2322"/>
      <c r="AI666" s="2322"/>
      <c r="AJ666" s="2322"/>
      <c r="AK666" s="2322"/>
      <c r="AL666" s="2322"/>
      <c r="AM666" s="2322"/>
      <c r="AN666" s="2322"/>
      <c r="AO666" s="2322"/>
      <c r="AP666" s="2322"/>
      <c r="AQ666" s="2322"/>
      <c r="AR666" s="2322"/>
      <c r="AS666" s="2322"/>
      <c r="AT666" s="2322"/>
      <c r="AU666" s="2322"/>
      <c r="AV666" s="2322"/>
      <c r="AW666" s="2322"/>
      <c r="AX666" s="2322"/>
      <c r="AY666" s="2322"/>
      <c r="AZ666" s="2322"/>
      <c r="BA666" s="2322"/>
      <c r="BB666" s="2322"/>
      <c r="BC666" s="2322"/>
      <c r="BD666" s="2322"/>
      <c r="BE666" s="2322"/>
      <c r="BF666" s="2322"/>
      <c r="BG666" s="2322"/>
      <c r="BH666" s="2322"/>
      <c r="BI666" s="2322"/>
      <c r="BJ666" s="2322"/>
      <c r="BK666" s="2322"/>
      <c r="BL666" s="2322"/>
      <c r="BM666" s="2322"/>
      <c r="BN666" s="2322"/>
      <c r="BO666" s="2322"/>
      <c r="BP666" s="2322"/>
      <c r="BQ666" s="2322"/>
      <c r="BR666" s="2322"/>
      <c r="BS666" s="2322"/>
      <c r="BT666" s="2322"/>
      <c r="BU666" s="2322"/>
      <c r="BV666" s="2322"/>
      <c r="BW666" s="2322"/>
      <c r="BX666" s="2322"/>
      <c r="BY666" s="2322"/>
      <c r="BZ666" s="2322"/>
      <c r="CA666" s="2322"/>
      <c r="CB666" s="2322"/>
      <c r="CC666" s="2322"/>
      <c r="CD666" s="2322"/>
      <c r="CE666" s="2322"/>
      <c r="CF666" s="2322"/>
      <c r="CG666" s="2322"/>
      <c r="CH666" s="2322"/>
      <c r="CI666" s="2322"/>
      <c r="CJ666" s="2322"/>
      <c r="CK666" s="2322"/>
      <c r="CL666" s="2322"/>
      <c r="CM666" s="2322"/>
      <c r="CN666" s="2322"/>
      <c r="CO666" s="2322"/>
      <c r="CP666" s="2322"/>
      <c r="CQ666" s="2322"/>
      <c r="CR666" s="2322"/>
      <c r="CS666" s="2322"/>
      <c r="CT666" s="2322"/>
      <c r="CU666" s="2322"/>
      <c r="CV666" s="2322"/>
    </row>
    <row r="667" spans="1:100" ht="15.75" customHeight="1">
      <c r="A667" s="2328"/>
      <c r="B667" s="2322"/>
      <c r="C667" s="2322"/>
      <c r="D667" s="2322"/>
      <c r="E667" s="2322"/>
      <c r="F667" s="2322"/>
      <c r="G667" s="2322"/>
      <c r="H667" s="2322"/>
      <c r="I667" s="2322"/>
      <c r="J667" s="2322"/>
      <c r="K667" s="2322"/>
      <c r="L667" s="2322"/>
      <c r="M667" s="2322"/>
      <c r="N667" s="2322"/>
      <c r="O667" s="2322"/>
      <c r="P667" s="2322"/>
      <c r="Q667" s="2322"/>
      <c r="R667" s="2322"/>
      <c r="S667" s="2322"/>
      <c r="T667" s="2322"/>
      <c r="U667" s="2322"/>
      <c r="V667" s="2322"/>
      <c r="W667" s="2322"/>
      <c r="X667" s="2322"/>
      <c r="Y667" s="2322"/>
      <c r="Z667" s="2322"/>
      <c r="AA667" s="2322"/>
      <c r="AB667" s="2322"/>
      <c r="AC667" s="2322"/>
      <c r="AD667" s="2322"/>
      <c r="AE667" s="2322"/>
      <c r="AF667" s="2322"/>
      <c r="AG667" s="2322"/>
      <c r="AH667" s="2322"/>
      <c r="AI667" s="2322"/>
      <c r="AJ667" s="2322"/>
      <c r="AK667" s="2322"/>
      <c r="AL667" s="2322"/>
      <c r="AM667" s="2322"/>
      <c r="AN667" s="2322"/>
      <c r="AO667" s="2322"/>
      <c r="AP667" s="2322"/>
      <c r="AQ667" s="2322"/>
      <c r="AR667" s="2322"/>
      <c r="AS667" s="2322"/>
      <c r="AT667" s="2322"/>
      <c r="AU667" s="2322"/>
      <c r="AV667" s="2322"/>
      <c r="AW667" s="2322"/>
      <c r="AX667" s="2322"/>
      <c r="AY667" s="2322"/>
      <c r="AZ667" s="2322"/>
      <c r="BA667" s="2322"/>
      <c r="BB667" s="2322"/>
      <c r="BC667" s="2322"/>
      <c r="BD667" s="2322"/>
      <c r="BE667" s="2322"/>
      <c r="BF667" s="2322"/>
      <c r="BG667" s="2322"/>
      <c r="BH667" s="2322"/>
      <c r="BI667" s="2322"/>
      <c r="BJ667" s="2322"/>
      <c r="BK667" s="2322"/>
      <c r="BL667" s="2322"/>
      <c r="BM667" s="2322"/>
      <c r="BN667" s="2322"/>
      <c r="BO667" s="2322"/>
      <c r="BP667" s="2322"/>
      <c r="BQ667" s="2322"/>
      <c r="BR667" s="2322"/>
      <c r="BS667" s="2322"/>
      <c r="BT667" s="2322"/>
      <c r="BU667" s="2322"/>
      <c r="BV667" s="2322"/>
      <c r="BW667" s="2322"/>
      <c r="BX667" s="2322"/>
      <c r="BY667" s="2322"/>
      <c r="BZ667" s="2322"/>
      <c r="CA667" s="2322"/>
      <c r="CB667" s="2322"/>
      <c r="CC667" s="2322"/>
      <c r="CD667" s="2322"/>
      <c r="CE667" s="2322"/>
      <c r="CF667" s="2322"/>
      <c r="CG667" s="2322"/>
      <c r="CH667" s="2322"/>
      <c r="CI667" s="2322"/>
      <c r="CJ667" s="2322"/>
      <c r="CK667" s="2322"/>
      <c r="CL667" s="2322"/>
      <c r="CM667" s="2322"/>
      <c r="CN667" s="2322"/>
      <c r="CO667" s="2322"/>
      <c r="CP667" s="2322"/>
      <c r="CQ667" s="2322"/>
      <c r="CR667" s="2322"/>
      <c r="CS667" s="2322"/>
      <c r="CT667" s="2322"/>
      <c r="CU667" s="2322"/>
      <c r="CV667" s="2322"/>
    </row>
    <row r="668" spans="1:100" ht="15.75" customHeight="1">
      <c r="A668" s="2328"/>
      <c r="B668" s="2322"/>
      <c r="C668" s="2322"/>
      <c r="D668" s="2322"/>
      <c r="E668" s="2322"/>
      <c r="F668" s="2322"/>
      <c r="G668" s="2322"/>
      <c r="H668" s="2322"/>
      <c r="I668" s="2322"/>
      <c r="J668" s="2322"/>
      <c r="K668" s="2322"/>
      <c r="L668" s="2322"/>
      <c r="M668" s="2322"/>
      <c r="N668" s="2322"/>
      <c r="O668" s="2322"/>
      <c r="P668" s="2322"/>
      <c r="Q668" s="2322"/>
      <c r="R668" s="2322"/>
      <c r="S668" s="2322"/>
      <c r="T668" s="2322"/>
      <c r="U668" s="2322"/>
      <c r="V668" s="2322"/>
      <c r="W668" s="2322"/>
      <c r="X668" s="2322"/>
      <c r="Y668" s="2322"/>
      <c r="Z668" s="2322"/>
      <c r="AA668" s="2322"/>
      <c r="AB668" s="2322"/>
      <c r="AC668" s="2322"/>
      <c r="AD668" s="2322"/>
      <c r="AE668" s="2322"/>
      <c r="AF668" s="2322"/>
      <c r="AG668" s="2322"/>
      <c r="AH668" s="2322"/>
      <c r="AI668" s="2322"/>
      <c r="AJ668" s="2322"/>
      <c r="AK668" s="2322"/>
      <c r="AL668" s="2322"/>
      <c r="AM668" s="2322"/>
      <c r="AN668" s="2322"/>
      <c r="AO668" s="2322"/>
      <c r="AP668" s="2322"/>
      <c r="AQ668" s="2322"/>
      <c r="AR668" s="2322"/>
      <c r="AS668" s="2322"/>
      <c r="AT668" s="2322"/>
      <c r="AU668" s="2322"/>
      <c r="AV668" s="2322"/>
      <c r="AW668" s="2322"/>
      <c r="AX668" s="2322"/>
      <c r="AY668" s="2322"/>
      <c r="AZ668" s="2322"/>
      <c r="BA668" s="2322"/>
      <c r="BB668" s="2322"/>
      <c r="BC668" s="2322"/>
      <c r="BD668" s="2322"/>
      <c r="BE668" s="2322"/>
      <c r="BF668" s="2322"/>
      <c r="BG668" s="2322"/>
      <c r="BH668" s="2322"/>
      <c r="BI668" s="2322"/>
      <c r="BJ668" s="2322"/>
      <c r="BK668" s="2322"/>
      <c r="BL668" s="2322"/>
      <c r="BM668" s="2322"/>
      <c r="BN668" s="2322"/>
      <c r="BO668" s="2322"/>
      <c r="BP668" s="2322"/>
      <c r="BQ668" s="2322"/>
      <c r="BR668" s="2322"/>
      <c r="BS668" s="2322"/>
      <c r="BT668" s="2322"/>
      <c r="BU668" s="2322"/>
      <c r="BV668" s="2322"/>
      <c r="BW668" s="2322"/>
      <c r="BX668" s="2322"/>
      <c r="BY668" s="2322"/>
      <c r="BZ668" s="2322"/>
      <c r="CA668" s="2322"/>
      <c r="CB668" s="2322"/>
      <c r="CC668" s="2322"/>
      <c r="CD668" s="2322"/>
      <c r="CE668" s="2322"/>
      <c r="CF668" s="2322"/>
      <c r="CG668" s="2322"/>
      <c r="CH668" s="2322"/>
      <c r="CI668" s="2322"/>
      <c r="CJ668" s="2322"/>
      <c r="CK668" s="2322"/>
      <c r="CL668" s="2322"/>
      <c r="CM668" s="2322"/>
      <c r="CN668" s="2322"/>
      <c r="CO668" s="2322"/>
      <c r="CP668" s="2322"/>
      <c r="CQ668" s="2322"/>
      <c r="CR668" s="2322"/>
      <c r="CS668" s="2322"/>
      <c r="CT668" s="2322"/>
      <c r="CU668" s="2322"/>
      <c r="CV668" s="2322"/>
    </row>
    <row r="669" spans="1:100" ht="15.75" customHeight="1">
      <c r="A669" s="2328"/>
      <c r="B669" s="2322"/>
      <c r="C669" s="2322"/>
      <c r="D669" s="2322"/>
      <c r="E669" s="2322"/>
      <c r="F669" s="2322"/>
      <c r="G669" s="2322"/>
      <c r="H669" s="2322"/>
      <c r="I669" s="2322"/>
      <c r="J669" s="2322"/>
      <c r="K669" s="2322"/>
      <c r="L669" s="2322"/>
      <c r="M669" s="2322"/>
      <c r="N669" s="2322"/>
      <c r="O669" s="2322"/>
      <c r="P669" s="2322"/>
      <c r="Q669" s="2322"/>
      <c r="R669" s="2322"/>
      <c r="S669" s="2322"/>
      <c r="T669" s="2322"/>
      <c r="U669" s="2322"/>
      <c r="V669" s="2322"/>
      <c r="W669" s="2322"/>
      <c r="X669" s="2322"/>
      <c r="Y669" s="2322"/>
      <c r="Z669" s="2322"/>
      <c r="AA669" s="2322"/>
      <c r="AB669" s="2322"/>
      <c r="AC669" s="2322"/>
      <c r="AD669" s="2322"/>
      <c r="AE669" s="2322"/>
      <c r="AF669" s="2322"/>
      <c r="AG669" s="2322"/>
      <c r="AH669" s="2322"/>
      <c r="AI669" s="2322"/>
      <c r="AJ669" s="2322"/>
      <c r="AK669" s="2322"/>
      <c r="AL669" s="2322"/>
      <c r="AM669" s="2322"/>
      <c r="AN669" s="2322"/>
      <c r="AO669" s="2322"/>
      <c r="AP669" s="2322"/>
      <c r="AQ669" s="2322"/>
      <c r="AR669" s="2322"/>
      <c r="AS669" s="2322"/>
      <c r="AT669" s="2322"/>
      <c r="AU669" s="2322"/>
      <c r="AV669" s="2322"/>
      <c r="AW669" s="2322"/>
      <c r="AX669" s="2322"/>
      <c r="AY669" s="2322"/>
      <c r="AZ669" s="2322"/>
      <c r="BA669" s="2322"/>
      <c r="BB669" s="2322"/>
      <c r="BC669" s="2322"/>
      <c r="BD669" s="2322"/>
      <c r="BE669" s="2322"/>
      <c r="BF669" s="2322"/>
      <c r="BG669" s="2322"/>
      <c r="BH669" s="2322"/>
      <c r="BI669" s="2322"/>
      <c r="BJ669" s="2322"/>
      <c r="BK669" s="2322"/>
      <c r="BL669" s="2322"/>
      <c r="BM669" s="2322"/>
      <c r="BN669" s="2322"/>
      <c r="BO669" s="2322"/>
      <c r="BP669" s="2322"/>
      <c r="BQ669" s="2322"/>
      <c r="BR669" s="2322"/>
      <c r="BS669" s="2322"/>
      <c r="BT669" s="2322"/>
      <c r="BU669" s="2322"/>
      <c r="BV669" s="2322"/>
      <c r="BW669" s="2322"/>
      <c r="BX669" s="2322"/>
      <c r="BY669" s="2322"/>
      <c r="BZ669" s="2322"/>
      <c r="CA669" s="2322"/>
      <c r="CB669" s="2322"/>
      <c r="CC669" s="2322"/>
      <c r="CD669" s="2322"/>
      <c r="CE669" s="2322"/>
      <c r="CF669" s="2322"/>
      <c r="CG669" s="2322"/>
      <c r="CH669" s="2322"/>
      <c r="CI669" s="2322"/>
      <c r="CJ669" s="2322"/>
      <c r="CK669" s="2322"/>
      <c r="CL669" s="2322"/>
      <c r="CM669" s="2322"/>
      <c r="CN669" s="2322"/>
      <c r="CO669" s="2322"/>
      <c r="CP669" s="2322"/>
      <c r="CQ669" s="2322"/>
      <c r="CR669" s="2322"/>
      <c r="CS669" s="2322"/>
      <c r="CT669" s="2322"/>
      <c r="CU669" s="2322"/>
      <c r="CV669" s="2322"/>
    </row>
    <row r="670" spans="1:100" ht="15.75" customHeight="1">
      <c r="A670" s="2328"/>
      <c r="B670" s="2322"/>
      <c r="C670" s="2322"/>
      <c r="D670" s="2322"/>
      <c r="E670" s="2322"/>
      <c r="F670" s="2322"/>
      <c r="G670" s="2322"/>
      <c r="H670" s="2322"/>
      <c r="I670" s="2322"/>
      <c r="J670" s="2322"/>
      <c r="K670" s="2322"/>
      <c r="L670" s="2322"/>
      <c r="M670" s="2322"/>
      <c r="N670" s="2322"/>
      <c r="O670" s="2322"/>
      <c r="P670" s="2322"/>
      <c r="Q670" s="2322"/>
      <c r="R670" s="2322"/>
      <c r="S670" s="2322"/>
      <c r="T670" s="2322"/>
      <c r="U670" s="2322"/>
      <c r="V670" s="2322"/>
      <c r="W670" s="2322"/>
      <c r="X670" s="2322"/>
      <c r="Y670" s="2322"/>
      <c r="Z670" s="2322"/>
      <c r="AA670" s="2322"/>
      <c r="AB670" s="2322"/>
      <c r="AC670" s="2322"/>
      <c r="AD670" s="2322"/>
      <c r="AE670" s="2322"/>
      <c r="AF670" s="2322"/>
      <c r="AG670" s="2322"/>
      <c r="AH670" s="2322"/>
      <c r="AI670" s="2322"/>
      <c r="AJ670" s="2322"/>
      <c r="AK670" s="2322"/>
      <c r="AL670" s="2322"/>
      <c r="AM670" s="2322"/>
      <c r="AN670" s="2322"/>
      <c r="AO670" s="2322"/>
      <c r="AP670" s="2322"/>
      <c r="AQ670" s="2322"/>
      <c r="AR670" s="2322"/>
      <c r="AS670" s="2322"/>
      <c r="AT670" s="2322"/>
      <c r="AU670" s="2322"/>
      <c r="AV670" s="2322"/>
      <c r="AW670" s="2322"/>
      <c r="AX670" s="2322"/>
      <c r="AY670" s="2322"/>
      <c r="AZ670" s="2322"/>
      <c r="BA670" s="2322"/>
      <c r="BB670" s="2322"/>
      <c r="BC670" s="2322"/>
      <c r="BD670" s="2322"/>
      <c r="BE670" s="2322"/>
      <c r="BF670" s="2322"/>
      <c r="BG670" s="2322"/>
      <c r="BH670" s="2322"/>
      <c r="BI670" s="2322"/>
      <c r="BJ670" s="2322"/>
      <c r="BK670" s="2322"/>
      <c r="BL670" s="2322"/>
      <c r="BM670" s="2322"/>
      <c r="BN670" s="2322"/>
      <c r="BO670" s="2322"/>
      <c r="BP670" s="2322"/>
      <c r="BQ670" s="2322"/>
      <c r="BR670" s="2322"/>
      <c r="BS670" s="2322"/>
      <c r="BT670" s="2322"/>
      <c r="BU670" s="2322"/>
      <c r="BV670" s="2322"/>
      <c r="BW670" s="2322"/>
      <c r="BX670" s="2322"/>
      <c r="BY670" s="2322"/>
      <c r="BZ670" s="2322"/>
      <c r="CA670" s="2322"/>
      <c r="CB670" s="2322"/>
      <c r="CC670" s="2322"/>
      <c r="CD670" s="2322"/>
      <c r="CE670" s="2322"/>
      <c r="CF670" s="2322"/>
      <c r="CG670" s="2322"/>
      <c r="CH670" s="2322"/>
      <c r="CI670" s="2322"/>
      <c r="CJ670" s="2322"/>
      <c r="CK670" s="2322"/>
      <c r="CL670" s="2322"/>
      <c r="CM670" s="2322"/>
      <c r="CN670" s="2322"/>
      <c r="CO670" s="2322"/>
      <c r="CP670" s="2322"/>
      <c r="CQ670" s="2322"/>
      <c r="CR670" s="2322"/>
      <c r="CS670" s="2322"/>
      <c r="CT670" s="2322"/>
      <c r="CU670" s="2322"/>
      <c r="CV670" s="2322"/>
    </row>
    <row r="671" spans="1:100" ht="15.75" customHeight="1">
      <c r="A671" s="2328"/>
      <c r="B671" s="2322"/>
      <c r="C671" s="2322"/>
      <c r="D671" s="2322"/>
      <c r="E671" s="2322"/>
      <c r="F671" s="2322"/>
      <c r="G671" s="2322"/>
      <c r="H671" s="2322"/>
      <c r="I671" s="2322"/>
      <c r="J671" s="2322"/>
      <c r="K671" s="2322"/>
      <c r="L671" s="2322"/>
      <c r="M671" s="2322"/>
      <c r="N671" s="2322"/>
      <c r="O671" s="2322"/>
      <c r="P671" s="2322"/>
      <c r="Q671" s="2322"/>
      <c r="R671" s="2322"/>
      <c r="S671" s="2322"/>
      <c r="T671" s="2322"/>
      <c r="U671" s="2322"/>
      <c r="V671" s="2322"/>
      <c r="W671" s="2322"/>
      <c r="X671" s="2322"/>
      <c r="Y671" s="2322"/>
      <c r="Z671" s="2322"/>
      <c r="AA671" s="2322"/>
      <c r="AB671" s="2322"/>
      <c r="AC671" s="2322"/>
      <c r="AD671" s="2322"/>
      <c r="AE671" s="2322"/>
      <c r="AF671" s="2322"/>
      <c r="AG671" s="2322"/>
      <c r="AH671" s="2322"/>
      <c r="AI671" s="2322"/>
      <c r="AJ671" s="2322"/>
      <c r="AK671" s="2322"/>
      <c r="AL671" s="2322"/>
      <c r="AM671" s="2322"/>
      <c r="AN671" s="2322"/>
      <c r="AO671" s="2322"/>
      <c r="AP671" s="2322"/>
      <c r="AQ671" s="2322"/>
      <c r="AR671" s="2322"/>
      <c r="AS671" s="2322"/>
      <c r="AT671" s="2322"/>
      <c r="AU671" s="2322"/>
      <c r="AV671" s="2322"/>
      <c r="AW671" s="2322"/>
      <c r="AX671" s="2322"/>
      <c r="AY671" s="2322"/>
      <c r="AZ671" s="2322"/>
      <c r="BA671" s="2322"/>
      <c r="BB671" s="2322"/>
      <c r="BC671" s="2322"/>
      <c r="BD671" s="2322"/>
      <c r="BE671" s="2322"/>
      <c r="BF671" s="2322"/>
      <c r="BG671" s="2322"/>
      <c r="BH671" s="2322"/>
      <c r="BI671" s="2322"/>
      <c r="BJ671" s="2322"/>
      <c r="BK671" s="2322"/>
      <c r="BL671" s="2322"/>
      <c r="BM671" s="2322"/>
      <c r="BN671" s="2322"/>
      <c r="BO671" s="2322"/>
      <c r="BP671" s="2322"/>
      <c r="BQ671" s="2322"/>
      <c r="BR671" s="2322"/>
      <c r="BS671" s="2322"/>
      <c r="BT671" s="2322"/>
      <c r="BU671" s="2322"/>
      <c r="BV671" s="2322"/>
      <c r="BW671" s="2322"/>
      <c r="BX671" s="2322"/>
      <c r="BY671" s="2322"/>
      <c r="BZ671" s="2322"/>
      <c r="CA671" s="2322"/>
      <c r="CB671" s="2322"/>
      <c r="CC671" s="2322"/>
      <c r="CD671" s="2322"/>
      <c r="CE671" s="2322"/>
      <c r="CF671" s="2322"/>
      <c r="CG671" s="2322"/>
      <c r="CH671" s="2322"/>
      <c r="CI671" s="2322"/>
      <c r="CJ671" s="2322"/>
      <c r="CK671" s="2322"/>
      <c r="CL671" s="2322"/>
      <c r="CM671" s="2322"/>
      <c r="CN671" s="2322"/>
      <c r="CO671" s="2322"/>
      <c r="CP671" s="2322"/>
      <c r="CQ671" s="2322"/>
      <c r="CR671" s="2322"/>
      <c r="CS671" s="2322"/>
      <c r="CT671" s="2322"/>
      <c r="CU671" s="2322"/>
      <c r="CV671" s="2322"/>
    </row>
    <row r="672" spans="1:100" ht="15.75" customHeight="1">
      <c r="A672" s="2328"/>
      <c r="B672" s="2322"/>
      <c r="C672" s="2322"/>
      <c r="D672" s="2322"/>
      <c r="E672" s="2322"/>
      <c r="F672" s="2322"/>
      <c r="G672" s="2322"/>
      <c r="H672" s="2322"/>
      <c r="I672" s="2322"/>
      <c r="J672" s="2322"/>
      <c r="K672" s="2322"/>
      <c r="L672" s="2322"/>
      <c r="M672" s="2322"/>
      <c r="N672" s="2322"/>
      <c r="O672" s="2322"/>
      <c r="P672" s="2322"/>
      <c r="Q672" s="2322"/>
      <c r="R672" s="2322"/>
      <c r="S672" s="2322"/>
      <c r="T672" s="2322"/>
      <c r="U672" s="2322"/>
      <c r="V672" s="2322"/>
      <c r="W672" s="2322"/>
      <c r="X672" s="2322"/>
      <c r="Y672" s="2322"/>
      <c r="Z672" s="2322"/>
      <c r="AA672" s="2322"/>
      <c r="AB672" s="2322"/>
      <c r="AC672" s="2322"/>
      <c r="AD672" s="2322"/>
      <c r="AE672" s="2322"/>
      <c r="AF672" s="2322"/>
      <c r="AG672" s="2322"/>
      <c r="AH672" s="2322"/>
      <c r="AI672" s="2322"/>
      <c r="AJ672" s="2322"/>
      <c r="AK672" s="2322"/>
      <c r="AL672" s="2322"/>
      <c r="AM672" s="2322"/>
      <c r="AN672" s="2322"/>
      <c r="AO672" s="2322"/>
      <c r="AP672" s="2322"/>
      <c r="AQ672" s="2322"/>
      <c r="AR672" s="2322"/>
      <c r="AS672" s="2322"/>
      <c r="AT672" s="2322"/>
      <c r="AU672" s="2322"/>
      <c r="AV672" s="2322"/>
      <c r="AW672" s="2322"/>
      <c r="AX672" s="2322"/>
      <c r="AY672" s="2322"/>
      <c r="AZ672" s="2322"/>
      <c r="BA672" s="2322"/>
      <c r="BB672" s="2322"/>
      <c r="BC672" s="2322"/>
      <c r="BD672" s="2322"/>
      <c r="BE672" s="2322"/>
      <c r="BF672" s="2322"/>
      <c r="BG672" s="2322"/>
      <c r="BH672" s="2322"/>
      <c r="BI672" s="2322"/>
      <c r="BJ672" s="2322"/>
      <c r="BK672" s="2322"/>
      <c r="BL672" s="2322"/>
      <c r="BM672" s="2322"/>
      <c r="BN672" s="2322"/>
      <c r="BO672" s="2322"/>
      <c r="BP672" s="2322"/>
      <c r="BQ672" s="2322"/>
      <c r="BR672" s="2322"/>
      <c r="BS672" s="2322"/>
      <c r="BT672" s="2322"/>
      <c r="BU672" s="2322"/>
      <c r="BV672" s="2322"/>
      <c r="BW672" s="2322"/>
      <c r="BX672" s="2322"/>
      <c r="BY672" s="2322"/>
      <c r="BZ672" s="2322"/>
      <c r="CA672" s="2322"/>
      <c r="CB672" s="2322"/>
      <c r="CC672" s="2322"/>
      <c r="CD672" s="2322"/>
      <c r="CE672" s="2322"/>
      <c r="CF672" s="2322"/>
      <c r="CG672" s="2322"/>
      <c r="CH672" s="2322"/>
      <c r="CI672" s="2322"/>
      <c r="CJ672" s="2322"/>
      <c r="CK672" s="2322"/>
      <c r="CL672" s="2322"/>
      <c r="CM672" s="2322"/>
      <c r="CN672" s="2322"/>
      <c r="CO672" s="2322"/>
      <c r="CP672" s="2322"/>
      <c r="CQ672" s="2322"/>
      <c r="CR672" s="2322"/>
      <c r="CS672" s="2322"/>
      <c r="CT672" s="2322"/>
      <c r="CU672" s="2322"/>
      <c r="CV672" s="2322"/>
    </row>
    <row r="673" spans="1:100" ht="15.75" customHeight="1">
      <c r="A673" s="2328"/>
      <c r="B673" s="2322"/>
      <c r="C673" s="2322"/>
      <c r="D673" s="2322"/>
      <c r="E673" s="2322"/>
      <c r="F673" s="2322"/>
      <c r="G673" s="2322"/>
      <c r="H673" s="2322"/>
      <c r="I673" s="2322"/>
      <c r="J673" s="2322"/>
      <c r="K673" s="2322"/>
      <c r="L673" s="2322"/>
      <c r="M673" s="2322"/>
      <c r="N673" s="2322"/>
      <c r="O673" s="2322"/>
      <c r="P673" s="2322"/>
      <c r="Q673" s="2322"/>
      <c r="R673" s="2322"/>
      <c r="S673" s="2322"/>
      <c r="T673" s="2322"/>
      <c r="U673" s="2322"/>
      <c r="V673" s="2322"/>
      <c r="W673" s="2322"/>
      <c r="X673" s="2322"/>
      <c r="Y673" s="2322"/>
      <c r="Z673" s="2322"/>
      <c r="AA673" s="2322"/>
      <c r="AB673" s="2322"/>
      <c r="AC673" s="2322"/>
      <c r="AD673" s="2322"/>
      <c r="AE673" s="2322"/>
      <c r="AF673" s="2322"/>
      <c r="AG673" s="2322"/>
      <c r="AH673" s="2322"/>
      <c r="AI673" s="2322"/>
      <c r="AJ673" s="2322"/>
      <c r="AK673" s="2322"/>
      <c r="AL673" s="2322"/>
      <c r="AM673" s="2322"/>
      <c r="AN673" s="2322"/>
      <c r="AO673" s="2322"/>
      <c r="AP673" s="2322"/>
      <c r="AQ673" s="2322"/>
      <c r="AR673" s="2322"/>
      <c r="AS673" s="2322"/>
      <c r="AT673" s="2322"/>
      <c r="AU673" s="2322"/>
      <c r="AV673" s="2322"/>
      <c r="AW673" s="2322"/>
      <c r="AX673" s="2322"/>
      <c r="AY673" s="2322"/>
      <c r="AZ673" s="2322"/>
      <c r="BA673" s="2322"/>
      <c r="BB673" s="2322"/>
      <c r="BC673" s="2322"/>
      <c r="BD673" s="2322"/>
      <c r="BE673" s="2322"/>
      <c r="BF673" s="2322"/>
      <c r="BG673" s="2322"/>
      <c r="BH673" s="2322"/>
      <c r="BI673" s="2322"/>
      <c r="BJ673" s="2322"/>
      <c r="BK673" s="2322"/>
      <c r="BL673" s="2322"/>
      <c r="BM673" s="2322"/>
      <c r="BN673" s="2322"/>
      <c r="BO673" s="2322"/>
      <c r="BP673" s="2322"/>
      <c r="BQ673" s="2322"/>
      <c r="BR673" s="2322"/>
      <c r="BS673" s="2322"/>
      <c r="BT673" s="2322"/>
      <c r="BU673" s="2322"/>
      <c r="BV673" s="2322"/>
      <c r="BW673" s="2322"/>
      <c r="BX673" s="2322"/>
      <c r="BY673" s="2322"/>
      <c r="BZ673" s="2322"/>
      <c r="CA673" s="2322"/>
      <c r="CB673" s="2322"/>
      <c r="CC673" s="2322"/>
      <c r="CD673" s="2322"/>
      <c r="CE673" s="2322"/>
      <c r="CF673" s="2322"/>
      <c r="CG673" s="2322"/>
      <c r="CH673" s="2322"/>
      <c r="CI673" s="2322"/>
      <c r="CJ673" s="2322"/>
      <c r="CK673" s="2322"/>
      <c r="CL673" s="2322"/>
      <c r="CM673" s="2322"/>
      <c r="CN673" s="2322"/>
      <c r="CO673" s="2322"/>
      <c r="CP673" s="2322"/>
      <c r="CQ673" s="2322"/>
      <c r="CR673" s="2322"/>
      <c r="CS673" s="2322"/>
      <c r="CT673" s="2322"/>
      <c r="CU673" s="2322"/>
      <c r="CV673" s="2322"/>
    </row>
    <row r="674" spans="1:100" ht="15.75" customHeight="1">
      <c r="A674" s="2328"/>
      <c r="B674" s="2322"/>
      <c r="C674" s="2322"/>
      <c r="D674" s="2322"/>
      <c r="E674" s="2322"/>
      <c r="F674" s="2322"/>
      <c r="G674" s="2322"/>
      <c r="H674" s="2322"/>
      <c r="I674" s="2322"/>
      <c r="J674" s="2322"/>
      <c r="K674" s="2322"/>
      <c r="L674" s="2322"/>
      <c r="M674" s="2322"/>
      <c r="N674" s="2322"/>
      <c r="O674" s="2322"/>
      <c r="P674" s="2322"/>
      <c r="Q674" s="2322"/>
      <c r="R674" s="2322"/>
      <c r="S674" s="2322"/>
      <c r="T674" s="2322"/>
      <c r="U674" s="2322"/>
      <c r="V674" s="2322"/>
      <c r="W674" s="2322"/>
      <c r="X674" s="2322"/>
      <c r="Y674" s="2322"/>
      <c r="Z674" s="2322"/>
      <c r="AA674" s="2322"/>
      <c r="AB674" s="2322"/>
      <c r="AC674" s="2322"/>
      <c r="AD674" s="2322"/>
      <c r="AE674" s="2322"/>
      <c r="AF674" s="2322"/>
      <c r="AG674" s="2322"/>
      <c r="AH674" s="2322"/>
      <c r="AI674" s="2322"/>
      <c r="AJ674" s="2322"/>
      <c r="AK674" s="2322"/>
      <c r="AL674" s="2322"/>
      <c r="AM674" s="2322"/>
      <c r="AN674" s="2322"/>
      <c r="AO674" s="2322"/>
      <c r="AP674" s="2322"/>
      <c r="AQ674" s="2322"/>
      <c r="AR674" s="2322"/>
      <c r="AS674" s="2322"/>
      <c r="AT674" s="2322"/>
      <c r="AU674" s="2322"/>
      <c r="AV674" s="2322"/>
      <c r="AW674" s="2322"/>
      <c r="AX674" s="2322"/>
      <c r="AY674" s="2322"/>
      <c r="AZ674" s="2322"/>
      <c r="BA674" s="2322"/>
      <c r="BB674" s="2322"/>
      <c r="BC674" s="2322"/>
      <c r="BD674" s="2322"/>
      <c r="BE674" s="2322"/>
      <c r="BF674" s="2322"/>
      <c r="BG674" s="2322"/>
      <c r="BH674" s="2322"/>
      <c r="BI674" s="2322"/>
      <c r="BJ674" s="2322"/>
      <c r="BK674" s="2322"/>
      <c r="BL674" s="2322"/>
      <c r="BM674" s="2322"/>
      <c r="BN674" s="2322"/>
      <c r="BO674" s="2322"/>
      <c r="BP674" s="2322"/>
      <c r="BQ674" s="2322"/>
      <c r="BR674" s="2322"/>
      <c r="BS674" s="2322"/>
      <c r="BT674" s="2322"/>
      <c r="BU674" s="2322"/>
      <c r="BV674" s="2322"/>
      <c r="BW674" s="2322"/>
      <c r="BX674" s="2322"/>
      <c r="BY674" s="2322"/>
      <c r="BZ674" s="2322"/>
      <c r="CA674" s="2322"/>
      <c r="CB674" s="2322"/>
      <c r="CC674" s="2322"/>
      <c r="CD674" s="2322"/>
      <c r="CE674" s="2322"/>
      <c r="CF674" s="2322"/>
      <c r="CG674" s="2322"/>
      <c r="CH674" s="2322"/>
      <c r="CI674" s="2322"/>
      <c r="CJ674" s="2322"/>
      <c r="CK674" s="2322"/>
      <c r="CL674" s="2322"/>
      <c r="CM674" s="2322"/>
      <c r="CN674" s="2322"/>
      <c r="CO674" s="2322"/>
      <c r="CP674" s="2322"/>
      <c r="CQ674" s="2322"/>
      <c r="CR674" s="2322"/>
      <c r="CS674" s="2322"/>
      <c r="CT674" s="2322"/>
      <c r="CU674" s="2322"/>
      <c r="CV674" s="2322"/>
    </row>
    <row r="675" spans="1:100" ht="15.75" customHeight="1">
      <c r="A675" s="2328"/>
      <c r="B675" s="2322"/>
      <c r="C675" s="2322"/>
      <c r="D675" s="2322"/>
      <c r="E675" s="2322"/>
      <c r="F675" s="2322"/>
      <c r="G675" s="2322"/>
      <c r="H675" s="2322"/>
      <c r="I675" s="2322"/>
      <c r="J675" s="2322"/>
      <c r="K675" s="2322"/>
      <c r="L675" s="2322"/>
      <c r="M675" s="2322"/>
      <c r="N675" s="2322"/>
      <c r="O675" s="2322"/>
      <c r="P675" s="2322"/>
      <c r="Q675" s="2322"/>
      <c r="R675" s="2322"/>
      <c r="S675" s="2322"/>
      <c r="T675" s="2322"/>
      <c r="U675" s="2322"/>
      <c r="V675" s="2322"/>
      <c r="W675" s="2322"/>
      <c r="X675" s="2322"/>
      <c r="Y675" s="2322"/>
      <c r="Z675" s="2322"/>
      <c r="AA675" s="2322"/>
      <c r="AB675" s="2322"/>
      <c r="AC675" s="2322"/>
      <c r="AD675" s="2322"/>
      <c r="AE675" s="2322"/>
      <c r="AF675" s="2322"/>
      <c r="AG675" s="2322"/>
      <c r="AH675" s="2322"/>
      <c r="AI675" s="2322"/>
      <c r="AJ675" s="2322"/>
      <c r="AK675" s="2322"/>
      <c r="AL675" s="2322"/>
      <c r="AM675" s="2322"/>
      <c r="AN675" s="2322"/>
      <c r="AO675" s="2322"/>
      <c r="AP675" s="2322"/>
      <c r="AQ675" s="2322"/>
      <c r="AR675" s="2322"/>
      <c r="AS675" s="2322"/>
      <c r="AT675" s="2322"/>
      <c r="AU675" s="2322"/>
      <c r="AV675" s="2322"/>
      <c r="AW675" s="2322"/>
      <c r="AX675" s="2322"/>
      <c r="AY675" s="2322"/>
      <c r="AZ675" s="2322"/>
      <c r="BA675" s="2322"/>
      <c r="BB675" s="2322"/>
      <c r="BC675" s="2322"/>
      <c r="BD675" s="2322"/>
      <c r="BE675" s="2322"/>
      <c r="BF675" s="2322"/>
      <c r="BG675" s="2322"/>
      <c r="BH675" s="2322"/>
      <c r="BI675" s="2322"/>
      <c r="BJ675" s="2322"/>
      <c r="BK675" s="2322"/>
      <c r="BL675" s="2322"/>
      <c r="BM675" s="2322"/>
      <c r="BN675" s="2322"/>
      <c r="BO675" s="2322"/>
      <c r="BP675" s="2322"/>
      <c r="BQ675" s="2322"/>
      <c r="BR675" s="2322"/>
      <c r="BS675" s="2322"/>
      <c r="BT675" s="2322"/>
      <c r="BU675" s="2322"/>
      <c r="BV675" s="2322"/>
      <c r="BW675" s="2322"/>
      <c r="BX675" s="2322"/>
      <c r="BY675" s="2322"/>
      <c r="BZ675" s="2322"/>
      <c r="CA675" s="2322"/>
      <c r="CB675" s="2322"/>
      <c r="CC675" s="2322"/>
      <c r="CD675" s="2322"/>
      <c r="CE675" s="2322"/>
      <c r="CF675" s="2322"/>
      <c r="CG675" s="2322"/>
      <c r="CH675" s="2322"/>
      <c r="CI675" s="2322"/>
      <c r="CJ675" s="2322"/>
      <c r="CK675" s="2322"/>
      <c r="CL675" s="2322"/>
      <c r="CM675" s="2322"/>
      <c r="CN675" s="2322"/>
      <c r="CO675" s="2322"/>
      <c r="CP675" s="2322"/>
      <c r="CQ675" s="2322"/>
      <c r="CR675" s="2322"/>
      <c r="CS675" s="2322"/>
      <c r="CT675" s="2322"/>
      <c r="CU675" s="2322"/>
      <c r="CV675" s="2322"/>
    </row>
    <row r="676" spans="1:100" ht="15.75" customHeight="1">
      <c r="A676" s="2328"/>
      <c r="B676" s="2322"/>
      <c r="C676" s="2322"/>
      <c r="D676" s="2322"/>
      <c r="E676" s="2322"/>
      <c r="F676" s="2322"/>
      <c r="G676" s="2322"/>
      <c r="H676" s="2322"/>
      <c r="I676" s="2322"/>
      <c r="J676" s="2322"/>
      <c r="K676" s="2322"/>
      <c r="L676" s="2322"/>
      <c r="M676" s="2322"/>
      <c r="N676" s="2322"/>
      <c r="O676" s="2322"/>
      <c r="P676" s="2322"/>
      <c r="Q676" s="2322"/>
      <c r="R676" s="2322"/>
      <c r="S676" s="2322"/>
      <c r="T676" s="2322"/>
      <c r="U676" s="2322"/>
      <c r="V676" s="2322"/>
      <c r="W676" s="2322"/>
      <c r="X676" s="2322"/>
      <c r="Y676" s="2322"/>
      <c r="Z676" s="2322"/>
      <c r="AA676" s="2322"/>
      <c r="AB676" s="2322"/>
      <c r="AC676" s="2322"/>
      <c r="AD676" s="2322"/>
      <c r="AE676" s="2322"/>
      <c r="AF676" s="2322"/>
      <c r="AG676" s="2322"/>
      <c r="AH676" s="2322"/>
      <c r="AI676" s="2322"/>
      <c r="AJ676" s="2322"/>
      <c r="AK676" s="2322"/>
      <c r="AL676" s="2322"/>
      <c r="AM676" s="2322"/>
      <c r="AN676" s="2322"/>
      <c r="AO676" s="2322"/>
      <c r="AP676" s="2322"/>
      <c r="AQ676" s="2322"/>
      <c r="AR676" s="2322"/>
      <c r="AS676" s="2322"/>
      <c r="AT676" s="2322"/>
      <c r="AU676" s="2322"/>
      <c r="AV676" s="2322"/>
      <c r="AW676" s="2322"/>
      <c r="AX676" s="2322"/>
      <c r="AY676" s="2322"/>
      <c r="AZ676" s="2322"/>
      <c r="BA676" s="2322"/>
      <c r="BB676" s="2322"/>
      <c r="BC676" s="2322"/>
      <c r="BD676" s="2322"/>
      <c r="BE676" s="2322"/>
      <c r="BF676" s="2322"/>
      <c r="BG676" s="2322"/>
      <c r="BH676" s="2322"/>
      <c r="BI676" s="2322"/>
      <c r="BJ676" s="2322"/>
      <c r="BK676" s="2322"/>
      <c r="BL676" s="2322"/>
      <c r="BM676" s="2322"/>
      <c r="BN676" s="2322"/>
      <c r="BO676" s="2322"/>
      <c r="BP676" s="2322"/>
      <c r="BQ676" s="2322"/>
      <c r="BR676" s="2322"/>
      <c r="BS676" s="2322"/>
      <c r="BT676" s="2322"/>
      <c r="BU676" s="2322"/>
      <c r="BV676" s="2322"/>
      <c r="BW676" s="2322"/>
      <c r="BX676" s="2322"/>
      <c r="BY676" s="2322"/>
      <c r="BZ676" s="2322"/>
      <c r="CA676" s="2322"/>
      <c r="CB676" s="2322"/>
      <c r="CC676" s="2322"/>
      <c r="CD676" s="2322"/>
      <c r="CE676" s="2322"/>
      <c r="CF676" s="2322"/>
      <c r="CG676" s="2322"/>
      <c r="CH676" s="2322"/>
      <c r="CI676" s="2322"/>
      <c r="CJ676" s="2322"/>
      <c r="CK676" s="2322"/>
      <c r="CL676" s="2322"/>
      <c r="CM676" s="2322"/>
      <c r="CN676" s="2322"/>
      <c r="CO676" s="2322"/>
      <c r="CP676" s="2322"/>
      <c r="CQ676" s="2322"/>
      <c r="CR676" s="2322"/>
      <c r="CS676" s="2322"/>
      <c r="CT676" s="2322"/>
      <c r="CU676" s="2322"/>
      <c r="CV676" s="2322"/>
    </row>
    <row r="677" spans="1:100" ht="15.75" customHeight="1">
      <c r="A677" s="2328"/>
      <c r="B677" s="2322"/>
      <c r="C677" s="2322"/>
      <c r="D677" s="2322"/>
      <c r="E677" s="2322"/>
      <c r="F677" s="2322"/>
      <c r="G677" s="2322"/>
      <c r="H677" s="2322"/>
      <c r="I677" s="2322"/>
      <c r="J677" s="2322"/>
      <c r="K677" s="2322"/>
      <c r="L677" s="2322"/>
      <c r="M677" s="2322"/>
      <c r="N677" s="2322"/>
      <c r="O677" s="2322"/>
      <c r="P677" s="2322"/>
      <c r="Q677" s="2322"/>
      <c r="R677" s="2322"/>
      <c r="S677" s="2322"/>
      <c r="T677" s="2322"/>
      <c r="U677" s="2322"/>
      <c r="V677" s="2322"/>
      <c r="W677" s="2322"/>
      <c r="X677" s="2322"/>
      <c r="Y677" s="2322"/>
      <c r="Z677" s="2322"/>
      <c r="AA677" s="2322"/>
      <c r="AB677" s="2322"/>
      <c r="AC677" s="2322"/>
      <c r="AD677" s="2322"/>
      <c r="AE677" s="2322"/>
      <c r="AF677" s="2322"/>
      <c r="AG677" s="2322"/>
      <c r="AH677" s="2322"/>
      <c r="AI677" s="2322"/>
      <c r="AJ677" s="2322"/>
      <c r="AK677" s="2322"/>
      <c r="AL677" s="2322"/>
      <c r="AM677" s="2322"/>
      <c r="AN677" s="2322"/>
      <c r="AO677" s="2322"/>
      <c r="AP677" s="2322"/>
      <c r="AQ677" s="2322"/>
      <c r="AR677" s="2322"/>
      <c r="AS677" s="2322"/>
      <c r="AT677" s="2322"/>
      <c r="AU677" s="2322"/>
      <c r="AV677" s="2322"/>
      <c r="AW677" s="2322"/>
      <c r="AX677" s="2322"/>
      <c r="AY677" s="2322"/>
      <c r="AZ677" s="2322"/>
      <c r="BA677" s="2322"/>
      <c r="BB677" s="2322"/>
      <c r="BC677" s="2322"/>
      <c r="BD677" s="2322"/>
      <c r="BE677" s="2322"/>
      <c r="BF677" s="2322"/>
      <c r="BG677" s="2322"/>
      <c r="BH677" s="2322"/>
      <c r="BI677" s="2322"/>
      <c r="BJ677" s="2322"/>
      <c r="BK677" s="2322"/>
      <c r="BL677" s="2322"/>
      <c r="BM677" s="2322"/>
      <c r="BN677" s="2322"/>
      <c r="BO677" s="2322"/>
      <c r="BP677" s="2322"/>
      <c r="BQ677" s="2322"/>
      <c r="BR677" s="2322"/>
      <c r="BS677" s="2322"/>
      <c r="BT677" s="2322"/>
      <c r="BU677" s="2322"/>
      <c r="BV677" s="2322"/>
      <c r="BW677" s="2322"/>
      <c r="BX677" s="2322"/>
      <c r="BY677" s="2322"/>
      <c r="BZ677" s="2322"/>
      <c r="CA677" s="2322"/>
      <c r="CB677" s="2322"/>
      <c r="CC677" s="2322"/>
      <c r="CD677" s="2322"/>
      <c r="CE677" s="2322"/>
      <c r="CF677" s="2322"/>
      <c r="CG677" s="2322"/>
      <c r="CH677" s="2322"/>
      <c r="CI677" s="2322"/>
      <c r="CJ677" s="2322"/>
      <c r="CK677" s="2322"/>
      <c r="CL677" s="2322"/>
      <c r="CM677" s="2322"/>
      <c r="CN677" s="2322"/>
      <c r="CO677" s="2322"/>
      <c r="CP677" s="2322"/>
      <c r="CQ677" s="2322"/>
      <c r="CR677" s="2322"/>
      <c r="CS677" s="2322"/>
      <c r="CT677" s="2322"/>
      <c r="CU677" s="2322"/>
      <c r="CV677" s="2322"/>
    </row>
    <row r="678" spans="1:100" ht="15.75" customHeight="1">
      <c r="A678" s="2328"/>
      <c r="B678" s="2322"/>
      <c r="C678" s="2322"/>
      <c r="D678" s="2322"/>
      <c r="E678" s="2322"/>
      <c r="F678" s="2322"/>
      <c r="G678" s="2322"/>
      <c r="H678" s="2322"/>
      <c r="I678" s="2322"/>
      <c r="J678" s="2322"/>
      <c r="K678" s="2322"/>
      <c r="L678" s="2322"/>
      <c r="M678" s="2322"/>
      <c r="N678" s="2322"/>
      <c r="O678" s="2322"/>
      <c r="P678" s="2322"/>
      <c r="Q678" s="2322"/>
      <c r="R678" s="2322"/>
      <c r="S678" s="2322"/>
      <c r="T678" s="2322"/>
      <c r="U678" s="2322"/>
      <c r="V678" s="2322"/>
      <c r="W678" s="2322"/>
      <c r="X678" s="2322"/>
      <c r="Y678" s="2322"/>
      <c r="Z678" s="2322"/>
      <c r="AA678" s="2322"/>
      <c r="AB678" s="2322"/>
      <c r="AC678" s="2322"/>
      <c r="AD678" s="2322"/>
      <c r="AE678" s="2322"/>
      <c r="AF678" s="2322"/>
      <c r="AG678" s="2322"/>
      <c r="AH678" s="2322"/>
      <c r="AI678" s="2322"/>
      <c r="AJ678" s="2322"/>
      <c r="AK678" s="2322"/>
      <c r="AL678" s="2322"/>
      <c r="AM678" s="2322"/>
      <c r="AN678" s="2322"/>
      <c r="AO678" s="2322"/>
      <c r="AP678" s="2322"/>
      <c r="AQ678" s="2322"/>
      <c r="AR678" s="2322"/>
      <c r="AS678" s="2322"/>
      <c r="AT678" s="2322"/>
      <c r="AU678" s="2322"/>
      <c r="AV678" s="2322"/>
      <c r="AW678" s="2322"/>
      <c r="AX678" s="2322"/>
      <c r="AY678" s="2322"/>
      <c r="AZ678" s="2322"/>
      <c r="BA678" s="2322"/>
      <c r="BB678" s="2322"/>
      <c r="BC678" s="2322"/>
      <c r="BD678" s="2322"/>
      <c r="BE678" s="2322"/>
      <c r="BF678" s="2322"/>
      <c r="BG678" s="2322"/>
      <c r="BH678" s="2322"/>
      <c r="BI678" s="2322"/>
      <c r="BJ678" s="2322"/>
      <c r="BK678" s="2322"/>
      <c r="BL678" s="2322"/>
      <c r="BM678" s="2322"/>
      <c r="BN678" s="2322"/>
      <c r="BO678" s="2322"/>
      <c r="BP678" s="2322"/>
      <c r="BQ678" s="2322"/>
      <c r="BR678" s="2322"/>
      <c r="BS678" s="2322"/>
      <c r="BT678" s="2322"/>
      <c r="BU678" s="2322"/>
      <c r="BV678" s="2322"/>
      <c r="BW678" s="2322"/>
      <c r="BX678" s="2322"/>
      <c r="BY678" s="2322"/>
      <c r="BZ678" s="2322"/>
      <c r="CA678" s="2322"/>
      <c r="CB678" s="2322"/>
      <c r="CC678" s="2322"/>
      <c r="CD678" s="2322"/>
      <c r="CE678" s="2322"/>
      <c r="CF678" s="2322"/>
      <c r="CG678" s="2322"/>
      <c r="CH678" s="2322"/>
      <c r="CI678" s="2322"/>
      <c r="CJ678" s="2322"/>
      <c r="CK678" s="2322"/>
      <c r="CL678" s="2322"/>
      <c r="CM678" s="2322"/>
      <c r="CN678" s="2322"/>
      <c r="CO678" s="2322"/>
      <c r="CP678" s="2322"/>
      <c r="CQ678" s="2322"/>
      <c r="CR678" s="2322"/>
      <c r="CS678" s="2322"/>
      <c r="CT678" s="2322"/>
      <c r="CU678" s="2322"/>
      <c r="CV678" s="2322"/>
    </row>
    <row r="679" spans="1:100" ht="15.75" customHeight="1">
      <c r="A679" s="2328"/>
      <c r="B679" s="2322"/>
      <c r="C679" s="2322"/>
      <c r="D679" s="2322"/>
      <c r="E679" s="2322"/>
      <c r="F679" s="2322"/>
      <c r="G679" s="2322"/>
      <c r="H679" s="2322"/>
      <c r="I679" s="2322"/>
      <c r="J679" s="2322"/>
      <c r="K679" s="2322"/>
      <c r="L679" s="2322"/>
      <c r="M679" s="2322"/>
      <c r="N679" s="2322"/>
      <c r="O679" s="2322"/>
      <c r="P679" s="2322"/>
      <c r="Q679" s="2322"/>
      <c r="R679" s="2322"/>
      <c r="S679" s="2322"/>
      <c r="T679" s="2322"/>
      <c r="U679" s="2322"/>
      <c r="V679" s="2322"/>
      <c r="W679" s="2322"/>
      <c r="X679" s="2322"/>
      <c r="Y679" s="2322"/>
      <c r="Z679" s="2322"/>
      <c r="AA679" s="2322"/>
      <c r="AB679" s="2322"/>
      <c r="AC679" s="2322"/>
      <c r="AD679" s="2322"/>
      <c r="AE679" s="2322"/>
      <c r="AF679" s="2322"/>
      <c r="AG679" s="2322"/>
      <c r="AH679" s="2322"/>
      <c r="AI679" s="2322"/>
      <c r="AJ679" s="2322"/>
      <c r="AK679" s="2322"/>
      <c r="AL679" s="2322"/>
      <c r="AM679" s="2322"/>
      <c r="AN679" s="2322"/>
      <c r="AO679" s="2322"/>
      <c r="AP679" s="2322"/>
      <c r="AQ679" s="2322"/>
      <c r="AR679" s="2322"/>
      <c r="AS679" s="2322"/>
      <c r="AT679" s="2322"/>
      <c r="AU679" s="2322"/>
      <c r="AV679" s="2322"/>
      <c r="AW679" s="2322"/>
      <c r="AX679" s="2322"/>
      <c r="AY679" s="2322"/>
      <c r="AZ679" s="2322"/>
      <c r="BA679" s="2322"/>
      <c r="BB679" s="2322"/>
      <c r="BC679" s="2322"/>
      <c r="BD679" s="2322"/>
      <c r="BE679" s="2322"/>
      <c r="BF679" s="2322"/>
      <c r="BG679" s="2322"/>
      <c r="BH679" s="2322"/>
      <c r="BI679" s="2322"/>
      <c r="BJ679" s="2322"/>
      <c r="BK679" s="2322"/>
      <c r="BL679" s="2322"/>
      <c r="BM679" s="2322"/>
      <c r="BN679" s="2322"/>
      <c r="BO679" s="2322"/>
      <c r="BP679" s="2322"/>
      <c r="BQ679" s="2322"/>
      <c r="BR679" s="2322"/>
      <c r="BS679" s="2322"/>
      <c r="BT679" s="2322"/>
      <c r="BU679" s="2322"/>
      <c r="BV679" s="2322"/>
      <c r="BW679" s="2322"/>
      <c r="BX679" s="2322"/>
      <c r="BY679" s="2322"/>
      <c r="BZ679" s="2322"/>
      <c r="CA679" s="2322"/>
      <c r="CB679" s="2322"/>
      <c r="CC679" s="2322"/>
      <c r="CD679" s="2322"/>
      <c r="CE679" s="2322"/>
      <c r="CF679" s="2322"/>
      <c r="CG679" s="2322"/>
      <c r="CH679" s="2322"/>
      <c r="CI679" s="2322"/>
      <c r="CJ679" s="2322"/>
      <c r="CK679" s="2322"/>
      <c r="CL679" s="2322"/>
      <c r="CM679" s="2322"/>
      <c r="CN679" s="2322"/>
      <c r="CO679" s="2322"/>
      <c r="CP679" s="2322"/>
      <c r="CQ679" s="2322"/>
      <c r="CR679" s="2322"/>
      <c r="CS679" s="2322"/>
      <c r="CT679" s="2322"/>
      <c r="CU679" s="2322"/>
      <c r="CV679" s="2322"/>
    </row>
    <row r="680" spans="1:100" ht="15.75" customHeight="1">
      <c r="A680" s="2328"/>
      <c r="B680" s="2322"/>
      <c r="C680" s="2322"/>
      <c r="D680" s="2322"/>
      <c r="E680" s="2322"/>
      <c r="F680" s="2322"/>
      <c r="G680" s="2322"/>
      <c r="H680" s="2322"/>
      <c r="I680" s="2322"/>
      <c r="J680" s="2322"/>
      <c r="K680" s="2322"/>
      <c r="L680" s="2322"/>
      <c r="M680" s="2322"/>
      <c r="N680" s="2322"/>
      <c r="O680" s="2322"/>
      <c r="P680" s="2322"/>
      <c r="Q680" s="2322"/>
      <c r="R680" s="2322"/>
      <c r="S680" s="2322"/>
      <c r="T680" s="2322"/>
      <c r="U680" s="2322"/>
      <c r="V680" s="2322"/>
      <c r="W680" s="2322"/>
      <c r="X680" s="2322"/>
      <c r="Y680" s="2322"/>
      <c r="Z680" s="2322"/>
      <c r="AA680" s="2322"/>
      <c r="AB680" s="2322"/>
      <c r="AC680" s="2322"/>
      <c r="AD680" s="2322"/>
      <c r="AE680" s="2322"/>
      <c r="AF680" s="2322"/>
      <c r="AG680" s="2322"/>
      <c r="AH680" s="2322"/>
      <c r="AI680" s="2322"/>
      <c r="AJ680" s="2322"/>
      <c r="AK680" s="2322"/>
      <c r="AL680" s="2322"/>
      <c r="AM680" s="2322"/>
      <c r="AN680" s="2322"/>
      <c r="AO680" s="2322"/>
      <c r="AP680" s="2322"/>
      <c r="AQ680" s="2322"/>
      <c r="AR680" s="2322"/>
      <c r="AS680" s="2322"/>
      <c r="AT680" s="2322"/>
      <c r="AU680" s="2322"/>
      <c r="AV680" s="2322"/>
      <c r="AW680" s="2322"/>
      <c r="AX680" s="2322"/>
      <c r="AY680" s="2322"/>
      <c r="AZ680" s="2322"/>
      <c r="BA680" s="2322"/>
      <c r="BB680" s="2322"/>
      <c r="BC680" s="2322"/>
      <c r="BD680" s="2322"/>
      <c r="BE680" s="2322"/>
      <c r="BF680" s="2322"/>
      <c r="BG680" s="2322"/>
      <c r="BH680" s="2322"/>
      <c r="BI680" s="2322"/>
      <c r="BJ680" s="2322"/>
      <c r="BK680" s="2322"/>
      <c r="BL680" s="2322"/>
      <c r="BM680" s="2322"/>
      <c r="BN680" s="2322"/>
      <c r="BO680" s="2322"/>
      <c r="BP680" s="2322"/>
      <c r="BQ680" s="2322"/>
      <c r="BR680" s="2322"/>
      <c r="BS680" s="2322"/>
      <c r="BT680" s="2322"/>
      <c r="BU680" s="2322"/>
      <c r="BV680" s="2322"/>
      <c r="BW680" s="2322"/>
      <c r="BX680" s="2322"/>
      <c r="BY680" s="2322"/>
      <c r="BZ680" s="2322"/>
      <c r="CA680" s="2322"/>
      <c r="CB680" s="2322"/>
      <c r="CC680" s="2322"/>
      <c r="CD680" s="2322"/>
      <c r="CE680" s="2322"/>
      <c r="CF680" s="2322"/>
      <c r="CG680" s="2322"/>
      <c r="CH680" s="2322"/>
      <c r="CI680" s="2322"/>
      <c r="CJ680" s="2322"/>
      <c r="CK680" s="2322"/>
      <c r="CL680" s="2322"/>
      <c r="CM680" s="2322"/>
      <c r="CN680" s="2322"/>
      <c r="CO680" s="2322"/>
      <c r="CP680" s="2322"/>
      <c r="CQ680" s="2322"/>
      <c r="CR680" s="2322"/>
      <c r="CS680" s="2322"/>
      <c r="CT680" s="2322"/>
      <c r="CU680" s="2322"/>
      <c r="CV680" s="2322"/>
    </row>
    <row r="681" spans="1:100" ht="15.75" customHeight="1">
      <c r="A681" s="2328"/>
      <c r="B681" s="2322"/>
      <c r="C681" s="2322"/>
      <c r="D681" s="2322"/>
      <c r="E681" s="2322"/>
      <c r="F681" s="2322"/>
      <c r="G681" s="2322"/>
      <c r="H681" s="2322"/>
      <c r="I681" s="2322"/>
      <c r="J681" s="2322"/>
      <c r="K681" s="2322"/>
      <c r="L681" s="2322"/>
      <c r="M681" s="2322"/>
      <c r="N681" s="2322"/>
      <c r="O681" s="2322"/>
      <c r="P681" s="2322"/>
      <c r="Q681" s="2322"/>
      <c r="R681" s="2322"/>
      <c r="S681" s="2322"/>
      <c r="T681" s="2322"/>
      <c r="U681" s="2322"/>
      <c r="V681" s="2322"/>
      <c r="W681" s="2322"/>
      <c r="X681" s="2322"/>
      <c r="Y681" s="2322"/>
      <c r="Z681" s="2322"/>
      <c r="AA681" s="2322"/>
      <c r="AB681" s="2322"/>
      <c r="AC681" s="2322"/>
      <c r="AD681" s="2322"/>
      <c r="AE681" s="2322"/>
      <c r="AF681" s="2322"/>
      <c r="AG681" s="2322"/>
      <c r="AH681" s="2322"/>
      <c r="AI681" s="2322"/>
      <c r="AJ681" s="2322"/>
      <c r="AK681" s="2322"/>
      <c r="AL681" s="2322"/>
      <c r="AM681" s="2322"/>
      <c r="AN681" s="2322"/>
      <c r="AO681" s="2322"/>
      <c r="AP681" s="2322"/>
      <c r="AQ681" s="2322"/>
      <c r="AR681" s="2322"/>
      <c r="AS681" s="2322"/>
      <c r="AT681" s="2322"/>
      <c r="AU681" s="2322"/>
      <c r="AV681" s="2322"/>
      <c r="AW681" s="2322"/>
      <c r="AX681" s="2322"/>
      <c r="AY681" s="2322"/>
      <c r="AZ681" s="2322"/>
      <c r="BA681" s="2322"/>
      <c r="BB681" s="2322"/>
      <c r="BC681" s="2322"/>
      <c r="BD681" s="2322"/>
      <c r="BE681" s="2322"/>
      <c r="BF681" s="2322"/>
      <c r="BG681" s="2322"/>
      <c r="BH681" s="2322"/>
      <c r="BI681" s="2322"/>
      <c r="BJ681" s="2322"/>
      <c r="BK681" s="2322"/>
      <c r="BL681" s="2322"/>
      <c r="BM681" s="2322"/>
      <c r="BN681" s="2322"/>
      <c r="BO681" s="2322"/>
      <c r="BP681" s="2322"/>
      <c r="BQ681" s="2322"/>
      <c r="BR681" s="2322"/>
      <c r="BS681" s="2322"/>
      <c r="BT681" s="2322"/>
      <c r="BU681" s="2322"/>
      <c r="BV681" s="2322"/>
      <c r="BW681" s="2322"/>
      <c r="BX681" s="2322"/>
      <c r="BY681" s="2322"/>
      <c r="BZ681" s="2322"/>
      <c r="CA681" s="2322"/>
      <c r="CB681" s="2322"/>
      <c r="CC681" s="2322"/>
      <c r="CD681" s="2322"/>
      <c r="CE681" s="2322"/>
      <c r="CF681" s="2322"/>
      <c r="CG681" s="2322"/>
      <c r="CH681" s="2322"/>
      <c r="CI681" s="2322"/>
      <c r="CJ681" s="2322"/>
      <c r="CK681" s="2322"/>
      <c r="CL681" s="2322"/>
      <c r="CM681" s="2322"/>
      <c r="CN681" s="2322"/>
      <c r="CO681" s="2322"/>
      <c r="CP681" s="2322"/>
      <c r="CQ681" s="2322"/>
      <c r="CR681" s="2322"/>
      <c r="CS681" s="2322"/>
      <c r="CT681" s="2322"/>
      <c r="CU681" s="2322"/>
      <c r="CV681" s="2322"/>
    </row>
    <row r="682" spans="1:100" ht="15.75" customHeight="1">
      <c r="A682" s="2328"/>
      <c r="B682" s="2322"/>
      <c r="C682" s="2322"/>
      <c r="D682" s="2322"/>
      <c r="E682" s="2322"/>
      <c r="F682" s="2322"/>
      <c r="G682" s="2322"/>
      <c r="H682" s="2322"/>
      <c r="I682" s="2322"/>
      <c r="J682" s="2322"/>
      <c r="K682" s="2322"/>
      <c r="L682" s="2322"/>
      <c r="M682" s="2322"/>
      <c r="N682" s="2322"/>
      <c r="O682" s="2322"/>
      <c r="P682" s="2322"/>
      <c r="Q682" s="2322"/>
      <c r="R682" s="2322"/>
      <c r="S682" s="2322"/>
      <c r="T682" s="2322"/>
      <c r="U682" s="2322"/>
      <c r="V682" s="2322"/>
      <c r="W682" s="2322"/>
      <c r="X682" s="2322"/>
      <c r="Y682" s="2322"/>
      <c r="Z682" s="2322"/>
      <c r="AA682" s="2322"/>
      <c r="AB682" s="2322"/>
      <c r="AC682" s="2322"/>
      <c r="AD682" s="2322"/>
      <c r="AE682" s="2322"/>
      <c r="AF682" s="2322"/>
      <c r="AG682" s="2322"/>
      <c r="AH682" s="2322"/>
      <c r="AI682" s="2322"/>
      <c r="AJ682" s="2322"/>
      <c r="AK682" s="2322"/>
      <c r="AL682" s="2322"/>
      <c r="AM682" s="2322"/>
      <c r="AN682" s="2322"/>
      <c r="AO682" s="2322"/>
      <c r="AP682" s="2322"/>
      <c r="AQ682" s="2322"/>
      <c r="AR682" s="2322"/>
      <c r="AS682" s="2322"/>
      <c r="AT682" s="2322"/>
      <c r="AU682" s="2322"/>
      <c r="AV682" s="2322"/>
      <c r="AW682" s="2322"/>
      <c r="AX682" s="2322"/>
      <c r="AY682" s="2322"/>
      <c r="AZ682" s="2322"/>
      <c r="BA682" s="2322"/>
      <c r="BB682" s="2322"/>
      <c r="BC682" s="2322"/>
      <c r="BD682" s="2322"/>
      <c r="BE682" s="2322"/>
      <c r="BF682" s="2322"/>
      <c r="BG682" s="2322"/>
      <c r="BH682" s="2322"/>
      <c r="BI682" s="2322"/>
      <c r="BJ682" s="2322"/>
      <c r="BK682" s="2322"/>
      <c r="BL682" s="2322"/>
      <c r="BM682" s="2322"/>
      <c r="BN682" s="2322"/>
      <c r="BO682" s="2322"/>
      <c r="BP682" s="2322"/>
      <c r="BQ682" s="2322"/>
      <c r="BR682" s="2322"/>
      <c r="BS682" s="2322"/>
      <c r="BT682" s="2322"/>
      <c r="BU682" s="2322"/>
      <c r="BV682" s="2322"/>
      <c r="BW682" s="2322"/>
      <c r="BX682" s="2322"/>
      <c r="BY682" s="2322"/>
      <c r="BZ682" s="2322"/>
      <c r="CA682" s="2322"/>
      <c r="CB682" s="2322"/>
      <c r="CC682" s="2322"/>
      <c r="CD682" s="2322"/>
      <c r="CE682" s="2322"/>
      <c r="CF682" s="2322"/>
      <c r="CG682" s="2322"/>
      <c r="CH682" s="2322"/>
      <c r="CI682" s="2322"/>
      <c r="CJ682" s="2322"/>
      <c r="CK682" s="2322"/>
      <c r="CL682" s="2322"/>
      <c r="CM682" s="2322"/>
      <c r="CN682" s="2322"/>
      <c r="CO682" s="2322"/>
      <c r="CP682" s="2322"/>
      <c r="CQ682" s="2322"/>
      <c r="CR682" s="2322"/>
      <c r="CS682" s="2322"/>
      <c r="CT682" s="2322"/>
      <c r="CU682" s="2322"/>
      <c r="CV682" s="2322"/>
    </row>
    <row r="683" spans="1:100" ht="15.75" customHeight="1">
      <c r="A683" s="2328"/>
      <c r="B683" s="2322"/>
      <c r="C683" s="2322"/>
      <c r="D683" s="2322"/>
      <c r="E683" s="2322"/>
      <c r="F683" s="2322"/>
      <c r="G683" s="2322"/>
      <c r="H683" s="2322"/>
      <c r="I683" s="2322"/>
      <c r="J683" s="2322"/>
      <c r="K683" s="2322"/>
      <c r="L683" s="2322"/>
      <c r="M683" s="2322"/>
      <c r="N683" s="2322"/>
      <c r="O683" s="2322"/>
      <c r="P683" s="2322"/>
      <c r="Q683" s="2322"/>
      <c r="R683" s="2322"/>
      <c r="S683" s="2322"/>
      <c r="T683" s="2322"/>
      <c r="U683" s="2322"/>
      <c r="V683" s="2322"/>
      <c r="W683" s="2322"/>
      <c r="X683" s="2322"/>
      <c r="Y683" s="2322"/>
      <c r="Z683" s="2322"/>
      <c r="AA683" s="2322"/>
      <c r="AB683" s="2322"/>
      <c r="AC683" s="2322"/>
      <c r="AD683" s="2322"/>
      <c r="AE683" s="2322"/>
      <c r="AF683" s="2322"/>
      <c r="AG683" s="2322"/>
      <c r="AH683" s="2322"/>
      <c r="AI683" s="2322"/>
      <c r="AJ683" s="2322"/>
      <c r="AK683" s="2322"/>
      <c r="AL683" s="2322"/>
      <c r="AM683" s="2322"/>
      <c r="AN683" s="2322"/>
      <c r="AO683" s="2322"/>
      <c r="AP683" s="2322"/>
      <c r="AQ683" s="2322"/>
      <c r="AR683" s="2322"/>
      <c r="AS683" s="2322"/>
      <c r="AT683" s="2322"/>
      <c r="AU683" s="2322"/>
      <c r="AV683" s="2322"/>
      <c r="AW683" s="2322"/>
      <c r="AX683" s="2322"/>
      <c r="AY683" s="2322"/>
      <c r="AZ683" s="2322"/>
      <c r="BA683" s="2322"/>
      <c r="BB683" s="2322"/>
      <c r="BC683" s="2322"/>
      <c r="BD683" s="2322"/>
      <c r="BE683" s="2322"/>
      <c r="BF683" s="2322"/>
      <c r="BG683" s="2322"/>
      <c r="BH683" s="2322"/>
      <c r="BI683" s="2322"/>
      <c r="BJ683" s="2322"/>
      <c r="BK683" s="2322"/>
      <c r="BL683" s="2322"/>
      <c r="BM683" s="2322"/>
      <c r="BN683" s="2322"/>
      <c r="BO683" s="2322"/>
      <c r="BP683" s="2322"/>
      <c r="BQ683" s="2322"/>
      <c r="BR683" s="2322"/>
      <c r="BS683" s="2322"/>
      <c r="BT683" s="2322"/>
      <c r="BU683" s="2322"/>
      <c r="BV683" s="2322"/>
      <c r="BW683" s="2322"/>
      <c r="BX683" s="2322"/>
      <c r="BY683" s="2322"/>
      <c r="BZ683" s="2322"/>
      <c r="CA683" s="2322"/>
      <c r="CB683" s="2322"/>
      <c r="CC683" s="2322"/>
      <c r="CD683" s="2322"/>
      <c r="CE683" s="2322"/>
      <c r="CF683" s="2322"/>
      <c r="CG683" s="2322"/>
      <c r="CH683" s="2322"/>
      <c r="CI683" s="2322"/>
      <c r="CJ683" s="2322"/>
      <c r="CK683" s="2322"/>
      <c r="CL683" s="2322"/>
      <c r="CM683" s="2322"/>
      <c r="CN683" s="2322"/>
      <c r="CO683" s="2322"/>
      <c r="CP683" s="2322"/>
      <c r="CQ683" s="2322"/>
      <c r="CR683" s="2322"/>
      <c r="CS683" s="2322"/>
      <c r="CT683" s="2322"/>
      <c r="CU683" s="2322"/>
      <c r="CV683" s="2322"/>
    </row>
    <row r="684" spans="1:100" ht="15.75" customHeight="1">
      <c r="A684" s="2328"/>
      <c r="B684" s="2322"/>
      <c r="C684" s="2322"/>
      <c r="D684" s="2322"/>
      <c r="E684" s="2322"/>
      <c r="F684" s="2322"/>
      <c r="G684" s="2322"/>
      <c r="H684" s="2322"/>
      <c r="I684" s="2322"/>
      <c r="J684" s="2322"/>
      <c r="K684" s="2322"/>
      <c r="L684" s="2322"/>
      <c r="M684" s="2322"/>
      <c r="N684" s="2322"/>
      <c r="O684" s="2322"/>
      <c r="P684" s="2322"/>
      <c r="Q684" s="2322"/>
      <c r="R684" s="2322"/>
      <c r="S684" s="2322"/>
      <c r="T684" s="2322"/>
      <c r="U684" s="2322"/>
      <c r="V684" s="2322"/>
      <c r="W684" s="2322"/>
      <c r="X684" s="2322"/>
      <c r="Y684" s="2322"/>
      <c r="Z684" s="2322"/>
      <c r="AA684" s="2322"/>
      <c r="AB684" s="2322"/>
      <c r="AC684" s="2322"/>
      <c r="AD684" s="2322"/>
      <c r="AE684" s="2322"/>
      <c r="AF684" s="2322"/>
      <c r="AG684" s="2322"/>
      <c r="AH684" s="2322"/>
      <c r="AI684" s="2322"/>
      <c r="AJ684" s="2322"/>
      <c r="AK684" s="2322"/>
      <c r="AL684" s="2322"/>
      <c r="AM684" s="2322"/>
      <c r="AN684" s="2322"/>
      <c r="AO684" s="2322"/>
      <c r="AP684" s="2322"/>
      <c r="AQ684" s="2322"/>
      <c r="AR684" s="2322"/>
      <c r="AS684" s="2322"/>
      <c r="AT684" s="2322"/>
      <c r="AU684" s="2322"/>
      <c r="AV684" s="2322"/>
      <c r="AW684" s="2322"/>
      <c r="AX684" s="2322"/>
      <c r="AY684" s="2322"/>
      <c r="AZ684" s="2322"/>
      <c r="BA684" s="2322"/>
      <c r="BB684" s="2322"/>
      <c r="BC684" s="2322"/>
      <c r="BD684" s="2322"/>
      <c r="BE684" s="2322"/>
      <c r="BF684" s="2322"/>
      <c r="BG684" s="2322"/>
      <c r="BH684" s="2322"/>
      <c r="BI684" s="2322"/>
      <c r="BJ684" s="2322"/>
      <c r="BK684" s="2322"/>
      <c r="BL684" s="2322"/>
      <c r="BM684" s="2322"/>
      <c r="BN684" s="2322"/>
      <c r="BO684" s="2322"/>
      <c r="BP684" s="2322"/>
      <c r="BQ684" s="2322"/>
      <c r="BR684" s="2322"/>
      <c r="BS684" s="2322"/>
      <c r="BT684" s="2322"/>
      <c r="BU684" s="2322"/>
      <c r="BV684" s="2322"/>
      <c r="BW684" s="2322"/>
      <c r="BX684" s="2322"/>
      <c r="BY684" s="2322"/>
      <c r="BZ684" s="2322"/>
      <c r="CA684" s="2322"/>
      <c r="CB684" s="2322"/>
      <c r="CC684" s="2322"/>
      <c r="CD684" s="2322"/>
      <c r="CE684" s="2322"/>
      <c r="CF684" s="2322"/>
      <c r="CG684" s="2322"/>
      <c r="CH684" s="2322"/>
      <c r="CI684" s="2322"/>
      <c r="CJ684" s="2322"/>
      <c r="CK684" s="2322"/>
      <c r="CL684" s="2322"/>
      <c r="CM684" s="2322"/>
      <c r="CN684" s="2322"/>
      <c r="CO684" s="2322"/>
      <c r="CP684" s="2322"/>
      <c r="CQ684" s="2322"/>
      <c r="CR684" s="2322"/>
      <c r="CS684" s="2322"/>
      <c r="CT684" s="2322"/>
      <c r="CU684" s="2322"/>
      <c r="CV684" s="2322"/>
    </row>
    <row r="685" spans="1:100" ht="15.75" customHeight="1">
      <c r="A685" s="2328"/>
      <c r="B685" s="2322"/>
      <c r="C685" s="2322"/>
      <c r="D685" s="2322"/>
      <c r="E685" s="2322"/>
      <c r="F685" s="2322"/>
      <c r="G685" s="2322"/>
      <c r="H685" s="2322"/>
      <c r="I685" s="2322"/>
      <c r="J685" s="2322"/>
      <c r="K685" s="2322"/>
      <c r="L685" s="2322"/>
      <c r="M685" s="2322"/>
      <c r="N685" s="2322"/>
      <c r="O685" s="2322"/>
      <c r="P685" s="2322"/>
      <c r="Q685" s="2322"/>
      <c r="R685" s="2322"/>
      <c r="S685" s="2322"/>
      <c r="T685" s="2322"/>
      <c r="U685" s="2322"/>
      <c r="V685" s="2322"/>
      <c r="W685" s="2322"/>
      <c r="X685" s="2322"/>
      <c r="Y685" s="2322"/>
      <c r="Z685" s="2322"/>
      <c r="AA685" s="2322"/>
      <c r="AB685" s="2322"/>
      <c r="AC685" s="2322"/>
      <c r="AD685" s="2322"/>
      <c r="AE685" s="2322"/>
      <c r="AF685" s="2322"/>
      <c r="AG685" s="2322"/>
      <c r="AH685" s="2322"/>
      <c r="AI685" s="2322"/>
      <c r="AJ685" s="2322"/>
      <c r="AK685" s="2322"/>
      <c r="AL685" s="2322"/>
      <c r="AM685" s="2322"/>
      <c r="AN685" s="2322"/>
      <c r="AO685" s="2322"/>
      <c r="AP685" s="2322"/>
      <c r="AQ685" s="2322"/>
      <c r="AR685" s="2322"/>
      <c r="AS685" s="2322"/>
      <c r="AT685" s="2322"/>
      <c r="AU685" s="2322"/>
      <c r="AV685" s="2322"/>
      <c r="AW685" s="2322"/>
      <c r="AX685" s="2322"/>
      <c r="AY685" s="2322"/>
      <c r="AZ685" s="2322"/>
      <c r="BA685" s="2322"/>
      <c r="BB685" s="2322"/>
      <c r="BC685" s="2322"/>
      <c r="BD685" s="2322"/>
      <c r="BE685" s="2322"/>
      <c r="BF685" s="2322"/>
      <c r="BG685" s="2322"/>
      <c r="BH685" s="2322"/>
      <c r="BI685" s="2322"/>
      <c r="BJ685" s="2322"/>
      <c r="BK685" s="2322"/>
      <c r="BL685" s="2322"/>
      <c r="BM685" s="2322"/>
      <c r="BN685" s="2322"/>
      <c r="BO685" s="2322"/>
      <c r="BP685" s="2322"/>
      <c r="BQ685" s="2322"/>
      <c r="BR685" s="2322"/>
      <c r="BS685" s="2322"/>
      <c r="BT685" s="2322"/>
      <c r="BU685" s="2322"/>
      <c r="BV685" s="2322"/>
      <c r="BW685" s="2322"/>
      <c r="BX685" s="2322"/>
      <c r="BY685" s="2322"/>
      <c r="BZ685" s="2322"/>
      <c r="CA685" s="2322"/>
      <c r="CB685" s="2322"/>
      <c r="CC685" s="2322"/>
      <c r="CD685" s="2322"/>
      <c r="CE685" s="2322"/>
      <c r="CF685" s="2322"/>
      <c r="CG685" s="2322"/>
      <c r="CH685" s="2322"/>
      <c r="CI685" s="2322"/>
      <c r="CJ685" s="2322"/>
      <c r="CK685" s="2322"/>
      <c r="CL685" s="2322"/>
      <c r="CM685" s="2322"/>
      <c r="CN685" s="2322"/>
      <c r="CO685" s="2322"/>
      <c r="CP685" s="2322"/>
      <c r="CQ685" s="2322"/>
      <c r="CR685" s="2322"/>
      <c r="CS685" s="2322"/>
      <c r="CT685" s="2322"/>
      <c r="CU685" s="2322"/>
      <c r="CV685" s="2322"/>
    </row>
    <row r="686" spans="1:100" ht="15.75" customHeight="1">
      <c r="A686" s="2328"/>
      <c r="B686" s="2322"/>
      <c r="C686" s="2322"/>
      <c r="D686" s="2322"/>
      <c r="E686" s="2322"/>
      <c r="F686" s="2322"/>
      <c r="G686" s="2322"/>
      <c r="H686" s="2322"/>
      <c r="I686" s="2322"/>
      <c r="J686" s="2322"/>
      <c r="K686" s="2322"/>
      <c r="L686" s="2322"/>
      <c r="M686" s="2322"/>
      <c r="N686" s="2322"/>
      <c r="O686" s="2322"/>
      <c r="P686" s="2322"/>
      <c r="Q686" s="2322"/>
      <c r="R686" s="2322"/>
      <c r="S686" s="2322"/>
      <c r="T686" s="2322"/>
      <c r="U686" s="2322"/>
      <c r="V686" s="2322"/>
      <c r="W686" s="2322"/>
      <c r="X686" s="2322"/>
      <c r="Y686" s="2322"/>
      <c r="Z686" s="2322"/>
      <c r="AA686" s="2322"/>
      <c r="AB686" s="2322"/>
      <c r="AC686" s="2322"/>
      <c r="AD686" s="2322"/>
      <c r="AE686" s="2322"/>
      <c r="AF686" s="2322"/>
      <c r="AG686" s="2322"/>
      <c r="AH686" s="2322"/>
      <c r="AI686" s="2322"/>
      <c r="AJ686" s="2322"/>
      <c r="AK686" s="2322"/>
      <c r="AL686" s="2322"/>
      <c r="AM686" s="2322"/>
      <c r="AN686" s="2322"/>
      <c r="AO686" s="2322"/>
      <c r="AP686" s="2322"/>
      <c r="AQ686" s="2322"/>
      <c r="AR686" s="2322"/>
      <c r="AS686" s="2322"/>
      <c r="AT686" s="2322"/>
      <c r="AU686" s="2322"/>
      <c r="AV686" s="2322"/>
      <c r="AW686" s="2322"/>
      <c r="AX686" s="2322"/>
      <c r="AY686" s="2322"/>
      <c r="AZ686" s="2322"/>
      <c r="BA686" s="2322"/>
      <c r="BB686" s="2322"/>
      <c r="BC686" s="2322"/>
      <c r="BD686" s="2322"/>
      <c r="BE686" s="2322"/>
      <c r="BF686" s="2322"/>
      <c r="BG686" s="2322"/>
      <c r="BH686" s="2322"/>
      <c r="BI686" s="2322"/>
      <c r="BJ686" s="2322"/>
      <c r="BK686" s="2322"/>
      <c r="BL686" s="2322"/>
      <c r="BM686" s="2322"/>
      <c r="BN686" s="2322"/>
      <c r="BO686" s="2322"/>
      <c r="BP686" s="2322"/>
      <c r="BQ686" s="2322"/>
      <c r="BR686" s="2322"/>
      <c r="BS686" s="2322"/>
      <c r="BT686" s="2322"/>
      <c r="BU686" s="2322"/>
      <c r="BV686" s="2322"/>
      <c r="BW686" s="2322"/>
      <c r="BX686" s="2322"/>
      <c r="BY686" s="2322"/>
      <c r="BZ686" s="2322"/>
      <c r="CA686" s="2322"/>
      <c r="CB686" s="2322"/>
      <c r="CC686" s="2322"/>
      <c r="CD686" s="2322"/>
      <c r="CE686" s="2322"/>
      <c r="CF686" s="2322"/>
      <c r="CG686" s="2322"/>
      <c r="CH686" s="2322"/>
      <c r="CI686" s="2322"/>
      <c r="CJ686" s="2322"/>
      <c r="CK686" s="2322"/>
      <c r="CL686" s="2322"/>
      <c r="CM686" s="2322"/>
      <c r="CN686" s="2322"/>
      <c r="CO686" s="2322"/>
      <c r="CP686" s="2322"/>
      <c r="CQ686" s="2322"/>
      <c r="CR686" s="2322"/>
      <c r="CS686" s="2322"/>
      <c r="CT686" s="2322"/>
      <c r="CU686" s="2322"/>
      <c r="CV686" s="2322"/>
    </row>
    <row r="687" spans="1:100" ht="15.75" customHeight="1">
      <c r="A687" s="2328"/>
      <c r="B687" s="2322"/>
      <c r="C687" s="2322"/>
      <c r="D687" s="2322"/>
      <c r="E687" s="2322"/>
      <c r="F687" s="2322"/>
      <c r="G687" s="2322"/>
      <c r="H687" s="2322"/>
      <c r="I687" s="2322"/>
      <c r="J687" s="2322"/>
      <c r="K687" s="2322"/>
      <c r="L687" s="2322"/>
      <c r="M687" s="2322"/>
      <c r="N687" s="2322"/>
      <c r="O687" s="2322"/>
      <c r="P687" s="2322"/>
      <c r="Q687" s="2322"/>
      <c r="R687" s="2322"/>
      <c r="S687" s="2322"/>
      <c r="T687" s="2322"/>
      <c r="U687" s="2322"/>
      <c r="V687" s="2322"/>
      <c r="W687" s="2322"/>
      <c r="X687" s="2322"/>
      <c r="Y687" s="2322"/>
      <c r="Z687" s="2322"/>
      <c r="AA687" s="2322"/>
      <c r="AB687" s="2322"/>
      <c r="AC687" s="2322"/>
      <c r="AD687" s="2322"/>
      <c r="AE687" s="2322"/>
      <c r="AF687" s="2322"/>
      <c r="AG687" s="2322"/>
      <c r="AH687" s="2322"/>
      <c r="AI687" s="2322"/>
      <c r="AJ687" s="2322"/>
      <c r="AK687" s="2322"/>
      <c r="AL687" s="2322"/>
      <c r="AM687" s="2322"/>
      <c r="AN687" s="2322"/>
      <c r="AO687" s="2322"/>
      <c r="AP687" s="2322"/>
      <c r="AQ687" s="2322"/>
      <c r="AR687" s="2322"/>
      <c r="AS687" s="2322"/>
      <c r="AT687" s="2322"/>
      <c r="AU687" s="2322"/>
      <c r="AV687" s="2322"/>
      <c r="AW687" s="2322"/>
      <c r="AX687" s="2322"/>
      <c r="AY687" s="2322"/>
      <c r="AZ687" s="2322"/>
      <c r="BA687" s="2322"/>
      <c r="BB687" s="2322"/>
      <c r="BC687" s="2322"/>
      <c r="BD687" s="2322"/>
      <c r="BE687" s="2322"/>
      <c r="BF687" s="2322"/>
      <c r="BG687" s="2322"/>
      <c r="BH687" s="2322"/>
      <c r="BI687" s="2322"/>
      <c r="BJ687" s="2322"/>
      <c r="BK687" s="2322"/>
      <c r="BL687" s="2322"/>
      <c r="BM687" s="2322"/>
      <c r="BN687" s="2322"/>
      <c r="BO687" s="2322"/>
      <c r="BP687" s="2322"/>
      <c r="BQ687" s="2322"/>
      <c r="BR687" s="2322"/>
      <c r="BS687" s="2322"/>
      <c r="BT687" s="2322"/>
      <c r="BU687" s="2322"/>
      <c r="BV687" s="2322"/>
      <c r="BW687" s="2322"/>
      <c r="BX687" s="2322"/>
      <c r="BY687" s="2322"/>
      <c r="BZ687" s="2322"/>
      <c r="CA687" s="2322"/>
      <c r="CB687" s="2322"/>
      <c r="CC687" s="2322"/>
      <c r="CD687" s="2322"/>
      <c r="CE687" s="2322"/>
      <c r="CF687" s="2322"/>
      <c r="CG687" s="2322"/>
      <c r="CH687" s="2322"/>
      <c r="CI687" s="2322"/>
      <c r="CJ687" s="2322"/>
      <c r="CK687" s="2322"/>
      <c r="CL687" s="2322"/>
      <c r="CM687" s="2322"/>
      <c r="CN687" s="2322"/>
      <c r="CO687" s="2322"/>
      <c r="CP687" s="2322"/>
      <c r="CQ687" s="2322"/>
      <c r="CR687" s="2322"/>
      <c r="CS687" s="2322"/>
      <c r="CT687" s="2322"/>
      <c r="CU687" s="2322"/>
      <c r="CV687" s="2322"/>
    </row>
    <row r="688" spans="1:100" ht="15.75" customHeight="1">
      <c r="A688" s="2328"/>
      <c r="B688" s="2322"/>
      <c r="C688" s="2322"/>
      <c r="D688" s="2322"/>
      <c r="E688" s="2322"/>
      <c r="F688" s="2322"/>
      <c r="G688" s="2322"/>
      <c r="H688" s="2322"/>
      <c r="I688" s="2322"/>
      <c r="J688" s="2322"/>
      <c r="K688" s="2322"/>
      <c r="L688" s="2322"/>
      <c r="M688" s="2322"/>
      <c r="N688" s="2322"/>
      <c r="O688" s="2322"/>
      <c r="P688" s="2322"/>
      <c r="Q688" s="2322"/>
      <c r="R688" s="2322"/>
      <c r="S688" s="2322"/>
      <c r="T688" s="2322"/>
      <c r="U688" s="2322"/>
      <c r="V688" s="2322"/>
      <c r="W688" s="2322"/>
      <c r="X688" s="2322"/>
      <c r="Y688" s="2322"/>
      <c r="Z688" s="2322"/>
      <c r="AA688" s="2322"/>
      <c r="AB688" s="2322"/>
      <c r="AC688" s="2322"/>
      <c r="AD688" s="2322"/>
      <c r="AE688" s="2322"/>
      <c r="AF688" s="2322"/>
      <c r="AG688" s="2322"/>
      <c r="AH688" s="2322"/>
      <c r="AI688" s="2322"/>
      <c r="AJ688" s="2322"/>
      <c r="AK688" s="2322"/>
      <c r="AL688" s="2322"/>
      <c r="AM688" s="2322"/>
      <c r="AN688" s="2322"/>
      <c r="AO688" s="2322"/>
      <c r="AP688" s="2322"/>
      <c r="AQ688" s="2322"/>
      <c r="AR688" s="2322"/>
      <c r="AS688" s="2322"/>
      <c r="AT688" s="2322"/>
      <c r="AU688" s="2322"/>
      <c r="AV688" s="2322"/>
      <c r="AW688" s="2322"/>
      <c r="AX688" s="2322"/>
      <c r="AY688" s="2322"/>
      <c r="AZ688" s="2322"/>
      <c r="BA688" s="2322"/>
      <c r="BB688" s="2322"/>
      <c r="BC688" s="2322"/>
      <c r="BD688" s="2322"/>
      <c r="BE688" s="2322"/>
      <c r="BF688" s="2322"/>
      <c r="BG688" s="2322"/>
      <c r="BH688" s="2322"/>
      <c r="BI688" s="2322"/>
      <c r="BJ688" s="2322"/>
      <c r="BK688" s="2322"/>
      <c r="BL688" s="2322"/>
      <c r="BM688" s="2322"/>
      <c r="BN688" s="2322"/>
      <c r="BO688" s="2322"/>
      <c r="BP688" s="2322"/>
      <c r="BQ688" s="2322"/>
      <c r="BR688" s="2322"/>
      <c r="BS688" s="2322"/>
      <c r="BT688" s="2322"/>
      <c r="BU688" s="2322"/>
      <c r="BV688" s="2322"/>
      <c r="BW688" s="2322"/>
      <c r="BX688" s="2322"/>
      <c r="BY688" s="2322"/>
      <c r="BZ688" s="2322"/>
      <c r="CA688" s="2322"/>
      <c r="CB688" s="2322"/>
      <c r="CC688" s="2322"/>
      <c r="CD688" s="2322"/>
      <c r="CE688" s="2322"/>
      <c r="CF688" s="2322"/>
      <c r="CG688" s="2322"/>
      <c r="CH688" s="2322"/>
      <c r="CI688" s="2322"/>
      <c r="CJ688" s="2322"/>
      <c r="CK688" s="2322"/>
      <c r="CL688" s="2322"/>
      <c r="CM688" s="2322"/>
      <c r="CN688" s="2322"/>
      <c r="CO688" s="2322"/>
      <c r="CP688" s="2322"/>
      <c r="CQ688" s="2322"/>
      <c r="CR688" s="2322"/>
      <c r="CS688" s="2322"/>
      <c r="CT688" s="2322"/>
      <c r="CU688" s="2322"/>
      <c r="CV688" s="2322"/>
    </row>
    <row r="689" spans="1:100" ht="15.75" customHeight="1">
      <c r="A689" s="2328"/>
      <c r="B689" s="2322"/>
      <c r="C689" s="2322"/>
      <c r="D689" s="2322"/>
      <c r="E689" s="2322"/>
      <c r="F689" s="2322"/>
      <c r="G689" s="2322"/>
      <c r="H689" s="2322"/>
      <c r="I689" s="2322"/>
      <c r="J689" s="2322"/>
      <c r="K689" s="2322"/>
      <c r="L689" s="2322"/>
      <c r="M689" s="2322"/>
      <c r="N689" s="2322"/>
      <c r="O689" s="2322"/>
      <c r="P689" s="2322"/>
      <c r="Q689" s="2322"/>
      <c r="R689" s="2322"/>
      <c r="S689" s="2322"/>
      <c r="T689" s="2322"/>
      <c r="U689" s="2322"/>
      <c r="V689" s="2322"/>
      <c r="W689" s="2322"/>
      <c r="X689" s="2322"/>
      <c r="Y689" s="2322"/>
      <c r="Z689" s="2322"/>
      <c r="AA689" s="2322"/>
      <c r="AB689" s="2322"/>
      <c r="AC689" s="2322"/>
      <c r="AD689" s="2322"/>
      <c r="AE689" s="2322"/>
      <c r="AF689" s="2322"/>
      <c r="AG689" s="2322"/>
      <c r="AH689" s="2322"/>
      <c r="AI689" s="2322"/>
      <c r="AJ689" s="2322"/>
      <c r="AK689" s="2322"/>
      <c r="AL689" s="2322"/>
      <c r="AM689" s="2322"/>
      <c r="AN689" s="2322"/>
      <c r="AO689" s="2322"/>
      <c r="AP689" s="2322"/>
      <c r="AQ689" s="2322"/>
      <c r="AR689" s="2322"/>
      <c r="AS689" s="2322"/>
      <c r="AT689" s="2322"/>
      <c r="AU689" s="2322"/>
      <c r="AV689" s="2322"/>
      <c r="AW689" s="2322"/>
      <c r="AX689" s="2322"/>
      <c r="AY689" s="2322"/>
      <c r="AZ689" s="2322"/>
      <c r="BA689" s="2322"/>
      <c r="BB689" s="2322"/>
      <c r="BC689" s="2322"/>
      <c r="BD689" s="2322"/>
      <c r="BE689" s="2322"/>
      <c r="BF689" s="2322"/>
      <c r="BG689" s="2322"/>
      <c r="BH689" s="2322"/>
      <c r="BI689" s="2322"/>
      <c r="BJ689" s="2322"/>
      <c r="BK689" s="2322"/>
      <c r="BL689" s="2322"/>
      <c r="BM689" s="2322"/>
      <c r="BN689" s="2322"/>
      <c r="BO689" s="2322"/>
      <c r="BP689" s="2322"/>
      <c r="BQ689" s="2322"/>
      <c r="BR689" s="2322"/>
      <c r="BS689" s="2322"/>
      <c r="BT689" s="2322"/>
      <c r="BU689" s="2322"/>
      <c r="BV689" s="2322"/>
      <c r="BW689" s="2322"/>
      <c r="BX689" s="2322"/>
      <c r="BY689" s="2322"/>
      <c r="BZ689" s="2322"/>
      <c r="CA689" s="2322"/>
      <c r="CB689" s="2322"/>
      <c r="CC689" s="2322"/>
      <c r="CD689" s="2322"/>
      <c r="CE689" s="2322"/>
      <c r="CF689" s="2322"/>
      <c r="CG689" s="2322"/>
      <c r="CH689" s="2322"/>
      <c r="CI689" s="2322"/>
      <c r="CJ689" s="2322"/>
      <c r="CK689" s="2322"/>
      <c r="CL689" s="2322"/>
      <c r="CM689" s="2322"/>
      <c r="CN689" s="2322"/>
      <c r="CO689" s="2322"/>
      <c r="CP689" s="2322"/>
      <c r="CQ689" s="2322"/>
      <c r="CR689" s="2322"/>
      <c r="CS689" s="2322"/>
      <c r="CT689" s="2322"/>
      <c r="CU689" s="2322"/>
      <c r="CV689" s="2322"/>
    </row>
    <row r="690" spans="1:100" ht="15.75" customHeight="1">
      <c r="A690" s="2328"/>
      <c r="B690" s="2322"/>
      <c r="C690" s="2322"/>
      <c r="D690" s="2322"/>
      <c r="E690" s="2322"/>
      <c r="F690" s="2322"/>
      <c r="G690" s="2322"/>
      <c r="H690" s="2322"/>
      <c r="I690" s="2322"/>
      <c r="J690" s="2322"/>
      <c r="K690" s="2322"/>
      <c r="L690" s="2322"/>
      <c r="M690" s="2322"/>
      <c r="N690" s="2322"/>
      <c r="O690" s="2322"/>
      <c r="P690" s="2322"/>
      <c r="Q690" s="2322"/>
      <c r="R690" s="2322"/>
      <c r="S690" s="2322"/>
      <c r="T690" s="2322"/>
      <c r="U690" s="2322"/>
      <c r="V690" s="2322"/>
      <c r="W690" s="2322"/>
      <c r="X690" s="2322"/>
      <c r="Y690" s="2322"/>
      <c r="Z690" s="2322"/>
      <c r="AA690" s="2322"/>
      <c r="AB690" s="2322"/>
      <c r="AC690" s="2322"/>
      <c r="AD690" s="2322"/>
      <c r="AE690" s="2322"/>
      <c r="AF690" s="2322"/>
      <c r="AG690" s="2322"/>
      <c r="AH690" s="2322"/>
      <c r="AI690" s="2322"/>
      <c r="AJ690" s="2322"/>
      <c r="AK690" s="2322"/>
      <c r="AL690" s="2322"/>
      <c r="AM690" s="2322"/>
      <c r="AN690" s="2322"/>
      <c r="AO690" s="2322"/>
      <c r="AP690" s="2322"/>
      <c r="AQ690" s="2322"/>
      <c r="AR690" s="2322"/>
      <c r="AS690" s="2322"/>
      <c r="AT690" s="2322"/>
      <c r="AU690" s="2322"/>
      <c r="AV690" s="2322"/>
      <c r="AW690" s="2322"/>
      <c r="AX690" s="2322"/>
      <c r="AY690" s="2322"/>
      <c r="AZ690" s="2322"/>
      <c r="BA690" s="2322"/>
      <c r="BB690" s="2322"/>
      <c r="BC690" s="2322"/>
      <c r="BD690" s="2322"/>
      <c r="BE690" s="2322"/>
      <c r="BF690" s="2322"/>
      <c r="BG690" s="2322"/>
      <c r="BH690" s="2322"/>
      <c r="BI690" s="2322"/>
      <c r="BJ690" s="2322"/>
      <c r="BK690" s="2322"/>
      <c r="BL690" s="2322"/>
      <c r="BM690" s="2322"/>
      <c r="BN690" s="2322"/>
      <c r="BO690" s="2322"/>
      <c r="BP690" s="2322"/>
      <c r="BQ690" s="2322"/>
      <c r="BR690" s="2322"/>
      <c r="BS690" s="2322"/>
      <c r="BT690" s="2322"/>
      <c r="BU690" s="2322"/>
      <c r="BV690" s="2322"/>
      <c r="BW690" s="2322"/>
      <c r="BX690" s="2322"/>
      <c r="BY690" s="2322"/>
      <c r="BZ690" s="2322"/>
      <c r="CA690" s="2322"/>
      <c r="CB690" s="2322"/>
      <c r="CC690" s="2322"/>
      <c r="CD690" s="2322"/>
      <c r="CE690" s="2322"/>
      <c r="CF690" s="2322"/>
      <c r="CG690" s="2322"/>
      <c r="CH690" s="2322"/>
      <c r="CI690" s="2322"/>
      <c r="CJ690" s="2322"/>
      <c r="CK690" s="2322"/>
      <c r="CL690" s="2322"/>
      <c r="CM690" s="2322"/>
      <c r="CN690" s="2322"/>
      <c r="CO690" s="2322"/>
      <c r="CP690" s="2322"/>
      <c r="CQ690" s="2322"/>
      <c r="CR690" s="2322"/>
      <c r="CS690" s="2322"/>
      <c r="CT690" s="2322"/>
      <c r="CU690" s="2322"/>
      <c r="CV690" s="2322"/>
    </row>
    <row r="691" spans="1:100" ht="15.75" customHeight="1">
      <c r="A691" s="2328"/>
      <c r="B691" s="2322"/>
      <c r="C691" s="2322"/>
      <c r="D691" s="2322"/>
      <c r="E691" s="2322"/>
      <c r="F691" s="2322"/>
      <c r="G691" s="2322"/>
      <c r="H691" s="2322"/>
      <c r="I691" s="2322"/>
      <c r="J691" s="2322"/>
      <c r="K691" s="2322"/>
      <c r="L691" s="2322"/>
      <c r="M691" s="2322"/>
      <c r="N691" s="2322"/>
      <c r="O691" s="2322"/>
      <c r="P691" s="2322"/>
      <c r="Q691" s="2322"/>
      <c r="R691" s="2322"/>
      <c r="S691" s="2322"/>
      <c r="T691" s="2322"/>
      <c r="U691" s="2322"/>
      <c r="V691" s="2322"/>
      <c r="W691" s="2322"/>
      <c r="X691" s="2322"/>
      <c r="Y691" s="2322"/>
      <c r="Z691" s="2322"/>
      <c r="AA691" s="2322"/>
      <c r="AB691" s="2322"/>
      <c r="AC691" s="2322"/>
      <c r="AD691" s="2322"/>
      <c r="AE691" s="2322"/>
      <c r="AF691" s="2322"/>
      <c r="AG691" s="2322"/>
      <c r="AH691" s="2322"/>
      <c r="AI691" s="2322"/>
      <c r="AJ691" s="2322"/>
      <c r="AK691" s="2322"/>
      <c r="AL691" s="2322"/>
      <c r="AM691" s="2322"/>
      <c r="AN691" s="2322"/>
      <c r="AO691" s="2322"/>
      <c r="AP691" s="2322"/>
      <c r="AQ691" s="2322"/>
      <c r="AR691" s="2322"/>
      <c r="AS691" s="2322"/>
      <c r="AT691" s="2322"/>
      <c r="AU691" s="2322"/>
      <c r="AV691" s="2322"/>
      <c r="AW691" s="2322"/>
      <c r="AX691" s="2322"/>
      <c r="AY691" s="2322"/>
      <c r="AZ691" s="2322"/>
      <c r="BA691" s="2322"/>
      <c r="BB691" s="2322"/>
      <c r="BC691" s="2322"/>
      <c r="BD691" s="2322"/>
      <c r="BE691" s="2322"/>
      <c r="BF691" s="2322"/>
      <c r="BG691" s="2322"/>
      <c r="BH691" s="2322"/>
      <c r="BI691" s="2322"/>
      <c r="BJ691" s="2322"/>
      <c r="BK691" s="2322"/>
      <c r="BL691" s="2322"/>
      <c r="BM691" s="2322"/>
      <c r="BN691" s="2322"/>
      <c r="BO691" s="2322"/>
      <c r="BP691" s="2322"/>
      <c r="BQ691" s="2322"/>
      <c r="BR691" s="2322"/>
      <c r="BS691" s="2322"/>
      <c r="BT691" s="2322"/>
      <c r="BU691" s="2322"/>
      <c r="BV691" s="2322"/>
      <c r="BW691" s="2322"/>
      <c r="BX691" s="2322"/>
      <c r="BY691" s="2322"/>
      <c r="BZ691" s="2322"/>
      <c r="CA691" s="2322"/>
      <c r="CB691" s="2322"/>
      <c r="CC691" s="2322"/>
      <c r="CD691" s="2322"/>
      <c r="CE691" s="2322"/>
      <c r="CF691" s="2322"/>
      <c r="CG691" s="2322"/>
      <c r="CH691" s="2322"/>
      <c r="CI691" s="2322"/>
      <c r="CJ691" s="2322"/>
      <c r="CK691" s="2322"/>
      <c r="CL691" s="2322"/>
      <c r="CM691" s="2322"/>
      <c r="CN691" s="2322"/>
      <c r="CO691" s="2322"/>
      <c r="CP691" s="2322"/>
      <c r="CQ691" s="2322"/>
      <c r="CR691" s="2322"/>
      <c r="CS691" s="2322"/>
      <c r="CT691" s="2322"/>
      <c r="CU691" s="2322"/>
      <c r="CV691" s="2322"/>
    </row>
    <row r="692" spans="1:100" ht="15.75" customHeight="1">
      <c r="A692" s="2328"/>
      <c r="B692" s="2322"/>
      <c r="C692" s="2322"/>
      <c r="D692" s="2322"/>
      <c r="E692" s="2322"/>
      <c r="F692" s="2322"/>
      <c r="G692" s="2322"/>
      <c r="H692" s="2322"/>
      <c r="I692" s="2322"/>
      <c r="J692" s="2322"/>
      <c r="K692" s="2322"/>
      <c r="L692" s="2322"/>
      <c r="M692" s="2322"/>
      <c r="N692" s="2322"/>
      <c r="O692" s="2322"/>
      <c r="P692" s="2322"/>
      <c r="Q692" s="2322"/>
      <c r="R692" s="2322"/>
      <c r="S692" s="2322"/>
      <c r="T692" s="2322"/>
      <c r="U692" s="2322"/>
      <c r="V692" s="2322"/>
      <c r="W692" s="2322"/>
      <c r="X692" s="2322"/>
      <c r="Y692" s="2322"/>
      <c r="Z692" s="2322"/>
      <c r="AA692" s="2322"/>
      <c r="AB692" s="2322"/>
      <c r="AC692" s="2322"/>
      <c r="AD692" s="2322"/>
      <c r="AE692" s="2322"/>
      <c r="AF692" s="2322"/>
      <c r="AG692" s="2322"/>
      <c r="AH692" s="2322"/>
      <c r="AI692" s="2322"/>
      <c r="AJ692" s="2322"/>
      <c r="AK692" s="2322"/>
      <c r="AL692" s="2322"/>
      <c r="AM692" s="2322"/>
      <c r="AN692" s="2322"/>
      <c r="AO692" s="2322"/>
      <c r="AP692" s="2322"/>
      <c r="AQ692" s="2322"/>
      <c r="AR692" s="2322"/>
      <c r="AS692" s="2322"/>
      <c r="AT692" s="2322"/>
      <c r="AU692" s="2322"/>
      <c r="AV692" s="2322"/>
      <c r="AW692" s="2322"/>
      <c r="AX692" s="2322"/>
      <c r="AY692" s="2322"/>
      <c r="AZ692" s="2322"/>
      <c r="BA692" s="2322"/>
      <c r="BB692" s="2322"/>
      <c r="BC692" s="2322"/>
      <c r="BD692" s="2322"/>
      <c r="BE692" s="2322"/>
      <c r="BF692" s="2322"/>
      <c r="BG692" s="2322"/>
      <c r="BH692" s="2322"/>
      <c r="BI692" s="2322"/>
      <c r="BJ692" s="2322"/>
      <c r="BK692" s="2322"/>
      <c r="BL692" s="2322"/>
      <c r="BM692" s="2322"/>
      <c r="BN692" s="2322"/>
      <c r="BO692" s="2322"/>
      <c r="BP692" s="2322"/>
      <c r="BQ692" s="2322"/>
      <c r="BR692" s="2322"/>
      <c r="BS692" s="2322"/>
      <c r="BT692" s="2322"/>
      <c r="BU692" s="2322"/>
      <c r="BV692" s="2322"/>
      <c r="BW692" s="2322"/>
      <c r="BX692" s="2322"/>
      <c r="BY692" s="2322"/>
      <c r="BZ692" s="2322"/>
      <c r="CA692" s="2322"/>
      <c r="CB692" s="2322"/>
      <c r="CC692" s="2322"/>
      <c r="CD692" s="2322"/>
      <c r="CE692" s="2322"/>
      <c r="CF692" s="2322"/>
      <c r="CG692" s="2322"/>
      <c r="CH692" s="2322"/>
      <c r="CI692" s="2322"/>
      <c r="CJ692" s="2322"/>
      <c r="CK692" s="2322"/>
      <c r="CL692" s="2322"/>
      <c r="CM692" s="2322"/>
      <c r="CN692" s="2322"/>
      <c r="CO692" s="2322"/>
      <c r="CP692" s="2322"/>
      <c r="CQ692" s="2322"/>
      <c r="CR692" s="2322"/>
      <c r="CS692" s="2322"/>
      <c r="CT692" s="2322"/>
      <c r="CU692" s="2322"/>
      <c r="CV692" s="2322"/>
    </row>
    <row r="693" spans="1:100" ht="15.75" customHeight="1">
      <c r="A693" s="2328"/>
      <c r="B693" s="2322"/>
      <c r="C693" s="2322"/>
      <c r="D693" s="2322"/>
      <c r="E693" s="2322"/>
      <c r="F693" s="2322"/>
      <c r="G693" s="2322"/>
      <c r="H693" s="2322"/>
      <c r="I693" s="2322"/>
      <c r="J693" s="2322"/>
      <c r="K693" s="2322"/>
      <c r="L693" s="2322"/>
      <c r="M693" s="2322"/>
      <c r="N693" s="2322"/>
      <c r="O693" s="2322"/>
      <c r="P693" s="2322"/>
      <c r="Q693" s="2322"/>
      <c r="R693" s="2322"/>
      <c r="S693" s="2322"/>
      <c r="T693" s="2322"/>
      <c r="U693" s="2322"/>
      <c r="V693" s="2322"/>
      <c r="W693" s="2322"/>
      <c r="X693" s="2322"/>
      <c r="Y693" s="2322"/>
      <c r="Z693" s="2322"/>
      <c r="AA693" s="2322"/>
      <c r="AB693" s="2322"/>
      <c r="AC693" s="2322"/>
      <c r="AD693" s="2322"/>
      <c r="AE693" s="2322"/>
      <c r="AF693" s="2322"/>
      <c r="AG693" s="2322"/>
      <c r="AH693" s="2322"/>
      <c r="AI693" s="2322"/>
      <c r="AJ693" s="2322"/>
      <c r="AK693" s="2322"/>
      <c r="AL693" s="2322"/>
      <c r="AM693" s="2322"/>
      <c r="AN693" s="2322"/>
      <c r="AO693" s="2322"/>
      <c r="AP693" s="2322"/>
      <c r="AQ693" s="2322"/>
      <c r="AR693" s="2322"/>
      <c r="AS693" s="2322"/>
      <c r="AT693" s="2322"/>
      <c r="AU693" s="2322"/>
      <c r="AV693" s="2322"/>
      <c r="AW693" s="2322"/>
      <c r="AX693" s="2322"/>
      <c r="AY693" s="2322"/>
      <c r="AZ693" s="2322"/>
      <c r="BA693" s="2322"/>
      <c r="BB693" s="2322"/>
      <c r="BC693" s="2322"/>
      <c r="BD693" s="2322"/>
      <c r="BE693" s="2322"/>
      <c r="BF693" s="2322"/>
      <c r="BG693" s="2322"/>
      <c r="BH693" s="2322"/>
      <c r="BI693" s="2322"/>
      <c r="BJ693" s="2322"/>
      <c r="BK693" s="2322"/>
      <c r="BL693" s="2322"/>
      <c r="BM693" s="2322"/>
      <c r="BN693" s="2322"/>
      <c r="BO693" s="2322"/>
      <c r="BP693" s="2322"/>
      <c r="BQ693" s="2322"/>
      <c r="BR693" s="2322"/>
      <c r="BS693" s="2322"/>
      <c r="BT693" s="2322"/>
      <c r="BU693" s="2322"/>
      <c r="BV693" s="2322"/>
      <c r="BW693" s="2322"/>
      <c r="BX693" s="2322"/>
      <c r="BY693" s="2322"/>
      <c r="BZ693" s="2322"/>
      <c r="CA693" s="2322"/>
      <c r="CB693" s="2322"/>
      <c r="CC693" s="2322"/>
      <c r="CD693" s="2322"/>
      <c r="CE693" s="2322"/>
      <c r="CF693" s="2322"/>
      <c r="CG693" s="2322"/>
      <c r="CH693" s="2322"/>
      <c r="CI693" s="2322"/>
      <c r="CJ693" s="2322"/>
      <c r="CK693" s="2322"/>
      <c r="CL693" s="2322"/>
      <c r="CM693" s="2322"/>
      <c r="CN693" s="2322"/>
      <c r="CO693" s="2322"/>
      <c r="CP693" s="2322"/>
      <c r="CQ693" s="2322"/>
      <c r="CR693" s="2322"/>
      <c r="CS693" s="2322"/>
      <c r="CT693" s="2322"/>
      <c r="CU693" s="2322"/>
      <c r="CV693" s="2322"/>
    </row>
    <row r="694" spans="1:100" ht="15.75" customHeight="1">
      <c r="A694" s="2328"/>
      <c r="B694" s="2322"/>
      <c r="C694" s="2322"/>
      <c r="D694" s="2322"/>
      <c r="E694" s="2322"/>
      <c r="F694" s="2322"/>
      <c r="G694" s="2322"/>
      <c r="H694" s="2322"/>
      <c r="I694" s="2322"/>
      <c r="J694" s="2322"/>
      <c r="K694" s="2322"/>
      <c r="L694" s="2322"/>
      <c r="M694" s="2322"/>
      <c r="N694" s="2322"/>
      <c r="O694" s="2322"/>
      <c r="P694" s="2322"/>
      <c r="Q694" s="2322"/>
      <c r="R694" s="2322"/>
      <c r="S694" s="2322"/>
      <c r="T694" s="2322"/>
      <c r="U694" s="2322"/>
      <c r="V694" s="2322"/>
      <c r="W694" s="2322"/>
      <c r="X694" s="2322"/>
      <c r="Y694" s="2322"/>
      <c r="Z694" s="2322"/>
      <c r="AA694" s="2322"/>
      <c r="AB694" s="2322"/>
      <c r="AC694" s="2322"/>
      <c r="AD694" s="2322"/>
      <c r="AE694" s="2322"/>
      <c r="AF694" s="2322"/>
      <c r="AG694" s="2322"/>
      <c r="AH694" s="2322"/>
      <c r="AI694" s="2322"/>
      <c r="AJ694" s="2322"/>
      <c r="AK694" s="2322"/>
      <c r="AL694" s="2322"/>
      <c r="AM694" s="2322"/>
      <c r="AN694" s="2322"/>
      <c r="AO694" s="2322"/>
      <c r="AP694" s="2322"/>
      <c r="AQ694" s="2322"/>
      <c r="AR694" s="2322"/>
      <c r="AS694" s="2322"/>
      <c r="AT694" s="2322"/>
      <c r="AU694" s="2322"/>
      <c r="AV694" s="2322"/>
      <c r="AW694" s="2322"/>
      <c r="AX694" s="2322"/>
      <c r="AY694" s="2322"/>
      <c r="AZ694" s="2322"/>
      <c r="BA694" s="2322"/>
      <c r="BB694" s="2322"/>
      <c r="BC694" s="2322"/>
      <c r="BD694" s="2322"/>
      <c r="BE694" s="2322"/>
      <c r="BF694" s="2322"/>
      <c r="BG694" s="2322"/>
      <c r="BH694" s="2322"/>
      <c r="BI694" s="2322"/>
      <c r="BJ694" s="2322"/>
      <c r="BK694" s="2322"/>
      <c r="BL694" s="2322"/>
      <c r="BM694" s="2322"/>
      <c r="BN694" s="2322"/>
      <c r="BO694" s="2322"/>
      <c r="BP694" s="2322"/>
      <c r="BQ694" s="2322"/>
      <c r="BR694" s="2322"/>
      <c r="BS694" s="2322"/>
      <c r="BT694" s="2322"/>
      <c r="BU694" s="2322"/>
      <c r="BV694" s="2322"/>
      <c r="BW694" s="2322"/>
      <c r="BX694" s="2322"/>
      <c r="BY694" s="2322"/>
      <c r="BZ694" s="2322"/>
      <c r="CA694" s="2322"/>
      <c r="CB694" s="2322"/>
      <c r="CC694" s="2322"/>
      <c r="CD694" s="2322"/>
      <c r="CE694" s="2322"/>
      <c r="CF694" s="2322"/>
      <c r="CG694" s="2322"/>
      <c r="CH694" s="2322"/>
      <c r="CI694" s="2322"/>
      <c r="CJ694" s="2322"/>
      <c r="CK694" s="2322"/>
      <c r="CL694" s="2322"/>
      <c r="CM694" s="2322"/>
      <c r="CN694" s="2322"/>
      <c r="CO694" s="2322"/>
      <c r="CP694" s="2322"/>
      <c r="CQ694" s="2322"/>
      <c r="CR694" s="2322"/>
      <c r="CS694" s="2322"/>
      <c r="CT694" s="2322"/>
      <c r="CU694" s="2322"/>
      <c r="CV694" s="2322"/>
    </row>
    <row r="695" spans="1:100" ht="15.75" customHeight="1">
      <c r="A695" s="2328"/>
      <c r="B695" s="2322"/>
      <c r="C695" s="2322"/>
      <c r="D695" s="2322"/>
      <c r="E695" s="2322"/>
      <c r="F695" s="2322"/>
      <c r="G695" s="2322"/>
      <c r="H695" s="2322"/>
      <c r="I695" s="2322"/>
      <c r="J695" s="2322"/>
      <c r="K695" s="2322"/>
      <c r="L695" s="2322"/>
      <c r="M695" s="2322"/>
      <c r="N695" s="2322"/>
      <c r="O695" s="2322"/>
      <c r="P695" s="2322"/>
      <c r="Q695" s="2322"/>
      <c r="R695" s="2322"/>
      <c r="S695" s="2322"/>
      <c r="T695" s="2322"/>
      <c r="U695" s="2322"/>
      <c r="V695" s="2322"/>
      <c r="W695" s="2322"/>
      <c r="X695" s="2322"/>
      <c r="Y695" s="2322"/>
      <c r="Z695" s="2322"/>
      <c r="AA695" s="2322"/>
      <c r="AB695" s="2322"/>
      <c r="AC695" s="2322"/>
      <c r="AD695" s="2322"/>
      <c r="AE695" s="2322"/>
      <c r="AF695" s="2322"/>
      <c r="AG695" s="2322"/>
      <c r="AH695" s="2322"/>
      <c r="AI695" s="2322"/>
      <c r="AJ695" s="2322"/>
      <c r="AK695" s="2322"/>
      <c r="AL695" s="2322"/>
      <c r="AM695" s="2322"/>
      <c r="AN695" s="2322"/>
      <c r="AO695" s="2322"/>
      <c r="AP695" s="2322"/>
      <c r="AQ695" s="2322"/>
      <c r="AR695" s="2322"/>
      <c r="AS695" s="2322"/>
      <c r="AT695" s="2322"/>
      <c r="AU695" s="2322"/>
      <c r="AV695" s="2322"/>
      <c r="AW695" s="2322"/>
      <c r="AX695" s="2322"/>
      <c r="AY695" s="2322"/>
      <c r="AZ695" s="2322"/>
      <c r="BA695" s="2322"/>
      <c r="BB695" s="2322"/>
      <c r="BC695" s="2322"/>
      <c r="BD695" s="2322"/>
      <c r="BE695" s="2322"/>
      <c r="BF695" s="2322"/>
      <c r="BG695" s="2322"/>
      <c r="BH695" s="2322"/>
      <c r="BI695" s="2322"/>
      <c r="BJ695" s="2322"/>
      <c r="BK695" s="2322"/>
      <c r="BL695" s="2322"/>
      <c r="BM695" s="2322"/>
      <c r="BN695" s="2322"/>
      <c r="BO695" s="2322"/>
      <c r="BP695" s="2322"/>
      <c r="BQ695" s="2322"/>
      <c r="BR695" s="2322"/>
      <c r="BS695" s="2322"/>
      <c r="BT695" s="2322"/>
      <c r="BU695" s="2322"/>
      <c r="BV695" s="2322"/>
      <c r="BW695" s="2322"/>
      <c r="BX695" s="2322"/>
      <c r="BY695" s="2322"/>
      <c r="BZ695" s="2322"/>
      <c r="CA695" s="2322"/>
      <c r="CB695" s="2322"/>
      <c r="CC695" s="2322"/>
      <c r="CD695" s="2322"/>
      <c r="CE695" s="2322"/>
      <c r="CF695" s="2322"/>
      <c r="CG695" s="2322"/>
      <c r="CH695" s="2322"/>
      <c r="CI695" s="2322"/>
      <c r="CJ695" s="2322"/>
      <c r="CK695" s="2322"/>
      <c r="CL695" s="2322"/>
      <c r="CM695" s="2322"/>
      <c r="CN695" s="2322"/>
      <c r="CO695" s="2322"/>
      <c r="CP695" s="2322"/>
      <c r="CQ695" s="2322"/>
      <c r="CR695" s="2322"/>
      <c r="CS695" s="2322"/>
      <c r="CT695" s="2322"/>
      <c r="CU695" s="2322"/>
      <c r="CV695" s="2322"/>
    </row>
    <row r="696" spans="1:100" ht="15.75" customHeight="1">
      <c r="A696" s="2328"/>
      <c r="B696" s="2322"/>
      <c r="C696" s="2322"/>
      <c r="D696" s="2322"/>
      <c r="E696" s="2322"/>
      <c r="F696" s="2322"/>
      <c r="G696" s="2322"/>
      <c r="H696" s="2322"/>
      <c r="I696" s="2322"/>
      <c r="J696" s="2322"/>
      <c r="K696" s="2322"/>
      <c r="L696" s="2322"/>
      <c r="M696" s="2322"/>
      <c r="N696" s="2322"/>
      <c r="O696" s="2322"/>
      <c r="P696" s="2322"/>
      <c r="Q696" s="2322"/>
      <c r="R696" s="2322"/>
      <c r="S696" s="2322"/>
      <c r="T696" s="2322"/>
      <c r="U696" s="2322"/>
      <c r="V696" s="2322"/>
      <c r="W696" s="2322"/>
      <c r="X696" s="2322"/>
      <c r="Y696" s="2322"/>
      <c r="Z696" s="2322"/>
      <c r="AA696" s="2322"/>
      <c r="AB696" s="2322"/>
      <c r="AC696" s="2322"/>
      <c r="AD696" s="2322"/>
      <c r="AE696" s="2322"/>
      <c r="AF696" s="2322"/>
      <c r="AG696" s="2322"/>
      <c r="AH696" s="2322"/>
      <c r="AI696" s="2322"/>
      <c r="AJ696" s="2322"/>
      <c r="AK696" s="2322"/>
      <c r="AL696" s="2322"/>
      <c r="AM696" s="2322"/>
      <c r="AN696" s="2322"/>
      <c r="AO696" s="2322"/>
      <c r="AP696" s="2322"/>
      <c r="AQ696" s="2322"/>
      <c r="AR696" s="2322"/>
      <c r="AS696" s="2322"/>
      <c r="AT696" s="2322"/>
      <c r="AU696" s="2322"/>
      <c r="AV696" s="2322"/>
      <c r="AW696" s="2322"/>
      <c r="AX696" s="2322"/>
      <c r="AY696" s="2322"/>
      <c r="AZ696" s="2322"/>
      <c r="BA696" s="2322"/>
      <c r="BB696" s="2322"/>
      <c r="BC696" s="2322"/>
      <c r="BD696" s="2322"/>
      <c r="BE696" s="2322"/>
      <c r="BF696" s="2322"/>
      <c r="BG696" s="2322"/>
      <c r="BH696" s="2322"/>
      <c r="BI696" s="2322"/>
      <c r="BJ696" s="2322"/>
      <c r="BK696" s="2322"/>
      <c r="BL696" s="2322"/>
      <c r="BM696" s="2322"/>
      <c r="BN696" s="2322"/>
      <c r="BO696" s="2322"/>
      <c r="BP696" s="2322"/>
      <c r="BQ696" s="2322"/>
      <c r="BR696" s="2322"/>
      <c r="BS696" s="2322"/>
      <c r="BT696" s="2322"/>
      <c r="BU696" s="2322"/>
      <c r="BV696" s="2322"/>
      <c r="BW696" s="2322"/>
      <c r="BX696" s="2322"/>
      <c r="BY696" s="2322"/>
      <c r="BZ696" s="2322"/>
      <c r="CA696" s="2322"/>
      <c r="CB696" s="2322"/>
      <c r="CC696" s="2322"/>
      <c r="CD696" s="2322"/>
      <c r="CE696" s="2322"/>
      <c r="CF696" s="2322"/>
      <c r="CG696" s="2322"/>
      <c r="CH696" s="2322"/>
      <c r="CI696" s="2322"/>
      <c r="CJ696" s="2322"/>
      <c r="CK696" s="2322"/>
      <c r="CL696" s="2322"/>
      <c r="CM696" s="2322"/>
      <c r="CN696" s="2322"/>
      <c r="CO696" s="2322"/>
      <c r="CP696" s="2322"/>
      <c r="CQ696" s="2322"/>
      <c r="CR696" s="2322"/>
      <c r="CS696" s="2322"/>
      <c r="CT696" s="2322"/>
      <c r="CU696" s="2322"/>
      <c r="CV696" s="2322"/>
    </row>
    <row r="697" spans="1:100" ht="15.75" customHeight="1">
      <c r="A697" s="2328"/>
      <c r="B697" s="2322"/>
      <c r="C697" s="2322"/>
      <c r="D697" s="2322"/>
      <c r="E697" s="2322"/>
      <c r="F697" s="2322"/>
      <c r="G697" s="2322"/>
      <c r="H697" s="2322"/>
      <c r="I697" s="2322"/>
      <c r="J697" s="2322"/>
      <c r="K697" s="2322"/>
      <c r="L697" s="2322"/>
      <c r="M697" s="2322"/>
      <c r="N697" s="2322"/>
      <c r="O697" s="2322"/>
      <c r="P697" s="2322"/>
      <c r="Q697" s="2322"/>
      <c r="R697" s="2322"/>
      <c r="S697" s="2322"/>
      <c r="T697" s="2322"/>
      <c r="U697" s="2322"/>
      <c r="V697" s="2322"/>
      <c r="W697" s="2322"/>
      <c r="X697" s="2322"/>
      <c r="Y697" s="2322"/>
      <c r="Z697" s="2322"/>
      <c r="AA697" s="2322"/>
      <c r="AB697" s="2322"/>
      <c r="AC697" s="2322"/>
      <c r="AD697" s="2322"/>
      <c r="AE697" s="2322"/>
      <c r="AF697" s="2322"/>
      <c r="AG697" s="2322"/>
      <c r="AH697" s="2322"/>
      <c r="AI697" s="2322"/>
      <c r="AJ697" s="2322"/>
      <c r="AK697" s="2322"/>
      <c r="AL697" s="2322"/>
      <c r="AM697" s="2322"/>
      <c r="AN697" s="2322"/>
      <c r="AO697" s="2322"/>
      <c r="AP697" s="2322"/>
      <c r="AQ697" s="2322"/>
      <c r="AR697" s="2322"/>
      <c r="AS697" s="2322"/>
      <c r="AT697" s="2322"/>
      <c r="AU697" s="2322"/>
      <c r="AV697" s="2322"/>
      <c r="AW697" s="2322"/>
      <c r="AX697" s="2322"/>
      <c r="AY697" s="2322"/>
      <c r="AZ697" s="2322"/>
      <c r="BA697" s="2322"/>
      <c r="BB697" s="2322"/>
      <c r="BC697" s="2322"/>
      <c r="BD697" s="2322"/>
      <c r="BE697" s="2322"/>
      <c r="BF697" s="2322"/>
      <c r="BG697" s="2322"/>
      <c r="BH697" s="2322"/>
      <c r="BI697" s="2322"/>
      <c r="BJ697" s="2322"/>
      <c r="BK697" s="2322"/>
      <c r="BL697" s="2322"/>
      <c r="BM697" s="2322"/>
      <c r="BN697" s="2322"/>
      <c r="BO697" s="2322"/>
      <c r="BP697" s="2322"/>
      <c r="BQ697" s="2322"/>
      <c r="BR697" s="2322"/>
      <c r="BS697" s="2322"/>
      <c r="BT697" s="2322"/>
      <c r="BU697" s="2322"/>
      <c r="BV697" s="2322"/>
      <c r="BW697" s="2322"/>
      <c r="BX697" s="2322"/>
      <c r="BY697" s="2322"/>
      <c r="BZ697" s="2322"/>
      <c r="CA697" s="2322"/>
      <c r="CB697" s="2322"/>
      <c r="CC697" s="2322"/>
      <c r="CD697" s="2322"/>
      <c r="CE697" s="2322"/>
      <c r="CF697" s="2322"/>
      <c r="CG697" s="2322"/>
      <c r="CH697" s="2322"/>
      <c r="CI697" s="2322"/>
      <c r="CJ697" s="2322"/>
      <c r="CK697" s="2322"/>
      <c r="CL697" s="2322"/>
      <c r="CM697" s="2322"/>
      <c r="CN697" s="2322"/>
      <c r="CO697" s="2322"/>
      <c r="CP697" s="2322"/>
      <c r="CQ697" s="2322"/>
      <c r="CR697" s="2322"/>
      <c r="CS697" s="2322"/>
      <c r="CT697" s="2322"/>
      <c r="CU697" s="2322"/>
      <c r="CV697" s="2322"/>
    </row>
    <row r="698" spans="1:100" ht="15.75" customHeight="1">
      <c r="A698" s="2328"/>
      <c r="B698" s="2322"/>
      <c r="C698" s="2322"/>
      <c r="D698" s="2322"/>
      <c r="E698" s="2322"/>
      <c r="F698" s="2322"/>
      <c r="G698" s="2322"/>
      <c r="H698" s="2322"/>
      <c r="I698" s="2322"/>
      <c r="J698" s="2322"/>
      <c r="K698" s="2322"/>
      <c r="L698" s="2322"/>
      <c r="M698" s="2322"/>
      <c r="N698" s="2322"/>
      <c r="O698" s="2322"/>
      <c r="P698" s="2322"/>
      <c r="Q698" s="2322"/>
      <c r="R698" s="2322"/>
      <c r="S698" s="2322"/>
      <c r="T698" s="2322"/>
      <c r="U698" s="2322"/>
      <c r="V698" s="2322"/>
      <c r="W698" s="2322"/>
      <c r="X698" s="2322"/>
      <c r="Y698" s="2322"/>
      <c r="Z698" s="2322"/>
      <c r="AA698" s="2322"/>
      <c r="AB698" s="2322"/>
      <c r="AC698" s="2322"/>
      <c r="AD698" s="2322"/>
      <c r="AE698" s="2322"/>
      <c r="AF698" s="2322"/>
      <c r="AG698" s="2322"/>
      <c r="AH698" s="2322"/>
      <c r="AI698" s="2322"/>
      <c r="AJ698" s="2322"/>
      <c r="AK698" s="2322"/>
      <c r="AL698" s="2322"/>
      <c r="AM698" s="2322"/>
      <c r="AN698" s="2322"/>
      <c r="AO698" s="2322"/>
      <c r="AP698" s="2322"/>
      <c r="AQ698" s="2322"/>
      <c r="AR698" s="2322"/>
      <c r="AS698" s="2322"/>
      <c r="AT698" s="2322"/>
      <c r="AU698" s="2322"/>
      <c r="AV698" s="2322"/>
      <c r="AW698" s="2322"/>
      <c r="AX698" s="2322"/>
      <c r="AY698" s="2322"/>
      <c r="AZ698" s="2322"/>
      <c r="BA698" s="2322"/>
      <c r="BB698" s="2322"/>
      <c r="BC698" s="2322"/>
      <c r="BD698" s="2322"/>
      <c r="BE698" s="2322"/>
      <c r="BF698" s="2322"/>
      <c r="BG698" s="2322"/>
      <c r="BH698" s="2322"/>
      <c r="BI698" s="2322"/>
      <c r="BJ698" s="2322"/>
      <c r="BK698" s="2322"/>
      <c r="BL698" s="2322"/>
      <c r="BM698" s="2322"/>
      <c r="BN698" s="2322"/>
      <c r="BO698" s="2322"/>
      <c r="BP698" s="2322"/>
      <c r="BQ698" s="2322"/>
      <c r="BR698" s="2322"/>
      <c r="BS698" s="2322"/>
      <c r="BT698" s="2322"/>
      <c r="BU698" s="2322"/>
      <c r="BV698" s="2322"/>
      <c r="BW698" s="2322"/>
      <c r="BX698" s="2322"/>
      <c r="BY698" s="2322"/>
      <c r="BZ698" s="2322"/>
      <c r="CA698" s="2322"/>
      <c r="CB698" s="2322"/>
      <c r="CC698" s="2322"/>
      <c r="CD698" s="2322"/>
      <c r="CE698" s="2322"/>
      <c r="CF698" s="2322"/>
      <c r="CG698" s="2322"/>
      <c r="CH698" s="2322"/>
      <c r="CI698" s="2322"/>
      <c r="CJ698" s="2322"/>
      <c r="CK698" s="2322"/>
      <c r="CL698" s="2322"/>
      <c r="CM698" s="2322"/>
      <c r="CN698" s="2322"/>
      <c r="CO698" s="2322"/>
      <c r="CP698" s="2322"/>
      <c r="CQ698" s="2322"/>
      <c r="CR698" s="2322"/>
      <c r="CS698" s="2322"/>
      <c r="CT698" s="2322"/>
      <c r="CU698" s="2322"/>
      <c r="CV698" s="2322"/>
    </row>
    <row r="699" spans="1:100" ht="15.75" customHeight="1">
      <c r="A699" s="2328"/>
      <c r="B699" s="2322"/>
      <c r="C699" s="2322"/>
      <c r="D699" s="2322"/>
      <c r="E699" s="2322"/>
      <c r="F699" s="2322"/>
      <c r="G699" s="2322"/>
      <c r="H699" s="2322"/>
      <c r="I699" s="2322"/>
      <c r="J699" s="2322"/>
      <c r="K699" s="2322"/>
      <c r="L699" s="2322"/>
      <c r="M699" s="2322"/>
      <c r="N699" s="2322"/>
      <c r="O699" s="2322"/>
      <c r="P699" s="2322"/>
      <c r="Q699" s="2322"/>
      <c r="R699" s="2322"/>
      <c r="S699" s="2322"/>
      <c r="T699" s="2322"/>
      <c r="U699" s="2322"/>
      <c r="V699" s="2322"/>
      <c r="W699" s="2322"/>
      <c r="X699" s="2322"/>
      <c r="Y699" s="2322"/>
      <c r="Z699" s="2322"/>
      <c r="AA699" s="2322"/>
      <c r="AB699" s="2322"/>
      <c r="AC699" s="2322"/>
      <c r="AD699" s="2322"/>
      <c r="AE699" s="2322"/>
      <c r="AF699" s="2322"/>
      <c r="AG699" s="2322"/>
      <c r="AH699" s="2322"/>
      <c r="AI699" s="2322"/>
      <c r="AJ699" s="2322"/>
      <c r="AK699" s="2322"/>
      <c r="AL699" s="2322"/>
      <c r="AM699" s="2322"/>
      <c r="AN699" s="2322"/>
      <c r="AO699" s="2322"/>
      <c r="AP699" s="2322"/>
      <c r="AQ699" s="2322"/>
      <c r="AR699" s="2322"/>
      <c r="AS699" s="2322"/>
      <c r="AT699" s="2322"/>
      <c r="AU699" s="2322"/>
      <c r="AV699" s="2322"/>
      <c r="AW699" s="2322"/>
      <c r="AX699" s="2322"/>
      <c r="AY699" s="2322"/>
      <c r="AZ699" s="2322"/>
      <c r="BA699" s="2322"/>
      <c r="BB699" s="2322"/>
      <c r="BC699" s="2322"/>
      <c r="BD699" s="2322"/>
      <c r="BE699" s="2322"/>
      <c r="BF699" s="2322"/>
      <c r="BG699" s="2322"/>
      <c r="BH699" s="2322"/>
      <c r="BI699" s="2322"/>
      <c r="BJ699" s="2322"/>
      <c r="BK699" s="2322"/>
      <c r="BL699" s="2322"/>
      <c r="BM699" s="2322"/>
      <c r="BN699" s="2322"/>
      <c r="BO699" s="2322"/>
      <c r="BP699" s="2322"/>
      <c r="BQ699" s="2322"/>
      <c r="BR699" s="2322"/>
      <c r="BS699" s="2322"/>
      <c r="BT699" s="2322"/>
      <c r="BU699" s="2322"/>
      <c r="BV699" s="2322"/>
      <c r="BW699" s="2322"/>
      <c r="BX699" s="2322"/>
      <c r="BY699" s="2322"/>
      <c r="BZ699" s="2322"/>
      <c r="CA699" s="2322"/>
      <c r="CB699" s="2322"/>
      <c r="CC699" s="2322"/>
      <c r="CD699" s="2322"/>
      <c r="CE699" s="2322"/>
      <c r="CF699" s="2322"/>
      <c r="CG699" s="2322"/>
      <c r="CH699" s="2322"/>
      <c r="CI699" s="2322"/>
      <c r="CJ699" s="2322"/>
      <c r="CK699" s="2322"/>
      <c r="CL699" s="2322"/>
      <c r="CM699" s="2322"/>
      <c r="CN699" s="2322"/>
      <c r="CO699" s="2322"/>
      <c r="CP699" s="2322"/>
      <c r="CQ699" s="2322"/>
      <c r="CR699" s="2322"/>
      <c r="CS699" s="2322"/>
      <c r="CT699" s="2322"/>
      <c r="CU699" s="2322"/>
      <c r="CV699" s="2322"/>
    </row>
    <row r="700" spans="1:100" ht="15.75" customHeight="1">
      <c r="A700" s="2328"/>
      <c r="B700" s="2322"/>
      <c r="C700" s="2322"/>
      <c r="D700" s="2322"/>
      <c r="E700" s="2322"/>
      <c r="F700" s="2322"/>
      <c r="G700" s="2322"/>
      <c r="H700" s="2322"/>
      <c r="I700" s="2322"/>
      <c r="J700" s="2322"/>
      <c r="K700" s="2322"/>
      <c r="L700" s="2322"/>
      <c r="M700" s="2322"/>
      <c r="N700" s="2322"/>
      <c r="O700" s="2322"/>
      <c r="P700" s="2322"/>
      <c r="Q700" s="2322"/>
      <c r="R700" s="2322"/>
      <c r="S700" s="2322"/>
      <c r="T700" s="2322"/>
      <c r="U700" s="2322"/>
      <c r="V700" s="2322"/>
      <c r="W700" s="2322"/>
      <c r="X700" s="2322"/>
      <c r="Y700" s="2322"/>
      <c r="Z700" s="2322"/>
      <c r="AA700" s="2322"/>
      <c r="AB700" s="2322"/>
      <c r="AC700" s="2322"/>
      <c r="AD700" s="2322"/>
      <c r="AE700" s="2322"/>
      <c r="AF700" s="2322"/>
      <c r="AG700" s="2322"/>
      <c r="AH700" s="2322"/>
      <c r="AI700" s="2322"/>
      <c r="AJ700" s="2322"/>
      <c r="AK700" s="2322"/>
      <c r="AL700" s="2322"/>
      <c r="AM700" s="2322"/>
      <c r="AN700" s="2322"/>
      <c r="AO700" s="2322"/>
      <c r="AP700" s="2322"/>
      <c r="AQ700" s="2322"/>
      <c r="AR700" s="2322"/>
      <c r="AS700" s="2322"/>
      <c r="AT700" s="2322"/>
      <c r="AU700" s="2322"/>
      <c r="AV700" s="2322"/>
      <c r="AW700" s="2322"/>
      <c r="AX700" s="2322"/>
      <c r="AY700" s="2322"/>
      <c r="AZ700" s="2322"/>
      <c r="BA700" s="2322"/>
      <c r="BB700" s="2322"/>
      <c r="BC700" s="2322"/>
      <c r="BD700" s="2322"/>
      <c r="BE700" s="2322"/>
      <c r="BF700" s="2322"/>
      <c r="BG700" s="2322"/>
      <c r="BH700" s="2322"/>
      <c r="BI700" s="2322"/>
      <c r="BJ700" s="2322"/>
      <c r="BK700" s="2322"/>
      <c r="BL700" s="2322"/>
      <c r="BM700" s="2322"/>
      <c r="BN700" s="2322"/>
      <c r="BO700" s="2322"/>
      <c r="BP700" s="2322"/>
      <c r="BQ700" s="2322"/>
      <c r="BR700" s="2322"/>
      <c r="BS700" s="2322"/>
      <c r="BT700" s="2322"/>
      <c r="BU700" s="2322"/>
      <c r="BV700" s="2322"/>
      <c r="BW700" s="2322"/>
      <c r="BX700" s="2322"/>
      <c r="BY700" s="2322"/>
      <c r="BZ700" s="2322"/>
      <c r="CA700" s="2322"/>
      <c r="CB700" s="2322"/>
      <c r="CC700" s="2322"/>
      <c r="CD700" s="2322"/>
      <c r="CE700" s="2322"/>
      <c r="CF700" s="2322"/>
      <c r="CG700" s="2322"/>
      <c r="CH700" s="2322"/>
      <c r="CI700" s="2322"/>
      <c r="CJ700" s="2322"/>
      <c r="CK700" s="2322"/>
      <c r="CL700" s="2322"/>
      <c r="CM700" s="2322"/>
      <c r="CN700" s="2322"/>
      <c r="CO700" s="2322"/>
      <c r="CP700" s="2322"/>
      <c r="CQ700" s="2322"/>
      <c r="CR700" s="2322"/>
      <c r="CS700" s="2322"/>
      <c r="CT700" s="2322"/>
      <c r="CU700" s="2322"/>
      <c r="CV700" s="2322"/>
    </row>
    <row r="701" spans="1:100" ht="15.75" customHeight="1">
      <c r="A701" s="2328"/>
      <c r="B701" s="2322"/>
      <c r="C701" s="2322"/>
      <c r="D701" s="2322"/>
      <c r="E701" s="2322"/>
      <c r="F701" s="2322"/>
      <c r="G701" s="2322"/>
      <c r="H701" s="2322"/>
      <c r="I701" s="2322"/>
      <c r="J701" s="2322"/>
      <c r="K701" s="2322"/>
      <c r="L701" s="2322"/>
      <c r="M701" s="2322"/>
      <c r="N701" s="2322"/>
      <c r="O701" s="2322"/>
      <c r="P701" s="2322"/>
      <c r="Q701" s="2322"/>
      <c r="R701" s="2322"/>
      <c r="S701" s="2322"/>
      <c r="T701" s="2322"/>
      <c r="U701" s="2322"/>
      <c r="V701" s="2322"/>
      <c r="W701" s="2322"/>
      <c r="X701" s="2322"/>
      <c r="Y701" s="2322"/>
      <c r="Z701" s="2322"/>
      <c r="AA701" s="2322"/>
      <c r="AB701" s="2322"/>
      <c r="AC701" s="2322"/>
      <c r="AD701" s="2322"/>
      <c r="AE701" s="2322"/>
      <c r="AF701" s="2322"/>
      <c r="AG701" s="2322"/>
      <c r="AH701" s="2322"/>
      <c r="AI701" s="2322"/>
      <c r="AJ701" s="2322"/>
      <c r="AK701" s="2322"/>
      <c r="AL701" s="2322"/>
      <c r="AM701" s="2322"/>
      <c r="AN701" s="2322"/>
      <c r="AO701" s="2322"/>
      <c r="AP701" s="2322"/>
      <c r="AQ701" s="2322"/>
      <c r="AR701" s="2322"/>
      <c r="AS701" s="2322"/>
      <c r="AT701" s="2322"/>
      <c r="AU701" s="2322"/>
      <c r="AV701" s="2322"/>
      <c r="AW701" s="2322"/>
      <c r="AX701" s="2322"/>
      <c r="AY701" s="2322"/>
      <c r="AZ701" s="2322"/>
      <c r="BA701" s="2322"/>
      <c r="BB701" s="2322"/>
      <c r="BC701" s="2322"/>
      <c r="BD701" s="2322"/>
      <c r="BE701" s="2322"/>
      <c r="BF701" s="2322"/>
      <c r="BG701" s="2322"/>
      <c r="BH701" s="2322"/>
      <c r="BI701" s="2322"/>
      <c r="BJ701" s="2322"/>
      <c r="BK701" s="2322"/>
      <c r="BL701" s="2322"/>
      <c r="BM701" s="2322"/>
      <c r="BN701" s="2322"/>
      <c r="BO701" s="2322"/>
      <c r="BP701" s="2322"/>
      <c r="BQ701" s="2322"/>
      <c r="BR701" s="2322"/>
      <c r="BS701" s="2322"/>
      <c r="BT701" s="2322"/>
      <c r="BU701" s="2322"/>
      <c r="BV701" s="2322"/>
      <c r="BW701" s="2322"/>
      <c r="BX701" s="2322"/>
      <c r="BY701" s="2322"/>
      <c r="BZ701" s="2322"/>
      <c r="CA701" s="2322"/>
      <c r="CB701" s="2322"/>
      <c r="CC701" s="2322"/>
      <c r="CD701" s="2322"/>
      <c r="CE701" s="2322"/>
      <c r="CF701" s="2322"/>
      <c r="CG701" s="2322"/>
      <c r="CH701" s="2322"/>
      <c r="CI701" s="2322"/>
      <c r="CJ701" s="2322"/>
      <c r="CK701" s="2322"/>
      <c r="CL701" s="2322"/>
      <c r="CM701" s="2322"/>
      <c r="CN701" s="2322"/>
      <c r="CO701" s="2322"/>
      <c r="CP701" s="2322"/>
      <c r="CQ701" s="2322"/>
      <c r="CR701" s="2322"/>
      <c r="CS701" s="2322"/>
      <c r="CT701" s="2322"/>
      <c r="CU701" s="2322"/>
      <c r="CV701" s="2322"/>
    </row>
    <row r="702" spans="1:100" ht="15.75" customHeight="1">
      <c r="A702" s="2328"/>
      <c r="B702" s="2322"/>
      <c r="C702" s="2322"/>
      <c r="D702" s="2322"/>
      <c r="E702" s="2322"/>
      <c r="F702" s="2322"/>
      <c r="G702" s="2322"/>
      <c r="H702" s="2322"/>
      <c r="I702" s="2322"/>
      <c r="J702" s="2322"/>
      <c r="K702" s="2322"/>
      <c r="L702" s="2322"/>
      <c r="M702" s="2322"/>
      <c r="N702" s="2322"/>
      <c r="O702" s="2322"/>
      <c r="P702" s="2322"/>
      <c r="Q702" s="2322"/>
      <c r="R702" s="2322"/>
      <c r="S702" s="2322"/>
      <c r="T702" s="2322"/>
      <c r="U702" s="2322"/>
      <c r="V702" s="2322"/>
      <c r="W702" s="2322"/>
      <c r="X702" s="2322"/>
      <c r="Y702" s="2322"/>
      <c r="Z702" s="2322"/>
      <c r="AA702" s="2322"/>
      <c r="AB702" s="2322"/>
      <c r="AC702" s="2322"/>
      <c r="AD702" s="2322"/>
      <c r="AE702" s="2322"/>
      <c r="AF702" s="2322"/>
      <c r="AG702" s="2322"/>
      <c r="AH702" s="2322"/>
      <c r="AI702" s="2322"/>
      <c r="AJ702" s="2322"/>
      <c r="AK702" s="2322"/>
      <c r="AL702" s="2322"/>
      <c r="AM702" s="2322"/>
      <c r="AN702" s="2322"/>
      <c r="AO702" s="2322"/>
      <c r="AP702" s="2322"/>
      <c r="AQ702" s="2322"/>
      <c r="AR702" s="2322"/>
      <c r="AS702" s="2322"/>
      <c r="AT702" s="2322"/>
      <c r="AU702" s="2322"/>
      <c r="AV702" s="2322"/>
      <c r="AW702" s="2322"/>
      <c r="AX702" s="2322"/>
      <c r="AY702" s="2322"/>
      <c r="AZ702" s="2322"/>
      <c r="BA702" s="2322"/>
      <c r="BB702" s="2322"/>
      <c r="BC702" s="2322"/>
      <c r="BD702" s="2322"/>
      <c r="BE702" s="2322"/>
      <c r="BF702" s="2322"/>
      <c r="BG702" s="2322"/>
      <c r="BH702" s="2322"/>
      <c r="BI702" s="2322"/>
      <c r="BJ702" s="2322"/>
      <c r="BK702" s="2322"/>
      <c r="BL702" s="2322"/>
      <c r="BM702" s="2322"/>
      <c r="BN702" s="2322"/>
      <c r="BO702" s="2322"/>
      <c r="BP702" s="2322"/>
      <c r="BQ702" s="2322"/>
      <c r="BR702" s="2322"/>
      <c r="BS702" s="2322"/>
      <c r="BT702" s="2322"/>
      <c r="BU702" s="2322"/>
      <c r="BV702" s="2322"/>
      <c r="BW702" s="2322"/>
      <c r="BX702" s="2322"/>
      <c r="BY702" s="2322"/>
      <c r="BZ702" s="2322"/>
      <c r="CA702" s="2322"/>
      <c r="CB702" s="2322"/>
      <c r="CC702" s="2322"/>
      <c r="CD702" s="2322"/>
      <c r="CE702" s="2322"/>
      <c r="CF702" s="2322"/>
      <c r="CG702" s="2322"/>
      <c r="CH702" s="2322"/>
      <c r="CI702" s="2322"/>
      <c r="CJ702" s="2322"/>
      <c r="CK702" s="2322"/>
      <c r="CL702" s="2322"/>
      <c r="CM702" s="2322"/>
      <c r="CN702" s="2322"/>
      <c r="CO702" s="2322"/>
      <c r="CP702" s="2322"/>
      <c r="CQ702" s="2322"/>
      <c r="CR702" s="2322"/>
      <c r="CS702" s="2322"/>
      <c r="CT702" s="2322"/>
      <c r="CU702" s="2322"/>
      <c r="CV702" s="2322"/>
    </row>
    <row r="703" spans="1:100" ht="15.75" customHeight="1">
      <c r="A703" s="2328"/>
      <c r="B703" s="2322"/>
      <c r="C703" s="2322"/>
      <c r="D703" s="2322"/>
      <c r="E703" s="2322"/>
      <c r="F703" s="2322"/>
      <c r="G703" s="2322"/>
      <c r="H703" s="2322"/>
      <c r="I703" s="2322"/>
      <c r="J703" s="2322"/>
      <c r="K703" s="2322"/>
      <c r="L703" s="2322"/>
      <c r="M703" s="2322"/>
      <c r="N703" s="2322"/>
      <c r="O703" s="2322"/>
      <c r="P703" s="2322"/>
      <c r="Q703" s="2322"/>
      <c r="R703" s="2322"/>
      <c r="S703" s="2322"/>
      <c r="T703" s="2322"/>
      <c r="U703" s="2322"/>
      <c r="V703" s="2322"/>
      <c r="W703" s="2322"/>
      <c r="X703" s="2322"/>
      <c r="Y703" s="2322"/>
      <c r="Z703" s="2322"/>
      <c r="AA703" s="2322"/>
      <c r="AB703" s="2322"/>
      <c r="AC703" s="2322"/>
      <c r="AD703" s="2322"/>
      <c r="AE703" s="2322"/>
      <c r="AF703" s="2322"/>
      <c r="AG703" s="2322"/>
      <c r="AH703" s="2322"/>
      <c r="AI703" s="2322"/>
      <c r="AJ703" s="2322"/>
      <c r="AK703" s="2322"/>
      <c r="AL703" s="2322"/>
      <c r="AM703" s="2322"/>
      <c r="AN703" s="2322"/>
      <c r="AO703" s="2322"/>
      <c r="AP703" s="2322"/>
      <c r="AQ703" s="2322"/>
      <c r="AR703" s="2322"/>
      <c r="AS703" s="2322"/>
      <c r="AT703" s="2322"/>
      <c r="AU703" s="2322"/>
      <c r="AV703" s="2322"/>
      <c r="AW703" s="2322"/>
      <c r="AX703" s="2322"/>
      <c r="AY703" s="2322"/>
      <c r="AZ703" s="2322"/>
      <c r="BA703" s="2322"/>
      <c r="BB703" s="2322"/>
      <c r="BC703" s="2322"/>
      <c r="BD703" s="2322"/>
      <c r="BE703" s="2322"/>
      <c r="BF703" s="2322"/>
      <c r="BG703" s="2322"/>
      <c r="BH703" s="2322"/>
      <c r="BI703" s="2322"/>
      <c r="BJ703" s="2322"/>
      <c r="BK703" s="2322"/>
      <c r="BL703" s="2322"/>
      <c r="BM703" s="2322"/>
      <c r="BN703" s="2322"/>
      <c r="BO703" s="2322"/>
      <c r="BP703" s="2322"/>
      <c r="BQ703" s="2322"/>
      <c r="BR703" s="2322"/>
      <c r="BS703" s="2322"/>
      <c r="BT703" s="2322"/>
      <c r="BU703" s="2322"/>
      <c r="BV703" s="2322"/>
      <c r="BW703" s="2322"/>
      <c r="BX703" s="2322"/>
      <c r="BY703" s="2322"/>
      <c r="BZ703" s="2322"/>
      <c r="CA703" s="2322"/>
      <c r="CB703" s="2322"/>
      <c r="CC703" s="2322"/>
      <c r="CD703" s="2322"/>
      <c r="CE703" s="2322"/>
      <c r="CF703" s="2322"/>
      <c r="CG703" s="2322"/>
      <c r="CH703" s="2322"/>
      <c r="CI703" s="2322"/>
      <c r="CJ703" s="2322"/>
      <c r="CK703" s="2322"/>
      <c r="CL703" s="2322"/>
      <c r="CM703" s="2322"/>
      <c r="CN703" s="2322"/>
      <c r="CO703" s="2322"/>
      <c r="CP703" s="2322"/>
      <c r="CQ703" s="2322"/>
      <c r="CR703" s="2322"/>
      <c r="CS703" s="2322"/>
      <c r="CT703" s="2322"/>
      <c r="CU703" s="2322"/>
      <c r="CV703" s="2322"/>
    </row>
    <row r="704" spans="1:100" ht="15.75" customHeight="1">
      <c r="A704" s="2328"/>
      <c r="B704" s="2322"/>
      <c r="C704" s="2322"/>
      <c r="D704" s="2322"/>
      <c r="E704" s="2322"/>
      <c r="F704" s="2322"/>
      <c r="G704" s="2322"/>
      <c r="H704" s="2322"/>
      <c r="I704" s="2322"/>
      <c r="J704" s="2322"/>
      <c r="K704" s="2322"/>
      <c r="L704" s="2322"/>
      <c r="M704" s="2322"/>
      <c r="N704" s="2322"/>
      <c r="O704" s="2322"/>
      <c r="P704" s="2322"/>
      <c r="Q704" s="2322"/>
      <c r="R704" s="2322"/>
      <c r="S704" s="2322"/>
      <c r="T704" s="2322"/>
      <c r="U704" s="2322"/>
      <c r="V704" s="2322"/>
      <c r="W704" s="2322"/>
      <c r="X704" s="2322"/>
      <c r="Y704" s="2322"/>
      <c r="Z704" s="2322"/>
      <c r="AA704" s="2322"/>
      <c r="AB704" s="2322"/>
      <c r="AC704" s="2322"/>
      <c r="AD704" s="2322"/>
      <c r="AE704" s="2322"/>
      <c r="AF704" s="2322"/>
      <c r="AG704" s="2322"/>
      <c r="AH704" s="2322"/>
      <c r="AI704" s="2322"/>
      <c r="AJ704" s="2322"/>
      <c r="AK704" s="2322"/>
      <c r="AL704" s="2322"/>
      <c r="AM704" s="2322"/>
      <c r="AN704" s="2322"/>
      <c r="AO704" s="2322"/>
      <c r="AP704" s="2322"/>
      <c r="AQ704" s="2322"/>
      <c r="AR704" s="2322"/>
      <c r="AS704" s="2322"/>
      <c r="AT704" s="2322"/>
      <c r="AU704" s="2322"/>
      <c r="AV704" s="2322"/>
      <c r="AW704" s="2322"/>
      <c r="AX704" s="2322"/>
      <c r="AY704" s="2322"/>
      <c r="AZ704" s="2322"/>
      <c r="BA704" s="2322"/>
      <c r="BB704" s="2322"/>
      <c r="BC704" s="2322"/>
      <c r="BD704" s="2322"/>
      <c r="BE704" s="2322"/>
      <c r="BF704" s="2322"/>
      <c r="BG704" s="2322"/>
      <c r="BH704" s="2322"/>
      <c r="BI704" s="2322"/>
      <c r="BJ704" s="2322"/>
      <c r="BK704" s="2322"/>
      <c r="BL704" s="2322"/>
      <c r="BM704" s="2322"/>
      <c r="BN704" s="2322"/>
      <c r="BO704" s="2322"/>
      <c r="BP704" s="2322"/>
      <c r="BQ704" s="2322"/>
      <c r="BR704" s="2322"/>
      <c r="BS704" s="2322"/>
      <c r="BT704" s="2322"/>
      <c r="BU704" s="2322"/>
      <c r="BV704" s="2322"/>
      <c r="BW704" s="2322"/>
      <c r="BX704" s="2322"/>
      <c r="BY704" s="2322"/>
      <c r="BZ704" s="2322"/>
      <c r="CA704" s="2322"/>
      <c r="CB704" s="2322"/>
      <c r="CC704" s="2322"/>
      <c r="CD704" s="2322"/>
      <c r="CE704" s="2322"/>
      <c r="CF704" s="2322"/>
      <c r="CG704" s="2322"/>
      <c r="CH704" s="2322"/>
      <c r="CI704" s="2322"/>
      <c r="CJ704" s="2322"/>
      <c r="CK704" s="2322"/>
      <c r="CL704" s="2322"/>
      <c r="CM704" s="2322"/>
      <c r="CN704" s="2322"/>
      <c r="CO704" s="2322"/>
      <c r="CP704" s="2322"/>
      <c r="CQ704" s="2322"/>
      <c r="CR704" s="2322"/>
      <c r="CS704" s="2322"/>
      <c r="CT704" s="2322"/>
      <c r="CU704" s="2322"/>
      <c r="CV704" s="2322"/>
    </row>
    <row r="705" spans="1:100" ht="15.75" customHeight="1">
      <c r="A705" s="2328"/>
      <c r="B705" s="2322"/>
      <c r="C705" s="2322"/>
      <c r="D705" s="2322"/>
      <c r="E705" s="2322"/>
      <c r="F705" s="2322"/>
      <c r="G705" s="2322"/>
      <c r="H705" s="2322"/>
      <c r="I705" s="2322"/>
      <c r="J705" s="2322"/>
      <c r="K705" s="2322"/>
      <c r="L705" s="2322"/>
      <c r="M705" s="2322"/>
      <c r="N705" s="2322"/>
      <c r="O705" s="2322"/>
      <c r="P705" s="2322"/>
      <c r="Q705" s="2322"/>
      <c r="R705" s="2322"/>
      <c r="S705" s="2322"/>
      <c r="T705" s="2322"/>
      <c r="U705" s="2322"/>
      <c r="V705" s="2322"/>
      <c r="W705" s="2322"/>
      <c r="X705" s="2322"/>
      <c r="Y705" s="2322"/>
      <c r="Z705" s="2322"/>
      <c r="AA705" s="2322"/>
      <c r="AB705" s="2322"/>
      <c r="AC705" s="2322"/>
      <c r="AD705" s="2322"/>
      <c r="AE705" s="2322"/>
      <c r="AF705" s="2322"/>
      <c r="AG705" s="2322"/>
      <c r="AH705" s="2322"/>
      <c r="AI705" s="2322"/>
      <c r="AJ705" s="2322"/>
      <c r="AK705" s="2322"/>
      <c r="AL705" s="2322"/>
      <c r="AM705" s="2322"/>
      <c r="AN705" s="2322"/>
      <c r="AO705" s="2322"/>
      <c r="AP705" s="2322"/>
      <c r="AQ705" s="2322"/>
      <c r="AR705" s="2322"/>
      <c r="AS705" s="2322"/>
      <c r="AT705" s="2322"/>
      <c r="AU705" s="2322"/>
      <c r="AV705" s="2322"/>
      <c r="AW705" s="2322"/>
      <c r="AX705" s="2322"/>
      <c r="AY705" s="2322"/>
      <c r="AZ705" s="2322"/>
      <c r="BA705" s="2322"/>
      <c r="BB705" s="2322"/>
      <c r="BC705" s="2322"/>
      <c r="BD705" s="2322"/>
      <c r="BE705" s="2322"/>
      <c r="BF705" s="2322"/>
      <c r="BG705" s="2322"/>
      <c r="BH705" s="2322"/>
      <c r="BI705" s="2322"/>
      <c r="BJ705" s="2322"/>
      <c r="BK705" s="2322"/>
      <c r="BL705" s="2322"/>
      <c r="BM705" s="2322"/>
      <c r="BN705" s="2322"/>
      <c r="BO705" s="2322"/>
      <c r="BP705" s="2322"/>
      <c r="BQ705" s="2322"/>
      <c r="BR705" s="2322"/>
      <c r="BS705" s="2322"/>
      <c r="BT705" s="2322"/>
      <c r="BU705" s="2322"/>
      <c r="BV705" s="2322"/>
      <c r="BW705" s="2322"/>
      <c r="BX705" s="2322"/>
      <c r="BY705" s="2322"/>
      <c r="BZ705" s="2322"/>
      <c r="CA705" s="2322"/>
      <c r="CB705" s="2322"/>
      <c r="CC705" s="2322"/>
      <c r="CD705" s="2322"/>
      <c r="CE705" s="2322"/>
      <c r="CF705" s="2322"/>
      <c r="CG705" s="2322"/>
      <c r="CH705" s="2322"/>
      <c r="CI705" s="2322"/>
      <c r="CJ705" s="2322"/>
      <c r="CK705" s="2322"/>
      <c r="CL705" s="2322"/>
      <c r="CM705" s="2322"/>
      <c r="CN705" s="2322"/>
      <c r="CO705" s="2322"/>
      <c r="CP705" s="2322"/>
      <c r="CQ705" s="2322"/>
      <c r="CR705" s="2322"/>
      <c r="CS705" s="2322"/>
      <c r="CT705" s="2322"/>
      <c r="CU705" s="2322"/>
      <c r="CV705" s="2322"/>
    </row>
    <row r="706" spans="1:100" ht="15.75" customHeight="1">
      <c r="A706" s="2328"/>
      <c r="B706" s="2322"/>
      <c r="C706" s="2322"/>
      <c r="D706" s="2322"/>
      <c r="E706" s="2322"/>
      <c r="F706" s="2322"/>
      <c r="G706" s="2322"/>
      <c r="H706" s="2322"/>
      <c r="I706" s="2322"/>
      <c r="J706" s="2322"/>
      <c r="K706" s="2322"/>
      <c r="L706" s="2322"/>
      <c r="M706" s="2322"/>
      <c r="N706" s="2322"/>
      <c r="O706" s="2322"/>
      <c r="P706" s="2322"/>
      <c r="Q706" s="2322"/>
      <c r="R706" s="2322"/>
      <c r="S706" s="2322"/>
      <c r="T706" s="2322"/>
      <c r="U706" s="2322"/>
      <c r="V706" s="2322"/>
      <c r="W706" s="2322"/>
      <c r="X706" s="2322"/>
      <c r="Y706" s="2322"/>
      <c r="Z706" s="2322"/>
      <c r="AA706" s="2322"/>
      <c r="AB706" s="2322"/>
      <c r="AC706" s="2322"/>
      <c r="AD706" s="2322"/>
      <c r="AE706" s="2322"/>
      <c r="AF706" s="2322"/>
      <c r="AG706" s="2322"/>
      <c r="AH706" s="2322"/>
      <c r="AI706" s="2322"/>
      <c r="AJ706" s="2322"/>
      <c r="AK706" s="2322"/>
      <c r="AL706" s="2322"/>
      <c r="AM706" s="2322"/>
      <c r="AN706" s="2322"/>
      <c r="AO706" s="2322"/>
      <c r="AP706" s="2322"/>
      <c r="AQ706" s="2322"/>
      <c r="AR706" s="2322"/>
      <c r="AS706" s="2322"/>
      <c r="AT706" s="2322"/>
      <c r="AU706" s="2322"/>
      <c r="AV706" s="2322"/>
      <c r="AW706" s="2322"/>
      <c r="AX706" s="2322"/>
      <c r="AY706" s="2322"/>
      <c r="AZ706" s="2322"/>
      <c r="BA706" s="2322"/>
      <c r="BB706" s="2322"/>
      <c r="BC706" s="2322"/>
      <c r="BD706" s="2322"/>
      <c r="BE706" s="2322"/>
      <c r="BF706" s="2322"/>
      <c r="BG706" s="2322"/>
      <c r="BH706" s="2322"/>
      <c r="BI706" s="2322"/>
      <c r="BJ706" s="2322"/>
      <c r="BK706" s="2322"/>
      <c r="BL706" s="2322"/>
      <c r="BM706" s="2322"/>
      <c r="BN706" s="2322"/>
      <c r="BO706" s="2322"/>
      <c r="BP706" s="2322"/>
      <c r="BQ706" s="2322"/>
      <c r="BR706" s="2322"/>
      <c r="BS706" s="2322"/>
      <c r="BT706" s="2322"/>
      <c r="BU706" s="2322"/>
      <c r="BV706" s="2322"/>
      <c r="BW706" s="2322"/>
      <c r="BX706" s="2322"/>
      <c r="BY706" s="2322"/>
      <c r="BZ706" s="2322"/>
      <c r="CA706" s="2322"/>
      <c r="CB706" s="2322"/>
      <c r="CC706" s="2322"/>
      <c r="CD706" s="2322"/>
      <c r="CE706" s="2322"/>
      <c r="CF706" s="2322"/>
      <c r="CG706" s="2322"/>
      <c r="CH706" s="2322"/>
      <c r="CI706" s="2322"/>
      <c r="CJ706" s="2322"/>
      <c r="CK706" s="2322"/>
      <c r="CL706" s="2322"/>
      <c r="CM706" s="2322"/>
      <c r="CN706" s="2322"/>
      <c r="CO706" s="2322"/>
      <c r="CP706" s="2322"/>
      <c r="CQ706" s="2322"/>
      <c r="CR706" s="2322"/>
      <c r="CS706" s="2322"/>
      <c r="CT706" s="2322"/>
      <c r="CU706" s="2322"/>
      <c r="CV706" s="2322"/>
    </row>
    <row r="707" spans="1:100" ht="15.75" customHeight="1">
      <c r="A707" s="2328"/>
      <c r="B707" s="2322"/>
      <c r="C707" s="2322"/>
      <c r="D707" s="2322"/>
      <c r="E707" s="2322"/>
      <c r="F707" s="2322"/>
      <c r="G707" s="2322"/>
      <c r="H707" s="2322"/>
      <c r="I707" s="2322"/>
      <c r="J707" s="2322"/>
      <c r="K707" s="2322"/>
      <c r="L707" s="2322"/>
      <c r="M707" s="2322"/>
      <c r="N707" s="2322"/>
      <c r="O707" s="2322"/>
      <c r="P707" s="2322"/>
      <c r="Q707" s="2322"/>
      <c r="R707" s="2322"/>
      <c r="S707" s="2322"/>
      <c r="T707" s="2322"/>
      <c r="U707" s="2322"/>
      <c r="V707" s="2322"/>
      <c r="W707" s="2322"/>
      <c r="X707" s="2322"/>
      <c r="Y707" s="2322"/>
      <c r="Z707" s="2322"/>
      <c r="AA707" s="2322"/>
      <c r="AB707" s="2322"/>
      <c r="AC707" s="2322"/>
      <c r="AD707" s="2322"/>
      <c r="AE707" s="2322"/>
      <c r="AF707" s="2322"/>
      <c r="AG707" s="2322"/>
      <c r="AH707" s="2322"/>
      <c r="AI707" s="2322"/>
      <c r="AJ707" s="2322"/>
      <c r="AK707" s="2322"/>
      <c r="AL707" s="2322"/>
      <c r="AM707" s="2322"/>
      <c r="AN707" s="2322"/>
      <c r="AO707" s="2322"/>
      <c r="AP707" s="2322"/>
      <c r="AQ707" s="2322"/>
      <c r="AR707" s="2322"/>
      <c r="AS707" s="2322"/>
      <c r="AT707" s="2322"/>
      <c r="AU707" s="2322"/>
      <c r="AV707" s="2322"/>
      <c r="AW707" s="2322"/>
      <c r="AX707" s="2322"/>
      <c r="AY707" s="2322"/>
      <c r="AZ707" s="2322"/>
      <c r="BA707" s="2322"/>
      <c r="BB707" s="2322"/>
      <c r="BC707" s="2322"/>
      <c r="BD707" s="2322"/>
      <c r="BE707" s="2322"/>
      <c r="BF707" s="2322"/>
      <c r="BG707" s="2322"/>
      <c r="BH707" s="2322"/>
      <c r="BI707" s="2322"/>
      <c r="BJ707" s="2322"/>
      <c r="BK707" s="2322"/>
      <c r="BL707" s="2322"/>
      <c r="BM707" s="2322"/>
      <c r="BN707" s="2322"/>
      <c r="BO707" s="2322"/>
      <c r="BP707" s="2322"/>
      <c r="BQ707" s="2322"/>
      <c r="BR707" s="2322"/>
      <c r="BS707" s="2322"/>
      <c r="BT707" s="2322"/>
      <c r="BU707" s="2322"/>
      <c r="BV707" s="2322"/>
      <c r="BW707" s="2322"/>
      <c r="BX707" s="2322"/>
      <c r="BY707" s="2322"/>
      <c r="BZ707" s="2322"/>
      <c r="CA707" s="2322"/>
      <c r="CB707" s="2322"/>
      <c r="CC707" s="2322"/>
      <c r="CD707" s="2322"/>
      <c r="CE707" s="2322"/>
      <c r="CF707" s="2322"/>
      <c r="CG707" s="2322"/>
      <c r="CH707" s="2322"/>
      <c r="CI707" s="2322"/>
      <c r="CJ707" s="2322"/>
      <c r="CK707" s="2322"/>
      <c r="CL707" s="2322"/>
      <c r="CM707" s="2322"/>
      <c r="CN707" s="2322"/>
      <c r="CO707" s="2322"/>
      <c r="CP707" s="2322"/>
      <c r="CQ707" s="2322"/>
      <c r="CR707" s="2322"/>
      <c r="CS707" s="2322"/>
      <c r="CT707" s="2322"/>
      <c r="CU707" s="2322"/>
      <c r="CV707" s="2322"/>
    </row>
    <row r="708" spans="1:100" ht="15.75" customHeight="1">
      <c r="A708" s="2328"/>
      <c r="B708" s="2322"/>
      <c r="C708" s="2322"/>
      <c r="D708" s="2322"/>
      <c r="E708" s="2322"/>
      <c r="F708" s="2322"/>
      <c r="G708" s="2322"/>
      <c r="H708" s="2322"/>
      <c r="I708" s="2322"/>
      <c r="J708" s="2322"/>
      <c r="K708" s="2322"/>
      <c r="L708" s="2322"/>
      <c r="M708" s="2322"/>
      <c r="N708" s="2322"/>
      <c r="O708" s="2322"/>
      <c r="P708" s="2322"/>
      <c r="Q708" s="2322"/>
      <c r="R708" s="2322"/>
      <c r="S708" s="2322"/>
      <c r="T708" s="2322"/>
      <c r="U708" s="2322"/>
      <c r="V708" s="2322"/>
      <c r="W708" s="2322"/>
      <c r="X708" s="2322"/>
      <c r="Y708" s="2322"/>
      <c r="Z708" s="2322"/>
      <c r="AA708" s="2322"/>
      <c r="AB708" s="2322"/>
      <c r="AC708" s="2322"/>
      <c r="AD708" s="2322"/>
      <c r="AE708" s="2322"/>
      <c r="AF708" s="2322"/>
      <c r="AG708" s="2322"/>
      <c r="AH708" s="2322"/>
      <c r="AI708" s="2322"/>
      <c r="AJ708" s="2322"/>
      <c r="AK708" s="2322"/>
      <c r="AL708" s="2322"/>
      <c r="AM708" s="2322"/>
      <c r="AN708" s="2322"/>
      <c r="AO708" s="2322"/>
      <c r="AP708" s="2322"/>
      <c r="AQ708" s="2322"/>
      <c r="AR708" s="2322"/>
      <c r="AS708" s="2322"/>
      <c r="AT708" s="2322"/>
      <c r="AU708" s="2322"/>
      <c r="AV708" s="2322"/>
      <c r="AW708" s="2322"/>
      <c r="AX708" s="2322"/>
      <c r="AY708" s="2322"/>
      <c r="AZ708" s="2322"/>
      <c r="BA708" s="2322"/>
      <c r="BB708" s="2322"/>
      <c r="BC708" s="2322"/>
      <c r="BD708" s="2322"/>
      <c r="BE708" s="2322"/>
      <c r="BF708" s="2322"/>
      <c r="BG708" s="2322"/>
      <c r="BH708" s="2322"/>
      <c r="BI708" s="2322"/>
      <c r="BJ708" s="2322"/>
      <c r="BK708" s="2322"/>
      <c r="BL708" s="2322"/>
      <c r="BM708" s="2322"/>
      <c r="BN708" s="2322"/>
      <c r="BO708" s="2322"/>
      <c r="BP708" s="2322"/>
      <c r="BQ708" s="2322"/>
      <c r="BR708" s="2322"/>
      <c r="BS708" s="2322"/>
      <c r="BT708" s="2322"/>
      <c r="BU708" s="2322"/>
      <c r="BV708" s="2322"/>
      <c r="BW708" s="2322"/>
      <c r="BX708" s="2322"/>
      <c r="BY708" s="2322"/>
      <c r="BZ708" s="2322"/>
      <c r="CA708" s="2322"/>
      <c r="CB708" s="2322"/>
      <c r="CC708" s="2322"/>
      <c r="CD708" s="2322"/>
      <c r="CE708" s="2322"/>
      <c r="CF708" s="2322"/>
      <c r="CG708" s="2322"/>
      <c r="CH708" s="2322"/>
      <c r="CI708" s="2322"/>
      <c r="CJ708" s="2322"/>
      <c r="CK708" s="2322"/>
      <c r="CL708" s="2322"/>
      <c r="CM708" s="2322"/>
      <c r="CN708" s="2322"/>
      <c r="CO708" s="2322"/>
      <c r="CP708" s="2322"/>
      <c r="CQ708" s="2322"/>
      <c r="CR708" s="2322"/>
      <c r="CS708" s="2322"/>
      <c r="CT708" s="2322"/>
      <c r="CU708" s="2322"/>
      <c r="CV708" s="2322"/>
    </row>
    <row r="709" spans="1:100" ht="15.75" customHeight="1">
      <c r="A709" s="2328"/>
      <c r="B709" s="2322"/>
      <c r="C709" s="2322"/>
      <c r="D709" s="2322"/>
      <c r="E709" s="2322"/>
      <c r="F709" s="2322"/>
      <c r="G709" s="2322"/>
      <c r="H709" s="2322"/>
      <c r="I709" s="2322"/>
      <c r="J709" s="2322"/>
      <c r="K709" s="2322"/>
      <c r="L709" s="2322"/>
      <c r="M709" s="2322"/>
      <c r="N709" s="2322"/>
      <c r="O709" s="2322"/>
      <c r="P709" s="2322"/>
      <c r="Q709" s="2322"/>
      <c r="R709" s="2322"/>
      <c r="S709" s="2322"/>
      <c r="T709" s="2322"/>
      <c r="U709" s="2322"/>
      <c r="V709" s="2322"/>
      <c r="W709" s="2322"/>
      <c r="X709" s="2322"/>
      <c r="Y709" s="2322"/>
      <c r="Z709" s="2322"/>
      <c r="AA709" s="2322"/>
      <c r="AB709" s="2322"/>
      <c r="AC709" s="2322"/>
      <c r="AD709" s="2322"/>
      <c r="AE709" s="2322"/>
      <c r="AF709" s="2322"/>
      <c r="AG709" s="2322"/>
      <c r="AH709" s="2322"/>
      <c r="AI709" s="2322"/>
      <c r="AJ709" s="2322"/>
      <c r="AK709" s="2322"/>
      <c r="AL709" s="2322"/>
      <c r="AM709" s="2322"/>
      <c r="AN709" s="2322"/>
      <c r="AO709" s="2322"/>
      <c r="AP709" s="2322"/>
      <c r="AQ709" s="2322"/>
      <c r="AR709" s="2322"/>
      <c r="AS709" s="2322"/>
      <c r="AT709" s="2322"/>
      <c r="AU709" s="2322"/>
      <c r="AV709" s="2322"/>
      <c r="AW709" s="2322"/>
      <c r="AX709" s="2322"/>
      <c r="AY709" s="2322"/>
      <c r="AZ709" s="2322"/>
      <c r="BA709" s="2322"/>
      <c r="BB709" s="2322"/>
      <c r="BC709" s="2322"/>
      <c r="BD709" s="2322"/>
      <c r="BE709" s="2322"/>
      <c r="BF709" s="2322"/>
      <c r="BG709" s="2322"/>
      <c r="BH709" s="2322"/>
      <c r="BI709" s="2322"/>
      <c r="BJ709" s="2322"/>
      <c r="BK709" s="2322"/>
      <c r="BL709" s="2322"/>
      <c r="BM709" s="2322"/>
      <c r="BN709" s="2322"/>
      <c r="BO709" s="2322"/>
      <c r="BP709" s="2322"/>
      <c r="BQ709" s="2322"/>
      <c r="BR709" s="2322"/>
      <c r="BS709" s="2322"/>
      <c r="BT709" s="2322"/>
      <c r="BU709" s="2322"/>
      <c r="BV709" s="2322"/>
      <c r="BW709" s="2322"/>
      <c r="BX709" s="2322"/>
      <c r="BY709" s="2322"/>
      <c r="BZ709" s="2322"/>
      <c r="CA709" s="2322"/>
      <c r="CB709" s="2322"/>
      <c r="CC709" s="2322"/>
      <c r="CD709" s="2322"/>
      <c r="CE709" s="2322"/>
      <c r="CF709" s="2322"/>
      <c r="CG709" s="2322"/>
      <c r="CH709" s="2322"/>
      <c r="CI709" s="2322"/>
      <c r="CJ709" s="2322"/>
      <c r="CK709" s="2322"/>
      <c r="CL709" s="2322"/>
      <c r="CM709" s="2322"/>
      <c r="CN709" s="2322"/>
      <c r="CO709" s="2322"/>
      <c r="CP709" s="2322"/>
      <c r="CQ709" s="2322"/>
      <c r="CR709" s="2322"/>
      <c r="CS709" s="2322"/>
      <c r="CT709" s="2322"/>
      <c r="CU709" s="2322"/>
      <c r="CV709" s="2322"/>
    </row>
    <row r="710" spans="1:100" ht="15.75" customHeight="1">
      <c r="A710" s="2328"/>
      <c r="B710" s="2322"/>
      <c r="C710" s="2322"/>
      <c r="D710" s="2322"/>
      <c r="E710" s="2322"/>
      <c r="F710" s="2322"/>
      <c r="G710" s="2322"/>
      <c r="H710" s="2322"/>
      <c r="I710" s="2322"/>
      <c r="J710" s="2322"/>
      <c r="K710" s="2322"/>
      <c r="L710" s="2322"/>
      <c r="M710" s="2322"/>
      <c r="N710" s="2322"/>
      <c r="O710" s="2322"/>
      <c r="P710" s="2322"/>
      <c r="Q710" s="2322"/>
      <c r="R710" s="2322"/>
      <c r="S710" s="2322"/>
      <c r="T710" s="2322"/>
      <c r="U710" s="2322"/>
      <c r="V710" s="2322"/>
      <c r="W710" s="2322"/>
      <c r="X710" s="2322"/>
      <c r="Y710" s="2322"/>
      <c r="Z710" s="2322"/>
      <c r="AA710" s="2322"/>
      <c r="AB710" s="2322"/>
      <c r="AC710" s="2322"/>
      <c r="AD710" s="2322"/>
      <c r="AE710" s="2322"/>
      <c r="AF710" s="2322"/>
      <c r="AG710" s="2322"/>
      <c r="AH710" s="2322"/>
      <c r="AI710" s="2322"/>
      <c r="AJ710" s="2322"/>
      <c r="AK710" s="2322"/>
      <c r="AL710" s="2322"/>
      <c r="AM710" s="2322"/>
      <c r="AN710" s="2322"/>
      <c r="AO710" s="2322"/>
      <c r="AP710" s="2322"/>
      <c r="AQ710" s="2322"/>
      <c r="AR710" s="2322"/>
      <c r="AS710" s="2322"/>
      <c r="AT710" s="2322"/>
      <c r="AU710" s="2322"/>
      <c r="AV710" s="2322"/>
      <c r="AW710" s="2322"/>
      <c r="AX710" s="2322"/>
      <c r="AY710" s="2322"/>
      <c r="AZ710" s="2322"/>
      <c r="BA710" s="2322"/>
      <c r="BB710" s="2322"/>
      <c r="BC710" s="2322"/>
      <c r="BD710" s="2322"/>
      <c r="BE710" s="2322"/>
      <c r="BF710" s="2322"/>
      <c r="BG710" s="2322"/>
      <c r="BH710" s="2322"/>
      <c r="BI710" s="2322"/>
      <c r="BJ710" s="2322"/>
      <c r="BK710" s="2322"/>
      <c r="BL710" s="2322"/>
      <c r="BM710" s="2322"/>
      <c r="BN710" s="2322"/>
      <c r="BO710" s="2322"/>
      <c r="BP710" s="2322"/>
      <c r="BQ710" s="2322"/>
      <c r="BR710" s="2322"/>
      <c r="BS710" s="2322"/>
      <c r="BT710" s="2322"/>
      <c r="BU710" s="2322"/>
      <c r="BV710" s="2322"/>
      <c r="BW710" s="2322"/>
      <c r="BX710" s="2322"/>
      <c r="BY710" s="2322"/>
      <c r="BZ710" s="2322"/>
      <c r="CA710" s="2322"/>
      <c r="CB710" s="2322"/>
      <c r="CC710" s="2322"/>
      <c r="CD710" s="2322"/>
      <c r="CE710" s="2322"/>
      <c r="CF710" s="2322"/>
      <c r="CG710" s="2322"/>
      <c r="CH710" s="2322"/>
      <c r="CI710" s="2322"/>
      <c r="CJ710" s="2322"/>
      <c r="CK710" s="2322"/>
      <c r="CL710" s="2322"/>
      <c r="CM710" s="2322"/>
      <c r="CN710" s="2322"/>
      <c r="CO710" s="2322"/>
      <c r="CP710" s="2322"/>
      <c r="CQ710" s="2322"/>
      <c r="CR710" s="2322"/>
      <c r="CS710" s="2322"/>
      <c r="CT710" s="2322"/>
      <c r="CU710" s="2322"/>
      <c r="CV710" s="2322"/>
    </row>
    <row r="711" spans="1:100" ht="15.75" customHeight="1">
      <c r="A711" s="2328"/>
      <c r="B711" s="2322"/>
      <c r="C711" s="2322"/>
      <c r="D711" s="2322"/>
      <c r="E711" s="2322"/>
      <c r="F711" s="2322"/>
      <c r="G711" s="2322"/>
      <c r="H711" s="2322"/>
      <c r="I711" s="2322"/>
      <c r="J711" s="2322"/>
      <c r="K711" s="2322"/>
      <c r="L711" s="2322"/>
      <c r="M711" s="2322"/>
      <c r="N711" s="2322"/>
      <c r="O711" s="2322"/>
      <c r="P711" s="2322"/>
      <c r="Q711" s="2322"/>
      <c r="R711" s="2322"/>
      <c r="S711" s="2322"/>
      <c r="T711" s="2322"/>
      <c r="U711" s="2322"/>
      <c r="V711" s="2322"/>
      <c r="W711" s="2322"/>
      <c r="X711" s="2322"/>
      <c r="Y711" s="2322"/>
      <c r="Z711" s="2322"/>
      <c r="AA711" s="2322"/>
      <c r="AB711" s="2322"/>
      <c r="AC711" s="2322"/>
      <c r="AD711" s="2322"/>
      <c r="AE711" s="2322"/>
      <c r="AF711" s="2322"/>
      <c r="AG711" s="2322"/>
      <c r="AH711" s="2322"/>
      <c r="AI711" s="2322"/>
      <c r="AJ711" s="2322"/>
      <c r="AK711" s="2322"/>
      <c r="AL711" s="2322"/>
      <c r="AM711" s="2322"/>
      <c r="AN711" s="2322"/>
      <c r="AO711" s="2322"/>
      <c r="AP711" s="2322"/>
      <c r="AQ711" s="2322"/>
      <c r="AR711" s="2322"/>
      <c r="AS711" s="2322"/>
      <c r="AT711" s="2322"/>
      <c r="AU711" s="2322"/>
      <c r="AV711" s="2322"/>
      <c r="AW711" s="2322"/>
      <c r="AX711" s="2322"/>
      <c r="AY711" s="2322"/>
      <c r="AZ711" s="2322"/>
      <c r="BA711" s="2322"/>
      <c r="BB711" s="2322"/>
      <c r="BC711" s="2322"/>
      <c r="BD711" s="2322"/>
      <c r="BE711" s="2322"/>
      <c r="BF711" s="2322"/>
      <c r="BG711" s="2322"/>
      <c r="BH711" s="2322"/>
      <c r="BI711" s="2322"/>
      <c r="BJ711" s="2322"/>
      <c r="BK711" s="2322"/>
      <c r="BL711" s="2322"/>
      <c r="BM711" s="2322"/>
      <c r="BN711" s="2322"/>
      <c r="BO711" s="2322"/>
      <c r="BP711" s="2322"/>
      <c r="BQ711" s="2322"/>
      <c r="BR711" s="2322"/>
      <c r="BS711" s="2322"/>
      <c r="BT711" s="2322"/>
      <c r="BU711" s="2322"/>
      <c r="BV711" s="2322"/>
      <c r="BW711" s="2322"/>
      <c r="BX711" s="2322"/>
      <c r="BY711" s="2322"/>
      <c r="BZ711" s="2322"/>
      <c r="CA711" s="2322"/>
      <c r="CB711" s="2322"/>
      <c r="CC711" s="2322"/>
      <c r="CD711" s="2322"/>
      <c r="CE711" s="2322"/>
      <c r="CF711" s="2322"/>
      <c r="CG711" s="2322"/>
      <c r="CH711" s="2322"/>
      <c r="CI711" s="2322"/>
      <c r="CJ711" s="2322"/>
      <c r="CK711" s="2322"/>
      <c r="CL711" s="2322"/>
      <c r="CM711" s="2322"/>
      <c r="CN711" s="2322"/>
      <c r="CO711" s="2322"/>
      <c r="CP711" s="2322"/>
      <c r="CQ711" s="2322"/>
      <c r="CR711" s="2322"/>
      <c r="CS711" s="2322"/>
      <c r="CT711" s="2322"/>
      <c r="CU711" s="2322"/>
      <c r="CV711" s="2322"/>
    </row>
    <row r="712" spans="1:100" ht="15.75" customHeight="1">
      <c r="A712" s="2328"/>
      <c r="B712" s="2322"/>
      <c r="C712" s="2322"/>
      <c r="D712" s="2322"/>
      <c r="E712" s="2322"/>
      <c r="F712" s="2322"/>
      <c r="G712" s="2322"/>
      <c r="H712" s="2322"/>
      <c r="I712" s="2322"/>
      <c r="J712" s="2322"/>
      <c r="K712" s="2322"/>
      <c r="L712" s="2322"/>
      <c r="M712" s="2322"/>
      <c r="N712" s="2322"/>
      <c r="O712" s="2322"/>
      <c r="P712" s="2322"/>
      <c r="Q712" s="2322"/>
      <c r="R712" s="2322"/>
      <c r="S712" s="2322"/>
      <c r="T712" s="2322"/>
      <c r="U712" s="2322"/>
      <c r="V712" s="2322"/>
      <c r="W712" s="2322"/>
      <c r="X712" s="2322"/>
      <c r="Y712" s="2322"/>
      <c r="Z712" s="2322"/>
      <c r="AA712" s="2322"/>
      <c r="AB712" s="2322"/>
      <c r="AC712" s="2322"/>
      <c r="AD712" s="2322"/>
      <c r="AE712" s="2322"/>
      <c r="AF712" s="2322"/>
      <c r="AG712" s="2322"/>
      <c r="AH712" s="2322"/>
      <c r="AI712" s="2322"/>
      <c r="AJ712" s="2322"/>
      <c r="AK712" s="2322"/>
      <c r="AL712" s="2322"/>
      <c r="AM712" s="2322"/>
      <c r="AN712" s="2322"/>
      <c r="AO712" s="2322"/>
      <c r="AP712" s="2322"/>
      <c r="AQ712" s="2322"/>
      <c r="AR712" s="2322"/>
      <c r="AS712" s="2322"/>
      <c r="AT712" s="2322"/>
      <c r="AU712" s="2322"/>
      <c r="AV712" s="2322"/>
      <c r="AW712" s="2322"/>
      <c r="AX712" s="2322"/>
      <c r="AY712" s="2322"/>
      <c r="AZ712" s="2322"/>
      <c r="BA712" s="2322"/>
      <c r="BB712" s="2322"/>
      <c r="BC712" s="2322"/>
      <c r="BD712" s="2322"/>
      <c r="BE712" s="2322"/>
      <c r="BF712" s="2322"/>
      <c r="BG712" s="2322"/>
      <c r="BH712" s="2322"/>
      <c r="BI712" s="2322"/>
      <c r="BJ712" s="2322"/>
      <c r="BK712" s="2322"/>
      <c r="BL712" s="2322"/>
      <c r="BM712" s="2322"/>
      <c r="BN712" s="2322"/>
      <c r="BO712" s="2322"/>
      <c r="BP712" s="2322"/>
      <c r="BQ712" s="2322"/>
      <c r="BR712" s="2322"/>
      <c r="BS712" s="2322"/>
      <c r="BT712" s="2322"/>
      <c r="BU712" s="2322"/>
      <c r="BV712" s="2322"/>
      <c r="BW712" s="2322"/>
      <c r="BX712" s="2322"/>
      <c r="BY712" s="2322"/>
      <c r="BZ712" s="2322"/>
      <c r="CA712" s="2322"/>
      <c r="CB712" s="2322"/>
      <c r="CC712" s="2322"/>
      <c r="CD712" s="2322"/>
      <c r="CE712" s="2322"/>
      <c r="CF712" s="2322"/>
      <c r="CG712" s="2322"/>
      <c r="CH712" s="2322"/>
      <c r="CI712" s="2322"/>
      <c r="CJ712" s="2322"/>
      <c r="CK712" s="2322"/>
      <c r="CL712" s="2322"/>
      <c r="CM712" s="2322"/>
      <c r="CN712" s="2322"/>
      <c r="CO712" s="2322"/>
      <c r="CP712" s="2322"/>
      <c r="CQ712" s="2322"/>
      <c r="CR712" s="2322"/>
      <c r="CS712" s="2322"/>
      <c r="CT712" s="2322"/>
      <c r="CU712" s="2322"/>
      <c r="CV712" s="2322"/>
    </row>
    <row r="713" spans="1:100" ht="15.75" customHeight="1">
      <c r="A713" s="2328"/>
      <c r="B713" s="2322"/>
      <c r="C713" s="2322"/>
      <c r="D713" s="2322"/>
      <c r="E713" s="2322"/>
      <c r="F713" s="2322"/>
      <c r="G713" s="2322"/>
      <c r="H713" s="2322"/>
      <c r="I713" s="2322"/>
      <c r="J713" s="2322"/>
      <c r="K713" s="2322"/>
      <c r="L713" s="2322"/>
      <c r="M713" s="2322"/>
      <c r="N713" s="2322"/>
      <c r="O713" s="2322"/>
      <c r="P713" s="2322"/>
      <c r="Q713" s="2322"/>
      <c r="R713" s="2322"/>
      <c r="S713" s="2322"/>
      <c r="T713" s="2322"/>
      <c r="U713" s="2322"/>
      <c r="V713" s="2322"/>
      <c r="W713" s="2322"/>
      <c r="X713" s="2322"/>
      <c r="Y713" s="2322"/>
      <c r="Z713" s="2322"/>
      <c r="AA713" s="2322"/>
      <c r="AB713" s="2322"/>
      <c r="AC713" s="2322"/>
      <c r="AD713" s="2322"/>
      <c r="AE713" s="2322"/>
      <c r="AF713" s="2322"/>
      <c r="AG713" s="2322"/>
      <c r="AH713" s="2322"/>
      <c r="AI713" s="2322"/>
      <c r="AJ713" s="2322"/>
      <c r="AK713" s="2322"/>
      <c r="AL713" s="2322"/>
      <c r="AM713" s="2322"/>
      <c r="AN713" s="2322"/>
      <c r="AO713" s="2322"/>
      <c r="AP713" s="2322"/>
      <c r="AQ713" s="2322"/>
      <c r="AR713" s="2322"/>
      <c r="AS713" s="2322"/>
      <c r="AT713" s="2322"/>
      <c r="AU713" s="2322"/>
      <c r="AV713" s="2322"/>
      <c r="AW713" s="2322"/>
      <c r="AX713" s="2322"/>
      <c r="AY713" s="2322"/>
      <c r="AZ713" s="2322"/>
      <c r="BA713" s="2322"/>
      <c r="BB713" s="2322"/>
      <c r="BC713" s="2322"/>
      <c r="BD713" s="2322"/>
      <c r="BE713" s="2322"/>
      <c r="BF713" s="2322"/>
      <c r="BG713" s="2322"/>
      <c r="BH713" s="2322"/>
      <c r="BI713" s="2322"/>
      <c r="BJ713" s="2322"/>
      <c r="BK713" s="2322"/>
      <c r="BL713" s="2322"/>
      <c r="BM713" s="2322"/>
      <c r="BN713" s="2322"/>
      <c r="BO713" s="2322"/>
      <c r="BP713" s="2322"/>
      <c r="BQ713" s="2322"/>
      <c r="BR713" s="2322"/>
      <c r="BS713" s="2322"/>
      <c r="BT713" s="2322"/>
      <c r="BU713" s="2322"/>
      <c r="BV713" s="2322"/>
      <c r="BW713" s="2322"/>
      <c r="BX713" s="2322"/>
      <c r="BY713" s="2322"/>
      <c r="BZ713" s="2322"/>
      <c r="CA713" s="2322"/>
      <c r="CB713" s="2322"/>
      <c r="CC713" s="2322"/>
      <c r="CD713" s="2322"/>
      <c r="CE713" s="2322"/>
      <c r="CF713" s="2322"/>
      <c r="CG713" s="2322"/>
      <c r="CH713" s="2322"/>
      <c r="CI713" s="2322"/>
      <c r="CJ713" s="2322"/>
      <c r="CK713" s="2322"/>
      <c r="CL713" s="2322"/>
      <c r="CM713" s="2322"/>
      <c r="CN713" s="2322"/>
      <c r="CO713" s="2322"/>
      <c r="CP713" s="2322"/>
      <c r="CQ713" s="2322"/>
      <c r="CR713" s="2322"/>
      <c r="CS713" s="2322"/>
      <c r="CT713" s="2322"/>
      <c r="CU713" s="2322"/>
      <c r="CV713" s="2322"/>
    </row>
    <row r="714" spans="1:100" ht="15.75" customHeight="1">
      <c r="A714" s="2328"/>
      <c r="B714" s="2322"/>
      <c r="C714" s="2322"/>
      <c r="D714" s="2322"/>
      <c r="E714" s="2322"/>
      <c r="F714" s="2322"/>
      <c r="G714" s="2322"/>
      <c r="H714" s="2322"/>
      <c r="I714" s="2322"/>
      <c r="J714" s="2322"/>
      <c r="K714" s="2322"/>
      <c r="L714" s="2322"/>
      <c r="M714" s="2322"/>
      <c r="N714" s="2322"/>
      <c r="O714" s="2322"/>
      <c r="P714" s="2322"/>
      <c r="Q714" s="2322"/>
      <c r="R714" s="2322"/>
      <c r="S714" s="2322"/>
      <c r="T714" s="2322"/>
      <c r="U714" s="2322"/>
      <c r="V714" s="2322"/>
      <c r="W714" s="2322"/>
      <c r="X714" s="2322"/>
      <c r="Y714" s="2322"/>
      <c r="Z714" s="2322"/>
      <c r="AA714" s="2322"/>
      <c r="AB714" s="2322"/>
      <c r="AC714" s="2322"/>
      <c r="AD714" s="2322"/>
      <c r="AE714" s="2322"/>
      <c r="AF714" s="2322"/>
      <c r="AG714" s="2322"/>
      <c r="AH714" s="2322"/>
      <c r="AI714" s="2322"/>
      <c r="AJ714" s="2322"/>
      <c r="AK714" s="2322"/>
      <c r="AL714" s="2322"/>
      <c r="AM714" s="2322"/>
      <c r="AN714" s="2322"/>
      <c r="AO714" s="2322"/>
      <c r="AP714" s="2322"/>
      <c r="AQ714" s="2322"/>
      <c r="AR714" s="2322"/>
      <c r="AS714" s="2322"/>
      <c r="AT714" s="2322"/>
      <c r="AU714" s="2322"/>
      <c r="AV714" s="2322"/>
      <c r="AW714" s="2322"/>
      <c r="AX714" s="2322"/>
      <c r="AY714" s="2322"/>
      <c r="AZ714" s="2322"/>
      <c r="BA714" s="2322"/>
      <c r="BB714" s="2322"/>
      <c r="BC714" s="2322"/>
      <c r="BD714" s="2322"/>
      <c r="BE714" s="2322"/>
      <c r="BF714" s="2322"/>
      <c r="BG714" s="2322"/>
      <c r="BH714" s="2322"/>
      <c r="BI714" s="2322"/>
      <c r="BJ714" s="2322"/>
      <c r="BK714" s="2322"/>
      <c r="BL714" s="2322"/>
      <c r="BM714" s="2322"/>
      <c r="BN714" s="2322"/>
      <c r="BO714" s="2322"/>
      <c r="BP714" s="2322"/>
      <c r="BQ714" s="2322"/>
      <c r="BR714" s="2322"/>
      <c r="BS714" s="2322"/>
      <c r="BT714" s="2322"/>
      <c r="BU714" s="2322"/>
      <c r="BV714" s="2322"/>
      <c r="BW714" s="2322"/>
      <c r="BX714" s="2322"/>
      <c r="BY714" s="2322"/>
      <c r="BZ714" s="2322"/>
      <c r="CA714" s="2322"/>
      <c r="CB714" s="2322"/>
      <c r="CC714" s="2322"/>
      <c r="CD714" s="2322"/>
      <c r="CE714" s="2322"/>
      <c r="CF714" s="2322"/>
      <c r="CG714" s="2322"/>
      <c r="CH714" s="2322"/>
      <c r="CI714" s="2322"/>
      <c r="CJ714" s="2322"/>
      <c r="CK714" s="2322"/>
      <c r="CL714" s="2322"/>
      <c r="CM714" s="2322"/>
      <c r="CN714" s="2322"/>
      <c r="CO714" s="2322"/>
      <c r="CP714" s="2322"/>
      <c r="CQ714" s="2322"/>
      <c r="CR714" s="2322"/>
      <c r="CS714" s="2322"/>
      <c r="CT714" s="2322"/>
      <c r="CU714" s="2322"/>
      <c r="CV714" s="2322"/>
    </row>
    <row r="715" spans="1:100" ht="15.75" customHeight="1">
      <c r="A715" s="2328"/>
      <c r="B715" s="2322"/>
      <c r="C715" s="2322"/>
      <c r="D715" s="2322"/>
      <c r="E715" s="2322"/>
      <c r="F715" s="2322"/>
      <c r="G715" s="2322"/>
      <c r="H715" s="2322"/>
      <c r="I715" s="2322"/>
      <c r="J715" s="2322"/>
      <c r="K715" s="2322"/>
      <c r="L715" s="2322"/>
      <c r="M715" s="2322"/>
      <c r="N715" s="2322"/>
      <c r="O715" s="2322"/>
      <c r="P715" s="2322"/>
      <c r="Q715" s="2322"/>
      <c r="R715" s="2322"/>
      <c r="S715" s="2322"/>
      <c r="T715" s="2322"/>
      <c r="U715" s="2322"/>
      <c r="V715" s="2322"/>
      <c r="W715" s="2322"/>
      <c r="X715" s="2322"/>
      <c r="Y715" s="2322"/>
      <c r="Z715" s="2322"/>
      <c r="AA715" s="2322"/>
      <c r="AB715" s="2322"/>
      <c r="AC715" s="2322"/>
      <c r="AD715" s="2322"/>
      <c r="AE715" s="2322"/>
      <c r="AF715" s="2322"/>
      <c r="AG715" s="2322"/>
      <c r="AH715" s="2322"/>
      <c r="AI715" s="2322"/>
      <c r="AJ715" s="2322"/>
      <c r="AK715" s="2322"/>
      <c r="AL715" s="2322"/>
      <c r="AM715" s="2322"/>
      <c r="AN715" s="2322"/>
      <c r="AO715" s="2322"/>
      <c r="AP715" s="2322"/>
      <c r="AQ715" s="2322"/>
      <c r="AR715" s="2322"/>
      <c r="AS715" s="2322"/>
      <c r="AT715" s="2322"/>
      <c r="AU715" s="2322"/>
      <c r="AV715" s="2322"/>
      <c r="AW715" s="2322"/>
      <c r="AX715" s="2322"/>
      <c r="AY715" s="2322"/>
      <c r="AZ715" s="2322"/>
      <c r="BA715" s="2322"/>
      <c r="BB715" s="2322"/>
      <c r="BC715" s="2322"/>
      <c r="BD715" s="2322"/>
      <c r="BE715" s="2322"/>
      <c r="BF715" s="2322"/>
      <c r="BG715" s="2322"/>
      <c r="BH715" s="2322"/>
      <c r="BI715" s="2322"/>
      <c r="BJ715" s="2322"/>
      <c r="BK715" s="2322"/>
      <c r="BL715" s="2322"/>
      <c r="BM715" s="2322"/>
      <c r="BN715" s="2322"/>
      <c r="BO715" s="2322"/>
      <c r="BP715" s="2322"/>
      <c r="BQ715" s="2322"/>
      <c r="BR715" s="2322"/>
      <c r="BS715" s="2322"/>
      <c r="BT715" s="2322"/>
      <c r="BU715" s="2322"/>
      <c r="BV715" s="2322"/>
      <c r="BW715" s="2322"/>
      <c r="BX715" s="2322"/>
      <c r="BY715" s="2322"/>
      <c r="BZ715" s="2322"/>
      <c r="CA715" s="2322"/>
      <c r="CB715" s="2322"/>
      <c r="CC715" s="2322"/>
      <c r="CD715" s="2322"/>
      <c r="CE715" s="2322"/>
      <c r="CF715" s="2322"/>
      <c r="CG715" s="2322"/>
      <c r="CH715" s="2322"/>
      <c r="CI715" s="2322"/>
      <c r="CJ715" s="2322"/>
      <c r="CK715" s="2322"/>
      <c r="CL715" s="2322"/>
      <c r="CM715" s="2322"/>
      <c r="CN715" s="2322"/>
      <c r="CO715" s="2322"/>
      <c r="CP715" s="2322"/>
      <c r="CQ715" s="2322"/>
      <c r="CR715" s="2322"/>
      <c r="CS715" s="2322"/>
      <c r="CT715" s="2322"/>
      <c r="CU715" s="2322"/>
      <c r="CV715" s="2322"/>
    </row>
    <row r="716" spans="1:100" ht="15.75" customHeight="1">
      <c r="A716" s="2328"/>
      <c r="B716" s="2322"/>
      <c r="C716" s="2322"/>
      <c r="D716" s="2322"/>
      <c r="E716" s="2322"/>
      <c r="F716" s="2322"/>
      <c r="G716" s="2322"/>
      <c r="H716" s="2322"/>
      <c r="I716" s="2322"/>
      <c r="J716" s="2322"/>
      <c r="K716" s="2322"/>
      <c r="L716" s="2322"/>
      <c r="M716" s="2322"/>
      <c r="N716" s="2322"/>
      <c r="O716" s="2322"/>
      <c r="P716" s="2322"/>
      <c r="Q716" s="2322"/>
      <c r="R716" s="2322"/>
      <c r="S716" s="2322"/>
      <c r="T716" s="2322"/>
      <c r="U716" s="2322"/>
      <c r="V716" s="2322"/>
      <c r="W716" s="2322"/>
      <c r="X716" s="2322"/>
      <c r="Y716" s="2322"/>
      <c r="Z716" s="2322"/>
      <c r="AA716" s="2322"/>
      <c r="AB716" s="2322"/>
      <c r="AC716" s="2322"/>
      <c r="AD716" s="2322"/>
      <c r="AE716" s="2322"/>
      <c r="AF716" s="2322"/>
      <c r="AG716" s="2322"/>
      <c r="AH716" s="2322"/>
      <c r="AI716" s="2322"/>
      <c r="AJ716" s="2322"/>
      <c r="AK716" s="2322"/>
      <c r="AL716" s="2322"/>
      <c r="AM716" s="2322"/>
      <c r="AN716" s="2322"/>
      <c r="AO716" s="2322"/>
      <c r="AP716" s="2322"/>
      <c r="AQ716" s="2322"/>
      <c r="AR716" s="2322"/>
      <c r="AS716" s="2322"/>
      <c r="AT716" s="2322"/>
      <c r="AU716" s="2322"/>
      <c r="AV716" s="2322"/>
      <c r="AW716" s="2322"/>
      <c r="AX716" s="2322"/>
      <c r="AY716" s="2322"/>
      <c r="AZ716" s="2322"/>
      <c r="BA716" s="2322"/>
      <c r="BB716" s="2322"/>
      <c r="BC716" s="2322"/>
      <c r="BD716" s="2322"/>
      <c r="BE716" s="2322"/>
      <c r="BF716" s="2322"/>
      <c r="BG716" s="2322"/>
      <c r="BH716" s="2322"/>
      <c r="BI716" s="2322"/>
      <c r="BJ716" s="2322"/>
      <c r="BK716" s="2322"/>
      <c r="BL716" s="2322"/>
      <c r="BM716" s="2322"/>
      <c r="BN716" s="2322"/>
      <c r="BO716" s="2322"/>
      <c r="BP716" s="2322"/>
      <c r="BQ716" s="2322"/>
      <c r="BR716" s="2322"/>
      <c r="BS716" s="2322"/>
      <c r="BT716" s="2322"/>
      <c r="BU716" s="2322"/>
      <c r="BV716" s="2322"/>
      <c r="BW716" s="2322"/>
      <c r="BX716" s="2322"/>
      <c r="BY716" s="2322"/>
      <c r="BZ716" s="2322"/>
      <c r="CA716" s="2322"/>
      <c r="CB716" s="2322"/>
      <c r="CC716" s="2322"/>
      <c r="CD716" s="2322"/>
      <c r="CE716" s="2322"/>
      <c r="CF716" s="2322"/>
      <c r="CG716" s="2322"/>
      <c r="CH716" s="2322"/>
      <c r="CI716" s="2322"/>
      <c r="CJ716" s="2322"/>
      <c r="CK716" s="2322"/>
      <c r="CL716" s="2322"/>
      <c r="CM716" s="2322"/>
      <c r="CN716" s="2322"/>
      <c r="CO716" s="2322"/>
      <c r="CP716" s="2322"/>
      <c r="CQ716" s="2322"/>
      <c r="CR716" s="2322"/>
      <c r="CS716" s="2322"/>
      <c r="CT716" s="2322"/>
      <c r="CU716" s="2322"/>
      <c r="CV716" s="2322"/>
    </row>
    <row r="717" spans="1:100" ht="15.75" customHeight="1">
      <c r="A717" s="2328"/>
      <c r="B717" s="2322"/>
      <c r="C717" s="2322"/>
      <c r="D717" s="2322"/>
      <c r="E717" s="2322"/>
      <c r="F717" s="2322"/>
      <c r="G717" s="2322"/>
      <c r="H717" s="2322"/>
      <c r="I717" s="2322"/>
      <c r="J717" s="2322"/>
      <c r="K717" s="2322"/>
      <c r="L717" s="2322"/>
      <c r="M717" s="2322"/>
      <c r="N717" s="2322"/>
      <c r="O717" s="2322"/>
      <c r="P717" s="2322"/>
      <c r="Q717" s="2322"/>
      <c r="R717" s="2322"/>
      <c r="S717" s="2322"/>
      <c r="T717" s="2322"/>
      <c r="U717" s="2322"/>
      <c r="V717" s="2322"/>
      <c r="W717" s="2322"/>
      <c r="X717" s="2322"/>
      <c r="Y717" s="2322"/>
      <c r="Z717" s="2322"/>
      <c r="AA717" s="2322"/>
      <c r="AB717" s="2322"/>
      <c r="AC717" s="2322"/>
      <c r="AD717" s="2322"/>
      <c r="AE717" s="2322"/>
      <c r="AF717" s="2322"/>
      <c r="AG717" s="2322"/>
      <c r="AH717" s="2322"/>
      <c r="AI717" s="2322"/>
      <c r="AJ717" s="2322"/>
      <c r="AK717" s="2322"/>
      <c r="AL717" s="2322"/>
      <c r="AM717" s="2322"/>
      <c r="AN717" s="2322"/>
      <c r="AO717" s="2322"/>
      <c r="AP717" s="2322"/>
      <c r="AQ717" s="2322"/>
      <c r="AR717" s="2322"/>
      <c r="AS717" s="2322"/>
      <c r="AT717" s="2322"/>
      <c r="AU717" s="2322"/>
      <c r="AV717" s="2322"/>
      <c r="AW717" s="2322"/>
      <c r="AX717" s="2322"/>
      <c r="AY717" s="2322"/>
      <c r="AZ717" s="2322"/>
      <c r="BA717" s="2322"/>
      <c r="BB717" s="2322"/>
      <c r="BC717" s="2322"/>
      <c r="BD717" s="2322"/>
      <c r="BE717" s="2322"/>
      <c r="BF717" s="2322"/>
      <c r="BG717" s="2322"/>
      <c r="BH717" s="2322"/>
      <c r="BI717" s="2322"/>
      <c r="BJ717" s="2322"/>
      <c r="BK717" s="2322"/>
      <c r="BL717" s="2322"/>
      <c r="BM717" s="2322"/>
      <c r="BN717" s="2322"/>
      <c r="BO717" s="2322"/>
      <c r="BP717" s="2322"/>
      <c r="BQ717" s="2322"/>
      <c r="BR717" s="2322"/>
      <c r="BS717" s="2322"/>
      <c r="BT717" s="2322"/>
      <c r="BU717" s="2322"/>
      <c r="BV717" s="2322"/>
      <c r="BW717" s="2322"/>
      <c r="BX717" s="2322"/>
      <c r="BY717" s="2322"/>
      <c r="BZ717" s="2322"/>
      <c r="CA717" s="2322"/>
      <c r="CB717" s="2322"/>
      <c r="CC717" s="2322"/>
      <c r="CD717" s="2322"/>
      <c r="CE717" s="2322"/>
      <c r="CF717" s="2322"/>
      <c r="CG717" s="2322"/>
      <c r="CH717" s="2322"/>
      <c r="CI717" s="2322"/>
      <c r="CJ717" s="2322"/>
      <c r="CK717" s="2322"/>
      <c r="CL717" s="2322"/>
      <c r="CM717" s="2322"/>
      <c r="CN717" s="2322"/>
      <c r="CO717" s="2322"/>
      <c r="CP717" s="2322"/>
      <c r="CQ717" s="2322"/>
      <c r="CR717" s="2322"/>
      <c r="CS717" s="2322"/>
      <c r="CT717" s="2322"/>
      <c r="CU717" s="2322"/>
      <c r="CV717" s="2322"/>
    </row>
    <row r="718" spans="1:100" ht="15.75" customHeight="1">
      <c r="A718" s="2328"/>
      <c r="B718" s="2322"/>
      <c r="C718" s="2322"/>
      <c r="D718" s="2322"/>
      <c r="E718" s="2322"/>
      <c r="F718" s="2322"/>
      <c r="G718" s="2322"/>
      <c r="H718" s="2322"/>
      <c r="I718" s="2322"/>
      <c r="J718" s="2322"/>
      <c r="K718" s="2322"/>
      <c r="L718" s="2322"/>
      <c r="M718" s="2322"/>
      <c r="N718" s="2322"/>
      <c r="O718" s="2322"/>
      <c r="P718" s="2322"/>
      <c r="Q718" s="2322"/>
      <c r="R718" s="2322"/>
      <c r="S718" s="2322"/>
      <c r="T718" s="2322"/>
      <c r="U718" s="2322"/>
      <c r="V718" s="2322"/>
      <c r="W718" s="2322"/>
      <c r="X718" s="2322"/>
      <c r="Y718" s="2322"/>
      <c r="Z718" s="2322"/>
      <c r="AA718" s="2322"/>
      <c r="AB718" s="2322"/>
      <c r="AC718" s="2322"/>
      <c r="AD718" s="2322"/>
      <c r="AE718" s="2322"/>
      <c r="AF718" s="2322"/>
      <c r="AG718" s="2322"/>
      <c r="AH718" s="2322"/>
      <c r="AI718" s="2322"/>
      <c r="AJ718" s="2322"/>
      <c r="AK718" s="2322"/>
      <c r="AL718" s="2322"/>
      <c r="AM718" s="2322"/>
      <c r="AN718" s="2322"/>
      <c r="AO718" s="2322"/>
      <c r="AP718" s="2322"/>
      <c r="AQ718" s="2322"/>
      <c r="AR718" s="2322"/>
      <c r="AS718" s="2322"/>
      <c r="AT718" s="2322"/>
      <c r="AU718" s="2322"/>
      <c r="AV718" s="2322"/>
      <c r="AW718" s="2322"/>
      <c r="AX718" s="2322"/>
      <c r="AY718" s="2322"/>
      <c r="AZ718" s="2322"/>
      <c r="BA718" s="2322"/>
      <c r="BB718" s="2322"/>
      <c r="BC718" s="2322"/>
      <c r="BD718" s="2322"/>
      <c r="BE718" s="2322"/>
      <c r="BF718" s="2322"/>
      <c r="BG718" s="2322"/>
      <c r="BH718" s="2322"/>
      <c r="BI718" s="2322"/>
      <c r="BJ718" s="2322"/>
      <c r="BK718" s="2322"/>
      <c r="BL718" s="2322"/>
      <c r="BM718" s="2322"/>
      <c r="BN718" s="2322"/>
      <c r="BO718" s="2322"/>
      <c r="BP718" s="2322"/>
      <c r="BQ718" s="2322"/>
      <c r="BR718" s="2322"/>
      <c r="BS718" s="2322"/>
      <c r="BT718" s="2322"/>
      <c r="BU718" s="2322"/>
      <c r="BV718" s="2322"/>
      <c r="BW718" s="2322"/>
      <c r="BX718" s="2322"/>
      <c r="BY718" s="2322"/>
      <c r="BZ718" s="2322"/>
      <c r="CA718" s="2322"/>
      <c r="CB718" s="2322"/>
      <c r="CC718" s="2322"/>
      <c r="CD718" s="2322"/>
      <c r="CE718" s="2322"/>
      <c r="CF718" s="2322"/>
      <c r="CG718" s="2322"/>
      <c r="CH718" s="2322"/>
      <c r="CI718" s="2322"/>
      <c r="CJ718" s="2322"/>
      <c r="CK718" s="2322"/>
      <c r="CL718" s="2322"/>
      <c r="CM718" s="2322"/>
      <c r="CN718" s="2322"/>
      <c r="CO718" s="2322"/>
      <c r="CP718" s="2322"/>
      <c r="CQ718" s="2322"/>
      <c r="CR718" s="2322"/>
      <c r="CS718" s="2322"/>
      <c r="CT718" s="2322"/>
      <c r="CU718" s="2322"/>
      <c r="CV718" s="2322"/>
    </row>
    <row r="719" spans="1:100" ht="15.75" customHeight="1">
      <c r="A719" s="2328"/>
      <c r="B719" s="2322"/>
      <c r="C719" s="2322"/>
      <c r="D719" s="2322"/>
      <c r="E719" s="2322"/>
      <c r="F719" s="2322"/>
      <c r="G719" s="2322"/>
      <c r="H719" s="2322"/>
      <c r="I719" s="2322"/>
      <c r="J719" s="2322"/>
      <c r="K719" s="2322"/>
      <c r="L719" s="2322"/>
      <c r="M719" s="2322"/>
      <c r="N719" s="2322"/>
      <c r="O719" s="2322"/>
      <c r="P719" s="2322"/>
      <c r="Q719" s="2322"/>
      <c r="R719" s="2322"/>
      <c r="S719" s="2322"/>
      <c r="T719" s="2322"/>
      <c r="U719" s="2322"/>
      <c r="V719" s="2322"/>
      <c r="W719" s="2322"/>
      <c r="X719" s="2322"/>
      <c r="Y719" s="2322"/>
      <c r="Z719" s="2322"/>
      <c r="AA719" s="2322"/>
      <c r="AB719" s="2322"/>
      <c r="AC719" s="2322"/>
      <c r="AD719" s="2322"/>
      <c r="AE719" s="2322"/>
      <c r="AF719" s="2322"/>
      <c r="AG719" s="2322"/>
      <c r="AH719" s="2322"/>
      <c r="AI719" s="2322"/>
      <c r="AJ719" s="2322"/>
      <c r="AK719" s="2322"/>
      <c r="AL719" s="2322"/>
      <c r="AM719" s="2322"/>
      <c r="AN719" s="2322"/>
      <c r="AO719" s="2322"/>
      <c r="AP719" s="2322"/>
      <c r="AQ719" s="2322"/>
      <c r="AR719" s="2322"/>
      <c r="AS719" s="2322"/>
      <c r="AT719" s="2322"/>
      <c r="AU719" s="2322"/>
      <c r="AV719" s="2322"/>
      <c r="AW719" s="2322"/>
      <c r="AX719" s="2322"/>
      <c r="AY719" s="2322"/>
      <c r="AZ719" s="2322"/>
      <c r="BA719" s="2322"/>
      <c r="BB719" s="2322"/>
      <c r="BC719" s="2322"/>
      <c r="BD719" s="2322"/>
      <c r="BE719" s="2322"/>
      <c r="BF719" s="2322"/>
      <c r="BG719" s="2322"/>
      <c r="BH719" s="2322"/>
      <c r="BI719" s="2322"/>
      <c r="BJ719" s="2322"/>
      <c r="BK719" s="2322"/>
      <c r="BL719" s="2322"/>
      <c r="BM719" s="2322"/>
      <c r="BN719" s="2322"/>
      <c r="BO719" s="2322"/>
      <c r="BP719" s="2322"/>
      <c r="BQ719" s="2322"/>
      <c r="BR719" s="2322"/>
      <c r="BS719" s="2322"/>
      <c r="BT719" s="2322"/>
      <c r="BU719" s="2322"/>
      <c r="BV719" s="2322"/>
      <c r="BW719" s="2322"/>
      <c r="BX719" s="2322"/>
      <c r="BY719" s="2322"/>
      <c r="BZ719" s="2322"/>
      <c r="CA719" s="2322"/>
      <c r="CB719" s="2322"/>
      <c r="CC719" s="2322"/>
      <c r="CD719" s="2322"/>
      <c r="CE719" s="2322"/>
      <c r="CF719" s="2322"/>
      <c r="CG719" s="2322"/>
      <c r="CH719" s="2322"/>
      <c r="CI719" s="2322"/>
      <c r="CJ719" s="2322"/>
      <c r="CK719" s="2322"/>
      <c r="CL719" s="2322"/>
      <c r="CM719" s="2322"/>
      <c r="CN719" s="2322"/>
      <c r="CO719" s="2322"/>
      <c r="CP719" s="2322"/>
      <c r="CQ719" s="2322"/>
      <c r="CR719" s="2322"/>
      <c r="CS719" s="2322"/>
      <c r="CT719" s="2322"/>
      <c r="CU719" s="2322"/>
      <c r="CV719" s="2322"/>
    </row>
    <row r="720" spans="1:100" ht="15.75" customHeight="1">
      <c r="A720" s="2328"/>
      <c r="B720" s="2322"/>
      <c r="C720" s="2322"/>
      <c r="D720" s="2322"/>
      <c r="E720" s="2322"/>
      <c r="F720" s="2322"/>
      <c r="G720" s="2322"/>
      <c r="H720" s="2322"/>
      <c r="I720" s="2322"/>
      <c r="J720" s="2322"/>
      <c r="K720" s="2322"/>
      <c r="L720" s="2322"/>
      <c r="M720" s="2322"/>
      <c r="N720" s="2322"/>
      <c r="O720" s="2322"/>
      <c r="P720" s="2322"/>
      <c r="Q720" s="2322"/>
      <c r="R720" s="2322"/>
      <c r="S720" s="2322"/>
      <c r="T720" s="2322"/>
      <c r="U720" s="2322"/>
      <c r="V720" s="2322"/>
      <c r="W720" s="2322"/>
      <c r="X720" s="2322"/>
      <c r="Y720" s="2322"/>
      <c r="Z720" s="2322"/>
      <c r="AA720" s="2322"/>
      <c r="AB720" s="2322"/>
      <c r="AC720" s="2322"/>
      <c r="AD720" s="2322"/>
      <c r="AE720" s="2322"/>
      <c r="AF720" s="2322"/>
      <c r="AG720" s="2322"/>
      <c r="AH720" s="2322"/>
      <c r="AI720" s="2322"/>
      <c r="AJ720" s="2322"/>
      <c r="AK720" s="2322"/>
      <c r="AL720" s="2322"/>
      <c r="AM720" s="2322"/>
      <c r="AN720" s="2322"/>
      <c r="AO720" s="2322"/>
      <c r="AP720" s="2322"/>
      <c r="AQ720" s="2322"/>
      <c r="AR720" s="2322"/>
      <c r="AS720" s="2322"/>
      <c r="AT720" s="2322"/>
      <c r="AU720" s="2322"/>
      <c r="AV720" s="2322"/>
      <c r="AW720" s="2322"/>
      <c r="AX720" s="2322"/>
      <c r="AY720" s="2322"/>
      <c r="AZ720" s="2322"/>
      <c r="BA720" s="2322"/>
      <c r="BB720" s="2322"/>
      <c r="BC720" s="2322"/>
      <c r="BD720" s="2322"/>
      <c r="BE720" s="2322"/>
      <c r="BF720" s="2322"/>
      <c r="BG720" s="2322"/>
      <c r="BH720" s="2322"/>
      <c r="BI720" s="2322"/>
      <c r="BJ720" s="2322"/>
      <c r="BK720" s="2322"/>
      <c r="BL720" s="2322"/>
      <c r="BM720" s="2322"/>
      <c r="BN720" s="2322"/>
      <c r="BO720" s="2322"/>
      <c r="BP720" s="2322"/>
      <c r="BQ720" s="2322"/>
      <c r="BR720" s="2322"/>
      <c r="BS720" s="2322"/>
      <c r="BT720" s="2322"/>
      <c r="BU720" s="2322"/>
      <c r="BV720" s="2322"/>
      <c r="BW720" s="2322"/>
      <c r="BX720" s="2322"/>
      <c r="BY720" s="2322"/>
      <c r="BZ720" s="2322"/>
      <c r="CA720" s="2322"/>
      <c r="CB720" s="2322"/>
      <c r="CC720" s="2322"/>
      <c r="CD720" s="2322"/>
      <c r="CE720" s="2322"/>
      <c r="CF720" s="2322"/>
      <c r="CG720" s="2322"/>
      <c r="CH720" s="2322"/>
      <c r="CI720" s="2322"/>
      <c r="CJ720" s="2322"/>
      <c r="CK720" s="2322"/>
      <c r="CL720" s="2322"/>
      <c r="CM720" s="2322"/>
      <c r="CN720" s="2322"/>
      <c r="CO720" s="2322"/>
      <c r="CP720" s="2322"/>
      <c r="CQ720" s="2322"/>
      <c r="CR720" s="2322"/>
      <c r="CS720" s="2322"/>
      <c r="CT720" s="2322"/>
      <c r="CU720" s="2322"/>
      <c r="CV720" s="2322"/>
    </row>
    <row r="721" spans="1:100" ht="15.75" customHeight="1">
      <c r="A721" s="2328"/>
      <c r="B721" s="2322"/>
      <c r="C721" s="2322"/>
      <c r="D721" s="2322"/>
      <c r="E721" s="2322"/>
      <c r="F721" s="2322"/>
      <c r="G721" s="2322"/>
      <c r="H721" s="2322"/>
      <c r="I721" s="2322"/>
      <c r="J721" s="2322"/>
      <c r="K721" s="2322"/>
      <c r="L721" s="2322"/>
      <c r="M721" s="2322"/>
      <c r="N721" s="2322"/>
      <c r="O721" s="2322"/>
      <c r="P721" s="2322"/>
      <c r="Q721" s="2322"/>
      <c r="R721" s="2322"/>
      <c r="S721" s="2322"/>
      <c r="T721" s="2322"/>
      <c r="U721" s="2322"/>
      <c r="V721" s="2322"/>
      <c r="W721" s="2322"/>
      <c r="X721" s="2322"/>
      <c r="Y721" s="2322"/>
      <c r="Z721" s="2322"/>
      <c r="AA721" s="2322"/>
      <c r="AB721" s="2322"/>
      <c r="AC721" s="2322"/>
      <c r="AD721" s="2322"/>
      <c r="AE721" s="2322"/>
      <c r="AF721" s="2322"/>
      <c r="AG721" s="2322"/>
      <c r="AH721" s="2322"/>
      <c r="AI721" s="2322"/>
      <c r="AJ721" s="2322"/>
      <c r="AK721" s="2322"/>
      <c r="AL721" s="2322"/>
      <c r="AM721" s="2322"/>
      <c r="AN721" s="2322"/>
      <c r="AO721" s="2322"/>
      <c r="AP721" s="2322"/>
      <c r="AQ721" s="2322"/>
      <c r="AR721" s="2322"/>
      <c r="AS721" s="2322"/>
      <c r="AT721" s="2322"/>
      <c r="AU721" s="2322"/>
      <c r="AV721" s="2322"/>
      <c r="AW721" s="2322"/>
      <c r="AX721" s="2322"/>
      <c r="AY721" s="2322"/>
      <c r="AZ721" s="2322"/>
      <c r="BA721" s="2322"/>
      <c r="BB721" s="2322"/>
      <c r="BC721" s="2322"/>
      <c r="BD721" s="2322"/>
      <c r="BE721" s="2322"/>
      <c r="BF721" s="2322"/>
      <c r="BG721" s="2322"/>
      <c r="BH721" s="2322"/>
      <c r="BI721" s="2322"/>
      <c r="BJ721" s="2322"/>
      <c r="BK721" s="2322"/>
      <c r="BL721" s="2322"/>
      <c r="BM721" s="2322"/>
      <c r="BN721" s="2322"/>
      <c r="BO721" s="2322"/>
      <c r="BP721" s="2322"/>
      <c r="BQ721" s="2322"/>
      <c r="BR721" s="2322"/>
      <c r="BS721" s="2322"/>
      <c r="BT721" s="2322"/>
      <c r="BU721" s="2322"/>
      <c r="BV721" s="2322"/>
      <c r="BW721" s="2322"/>
      <c r="BX721" s="2322"/>
      <c r="BY721" s="2322"/>
      <c r="BZ721" s="2322"/>
      <c r="CA721" s="2322"/>
      <c r="CB721" s="2322"/>
      <c r="CC721" s="2322"/>
      <c r="CD721" s="2322"/>
      <c r="CE721" s="2322"/>
      <c r="CF721" s="2322"/>
      <c r="CG721" s="2322"/>
      <c r="CH721" s="2322"/>
      <c r="CI721" s="2322"/>
      <c r="CJ721" s="2322"/>
      <c r="CK721" s="2322"/>
      <c r="CL721" s="2322"/>
      <c r="CM721" s="2322"/>
      <c r="CN721" s="2322"/>
      <c r="CO721" s="2322"/>
      <c r="CP721" s="2322"/>
      <c r="CQ721" s="2322"/>
      <c r="CR721" s="2322"/>
      <c r="CS721" s="2322"/>
      <c r="CT721" s="2322"/>
      <c r="CU721" s="2322"/>
      <c r="CV721" s="2322"/>
    </row>
    <row r="722" spans="1:100" ht="15.75" customHeight="1">
      <c r="A722" s="2328"/>
      <c r="B722" s="2322"/>
      <c r="C722" s="2322"/>
      <c r="D722" s="2322"/>
      <c r="E722" s="2322"/>
      <c r="F722" s="2322"/>
      <c r="G722" s="2322"/>
      <c r="H722" s="2322"/>
      <c r="I722" s="2322"/>
      <c r="J722" s="2322"/>
      <c r="K722" s="2322"/>
      <c r="L722" s="2322"/>
      <c r="M722" s="2322"/>
      <c r="N722" s="2322"/>
      <c r="O722" s="2322"/>
      <c r="P722" s="2322"/>
      <c r="Q722" s="2322"/>
      <c r="R722" s="2322"/>
      <c r="S722" s="2322"/>
      <c r="T722" s="2322"/>
      <c r="U722" s="2322"/>
      <c r="V722" s="2322"/>
      <c r="W722" s="2322"/>
      <c r="X722" s="2322"/>
      <c r="Y722" s="2322"/>
      <c r="Z722" s="2322"/>
      <c r="AA722" s="2322"/>
      <c r="AB722" s="2322"/>
      <c r="AC722" s="2322"/>
      <c r="AD722" s="2322"/>
      <c r="AE722" s="2322"/>
      <c r="AF722" s="2322"/>
      <c r="AG722" s="2322"/>
      <c r="AH722" s="2322"/>
      <c r="AI722" s="2322"/>
      <c r="AJ722" s="2322"/>
      <c r="AK722" s="2322"/>
      <c r="AL722" s="2322"/>
      <c r="AM722" s="2322"/>
      <c r="AN722" s="2322"/>
      <c r="AO722" s="2322"/>
      <c r="AP722" s="2322"/>
      <c r="AQ722" s="2322"/>
      <c r="AR722" s="2322"/>
      <c r="AS722" s="2322"/>
      <c r="AT722" s="2322"/>
      <c r="AU722" s="2322"/>
      <c r="AV722" s="2322"/>
      <c r="AW722" s="2322"/>
      <c r="AX722" s="2322"/>
      <c r="AY722" s="2322"/>
      <c r="AZ722" s="2322"/>
      <c r="BA722" s="2322"/>
      <c r="BB722" s="2322"/>
      <c r="BC722" s="2322"/>
      <c r="BD722" s="2322"/>
      <c r="BE722" s="2322"/>
      <c r="BF722" s="2322"/>
      <c r="BG722" s="2322"/>
      <c r="BH722" s="2322"/>
      <c r="BI722" s="2322"/>
      <c r="BJ722" s="2322"/>
      <c r="BK722" s="2322"/>
      <c r="BL722" s="2322"/>
      <c r="BM722" s="2322"/>
      <c r="BN722" s="2322"/>
      <c r="BO722" s="2322"/>
      <c r="BP722" s="2322"/>
      <c r="BQ722" s="2322"/>
      <c r="BR722" s="2322"/>
      <c r="BS722" s="2322"/>
      <c r="BT722" s="2322"/>
      <c r="BU722" s="2322"/>
      <c r="BV722" s="2322"/>
      <c r="BW722" s="2322"/>
      <c r="BX722" s="2322"/>
      <c r="BY722" s="2322"/>
      <c r="BZ722" s="2322"/>
      <c r="CA722" s="2322"/>
      <c r="CB722" s="2322"/>
      <c r="CC722" s="2322"/>
      <c r="CD722" s="2322"/>
      <c r="CE722" s="2322"/>
      <c r="CF722" s="2322"/>
      <c r="CG722" s="2322"/>
      <c r="CH722" s="2322"/>
      <c r="CI722" s="2322"/>
      <c r="CJ722" s="2322"/>
      <c r="CK722" s="2322"/>
      <c r="CL722" s="2322"/>
      <c r="CM722" s="2322"/>
      <c r="CN722" s="2322"/>
      <c r="CO722" s="2322"/>
      <c r="CP722" s="2322"/>
      <c r="CQ722" s="2322"/>
      <c r="CR722" s="2322"/>
      <c r="CS722" s="2322"/>
      <c r="CT722" s="2322"/>
      <c r="CU722" s="2322"/>
      <c r="CV722" s="2322"/>
    </row>
    <row r="723" spans="1:100" ht="15.75" customHeight="1">
      <c r="A723" s="2328"/>
      <c r="B723" s="2322"/>
      <c r="C723" s="2322"/>
      <c r="D723" s="2322"/>
      <c r="E723" s="2322"/>
      <c r="F723" s="2322"/>
      <c r="G723" s="2322"/>
      <c r="H723" s="2322"/>
      <c r="I723" s="2322"/>
      <c r="J723" s="2322"/>
      <c r="K723" s="2322"/>
      <c r="L723" s="2322"/>
      <c r="M723" s="2322"/>
      <c r="N723" s="2322"/>
      <c r="O723" s="2322"/>
      <c r="P723" s="2322"/>
      <c r="Q723" s="2322"/>
      <c r="R723" s="2322"/>
      <c r="S723" s="2322"/>
      <c r="T723" s="2322"/>
      <c r="U723" s="2322"/>
      <c r="V723" s="2322"/>
      <c r="W723" s="2322"/>
      <c r="X723" s="2322"/>
      <c r="Y723" s="2322"/>
      <c r="Z723" s="2322"/>
      <c r="AA723" s="2322"/>
      <c r="AB723" s="2322"/>
      <c r="AC723" s="2322"/>
      <c r="AD723" s="2322"/>
      <c r="AE723" s="2322"/>
      <c r="AF723" s="2322"/>
      <c r="AG723" s="2322"/>
      <c r="AH723" s="2322"/>
      <c r="AI723" s="2322"/>
      <c r="AJ723" s="2322"/>
      <c r="AK723" s="2322"/>
      <c r="AL723" s="2322"/>
      <c r="AM723" s="2322"/>
      <c r="AN723" s="2322"/>
      <c r="AO723" s="2322"/>
      <c r="AP723" s="2322"/>
      <c r="AQ723" s="2322"/>
      <c r="AR723" s="2322"/>
      <c r="AS723" s="2322"/>
      <c r="AT723" s="2322"/>
      <c r="AU723" s="2322"/>
      <c r="AV723" s="2322"/>
      <c r="AW723" s="2322"/>
      <c r="AX723" s="2322"/>
      <c r="AY723" s="2322"/>
      <c r="AZ723" s="2322"/>
      <c r="BA723" s="2322"/>
      <c r="BB723" s="2322"/>
      <c r="BC723" s="2322"/>
      <c r="BD723" s="2322"/>
      <c r="BE723" s="2322"/>
      <c r="BF723" s="2322"/>
      <c r="BG723" s="2322"/>
      <c r="BH723" s="2322"/>
      <c r="BI723" s="2322"/>
      <c r="BJ723" s="2322"/>
      <c r="BK723" s="2322"/>
      <c r="BL723" s="2322"/>
      <c r="BM723" s="2322"/>
      <c r="BN723" s="2322"/>
      <c r="BO723" s="2322"/>
      <c r="BP723" s="2322"/>
      <c r="BQ723" s="2322"/>
      <c r="BR723" s="2322"/>
      <c r="BS723" s="2322"/>
      <c r="BT723" s="2322"/>
      <c r="BU723" s="2322"/>
      <c r="BV723" s="2322"/>
      <c r="BW723" s="2322"/>
      <c r="BX723" s="2322"/>
      <c r="BY723" s="2322"/>
      <c r="BZ723" s="2322"/>
      <c r="CA723" s="2322"/>
      <c r="CB723" s="2322"/>
      <c r="CC723" s="2322"/>
      <c r="CD723" s="2322"/>
      <c r="CE723" s="2322"/>
      <c r="CF723" s="2322"/>
      <c r="CG723" s="2322"/>
      <c r="CH723" s="2322"/>
      <c r="CI723" s="2322"/>
      <c r="CJ723" s="2322"/>
      <c r="CK723" s="2322"/>
      <c r="CL723" s="2322"/>
      <c r="CM723" s="2322"/>
      <c r="CN723" s="2322"/>
      <c r="CO723" s="2322"/>
      <c r="CP723" s="2322"/>
      <c r="CQ723" s="2322"/>
      <c r="CR723" s="2322"/>
      <c r="CS723" s="2322"/>
      <c r="CT723" s="2322"/>
      <c r="CU723" s="2322"/>
      <c r="CV723" s="2322"/>
    </row>
    <row r="724" spans="1:100" ht="15.75" customHeight="1">
      <c r="A724" s="2328"/>
      <c r="B724" s="2322"/>
      <c r="C724" s="2322"/>
      <c r="D724" s="2322"/>
      <c r="E724" s="2322"/>
      <c r="F724" s="2322"/>
      <c r="G724" s="2322"/>
      <c r="H724" s="2322"/>
      <c r="I724" s="2322"/>
      <c r="J724" s="2322"/>
      <c r="K724" s="2322"/>
      <c r="L724" s="2322"/>
      <c r="M724" s="2322"/>
      <c r="N724" s="2322"/>
      <c r="O724" s="2322"/>
      <c r="P724" s="2322"/>
      <c r="Q724" s="2322"/>
      <c r="R724" s="2322"/>
      <c r="S724" s="2322"/>
      <c r="T724" s="2322"/>
      <c r="U724" s="2322"/>
      <c r="V724" s="2322"/>
      <c r="W724" s="2322"/>
      <c r="X724" s="2322"/>
      <c r="Y724" s="2322"/>
      <c r="Z724" s="2322"/>
      <c r="AA724" s="2322"/>
      <c r="AB724" s="2322"/>
      <c r="AC724" s="2322"/>
      <c r="AD724" s="2322"/>
      <c r="AE724" s="2322"/>
      <c r="AF724" s="2322"/>
      <c r="AG724" s="2322"/>
      <c r="AH724" s="2322"/>
      <c r="AI724" s="2322"/>
      <c r="AJ724" s="2322"/>
      <c r="AK724" s="2322"/>
      <c r="AL724" s="2322"/>
      <c r="AM724" s="2322"/>
      <c r="AN724" s="2322"/>
      <c r="AO724" s="2322"/>
      <c r="AP724" s="2322"/>
      <c r="AQ724" s="2322"/>
      <c r="AR724" s="2322"/>
      <c r="AS724" s="2322"/>
      <c r="AT724" s="2322"/>
      <c r="AU724" s="2322"/>
      <c r="AV724" s="2322"/>
      <c r="AW724" s="2322"/>
      <c r="AX724" s="2322"/>
      <c r="AY724" s="2322"/>
      <c r="AZ724" s="2322"/>
      <c r="BA724" s="2322"/>
      <c r="BB724" s="2322"/>
      <c r="BC724" s="2322"/>
      <c r="BD724" s="2322"/>
      <c r="BE724" s="2322"/>
      <c r="BF724" s="2322"/>
      <c r="BG724" s="2322"/>
      <c r="BH724" s="2322"/>
      <c r="BI724" s="2322"/>
      <c r="BJ724" s="2322"/>
      <c r="BK724" s="2322"/>
      <c r="BL724" s="2322"/>
      <c r="BM724" s="2322"/>
      <c r="BN724" s="2322"/>
      <c r="BO724" s="2322"/>
      <c r="BP724" s="2322"/>
      <c r="BQ724" s="2322"/>
      <c r="BR724" s="2322"/>
      <c r="BS724" s="2322"/>
      <c r="BT724" s="2322"/>
      <c r="BU724" s="2322"/>
      <c r="BV724" s="2322"/>
      <c r="BW724" s="2322"/>
      <c r="BX724" s="2322"/>
      <c r="BY724" s="2322"/>
      <c r="BZ724" s="2322"/>
      <c r="CA724" s="2322"/>
      <c r="CB724" s="2322"/>
      <c r="CC724" s="2322"/>
      <c r="CD724" s="2322"/>
      <c r="CE724" s="2322"/>
      <c r="CF724" s="2322"/>
      <c r="CG724" s="2322"/>
      <c r="CH724" s="2322"/>
      <c r="CI724" s="2322"/>
      <c r="CJ724" s="2322"/>
      <c r="CK724" s="2322"/>
      <c r="CL724" s="2322"/>
      <c r="CM724" s="2322"/>
      <c r="CN724" s="2322"/>
      <c r="CO724" s="2322"/>
      <c r="CP724" s="2322"/>
      <c r="CQ724" s="2322"/>
      <c r="CR724" s="2322"/>
      <c r="CS724" s="2322"/>
      <c r="CT724" s="2322"/>
      <c r="CU724" s="2322"/>
      <c r="CV724" s="2322"/>
    </row>
    <row r="725" spans="1:100" ht="15.75" customHeight="1">
      <c r="A725" s="2328"/>
      <c r="B725" s="2322"/>
      <c r="C725" s="2322"/>
      <c r="D725" s="2322"/>
      <c r="E725" s="2322"/>
      <c r="F725" s="2322"/>
      <c r="G725" s="2322"/>
      <c r="H725" s="2322"/>
      <c r="I725" s="2322"/>
      <c r="J725" s="2322"/>
      <c r="K725" s="2322"/>
      <c r="L725" s="2322"/>
      <c r="M725" s="2322"/>
      <c r="N725" s="2322"/>
      <c r="O725" s="2322"/>
      <c r="P725" s="2322"/>
      <c r="Q725" s="2322"/>
      <c r="R725" s="2322"/>
      <c r="S725" s="2322"/>
      <c r="T725" s="2322"/>
      <c r="U725" s="2322"/>
      <c r="V725" s="2322"/>
      <c r="W725" s="2322"/>
      <c r="X725" s="2322"/>
      <c r="Y725" s="2322"/>
      <c r="Z725" s="2322"/>
      <c r="AA725" s="2322"/>
      <c r="AB725" s="2322"/>
      <c r="AC725" s="2322"/>
      <c r="AD725" s="2322"/>
      <c r="AE725" s="2322"/>
      <c r="AF725" s="2322"/>
      <c r="AG725" s="2322"/>
      <c r="AH725" s="2322"/>
      <c r="AI725" s="2322"/>
      <c r="AJ725" s="2322"/>
      <c r="AK725" s="2322"/>
      <c r="AL725" s="2322"/>
      <c r="AM725" s="2322"/>
      <c r="AN725" s="2322"/>
      <c r="AO725" s="2322"/>
      <c r="AP725" s="2322"/>
      <c r="AQ725" s="2322"/>
      <c r="AR725" s="2322"/>
      <c r="AS725" s="2322"/>
      <c r="AT725" s="2322"/>
      <c r="AU725" s="2322"/>
      <c r="AV725" s="2322"/>
      <c r="AW725" s="2322"/>
      <c r="AX725" s="2322"/>
      <c r="AY725" s="2322"/>
      <c r="AZ725" s="2322"/>
      <c r="BA725" s="2322"/>
      <c r="BB725" s="2322"/>
      <c r="BC725" s="2322"/>
      <c r="BD725" s="2322"/>
      <c r="BE725" s="2322"/>
      <c r="BF725" s="2322"/>
      <c r="BG725" s="2322"/>
      <c r="BH725" s="2322"/>
      <c r="BI725" s="2322"/>
      <c r="BJ725" s="2322"/>
      <c r="BK725" s="2322"/>
      <c r="BL725" s="2322"/>
      <c r="BM725" s="2322"/>
      <c r="BN725" s="2322"/>
      <c r="BO725" s="2322"/>
      <c r="BP725" s="2322"/>
      <c r="BQ725" s="2322"/>
      <c r="BR725" s="2322"/>
      <c r="BS725" s="2322"/>
      <c r="BT725" s="2322"/>
      <c r="BU725" s="2322"/>
      <c r="BV725" s="2322"/>
      <c r="BW725" s="2322"/>
      <c r="BX725" s="2322"/>
      <c r="BY725" s="2322"/>
      <c r="BZ725" s="2322"/>
      <c r="CA725" s="2322"/>
      <c r="CB725" s="2322"/>
      <c r="CC725" s="2322"/>
      <c r="CD725" s="2322"/>
      <c r="CE725" s="2322"/>
      <c r="CF725" s="2322"/>
      <c r="CG725" s="2322"/>
      <c r="CH725" s="2322"/>
      <c r="CI725" s="2322"/>
      <c r="CJ725" s="2322"/>
      <c r="CK725" s="2322"/>
      <c r="CL725" s="2322"/>
      <c r="CM725" s="2322"/>
      <c r="CN725" s="2322"/>
      <c r="CO725" s="2322"/>
      <c r="CP725" s="2322"/>
      <c r="CQ725" s="2322"/>
      <c r="CR725" s="2322"/>
      <c r="CS725" s="2322"/>
      <c r="CT725" s="2322"/>
      <c r="CU725" s="2322"/>
      <c r="CV725" s="2322"/>
    </row>
    <row r="726" spans="1:100" ht="15.75" customHeight="1">
      <c r="A726" s="2328"/>
      <c r="B726" s="2322"/>
      <c r="C726" s="2322"/>
      <c r="D726" s="2322"/>
      <c r="E726" s="2322"/>
      <c r="F726" s="2322"/>
      <c r="G726" s="2322"/>
      <c r="H726" s="2322"/>
      <c r="I726" s="2322"/>
      <c r="J726" s="2322"/>
      <c r="K726" s="2322"/>
      <c r="L726" s="2322"/>
      <c r="M726" s="2322"/>
      <c r="N726" s="2322"/>
      <c r="O726" s="2322"/>
      <c r="P726" s="2322"/>
      <c r="Q726" s="2322"/>
      <c r="R726" s="2322"/>
      <c r="S726" s="2322"/>
      <c r="T726" s="2322"/>
      <c r="U726" s="2322"/>
      <c r="V726" s="2322"/>
      <c r="W726" s="2322"/>
      <c r="X726" s="2322"/>
      <c r="Y726" s="2322"/>
      <c r="Z726" s="2322"/>
      <c r="AA726" s="2322"/>
      <c r="AB726" s="2322"/>
      <c r="AC726" s="2322"/>
      <c r="AD726" s="2322"/>
      <c r="AE726" s="2322"/>
      <c r="AF726" s="2322"/>
      <c r="AG726" s="2322"/>
      <c r="AH726" s="2322"/>
      <c r="AI726" s="2322"/>
      <c r="AJ726" s="2322"/>
      <c r="AK726" s="2322"/>
      <c r="AL726" s="2322"/>
      <c r="AM726" s="2322"/>
      <c r="AN726" s="2322"/>
      <c r="AO726" s="2322"/>
      <c r="AP726" s="2322"/>
      <c r="AQ726" s="2322"/>
      <c r="AR726" s="2322"/>
      <c r="AS726" s="2322"/>
      <c r="AT726" s="2322"/>
      <c r="AU726" s="2322"/>
      <c r="AV726" s="2322"/>
      <c r="AW726" s="2322"/>
      <c r="AX726" s="2322"/>
      <c r="AY726" s="2322"/>
      <c r="AZ726" s="2322"/>
      <c r="BA726" s="2322"/>
      <c r="BB726" s="2322"/>
      <c r="BC726" s="2322"/>
      <c r="BD726" s="2322"/>
      <c r="BE726" s="2322"/>
      <c r="BF726" s="2322"/>
      <c r="BG726" s="2322"/>
      <c r="BH726" s="2322"/>
      <c r="BI726" s="2322"/>
      <c r="BJ726" s="2322"/>
      <c r="BK726" s="2322"/>
      <c r="BL726" s="2322"/>
      <c r="BM726" s="2322"/>
      <c r="BN726" s="2322"/>
      <c r="BO726" s="2322"/>
      <c r="BP726" s="2322"/>
      <c r="BQ726" s="2322"/>
      <c r="BR726" s="2322"/>
      <c r="BS726" s="2322"/>
      <c r="BT726" s="2322"/>
      <c r="BU726" s="2322"/>
      <c r="BV726" s="2322"/>
      <c r="BW726" s="2322"/>
      <c r="BX726" s="2322"/>
      <c r="BY726" s="2322"/>
      <c r="BZ726" s="2322"/>
      <c r="CA726" s="2322"/>
      <c r="CB726" s="2322"/>
      <c r="CC726" s="2322"/>
      <c r="CD726" s="2322"/>
      <c r="CE726" s="2322"/>
      <c r="CF726" s="2322"/>
      <c r="CG726" s="2322"/>
      <c r="CH726" s="2322"/>
      <c r="CI726" s="2322"/>
      <c r="CJ726" s="2322"/>
      <c r="CK726" s="2322"/>
      <c r="CL726" s="2322"/>
      <c r="CM726" s="2322"/>
      <c r="CN726" s="2322"/>
      <c r="CO726" s="2322"/>
      <c r="CP726" s="2322"/>
      <c r="CQ726" s="2322"/>
      <c r="CR726" s="2322"/>
      <c r="CS726" s="2322"/>
      <c r="CT726" s="2322"/>
      <c r="CU726" s="2322"/>
      <c r="CV726" s="2322"/>
    </row>
    <row r="727" spans="1:100" ht="15.75" customHeight="1">
      <c r="A727" s="2328"/>
      <c r="B727" s="2322"/>
      <c r="C727" s="2322"/>
      <c r="D727" s="2322"/>
      <c r="E727" s="2322"/>
      <c r="F727" s="2322"/>
      <c r="G727" s="2322"/>
      <c r="H727" s="2322"/>
      <c r="I727" s="2322"/>
      <c r="J727" s="2322"/>
      <c r="K727" s="2322"/>
      <c r="L727" s="2322"/>
      <c r="M727" s="2322"/>
      <c r="N727" s="2322"/>
      <c r="O727" s="2322"/>
      <c r="P727" s="2322"/>
      <c r="Q727" s="2322"/>
      <c r="R727" s="2322"/>
      <c r="S727" s="2322"/>
      <c r="T727" s="2322"/>
      <c r="U727" s="2322"/>
      <c r="V727" s="2322"/>
      <c r="W727" s="2322"/>
      <c r="X727" s="2322"/>
      <c r="Y727" s="2322"/>
      <c r="Z727" s="2322"/>
      <c r="AA727" s="2322"/>
      <c r="AB727" s="2322"/>
      <c r="AC727" s="2322"/>
      <c r="AD727" s="2322"/>
      <c r="AE727" s="2322"/>
      <c r="AF727" s="2322"/>
      <c r="AG727" s="2322"/>
      <c r="AH727" s="2322"/>
      <c r="AI727" s="2322"/>
      <c r="AJ727" s="2322"/>
      <c r="AK727" s="2322"/>
      <c r="AL727" s="2322"/>
      <c r="AM727" s="2322"/>
      <c r="AN727" s="2322"/>
      <c r="AO727" s="2322"/>
      <c r="AP727" s="2322"/>
      <c r="AQ727" s="2322"/>
      <c r="AR727" s="2322"/>
      <c r="AS727" s="2322"/>
      <c r="AT727" s="2322"/>
      <c r="AU727" s="2322"/>
      <c r="AV727" s="2322"/>
      <c r="AW727" s="2322"/>
      <c r="AX727" s="2322"/>
      <c r="AY727" s="2322"/>
      <c r="AZ727" s="2322"/>
      <c r="BA727" s="2322"/>
      <c r="BB727" s="2322"/>
      <c r="BC727" s="2322"/>
      <c r="BD727" s="2322"/>
      <c r="BE727" s="2322"/>
      <c r="BF727" s="2322"/>
      <c r="BG727" s="2322"/>
      <c r="BH727" s="2322"/>
      <c r="BI727" s="2322"/>
      <c r="BJ727" s="2322"/>
      <c r="BK727" s="2322"/>
      <c r="BL727" s="2322"/>
      <c r="BM727" s="2322"/>
      <c r="BN727" s="2322"/>
      <c r="BO727" s="2322"/>
      <c r="BP727" s="2322"/>
      <c r="BQ727" s="2322"/>
      <c r="BR727" s="2322"/>
      <c r="BS727" s="2322"/>
      <c r="BT727" s="2322"/>
      <c r="BU727" s="2322"/>
      <c r="BV727" s="2322"/>
      <c r="BW727" s="2322"/>
      <c r="BX727" s="2322"/>
      <c r="BY727" s="2322"/>
      <c r="BZ727" s="2322"/>
      <c r="CA727" s="2322"/>
      <c r="CB727" s="2322"/>
      <c r="CC727" s="2322"/>
      <c r="CD727" s="2322"/>
      <c r="CE727" s="2322"/>
      <c r="CF727" s="2322"/>
      <c r="CG727" s="2322"/>
      <c r="CH727" s="2322"/>
      <c r="CI727" s="2322"/>
      <c r="CJ727" s="2322"/>
      <c r="CK727" s="2322"/>
      <c r="CL727" s="2322"/>
      <c r="CM727" s="2322"/>
      <c r="CN727" s="2322"/>
      <c r="CO727" s="2322"/>
      <c r="CP727" s="2322"/>
      <c r="CQ727" s="2322"/>
      <c r="CR727" s="2322"/>
      <c r="CS727" s="2322"/>
      <c r="CT727" s="2322"/>
      <c r="CU727" s="2322"/>
      <c r="CV727" s="2322"/>
    </row>
    <row r="728" spans="1:100" ht="15.75" customHeight="1">
      <c r="A728" s="2328"/>
      <c r="B728" s="2322"/>
      <c r="C728" s="2322"/>
      <c r="D728" s="2322"/>
      <c r="E728" s="2322"/>
      <c r="F728" s="2322"/>
      <c r="G728" s="2322"/>
      <c r="H728" s="2322"/>
      <c r="I728" s="2322"/>
      <c r="J728" s="2322"/>
      <c r="K728" s="2322"/>
      <c r="L728" s="2322"/>
      <c r="M728" s="2322"/>
      <c r="N728" s="2322"/>
      <c r="O728" s="2322"/>
      <c r="P728" s="2322"/>
      <c r="Q728" s="2322"/>
      <c r="R728" s="2322"/>
      <c r="S728" s="2322"/>
      <c r="T728" s="2322"/>
      <c r="U728" s="2322"/>
      <c r="V728" s="2322"/>
      <c r="W728" s="2322"/>
      <c r="X728" s="2322"/>
      <c r="Y728" s="2322"/>
      <c r="Z728" s="2322"/>
      <c r="AA728" s="2322"/>
      <c r="AB728" s="2322"/>
      <c r="AC728" s="2322"/>
      <c r="AD728" s="2322"/>
      <c r="AE728" s="2322"/>
      <c r="AF728" s="2322"/>
      <c r="AG728" s="2322"/>
      <c r="AH728" s="2322"/>
      <c r="AI728" s="2322"/>
      <c r="AJ728" s="2322"/>
      <c r="AK728" s="2322"/>
      <c r="AL728" s="2322"/>
      <c r="AM728" s="2322"/>
      <c r="AN728" s="2322"/>
      <c r="AO728" s="2322"/>
      <c r="AP728" s="2322"/>
      <c r="AQ728" s="2322"/>
      <c r="AR728" s="2322"/>
      <c r="AS728" s="2322"/>
      <c r="AT728" s="2322"/>
      <c r="AU728" s="2322"/>
      <c r="AV728" s="2322"/>
      <c r="AW728" s="2322"/>
      <c r="AX728" s="2322"/>
      <c r="AY728" s="2322"/>
      <c r="AZ728" s="2322"/>
      <c r="BA728" s="2322"/>
      <c r="BB728" s="2322"/>
      <c r="BC728" s="2322"/>
      <c r="BD728" s="2322"/>
      <c r="BE728" s="2322"/>
      <c r="BF728" s="2322"/>
      <c r="BG728" s="2322"/>
      <c r="BH728" s="2322"/>
      <c r="BI728" s="2322"/>
      <c r="BJ728" s="2322"/>
      <c r="BK728" s="2322"/>
      <c r="BL728" s="2322"/>
      <c r="BM728" s="2322"/>
      <c r="BN728" s="2322"/>
      <c r="BO728" s="2322"/>
      <c r="BP728" s="2322"/>
      <c r="BQ728" s="2322"/>
      <c r="BR728" s="2322"/>
      <c r="BS728" s="2322"/>
      <c r="BT728" s="2322"/>
      <c r="BU728" s="2322"/>
      <c r="BV728" s="2322"/>
      <c r="BW728" s="2322"/>
      <c r="BX728" s="2322"/>
      <c r="BY728" s="2322"/>
      <c r="BZ728" s="2322"/>
      <c r="CA728" s="2322"/>
      <c r="CB728" s="2322"/>
      <c r="CC728" s="2322"/>
      <c r="CD728" s="2322"/>
      <c r="CE728" s="2322"/>
      <c r="CF728" s="2322"/>
      <c r="CG728" s="2322"/>
      <c r="CH728" s="2322"/>
      <c r="CI728" s="2322"/>
      <c r="CJ728" s="2322"/>
      <c r="CK728" s="2322"/>
      <c r="CL728" s="2322"/>
      <c r="CM728" s="2322"/>
      <c r="CN728" s="2322"/>
      <c r="CO728" s="2322"/>
      <c r="CP728" s="2322"/>
      <c r="CQ728" s="2322"/>
      <c r="CR728" s="2322"/>
      <c r="CS728" s="2322"/>
      <c r="CT728" s="2322"/>
      <c r="CU728" s="2322"/>
      <c r="CV728" s="2322"/>
    </row>
    <row r="729" spans="1:100" ht="15.75" customHeight="1">
      <c r="A729" s="2328"/>
      <c r="B729" s="2322"/>
      <c r="C729" s="2322"/>
      <c r="D729" s="2322"/>
      <c r="E729" s="2322"/>
      <c r="F729" s="2322"/>
      <c r="G729" s="2322"/>
      <c r="H729" s="2322"/>
      <c r="I729" s="2322"/>
      <c r="J729" s="2322"/>
      <c r="K729" s="2322"/>
      <c r="L729" s="2322"/>
      <c r="M729" s="2322"/>
      <c r="N729" s="2322"/>
      <c r="O729" s="2322"/>
      <c r="P729" s="2322"/>
      <c r="Q729" s="2322"/>
      <c r="R729" s="2322"/>
      <c r="S729" s="2322"/>
      <c r="T729" s="2322"/>
      <c r="U729" s="2322"/>
      <c r="V729" s="2322"/>
      <c r="W729" s="2322"/>
      <c r="X729" s="2322"/>
      <c r="Y729" s="2322"/>
      <c r="Z729" s="2322"/>
      <c r="AA729" s="2322"/>
      <c r="AB729" s="2322"/>
      <c r="AC729" s="2322"/>
      <c r="AD729" s="2322"/>
      <c r="AE729" s="2322"/>
      <c r="AF729" s="2322"/>
      <c r="AG729" s="2322"/>
      <c r="AH729" s="2322"/>
      <c r="AI729" s="2322"/>
      <c r="AJ729" s="2322"/>
      <c r="AK729" s="2322"/>
      <c r="AL729" s="2322"/>
      <c r="AM729" s="2322"/>
      <c r="AN729" s="2322"/>
      <c r="AO729" s="2322"/>
      <c r="AP729" s="2322"/>
      <c r="AQ729" s="2322"/>
      <c r="AR729" s="2322"/>
      <c r="AS729" s="2322"/>
      <c r="AT729" s="2322"/>
      <c r="AU729" s="2322"/>
      <c r="AV729" s="2322"/>
      <c r="AW729" s="2322"/>
      <c r="AX729" s="2322"/>
      <c r="AY729" s="2322"/>
      <c r="AZ729" s="2322"/>
      <c r="BA729" s="2322"/>
      <c r="BB729" s="2322"/>
      <c r="BC729" s="2322"/>
      <c r="BD729" s="2322"/>
      <c r="BE729" s="2322"/>
      <c r="BF729" s="2322"/>
      <c r="BG729" s="2322"/>
      <c r="BH729" s="2322"/>
      <c r="BI729" s="2322"/>
      <c r="BJ729" s="2322"/>
      <c r="BK729" s="2322"/>
      <c r="BL729" s="2322"/>
      <c r="BM729" s="2322"/>
      <c r="BN729" s="2322"/>
      <c r="BO729" s="2322"/>
      <c r="BP729" s="2322"/>
      <c r="BQ729" s="2322"/>
      <c r="BR729" s="2322"/>
      <c r="BS729" s="2322"/>
      <c r="BT729" s="2322"/>
      <c r="BU729" s="2322"/>
      <c r="BV729" s="2322"/>
      <c r="BW729" s="2322"/>
      <c r="BX729" s="2322"/>
      <c r="BY729" s="2322"/>
      <c r="BZ729" s="2322"/>
      <c r="CA729" s="2322"/>
      <c r="CB729" s="2322"/>
      <c r="CC729" s="2322"/>
      <c r="CD729" s="2322"/>
      <c r="CE729" s="2322"/>
      <c r="CF729" s="2322"/>
      <c r="CG729" s="2322"/>
      <c r="CH729" s="2322"/>
      <c r="CI729" s="2322"/>
      <c r="CJ729" s="2322"/>
      <c r="CK729" s="2322"/>
      <c r="CL729" s="2322"/>
      <c r="CM729" s="2322"/>
      <c r="CN729" s="2322"/>
      <c r="CO729" s="2322"/>
      <c r="CP729" s="2322"/>
      <c r="CQ729" s="2322"/>
      <c r="CR729" s="2322"/>
      <c r="CS729" s="2322"/>
      <c r="CT729" s="2322"/>
      <c r="CU729" s="2322"/>
      <c r="CV729" s="2322"/>
    </row>
    <row r="730" spans="1:100" ht="15.75" customHeight="1">
      <c r="A730" s="2328"/>
      <c r="B730" s="2322"/>
      <c r="C730" s="2322"/>
      <c r="D730" s="2322"/>
      <c r="E730" s="2322"/>
      <c r="F730" s="2322"/>
      <c r="G730" s="2322"/>
      <c r="H730" s="2322"/>
      <c r="I730" s="2322"/>
      <c r="J730" s="2322"/>
      <c r="K730" s="2322"/>
      <c r="L730" s="2322"/>
      <c r="M730" s="2322"/>
      <c r="N730" s="2322"/>
      <c r="O730" s="2322"/>
      <c r="P730" s="2322"/>
      <c r="Q730" s="2322"/>
      <c r="R730" s="2322"/>
      <c r="S730" s="2322"/>
      <c r="T730" s="2322"/>
      <c r="U730" s="2322"/>
      <c r="V730" s="2322"/>
      <c r="W730" s="2322"/>
      <c r="X730" s="2322"/>
      <c r="Y730" s="2322"/>
      <c r="Z730" s="2322"/>
      <c r="AA730" s="2322"/>
      <c r="AB730" s="2322"/>
      <c r="AC730" s="2322"/>
      <c r="AD730" s="2322"/>
      <c r="AE730" s="2322"/>
      <c r="AF730" s="2322"/>
      <c r="AG730" s="2322"/>
      <c r="AH730" s="2322"/>
      <c r="AI730" s="2322"/>
      <c r="AJ730" s="2322"/>
      <c r="AK730" s="2322"/>
      <c r="AL730" s="2322"/>
      <c r="AM730" s="2322"/>
      <c r="AN730" s="2322"/>
      <c r="AO730" s="2322"/>
      <c r="AP730" s="2322"/>
      <c r="AQ730" s="2322"/>
      <c r="AR730" s="2322"/>
      <c r="AS730" s="2322"/>
      <c r="AT730" s="2322"/>
      <c r="AU730" s="2322"/>
      <c r="AV730" s="2322"/>
      <c r="AW730" s="2322"/>
      <c r="AX730" s="2322"/>
      <c r="AY730" s="2322"/>
      <c r="AZ730" s="2322"/>
      <c r="BA730" s="2322"/>
      <c r="BB730" s="2322"/>
      <c r="BC730" s="2322"/>
      <c r="BD730" s="2322"/>
      <c r="BE730" s="2322"/>
      <c r="BF730" s="2322"/>
      <c r="BG730" s="2322"/>
      <c r="BH730" s="2322"/>
      <c r="BI730" s="2322"/>
      <c r="BJ730" s="2322"/>
      <c r="BK730" s="2322"/>
      <c r="BL730" s="2322"/>
      <c r="BM730" s="2322"/>
      <c r="BN730" s="2322"/>
      <c r="BO730" s="2322"/>
      <c r="BP730" s="2322"/>
      <c r="BQ730" s="2322"/>
      <c r="BR730" s="2322"/>
      <c r="BS730" s="2322"/>
      <c r="BT730" s="2322"/>
      <c r="BU730" s="2322"/>
      <c r="BV730" s="2322"/>
      <c r="BW730" s="2322"/>
      <c r="BX730" s="2322"/>
      <c r="BY730" s="2322"/>
      <c r="BZ730" s="2322"/>
      <c r="CA730" s="2322"/>
      <c r="CB730" s="2322"/>
      <c r="CC730" s="2322"/>
      <c r="CD730" s="2322"/>
      <c r="CE730" s="2322"/>
      <c r="CF730" s="2322"/>
      <c r="CG730" s="2322"/>
      <c r="CH730" s="2322"/>
      <c r="CI730" s="2322"/>
      <c r="CJ730" s="2322"/>
      <c r="CK730" s="2322"/>
      <c r="CL730" s="2322"/>
      <c r="CM730" s="2322"/>
      <c r="CN730" s="2322"/>
      <c r="CO730" s="2322"/>
      <c r="CP730" s="2322"/>
      <c r="CQ730" s="2322"/>
      <c r="CR730" s="2322"/>
      <c r="CS730" s="2322"/>
      <c r="CT730" s="2322"/>
      <c r="CU730" s="2322"/>
      <c r="CV730" s="2322"/>
    </row>
    <row r="731" spans="1:100" ht="15.75" customHeight="1">
      <c r="A731" s="2328"/>
      <c r="B731" s="2322"/>
      <c r="C731" s="2322"/>
      <c r="D731" s="2322"/>
      <c r="E731" s="2322"/>
      <c r="F731" s="2322"/>
      <c r="G731" s="2322"/>
      <c r="H731" s="2322"/>
      <c r="I731" s="2322"/>
      <c r="J731" s="2322"/>
      <c r="K731" s="2322"/>
      <c r="L731" s="2322"/>
      <c r="M731" s="2322"/>
      <c r="N731" s="2322"/>
      <c r="O731" s="2322"/>
      <c r="P731" s="2322"/>
      <c r="Q731" s="2322"/>
      <c r="R731" s="2322"/>
      <c r="S731" s="2322"/>
      <c r="T731" s="2322"/>
      <c r="U731" s="2322"/>
      <c r="V731" s="2322"/>
      <c r="W731" s="2322"/>
      <c r="X731" s="2322"/>
      <c r="Y731" s="2322"/>
      <c r="Z731" s="2322"/>
      <c r="AA731" s="2322"/>
      <c r="AB731" s="2322"/>
      <c r="AC731" s="2322"/>
      <c r="AD731" s="2322"/>
      <c r="AE731" s="2322"/>
      <c r="AF731" s="2322"/>
      <c r="AG731" s="2322"/>
      <c r="AH731" s="2322"/>
      <c r="AI731" s="2322"/>
      <c r="AJ731" s="2322"/>
      <c r="AK731" s="2322"/>
      <c r="AL731" s="2322"/>
      <c r="AM731" s="2322"/>
      <c r="AN731" s="2322"/>
      <c r="AO731" s="2322"/>
      <c r="AP731" s="2322"/>
      <c r="AQ731" s="2322"/>
      <c r="AR731" s="2322"/>
      <c r="AS731" s="2322"/>
      <c r="AT731" s="2322"/>
      <c r="AU731" s="2322"/>
      <c r="AV731" s="2322"/>
      <c r="AW731" s="2322"/>
      <c r="AX731" s="2322"/>
      <c r="AY731" s="2322"/>
      <c r="AZ731" s="2322"/>
      <c r="BA731" s="2322"/>
      <c r="BB731" s="2322"/>
      <c r="BC731" s="2322"/>
      <c r="BD731" s="2322"/>
      <c r="BE731" s="2322"/>
      <c r="BF731" s="2322"/>
      <c r="BG731" s="2322"/>
      <c r="BH731" s="2322"/>
      <c r="BI731" s="2322"/>
      <c r="BJ731" s="2322"/>
      <c r="BK731" s="2322"/>
      <c r="BL731" s="2322"/>
      <c r="BM731" s="2322"/>
      <c r="BN731" s="2322"/>
      <c r="BO731" s="2322"/>
      <c r="BP731" s="2322"/>
      <c r="BQ731" s="2322"/>
      <c r="BR731" s="2322"/>
      <c r="BS731" s="2322"/>
      <c r="BT731" s="2322"/>
      <c r="BU731" s="2322"/>
      <c r="BV731" s="2322"/>
      <c r="BW731" s="2322"/>
      <c r="BX731" s="2322"/>
      <c r="BY731" s="2322"/>
      <c r="BZ731" s="2322"/>
      <c r="CA731" s="2322"/>
      <c r="CB731" s="2322"/>
      <c r="CC731" s="2322"/>
      <c r="CD731" s="2322"/>
      <c r="CE731" s="2322"/>
      <c r="CF731" s="2322"/>
      <c r="CG731" s="2322"/>
      <c r="CH731" s="2322"/>
      <c r="CI731" s="2322"/>
      <c r="CJ731" s="2322"/>
      <c r="CK731" s="2322"/>
      <c r="CL731" s="2322"/>
      <c r="CM731" s="2322"/>
      <c r="CN731" s="2322"/>
      <c r="CO731" s="2322"/>
      <c r="CP731" s="2322"/>
      <c r="CQ731" s="2322"/>
      <c r="CR731" s="2322"/>
      <c r="CS731" s="2322"/>
      <c r="CT731" s="2322"/>
      <c r="CU731" s="2322"/>
      <c r="CV731" s="2322"/>
    </row>
    <row r="732" spans="1:100" ht="15.75" customHeight="1">
      <c r="A732" s="2328"/>
      <c r="B732" s="2322"/>
      <c r="C732" s="2322"/>
      <c r="D732" s="2322"/>
      <c r="E732" s="2322"/>
      <c r="F732" s="2322"/>
      <c r="G732" s="2322"/>
      <c r="H732" s="2322"/>
      <c r="I732" s="2322"/>
      <c r="J732" s="2322"/>
      <c r="K732" s="2322"/>
      <c r="L732" s="2322"/>
      <c r="M732" s="2322"/>
      <c r="N732" s="2322"/>
      <c r="O732" s="2322"/>
      <c r="P732" s="2322"/>
      <c r="Q732" s="2322"/>
      <c r="R732" s="2322"/>
      <c r="S732" s="2322"/>
      <c r="T732" s="2322"/>
      <c r="U732" s="2322"/>
      <c r="V732" s="2322"/>
      <c r="W732" s="2322"/>
      <c r="X732" s="2322"/>
      <c r="Y732" s="2322"/>
      <c r="Z732" s="2322"/>
      <c r="AA732" s="2322"/>
      <c r="AB732" s="2322"/>
      <c r="AC732" s="2322"/>
      <c r="AD732" s="2322"/>
      <c r="AE732" s="2322"/>
      <c r="AF732" s="2322"/>
      <c r="AG732" s="2322"/>
      <c r="AH732" s="2322"/>
      <c r="AI732" s="2322"/>
      <c r="AJ732" s="2322"/>
      <c r="AK732" s="2322"/>
      <c r="AL732" s="2322"/>
      <c r="AM732" s="2322"/>
      <c r="AN732" s="2322"/>
      <c r="AO732" s="2322"/>
      <c r="AP732" s="2322"/>
      <c r="AQ732" s="2322"/>
      <c r="AR732" s="2322"/>
      <c r="AS732" s="2322"/>
      <c r="AT732" s="2322"/>
      <c r="AU732" s="2322"/>
      <c r="AV732" s="2322"/>
      <c r="AW732" s="2322"/>
      <c r="AX732" s="2322"/>
      <c r="AY732" s="2322"/>
      <c r="AZ732" s="2322"/>
      <c r="BA732" s="2322"/>
      <c r="BB732" s="2322"/>
      <c r="BC732" s="2322"/>
      <c r="BD732" s="2322"/>
      <c r="BE732" s="2322"/>
      <c r="BF732" s="2322"/>
      <c r="BG732" s="2322"/>
      <c r="BH732" s="2322"/>
      <c r="BI732" s="2322"/>
      <c r="BJ732" s="2322"/>
      <c r="BK732" s="2322"/>
      <c r="BL732" s="2322"/>
      <c r="BM732" s="2322"/>
      <c r="BN732" s="2322"/>
      <c r="BO732" s="2322"/>
      <c r="BP732" s="2322"/>
      <c r="BQ732" s="2322"/>
      <c r="BR732" s="2322"/>
      <c r="BS732" s="2322"/>
      <c r="BT732" s="2322"/>
      <c r="BU732" s="2322"/>
      <c r="BV732" s="2322"/>
      <c r="BW732" s="2322"/>
      <c r="BX732" s="2322"/>
      <c r="BY732" s="2322"/>
      <c r="BZ732" s="2322"/>
      <c r="CA732" s="2322"/>
      <c r="CB732" s="2322"/>
      <c r="CC732" s="2322"/>
      <c r="CD732" s="2322"/>
      <c r="CE732" s="2322"/>
      <c r="CF732" s="2322"/>
      <c r="CG732" s="2322"/>
      <c r="CH732" s="2322"/>
      <c r="CI732" s="2322"/>
      <c r="CJ732" s="2322"/>
      <c r="CK732" s="2322"/>
      <c r="CL732" s="2322"/>
      <c r="CM732" s="2322"/>
      <c r="CN732" s="2322"/>
      <c r="CO732" s="2322"/>
      <c r="CP732" s="2322"/>
      <c r="CQ732" s="2322"/>
      <c r="CR732" s="2322"/>
      <c r="CS732" s="2322"/>
      <c r="CT732" s="2322"/>
      <c r="CU732" s="2322"/>
      <c r="CV732" s="2322"/>
    </row>
    <row r="733" spans="1:100" ht="15.75" customHeight="1">
      <c r="A733" s="2328"/>
      <c r="B733" s="2322"/>
      <c r="C733" s="2322"/>
      <c r="D733" s="2322"/>
      <c r="E733" s="2322"/>
      <c r="F733" s="2322"/>
      <c r="G733" s="2322"/>
      <c r="H733" s="2322"/>
      <c r="I733" s="2322"/>
      <c r="J733" s="2322"/>
      <c r="K733" s="2322"/>
      <c r="L733" s="2322"/>
      <c r="M733" s="2322"/>
      <c r="N733" s="2322"/>
      <c r="O733" s="2322"/>
      <c r="P733" s="2322"/>
      <c r="Q733" s="2322"/>
      <c r="R733" s="2322"/>
      <c r="S733" s="2322"/>
      <c r="T733" s="2322"/>
      <c r="U733" s="2322"/>
      <c r="V733" s="2322"/>
      <c r="W733" s="2322"/>
      <c r="X733" s="2322"/>
      <c r="Y733" s="2322"/>
      <c r="Z733" s="2322"/>
      <c r="AA733" s="2322"/>
      <c r="AB733" s="2322"/>
      <c r="AC733" s="2322"/>
      <c r="AD733" s="2322"/>
      <c r="AE733" s="2322"/>
      <c r="AF733" s="2322"/>
      <c r="AG733" s="2322"/>
      <c r="AH733" s="2322"/>
      <c r="AI733" s="2322"/>
      <c r="AJ733" s="2322"/>
      <c r="AK733" s="2322"/>
      <c r="AL733" s="2322"/>
      <c r="AM733" s="2322"/>
      <c r="AN733" s="2322"/>
      <c r="AO733" s="2322"/>
      <c r="AP733" s="2322"/>
      <c r="AQ733" s="2322"/>
      <c r="AR733" s="2322"/>
      <c r="AS733" s="2322"/>
      <c r="AT733" s="2322"/>
      <c r="AU733" s="2322"/>
      <c r="AV733" s="2322"/>
      <c r="AW733" s="2322"/>
      <c r="AX733" s="2322"/>
      <c r="AY733" s="2322"/>
      <c r="AZ733" s="2322"/>
      <c r="BA733" s="2322"/>
      <c r="BB733" s="2322"/>
      <c r="BC733" s="2322"/>
      <c r="BD733" s="2322"/>
      <c r="BE733" s="2322"/>
      <c r="BF733" s="2322"/>
      <c r="BG733" s="2322"/>
      <c r="BH733" s="2322"/>
      <c r="BI733" s="2322"/>
      <c r="BJ733" s="2322"/>
      <c r="BK733" s="2322"/>
      <c r="BL733" s="2322"/>
      <c r="BM733" s="2322"/>
      <c r="BN733" s="2322"/>
      <c r="BO733" s="2322"/>
      <c r="BP733" s="2322"/>
      <c r="BQ733" s="2322"/>
      <c r="BR733" s="2322"/>
      <c r="BS733" s="2322"/>
      <c r="BT733" s="2322"/>
      <c r="BU733" s="2322"/>
      <c r="BV733" s="2322"/>
      <c r="BW733" s="2322"/>
      <c r="BX733" s="2322"/>
      <c r="BY733" s="2322"/>
      <c r="BZ733" s="2322"/>
      <c r="CA733" s="2322"/>
      <c r="CB733" s="2322"/>
      <c r="CC733" s="2322"/>
      <c r="CD733" s="2322"/>
      <c r="CE733" s="2322"/>
      <c r="CF733" s="2322"/>
      <c r="CG733" s="2322"/>
      <c r="CH733" s="2322"/>
      <c r="CI733" s="2322"/>
      <c r="CJ733" s="2322"/>
      <c r="CK733" s="2322"/>
      <c r="CL733" s="2322"/>
      <c r="CM733" s="2322"/>
      <c r="CN733" s="2322"/>
      <c r="CO733" s="2322"/>
      <c r="CP733" s="2322"/>
      <c r="CQ733" s="2322"/>
      <c r="CR733" s="2322"/>
      <c r="CS733" s="2322"/>
      <c r="CT733" s="2322"/>
      <c r="CU733" s="2322"/>
      <c r="CV733" s="2322"/>
    </row>
    <row r="734" spans="1:100" ht="15.75" customHeight="1">
      <c r="A734" s="2328"/>
      <c r="B734" s="2322"/>
      <c r="C734" s="2322"/>
      <c r="D734" s="2322"/>
      <c r="E734" s="2322"/>
      <c r="F734" s="2322"/>
      <c r="G734" s="2322"/>
      <c r="H734" s="2322"/>
      <c r="I734" s="2322"/>
      <c r="J734" s="2322"/>
      <c r="K734" s="2322"/>
      <c r="L734" s="2322"/>
      <c r="M734" s="2322"/>
      <c r="N734" s="2322"/>
      <c r="O734" s="2322"/>
      <c r="P734" s="2322"/>
      <c r="Q734" s="2322"/>
      <c r="R734" s="2322"/>
      <c r="S734" s="2322"/>
      <c r="T734" s="2322"/>
      <c r="U734" s="2322"/>
      <c r="V734" s="2322"/>
      <c r="W734" s="2322"/>
      <c r="X734" s="2322"/>
      <c r="Y734" s="2322"/>
      <c r="Z734" s="2322"/>
      <c r="AA734" s="2322"/>
      <c r="AB734" s="2322"/>
      <c r="AC734" s="2322"/>
      <c r="AD734" s="2322"/>
      <c r="AE734" s="2322"/>
      <c r="AF734" s="2322"/>
      <c r="AG734" s="2322"/>
      <c r="AH734" s="2322"/>
      <c r="AI734" s="2322"/>
      <c r="AJ734" s="2322"/>
      <c r="AK734" s="2322"/>
      <c r="AL734" s="2322"/>
      <c r="AM734" s="2322"/>
      <c r="AN734" s="2322"/>
      <c r="AO734" s="2322"/>
      <c r="AP734" s="2322"/>
      <c r="AQ734" s="2322"/>
      <c r="AR734" s="2322"/>
      <c r="AS734" s="2322"/>
      <c r="AT734" s="2322"/>
      <c r="AU734" s="2322"/>
      <c r="AV734" s="2322"/>
      <c r="AW734" s="2322"/>
      <c r="AX734" s="2322"/>
      <c r="AY734" s="2322"/>
      <c r="AZ734" s="2322"/>
      <c r="BA734" s="2322"/>
      <c r="BB734" s="2322"/>
      <c r="BC734" s="2322"/>
      <c r="BD734" s="2322"/>
      <c r="BE734" s="2322"/>
      <c r="BF734" s="2322"/>
      <c r="BG734" s="2322"/>
      <c r="BH734" s="2322"/>
      <c r="BI734" s="2322"/>
      <c r="BJ734" s="2322"/>
      <c r="BK734" s="2322"/>
      <c r="BL734" s="2322"/>
      <c r="BM734" s="2322"/>
      <c r="BN734" s="2322"/>
      <c r="BO734" s="2322"/>
      <c r="BP734" s="2322"/>
      <c r="BQ734" s="2322"/>
      <c r="BR734" s="2322"/>
      <c r="BS734" s="2322"/>
      <c r="BT734" s="2322"/>
      <c r="BU734" s="2322"/>
      <c r="BV734" s="2322"/>
      <c r="BW734" s="2322"/>
      <c r="BX734" s="2322"/>
      <c r="BY734" s="2322"/>
      <c r="BZ734" s="2322"/>
      <c r="CA734" s="2322"/>
      <c r="CB734" s="2322"/>
      <c r="CC734" s="2322"/>
      <c r="CD734" s="2322"/>
      <c r="CE734" s="2322"/>
      <c r="CF734" s="2322"/>
      <c r="CG734" s="2322"/>
      <c r="CH734" s="2322"/>
      <c r="CI734" s="2322"/>
      <c r="CJ734" s="2322"/>
      <c r="CK734" s="2322"/>
      <c r="CL734" s="2322"/>
      <c r="CM734" s="2322"/>
      <c r="CN734" s="2322"/>
      <c r="CO734" s="2322"/>
      <c r="CP734" s="2322"/>
      <c r="CQ734" s="2322"/>
      <c r="CR734" s="2322"/>
      <c r="CS734" s="2322"/>
      <c r="CT734" s="2322"/>
      <c r="CU734" s="2322"/>
      <c r="CV734" s="2322"/>
    </row>
    <row r="735" spans="1:100" ht="15.75" customHeight="1">
      <c r="A735" s="2328"/>
      <c r="B735" s="2322"/>
      <c r="C735" s="2322"/>
      <c r="D735" s="2322"/>
      <c r="E735" s="2322"/>
      <c r="F735" s="2322"/>
      <c r="G735" s="2322"/>
      <c r="H735" s="2322"/>
      <c r="I735" s="2322"/>
      <c r="J735" s="2322"/>
      <c r="K735" s="2322"/>
      <c r="L735" s="2322"/>
      <c r="M735" s="2322"/>
      <c r="N735" s="2322"/>
      <c r="O735" s="2322"/>
      <c r="P735" s="2322"/>
      <c r="Q735" s="2322"/>
      <c r="R735" s="2322"/>
      <c r="S735" s="2322"/>
      <c r="T735" s="2322"/>
      <c r="U735" s="2322"/>
      <c r="V735" s="2322"/>
      <c r="W735" s="2322"/>
      <c r="X735" s="2322"/>
      <c r="Y735" s="2322"/>
      <c r="Z735" s="2322"/>
      <c r="AA735" s="2322"/>
      <c r="AB735" s="2322"/>
      <c r="AC735" s="2322"/>
      <c r="AD735" s="2322"/>
      <c r="AE735" s="2322"/>
      <c r="AF735" s="2322"/>
      <c r="AG735" s="2322"/>
      <c r="AH735" s="2322"/>
      <c r="AI735" s="2322"/>
      <c r="AJ735" s="2322"/>
      <c r="AK735" s="2322"/>
      <c r="AL735" s="2322"/>
      <c r="AM735" s="2322"/>
      <c r="AN735" s="2322"/>
      <c r="AO735" s="2322"/>
      <c r="AP735" s="2322"/>
      <c r="AQ735" s="2322"/>
      <c r="AR735" s="2322"/>
      <c r="AS735" s="2322"/>
      <c r="AT735" s="2322"/>
      <c r="AU735" s="2322"/>
      <c r="AV735" s="2322"/>
      <c r="AW735" s="2322"/>
      <c r="AX735" s="2322"/>
      <c r="AY735" s="2322"/>
      <c r="AZ735" s="2322"/>
      <c r="BA735" s="2322"/>
      <c r="BB735" s="2322"/>
      <c r="BC735" s="2322"/>
      <c r="BD735" s="2322"/>
      <c r="BE735" s="2322"/>
      <c r="BF735" s="2322"/>
      <c r="BG735" s="2322"/>
      <c r="BH735" s="2322"/>
      <c r="BI735" s="2322"/>
      <c r="BJ735" s="2322"/>
      <c r="BK735" s="2322"/>
      <c r="BL735" s="2322"/>
      <c r="BM735" s="2322"/>
      <c r="BN735" s="2322"/>
      <c r="BO735" s="2322"/>
      <c r="BP735" s="2322"/>
      <c r="BQ735" s="2322"/>
      <c r="BR735" s="2322"/>
      <c r="BS735" s="2322"/>
      <c r="BT735" s="2322"/>
      <c r="BU735" s="2322"/>
      <c r="BV735" s="2322"/>
      <c r="BW735" s="2322"/>
      <c r="BX735" s="2322"/>
      <c r="BY735" s="2322"/>
      <c r="BZ735" s="2322"/>
      <c r="CA735" s="2322"/>
      <c r="CB735" s="2322"/>
      <c r="CC735" s="2322"/>
      <c r="CD735" s="2322"/>
      <c r="CE735" s="2322"/>
      <c r="CF735" s="2322"/>
      <c r="CG735" s="2322"/>
      <c r="CH735" s="2322"/>
      <c r="CI735" s="2322"/>
      <c r="CJ735" s="2322"/>
      <c r="CK735" s="2322"/>
      <c r="CL735" s="2322"/>
      <c r="CM735" s="2322"/>
      <c r="CN735" s="2322"/>
      <c r="CO735" s="2322"/>
      <c r="CP735" s="2322"/>
      <c r="CQ735" s="2322"/>
      <c r="CR735" s="2322"/>
      <c r="CS735" s="2322"/>
      <c r="CT735" s="2322"/>
      <c r="CU735" s="2322"/>
      <c r="CV735" s="2322"/>
    </row>
    <row r="736" spans="1:100" ht="15.75" customHeight="1">
      <c r="A736" s="2328"/>
      <c r="B736" s="2322"/>
      <c r="C736" s="2322"/>
      <c r="D736" s="2322"/>
      <c r="E736" s="2322"/>
      <c r="F736" s="2322"/>
      <c r="G736" s="2322"/>
      <c r="H736" s="2322"/>
      <c r="I736" s="2322"/>
      <c r="J736" s="2322"/>
      <c r="K736" s="2322"/>
      <c r="L736" s="2322"/>
      <c r="M736" s="2322"/>
      <c r="N736" s="2322"/>
      <c r="O736" s="2322"/>
      <c r="P736" s="2322"/>
      <c r="Q736" s="2322"/>
      <c r="R736" s="2322"/>
      <c r="S736" s="2322"/>
      <c r="T736" s="2322"/>
      <c r="U736" s="2322"/>
      <c r="V736" s="2322"/>
      <c r="W736" s="2322"/>
      <c r="X736" s="2322"/>
      <c r="Y736" s="2322"/>
      <c r="Z736" s="2322"/>
      <c r="AA736" s="2322"/>
      <c r="AB736" s="2322"/>
      <c r="AC736" s="2322"/>
      <c r="AD736" s="2322"/>
      <c r="AE736" s="2322"/>
      <c r="AF736" s="2322"/>
      <c r="AG736" s="2322"/>
      <c r="AH736" s="2322"/>
      <c r="AI736" s="2322"/>
      <c r="AJ736" s="2322"/>
      <c r="AK736" s="2322"/>
      <c r="AL736" s="2322"/>
      <c r="AM736" s="2322"/>
      <c r="AN736" s="2322"/>
      <c r="AO736" s="2322"/>
      <c r="AP736" s="2322"/>
      <c r="AQ736" s="2322"/>
      <c r="AR736" s="2322"/>
      <c r="AS736" s="2322"/>
      <c r="AT736" s="2322"/>
      <c r="AU736" s="2322"/>
      <c r="AV736" s="2322"/>
      <c r="AW736" s="2322"/>
      <c r="AX736" s="2322"/>
      <c r="AY736" s="2322"/>
      <c r="AZ736" s="2322"/>
      <c r="BA736" s="2322"/>
      <c r="BB736" s="2322"/>
      <c r="BC736" s="2322"/>
      <c r="BD736" s="2322"/>
      <c r="BE736" s="2322"/>
      <c r="BF736" s="2322"/>
      <c r="BG736" s="2322"/>
      <c r="BH736" s="2322"/>
      <c r="BI736" s="2322"/>
      <c r="BJ736" s="2322"/>
      <c r="BK736" s="2322"/>
      <c r="BL736" s="2322"/>
      <c r="BM736" s="2322"/>
      <c r="BN736" s="2322"/>
      <c r="BO736" s="2322"/>
      <c r="BP736" s="2322"/>
      <c r="BQ736" s="2322"/>
      <c r="BR736" s="2322"/>
      <c r="BS736" s="2322"/>
      <c r="BT736" s="2322"/>
      <c r="BU736" s="2322"/>
      <c r="BV736" s="2322"/>
      <c r="BW736" s="2322"/>
      <c r="BX736" s="2322"/>
      <c r="BY736" s="2322"/>
      <c r="BZ736" s="2322"/>
      <c r="CA736" s="2322"/>
      <c r="CB736" s="2322"/>
      <c r="CC736" s="2322"/>
      <c r="CD736" s="2322"/>
      <c r="CE736" s="2322"/>
      <c r="CF736" s="2322"/>
      <c r="CG736" s="2322"/>
      <c r="CH736" s="2322"/>
      <c r="CI736" s="2322"/>
      <c r="CJ736" s="2322"/>
      <c r="CK736" s="2322"/>
      <c r="CL736" s="2322"/>
      <c r="CM736" s="2322"/>
      <c r="CN736" s="2322"/>
      <c r="CO736" s="2322"/>
      <c r="CP736" s="2322"/>
      <c r="CQ736" s="2322"/>
      <c r="CR736" s="2322"/>
      <c r="CS736" s="2322"/>
      <c r="CT736" s="2322"/>
      <c r="CU736" s="2322"/>
      <c r="CV736" s="2322"/>
    </row>
    <row r="737" spans="1:100" ht="15.75" customHeight="1">
      <c r="A737" s="2328"/>
      <c r="B737" s="2322"/>
      <c r="C737" s="2322"/>
      <c r="D737" s="2322"/>
      <c r="E737" s="2322"/>
      <c r="F737" s="2322"/>
      <c r="G737" s="2322"/>
      <c r="H737" s="2322"/>
      <c r="I737" s="2322"/>
      <c r="J737" s="2322"/>
      <c r="K737" s="2322"/>
      <c r="L737" s="2322"/>
      <c r="M737" s="2322"/>
      <c r="N737" s="2322"/>
      <c r="O737" s="2322"/>
      <c r="P737" s="2322"/>
      <c r="Q737" s="2322"/>
      <c r="R737" s="2322"/>
      <c r="S737" s="2322"/>
      <c r="T737" s="2322"/>
      <c r="U737" s="2322"/>
      <c r="V737" s="2322"/>
      <c r="W737" s="2322"/>
      <c r="X737" s="2322"/>
      <c r="Y737" s="2322"/>
      <c r="Z737" s="2322"/>
      <c r="AA737" s="2322"/>
      <c r="AB737" s="2322"/>
      <c r="AC737" s="2322"/>
      <c r="AD737" s="2322"/>
      <c r="AE737" s="2322"/>
      <c r="AF737" s="2322"/>
      <c r="AG737" s="2322"/>
      <c r="AH737" s="2322"/>
      <c r="AI737" s="2322"/>
      <c r="AJ737" s="2322"/>
      <c r="AK737" s="2322"/>
      <c r="AL737" s="2322"/>
      <c r="AM737" s="2322"/>
      <c r="AN737" s="2322"/>
      <c r="AO737" s="2322"/>
      <c r="AP737" s="2322"/>
      <c r="AQ737" s="2322"/>
      <c r="AR737" s="2322"/>
      <c r="AS737" s="2322"/>
      <c r="AT737" s="2322"/>
      <c r="AU737" s="2322"/>
      <c r="AV737" s="2322"/>
      <c r="AW737" s="2322"/>
      <c r="AX737" s="2322"/>
      <c r="AY737" s="2322"/>
      <c r="AZ737" s="2322"/>
      <c r="BA737" s="2322"/>
      <c r="BB737" s="2322"/>
      <c r="BC737" s="2322"/>
      <c r="BD737" s="2322"/>
      <c r="BE737" s="2322"/>
      <c r="BF737" s="2322"/>
      <c r="BG737" s="2322"/>
      <c r="BH737" s="2322"/>
      <c r="BI737" s="2322"/>
      <c r="BJ737" s="2322"/>
      <c r="BK737" s="2322"/>
      <c r="BL737" s="2322"/>
      <c r="BM737" s="2322"/>
      <c r="BN737" s="2322"/>
      <c r="BO737" s="2322"/>
      <c r="BP737" s="2322"/>
      <c r="BQ737" s="2322"/>
      <c r="BR737" s="2322"/>
      <c r="BS737" s="2322"/>
      <c r="BT737" s="2322"/>
      <c r="BU737" s="2322"/>
      <c r="BV737" s="2322"/>
      <c r="BW737" s="2322"/>
      <c r="BX737" s="2322"/>
      <c r="BY737" s="2322"/>
      <c r="BZ737" s="2322"/>
      <c r="CA737" s="2322"/>
      <c r="CB737" s="2322"/>
      <c r="CC737" s="2322"/>
      <c r="CD737" s="2322"/>
      <c r="CE737" s="2322"/>
      <c r="CF737" s="2322"/>
      <c r="CG737" s="2322"/>
      <c r="CH737" s="2322"/>
      <c r="CI737" s="2322"/>
      <c r="CJ737" s="2322"/>
      <c r="CK737" s="2322"/>
      <c r="CL737" s="2322"/>
      <c r="CM737" s="2322"/>
      <c r="CN737" s="2322"/>
      <c r="CO737" s="2322"/>
      <c r="CP737" s="2322"/>
      <c r="CQ737" s="2322"/>
      <c r="CR737" s="2322"/>
      <c r="CS737" s="2322"/>
      <c r="CT737" s="2322"/>
      <c r="CU737" s="2322"/>
      <c r="CV737" s="2322"/>
    </row>
    <row r="738" spans="1:100" ht="15.75" customHeight="1">
      <c r="A738" s="2328"/>
      <c r="B738" s="2322"/>
      <c r="C738" s="2322"/>
      <c r="D738" s="2322"/>
      <c r="E738" s="2322"/>
      <c r="F738" s="2322"/>
      <c r="G738" s="2322"/>
      <c r="H738" s="2322"/>
      <c r="I738" s="2322"/>
      <c r="J738" s="2322"/>
      <c r="K738" s="2322"/>
      <c r="L738" s="2322"/>
      <c r="M738" s="2322"/>
      <c r="N738" s="2322"/>
      <c r="O738" s="2322"/>
      <c r="P738" s="2322"/>
      <c r="Q738" s="2322"/>
      <c r="R738" s="2322"/>
      <c r="S738" s="2322"/>
      <c r="T738" s="2322"/>
      <c r="U738" s="2322"/>
      <c r="V738" s="2322"/>
      <c r="W738" s="2322"/>
      <c r="X738" s="2322"/>
      <c r="Y738" s="2322"/>
      <c r="Z738" s="2322"/>
      <c r="AA738" s="2322"/>
      <c r="AB738" s="2322"/>
      <c r="AC738" s="2322"/>
      <c r="AD738" s="2322"/>
      <c r="AE738" s="2322"/>
      <c r="AF738" s="2322"/>
      <c r="AG738" s="2322"/>
      <c r="AH738" s="2322"/>
      <c r="AI738" s="2322"/>
      <c r="AJ738" s="2322"/>
      <c r="AK738" s="2322"/>
      <c r="AL738" s="2322"/>
      <c r="AM738" s="2322"/>
      <c r="AN738" s="2322"/>
      <c r="AO738" s="2322"/>
      <c r="AP738" s="2322"/>
      <c r="AQ738" s="2322"/>
      <c r="AR738" s="2322"/>
      <c r="AS738" s="2322"/>
      <c r="AT738" s="2322"/>
      <c r="AU738" s="2322"/>
      <c r="AV738" s="2322"/>
      <c r="AW738" s="2322"/>
      <c r="AX738" s="2322"/>
      <c r="AY738" s="2322"/>
      <c r="AZ738" s="2322"/>
      <c r="BA738" s="2322"/>
      <c r="BB738" s="2322"/>
      <c r="BC738" s="2322"/>
      <c r="BD738" s="2322"/>
      <c r="BE738" s="2322"/>
      <c r="BF738" s="2322"/>
      <c r="BG738" s="2322"/>
      <c r="BH738" s="2322"/>
      <c r="BI738" s="2322"/>
      <c r="BJ738" s="2322"/>
      <c r="BK738" s="2322"/>
      <c r="BL738" s="2322"/>
      <c r="BM738" s="2322"/>
      <c r="BN738" s="2322"/>
      <c r="BO738" s="2322"/>
      <c r="BP738" s="2322"/>
      <c r="BQ738" s="2322"/>
      <c r="BR738" s="2322"/>
      <c r="BS738" s="2322"/>
      <c r="BT738" s="2322"/>
      <c r="BU738" s="2322"/>
      <c r="BV738" s="2322"/>
      <c r="BW738" s="2322"/>
      <c r="BX738" s="2322"/>
      <c r="BY738" s="2322"/>
      <c r="BZ738" s="2322"/>
      <c r="CA738" s="2322"/>
      <c r="CB738" s="2322"/>
      <c r="CC738" s="2322"/>
      <c r="CD738" s="2322"/>
      <c r="CE738" s="2322"/>
      <c r="CF738" s="2322"/>
      <c r="CG738" s="2322"/>
      <c r="CH738" s="2322"/>
      <c r="CI738" s="2322"/>
      <c r="CJ738" s="2322"/>
      <c r="CK738" s="2322"/>
      <c r="CL738" s="2322"/>
      <c r="CM738" s="2322"/>
      <c r="CN738" s="2322"/>
      <c r="CO738" s="2322"/>
      <c r="CP738" s="2322"/>
      <c r="CQ738" s="2322"/>
      <c r="CR738" s="2322"/>
      <c r="CS738" s="2322"/>
      <c r="CT738" s="2322"/>
      <c r="CU738" s="2322"/>
      <c r="CV738" s="2322"/>
    </row>
    <row r="739" spans="1:100" ht="15.75" customHeight="1">
      <c r="A739" s="2328"/>
      <c r="B739" s="2322"/>
      <c r="C739" s="2322"/>
      <c r="D739" s="2322"/>
      <c r="E739" s="2322"/>
      <c r="F739" s="2322"/>
      <c r="G739" s="2322"/>
      <c r="H739" s="2322"/>
      <c r="I739" s="2322"/>
      <c r="J739" s="2322"/>
      <c r="K739" s="2322"/>
      <c r="L739" s="2322"/>
      <c r="M739" s="2322"/>
      <c r="N739" s="2322"/>
      <c r="O739" s="2322"/>
      <c r="P739" s="2322"/>
      <c r="Q739" s="2322"/>
      <c r="R739" s="2322"/>
      <c r="S739" s="2322"/>
      <c r="T739" s="2322"/>
      <c r="U739" s="2322"/>
      <c r="V739" s="2322"/>
      <c r="W739" s="2322"/>
      <c r="X739" s="2322"/>
      <c r="Y739" s="2322"/>
      <c r="Z739" s="2322"/>
      <c r="AA739" s="2322"/>
      <c r="AB739" s="2322"/>
      <c r="AC739" s="2322"/>
      <c r="AD739" s="2322"/>
      <c r="AE739" s="2322"/>
      <c r="AF739" s="2322"/>
      <c r="AG739" s="2322"/>
      <c r="AH739" s="2322"/>
      <c r="AI739" s="2322"/>
      <c r="AJ739" s="2322"/>
      <c r="AK739" s="2322"/>
      <c r="AL739" s="2322"/>
      <c r="AM739" s="2322"/>
      <c r="AN739" s="2322"/>
      <c r="AO739" s="2322"/>
      <c r="AP739" s="2322"/>
      <c r="AQ739" s="2322"/>
      <c r="AR739" s="2322"/>
      <c r="AS739" s="2322"/>
      <c r="AT739" s="2322"/>
      <c r="AU739" s="2322"/>
      <c r="AV739" s="2322"/>
      <c r="AW739" s="2322"/>
      <c r="AX739" s="2322"/>
      <c r="AY739" s="2322"/>
      <c r="AZ739" s="2322"/>
      <c r="BA739" s="2322"/>
      <c r="BB739" s="2322"/>
      <c r="BC739" s="2322"/>
      <c r="BD739" s="2322"/>
      <c r="BE739" s="2322"/>
      <c r="BF739" s="2322"/>
      <c r="BG739" s="2322"/>
      <c r="BH739" s="2322"/>
      <c r="BI739" s="2322"/>
      <c r="BJ739" s="2322"/>
      <c r="BK739" s="2322"/>
      <c r="BL739" s="2322"/>
      <c r="BM739" s="2322"/>
      <c r="BN739" s="2322"/>
      <c r="BO739" s="2322"/>
      <c r="BP739" s="2322"/>
      <c r="BQ739" s="2322"/>
      <c r="BR739" s="2322"/>
      <c r="BS739" s="2322"/>
      <c r="BT739" s="2322"/>
      <c r="BU739" s="2322"/>
      <c r="BV739" s="2322"/>
      <c r="BW739" s="2322"/>
      <c r="BX739" s="2322"/>
      <c r="BY739" s="2322"/>
      <c r="BZ739" s="2322"/>
      <c r="CA739" s="2322"/>
      <c r="CB739" s="2322"/>
      <c r="CC739" s="2322"/>
      <c r="CD739" s="2322"/>
      <c r="CE739" s="2322"/>
      <c r="CF739" s="2322"/>
      <c r="CG739" s="2322"/>
      <c r="CH739" s="2322"/>
      <c r="CI739" s="2322"/>
      <c r="CJ739" s="2322"/>
      <c r="CK739" s="2322"/>
      <c r="CL739" s="2322"/>
      <c r="CM739" s="2322"/>
      <c r="CN739" s="2322"/>
      <c r="CO739" s="2322"/>
      <c r="CP739" s="2322"/>
      <c r="CQ739" s="2322"/>
      <c r="CR739" s="2322"/>
      <c r="CS739" s="2322"/>
      <c r="CT739" s="2322"/>
      <c r="CU739" s="2322"/>
      <c r="CV739" s="2322"/>
    </row>
    <row r="740" spans="1:100" ht="15.75" customHeight="1">
      <c r="A740" s="2328"/>
      <c r="B740" s="2322"/>
      <c r="C740" s="2322"/>
      <c r="D740" s="2322"/>
      <c r="E740" s="2322"/>
      <c r="F740" s="2322"/>
      <c r="G740" s="2322"/>
      <c r="H740" s="2322"/>
      <c r="I740" s="2322"/>
      <c r="J740" s="2322"/>
      <c r="K740" s="2322"/>
      <c r="L740" s="2322"/>
      <c r="M740" s="2322"/>
      <c r="N740" s="2322"/>
      <c r="O740" s="2322"/>
      <c r="P740" s="2322"/>
      <c r="Q740" s="2322"/>
      <c r="R740" s="2322"/>
      <c r="S740" s="2322"/>
      <c r="T740" s="2322"/>
      <c r="U740" s="2322"/>
      <c r="V740" s="2322"/>
      <c r="W740" s="2322"/>
      <c r="X740" s="2322"/>
      <c r="Y740" s="2322"/>
      <c r="Z740" s="2322"/>
      <c r="AA740" s="2322"/>
      <c r="AB740" s="2322"/>
      <c r="AC740" s="2322"/>
      <c r="AD740" s="2322"/>
      <c r="AE740" s="2322"/>
      <c r="AF740" s="2322"/>
      <c r="AG740" s="2322"/>
      <c r="AH740" s="2322"/>
      <c r="AI740" s="2322"/>
      <c r="AJ740" s="2322"/>
      <c r="AK740" s="2322"/>
      <c r="AL740" s="2322"/>
      <c r="AM740" s="2322"/>
      <c r="AN740" s="2322"/>
      <c r="AO740" s="2322"/>
      <c r="AP740" s="2322"/>
      <c r="AQ740" s="2322"/>
      <c r="AR740" s="2322"/>
      <c r="AS740" s="2322"/>
      <c r="AT740" s="2322"/>
      <c r="AU740" s="2322"/>
      <c r="AV740" s="2322"/>
      <c r="AW740" s="2322"/>
      <c r="AX740" s="2322"/>
      <c r="AY740" s="2322"/>
      <c r="AZ740" s="2322"/>
      <c r="BA740" s="2322"/>
      <c r="BB740" s="2322"/>
      <c r="BC740" s="2322"/>
      <c r="BD740" s="2322"/>
      <c r="BE740" s="2322"/>
      <c r="BF740" s="2322"/>
      <c r="BG740" s="2322"/>
      <c r="BH740" s="2322"/>
      <c r="BI740" s="2322"/>
      <c r="BJ740" s="2322"/>
      <c r="BK740" s="2322"/>
      <c r="BL740" s="2322"/>
      <c r="BM740" s="2322"/>
      <c r="BN740" s="2322"/>
      <c r="BO740" s="2322"/>
      <c r="BP740" s="2322"/>
      <c r="BQ740" s="2322"/>
      <c r="BR740" s="2322"/>
      <c r="BS740" s="2322"/>
      <c r="BT740" s="2322"/>
      <c r="BU740" s="2322"/>
      <c r="BV740" s="2322"/>
      <c r="BW740" s="2322"/>
      <c r="BX740" s="2322"/>
      <c r="BY740" s="2322"/>
      <c r="BZ740" s="2322"/>
      <c r="CA740" s="2322"/>
      <c r="CB740" s="2322"/>
      <c r="CC740" s="2322"/>
      <c r="CD740" s="2322"/>
      <c r="CE740" s="2322"/>
      <c r="CF740" s="2322"/>
      <c r="CG740" s="2322"/>
      <c r="CH740" s="2322"/>
      <c r="CI740" s="2322"/>
      <c r="CJ740" s="2322"/>
      <c r="CK740" s="2322"/>
      <c r="CL740" s="2322"/>
      <c r="CM740" s="2322"/>
      <c r="CN740" s="2322"/>
      <c r="CO740" s="2322"/>
      <c r="CP740" s="2322"/>
      <c r="CQ740" s="2322"/>
      <c r="CR740" s="2322"/>
      <c r="CS740" s="2322"/>
      <c r="CT740" s="2322"/>
      <c r="CU740" s="2322"/>
      <c r="CV740" s="2322"/>
    </row>
    <row r="741" spans="1:100" ht="15.75" customHeight="1">
      <c r="A741" s="2328"/>
      <c r="B741" s="2322"/>
      <c r="C741" s="2322"/>
      <c r="D741" s="2322"/>
      <c r="E741" s="2322"/>
      <c r="F741" s="2322"/>
      <c r="G741" s="2322"/>
      <c r="H741" s="2322"/>
      <c r="I741" s="2322"/>
      <c r="J741" s="2322"/>
      <c r="K741" s="2322"/>
      <c r="L741" s="2322"/>
      <c r="M741" s="2322"/>
      <c r="N741" s="2322"/>
      <c r="O741" s="2322"/>
      <c r="P741" s="2322"/>
      <c r="Q741" s="2322"/>
      <c r="R741" s="2322"/>
      <c r="S741" s="2322"/>
      <c r="T741" s="2322"/>
      <c r="U741" s="2322"/>
      <c r="V741" s="2322"/>
      <c r="W741" s="2322"/>
      <c r="X741" s="2322"/>
      <c r="Y741" s="2322"/>
      <c r="Z741" s="2322"/>
      <c r="AA741" s="2322"/>
      <c r="AB741" s="2322"/>
      <c r="AC741" s="2322"/>
      <c r="AD741" s="2322"/>
      <c r="AE741" s="2322"/>
      <c r="AF741" s="2322"/>
      <c r="AG741" s="2322"/>
      <c r="AH741" s="2322"/>
      <c r="AI741" s="2322"/>
      <c r="AJ741" s="2322"/>
      <c r="AK741" s="2322"/>
      <c r="AL741" s="2322"/>
      <c r="AM741" s="2322"/>
      <c r="AN741" s="2322"/>
      <c r="AO741" s="2322"/>
      <c r="AP741" s="2322"/>
      <c r="AQ741" s="2322"/>
      <c r="AR741" s="2322"/>
      <c r="AS741" s="2322"/>
      <c r="AT741" s="2322"/>
      <c r="AU741" s="2322"/>
      <c r="AV741" s="2322"/>
      <c r="AW741" s="2322"/>
      <c r="AX741" s="2322"/>
      <c r="AY741" s="2322"/>
      <c r="AZ741" s="2322"/>
      <c r="BA741" s="2322"/>
      <c r="BB741" s="2322"/>
      <c r="BC741" s="2322"/>
      <c r="BD741" s="2322"/>
      <c r="BE741" s="2322"/>
      <c r="BF741" s="2322"/>
      <c r="BG741" s="2322"/>
      <c r="BH741" s="2322"/>
      <c r="BI741" s="2322"/>
      <c r="BJ741" s="2322"/>
      <c r="BK741" s="2322"/>
      <c r="BL741" s="2322"/>
      <c r="BM741" s="2322"/>
      <c r="BN741" s="2322"/>
      <c r="BO741" s="2322"/>
      <c r="BP741" s="2322"/>
      <c r="BQ741" s="2322"/>
      <c r="BR741" s="2322"/>
      <c r="BS741" s="2322"/>
      <c r="BT741" s="2322"/>
      <c r="BU741" s="2322"/>
      <c r="BV741" s="2322"/>
      <c r="BW741" s="2322"/>
      <c r="BX741" s="2322"/>
      <c r="BY741" s="2322"/>
      <c r="BZ741" s="2322"/>
      <c r="CA741" s="2322"/>
      <c r="CB741" s="2322"/>
      <c r="CC741" s="2322"/>
      <c r="CD741" s="2322"/>
      <c r="CE741" s="2322"/>
      <c r="CF741" s="2322"/>
      <c r="CG741" s="2322"/>
      <c r="CH741" s="2322"/>
      <c r="CI741" s="2322"/>
      <c r="CJ741" s="2322"/>
      <c r="CK741" s="2322"/>
      <c r="CL741" s="2322"/>
      <c r="CM741" s="2322"/>
      <c r="CN741" s="2322"/>
      <c r="CO741" s="2322"/>
      <c r="CP741" s="2322"/>
      <c r="CQ741" s="2322"/>
      <c r="CR741" s="2322"/>
      <c r="CS741" s="2322"/>
      <c r="CT741" s="2322"/>
      <c r="CU741" s="2322"/>
      <c r="CV741" s="2322"/>
    </row>
    <row r="742" spans="1:100" ht="15.75" customHeight="1">
      <c r="A742" s="2328"/>
      <c r="B742" s="2322"/>
      <c r="C742" s="2322"/>
      <c r="D742" s="2322"/>
      <c r="E742" s="2322"/>
      <c r="F742" s="2322"/>
      <c r="G742" s="2322"/>
      <c r="H742" s="2322"/>
      <c r="I742" s="2322"/>
      <c r="J742" s="2322"/>
      <c r="K742" s="2322"/>
      <c r="L742" s="2322"/>
      <c r="M742" s="2322"/>
      <c r="N742" s="2322"/>
      <c r="O742" s="2322"/>
      <c r="P742" s="2322"/>
      <c r="Q742" s="2322"/>
      <c r="R742" s="2322"/>
      <c r="S742" s="2322"/>
      <c r="T742" s="2322"/>
      <c r="U742" s="2322"/>
      <c r="V742" s="2322"/>
      <c r="W742" s="2322"/>
      <c r="X742" s="2322"/>
      <c r="Y742" s="2322"/>
      <c r="Z742" s="2322"/>
      <c r="AA742" s="2322"/>
      <c r="AB742" s="2322"/>
      <c r="AC742" s="2322"/>
      <c r="AD742" s="2322"/>
      <c r="AE742" s="2322"/>
      <c r="AF742" s="2322"/>
      <c r="AG742" s="2322"/>
      <c r="AH742" s="2322"/>
      <c r="AI742" s="2322"/>
      <c r="AJ742" s="2322"/>
      <c r="AK742" s="2322"/>
      <c r="AL742" s="2322"/>
      <c r="AM742" s="2322"/>
      <c r="AN742" s="2322"/>
      <c r="AO742" s="2322"/>
      <c r="AP742" s="2322"/>
      <c r="AQ742" s="2322"/>
      <c r="AR742" s="2322"/>
      <c r="AS742" s="2322"/>
      <c r="AT742" s="2322"/>
      <c r="AU742" s="2322"/>
      <c r="AV742" s="2322"/>
      <c r="AW742" s="2322"/>
      <c r="AX742" s="2322"/>
      <c r="AY742" s="2322"/>
      <c r="AZ742" s="2322"/>
      <c r="BA742" s="2322"/>
      <c r="BB742" s="2322"/>
      <c r="BC742" s="2322"/>
      <c r="BD742" s="2322"/>
      <c r="BE742" s="2322"/>
      <c r="BF742" s="2322"/>
      <c r="BG742" s="2322"/>
      <c r="BH742" s="2322"/>
      <c r="BI742" s="2322"/>
      <c r="BJ742" s="2322"/>
      <c r="BK742" s="2322"/>
      <c r="BL742" s="2322"/>
      <c r="BM742" s="2322"/>
      <c r="BN742" s="2322"/>
      <c r="BO742" s="2322"/>
      <c r="BP742" s="2322"/>
      <c r="BQ742" s="2322"/>
      <c r="BR742" s="2322"/>
      <c r="BS742" s="2322"/>
      <c r="BT742" s="2322"/>
      <c r="BU742" s="2322"/>
      <c r="BV742" s="2322"/>
      <c r="BW742" s="2322"/>
      <c r="BX742" s="2322"/>
      <c r="BY742" s="2322"/>
      <c r="BZ742" s="2322"/>
      <c r="CA742" s="2322"/>
      <c r="CB742" s="2322"/>
      <c r="CC742" s="2322"/>
      <c r="CD742" s="2322"/>
      <c r="CE742" s="2322"/>
      <c r="CF742" s="2322"/>
      <c r="CG742" s="2322"/>
      <c r="CH742" s="2322"/>
      <c r="CI742" s="2322"/>
      <c r="CJ742" s="2322"/>
      <c r="CK742" s="2322"/>
      <c r="CL742" s="2322"/>
      <c r="CM742" s="2322"/>
      <c r="CN742" s="2322"/>
      <c r="CO742" s="2322"/>
      <c r="CP742" s="2322"/>
      <c r="CQ742" s="2322"/>
      <c r="CR742" s="2322"/>
      <c r="CS742" s="2322"/>
      <c r="CT742" s="2322"/>
      <c r="CU742" s="2322"/>
      <c r="CV742" s="2322"/>
    </row>
    <row r="743" spans="1:100" ht="15.75" customHeight="1">
      <c r="A743" s="2328"/>
      <c r="B743" s="2322"/>
      <c r="C743" s="2322"/>
      <c r="D743" s="2322"/>
      <c r="E743" s="2322"/>
      <c r="F743" s="2322"/>
      <c r="G743" s="2322"/>
      <c r="H743" s="2322"/>
      <c r="I743" s="2322"/>
      <c r="J743" s="2322"/>
      <c r="K743" s="2322"/>
      <c r="L743" s="2322"/>
      <c r="M743" s="2322"/>
      <c r="N743" s="2322"/>
      <c r="O743" s="2322"/>
      <c r="P743" s="2322"/>
      <c r="Q743" s="2322"/>
      <c r="R743" s="2322"/>
      <c r="S743" s="2322"/>
      <c r="T743" s="2322"/>
      <c r="U743" s="2322"/>
      <c r="V743" s="2322"/>
      <c r="W743" s="2322"/>
      <c r="X743" s="2322"/>
      <c r="Y743" s="2322"/>
      <c r="Z743" s="2322"/>
      <c r="AA743" s="2322"/>
      <c r="AB743" s="2322"/>
      <c r="AC743" s="2322"/>
      <c r="AD743" s="2322"/>
      <c r="AE743" s="2322"/>
      <c r="AF743" s="2322"/>
      <c r="AG743" s="2322"/>
      <c r="AH743" s="2322"/>
      <c r="AI743" s="2322"/>
      <c r="AJ743" s="2322"/>
      <c r="AK743" s="2322"/>
      <c r="AL743" s="2322"/>
      <c r="AM743" s="2322"/>
      <c r="AN743" s="2322"/>
      <c r="AO743" s="2322"/>
      <c r="AP743" s="2322"/>
      <c r="AQ743" s="2322"/>
      <c r="AR743" s="2322"/>
      <c r="AS743" s="2322"/>
      <c r="AT743" s="2322"/>
      <c r="AU743" s="2322"/>
      <c r="AV743" s="2322"/>
      <c r="AW743" s="2322"/>
      <c r="AX743" s="2322"/>
      <c r="AY743" s="2322"/>
      <c r="AZ743" s="2322"/>
      <c r="BA743" s="2322"/>
      <c r="BB743" s="2322"/>
      <c r="BC743" s="2322"/>
      <c r="BD743" s="2322"/>
      <c r="BE743" s="2322"/>
      <c r="BF743" s="2322"/>
      <c r="BG743" s="2322"/>
      <c r="BH743" s="2322"/>
      <c r="BI743" s="2322"/>
      <c r="BJ743" s="2322"/>
      <c r="BK743" s="2322"/>
      <c r="BL743" s="2322"/>
      <c r="BM743" s="2322"/>
      <c r="BN743" s="2322"/>
      <c r="BO743" s="2322"/>
      <c r="BP743" s="2322"/>
      <c r="BQ743" s="2322"/>
      <c r="BR743" s="2322"/>
      <c r="BS743" s="2322"/>
      <c r="BT743" s="2322"/>
      <c r="BU743" s="2322"/>
      <c r="BV743" s="2322"/>
      <c r="BW743" s="2322"/>
      <c r="BX743" s="2322"/>
      <c r="BY743" s="2322"/>
      <c r="BZ743" s="2322"/>
      <c r="CA743" s="2322"/>
      <c r="CB743" s="2322"/>
      <c r="CC743" s="2322"/>
      <c r="CD743" s="2322"/>
      <c r="CE743" s="2322"/>
      <c r="CF743" s="2322"/>
      <c r="CG743" s="2322"/>
      <c r="CH743" s="2322"/>
      <c r="CI743" s="2322"/>
      <c r="CJ743" s="2322"/>
      <c r="CK743" s="2322"/>
      <c r="CL743" s="2322"/>
      <c r="CM743" s="2322"/>
      <c r="CN743" s="2322"/>
      <c r="CO743" s="2322"/>
      <c r="CP743" s="2322"/>
      <c r="CQ743" s="2322"/>
      <c r="CR743" s="2322"/>
      <c r="CS743" s="2322"/>
      <c r="CT743" s="2322"/>
      <c r="CU743" s="2322"/>
      <c r="CV743" s="2322"/>
    </row>
    <row r="744" spans="1:100" ht="15.75" customHeight="1">
      <c r="A744" s="2328"/>
      <c r="B744" s="2322"/>
      <c r="C744" s="2322"/>
      <c r="D744" s="2322"/>
      <c r="E744" s="2322"/>
      <c r="F744" s="2322"/>
      <c r="G744" s="2322"/>
      <c r="H744" s="2322"/>
      <c r="I744" s="2322"/>
      <c r="J744" s="2322"/>
      <c r="K744" s="2322"/>
      <c r="L744" s="2322"/>
      <c r="M744" s="2322"/>
      <c r="N744" s="2322"/>
      <c r="O744" s="2322"/>
      <c r="P744" s="2322"/>
      <c r="Q744" s="2322"/>
      <c r="R744" s="2322"/>
      <c r="S744" s="2322"/>
      <c r="T744" s="2322"/>
      <c r="U744" s="2322"/>
      <c r="V744" s="2322"/>
      <c r="W744" s="2322"/>
      <c r="X744" s="2322"/>
      <c r="Y744" s="2322"/>
      <c r="Z744" s="2322"/>
      <c r="AA744" s="2322"/>
      <c r="AB744" s="2322"/>
      <c r="AC744" s="2322"/>
      <c r="AD744" s="2322"/>
      <c r="AE744" s="2322"/>
      <c r="AF744" s="2322"/>
      <c r="AG744" s="2322"/>
      <c r="AH744" s="2322"/>
      <c r="AI744" s="2322"/>
      <c r="AJ744" s="2322"/>
      <c r="AK744" s="2322"/>
      <c r="AL744" s="2322"/>
      <c r="AM744" s="2322"/>
      <c r="AN744" s="2322"/>
      <c r="AO744" s="2322"/>
      <c r="AP744" s="2322"/>
      <c r="AQ744" s="2322"/>
      <c r="AR744" s="2322"/>
      <c r="AS744" s="2322"/>
      <c r="AT744" s="2322"/>
      <c r="AU744" s="2322"/>
      <c r="AV744" s="2322"/>
      <c r="AW744" s="2322"/>
      <c r="AX744" s="2322"/>
      <c r="AY744" s="2322"/>
      <c r="AZ744" s="2322"/>
      <c r="BA744" s="2322"/>
      <c r="BB744" s="2322"/>
      <c r="BC744" s="2322"/>
      <c r="BD744" s="2322"/>
      <c r="BE744" s="2322"/>
      <c r="BF744" s="2322"/>
      <c r="BG744" s="2322"/>
      <c r="BH744" s="2322"/>
      <c r="BI744" s="2322"/>
      <c r="BJ744" s="2322"/>
      <c r="BK744" s="2322"/>
      <c r="BL744" s="2322"/>
      <c r="BM744" s="2322"/>
      <c r="BN744" s="2322"/>
      <c r="BO744" s="2322"/>
      <c r="BP744" s="2322"/>
      <c r="BQ744" s="2322"/>
      <c r="BR744" s="2322"/>
      <c r="BS744" s="2322"/>
      <c r="BT744" s="2322"/>
      <c r="BU744" s="2322"/>
      <c r="BV744" s="2322"/>
      <c r="BW744" s="2322"/>
      <c r="BX744" s="2322"/>
      <c r="BY744" s="2322"/>
      <c r="BZ744" s="2322"/>
      <c r="CA744" s="2322"/>
      <c r="CB744" s="2322"/>
      <c r="CC744" s="2322"/>
      <c r="CD744" s="2322"/>
      <c r="CE744" s="2322"/>
      <c r="CF744" s="2322"/>
      <c r="CG744" s="2322"/>
      <c r="CH744" s="2322"/>
      <c r="CI744" s="2322"/>
      <c r="CJ744" s="2322"/>
      <c r="CK744" s="2322"/>
      <c r="CL744" s="2322"/>
      <c r="CM744" s="2322"/>
      <c r="CN744" s="2322"/>
      <c r="CO744" s="2322"/>
      <c r="CP744" s="2322"/>
      <c r="CQ744" s="2322"/>
      <c r="CR744" s="2322"/>
      <c r="CS744" s="2322"/>
      <c r="CT744" s="2322"/>
      <c r="CU744" s="2322"/>
      <c r="CV744" s="2322"/>
    </row>
    <row r="745" spans="1:100" ht="15.75" customHeight="1">
      <c r="A745" s="2328"/>
      <c r="B745" s="2322"/>
      <c r="C745" s="2322"/>
      <c r="D745" s="2322"/>
      <c r="E745" s="2322"/>
      <c r="F745" s="2322"/>
      <c r="G745" s="2322"/>
      <c r="H745" s="2322"/>
      <c r="I745" s="2322"/>
      <c r="J745" s="2322"/>
      <c r="K745" s="2322"/>
      <c r="L745" s="2322"/>
      <c r="M745" s="2322"/>
      <c r="N745" s="2322"/>
      <c r="O745" s="2322"/>
      <c r="P745" s="2322"/>
      <c r="Q745" s="2322"/>
      <c r="R745" s="2322"/>
      <c r="S745" s="2322"/>
      <c r="T745" s="2322"/>
      <c r="U745" s="2322"/>
      <c r="V745" s="2322"/>
      <c r="W745" s="2322"/>
      <c r="X745" s="2322"/>
      <c r="Y745" s="2322"/>
      <c r="Z745" s="2322"/>
      <c r="AA745" s="2322"/>
      <c r="AB745" s="2322"/>
      <c r="AC745" s="2322"/>
      <c r="AD745" s="2322"/>
      <c r="AE745" s="2322"/>
      <c r="AF745" s="2322"/>
      <c r="AG745" s="2322"/>
      <c r="AH745" s="2322"/>
      <c r="AI745" s="2322"/>
      <c r="AJ745" s="2322"/>
      <c r="AK745" s="2322"/>
      <c r="AL745" s="2322"/>
      <c r="AM745" s="2322"/>
      <c r="AN745" s="2322"/>
      <c r="AO745" s="2322"/>
      <c r="AP745" s="2322"/>
      <c r="AQ745" s="2322"/>
      <c r="AR745" s="2322"/>
      <c r="AS745" s="2322"/>
      <c r="AT745" s="2322"/>
      <c r="AU745" s="2322"/>
      <c r="AV745" s="2322"/>
      <c r="AW745" s="2322"/>
      <c r="AX745" s="2322"/>
      <c r="AY745" s="2322"/>
      <c r="AZ745" s="2322"/>
      <c r="BA745" s="2322"/>
      <c r="BB745" s="2322"/>
      <c r="BC745" s="2322"/>
      <c r="BD745" s="2322"/>
      <c r="BE745" s="2322"/>
      <c r="BF745" s="2322"/>
      <c r="BG745" s="2322"/>
      <c r="BH745" s="2322"/>
      <c r="BI745" s="2322"/>
      <c r="BJ745" s="2322"/>
      <c r="BK745" s="2322"/>
      <c r="BL745" s="2322"/>
      <c r="BM745" s="2322"/>
      <c r="BN745" s="2322"/>
      <c r="BO745" s="2322"/>
      <c r="BP745" s="2322"/>
      <c r="BQ745" s="2322"/>
      <c r="BR745" s="2322"/>
      <c r="BS745" s="2322"/>
      <c r="BT745" s="2322"/>
      <c r="BU745" s="2322"/>
      <c r="BV745" s="2322"/>
      <c r="BW745" s="2322"/>
      <c r="BX745" s="2322"/>
      <c r="BY745" s="2322"/>
      <c r="BZ745" s="2322"/>
      <c r="CA745" s="2322"/>
      <c r="CB745" s="2322"/>
      <c r="CC745" s="2322"/>
      <c r="CD745" s="2322"/>
      <c r="CE745" s="2322"/>
      <c r="CF745" s="2322"/>
      <c r="CG745" s="2322"/>
      <c r="CH745" s="2322"/>
      <c r="CI745" s="2322"/>
      <c r="CJ745" s="2322"/>
      <c r="CK745" s="2322"/>
      <c r="CL745" s="2322"/>
      <c r="CM745" s="2322"/>
      <c r="CN745" s="2322"/>
      <c r="CO745" s="2322"/>
      <c r="CP745" s="2322"/>
      <c r="CQ745" s="2322"/>
      <c r="CR745" s="2322"/>
      <c r="CS745" s="2322"/>
      <c r="CT745" s="2322"/>
      <c r="CU745" s="2322"/>
      <c r="CV745" s="2322"/>
    </row>
    <row r="746" spans="1:100" ht="15.75" customHeight="1">
      <c r="A746" s="2328"/>
      <c r="B746" s="2322"/>
      <c r="C746" s="2322"/>
      <c r="D746" s="2322"/>
      <c r="E746" s="2322"/>
      <c r="F746" s="2322"/>
      <c r="G746" s="2322"/>
      <c r="H746" s="2322"/>
      <c r="I746" s="2322"/>
      <c r="J746" s="2322"/>
      <c r="K746" s="2322"/>
      <c r="L746" s="2322"/>
      <c r="M746" s="2322"/>
      <c r="N746" s="2322"/>
      <c r="O746" s="2322"/>
      <c r="P746" s="2322"/>
      <c r="Q746" s="2322"/>
      <c r="R746" s="2322"/>
      <c r="S746" s="2322"/>
      <c r="T746" s="2322"/>
      <c r="U746" s="2322"/>
      <c r="V746" s="2322"/>
      <c r="W746" s="2322"/>
      <c r="X746" s="2322"/>
      <c r="Y746" s="2322"/>
      <c r="Z746" s="2322"/>
      <c r="AA746" s="2322"/>
      <c r="AB746" s="2322"/>
      <c r="AC746" s="2322"/>
      <c r="AD746" s="2322"/>
      <c r="AE746" s="2322"/>
      <c r="AF746" s="2322"/>
      <c r="AG746" s="2322"/>
      <c r="AH746" s="2322"/>
      <c r="AI746" s="2322"/>
      <c r="AJ746" s="2322"/>
      <c r="AK746" s="2322"/>
      <c r="AL746" s="2322"/>
      <c r="AM746" s="2322"/>
      <c r="AN746" s="2322"/>
      <c r="AO746" s="2322"/>
      <c r="AP746" s="2322"/>
      <c r="AQ746" s="2322"/>
      <c r="AR746" s="2322"/>
      <c r="AS746" s="2322"/>
      <c r="AT746" s="2322"/>
      <c r="AU746" s="2322"/>
      <c r="AV746" s="2322"/>
      <c r="AW746" s="2322"/>
      <c r="AX746" s="2322"/>
      <c r="AY746" s="2322"/>
      <c r="AZ746" s="2322"/>
      <c r="BA746" s="2322"/>
      <c r="BB746" s="2322"/>
      <c r="BC746" s="2322"/>
      <c r="BD746" s="2322"/>
      <c r="BE746" s="2322"/>
      <c r="BF746" s="2322"/>
      <c r="BG746" s="2322"/>
      <c r="BH746" s="2322"/>
      <c r="BI746" s="2322"/>
      <c r="BJ746" s="2322"/>
      <c r="BK746" s="2322"/>
      <c r="BL746" s="2322"/>
      <c r="BM746" s="2322"/>
      <c r="BN746" s="2322"/>
      <c r="BO746" s="2322"/>
      <c r="BP746" s="2322"/>
      <c r="BQ746" s="2322"/>
      <c r="BR746" s="2322"/>
      <c r="BS746" s="2322"/>
      <c r="BT746" s="2322"/>
      <c r="BU746" s="2322"/>
      <c r="BV746" s="2322"/>
      <c r="BW746" s="2322"/>
      <c r="BX746" s="2322"/>
      <c r="BY746" s="2322"/>
      <c r="BZ746" s="2322"/>
      <c r="CA746" s="2322"/>
      <c r="CB746" s="2322"/>
      <c r="CC746" s="2322"/>
      <c r="CD746" s="2322"/>
      <c r="CE746" s="2322"/>
      <c r="CF746" s="2322"/>
      <c r="CG746" s="2322"/>
      <c r="CH746" s="2322"/>
      <c r="CI746" s="2322"/>
      <c r="CJ746" s="2322"/>
      <c r="CK746" s="2322"/>
      <c r="CL746" s="2322"/>
      <c r="CM746" s="2322"/>
      <c r="CN746" s="2322"/>
      <c r="CO746" s="2322"/>
      <c r="CP746" s="2322"/>
      <c r="CQ746" s="2322"/>
      <c r="CR746" s="2322"/>
      <c r="CS746" s="2322"/>
      <c r="CT746" s="2322"/>
      <c r="CU746" s="2322"/>
      <c r="CV746" s="2322"/>
    </row>
    <row r="747" spans="1:100" ht="15.75" customHeight="1">
      <c r="A747" s="2328"/>
      <c r="B747" s="2322"/>
      <c r="C747" s="2322"/>
      <c r="D747" s="2322"/>
      <c r="E747" s="2322"/>
      <c r="F747" s="2322"/>
      <c r="G747" s="2322"/>
      <c r="H747" s="2322"/>
      <c r="I747" s="2322"/>
      <c r="J747" s="2322"/>
      <c r="K747" s="2322"/>
      <c r="L747" s="2322"/>
      <c r="M747" s="2322"/>
      <c r="N747" s="2322"/>
      <c r="O747" s="2322"/>
      <c r="P747" s="2322"/>
      <c r="Q747" s="2322"/>
      <c r="R747" s="2322"/>
      <c r="S747" s="2322"/>
      <c r="T747" s="2322"/>
      <c r="U747" s="2322"/>
      <c r="V747" s="2322"/>
      <c r="W747" s="2322"/>
      <c r="X747" s="2322"/>
      <c r="Y747" s="2322"/>
      <c r="Z747" s="2322"/>
      <c r="AA747" s="2322"/>
      <c r="AB747" s="2322"/>
      <c r="AC747" s="2322"/>
      <c r="AD747" s="2322"/>
      <c r="AE747" s="2322"/>
      <c r="AF747" s="2322"/>
      <c r="AG747" s="2322"/>
      <c r="AH747" s="2322"/>
      <c r="AI747" s="2322"/>
      <c r="AJ747" s="2322"/>
      <c r="AK747" s="2322"/>
      <c r="AL747" s="2322"/>
      <c r="AM747" s="2322"/>
      <c r="AN747" s="2322"/>
      <c r="AO747" s="2322"/>
      <c r="AP747" s="2322"/>
      <c r="AQ747" s="2322"/>
      <c r="AR747" s="2322"/>
      <c r="AS747" s="2322"/>
      <c r="AT747" s="2322"/>
      <c r="AU747" s="2322"/>
      <c r="AV747" s="2322"/>
      <c r="AW747" s="2322"/>
      <c r="AX747" s="2322"/>
      <c r="AY747" s="2322"/>
      <c r="AZ747" s="2322"/>
      <c r="BA747" s="2322"/>
      <c r="BB747" s="2322"/>
      <c r="BC747" s="2322"/>
      <c r="BD747" s="2322"/>
      <c r="BE747" s="2322"/>
      <c r="BF747" s="2322"/>
      <c r="BG747" s="2322"/>
      <c r="BH747" s="2322"/>
      <c r="BI747" s="2322"/>
      <c r="BJ747" s="2322"/>
      <c r="BK747" s="2322"/>
      <c r="BL747" s="2322"/>
      <c r="BM747" s="2322"/>
      <c r="BN747" s="2322"/>
      <c r="BO747" s="2322"/>
      <c r="BP747" s="2322"/>
      <c r="BQ747" s="2322"/>
      <c r="BR747" s="2322"/>
      <c r="BS747" s="2322"/>
      <c r="BT747" s="2322"/>
      <c r="BU747" s="2322"/>
      <c r="BV747" s="2322"/>
      <c r="BW747" s="2322"/>
      <c r="BX747" s="2322"/>
      <c r="BY747" s="2322"/>
      <c r="BZ747" s="2322"/>
      <c r="CA747" s="2322"/>
      <c r="CB747" s="2322"/>
      <c r="CC747" s="2322"/>
      <c r="CD747" s="2322"/>
      <c r="CE747" s="2322"/>
      <c r="CF747" s="2322"/>
      <c r="CG747" s="2322"/>
      <c r="CH747" s="2322"/>
      <c r="CI747" s="2322"/>
      <c r="CJ747" s="2322"/>
      <c r="CK747" s="2322"/>
      <c r="CL747" s="2322"/>
      <c r="CM747" s="2322"/>
      <c r="CN747" s="2322"/>
      <c r="CO747" s="2322"/>
      <c r="CP747" s="2322"/>
      <c r="CQ747" s="2322"/>
      <c r="CR747" s="2322"/>
      <c r="CS747" s="2322"/>
      <c r="CT747" s="2322"/>
      <c r="CU747" s="2322"/>
      <c r="CV747" s="2322"/>
    </row>
    <row r="748" spans="1:100" ht="15.75" customHeight="1">
      <c r="A748" s="2328"/>
      <c r="B748" s="2322"/>
      <c r="C748" s="2322"/>
      <c r="D748" s="2322"/>
      <c r="E748" s="2322"/>
      <c r="F748" s="2322"/>
      <c r="G748" s="2322"/>
      <c r="H748" s="2322"/>
      <c r="I748" s="2322"/>
      <c r="J748" s="2322"/>
      <c r="K748" s="2322"/>
      <c r="L748" s="2322"/>
      <c r="M748" s="2322"/>
      <c r="N748" s="2322"/>
      <c r="O748" s="2322"/>
      <c r="P748" s="2322"/>
      <c r="Q748" s="2322"/>
      <c r="R748" s="2322"/>
      <c r="S748" s="2322"/>
      <c r="T748" s="2322"/>
      <c r="U748" s="2322"/>
      <c r="V748" s="2322"/>
      <c r="W748" s="2322"/>
      <c r="X748" s="2322"/>
      <c r="Y748" s="2322"/>
      <c r="Z748" s="2322"/>
      <c r="AA748" s="2322"/>
      <c r="AB748" s="2322"/>
      <c r="AC748" s="2322"/>
      <c r="AD748" s="2322"/>
      <c r="AE748" s="2322"/>
      <c r="AF748" s="2322"/>
      <c r="AG748" s="2322"/>
      <c r="AH748" s="2322"/>
      <c r="AI748" s="2322"/>
      <c r="AJ748" s="2322"/>
      <c r="AK748" s="2322"/>
      <c r="AL748" s="2322"/>
      <c r="AM748" s="2322"/>
      <c r="AN748" s="2322"/>
      <c r="AO748" s="2322"/>
      <c r="AP748" s="2322"/>
      <c r="AQ748" s="2322"/>
      <c r="AR748" s="2322"/>
      <c r="AS748" s="2322"/>
      <c r="AT748" s="2322"/>
      <c r="AU748" s="2322"/>
      <c r="AV748" s="2322"/>
      <c r="AW748" s="2322"/>
      <c r="AX748" s="2322"/>
      <c r="AY748" s="2322"/>
      <c r="AZ748" s="2322"/>
      <c r="BA748" s="2322"/>
      <c r="BB748" s="2322"/>
      <c r="BC748" s="2322"/>
      <c r="BD748" s="2322"/>
      <c r="BE748" s="2322"/>
      <c r="BF748" s="2322"/>
      <c r="BG748" s="2322"/>
      <c r="BH748" s="2322"/>
      <c r="BI748" s="2322"/>
      <c r="BJ748" s="2322"/>
      <c r="BK748" s="2322"/>
      <c r="BL748" s="2322"/>
      <c r="BM748" s="2322"/>
      <c r="BN748" s="2322"/>
      <c r="BO748" s="2322"/>
      <c r="BP748" s="2322"/>
      <c r="BQ748" s="2322"/>
      <c r="BR748" s="2322"/>
      <c r="BS748" s="2322"/>
      <c r="BT748" s="2322"/>
      <c r="BU748" s="2322"/>
      <c r="BV748" s="2322"/>
      <c r="BW748" s="2322"/>
      <c r="BX748" s="2322"/>
      <c r="BY748" s="2322"/>
      <c r="BZ748" s="2322"/>
      <c r="CA748" s="2322"/>
      <c r="CB748" s="2322"/>
      <c r="CC748" s="2322"/>
      <c r="CD748" s="2322"/>
      <c r="CE748" s="2322"/>
      <c r="CF748" s="2322"/>
      <c r="CG748" s="2322"/>
      <c r="CH748" s="2322"/>
      <c r="CI748" s="2322"/>
      <c r="CJ748" s="2322"/>
      <c r="CK748" s="2322"/>
      <c r="CL748" s="2322"/>
      <c r="CM748" s="2322"/>
      <c r="CN748" s="2322"/>
      <c r="CO748" s="2322"/>
      <c r="CP748" s="2322"/>
      <c r="CQ748" s="2322"/>
      <c r="CR748" s="2322"/>
      <c r="CS748" s="2322"/>
      <c r="CT748" s="2322"/>
      <c r="CU748" s="2322"/>
      <c r="CV748" s="2322"/>
    </row>
    <row r="749" spans="1:100" ht="15.75" customHeight="1">
      <c r="A749" s="2328"/>
      <c r="B749" s="2322"/>
      <c r="C749" s="2322"/>
      <c r="D749" s="2322"/>
      <c r="E749" s="2322"/>
      <c r="F749" s="2322"/>
      <c r="G749" s="2322"/>
      <c r="H749" s="2322"/>
      <c r="I749" s="2322"/>
      <c r="J749" s="2322"/>
      <c r="K749" s="2322"/>
      <c r="L749" s="2322"/>
      <c r="M749" s="2322"/>
      <c r="N749" s="2322"/>
      <c r="O749" s="2322"/>
      <c r="P749" s="2322"/>
      <c r="Q749" s="2322"/>
      <c r="R749" s="2322"/>
      <c r="S749" s="2322"/>
      <c r="T749" s="2322"/>
      <c r="U749" s="2322"/>
      <c r="V749" s="2322"/>
      <c r="W749" s="2322"/>
      <c r="X749" s="2322"/>
      <c r="Y749" s="2322"/>
      <c r="Z749" s="2322"/>
      <c r="AA749" s="2322"/>
      <c r="AB749" s="2322"/>
      <c r="AC749" s="2322"/>
      <c r="AD749" s="2322"/>
      <c r="AE749" s="2322"/>
      <c r="AF749" s="2322"/>
      <c r="AG749" s="2322"/>
      <c r="AH749" s="2322"/>
      <c r="AI749" s="2322"/>
      <c r="AJ749" s="2322"/>
      <c r="AK749" s="2322"/>
      <c r="AL749" s="2322"/>
      <c r="AM749" s="2322"/>
      <c r="AN749" s="2322"/>
      <c r="AO749" s="2322"/>
      <c r="AP749" s="2322"/>
      <c r="AQ749" s="2322"/>
      <c r="AR749" s="2322"/>
      <c r="AS749" s="2322"/>
      <c r="AT749" s="2322"/>
      <c r="AU749" s="2322"/>
      <c r="AV749" s="2322"/>
      <c r="AW749" s="2322"/>
      <c r="AX749" s="2322"/>
      <c r="AY749" s="2322"/>
      <c r="AZ749" s="2322"/>
      <c r="BA749" s="2322"/>
      <c r="BB749" s="2322"/>
      <c r="BC749" s="2322"/>
      <c r="BD749" s="2322"/>
      <c r="BE749" s="2322"/>
      <c r="BF749" s="2322"/>
      <c r="BG749" s="2322"/>
      <c r="BH749" s="2322"/>
      <c r="BI749" s="2322"/>
      <c r="BJ749" s="2322"/>
      <c r="BK749" s="2322"/>
      <c r="BL749" s="2322"/>
      <c r="BM749" s="2322"/>
      <c r="BN749" s="2322"/>
      <c r="BO749" s="2322"/>
      <c r="BP749" s="2322"/>
      <c r="BQ749" s="2322"/>
      <c r="BR749" s="2322"/>
      <c r="BS749" s="2322"/>
      <c r="BT749" s="2322"/>
      <c r="BU749" s="2322"/>
      <c r="BV749" s="2322"/>
      <c r="BW749" s="2322"/>
      <c r="BX749" s="2322"/>
      <c r="BY749" s="2322"/>
      <c r="BZ749" s="2322"/>
      <c r="CA749" s="2322"/>
      <c r="CB749" s="2322"/>
      <c r="CC749" s="2322"/>
      <c r="CD749" s="2322"/>
      <c r="CE749" s="2322"/>
      <c r="CF749" s="2322"/>
      <c r="CG749" s="2322"/>
      <c r="CH749" s="2322"/>
      <c r="CI749" s="2322"/>
      <c r="CJ749" s="2322"/>
      <c r="CK749" s="2322"/>
      <c r="CL749" s="2322"/>
      <c r="CM749" s="2322"/>
      <c r="CN749" s="2322"/>
      <c r="CO749" s="2322"/>
      <c r="CP749" s="2322"/>
      <c r="CQ749" s="2322"/>
      <c r="CR749" s="2322"/>
      <c r="CS749" s="2322"/>
      <c r="CT749" s="2322"/>
      <c r="CU749" s="2322"/>
      <c r="CV749" s="2322"/>
    </row>
    <row r="750" spans="1:100" ht="15.75" customHeight="1">
      <c r="A750" s="2328"/>
      <c r="B750" s="2322"/>
      <c r="C750" s="2322"/>
      <c r="D750" s="2322"/>
      <c r="E750" s="2322"/>
      <c r="F750" s="2322"/>
      <c r="G750" s="2322"/>
      <c r="H750" s="2322"/>
      <c r="I750" s="2322"/>
      <c r="J750" s="2322"/>
      <c r="K750" s="2322"/>
      <c r="L750" s="2322"/>
      <c r="M750" s="2322"/>
      <c r="N750" s="2322"/>
      <c r="O750" s="2322"/>
      <c r="P750" s="2322"/>
      <c r="Q750" s="2322"/>
      <c r="R750" s="2322"/>
      <c r="S750" s="2322"/>
      <c r="T750" s="2322"/>
      <c r="U750" s="2322"/>
      <c r="V750" s="2322"/>
      <c r="W750" s="2322"/>
      <c r="X750" s="2322"/>
      <c r="Y750" s="2322"/>
      <c r="Z750" s="2322"/>
      <c r="AA750" s="2322"/>
      <c r="AB750" s="2322"/>
      <c r="AC750" s="2322"/>
      <c r="AD750" s="2322"/>
      <c r="AE750" s="2322"/>
      <c r="AF750" s="2322"/>
      <c r="AG750" s="2322"/>
      <c r="AH750" s="2322"/>
      <c r="AI750" s="2322"/>
      <c r="AJ750" s="2322"/>
      <c r="AK750" s="2322"/>
      <c r="AL750" s="2322"/>
      <c r="AM750" s="2322"/>
      <c r="AN750" s="2322"/>
      <c r="AO750" s="2322"/>
      <c r="AP750" s="2322"/>
      <c r="AQ750" s="2322"/>
      <c r="AR750" s="2322"/>
      <c r="AS750" s="2322"/>
      <c r="AT750" s="2322"/>
      <c r="AU750" s="2322"/>
      <c r="AV750" s="2322"/>
      <c r="AW750" s="2322"/>
      <c r="AX750" s="2322"/>
      <c r="AY750" s="2322"/>
      <c r="AZ750" s="2322"/>
      <c r="BA750" s="2322"/>
      <c r="BB750" s="2322"/>
      <c r="BC750" s="2322"/>
      <c r="BD750" s="2322"/>
      <c r="BE750" s="2322"/>
      <c r="BF750" s="2322"/>
      <c r="BG750" s="2322"/>
      <c r="BH750" s="2322"/>
      <c r="BI750" s="2322"/>
      <c r="BJ750" s="2322"/>
      <c r="BK750" s="2322"/>
      <c r="BL750" s="2322"/>
      <c r="BM750" s="2322"/>
      <c r="BN750" s="2322"/>
      <c r="BO750" s="2322"/>
      <c r="BP750" s="2322"/>
      <c r="BQ750" s="2322"/>
      <c r="BR750" s="2322"/>
      <c r="BS750" s="2322"/>
      <c r="BT750" s="2322"/>
      <c r="BU750" s="2322"/>
      <c r="BV750" s="2322"/>
      <c r="BW750" s="2322"/>
      <c r="BX750" s="2322"/>
      <c r="BY750" s="2322"/>
      <c r="BZ750" s="2322"/>
      <c r="CA750" s="2322"/>
      <c r="CB750" s="2322"/>
      <c r="CC750" s="2322"/>
      <c r="CD750" s="2322"/>
      <c r="CE750" s="2322"/>
      <c r="CF750" s="2322"/>
      <c r="CG750" s="2322"/>
      <c r="CH750" s="2322"/>
      <c r="CI750" s="2322"/>
      <c r="CJ750" s="2322"/>
      <c r="CK750" s="2322"/>
      <c r="CL750" s="2322"/>
      <c r="CM750" s="2322"/>
      <c r="CN750" s="2322"/>
      <c r="CO750" s="2322"/>
      <c r="CP750" s="2322"/>
      <c r="CQ750" s="2322"/>
      <c r="CR750" s="2322"/>
      <c r="CS750" s="2322"/>
      <c r="CT750" s="2322"/>
      <c r="CU750" s="2322"/>
      <c r="CV750" s="2322"/>
    </row>
    <row r="751" spans="1:100" ht="15.75" customHeight="1">
      <c r="A751" s="2328"/>
      <c r="B751" s="2322"/>
      <c r="C751" s="2322"/>
      <c r="D751" s="2322"/>
      <c r="E751" s="2322"/>
      <c r="F751" s="2322"/>
      <c r="G751" s="2322"/>
      <c r="H751" s="2322"/>
      <c r="I751" s="2322"/>
      <c r="J751" s="2322"/>
      <c r="K751" s="2322"/>
      <c r="L751" s="2322"/>
      <c r="M751" s="2322"/>
      <c r="N751" s="2322"/>
      <c r="O751" s="2322"/>
      <c r="P751" s="2322"/>
      <c r="Q751" s="2322"/>
      <c r="R751" s="2322"/>
      <c r="S751" s="2322"/>
      <c r="T751" s="2322"/>
      <c r="U751" s="2322"/>
      <c r="V751" s="2322"/>
      <c r="W751" s="2322"/>
      <c r="X751" s="2322"/>
      <c r="Y751" s="2322"/>
      <c r="Z751" s="2322"/>
      <c r="AA751" s="2322"/>
      <c r="AB751" s="2322"/>
      <c r="AC751" s="2322"/>
      <c r="AD751" s="2322"/>
      <c r="AE751" s="2322"/>
      <c r="AF751" s="2322"/>
      <c r="AG751" s="2322"/>
      <c r="AH751" s="2322"/>
      <c r="AI751" s="2322"/>
      <c r="AJ751" s="2322"/>
      <c r="AK751" s="2322"/>
      <c r="AL751" s="2322"/>
      <c r="AM751" s="2322"/>
      <c r="AN751" s="2322"/>
      <c r="AO751" s="2322"/>
      <c r="AP751" s="2322"/>
      <c r="AQ751" s="2322"/>
      <c r="AR751" s="2322"/>
      <c r="AS751" s="2322"/>
      <c r="AT751" s="2322"/>
      <c r="AU751" s="2322"/>
      <c r="AV751" s="2322"/>
      <c r="AW751" s="2322"/>
      <c r="AX751" s="2322"/>
      <c r="AY751" s="2322"/>
      <c r="AZ751" s="2322"/>
      <c r="BA751" s="2322"/>
      <c r="BB751" s="2322"/>
      <c r="BC751" s="2322"/>
      <c r="BD751" s="2322"/>
      <c r="BE751" s="2322"/>
      <c r="BF751" s="2322"/>
      <c r="BG751" s="2322"/>
      <c r="BH751" s="2322"/>
      <c r="BI751" s="2322"/>
      <c r="BJ751" s="2322"/>
      <c r="BK751" s="2322"/>
      <c r="BL751" s="2322"/>
      <c r="BM751" s="2322"/>
      <c r="BN751" s="2322"/>
      <c r="BO751" s="2322"/>
      <c r="BP751" s="2322"/>
      <c r="BQ751" s="2322"/>
      <c r="BR751" s="2322"/>
      <c r="BS751" s="2322"/>
      <c r="BT751" s="2322"/>
      <c r="BU751" s="2322"/>
      <c r="BV751" s="2322"/>
      <c r="BW751" s="2322"/>
      <c r="BX751" s="2322"/>
      <c r="BY751" s="2322"/>
      <c r="BZ751" s="2322"/>
      <c r="CA751" s="2322"/>
      <c r="CB751" s="2322"/>
      <c r="CC751" s="2322"/>
      <c r="CD751" s="2322"/>
      <c r="CE751" s="2322"/>
      <c r="CF751" s="2322"/>
      <c r="CG751" s="2322"/>
      <c r="CH751" s="2322"/>
      <c r="CI751" s="2322"/>
      <c r="CJ751" s="2322"/>
      <c r="CK751" s="2322"/>
      <c r="CL751" s="2322"/>
      <c r="CM751" s="2322"/>
      <c r="CN751" s="2322"/>
      <c r="CO751" s="2322"/>
      <c r="CP751" s="2322"/>
      <c r="CQ751" s="2322"/>
      <c r="CR751" s="2322"/>
      <c r="CS751" s="2322"/>
      <c r="CT751" s="2322"/>
      <c r="CU751" s="2322"/>
      <c r="CV751" s="2322"/>
    </row>
    <row r="752" spans="1:100" ht="15.75" customHeight="1">
      <c r="A752" s="2328"/>
      <c r="B752" s="2322"/>
      <c r="C752" s="2322"/>
      <c r="D752" s="2322"/>
      <c r="E752" s="2322"/>
      <c r="F752" s="2322"/>
      <c r="G752" s="2322"/>
      <c r="H752" s="2322"/>
      <c r="I752" s="2322"/>
      <c r="J752" s="2322"/>
      <c r="K752" s="2322"/>
      <c r="L752" s="2322"/>
      <c r="M752" s="2322"/>
      <c r="N752" s="2322"/>
      <c r="O752" s="2322"/>
      <c r="P752" s="2322"/>
      <c r="Q752" s="2322"/>
      <c r="R752" s="2322"/>
      <c r="S752" s="2322"/>
      <c r="T752" s="2322"/>
      <c r="U752" s="2322"/>
      <c r="V752" s="2322"/>
      <c r="W752" s="2322"/>
      <c r="X752" s="2322"/>
      <c r="Y752" s="2322"/>
      <c r="Z752" s="2322"/>
      <c r="AA752" s="2322"/>
      <c r="AB752" s="2322"/>
      <c r="AC752" s="2322"/>
      <c r="AD752" s="2322"/>
      <c r="AE752" s="2322"/>
      <c r="AF752" s="2322"/>
      <c r="AG752" s="2322"/>
      <c r="AH752" s="2322"/>
      <c r="AI752" s="2322"/>
      <c r="AJ752" s="2322"/>
      <c r="AK752" s="2322"/>
      <c r="AL752" s="2322"/>
      <c r="AM752" s="2322"/>
      <c r="AN752" s="2322"/>
      <c r="AO752" s="2322"/>
      <c r="AP752" s="2322"/>
      <c r="AQ752" s="2322"/>
      <c r="AR752" s="2322"/>
      <c r="AS752" s="2322"/>
      <c r="AT752" s="2322"/>
      <c r="AU752" s="2322"/>
      <c r="AV752" s="2322"/>
      <c r="AW752" s="2322"/>
      <c r="AX752" s="2322"/>
      <c r="AY752" s="2322"/>
      <c r="AZ752" s="2322"/>
      <c r="BA752" s="2322"/>
      <c r="BB752" s="2322"/>
      <c r="BC752" s="2322"/>
      <c r="BD752" s="2322"/>
      <c r="BE752" s="2322"/>
      <c r="BF752" s="2322"/>
      <c r="BG752" s="2322"/>
      <c r="BH752" s="2322"/>
      <c r="BI752" s="2322"/>
      <c r="BJ752" s="2322"/>
      <c r="BK752" s="2322"/>
      <c r="BL752" s="2322"/>
      <c r="BM752" s="2322"/>
      <c r="BN752" s="2322"/>
      <c r="BO752" s="2322"/>
      <c r="BP752" s="2322"/>
      <c r="BQ752" s="2322"/>
      <c r="BR752" s="2322"/>
      <c r="BS752" s="2322"/>
      <c r="BT752" s="2322"/>
      <c r="BU752" s="2322"/>
      <c r="BV752" s="2322"/>
      <c r="BW752" s="2322"/>
      <c r="BX752" s="2322"/>
      <c r="BY752" s="2322"/>
      <c r="BZ752" s="2322"/>
      <c r="CA752" s="2322"/>
      <c r="CB752" s="2322"/>
      <c r="CC752" s="2322"/>
      <c r="CD752" s="2322"/>
      <c r="CE752" s="2322"/>
      <c r="CF752" s="2322"/>
      <c r="CG752" s="2322"/>
      <c r="CH752" s="2322"/>
      <c r="CI752" s="2322"/>
      <c r="CJ752" s="2322"/>
      <c r="CK752" s="2322"/>
      <c r="CL752" s="2322"/>
      <c r="CM752" s="2322"/>
      <c r="CN752" s="2322"/>
      <c r="CO752" s="2322"/>
      <c r="CP752" s="2322"/>
      <c r="CQ752" s="2322"/>
      <c r="CR752" s="2322"/>
      <c r="CS752" s="2322"/>
      <c r="CT752" s="2322"/>
      <c r="CU752" s="2322"/>
      <c r="CV752" s="2322"/>
    </row>
    <row r="753" spans="1:100" ht="15.75" customHeight="1">
      <c r="A753" s="2328"/>
      <c r="B753" s="2322"/>
      <c r="C753" s="2322"/>
      <c r="D753" s="2322"/>
      <c r="E753" s="2322"/>
      <c r="F753" s="2322"/>
      <c r="G753" s="2322"/>
      <c r="H753" s="2322"/>
      <c r="I753" s="2322"/>
      <c r="J753" s="2322"/>
      <c r="K753" s="2322"/>
      <c r="L753" s="2322"/>
      <c r="M753" s="2322"/>
      <c r="N753" s="2322"/>
      <c r="O753" s="2322"/>
      <c r="P753" s="2322"/>
      <c r="Q753" s="2322"/>
      <c r="R753" s="2322"/>
      <c r="S753" s="2322"/>
      <c r="T753" s="2322"/>
      <c r="U753" s="2322"/>
      <c r="V753" s="2322"/>
      <c r="W753" s="2322"/>
      <c r="X753" s="2322"/>
      <c r="Y753" s="2322"/>
      <c r="Z753" s="2322"/>
      <c r="AA753" s="2322"/>
      <c r="AB753" s="2322"/>
      <c r="AC753" s="2322"/>
      <c r="AD753" s="2322"/>
      <c r="AE753" s="2322"/>
      <c r="AF753" s="2322"/>
      <c r="AG753" s="2322"/>
      <c r="AH753" s="2322"/>
      <c r="AI753" s="2322"/>
      <c r="AJ753" s="2322"/>
      <c r="AK753" s="2322"/>
      <c r="AL753" s="2322"/>
      <c r="AM753" s="2322"/>
      <c r="AN753" s="2322"/>
      <c r="AO753" s="2322"/>
      <c r="AP753" s="2322"/>
      <c r="AQ753" s="2322"/>
      <c r="AR753" s="2322"/>
      <c r="AS753" s="2322"/>
      <c r="AT753" s="2322"/>
      <c r="AU753" s="2322"/>
      <c r="AV753" s="2322"/>
      <c r="AW753" s="2322"/>
      <c r="AX753" s="2322"/>
      <c r="AY753" s="2322"/>
      <c r="AZ753" s="2322"/>
      <c r="BA753" s="2322"/>
      <c r="BB753" s="2322"/>
      <c r="BC753" s="2322"/>
      <c r="BD753" s="2322"/>
      <c r="BE753" s="2322"/>
      <c r="BF753" s="2322"/>
      <c r="BG753" s="2322"/>
      <c r="BH753" s="2322"/>
      <c r="BI753" s="2322"/>
      <c r="BJ753" s="2322"/>
      <c r="BK753" s="2322"/>
      <c r="BL753" s="2322"/>
      <c r="BM753" s="2322"/>
      <c r="BN753" s="2322"/>
      <c r="BO753" s="2322"/>
      <c r="BP753" s="2322"/>
      <c r="BQ753" s="2322"/>
      <c r="BR753" s="2322"/>
      <c r="BS753" s="2322"/>
      <c r="BT753" s="2322"/>
      <c r="BU753" s="2322"/>
      <c r="BV753" s="2322"/>
      <c r="BW753" s="2322"/>
      <c r="BX753" s="2322"/>
      <c r="BY753" s="2322"/>
      <c r="BZ753" s="2322"/>
      <c r="CA753" s="2322"/>
      <c r="CB753" s="2322"/>
      <c r="CC753" s="2322"/>
      <c r="CD753" s="2322"/>
      <c r="CE753" s="2322"/>
      <c r="CF753" s="2322"/>
      <c r="CG753" s="2322"/>
      <c r="CH753" s="2322"/>
      <c r="CI753" s="2322"/>
      <c r="CJ753" s="2322"/>
      <c r="CK753" s="2322"/>
      <c r="CL753" s="2322"/>
      <c r="CM753" s="2322"/>
      <c r="CN753" s="2322"/>
      <c r="CO753" s="2322"/>
      <c r="CP753" s="2322"/>
      <c r="CQ753" s="2322"/>
      <c r="CR753" s="2322"/>
      <c r="CS753" s="2322"/>
      <c r="CT753" s="2322"/>
      <c r="CU753" s="2322"/>
      <c r="CV753" s="2322"/>
    </row>
    <row r="754" spans="1:100" ht="15.75" customHeight="1">
      <c r="A754" s="2328"/>
      <c r="B754" s="2322"/>
      <c r="C754" s="2322"/>
      <c r="D754" s="2322"/>
      <c r="E754" s="2322"/>
      <c r="F754" s="2322"/>
      <c r="G754" s="2322"/>
      <c r="H754" s="2322"/>
      <c r="I754" s="2322"/>
      <c r="J754" s="2322"/>
      <c r="K754" s="2322"/>
      <c r="L754" s="2322"/>
      <c r="M754" s="2322"/>
      <c r="N754" s="2322"/>
      <c r="O754" s="2322"/>
      <c r="P754" s="2322"/>
      <c r="Q754" s="2322"/>
      <c r="R754" s="2322"/>
      <c r="S754" s="2322"/>
      <c r="T754" s="2322"/>
      <c r="U754" s="2322"/>
      <c r="V754" s="2322"/>
      <c r="W754" s="2322"/>
      <c r="X754" s="2322"/>
      <c r="Y754" s="2322"/>
      <c r="Z754" s="2322"/>
      <c r="AA754" s="2322"/>
      <c r="AB754" s="2322"/>
      <c r="AC754" s="2322"/>
      <c r="AD754" s="2322"/>
      <c r="AE754" s="2322"/>
      <c r="AF754" s="2322"/>
      <c r="AG754" s="2322"/>
      <c r="AH754" s="2322"/>
      <c r="AI754" s="2322"/>
      <c r="AJ754" s="2322"/>
      <c r="AK754" s="2322"/>
      <c r="AL754" s="2322"/>
      <c r="AM754" s="2322"/>
      <c r="AN754" s="2322"/>
      <c r="AO754" s="2322"/>
      <c r="AP754" s="2322"/>
      <c r="AQ754" s="2322"/>
      <c r="AR754" s="2322"/>
      <c r="AS754" s="2322"/>
      <c r="AT754" s="2322"/>
      <c r="AU754" s="2322"/>
      <c r="AV754" s="2322"/>
      <c r="AW754" s="2322"/>
      <c r="AX754" s="2322"/>
      <c r="AY754" s="2322"/>
      <c r="AZ754" s="2322"/>
      <c r="BA754" s="2322"/>
      <c r="BB754" s="2322"/>
      <c r="BC754" s="2322"/>
      <c r="BD754" s="2322"/>
      <c r="BE754" s="2322"/>
      <c r="BF754" s="2322"/>
      <c r="BG754" s="2322"/>
      <c r="BH754" s="2322"/>
      <c r="BI754" s="2322"/>
      <c r="BJ754" s="2322"/>
      <c r="BK754" s="2322"/>
      <c r="BL754" s="2322"/>
      <c r="BM754" s="2322"/>
      <c r="BN754" s="2322"/>
      <c r="BO754" s="2322"/>
      <c r="BP754" s="2322"/>
      <c r="BQ754" s="2322"/>
      <c r="BR754" s="2322"/>
      <c r="BS754" s="2322"/>
      <c r="BT754" s="2322"/>
      <c r="BU754" s="2322"/>
      <c r="BV754" s="2322"/>
      <c r="BW754" s="2322"/>
      <c r="BX754" s="2322"/>
      <c r="BY754" s="2322"/>
      <c r="BZ754" s="2322"/>
      <c r="CA754" s="2322"/>
      <c r="CB754" s="2322"/>
      <c r="CC754" s="2322"/>
      <c r="CD754" s="2322"/>
      <c r="CE754" s="2322"/>
      <c r="CF754" s="2322"/>
      <c r="CG754" s="2322"/>
      <c r="CH754" s="2322"/>
      <c r="CI754" s="2322"/>
      <c r="CJ754" s="2322"/>
      <c r="CK754" s="2322"/>
      <c r="CL754" s="2322"/>
      <c r="CM754" s="2322"/>
      <c r="CN754" s="2322"/>
      <c r="CO754" s="2322"/>
      <c r="CP754" s="2322"/>
      <c r="CQ754" s="2322"/>
      <c r="CR754" s="2322"/>
      <c r="CS754" s="2322"/>
      <c r="CT754" s="2322"/>
      <c r="CU754" s="2322"/>
      <c r="CV754" s="2322"/>
    </row>
    <row r="755" spans="1:100" ht="15.75" customHeight="1">
      <c r="A755" s="2328"/>
      <c r="B755" s="2322"/>
      <c r="C755" s="2322"/>
      <c r="D755" s="2322"/>
      <c r="E755" s="2322"/>
      <c r="F755" s="2322"/>
      <c r="G755" s="2322"/>
      <c r="H755" s="2322"/>
      <c r="I755" s="2322"/>
      <c r="J755" s="2322"/>
      <c r="K755" s="2322"/>
      <c r="L755" s="2322"/>
      <c r="M755" s="2322"/>
      <c r="N755" s="2322"/>
      <c r="O755" s="2322"/>
      <c r="P755" s="2322"/>
      <c r="Q755" s="2322"/>
      <c r="R755" s="2322"/>
      <c r="S755" s="2322"/>
      <c r="T755" s="2322"/>
      <c r="U755" s="2322"/>
      <c r="V755" s="2322"/>
      <c r="W755" s="2322"/>
      <c r="X755" s="2322"/>
      <c r="Y755" s="2322"/>
      <c r="Z755" s="2322"/>
      <c r="AA755" s="2322"/>
      <c r="AB755" s="2322"/>
      <c r="AC755" s="2322"/>
      <c r="AD755" s="2322"/>
      <c r="AE755" s="2322"/>
      <c r="AF755" s="2322"/>
      <c r="AG755" s="2322"/>
      <c r="AH755" s="2322"/>
      <c r="AI755" s="2322"/>
      <c r="AJ755" s="2322"/>
      <c r="AK755" s="2322"/>
      <c r="AL755" s="2322"/>
      <c r="AM755" s="2322"/>
      <c r="AN755" s="2322"/>
      <c r="AO755" s="2322"/>
      <c r="AP755" s="2322"/>
      <c r="AQ755" s="2322"/>
      <c r="AR755" s="2322"/>
      <c r="AS755" s="2322"/>
      <c r="AT755" s="2322"/>
      <c r="AU755" s="2322"/>
      <c r="AV755" s="2322"/>
      <c r="AW755" s="2322"/>
      <c r="AX755" s="2322"/>
      <c r="AY755" s="2322"/>
      <c r="AZ755" s="2322"/>
      <c r="BA755" s="2322"/>
      <c r="BB755" s="2322"/>
      <c r="BC755" s="2322"/>
      <c r="BD755" s="2322"/>
      <c r="BE755" s="2322"/>
      <c r="BF755" s="2322"/>
      <c r="BG755" s="2322"/>
      <c r="BH755" s="2322"/>
      <c r="BI755" s="2322"/>
      <c r="BJ755" s="2322"/>
      <c r="BK755" s="2322"/>
      <c r="BL755" s="2322"/>
      <c r="BM755" s="2322"/>
      <c r="BN755" s="2322"/>
      <c r="BO755" s="2322"/>
      <c r="BP755" s="2322"/>
      <c r="BQ755" s="2322"/>
      <c r="BR755" s="2322"/>
      <c r="BS755" s="2322"/>
      <c r="BT755" s="2322"/>
      <c r="BU755" s="2322"/>
      <c r="BV755" s="2322"/>
      <c r="BW755" s="2322"/>
      <c r="BX755" s="2322"/>
      <c r="BY755" s="2322"/>
      <c r="BZ755" s="2322"/>
      <c r="CA755" s="2322"/>
      <c r="CB755" s="2322"/>
      <c r="CC755" s="2322"/>
      <c r="CD755" s="2322"/>
      <c r="CE755" s="2322"/>
      <c r="CF755" s="2322"/>
      <c r="CG755" s="2322"/>
      <c r="CH755" s="2322"/>
      <c r="CI755" s="2322"/>
      <c r="CJ755" s="2322"/>
      <c r="CK755" s="2322"/>
      <c r="CL755" s="2322"/>
      <c r="CM755" s="2322"/>
      <c r="CN755" s="2322"/>
      <c r="CO755" s="2322"/>
      <c r="CP755" s="2322"/>
      <c r="CQ755" s="2322"/>
      <c r="CR755" s="2322"/>
      <c r="CS755" s="2322"/>
      <c r="CT755" s="2322"/>
      <c r="CU755" s="2322"/>
      <c r="CV755" s="2322"/>
    </row>
    <row r="756" spans="1:100" ht="15.75" customHeight="1">
      <c r="A756" s="2328"/>
      <c r="B756" s="2322"/>
      <c r="C756" s="2322"/>
      <c r="D756" s="2322"/>
      <c r="E756" s="2322"/>
      <c r="F756" s="2322"/>
      <c r="G756" s="2322"/>
      <c r="H756" s="2322"/>
      <c r="I756" s="2322"/>
      <c r="J756" s="2322"/>
      <c r="K756" s="2322"/>
      <c r="L756" s="2322"/>
      <c r="M756" s="2322"/>
      <c r="N756" s="2322"/>
      <c r="O756" s="2322"/>
      <c r="P756" s="2322"/>
      <c r="Q756" s="2322"/>
      <c r="R756" s="2322"/>
      <c r="S756" s="2322"/>
      <c r="T756" s="2322"/>
      <c r="U756" s="2322"/>
      <c r="V756" s="2322"/>
      <c r="W756" s="2322"/>
      <c r="X756" s="2322"/>
      <c r="Y756" s="2322"/>
      <c r="Z756" s="2322"/>
      <c r="AA756" s="2322"/>
      <c r="AB756" s="2322"/>
      <c r="AC756" s="2322"/>
      <c r="AD756" s="2322"/>
      <c r="AE756" s="2322"/>
      <c r="AF756" s="2322"/>
      <c r="AG756" s="2322"/>
      <c r="AH756" s="2322"/>
      <c r="AI756" s="2322"/>
      <c r="AJ756" s="2322"/>
      <c r="AK756" s="2322"/>
      <c r="AL756" s="2322"/>
      <c r="AM756" s="2322"/>
      <c r="AN756" s="2322"/>
      <c r="AO756" s="2322"/>
      <c r="AP756" s="2322"/>
      <c r="AQ756" s="2322"/>
      <c r="AR756" s="2322"/>
      <c r="AS756" s="2322"/>
      <c r="AT756" s="2322"/>
      <c r="AU756" s="2322"/>
      <c r="AV756" s="2322"/>
      <c r="AW756" s="2322"/>
      <c r="AX756" s="2322"/>
      <c r="AY756" s="2322"/>
      <c r="AZ756" s="2322"/>
      <c r="BA756" s="2322"/>
      <c r="BB756" s="2322"/>
      <c r="BC756" s="2322"/>
      <c r="BD756" s="2322"/>
      <c r="BE756" s="2322"/>
      <c r="BF756" s="2322"/>
      <c r="BG756" s="2322"/>
      <c r="BH756" s="2322"/>
      <c r="BI756" s="2322"/>
      <c r="BJ756" s="2322"/>
      <c r="BK756" s="2322"/>
      <c r="BL756" s="2322"/>
      <c r="BM756" s="2322"/>
      <c r="BN756" s="2322"/>
      <c r="BO756" s="2322"/>
      <c r="BP756" s="2322"/>
      <c r="BQ756" s="2322"/>
      <c r="BR756" s="2322"/>
      <c r="BS756" s="2322"/>
      <c r="BT756" s="2322"/>
      <c r="BU756" s="2322"/>
      <c r="BV756" s="2322"/>
      <c r="BW756" s="2322"/>
      <c r="BX756" s="2322"/>
      <c r="BY756" s="2322"/>
      <c r="BZ756" s="2322"/>
      <c r="CA756" s="2322"/>
      <c r="CB756" s="2322"/>
      <c r="CC756" s="2322"/>
      <c r="CD756" s="2322"/>
      <c r="CE756" s="2322"/>
      <c r="CF756" s="2322"/>
      <c r="CG756" s="2322"/>
      <c r="CH756" s="2322"/>
      <c r="CI756" s="2322"/>
      <c r="CJ756" s="2322"/>
      <c r="CK756" s="2322"/>
      <c r="CL756" s="2322"/>
      <c r="CM756" s="2322"/>
      <c r="CN756" s="2322"/>
      <c r="CO756" s="2322"/>
      <c r="CP756" s="2322"/>
      <c r="CQ756" s="2322"/>
      <c r="CR756" s="2322"/>
      <c r="CS756" s="2322"/>
      <c r="CT756" s="2322"/>
      <c r="CU756" s="2322"/>
      <c r="CV756" s="2322"/>
    </row>
    <row r="757" spans="1:100" ht="15.75" customHeight="1">
      <c r="A757" s="2328"/>
      <c r="B757" s="2322"/>
      <c r="C757" s="2322"/>
      <c r="D757" s="2322"/>
      <c r="E757" s="2322"/>
      <c r="F757" s="2322"/>
      <c r="G757" s="2322"/>
      <c r="H757" s="2322"/>
      <c r="I757" s="2322"/>
      <c r="J757" s="2322"/>
      <c r="K757" s="2322"/>
      <c r="L757" s="2322"/>
      <c r="M757" s="2322"/>
      <c r="N757" s="2322"/>
      <c r="O757" s="2322"/>
      <c r="P757" s="2322"/>
      <c r="Q757" s="2322"/>
      <c r="R757" s="2322"/>
      <c r="S757" s="2322"/>
      <c r="T757" s="2322"/>
      <c r="U757" s="2322"/>
      <c r="V757" s="2322"/>
      <c r="W757" s="2322"/>
      <c r="X757" s="2322"/>
      <c r="Y757" s="2322"/>
      <c r="Z757" s="2322"/>
      <c r="AA757" s="2322"/>
      <c r="AB757" s="2322"/>
      <c r="AC757" s="2322"/>
      <c r="AD757" s="2322"/>
      <c r="AE757" s="2322"/>
      <c r="AF757" s="2322"/>
      <c r="AG757" s="2322"/>
      <c r="AH757" s="2322"/>
      <c r="AI757" s="2322"/>
      <c r="AJ757" s="2322"/>
      <c r="AK757" s="2322"/>
      <c r="AL757" s="2322"/>
      <c r="AM757" s="2322"/>
      <c r="AN757" s="2322"/>
      <c r="AO757" s="2322"/>
      <c r="AP757" s="2322"/>
      <c r="AQ757" s="2322"/>
      <c r="AR757" s="2322"/>
      <c r="AS757" s="2322"/>
      <c r="AT757" s="2322"/>
      <c r="AU757" s="2322"/>
      <c r="AV757" s="2322"/>
      <c r="AW757" s="2322"/>
      <c r="AX757" s="2322"/>
      <c r="AY757" s="2322"/>
      <c r="AZ757" s="2322"/>
      <c r="BA757" s="2322"/>
      <c r="BB757" s="2322"/>
      <c r="BC757" s="2322"/>
      <c r="BD757" s="2322"/>
      <c r="BE757" s="2322"/>
      <c r="BF757" s="2322"/>
      <c r="BG757" s="2322"/>
      <c r="BH757" s="2322"/>
      <c r="BI757" s="2322"/>
      <c r="BJ757" s="2322"/>
      <c r="BK757" s="2322"/>
      <c r="BL757" s="2322"/>
      <c r="BM757" s="2322"/>
      <c r="BN757" s="2322"/>
      <c r="BO757" s="2322"/>
      <c r="BP757" s="2322"/>
      <c r="BQ757" s="2322"/>
      <c r="BR757" s="2322"/>
      <c r="BS757" s="2322"/>
      <c r="BT757" s="2322"/>
      <c r="BU757" s="2322"/>
      <c r="BV757" s="2322"/>
      <c r="BW757" s="2322"/>
      <c r="BX757" s="2322"/>
      <c r="BY757" s="2322"/>
      <c r="BZ757" s="2322"/>
      <c r="CA757" s="2322"/>
      <c r="CB757" s="2322"/>
      <c r="CC757" s="2322"/>
      <c r="CD757" s="2322"/>
      <c r="CE757" s="2322"/>
      <c r="CF757" s="2322"/>
      <c r="CG757" s="2322"/>
      <c r="CH757" s="2322"/>
      <c r="CI757" s="2322"/>
      <c r="CJ757" s="2322"/>
      <c r="CK757" s="2322"/>
      <c r="CL757" s="2322"/>
      <c r="CM757" s="2322"/>
      <c r="CN757" s="2322"/>
      <c r="CO757" s="2322"/>
      <c r="CP757" s="2322"/>
      <c r="CQ757" s="2322"/>
      <c r="CR757" s="2322"/>
      <c r="CS757" s="2322"/>
      <c r="CT757" s="2322"/>
      <c r="CU757" s="2322"/>
      <c r="CV757" s="2322"/>
    </row>
    <row r="758" spans="1:100" ht="15.75" customHeight="1">
      <c r="A758" s="2328"/>
      <c r="B758" s="2322"/>
      <c r="C758" s="2322"/>
      <c r="D758" s="2322"/>
      <c r="E758" s="2322"/>
      <c r="F758" s="2322"/>
      <c r="G758" s="2322"/>
      <c r="H758" s="2322"/>
      <c r="I758" s="2322"/>
      <c r="J758" s="2322"/>
      <c r="K758" s="2322"/>
      <c r="L758" s="2322"/>
      <c r="M758" s="2322"/>
      <c r="N758" s="2322"/>
      <c r="O758" s="2322"/>
      <c r="P758" s="2322"/>
      <c r="Q758" s="2322"/>
      <c r="R758" s="2322"/>
      <c r="S758" s="2322"/>
      <c r="T758" s="2322"/>
      <c r="U758" s="2322"/>
      <c r="V758" s="2322"/>
      <c r="W758" s="2322"/>
      <c r="X758" s="2322"/>
      <c r="Y758" s="2322"/>
      <c r="Z758" s="2322"/>
      <c r="AA758" s="2322"/>
      <c r="AB758" s="2322"/>
      <c r="AC758" s="2322"/>
      <c r="AD758" s="2322"/>
      <c r="AE758" s="2322"/>
      <c r="AF758" s="2322"/>
      <c r="AG758" s="2322"/>
      <c r="AH758" s="2322"/>
      <c r="AI758" s="2322"/>
      <c r="AJ758" s="2322"/>
      <c r="AK758" s="2322"/>
      <c r="AL758" s="2322"/>
      <c r="AM758" s="2322"/>
      <c r="AN758" s="2322"/>
      <c r="AO758" s="2322"/>
      <c r="AP758" s="2322"/>
      <c r="AQ758" s="2322"/>
      <c r="AR758" s="2322"/>
      <c r="AS758" s="2322"/>
      <c r="AT758" s="2322"/>
      <c r="AU758" s="2322"/>
      <c r="AV758" s="2322"/>
      <c r="AW758" s="2322"/>
      <c r="AX758" s="2322"/>
      <c r="AY758" s="2322"/>
      <c r="AZ758" s="2322"/>
      <c r="BA758" s="2322"/>
      <c r="BB758" s="2322"/>
      <c r="BC758" s="2322"/>
      <c r="BD758" s="2322"/>
      <c r="BE758" s="2322"/>
      <c r="BF758" s="2322"/>
      <c r="BG758" s="2322"/>
      <c r="BH758" s="2322"/>
      <c r="BI758" s="2322"/>
      <c r="BJ758" s="2322"/>
      <c r="BK758" s="2322"/>
      <c r="BL758" s="2322"/>
      <c r="BM758" s="2322"/>
      <c r="BN758" s="2322"/>
      <c r="BO758" s="2322"/>
      <c r="BP758" s="2322"/>
      <c r="BQ758" s="2322"/>
      <c r="BR758" s="2322"/>
      <c r="BS758" s="2322"/>
      <c r="BT758" s="2322"/>
      <c r="BU758" s="2322"/>
      <c r="BV758" s="2322"/>
      <c r="BW758" s="2322"/>
      <c r="BX758" s="2322"/>
      <c r="BY758" s="2322"/>
      <c r="BZ758" s="2322"/>
      <c r="CA758" s="2322"/>
      <c r="CB758" s="2322"/>
      <c r="CC758" s="2322"/>
      <c r="CD758" s="2322"/>
      <c r="CE758" s="2322"/>
      <c r="CF758" s="2322"/>
      <c r="CG758" s="2322"/>
      <c r="CH758" s="2322"/>
      <c r="CI758" s="2322"/>
      <c r="CJ758" s="2322"/>
      <c r="CK758" s="2322"/>
      <c r="CL758" s="2322"/>
      <c r="CM758" s="2322"/>
      <c r="CN758" s="2322"/>
      <c r="CO758" s="2322"/>
      <c r="CP758" s="2322"/>
      <c r="CQ758" s="2322"/>
      <c r="CR758" s="2322"/>
      <c r="CS758" s="2322"/>
      <c r="CT758" s="2322"/>
      <c r="CU758" s="2322"/>
      <c r="CV758" s="2322"/>
    </row>
    <row r="759" spans="1:100" ht="15.75" customHeight="1">
      <c r="A759" s="2328"/>
      <c r="B759" s="2322"/>
      <c r="C759" s="2322"/>
      <c r="D759" s="2322"/>
      <c r="E759" s="2322"/>
      <c r="F759" s="2322"/>
      <c r="G759" s="2322"/>
      <c r="H759" s="2322"/>
      <c r="I759" s="2322"/>
      <c r="J759" s="2322"/>
      <c r="K759" s="2322"/>
      <c r="L759" s="2322"/>
      <c r="M759" s="2322"/>
      <c r="N759" s="2322"/>
      <c r="O759" s="2322"/>
      <c r="P759" s="2322"/>
      <c r="Q759" s="2322"/>
      <c r="R759" s="2322"/>
      <c r="S759" s="2322"/>
      <c r="T759" s="2322"/>
      <c r="U759" s="2322"/>
      <c r="V759" s="2322"/>
      <c r="W759" s="2322"/>
      <c r="X759" s="2322"/>
      <c r="Y759" s="2322"/>
      <c r="Z759" s="2322"/>
      <c r="AA759" s="2322"/>
      <c r="AB759" s="2322"/>
      <c r="AC759" s="2322"/>
      <c r="AD759" s="2322"/>
      <c r="AE759" s="2322"/>
      <c r="AF759" s="2322"/>
      <c r="AG759" s="2322"/>
      <c r="AH759" s="2322"/>
      <c r="AI759" s="2322"/>
      <c r="AJ759" s="2322"/>
      <c r="AK759" s="2322"/>
      <c r="AL759" s="2322"/>
      <c r="AM759" s="2322"/>
      <c r="AN759" s="2322"/>
      <c r="AO759" s="2322"/>
      <c r="AP759" s="2322"/>
      <c r="AQ759" s="2322"/>
      <c r="AR759" s="2322"/>
      <c r="AS759" s="2322"/>
      <c r="AT759" s="2322"/>
      <c r="AU759" s="2322"/>
      <c r="AV759" s="2322"/>
      <c r="AW759" s="2322"/>
      <c r="AX759" s="2322"/>
      <c r="AY759" s="2322"/>
      <c r="AZ759" s="2322"/>
      <c r="BA759" s="2322"/>
      <c r="BB759" s="2322"/>
      <c r="BC759" s="2322"/>
      <c r="BD759" s="2322"/>
      <c r="BE759" s="2322"/>
      <c r="BF759" s="2322"/>
      <c r="BG759" s="2322"/>
      <c r="BH759" s="2322"/>
      <c r="BI759" s="2322"/>
      <c r="BJ759" s="2322"/>
      <c r="BK759" s="2322"/>
      <c r="BL759" s="2322"/>
      <c r="BM759" s="2322"/>
      <c r="BN759" s="2322"/>
      <c r="BO759" s="2322"/>
      <c r="BP759" s="2322"/>
      <c r="BQ759" s="2322"/>
      <c r="BR759" s="2322"/>
      <c r="BS759" s="2322"/>
      <c r="BT759" s="2322"/>
      <c r="BU759" s="2322"/>
      <c r="BV759" s="2322"/>
      <c r="BW759" s="2322"/>
      <c r="BX759" s="2322"/>
      <c r="BY759" s="2322"/>
      <c r="BZ759" s="2322"/>
      <c r="CA759" s="2322"/>
      <c r="CB759" s="2322"/>
      <c r="CC759" s="2322"/>
      <c r="CD759" s="2322"/>
      <c r="CE759" s="2322"/>
      <c r="CF759" s="2322"/>
      <c r="CG759" s="2322"/>
      <c r="CH759" s="2322"/>
      <c r="CI759" s="2322"/>
      <c r="CJ759" s="2322"/>
      <c r="CK759" s="2322"/>
      <c r="CL759" s="2322"/>
      <c r="CM759" s="2322"/>
      <c r="CN759" s="2322"/>
      <c r="CO759" s="2322"/>
      <c r="CP759" s="2322"/>
      <c r="CQ759" s="2322"/>
      <c r="CR759" s="2322"/>
      <c r="CS759" s="2322"/>
      <c r="CT759" s="2322"/>
      <c r="CU759" s="2322"/>
      <c r="CV759" s="2322"/>
    </row>
    <row r="760" spans="1:100" ht="15.75" customHeight="1">
      <c r="A760" s="2328"/>
      <c r="B760" s="2322"/>
      <c r="C760" s="2322"/>
      <c r="D760" s="2322"/>
      <c r="E760" s="2322"/>
      <c r="F760" s="2322"/>
      <c r="G760" s="2322"/>
      <c r="H760" s="2322"/>
      <c r="I760" s="2322"/>
      <c r="J760" s="2322"/>
      <c r="K760" s="2322"/>
      <c r="L760" s="2322"/>
      <c r="M760" s="2322"/>
      <c r="N760" s="2322"/>
      <c r="O760" s="2322"/>
      <c r="P760" s="2322"/>
      <c r="Q760" s="2322"/>
      <c r="R760" s="2322"/>
      <c r="S760" s="2322"/>
      <c r="T760" s="2322"/>
      <c r="U760" s="2322"/>
      <c r="V760" s="2322"/>
      <c r="W760" s="2322"/>
      <c r="X760" s="2322"/>
      <c r="Y760" s="2322"/>
      <c r="Z760" s="2322"/>
      <c r="AA760" s="2322"/>
      <c r="AB760" s="2322"/>
      <c r="AC760" s="2322"/>
      <c r="AD760" s="2322"/>
      <c r="AE760" s="2322"/>
      <c r="AF760" s="2322"/>
      <c r="AG760" s="2322"/>
      <c r="AH760" s="2322"/>
      <c r="AI760" s="2322"/>
      <c r="AJ760" s="2322"/>
      <c r="AK760" s="2322"/>
      <c r="AL760" s="2322"/>
      <c r="AM760" s="2322"/>
      <c r="AN760" s="2322"/>
      <c r="AO760" s="2322"/>
      <c r="AP760" s="2322"/>
      <c r="AQ760" s="2322"/>
      <c r="AR760" s="2322"/>
      <c r="AS760" s="2322"/>
      <c r="AT760" s="2322"/>
      <c r="AU760" s="2322"/>
      <c r="AV760" s="2322"/>
      <c r="AW760" s="2322"/>
      <c r="AX760" s="2322"/>
      <c r="AY760" s="2322"/>
      <c r="AZ760" s="2322"/>
      <c r="BA760" s="2322"/>
      <c r="BB760" s="2322"/>
      <c r="BC760" s="2322"/>
      <c r="BD760" s="2322"/>
      <c r="BE760" s="2322"/>
      <c r="BF760" s="2322"/>
      <c r="BG760" s="2322"/>
      <c r="BH760" s="2322"/>
      <c r="BI760" s="2322"/>
      <c r="BJ760" s="2322"/>
      <c r="BK760" s="2322"/>
      <c r="BL760" s="2322"/>
      <c r="BM760" s="2322"/>
      <c r="BN760" s="2322"/>
      <c r="BO760" s="2322"/>
      <c r="BP760" s="2322"/>
      <c r="BQ760" s="2322"/>
      <c r="BR760" s="2322"/>
      <c r="BS760" s="2322"/>
      <c r="BT760" s="2322"/>
      <c r="BU760" s="2322"/>
      <c r="BV760" s="2322"/>
      <c r="BW760" s="2322"/>
      <c r="BX760" s="2322"/>
      <c r="BY760" s="2322"/>
      <c r="BZ760" s="2322"/>
      <c r="CA760" s="2322"/>
      <c r="CB760" s="2322"/>
      <c r="CC760" s="2322"/>
      <c r="CD760" s="2322"/>
      <c r="CE760" s="2322"/>
      <c r="CF760" s="2322"/>
      <c r="CG760" s="2322"/>
      <c r="CH760" s="2322"/>
      <c r="CI760" s="2322"/>
      <c r="CJ760" s="2322"/>
      <c r="CK760" s="2322"/>
      <c r="CL760" s="2322"/>
      <c r="CM760" s="2322"/>
      <c r="CN760" s="2322"/>
      <c r="CO760" s="2322"/>
      <c r="CP760" s="2322"/>
      <c r="CQ760" s="2322"/>
      <c r="CR760" s="2322"/>
      <c r="CS760" s="2322"/>
      <c r="CT760" s="2322"/>
      <c r="CU760" s="2322"/>
      <c r="CV760" s="2322"/>
    </row>
    <row r="761" spans="1:100" ht="15.75" customHeight="1">
      <c r="A761" s="2328"/>
      <c r="B761" s="2322"/>
      <c r="C761" s="2322"/>
      <c r="D761" s="2322"/>
      <c r="E761" s="2322"/>
      <c r="F761" s="2322"/>
      <c r="G761" s="2322"/>
      <c r="H761" s="2322"/>
      <c r="I761" s="2322"/>
      <c r="J761" s="2322"/>
      <c r="K761" s="2322"/>
      <c r="L761" s="2322"/>
      <c r="M761" s="2322"/>
      <c r="N761" s="2322"/>
      <c r="O761" s="2322"/>
      <c r="P761" s="2322"/>
      <c r="Q761" s="2322"/>
      <c r="R761" s="2322"/>
      <c r="S761" s="2322"/>
      <c r="T761" s="2322"/>
      <c r="U761" s="2322"/>
      <c r="V761" s="2322"/>
      <c r="W761" s="2322"/>
      <c r="X761" s="2322"/>
      <c r="Y761" s="2322"/>
      <c r="Z761" s="2322"/>
      <c r="AA761" s="2322"/>
      <c r="AB761" s="2322"/>
      <c r="AC761" s="2322"/>
      <c r="AD761" s="2322"/>
      <c r="AE761" s="2322"/>
      <c r="AF761" s="2322"/>
      <c r="AG761" s="2322"/>
      <c r="AH761" s="2322"/>
      <c r="AI761" s="2322"/>
      <c r="AJ761" s="2322"/>
      <c r="AK761" s="2322"/>
      <c r="AL761" s="2322"/>
      <c r="AM761" s="2322"/>
      <c r="AN761" s="2322"/>
      <c r="AO761" s="2322"/>
      <c r="AP761" s="2322"/>
      <c r="AQ761" s="2322"/>
      <c r="AR761" s="2322"/>
      <c r="AS761" s="2322"/>
      <c r="AT761" s="2322"/>
      <c r="AU761" s="2322"/>
      <c r="AV761" s="2322"/>
      <c r="AW761" s="2322"/>
      <c r="AX761" s="2322"/>
      <c r="AY761" s="2322"/>
      <c r="AZ761" s="2322"/>
      <c r="BA761" s="2322"/>
      <c r="BB761" s="2322"/>
      <c r="BC761" s="2322"/>
      <c r="BD761" s="2322"/>
      <c r="BE761" s="2322"/>
      <c r="BF761" s="2322"/>
      <c r="BG761" s="2322"/>
      <c r="BH761" s="2322"/>
      <c r="BI761" s="2322"/>
      <c r="BJ761" s="2322"/>
      <c r="BK761" s="2322"/>
      <c r="BL761" s="2322"/>
      <c r="BM761" s="2322"/>
      <c r="BN761" s="2322"/>
      <c r="BO761" s="2322"/>
      <c r="BP761" s="2322"/>
      <c r="BQ761" s="2322"/>
      <c r="BR761" s="2322"/>
      <c r="BS761" s="2322"/>
      <c r="BT761" s="2322"/>
      <c r="BU761" s="2322"/>
      <c r="BV761" s="2322"/>
      <c r="BW761" s="2322"/>
      <c r="BX761" s="2322"/>
      <c r="BY761" s="2322"/>
      <c r="BZ761" s="2322"/>
      <c r="CA761" s="2322"/>
      <c r="CB761" s="2322"/>
      <c r="CC761" s="2322"/>
      <c r="CD761" s="2322"/>
      <c r="CE761" s="2322"/>
      <c r="CF761" s="2322"/>
      <c r="CG761" s="2322"/>
      <c r="CH761" s="2322"/>
      <c r="CI761" s="2322"/>
      <c r="CJ761" s="2322"/>
      <c r="CK761" s="2322"/>
      <c r="CL761" s="2322"/>
      <c r="CM761" s="2322"/>
      <c r="CN761" s="2322"/>
      <c r="CO761" s="2322"/>
      <c r="CP761" s="2322"/>
      <c r="CQ761" s="2322"/>
      <c r="CR761" s="2322"/>
      <c r="CS761" s="2322"/>
      <c r="CT761" s="2322"/>
      <c r="CU761" s="2322"/>
      <c r="CV761" s="2322"/>
    </row>
    <row r="762" spans="1:100" ht="15.75" customHeight="1">
      <c r="A762" s="2328"/>
      <c r="B762" s="2322"/>
      <c r="C762" s="2322"/>
      <c r="D762" s="2322"/>
      <c r="E762" s="2322"/>
      <c r="F762" s="2322"/>
      <c r="G762" s="2322"/>
      <c r="H762" s="2322"/>
      <c r="I762" s="2322"/>
      <c r="J762" s="2322"/>
      <c r="K762" s="2322"/>
      <c r="L762" s="2322"/>
      <c r="M762" s="2322"/>
      <c r="N762" s="2322"/>
      <c r="O762" s="2322"/>
      <c r="P762" s="2322"/>
      <c r="Q762" s="2322"/>
      <c r="R762" s="2322"/>
      <c r="S762" s="2322"/>
      <c r="T762" s="2322"/>
      <c r="U762" s="2322"/>
      <c r="V762" s="2322"/>
      <c r="W762" s="2322"/>
      <c r="X762" s="2322"/>
      <c r="Y762" s="2322"/>
      <c r="Z762" s="2322"/>
      <c r="AA762" s="2322"/>
      <c r="AB762" s="2322"/>
      <c r="AC762" s="2322"/>
      <c r="AD762" s="2322"/>
      <c r="AE762" s="2322"/>
      <c r="AF762" s="2322"/>
      <c r="AG762" s="2322"/>
      <c r="AH762" s="2322"/>
      <c r="AI762" s="2322"/>
      <c r="AJ762" s="2322"/>
      <c r="AK762" s="2322"/>
      <c r="AL762" s="2322"/>
      <c r="AM762" s="2322"/>
      <c r="AN762" s="2322"/>
      <c r="AO762" s="2322"/>
      <c r="AP762" s="2322"/>
      <c r="AQ762" s="2322"/>
      <c r="AR762" s="2322"/>
      <c r="AS762" s="2322"/>
      <c r="AT762" s="2322"/>
      <c r="AU762" s="2322"/>
      <c r="AV762" s="2322"/>
      <c r="AW762" s="2322"/>
      <c r="AX762" s="2322"/>
      <c r="AY762" s="2322"/>
      <c r="AZ762" s="2322"/>
      <c r="BA762" s="2322"/>
      <c r="BB762" s="2322"/>
      <c r="BC762" s="2322"/>
      <c r="BD762" s="2322"/>
      <c r="BE762" s="2322"/>
      <c r="BF762" s="2322"/>
      <c r="BG762" s="2322"/>
      <c r="BH762" s="2322"/>
      <c r="BI762" s="2322"/>
      <c r="BJ762" s="2322"/>
      <c r="BK762" s="2322"/>
      <c r="BL762" s="2322"/>
      <c r="BM762" s="2322"/>
      <c r="BN762" s="2322"/>
      <c r="BO762" s="2322"/>
      <c r="BP762" s="2322"/>
      <c r="BQ762" s="2322"/>
      <c r="BR762" s="2322"/>
      <c r="BS762" s="2322"/>
      <c r="BT762" s="2322"/>
      <c r="BU762" s="2322"/>
      <c r="BV762" s="2322"/>
      <c r="BW762" s="2322"/>
      <c r="BX762" s="2322"/>
      <c r="BY762" s="2322"/>
      <c r="BZ762" s="2322"/>
      <c r="CA762" s="2322"/>
      <c r="CB762" s="2322"/>
      <c r="CC762" s="2322"/>
      <c r="CD762" s="2322"/>
      <c r="CE762" s="2322"/>
      <c r="CF762" s="2322"/>
      <c r="CG762" s="2322"/>
      <c r="CH762" s="2322"/>
      <c r="CI762" s="2322"/>
      <c r="CJ762" s="2322"/>
      <c r="CK762" s="2322"/>
      <c r="CL762" s="2322"/>
      <c r="CM762" s="2322"/>
      <c r="CN762" s="2322"/>
      <c r="CO762" s="2322"/>
      <c r="CP762" s="2322"/>
      <c r="CQ762" s="2322"/>
      <c r="CR762" s="2322"/>
      <c r="CS762" s="2322"/>
      <c r="CT762" s="2322"/>
      <c r="CU762" s="2322"/>
      <c r="CV762" s="2322"/>
    </row>
    <row r="763" spans="1:100" ht="15.75" customHeight="1">
      <c r="A763" s="2328"/>
      <c r="B763" s="2322"/>
      <c r="C763" s="2322"/>
      <c r="D763" s="2322"/>
      <c r="E763" s="2322"/>
      <c r="F763" s="2322"/>
      <c r="G763" s="2322"/>
      <c r="H763" s="2322"/>
      <c r="I763" s="2322"/>
      <c r="J763" s="2322"/>
      <c r="K763" s="2322"/>
      <c r="L763" s="2322"/>
      <c r="M763" s="2322"/>
      <c r="N763" s="2322"/>
      <c r="O763" s="2322"/>
      <c r="P763" s="2322"/>
      <c r="Q763" s="2322"/>
      <c r="R763" s="2322"/>
      <c r="S763" s="2322"/>
      <c r="T763" s="2322"/>
      <c r="U763" s="2322"/>
      <c r="V763" s="2322"/>
      <c r="W763" s="2322"/>
      <c r="X763" s="2322"/>
      <c r="Y763" s="2322"/>
      <c r="Z763" s="2322"/>
      <c r="AA763" s="2322"/>
      <c r="AB763" s="2322"/>
      <c r="AC763" s="2322"/>
      <c r="AD763" s="2322"/>
      <c r="AE763" s="2322"/>
      <c r="AF763" s="2322"/>
      <c r="AG763" s="2322"/>
      <c r="AH763" s="2322"/>
      <c r="AI763" s="2322"/>
      <c r="AJ763" s="2322"/>
      <c r="AK763" s="2322"/>
      <c r="AL763" s="2322"/>
      <c r="AM763" s="2322"/>
      <c r="AN763" s="2322"/>
      <c r="AO763" s="2322"/>
      <c r="AP763" s="2322"/>
      <c r="AQ763" s="2322"/>
      <c r="AR763" s="2322"/>
      <c r="AS763" s="2322"/>
      <c r="AT763" s="2322"/>
      <c r="AU763" s="2322"/>
      <c r="AV763" s="2322"/>
      <c r="AW763" s="2322"/>
      <c r="AX763" s="2322"/>
      <c r="AY763" s="2322"/>
      <c r="AZ763" s="2322"/>
      <c r="BA763" s="2322"/>
      <c r="BB763" s="2322"/>
      <c r="BC763" s="2322"/>
      <c r="BD763" s="2322"/>
      <c r="BE763" s="2322"/>
      <c r="BF763" s="2322"/>
      <c r="BG763" s="2322"/>
      <c r="BH763" s="2322"/>
      <c r="BI763" s="2322"/>
      <c r="BJ763" s="2322"/>
      <c r="BK763" s="2322"/>
      <c r="BL763" s="2322"/>
      <c r="BM763" s="2322"/>
      <c r="BN763" s="2322"/>
      <c r="BO763" s="2322"/>
      <c r="BP763" s="2322"/>
      <c r="BQ763" s="2322"/>
      <c r="BR763" s="2322"/>
      <c r="BS763" s="2322"/>
      <c r="BT763" s="2322"/>
      <c r="BU763" s="2322"/>
      <c r="BV763" s="2322"/>
      <c r="BW763" s="2322"/>
      <c r="BX763" s="2322"/>
      <c r="BY763" s="2322"/>
      <c r="BZ763" s="2322"/>
      <c r="CA763" s="2322"/>
      <c r="CB763" s="2322"/>
      <c r="CC763" s="2322"/>
      <c r="CD763" s="2322"/>
      <c r="CE763" s="2322"/>
      <c r="CF763" s="2322"/>
      <c r="CG763" s="2322"/>
      <c r="CH763" s="2322"/>
      <c r="CI763" s="2322"/>
      <c r="CJ763" s="2322"/>
      <c r="CK763" s="2322"/>
      <c r="CL763" s="2322"/>
      <c r="CM763" s="2322"/>
      <c r="CN763" s="2322"/>
      <c r="CO763" s="2322"/>
      <c r="CP763" s="2322"/>
      <c r="CQ763" s="2322"/>
      <c r="CR763" s="2322"/>
      <c r="CS763" s="2322"/>
      <c r="CT763" s="2322"/>
      <c r="CU763" s="2322"/>
      <c r="CV763" s="2322"/>
    </row>
    <row r="764" spans="1:100" ht="15.75" customHeight="1">
      <c r="A764" s="2328"/>
      <c r="B764" s="2322"/>
      <c r="C764" s="2322"/>
      <c r="D764" s="2322"/>
      <c r="E764" s="2322"/>
      <c r="F764" s="2322"/>
      <c r="G764" s="2322"/>
      <c r="H764" s="2322"/>
      <c r="I764" s="2322"/>
      <c r="J764" s="2322"/>
      <c r="K764" s="2322"/>
      <c r="L764" s="2322"/>
      <c r="M764" s="2322"/>
      <c r="N764" s="2322"/>
      <c r="O764" s="2322"/>
      <c r="P764" s="2322"/>
      <c r="Q764" s="2322"/>
      <c r="R764" s="2322"/>
      <c r="S764" s="2322"/>
      <c r="T764" s="2322"/>
      <c r="U764" s="2322"/>
      <c r="V764" s="2322"/>
      <c r="W764" s="2322"/>
      <c r="X764" s="2322"/>
      <c r="Y764" s="2322"/>
      <c r="Z764" s="2322"/>
      <c r="AA764" s="2322"/>
      <c r="AB764" s="2322"/>
      <c r="AC764" s="2322"/>
      <c r="AD764" s="2322"/>
      <c r="AE764" s="2322"/>
      <c r="AF764" s="2322"/>
      <c r="AG764" s="2322"/>
      <c r="AH764" s="2322"/>
      <c r="AI764" s="2322"/>
      <c r="AJ764" s="2322"/>
      <c r="AK764" s="2322"/>
      <c r="AL764" s="2322"/>
      <c r="AM764" s="2322"/>
      <c r="AN764" s="2322"/>
      <c r="AO764" s="2322"/>
      <c r="AP764" s="2322"/>
      <c r="AQ764" s="2322"/>
      <c r="AR764" s="2322"/>
      <c r="AS764" s="2322"/>
      <c r="AT764" s="2322"/>
      <c r="AU764" s="2322"/>
      <c r="AV764" s="2322"/>
      <c r="AW764" s="2322"/>
      <c r="AX764" s="2322"/>
      <c r="AY764" s="2322"/>
      <c r="AZ764" s="2322"/>
      <c r="BA764" s="2322"/>
      <c r="BB764" s="2322"/>
      <c r="BC764" s="2322"/>
      <c r="BD764" s="2322"/>
      <c r="BE764" s="2322"/>
      <c r="BF764" s="2322"/>
      <c r="BG764" s="2322"/>
      <c r="BH764" s="2322"/>
      <c r="BI764" s="2322"/>
      <c r="BJ764" s="2322"/>
      <c r="BK764" s="2322"/>
      <c r="BL764" s="2322"/>
      <c r="BM764" s="2322"/>
      <c r="BN764" s="2322"/>
      <c r="BO764" s="2322"/>
      <c r="BP764" s="2322"/>
      <c r="BQ764" s="2322"/>
      <c r="BR764" s="2322"/>
      <c r="BS764" s="2322"/>
      <c r="BT764" s="2322"/>
      <c r="BU764" s="2322"/>
      <c r="BV764" s="2322"/>
      <c r="BW764" s="2322"/>
      <c r="BX764" s="2322"/>
      <c r="BY764" s="2322"/>
      <c r="BZ764" s="2322"/>
      <c r="CA764" s="2322"/>
      <c r="CB764" s="2322"/>
      <c r="CC764" s="2322"/>
      <c r="CD764" s="2322"/>
      <c r="CE764" s="2322"/>
      <c r="CF764" s="2322"/>
      <c r="CG764" s="2322"/>
      <c r="CH764" s="2322"/>
      <c r="CI764" s="2322"/>
      <c r="CJ764" s="2322"/>
      <c r="CK764" s="2322"/>
      <c r="CL764" s="2322"/>
      <c r="CM764" s="2322"/>
      <c r="CN764" s="2322"/>
      <c r="CO764" s="2322"/>
      <c r="CP764" s="2322"/>
      <c r="CQ764" s="2322"/>
      <c r="CR764" s="2322"/>
      <c r="CS764" s="2322"/>
      <c r="CT764" s="2322"/>
      <c r="CU764" s="2322"/>
      <c r="CV764" s="2322"/>
    </row>
    <row r="765" spans="1:100" ht="15.75" customHeight="1">
      <c r="A765" s="2328"/>
      <c r="B765" s="2322"/>
      <c r="C765" s="2322"/>
      <c r="D765" s="2322"/>
      <c r="E765" s="2322"/>
      <c r="F765" s="2322"/>
      <c r="G765" s="2322"/>
      <c r="H765" s="2322"/>
      <c r="I765" s="2322"/>
      <c r="J765" s="2322"/>
      <c r="K765" s="2322"/>
      <c r="L765" s="2322"/>
      <c r="M765" s="2322"/>
      <c r="N765" s="2322"/>
      <c r="O765" s="2322"/>
      <c r="P765" s="2322"/>
      <c r="Q765" s="2322"/>
      <c r="R765" s="2322"/>
      <c r="S765" s="2322"/>
      <c r="T765" s="2322"/>
      <c r="U765" s="2322"/>
      <c r="V765" s="2322"/>
      <c r="W765" s="2322"/>
      <c r="X765" s="2322"/>
      <c r="Y765" s="2322"/>
      <c r="Z765" s="2322"/>
      <c r="AA765" s="2322"/>
      <c r="AB765" s="2322"/>
      <c r="AC765" s="2322"/>
      <c r="AD765" s="2322"/>
      <c r="AE765" s="2322"/>
      <c r="AF765" s="2322"/>
      <c r="AG765" s="2322"/>
      <c r="AH765" s="2322"/>
      <c r="AI765" s="2322"/>
      <c r="AJ765" s="2322"/>
      <c r="AK765" s="2322"/>
      <c r="AL765" s="2322"/>
      <c r="AM765" s="2322"/>
      <c r="AN765" s="2322"/>
      <c r="AO765" s="2322"/>
      <c r="AP765" s="2322"/>
      <c r="AQ765" s="2322"/>
      <c r="AR765" s="2322"/>
      <c r="AS765" s="2322"/>
      <c r="AT765" s="2322"/>
      <c r="AU765" s="2322"/>
      <c r="AV765" s="2322"/>
      <c r="AW765" s="2322"/>
      <c r="AX765" s="2322"/>
      <c r="AY765" s="2322"/>
      <c r="AZ765" s="2322"/>
      <c r="BA765" s="2322"/>
      <c r="BB765" s="2322"/>
      <c r="BC765" s="2322"/>
      <c r="BD765" s="2322"/>
      <c r="BE765" s="2322"/>
      <c r="BF765" s="2322"/>
      <c r="BG765" s="2322"/>
      <c r="BH765" s="2322"/>
      <c r="BI765" s="2322"/>
      <c r="BJ765" s="2322"/>
      <c r="BK765" s="2322"/>
      <c r="BL765" s="2322"/>
      <c r="BM765" s="2322"/>
      <c r="BN765" s="2322"/>
      <c r="BO765" s="2322"/>
      <c r="BP765" s="2322"/>
      <c r="BQ765" s="2322"/>
      <c r="BR765" s="2322"/>
      <c r="BS765" s="2322"/>
      <c r="BT765" s="2322"/>
      <c r="BU765" s="2322"/>
      <c r="BV765" s="2322"/>
      <c r="BW765" s="2322"/>
      <c r="BX765" s="2322"/>
      <c r="BY765" s="2322"/>
      <c r="BZ765" s="2322"/>
      <c r="CA765" s="2322"/>
      <c r="CB765" s="2322"/>
      <c r="CC765" s="2322"/>
      <c r="CD765" s="2322"/>
      <c r="CE765" s="2322"/>
      <c r="CF765" s="2322"/>
      <c r="CG765" s="2322"/>
      <c r="CH765" s="2322"/>
      <c r="CI765" s="2322"/>
      <c r="CJ765" s="2322"/>
      <c r="CK765" s="2322"/>
      <c r="CL765" s="2322"/>
      <c r="CM765" s="2322"/>
      <c r="CN765" s="2322"/>
      <c r="CO765" s="2322"/>
      <c r="CP765" s="2322"/>
      <c r="CQ765" s="2322"/>
      <c r="CR765" s="2322"/>
      <c r="CS765" s="2322"/>
      <c r="CT765" s="2322"/>
      <c r="CU765" s="2322"/>
      <c r="CV765" s="2322"/>
    </row>
    <row r="766" spans="1:100" ht="15.75" customHeight="1">
      <c r="A766" s="2328"/>
      <c r="B766" s="2322"/>
      <c r="C766" s="2322"/>
      <c r="D766" s="2322"/>
      <c r="E766" s="2322"/>
      <c r="F766" s="2322"/>
      <c r="G766" s="2322"/>
      <c r="H766" s="2322"/>
      <c r="I766" s="2322"/>
      <c r="J766" s="2322"/>
      <c r="K766" s="2322"/>
      <c r="L766" s="2322"/>
      <c r="M766" s="2322"/>
      <c r="N766" s="2322"/>
      <c r="O766" s="2322"/>
      <c r="P766" s="2322"/>
      <c r="Q766" s="2322"/>
      <c r="R766" s="2322"/>
      <c r="S766" s="2322"/>
      <c r="T766" s="2322"/>
      <c r="U766" s="2322"/>
      <c r="V766" s="2322"/>
      <c r="W766" s="2322"/>
      <c r="X766" s="2322"/>
      <c r="Y766" s="2322"/>
      <c r="Z766" s="2322"/>
      <c r="AA766" s="2322"/>
      <c r="AB766" s="2322"/>
      <c r="AC766" s="2322"/>
      <c r="AD766" s="2322"/>
      <c r="AE766" s="2322"/>
      <c r="AF766" s="2322"/>
      <c r="AG766" s="2322"/>
      <c r="AH766" s="2322"/>
      <c r="AI766" s="2322"/>
      <c r="AJ766" s="2322"/>
      <c r="AK766" s="2322"/>
      <c r="AL766" s="2322"/>
      <c r="AM766" s="2322"/>
      <c r="AN766" s="2322"/>
      <c r="AO766" s="2322"/>
      <c r="AP766" s="2322"/>
      <c r="AQ766" s="2322"/>
      <c r="AR766" s="2322"/>
      <c r="AS766" s="2322"/>
      <c r="AT766" s="2322"/>
      <c r="AU766" s="2322"/>
      <c r="AV766" s="2322"/>
      <c r="AW766" s="2322"/>
      <c r="AX766" s="2322"/>
      <c r="AY766" s="2322"/>
      <c r="AZ766" s="2322"/>
      <c r="BA766" s="2322"/>
      <c r="BB766" s="2322"/>
      <c r="BC766" s="2322"/>
      <c r="BD766" s="2322"/>
      <c r="BE766" s="2322"/>
      <c r="BF766" s="2322"/>
      <c r="BG766" s="2322"/>
      <c r="BH766" s="2322"/>
      <c r="BI766" s="2322"/>
      <c r="BJ766" s="2322"/>
      <c r="BK766" s="2322"/>
      <c r="BL766" s="2322"/>
      <c r="BM766" s="2322"/>
      <c r="BN766" s="2322"/>
      <c r="BO766" s="2322"/>
      <c r="BP766" s="2322"/>
      <c r="BQ766" s="2322"/>
      <c r="BR766" s="2322"/>
      <c r="BS766" s="2322"/>
      <c r="BT766" s="2322"/>
      <c r="BU766" s="2322"/>
      <c r="BV766" s="2322"/>
      <c r="BW766" s="2322"/>
      <c r="BX766" s="2322"/>
      <c r="BY766" s="2322"/>
      <c r="BZ766" s="2322"/>
      <c r="CA766" s="2322"/>
      <c r="CB766" s="2322"/>
      <c r="CC766" s="2322"/>
      <c r="CD766" s="2322"/>
      <c r="CE766" s="2322"/>
      <c r="CF766" s="2322"/>
      <c r="CG766" s="2322"/>
      <c r="CH766" s="2322"/>
      <c r="CI766" s="2322"/>
      <c r="CJ766" s="2322"/>
      <c r="CK766" s="2322"/>
      <c r="CL766" s="2322"/>
      <c r="CM766" s="2322"/>
      <c r="CN766" s="2322"/>
      <c r="CO766" s="2322"/>
      <c r="CP766" s="2322"/>
      <c r="CQ766" s="2322"/>
      <c r="CR766" s="2322"/>
      <c r="CS766" s="2322"/>
      <c r="CT766" s="2322"/>
      <c r="CU766" s="2322"/>
      <c r="CV766" s="2322"/>
    </row>
    <row r="767" spans="1:100" ht="15.75" customHeight="1">
      <c r="A767" s="2328"/>
      <c r="B767" s="2322"/>
      <c r="C767" s="2322"/>
      <c r="D767" s="2322"/>
      <c r="E767" s="2322"/>
      <c r="F767" s="2322"/>
      <c r="G767" s="2322"/>
      <c r="H767" s="2322"/>
      <c r="I767" s="2322"/>
      <c r="J767" s="2322"/>
      <c r="K767" s="2322"/>
      <c r="L767" s="2322"/>
      <c r="M767" s="2322"/>
      <c r="N767" s="2322"/>
      <c r="O767" s="2322"/>
      <c r="P767" s="2322"/>
      <c r="Q767" s="2322"/>
      <c r="R767" s="2322"/>
      <c r="S767" s="2322"/>
      <c r="T767" s="2322"/>
      <c r="U767" s="2322"/>
      <c r="V767" s="2322"/>
      <c r="W767" s="2322"/>
      <c r="X767" s="2322"/>
      <c r="Y767" s="2322"/>
      <c r="Z767" s="2322"/>
      <c r="AA767" s="2322"/>
      <c r="AB767" s="2322"/>
      <c r="AC767" s="2322"/>
      <c r="AD767" s="2322"/>
      <c r="AE767" s="2322"/>
      <c r="AF767" s="2322"/>
      <c r="AG767" s="2322"/>
      <c r="AH767" s="2322"/>
      <c r="AI767" s="2322"/>
      <c r="AJ767" s="2322"/>
      <c r="AK767" s="2322"/>
      <c r="AL767" s="2322"/>
      <c r="AM767" s="2322"/>
      <c r="AN767" s="2322"/>
      <c r="AO767" s="2322"/>
      <c r="AP767" s="2322"/>
      <c r="AQ767" s="2322"/>
      <c r="AR767" s="2322"/>
      <c r="AS767" s="2322"/>
      <c r="AT767" s="2322"/>
      <c r="AU767" s="2322"/>
      <c r="AV767" s="2322"/>
      <c r="AW767" s="2322"/>
      <c r="AX767" s="2322"/>
      <c r="AY767" s="2322"/>
      <c r="AZ767" s="2322"/>
      <c r="BA767" s="2322"/>
      <c r="BB767" s="2322"/>
      <c r="BC767" s="2322"/>
      <c r="BD767" s="2322"/>
      <c r="BE767" s="2322"/>
      <c r="BF767" s="2322"/>
      <c r="BG767" s="2322"/>
      <c r="BH767" s="2322"/>
      <c r="BI767" s="2322"/>
      <c r="BJ767" s="2322"/>
      <c r="BK767" s="2322"/>
      <c r="BL767" s="2322"/>
      <c r="BM767" s="2322"/>
      <c r="BN767" s="2322"/>
      <c r="BO767" s="2322"/>
      <c r="BP767" s="2322"/>
      <c r="BQ767" s="2322"/>
      <c r="BR767" s="2322"/>
      <c r="BS767" s="2322"/>
      <c r="BT767" s="2322"/>
      <c r="BU767" s="2322"/>
      <c r="BV767" s="2322"/>
      <c r="BW767" s="2322"/>
      <c r="BX767" s="2322"/>
      <c r="BY767" s="2322"/>
      <c r="BZ767" s="2322"/>
      <c r="CA767" s="2322"/>
      <c r="CB767" s="2322"/>
      <c r="CC767" s="2322"/>
      <c r="CD767" s="2322"/>
      <c r="CE767" s="2322"/>
      <c r="CF767" s="2322"/>
      <c r="CG767" s="2322"/>
      <c r="CH767" s="2322"/>
      <c r="CI767" s="2322"/>
      <c r="CJ767" s="2322"/>
      <c r="CK767" s="2322"/>
      <c r="CL767" s="2322"/>
      <c r="CM767" s="2322"/>
      <c r="CN767" s="2322"/>
      <c r="CO767" s="2322"/>
      <c r="CP767" s="2322"/>
      <c r="CQ767" s="2322"/>
      <c r="CR767" s="2322"/>
      <c r="CS767" s="2322"/>
      <c r="CT767" s="2322"/>
      <c r="CU767" s="2322"/>
      <c r="CV767" s="2322"/>
    </row>
    <row r="768" spans="1:100" ht="15.75" customHeight="1">
      <c r="A768" s="2328"/>
      <c r="B768" s="2322"/>
      <c r="C768" s="2322"/>
      <c r="D768" s="2322"/>
      <c r="E768" s="2322"/>
      <c r="F768" s="2322"/>
      <c r="G768" s="2322"/>
      <c r="H768" s="2322"/>
      <c r="I768" s="2322"/>
      <c r="J768" s="2322"/>
      <c r="K768" s="2322"/>
      <c r="L768" s="2322"/>
      <c r="M768" s="2322"/>
      <c r="N768" s="2322"/>
      <c r="O768" s="2322"/>
      <c r="P768" s="2322"/>
      <c r="Q768" s="2322"/>
      <c r="R768" s="2322"/>
      <c r="S768" s="2322"/>
      <c r="T768" s="2322"/>
      <c r="U768" s="2322"/>
      <c r="V768" s="2322"/>
      <c r="W768" s="2322"/>
      <c r="X768" s="2322"/>
      <c r="Y768" s="2322"/>
      <c r="Z768" s="2322"/>
      <c r="AA768" s="2322"/>
      <c r="AB768" s="2322"/>
      <c r="AC768" s="2322"/>
      <c r="AD768" s="2322"/>
      <c r="AE768" s="2322"/>
      <c r="AF768" s="2322"/>
      <c r="AG768" s="2322"/>
      <c r="AH768" s="2322"/>
      <c r="AI768" s="2322"/>
      <c r="AJ768" s="2322"/>
      <c r="AK768" s="2322"/>
      <c r="AL768" s="2322"/>
      <c r="AM768" s="2322"/>
      <c r="AN768" s="2322"/>
      <c r="AO768" s="2322"/>
      <c r="AP768" s="2322"/>
      <c r="AQ768" s="2322"/>
      <c r="AR768" s="2322"/>
      <c r="AS768" s="2322"/>
      <c r="AT768" s="2322"/>
      <c r="AU768" s="2322"/>
      <c r="AV768" s="2322"/>
      <c r="AW768" s="2322"/>
      <c r="AX768" s="2322"/>
      <c r="AY768" s="2322"/>
      <c r="AZ768" s="2322"/>
      <c r="BA768" s="2322"/>
      <c r="BB768" s="2322"/>
      <c r="BC768" s="2322"/>
      <c r="BD768" s="2322"/>
      <c r="BE768" s="2322"/>
      <c r="BF768" s="2322"/>
      <c r="BG768" s="2322"/>
      <c r="BH768" s="2322"/>
      <c r="BI768" s="2322"/>
      <c r="BJ768" s="2322"/>
      <c r="BK768" s="2322"/>
      <c r="BL768" s="2322"/>
      <c r="BM768" s="2322"/>
      <c r="BN768" s="2322"/>
      <c r="BO768" s="2322"/>
      <c r="BP768" s="2322"/>
      <c r="BQ768" s="2322"/>
      <c r="BR768" s="2322"/>
      <c r="BS768" s="2322"/>
      <c r="BT768" s="2322"/>
      <c r="BU768" s="2322"/>
      <c r="BV768" s="2322"/>
      <c r="BW768" s="2322"/>
      <c r="BX768" s="2322"/>
      <c r="BY768" s="2322"/>
      <c r="BZ768" s="2322"/>
      <c r="CA768" s="2322"/>
      <c r="CB768" s="2322"/>
      <c r="CC768" s="2322"/>
      <c r="CD768" s="2322"/>
      <c r="CE768" s="2322"/>
      <c r="CF768" s="2322"/>
      <c r="CG768" s="2322"/>
      <c r="CH768" s="2322"/>
      <c r="CI768" s="2322"/>
      <c r="CJ768" s="2322"/>
      <c r="CK768" s="2322"/>
      <c r="CL768" s="2322"/>
      <c r="CM768" s="2322"/>
      <c r="CN768" s="2322"/>
      <c r="CO768" s="2322"/>
      <c r="CP768" s="2322"/>
      <c r="CQ768" s="2322"/>
      <c r="CR768" s="2322"/>
      <c r="CS768" s="2322"/>
      <c r="CT768" s="2322"/>
      <c r="CU768" s="2322"/>
      <c r="CV768" s="2322"/>
    </row>
    <row r="769" spans="1:100" ht="15.75" customHeight="1">
      <c r="A769" s="2328"/>
      <c r="B769" s="2322"/>
      <c r="C769" s="2322"/>
      <c r="D769" s="2322"/>
      <c r="E769" s="2322"/>
      <c r="F769" s="2322"/>
      <c r="G769" s="2322"/>
      <c r="H769" s="2322"/>
      <c r="I769" s="2322"/>
      <c r="J769" s="2322"/>
      <c r="K769" s="2322"/>
      <c r="L769" s="2322"/>
      <c r="M769" s="2322"/>
      <c r="N769" s="2322"/>
      <c r="O769" s="2322"/>
      <c r="P769" s="2322"/>
      <c r="Q769" s="2322"/>
      <c r="R769" s="2322"/>
      <c r="S769" s="2322"/>
      <c r="T769" s="2322"/>
      <c r="U769" s="2322"/>
      <c r="V769" s="2322"/>
      <c r="W769" s="2322"/>
      <c r="X769" s="2322"/>
      <c r="Y769" s="2322"/>
      <c r="Z769" s="2322"/>
      <c r="AA769" s="2322"/>
      <c r="AB769" s="2322"/>
      <c r="AC769" s="2322"/>
      <c r="AD769" s="2322"/>
      <c r="AE769" s="2322"/>
      <c r="AF769" s="2322"/>
      <c r="AG769" s="2322"/>
      <c r="AH769" s="2322"/>
      <c r="AI769" s="2322"/>
      <c r="AJ769" s="2322"/>
      <c r="AK769" s="2322"/>
      <c r="AL769" s="2322"/>
      <c r="AM769" s="2322"/>
      <c r="AN769" s="2322"/>
      <c r="AO769" s="2322"/>
      <c r="AP769" s="2322"/>
      <c r="AQ769" s="2322"/>
      <c r="AR769" s="2322"/>
      <c r="AS769" s="2322"/>
      <c r="AT769" s="2322"/>
      <c r="AU769" s="2322"/>
      <c r="AV769" s="2322"/>
      <c r="AW769" s="2322"/>
      <c r="AX769" s="2322"/>
      <c r="AY769" s="2322"/>
      <c r="AZ769" s="2322"/>
      <c r="BA769" s="2322"/>
      <c r="BB769" s="2322"/>
      <c r="BC769" s="2322"/>
      <c r="BD769" s="2322"/>
      <c r="BE769" s="2322"/>
      <c r="BF769" s="2322"/>
      <c r="BG769" s="2322"/>
      <c r="BH769" s="2322"/>
      <c r="BI769" s="2322"/>
      <c r="BJ769" s="2322"/>
      <c r="BK769" s="2322"/>
      <c r="BL769" s="2322"/>
      <c r="BM769" s="2322"/>
      <c r="BN769" s="2322"/>
      <c r="BO769" s="2322"/>
      <c r="BP769" s="2322"/>
      <c r="BQ769" s="2322"/>
      <c r="BR769" s="2322"/>
      <c r="BS769" s="2322"/>
      <c r="BT769" s="2322"/>
      <c r="BU769" s="2322"/>
      <c r="BV769" s="2322"/>
      <c r="BW769" s="2322"/>
      <c r="BX769" s="2322"/>
      <c r="BY769" s="2322"/>
      <c r="BZ769" s="2322"/>
      <c r="CA769" s="2322"/>
      <c r="CB769" s="2322"/>
      <c r="CC769" s="2322"/>
      <c r="CD769" s="2322"/>
      <c r="CE769" s="2322"/>
      <c r="CF769" s="2322"/>
      <c r="CG769" s="2322"/>
      <c r="CH769" s="2322"/>
      <c r="CI769" s="2322"/>
      <c r="CJ769" s="2322"/>
      <c r="CK769" s="2322"/>
      <c r="CL769" s="2322"/>
      <c r="CM769" s="2322"/>
      <c r="CN769" s="2322"/>
      <c r="CO769" s="2322"/>
      <c r="CP769" s="2322"/>
      <c r="CQ769" s="2322"/>
      <c r="CR769" s="2322"/>
      <c r="CS769" s="2322"/>
      <c r="CT769" s="2322"/>
      <c r="CU769" s="2322"/>
      <c r="CV769" s="2322"/>
    </row>
    <row r="770" spans="1:100" ht="15.75" customHeight="1">
      <c r="A770" s="2328"/>
      <c r="B770" s="2322"/>
      <c r="C770" s="2322"/>
      <c r="D770" s="2322"/>
      <c r="E770" s="2322"/>
      <c r="F770" s="2322"/>
      <c r="G770" s="2322"/>
      <c r="H770" s="2322"/>
      <c r="I770" s="2322"/>
      <c r="J770" s="2322"/>
      <c r="K770" s="2322"/>
      <c r="L770" s="2322"/>
      <c r="M770" s="2322"/>
      <c r="N770" s="2322"/>
      <c r="O770" s="2322"/>
      <c r="P770" s="2322"/>
      <c r="Q770" s="2322"/>
      <c r="R770" s="2322"/>
      <c r="S770" s="2322"/>
      <c r="T770" s="2322"/>
      <c r="U770" s="2322"/>
      <c r="V770" s="2322"/>
      <c r="W770" s="2322"/>
      <c r="X770" s="2322"/>
      <c r="Y770" s="2322"/>
      <c r="Z770" s="2322"/>
      <c r="AA770" s="2322"/>
      <c r="AB770" s="2322"/>
      <c r="AC770" s="2322"/>
      <c r="AD770" s="2322"/>
      <c r="AE770" s="2322"/>
      <c r="AF770" s="2322"/>
      <c r="AG770" s="2322"/>
      <c r="AH770" s="2322"/>
      <c r="AI770" s="2322"/>
      <c r="AJ770" s="2322"/>
      <c r="AK770" s="2322"/>
      <c r="AL770" s="2322"/>
      <c r="AM770" s="2322"/>
      <c r="AN770" s="2322"/>
      <c r="AO770" s="2322"/>
      <c r="AP770" s="2322"/>
      <c r="AQ770" s="2322"/>
      <c r="AR770" s="2322"/>
      <c r="AS770" s="2322"/>
      <c r="AT770" s="2322"/>
      <c r="AU770" s="2322"/>
      <c r="AV770" s="2322"/>
      <c r="AW770" s="2322"/>
      <c r="AX770" s="2322"/>
      <c r="AY770" s="2322"/>
      <c r="AZ770" s="2322"/>
      <c r="BA770" s="2322"/>
      <c r="BB770" s="2322"/>
      <c r="BC770" s="2322"/>
      <c r="BD770" s="2322"/>
      <c r="BE770" s="2322"/>
      <c r="BF770" s="2322"/>
      <c r="BG770" s="2322"/>
      <c r="BH770" s="2322"/>
      <c r="BI770" s="2322"/>
      <c r="BJ770" s="2322"/>
      <c r="BK770" s="2322"/>
      <c r="BL770" s="2322"/>
      <c r="BM770" s="2322"/>
      <c r="BN770" s="2322"/>
      <c r="BO770" s="2322"/>
      <c r="BP770" s="2322"/>
      <c r="BQ770" s="2322"/>
      <c r="BR770" s="2322"/>
      <c r="BS770" s="2322"/>
      <c r="BT770" s="2322"/>
      <c r="BU770" s="2322"/>
      <c r="BV770" s="2322"/>
      <c r="BW770" s="2322"/>
      <c r="BX770" s="2322"/>
      <c r="BY770" s="2322"/>
      <c r="BZ770" s="2322"/>
      <c r="CA770" s="2322"/>
      <c r="CB770" s="2322"/>
      <c r="CC770" s="2322"/>
      <c r="CD770" s="2322"/>
      <c r="CE770" s="2322"/>
      <c r="CF770" s="2322"/>
      <c r="CG770" s="2322"/>
      <c r="CH770" s="2322"/>
      <c r="CI770" s="2322"/>
      <c r="CJ770" s="2322"/>
      <c r="CK770" s="2322"/>
      <c r="CL770" s="2322"/>
      <c r="CM770" s="2322"/>
      <c r="CN770" s="2322"/>
      <c r="CO770" s="2322"/>
      <c r="CP770" s="2322"/>
      <c r="CQ770" s="2322"/>
      <c r="CR770" s="2322"/>
      <c r="CS770" s="2322"/>
      <c r="CT770" s="2322"/>
      <c r="CU770" s="2322"/>
      <c r="CV770" s="2322"/>
    </row>
    <row r="771" spans="1:100" ht="15.75" customHeight="1">
      <c r="A771" s="2328"/>
      <c r="B771" s="2322"/>
      <c r="C771" s="2322"/>
      <c r="D771" s="2322"/>
      <c r="E771" s="2322"/>
      <c r="F771" s="2322"/>
      <c r="G771" s="2322"/>
      <c r="H771" s="2322"/>
      <c r="I771" s="2322"/>
      <c r="J771" s="2322"/>
      <c r="K771" s="2322"/>
      <c r="L771" s="2322"/>
      <c r="M771" s="2322"/>
      <c r="N771" s="2322"/>
      <c r="O771" s="2322"/>
      <c r="P771" s="2322"/>
      <c r="Q771" s="2322"/>
      <c r="R771" s="2322"/>
      <c r="S771" s="2322"/>
      <c r="T771" s="2322"/>
      <c r="U771" s="2322"/>
      <c r="V771" s="2322"/>
      <c r="W771" s="2322"/>
      <c r="X771" s="2322"/>
      <c r="Y771" s="2322"/>
      <c r="Z771" s="2322"/>
      <c r="AA771" s="2322"/>
      <c r="AB771" s="2322"/>
      <c r="AC771" s="2322"/>
      <c r="AD771" s="2322"/>
      <c r="AE771" s="2322"/>
      <c r="AF771" s="2322"/>
      <c r="AG771" s="2322"/>
      <c r="AH771" s="2322"/>
      <c r="AI771" s="2322"/>
      <c r="AJ771" s="2322"/>
      <c r="AK771" s="2322"/>
      <c r="AL771" s="2322"/>
      <c r="AM771" s="2322"/>
      <c r="AN771" s="2322"/>
      <c r="AO771" s="2322"/>
      <c r="AP771" s="2322"/>
      <c r="AQ771" s="2322"/>
      <c r="AR771" s="2322"/>
      <c r="AS771" s="2322"/>
      <c r="AT771" s="2322"/>
      <c r="AU771" s="2322"/>
      <c r="AV771" s="2322"/>
      <c r="AW771" s="2322"/>
      <c r="AX771" s="2322"/>
      <c r="AY771" s="2322"/>
      <c r="AZ771" s="2322"/>
      <c r="BA771" s="2322"/>
      <c r="BB771" s="2322"/>
      <c r="BC771" s="2322"/>
      <c r="BD771" s="2322"/>
      <c r="BE771" s="2322"/>
      <c r="BF771" s="2322"/>
      <c r="BG771" s="2322"/>
      <c r="BH771" s="2322"/>
      <c r="BI771" s="2322"/>
      <c r="BJ771" s="2322"/>
      <c r="BK771" s="2322"/>
      <c r="BL771" s="2322"/>
      <c r="BM771" s="2322"/>
      <c r="BN771" s="2322"/>
      <c r="BO771" s="2322"/>
      <c r="BP771" s="2322"/>
      <c r="BQ771" s="2322"/>
      <c r="BR771" s="2322"/>
      <c r="BS771" s="2322"/>
      <c r="BT771" s="2322"/>
      <c r="BU771" s="2322"/>
      <c r="BV771" s="2322"/>
      <c r="BW771" s="2322"/>
      <c r="BX771" s="2322"/>
      <c r="BY771" s="2322"/>
      <c r="BZ771" s="2322"/>
      <c r="CA771" s="2322"/>
      <c r="CB771" s="2322"/>
      <c r="CC771" s="2322"/>
      <c r="CD771" s="2322"/>
      <c r="CE771" s="2322"/>
      <c r="CF771" s="2322"/>
      <c r="CG771" s="2322"/>
      <c r="CH771" s="2322"/>
      <c r="CI771" s="2322"/>
      <c r="CJ771" s="2322"/>
      <c r="CK771" s="2322"/>
      <c r="CL771" s="2322"/>
      <c r="CM771" s="2322"/>
      <c r="CN771" s="2322"/>
      <c r="CO771" s="2322"/>
      <c r="CP771" s="2322"/>
      <c r="CQ771" s="2322"/>
      <c r="CR771" s="2322"/>
      <c r="CS771" s="2322"/>
      <c r="CT771" s="2322"/>
      <c r="CU771" s="2322"/>
      <c r="CV771" s="2322"/>
    </row>
    <row r="772" spans="1:100" ht="15.75" customHeight="1">
      <c r="A772" s="2328"/>
      <c r="B772" s="2322"/>
      <c r="C772" s="2322"/>
      <c r="D772" s="2322"/>
      <c r="E772" s="2322"/>
      <c r="F772" s="2322"/>
      <c r="G772" s="2322"/>
      <c r="H772" s="2322"/>
      <c r="I772" s="2322"/>
      <c r="J772" s="2322"/>
      <c r="K772" s="2322"/>
      <c r="L772" s="2322"/>
      <c r="M772" s="2322"/>
      <c r="N772" s="2322"/>
      <c r="O772" s="2322"/>
      <c r="P772" s="2322"/>
      <c r="Q772" s="2322"/>
      <c r="R772" s="2322"/>
      <c r="S772" s="2322"/>
      <c r="T772" s="2322"/>
      <c r="U772" s="2322"/>
      <c r="V772" s="2322"/>
      <c r="W772" s="2322"/>
      <c r="X772" s="2322"/>
      <c r="Y772" s="2322"/>
      <c r="Z772" s="2322"/>
      <c r="AA772" s="2322"/>
      <c r="AB772" s="2322"/>
      <c r="AC772" s="2322"/>
      <c r="AD772" s="2322"/>
      <c r="AE772" s="2322"/>
      <c r="AF772" s="2322"/>
      <c r="AG772" s="2322"/>
      <c r="AH772" s="2322"/>
      <c r="AI772" s="2322"/>
      <c r="AJ772" s="2322"/>
      <c r="AK772" s="2322"/>
      <c r="AL772" s="2322"/>
      <c r="AM772" s="2322"/>
      <c r="AN772" s="2322"/>
      <c r="AO772" s="2322"/>
      <c r="AP772" s="2322"/>
      <c r="AQ772" s="2322"/>
      <c r="AR772" s="2322"/>
      <c r="AS772" s="2322"/>
      <c r="AT772" s="2322"/>
      <c r="AU772" s="2322"/>
      <c r="AV772" s="2322"/>
      <c r="AW772" s="2322"/>
      <c r="AX772" s="2322"/>
      <c r="AY772" s="2322"/>
      <c r="AZ772" s="2322"/>
      <c r="BA772" s="2322"/>
      <c r="BB772" s="2322"/>
      <c r="BC772" s="2322"/>
      <c r="BD772" s="2322"/>
      <c r="BE772" s="2322"/>
      <c r="BF772" s="2322"/>
      <c r="BG772" s="2322"/>
      <c r="BH772" s="2322"/>
      <c r="BI772" s="2322"/>
      <c r="BJ772" s="2322"/>
      <c r="BK772" s="2322"/>
      <c r="BL772" s="2322"/>
      <c r="BM772" s="2322"/>
      <c r="BN772" s="2322"/>
      <c r="BO772" s="2322"/>
      <c r="BP772" s="2322"/>
      <c r="BQ772" s="2322"/>
      <c r="BR772" s="2322"/>
      <c r="BS772" s="2322"/>
      <c r="BT772" s="2322"/>
      <c r="BU772" s="2322"/>
      <c r="BV772" s="2322"/>
      <c r="BW772" s="2322"/>
      <c r="BX772" s="2322"/>
      <c r="BY772" s="2322"/>
      <c r="BZ772" s="2322"/>
      <c r="CA772" s="2322"/>
      <c r="CB772" s="2322"/>
      <c r="CC772" s="2322"/>
      <c r="CD772" s="2322"/>
      <c r="CE772" s="2322"/>
      <c r="CF772" s="2322"/>
      <c r="CG772" s="2322"/>
      <c r="CH772" s="2322"/>
      <c r="CI772" s="2322"/>
      <c r="CJ772" s="2322"/>
      <c r="CK772" s="2322"/>
      <c r="CL772" s="2322"/>
      <c r="CM772" s="2322"/>
      <c r="CN772" s="2322"/>
      <c r="CO772" s="2322"/>
      <c r="CP772" s="2322"/>
      <c r="CQ772" s="2322"/>
      <c r="CR772" s="2322"/>
      <c r="CS772" s="2322"/>
      <c r="CT772" s="2322"/>
      <c r="CU772" s="2322"/>
      <c r="CV772" s="2322"/>
    </row>
    <row r="773" spans="1:100" ht="15.75" customHeight="1">
      <c r="A773" s="2328"/>
      <c r="B773" s="2322"/>
      <c r="C773" s="2322"/>
      <c r="D773" s="2322"/>
      <c r="E773" s="2322"/>
      <c r="F773" s="2322"/>
      <c r="G773" s="2322"/>
      <c r="H773" s="2322"/>
      <c r="I773" s="2322"/>
      <c r="J773" s="2322"/>
      <c r="K773" s="2322"/>
      <c r="L773" s="2322"/>
      <c r="M773" s="2322"/>
      <c r="N773" s="2322"/>
      <c r="O773" s="2322"/>
      <c r="P773" s="2322"/>
      <c r="Q773" s="2322"/>
      <c r="R773" s="2322"/>
      <c r="S773" s="2322"/>
      <c r="T773" s="2322"/>
      <c r="U773" s="2322"/>
      <c r="V773" s="2322"/>
      <c r="W773" s="2322"/>
      <c r="X773" s="2322"/>
      <c r="Y773" s="2322"/>
      <c r="Z773" s="2322"/>
      <c r="AA773" s="2322"/>
      <c r="AB773" s="2322"/>
      <c r="AC773" s="2322"/>
      <c r="AD773" s="2322"/>
      <c r="AE773" s="2322"/>
      <c r="AF773" s="2322"/>
      <c r="AG773" s="2322"/>
      <c r="AH773" s="2322"/>
      <c r="AI773" s="2322"/>
      <c r="AJ773" s="2322"/>
      <c r="AK773" s="2322"/>
      <c r="AL773" s="2322"/>
      <c r="AM773" s="2322"/>
      <c r="AN773" s="2322"/>
      <c r="AO773" s="2322"/>
      <c r="AP773" s="2322"/>
      <c r="AQ773" s="2322"/>
      <c r="AR773" s="2322"/>
      <c r="AS773" s="2322"/>
      <c r="AT773" s="2322"/>
      <c r="AU773" s="2322"/>
      <c r="AV773" s="2322"/>
      <c r="AW773" s="2322"/>
      <c r="AX773" s="2322"/>
      <c r="AY773" s="2322"/>
      <c r="AZ773" s="2322"/>
      <c r="BA773" s="2322"/>
      <c r="BB773" s="2322"/>
      <c r="BC773" s="2322"/>
      <c r="BD773" s="2322"/>
      <c r="BE773" s="2322"/>
      <c r="BF773" s="2322"/>
      <c r="BG773" s="2322"/>
      <c r="BH773" s="2322"/>
      <c r="BI773" s="2322"/>
      <c r="BJ773" s="2322"/>
      <c r="BK773" s="2322"/>
      <c r="BL773" s="2322"/>
      <c r="BM773" s="2322"/>
      <c r="BN773" s="2322"/>
      <c r="BO773" s="2322"/>
      <c r="BP773" s="2322"/>
      <c r="BQ773" s="2322"/>
      <c r="BR773" s="2322"/>
      <c r="BS773" s="2322"/>
      <c r="BT773" s="2322"/>
      <c r="BU773" s="2322"/>
      <c r="BV773" s="2322"/>
      <c r="BW773" s="2322"/>
      <c r="BX773" s="2322"/>
      <c r="BY773" s="2322"/>
      <c r="BZ773" s="2322"/>
      <c r="CA773" s="2322"/>
      <c r="CB773" s="2322"/>
      <c r="CC773" s="2322"/>
      <c r="CD773" s="2322"/>
      <c r="CE773" s="2322"/>
      <c r="CF773" s="2322"/>
      <c r="CG773" s="2322"/>
      <c r="CH773" s="2322"/>
      <c r="CI773" s="2322"/>
      <c r="CJ773" s="2322"/>
      <c r="CK773" s="2322"/>
      <c r="CL773" s="2322"/>
      <c r="CM773" s="2322"/>
      <c r="CN773" s="2322"/>
      <c r="CO773" s="2322"/>
      <c r="CP773" s="2322"/>
      <c r="CQ773" s="2322"/>
      <c r="CR773" s="2322"/>
      <c r="CS773" s="2322"/>
      <c r="CT773" s="2322"/>
      <c r="CU773" s="2322"/>
      <c r="CV773" s="2322"/>
    </row>
    <row r="774" spans="1:100" ht="15.75" customHeight="1">
      <c r="A774" s="2328"/>
      <c r="B774" s="2322"/>
      <c r="C774" s="2322"/>
      <c r="D774" s="2322"/>
      <c r="E774" s="2322"/>
      <c r="F774" s="2322"/>
      <c r="G774" s="2322"/>
      <c r="H774" s="2322"/>
      <c r="I774" s="2322"/>
      <c r="J774" s="2322"/>
      <c r="K774" s="2322"/>
      <c r="L774" s="2322"/>
      <c r="M774" s="2322"/>
      <c r="N774" s="2322"/>
      <c r="O774" s="2322"/>
      <c r="P774" s="2322"/>
      <c r="Q774" s="2322"/>
      <c r="R774" s="2322"/>
      <c r="S774" s="2322"/>
      <c r="T774" s="2322"/>
      <c r="U774" s="2322"/>
      <c r="V774" s="2322"/>
      <c r="W774" s="2322"/>
      <c r="X774" s="2322"/>
      <c r="Y774" s="2322"/>
      <c r="Z774" s="2322"/>
      <c r="AA774" s="2322"/>
      <c r="AB774" s="2322"/>
      <c r="AC774" s="2322"/>
      <c r="AD774" s="2322"/>
      <c r="AE774" s="2322"/>
      <c r="AF774" s="2322"/>
      <c r="AG774" s="2322"/>
      <c r="AH774" s="2322"/>
      <c r="AI774" s="2322"/>
      <c r="AJ774" s="2322"/>
      <c r="AK774" s="2322"/>
      <c r="AL774" s="2322"/>
      <c r="AM774" s="2322"/>
      <c r="AN774" s="2322"/>
      <c r="AO774" s="2322"/>
      <c r="AP774" s="2322"/>
      <c r="AQ774" s="2322"/>
      <c r="AR774" s="2322"/>
      <c r="AS774" s="2322"/>
      <c r="AT774" s="2322"/>
      <c r="AU774" s="2322"/>
      <c r="AV774" s="2322"/>
      <c r="AW774" s="2322"/>
      <c r="AX774" s="2322"/>
      <c r="AY774" s="2322"/>
      <c r="AZ774" s="2322"/>
      <c r="BA774" s="2322"/>
      <c r="BB774" s="2322"/>
      <c r="BC774" s="2322"/>
      <c r="BD774" s="2322"/>
      <c r="BE774" s="2322"/>
      <c r="BF774" s="2322"/>
      <c r="BG774" s="2322"/>
      <c r="BH774" s="2322"/>
      <c r="BI774" s="2322"/>
      <c r="BJ774" s="2322"/>
      <c r="BK774" s="2322"/>
      <c r="BL774" s="2322"/>
      <c r="BM774" s="2322"/>
      <c r="BN774" s="2322"/>
      <c r="BO774" s="2322"/>
      <c r="BP774" s="2322"/>
      <c r="BQ774" s="2322"/>
      <c r="BR774" s="2322"/>
      <c r="BS774" s="2322"/>
      <c r="BT774" s="2322"/>
      <c r="BU774" s="2322"/>
      <c r="BV774" s="2322"/>
      <c r="BW774" s="2322"/>
      <c r="BX774" s="2322"/>
      <c r="BY774" s="2322"/>
      <c r="BZ774" s="2322"/>
      <c r="CA774" s="2322"/>
      <c r="CB774" s="2322"/>
      <c r="CC774" s="2322"/>
      <c r="CD774" s="2322"/>
      <c r="CE774" s="2322"/>
      <c r="CF774" s="2322"/>
      <c r="CG774" s="2322"/>
      <c r="CH774" s="2322"/>
      <c r="CI774" s="2322"/>
      <c r="CJ774" s="2322"/>
      <c r="CK774" s="2322"/>
      <c r="CL774" s="2322"/>
      <c r="CM774" s="2322"/>
      <c r="CN774" s="2322"/>
      <c r="CO774" s="2322"/>
      <c r="CP774" s="2322"/>
      <c r="CQ774" s="2322"/>
      <c r="CR774" s="2322"/>
      <c r="CS774" s="2322"/>
      <c r="CT774" s="2322"/>
      <c r="CU774" s="2322"/>
      <c r="CV774" s="2322"/>
    </row>
    <row r="775" spans="1:100" ht="15.75" customHeight="1">
      <c r="A775" s="2328"/>
      <c r="B775" s="2322"/>
      <c r="C775" s="2322"/>
      <c r="D775" s="2322"/>
      <c r="E775" s="2322"/>
      <c r="F775" s="2322"/>
      <c r="G775" s="2322"/>
      <c r="H775" s="2322"/>
      <c r="I775" s="2322"/>
      <c r="J775" s="2322"/>
      <c r="K775" s="2322"/>
      <c r="L775" s="2322"/>
      <c r="M775" s="2322"/>
      <c r="N775" s="2322"/>
      <c r="O775" s="2322"/>
      <c r="P775" s="2322"/>
      <c r="Q775" s="2322"/>
      <c r="R775" s="2322"/>
      <c r="S775" s="2322"/>
      <c r="T775" s="2322"/>
      <c r="U775" s="2322"/>
      <c r="V775" s="2322"/>
      <c r="W775" s="2322"/>
      <c r="X775" s="2322"/>
      <c r="Y775" s="2322"/>
      <c r="Z775" s="2322"/>
      <c r="AA775" s="2322"/>
      <c r="AB775" s="2322"/>
      <c r="AC775" s="2322"/>
      <c r="AD775" s="2322"/>
      <c r="AE775" s="2322"/>
      <c r="AF775" s="2322"/>
      <c r="AG775" s="2322"/>
      <c r="AH775" s="2322"/>
      <c r="AI775" s="2322"/>
      <c r="AJ775" s="2322"/>
      <c r="AK775" s="2322"/>
      <c r="AL775" s="2322"/>
      <c r="AM775" s="2322"/>
      <c r="AN775" s="2322"/>
      <c r="AO775" s="2322"/>
      <c r="AP775" s="2322"/>
      <c r="AQ775" s="2322"/>
      <c r="AR775" s="2322"/>
      <c r="AS775" s="2322"/>
      <c r="AT775" s="2322"/>
      <c r="AU775" s="2322"/>
      <c r="AV775" s="2322"/>
      <c r="AW775" s="2322"/>
      <c r="AX775" s="2322"/>
      <c r="AY775" s="2322"/>
      <c r="AZ775" s="2322"/>
      <c r="BA775" s="2322"/>
      <c r="BB775" s="2322"/>
      <c r="BC775" s="2322"/>
      <c r="BD775" s="2322"/>
      <c r="BE775" s="2322"/>
      <c r="BF775" s="2322"/>
      <c r="BG775" s="2322"/>
      <c r="BH775" s="2322"/>
      <c r="BI775" s="2322"/>
      <c r="BJ775" s="2322"/>
      <c r="BK775" s="2322"/>
      <c r="BL775" s="2322"/>
      <c r="BM775" s="2322"/>
      <c r="BN775" s="2322"/>
      <c r="BO775" s="2322"/>
      <c r="BP775" s="2322"/>
      <c r="BQ775" s="2322"/>
      <c r="BR775" s="2322"/>
      <c r="BS775" s="2322"/>
      <c r="BT775" s="2322"/>
      <c r="BU775" s="2322"/>
      <c r="BV775" s="2322"/>
      <c r="BW775" s="2322"/>
      <c r="BX775" s="2322"/>
      <c r="BY775" s="2322"/>
      <c r="BZ775" s="2322"/>
      <c r="CA775" s="2322"/>
      <c r="CB775" s="2322"/>
      <c r="CC775" s="2322"/>
      <c r="CD775" s="2322"/>
      <c r="CE775" s="2322"/>
      <c r="CF775" s="2322"/>
      <c r="CG775" s="2322"/>
      <c r="CH775" s="2322"/>
      <c r="CI775" s="2322"/>
      <c r="CJ775" s="2322"/>
      <c r="CK775" s="2322"/>
      <c r="CL775" s="2322"/>
      <c r="CM775" s="2322"/>
      <c r="CN775" s="2322"/>
      <c r="CO775" s="2322"/>
      <c r="CP775" s="2322"/>
      <c r="CQ775" s="2322"/>
      <c r="CR775" s="2322"/>
      <c r="CS775" s="2322"/>
      <c r="CT775" s="2322"/>
      <c r="CU775" s="2322"/>
      <c r="CV775" s="2322"/>
    </row>
    <row r="776" spans="1:100" ht="15.75" customHeight="1">
      <c r="A776" s="2328"/>
      <c r="B776" s="2322"/>
      <c r="C776" s="2322"/>
      <c r="D776" s="2322"/>
      <c r="E776" s="2322"/>
      <c r="F776" s="2322"/>
      <c r="G776" s="2322"/>
      <c r="H776" s="2322"/>
      <c r="I776" s="2322"/>
      <c r="J776" s="2322"/>
      <c r="K776" s="2322"/>
      <c r="L776" s="2322"/>
      <c r="M776" s="2322"/>
      <c r="N776" s="2322"/>
      <c r="O776" s="2322"/>
      <c r="P776" s="2322"/>
      <c r="Q776" s="2322"/>
      <c r="R776" s="2322"/>
      <c r="S776" s="2322"/>
      <c r="T776" s="2322"/>
      <c r="U776" s="2322"/>
      <c r="V776" s="2322"/>
      <c r="W776" s="2322"/>
      <c r="X776" s="2322"/>
      <c r="Y776" s="2322"/>
      <c r="Z776" s="2322"/>
      <c r="AA776" s="2322"/>
      <c r="AB776" s="2322"/>
      <c r="AC776" s="2322"/>
      <c r="AD776" s="2322"/>
      <c r="AE776" s="2322"/>
      <c r="AF776" s="2322"/>
      <c r="AG776" s="2322"/>
      <c r="AH776" s="2322"/>
      <c r="AI776" s="2322"/>
      <c r="AJ776" s="2322"/>
      <c r="AK776" s="2322"/>
      <c r="AL776" s="2322"/>
      <c r="AM776" s="2322"/>
      <c r="AN776" s="2322"/>
      <c r="AO776" s="2322"/>
      <c r="AP776" s="2322"/>
      <c r="AQ776" s="2322"/>
      <c r="AR776" s="2322"/>
      <c r="AS776" s="2322"/>
      <c r="AT776" s="2322"/>
      <c r="AU776" s="2322"/>
      <c r="AV776" s="2322"/>
      <c r="AW776" s="2322"/>
      <c r="AX776" s="2322"/>
      <c r="AY776" s="2322"/>
      <c r="AZ776" s="2322"/>
      <c r="BA776" s="2322"/>
      <c r="BB776" s="2322"/>
      <c r="BC776" s="2322"/>
      <c r="BD776" s="2322"/>
      <c r="BE776" s="2322"/>
      <c r="BF776" s="2322"/>
      <c r="BG776" s="2322"/>
      <c r="BH776" s="2322"/>
      <c r="BI776" s="2322"/>
      <c r="BJ776" s="2322"/>
      <c r="BK776" s="2322"/>
      <c r="BL776" s="2322"/>
      <c r="BM776" s="2322"/>
      <c r="BN776" s="2322"/>
      <c r="BO776" s="2322"/>
      <c r="BP776" s="2322"/>
      <c r="BQ776" s="2322"/>
      <c r="BR776" s="2322"/>
      <c r="BS776" s="2322"/>
      <c r="BT776" s="2322"/>
      <c r="BU776" s="2322"/>
      <c r="BV776" s="2322"/>
      <c r="BW776" s="2322"/>
      <c r="BX776" s="2322"/>
      <c r="BY776" s="2322"/>
      <c r="BZ776" s="2322"/>
      <c r="CA776" s="2322"/>
      <c r="CB776" s="2322"/>
      <c r="CC776" s="2322"/>
      <c r="CD776" s="2322"/>
      <c r="CE776" s="2322"/>
      <c r="CF776" s="2322"/>
      <c r="CG776" s="2322"/>
      <c r="CH776" s="2322"/>
      <c r="CI776" s="2322"/>
      <c r="CJ776" s="2322"/>
      <c r="CK776" s="2322"/>
      <c r="CL776" s="2322"/>
      <c r="CM776" s="2322"/>
      <c r="CN776" s="2322"/>
      <c r="CO776" s="2322"/>
      <c r="CP776" s="2322"/>
      <c r="CQ776" s="2322"/>
      <c r="CR776" s="2322"/>
      <c r="CS776" s="2322"/>
      <c r="CT776" s="2322"/>
      <c r="CU776" s="2322"/>
      <c r="CV776" s="2322"/>
    </row>
    <row r="777" spans="1:100" ht="15.75" customHeight="1">
      <c r="A777" s="2328"/>
      <c r="B777" s="2322"/>
      <c r="C777" s="2322"/>
      <c r="D777" s="2322"/>
      <c r="E777" s="2322"/>
      <c r="F777" s="2322"/>
      <c r="G777" s="2322"/>
      <c r="H777" s="2322"/>
      <c r="I777" s="2322"/>
      <c r="J777" s="2322"/>
      <c r="K777" s="2322"/>
      <c r="L777" s="2322"/>
      <c r="M777" s="2322"/>
      <c r="N777" s="2322"/>
      <c r="O777" s="2322"/>
      <c r="P777" s="2322"/>
      <c r="Q777" s="2322"/>
      <c r="R777" s="2322"/>
      <c r="S777" s="2322"/>
      <c r="T777" s="2322"/>
      <c r="U777" s="2322"/>
      <c r="V777" s="2322"/>
      <c r="W777" s="2322"/>
      <c r="X777" s="2322"/>
      <c r="Y777" s="2322"/>
      <c r="Z777" s="2322"/>
      <c r="AA777" s="2322"/>
      <c r="AB777" s="2322"/>
      <c r="AC777" s="2322"/>
      <c r="AD777" s="2322"/>
      <c r="AE777" s="2322"/>
      <c r="AF777" s="2322"/>
      <c r="AG777" s="2322"/>
      <c r="AH777" s="2322"/>
      <c r="AI777" s="2322"/>
      <c r="AJ777" s="2322"/>
      <c r="AK777" s="2322"/>
      <c r="AL777" s="2322"/>
      <c r="AM777" s="2322"/>
      <c r="AN777" s="2322"/>
      <c r="AO777" s="2322"/>
      <c r="AP777" s="2322"/>
      <c r="AQ777" s="2322"/>
      <c r="AR777" s="2322"/>
      <c r="AS777" s="2322"/>
      <c r="AT777" s="2322"/>
      <c r="AU777" s="2322"/>
      <c r="AV777" s="2322"/>
      <c r="AW777" s="2322"/>
      <c r="AX777" s="2322"/>
      <c r="AY777" s="2322"/>
      <c r="AZ777" s="2322"/>
      <c r="BA777" s="2322"/>
      <c r="BB777" s="2322"/>
      <c r="BC777" s="2322"/>
      <c r="BD777" s="2322"/>
      <c r="BE777" s="2322"/>
      <c r="BF777" s="2322"/>
      <c r="BG777" s="2322"/>
      <c r="BH777" s="2322"/>
      <c r="BI777" s="2322"/>
      <c r="BJ777" s="2322"/>
      <c r="BK777" s="2322"/>
      <c r="BL777" s="2322"/>
      <c r="BM777" s="2322"/>
      <c r="BN777" s="2322"/>
      <c r="BO777" s="2322"/>
      <c r="BP777" s="2322"/>
      <c r="BQ777" s="2322"/>
      <c r="BR777" s="2322"/>
      <c r="BS777" s="2322"/>
      <c r="BT777" s="2322"/>
      <c r="BU777" s="2322"/>
      <c r="BV777" s="2322"/>
      <c r="BW777" s="2322"/>
      <c r="BX777" s="2322"/>
      <c r="BY777" s="2322"/>
      <c r="BZ777" s="2322"/>
      <c r="CA777" s="2322"/>
      <c r="CB777" s="2322"/>
      <c r="CC777" s="2322"/>
      <c r="CD777" s="2322"/>
      <c r="CE777" s="2322"/>
      <c r="CF777" s="2322"/>
      <c r="CG777" s="2322"/>
      <c r="CH777" s="2322"/>
      <c r="CI777" s="2322"/>
      <c r="CJ777" s="2322"/>
      <c r="CK777" s="2322"/>
      <c r="CL777" s="2322"/>
      <c r="CM777" s="2322"/>
      <c r="CN777" s="2322"/>
      <c r="CO777" s="2322"/>
      <c r="CP777" s="2322"/>
      <c r="CQ777" s="2322"/>
      <c r="CR777" s="2322"/>
      <c r="CS777" s="2322"/>
      <c r="CT777" s="2322"/>
      <c r="CU777" s="2322"/>
      <c r="CV777" s="2322"/>
    </row>
    <row r="778" spans="1:100" ht="15.75" customHeight="1">
      <c r="A778" s="2328"/>
      <c r="B778" s="2322"/>
      <c r="C778" s="2322"/>
      <c r="D778" s="2322"/>
      <c r="E778" s="2322"/>
      <c r="F778" s="2322"/>
      <c r="G778" s="2322"/>
      <c r="H778" s="2322"/>
      <c r="I778" s="2322"/>
      <c r="J778" s="2322"/>
      <c r="K778" s="2322"/>
      <c r="L778" s="2322"/>
      <c r="M778" s="2322"/>
      <c r="N778" s="2322"/>
      <c r="O778" s="2322"/>
      <c r="P778" s="2322"/>
      <c r="Q778" s="2322"/>
      <c r="R778" s="2322"/>
      <c r="S778" s="2322"/>
      <c r="T778" s="2322"/>
      <c r="U778" s="2322"/>
      <c r="V778" s="2322"/>
      <c r="W778" s="2322"/>
      <c r="X778" s="2322"/>
      <c r="Y778" s="2322"/>
      <c r="Z778" s="2322"/>
      <c r="AA778" s="2322"/>
      <c r="AB778" s="2322"/>
      <c r="AC778" s="2322"/>
      <c r="AD778" s="2322"/>
      <c r="AE778" s="2322"/>
      <c r="AF778" s="2322"/>
      <c r="AG778" s="2322"/>
      <c r="AH778" s="2322"/>
      <c r="AI778" s="2322"/>
      <c r="AJ778" s="2322"/>
      <c r="AK778" s="2322"/>
      <c r="AL778" s="2322"/>
      <c r="AM778" s="2322"/>
      <c r="AN778" s="2322"/>
      <c r="AO778" s="2322"/>
      <c r="AP778" s="2322"/>
      <c r="AQ778" s="2322"/>
      <c r="AR778" s="2322"/>
      <c r="AS778" s="2322"/>
      <c r="AT778" s="2322"/>
      <c r="AU778" s="2322"/>
      <c r="AV778" s="2322"/>
      <c r="AW778" s="2322"/>
      <c r="AX778" s="2322"/>
      <c r="AY778" s="2322"/>
      <c r="AZ778" s="2322"/>
      <c r="BA778" s="2322"/>
      <c r="BB778" s="2322"/>
      <c r="BC778" s="2322"/>
      <c r="BD778" s="2322"/>
      <c r="BE778" s="2322"/>
      <c r="BF778" s="2322"/>
      <c r="BG778" s="2322"/>
      <c r="BH778" s="2322"/>
      <c r="BI778" s="2322"/>
      <c r="BJ778" s="2322"/>
      <c r="BK778" s="2322"/>
      <c r="BL778" s="2322"/>
      <c r="BM778" s="2322"/>
      <c r="BN778" s="2322"/>
      <c r="BO778" s="2322"/>
      <c r="BP778" s="2322"/>
      <c r="BQ778" s="2322"/>
      <c r="BR778" s="2322"/>
      <c r="BS778" s="2322"/>
      <c r="BT778" s="2322"/>
      <c r="BU778" s="2322"/>
      <c r="BV778" s="2322"/>
      <c r="BW778" s="2322"/>
      <c r="BX778" s="2322"/>
      <c r="BY778" s="2322"/>
      <c r="BZ778" s="2322"/>
      <c r="CA778" s="2322"/>
      <c r="CB778" s="2322"/>
      <c r="CC778" s="2322"/>
      <c r="CD778" s="2322"/>
      <c r="CE778" s="2322"/>
      <c r="CF778" s="2322"/>
      <c r="CG778" s="2322"/>
      <c r="CH778" s="2322"/>
      <c r="CI778" s="2322"/>
      <c r="CJ778" s="2322"/>
      <c r="CK778" s="2322"/>
      <c r="CL778" s="2322"/>
      <c r="CM778" s="2322"/>
      <c r="CN778" s="2322"/>
      <c r="CO778" s="2322"/>
      <c r="CP778" s="2322"/>
      <c r="CQ778" s="2322"/>
      <c r="CR778" s="2322"/>
      <c r="CS778" s="2322"/>
      <c r="CT778" s="2322"/>
      <c r="CU778" s="2322"/>
      <c r="CV778" s="2322"/>
    </row>
    <row r="779" spans="1:100" ht="15.75" customHeight="1">
      <c r="A779" s="2328"/>
      <c r="B779" s="2322"/>
      <c r="C779" s="2322"/>
      <c r="D779" s="2322"/>
      <c r="E779" s="2322"/>
      <c r="F779" s="2322"/>
      <c r="G779" s="2322"/>
      <c r="H779" s="2322"/>
      <c r="I779" s="2322"/>
      <c r="J779" s="2322"/>
      <c r="K779" s="2322"/>
      <c r="L779" s="2322"/>
      <c r="M779" s="2322"/>
      <c r="N779" s="2322"/>
      <c r="O779" s="2322"/>
      <c r="P779" s="2322"/>
      <c r="Q779" s="2322"/>
      <c r="R779" s="2322"/>
      <c r="S779" s="2322"/>
      <c r="T779" s="2322"/>
      <c r="U779" s="2322"/>
      <c r="V779" s="2322"/>
      <c r="W779" s="2322"/>
      <c r="X779" s="2322"/>
      <c r="Y779" s="2322"/>
      <c r="Z779" s="2322"/>
      <c r="AA779" s="2322"/>
      <c r="AB779" s="2322"/>
      <c r="AC779" s="2322"/>
      <c r="AD779" s="2322"/>
      <c r="AE779" s="2322"/>
      <c r="AF779" s="2322"/>
      <c r="AG779" s="2322"/>
      <c r="AH779" s="2322"/>
      <c r="AI779" s="2322"/>
      <c r="AJ779" s="2322"/>
      <c r="AK779" s="2322"/>
      <c r="AL779" s="2322"/>
      <c r="AM779" s="2322"/>
      <c r="AN779" s="2322"/>
      <c r="AO779" s="2322"/>
      <c r="AP779" s="2322"/>
      <c r="AQ779" s="2322"/>
      <c r="AR779" s="2322"/>
      <c r="AS779" s="2322"/>
      <c r="AT779" s="2322"/>
      <c r="AU779" s="2322"/>
      <c r="AV779" s="2322"/>
      <c r="AW779" s="2322"/>
      <c r="AX779" s="2322"/>
      <c r="AY779" s="2322"/>
      <c r="AZ779" s="2322"/>
      <c r="BA779" s="2322"/>
      <c r="BB779" s="2322"/>
      <c r="BC779" s="2322"/>
      <c r="BD779" s="2322"/>
      <c r="BE779" s="2322"/>
      <c r="BF779" s="2322"/>
      <c r="BG779" s="2322"/>
      <c r="BH779" s="2322"/>
      <c r="BI779" s="2322"/>
      <c r="BJ779" s="2322"/>
      <c r="BK779" s="2322"/>
      <c r="BL779" s="2322"/>
      <c r="BM779" s="2322"/>
      <c r="BN779" s="2322"/>
      <c r="BO779" s="2322"/>
      <c r="BP779" s="2322"/>
      <c r="BQ779" s="2322"/>
      <c r="BR779" s="2322"/>
      <c r="BS779" s="2322"/>
      <c r="BT779" s="2322"/>
      <c r="BU779" s="2322"/>
      <c r="BV779" s="2322"/>
      <c r="BW779" s="2322"/>
      <c r="BX779" s="2322"/>
      <c r="BY779" s="2322"/>
      <c r="BZ779" s="2322"/>
      <c r="CA779" s="2322"/>
      <c r="CB779" s="2322"/>
      <c r="CC779" s="2322"/>
      <c r="CD779" s="2322"/>
      <c r="CE779" s="2322"/>
      <c r="CF779" s="2322"/>
      <c r="CG779" s="2322"/>
      <c r="CH779" s="2322"/>
      <c r="CI779" s="2322"/>
      <c r="CJ779" s="2322"/>
      <c r="CK779" s="2322"/>
      <c r="CL779" s="2322"/>
      <c r="CM779" s="2322"/>
      <c r="CN779" s="2322"/>
      <c r="CO779" s="2322"/>
      <c r="CP779" s="2322"/>
      <c r="CQ779" s="2322"/>
      <c r="CR779" s="2322"/>
      <c r="CS779" s="2322"/>
      <c r="CT779" s="2322"/>
      <c r="CU779" s="2322"/>
      <c r="CV779" s="2322"/>
    </row>
    <row r="780" spans="1:100" ht="15.75" customHeight="1">
      <c r="A780" s="2328"/>
      <c r="B780" s="2322"/>
      <c r="C780" s="2322"/>
      <c r="D780" s="2322"/>
      <c r="E780" s="2322"/>
      <c r="F780" s="2322"/>
      <c r="G780" s="2322"/>
      <c r="H780" s="2322"/>
      <c r="I780" s="2322"/>
      <c r="J780" s="2322"/>
      <c r="K780" s="2322"/>
      <c r="L780" s="2322"/>
      <c r="M780" s="2322"/>
      <c r="N780" s="2322"/>
      <c r="O780" s="2322"/>
      <c r="P780" s="2322"/>
      <c r="Q780" s="2322"/>
      <c r="R780" s="2322"/>
      <c r="S780" s="2322"/>
      <c r="T780" s="2322"/>
      <c r="U780" s="2322"/>
      <c r="V780" s="2322"/>
      <c r="W780" s="2322"/>
      <c r="X780" s="2322"/>
      <c r="Y780" s="2322"/>
      <c r="Z780" s="2322"/>
      <c r="AA780" s="2322"/>
      <c r="AB780" s="2322"/>
      <c r="AC780" s="2322"/>
      <c r="AD780" s="2322"/>
      <c r="AE780" s="2322"/>
      <c r="AF780" s="2322"/>
      <c r="AG780" s="2322"/>
      <c r="AH780" s="2322"/>
      <c r="AI780" s="2322"/>
      <c r="AJ780" s="2322"/>
      <c r="AK780" s="2322"/>
      <c r="AL780" s="2322"/>
      <c r="AM780" s="2322"/>
      <c r="AN780" s="2322"/>
      <c r="AO780" s="2322"/>
      <c r="AP780" s="2322"/>
      <c r="AQ780" s="2322"/>
      <c r="AR780" s="2322"/>
      <c r="AS780" s="2322"/>
      <c r="AT780" s="2322"/>
      <c r="AU780" s="2322"/>
      <c r="AV780" s="2322"/>
      <c r="AW780" s="2322"/>
      <c r="AX780" s="2322"/>
      <c r="AY780" s="2322"/>
      <c r="AZ780" s="2322"/>
      <c r="BA780" s="2322"/>
      <c r="BB780" s="2322"/>
      <c r="BC780" s="2322"/>
      <c r="BD780" s="2322"/>
      <c r="BE780" s="2322"/>
      <c r="BF780" s="2322"/>
      <c r="BG780" s="2322"/>
      <c r="BH780" s="2322"/>
      <c r="BI780" s="2322"/>
      <c r="BJ780" s="2322"/>
      <c r="BK780" s="2322"/>
      <c r="BL780" s="2322"/>
      <c r="BM780" s="2322"/>
      <c r="BN780" s="2322"/>
      <c r="BO780" s="2322"/>
      <c r="BP780" s="2322"/>
      <c r="BQ780" s="2322"/>
      <c r="BR780" s="2322"/>
      <c r="BS780" s="2322"/>
      <c r="BT780" s="2322"/>
      <c r="BU780" s="2322"/>
      <c r="BV780" s="2322"/>
      <c r="BW780" s="2322"/>
      <c r="BX780" s="2322"/>
      <c r="BY780" s="2322"/>
      <c r="BZ780" s="2322"/>
      <c r="CA780" s="2322"/>
      <c r="CB780" s="2322"/>
      <c r="CC780" s="2322"/>
      <c r="CD780" s="2322"/>
      <c r="CE780" s="2322"/>
      <c r="CF780" s="2322"/>
      <c r="CG780" s="2322"/>
      <c r="CH780" s="2322"/>
      <c r="CI780" s="2322"/>
      <c r="CJ780" s="2322"/>
      <c r="CK780" s="2322"/>
      <c r="CL780" s="2322"/>
      <c r="CM780" s="2322"/>
      <c r="CN780" s="2322"/>
      <c r="CO780" s="2322"/>
      <c r="CP780" s="2322"/>
      <c r="CQ780" s="2322"/>
      <c r="CR780" s="2322"/>
      <c r="CS780" s="2322"/>
      <c r="CT780" s="2322"/>
      <c r="CU780" s="2322"/>
      <c r="CV780" s="2322"/>
    </row>
    <row r="781" spans="1:100" ht="15.75" customHeight="1">
      <c r="A781" s="2328"/>
      <c r="B781" s="2322"/>
      <c r="C781" s="2322"/>
      <c r="D781" s="2322"/>
      <c r="E781" s="2322"/>
      <c r="F781" s="2322"/>
      <c r="G781" s="2322"/>
      <c r="H781" s="2322"/>
      <c r="I781" s="2322"/>
      <c r="J781" s="2322"/>
      <c r="K781" s="2322"/>
      <c r="L781" s="2322"/>
      <c r="M781" s="2322"/>
      <c r="N781" s="2322"/>
      <c r="O781" s="2322"/>
      <c r="P781" s="2322"/>
      <c r="Q781" s="2322"/>
      <c r="R781" s="2322"/>
      <c r="S781" s="2322"/>
      <c r="T781" s="2322"/>
      <c r="U781" s="2322"/>
      <c r="V781" s="2322"/>
      <c r="W781" s="2322"/>
      <c r="X781" s="2322"/>
      <c r="Y781" s="2322"/>
      <c r="Z781" s="2322"/>
      <c r="AA781" s="2322"/>
      <c r="AB781" s="2322"/>
      <c r="AC781" s="2322"/>
      <c r="AD781" s="2322"/>
      <c r="AE781" s="2322"/>
      <c r="AF781" s="2322"/>
      <c r="AG781" s="2322"/>
      <c r="AH781" s="2322"/>
      <c r="AI781" s="2322"/>
      <c r="AJ781" s="2322"/>
      <c r="AK781" s="2322"/>
      <c r="AL781" s="2322"/>
      <c r="AM781" s="2322"/>
      <c r="AN781" s="2322"/>
      <c r="AO781" s="2322"/>
      <c r="AP781" s="2322"/>
      <c r="AQ781" s="2322"/>
      <c r="AR781" s="2322"/>
      <c r="AS781" s="2322"/>
      <c r="AT781" s="2322"/>
      <c r="AU781" s="2322"/>
      <c r="AV781" s="2322"/>
      <c r="AW781" s="2322"/>
      <c r="AX781" s="2322"/>
      <c r="AY781" s="2322"/>
      <c r="AZ781" s="2322"/>
      <c r="BA781" s="2322"/>
      <c r="BB781" s="2322"/>
      <c r="BC781" s="2322"/>
      <c r="BD781" s="2322"/>
      <c r="BE781" s="2322"/>
      <c r="BF781" s="2322"/>
      <c r="BG781" s="2322"/>
      <c r="BH781" s="2322"/>
      <c r="BI781" s="2322"/>
      <c r="BJ781" s="2322"/>
      <c r="BK781" s="2322"/>
      <c r="BL781" s="2322"/>
      <c r="BM781" s="2322"/>
      <c r="BN781" s="2322"/>
      <c r="BO781" s="2322"/>
      <c r="BP781" s="2322"/>
      <c r="BQ781" s="2322"/>
      <c r="BR781" s="2322"/>
      <c r="BS781" s="2322"/>
      <c r="BT781" s="2322"/>
      <c r="BU781" s="2322"/>
      <c r="BV781" s="2322"/>
      <c r="BW781" s="2322"/>
      <c r="BX781" s="2322"/>
      <c r="BY781" s="2322"/>
      <c r="BZ781" s="2322"/>
      <c r="CA781" s="2322"/>
      <c r="CB781" s="2322"/>
      <c r="CC781" s="2322"/>
      <c r="CD781" s="2322"/>
      <c r="CE781" s="2322"/>
      <c r="CF781" s="2322"/>
      <c r="CG781" s="2322"/>
      <c r="CH781" s="2322"/>
      <c r="CI781" s="2322"/>
      <c r="CJ781" s="2322"/>
      <c r="CK781" s="2322"/>
      <c r="CL781" s="2322"/>
      <c r="CM781" s="2322"/>
      <c r="CN781" s="2322"/>
      <c r="CO781" s="2322"/>
      <c r="CP781" s="2322"/>
      <c r="CQ781" s="2322"/>
      <c r="CR781" s="2322"/>
      <c r="CS781" s="2322"/>
      <c r="CT781" s="2322"/>
      <c r="CU781" s="2322"/>
      <c r="CV781" s="2322"/>
    </row>
    <row r="782" spans="1:100" ht="15.75" customHeight="1">
      <c r="A782" s="2328"/>
      <c r="B782" s="2322"/>
      <c r="C782" s="2322"/>
      <c r="D782" s="2322"/>
      <c r="E782" s="2322"/>
      <c r="F782" s="2322"/>
      <c r="G782" s="2322"/>
      <c r="H782" s="2322"/>
      <c r="I782" s="2322"/>
      <c r="J782" s="2322"/>
      <c r="K782" s="2322"/>
      <c r="L782" s="2322"/>
      <c r="M782" s="2322"/>
      <c r="N782" s="2322"/>
      <c r="O782" s="2322"/>
      <c r="P782" s="2322"/>
      <c r="Q782" s="2322"/>
      <c r="R782" s="2322"/>
      <c r="S782" s="2322"/>
      <c r="T782" s="2322"/>
      <c r="U782" s="2322"/>
      <c r="V782" s="2322"/>
      <c r="W782" s="2322"/>
      <c r="X782" s="2322"/>
      <c r="Y782" s="2322"/>
      <c r="Z782" s="2322"/>
      <c r="AA782" s="2322"/>
      <c r="AB782" s="2322"/>
      <c r="AC782" s="2322"/>
      <c r="AD782" s="2322"/>
      <c r="AE782" s="2322"/>
      <c r="AF782" s="2322"/>
      <c r="AG782" s="2322"/>
      <c r="AH782" s="2322"/>
      <c r="AI782" s="2322"/>
      <c r="AJ782" s="2322"/>
      <c r="AK782" s="2322"/>
      <c r="AL782" s="2322"/>
      <c r="AM782" s="2322"/>
      <c r="AN782" s="2322"/>
      <c r="AO782" s="2322"/>
      <c r="AP782" s="2322"/>
      <c r="AQ782" s="2322"/>
      <c r="AR782" s="2322"/>
      <c r="AS782" s="2322"/>
      <c r="AT782" s="2322"/>
      <c r="AU782" s="2322"/>
      <c r="AV782" s="2322"/>
      <c r="AW782" s="2322"/>
      <c r="AX782" s="2322"/>
      <c r="AY782" s="2322"/>
      <c r="AZ782" s="2322"/>
      <c r="BA782" s="2322"/>
      <c r="BB782" s="2322"/>
      <c r="BC782" s="2322"/>
      <c r="BD782" s="2322"/>
      <c r="BE782" s="2322"/>
      <c r="BF782" s="2322"/>
      <c r="BG782" s="2322"/>
      <c r="BH782" s="2322"/>
      <c r="BI782" s="2322"/>
      <c r="BJ782" s="2322"/>
      <c r="BK782" s="2322"/>
      <c r="BL782" s="2322"/>
      <c r="BM782" s="2322"/>
      <c r="BN782" s="2322"/>
      <c r="BO782" s="2322"/>
      <c r="BP782" s="2322"/>
      <c r="BQ782" s="2322"/>
      <c r="BR782" s="2322"/>
      <c r="BS782" s="2322"/>
      <c r="BT782" s="2322"/>
      <c r="BU782" s="2322"/>
      <c r="BV782" s="2322"/>
      <c r="BW782" s="2322"/>
      <c r="BX782" s="2322"/>
      <c r="BY782" s="2322"/>
      <c r="BZ782" s="2322"/>
      <c r="CA782" s="2322"/>
      <c r="CB782" s="2322"/>
      <c r="CC782" s="2322"/>
      <c r="CD782" s="2322"/>
      <c r="CE782" s="2322"/>
      <c r="CF782" s="2322"/>
      <c r="CG782" s="2322"/>
      <c r="CH782" s="2322"/>
      <c r="CI782" s="2322"/>
      <c r="CJ782" s="2322"/>
      <c r="CK782" s="2322"/>
      <c r="CL782" s="2322"/>
      <c r="CM782" s="2322"/>
      <c r="CN782" s="2322"/>
      <c r="CO782" s="2322"/>
      <c r="CP782" s="2322"/>
      <c r="CQ782" s="2322"/>
      <c r="CR782" s="2322"/>
      <c r="CS782" s="2322"/>
      <c r="CT782" s="2322"/>
      <c r="CU782" s="2322"/>
      <c r="CV782" s="2322"/>
    </row>
    <row r="783" spans="1:100" ht="15.75" customHeight="1">
      <c r="A783" s="2328"/>
      <c r="B783" s="2322"/>
      <c r="C783" s="2322"/>
      <c r="D783" s="2322"/>
      <c r="E783" s="2322"/>
      <c r="F783" s="2322"/>
      <c r="G783" s="2322"/>
      <c r="H783" s="2322"/>
      <c r="I783" s="2322"/>
      <c r="J783" s="2322"/>
      <c r="K783" s="2322"/>
      <c r="L783" s="2322"/>
      <c r="M783" s="2322"/>
      <c r="N783" s="2322"/>
      <c r="O783" s="2322"/>
      <c r="P783" s="2322"/>
      <c r="Q783" s="2322"/>
      <c r="R783" s="2322"/>
      <c r="S783" s="2322"/>
      <c r="T783" s="2322"/>
      <c r="U783" s="2322"/>
      <c r="V783" s="2322"/>
      <c r="W783" s="2322"/>
      <c r="X783" s="2322"/>
      <c r="Y783" s="2322"/>
      <c r="Z783" s="2322"/>
      <c r="AA783" s="2322"/>
      <c r="AB783" s="2322"/>
      <c r="AC783" s="2322"/>
      <c r="AD783" s="2322"/>
      <c r="AE783" s="2322"/>
      <c r="AF783" s="2322"/>
      <c r="AG783" s="2322"/>
      <c r="AH783" s="2322"/>
      <c r="AI783" s="2322"/>
      <c r="AJ783" s="2322"/>
      <c r="AK783" s="2322"/>
      <c r="AL783" s="2322"/>
      <c r="AM783" s="2322"/>
      <c r="AN783" s="2322"/>
      <c r="AO783" s="2322"/>
      <c r="AP783" s="2322"/>
      <c r="AQ783" s="2322"/>
      <c r="AR783" s="2322"/>
      <c r="AS783" s="2322"/>
      <c r="AT783" s="2322"/>
      <c r="AU783" s="2322"/>
      <c r="AV783" s="2322"/>
      <c r="AW783" s="2322"/>
      <c r="AX783" s="2322"/>
      <c r="AY783" s="2322"/>
      <c r="AZ783" s="2322"/>
      <c r="BA783" s="2322"/>
      <c r="BB783" s="2322"/>
      <c r="BC783" s="2322"/>
      <c r="BD783" s="2322"/>
      <c r="BE783" s="2322"/>
      <c r="BF783" s="2322"/>
      <c r="BG783" s="2322"/>
      <c r="BH783" s="2322"/>
      <c r="BI783" s="2322"/>
      <c r="BJ783" s="2322"/>
      <c r="BK783" s="2322"/>
      <c r="BL783" s="2322"/>
      <c r="BM783" s="2322"/>
      <c r="BN783" s="2322"/>
      <c r="BO783" s="2322"/>
      <c r="BP783" s="2322"/>
      <c r="BQ783" s="2322"/>
      <c r="BR783" s="2322"/>
      <c r="BS783" s="2322"/>
      <c r="BT783" s="2322"/>
      <c r="BU783" s="2322"/>
      <c r="BV783" s="2322"/>
      <c r="BW783" s="2322"/>
      <c r="BX783" s="2322"/>
      <c r="BY783" s="2322"/>
      <c r="BZ783" s="2322"/>
      <c r="CA783" s="2322"/>
      <c r="CB783" s="2322"/>
      <c r="CC783" s="2322"/>
      <c r="CD783" s="2322"/>
      <c r="CE783" s="2322"/>
      <c r="CF783" s="2322"/>
      <c r="CG783" s="2322"/>
      <c r="CH783" s="2322"/>
      <c r="CI783" s="2322"/>
      <c r="CJ783" s="2322"/>
      <c r="CK783" s="2322"/>
      <c r="CL783" s="2322"/>
      <c r="CM783" s="2322"/>
      <c r="CN783" s="2322"/>
      <c r="CO783" s="2322"/>
      <c r="CP783" s="2322"/>
      <c r="CQ783" s="2322"/>
      <c r="CR783" s="2322"/>
      <c r="CS783" s="2322"/>
      <c r="CT783" s="2322"/>
      <c r="CU783" s="2322"/>
      <c r="CV783" s="2322"/>
    </row>
    <row r="784" spans="1:100" ht="15.75" customHeight="1">
      <c r="A784" s="2328"/>
      <c r="B784" s="2322"/>
      <c r="C784" s="2322"/>
      <c r="D784" s="2322"/>
      <c r="E784" s="2322"/>
      <c r="F784" s="2322"/>
      <c r="G784" s="2322"/>
      <c r="H784" s="2322"/>
      <c r="I784" s="2322"/>
      <c r="J784" s="2322"/>
      <c r="K784" s="2322"/>
      <c r="L784" s="2322"/>
      <c r="M784" s="2322"/>
      <c r="N784" s="2322"/>
      <c r="O784" s="2322"/>
      <c r="P784" s="2322"/>
      <c r="Q784" s="2322"/>
      <c r="R784" s="2322"/>
      <c r="S784" s="2322"/>
      <c r="T784" s="2322"/>
      <c r="U784" s="2322"/>
      <c r="V784" s="2322"/>
      <c r="W784" s="2322"/>
      <c r="X784" s="2322"/>
      <c r="Y784" s="2322"/>
      <c r="Z784" s="2322"/>
      <c r="AA784" s="2322"/>
      <c r="AB784" s="2322"/>
      <c r="AC784" s="2322"/>
      <c r="AD784" s="2322"/>
      <c r="AE784" s="2322"/>
      <c r="AF784" s="2322"/>
      <c r="AG784" s="2322"/>
      <c r="AH784" s="2322"/>
      <c r="AI784" s="2322"/>
      <c r="AJ784" s="2322"/>
      <c r="AK784" s="2322"/>
      <c r="AL784" s="2322"/>
      <c r="AM784" s="2322"/>
      <c r="AN784" s="2322"/>
      <c r="AO784" s="2322"/>
      <c r="AP784" s="2322"/>
      <c r="AQ784" s="2322"/>
      <c r="AR784" s="2322"/>
      <c r="AS784" s="2322"/>
      <c r="AT784" s="2322"/>
      <c r="AU784" s="2322"/>
      <c r="AV784" s="2322"/>
      <c r="AW784" s="2322"/>
      <c r="AX784" s="2322"/>
      <c r="AY784" s="2322"/>
      <c r="AZ784" s="2322"/>
      <c r="BA784" s="2322"/>
      <c r="BB784" s="2322"/>
      <c r="BC784" s="2322"/>
      <c r="BD784" s="2322"/>
      <c r="BE784" s="2322"/>
      <c r="BF784" s="2322"/>
      <c r="BG784" s="2322"/>
      <c r="BH784" s="2322"/>
      <c r="BI784" s="2322"/>
      <c r="BJ784" s="2322"/>
      <c r="BK784" s="2322"/>
      <c r="BL784" s="2322"/>
      <c r="BM784" s="2322"/>
      <c r="BN784" s="2322"/>
      <c r="BO784" s="2322"/>
      <c r="BP784" s="2322"/>
      <c r="BQ784" s="2322"/>
      <c r="BR784" s="2322"/>
      <c r="BS784" s="2322"/>
      <c r="BT784" s="2322"/>
      <c r="BU784" s="2322"/>
      <c r="BV784" s="2322"/>
      <c r="BW784" s="2322"/>
      <c r="BX784" s="2322"/>
      <c r="BY784" s="2322"/>
      <c r="BZ784" s="2322"/>
      <c r="CA784" s="2322"/>
      <c r="CB784" s="2322"/>
      <c r="CC784" s="2322"/>
      <c r="CD784" s="2322"/>
      <c r="CE784" s="2322"/>
      <c r="CF784" s="2322"/>
      <c r="CG784" s="2322"/>
      <c r="CH784" s="2322"/>
      <c r="CI784" s="2322"/>
      <c r="CJ784" s="2322"/>
      <c r="CK784" s="2322"/>
      <c r="CL784" s="2322"/>
      <c r="CM784" s="2322"/>
      <c r="CN784" s="2322"/>
      <c r="CO784" s="2322"/>
      <c r="CP784" s="2322"/>
      <c r="CQ784" s="2322"/>
      <c r="CR784" s="2322"/>
      <c r="CS784" s="2322"/>
      <c r="CT784" s="2322"/>
      <c r="CU784" s="2322"/>
      <c r="CV784" s="2322"/>
    </row>
    <row r="785" spans="1:100" ht="15.75" customHeight="1">
      <c r="A785" s="2328"/>
      <c r="B785" s="2322"/>
      <c r="C785" s="2322"/>
      <c r="D785" s="2322"/>
      <c r="E785" s="2322"/>
      <c r="F785" s="2322"/>
      <c r="G785" s="2322"/>
      <c r="H785" s="2322"/>
      <c r="I785" s="2322"/>
      <c r="J785" s="2322"/>
      <c r="K785" s="2322"/>
      <c r="L785" s="2322"/>
      <c r="M785" s="2322"/>
      <c r="N785" s="2322"/>
      <c r="O785" s="2322"/>
      <c r="P785" s="2322"/>
      <c r="Q785" s="2322"/>
      <c r="R785" s="2322"/>
      <c r="S785" s="2322"/>
      <c r="T785" s="2322"/>
      <c r="U785" s="2322"/>
      <c r="V785" s="2322"/>
      <c r="W785" s="2322"/>
      <c r="X785" s="2322"/>
      <c r="Y785" s="2322"/>
      <c r="Z785" s="2322"/>
      <c r="AA785" s="2322"/>
      <c r="AB785" s="2322"/>
      <c r="AC785" s="2322"/>
      <c r="AD785" s="2322"/>
      <c r="AE785" s="2322"/>
      <c r="AF785" s="2322"/>
      <c r="AG785" s="2322"/>
      <c r="AH785" s="2322"/>
      <c r="AI785" s="2322"/>
      <c r="AJ785" s="2322"/>
      <c r="AK785" s="2322"/>
      <c r="AL785" s="2322"/>
      <c r="AM785" s="2322"/>
      <c r="AN785" s="2322"/>
      <c r="AO785" s="2322"/>
      <c r="AP785" s="2322"/>
      <c r="AQ785" s="2322"/>
      <c r="AR785" s="2322"/>
      <c r="AS785" s="2322"/>
      <c r="AT785" s="2322"/>
      <c r="AU785" s="2322"/>
      <c r="AV785" s="2322"/>
      <c r="AW785" s="2322"/>
      <c r="AX785" s="2322"/>
      <c r="AY785" s="2322"/>
      <c r="AZ785" s="2322"/>
      <c r="BA785" s="2322"/>
      <c r="BB785" s="2322"/>
      <c r="BC785" s="2322"/>
      <c r="BD785" s="2322"/>
      <c r="BE785" s="2322"/>
      <c r="BF785" s="2322"/>
      <c r="BG785" s="2322"/>
      <c r="BH785" s="2322"/>
      <c r="BI785" s="2322"/>
      <c r="BJ785" s="2322"/>
      <c r="BK785" s="2322"/>
      <c r="BL785" s="2322"/>
      <c r="BM785" s="2322"/>
      <c r="BN785" s="2322"/>
      <c r="BO785" s="2322"/>
      <c r="BP785" s="2322"/>
      <c r="BQ785" s="2322"/>
      <c r="BR785" s="2322"/>
      <c r="BS785" s="2322"/>
      <c r="BT785" s="2322"/>
      <c r="BU785" s="2322"/>
      <c r="BV785" s="2322"/>
      <c r="BW785" s="2322"/>
      <c r="BX785" s="2322"/>
      <c r="BY785" s="2322"/>
      <c r="BZ785" s="2322"/>
      <c r="CA785" s="2322"/>
      <c r="CB785" s="2322"/>
      <c r="CC785" s="2322"/>
      <c r="CD785" s="2322"/>
      <c r="CE785" s="2322"/>
      <c r="CF785" s="2322"/>
      <c r="CG785" s="2322"/>
      <c r="CH785" s="2322"/>
      <c r="CI785" s="2322"/>
      <c r="CJ785" s="2322"/>
      <c r="CK785" s="2322"/>
      <c r="CL785" s="2322"/>
      <c r="CM785" s="2322"/>
      <c r="CN785" s="2322"/>
      <c r="CO785" s="2322"/>
      <c r="CP785" s="2322"/>
      <c r="CQ785" s="2322"/>
      <c r="CR785" s="2322"/>
      <c r="CS785" s="2322"/>
      <c r="CT785" s="2322"/>
      <c r="CU785" s="2322"/>
      <c r="CV785" s="2322"/>
    </row>
    <row r="786" spans="1:100" ht="15.75" customHeight="1">
      <c r="A786" s="2328"/>
      <c r="B786" s="2322"/>
      <c r="C786" s="2322"/>
      <c r="D786" s="2322"/>
      <c r="E786" s="2322"/>
      <c r="F786" s="2322"/>
      <c r="G786" s="2322"/>
      <c r="H786" s="2322"/>
      <c r="I786" s="2322"/>
      <c r="J786" s="2322"/>
      <c r="K786" s="2322"/>
      <c r="L786" s="2322"/>
      <c r="M786" s="2322"/>
      <c r="N786" s="2322"/>
      <c r="O786" s="2322"/>
      <c r="P786" s="2322"/>
      <c r="Q786" s="2322"/>
      <c r="R786" s="2322"/>
      <c r="S786" s="2322"/>
      <c r="T786" s="2322"/>
      <c r="U786" s="2322"/>
      <c r="V786" s="2322"/>
      <c r="W786" s="2322"/>
      <c r="X786" s="2322"/>
      <c r="Y786" s="2322"/>
      <c r="Z786" s="2322"/>
      <c r="AA786" s="2322"/>
      <c r="AB786" s="2322"/>
      <c r="AC786" s="2322"/>
      <c r="AD786" s="2322"/>
      <c r="AE786" s="2322"/>
      <c r="AF786" s="2322"/>
      <c r="AG786" s="2322"/>
      <c r="AH786" s="2322"/>
      <c r="AI786" s="2322"/>
      <c r="AJ786" s="2322"/>
      <c r="AK786" s="2322"/>
      <c r="AL786" s="2322"/>
      <c r="AM786" s="2322"/>
      <c r="AN786" s="2322"/>
      <c r="AO786" s="2322"/>
      <c r="AP786" s="2322"/>
      <c r="AQ786" s="2322"/>
      <c r="AR786" s="2322"/>
      <c r="AS786" s="2322"/>
      <c r="AT786" s="2322"/>
      <c r="AU786" s="2322"/>
      <c r="AV786" s="2322"/>
      <c r="AW786" s="2322"/>
      <c r="AX786" s="2322"/>
      <c r="AY786" s="2322"/>
      <c r="AZ786" s="2322"/>
      <c r="BA786" s="2322"/>
      <c r="BB786" s="2322"/>
      <c r="BC786" s="2322"/>
      <c r="BD786" s="2322"/>
      <c r="BE786" s="2322"/>
      <c r="BF786" s="2322"/>
      <c r="BG786" s="2322"/>
      <c r="BH786" s="2322"/>
      <c r="BI786" s="2322"/>
      <c r="BJ786" s="2322"/>
      <c r="BK786" s="2322"/>
      <c r="BL786" s="2322"/>
      <c r="BM786" s="2322"/>
      <c r="BN786" s="2322"/>
      <c r="BO786" s="2322"/>
      <c r="BP786" s="2322"/>
      <c r="BQ786" s="2322"/>
      <c r="BR786" s="2322"/>
      <c r="BS786" s="2322"/>
      <c r="BT786" s="2322"/>
      <c r="BU786" s="2322"/>
      <c r="BV786" s="2322"/>
      <c r="BW786" s="2322"/>
      <c r="BX786" s="2322"/>
      <c r="BY786" s="2322"/>
      <c r="BZ786" s="2322"/>
      <c r="CA786" s="2322"/>
      <c r="CB786" s="2322"/>
      <c r="CC786" s="2322"/>
      <c r="CD786" s="2322"/>
      <c r="CE786" s="2322"/>
      <c r="CF786" s="2322"/>
      <c r="CG786" s="2322"/>
      <c r="CH786" s="2322"/>
      <c r="CI786" s="2322"/>
      <c r="CJ786" s="2322"/>
      <c r="CK786" s="2322"/>
      <c r="CL786" s="2322"/>
      <c r="CM786" s="2322"/>
      <c r="CN786" s="2322"/>
      <c r="CO786" s="2322"/>
      <c r="CP786" s="2322"/>
      <c r="CQ786" s="2322"/>
      <c r="CR786" s="2322"/>
      <c r="CS786" s="2322"/>
      <c r="CT786" s="2322"/>
      <c r="CU786" s="2322"/>
      <c r="CV786" s="2322"/>
    </row>
    <row r="787" spans="1:100" ht="15.75" customHeight="1">
      <c r="A787" s="2328"/>
      <c r="B787" s="2322"/>
      <c r="C787" s="2322"/>
      <c r="D787" s="2322"/>
      <c r="E787" s="2322"/>
      <c r="F787" s="2322"/>
      <c r="G787" s="2322"/>
      <c r="H787" s="2322"/>
      <c r="I787" s="2322"/>
      <c r="J787" s="2322"/>
      <c r="K787" s="2322"/>
      <c r="L787" s="2322"/>
      <c r="M787" s="2322"/>
      <c r="N787" s="2322"/>
      <c r="O787" s="2322"/>
      <c r="P787" s="2322"/>
      <c r="Q787" s="2322"/>
      <c r="R787" s="2322"/>
      <c r="S787" s="2322"/>
      <c r="T787" s="2322"/>
      <c r="U787" s="2322"/>
      <c r="V787" s="2322"/>
      <c r="W787" s="2322"/>
      <c r="X787" s="2322"/>
      <c r="Y787" s="2322"/>
      <c r="Z787" s="2322"/>
      <c r="AA787" s="2322"/>
      <c r="AB787" s="2322"/>
      <c r="AC787" s="2322"/>
      <c r="AD787" s="2322"/>
      <c r="AE787" s="2322"/>
      <c r="AF787" s="2322"/>
      <c r="AG787" s="2322"/>
      <c r="AH787" s="2322"/>
      <c r="AI787" s="2322"/>
      <c r="AJ787" s="2322"/>
      <c r="AK787" s="2322"/>
      <c r="AL787" s="2322"/>
      <c r="AM787" s="2322"/>
      <c r="AN787" s="2322"/>
      <c r="AO787" s="2322"/>
      <c r="AP787" s="2322"/>
      <c r="AQ787" s="2322"/>
      <c r="AR787" s="2322"/>
      <c r="AS787" s="2322"/>
      <c r="AT787" s="2322"/>
      <c r="AU787" s="2322"/>
      <c r="AV787" s="2322"/>
      <c r="AW787" s="2322"/>
      <c r="AX787" s="2322"/>
      <c r="AY787" s="2322"/>
      <c r="AZ787" s="2322"/>
      <c r="BA787" s="2322"/>
      <c r="BB787" s="2322"/>
      <c r="BC787" s="2322"/>
      <c r="BD787" s="2322"/>
      <c r="BE787" s="2322"/>
      <c r="BF787" s="2322"/>
      <c r="BG787" s="2322"/>
      <c r="BH787" s="2322"/>
      <c r="BI787" s="2322"/>
      <c r="BJ787" s="2322"/>
      <c r="BK787" s="2322"/>
      <c r="BL787" s="2322"/>
      <c r="BM787" s="2322"/>
      <c r="BN787" s="2322"/>
      <c r="BO787" s="2322"/>
      <c r="BP787" s="2322"/>
      <c r="BQ787" s="2322"/>
      <c r="BR787" s="2322"/>
      <c r="BS787" s="2322"/>
      <c r="BT787" s="2322"/>
      <c r="BU787" s="2322"/>
      <c r="BV787" s="2322"/>
      <c r="BW787" s="2322"/>
      <c r="BX787" s="2322"/>
      <c r="BY787" s="2322"/>
      <c r="BZ787" s="2322"/>
      <c r="CA787" s="2322"/>
      <c r="CB787" s="2322"/>
      <c r="CC787" s="2322"/>
      <c r="CD787" s="2322"/>
      <c r="CE787" s="2322"/>
      <c r="CF787" s="2322"/>
      <c r="CG787" s="2322"/>
      <c r="CH787" s="2322"/>
      <c r="CI787" s="2322"/>
      <c r="CJ787" s="2322"/>
      <c r="CK787" s="2322"/>
      <c r="CL787" s="2322"/>
      <c r="CM787" s="2322"/>
      <c r="CN787" s="2322"/>
      <c r="CO787" s="2322"/>
      <c r="CP787" s="2322"/>
      <c r="CQ787" s="2322"/>
      <c r="CR787" s="2322"/>
      <c r="CS787" s="2322"/>
      <c r="CT787" s="2322"/>
      <c r="CU787" s="2322"/>
      <c r="CV787" s="2322"/>
    </row>
    <row r="788" spans="1:100" ht="15.75" customHeight="1">
      <c r="A788" s="2328"/>
      <c r="B788" s="2322"/>
      <c r="C788" s="2322"/>
      <c r="D788" s="2322"/>
      <c r="E788" s="2322"/>
      <c r="F788" s="2322"/>
      <c r="G788" s="2322"/>
      <c r="H788" s="2322"/>
      <c r="I788" s="2322"/>
      <c r="J788" s="2322"/>
      <c r="K788" s="2322"/>
      <c r="L788" s="2322"/>
      <c r="M788" s="2322"/>
      <c r="N788" s="2322"/>
      <c r="O788" s="2322"/>
      <c r="P788" s="2322"/>
      <c r="Q788" s="2322"/>
      <c r="R788" s="2322"/>
      <c r="S788" s="2322"/>
      <c r="T788" s="2322"/>
      <c r="U788" s="2322"/>
      <c r="V788" s="2322"/>
      <c r="W788" s="2322"/>
      <c r="X788" s="2322"/>
      <c r="Y788" s="2322"/>
      <c r="Z788" s="2322"/>
      <c r="AA788" s="2322"/>
      <c r="AB788" s="2322"/>
      <c r="AC788" s="2322"/>
      <c r="AD788" s="2322"/>
      <c r="AE788" s="2322"/>
      <c r="AF788" s="2322"/>
      <c r="AG788" s="2322"/>
      <c r="AH788" s="2322"/>
      <c r="AI788" s="2322"/>
      <c r="AJ788" s="2322"/>
      <c r="AK788" s="2322"/>
      <c r="AL788" s="2322"/>
      <c r="AM788" s="2322"/>
      <c r="AN788" s="2322"/>
      <c r="AO788" s="2322"/>
      <c r="AP788" s="2322"/>
      <c r="AQ788" s="2322"/>
      <c r="AR788" s="2322"/>
      <c r="AS788" s="2322"/>
      <c r="AT788" s="2322"/>
      <c r="AU788" s="2322"/>
      <c r="AV788" s="2322"/>
      <c r="AW788" s="2322"/>
      <c r="AX788" s="2322"/>
      <c r="AY788" s="2322"/>
      <c r="AZ788" s="2322"/>
      <c r="BA788" s="2322"/>
      <c r="BB788" s="2322"/>
      <c r="BC788" s="2322"/>
      <c r="BD788" s="2322"/>
      <c r="BE788" s="2322"/>
      <c r="BF788" s="2322"/>
      <c r="BG788" s="2322"/>
      <c r="BH788" s="2322"/>
      <c r="BI788" s="2322"/>
      <c r="BJ788" s="2322"/>
      <c r="BK788" s="2322"/>
      <c r="BL788" s="2322"/>
      <c r="BM788" s="2322"/>
      <c r="BN788" s="2322"/>
      <c r="BO788" s="2322"/>
      <c r="BP788" s="2322"/>
      <c r="BQ788" s="2322"/>
      <c r="BR788" s="2322"/>
      <c r="BS788" s="2322"/>
      <c r="BT788" s="2322"/>
      <c r="BU788" s="2322"/>
      <c r="BV788" s="2322"/>
      <c r="BW788" s="2322"/>
      <c r="BX788" s="2322"/>
      <c r="BY788" s="2322"/>
      <c r="BZ788" s="2322"/>
      <c r="CA788" s="2322"/>
      <c r="CB788" s="2322"/>
      <c r="CC788" s="2322"/>
      <c r="CD788" s="2322"/>
      <c r="CE788" s="2322"/>
      <c r="CF788" s="2322"/>
      <c r="CG788" s="2322"/>
      <c r="CH788" s="2322"/>
      <c r="CI788" s="2322"/>
      <c r="CJ788" s="2322"/>
      <c r="CK788" s="2322"/>
      <c r="CL788" s="2322"/>
      <c r="CM788" s="2322"/>
      <c r="CN788" s="2322"/>
      <c r="CO788" s="2322"/>
      <c r="CP788" s="2322"/>
      <c r="CQ788" s="2322"/>
      <c r="CR788" s="2322"/>
      <c r="CS788" s="2322"/>
      <c r="CT788" s="2322"/>
      <c r="CU788" s="2322"/>
      <c r="CV788" s="2322"/>
    </row>
    <row r="789" spans="1:100" ht="15.75" customHeight="1">
      <c r="A789" s="2328"/>
      <c r="B789" s="2322"/>
      <c r="C789" s="2322"/>
      <c r="D789" s="2322"/>
      <c r="E789" s="2322"/>
      <c r="F789" s="2322"/>
      <c r="G789" s="2322"/>
      <c r="H789" s="2322"/>
      <c r="I789" s="2322"/>
      <c r="J789" s="2322"/>
      <c r="K789" s="2322"/>
      <c r="L789" s="2322"/>
      <c r="M789" s="2322"/>
      <c r="N789" s="2322"/>
      <c r="O789" s="2322"/>
      <c r="P789" s="2322"/>
      <c r="Q789" s="2322"/>
      <c r="R789" s="2322"/>
      <c r="S789" s="2322"/>
      <c r="T789" s="2322"/>
      <c r="U789" s="2322"/>
      <c r="V789" s="2322"/>
      <c r="W789" s="2322"/>
      <c r="X789" s="2322"/>
      <c r="Y789" s="2322"/>
      <c r="Z789" s="2322"/>
      <c r="AA789" s="2322"/>
      <c r="AB789" s="2322"/>
      <c r="AC789" s="2322"/>
      <c r="AD789" s="2322"/>
      <c r="AE789" s="2322"/>
      <c r="AF789" s="2322"/>
      <c r="AG789" s="2322"/>
      <c r="AH789" s="2322"/>
      <c r="AI789" s="2322"/>
      <c r="AJ789" s="2322"/>
      <c r="AK789" s="2322"/>
      <c r="AL789" s="2322"/>
      <c r="AM789" s="2322"/>
      <c r="AN789" s="2322"/>
      <c r="AO789" s="2322"/>
      <c r="AP789" s="2322"/>
      <c r="AQ789" s="2322"/>
      <c r="AR789" s="2322"/>
      <c r="AS789" s="2322"/>
      <c r="AT789" s="2322"/>
      <c r="AU789" s="2322"/>
      <c r="AV789" s="2322"/>
      <c r="AW789" s="2322"/>
      <c r="AX789" s="2322"/>
      <c r="AY789" s="2322"/>
      <c r="AZ789" s="2322"/>
      <c r="BA789" s="2322"/>
      <c r="BB789" s="2322"/>
      <c r="BC789" s="2322"/>
      <c r="BD789" s="2322"/>
      <c r="BE789" s="2322"/>
      <c r="BF789" s="2322"/>
      <c r="BG789" s="2322"/>
      <c r="BH789" s="2322"/>
      <c r="BI789" s="2322"/>
      <c r="BJ789" s="2322"/>
      <c r="BK789" s="2322"/>
      <c r="BL789" s="2322"/>
      <c r="BM789" s="2322"/>
      <c r="BN789" s="2322"/>
      <c r="BO789" s="2322"/>
      <c r="BP789" s="2322"/>
      <c r="BQ789" s="2322"/>
      <c r="BR789" s="2322"/>
      <c r="BS789" s="2322"/>
      <c r="BT789" s="2322"/>
      <c r="BU789" s="2322"/>
      <c r="BV789" s="2322"/>
      <c r="BW789" s="2322"/>
      <c r="BX789" s="2322"/>
      <c r="BY789" s="2322"/>
      <c r="BZ789" s="2322"/>
      <c r="CA789" s="2322"/>
      <c r="CB789" s="2322"/>
      <c r="CC789" s="2322"/>
      <c r="CD789" s="2322"/>
      <c r="CE789" s="2322"/>
      <c r="CF789" s="2322"/>
      <c r="CG789" s="2322"/>
      <c r="CH789" s="2322"/>
      <c r="CI789" s="2322"/>
      <c r="CJ789" s="2322"/>
      <c r="CK789" s="2322"/>
      <c r="CL789" s="2322"/>
      <c r="CM789" s="2322"/>
      <c r="CN789" s="2322"/>
      <c r="CO789" s="2322"/>
      <c r="CP789" s="2322"/>
      <c r="CQ789" s="2322"/>
      <c r="CR789" s="2322"/>
      <c r="CS789" s="2322"/>
      <c r="CT789" s="2322"/>
      <c r="CU789" s="2322"/>
      <c r="CV789" s="2322"/>
    </row>
    <row r="790" spans="1:100" ht="15.75" customHeight="1">
      <c r="A790" s="2328"/>
      <c r="B790" s="2322"/>
      <c r="C790" s="2322"/>
      <c r="D790" s="2322"/>
      <c r="E790" s="2322"/>
      <c r="F790" s="2322"/>
      <c r="G790" s="2322"/>
      <c r="H790" s="2322"/>
      <c r="I790" s="2322"/>
      <c r="J790" s="2322"/>
      <c r="K790" s="2322"/>
      <c r="L790" s="2322"/>
      <c r="M790" s="2322"/>
      <c r="N790" s="2322"/>
      <c r="O790" s="2322"/>
      <c r="P790" s="2322"/>
      <c r="Q790" s="2322"/>
      <c r="R790" s="2322"/>
      <c r="S790" s="2322"/>
      <c r="T790" s="2322"/>
      <c r="U790" s="2322"/>
      <c r="V790" s="2322"/>
      <c r="W790" s="2322"/>
      <c r="X790" s="2322"/>
      <c r="Y790" s="2322"/>
      <c r="Z790" s="2322"/>
      <c r="AA790" s="2322"/>
      <c r="AB790" s="2322"/>
      <c r="AC790" s="2322"/>
      <c r="AD790" s="2322"/>
      <c r="AE790" s="2322"/>
      <c r="AF790" s="2322"/>
      <c r="AG790" s="2322"/>
      <c r="AH790" s="2322"/>
      <c r="AI790" s="2322"/>
      <c r="AJ790" s="2322"/>
      <c r="AK790" s="2322"/>
      <c r="AL790" s="2322"/>
      <c r="AM790" s="2322"/>
      <c r="AN790" s="2322"/>
      <c r="AO790" s="2322"/>
      <c r="AP790" s="2322"/>
      <c r="AQ790" s="2322"/>
      <c r="AR790" s="2322"/>
      <c r="AS790" s="2322"/>
      <c r="AT790" s="2322"/>
      <c r="AU790" s="2322"/>
      <c r="AV790" s="2322"/>
      <c r="AW790" s="2322"/>
      <c r="AX790" s="2322"/>
      <c r="AY790" s="2322"/>
      <c r="AZ790" s="2322"/>
      <c r="BA790" s="2322"/>
      <c r="BB790" s="2322"/>
      <c r="BC790" s="2322"/>
      <c r="BD790" s="2322"/>
      <c r="BE790" s="2322"/>
      <c r="BF790" s="2322"/>
      <c r="BG790" s="2322"/>
      <c r="BH790" s="2322"/>
      <c r="BI790" s="2322"/>
      <c r="BJ790" s="2322"/>
      <c r="BK790" s="2322"/>
      <c r="BL790" s="2322"/>
      <c r="BM790" s="2322"/>
      <c r="BN790" s="2322"/>
      <c r="BO790" s="2322"/>
      <c r="BP790" s="2322"/>
      <c r="BQ790" s="2322"/>
      <c r="BR790" s="2322"/>
      <c r="BS790" s="2322"/>
      <c r="BT790" s="2322"/>
      <c r="BU790" s="2322"/>
      <c r="BV790" s="2322"/>
      <c r="BW790" s="2322"/>
      <c r="BX790" s="2322"/>
      <c r="BY790" s="2322"/>
      <c r="BZ790" s="2322"/>
      <c r="CA790" s="2322"/>
      <c r="CB790" s="2322"/>
      <c r="CC790" s="2322"/>
      <c r="CD790" s="2322"/>
      <c r="CE790" s="2322"/>
      <c r="CF790" s="2322"/>
      <c r="CG790" s="2322"/>
      <c r="CH790" s="2322"/>
      <c r="CI790" s="2322"/>
      <c r="CJ790" s="2322"/>
      <c r="CK790" s="2322"/>
      <c r="CL790" s="2322"/>
      <c r="CM790" s="2322"/>
      <c r="CN790" s="2322"/>
      <c r="CO790" s="2322"/>
      <c r="CP790" s="2322"/>
      <c r="CQ790" s="2322"/>
      <c r="CR790" s="2322"/>
      <c r="CS790" s="2322"/>
      <c r="CT790" s="2322"/>
      <c r="CU790" s="2322"/>
      <c r="CV790" s="2322"/>
    </row>
    <row r="791" spans="1:100" ht="15.75" customHeight="1">
      <c r="A791" s="2328"/>
      <c r="B791" s="2322"/>
      <c r="C791" s="2322"/>
      <c r="D791" s="2322"/>
      <c r="E791" s="2322"/>
      <c r="F791" s="2322"/>
      <c r="G791" s="2322"/>
      <c r="H791" s="2322"/>
      <c r="I791" s="2322"/>
      <c r="J791" s="2322"/>
      <c r="K791" s="2322"/>
      <c r="L791" s="2322"/>
      <c r="M791" s="2322"/>
      <c r="N791" s="2322"/>
      <c r="O791" s="2322"/>
      <c r="P791" s="2322"/>
      <c r="Q791" s="2322"/>
      <c r="R791" s="2322"/>
      <c r="S791" s="2322"/>
      <c r="T791" s="2322"/>
      <c r="U791" s="2322"/>
      <c r="V791" s="2322"/>
      <c r="W791" s="2322"/>
      <c r="X791" s="2322"/>
      <c r="Y791" s="2322"/>
      <c r="Z791" s="2322"/>
      <c r="AA791" s="2322"/>
      <c r="AB791" s="2322"/>
      <c r="AC791" s="2322"/>
      <c r="AD791" s="2322"/>
      <c r="AE791" s="2322"/>
      <c r="AF791" s="2322"/>
      <c r="AG791" s="2322"/>
      <c r="AH791" s="2322"/>
      <c r="AI791" s="2322"/>
      <c r="AJ791" s="2322"/>
      <c r="AK791" s="2322"/>
      <c r="AL791" s="2322"/>
      <c r="AM791" s="2322"/>
      <c r="AN791" s="2322"/>
      <c r="AO791" s="2322"/>
      <c r="AP791" s="2322"/>
      <c r="AQ791" s="2322"/>
      <c r="AR791" s="2322"/>
      <c r="AS791" s="2322"/>
      <c r="AT791" s="2322"/>
      <c r="AU791" s="2322"/>
      <c r="AV791" s="2322"/>
      <c r="AW791" s="2322"/>
      <c r="AX791" s="2322"/>
      <c r="AY791" s="2322"/>
      <c r="AZ791" s="2322"/>
      <c r="BA791" s="2322"/>
      <c r="BB791" s="2322"/>
      <c r="BC791" s="2322"/>
      <c r="BD791" s="2322"/>
      <c r="BE791" s="2322"/>
      <c r="BF791" s="2322"/>
      <c r="BG791" s="2322"/>
      <c r="BH791" s="2322"/>
      <c r="BI791" s="2322"/>
      <c r="BJ791" s="2322"/>
      <c r="BK791" s="2322"/>
      <c r="BL791" s="2322"/>
      <c r="BM791" s="2322"/>
      <c r="BN791" s="2322"/>
      <c r="BO791" s="2322"/>
      <c r="BP791" s="2322"/>
      <c r="BQ791" s="2322"/>
      <c r="BR791" s="2322"/>
      <c r="BS791" s="2322"/>
      <c r="BT791" s="2322"/>
      <c r="BU791" s="2322"/>
      <c r="BV791" s="2322"/>
      <c r="BW791" s="2322"/>
      <c r="BX791" s="2322"/>
      <c r="BY791" s="2322"/>
      <c r="BZ791" s="2322"/>
      <c r="CA791" s="2322"/>
      <c r="CB791" s="2322"/>
      <c r="CC791" s="2322"/>
      <c r="CD791" s="2322"/>
      <c r="CE791" s="2322"/>
      <c r="CF791" s="2322"/>
      <c r="CG791" s="2322"/>
      <c r="CH791" s="2322"/>
      <c r="CI791" s="2322"/>
      <c r="CJ791" s="2322"/>
      <c r="CK791" s="2322"/>
      <c r="CL791" s="2322"/>
      <c r="CM791" s="2322"/>
      <c r="CN791" s="2322"/>
      <c r="CO791" s="2322"/>
      <c r="CP791" s="2322"/>
      <c r="CQ791" s="2322"/>
      <c r="CR791" s="2322"/>
      <c r="CS791" s="2322"/>
      <c r="CT791" s="2322"/>
      <c r="CU791" s="2322"/>
      <c r="CV791" s="2322"/>
    </row>
    <row r="792" spans="1:100" ht="15.75" customHeight="1">
      <c r="A792" s="2328"/>
      <c r="B792" s="2322"/>
      <c r="C792" s="2322"/>
      <c r="D792" s="2322"/>
      <c r="E792" s="2322"/>
      <c r="F792" s="2322"/>
      <c r="G792" s="2322"/>
      <c r="H792" s="2322"/>
      <c r="I792" s="2322"/>
      <c r="J792" s="2322"/>
      <c r="K792" s="2322"/>
      <c r="L792" s="2322"/>
      <c r="M792" s="2322"/>
      <c r="N792" s="2322"/>
      <c r="O792" s="2322"/>
      <c r="P792" s="2322"/>
      <c r="Q792" s="2322"/>
      <c r="R792" s="2322"/>
      <c r="S792" s="2322"/>
      <c r="T792" s="2322"/>
      <c r="U792" s="2322"/>
      <c r="V792" s="2322"/>
      <c r="W792" s="2322"/>
      <c r="X792" s="2322"/>
      <c r="Y792" s="2322"/>
      <c r="Z792" s="2322"/>
      <c r="AA792" s="2322"/>
      <c r="AB792" s="2322"/>
      <c r="AC792" s="2322"/>
      <c r="AD792" s="2322"/>
      <c r="AE792" s="2322"/>
      <c r="AF792" s="2322"/>
      <c r="AG792" s="2322"/>
      <c r="AH792" s="2322"/>
      <c r="AI792" s="2322"/>
      <c r="AJ792" s="2322"/>
      <c r="AK792" s="2322"/>
      <c r="AL792" s="2322"/>
      <c r="AM792" s="2322"/>
      <c r="AN792" s="2322"/>
      <c r="AO792" s="2322"/>
      <c r="AP792" s="2322"/>
      <c r="AQ792" s="2322"/>
      <c r="AR792" s="2322"/>
      <c r="AS792" s="2322"/>
      <c r="AT792" s="2322"/>
      <c r="AU792" s="2322"/>
      <c r="AV792" s="2322"/>
      <c r="AW792" s="2322"/>
      <c r="AX792" s="2322"/>
      <c r="AY792" s="2322"/>
      <c r="AZ792" s="2322"/>
      <c r="BA792" s="2322"/>
      <c r="BB792" s="2322"/>
      <c r="BC792" s="2322"/>
      <c r="BD792" s="2322"/>
      <c r="BE792" s="2322"/>
      <c r="BF792" s="2322"/>
      <c r="BG792" s="2322"/>
      <c r="BH792" s="2322"/>
      <c r="BI792" s="2322"/>
      <c r="BJ792" s="2322"/>
      <c r="BK792" s="2322"/>
      <c r="BL792" s="2322"/>
      <c r="BM792" s="2322"/>
      <c r="BN792" s="2322"/>
      <c r="BO792" s="2322"/>
      <c r="BP792" s="2322"/>
      <c r="BQ792" s="2322"/>
      <c r="BR792" s="2322"/>
      <c r="BS792" s="2322"/>
      <c r="BT792" s="2322"/>
      <c r="BU792" s="2322"/>
      <c r="BV792" s="2322"/>
      <c r="BW792" s="2322"/>
      <c r="BX792" s="2322"/>
      <c r="BY792" s="2322"/>
      <c r="BZ792" s="2322"/>
      <c r="CA792" s="2322"/>
      <c r="CB792" s="2322"/>
      <c r="CC792" s="2322"/>
      <c r="CD792" s="2322"/>
      <c r="CE792" s="2322"/>
      <c r="CF792" s="2322"/>
      <c r="CG792" s="2322"/>
      <c r="CH792" s="2322"/>
      <c r="CI792" s="2322"/>
      <c r="CJ792" s="2322"/>
      <c r="CK792" s="2322"/>
      <c r="CL792" s="2322"/>
      <c r="CM792" s="2322"/>
      <c r="CN792" s="2322"/>
      <c r="CO792" s="2322"/>
      <c r="CP792" s="2322"/>
      <c r="CQ792" s="2322"/>
      <c r="CR792" s="2322"/>
      <c r="CS792" s="2322"/>
      <c r="CT792" s="2322"/>
      <c r="CU792" s="2322"/>
      <c r="CV792" s="2322"/>
    </row>
    <row r="793" spans="1:100" ht="15.75" customHeight="1">
      <c r="A793" s="2328"/>
      <c r="B793" s="2322"/>
      <c r="C793" s="2322"/>
      <c r="D793" s="2322"/>
      <c r="E793" s="2322"/>
      <c r="F793" s="2322"/>
      <c r="G793" s="2322"/>
      <c r="H793" s="2322"/>
      <c r="I793" s="2322"/>
      <c r="J793" s="2322"/>
      <c r="K793" s="2322"/>
      <c r="L793" s="2322"/>
      <c r="M793" s="2322"/>
      <c r="N793" s="2322"/>
      <c r="O793" s="2322"/>
      <c r="P793" s="2322"/>
      <c r="Q793" s="2322"/>
      <c r="R793" s="2322"/>
      <c r="S793" s="2322"/>
      <c r="T793" s="2322"/>
      <c r="U793" s="2322"/>
      <c r="V793" s="2322"/>
      <c r="W793" s="2322"/>
      <c r="X793" s="2322"/>
      <c r="Y793" s="2322"/>
      <c r="Z793" s="2322"/>
      <c r="AA793" s="2322"/>
      <c r="AB793" s="2322"/>
      <c r="AC793" s="2322"/>
      <c r="AD793" s="2322"/>
      <c r="AE793" s="2322"/>
      <c r="AF793" s="2322"/>
      <c r="AG793" s="2322"/>
      <c r="AH793" s="2322"/>
      <c r="AI793" s="2322"/>
      <c r="AJ793" s="2322"/>
      <c r="AK793" s="2322"/>
      <c r="AL793" s="2322"/>
      <c r="AM793" s="2322"/>
      <c r="AN793" s="2322"/>
      <c r="AO793" s="2322"/>
      <c r="AP793" s="2322"/>
      <c r="AQ793" s="2322"/>
      <c r="AR793" s="2322"/>
      <c r="AS793" s="2322"/>
      <c r="AT793" s="2322"/>
      <c r="AU793" s="2322"/>
      <c r="AV793" s="2322"/>
      <c r="AW793" s="2322"/>
      <c r="AX793" s="2322"/>
      <c r="AY793" s="2322"/>
      <c r="AZ793" s="2322"/>
      <c r="BA793" s="2322"/>
      <c r="BB793" s="2322"/>
      <c r="BC793" s="2322"/>
      <c r="BD793" s="2322"/>
      <c r="BE793" s="2322"/>
      <c r="BF793" s="2322"/>
      <c r="BG793" s="2322"/>
      <c r="BH793" s="2322"/>
      <c r="BI793" s="2322"/>
      <c r="BJ793" s="2322"/>
      <c r="BK793" s="2322"/>
      <c r="BL793" s="2322"/>
      <c r="BM793" s="2322"/>
      <c r="BN793" s="2322"/>
      <c r="BO793" s="2322"/>
      <c r="BP793" s="2322"/>
      <c r="BQ793" s="2322"/>
      <c r="BR793" s="2322"/>
      <c r="BS793" s="2322"/>
      <c r="BT793" s="2322"/>
      <c r="BU793" s="2322"/>
      <c r="BV793" s="2322"/>
      <c r="BW793" s="2322"/>
      <c r="BX793" s="2322"/>
      <c r="BY793" s="2322"/>
      <c r="BZ793" s="2322"/>
      <c r="CA793" s="2322"/>
      <c r="CB793" s="2322"/>
      <c r="CC793" s="2322"/>
      <c r="CD793" s="2322"/>
      <c r="CE793" s="2322"/>
      <c r="CF793" s="2322"/>
      <c r="CG793" s="2322"/>
      <c r="CH793" s="2322"/>
      <c r="CI793" s="2322"/>
      <c r="CJ793" s="2322"/>
      <c r="CK793" s="2322"/>
      <c r="CL793" s="2322"/>
      <c r="CM793" s="2322"/>
      <c r="CN793" s="2322"/>
      <c r="CO793" s="2322"/>
      <c r="CP793" s="2322"/>
      <c r="CQ793" s="2322"/>
      <c r="CR793" s="2322"/>
      <c r="CS793" s="2322"/>
      <c r="CT793" s="2322"/>
      <c r="CU793" s="2322"/>
      <c r="CV793" s="2322"/>
    </row>
    <row r="794" spans="1:100" ht="15.75" customHeight="1">
      <c r="A794" s="2328"/>
      <c r="B794" s="2322"/>
      <c r="C794" s="2322"/>
      <c r="D794" s="2322"/>
      <c r="E794" s="2322"/>
      <c r="F794" s="2322"/>
      <c r="G794" s="2322"/>
      <c r="H794" s="2322"/>
      <c r="I794" s="2322"/>
      <c r="J794" s="2322"/>
      <c r="K794" s="2322"/>
      <c r="L794" s="2322"/>
      <c r="M794" s="2322"/>
      <c r="N794" s="2322"/>
      <c r="O794" s="2322"/>
      <c r="P794" s="2322"/>
      <c r="Q794" s="2322"/>
      <c r="R794" s="2322"/>
      <c r="S794" s="2322"/>
      <c r="T794" s="2322"/>
      <c r="U794" s="2322"/>
      <c r="V794" s="2322"/>
      <c r="W794" s="2322"/>
      <c r="X794" s="2322"/>
      <c r="Y794" s="2322"/>
      <c r="Z794" s="2322"/>
      <c r="AA794" s="2322"/>
      <c r="AB794" s="2322"/>
      <c r="AC794" s="2322"/>
      <c r="AD794" s="2322"/>
      <c r="AE794" s="2322"/>
      <c r="AF794" s="2322"/>
      <c r="AG794" s="2322"/>
      <c r="AH794" s="2322"/>
      <c r="AI794" s="2322"/>
      <c r="AJ794" s="2322"/>
      <c r="AK794" s="2322"/>
      <c r="AL794" s="2322"/>
      <c r="AM794" s="2322"/>
      <c r="AN794" s="2322"/>
      <c r="AO794" s="2322"/>
      <c r="AP794" s="2322"/>
      <c r="AQ794" s="2322"/>
      <c r="AR794" s="2322"/>
      <c r="AS794" s="2322"/>
      <c r="AT794" s="2322"/>
      <c r="AU794" s="2322"/>
      <c r="AV794" s="2322"/>
      <c r="AW794" s="2322"/>
      <c r="AX794" s="2322"/>
      <c r="AY794" s="2322"/>
      <c r="AZ794" s="2322"/>
      <c r="BA794" s="2322"/>
      <c r="BB794" s="2322"/>
      <c r="BC794" s="2322"/>
      <c r="BD794" s="2322"/>
      <c r="BE794" s="2322"/>
      <c r="BF794" s="2322"/>
      <c r="BG794" s="2322"/>
      <c r="BH794" s="2322"/>
      <c r="BI794" s="2322"/>
      <c r="BJ794" s="2322"/>
      <c r="BK794" s="2322"/>
      <c r="BL794" s="2322"/>
      <c r="BM794" s="2322"/>
      <c r="BN794" s="2322"/>
      <c r="BO794" s="2322"/>
      <c r="BP794" s="2322"/>
      <c r="BQ794" s="2322"/>
      <c r="BR794" s="2322"/>
      <c r="BS794" s="2322"/>
      <c r="BT794" s="2322"/>
      <c r="BU794" s="2322"/>
      <c r="BV794" s="2322"/>
      <c r="BW794" s="2322"/>
      <c r="BX794" s="2322"/>
      <c r="BY794" s="2322"/>
      <c r="BZ794" s="2322"/>
      <c r="CA794" s="2322"/>
      <c r="CB794" s="2322"/>
      <c r="CC794" s="2322"/>
      <c r="CD794" s="2322"/>
      <c r="CE794" s="2322"/>
      <c r="CF794" s="2322"/>
      <c r="CG794" s="2322"/>
      <c r="CH794" s="2322"/>
      <c r="CI794" s="2322"/>
      <c r="CJ794" s="2322"/>
      <c r="CK794" s="2322"/>
      <c r="CL794" s="2322"/>
      <c r="CM794" s="2322"/>
      <c r="CN794" s="2322"/>
      <c r="CO794" s="2322"/>
      <c r="CP794" s="2322"/>
      <c r="CQ794" s="2322"/>
      <c r="CR794" s="2322"/>
      <c r="CS794" s="2322"/>
      <c r="CT794" s="2322"/>
      <c r="CU794" s="2322"/>
      <c r="CV794" s="2322"/>
    </row>
    <row r="795" spans="1:100" ht="15.75" customHeight="1">
      <c r="A795" s="2328"/>
      <c r="B795" s="2322"/>
      <c r="C795" s="2322"/>
      <c r="D795" s="2322"/>
      <c r="E795" s="2322"/>
      <c r="F795" s="2322"/>
      <c r="G795" s="2322"/>
      <c r="H795" s="2322"/>
      <c r="I795" s="2322"/>
      <c r="J795" s="2322"/>
      <c r="K795" s="2322"/>
      <c r="L795" s="2322"/>
      <c r="M795" s="2322"/>
      <c r="N795" s="2322"/>
      <c r="O795" s="2322"/>
      <c r="P795" s="2322"/>
      <c r="Q795" s="2322"/>
      <c r="R795" s="2322"/>
      <c r="S795" s="2322"/>
      <c r="T795" s="2322"/>
      <c r="U795" s="2322"/>
      <c r="V795" s="2322"/>
      <c r="W795" s="2322"/>
      <c r="X795" s="2322"/>
      <c r="Y795" s="2322"/>
      <c r="Z795" s="2322"/>
      <c r="AA795" s="2322"/>
      <c r="AB795" s="2322"/>
      <c r="AC795" s="2322"/>
      <c r="AD795" s="2322"/>
      <c r="AE795" s="2322"/>
      <c r="AF795" s="2322"/>
      <c r="AG795" s="2322"/>
      <c r="AH795" s="2322"/>
      <c r="AI795" s="2322"/>
      <c r="AJ795" s="2322"/>
      <c r="AK795" s="2322"/>
      <c r="AL795" s="2322"/>
      <c r="AM795" s="2322"/>
      <c r="AN795" s="2322"/>
      <c r="AO795" s="2322"/>
      <c r="AP795" s="2322"/>
      <c r="AQ795" s="2322"/>
      <c r="AR795" s="2322"/>
      <c r="AS795" s="2322"/>
      <c r="AT795" s="2322"/>
      <c r="AU795" s="2322"/>
      <c r="AV795" s="2322"/>
      <c r="AW795" s="2322"/>
      <c r="AX795" s="2322"/>
      <c r="AY795" s="2322"/>
      <c r="AZ795" s="2322"/>
      <c r="BA795" s="2322"/>
      <c r="BB795" s="2322"/>
      <c r="BC795" s="2322"/>
      <c r="BD795" s="2322"/>
      <c r="BE795" s="2322"/>
      <c r="BF795" s="2322"/>
      <c r="BG795" s="2322"/>
      <c r="BH795" s="2322"/>
      <c r="BI795" s="2322"/>
      <c r="BJ795" s="2322"/>
      <c r="BK795" s="2322"/>
      <c r="BL795" s="2322"/>
      <c r="BM795" s="2322"/>
      <c r="BN795" s="2322"/>
      <c r="BO795" s="2322"/>
      <c r="BP795" s="2322"/>
      <c r="BQ795" s="2322"/>
      <c r="BR795" s="2322"/>
      <c r="BS795" s="2322"/>
      <c r="BT795" s="2322"/>
      <c r="BU795" s="2322"/>
      <c r="BV795" s="2322"/>
      <c r="BW795" s="2322"/>
      <c r="BX795" s="2322"/>
      <c r="BY795" s="2322"/>
      <c r="BZ795" s="2322"/>
      <c r="CA795" s="2322"/>
      <c r="CB795" s="2322"/>
      <c r="CC795" s="2322"/>
      <c r="CD795" s="2322"/>
      <c r="CE795" s="2322"/>
      <c r="CF795" s="2322"/>
      <c r="CG795" s="2322"/>
      <c r="CH795" s="2322"/>
      <c r="CI795" s="2322"/>
      <c r="CJ795" s="2322"/>
      <c r="CK795" s="2322"/>
      <c r="CL795" s="2322"/>
      <c r="CM795" s="2322"/>
      <c r="CN795" s="2322"/>
      <c r="CO795" s="2322"/>
      <c r="CP795" s="2322"/>
      <c r="CQ795" s="2322"/>
      <c r="CR795" s="2322"/>
      <c r="CS795" s="2322"/>
      <c r="CT795" s="2322"/>
      <c r="CU795" s="2322"/>
      <c r="CV795" s="2322"/>
    </row>
    <row r="796" spans="1:100" ht="15.75" customHeight="1">
      <c r="A796" s="2328"/>
      <c r="B796" s="2322"/>
      <c r="C796" s="2322"/>
      <c r="D796" s="2322"/>
      <c r="E796" s="2322"/>
      <c r="F796" s="2322"/>
      <c r="G796" s="2322"/>
      <c r="H796" s="2322"/>
      <c r="I796" s="2322"/>
      <c r="J796" s="2322"/>
      <c r="K796" s="2322"/>
      <c r="L796" s="2322"/>
      <c r="M796" s="2322"/>
      <c r="N796" s="2322"/>
      <c r="O796" s="2322"/>
      <c r="P796" s="2322"/>
      <c r="Q796" s="2322"/>
      <c r="R796" s="2322"/>
      <c r="S796" s="2322"/>
      <c r="T796" s="2322"/>
      <c r="U796" s="2322"/>
      <c r="V796" s="2322"/>
      <c r="W796" s="2322"/>
      <c r="X796" s="2322"/>
      <c r="Y796" s="2322"/>
      <c r="Z796" s="2322"/>
      <c r="AA796" s="2322"/>
      <c r="AB796" s="2322"/>
      <c r="AC796" s="2322"/>
      <c r="AD796" s="2322"/>
      <c r="AE796" s="2322"/>
      <c r="AF796" s="2322"/>
      <c r="AG796" s="2322"/>
      <c r="AH796" s="2322"/>
      <c r="AI796" s="2322"/>
      <c r="AJ796" s="2322"/>
      <c r="AK796" s="2322"/>
      <c r="AL796" s="2322"/>
      <c r="AM796" s="2322"/>
      <c r="AN796" s="2322"/>
      <c r="AO796" s="2322"/>
      <c r="AP796" s="2322"/>
      <c r="AQ796" s="2322"/>
      <c r="AR796" s="2322"/>
      <c r="AS796" s="2322"/>
      <c r="AT796" s="2322"/>
      <c r="AU796" s="2322"/>
      <c r="AV796" s="2322"/>
      <c r="AW796" s="2322"/>
      <c r="AX796" s="2322"/>
      <c r="AY796" s="2322"/>
      <c r="AZ796" s="2322"/>
      <c r="BA796" s="2322"/>
      <c r="BB796" s="2322"/>
      <c r="BC796" s="2322"/>
      <c r="BD796" s="2322"/>
      <c r="BE796" s="2322"/>
      <c r="BF796" s="2322"/>
      <c r="BG796" s="2322"/>
      <c r="BH796" s="2322"/>
      <c r="BI796" s="2322"/>
      <c r="BJ796" s="2322"/>
      <c r="BK796" s="2322"/>
      <c r="BL796" s="2322"/>
      <c r="BM796" s="2322"/>
      <c r="BN796" s="2322"/>
      <c r="BO796" s="2322"/>
      <c r="BP796" s="2322"/>
      <c r="BQ796" s="2322"/>
      <c r="BR796" s="2322"/>
      <c r="BS796" s="2322"/>
      <c r="BT796" s="2322"/>
      <c r="BU796" s="2322"/>
      <c r="BV796" s="2322"/>
      <c r="BW796" s="2322"/>
      <c r="BX796" s="2322"/>
      <c r="BY796" s="2322"/>
      <c r="BZ796" s="2322"/>
      <c r="CA796" s="2322"/>
      <c r="CB796" s="2322"/>
      <c r="CC796" s="2322"/>
      <c r="CD796" s="2322"/>
      <c r="CE796" s="2322"/>
      <c r="CF796" s="2322"/>
      <c r="CG796" s="2322"/>
      <c r="CH796" s="2322"/>
      <c r="CI796" s="2322"/>
      <c r="CJ796" s="2322"/>
      <c r="CK796" s="2322"/>
      <c r="CL796" s="2322"/>
      <c r="CM796" s="2322"/>
      <c r="CN796" s="2322"/>
      <c r="CO796" s="2322"/>
      <c r="CP796" s="2322"/>
      <c r="CQ796" s="2322"/>
      <c r="CR796" s="2322"/>
      <c r="CS796" s="2322"/>
      <c r="CT796" s="2322"/>
      <c r="CU796" s="2322"/>
      <c r="CV796" s="2322"/>
    </row>
    <row r="797" spans="1:100" ht="15.75" customHeight="1">
      <c r="A797" s="2328"/>
      <c r="B797" s="2322"/>
      <c r="C797" s="2322"/>
      <c r="D797" s="2322"/>
      <c r="E797" s="2322"/>
      <c r="F797" s="2322"/>
      <c r="G797" s="2322"/>
      <c r="H797" s="2322"/>
      <c r="I797" s="2322"/>
      <c r="J797" s="2322"/>
      <c r="K797" s="2322"/>
      <c r="L797" s="2322"/>
      <c r="M797" s="2322"/>
      <c r="N797" s="2322"/>
      <c r="O797" s="2322"/>
      <c r="P797" s="2322"/>
      <c r="Q797" s="2322"/>
      <c r="R797" s="2322"/>
      <c r="S797" s="2322"/>
      <c r="T797" s="2322"/>
      <c r="U797" s="2322"/>
      <c r="V797" s="2322"/>
      <c r="W797" s="2322"/>
      <c r="X797" s="2322"/>
      <c r="Y797" s="2322"/>
      <c r="Z797" s="2322"/>
      <c r="AA797" s="2322"/>
      <c r="AB797" s="2322"/>
      <c r="AC797" s="2322"/>
      <c r="AD797" s="2322"/>
      <c r="AE797" s="2322"/>
      <c r="AF797" s="2322"/>
      <c r="AG797" s="2322"/>
      <c r="AH797" s="2322"/>
      <c r="AI797" s="2322"/>
      <c r="AJ797" s="2322"/>
      <c r="AK797" s="2322"/>
      <c r="AL797" s="2322"/>
      <c r="AM797" s="2322"/>
      <c r="AN797" s="2322"/>
      <c r="AO797" s="2322"/>
      <c r="AP797" s="2322"/>
      <c r="AQ797" s="2322"/>
      <c r="AR797" s="2322"/>
      <c r="AS797" s="2322"/>
      <c r="AT797" s="2322"/>
      <c r="AU797" s="2322"/>
      <c r="AV797" s="2322"/>
      <c r="AW797" s="2322"/>
      <c r="AX797" s="2322"/>
      <c r="AY797" s="2322"/>
      <c r="AZ797" s="2322"/>
      <c r="BA797" s="2322"/>
      <c r="BB797" s="2322"/>
      <c r="BC797" s="2322"/>
      <c r="BD797" s="2322"/>
      <c r="BE797" s="2322"/>
      <c r="BF797" s="2322"/>
      <c r="BG797" s="2322"/>
      <c r="BH797" s="2322"/>
      <c r="BI797" s="2322"/>
      <c r="BJ797" s="2322"/>
      <c r="BK797" s="2322"/>
      <c r="BL797" s="2322"/>
      <c r="BM797" s="2322"/>
      <c r="BN797" s="2322"/>
      <c r="BO797" s="2322"/>
      <c r="BP797" s="2322"/>
      <c r="BQ797" s="2322"/>
      <c r="BR797" s="2322"/>
      <c r="BS797" s="2322"/>
      <c r="BT797" s="2322"/>
      <c r="BU797" s="2322"/>
      <c r="BV797" s="2322"/>
      <c r="BW797" s="2322"/>
      <c r="BX797" s="2322"/>
      <c r="BY797" s="2322"/>
      <c r="BZ797" s="2322"/>
      <c r="CA797" s="2322"/>
      <c r="CB797" s="2322"/>
      <c r="CC797" s="2322"/>
      <c r="CD797" s="2322"/>
      <c r="CE797" s="2322"/>
      <c r="CF797" s="2322"/>
      <c r="CG797" s="2322"/>
      <c r="CH797" s="2322"/>
      <c r="CI797" s="2322"/>
      <c r="CJ797" s="2322"/>
      <c r="CK797" s="2322"/>
      <c r="CL797" s="2322"/>
      <c r="CM797" s="2322"/>
      <c r="CN797" s="2322"/>
      <c r="CO797" s="2322"/>
      <c r="CP797" s="2322"/>
      <c r="CQ797" s="2322"/>
      <c r="CR797" s="2322"/>
      <c r="CS797" s="2322"/>
      <c r="CT797" s="2322"/>
      <c r="CU797" s="2322"/>
      <c r="CV797" s="2322"/>
    </row>
    <row r="798" spans="1:100" ht="15.75" customHeight="1">
      <c r="A798" s="2328"/>
      <c r="B798" s="2322"/>
      <c r="C798" s="2322"/>
      <c r="D798" s="2322"/>
      <c r="E798" s="2322"/>
      <c r="F798" s="2322"/>
      <c r="G798" s="2322"/>
      <c r="H798" s="2322"/>
      <c r="I798" s="2322"/>
      <c r="J798" s="2322"/>
      <c r="K798" s="2322"/>
      <c r="L798" s="2322"/>
      <c r="M798" s="2322"/>
      <c r="N798" s="2322"/>
      <c r="O798" s="2322"/>
      <c r="P798" s="2322"/>
      <c r="Q798" s="2322"/>
      <c r="R798" s="2322"/>
      <c r="S798" s="2322"/>
      <c r="T798" s="2322"/>
      <c r="U798" s="2322"/>
      <c r="V798" s="2322"/>
      <c r="W798" s="2322"/>
      <c r="X798" s="2322"/>
      <c r="Y798" s="2322"/>
      <c r="Z798" s="2322"/>
      <c r="AA798" s="2322"/>
      <c r="AB798" s="2322"/>
      <c r="AC798" s="2322"/>
      <c r="AD798" s="2322"/>
      <c r="AE798" s="2322"/>
      <c r="AF798" s="2322"/>
      <c r="AG798" s="2322"/>
      <c r="AH798" s="2322"/>
      <c r="AI798" s="2322"/>
      <c r="AJ798" s="2322"/>
      <c r="AK798" s="2322"/>
      <c r="AL798" s="2322"/>
      <c r="AM798" s="2322"/>
      <c r="AN798" s="2322"/>
      <c r="AO798" s="2322"/>
      <c r="AP798" s="2322"/>
      <c r="AQ798" s="2322"/>
      <c r="AR798" s="2322"/>
      <c r="AS798" s="2322"/>
      <c r="AT798" s="2322"/>
      <c r="AU798" s="2322"/>
      <c r="AV798" s="2322"/>
      <c r="AW798" s="2322"/>
      <c r="AX798" s="2322"/>
      <c r="AY798" s="2322"/>
      <c r="AZ798" s="2322"/>
      <c r="BA798" s="2322"/>
      <c r="BB798" s="2322"/>
      <c r="BC798" s="2322"/>
      <c r="BD798" s="2322"/>
      <c r="BE798" s="2322"/>
      <c r="BF798" s="2322"/>
      <c r="BG798" s="2322"/>
      <c r="BH798" s="2322"/>
      <c r="BI798" s="2322"/>
      <c r="BJ798" s="2322"/>
      <c r="BK798" s="2322"/>
      <c r="BL798" s="2322"/>
      <c r="BM798" s="2322"/>
      <c r="BN798" s="2322"/>
      <c r="BO798" s="2322"/>
      <c r="BP798" s="2322"/>
      <c r="BQ798" s="2322"/>
      <c r="BR798" s="2322"/>
      <c r="BS798" s="2322"/>
      <c r="BT798" s="2322"/>
      <c r="BU798" s="2322"/>
      <c r="BV798" s="2322"/>
      <c r="BW798" s="2322"/>
      <c r="BX798" s="2322"/>
      <c r="BY798" s="2322"/>
      <c r="BZ798" s="2322"/>
      <c r="CA798" s="2322"/>
      <c r="CB798" s="2322"/>
      <c r="CC798" s="2322"/>
      <c r="CD798" s="2322"/>
      <c r="CE798" s="2322"/>
      <c r="CF798" s="2322"/>
      <c r="CG798" s="2322"/>
      <c r="CH798" s="2322"/>
      <c r="CI798" s="2322"/>
      <c r="CJ798" s="2322"/>
      <c r="CK798" s="2322"/>
      <c r="CL798" s="2322"/>
      <c r="CM798" s="2322"/>
      <c r="CN798" s="2322"/>
      <c r="CO798" s="2322"/>
      <c r="CP798" s="2322"/>
      <c r="CQ798" s="2322"/>
      <c r="CR798" s="2322"/>
      <c r="CS798" s="2322"/>
      <c r="CT798" s="2322"/>
      <c r="CU798" s="2322"/>
      <c r="CV798" s="2322"/>
    </row>
    <row r="799" spans="1:100" ht="15.75" customHeight="1">
      <c r="A799" s="2328"/>
      <c r="B799" s="2322"/>
      <c r="C799" s="2322"/>
      <c r="D799" s="2322"/>
      <c r="E799" s="2322"/>
      <c r="F799" s="2322"/>
      <c r="G799" s="2322"/>
      <c r="H799" s="2322"/>
      <c r="I799" s="2322"/>
      <c r="J799" s="2322"/>
      <c r="K799" s="2322"/>
      <c r="L799" s="2322"/>
      <c r="M799" s="2322"/>
      <c r="N799" s="2322"/>
      <c r="O799" s="2322"/>
      <c r="P799" s="2322"/>
      <c r="Q799" s="2322"/>
      <c r="R799" s="2322"/>
      <c r="S799" s="2322"/>
      <c r="T799" s="2322"/>
      <c r="U799" s="2322"/>
      <c r="V799" s="2322"/>
      <c r="W799" s="2322"/>
      <c r="X799" s="2322"/>
      <c r="Y799" s="2322"/>
      <c r="Z799" s="2322"/>
      <c r="AA799" s="2322"/>
      <c r="AB799" s="2322"/>
      <c r="AC799" s="2322"/>
      <c r="AD799" s="2322"/>
      <c r="AE799" s="2322"/>
      <c r="AF799" s="2322"/>
      <c r="AG799" s="2322"/>
      <c r="AH799" s="2322"/>
      <c r="AI799" s="2322"/>
      <c r="AJ799" s="2322"/>
      <c r="AK799" s="2322"/>
      <c r="AL799" s="2322"/>
      <c r="AM799" s="2322"/>
      <c r="AN799" s="2322"/>
      <c r="AO799" s="2322"/>
      <c r="AP799" s="2322"/>
      <c r="AQ799" s="2322"/>
      <c r="AR799" s="2322"/>
      <c r="AS799" s="2322"/>
      <c r="AT799" s="2322"/>
      <c r="AU799" s="2322"/>
      <c r="AV799" s="2322"/>
      <c r="AW799" s="2322"/>
      <c r="AX799" s="2322"/>
      <c r="AY799" s="2322"/>
      <c r="AZ799" s="2322"/>
      <c r="BA799" s="2322"/>
      <c r="BB799" s="2322"/>
      <c r="BC799" s="2322"/>
      <c r="BD799" s="2322"/>
      <c r="BE799" s="2322"/>
      <c r="BF799" s="2322"/>
      <c r="BG799" s="2322"/>
      <c r="BH799" s="2322"/>
      <c r="BI799" s="2322"/>
      <c r="BJ799" s="2322"/>
      <c r="BK799" s="2322"/>
      <c r="BL799" s="2322"/>
      <c r="BM799" s="2322"/>
      <c r="BN799" s="2322"/>
      <c r="BO799" s="2322"/>
      <c r="BP799" s="2322"/>
      <c r="BQ799" s="2322"/>
      <c r="BR799" s="2322"/>
      <c r="BS799" s="2322"/>
      <c r="BT799" s="2322"/>
      <c r="BU799" s="2322"/>
      <c r="BV799" s="2322"/>
      <c r="BW799" s="2322"/>
      <c r="BX799" s="2322"/>
      <c r="BY799" s="2322"/>
      <c r="BZ799" s="2322"/>
      <c r="CA799" s="2322"/>
      <c r="CB799" s="2322"/>
      <c r="CC799" s="2322"/>
      <c r="CD799" s="2322"/>
      <c r="CE799" s="2322"/>
      <c r="CF799" s="2322"/>
      <c r="CG799" s="2322"/>
      <c r="CH799" s="2322"/>
      <c r="CI799" s="2322"/>
      <c r="CJ799" s="2322"/>
      <c r="CK799" s="2322"/>
      <c r="CL799" s="2322"/>
      <c r="CM799" s="2322"/>
      <c r="CN799" s="2322"/>
      <c r="CO799" s="2322"/>
      <c r="CP799" s="2322"/>
      <c r="CQ799" s="2322"/>
      <c r="CR799" s="2322"/>
      <c r="CS799" s="2322"/>
      <c r="CT799" s="2322"/>
      <c r="CU799" s="2322"/>
      <c r="CV799" s="2322"/>
    </row>
    <row r="800" spans="1:100" ht="15.75" customHeight="1">
      <c r="A800" s="2328"/>
      <c r="B800" s="2322"/>
      <c r="C800" s="2322"/>
      <c r="D800" s="2322"/>
      <c r="E800" s="2322"/>
      <c r="F800" s="2322"/>
      <c r="G800" s="2322"/>
      <c r="H800" s="2322"/>
      <c r="I800" s="2322"/>
      <c r="J800" s="2322"/>
      <c r="K800" s="2322"/>
      <c r="L800" s="2322"/>
      <c r="M800" s="2322"/>
      <c r="N800" s="2322"/>
      <c r="O800" s="2322"/>
      <c r="P800" s="2322"/>
      <c r="Q800" s="2322"/>
      <c r="R800" s="2322"/>
      <c r="S800" s="2322"/>
      <c r="T800" s="2322"/>
      <c r="U800" s="2322"/>
      <c r="V800" s="2322"/>
      <c r="W800" s="2322"/>
      <c r="X800" s="2322"/>
      <c r="Y800" s="2322"/>
      <c r="Z800" s="2322"/>
      <c r="AA800" s="2322"/>
      <c r="AB800" s="2322"/>
      <c r="AC800" s="2322"/>
      <c r="AD800" s="2322"/>
      <c r="AE800" s="2322"/>
      <c r="AF800" s="2322"/>
      <c r="AG800" s="2322"/>
      <c r="AH800" s="2322"/>
      <c r="AI800" s="2322"/>
      <c r="AJ800" s="2322"/>
      <c r="AK800" s="2322"/>
      <c r="AL800" s="2322"/>
      <c r="AM800" s="2322"/>
      <c r="AN800" s="2322"/>
      <c r="AO800" s="2322"/>
      <c r="AP800" s="2322"/>
      <c r="AQ800" s="2322"/>
      <c r="AR800" s="2322"/>
      <c r="AS800" s="2322"/>
      <c r="AT800" s="2322"/>
      <c r="AU800" s="2322"/>
      <c r="AV800" s="2322"/>
      <c r="AW800" s="2322"/>
      <c r="AX800" s="2322"/>
      <c r="AY800" s="2322"/>
      <c r="AZ800" s="2322"/>
      <c r="BA800" s="2322"/>
      <c r="BB800" s="2322"/>
      <c r="BC800" s="2322"/>
      <c r="BD800" s="2322"/>
      <c r="BE800" s="2322"/>
      <c r="BF800" s="2322"/>
      <c r="BG800" s="2322"/>
      <c r="BH800" s="2322"/>
      <c r="BI800" s="2322"/>
      <c r="BJ800" s="2322"/>
      <c r="BK800" s="2322"/>
      <c r="BL800" s="2322"/>
      <c r="BM800" s="2322"/>
      <c r="BN800" s="2322"/>
      <c r="BO800" s="2322"/>
      <c r="BP800" s="2322"/>
      <c r="BQ800" s="2322"/>
      <c r="BR800" s="2322"/>
      <c r="BS800" s="2322"/>
      <c r="BT800" s="2322"/>
      <c r="BU800" s="2322"/>
      <c r="BV800" s="2322"/>
      <c r="BW800" s="2322"/>
      <c r="BX800" s="2322"/>
      <c r="BY800" s="2322"/>
      <c r="BZ800" s="2322"/>
      <c r="CA800" s="2322"/>
      <c r="CB800" s="2322"/>
      <c r="CC800" s="2322"/>
      <c r="CD800" s="2322"/>
      <c r="CE800" s="2322"/>
      <c r="CF800" s="2322"/>
      <c r="CG800" s="2322"/>
      <c r="CH800" s="2322"/>
      <c r="CI800" s="2322"/>
      <c r="CJ800" s="2322"/>
      <c r="CK800" s="2322"/>
      <c r="CL800" s="2322"/>
      <c r="CM800" s="2322"/>
      <c r="CN800" s="2322"/>
      <c r="CO800" s="2322"/>
      <c r="CP800" s="2322"/>
      <c r="CQ800" s="2322"/>
      <c r="CR800" s="2322"/>
      <c r="CS800" s="2322"/>
      <c r="CT800" s="2322"/>
      <c r="CU800" s="2322"/>
      <c r="CV800" s="2322"/>
    </row>
    <row r="801" spans="1:100" ht="15.75" customHeight="1">
      <c r="A801" s="2328"/>
      <c r="B801" s="2322"/>
      <c r="C801" s="2322"/>
      <c r="D801" s="2322"/>
      <c r="E801" s="2322"/>
      <c r="F801" s="2322"/>
      <c r="G801" s="2322"/>
      <c r="H801" s="2322"/>
      <c r="I801" s="2322"/>
      <c r="J801" s="2322"/>
      <c r="K801" s="2322"/>
      <c r="L801" s="2322"/>
      <c r="M801" s="2322"/>
      <c r="N801" s="2322"/>
      <c r="O801" s="2322"/>
      <c r="P801" s="2322"/>
      <c r="Q801" s="2322"/>
      <c r="R801" s="2322"/>
      <c r="S801" s="2322"/>
      <c r="T801" s="2322"/>
      <c r="U801" s="2322"/>
      <c r="V801" s="2322"/>
      <c r="W801" s="2322"/>
      <c r="X801" s="2322"/>
      <c r="Y801" s="2322"/>
      <c r="Z801" s="2322"/>
      <c r="AA801" s="2322"/>
      <c r="AB801" s="2322"/>
      <c r="AC801" s="2322"/>
      <c r="AD801" s="2322"/>
      <c r="AE801" s="2322"/>
      <c r="AF801" s="2322"/>
      <c r="AG801" s="2322"/>
      <c r="AH801" s="2322"/>
      <c r="AI801" s="2322"/>
      <c r="AJ801" s="2322"/>
      <c r="AK801" s="2322"/>
      <c r="AL801" s="2322"/>
      <c r="AM801" s="2322"/>
      <c r="AN801" s="2322"/>
      <c r="AO801" s="2322"/>
      <c r="AP801" s="2322"/>
      <c r="AQ801" s="2322"/>
      <c r="AR801" s="2322"/>
      <c r="AS801" s="2322"/>
      <c r="AT801" s="2322"/>
      <c r="AU801" s="2322"/>
      <c r="AV801" s="2322"/>
      <c r="AW801" s="2322"/>
      <c r="AX801" s="2322"/>
      <c r="AY801" s="2322"/>
      <c r="AZ801" s="2322"/>
      <c r="BA801" s="2322"/>
      <c r="BB801" s="2322"/>
      <c r="BC801" s="2322"/>
      <c r="BD801" s="2322"/>
      <c r="BE801" s="2322"/>
      <c r="BF801" s="2322"/>
      <c r="BG801" s="2322"/>
      <c r="BH801" s="2322"/>
      <c r="BI801" s="2322"/>
      <c r="BJ801" s="2322"/>
      <c r="BK801" s="2322"/>
      <c r="BL801" s="2322"/>
      <c r="BM801" s="2322"/>
      <c r="BN801" s="2322"/>
      <c r="BO801" s="2322"/>
      <c r="BP801" s="2322"/>
      <c r="BQ801" s="2322"/>
      <c r="BR801" s="2322"/>
      <c r="BS801" s="2322"/>
      <c r="BT801" s="2322"/>
      <c r="BU801" s="2322"/>
      <c r="BV801" s="2322"/>
      <c r="BW801" s="2322"/>
      <c r="BX801" s="2322"/>
      <c r="BY801" s="2322"/>
      <c r="BZ801" s="2322"/>
      <c r="CA801" s="2322"/>
      <c r="CB801" s="2322"/>
      <c r="CC801" s="2322"/>
      <c r="CD801" s="2322"/>
      <c r="CE801" s="2322"/>
      <c r="CF801" s="2322"/>
      <c r="CG801" s="2322"/>
      <c r="CH801" s="2322"/>
      <c r="CI801" s="2322"/>
      <c r="CJ801" s="2322"/>
      <c r="CK801" s="2322"/>
      <c r="CL801" s="2322"/>
      <c r="CM801" s="2322"/>
      <c r="CN801" s="2322"/>
      <c r="CO801" s="2322"/>
      <c r="CP801" s="2322"/>
      <c r="CQ801" s="2322"/>
      <c r="CR801" s="2322"/>
      <c r="CS801" s="2322"/>
      <c r="CT801" s="2322"/>
      <c r="CU801" s="2322"/>
      <c r="CV801" s="2322"/>
    </row>
    <row r="802" spans="1:100" ht="15.75" customHeight="1">
      <c r="A802" s="2328"/>
      <c r="B802" s="2322"/>
      <c r="C802" s="2322"/>
      <c r="D802" s="2322"/>
      <c r="E802" s="2322"/>
      <c r="F802" s="2322"/>
      <c r="G802" s="2322"/>
      <c r="H802" s="2322"/>
      <c r="I802" s="2322"/>
      <c r="J802" s="2322"/>
      <c r="K802" s="2322"/>
      <c r="L802" s="2322"/>
      <c r="M802" s="2322"/>
      <c r="N802" s="2322"/>
      <c r="O802" s="2322"/>
      <c r="P802" s="2322"/>
      <c r="Q802" s="2322"/>
      <c r="R802" s="2322"/>
      <c r="S802" s="2322"/>
      <c r="T802" s="2322"/>
      <c r="U802" s="2322"/>
      <c r="V802" s="2322"/>
      <c r="W802" s="2322"/>
      <c r="X802" s="2322"/>
      <c r="Y802" s="2322"/>
      <c r="Z802" s="2322"/>
      <c r="AA802" s="2322"/>
      <c r="AB802" s="2322"/>
      <c r="AC802" s="2322"/>
      <c r="AD802" s="2322"/>
      <c r="AE802" s="2322"/>
      <c r="AF802" s="2322"/>
      <c r="AG802" s="2322"/>
      <c r="AH802" s="2322"/>
      <c r="AI802" s="2322"/>
      <c r="AJ802" s="2322"/>
      <c r="AK802" s="2322"/>
      <c r="AL802" s="2322"/>
      <c r="AM802" s="2322"/>
      <c r="AN802" s="2322"/>
      <c r="AO802" s="2322"/>
      <c r="AP802" s="2322"/>
      <c r="AQ802" s="2322"/>
      <c r="AR802" s="2322"/>
      <c r="AS802" s="2322"/>
      <c r="AT802" s="2322"/>
      <c r="AU802" s="2322"/>
      <c r="AV802" s="2322"/>
      <c r="AW802" s="2322"/>
      <c r="AX802" s="2322"/>
      <c r="AY802" s="2322"/>
      <c r="AZ802" s="2322"/>
      <c r="BA802" s="2322"/>
      <c r="BB802" s="2322"/>
      <c r="BC802" s="2322"/>
      <c r="BD802" s="2322"/>
      <c r="BE802" s="2322"/>
      <c r="BF802" s="2322"/>
      <c r="BG802" s="2322"/>
      <c r="BH802" s="2322"/>
      <c r="BI802" s="2322"/>
      <c r="BJ802" s="2322"/>
      <c r="BK802" s="2322"/>
      <c r="BL802" s="2322"/>
      <c r="BM802" s="2322"/>
      <c r="BN802" s="2322"/>
      <c r="BO802" s="2322"/>
      <c r="BP802" s="2322"/>
      <c r="BQ802" s="2322"/>
      <c r="BR802" s="2322"/>
      <c r="BS802" s="2322"/>
      <c r="BT802" s="2322"/>
      <c r="BU802" s="2322"/>
      <c r="BV802" s="2322"/>
      <c r="BW802" s="2322"/>
      <c r="BX802" s="2322"/>
      <c r="BY802" s="2322"/>
      <c r="BZ802" s="2322"/>
      <c r="CA802" s="2322"/>
      <c r="CB802" s="2322"/>
      <c r="CC802" s="2322"/>
      <c r="CD802" s="2322"/>
      <c r="CE802" s="2322"/>
      <c r="CF802" s="2322"/>
      <c r="CG802" s="2322"/>
      <c r="CH802" s="2322"/>
      <c r="CI802" s="2322"/>
      <c r="CJ802" s="2322"/>
      <c r="CK802" s="2322"/>
      <c r="CL802" s="2322"/>
      <c r="CM802" s="2322"/>
      <c r="CN802" s="2322"/>
      <c r="CO802" s="2322"/>
      <c r="CP802" s="2322"/>
      <c r="CQ802" s="2322"/>
      <c r="CR802" s="2322"/>
      <c r="CS802" s="2322"/>
      <c r="CT802" s="2322"/>
      <c r="CU802" s="2322"/>
      <c r="CV802" s="2322"/>
    </row>
    <row r="803" spans="1:100" ht="15.75" customHeight="1">
      <c r="A803" s="2328"/>
      <c r="B803" s="2322"/>
      <c r="C803" s="2322"/>
      <c r="D803" s="2322"/>
      <c r="E803" s="2322"/>
      <c r="F803" s="2322"/>
      <c r="G803" s="2322"/>
      <c r="H803" s="2322"/>
      <c r="I803" s="2322"/>
      <c r="J803" s="2322"/>
      <c r="K803" s="2322"/>
      <c r="L803" s="2322"/>
      <c r="M803" s="2322"/>
      <c r="N803" s="2322"/>
      <c r="O803" s="2322"/>
      <c r="P803" s="2322"/>
      <c r="Q803" s="2322"/>
      <c r="R803" s="2322"/>
      <c r="S803" s="2322"/>
      <c r="T803" s="2322"/>
      <c r="U803" s="2322"/>
      <c r="V803" s="2322"/>
      <c r="W803" s="2322"/>
      <c r="X803" s="2322"/>
      <c r="Y803" s="2322"/>
      <c r="Z803" s="2322"/>
      <c r="AA803" s="2322"/>
      <c r="AB803" s="2322"/>
      <c r="AC803" s="2322"/>
      <c r="AD803" s="2322"/>
      <c r="AE803" s="2322"/>
      <c r="AF803" s="2322"/>
      <c r="AG803" s="2322"/>
      <c r="AH803" s="2322"/>
      <c r="AI803" s="2322"/>
      <c r="AJ803" s="2322"/>
      <c r="AK803" s="2322"/>
      <c r="AL803" s="2322"/>
      <c r="AM803" s="2322"/>
      <c r="AN803" s="2322"/>
      <c r="AO803" s="2322"/>
      <c r="AP803" s="2322"/>
      <c r="AQ803" s="2322"/>
      <c r="AR803" s="2322"/>
      <c r="AS803" s="2322"/>
      <c r="AT803" s="2322"/>
      <c r="AU803" s="2322"/>
      <c r="AV803" s="2322"/>
      <c r="AW803" s="2322"/>
      <c r="AX803" s="2322"/>
      <c r="AY803" s="2322"/>
      <c r="AZ803" s="2322"/>
      <c r="BA803" s="2322"/>
      <c r="BB803" s="2322"/>
      <c r="BC803" s="2322"/>
      <c r="BD803" s="2322"/>
      <c r="BE803" s="2322"/>
      <c r="BF803" s="2322"/>
      <c r="BG803" s="2322"/>
      <c r="BH803" s="2322"/>
      <c r="BI803" s="2322"/>
      <c r="BJ803" s="2322"/>
      <c r="BK803" s="2322"/>
      <c r="BL803" s="2322"/>
      <c r="BM803" s="2322"/>
      <c r="BN803" s="2322"/>
      <c r="BO803" s="2322"/>
      <c r="BP803" s="2322"/>
      <c r="BQ803" s="2322"/>
      <c r="BR803" s="2322"/>
      <c r="BS803" s="2322"/>
      <c r="BT803" s="2322"/>
      <c r="BU803" s="2322"/>
      <c r="BV803" s="2322"/>
      <c r="BW803" s="2322"/>
      <c r="BX803" s="2322"/>
      <c r="BY803" s="2322"/>
      <c r="BZ803" s="2322"/>
      <c r="CA803" s="2322"/>
      <c r="CB803" s="2322"/>
      <c r="CC803" s="2322"/>
      <c r="CD803" s="2322"/>
      <c r="CE803" s="2322"/>
      <c r="CF803" s="2322"/>
      <c r="CG803" s="2322"/>
      <c r="CH803" s="2322"/>
      <c r="CI803" s="2322"/>
      <c r="CJ803" s="2322"/>
      <c r="CK803" s="2322"/>
      <c r="CL803" s="2322"/>
      <c r="CM803" s="2322"/>
      <c r="CN803" s="2322"/>
      <c r="CO803" s="2322"/>
      <c r="CP803" s="2322"/>
      <c r="CQ803" s="2322"/>
      <c r="CR803" s="2322"/>
      <c r="CS803" s="2322"/>
      <c r="CT803" s="2322"/>
      <c r="CU803" s="2322"/>
      <c r="CV803" s="2322"/>
    </row>
    <row r="804" spans="1:100" ht="15.75" customHeight="1">
      <c r="A804" s="2328"/>
      <c r="B804" s="2322"/>
      <c r="C804" s="2322"/>
      <c r="D804" s="2322"/>
      <c r="E804" s="2322"/>
      <c r="F804" s="2322"/>
      <c r="G804" s="2322"/>
      <c r="H804" s="2322"/>
      <c r="I804" s="2322"/>
      <c r="J804" s="2322"/>
      <c r="K804" s="2322"/>
      <c r="L804" s="2322"/>
      <c r="M804" s="2322"/>
      <c r="N804" s="2322"/>
      <c r="O804" s="2322"/>
      <c r="P804" s="2322"/>
      <c r="Q804" s="2322"/>
      <c r="R804" s="2322"/>
      <c r="S804" s="2322"/>
      <c r="T804" s="2322"/>
      <c r="U804" s="2322"/>
      <c r="V804" s="2322"/>
      <c r="W804" s="2322"/>
      <c r="X804" s="2322"/>
      <c r="Y804" s="2322"/>
      <c r="Z804" s="2322"/>
      <c r="AA804" s="2322"/>
      <c r="AB804" s="2322"/>
      <c r="AC804" s="2322"/>
      <c r="AD804" s="2322"/>
      <c r="AE804" s="2322"/>
      <c r="AF804" s="2322"/>
      <c r="AG804" s="2322"/>
      <c r="AH804" s="2322"/>
      <c r="AI804" s="2322"/>
      <c r="AJ804" s="2322"/>
      <c r="AK804" s="2322"/>
      <c r="AL804" s="2322"/>
      <c r="AM804" s="2322"/>
      <c r="AN804" s="2322"/>
      <c r="AO804" s="2322"/>
      <c r="AP804" s="2322"/>
      <c r="AQ804" s="2322"/>
      <c r="AR804" s="2322"/>
      <c r="AS804" s="2322"/>
      <c r="AT804" s="2322"/>
      <c r="AU804" s="2322"/>
      <c r="AV804" s="2322"/>
      <c r="AW804" s="2322"/>
      <c r="AX804" s="2322"/>
      <c r="AY804" s="2322"/>
      <c r="AZ804" s="2322"/>
      <c r="BA804" s="2322"/>
      <c r="BB804" s="2322"/>
      <c r="BC804" s="2322"/>
      <c r="BD804" s="2322"/>
      <c r="BE804" s="2322"/>
      <c r="BF804" s="2322"/>
      <c r="BG804" s="2322"/>
      <c r="BH804" s="2322"/>
      <c r="BI804" s="2322"/>
      <c r="BJ804" s="2322"/>
      <c r="BK804" s="2322"/>
      <c r="BL804" s="2322"/>
      <c r="BM804" s="2322"/>
      <c r="BN804" s="2322"/>
      <c r="BO804" s="2322"/>
      <c r="BP804" s="2322"/>
      <c r="BQ804" s="2322"/>
      <c r="BR804" s="2322"/>
      <c r="BS804" s="2322"/>
      <c r="BT804" s="2322"/>
      <c r="BU804" s="2322"/>
      <c r="BV804" s="2322"/>
      <c r="BW804" s="2322"/>
      <c r="BX804" s="2322"/>
      <c r="BY804" s="2322"/>
      <c r="BZ804" s="2322"/>
      <c r="CA804" s="2322"/>
      <c r="CB804" s="2322"/>
      <c r="CC804" s="2322"/>
      <c r="CD804" s="2322"/>
      <c r="CE804" s="2322"/>
      <c r="CF804" s="2322"/>
      <c r="CG804" s="2322"/>
      <c r="CH804" s="2322"/>
      <c r="CI804" s="2322"/>
      <c r="CJ804" s="2322"/>
      <c r="CK804" s="2322"/>
      <c r="CL804" s="2322"/>
      <c r="CM804" s="2322"/>
      <c r="CN804" s="2322"/>
      <c r="CO804" s="2322"/>
      <c r="CP804" s="2322"/>
      <c r="CQ804" s="2322"/>
      <c r="CR804" s="2322"/>
      <c r="CS804" s="2322"/>
      <c r="CT804" s="2322"/>
      <c r="CU804" s="2322"/>
      <c r="CV804" s="2322"/>
    </row>
    <row r="805" spans="1:100" ht="15.75" customHeight="1">
      <c r="A805" s="2328"/>
      <c r="B805" s="2322"/>
      <c r="C805" s="2322"/>
      <c r="D805" s="2322"/>
      <c r="E805" s="2322"/>
      <c r="F805" s="2322"/>
      <c r="G805" s="2322"/>
      <c r="H805" s="2322"/>
      <c r="I805" s="2322"/>
      <c r="J805" s="2322"/>
      <c r="K805" s="2322"/>
      <c r="L805" s="2322"/>
      <c r="M805" s="2322"/>
      <c r="N805" s="2322"/>
      <c r="O805" s="2322"/>
      <c r="P805" s="2322"/>
      <c r="Q805" s="2322"/>
      <c r="R805" s="2322"/>
      <c r="S805" s="2322"/>
      <c r="T805" s="2322"/>
      <c r="U805" s="2322"/>
      <c r="V805" s="2322"/>
      <c r="W805" s="2322"/>
      <c r="X805" s="2322"/>
      <c r="Y805" s="2322"/>
      <c r="Z805" s="2322"/>
      <c r="AA805" s="2322"/>
      <c r="AB805" s="2322"/>
      <c r="AC805" s="2322"/>
      <c r="AD805" s="2322"/>
      <c r="AE805" s="2322"/>
      <c r="AF805" s="2322"/>
      <c r="AG805" s="2322"/>
      <c r="AH805" s="2322"/>
      <c r="AI805" s="2322"/>
      <c r="AJ805" s="2322"/>
      <c r="AK805" s="2322"/>
      <c r="AL805" s="2322"/>
      <c r="AM805" s="2322"/>
      <c r="AN805" s="2322"/>
      <c r="AO805" s="2322"/>
      <c r="AP805" s="2322"/>
      <c r="AQ805" s="2322"/>
      <c r="AR805" s="2322"/>
      <c r="AS805" s="2322"/>
      <c r="AT805" s="2322"/>
      <c r="AU805" s="2322"/>
      <c r="AV805" s="2322"/>
      <c r="AW805" s="2322"/>
      <c r="AX805" s="2322"/>
      <c r="AY805" s="2322"/>
      <c r="AZ805" s="2322"/>
      <c r="BA805" s="2322"/>
      <c r="BB805" s="2322"/>
      <c r="BC805" s="2322"/>
      <c r="BD805" s="2322"/>
      <c r="BE805" s="2322"/>
      <c r="BF805" s="2322"/>
      <c r="BG805" s="2322"/>
      <c r="BH805" s="2322"/>
      <c r="BI805" s="2322"/>
      <c r="BJ805" s="2322"/>
      <c r="BK805" s="2322"/>
      <c r="BL805" s="2322"/>
      <c r="BM805" s="2322"/>
      <c r="BN805" s="2322"/>
      <c r="BO805" s="2322"/>
      <c r="BP805" s="2322"/>
      <c r="BQ805" s="2322"/>
      <c r="BR805" s="2322"/>
      <c r="BS805" s="2322"/>
      <c r="BT805" s="2322"/>
      <c r="BU805" s="2322"/>
      <c r="BV805" s="2322"/>
      <c r="BW805" s="2322"/>
      <c r="BX805" s="2322"/>
      <c r="BY805" s="2322"/>
      <c r="BZ805" s="2322"/>
      <c r="CA805" s="2322"/>
      <c r="CB805" s="2322"/>
      <c r="CC805" s="2322"/>
      <c r="CD805" s="2322"/>
      <c r="CE805" s="2322"/>
      <c r="CF805" s="2322"/>
      <c r="CG805" s="2322"/>
      <c r="CH805" s="2322"/>
      <c r="CI805" s="2322"/>
      <c r="CJ805" s="2322"/>
      <c r="CK805" s="2322"/>
      <c r="CL805" s="2322"/>
      <c r="CM805" s="2322"/>
      <c r="CN805" s="2322"/>
      <c r="CO805" s="2322"/>
      <c r="CP805" s="2322"/>
      <c r="CQ805" s="2322"/>
      <c r="CR805" s="2322"/>
      <c r="CS805" s="2322"/>
      <c r="CT805" s="2322"/>
      <c r="CU805" s="2322"/>
      <c r="CV805" s="2322"/>
    </row>
    <row r="806" spans="1:100" ht="15.75" customHeight="1">
      <c r="A806" s="2328"/>
      <c r="B806" s="2322"/>
      <c r="C806" s="2322"/>
      <c r="D806" s="2322"/>
      <c r="E806" s="2322"/>
      <c r="F806" s="2322"/>
      <c r="G806" s="2322"/>
      <c r="H806" s="2322"/>
      <c r="I806" s="2322"/>
      <c r="J806" s="2322"/>
      <c r="K806" s="2322"/>
      <c r="L806" s="2322"/>
      <c r="M806" s="2322"/>
      <c r="N806" s="2322"/>
      <c r="O806" s="2322"/>
      <c r="P806" s="2322"/>
      <c r="Q806" s="2322"/>
      <c r="R806" s="2322"/>
      <c r="S806" s="2322"/>
      <c r="T806" s="2322"/>
      <c r="U806" s="2322"/>
      <c r="V806" s="2322"/>
      <c r="W806" s="2322"/>
      <c r="X806" s="2322"/>
      <c r="Y806" s="2322"/>
      <c r="Z806" s="2322"/>
      <c r="AA806" s="2322"/>
      <c r="AB806" s="2322"/>
      <c r="AC806" s="2322"/>
      <c r="AD806" s="2322"/>
      <c r="AE806" s="2322"/>
      <c r="AF806" s="2322"/>
      <c r="AG806" s="2322"/>
      <c r="AH806" s="2322"/>
      <c r="AI806" s="2322"/>
      <c r="AJ806" s="2322"/>
      <c r="AK806" s="2322"/>
      <c r="AL806" s="2322"/>
      <c r="AM806" s="2322"/>
      <c r="AN806" s="2322"/>
      <c r="AO806" s="2322"/>
      <c r="AP806" s="2322"/>
      <c r="AQ806" s="2322"/>
      <c r="AR806" s="2322"/>
      <c r="AS806" s="2322"/>
      <c r="AT806" s="2322"/>
      <c r="AU806" s="2322"/>
      <c r="AV806" s="2322"/>
      <c r="AW806" s="2322"/>
      <c r="AX806" s="2322"/>
      <c r="AY806" s="2322"/>
      <c r="AZ806" s="2322"/>
      <c r="BA806" s="2322"/>
      <c r="BB806" s="2322"/>
      <c r="BC806" s="2322"/>
      <c r="BD806" s="2322"/>
      <c r="BE806" s="2322"/>
      <c r="BF806" s="2322"/>
      <c r="BG806" s="2322"/>
      <c r="BH806" s="2322"/>
      <c r="BI806" s="2322"/>
      <c r="BJ806" s="2322"/>
      <c r="BK806" s="2322"/>
      <c r="BL806" s="2322"/>
      <c r="BM806" s="2322"/>
      <c r="BN806" s="2322"/>
      <c r="BO806" s="2322"/>
      <c r="BP806" s="2322"/>
      <c r="BQ806" s="2322"/>
      <c r="BR806" s="2322"/>
      <c r="BS806" s="2322"/>
      <c r="BT806" s="2322"/>
      <c r="BU806" s="2322"/>
      <c r="BV806" s="2322"/>
      <c r="BW806" s="2322"/>
      <c r="BX806" s="2322"/>
      <c r="BY806" s="2322"/>
      <c r="BZ806" s="2322"/>
      <c r="CA806" s="2322"/>
      <c r="CB806" s="2322"/>
      <c r="CC806" s="2322"/>
      <c r="CD806" s="2322"/>
      <c r="CE806" s="2322"/>
      <c r="CF806" s="2322"/>
      <c r="CG806" s="2322"/>
      <c r="CH806" s="2322"/>
      <c r="CI806" s="2322"/>
      <c r="CJ806" s="2322"/>
      <c r="CK806" s="2322"/>
      <c r="CL806" s="2322"/>
      <c r="CM806" s="2322"/>
      <c r="CN806" s="2322"/>
      <c r="CO806" s="2322"/>
      <c r="CP806" s="2322"/>
      <c r="CQ806" s="2322"/>
      <c r="CR806" s="2322"/>
      <c r="CS806" s="2322"/>
      <c r="CT806" s="2322"/>
      <c r="CU806" s="2322"/>
      <c r="CV806" s="2322"/>
    </row>
    <row r="807" spans="1:100" ht="15.75" customHeight="1">
      <c r="A807" s="2328"/>
      <c r="B807" s="2322"/>
      <c r="C807" s="2322"/>
      <c r="D807" s="2322"/>
      <c r="E807" s="2322"/>
      <c r="F807" s="2322"/>
      <c r="G807" s="2322"/>
      <c r="H807" s="2322"/>
      <c r="I807" s="2322"/>
      <c r="J807" s="2322"/>
      <c r="K807" s="2322"/>
      <c r="L807" s="2322"/>
      <c r="M807" s="2322"/>
      <c r="N807" s="2322"/>
      <c r="O807" s="2322"/>
      <c r="P807" s="2322"/>
      <c r="Q807" s="2322"/>
      <c r="R807" s="2322"/>
      <c r="S807" s="2322"/>
      <c r="T807" s="2322"/>
      <c r="U807" s="2322"/>
      <c r="V807" s="2322"/>
      <c r="W807" s="2322"/>
      <c r="X807" s="2322"/>
      <c r="Y807" s="2322"/>
      <c r="Z807" s="2322"/>
      <c r="AA807" s="2322"/>
      <c r="AB807" s="2322"/>
      <c r="AC807" s="2322"/>
      <c r="AD807" s="2322"/>
      <c r="AE807" s="2322"/>
      <c r="AF807" s="2322"/>
      <c r="AG807" s="2322"/>
      <c r="AH807" s="2322"/>
      <c r="AI807" s="2322"/>
      <c r="AJ807" s="2322"/>
      <c r="AK807" s="2322"/>
      <c r="AL807" s="2322"/>
      <c r="AM807" s="2322"/>
      <c r="AN807" s="2322"/>
      <c r="AO807" s="2322"/>
      <c r="AP807" s="2322"/>
      <c r="AQ807" s="2322"/>
      <c r="AR807" s="2322"/>
      <c r="AS807" s="2322"/>
      <c r="AT807" s="2322"/>
      <c r="AU807" s="2322"/>
      <c r="AV807" s="2322"/>
      <c r="AW807" s="2322"/>
      <c r="AX807" s="2322"/>
      <c r="AY807" s="2322"/>
      <c r="AZ807" s="2322"/>
      <c r="BA807" s="2322"/>
      <c r="BB807" s="2322"/>
      <c r="BC807" s="2322"/>
      <c r="BD807" s="2322"/>
      <c r="BE807" s="2322"/>
      <c r="BF807" s="2322"/>
      <c r="BG807" s="2322"/>
      <c r="BH807" s="2322"/>
      <c r="BI807" s="2322"/>
      <c r="BJ807" s="2322"/>
      <c r="BK807" s="2322"/>
      <c r="BL807" s="2322"/>
      <c r="BM807" s="2322"/>
      <c r="BN807" s="2322"/>
      <c r="BO807" s="2322"/>
      <c r="BP807" s="2322"/>
      <c r="BQ807" s="2322"/>
      <c r="BR807" s="2322"/>
      <c r="BS807" s="2322"/>
      <c r="BT807" s="2322"/>
      <c r="BU807" s="2322"/>
      <c r="BV807" s="2322"/>
      <c r="BW807" s="2322"/>
      <c r="BX807" s="2322"/>
      <c r="BY807" s="2322"/>
      <c r="BZ807" s="2322"/>
      <c r="CA807" s="2322"/>
      <c r="CB807" s="2322"/>
      <c r="CC807" s="2322"/>
      <c r="CD807" s="2322"/>
      <c r="CE807" s="2322"/>
      <c r="CF807" s="2322"/>
      <c r="CG807" s="2322"/>
      <c r="CH807" s="2322"/>
      <c r="CI807" s="2322"/>
      <c r="CJ807" s="2322"/>
      <c r="CK807" s="2322"/>
      <c r="CL807" s="2322"/>
      <c r="CM807" s="2322"/>
      <c r="CN807" s="2322"/>
      <c r="CO807" s="2322"/>
      <c r="CP807" s="2322"/>
      <c r="CQ807" s="2322"/>
      <c r="CR807" s="2322"/>
      <c r="CS807" s="2322"/>
      <c r="CT807" s="2322"/>
      <c r="CU807" s="2322"/>
      <c r="CV807" s="2322"/>
    </row>
    <row r="808" spans="1:100" ht="15.75" customHeight="1">
      <c r="A808" s="2328"/>
      <c r="B808" s="2322"/>
      <c r="C808" s="2322"/>
      <c r="D808" s="2322"/>
      <c r="E808" s="2322"/>
      <c r="F808" s="2322"/>
      <c r="G808" s="2322"/>
      <c r="H808" s="2322"/>
      <c r="I808" s="2322"/>
      <c r="J808" s="2322"/>
      <c r="K808" s="2322"/>
      <c r="L808" s="2322"/>
      <c r="M808" s="2322"/>
      <c r="N808" s="2322"/>
      <c r="O808" s="2322"/>
      <c r="P808" s="2322"/>
      <c r="Q808" s="2322"/>
      <c r="R808" s="2322"/>
      <c r="S808" s="2322"/>
      <c r="T808" s="2322"/>
      <c r="U808" s="2322"/>
      <c r="V808" s="2322"/>
      <c r="W808" s="2322"/>
      <c r="X808" s="2322"/>
      <c r="Y808" s="2322"/>
      <c r="Z808" s="2322"/>
      <c r="AA808" s="2322"/>
      <c r="AB808" s="2322"/>
      <c r="AC808" s="2322"/>
      <c r="AD808" s="2322"/>
      <c r="AE808" s="2322"/>
      <c r="AF808" s="2322"/>
      <c r="AG808" s="2322"/>
      <c r="AH808" s="2322"/>
      <c r="AI808" s="2322"/>
      <c r="AJ808" s="2322"/>
      <c r="AK808" s="2322"/>
      <c r="AL808" s="2322"/>
      <c r="AM808" s="2322"/>
      <c r="AN808" s="2322"/>
      <c r="AO808" s="2322"/>
      <c r="AP808" s="2322"/>
      <c r="AQ808" s="2322"/>
      <c r="AR808" s="2322"/>
      <c r="AS808" s="2322"/>
      <c r="AT808" s="2322"/>
      <c r="AU808" s="2322"/>
      <c r="AV808" s="2322"/>
      <c r="AW808" s="2322"/>
      <c r="AX808" s="2322"/>
      <c r="AY808" s="2322"/>
      <c r="AZ808" s="2322"/>
      <c r="BA808" s="2322"/>
      <c r="BB808" s="2322"/>
      <c r="BC808" s="2322"/>
      <c r="BD808" s="2322"/>
      <c r="BE808" s="2322"/>
      <c r="BF808" s="2322"/>
      <c r="BG808" s="2322"/>
      <c r="BH808" s="2322"/>
      <c r="BI808" s="2322"/>
      <c r="BJ808" s="2322"/>
      <c r="BK808" s="2322"/>
      <c r="BL808" s="2322"/>
      <c r="BM808" s="2322"/>
      <c r="BN808" s="2322"/>
      <c r="BO808" s="2322"/>
      <c r="BP808" s="2322"/>
      <c r="BQ808" s="2322"/>
      <c r="BR808" s="2322"/>
      <c r="BS808" s="2322"/>
      <c r="BT808" s="2322"/>
      <c r="BU808" s="2322"/>
      <c r="BV808" s="2322"/>
      <c r="BW808" s="2322"/>
      <c r="BX808" s="2322"/>
      <c r="BY808" s="2322"/>
      <c r="BZ808" s="2322"/>
      <c r="CA808" s="2322"/>
      <c r="CB808" s="2322"/>
      <c r="CC808" s="2322"/>
      <c r="CD808" s="2322"/>
      <c r="CE808" s="2322"/>
      <c r="CF808" s="2322"/>
      <c r="CG808" s="2322"/>
      <c r="CH808" s="2322"/>
      <c r="CI808" s="2322"/>
      <c r="CJ808" s="2322"/>
      <c r="CK808" s="2322"/>
      <c r="CL808" s="2322"/>
      <c r="CM808" s="2322"/>
      <c r="CN808" s="2322"/>
      <c r="CO808" s="2322"/>
      <c r="CP808" s="2322"/>
      <c r="CQ808" s="2322"/>
      <c r="CR808" s="2322"/>
      <c r="CS808" s="2322"/>
      <c r="CT808" s="2322"/>
      <c r="CU808" s="2322"/>
      <c r="CV808" s="2322"/>
    </row>
    <row r="809" spans="1:100" ht="15.75" customHeight="1">
      <c r="A809" s="2328"/>
      <c r="B809" s="2322"/>
      <c r="C809" s="2322"/>
      <c r="D809" s="2322"/>
      <c r="E809" s="2322"/>
      <c r="F809" s="2322"/>
      <c r="G809" s="2322"/>
      <c r="H809" s="2322"/>
      <c r="I809" s="2322"/>
      <c r="J809" s="2322"/>
      <c r="K809" s="2322"/>
      <c r="L809" s="2322"/>
      <c r="M809" s="2322"/>
      <c r="N809" s="2322"/>
      <c r="O809" s="2322"/>
      <c r="P809" s="2322"/>
      <c r="Q809" s="2322"/>
      <c r="R809" s="2322"/>
      <c r="S809" s="2322"/>
      <c r="T809" s="2322"/>
      <c r="U809" s="2322"/>
      <c r="V809" s="2322"/>
      <c r="W809" s="2322"/>
      <c r="X809" s="2322"/>
      <c r="Y809" s="2322"/>
      <c r="Z809" s="2322"/>
      <c r="AA809" s="2322"/>
      <c r="AB809" s="2322"/>
      <c r="AC809" s="2322"/>
      <c r="AD809" s="2322"/>
      <c r="AE809" s="2322"/>
      <c r="AF809" s="2322"/>
      <c r="AG809" s="2322"/>
      <c r="AH809" s="2322"/>
      <c r="AI809" s="2322"/>
      <c r="AJ809" s="2322"/>
      <c r="AK809" s="2322"/>
      <c r="AL809" s="2322"/>
      <c r="AM809" s="2322"/>
      <c r="AN809" s="2322"/>
      <c r="AO809" s="2322"/>
      <c r="AP809" s="2322"/>
      <c r="AQ809" s="2322"/>
      <c r="AR809" s="2322"/>
      <c r="AS809" s="2322"/>
      <c r="AT809" s="2322"/>
      <c r="AU809" s="2322"/>
      <c r="AV809" s="2322"/>
      <c r="AW809" s="2322"/>
      <c r="AX809" s="2322"/>
      <c r="AY809" s="2322"/>
      <c r="AZ809" s="2322"/>
      <c r="BA809" s="2322"/>
      <c r="BB809" s="2322"/>
      <c r="BC809" s="2322"/>
      <c r="BD809" s="2322"/>
      <c r="BE809" s="2322"/>
      <c r="BF809" s="2322"/>
      <c r="BG809" s="2322"/>
      <c r="BH809" s="2322"/>
      <c r="BI809" s="2322"/>
      <c r="BJ809" s="2322"/>
      <c r="BK809" s="2322"/>
      <c r="BL809" s="2322"/>
      <c r="BM809" s="2322"/>
      <c r="BN809" s="2322"/>
      <c r="BO809" s="2322"/>
      <c r="BP809" s="2322"/>
      <c r="BQ809" s="2322"/>
      <c r="BR809" s="2322"/>
      <c r="BS809" s="2322"/>
      <c r="BT809" s="2322"/>
      <c r="BU809" s="2322"/>
      <c r="BV809" s="2322"/>
      <c r="BW809" s="2322"/>
      <c r="BX809" s="2322"/>
      <c r="BY809" s="2322"/>
      <c r="BZ809" s="2322"/>
      <c r="CA809" s="2322"/>
      <c r="CB809" s="2322"/>
      <c r="CC809" s="2322"/>
      <c r="CD809" s="2322"/>
      <c r="CE809" s="2322"/>
      <c r="CF809" s="2322"/>
      <c r="CG809" s="2322"/>
      <c r="CH809" s="2322"/>
      <c r="CI809" s="2322"/>
      <c r="CJ809" s="2322"/>
      <c r="CK809" s="2322"/>
      <c r="CL809" s="2322"/>
      <c r="CM809" s="2322"/>
      <c r="CN809" s="2322"/>
      <c r="CO809" s="2322"/>
      <c r="CP809" s="2322"/>
      <c r="CQ809" s="2322"/>
      <c r="CR809" s="2322"/>
      <c r="CS809" s="2322"/>
      <c r="CT809" s="2322"/>
      <c r="CU809" s="2322"/>
      <c r="CV809" s="2322"/>
    </row>
    <row r="810" spans="1:100" ht="15.75" customHeight="1">
      <c r="A810" s="2328"/>
      <c r="B810" s="2322"/>
      <c r="C810" s="2322"/>
      <c r="D810" s="2322"/>
      <c r="E810" s="2322"/>
      <c r="F810" s="2322"/>
      <c r="G810" s="2322"/>
      <c r="H810" s="2322"/>
      <c r="I810" s="2322"/>
      <c r="J810" s="2322"/>
      <c r="K810" s="2322"/>
      <c r="L810" s="2322"/>
      <c r="M810" s="2322"/>
      <c r="N810" s="2322"/>
      <c r="O810" s="2322"/>
      <c r="P810" s="2322"/>
      <c r="Q810" s="2322"/>
      <c r="R810" s="2322"/>
      <c r="S810" s="2322"/>
      <c r="T810" s="2322"/>
      <c r="U810" s="2322"/>
      <c r="V810" s="2322"/>
      <c r="W810" s="2322"/>
      <c r="X810" s="2322"/>
      <c r="Y810" s="2322"/>
      <c r="Z810" s="2322"/>
      <c r="AA810" s="2322"/>
      <c r="AB810" s="2322"/>
      <c r="AC810" s="2322"/>
      <c r="AD810" s="2322"/>
      <c r="AE810" s="2322"/>
      <c r="AF810" s="2322"/>
      <c r="AG810" s="2322"/>
      <c r="AH810" s="2322"/>
      <c r="AI810" s="2322"/>
      <c r="AJ810" s="2322"/>
      <c r="AK810" s="2322"/>
      <c r="AL810" s="2322"/>
      <c r="AM810" s="2322"/>
      <c r="AN810" s="2322"/>
      <c r="AO810" s="2322"/>
      <c r="AP810" s="2322"/>
      <c r="AQ810" s="2322"/>
      <c r="AR810" s="2322"/>
      <c r="AS810" s="2322"/>
      <c r="AT810" s="2322"/>
      <c r="AU810" s="2322"/>
      <c r="AV810" s="2322"/>
      <c r="AW810" s="2322"/>
      <c r="AX810" s="2322"/>
      <c r="AY810" s="2322"/>
      <c r="AZ810" s="2322"/>
      <c r="BA810" s="2322"/>
      <c r="BB810" s="2322"/>
      <c r="BC810" s="2322"/>
      <c r="BD810" s="2322"/>
      <c r="BE810" s="2322"/>
      <c r="BF810" s="2322"/>
      <c r="BG810" s="2322"/>
      <c r="BH810" s="2322"/>
      <c r="BI810" s="2322"/>
      <c r="BJ810" s="2322"/>
      <c r="BK810" s="2322"/>
      <c r="BL810" s="2322"/>
      <c r="BM810" s="2322"/>
      <c r="BN810" s="2322"/>
      <c r="BO810" s="2322"/>
      <c r="BP810" s="2322"/>
      <c r="BQ810" s="2322"/>
      <c r="BR810" s="2322"/>
      <c r="BS810" s="2322"/>
      <c r="BT810" s="2322"/>
      <c r="BU810" s="2322"/>
      <c r="BV810" s="2322"/>
      <c r="BW810" s="2322"/>
      <c r="BX810" s="2322"/>
      <c r="BY810" s="2322"/>
      <c r="BZ810" s="2322"/>
      <c r="CA810" s="2322"/>
      <c r="CB810" s="2322"/>
      <c r="CC810" s="2322"/>
      <c r="CD810" s="2322"/>
      <c r="CE810" s="2322"/>
      <c r="CF810" s="2322"/>
      <c r="CG810" s="2322"/>
      <c r="CH810" s="2322"/>
      <c r="CI810" s="2322"/>
      <c r="CJ810" s="2322"/>
      <c r="CK810" s="2322"/>
      <c r="CL810" s="2322"/>
      <c r="CM810" s="2322"/>
      <c r="CN810" s="2322"/>
      <c r="CO810" s="2322"/>
      <c r="CP810" s="2322"/>
      <c r="CQ810" s="2322"/>
      <c r="CR810" s="2322"/>
      <c r="CS810" s="2322"/>
      <c r="CT810" s="2322"/>
      <c r="CU810" s="2322"/>
      <c r="CV810" s="2322"/>
    </row>
    <row r="811" spans="1:100" ht="15.75" customHeight="1">
      <c r="A811" s="2328"/>
      <c r="B811" s="2322"/>
      <c r="C811" s="2322"/>
      <c r="D811" s="2322"/>
      <c r="E811" s="2322"/>
      <c r="F811" s="2322"/>
      <c r="G811" s="2322"/>
      <c r="H811" s="2322"/>
      <c r="I811" s="2322"/>
      <c r="J811" s="2322"/>
      <c r="K811" s="2322"/>
      <c r="L811" s="2322"/>
      <c r="M811" s="2322"/>
      <c r="N811" s="2322"/>
      <c r="O811" s="2322"/>
      <c r="P811" s="2322"/>
      <c r="Q811" s="2322"/>
      <c r="R811" s="2322"/>
      <c r="S811" s="2322"/>
      <c r="T811" s="2322"/>
      <c r="U811" s="2322"/>
      <c r="V811" s="2322"/>
      <c r="W811" s="2322"/>
      <c r="X811" s="2322"/>
      <c r="Y811" s="2322"/>
      <c r="Z811" s="2322"/>
      <c r="AA811" s="2322"/>
      <c r="AB811" s="2322"/>
      <c r="AC811" s="2322"/>
      <c r="AD811" s="2322"/>
      <c r="AE811" s="2322"/>
      <c r="AF811" s="2322"/>
      <c r="AG811" s="2322"/>
      <c r="AH811" s="2322"/>
      <c r="AI811" s="2322"/>
      <c r="AJ811" s="2322"/>
      <c r="AK811" s="2322"/>
      <c r="AL811" s="2322"/>
      <c r="AM811" s="2322"/>
      <c r="AN811" s="2322"/>
      <c r="AO811" s="2322"/>
      <c r="AP811" s="2322"/>
      <c r="AQ811" s="2322"/>
      <c r="AR811" s="2322"/>
      <c r="AS811" s="2322"/>
      <c r="AT811" s="2322"/>
      <c r="AU811" s="2322"/>
      <c r="AV811" s="2322"/>
      <c r="AW811" s="2322"/>
      <c r="AX811" s="2322"/>
      <c r="AY811" s="2322"/>
      <c r="AZ811" s="2322"/>
      <c r="BA811" s="2322"/>
      <c r="BB811" s="2322"/>
      <c r="BC811" s="2322"/>
      <c r="BD811" s="2322"/>
      <c r="BE811" s="2322"/>
      <c r="BF811" s="2322"/>
      <c r="BG811" s="2322"/>
      <c r="BH811" s="2322"/>
      <c r="BI811" s="2322"/>
      <c r="BJ811" s="2322"/>
      <c r="BK811" s="2322"/>
      <c r="BL811" s="2322"/>
      <c r="BM811" s="2322"/>
      <c r="BN811" s="2322"/>
      <c r="BO811" s="2322"/>
      <c r="BP811" s="2322"/>
      <c r="BQ811" s="2322"/>
      <c r="BR811" s="2322"/>
      <c r="BS811" s="2322"/>
      <c r="BT811" s="2322"/>
      <c r="BU811" s="2322"/>
      <c r="BV811" s="2322"/>
      <c r="BW811" s="2322"/>
      <c r="BX811" s="2322"/>
      <c r="BY811" s="2322"/>
      <c r="BZ811" s="2322"/>
      <c r="CA811" s="2322"/>
      <c r="CB811" s="2322"/>
      <c r="CC811" s="2322"/>
      <c r="CD811" s="2322"/>
      <c r="CE811" s="2322"/>
      <c r="CF811" s="2322"/>
      <c r="CG811" s="2322"/>
      <c r="CH811" s="2322"/>
      <c r="CI811" s="2322"/>
      <c r="CJ811" s="2322"/>
      <c r="CK811" s="2322"/>
      <c r="CL811" s="2322"/>
      <c r="CM811" s="2322"/>
      <c r="CN811" s="2322"/>
      <c r="CO811" s="2322"/>
      <c r="CP811" s="2322"/>
      <c r="CQ811" s="2322"/>
      <c r="CR811" s="2322"/>
      <c r="CS811" s="2322"/>
      <c r="CT811" s="2322"/>
      <c r="CU811" s="2322"/>
      <c r="CV811" s="2322"/>
    </row>
    <row r="812" spans="1:100" ht="15.75" customHeight="1">
      <c r="A812" s="2328"/>
      <c r="B812" s="2322"/>
      <c r="C812" s="2322"/>
      <c r="D812" s="2322"/>
      <c r="E812" s="2322"/>
      <c r="F812" s="2322"/>
      <c r="G812" s="2322"/>
      <c r="H812" s="2322"/>
      <c r="I812" s="2322"/>
      <c r="J812" s="2322"/>
      <c r="K812" s="2322"/>
      <c r="L812" s="2322"/>
      <c r="M812" s="2322"/>
      <c r="N812" s="2322"/>
      <c r="O812" s="2322"/>
      <c r="P812" s="2322"/>
      <c r="Q812" s="2322"/>
      <c r="R812" s="2322"/>
      <c r="S812" s="2322"/>
      <c r="T812" s="2322"/>
      <c r="U812" s="2322"/>
      <c r="V812" s="2322"/>
      <c r="W812" s="2322"/>
      <c r="X812" s="2322"/>
      <c r="Y812" s="2322"/>
      <c r="Z812" s="2322"/>
      <c r="AA812" s="2322"/>
      <c r="AB812" s="2322"/>
      <c r="AC812" s="2322"/>
      <c r="AD812" s="2322"/>
      <c r="AE812" s="2322"/>
      <c r="AF812" s="2322"/>
      <c r="AG812" s="2322"/>
      <c r="AH812" s="2322"/>
      <c r="AI812" s="2322"/>
      <c r="AJ812" s="2322"/>
      <c r="AK812" s="2322"/>
      <c r="AL812" s="2322"/>
      <c r="AM812" s="2322"/>
      <c r="AN812" s="2322"/>
      <c r="AO812" s="2322"/>
      <c r="AP812" s="2322"/>
      <c r="AQ812" s="2322"/>
      <c r="AR812" s="2322"/>
      <c r="AS812" s="2322"/>
      <c r="AT812" s="2322"/>
      <c r="AU812" s="2322"/>
      <c r="AV812" s="2322"/>
      <c r="AW812" s="2322"/>
      <c r="AX812" s="2322"/>
      <c r="AY812" s="2322"/>
      <c r="AZ812" s="2322"/>
      <c r="BA812" s="2322"/>
      <c r="BB812" s="2322"/>
      <c r="BC812" s="2322"/>
      <c r="BD812" s="2322"/>
      <c r="BE812" s="2322"/>
      <c r="BF812" s="2322"/>
      <c r="BG812" s="2322"/>
      <c r="BH812" s="2322"/>
      <c r="BI812" s="2322"/>
      <c r="BJ812" s="2322"/>
      <c r="BK812" s="2322"/>
      <c r="BL812" s="2322"/>
      <c r="BM812" s="2322"/>
      <c r="BN812" s="2322"/>
      <c r="BO812" s="2322"/>
      <c r="BP812" s="2322"/>
      <c r="BQ812" s="2322"/>
      <c r="BR812" s="2322"/>
      <c r="BS812" s="2322"/>
      <c r="BT812" s="2322"/>
      <c r="BU812" s="2322"/>
      <c r="BV812" s="2322"/>
      <c r="BW812" s="2322"/>
      <c r="BX812" s="2322"/>
      <c r="BY812" s="2322"/>
      <c r="BZ812" s="2322"/>
      <c r="CA812" s="2322"/>
      <c r="CB812" s="2322"/>
      <c r="CC812" s="2322"/>
      <c r="CD812" s="2322"/>
      <c r="CE812" s="2322"/>
      <c r="CF812" s="2322"/>
      <c r="CG812" s="2322"/>
      <c r="CH812" s="2322"/>
      <c r="CI812" s="2322"/>
      <c r="CJ812" s="2322"/>
      <c r="CK812" s="2322"/>
      <c r="CL812" s="2322"/>
      <c r="CM812" s="2322"/>
      <c r="CN812" s="2322"/>
      <c r="CO812" s="2322"/>
      <c r="CP812" s="2322"/>
      <c r="CQ812" s="2322"/>
      <c r="CR812" s="2322"/>
      <c r="CS812" s="2322"/>
      <c r="CT812" s="2322"/>
      <c r="CU812" s="2322"/>
      <c r="CV812" s="2322"/>
    </row>
    <row r="813" spans="1:100" ht="15.75" customHeight="1">
      <c r="A813" s="2328"/>
      <c r="B813" s="2322"/>
      <c r="C813" s="2322"/>
      <c r="D813" s="2322"/>
      <c r="E813" s="2322"/>
      <c r="F813" s="2322"/>
      <c r="G813" s="2322"/>
      <c r="H813" s="2322"/>
      <c r="I813" s="2322"/>
      <c r="J813" s="2322"/>
      <c r="K813" s="2322"/>
      <c r="L813" s="2322"/>
      <c r="M813" s="2322"/>
      <c r="N813" s="2322"/>
      <c r="O813" s="2322"/>
      <c r="P813" s="2322"/>
      <c r="Q813" s="2322"/>
      <c r="R813" s="2322"/>
      <c r="S813" s="2322"/>
      <c r="T813" s="2322"/>
      <c r="U813" s="2322"/>
      <c r="V813" s="2322"/>
      <c r="W813" s="2322"/>
      <c r="X813" s="2322"/>
      <c r="Y813" s="2322"/>
      <c r="Z813" s="2322"/>
      <c r="AA813" s="2322"/>
      <c r="AB813" s="2322"/>
      <c r="AC813" s="2322"/>
      <c r="AD813" s="2322"/>
      <c r="AE813" s="2322"/>
      <c r="AF813" s="2322"/>
      <c r="AG813" s="2322"/>
      <c r="AH813" s="2322"/>
      <c r="AI813" s="2322"/>
      <c r="AJ813" s="2322"/>
      <c r="AK813" s="2322"/>
      <c r="AL813" s="2322"/>
      <c r="AM813" s="2322"/>
      <c r="AN813" s="2322"/>
      <c r="AO813" s="2322"/>
      <c r="AP813" s="2322"/>
      <c r="AQ813" s="2322"/>
      <c r="AR813" s="2322"/>
      <c r="AS813" s="2322"/>
      <c r="AT813" s="2322"/>
      <c r="AU813" s="2322"/>
      <c r="AV813" s="2322"/>
      <c r="AW813" s="2322"/>
      <c r="AX813" s="2322"/>
      <c r="AY813" s="2322"/>
      <c r="AZ813" s="2322"/>
      <c r="BA813" s="2322"/>
      <c r="BB813" s="2322"/>
      <c r="BC813" s="2322"/>
      <c r="BD813" s="2322"/>
      <c r="BE813" s="2322"/>
      <c r="BF813" s="2322"/>
      <c r="BG813" s="2322"/>
      <c r="BH813" s="2322"/>
      <c r="BI813" s="2322"/>
      <c r="BJ813" s="2322"/>
      <c r="BK813" s="2322"/>
      <c r="BL813" s="2322"/>
      <c r="BM813" s="2322"/>
      <c r="BN813" s="2322"/>
      <c r="BO813" s="2322"/>
      <c r="BP813" s="2322"/>
      <c r="BQ813" s="2322"/>
      <c r="BR813" s="2322"/>
      <c r="BS813" s="2322"/>
      <c r="BT813" s="2322"/>
      <c r="BU813" s="2322"/>
      <c r="BV813" s="2322"/>
      <c r="BW813" s="2322"/>
      <c r="BX813" s="2322"/>
      <c r="BY813" s="2322"/>
      <c r="BZ813" s="2322"/>
      <c r="CA813" s="2322"/>
      <c r="CB813" s="2322"/>
      <c r="CC813" s="2322"/>
      <c r="CD813" s="2322"/>
      <c r="CE813" s="2322"/>
      <c r="CF813" s="2322"/>
      <c r="CG813" s="2322"/>
      <c r="CH813" s="2322"/>
      <c r="CI813" s="2322"/>
      <c r="CJ813" s="2322"/>
      <c r="CK813" s="2322"/>
      <c r="CL813" s="2322"/>
      <c r="CM813" s="2322"/>
      <c r="CN813" s="2322"/>
      <c r="CO813" s="2322"/>
      <c r="CP813" s="2322"/>
      <c r="CQ813" s="2322"/>
      <c r="CR813" s="2322"/>
      <c r="CS813" s="2322"/>
      <c r="CT813" s="2322"/>
      <c r="CU813" s="2322"/>
      <c r="CV813" s="2322"/>
    </row>
    <row r="814" spans="1:100" ht="15.75" customHeight="1">
      <c r="A814" s="2328"/>
      <c r="B814" s="2322"/>
      <c r="C814" s="2322"/>
      <c r="D814" s="2322"/>
      <c r="E814" s="2322"/>
      <c r="F814" s="2322"/>
      <c r="G814" s="2322"/>
      <c r="H814" s="2322"/>
      <c r="I814" s="2322"/>
      <c r="J814" s="2322"/>
      <c r="K814" s="2322"/>
      <c r="L814" s="2322"/>
      <c r="M814" s="2322"/>
      <c r="N814" s="2322"/>
      <c r="O814" s="2322"/>
      <c r="P814" s="2322"/>
      <c r="Q814" s="2322"/>
      <c r="R814" s="2322"/>
      <c r="S814" s="2322"/>
      <c r="T814" s="2322"/>
      <c r="U814" s="2322"/>
      <c r="V814" s="2322"/>
      <c r="W814" s="2322"/>
      <c r="X814" s="2322"/>
      <c r="Y814" s="2322"/>
      <c r="Z814" s="2322"/>
      <c r="AA814" s="2322"/>
      <c r="AB814" s="2322"/>
      <c r="AC814" s="2322"/>
      <c r="AD814" s="2322"/>
      <c r="AE814" s="2322"/>
      <c r="AF814" s="2322"/>
      <c r="AG814" s="2322"/>
      <c r="AH814" s="2322"/>
      <c r="AI814" s="2322"/>
      <c r="AJ814" s="2322"/>
      <c r="AK814" s="2322"/>
      <c r="AL814" s="2322"/>
      <c r="AM814" s="2322"/>
      <c r="AN814" s="2322"/>
      <c r="AO814" s="2322"/>
      <c r="AP814" s="2322"/>
      <c r="AQ814" s="2322"/>
      <c r="AR814" s="2322"/>
      <c r="AS814" s="2322"/>
      <c r="AT814" s="2322"/>
      <c r="AU814" s="2322"/>
      <c r="AV814" s="2322"/>
      <c r="AW814" s="2322"/>
      <c r="AX814" s="2322"/>
      <c r="AY814" s="2322"/>
      <c r="AZ814" s="2322"/>
      <c r="BA814" s="2322"/>
      <c r="BB814" s="2322"/>
      <c r="BC814" s="2322"/>
      <c r="BD814" s="2322"/>
      <c r="BE814" s="2322"/>
      <c r="BF814" s="2322"/>
      <c r="BG814" s="2322"/>
      <c r="BH814" s="2322"/>
      <c r="BI814" s="2322"/>
      <c r="BJ814" s="2322"/>
      <c r="BK814" s="2322"/>
      <c r="BL814" s="2322"/>
      <c r="BM814" s="2322"/>
      <c r="BN814" s="2322"/>
      <c r="BO814" s="2322"/>
      <c r="BP814" s="2322"/>
      <c r="BQ814" s="2322"/>
      <c r="BR814" s="2322"/>
      <c r="BS814" s="2322"/>
      <c r="BT814" s="2322"/>
      <c r="BU814" s="2322"/>
      <c r="BV814" s="2322"/>
      <c r="BW814" s="2322"/>
      <c r="BX814" s="2322"/>
      <c r="BY814" s="2322"/>
      <c r="BZ814" s="2322"/>
      <c r="CA814" s="2322"/>
      <c r="CB814" s="2322"/>
      <c r="CC814" s="2322"/>
      <c r="CD814" s="2322"/>
      <c r="CE814" s="2322"/>
      <c r="CF814" s="2322"/>
      <c r="CG814" s="2322"/>
      <c r="CH814" s="2322"/>
      <c r="CI814" s="2322"/>
      <c r="CJ814" s="2322"/>
      <c r="CK814" s="2322"/>
      <c r="CL814" s="2322"/>
      <c r="CM814" s="2322"/>
      <c r="CN814" s="2322"/>
      <c r="CO814" s="2322"/>
      <c r="CP814" s="2322"/>
      <c r="CQ814" s="2322"/>
      <c r="CR814" s="2322"/>
      <c r="CS814" s="2322"/>
      <c r="CT814" s="2322"/>
      <c r="CU814" s="2322"/>
      <c r="CV814" s="2322"/>
    </row>
    <row r="815" spans="1:100" ht="15.75" customHeight="1">
      <c r="A815" s="2328"/>
      <c r="B815" s="2322"/>
      <c r="C815" s="2322"/>
      <c r="D815" s="2322"/>
      <c r="E815" s="2322"/>
      <c r="F815" s="2322"/>
      <c r="G815" s="2322"/>
      <c r="H815" s="2322"/>
      <c r="I815" s="2322"/>
      <c r="J815" s="2322"/>
      <c r="K815" s="2322"/>
      <c r="L815" s="2322"/>
      <c r="M815" s="2322"/>
      <c r="N815" s="2322"/>
      <c r="O815" s="2322"/>
      <c r="P815" s="2322"/>
      <c r="Q815" s="2322"/>
      <c r="R815" s="2322"/>
      <c r="S815" s="2322"/>
      <c r="T815" s="2322"/>
      <c r="U815" s="2322"/>
      <c r="V815" s="2322"/>
      <c r="W815" s="2322"/>
      <c r="X815" s="2322"/>
      <c r="Y815" s="2322"/>
      <c r="Z815" s="2322"/>
      <c r="AA815" s="2322"/>
      <c r="AB815" s="2322"/>
      <c r="AC815" s="2322"/>
      <c r="AD815" s="2322"/>
      <c r="AE815" s="2322"/>
      <c r="AF815" s="2322"/>
      <c r="AG815" s="2322"/>
      <c r="AH815" s="2322"/>
      <c r="AI815" s="2322"/>
      <c r="AJ815" s="2322"/>
      <c r="AK815" s="2322"/>
      <c r="AL815" s="2322"/>
      <c r="AM815" s="2322"/>
      <c r="AN815" s="2322"/>
      <c r="AO815" s="2322"/>
      <c r="AP815" s="2322"/>
      <c r="AQ815" s="2322"/>
      <c r="AR815" s="2322"/>
      <c r="AS815" s="2322"/>
      <c r="AT815" s="2322"/>
      <c r="AU815" s="2322"/>
      <c r="AV815" s="2322"/>
      <c r="AW815" s="2322"/>
      <c r="AX815" s="2322"/>
      <c r="AY815" s="2322"/>
      <c r="AZ815" s="2322"/>
      <c r="BA815" s="2322"/>
      <c r="BB815" s="2322"/>
      <c r="BC815" s="2322"/>
      <c r="BD815" s="2322"/>
      <c r="BE815" s="2322"/>
      <c r="BF815" s="2322"/>
      <c r="BG815" s="2322"/>
      <c r="BH815" s="2322"/>
      <c r="BI815" s="2322"/>
      <c r="BJ815" s="2322"/>
      <c r="BK815" s="2322"/>
      <c r="BL815" s="2322"/>
      <c r="BM815" s="2322"/>
      <c r="BN815" s="2322"/>
      <c r="BO815" s="2322"/>
      <c r="BP815" s="2322"/>
      <c r="BQ815" s="2322"/>
      <c r="BR815" s="2322"/>
      <c r="BS815" s="2322"/>
      <c r="BT815" s="2322"/>
      <c r="BU815" s="2322"/>
      <c r="BV815" s="2322"/>
      <c r="BW815" s="2322"/>
      <c r="BX815" s="2322"/>
      <c r="BY815" s="2322"/>
      <c r="BZ815" s="2322"/>
      <c r="CA815" s="2322"/>
      <c r="CB815" s="2322"/>
      <c r="CC815" s="2322"/>
      <c r="CD815" s="2322"/>
      <c r="CE815" s="2322"/>
      <c r="CF815" s="2322"/>
      <c r="CG815" s="2322"/>
      <c r="CH815" s="2322"/>
      <c r="CI815" s="2322"/>
      <c r="CJ815" s="2322"/>
      <c r="CK815" s="2322"/>
      <c r="CL815" s="2322"/>
      <c r="CM815" s="2322"/>
      <c r="CN815" s="2322"/>
      <c r="CO815" s="2322"/>
      <c r="CP815" s="2322"/>
      <c r="CQ815" s="2322"/>
      <c r="CR815" s="2322"/>
      <c r="CS815" s="2322"/>
      <c r="CT815" s="2322"/>
      <c r="CU815" s="2322"/>
      <c r="CV815" s="2322"/>
    </row>
    <row r="816" spans="1:100" ht="15.75" customHeight="1">
      <c r="A816" s="2328"/>
      <c r="B816" s="2322"/>
      <c r="C816" s="2322"/>
      <c r="D816" s="2322"/>
      <c r="E816" s="2322"/>
      <c r="F816" s="2322"/>
      <c r="G816" s="2322"/>
      <c r="H816" s="2322"/>
      <c r="I816" s="2322"/>
      <c r="J816" s="2322"/>
      <c r="K816" s="2322"/>
      <c r="L816" s="2322"/>
      <c r="M816" s="2322"/>
      <c r="N816" s="2322"/>
      <c r="O816" s="2322"/>
      <c r="P816" s="2322"/>
      <c r="Q816" s="2322"/>
      <c r="R816" s="2322"/>
      <c r="S816" s="2322"/>
      <c r="T816" s="2322"/>
      <c r="U816" s="2322"/>
      <c r="V816" s="2322"/>
      <c r="W816" s="2322"/>
      <c r="X816" s="2322"/>
      <c r="Y816" s="2322"/>
      <c r="Z816" s="2322"/>
      <c r="AA816" s="2322"/>
      <c r="AB816" s="2322"/>
      <c r="AC816" s="2322"/>
      <c r="AD816" s="2322"/>
      <c r="AE816" s="2322"/>
      <c r="AF816" s="2322"/>
      <c r="AG816" s="2322"/>
      <c r="AH816" s="2322"/>
      <c r="AI816" s="2322"/>
      <c r="AJ816" s="2322"/>
      <c r="AK816" s="2322"/>
      <c r="AL816" s="2322"/>
      <c r="AM816" s="2322"/>
      <c r="AN816" s="2322"/>
      <c r="AO816" s="2322"/>
      <c r="AP816" s="2322"/>
      <c r="AQ816" s="2322"/>
      <c r="AR816" s="2322"/>
      <c r="AS816" s="2322"/>
      <c r="AT816" s="2322"/>
      <c r="AU816" s="2322"/>
      <c r="AV816" s="2322"/>
      <c r="AW816" s="2322"/>
      <c r="AX816" s="2322"/>
      <c r="AY816" s="2322"/>
      <c r="AZ816" s="2322"/>
      <c r="BA816" s="2322"/>
      <c r="BB816" s="2322"/>
      <c r="BC816" s="2322"/>
      <c r="BD816" s="2322"/>
      <c r="BE816" s="2322"/>
      <c r="BF816" s="2322"/>
      <c r="BG816" s="2322"/>
      <c r="BH816" s="2322"/>
      <c r="BI816" s="2322"/>
      <c r="BJ816" s="2322"/>
      <c r="BK816" s="2322"/>
      <c r="BL816" s="2322"/>
      <c r="BM816" s="2322"/>
      <c r="BN816" s="2322"/>
      <c r="BO816" s="2322"/>
      <c r="BP816" s="2322"/>
      <c r="BQ816" s="2322"/>
      <c r="BR816" s="2322"/>
      <c r="BS816" s="2322"/>
      <c r="BT816" s="2322"/>
      <c r="BU816" s="2322"/>
      <c r="BV816" s="2322"/>
      <c r="BW816" s="2322"/>
      <c r="BX816" s="2322"/>
      <c r="BY816" s="2322"/>
      <c r="BZ816" s="2322"/>
      <c r="CA816" s="2322"/>
      <c r="CB816" s="2322"/>
      <c r="CC816" s="2322"/>
      <c r="CD816" s="2322"/>
      <c r="CE816" s="2322"/>
      <c r="CF816" s="2322"/>
      <c r="CG816" s="2322"/>
      <c r="CH816" s="2322"/>
      <c r="CI816" s="2322"/>
      <c r="CJ816" s="2322"/>
      <c r="CK816" s="2322"/>
      <c r="CL816" s="2322"/>
      <c r="CM816" s="2322"/>
      <c r="CN816" s="2322"/>
      <c r="CO816" s="2322"/>
      <c r="CP816" s="2322"/>
      <c r="CQ816" s="2322"/>
      <c r="CR816" s="2322"/>
      <c r="CS816" s="2322"/>
      <c r="CT816" s="2322"/>
      <c r="CU816" s="2322"/>
      <c r="CV816" s="2322"/>
    </row>
    <row r="817" spans="1:100" ht="15.75" customHeight="1">
      <c r="A817" s="2328"/>
      <c r="B817" s="2322"/>
      <c r="C817" s="2322"/>
      <c r="D817" s="2322"/>
      <c r="E817" s="2322"/>
      <c r="F817" s="2322"/>
      <c r="G817" s="2322"/>
      <c r="H817" s="2322"/>
      <c r="I817" s="2322"/>
      <c r="J817" s="2322"/>
      <c r="K817" s="2322"/>
      <c r="L817" s="2322"/>
      <c r="M817" s="2322"/>
      <c r="N817" s="2322"/>
      <c r="O817" s="2322"/>
      <c r="P817" s="2322"/>
      <c r="Q817" s="2322"/>
      <c r="R817" s="2322"/>
      <c r="S817" s="2322"/>
      <c r="T817" s="2322"/>
      <c r="U817" s="2322"/>
      <c r="V817" s="2322"/>
      <c r="W817" s="2322"/>
      <c r="X817" s="2322"/>
      <c r="Y817" s="2322"/>
      <c r="Z817" s="2322"/>
      <c r="AA817" s="2322"/>
      <c r="AB817" s="2322"/>
      <c r="AC817" s="2322"/>
      <c r="AD817" s="2322"/>
      <c r="AE817" s="2322"/>
      <c r="AF817" s="2322"/>
      <c r="AG817" s="2322"/>
      <c r="AH817" s="2322"/>
      <c r="AI817" s="2322"/>
      <c r="AJ817" s="2322"/>
      <c r="AK817" s="2322"/>
      <c r="AL817" s="2322"/>
      <c r="AM817" s="2322"/>
      <c r="AN817" s="2322"/>
      <c r="AO817" s="2322"/>
      <c r="AP817" s="2322"/>
      <c r="AQ817" s="2322"/>
      <c r="AR817" s="2322"/>
      <c r="AS817" s="2322"/>
      <c r="AT817" s="2322"/>
      <c r="AU817" s="2322"/>
      <c r="AV817" s="2322"/>
      <c r="AW817" s="2322"/>
      <c r="AX817" s="2322"/>
      <c r="AY817" s="2322"/>
      <c r="AZ817" s="2322"/>
      <c r="BA817" s="2322"/>
      <c r="BB817" s="2322"/>
      <c r="BC817" s="2322"/>
      <c r="BD817" s="2322"/>
      <c r="BE817" s="2322"/>
      <c r="BF817" s="2322"/>
      <c r="BG817" s="2322"/>
      <c r="BH817" s="2322"/>
      <c r="BI817" s="2322"/>
      <c r="BJ817" s="2322"/>
      <c r="BK817" s="2322"/>
      <c r="BL817" s="2322"/>
      <c r="BM817" s="2322"/>
      <c r="BN817" s="2322"/>
      <c r="BO817" s="2322"/>
      <c r="BP817" s="2322"/>
      <c r="BQ817" s="2322"/>
      <c r="BR817" s="2322"/>
      <c r="BS817" s="2322"/>
      <c r="BT817" s="2322"/>
      <c r="BU817" s="2322"/>
      <c r="BV817" s="2322"/>
      <c r="BW817" s="2322"/>
      <c r="BX817" s="2322"/>
      <c r="BY817" s="2322"/>
      <c r="BZ817" s="2322"/>
      <c r="CA817" s="2322"/>
      <c r="CB817" s="2322"/>
      <c r="CC817" s="2322"/>
      <c r="CD817" s="2322"/>
      <c r="CE817" s="2322"/>
      <c r="CF817" s="2322"/>
      <c r="CG817" s="2322"/>
      <c r="CH817" s="2322"/>
      <c r="CI817" s="2322"/>
      <c r="CJ817" s="2322"/>
      <c r="CK817" s="2322"/>
      <c r="CL817" s="2322"/>
      <c r="CM817" s="2322"/>
      <c r="CN817" s="2322"/>
      <c r="CO817" s="2322"/>
      <c r="CP817" s="2322"/>
      <c r="CQ817" s="2322"/>
      <c r="CR817" s="2322"/>
      <c r="CS817" s="2322"/>
      <c r="CT817" s="2322"/>
      <c r="CU817" s="2322"/>
      <c r="CV817" s="2322"/>
    </row>
    <row r="818" spans="1:100" ht="15.75" customHeight="1">
      <c r="A818" s="2328"/>
      <c r="B818" s="2322"/>
      <c r="C818" s="2322"/>
      <c r="D818" s="2322"/>
      <c r="E818" s="2322"/>
      <c r="F818" s="2322"/>
      <c r="G818" s="2322"/>
      <c r="H818" s="2322"/>
      <c r="I818" s="2322"/>
      <c r="J818" s="2322"/>
      <c r="K818" s="2322"/>
      <c r="L818" s="2322"/>
      <c r="M818" s="2322"/>
      <c r="N818" s="2322"/>
      <c r="O818" s="2322"/>
      <c r="P818" s="2322"/>
      <c r="Q818" s="2322"/>
      <c r="R818" s="2322"/>
      <c r="S818" s="2322"/>
      <c r="T818" s="2322"/>
      <c r="U818" s="2322"/>
      <c r="V818" s="2322"/>
      <c r="W818" s="2322"/>
      <c r="X818" s="2322"/>
      <c r="Y818" s="2322"/>
      <c r="Z818" s="2322"/>
      <c r="AA818" s="2322"/>
      <c r="AB818" s="2322"/>
      <c r="AC818" s="2322"/>
      <c r="AD818" s="2322"/>
      <c r="AE818" s="2322"/>
      <c r="AF818" s="2322"/>
      <c r="AG818" s="2322"/>
      <c r="AH818" s="2322"/>
      <c r="AI818" s="2322"/>
      <c r="AJ818" s="2322"/>
      <c r="AK818" s="2322"/>
      <c r="AL818" s="2322"/>
      <c r="AM818" s="2322"/>
      <c r="AN818" s="2322"/>
      <c r="AO818" s="2322"/>
      <c r="AP818" s="2322"/>
      <c r="AQ818" s="2322"/>
      <c r="AR818" s="2322"/>
      <c r="AS818" s="2322"/>
      <c r="AT818" s="2322"/>
      <c r="AU818" s="2322"/>
      <c r="AV818" s="2322"/>
      <c r="AW818" s="2322"/>
      <c r="AX818" s="2322"/>
      <c r="AY818" s="2322"/>
      <c r="AZ818" s="2322"/>
      <c r="BA818" s="2322"/>
      <c r="BB818" s="2322"/>
      <c r="BC818" s="2322"/>
      <c r="BD818" s="2322"/>
      <c r="BE818" s="2322"/>
      <c r="BF818" s="2322"/>
      <c r="BG818" s="2322"/>
      <c r="BH818" s="2322"/>
      <c r="BI818" s="2322"/>
      <c r="BJ818" s="2322"/>
      <c r="BK818" s="2322"/>
      <c r="BL818" s="2322"/>
      <c r="BM818" s="2322"/>
      <c r="BN818" s="2322"/>
      <c r="BO818" s="2322"/>
      <c r="BP818" s="2322"/>
      <c r="BQ818" s="2322"/>
      <c r="BR818" s="2322"/>
      <c r="BS818" s="2322"/>
      <c r="BT818" s="2322"/>
      <c r="BU818" s="2322"/>
      <c r="BV818" s="2322"/>
      <c r="BW818" s="2322"/>
      <c r="BX818" s="2322"/>
      <c r="BY818" s="2322"/>
      <c r="BZ818" s="2322"/>
      <c r="CA818" s="2322"/>
      <c r="CB818" s="2322"/>
      <c r="CC818" s="2322"/>
      <c r="CD818" s="2322"/>
      <c r="CE818" s="2322"/>
      <c r="CF818" s="2322"/>
      <c r="CG818" s="2322"/>
      <c r="CH818" s="2322"/>
      <c r="CI818" s="2322"/>
      <c r="CJ818" s="2322"/>
      <c r="CK818" s="2322"/>
      <c r="CL818" s="2322"/>
      <c r="CM818" s="2322"/>
      <c r="CN818" s="2322"/>
      <c r="CO818" s="2322"/>
      <c r="CP818" s="2322"/>
      <c r="CQ818" s="2322"/>
      <c r="CR818" s="2322"/>
      <c r="CS818" s="2322"/>
      <c r="CT818" s="2322"/>
      <c r="CU818" s="2322"/>
      <c r="CV818" s="2322"/>
    </row>
    <row r="819" spans="1:100" ht="15.75" customHeight="1">
      <c r="A819" s="2328"/>
      <c r="B819" s="2322"/>
      <c r="C819" s="2322"/>
      <c r="D819" s="2322"/>
      <c r="E819" s="2322"/>
      <c r="F819" s="2322"/>
      <c r="G819" s="2322"/>
      <c r="H819" s="2322"/>
      <c r="I819" s="2322"/>
      <c r="J819" s="2322"/>
      <c r="K819" s="2322"/>
      <c r="L819" s="2322"/>
      <c r="M819" s="2322"/>
      <c r="N819" s="2322"/>
      <c r="O819" s="2322"/>
      <c r="P819" s="2322"/>
      <c r="Q819" s="2322"/>
      <c r="R819" s="2322"/>
      <c r="S819" s="2322"/>
      <c r="T819" s="2322"/>
      <c r="U819" s="2322"/>
      <c r="V819" s="2322"/>
      <c r="W819" s="2322"/>
      <c r="X819" s="2322"/>
      <c r="Y819" s="2322"/>
      <c r="Z819" s="2322"/>
      <c r="AA819" s="2322"/>
      <c r="AB819" s="2322"/>
      <c r="AC819" s="2322"/>
      <c r="AD819" s="2322"/>
      <c r="AE819" s="2322"/>
      <c r="AF819" s="2322"/>
      <c r="AG819" s="2322"/>
      <c r="AH819" s="2322"/>
      <c r="AI819" s="2322"/>
      <c r="AJ819" s="2322"/>
      <c r="AK819" s="2322"/>
      <c r="AL819" s="2322"/>
      <c r="AM819" s="2322"/>
      <c r="AN819" s="2322"/>
      <c r="AO819" s="2322"/>
      <c r="AP819" s="2322"/>
      <c r="AQ819" s="2322"/>
      <c r="AR819" s="2322"/>
      <c r="AS819" s="2322"/>
      <c r="AT819" s="2322"/>
      <c r="AU819" s="2322"/>
      <c r="AV819" s="2322"/>
      <c r="AW819" s="2322"/>
      <c r="AX819" s="2322"/>
      <c r="AY819" s="2322"/>
      <c r="AZ819" s="2322"/>
      <c r="BA819" s="2322"/>
      <c r="BB819" s="2322"/>
      <c r="BC819" s="2322"/>
      <c r="BD819" s="2322"/>
      <c r="BE819" s="2322"/>
      <c r="BF819" s="2322"/>
      <c r="BG819" s="2322"/>
      <c r="BH819" s="2322"/>
      <c r="BI819" s="2322"/>
      <c r="BJ819" s="2322"/>
      <c r="BK819" s="2322"/>
      <c r="BL819" s="2322"/>
      <c r="BM819" s="2322"/>
      <c r="BN819" s="2322"/>
      <c r="BO819" s="2322"/>
      <c r="BP819" s="2322"/>
      <c r="BQ819" s="2322"/>
      <c r="BR819" s="2322"/>
      <c r="BS819" s="2322"/>
      <c r="BT819" s="2322"/>
      <c r="BU819" s="2322"/>
      <c r="BV819" s="2322"/>
      <c r="BW819" s="2322"/>
      <c r="BX819" s="2322"/>
      <c r="BY819" s="2322"/>
      <c r="BZ819" s="2322"/>
      <c r="CA819" s="2322"/>
      <c r="CB819" s="2322"/>
      <c r="CC819" s="2322"/>
      <c r="CD819" s="2322"/>
      <c r="CE819" s="2322"/>
      <c r="CF819" s="2322"/>
      <c r="CG819" s="2322"/>
      <c r="CH819" s="2322"/>
      <c r="CI819" s="2322"/>
      <c r="CJ819" s="2322"/>
      <c r="CK819" s="2322"/>
      <c r="CL819" s="2322"/>
      <c r="CM819" s="2322"/>
      <c r="CN819" s="2322"/>
      <c r="CO819" s="2322"/>
      <c r="CP819" s="2322"/>
      <c r="CQ819" s="2322"/>
      <c r="CR819" s="2322"/>
      <c r="CS819" s="2322"/>
      <c r="CT819" s="2322"/>
      <c r="CU819" s="2322"/>
      <c r="CV819" s="2322"/>
    </row>
    <row r="820" spans="1:100" ht="15.75" customHeight="1">
      <c r="A820" s="2328"/>
      <c r="B820" s="2322"/>
      <c r="C820" s="2322"/>
      <c r="D820" s="2322"/>
      <c r="E820" s="2322"/>
      <c r="F820" s="2322"/>
      <c r="G820" s="2322"/>
      <c r="H820" s="2322"/>
      <c r="I820" s="2322"/>
      <c r="J820" s="2322"/>
      <c r="K820" s="2322"/>
      <c r="L820" s="2322"/>
      <c r="M820" s="2322"/>
      <c r="N820" s="2322"/>
      <c r="O820" s="2322"/>
      <c r="P820" s="2322"/>
      <c r="Q820" s="2322"/>
      <c r="R820" s="2322"/>
      <c r="S820" s="2322"/>
      <c r="T820" s="2322"/>
      <c r="U820" s="2322"/>
      <c r="V820" s="2322"/>
      <c r="W820" s="2322"/>
      <c r="X820" s="2322"/>
      <c r="Y820" s="2322"/>
      <c r="Z820" s="2322"/>
      <c r="AA820" s="2322"/>
      <c r="AB820" s="2322"/>
      <c r="AC820" s="2322"/>
      <c r="AD820" s="2322"/>
      <c r="AE820" s="2322"/>
      <c r="AF820" s="2322"/>
      <c r="AG820" s="2322"/>
      <c r="AH820" s="2322"/>
      <c r="AI820" s="2322"/>
      <c r="AJ820" s="2322"/>
      <c r="AK820" s="2322"/>
      <c r="AL820" s="2322"/>
      <c r="AM820" s="2322"/>
      <c r="AN820" s="2322"/>
      <c r="AO820" s="2322"/>
      <c r="AP820" s="2322"/>
      <c r="AQ820" s="2322"/>
      <c r="AR820" s="2322"/>
      <c r="AS820" s="2322"/>
      <c r="AT820" s="2322"/>
      <c r="AU820" s="2322"/>
      <c r="AV820" s="2322"/>
      <c r="AW820" s="2322"/>
      <c r="AX820" s="2322"/>
      <c r="AY820" s="2322"/>
      <c r="AZ820" s="2322"/>
      <c r="BA820" s="2322"/>
      <c r="BB820" s="2322"/>
      <c r="BC820" s="2322"/>
      <c r="BD820" s="2322"/>
      <c r="BE820" s="2322"/>
      <c r="BF820" s="2322"/>
      <c r="BG820" s="2322"/>
      <c r="BH820" s="2322"/>
      <c r="BI820" s="2322"/>
      <c r="BJ820" s="2322"/>
      <c r="BK820" s="2322"/>
      <c r="BL820" s="2322"/>
      <c r="BM820" s="2322"/>
      <c r="BN820" s="2322"/>
      <c r="BO820" s="2322"/>
      <c r="BP820" s="2322"/>
      <c r="BQ820" s="2322"/>
      <c r="BR820" s="2322"/>
      <c r="BS820" s="2322"/>
      <c r="BT820" s="2322"/>
      <c r="BU820" s="2322"/>
      <c r="BV820" s="2322"/>
      <c r="BW820" s="2322"/>
      <c r="BX820" s="2322"/>
      <c r="BY820" s="2322"/>
      <c r="BZ820" s="2322"/>
      <c r="CA820" s="2322"/>
      <c r="CB820" s="2322"/>
      <c r="CC820" s="2322"/>
      <c r="CD820" s="2322"/>
      <c r="CE820" s="2322"/>
      <c r="CF820" s="2322"/>
      <c r="CG820" s="2322"/>
      <c r="CH820" s="2322"/>
      <c r="CI820" s="2322"/>
      <c r="CJ820" s="2322"/>
      <c r="CK820" s="2322"/>
      <c r="CL820" s="2322"/>
      <c r="CM820" s="2322"/>
      <c r="CN820" s="2322"/>
      <c r="CO820" s="2322"/>
      <c r="CP820" s="2322"/>
      <c r="CQ820" s="2322"/>
      <c r="CR820" s="2322"/>
      <c r="CS820" s="2322"/>
      <c r="CT820" s="2322"/>
      <c r="CU820" s="2322"/>
      <c r="CV820" s="2322"/>
    </row>
    <row r="821" spans="1:100" ht="15.75" customHeight="1">
      <c r="A821" s="2328"/>
      <c r="B821" s="2322"/>
      <c r="C821" s="2322"/>
      <c r="D821" s="2322"/>
      <c r="E821" s="2322"/>
      <c r="F821" s="2322"/>
      <c r="G821" s="2322"/>
      <c r="H821" s="2322"/>
      <c r="I821" s="2322"/>
      <c r="J821" s="2322"/>
      <c r="K821" s="2322"/>
      <c r="L821" s="2322"/>
      <c r="M821" s="2322"/>
      <c r="N821" s="2322"/>
      <c r="O821" s="2322"/>
      <c r="P821" s="2322"/>
      <c r="Q821" s="2322"/>
      <c r="R821" s="2322"/>
      <c r="S821" s="2322"/>
      <c r="T821" s="2322"/>
      <c r="U821" s="2322"/>
      <c r="V821" s="2322"/>
      <c r="W821" s="2322"/>
      <c r="X821" s="2322"/>
      <c r="Y821" s="2322"/>
      <c r="Z821" s="2322"/>
      <c r="AA821" s="2322"/>
      <c r="AB821" s="2322"/>
      <c r="AC821" s="2322"/>
      <c r="AD821" s="2322"/>
      <c r="AE821" s="2322"/>
      <c r="AF821" s="2322"/>
      <c r="AG821" s="2322"/>
      <c r="AH821" s="2322"/>
      <c r="AI821" s="2322"/>
      <c r="AJ821" s="2322"/>
      <c r="AK821" s="2322"/>
      <c r="AL821" s="2322"/>
      <c r="AM821" s="2322"/>
      <c r="AN821" s="2322"/>
      <c r="AO821" s="2322"/>
      <c r="AP821" s="2322"/>
      <c r="AQ821" s="2322"/>
      <c r="AR821" s="2322"/>
      <c r="AS821" s="2322"/>
      <c r="AT821" s="2322"/>
      <c r="AU821" s="2322"/>
      <c r="AV821" s="2322"/>
      <c r="AW821" s="2322"/>
      <c r="AX821" s="2322"/>
      <c r="AY821" s="2322"/>
      <c r="AZ821" s="2322"/>
      <c r="BA821" s="2322"/>
      <c r="BB821" s="2322"/>
      <c r="BC821" s="2322"/>
      <c r="BD821" s="2322"/>
      <c r="BE821" s="2322"/>
      <c r="BF821" s="2322"/>
      <c r="BG821" s="2322"/>
      <c r="BH821" s="2322"/>
      <c r="BI821" s="2322"/>
      <c r="BJ821" s="2322"/>
      <c r="BK821" s="2322"/>
      <c r="BL821" s="2322"/>
      <c r="BM821" s="2322"/>
      <c r="BN821" s="2322"/>
      <c r="BO821" s="2322"/>
      <c r="BP821" s="2322"/>
      <c r="BQ821" s="2322"/>
      <c r="BR821" s="2322"/>
      <c r="BS821" s="2322"/>
      <c r="BT821" s="2322"/>
      <c r="BU821" s="2322"/>
      <c r="BV821" s="2322"/>
      <c r="BW821" s="2322"/>
      <c r="BX821" s="2322"/>
      <c r="BY821" s="2322"/>
      <c r="BZ821" s="2322"/>
      <c r="CA821" s="2322"/>
      <c r="CB821" s="2322"/>
      <c r="CC821" s="2322"/>
      <c r="CD821" s="2322"/>
      <c r="CE821" s="2322"/>
      <c r="CF821" s="2322"/>
      <c r="CG821" s="2322"/>
      <c r="CH821" s="2322"/>
      <c r="CI821" s="2322"/>
      <c r="CJ821" s="2322"/>
      <c r="CK821" s="2322"/>
      <c r="CL821" s="2322"/>
      <c r="CM821" s="2322"/>
      <c r="CN821" s="2322"/>
      <c r="CO821" s="2322"/>
      <c r="CP821" s="2322"/>
      <c r="CQ821" s="2322"/>
      <c r="CR821" s="2322"/>
      <c r="CS821" s="2322"/>
      <c r="CT821" s="2322"/>
      <c r="CU821" s="2322"/>
      <c r="CV821" s="2322"/>
    </row>
    <row r="822" spans="1:100" ht="15.75" customHeight="1">
      <c r="A822" s="2328"/>
      <c r="B822" s="2322"/>
      <c r="C822" s="2322"/>
      <c r="D822" s="2322"/>
      <c r="E822" s="2322"/>
      <c r="F822" s="2322"/>
      <c r="G822" s="2322"/>
      <c r="H822" s="2322"/>
      <c r="I822" s="2322"/>
      <c r="J822" s="2322"/>
      <c r="K822" s="2322"/>
      <c r="L822" s="2322"/>
      <c r="M822" s="2322"/>
      <c r="N822" s="2322"/>
      <c r="O822" s="2322"/>
      <c r="P822" s="2322"/>
      <c r="Q822" s="2322"/>
      <c r="R822" s="2322"/>
      <c r="S822" s="2322"/>
      <c r="T822" s="2322"/>
      <c r="U822" s="2322"/>
      <c r="V822" s="2322"/>
      <c r="W822" s="2322"/>
      <c r="X822" s="2322"/>
      <c r="Y822" s="2322"/>
      <c r="Z822" s="2322"/>
      <c r="AA822" s="2322"/>
      <c r="AB822" s="2322"/>
      <c r="AC822" s="2322"/>
      <c r="AD822" s="2322"/>
      <c r="AE822" s="2322"/>
      <c r="AF822" s="2322"/>
      <c r="AG822" s="2322"/>
      <c r="AH822" s="2322"/>
      <c r="AI822" s="2322"/>
      <c r="AJ822" s="2322"/>
      <c r="AK822" s="2322"/>
      <c r="AL822" s="2322"/>
      <c r="AM822" s="2322"/>
      <c r="AN822" s="2322"/>
      <c r="AO822" s="2322"/>
      <c r="AP822" s="2322"/>
      <c r="AQ822" s="2322"/>
      <c r="AR822" s="2322"/>
      <c r="AS822" s="2322"/>
      <c r="AT822" s="2322"/>
      <c r="AU822" s="2322"/>
      <c r="AV822" s="2322"/>
      <c r="AW822" s="2322"/>
      <c r="AX822" s="2322"/>
      <c r="AY822" s="2322"/>
      <c r="AZ822" s="2322"/>
      <c r="BA822" s="2322"/>
      <c r="BB822" s="2322"/>
      <c r="BC822" s="2322"/>
      <c r="BD822" s="2322"/>
      <c r="BE822" s="2322"/>
      <c r="BF822" s="2322"/>
      <c r="BG822" s="2322"/>
      <c r="BH822" s="2322"/>
      <c r="BI822" s="2322"/>
      <c r="BJ822" s="2322"/>
      <c r="BK822" s="2322"/>
      <c r="BL822" s="2322"/>
      <c r="BM822" s="2322"/>
      <c r="BN822" s="2322"/>
      <c r="BO822" s="2322"/>
      <c r="BP822" s="2322"/>
      <c r="BQ822" s="2322"/>
      <c r="BR822" s="2322"/>
      <c r="BS822" s="2322"/>
      <c r="BT822" s="2322"/>
      <c r="BU822" s="2322"/>
      <c r="BV822" s="2322"/>
      <c r="BW822" s="2322"/>
      <c r="BX822" s="2322"/>
      <c r="BY822" s="2322"/>
      <c r="BZ822" s="2322"/>
      <c r="CA822" s="2322"/>
      <c r="CB822" s="2322"/>
      <c r="CC822" s="2322"/>
      <c r="CD822" s="2322"/>
      <c r="CE822" s="2322"/>
      <c r="CF822" s="2322"/>
      <c r="CG822" s="2322"/>
      <c r="CH822" s="2322"/>
      <c r="CI822" s="2322"/>
      <c r="CJ822" s="2322"/>
      <c r="CK822" s="2322"/>
      <c r="CL822" s="2322"/>
      <c r="CM822" s="2322"/>
      <c r="CN822" s="2322"/>
      <c r="CO822" s="2322"/>
      <c r="CP822" s="2322"/>
      <c r="CQ822" s="2322"/>
      <c r="CR822" s="2322"/>
      <c r="CS822" s="2322"/>
      <c r="CT822" s="2322"/>
      <c r="CU822" s="2322"/>
      <c r="CV822" s="2322"/>
    </row>
    <row r="823" spans="1:100" ht="15.75" customHeight="1">
      <c r="A823" s="2328"/>
      <c r="B823" s="2322"/>
      <c r="C823" s="2322"/>
      <c r="D823" s="2322"/>
      <c r="E823" s="2322"/>
      <c r="F823" s="2322"/>
      <c r="G823" s="2322"/>
      <c r="H823" s="2322"/>
      <c r="I823" s="2322"/>
      <c r="J823" s="2322"/>
      <c r="K823" s="2322"/>
      <c r="L823" s="2322"/>
      <c r="M823" s="2322"/>
      <c r="N823" s="2322"/>
      <c r="O823" s="2322"/>
      <c r="P823" s="2322"/>
      <c r="Q823" s="2322"/>
      <c r="R823" s="2322"/>
      <c r="S823" s="2322"/>
      <c r="T823" s="2322"/>
      <c r="U823" s="2322"/>
      <c r="V823" s="2322"/>
      <c r="W823" s="2322"/>
      <c r="X823" s="2322"/>
      <c r="Y823" s="2322"/>
      <c r="Z823" s="2322"/>
      <c r="AA823" s="2322"/>
      <c r="AB823" s="2322"/>
      <c r="AC823" s="2322"/>
      <c r="AD823" s="2322"/>
      <c r="AE823" s="2322"/>
      <c r="AF823" s="2322"/>
      <c r="AG823" s="2322"/>
      <c r="AH823" s="2322"/>
      <c r="AI823" s="2322"/>
      <c r="AJ823" s="2322"/>
      <c r="AK823" s="2322"/>
      <c r="AL823" s="2322"/>
      <c r="AM823" s="2322"/>
      <c r="AN823" s="2322"/>
      <c r="AO823" s="2322"/>
      <c r="AP823" s="2322"/>
      <c r="AQ823" s="2322"/>
      <c r="AR823" s="2322"/>
      <c r="AS823" s="2322"/>
      <c r="AT823" s="2322"/>
      <c r="AU823" s="2322"/>
      <c r="AV823" s="2322"/>
      <c r="AW823" s="2322"/>
      <c r="AX823" s="2322"/>
      <c r="AY823" s="2322"/>
      <c r="AZ823" s="2322"/>
      <c r="BA823" s="2322"/>
      <c r="BB823" s="2322"/>
      <c r="BC823" s="2322"/>
      <c r="BD823" s="2322"/>
      <c r="BE823" s="2322"/>
      <c r="BF823" s="2322"/>
      <c r="BG823" s="2322"/>
      <c r="BH823" s="2322"/>
      <c r="BI823" s="2322"/>
      <c r="BJ823" s="2322"/>
      <c r="BK823" s="2322"/>
      <c r="BL823" s="2322"/>
      <c r="BM823" s="2322"/>
      <c r="BN823" s="2322"/>
      <c r="BO823" s="2322"/>
      <c r="BP823" s="2322"/>
      <c r="BQ823" s="2322"/>
      <c r="BR823" s="2322"/>
      <c r="BS823" s="2322"/>
      <c r="BT823" s="2322"/>
      <c r="BU823" s="2322"/>
      <c r="BV823" s="2322"/>
      <c r="BW823" s="2322"/>
      <c r="BX823" s="2322"/>
      <c r="BY823" s="2322"/>
      <c r="BZ823" s="2322"/>
      <c r="CA823" s="2322"/>
      <c r="CB823" s="2322"/>
      <c r="CC823" s="2322"/>
      <c r="CD823" s="2322"/>
      <c r="CE823" s="2322"/>
      <c r="CF823" s="2322"/>
      <c r="CG823" s="2322"/>
      <c r="CH823" s="2322"/>
      <c r="CI823" s="2322"/>
      <c r="CJ823" s="2322"/>
      <c r="CK823" s="2322"/>
      <c r="CL823" s="2322"/>
      <c r="CM823" s="2322"/>
      <c r="CN823" s="2322"/>
      <c r="CO823" s="2322"/>
      <c r="CP823" s="2322"/>
      <c r="CQ823" s="2322"/>
      <c r="CR823" s="2322"/>
      <c r="CS823" s="2322"/>
      <c r="CT823" s="2322"/>
      <c r="CU823" s="2322"/>
      <c r="CV823" s="2322"/>
    </row>
    <row r="824" spans="1:100" ht="15.75" customHeight="1">
      <c r="A824" s="2328"/>
      <c r="B824" s="2322"/>
      <c r="C824" s="2322"/>
      <c r="D824" s="2322"/>
      <c r="E824" s="2322"/>
      <c r="F824" s="2322"/>
      <c r="G824" s="2322"/>
      <c r="H824" s="2322"/>
      <c r="I824" s="2322"/>
      <c r="J824" s="2322"/>
      <c r="K824" s="2322"/>
      <c r="L824" s="2322"/>
      <c r="M824" s="2322"/>
      <c r="N824" s="2322"/>
      <c r="O824" s="2322"/>
      <c r="P824" s="2322"/>
      <c r="Q824" s="2322"/>
      <c r="R824" s="2322"/>
      <c r="S824" s="2322"/>
      <c r="T824" s="2322"/>
      <c r="U824" s="2322"/>
      <c r="V824" s="2322"/>
      <c r="W824" s="2322"/>
      <c r="X824" s="2322"/>
      <c r="Y824" s="2322"/>
      <c r="Z824" s="2322"/>
      <c r="AA824" s="2322"/>
      <c r="AB824" s="2322"/>
      <c r="AC824" s="2322"/>
      <c r="AD824" s="2322"/>
      <c r="AE824" s="2322"/>
      <c r="AF824" s="2322"/>
      <c r="AG824" s="2322"/>
      <c r="AH824" s="2322"/>
      <c r="AI824" s="2322"/>
      <c r="AJ824" s="2322"/>
      <c r="AK824" s="2322"/>
      <c r="AL824" s="2322"/>
      <c r="AM824" s="2322"/>
      <c r="AN824" s="2322"/>
      <c r="AO824" s="2322"/>
      <c r="AP824" s="2322"/>
      <c r="AQ824" s="2322"/>
      <c r="AR824" s="2322"/>
      <c r="AS824" s="2322"/>
      <c r="AT824" s="2322"/>
      <c r="AU824" s="2322"/>
      <c r="AV824" s="2322"/>
      <c r="AW824" s="2322"/>
      <c r="AX824" s="2322"/>
      <c r="AY824" s="2322"/>
      <c r="AZ824" s="2322"/>
      <c r="BA824" s="2322"/>
      <c r="BB824" s="2322"/>
      <c r="BC824" s="2322"/>
      <c r="BD824" s="2322"/>
      <c r="BE824" s="2322"/>
      <c r="BF824" s="2322"/>
      <c r="BG824" s="2322"/>
      <c r="BH824" s="2322"/>
      <c r="BI824" s="2322"/>
      <c r="BJ824" s="2322"/>
      <c r="BK824" s="2322"/>
      <c r="BL824" s="2322"/>
      <c r="BM824" s="2322"/>
      <c r="BN824" s="2322"/>
      <c r="BO824" s="2322"/>
      <c r="BP824" s="2322"/>
      <c r="BQ824" s="2322"/>
      <c r="BR824" s="2322"/>
      <c r="BS824" s="2322"/>
      <c r="BT824" s="2322"/>
      <c r="BU824" s="2322"/>
      <c r="BV824" s="2322"/>
      <c r="BW824" s="2322"/>
      <c r="BX824" s="2322"/>
      <c r="BY824" s="2322"/>
      <c r="BZ824" s="2322"/>
      <c r="CA824" s="2322"/>
      <c r="CB824" s="2322"/>
      <c r="CC824" s="2322"/>
      <c r="CD824" s="2322"/>
      <c r="CE824" s="2322"/>
      <c r="CF824" s="2322"/>
      <c r="CG824" s="2322"/>
      <c r="CH824" s="2322"/>
      <c r="CI824" s="2322"/>
      <c r="CJ824" s="2322"/>
      <c r="CK824" s="2322"/>
      <c r="CL824" s="2322"/>
      <c r="CM824" s="2322"/>
      <c r="CN824" s="2322"/>
      <c r="CO824" s="2322"/>
      <c r="CP824" s="2322"/>
      <c r="CQ824" s="2322"/>
      <c r="CR824" s="2322"/>
      <c r="CS824" s="2322"/>
      <c r="CT824" s="2322"/>
      <c r="CU824" s="2322"/>
      <c r="CV824" s="2322"/>
    </row>
    <row r="825" spans="1:100" ht="15.75" customHeight="1">
      <c r="A825" s="2328"/>
      <c r="B825" s="2322"/>
      <c r="C825" s="2322"/>
      <c r="D825" s="2322"/>
      <c r="E825" s="2322"/>
      <c r="F825" s="2322"/>
      <c r="G825" s="2322"/>
      <c r="H825" s="2322"/>
      <c r="I825" s="2322"/>
      <c r="J825" s="2322"/>
      <c r="K825" s="2322"/>
      <c r="L825" s="2322"/>
      <c r="M825" s="2322"/>
      <c r="N825" s="2322"/>
      <c r="O825" s="2322"/>
      <c r="P825" s="2322"/>
      <c r="Q825" s="2322"/>
      <c r="R825" s="2322"/>
      <c r="S825" s="2322"/>
      <c r="T825" s="2322"/>
      <c r="U825" s="2322"/>
      <c r="V825" s="2322"/>
      <c r="W825" s="2322"/>
      <c r="X825" s="2322"/>
      <c r="Y825" s="2322"/>
      <c r="Z825" s="2322"/>
      <c r="AA825" s="2322"/>
      <c r="AB825" s="2322"/>
      <c r="AC825" s="2322"/>
      <c r="AD825" s="2322"/>
      <c r="AE825" s="2322"/>
      <c r="AF825" s="2322"/>
      <c r="AG825" s="2322"/>
      <c r="AH825" s="2322"/>
      <c r="AI825" s="2322"/>
      <c r="AJ825" s="2322"/>
      <c r="AK825" s="2322"/>
      <c r="AL825" s="2322"/>
      <c r="AM825" s="2322"/>
      <c r="AN825" s="2322"/>
      <c r="AO825" s="2322"/>
      <c r="AP825" s="2322"/>
      <c r="AQ825" s="2322"/>
      <c r="AR825" s="2322"/>
      <c r="AS825" s="2322"/>
      <c r="AT825" s="2322"/>
      <c r="AU825" s="2322"/>
      <c r="AV825" s="2322"/>
      <c r="AW825" s="2322"/>
      <c r="AX825" s="2322"/>
      <c r="AY825" s="2322"/>
      <c r="AZ825" s="2322"/>
      <c r="BA825" s="2322"/>
      <c r="BB825" s="2322"/>
      <c r="BC825" s="2322"/>
      <c r="BD825" s="2322"/>
      <c r="BE825" s="2322"/>
      <c r="BF825" s="2322"/>
      <c r="BG825" s="2322"/>
      <c r="BH825" s="2322"/>
      <c r="BI825" s="2322"/>
      <c r="BJ825" s="2322"/>
      <c r="BK825" s="2322"/>
      <c r="BL825" s="2322"/>
      <c r="BM825" s="2322"/>
      <c r="BN825" s="2322"/>
      <c r="BO825" s="2322"/>
      <c r="BP825" s="2322"/>
      <c r="BQ825" s="2322"/>
      <c r="BR825" s="2322"/>
      <c r="BS825" s="2322"/>
      <c r="BT825" s="2322"/>
      <c r="BU825" s="2322"/>
      <c r="BV825" s="2322"/>
      <c r="BW825" s="2322"/>
      <c r="BX825" s="2322"/>
      <c r="BY825" s="2322"/>
      <c r="BZ825" s="2322"/>
      <c r="CA825" s="2322"/>
      <c r="CB825" s="2322"/>
      <c r="CC825" s="2322"/>
      <c r="CD825" s="2322"/>
      <c r="CE825" s="2322"/>
      <c r="CF825" s="2322"/>
      <c r="CG825" s="2322"/>
      <c r="CH825" s="2322"/>
      <c r="CI825" s="2322"/>
      <c r="CJ825" s="2322"/>
      <c r="CK825" s="2322"/>
      <c r="CL825" s="2322"/>
      <c r="CM825" s="2322"/>
      <c r="CN825" s="2322"/>
      <c r="CO825" s="2322"/>
      <c r="CP825" s="2322"/>
      <c r="CQ825" s="2322"/>
      <c r="CR825" s="2322"/>
      <c r="CS825" s="2322"/>
      <c r="CT825" s="2322"/>
      <c r="CU825" s="2322"/>
      <c r="CV825" s="2322"/>
    </row>
    <row r="826" spans="1:100" ht="15.75" customHeight="1">
      <c r="A826" s="2328"/>
      <c r="B826" s="2322"/>
      <c r="C826" s="2322"/>
      <c r="D826" s="2322"/>
      <c r="E826" s="2322"/>
      <c r="F826" s="2322"/>
      <c r="G826" s="2322"/>
      <c r="H826" s="2322"/>
      <c r="I826" s="2322"/>
      <c r="J826" s="2322"/>
      <c r="K826" s="2322"/>
      <c r="L826" s="2322"/>
      <c r="M826" s="2322"/>
      <c r="N826" s="2322"/>
      <c r="O826" s="2322"/>
      <c r="P826" s="2322"/>
      <c r="Q826" s="2322"/>
      <c r="R826" s="2322"/>
      <c r="S826" s="2322"/>
      <c r="T826" s="2322"/>
      <c r="U826" s="2322"/>
      <c r="V826" s="2322"/>
      <c r="W826" s="2322"/>
      <c r="X826" s="2322"/>
      <c r="Y826" s="2322"/>
      <c r="Z826" s="2322"/>
      <c r="AA826" s="2322"/>
      <c r="AB826" s="2322"/>
      <c r="AC826" s="2322"/>
      <c r="AD826" s="2322"/>
      <c r="AE826" s="2322"/>
      <c r="AF826" s="2322"/>
      <c r="AG826" s="2322"/>
      <c r="AH826" s="2322"/>
      <c r="AI826" s="2322"/>
      <c r="AJ826" s="2322"/>
      <c r="AK826" s="2322"/>
      <c r="AL826" s="2322"/>
      <c r="AM826" s="2322"/>
      <c r="AN826" s="2322"/>
      <c r="AO826" s="2322"/>
      <c r="AP826" s="2322"/>
      <c r="AQ826" s="2322"/>
      <c r="AR826" s="2322"/>
      <c r="AS826" s="2322"/>
      <c r="AT826" s="2322"/>
      <c r="AU826" s="2322"/>
      <c r="AV826" s="2322"/>
      <c r="AW826" s="2322"/>
      <c r="AX826" s="2322"/>
      <c r="AY826" s="2322"/>
      <c r="AZ826" s="2322"/>
      <c r="BA826" s="2322"/>
      <c r="BB826" s="2322"/>
      <c r="BC826" s="2322"/>
      <c r="BD826" s="2322"/>
      <c r="BE826" s="2322"/>
      <c r="BF826" s="2322"/>
      <c r="BG826" s="2322"/>
      <c r="BH826" s="2322"/>
      <c r="BI826" s="2322"/>
      <c r="BJ826" s="2322"/>
      <c r="BK826" s="2322"/>
      <c r="BL826" s="2322"/>
      <c r="BM826" s="2322"/>
      <c r="BN826" s="2322"/>
      <c r="BO826" s="2322"/>
      <c r="BP826" s="2322"/>
      <c r="BQ826" s="2322"/>
      <c r="BR826" s="2322"/>
      <c r="BS826" s="2322"/>
      <c r="BT826" s="2322"/>
      <c r="BU826" s="2322"/>
      <c r="BV826" s="2322"/>
      <c r="BW826" s="2322"/>
      <c r="BX826" s="2322"/>
      <c r="BY826" s="2322"/>
      <c r="BZ826" s="2322"/>
      <c r="CA826" s="2322"/>
      <c r="CB826" s="2322"/>
      <c r="CC826" s="2322"/>
      <c r="CD826" s="2322"/>
      <c r="CE826" s="2322"/>
      <c r="CF826" s="2322"/>
      <c r="CG826" s="2322"/>
      <c r="CH826" s="2322"/>
      <c r="CI826" s="2322"/>
      <c r="CJ826" s="2322"/>
      <c r="CK826" s="2322"/>
      <c r="CL826" s="2322"/>
      <c r="CM826" s="2322"/>
      <c r="CN826" s="2322"/>
      <c r="CO826" s="2322"/>
      <c r="CP826" s="2322"/>
      <c r="CQ826" s="2322"/>
      <c r="CR826" s="2322"/>
      <c r="CS826" s="2322"/>
      <c r="CT826" s="2322"/>
      <c r="CU826" s="2322"/>
      <c r="CV826" s="2322"/>
    </row>
    <row r="827" spans="1:100" ht="15.75" customHeight="1">
      <c r="A827" s="2328"/>
      <c r="B827" s="2322"/>
      <c r="C827" s="2322"/>
      <c r="D827" s="2322"/>
      <c r="E827" s="2322"/>
      <c r="F827" s="2322"/>
      <c r="G827" s="2322"/>
      <c r="H827" s="2322"/>
      <c r="I827" s="2322"/>
      <c r="J827" s="2322"/>
      <c r="K827" s="2322"/>
      <c r="L827" s="2322"/>
      <c r="M827" s="2322"/>
      <c r="N827" s="2322"/>
      <c r="O827" s="2322"/>
      <c r="P827" s="2322"/>
      <c r="Q827" s="2322"/>
      <c r="R827" s="2322"/>
      <c r="S827" s="2322"/>
      <c r="T827" s="2322"/>
      <c r="U827" s="2322"/>
      <c r="V827" s="2322"/>
      <c r="W827" s="2322"/>
      <c r="X827" s="2322"/>
      <c r="Y827" s="2322"/>
      <c r="Z827" s="2322"/>
      <c r="AA827" s="2322"/>
      <c r="AB827" s="2322"/>
      <c r="AC827" s="2322"/>
      <c r="AD827" s="2322"/>
      <c r="AE827" s="2322"/>
      <c r="AF827" s="2322"/>
      <c r="AG827" s="2322"/>
      <c r="AH827" s="2322"/>
      <c r="AI827" s="2322"/>
      <c r="AJ827" s="2322"/>
      <c r="AK827" s="2322"/>
      <c r="AL827" s="2322"/>
      <c r="AM827" s="2322"/>
      <c r="AN827" s="2322"/>
      <c r="AO827" s="2322"/>
      <c r="AP827" s="2322"/>
      <c r="AQ827" s="2322"/>
      <c r="AR827" s="2322"/>
      <c r="AS827" s="2322"/>
      <c r="AT827" s="2322"/>
      <c r="AU827" s="2322"/>
      <c r="AV827" s="2322"/>
      <c r="AW827" s="2322"/>
      <c r="AX827" s="2322"/>
      <c r="AY827" s="2322"/>
      <c r="AZ827" s="2322"/>
      <c r="BA827" s="2322"/>
      <c r="BB827" s="2322"/>
      <c r="BC827" s="2322"/>
      <c r="BD827" s="2322"/>
      <c r="BE827" s="2322"/>
      <c r="BF827" s="2322"/>
      <c r="BG827" s="2322"/>
      <c r="BH827" s="2322"/>
      <c r="BI827" s="2322"/>
      <c r="BJ827" s="2322"/>
      <c r="BK827" s="2322"/>
      <c r="BL827" s="2322"/>
      <c r="BM827" s="2322"/>
      <c r="BN827" s="2322"/>
      <c r="BO827" s="2322"/>
      <c r="BP827" s="2322"/>
      <c r="BQ827" s="2322"/>
      <c r="BR827" s="2322"/>
      <c r="BS827" s="2322"/>
      <c r="BT827" s="2322"/>
      <c r="BU827" s="2322"/>
      <c r="BV827" s="2322"/>
      <c r="BW827" s="2322"/>
      <c r="BX827" s="2322"/>
      <c r="BY827" s="2322"/>
      <c r="BZ827" s="2322"/>
      <c r="CA827" s="2322"/>
      <c r="CB827" s="2322"/>
      <c r="CC827" s="2322"/>
      <c r="CD827" s="2322"/>
      <c r="CE827" s="2322"/>
      <c r="CF827" s="2322"/>
      <c r="CG827" s="2322"/>
      <c r="CH827" s="2322"/>
      <c r="CI827" s="2322"/>
      <c r="CJ827" s="2322"/>
      <c r="CK827" s="2322"/>
      <c r="CL827" s="2322"/>
      <c r="CM827" s="2322"/>
      <c r="CN827" s="2322"/>
      <c r="CO827" s="2322"/>
      <c r="CP827" s="2322"/>
      <c r="CQ827" s="2322"/>
      <c r="CR827" s="2322"/>
      <c r="CS827" s="2322"/>
      <c r="CT827" s="2322"/>
      <c r="CU827" s="2322"/>
      <c r="CV827" s="2322"/>
    </row>
    <row r="828" spans="1:100" ht="15.75" customHeight="1">
      <c r="A828" s="2328"/>
      <c r="B828" s="2322"/>
      <c r="C828" s="2322"/>
      <c r="D828" s="2322"/>
      <c r="E828" s="2322"/>
      <c r="F828" s="2322"/>
      <c r="G828" s="2322"/>
      <c r="H828" s="2322"/>
      <c r="I828" s="2322"/>
      <c r="J828" s="2322"/>
      <c r="K828" s="2322"/>
      <c r="L828" s="2322"/>
      <c r="M828" s="2322"/>
      <c r="N828" s="2322"/>
      <c r="O828" s="2322"/>
      <c r="P828" s="2322"/>
      <c r="Q828" s="2322"/>
      <c r="R828" s="2322"/>
      <c r="S828" s="2322"/>
      <c r="T828" s="2322"/>
      <c r="U828" s="2322"/>
      <c r="V828" s="2322"/>
      <c r="W828" s="2322"/>
      <c r="X828" s="2322"/>
      <c r="Y828" s="2322"/>
      <c r="Z828" s="2322"/>
      <c r="AA828" s="2322"/>
      <c r="AB828" s="2322"/>
      <c r="AC828" s="2322"/>
      <c r="AD828" s="2322"/>
      <c r="AE828" s="2322"/>
      <c r="AF828" s="2322"/>
      <c r="AG828" s="2322"/>
      <c r="AH828" s="2322"/>
      <c r="AI828" s="2322"/>
      <c r="AJ828" s="2322"/>
      <c r="AK828" s="2322"/>
      <c r="AL828" s="2322"/>
      <c r="AM828" s="2322"/>
      <c r="AN828" s="2322"/>
      <c r="AO828" s="2322"/>
      <c r="AP828" s="2322"/>
      <c r="AQ828" s="2322"/>
      <c r="AR828" s="2322"/>
      <c r="AS828" s="2322"/>
      <c r="AT828" s="2322"/>
      <c r="AU828" s="2322"/>
      <c r="AV828" s="2322"/>
      <c r="AW828" s="2322"/>
      <c r="AX828" s="2322"/>
      <c r="AY828" s="2322"/>
      <c r="AZ828" s="2322"/>
      <c r="BA828" s="2322"/>
      <c r="BB828" s="2322"/>
      <c r="BC828" s="2322"/>
      <c r="BD828" s="2322"/>
      <c r="BE828" s="2322"/>
      <c r="BF828" s="2322"/>
      <c r="BG828" s="2322"/>
      <c r="BH828" s="2322"/>
      <c r="BI828" s="2322"/>
      <c r="BJ828" s="2322"/>
      <c r="BK828" s="2322"/>
      <c r="BL828" s="2322"/>
      <c r="BM828" s="2322"/>
      <c r="BN828" s="2322"/>
      <c r="BO828" s="2322"/>
      <c r="BP828" s="2322"/>
      <c r="BQ828" s="2322"/>
      <c r="BR828" s="2322"/>
      <c r="BS828" s="2322"/>
      <c r="BT828" s="2322"/>
      <c r="BU828" s="2322"/>
      <c r="BV828" s="2322"/>
      <c r="BW828" s="2322"/>
      <c r="BX828" s="2322"/>
      <c r="BY828" s="2322"/>
      <c r="BZ828" s="2322"/>
      <c r="CA828" s="2322"/>
      <c r="CB828" s="2322"/>
      <c r="CC828" s="2322"/>
      <c r="CD828" s="2322"/>
      <c r="CE828" s="2322"/>
      <c r="CF828" s="2322"/>
      <c r="CG828" s="2322"/>
      <c r="CH828" s="2322"/>
      <c r="CI828" s="2322"/>
      <c r="CJ828" s="2322"/>
      <c r="CK828" s="2322"/>
      <c r="CL828" s="2322"/>
      <c r="CM828" s="2322"/>
      <c r="CN828" s="2322"/>
      <c r="CO828" s="2322"/>
      <c r="CP828" s="2322"/>
      <c r="CQ828" s="2322"/>
      <c r="CR828" s="2322"/>
      <c r="CS828" s="2322"/>
      <c r="CT828" s="2322"/>
      <c r="CU828" s="2322"/>
      <c r="CV828" s="2322"/>
    </row>
    <row r="829" spans="1:100" ht="15.75" customHeight="1">
      <c r="A829" s="2328"/>
      <c r="B829" s="2322"/>
      <c r="C829" s="2322"/>
      <c r="D829" s="2322"/>
      <c r="E829" s="2322"/>
      <c r="F829" s="2322"/>
      <c r="G829" s="2322"/>
      <c r="H829" s="2322"/>
      <c r="I829" s="2322"/>
      <c r="J829" s="2322"/>
      <c r="K829" s="2322"/>
      <c r="L829" s="2322"/>
      <c r="M829" s="2322"/>
      <c r="N829" s="2322"/>
      <c r="O829" s="2322"/>
      <c r="P829" s="2322"/>
      <c r="Q829" s="2322"/>
      <c r="R829" s="2322"/>
      <c r="S829" s="2322"/>
      <c r="T829" s="2322"/>
      <c r="U829" s="2322"/>
      <c r="V829" s="2322"/>
      <c r="W829" s="2322"/>
      <c r="X829" s="2322"/>
      <c r="Y829" s="2322"/>
      <c r="Z829" s="2322"/>
      <c r="AA829" s="2322"/>
      <c r="AB829" s="2322"/>
      <c r="AC829" s="2322"/>
      <c r="AD829" s="2322"/>
      <c r="AE829" s="2322"/>
      <c r="AF829" s="2322"/>
      <c r="AG829" s="2322"/>
      <c r="AH829" s="2322"/>
      <c r="AI829" s="2322"/>
      <c r="AJ829" s="2322"/>
      <c r="AK829" s="2322"/>
      <c r="AL829" s="2322"/>
      <c r="AM829" s="2322"/>
      <c r="AN829" s="2322"/>
      <c r="AO829" s="2322"/>
      <c r="AP829" s="2322"/>
      <c r="AQ829" s="2322"/>
      <c r="AR829" s="2322"/>
      <c r="AS829" s="2322"/>
      <c r="AT829" s="2322"/>
      <c r="AU829" s="2322"/>
      <c r="AV829" s="2322"/>
      <c r="AW829" s="2322"/>
      <c r="AX829" s="2322"/>
      <c r="AY829" s="2322"/>
      <c r="AZ829" s="2322"/>
      <c r="BA829" s="2322"/>
      <c r="BB829" s="2322"/>
      <c r="BC829" s="2322"/>
      <c r="BD829" s="2322"/>
      <c r="BE829" s="2322"/>
      <c r="BF829" s="2322"/>
      <c r="BG829" s="2322"/>
      <c r="BH829" s="2322"/>
      <c r="BI829" s="2322"/>
      <c r="BJ829" s="2322"/>
      <c r="BK829" s="2322"/>
      <c r="BL829" s="2322"/>
      <c r="BM829" s="2322"/>
      <c r="BN829" s="2322"/>
      <c r="BO829" s="2322"/>
      <c r="BP829" s="2322"/>
      <c r="BQ829" s="2322"/>
      <c r="BR829" s="2322"/>
      <c r="BS829" s="2322"/>
      <c r="BT829" s="2322"/>
      <c r="BU829" s="2322"/>
      <c r="BV829" s="2322"/>
      <c r="BW829" s="2322"/>
      <c r="BX829" s="2322"/>
      <c r="BY829" s="2322"/>
      <c r="BZ829" s="2322"/>
      <c r="CA829" s="2322"/>
      <c r="CB829" s="2322"/>
      <c r="CC829" s="2322"/>
      <c r="CD829" s="2322"/>
      <c r="CE829" s="2322"/>
      <c r="CF829" s="2322"/>
      <c r="CG829" s="2322"/>
      <c r="CH829" s="2322"/>
      <c r="CI829" s="2322"/>
      <c r="CJ829" s="2322"/>
      <c r="CK829" s="2322"/>
      <c r="CL829" s="2322"/>
      <c r="CM829" s="2322"/>
      <c r="CN829" s="2322"/>
      <c r="CO829" s="2322"/>
      <c r="CP829" s="2322"/>
      <c r="CQ829" s="2322"/>
      <c r="CR829" s="2322"/>
      <c r="CS829" s="2322"/>
      <c r="CT829" s="2322"/>
      <c r="CU829" s="2322"/>
      <c r="CV829" s="2322"/>
    </row>
    <row r="830" spans="1:100" ht="15.75" customHeight="1">
      <c r="A830" s="2328"/>
      <c r="B830" s="2322"/>
      <c r="C830" s="2322"/>
      <c r="D830" s="2322"/>
      <c r="E830" s="2322"/>
      <c r="F830" s="2322"/>
      <c r="G830" s="2322"/>
      <c r="H830" s="2322"/>
      <c r="I830" s="2322"/>
      <c r="J830" s="2322"/>
      <c r="K830" s="2322"/>
      <c r="L830" s="2322"/>
      <c r="M830" s="2322"/>
      <c r="N830" s="2322"/>
      <c r="O830" s="2322"/>
      <c r="P830" s="2322"/>
      <c r="Q830" s="2322"/>
      <c r="R830" s="2322"/>
      <c r="S830" s="2322"/>
      <c r="T830" s="2322"/>
      <c r="U830" s="2322"/>
      <c r="V830" s="2322"/>
      <c r="W830" s="2322"/>
      <c r="X830" s="2322"/>
      <c r="Y830" s="2322"/>
      <c r="Z830" s="2322"/>
      <c r="AA830" s="2322"/>
      <c r="AB830" s="2322"/>
      <c r="AC830" s="2322"/>
      <c r="AD830" s="2322"/>
      <c r="AE830" s="2322"/>
      <c r="AF830" s="2322"/>
      <c r="AG830" s="2322"/>
      <c r="AH830" s="2322"/>
      <c r="AI830" s="2322"/>
      <c r="AJ830" s="2322"/>
      <c r="AK830" s="2322"/>
      <c r="AL830" s="2322"/>
      <c r="AM830" s="2322"/>
      <c r="AN830" s="2322"/>
      <c r="AO830" s="2322"/>
      <c r="AP830" s="2322"/>
      <c r="AQ830" s="2322"/>
      <c r="AR830" s="2322"/>
      <c r="AS830" s="2322"/>
      <c r="AT830" s="2322"/>
      <c r="AU830" s="2322"/>
      <c r="AV830" s="2322"/>
      <c r="AW830" s="2322"/>
      <c r="AX830" s="2322"/>
      <c r="AY830" s="2322"/>
      <c r="AZ830" s="2322"/>
      <c r="BA830" s="2322"/>
      <c r="BB830" s="2322"/>
      <c r="BC830" s="2322"/>
      <c r="BD830" s="2322"/>
      <c r="BE830" s="2322"/>
      <c r="BF830" s="2322"/>
      <c r="BG830" s="2322"/>
      <c r="BH830" s="2322"/>
      <c r="BI830" s="2322"/>
      <c r="BJ830" s="2322"/>
      <c r="BK830" s="2322"/>
      <c r="BL830" s="2322"/>
      <c r="BM830" s="2322"/>
      <c r="BN830" s="2322"/>
      <c r="BO830" s="2322"/>
      <c r="BP830" s="2322"/>
      <c r="BQ830" s="2322"/>
      <c r="BR830" s="2322"/>
      <c r="BS830" s="2322"/>
      <c r="BT830" s="2322"/>
      <c r="BU830" s="2322"/>
      <c r="BV830" s="2322"/>
      <c r="BW830" s="2322"/>
      <c r="BX830" s="2322"/>
      <c r="BY830" s="2322"/>
      <c r="BZ830" s="2322"/>
      <c r="CA830" s="2322"/>
      <c r="CB830" s="2322"/>
      <c r="CC830" s="2322"/>
      <c r="CD830" s="2322"/>
      <c r="CE830" s="2322"/>
      <c r="CF830" s="2322"/>
      <c r="CG830" s="2322"/>
      <c r="CH830" s="2322"/>
      <c r="CI830" s="2322"/>
      <c r="CJ830" s="2322"/>
      <c r="CK830" s="2322"/>
      <c r="CL830" s="2322"/>
      <c r="CM830" s="2322"/>
      <c r="CN830" s="2322"/>
      <c r="CO830" s="2322"/>
      <c r="CP830" s="2322"/>
      <c r="CQ830" s="2322"/>
      <c r="CR830" s="2322"/>
      <c r="CS830" s="2322"/>
      <c r="CT830" s="2322"/>
      <c r="CU830" s="2322"/>
      <c r="CV830" s="2322"/>
    </row>
    <row r="831" spans="1:100" ht="15.75" customHeight="1">
      <c r="A831" s="2328"/>
      <c r="B831" s="2322"/>
      <c r="C831" s="2322"/>
      <c r="D831" s="2322"/>
      <c r="E831" s="2322"/>
      <c r="F831" s="2322"/>
      <c r="G831" s="2322"/>
      <c r="H831" s="2322"/>
      <c r="I831" s="2322"/>
      <c r="J831" s="2322"/>
      <c r="K831" s="2322"/>
      <c r="L831" s="2322"/>
      <c r="M831" s="2322"/>
      <c r="N831" s="2322"/>
      <c r="O831" s="2322"/>
      <c r="P831" s="2322"/>
      <c r="Q831" s="2322"/>
      <c r="R831" s="2322"/>
      <c r="S831" s="2322"/>
      <c r="T831" s="2322"/>
      <c r="U831" s="2322"/>
      <c r="V831" s="2322"/>
      <c r="W831" s="2322"/>
      <c r="X831" s="2322"/>
      <c r="Y831" s="2322"/>
      <c r="Z831" s="2322"/>
      <c r="AA831" s="2322"/>
      <c r="AB831" s="2322"/>
      <c r="AC831" s="2322"/>
      <c r="AD831" s="2322"/>
      <c r="AE831" s="2322"/>
      <c r="AF831" s="2322"/>
      <c r="AG831" s="2322"/>
      <c r="AH831" s="2322"/>
      <c r="AI831" s="2322"/>
      <c r="AJ831" s="2322"/>
      <c r="AK831" s="2322"/>
      <c r="AL831" s="2322"/>
      <c r="AM831" s="2322"/>
      <c r="AN831" s="2322"/>
      <c r="AO831" s="2322"/>
      <c r="AP831" s="2322"/>
      <c r="AQ831" s="2322"/>
      <c r="AR831" s="2322"/>
      <c r="AS831" s="2322"/>
      <c r="AT831" s="2322"/>
      <c r="AU831" s="2322"/>
      <c r="AV831" s="2322"/>
      <c r="AW831" s="2322"/>
      <c r="AX831" s="2322"/>
      <c r="AY831" s="2322"/>
      <c r="AZ831" s="2322"/>
      <c r="BA831" s="2322"/>
      <c r="BB831" s="2322"/>
      <c r="BC831" s="2322"/>
      <c r="BD831" s="2322"/>
      <c r="BE831" s="2322"/>
      <c r="BF831" s="2322"/>
      <c r="BG831" s="2322"/>
      <c r="BH831" s="2322"/>
      <c r="BI831" s="2322"/>
      <c r="BJ831" s="2322"/>
      <c r="BK831" s="2322"/>
      <c r="BL831" s="2322"/>
      <c r="BM831" s="2322"/>
      <c r="BN831" s="2322"/>
      <c r="BO831" s="2322"/>
      <c r="BP831" s="2322"/>
      <c r="BQ831" s="2322"/>
      <c r="BR831" s="2322"/>
      <c r="BS831" s="2322"/>
      <c r="BT831" s="2322"/>
      <c r="BU831" s="2322"/>
      <c r="BV831" s="2322"/>
      <c r="BW831" s="2322"/>
      <c r="BX831" s="2322"/>
      <c r="BY831" s="2322"/>
      <c r="BZ831" s="2322"/>
      <c r="CA831" s="2322"/>
      <c r="CB831" s="2322"/>
      <c r="CC831" s="2322"/>
      <c r="CD831" s="2322"/>
      <c r="CE831" s="2322"/>
      <c r="CF831" s="2322"/>
      <c r="CG831" s="2322"/>
      <c r="CH831" s="2322"/>
      <c r="CI831" s="2322"/>
      <c r="CJ831" s="2322"/>
      <c r="CK831" s="2322"/>
      <c r="CL831" s="2322"/>
      <c r="CM831" s="2322"/>
      <c r="CN831" s="2322"/>
      <c r="CO831" s="2322"/>
      <c r="CP831" s="2322"/>
      <c r="CQ831" s="2322"/>
      <c r="CR831" s="2322"/>
      <c r="CS831" s="2322"/>
      <c r="CT831" s="2322"/>
      <c r="CU831" s="2322"/>
      <c r="CV831" s="2322"/>
    </row>
    <row r="832" spans="1:100" ht="15.75" customHeight="1">
      <c r="A832" s="2328"/>
      <c r="B832" s="2322"/>
      <c r="C832" s="2322"/>
      <c r="D832" s="2322"/>
      <c r="E832" s="2322"/>
      <c r="F832" s="2322"/>
      <c r="G832" s="2322"/>
      <c r="H832" s="2322"/>
      <c r="I832" s="2322"/>
      <c r="J832" s="2322"/>
      <c r="K832" s="2322"/>
      <c r="L832" s="2322"/>
      <c r="M832" s="2322"/>
      <c r="N832" s="2322"/>
      <c r="O832" s="2322"/>
      <c r="P832" s="2322"/>
      <c r="Q832" s="2322"/>
      <c r="R832" s="2322"/>
      <c r="S832" s="2322"/>
      <c r="T832" s="2322"/>
      <c r="U832" s="2322"/>
      <c r="V832" s="2322"/>
      <c r="W832" s="2322"/>
      <c r="X832" s="2322"/>
      <c r="Y832" s="2322"/>
      <c r="Z832" s="2322"/>
      <c r="AA832" s="2322"/>
      <c r="AB832" s="2322"/>
      <c r="AC832" s="2322"/>
      <c r="AD832" s="2322"/>
      <c r="AE832" s="2322"/>
      <c r="AF832" s="2322"/>
      <c r="AG832" s="2322"/>
      <c r="AH832" s="2322"/>
      <c r="AI832" s="2322"/>
      <c r="AJ832" s="2322"/>
      <c r="AK832" s="2322"/>
      <c r="AL832" s="2322"/>
      <c r="AM832" s="2322"/>
      <c r="AN832" s="2322"/>
      <c r="AO832" s="2322"/>
      <c r="AP832" s="2322"/>
      <c r="AQ832" s="2322"/>
      <c r="AR832" s="2322"/>
      <c r="AS832" s="2322"/>
      <c r="AT832" s="2322"/>
      <c r="AU832" s="2322"/>
      <c r="AV832" s="2322"/>
      <c r="AW832" s="2322"/>
      <c r="AX832" s="2322"/>
      <c r="AY832" s="2322"/>
      <c r="AZ832" s="2322"/>
      <c r="BA832" s="2322"/>
      <c r="BB832" s="2322"/>
      <c r="BC832" s="2322"/>
      <c r="BD832" s="2322"/>
      <c r="BE832" s="2322"/>
      <c r="BF832" s="2322"/>
      <c r="BG832" s="2322"/>
      <c r="BH832" s="2322"/>
      <c r="BI832" s="2322"/>
      <c r="BJ832" s="2322"/>
      <c r="BK832" s="2322"/>
      <c r="BL832" s="2322"/>
      <c r="BM832" s="2322"/>
      <c r="BN832" s="2322"/>
      <c r="BO832" s="2322"/>
      <c r="BP832" s="2322"/>
      <c r="BQ832" s="2322"/>
      <c r="BR832" s="2322"/>
      <c r="BS832" s="2322"/>
      <c r="BT832" s="2322"/>
      <c r="BU832" s="2322"/>
      <c r="BV832" s="2322"/>
      <c r="BW832" s="2322"/>
      <c r="BX832" s="2322"/>
      <c r="BY832" s="2322"/>
      <c r="BZ832" s="2322"/>
      <c r="CA832" s="2322"/>
      <c r="CB832" s="2322"/>
      <c r="CC832" s="2322"/>
      <c r="CD832" s="2322"/>
      <c r="CE832" s="2322"/>
      <c r="CF832" s="2322"/>
      <c r="CG832" s="2322"/>
      <c r="CH832" s="2322"/>
      <c r="CI832" s="2322"/>
      <c r="CJ832" s="2322"/>
      <c r="CK832" s="2322"/>
      <c r="CL832" s="2322"/>
      <c r="CM832" s="2322"/>
      <c r="CN832" s="2322"/>
      <c r="CO832" s="2322"/>
      <c r="CP832" s="2322"/>
      <c r="CQ832" s="2322"/>
      <c r="CR832" s="2322"/>
      <c r="CS832" s="2322"/>
      <c r="CT832" s="2322"/>
      <c r="CU832" s="2322"/>
      <c r="CV832" s="2322"/>
    </row>
    <row r="833" spans="1:100" ht="15.75" customHeight="1">
      <c r="A833" s="2328"/>
      <c r="B833" s="2322"/>
      <c r="C833" s="2322"/>
      <c r="D833" s="2322"/>
      <c r="E833" s="2322"/>
      <c r="F833" s="2322"/>
      <c r="G833" s="2322"/>
      <c r="H833" s="2322"/>
      <c r="I833" s="2322"/>
      <c r="J833" s="2322"/>
      <c r="K833" s="2322"/>
      <c r="L833" s="2322"/>
      <c r="M833" s="2322"/>
      <c r="N833" s="2322"/>
      <c r="O833" s="2322"/>
      <c r="P833" s="2322"/>
      <c r="Q833" s="2322"/>
      <c r="R833" s="2322"/>
      <c r="S833" s="2322"/>
      <c r="T833" s="2322"/>
      <c r="U833" s="2322"/>
      <c r="V833" s="2322"/>
      <c r="W833" s="2322"/>
      <c r="X833" s="2322"/>
      <c r="Y833" s="2322"/>
      <c r="Z833" s="2322"/>
      <c r="AA833" s="2322"/>
      <c r="AB833" s="2322"/>
      <c r="AC833" s="2322"/>
      <c r="AD833" s="2322"/>
      <c r="AE833" s="2322"/>
      <c r="AF833" s="2322"/>
      <c r="AG833" s="2322"/>
      <c r="AH833" s="2322"/>
      <c r="AI833" s="2322"/>
      <c r="AJ833" s="2322"/>
      <c r="AK833" s="2322"/>
      <c r="AL833" s="2322"/>
      <c r="AM833" s="2322"/>
      <c r="AN833" s="2322"/>
      <c r="AO833" s="2322"/>
      <c r="AP833" s="2322"/>
      <c r="AQ833" s="2322"/>
      <c r="AR833" s="2322"/>
      <c r="AS833" s="2322"/>
      <c r="AT833" s="2322"/>
      <c r="AU833" s="2322"/>
      <c r="AV833" s="2322"/>
      <c r="AW833" s="2322"/>
      <c r="AX833" s="2322"/>
      <c r="AY833" s="2322"/>
      <c r="AZ833" s="2322"/>
      <c r="BA833" s="2322"/>
      <c r="BB833" s="2322"/>
      <c r="BC833" s="2322"/>
      <c r="BD833" s="2322"/>
      <c r="BE833" s="2322"/>
      <c r="BF833" s="2322"/>
      <c r="BG833" s="2322"/>
      <c r="BH833" s="2322"/>
      <c r="BI833" s="2322"/>
      <c r="BJ833" s="2322"/>
      <c r="BK833" s="2322"/>
      <c r="BL833" s="2322"/>
      <c r="BM833" s="2322"/>
      <c r="BN833" s="2322"/>
      <c r="BO833" s="2322"/>
      <c r="BP833" s="2322"/>
      <c r="BQ833" s="2322"/>
      <c r="BR833" s="2322"/>
      <c r="BS833" s="2322"/>
      <c r="BT833" s="2322"/>
      <c r="BU833" s="2322"/>
      <c r="BV833" s="2322"/>
      <c r="BW833" s="2322"/>
      <c r="BX833" s="2322"/>
      <c r="BY833" s="2322"/>
      <c r="BZ833" s="2322"/>
      <c r="CA833" s="2322"/>
      <c r="CB833" s="2322"/>
      <c r="CC833" s="2322"/>
      <c r="CD833" s="2322"/>
      <c r="CE833" s="2322"/>
      <c r="CF833" s="2322"/>
      <c r="CG833" s="2322"/>
      <c r="CH833" s="2322"/>
      <c r="CI833" s="2322"/>
      <c r="CJ833" s="2322"/>
      <c r="CK833" s="2322"/>
      <c r="CL833" s="2322"/>
      <c r="CM833" s="2322"/>
      <c r="CN833" s="2322"/>
      <c r="CO833" s="2322"/>
      <c r="CP833" s="2322"/>
      <c r="CQ833" s="2322"/>
      <c r="CR833" s="2322"/>
      <c r="CS833" s="2322"/>
      <c r="CT833" s="2322"/>
      <c r="CU833" s="2322"/>
      <c r="CV833" s="2322"/>
    </row>
    <row r="834" spans="1:100" ht="15.75" customHeight="1">
      <c r="A834" s="2328"/>
      <c r="B834" s="2322"/>
      <c r="C834" s="2322"/>
      <c r="D834" s="2322"/>
      <c r="E834" s="2322"/>
      <c r="F834" s="2322"/>
      <c r="G834" s="2322"/>
      <c r="H834" s="2322"/>
      <c r="I834" s="2322"/>
      <c r="J834" s="2322"/>
      <c r="K834" s="2322"/>
      <c r="L834" s="2322"/>
      <c r="M834" s="2322"/>
      <c r="N834" s="2322"/>
      <c r="O834" s="2322"/>
      <c r="P834" s="2322"/>
      <c r="Q834" s="2322"/>
      <c r="R834" s="2322"/>
      <c r="S834" s="2322"/>
      <c r="T834" s="2322"/>
      <c r="U834" s="2322"/>
      <c r="V834" s="2322"/>
      <c r="W834" s="2322"/>
      <c r="X834" s="2322"/>
      <c r="Y834" s="2322"/>
      <c r="Z834" s="2322"/>
      <c r="AA834" s="2322"/>
      <c r="AB834" s="2322"/>
      <c r="AC834" s="2322"/>
      <c r="AD834" s="2322"/>
      <c r="AE834" s="2322"/>
      <c r="AF834" s="2322"/>
      <c r="AG834" s="2322"/>
      <c r="AH834" s="2322"/>
      <c r="AI834" s="2322"/>
      <c r="AJ834" s="2322"/>
      <c r="AK834" s="2322"/>
      <c r="AL834" s="2322"/>
      <c r="AM834" s="2322"/>
      <c r="AN834" s="2322"/>
      <c r="AO834" s="2322"/>
      <c r="AP834" s="2322"/>
      <c r="AQ834" s="2322"/>
      <c r="AR834" s="2322"/>
      <c r="AS834" s="2322"/>
      <c r="AT834" s="2322"/>
      <c r="AU834" s="2322"/>
      <c r="AV834" s="2322"/>
      <c r="AW834" s="2322"/>
      <c r="AX834" s="2322"/>
      <c r="AY834" s="2322"/>
      <c r="AZ834" s="2322"/>
      <c r="BA834" s="2322"/>
      <c r="BB834" s="2322"/>
      <c r="BC834" s="2322"/>
      <c r="BD834" s="2322"/>
      <c r="BE834" s="2322"/>
      <c r="BF834" s="2322"/>
      <c r="BG834" s="2322"/>
      <c r="BH834" s="2322"/>
      <c r="BI834" s="2322"/>
      <c r="BJ834" s="2322"/>
      <c r="BK834" s="2322"/>
      <c r="BL834" s="2322"/>
      <c r="BM834" s="2322"/>
      <c r="BN834" s="2322"/>
      <c r="BO834" s="2322"/>
      <c r="BP834" s="2322"/>
      <c r="BQ834" s="2322"/>
      <c r="BR834" s="2322"/>
      <c r="BS834" s="2322"/>
      <c r="BT834" s="2322"/>
      <c r="BU834" s="2322"/>
      <c r="BV834" s="2322"/>
      <c r="BW834" s="2322"/>
      <c r="BX834" s="2322"/>
      <c r="BY834" s="2322"/>
      <c r="BZ834" s="2322"/>
      <c r="CA834" s="2322"/>
      <c r="CB834" s="2322"/>
      <c r="CC834" s="2322"/>
      <c r="CD834" s="2322"/>
      <c r="CE834" s="2322"/>
      <c r="CF834" s="2322"/>
      <c r="CG834" s="2322"/>
      <c r="CH834" s="2322"/>
      <c r="CI834" s="2322"/>
      <c r="CJ834" s="2322"/>
      <c r="CK834" s="2322"/>
      <c r="CL834" s="2322"/>
      <c r="CM834" s="2322"/>
      <c r="CN834" s="2322"/>
      <c r="CO834" s="2322"/>
      <c r="CP834" s="2322"/>
      <c r="CQ834" s="2322"/>
      <c r="CR834" s="2322"/>
      <c r="CS834" s="2322"/>
      <c r="CT834" s="2322"/>
      <c r="CU834" s="2322"/>
      <c r="CV834" s="2322"/>
    </row>
    <row r="835" spans="1:100" ht="15.75" customHeight="1">
      <c r="A835" s="2328"/>
      <c r="B835" s="2322"/>
      <c r="C835" s="2322"/>
      <c r="D835" s="2322"/>
      <c r="E835" s="2322"/>
      <c r="F835" s="2322"/>
      <c r="G835" s="2322"/>
      <c r="H835" s="2322"/>
      <c r="I835" s="2322"/>
      <c r="J835" s="2322"/>
      <c r="K835" s="2322"/>
      <c r="L835" s="2322"/>
      <c r="M835" s="2322"/>
      <c r="N835" s="2322"/>
      <c r="O835" s="2322"/>
      <c r="P835" s="2322"/>
      <c r="Q835" s="2322"/>
      <c r="R835" s="2322"/>
      <c r="S835" s="2322"/>
      <c r="T835" s="2322"/>
      <c r="U835" s="2322"/>
      <c r="V835" s="2322"/>
      <c r="W835" s="2322"/>
      <c r="X835" s="2322"/>
      <c r="Y835" s="2322"/>
      <c r="Z835" s="2322"/>
      <c r="AA835" s="2322"/>
      <c r="AB835" s="2322"/>
      <c r="AC835" s="2322"/>
      <c r="AD835" s="2322"/>
      <c r="AE835" s="2322"/>
      <c r="AF835" s="2322"/>
      <c r="AG835" s="2322"/>
      <c r="AH835" s="2322"/>
      <c r="AI835" s="2322"/>
      <c r="AJ835" s="2322"/>
      <c r="AK835" s="2322"/>
      <c r="AL835" s="2322"/>
      <c r="AM835" s="2322"/>
      <c r="AN835" s="2322"/>
      <c r="AO835" s="2322"/>
      <c r="AP835" s="2322"/>
      <c r="AQ835" s="2322"/>
      <c r="AR835" s="2322"/>
      <c r="AS835" s="2322"/>
      <c r="AT835" s="2322"/>
      <c r="AU835" s="2322"/>
      <c r="AV835" s="2322"/>
      <c r="AW835" s="2322"/>
      <c r="AX835" s="2322"/>
      <c r="AY835" s="2322"/>
      <c r="AZ835" s="2322"/>
      <c r="BA835" s="2322"/>
      <c r="BB835" s="2322"/>
      <c r="BC835" s="2322"/>
      <c r="BD835" s="2322"/>
      <c r="BE835" s="2322"/>
      <c r="BF835" s="2322"/>
      <c r="BG835" s="2322"/>
      <c r="BH835" s="2322"/>
      <c r="BI835" s="2322"/>
      <c r="BJ835" s="2322"/>
      <c r="BK835" s="2322"/>
      <c r="BL835" s="2322"/>
      <c r="BM835" s="2322"/>
      <c r="BN835" s="2322"/>
      <c r="BO835" s="2322"/>
      <c r="BP835" s="2322"/>
      <c r="BQ835" s="2322"/>
      <c r="BR835" s="2322"/>
      <c r="BS835" s="2322"/>
      <c r="BT835" s="2322"/>
      <c r="BU835" s="2322"/>
      <c r="BV835" s="2322"/>
      <c r="BW835" s="2322"/>
      <c r="BX835" s="2322"/>
      <c r="BY835" s="2322"/>
      <c r="BZ835" s="2322"/>
      <c r="CA835" s="2322"/>
      <c r="CB835" s="2322"/>
      <c r="CC835" s="2322"/>
      <c r="CD835" s="2322"/>
      <c r="CE835" s="2322"/>
      <c r="CF835" s="2322"/>
      <c r="CG835" s="2322"/>
      <c r="CH835" s="2322"/>
      <c r="CI835" s="2322"/>
      <c r="CJ835" s="2322"/>
      <c r="CK835" s="2322"/>
      <c r="CL835" s="2322"/>
      <c r="CM835" s="2322"/>
      <c r="CN835" s="2322"/>
      <c r="CO835" s="2322"/>
      <c r="CP835" s="2322"/>
      <c r="CQ835" s="2322"/>
      <c r="CR835" s="2322"/>
      <c r="CS835" s="2322"/>
      <c r="CT835" s="2322"/>
      <c r="CU835" s="2322"/>
      <c r="CV835" s="2322"/>
    </row>
    <row r="836" spans="1:100" ht="15.75" customHeight="1">
      <c r="A836" s="2328"/>
      <c r="B836" s="2322"/>
      <c r="C836" s="2322"/>
      <c r="D836" s="2322"/>
      <c r="E836" s="2322"/>
      <c r="F836" s="2322"/>
      <c r="G836" s="2322"/>
      <c r="H836" s="2322"/>
      <c r="I836" s="2322"/>
      <c r="J836" s="2322"/>
      <c r="K836" s="2322"/>
      <c r="L836" s="2322"/>
      <c r="M836" s="2322"/>
      <c r="N836" s="2322"/>
      <c r="O836" s="2322"/>
      <c r="P836" s="2322"/>
      <c r="Q836" s="2322"/>
      <c r="R836" s="2322"/>
      <c r="S836" s="2322"/>
      <c r="T836" s="2322"/>
      <c r="U836" s="2322"/>
      <c r="V836" s="2322"/>
      <c r="W836" s="2322"/>
      <c r="X836" s="2322"/>
      <c r="Y836" s="2322"/>
      <c r="Z836" s="2322"/>
      <c r="AA836" s="2322"/>
      <c r="AB836" s="2322"/>
      <c r="AC836" s="2322"/>
      <c r="AD836" s="2322"/>
      <c r="AE836" s="2322"/>
      <c r="AF836" s="2322"/>
      <c r="AG836" s="2322"/>
      <c r="AH836" s="2322"/>
      <c r="AI836" s="2322"/>
      <c r="AJ836" s="2322"/>
      <c r="AK836" s="2322"/>
      <c r="AL836" s="2322"/>
      <c r="AM836" s="2322"/>
      <c r="AN836" s="2322"/>
      <c r="AO836" s="2322"/>
      <c r="AP836" s="2322"/>
      <c r="AQ836" s="2322"/>
      <c r="AR836" s="2322"/>
      <c r="AS836" s="2322"/>
      <c r="AT836" s="2322"/>
      <c r="AU836" s="2322"/>
      <c r="AV836" s="2322"/>
      <c r="AW836" s="2322"/>
      <c r="AX836" s="2322"/>
      <c r="AY836" s="2322"/>
      <c r="AZ836" s="2322"/>
      <c r="BA836" s="2322"/>
      <c r="BB836" s="2322"/>
      <c r="BC836" s="2322"/>
      <c r="BD836" s="2322"/>
      <c r="BE836" s="2322"/>
      <c r="BF836" s="2322"/>
      <c r="BG836" s="2322"/>
      <c r="BH836" s="2322"/>
      <c r="BI836" s="2322"/>
      <c r="BJ836" s="2322"/>
      <c r="BK836" s="2322"/>
      <c r="BL836" s="2322"/>
      <c r="BM836" s="2322"/>
      <c r="BN836" s="2322"/>
      <c r="BO836" s="2322"/>
      <c r="BP836" s="2322"/>
      <c r="BQ836" s="2322"/>
      <c r="BR836" s="2322"/>
      <c r="BS836" s="2322"/>
      <c r="BT836" s="2322"/>
      <c r="BU836" s="2322"/>
      <c r="BV836" s="2322"/>
      <c r="BW836" s="2322"/>
      <c r="BX836" s="2322"/>
      <c r="BY836" s="2322"/>
      <c r="BZ836" s="2322"/>
      <c r="CA836" s="2322"/>
      <c r="CB836" s="2322"/>
      <c r="CC836" s="2322"/>
      <c r="CD836" s="2322"/>
      <c r="CE836" s="2322"/>
      <c r="CF836" s="2322"/>
      <c r="CG836" s="2322"/>
      <c r="CH836" s="2322"/>
      <c r="CI836" s="2322"/>
      <c r="CJ836" s="2322"/>
      <c r="CK836" s="2322"/>
      <c r="CL836" s="2322"/>
      <c r="CM836" s="2322"/>
      <c r="CN836" s="2322"/>
      <c r="CO836" s="2322"/>
      <c r="CP836" s="2322"/>
      <c r="CQ836" s="2322"/>
      <c r="CR836" s="2322"/>
      <c r="CS836" s="2322"/>
      <c r="CT836" s="2322"/>
      <c r="CU836" s="2322"/>
      <c r="CV836" s="2322"/>
    </row>
    <row r="837" spans="1:100" ht="15.75" customHeight="1">
      <c r="A837" s="2328"/>
      <c r="B837" s="2322"/>
      <c r="C837" s="2322"/>
      <c r="D837" s="2322"/>
      <c r="E837" s="2322"/>
      <c r="F837" s="2322"/>
      <c r="G837" s="2322"/>
      <c r="H837" s="2322"/>
      <c r="I837" s="2322"/>
      <c r="J837" s="2322"/>
      <c r="K837" s="2322"/>
      <c r="L837" s="2322"/>
      <c r="M837" s="2322"/>
      <c r="N837" s="2322"/>
      <c r="O837" s="2322"/>
      <c r="P837" s="2322"/>
      <c r="Q837" s="2322"/>
      <c r="R837" s="2322"/>
      <c r="S837" s="2322"/>
      <c r="T837" s="2322"/>
      <c r="U837" s="2322"/>
      <c r="V837" s="2322"/>
      <c r="W837" s="2322"/>
      <c r="X837" s="2322"/>
      <c r="Y837" s="2322"/>
      <c r="Z837" s="2322"/>
      <c r="AA837" s="2322"/>
      <c r="AB837" s="2322"/>
      <c r="AC837" s="2322"/>
      <c r="AD837" s="2322"/>
      <c r="AE837" s="2322"/>
      <c r="AF837" s="2322"/>
      <c r="AG837" s="2322"/>
      <c r="AH837" s="2322"/>
      <c r="AI837" s="2322"/>
      <c r="AJ837" s="2322"/>
      <c r="AK837" s="2322"/>
      <c r="AL837" s="2322"/>
      <c r="AM837" s="2322"/>
      <c r="AN837" s="2322"/>
      <c r="AO837" s="2322"/>
      <c r="AP837" s="2322"/>
      <c r="AQ837" s="2322"/>
      <c r="AR837" s="2322"/>
      <c r="AS837" s="2322"/>
      <c r="AT837" s="2322"/>
      <c r="AU837" s="2322"/>
      <c r="AV837" s="2322"/>
      <c r="AW837" s="2322"/>
      <c r="AX837" s="2322"/>
      <c r="AY837" s="2322"/>
      <c r="AZ837" s="2322"/>
      <c r="BA837" s="2322"/>
      <c r="BB837" s="2322"/>
      <c r="BC837" s="2322"/>
      <c r="BD837" s="2322"/>
      <c r="BE837" s="2322"/>
      <c r="BF837" s="2322"/>
      <c r="BG837" s="2322"/>
      <c r="BH837" s="2322"/>
      <c r="BI837" s="2322"/>
      <c r="BJ837" s="2322"/>
      <c r="BK837" s="2322"/>
      <c r="BL837" s="2322"/>
      <c r="BM837" s="2322"/>
      <c r="BN837" s="2322"/>
      <c r="BO837" s="2322"/>
      <c r="BP837" s="2322"/>
      <c r="BQ837" s="2322"/>
      <c r="BR837" s="2322"/>
      <c r="BS837" s="2322"/>
      <c r="BT837" s="2322"/>
      <c r="BU837" s="2322"/>
      <c r="BV837" s="2322"/>
      <c r="BW837" s="2322"/>
      <c r="BX837" s="2322"/>
      <c r="BY837" s="2322"/>
      <c r="BZ837" s="2322"/>
      <c r="CA837" s="2322"/>
      <c r="CB837" s="2322"/>
      <c r="CC837" s="2322"/>
      <c r="CD837" s="2322"/>
      <c r="CE837" s="2322"/>
      <c r="CF837" s="2322"/>
      <c r="CG837" s="2322"/>
      <c r="CH837" s="2322"/>
      <c r="CI837" s="2322"/>
      <c r="CJ837" s="2322"/>
      <c r="CK837" s="2322"/>
      <c r="CL837" s="2322"/>
      <c r="CM837" s="2322"/>
      <c r="CN837" s="2322"/>
      <c r="CO837" s="2322"/>
      <c r="CP837" s="2322"/>
      <c r="CQ837" s="2322"/>
      <c r="CR837" s="2322"/>
      <c r="CS837" s="2322"/>
      <c r="CT837" s="2322"/>
      <c r="CU837" s="2322"/>
      <c r="CV837" s="2322"/>
    </row>
    <row r="838" spans="1:100" ht="15.75" customHeight="1">
      <c r="A838" s="2328"/>
      <c r="B838" s="2322"/>
      <c r="C838" s="2322"/>
      <c r="D838" s="2322"/>
      <c r="E838" s="2322"/>
      <c r="F838" s="2322"/>
      <c r="G838" s="2322"/>
      <c r="H838" s="2322"/>
      <c r="I838" s="2322"/>
      <c r="J838" s="2322"/>
      <c r="K838" s="2322"/>
      <c r="L838" s="2322"/>
      <c r="M838" s="2322"/>
      <c r="N838" s="2322"/>
      <c r="O838" s="2322"/>
      <c r="P838" s="2322"/>
      <c r="Q838" s="2322"/>
      <c r="R838" s="2322"/>
      <c r="S838" s="2322"/>
      <c r="T838" s="2322"/>
      <c r="U838" s="2322"/>
      <c r="V838" s="2322"/>
      <c r="W838" s="2322"/>
      <c r="X838" s="2322"/>
      <c r="Y838" s="2322"/>
      <c r="Z838" s="2322"/>
      <c r="AA838" s="2322"/>
      <c r="AB838" s="2322"/>
      <c r="AC838" s="2322"/>
      <c r="AD838" s="2322"/>
      <c r="AE838" s="2322"/>
      <c r="AF838" s="2322"/>
      <c r="AG838" s="2322"/>
      <c r="AH838" s="2322"/>
      <c r="AI838" s="2322"/>
      <c r="AJ838" s="2322"/>
      <c r="AK838" s="2322"/>
      <c r="AL838" s="2322"/>
      <c r="AM838" s="2322"/>
      <c r="AN838" s="2322"/>
      <c r="AO838" s="2322"/>
      <c r="AP838" s="2322"/>
      <c r="AQ838" s="2322"/>
      <c r="AR838" s="2322"/>
      <c r="AS838" s="2322"/>
      <c r="AT838" s="2322"/>
      <c r="AU838" s="2322"/>
      <c r="AV838" s="2322"/>
      <c r="AW838" s="2322"/>
      <c r="AX838" s="2322"/>
      <c r="AY838" s="2322"/>
      <c r="AZ838" s="2322"/>
      <c r="BA838" s="2322"/>
      <c r="BB838" s="2322"/>
      <c r="BC838" s="2322"/>
      <c r="BD838" s="2322"/>
      <c r="BE838" s="2322"/>
      <c r="BF838" s="2322"/>
      <c r="BG838" s="2322"/>
      <c r="BH838" s="2322"/>
      <c r="BI838" s="2322"/>
      <c r="BJ838" s="2322"/>
      <c r="BK838" s="2322"/>
      <c r="BL838" s="2322"/>
      <c r="BM838" s="2322"/>
      <c r="BN838" s="2322"/>
      <c r="BO838" s="2322"/>
      <c r="BP838" s="2322"/>
      <c r="BQ838" s="2322"/>
      <c r="BR838" s="2322"/>
      <c r="BS838" s="2322"/>
      <c r="BT838" s="2322"/>
      <c r="BU838" s="2322"/>
      <c r="BV838" s="2322"/>
      <c r="BW838" s="2322"/>
      <c r="BX838" s="2322"/>
      <c r="BY838" s="2322"/>
      <c r="BZ838" s="2322"/>
      <c r="CA838" s="2322"/>
      <c r="CB838" s="2322"/>
      <c r="CC838" s="2322"/>
      <c r="CD838" s="2322"/>
      <c r="CE838" s="2322"/>
      <c r="CF838" s="2322"/>
      <c r="CG838" s="2322"/>
      <c r="CH838" s="2322"/>
      <c r="CI838" s="2322"/>
      <c r="CJ838" s="2322"/>
      <c r="CK838" s="2322"/>
      <c r="CL838" s="2322"/>
      <c r="CM838" s="2322"/>
      <c r="CN838" s="2322"/>
      <c r="CO838" s="2322"/>
      <c r="CP838" s="2322"/>
      <c r="CQ838" s="2322"/>
      <c r="CR838" s="2322"/>
      <c r="CS838" s="2322"/>
      <c r="CT838" s="2322"/>
      <c r="CU838" s="2322"/>
      <c r="CV838" s="2322"/>
    </row>
    <row r="839" spans="1:100" ht="15.75" customHeight="1">
      <c r="A839" s="2328"/>
      <c r="B839" s="2322"/>
      <c r="C839" s="2322"/>
      <c r="D839" s="2322"/>
      <c r="E839" s="2322"/>
      <c r="F839" s="2322"/>
      <c r="G839" s="2322"/>
      <c r="H839" s="2322"/>
      <c r="I839" s="2322"/>
      <c r="J839" s="2322"/>
      <c r="K839" s="2322"/>
      <c r="L839" s="2322"/>
      <c r="M839" s="2322"/>
      <c r="N839" s="2322"/>
      <c r="O839" s="2322"/>
      <c r="P839" s="2322"/>
      <c r="Q839" s="2322"/>
      <c r="R839" s="2322"/>
      <c r="S839" s="2322"/>
      <c r="T839" s="2322"/>
      <c r="U839" s="2322"/>
      <c r="V839" s="2322"/>
      <c r="W839" s="2322"/>
      <c r="X839" s="2322"/>
      <c r="Y839" s="2322"/>
      <c r="Z839" s="2322"/>
      <c r="AA839" s="2322"/>
      <c r="AB839" s="2322"/>
      <c r="AC839" s="2322"/>
      <c r="AD839" s="2322"/>
      <c r="AE839" s="2322"/>
      <c r="AF839" s="2322"/>
      <c r="AG839" s="2322"/>
      <c r="AH839" s="2322"/>
      <c r="AI839" s="2322"/>
      <c r="AJ839" s="2322"/>
      <c r="AK839" s="2322"/>
      <c r="AL839" s="2322"/>
      <c r="AM839" s="2322"/>
      <c r="AN839" s="2322"/>
      <c r="AO839" s="2322"/>
      <c r="AP839" s="2322"/>
      <c r="AQ839" s="2322"/>
      <c r="AR839" s="2322"/>
      <c r="AS839" s="2322"/>
      <c r="AT839" s="2322"/>
      <c r="AU839" s="2322"/>
      <c r="AV839" s="2322"/>
      <c r="AW839" s="2322"/>
      <c r="AX839" s="2322"/>
      <c r="AY839" s="2322"/>
      <c r="AZ839" s="2322"/>
      <c r="BA839" s="2322"/>
      <c r="BB839" s="2322"/>
      <c r="BC839" s="2322"/>
      <c r="BD839" s="2322"/>
      <c r="BE839" s="2322"/>
      <c r="BF839" s="2322"/>
      <c r="BG839" s="2322"/>
      <c r="BH839" s="2322"/>
      <c r="BI839" s="2322"/>
      <c r="BJ839" s="2322"/>
      <c r="BK839" s="2322"/>
      <c r="BL839" s="2322"/>
      <c r="BM839" s="2322"/>
      <c r="BN839" s="2322"/>
      <c r="BO839" s="2322"/>
      <c r="BP839" s="2322"/>
      <c r="BQ839" s="2322"/>
      <c r="BR839" s="2322"/>
      <c r="BS839" s="2322"/>
      <c r="BT839" s="2322"/>
      <c r="BU839" s="2322"/>
      <c r="BV839" s="2322"/>
      <c r="BW839" s="2322"/>
      <c r="BX839" s="2322"/>
      <c r="BY839" s="2322"/>
      <c r="BZ839" s="2322"/>
      <c r="CA839" s="2322"/>
      <c r="CB839" s="2322"/>
      <c r="CC839" s="2322"/>
      <c r="CD839" s="2322"/>
      <c r="CE839" s="2322"/>
      <c r="CF839" s="2322"/>
      <c r="CG839" s="2322"/>
      <c r="CH839" s="2322"/>
      <c r="CI839" s="2322"/>
      <c r="CJ839" s="2322"/>
      <c r="CK839" s="2322"/>
      <c r="CL839" s="2322"/>
      <c r="CM839" s="2322"/>
      <c r="CN839" s="2322"/>
      <c r="CO839" s="2322"/>
      <c r="CP839" s="2322"/>
      <c r="CQ839" s="2322"/>
      <c r="CR839" s="2322"/>
      <c r="CS839" s="2322"/>
      <c r="CT839" s="2322"/>
      <c r="CU839" s="2322"/>
      <c r="CV839" s="2322"/>
    </row>
    <row r="840" spans="1:100" ht="15.75" customHeight="1">
      <c r="A840" s="2328"/>
      <c r="B840" s="2322"/>
      <c r="C840" s="2322"/>
      <c r="D840" s="2322"/>
      <c r="E840" s="2322"/>
      <c r="F840" s="2322"/>
      <c r="G840" s="2322"/>
      <c r="H840" s="2322"/>
      <c r="I840" s="2322"/>
      <c r="J840" s="2322"/>
      <c r="K840" s="2322"/>
      <c r="L840" s="2322"/>
      <c r="M840" s="2322"/>
      <c r="N840" s="2322"/>
      <c r="O840" s="2322"/>
      <c r="P840" s="2322"/>
      <c r="Q840" s="2322"/>
      <c r="R840" s="2322"/>
      <c r="S840" s="2322"/>
      <c r="T840" s="2322"/>
      <c r="U840" s="2322"/>
      <c r="V840" s="2322"/>
      <c r="W840" s="2322"/>
      <c r="X840" s="2322"/>
      <c r="Y840" s="2322"/>
      <c r="Z840" s="2322"/>
      <c r="AA840" s="2322"/>
      <c r="AB840" s="2322"/>
      <c r="AC840" s="2322"/>
      <c r="AD840" s="2322"/>
      <c r="AE840" s="2322"/>
      <c r="AF840" s="2322"/>
      <c r="AG840" s="2322"/>
      <c r="AH840" s="2322"/>
      <c r="AI840" s="2322"/>
      <c r="AJ840" s="2322"/>
      <c r="AK840" s="2322"/>
      <c r="AL840" s="2322"/>
      <c r="AM840" s="2322"/>
      <c r="AN840" s="2322"/>
      <c r="AO840" s="2322"/>
      <c r="AP840" s="2322"/>
      <c r="AQ840" s="2322"/>
      <c r="AR840" s="2322"/>
      <c r="AS840" s="2322"/>
      <c r="AT840" s="2322"/>
      <c r="AU840" s="2322"/>
      <c r="AV840" s="2322"/>
      <c r="AW840" s="2322"/>
      <c r="AX840" s="2322"/>
      <c r="AY840" s="2322"/>
      <c r="AZ840" s="2322"/>
      <c r="BA840" s="2322"/>
      <c r="BB840" s="2322"/>
      <c r="BC840" s="2322"/>
      <c r="BD840" s="2322"/>
      <c r="BE840" s="2322"/>
      <c r="BF840" s="2322"/>
      <c r="BG840" s="2322"/>
      <c r="BH840" s="2322"/>
      <c r="BI840" s="2322"/>
      <c r="BJ840" s="2322"/>
      <c r="BK840" s="2322"/>
      <c r="BL840" s="2322"/>
      <c r="BM840" s="2322"/>
      <c r="BN840" s="2322"/>
      <c r="BO840" s="2322"/>
      <c r="BP840" s="2322"/>
      <c r="BQ840" s="2322"/>
      <c r="BR840" s="2322"/>
      <c r="BS840" s="2322"/>
      <c r="BT840" s="2322"/>
      <c r="BU840" s="2322"/>
      <c r="BV840" s="2322"/>
      <c r="BW840" s="2322"/>
      <c r="BX840" s="2322"/>
      <c r="BY840" s="2322"/>
      <c r="BZ840" s="2322"/>
      <c r="CA840" s="2322"/>
      <c r="CB840" s="2322"/>
      <c r="CC840" s="2322"/>
      <c r="CD840" s="2322"/>
      <c r="CE840" s="2322"/>
      <c r="CF840" s="2322"/>
      <c r="CG840" s="2322"/>
      <c r="CH840" s="2322"/>
      <c r="CI840" s="2322"/>
      <c r="CJ840" s="2322"/>
      <c r="CK840" s="2322"/>
      <c r="CL840" s="2322"/>
      <c r="CM840" s="2322"/>
      <c r="CN840" s="2322"/>
      <c r="CO840" s="2322"/>
      <c r="CP840" s="2322"/>
      <c r="CQ840" s="2322"/>
      <c r="CR840" s="2322"/>
      <c r="CS840" s="2322"/>
      <c r="CT840" s="2322"/>
      <c r="CU840" s="2322"/>
      <c r="CV840" s="2322"/>
    </row>
    <row r="841" spans="1:100" ht="15.75" customHeight="1">
      <c r="A841" s="2328"/>
      <c r="B841" s="2322"/>
      <c r="C841" s="2322"/>
      <c r="D841" s="2322"/>
      <c r="E841" s="2322"/>
      <c r="F841" s="2322"/>
      <c r="G841" s="2322"/>
      <c r="H841" s="2322"/>
      <c r="I841" s="2322"/>
      <c r="J841" s="2322"/>
      <c r="K841" s="2322"/>
      <c r="L841" s="2322"/>
      <c r="M841" s="2322"/>
      <c r="N841" s="2322"/>
      <c r="O841" s="2322"/>
      <c r="P841" s="2322"/>
      <c r="Q841" s="2322"/>
      <c r="R841" s="2322"/>
      <c r="S841" s="2322"/>
      <c r="T841" s="2322"/>
      <c r="U841" s="2322"/>
      <c r="V841" s="2322"/>
      <c r="W841" s="2322"/>
      <c r="X841" s="2322"/>
      <c r="Y841" s="2322"/>
      <c r="Z841" s="2322"/>
      <c r="AA841" s="2322"/>
      <c r="AB841" s="2322"/>
      <c r="AC841" s="2322"/>
      <c r="AD841" s="2322"/>
      <c r="AE841" s="2322"/>
      <c r="AF841" s="2322"/>
      <c r="AG841" s="2322"/>
      <c r="AH841" s="2322"/>
      <c r="AI841" s="2322"/>
      <c r="AJ841" s="2322"/>
      <c r="AK841" s="2322"/>
      <c r="AL841" s="2322"/>
      <c r="AM841" s="2322"/>
      <c r="AN841" s="2322"/>
      <c r="AO841" s="2322"/>
      <c r="AP841" s="2322"/>
      <c r="AQ841" s="2322"/>
      <c r="AR841" s="2322"/>
      <c r="AS841" s="2322"/>
      <c r="AT841" s="2322"/>
      <c r="AU841" s="2322"/>
      <c r="AV841" s="2322"/>
      <c r="AW841" s="2322"/>
      <c r="AX841" s="2322"/>
      <c r="AY841" s="2322"/>
      <c r="AZ841" s="2322"/>
      <c r="BA841" s="2322"/>
      <c r="BB841" s="2322"/>
      <c r="BC841" s="2322"/>
      <c r="BD841" s="2322"/>
      <c r="BE841" s="2322"/>
      <c r="BF841" s="2322"/>
      <c r="BG841" s="2322"/>
      <c r="BH841" s="2322"/>
      <c r="BI841" s="2322"/>
      <c r="BJ841" s="2322"/>
      <c r="BK841" s="2322"/>
      <c r="BL841" s="2322"/>
      <c r="BM841" s="2322"/>
      <c r="BN841" s="2322"/>
      <c r="BO841" s="2322"/>
      <c r="BP841" s="2322"/>
      <c r="BQ841" s="2322"/>
      <c r="BR841" s="2322"/>
      <c r="BS841" s="2322"/>
      <c r="BT841" s="2322"/>
      <c r="BU841" s="2322"/>
      <c r="BV841" s="2322"/>
      <c r="BW841" s="2322"/>
      <c r="BX841" s="2322"/>
      <c r="BY841" s="2322"/>
      <c r="BZ841" s="2322"/>
      <c r="CA841" s="2322"/>
      <c r="CB841" s="2322"/>
      <c r="CC841" s="2322"/>
      <c r="CD841" s="2322"/>
      <c r="CE841" s="2322"/>
      <c r="CF841" s="2322"/>
      <c r="CG841" s="2322"/>
      <c r="CH841" s="2322"/>
      <c r="CI841" s="2322"/>
      <c r="CJ841" s="2322"/>
      <c r="CK841" s="2322"/>
      <c r="CL841" s="2322"/>
      <c r="CM841" s="2322"/>
      <c r="CN841" s="2322"/>
      <c r="CO841" s="2322"/>
      <c r="CP841" s="2322"/>
      <c r="CQ841" s="2322"/>
      <c r="CR841" s="2322"/>
      <c r="CS841" s="2322"/>
      <c r="CT841" s="2322"/>
      <c r="CU841" s="2322"/>
      <c r="CV841" s="2322"/>
    </row>
    <row r="842" spans="1:100" ht="15.75" customHeight="1">
      <c r="A842" s="2328"/>
      <c r="B842" s="2322"/>
      <c r="C842" s="2322"/>
      <c r="D842" s="2322"/>
      <c r="E842" s="2322"/>
      <c r="F842" s="2322"/>
      <c r="G842" s="2322"/>
      <c r="H842" s="2322"/>
      <c r="I842" s="2322"/>
      <c r="J842" s="2322"/>
      <c r="K842" s="2322"/>
      <c r="L842" s="2322"/>
      <c r="M842" s="2322"/>
      <c r="N842" s="2322"/>
      <c r="O842" s="2322"/>
      <c r="P842" s="2322"/>
      <c r="Q842" s="2322"/>
      <c r="R842" s="2322"/>
      <c r="S842" s="2322"/>
      <c r="T842" s="2322"/>
      <c r="U842" s="2322"/>
      <c r="V842" s="2322"/>
      <c r="W842" s="2322"/>
      <c r="X842" s="2322"/>
      <c r="Y842" s="2322"/>
      <c r="Z842" s="2322"/>
      <c r="AA842" s="2322"/>
      <c r="AB842" s="2322"/>
      <c r="AC842" s="2322"/>
      <c r="AD842" s="2322"/>
      <c r="AE842" s="2322"/>
      <c r="AF842" s="2322"/>
      <c r="AG842" s="2322"/>
      <c r="AH842" s="2322"/>
      <c r="AI842" s="2322"/>
      <c r="AJ842" s="2322"/>
      <c r="AK842" s="2322"/>
      <c r="AL842" s="2322"/>
      <c r="AM842" s="2322"/>
      <c r="AN842" s="2322"/>
      <c r="AO842" s="2322"/>
      <c r="AP842" s="2322"/>
      <c r="AQ842" s="2322"/>
      <c r="AR842" s="2322"/>
      <c r="AS842" s="2322"/>
      <c r="AT842" s="2322"/>
      <c r="AU842" s="2322"/>
      <c r="AV842" s="2322"/>
      <c r="AW842" s="2322"/>
      <c r="AX842" s="2322"/>
      <c r="AY842" s="2322"/>
      <c r="AZ842" s="2322"/>
      <c r="BA842" s="2322"/>
      <c r="BB842" s="2322"/>
      <c r="BC842" s="2322"/>
      <c r="BD842" s="2322"/>
      <c r="BE842" s="2322"/>
      <c r="BF842" s="2322"/>
      <c r="BG842" s="2322"/>
      <c r="BH842" s="2322"/>
      <c r="BI842" s="2322"/>
      <c r="BJ842" s="2322"/>
      <c r="BK842" s="2322"/>
      <c r="BL842" s="2322"/>
      <c r="BM842" s="2322"/>
      <c r="BN842" s="2322"/>
      <c r="BO842" s="2322"/>
      <c r="BP842" s="2322"/>
      <c r="BQ842" s="2322"/>
      <c r="BR842" s="2322"/>
      <c r="BS842" s="2322"/>
      <c r="BT842" s="2322"/>
      <c r="BU842" s="2322"/>
      <c r="BV842" s="2322"/>
      <c r="BW842" s="2322"/>
      <c r="BX842" s="2322"/>
      <c r="BY842" s="2322"/>
      <c r="BZ842" s="2322"/>
      <c r="CA842" s="2322"/>
      <c r="CB842" s="2322"/>
      <c r="CC842" s="2322"/>
      <c r="CD842" s="2322"/>
      <c r="CE842" s="2322"/>
      <c r="CF842" s="2322"/>
      <c r="CG842" s="2322"/>
      <c r="CH842" s="2322"/>
      <c r="CI842" s="2322"/>
      <c r="CJ842" s="2322"/>
      <c r="CK842" s="2322"/>
      <c r="CL842" s="2322"/>
      <c r="CM842" s="2322"/>
      <c r="CN842" s="2322"/>
      <c r="CO842" s="2322"/>
      <c r="CP842" s="2322"/>
      <c r="CQ842" s="2322"/>
      <c r="CR842" s="2322"/>
      <c r="CS842" s="2322"/>
      <c r="CT842" s="2322"/>
      <c r="CU842" s="2322"/>
      <c r="CV842" s="2322"/>
    </row>
    <row r="843" spans="1:100" ht="15.75" customHeight="1">
      <c r="A843" s="2328"/>
      <c r="B843" s="2322"/>
      <c r="C843" s="2322"/>
      <c r="D843" s="2322"/>
      <c r="E843" s="2322"/>
      <c r="F843" s="2322"/>
      <c r="G843" s="2322"/>
      <c r="H843" s="2322"/>
      <c r="I843" s="2322"/>
      <c r="J843" s="2322"/>
      <c r="K843" s="2322"/>
      <c r="L843" s="2322"/>
      <c r="M843" s="2322"/>
      <c r="N843" s="2322"/>
      <c r="O843" s="2322"/>
      <c r="P843" s="2322"/>
      <c r="Q843" s="2322"/>
      <c r="R843" s="2322"/>
      <c r="S843" s="2322"/>
      <c r="T843" s="2322"/>
      <c r="U843" s="2322"/>
      <c r="V843" s="2322"/>
      <c r="W843" s="2322"/>
      <c r="X843" s="2322"/>
      <c r="Y843" s="2322"/>
      <c r="Z843" s="2322"/>
      <c r="AA843" s="2322"/>
      <c r="AB843" s="2322"/>
      <c r="AC843" s="2322"/>
      <c r="AD843" s="2322"/>
      <c r="AE843" s="2322"/>
      <c r="AF843" s="2322"/>
      <c r="AG843" s="2322"/>
      <c r="AH843" s="2322"/>
      <c r="AI843" s="2322"/>
      <c r="AJ843" s="2322"/>
      <c r="AK843" s="2322"/>
      <c r="AL843" s="2322"/>
      <c r="AM843" s="2322"/>
      <c r="AN843" s="2322"/>
      <c r="AO843" s="2322"/>
      <c r="AP843" s="2322"/>
      <c r="AQ843" s="2322"/>
      <c r="AR843" s="2322"/>
      <c r="AS843" s="2322"/>
      <c r="AT843" s="2322"/>
      <c r="AU843" s="2322"/>
      <c r="AV843" s="2322"/>
      <c r="AW843" s="2322"/>
      <c r="AX843" s="2322"/>
      <c r="AY843" s="2322"/>
      <c r="AZ843" s="2322"/>
      <c r="BA843" s="2322"/>
      <c r="BB843" s="2322"/>
      <c r="BC843" s="2322"/>
      <c r="BD843" s="2322"/>
      <c r="BE843" s="2322"/>
      <c r="BF843" s="2322"/>
      <c r="BG843" s="2322"/>
      <c r="BH843" s="2322"/>
      <c r="BI843" s="2322"/>
      <c r="BJ843" s="2322"/>
      <c r="BK843" s="2322"/>
      <c r="BL843" s="2322"/>
      <c r="BM843" s="2322"/>
      <c r="BN843" s="2322"/>
      <c r="BO843" s="2322"/>
      <c r="BP843" s="2322"/>
      <c r="BQ843" s="2322"/>
      <c r="BR843" s="2322"/>
      <c r="BS843" s="2322"/>
      <c r="BT843" s="2322"/>
      <c r="BU843" s="2322"/>
      <c r="BV843" s="2322"/>
      <c r="BW843" s="2322"/>
      <c r="BX843" s="2322"/>
      <c r="BY843" s="2322"/>
      <c r="BZ843" s="2322"/>
      <c r="CA843" s="2322"/>
      <c r="CB843" s="2322"/>
      <c r="CC843" s="2322"/>
      <c r="CD843" s="2322"/>
      <c r="CE843" s="2322"/>
      <c r="CF843" s="2322"/>
      <c r="CG843" s="2322"/>
      <c r="CH843" s="2322"/>
      <c r="CI843" s="2322"/>
      <c r="CJ843" s="2322"/>
      <c r="CK843" s="2322"/>
      <c r="CL843" s="2322"/>
      <c r="CM843" s="2322"/>
      <c r="CN843" s="2322"/>
      <c r="CO843" s="2322"/>
      <c r="CP843" s="2322"/>
      <c r="CQ843" s="2322"/>
      <c r="CR843" s="2322"/>
      <c r="CS843" s="2322"/>
      <c r="CT843" s="2322"/>
      <c r="CU843" s="2322"/>
      <c r="CV843" s="2322"/>
    </row>
    <row r="844" spans="1:100" ht="15.75" customHeight="1">
      <c r="A844" s="2328"/>
      <c r="B844" s="2322"/>
      <c r="C844" s="2322"/>
      <c r="D844" s="2322"/>
      <c r="E844" s="2322"/>
      <c r="F844" s="2322"/>
      <c r="G844" s="2322"/>
      <c r="H844" s="2322"/>
      <c r="I844" s="2322"/>
      <c r="J844" s="2322"/>
      <c r="K844" s="2322"/>
      <c r="L844" s="2322"/>
      <c r="M844" s="2322"/>
      <c r="N844" s="2322"/>
      <c r="O844" s="2322"/>
      <c r="P844" s="2322"/>
      <c r="Q844" s="2322"/>
      <c r="R844" s="2322"/>
      <c r="S844" s="2322"/>
      <c r="T844" s="2322"/>
      <c r="U844" s="2322"/>
      <c r="V844" s="2322"/>
      <c r="W844" s="2322"/>
      <c r="X844" s="2322"/>
      <c r="Y844" s="2322"/>
      <c r="Z844" s="2322"/>
      <c r="AA844" s="2322"/>
      <c r="AB844" s="2322"/>
      <c r="AC844" s="2322"/>
      <c r="AD844" s="2322"/>
      <c r="AE844" s="2322"/>
      <c r="AF844" s="2322"/>
      <c r="AG844" s="2322"/>
      <c r="AH844" s="2322"/>
      <c r="AI844" s="2322"/>
      <c r="AJ844" s="2322"/>
      <c r="AK844" s="2322"/>
      <c r="AL844" s="2322"/>
      <c r="AM844" s="2322"/>
      <c r="AN844" s="2322"/>
      <c r="AO844" s="2322"/>
      <c r="AP844" s="2322"/>
      <c r="AQ844" s="2322"/>
      <c r="AR844" s="2322"/>
      <c r="AS844" s="2322"/>
      <c r="AT844" s="2322"/>
      <c r="AU844" s="2322"/>
      <c r="AV844" s="2322"/>
      <c r="AW844" s="2322"/>
      <c r="AX844" s="2322"/>
      <c r="AY844" s="2322"/>
      <c r="AZ844" s="2322"/>
      <c r="BA844" s="2322"/>
      <c r="BB844" s="2322"/>
      <c r="BC844" s="2322"/>
      <c r="BD844" s="2322"/>
      <c r="BE844" s="2322"/>
      <c r="BF844" s="2322"/>
      <c r="BG844" s="2322"/>
      <c r="BH844" s="2322"/>
      <c r="BI844" s="2322"/>
      <c r="BJ844" s="2322"/>
      <c r="BK844" s="2322"/>
      <c r="BL844" s="2322"/>
      <c r="BM844" s="2322"/>
      <c r="BN844" s="2322"/>
      <c r="BO844" s="2322"/>
      <c r="BP844" s="2322"/>
      <c r="BQ844" s="2322"/>
      <c r="BR844" s="2322"/>
      <c r="BS844" s="2322"/>
      <c r="BT844" s="2322"/>
      <c r="BU844" s="2322"/>
      <c r="BV844" s="2322"/>
      <c r="BW844" s="2322"/>
      <c r="BX844" s="2322"/>
      <c r="BY844" s="2322"/>
      <c r="BZ844" s="2322"/>
      <c r="CA844" s="2322"/>
      <c r="CB844" s="2322"/>
      <c r="CC844" s="2322"/>
      <c r="CD844" s="2322"/>
      <c r="CE844" s="2322"/>
      <c r="CF844" s="2322"/>
      <c r="CG844" s="2322"/>
      <c r="CH844" s="2322"/>
      <c r="CI844" s="2322"/>
      <c r="CJ844" s="2322"/>
      <c r="CK844" s="2322"/>
      <c r="CL844" s="2322"/>
      <c r="CM844" s="2322"/>
      <c r="CN844" s="2322"/>
      <c r="CO844" s="2322"/>
      <c r="CP844" s="2322"/>
      <c r="CQ844" s="2322"/>
      <c r="CR844" s="2322"/>
      <c r="CS844" s="2322"/>
      <c r="CT844" s="2322"/>
      <c r="CU844" s="2322"/>
      <c r="CV844" s="2322"/>
    </row>
    <row r="845" spans="1:100" ht="15.75" customHeight="1">
      <c r="A845" s="2328"/>
      <c r="B845" s="2322"/>
      <c r="C845" s="2322"/>
      <c r="D845" s="2322"/>
      <c r="E845" s="2322"/>
      <c r="F845" s="2322"/>
      <c r="G845" s="2322"/>
      <c r="H845" s="2322"/>
      <c r="I845" s="2322"/>
      <c r="J845" s="2322"/>
      <c r="K845" s="2322"/>
      <c r="L845" s="2322"/>
      <c r="M845" s="2322"/>
      <c r="N845" s="2322"/>
      <c r="O845" s="2322"/>
      <c r="P845" s="2322"/>
      <c r="Q845" s="2322"/>
      <c r="R845" s="2322"/>
      <c r="S845" s="2322"/>
      <c r="T845" s="2322"/>
      <c r="U845" s="2322"/>
      <c r="V845" s="2322"/>
      <c r="W845" s="2322"/>
      <c r="X845" s="2322"/>
      <c r="Y845" s="2322"/>
      <c r="Z845" s="2322"/>
      <c r="AA845" s="2322"/>
      <c r="AB845" s="2322"/>
      <c r="AC845" s="2322"/>
      <c r="AD845" s="2322"/>
      <c r="AE845" s="2322"/>
      <c r="AF845" s="2322"/>
      <c r="AG845" s="2322"/>
      <c r="AH845" s="2322"/>
      <c r="AI845" s="2322"/>
      <c r="AJ845" s="2322"/>
      <c r="AK845" s="2322"/>
      <c r="AL845" s="2322"/>
      <c r="AM845" s="2322"/>
      <c r="AN845" s="2322"/>
      <c r="AO845" s="2322"/>
      <c r="AP845" s="2322"/>
      <c r="AQ845" s="2322"/>
      <c r="AR845" s="2322"/>
      <c r="AS845" s="2322"/>
      <c r="AT845" s="2322"/>
      <c r="AU845" s="2322"/>
      <c r="AV845" s="2322"/>
      <c r="AW845" s="2322"/>
      <c r="AX845" s="2322"/>
      <c r="AY845" s="2322"/>
      <c r="AZ845" s="2322"/>
      <c r="BA845" s="2322"/>
      <c r="BB845" s="2322"/>
      <c r="BC845" s="2322"/>
      <c r="BD845" s="2322"/>
      <c r="BE845" s="2322"/>
      <c r="BF845" s="2322"/>
      <c r="BG845" s="2322"/>
      <c r="BH845" s="2322"/>
      <c r="BI845" s="2322"/>
      <c r="BJ845" s="2322"/>
      <c r="BK845" s="2322"/>
      <c r="BL845" s="2322"/>
      <c r="BM845" s="2322"/>
      <c r="BN845" s="2322"/>
      <c r="BO845" s="2322"/>
      <c r="BP845" s="2322"/>
      <c r="BQ845" s="2322"/>
      <c r="BR845" s="2322"/>
      <c r="BS845" s="2322"/>
      <c r="BT845" s="2322"/>
      <c r="BU845" s="2322"/>
      <c r="BV845" s="2322"/>
      <c r="BW845" s="2322"/>
      <c r="BX845" s="2322"/>
      <c r="BY845" s="2322"/>
      <c r="BZ845" s="2322"/>
      <c r="CA845" s="2322"/>
      <c r="CB845" s="2322"/>
      <c r="CC845" s="2322"/>
      <c r="CD845" s="2322"/>
      <c r="CE845" s="2322"/>
      <c r="CF845" s="2322"/>
      <c r="CG845" s="2322"/>
      <c r="CH845" s="2322"/>
      <c r="CI845" s="2322"/>
      <c r="CJ845" s="2322"/>
      <c r="CK845" s="2322"/>
      <c r="CL845" s="2322"/>
      <c r="CM845" s="2322"/>
      <c r="CN845" s="2322"/>
      <c r="CO845" s="2322"/>
      <c r="CP845" s="2322"/>
      <c r="CQ845" s="2322"/>
      <c r="CR845" s="2322"/>
      <c r="CS845" s="2322"/>
      <c r="CT845" s="2322"/>
      <c r="CU845" s="2322"/>
      <c r="CV845" s="2322"/>
    </row>
    <row r="846" spans="1:100" ht="15.75" customHeight="1">
      <c r="A846" s="2328"/>
      <c r="B846" s="2322"/>
      <c r="C846" s="2322"/>
      <c r="D846" s="2322"/>
      <c r="E846" s="2322"/>
      <c r="F846" s="2322"/>
      <c r="G846" s="2322"/>
      <c r="H846" s="2322"/>
      <c r="I846" s="2322"/>
      <c r="J846" s="2322"/>
      <c r="K846" s="2322"/>
      <c r="L846" s="2322"/>
      <c r="M846" s="2322"/>
      <c r="N846" s="2322"/>
      <c r="O846" s="2322"/>
      <c r="P846" s="2322"/>
      <c r="Q846" s="2322"/>
      <c r="R846" s="2322"/>
      <c r="S846" s="2322"/>
      <c r="T846" s="2322"/>
      <c r="U846" s="2322"/>
      <c r="V846" s="2322"/>
      <c r="W846" s="2322"/>
      <c r="X846" s="2322"/>
      <c r="Y846" s="2322"/>
      <c r="Z846" s="2322"/>
      <c r="AA846" s="2322"/>
      <c r="AB846" s="2322"/>
      <c r="AC846" s="2322"/>
      <c r="AD846" s="2322"/>
      <c r="AE846" s="2322"/>
      <c r="AF846" s="2322"/>
      <c r="AG846" s="2322"/>
      <c r="AH846" s="2322"/>
      <c r="AI846" s="2322"/>
      <c r="AJ846" s="2322"/>
      <c r="AK846" s="2322"/>
      <c r="AL846" s="2322"/>
      <c r="AM846" s="2322"/>
      <c r="AN846" s="2322"/>
      <c r="AO846" s="2322"/>
      <c r="AP846" s="2322"/>
      <c r="AQ846" s="2322"/>
      <c r="AR846" s="2322"/>
      <c r="AS846" s="2322"/>
      <c r="AT846" s="2322"/>
      <c r="AU846" s="2322"/>
      <c r="AV846" s="2322"/>
      <c r="AW846" s="2322"/>
      <c r="AX846" s="2322"/>
      <c r="AY846" s="2322"/>
      <c r="AZ846" s="2322"/>
      <c r="BA846" s="2322"/>
      <c r="BB846" s="2322"/>
      <c r="BC846" s="2322"/>
      <c r="BD846" s="2322"/>
      <c r="BE846" s="2322"/>
      <c r="BF846" s="2322"/>
      <c r="BG846" s="2322"/>
      <c r="BH846" s="2322"/>
      <c r="BI846" s="2322"/>
      <c r="BJ846" s="2322"/>
      <c r="BK846" s="2322"/>
      <c r="BL846" s="2322"/>
      <c r="BM846" s="2322"/>
      <c r="BN846" s="2322"/>
      <c r="BO846" s="2322"/>
      <c r="BP846" s="2322"/>
      <c r="BQ846" s="2322"/>
      <c r="BR846" s="2322"/>
      <c r="BS846" s="2322"/>
      <c r="BT846" s="2322"/>
      <c r="BU846" s="2322"/>
      <c r="BV846" s="2322"/>
      <c r="BW846" s="2322"/>
      <c r="BX846" s="2322"/>
      <c r="BY846" s="2322"/>
      <c r="BZ846" s="2322"/>
      <c r="CA846" s="2322"/>
      <c r="CB846" s="2322"/>
      <c r="CC846" s="2322"/>
      <c r="CD846" s="2322"/>
      <c r="CE846" s="2322"/>
      <c r="CF846" s="2322"/>
      <c r="CG846" s="2322"/>
      <c r="CH846" s="2322"/>
      <c r="CI846" s="2322"/>
      <c r="CJ846" s="2322"/>
      <c r="CK846" s="2322"/>
      <c r="CL846" s="2322"/>
      <c r="CM846" s="2322"/>
      <c r="CN846" s="2322"/>
      <c r="CO846" s="2322"/>
      <c r="CP846" s="2322"/>
      <c r="CQ846" s="2322"/>
      <c r="CR846" s="2322"/>
      <c r="CS846" s="2322"/>
      <c r="CT846" s="2322"/>
      <c r="CU846" s="2322"/>
      <c r="CV846" s="2322"/>
    </row>
    <row r="847" spans="1:100" ht="15.75" customHeight="1">
      <c r="A847" s="2328"/>
      <c r="B847" s="2322"/>
      <c r="C847" s="2322"/>
      <c r="D847" s="2322"/>
      <c r="E847" s="2322"/>
      <c r="F847" s="2322"/>
      <c r="G847" s="2322"/>
      <c r="H847" s="2322"/>
      <c r="I847" s="2322"/>
      <c r="J847" s="2322"/>
      <c r="K847" s="2322"/>
      <c r="L847" s="2322"/>
      <c r="M847" s="2322"/>
      <c r="N847" s="2322"/>
      <c r="O847" s="2322"/>
      <c r="P847" s="2322"/>
      <c r="Q847" s="2322"/>
      <c r="R847" s="2322"/>
      <c r="S847" s="2322"/>
      <c r="T847" s="2322"/>
      <c r="U847" s="2322"/>
      <c r="V847" s="2322"/>
      <c r="W847" s="2322"/>
      <c r="X847" s="2322"/>
      <c r="Y847" s="2322"/>
      <c r="Z847" s="2322"/>
      <c r="AA847" s="2322"/>
      <c r="AB847" s="2322"/>
      <c r="AC847" s="2322"/>
      <c r="AD847" s="2322"/>
      <c r="AE847" s="2322"/>
      <c r="AF847" s="2322"/>
      <c r="AG847" s="2322"/>
      <c r="AH847" s="2322"/>
      <c r="AI847" s="2322"/>
      <c r="AJ847" s="2322"/>
      <c r="AK847" s="2322"/>
      <c r="AL847" s="2322"/>
      <c r="AM847" s="2322"/>
      <c r="AN847" s="2322"/>
      <c r="AO847" s="2322"/>
      <c r="AP847" s="2322"/>
      <c r="AQ847" s="2322"/>
      <c r="AR847" s="2322"/>
      <c r="AS847" s="2322"/>
      <c r="AT847" s="2322"/>
      <c r="AU847" s="2322"/>
      <c r="AV847" s="2322"/>
      <c r="AW847" s="2322"/>
      <c r="AX847" s="2322"/>
      <c r="AY847" s="2322"/>
      <c r="AZ847" s="2322"/>
      <c r="BA847" s="2322"/>
      <c r="BB847" s="2322"/>
      <c r="BC847" s="2322"/>
      <c r="BD847" s="2322"/>
      <c r="BE847" s="2322"/>
      <c r="BF847" s="2322"/>
      <c r="BG847" s="2322"/>
      <c r="BH847" s="2322"/>
      <c r="BI847" s="2322"/>
      <c r="BJ847" s="2322"/>
      <c r="BK847" s="2322"/>
      <c r="BL847" s="2322"/>
      <c r="BM847" s="2322"/>
      <c r="BN847" s="2322"/>
      <c r="BO847" s="2322"/>
      <c r="BP847" s="2322"/>
      <c r="BQ847" s="2322"/>
      <c r="BR847" s="2322"/>
      <c r="BS847" s="2322"/>
      <c r="BT847" s="2322"/>
      <c r="BU847" s="2322"/>
      <c r="BV847" s="2322"/>
      <c r="BW847" s="2322"/>
      <c r="BX847" s="2322"/>
      <c r="BY847" s="2322"/>
      <c r="BZ847" s="2322"/>
      <c r="CA847" s="2322"/>
      <c r="CB847" s="2322"/>
      <c r="CC847" s="2322"/>
      <c r="CD847" s="2322"/>
      <c r="CE847" s="2322"/>
      <c r="CF847" s="2322"/>
      <c r="CG847" s="2322"/>
      <c r="CH847" s="2322"/>
      <c r="CI847" s="2322"/>
      <c r="CJ847" s="2322"/>
      <c r="CK847" s="2322"/>
      <c r="CL847" s="2322"/>
      <c r="CM847" s="2322"/>
      <c r="CN847" s="2322"/>
      <c r="CO847" s="2322"/>
      <c r="CP847" s="2322"/>
      <c r="CQ847" s="2322"/>
      <c r="CR847" s="2322"/>
      <c r="CS847" s="2322"/>
      <c r="CT847" s="2322"/>
      <c r="CU847" s="2322"/>
      <c r="CV847" s="2322"/>
    </row>
    <row r="848" spans="1:100" ht="15.75" customHeight="1">
      <c r="A848" s="2328"/>
      <c r="B848" s="2322"/>
      <c r="C848" s="2322"/>
      <c r="D848" s="2322"/>
      <c r="E848" s="2322"/>
      <c r="F848" s="2322"/>
      <c r="G848" s="2322"/>
      <c r="H848" s="2322"/>
      <c r="I848" s="2322"/>
      <c r="J848" s="2322"/>
      <c r="K848" s="2322"/>
      <c r="L848" s="2322"/>
      <c r="M848" s="2322"/>
      <c r="N848" s="2322"/>
      <c r="O848" s="2322"/>
      <c r="P848" s="2322"/>
      <c r="Q848" s="2322"/>
      <c r="R848" s="2322"/>
      <c r="S848" s="2322"/>
      <c r="T848" s="2322"/>
      <c r="U848" s="2322"/>
      <c r="V848" s="2322"/>
      <c r="W848" s="2322"/>
      <c r="X848" s="2322"/>
      <c r="Y848" s="2322"/>
      <c r="Z848" s="2322"/>
      <c r="AA848" s="2322"/>
      <c r="AB848" s="2322"/>
      <c r="AC848" s="2322"/>
      <c r="AD848" s="2322"/>
      <c r="AE848" s="2322"/>
      <c r="AF848" s="2322"/>
      <c r="AG848" s="2322"/>
      <c r="AH848" s="2322"/>
      <c r="AI848" s="2322"/>
      <c r="AJ848" s="2322"/>
      <c r="AK848" s="2322"/>
      <c r="AL848" s="2322"/>
      <c r="AM848" s="2322"/>
      <c r="AN848" s="2322"/>
      <c r="AO848" s="2322"/>
      <c r="AP848" s="2322"/>
      <c r="AQ848" s="2322"/>
      <c r="AR848" s="2322"/>
      <c r="AS848" s="2322"/>
      <c r="AT848" s="2322"/>
      <c r="AU848" s="2322"/>
      <c r="AV848" s="2322"/>
      <c r="AW848" s="2322"/>
      <c r="AX848" s="2322"/>
      <c r="AY848" s="2322"/>
      <c r="AZ848" s="2322"/>
      <c r="BA848" s="2322"/>
      <c r="BB848" s="2322"/>
      <c r="BC848" s="2322"/>
      <c r="BD848" s="2322"/>
      <c r="BE848" s="2322"/>
      <c r="BF848" s="2322"/>
      <c r="BG848" s="2322"/>
      <c r="BH848" s="2322"/>
      <c r="BI848" s="2322"/>
      <c r="BJ848" s="2322"/>
      <c r="BK848" s="2322"/>
      <c r="BL848" s="2322"/>
      <c r="BM848" s="2322"/>
      <c r="BN848" s="2322"/>
      <c r="BO848" s="2322"/>
      <c r="BP848" s="2322"/>
      <c r="BQ848" s="2322"/>
      <c r="BR848" s="2322"/>
      <c r="BS848" s="2322"/>
      <c r="BT848" s="2322"/>
      <c r="BU848" s="2322"/>
      <c r="BV848" s="2322"/>
      <c r="BW848" s="2322"/>
      <c r="BX848" s="2322"/>
      <c r="BY848" s="2322"/>
      <c r="BZ848" s="2322"/>
      <c r="CA848" s="2322"/>
      <c r="CB848" s="2322"/>
      <c r="CC848" s="2322"/>
      <c r="CD848" s="2322"/>
      <c r="CE848" s="2322"/>
      <c r="CF848" s="2322"/>
      <c r="CG848" s="2322"/>
      <c r="CH848" s="2322"/>
      <c r="CI848" s="2322"/>
      <c r="CJ848" s="2322"/>
      <c r="CK848" s="2322"/>
      <c r="CL848" s="2322"/>
      <c r="CM848" s="2322"/>
      <c r="CN848" s="2322"/>
      <c r="CO848" s="2322"/>
      <c r="CP848" s="2322"/>
      <c r="CQ848" s="2322"/>
      <c r="CR848" s="2322"/>
      <c r="CS848" s="2322"/>
      <c r="CT848" s="2322"/>
      <c r="CU848" s="2322"/>
      <c r="CV848" s="2322"/>
    </row>
    <row r="849" spans="1:100" ht="15.75" customHeight="1">
      <c r="A849" s="2328"/>
      <c r="B849" s="2322"/>
      <c r="C849" s="2322"/>
      <c r="D849" s="2322"/>
      <c r="E849" s="2322"/>
      <c r="F849" s="2322"/>
      <c r="G849" s="2322"/>
      <c r="H849" s="2322"/>
      <c r="I849" s="2322"/>
      <c r="J849" s="2322"/>
      <c r="K849" s="2322"/>
      <c r="L849" s="2322"/>
      <c r="M849" s="2322"/>
      <c r="N849" s="2322"/>
      <c r="O849" s="2322"/>
      <c r="P849" s="2322"/>
      <c r="Q849" s="2322"/>
      <c r="R849" s="2322"/>
      <c r="S849" s="2322"/>
      <c r="T849" s="2322"/>
      <c r="U849" s="2322"/>
      <c r="V849" s="2322"/>
      <c r="W849" s="2322"/>
      <c r="X849" s="2322"/>
      <c r="Y849" s="2322"/>
      <c r="Z849" s="2322"/>
      <c r="AA849" s="2322"/>
      <c r="AB849" s="2322"/>
      <c r="AC849" s="2322"/>
      <c r="AD849" s="2322"/>
      <c r="AE849" s="2322"/>
      <c r="AF849" s="2322"/>
      <c r="AG849" s="2322"/>
      <c r="AH849" s="2322"/>
      <c r="AI849" s="2322"/>
      <c r="AJ849" s="2322"/>
      <c r="AK849" s="2322"/>
      <c r="AL849" s="2322"/>
      <c r="AM849" s="2322"/>
      <c r="AN849" s="2322"/>
      <c r="AO849" s="2322"/>
      <c r="AP849" s="2322"/>
      <c r="AQ849" s="2322"/>
      <c r="AR849" s="2322"/>
      <c r="AS849" s="2322"/>
      <c r="AT849" s="2322"/>
      <c r="AU849" s="2322"/>
      <c r="AV849" s="2322"/>
      <c r="AW849" s="2322"/>
      <c r="AX849" s="2322"/>
      <c r="AY849" s="2322"/>
      <c r="AZ849" s="2322"/>
      <c r="BA849" s="2322"/>
      <c r="BB849" s="2322"/>
      <c r="BC849" s="2322"/>
      <c r="BD849" s="2322"/>
      <c r="BE849" s="2322"/>
      <c r="BF849" s="2322"/>
      <c r="BG849" s="2322"/>
      <c r="BH849" s="2322"/>
      <c r="BI849" s="2322"/>
      <c r="BJ849" s="2322"/>
      <c r="BK849" s="2322"/>
      <c r="BL849" s="2322"/>
      <c r="BM849" s="2322"/>
      <c r="BN849" s="2322"/>
      <c r="BO849" s="2322"/>
      <c r="BP849" s="2322"/>
      <c r="BQ849" s="2322"/>
      <c r="BR849" s="2322"/>
      <c r="BS849" s="2322"/>
      <c r="BT849" s="2322"/>
      <c r="BU849" s="2322"/>
      <c r="BV849" s="2322"/>
      <c r="BW849" s="2322"/>
      <c r="BX849" s="2322"/>
      <c r="BY849" s="2322"/>
      <c r="BZ849" s="2322"/>
      <c r="CA849" s="2322"/>
      <c r="CB849" s="2322"/>
      <c r="CC849" s="2322"/>
      <c r="CD849" s="2322"/>
      <c r="CE849" s="2322"/>
      <c r="CF849" s="2322"/>
      <c r="CG849" s="2322"/>
      <c r="CH849" s="2322"/>
      <c r="CI849" s="2322"/>
      <c r="CJ849" s="2322"/>
      <c r="CK849" s="2322"/>
      <c r="CL849" s="2322"/>
      <c r="CM849" s="2322"/>
      <c r="CN849" s="2322"/>
      <c r="CO849" s="2322"/>
      <c r="CP849" s="2322"/>
      <c r="CQ849" s="2322"/>
      <c r="CR849" s="2322"/>
      <c r="CS849" s="2322"/>
      <c r="CT849" s="2322"/>
      <c r="CU849" s="2322"/>
      <c r="CV849" s="2322"/>
    </row>
    <row r="850" spans="1:100" ht="15.75" customHeight="1">
      <c r="A850" s="2328"/>
      <c r="B850" s="2322"/>
      <c r="C850" s="2322"/>
      <c r="D850" s="2322"/>
      <c r="E850" s="2322"/>
      <c r="F850" s="2322"/>
      <c r="G850" s="2322"/>
      <c r="H850" s="2322"/>
      <c r="I850" s="2322"/>
      <c r="J850" s="2322"/>
      <c r="K850" s="2322"/>
      <c r="L850" s="2322"/>
      <c r="M850" s="2322"/>
      <c r="N850" s="2322"/>
      <c r="O850" s="2322"/>
      <c r="P850" s="2322"/>
      <c r="Q850" s="2322"/>
      <c r="R850" s="2322"/>
      <c r="S850" s="2322"/>
      <c r="T850" s="2322"/>
      <c r="U850" s="2322"/>
      <c r="V850" s="2322"/>
      <c r="W850" s="2322"/>
      <c r="X850" s="2322"/>
      <c r="Y850" s="2322"/>
      <c r="Z850" s="2322"/>
      <c r="AA850" s="2322"/>
      <c r="AB850" s="2322"/>
      <c r="AC850" s="2322"/>
      <c r="AD850" s="2322"/>
      <c r="AE850" s="2322"/>
      <c r="AF850" s="2322"/>
      <c r="AG850" s="2322"/>
      <c r="AH850" s="2322"/>
      <c r="AI850" s="2322"/>
      <c r="AJ850" s="2322"/>
      <c r="AK850" s="2322"/>
      <c r="AL850" s="2322"/>
      <c r="AM850" s="2322"/>
      <c r="AN850" s="2322"/>
      <c r="AO850" s="2322"/>
      <c r="AP850" s="2322"/>
      <c r="AQ850" s="2322"/>
      <c r="AR850" s="2322"/>
      <c r="AS850" s="2322"/>
      <c r="AT850" s="2322"/>
      <c r="AU850" s="2322"/>
      <c r="AV850" s="2322"/>
      <c r="AW850" s="2322"/>
      <c r="AX850" s="2322"/>
      <c r="AY850" s="2322"/>
      <c r="AZ850" s="2322"/>
      <c r="BA850" s="2322"/>
      <c r="BB850" s="2322"/>
      <c r="BC850" s="2322"/>
      <c r="BD850" s="2322"/>
      <c r="BE850" s="2322"/>
      <c r="BF850" s="2322"/>
      <c r="BG850" s="2322"/>
      <c r="BH850" s="2322"/>
      <c r="BI850" s="2322"/>
      <c r="BJ850" s="2322"/>
      <c r="BK850" s="2322"/>
      <c r="BL850" s="2322"/>
      <c r="BM850" s="2322"/>
      <c r="BN850" s="2322"/>
      <c r="BO850" s="2322"/>
      <c r="BP850" s="2322"/>
      <c r="BQ850" s="2322"/>
      <c r="BR850" s="2322"/>
      <c r="BS850" s="2322"/>
      <c r="BT850" s="2322"/>
      <c r="BU850" s="2322"/>
      <c r="BV850" s="2322"/>
      <c r="BW850" s="2322"/>
      <c r="BX850" s="2322"/>
      <c r="BY850" s="2322"/>
      <c r="BZ850" s="2322"/>
      <c r="CA850" s="2322"/>
      <c r="CB850" s="2322"/>
      <c r="CC850" s="2322"/>
      <c r="CD850" s="2322"/>
      <c r="CE850" s="2322"/>
      <c r="CF850" s="2322"/>
      <c r="CG850" s="2322"/>
      <c r="CH850" s="2322"/>
      <c r="CI850" s="2322"/>
      <c r="CJ850" s="2322"/>
      <c r="CK850" s="2322"/>
      <c r="CL850" s="2322"/>
      <c r="CM850" s="2322"/>
      <c r="CN850" s="2322"/>
      <c r="CO850" s="2322"/>
      <c r="CP850" s="2322"/>
      <c r="CQ850" s="2322"/>
      <c r="CR850" s="2322"/>
      <c r="CS850" s="2322"/>
      <c r="CT850" s="2322"/>
      <c r="CU850" s="2322"/>
      <c r="CV850" s="2322"/>
    </row>
    <row r="851" spans="1:100" ht="15.75" customHeight="1">
      <c r="A851" s="2328"/>
      <c r="B851" s="2322"/>
      <c r="C851" s="2322"/>
      <c r="D851" s="2322"/>
      <c r="E851" s="2322"/>
      <c r="F851" s="2322"/>
      <c r="G851" s="2322"/>
      <c r="H851" s="2322"/>
      <c r="I851" s="2322"/>
      <c r="J851" s="2322"/>
      <c r="K851" s="2322"/>
      <c r="L851" s="2322"/>
      <c r="M851" s="2322"/>
      <c r="N851" s="2322"/>
      <c r="O851" s="2322"/>
      <c r="P851" s="2322"/>
      <c r="Q851" s="2322"/>
      <c r="R851" s="2322"/>
      <c r="S851" s="2322"/>
      <c r="T851" s="2322"/>
      <c r="U851" s="2322"/>
      <c r="V851" s="2322"/>
      <c r="W851" s="2322"/>
      <c r="X851" s="2322"/>
      <c r="Y851" s="2322"/>
      <c r="Z851" s="2322"/>
      <c r="AA851" s="2322"/>
      <c r="AB851" s="2322"/>
      <c r="AC851" s="2322"/>
      <c r="AD851" s="2322"/>
      <c r="AE851" s="2322"/>
      <c r="AF851" s="2322"/>
      <c r="AG851" s="2322"/>
      <c r="AH851" s="2322"/>
      <c r="AI851" s="2322"/>
      <c r="AJ851" s="2322"/>
      <c r="AK851" s="2322"/>
      <c r="AL851" s="2322"/>
      <c r="AM851" s="2322"/>
      <c r="AN851" s="2322"/>
      <c r="AO851" s="2322"/>
      <c r="AP851" s="2322"/>
      <c r="AQ851" s="2322"/>
      <c r="AR851" s="2322"/>
      <c r="AS851" s="2322"/>
      <c r="AT851" s="2322"/>
      <c r="AU851" s="2322"/>
      <c r="AV851" s="2322"/>
      <c r="AW851" s="2322"/>
      <c r="AX851" s="2322"/>
      <c r="AY851" s="2322"/>
      <c r="AZ851" s="2322"/>
      <c r="BA851" s="2322"/>
      <c r="BB851" s="2322"/>
      <c r="BC851" s="2322"/>
      <c r="BD851" s="2322"/>
      <c r="BE851" s="2322"/>
      <c r="BF851" s="2322"/>
      <c r="BG851" s="2322"/>
      <c r="BH851" s="2322"/>
      <c r="BI851" s="2322"/>
      <c r="BJ851" s="2322"/>
      <c r="BK851" s="2322"/>
      <c r="BL851" s="2322"/>
      <c r="BM851" s="2322"/>
      <c r="BN851" s="2322"/>
      <c r="BO851" s="2322"/>
      <c r="BP851" s="2322"/>
      <c r="BQ851" s="2322"/>
      <c r="BR851" s="2322"/>
      <c r="BS851" s="2322"/>
      <c r="BT851" s="2322"/>
      <c r="BU851" s="2322"/>
      <c r="BV851" s="2322"/>
      <c r="BW851" s="2322"/>
      <c r="BX851" s="2322"/>
      <c r="BY851" s="2322"/>
      <c r="BZ851" s="2322"/>
      <c r="CA851" s="2322"/>
      <c r="CB851" s="2322"/>
      <c r="CC851" s="2322"/>
      <c r="CD851" s="2322"/>
      <c r="CE851" s="2322"/>
      <c r="CF851" s="2322"/>
      <c r="CG851" s="2322"/>
      <c r="CH851" s="2322"/>
      <c r="CI851" s="2322"/>
      <c r="CJ851" s="2322"/>
      <c r="CK851" s="2322"/>
      <c r="CL851" s="2322"/>
      <c r="CM851" s="2322"/>
      <c r="CN851" s="2322"/>
      <c r="CO851" s="2322"/>
      <c r="CP851" s="2322"/>
      <c r="CQ851" s="2322"/>
      <c r="CR851" s="2322"/>
      <c r="CS851" s="2322"/>
      <c r="CT851" s="2322"/>
      <c r="CU851" s="2322"/>
      <c r="CV851" s="2322"/>
    </row>
    <row r="852" spans="1:100" ht="15.75" customHeight="1">
      <c r="A852" s="2328"/>
      <c r="B852" s="2322"/>
      <c r="C852" s="2322"/>
      <c r="D852" s="2322"/>
      <c r="E852" s="2322"/>
      <c r="F852" s="2322"/>
      <c r="G852" s="2322"/>
      <c r="H852" s="2322"/>
      <c r="I852" s="2322"/>
      <c r="J852" s="2322"/>
      <c r="K852" s="2322"/>
      <c r="L852" s="2322"/>
      <c r="M852" s="2322"/>
      <c r="N852" s="2322"/>
      <c r="O852" s="2322"/>
      <c r="P852" s="2322"/>
      <c r="Q852" s="2322"/>
      <c r="R852" s="2322"/>
      <c r="S852" s="2322"/>
      <c r="T852" s="2322"/>
      <c r="U852" s="2322"/>
      <c r="V852" s="2322"/>
      <c r="W852" s="2322"/>
      <c r="X852" s="2322"/>
      <c r="Y852" s="2322"/>
      <c r="Z852" s="2322"/>
      <c r="AA852" s="2322"/>
      <c r="AB852" s="2322"/>
      <c r="AC852" s="2322"/>
      <c r="AD852" s="2322"/>
      <c r="AE852" s="2322"/>
      <c r="AF852" s="2322"/>
      <c r="AG852" s="2322"/>
      <c r="AH852" s="2322"/>
      <c r="AI852" s="2322"/>
      <c r="AJ852" s="2322"/>
      <c r="AK852" s="2322"/>
      <c r="AL852" s="2322"/>
      <c r="AM852" s="2322"/>
      <c r="AN852" s="2322"/>
      <c r="AO852" s="2322"/>
      <c r="AP852" s="2322"/>
      <c r="AQ852" s="2322"/>
      <c r="AR852" s="2322"/>
      <c r="AS852" s="2322"/>
      <c r="AT852" s="2322"/>
      <c r="AU852" s="2322"/>
      <c r="AV852" s="2322"/>
      <c r="AW852" s="2322"/>
      <c r="AX852" s="2322"/>
      <c r="AY852" s="2322"/>
      <c r="AZ852" s="2322"/>
      <c r="BA852" s="2322"/>
      <c r="BB852" s="2322"/>
      <c r="BC852" s="2322"/>
      <c r="BD852" s="2322"/>
      <c r="BE852" s="2322"/>
      <c r="BF852" s="2322"/>
      <c r="BG852" s="2322"/>
      <c r="BH852" s="2322"/>
      <c r="BI852" s="2322"/>
      <c r="BJ852" s="2322"/>
      <c r="BK852" s="2322"/>
      <c r="BL852" s="2322"/>
      <c r="BM852" s="2322"/>
      <c r="BN852" s="2322"/>
      <c r="BO852" s="2322"/>
      <c r="BP852" s="2322"/>
      <c r="BQ852" s="2322"/>
      <c r="BR852" s="2322"/>
      <c r="BS852" s="2322"/>
      <c r="BT852" s="2322"/>
      <c r="BU852" s="2322"/>
      <c r="BV852" s="2322"/>
      <c r="BW852" s="2322"/>
      <c r="BX852" s="2322"/>
      <c r="BY852" s="2322"/>
      <c r="BZ852" s="2322"/>
      <c r="CA852" s="2322"/>
      <c r="CB852" s="2322"/>
      <c r="CC852" s="2322"/>
      <c r="CD852" s="2322"/>
      <c r="CE852" s="2322"/>
      <c r="CF852" s="2322"/>
      <c r="CG852" s="2322"/>
      <c r="CH852" s="2322"/>
      <c r="CI852" s="2322"/>
      <c r="CJ852" s="2322"/>
      <c r="CK852" s="2322"/>
      <c r="CL852" s="2322"/>
      <c r="CM852" s="2322"/>
      <c r="CN852" s="2322"/>
      <c r="CO852" s="2322"/>
      <c r="CP852" s="2322"/>
      <c r="CQ852" s="2322"/>
      <c r="CR852" s="2322"/>
      <c r="CS852" s="2322"/>
      <c r="CT852" s="2322"/>
      <c r="CU852" s="2322"/>
      <c r="CV852" s="2322"/>
    </row>
    <row r="853" spans="1:100" ht="15.75" customHeight="1">
      <c r="A853" s="2328"/>
      <c r="B853" s="2322"/>
      <c r="C853" s="2322"/>
      <c r="D853" s="2322"/>
      <c r="E853" s="2322"/>
      <c r="F853" s="2322"/>
      <c r="G853" s="2322"/>
      <c r="H853" s="2322"/>
      <c r="I853" s="2322"/>
      <c r="J853" s="2322"/>
      <c r="K853" s="2322"/>
      <c r="L853" s="2322"/>
      <c r="M853" s="2322"/>
      <c r="N853" s="2322"/>
      <c r="O853" s="2322"/>
      <c r="P853" s="2322"/>
      <c r="Q853" s="2322"/>
      <c r="R853" s="2322"/>
      <c r="S853" s="2322"/>
      <c r="T853" s="2322"/>
      <c r="U853" s="2322"/>
      <c r="V853" s="2322"/>
      <c r="W853" s="2322"/>
      <c r="X853" s="2322"/>
      <c r="Y853" s="2322"/>
      <c r="Z853" s="2322"/>
      <c r="AA853" s="2322"/>
      <c r="AB853" s="2322"/>
      <c r="AC853" s="2322"/>
      <c r="AD853" s="2322"/>
      <c r="AE853" s="2322"/>
      <c r="AF853" s="2322"/>
      <c r="AG853" s="2322"/>
      <c r="AH853" s="2322"/>
      <c r="AI853" s="2322"/>
      <c r="AJ853" s="2322"/>
      <c r="AK853" s="2322"/>
      <c r="AL853" s="2322"/>
      <c r="AM853" s="2322"/>
      <c r="AN853" s="2322"/>
      <c r="AO853" s="2322"/>
      <c r="AP853" s="2322"/>
      <c r="AQ853" s="2322"/>
      <c r="AR853" s="2322"/>
      <c r="AS853" s="2322"/>
      <c r="AT853" s="2322"/>
      <c r="AU853" s="2322"/>
      <c r="AV853" s="2322"/>
      <c r="AW853" s="2322"/>
      <c r="AX853" s="2322"/>
      <c r="AY853" s="2322"/>
      <c r="AZ853" s="2322"/>
      <c r="BA853" s="2322"/>
      <c r="BB853" s="2322"/>
      <c r="BC853" s="2322"/>
      <c r="BD853" s="2322"/>
      <c r="BE853" s="2322"/>
      <c r="BF853" s="2322"/>
      <c r="BG853" s="2322"/>
      <c r="BH853" s="2322"/>
      <c r="BI853" s="2322"/>
      <c r="BJ853" s="2322"/>
      <c r="BK853" s="2322"/>
      <c r="BL853" s="2322"/>
      <c r="BM853" s="2322"/>
      <c r="BN853" s="2322"/>
      <c r="BO853" s="2322"/>
      <c r="BP853" s="2322"/>
      <c r="BQ853" s="2322"/>
      <c r="BR853" s="2322"/>
      <c r="BS853" s="2322"/>
      <c r="BT853" s="2322"/>
      <c r="BU853" s="2322"/>
      <c r="BV853" s="2322"/>
      <c r="BW853" s="2322"/>
      <c r="BX853" s="2322"/>
      <c r="BY853" s="2322"/>
      <c r="BZ853" s="2322"/>
      <c r="CA853" s="2322"/>
      <c r="CB853" s="2322"/>
      <c r="CC853" s="2322"/>
      <c r="CD853" s="2322"/>
      <c r="CE853" s="2322"/>
      <c r="CF853" s="2322"/>
      <c r="CG853" s="2322"/>
      <c r="CH853" s="2322"/>
      <c r="CI853" s="2322"/>
      <c r="CJ853" s="2322"/>
      <c r="CK853" s="2322"/>
      <c r="CL853" s="2322"/>
      <c r="CM853" s="2322"/>
      <c r="CN853" s="2322"/>
      <c r="CO853" s="2322"/>
      <c r="CP853" s="2322"/>
      <c r="CQ853" s="2322"/>
      <c r="CR853" s="2322"/>
      <c r="CS853" s="2322"/>
      <c r="CT853" s="2322"/>
      <c r="CU853" s="2322"/>
      <c r="CV853" s="2322"/>
    </row>
    <row r="854" spans="1:100" ht="15.75" customHeight="1">
      <c r="A854" s="2328"/>
      <c r="B854" s="2322"/>
      <c r="C854" s="2322"/>
      <c r="D854" s="2322"/>
      <c r="E854" s="2322"/>
      <c r="F854" s="2322"/>
      <c r="G854" s="2322"/>
      <c r="H854" s="2322"/>
      <c r="I854" s="2322"/>
      <c r="J854" s="2322"/>
      <c r="K854" s="2322"/>
      <c r="L854" s="2322"/>
      <c r="M854" s="2322"/>
      <c r="N854" s="2322"/>
      <c r="O854" s="2322"/>
      <c r="P854" s="2322"/>
      <c r="Q854" s="2322"/>
      <c r="R854" s="2322"/>
      <c r="S854" s="2322"/>
      <c r="T854" s="2322"/>
      <c r="U854" s="2322"/>
      <c r="V854" s="2322"/>
      <c r="W854" s="2322"/>
      <c r="X854" s="2322"/>
      <c r="Y854" s="2322"/>
      <c r="Z854" s="2322"/>
      <c r="AA854" s="2322"/>
      <c r="AB854" s="2322"/>
      <c r="AC854" s="2322"/>
      <c r="AD854" s="2322"/>
      <c r="AE854" s="2322"/>
      <c r="AF854" s="2322"/>
      <c r="AG854" s="2322"/>
      <c r="AH854" s="2322"/>
      <c r="AI854" s="2322"/>
      <c r="AJ854" s="2322"/>
      <c r="AK854" s="2322"/>
      <c r="AL854" s="2322"/>
      <c r="AM854" s="2322"/>
      <c r="AN854" s="2322"/>
      <c r="AO854" s="2322"/>
      <c r="AP854" s="2322"/>
      <c r="AQ854" s="2322"/>
      <c r="AR854" s="2322"/>
      <c r="AS854" s="2322"/>
      <c r="AT854" s="2322"/>
      <c r="AU854" s="2322"/>
      <c r="AV854" s="2322"/>
      <c r="AW854" s="2322"/>
      <c r="AX854" s="2322"/>
      <c r="AY854" s="2322"/>
      <c r="AZ854" s="2322"/>
      <c r="BA854" s="2322"/>
      <c r="BB854" s="2322"/>
      <c r="BC854" s="2322"/>
      <c r="BD854" s="2322"/>
      <c r="BE854" s="2322"/>
      <c r="BF854" s="2322"/>
      <c r="BG854" s="2322"/>
      <c r="BH854" s="2322"/>
      <c r="BI854" s="2322"/>
      <c r="BJ854" s="2322"/>
      <c r="BK854" s="2322"/>
      <c r="BL854" s="2322"/>
      <c r="BM854" s="2322"/>
      <c r="BN854" s="2322"/>
      <c r="BO854" s="2322"/>
      <c r="BP854" s="2322"/>
      <c r="BQ854" s="2322"/>
      <c r="BR854" s="2322"/>
      <c r="BS854" s="2322"/>
      <c r="BT854" s="2322"/>
      <c r="BU854" s="2322"/>
      <c r="BV854" s="2322"/>
      <c r="BW854" s="2322"/>
      <c r="BX854" s="2322"/>
      <c r="BY854" s="2322"/>
      <c r="BZ854" s="2322"/>
      <c r="CA854" s="2322"/>
      <c r="CB854" s="2322"/>
      <c r="CC854" s="2322"/>
      <c r="CD854" s="2322"/>
      <c r="CE854" s="2322"/>
      <c r="CF854" s="2322"/>
      <c r="CG854" s="2322"/>
      <c r="CH854" s="2322"/>
      <c r="CI854" s="2322"/>
      <c r="CJ854" s="2322"/>
      <c r="CK854" s="2322"/>
      <c r="CL854" s="2322"/>
      <c r="CM854" s="2322"/>
      <c r="CN854" s="2322"/>
      <c r="CO854" s="2322"/>
      <c r="CP854" s="2322"/>
      <c r="CQ854" s="2322"/>
      <c r="CR854" s="2322"/>
      <c r="CS854" s="2322"/>
      <c r="CT854" s="2322"/>
      <c r="CU854" s="2322"/>
      <c r="CV854" s="2322"/>
    </row>
    <row r="855" spans="1:100" ht="15.75" customHeight="1">
      <c r="A855" s="2328"/>
      <c r="B855" s="2322"/>
      <c r="C855" s="2322"/>
      <c r="D855" s="2322"/>
      <c r="E855" s="2322"/>
      <c r="F855" s="2322"/>
      <c r="G855" s="2322"/>
      <c r="H855" s="2322"/>
      <c r="I855" s="2322"/>
      <c r="J855" s="2322"/>
      <c r="K855" s="2322"/>
      <c r="L855" s="2322"/>
      <c r="M855" s="2322"/>
      <c r="N855" s="2322"/>
      <c r="O855" s="2322"/>
      <c r="P855" s="2322"/>
      <c r="Q855" s="2322"/>
      <c r="R855" s="2322"/>
      <c r="S855" s="2322"/>
      <c r="T855" s="2322"/>
      <c r="U855" s="2322"/>
      <c r="V855" s="2322"/>
      <c r="W855" s="2322"/>
      <c r="X855" s="2322"/>
      <c r="Y855" s="2322"/>
      <c r="Z855" s="2322"/>
      <c r="AA855" s="2322"/>
      <c r="AB855" s="2322"/>
      <c r="AC855" s="2322"/>
      <c r="AD855" s="2322"/>
      <c r="AE855" s="2322"/>
      <c r="AF855" s="2322"/>
      <c r="AG855" s="2322"/>
      <c r="AH855" s="2322"/>
      <c r="AI855" s="2322"/>
      <c r="AJ855" s="2322"/>
      <c r="AK855" s="2322"/>
      <c r="AL855" s="2322"/>
      <c r="AM855" s="2322"/>
      <c r="AN855" s="2322"/>
      <c r="AO855" s="2322"/>
      <c r="AP855" s="2322"/>
      <c r="AQ855" s="2322"/>
      <c r="AR855" s="2322"/>
      <c r="AS855" s="2322"/>
      <c r="AT855" s="2322"/>
      <c r="AU855" s="2322"/>
      <c r="AV855" s="2322"/>
      <c r="AW855" s="2322"/>
      <c r="AX855" s="2322"/>
      <c r="AY855" s="2322"/>
      <c r="AZ855" s="2322"/>
      <c r="BA855" s="2322"/>
      <c r="BB855" s="2322"/>
      <c r="BC855" s="2322"/>
      <c r="BD855" s="2322"/>
      <c r="BE855" s="2322"/>
      <c r="BF855" s="2322"/>
      <c r="BG855" s="2322"/>
      <c r="BH855" s="2322"/>
      <c r="BI855" s="2322"/>
      <c r="BJ855" s="2322"/>
      <c r="BK855" s="2322"/>
      <c r="BL855" s="2322"/>
      <c r="BM855" s="2322"/>
      <c r="BN855" s="2322"/>
      <c r="BO855" s="2322"/>
      <c r="BP855" s="2322"/>
      <c r="BQ855" s="2322"/>
      <c r="BR855" s="2322"/>
      <c r="BS855" s="2322"/>
      <c r="BT855" s="2322"/>
      <c r="BU855" s="2322"/>
      <c r="BV855" s="2322"/>
      <c r="BW855" s="2322"/>
      <c r="BX855" s="2322"/>
      <c r="BY855" s="2322"/>
      <c r="BZ855" s="2322"/>
      <c r="CA855" s="2322"/>
      <c r="CB855" s="2322"/>
      <c r="CC855" s="2322"/>
      <c r="CD855" s="2322"/>
      <c r="CE855" s="2322"/>
      <c r="CF855" s="2322"/>
      <c r="CG855" s="2322"/>
      <c r="CH855" s="2322"/>
      <c r="CI855" s="2322"/>
      <c r="CJ855" s="2322"/>
      <c r="CK855" s="2322"/>
      <c r="CL855" s="2322"/>
      <c r="CM855" s="2322"/>
      <c r="CN855" s="2322"/>
      <c r="CO855" s="2322"/>
      <c r="CP855" s="2322"/>
      <c r="CQ855" s="2322"/>
      <c r="CR855" s="2322"/>
      <c r="CS855" s="2322"/>
      <c r="CT855" s="2322"/>
      <c r="CU855" s="2322"/>
      <c r="CV855" s="2322"/>
    </row>
    <row r="856" spans="1:100" ht="15.75" customHeight="1">
      <c r="A856" s="2328"/>
      <c r="B856" s="2322"/>
      <c r="C856" s="2322"/>
      <c r="D856" s="2322"/>
      <c r="E856" s="2322"/>
      <c r="F856" s="2322"/>
      <c r="G856" s="2322"/>
      <c r="H856" s="2322"/>
      <c r="I856" s="2322"/>
      <c r="J856" s="2322"/>
      <c r="K856" s="2322"/>
      <c r="L856" s="2322"/>
      <c r="M856" s="2322"/>
      <c r="N856" s="2322"/>
      <c r="O856" s="2322"/>
      <c r="P856" s="2322"/>
      <c r="Q856" s="2322"/>
      <c r="R856" s="2322"/>
      <c r="S856" s="2322"/>
      <c r="T856" s="2322"/>
      <c r="U856" s="2322"/>
      <c r="V856" s="2322"/>
      <c r="W856" s="2322"/>
      <c r="X856" s="2322"/>
      <c r="Y856" s="2322"/>
      <c r="Z856" s="2322"/>
      <c r="AA856" s="2322"/>
      <c r="AB856" s="2322"/>
      <c r="AC856" s="2322"/>
      <c r="AD856" s="2322"/>
      <c r="AE856" s="2322"/>
      <c r="AF856" s="2322"/>
      <c r="AG856" s="2322"/>
      <c r="AH856" s="2322"/>
      <c r="AI856" s="2322"/>
      <c r="AJ856" s="2322"/>
      <c r="AK856" s="2322"/>
      <c r="AL856" s="2322"/>
      <c r="AM856" s="2322"/>
      <c r="AN856" s="2322"/>
      <c r="AO856" s="2322"/>
      <c r="AP856" s="2322"/>
      <c r="AQ856" s="2322"/>
      <c r="AR856" s="2322"/>
      <c r="AS856" s="2322"/>
      <c r="AT856" s="2322"/>
      <c r="AU856" s="2322"/>
      <c r="AV856" s="2322"/>
      <c r="AW856" s="2322"/>
      <c r="AX856" s="2322"/>
      <c r="AY856" s="2322"/>
      <c r="AZ856" s="2322"/>
      <c r="BA856" s="2322"/>
      <c r="BB856" s="2322"/>
      <c r="BC856" s="2322"/>
      <c r="BD856" s="2322"/>
      <c r="BE856" s="2322"/>
      <c r="BF856" s="2322"/>
      <c r="BG856" s="2322"/>
      <c r="BH856" s="2322"/>
      <c r="BI856" s="2322"/>
      <c r="BJ856" s="2322"/>
      <c r="BK856" s="2322"/>
      <c r="BL856" s="2322"/>
      <c r="BM856" s="2322"/>
      <c r="BN856" s="2322"/>
      <c r="BO856" s="2322"/>
      <c r="BP856" s="2322"/>
      <c r="BQ856" s="2322"/>
      <c r="BR856" s="2322"/>
      <c r="BS856" s="2322"/>
      <c r="BT856" s="2322"/>
      <c r="BU856" s="2322"/>
      <c r="BV856" s="2322"/>
      <c r="BW856" s="2322"/>
      <c r="BX856" s="2322"/>
      <c r="BY856" s="2322"/>
      <c r="BZ856" s="2322"/>
      <c r="CA856" s="2322"/>
      <c r="CB856" s="2322"/>
      <c r="CC856" s="2322"/>
      <c r="CD856" s="2322"/>
      <c r="CE856" s="2322"/>
      <c r="CF856" s="2322"/>
      <c r="CG856" s="2322"/>
      <c r="CH856" s="2322"/>
      <c r="CI856" s="2322"/>
      <c r="CJ856" s="2322"/>
      <c r="CK856" s="2322"/>
      <c r="CL856" s="2322"/>
      <c r="CM856" s="2322"/>
      <c r="CN856" s="2322"/>
      <c r="CO856" s="2322"/>
      <c r="CP856" s="2322"/>
      <c r="CQ856" s="2322"/>
      <c r="CR856" s="2322"/>
      <c r="CS856" s="2322"/>
      <c r="CT856" s="2322"/>
      <c r="CU856" s="2322"/>
      <c r="CV856" s="2322"/>
    </row>
    <row r="857" spans="1:100" ht="15.75" customHeight="1">
      <c r="A857" s="2328"/>
      <c r="B857" s="2322"/>
      <c r="C857" s="2322"/>
      <c r="D857" s="2322"/>
      <c r="E857" s="2322"/>
      <c r="F857" s="2322"/>
      <c r="G857" s="2322"/>
      <c r="H857" s="2322"/>
      <c r="I857" s="2322"/>
      <c r="J857" s="2322"/>
      <c r="K857" s="2322"/>
      <c r="L857" s="2322"/>
      <c r="M857" s="2322"/>
      <c r="N857" s="2322"/>
      <c r="O857" s="2322"/>
      <c r="P857" s="2322"/>
      <c r="Q857" s="2322"/>
      <c r="R857" s="2322"/>
      <c r="S857" s="2322"/>
      <c r="T857" s="2322"/>
      <c r="U857" s="2322"/>
      <c r="V857" s="2322"/>
      <c r="W857" s="2322"/>
      <c r="X857" s="2322"/>
      <c r="Y857" s="2322"/>
      <c r="Z857" s="2322"/>
      <c r="AA857" s="2322"/>
      <c r="AB857" s="2322"/>
      <c r="AC857" s="2322"/>
      <c r="AD857" s="2322"/>
      <c r="AE857" s="2322"/>
      <c r="AF857" s="2322"/>
      <c r="AG857" s="2322"/>
      <c r="AH857" s="2322"/>
      <c r="AI857" s="2322"/>
      <c r="AJ857" s="2322"/>
      <c r="AK857" s="2322"/>
      <c r="AL857" s="2322"/>
      <c r="AM857" s="2322"/>
      <c r="AN857" s="2322"/>
      <c r="AO857" s="2322"/>
      <c r="AP857" s="2322"/>
      <c r="AQ857" s="2322"/>
      <c r="AR857" s="2322"/>
      <c r="AS857" s="2322"/>
      <c r="AT857" s="2322"/>
      <c r="AU857" s="2322"/>
      <c r="AV857" s="2322"/>
      <c r="AW857" s="2322"/>
      <c r="AX857" s="2322"/>
      <c r="AY857" s="2322"/>
      <c r="AZ857" s="2322"/>
      <c r="BA857" s="2322"/>
      <c r="BB857" s="2322"/>
      <c r="BC857" s="2322"/>
      <c r="BD857" s="2322"/>
      <c r="BE857" s="2322"/>
      <c r="BF857" s="2322"/>
      <c r="BG857" s="2322"/>
      <c r="BH857" s="2322"/>
      <c r="BI857" s="2322"/>
      <c r="BJ857" s="2322"/>
      <c r="BK857" s="2322"/>
      <c r="BL857" s="2322"/>
      <c r="BM857" s="2322"/>
      <c r="BN857" s="2322"/>
      <c r="BO857" s="2322"/>
      <c r="BP857" s="2322"/>
      <c r="BQ857" s="2322"/>
      <c r="BR857" s="2322"/>
      <c r="BS857" s="2322"/>
      <c r="BT857" s="2322"/>
      <c r="BU857" s="2322"/>
      <c r="BV857" s="2322"/>
      <c r="BW857" s="2322"/>
      <c r="BX857" s="2322"/>
      <c r="BY857" s="2322"/>
      <c r="BZ857" s="2322"/>
      <c r="CA857" s="2322"/>
      <c r="CB857" s="2322"/>
      <c r="CC857" s="2322"/>
      <c r="CD857" s="2322"/>
      <c r="CE857" s="2322"/>
      <c r="CF857" s="2322"/>
      <c r="CG857" s="2322"/>
      <c r="CH857" s="2322"/>
      <c r="CI857" s="2322"/>
      <c r="CJ857" s="2322"/>
      <c r="CK857" s="2322"/>
      <c r="CL857" s="2322"/>
      <c r="CM857" s="2322"/>
      <c r="CN857" s="2322"/>
      <c r="CO857" s="2322"/>
      <c r="CP857" s="2322"/>
      <c r="CQ857" s="2322"/>
      <c r="CR857" s="2322"/>
      <c r="CS857" s="2322"/>
      <c r="CT857" s="2322"/>
      <c r="CU857" s="2322"/>
      <c r="CV857" s="2322"/>
    </row>
    <row r="858" spans="1:100" ht="15.75" customHeight="1">
      <c r="A858" s="2328"/>
      <c r="B858" s="2322"/>
      <c r="C858" s="2322"/>
      <c r="D858" s="2322"/>
      <c r="E858" s="2322"/>
      <c r="F858" s="2322"/>
      <c r="G858" s="2322"/>
      <c r="H858" s="2322"/>
      <c r="I858" s="2322"/>
      <c r="J858" s="2322"/>
      <c r="K858" s="2322"/>
      <c r="L858" s="2322"/>
      <c r="M858" s="2322"/>
      <c r="N858" s="2322"/>
      <c r="O858" s="2322"/>
      <c r="P858" s="2322"/>
      <c r="Q858" s="2322"/>
      <c r="R858" s="2322"/>
      <c r="S858" s="2322"/>
      <c r="T858" s="2322"/>
      <c r="U858" s="2322"/>
      <c r="V858" s="2322"/>
      <c r="W858" s="2322"/>
      <c r="X858" s="2322"/>
      <c r="Y858" s="2322"/>
      <c r="Z858" s="2322"/>
      <c r="AA858" s="2322"/>
      <c r="AB858" s="2322"/>
      <c r="AC858" s="2322"/>
      <c r="AD858" s="2322"/>
      <c r="AE858" s="2322"/>
      <c r="AF858" s="2322"/>
      <c r="AG858" s="2322"/>
      <c r="AH858" s="2322"/>
      <c r="AI858" s="2322"/>
      <c r="AJ858" s="2322"/>
      <c r="AK858" s="2322"/>
      <c r="AL858" s="2322"/>
      <c r="AM858" s="2322"/>
      <c r="AN858" s="2322"/>
      <c r="AO858" s="2322"/>
      <c r="AP858" s="2322"/>
      <c r="AQ858" s="2322"/>
      <c r="AR858" s="2322"/>
      <c r="AS858" s="2322"/>
      <c r="AT858" s="2322"/>
      <c r="AU858" s="2322"/>
      <c r="AV858" s="2322"/>
      <c r="AW858" s="2322"/>
      <c r="AX858" s="2322"/>
      <c r="AY858" s="2322"/>
      <c r="AZ858" s="2322"/>
      <c r="BA858" s="2322"/>
      <c r="BB858" s="2322"/>
      <c r="BC858" s="2322"/>
      <c r="BD858" s="2322"/>
      <c r="BE858" s="2322"/>
      <c r="BF858" s="2322"/>
      <c r="BG858" s="2322"/>
      <c r="BH858" s="2322"/>
      <c r="BI858" s="2322"/>
      <c r="BJ858" s="2322"/>
      <c r="BK858" s="2322"/>
      <c r="BL858" s="2322"/>
      <c r="BM858" s="2322"/>
      <c r="BN858" s="2322"/>
      <c r="BO858" s="2322"/>
      <c r="BP858" s="2322"/>
      <c r="BQ858" s="2322"/>
      <c r="BR858" s="2322"/>
      <c r="BS858" s="2322"/>
      <c r="BT858" s="2322"/>
      <c r="BU858" s="2322"/>
      <c r="BV858" s="2322"/>
      <c r="BW858" s="2322"/>
      <c r="BX858" s="2322"/>
      <c r="BY858" s="2322"/>
      <c r="BZ858" s="2322"/>
      <c r="CA858" s="2322"/>
      <c r="CB858" s="2322"/>
      <c r="CC858" s="2322"/>
      <c r="CD858" s="2322"/>
      <c r="CE858" s="2322"/>
      <c r="CF858" s="2322"/>
      <c r="CG858" s="2322"/>
      <c r="CH858" s="2322"/>
      <c r="CI858" s="2322"/>
      <c r="CJ858" s="2322"/>
      <c r="CK858" s="2322"/>
      <c r="CL858" s="2322"/>
      <c r="CM858" s="2322"/>
      <c r="CN858" s="2322"/>
      <c r="CO858" s="2322"/>
      <c r="CP858" s="2322"/>
      <c r="CQ858" s="2322"/>
      <c r="CR858" s="2322"/>
      <c r="CS858" s="2322"/>
      <c r="CT858" s="2322"/>
      <c r="CU858" s="2322"/>
      <c r="CV858" s="2322"/>
    </row>
    <row r="859" spans="1:100" ht="15.75" customHeight="1">
      <c r="A859" s="2328"/>
      <c r="B859" s="2322"/>
      <c r="C859" s="2322"/>
      <c r="D859" s="2322"/>
      <c r="E859" s="2322"/>
      <c r="F859" s="2322"/>
      <c r="G859" s="2322"/>
      <c r="H859" s="2322"/>
      <c r="I859" s="2322"/>
      <c r="J859" s="2322"/>
      <c r="K859" s="2322"/>
      <c r="L859" s="2322"/>
      <c r="M859" s="2322"/>
      <c r="N859" s="2322"/>
      <c r="O859" s="2322"/>
      <c r="P859" s="2322"/>
      <c r="Q859" s="2322"/>
      <c r="R859" s="2322"/>
      <c r="S859" s="2322"/>
      <c r="T859" s="2322"/>
      <c r="U859" s="2322"/>
      <c r="V859" s="2322"/>
      <c r="W859" s="2322"/>
      <c r="X859" s="2322"/>
      <c r="Y859" s="2322"/>
      <c r="Z859" s="2322"/>
      <c r="AA859" s="2322"/>
      <c r="AB859" s="2322"/>
      <c r="AC859" s="2322"/>
      <c r="AD859" s="2322"/>
      <c r="AE859" s="2322"/>
      <c r="AF859" s="2322"/>
      <c r="AG859" s="2322"/>
      <c r="AH859" s="2322"/>
      <c r="AI859" s="2322"/>
      <c r="AJ859" s="2322"/>
      <c r="AK859" s="2322"/>
      <c r="AL859" s="2322"/>
      <c r="AM859" s="2322"/>
      <c r="AN859" s="2322"/>
      <c r="AO859" s="2322"/>
      <c r="AP859" s="2322"/>
      <c r="AQ859" s="2322"/>
      <c r="AR859" s="2322"/>
      <c r="AS859" s="2322"/>
      <c r="AT859" s="2322"/>
      <c r="AU859" s="2322"/>
      <c r="AV859" s="2322"/>
      <c r="AW859" s="2322"/>
      <c r="AX859" s="2322"/>
      <c r="AY859" s="2322"/>
      <c r="AZ859" s="2322"/>
      <c r="BA859" s="2322"/>
      <c r="BB859" s="2322"/>
      <c r="BC859" s="2322"/>
      <c r="BD859" s="2322"/>
      <c r="BE859" s="2322"/>
      <c r="BF859" s="2322"/>
      <c r="BG859" s="2322"/>
      <c r="BH859" s="2322"/>
      <c r="BI859" s="2322"/>
      <c r="BJ859" s="2322"/>
      <c r="BK859" s="2322"/>
      <c r="BL859" s="2322"/>
      <c r="BM859" s="2322"/>
      <c r="BN859" s="2322"/>
      <c r="BO859" s="2322"/>
      <c r="BP859" s="2322"/>
      <c r="BQ859" s="2322"/>
      <c r="BR859" s="2322"/>
      <c r="BS859" s="2322"/>
      <c r="BT859" s="2322"/>
      <c r="BU859" s="2322"/>
      <c r="BV859" s="2322"/>
      <c r="BW859" s="2322"/>
      <c r="BX859" s="2322"/>
      <c r="BY859" s="2322"/>
      <c r="BZ859" s="2322"/>
      <c r="CA859" s="2322"/>
      <c r="CB859" s="2322"/>
      <c r="CC859" s="2322"/>
      <c r="CD859" s="2322"/>
      <c r="CE859" s="2322"/>
      <c r="CF859" s="2322"/>
      <c r="CG859" s="2322"/>
      <c r="CH859" s="2322"/>
      <c r="CI859" s="2322"/>
      <c r="CJ859" s="2322"/>
      <c r="CK859" s="2322"/>
      <c r="CL859" s="2322"/>
      <c r="CM859" s="2322"/>
      <c r="CN859" s="2322"/>
      <c r="CO859" s="2322"/>
      <c r="CP859" s="2322"/>
      <c r="CQ859" s="2322"/>
      <c r="CR859" s="2322"/>
      <c r="CS859" s="2322"/>
      <c r="CT859" s="2322"/>
      <c r="CU859" s="2322"/>
      <c r="CV859" s="2322"/>
    </row>
    <row r="860" spans="1:100" ht="15.75" customHeight="1">
      <c r="A860" s="2328"/>
      <c r="B860" s="2322"/>
      <c r="C860" s="2322"/>
      <c r="D860" s="2322"/>
      <c r="E860" s="2322"/>
      <c r="F860" s="2322"/>
      <c r="G860" s="2322"/>
      <c r="H860" s="2322"/>
      <c r="I860" s="2322"/>
      <c r="J860" s="2322"/>
      <c r="K860" s="2322"/>
      <c r="L860" s="2322"/>
      <c r="M860" s="2322"/>
      <c r="N860" s="2322"/>
      <c r="O860" s="2322"/>
      <c r="P860" s="2322"/>
      <c r="Q860" s="2322"/>
      <c r="R860" s="2322"/>
      <c r="S860" s="2322"/>
      <c r="T860" s="2322"/>
      <c r="U860" s="2322"/>
      <c r="V860" s="2322"/>
      <c r="W860" s="2322"/>
      <c r="X860" s="2322"/>
      <c r="Y860" s="2322"/>
      <c r="Z860" s="2322"/>
      <c r="AA860" s="2322"/>
      <c r="AB860" s="2322"/>
      <c r="AC860" s="2322"/>
      <c r="AD860" s="2322"/>
      <c r="AE860" s="2322"/>
      <c r="AF860" s="2322"/>
      <c r="AG860" s="2322"/>
      <c r="AH860" s="2322"/>
      <c r="AI860" s="2322"/>
      <c r="AJ860" s="2322"/>
      <c r="AK860" s="2322"/>
      <c r="AL860" s="2322"/>
      <c r="AM860" s="2322"/>
      <c r="AN860" s="2322"/>
      <c r="AO860" s="2322"/>
      <c r="AP860" s="2322"/>
      <c r="AQ860" s="2322"/>
      <c r="AR860" s="2322"/>
      <c r="AS860" s="2322"/>
      <c r="AT860" s="2322"/>
      <c r="AU860" s="2322"/>
      <c r="AV860" s="2322"/>
      <c r="AW860" s="2322"/>
      <c r="AX860" s="2322"/>
      <c r="AY860" s="2322"/>
      <c r="AZ860" s="2322"/>
      <c r="BA860" s="2322"/>
      <c r="BB860" s="2322"/>
      <c r="BC860" s="2322"/>
      <c r="BD860" s="2322"/>
      <c r="BE860" s="2322"/>
      <c r="BF860" s="2322"/>
      <c r="BG860" s="2322"/>
      <c r="BH860" s="2322"/>
      <c r="BI860" s="2322"/>
      <c r="BJ860" s="2322"/>
      <c r="BK860" s="2322"/>
      <c r="BL860" s="2322"/>
      <c r="BM860" s="2322"/>
      <c r="BN860" s="2322"/>
      <c r="BO860" s="2322"/>
      <c r="BP860" s="2322"/>
      <c r="BQ860" s="2322"/>
      <c r="BR860" s="2322"/>
      <c r="BS860" s="2322"/>
      <c r="BT860" s="2322"/>
      <c r="BU860" s="2322"/>
      <c r="BV860" s="2322"/>
      <c r="BW860" s="2322"/>
      <c r="BX860" s="2322"/>
      <c r="BY860" s="2322"/>
      <c r="BZ860" s="2322"/>
      <c r="CA860" s="2322"/>
      <c r="CB860" s="2322"/>
      <c r="CC860" s="2322"/>
      <c r="CD860" s="2322"/>
      <c r="CE860" s="2322"/>
      <c r="CF860" s="2322"/>
      <c r="CG860" s="2322"/>
      <c r="CH860" s="2322"/>
      <c r="CI860" s="2322"/>
      <c r="CJ860" s="2322"/>
      <c r="CK860" s="2322"/>
      <c r="CL860" s="2322"/>
      <c r="CM860" s="2322"/>
      <c r="CN860" s="2322"/>
      <c r="CO860" s="2322"/>
      <c r="CP860" s="2322"/>
      <c r="CQ860" s="2322"/>
      <c r="CR860" s="2322"/>
      <c r="CS860" s="2322"/>
      <c r="CT860" s="2322"/>
      <c r="CU860" s="2322"/>
      <c r="CV860" s="2322"/>
    </row>
    <row r="861" spans="1:100" ht="15.75" customHeight="1">
      <c r="A861" s="2328"/>
      <c r="B861" s="2322"/>
      <c r="C861" s="2322"/>
      <c r="D861" s="2322"/>
      <c r="E861" s="2322"/>
      <c r="F861" s="2322"/>
      <c r="G861" s="2322"/>
      <c r="H861" s="2322"/>
      <c r="I861" s="2322"/>
      <c r="J861" s="2322"/>
      <c r="K861" s="2322"/>
      <c r="L861" s="2322"/>
      <c r="M861" s="2322"/>
      <c r="N861" s="2322"/>
      <c r="O861" s="2322"/>
      <c r="P861" s="2322"/>
      <c r="Q861" s="2322"/>
      <c r="R861" s="2322"/>
      <c r="S861" s="2322"/>
      <c r="T861" s="2322"/>
      <c r="U861" s="2322"/>
      <c r="V861" s="2322"/>
      <c r="W861" s="2322"/>
      <c r="X861" s="2322"/>
      <c r="Y861" s="2322"/>
      <c r="Z861" s="2322"/>
      <c r="AA861" s="2322"/>
      <c r="AB861" s="2322"/>
      <c r="AC861" s="2322"/>
      <c r="AD861" s="2322"/>
      <c r="AE861" s="2322"/>
      <c r="AF861" s="2322"/>
      <c r="AG861" s="2322"/>
      <c r="AH861" s="2322"/>
      <c r="AI861" s="2322"/>
      <c r="AJ861" s="2322"/>
      <c r="AK861" s="2322"/>
      <c r="AL861" s="2322"/>
      <c r="AM861" s="2322"/>
      <c r="AN861" s="2322"/>
      <c r="AO861" s="2322"/>
      <c r="AP861" s="2322"/>
      <c r="AQ861" s="2322"/>
      <c r="AR861" s="2322"/>
      <c r="AS861" s="2322"/>
      <c r="AT861" s="2322"/>
      <c r="AU861" s="2322"/>
      <c r="AV861" s="2322"/>
      <c r="AW861" s="2322"/>
      <c r="AX861" s="2322"/>
      <c r="AY861" s="2322"/>
      <c r="AZ861" s="2322"/>
      <c r="BA861" s="2322"/>
      <c r="BB861" s="2322"/>
      <c r="BC861" s="2322"/>
      <c r="BD861" s="2322"/>
      <c r="BE861" s="2322"/>
      <c r="BF861" s="2322"/>
      <c r="BG861" s="2322"/>
      <c r="BH861" s="2322"/>
      <c r="BI861" s="2322"/>
      <c r="BJ861" s="2322"/>
      <c r="BK861" s="2322"/>
      <c r="BL861" s="2322"/>
      <c r="BM861" s="2322"/>
      <c r="BN861" s="2322"/>
      <c r="BO861" s="2322"/>
      <c r="BP861" s="2322"/>
      <c r="BQ861" s="2322"/>
      <c r="BR861" s="2322"/>
      <c r="BS861" s="2322"/>
      <c r="BT861" s="2322"/>
      <c r="BU861" s="2322"/>
      <c r="BV861" s="2322"/>
      <c r="BW861" s="2322"/>
      <c r="BX861" s="2322"/>
      <c r="BY861" s="2322"/>
      <c r="BZ861" s="2322"/>
      <c r="CA861" s="2322"/>
      <c r="CB861" s="2322"/>
      <c r="CC861" s="2322"/>
      <c r="CD861" s="2322"/>
      <c r="CE861" s="2322"/>
      <c r="CF861" s="2322"/>
      <c r="CG861" s="2322"/>
      <c r="CH861" s="2322"/>
      <c r="CI861" s="2322"/>
      <c r="CJ861" s="2322"/>
      <c r="CK861" s="2322"/>
      <c r="CL861" s="2322"/>
      <c r="CM861" s="2322"/>
      <c r="CN861" s="2322"/>
      <c r="CO861" s="2322"/>
      <c r="CP861" s="2322"/>
      <c r="CQ861" s="2322"/>
      <c r="CR861" s="2322"/>
      <c r="CS861" s="2322"/>
      <c r="CT861" s="2322"/>
      <c r="CU861" s="2322"/>
      <c r="CV861" s="2322"/>
    </row>
    <row r="862" spans="1:100" ht="15.75" customHeight="1">
      <c r="A862" s="2328"/>
      <c r="B862" s="2322"/>
      <c r="C862" s="2322"/>
      <c r="D862" s="2322"/>
      <c r="E862" s="2322"/>
      <c r="F862" s="2322"/>
      <c r="G862" s="2322"/>
      <c r="H862" s="2322"/>
      <c r="I862" s="2322"/>
      <c r="J862" s="2322"/>
      <c r="K862" s="2322"/>
      <c r="L862" s="2322"/>
      <c r="M862" s="2322"/>
      <c r="N862" s="2322"/>
      <c r="O862" s="2322"/>
      <c r="P862" s="2322"/>
      <c r="Q862" s="2322"/>
      <c r="R862" s="2322"/>
      <c r="S862" s="2322"/>
      <c r="T862" s="2322"/>
      <c r="U862" s="2322"/>
      <c r="V862" s="2322"/>
      <c r="W862" s="2322"/>
      <c r="X862" s="2322"/>
      <c r="Y862" s="2322"/>
      <c r="Z862" s="2322"/>
      <c r="AA862" s="2322"/>
      <c r="AB862" s="2322"/>
      <c r="AC862" s="2322"/>
      <c r="AD862" s="2322"/>
      <c r="AE862" s="2322"/>
      <c r="AF862" s="2322"/>
      <c r="AG862" s="2322"/>
      <c r="AH862" s="2322"/>
      <c r="AI862" s="2322"/>
      <c r="AJ862" s="2322"/>
      <c r="AK862" s="2322"/>
      <c r="AL862" s="2322"/>
      <c r="AM862" s="2322"/>
      <c r="AN862" s="2322"/>
      <c r="AO862" s="2322"/>
      <c r="AP862" s="2322"/>
      <c r="AQ862" s="2322"/>
      <c r="AR862" s="2322"/>
      <c r="AS862" s="2322"/>
      <c r="AT862" s="2322"/>
      <c r="AU862" s="2322"/>
      <c r="AV862" s="2322"/>
      <c r="AW862" s="2322"/>
      <c r="AX862" s="2322"/>
      <c r="AY862" s="2322"/>
      <c r="AZ862" s="2322"/>
      <c r="BA862" s="2322"/>
      <c r="BB862" s="2322"/>
      <c r="BC862" s="2322"/>
      <c r="BD862" s="2322"/>
      <c r="BE862" s="2322"/>
      <c r="BF862" s="2322"/>
      <c r="BG862" s="2322"/>
      <c r="BH862" s="2322"/>
      <c r="BI862" s="2322"/>
      <c r="BJ862" s="2322"/>
      <c r="BK862" s="2322"/>
      <c r="BL862" s="2322"/>
      <c r="BM862" s="2322"/>
      <c r="BN862" s="2322"/>
      <c r="BO862" s="2322"/>
      <c r="BP862" s="2322"/>
      <c r="BQ862" s="2322"/>
      <c r="BR862" s="2322"/>
      <c r="BS862" s="2322"/>
      <c r="BT862" s="2322"/>
      <c r="BU862" s="2322"/>
      <c r="BV862" s="2322"/>
      <c r="BW862" s="2322"/>
      <c r="BX862" s="2322"/>
      <c r="BY862" s="2322"/>
      <c r="BZ862" s="2322"/>
      <c r="CA862" s="2322"/>
      <c r="CB862" s="2322"/>
      <c r="CC862" s="2322"/>
      <c r="CD862" s="2322"/>
      <c r="CE862" s="2322"/>
      <c r="CF862" s="2322"/>
      <c r="CG862" s="2322"/>
      <c r="CH862" s="2322"/>
      <c r="CI862" s="2322"/>
      <c r="CJ862" s="2322"/>
      <c r="CK862" s="2322"/>
      <c r="CL862" s="2322"/>
      <c r="CM862" s="2322"/>
      <c r="CN862" s="2322"/>
      <c r="CO862" s="2322"/>
      <c r="CP862" s="2322"/>
      <c r="CQ862" s="2322"/>
      <c r="CR862" s="2322"/>
      <c r="CS862" s="2322"/>
      <c r="CT862" s="2322"/>
      <c r="CU862" s="2322"/>
      <c r="CV862" s="2322"/>
    </row>
    <row r="863" spans="1:100" ht="15.75" customHeight="1">
      <c r="A863" s="2328"/>
      <c r="B863" s="2322"/>
      <c r="C863" s="2322"/>
      <c r="D863" s="2322"/>
      <c r="E863" s="2322"/>
      <c r="F863" s="2322"/>
      <c r="G863" s="2322"/>
      <c r="H863" s="2322"/>
      <c r="I863" s="2322"/>
      <c r="J863" s="2322"/>
      <c r="K863" s="2322"/>
      <c r="L863" s="2322"/>
      <c r="M863" s="2322"/>
      <c r="N863" s="2322"/>
      <c r="O863" s="2322"/>
      <c r="P863" s="2322"/>
      <c r="Q863" s="2322"/>
      <c r="R863" s="2322"/>
      <c r="S863" s="2322"/>
      <c r="T863" s="2322"/>
      <c r="U863" s="2322"/>
      <c r="V863" s="2322"/>
      <c r="W863" s="2322"/>
      <c r="X863" s="2322"/>
      <c r="Y863" s="2322"/>
      <c r="Z863" s="2322"/>
      <c r="AA863" s="2322"/>
      <c r="AB863" s="2322"/>
      <c r="AC863" s="2322"/>
      <c r="AD863" s="2322"/>
      <c r="AE863" s="2322"/>
      <c r="AF863" s="2322"/>
      <c r="AG863" s="2322"/>
      <c r="AH863" s="2322"/>
      <c r="AI863" s="2322"/>
      <c r="AJ863" s="2322"/>
      <c r="AK863" s="2322"/>
      <c r="AL863" s="2322"/>
      <c r="AM863" s="2322"/>
      <c r="AN863" s="2322"/>
      <c r="AO863" s="2322"/>
      <c r="AP863" s="2322"/>
      <c r="AQ863" s="2322"/>
      <c r="AR863" s="2322"/>
      <c r="AS863" s="2322"/>
      <c r="AT863" s="2322"/>
      <c r="AU863" s="2322"/>
      <c r="AV863" s="2322"/>
      <c r="AW863" s="2322"/>
      <c r="AX863" s="2322"/>
      <c r="AY863" s="2322"/>
      <c r="AZ863" s="2322"/>
      <c r="BA863" s="2322"/>
      <c r="BB863" s="2322"/>
      <c r="BC863" s="2322"/>
      <c r="BD863" s="2322"/>
      <c r="BE863" s="2322"/>
      <c r="BF863" s="2322"/>
      <c r="BG863" s="2322"/>
      <c r="BH863" s="2322"/>
      <c r="BI863" s="2322"/>
      <c r="BJ863" s="2322"/>
      <c r="BK863" s="2322"/>
      <c r="BL863" s="2322"/>
      <c r="BM863" s="2322"/>
      <c r="BN863" s="2322"/>
      <c r="BO863" s="2322"/>
      <c r="BP863" s="2322"/>
      <c r="BQ863" s="2322"/>
      <c r="BR863" s="2322"/>
      <c r="BS863" s="2322"/>
      <c r="BT863" s="2322"/>
      <c r="BU863" s="2322"/>
      <c r="BV863" s="2322"/>
      <c r="BW863" s="2322"/>
      <c r="BX863" s="2322"/>
      <c r="BY863" s="2322"/>
      <c r="BZ863" s="2322"/>
      <c r="CA863" s="2322"/>
      <c r="CB863" s="2322"/>
      <c r="CC863" s="2322"/>
      <c r="CD863" s="2322"/>
      <c r="CE863" s="2322"/>
      <c r="CF863" s="2322"/>
      <c r="CG863" s="2322"/>
      <c r="CH863" s="2322"/>
      <c r="CI863" s="2322"/>
      <c r="CJ863" s="2322"/>
      <c r="CK863" s="2322"/>
      <c r="CL863" s="2322"/>
      <c r="CM863" s="2322"/>
      <c r="CN863" s="2322"/>
      <c r="CO863" s="2322"/>
      <c r="CP863" s="2322"/>
      <c r="CQ863" s="2322"/>
      <c r="CR863" s="2322"/>
      <c r="CS863" s="2322"/>
      <c r="CT863" s="2322"/>
      <c r="CU863" s="2322"/>
      <c r="CV863" s="2322"/>
    </row>
    <row r="864" spans="1:100" ht="15.75" customHeight="1">
      <c r="A864" s="2328"/>
      <c r="B864" s="2322"/>
      <c r="C864" s="2322"/>
      <c r="D864" s="2322"/>
      <c r="E864" s="2322"/>
      <c r="F864" s="2322"/>
      <c r="G864" s="2322"/>
      <c r="H864" s="2322"/>
      <c r="I864" s="2322"/>
      <c r="J864" s="2322"/>
      <c r="K864" s="2322"/>
      <c r="L864" s="2322"/>
      <c r="M864" s="2322"/>
      <c r="N864" s="2322"/>
      <c r="O864" s="2322"/>
      <c r="P864" s="2322"/>
      <c r="Q864" s="2322"/>
      <c r="R864" s="2322"/>
      <c r="S864" s="2322"/>
      <c r="T864" s="2322"/>
      <c r="U864" s="2322"/>
      <c r="V864" s="2322"/>
      <c r="W864" s="2322"/>
      <c r="X864" s="2322"/>
      <c r="Y864" s="2322"/>
      <c r="Z864" s="2322"/>
      <c r="AA864" s="2322"/>
      <c r="AB864" s="2322"/>
      <c r="AC864" s="2322"/>
      <c r="AD864" s="2322"/>
      <c r="AE864" s="2322"/>
      <c r="AF864" s="2322"/>
      <c r="AG864" s="2322"/>
      <c r="AH864" s="2322"/>
      <c r="AI864" s="2322"/>
      <c r="AJ864" s="2322"/>
      <c r="AK864" s="2322"/>
      <c r="AL864" s="2322"/>
      <c r="AM864" s="2322"/>
      <c r="AN864" s="2322"/>
      <c r="AO864" s="2322"/>
      <c r="AP864" s="2322"/>
      <c r="AQ864" s="2322"/>
      <c r="AR864" s="2322"/>
      <c r="AS864" s="2322"/>
      <c r="AT864" s="2322"/>
      <c r="AU864" s="2322"/>
      <c r="AV864" s="2322"/>
      <c r="AW864" s="2322"/>
      <c r="AX864" s="2322"/>
      <c r="AY864" s="2322"/>
      <c r="AZ864" s="2322"/>
      <c r="BA864" s="2322"/>
      <c r="BB864" s="2322"/>
      <c r="BC864" s="2322"/>
      <c r="BD864" s="2322"/>
      <c r="BE864" s="2322"/>
      <c r="BF864" s="2322"/>
      <c r="BG864" s="2322"/>
      <c r="BH864" s="2322"/>
      <c r="BI864" s="2322"/>
      <c r="BJ864" s="2322"/>
      <c r="BK864" s="2322"/>
      <c r="BL864" s="2322"/>
      <c r="BM864" s="2322"/>
      <c r="BN864" s="2322"/>
      <c r="BO864" s="2322"/>
      <c r="BP864" s="2322"/>
      <c r="BQ864" s="2322"/>
      <c r="BR864" s="2322"/>
      <c r="BS864" s="2322"/>
      <c r="BT864" s="2322"/>
      <c r="BU864" s="2322"/>
      <c r="BV864" s="2322"/>
      <c r="BW864" s="2322"/>
      <c r="BX864" s="2322"/>
      <c r="BY864" s="2322"/>
      <c r="BZ864" s="2322"/>
      <c r="CA864" s="2322"/>
      <c r="CB864" s="2322"/>
      <c r="CC864" s="2322"/>
      <c r="CD864" s="2322"/>
      <c r="CE864" s="2322"/>
      <c r="CF864" s="2322"/>
      <c r="CG864" s="2322"/>
      <c r="CH864" s="2322"/>
      <c r="CI864" s="2322"/>
      <c r="CJ864" s="2322"/>
      <c r="CK864" s="2322"/>
      <c r="CL864" s="2322"/>
      <c r="CM864" s="2322"/>
      <c r="CN864" s="2322"/>
      <c r="CO864" s="2322"/>
      <c r="CP864" s="2322"/>
      <c r="CQ864" s="2322"/>
      <c r="CR864" s="2322"/>
      <c r="CS864" s="2322"/>
      <c r="CT864" s="2322"/>
      <c r="CU864" s="2322"/>
      <c r="CV864" s="2322"/>
    </row>
    <row r="865" spans="1:100" ht="15.75" customHeight="1">
      <c r="A865" s="2328"/>
      <c r="B865" s="2322"/>
      <c r="C865" s="2322"/>
      <c r="D865" s="2322"/>
      <c r="E865" s="2322"/>
      <c r="F865" s="2322"/>
      <c r="G865" s="2322"/>
      <c r="H865" s="2322"/>
      <c r="I865" s="2322"/>
      <c r="J865" s="2322"/>
      <c r="K865" s="2322"/>
      <c r="L865" s="2322"/>
      <c r="M865" s="2322"/>
      <c r="N865" s="2322"/>
      <c r="O865" s="2322"/>
      <c r="P865" s="2322"/>
      <c r="Q865" s="2322"/>
      <c r="R865" s="2322"/>
      <c r="S865" s="2322"/>
      <c r="T865" s="2322"/>
      <c r="U865" s="2322"/>
      <c r="V865" s="2322"/>
      <c r="W865" s="2322"/>
      <c r="X865" s="2322"/>
      <c r="Y865" s="2322"/>
      <c r="Z865" s="2322"/>
      <c r="AA865" s="2322"/>
      <c r="AB865" s="2322"/>
      <c r="AC865" s="2322"/>
      <c r="AD865" s="2322"/>
      <c r="AE865" s="2322"/>
      <c r="AF865" s="2322"/>
      <c r="AG865" s="2322"/>
      <c r="AH865" s="2322"/>
      <c r="AI865" s="2322"/>
      <c r="AJ865" s="2322"/>
      <c r="AK865" s="2322"/>
      <c r="AL865" s="2322"/>
      <c r="AM865" s="2322"/>
      <c r="AN865" s="2322"/>
      <c r="AO865" s="2322"/>
      <c r="AP865" s="2322"/>
      <c r="AQ865" s="2322"/>
      <c r="AR865" s="2322"/>
      <c r="AS865" s="2322"/>
      <c r="AT865" s="2322"/>
      <c r="AU865" s="2322"/>
      <c r="AV865" s="2322"/>
      <c r="AW865" s="2322"/>
      <c r="AX865" s="2322"/>
      <c r="AY865" s="2322"/>
      <c r="AZ865" s="2322"/>
      <c r="BA865" s="2322"/>
      <c r="BB865" s="2322"/>
      <c r="BC865" s="2322"/>
      <c r="BD865" s="2322"/>
      <c r="BE865" s="2322"/>
      <c r="BF865" s="2322"/>
      <c r="BG865" s="2322"/>
      <c r="BH865" s="2322"/>
      <c r="BI865" s="2322"/>
      <c r="BJ865" s="2322"/>
      <c r="BK865" s="2322"/>
      <c r="BL865" s="2322"/>
      <c r="BM865" s="2322"/>
      <c r="BN865" s="2322"/>
      <c r="BO865" s="2322"/>
      <c r="BP865" s="2322"/>
      <c r="BQ865" s="2322"/>
      <c r="BR865" s="2322"/>
      <c r="BS865" s="2322"/>
      <c r="BT865" s="2322"/>
      <c r="BU865" s="2322"/>
      <c r="BV865" s="2322"/>
      <c r="BW865" s="2322"/>
      <c r="BX865" s="2322"/>
      <c r="BY865" s="2322"/>
      <c r="BZ865" s="2322"/>
      <c r="CA865" s="2322"/>
      <c r="CB865" s="2322"/>
      <c r="CC865" s="2322"/>
      <c r="CD865" s="2322"/>
      <c r="CE865" s="2322"/>
      <c r="CF865" s="2322"/>
      <c r="CG865" s="2322"/>
      <c r="CH865" s="2322"/>
      <c r="CI865" s="2322"/>
      <c r="CJ865" s="2322"/>
      <c r="CK865" s="2322"/>
      <c r="CL865" s="2322"/>
      <c r="CM865" s="2322"/>
      <c r="CN865" s="2322"/>
      <c r="CO865" s="2322"/>
      <c r="CP865" s="2322"/>
      <c r="CQ865" s="2322"/>
      <c r="CR865" s="2322"/>
      <c r="CS865" s="2322"/>
      <c r="CT865" s="2322"/>
      <c r="CU865" s="2322"/>
      <c r="CV865" s="2322"/>
    </row>
    <row r="866" spans="1:100" ht="15.75" customHeight="1">
      <c r="A866" s="2328"/>
      <c r="B866" s="2322"/>
      <c r="C866" s="2322"/>
      <c r="D866" s="2322"/>
      <c r="E866" s="2322"/>
      <c r="F866" s="2322"/>
      <c r="G866" s="2322"/>
      <c r="H866" s="2322"/>
      <c r="I866" s="2322"/>
      <c r="J866" s="2322"/>
      <c r="K866" s="2322"/>
      <c r="L866" s="2322"/>
      <c r="M866" s="2322"/>
      <c r="N866" s="2322"/>
      <c r="O866" s="2322"/>
      <c r="P866" s="2322"/>
      <c r="Q866" s="2322"/>
      <c r="R866" s="2322"/>
      <c r="S866" s="2322"/>
      <c r="T866" s="2322"/>
      <c r="U866" s="2322"/>
      <c r="V866" s="2322"/>
      <c r="W866" s="2322"/>
      <c r="X866" s="2322"/>
      <c r="Y866" s="2322"/>
      <c r="Z866" s="2322"/>
      <c r="AA866" s="2322"/>
      <c r="AB866" s="2322"/>
      <c r="AC866" s="2322"/>
      <c r="AD866" s="2322"/>
      <c r="AE866" s="2322"/>
      <c r="AF866" s="2322"/>
      <c r="AG866" s="2322"/>
      <c r="AH866" s="2322"/>
      <c r="AI866" s="2322"/>
      <c r="AJ866" s="2322"/>
      <c r="AK866" s="2322"/>
      <c r="AL866" s="2322"/>
      <c r="AM866" s="2322"/>
      <c r="AN866" s="2322"/>
      <c r="AO866" s="2322"/>
      <c r="AP866" s="2322"/>
      <c r="AQ866" s="2322"/>
      <c r="AR866" s="2322"/>
      <c r="AS866" s="2322"/>
      <c r="AT866" s="2322"/>
      <c r="AU866" s="2322"/>
      <c r="AV866" s="2322"/>
      <c r="AW866" s="2322"/>
      <c r="AX866" s="2322"/>
      <c r="AY866" s="2322"/>
      <c r="AZ866" s="2322"/>
      <c r="BA866" s="2322"/>
      <c r="BB866" s="2322"/>
      <c r="BC866" s="2322"/>
      <c r="BD866" s="2322"/>
      <c r="BE866" s="2322"/>
      <c r="BF866" s="2322"/>
      <c r="BG866" s="2322"/>
      <c r="BH866" s="2322"/>
      <c r="BI866" s="2322"/>
      <c r="BJ866" s="2322"/>
      <c r="BK866" s="2322"/>
      <c r="BL866" s="2322"/>
      <c r="BM866" s="2322"/>
      <c r="BN866" s="2322"/>
      <c r="BO866" s="2322"/>
      <c r="BP866" s="2322"/>
      <c r="BQ866" s="2322"/>
      <c r="BR866" s="2322"/>
      <c r="BS866" s="2322"/>
      <c r="BT866" s="2322"/>
      <c r="BU866" s="2322"/>
      <c r="BV866" s="2322"/>
      <c r="BW866" s="2322"/>
      <c r="BX866" s="2322"/>
      <c r="BY866" s="2322"/>
      <c r="BZ866" s="2322"/>
      <c r="CA866" s="2322"/>
      <c r="CB866" s="2322"/>
      <c r="CC866" s="2322"/>
      <c r="CD866" s="2322"/>
      <c r="CE866" s="2322"/>
      <c r="CF866" s="2322"/>
      <c r="CG866" s="2322"/>
      <c r="CH866" s="2322"/>
      <c r="CI866" s="2322"/>
      <c r="CJ866" s="2322"/>
      <c r="CK866" s="2322"/>
      <c r="CL866" s="2322"/>
      <c r="CM866" s="2322"/>
      <c r="CN866" s="2322"/>
      <c r="CO866" s="2322"/>
      <c r="CP866" s="2322"/>
      <c r="CQ866" s="2322"/>
      <c r="CR866" s="2322"/>
      <c r="CS866" s="2322"/>
      <c r="CT866" s="2322"/>
      <c r="CU866" s="2322"/>
      <c r="CV866" s="2322"/>
    </row>
    <row r="867" spans="1:100" ht="15.75" customHeight="1">
      <c r="A867" s="2328"/>
      <c r="B867" s="2322"/>
      <c r="C867" s="2322"/>
      <c r="D867" s="2322"/>
      <c r="E867" s="2322"/>
      <c r="F867" s="2322"/>
      <c r="G867" s="2322"/>
      <c r="H867" s="2322"/>
      <c r="I867" s="2322"/>
      <c r="J867" s="2322"/>
      <c r="K867" s="2322"/>
      <c r="L867" s="2322"/>
      <c r="M867" s="2322"/>
      <c r="N867" s="2322"/>
      <c r="O867" s="2322"/>
      <c r="P867" s="2322"/>
      <c r="Q867" s="2322"/>
      <c r="R867" s="2322"/>
      <c r="S867" s="2322"/>
      <c r="T867" s="2322"/>
      <c r="U867" s="2322"/>
      <c r="V867" s="2322"/>
      <c r="W867" s="2322"/>
      <c r="X867" s="2322"/>
      <c r="Y867" s="2322"/>
      <c r="Z867" s="2322"/>
      <c r="AA867" s="2322"/>
      <c r="AB867" s="2322"/>
      <c r="AC867" s="2322"/>
      <c r="AD867" s="2322"/>
      <c r="AE867" s="2322"/>
      <c r="AF867" s="2322"/>
      <c r="AG867" s="2322"/>
      <c r="AH867" s="2322"/>
      <c r="AI867" s="2322"/>
      <c r="AJ867" s="2322"/>
      <c r="AK867" s="2322"/>
      <c r="AL867" s="2322"/>
      <c r="AM867" s="2322"/>
      <c r="AN867" s="2322"/>
      <c r="AO867" s="2322"/>
      <c r="AP867" s="2322"/>
      <c r="AQ867" s="2322"/>
      <c r="AR867" s="2322"/>
      <c r="AS867" s="2322"/>
      <c r="AT867" s="2322"/>
      <c r="AU867" s="2322"/>
      <c r="AV867" s="2322"/>
      <c r="AW867" s="2322"/>
      <c r="AX867" s="2322"/>
      <c r="AY867" s="2322"/>
      <c r="AZ867" s="2322"/>
      <c r="BA867" s="2322"/>
      <c r="BB867" s="2322"/>
      <c r="BC867" s="2322"/>
      <c r="BD867" s="2322"/>
      <c r="BE867" s="2322"/>
      <c r="BF867" s="2322"/>
      <c r="BG867" s="2322"/>
      <c r="BH867" s="2322"/>
      <c r="BI867" s="2322"/>
      <c r="BJ867" s="2322"/>
      <c r="BK867" s="2322"/>
      <c r="BL867" s="2322"/>
      <c r="BM867" s="2322"/>
      <c r="BN867" s="2322"/>
      <c r="BO867" s="2322"/>
      <c r="BP867" s="2322"/>
      <c r="BQ867" s="2322"/>
      <c r="BR867" s="2322"/>
      <c r="BS867" s="2322"/>
      <c r="BT867" s="2322"/>
      <c r="BU867" s="2322"/>
      <c r="BV867" s="2322"/>
      <c r="BW867" s="2322"/>
      <c r="BX867" s="2322"/>
      <c r="BY867" s="2322"/>
      <c r="BZ867" s="2322"/>
      <c r="CA867" s="2322"/>
      <c r="CB867" s="2322"/>
      <c r="CC867" s="2322"/>
      <c r="CD867" s="2322"/>
      <c r="CE867" s="2322"/>
      <c r="CF867" s="2322"/>
      <c r="CG867" s="2322"/>
      <c r="CH867" s="2322"/>
      <c r="CI867" s="2322"/>
      <c r="CJ867" s="2322"/>
      <c r="CK867" s="2322"/>
      <c r="CL867" s="2322"/>
      <c r="CM867" s="2322"/>
      <c r="CN867" s="2322"/>
      <c r="CO867" s="2322"/>
      <c r="CP867" s="2322"/>
      <c r="CQ867" s="2322"/>
      <c r="CR867" s="2322"/>
      <c r="CS867" s="2322"/>
      <c r="CT867" s="2322"/>
      <c r="CU867" s="2322"/>
      <c r="CV867" s="2322"/>
    </row>
    <row r="868" spans="1:100" ht="15.75" customHeight="1">
      <c r="A868" s="2328"/>
      <c r="B868" s="2322"/>
      <c r="C868" s="2322"/>
      <c r="D868" s="2322"/>
      <c r="E868" s="2322"/>
      <c r="F868" s="2322"/>
      <c r="G868" s="2322"/>
      <c r="H868" s="2322"/>
      <c r="I868" s="2322"/>
      <c r="J868" s="2322"/>
      <c r="K868" s="2322"/>
      <c r="L868" s="2322"/>
      <c r="M868" s="2322"/>
      <c r="N868" s="2322"/>
      <c r="O868" s="2322"/>
      <c r="P868" s="2322"/>
      <c r="Q868" s="2322"/>
      <c r="R868" s="2322"/>
      <c r="S868" s="2322"/>
      <c r="T868" s="2322"/>
      <c r="U868" s="2322"/>
      <c r="V868" s="2322"/>
      <c r="W868" s="2322"/>
      <c r="X868" s="2322"/>
      <c r="Y868" s="2322"/>
      <c r="Z868" s="2322"/>
      <c r="AA868" s="2322"/>
      <c r="AB868" s="2322"/>
      <c r="AC868" s="2322"/>
      <c r="AD868" s="2322"/>
      <c r="AE868" s="2322"/>
      <c r="AF868" s="2322"/>
      <c r="AG868" s="2322"/>
      <c r="AH868" s="2322"/>
      <c r="AI868" s="2322"/>
      <c r="AJ868" s="2322"/>
      <c r="AK868" s="2322"/>
      <c r="AL868" s="2322"/>
      <c r="AM868" s="2322"/>
      <c r="AN868" s="2322"/>
      <c r="AO868" s="2322"/>
      <c r="AP868" s="2322"/>
      <c r="AQ868" s="2322"/>
      <c r="AR868" s="2322"/>
      <c r="AS868" s="2322"/>
      <c r="AT868" s="2322"/>
      <c r="AU868" s="2322"/>
      <c r="AV868" s="2322"/>
      <c r="AW868" s="2322"/>
      <c r="AX868" s="2322"/>
      <c r="AY868" s="2322"/>
      <c r="AZ868" s="2322"/>
      <c r="BA868" s="2322"/>
      <c r="BB868" s="2322"/>
      <c r="BC868" s="2322"/>
      <c r="BD868" s="2322"/>
      <c r="BE868" s="2322"/>
      <c r="BF868" s="2322"/>
      <c r="BG868" s="2322"/>
      <c r="BH868" s="2322"/>
      <c r="BI868" s="2322"/>
      <c r="BJ868" s="2322"/>
      <c r="BK868" s="2322"/>
      <c r="BL868" s="2322"/>
      <c r="BM868" s="2322"/>
      <c r="BN868" s="2322"/>
      <c r="BO868" s="2322"/>
      <c r="BP868" s="2322"/>
      <c r="BQ868" s="2322"/>
      <c r="BR868" s="2322"/>
      <c r="BS868" s="2322"/>
      <c r="BT868" s="2322"/>
      <c r="BU868" s="2322"/>
      <c r="BV868" s="2322"/>
      <c r="BW868" s="2322"/>
      <c r="BX868" s="2322"/>
      <c r="BY868" s="2322"/>
      <c r="BZ868" s="2322"/>
      <c r="CA868" s="2322"/>
      <c r="CB868" s="2322"/>
      <c r="CC868" s="2322"/>
      <c r="CD868" s="2322"/>
      <c r="CE868" s="2322"/>
      <c r="CF868" s="2322"/>
      <c r="CG868" s="2322"/>
      <c r="CH868" s="2322"/>
      <c r="CI868" s="2322"/>
      <c r="CJ868" s="2322"/>
      <c r="CK868" s="2322"/>
      <c r="CL868" s="2322"/>
      <c r="CM868" s="2322"/>
      <c r="CN868" s="2322"/>
      <c r="CO868" s="2322"/>
      <c r="CP868" s="2322"/>
      <c r="CQ868" s="2322"/>
      <c r="CR868" s="2322"/>
      <c r="CS868" s="2322"/>
      <c r="CT868" s="2322"/>
      <c r="CU868" s="2322"/>
      <c r="CV868" s="2322"/>
    </row>
    <row r="869" spans="1:100" ht="15.75" customHeight="1">
      <c r="A869" s="2328"/>
      <c r="B869" s="2322"/>
      <c r="C869" s="2322"/>
      <c r="D869" s="2322"/>
      <c r="E869" s="2322"/>
      <c r="F869" s="2322"/>
      <c r="G869" s="2322"/>
      <c r="H869" s="2322"/>
      <c r="I869" s="2322"/>
      <c r="J869" s="2322"/>
      <c r="K869" s="2322"/>
      <c r="L869" s="2322"/>
      <c r="M869" s="2322"/>
      <c r="N869" s="2322"/>
      <c r="O869" s="2322"/>
      <c r="P869" s="2322"/>
      <c r="Q869" s="2322"/>
      <c r="R869" s="2322"/>
      <c r="S869" s="2322"/>
      <c r="T869" s="2322"/>
      <c r="U869" s="2322"/>
      <c r="V869" s="2322"/>
      <c r="W869" s="2322"/>
      <c r="X869" s="2322"/>
      <c r="Y869" s="2322"/>
      <c r="Z869" s="2322"/>
      <c r="AA869" s="2322"/>
      <c r="AB869" s="2322"/>
      <c r="AC869" s="2322"/>
      <c r="AD869" s="2322"/>
      <c r="AE869" s="2322"/>
      <c r="AF869" s="2322"/>
      <c r="AG869" s="2322"/>
      <c r="AH869" s="2322"/>
      <c r="AI869" s="2322"/>
      <c r="AJ869" s="2322"/>
      <c r="AK869" s="2322"/>
      <c r="AL869" s="2322"/>
      <c r="AM869" s="2322"/>
      <c r="AN869" s="2322"/>
      <c r="AO869" s="2322"/>
      <c r="AP869" s="2322"/>
      <c r="AQ869" s="2322"/>
      <c r="AR869" s="2322"/>
      <c r="AS869" s="2322"/>
      <c r="AT869" s="2322"/>
      <c r="AU869" s="2322"/>
      <c r="AV869" s="2322"/>
      <c r="AW869" s="2322"/>
      <c r="AX869" s="2322"/>
      <c r="AY869" s="2322"/>
      <c r="AZ869" s="2322"/>
      <c r="BA869" s="2322"/>
      <c r="BB869" s="2322"/>
      <c r="BC869" s="2322"/>
      <c r="BD869" s="2322"/>
      <c r="BE869" s="2322"/>
      <c r="BF869" s="2322"/>
      <c r="BG869" s="2322"/>
      <c r="BH869" s="2322"/>
      <c r="BI869" s="2322"/>
      <c r="BJ869" s="2322"/>
      <c r="BK869" s="2322"/>
      <c r="BL869" s="2322"/>
      <c r="BM869" s="2322"/>
      <c r="BN869" s="2322"/>
      <c r="BO869" s="2322"/>
      <c r="BP869" s="2322"/>
      <c r="BQ869" s="2322"/>
      <c r="BR869" s="2322"/>
      <c r="BS869" s="2322"/>
      <c r="BT869" s="2322"/>
      <c r="BU869" s="2322"/>
      <c r="BV869" s="2322"/>
      <c r="BW869" s="2322"/>
      <c r="BX869" s="2322"/>
      <c r="BY869" s="2322"/>
      <c r="BZ869" s="2322"/>
      <c r="CA869" s="2322"/>
      <c r="CB869" s="2322"/>
      <c r="CC869" s="2322"/>
      <c r="CD869" s="2322"/>
      <c r="CE869" s="2322"/>
      <c r="CF869" s="2322"/>
      <c r="CG869" s="2322"/>
      <c r="CH869" s="2322"/>
      <c r="CI869" s="2322"/>
      <c r="CJ869" s="2322"/>
      <c r="CK869" s="2322"/>
      <c r="CL869" s="2322"/>
      <c r="CM869" s="2322"/>
      <c r="CN869" s="2322"/>
      <c r="CO869" s="2322"/>
      <c r="CP869" s="2322"/>
      <c r="CQ869" s="2322"/>
      <c r="CR869" s="2322"/>
      <c r="CS869" s="2322"/>
      <c r="CT869" s="2322"/>
      <c r="CU869" s="2322"/>
      <c r="CV869" s="2322"/>
    </row>
    <row r="870" spans="1:100" ht="15.75" customHeight="1">
      <c r="A870" s="2328"/>
      <c r="B870" s="2322"/>
      <c r="C870" s="2322"/>
      <c r="D870" s="2322"/>
      <c r="E870" s="2322"/>
      <c r="F870" s="2322"/>
      <c r="G870" s="2322"/>
      <c r="H870" s="2322"/>
      <c r="I870" s="2322"/>
      <c r="J870" s="2322"/>
      <c r="K870" s="2322"/>
      <c r="L870" s="2322"/>
      <c r="M870" s="2322"/>
      <c r="N870" s="2322"/>
      <c r="O870" s="2322"/>
      <c r="P870" s="2322"/>
      <c r="Q870" s="2322"/>
      <c r="R870" s="2322"/>
      <c r="S870" s="2322"/>
      <c r="T870" s="2322"/>
      <c r="U870" s="2322"/>
      <c r="V870" s="2322"/>
      <c r="W870" s="2322"/>
      <c r="X870" s="2322"/>
      <c r="Y870" s="2322"/>
      <c r="Z870" s="2322"/>
      <c r="AA870" s="2322"/>
      <c r="AB870" s="2322"/>
      <c r="AC870" s="2322"/>
      <c r="AD870" s="2322"/>
      <c r="AE870" s="2322"/>
      <c r="AF870" s="2322"/>
      <c r="AG870" s="2322"/>
      <c r="AH870" s="2322"/>
      <c r="AI870" s="2322"/>
      <c r="AJ870" s="2322"/>
      <c r="AK870" s="2322"/>
      <c r="AL870" s="2322"/>
      <c r="AM870" s="2322"/>
      <c r="AN870" s="2322"/>
      <c r="AO870" s="2322"/>
      <c r="AP870" s="2322"/>
      <c r="AQ870" s="2322"/>
      <c r="AR870" s="2322"/>
      <c r="AS870" s="2322"/>
      <c r="AT870" s="2322"/>
      <c r="AU870" s="2322"/>
      <c r="AV870" s="2322"/>
      <c r="AW870" s="2322"/>
      <c r="AX870" s="2322"/>
      <c r="AY870" s="2322"/>
      <c r="AZ870" s="2322"/>
      <c r="BA870" s="2322"/>
      <c r="BB870" s="2322"/>
      <c r="BC870" s="2322"/>
      <c r="BD870" s="2322"/>
      <c r="BE870" s="2322"/>
      <c r="BF870" s="2322"/>
      <c r="BG870" s="2322"/>
      <c r="BH870" s="2322"/>
      <c r="BI870" s="2322"/>
      <c r="BJ870" s="2322"/>
      <c r="BK870" s="2322"/>
      <c r="BL870" s="2322"/>
      <c r="BM870" s="2322"/>
      <c r="BN870" s="2322"/>
      <c r="BO870" s="2322"/>
      <c r="BP870" s="2322"/>
      <c r="BQ870" s="2322"/>
      <c r="BR870" s="2322"/>
      <c r="BS870" s="2322"/>
      <c r="BT870" s="2322"/>
      <c r="BU870" s="2322"/>
      <c r="BV870" s="2322"/>
      <c r="BW870" s="2322"/>
      <c r="BX870" s="2322"/>
      <c r="BY870" s="2322"/>
      <c r="BZ870" s="2322"/>
      <c r="CA870" s="2322"/>
      <c r="CB870" s="2322"/>
      <c r="CC870" s="2322"/>
      <c r="CD870" s="2322"/>
      <c r="CE870" s="2322"/>
      <c r="CF870" s="2322"/>
      <c r="CG870" s="2322"/>
      <c r="CH870" s="2322"/>
      <c r="CI870" s="2322"/>
      <c r="CJ870" s="2322"/>
      <c r="CK870" s="2322"/>
      <c r="CL870" s="2322"/>
      <c r="CM870" s="2322"/>
      <c r="CN870" s="2322"/>
      <c r="CO870" s="2322"/>
      <c r="CP870" s="2322"/>
      <c r="CQ870" s="2322"/>
      <c r="CR870" s="2322"/>
      <c r="CS870" s="2322"/>
      <c r="CT870" s="2322"/>
      <c r="CU870" s="2322"/>
      <c r="CV870" s="2322"/>
    </row>
    <row r="871" spans="1:100" ht="15.75" customHeight="1">
      <c r="A871" s="2328"/>
      <c r="B871" s="2322"/>
      <c r="C871" s="2322"/>
      <c r="D871" s="2322"/>
      <c r="E871" s="2322"/>
      <c r="F871" s="2322"/>
      <c r="G871" s="2322"/>
      <c r="H871" s="2322"/>
      <c r="I871" s="2322"/>
      <c r="J871" s="2322"/>
      <c r="K871" s="2322"/>
      <c r="L871" s="2322"/>
      <c r="M871" s="2322"/>
      <c r="N871" s="2322"/>
      <c r="O871" s="2322"/>
      <c r="P871" s="2322"/>
      <c r="Q871" s="2322"/>
      <c r="R871" s="2322"/>
      <c r="S871" s="2322"/>
      <c r="T871" s="2322"/>
      <c r="U871" s="2322"/>
      <c r="V871" s="2322"/>
      <c r="W871" s="2322"/>
      <c r="X871" s="2322"/>
      <c r="Y871" s="2322"/>
      <c r="Z871" s="2322"/>
      <c r="AA871" s="2322"/>
      <c r="AB871" s="2322"/>
      <c r="AC871" s="2322"/>
      <c r="AD871" s="2322"/>
      <c r="AE871" s="2322"/>
      <c r="AF871" s="2322"/>
      <c r="AG871" s="2322"/>
      <c r="AH871" s="2322"/>
      <c r="AI871" s="2322"/>
      <c r="AJ871" s="2322"/>
      <c r="AK871" s="2322"/>
      <c r="AL871" s="2322"/>
      <c r="AM871" s="2322"/>
      <c r="AN871" s="2322"/>
      <c r="AO871" s="2322"/>
      <c r="AP871" s="2322"/>
      <c r="AQ871" s="2322"/>
      <c r="AR871" s="2322"/>
      <c r="AS871" s="2322"/>
      <c r="AT871" s="2322"/>
      <c r="AU871" s="2322"/>
      <c r="AV871" s="2322"/>
      <c r="AW871" s="2322"/>
      <c r="AX871" s="2322"/>
      <c r="AY871" s="2322"/>
      <c r="AZ871" s="2322"/>
      <c r="BA871" s="2322"/>
      <c r="BB871" s="2322"/>
      <c r="BC871" s="2322"/>
      <c r="BD871" s="2322"/>
      <c r="BE871" s="2322"/>
      <c r="BF871" s="2322"/>
      <c r="BG871" s="2322"/>
      <c r="BH871" s="2322"/>
      <c r="BI871" s="2322"/>
      <c r="BJ871" s="2322"/>
      <c r="BK871" s="2322"/>
      <c r="BL871" s="2322"/>
      <c r="BM871" s="2322"/>
      <c r="BN871" s="2322"/>
      <c r="BO871" s="2322"/>
      <c r="BP871" s="2322"/>
      <c r="BQ871" s="2322"/>
      <c r="BR871" s="2322"/>
      <c r="BS871" s="2322"/>
      <c r="BT871" s="2322"/>
      <c r="BU871" s="2322"/>
      <c r="BV871" s="2322"/>
      <c r="BW871" s="2322"/>
      <c r="BX871" s="2322"/>
      <c r="BY871" s="2322"/>
      <c r="BZ871" s="2322"/>
      <c r="CA871" s="2322"/>
      <c r="CB871" s="2322"/>
      <c r="CC871" s="2322"/>
      <c r="CD871" s="2322"/>
      <c r="CE871" s="2322"/>
      <c r="CF871" s="2322"/>
      <c r="CG871" s="2322"/>
      <c r="CH871" s="2322"/>
      <c r="CI871" s="2322"/>
      <c r="CJ871" s="2322"/>
      <c r="CK871" s="2322"/>
      <c r="CL871" s="2322"/>
      <c r="CM871" s="2322"/>
      <c r="CN871" s="2322"/>
      <c r="CO871" s="2322"/>
      <c r="CP871" s="2322"/>
      <c r="CQ871" s="2322"/>
      <c r="CR871" s="2322"/>
      <c r="CS871" s="2322"/>
      <c r="CT871" s="2322"/>
      <c r="CU871" s="2322"/>
      <c r="CV871" s="2322"/>
    </row>
    <row r="872" spans="1:100" ht="15.75" customHeight="1">
      <c r="A872" s="2328"/>
      <c r="B872" s="2322"/>
      <c r="C872" s="2322"/>
      <c r="D872" s="2322"/>
      <c r="E872" s="2322"/>
      <c r="F872" s="2322"/>
      <c r="G872" s="2322"/>
      <c r="H872" s="2322"/>
      <c r="I872" s="2322"/>
      <c r="J872" s="2322"/>
      <c r="K872" s="2322"/>
      <c r="L872" s="2322"/>
      <c r="M872" s="2322"/>
      <c r="N872" s="2322"/>
      <c r="O872" s="2322"/>
      <c r="P872" s="2322"/>
      <c r="Q872" s="2322"/>
      <c r="R872" s="2322"/>
      <c r="S872" s="2322"/>
      <c r="T872" s="2322"/>
      <c r="U872" s="2322"/>
      <c r="V872" s="2322"/>
      <c r="W872" s="2322"/>
      <c r="X872" s="2322"/>
      <c r="Y872" s="2322"/>
      <c r="Z872" s="2322"/>
      <c r="AA872" s="2322"/>
      <c r="AB872" s="2322"/>
      <c r="AC872" s="2322"/>
      <c r="AD872" s="2322"/>
      <c r="AE872" s="2322"/>
      <c r="AF872" s="2322"/>
      <c r="AG872" s="2322"/>
      <c r="AH872" s="2322"/>
      <c r="AI872" s="2322"/>
      <c r="AJ872" s="2322"/>
      <c r="AK872" s="2322"/>
      <c r="AL872" s="2322"/>
      <c r="AM872" s="2322"/>
      <c r="AN872" s="2322"/>
      <c r="AO872" s="2322"/>
      <c r="AP872" s="2322"/>
      <c r="AQ872" s="2322"/>
      <c r="AR872" s="2322"/>
      <c r="AS872" s="2322"/>
      <c r="AT872" s="2322"/>
      <c r="AU872" s="2322"/>
      <c r="AV872" s="2322"/>
      <c r="AW872" s="2322"/>
      <c r="AX872" s="2322"/>
      <c r="AY872" s="2322"/>
      <c r="AZ872" s="2322"/>
      <c r="BA872" s="2322"/>
      <c r="BB872" s="2322"/>
      <c r="BC872" s="2322"/>
      <c r="BD872" s="2322"/>
      <c r="BE872" s="2322"/>
      <c r="BF872" s="2322"/>
      <c r="BG872" s="2322"/>
      <c r="BH872" s="2322"/>
      <c r="BI872" s="2322"/>
      <c r="BJ872" s="2322"/>
      <c r="BK872" s="2322"/>
      <c r="BL872" s="2322"/>
      <c r="BM872" s="2322"/>
      <c r="BN872" s="2322"/>
      <c r="BO872" s="2322"/>
      <c r="BP872" s="2322"/>
      <c r="BQ872" s="2322"/>
      <c r="BR872" s="2322"/>
      <c r="BS872" s="2322"/>
      <c r="BT872" s="2322"/>
      <c r="BU872" s="2322"/>
      <c r="BV872" s="2322"/>
      <c r="BW872" s="2322"/>
      <c r="BX872" s="2322"/>
      <c r="BY872" s="2322"/>
      <c r="BZ872" s="2322"/>
      <c r="CA872" s="2322"/>
      <c r="CB872" s="2322"/>
      <c r="CC872" s="2322"/>
      <c r="CD872" s="2322"/>
      <c r="CE872" s="2322"/>
      <c r="CF872" s="2322"/>
      <c r="CG872" s="2322"/>
      <c r="CH872" s="2322"/>
      <c r="CI872" s="2322"/>
      <c r="CJ872" s="2322"/>
      <c r="CK872" s="2322"/>
      <c r="CL872" s="2322"/>
      <c r="CM872" s="2322"/>
      <c r="CN872" s="2322"/>
      <c r="CO872" s="2322"/>
      <c r="CP872" s="2322"/>
      <c r="CQ872" s="2322"/>
      <c r="CR872" s="2322"/>
      <c r="CS872" s="2322"/>
      <c r="CT872" s="2322"/>
      <c r="CU872" s="2322"/>
      <c r="CV872" s="2322"/>
    </row>
    <row r="873" spans="1:100" ht="15.75" customHeight="1">
      <c r="A873" s="2328"/>
      <c r="B873" s="2322"/>
      <c r="C873" s="2322"/>
      <c r="D873" s="2322"/>
      <c r="E873" s="2322"/>
      <c r="F873" s="2322"/>
      <c r="G873" s="2322"/>
      <c r="H873" s="2322"/>
      <c r="I873" s="2322"/>
      <c r="J873" s="2322"/>
      <c r="K873" s="2322"/>
      <c r="L873" s="2322"/>
      <c r="M873" s="2322"/>
      <c r="N873" s="2322"/>
      <c r="O873" s="2322"/>
      <c r="P873" s="2322"/>
      <c r="Q873" s="2322"/>
      <c r="R873" s="2322"/>
      <c r="S873" s="2322"/>
      <c r="T873" s="2322"/>
      <c r="U873" s="2322"/>
      <c r="V873" s="2322"/>
      <c r="W873" s="2322"/>
      <c r="X873" s="2322"/>
      <c r="Y873" s="2322"/>
      <c r="Z873" s="2322"/>
      <c r="AA873" s="2322"/>
      <c r="AB873" s="2322"/>
      <c r="AC873" s="2322"/>
      <c r="AD873" s="2322"/>
      <c r="AE873" s="2322"/>
      <c r="AF873" s="2322"/>
      <c r="AG873" s="2322"/>
      <c r="AH873" s="2322"/>
      <c r="AI873" s="2322"/>
      <c r="AJ873" s="2322"/>
      <c r="AK873" s="2322"/>
      <c r="AL873" s="2322"/>
      <c r="AM873" s="2322"/>
      <c r="AN873" s="2322"/>
      <c r="AO873" s="2322"/>
      <c r="AP873" s="2322"/>
      <c r="AQ873" s="2322"/>
      <c r="AR873" s="2322"/>
      <c r="AS873" s="2322"/>
      <c r="AT873" s="2322"/>
      <c r="AU873" s="2322"/>
      <c r="AV873" s="2322"/>
      <c r="AW873" s="2322"/>
      <c r="AX873" s="2322"/>
      <c r="AY873" s="2322"/>
      <c r="AZ873" s="2322"/>
      <c r="BA873" s="2322"/>
      <c r="BB873" s="2322"/>
      <c r="BC873" s="2322"/>
      <c r="BD873" s="2322"/>
      <c r="BE873" s="2322"/>
      <c r="BF873" s="2322"/>
      <c r="BG873" s="2322"/>
      <c r="BH873" s="2322"/>
      <c r="BI873" s="2322"/>
      <c r="BJ873" s="2322"/>
      <c r="BK873" s="2322"/>
      <c r="BL873" s="2322"/>
      <c r="BM873" s="2322"/>
      <c r="BN873" s="2322"/>
      <c r="BO873" s="2322"/>
      <c r="BP873" s="2322"/>
      <c r="BQ873" s="2322"/>
      <c r="BR873" s="2322"/>
      <c r="BS873" s="2322"/>
      <c r="BT873" s="2322"/>
      <c r="BU873" s="2322"/>
      <c r="BV873" s="2322"/>
      <c r="BW873" s="2322"/>
      <c r="BX873" s="2322"/>
      <c r="BY873" s="2322"/>
      <c r="BZ873" s="2322"/>
      <c r="CA873" s="2322"/>
      <c r="CB873" s="2322"/>
      <c r="CC873" s="2322"/>
      <c r="CD873" s="2322"/>
      <c r="CE873" s="2322"/>
      <c r="CF873" s="2322"/>
      <c r="CG873" s="2322"/>
      <c r="CH873" s="2322"/>
      <c r="CI873" s="2322"/>
      <c r="CJ873" s="2322"/>
      <c r="CK873" s="2322"/>
      <c r="CL873" s="2322"/>
      <c r="CM873" s="2322"/>
      <c r="CN873" s="2322"/>
      <c r="CO873" s="2322"/>
      <c r="CP873" s="2322"/>
      <c r="CQ873" s="2322"/>
      <c r="CR873" s="2322"/>
      <c r="CS873" s="2322"/>
      <c r="CT873" s="2322"/>
      <c r="CU873" s="2322"/>
      <c r="CV873" s="2322"/>
    </row>
    <row r="874" spans="1:100" ht="15.75" customHeight="1">
      <c r="A874" s="2328"/>
      <c r="B874" s="2322"/>
      <c r="C874" s="2322"/>
      <c r="D874" s="2322"/>
      <c r="E874" s="2322"/>
      <c r="F874" s="2322"/>
      <c r="G874" s="2322"/>
      <c r="H874" s="2322"/>
      <c r="I874" s="2322"/>
      <c r="J874" s="2322"/>
      <c r="K874" s="2322"/>
      <c r="L874" s="2322"/>
      <c r="M874" s="2322"/>
      <c r="N874" s="2322"/>
      <c r="O874" s="2322"/>
      <c r="P874" s="2322"/>
      <c r="Q874" s="2322"/>
      <c r="R874" s="2322"/>
      <c r="S874" s="2322"/>
      <c r="T874" s="2322"/>
      <c r="U874" s="2322"/>
      <c r="V874" s="2322"/>
      <c r="W874" s="2322"/>
      <c r="X874" s="2322"/>
      <c r="Y874" s="2322"/>
      <c r="Z874" s="2322"/>
      <c r="AA874" s="2322"/>
      <c r="AB874" s="2322"/>
      <c r="AC874" s="2322"/>
      <c r="AD874" s="2322"/>
      <c r="AE874" s="2322"/>
      <c r="AF874" s="2322"/>
      <c r="AG874" s="2322"/>
      <c r="AH874" s="2322"/>
      <c r="AI874" s="2322"/>
      <c r="AJ874" s="2322"/>
      <c r="AK874" s="2322"/>
      <c r="AL874" s="2322"/>
      <c r="AM874" s="2322"/>
      <c r="AN874" s="2322"/>
      <c r="AO874" s="2322"/>
      <c r="AP874" s="2322"/>
      <c r="AQ874" s="2322"/>
      <c r="AR874" s="2322"/>
      <c r="AS874" s="2322"/>
      <c r="AT874" s="2322"/>
      <c r="AU874" s="2322"/>
      <c r="AV874" s="2322"/>
      <c r="AW874" s="2322"/>
      <c r="AX874" s="2322"/>
      <c r="AY874" s="2322"/>
      <c r="AZ874" s="2322"/>
      <c r="BA874" s="2322"/>
      <c r="BB874" s="2322"/>
      <c r="BC874" s="2322"/>
      <c r="BD874" s="2322"/>
      <c r="BE874" s="2322"/>
      <c r="BF874" s="2322"/>
      <c r="BG874" s="2322"/>
      <c r="BH874" s="2322"/>
      <c r="BI874" s="2322"/>
      <c r="BJ874" s="2322"/>
      <c r="BK874" s="2322"/>
      <c r="BL874" s="2322"/>
      <c r="BM874" s="2322"/>
      <c r="BN874" s="2322"/>
      <c r="BO874" s="2322"/>
      <c r="BP874" s="2322"/>
      <c r="BQ874" s="2322"/>
      <c r="BR874" s="2322"/>
      <c r="BS874" s="2322"/>
      <c r="BT874" s="2322"/>
      <c r="BU874" s="2322"/>
      <c r="BV874" s="2322"/>
      <c r="BW874" s="2322"/>
      <c r="BX874" s="2322"/>
      <c r="BY874" s="2322"/>
      <c r="BZ874" s="2322"/>
      <c r="CA874" s="2322"/>
      <c r="CB874" s="2322"/>
      <c r="CC874" s="2322"/>
      <c r="CD874" s="2322"/>
      <c r="CE874" s="2322"/>
      <c r="CF874" s="2322"/>
      <c r="CG874" s="2322"/>
      <c r="CH874" s="2322"/>
      <c r="CI874" s="2322"/>
      <c r="CJ874" s="2322"/>
      <c r="CK874" s="2322"/>
      <c r="CL874" s="2322"/>
      <c r="CM874" s="2322"/>
      <c r="CN874" s="2322"/>
      <c r="CO874" s="2322"/>
      <c r="CP874" s="2322"/>
      <c r="CQ874" s="2322"/>
      <c r="CR874" s="2322"/>
      <c r="CS874" s="2322"/>
      <c r="CT874" s="2322"/>
      <c r="CU874" s="2322"/>
      <c r="CV874" s="2322"/>
    </row>
    <row r="875" spans="1:100" ht="15.75" customHeight="1">
      <c r="A875" s="2328"/>
      <c r="B875" s="2322"/>
      <c r="C875" s="2322"/>
      <c r="D875" s="2322"/>
      <c r="E875" s="2322"/>
      <c r="F875" s="2322"/>
      <c r="G875" s="2322"/>
      <c r="H875" s="2322"/>
      <c r="I875" s="2322"/>
      <c r="J875" s="2322"/>
      <c r="K875" s="2322"/>
      <c r="L875" s="2322"/>
      <c r="M875" s="2322"/>
      <c r="N875" s="2322"/>
      <c r="O875" s="2322"/>
      <c r="P875" s="2322"/>
      <c r="Q875" s="2322"/>
      <c r="R875" s="2322"/>
      <c r="S875" s="2322"/>
      <c r="T875" s="2322"/>
      <c r="U875" s="2322"/>
      <c r="V875" s="2322"/>
      <c r="W875" s="2322"/>
      <c r="X875" s="2322"/>
      <c r="Y875" s="2322"/>
      <c r="Z875" s="2322"/>
      <c r="AA875" s="2322"/>
      <c r="AB875" s="2322"/>
      <c r="AC875" s="2322"/>
      <c r="AD875" s="2322"/>
      <c r="AE875" s="2322"/>
      <c r="AF875" s="2322"/>
      <c r="AG875" s="2322"/>
      <c r="AH875" s="2322"/>
      <c r="AI875" s="2322"/>
      <c r="AJ875" s="2322"/>
      <c r="AK875" s="2322"/>
      <c r="AL875" s="2322"/>
      <c r="AM875" s="2322"/>
      <c r="AN875" s="2322"/>
      <c r="AO875" s="2322"/>
      <c r="AP875" s="2322"/>
      <c r="AQ875" s="2322"/>
      <c r="AR875" s="2322"/>
      <c r="AS875" s="2322"/>
      <c r="AT875" s="2322"/>
      <c r="AU875" s="2322"/>
      <c r="AV875" s="2322"/>
      <c r="AW875" s="2322"/>
      <c r="AX875" s="2322"/>
      <c r="AY875" s="2322"/>
      <c r="AZ875" s="2322"/>
      <c r="BA875" s="2322"/>
      <c r="BB875" s="2322"/>
      <c r="BC875" s="2322"/>
      <c r="BD875" s="2322"/>
      <c r="BE875" s="2322"/>
      <c r="BF875" s="2322"/>
      <c r="BG875" s="2322"/>
      <c r="BH875" s="2322"/>
      <c r="BI875" s="2322"/>
      <c r="BJ875" s="2322"/>
      <c r="BK875" s="2322"/>
      <c r="BL875" s="2322"/>
      <c r="BM875" s="2322"/>
      <c r="BN875" s="2322"/>
      <c r="BO875" s="2322"/>
      <c r="BP875" s="2322"/>
      <c r="BQ875" s="2322"/>
      <c r="BR875" s="2322"/>
      <c r="BS875" s="2322"/>
      <c r="BT875" s="2322"/>
      <c r="BU875" s="2322"/>
      <c r="BV875" s="2322"/>
      <c r="BW875" s="2322"/>
      <c r="BX875" s="2322"/>
      <c r="BY875" s="2322"/>
      <c r="BZ875" s="2322"/>
      <c r="CA875" s="2322"/>
      <c r="CB875" s="2322"/>
      <c r="CC875" s="2322"/>
      <c r="CD875" s="2322"/>
      <c r="CE875" s="2322"/>
      <c r="CF875" s="2322"/>
      <c r="CG875" s="2322"/>
      <c r="CH875" s="2322"/>
      <c r="CI875" s="2322"/>
      <c r="CJ875" s="2322"/>
      <c r="CK875" s="2322"/>
      <c r="CL875" s="2322"/>
      <c r="CM875" s="2322"/>
      <c r="CN875" s="2322"/>
      <c r="CO875" s="2322"/>
      <c r="CP875" s="2322"/>
      <c r="CQ875" s="2322"/>
      <c r="CR875" s="2322"/>
      <c r="CS875" s="2322"/>
      <c r="CT875" s="2322"/>
      <c r="CU875" s="2322"/>
      <c r="CV875" s="2322"/>
    </row>
    <row r="876" spans="1:100" ht="15.75" customHeight="1">
      <c r="A876" s="2328"/>
      <c r="B876" s="2322"/>
      <c r="C876" s="2322"/>
      <c r="D876" s="2322"/>
      <c r="E876" s="2322"/>
      <c r="F876" s="2322"/>
      <c r="G876" s="2322"/>
      <c r="H876" s="2322"/>
      <c r="I876" s="2322"/>
      <c r="J876" s="2322"/>
      <c r="K876" s="2322"/>
      <c r="L876" s="2322"/>
      <c r="M876" s="2322"/>
      <c r="N876" s="2322"/>
      <c r="O876" s="2322"/>
      <c r="P876" s="2322"/>
      <c r="Q876" s="2322"/>
      <c r="R876" s="2322"/>
      <c r="S876" s="2322"/>
      <c r="T876" s="2322"/>
      <c r="U876" s="2322"/>
      <c r="V876" s="2322"/>
      <c r="W876" s="2322"/>
      <c r="X876" s="2322"/>
      <c r="Y876" s="2322"/>
      <c r="Z876" s="2322"/>
      <c r="AA876" s="2322"/>
      <c r="AB876" s="2322"/>
      <c r="AC876" s="2322"/>
      <c r="AD876" s="2322"/>
      <c r="AE876" s="2322"/>
      <c r="AF876" s="2322"/>
      <c r="AG876" s="2322"/>
      <c r="AH876" s="2322"/>
      <c r="AI876" s="2322"/>
      <c r="AJ876" s="2322"/>
      <c r="AK876" s="2322"/>
      <c r="AL876" s="2322"/>
      <c r="AM876" s="2322"/>
      <c r="AN876" s="2322"/>
      <c r="AO876" s="2322"/>
      <c r="AP876" s="2322"/>
      <c r="AQ876" s="2322"/>
      <c r="AR876" s="2322"/>
      <c r="AS876" s="2322"/>
      <c r="AT876" s="2322"/>
      <c r="AU876" s="2322"/>
      <c r="AV876" s="2322"/>
      <c r="AW876" s="2322"/>
      <c r="AX876" s="2322"/>
      <c r="AY876" s="2322"/>
      <c r="AZ876" s="2322"/>
      <c r="BA876" s="2322"/>
      <c r="BB876" s="2322"/>
      <c r="BC876" s="2322"/>
      <c r="BD876" s="2322"/>
      <c r="BE876" s="2322"/>
      <c r="BF876" s="2322"/>
      <c r="BG876" s="2322"/>
      <c r="BH876" s="2322"/>
      <c r="BI876" s="2322"/>
      <c r="BJ876" s="2322"/>
      <c r="BK876" s="2322"/>
      <c r="BL876" s="2322"/>
      <c r="BM876" s="2322"/>
      <c r="BN876" s="2322"/>
      <c r="BO876" s="2322"/>
      <c r="BP876" s="2322"/>
      <c r="BQ876" s="2322"/>
      <c r="BR876" s="2322"/>
      <c r="BS876" s="2322"/>
      <c r="BT876" s="2322"/>
      <c r="BU876" s="2322"/>
      <c r="BV876" s="2322"/>
      <c r="BW876" s="2322"/>
      <c r="BX876" s="2322"/>
      <c r="BY876" s="2322"/>
      <c r="BZ876" s="2322"/>
      <c r="CA876" s="2322"/>
      <c r="CB876" s="2322"/>
      <c r="CC876" s="2322"/>
      <c r="CD876" s="2322"/>
      <c r="CE876" s="2322"/>
      <c r="CF876" s="2322"/>
      <c r="CG876" s="2322"/>
      <c r="CH876" s="2322"/>
      <c r="CI876" s="2322"/>
      <c r="CJ876" s="2322"/>
      <c r="CK876" s="2322"/>
      <c r="CL876" s="2322"/>
      <c r="CM876" s="2322"/>
      <c r="CN876" s="2322"/>
      <c r="CO876" s="2322"/>
      <c r="CP876" s="2322"/>
      <c r="CQ876" s="2322"/>
      <c r="CR876" s="2322"/>
      <c r="CS876" s="2322"/>
      <c r="CT876" s="2322"/>
      <c r="CU876" s="2322"/>
      <c r="CV876" s="2322"/>
    </row>
    <row r="877" spans="1:100" ht="15.75" customHeight="1">
      <c r="A877" s="2328"/>
      <c r="B877" s="2322"/>
      <c r="C877" s="2322"/>
      <c r="D877" s="2322"/>
      <c r="E877" s="2322"/>
      <c r="F877" s="2322"/>
      <c r="G877" s="2322"/>
      <c r="H877" s="2322"/>
      <c r="I877" s="2322"/>
      <c r="J877" s="2322"/>
      <c r="K877" s="2322"/>
      <c r="L877" s="2322"/>
      <c r="M877" s="2322"/>
      <c r="N877" s="2322"/>
      <c r="O877" s="2322"/>
      <c r="P877" s="2322"/>
      <c r="Q877" s="2322"/>
      <c r="R877" s="2322"/>
      <c r="S877" s="2322"/>
      <c r="T877" s="2322"/>
      <c r="U877" s="2322"/>
      <c r="V877" s="2322"/>
      <c r="W877" s="2322"/>
      <c r="X877" s="2322"/>
      <c r="Y877" s="2322"/>
      <c r="Z877" s="2322"/>
      <c r="AA877" s="2322"/>
      <c r="AB877" s="2322"/>
      <c r="AC877" s="2322"/>
      <c r="AD877" s="2322"/>
      <c r="AE877" s="2322"/>
      <c r="AF877" s="2322"/>
      <c r="AG877" s="2322"/>
      <c r="AH877" s="2322"/>
      <c r="AI877" s="2322"/>
      <c r="AJ877" s="2322"/>
      <c r="AK877" s="2322"/>
      <c r="AL877" s="2322"/>
      <c r="AM877" s="2322"/>
      <c r="AN877" s="2322"/>
      <c r="AO877" s="2322"/>
      <c r="AP877" s="2322"/>
      <c r="AQ877" s="2322"/>
      <c r="AR877" s="2322"/>
      <c r="AS877" s="2322"/>
      <c r="AT877" s="2322"/>
      <c r="AU877" s="2322"/>
      <c r="AV877" s="2322"/>
      <c r="AW877" s="2322"/>
      <c r="AX877" s="2322"/>
      <c r="AY877" s="2322"/>
      <c r="AZ877" s="2322"/>
      <c r="BA877" s="2322"/>
      <c r="BB877" s="2322"/>
      <c r="BC877" s="2322"/>
      <c r="BD877" s="2322"/>
      <c r="BE877" s="2322"/>
      <c r="BF877" s="2322"/>
      <c r="BG877" s="2322"/>
      <c r="BH877" s="2322"/>
      <c r="BI877" s="2322"/>
      <c r="BJ877" s="2322"/>
      <c r="BK877" s="2322"/>
      <c r="BL877" s="2322"/>
      <c r="BM877" s="2322"/>
      <c r="BN877" s="2322"/>
      <c r="BO877" s="2322"/>
      <c r="BP877" s="2322"/>
      <c r="BQ877" s="2322"/>
      <c r="BR877" s="2322"/>
      <c r="BS877" s="2322"/>
      <c r="BT877" s="2322"/>
      <c r="BU877" s="2322"/>
      <c r="BV877" s="2322"/>
      <c r="BW877" s="2322"/>
      <c r="BX877" s="2322"/>
      <c r="BY877" s="2322"/>
      <c r="BZ877" s="2322"/>
      <c r="CA877" s="2322"/>
      <c r="CB877" s="2322"/>
      <c r="CC877" s="2322"/>
      <c r="CD877" s="2322"/>
      <c r="CE877" s="2322"/>
      <c r="CF877" s="2322"/>
      <c r="CG877" s="2322"/>
      <c r="CH877" s="2322"/>
      <c r="CI877" s="2322"/>
      <c r="CJ877" s="2322"/>
      <c r="CK877" s="2322"/>
      <c r="CL877" s="2322"/>
      <c r="CM877" s="2322"/>
      <c r="CN877" s="2322"/>
      <c r="CO877" s="2322"/>
      <c r="CP877" s="2322"/>
      <c r="CQ877" s="2322"/>
      <c r="CR877" s="2322"/>
      <c r="CS877" s="2322"/>
      <c r="CT877" s="2322"/>
      <c r="CU877" s="2322"/>
      <c r="CV877" s="2322"/>
    </row>
    <row r="878" spans="1:100" ht="15.75" customHeight="1">
      <c r="A878" s="2328"/>
      <c r="B878" s="2322"/>
      <c r="C878" s="2322"/>
      <c r="D878" s="2322"/>
      <c r="E878" s="2322"/>
      <c r="F878" s="2322"/>
      <c r="G878" s="2322"/>
      <c r="H878" s="2322"/>
      <c r="I878" s="2322"/>
      <c r="J878" s="2322"/>
      <c r="K878" s="2322"/>
      <c r="L878" s="2322"/>
      <c r="M878" s="2322"/>
      <c r="N878" s="2322"/>
      <c r="O878" s="2322"/>
      <c r="P878" s="2322"/>
      <c r="Q878" s="2322"/>
      <c r="R878" s="2322"/>
      <c r="S878" s="2322"/>
      <c r="T878" s="2322"/>
      <c r="U878" s="2322"/>
      <c r="V878" s="2322"/>
      <c r="W878" s="2322"/>
      <c r="X878" s="2322"/>
      <c r="Y878" s="2322"/>
      <c r="Z878" s="2322"/>
      <c r="AA878" s="2322"/>
      <c r="AB878" s="2322"/>
      <c r="AC878" s="2322"/>
      <c r="AD878" s="2322"/>
      <c r="AE878" s="2322"/>
      <c r="AF878" s="2322"/>
      <c r="AG878" s="2322"/>
      <c r="AH878" s="2322"/>
      <c r="AI878" s="2322"/>
      <c r="AJ878" s="2322"/>
      <c r="AK878" s="2322"/>
      <c r="AL878" s="2322"/>
      <c r="AM878" s="2322"/>
      <c r="AN878" s="2322"/>
      <c r="AO878" s="2322"/>
      <c r="AP878" s="2322"/>
      <c r="AQ878" s="2322"/>
      <c r="AR878" s="2322"/>
      <c r="AS878" s="2322"/>
      <c r="AT878" s="2322"/>
      <c r="AU878" s="2322"/>
      <c r="AV878" s="2322"/>
      <c r="AW878" s="2322"/>
      <c r="AX878" s="2322"/>
      <c r="AY878" s="2322"/>
      <c r="AZ878" s="2322"/>
      <c r="BA878" s="2322"/>
      <c r="BB878" s="2322"/>
      <c r="BC878" s="2322"/>
      <c r="BD878" s="2322"/>
      <c r="BE878" s="2322"/>
      <c r="BF878" s="2322"/>
      <c r="BG878" s="2322"/>
      <c r="BH878" s="2322"/>
      <c r="BI878" s="2322"/>
      <c r="BJ878" s="2322"/>
      <c r="BK878" s="2322"/>
      <c r="BL878" s="2322"/>
      <c r="BM878" s="2322"/>
      <c r="BN878" s="2322"/>
      <c r="BO878" s="2322"/>
      <c r="BP878" s="2322"/>
      <c r="BQ878" s="2322"/>
      <c r="BR878" s="2322"/>
      <c r="BS878" s="2322"/>
      <c r="BT878" s="2322"/>
      <c r="BU878" s="2322"/>
      <c r="BV878" s="2322"/>
      <c r="BW878" s="2322"/>
      <c r="BX878" s="2322"/>
      <c r="BY878" s="2322"/>
      <c r="BZ878" s="2322"/>
      <c r="CA878" s="2322"/>
      <c r="CB878" s="2322"/>
      <c r="CC878" s="2322"/>
      <c r="CD878" s="2322"/>
      <c r="CE878" s="2322"/>
      <c r="CF878" s="2322"/>
      <c r="CG878" s="2322"/>
      <c r="CH878" s="2322"/>
      <c r="CI878" s="2322"/>
      <c r="CJ878" s="2322"/>
      <c r="CK878" s="2322"/>
      <c r="CL878" s="2322"/>
      <c r="CM878" s="2322"/>
      <c r="CN878" s="2322"/>
      <c r="CO878" s="2322"/>
      <c r="CP878" s="2322"/>
      <c r="CQ878" s="2322"/>
      <c r="CR878" s="2322"/>
      <c r="CS878" s="2322"/>
      <c r="CT878" s="2322"/>
      <c r="CU878" s="2322"/>
      <c r="CV878" s="2322"/>
    </row>
    <row r="879" spans="1:100" ht="15.75" customHeight="1">
      <c r="A879" s="2328"/>
      <c r="B879" s="2322"/>
      <c r="C879" s="2322"/>
      <c r="D879" s="2322"/>
      <c r="E879" s="2322"/>
      <c r="F879" s="2322"/>
      <c r="G879" s="2322"/>
      <c r="H879" s="2322"/>
      <c r="I879" s="2322"/>
      <c r="J879" s="2322"/>
      <c r="K879" s="2322"/>
      <c r="L879" s="2322"/>
      <c r="M879" s="2322"/>
      <c r="N879" s="2322"/>
      <c r="O879" s="2322"/>
      <c r="P879" s="2322"/>
      <c r="Q879" s="2322"/>
      <c r="R879" s="2322"/>
      <c r="S879" s="2322"/>
      <c r="T879" s="2322"/>
      <c r="U879" s="2322"/>
      <c r="V879" s="2322"/>
      <c r="W879" s="2322"/>
      <c r="X879" s="2322"/>
      <c r="Y879" s="2322"/>
      <c r="Z879" s="2322"/>
      <c r="AA879" s="2322"/>
      <c r="AB879" s="2322"/>
      <c r="AC879" s="2322"/>
      <c r="AD879" s="2322"/>
      <c r="AE879" s="2322"/>
      <c r="AF879" s="2322"/>
      <c r="AG879" s="2322"/>
      <c r="AH879" s="2322"/>
      <c r="AI879" s="2322"/>
      <c r="AJ879" s="2322"/>
      <c r="AK879" s="2322"/>
      <c r="AL879" s="2322"/>
      <c r="AM879" s="2322"/>
      <c r="AN879" s="2322"/>
      <c r="AO879" s="2322"/>
      <c r="AP879" s="2322"/>
      <c r="AQ879" s="2322"/>
      <c r="AR879" s="2322"/>
      <c r="AS879" s="2322"/>
      <c r="AT879" s="2322"/>
      <c r="AU879" s="2322"/>
      <c r="AV879" s="2322"/>
      <c r="AW879" s="2322"/>
      <c r="AX879" s="2322"/>
      <c r="AY879" s="2322"/>
      <c r="AZ879" s="2322"/>
      <c r="BA879" s="2322"/>
      <c r="BB879" s="2322"/>
      <c r="BC879" s="2322"/>
      <c r="BD879" s="2322"/>
      <c r="BE879" s="2322"/>
      <c r="BF879" s="2322"/>
      <c r="BG879" s="2322"/>
      <c r="BH879" s="2322"/>
      <c r="BI879" s="2322"/>
      <c r="BJ879" s="2322"/>
      <c r="BK879" s="2322"/>
      <c r="BL879" s="2322"/>
      <c r="BM879" s="2322"/>
      <c r="BN879" s="2322"/>
      <c r="BO879" s="2322"/>
      <c r="BP879" s="2322"/>
      <c r="BQ879" s="2322"/>
      <c r="BR879" s="2322"/>
      <c r="BS879" s="2322"/>
      <c r="BT879" s="2322"/>
      <c r="BU879" s="2322"/>
      <c r="BV879" s="2322"/>
      <c r="BW879" s="2322"/>
      <c r="BX879" s="2322"/>
      <c r="BY879" s="2322"/>
      <c r="BZ879" s="2322"/>
      <c r="CA879" s="2322"/>
      <c r="CB879" s="2322"/>
      <c r="CC879" s="2322"/>
      <c r="CD879" s="2322"/>
      <c r="CE879" s="2322"/>
      <c r="CF879" s="2322"/>
      <c r="CG879" s="2322"/>
      <c r="CH879" s="2322"/>
      <c r="CI879" s="2322"/>
      <c r="CJ879" s="2322"/>
      <c r="CK879" s="2322"/>
      <c r="CL879" s="2322"/>
      <c r="CM879" s="2322"/>
      <c r="CN879" s="2322"/>
      <c r="CO879" s="2322"/>
      <c r="CP879" s="2322"/>
      <c r="CQ879" s="2322"/>
      <c r="CR879" s="2322"/>
      <c r="CS879" s="2322"/>
      <c r="CT879" s="2322"/>
      <c r="CU879" s="2322"/>
      <c r="CV879" s="2322"/>
    </row>
    <row r="880" spans="1:100" ht="15.75" customHeight="1">
      <c r="A880" s="2328"/>
      <c r="B880" s="2322"/>
      <c r="C880" s="2322"/>
      <c r="D880" s="2322"/>
      <c r="E880" s="2322"/>
      <c r="F880" s="2322"/>
      <c r="G880" s="2322"/>
      <c r="H880" s="2322"/>
      <c r="I880" s="2322"/>
      <c r="J880" s="2322"/>
      <c r="K880" s="2322"/>
      <c r="L880" s="2322"/>
      <c r="M880" s="2322"/>
      <c r="N880" s="2322"/>
      <c r="O880" s="2322"/>
      <c r="P880" s="2322"/>
      <c r="Q880" s="2322"/>
      <c r="R880" s="2322"/>
      <c r="S880" s="2322"/>
      <c r="T880" s="2322"/>
      <c r="U880" s="2322"/>
      <c r="V880" s="2322"/>
      <c r="W880" s="2322"/>
      <c r="X880" s="2322"/>
      <c r="Y880" s="2322"/>
      <c r="Z880" s="2322"/>
      <c r="AA880" s="2322"/>
      <c r="AB880" s="2322"/>
      <c r="AC880" s="2322"/>
      <c r="AD880" s="2322"/>
      <c r="AE880" s="2322"/>
      <c r="AF880" s="2322"/>
      <c r="AG880" s="2322"/>
      <c r="AH880" s="2322"/>
      <c r="AI880" s="2322"/>
      <c r="AJ880" s="2322"/>
      <c r="AK880" s="2322"/>
      <c r="AL880" s="2322"/>
      <c r="AM880" s="2322"/>
      <c r="AN880" s="2322"/>
      <c r="AO880" s="2322"/>
      <c r="AP880" s="2322"/>
      <c r="AQ880" s="2322"/>
      <c r="AR880" s="2322"/>
      <c r="AS880" s="2322"/>
      <c r="AT880" s="2322"/>
      <c r="AU880" s="2322"/>
      <c r="AV880" s="2322"/>
      <c r="AW880" s="2322"/>
      <c r="AX880" s="2322"/>
      <c r="AY880" s="2322"/>
      <c r="AZ880" s="2322"/>
      <c r="BA880" s="2322"/>
      <c r="BB880" s="2322"/>
      <c r="BC880" s="2322"/>
      <c r="BD880" s="2322"/>
      <c r="BE880" s="2322"/>
      <c r="BF880" s="2322"/>
      <c r="BG880" s="2322"/>
      <c r="BH880" s="2322"/>
      <c r="BI880" s="2322"/>
      <c r="BJ880" s="2322"/>
      <c r="BK880" s="2322"/>
      <c r="BL880" s="2322"/>
      <c r="BM880" s="2322"/>
      <c r="BN880" s="2322"/>
      <c r="BO880" s="2322"/>
      <c r="BP880" s="2322"/>
      <c r="BQ880" s="2322"/>
      <c r="BR880" s="2322"/>
      <c r="BS880" s="2322"/>
      <c r="BT880" s="2322"/>
      <c r="BU880" s="2322"/>
      <c r="BV880" s="2322"/>
      <c r="BW880" s="2322"/>
      <c r="BX880" s="2322"/>
      <c r="BY880" s="2322"/>
      <c r="BZ880" s="2322"/>
      <c r="CA880" s="2322"/>
      <c r="CB880" s="2322"/>
      <c r="CC880" s="2322"/>
      <c r="CD880" s="2322"/>
      <c r="CE880" s="2322"/>
      <c r="CF880" s="2322"/>
      <c r="CG880" s="2322"/>
      <c r="CH880" s="2322"/>
      <c r="CI880" s="2322"/>
      <c r="CJ880" s="2322"/>
      <c r="CK880" s="2322"/>
      <c r="CL880" s="2322"/>
      <c r="CM880" s="2322"/>
      <c r="CN880" s="2322"/>
      <c r="CO880" s="2322"/>
      <c r="CP880" s="2322"/>
      <c r="CQ880" s="2322"/>
      <c r="CR880" s="2322"/>
      <c r="CS880" s="2322"/>
      <c r="CT880" s="2322"/>
      <c r="CU880" s="2322"/>
      <c r="CV880" s="2322"/>
    </row>
    <row r="881" spans="1:100" ht="15.75" customHeight="1">
      <c r="A881" s="2328"/>
      <c r="B881" s="2322"/>
      <c r="C881" s="2322"/>
      <c r="D881" s="2322"/>
      <c r="E881" s="2322"/>
      <c r="F881" s="2322"/>
      <c r="G881" s="2322"/>
      <c r="H881" s="2322"/>
      <c r="I881" s="2322"/>
      <c r="J881" s="2322"/>
      <c r="K881" s="2322"/>
      <c r="L881" s="2322"/>
      <c r="M881" s="2322"/>
      <c r="N881" s="2322"/>
      <c r="O881" s="2322"/>
      <c r="P881" s="2322"/>
      <c r="Q881" s="2322"/>
      <c r="R881" s="2322"/>
      <c r="S881" s="2322"/>
      <c r="T881" s="2322"/>
      <c r="U881" s="2322"/>
      <c r="V881" s="2322"/>
      <c r="W881" s="2322"/>
      <c r="X881" s="2322"/>
      <c r="Y881" s="2322"/>
      <c r="Z881" s="2322"/>
      <c r="AA881" s="2322"/>
      <c r="AB881" s="2322"/>
      <c r="AC881" s="2322"/>
      <c r="AD881" s="2322"/>
      <c r="AE881" s="2322"/>
      <c r="AF881" s="2322"/>
      <c r="AG881" s="2322"/>
      <c r="AH881" s="2322"/>
      <c r="AI881" s="2322"/>
      <c r="AJ881" s="2322"/>
      <c r="AK881" s="2322"/>
      <c r="AL881" s="2322"/>
      <c r="AM881" s="2322"/>
      <c r="AN881" s="2322"/>
      <c r="AO881" s="2322"/>
      <c r="AP881" s="2322"/>
      <c r="AQ881" s="2322"/>
      <c r="AR881" s="2322"/>
      <c r="AS881" s="2322"/>
      <c r="AT881" s="2322"/>
      <c r="AU881" s="2322"/>
      <c r="AV881" s="2322"/>
      <c r="AW881" s="2322"/>
      <c r="AX881" s="2322"/>
      <c r="AY881" s="2322"/>
      <c r="AZ881" s="2322"/>
      <c r="BA881" s="2322"/>
      <c r="BB881" s="2322"/>
      <c r="BC881" s="2322"/>
      <c r="BD881" s="2322"/>
      <c r="BE881" s="2322"/>
      <c r="BF881" s="2322"/>
      <c r="BG881" s="2322"/>
      <c r="BH881" s="2322"/>
      <c r="BI881" s="2322"/>
      <c r="BJ881" s="2322"/>
      <c r="BK881" s="2322"/>
      <c r="BL881" s="2322"/>
      <c r="BM881" s="2322"/>
      <c r="BN881" s="2322"/>
      <c r="BO881" s="2322"/>
      <c r="BP881" s="2322"/>
      <c r="BQ881" s="2322"/>
      <c r="BR881" s="2322"/>
      <c r="BS881" s="2322"/>
      <c r="BT881" s="2322"/>
      <c r="BU881" s="2322"/>
      <c r="BV881" s="2322"/>
      <c r="BW881" s="2322"/>
      <c r="BX881" s="2322"/>
      <c r="BY881" s="2322"/>
      <c r="BZ881" s="2322"/>
      <c r="CA881" s="2322"/>
      <c r="CB881" s="2322"/>
      <c r="CC881" s="2322"/>
      <c r="CD881" s="2322"/>
      <c r="CE881" s="2322"/>
      <c r="CF881" s="2322"/>
      <c r="CG881" s="2322"/>
      <c r="CH881" s="2322"/>
      <c r="CI881" s="2322"/>
      <c r="CJ881" s="2322"/>
      <c r="CK881" s="2322"/>
      <c r="CL881" s="2322"/>
      <c r="CM881" s="2322"/>
      <c r="CN881" s="2322"/>
      <c r="CO881" s="2322"/>
      <c r="CP881" s="2322"/>
      <c r="CQ881" s="2322"/>
      <c r="CR881" s="2322"/>
      <c r="CS881" s="2322"/>
      <c r="CT881" s="2322"/>
      <c r="CU881" s="2322"/>
      <c r="CV881" s="2322"/>
    </row>
    <row r="882" spans="1:100" ht="15.75" customHeight="1">
      <c r="A882" s="2328"/>
      <c r="B882" s="2322"/>
      <c r="C882" s="2322"/>
      <c r="D882" s="2322"/>
      <c r="E882" s="2322"/>
      <c r="F882" s="2322"/>
      <c r="G882" s="2322"/>
      <c r="H882" s="2322"/>
      <c r="I882" s="2322"/>
      <c r="J882" s="2322"/>
      <c r="K882" s="2322"/>
      <c r="L882" s="2322"/>
      <c r="M882" s="2322"/>
      <c r="N882" s="2322"/>
      <c r="O882" s="2322"/>
      <c r="P882" s="2322"/>
      <c r="Q882" s="2322"/>
      <c r="R882" s="2322"/>
      <c r="S882" s="2322"/>
      <c r="T882" s="2322"/>
      <c r="U882" s="2322"/>
      <c r="V882" s="2322"/>
      <c r="W882" s="2322"/>
      <c r="X882" s="2322"/>
      <c r="Y882" s="2322"/>
      <c r="Z882" s="2322"/>
      <c r="AA882" s="2322"/>
      <c r="AB882" s="2322"/>
      <c r="AC882" s="2322"/>
      <c r="AD882" s="2322"/>
      <c r="AE882" s="2322"/>
      <c r="AF882" s="2322"/>
      <c r="AG882" s="2322"/>
      <c r="AH882" s="2322"/>
      <c r="AI882" s="2322"/>
      <c r="AJ882" s="2322"/>
      <c r="AK882" s="2322"/>
      <c r="AL882" s="2322"/>
      <c r="AM882" s="2322"/>
      <c r="AN882" s="2322"/>
      <c r="AO882" s="2322"/>
      <c r="AP882" s="2322"/>
      <c r="AQ882" s="2322"/>
      <c r="AR882" s="2322"/>
      <c r="AS882" s="2322"/>
      <c r="AT882" s="2322"/>
      <c r="AU882" s="2322"/>
      <c r="AV882" s="2322"/>
      <c r="AW882" s="2322"/>
      <c r="AX882" s="2322"/>
      <c r="AY882" s="2322"/>
      <c r="AZ882" s="2322"/>
      <c r="BA882" s="2322"/>
      <c r="BB882" s="2322"/>
      <c r="BC882" s="2322"/>
      <c r="BD882" s="2322"/>
      <c r="BE882" s="2322"/>
      <c r="BF882" s="2322"/>
      <c r="BG882" s="2322"/>
      <c r="BH882" s="2322"/>
      <c r="BI882" s="2322"/>
      <c r="BJ882" s="2322"/>
      <c r="BK882" s="2322"/>
      <c r="BL882" s="2322"/>
      <c r="BM882" s="2322"/>
      <c r="BN882" s="2322"/>
      <c r="BO882" s="2322"/>
      <c r="BP882" s="2322"/>
      <c r="BQ882" s="2322"/>
      <c r="BR882" s="2322"/>
      <c r="BS882" s="2322"/>
      <c r="BT882" s="2322"/>
      <c r="BU882" s="2322"/>
      <c r="BV882" s="2322"/>
      <c r="BW882" s="2322"/>
      <c r="BX882" s="2322"/>
      <c r="BY882" s="2322"/>
      <c r="BZ882" s="2322"/>
      <c r="CA882" s="2322"/>
      <c r="CB882" s="2322"/>
      <c r="CC882" s="2322"/>
      <c r="CD882" s="2322"/>
      <c r="CE882" s="2322"/>
      <c r="CF882" s="2322"/>
      <c r="CG882" s="2322"/>
      <c r="CH882" s="2322"/>
      <c r="CI882" s="2322"/>
      <c r="CJ882" s="2322"/>
      <c r="CK882" s="2322"/>
      <c r="CL882" s="2322"/>
      <c r="CM882" s="2322"/>
      <c r="CN882" s="2322"/>
      <c r="CO882" s="2322"/>
      <c r="CP882" s="2322"/>
      <c r="CQ882" s="2322"/>
      <c r="CR882" s="2322"/>
      <c r="CS882" s="2322"/>
      <c r="CT882" s="2322"/>
      <c r="CU882" s="2322"/>
      <c r="CV882" s="2322"/>
    </row>
    <row r="883" spans="1:100" ht="15.75" customHeight="1">
      <c r="A883" s="2328"/>
      <c r="B883" s="2322"/>
      <c r="C883" s="2322"/>
      <c r="D883" s="2322"/>
      <c r="E883" s="2322"/>
      <c r="F883" s="2322"/>
      <c r="G883" s="2322"/>
      <c r="H883" s="2322"/>
      <c r="I883" s="2322"/>
      <c r="J883" s="2322"/>
      <c r="K883" s="2322"/>
      <c r="L883" s="2322"/>
      <c r="M883" s="2322"/>
      <c r="N883" s="2322"/>
      <c r="O883" s="2322"/>
      <c r="P883" s="2322"/>
      <c r="Q883" s="2322"/>
      <c r="R883" s="2322"/>
      <c r="S883" s="2322"/>
      <c r="T883" s="2322"/>
      <c r="U883" s="2322"/>
      <c r="V883" s="2322"/>
      <c r="W883" s="2322"/>
      <c r="X883" s="2322"/>
      <c r="Y883" s="2322"/>
      <c r="Z883" s="2322"/>
      <c r="AA883" s="2322"/>
      <c r="AB883" s="2322"/>
      <c r="AC883" s="2322"/>
      <c r="AD883" s="2322"/>
      <c r="AE883" s="2322"/>
      <c r="AF883" s="2322"/>
      <c r="AG883" s="2322"/>
      <c r="AH883" s="2322"/>
      <c r="AI883" s="2322"/>
      <c r="AJ883" s="2322"/>
      <c r="AK883" s="2322"/>
      <c r="AL883" s="2322"/>
      <c r="AM883" s="2322"/>
      <c r="AN883" s="2322"/>
      <c r="AO883" s="2322"/>
      <c r="AP883" s="2322"/>
      <c r="AQ883" s="2322"/>
      <c r="AR883" s="2322"/>
      <c r="AS883" s="2322"/>
      <c r="AT883" s="2322"/>
      <c r="AU883" s="2322"/>
      <c r="AV883" s="2322"/>
      <c r="AW883" s="2322"/>
      <c r="AX883" s="2322"/>
      <c r="AY883" s="2322"/>
      <c r="AZ883" s="2322"/>
      <c r="BA883" s="2322"/>
      <c r="BB883" s="2322"/>
      <c r="BC883" s="2322"/>
      <c r="BD883" s="2322"/>
      <c r="BE883" s="2322"/>
      <c r="BF883" s="2322"/>
      <c r="BG883" s="2322"/>
      <c r="BH883" s="2322"/>
      <c r="BI883" s="2322"/>
      <c r="BJ883" s="2322"/>
      <c r="BK883" s="2322"/>
      <c r="BL883" s="2322"/>
      <c r="BM883" s="2322"/>
      <c r="BN883" s="2322"/>
      <c r="BO883" s="2322"/>
      <c r="BP883" s="2322"/>
      <c r="BQ883" s="2322"/>
      <c r="BR883" s="2322"/>
      <c r="BS883" s="2322"/>
      <c r="BT883" s="2322"/>
      <c r="BU883" s="2322"/>
      <c r="BV883" s="2322"/>
      <c r="BW883" s="2322"/>
      <c r="BX883" s="2322"/>
      <c r="BY883" s="2322"/>
      <c r="BZ883" s="2322"/>
      <c r="CA883" s="2322"/>
      <c r="CB883" s="2322"/>
      <c r="CC883" s="2322"/>
      <c r="CD883" s="2322"/>
      <c r="CE883" s="2322"/>
      <c r="CF883" s="2322"/>
      <c r="CG883" s="2322"/>
      <c r="CH883" s="2322"/>
      <c r="CI883" s="2322"/>
      <c r="CJ883" s="2322"/>
      <c r="CK883" s="2322"/>
      <c r="CL883" s="2322"/>
      <c r="CM883" s="2322"/>
      <c r="CN883" s="2322"/>
      <c r="CO883" s="2322"/>
      <c r="CP883" s="2322"/>
      <c r="CQ883" s="2322"/>
      <c r="CR883" s="2322"/>
      <c r="CS883" s="2322"/>
      <c r="CT883" s="2322"/>
      <c r="CU883" s="2322"/>
      <c r="CV883" s="2322"/>
    </row>
    <row r="884" spans="1:100" ht="15.75" customHeight="1">
      <c r="A884" s="2328"/>
      <c r="B884" s="2322"/>
      <c r="C884" s="2322"/>
      <c r="D884" s="2322"/>
      <c r="E884" s="2322"/>
      <c r="F884" s="2322"/>
      <c r="G884" s="2322"/>
      <c r="H884" s="2322"/>
      <c r="I884" s="2322"/>
      <c r="J884" s="2322"/>
      <c r="K884" s="2322"/>
      <c r="L884" s="2322"/>
      <c r="M884" s="2322"/>
      <c r="N884" s="2322"/>
      <c r="O884" s="2322"/>
      <c r="P884" s="2322"/>
      <c r="Q884" s="2322"/>
      <c r="R884" s="2322"/>
      <c r="S884" s="2322"/>
      <c r="T884" s="2322"/>
      <c r="U884" s="2322"/>
      <c r="V884" s="2322"/>
      <c r="W884" s="2322"/>
      <c r="X884" s="2322"/>
      <c r="Y884" s="2322"/>
      <c r="Z884" s="2322"/>
      <c r="AA884" s="2322"/>
      <c r="AB884" s="2322"/>
      <c r="AC884" s="2322"/>
      <c r="AD884" s="2322"/>
      <c r="AE884" s="2322"/>
      <c r="AF884" s="2322"/>
      <c r="AG884" s="2322"/>
      <c r="AH884" s="2322"/>
      <c r="AI884" s="2322"/>
      <c r="AJ884" s="2322"/>
      <c r="AK884" s="2322"/>
      <c r="AL884" s="2322"/>
      <c r="AM884" s="2322"/>
      <c r="AN884" s="2322"/>
      <c r="AO884" s="2322"/>
      <c r="AP884" s="2322"/>
      <c r="AQ884" s="2322"/>
      <c r="AR884" s="2322"/>
      <c r="AS884" s="2322"/>
      <c r="AT884" s="2322"/>
      <c r="AU884" s="2322"/>
      <c r="AV884" s="2322"/>
      <c r="AW884" s="2322"/>
      <c r="AX884" s="2322"/>
      <c r="AY884" s="2322"/>
      <c r="AZ884" s="2322"/>
      <c r="BA884" s="2322"/>
      <c r="BB884" s="2322"/>
      <c r="BC884" s="2322"/>
      <c r="BD884" s="2322"/>
      <c r="BE884" s="2322"/>
      <c r="BF884" s="2322"/>
      <c r="BG884" s="2322"/>
      <c r="BH884" s="2322"/>
      <c r="BI884" s="2322"/>
      <c r="BJ884" s="2322"/>
      <c r="BK884" s="2322"/>
      <c r="BL884" s="2322"/>
      <c r="BM884" s="2322"/>
      <c r="BN884" s="2322"/>
      <c r="BO884" s="2322"/>
      <c r="BP884" s="2322"/>
      <c r="BQ884" s="2322"/>
      <c r="BR884" s="2322"/>
      <c r="BS884" s="2322"/>
      <c r="BT884" s="2322"/>
      <c r="BU884" s="2322"/>
      <c r="BV884" s="2322"/>
      <c r="BW884" s="2322"/>
      <c r="BX884" s="2322"/>
      <c r="BY884" s="2322"/>
      <c r="BZ884" s="2322"/>
      <c r="CA884" s="2322"/>
      <c r="CB884" s="2322"/>
      <c r="CC884" s="2322"/>
      <c r="CD884" s="2322"/>
      <c r="CE884" s="2322"/>
      <c r="CF884" s="2322"/>
      <c r="CG884" s="2322"/>
      <c r="CH884" s="2322"/>
      <c r="CI884" s="2322"/>
      <c r="CJ884" s="2322"/>
      <c r="CK884" s="2322"/>
      <c r="CL884" s="2322"/>
      <c r="CM884" s="2322"/>
      <c r="CN884" s="2322"/>
      <c r="CO884" s="2322"/>
      <c r="CP884" s="2322"/>
      <c r="CQ884" s="2322"/>
      <c r="CR884" s="2322"/>
      <c r="CS884" s="2322"/>
      <c r="CT884" s="2322"/>
      <c r="CU884" s="2322"/>
      <c r="CV884" s="2322"/>
    </row>
    <row r="885" spans="1:100" ht="15.75" customHeight="1">
      <c r="A885" s="2328"/>
      <c r="B885" s="2322"/>
      <c r="C885" s="2322"/>
      <c r="D885" s="2322"/>
      <c r="E885" s="2322"/>
      <c r="F885" s="2322"/>
      <c r="G885" s="2322"/>
      <c r="H885" s="2322"/>
      <c r="I885" s="2322"/>
      <c r="J885" s="2322"/>
      <c r="K885" s="2322"/>
      <c r="L885" s="2322"/>
      <c r="M885" s="2322"/>
      <c r="N885" s="2322"/>
      <c r="O885" s="2322"/>
      <c r="P885" s="2322"/>
      <c r="Q885" s="2322"/>
      <c r="R885" s="2322"/>
      <c r="S885" s="2322"/>
      <c r="T885" s="2322"/>
      <c r="U885" s="2322"/>
      <c r="V885" s="2322"/>
      <c r="W885" s="2322"/>
      <c r="X885" s="2322"/>
      <c r="Y885" s="2322"/>
      <c r="Z885" s="2322"/>
      <c r="AA885" s="2322"/>
      <c r="AB885" s="2322"/>
      <c r="AC885" s="2322"/>
      <c r="AD885" s="2322"/>
      <c r="AE885" s="2322"/>
      <c r="AF885" s="2322"/>
      <c r="AG885" s="2322"/>
      <c r="AH885" s="2322"/>
      <c r="AI885" s="2322"/>
      <c r="AJ885" s="2322"/>
      <c r="AK885" s="2322"/>
      <c r="AL885" s="2322"/>
      <c r="AM885" s="2322"/>
      <c r="AN885" s="2322"/>
      <c r="AO885" s="2322"/>
      <c r="AP885" s="2322"/>
      <c r="AQ885" s="2322"/>
      <c r="AR885" s="2322"/>
      <c r="AS885" s="2322"/>
      <c r="AT885" s="2322"/>
      <c r="AU885" s="2322"/>
      <c r="AV885" s="2322"/>
      <c r="AW885" s="2322"/>
      <c r="AX885" s="2322"/>
      <c r="AY885" s="2322"/>
      <c r="AZ885" s="2322"/>
      <c r="BA885" s="2322"/>
      <c r="BB885" s="2322"/>
      <c r="BC885" s="2322"/>
      <c r="BD885" s="2322"/>
      <c r="BE885" s="2322"/>
      <c r="BF885" s="2322"/>
      <c r="BG885" s="2322"/>
      <c r="BH885" s="2322"/>
      <c r="BI885" s="2322"/>
      <c r="BJ885" s="2322"/>
      <c r="BK885" s="2322"/>
      <c r="BL885" s="2322"/>
      <c r="BM885" s="2322"/>
      <c r="BN885" s="2322"/>
      <c r="BO885" s="2322"/>
      <c r="BP885" s="2322"/>
      <c r="BQ885" s="2322"/>
      <c r="BR885" s="2322"/>
      <c r="BS885" s="2322"/>
      <c r="BT885" s="2322"/>
      <c r="BU885" s="2322"/>
      <c r="BV885" s="2322"/>
      <c r="BW885" s="2322"/>
      <c r="BX885" s="2322"/>
      <c r="BY885" s="2322"/>
      <c r="BZ885" s="2322"/>
      <c r="CA885" s="2322"/>
      <c r="CB885" s="2322"/>
      <c r="CC885" s="2322"/>
      <c r="CD885" s="2322"/>
      <c r="CE885" s="2322"/>
      <c r="CF885" s="2322"/>
      <c r="CG885" s="2322"/>
      <c r="CH885" s="2322"/>
      <c r="CI885" s="2322"/>
      <c r="CJ885" s="2322"/>
      <c r="CK885" s="2322"/>
      <c r="CL885" s="2322"/>
      <c r="CM885" s="2322"/>
      <c r="CN885" s="2322"/>
      <c r="CO885" s="2322"/>
      <c r="CP885" s="2322"/>
      <c r="CQ885" s="2322"/>
      <c r="CR885" s="2322"/>
      <c r="CS885" s="2322"/>
      <c r="CT885" s="2322"/>
      <c r="CU885" s="2322"/>
      <c r="CV885" s="2322"/>
    </row>
    <row r="886" spans="1:100" ht="15.75" customHeight="1">
      <c r="A886" s="2328"/>
      <c r="B886" s="2322"/>
      <c r="C886" s="2322"/>
      <c r="D886" s="2322"/>
      <c r="E886" s="2322"/>
      <c r="F886" s="2322"/>
      <c r="G886" s="2322"/>
      <c r="H886" s="2322"/>
      <c r="I886" s="2322"/>
      <c r="J886" s="2322"/>
      <c r="K886" s="2322"/>
      <c r="L886" s="2322"/>
      <c r="M886" s="2322"/>
      <c r="N886" s="2322"/>
      <c r="O886" s="2322"/>
      <c r="P886" s="2322"/>
      <c r="Q886" s="2322"/>
      <c r="R886" s="2322"/>
      <c r="S886" s="2322"/>
      <c r="T886" s="2322"/>
      <c r="U886" s="2322"/>
      <c r="V886" s="2322"/>
      <c r="W886" s="2322"/>
      <c r="X886" s="2322"/>
      <c r="Y886" s="2322"/>
      <c r="Z886" s="2322"/>
      <c r="AA886" s="2322"/>
      <c r="AB886" s="2322"/>
      <c r="AC886" s="2322"/>
      <c r="AD886" s="2322"/>
      <c r="AE886" s="2322"/>
      <c r="AF886" s="2322"/>
      <c r="AG886" s="2322"/>
      <c r="AH886" s="2322"/>
      <c r="AI886" s="2322"/>
      <c r="AJ886" s="2322"/>
      <c r="AK886" s="2322"/>
      <c r="AL886" s="2322"/>
      <c r="AM886" s="2322"/>
      <c r="AN886" s="2322"/>
      <c r="AO886" s="2322"/>
      <c r="AP886" s="2322"/>
      <c r="AQ886" s="2322"/>
      <c r="AR886" s="2322"/>
      <c r="AS886" s="2322"/>
      <c r="AT886" s="2322"/>
      <c r="AU886" s="2322"/>
      <c r="AV886" s="2322"/>
      <c r="AW886" s="2322"/>
      <c r="AX886" s="2322"/>
      <c r="AY886" s="2322"/>
      <c r="AZ886" s="2322"/>
      <c r="BA886" s="2322"/>
      <c r="BB886" s="2322"/>
      <c r="BC886" s="2322"/>
      <c r="BD886" s="2322"/>
      <c r="BE886" s="2322"/>
      <c r="BF886" s="2322"/>
      <c r="BG886" s="2322"/>
      <c r="BH886" s="2322"/>
      <c r="BI886" s="2322"/>
      <c r="BJ886" s="2322"/>
      <c r="BK886" s="2322"/>
      <c r="BL886" s="2322"/>
      <c r="BM886" s="2322"/>
      <c r="BN886" s="2322"/>
      <c r="BO886" s="2322"/>
      <c r="BP886" s="2322"/>
      <c r="BQ886" s="2322"/>
      <c r="BR886" s="2322"/>
      <c r="BS886" s="2322"/>
      <c r="BT886" s="2322"/>
      <c r="BU886" s="2322"/>
      <c r="BV886" s="2322"/>
      <c r="BW886" s="2322"/>
      <c r="BX886" s="2322"/>
      <c r="BY886" s="2322"/>
      <c r="BZ886" s="2322"/>
      <c r="CA886" s="2322"/>
      <c r="CB886" s="2322"/>
      <c r="CC886" s="2322"/>
      <c r="CD886" s="2322"/>
      <c r="CE886" s="2322"/>
      <c r="CF886" s="2322"/>
      <c r="CG886" s="2322"/>
      <c r="CH886" s="2322"/>
      <c r="CI886" s="2322"/>
      <c r="CJ886" s="2322"/>
      <c r="CK886" s="2322"/>
      <c r="CL886" s="2322"/>
      <c r="CM886" s="2322"/>
      <c r="CN886" s="2322"/>
      <c r="CO886" s="2322"/>
      <c r="CP886" s="2322"/>
      <c r="CQ886" s="2322"/>
      <c r="CR886" s="2322"/>
      <c r="CS886" s="2322"/>
      <c r="CT886" s="2322"/>
      <c r="CU886" s="2322"/>
      <c r="CV886" s="2322"/>
    </row>
    <row r="887" spans="1:100" ht="15.75" customHeight="1">
      <c r="A887" s="2328"/>
      <c r="B887" s="2322"/>
      <c r="C887" s="2322"/>
      <c r="D887" s="2322"/>
      <c r="E887" s="2322"/>
      <c r="F887" s="2322"/>
      <c r="G887" s="2322"/>
      <c r="H887" s="2322"/>
      <c r="I887" s="2322"/>
      <c r="J887" s="2322"/>
      <c r="K887" s="2322"/>
      <c r="L887" s="2322"/>
      <c r="M887" s="2322"/>
      <c r="N887" s="2322"/>
      <c r="O887" s="2322"/>
      <c r="P887" s="2322"/>
      <c r="Q887" s="2322"/>
      <c r="R887" s="2322"/>
      <c r="S887" s="2322"/>
      <c r="T887" s="2322"/>
      <c r="U887" s="2322"/>
      <c r="V887" s="2322"/>
      <c r="W887" s="2322"/>
      <c r="X887" s="2322"/>
      <c r="Y887" s="2322"/>
      <c r="Z887" s="2322"/>
      <c r="AA887" s="2322"/>
      <c r="AB887" s="2322"/>
      <c r="AC887" s="2322"/>
      <c r="AD887" s="2322"/>
      <c r="AE887" s="2322"/>
      <c r="AF887" s="2322"/>
      <c r="AG887" s="2322"/>
      <c r="AH887" s="2322"/>
      <c r="AI887" s="2322"/>
      <c r="AJ887" s="2322"/>
      <c r="AK887" s="2322"/>
      <c r="AL887" s="2322"/>
      <c r="AM887" s="2322"/>
      <c r="AN887" s="2322"/>
      <c r="AO887" s="2322"/>
      <c r="AP887" s="2322"/>
      <c r="AQ887" s="2322"/>
      <c r="AR887" s="2322"/>
      <c r="AS887" s="2322"/>
      <c r="AT887" s="2322"/>
      <c r="AU887" s="2322"/>
      <c r="AV887" s="2322"/>
      <c r="AW887" s="2322"/>
      <c r="AX887" s="2322"/>
      <c r="AY887" s="2322"/>
      <c r="AZ887" s="2322"/>
      <c r="BA887" s="2322"/>
      <c r="BB887" s="2322"/>
      <c r="BC887" s="2322"/>
      <c r="BD887" s="2322"/>
      <c r="BE887" s="2322"/>
      <c r="BF887" s="2322"/>
      <c r="BG887" s="2322"/>
      <c r="BH887" s="2322"/>
      <c r="BI887" s="2322"/>
      <c r="BJ887" s="2322"/>
      <c r="BK887" s="2322"/>
      <c r="BL887" s="2322"/>
      <c r="BM887" s="2322"/>
      <c r="BN887" s="2322"/>
      <c r="BO887" s="2322"/>
      <c r="BP887" s="2322"/>
      <c r="BQ887" s="2322"/>
      <c r="BR887" s="2322"/>
      <c r="BS887" s="2322"/>
      <c r="BT887" s="2322"/>
      <c r="BU887" s="2322"/>
      <c r="BV887" s="2322"/>
      <c r="BW887" s="2322"/>
      <c r="BX887" s="2322"/>
      <c r="BY887" s="2322"/>
      <c r="BZ887" s="2322"/>
      <c r="CA887" s="2322"/>
      <c r="CB887" s="2322"/>
      <c r="CC887" s="2322"/>
      <c r="CD887" s="2322"/>
      <c r="CE887" s="2322"/>
      <c r="CF887" s="2322"/>
      <c r="CG887" s="2322"/>
      <c r="CH887" s="2322"/>
      <c r="CI887" s="2322"/>
      <c r="CJ887" s="2322"/>
      <c r="CK887" s="2322"/>
      <c r="CL887" s="2322"/>
      <c r="CM887" s="2322"/>
      <c r="CN887" s="2322"/>
      <c r="CO887" s="2322"/>
      <c r="CP887" s="2322"/>
      <c r="CQ887" s="2322"/>
      <c r="CR887" s="2322"/>
      <c r="CS887" s="2322"/>
      <c r="CT887" s="2322"/>
      <c r="CU887" s="2322"/>
      <c r="CV887" s="2322"/>
    </row>
    <row r="888" spans="1:100" ht="15.75" customHeight="1">
      <c r="A888" s="2328"/>
      <c r="B888" s="2322"/>
      <c r="C888" s="2322"/>
      <c r="D888" s="2322"/>
      <c r="E888" s="2322"/>
      <c r="F888" s="2322"/>
      <c r="G888" s="2322"/>
      <c r="H888" s="2322"/>
      <c r="I888" s="2322"/>
      <c r="J888" s="2322"/>
      <c r="K888" s="2322"/>
      <c r="L888" s="2322"/>
      <c r="M888" s="2322"/>
      <c r="N888" s="2322"/>
      <c r="O888" s="2322"/>
      <c r="P888" s="2322"/>
      <c r="Q888" s="2322"/>
      <c r="R888" s="2322"/>
      <c r="S888" s="2322"/>
      <c r="T888" s="2322"/>
      <c r="U888" s="2322"/>
      <c r="V888" s="2322"/>
      <c r="W888" s="2322"/>
      <c r="X888" s="2322"/>
      <c r="Y888" s="2322"/>
      <c r="Z888" s="2322"/>
      <c r="AA888" s="2322"/>
      <c r="AB888" s="2322"/>
      <c r="AC888" s="2322"/>
      <c r="AD888" s="2322"/>
      <c r="AE888" s="2322"/>
      <c r="AF888" s="2322"/>
      <c r="AG888" s="2322"/>
      <c r="AH888" s="2322"/>
      <c r="AI888" s="2322"/>
      <c r="AJ888" s="2322"/>
      <c r="AK888" s="2322"/>
      <c r="AL888" s="2322"/>
      <c r="AM888" s="2322"/>
      <c r="AN888" s="2322"/>
      <c r="AO888" s="2322"/>
      <c r="AP888" s="2322"/>
      <c r="AQ888" s="2322"/>
      <c r="AR888" s="2322"/>
      <c r="AS888" s="2322"/>
      <c r="AT888" s="2322"/>
      <c r="AU888" s="2322"/>
      <c r="AV888" s="2322"/>
      <c r="AW888" s="2322"/>
      <c r="AX888" s="2322"/>
      <c r="AY888" s="2322"/>
      <c r="AZ888" s="2322"/>
      <c r="BA888" s="2322"/>
      <c r="BB888" s="2322"/>
      <c r="BC888" s="2322"/>
      <c r="BD888" s="2322"/>
      <c r="BE888" s="2322"/>
      <c r="BF888" s="2322"/>
      <c r="BG888" s="2322"/>
      <c r="BH888" s="2322"/>
      <c r="BI888" s="2322"/>
      <c r="BJ888" s="2322"/>
      <c r="BK888" s="2322"/>
      <c r="BL888" s="2322"/>
      <c r="BM888" s="2322"/>
      <c r="BN888" s="2322"/>
      <c r="BO888" s="2322"/>
      <c r="BP888" s="2322"/>
      <c r="BQ888" s="2322"/>
      <c r="BR888" s="2322"/>
      <c r="BS888" s="2322"/>
      <c r="BT888" s="2322"/>
      <c r="BU888" s="2322"/>
      <c r="BV888" s="2322"/>
      <c r="BW888" s="2322"/>
      <c r="BX888" s="2322"/>
      <c r="BY888" s="2322"/>
      <c r="BZ888" s="2322"/>
      <c r="CA888" s="2322"/>
      <c r="CB888" s="2322"/>
      <c r="CC888" s="2322"/>
      <c r="CD888" s="2322"/>
      <c r="CE888" s="2322"/>
      <c r="CF888" s="2322"/>
      <c r="CG888" s="2322"/>
      <c r="CH888" s="2322"/>
      <c r="CI888" s="2322"/>
      <c r="CJ888" s="2322"/>
      <c r="CK888" s="2322"/>
      <c r="CL888" s="2322"/>
      <c r="CM888" s="2322"/>
      <c r="CN888" s="2322"/>
      <c r="CO888" s="2322"/>
      <c r="CP888" s="2322"/>
      <c r="CQ888" s="2322"/>
      <c r="CR888" s="2322"/>
      <c r="CS888" s="2322"/>
      <c r="CT888" s="2322"/>
      <c r="CU888" s="2322"/>
      <c r="CV888" s="2322"/>
    </row>
    <row r="889" spans="1:100" ht="15.75" customHeight="1">
      <c r="A889" s="2328"/>
      <c r="B889" s="2322"/>
      <c r="C889" s="2322"/>
      <c r="D889" s="2322"/>
      <c r="E889" s="2322"/>
      <c r="F889" s="2322"/>
      <c r="G889" s="2322"/>
      <c r="H889" s="2322"/>
      <c r="I889" s="2322"/>
      <c r="J889" s="2322"/>
      <c r="K889" s="2322"/>
      <c r="L889" s="2322"/>
      <c r="M889" s="2322"/>
      <c r="N889" s="2322"/>
      <c r="O889" s="2322"/>
      <c r="P889" s="2322"/>
      <c r="Q889" s="2322"/>
      <c r="R889" s="2322"/>
      <c r="S889" s="2322"/>
      <c r="T889" s="2322"/>
      <c r="U889" s="2322"/>
      <c r="V889" s="2322"/>
      <c r="W889" s="2322"/>
      <c r="X889" s="2322"/>
      <c r="Y889" s="2322"/>
      <c r="Z889" s="2322"/>
      <c r="AA889" s="2322"/>
      <c r="AB889" s="2322"/>
      <c r="AC889" s="2322"/>
      <c r="AD889" s="2322"/>
      <c r="AE889" s="2322"/>
      <c r="AF889" s="2322"/>
      <c r="AG889" s="2322"/>
      <c r="AH889" s="2322"/>
      <c r="AI889" s="2322"/>
      <c r="AJ889" s="2322"/>
      <c r="AK889" s="2322"/>
      <c r="AL889" s="2322"/>
      <c r="AM889" s="2322"/>
      <c r="AN889" s="2322"/>
      <c r="AO889" s="2322"/>
      <c r="AP889" s="2322"/>
      <c r="AQ889" s="2322"/>
      <c r="AR889" s="2322"/>
      <c r="AS889" s="2322"/>
      <c r="AT889" s="2322"/>
      <c r="AU889" s="2322"/>
      <c r="AV889" s="2322"/>
      <c r="AW889" s="2322"/>
      <c r="AX889" s="2322"/>
      <c r="AY889" s="2322"/>
      <c r="AZ889" s="2322"/>
      <c r="BA889" s="2322"/>
      <c r="BB889" s="2322"/>
      <c r="BC889" s="2322"/>
      <c r="BD889" s="2322"/>
      <c r="BE889" s="2322"/>
      <c r="BF889" s="2322"/>
      <c r="BG889" s="2322"/>
      <c r="BH889" s="2322"/>
      <c r="BI889" s="2322"/>
      <c r="BJ889" s="2322"/>
      <c r="BK889" s="2322"/>
      <c r="BL889" s="2322"/>
      <c r="BM889" s="2322"/>
      <c r="BN889" s="2322"/>
      <c r="BO889" s="2322"/>
      <c r="BP889" s="2322"/>
      <c r="BQ889" s="2322"/>
      <c r="BR889" s="2322"/>
      <c r="BS889" s="2322"/>
      <c r="BT889" s="2322"/>
      <c r="BU889" s="2322"/>
      <c r="BV889" s="2322"/>
      <c r="BW889" s="2322"/>
      <c r="BX889" s="2322"/>
      <c r="BY889" s="2322"/>
      <c r="BZ889" s="2322"/>
      <c r="CA889" s="2322"/>
      <c r="CB889" s="2322"/>
      <c r="CC889" s="2322"/>
      <c r="CD889" s="2322"/>
      <c r="CE889" s="2322"/>
      <c r="CF889" s="2322"/>
      <c r="CG889" s="2322"/>
      <c r="CH889" s="2322"/>
      <c r="CI889" s="2322"/>
      <c r="CJ889" s="2322"/>
      <c r="CK889" s="2322"/>
      <c r="CL889" s="2322"/>
      <c r="CM889" s="2322"/>
      <c r="CN889" s="2322"/>
      <c r="CO889" s="2322"/>
      <c r="CP889" s="2322"/>
      <c r="CQ889" s="2322"/>
      <c r="CR889" s="2322"/>
      <c r="CS889" s="2322"/>
      <c r="CT889" s="2322"/>
      <c r="CU889" s="2322"/>
      <c r="CV889" s="2322"/>
    </row>
    <row r="890" spans="1:100" ht="15.75" customHeight="1">
      <c r="A890" s="2328"/>
      <c r="B890" s="2322"/>
      <c r="C890" s="2322"/>
      <c r="D890" s="2322"/>
      <c r="E890" s="2322"/>
      <c r="F890" s="2322"/>
      <c r="G890" s="2322"/>
      <c r="H890" s="2322"/>
      <c r="I890" s="2322"/>
      <c r="J890" s="2322"/>
      <c r="K890" s="2322"/>
      <c r="L890" s="2322"/>
      <c r="M890" s="2322"/>
      <c r="N890" s="2322"/>
      <c r="O890" s="2322"/>
      <c r="P890" s="2322"/>
      <c r="Q890" s="2322"/>
      <c r="R890" s="2322"/>
      <c r="S890" s="2322"/>
      <c r="T890" s="2322"/>
      <c r="U890" s="2322"/>
      <c r="V890" s="2322"/>
      <c r="W890" s="2322"/>
      <c r="X890" s="2322"/>
      <c r="Y890" s="2322"/>
      <c r="Z890" s="2322"/>
      <c r="AA890" s="2322"/>
      <c r="AB890" s="2322"/>
      <c r="AC890" s="2322"/>
      <c r="AD890" s="2322"/>
      <c r="AE890" s="2322"/>
      <c r="AF890" s="2322"/>
      <c r="AG890" s="2322"/>
      <c r="AH890" s="2322"/>
      <c r="AI890" s="2322"/>
      <c r="AJ890" s="2322"/>
      <c r="AK890" s="2322"/>
      <c r="AL890" s="2322"/>
      <c r="AM890" s="2322"/>
      <c r="AN890" s="2322"/>
      <c r="AO890" s="2322"/>
      <c r="AP890" s="2322"/>
      <c r="AQ890" s="2322"/>
      <c r="AR890" s="2322"/>
      <c r="AS890" s="2322"/>
      <c r="AT890" s="2322"/>
      <c r="AU890" s="2322"/>
      <c r="AV890" s="2322"/>
      <c r="AW890" s="2322"/>
      <c r="AX890" s="2322"/>
      <c r="AY890" s="2322"/>
      <c r="AZ890" s="2322"/>
      <c r="BA890" s="2322"/>
      <c r="BB890" s="2322"/>
      <c r="BC890" s="2322"/>
      <c r="BD890" s="2322"/>
      <c r="BE890" s="2322"/>
      <c r="BF890" s="2322"/>
      <c r="BG890" s="2322"/>
      <c r="BH890" s="2322"/>
      <c r="BI890" s="2322"/>
      <c r="BJ890" s="2322"/>
      <c r="BK890" s="2322"/>
      <c r="BL890" s="2322"/>
      <c r="BM890" s="2322"/>
      <c r="BN890" s="2322"/>
      <c r="BO890" s="2322"/>
      <c r="BP890" s="2322"/>
      <c r="BQ890" s="2322"/>
      <c r="BR890" s="2322"/>
      <c r="BS890" s="2322"/>
      <c r="BT890" s="2322"/>
      <c r="BU890" s="2322"/>
      <c r="BV890" s="2322"/>
      <c r="BW890" s="2322"/>
      <c r="BX890" s="2322"/>
      <c r="BY890" s="2322"/>
      <c r="BZ890" s="2322"/>
      <c r="CA890" s="2322"/>
      <c r="CB890" s="2322"/>
      <c r="CC890" s="2322"/>
      <c r="CD890" s="2322"/>
      <c r="CE890" s="2322"/>
      <c r="CF890" s="2322"/>
      <c r="CG890" s="2322"/>
      <c r="CH890" s="2322"/>
      <c r="CI890" s="2322"/>
      <c r="CJ890" s="2322"/>
      <c r="CK890" s="2322"/>
      <c r="CL890" s="2322"/>
      <c r="CM890" s="2322"/>
      <c r="CN890" s="2322"/>
      <c r="CO890" s="2322"/>
      <c r="CP890" s="2322"/>
      <c r="CQ890" s="2322"/>
      <c r="CR890" s="2322"/>
      <c r="CS890" s="2322"/>
      <c r="CT890" s="2322"/>
      <c r="CU890" s="2322"/>
      <c r="CV890" s="2322"/>
    </row>
    <row r="891" spans="1:100" ht="15.75" customHeight="1">
      <c r="A891" s="2328"/>
      <c r="B891" s="2322"/>
      <c r="C891" s="2322"/>
      <c r="D891" s="2322"/>
      <c r="E891" s="2322"/>
      <c r="F891" s="2322"/>
      <c r="G891" s="2322"/>
      <c r="H891" s="2322"/>
      <c r="I891" s="2322"/>
      <c r="J891" s="2322"/>
      <c r="K891" s="2322"/>
      <c r="L891" s="2322"/>
      <c r="M891" s="2322"/>
      <c r="N891" s="2322"/>
      <c r="O891" s="2322"/>
      <c r="P891" s="2322"/>
      <c r="Q891" s="2322"/>
      <c r="R891" s="2322"/>
      <c r="S891" s="2322"/>
      <c r="T891" s="2322"/>
      <c r="U891" s="2322"/>
      <c r="V891" s="2322"/>
      <c r="W891" s="2322"/>
      <c r="X891" s="2322"/>
      <c r="Y891" s="2322"/>
      <c r="Z891" s="2322"/>
      <c r="AA891" s="2322"/>
      <c r="AB891" s="2322"/>
      <c r="AC891" s="2322"/>
      <c r="AD891" s="2322"/>
      <c r="AE891" s="2322"/>
      <c r="AF891" s="2322"/>
      <c r="AG891" s="2322"/>
      <c r="AH891" s="2322"/>
      <c r="AI891" s="2322"/>
      <c r="AJ891" s="2322"/>
      <c r="AK891" s="2322"/>
      <c r="AL891" s="2322"/>
      <c r="AM891" s="2322"/>
      <c r="AN891" s="2322"/>
      <c r="AO891" s="2322"/>
      <c r="AP891" s="2322"/>
      <c r="AQ891" s="2322"/>
      <c r="AR891" s="2322"/>
      <c r="AS891" s="2322"/>
      <c r="AT891" s="2322"/>
      <c r="AU891" s="2322"/>
      <c r="AV891" s="2322"/>
      <c r="AW891" s="2322"/>
      <c r="AX891" s="2322"/>
      <c r="AY891" s="2322"/>
      <c r="AZ891" s="2322"/>
      <c r="BA891" s="2322"/>
      <c r="BB891" s="2322"/>
      <c r="BC891" s="2322"/>
      <c r="BD891" s="2322"/>
      <c r="BE891" s="2322"/>
      <c r="BF891" s="2322"/>
      <c r="BG891" s="2322"/>
      <c r="BH891" s="2322"/>
      <c r="BI891" s="2322"/>
      <c r="BJ891" s="2322"/>
      <c r="BK891" s="2322"/>
      <c r="BL891" s="2322"/>
      <c r="BM891" s="2322"/>
      <c r="BN891" s="2322"/>
      <c r="BO891" s="2322"/>
      <c r="BP891" s="2322"/>
      <c r="BQ891" s="2322"/>
      <c r="BR891" s="2322"/>
      <c r="BS891" s="2322"/>
      <c r="BT891" s="2322"/>
      <c r="BU891" s="2322"/>
      <c r="BV891" s="2322"/>
      <c r="BW891" s="2322"/>
      <c r="BX891" s="2322"/>
      <c r="BY891" s="2322"/>
      <c r="BZ891" s="2322"/>
      <c r="CA891" s="2322"/>
      <c r="CB891" s="2322"/>
      <c r="CC891" s="2322"/>
      <c r="CD891" s="2322"/>
      <c r="CE891" s="2322"/>
      <c r="CF891" s="2322"/>
      <c r="CG891" s="2322"/>
      <c r="CH891" s="2322"/>
      <c r="CI891" s="2322"/>
      <c r="CJ891" s="2322"/>
      <c r="CK891" s="2322"/>
      <c r="CL891" s="2322"/>
      <c r="CM891" s="2322"/>
      <c r="CN891" s="2322"/>
      <c r="CO891" s="2322"/>
      <c r="CP891" s="2322"/>
      <c r="CQ891" s="2322"/>
      <c r="CR891" s="2322"/>
      <c r="CS891" s="2322"/>
      <c r="CT891" s="2322"/>
      <c r="CU891" s="2322"/>
      <c r="CV891" s="2322"/>
    </row>
    <row r="892" spans="1:100" ht="15.75" customHeight="1">
      <c r="A892" s="2328"/>
      <c r="B892" s="2322"/>
      <c r="C892" s="2322"/>
      <c r="D892" s="2322"/>
      <c r="E892" s="2322"/>
      <c r="F892" s="2322"/>
      <c r="G892" s="2322"/>
      <c r="H892" s="2322"/>
      <c r="I892" s="2322"/>
      <c r="J892" s="2322"/>
      <c r="K892" s="2322"/>
      <c r="L892" s="2322"/>
      <c r="M892" s="2322"/>
      <c r="N892" s="2322"/>
      <c r="O892" s="2322"/>
      <c r="P892" s="2322"/>
      <c r="Q892" s="2322"/>
      <c r="R892" s="2322"/>
      <c r="S892" s="2322"/>
      <c r="T892" s="2322"/>
      <c r="U892" s="2322"/>
      <c r="V892" s="2322"/>
      <c r="W892" s="2322"/>
      <c r="X892" s="2322"/>
      <c r="Y892" s="2322"/>
      <c r="Z892" s="2322"/>
      <c r="AA892" s="2322"/>
      <c r="AB892" s="2322"/>
      <c r="AC892" s="2322"/>
      <c r="AD892" s="2322"/>
      <c r="AE892" s="2322"/>
      <c r="AF892" s="2322"/>
      <c r="AG892" s="2322"/>
      <c r="AH892" s="2322"/>
      <c r="AI892" s="2322"/>
      <c r="AJ892" s="2322"/>
      <c r="AK892" s="2322"/>
      <c r="AL892" s="2322"/>
      <c r="AM892" s="2322"/>
      <c r="AN892" s="2322"/>
      <c r="AO892" s="2322"/>
      <c r="AP892" s="2322"/>
      <c r="AQ892" s="2322"/>
      <c r="AR892" s="2322"/>
      <c r="AS892" s="2322"/>
      <c r="AT892" s="2322"/>
      <c r="AU892" s="2322"/>
      <c r="AV892" s="2322"/>
      <c r="AW892" s="2322"/>
      <c r="AX892" s="2322"/>
      <c r="AY892" s="2322"/>
      <c r="AZ892" s="2322"/>
      <c r="BA892" s="2322"/>
      <c r="BB892" s="2322"/>
      <c r="BC892" s="2322"/>
      <c r="BD892" s="2322"/>
      <c r="BE892" s="2322"/>
      <c r="BF892" s="2322"/>
      <c r="BG892" s="2322"/>
      <c r="BH892" s="2322"/>
      <c r="BI892" s="2322"/>
      <c r="BJ892" s="2322"/>
      <c r="BK892" s="2322"/>
      <c r="BL892" s="2322"/>
      <c r="BM892" s="2322"/>
      <c r="BN892" s="2322"/>
      <c r="BO892" s="2322"/>
      <c r="BP892" s="2322"/>
      <c r="BQ892" s="2322"/>
      <c r="BR892" s="2322"/>
      <c r="BS892" s="2322"/>
      <c r="BT892" s="2322"/>
      <c r="BU892" s="2322"/>
      <c r="BV892" s="2322"/>
      <c r="BW892" s="2322"/>
      <c r="BX892" s="2322"/>
      <c r="BY892" s="2322"/>
      <c r="BZ892" s="2322"/>
      <c r="CA892" s="2322"/>
      <c r="CB892" s="2322"/>
      <c r="CC892" s="2322"/>
      <c r="CD892" s="2322"/>
      <c r="CE892" s="2322"/>
      <c r="CF892" s="2322"/>
      <c r="CG892" s="2322"/>
      <c r="CH892" s="2322"/>
      <c r="CI892" s="2322"/>
      <c r="CJ892" s="2322"/>
      <c r="CK892" s="2322"/>
      <c r="CL892" s="2322"/>
      <c r="CM892" s="2322"/>
      <c r="CN892" s="2322"/>
      <c r="CO892" s="2322"/>
      <c r="CP892" s="2322"/>
      <c r="CQ892" s="2322"/>
      <c r="CR892" s="2322"/>
      <c r="CS892" s="2322"/>
      <c r="CT892" s="2322"/>
      <c r="CU892" s="2322"/>
      <c r="CV892" s="2322"/>
    </row>
    <row r="893" spans="1:100" ht="15.75" customHeight="1">
      <c r="A893" s="2328"/>
      <c r="B893" s="2322"/>
      <c r="C893" s="2322"/>
      <c r="D893" s="2322"/>
      <c r="E893" s="2322"/>
      <c r="F893" s="2322"/>
      <c r="G893" s="2322"/>
      <c r="H893" s="2322"/>
      <c r="I893" s="2322"/>
      <c r="J893" s="2322"/>
      <c r="K893" s="2322"/>
      <c r="L893" s="2322"/>
      <c r="M893" s="2322"/>
      <c r="N893" s="2322"/>
      <c r="O893" s="2322"/>
      <c r="P893" s="2322"/>
      <c r="Q893" s="2322"/>
      <c r="R893" s="2322"/>
      <c r="S893" s="2322"/>
      <c r="T893" s="2322"/>
      <c r="U893" s="2322"/>
      <c r="V893" s="2322"/>
      <c r="W893" s="2322"/>
      <c r="X893" s="2322"/>
      <c r="Y893" s="2322"/>
      <c r="Z893" s="2322"/>
      <c r="AA893" s="2322"/>
      <c r="AB893" s="2322"/>
      <c r="AC893" s="2322"/>
      <c r="AD893" s="2322"/>
      <c r="AE893" s="2322"/>
      <c r="AF893" s="2322"/>
      <c r="AG893" s="2322"/>
      <c r="AH893" s="2322"/>
      <c r="AI893" s="2322"/>
      <c r="AJ893" s="2322"/>
      <c r="AK893" s="2322"/>
      <c r="AL893" s="2322"/>
      <c r="AM893" s="2322"/>
      <c r="AN893" s="2322"/>
      <c r="AO893" s="2322"/>
      <c r="AP893" s="2322"/>
      <c r="AQ893" s="2322"/>
      <c r="AR893" s="2322"/>
      <c r="AS893" s="2322"/>
      <c r="AT893" s="2322"/>
      <c r="AU893" s="2322"/>
      <c r="AV893" s="2322"/>
      <c r="AW893" s="2322"/>
      <c r="AX893" s="2322"/>
      <c r="AY893" s="2322"/>
      <c r="AZ893" s="2322"/>
      <c r="BA893" s="2322"/>
      <c r="BB893" s="2322"/>
      <c r="BC893" s="2322"/>
      <c r="BD893" s="2322"/>
      <c r="BE893" s="2322"/>
      <c r="BF893" s="2322"/>
      <c r="BG893" s="2322"/>
      <c r="BH893" s="2322"/>
      <c r="BI893" s="2322"/>
      <c r="BJ893" s="2322"/>
      <c r="BK893" s="2322"/>
      <c r="BL893" s="2322"/>
      <c r="BM893" s="2322"/>
      <c r="BN893" s="2322"/>
      <c r="BO893" s="2322"/>
      <c r="BP893" s="2322"/>
      <c r="BQ893" s="2322"/>
      <c r="BR893" s="2322"/>
      <c r="BS893" s="2322"/>
      <c r="BT893" s="2322"/>
      <c r="BU893" s="2322"/>
      <c r="BV893" s="2322"/>
      <c r="BW893" s="2322"/>
      <c r="BX893" s="2322"/>
      <c r="BY893" s="2322"/>
      <c r="BZ893" s="2322"/>
      <c r="CA893" s="2322"/>
      <c r="CB893" s="2322"/>
      <c r="CC893" s="2322"/>
      <c r="CD893" s="2322"/>
      <c r="CE893" s="2322"/>
      <c r="CF893" s="2322"/>
      <c r="CG893" s="2322"/>
      <c r="CH893" s="2322"/>
      <c r="CI893" s="2322"/>
      <c r="CJ893" s="2322"/>
      <c r="CK893" s="2322"/>
      <c r="CL893" s="2322"/>
      <c r="CM893" s="2322"/>
      <c r="CN893" s="2322"/>
      <c r="CO893" s="2322"/>
      <c r="CP893" s="2322"/>
      <c r="CQ893" s="2322"/>
      <c r="CR893" s="2322"/>
      <c r="CS893" s="2322"/>
      <c r="CT893" s="2322"/>
      <c r="CU893" s="2322"/>
      <c r="CV893" s="2322"/>
    </row>
    <row r="894" spans="1:100" ht="15.75" customHeight="1">
      <c r="A894" s="2328"/>
      <c r="B894" s="2322"/>
      <c r="C894" s="2322"/>
      <c r="D894" s="2322"/>
      <c r="E894" s="2322"/>
      <c r="F894" s="2322"/>
      <c r="G894" s="2322"/>
      <c r="H894" s="2322"/>
      <c r="I894" s="2322"/>
      <c r="J894" s="2322"/>
      <c r="K894" s="2322"/>
      <c r="L894" s="2322"/>
      <c r="M894" s="2322"/>
      <c r="N894" s="2322"/>
      <c r="O894" s="2322"/>
      <c r="P894" s="2322"/>
      <c r="Q894" s="2322"/>
      <c r="R894" s="2322"/>
      <c r="S894" s="2322"/>
      <c r="T894" s="2322"/>
      <c r="U894" s="2322"/>
      <c r="V894" s="2322"/>
      <c r="W894" s="2322"/>
      <c r="X894" s="2322"/>
      <c r="Y894" s="2322"/>
      <c r="Z894" s="2322"/>
      <c r="AA894" s="2322"/>
      <c r="AB894" s="2322"/>
      <c r="AC894" s="2322"/>
      <c r="AD894" s="2322"/>
      <c r="AE894" s="2322"/>
      <c r="AF894" s="2322"/>
      <c r="AG894" s="2322"/>
      <c r="AH894" s="2322"/>
      <c r="AI894" s="2322"/>
      <c r="AJ894" s="2322"/>
      <c r="AK894" s="2322"/>
      <c r="AL894" s="2322"/>
      <c r="AM894" s="2322"/>
      <c r="AN894" s="2322"/>
      <c r="AO894" s="2322"/>
      <c r="AP894" s="2322"/>
      <c r="AQ894" s="2322"/>
      <c r="AR894" s="2322"/>
      <c r="AS894" s="2322"/>
      <c r="AT894" s="2322"/>
      <c r="AU894" s="2322"/>
      <c r="AV894" s="2322"/>
      <c r="AW894" s="2322"/>
      <c r="AX894" s="2322"/>
      <c r="AY894" s="2322"/>
      <c r="AZ894" s="2322"/>
      <c r="BA894" s="2322"/>
      <c r="BB894" s="2322"/>
      <c r="BC894" s="2322"/>
      <c r="BD894" s="2322"/>
      <c r="BE894" s="2322"/>
      <c r="BF894" s="2322"/>
      <c r="BG894" s="2322"/>
      <c r="BH894" s="2322"/>
      <c r="BI894" s="2322"/>
      <c r="BJ894" s="2322"/>
      <c r="BK894" s="2322"/>
      <c r="BL894" s="2322"/>
      <c r="BM894" s="2322"/>
      <c r="BN894" s="2322"/>
      <c r="BO894" s="2322"/>
      <c r="BP894" s="2322"/>
      <c r="BQ894" s="2322"/>
      <c r="BR894" s="2322"/>
      <c r="BS894" s="2322"/>
      <c r="BT894" s="2322"/>
      <c r="BU894" s="2322"/>
      <c r="BV894" s="2322"/>
      <c r="BW894" s="2322"/>
      <c r="BX894" s="2322"/>
      <c r="BY894" s="2322"/>
      <c r="BZ894" s="2322"/>
      <c r="CA894" s="2322"/>
      <c r="CB894" s="2322"/>
      <c r="CC894" s="2322"/>
      <c r="CD894" s="2322"/>
      <c r="CE894" s="2322"/>
      <c r="CF894" s="2322"/>
      <c r="CG894" s="2322"/>
      <c r="CH894" s="2322"/>
      <c r="CI894" s="2322"/>
      <c r="CJ894" s="2322"/>
      <c r="CK894" s="2322"/>
      <c r="CL894" s="2322"/>
      <c r="CM894" s="2322"/>
      <c r="CN894" s="2322"/>
      <c r="CO894" s="2322"/>
      <c r="CP894" s="2322"/>
      <c r="CQ894" s="2322"/>
      <c r="CR894" s="2322"/>
      <c r="CS894" s="2322"/>
      <c r="CT894" s="2322"/>
      <c r="CU894" s="2322"/>
      <c r="CV894" s="2322"/>
    </row>
    <row r="895" spans="1:100" ht="15.75" customHeight="1">
      <c r="A895" s="2328"/>
      <c r="B895" s="2322"/>
      <c r="C895" s="2322"/>
      <c r="D895" s="2322"/>
      <c r="E895" s="2322"/>
      <c r="F895" s="2322"/>
      <c r="G895" s="2322"/>
      <c r="H895" s="2322"/>
      <c r="I895" s="2322"/>
      <c r="J895" s="2322"/>
      <c r="K895" s="2322"/>
      <c r="L895" s="2322"/>
      <c r="M895" s="2322"/>
      <c r="N895" s="2322"/>
      <c r="O895" s="2322"/>
      <c r="P895" s="2322"/>
      <c r="Q895" s="2322"/>
      <c r="R895" s="2322"/>
      <c r="S895" s="2322"/>
      <c r="T895" s="2322"/>
      <c r="U895" s="2322"/>
      <c r="V895" s="2322"/>
      <c r="W895" s="2322"/>
      <c r="X895" s="2322"/>
      <c r="Y895" s="2322"/>
      <c r="Z895" s="2322"/>
      <c r="AA895" s="2322"/>
      <c r="AB895" s="2322"/>
      <c r="AC895" s="2322"/>
      <c r="AD895" s="2322"/>
      <c r="AE895" s="2322"/>
      <c r="AF895" s="2322"/>
      <c r="AG895" s="2322"/>
      <c r="AH895" s="2322"/>
      <c r="AI895" s="2322"/>
      <c r="AJ895" s="2322"/>
      <c r="AK895" s="2322"/>
      <c r="AL895" s="2322"/>
      <c r="AM895" s="2322"/>
      <c r="AN895" s="2322"/>
      <c r="AO895" s="2322"/>
      <c r="AP895" s="2322"/>
      <c r="AQ895" s="2322"/>
      <c r="AR895" s="2322"/>
      <c r="AS895" s="2322"/>
      <c r="AT895" s="2322"/>
      <c r="AU895" s="2322"/>
      <c r="AV895" s="2322"/>
      <c r="AW895" s="2322"/>
      <c r="AX895" s="2322"/>
      <c r="AY895" s="2322"/>
      <c r="AZ895" s="2322"/>
      <c r="BA895" s="2322"/>
      <c r="BB895" s="2322"/>
      <c r="BC895" s="2322"/>
      <c r="BD895" s="2322"/>
      <c r="BE895" s="2322"/>
      <c r="BF895" s="2322"/>
      <c r="BG895" s="2322"/>
      <c r="BH895" s="2322"/>
      <c r="BI895" s="2322"/>
      <c r="BJ895" s="2322"/>
      <c r="BK895" s="2322"/>
      <c r="BL895" s="2322"/>
      <c r="BM895" s="2322"/>
      <c r="BN895" s="2322"/>
      <c r="BO895" s="2322"/>
      <c r="BP895" s="2322"/>
      <c r="BQ895" s="2322"/>
      <c r="BR895" s="2322"/>
      <c r="BS895" s="2322"/>
      <c r="BT895" s="2322"/>
      <c r="BU895" s="2322"/>
      <c r="BV895" s="2322"/>
      <c r="BW895" s="2322"/>
      <c r="BX895" s="2322"/>
      <c r="BY895" s="2322"/>
      <c r="BZ895" s="2322"/>
      <c r="CA895" s="2322"/>
      <c r="CB895" s="2322"/>
      <c r="CC895" s="2322"/>
      <c r="CD895" s="2322"/>
      <c r="CE895" s="2322"/>
      <c r="CF895" s="2322"/>
      <c r="CG895" s="2322"/>
      <c r="CH895" s="2322"/>
      <c r="CI895" s="2322"/>
      <c r="CJ895" s="2322"/>
      <c r="CK895" s="2322"/>
      <c r="CL895" s="2322"/>
      <c r="CM895" s="2322"/>
      <c r="CN895" s="2322"/>
      <c r="CO895" s="2322"/>
      <c r="CP895" s="2322"/>
      <c r="CQ895" s="2322"/>
      <c r="CR895" s="2322"/>
      <c r="CS895" s="2322"/>
      <c r="CT895" s="2322"/>
      <c r="CU895" s="2322"/>
      <c r="CV895" s="2322"/>
    </row>
    <row r="896" spans="1:100" ht="15.75" customHeight="1">
      <c r="A896" s="2328"/>
      <c r="B896" s="2322"/>
      <c r="C896" s="2322"/>
      <c r="D896" s="2322"/>
      <c r="E896" s="2322"/>
      <c r="F896" s="2322"/>
      <c r="G896" s="2322"/>
      <c r="H896" s="2322"/>
      <c r="I896" s="2322"/>
      <c r="J896" s="2322"/>
      <c r="K896" s="2322"/>
      <c r="L896" s="2322"/>
      <c r="M896" s="2322"/>
      <c r="N896" s="2322"/>
      <c r="O896" s="2322"/>
      <c r="P896" s="2322"/>
      <c r="Q896" s="2322"/>
      <c r="R896" s="2322"/>
      <c r="S896" s="2322"/>
      <c r="T896" s="2322"/>
      <c r="U896" s="2322"/>
      <c r="V896" s="2322"/>
      <c r="W896" s="2322"/>
      <c r="X896" s="2322"/>
      <c r="Y896" s="2322"/>
      <c r="Z896" s="2322"/>
      <c r="AA896" s="2322"/>
      <c r="AB896" s="2322"/>
      <c r="AC896" s="2322"/>
      <c r="AD896" s="2322"/>
      <c r="AE896" s="2322"/>
      <c r="AF896" s="2322"/>
      <c r="AG896" s="2322"/>
      <c r="AH896" s="2322"/>
      <c r="AI896" s="2322"/>
      <c r="AJ896" s="2322"/>
      <c r="AK896" s="2322"/>
      <c r="AL896" s="2322"/>
      <c r="AM896" s="2322"/>
      <c r="AN896" s="2322"/>
      <c r="AO896" s="2322"/>
      <c r="AP896" s="2322"/>
      <c r="AQ896" s="2322"/>
      <c r="AR896" s="2322"/>
      <c r="AS896" s="2322"/>
      <c r="AT896" s="2322"/>
      <c r="AU896" s="2322"/>
      <c r="AV896" s="2322"/>
      <c r="AW896" s="2322"/>
      <c r="AX896" s="2322"/>
      <c r="AY896" s="2322"/>
      <c r="AZ896" s="2322"/>
      <c r="BA896" s="2322"/>
      <c r="BB896" s="2322"/>
      <c r="BC896" s="2322"/>
      <c r="BD896" s="2322"/>
      <c r="BE896" s="2322"/>
      <c r="BF896" s="2322"/>
      <c r="BG896" s="2322"/>
      <c r="BH896" s="2322"/>
      <c r="BI896" s="2322"/>
      <c r="BJ896" s="2322"/>
      <c r="BK896" s="2322"/>
      <c r="BL896" s="2322"/>
      <c r="BM896" s="2322"/>
      <c r="BN896" s="2322"/>
      <c r="BO896" s="2322"/>
      <c r="BP896" s="2322"/>
      <c r="BQ896" s="2322"/>
      <c r="BR896" s="2322"/>
      <c r="BS896" s="2322"/>
      <c r="BT896" s="2322"/>
      <c r="BU896" s="2322"/>
      <c r="BV896" s="2322"/>
      <c r="BW896" s="2322"/>
      <c r="BX896" s="2322"/>
      <c r="BY896" s="2322"/>
      <c r="BZ896" s="2322"/>
      <c r="CA896" s="2322"/>
      <c r="CB896" s="2322"/>
      <c r="CC896" s="2322"/>
      <c r="CD896" s="2322"/>
      <c r="CE896" s="2322"/>
      <c r="CF896" s="2322"/>
      <c r="CG896" s="2322"/>
      <c r="CH896" s="2322"/>
      <c r="CI896" s="2322"/>
      <c r="CJ896" s="2322"/>
      <c r="CK896" s="2322"/>
      <c r="CL896" s="2322"/>
      <c r="CM896" s="2322"/>
      <c r="CN896" s="2322"/>
      <c r="CO896" s="2322"/>
      <c r="CP896" s="2322"/>
      <c r="CQ896" s="2322"/>
      <c r="CR896" s="2322"/>
      <c r="CS896" s="2322"/>
      <c r="CT896" s="2322"/>
      <c r="CU896" s="2322"/>
      <c r="CV896" s="2322"/>
    </row>
    <row r="897" spans="1:100" ht="15.75" customHeight="1">
      <c r="A897" s="2328"/>
      <c r="B897" s="2322"/>
      <c r="C897" s="2322"/>
      <c r="D897" s="2322"/>
      <c r="E897" s="2322"/>
      <c r="F897" s="2322"/>
      <c r="G897" s="2322"/>
      <c r="H897" s="2322"/>
      <c r="I897" s="2322"/>
      <c r="J897" s="2322"/>
      <c r="K897" s="2322"/>
      <c r="L897" s="2322"/>
      <c r="M897" s="2322"/>
      <c r="N897" s="2322"/>
      <c r="O897" s="2322"/>
      <c r="P897" s="2322"/>
      <c r="Q897" s="2322"/>
      <c r="R897" s="2322"/>
      <c r="S897" s="2322"/>
      <c r="T897" s="2322"/>
      <c r="U897" s="2322"/>
      <c r="V897" s="2322"/>
      <c r="W897" s="2322"/>
      <c r="X897" s="2322"/>
      <c r="Y897" s="2322"/>
      <c r="Z897" s="2322"/>
      <c r="AA897" s="2322"/>
      <c r="AB897" s="2322"/>
      <c r="AC897" s="2322"/>
      <c r="AD897" s="2322"/>
      <c r="AE897" s="2322"/>
      <c r="AF897" s="2322"/>
      <c r="AG897" s="2322"/>
      <c r="AH897" s="2322"/>
      <c r="AI897" s="2322"/>
      <c r="AJ897" s="2322"/>
      <c r="AK897" s="2322"/>
      <c r="AL897" s="2322"/>
      <c r="AM897" s="2322"/>
      <c r="AN897" s="2322"/>
      <c r="AO897" s="2322"/>
      <c r="AP897" s="2322"/>
      <c r="AQ897" s="2322"/>
      <c r="AR897" s="2322"/>
      <c r="AS897" s="2322"/>
      <c r="AT897" s="2322"/>
      <c r="AU897" s="2322"/>
      <c r="AV897" s="2322"/>
      <c r="AW897" s="2322"/>
      <c r="AX897" s="2322"/>
      <c r="AY897" s="2322"/>
      <c r="AZ897" s="2322"/>
      <c r="BA897" s="2322"/>
      <c r="BB897" s="2322"/>
      <c r="BC897" s="2322"/>
      <c r="BD897" s="2322"/>
      <c r="BE897" s="2322"/>
      <c r="BF897" s="2322"/>
      <c r="BG897" s="2322"/>
      <c r="BH897" s="2322"/>
      <c r="BI897" s="2322"/>
      <c r="BJ897" s="2322"/>
      <c r="BK897" s="2322"/>
      <c r="BL897" s="2322"/>
      <c r="BM897" s="2322"/>
      <c r="BN897" s="2322"/>
      <c r="BO897" s="2322"/>
      <c r="BP897" s="2322"/>
      <c r="BQ897" s="2322"/>
      <c r="BR897" s="2322"/>
      <c r="BS897" s="2322"/>
      <c r="BT897" s="2322"/>
      <c r="BU897" s="2322"/>
      <c r="BV897" s="2322"/>
      <c r="BW897" s="2322"/>
      <c r="BX897" s="2322"/>
      <c r="BY897" s="2322"/>
      <c r="BZ897" s="2322"/>
      <c r="CA897" s="2322"/>
      <c r="CB897" s="2322"/>
      <c r="CC897" s="2322"/>
      <c r="CD897" s="2322"/>
      <c r="CE897" s="2322"/>
      <c r="CF897" s="2322"/>
      <c r="CG897" s="2322"/>
      <c r="CH897" s="2322"/>
      <c r="CI897" s="2322"/>
      <c r="CJ897" s="2322"/>
      <c r="CK897" s="2322"/>
      <c r="CL897" s="2322"/>
      <c r="CM897" s="2322"/>
      <c r="CN897" s="2322"/>
      <c r="CO897" s="2322"/>
      <c r="CP897" s="2322"/>
      <c r="CQ897" s="2322"/>
      <c r="CR897" s="2322"/>
      <c r="CS897" s="2322"/>
      <c r="CT897" s="2322"/>
      <c r="CU897" s="2322"/>
      <c r="CV897" s="2322"/>
    </row>
    <row r="898" spans="1:100" ht="15.75" customHeight="1">
      <c r="A898" s="2328"/>
      <c r="B898" s="2322"/>
      <c r="C898" s="2322"/>
      <c r="D898" s="2322"/>
      <c r="E898" s="2322"/>
      <c r="F898" s="2322"/>
      <c r="G898" s="2322"/>
      <c r="H898" s="2322"/>
      <c r="I898" s="2322"/>
      <c r="J898" s="2322"/>
      <c r="K898" s="2322"/>
      <c r="L898" s="2322"/>
      <c r="M898" s="2322"/>
      <c r="N898" s="2322"/>
      <c r="O898" s="2322"/>
      <c r="P898" s="2322"/>
      <c r="Q898" s="2322"/>
      <c r="R898" s="2322"/>
      <c r="S898" s="2322"/>
      <c r="T898" s="2322"/>
      <c r="U898" s="2322"/>
      <c r="V898" s="2322"/>
      <c r="W898" s="2322"/>
      <c r="X898" s="2322"/>
      <c r="Y898" s="2322"/>
      <c r="Z898" s="2322"/>
      <c r="AA898" s="2322"/>
      <c r="AB898" s="2322"/>
      <c r="AC898" s="2322"/>
      <c r="AD898" s="2322"/>
      <c r="AE898" s="2322"/>
      <c r="AF898" s="2322"/>
      <c r="AG898" s="2322"/>
      <c r="AH898" s="2322"/>
      <c r="AI898" s="2322"/>
      <c r="AJ898" s="2322"/>
      <c r="AK898" s="2322"/>
      <c r="AL898" s="2322"/>
      <c r="AM898" s="2322"/>
      <c r="AN898" s="2322"/>
      <c r="AO898" s="2322"/>
      <c r="AP898" s="2322"/>
      <c r="AQ898" s="2322"/>
      <c r="AR898" s="2322"/>
      <c r="AS898" s="2322"/>
      <c r="AT898" s="2322"/>
      <c r="AU898" s="2322"/>
      <c r="AV898" s="2322"/>
      <c r="AW898" s="2322"/>
      <c r="AX898" s="2322"/>
      <c r="AY898" s="2322"/>
      <c r="AZ898" s="2322"/>
      <c r="BA898" s="2322"/>
      <c r="BB898" s="2322"/>
      <c r="BC898" s="2322"/>
      <c r="BD898" s="2322"/>
      <c r="BE898" s="2322"/>
      <c r="BF898" s="2322"/>
      <c r="BG898" s="2322"/>
      <c r="BH898" s="2322"/>
      <c r="BI898" s="2322"/>
      <c r="BJ898" s="2322"/>
      <c r="BK898" s="2322"/>
      <c r="BL898" s="2322"/>
      <c r="BM898" s="2322"/>
      <c r="BN898" s="2322"/>
      <c r="BO898" s="2322"/>
      <c r="BP898" s="2322"/>
      <c r="BQ898" s="2322"/>
      <c r="BR898" s="2322"/>
      <c r="BS898" s="2322"/>
      <c r="BT898" s="2322"/>
      <c r="BU898" s="2322"/>
      <c r="BV898" s="2322"/>
      <c r="BW898" s="2322"/>
      <c r="BX898" s="2322"/>
      <c r="BY898" s="2322"/>
      <c r="BZ898" s="2322"/>
      <c r="CA898" s="2322"/>
      <c r="CB898" s="2322"/>
      <c r="CC898" s="2322"/>
      <c r="CD898" s="2322"/>
      <c r="CE898" s="2322"/>
      <c r="CF898" s="2322"/>
      <c r="CG898" s="2322"/>
      <c r="CH898" s="2322"/>
      <c r="CI898" s="2322"/>
      <c r="CJ898" s="2322"/>
      <c r="CK898" s="2322"/>
      <c r="CL898" s="2322"/>
      <c r="CM898" s="2322"/>
      <c r="CN898" s="2322"/>
      <c r="CO898" s="2322"/>
      <c r="CP898" s="2322"/>
      <c r="CQ898" s="2322"/>
      <c r="CR898" s="2322"/>
      <c r="CS898" s="2322"/>
      <c r="CT898" s="2322"/>
      <c r="CU898" s="2322"/>
      <c r="CV898" s="2322"/>
    </row>
    <row r="899" spans="1:100" ht="15.75" customHeight="1">
      <c r="A899" s="2328"/>
      <c r="B899" s="2322"/>
      <c r="C899" s="2322"/>
      <c r="D899" s="2322"/>
      <c r="E899" s="2322"/>
      <c r="F899" s="2322"/>
      <c r="G899" s="2322"/>
      <c r="H899" s="2322"/>
      <c r="I899" s="2322"/>
      <c r="J899" s="2322"/>
      <c r="K899" s="2322"/>
      <c r="L899" s="2322"/>
      <c r="M899" s="2322"/>
      <c r="N899" s="2322"/>
      <c r="O899" s="2322"/>
      <c r="P899" s="2322"/>
      <c r="Q899" s="2322"/>
      <c r="R899" s="2322"/>
      <c r="S899" s="2322"/>
      <c r="T899" s="2322"/>
      <c r="U899" s="2322"/>
      <c r="V899" s="2322"/>
      <c r="W899" s="2322"/>
      <c r="X899" s="2322"/>
      <c r="Y899" s="2322"/>
      <c r="Z899" s="2322"/>
      <c r="AA899" s="2322"/>
      <c r="AB899" s="2322"/>
      <c r="AC899" s="2322"/>
      <c r="AD899" s="2322"/>
      <c r="AE899" s="2322"/>
      <c r="AF899" s="2322"/>
      <c r="AG899" s="2322"/>
      <c r="AH899" s="2322"/>
      <c r="AI899" s="2322"/>
      <c r="AJ899" s="2322"/>
      <c r="AK899" s="2322"/>
      <c r="AL899" s="2322"/>
      <c r="AM899" s="2322"/>
      <c r="AN899" s="2322"/>
      <c r="AO899" s="2322"/>
      <c r="AP899" s="2322"/>
      <c r="AQ899" s="2322"/>
      <c r="AR899" s="2322"/>
      <c r="AS899" s="2322"/>
      <c r="AT899" s="2322"/>
      <c r="AU899" s="2322"/>
      <c r="AV899" s="2322"/>
      <c r="AW899" s="2322"/>
      <c r="AX899" s="2322"/>
      <c r="AY899" s="2322"/>
      <c r="AZ899" s="2322"/>
      <c r="BA899" s="2322"/>
      <c r="BB899" s="2322"/>
      <c r="BC899" s="2322"/>
      <c r="BD899" s="2322"/>
      <c r="BE899" s="2322"/>
      <c r="BF899" s="2322"/>
      <c r="BG899" s="2322"/>
      <c r="BH899" s="2322"/>
      <c r="BI899" s="2322"/>
      <c r="BJ899" s="2322"/>
      <c r="BK899" s="2322"/>
      <c r="BL899" s="2322"/>
      <c r="BM899" s="2322"/>
      <c r="BN899" s="2322"/>
      <c r="BO899" s="2322"/>
      <c r="BP899" s="2322"/>
      <c r="BQ899" s="2322"/>
      <c r="BR899" s="2322"/>
      <c r="BS899" s="2322"/>
      <c r="BT899" s="2322"/>
      <c r="BU899" s="2322"/>
      <c r="BV899" s="2322"/>
      <c r="BW899" s="2322"/>
      <c r="BX899" s="2322"/>
      <c r="BY899" s="2322"/>
      <c r="BZ899" s="2322"/>
      <c r="CA899" s="2322"/>
      <c r="CB899" s="2322"/>
      <c r="CC899" s="2322"/>
      <c r="CD899" s="2322"/>
      <c r="CE899" s="2322"/>
      <c r="CF899" s="2322"/>
      <c r="CG899" s="2322"/>
      <c r="CH899" s="2322"/>
      <c r="CI899" s="2322"/>
      <c r="CJ899" s="2322"/>
      <c r="CK899" s="2322"/>
      <c r="CL899" s="2322"/>
      <c r="CM899" s="2322"/>
      <c r="CN899" s="2322"/>
      <c r="CO899" s="2322"/>
      <c r="CP899" s="2322"/>
      <c r="CQ899" s="2322"/>
      <c r="CR899" s="2322"/>
      <c r="CS899" s="2322"/>
      <c r="CT899" s="2322"/>
      <c r="CU899" s="2322"/>
      <c r="CV899" s="2322"/>
    </row>
    <row r="900" spans="1:100" ht="15.75" customHeight="1">
      <c r="A900" s="2328"/>
      <c r="B900" s="2322"/>
      <c r="C900" s="2322"/>
      <c r="D900" s="2322"/>
      <c r="E900" s="2322"/>
      <c r="F900" s="2322"/>
      <c r="G900" s="2322"/>
      <c r="H900" s="2322"/>
      <c r="I900" s="2322"/>
      <c r="J900" s="2322"/>
      <c r="K900" s="2322"/>
      <c r="L900" s="2322"/>
      <c r="M900" s="2322"/>
      <c r="N900" s="2322"/>
      <c r="O900" s="2322"/>
      <c r="P900" s="2322"/>
      <c r="Q900" s="2322"/>
      <c r="R900" s="2322"/>
      <c r="S900" s="2322"/>
      <c r="T900" s="2322"/>
      <c r="U900" s="2322"/>
      <c r="V900" s="2322"/>
      <c r="W900" s="2322"/>
      <c r="X900" s="2322"/>
      <c r="Y900" s="2322"/>
      <c r="Z900" s="2322"/>
      <c r="AA900" s="2322"/>
      <c r="AB900" s="2322"/>
      <c r="AC900" s="2322"/>
      <c r="AD900" s="2322"/>
      <c r="AE900" s="2322"/>
      <c r="AF900" s="2322"/>
      <c r="AG900" s="2322"/>
      <c r="AH900" s="2322"/>
      <c r="AI900" s="2322"/>
      <c r="AJ900" s="2322"/>
      <c r="AK900" s="2322"/>
      <c r="AL900" s="2322"/>
      <c r="AM900" s="2322"/>
      <c r="AN900" s="2322"/>
      <c r="AO900" s="2322"/>
      <c r="AP900" s="2322"/>
      <c r="AQ900" s="2322"/>
      <c r="AR900" s="2322"/>
      <c r="AS900" s="2322"/>
      <c r="AT900" s="2322"/>
      <c r="AU900" s="2322"/>
      <c r="AV900" s="2322"/>
      <c r="AW900" s="2322"/>
      <c r="AX900" s="2322"/>
      <c r="AY900" s="2322"/>
      <c r="AZ900" s="2322"/>
      <c r="BA900" s="2322"/>
      <c r="BB900" s="2322"/>
      <c r="BC900" s="2322"/>
      <c r="BD900" s="2322"/>
      <c r="BE900" s="2322"/>
      <c r="BF900" s="2322"/>
      <c r="BG900" s="2322"/>
      <c r="BH900" s="2322"/>
      <c r="BI900" s="2322"/>
      <c r="BJ900" s="2322"/>
      <c r="BK900" s="2322"/>
      <c r="BL900" s="2322"/>
      <c r="BM900" s="2322"/>
      <c r="BN900" s="2322"/>
      <c r="BO900" s="2322"/>
      <c r="BP900" s="2322"/>
      <c r="BQ900" s="2322"/>
      <c r="BR900" s="2322"/>
      <c r="BS900" s="2322"/>
      <c r="BT900" s="2322"/>
      <c r="BU900" s="2322"/>
      <c r="BV900" s="2322"/>
      <c r="BW900" s="2322"/>
      <c r="BX900" s="2322"/>
      <c r="BY900" s="2322"/>
      <c r="BZ900" s="2322"/>
      <c r="CA900" s="2322"/>
      <c r="CB900" s="2322"/>
      <c r="CC900" s="2322"/>
      <c r="CD900" s="2322"/>
      <c r="CE900" s="2322"/>
      <c r="CF900" s="2322"/>
      <c r="CG900" s="2322"/>
      <c r="CH900" s="2322"/>
      <c r="CI900" s="2322"/>
      <c r="CJ900" s="2322"/>
      <c r="CK900" s="2322"/>
      <c r="CL900" s="2322"/>
      <c r="CM900" s="2322"/>
      <c r="CN900" s="2322"/>
      <c r="CO900" s="2322"/>
      <c r="CP900" s="2322"/>
      <c r="CQ900" s="2322"/>
      <c r="CR900" s="2322"/>
      <c r="CS900" s="2322"/>
      <c r="CT900" s="2322"/>
      <c r="CU900" s="2322"/>
      <c r="CV900" s="2322"/>
    </row>
    <row r="901" spans="1:100" ht="15.75" customHeight="1">
      <c r="A901" s="2328"/>
      <c r="B901" s="2322"/>
      <c r="C901" s="2322"/>
      <c r="D901" s="2322"/>
      <c r="E901" s="2322"/>
      <c r="F901" s="2322"/>
      <c r="G901" s="2322"/>
      <c r="H901" s="2322"/>
      <c r="I901" s="2322"/>
      <c r="J901" s="2322"/>
      <c r="K901" s="2322"/>
      <c r="L901" s="2322"/>
      <c r="M901" s="2322"/>
      <c r="N901" s="2322"/>
      <c r="O901" s="2322"/>
      <c r="P901" s="2322"/>
      <c r="Q901" s="2322"/>
      <c r="R901" s="2322"/>
      <c r="S901" s="2322"/>
      <c r="T901" s="2322"/>
      <c r="U901" s="2322"/>
      <c r="V901" s="2322"/>
      <c r="W901" s="2322"/>
      <c r="X901" s="2322"/>
      <c r="Y901" s="2322"/>
      <c r="Z901" s="2322"/>
      <c r="AA901" s="2322"/>
      <c r="AB901" s="2322"/>
      <c r="AC901" s="2322"/>
      <c r="AD901" s="2322"/>
      <c r="AE901" s="2322"/>
      <c r="AF901" s="2322"/>
      <c r="AG901" s="2322"/>
      <c r="AH901" s="2322"/>
      <c r="AI901" s="2322"/>
      <c r="AJ901" s="2322"/>
      <c r="AK901" s="2322"/>
      <c r="AL901" s="2322"/>
      <c r="AM901" s="2322"/>
      <c r="AN901" s="2322"/>
      <c r="AO901" s="2322"/>
      <c r="AP901" s="2322"/>
      <c r="AQ901" s="2322"/>
      <c r="AR901" s="2322"/>
      <c r="AS901" s="2322"/>
      <c r="AT901" s="2322"/>
      <c r="AU901" s="2322"/>
      <c r="AV901" s="2322"/>
      <c r="AW901" s="2322"/>
      <c r="AX901" s="2322"/>
      <c r="AY901" s="2322"/>
      <c r="AZ901" s="2322"/>
      <c r="BA901" s="2322"/>
      <c r="BB901" s="2322"/>
      <c r="BC901" s="2322"/>
      <c r="BD901" s="2322"/>
      <c r="BE901" s="2322"/>
      <c r="BF901" s="2322"/>
      <c r="BG901" s="2322"/>
      <c r="BH901" s="2322"/>
      <c r="BI901" s="2322"/>
      <c r="BJ901" s="2322"/>
      <c r="BK901" s="2322"/>
      <c r="BL901" s="2322"/>
      <c r="BM901" s="2322"/>
      <c r="BN901" s="2322"/>
      <c r="BO901" s="2322"/>
      <c r="BP901" s="2322"/>
      <c r="BQ901" s="2322"/>
      <c r="BR901" s="2322"/>
      <c r="BS901" s="2322"/>
      <c r="BT901" s="2322"/>
      <c r="BU901" s="2322"/>
      <c r="BV901" s="2322"/>
      <c r="BW901" s="2322"/>
      <c r="BX901" s="2322"/>
      <c r="BY901" s="2322"/>
      <c r="BZ901" s="2322"/>
      <c r="CA901" s="2322"/>
      <c r="CB901" s="2322"/>
      <c r="CC901" s="2322"/>
      <c r="CD901" s="2322"/>
      <c r="CE901" s="2322"/>
      <c r="CF901" s="2322"/>
      <c r="CG901" s="2322"/>
      <c r="CH901" s="2322"/>
      <c r="CI901" s="2322"/>
      <c r="CJ901" s="2322"/>
      <c r="CK901" s="2322"/>
      <c r="CL901" s="2322"/>
      <c r="CM901" s="2322"/>
      <c r="CN901" s="2322"/>
      <c r="CO901" s="2322"/>
      <c r="CP901" s="2322"/>
      <c r="CQ901" s="2322"/>
      <c r="CR901" s="2322"/>
      <c r="CS901" s="2322"/>
      <c r="CT901" s="2322"/>
      <c r="CU901" s="2322"/>
      <c r="CV901" s="2322"/>
    </row>
    <row r="902" spans="1:100" ht="15.75" customHeight="1">
      <c r="A902" s="2328"/>
      <c r="B902" s="2322"/>
      <c r="C902" s="2322"/>
      <c r="D902" s="2322"/>
      <c r="E902" s="2322"/>
      <c r="F902" s="2322"/>
      <c r="G902" s="2322"/>
      <c r="H902" s="2322"/>
      <c r="I902" s="2322"/>
      <c r="J902" s="2322"/>
      <c r="K902" s="2322"/>
      <c r="L902" s="2322"/>
      <c r="M902" s="2322"/>
      <c r="N902" s="2322"/>
      <c r="O902" s="2322"/>
      <c r="P902" s="2322"/>
      <c r="Q902" s="2322"/>
      <c r="R902" s="2322"/>
      <c r="S902" s="2322"/>
      <c r="T902" s="2322"/>
      <c r="U902" s="2322"/>
      <c r="V902" s="2322"/>
      <c r="W902" s="2322"/>
      <c r="X902" s="2322"/>
      <c r="Y902" s="2322"/>
      <c r="Z902" s="2322"/>
      <c r="AA902" s="2322"/>
      <c r="AB902" s="2322"/>
      <c r="AC902" s="2322"/>
      <c r="AD902" s="2322"/>
      <c r="AE902" s="2322"/>
      <c r="AF902" s="2322"/>
      <c r="AG902" s="2322"/>
      <c r="AH902" s="2322"/>
      <c r="AI902" s="2322"/>
      <c r="AJ902" s="2322"/>
      <c r="AK902" s="2322"/>
      <c r="AL902" s="2322"/>
      <c r="AM902" s="2322"/>
      <c r="AN902" s="2322"/>
      <c r="AO902" s="2322"/>
      <c r="AP902" s="2322"/>
      <c r="AQ902" s="2322"/>
      <c r="AR902" s="2322"/>
      <c r="AS902" s="2322"/>
      <c r="AT902" s="2322"/>
      <c r="AU902" s="2322"/>
      <c r="AV902" s="2322"/>
      <c r="AW902" s="2322"/>
      <c r="AX902" s="2322"/>
      <c r="AY902" s="2322"/>
      <c r="AZ902" s="2322"/>
      <c r="BA902" s="2322"/>
      <c r="BB902" s="2322"/>
      <c r="BC902" s="2322"/>
      <c r="BD902" s="2322"/>
      <c r="BE902" s="2322"/>
      <c r="BF902" s="2322"/>
      <c r="BG902" s="2322"/>
      <c r="BH902" s="2322"/>
      <c r="BI902" s="2322"/>
      <c r="BJ902" s="2322"/>
      <c r="BK902" s="2322"/>
      <c r="BL902" s="2322"/>
      <c r="BM902" s="2322"/>
      <c r="BN902" s="2322"/>
      <c r="BO902" s="2322"/>
      <c r="BP902" s="2322"/>
      <c r="BQ902" s="2322"/>
      <c r="BR902" s="2322"/>
      <c r="BS902" s="2322"/>
      <c r="BT902" s="2322"/>
      <c r="BU902" s="2322"/>
      <c r="BV902" s="2322"/>
      <c r="BW902" s="2322"/>
      <c r="BX902" s="2322"/>
      <c r="BY902" s="2322"/>
      <c r="BZ902" s="2322"/>
      <c r="CA902" s="2322"/>
      <c r="CB902" s="2322"/>
      <c r="CC902" s="2322"/>
      <c r="CD902" s="2322"/>
      <c r="CE902" s="2322"/>
      <c r="CF902" s="2322"/>
      <c r="CG902" s="2322"/>
      <c r="CH902" s="2322"/>
      <c r="CI902" s="2322"/>
      <c r="CJ902" s="2322"/>
      <c r="CK902" s="2322"/>
      <c r="CL902" s="2322"/>
      <c r="CM902" s="2322"/>
      <c r="CN902" s="2322"/>
      <c r="CO902" s="2322"/>
      <c r="CP902" s="2322"/>
      <c r="CQ902" s="2322"/>
      <c r="CR902" s="2322"/>
      <c r="CS902" s="2322"/>
      <c r="CT902" s="2322"/>
      <c r="CU902" s="2322"/>
      <c r="CV902" s="2322"/>
    </row>
    <row r="903" spans="1:100" ht="15.75" customHeight="1">
      <c r="A903" s="2328"/>
      <c r="B903" s="2322"/>
      <c r="C903" s="2322"/>
      <c r="D903" s="2322"/>
      <c r="E903" s="2322"/>
      <c r="F903" s="2322"/>
      <c r="G903" s="2322"/>
      <c r="H903" s="2322"/>
      <c r="I903" s="2322"/>
      <c r="J903" s="2322"/>
      <c r="K903" s="2322"/>
      <c r="L903" s="2322"/>
      <c r="M903" s="2322"/>
      <c r="N903" s="2322"/>
      <c r="O903" s="2322"/>
      <c r="P903" s="2322"/>
      <c r="Q903" s="2322"/>
      <c r="R903" s="2322"/>
      <c r="S903" s="2322"/>
      <c r="T903" s="2322"/>
      <c r="U903" s="2322"/>
      <c r="V903" s="2322"/>
      <c r="W903" s="2322"/>
      <c r="X903" s="2322"/>
      <c r="Y903" s="2322"/>
      <c r="Z903" s="2322"/>
      <c r="AA903" s="2322"/>
      <c r="AB903" s="2322"/>
      <c r="AC903" s="2322"/>
      <c r="AD903" s="2322"/>
      <c r="AE903" s="2322"/>
      <c r="AF903" s="2322"/>
      <c r="AG903" s="2322"/>
      <c r="AH903" s="2322"/>
      <c r="AI903" s="2322"/>
      <c r="AJ903" s="2322"/>
      <c r="AK903" s="2322"/>
      <c r="AL903" s="2322"/>
      <c r="AM903" s="2322"/>
      <c r="AN903" s="2322"/>
      <c r="AO903" s="2322"/>
      <c r="AP903" s="2322"/>
      <c r="AQ903" s="2322"/>
      <c r="AR903" s="2322"/>
      <c r="AS903" s="2322"/>
      <c r="AT903" s="2322"/>
      <c r="AU903" s="2322"/>
      <c r="AV903" s="2322"/>
      <c r="AW903" s="2322"/>
      <c r="AX903" s="2322"/>
      <c r="AY903" s="2322"/>
      <c r="AZ903" s="2322"/>
      <c r="BA903" s="2322"/>
      <c r="BB903" s="2322"/>
      <c r="BC903" s="2322"/>
      <c r="BD903" s="2322"/>
      <c r="BE903" s="2322"/>
      <c r="BF903" s="2322"/>
      <c r="BG903" s="2322"/>
      <c r="BH903" s="2322"/>
      <c r="BI903" s="2322"/>
      <c r="BJ903" s="2322"/>
      <c r="BK903" s="2322"/>
      <c r="BL903" s="2322"/>
      <c r="BM903" s="2322"/>
      <c r="BN903" s="2322"/>
      <c r="BO903" s="2322"/>
      <c r="BP903" s="2322"/>
      <c r="BQ903" s="2322"/>
      <c r="BR903" s="2322"/>
      <c r="BS903" s="2322"/>
      <c r="BT903" s="2322"/>
      <c r="BU903" s="2322"/>
      <c r="BV903" s="2322"/>
      <c r="BW903" s="2322"/>
      <c r="BX903" s="2322"/>
      <c r="BY903" s="2322"/>
      <c r="BZ903" s="2322"/>
      <c r="CA903" s="2322"/>
      <c r="CB903" s="2322"/>
      <c r="CC903" s="2322"/>
      <c r="CD903" s="2322"/>
      <c r="CE903" s="2322"/>
      <c r="CF903" s="2322"/>
      <c r="CG903" s="2322"/>
      <c r="CH903" s="2322"/>
      <c r="CI903" s="2322"/>
      <c r="CJ903" s="2322"/>
      <c r="CK903" s="2322"/>
      <c r="CL903" s="2322"/>
      <c r="CM903" s="2322"/>
      <c r="CN903" s="2322"/>
      <c r="CO903" s="2322"/>
      <c r="CP903" s="2322"/>
      <c r="CQ903" s="2322"/>
      <c r="CR903" s="2322"/>
      <c r="CS903" s="2322"/>
      <c r="CT903" s="2322"/>
      <c r="CU903" s="2322"/>
      <c r="CV903" s="2322"/>
    </row>
    <row r="904" spans="1:100" ht="15.75" customHeight="1">
      <c r="A904" s="2328"/>
      <c r="B904" s="2322"/>
      <c r="C904" s="2322"/>
      <c r="D904" s="2322"/>
      <c r="E904" s="2322"/>
      <c r="F904" s="2322"/>
      <c r="G904" s="2322"/>
      <c r="H904" s="2322"/>
      <c r="I904" s="2322"/>
      <c r="J904" s="2322"/>
      <c r="K904" s="2322"/>
      <c r="L904" s="2322"/>
      <c r="M904" s="2322"/>
      <c r="N904" s="2322"/>
      <c r="O904" s="2322"/>
      <c r="P904" s="2322"/>
      <c r="Q904" s="2322"/>
      <c r="R904" s="2322"/>
      <c r="S904" s="2322"/>
      <c r="T904" s="2322"/>
      <c r="U904" s="2322"/>
      <c r="V904" s="2322"/>
      <c r="W904" s="2322"/>
      <c r="X904" s="2322"/>
      <c r="Y904" s="2322"/>
      <c r="Z904" s="2322"/>
      <c r="AA904" s="2322"/>
      <c r="AB904" s="2322"/>
      <c r="AC904" s="2322"/>
      <c r="AD904" s="2322"/>
      <c r="AE904" s="2322"/>
      <c r="AF904" s="2322"/>
      <c r="AG904" s="2322"/>
      <c r="AH904" s="2322"/>
      <c r="AI904" s="2322"/>
      <c r="AJ904" s="2322"/>
      <c r="AK904" s="2322"/>
      <c r="AL904" s="2322"/>
      <c r="AM904" s="2322"/>
      <c r="AN904" s="2322"/>
      <c r="AO904" s="2322"/>
      <c r="AP904" s="2322"/>
      <c r="AQ904" s="2322"/>
      <c r="AR904" s="2322"/>
      <c r="AS904" s="2322"/>
      <c r="AT904" s="2322"/>
      <c r="AU904" s="2322"/>
      <c r="AV904" s="2322"/>
      <c r="AW904" s="2322"/>
      <c r="AX904" s="2322"/>
      <c r="AY904" s="2322"/>
      <c r="AZ904" s="2322"/>
      <c r="BA904" s="2322"/>
      <c r="BB904" s="2322"/>
      <c r="BC904" s="2322"/>
      <c r="BD904" s="2322"/>
      <c r="BE904" s="2322"/>
      <c r="BF904" s="2322"/>
      <c r="BG904" s="2322"/>
      <c r="BH904" s="2322"/>
      <c r="BI904" s="2322"/>
      <c r="BJ904" s="2322"/>
      <c r="BK904" s="2322"/>
      <c r="BL904" s="2322"/>
      <c r="BM904" s="2322"/>
      <c r="BN904" s="2322"/>
      <c r="BO904" s="2322"/>
      <c r="BP904" s="2322"/>
      <c r="BQ904" s="2322"/>
      <c r="BR904" s="2322"/>
      <c r="BS904" s="2322"/>
      <c r="BT904" s="2322"/>
      <c r="BU904" s="2322"/>
      <c r="BV904" s="2322"/>
      <c r="BW904" s="2322"/>
      <c r="BX904" s="2322"/>
      <c r="BY904" s="2322"/>
      <c r="BZ904" s="2322"/>
      <c r="CA904" s="2322"/>
      <c r="CB904" s="2322"/>
      <c r="CC904" s="2322"/>
      <c r="CD904" s="2322"/>
      <c r="CE904" s="2322"/>
      <c r="CF904" s="2322"/>
      <c r="CG904" s="2322"/>
      <c r="CH904" s="2322"/>
      <c r="CI904" s="2322"/>
      <c r="CJ904" s="2322"/>
      <c r="CK904" s="2322"/>
      <c r="CL904" s="2322"/>
      <c r="CM904" s="2322"/>
      <c r="CN904" s="2322"/>
      <c r="CO904" s="2322"/>
      <c r="CP904" s="2322"/>
      <c r="CQ904" s="2322"/>
      <c r="CR904" s="2322"/>
      <c r="CS904" s="2322"/>
      <c r="CT904" s="2322"/>
      <c r="CU904" s="2322"/>
      <c r="CV904" s="2322"/>
    </row>
    <row r="905" spans="1:100" ht="15.75" customHeight="1">
      <c r="A905" s="2328"/>
      <c r="B905" s="2322"/>
      <c r="C905" s="2322"/>
      <c r="D905" s="2322"/>
      <c r="E905" s="2322"/>
      <c r="F905" s="2322"/>
      <c r="G905" s="2322"/>
      <c r="H905" s="2322"/>
      <c r="I905" s="2322"/>
      <c r="J905" s="2322"/>
      <c r="K905" s="2322"/>
      <c r="L905" s="2322"/>
      <c r="M905" s="2322"/>
      <c r="N905" s="2322"/>
      <c r="O905" s="2322"/>
      <c r="P905" s="2322"/>
      <c r="Q905" s="2322"/>
      <c r="R905" s="2322"/>
      <c r="S905" s="2322"/>
      <c r="T905" s="2322"/>
      <c r="U905" s="2322"/>
      <c r="V905" s="2322"/>
      <c r="W905" s="2322"/>
      <c r="X905" s="2322"/>
      <c r="Y905" s="2322"/>
      <c r="Z905" s="2322"/>
      <c r="AA905" s="2322"/>
      <c r="AB905" s="2322"/>
      <c r="AC905" s="2322"/>
      <c r="AD905" s="2322"/>
      <c r="AE905" s="2322"/>
      <c r="AF905" s="2322"/>
      <c r="AG905" s="2322"/>
      <c r="AH905" s="2322"/>
      <c r="AI905" s="2322"/>
      <c r="AJ905" s="2322"/>
      <c r="AK905" s="2322"/>
      <c r="AL905" s="2322"/>
      <c r="AM905" s="2322"/>
      <c r="AN905" s="2322"/>
      <c r="AO905" s="2322"/>
      <c r="AP905" s="2322"/>
      <c r="AQ905" s="2322"/>
      <c r="AR905" s="2322"/>
      <c r="AS905" s="2322"/>
      <c r="AT905" s="2322"/>
      <c r="AU905" s="2322"/>
      <c r="AV905" s="2322"/>
      <c r="AW905" s="2322"/>
      <c r="AX905" s="2322"/>
      <c r="AY905" s="2322"/>
      <c r="AZ905" s="2322"/>
      <c r="BA905" s="2322"/>
      <c r="BB905" s="2322"/>
      <c r="BC905" s="2322"/>
      <c r="BD905" s="2322"/>
      <c r="BE905" s="2322"/>
      <c r="BF905" s="2322"/>
      <c r="BG905" s="2322"/>
      <c r="BH905" s="2322"/>
      <c r="BI905" s="2322"/>
      <c r="BJ905" s="2322"/>
      <c r="BK905" s="2322"/>
      <c r="BL905" s="2322"/>
      <c r="BM905" s="2322"/>
      <c r="BN905" s="2322"/>
      <c r="BO905" s="2322"/>
      <c r="BP905" s="2322"/>
      <c r="BQ905" s="2322"/>
      <c r="BR905" s="2322"/>
      <c r="BS905" s="2322"/>
      <c r="BT905" s="2322"/>
      <c r="BU905" s="2322"/>
      <c r="BV905" s="2322"/>
      <c r="BW905" s="2322"/>
      <c r="BX905" s="2322"/>
      <c r="BY905" s="2322"/>
      <c r="BZ905" s="2322"/>
      <c r="CA905" s="2322"/>
      <c r="CB905" s="2322"/>
      <c r="CC905" s="2322"/>
      <c r="CD905" s="2322"/>
      <c r="CE905" s="2322"/>
      <c r="CF905" s="2322"/>
      <c r="CG905" s="2322"/>
      <c r="CH905" s="2322"/>
      <c r="CI905" s="2322"/>
      <c r="CJ905" s="2322"/>
      <c r="CK905" s="2322"/>
      <c r="CL905" s="2322"/>
      <c r="CM905" s="2322"/>
      <c r="CN905" s="2322"/>
      <c r="CO905" s="2322"/>
      <c r="CP905" s="2322"/>
      <c r="CQ905" s="2322"/>
      <c r="CR905" s="2322"/>
      <c r="CS905" s="2322"/>
      <c r="CT905" s="2322"/>
      <c r="CU905" s="2322"/>
      <c r="CV905" s="2322"/>
    </row>
    <row r="906" spans="1:100" ht="15.75" customHeight="1">
      <c r="A906" s="2328"/>
      <c r="B906" s="2322"/>
      <c r="C906" s="2322"/>
      <c r="D906" s="2322"/>
      <c r="E906" s="2322"/>
      <c r="F906" s="2322"/>
      <c r="G906" s="2322"/>
      <c r="H906" s="2322"/>
      <c r="I906" s="2322"/>
      <c r="J906" s="2322"/>
      <c r="K906" s="2322"/>
      <c r="L906" s="2322"/>
      <c r="M906" s="2322"/>
      <c r="N906" s="2322"/>
      <c r="O906" s="2322"/>
      <c r="P906" s="2322"/>
      <c r="Q906" s="2322"/>
      <c r="R906" s="2322"/>
      <c r="S906" s="2322"/>
      <c r="T906" s="2322"/>
      <c r="U906" s="2322"/>
      <c r="V906" s="2322"/>
      <c r="W906" s="2322"/>
      <c r="X906" s="2322"/>
      <c r="Y906" s="2322"/>
      <c r="Z906" s="2322"/>
      <c r="AA906" s="2322"/>
      <c r="AB906" s="2322"/>
      <c r="AC906" s="2322"/>
      <c r="AD906" s="2322"/>
      <c r="AE906" s="2322"/>
      <c r="AF906" s="2322"/>
      <c r="AG906" s="2322"/>
      <c r="AH906" s="2322"/>
      <c r="AI906" s="2322"/>
      <c r="AJ906" s="2322"/>
      <c r="AK906" s="2322"/>
      <c r="AL906" s="2322"/>
      <c r="AM906" s="2322"/>
      <c r="AN906" s="2322"/>
      <c r="AO906" s="2322"/>
      <c r="AP906" s="2322"/>
      <c r="AQ906" s="2322"/>
      <c r="AR906" s="2322"/>
      <c r="AS906" s="2322"/>
      <c r="AT906" s="2322"/>
      <c r="AU906" s="2322"/>
      <c r="AV906" s="2322"/>
      <c r="AW906" s="2322"/>
      <c r="AX906" s="2322"/>
      <c r="AY906" s="2322"/>
      <c r="AZ906" s="2322"/>
      <c r="BA906" s="2322"/>
      <c r="BB906" s="2322"/>
      <c r="BC906" s="2322"/>
      <c r="BD906" s="2322"/>
      <c r="BE906" s="2322"/>
      <c r="BF906" s="2322"/>
      <c r="BG906" s="2322"/>
      <c r="BH906" s="2322"/>
      <c r="BI906" s="2322"/>
      <c r="BJ906" s="2322"/>
      <c r="BK906" s="2322"/>
      <c r="BL906" s="2322"/>
      <c r="BM906" s="2322"/>
      <c r="BN906" s="2322"/>
      <c r="BO906" s="2322"/>
      <c r="BP906" s="2322"/>
      <c r="BQ906" s="2322"/>
      <c r="BR906" s="2322"/>
      <c r="BS906" s="2322"/>
      <c r="BT906" s="2322"/>
      <c r="BU906" s="2322"/>
      <c r="BV906" s="2322"/>
      <c r="BW906" s="2322"/>
      <c r="BX906" s="2322"/>
      <c r="BY906" s="2322"/>
      <c r="BZ906" s="2322"/>
      <c r="CA906" s="2322"/>
      <c r="CB906" s="2322"/>
      <c r="CC906" s="2322"/>
      <c r="CD906" s="2322"/>
      <c r="CE906" s="2322"/>
      <c r="CF906" s="2322"/>
      <c r="CG906" s="2322"/>
      <c r="CH906" s="2322"/>
      <c r="CI906" s="2322"/>
      <c r="CJ906" s="2322"/>
      <c r="CK906" s="2322"/>
      <c r="CL906" s="2322"/>
      <c r="CM906" s="2322"/>
      <c r="CN906" s="2322"/>
      <c r="CO906" s="2322"/>
      <c r="CP906" s="2322"/>
      <c r="CQ906" s="2322"/>
      <c r="CR906" s="2322"/>
      <c r="CS906" s="2322"/>
      <c r="CT906" s="2322"/>
      <c r="CU906" s="2322"/>
      <c r="CV906" s="2322"/>
    </row>
    <row r="907" spans="1:100" ht="15.75" customHeight="1">
      <c r="A907" s="2328"/>
      <c r="B907" s="2322"/>
      <c r="C907" s="2322"/>
      <c r="D907" s="2322"/>
      <c r="E907" s="2322"/>
      <c r="F907" s="2322"/>
      <c r="G907" s="2322"/>
      <c r="H907" s="2322"/>
      <c r="I907" s="2322"/>
      <c r="J907" s="2322"/>
      <c r="K907" s="2322"/>
      <c r="L907" s="2322"/>
      <c r="M907" s="2322"/>
      <c r="N907" s="2322"/>
      <c r="O907" s="2322"/>
      <c r="P907" s="2322"/>
      <c r="Q907" s="2322"/>
      <c r="R907" s="2322"/>
      <c r="S907" s="2322"/>
      <c r="T907" s="2322"/>
      <c r="U907" s="2322"/>
      <c r="V907" s="2322"/>
      <c r="W907" s="2322"/>
      <c r="X907" s="2322"/>
      <c r="Y907" s="2322"/>
      <c r="Z907" s="2322"/>
      <c r="AA907" s="2322"/>
      <c r="AB907" s="2322"/>
      <c r="AC907" s="2322"/>
      <c r="AD907" s="2322"/>
      <c r="AE907" s="2322"/>
      <c r="AF907" s="2322"/>
      <c r="AG907" s="2322"/>
      <c r="AH907" s="2322"/>
      <c r="AI907" s="2322"/>
      <c r="AJ907" s="2322"/>
      <c r="AK907" s="2322"/>
      <c r="AL907" s="2322"/>
      <c r="AM907" s="2322"/>
      <c r="AN907" s="2322"/>
      <c r="AO907" s="2322"/>
      <c r="AP907" s="2322"/>
      <c r="AQ907" s="2322"/>
      <c r="AR907" s="2322"/>
      <c r="AS907" s="2322"/>
      <c r="AT907" s="2322"/>
      <c r="AU907" s="2322"/>
      <c r="AV907" s="2322"/>
      <c r="AW907" s="2322"/>
      <c r="AX907" s="2322"/>
      <c r="AY907" s="2322"/>
      <c r="AZ907" s="2322"/>
      <c r="BA907" s="2322"/>
      <c r="BB907" s="2322"/>
      <c r="BC907" s="2322"/>
      <c r="BD907" s="2322"/>
      <c r="BE907" s="2322"/>
      <c r="BF907" s="2322"/>
      <c r="BG907" s="2322"/>
      <c r="BH907" s="2322"/>
      <c r="BI907" s="2322"/>
      <c r="BJ907" s="2322"/>
      <c r="BK907" s="2322"/>
      <c r="BL907" s="2322"/>
      <c r="BM907" s="2322"/>
      <c r="BN907" s="2322"/>
      <c r="BO907" s="2322"/>
      <c r="BP907" s="2322"/>
      <c r="BQ907" s="2322"/>
      <c r="BR907" s="2322"/>
      <c r="BS907" s="2322"/>
      <c r="BT907" s="2322"/>
      <c r="BU907" s="2322"/>
      <c r="BV907" s="2322"/>
      <c r="BW907" s="2322"/>
      <c r="BX907" s="2322"/>
      <c r="BY907" s="2322"/>
      <c r="BZ907" s="2322"/>
      <c r="CA907" s="2322"/>
      <c r="CB907" s="2322"/>
      <c r="CC907" s="2322"/>
      <c r="CD907" s="2322"/>
      <c r="CE907" s="2322"/>
      <c r="CF907" s="2322"/>
      <c r="CG907" s="2322"/>
      <c r="CH907" s="2322"/>
      <c r="CI907" s="2322"/>
      <c r="CJ907" s="2322"/>
      <c r="CK907" s="2322"/>
      <c r="CL907" s="2322"/>
      <c r="CM907" s="2322"/>
      <c r="CN907" s="2322"/>
      <c r="CO907" s="2322"/>
      <c r="CP907" s="2322"/>
      <c r="CQ907" s="2322"/>
      <c r="CR907" s="2322"/>
      <c r="CS907" s="2322"/>
      <c r="CT907" s="2322"/>
      <c r="CU907" s="2322"/>
      <c r="CV907" s="2322"/>
    </row>
    <row r="908" spans="1:100" ht="15.75" customHeight="1">
      <c r="A908" s="2328"/>
      <c r="B908" s="2322"/>
      <c r="C908" s="2322"/>
      <c r="D908" s="2322"/>
      <c r="E908" s="2322"/>
      <c r="F908" s="2322"/>
      <c r="G908" s="2322"/>
      <c r="H908" s="2322"/>
      <c r="I908" s="2322"/>
      <c r="J908" s="2322"/>
      <c r="K908" s="2322"/>
      <c r="L908" s="2322"/>
      <c r="M908" s="2322"/>
      <c r="N908" s="2322"/>
      <c r="O908" s="2322"/>
      <c r="P908" s="2322"/>
      <c r="Q908" s="2322"/>
      <c r="R908" s="2322"/>
      <c r="S908" s="2322"/>
      <c r="T908" s="2322"/>
      <c r="U908" s="2322"/>
      <c r="V908" s="2322"/>
      <c r="W908" s="2322"/>
      <c r="X908" s="2322"/>
      <c r="Y908" s="2322"/>
      <c r="Z908" s="2322"/>
      <c r="AA908" s="2322"/>
      <c r="AB908" s="2322"/>
      <c r="AC908" s="2322"/>
      <c r="AD908" s="2322"/>
      <c r="AE908" s="2322"/>
      <c r="AF908" s="2322"/>
      <c r="AG908" s="2322"/>
      <c r="AH908" s="2322"/>
      <c r="AI908" s="2322"/>
      <c r="AJ908" s="2322"/>
      <c r="AK908" s="2322"/>
      <c r="AL908" s="2322"/>
      <c r="AM908" s="2322"/>
      <c r="AN908" s="2322"/>
      <c r="AO908" s="2322"/>
      <c r="AP908" s="2322"/>
      <c r="AQ908" s="2322"/>
      <c r="AR908" s="2322"/>
      <c r="AS908" s="2322"/>
      <c r="AT908" s="2322"/>
      <c r="AU908" s="2322"/>
      <c r="AV908" s="2322"/>
      <c r="AW908" s="2322"/>
      <c r="AX908" s="2322"/>
      <c r="AY908" s="2322"/>
      <c r="AZ908" s="2322"/>
      <c r="BA908" s="2322"/>
      <c r="BB908" s="2322"/>
      <c r="BC908" s="2322"/>
      <c r="BD908" s="2322"/>
      <c r="BE908" s="2322"/>
      <c r="BF908" s="2322"/>
      <c r="BG908" s="2322"/>
      <c r="BH908" s="2322"/>
      <c r="BI908" s="2322"/>
      <c r="BJ908" s="2322"/>
      <c r="BK908" s="2322"/>
      <c r="BL908" s="2322"/>
      <c r="BM908" s="2322"/>
      <c r="BN908" s="2322"/>
      <c r="BO908" s="2322"/>
      <c r="BP908" s="2322"/>
      <c r="BQ908" s="2322"/>
      <c r="BR908" s="2322"/>
      <c r="BS908" s="2322"/>
      <c r="BT908" s="2322"/>
      <c r="BU908" s="2322"/>
      <c r="BV908" s="2322"/>
      <c r="BW908" s="2322"/>
      <c r="BX908" s="2322"/>
      <c r="BY908" s="2322"/>
      <c r="BZ908" s="2322"/>
      <c r="CA908" s="2322"/>
      <c r="CB908" s="2322"/>
      <c r="CC908" s="2322"/>
      <c r="CD908" s="2322"/>
      <c r="CE908" s="2322"/>
      <c r="CF908" s="2322"/>
      <c r="CG908" s="2322"/>
      <c r="CH908" s="2322"/>
      <c r="CI908" s="2322"/>
      <c r="CJ908" s="2322"/>
      <c r="CK908" s="2322"/>
      <c r="CL908" s="2322"/>
      <c r="CM908" s="2322"/>
      <c r="CN908" s="2322"/>
      <c r="CO908" s="2322"/>
      <c r="CP908" s="2322"/>
      <c r="CQ908" s="2322"/>
      <c r="CR908" s="2322"/>
      <c r="CS908" s="2322"/>
      <c r="CT908" s="2322"/>
      <c r="CU908" s="2322"/>
      <c r="CV908" s="2322"/>
    </row>
    <row r="909" spans="1:100" ht="15.75" customHeight="1">
      <c r="A909" s="2328"/>
      <c r="B909" s="2322"/>
      <c r="C909" s="2322"/>
      <c r="D909" s="2322"/>
      <c r="E909" s="2322"/>
      <c r="F909" s="2322"/>
      <c r="G909" s="2322"/>
      <c r="H909" s="2322"/>
      <c r="I909" s="2322"/>
      <c r="J909" s="2322"/>
      <c r="K909" s="2322"/>
      <c r="L909" s="2322"/>
      <c r="M909" s="2322"/>
      <c r="N909" s="2322"/>
      <c r="O909" s="2322"/>
      <c r="P909" s="2322"/>
      <c r="Q909" s="2322"/>
      <c r="R909" s="2322"/>
      <c r="S909" s="2322"/>
      <c r="T909" s="2322"/>
      <c r="U909" s="2322"/>
      <c r="V909" s="2322"/>
      <c r="W909" s="2322"/>
      <c r="X909" s="2322"/>
      <c r="Y909" s="2322"/>
      <c r="Z909" s="2322"/>
      <c r="AA909" s="2322"/>
      <c r="AB909" s="2322"/>
      <c r="AC909" s="2322"/>
      <c r="AD909" s="2322"/>
      <c r="AE909" s="2322"/>
      <c r="AF909" s="2322"/>
      <c r="AG909" s="2322"/>
      <c r="AH909" s="2322"/>
      <c r="AI909" s="2322"/>
      <c r="AJ909" s="2322"/>
      <c r="AK909" s="2322"/>
      <c r="AL909" s="2322"/>
      <c r="AM909" s="2322"/>
      <c r="AN909" s="2322"/>
      <c r="AO909" s="2322"/>
      <c r="AP909" s="2322"/>
      <c r="AQ909" s="2322"/>
      <c r="AR909" s="2322"/>
      <c r="AS909" s="2322"/>
      <c r="AT909" s="2322"/>
      <c r="AU909" s="2322"/>
      <c r="AV909" s="2322"/>
      <c r="AW909" s="2322"/>
      <c r="AX909" s="2322"/>
      <c r="AY909" s="2322"/>
      <c r="AZ909" s="2322"/>
      <c r="BA909" s="2322"/>
      <c r="BB909" s="2322"/>
      <c r="BC909" s="2322"/>
      <c r="BD909" s="2322"/>
      <c r="BE909" s="2322"/>
      <c r="BF909" s="2322"/>
      <c r="BG909" s="2322"/>
      <c r="BH909" s="2322"/>
      <c r="BI909" s="2322"/>
      <c r="BJ909" s="2322"/>
      <c r="BK909" s="2322"/>
      <c r="BL909" s="2322"/>
      <c r="BM909" s="2322"/>
      <c r="BN909" s="2322"/>
      <c r="BO909" s="2322"/>
      <c r="BP909" s="2322"/>
      <c r="BQ909" s="2322"/>
      <c r="BR909" s="2322"/>
      <c r="BS909" s="2322"/>
      <c r="BT909" s="2322"/>
      <c r="BU909" s="2322"/>
      <c r="BV909" s="2322"/>
      <c r="BW909" s="2322"/>
      <c r="BX909" s="2322"/>
      <c r="BY909" s="2322"/>
      <c r="BZ909" s="2322"/>
      <c r="CA909" s="2322"/>
      <c r="CB909" s="2322"/>
      <c r="CC909" s="2322"/>
      <c r="CD909" s="2322"/>
      <c r="CE909" s="2322"/>
      <c r="CF909" s="2322"/>
      <c r="CG909" s="2322"/>
      <c r="CH909" s="2322"/>
      <c r="CI909" s="2322"/>
      <c r="CJ909" s="2322"/>
      <c r="CK909" s="2322"/>
      <c r="CL909" s="2322"/>
      <c r="CM909" s="2322"/>
      <c r="CN909" s="2322"/>
      <c r="CO909" s="2322"/>
      <c r="CP909" s="2322"/>
      <c r="CQ909" s="2322"/>
      <c r="CR909" s="2322"/>
      <c r="CS909" s="2322"/>
      <c r="CT909" s="2322"/>
      <c r="CU909" s="2322"/>
      <c r="CV909" s="2322"/>
    </row>
    <row r="910" spans="1:100" ht="15.75" customHeight="1">
      <c r="A910" s="2328"/>
      <c r="B910" s="2322"/>
      <c r="C910" s="2322"/>
      <c r="D910" s="2322"/>
      <c r="E910" s="2322"/>
      <c r="F910" s="2322"/>
      <c r="G910" s="2322"/>
      <c r="H910" s="2322"/>
      <c r="I910" s="2322"/>
      <c r="J910" s="2322"/>
      <c r="K910" s="2322"/>
      <c r="L910" s="2322"/>
      <c r="M910" s="2322"/>
      <c r="N910" s="2322"/>
      <c r="O910" s="2322"/>
      <c r="P910" s="2322"/>
      <c r="Q910" s="2322"/>
      <c r="R910" s="2322"/>
      <c r="S910" s="2322"/>
      <c r="T910" s="2322"/>
      <c r="U910" s="2322"/>
      <c r="V910" s="2322"/>
      <c r="W910" s="2322"/>
      <c r="X910" s="2322"/>
      <c r="Y910" s="2322"/>
      <c r="Z910" s="2322"/>
      <c r="AA910" s="2322"/>
      <c r="AB910" s="2322"/>
      <c r="AC910" s="2322"/>
      <c r="AD910" s="2322"/>
      <c r="AE910" s="2322"/>
      <c r="AF910" s="2322"/>
      <c r="AG910" s="2322"/>
      <c r="AH910" s="2322"/>
      <c r="AI910" s="2322"/>
      <c r="AJ910" s="2322"/>
      <c r="AK910" s="2322"/>
      <c r="AL910" s="2322"/>
      <c r="AM910" s="2322"/>
      <c r="AN910" s="2322"/>
      <c r="AO910" s="2322"/>
      <c r="AP910" s="2322"/>
      <c r="AQ910" s="2322"/>
      <c r="AR910" s="2322"/>
      <c r="AS910" s="2322"/>
      <c r="AT910" s="2322"/>
      <c r="AU910" s="2322"/>
      <c r="AV910" s="2322"/>
      <c r="AW910" s="2322"/>
      <c r="AX910" s="2322"/>
      <c r="AY910" s="2322"/>
      <c r="AZ910" s="2322"/>
      <c r="BA910" s="2322"/>
      <c r="BB910" s="2322"/>
      <c r="BC910" s="2322"/>
      <c r="BD910" s="2322"/>
      <c r="BE910" s="2322"/>
      <c r="BF910" s="2322"/>
      <c r="BG910" s="2322"/>
      <c r="BH910" s="2322"/>
      <c r="BI910" s="2322"/>
      <c r="BJ910" s="2322"/>
      <c r="BK910" s="2322"/>
      <c r="BL910" s="2322"/>
      <c r="BM910" s="2322"/>
      <c r="BN910" s="2322"/>
      <c r="BO910" s="2322"/>
      <c r="BP910" s="2322"/>
      <c r="BQ910" s="2322"/>
      <c r="BR910" s="2322"/>
      <c r="BS910" s="2322"/>
      <c r="BT910" s="2322"/>
      <c r="BU910" s="2322"/>
      <c r="BV910" s="2322"/>
      <c r="BW910" s="2322"/>
      <c r="BX910" s="2322"/>
      <c r="BY910" s="2322"/>
      <c r="BZ910" s="2322"/>
      <c r="CA910" s="2322"/>
      <c r="CB910" s="2322"/>
      <c r="CC910" s="2322"/>
      <c r="CD910" s="2322"/>
      <c r="CE910" s="2322"/>
      <c r="CF910" s="2322"/>
      <c r="CG910" s="2322"/>
      <c r="CH910" s="2322"/>
      <c r="CI910" s="2322"/>
      <c r="CJ910" s="2322"/>
      <c r="CK910" s="2322"/>
      <c r="CL910" s="2322"/>
      <c r="CM910" s="2322"/>
      <c r="CN910" s="2322"/>
      <c r="CO910" s="2322"/>
      <c r="CP910" s="2322"/>
      <c r="CQ910" s="2322"/>
      <c r="CR910" s="2322"/>
      <c r="CS910" s="2322"/>
      <c r="CT910" s="2322"/>
      <c r="CU910" s="2322"/>
      <c r="CV910" s="2322"/>
    </row>
    <row r="911" spans="1:100" ht="15.75" customHeight="1">
      <c r="A911" s="2328"/>
      <c r="B911" s="2322"/>
      <c r="C911" s="2322"/>
      <c r="D911" s="2322"/>
      <c r="E911" s="2322"/>
      <c r="F911" s="2322"/>
      <c r="G911" s="2322"/>
      <c r="H911" s="2322"/>
      <c r="I911" s="2322"/>
      <c r="J911" s="2322"/>
      <c r="K911" s="2322"/>
      <c r="L911" s="2322"/>
      <c r="M911" s="2322"/>
      <c r="N911" s="2322"/>
      <c r="O911" s="2322"/>
      <c r="P911" s="2322"/>
      <c r="Q911" s="2322"/>
      <c r="R911" s="2322"/>
      <c r="S911" s="2322"/>
      <c r="T911" s="2322"/>
      <c r="U911" s="2322"/>
      <c r="V911" s="2322"/>
      <c r="W911" s="2322"/>
      <c r="X911" s="2322"/>
      <c r="Y911" s="2322"/>
      <c r="Z911" s="2322"/>
      <c r="AA911" s="2322"/>
      <c r="AB911" s="2322"/>
      <c r="AC911" s="2322"/>
      <c r="AD911" s="2322"/>
      <c r="AE911" s="2322"/>
      <c r="AF911" s="2322"/>
      <c r="AG911" s="2322"/>
      <c r="AH911" s="2322"/>
      <c r="AI911" s="2322"/>
      <c r="AJ911" s="2322"/>
      <c r="AK911" s="2322"/>
      <c r="AL911" s="2322"/>
      <c r="AM911" s="2322"/>
      <c r="AN911" s="2322"/>
      <c r="AO911" s="2322"/>
      <c r="AP911" s="2322"/>
      <c r="AQ911" s="2322"/>
      <c r="AR911" s="2322"/>
      <c r="AS911" s="2322"/>
      <c r="AT911" s="2322"/>
      <c r="AU911" s="2322"/>
      <c r="AV911" s="2322"/>
      <c r="AW911" s="2322"/>
      <c r="AX911" s="2322"/>
      <c r="AY911" s="2322"/>
      <c r="AZ911" s="2322"/>
      <c r="BA911" s="2322"/>
      <c r="BB911" s="2322"/>
      <c r="BC911" s="2322"/>
      <c r="BD911" s="2322"/>
      <c r="BE911" s="2322"/>
      <c r="BF911" s="2322"/>
      <c r="BG911" s="2322"/>
      <c r="BH911" s="2322"/>
      <c r="BI911" s="2322"/>
      <c r="BJ911" s="2322"/>
      <c r="BK911" s="2322"/>
      <c r="BL911" s="2322"/>
      <c r="BM911" s="2322"/>
      <c r="BN911" s="2322"/>
      <c r="BO911" s="2322"/>
      <c r="BP911" s="2322"/>
      <c r="BQ911" s="2322"/>
      <c r="BR911" s="2322"/>
      <c r="BS911" s="2322"/>
      <c r="BT911" s="2322"/>
      <c r="BU911" s="2322"/>
      <c r="BV911" s="2322"/>
      <c r="BW911" s="2322"/>
      <c r="BX911" s="2322"/>
      <c r="BY911" s="2322"/>
      <c r="BZ911" s="2322"/>
      <c r="CA911" s="2322"/>
      <c r="CB911" s="2322"/>
      <c r="CC911" s="2322"/>
      <c r="CD911" s="2322"/>
      <c r="CE911" s="2322"/>
      <c r="CF911" s="2322"/>
      <c r="CG911" s="2322"/>
      <c r="CH911" s="2322"/>
      <c r="CI911" s="2322"/>
      <c r="CJ911" s="2322"/>
      <c r="CK911" s="2322"/>
      <c r="CL911" s="2322"/>
      <c r="CM911" s="2322"/>
      <c r="CN911" s="2322"/>
      <c r="CO911" s="2322"/>
      <c r="CP911" s="2322"/>
      <c r="CQ911" s="2322"/>
      <c r="CR911" s="2322"/>
      <c r="CS911" s="2322"/>
      <c r="CT911" s="2322"/>
      <c r="CU911" s="2322"/>
      <c r="CV911" s="2322"/>
    </row>
    <row r="912" spans="1:100" ht="15.75" customHeight="1">
      <c r="A912" s="2328"/>
      <c r="B912" s="2322"/>
      <c r="C912" s="2322"/>
      <c r="D912" s="2322"/>
      <c r="E912" s="2322"/>
      <c r="F912" s="2322"/>
      <c r="G912" s="2322"/>
      <c r="H912" s="2322"/>
      <c r="I912" s="2322"/>
      <c r="J912" s="2322"/>
      <c r="K912" s="2322"/>
      <c r="L912" s="2322"/>
      <c r="M912" s="2322"/>
      <c r="N912" s="2322"/>
      <c r="O912" s="2322"/>
      <c r="P912" s="2322"/>
      <c r="Q912" s="2322"/>
      <c r="R912" s="2322"/>
      <c r="S912" s="2322"/>
      <c r="T912" s="2322"/>
      <c r="U912" s="2322"/>
      <c r="V912" s="2322"/>
      <c r="W912" s="2322"/>
      <c r="X912" s="2322"/>
      <c r="Y912" s="2322"/>
      <c r="Z912" s="2322"/>
      <c r="AA912" s="2322"/>
      <c r="AB912" s="2322"/>
      <c r="AC912" s="2322"/>
      <c r="AD912" s="2322"/>
      <c r="AE912" s="2322"/>
      <c r="AF912" s="2322"/>
      <c r="AG912" s="2322"/>
      <c r="AH912" s="2322"/>
      <c r="AI912" s="2322"/>
      <c r="AJ912" s="2322"/>
      <c r="AK912" s="2322"/>
      <c r="AL912" s="2322"/>
      <c r="AM912" s="2322"/>
      <c r="AN912" s="2322"/>
      <c r="AO912" s="2322"/>
      <c r="AP912" s="2322"/>
      <c r="AQ912" s="2322"/>
      <c r="AR912" s="2322"/>
      <c r="AS912" s="2322"/>
      <c r="AT912" s="2322"/>
      <c r="AU912" s="2322"/>
      <c r="AV912" s="2322"/>
      <c r="AW912" s="2322"/>
      <c r="AX912" s="2322"/>
      <c r="AY912" s="2322"/>
      <c r="AZ912" s="2322"/>
      <c r="BA912" s="2322"/>
      <c r="BB912" s="2322"/>
      <c r="BC912" s="2322"/>
      <c r="BD912" s="2322"/>
      <c r="BE912" s="2322"/>
      <c r="BF912" s="2322"/>
      <c r="BG912" s="2322"/>
      <c r="BH912" s="2322"/>
      <c r="BI912" s="2322"/>
      <c r="BJ912" s="2322"/>
      <c r="BK912" s="2322"/>
      <c r="BL912" s="2322"/>
      <c r="BM912" s="2322"/>
      <c r="BN912" s="2322"/>
      <c r="BO912" s="2322"/>
      <c r="BP912" s="2322"/>
      <c r="BQ912" s="2322"/>
      <c r="BR912" s="2322"/>
      <c r="BS912" s="2322"/>
      <c r="BT912" s="2322"/>
      <c r="BU912" s="2322"/>
      <c r="BV912" s="2322"/>
      <c r="BW912" s="2322"/>
      <c r="BX912" s="2322"/>
      <c r="BY912" s="2322"/>
      <c r="BZ912" s="2322"/>
      <c r="CA912" s="2322"/>
      <c r="CB912" s="2322"/>
      <c r="CC912" s="2322"/>
      <c r="CD912" s="2322"/>
      <c r="CE912" s="2322"/>
      <c r="CF912" s="2322"/>
      <c r="CG912" s="2322"/>
      <c r="CH912" s="2322"/>
      <c r="CI912" s="2322"/>
      <c r="CJ912" s="2322"/>
      <c r="CK912" s="2322"/>
      <c r="CL912" s="2322"/>
      <c r="CM912" s="2322"/>
      <c r="CN912" s="2322"/>
      <c r="CO912" s="2322"/>
      <c r="CP912" s="2322"/>
      <c r="CQ912" s="2322"/>
      <c r="CR912" s="2322"/>
      <c r="CS912" s="2322"/>
      <c r="CT912" s="2322"/>
      <c r="CU912" s="2322"/>
      <c r="CV912" s="2322"/>
    </row>
    <row r="913" spans="1:100" ht="15.75" customHeight="1">
      <c r="A913" s="2328"/>
      <c r="B913" s="2322"/>
      <c r="C913" s="2322"/>
      <c r="D913" s="2322"/>
      <c r="E913" s="2322"/>
      <c r="F913" s="2322"/>
      <c r="G913" s="2322"/>
      <c r="H913" s="2322"/>
      <c r="I913" s="2322"/>
      <c r="J913" s="2322"/>
      <c r="K913" s="2322"/>
      <c r="L913" s="2322"/>
      <c r="M913" s="2322"/>
      <c r="N913" s="2322"/>
      <c r="O913" s="2322"/>
      <c r="P913" s="2322"/>
      <c r="Q913" s="2322"/>
      <c r="R913" s="2322"/>
      <c r="S913" s="2322"/>
      <c r="T913" s="2322"/>
      <c r="U913" s="2322"/>
      <c r="V913" s="2322"/>
      <c r="W913" s="2322"/>
      <c r="X913" s="2322"/>
      <c r="Y913" s="2322"/>
      <c r="Z913" s="2322"/>
      <c r="AA913" s="2322"/>
      <c r="AB913" s="2322"/>
      <c r="AC913" s="2322"/>
      <c r="AD913" s="2322"/>
      <c r="AE913" s="2322"/>
      <c r="AF913" s="2322"/>
      <c r="AG913" s="2322"/>
      <c r="AH913" s="2322"/>
      <c r="AI913" s="2322"/>
      <c r="AJ913" s="2322"/>
      <c r="AK913" s="2322"/>
      <c r="AL913" s="2322"/>
      <c r="AM913" s="2322"/>
      <c r="AN913" s="2322"/>
      <c r="AO913" s="2322"/>
      <c r="AP913" s="2322"/>
      <c r="AQ913" s="2322"/>
      <c r="AR913" s="2322"/>
      <c r="AS913" s="2322"/>
      <c r="AT913" s="2322"/>
      <c r="AU913" s="2322"/>
      <c r="AV913" s="2322"/>
      <c r="AW913" s="2322"/>
      <c r="AX913" s="2322"/>
      <c r="AY913" s="2322"/>
      <c r="AZ913" s="2322"/>
      <c r="BA913" s="2322"/>
      <c r="BB913" s="2322"/>
      <c r="BC913" s="2322"/>
      <c r="BD913" s="2322"/>
      <c r="BE913" s="2322"/>
      <c r="BF913" s="2322"/>
      <c r="BG913" s="2322"/>
      <c r="BH913" s="2322"/>
      <c r="BI913" s="2322"/>
      <c r="BJ913" s="2322"/>
      <c r="BK913" s="2322"/>
      <c r="BL913" s="2322"/>
      <c r="BM913" s="2322"/>
      <c r="BN913" s="2322"/>
      <c r="BO913" s="2322"/>
      <c r="BP913" s="2322"/>
      <c r="BQ913" s="2322"/>
      <c r="BR913" s="2322"/>
      <c r="BS913" s="2322"/>
      <c r="BT913" s="2322"/>
      <c r="BU913" s="2322"/>
      <c r="BV913" s="2322"/>
      <c r="BW913" s="2322"/>
      <c r="BX913" s="2322"/>
      <c r="BY913" s="2322"/>
      <c r="BZ913" s="2322"/>
      <c r="CA913" s="2322"/>
      <c r="CB913" s="2322"/>
      <c r="CC913" s="2322"/>
      <c r="CD913" s="2322"/>
      <c r="CE913" s="2322"/>
      <c r="CF913" s="2322"/>
      <c r="CG913" s="2322"/>
      <c r="CH913" s="2322"/>
      <c r="CI913" s="2322"/>
      <c r="CJ913" s="2322"/>
      <c r="CK913" s="2322"/>
      <c r="CL913" s="2322"/>
      <c r="CM913" s="2322"/>
      <c r="CN913" s="2322"/>
      <c r="CO913" s="2322"/>
      <c r="CP913" s="2322"/>
      <c r="CQ913" s="2322"/>
      <c r="CR913" s="2322"/>
      <c r="CS913" s="2322"/>
      <c r="CT913" s="2322"/>
      <c r="CU913" s="2322"/>
      <c r="CV913" s="2322"/>
    </row>
    <row r="914" spans="1:100" ht="15.75" customHeight="1">
      <c r="A914" s="2328"/>
      <c r="B914" s="2322"/>
      <c r="C914" s="2322"/>
      <c r="D914" s="2322"/>
      <c r="E914" s="2322"/>
      <c r="F914" s="2322"/>
      <c r="G914" s="2322"/>
      <c r="H914" s="2322"/>
      <c r="I914" s="2322"/>
      <c r="J914" s="2322"/>
      <c r="K914" s="2322"/>
      <c r="L914" s="2322"/>
      <c r="M914" s="2322"/>
      <c r="N914" s="2322"/>
      <c r="O914" s="2322"/>
      <c r="P914" s="2322"/>
      <c r="Q914" s="2322"/>
      <c r="R914" s="2322"/>
      <c r="S914" s="2322"/>
      <c r="T914" s="2322"/>
      <c r="U914" s="2322"/>
      <c r="V914" s="2322"/>
      <c r="W914" s="2322"/>
      <c r="X914" s="2322"/>
      <c r="Y914" s="2322"/>
      <c r="Z914" s="2322"/>
      <c r="AA914" s="2322"/>
      <c r="AB914" s="2322"/>
      <c r="AC914" s="2322"/>
      <c r="AD914" s="2322"/>
      <c r="AE914" s="2322"/>
      <c r="AF914" s="2322"/>
      <c r="AG914" s="2322"/>
      <c r="AH914" s="2322"/>
      <c r="AI914" s="2322"/>
      <c r="AJ914" s="2322"/>
      <c r="AK914" s="2322"/>
      <c r="AL914" s="2322"/>
      <c r="AM914" s="2322"/>
      <c r="AN914" s="2322"/>
      <c r="AO914" s="2322"/>
      <c r="AP914" s="2322"/>
      <c r="AQ914" s="2322"/>
      <c r="AR914" s="2322"/>
      <c r="AS914" s="2322"/>
      <c r="AT914" s="2322"/>
      <c r="AU914" s="2322"/>
      <c r="AV914" s="2322"/>
      <c r="AW914" s="2322"/>
      <c r="AX914" s="2322"/>
      <c r="AY914" s="2322"/>
      <c r="AZ914" s="2322"/>
      <c r="BA914" s="2322"/>
      <c r="BB914" s="2322"/>
      <c r="BC914" s="2322"/>
      <c r="BD914" s="2322"/>
      <c r="BE914" s="2322"/>
      <c r="BF914" s="2322"/>
      <c r="BG914" s="2322"/>
      <c r="BH914" s="2322"/>
      <c r="BI914" s="2322"/>
      <c r="BJ914" s="2322"/>
      <c r="BK914" s="2322"/>
      <c r="BL914" s="2322"/>
      <c r="BM914" s="2322"/>
      <c r="BN914" s="2322"/>
      <c r="BO914" s="2322"/>
      <c r="BP914" s="2322"/>
      <c r="BQ914" s="2322"/>
      <c r="BR914" s="2322"/>
      <c r="BS914" s="2322"/>
      <c r="BT914" s="2322"/>
      <c r="BU914" s="2322"/>
      <c r="BV914" s="2322"/>
      <c r="BW914" s="2322"/>
      <c r="BX914" s="2322"/>
      <c r="BY914" s="2322"/>
      <c r="BZ914" s="2322"/>
      <c r="CA914" s="2322"/>
      <c r="CB914" s="2322"/>
      <c r="CC914" s="2322"/>
      <c r="CD914" s="2322"/>
      <c r="CE914" s="2322"/>
      <c r="CF914" s="2322"/>
      <c r="CG914" s="2322"/>
      <c r="CH914" s="2322"/>
      <c r="CI914" s="2322"/>
      <c r="CJ914" s="2322"/>
      <c r="CK914" s="2322"/>
      <c r="CL914" s="2322"/>
      <c r="CM914" s="2322"/>
      <c r="CN914" s="2322"/>
      <c r="CO914" s="2322"/>
      <c r="CP914" s="2322"/>
      <c r="CQ914" s="2322"/>
      <c r="CR914" s="2322"/>
      <c r="CS914" s="2322"/>
      <c r="CT914" s="2322"/>
      <c r="CU914" s="2322"/>
      <c r="CV914" s="2322"/>
    </row>
    <row r="915" spans="1:100" ht="15.75" customHeight="1">
      <c r="A915" s="2328"/>
      <c r="B915" s="2322"/>
      <c r="C915" s="2322"/>
      <c r="D915" s="2322"/>
      <c r="E915" s="2322"/>
      <c r="F915" s="2322"/>
      <c r="G915" s="2322"/>
      <c r="H915" s="2322"/>
      <c r="I915" s="2322"/>
      <c r="J915" s="2322"/>
      <c r="K915" s="2322"/>
      <c r="L915" s="2322"/>
      <c r="M915" s="2322"/>
      <c r="N915" s="2322"/>
      <c r="O915" s="2322"/>
      <c r="P915" s="2322"/>
      <c r="Q915" s="2322"/>
      <c r="R915" s="2322"/>
      <c r="S915" s="2322"/>
      <c r="T915" s="2322"/>
      <c r="U915" s="2322"/>
      <c r="V915" s="2322"/>
      <c r="W915" s="2322"/>
      <c r="X915" s="2322"/>
      <c r="Y915" s="2322"/>
      <c r="Z915" s="2322"/>
      <c r="AA915" s="2322"/>
      <c r="AB915" s="2322"/>
      <c r="AC915" s="2322"/>
      <c r="AD915" s="2322"/>
      <c r="AE915" s="2322"/>
      <c r="AF915" s="2322"/>
      <c r="AG915" s="2322"/>
      <c r="AH915" s="2322"/>
      <c r="AI915" s="2322"/>
      <c r="AJ915" s="2322"/>
      <c r="AK915" s="2322"/>
      <c r="AL915" s="2322"/>
      <c r="AM915" s="2322"/>
      <c r="AN915" s="2322"/>
      <c r="AO915" s="2322"/>
      <c r="AP915" s="2322"/>
      <c r="AQ915" s="2322"/>
      <c r="AR915" s="2322"/>
      <c r="AS915" s="2322"/>
      <c r="AT915" s="2322"/>
      <c r="AU915" s="2322"/>
      <c r="AV915" s="2322"/>
      <c r="AW915" s="2322"/>
      <c r="AX915" s="2322"/>
      <c r="AY915" s="2322"/>
      <c r="AZ915" s="2322"/>
      <c r="BA915" s="2322"/>
      <c r="BB915" s="2322"/>
      <c r="BC915" s="2322"/>
      <c r="BD915" s="2322"/>
      <c r="BE915" s="2322"/>
      <c r="BF915" s="2322"/>
      <c r="BG915" s="2322"/>
      <c r="BH915" s="2322"/>
      <c r="BI915" s="2322"/>
      <c r="BJ915" s="2322"/>
      <c r="BK915" s="2322"/>
      <c r="BL915" s="2322"/>
      <c r="BM915" s="2322"/>
      <c r="BN915" s="2322"/>
      <c r="BO915" s="2322"/>
      <c r="BP915" s="2322"/>
      <c r="BQ915" s="2322"/>
      <c r="BR915" s="2322"/>
      <c r="BS915" s="2322"/>
      <c r="BT915" s="2322"/>
      <c r="BU915" s="2322"/>
      <c r="BV915" s="2322"/>
      <c r="BW915" s="2322"/>
      <c r="BX915" s="2322"/>
      <c r="BY915" s="2322"/>
      <c r="BZ915" s="2322"/>
      <c r="CA915" s="2322"/>
      <c r="CB915" s="2322"/>
      <c r="CC915" s="2322"/>
      <c r="CD915" s="2322"/>
      <c r="CE915" s="2322"/>
      <c r="CF915" s="2322"/>
      <c r="CG915" s="2322"/>
      <c r="CH915" s="2322"/>
      <c r="CI915" s="2322"/>
      <c r="CJ915" s="2322"/>
      <c r="CK915" s="2322"/>
      <c r="CL915" s="2322"/>
      <c r="CM915" s="2322"/>
      <c r="CN915" s="2322"/>
      <c r="CO915" s="2322"/>
      <c r="CP915" s="2322"/>
      <c r="CQ915" s="2322"/>
      <c r="CR915" s="2322"/>
      <c r="CS915" s="2322"/>
      <c r="CT915" s="2322"/>
      <c r="CU915" s="2322"/>
      <c r="CV915" s="2322"/>
    </row>
    <row r="916" spans="1:100" ht="15.75" customHeight="1">
      <c r="A916" s="2328"/>
      <c r="B916" s="2322"/>
      <c r="C916" s="2322"/>
      <c r="D916" s="2322"/>
      <c r="E916" s="2322"/>
      <c r="F916" s="2322"/>
      <c r="G916" s="2322"/>
      <c r="H916" s="2322"/>
      <c r="I916" s="2322"/>
      <c r="J916" s="2322"/>
      <c r="K916" s="2322"/>
      <c r="L916" s="2322"/>
      <c r="M916" s="2322"/>
      <c r="N916" s="2322"/>
      <c r="O916" s="2322"/>
      <c r="P916" s="2322"/>
      <c r="Q916" s="2322"/>
      <c r="R916" s="2322"/>
      <c r="S916" s="2322"/>
      <c r="T916" s="2322"/>
      <c r="U916" s="2322"/>
      <c r="V916" s="2322"/>
      <c r="W916" s="2322"/>
      <c r="X916" s="2322"/>
      <c r="Y916" s="2322"/>
      <c r="Z916" s="2322"/>
      <c r="AA916" s="2322"/>
      <c r="AB916" s="2322"/>
      <c r="AC916" s="2322"/>
      <c r="AD916" s="2322"/>
      <c r="AE916" s="2322"/>
      <c r="AF916" s="2322"/>
      <c r="AG916" s="2322"/>
      <c r="AH916" s="2322"/>
      <c r="AI916" s="2322"/>
      <c r="AJ916" s="2322"/>
      <c r="AK916" s="2322"/>
      <c r="AL916" s="2322"/>
      <c r="AM916" s="2322"/>
      <c r="AN916" s="2322"/>
      <c r="AO916" s="2322"/>
      <c r="AP916" s="2322"/>
      <c r="AQ916" s="2322"/>
      <c r="AR916" s="2322"/>
      <c r="AS916" s="2322"/>
      <c r="AT916" s="2322"/>
      <c r="AU916" s="2322"/>
      <c r="AV916" s="2322"/>
      <c r="AW916" s="2322"/>
      <c r="AX916" s="2322"/>
      <c r="AY916" s="2322"/>
      <c r="AZ916" s="2322"/>
      <c r="BA916" s="2322"/>
      <c r="BB916" s="2322"/>
      <c r="BC916" s="2322"/>
      <c r="BD916" s="2322"/>
      <c r="BE916" s="2322"/>
      <c r="BF916" s="2322"/>
      <c r="BG916" s="2322"/>
      <c r="BH916" s="2322"/>
      <c r="BI916" s="2322"/>
      <c r="BJ916" s="2322"/>
      <c r="BK916" s="2322"/>
      <c r="BL916" s="2322"/>
      <c r="BM916" s="2322"/>
      <c r="BN916" s="2322"/>
      <c r="BO916" s="2322"/>
      <c r="BP916" s="2322"/>
      <c r="BQ916" s="2322"/>
      <c r="BR916" s="2322"/>
      <c r="BS916" s="2322"/>
      <c r="BT916" s="2322"/>
      <c r="BU916" s="2322"/>
      <c r="BV916" s="2322"/>
      <c r="BW916" s="2322"/>
      <c r="BX916" s="2322"/>
      <c r="BY916" s="2322"/>
      <c r="BZ916" s="2322"/>
      <c r="CA916" s="2322"/>
      <c r="CB916" s="2322"/>
      <c r="CC916" s="2322"/>
      <c r="CD916" s="2322"/>
      <c r="CE916" s="2322"/>
      <c r="CF916" s="2322"/>
      <c r="CG916" s="2322"/>
      <c r="CH916" s="2322"/>
      <c r="CI916" s="2322"/>
      <c r="CJ916" s="2322"/>
      <c r="CK916" s="2322"/>
      <c r="CL916" s="2322"/>
      <c r="CM916" s="2322"/>
      <c r="CN916" s="2322"/>
      <c r="CO916" s="2322"/>
      <c r="CP916" s="2322"/>
      <c r="CQ916" s="2322"/>
      <c r="CR916" s="2322"/>
      <c r="CS916" s="2322"/>
      <c r="CT916" s="2322"/>
      <c r="CU916" s="2322"/>
      <c r="CV916" s="2322"/>
    </row>
    <row r="917" spans="1:100" ht="15.75" customHeight="1">
      <c r="A917" s="2328"/>
      <c r="B917" s="2322"/>
      <c r="C917" s="2322"/>
      <c r="D917" s="2322"/>
      <c r="E917" s="2322"/>
      <c r="F917" s="2322"/>
      <c r="G917" s="2322"/>
      <c r="H917" s="2322"/>
      <c r="I917" s="2322"/>
      <c r="J917" s="2322"/>
      <c r="K917" s="2322"/>
      <c r="L917" s="2322"/>
      <c r="M917" s="2322"/>
      <c r="N917" s="2322"/>
      <c r="O917" s="2322"/>
      <c r="P917" s="2322"/>
      <c r="Q917" s="2322"/>
      <c r="R917" s="2322"/>
      <c r="S917" s="2322"/>
      <c r="T917" s="2322"/>
      <c r="U917" s="2322"/>
      <c r="V917" s="2322"/>
      <c r="W917" s="2322"/>
      <c r="X917" s="2322"/>
      <c r="Y917" s="2322"/>
      <c r="Z917" s="2322"/>
      <c r="AA917" s="2322"/>
      <c r="AB917" s="2322"/>
      <c r="AC917" s="2322"/>
      <c r="AD917" s="2322"/>
      <c r="AE917" s="2322"/>
      <c r="AF917" s="2322"/>
      <c r="AG917" s="2322"/>
      <c r="AH917" s="2322"/>
      <c r="AI917" s="2322"/>
      <c r="AJ917" s="2322"/>
      <c r="AK917" s="2322"/>
      <c r="AL917" s="2322"/>
      <c r="AM917" s="2322"/>
      <c r="AN917" s="2322"/>
      <c r="AO917" s="2322"/>
      <c r="AP917" s="2322"/>
      <c r="AQ917" s="2322"/>
      <c r="AR917" s="2322"/>
      <c r="AS917" s="2322"/>
      <c r="AT917" s="2322"/>
      <c r="AU917" s="2322"/>
      <c r="AV917" s="2322"/>
      <c r="AW917" s="2322"/>
      <c r="AX917" s="2322"/>
      <c r="AY917" s="2322"/>
      <c r="AZ917" s="2322"/>
      <c r="BA917" s="2322"/>
      <c r="BB917" s="2322"/>
      <c r="BC917" s="2322"/>
      <c r="BD917" s="2322"/>
      <c r="BE917" s="2322"/>
      <c r="BF917" s="2322"/>
      <c r="BG917" s="2322"/>
      <c r="BH917" s="2322"/>
      <c r="BI917" s="2322"/>
      <c r="BJ917" s="2322"/>
      <c r="BK917" s="2322"/>
      <c r="BL917" s="2322"/>
      <c r="BM917" s="2322"/>
      <c r="BN917" s="2322"/>
      <c r="BO917" s="2322"/>
      <c r="BP917" s="2322"/>
      <c r="BQ917" s="2322"/>
      <c r="BR917" s="2322"/>
      <c r="BS917" s="2322"/>
      <c r="BT917" s="2322"/>
      <c r="BU917" s="2322"/>
      <c r="BV917" s="2322"/>
      <c r="BW917" s="2322"/>
      <c r="BX917" s="2322"/>
      <c r="BY917" s="2322"/>
      <c r="BZ917" s="2322"/>
      <c r="CA917" s="2322"/>
      <c r="CB917" s="2322"/>
      <c r="CC917" s="2322"/>
      <c r="CD917" s="2322"/>
      <c r="CE917" s="2322"/>
      <c r="CF917" s="2322"/>
      <c r="CG917" s="2322"/>
      <c r="CH917" s="2322"/>
      <c r="CI917" s="2322"/>
      <c r="CJ917" s="2322"/>
      <c r="CK917" s="2322"/>
      <c r="CL917" s="2322"/>
      <c r="CM917" s="2322"/>
      <c r="CN917" s="2322"/>
      <c r="CO917" s="2322"/>
      <c r="CP917" s="2322"/>
      <c r="CQ917" s="2322"/>
      <c r="CR917" s="2322"/>
      <c r="CS917" s="2322"/>
      <c r="CT917" s="2322"/>
      <c r="CU917" s="2322"/>
      <c r="CV917" s="2322"/>
    </row>
    <row r="918" spans="1:100" ht="15.75" customHeight="1">
      <c r="A918" s="2328"/>
      <c r="B918" s="2322"/>
      <c r="C918" s="2322"/>
      <c r="D918" s="2322"/>
      <c r="E918" s="2322"/>
      <c r="F918" s="2322"/>
      <c r="G918" s="2322"/>
      <c r="H918" s="2322"/>
      <c r="I918" s="2322"/>
      <c r="J918" s="2322"/>
      <c r="K918" s="2322"/>
      <c r="L918" s="2322"/>
      <c r="M918" s="2322"/>
      <c r="N918" s="2322"/>
      <c r="O918" s="2322"/>
      <c r="P918" s="2322"/>
      <c r="Q918" s="2322"/>
      <c r="R918" s="2322"/>
      <c r="S918" s="2322"/>
      <c r="T918" s="2322"/>
      <c r="U918" s="2322"/>
      <c r="V918" s="2322"/>
      <c r="W918" s="2322"/>
      <c r="X918" s="2322"/>
      <c r="Y918" s="2322"/>
      <c r="Z918" s="2322"/>
      <c r="AA918" s="2322"/>
      <c r="AB918" s="2322"/>
      <c r="AC918" s="2322"/>
      <c r="AD918" s="2322"/>
      <c r="AE918" s="2322"/>
      <c r="AF918" s="2322"/>
      <c r="AG918" s="2322"/>
      <c r="AH918" s="2322"/>
      <c r="AI918" s="2322"/>
      <c r="AJ918" s="2322"/>
      <c r="AK918" s="2322"/>
      <c r="AL918" s="2322"/>
      <c r="AM918" s="2322"/>
      <c r="AN918" s="2322"/>
      <c r="AO918" s="2322"/>
      <c r="AP918" s="2322"/>
      <c r="AQ918" s="2322"/>
      <c r="AR918" s="2322"/>
      <c r="AS918" s="2322"/>
      <c r="AT918" s="2322"/>
      <c r="AU918" s="2322"/>
      <c r="AV918" s="2322"/>
      <c r="AW918" s="2322"/>
      <c r="AX918" s="2322"/>
      <c r="AY918" s="2322"/>
      <c r="AZ918" s="2322"/>
      <c r="BA918" s="2322"/>
      <c r="BB918" s="2322"/>
      <c r="BC918" s="2322"/>
      <c r="BD918" s="2322"/>
      <c r="BE918" s="2322"/>
      <c r="BF918" s="2322"/>
      <c r="BG918" s="2322"/>
      <c r="BH918" s="2322"/>
      <c r="BI918" s="2322"/>
      <c r="BJ918" s="2322"/>
      <c r="BK918" s="2322"/>
      <c r="BL918" s="2322"/>
      <c r="BM918" s="2322"/>
      <c r="BN918" s="2322"/>
      <c r="BO918" s="2322"/>
      <c r="BP918" s="2322"/>
      <c r="BQ918" s="2322"/>
      <c r="BR918" s="2322"/>
      <c r="BS918" s="2322"/>
      <c r="BT918" s="2322"/>
      <c r="BU918" s="2322"/>
      <c r="BV918" s="2322"/>
      <c r="BW918" s="2322"/>
      <c r="BX918" s="2322"/>
      <c r="BY918" s="2322"/>
      <c r="BZ918" s="2322"/>
      <c r="CA918" s="2322"/>
      <c r="CB918" s="2322"/>
      <c r="CC918" s="2322"/>
      <c r="CD918" s="2322"/>
      <c r="CE918" s="2322"/>
      <c r="CF918" s="2322"/>
      <c r="CG918" s="2322"/>
      <c r="CH918" s="2322"/>
      <c r="CI918" s="2322"/>
      <c r="CJ918" s="2322"/>
      <c r="CK918" s="2322"/>
      <c r="CL918" s="2322"/>
      <c r="CM918" s="2322"/>
      <c r="CN918" s="2322"/>
      <c r="CO918" s="2322"/>
      <c r="CP918" s="2322"/>
      <c r="CQ918" s="2322"/>
      <c r="CR918" s="2322"/>
      <c r="CS918" s="2322"/>
      <c r="CT918" s="2322"/>
      <c r="CU918" s="2322"/>
      <c r="CV918" s="2322"/>
    </row>
    <row r="919" spans="1:100" ht="15.75" customHeight="1">
      <c r="A919" s="2328"/>
      <c r="B919" s="2322"/>
      <c r="C919" s="2322"/>
      <c r="D919" s="2322"/>
      <c r="E919" s="2322"/>
      <c r="F919" s="2322"/>
      <c r="G919" s="2322"/>
      <c r="H919" s="2322"/>
      <c r="I919" s="2322"/>
      <c r="J919" s="2322"/>
      <c r="K919" s="2322"/>
      <c r="L919" s="2322"/>
      <c r="M919" s="2322"/>
      <c r="N919" s="2322"/>
      <c r="O919" s="2322"/>
      <c r="P919" s="2322"/>
      <c r="Q919" s="2322"/>
      <c r="R919" s="2322"/>
      <c r="S919" s="2322"/>
      <c r="T919" s="2322"/>
      <c r="U919" s="2322"/>
      <c r="V919" s="2322"/>
      <c r="W919" s="2322"/>
      <c r="X919" s="2322"/>
      <c r="Y919" s="2322"/>
      <c r="Z919" s="2322"/>
      <c r="AA919" s="2322"/>
      <c r="AB919" s="2322"/>
      <c r="AC919" s="2322"/>
      <c r="AD919" s="2322"/>
      <c r="AE919" s="2322"/>
      <c r="AF919" s="2322"/>
      <c r="AG919" s="2322"/>
      <c r="AH919" s="2322"/>
      <c r="AI919" s="2322"/>
      <c r="AJ919" s="2322"/>
      <c r="AK919" s="2322"/>
      <c r="AL919" s="2322"/>
      <c r="AM919" s="2322"/>
      <c r="AN919" s="2322"/>
      <c r="AO919" s="2322"/>
      <c r="AP919" s="2322"/>
      <c r="AQ919" s="2322"/>
      <c r="AR919" s="2322"/>
      <c r="AS919" s="2322"/>
      <c r="AT919" s="2322"/>
      <c r="AU919" s="2322"/>
      <c r="AV919" s="2322"/>
      <c r="AW919" s="2322"/>
      <c r="AX919" s="2322"/>
      <c r="AY919" s="2322"/>
      <c r="AZ919" s="2322"/>
      <c r="BA919" s="2322"/>
      <c r="BB919" s="2322"/>
      <c r="BC919" s="2322"/>
      <c r="BD919" s="2322"/>
      <c r="BE919" s="2322"/>
      <c r="BF919" s="2322"/>
      <c r="BG919" s="2322"/>
      <c r="BH919" s="2322"/>
      <c r="BI919" s="2322"/>
      <c r="BJ919" s="2322"/>
      <c r="BK919" s="2322"/>
      <c r="BL919" s="2322"/>
      <c r="BM919" s="2322"/>
      <c r="BN919" s="2322"/>
      <c r="BO919" s="2322"/>
      <c r="BP919" s="2322"/>
      <c r="BQ919" s="2322"/>
      <c r="BR919" s="2322"/>
      <c r="BS919" s="2322"/>
      <c r="BT919" s="2322"/>
      <c r="BU919" s="2322"/>
      <c r="BV919" s="2322"/>
      <c r="BW919" s="2322"/>
      <c r="BX919" s="2322"/>
      <c r="BY919" s="2322"/>
      <c r="BZ919" s="2322"/>
      <c r="CA919" s="2322"/>
      <c r="CB919" s="2322"/>
      <c r="CC919" s="2322"/>
      <c r="CD919" s="2322"/>
      <c r="CE919" s="2322"/>
      <c r="CF919" s="2322"/>
      <c r="CG919" s="2322"/>
      <c r="CH919" s="2322"/>
      <c r="CI919" s="2322"/>
      <c r="CJ919" s="2322"/>
      <c r="CK919" s="2322"/>
      <c r="CL919" s="2322"/>
      <c r="CM919" s="2322"/>
      <c r="CN919" s="2322"/>
      <c r="CO919" s="2322"/>
      <c r="CP919" s="2322"/>
      <c r="CQ919" s="2322"/>
      <c r="CR919" s="2322"/>
      <c r="CS919" s="2322"/>
      <c r="CT919" s="2322"/>
      <c r="CU919" s="2322"/>
      <c r="CV919" s="2322"/>
    </row>
    <row r="920" spans="1:100" ht="15.75" customHeight="1">
      <c r="A920" s="2328"/>
      <c r="B920" s="2322"/>
      <c r="C920" s="2322"/>
      <c r="D920" s="2322"/>
      <c r="E920" s="2322"/>
      <c r="F920" s="2322"/>
      <c r="G920" s="2322"/>
      <c r="H920" s="2322"/>
      <c r="I920" s="2322"/>
      <c r="J920" s="2322"/>
      <c r="K920" s="2322"/>
      <c r="L920" s="2322"/>
      <c r="M920" s="2322"/>
      <c r="N920" s="2322"/>
      <c r="O920" s="2322"/>
      <c r="P920" s="2322"/>
      <c r="Q920" s="2322"/>
      <c r="R920" s="2322"/>
      <c r="S920" s="2322"/>
      <c r="T920" s="2322"/>
      <c r="U920" s="2322"/>
      <c r="V920" s="2322"/>
      <c r="W920" s="2322"/>
      <c r="X920" s="2322"/>
      <c r="Y920" s="2322"/>
      <c r="Z920" s="2322"/>
      <c r="AA920" s="2322"/>
      <c r="AB920" s="2322"/>
      <c r="AC920" s="2322"/>
      <c r="AD920" s="2322"/>
      <c r="AE920" s="2322"/>
      <c r="AF920" s="2322"/>
      <c r="AG920" s="2322"/>
      <c r="AH920" s="2322"/>
      <c r="AI920" s="2322"/>
      <c r="AJ920" s="2322"/>
      <c r="AK920" s="2322"/>
      <c r="AL920" s="2322"/>
      <c r="AM920" s="2322"/>
      <c r="AN920" s="2322"/>
      <c r="AO920" s="2322"/>
      <c r="AP920" s="2322"/>
      <c r="AQ920" s="2322"/>
      <c r="AR920" s="2322"/>
      <c r="AS920" s="2322"/>
      <c r="AT920" s="2322"/>
      <c r="AU920" s="2322"/>
      <c r="AV920" s="2322"/>
      <c r="AW920" s="2322"/>
      <c r="AX920" s="2322"/>
      <c r="AY920" s="2322"/>
      <c r="AZ920" s="2322"/>
      <c r="BA920" s="2322"/>
      <c r="BB920" s="2322"/>
      <c r="BC920" s="2322"/>
      <c r="BD920" s="2322"/>
      <c r="BE920" s="2322"/>
      <c r="BF920" s="2322"/>
      <c r="BG920" s="2322"/>
      <c r="BH920" s="2322"/>
      <c r="BI920" s="2322"/>
      <c r="BJ920" s="2322"/>
      <c r="BK920" s="2322"/>
      <c r="BL920" s="2322"/>
      <c r="BM920" s="2322"/>
      <c r="BN920" s="2322"/>
      <c r="BO920" s="2322"/>
      <c r="BP920" s="2322"/>
      <c r="BQ920" s="2322"/>
      <c r="BR920" s="2322"/>
      <c r="BS920" s="2322"/>
      <c r="BT920" s="2322"/>
      <c r="BU920" s="2322"/>
      <c r="BV920" s="2322"/>
      <c r="BW920" s="2322"/>
      <c r="BX920" s="2322"/>
      <c r="BY920" s="2322"/>
      <c r="BZ920" s="2322"/>
      <c r="CA920" s="2322"/>
      <c r="CB920" s="2322"/>
      <c r="CC920" s="2322"/>
      <c r="CD920" s="2322"/>
      <c r="CE920" s="2322"/>
      <c r="CF920" s="2322"/>
      <c r="CG920" s="2322"/>
      <c r="CH920" s="2322"/>
      <c r="CI920" s="2322"/>
      <c r="CJ920" s="2322"/>
      <c r="CK920" s="2322"/>
      <c r="CL920" s="2322"/>
      <c r="CM920" s="2322"/>
      <c r="CN920" s="2322"/>
      <c r="CO920" s="2322"/>
      <c r="CP920" s="2322"/>
      <c r="CQ920" s="2322"/>
      <c r="CR920" s="2322"/>
      <c r="CS920" s="2322"/>
      <c r="CT920" s="2322"/>
      <c r="CU920" s="2322"/>
      <c r="CV920" s="2322"/>
    </row>
    <row r="921" spans="1:100" ht="15.75" customHeight="1">
      <c r="A921" s="2328"/>
      <c r="B921" s="2322"/>
      <c r="C921" s="2322"/>
      <c r="D921" s="2322"/>
      <c r="E921" s="2322"/>
      <c r="F921" s="2322"/>
      <c r="G921" s="2322"/>
      <c r="H921" s="2322"/>
      <c r="I921" s="2322"/>
      <c r="J921" s="2322"/>
      <c r="K921" s="2322"/>
      <c r="L921" s="2322"/>
      <c r="M921" s="2322"/>
      <c r="N921" s="2322"/>
      <c r="O921" s="2322"/>
      <c r="P921" s="2322"/>
      <c r="Q921" s="2322"/>
      <c r="R921" s="2322"/>
      <c r="S921" s="2322"/>
      <c r="T921" s="2322"/>
      <c r="U921" s="2322"/>
      <c r="V921" s="2322"/>
      <c r="W921" s="2322"/>
      <c r="X921" s="2322"/>
      <c r="Y921" s="2322"/>
      <c r="Z921" s="2322"/>
      <c r="AA921" s="2322"/>
      <c r="AB921" s="2322"/>
      <c r="AC921" s="2322"/>
      <c r="AD921" s="2322"/>
      <c r="AE921" s="2322"/>
      <c r="AF921" s="2322"/>
      <c r="AG921" s="2322"/>
      <c r="AH921" s="2322"/>
      <c r="AI921" s="2322"/>
      <c r="AJ921" s="2322"/>
      <c r="AK921" s="2322"/>
      <c r="AL921" s="2322"/>
      <c r="AM921" s="2322"/>
      <c r="AN921" s="2322"/>
      <c r="AO921" s="2322"/>
      <c r="AP921" s="2322"/>
      <c r="AQ921" s="2322"/>
      <c r="AR921" s="2322"/>
      <c r="AS921" s="2322"/>
      <c r="AT921" s="2322"/>
      <c r="AU921" s="2322"/>
      <c r="AV921" s="2322"/>
      <c r="AW921" s="2322"/>
      <c r="AX921" s="2322"/>
      <c r="AY921" s="2322"/>
      <c r="AZ921" s="2322"/>
      <c r="BA921" s="2322"/>
      <c r="BB921" s="2322"/>
      <c r="BC921" s="2322"/>
      <c r="BD921" s="2322"/>
      <c r="BE921" s="2322"/>
      <c r="BF921" s="2322"/>
      <c r="BG921" s="2322"/>
      <c r="BH921" s="2322"/>
      <c r="BI921" s="2322"/>
      <c r="BJ921" s="2322"/>
      <c r="BK921" s="2322"/>
      <c r="BL921" s="2322"/>
      <c r="BM921" s="2322"/>
      <c r="BN921" s="2322"/>
      <c r="BO921" s="2322"/>
      <c r="BP921" s="2322"/>
      <c r="BQ921" s="2322"/>
      <c r="BR921" s="2322"/>
      <c r="BS921" s="2322"/>
      <c r="BT921" s="2322"/>
      <c r="BU921" s="2322"/>
      <c r="BV921" s="2322"/>
      <c r="BW921" s="2322"/>
      <c r="BX921" s="2322"/>
      <c r="BY921" s="2322"/>
      <c r="BZ921" s="2322"/>
      <c r="CA921" s="2322"/>
      <c r="CB921" s="2322"/>
      <c r="CC921" s="2322"/>
      <c r="CD921" s="2322"/>
      <c r="CE921" s="2322"/>
      <c r="CF921" s="2322"/>
      <c r="CG921" s="2322"/>
      <c r="CH921" s="2322"/>
      <c r="CI921" s="2322"/>
      <c r="CJ921" s="2322"/>
      <c r="CK921" s="2322"/>
      <c r="CL921" s="2322"/>
      <c r="CM921" s="2322"/>
      <c r="CN921" s="2322"/>
      <c r="CO921" s="2322"/>
      <c r="CP921" s="2322"/>
      <c r="CQ921" s="2322"/>
      <c r="CR921" s="2322"/>
      <c r="CS921" s="2322"/>
      <c r="CT921" s="2322"/>
      <c r="CU921" s="2322"/>
      <c r="CV921" s="2322"/>
    </row>
    <row r="922" spans="1:100" ht="15.75" customHeight="1">
      <c r="A922" s="2328"/>
      <c r="B922" s="2322"/>
      <c r="C922" s="2322"/>
      <c r="D922" s="2322"/>
      <c r="E922" s="2322"/>
      <c r="F922" s="2322"/>
      <c r="G922" s="2322"/>
      <c r="H922" s="2322"/>
      <c r="I922" s="2322"/>
      <c r="J922" s="2322"/>
      <c r="K922" s="2322"/>
      <c r="L922" s="2322"/>
      <c r="M922" s="2322"/>
      <c r="N922" s="2322"/>
      <c r="O922" s="2322"/>
      <c r="P922" s="2322"/>
      <c r="Q922" s="2322"/>
      <c r="R922" s="2322"/>
      <c r="S922" s="2322"/>
      <c r="T922" s="2322"/>
      <c r="U922" s="2322"/>
      <c r="V922" s="2322"/>
      <c r="W922" s="2322"/>
      <c r="X922" s="2322"/>
      <c r="Y922" s="2322"/>
      <c r="Z922" s="2322"/>
      <c r="AA922" s="2322"/>
      <c r="AB922" s="2322"/>
      <c r="AC922" s="2322"/>
      <c r="AD922" s="2322"/>
      <c r="AE922" s="2322"/>
      <c r="AF922" s="2322"/>
      <c r="AG922" s="2322"/>
      <c r="AH922" s="2322"/>
      <c r="AI922" s="2322"/>
      <c r="AJ922" s="2322"/>
      <c r="AK922" s="2322"/>
      <c r="AL922" s="2322"/>
      <c r="AM922" s="2322"/>
      <c r="AN922" s="2322"/>
      <c r="AO922" s="2322"/>
      <c r="AP922" s="2322"/>
      <c r="AQ922" s="2322"/>
      <c r="AR922" s="2322"/>
      <c r="AS922" s="2322"/>
      <c r="AT922" s="2322"/>
      <c r="AU922" s="2322"/>
      <c r="AV922" s="2322"/>
      <c r="AW922" s="2322"/>
      <c r="AX922" s="2322"/>
      <c r="AY922" s="2322"/>
      <c r="AZ922" s="2322"/>
      <c r="BA922" s="2322"/>
      <c r="BB922" s="2322"/>
      <c r="BC922" s="2322"/>
      <c r="BD922" s="2322"/>
      <c r="BE922" s="2322"/>
      <c r="BF922" s="2322"/>
      <c r="BG922" s="2322"/>
      <c r="BH922" s="2322"/>
      <c r="BI922" s="2322"/>
      <c r="BJ922" s="2322"/>
      <c r="BK922" s="2322"/>
      <c r="BL922" s="2322"/>
      <c r="BM922" s="2322"/>
      <c r="BN922" s="2322"/>
      <c r="BO922" s="2322"/>
      <c r="BP922" s="2322"/>
      <c r="BQ922" s="2322"/>
      <c r="BR922" s="2322"/>
      <c r="BS922" s="2322"/>
      <c r="BT922" s="2322"/>
      <c r="BU922" s="2322"/>
      <c r="BV922" s="2322"/>
      <c r="BW922" s="2322"/>
      <c r="BX922" s="2322"/>
      <c r="BY922" s="2322"/>
      <c r="BZ922" s="2322"/>
      <c r="CA922" s="2322"/>
      <c r="CB922" s="2322"/>
      <c r="CC922" s="2322"/>
      <c r="CD922" s="2322"/>
      <c r="CE922" s="2322"/>
      <c r="CF922" s="2322"/>
      <c r="CG922" s="2322"/>
      <c r="CH922" s="2322"/>
      <c r="CI922" s="2322"/>
      <c r="CJ922" s="2322"/>
      <c r="CK922" s="2322"/>
      <c r="CL922" s="2322"/>
      <c r="CM922" s="2322"/>
      <c r="CN922" s="2322"/>
      <c r="CO922" s="2322"/>
      <c r="CP922" s="2322"/>
      <c r="CQ922" s="2322"/>
      <c r="CR922" s="2322"/>
      <c r="CS922" s="2322"/>
      <c r="CT922" s="2322"/>
      <c r="CU922" s="2322"/>
      <c r="CV922" s="2322"/>
    </row>
    <row r="923" spans="1:100" ht="15.75" customHeight="1">
      <c r="A923" s="2328"/>
      <c r="B923" s="2322"/>
      <c r="C923" s="2322"/>
      <c r="D923" s="2322"/>
      <c r="E923" s="2322"/>
      <c r="F923" s="2322"/>
      <c r="G923" s="2322"/>
      <c r="H923" s="2322"/>
      <c r="I923" s="2322"/>
      <c r="J923" s="2322"/>
      <c r="K923" s="2322"/>
      <c r="L923" s="2322"/>
      <c r="M923" s="2322"/>
      <c r="N923" s="2322"/>
      <c r="O923" s="2322"/>
      <c r="P923" s="2322"/>
      <c r="Q923" s="2322"/>
      <c r="R923" s="2322"/>
      <c r="S923" s="2322"/>
      <c r="T923" s="2322"/>
      <c r="U923" s="2322"/>
      <c r="V923" s="2322"/>
      <c r="W923" s="2322"/>
      <c r="X923" s="2322"/>
      <c r="Y923" s="2322"/>
      <c r="Z923" s="2322"/>
      <c r="AA923" s="2322"/>
      <c r="AB923" s="2322"/>
      <c r="AC923" s="2322"/>
      <c r="AD923" s="2322"/>
      <c r="AE923" s="2322"/>
      <c r="AF923" s="2322"/>
      <c r="AG923" s="2322"/>
      <c r="AH923" s="2322"/>
      <c r="AI923" s="2322"/>
      <c r="AJ923" s="2322"/>
      <c r="AK923" s="2322"/>
      <c r="AL923" s="2322"/>
      <c r="AM923" s="2322"/>
      <c r="AN923" s="2322"/>
      <c r="AO923" s="2322"/>
      <c r="AP923" s="2322"/>
      <c r="AQ923" s="2322"/>
      <c r="AR923" s="2322"/>
      <c r="AS923" s="2322"/>
      <c r="AT923" s="2322"/>
      <c r="AU923" s="2322"/>
      <c r="AV923" s="2322"/>
      <c r="AW923" s="2322"/>
      <c r="AX923" s="2322"/>
      <c r="AY923" s="2322"/>
      <c r="AZ923" s="2322"/>
      <c r="BA923" s="2322"/>
      <c r="BB923" s="2322"/>
      <c r="BC923" s="2322"/>
      <c r="BD923" s="2322"/>
      <c r="BE923" s="2322"/>
      <c r="BF923" s="2322"/>
      <c r="BG923" s="2322"/>
      <c r="BH923" s="2322"/>
      <c r="BI923" s="2322"/>
      <c r="BJ923" s="2322"/>
      <c r="BK923" s="2322"/>
      <c r="BL923" s="2322"/>
      <c r="BM923" s="2322"/>
      <c r="BN923" s="2322"/>
      <c r="BO923" s="2322"/>
      <c r="BP923" s="2322"/>
      <c r="BQ923" s="2322"/>
      <c r="BR923" s="2322"/>
      <c r="BS923" s="2322"/>
      <c r="BT923" s="2322"/>
      <c r="BU923" s="2322"/>
      <c r="BV923" s="2322"/>
      <c r="BW923" s="2322"/>
      <c r="BX923" s="2322"/>
      <c r="BY923" s="2322"/>
      <c r="BZ923" s="2322"/>
      <c r="CA923" s="2322"/>
      <c r="CB923" s="2322"/>
      <c r="CC923" s="2322"/>
      <c r="CD923" s="2322"/>
      <c r="CE923" s="2322"/>
      <c r="CF923" s="2322"/>
      <c r="CG923" s="2322"/>
      <c r="CH923" s="2322"/>
      <c r="CI923" s="2322"/>
      <c r="CJ923" s="2322"/>
      <c r="CK923" s="2322"/>
      <c r="CL923" s="2322"/>
      <c r="CM923" s="2322"/>
      <c r="CN923" s="2322"/>
      <c r="CO923" s="2322"/>
      <c r="CP923" s="2322"/>
      <c r="CQ923" s="2322"/>
      <c r="CR923" s="2322"/>
      <c r="CS923" s="2322"/>
      <c r="CT923" s="2322"/>
      <c r="CU923" s="2322"/>
      <c r="CV923" s="2322"/>
    </row>
    <row r="924" spans="1:100" ht="15.75" customHeight="1">
      <c r="A924" s="2328"/>
      <c r="B924" s="2322"/>
      <c r="C924" s="2322"/>
      <c r="D924" s="2322"/>
      <c r="E924" s="2322"/>
      <c r="F924" s="2322"/>
      <c r="G924" s="2322"/>
      <c r="H924" s="2322"/>
      <c r="I924" s="2322"/>
      <c r="J924" s="2322"/>
      <c r="K924" s="2322"/>
      <c r="L924" s="2322"/>
      <c r="M924" s="2322"/>
      <c r="N924" s="2322"/>
      <c r="O924" s="2322"/>
      <c r="P924" s="2322"/>
      <c r="Q924" s="2322"/>
      <c r="R924" s="2322"/>
      <c r="S924" s="2322"/>
      <c r="T924" s="2322"/>
      <c r="U924" s="2322"/>
      <c r="V924" s="2322"/>
      <c r="W924" s="2322"/>
      <c r="X924" s="2322"/>
      <c r="Y924" s="2322"/>
      <c r="Z924" s="2322"/>
      <c r="AA924" s="2322"/>
      <c r="AB924" s="2322"/>
      <c r="AC924" s="2322"/>
      <c r="AD924" s="2322"/>
      <c r="AE924" s="2322"/>
      <c r="AF924" s="2322"/>
      <c r="AG924" s="2322"/>
      <c r="AH924" s="2322"/>
      <c r="AI924" s="2322"/>
      <c r="AJ924" s="2322"/>
      <c r="AK924" s="2322"/>
      <c r="AL924" s="2322"/>
      <c r="AM924" s="2322"/>
      <c r="AN924" s="2322"/>
      <c r="AO924" s="2322"/>
      <c r="AP924" s="2322"/>
      <c r="AQ924" s="2322"/>
      <c r="AR924" s="2322"/>
      <c r="AS924" s="2322"/>
      <c r="AT924" s="2322"/>
      <c r="AU924" s="2322"/>
      <c r="AV924" s="2322"/>
      <c r="AW924" s="2322"/>
      <c r="AX924" s="2322"/>
      <c r="AY924" s="2322"/>
      <c r="AZ924" s="2322"/>
      <c r="BA924" s="2322"/>
      <c r="BB924" s="2322"/>
      <c r="BC924" s="2322"/>
      <c r="BD924" s="2322"/>
      <c r="BE924" s="2322"/>
      <c r="BF924" s="2322"/>
      <c r="BG924" s="2322"/>
      <c r="BH924" s="2322"/>
      <c r="BI924" s="2322"/>
      <c r="BJ924" s="2322"/>
      <c r="BK924" s="2322"/>
      <c r="BL924" s="2322"/>
      <c r="BM924" s="2322"/>
      <c r="BN924" s="2322"/>
      <c r="BO924" s="2322"/>
      <c r="BP924" s="2322"/>
      <c r="BQ924" s="2322"/>
      <c r="BR924" s="2322"/>
      <c r="BS924" s="2322"/>
      <c r="BT924" s="2322"/>
      <c r="BU924" s="2322"/>
      <c r="BV924" s="2322"/>
      <c r="BW924" s="2322"/>
      <c r="BX924" s="2322"/>
      <c r="BY924" s="2322"/>
      <c r="BZ924" s="2322"/>
      <c r="CA924" s="2322"/>
      <c r="CB924" s="2322"/>
      <c r="CC924" s="2322"/>
      <c r="CD924" s="2322"/>
      <c r="CE924" s="2322"/>
      <c r="CF924" s="2322"/>
      <c r="CG924" s="2322"/>
      <c r="CH924" s="2322"/>
      <c r="CI924" s="2322"/>
      <c r="CJ924" s="2322"/>
      <c r="CK924" s="2322"/>
      <c r="CL924" s="2322"/>
      <c r="CM924" s="2322"/>
      <c r="CN924" s="2322"/>
      <c r="CO924" s="2322"/>
      <c r="CP924" s="2322"/>
      <c r="CQ924" s="2322"/>
      <c r="CR924" s="2322"/>
      <c r="CS924" s="2322"/>
      <c r="CT924" s="2322"/>
      <c r="CU924" s="2322"/>
      <c r="CV924" s="2322"/>
    </row>
    <row r="925" spans="1:100" ht="15.75" customHeight="1">
      <c r="A925" s="2328"/>
      <c r="B925" s="2322"/>
      <c r="C925" s="2322"/>
      <c r="D925" s="2322"/>
      <c r="E925" s="2322"/>
      <c r="F925" s="2322"/>
      <c r="G925" s="2322"/>
      <c r="H925" s="2322"/>
      <c r="I925" s="2322"/>
      <c r="J925" s="2322"/>
      <c r="K925" s="2322"/>
      <c r="L925" s="2322"/>
      <c r="M925" s="2322"/>
      <c r="N925" s="2322"/>
      <c r="O925" s="2322"/>
      <c r="P925" s="2322"/>
      <c r="Q925" s="2322"/>
      <c r="R925" s="2322"/>
      <c r="S925" s="2322"/>
      <c r="T925" s="2322"/>
      <c r="U925" s="2322"/>
      <c r="V925" s="2322"/>
      <c r="W925" s="2322"/>
      <c r="X925" s="2322"/>
      <c r="Y925" s="2322"/>
      <c r="Z925" s="2322"/>
      <c r="AA925" s="2322"/>
      <c r="AB925" s="2322"/>
      <c r="AC925" s="2322"/>
      <c r="AD925" s="2322"/>
      <c r="AE925" s="2322"/>
      <c r="AF925" s="2322"/>
      <c r="AG925" s="2322"/>
      <c r="AH925" s="2322"/>
      <c r="AI925" s="2322"/>
      <c r="AJ925" s="2322"/>
      <c r="AK925" s="2322"/>
      <c r="AL925" s="2322"/>
      <c r="AM925" s="2322"/>
      <c r="AN925" s="2322"/>
      <c r="AO925" s="2322"/>
      <c r="AP925" s="2322"/>
      <c r="AQ925" s="2322"/>
      <c r="AR925" s="2322"/>
      <c r="AS925" s="2322"/>
      <c r="AT925" s="2322"/>
      <c r="AU925" s="2322"/>
      <c r="AV925" s="2322"/>
      <c r="AW925" s="2322"/>
      <c r="AX925" s="2322"/>
      <c r="AY925" s="2322"/>
      <c r="AZ925" s="2322"/>
      <c r="BA925" s="2322"/>
      <c r="BB925" s="2322"/>
      <c r="BC925" s="2322"/>
      <c r="BD925" s="2322"/>
      <c r="BE925" s="2322"/>
      <c r="BF925" s="2322"/>
      <c r="BG925" s="2322"/>
      <c r="BH925" s="2322"/>
      <c r="BI925" s="2322"/>
      <c r="BJ925" s="2322"/>
      <c r="BK925" s="2322"/>
      <c r="BL925" s="2322"/>
      <c r="BM925" s="2322"/>
      <c r="BN925" s="2322"/>
      <c r="BO925" s="2322"/>
      <c r="BP925" s="2322"/>
      <c r="BQ925" s="2322"/>
      <c r="BR925" s="2322"/>
      <c r="BS925" s="2322"/>
      <c r="BT925" s="2322"/>
      <c r="BU925" s="2322"/>
      <c r="BV925" s="2322"/>
      <c r="BW925" s="2322"/>
      <c r="BX925" s="2322"/>
      <c r="BY925" s="2322"/>
      <c r="BZ925" s="2322"/>
      <c r="CA925" s="2322"/>
      <c r="CB925" s="2322"/>
      <c r="CC925" s="2322"/>
      <c r="CD925" s="2322"/>
      <c r="CE925" s="2322"/>
      <c r="CF925" s="2322"/>
      <c r="CG925" s="2322"/>
      <c r="CH925" s="2322"/>
      <c r="CI925" s="2322"/>
      <c r="CJ925" s="2322"/>
      <c r="CK925" s="2322"/>
      <c r="CL925" s="2322"/>
      <c r="CM925" s="2322"/>
      <c r="CN925" s="2322"/>
      <c r="CO925" s="2322"/>
      <c r="CP925" s="2322"/>
      <c r="CQ925" s="2322"/>
      <c r="CR925" s="2322"/>
      <c r="CS925" s="2322"/>
      <c r="CT925" s="2322"/>
      <c r="CU925" s="2322"/>
      <c r="CV925" s="2322"/>
    </row>
    <row r="926" spans="1:100" ht="15.75" customHeight="1">
      <c r="A926" s="2328"/>
      <c r="B926" s="2322"/>
      <c r="C926" s="2322"/>
      <c r="D926" s="2322"/>
      <c r="E926" s="2322"/>
      <c r="F926" s="2322"/>
      <c r="G926" s="2322"/>
      <c r="H926" s="2322"/>
      <c r="I926" s="2322"/>
      <c r="J926" s="2322"/>
      <c r="K926" s="2322"/>
      <c r="L926" s="2322"/>
      <c r="M926" s="2322"/>
      <c r="N926" s="2322"/>
      <c r="O926" s="2322"/>
      <c r="P926" s="2322"/>
      <c r="Q926" s="2322"/>
      <c r="R926" s="2322"/>
      <c r="S926" s="2322"/>
      <c r="T926" s="2322"/>
      <c r="U926" s="2322"/>
      <c r="V926" s="2322"/>
      <c r="W926" s="2322"/>
      <c r="X926" s="2322"/>
      <c r="Y926" s="2322"/>
      <c r="Z926" s="2322"/>
      <c r="AA926" s="2322"/>
      <c r="AB926" s="2322"/>
      <c r="AC926" s="2322"/>
      <c r="AD926" s="2322"/>
      <c r="AE926" s="2322"/>
      <c r="AF926" s="2322"/>
      <c r="AG926" s="2322"/>
      <c r="AH926" s="2322"/>
      <c r="AI926" s="2322"/>
      <c r="AJ926" s="2322"/>
      <c r="AK926" s="2322"/>
      <c r="AL926" s="2322"/>
      <c r="AM926" s="2322"/>
      <c r="AN926" s="2322"/>
      <c r="AO926" s="2322"/>
      <c r="AP926" s="2322"/>
      <c r="AQ926" s="2322"/>
      <c r="AR926" s="2322"/>
      <c r="AS926" s="2322"/>
      <c r="AT926" s="2322"/>
      <c r="AU926" s="2322"/>
      <c r="AV926" s="2322"/>
      <c r="AW926" s="2322"/>
      <c r="AX926" s="2322"/>
      <c r="AY926" s="2322"/>
      <c r="AZ926" s="2322"/>
      <c r="BA926" s="2322"/>
      <c r="BB926" s="2322"/>
      <c r="BC926" s="2322"/>
      <c r="BD926" s="2322"/>
      <c r="BE926" s="2322"/>
      <c r="BF926" s="2322"/>
      <c r="BG926" s="2322"/>
      <c r="BH926" s="2322"/>
      <c r="BI926" s="2322"/>
      <c r="BJ926" s="2322"/>
      <c r="BK926" s="2322"/>
      <c r="BL926" s="2322"/>
      <c r="BM926" s="2322"/>
      <c r="BN926" s="2322"/>
      <c r="BO926" s="2322"/>
      <c r="BP926" s="2322"/>
      <c r="BQ926" s="2322"/>
      <c r="BR926" s="2322"/>
      <c r="BS926" s="2322"/>
      <c r="BT926" s="2322"/>
      <c r="BU926" s="2322"/>
      <c r="BV926" s="2322"/>
      <c r="BW926" s="2322"/>
      <c r="BX926" s="2322"/>
      <c r="BY926" s="2322"/>
      <c r="BZ926" s="2322"/>
      <c r="CA926" s="2322"/>
      <c r="CB926" s="2322"/>
      <c r="CC926" s="2322"/>
      <c r="CD926" s="2322"/>
      <c r="CE926" s="2322"/>
      <c r="CF926" s="2322"/>
      <c r="CG926" s="2322"/>
      <c r="CH926" s="2322"/>
      <c r="CI926" s="2322"/>
      <c r="CJ926" s="2322"/>
      <c r="CK926" s="2322"/>
      <c r="CL926" s="2322"/>
      <c r="CM926" s="2322"/>
      <c r="CN926" s="2322"/>
      <c r="CO926" s="2322"/>
      <c r="CP926" s="2322"/>
      <c r="CQ926" s="2322"/>
      <c r="CR926" s="2322"/>
      <c r="CS926" s="2322"/>
      <c r="CT926" s="2322"/>
      <c r="CU926" s="2322"/>
      <c r="CV926" s="2322"/>
    </row>
    <row r="927" spans="1:100" ht="15.75" customHeight="1">
      <c r="A927" s="2328"/>
      <c r="B927" s="2322"/>
      <c r="C927" s="2322"/>
      <c r="D927" s="2322"/>
      <c r="E927" s="2322"/>
      <c r="F927" s="2322"/>
      <c r="G927" s="2322"/>
      <c r="H927" s="2322"/>
      <c r="I927" s="2322"/>
      <c r="J927" s="2322"/>
      <c r="K927" s="2322"/>
      <c r="L927" s="2322"/>
      <c r="M927" s="2322"/>
      <c r="N927" s="2322"/>
      <c r="O927" s="2322"/>
      <c r="P927" s="2322"/>
      <c r="Q927" s="2322"/>
      <c r="R927" s="2322"/>
      <c r="S927" s="2322"/>
      <c r="T927" s="2322"/>
      <c r="U927" s="2322"/>
      <c r="V927" s="2322"/>
      <c r="W927" s="2322"/>
      <c r="X927" s="2322"/>
      <c r="Y927" s="2322"/>
      <c r="Z927" s="2322"/>
      <c r="AA927" s="2322"/>
      <c r="AB927" s="2322"/>
      <c r="AC927" s="2322"/>
      <c r="AD927" s="2322"/>
      <c r="AE927" s="2322"/>
      <c r="AF927" s="2322"/>
      <c r="AG927" s="2322"/>
      <c r="AH927" s="2322"/>
      <c r="AI927" s="2322"/>
      <c r="AJ927" s="2322"/>
      <c r="AK927" s="2322"/>
      <c r="AL927" s="2322"/>
      <c r="AM927" s="2322"/>
      <c r="AN927" s="2322"/>
      <c r="AO927" s="2322"/>
      <c r="AP927" s="2322"/>
      <c r="AQ927" s="2322"/>
      <c r="AR927" s="2322"/>
      <c r="AS927" s="2322"/>
      <c r="AT927" s="2322"/>
      <c r="AU927" s="2322"/>
      <c r="AV927" s="2322"/>
      <c r="AW927" s="2322"/>
      <c r="AX927" s="2322"/>
      <c r="AY927" s="2322"/>
      <c r="AZ927" s="2322"/>
      <c r="BA927" s="2322"/>
      <c r="BB927" s="2322"/>
      <c r="BC927" s="2322"/>
      <c r="BD927" s="2322"/>
      <c r="BE927" s="2322"/>
      <c r="BF927" s="2322"/>
      <c r="BG927" s="2322"/>
      <c r="BH927" s="2322"/>
      <c r="BI927" s="2322"/>
      <c r="BJ927" s="2322"/>
      <c r="BK927" s="2322"/>
      <c r="BL927" s="2322"/>
      <c r="BM927" s="2322"/>
      <c r="BN927" s="2322"/>
      <c r="BO927" s="2322"/>
      <c r="BP927" s="2322"/>
      <c r="BQ927" s="2322"/>
      <c r="BR927" s="2322"/>
      <c r="BS927" s="2322"/>
      <c r="BT927" s="2322"/>
      <c r="BU927" s="2322"/>
      <c r="BV927" s="2322"/>
      <c r="BW927" s="2322"/>
      <c r="BX927" s="2322"/>
      <c r="BY927" s="2322"/>
      <c r="BZ927" s="2322"/>
      <c r="CA927" s="2322"/>
      <c r="CB927" s="2322"/>
      <c r="CC927" s="2322"/>
      <c r="CD927" s="2322"/>
      <c r="CE927" s="2322"/>
      <c r="CF927" s="2322"/>
      <c r="CG927" s="2322"/>
      <c r="CH927" s="2322"/>
      <c r="CI927" s="2322"/>
      <c r="CJ927" s="2322"/>
      <c r="CK927" s="2322"/>
      <c r="CL927" s="2322"/>
      <c r="CM927" s="2322"/>
      <c r="CN927" s="2322"/>
      <c r="CO927" s="2322"/>
      <c r="CP927" s="2322"/>
      <c r="CQ927" s="2322"/>
      <c r="CR927" s="2322"/>
      <c r="CS927" s="2322"/>
      <c r="CT927" s="2322"/>
      <c r="CU927" s="2322"/>
      <c r="CV927" s="2322"/>
    </row>
    <row r="928" spans="1:100" ht="15.75" customHeight="1">
      <c r="A928" s="2328"/>
      <c r="B928" s="2322"/>
      <c r="C928" s="2322"/>
      <c r="D928" s="2322"/>
      <c r="E928" s="2322"/>
      <c r="F928" s="2322"/>
      <c r="G928" s="2322"/>
      <c r="H928" s="2322"/>
      <c r="I928" s="2322"/>
      <c r="J928" s="2322"/>
      <c r="K928" s="2322"/>
      <c r="L928" s="2322"/>
      <c r="M928" s="2322"/>
      <c r="N928" s="2322"/>
      <c r="O928" s="2322"/>
      <c r="P928" s="2322"/>
      <c r="Q928" s="2322"/>
      <c r="R928" s="2322"/>
      <c r="S928" s="2322"/>
      <c r="T928" s="2322"/>
      <c r="U928" s="2322"/>
      <c r="V928" s="2322"/>
      <c r="W928" s="2322"/>
      <c r="X928" s="2322"/>
      <c r="Y928" s="2322"/>
      <c r="Z928" s="2322"/>
      <c r="AA928" s="2322"/>
      <c r="AB928" s="2322"/>
      <c r="AC928" s="2322"/>
      <c r="AD928" s="2322"/>
      <c r="AE928" s="2322"/>
      <c r="AF928" s="2322"/>
      <c r="AG928" s="2322"/>
      <c r="AH928" s="2322"/>
      <c r="AI928" s="2322"/>
      <c r="AJ928" s="2322"/>
      <c r="AK928" s="2322"/>
      <c r="AL928" s="2322"/>
      <c r="AM928" s="2322"/>
      <c r="AN928" s="2322"/>
      <c r="AO928" s="2322"/>
      <c r="AP928" s="2322"/>
      <c r="AQ928" s="2322"/>
      <c r="AR928" s="2322"/>
      <c r="AS928" s="2322"/>
      <c r="AT928" s="2322"/>
      <c r="AU928" s="2322"/>
      <c r="AV928" s="2322"/>
      <c r="AW928" s="2322"/>
      <c r="AX928" s="2322"/>
      <c r="AY928" s="2322"/>
      <c r="AZ928" s="2322"/>
      <c r="BA928" s="2322"/>
      <c r="BB928" s="2322"/>
      <c r="BC928" s="2322"/>
      <c r="BD928" s="2322"/>
      <c r="BE928" s="2322"/>
      <c r="BF928" s="2322"/>
      <c r="BG928" s="2322"/>
      <c r="BH928" s="2322"/>
      <c r="BI928" s="2322"/>
      <c r="BJ928" s="2322"/>
      <c r="BK928" s="2322"/>
      <c r="BL928" s="2322"/>
      <c r="BM928" s="2322"/>
      <c r="BN928" s="2322"/>
      <c r="BO928" s="2322"/>
      <c r="BP928" s="2322"/>
      <c r="BQ928" s="2322"/>
      <c r="BR928" s="2322"/>
      <c r="BS928" s="2322"/>
      <c r="BT928" s="2322"/>
      <c r="BU928" s="2322"/>
      <c r="BV928" s="2322"/>
      <c r="BW928" s="2322"/>
      <c r="BX928" s="2322"/>
      <c r="BY928" s="2322"/>
      <c r="BZ928" s="2322"/>
      <c r="CA928" s="2322"/>
      <c r="CB928" s="2322"/>
      <c r="CC928" s="2322"/>
      <c r="CD928" s="2322"/>
      <c r="CE928" s="2322"/>
      <c r="CF928" s="2322"/>
      <c r="CG928" s="2322"/>
      <c r="CH928" s="2322"/>
      <c r="CI928" s="2322"/>
      <c r="CJ928" s="2322"/>
      <c r="CK928" s="2322"/>
      <c r="CL928" s="2322"/>
      <c r="CM928" s="2322"/>
      <c r="CN928" s="2322"/>
      <c r="CO928" s="2322"/>
      <c r="CP928" s="2322"/>
      <c r="CQ928" s="2322"/>
      <c r="CR928" s="2322"/>
      <c r="CS928" s="2322"/>
      <c r="CT928" s="2322"/>
      <c r="CU928" s="2322"/>
      <c r="CV928" s="2322"/>
    </row>
    <row r="929" spans="1:100" ht="15.75" customHeight="1">
      <c r="A929" s="2328"/>
      <c r="B929" s="2322"/>
      <c r="C929" s="2322"/>
      <c r="D929" s="2322"/>
      <c r="E929" s="2322"/>
      <c r="F929" s="2322"/>
      <c r="G929" s="2322"/>
      <c r="H929" s="2322"/>
      <c r="I929" s="2322"/>
      <c r="J929" s="2322"/>
      <c r="K929" s="2322"/>
      <c r="L929" s="2322"/>
      <c r="M929" s="2322"/>
      <c r="N929" s="2322"/>
      <c r="O929" s="2322"/>
      <c r="P929" s="2322"/>
      <c r="Q929" s="2322"/>
      <c r="R929" s="2322"/>
      <c r="S929" s="2322"/>
      <c r="T929" s="2322"/>
      <c r="U929" s="2322"/>
      <c r="V929" s="2322"/>
      <c r="W929" s="2322"/>
      <c r="X929" s="2322"/>
      <c r="Y929" s="2322"/>
      <c r="Z929" s="2322"/>
      <c r="AA929" s="2322"/>
      <c r="AB929" s="2322"/>
      <c r="AC929" s="2322"/>
      <c r="AD929" s="2322"/>
      <c r="AE929" s="2322"/>
      <c r="AF929" s="2322"/>
      <c r="AG929" s="2322"/>
      <c r="AH929" s="2322"/>
      <c r="AI929" s="2322"/>
      <c r="AJ929" s="2322"/>
      <c r="AK929" s="2322"/>
      <c r="AL929" s="2322"/>
      <c r="AM929" s="2322"/>
      <c r="AN929" s="2322"/>
      <c r="AO929" s="2322"/>
      <c r="AP929" s="2322"/>
      <c r="AQ929" s="2322"/>
      <c r="AR929" s="2322"/>
      <c r="AS929" s="2322"/>
      <c r="AT929" s="2322"/>
      <c r="AU929" s="2322"/>
      <c r="AV929" s="2322"/>
      <c r="AW929" s="2322"/>
      <c r="AX929" s="2322"/>
      <c r="AY929" s="2322"/>
      <c r="AZ929" s="2322"/>
      <c r="BA929" s="2322"/>
      <c r="BB929" s="2322"/>
      <c r="BC929" s="2322"/>
      <c r="BD929" s="2322"/>
      <c r="BE929" s="2322"/>
      <c r="BF929" s="2322"/>
      <c r="BG929" s="2322"/>
      <c r="BH929" s="2322"/>
      <c r="BI929" s="2322"/>
      <c r="BJ929" s="2322"/>
      <c r="BK929" s="2322"/>
      <c r="BL929" s="2322"/>
      <c r="BM929" s="2322"/>
      <c r="BN929" s="2322"/>
      <c r="BO929" s="2322"/>
      <c r="BP929" s="2322"/>
      <c r="BQ929" s="2322"/>
      <c r="BR929" s="2322"/>
      <c r="BS929" s="2322"/>
      <c r="BT929" s="2322"/>
      <c r="BU929" s="2322"/>
      <c r="BV929" s="2322"/>
      <c r="BW929" s="2322"/>
      <c r="BX929" s="2322"/>
      <c r="BY929" s="2322"/>
      <c r="BZ929" s="2322"/>
      <c r="CA929" s="2322"/>
      <c r="CB929" s="2322"/>
      <c r="CC929" s="2322"/>
      <c r="CD929" s="2322"/>
      <c r="CE929" s="2322"/>
      <c r="CF929" s="2322"/>
      <c r="CG929" s="2322"/>
      <c r="CH929" s="2322"/>
      <c r="CI929" s="2322"/>
      <c r="CJ929" s="2322"/>
      <c r="CK929" s="2322"/>
      <c r="CL929" s="2322"/>
      <c r="CM929" s="2322"/>
      <c r="CN929" s="2322"/>
      <c r="CO929" s="2322"/>
      <c r="CP929" s="2322"/>
      <c r="CQ929" s="2322"/>
      <c r="CR929" s="2322"/>
      <c r="CS929" s="2322"/>
      <c r="CT929" s="2322"/>
      <c r="CU929" s="2322"/>
      <c r="CV929" s="2322"/>
    </row>
    <row r="930" spans="1:100" ht="15.75" customHeight="1">
      <c r="A930" s="2328"/>
      <c r="B930" s="2322"/>
      <c r="C930" s="2322"/>
      <c r="D930" s="2322"/>
      <c r="E930" s="2322"/>
      <c r="F930" s="2322"/>
      <c r="G930" s="2322"/>
      <c r="H930" s="2322"/>
      <c r="I930" s="2322"/>
      <c r="J930" s="2322"/>
      <c r="K930" s="2322"/>
      <c r="L930" s="2322"/>
      <c r="M930" s="2322"/>
      <c r="N930" s="2322"/>
      <c r="O930" s="2322"/>
      <c r="P930" s="2322"/>
      <c r="Q930" s="2322"/>
      <c r="R930" s="2322"/>
      <c r="S930" s="2322"/>
      <c r="T930" s="2322"/>
      <c r="U930" s="2322"/>
      <c r="V930" s="2322"/>
      <c r="W930" s="2322"/>
      <c r="X930" s="2322"/>
      <c r="Y930" s="2322"/>
      <c r="Z930" s="2322"/>
      <c r="AA930" s="2322"/>
      <c r="AB930" s="2322"/>
      <c r="AC930" s="2322"/>
      <c r="AD930" s="2322"/>
      <c r="AE930" s="2322"/>
      <c r="AF930" s="2322"/>
      <c r="AG930" s="2322"/>
      <c r="AH930" s="2322"/>
      <c r="AI930" s="2322"/>
      <c r="AJ930" s="2322"/>
      <c r="AK930" s="2322"/>
      <c r="AL930" s="2322"/>
      <c r="AM930" s="2322"/>
      <c r="AN930" s="2322"/>
      <c r="AO930" s="2322"/>
      <c r="AP930" s="2322"/>
      <c r="AQ930" s="2322"/>
      <c r="AR930" s="2322"/>
      <c r="AS930" s="2322"/>
      <c r="AT930" s="2322"/>
      <c r="AU930" s="2322"/>
      <c r="AV930" s="2322"/>
      <c r="AW930" s="2322"/>
      <c r="AX930" s="2322"/>
      <c r="AY930" s="2322"/>
      <c r="AZ930" s="2322"/>
      <c r="BA930" s="2322"/>
      <c r="BB930" s="2322"/>
      <c r="BC930" s="2322"/>
      <c r="BD930" s="2322"/>
      <c r="BE930" s="2322"/>
      <c r="BF930" s="2322"/>
      <c r="BG930" s="2322"/>
      <c r="BH930" s="2322"/>
      <c r="BI930" s="2322"/>
      <c r="BJ930" s="2322"/>
      <c r="BK930" s="2322"/>
      <c r="BL930" s="2322"/>
      <c r="BM930" s="2322"/>
      <c r="BN930" s="2322"/>
      <c r="BO930" s="2322"/>
      <c r="BP930" s="2322"/>
      <c r="BQ930" s="2322"/>
      <c r="BR930" s="2322"/>
      <c r="BS930" s="2322"/>
      <c r="BT930" s="2322"/>
      <c r="BU930" s="2322"/>
      <c r="BV930" s="2322"/>
      <c r="BW930" s="2322"/>
      <c r="BX930" s="2322"/>
      <c r="BY930" s="2322"/>
      <c r="BZ930" s="2322"/>
      <c r="CA930" s="2322"/>
      <c r="CB930" s="2322"/>
      <c r="CC930" s="2322"/>
      <c r="CD930" s="2322"/>
      <c r="CE930" s="2322"/>
      <c r="CF930" s="2322"/>
      <c r="CG930" s="2322"/>
      <c r="CH930" s="2322"/>
      <c r="CI930" s="2322"/>
      <c r="CJ930" s="2322"/>
      <c r="CK930" s="2322"/>
      <c r="CL930" s="2322"/>
      <c r="CM930" s="2322"/>
      <c r="CN930" s="2322"/>
      <c r="CO930" s="2322"/>
      <c r="CP930" s="2322"/>
      <c r="CQ930" s="2322"/>
      <c r="CR930" s="2322"/>
      <c r="CS930" s="2322"/>
      <c r="CT930" s="2322"/>
      <c r="CU930" s="2322"/>
      <c r="CV930" s="2322"/>
    </row>
    <row r="931" spans="1:100" ht="15.75" customHeight="1">
      <c r="A931" s="2328"/>
      <c r="B931" s="2322"/>
      <c r="C931" s="2322"/>
      <c r="D931" s="2322"/>
      <c r="E931" s="2322"/>
      <c r="F931" s="2322"/>
      <c r="G931" s="2322"/>
      <c r="H931" s="2322"/>
      <c r="I931" s="2322"/>
      <c r="J931" s="2322"/>
      <c r="K931" s="2322"/>
      <c r="L931" s="2322"/>
      <c r="M931" s="2322"/>
      <c r="N931" s="2322"/>
      <c r="O931" s="2322"/>
      <c r="P931" s="2322"/>
      <c r="Q931" s="2322"/>
      <c r="R931" s="2322"/>
      <c r="S931" s="2322"/>
      <c r="T931" s="2322"/>
      <c r="U931" s="2322"/>
      <c r="V931" s="2322"/>
      <c r="W931" s="2322"/>
      <c r="X931" s="2322"/>
      <c r="Y931" s="2322"/>
      <c r="Z931" s="2322"/>
      <c r="AA931" s="2322"/>
      <c r="AB931" s="2322"/>
      <c r="AC931" s="2322"/>
      <c r="AD931" s="2322"/>
      <c r="AE931" s="2322"/>
      <c r="AF931" s="2322"/>
      <c r="AG931" s="2322"/>
      <c r="AH931" s="2322"/>
      <c r="AI931" s="2322"/>
      <c r="AJ931" s="2322"/>
      <c r="AK931" s="2322"/>
      <c r="AL931" s="2322"/>
      <c r="AM931" s="2322"/>
      <c r="AN931" s="2322"/>
      <c r="AO931" s="2322"/>
      <c r="AP931" s="2322"/>
      <c r="AQ931" s="2322"/>
      <c r="AR931" s="2322"/>
      <c r="AS931" s="2322"/>
      <c r="AT931" s="2322"/>
      <c r="AU931" s="2322"/>
      <c r="AV931" s="2322"/>
      <c r="AW931" s="2322"/>
      <c r="AX931" s="2322"/>
      <c r="AY931" s="2322"/>
      <c r="AZ931" s="2322"/>
      <c r="BA931" s="2322"/>
      <c r="BB931" s="2322"/>
      <c r="BC931" s="2322"/>
      <c r="BD931" s="2322"/>
      <c r="BE931" s="2322"/>
      <c r="BF931" s="2322"/>
      <c r="BG931" s="2322"/>
      <c r="BH931" s="2322"/>
      <c r="BI931" s="2322"/>
      <c r="BJ931" s="2322"/>
      <c r="BK931" s="2322"/>
      <c r="BL931" s="2322"/>
      <c r="BM931" s="2322"/>
      <c r="BN931" s="2322"/>
      <c r="BO931" s="2322"/>
      <c r="BP931" s="2322"/>
      <c r="BQ931" s="2322"/>
      <c r="BR931" s="2322"/>
      <c r="BS931" s="2322"/>
      <c r="BT931" s="2322"/>
      <c r="BU931" s="2322"/>
      <c r="BV931" s="2322"/>
      <c r="BW931" s="2322"/>
      <c r="BX931" s="2322"/>
      <c r="BY931" s="2322"/>
      <c r="BZ931" s="2322"/>
      <c r="CA931" s="2322"/>
      <c r="CB931" s="2322"/>
      <c r="CC931" s="2322"/>
      <c r="CD931" s="2322"/>
      <c r="CE931" s="2322"/>
      <c r="CF931" s="2322"/>
      <c r="CG931" s="2322"/>
      <c r="CH931" s="2322"/>
      <c r="CI931" s="2322"/>
      <c r="CJ931" s="2322"/>
      <c r="CK931" s="2322"/>
      <c r="CL931" s="2322"/>
      <c r="CM931" s="2322"/>
      <c r="CN931" s="2322"/>
      <c r="CO931" s="2322"/>
      <c r="CP931" s="2322"/>
      <c r="CQ931" s="2322"/>
      <c r="CR931" s="2322"/>
      <c r="CS931" s="2322"/>
      <c r="CT931" s="2322"/>
      <c r="CU931" s="2322"/>
      <c r="CV931" s="2322"/>
    </row>
    <row r="932" spans="1:100" ht="15.75" customHeight="1">
      <c r="A932" s="2328"/>
      <c r="B932" s="2322"/>
      <c r="C932" s="2322"/>
      <c r="D932" s="2322"/>
      <c r="E932" s="2322"/>
      <c r="F932" s="2322"/>
      <c r="G932" s="2322"/>
      <c r="H932" s="2322"/>
      <c r="I932" s="2322"/>
      <c r="J932" s="2322"/>
      <c r="K932" s="2322"/>
      <c r="L932" s="2322"/>
      <c r="M932" s="2322"/>
      <c r="N932" s="2322"/>
      <c r="O932" s="2322"/>
      <c r="P932" s="2322"/>
      <c r="Q932" s="2322"/>
      <c r="R932" s="2322"/>
      <c r="S932" s="2322"/>
      <c r="T932" s="2322"/>
      <c r="U932" s="2322"/>
      <c r="V932" s="2322"/>
      <c r="W932" s="2322"/>
      <c r="X932" s="2322"/>
      <c r="Y932" s="2322"/>
      <c r="Z932" s="2322"/>
      <c r="AA932" s="2322"/>
      <c r="AB932" s="2322"/>
      <c r="AC932" s="2322"/>
      <c r="AD932" s="2322"/>
      <c r="AE932" s="2322"/>
      <c r="AF932" s="2322"/>
      <c r="AG932" s="2322"/>
      <c r="AH932" s="2322"/>
      <c r="AI932" s="2322"/>
      <c r="AJ932" s="2322"/>
      <c r="AK932" s="2322"/>
      <c r="AL932" s="2322"/>
      <c r="AM932" s="2322"/>
      <c r="AN932" s="2322"/>
      <c r="AO932" s="2322"/>
      <c r="AP932" s="2322"/>
      <c r="AQ932" s="2322"/>
      <c r="AR932" s="2322"/>
      <c r="AS932" s="2322"/>
      <c r="AT932" s="2322"/>
      <c r="AU932" s="2322"/>
      <c r="AV932" s="2322"/>
      <c r="AW932" s="2322"/>
      <c r="AX932" s="2322"/>
      <c r="AY932" s="2322"/>
      <c r="AZ932" s="2322"/>
      <c r="BA932" s="2322"/>
      <c r="BB932" s="2322"/>
      <c r="BC932" s="2322"/>
      <c r="BD932" s="2322"/>
      <c r="BE932" s="2322"/>
      <c r="BF932" s="2322"/>
      <c r="BG932" s="2322"/>
      <c r="BH932" s="2322"/>
      <c r="BI932" s="2322"/>
      <c r="BJ932" s="2322"/>
      <c r="BK932" s="2322"/>
      <c r="BL932" s="2322"/>
      <c r="BM932" s="2322"/>
      <c r="BN932" s="2322"/>
      <c r="BO932" s="2322"/>
      <c r="BP932" s="2322"/>
      <c r="BQ932" s="2322"/>
      <c r="BR932" s="2322"/>
      <c r="BS932" s="2322"/>
      <c r="BT932" s="2322"/>
      <c r="BU932" s="2322"/>
      <c r="BV932" s="2322"/>
      <c r="BW932" s="2322"/>
      <c r="BX932" s="2322"/>
      <c r="BY932" s="2322"/>
      <c r="BZ932" s="2322"/>
      <c r="CA932" s="2322"/>
      <c r="CB932" s="2322"/>
      <c r="CC932" s="2322"/>
      <c r="CD932" s="2322"/>
      <c r="CE932" s="2322"/>
      <c r="CF932" s="2322"/>
      <c r="CG932" s="2322"/>
      <c r="CH932" s="2322"/>
      <c r="CI932" s="2322"/>
      <c r="CJ932" s="2322"/>
      <c r="CK932" s="2322"/>
      <c r="CL932" s="2322"/>
      <c r="CM932" s="2322"/>
      <c r="CN932" s="2322"/>
      <c r="CO932" s="2322"/>
      <c r="CP932" s="2322"/>
      <c r="CQ932" s="2322"/>
      <c r="CR932" s="2322"/>
      <c r="CS932" s="2322"/>
      <c r="CT932" s="2322"/>
      <c r="CU932" s="2322"/>
      <c r="CV932" s="2322"/>
    </row>
    <row r="933" spans="1:100" ht="15.75" customHeight="1">
      <c r="A933" s="2328"/>
      <c r="B933" s="2322"/>
      <c r="C933" s="2322"/>
      <c r="D933" s="2322"/>
      <c r="E933" s="2322"/>
      <c r="F933" s="2322"/>
      <c r="G933" s="2322"/>
      <c r="H933" s="2322"/>
      <c r="I933" s="2322"/>
      <c r="J933" s="2322"/>
      <c r="K933" s="2322"/>
      <c r="L933" s="2322"/>
      <c r="M933" s="2322"/>
      <c r="N933" s="2322"/>
      <c r="O933" s="2322"/>
      <c r="P933" s="2322"/>
      <c r="Q933" s="2322"/>
      <c r="R933" s="2322"/>
      <c r="S933" s="2322"/>
      <c r="T933" s="2322"/>
      <c r="U933" s="2322"/>
      <c r="V933" s="2322"/>
      <c r="W933" s="2322"/>
      <c r="X933" s="2322"/>
      <c r="Y933" s="2322"/>
      <c r="Z933" s="2322"/>
      <c r="AA933" s="2322"/>
      <c r="AB933" s="2322"/>
      <c r="AC933" s="2322"/>
      <c r="AD933" s="2322"/>
      <c r="AE933" s="2322"/>
      <c r="AF933" s="2322"/>
      <c r="AG933" s="2322"/>
      <c r="AH933" s="2322"/>
      <c r="AI933" s="2322"/>
      <c r="AJ933" s="2322"/>
      <c r="AK933" s="2322"/>
      <c r="AL933" s="2322"/>
      <c r="AM933" s="2322"/>
      <c r="AN933" s="2322"/>
      <c r="AO933" s="2322"/>
      <c r="AP933" s="2322"/>
      <c r="AQ933" s="2322"/>
      <c r="AR933" s="2322"/>
      <c r="AS933" s="2322"/>
      <c r="AT933" s="2322"/>
      <c r="AU933" s="2322"/>
      <c r="AV933" s="2322"/>
      <c r="AW933" s="2322"/>
      <c r="AX933" s="2322"/>
      <c r="AY933" s="2322"/>
      <c r="AZ933" s="2322"/>
      <c r="BA933" s="2322"/>
      <c r="BB933" s="2322"/>
      <c r="BC933" s="2322"/>
      <c r="BD933" s="2322"/>
      <c r="BE933" s="2322"/>
      <c r="BF933" s="2322"/>
      <c r="BG933" s="2322"/>
      <c r="BH933" s="2322"/>
      <c r="BI933" s="2322"/>
      <c r="BJ933" s="2322"/>
      <c r="BK933" s="2322"/>
      <c r="BL933" s="2322"/>
      <c r="BM933" s="2322"/>
      <c r="BN933" s="2322"/>
      <c r="BO933" s="2322"/>
      <c r="BP933" s="2322"/>
      <c r="BQ933" s="2322"/>
      <c r="BR933" s="2322"/>
      <c r="BS933" s="2322"/>
      <c r="BT933" s="2322"/>
      <c r="BU933" s="2322"/>
      <c r="BV933" s="2322"/>
      <c r="BW933" s="2322"/>
      <c r="BX933" s="2322"/>
      <c r="BY933" s="2322"/>
      <c r="BZ933" s="2322"/>
      <c r="CA933" s="2322"/>
      <c r="CB933" s="2322"/>
      <c r="CC933" s="2322"/>
      <c r="CD933" s="2322"/>
      <c r="CE933" s="2322"/>
      <c r="CF933" s="2322"/>
      <c r="CG933" s="2322"/>
      <c r="CH933" s="2322"/>
      <c r="CI933" s="2322"/>
      <c r="CJ933" s="2322"/>
      <c r="CK933" s="2322"/>
      <c r="CL933" s="2322"/>
      <c r="CM933" s="2322"/>
      <c r="CN933" s="2322"/>
      <c r="CO933" s="2322"/>
      <c r="CP933" s="2322"/>
      <c r="CQ933" s="2322"/>
      <c r="CR933" s="2322"/>
      <c r="CS933" s="2322"/>
      <c r="CT933" s="2322"/>
      <c r="CU933" s="2322"/>
      <c r="CV933" s="2322"/>
    </row>
    <row r="934" spans="1:100" ht="15.75" customHeight="1">
      <c r="A934" s="2328"/>
      <c r="B934" s="2322"/>
      <c r="C934" s="2322"/>
      <c r="D934" s="2322"/>
      <c r="E934" s="2322"/>
      <c r="F934" s="2322"/>
      <c r="G934" s="2322"/>
      <c r="H934" s="2322"/>
      <c r="I934" s="2322"/>
      <c r="J934" s="2322"/>
      <c r="K934" s="2322"/>
      <c r="L934" s="2322"/>
      <c r="M934" s="2322"/>
      <c r="N934" s="2322"/>
      <c r="O934" s="2322"/>
      <c r="P934" s="2322"/>
      <c r="Q934" s="2322"/>
      <c r="R934" s="2322"/>
      <c r="S934" s="2322"/>
      <c r="T934" s="2322"/>
      <c r="U934" s="2322"/>
      <c r="V934" s="2322"/>
      <c r="W934" s="2322"/>
      <c r="X934" s="2322"/>
      <c r="Y934" s="2322"/>
      <c r="Z934" s="2322"/>
      <c r="AA934" s="2322"/>
      <c r="AB934" s="2322"/>
      <c r="AC934" s="2322"/>
      <c r="AD934" s="2322"/>
      <c r="AE934" s="2322"/>
      <c r="AF934" s="2322"/>
      <c r="AG934" s="2322"/>
      <c r="AH934" s="2322"/>
      <c r="AI934" s="2322"/>
      <c r="AJ934" s="2322"/>
      <c r="AK934" s="2322"/>
      <c r="AL934" s="2322"/>
      <c r="AM934" s="2322"/>
      <c r="AN934" s="2322"/>
      <c r="AO934" s="2322"/>
      <c r="AP934" s="2322"/>
      <c r="AQ934" s="2322"/>
      <c r="AR934" s="2322"/>
      <c r="AS934" s="2322"/>
      <c r="AT934" s="2322"/>
      <c r="AU934" s="2322"/>
      <c r="AV934" s="2322"/>
      <c r="AW934" s="2322"/>
      <c r="AX934" s="2322"/>
      <c r="AY934" s="2322"/>
      <c r="AZ934" s="2322"/>
      <c r="BA934" s="2322"/>
      <c r="BB934" s="2322"/>
      <c r="BC934" s="2322"/>
      <c r="BD934" s="2322"/>
      <c r="BE934" s="2322"/>
      <c r="BF934" s="2322"/>
      <c r="BG934" s="2322"/>
      <c r="BH934" s="2322"/>
      <c r="BI934" s="2322"/>
      <c r="BJ934" s="2322"/>
      <c r="BK934" s="2322"/>
      <c r="BL934" s="2322"/>
      <c r="BM934" s="2322"/>
      <c r="BN934" s="2322"/>
      <c r="BO934" s="2322"/>
      <c r="BP934" s="2322"/>
      <c r="BQ934" s="2322"/>
      <c r="BR934" s="2322"/>
      <c r="BS934" s="2322"/>
      <c r="BT934" s="2322"/>
      <c r="BU934" s="2322"/>
      <c r="BV934" s="2322"/>
      <c r="BW934" s="2322"/>
      <c r="BX934" s="2322"/>
      <c r="BY934" s="2322"/>
      <c r="BZ934" s="2322"/>
      <c r="CA934" s="2322"/>
      <c r="CB934" s="2322"/>
      <c r="CC934" s="2322"/>
      <c r="CD934" s="2322"/>
      <c r="CE934" s="2322"/>
      <c r="CF934" s="2322"/>
      <c r="CG934" s="2322"/>
      <c r="CH934" s="2322"/>
      <c r="CI934" s="2322"/>
      <c r="CJ934" s="2322"/>
      <c r="CK934" s="2322"/>
      <c r="CL934" s="2322"/>
      <c r="CM934" s="2322"/>
      <c r="CN934" s="2322"/>
      <c r="CO934" s="2322"/>
      <c r="CP934" s="2322"/>
      <c r="CQ934" s="2322"/>
      <c r="CR934" s="2322"/>
      <c r="CS934" s="2322"/>
      <c r="CT934" s="2322"/>
      <c r="CU934" s="2322"/>
      <c r="CV934" s="2322"/>
    </row>
    <row r="935" spans="1:100" ht="15.75" customHeight="1">
      <c r="A935" s="2328"/>
      <c r="B935" s="2322"/>
      <c r="C935" s="2322"/>
      <c r="D935" s="2322"/>
      <c r="E935" s="2322"/>
      <c r="F935" s="2322"/>
      <c r="G935" s="2322"/>
      <c r="H935" s="2322"/>
      <c r="I935" s="2322"/>
      <c r="J935" s="2322"/>
      <c r="K935" s="2322"/>
      <c r="L935" s="2322"/>
      <c r="M935" s="2322"/>
      <c r="N935" s="2322"/>
      <c r="O935" s="2322"/>
      <c r="P935" s="2322"/>
      <c r="Q935" s="2322"/>
      <c r="R935" s="2322"/>
      <c r="S935" s="2322"/>
      <c r="T935" s="2322"/>
      <c r="U935" s="2322"/>
      <c r="V935" s="2322"/>
      <c r="W935" s="2322"/>
      <c r="X935" s="2322"/>
      <c r="Y935" s="2322"/>
      <c r="Z935" s="2322"/>
      <c r="AA935" s="2322"/>
      <c r="AB935" s="2322"/>
      <c r="AC935" s="2322"/>
      <c r="AD935" s="2322"/>
      <c r="AE935" s="2322"/>
      <c r="AF935" s="2322"/>
      <c r="AG935" s="2322"/>
      <c r="AH935" s="2322"/>
      <c r="AI935" s="2322"/>
      <c r="AJ935" s="2322"/>
      <c r="AK935" s="2322"/>
      <c r="AL935" s="2322"/>
      <c r="AM935" s="2322"/>
      <c r="AN935" s="2322"/>
      <c r="AO935" s="2322"/>
      <c r="AP935" s="2322"/>
      <c r="AQ935" s="2322"/>
      <c r="AR935" s="2322"/>
      <c r="AS935" s="2322"/>
      <c r="AT935" s="2322"/>
      <c r="AU935" s="2322"/>
      <c r="AV935" s="2322"/>
      <c r="AW935" s="2322"/>
      <c r="AX935" s="2322"/>
      <c r="AY935" s="2322"/>
      <c r="AZ935" s="2322"/>
      <c r="BA935" s="2322"/>
      <c r="BB935" s="2322"/>
      <c r="BC935" s="2322"/>
      <c r="BD935" s="2322"/>
      <c r="BE935" s="2322"/>
      <c r="BF935" s="2322"/>
      <c r="BG935" s="2322"/>
      <c r="BH935" s="2322"/>
      <c r="BI935" s="2322"/>
      <c r="BJ935" s="2322"/>
      <c r="BK935" s="2322"/>
      <c r="BL935" s="2322"/>
      <c r="BM935" s="2322"/>
      <c r="BN935" s="2322"/>
      <c r="BO935" s="2322"/>
      <c r="BP935" s="2322"/>
      <c r="BQ935" s="2322"/>
      <c r="BR935" s="2322"/>
      <c r="BS935" s="2322"/>
      <c r="BT935" s="2322"/>
      <c r="BU935" s="2322"/>
      <c r="BV935" s="2322"/>
      <c r="BW935" s="2322"/>
      <c r="BX935" s="2322"/>
      <c r="BY935" s="2322"/>
      <c r="BZ935" s="2322"/>
      <c r="CA935" s="2322"/>
      <c r="CB935" s="2322"/>
      <c r="CC935" s="2322"/>
      <c r="CD935" s="2322"/>
      <c r="CE935" s="2322"/>
      <c r="CF935" s="2322"/>
      <c r="CG935" s="2322"/>
      <c r="CH935" s="2322"/>
      <c r="CI935" s="2322"/>
      <c r="CJ935" s="2322"/>
      <c r="CK935" s="2322"/>
      <c r="CL935" s="2322"/>
      <c r="CM935" s="2322"/>
      <c r="CN935" s="2322"/>
      <c r="CO935" s="2322"/>
      <c r="CP935" s="2322"/>
      <c r="CQ935" s="2322"/>
      <c r="CR935" s="2322"/>
      <c r="CS935" s="2322"/>
      <c r="CT935" s="2322"/>
      <c r="CU935" s="2322"/>
      <c r="CV935" s="2322"/>
    </row>
    <row r="936" spans="1:100" ht="15.75" customHeight="1">
      <c r="A936" s="2328"/>
      <c r="B936" s="2322"/>
      <c r="C936" s="2322"/>
      <c r="D936" s="2322"/>
      <c r="E936" s="2322"/>
      <c r="F936" s="2322"/>
      <c r="G936" s="2322"/>
      <c r="H936" s="2322"/>
      <c r="I936" s="2322"/>
      <c r="J936" s="2322"/>
      <c r="K936" s="2322"/>
      <c r="L936" s="2322"/>
      <c r="M936" s="2322"/>
      <c r="N936" s="2322"/>
      <c r="O936" s="2322"/>
      <c r="P936" s="2322"/>
      <c r="Q936" s="2322"/>
      <c r="R936" s="2322"/>
      <c r="S936" s="2322"/>
      <c r="T936" s="2322"/>
      <c r="U936" s="2322"/>
      <c r="V936" s="2322"/>
      <c r="W936" s="2322"/>
      <c r="X936" s="2322"/>
      <c r="Y936" s="2322"/>
      <c r="Z936" s="2322"/>
      <c r="AA936" s="2322"/>
      <c r="AB936" s="2322"/>
      <c r="AC936" s="2322"/>
      <c r="AD936" s="2322"/>
      <c r="AE936" s="2322"/>
      <c r="AF936" s="2322"/>
      <c r="AG936" s="2322"/>
      <c r="AH936" s="2322"/>
      <c r="AI936" s="2322"/>
      <c r="AJ936" s="2322"/>
      <c r="AK936" s="2322"/>
      <c r="AL936" s="2322"/>
      <c r="AM936" s="2322"/>
      <c r="AN936" s="2322"/>
      <c r="AO936" s="2322"/>
      <c r="AP936" s="2322"/>
      <c r="AQ936" s="2322"/>
      <c r="AR936" s="2322"/>
      <c r="AS936" s="2322"/>
      <c r="AT936" s="2322"/>
      <c r="AU936" s="2322"/>
      <c r="AV936" s="2322"/>
      <c r="AW936" s="2322"/>
      <c r="AX936" s="2322"/>
      <c r="AY936" s="2322"/>
      <c r="AZ936" s="2322"/>
      <c r="BA936" s="2322"/>
      <c r="BB936" s="2322"/>
      <c r="BC936" s="2322"/>
      <c r="BD936" s="2322"/>
      <c r="BE936" s="2322"/>
      <c r="BF936" s="2322"/>
      <c r="BG936" s="2322"/>
      <c r="BH936" s="2322"/>
      <c r="BI936" s="2322"/>
      <c r="BJ936" s="2322"/>
      <c r="BK936" s="2322"/>
      <c r="BL936" s="2322"/>
      <c r="BM936" s="2322"/>
      <c r="BN936" s="2322"/>
      <c r="BO936" s="2322"/>
      <c r="BP936" s="2322"/>
      <c r="BQ936" s="2322"/>
      <c r="BR936" s="2322"/>
      <c r="BS936" s="2322"/>
      <c r="BT936" s="2322"/>
      <c r="BU936" s="2322"/>
      <c r="BV936" s="2322"/>
      <c r="BW936" s="2322"/>
      <c r="BX936" s="2322"/>
      <c r="BY936" s="2322"/>
      <c r="BZ936" s="2322"/>
      <c r="CA936" s="2322"/>
      <c r="CB936" s="2322"/>
      <c r="CC936" s="2322"/>
      <c r="CD936" s="2322"/>
      <c r="CE936" s="2322"/>
      <c r="CF936" s="2322"/>
      <c r="CG936" s="2322"/>
      <c r="CH936" s="2322"/>
      <c r="CI936" s="2322"/>
      <c r="CJ936" s="2322"/>
      <c r="CK936" s="2322"/>
      <c r="CL936" s="2322"/>
      <c r="CM936" s="2322"/>
      <c r="CN936" s="2322"/>
      <c r="CO936" s="2322"/>
      <c r="CP936" s="2322"/>
      <c r="CQ936" s="2322"/>
      <c r="CR936" s="2322"/>
      <c r="CS936" s="2322"/>
      <c r="CT936" s="2322"/>
      <c r="CU936" s="2322"/>
      <c r="CV936" s="2322"/>
    </row>
    <row r="937" spans="1:100" ht="15.75" customHeight="1">
      <c r="A937" s="2328"/>
      <c r="B937" s="2322"/>
      <c r="C937" s="2322"/>
      <c r="D937" s="2322"/>
      <c r="E937" s="2322"/>
      <c r="F937" s="2322"/>
      <c r="G937" s="2322"/>
      <c r="H937" s="2322"/>
      <c r="I937" s="2322"/>
      <c r="J937" s="2322"/>
      <c r="K937" s="2322"/>
      <c r="L937" s="2322"/>
      <c r="M937" s="2322"/>
      <c r="N937" s="2322"/>
      <c r="O937" s="2322"/>
      <c r="P937" s="2322"/>
      <c r="Q937" s="2322"/>
      <c r="R937" s="2322"/>
      <c r="S937" s="2322"/>
      <c r="T937" s="2322"/>
      <c r="U937" s="2322"/>
      <c r="V937" s="2322"/>
      <c r="W937" s="2322"/>
      <c r="X937" s="2322"/>
      <c r="Y937" s="2322"/>
      <c r="Z937" s="2322"/>
      <c r="AA937" s="2322"/>
      <c r="AB937" s="2322"/>
      <c r="AC937" s="2322"/>
      <c r="AD937" s="2322"/>
      <c r="AE937" s="2322"/>
      <c r="AF937" s="2322"/>
      <c r="AG937" s="2322"/>
      <c r="AH937" s="2322"/>
      <c r="AI937" s="2322"/>
      <c r="AJ937" s="2322"/>
      <c r="AK937" s="2322"/>
      <c r="AL937" s="2322"/>
      <c r="AM937" s="2322"/>
      <c r="AN937" s="2322"/>
      <c r="AO937" s="2322"/>
      <c r="AP937" s="2322"/>
      <c r="AQ937" s="2322"/>
      <c r="AR937" s="2322"/>
      <c r="AS937" s="2322"/>
      <c r="AT937" s="2322"/>
      <c r="AU937" s="2322"/>
      <c r="AV937" s="2322"/>
      <c r="AW937" s="2322"/>
      <c r="AX937" s="2322"/>
      <c r="AY937" s="2322"/>
      <c r="AZ937" s="2322"/>
      <c r="BA937" s="2322"/>
      <c r="BB937" s="2322"/>
      <c r="BC937" s="2322"/>
      <c r="BD937" s="2322"/>
      <c r="BE937" s="2322"/>
      <c r="BF937" s="2322"/>
      <c r="BG937" s="2322"/>
      <c r="BH937" s="2322"/>
      <c r="BI937" s="2322"/>
      <c r="BJ937" s="2322"/>
      <c r="BK937" s="2322"/>
      <c r="BL937" s="2322"/>
      <c r="BM937" s="2322"/>
      <c r="BN937" s="2322"/>
      <c r="BO937" s="2322"/>
      <c r="BP937" s="2322"/>
      <c r="BQ937" s="2322"/>
      <c r="BR937" s="2322"/>
      <c r="BS937" s="2322"/>
      <c r="BT937" s="2322"/>
      <c r="BU937" s="2322"/>
      <c r="BV937" s="2322"/>
      <c r="BW937" s="2322"/>
      <c r="BX937" s="2322"/>
      <c r="BY937" s="2322"/>
      <c r="BZ937" s="2322"/>
      <c r="CA937" s="2322"/>
      <c r="CB937" s="2322"/>
      <c r="CC937" s="2322"/>
      <c r="CD937" s="2322"/>
      <c r="CE937" s="2322"/>
      <c r="CF937" s="2322"/>
      <c r="CG937" s="2322"/>
      <c r="CH937" s="2322"/>
      <c r="CI937" s="2322"/>
      <c r="CJ937" s="2322"/>
      <c r="CK937" s="2322"/>
      <c r="CL937" s="2322"/>
      <c r="CM937" s="2322"/>
      <c r="CN937" s="2322"/>
      <c r="CO937" s="2322"/>
      <c r="CP937" s="2322"/>
      <c r="CQ937" s="2322"/>
      <c r="CR937" s="2322"/>
      <c r="CS937" s="2322"/>
      <c r="CT937" s="2322"/>
      <c r="CU937" s="2322"/>
      <c r="CV937" s="2322"/>
    </row>
    <row r="938" spans="1:100" ht="15.75" customHeight="1">
      <c r="A938" s="2328"/>
      <c r="B938" s="2322"/>
      <c r="C938" s="2322"/>
      <c r="D938" s="2322"/>
      <c r="E938" s="2322"/>
      <c r="F938" s="2322"/>
      <c r="G938" s="2322"/>
      <c r="H938" s="2322"/>
      <c r="I938" s="2322"/>
      <c r="J938" s="2322"/>
      <c r="K938" s="2322"/>
      <c r="L938" s="2322"/>
      <c r="M938" s="2322"/>
      <c r="N938" s="2322"/>
      <c r="O938" s="2322"/>
      <c r="P938" s="2322"/>
      <c r="Q938" s="2322"/>
      <c r="R938" s="2322"/>
      <c r="S938" s="2322"/>
      <c r="T938" s="2322"/>
      <c r="U938" s="2322"/>
      <c r="V938" s="2322"/>
      <c r="W938" s="2322"/>
      <c r="X938" s="2322"/>
      <c r="Y938" s="2322"/>
      <c r="Z938" s="2322"/>
      <c r="AA938" s="2322"/>
      <c r="AB938" s="2322"/>
      <c r="AC938" s="2322"/>
      <c r="AD938" s="2322"/>
      <c r="AE938" s="2322"/>
      <c r="AF938" s="2322"/>
      <c r="AG938" s="2322"/>
      <c r="AH938" s="2322"/>
      <c r="AI938" s="2322"/>
      <c r="AJ938" s="2322"/>
      <c r="AK938" s="2322"/>
      <c r="AL938" s="2322"/>
      <c r="AM938" s="2322"/>
      <c r="AN938" s="2322"/>
      <c r="AO938" s="2322"/>
      <c r="AP938" s="2322"/>
      <c r="AQ938" s="2322"/>
      <c r="AR938" s="2322"/>
      <c r="AS938" s="2322"/>
      <c r="AT938" s="2322"/>
      <c r="AU938" s="2322"/>
      <c r="AV938" s="2322"/>
      <c r="AW938" s="2322"/>
      <c r="AX938" s="2322"/>
      <c r="AY938" s="2322"/>
      <c r="AZ938" s="2322"/>
      <c r="BA938" s="2322"/>
      <c r="BB938" s="2322"/>
      <c r="BC938" s="2322"/>
      <c r="BD938" s="2322"/>
      <c r="BE938" s="2322"/>
      <c r="BF938" s="2322"/>
      <c r="BG938" s="2322"/>
      <c r="BH938" s="2322"/>
      <c r="BI938" s="2322"/>
      <c r="BJ938" s="2322"/>
      <c r="BK938" s="2322"/>
      <c r="BL938" s="2322"/>
      <c r="BM938" s="2322"/>
      <c r="BN938" s="2322"/>
      <c r="BO938" s="2322"/>
      <c r="BP938" s="2322"/>
      <c r="BQ938" s="2322"/>
      <c r="BR938" s="2322"/>
      <c r="BS938" s="2322"/>
      <c r="BT938" s="2322"/>
      <c r="BU938" s="2322"/>
      <c r="BV938" s="2322"/>
      <c r="BW938" s="2322"/>
      <c r="BX938" s="2322"/>
      <c r="BY938" s="2322"/>
      <c r="BZ938" s="2322"/>
      <c r="CA938" s="2322"/>
      <c r="CB938" s="2322"/>
      <c r="CC938" s="2322"/>
      <c r="CD938" s="2322"/>
      <c r="CE938" s="2322"/>
      <c r="CF938" s="2322"/>
      <c r="CG938" s="2322"/>
      <c r="CH938" s="2322"/>
      <c r="CI938" s="2322"/>
      <c r="CJ938" s="2322"/>
      <c r="CK938" s="2322"/>
      <c r="CL938" s="2322"/>
      <c r="CM938" s="2322"/>
      <c r="CN938" s="2322"/>
      <c r="CO938" s="2322"/>
      <c r="CP938" s="2322"/>
      <c r="CQ938" s="2322"/>
      <c r="CR938" s="2322"/>
      <c r="CS938" s="2322"/>
      <c r="CT938" s="2322"/>
      <c r="CU938" s="2322"/>
      <c r="CV938" s="2322"/>
    </row>
    <row r="939" spans="1:100" ht="15.75" customHeight="1">
      <c r="A939" s="2328"/>
      <c r="B939" s="2322"/>
      <c r="C939" s="2322"/>
      <c r="D939" s="2322"/>
      <c r="E939" s="2322"/>
      <c r="F939" s="2322"/>
      <c r="G939" s="2322"/>
      <c r="H939" s="2322"/>
      <c r="I939" s="2322"/>
      <c r="J939" s="2322"/>
      <c r="K939" s="2322"/>
      <c r="L939" s="2322"/>
      <c r="M939" s="2322"/>
      <c r="N939" s="2322"/>
      <c r="O939" s="2322"/>
      <c r="P939" s="2322"/>
      <c r="Q939" s="2322"/>
      <c r="R939" s="2322"/>
      <c r="S939" s="2322"/>
      <c r="T939" s="2322"/>
      <c r="U939" s="2322"/>
      <c r="V939" s="2322"/>
      <c r="W939" s="2322"/>
      <c r="X939" s="2322"/>
      <c r="Y939" s="2322"/>
      <c r="Z939" s="2322"/>
      <c r="AA939" s="2322"/>
      <c r="AB939" s="2322"/>
      <c r="AC939" s="2322"/>
      <c r="AD939" s="2322"/>
      <c r="AE939" s="2322"/>
      <c r="AF939" s="2322"/>
      <c r="AG939" s="2322"/>
      <c r="AH939" s="2322"/>
      <c r="AI939" s="2322"/>
      <c r="AJ939" s="2322"/>
      <c r="AK939" s="2322"/>
      <c r="AL939" s="2322"/>
      <c r="AM939" s="2322"/>
      <c r="AN939" s="2322"/>
      <c r="AO939" s="2322"/>
      <c r="AP939" s="2322"/>
      <c r="AQ939" s="2322"/>
      <c r="AR939" s="2322"/>
      <c r="AS939" s="2322"/>
      <c r="AT939" s="2322"/>
      <c r="AU939" s="2322"/>
      <c r="AV939" s="2322"/>
      <c r="AW939" s="2322"/>
      <c r="AX939" s="2322"/>
      <c r="AY939" s="2322"/>
      <c r="AZ939" s="2322"/>
      <c r="BA939" s="2322"/>
      <c r="BB939" s="2322"/>
      <c r="BC939" s="2322"/>
      <c r="BD939" s="2322"/>
      <c r="BE939" s="2322"/>
      <c r="BF939" s="2322"/>
      <c r="BG939" s="2322"/>
      <c r="BH939" s="2322"/>
      <c r="BI939" s="2322"/>
      <c r="BJ939" s="2322"/>
      <c r="BK939" s="2322"/>
      <c r="BL939" s="2322"/>
      <c r="BM939" s="2322"/>
      <c r="BN939" s="2322"/>
      <c r="BO939" s="2322"/>
      <c r="BP939" s="2322"/>
      <c r="BQ939" s="2322"/>
      <c r="BR939" s="2322"/>
      <c r="BS939" s="2322"/>
      <c r="BT939" s="2322"/>
      <c r="BU939" s="2322"/>
      <c r="BV939" s="2322"/>
      <c r="BW939" s="2322"/>
      <c r="BX939" s="2322"/>
      <c r="BY939" s="2322"/>
      <c r="BZ939" s="2322"/>
      <c r="CA939" s="2322"/>
      <c r="CB939" s="2322"/>
      <c r="CC939" s="2322"/>
      <c r="CD939" s="2322"/>
      <c r="CE939" s="2322"/>
      <c r="CF939" s="2322"/>
      <c r="CG939" s="2322"/>
      <c r="CH939" s="2322"/>
      <c r="CI939" s="2322"/>
      <c r="CJ939" s="2322"/>
      <c r="CK939" s="2322"/>
      <c r="CL939" s="2322"/>
      <c r="CM939" s="2322"/>
      <c r="CN939" s="2322"/>
      <c r="CO939" s="2322"/>
      <c r="CP939" s="2322"/>
      <c r="CQ939" s="2322"/>
      <c r="CR939" s="2322"/>
      <c r="CS939" s="2322"/>
      <c r="CT939" s="2322"/>
      <c r="CU939" s="2322"/>
      <c r="CV939" s="2322"/>
    </row>
    <row r="940" spans="1:100" ht="15.75" customHeight="1">
      <c r="A940" s="2328"/>
      <c r="B940" s="2322"/>
      <c r="C940" s="2322"/>
      <c r="D940" s="2322"/>
      <c r="E940" s="2322"/>
      <c r="F940" s="2322"/>
      <c r="G940" s="2322"/>
      <c r="H940" s="2322"/>
      <c r="I940" s="2322"/>
      <c r="J940" s="2322"/>
      <c r="K940" s="2322"/>
      <c r="L940" s="2322"/>
      <c r="M940" s="2322"/>
      <c r="N940" s="2322"/>
      <c r="O940" s="2322"/>
      <c r="P940" s="2322"/>
      <c r="Q940" s="2322"/>
      <c r="R940" s="2322"/>
      <c r="S940" s="2322"/>
      <c r="T940" s="2322"/>
      <c r="U940" s="2322"/>
      <c r="V940" s="2322"/>
      <c r="W940" s="2322"/>
      <c r="X940" s="2322"/>
      <c r="Y940" s="2322"/>
      <c r="Z940" s="2322"/>
      <c r="AA940" s="2322"/>
      <c r="AB940" s="2322"/>
      <c r="AC940" s="2322"/>
      <c r="AD940" s="2322"/>
      <c r="AE940" s="2322"/>
      <c r="AF940" s="2322"/>
      <c r="AG940" s="2322"/>
      <c r="AH940" s="2322"/>
      <c r="AI940" s="2322"/>
      <c r="AJ940" s="2322"/>
      <c r="AK940" s="2322"/>
      <c r="AL940" s="2322"/>
      <c r="AM940" s="2322"/>
      <c r="AN940" s="2322"/>
      <c r="AO940" s="2322"/>
      <c r="AP940" s="2322"/>
      <c r="AQ940" s="2322"/>
      <c r="AR940" s="2322"/>
      <c r="AS940" s="2322"/>
      <c r="AT940" s="2322"/>
      <c r="AU940" s="2322"/>
      <c r="AV940" s="2322"/>
      <c r="AW940" s="2322"/>
      <c r="AX940" s="2322"/>
      <c r="AY940" s="2322"/>
      <c r="AZ940" s="2322"/>
      <c r="BA940" s="2322"/>
      <c r="BB940" s="2322"/>
      <c r="BC940" s="2322"/>
      <c r="BD940" s="2322"/>
      <c r="BE940" s="2322"/>
      <c r="BF940" s="2322"/>
      <c r="BG940" s="2322"/>
      <c r="BH940" s="2322"/>
      <c r="BI940" s="2322"/>
      <c r="BJ940" s="2322"/>
      <c r="BK940" s="2322"/>
      <c r="BL940" s="2322"/>
      <c r="BM940" s="2322"/>
      <c r="BN940" s="2322"/>
      <c r="BO940" s="2322"/>
      <c r="BP940" s="2322"/>
      <c r="BQ940" s="2322"/>
      <c r="BR940" s="2322"/>
      <c r="BS940" s="2322"/>
      <c r="BT940" s="2322"/>
      <c r="BU940" s="2322"/>
      <c r="BV940" s="2322"/>
      <c r="BW940" s="2322"/>
      <c r="BX940" s="2322"/>
      <c r="BY940" s="2322"/>
      <c r="BZ940" s="2322"/>
      <c r="CA940" s="2322"/>
      <c r="CB940" s="2322"/>
      <c r="CC940" s="2322"/>
      <c r="CD940" s="2322"/>
      <c r="CE940" s="2322"/>
      <c r="CF940" s="2322"/>
      <c r="CG940" s="2322"/>
      <c r="CH940" s="2322"/>
      <c r="CI940" s="2322"/>
      <c r="CJ940" s="2322"/>
      <c r="CK940" s="2322"/>
      <c r="CL940" s="2322"/>
      <c r="CM940" s="2322"/>
      <c r="CN940" s="2322"/>
      <c r="CO940" s="2322"/>
      <c r="CP940" s="2322"/>
      <c r="CQ940" s="2322"/>
      <c r="CR940" s="2322"/>
      <c r="CS940" s="2322"/>
      <c r="CT940" s="2322"/>
      <c r="CU940" s="2322"/>
      <c r="CV940" s="2322"/>
    </row>
    <row r="941" spans="1:100" ht="15.75" customHeight="1">
      <c r="A941" s="2328"/>
      <c r="B941" s="2322"/>
      <c r="C941" s="2322"/>
      <c r="D941" s="2322"/>
      <c r="E941" s="2322"/>
      <c r="F941" s="2322"/>
      <c r="G941" s="2322"/>
      <c r="H941" s="2322"/>
      <c r="I941" s="2322"/>
      <c r="J941" s="2322"/>
      <c r="K941" s="2322"/>
      <c r="L941" s="2322"/>
      <c r="M941" s="2322"/>
      <c r="N941" s="2322"/>
      <c r="O941" s="2322"/>
      <c r="P941" s="2322"/>
      <c r="Q941" s="2322"/>
      <c r="R941" s="2322"/>
      <c r="S941" s="2322"/>
      <c r="T941" s="2322"/>
      <c r="U941" s="2322"/>
      <c r="V941" s="2322"/>
      <c r="W941" s="2322"/>
      <c r="X941" s="2322"/>
      <c r="Y941" s="2322"/>
      <c r="Z941" s="2322"/>
      <c r="AA941" s="2322"/>
      <c r="AB941" s="2322"/>
      <c r="AC941" s="2322"/>
      <c r="AD941" s="2322"/>
      <c r="AE941" s="2322"/>
      <c r="AF941" s="2322"/>
      <c r="AG941" s="2322"/>
      <c r="AH941" s="2322"/>
      <c r="AI941" s="2322"/>
      <c r="AJ941" s="2322"/>
      <c r="AK941" s="2322"/>
      <c r="AL941" s="2322"/>
      <c r="AM941" s="2322"/>
      <c r="AN941" s="2322"/>
      <c r="AO941" s="2322"/>
      <c r="AP941" s="2322"/>
      <c r="AQ941" s="2322"/>
      <c r="AR941" s="2322"/>
      <c r="AS941" s="2322"/>
      <c r="AT941" s="2322"/>
      <c r="AU941" s="2322"/>
      <c r="AV941" s="2322"/>
      <c r="AW941" s="2322"/>
      <c r="AX941" s="2322"/>
      <c r="AY941" s="2322"/>
      <c r="AZ941" s="2322"/>
      <c r="BA941" s="2322"/>
      <c r="BB941" s="2322"/>
      <c r="BC941" s="2322"/>
      <c r="BD941" s="2322"/>
      <c r="BE941" s="2322"/>
      <c r="BF941" s="2322"/>
      <c r="BG941" s="2322"/>
      <c r="BH941" s="2322"/>
      <c r="BI941" s="2322"/>
      <c r="BJ941" s="2322"/>
      <c r="BK941" s="2322"/>
      <c r="BL941" s="2322"/>
      <c r="BM941" s="2322"/>
      <c r="BN941" s="2322"/>
      <c r="BO941" s="2322"/>
      <c r="BP941" s="2322"/>
      <c r="BQ941" s="2322"/>
      <c r="BR941" s="2322"/>
      <c r="BS941" s="2322"/>
      <c r="BT941" s="2322"/>
      <c r="BU941" s="2322"/>
      <c r="BV941" s="2322"/>
      <c r="BW941" s="2322"/>
      <c r="BX941" s="2322"/>
      <c r="BY941" s="2322"/>
      <c r="BZ941" s="2322"/>
      <c r="CA941" s="2322"/>
      <c r="CB941" s="2322"/>
      <c r="CC941" s="2322"/>
      <c r="CD941" s="2322"/>
      <c r="CE941" s="2322"/>
      <c r="CF941" s="2322"/>
      <c r="CG941" s="2322"/>
      <c r="CH941" s="2322"/>
      <c r="CI941" s="2322"/>
      <c r="CJ941" s="2322"/>
      <c r="CK941" s="2322"/>
      <c r="CL941" s="2322"/>
      <c r="CM941" s="2322"/>
      <c r="CN941" s="2322"/>
      <c r="CO941" s="2322"/>
      <c r="CP941" s="2322"/>
      <c r="CQ941" s="2322"/>
      <c r="CR941" s="2322"/>
      <c r="CS941" s="2322"/>
      <c r="CT941" s="2322"/>
      <c r="CU941" s="2322"/>
      <c r="CV941" s="2322"/>
    </row>
    <row r="942" spans="1:100" ht="15.75" customHeight="1">
      <c r="A942" s="2328"/>
      <c r="B942" s="2322"/>
      <c r="C942" s="2322"/>
      <c r="D942" s="2322"/>
      <c r="E942" s="2322"/>
      <c r="F942" s="2322"/>
      <c r="G942" s="2322"/>
      <c r="H942" s="2322"/>
      <c r="I942" s="2322"/>
      <c r="J942" s="2322"/>
      <c r="K942" s="2322"/>
      <c r="L942" s="2322"/>
      <c r="M942" s="2322"/>
      <c r="N942" s="2322"/>
      <c r="O942" s="2322"/>
      <c r="P942" s="2322"/>
      <c r="Q942" s="2322"/>
      <c r="R942" s="2322"/>
      <c r="S942" s="2322"/>
      <c r="T942" s="2322"/>
      <c r="U942" s="2322"/>
      <c r="V942" s="2322"/>
      <c r="W942" s="2322"/>
      <c r="X942" s="2322"/>
      <c r="Y942" s="2322"/>
      <c r="Z942" s="2322"/>
      <c r="AA942" s="2322"/>
      <c r="AB942" s="2322"/>
      <c r="AC942" s="2322"/>
      <c r="AD942" s="2322"/>
      <c r="AE942" s="2322"/>
      <c r="AF942" s="2322"/>
      <c r="AG942" s="2322"/>
      <c r="AH942" s="2322"/>
      <c r="AI942" s="2322"/>
      <c r="AJ942" s="2322"/>
      <c r="AK942" s="2322"/>
      <c r="AL942" s="2322"/>
      <c r="AM942" s="2322"/>
      <c r="AN942" s="2322"/>
      <c r="AO942" s="2322"/>
      <c r="AP942" s="2322"/>
      <c r="AQ942" s="2322"/>
      <c r="AR942" s="2322"/>
      <c r="AS942" s="2322"/>
      <c r="AT942" s="2322"/>
      <c r="AU942" s="2322"/>
      <c r="AV942" s="2322"/>
      <c r="AW942" s="2322"/>
      <c r="AX942" s="2322"/>
      <c r="AY942" s="2322"/>
      <c r="AZ942" s="2322"/>
      <c r="BA942" s="2322"/>
      <c r="BB942" s="2322"/>
      <c r="BC942" s="2322"/>
      <c r="BD942" s="2322"/>
      <c r="BE942" s="2322"/>
      <c r="BF942" s="2322"/>
      <c r="BG942" s="2322"/>
      <c r="BH942" s="2322"/>
      <c r="BI942" s="2322"/>
      <c r="BJ942" s="2322"/>
      <c r="BK942" s="2322"/>
      <c r="BL942" s="2322"/>
      <c r="BM942" s="2322"/>
      <c r="BN942" s="2322"/>
      <c r="BO942" s="2322"/>
      <c r="BP942" s="2322"/>
      <c r="BQ942" s="2322"/>
      <c r="BR942" s="2322"/>
      <c r="BS942" s="2322"/>
      <c r="BT942" s="2322"/>
      <c r="BU942" s="2322"/>
      <c r="BV942" s="2322"/>
      <c r="BW942" s="2322"/>
      <c r="BX942" s="2322"/>
      <c r="BY942" s="2322"/>
      <c r="BZ942" s="2322"/>
      <c r="CA942" s="2322"/>
      <c r="CB942" s="2322"/>
      <c r="CC942" s="2322"/>
      <c r="CD942" s="2322"/>
      <c r="CE942" s="2322"/>
      <c r="CF942" s="2322"/>
      <c r="CG942" s="2322"/>
      <c r="CH942" s="2322"/>
      <c r="CI942" s="2322"/>
      <c r="CJ942" s="2322"/>
      <c r="CK942" s="2322"/>
      <c r="CL942" s="2322"/>
      <c r="CM942" s="2322"/>
      <c r="CN942" s="2322"/>
      <c r="CO942" s="2322"/>
      <c r="CP942" s="2322"/>
      <c r="CQ942" s="2322"/>
      <c r="CR942" s="2322"/>
      <c r="CS942" s="2322"/>
      <c r="CT942" s="2322"/>
      <c r="CU942" s="2322"/>
      <c r="CV942" s="2322"/>
    </row>
  </sheetData>
  <mergeCells count="52">
    <mergeCell ref="C57:E57"/>
    <mergeCell ref="I57:K57"/>
    <mergeCell ref="C53:E53"/>
    <mergeCell ref="I53:K53"/>
    <mergeCell ref="C54:E54"/>
    <mergeCell ref="I54:K54"/>
    <mergeCell ref="C55:E55"/>
    <mergeCell ref="I55:K55"/>
    <mergeCell ref="D50:E50"/>
    <mergeCell ref="J50:K50"/>
    <mergeCell ref="D51:E51"/>
    <mergeCell ref="J51:K51"/>
    <mergeCell ref="C56:E56"/>
    <mergeCell ref="I56:K56"/>
    <mergeCell ref="D46:E46"/>
    <mergeCell ref="J46:K46"/>
    <mergeCell ref="D47:E47"/>
    <mergeCell ref="J47:K47"/>
    <mergeCell ref="D49:E49"/>
    <mergeCell ref="J49:K49"/>
    <mergeCell ref="D42:E42"/>
    <mergeCell ref="J42:K42"/>
    <mergeCell ref="D44:E44"/>
    <mergeCell ref="J44:K44"/>
    <mergeCell ref="D45:E45"/>
    <mergeCell ref="J45:K45"/>
    <mergeCell ref="D39:E39"/>
    <mergeCell ref="J39:K39"/>
    <mergeCell ref="D40:E40"/>
    <mergeCell ref="J40:K40"/>
    <mergeCell ref="D41:E41"/>
    <mergeCell ref="J41:K41"/>
    <mergeCell ref="D35:E35"/>
    <mergeCell ref="J35:K35"/>
    <mergeCell ref="D36:E36"/>
    <mergeCell ref="J36:K36"/>
    <mergeCell ref="D37:E37"/>
    <mergeCell ref="J37:K37"/>
    <mergeCell ref="D31:E31"/>
    <mergeCell ref="J31:K31"/>
    <mergeCell ref="D32:E32"/>
    <mergeCell ref="J32:K32"/>
    <mergeCell ref="D34:E34"/>
    <mergeCell ref="J34:K34"/>
    <mergeCell ref="C23:E23"/>
    <mergeCell ref="I23:K23"/>
    <mergeCell ref="C24:E24"/>
    <mergeCell ref="I24:K24"/>
    <mergeCell ref="D30:E30"/>
    <mergeCell ref="J30:K30"/>
    <mergeCell ref="D26:E26"/>
    <mergeCell ref="J26:K26"/>
  </mergeCells>
  <pageMargins left="0.7" right="0.7" top="0.75" bottom="0.75" header="0" footer="0"/>
  <pageSetup orientation="landscape"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I34"/>
  <sheetViews>
    <sheetView showGridLines="0" zoomScale="70" zoomScaleNormal="70" workbookViewId="0">
      <selection activeCell="M28" sqref="M28"/>
    </sheetView>
  </sheetViews>
  <sheetFormatPr defaultRowHeight="21.75"/>
  <cols>
    <col min="5" max="5" width="1.85546875" customWidth="1"/>
    <col min="8" max="8" width="1.42578125" customWidth="1"/>
    <col min="10" max="10" width="1" customWidth="1"/>
    <col min="12" max="12" width="1.42578125" customWidth="1"/>
    <col min="14" max="14" width="1.42578125" customWidth="1"/>
    <col min="16" max="16" width="1.28515625" customWidth="1"/>
    <col min="18" max="18" width="1.42578125" customWidth="1"/>
    <col min="20" max="20" width="1" customWidth="1"/>
    <col min="22" max="22" width="1" customWidth="1"/>
    <col min="24" max="24" width="1.42578125" customWidth="1"/>
    <col min="26" max="26" width="1.7109375" customWidth="1"/>
    <col min="28" max="28" width="1.42578125" customWidth="1"/>
    <col min="30" max="30" width="1.85546875" customWidth="1"/>
    <col min="32" max="32" width="1.5703125" customWidth="1"/>
    <col min="34" max="34" width="1.28515625" customWidth="1"/>
  </cols>
  <sheetData>
    <row r="1" spans="1:35">
      <c r="B1" s="538" t="s">
        <v>0</v>
      </c>
      <c r="C1" s="729">
        <f>'Cost EST. GM target'!L4</f>
        <v>1</v>
      </c>
      <c r="D1" s="1846" t="str">
        <f>'Cost EST. GM target'!$M$4</f>
        <v>VND</v>
      </c>
      <c r="E1" s="2186"/>
      <c r="G1" s="538" t="s">
        <v>2057</v>
      </c>
      <c r="H1" s="538"/>
      <c r="I1" s="2176">
        <f>'Cost EST. GM target'!$G$57</f>
        <v>100000</v>
      </c>
      <c r="J1" s="2185" t="s">
        <v>287</v>
      </c>
      <c r="M1" s="538"/>
    </row>
    <row r="2" spans="1:35">
      <c r="A2" s="4098" t="s">
        <v>1308</v>
      </c>
      <c r="B2" s="4098"/>
      <c r="C2" s="4098"/>
      <c r="D2" s="4098"/>
      <c r="E2" s="4098"/>
      <c r="F2" s="4098"/>
      <c r="G2" s="4098"/>
      <c r="H2" s="4098"/>
      <c r="I2" s="4098"/>
      <c r="J2" s="4098"/>
      <c r="K2" s="4098"/>
      <c r="L2" s="555"/>
    </row>
    <row r="3" spans="1:35">
      <c r="A3" s="434"/>
      <c r="B3" s="434"/>
      <c r="C3" s="434"/>
      <c r="D3" s="486"/>
      <c r="E3" s="486"/>
      <c r="F3" s="486"/>
      <c r="G3" s="486"/>
      <c r="H3" s="4100"/>
      <c r="I3" s="4101"/>
      <c r="J3" s="4101"/>
      <c r="K3" s="4101"/>
      <c r="L3" s="4101"/>
    </row>
    <row r="4" spans="1:35">
      <c r="A4" s="436"/>
      <c r="B4" s="436"/>
      <c r="C4" s="436"/>
      <c r="D4" s="486" t="s">
        <v>1562</v>
      </c>
      <c r="E4" s="486"/>
      <c r="F4" s="486"/>
      <c r="G4" s="486" t="s">
        <v>1562</v>
      </c>
      <c r="H4" s="486"/>
      <c r="I4" s="486" t="s">
        <v>1562</v>
      </c>
      <c r="J4" s="560"/>
      <c r="K4" s="486" t="s">
        <v>1562</v>
      </c>
      <c r="L4" s="486"/>
      <c r="M4" s="486" t="s">
        <v>1562</v>
      </c>
      <c r="N4" s="486"/>
      <c r="O4" s="486" t="s">
        <v>1562</v>
      </c>
      <c r="P4" s="486"/>
      <c r="Q4" s="486" t="s">
        <v>1562</v>
      </c>
      <c r="R4" s="560"/>
      <c r="S4" s="486" t="s">
        <v>1562</v>
      </c>
      <c r="T4" s="437"/>
      <c r="U4" s="486" t="s">
        <v>1562</v>
      </c>
      <c r="V4" s="437"/>
      <c r="W4" s="486" t="s">
        <v>1562</v>
      </c>
      <c r="Y4" s="486" t="s">
        <v>1562</v>
      </c>
      <c r="AA4" s="486" t="s">
        <v>1562</v>
      </c>
      <c r="AC4" s="486" t="s">
        <v>1562</v>
      </c>
      <c r="AE4" s="486" t="s">
        <v>1562</v>
      </c>
      <c r="AG4" s="486" t="s">
        <v>1562</v>
      </c>
      <c r="AI4" s="486" t="s">
        <v>1562</v>
      </c>
    </row>
    <row r="5" spans="1:35">
      <c r="A5" s="486"/>
      <c r="B5" s="486"/>
      <c r="C5" s="486"/>
      <c r="D5" s="563">
        <f>'Cost EST. GM target'!J14</f>
        <v>5000</v>
      </c>
      <c r="E5" s="2180"/>
      <c r="F5" s="2180"/>
      <c r="G5" s="563">
        <f>$D$5</f>
        <v>5000</v>
      </c>
      <c r="H5" s="2180"/>
      <c r="I5" s="563">
        <f>$D$5</f>
        <v>5000</v>
      </c>
      <c r="J5" s="560"/>
      <c r="K5" s="563">
        <f>$D$5</f>
        <v>5000</v>
      </c>
      <c r="L5" s="486"/>
      <c r="M5" s="563">
        <f>$D$5</f>
        <v>5000</v>
      </c>
      <c r="N5" s="486"/>
      <c r="O5" s="563">
        <f>$D$5</f>
        <v>5000</v>
      </c>
      <c r="P5" s="486"/>
      <c r="Q5" s="563">
        <f>$D$5</f>
        <v>5000</v>
      </c>
      <c r="R5" s="560"/>
      <c r="S5" s="563">
        <f>$D$5</f>
        <v>5000</v>
      </c>
      <c r="T5" s="437"/>
      <c r="U5" s="563">
        <f>$D$5</f>
        <v>5000</v>
      </c>
      <c r="V5" s="437"/>
      <c r="W5" s="563">
        <f>$D$5</f>
        <v>5000</v>
      </c>
      <c r="Y5" s="563">
        <f>$D$5</f>
        <v>5000</v>
      </c>
      <c r="AA5" s="563">
        <f>$D$5</f>
        <v>5000</v>
      </c>
      <c r="AC5" s="563">
        <f>$D$5</f>
        <v>5000</v>
      </c>
      <c r="AE5" s="563">
        <f>$D$5</f>
        <v>5000</v>
      </c>
      <c r="AG5" s="563">
        <f>$D$5</f>
        <v>5000</v>
      </c>
      <c r="AI5" s="563">
        <f>$D$5</f>
        <v>5000</v>
      </c>
    </row>
    <row r="6" spans="1:35" ht="25.5">
      <c r="A6" s="564"/>
      <c r="B6" s="564"/>
      <c r="C6" s="564"/>
      <c r="D6" s="565" t="s">
        <v>2060</v>
      </c>
      <c r="E6" s="565"/>
      <c r="F6" s="565"/>
      <c r="G6" s="565" t="s">
        <v>2061</v>
      </c>
      <c r="H6" s="565"/>
      <c r="I6" s="565" t="s">
        <v>2058</v>
      </c>
      <c r="J6" s="566"/>
      <c r="K6" s="2184" t="str">
        <f ca="1">"Carton, (size "&amp;ROUNDUP(input!$B$1186/25.4,2)&amp;"x"&amp;ROUNDUP(input!$C$1186/25.4,2)&amp;"x"&amp;ROUNDUP(input!$D$1186/25.4,2)&amp;" inch), "&amp;input!$H$1185&amp;"pcs/ctn"</f>
        <v>Carton, (size 14.3x19.77x15.52 inch), 150pcs/ctn</v>
      </c>
      <c r="L6" s="564" t="s">
        <v>2062</v>
      </c>
      <c r="M6" s="2184" t="str">
        <f ca="1">"Pallet, (size "&amp;ROUNDUP(input!$B$1188/25.4,2)&amp;"x"&amp;ROUNDUP(input!$C$1188/25.4,2)&amp;"x"&amp;ROUNDUP(input!$D$1188/25.4,2)&amp;" inch), "&amp;input!$H$1185*input!$H$1187&amp;"pcs/pallet"</f>
        <v>Pallet, (size 4.61x6.25x5.5 inch), 4050pcs/pallet</v>
      </c>
      <c r="N6" s="564" t="s">
        <v>2062</v>
      </c>
      <c r="O6" s="564" t="s">
        <v>2059</v>
      </c>
      <c r="P6" s="564"/>
      <c r="Q6" s="565" t="str">
        <f>'crayola temp'!$A$132</f>
        <v>1st</v>
      </c>
      <c r="R6" s="566"/>
      <c r="S6" s="565">
        <f>'crayola temp'!$A$133</f>
        <v>0</v>
      </c>
      <c r="T6" s="565"/>
      <c r="U6" s="565">
        <f>'crayola temp'!$A$134</f>
        <v>0</v>
      </c>
      <c r="V6" s="438"/>
      <c r="W6" s="565">
        <f>'crayola temp'!$A$135</f>
        <v>0</v>
      </c>
      <c r="Y6" s="565">
        <f>'crayola temp'!$A$136</f>
        <v>0</v>
      </c>
      <c r="AA6" s="565">
        <f>'crayola temp'!$A$137</f>
        <v>0</v>
      </c>
      <c r="AC6" s="565">
        <f>'crayola temp'!$A$138</f>
        <v>0</v>
      </c>
      <c r="AE6" s="565">
        <f>'crayola temp'!$A$139</f>
        <v>0</v>
      </c>
      <c r="AG6" s="565">
        <f>'crayola temp'!$A$140</f>
        <v>0</v>
      </c>
      <c r="AI6" s="565">
        <f>'crayola temp'!$A$141</f>
        <v>0</v>
      </c>
    </row>
    <row r="7" spans="1:35">
      <c r="A7" s="567" t="s">
        <v>1313</v>
      </c>
      <c r="B7" s="439"/>
      <c r="C7" s="439"/>
      <c r="D7" s="568">
        <f ca="1">SUM(D8:D15)</f>
        <v>1571.6236903746669</v>
      </c>
      <c r="E7" s="2169"/>
      <c r="F7" s="2169"/>
      <c r="G7" s="568">
        <f ca="1">SUM(G8:G15)</f>
        <v>125.16261989466668</v>
      </c>
      <c r="H7" s="2169"/>
      <c r="I7" s="568">
        <f>SUM(I8:I15)</f>
        <v>0</v>
      </c>
      <c r="J7" s="439"/>
      <c r="K7" s="568">
        <f ca="1">SUM(K8:K15)</f>
        <v>125.16261989466668</v>
      </c>
      <c r="L7" s="439"/>
      <c r="M7" s="568">
        <f>SUM(M8:M15)</f>
        <v>0</v>
      </c>
      <c r="N7" s="439"/>
      <c r="O7" s="568">
        <f>SUM(O8:O15)</f>
        <v>0</v>
      </c>
      <c r="P7" s="439"/>
      <c r="Q7" s="568">
        <f ca="1">SUM(Q8:Q15)</f>
        <v>0</v>
      </c>
      <c r="R7" s="439"/>
      <c r="S7" s="568">
        <f ca="1">SUM(S8:S15)</f>
        <v>0</v>
      </c>
      <c r="T7" s="2167"/>
      <c r="U7" s="568">
        <f ca="1">SUM(U8:U15)</f>
        <v>0</v>
      </c>
      <c r="V7" s="571"/>
      <c r="W7" s="568">
        <f ca="1">SUM(W8:W15)</f>
        <v>0</v>
      </c>
      <c r="Y7" s="568">
        <f ca="1">SUM(Y8:Y15)</f>
        <v>0</v>
      </c>
      <c r="AA7" s="568">
        <f ca="1">SUM(AA8:AA15)</f>
        <v>0</v>
      </c>
      <c r="AC7" s="568">
        <f ca="1">SUM(AC8:AC15)</f>
        <v>0</v>
      </c>
      <c r="AE7" s="568">
        <f ca="1">SUM(AE8:AE15)</f>
        <v>0</v>
      </c>
      <c r="AG7" s="568">
        <f ca="1">SUM(AG8:AG15)</f>
        <v>0</v>
      </c>
      <c r="AI7" s="568">
        <f ca="1">SUM(AI8:AI15)</f>
        <v>0</v>
      </c>
    </row>
    <row r="8" spans="1:35">
      <c r="A8" s="439"/>
      <c r="B8" s="439" t="s">
        <v>1578</v>
      </c>
      <c r="C8" s="573" t="s">
        <v>1578</v>
      </c>
      <c r="D8" s="576">
        <f ca="1">'Cost EST. GM target'!J17</f>
        <v>562.77484848000006</v>
      </c>
      <c r="E8" s="576"/>
      <c r="F8" s="576"/>
      <c r="G8" s="576">
        <f>SUM(I8:AI8)</f>
        <v>0</v>
      </c>
      <c r="H8" s="576"/>
      <c r="I8" s="576">
        <v>0</v>
      </c>
      <c r="J8" s="441"/>
      <c r="K8" s="576">
        <v>0</v>
      </c>
      <c r="L8" s="577"/>
      <c r="M8" s="576">
        <v>0</v>
      </c>
      <c r="N8" s="577"/>
      <c r="O8" s="576">
        <v>0</v>
      </c>
      <c r="P8" s="577"/>
      <c r="Q8" s="576">
        <f>SUMIFS(Paper!$T$7:$T$29,Paper!$AO$7:$AO$29,$Q$6)/$C$1*(1+Paper!$T$3)</f>
        <v>0</v>
      </c>
      <c r="R8" s="441"/>
      <c r="S8" s="576">
        <f>SUMIFS(Paper!$T$7:$T$29,Paper!$AO$7:$AO$29,$S$6)/$C$1*(1+Paper!$T$3)</f>
        <v>0</v>
      </c>
      <c r="T8" s="579"/>
      <c r="U8" s="576">
        <f>SUMIFS(Paper!$T$7:$T$29,Paper!$AO$7:$AO$29,$U$6)/$C$1*(1+Paper!$T$3)</f>
        <v>0</v>
      </c>
      <c r="V8" s="571"/>
      <c r="W8" s="576">
        <f>SUMIFS(Paper!$T$7:$T$29,Paper!$AO$7:$AO$29,$W$6)/$C$1*(1+Paper!$T$3)</f>
        <v>0</v>
      </c>
      <c r="Y8" s="576">
        <f>SUMIFS(Paper!$T$7:$T$29,Paper!$AO$7:$AO$29,$Y$6)/$C$1*(1+Paper!$T$3)</f>
        <v>0</v>
      </c>
      <c r="AA8" s="576">
        <f>SUMIFS(Paper!$T$7:$T$29,Paper!$AO$7:$AO$29,$AA$6)/$C$1*(1+Paper!$T$3)</f>
        <v>0</v>
      </c>
      <c r="AC8" s="576">
        <f>SUMIFS(Paper!$T$7:$T$29,Paper!$AO$7:$AO$29,$AC$6)/$C$1*(1+Paper!$T$3)</f>
        <v>0</v>
      </c>
      <c r="AE8" s="576">
        <f>SUMIFS(Paper!$T$7:$T$29,Paper!$AO$7:$AO$29,$AE$6)/$C$1*(1+Paper!$T$3)</f>
        <v>0</v>
      </c>
      <c r="AG8" s="576">
        <f>SUMIFS(Paper!$T$7:$T$29,Paper!$AO$7:$AO$29,$AG$6)/$C$1*(1+Paper!$T$3)</f>
        <v>0</v>
      </c>
      <c r="AI8" s="576">
        <f>SUMIFS(Paper!$T$7:$T$29,Paper!$AO$7:$AO$29,$AI$6)/$C$1*(1+Paper!$T$3)</f>
        <v>0</v>
      </c>
    </row>
    <row r="9" spans="1:35">
      <c r="A9" s="439"/>
      <c r="B9" s="439" t="s">
        <v>1564</v>
      </c>
      <c r="C9" s="573" t="s">
        <v>1564</v>
      </c>
      <c r="D9" s="576">
        <f ca="1">'Cost EST. GM target'!J18</f>
        <v>692.97382200000004</v>
      </c>
      <c r="E9" s="576"/>
      <c r="F9" s="576"/>
      <c r="G9" s="576">
        <f t="shared" ref="G9:G15" ca="1" si="0">SUM(I9:AI9)</f>
        <v>0</v>
      </c>
      <c r="H9" s="576"/>
      <c r="I9" s="576">
        <v>0</v>
      </c>
      <c r="J9" s="441"/>
      <c r="K9" s="576">
        <v>0</v>
      </c>
      <c r="L9" s="577"/>
      <c r="M9" s="576">
        <v>0</v>
      </c>
      <c r="N9" s="577"/>
      <c r="O9" s="576">
        <v>0</v>
      </c>
      <c r="P9" s="577"/>
      <c r="Q9" s="576">
        <f ca="1">SUMIFS(Paper!$T$33:$T$57,Paper!$AO$33:$AO$57,$Q$6)/$C$1*(1+Paper!$T$3)</f>
        <v>0</v>
      </c>
      <c r="R9" s="441"/>
      <c r="S9" s="576">
        <f ca="1">SUMIFS(Paper!$T$33:$T$57,Paper!$AO$33:$AO$57,$S$6)/$C$1*(1+Paper!$T$3)</f>
        <v>0</v>
      </c>
      <c r="T9" s="2168"/>
      <c r="U9" s="576">
        <f ca="1">SUMIFS(Paper!$T$33:$T$57,Paper!$AO$33:$AO$57,$U$6)/$C$1*(1+Paper!$T$3)</f>
        <v>0</v>
      </c>
      <c r="V9" s="571"/>
      <c r="W9" s="576">
        <f ca="1">SUMIFS(Paper!$T$33:$T$57,Paper!$AO$33:$AO$57,$W$6)/$C$1*(1+Paper!$T$3)</f>
        <v>0</v>
      </c>
      <c r="Y9" s="576">
        <f ca="1">SUMIFS(Paper!$T$33:$T$57,Paper!$AO$33:$AO$57,$Y$6)/$C$1*(1+Paper!$T$3)</f>
        <v>0</v>
      </c>
      <c r="AA9" s="576">
        <f ca="1">SUMIFS(Paper!$T$33:$T$57,Paper!$AO$33:$AO$57,$AA$6)/$C$1*(1+Paper!$T$3)</f>
        <v>0</v>
      </c>
      <c r="AC9" s="576">
        <f ca="1">SUMIFS(Paper!$T$33:$T$57,Paper!$AO$33:$AO$57,$AC$6)/$C$1*(1+Paper!$T$3)</f>
        <v>0</v>
      </c>
      <c r="AE9" s="576">
        <f ca="1">SUMIFS(Paper!$T$33:$T$57,Paper!$AO$33:$AO$57,$AE$6)/$C$1*(1+Paper!$T$3)</f>
        <v>0</v>
      </c>
      <c r="AG9" s="576">
        <f ca="1">SUMIFS(Paper!$T$33:$T$57,Paper!$AO$33:$AO$57,$AG$6)/$C$1*(1+Paper!$T$3)</f>
        <v>0</v>
      </c>
      <c r="AI9" s="576">
        <f ca="1">SUMIFS(Paper!$T$33:$T$57,Paper!$AO$33:$AO$57,$AI$6)/$C$1*(1+Paper!$T$3)</f>
        <v>0</v>
      </c>
    </row>
    <row r="10" spans="1:35">
      <c r="A10" s="439"/>
      <c r="B10" s="439" t="s">
        <v>213</v>
      </c>
      <c r="C10" s="573" t="str">
        <f>'Cost EST. GM target'!E19</f>
        <v>1 Color(s)</v>
      </c>
      <c r="D10" s="576">
        <f ca="1">'Cost EST. GM target'!J19</f>
        <v>43.982399999999998</v>
      </c>
      <c r="E10" s="576"/>
      <c r="F10" s="576"/>
      <c r="G10" s="576">
        <f t="shared" ca="1" si="0"/>
        <v>0</v>
      </c>
      <c r="H10" s="576"/>
      <c r="I10" s="576">
        <v>0</v>
      </c>
      <c r="J10" s="441"/>
      <c r="K10" s="576">
        <v>0</v>
      </c>
      <c r="L10" s="577"/>
      <c r="M10" s="576">
        <v>0</v>
      </c>
      <c r="N10" s="582"/>
      <c r="O10" s="576">
        <v>0</v>
      </c>
      <c r="P10" s="582"/>
      <c r="Q10" s="576">
        <f ca="1">SUMIFS(Ink!$M$10:$M$262,Ink!$N$10:$N$262,$Q$6)/$C$1*(1+Ink!$M$5)</f>
        <v>0</v>
      </c>
      <c r="R10" s="441"/>
      <c r="S10" s="576">
        <f ca="1">SUMIFS(Ink!$M$10:$M$262,Ink!$N$10:$N$262,$S$6)/$C$1*(1+Ink!$M$5)</f>
        <v>0</v>
      </c>
      <c r="T10" s="2168"/>
      <c r="U10" s="576">
        <f ca="1">SUMIFS(Ink!$M$10:$M$262,Ink!$N$10:$N$262,$U$6)/$C$1*(1+Ink!$M$5)</f>
        <v>0</v>
      </c>
      <c r="V10" s="571"/>
      <c r="W10" s="576">
        <f ca="1">SUMIFS(Ink!$M$10:$M$262,Ink!$N$10:$N$262,$W$6)/$C$1*(1+Ink!$M$5)</f>
        <v>0</v>
      </c>
      <c r="Y10" s="576">
        <f ca="1">SUMIFS(Ink!$M$10:$M$262,Ink!$N$10:$N$262,$Y$6)/$C$1*(1+Ink!$M$5)</f>
        <v>0</v>
      </c>
      <c r="AA10" s="576">
        <f ca="1">SUMIFS(Ink!$M$10:$M$262,Ink!$N$10:$N$262,$AA$6)/C1*(1+Ink!$M$5)</f>
        <v>0</v>
      </c>
      <c r="AC10" s="576">
        <f ca="1">SUMIFS(Ink!$M$10:$M$262,Ink!$N$10:$N$262,$AC$6)/$C$1*(1+Ink!$M$5)</f>
        <v>0</v>
      </c>
      <c r="AE10" s="576">
        <f ca="1">SUMIFS(Ink!$M$10:$M$262,Ink!$N$10:$N$262,$AE$6)/$C$1*(1+Ink!$M$5)</f>
        <v>0</v>
      </c>
      <c r="AG10" s="576">
        <f ca="1">SUMIFS(Ink!$M$10:$M$262,Ink!$N$10:$N$262,$AG$6)/$C$1*(1+Ink!$M$5)</f>
        <v>0</v>
      </c>
      <c r="AI10" s="576">
        <f ca="1">SUMIFS(Ink!$M$10:$M$262,Ink!$N$10:$N$262,$AI$6)/$C$1*(1+Ink!$M$5)</f>
        <v>0</v>
      </c>
    </row>
    <row r="11" spans="1:35">
      <c r="A11" s="439"/>
      <c r="B11" s="439" t="s">
        <v>1463</v>
      </c>
      <c r="C11" s="584"/>
      <c r="D11" s="576">
        <f ca="1">'Cost EST. GM target'!J20</f>
        <v>73.92</v>
      </c>
      <c r="E11" s="576"/>
      <c r="F11" s="576"/>
      <c r="G11" s="576">
        <f t="shared" ca="1" si="0"/>
        <v>0</v>
      </c>
      <c r="H11" s="576"/>
      <c r="I11" s="576">
        <v>0</v>
      </c>
      <c r="J11" s="441"/>
      <c r="K11" s="576">
        <v>0</v>
      </c>
      <c r="L11" s="577"/>
      <c r="M11" s="576">
        <v>0</v>
      </c>
      <c r="N11" s="587"/>
      <c r="O11" s="576">
        <v>0</v>
      </c>
      <c r="P11" s="587"/>
      <c r="Q11" s="576">
        <f ca="1">SUMIFS(Coating!$N$8:$N$186,Coating!$O$8:$O$186,$Q$6)/$C$1*(1+Coating!$N$4)</f>
        <v>0</v>
      </c>
      <c r="R11" s="441"/>
      <c r="S11" s="576">
        <f ca="1">SUMIFS(Coating!$N$8:$N$186,Coating!$O$8:$O$186,$S$6)/$C$1*(1+Coating!$N$4)</f>
        <v>0</v>
      </c>
      <c r="T11" s="2168"/>
      <c r="U11" s="576">
        <f ca="1">SUMIFS(Coating!$N$8:$N$186,Coating!$O$8:$O$186,$U$6)/$C$1*(1+Coating!$N$4)</f>
        <v>0</v>
      </c>
      <c r="V11" s="571"/>
      <c r="W11" s="576">
        <f ca="1">SUMIFS(Coating!$N$8:$N$186,Coating!$O$8:$O$186,$W$6)/$C$1*(1+Coating!$N$4)</f>
        <v>0</v>
      </c>
      <c r="Y11" s="576">
        <f ca="1">SUMIFS(Coating!$N$8:$N$186,Coating!$O$8:$O$186,$Y$6)/$C$1*(1+Coating!$N$4)</f>
        <v>0</v>
      </c>
      <c r="AA11" s="576">
        <f ca="1">SUMIFS(Coating!$N$8:$N$186,Coating!$O$8:$O$186,$AA$6)/C1*(1+Coating!$N$4)</f>
        <v>0</v>
      </c>
      <c r="AC11" s="576">
        <f ca="1">SUMIFS(Coating!$N$8:$N$186,Coating!$O$8:$O$186,$AC$6)/$C$1*(1+Coating!$N$4)</f>
        <v>0</v>
      </c>
      <c r="AE11" s="576">
        <f ca="1">SUMIFS(Coating!$N$8:$N$186,Coating!$O$8:$O$186,$AE$6)/$C$1*(1+Coating!$N$4)</f>
        <v>0</v>
      </c>
      <c r="AG11" s="576">
        <f ca="1">SUMIFS(Coating!$N$8:$N$186,Coating!$O$8:$O$186,$AG$6)/$C$1*(1+Coating!$N$4)</f>
        <v>0</v>
      </c>
      <c r="AI11" s="576">
        <f ca="1">SUMIFS(Coating!$N$8:$N$186,Coating!$O$8:$O$186,$AI$6)/$C$1*(1+Coating!$N$4)</f>
        <v>0</v>
      </c>
    </row>
    <row r="12" spans="1:35">
      <c r="A12" s="439"/>
      <c r="B12" s="439" t="s">
        <v>1322</v>
      </c>
      <c r="C12" s="584"/>
      <c r="D12" s="576">
        <f ca="1">'Cost EST. GM target'!J21</f>
        <v>72.81</v>
      </c>
      <c r="E12" s="576"/>
      <c r="F12" s="576"/>
      <c r="G12" s="576">
        <f t="shared" ca="1" si="0"/>
        <v>0</v>
      </c>
      <c r="H12" s="576"/>
      <c r="I12" s="576">
        <v>0</v>
      </c>
      <c r="J12" s="441"/>
      <c r="K12" s="576">
        <v>0</v>
      </c>
      <c r="L12" s="577"/>
      <c r="M12" s="576">
        <v>0</v>
      </c>
      <c r="N12" s="589"/>
      <c r="O12" s="576">
        <v>0</v>
      </c>
      <c r="P12" s="589"/>
      <c r="Q12" s="576">
        <f ca="1">SUMIFS(Glue!$L$8:$L$154,Glue!$M$8:$M$154,$Q$6)/$C$1*(1+Glue!$L$4)</f>
        <v>0</v>
      </c>
      <c r="R12" s="441"/>
      <c r="S12" s="576">
        <f ca="1">SUMIFS(Glue!$L$8:$L$154,Glue!$M$8:$M$154,$S$6)/$C$1*(1+Glue!$L$4)</f>
        <v>0</v>
      </c>
      <c r="T12" s="2168"/>
      <c r="U12" s="576">
        <f ca="1">SUMIFS(Glue!$L$8:$L$154,Glue!$M$8:$M$154,$U$6)/$C$1*(1+Glue!$L$4)</f>
        <v>0</v>
      </c>
      <c r="V12" s="571"/>
      <c r="W12" s="576">
        <f ca="1">SUMIFS(Glue!$L$8:$L$154,Glue!$M$8:$M$154,$W$6)/$C$1*(1+Glue!$L$4)</f>
        <v>0</v>
      </c>
      <c r="Y12" s="576">
        <f ca="1">SUMIFS(Glue!$L$8:$L$154,Glue!$M$8:$M$154,$Y$6)/$C$1*(1+Glue!$L$4)</f>
        <v>0</v>
      </c>
      <c r="AA12" s="576">
        <f ca="1">SUMIFS(Glue!$L$8:$L$154,Glue!$M$8:$M$154,$AA$6)/$C$1*(1+Glue!$L$4)</f>
        <v>0</v>
      </c>
      <c r="AC12" s="576">
        <f ca="1">SUMIFS(Glue!$L$8:$L$154,Glue!$M$8:$M$154,$AC$6)/$C$1*(1+Glue!$L$4)</f>
        <v>0</v>
      </c>
      <c r="AE12" s="576">
        <f ca="1">SUMIFS(Glue!$L$8:$L$154,Glue!$M$8:$M$154,$AE$6)/$C$1*(1+Glue!$L$4)</f>
        <v>0</v>
      </c>
      <c r="AG12" s="576">
        <f ca="1">SUMIFS(Glue!$L$8:$L$154,Glue!$M$8:$M$154,$AG$6)/$C$1*(1+Glue!$L$4)</f>
        <v>0</v>
      </c>
      <c r="AI12" s="576">
        <f ca="1">SUMIFS(Glue!$L$8:$L$154,Glue!$M$8:$M$154,$AI$6)/$C$1*(1+Glue!$L$4)</f>
        <v>0</v>
      </c>
    </row>
    <row r="13" spans="1:35">
      <c r="A13" s="439"/>
      <c r="B13" s="439" t="s">
        <v>1323</v>
      </c>
      <c r="C13" s="584"/>
      <c r="D13" s="576">
        <f>'Cost EST. GM target'!J22</f>
        <v>0</v>
      </c>
      <c r="E13" s="576"/>
      <c r="F13" s="576"/>
      <c r="G13" s="576">
        <f t="shared" si="0"/>
        <v>0</v>
      </c>
      <c r="H13" s="576"/>
      <c r="I13" s="576">
        <v>0</v>
      </c>
      <c r="J13" s="441"/>
      <c r="K13" s="576">
        <v>0</v>
      </c>
      <c r="L13" s="577"/>
      <c r="M13" s="576">
        <v>0</v>
      </c>
      <c r="N13" s="441"/>
      <c r="O13" s="576">
        <v>0</v>
      </c>
      <c r="P13" s="441"/>
      <c r="Q13" s="576">
        <f>$D$13</f>
        <v>0</v>
      </c>
      <c r="R13" s="441"/>
      <c r="S13" s="576">
        <v>0</v>
      </c>
      <c r="T13" s="579"/>
      <c r="U13" s="576">
        <v>0</v>
      </c>
      <c r="V13" s="571"/>
      <c r="W13" s="576">
        <v>0</v>
      </c>
      <c r="Y13" s="576">
        <v>0</v>
      </c>
      <c r="AA13" s="576">
        <v>0</v>
      </c>
      <c r="AC13" s="576">
        <v>0</v>
      </c>
      <c r="AE13" s="576">
        <v>0</v>
      </c>
      <c r="AG13" s="576">
        <v>0</v>
      </c>
      <c r="AI13" s="576">
        <v>0</v>
      </c>
    </row>
    <row r="14" spans="1:35">
      <c r="A14" s="439"/>
      <c r="B14" s="439" t="s">
        <v>1565</v>
      </c>
      <c r="C14" s="584"/>
      <c r="D14" s="576">
        <f>'Cost EST. GM target'!J23</f>
        <v>0</v>
      </c>
      <c r="E14" s="576"/>
      <c r="F14" s="576"/>
      <c r="G14" s="576">
        <f t="shared" si="0"/>
        <v>0</v>
      </c>
      <c r="H14" s="576"/>
      <c r="I14" s="576">
        <v>0</v>
      </c>
      <c r="J14" s="441"/>
      <c r="K14" s="576">
        <v>0</v>
      </c>
      <c r="L14" s="577"/>
      <c r="M14" s="576">
        <v>0</v>
      </c>
      <c r="N14" s="441"/>
      <c r="O14" s="576">
        <v>0</v>
      </c>
      <c r="P14" s="441"/>
      <c r="Q14" s="576">
        <f>$D$14</f>
        <v>0</v>
      </c>
      <c r="R14" s="441"/>
      <c r="S14" s="576">
        <v>0</v>
      </c>
      <c r="T14" s="2168"/>
      <c r="U14" s="576">
        <v>0</v>
      </c>
      <c r="V14" s="571"/>
      <c r="W14" s="576">
        <v>0</v>
      </c>
      <c r="Y14" s="576">
        <v>0</v>
      </c>
      <c r="AA14" s="576">
        <v>0</v>
      </c>
      <c r="AC14" s="576">
        <v>0</v>
      </c>
      <c r="AE14" s="576">
        <v>0</v>
      </c>
      <c r="AG14" s="576">
        <v>0</v>
      </c>
      <c r="AI14" s="576">
        <v>0</v>
      </c>
    </row>
    <row r="15" spans="1:35">
      <c r="A15" s="439"/>
      <c r="B15" s="439" t="s">
        <v>1324</v>
      </c>
      <c r="C15" s="584"/>
      <c r="D15" s="576">
        <f ca="1">'Cost EST. GM target'!J24</f>
        <v>125.16261989466669</v>
      </c>
      <c r="E15" s="576"/>
      <c r="F15" s="576"/>
      <c r="G15" s="576">
        <f t="shared" ca="1" si="0"/>
        <v>125.16261989466668</v>
      </c>
      <c r="H15" s="576"/>
      <c r="I15" s="576">
        <v>0</v>
      </c>
      <c r="J15" s="441"/>
      <c r="K15" s="576">
        <f ca="1">(SUM('Packing Materials'!$G$18,'Packing Materials'!$G$22:$G$23)/'Packing Materials'!$E$2+'Packing Materials'!$G$24)*(1+'Packing Materials'!$M$5)/$C$1*(1+'Packing Materials'!$M$4)</f>
        <v>125.16261989466668</v>
      </c>
      <c r="L15" s="441"/>
      <c r="M15" s="576">
        <f>(SUM('Packing Materials'!$G$19:$G$21)/'Packing Materials'!E2+SUM('Packing Materials'!$G$25:$G$27))*(1+'Packing Materials'!$M$5)/$C$1</f>
        <v>0</v>
      </c>
      <c r="N15" s="441"/>
      <c r="O15" s="576">
        <v>0</v>
      </c>
      <c r="P15" s="441"/>
      <c r="Q15" s="576">
        <v>0</v>
      </c>
      <c r="R15" s="441"/>
      <c r="S15" s="576">
        <v>0</v>
      </c>
      <c r="T15" s="2168"/>
      <c r="U15" s="576">
        <v>0</v>
      </c>
      <c r="V15" s="571"/>
      <c r="W15" s="576">
        <v>0</v>
      </c>
      <c r="Y15" s="576">
        <v>0</v>
      </c>
      <c r="AA15" s="576">
        <v>0</v>
      </c>
      <c r="AC15" s="576">
        <v>0</v>
      </c>
      <c r="AE15" s="576">
        <v>0</v>
      </c>
      <c r="AG15" s="576">
        <v>0</v>
      </c>
      <c r="AI15" s="576">
        <v>0</v>
      </c>
    </row>
    <row r="16" spans="1:35">
      <c r="A16" s="574"/>
      <c r="B16" s="585"/>
      <c r="C16" s="592"/>
      <c r="D16" s="593"/>
      <c r="E16" s="593"/>
      <c r="F16" s="593"/>
      <c r="G16" s="593"/>
      <c r="H16" s="593"/>
      <c r="I16" s="593"/>
      <c r="J16" s="594"/>
      <c r="K16" s="593"/>
      <c r="L16" s="585"/>
      <c r="M16" s="593"/>
      <c r="N16" s="585"/>
      <c r="O16" s="593"/>
      <c r="P16" s="585"/>
      <c r="Q16" s="593"/>
      <c r="R16" s="594"/>
      <c r="S16" s="593"/>
      <c r="T16" s="595"/>
      <c r="U16" s="593"/>
      <c r="V16" s="571"/>
      <c r="W16" s="593"/>
      <c r="Y16" s="593"/>
      <c r="AA16" s="593"/>
      <c r="AC16" s="593"/>
      <c r="AE16" s="593"/>
      <c r="AG16" s="593"/>
      <c r="AI16" s="593"/>
    </row>
    <row r="17" spans="1:35">
      <c r="A17" s="567" t="s">
        <v>1566</v>
      </c>
      <c r="B17" s="574"/>
      <c r="C17" s="573"/>
      <c r="D17" s="568">
        <f ca="1">'Cost EST. GM target'!J26</f>
        <v>413.30216041433829</v>
      </c>
      <c r="E17" s="2169"/>
      <c r="F17" s="2169"/>
      <c r="G17" s="568">
        <f ca="1">SUM(I17:AI17)</f>
        <v>0</v>
      </c>
      <c r="H17" s="2169"/>
      <c r="I17" s="568">
        <f ca="1">SUMIFS('Production cost'!$R$8:$R$694,'Production cost'!$T$8:$T$694,"Crayola")/$C$1</f>
        <v>0</v>
      </c>
      <c r="J17" s="439"/>
      <c r="K17" s="568">
        <v>0</v>
      </c>
      <c r="L17" s="597"/>
      <c r="M17" s="568">
        <v>0</v>
      </c>
      <c r="N17" s="597"/>
      <c r="O17" s="568">
        <v>0</v>
      </c>
      <c r="P17" s="597"/>
      <c r="Q17" s="568">
        <f ca="1">IF($Q$6=0,0,SUMIFS('Production cost'!$R$8:$R$694,'Production cost'!$T$8:$T$694,$Q$6))/$C$1</f>
        <v>0</v>
      </c>
      <c r="R17" s="439"/>
      <c r="S17" s="568">
        <f>IF($S$6=0,0,SUMIFS('Production cost'!$R$8:$R$694,'Production cost'!$T$8:$T$694,$S$6))/$C$1</f>
        <v>0</v>
      </c>
      <c r="T17" s="2167"/>
      <c r="U17" s="568">
        <f>IF($U$6=0,0,SUMIFS('Production cost'!$R$8:$R$694,'Production cost'!$T$8:$T$694,$U$6))/$C$1</f>
        <v>0</v>
      </c>
      <c r="V17" s="571"/>
      <c r="W17" s="568">
        <f>IF($W$6=0,0,SUMIFS('Production cost'!$R$8:$R$694,'Production cost'!$T$8:$T$694,$W$6))/$C$1</f>
        <v>0</v>
      </c>
      <c r="Y17" s="568">
        <f>IF($Y$6=0,0,SUMIFS('Production cost'!$R$8:$R$694,'Production cost'!$T$8:$T$694,$Y$6))/$C$1</f>
        <v>0</v>
      </c>
      <c r="AA17" s="568">
        <f>IF($AA$6=0,0,SUMIFS('Production cost'!$R$8:$R$694,'Production cost'!$T$8:$T$694,$AA$6))/$C$1</f>
        <v>0</v>
      </c>
      <c r="AC17" s="568">
        <f>IF($AC$6=0,0,SUMIFS('Production cost'!$R$8:$R$694,'Production cost'!$T$8:$T$694,$AC$6))/$C$1</f>
        <v>0</v>
      </c>
      <c r="AE17" s="568">
        <f>IF($AE$6=0,0,SUMIFS('Production cost'!$R$8:$R$694,'Production cost'!$T$8:$T$694,$AE$6))/$C$1</f>
        <v>0</v>
      </c>
      <c r="AG17" s="568">
        <f>IF($AG$6=0,0,SUMIFS('Production cost'!$R$8:$R$694,'Production cost'!$T$8:$T$694,$AG$6))/$C$1</f>
        <v>0</v>
      </c>
      <c r="AI17" s="568">
        <f>IF($AI$6=0,0,SUMIFS('Production cost'!$R$8:$R$694,'Production cost'!$T$8:$T$694,$AI$6))/$C$1</f>
        <v>0</v>
      </c>
    </row>
    <row r="18" spans="1:35" ht="7.5" customHeight="1">
      <c r="A18" s="567"/>
      <c r="B18" s="574"/>
      <c r="C18" s="573"/>
      <c r="D18" s="2169"/>
      <c r="E18" s="2169"/>
      <c r="F18" s="2169"/>
      <c r="G18" s="2169"/>
      <c r="H18" s="2169"/>
      <c r="I18" s="2169"/>
      <c r="J18" s="439"/>
      <c r="K18" s="2169"/>
      <c r="L18" s="597"/>
      <c r="M18" s="2169"/>
      <c r="N18" s="597"/>
      <c r="O18" s="2169"/>
      <c r="P18" s="597"/>
      <c r="Q18" s="2169"/>
      <c r="R18" s="439"/>
      <c r="S18" s="2169"/>
      <c r="T18" s="2167"/>
      <c r="U18" s="2169"/>
      <c r="V18" s="571"/>
      <c r="W18" s="2169"/>
      <c r="Y18" s="2169"/>
      <c r="AA18" s="2169"/>
      <c r="AC18" s="2169"/>
      <c r="AE18" s="2169"/>
      <c r="AG18" s="2169"/>
      <c r="AI18" s="2169"/>
    </row>
    <row r="19" spans="1:35">
      <c r="A19" s="567" t="s">
        <v>1314</v>
      </c>
      <c r="B19" s="574"/>
      <c r="C19" s="573"/>
      <c r="D19" s="568">
        <f ca="1">'Cost EST. GM target'!J28</f>
        <v>120.4</v>
      </c>
      <c r="E19" s="2169"/>
      <c r="F19" s="2169"/>
      <c r="G19" s="568">
        <f ca="1">SUM(I19:AI19)</f>
        <v>120.4</v>
      </c>
      <c r="H19" s="2169"/>
      <c r="I19" s="568">
        <v>0</v>
      </c>
      <c r="J19" s="439"/>
      <c r="K19" s="568">
        <v>0</v>
      </c>
      <c r="L19" s="597"/>
      <c r="M19" s="568">
        <v>0</v>
      </c>
      <c r="N19" s="597"/>
      <c r="O19" s="568">
        <f ca="1">'Cost EST. GM target'!$J$28</f>
        <v>120.4</v>
      </c>
      <c r="P19" s="597"/>
      <c r="Q19" s="568">
        <v>0</v>
      </c>
      <c r="R19" s="439"/>
      <c r="S19" s="568">
        <v>0</v>
      </c>
      <c r="T19" s="2167"/>
      <c r="U19" s="568">
        <v>0</v>
      </c>
      <c r="V19" s="571"/>
      <c r="W19" s="568">
        <v>0</v>
      </c>
      <c r="Y19" s="568">
        <v>0</v>
      </c>
      <c r="AA19" s="568">
        <v>0</v>
      </c>
      <c r="AC19" s="568">
        <v>0</v>
      </c>
      <c r="AE19" s="568">
        <v>0</v>
      </c>
      <c r="AG19" s="568">
        <v>0</v>
      </c>
      <c r="AI19" s="568">
        <v>0</v>
      </c>
    </row>
    <row r="20" spans="1:35" ht="6.75" customHeight="1">
      <c r="A20" s="567"/>
      <c r="B20" s="574"/>
      <c r="C20" s="573"/>
      <c r="D20" s="2169"/>
      <c r="E20" s="2169"/>
      <c r="F20" s="2169"/>
      <c r="G20" s="2169"/>
      <c r="H20" s="2169"/>
      <c r="I20" s="2169"/>
      <c r="J20" s="439"/>
      <c r="K20" s="2169"/>
      <c r="L20" s="597"/>
      <c r="M20" s="2169"/>
      <c r="N20" s="597"/>
      <c r="O20" s="2169"/>
      <c r="P20" s="597"/>
      <c r="Q20" s="2169"/>
      <c r="R20" s="439"/>
      <c r="S20" s="2169"/>
      <c r="T20" s="2167"/>
      <c r="U20" s="2169"/>
      <c r="V20" s="571"/>
      <c r="W20" s="2169"/>
      <c r="Y20" s="2169"/>
      <c r="AA20" s="2169"/>
      <c r="AC20" s="2169"/>
      <c r="AE20" s="2169"/>
      <c r="AG20" s="2169"/>
      <c r="AI20" s="2169"/>
    </row>
    <row r="21" spans="1:35">
      <c r="A21" s="567" t="s">
        <v>1567</v>
      </c>
      <c r="B21" s="439"/>
      <c r="C21" s="584"/>
      <c r="D21" s="568">
        <f ca="1">SUM(D22:D23)</f>
        <v>48.441589790897908</v>
      </c>
      <c r="E21" s="2169"/>
      <c r="F21" s="2169"/>
      <c r="G21" s="568">
        <f ca="1">SUM(I21:AI21)</f>
        <v>0</v>
      </c>
      <c r="H21" s="2169"/>
      <c r="I21" s="568">
        <f>SUM(I22:I23)</f>
        <v>0</v>
      </c>
      <c r="J21" s="439"/>
      <c r="K21" s="568">
        <f>SUM(K22:K23)</f>
        <v>0</v>
      </c>
      <c r="L21" s="598"/>
      <c r="M21" s="568">
        <f>SUM(M22:M23)</f>
        <v>0</v>
      </c>
      <c r="N21" s="598"/>
      <c r="O21" s="568">
        <f>SUM(O22:O23)</f>
        <v>0</v>
      </c>
      <c r="P21" s="598"/>
      <c r="Q21" s="568">
        <f ca="1">SUM(Q22:Q23)</f>
        <v>0</v>
      </c>
      <c r="R21" s="439"/>
      <c r="S21" s="568">
        <f ca="1">SUM(S22:S23)</f>
        <v>0</v>
      </c>
      <c r="T21" s="2167"/>
      <c r="U21" s="568">
        <f ca="1">SUM(U22:U23)</f>
        <v>0</v>
      </c>
      <c r="V21" s="571"/>
      <c r="W21" s="568">
        <f ca="1">SUM(W22:W23)</f>
        <v>0</v>
      </c>
      <c r="Y21" s="568">
        <f ca="1">SUM(Y22:Y23)</f>
        <v>0</v>
      </c>
      <c r="AA21" s="568">
        <f ca="1">SUM(AA22:AA23)</f>
        <v>0</v>
      </c>
      <c r="AC21" s="568">
        <f ca="1">SUM(AC22:AC23)</f>
        <v>0</v>
      </c>
      <c r="AE21" s="568">
        <f ca="1">SUM(AE22:AE23)</f>
        <v>0</v>
      </c>
      <c r="AG21" s="568">
        <f ca="1">SUM(AG22:AG23)</f>
        <v>0</v>
      </c>
      <c r="AI21" s="568">
        <f ca="1">SUM(AI22:AI23)</f>
        <v>0</v>
      </c>
    </row>
    <row r="22" spans="1:35">
      <c r="A22" s="439"/>
      <c r="B22" s="439" t="s">
        <v>1568</v>
      </c>
      <c r="C22" s="584"/>
      <c r="D22" s="576">
        <f ca="1">'Cost EST. GM target'!J31</f>
        <v>48.441589790897908</v>
      </c>
      <c r="E22" s="576"/>
      <c r="F22" s="576"/>
      <c r="G22" s="576">
        <f ca="1">SUM(I22:AI22)</f>
        <v>0</v>
      </c>
      <c r="H22" s="576"/>
      <c r="I22" s="576">
        <v>0</v>
      </c>
      <c r="J22" s="441"/>
      <c r="K22" s="576">
        <v>0</v>
      </c>
      <c r="L22" s="441"/>
      <c r="M22" s="576">
        <v>0</v>
      </c>
      <c r="N22" s="441"/>
      <c r="O22" s="576">
        <v>0</v>
      </c>
      <c r="P22" s="441"/>
      <c r="Q22" s="576">
        <f ca="1">SUMIFS('Fix Cost'!$N$9:$N$167,'Fix Cost'!$P$9:$P$167,$Q$6)/$C$1</f>
        <v>0</v>
      </c>
      <c r="R22" s="441"/>
      <c r="S22" s="576">
        <f ca="1">SUMIFS('Fix Cost'!$N$9:$N$167,'Fix Cost'!$P$9:$P$167,$S$6)/$C$1</f>
        <v>0</v>
      </c>
      <c r="T22" s="2168"/>
      <c r="U22" s="576">
        <f ca="1">SUMIFS('Fix Cost'!$N$9:$N$167,'Fix Cost'!$P$9:$P$167,$U$6)/$C$1</f>
        <v>0</v>
      </c>
      <c r="V22" s="571"/>
      <c r="W22" s="576">
        <f ca="1">SUMIFS('Fix Cost'!$N$9:$N$167,'Fix Cost'!$P$9:$P$167,$W$6)/$C$1</f>
        <v>0</v>
      </c>
      <c r="Y22" s="576">
        <f ca="1">SUMIFS('Fix Cost'!$N$9:$N$167,'Fix Cost'!$P$9:$P$167,$Y$6)/$C$1</f>
        <v>0</v>
      </c>
      <c r="AA22" s="576">
        <f ca="1">SUMIFS('Fix Cost'!$N$9:$N$167,'Fix Cost'!$P$9:$P$167,$AA$6)/$C$1</f>
        <v>0</v>
      </c>
      <c r="AC22" s="576">
        <f ca="1">SUMIFS('Fix Cost'!$N$9:$N$167,'Fix Cost'!$P$9:$P$167,$AC$6)/$C$1</f>
        <v>0</v>
      </c>
      <c r="AE22" s="576">
        <f ca="1">SUMIFS('Fix Cost'!$N$9:$N$167,'Fix Cost'!$P$9:$P$167,$AE$6)/$C$1</f>
        <v>0</v>
      </c>
      <c r="AG22" s="576">
        <f ca="1">SUMIFS('Fix Cost'!$N$9:$N$167,'Fix Cost'!$P$9:$P$167,$AG$6)/$C$1</f>
        <v>0</v>
      </c>
      <c r="AI22" s="576">
        <f ca="1">SUMIFS('Fix Cost'!$N$9:$N$167,'Fix Cost'!$P$9:$P$167,$AI$6)/$C$1</f>
        <v>0</v>
      </c>
    </row>
    <row r="23" spans="1:35">
      <c r="A23" s="498"/>
      <c r="B23" s="439" t="s">
        <v>1569</v>
      </c>
      <c r="C23" s="590"/>
      <c r="D23" s="576">
        <f ca="1">'Cost EST. GM target'!J32</f>
        <v>0</v>
      </c>
      <c r="E23" s="576"/>
      <c r="F23" s="576"/>
      <c r="G23" s="576">
        <f ca="1">SUM(I23:AI23)</f>
        <v>0</v>
      </c>
      <c r="H23" s="576"/>
      <c r="I23" s="576">
        <v>0</v>
      </c>
      <c r="J23" s="441"/>
      <c r="K23" s="576">
        <v>0</v>
      </c>
      <c r="L23" s="441"/>
      <c r="M23" s="576">
        <v>0</v>
      </c>
      <c r="N23" s="441"/>
      <c r="O23" s="576">
        <v>0</v>
      </c>
      <c r="P23" s="441"/>
      <c r="Q23" s="576">
        <f ca="1">IF($Q$6=0,0,ROUNDUP(SUMIFS('Proof cost'!$T$10:$T$222,'Proof cost'!$Y$10:$Y$222,$Q$6),-3))/IF($I$1&gt;0,$I$1,$Q$5)/$C$1*IF($D$23=0,0,1)</f>
        <v>0</v>
      </c>
      <c r="R23" s="441"/>
      <c r="S23" s="576">
        <f ca="1">IF($S$6=0,0,ROUNDUP(SUMIFS('Proof cost'!$T$10:$T$222,'Proof cost'!$Y$10:$Y$222,$S$6),-3))/IF($I$1&gt;0,$I$1,$S$5)/$C$1*IF($D$23=0,0,1)</f>
        <v>0</v>
      </c>
      <c r="T23" s="2168"/>
      <c r="U23" s="576">
        <f ca="1">IF($U$6=0,0,ROUNDUP(SUMIFS('Proof cost'!$T$10:$T$222,'Proof cost'!$Y$10:$Y$222,$U$6),-3))/IF($I$1&gt;0,$I$1,$U$5)/$C$1*IF($D$23=0,0,1)</f>
        <v>0</v>
      </c>
      <c r="V23" s="571"/>
      <c r="W23" s="576">
        <f ca="1">IF($W$6=0,0,ROUNDUP(SUMIFS('Proof cost'!$T$10:$T$222,'Proof cost'!$Y$10:$Y$222,$W$6),-3))/IF($I$1&gt;0,$I$1,$W$5)/$C$1*IF($D$23=0,0,1)</f>
        <v>0</v>
      </c>
      <c r="Y23" s="576">
        <f ca="1">IF($Y$6=0,0,ROUNDUP(SUMIFS('Proof cost'!$T$10:$T$222,'Proof cost'!$Y$10:$Y$222,$Y$6),-3))/IF($I$1&gt;0,$I$1,$Y$5)/$C$1*IF($D$23=0,0,1)</f>
        <v>0</v>
      </c>
      <c r="AA23" s="576">
        <f ca="1">IF($AA$6=0,0,ROUNDUP(SUMIFS('Proof cost'!$T$10:$T$222,'Proof cost'!$Y$10:$Y$222,$AA$6),-3))/IF($I$1&gt;0,$I$1,$AA$5)/$C$1*IF($D$23=0,0,1)</f>
        <v>0</v>
      </c>
      <c r="AC23" s="576">
        <f ca="1">IF($AC$6=0,0,ROUNDUP(SUMIFS('Proof cost'!$T$10:$T$222,'Proof cost'!$Y$10:$Y$222,$AC$6),-3))/IF($I$1&gt;0,$I$1,$AC$5)/$C$1*IF($D$23=0,0,1)</f>
        <v>0</v>
      </c>
      <c r="AE23" s="576">
        <f ca="1">IF($AE$6=0,0,ROUNDUP(SUMIFS('Proof cost'!$T$10:$T$222,'Proof cost'!$Y$10:$Y$222,$AE$6),-3))/IF($I$1&gt;0,$I$1,$AE$5)/$C$1*IF($D$23=0,0,1)</f>
        <v>0</v>
      </c>
      <c r="AG23" s="576">
        <f ca="1">IF($AG$6=0,0,ROUNDUP(SUMIFS('Proof cost'!$T$10:$T$222,'Proof cost'!$Y$10:$Y$222,$AG$6),-3))/IF($I$1&gt;0,$I$1,$AG$5)/$C$1*IF($D$23=0,0,1)</f>
        <v>0</v>
      </c>
      <c r="AI23" s="576">
        <f ca="1">IF($AI$6=0,0,ROUNDUP(SUMIFS('Proof cost'!$T$10:$T$222,'Proof cost'!$Y$10:$Y$222,$AI$6),-3))/IF($I$1&gt;0,$I$1,$AI$5)/$C$1*IF($D$23=0,0,1)</f>
        <v>0</v>
      </c>
    </row>
    <row r="24" spans="1:35">
      <c r="A24" s="567" t="s">
        <v>1570</v>
      </c>
      <c r="C24" s="436"/>
      <c r="D24" s="568">
        <f ca="1">'Cost EST. GM target'!J33</f>
        <v>961.80815831449718</v>
      </c>
      <c r="E24" s="2192">
        <f ca="1">D24/(SUM(D7,D17,D21)-$M$7)</f>
        <v>0.47301247139090402</v>
      </c>
      <c r="F24" s="2169"/>
      <c r="G24" s="568">
        <f ca="1">SUM(I24:AI24)</f>
        <v>59.203480162136614</v>
      </c>
      <c r="H24" s="2169"/>
      <c r="I24" s="2193">
        <f ca="1">SUM(I7,I17,I19,I21)*$E$24</f>
        <v>0</v>
      </c>
      <c r="J24" s="436"/>
      <c r="K24" s="2193">
        <f ca="1">SUM(K7,K17,K19,K21)*$E$24</f>
        <v>59.203480162136614</v>
      </c>
      <c r="L24" s="601"/>
      <c r="M24" s="2193">
        <f ca="1">SUM(M7,M17,M19,M21)*$E$24*0</f>
        <v>0</v>
      </c>
      <c r="N24" s="601"/>
      <c r="O24" s="2193">
        <f ca="1">SUM(O7,O17,O19,O21)*$E$24*0</f>
        <v>0</v>
      </c>
      <c r="P24" s="601"/>
      <c r="Q24" s="2193">
        <f ca="1">SUM(Q7,Q17,Q19,Q21)*$E$24</f>
        <v>0</v>
      </c>
      <c r="R24" s="436"/>
      <c r="S24" s="2193">
        <f ca="1">SUM(S7,S17,S19,S21)*$E$24</f>
        <v>0</v>
      </c>
      <c r="T24" s="602"/>
      <c r="U24" s="2193">
        <f ca="1">SUM(U7,U17,U19,U21)*$E$24</f>
        <v>0</v>
      </c>
      <c r="V24" s="436"/>
      <c r="W24" s="2193">
        <f ca="1">SUM(W7,W17,W19,W21)*$E$24</f>
        <v>0</v>
      </c>
      <c r="Y24" s="2193">
        <f ca="1">SUM(Y7,Y17,Y19,Y21)*$E$24</f>
        <v>0</v>
      </c>
      <c r="AA24" s="2193">
        <f ca="1">SUM(AA7,AA17,AA19,AA21)*$E$24</f>
        <v>0</v>
      </c>
      <c r="AC24" s="2193">
        <f ca="1">SUM(AC7,AC17,AC19,AC21)*$E$24</f>
        <v>0</v>
      </c>
      <c r="AE24" s="2193">
        <f ca="1">SUM(AE7,AE17,AE19,AE21)*$E$24</f>
        <v>0</v>
      </c>
      <c r="AG24" s="2193">
        <f ca="1">SUM(AG7,AG17,AG19,AG21)*$E$24</f>
        <v>0</v>
      </c>
      <c r="AI24" s="2193">
        <f ca="1">SUM(AI7,AI17,AI19,AI21)*$E$24</f>
        <v>0</v>
      </c>
    </row>
    <row r="25" spans="1:35" ht="7.5" customHeight="1">
      <c r="C25" s="436"/>
      <c r="D25" s="2169"/>
      <c r="E25" s="2169"/>
      <c r="F25" s="2169"/>
      <c r="G25" s="2169"/>
      <c r="H25" s="2169"/>
      <c r="I25" s="2169"/>
      <c r="J25" s="436"/>
      <c r="K25" s="2169"/>
      <c r="L25" s="601"/>
      <c r="M25" s="2169"/>
      <c r="N25" s="601"/>
      <c r="O25" s="2169"/>
      <c r="P25" s="601"/>
      <c r="Q25" s="2169"/>
      <c r="R25" s="436"/>
      <c r="S25" s="2169"/>
      <c r="T25" s="602"/>
      <c r="U25" s="2169"/>
      <c r="V25" s="436"/>
      <c r="W25" s="2169"/>
      <c r="Y25" s="2169"/>
      <c r="AA25" s="2169"/>
      <c r="AC25" s="2169"/>
      <c r="AE25" s="2169"/>
      <c r="AG25" s="2169"/>
      <c r="AI25" s="2169"/>
    </row>
    <row r="26" spans="1:35">
      <c r="B26" s="436"/>
      <c r="C26" s="490" t="s">
        <v>1571</v>
      </c>
      <c r="D26" s="606">
        <f>'Cost EST. GM target'!$J$35</f>
        <v>0.2</v>
      </c>
      <c r="E26" s="2181"/>
      <c r="F26" s="2181"/>
      <c r="G26" s="606">
        <f>'Cost EST. GM target'!$J$35</f>
        <v>0.2</v>
      </c>
      <c r="H26" s="2181"/>
      <c r="I26" s="606">
        <f>'Cost EST. GM target'!$J$35</f>
        <v>0.2</v>
      </c>
      <c r="J26" s="482"/>
      <c r="K26" s="606">
        <f>'Cost EST. GM target'!$J$35</f>
        <v>0.2</v>
      </c>
      <c r="L26" s="607"/>
      <c r="M26" s="606">
        <f>'Cost EST. GM target'!$J$35</f>
        <v>0.2</v>
      </c>
      <c r="N26" s="607"/>
      <c r="O26" s="606">
        <f>'Cost EST. GM target'!$J$35</f>
        <v>0.2</v>
      </c>
      <c r="P26" s="607"/>
      <c r="Q26" s="606">
        <f>'Cost EST. GM target'!$J$35</f>
        <v>0.2</v>
      </c>
      <c r="R26" s="482"/>
      <c r="S26" s="606">
        <f>'Cost EST. GM target'!$J$35</f>
        <v>0.2</v>
      </c>
      <c r="T26" s="531"/>
      <c r="U26" s="606">
        <f>'Cost EST. GM target'!$J$35</f>
        <v>0.2</v>
      </c>
      <c r="V26" s="482"/>
      <c r="W26" s="606">
        <f>'Cost EST. GM target'!$J$35</f>
        <v>0.2</v>
      </c>
      <c r="Y26" s="606">
        <f>'Cost EST. GM target'!$J$35</f>
        <v>0.2</v>
      </c>
      <c r="AA26" s="606">
        <f>'Cost EST. GM target'!$J$35</f>
        <v>0.2</v>
      </c>
      <c r="AC26" s="606">
        <f>'Cost EST. GM target'!$J$35</f>
        <v>0.2</v>
      </c>
      <c r="AE26" s="606">
        <f>'Cost EST. GM target'!$J$35</f>
        <v>0.2</v>
      </c>
      <c r="AG26" s="606">
        <f>'Cost EST. GM target'!$J$35</f>
        <v>0.2</v>
      </c>
      <c r="AI26" s="606">
        <f>'Cost EST. GM target'!$J$35</f>
        <v>0.2</v>
      </c>
    </row>
    <row r="27" spans="1:35">
      <c r="A27" s="482"/>
      <c r="B27" s="482"/>
      <c r="D27" s="593"/>
      <c r="E27" s="593"/>
      <c r="F27" s="593"/>
      <c r="G27" s="593"/>
      <c r="H27" s="593"/>
      <c r="I27" s="593"/>
      <c r="K27" s="593"/>
      <c r="L27" s="594"/>
      <c r="M27" s="593"/>
      <c r="N27" s="594"/>
      <c r="O27" s="593"/>
      <c r="P27" s="594"/>
      <c r="Q27" s="593"/>
      <c r="S27" s="593"/>
      <c r="U27" s="593"/>
      <c r="W27" s="593"/>
      <c r="Y27" s="593"/>
      <c r="AA27" s="593"/>
      <c r="AC27" s="593"/>
      <c r="AE27" s="593"/>
      <c r="AG27" s="593"/>
      <c r="AI27" s="593"/>
    </row>
    <row r="28" spans="1:35">
      <c r="A28" s="567" t="s">
        <v>1573</v>
      </c>
      <c r="B28" s="719" t="s">
        <v>1340</v>
      </c>
      <c r="D28" s="612">
        <f>'Cost EST. GM target'!$J$37</f>
        <v>2.2499999999999999E-2</v>
      </c>
      <c r="E28" s="2182"/>
      <c r="F28" s="2182"/>
      <c r="G28" s="612">
        <f>'Cost EST. GM target'!$J$37</f>
        <v>2.2499999999999999E-2</v>
      </c>
      <c r="H28" s="2182"/>
      <c r="I28" s="612">
        <f>'Cost EST. GM target'!$J$37</f>
        <v>2.2499999999999999E-2</v>
      </c>
      <c r="K28" s="612">
        <f>'Cost EST. GM target'!$J$37</f>
        <v>2.2499999999999999E-2</v>
      </c>
      <c r="L28" s="436"/>
      <c r="M28" s="612">
        <f>'Cost EST. GM target'!$J$37</f>
        <v>2.2499999999999999E-2</v>
      </c>
      <c r="N28" s="436"/>
      <c r="O28" s="612">
        <f>'Cost EST. GM target'!$J$37</f>
        <v>2.2499999999999999E-2</v>
      </c>
      <c r="P28" s="436"/>
      <c r="Q28" s="612">
        <f>'Cost EST. GM target'!$J$37</f>
        <v>2.2499999999999999E-2</v>
      </c>
      <c r="S28" s="612">
        <f>'Cost EST. GM target'!$J$37</f>
        <v>2.2499999999999999E-2</v>
      </c>
      <c r="U28" s="612">
        <f>'Cost EST. GM target'!$J$37</f>
        <v>2.2499999999999999E-2</v>
      </c>
      <c r="W28" s="612">
        <f>'Cost EST. GM target'!$J$37</f>
        <v>2.2499999999999999E-2</v>
      </c>
      <c r="Y28" s="612">
        <f>'Cost EST. GM target'!$J$37</f>
        <v>2.2499999999999999E-2</v>
      </c>
      <c r="AA28" s="612">
        <f>'Cost EST. GM target'!$J$37</f>
        <v>2.2499999999999999E-2</v>
      </c>
      <c r="AC28" s="612">
        <f>'Cost EST. GM target'!$J$37</f>
        <v>2.2499999999999999E-2</v>
      </c>
      <c r="AE28" s="612">
        <f>'Cost EST. GM target'!$J$37</f>
        <v>2.2499999999999999E-2</v>
      </c>
      <c r="AG28" s="612">
        <f>'Cost EST. GM target'!$J$37</f>
        <v>2.2499999999999999E-2</v>
      </c>
      <c r="AI28" s="612">
        <f>'Cost EST. GM target'!$J$37</f>
        <v>2.2499999999999999E-2</v>
      </c>
    </row>
    <row r="29" spans="1:35">
      <c r="A29" s="567" t="s">
        <v>1574</v>
      </c>
      <c r="B29" s="436"/>
      <c r="D29" s="568">
        <f ca="1">'Cost EST. GM target'!$J$38</f>
        <v>0</v>
      </c>
      <c r="E29" s="2169"/>
      <c r="F29" s="2169"/>
      <c r="G29" s="568">
        <f ca="1">'Cost EST. GM target'!$J$38</f>
        <v>0</v>
      </c>
      <c r="H29" s="2169"/>
      <c r="I29" s="568">
        <f ca="1">'Cost EST. GM target'!$J$38</f>
        <v>0</v>
      </c>
      <c r="K29" s="568">
        <f ca="1">'Cost EST. GM target'!$J$38</f>
        <v>0</v>
      </c>
      <c r="L29" s="607"/>
      <c r="M29" s="568">
        <f ca="1">'Cost EST. GM target'!$J$38</f>
        <v>0</v>
      </c>
      <c r="N29" s="607"/>
      <c r="O29" s="568">
        <f ca="1">'Cost EST. GM target'!$J$38</f>
        <v>0</v>
      </c>
      <c r="P29" s="607"/>
      <c r="Q29" s="568">
        <f ca="1">'Cost EST. GM target'!$J$38</f>
        <v>0</v>
      </c>
      <c r="S29" s="568">
        <f ca="1">'Cost EST. GM target'!$J$38</f>
        <v>0</v>
      </c>
      <c r="U29" s="568">
        <f ca="1">'Cost EST. GM target'!$J$38</f>
        <v>0</v>
      </c>
      <c r="W29" s="568">
        <f ca="1">'Cost EST. GM target'!$J$38</f>
        <v>0</v>
      </c>
      <c r="Y29" s="568">
        <f ca="1">'Cost EST. GM target'!$J$38</f>
        <v>0</v>
      </c>
      <c r="AA29" s="568">
        <f ca="1">'Cost EST. GM target'!$J$38</f>
        <v>0</v>
      </c>
      <c r="AC29" s="568">
        <f ca="1">'Cost EST. GM target'!$J$38</f>
        <v>0</v>
      </c>
      <c r="AE29" s="568">
        <f ca="1">'Cost EST. GM target'!$J$38</f>
        <v>0</v>
      </c>
      <c r="AG29" s="568">
        <f ca="1">'Cost EST. GM target'!$J$38</f>
        <v>0</v>
      </c>
      <c r="AI29" s="568">
        <f ca="1">'Cost EST. GM target'!$J$38</f>
        <v>0</v>
      </c>
    </row>
    <row r="30" spans="1:35">
      <c r="A30" s="567" t="s">
        <v>2939</v>
      </c>
      <c r="B30" s="436"/>
      <c r="D30" s="568">
        <f>'Cost EST. GM target'!J39</f>
        <v>0</v>
      </c>
      <c r="E30" s="2169"/>
      <c r="F30" s="2169"/>
      <c r="G30" s="2390">
        <f ca="1">(SUM(G7,G17,G21,G24,G19)/(1-G26)+G29+SUM(G7,G17,G21,G24,G19)*G28)*G34</f>
        <v>0</v>
      </c>
      <c r="H30" s="2169"/>
      <c r="I30" s="568">
        <f ca="1">(SUM(I7,I17,I21,I24,I19)/(1-I26)+I29+SUM(I7,I17,I21,I24,I19)*I28)*I34</f>
        <v>0</v>
      </c>
      <c r="K30" s="568">
        <f ca="1">(SUM(K7,K17,K21,K24,K19)/(1-K26)+K29+SUM(K7,K17,K21,K24,K19)*K28)*K34</f>
        <v>0</v>
      </c>
      <c r="L30" s="607"/>
      <c r="M30" s="568">
        <f ca="1">(SUM(M7,M17,M21,M24,M19)/(1-M26)+M29+SUM(M7,M17,M21,M24,M19)*M28)*M34</f>
        <v>0</v>
      </c>
      <c r="N30" s="607"/>
      <c r="O30" s="568">
        <f ca="1">(SUM(O7,O17,O21,O24,O19)/(1-O26)+O29+SUM(O7,O17,O21,O24,O19)*O28)*O34</f>
        <v>0</v>
      </c>
      <c r="P30" s="607"/>
      <c r="Q30" s="568">
        <f ca="1">(SUM(Q7,Q17,Q21,Q24,Q19)/(1-Q26)+Q29+SUM(Q7,Q17,Q21,Q24,Q19)*Q28)*Q34</f>
        <v>0</v>
      </c>
      <c r="S30" s="568">
        <f ca="1">(SUM(S7,S17,S21,S24,S19)/(1-S26)+S29+SUM(S7,S17,S21,S24,S19)*S28)*S34</f>
        <v>0</v>
      </c>
      <c r="U30" s="568">
        <f ca="1">(SUM(U7,U17,U21,U24,U19)/(1-U26)+U29+SUM(U7,U17,U21,U24,U19)*U28)*U34</f>
        <v>0</v>
      </c>
      <c r="W30" s="568">
        <f ca="1">(SUM(W7,W17,W21,W24,W19)/(1-W26)+W29+SUM(W7,W17,W21,W24,W19)*W28)*W34</f>
        <v>0</v>
      </c>
      <c r="Y30" s="568">
        <f ca="1">(SUM(Y7,Y17,Y21,Y24,Y19)/(1-Y26)+Y29+SUM(Y7,Y17,Y21,Y24,Y19)*Y28)*Y34</f>
        <v>0</v>
      </c>
      <c r="AA30" s="568">
        <f ca="1">(SUM(AA7,AA17,AA21,AA24,AA19)/(1-AA26)+AA29+SUM(AA7,AA17,AA21,AA24,AA19)*AA28)*AA34</f>
        <v>0</v>
      </c>
      <c r="AC30" s="568">
        <f ca="1">(SUM(AC7,AC17,AC21,AC24,AC19)/(1-AC26)+AC29+SUM(AC7,AC17,AC21,AC24,AC19)*AC28)*AC34</f>
        <v>0</v>
      </c>
      <c r="AE30" s="568">
        <f ca="1">(SUM(AE7,AE17,AE21,AE24,AE19)/(1-AE26)+AE29+SUM(AE7,AE17,AE21,AE24,AE19)*AE28)*AE34</f>
        <v>0</v>
      </c>
      <c r="AG30" s="568">
        <f ca="1">(SUM(AG7,AG17,AG21,AG24,AG19)/(1-AG26)+AG29+SUM(AG7,AG17,AG21,AG24,AG19)*AG28)*AG34</f>
        <v>0</v>
      </c>
      <c r="AI30" s="568">
        <f ca="1">(SUM(AI7,AI17,AI21,AI24,AI19)/(1-AI26)+AI29+SUM(AI7,AI17,AI21,AI24,AI19)*AI28)*AI34</f>
        <v>0</v>
      </c>
    </row>
    <row r="31" spans="1:35">
      <c r="A31" s="721" t="s">
        <v>1718</v>
      </c>
      <c r="B31" s="436"/>
      <c r="D31" s="568">
        <f>'Cost EST. GM target'!$J$40</f>
        <v>0</v>
      </c>
      <c r="E31" s="2169"/>
      <c r="F31" s="2169"/>
      <c r="G31" s="568">
        <f>'Cost EST. GM target'!$J$40</f>
        <v>0</v>
      </c>
      <c r="H31" s="2169"/>
      <c r="I31" s="568">
        <f>'Cost EST. GM target'!$J$40</f>
        <v>0</v>
      </c>
      <c r="K31" s="568">
        <f>'Cost EST. GM target'!$J$40</f>
        <v>0</v>
      </c>
      <c r="L31" s="607"/>
      <c r="M31" s="568">
        <f>'Cost EST. GM target'!$J$40</f>
        <v>0</v>
      </c>
      <c r="N31" s="607"/>
      <c r="O31" s="568">
        <f>'Cost EST. GM target'!$J$40</f>
        <v>0</v>
      </c>
      <c r="P31" s="607"/>
      <c r="Q31" s="568">
        <f>'Cost EST. GM target'!$J$40</f>
        <v>0</v>
      </c>
      <c r="S31" s="568">
        <f>'Cost EST. GM target'!$J$40</f>
        <v>0</v>
      </c>
      <c r="U31" s="568">
        <f>'Cost EST. GM target'!$J$40</f>
        <v>0</v>
      </c>
      <c r="W31" s="568">
        <f>'Cost EST. GM target'!$J$40</f>
        <v>0</v>
      </c>
      <c r="Y31" s="568">
        <f>'Cost EST. GM target'!$J$40</f>
        <v>0</v>
      </c>
      <c r="AA31" s="568">
        <f>'Cost EST. GM target'!$J$40</f>
        <v>0</v>
      </c>
      <c r="AC31" s="568">
        <f>'Cost EST. GM target'!$J$40</f>
        <v>0</v>
      </c>
      <c r="AE31" s="568">
        <f>'Cost EST. GM target'!$J$40</f>
        <v>0</v>
      </c>
      <c r="AG31" s="568">
        <f>'Cost EST. GM target'!$J$40</f>
        <v>0</v>
      </c>
      <c r="AI31" s="568">
        <f>'Cost EST. GM target'!$J$40</f>
        <v>0</v>
      </c>
    </row>
    <row r="32" spans="1:35">
      <c r="C32" s="490" t="s">
        <v>1316</v>
      </c>
      <c r="D32" s="615">
        <f ca="1">SUM(D7,D17,D21,D24,D19)/(1-D26)+D29+SUM(D7,D17,D21,D24,D19)*D28+D30+D31</f>
        <v>3964.5699495931249</v>
      </c>
      <c r="E32" s="2183"/>
      <c r="F32" s="2183"/>
      <c r="G32" s="615">
        <f ca="1">SUM(G7,G17,G21,G24,G19)/(1-G26)+G29+SUM(G7,G17,G21,G24,G19)*G28+G30+G31</f>
        <v>387.81486232228224</v>
      </c>
      <c r="H32" s="2183"/>
      <c r="I32" s="615">
        <f ca="1">SUM(I7,I17,I21,I24,I19)/(1-I26)+I29+SUM(I7,I17,I21,I24,I19)*I28+I30+I31</f>
        <v>0</v>
      </c>
      <c r="K32" s="615">
        <f ca="1">SUM(K7,K17,K21,K24,K19)/(1-K26)+K29+SUM(K7,K17,K21,K24,K19)*K28+K30+K31</f>
        <v>234.60586232228218</v>
      </c>
      <c r="L32" s="494"/>
      <c r="M32" s="615">
        <f ca="1">SUM(M7,M17,M21,M24,M19)/(1-M26)+M29+SUM(M7,M17,M21,M24,M19)*M28+M30+M31</f>
        <v>0</v>
      </c>
      <c r="N32" s="494"/>
      <c r="O32" s="615">
        <f ca="1">SUM(O7,O17,O21,O24,O19)/(1-O26)+O29+SUM(O7,O17,O21,O24,O19)*O28+O30+O31</f>
        <v>153.209</v>
      </c>
      <c r="P32" s="494"/>
      <c r="Q32" s="615">
        <f ca="1">SUM(Q7,Q17,Q21,Q24,Q19)/(1-Q26)+Q29+SUM(Q7,Q17,Q21,Q24,Q19)*Q28+Q30+Q31</f>
        <v>0</v>
      </c>
      <c r="S32" s="615">
        <f ca="1">SUM(S7,S17,S21,S24,S19)/(1-S26)+S29+SUM(S7,S17,S21,S24,S19)*S28+S30+S31</f>
        <v>0</v>
      </c>
      <c r="U32" s="615">
        <f ca="1">SUM(U7,U17,U21,U24,U19)/(1-U26)+U29+SUM(U7,U17,U21,U24,U19)*U28+U30+U31</f>
        <v>0</v>
      </c>
      <c r="W32" s="615">
        <f ca="1">SUM(W7,W17,W21,W24,W19)/(1-W26)+W29+SUM(W7,W17,W21,W24,W19)*W28+W30+W31</f>
        <v>0</v>
      </c>
      <c r="Y32" s="615">
        <f ca="1">SUM(Y7,Y17,Y21,Y24,Y19)/(1-Y26)+Y29+SUM(Y7,Y17,Y21,Y24,Y19)*Y28+Y30+Y31</f>
        <v>0</v>
      </c>
      <c r="AA32" s="615">
        <f ca="1">SUM(AA7,AA17,AA21,AA24,AA19)/(1-AA26)+AA29+SUM(AA7,AA17,AA21,AA24,AA19)*AA28+AA30+AA31</f>
        <v>0</v>
      </c>
      <c r="AC32" s="615">
        <f ca="1">SUM(AC7,AC17,AC21,AC24,AC19)/(1-AC26)+AC29+SUM(AC7,AC17,AC21,AC24,AC19)*AC28+AC30+AC31</f>
        <v>0</v>
      </c>
      <c r="AE32" s="615">
        <f ca="1">SUM(AE7,AE17,AE21,AE24,AE19)/(1-AE26)+AE29+SUM(AE7,AE17,AE21,AE24,AE19)*AE28+AE30+AE31</f>
        <v>0</v>
      </c>
      <c r="AG32" s="615">
        <f ca="1">SUM(AG7,AG17,AG21,AG24,AG19)/(1-AG26)+AG29+SUM(AG7,AG17,AG21,AG24,AG19)*AG28+AG30+AG31</f>
        <v>0</v>
      </c>
      <c r="AI32" s="615">
        <f ca="1">SUM(AI7,AI17,AI21,AI24,AI19)/(1-AI26)+AI29+SUM(AI7,AI17,AI21,AI24,AI19)*AI28+AI30+AI31</f>
        <v>0</v>
      </c>
    </row>
    <row r="34" spans="3:35">
      <c r="C34" s="490" t="s">
        <v>2940</v>
      </c>
      <c r="D34" s="612">
        <f>IF(input!$B$5='Fix Cost'!$A$187,0.7%,0)</f>
        <v>0</v>
      </c>
      <c r="G34" s="612">
        <f>$D$34</f>
        <v>0</v>
      </c>
      <c r="I34" s="612">
        <f>$D$34</f>
        <v>0</v>
      </c>
      <c r="K34" s="612">
        <f>$D$34</f>
        <v>0</v>
      </c>
      <c r="M34" s="612">
        <f>$D$34</f>
        <v>0</v>
      </c>
      <c r="O34" s="612">
        <f>$D$34</f>
        <v>0</v>
      </c>
      <c r="Q34" s="612">
        <f>$D$34</f>
        <v>0</v>
      </c>
      <c r="S34" s="612">
        <f>$D$34</f>
        <v>0</v>
      </c>
      <c r="U34" s="612">
        <f>$D$34</f>
        <v>0</v>
      </c>
      <c r="W34" s="612">
        <f>$D$34</f>
        <v>0</v>
      </c>
      <c r="Y34" s="612">
        <f>$D$34</f>
        <v>0</v>
      </c>
      <c r="AA34" s="612">
        <f>$D$34</f>
        <v>0</v>
      </c>
      <c r="AC34" s="612">
        <f>$D$34</f>
        <v>0</v>
      </c>
      <c r="AE34" s="612">
        <f>$D$34</f>
        <v>0</v>
      </c>
      <c r="AG34" s="612">
        <f>$D$34</f>
        <v>0</v>
      </c>
      <c r="AI34" s="612">
        <f>$D$34</f>
        <v>0</v>
      </c>
    </row>
  </sheetData>
  <mergeCells count="2">
    <mergeCell ref="A2:K2"/>
    <mergeCell ref="H3:L3"/>
  </mergeCells>
  <pageMargins left="0.7" right="0.7" top="0.75" bottom="0.75" header="0.3" footer="0.3"/>
  <pageSetup orientation="portrait" verticalDpi="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100-000000000000}">
          <x14:formula1>
            <xm:f>input!$I$2:$M$2</xm:f>
          </x14:formula1>
          <xm:sqref>E1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R415"/>
  <sheetViews>
    <sheetView topLeftCell="A13" zoomScale="80" zoomScaleNormal="80" zoomScaleSheetLayoutView="85" workbookViewId="0">
      <selection activeCell="M28" sqref="M28"/>
    </sheetView>
  </sheetViews>
  <sheetFormatPr defaultColWidth="7" defaultRowHeight="14.25" outlineLevelRow="1"/>
  <cols>
    <col min="1" max="1" width="9.7109375" style="1857" customWidth="1"/>
    <col min="2" max="2" width="14.5703125" style="1847" customWidth="1"/>
    <col min="3" max="3" width="14.85546875" style="1847" customWidth="1"/>
    <col min="4" max="4" width="14" style="1847" customWidth="1"/>
    <col min="5" max="5" width="11" style="1847" customWidth="1"/>
    <col min="6" max="6" width="6.42578125" style="1847" customWidth="1"/>
    <col min="7" max="7" width="8.42578125" style="1847" customWidth="1"/>
    <col min="8" max="8" width="9.85546875" style="1847" customWidth="1"/>
    <col min="9" max="9" width="10.42578125" style="1847" customWidth="1"/>
    <col min="10" max="10" width="9.5703125" style="1847" customWidth="1"/>
    <col min="11" max="11" width="9" style="1847" customWidth="1"/>
    <col min="12" max="13" width="0.42578125" style="1847" customWidth="1"/>
    <col min="14" max="14" width="10" style="2102" customWidth="1"/>
    <col min="15" max="15" width="7" style="1847"/>
    <col min="16" max="16" width="8" style="1847" bestFit="1" customWidth="1"/>
    <col min="17" max="248" width="7" style="1847"/>
    <col min="249" max="249" width="1" style="1847" customWidth="1"/>
    <col min="250" max="250" width="17.28515625" style="1847" customWidth="1"/>
    <col min="251" max="252" width="12.28515625" style="1847" customWidth="1"/>
    <col min="253" max="253" width="23.28515625" style="1847" customWidth="1"/>
    <col min="254" max="254" width="6.42578125" style="1847" customWidth="1"/>
    <col min="255" max="255" width="8.42578125" style="1847" customWidth="1"/>
    <col min="256" max="256" width="9" style="1847" customWidth="1"/>
    <col min="257" max="257" width="10.42578125" style="1847" customWidth="1"/>
    <col min="258" max="258" width="8.85546875" style="1847" customWidth="1"/>
    <col min="259" max="259" width="9" style="1847" customWidth="1"/>
    <col min="260" max="260" width="0.42578125" style="1847" customWidth="1"/>
    <col min="261" max="261" width="8.42578125" style="1847" customWidth="1"/>
    <col min="262" max="262" width="7" style="1847" customWidth="1"/>
    <col min="263" max="263" width="9.5703125" style="1847" customWidth="1"/>
    <col min="264" max="264" width="3.85546875" style="1847" customWidth="1"/>
    <col min="265" max="265" width="4.42578125" style="1847" customWidth="1"/>
    <col min="266" max="266" width="6" style="1847" customWidth="1"/>
    <col min="267" max="267" width="10.42578125" style="1847" customWidth="1"/>
    <col min="268" max="269" width="6" style="1847" customWidth="1"/>
    <col min="270" max="504" width="7" style="1847"/>
    <col min="505" max="505" width="1" style="1847" customWidth="1"/>
    <col min="506" max="506" width="17.28515625" style="1847" customWidth="1"/>
    <col min="507" max="508" width="12.28515625" style="1847" customWidth="1"/>
    <col min="509" max="509" width="23.28515625" style="1847" customWidth="1"/>
    <col min="510" max="510" width="6.42578125" style="1847" customWidth="1"/>
    <col min="511" max="511" width="8.42578125" style="1847" customWidth="1"/>
    <col min="512" max="512" width="9" style="1847" customWidth="1"/>
    <col min="513" max="513" width="10.42578125" style="1847" customWidth="1"/>
    <col min="514" max="514" width="8.85546875" style="1847" customWidth="1"/>
    <col min="515" max="515" width="9" style="1847" customWidth="1"/>
    <col min="516" max="516" width="0.42578125" style="1847" customWidth="1"/>
    <col min="517" max="517" width="8.42578125" style="1847" customWidth="1"/>
    <col min="518" max="518" width="7" style="1847" customWidth="1"/>
    <col min="519" max="519" width="9.5703125" style="1847" customWidth="1"/>
    <col min="520" max="520" width="3.85546875" style="1847" customWidth="1"/>
    <col min="521" max="521" width="4.42578125" style="1847" customWidth="1"/>
    <col min="522" max="522" width="6" style="1847" customWidth="1"/>
    <col min="523" max="523" width="10.42578125" style="1847" customWidth="1"/>
    <col min="524" max="525" width="6" style="1847" customWidth="1"/>
    <col min="526" max="760" width="7" style="1847"/>
    <col min="761" max="761" width="1" style="1847" customWidth="1"/>
    <col min="762" max="762" width="17.28515625" style="1847" customWidth="1"/>
    <col min="763" max="764" width="12.28515625" style="1847" customWidth="1"/>
    <col min="765" max="765" width="23.28515625" style="1847" customWidth="1"/>
    <col min="766" max="766" width="6.42578125" style="1847" customWidth="1"/>
    <col min="767" max="767" width="8.42578125" style="1847" customWidth="1"/>
    <col min="768" max="768" width="9" style="1847" customWidth="1"/>
    <col min="769" max="769" width="10.42578125" style="1847" customWidth="1"/>
    <col min="770" max="770" width="8.85546875" style="1847" customWidth="1"/>
    <col min="771" max="771" width="9" style="1847" customWidth="1"/>
    <col min="772" max="772" width="0.42578125" style="1847" customWidth="1"/>
    <col min="773" max="773" width="8.42578125" style="1847" customWidth="1"/>
    <col min="774" max="774" width="7" style="1847" customWidth="1"/>
    <col min="775" max="775" width="9.5703125" style="1847" customWidth="1"/>
    <col min="776" max="776" width="3.85546875" style="1847" customWidth="1"/>
    <col min="777" max="777" width="4.42578125" style="1847" customWidth="1"/>
    <col min="778" max="778" width="6" style="1847" customWidth="1"/>
    <col min="779" max="779" width="10.42578125" style="1847" customWidth="1"/>
    <col min="780" max="781" width="6" style="1847" customWidth="1"/>
    <col min="782" max="1016" width="7" style="1847"/>
    <col min="1017" max="1017" width="1" style="1847" customWidth="1"/>
    <col min="1018" max="1018" width="17.28515625" style="1847" customWidth="1"/>
    <col min="1019" max="1020" width="12.28515625" style="1847" customWidth="1"/>
    <col min="1021" max="1021" width="23.28515625" style="1847" customWidth="1"/>
    <col min="1022" max="1022" width="6.42578125" style="1847" customWidth="1"/>
    <col min="1023" max="1023" width="8.42578125" style="1847" customWidth="1"/>
    <col min="1024" max="1024" width="9" style="1847" customWidth="1"/>
    <col min="1025" max="1025" width="10.42578125" style="1847" customWidth="1"/>
    <col min="1026" max="1026" width="8.85546875" style="1847" customWidth="1"/>
    <col min="1027" max="1027" width="9" style="1847" customWidth="1"/>
    <col min="1028" max="1028" width="0.42578125" style="1847" customWidth="1"/>
    <col min="1029" max="1029" width="8.42578125" style="1847" customWidth="1"/>
    <col min="1030" max="1030" width="7" style="1847" customWidth="1"/>
    <col min="1031" max="1031" width="9.5703125" style="1847" customWidth="1"/>
    <col min="1032" max="1032" width="3.85546875" style="1847" customWidth="1"/>
    <col min="1033" max="1033" width="4.42578125" style="1847" customWidth="1"/>
    <col min="1034" max="1034" width="6" style="1847" customWidth="1"/>
    <col min="1035" max="1035" width="10.42578125" style="1847" customWidth="1"/>
    <col min="1036" max="1037" width="6" style="1847" customWidth="1"/>
    <col min="1038" max="1272" width="7" style="1847"/>
    <col min="1273" max="1273" width="1" style="1847" customWidth="1"/>
    <col min="1274" max="1274" width="17.28515625" style="1847" customWidth="1"/>
    <col min="1275" max="1276" width="12.28515625" style="1847" customWidth="1"/>
    <col min="1277" max="1277" width="23.28515625" style="1847" customWidth="1"/>
    <col min="1278" max="1278" width="6.42578125" style="1847" customWidth="1"/>
    <col min="1279" max="1279" width="8.42578125" style="1847" customWidth="1"/>
    <col min="1280" max="1280" width="9" style="1847" customWidth="1"/>
    <col min="1281" max="1281" width="10.42578125" style="1847" customWidth="1"/>
    <col min="1282" max="1282" width="8.85546875" style="1847" customWidth="1"/>
    <col min="1283" max="1283" width="9" style="1847" customWidth="1"/>
    <col min="1284" max="1284" width="0.42578125" style="1847" customWidth="1"/>
    <col min="1285" max="1285" width="8.42578125" style="1847" customWidth="1"/>
    <col min="1286" max="1286" width="7" style="1847" customWidth="1"/>
    <col min="1287" max="1287" width="9.5703125" style="1847" customWidth="1"/>
    <col min="1288" max="1288" width="3.85546875" style="1847" customWidth="1"/>
    <col min="1289" max="1289" width="4.42578125" style="1847" customWidth="1"/>
    <col min="1290" max="1290" width="6" style="1847" customWidth="1"/>
    <col min="1291" max="1291" width="10.42578125" style="1847" customWidth="1"/>
    <col min="1292" max="1293" width="6" style="1847" customWidth="1"/>
    <col min="1294" max="1528" width="7" style="1847"/>
    <col min="1529" max="1529" width="1" style="1847" customWidth="1"/>
    <col min="1530" max="1530" width="17.28515625" style="1847" customWidth="1"/>
    <col min="1531" max="1532" width="12.28515625" style="1847" customWidth="1"/>
    <col min="1533" max="1533" width="23.28515625" style="1847" customWidth="1"/>
    <col min="1534" max="1534" width="6.42578125" style="1847" customWidth="1"/>
    <col min="1535" max="1535" width="8.42578125" style="1847" customWidth="1"/>
    <col min="1536" max="1536" width="9" style="1847" customWidth="1"/>
    <col min="1537" max="1537" width="10.42578125" style="1847" customWidth="1"/>
    <col min="1538" max="1538" width="8.85546875" style="1847" customWidth="1"/>
    <col min="1539" max="1539" width="9" style="1847" customWidth="1"/>
    <col min="1540" max="1540" width="0.42578125" style="1847" customWidth="1"/>
    <col min="1541" max="1541" width="8.42578125" style="1847" customWidth="1"/>
    <col min="1542" max="1542" width="7" style="1847" customWidth="1"/>
    <col min="1543" max="1543" width="9.5703125" style="1847" customWidth="1"/>
    <col min="1544" max="1544" width="3.85546875" style="1847" customWidth="1"/>
    <col min="1545" max="1545" width="4.42578125" style="1847" customWidth="1"/>
    <col min="1546" max="1546" width="6" style="1847" customWidth="1"/>
    <col min="1547" max="1547" width="10.42578125" style="1847" customWidth="1"/>
    <col min="1548" max="1549" width="6" style="1847" customWidth="1"/>
    <col min="1550" max="1784" width="7" style="1847"/>
    <col min="1785" max="1785" width="1" style="1847" customWidth="1"/>
    <col min="1786" max="1786" width="17.28515625" style="1847" customWidth="1"/>
    <col min="1787" max="1788" width="12.28515625" style="1847" customWidth="1"/>
    <col min="1789" max="1789" width="23.28515625" style="1847" customWidth="1"/>
    <col min="1790" max="1790" width="6.42578125" style="1847" customWidth="1"/>
    <col min="1791" max="1791" width="8.42578125" style="1847" customWidth="1"/>
    <col min="1792" max="1792" width="9" style="1847" customWidth="1"/>
    <col min="1793" max="1793" width="10.42578125" style="1847" customWidth="1"/>
    <col min="1794" max="1794" width="8.85546875" style="1847" customWidth="1"/>
    <col min="1795" max="1795" width="9" style="1847" customWidth="1"/>
    <col min="1796" max="1796" width="0.42578125" style="1847" customWidth="1"/>
    <col min="1797" max="1797" width="8.42578125" style="1847" customWidth="1"/>
    <col min="1798" max="1798" width="7" style="1847" customWidth="1"/>
    <col min="1799" max="1799" width="9.5703125" style="1847" customWidth="1"/>
    <col min="1800" max="1800" width="3.85546875" style="1847" customWidth="1"/>
    <col min="1801" max="1801" width="4.42578125" style="1847" customWidth="1"/>
    <col min="1802" max="1802" width="6" style="1847" customWidth="1"/>
    <col min="1803" max="1803" width="10.42578125" style="1847" customWidth="1"/>
    <col min="1804" max="1805" width="6" style="1847" customWidth="1"/>
    <col min="1806" max="2040" width="7" style="1847"/>
    <col min="2041" max="2041" width="1" style="1847" customWidth="1"/>
    <col min="2042" max="2042" width="17.28515625" style="1847" customWidth="1"/>
    <col min="2043" max="2044" width="12.28515625" style="1847" customWidth="1"/>
    <col min="2045" max="2045" width="23.28515625" style="1847" customWidth="1"/>
    <col min="2046" max="2046" width="6.42578125" style="1847" customWidth="1"/>
    <col min="2047" max="2047" width="8.42578125" style="1847" customWidth="1"/>
    <col min="2048" max="2048" width="9" style="1847" customWidth="1"/>
    <col min="2049" max="2049" width="10.42578125" style="1847" customWidth="1"/>
    <col min="2050" max="2050" width="8.85546875" style="1847" customWidth="1"/>
    <col min="2051" max="2051" width="9" style="1847" customWidth="1"/>
    <col min="2052" max="2052" width="0.42578125" style="1847" customWidth="1"/>
    <col min="2053" max="2053" width="8.42578125" style="1847" customWidth="1"/>
    <col min="2054" max="2054" width="7" style="1847" customWidth="1"/>
    <col min="2055" max="2055" width="9.5703125" style="1847" customWidth="1"/>
    <col min="2056" max="2056" width="3.85546875" style="1847" customWidth="1"/>
    <col min="2057" max="2057" width="4.42578125" style="1847" customWidth="1"/>
    <col min="2058" max="2058" width="6" style="1847" customWidth="1"/>
    <col min="2059" max="2059" width="10.42578125" style="1847" customWidth="1"/>
    <col min="2060" max="2061" width="6" style="1847" customWidth="1"/>
    <col min="2062" max="2296" width="7" style="1847"/>
    <col min="2297" max="2297" width="1" style="1847" customWidth="1"/>
    <col min="2298" max="2298" width="17.28515625" style="1847" customWidth="1"/>
    <col min="2299" max="2300" width="12.28515625" style="1847" customWidth="1"/>
    <col min="2301" max="2301" width="23.28515625" style="1847" customWidth="1"/>
    <col min="2302" max="2302" width="6.42578125" style="1847" customWidth="1"/>
    <col min="2303" max="2303" width="8.42578125" style="1847" customWidth="1"/>
    <col min="2304" max="2304" width="9" style="1847" customWidth="1"/>
    <col min="2305" max="2305" width="10.42578125" style="1847" customWidth="1"/>
    <col min="2306" max="2306" width="8.85546875" style="1847" customWidth="1"/>
    <col min="2307" max="2307" width="9" style="1847" customWidth="1"/>
    <col min="2308" max="2308" width="0.42578125" style="1847" customWidth="1"/>
    <col min="2309" max="2309" width="8.42578125" style="1847" customWidth="1"/>
    <col min="2310" max="2310" width="7" style="1847" customWidth="1"/>
    <col min="2311" max="2311" width="9.5703125" style="1847" customWidth="1"/>
    <col min="2312" max="2312" width="3.85546875" style="1847" customWidth="1"/>
    <col min="2313" max="2313" width="4.42578125" style="1847" customWidth="1"/>
    <col min="2314" max="2314" width="6" style="1847" customWidth="1"/>
    <col min="2315" max="2315" width="10.42578125" style="1847" customWidth="1"/>
    <col min="2316" max="2317" width="6" style="1847" customWidth="1"/>
    <col min="2318" max="2552" width="7" style="1847"/>
    <col min="2553" max="2553" width="1" style="1847" customWidth="1"/>
    <col min="2554" max="2554" width="17.28515625" style="1847" customWidth="1"/>
    <col min="2555" max="2556" width="12.28515625" style="1847" customWidth="1"/>
    <col min="2557" max="2557" width="23.28515625" style="1847" customWidth="1"/>
    <col min="2558" max="2558" width="6.42578125" style="1847" customWidth="1"/>
    <col min="2559" max="2559" width="8.42578125" style="1847" customWidth="1"/>
    <col min="2560" max="2560" width="9" style="1847" customWidth="1"/>
    <col min="2561" max="2561" width="10.42578125" style="1847" customWidth="1"/>
    <col min="2562" max="2562" width="8.85546875" style="1847" customWidth="1"/>
    <col min="2563" max="2563" width="9" style="1847" customWidth="1"/>
    <col min="2564" max="2564" width="0.42578125" style="1847" customWidth="1"/>
    <col min="2565" max="2565" width="8.42578125" style="1847" customWidth="1"/>
    <col min="2566" max="2566" width="7" style="1847" customWidth="1"/>
    <col min="2567" max="2567" width="9.5703125" style="1847" customWidth="1"/>
    <col min="2568" max="2568" width="3.85546875" style="1847" customWidth="1"/>
    <col min="2569" max="2569" width="4.42578125" style="1847" customWidth="1"/>
    <col min="2570" max="2570" width="6" style="1847" customWidth="1"/>
    <col min="2571" max="2571" width="10.42578125" style="1847" customWidth="1"/>
    <col min="2572" max="2573" width="6" style="1847" customWidth="1"/>
    <col min="2574" max="2808" width="7" style="1847"/>
    <col min="2809" max="2809" width="1" style="1847" customWidth="1"/>
    <col min="2810" max="2810" width="17.28515625" style="1847" customWidth="1"/>
    <col min="2811" max="2812" width="12.28515625" style="1847" customWidth="1"/>
    <col min="2813" max="2813" width="23.28515625" style="1847" customWidth="1"/>
    <col min="2814" max="2814" width="6.42578125" style="1847" customWidth="1"/>
    <col min="2815" max="2815" width="8.42578125" style="1847" customWidth="1"/>
    <col min="2816" max="2816" width="9" style="1847" customWidth="1"/>
    <col min="2817" max="2817" width="10.42578125" style="1847" customWidth="1"/>
    <col min="2818" max="2818" width="8.85546875" style="1847" customWidth="1"/>
    <col min="2819" max="2819" width="9" style="1847" customWidth="1"/>
    <col min="2820" max="2820" width="0.42578125" style="1847" customWidth="1"/>
    <col min="2821" max="2821" width="8.42578125" style="1847" customWidth="1"/>
    <col min="2822" max="2822" width="7" style="1847" customWidth="1"/>
    <col min="2823" max="2823" width="9.5703125" style="1847" customWidth="1"/>
    <col min="2824" max="2824" width="3.85546875" style="1847" customWidth="1"/>
    <col min="2825" max="2825" width="4.42578125" style="1847" customWidth="1"/>
    <col min="2826" max="2826" width="6" style="1847" customWidth="1"/>
    <col min="2827" max="2827" width="10.42578125" style="1847" customWidth="1"/>
    <col min="2828" max="2829" width="6" style="1847" customWidth="1"/>
    <col min="2830" max="3064" width="7" style="1847"/>
    <col min="3065" max="3065" width="1" style="1847" customWidth="1"/>
    <col min="3066" max="3066" width="17.28515625" style="1847" customWidth="1"/>
    <col min="3067" max="3068" width="12.28515625" style="1847" customWidth="1"/>
    <col min="3069" max="3069" width="23.28515625" style="1847" customWidth="1"/>
    <col min="3070" max="3070" width="6.42578125" style="1847" customWidth="1"/>
    <col min="3071" max="3071" width="8.42578125" style="1847" customWidth="1"/>
    <col min="3072" max="3072" width="9" style="1847" customWidth="1"/>
    <col min="3073" max="3073" width="10.42578125" style="1847" customWidth="1"/>
    <col min="3074" max="3074" width="8.85546875" style="1847" customWidth="1"/>
    <col min="3075" max="3075" width="9" style="1847" customWidth="1"/>
    <col min="3076" max="3076" width="0.42578125" style="1847" customWidth="1"/>
    <col min="3077" max="3077" width="8.42578125" style="1847" customWidth="1"/>
    <col min="3078" max="3078" width="7" style="1847" customWidth="1"/>
    <col min="3079" max="3079" width="9.5703125" style="1847" customWidth="1"/>
    <col min="3080" max="3080" width="3.85546875" style="1847" customWidth="1"/>
    <col min="3081" max="3081" width="4.42578125" style="1847" customWidth="1"/>
    <col min="3082" max="3082" width="6" style="1847" customWidth="1"/>
    <col min="3083" max="3083" width="10.42578125" style="1847" customWidth="1"/>
    <col min="3084" max="3085" width="6" style="1847" customWidth="1"/>
    <col min="3086" max="3320" width="7" style="1847"/>
    <col min="3321" max="3321" width="1" style="1847" customWidth="1"/>
    <col min="3322" max="3322" width="17.28515625" style="1847" customWidth="1"/>
    <col min="3323" max="3324" width="12.28515625" style="1847" customWidth="1"/>
    <col min="3325" max="3325" width="23.28515625" style="1847" customWidth="1"/>
    <col min="3326" max="3326" width="6.42578125" style="1847" customWidth="1"/>
    <col min="3327" max="3327" width="8.42578125" style="1847" customWidth="1"/>
    <col min="3328" max="3328" width="9" style="1847" customWidth="1"/>
    <col min="3329" max="3329" width="10.42578125" style="1847" customWidth="1"/>
    <col min="3330" max="3330" width="8.85546875" style="1847" customWidth="1"/>
    <col min="3331" max="3331" width="9" style="1847" customWidth="1"/>
    <col min="3332" max="3332" width="0.42578125" style="1847" customWidth="1"/>
    <col min="3333" max="3333" width="8.42578125" style="1847" customWidth="1"/>
    <col min="3334" max="3334" width="7" style="1847" customWidth="1"/>
    <col min="3335" max="3335" width="9.5703125" style="1847" customWidth="1"/>
    <col min="3336" max="3336" width="3.85546875" style="1847" customWidth="1"/>
    <col min="3337" max="3337" width="4.42578125" style="1847" customWidth="1"/>
    <col min="3338" max="3338" width="6" style="1847" customWidth="1"/>
    <col min="3339" max="3339" width="10.42578125" style="1847" customWidth="1"/>
    <col min="3340" max="3341" width="6" style="1847" customWidth="1"/>
    <col min="3342" max="3576" width="7" style="1847"/>
    <col min="3577" max="3577" width="1" style="1847" customWidth="1"/>
    <col min="3578" max="3578" width="17.28515625" style="1847" customWidth="1"/>
    <col min="3579" max="3580" width="12.28515625" style="1847" customWidth="1"/>
    <col min="3581" max="3581" width="23.28515625" style="1847" customWidth="1"/>
    <col min="3582" max="3582" width="6.42578125" style="1847" customWidth="1"/>
    <col min="3583" max="3583" width="8.42578125" style="1847" customWidth="1"/>
    <col min="3584" max="3584" width="9" style="1847" customWidth="1"/>
    <col min="3585" max="3585" width="10.42578125" style="1847" customWidth="1"/>
    <col min="3586" max="3586" width="8.85546875" style="1847" customWidth="1"/>
    <col min="3587" max="3587" width="9" style="1847" customWidth="1"/>
    <col min="3588" max="3588" width="0.42578125" style="1847" customWidth="1"/>
    <col min="3589" max="3589" width="8.42578125" style="1847" customWidth="1"/>
    <col min="3590" max="3590" width="7" style="1847" customWidth="1"/>
    <col min="3591" max="3591" width="9.5703125" style="1847" customWidth="1"/>
    <col min="3592" max="3592" width="3.85546875" style="1847" customWidth="1"/>
    <col min="3593" max="3593" width="4.42578125" style="1847" customWidth="1"/>
    <col min="3594" max="3594" width="6" style="1847" customWidth="1"/>
    <col min="3595" max="3595" width="10.42578125" style="1847" customWidth="1"/>
    <col min="3596" max="3597" width="6" style="1847" customWidth="1"/>
    <col min="3598" max="3832" width="7" style="1847"/>
    <col min="3833" max="3833" width="1" style="1847" customWidth="1"/>
    <col min="3834" max="3834" width="17.28515625" style="1847" customWidth="1"/>
    <col min="3835" max="3836" width="12.28515625" style="1847" customWidth="1"/>
    <col min="3837" max="3837" width="23.28515625" style="1847" customWidth="1"/>
    <col min="3838" max="3838" width="6.42578125" style="1847" customWidth="1"/>
    <col min="3839" max="3839" width="8.42578125" style="1847" customWidth="1"/>
    <col min="3840" max="3840" width="9" style="1847" customWidth="1"/>
    <col min="3841" max="3841" width="10.42578125" style="1847" customWidth="1"/>
    <col min="3842" max="3842" width="8.85546875" style="1847" customWidth="1"/>
    <col min="3843" max="3843" width="9" style="1847" customWidth="1"/>
    <col min="3844" max="3844" width="0.42578125" style="1847" customWidth="1"/>
    <col min="3845" max="3845" width="8.42578125" style="1847" customWidth="1"/>
    <col min="3846" max="3846" width="7" style="1847" customWidth="1"/>
    <col min="3847" max="3847" width="9.5703125" style="1847" customWidth="1"/>
    <col min="3848" max="3848" width="3.85546875" style="1847" customWidth="1"/>
    <col min="3849" max="3849" width="4.42578125" style="1847" customWidth="1"/>
    <col min="3850" max="3850" width="6" style="1847" customWidth="1"/>
    <col min="3851" max="3851" width="10.42578125" style="1847" customWidth="1"/>
    <col min="3852" max="3853" width="6" style="1847" customWidth="1"/>
    <col min="3854" max="4088" width="7" style="1847"/>
    <col min="4089" max="4089" width="1" style="1847" customWidth="1"/>
    <col min="4090" max="4090" width="17.28515625" style="1847" customWidth="1"/>
    <col min="4091" max="4092" width="12.28515625" style="1847" customWidth="1"/>
    <col min="4093" max="4093" width="23.28515625" style="1847" customWidth="1"/>
    <col min="4094" max="4094" width="6.42578125" style="1847" customWidth="1"/>
    <col min="4095" max="4095" width="8.42578125" style="1847" customWidth="1"/>
    <col min="4096" max="4096" width="9" style="1847" customWidth="1"/>
    <col min="4097" max="4097" width="10.42578125" style="1847" customWidth="1"/>
    <col min="4098" max="4098" width="8.85546875" style="1847" customWidth="1"/>
    <col min="4099" max="4099" width="9" style="1847" customWidth="1"/>
    <col min="4100" max="4100" width="0.42578125" style="1847" customWidth="1"/>
    <col min="4101" max="4101" width="8.42578125" style="1847" customWidth="1"/>
    <col min="4102" max="4102" width="7" style="1847" customWidth="1"/>
    <col min="4103" max="4103" width="9.5703125" style="1847" customWidth="1"/>
    <col min="4104" max="4104" width="3.85546875" style="1847" customWidth="1"/>
    <col min="4105" max="4105" width="4.42578125" style="1847" customWidth="1"/>
    <col min="4106" max="4106" width="6" style="1847" customWidth="1"/>
    <col min="4107" max="4107" width="10.42578125" style="1847" customWidth="1"/>
    <col min="4108" max="4109" width="6" style="1847" customWidth="1"/>
    <col min="4110" max="4344" width="7" style="1847"/>
    <col min="4345" max="4345" width="1" style="1847" customWidth="1"/>
    <col min="4346" max="4346" width="17.28515625" style="1847" customWidth="1"/>
    <col min="4347" max="4348" width="12.28515625" style="1847" customWidth="1"/>
    <col min="4349" max="4349" width="23.28515625" style="1847" customWidth="1"/>
    <col min="4350" max="4350" width="6.42578125" style="1847" customWidth="1"/>
    <col min="4351" max="4351" width="8.42578125" style="1847" customWidth="1"/>
    <col min="4352" max="4352" width="9" style="1847" customWidth="1"/>
    <col min="4353" max="4353" width="10.42578125" style="1847" customWidth="1"/>
    <col min="4354" max="4354" width="8.85546875" style="1847" customWidth="1"/>
    <col min="4355" max="4355" width="9" style="1847" customWidth="1"/>
    <col min="4356" max="4356" width="0.42578125" style="1847" customWidth="1"/>
    <col min="4357" max="4357" width="8.42578125" style="1847" customWidth="1"/>
    <col min="4358" max="4358" width="7" style="1847" customWidth="1"/>
    <col min="4359" max="4359" width="9.5703125" style="1847" customWidth="1"/>
    <col min="4360" max="4360" width="3.85546875" style="1847" customWidth="1"/>
    <col min="4361" max="4361" width="4.42578125" style="1847" customWidth="1"/>
    <col min="4362" max="4362" width="6" style="1847" customWidth="1"/>
    <col min="4363" max="4363" width="10.42578125" style="1847" customWidth="1"/>
    <col min="4364" max="4365" width="6" style="1847" customWidth="1"/>
    <col min="4366" max="4600" width="7" style="1847"/>
    <col min="4601" max="4601" width="1" style="1847" customWidth="1"/>
    <col min="4602" max="4602" width="17.28515625" style="1847" customWidth="1"/>
    <col min="4603" max="4604" width="12.28515625" style="1847" customWidth="1"/>
    <col min="4605" max="4605" width="23.28515625" style="1847" customWidth="1"/>
    <col min="4606" max="4606" width="6.42578125" style="1847" customWidth="1"/>
    <col min="4607" max="4607" width="8.42578125" style="1847" customWidth="1"/>
    <col min="4608" max="4608" width="9" style="1847" customWidth="1"/>
    <col min="4609" max="4609" width="10.42578125" style="1847" customWidth="1"/>
    <col min="4610" max="4610" width="8.85546875" style="1847" customWidth="1"/>
    <col min="4611" max="4611" width="9" style="1847" customWidth="1"/>
    <col min="4612" max="4612" width="0.42578125" style="1847" customWidth="1"/>
    <col min="4613" max="4613" width="8.42578125" style="1847" customWidth="1"/>
    <col min="4614" max="4614" width="7" style="1847" customWidth="1"/>
    <col min="4615" max="4615" width="9.5703125" style="1847" customWidth="1"/>
    <col min="4616" max="4616" width="3.85546875" style="1847" customWidth="1"/>
    <col min="4617" max="4617" width="4.42578125" style="1847" customWidth="1"/>
    <col min="4618" max="4618" width="6" style="1847" customWidth="1"/>
    <col min="4619" max="4619" width="10.42578125" style="1847" customWidth="1"/>
    <col min="4620" max="4621" width="6" style="1847" customWidth="1"/>
    <col min="4622" max="4856" width="7" style="1847"/>
    <col min="4857" max="4857" width="1" style="1847" customWidth="1"/>
    <col min="4858" max="4858" width="17.28515625" style="1847" customWidth="1"/>
    <col min="4859" max="4860" width="12.28515625" style="1847" customWidth="1"/>
    <col min="4861" max="4861" width="23.28515625" style="1847" customWidth="1"/>
    <col min="4862" max="4862" width="6.42578125" style="1847" customWidth="1"/>
    <col min="4863" max="4863" width="8.42578125" style="1847" customWidth="1"/>
    <col min="4864" max="4864" width="9" style="1847" customWidth="1"/>
    <col min="4865" max="4865" width="10.42578125" style="1847" customWidth="1"/>
    <col min="4866" max="4866" width="8.85546875" style="1847" customWidth="1"/>
    <col min="4867" max="4867" width="9" style="1847" customWidth="1"/>
    <col min="4868" max="4868" width="0.42578125" style="1847" customWidth="1"/>
    <col min="4869" max="4869" width="8.42578125" style="1847" customWidth="1"/>
    <col min="4870" max="4870" width="7" style="1847" customWidth="1"/>
    <col min="4871" max="4871" width="9.5703125" style="1847" customWidth="1"/>
    <col min="4872" max="4872" width="3.85546875" style="1847" customWidth="1"/>
    <col min="4873" max="4873" width="4.42578125" style="1847" customWidth="1"/>
    <col min="4874" max="4874" width="6" style="1847" customWidth="1"/>
    <col min="4875" max="4875" width="10.42578125" style="1847" customWidth="1"/>
    <col min="4876" max="4877" width="6" style="1847" customWidth="1"/>
    <col min="4878" max="5112" width="7" style="1847"/>
    <col min="5113" max="5113" width="1" style="1847" customWidth="1"/>
    <col min="5114" max="5114" width="17.28515625" style="1847" customWidth="1"/>
    <col min="5115" max="5116" width="12.28515625" style="1847" customWidth="1"/>
    <col min="5117" max="5117" width="23.28515625" style="1847" customWidth="1"/>
    <col min="5118" max="5118" width="6.42578125" style="1847" customWidth="1"/>
    <col min="5119" max="5119" width="8.42578125" style="1847" customWidth="1"/>
    <col min="5120" max="5120" width="9" style="1847" customWidth="1"/>
    <col min="5121" max="5121" width="10.42578125" style="1847" customWidth="1"/>
    <col min="5122" max="5122" width="8.85546875" style="1847" customWidth="1"/>
    <col min="5123" max="5123" width="9" style="1847" customWidth="1"/>
    <col min="5124" max="5124" width="0.42578125" style="1847" customWidth="1"/>
    <col min="5125" max="5125" width="8.42578125" style="1847" customWidth="1"/>
    <col min="5126" max="5126" width="7" style="1847" customWidth="1"/>
    <col min="5127" max="5127" width="9.5703125" style="1847" customWidth="1"/>
    <col min="5128" max="5128" width="3.85546875" style="1847" customWidth="1"/>
    <col min="5129" max="5129" width="4.42578125" style="1847" customWidth="1"/>
    <col min="5130" max="5130" width="6" style="1847" customWidth="1"/>
    <col min="5131" max="5131" width="10.42578125" style="1847" customWidth="1"/>
    <col min="5132" max="5133" width="6" style="1847" customWidth="1"/>
    <col min="5134" max="5368" width="7" style="1847"/>
    <col min="5369" max="5369" width="1" style="1847" customWidth="1"/>
    <col min="5370" max="5370" width="17.28515625" style="1847" customWidth="1"/>
    <col min="5371" max="5372" width="12.28515625" style="1847" customWidth="1"/>
    <col min="5373" max="5373" width="23.28515625" style="1847" customWidth="1"/>
    <col min="5374" max="5374" width="6.42578125" style="1847" customWidth="1"/>
    <col min="5375" max="5375" width="8.42578125" style="1847" customWidth="1"/>
    <col min="5376" max="5376" width="9" style="1847" customWidth="1"/>
    <col min="5377" max="5377" width="10.42578125" style="1847" customWidth="1"/>
    <col min="5378" max="5378" width="8.85546875" style="1847" customWidth="1"/>
    <col min="5379" max="5379" width="9" style="1847" customWidth="1"/>
    <col min="5380" max="5380" width="0.42578125" style="1847" customWidth="1"/>
    <col min="5381" max="5381" width="8.42578125" style="1847" customWidth="1"/>
    <col min="5382" max="5382" width="7" style="1847" customWidth="1"/>
    <col min="5383" max="5383" width="9.5703125" style="1847" customWidth="1"/>
    <col min="5384" max="5384" width="3.85546875" style="1847" customWidth="1"/>
    <col min="5385" max="5385" width="4.42578125" style="1847" customWidth="1"/>
    <col min="5386" max="5386" width="6" style="1847" customWidth="1"/>
    <col min="5387" max="5387" width="10.42578125" style="1847" customWidth="1"/>
    <col min="5388" max="5389" width="6" style="1847" customWidth="1"/>
    <col min="5390" max="5624" width="7" style="1847"/>
    <col min="5625" max="5625" width="1" style="1847" customWidth="1"/>
    <col min="5626" max="5626" width="17.28515625" style="1847" customWidth="1"/>
    <col min="5627" max="5628" width="12.28515625" style="1847" customWidth="1"/>
    <col min="5629" max="5629" width="23.28515625" style="1847" customWidth="1"/>
    <col min="5630" max="5630" width="6.42578125" style="1847" customWidth="1"/>
    <col min="5631" max="5631" width="8.42578125" style="1847" customWidth="1"/>
    <col min="5632" max="5632" width="9" style="1847" customWidth="1"/>
    <col min="5633" max="5633" width="10.42578125" style="1847" customWidth="1"/>
    <col min="5634" max="5634" width="8.85546875" style="1847" customWidth="1"/>
    <col min="5635" max="5635" width="9" style="1847" customWidth="1"/>
    <col min="5636" max="5636" width="0.42578125" style="1847" customWidth="1"/>
    <col min="5637" max="5637" width="8.42578125" style="1847" customWidth="1"/>
    <col min="5638" max="5638" width="7" style="1847" customWidth="1"/>
    <col min="5639" max="5639" width="9.5703125" style="1847" customWidth="1"/>
    <col min="5640" max="5640" width="3.85546875" style="1847" customWidth="1"/>
    <col min="5641" max="5641" width="4.42578125" style="1847" customWidth="1"/>
    <col min="5642" max="5642" width="6" style="1847" customWidth="1"/>
    <col min="5643" max="5643" width="10.42578125" style="1847" customWidth="1"/>
    <col min="5644" max="5645" width="6" style="1847" customWidth="1"/>
    <col min="5646" max="5880" width="7" style="1847"/>
    <col min="5881" max="5881" width="1" style="1847" customWidth="1"/>
    <col min="5882" max="5882" width="17.28515625" style="1847" customWidth="1"/>
    <col min="5883" max="5884" width="12.28515625" style="1847" customWidth="1"/>
    <col min="5885" max="5885" width="23.28515625" style="1847" customWidth="1"/>
    <col min="5886" max="5886" width="6.42578125" style="1847" customWidth="1"/>
    <col min="5887" max="5887" width="8.42578125" style="1847" customWidth="1"/>
    <col min="5888" max="5888" width="9" style="1847" customWidth="1"/>
    <col min="5889" max="5889" width="10.42578125" style="1847" customWidth="1"/>
    <col min="5890" max="5890" width="8.85546875" style="1847" customWidth="1"/>
    <col min="5891" max="5891" width="9" style="1847" customWidth="1"/>
    <col min="5892" max="5892" width="0.42578125" style="1847" customWidth="1"/>
    <col min="5893" max="5893" width="8.42578125" style="1847" customWidth="1"/>
    <col min="5894" max="5894" width="7" style="1847" customWidth="1"/>
    <col min="5895" max="5895" width="9.5703125" style="1847" customWidth="1"/>
    <col min="5896" max="5896" width="3.85546875" style="1847" customWidth="1"/>
    <col min="5897" max="5897" width="4.42578125" style="1847" customWidth="1"/>
    <col min="5898" max="5898" width="6" style="1847" customWidth="1"/>
    <col min="5899" max="5899" width="10.42578125" style="1847" customWidth="1"/>
    <col min="5900" max="5901" width="6" style="1847" customWidth="1"/>
    <col min="5902" max="6136" width="7" style="1847"/>
    <col min="6137" max="6137" width="1" style="1847" customWidth="1"/>
    <col min="6138" max="6138" width="17.28515625" style="1847" customWidth="1"/>
    <col min="6139" max="6140" width="12.28515625" style="1847" customWidth="1"/>
    <col min="6141" max="6141" width="23.28515625" style="1847" customWidth="1"/>
    <col min="6142" max="6142" width="6.42578125" style="1847" customWidth="1"/>
    <col min="6143" max="6143" width="8.42578125" style="1847" customWidth="1"/>
    <col min="6144" max="6144" width="9" style="1847" customWidth="1"/>
    <col min="6145" max="6145" width="10.42578125" style="1847" customWidth="1"/>
    <col min="6146" max="6146" width="8.85546875" style="1847" customWidth="1"/>
    <col min="6147" max="6147" width="9" style="1847" customWidth="1"/>
    <col min="6148" max="6148" width="0.42578125" style="1847" customWidth="1"/>
    <col min="6149" max="6149" width="8.42578125" style="1847" customWidth="1"/>
    <col min="6150" max="6150" width="7" style="1847" customWidth="1"/>
    <col min="6151" max="6151" width="9.5703125" style="1847" customWidth="1"/>
    <col min="6152" max="6152" width="3.85546875" style="1847" customWidth="1"/>
    <col min="6153" max="6153" width="4.42578125" style="1847" customWidth="1"/>
    <col min="6154" max="6154" width="6" style="1847" customWidth="1"/>
    <col min="6155" max="6155" width="10.42578125" style="1847" customWidth="1"/>
    <col min="6156" max="6157" width="6" style="1847" customWidth="1"/>
    <col min="6158" max="6392" width="7" style="1847"/>
    <col min="6393" max="6393" width="1" style="1847" customWidth="1"/>
    <col min="6394" max="6394" width="17.28515625" style="1847" customWidth="1"/>
    <col min="6395" max="6396" width="12.28515625" style="1847" customWidth="1"/>
    <col min="6397" max="6397" width="23.28515625" style="1847" customWidth="1"/>
    <col min="6398" max="6398" width="6.42578125" style="1847" customWidth="1"/>
    <col min="6399" max="6399" width="8.42578125" style="1847" customWidth="1"/>
    <col min="6400" max="6400" width="9" style="1847" customWidth="1"/>
    <col min="6401" max="6401" width="10.42578125" style="1847" customWidth="1"/>
    <col min="6402" max="6402" width="8.85546875" style="1847" customWidth="1"/>
    <col min="6403" max="6403" width="9" style="1847" customWidth="1"/>
    <col min="6404" max="6404" width="0.42578125" style="1847" customWidth="1"/>
    <col min="6405" max="6405" width="8.42578125" style="1847" customWidth="1"/>
    <col min="6406" max="6406" width="7" style="1847" customWidth="1"/>
    <col min="6407" max="6407" width="9.5703125" style="1847" customWidth="1"/>
    <col min="6408" max="6408" width="3.85546875" style="1847" customWidth="1"/>
    <col min="6409" max="6409" width="4.42578125" style="1847" customWidth="1"/>
    <col min="6410" max="6410" width="6" style="1847" customWidth="1"/>
    <col min="6411" max="6411" width="10.42578125" style="1847" customWidth="1"/>
    <col min="6412" max="6413" width="6" style="1847" customWidth="1"/>
    <col min="6414" max="6648" width="7" style="1847"/>
    <col min="6649" max="6649" width="1" style="1847" customWidth="1"/>
    <col min="6650" max="6650" width="17.28515625" style="1847" customWidth="1"/>
    <col min="6651" max="6652" width="12.28515625" style="1847" customWidth="1"/>
    <col min="6653" max="6653" width="23.28515625" style="1847" customWidth="1"/>
    <col min="6654" max="6654" width="6.42578125" style="1847" customWidth="1"/>
    <col min="6655" max="6655" width="8.42578125" style="1847" customWidth="1"/>
    <col min="6656" max="6656" width="9" style="1847" customWidth="1"/>
    <col min="6657" max="6657" width="10.42578125" style="1847" customWidth="1"/>
    <col min="6658" max="6658" width="8.85546875" style="1847" customWidth="1"/>
    <col min="6659" max="6659" width="9" style="1847" customWidth="1"/>
    <col min="6660" max="6660" width="0.42578125" style="1847" customWidth="1"/>
    <col min="6661" max="6661" width="8.42578125" style="1847" customWidth="1"/>
    <col min="6662" max="6662" width="7" style="1847" customWidth="1"/>
    <col min="6663" max="6663" width="9.5703125" style="1847" customWidth="1"/>
    <col min="6664" max="6664" width="3.85546875" style="1847" customWidth="1"/>
    <col min="6665" max="6665" width="4.42578125" style="1847" customWidth="1"/>
    <col min="6666" max="6666" width="6" style="1847" customWidth="1"/>
    <col min="6667" max="6667" width="10.42578125" style="1847" customWidth="1"/>
    <col min="6668" max="6669" width="6" style="1847" customWidth="1"/>
    <col min="6670" max="6904" width="7" style="1847"/>
    <col min="6905" max="6905" width="1" style="1847" customWidth="1"/>
    <col min="6906" max="6906" width="17.28515625" style="1847" customWidth="1"/>
    <col min="6907" max="6908" width="12.28515625" style="1847" customWidth="1"/>
    <col min="6909" max="6909" width="23.28515625" style="1847" customWidth="1"/>
    <col min="6910" max="6910" width="6.42578125" style="1847" customWidth="1"/>
    <col min="6911" max="6911" width="8.42578125" style="1847" customWidth="1"/>
    <col min="6912" max="6912" width="9" style="1847" customWidth="1"/>
    <col min="6913" max="6913" width="10.42578125" style="1847" customWidth="1"/>
    <col min="6914" max="6914" width="8.85546875" style="1847" customWidth="1"/>
    <col min="6915" max="6915" width="9" style="1847" customWidth="1"/>
    <col min="6916" max="6916" width="0.42578125" style="1847" customWidth="1"/>
    <col min="6917" max="6917" width="8.42578125" style="1847" customWidth="1"/>
    <col min="6918" max="6918" width="7" style="1847" customWidth="1"/>
    <col min="6919" max="6919" width="9.5703125" style="1847" customWidth="1"/>
    <col min="6920" max="6920" width="3.85546875" style="1847" customWidth="1"/>
    <col min="6921" max="6921" width="4.42578125" style="1847" customWidth="1"/>
    <col min="6922" max="6922" width="6" style="1847" customWidth="1"/>
    <col min="6923" max="6923" width="10.42578125" style="1847" customWidth="1"/>
    <col min="6924" max="6925" width="6" style="1847" customWidth="1"/>
    <col min="6926" max="7160" width="7" style="1847"/>
    <col min="7161" max="7161" width="1" style="1847" customWidth="1"/>
    <col min="7162" max="7162" width="17.28515625" style="1847" customWidth="1"/>
    <col min="7163" max="7164" width="12.28515625" style="1847" customWidth="1"/>
    <col min="7165" max="7165" width="23.28515625" style="1847" customWidth="1"/>
    <col min="7166" max="7166" width="6.42578125" style="1847" customWidth="1"/>
    <col min="7167" max="7167" width="8.42578125" style="1847" customWidth="1"/>
    <col min="7168" max="7168" width="9" style="1847" customWidth="1"/>
    <col min="7169" max="7169" width="10.42578125" style="1847" customWidth="1"/>
    <col min="7170" max="7170" width="8.85546875" style="1847" customWidth="1"/>
    <col min="7171" max="7171" width="9" style="1847" customWidth="1"/>
    <col min="7172" max="7172" width="0.42578125" style="1847" customWidth="1"/>
    <col min="7173" max="7173" width="8.42578125" style="1847" customWidth="1"/>
    <col min="7174" max="7174" width="7" style="1847" customWidth="1"/>
    <col min="7175" max="7175" width="9.5703125" style="1847" customWidth="1"/>
    <col min="7176" max="7176" width="3.85546875" style="1847" customWidth="1"/>
    <col min="7177" max="7177" width="4.42578125" style="1847" customWidth="1"/>
    <col min="7178" max="7178" width="6" style="1847" customWidth="1"/>
    <col min="7179" max="7179" width="10.42578125" style="1847" customWidth="1"/>
    <col min="7180" max="7181" width="6" style="1847" customWidth="1"/>
    <col min="7182" max="7416" width="7" style="1847"/>
    <col min="7417" max="7417" width="1" style="1847" customWidth="1"/>
    <col min="7418" max="7418" width="17.28515625" style="1847" customWidth="1"/>
    <col min="7419" max="7420" width="12.28515625" style="1847" customWidth="1"/>
    <col min="7421" max="7421" width="23.28515625" style="1847" customWidth="1"/>
    <col min="7422" max="7422" width="6.42578125" style="1847" customWidth="1"/>
    <col min="7423" max="7423" width="8.42578125" style="1847" customWidth="1"/>
    <col min="7424" max="7424" width="9" style="1847" customWidth="1"/>
    <col min="7425" max="7425" width="10.42578125" style="1847" customWidth="1"/>
    <col min="7426" max="7426" width="8.85546875" style="1847" customWidth="1"/>
    <col min="7427" max="7427" width="9" style="1847" customWidth="1"/>
    <col min="7428" max="7428" width="0.42578125" style="1847" customWidth="1"/>
    <col min="7429" max="7429" width="8.42578125" style="1847" customWidth="1"/>
    <col min="7430" max="7430" width="7" style="1847" customWidth="1"/>
    <col min="7431" max="7431" width="9.5703125" style="1847" customWidth="1"/>
    <col min="7432" max="7432" width="3.85546875" style="1847" customWidth="1"/>
    <col min="7433" max="7433" width="4.42578125" style="1847" customWidth="1"/>
    <col min="7434" max="7434" width="6" style="1847" customWidth="1"/>
    <col min="7435" max="7435" width="10.42578125" style="1847" customWidth="1"/>
    <col min="7436" max="7437" width="6" style="1847" customWidth="1"/>
    <col min="7438" max="7672" width="7" style="1847"/>
    <col min="7673" max="7673" width="1" style="1847" customWidth="1"/>
    <col min="7674" max="7674" width="17.28515625" style="1847" customWidth="1"/>
    <col min="7675" max="7676" width="12.28515625" style="1847" customWidth="1"/>
    <col min="7677" max="7677" width="23.28515625" style="1847" customWidth="1"/>
    <col min="7678" max="7678" width="6.42578125" style="1847" customWidth="1"/>
    <col min="7679" max="7679" width="8.42578125" style="1847" customWidth="1"/>
    <col min="7680" max="7680" width="9" style="1847" customWidth="1"/>
    <col min="7681" max="7681" width="10.42578125" style="1847" customWidth="1"/>
    <col min="7682" max="7682" width="8.85546875" style="1847" customWidth="1"/>
    <col min="7683" max="7683" width="9" style="1847" customWidth="1"/>
    <col min="7684" max="7684" width="0.42578125" style="1847" customWidth="1"/>
    <col min="7685" max="7685" width="8.42578125" style="1847" customWidth="1"/>
    <col min="7686" max="7686" width="7" style="1847" customWidth="1"/>
    <col min="7687" max="7687" width="9.5703125" style="1847" customWidth="1"/>
    <col min="7688" max="7688" width="3.85546875" style="1847" customWidth="1"/>
    <col min="7689" max="7689" width="4.42578125" style="1847" customWidth="1"/>
    <col min="7690" max="7690" width="6" style="1847" customWidth="1"/>
    <col min="7691" max="7691" width="10.42578125" style="1847" customWidth="1"/>
    <col min="7692" max="7693" width="6" style="1847" customWidth="1"/>
    <col min="7694" max="7928" width="7" style="1847"/>
    <col min="7929" max="7929" width="1" style="1847" customWidth="1"/>
    <col min="7930" max="7930" width="17.28515625" style="1847" customWidth="1"/>
    <col min="7931" max="7932" width="12.28515625" style="1847" customWidth="1"/>
    <col min="7933" max="7933" width="23.28515625" style="1847" customWidth="1"/>
    <col min="7934" max="7934" width="6.42578125" style="1847" customWidth="1"/>
    <col min="7935" max="7935" width="8.42578125" style="1847" customWidth="1"/>
    <col min="7936" max="7936" width="9" style="1847" customWidth="1"/>
    <col min="7937" max="7937" width="10.42578125" style="1847" customWidth="1"/>
    <col min="7938" max="7938" width="8.85546875" style="1847" customWidth="1"/>
    <col min="7939" max="7939" width="9" style="1847" customWidth="1"/>
    <col min="7940" max="7940" width="0.42578125" style="1847" customWidth="1"/>
    <col min="7941" max="7941" width="8.42578125" style="1847" customWidth="1"/>
    <col min="7942" max="7942" width="7" style="1847" customWidth="1"/>
    <col min="7943" max="7943" width="9.5703125" style="1847" customWidth="1"/>
    <col min="7944" max="7944" width="3.85546875" style="1847" customWidth="1"/>
    <col min="7945" max="7945" width="4.42578125" style="1847" customWidth="1"/>
    <col min="7946" max="7946" width="6" style="1847" customWidth="1"/>
    <col min="7947" max="7947" width="10.42578125" style="1847" customWidth="1"/>
    <col min="7948" max="7949" width="6" style="1847" customWidth="1"/>
    <col min="7950" max="8184" width="7" style="1847"/>
    <col min="8185" max="8185" width="1" style="1847" customWidth="1"/>
    <col min="8186" max="8186" width="17.28515625" style="1847" customWidth="1"/>
    <col min="8187" max="8188" width="12.28515625" style="1847" customWidth="1"/>
    <col min="8189" max="8189" width="23.28515625" style="1847" customWidth="1"/>
    <col min="8190" max="8190" width="6.42578125" style="1847" customWidth="1"/>
    <col min="8191" max="8191" width="8.42578125" style="1847" customWidth="1"/>
    <col min="8192" max="8192" width="9" style="1847" customWidth="1"/>
    <col min="8193" max="8193" width="10.42578125" style="1847" customWidth="1"/>
    <col min="8194" max="8194" width="8.85546875" style="1847" customWidth="1"/>
    <col min="8195" max="8195" width="9" style="1847" customWidth="1"/>
    <col min="8196" max="8196" width="0.42578125" style="1847" customWidth="1"/>
    <col min="8197" max="8197" width="8.42578125" style="1847" customWidth="1"/>
    <col min="8198" max="8198" width="7" style="1847" customWidth="1"/>
    <col min="8199" max="8199" width="9.5703125" style="1847" customWidth="1"/>
    <col min="8200" max="8200" width="3.85546875" style="1847" customWidth="1"/>
    <col min="8201" max="8201" width="4.42578125" style="1847" customWidth="1"/>
    <col min="8202" max="8202" width="6" style="1847" customWidth="1"/>
    <col min="8203" max="8203" width="10.42578125" style="1847" customWidth="1"/>
    <col min="8204" max="8205" width="6" style="1847" customWidth="1"/>
    <col min="8206" max="8440" width="7" style="1847"/>
    <col min="8441" max="8441" width="1" style="1847" customWidth="1"/>
    <col min="8442" max="8442" width="17.28515625" style="1847" customWidth="1"/>
    <col min="8443" max="8444" width="12.28515625" style="1847" customWidth="1"/>
    <col min="8445" max="8445" width="23.28515625" style="1847" customWidth="1"/>
    <col min="8446" max="8446" width="6.42578125" style="1847" customWidth="1"/>
    <col min="8447" max="8447" width="8.42578125" style="1847" customWidth="1"/>
    <col min="8448" max="8448" width="9" style="1847" customWidth="1"/>
    <col min="8449" max="8449" width="10.42578125" style="1847" customWidth="1"/>
    <col min="8450" max="8450" width="8.85546875" style="1847" customWidth="1"/>
    <col min="8451" max="8451" width="9" style="1847" customWidth="1"/>
    <col min="8452" max="8452" width="0.42578125" style="1847" customWidth="1"/>
    <col min="8453" max="8453" width="8.42578125" style="1847" customWidth="1"/>
    <col min="8454" max="8454" width="7" style="1847" customWidth="1"/>
    <col min="8455" max="8455" width="9.5703125" style="1847" customWidth="1"/>
    <col min="8456" max="8456" width="3.85546875" style="1847" customWidth="1"/>
    <col min="8457" max="8457" width="4.42578125" style="1847" customWidth="1"/>
    <col min="8458" max="8458" width="6" style="1847" customWidth="1"/>
    <col min="8459" max="8459" width="10.42578125" style="1847" customWidth="1"/>
    <col min="8460" max="8461" width="6" style="1847" customWidth="1"/>
    <col min="8462" max="8696" width="7" style="1847"/>
    <col min="8697" max="8697" width="1" style="1847" customWidth="1"/>
    <col min="8698" max="8698" width="17.28515625" style="1847" customWidth="1"/>
    <col min="8699" max="8700" width="12.28515625" style="1847" customWidth="1"/>
    <col min="8701" max="8701" width="23.28515625" style="1847" customWidth="1"/>
    <col min="8702" max="8702" width="6.42578125" style="1847" customWidth="1"/>
    <col min="8703" max="8703" width="8.42578125" style="1847" customWidth="1"/>
    <col min="8704" max="8704" width="9" style="1847" customWidth="1"/>
    <col min="8705" max="8705" width="10.42578125" style="1847" customWidth="1"/>
    <col min="8706" max="8706" width="8.85546875" style="1847" customWidth="1"/>
    <col min="8707" max="8707" width="9" style="1847" customWidth="1"/>
    <col min="8708" max="8708" width="0.42578125" style="1847" customWidth="1"/>
    <col min="8709" max="8709" width="8.42578125" style="1847" customWidth="1"/>
    <col min="8710" max="8710" width="7" style="1847" customWidth="1"/>
    <col min="8711" max="8711" width="9.5703125" style="1847" customWidth="1"/>
    <col min="8712" max="8712" width="3.85546875" style="1847" customWidth="1"/>
    <col min="8713" max="8713" width="4.42578125" style="1847" customWidth="1"/>
    <col min="8714" max="8714" width="6" style="1847" customWidth="1"/>
    <col min="8715" max="8715" width="10.42578125" style="1847" customWidth="1"/>
    <col min="8716" max="8717" width="6" style="1847" customWidth="1"/>
    <col min="8718" max="8952" width="7" style="1847"/>
    <col min="8953" max="8953" width="1" style="1847" customWidth="1"/>
    <col min="8954" max="8954" width="17.28515625" style="1847" customWidth="1"/>
    <col min="8955" max="8956" width="12.28515625" style="1847" customWidth="1"/>
    <col min="8957" max="8957" width="23.28515625" style="1847" customWidth="1"/>
    <col min="8958" max="8958" width="6.42578125" style="1847" customWidth="1"/>
    <col min="8959" max="8959" width="8.42578125" style="1847" customWidth="1"/>
    <col min="8960" max="8960" width="9" style="1847" customWidth="1"/>
    <col min="8961" max="8961" width="10.42578125" style="1847" customWidth="1"/>
    <col min="8962" max="8962" width="8.85546875" style="1847" customWidth="1"/>
    <col min="8963" max="8963" width="9" style="1847" customWidth="1"/>
    <col min="8964" max="8964" width="0.42578125" style="1847" customWidth="1"/>
    <col min="8965" max="8965" width="8.42578125" style="1847" customWidth="1"/>
    <col min="8966" max="8966" width="7" style="1847" customWidth="1"/>
    <col min="8967" max="8967" width="9.5703125" style="1847" customWidth="1"/>
    <col min="8968" max="8968" width="3.85546875" style="1847" customWidth="1"/>
    <col min="8969" max="8969" width="4.42578125" style="1847" customWidth="1"/>
    <col min="8970" max="8970" width="6" style="1847" customWidth="1"/>
    <col min="8971" max="8971" width="10.42578125" style="1847" customWidth="1"/>
    <col min="8972" max="8973" width="6" style="1847" customWidth="1"/>
    <col min="8974" max="9208" width="7" style="1847"/>
    <col min="9209" max="9209" width="1" style="1847" customWidth="1"/>
    <col min="9210" max="9210" width="17.28515625" style="1847" customWidth="1"/>
    <col min="9211" max="9212" width="12.28515625" style="1847" customWidth="1"/>
    <col min="9213" max="9213" width="23.28515625" style="1847" customWidth="1"/>
    <col min="9214" max="9214" width="6.42578125" style="1847" customWidth="1"/>
    <col min="9215" max="9215" width="8.42578125" style="1847" customWidth="1"/>
    <col min="9216" max="9216" width="9" style="1847" customWidth="1"/>
    <col min="9217" max="9217" width="10.42578125" style="1847" customWidth="1"/>
    <col min="9218" max="9218" width="8.85546875" style="1847" customWidth="1"/>
    <col min="9219" max="9219" width="9" style="1847" customWidth="1"/>
    <col min="9220" max="9220" width="0.42578125" style="1847" customWidth="1"/>
    <col min="9221" max="9221" width="8.42578125" style="1847" customWidth="1"/>
    <col min="9222" max="9222" width="7" style="1847" customWidth="1"/>
    <col min="9223" max="9223" width="9.5703125" style="1847" customWidth="1"/>
    <col min="9224" max="9224" width="3.85546875" style="1847" customWidth="1"/>
    <col min="9225" max="9225" width="4.42578125" style="1847" customWidth="1"/>
    <col min="9226" max="9226" width="6" style="1847" customWidth="1"/>
    <col min="9227" max="9227" width="10.42578125" style="1847" customWidth="1"/>
    <col min="9228" max="9229" width="6" style="1847" customWidth="1"/>
    <col min="9230" max="9464" width="7" style="1847"/>
    <col min="9465" max="9465" width="1" style="1847" customWidth="1"/>
    <col min="9466" max="9466" width="17.28515625" style="1847" customWidth="1"/>
    <col min="9467" max="9468" width="12.28515625" style="1847" customWidth="1"/>
    <col min="9469" max="9469" width="23.28515625" style="1847" customWidth="1"/>
    <col min="9470" max="9470" width="6.42578125" style="1847" customWidth="1"/>
    <col min="9471" max="9471" width="8.42578125" style="1847" customWidth="1"/>
    <col min="9472" max="9472" width="9" style="1847" customWidth="1"/>
    <col min="9473" max="9473" width="10.42578125" style="1847" customWidth="1"/>
    <col min="9474" max="9474" width="8.85546875" style="1847" customWidth="1"/>
    <col min="9475" max="9475" width="9" style="1847" customWidth="1"/>
    <col min="9476" max="9476" width="0.42578125" style="1847" customWidth="1"/>
    <col min="9477" max="9477" width="8.42578125" style="1847" customWidth="1"/>
    <col min="9478" max="9478" width="7" style="1847" customWidth="1"/>
    <col min="9479" max="9479" width="9.5703125" style="1847" customWidth="1"/>
    <col min="9480" max="9480" width="3.85546875" style="1847" customWidth="1"/>
    <col min="9481" max="9481" width="4.42578125" style="1847" customWidth="1"/>
    <col min="9482" max="9482" width="6" style="1847" customWidth="1"/>
    <col min="9483" max="9483" width="10.42578125" style="1847" customWidth="1"/>
    <col min="9484" max="9485" width="6" style="1847" customWidth="1"/>
    <col min="9486" max="9720" width="7" style="1847"/>
    <col min="9721" max="9721" width="1" style="1847" customWidth="1"/>
    <col min="9722" max="9722" width="17.28515625" style="1847" customWidth="1"/>
    <col min="9723" max="9724" width="12.28515625" style="1847" customWidth="1"/>
    <col min="9725" max="9725" width="23.28515625" style="1847" customWidth="1"/>
    <col min="9726" max="9726" width="6.42578125" style="1847" customWidth="1"/>
    <col min="9727" max="9727" width="8.42578125" style="1847" customWidth="1"/>
    <col min="9728" max="9728" width="9" style="1847" customWidth="1"/>
    <col min="9729" max="9729" width="10.42578125" style="1847" customWidth="1"/>
    <col min="9730" max="9730" width="8.85546875" style="1847" customWidth="1"/>
    <col min="9731" max="9731" width="9" style="1847" customWidth="1"/>
    <col min="9732" max="9732" width="0.42578125" style="1847" customWidth="1"/>
    <col min="9733" max="9733" width="8.42578125" style="1847" customWidth="1"/>
    <col min="9734" max="9734" width="7" style="1847" customWidth="1"/>
    <col min="9735" max="9735" width="9.5703125" style="1847" customWidth="1"/>
    <col min="9736" max="9736" width="3.85546875" style="1847" customWidth="1"/>
    <col min="9737" max="9737" width="4.42578125" style="1847" customWidth="1"/>
    <col min="9738" max="9738" width="6" style="1847" customWidth="1"/>
    <col min="9739" max="9739" width="10.42578125" style="1847" customWidth="1"/>
    <col min="9740" max="9741" width="6" style="1847" customWidth="1"/>
    <col min="9742" max="9976" width="7" style="1847"/>
    <col min="9977" max="9977" width="1" style="1847" customWidth="1"/>
    <col min="9978" max="9978" width="17.28515625" style="1847" customWidth="1"/>
    <col min="9979" max="9980" width="12.28515625" style="1847" customWidth="1"/>
    <col min="9981" max="9981" width="23.28515625" style="1847" customWidth="1"/>
    <col min="9982" max="9982" width="6.42578125" style="1847" customWidth="1"/>
    <col min="9983" max="9983" width="8.42578125" style="1847" customWidth="1"/>
    <col min="9984" max="9984" width="9" style="1847" customWidth="1"/>
    <col min="9985" max="9985" width="10.42578125" style="1847" customWidth="1"/>
    <col min="9986" max="9986" width="8.85546875" style="1847" customWidth="1"/>
    <col min="9987" max="9987" width="9" style="1847" customWidth="1"/>
    <col min="9988" max="9988" width="0.42578125" style="1847" customWidth="1"/>
    <col min="9989" max="9989" width="8.42578125" style="1847" customWidth="1"/>
    <col min="9990" max="9990" width="7" style="1847" customWidth="1"/>
    <col min="9991" max="9991" width="9.5703125" style="1847" customWidth="1"/>
    <col min="9992" max="9992" width="3.85546875" style="1847" customWidth="1"/>
    <col min="9993" max="9993" width="4.42578125" style="1847" customWidth="1"/>
    <col min="9994" max="9994" width="6" style="1847" customWidth="1"/>
    <col min="9995" max="9995" width="10.42578125" style="1847" customWidth="1"/>
    <col min="9996" max="9997" width="6" style="1847" customWidth="1"/>
    <col min="9998" max="10232" width="7" style="1847"/>
    <col min="10233" max="10233" width="1" style="1847" customWidth="1"/>
    <col min="10234" max="10234" width="17.28515625" style="1847" customWidth="1"/>
    <col min="10235" max="10236" width="12.28515625" style="1847" customWidth="1"/>
    <col min="10237" max="10237" width="23.28515625" style="1847" customWidth="1"/>
    <col min="10238" max="10238" width="6.42578125" style="1847" customWidth="1"/>
    <col min="10239" max="10239" width="8.42578125" style="1847" customWidth="1"/>
    <col min="10240" max="10240" width="9" style="1847" customWidth="1"/>
    <col min="10241" max="10241" width="10.42578125" style="1847" customWidth="1"/>
    <col min="10242" max="10242" width="8.85546875" style="1847" customWidth="1"/>
    <col min="10243" max="10243" width="9" style="1847" customWidth="1"/>
    <col min="10244" max="10244" width="0.42578125" style="1847" customWidth="1"/>
    <col min="10245" max="10245" width="8.42578125" style="1847" customWidth="1"/>
    <col min="10246" max="10246" width="7" style="1847" customWidth="1"/>
    <col min="10247" max="10247" width="9.5703125" style="1847" customWidth="1"/>
    <col min="10248" max="10248" width="3.85546875" style="1847" customWidth="1"/>
    <col min="10249" max="10249" width="4.42578125" style="1847" customWidth="1"/>
    <col min="10250" max="10250" width="6" style="1847" customWidth="1"/>
    <col min="10251" max="10251" width="10.42578125" style="1847" customWidth="1"/>
    <col min="10252" max="10253" width="6" style="1847" customWidth="1"/>
    <col min="10254" max="10488" width="7" style="1847"/>
    <col min="10489" max="10489" width="1" style="1847" customWidth="1"/>
    <col min="10490" max="10490" width="17.28515625" style="1847" customWidth="1"/>
    <col min="10491" max="10492" width="12.28515625" style="1847" customWidth="1"/>
    <col min="10493" max="10493" width="23.28515625" style="1847" customWidth="1"/>
    <col min="10494" max="10494" width="6.42578125" style="1847" customWidth="1"/>
    <col min="10495" max="10495" width="8.42578125" style="1847" customWidth="1"/>
    <col min="10496" max="10496" width="9" style="1847" customWidth="1"/>
    <col min="10497" max="10497" width="10.42578125" style="1847" customWidth="1"/>
    <col min="10498" max="10498" width="8.85546875" style="1847" customWidth="1"/>
    <col min="10499" max="10499" width="9" style="1847" customWidth="1"/>
    <col min="10500" max="10500" width="0.42578125" style="1847" customWidth="1"/>
    <col min="10501" max="10501" width="8.42578125" style="1847" customWidth="1"/>
    <col min="10502" max="10502" width="7" style="1847" customWidth="1"/>
    <col min="10503" max="10503" width="9.5703125" style="1847" customWidth="1"/>
    <col min="10504" max="10504" width="3.85546875" style="1847" customWidth="1"/>
    <col min="10505" max="10505" width="4.42578125" style="1847" customWidth="1"/>
    <col min="10506" max="10506" width="6" style="1847" customWidth="1"/>
    <col min="10507" max="10507" width="10.42578125" style="1847" customWidth="1"/>
    <col min="10508" max="10509" width="6" style="1847" customWidth="1"/>
    <col min="10510" max="10744" width="7" style="1847"/>
    <col min="10745" max="10745" width="1" style="1847" customWidth="1"/>
    <col min="10746" max="10746" width="17.28515625" style="1847" customWidth="1"/>
    <col min="10747" max="10748" width="12.28515625" style="1847" customWidth="1"/>
    <col min="10749" max="10749" width="23.28515625" style="1847" customWidth="1"/>
    <col min="10750" max="10750" width="6.42578125" style="1847" customWidth="1"/>
    <col min="10751" max="10751" width="8.42578125" style="1847" customWidth="1"/>
    <col min="10752" max="10752" width="9" style="1847" customWidth="1"/>
    <col min="10753" max="10753" width="10.42578125" style="1847" customWidth="1"/>
    <col min="10754" max="10754" width="8.85546875" style="1847" customWidth="1"/>
    <col min="10755" max="10755" width="9" style="1847" customWidth="1"/>
    <col min="10756" max="10756" width="0.42578125" style="1847" customWidth="1"/>
    <col min="10757" max="10757" width="8.42578125" style="1847" customWidth="1"/>
    <col min="10758" max="10758" width="7" style="1847" customWidth="1"/>
    <col min="10759" max="10759" width="9.5703125" style="1847" customWidth="1"/>
    <col min="10760" max="10760" width="3.85546875" style="1847" customWidth="1"/>
    <col min="10761" max="10761" width="4.42578125" style="1847" customWidth="1"/>
    <col min="10762" max="10762" width="6" style="1847" customWidth="1"/>
    <col min="10763" max="10763" width="10.42578125" style="1847" customWidth="1"/>
    <col min="10764" max="10765" width="6" style="1847" customWidth="1"/>
    <col min="10766" max="11000" width="7" style="1847"/>
    <col min="11001" max="11001" width="1" style="1847" customWidth="1"/>
    <col min="11002" max="11002" width="17.28515625" style="1847" customWidth="1"/>
    <col min="11003" max="11004" width="12.28515625" style="1847" customWidth="1"/>
    <col min="11005" max="11005" width="23.28515625" style="1847" customWidth="1"/>
    <col min="11006" max="11006" width="6.42578125" style="1847" customWidth="1"/>
    <col min="11007" max="11007" width="8.42578125" style="1847" customWidth="1"/>
    <col min="11008" max="11008" width="9" style="1847" customWidth="1"/>
    <col min="11009" max="11009" width="10.42578125" style="1847" customWidth="1"/>
    <col min="11010" max="11010" width="8.85546875" style="1847" customWidth="1"/>
    <col min="11011" max="11011" width="9" style="1847" customWidth="1"/>
    <col min="11012" max="11012" width="0.42578125" style="1847" customWidth="1"/>
    <col min="11013" max="11013" width="8.42578125" style="1847" customWidth="1"/>
    <col min="11014" max="11014" width="7" style="1847" customWidth="1"/>
    <col min="11015" max="11015" width="9.5703125" style="1847" customWidth="1"/>
    <col min="11016" max="11016" width="3.85546875" style="1847" customWidth="1"/>
    <col min="11017" max="11017" width="4.42578125" style="1847" customWidth="1"/>
    <col min="11018" max="11018" width="6" style="1847" customWidth="1"/>
    <col min="11019" max="11019" width="10.42578125" style="1847" customWidth="1"/>
    <col min="11020" max="11021" width="6" style="1847" customWidth="1"/>
    <col min="11022" max="11256" width="7" style="1847"/>
    <col min="11257" max="11257" width="1" style="1847" customWidth="1"/>
    <col min="11258" max="11258" width="17.28515625" style="1847" customWidth="1"/>
    <col min="11259" max="11260" width="12.28515625" style="1847" customWidth="1"/>
    <col min="11261" max="11261" width="23.28515625" style="1847" customWidth="1"/>
    <col min="11262" max="11262" width="6.42578125" style="1847" customWidth="1"/>
    <col min="11263" max="11263" width="8.42578125" style="1847" customWidth="1"/>
    <col min="11264" max="11264" width="9" style="1847" customWidth="1"/>
    <col min="11265" max="11265" width="10.42578125" style="1847" customWidth="1"/>
    <col min="11266" max="11266" width="8.85546875" style="1847" customWidth="1"/>
    <col min="11267" max="11267" width="9" style="1847" customWidth="1"/>
    <col min="11268" max="11268" width="0.42578125" style="1847" customWidth="1"/>
    <col min="11269" max="11269" width="8.42578125" style="1847" customWidth="1"/>
    <col min="11270" max="11270" width="7" style="1847" customWidth="1"/>
    <col min="11271" max="11271" width="9.5703125" style="1847" customWidth="1"/>
    <col min="11272" max="11272" width="3.85546875" style="1847" customWidth="1"/>
    <col min="11273" max="11273" width="4.42578125" style="1847" customWidth="1"/>
    <col min="11274" max="11274" width="6" style="1847" customWidth="1"/>
    <col min="11275" max="11275" width="10.42578125" style="1847" customWidth="1"/>
    <col min="11276" max="11277" width="6" style="1847" customWidth="1"/>
    <col min="11278" max="11512" width="7" style="1847"/>
    <col min="11513" max="11513" width="1" style="1847" customWidth="1"/>
    <col min="11514" max="11514" width="17.28515625" style="1847" customWidth="1"/>
    <col min="11515" max="11516" width="12.28515625" style="1847" customWidth="1"/>
    <col min="11517" max="11517" width="23.28515625" style="1847" customWidth="1"/>
    <col min="11518" max="11518" width="6.42578125" style="1847" customWidth="1"/>
    <col min="11519" max="11519" width="8.42578125" style="1847" customWidth="1"/>
    <col min="11520" max="11520" width="9" style="1847" customWidth="1"/>
    <col min="11521" max="11521" width="10.42578125" style="1847" customWidth="1"/>
    <col min="11522" max="11522" width="8.85546875" style="1847" customWidth="1"/>
    <col min="11523" max="11523" width="9" style="1847" customWidth="1"/>
    <col min="11524" max="11524" width="0.42578125" style="1847" customWidth="1"/>
    <col min="11525" max="11525" width="8.42578125" style="1847" customWidth="1"/>
    <col min="11526" max="11526" width="7" style="1847" customWidth="1"/>
    <col min="11527" max="11527" width="9.5703125" style="1847" customWidth="1"/>
    <col min="11528" max="11528" width="3.85546875" style="1847" customWidth="1"/>
    <col min="11529" max="11529" width="4.42578125" style="1847" customWidth="1"/>
    <col min="11530" max="11530" width="6" style="1847" customWidth="1"/>
    <col min="11531" max="11531" width="10.42578125" style="1847" customWidth="1"/>
    <col min="11532" max="11533" width="6" style="1847" customWidth="1"/>
    <col min="11534" max="11768" width="7" style="1847"/>
    <col min="11769" max="11769" width="1" style="1847" customWidth="1"/>
    <col min="11770" max="11770" width="17.28515625" style="1847" customWidth="1"/>
    <col min="11771" max="11772" width="12.28515625" style="1847" customWidth="1"/>
    <col min="11773" max="11773" width="23.28515625" style="1847" customWidth="1"/>
    <col min="11774" max="11774" width="6.42578125" style="1847" customWidth="1"/>
    <col min="11775" max="11775" width="8.42578125" style="1847" customWidth="1"/>
    <col min="11776" max="11776" width="9" style="1847" customWidth="1"/>
    <col min="11777" max="11777" width="10.42578125" style="1847" customWidth="1"/>
    <col min="11778" max="11778" width="8.85546875" style="1847" customWidth="1"/>
    <col min="11779" max="11779" width="9" style="1847" customWidth="1"/>
    <col min="11780" max="11780" width="0.42578125" style="1847" customWidth="1"/>
    <col min="11781" max="11781" width="8.42578125" style="1847" customWidth="1"/>
    <col min="11782" max="11782" width="7" style="1847" customWidth="1"/>
    <col min="11783" max="11783" width="9.5703125" style="1847" customWidth="1"/>
    <col min="11784" max="11784" width="3.85546875" style="1847" customWidth="1"/>
    <col min="11785" max="11785" width="4.42578125" style="1847" customWidth="1"/>
    <col min="11786" max="11786" width="6" style="1847" customWidth="1"/>
    <col min="11787" max="11787" width="10.42578125" style="1847" customWidth="1"/>
    <col min="11788" max="11789" width="6" style="1847" customWidth="1"/>
    <col min="11790" max="12024" width="7" style="1847"/>
    <col min="12025" max="12025" width="1" style="1847" customWidth="1"/>
    <col min="12026" max="12026" width="17.28515625" style="1847" customWidth="1"/>
    <col min="12027" max="12028" width="12.28515625" style="1847" customWidth="1"/>
    <col min="12029" max="12029" width="23.28515625" style="1847" customWidth="1"/>
    <col min="12030" max="12030" width="6.42578125" style="1847" customWidth="1"/>
    <col min="12031" max="12031" width="8.42578125" style="1847" customWidth="1"/>
    <col min="12032" max="12032" width="9" style="1847" customWidth="1"/>
    <col min="12033" max="12033" width="10.42578125" style="1847" customWidth="1"/>
    <col min="12034" max="12034" width="8.85546875" style="1847" customWidth="1"/>
    <col min="12035" max="12035" width="9" style="1847" customWidth="1"/>
    <col min="12036" max="12036" width="0.42578125" style="1847" customWidth="1"/>
    <col min="12037" max="12037" width="8.42578125" style="1847" customWidth="1"/>
    <col min="12038" max="12038" width="7" style="1847" customWidth="1"/>
    <col min="12039" max="12039" width="9.5703125" style="1847" customWidth="1"/>
    <col min="12040" max="12040" width="3.85546875" style="1847" customWidth="1"/>
    <col min="12041" max="12041" width="4.42578125" style="1847" customWidth="1"/>
    <col min="12042" max="12042" width="6" style="1847" customWidth="1"/>
    <col min="12043" max="12043" width="10.42578125" style="1847" customWidth="1"/>
    <col min="12044" max="12045" width="6" style="1847" customWidth="1"/>
    <col min="12046" max="12280" width="7" style="1847"/>
    <col min="12281" max="12281" width="1" style="1847" customWidth="1"/>
    <col min="12282" max="12282" width="17.28515625" style="1847" customWidth="1"/>
    <col min="12283" max="12284" width="12.28515625" style="1847" customWidth="1"/>
    <col min="12285" max="12285" width="23.28515625" style="1847" customWidth="1"/>
    <col min="12286" max="12286" width="6.42578125" style="1847" customWidth="1"/>
    <col min="12287" max="12287" width="8.42578125" style="1847" customWidth="1"/>
    <col min="12288" max="12288" width="9" style="1847" customWidth="1"/>
    <col min="12289" max="12289" width="10.42578125" style="1847" customWidth="1"/>
    <col min="12290" max="12290" width="8.85546875" style="1847" customWidth="1"/>
    <col min="12291" max="12291" width="9" style="1847" customWidth="1"/>
    <col min="12292" max="12292" width="0.42578125" style="1847" customWidth="1"/>
    <col min="12293" max="12293" width="8.42578125" style="1847" customWidth="1"/>
    <col min="12294" max="12294" width="7" style="1847" customWidth="1"/>
    <col min="12295" max="12295" width="9.5703125" style="1847" customWidth="1"/>
    <col min="12296" max="12296" width="3.85546875" style="1847" customWidth="1"/>
    <col min="12297" max="12297" width="4.42578125" style="1847" customWidth="1"/>
    <col min="12298" max="12298" width="6" style="1847" customWidth="1"/>
    <col min="12299" max="12299" width="10.42578125" style="1847" customWidth="1"/>
    <col min="12300" max="12301" width="6" style="1847" customWidth="1"/>
    <col min="12302" max="12536" width="7" style="1847"/>
    <col min="12537" max="12537" width="1" style="1847" customWidth="1"/>
    <col min="12538" max="12538" width="17.28515625" style="1847" customWidth="1"/>
    <col min="12539" max="12540" width="12.28515625" style="1847" customWidth="1"/>
    <col min="12541" max="12541" width="23.28515625" style="1847" customWidth="1"/>
    <col min="12542" max="12542" width="6.42578125" style="1847" customWidth="1"/>
    <col min="12543" max="12543" width="8.42578125" style="1847" customWidth="1"/>
    <col min="12544" max="12544" width="9" style="1847" customWidth="1"/>
    <col min="12545" max="12545" width="10.42578125" style="1847" customWidth="1"/>
    <col min="12546" max="12546" width="8.85546875" style="1847" customWidth="1"/>
    <col min="12547" max="12547" width="9" style="1847" customWidth="1"/>
    <col min="12548" max="12548" width="0.42578125" style="1847" customWidth="1"/>
    <col min="12549" max="12549" width="8.42578125" style="1847" customWidth="1"/>
    <col min="12550" max="12550" width="7" style="1847" customWidth="1"/>
    <col min="12551" max="12551" width="9.5703125" style="1847" customWidth="1"/>
    <col min="12552" max="12552" width="3.85546875" style="1847" customWidth="1"/>
    <col min="12553" max="12553" width="4.42578125" style="1847" customWidth="1"/>
    <col min="12554" max="12554" width="6" style="1847" customWidth="1"/>
    <col min="12555" max="12555" width="10.42578125" style="1847" customWidth="1"/>
    <col min="12556" max="12557" width="6" style="1847" customWidth="1"/>
    <col min="12558" max="12792" width="7" style="1847"/>
    <col min="12793" max="12793" width="1" style="1847" customWidth="1"/>
    <col min="12794" max="12794" width="17.28515625" style="1847" customWidth="1"/>
    <col min="12795" max="12796" width="12.28515625" style="1847" customWidth="1"/>
    <col min="12797" max="12797" width="23.28515625" style="1847" customWidth="1"/>
    <col min="12798" max="12798" width="6.42578125" style="1847" customWidth="1"/>
    <col min="12799" max="12799" width="8.42578125" style="1847" customWidth="1"/>
    <col min="12800" max="12800" width="9" style="1847" customWidth="1"/>
    <col min="12801" max="12801" width="10.42578125" style="1847" customWidth="1"/>
    <col min="12802" max="12802" width="8.85546875" style="1847" customWidth="1"/>
    <col min="12803" max="12803" width="9" style="1847" customWidth="1"/>
    <col min="12804" max="12804" width="0.42578125" style="1847" customWidth="1"/>
    <col min="12805" max="12805" width="8.42578125" style="1847" customWidth="1"/>
    <col min="12806" max="12806" width="7" style="1847" customWidth="1"/>
    <col min="12807" max="12807" width="9.5703125" style="1847" customWidth="1"/>
    <col min="12808" max="12808" width="3.85546875" style="1847" customWidth="1"/>
    <col min="12809" max="12809" width="4.42578125" style="1847" customWidth="1"/>
    <col min="12810" max="12810" width="6" style="1847" customWidth="1"/>
    <col min="12811" max="12811" width="10.42578125" style="1847" customWidth="1"/>
    <col min="12812" max="12813" width="6" style="1847" customWidth="1"/>
    <col min="12814" max="13048" width="7" style="1847"/>
    <col min="13049" max="13049" width="1" style="1847" customWidth="1"/>
    <col min="13050" max="13050" width="17.28515625" style="1847" customWidth="1"/>
    <col min="13051" max="13052" width="12.28515625" style="1847" customWidth="1"/>
    <col min="13053" max="13053" width="23.28515625" style="1847" customWidth="1"/>
    <col min="13054" max="13054" width="6.42578125" style="1847" customWidth="1"/>
    <col min="13055" max="13055" width="8.42578125" style="1847" customWidth="1"/>
    <col min="13056" max="13056" width="9" style="1847" customWidth="1"/>
    <col min="13057" max="13057" width="10.42578125" style="1847" customWidth="1"/>
    <col min="13058" max="13058" width="8.85546875" style="1847" customWidth="1"/>
    <col min="13059" max="13059" width="9" style="1847" customWidth="1"/>
    <col min="13060" max="13060" width="0.42578125" style="1847" customWidth="1"/>
    <col min="13061" max="13061" width="8.42578125" style="1847" customWidth="1"/>
    <col min="13062" max="13062" width="7" style="1847" customWidth="1"/>
    <col min="13063" max="13063" width="9.5703125" style="1847" customWidth="1"/>
    <col min="13064" max="13064" width="3.85546875" style="1847" customWidth="1"/>
    <col min="13065" max="13065" width="4.42578125" style="1847" customWidth="1"/>
    <col min="13066" max="13066" width="6" style="1847" customWidth="1"/>
    <col min="13067" max="13067" width="10.42578125" style="1847" customWidth="1"/>
    <col min="13068" max="13069" width="6" style="1847" customWidth="1"/>
    <col min="13070" max="13304" width="7" style="1847"/>
    <col min="13305" max="13305" width="1" style="1847" customWidth="1"/>
    <col min="13306" max="13306" width="17.28515625" style="1847" customWidth="1"/>
    <col min="13307" max="13308" width="12.28515625" style="1847" customWidth="1"/>
    <col min="13309" max="13309" width="23.28515625" style="1847" customWidth="1"/>
    <col min="13310" max="13310" width="6.42578125" style="1847" customWidth="1"/>
    <col min="13311" max="13311" width="8.42578125" style="1847" customWidth="1"/>
    <col min="13312" max="13312" width="9" style="1847" customWidth="1"/>
    <col min="13313" max="13313" width="10.42578125" style="1847" customWidth="1"/>
    <col min="13314" max="13314" width="8.85546875" style="1847" customWidth="1"/>
    <col min="13315" max="13315" width="9" style="1847" customWidth="1"/>
    <col min="13316" max="13316" width="0.42578125" style="1847" customWidth="1"/>
    <col min="13317" max="13317" width="8.42578125" style="1847" customWidth="1"/>
    <col min="13318" max="13318" width="7" style="1847" customWidth="1"/>
    <col min="13319" max="13319" width="9.5703125" style="1847" customWidth="1"/>
    <col min="13320" max="13320" width="3.85546875" style="1847" customWidth="1"/>
    <col min="13321" max="13321" width="4.42578125" style="1847" customWidth="1"/>
    <col min="13322" max="13322" width="6" style="1847" customWidth="1"/>
    <col min="13323" max="13323" width="10.42578125" style="1847" customWidth="1"/>
    <col min="13324" max="13325" width="6" style="1847" customWidth="1"/>
    <col min="13326" max="13560" width="7" style="1847"/>
    <col min="13561" max="13561" width="1" style="1847" customWidth="1"/>
    <col min="13562" max="13562" width="17.28515625" style="1847" customWidth="1"/>
    <col min="13563" max="13564" width="12.28515625" style="1847" customWidth="1"/>
    <col min="13565" max="13565" width="23.28515625" style="1847" customWidth="1"/>
    <col min="13566" max="13566" width="6.42578125" style="1847" customWidth="1"/>
    <col min="13567" max="13567" width="8.42578125" style="1847" customWidth="1"/>
    <col min="13568" max="13568" width="9" style="1847" customWidth="1"/>
    <col min="13569" max="13569" width="10.42578125" style="1847" customWidth="1"/>
    <col min="13570" max="13570" width="8.85546875" style="1847" customWidth="1"/>
    <col min="13571" max="13571" width="9" style="1847" customWidth="1"/>
    <col min="13572" max="13572" width="0.42578125" style="1847" customWidth="1"/>
    <col min="13573" max="13573" width="8.42578125" style="1847" customWidth="1"/>
    <col min="13574" max="13574" width="7" style="1847" customWidth="1"/>
    <col min="13575" max="13575" width="9.5703125" style="1847" customWidth="1"/>
    <col min="13576" max="13576" width="3.85546875" style="1847" customWidth="1"/>
    <col min="13577" max="13577" width="4.42578125" style="1847" customWidth="1"/>
    <col min="13578" max="13578" width="6" style="1847" customWidth="1"/>
    <col min="13579" max="13579" width="10.42578125" style="1847" customWidth="1"/>
    <col min="13580" max="13581" width="6" style="1847" customWidth="1"/>
    <col min="13582" max="13816" width="7" style="1847"/>
    <col min="13817" max="13817" width="1" style="1847" customWidth="1"/>
    <col min="13818" max="13818" width="17.28515625" style="1847" customWidth="1"/>
    <col min="13819" max="13820" width="12.28515625" style="1847" customWidth="1"/>
    <col min="13821" max="13821" width="23.28515625" style="1847" customWidth="1"/>
    <col min="13822" max="13822" width="6.42578125" style="1847" customWidth="1"/>
    <col min="13823" max="13823" width="8.42578125" style="1847" customWidth="1"/>
    <col min="13824" max="13824" width="9" style="1847" customWidth="1"/>
    <col min="13825" max="13825" width="10.42578125" style="1847" customWidth="1"/>
    <col min="13826" max="13826" width="8.85546875" style="1847" customWidth="1"/>
    <col min="13827" max="13827" width="9" style="1847" customWidth="1"/>
    <col min="13828" max="13828" width="0.42578125" style="1847" customWidth="1"/>
    <col min="13829" max="13829" width="8.42578125" style="1847" customWidth="1"/>
    <col min="13830" max="13830" width="7" style="1847" customWidth="1"/>
    <col min="13831" max="13831" width="9.5703125" style="1847" customWidth="1"/>
    <col min="13832" max="13832" width="3.85546875" style="1847" customWidth="1"/>
    <col min="13833" max="13833" width="4.42578125" style="1847" customWidth="1"/>
    <col min="13834" max="13834" width="6" style="1847" customWidth="1"/>
    <col min="13835" max="13835" width="10.42578125" style="1847" customWidth="1"/>
    <col min="13836" max="13837" width="6" style="1847" customWidth="1"/>
    <col min="13838" max="14072" width="7" style="1847"/>
    <col min="14073" max="14073" width="1" style="1847" customWidth="1"/>
    <col min="14074" max="14074" width="17.28515625" style="1847" customWidth="1"/>
    <col min="14075" max="14076" width="12.28515625" style="1847" customWidth="1"/>
    <col min="14077" max="14077" width="23.28515625" style="1847" customWidth="1"/>
    <col min="14078" max="14078" width="6.42578125" style="1847" customWidth="1"/>
    <col min="14079" max="14079" width="8.42578125" style="1847" customWidth="1"/>
    <col min="14080" max="14080" width="9" style="1847" customWidth="1"/>
    <col min="14081" max="14081" width="10.42578125" style="1847" customWidth="1"/>
    <col min="14082" max="14082" width="8.85546875" style="1847" customWidth="1"/>
    <col min="14083" max="14083" width="9" style="1847" customWidth="1"/>
    <col min="14084" max="14084" width="0.42578125" style="1847" customWidth="1"/>
    <col min="14085" max="14085" width="8.42578125" style="1847" customWidth="1"/>
    <col min="14086" max="14086" width="7" style="1847" customWidth="1"/>
    <col min="14087" max="14087" width="9.5703125" style="1847" customWidth="1"/>
    <col min="14088" max="14088" width="3.85546875" style="1847" customWidth="1"/>
    <col min="14089" max="14089" width="4.42578125" style="1847" customWidth="1"/>
    <col min="14090" max="14090" width="6" style="1847" customWidth="1"/>
    <col min="14091" max="14091" width="10.42578125" style="1847" customWidth="1"/>
    <col min="14092" max="14093" width="6" style="1847" customWidth="1"/>
    <col min="14094" max="14328" width="7" style="1847"/>
    <col min="14329" max="14329" width="1" style="1847" customWidth="1"/>
    <col min="14330" max="14330" width="17.28515625" style="1847" customWidth="1"/>
    <col min="14331" max="14332" width="12.28515625" style="1847" customWidth="1"/>
    <col min="14333" max="14333" width="23.28515625" style="1847" customWidth="1"/>
    <col min="14334" max="14334" width="6.42578125" style="1847" customWidth="1"/>
    <col min="14335" max="14335" width="8.42578125" style="1847" customWidth="1"/>
    <col min="14336" max="14336" width="9" style="1847" customWidth="1"/>
    <col min="14337" max="14337" width="10.42578125" style="1847" customWidth="1"/>
    <col min="14338" max="14338" width="8.85546875" style="1847" customWidth="1"/>
    <col min="14339" max="14339" width="9" style="1847" customWidth="1"/>
    <col min="14340" max="14340" width="0.42578125" style="1847" customWidth="1"/>
    <col min="14341" max="14341" width="8.42578125" style="1847" customWidth="1"/>
    <col min="14342" max="14342" width="7" style="1847" customWidth="1"/>
    <col min="14343" max="14343" width="9.5703125" style="1847" customWidth="1"/>
    <col min="14344" max="14344" width="3.85546875" style="1847" customWidth="1"/>
    <col min="14345" max="14345" width="4.42578125" style="1847" customWidth="1"/>
    <col min="14346" max="14346" width="6" style="1847" customWidth="1"/>
    <col min="14347" max="14347" width="10.42578125" style="1847" customWidth="1"/>
    <col min="14348" max="14349" width="6" style="1847" customWidth="1"/>
    <col min="14350" max="14584" width="7" style="1847"/>
    <col min="14585" max="14585" width="1" style="1847" customWidth="1"/>
    <col min="14586" max="14586" width="17.28515625" style="1847" customWidth="1"/>
    <col min="14587" max="14588" width="12.28515625" style="1847" customWidth="1"/>
    <col min="14589" max="14589" width="23.28515625" style="1847" customWidth="1"/>
    <col min="14590" max="14590" width="6.42578125" style="1847" customWidth="1"/>
    <col min="14591" max="14591" width="8.42578125" style="1847" customWidth="1"/>
    <col min="14592" max="14592" width="9" style="1847" customWidth="1"/>
    <col min="14593" max="14593" width="10.42578125" style="1847" customWidth="1"/>
    <col min="14594" max="14594" width="8.85546875" style="1847" customWidth="1"/>
    <col min="14595" max="14595" width="9" style="1847" customWidth="1"/>
    <col min="14596" max="14596" width="0.42578125" style="1847" customWidth="1"/>
    <col min="14597" max="14597" width="8.42578125" style="1847" customWidth="1"/>
    <col min="14598" max="14598" width="7" style="1847" customWidth="1"/>
    <col min="14599" max="14599" width="9.5703125" style="1847" customWidth="1"/>
    <col min="14600" max="14600" width="3.85546875" style="1847" customWidth="1"/>
    <col min="14601" max="14601" width="4.42578125" style="1847" customWidth="1"/>
    <col min="14602" max="14602" width="6" style="1847" customWidth="1"/>
    <col min="14603" max="14603" width="10.42578125" style="1847" customWidth="1"/>
    <col min="14604" max="14605" width="6" style="1847" customWidth="1"/>
    <col min="14606" max="14840" width="7" style="1847"/>
    <col min="14841" max="14841" width="1" style="1847" customWidth="1"/>
    <col min="14842" max="14842" width="17.28515625" style="1847" customWidth="1"/>
    <col min="14843" max="14844" width="12.28515625" style="1847" customWidth="1"/>
    <col min="14845" max="14845" width="23.28515625" style="1847" customWidth="1"/>
    <col min="14846" max="14846" width="6.42578125" style="1847" customWidth="1"/>
    <col min="14847" max="14847" width="8.42578125" style="1847" customWidth="1"/>
    <col min="14848" max="14848" width="9" style="1847" customWidth="1"/>
    <col min="14849" max="14849" width="10.42578125" style="1847" customWidth="1"/>
    <col min="14850" max="14850" width="8.85546875" style="1847" customWidth="1"/>
    <col min="14851" max="14851" width="9" style="1847" customWidth="1"/>
    <col min="14852" max="14852" width="0.42578125" style="1847" customWidth="1"/>
    <col min="14853" max="14853" width="8.42578125" style="1847" customWidth="1"/>
    <col min="14854" max="14854" width="7" style="1847" customWidth="1"/>
    <col min="14855" max="14855" width="9.5703125" style="1847" customWidth="1"/>
    <col min="14856" max="14856" width="3.85546875" style="1847" customWidth="1"/>
    <col min="14857" max="14857" width="4.42578125" style="1847" customWidth="1"/>
    <col min="14858" max="14858" width="6" style="1847" customWidth="1"/>
    <col min="14859" max="14859" width="10.42578125" style="1847" customWidth="1"/>
    <col min="14860" max="14861" width="6" style="1847" customWidth="1"/>
    <col min="14862" max="15096" width="7" style="1847"/>
    <col min="15097" max="15097" width="1" style="1847" customWidth="1"/>
    <col min="15098" max="15098" width="17.28515625" style="1847" customWidth="1"/>
    <col min="15099" max="15100" width="12.28515625" style="1847" customWidth="1"/>
    <col min="15101" max="15101" width="23.28515625" style="1847" customWidth="1"/>
    <col min="15102" max="15102" width="6.42578125" style="1847" customWidth="1"/>
    <col min="15103" max="15103" width="8.42578125" style="1847" customWidth="1"/>
    <col min="15104" max="15104" width="9" style="1847" customWidth="1"/>
    <col min="15105" max="15105" width="10.42578125" style="1847" customWidth="1"/>
    <col min="15106" max="15106" width="8.85546875" style="1847" customWidth="1"/>
    <col min="15107" max="15107" width="9" style="1847" customWidth="1"/>
    <col min="15108" max="15108" width="0.42578125" style="1847" customWidth="1"/>
    <col min="15109" max="15109" width="8.42578125" style="1847" customWidth="1"/>
    <col min="15110" max="15110" width="7" style="1847" customWidth="1"/>
    <col min="15111" max="15111" width="9.5703125" style="1847" customWidth="1"/>
    <col min="15112" max="15112" width="3.85546875" style="1847" customWidth="1"/>
    <col min="15113" max="15113" width="4.42578125" style="1847" customWidth="1"/>
    <col min="15114" max="15114" width="6" style="1847" customWidth="1"/>
    <col min="15115" max="15115" width="10.42578125" style="1847" customWidth="1"/>
    <col min="15116" max="15117" width="6" style="1847" customWidth="1"/>
    <col min="15118" max="15352" width="7" style="1847"/>
    <col min="15353" max="15353" width="1" style="1847" customWidth="1"/>
    <col min="15354" max="15354" width="17.28515625" style="1847" customWidth="1"/>
    <col min="15355" max="15356" width="12.28515625" style="1847" customWidth="1"/>
    <col min="15357" max="15357" width="23.28515625" style="1847" customWidth="1"/>
    <col min="15358" max="15358" width="6.42578125" style="1847" customWidth="1"/>
    <col min="15359" max="15359" width="8.42578125" style="1847" customWidth="1"/>
    <col min="15360" max="15360" width="9" style="1847" customWidth="1"/>
    <col min="15361" max="15361" width="10.42578125" style="1847" customWidth="1"/>
    <col min="15362" max="15362" width="8.85546875" style="1847" customWidth="1"/>
    <col min="15363" max="15363" width="9" style="1847" customWidth="1"/>
    <col min="15364" max="15364" width="0.42578125" style="1847" customWidth="1"/>
    <col min="15365" max="15365" width="8.42578125" style="1847" customWidth="1"/>
    <col min="15366" max="15366" width="7" style="1847" customWidth="1"/>
    <col min="15367" max="15367" width="9.5703125" style="1847" customWidth="1"/>
    <col min="15368" max="15368" width="3.85546875" style="1847" customWidth="1"/>
    <col min="15369" max="15369" width="4.42578125" style="1847" customWidth="1"/>
    <col min="15370" max="15370" width="6" style="1847" customWidth="1"/>
    <col min="15371" max="15371" width="10.42578125" style="1847" customWidth="1"/>
    <col min="15372" max="15373" width="6" style="1847" customWidth="1"/>
    <col min="15374" max="15608" width="7" style="1847"/>
    <col min="15609" max="15609" width="1" style="1847" customWidth="1"/>
    <col min="15610" max="15610" width="17.28515625" style="1847" customWidth="1"/>
    <col min="15611" max="15612" width="12.28515625" style="1847" customWidth="1"/>
    <col min="15613" max="15613" width="23.28515625" style="1847" customWidth="1"/>
    <col min="15614" max="15614" width="6.42578125" style="1847" customWidth="1"/>
    <col min="15615" max="15615" width="8.42578125" style="1847" customWidth="1"/>
    <col min="15616" max="15616" width="9" style="1847" customWidth="1"/>
    <col min="15617" max="15617" width="10.42578125" style="1847" customWidth="1"/>
    <col min="15618" max="15618" width="8.85546875" style="1847" customWidth="1"/>
    <col min="15619" max="15619" width="9" style="1847" customWidth="1"/>
    <col min="15620" max="15620" width="0.42578125" style="1847" customWidth="1"/>
    <col min="15621" max="15621" width="8.42578125" style="1847" customWidth="1"/>
    <col min="15622" max="15622" width="7" style="1847" customWidth="1"/>
    <col min="15623" max="15623" width="9.5703125" style="1847" customWidth="1"/>
    <col min="15624" max="15624" width="3.85546875" style="1847" customWidth="1"/>
    <col min="15625" max="15625" width="4.42578125" style="1847" customWidth="1"/>
    <col min="15626" max="15626" width="6" style="1847" customWidth="1"/>
    <col min="15627" max="15627" width="10.42578125" style="1847" customWidth="1"/>
    <col min="15628" max="15629" width="6" style="1847" customWidth="1"/>
    <col min="15630" max="15864" width="7" style="1847"/>
    <col min="15865" max="15865" width="1" style="1847" customWidth="1"/>
    <col min="15866" max="15866" width="17.28515625" style="1847" customWidth="1"/>
    <col min="15867" max="15868" width="12.28515625" style="1847" customWidth="1"/>
    <col min="15869" max="15869" width="23.28515625" style="1847" customWidth="1"/>
    <col min="15870" max="15870" width="6.42578125" style="1847" customWidth="1"/>
    <col min="15871" max="15871" width="8.42578125" style="1847" customWidth="1"/>
    <col min="15872" max="15872" width="9" style="1847" customWidth="1"/>
    <col min="15873" max="15873" width="10.42578125" style="1847" customWidth="1"/>
    <col min="15874" max="15874" width="8.85546875" style="1847" customWidth="1"/>
    <col min="15875" max="15875" width="9" style="1847" customWidth="1"/>
    <col min="15876" max="15876" width="0.42578125" style="1847" customWidth="1"/>
    <col min="15877" max="15877" width="8.42578125" style="1847" customWidth="1"/>
    <col min="15878" max="15878" width="7" style="1847" customWidth="1"/>
    <col min="15879" max="15879" width="9.5703125" style="1847" customWidth="1"/>
    <col min="15880" max="15880" width="3.85546875" style="1847" customWidth="1"/>
    <col min="15881" max="15881" width="4.42578125" style="1847" customWidth="1"/>
    <col min="15882" max="15882" width="6" style="1847" customWidth="1"/>
    <col min="15883" max="15883" width="10.42578125" style="1847" customWidth="1"/>
    <col min="15884" max="15885" width="6" style="1847" customWidth="1"/>
    <col min="15886" max="16120" width="7" style="1847"/>
    <col min="16121" max="16121" width="1" style="1847" customWidth="1"/>
    <col min="16122" max="16122" width="17.28515625" style="1847" customWidth="1"/>
    <col min="16123" max="16124" width="12.28515625" style="1847" customWidth="1"/>
    <col min="16125" max="16125" width="23.28515625" style="1847" customWidth="1"/>
    <col min="16126" max="16126" width="6.42578125" style="1847" customWidth="1"/>
    <col min="16127" max="16127" width="8.42578125" style="1847" customWidth="1"/>
    <col min="16128" max="16128" width="9" style="1847" customWidth="1"/>
    <col min="16129" max="16129" width="10.42578125" style="1847" customWidth="1"/>
    <col min="16130" max="16130" width="8.85546875" style="1847" customWidth="1"/>
    <col min="16131" max="16131" width="9" style="1847" customWidth="1"/>
    <col min="16132" max="16132" width="0.42578125" style="1847" customWidth="1"/>
    <col min="16133" max="16133" width="8.42578125" style="1847" customWidth="1"/>
    <col min="16134" max="16134" width="7" style="1847" customWidth="1"/>
    <col min="16135" max="16135" width="9.5703125" style="1847" customWidth="1"/>
    <col min="16136" max="16136" width="3.85546875" style="1847" customWidth="1"/>
    <col min="16137" max="16137" width="4.42578125" style="1847" customWidth="1"/>
    <col min="16138" max="16138" width="6" style="1847" customWidth="1"/>
    <col min="16139" max="16139" width="10.42578125" style="1847" customWidth="1"/>
    <col min="16140" max="16141" width="6" style="1847" customWidth="1"/>
    <col min="16142" max="16384" width="7" style="1847"/>
  </cols>
  <sheetData>
    <row r="1" spans="1:16" ht="15">
      <c r="A1" s="1847"/>
      <c r="E1" s="1848"/>
      <c r="G1" s="1849"/>
      <c r="H1" s="1849"/>
      <c r="I1" s="1849"/>
      <c r="N1" s="1847"/>
      <c r="O1" s="1850" t="s">
        <v>41</v>
      </c>
      <c r="P1" s="1850">
        <v>1.171</v>
      </c>
    </row>
    <row r="2" spans="1:16" ht="26.25">
      <c r="A2" s="1847"/>
      <c r="B2" s="1851" t="s">
        <v>1908</v>
      </c>
      <c r="E2" s="1848"/>
      <c r="H2" s="1852" t="s">
        <v>1909</v>
      </c>
      <c r="N2" s="1847"/>
      <c r="O2" s="1850" t="s">
        <v>1910</v>
      </c>
      <c r="P2" s="1850">
        <v>0.54200000000000004</v>
      </c>
    </row>
    <row r="3" spans="1:16">
      <c r="A3" s="1847"/>
      <c r="B3" s="1853" t="s">
        <v>1911</v>
      </c>
      <c r="E3" s="1848"/>
      <c r="N3" s="1847"/>
      <c r="O3" s="1850" t="s">
        <v>1912</v>
      </c>
      <c r="P3" s="1854">
        <v>0.34</v>
      </c>
    </row>
    <row r="4" spans="1:16">
      <c r="A4" s="1847"/>
      <c r="B4" s="1853" t="s">
        <v>1913</v>
      </c>
      <c r="E4" s="1848"/>
      <c r="H4" s="1855"/>
      <c r="I4" s="1847" t="s">
        <v>1914</v>
      </c>
      <c r="N4" s="1847"/>
      <c r="O4" s="1850" t="s">
        <v>1915</v>
      </c>
      <c r="P4" s="1854">
        <v>0.22</v>
      </c>
    </row>
    <row r="5" spans="1:16">
      <c r="A5" s="1847"/>
      <c r="B5" s="1853" t="s">
        <v>1916</v>
      </c>
      <c r="E5" s="1848"/>
      <c r="K5" s="1856"/>
      <c r="L5" s="1856"/>
      <c r="M5" s="1856"/>
      <c r="N5" s="1856"/>
    </row>
    <row r="6" spans="1:16" ht="15">
      <c r="B6" s="1858" t="s">
        <v>1917</v>
      </c>
      <c r="C6" s="1859" t="s">
        <v>1918</v>
      </c>
      <c r="D6" s="1860"/>
      <c r="E6" s="1848"/>
      <c r="J6" s="1858" t="s">
        <v>1919</v>
      </c>
      <c r="K6" s="1861">
        <f>'Cost EST. GM target'!D76</f>
        <v>45156</v>
      </c>
      <c r="L6" s="1862"/>
      <c r="M6" s="1862"/>
      <c r="N6" s="1862"/>
    </row>
    <row r="7" spans="1:16" ht="15">
      <c r="A7" s="1847"/>
      <c r="C7" s="1863"/>
      <c r="D7" s="1863"/>
      <c r="E7" s="1848"/>
      <c r="J7" s="1858" t="s">
        <v>1920</v>
      </c>
      <c r="K7" s="1864"/>
      <c r="L7" s="1864"/>
      <c r="M7" s="1864"/>
      <c r="N7" s="1862"/>
    </row>
    <row r="8" spans="1:16" ht="15">
      <c r="A8" s="1847"/>
      <c r="B8" s="1858" t="s">
        <v>1921</v>
      </c>
      <c r="C8" s="1865" t="str">
        <f>'Cost EST. GM target'!G4</f>
        <v>Corrugated box - 20001531</v>
      </c>
      <c r="D8" s="1866"/>
      <c r="E8" s="1867"/>
      <c r="F8" s="1867"/>
      <c r="G8" s="1867"/>
      <c r="I8" s="1868"/>
      <c r="J8" s="1858" t="s">
        <v>1922</v>
      </c>
      <c r="K8" s="1861">
        <f>K6+30-1</f>
        <v>45185</v>
      </c>
      <c r="L8" s="1862"/>
      <c r="M8" s="1862"/>
      <c r="N8" s="1862"/>
    </row>
    <row r="9" spans="1:16" ht="15">
      <c r="A9" s="1847"/>
      <c r="B9" s="1868"/>
      <c r="C9" s="1869"/>
      <c r="D9" s="1870"/>
      <c r="E9" s="1867"/>
      <c r="F9" s="1868"/>
      <c r="G9" s="1868"/>
      <c r="H9" s="1868"/>
      <c r="J9" s="1858" t="s">
        <v>1923</v>
      </c>
      <c r="K9" s="2107">
        <f>'Cost EST. GM target'!E37</f>
        <v>90</v>
      </c>
      <c r="L9" s="1867"/>
      <c r="M9" s="1867"/>
      <c r="N9" s="1871"/>
    </row>
    <row r="10" spans="1:16" ht="15">
      <c r="A10" s="1847"/>
      <c r="B10" s="1868"/>
      <c r="C10" s="1869"/>
      <c r="D10" s="1872"/>
      <c r="E10" s="1872"/>
      <c r="F10" s="1868"/>
      <c r="G10" s="1868"/>
      <c r="J10" s="1858" t="s">
        <v>1924</v>
      </c>
      <c r="K10" s="1873">
        <f>'Cost EST. GM target'!$J$14</f>
        <v>5000</v>
      </c>
      <c r="L10" s="1874"/>
      <c r="M10" s="1874"/>
      <c r="N10" s="1875"/>
    </row>
    <row r="11" spans="1:16" ht="15">
      <c r="A11" s="1847"/>
      <c r="B11" s="1858" t="s">
        <v>1925</v>
      </c>
      <c r="C11" s="1870"/>
      <c r="D11" s="1870"/>
      <c r="E11" s="1872"/>
      <c r="F11" s="1868" t="s">
        <v>1926</v>
      </c>
      <c r="G11" s="1876"/>
      <c r="H11" s="1872"/>
      <c r="I11" s="1877"/>
      <c r="J11" s="1858" t="s">
        <v>1927</v>
      </c>
      <c r="K11" s="1873">
        <f>'Cost EST. GM target'!$G$57</f>
        <v>100000</v>
      </c>
      <c r="L11" s="1876"/>
      <c r="M11" s="1876"/>
      <c r="N11" s="1872"/>
    </row>
    <row r="12" spans="1:16">
      <c r="N12" s="1878"/>
    </row>
    <row r="13" spans="1:16">
      <c r="D13" s="1868" t="s">
        <v>1928</v>
      </c>
      <c r="E13" s="1879">
        <f ca="1">+G15*H15*I15/1728</f>
        <v>2.5354886804480525</v>
      </c>
      <c r="F13" s="4323" t="s">
        <v>1929</v>
      </c>
      <c r="G13" s="4324"/>
      <c r="H13" s="4324"/>
      <c r="I13" s="4325"/>
      <c r="L13" s="1857"/>
      <c r="M13" s="1857"/>
      <c r="N13" s="1880"/>
    </row>
    <row r="14" spans="1:16">
      <c r="D14" s="1868" t="s">
        <v>1930</v>
      </c>
      <c r="E14" s="1881">
        <f ca="1">+E13/F15</f>
        <v>1.6903257869653684E-2</v>
      </c>
      <c r="F14" s="1882" t="s">
        <v>1931</v>
      </c>
      <c r="G14" s="1883" t="s">
        <v>19</v>
      </c>
      <c r="H14" s="1883" t="s">
        <v>18</v>
      </c>
      <c r="I14" s="1883" t="s">
        <v>1932</v>
      </c>
      <c r="L14" s="1857"/>
      <c r="M14" s="1857"/>
      <c r="N14" s="1880"/>
    </row>
    <row r="15" spans="1:16" ht="15">
      <c r="D15" s="1868" t="s">
        <v>1933</v>
      </c>
      <c r="E15" s="1884">
        <f ca="1">1750/E14/2</f>
        <v>51765.168983837262</v>
      </c>
      <c r="F15" s="4326">
        <f>input!$H$1185</f>
        <v>150</v>
      </c>
      <c r="G15" s="4328">
        <f>input!$B$1186/25.4</f>
        <v>14.291338582677167</v>
      </c>
      <c r="H15" s="4328">
        <f>input!$C$1186/25.4</f>
        <v>19.763779527559056</v>
      </c>
      <c r="I15" s="4328">
        <f ca="1">input!$D$1186/25.4</f>
        <v>15.511811023622048</v>
      </c>
      <c r="J15" s="4315"/>
      <c r="K15" s="4316"/>
      <c r="N15" s="1880"/>
    </row>
    <row r="16" spans="1:16" ht="15">
      <c r="D16" s="1868" t="s">
        <v>1934</v>
      </c>
      <c r="E16" s="1884">
        <f ca="1">1750/E14</f>
        <v>103530.33796767452</v>
      </c>
      <c r="F16" s="4327"/>
      <c r="G16" s="4329"/>
      <c r="H16" s="4329"/>
      <c r="I16" s="4329"/>
      <c r="J16" s="4317"/>
      <c r="K16" s="4318"/>
      <c r="N16" s="1880"/>
    </row>
    <row r="17" spans="1:14">
      <c r="A17" s="1847"/>
      <c r="E17" s="1885"/>
      <c r="F17" s="1880"/>
      <c r="G17" s="1886"/>
      <c r="H17" s="1886"/>
      <c r="I17" s="1886"/>
      <c r="K17" s="1880"/>
      <c r="L17" s="1857"/>
      <c r="M17" s="1857"/>
      <c r="N17" s="1880"/>
    </row>
    <row r="18" spans="1:14" ht="15">
      <c r="A18" s="1847"/>
      <c r="C18" s="1868"/>
      <c r="D18" s="1868"/>
      <c r="G18" s="1886"/>
      <c r="H18" s="1886"/>
      <c r="I18" s="1886"/>
      <c r="J18" s="1880"/>
      <c r="K18" s="1887"/>
      <c r="L18" s="1877"/>
      <c r="M18" s="1877"/>
      <c r="N18" s="1880"/>
    </row>
    <row r="19" spans="1:14" ht="15">
      <c r="A19" s="1847"/>
      <c r="B19" s="4333" t="s">
        <v>1935</v>
      </c>
      <c r="C19" s="4334"/>
      <c r="D19" s="4335"/>
      <c r="H19" s="1880"/>
      <c r="I19" s="1880"/>
      <c r="J19" s="1880"/>
      <c r="K19" s="1887"/>
      <c r="L19" s="1877"/>
      <c r="M19" s="1877"/>
      <c r="N19" s="1888"/>
    </row>
    <row r="20" spans="1:14" ht="15">
      <c r="A20" s="1847"/>
      <c r="B20" s="1889"/>
      <c r="C20" s="1889" t="s">
        <v>1936</v>
      </c>
      <c r="D20" s="1890" t="s">
        <v>1937</v>
      </c>
      <c r="E20" s="1891"/>
      <c r="F20" s="1892"/>
      <c r="G20" s="1893"/>
      <c r="H20" s="1880"/>
      <c r="I20" s="1880"/>
      <c r="N20" s="1894" t="s">
        <v>1938</v>
      </c>
    </row>
    <row r="21" spans="1:14" ht="15">
      <c r="A21" s="1847"/>
      <c r="B21" s="1889" t="s">
        <v>1939</v>
      </c>
      <c r="C21" s="1895"/>
      <c r="D21" s="1896">
        <f ca="1">(C21/E15/E14)</f>
        <v>0</v>
      </c>
      <c r="E21" s="1897"/>
      <c r="F21" s="1898" t="s">
        <v>1940</v>
      </c>
      <c r="G21" s="1899">
        <f ca="1">'Sumary Crayola'!$O$32*IF(AND(SUM(input!$B$1234:$Q$1234)=0,SUM(input!$B$1235:$Q$1235)&gt;0,SUM(input!$B$1236:$Q$1236)=0),1,0)</f>
        <v>0</v>
      </c>
      <c r="H21" s="1880" t="s">
        <v>1941</v>
      </c>
      <c r="I21" s="1880"/>
      <c r="J21" s="1880"/>
      <c r="K21" s="1887" t="s">
        <v>1942</v>
      </c>
      <c r="L21" s="1877"/>
      <c r="M21" s="1877"/>
      <c r="N21" s="1900">
        <f ca="1">IF(G21=0,0,G21+$N$27)</f>
        <v>0</v>
      </c>
    </row>
    <row r="22" spans="1:14" ht="15">
      <c r="A22" s="1847"/>
      <c r="B22" s="1889" t="s">
        <v>1943</v>
      </c>
      <c r="C22" s="1895"/>
      <c r="D22" s="1896">
        <f ca="1">(C22/E14/E16)</f>
        <v>0</v>
      </c>
      <c r="E22" s="1897"/>
      <c r="F22" s="1898" t="s">
        <v>1944</v>
      </c>
      <c r="G22" s="1899">
        <f ca="1">'Sumary Crayola'!$O$32*IF(AND(SUM(input!$B$1234:$Q$1234)=0,SUM(input!$B$1235:$Q$1235)=0,SUM(input!$B$1236:$Q$1236)&gt;0),1,0)</f>
        <v>0</v>
      </c>
      <c r="H22" s="1880" t="s">
        <v>1941</v>
      </c>
      <c r="J22" s="1880"/>
      <c r="K22" s="1887" t="s">
        <v>1945</v>
      </c>
      <c r="L22" s="1901"/>
      <c r="M22" s="1901"/>
      <c r="N22" s="1900">
        <f ca="1">IF(G22=0,0,G22+$N$27)</f>
        <v>0</v>
      </c>
    </row>
    <row r="23" spans="1:14" ht="15">
      <c r="A23" s="1847"/>
      <c r="E23" s="1902"/>
      <c r="F23" s="1898" t="s">
        <v>1946</v>
      </c>
      <c r="G23" s="1899">
        <f ca="1">'Sumary Crayola'!$O$32*IF(AND(SUM(input!$B$1234:$Q$1234)=0,SUM(input!$B$1235:$Q$1235)=0,SUM(input!$B$1236:$Q$1236)&gt;0),1,0)</f>
        <v>0</v>
      </c>
      <c r="H23" s="1880" t="s">
        <v>1941</v>
      </c>
      <c r="I23" s="1903"/>
      <c r="J23" s="1880"/>
      <c r="K23" s="1887" t="s">
        <v>1947</v>
      </c>
      <c r="L23" s="1904"/>
      <c r="M23" s="1904"/>
      <c r="N23" s="1900">
        <f ca="1">IF(G23=0,0,G23+$N$27)</f>
        <v>0</v>
      </c>
    </row>
    <row r="24" spans="1:14" ht="15">
      <c r="A24" s="1847"/>
      <c r="E24" s="1898" t="s">
        <v>1948</v>
      </c>
      <c r="F24" s="1905" t="s">
        <v>41</v>
      </c>
      <c r="G24" s="1899">
        <f ca="1">'Sumary Crayola'!$O$32*IF(SUM($G$21:$G$23)=0,1,0)</f>
        <v>153.209</v>
      </c>
      <c r="H24" s="1906"/>
      <c r="I24" s="1903"/>
      <c r="J24" s="1898" t="s">
        <v>1949</v>
      </c>
      <c r="K24" s="1907" t="str">
        <f>+F24</f>
        <v>LCL</v>
      </c>
      <c r="L24" s="1904"/>
      <c r="M24" s="1904"/>
      <c r="N24" s="1900">
        <f ca="1">IF(G24=0,0,G24+$N$27)</f>
        <v>387.81486232228212</v>
      </c>
    </row>
    <row r="25" spans="1:14" ht="15">
      <c r="A25" s="1847"/>
      <c r="E25" s="1902"/>
      <c r="F25" s="1898"/>
      <c r="G25" s="1908"/>
      <c r="H25" s="1906"/>
      <c r="I25" s="1903"/>
      <c r="J25" s="1880"/>
      <c r="K25" s="1898"/>
      <c r="L25" s="1904"/>
      <c r="M25" s="1904"/>
      <c r="N25" s="1900"/>
    </row>
    <row r="26" spans="1:14" ht="15">
      <c r="A26" s="1847"/>
      <c r="B26" s="4333" t="s">
        <v>1950</v>
      </c>
      <c r="C26" s="4335"/>
      <c r="D26" s="1877"/>
      <c r="E26" s="1909"/>
      <c r="F26" s="1909"/>
      <c r="G26" s="1903"/>
      <c r="H26" s="1903"/>
      <c r="I26" s="1903"/>
      <c r="J26" s="1880"/>
      <c r="L26" s="1901"/>
      <c r="M26" s="1901"/>
      <c r="N26" s="1847"/>
    </row>
    <row r="27" spans="1:14" ht="15">
      <c r="A27" s="1847"/>
      <c r="B27" s="1910"/>
      <c r="C27" s="1890" t="s">
        <v>1937</v>
      </c>
      <c r="D27" s="1857"/>
      <c r="E27" s="1911"/>
      <c r="F27" s="2187"/>
      <c r="G27" s="1912"/>
      <c r="H27" s="1903"/>
      <c r="I27" s="1848" t="s">
        <v>1951</v>
      </c>
      <c r="N27" s="1913">
        <f ca="1">N29+N39</f>
        <v>234.60586232228215</v>
      </c>
    </row>
    <row r="28" spans="1:14" ht="15">
      <c r="A28" s="1847"/>
      <c r="B28" s="1889" t="s">
        <v>1952</v>
      </c>
      <c r="C28" s="1914"/>
      <c r="D28" s="1915"/>
      <c r="F28" s="1848"/>
      <c r="G28" s="1916"/>
      <c r="J28" s="1880"/>
      <c r="L28" s="1901"/>
      <c r="M28" s="1901"/>
      <c r="N28" s="1847"/>
    </row>
    <row r="29" spans="1:14">
      <c r="A29" s="1847"/>
      <c r="I29" s="1847" t="s">
        <v>1953</v>
      </c>
      <c r="J29" s="1880"/>
      <c r="L29" s="1857"/>
      <c r="M29" s="1857"/>
      <c r="N29" s="1917"/>
    </row>
    <row r="30" spans="1:14">
      <c r="G30" s="1918"/>
      <c r="J30" s="1880"/>
      <c r="L30" s="1857"/>
      <c r="M30" s="1857"/>
      <c r="N30" s="1880"/>
    </row>
    <row r="31" spans="1:14">
      <c r="B31" s="1868"/>
      <c r="G31" s="1919"/>
      <c r="I31" s="1857"/>
      <c r="J31" s="1857"/>
      <c r="K31" s="1920"/>
      <c r="L31" s="1857"/>
      <c r="M31" s="1857"/>
      <c r="N31" s="1880" t="s">
        <v>1954</v>
      </c>
    </row>
    <row r="32" spans="1:14" ht="15" hidden="1">
      <c r="B32" s="1921" t="str">
        <f>+B42</f>
        <v>Injection Mold / Blow Mold / Roto Mold / Die Cast Parts</v>
      </c>
      <c r="C32" s="1922"/>
      <c r="D32" s="1922"/>
      <c r="E32" s="1923"/>
      <c r="F32" s="1923"/>
      <c r="G32" s="1923"/>
      <c r="H32" s="1923"/>
      <c r="I32" s="1924"/>
      <c r="J32" s="1924"/>
      <c r="K32" s="1925"/>
      <c r="N32" s="1925">
        <f>N99</f>
        <v>0</v>
      </c>
    </row>
    <row r="33" spans="2:14" ht="15" hidden="1">
      <c r="B33" s="1921" t="str">
        <f>+B101</f>
        <v>Purchased Parts (all parts except Special Items &amp; PCB electronics)</v>
      </c>
      <c r="C33" s="1922"/>
      <c r="D33" s="1922"/>
      <c r="E33" s="1923"/>
      <c r="F33" s="1923"/>
      <c r="G33" s="1923"/>
      <c r="H33" s="1923"/>
      <c r="I33" s="1924"/>
      <c r="J33" s="1924"/>
      <c r="K33" s="1925"/>
      <c r="N33" s="1925">
        <f>+N126</f>
        <v>0</v>
      </c>
    </row>
    <row r="34" spans="2:14" ht="15">
      <c r="B34" s="1921" t="s">
        <v>1955</v>
      </c>
      <c r="C34" s="1922"/>
      <c r="D34" s="1922"/>
      <c r="E34" s="1923"/>
      <c r="F34" s="1923"/>
      <c r="G34" s="1923"/>
      <c r="H34" s="1923"/>
      <c r="I34" s="1924"/>
      <c r="J34" s="1924"/>
      <c r="K34" s="1910"/>
      <c r="N34" s="1910">
        <f ca="1">+N143</f>
        <v>0</v>
      </c>
    </row>
    <row r="35" spans="2:14" ht="15" hidden="1" customHeight="1">
      <c r="B35" s="1921" t="s">
        <v>1956</v>
      </c>
      <c r="C35" s="1922"/>
      <c r="D35" s="1922"/>
      <c r="E35" s="1923"/>
      <c r="F35" s="1923"/>
      <c r="G35" s="1923"/>
      <c r="H35" s="1923"/>
      <c r="I35" s="1924"/>
      <c r="J35" s="1924"/>
      <c r="K35" s="1925"/>
      <c r="N35" s="1925">
        <f>+N179</f>
        <v>0</v>
      </c>
    </row>
    <row r="36" spans="2:14" ht="15" hidden="1" customHeight="1">
      <c r="B36" s="1921" t="s">
        <v>1957</v>
      </c>
      <c r="C36" s="1922"/>
      <c r="D36" s="1922"/>
      <c r="E36" s="1923"/>
      <c r="F36" s="1923"/>
      <c r="G36" s="1923"/>
      <c r="H36" s="1923"/>
      <c r="I36" s="1924"/>
      <c r="J36" s="1924"/>
      <c r="K36" s="1910"/>
      <c r="N36" s="1910">
        <f>+N207</f>
        <v>0</v>
      </c>
    </row>
    <row r="37" spans="2:14" ht="15" customHeight="1">
      <c r="B37" s="1921" t="str">
        <f>+B211</f>
        <v>Packaging Material:</v>
      </c>
      <c r="C37" s="1923"/>
      <c r="D37" s="1923"/>
      <c r="E37" s="1923"/>
      <c r="F37" s="1923"/>
      <c r="G37" s="1923"/>
      <c r="H37" s="1923"/>
      <c r="I37" s="1924"/>
      <c r="J37" s="1924"/>
      <c r="K37" s="1925"/>
      <c r="N37" s="1925">
        <f ca="1">+N220</f>
        <v>234.60586232228215</v>
      </c>
    </row>
    <row r="38" spans="2:14" ht="10.5" customHeight="1">
      <c r="B38" s="1921" t="str">
        <f>+B223</f>
        <v>Assembly, Decoration and Packing Labor</v>
      </c>
      <c r="C38" s="1923"/>
      <c r="D38" s="1923"/>
      <c r="E38" s="1923"/>
      <c r="F38" s="1923"/>
      <c r="G38" s="1923"/>
      <c r="H38" s="1923"/>
      <c r="I38" s="1924"/>
      <c r="J38" s="1924"/>
      <c r="K38" s="1925"/>
      <c r="N38" s="1925">
        <f ca="1">+N230</f>
        <v>0</v>
      </c>
    </row>
    <row r="39" spans="2:14" ht="15">
      <c r="B39" s="1926"/>
      <c r="I39" s="1868"/>
      <c r="J39" s="1868"/>
      <c r="K39" s="1858" t="s">
        <v>1951</v>
      </c>
      <c r="N39" s="1913">
        <f ca="1">SUM(N32:N38)</f>
        <v>234.60586232228215</v>
      </c>
    </row>
    <row r="40" spans="2:14" ht="14.25" customHeight="1" thickBot="1">
      <c r="B40" s="1927"/>
      <c r="C40" s="1928"/>
      <c r="D40" s="1928"/>
      <c r="E40" s="1928"/>
      <c r="F40" s="1928"/>
      <c r="G40" s="1928"/>
      <c r="H40" s="1928"/>
      <c r="I40" s="1928"/>
      <c r="J40" s="1929"/>
      <c r="K40" s="1930"/>
      <c r="L40" s="1928"/>
      <c r="M40" s="1928"/>
      <c r="N40" s="1930"/>
    </row>
    <row r="41" spans="2:14" ht="16.5" hidden="1" customHeight="1" thickTop="1">
      <c r="N41" s="1880"/>
    </row>
    <row r="42" spans="2:14" ht="12" hidden="1" customHeight="1">
      <c r="B42" s="1926" t="s">
        <v>1958</v>
      </c>
      <c r="C42" s="1877"/>
      <c r="D42" s="1877"/>
      <c r="E42" s="1901"/>
      <c r="F42" s="1901"/>
      <c r="G42" s="1857"/>
      <c r="I42" s="1880"/>
      <c r="J42" s="1857"/>
      <c r="K42" s="1857"/>
      <c r="L42" s="1857"/>
      <c r="M42" s="1857"/>
      <c r="N42" s="1857"/>
    </row>
    <row r="43" spans="2:14" ht="15" hidden="1" customHeight="1">
      <c r="B43" s="1926"/>
      <c r="C43" s="1877"/>
      <c r="D43" s="1877"/>
      <c r="E43" s="1901"/>
      <c r="G43" s="1857"/>
      <c r="I43" s="1880"/>
      <c r="J43" s="1857"/>
      <c r="K43" s="1857"/>
      <c r="L43" s="1857"/>
      <c r="M43" s="1857"/>
      <c r="N43" s="1857"/>
    </row>
    <row r="44" spans="2:14" ht="12" hidden="1" customHeight="1">
      <c r="B44" s="1931"/>
      <c r="F44" s="1857" t="s">
        <v>1959</v>
      </c>
      <c r="G44" s="4319" t="s">
        <v>1960</v>
      </c>
      <c r="H44" s="4319"/>
      <c r="I44" s="1920"/>
      <c r="J44" s="1920" t="s">
        <v>1961</v>
      </c>
      <c r="K44" s="1920" t="s">
        <v>1962</v>
      </c>
      <c r="N44" s="1880"/>
    </row>
    <row r="45" spans="2:14" ht="15" hidden="1" customHeight="1">
      <c r="B45" s="1877" t="s">
        <v>1963</v>
      </c>
      <c r="F45" s="1857" t="s">
        <v>1964</v>
      </c>
      <c r="G45" s="4319" t="s">
        <v>1965</v>
      </c>
      <c r="H45" s="4319"/>
      <c r="I45" s="1920" t="s">
        <v>1966</v>
      </c>
      <c r="J45" s="1932"/>
      <c r="K45" s="1933"/>
      <c r="L45" s="1934"/>
      <c r="M45" s="1934"/>
      <c r="N45" s="1880"/>
    </row>
    <row r="46" spans="2:14" ht="15" hidden="1" customHeight="1">
      <c r="B46" s="1857" t="s">
        <v>1967</v>
      </c>
      <c r="C46" s="1857" t="s">
        <v>330</v>
      </c>
      <c r="D46" s="1857"/>
      <c r="E46" s="1451"/>
      <c r="F46" s="1857" t="s">
        <v>1968</v>
      </c>
      <c r="G46" s="1857" t="s">
        <v>1969</v>
      </c>
      <c r="H46" s="1857"/>
      <c r="I46" s="1880"/>
      <c r="J46" s="1880" t="s">
        <v>1954</v>
      </c>
      <c r="K46" s="1880" t="s">
        <v>1954</v>
      </c>
      <c r="L46" s="1932"/>
      <c r="M46" s="1932"/>
      <c r="N46" s="1880" t="s">
        <v>1954</v>
      </c>
    </row>
    <row r="47" spans="2:14" hidden="1">
      <c r="B47" s="1857"/>
      <c r="C47" s="1857"/>
      <c r="D47" s="1857"/>
      <c r="E47" s="1857"/>
      <c r="F47" s="1920"/>
      <c r="H47" s="1935"/>
      <c r="I47" s="1936"/>
      <c r="J47" s="1937"/>
      <c r="K47" s="1936"/>
      <c r="L47" s="1936"/>
      <c r="M47" s="1936"/>
      <c r="N47" s="1880"/>
    </row>
    <row r="48" spans="2:14" hidden="1">
      <c r="B48" s="1936"/>
      <c r="C48" s="1936"/>
      <c r="D48" s="1936"/>
      <c r="E48" s="1936"/>
      <c r="F48" s="1936"/>
      <c r="G48" s="1936"/>
      <c r="H48" s="1936"/>
      <c r="I48" s="1936"/>
      <c r="J48" s="1937"/>
      <c r="K48" s="1936"/>
      <c r="L48" s="1936"/>
      <c r="M48" s="1936"/>
      <c r="N48" s="1880"/>
    </row>
    <row r="49" spans="1:14" hidden="1">
      <c r="B49" s="1936"/>
      <c r="C49" s="1936"/>
      <c r="D49" s="1936"/>
      <c r="E49" s="1936"/>
      <c r="F49" s="1936"/>
      <c r="G49" s="1936"/>
      <c r="H49" s="1936"/>
      <c r="I49" s="1936"/>
      <c r="J49" s="1937"/>
      <c r="K49" s="1936"/>
      <c r="L49" s="1936"/>
      <c r="M49" s="1936"/>
      <c r="N49" s="1880"/>
    </row>
    <row r="50" spans="1:14" hidden="1">
      <c r="A50" s="1938"/>
      <c r="B50" s="1936"/>
      <c r="C50" s="1936"/>
      <c r="D50" s="1936"/>
      <c r="E50" s="1936"/>
      <c r="F50" s="1936"/>
      <c r="G50" s="1936"/>
      <c r="H50" s="1936"/>
      <c r="I50" s="1936"/>
      <c r="J50" s="1937"/>
      <c r="K50" s="1936"/>
      <c r="L50" s="1936"/>
      <c r="M50" s="1936"/>
      <c r="N50" s="1880"/>
    </row>
    <row r="51" spans="1:14" hidden="1">
      <c r="A51" s="1939"/>
      <c r="B51" s="1890"/>
      <c r="C51" s="1890"/>
      <c r="D51" s="1890"/>
      <c r="E51" s="1890"/>
      <c r="F51" s="1940"/>
      <c r="G51" s="1896"/>
      <c r="H51" s="1941"/>
      <c r="I51" s="1941">
        <f>(F51*0.001)*G51</f>
        <v>0</v>
      </c>
      <c r="J51" s="1942">
        <f>($J$45*I51)+I51</f>
        <v>0</v>
      </c>
      <c r="K51" s="1941">
        <f>$K$45*J51+J51</f>
        <v>0</v>
      </c>
      <c r="L51" s="1941"/>
      <c r="M51" s="1941"/>
      <c r="N51" s="1943">
        <f>K51</f>
        <v>0</v>
      </c>
    </row>
    <row r="52" spans="1:14" hidden="1">
      <c r="A52" s="1939"/>
      <c r="B52" s="1890"/>
      <c r="C52" s="1890"/>
      <c r="D52" s="1890"/>
      <c r="E52" s="1890"/>
      <c r="F52" s="1940"/>
      <c r="G52" s="1896"/>
      <c r="H52" s="1941"/>
      <c r="I52" s="1941">
        <f>(F52*0.001)*G52</f>
        <v>0</v>
      </c>
      <c r="J52" s="1942">
        <f>$J$45*I52+I52</f>
        <v>0</v>
      </c>
      <c r="K52" s="1941">
        <f>$K$45*J52+J52</f>
        <v>0</v>
      </c>
      <c r="L52" s="1941"/>
      <c r="M52" s="1941"/>
      <c r="N52" s="1943">
        <f>K52</f>
        <v>0</v>
      </c>
    </row>
    <row r="53" spans="1:14" hidden="1">
      <c r="A53" s="1939"/>
      <c r="B53" s="1890"/>
      <c r="C53" s="1890"/>
      <c r="D53" s="1890"/>
      <c r="E53" s="1890"/>
      <c r="F53" s="1940"/>
      <c r="G53" s="1896"/>
      <c r="H53" s="1941"/>
      <c r="I53" s="1941">
        <f>(F53*0.001)*G53</f>
        <v>0</v>
      </c>
      <c r="J53" s="1942">
        <f>$J$45*I53+I53</f>
        <v>0</v>
      </c>
      <c r="K53" s="1941">
        <f>$K$45*J53+J53</f>
        <v>0</v>
      </c>
      <c r="L53" s="1941"/>
      <c r="M53" s="1941"/>
      <c r="N53" s="1943">
        <f>K53</f>
        <v>0</v>
      </c>
    </row>
    <row r="54" spans="1:14" hidden="1">
      <c r="A54" s="1939"/>
      <c r="B54" s="1890"/>
      <c r="C54" s="1890"/>
      <c r="D54" s="1890"/>
      <c r="E54" s="1890"/>
      <c r="F54" s="1940"/>
      <c r="G54" s="1896"/>
      <c r="H54" s="1941"/>
      <c r="I54" s="1941">
        <f>(F54*0.001)*G54</f>
        <v>0</v>
      </c>
      <c r="J54" s="1942">
        <f>$J$45*I54+I54</f>
        <v>0</v>
      </c>
      <c r="K54" s="1941">
        <f>$K$45*J54+J54</f>
        <v>0</v>
      </c>
      <c r="L54" s="1941"/>
      <c r="M54" s="1941"/>
      <c r="N54" s="1943">
        <f>K54</f>
        <v>0</v>
      </c>
    </row>
    <row r="55" spans="1:14" hidden="1">
      <c r="B55" s="1890"/>
      <c r="C55" s="1890"/>
      <c r="D55" s="1890"/>
      <c r="E55" s="1890"/>
      <c r="F55" s="1940"/>
      <c r="G55" s="1896"/>
      <c r="H55" s="1941"/>
      <c r="I55" s="1941">
        <f>(F55*0.001)*G55</f>
        <v>0</v>
      </c>
      <c r="J55" s="1942">
        <f>$J$45*I55+I55</f>
        <v>0</v>
      </c>
      <c r="K55" s="1941">
        <f>$K$45*J55+J55</f>
        <v>0</v>
      </c>
      <c r="L55" s="1941"/>
      <c r="M55" s="1941"/>
      <c r="N55" s="1943">
        <f>K55</f>
        <v>0</v>
      </c>
    </row>
    <row r="56" spans="1:14" ht="15" hidden="1">
      <c r="C56" s="1868"/>
      <c r="D56" s="1868"/>
      <c r="E56" s="1858" t="s">
        <v>1970</v>
      </c>
      <c r="F56" s="1944">
        <f>SUM(F47:F55)</f>
        <v>0</v>
      </c>
      <c r="G56" s="1926"/>
      <c r="H56" s="1858" t="s">
        <v>1971</v>
      </c>
      <c r="I56" s="1945">
        <f>SUM(I47:I55)</f>
        <v>0</v>
      </c>
      <c r="J56" s="1945">
        <f>SUM(J47:J55)</f>
        <v>0</v>
      </c>
      <c r="K56" s="1945">
        <f>SUM(K47:K55)</f>
        <v>0</v>
      </c>
      <c r="L56" s="1946"/>
      <c r="M56" s="1946"/>
      <c r="N56" s="1947">
        <f>SUM(N47:N55)</f>
        <v>0</v>
      </c>
    </row>
    <row r="57" spans="1:14" ht="15.75" hidden="1">
      <c r="B57" s="1948"/>
      <c r="C57" s="1949"/>
      <c r="D57" s="1949"/>
      <c r="I57" s="1880"/>
      <c r="J57" s="1880"/>
      <c r="N57" s="1880"/>
    </row>
    <row r="58" spans="1:14" ht="15" hidden="1">
      <c r="B58" s="1877" t="s">
        <v>1972</v>
      </c>
      <c r="G58" s="1857" t="s">
        <v>1973</v>
      </c>
      <c r="H58" s="1857" t="s">
        <v>1974</v>
      </c>
      <c r="I58" s="1857" t="s">
        <v>1975</v>
      </c>
      <c r="J58" s="1920" t="s">
        <v>1976</v>
      </c>
      <c r="K58" s="1920" t="s">
        <v>1962</v>
      </c>
      <c r="N58" s="1847"/>
    </row>
    <row r="59" spans="1:14" hidden="1">
      <c r="B59" s="1857" t="s">
        <v>1977</v>
      </c>
      <c r="C59" s="1868" t="s">
        <v>1978</v>
      </c>
      <c r="D59" s="1868"/>
      <c r="E59" s="1857" t="s">
        <v>1979</v>
      </c>
      <c r="G59" s="1857" t="s">
        <v>1980</v>
      </c>
      <c r="H59" s="1857" t="s">
        <v>1980</v>
      </c>
      <c r="I59" s="1857" t="s">
        <v>1981</v>
      </c>
      <c r="J59" s="1932" t="s">
        <v>1982</v>
      </c>
      <c r="K59" s="1933"/>
      <c r="N59" s="1878"/>
    </row>
    <row r="60" spans="1:14" hidden="1">
      <c r="B60" s="1857" t="s">
        <v>1983</v>
      </c>
      <c r="C60" s="1868" t="s">
        <v>1967</v>
      </c>
      <c r="D60" s="1868"/>
      <c r="E60" s="1857" t="s">
        <v>360</v>
      </c>
      <c r="F60" s="1857" t="s">
        <v>1984</v>
      </c>
      <c r="G60" s="1857" t="s">
        <v>1985</v>
      </c>
      <c r="H60" s="1857" t="s">
        <v>1986</v>
      </c>
      <c r="I60" s="1857" t="s">
        <v>1987</v>
      </c>
      <c r="J60" s="1880" t="s">
        <v>1954</v>
      </c>
      <c r="K60" s="1880" t="s">
        <v>1954</v>
      </c>
      <c r="L60" s="1932"/>
      <c r="M60" s="1932"/>
      <c r="N60" s="1880" t="s">
        <v>1988</v>
      </c>
    </row>
    <row r="61" spans="1:14" hidden="1">
      <c r="B61" s="1950"/>
      <c r="C61" s="1950"/>
      <c r="D61" s="1950"/>
      <c r="E61" s="1950"/>
      <c r="F61" s="1950"/>
      <c r="G61" s="1950"/>
      <c r="H61" s="1950"/>
      <c r="I61" s="1950"/>
      <c r="J61" s="1950"/>
      <c r="K61" s="1936"/>
      <c r="L61" s="1951"/>
      <c r="M61" s="1951"/>
      <c r="N61" s="1952"/>
    </row>
    <row r="62" spans="1:14" hidden="1">
      <c r="B62" s="1950"/>
      <c r="C62" s="1950"/>
      <c r="D62" s="1950"/>
      <c r="E62" s="1950"/>
      <c r="F62" s="1950"/>
      <c r="G62" s="1950"/>
      <c r="H62" s="1950"/>
      <c r="I62" s="1950"/>
      <c r="J62" s="1950"/>
      <c r="K62" s="1936"/>
      <c r="L62" s="1951"/>
      <c r="M62" s="1951"/>
      <c r="N62" s="1952"/>
    </row>
    <row r="63" spans="1:14" hidden="1">
      <c r="B63" s="1950"/>
      <c r="C63" s="1950"/>
      <c r="D63" s="1950"/>
      <c r="E63" s="1950"/>
      <c r="F63" s="1950"/>
      <c r="G63" s="1950"/>
      <c r="H63" s="1950"/>
      <c r="I63" s="1950"/>
      <c r="J63" s="1950"/>
      <c r="K63" s="1936"/>
      <c r="L63" s="1951"/>
      <c r="M63" s="1951"/>
      <c r="N63" s="1952"/>
    </row>
    <row r="64" spans="1:14" hidden="1">
      <c r="B64" s="1950"/>
      <c r="C64" s="1950"/>
      <c r="D64" s="1950"/>
      <c r="E64" s="1950"/>
      <c r="F64" s="1950"/>
      <c r="G64" s="1950"/>
      <c r="H64" s="1950"/>
      <c r="I64" s="1950"/>
      <c r="J64" s="1950"/>
      <c r="K64" s="1936"/>
      <c r="L64" s="1951"/>
      <c r="M64" s="1951"/>
      <c r="N64" s="1952"/>
    </row>
    <row r="65" spans="1:14" ht="15" hidden="1" thickBot="1">
      <c r="B65" s="1890"/>
      <c r="C65" s="1953"/>
      <c r="D65" s="1953"/>
      <c r="E65" s="1953"/>
      <c r="F65" s="1954" t="s">
        <v>135</v>
      </c>
      <c r="G65" s="1954"/>
      <c r="H65" s="1955">
        <f>(G65*1000)/3600</f>
        <v>0</v>
      </c>
      <c r="I65" s="1956"/>
      <c r="J65" s="1957" t="str">
        <f t="shared" ref="J65:J96" si="0">IF(F68&lt;0.001," ",H65*I65/1000/F65)</f>
        <v xml:space="preserve"> </v>
      </c>
      <c r="K65" s="1958" t="str">
        <f t="shared" ref="K65:K96" si="1">IF(F68&lt;0.001," ",(J65*$K$59)+J65)</f>
        <v xml:space="preserve"> </v>
      </c>
      <c r="L65" s="1959"/>
      <c r="M65" s="1960"/>
      <c r="N65" s="1943" t="str">
        <f>+K65</f>
        <v xml:space="preserve"> </v>
      </c>
    </row>
    <row r="66" spans="1:14" ht="15" hidden="1" thickBot="1">
      <c r="B66" s="1890"/>
      <c r="C66" s="1961"/>
      <c r="D66" s="1961"/>
      <c r="E66" s="1961"/>
      <c r="F66" s="1962"/>
      <c r="G66" s="1962"/>
      <c r="H66" s="1955">
        <f>(G66*1000)/3600</f>
        <v>0</v>
      </c>
      <c r="I66" s="1963"/>
      <c r="J66" s="1957" t="str">
        <f t="shared" si="0"/>
        <v xml:space="preserve"> </v>
      </c>
      <c r="K66" s="1958" t="str">
        <f t="shared" si="1"/>
        <v xml:space="preserve"> </v>
      </c>
      <c r="L66" s="1959"/>
      <c r="M66" s="1960"/>
      <c r="N66" s="1943" t="str">
        <f t="shared" ref="N66:N96" si="2">+K66</f>
        <v xml:space="preserve"> </v>
      </c>
    </row>
    <row r="67" spans="1:14" ht="15" hidden="1" thickBot="1">
      <c r="B67" s="1964"/>
      <c r="C67" s="1953"/>
      <c r="D67" s="1953"/>
      <c r="E67" s="1953"/>
      <c r="F67" s="1954"/>
      <c r="G67" s="1954"/>
      <c r="H67" s="1955">
        <f t="shared" ref="H67:H96" si="3">(G67*1000)/3600</f>
        <v>0</v>
      </c>
      <c r="I67" s="1956"/>
      <c r="J67" s="1957" t="str">
        <f t="shared" si="0"/>
        <v xml:space="preserve"> </v>
      </c>
      <c r="K67" s="1958" t="str">
        <f t="shared" si="1"/>
        <v xml:space="preserve"> </v>
      </c>
      <c r="L67" s="1959"/>
      <c r="M67" s="1960"/>
      <c r="N67" s="1943" t="str">
        <f t="shared" si="2"/>
        <v xml:space="preserve"> </v>
      </c>
    </row>
    <row r="68" spans="1:14" ht="15" hidden="1" thickBot="1">
      <c r="A68" s="1847"/>
      <c r="B68" s="1965"/>
      <c r="C68" s="1961"/>
      <c r="D68" s="1961"/>
      <c r="E68" s="1961"/>
      <c r="F68" s="1962"/>
      <c r="G68" s="1962"/>
      <c r="H68" s="1955">
        <f t="shared" si="3"/>
        <v>0</v>
      </c>
      <c r="I68" s="1963"/>
      <c r="J68" s="1957" t="str">
        <f t="shared" si="0"/>
        <v xml:space="preserve"> </v>
      </c>
      <c r="K68" s="1958" t="str">
        <f t="shared" si="1"/>
        <v xml:space="preserve"> </v>
      </c>
      <c r="L68" s="1959"/>
      <c r="M68" s="1960"/>
      <c r="N68" s="1943" t="str">
        <f t="shared" si="2"/>
        <v xml:space="preserve"> </v>
      </c>
    </row>
    <row r="69" spans="1:14" ht="15" hidden="1" thickBot="1">
      <c r="A69" s="1847"/>
      <c r="B69" s="1964"/>
      <c r="C69" s="1953"/>
      <c r="D69" s="1953"/>
      <c r="E69" s="1953"/>
      <c r="F69" s="1954"/>
      <c r="G69" s="1954"/>
      <c r="H69" s="1955">
        <f t="shared" si="3"/>
        <v>0</v>
      </c>
      <c r="I69" s="1956"/>
      <c r="J69" s="1957" t="str">
        <f t="shared" si="0"/>
        <v xml:space="preserve"> </v>
      </c>
      <c r="K69" s="1958" t="str">
        <f t="shared" si="1"/>
        <v xml:space="preserve"> </v>
      </c>
      <c r="L69" s="1959"/>
      <c r="M69" s="1960"/>
      <c r="N69" s="1943" t="str">
        <f t="shared" si="2"/>
        <v xml:space="preserve"> </v>
      </c>
    </row>
    <row r="70" spans="1:14" ht="15" hidden="1" thickBot="1">
      <c r="A70" s="1847"/>
      <c r="B70" s="1965"/>
      <c r="C70" s="1961"/>
      <c r="D70" s="1961"/>
      <c r="E70" s="1961"/>
      <c r="F70" s="1962"/>
      <c r="G70" s="1962"/>
      <c r="H70" s="1955">
        <f t="shared" si="3"/>
        <v>0</v>
      </c>
      <c r="I70" s="1963"/>
      <c r="J70" s="1957" t="str">
        <f t="shared" si="0"/>
        <v xml:space="preserve"> </v>
      </c>
      <c r="K70" s="1958" t="str">
        <f t="shared" si="1"/>
        <v xml:space="preserve"> </v>
      </c>
      <c r="L70" s="1959"/>
      <c r="M70" s="1960"/>
      <c r="N70" s="1943" t="str">
        <f t="shared" si="2"/>
        <v xml:space="preserve"> </v>
      </c>
    </row>
    <row r="71" spans="1:14" ht="15" hidden="1" thickBot="1">
      <c r="A71" s="1847"/>
      <c r="B71" s="1964"/>
      <c r="C71" s="1953"/>
      <c r="D71" s="1953"/>
      <c r="E71" s="1953"/>
      <c r="F71" s="1954"/>
      <c r="G71" s="1954"/>
      <c r="H71" s="1955">
        <f t="shared" si="3"/>
        <v>0</v>
      </c>
      <c r="I71" s="1956"/>
      <c r="J71" s="1957" t="str">
        <f t="shared" si="0"/>
        <v xml:space="preserve"> </v>
      </c>
      <c r="K71" s="1958" t="str">
        <f t="shared" si="1"/>
        <v xml:space="preserve"> </v>
      </c>
      <c r="L71" s="1959"/>
      <c r="M71" s="1960"/>
      <c r="N71" s="1943" t="str">
        <f t="shared" si="2"/>
        <v xml:space="preserve"> </v>
      </c>
    </row>
    <row r="72" spans="1:14" ht="15" hidden="1" thickBot="1">
      <c r="A72" s="1847"/>
      <c r="B72" s="1966"/>
      <c r="C72" s="1967"/>
      <c r="D72" s="1967"/>
      <c r="E72" s="1967"/>
      <c r="F72" s="1968"/>
      <c r="G72" s="1968"/>
      <c r="H72" s="1955">
        <f t="shared" si="3"/>
        <v>0</v>
      </c>
      <c r="I72" s="1969"/>
      <c r="J72" s="1957" t="str">
        <f t="shared" si="0"/>
        <v xml:space="preserve"> </v>
      </c>
      <c r="K72" s="1958" t="str">
        <f t="shared" si="1"/>
        <v xml:space="preserve"> </v>
      </c>
      <c r="L72" s="1959"/>
      <c r="M72" s="1960"/>
      <c r="N72" s="1943" t="str">
        <f t="shared" si="2"/>
        <v xml:space="preserve"> </v>
      </c>
    </row>
    <row r="73" spans="1:14" ht="15" hidden="1" thickBot="1">
      <c r="A73" s="1847"/>
      <c r="B73" s="1970"/>
      <c r="C73" s="1890"/>
      <c r="D73" s="1890"/>
      <c r="E73" s="1890"/>
      <c r="F73" s="1940"/>
      <c r="G73" s="1940"/>
      <c r="H73" s="1955">
        <f t="shared" si="3"/>
        <v>0</v>
      </c>
      <c r="I73" s="1971"/>
      <c r="J73" s="1957" t="str">
        <f t="shared" si="0"/>
        <v xml:space="preserve"> </v>
      </c>
      <c r="K73" s="1958" t="str">
        <f t="shared" si="1"/>
        <v xml:space="preserve"> </v>
      </c>
      <c r="L73" s="1959"/>
      <c r="M73" s="1960"/>
      <c r="N73" s="1943" t="str">
        <f t="shared" si="2"/>
        <v xml:space="preserve"> </v>
      </c>
    </row>
    <row r="74" spans="1:14" ht="15" hidden="1" thickBot="1">
      <c r="A74" s="1847"/>
      <c r="B74" s="1970"/>
      <c r="C74" s="1890"/>
      <c r="D74" s="1890"/>
      <c r="E74" s="1890"/>
      <c r="F74" s="1940"/>
      <c r="G74" s="1940"/>
      <c r="H74" s="1955">
        <f t="shared" si="3"/>
        <v>0</v>
      </c>
      <c r="I74" s="1971"/>
      <c r="J74" s="1957" t="str">
        <f t="shared" si="0"/>
        <v xml:space="preserve"> </v>
      </c>
      <c r="K74" s="1958" t="str">
        <f t="shared" si="1"/>
        <v xml:space="preserve"> </v>
      </c>
      <c r="L74" s="1959"/>
      <c r="M74" s="1960"/>
      <c r="N74" s="1943" t="str">
        <f t="shared" si="2"/>
        <v xml:space="preserve"> </v>
      </c>
    </row>
    <row r="75" spans="1:14" ht="15" hidden="1" thickBot="1">
      <c r="A75" s="1847"/>
      <c r="B75" s="1970"/>
      <c r="C75" s="1890"/>
      <c r="D75" s="1890"/>
      <c r="E75" s="1890"/>
      <c r="F75" s="1940"/>
      <c r="G75" s="1940"/>
      <c r="H75" s="1955">
        <f t="shared" si="3"/>
        <v>0</v>
      </c>
      <c r="I75" s="1971"/>
      <c r="J75" s="1957" t="str">
        <f t="shared" si="0"/>
        <v xml:space="preserve"> </v>
      </c>
      <c r="K75" s="1958" t="str">
        <f t="shared" si="1"/>
        <v xml:space="preserve"> </v>
      </c>
      <c r="L75" s="1959"/>
      <c r="M75" s="1960"/>
      <c r="N75" s="1943" t="str">
        <f t="shared" si="2"/>
        <v xml:space="preserve"> </v>
      </c>
    </row>
    <row r="76" spans="1:14" ht="15" hidden="1" thickBot="1">
      <c r="A76" s="1847"/>
      <c r="B76" s="1970"/>
      <c r="C76" s="1890"/>
      <c r="D76" s="1890"/>
      <c r="E76" s="1890"/>
      <c r="F76" s="1940"/>
      <c r="G76" s="1940"/>
      <c r="H76" s="1955">
        <f t="shared" si="3"/>
        <v>0</v>
      </c>
      <c r="I76" s="1971"/>
      <c r="J76" s="1957" t="str">
        <f t="shared" si="0"/>
        <v xml:space="preserve"> </v>
      </c>
      <c r="K76" s="1958" t="str">
        <f t="shared" si="1"/>
        <v xml:space="preserve"> </v>
      </c>
      <c r="L76" s="1959"/>
      <c r="M76" s="1960"/>
      <c r="N76" s="1943" t="str">
        <f t="shared" si="2"/>
        <v xml:space="preserve"> </v>
      </c>
    </row>
    <row r="77" spans="1:14" ht="15" hidden="1" thickBot="1">
      <c r="A77" s="1847"/>
      <c r="B77" s="1970"/>
      <c r="C77" s="1890"/>
      <c r="D77" s="1890"/>
      <c r="E77" s="1890"/>
      <c r="F77" s="1940"/>
      <c r="G77" s="1940"/>
      <c r="H77" s="1955">
        <f t="shared" si="3"/>
        <v>0</v>
      </c>
      <c r="I77" s="1971"/>
      <c r="J77" s="1957" t="str">
        <f t="shared" si="0"/>
        <v xml:space="preserve"> </v>
      </c>
      <c r="K77" s="1958" t="str">
        <f t="shared" si="1"/>
        <v xml:space="preserve"> </v>
      </c>
      <c r="L77" s="1959"/>
      <c r="M77" s="1960"/>
      <c r="N77" s="1943" t="str">
        <f t="shared" si="2"/>
        <v xml:space="preserve"> </v>
      </c>
    </row>
    <row r="78" spans="1:14" ht="15" hidden="1" thickBot="1">
      <c r="A78" s="1847"/>
      <c r="B78" s="1970"/>
      <c r="C78" s="1890"/>
      <c r="D78" s="1890"/>
      <c r="E78" s="1890"/>
      <c r="F78" s="1940"/>
      <c r="G78" s="1940"/>
      <c r="H78" s="1955">
        <f t="shared" si="3"/>
        <v>0</v>
      </c>
      <c r="I78" s="1971"/>
      <c r="J78" s="1957" t="str">
        <f t="shared" si="0"/>
        <v xml:space="preserve"> </v>
      </c>
      <c r="K78" s="1958" t="str">
        <f t="shared" si="1"/>
        <v xml:space="preserve"> </v>
      </c>
      <c r="L78" s="1959"/>
      <c r="M78" s="1960"/>
      <c r="N78" s="1943" t="str">
        <f t="shared" si="2"/>
        <v xml:space="preserve"> </v>
      </c>
    </row>
    <row r="79" spans="1:14" ht="15" hidden="1" thickBot="1">
      <c r="A79" s="1847"/>
      <c r="B79" s="1970"/>
      <c r="C79" s="1890"/>
      <c r="D79" s="1890"/>
      <c r="E79" s="1890"/>
      <c r="F79" s="1940"/>
      <c r="G79" s="1940"/>
      <c r="H79" s="1955">
        <f t="shared" si="3"/>
        <v>0</v>
      </c>
      <c r="I79" s="1971"/>
      <c r="J79" s="1957" t="str">
        <f t="shared" si="0"/>
        <v xml:space="preserve"> </v>
      </c>
      <c r="K79" s="1958" t="str">
        <f t="shared" si="1"/>
        <v xml:space="preserve"> </v>
      </c>
      <c r="L79" s="1959"/>
      <c r="M79" s="1960"/>
      <c r="N79" s="1943" t="str">
        <f t="shared" si="2"/>
        <v xml:space="preserve"> </v>
      </c>
    </row>
    <row r="80" spans="1:14" ht="15" hidden="1" thickBot="1">
      <c r="A80" s="1847"/>
      <c r="B80" s="1970"/>
      <c r="C80" s="1890"/>
      <c r="D80" s="1890"/>
      <c r="E80" s="1890"/>
      <c r="F80" s="1940"/>
      <c r="G80" s="1940"/>
      <c r="H80" s="1955">
        <f t="shared" si="3"/>
        <v>0</v>
      </c>
      <c r="I80" s="1971"/>
      <c r="J80" s="1957" t="str">
        <f t="shared" si="0"/>
        <v xml:space="preserve"> </v>
      </c>
      <c r="K80" s="1958" t="str">
        <f t="shared" si="1"/>
        <v xml:space="preserve"> </v>
      </c>
      <c r="L80" s="1959"/>
      <c r="M80" s="1960"/>
      <c r="N80" s="1943" t="str">
        <f t="shared" si="2"/>
        <v xml:space="preserve"> </v>
      </c>
    </row>
    <row r="81" spans="1:14" ht="15" hidden="1" thickBot="1">
      <c r="A81" s="1847"/>
      <c r="B81" s="1970"/>
      <c r="C81" s="1890"/>
      <c r="D81" s="1890"/>
      <c r="E81" s="1890"/>
      <c r="F81" s="1940"/>
      <c r="G81" s="1940"/>
      <c r="H81" s="1955">
        <f t="shared" si="3"/>
        <v>0</v>
      </c>
      <c r="I81" s="1971"/>
      <c r="J81" s="1957" t="str">
        <f t="shared" si="0"/>
        <v xml:space="preserve"> </v>
      </c>
      <c r="K81" s="1958" t="str">
        <f t="shared" si="1"/>
        <v xml:space="preserve"> </v>
      </c>
      <c r="L81" s="1959"/>
      <c r="M81" s="1960"/>
      <c r="N81" s="1943" t="str">
        <f t="shared" si="2"/>
        <v xml:space="preserve"> </v>
      </c>
    </row>
    <row r="82" spans="1:14" ht="15" hidden="1" thickBot="1">
      <c r="A82" s="1847"/>
      <c r="B82" s="1970"/>
      <c r="C82" s="1890"/>
      <c r="D82" s="1890"/>
      <c r="E82" s="1890"/>
      <c r="F82" s="1940"/>
      <c r="G82" s="1940"/>
      <c r="H82" s="1955">
        <f t="shared" si="3"/>
        <v>0</v>
      </c>
      <c r="I82" s="1971"/>
      <c r="J82" s="1957" t="str">
        <f t="shared" si="0"/>
        <v xml:space="preserve"> </v>
      </c>
      <c r="K82" s="1958" t="str">
        <f t="shared" si="1"/>
        <v xml:space="preserve"> </v>
      </c>
      <c r="L82" s="1959"/>
      <c r="M82" s="1960"/>
      <c r="N82" s="1943" t="str">
        <f t="shared" si="2"/>
        <v xml:space="preserve"> </v>
      </c>
    </row>
    <row r="83" spans="1:14" ht="15" hidden="1" thickBot="1">
      <c r="A83" s="1847"/>
      <c r="B83" s="1970"/>
      <c r="C83" s="1890"/>
      <c r="D83" s="1890"/>
      <c r="E83" s="1890"/>
      <c r="F83" s="1940"/>
      <c r="G83" s="1940"/>
      <c r="H83" s="1955">
        <f t="shared" si="3"/>
        <v>0</v>
      </c>
      <c r="I83" s="1971"/>
      <c r="J83" s="1957" t="str">
        <f t="shared" si="0"/>
        <v xml:space="preserve"> </v>
      </c>
      <c r="K83" s="1958" t="str">
        <f t="shared" si="1"/>
        <v xml:space="preserve"> </v>
      </c>
      <c r="L83" s="1959"/>
      <c r="M83" s="1960"/>
      <c r="N83" s="1943" t="str">
        <f t="shared" si="2"/>
        <v xml:space="preserve"> </v>
      </c>
    </row>
    <row r="84" spans="1:14" ht="15" hidden="1" thickBot="1">
      <c r="A84" s="1847"/>
      <c r="B84" s="1970"/>
      <c r="C84" s="1890"/>
      <c r="D84" s="1890"/>
      <c r="E84" s="1890"/>
      <c r="F84" s="1940"/>
      <c r="G84" s="1940"/>
      <c r="H84" s="1955">
        <f t="shared" si="3"/>
        <v>0</v>
      </c>
      <c r="I84" s="1971"/>
      <c r="J84" s="1957" t="str">
        <f t="shared" si="0"/>
        <v xml:space="preserve"> </v>
      </c>
      <c r="K84" s="1958" t="str">
        <f t="shared" si="1"/>
        <v xml:space="preserve"> </v>
      </c>
      <c r="L84" s="1959"/>
      <c r="M84" s="1960"/>
      <c r="N84" s="1943" t="str">
        <f t="shared" si="2"/>
        <v xml:space="preserve"> </v>
      </c>
    </row>
    <row r="85" spans="1:14" ht="15" hidden="1" thickBot="1">
      <c r="A85" s="1847"/>
      <c r="B85" s="1970"/>
      <c r="C85" s="1890"/>
      <c r="D85" s="1890"/>
      <c r="E85" s="1890"/>
      <c r="F85" s="1940"/>
      <c r="G85" s="1940"/>
      <c r="H85" s="1955">
        <f t="shared" si="3"/>
        <v>0</v>
      </c>
      <c r="I85" s="1971"/>
      <c r="J85" s="1957" t="str">
        <f t="shared" si="0"/>
        <v xml:space="preserve"> </v>
      </c>
      <c r="K85" s="1958" t="str">
        <f t="shared" si="1"/>
        <v xml:space="preserve"> </v>
      </c>
      <c r="L85" s="1959"/>
      <c r="M85" s="1960"/>
      <c r="N85" s="1943" t="str">
        <f t="shared" si="2"/>
        <v xml:space="preserve"> </v>
      </c>
    </row>
    <row r="86" spans="1:14" ht="15" hidden="1" thickBot="1">
      <c r="A86" s="1847"/>
      <c r="B86" s="1970"/>
      <c r="C86" s="1890"/>
      <c r="D86" s="1890"/>
      <c r="E86" s="1890"/>
      <c r="F86" s="1940"/>
      <c r="G86" s="1940"/>
      <c r="H86" s="1955">
        <f t="shared" si="3"/>
        <v>0</v>
      </c>
      <c r="I86" s="1971"/>
      <c r="J86" s="1957" t="str">
        <f t="shared" si="0"/>
        <v xml:space="preserve"> </v>
      </c>
      <c r="K86" s="1958" t="str">
        <f t="shared" si="1"/>
        <v xml:space="preserve"> </v>
      </c>
      <c r="L86" s="1959"/>
      <c r="M86" s="1960"/>
      <c r="N86" s="1943" t="str">
        <f t="shared" si="2"/>
        <v xml:space="preserve"> </v>
      </c>
    </row>
    <row r="87" spans="1:14" ht="15" hidden="1" thickBot="1">
      <c r="A87" s="1847"/>
      <c r="B87" s="1970"/>
      <c r="C87" s="1890"/>
      <c r="D87" s="1890"/>
      <c r="E87" s="1890"/>
      <c r="F87" s="1940"/>
      <c r="G87" s="1940"/>
      <c r="H87" s="1955">
        <f t="shared" si="3"/>
        <v>0</v>
      </c>
      <c r="I87" s="1971"/>
      <c r="J87" s="1957" t="str">
        <f t="shared" si="0"/>
        <v xml:space="preserve"> </v>
      </c>
      <c r="K87" s="1958" t="str">
        <f t="shared" si="1"/>
        <v xml:space="preserve"> </v>
      </c>
      <c r="L87" s="1959"/>
      <c r="M87" s="1960"/>
      <c r="N87" s="1943" t="str">
        <f t="shared" si="2"/>
        <v xml:space="preserve"> </v>
      </c>
    </row>
    <row r="88" spans="1:14" ht="15" hidden="1" thickBot="1">
      <c r="A88" s="1847"/>
      <c r="B88" s="1970"/>
      <c r="C88" s="1890"/>
      <c r="D88" s="1890"/>
      <c r="E88" s="1890"/>
      <c r="F88" s="1940"/>
      <c r="G88" s="1940"/>
      <c r="H88" s="1955">
        <f t="shared" si="3"/>
        <v>0</v>
      </c>
      <c r="I88" s="1971"/>
      <c r="J88" s="1957" t="str">
        <f t="shared" si="0"/>
        <v xml:space="preserve"> </v>
      </c>
      <c r="K88" s="1958" t="str">
        <f t="shared" si="1"/>
        <v xml:space="preserve"> </v>
      </c>
      <c r="L88" s="1959"/>
      <c r="M88" s="1960"/>
      <c r="N88" s="1943" t="str">
        <f t="shared" si="2"/>
        <v xml:space="preserve"> </v>
      </c>
    </row>
    <row r="89" spans="1:14" ht="15" hidden="1" thickBot="1">
      <c r="A89" s="1847"/>
      <c r="B89" s="1970"/>
      <c r="C89" s="1890"/>
      <c r="D89" s="1890"/>
      <c r="E89" s="1890"/>
      <c r="F89" s="1940"/>
      <c r="G89" s="1940"/>
      <c r="H89" s="1955">
        <f t="shared" si="3"/>
        <v>0</v>
      </c>
      <c r="I89" s="1971"/>
      <c r="J89" s="1957" t="str">
        <f t="shared" si="0"/>
        <v xml:space="preserve"> </v>
      </c>
      <c r="K89" s="1958" t="str">
        <f t="shared" si="1"/>
        <v xml:space="preserve"> </v>
      </c>
      <c r="L89" s="1959"/>
      <c r="M89" s="1960"/>
      <c r="N89" s="1943" t="str">
        <f t="shared" si="2"/>
        <v xml:space="preserve"> </v>
      </c>
    </row>
    <row r="90" spans="1:14" ht="15" hidden="1" thickBot="1">
      <c r="A90" s="1847"/>
      <c r="B90" s="1970"/>
      <c r="C90" s="1890"/>
      <c r="D90" s="1890"/>
      <c r="E90" s="1890"/>
      <c r="F90" s="1940"/>
      <c r="G90" s="1940"/>
      <c r="H90" s="1955">
        <f t="shared" si="3"/>
        <v>0</v>
      </c>
      <c r="I90" s="1971"/>
      <c r="J90" s="1957" t="str">
        <f t="shared" si="0"/>
        <v xml:space="preserve"> </v>
      </c>
      <c r="K90" s="1958" t="str">
        <f t="shared" si="1"/>
        <v xml:space="preserve"> </v>
      </c>
      <c r="L90" s="1959"/>
      <c r="M90" s="1960"/>
      <c r="N90" s="1943" t="str">
        <f t="shared" si="2"/>
        <v xml:space="preserve"> </v>
      </c>
    </row>
    <row r="91" spans="1:14" ht="15" hidden="1" thickBot="1">
      <c r="A91" s="1847"/>
      <c r="B91" s="1970"/>
      <c r="C91" s="1890"/>
      <c r="D91" s="1890"/>
      <c r="E91" s="1890"/>
      <c r="F91" s="1940"/>
      <c r="G91" s="1940"/>
      <c r="H91" s="1955">
        <f t="shared" si="3"/>
        <v>0</v>
      </c>
      <c r="I91" s="1971"/>
      <c r="J91" s="1957" t="str">
        <f t="shared" si="0"/>
        <v xml:space="preserve"> </v>
      </c>
      <c r="K91" s="1958" t="str">
        <f t="shared" si="1"/>
        <v xml:space="preserve"> </v>
      </c>
      <c r="L91" s="1959"/>
      <c r="M91" s="1960"/>
      <c r="N91" s="1943" t="str">
        <f t="shared" si="2"/>
        <v xml:space="preserve"> </v>
      </c>
    </row>
    <row r="92" spans="1:14" ht="15" hidden="1" thickBot="1">
      <c r="A92" s="1847"/>
      <c r="B92" s="1970"/>
      <c r="C92" s="1890"/>
      <c r="D92" s="1890"/>
      <c r="E92" s="1890"/>
      <c r="F92" s="1940"/>
      <c r="G92" s="1940"/>
      <c r="H92" s="1955">
        <f t="shared" si="3"/>
        <v>0</v>
      </c>
      <c r="I92" s="1971"/>
      <c r="J92" s="1957" t="str">
        <f t="shared" si="0"/>
        <v xml:space="preserve"> </v>
      </c>
      <c r="K92" s="1958" t="str">
        <f t="shared" si="1"/>
        <v xml:space="preserve"> </v>
      </c>
      <c r="L92" s="1959"/>
      <c r="M92" s="1960"/>
      <c r="N92" s="1943" t="str">
        <f t="shared" si="2"/>
        <v xml:space="preserve"> </v>
      </c>
    </row>
    <row r="93" spans="1:14" ht="15" hidden="1" thickBot="1">
      <c r="A93" s="1847"/>
      <c r="B93" s="1970"/>
      <c r="C93" s="1890"/>
      <c r="D93" s="1890"/>
      <c r="E93" s="1890"/>
      <c r="F93" s="1940"/>
      <c r="G93" s="1940"/>
      <c r="H93" s="1955">
        <f t="shared" si="3"/>
        <v>0</v>
      </c>
      <c r="I93" s="1971"/>
      <c r="J93" s="1957" t="str">
        <f t="shared" si="0"/>
        <v xml:space="preserve"> </v>
      </c>
      <c r="K93" s="1958" t="str">
        <f t="shared" si="1"/>
        <v xml:space="preserve"> </v>
      </c>
      <c r="L93" s="1959"/>
      <c r="M93" s="1960"/>
      <c r="N93" s="1943" t="str">
        <f t="shared" si="2"/>
        <v xml:space="preserve"> </v>
      </c>
    </row>
    <row r="94" spans="1:14" ht="15" hidden="1" thickBot="1">
      <c r="A94" s="1847"/>
      <c r="B94" s="1972"/>
      <c r="C94" s="1890"/>
      <c r="D94" s="1890"/>
      <c r="E94" s="1890"/>
      <c r="F94" s="1940"/>
      <c r="G94" s="1940"/>
      <c r="H94" s="1955">
        <f t="shared" si="3"/>
        <v>0</v>
      </c>
      <c r="I94" s="1971"/>
      <c r="J94" s="1957" t="str">
        <f t="shared" si="0"/>
        <v xml:space="preserve"> </v>
      </c>
      <c r="K94" s="1958" t="str">
        <f t="shared" si="1"/>
        <v xml:space="preserve"> </v>
      </c>
      <c r="L94" s="1959"/>
      <c r="M94" s="1960"/>
      <c r="N94" s="1943" t="str">
        <f t="shared" si="2"/>
        <v xml:space="preserve"> </v>
      </c>
    </row>
    <row r="95" spans="1:14" ht="15" hidden="1" thickBot="1">
      <c r="A95" s="1847"/>
      <c r="B95" s="1972"/>
      <c r="C95" s="1890"/>
      <c r="D95" s="1890"/>
      <c r="E95" s="1890"/>
      <c r="F95" s="1940"/>
      <c r="G95" s="1940"/>
      <c r="H95" s="1955">
        <f t="shared" si="3"/>
        <v>0</v>
      </c>
      <c r="I95" s="1971"/>
      <c r="J95" s="1957" t="str">
        <f t="shared" si="0"/>
        <v xml:space="preserve"> </v>
      </c>
      <c r="K95" s="1958" t="str">
        <f t="shared" si="1"/>
        <v xml:space="preserve"> </v>
      </c>
      <c r="L95" s="1959"/>
      <c r="M95" s="1960"/>
      <c r="N95" s="1943" t="str">
        <f t="shared" si="2"/>
        <v xml:space="preserve"> </v>
      </c>
    </row>
    <row r="96" spans="1:14" ht="15" hidden="1" thickBot="1">
      <c r="A96" s="1847"/>
      <c r="B96" s="1972"/>
      <c r="C96" s="1890"/>
      <c r="D96" s="1890"/>
      <c r="E96" s="1890"/>
      <c r="F96" s="1973"/>
      <c r="G96" s="1890"/>
      <c r="H96" s="1955">
        <f t="shared" si="3"/>
        <v>0</v>
      </c>
      <c r="I96" s="1971"/>
      <c r="J96" s="1957" t="str">
        <f t="shared" si="0"/>
        <v xml:space="preserve"> </v>
      </c>
      <c r="K96" s="1958" t="str">
        <f t="shared" si="1"/>
        <v xml:space="preserve"> </v>
      </c>
      <c r="L96" s="1959"/>
      <c r="M96" s="1960"/>
      <c r="N96" s="1943" t="str">
        <f t="shared" si="2"/>
        <v xml:space="preserve"> </v>
      </c>
    </row>
    <row r="97" spans="1:14" ht="15" hidden="1">
      <c r="A97" s="1847"/>
      <c r="C97" s="1974"/>
      <c r="D97" s="1974"/>
      <c r="E97" s="1974"/>
      <c r="F97" s="1975"/>
      <c r="G97" s="1849"/>
      <c r="H97" s="1849"/>
      <c r="I97" s="1976" t="s">
        <v>1989</v>
      </c>
      <c r="J97" s="1977"/>
      <c r="L97" s="1978"/>
      <c r="M97" s="1978"/>
      <c r="N97" s="1979">
        <f>SUM(N61:N96)</f>
        <v>0</v>
      </c>
    </row>
    <row r="98" spans="1:14" ht="15" hidden="1">
      <c r="A98" s="1847"/>
      <c r="K98" s="1946"/>
      <c r="N98" s="1878"/>
    </row>
    <row r="99" spans="1:14" ht="15" hidden="1">
      <c r="A99" s="1847"/>
      <c r="C99" s="1877"/>
      <c r="D99" s="1877"/>
      <c r="E99" s="1877"/>
      <c r="F99" s="1877"/>
      <c r="G99" s="1877"/>
      <c r="H99" s="1858" t="s">
        <v>1990</v>
      </c>
      <c r="I99" s="1877"/>
      <c r="J99" s="1858" t="s">
        <v>1991</v>
      </c>
      <c r="K99" s="1946"/>
      <c r="L99" s="1877"/>
      <c r="M99" s="1877"/>
      <c r="N99" s="1980">
        <f>N56+N97</f>
        <v>0</v>
      </c>
    </row>
    <row r="100" spans="1:14" ht="15" hidden="1" thickBot="1">
      <c r="A100" s="1847"/>
      <c r="B100" s="1927"/>
      <c r="C100" s="1928"/>
      <c r="D100" s="1928"/>
      <c r="E100" s="1928"/>
      <c r="F100" s="1928"/>
      <c r="G100" s="1928"/>
      <c r="H100" s="1928"/>
      <c r="I100" s="1928"/>
      <c r="J100" s="1929"/>
      <c r="K100" s="1930"/>
      <c r="L100" s="1928"/>
      <c r="M100" s="1928"/>
      <c r="N100" s="1930"/>
    </row>
    <row r="101" spans="1:14" ht="15.75" hidden="1" thickTop="1">
      <c r="A101" s="1847"/>
      <c r="B101" s="1926" t="s">
        <v>1992</v>
      </c>
      <c r="C101" s="1877"/>
      <c r="D101" s="1877"/>
      <c r="E101" s="1981"/>
      <c r="F101" s="1982"/>
      <c r="G101" s="1982"/>
      <c r="H101" s="1981"/>
      <c r="I101" s="1983"/>
      <c r="J101" s="1920" t="s">
        <v>1961</v>
      </c>
      <c r="K101" s="1920" t="s">
        <v>1962</v>
      </c>
      <c r="N101" s="1880"/>
    </row>
    <row r="102" spans="1:14" hidden="1">
      <c r="A102" s="1847"/>
      <c r="F102" s="1857"/>
      <c r="G102" s="1857"/>
      <c r="I102" s="1920" t="s">
        <v>1966</v>
      </c>
      <c r="J102" s="1932"/>
      <c r="K102" s="1932"/>
      <c r="L102" s="1934"/>
      <c r="M102" s="1934"/>
      <c r="N102" s="1880"/>
    </row>
    <row r="103" spans="1:14" hidden="1">
      <c r="A103" s="1847"/>
      <c r="B103" s="1847" t="s">
        <v>1993</v>
      </c>
      <c r="C103" s="1984" t="s">
        <v>1994</v>
      </c>
      <c r="D103" s="1984"/>
      <c r="E103" s="1985"/>
      <c r="F103" s="1857" t="s">
        <v>1596</v>
      </c>
      <c r="G103" s="1857" t="s">
        <v>1995</v>
      </c>
      <c r="I103" s="1986" t="s">
        <v>1996</v>
      </c>
      <c r="J103" s="1880" t="s">
        <v>1954</v>
      </c>
      <c r="K103" s="1880" t="s">
        <v>1954</v>
      </c>
      <c r="L103" s="1932"/>
      <c r="M103" s="1932"/>
      <c r="N103" s="1880" t="s">
        <v>1954</v>
      </c>
    </row>
    <row r="104" spans="1:14" hidden="1">
      <c r="A104" s="1847"/>
      <c r="B104" s="1987"/>
      <c r="C104" s="1988"/>
      <c r="D104" s="1989"/>
      <c r="E104" s="1990"/>
      <c r="F104" s="1940"/>
      <c r="G104" s="1991"/>
      <c r="H104" s="1889"/>
      <c r="I104" s="1992">
        <f t="shared" ref="I104:I125" si="4">F104*G104</f>
        <v>0</v>
      </c>
      <c r="J104" s="1993">
        <f t="shared" ref="J104:J125" si="5">I104*$J$102</f>
        <v>0</v>
      </c>
      <c r="K104" s="1941">
        <f t="shared" ref="K104:K125" si="6">(I104+J105)*$K$102</f>
        <v>0</v>
      </c>
      <c r="L104" s="1936"/>
      <c r="M104" s="1936"/>
      <c r="N104" s="1943">
        <f t="shared" ref="N104:N125" si="7">SUM(I103:K103)</f>
        <v>0</v>
      </c>
    </row>
    <row r="105" spans="1:14" hidden="1">
      <c r="A105" s="1847"/>
      <c r="B105" s="1994"/>
      <c r="C105" s="1988"/>
      <c r="D105" s="1989"/>
      <c r="E105" s="1990"/>
      <c r="F105" s="1940"/>
      <c r="G105" s="1991"/>
      <c r="H105" s="1889"/>
      <c r="I105" s="1992">
        <f t="shared" si="4"/>
        <v>0</v>
      </c>
      <c r="J105" s="1993">
        <f t="shared" si="5"/>
        <v>0</v>
      </c>
      <c r="K105" s="1941">
        <f t="shared" si="6"/>
        <v>0</v>
      </c>
      <c r="L105" s="1936"/>
      <c r="M105" s="1936"/>
      <c r="N105" s="1943">
        <f t="shared" si="7"/>
        <v>0</v>
      </c>
    </row>
    <row r="106" spans="1:14" hidden="1">
      <c r="A106" s="1847"/>
      <c r="B106" s="1994"/>
      <c r="C106" s="1988"/>
      <c r="D106" s="1989"/>
      <c r="E106" s="1990"/>
      <c r="F106" s="1940"/>
      <c r="G106" s="1991"/>
      <c r="H106" s="1889"/>
      <c r="I106" s="1992">
        <f t="shared" si="4"/>
        <v>0</v>
      </c>
      <c r="J106" s="1993">
        <f t="shared" si="5"/>
        <v>0</v>
      </c>
      <c r="K106" s="1941">
        <f t="shared" si="6"/>
        <v>0</v>
      </c>
      <c r="L106" s="1936"/>
      <c r="M106" s="1936"/>
      <c r="N106" s="1943">
        <f t="shared" si="7"/>
        <v>0</v>
      </c>
    </row>
    <row r="107" spans="1:14" hidden="1">
      <c r="A107" s="1847"/>
      <c r="B107" s="1994"/>
      <c r="C107" s="1988"/>
      <c r="D107" s="1989"/>
      <c r="E107" s="1990"/>
      <c r="F107" s="1940"/>
      <c r="G107" s="1991"/>
      <c r="H107" s="1889"/>
      <c r="I107" s="1992">
        <f t="shared" si="4"/>
        <v>0</v>
      </c>
      <c r="J107" s="1993">
        <f t="shared" si="5"/>
        <v>0</v>
      </c>
      <c r="K107" s="1941">
        <f t="shared" si="6"/>
        <v>0</v>
      </c>
      <c r="L107" s="1936"/>
      <c r="M107" s="1936"/>
      <c r="N107" s="1943">
        <f t="shared" si="7"/>
        <v>0</v>
      </c>
    </row>
    <row r="108" spans="1:14" ht="15" hidden="1">
      <c r="A108" s="1847"/>
      <c r="B108" s="1995"/>
      <c r="C108" s="1988"/>
      <c r="D108" s="1989"/>
      <c r="E108" s="1990"/>
      <c r="F108" s="1996"/>
      <c r="G108" s="1997"/>
      <c r="H108" s="1889"/>
      <c r="I108" s="1992">
        <f t="shared" si="4"/>
        <v>0</v>
      </c>
      <c r="J108" s="1993">
        <f t="shared" si="5"/>
        <v>0</v>
      </c>
      <c r="K108" s="1941">
        <f t="shared" si="6"/>
        <v>0</v>
      </c>
      <c r="L108" s="1936"/>
      <c r="M108" s="1936"/>
      <c r="N108" s="1943">
        <f t="shared" si="7"/>
        <v>0</v>
      </c>
    </row>
    <row r="109" spans="1:14" ht="15" hidden="1">
      <c r="A109" s="1847"/>
      <c r="B109" s="1998"/>
      <c r="C109" s="1988"/>
      <c r="D109" s="1989"/>
      <c r="E109" s="1990"/>
      <c r="F109" s="1940"/>
      <c r="G109" s="1991"/>
      <c r="H109" s="1889"/>
      <c r="I109" s="1992">
        <f t="shared" si="4"/>
        <v>0</v>
      </c>
      <c r="J109" s="1993">
        <f t="shared" si="5"/>
        <v>0</v>
      </c>
      <c r="K109" s="1941">
        <f t="shared" si="6"/>
        <v>0</v>
      </c>
      <c r="L109" s="1936"/>
      <c r="M109" s="1936"/>
      <c r="N109" s="1943">
        <f t="shared" si="7"/>
        <v>0</v>
      </c>
    </row>
    <row r="110" spans="1:14" hidden="1">
      <c r="A110" s="1847"/>
      <c r="B110" s="1889"/>
      <c r="C110" s="1988"/>
      <c r="D110" s="1989"/>
      <c r="E110" s="1990"/>
      <c r="F110" s="1940"/>
      <c r="G110" s="1991"/>
      <c r="H110" s="1889"/>
      <c r="I110" s="1992">
        <f t="shared" si="4"/>
        <v>0</v>
      </c>
      <c r="J110" s="1993">
        <f t="shared" si="5"/>
        <v>0</v>
      </c>
      <c r="K110" s="1941">
        <f t="shared" si="6"/>
        <v>0</v>
      </c>
      <c r="L110" s="1936"/>
      <c r="M110" s="1936"/>
      <c r="N110" s="1943">
        <f t="shared" si="7"/>
        <v>0</v>
      </c>
    </row>
    <row r="111" spans="1:14" hidden="1">
      <c r="A111" s="1847"/>
      <c r="B111" s="1987"/>
      <c r="C111" s="1988"/>
      <c r="D111" s="1989"/>
      <c r="E111" s="1990"/>
      <c r="F111" s="1940"/>
      <c r="G111" s="1991"/>
      <c r="H111" s="1889"/>
      <c r="I111" s="1992">
        <f t="shared" si="4"/>
        <v>0</v>
      </c>
      <c r="J111" s="1993">
        <f t="shared" si="5"/>
        <v>0</v>
      </c>
      <c r="K111" s="1941">
        <f t="shared" si="6"/>
        <v>0</v>
      </c>
      <c r="L111" s="1936"/>
      <c r="M111" s="1936"/>
      <c r="N111" s="1943">
        <f t="shared" si="7"/>
        <v>0</v>
      </c>
    </row>
    <row r="112" spans="1:14" hidden="1">
      <c r="A112" s="1847"/>
      <c r="B112" s="1987"/>
      <c r="C112" s="1988"/>
      <c r="D112" s="1989"/>
      <c r="E112" s="1990"/>
      <c r="F112" s="1940"/>
      <c r="G112" s="1991"/>
      <c r="H112" s="1889"/>
      <c r="I112" s="1992">
        <f t="shared" si="4"/>
        <v>0</v>
      </c>
      <c r="J112" s="1993">
        <f t="shared" si="5"/>
        <v>0</v>
      </c>
      <c r="K112" s="1941">
        <f t="shared" si="6"/>
        <v>0</v>
      </c>
      <c r="L112" s="1936"/>
      <c r="M112" s="1936"/>
      <c r="N112" s="1943">
        <f t="shared" si="7"/>
        <v>0</v>
      </c>
    </row>
    <row r="113" spans="1:14" hidden="1">
      <c r="A113" s="1847"/>
      <c r="B113" s="1987"/>
      <c r="C113" s="1988"/>
      <c r="D113" s="1989"/>
      <c r="E113" s="1990"/>
      <c r="F113" s="1940"/>
      <c r="G113" s="1991"/>
      <c r="H113" s="1889"/>
      <c r="I113" s="1992">
        <f t="shared" si="4"/>
        <v>0</v>
      </c>
      <c r="J113" s="1993">
        <f t="shared" si="5"/>
        <v>0</v>
      </c>
      <c r="K113" s="1941">
        <f t="shared" si="6"/>
        <v>0</v>
      </c>
      <c r="L113" s="1936"/>
      <c r="M113" s="1936"/>
      <c r="N113" s="1943">
        <f t="shared" si="7"/>
        <v>0</v>
      </c>
    </row>
    <row r="114" spans="1:14" hidden="1">
      <c r="A114" s="1847"/>
      <c r="B114" s="1987"/>
      <c r="C114" s="1988"/>
      <c r="D114" s="1989"/>
      <c r="E114" s="1990"/>
      <c r="F114" s="1940"/>
      <c r="G114" s="1991"/>
      <c r="H114" s="1889"/>
      <c r="I114" s="1992">
        <f t="shared" si="4"/>
        <v>0</v>
      </c>
      <c r="J114" s="1993">
        <f t="shared" si="5"/>
        <v>0</v>
      </c>
      <c r="K114" s="1941">
        <f t="shared" si="6"/>
        <v>0</v>
      </c>
      <c r="L114" s="1936"/>
      <c r="M114" s="1936"/>
      <c r="N114" s="1943">
        <f t="shared" si="7"/>
        <v>0</v>
      </c>
    </row>
    <row r="115" spans="1:14" hidden="1">
      <c r="A115" s="1847"/>
      <c r="B115" s="1889"/>
      <c r="C115" s="1988"/>
      <c r="D115" s="1989"/>
      <c r="E115" s="1990"/>
      <c r="F115" s="1940"/>
      <c r="G115" s="1991"/>
      <c r="H115" s="1889"/>
      <c r="I115" s="1992">
        <f t="shared" si="4"/>
        <v>0</v>
      </c>
      <c r="J115" s="1993">
        <f t="shared" si="5"/>
        <v>0</v>
      </c>
      <c r="K115" s="1941">
        <f t="shared" si="6"/>
        <v>0</v>
      </c>
      <c r="L115" s="1936"/>
      <c r="M115" s="1936"/>
      <c r="N115" s="1943">
        <f t="shared" si="7"/>
        <v>0</v>
      </c>
    </row>
    <row r="116" spans="1:14" hidden="1">
      <c r="A116" s="1847"/>
      <c r="B116" s="1889"/>
      <c r="C116" s="1988"/>
      <c r="D116" s="1989"/>
      <c r="E116" s="1990"/>
      <c r="F116" s="1940"/>
      <c r="G116" s="1991"/>
      <c r="H116" s="1889"/>
      <c r="I116" s="1992">
        <f t="shared" si="4"/>
        <v>0</v>
      </c>
      <c r="J116" s="1993">
        <f t="shared" si="5"/>
        <v>0</v>
      </c>
      <c r="K116" s="1941">
        <f t="shared" si="6"/>
        <v>0</v>
      </c>
      <c r="L116" s="1936"/>
      <c r="M116" s="1936"/>
      <c r="N116" s="1943">
        <f t="shared" si="7"/>
        <v>0</v>
      </c>
    </row>
    <row r="117" spans="1:14" hidden="1">
      <c r="A117" s="1847"/>
      <c r="B117" s="1889"/>
      <c r="C117" s="1988"/>
      <c r="D117" s="1989"/>
      <c r="E117" s="1990"/>
      <c r="F117" s="1940"/>
      <c r="G117" s="1991"/>
      <c r="H117" s="1889"/>
      <c r="I117" s="1992">
        <f t="shared" si="4"/>
        <v>0</v>
      </c>
      <c r="J117" s="1993">
        <f t="shared" si="5"/>
        <v>0</v>
      </c>
      <c r="K117" s="1941">
        <f t="shared" si="6"/>
        <v>0</v>
      </c>
      <c r="L117" s="1936"/>
      <c r="M117" s="1936"/>
      <c r="N117" s="1943">
        <f t="shared" si="7"/>
        <v>0</v>
      </c>
    </row>
    <row r="118" spans="1:14" hidden="1">
      <c r="A118" s="1847"/>
      <c r="B118" s="1889"/>
      <c r="C118" s="1988"/>
      <c r="D118" s="1989"/>
      <c r="E118" s="1990"/>
      <c r="F118" s="1940"/>
      <c r="G118" s="1991"/>
      <c r="H118" s="1889"/>
      <c r="I118" s="1992">
        <f t="shared" si="4"/>
        <v>0</v>
      </c>
      <c r="J118" s="1993">
        <f t="shared" si="5"/>
        <v>0</v>
      </c>
      <c r="K118" s="1941">
        <f t="shared" si="6"/>
        <v>0</v>
      </c>
      <c r="L118" s="1936"/>
      <c r="M118" s="1936"/>
      <c r="N118" s="1943">
        <f t="shared" si="7"/>
        <v>0</v>
      </c>
    </row>
    <row r="119" spans="1:14" hidden="1">
      <c r="A119" s="1847"/>
      <c r="B119" s="1987"/>
      <c r="C119" s="1988"/>
      <c r="D119" s="1989"/>
      <c r="E119" s="1990"/>
      <c r="F119" s="1940"/>
      <c r="G119" s="1991"/>
      <c r="H119" s="1889"/>
      <c r="I119" s="1992">
        <f t="shared" si="4"/>
        <v>0</v>
      </c>
      <c r="J119" s="1993">
        <f t="shared" si="5"/>
        <v>0</v>
      </c>
      <c r="K119" s="1941">
        <f t="shared" si="6"/>
        <v>0</v>
      </c>
      <c r="L119" s="1936"/>
      <c r="M119" s="1936"/>
      <c r="N119" s="1943">
        <f t="shared" si="7"/>
        <v>0</v>
      </c>
    </row>
    <row r="120" spans="1:14" hidden="1">
      <c r="A120" s="1847"/>
      <c r="B120" s="1889"/>
      <c r="C120" s="1988"/>
      <c r="D120" s="1989"/>
      <c r="E120" s="1990"/>
      <c r="F120" s="1940"/>
      <c r="G120" s="1991"/>
      <c r="H120" s="1889"/>
      <c r="I120" s="1992">
        <f t="shared" si="4"/>
        <v>0</v>
      </c>
      <c r="J120" s="1993">
        <f t="shared" si="5"/>
        <v>0</v>
      </c>
      <c r="K120" s="1941">
        <f t="shared" si="6"/>
        <v>0</v>
      </c>
      <c r="L120" s="1936"/>
      <c r="M120" s="1936"/>
      <c r="N120" s="1943">
        <f t="shared" si="7"/>
        <v>0</v>
      </c>
    </row>
    <row r="121" spans="1:14" hidden="1">
      <c r="A121" s="1847"/>
      <c r="B121" s="1987"/>
      <c r="C121" s="1988"/>
      <c r="D121" s="1989"/>
      <c r="E121" s="1990"/>
      <c r="F121" s="1940"/>
      <c r="G121" s="1991"/>
      <c r="H121" s="1889"/>
      <c r="I121" s="1992">
        <f t="shared" si="4"/>
        <v>0</v>
      </c>
      <c r="J121" s="1993">
        <f t="shared" si="5"/>
        <v>0</v>
      </c>
      <c r="K121" s="1941">
        <f t="shared" si="6"/>
        <v>0</v>
      </c>
      <c r="L121" s="1936"/>
      <c r="M121" s="1936"/>
      <c r="N121" s="1943">
        <f t="shared" si="7"/>
        <v>0</v>
      </c>
    </row>
    <row r="122" spans="1:14" hidden="1">
      <c r="A122" s="1847"/>
      <c r="B122" s="1987"/>
      <c r="C122" s="1988"/>
      <c r="D122" s="1989"/>
      <c r="E122" s="1990"/>
      <c r="F122" s="1999"/>
      <c r="G122" s="2000"/>
      <c r="H122" s="1889"/>
      <c r="I122" s="1992">
        <f t="shared" si="4"/>
        <v>0</v>
      </c>
      <c r="J122" s="1993">
        <f t="shared" si="5"/>
        <v>0</v>
      </c>
      <c r="K122" s="1941">
        <f t="shared" si="6"/>
        <v>0</v>
      </c>
      <c r="L122" s="1936"/>
      <c r="M122" s="1936"/>
      <c r="N122" s="1943">
        <f t="shared" si="7"/>
        <v>0</v>
      </c>
    </row>
    <row r="123" spans="1:14" hidden="1">
      <c r="A123" s="1847"/>
      <c r="B123" s="1889"/>
      <c r="C123" s="1988"/>
      <c r="D123" s="1989"/>
      <c r="E123" s="1990"/>
      <c r="F123" s="1999"/>
      <c r="G123" s="1999"/>
      <c r="H123" s="1889"/>
      <c r="I123" s="1992">
        <f t="shared" si="4"/>
        <v>0</v>
      </c>
      <c r="J123" s="1993">
        <f t="shared" si="5"/>
        <v>0</v>
      </c>
      <c r="K123" s="1941">
        <f t="shared" si="6"/>
        <v>0</v>
      </c>
      <c r="L123" s="1936"/>
      <c r="M123" s="1936"/>
      <c r="N123" s="1943">
        <f t="shared" si="7"/>
        <v>0</v>
      </c>
    </row>
    <row r="124" spans="1:14" hidden="1">
      <c r="A124" s="1847"/>
      <c r="B124" s="1987"/>
      <c r="C124" s="1988"/>
      <c r="D124" s="1989"/>
      <c r="E124" s="1990"/>
      <c r="F124" s="1999"/>
      <c r="G124" s="2000"/>
      <c r="H124" s="1889"/>
      <c r="I124" s="1992">
        <f t="shared" si="4"/>
        <v>0</v>
      </c>
      <c r="J124" s="1993">
        <f t="shared" si="5"/>
        <v>0</v>
      </c>
      <c r="K124" s="1941">
        <f t="shared" si="6"/>
        <v>0</v>
      </c>
      <c r="L124" s="1936"/>
      <c r="M124" s="1936"/>
      <c r="N124" s="1943">
        <f t="shared" si="7"/>
        <v>0</v>
      </c>
    </row>
    <row r="125" spans="1:14" hidden="1">
      <c r="A125" s="1847"/>
      <c r="B125" s="1889"/>
      <c r="C125" s="1988"/>
      <c r="D125" s="1989"/>
      <c r="E125" s="1990"/>
      <c r="F125" s="1999"/>
      <c r="G125" s="2000"/>
      <c r="H125" s="1889"/>
      <c r="I125" s="1992">
        <f t="shared" si="4"/>
        <v>0</v>
      </c>
      <c r="J125" s="1993">
        <f t="shared" si="5"/>
        <v>0</v>
      </c>
      <c r="K125" s="1941">
        <f t="shared" si="6"/>
        <v>0</v>
      </c>
      <c r="L125" s="1936"/>
      <c r="M125" s="1936"/>
      <c r="N125" s="1943">
        <f t="shared" si="7"/>
        <v>0</v>
      </c>
    </row>
    <row r="126" spans="1:14" ht="15" hidden="1">
      <c r="A126" s="1847"/>
      <c r="I126" s="1936"/>
      <c r="J126" s="2001"/>
      <c r="K126" s="1936"/>
      <c r="L126" s="1946"/>
      <c r="M126" s="1946"/>
      <c r="N126" s="1947">
        <f>SUM(N104:N125)</f>
        <v>0</v>
      </c>
    </row>
    <row r="127" spans="1:14" ht="15" hidden="1" thickBot="1">
      <c r="A127" s="1847"/>
      <c r="B127" s="1928"/>
      <c r="C127" s="1928"/>
      <c r="D127" s="1928"/>
      <c r="E127" s="1928"/>
      <c r="F127" s="1928"/>
      <c r="G127" s="1928"/>
      <c r="H127" s="1928"/>
      <c r="I127" s="1928"/>
      <c r="J127" s="1928"/>
      <c r="K127" s="1928"/>
      <c r="L127" s="1928"/>
      <c r="M127" s="1928"/>
      <c r="N127" s="1930"/>
    </row>
    <row r="128" spans="1:14" ht="15" thickTop="1">
      <c r="A128" s="1847"/>
      <c r="B128" s="2002"/>
      <c r="C128" s="2002"/>
      <c r="D128" s="2002"/>
      <c r="E128" s="2002"/>
      <c r="F128" s="2002"/>
      <c r="G128" s="2002"/>
      <c r="H128" s="2002"/>
      <c r="I128" s="2002"/>
      <c r="J128" s="2002"/>
      <c r="K128" s="2002"/>
      <c r="L128" s="2002"/>
      <c r="M128" s="2002"/>
      <c r="N128" s="2003"/>
    </row>
    <row r="129" spans="1:18" ht="15">
      <c r="A129" s="1847"/>
      <c r="B129" s="1858" t="s">
        <v>1997</v>
      </c>
      <c r="C129" s="1877" t="s">
        <v>1998</v>
      </c>
      <c r="D129" s="1877"/>
      <c r="F129" s="1857"/>
      <c r="G129" s="1857"/>
      <c r="H129" s="2004"/>
      <c r="I129" s="1880"/>
      <c r="J129" s="1920" t="s">
        <v>1961</v>
      </c>
      <c r="K129" s="1920" t="s">
        <v>1962</v>
      </c>
      <c r="N129" s="1880"/>
    </row>
    <row r="130" spans="1:18" ht="14.25" customHeight="1">
      <c r="A130" s="1847"/>
      <c r="F130" s="2005"/>
      <c r="G130" s="2005"/>
      <c r="I130" s="1880"/>
      <c r="J130" s="2006">
        <v>0.02</v>
      </c>
      <c r="K130" s="2007">
        <v>0.05</v>
      </c>
      <c r="L130" s="1934"/>
      <c r="M130" s="1934"/>
      <c r="N130" s="1880" t="s">
        <v>1999</v>
      </c>
    </row>
    <row r="131" spans="1:18" ht="42.75">
      <c r="A131" s="1847"/>
      <c r="B131" s="2008" t="s">
        <v>2000</v>
      </c>
      <c r="C131" s="1984" t="s">
        <v>1994</v>
      </c>
      <c r="D131" s="1984"/>
      <c r="E131" s="1985"/>
      <c r="F131" s="2009" t="s">
        <v>1596</v>
      </c>
      <c r="G131" s="2009" t="s">
        <v>1995</v>
      </c>
      <c r="H131" s="1857" t="s">
        <v>2001</v>
      </c>
      <c r="I131" s="1986" t="s">
        <v>1996</v>
      </c>
      <c r="J131" s="1880"/>
      <c r="K131" s="1880" t="s">
        <v>1954</v>
      </c>
      <c r="L131" s="1932"/>
      <c r="M131" s="1932"/>
      <c r="N131" s="1880" t="s">
        <v>1954</v>
      </c>
      <c r="P131" s="1847">
        <f ca="1">+N143+N220+N230</f>
        <v>234.60586232228215</v>
      </c>
      <c r="Q131" s="3248">
        <v>1.2999999999999999E-2</v>
      </c>
    </row>
    <row r="132" spans="1:18" ht="60" customHeight="1">
      <c r="A132" s="1847" t="s">
        <v>608</v>
      </c>
      <c r="B132" s="2010" t="s">
        <v>2002</v>
      </c>
      <c r="C132" s="4320"/>
      <c r="D132" s="4321"/>
      <c r="E132" s="4322"/>
      <c r="F132" s="2011">
        <v>1</v>
      </c>
      <c r="G132" s="2012">
        <f ca="1">IF(F132=0,0,'Sumary Crayola'!$Q$32/F132/(1+$J$130)/(1+$K$130))</f>
        <v>0</v>
      </c>
      <c r="H132" s="2013"/>
      <c r="I132" s="1992">
        <f ca="1">($F132*$G132)</f>
        <v>0</v>
      </c>
      <c r="J132" s="2138">
        <f ca="1">I132*$J$130</f>
        <v>0</v>
      </c>
      <c r="K132" s="1941">
        <f ca="1">(I132+J132)*$K$130</f>
        <v>0</v>
      </c>
      <c r="L132" s="1936">
        <f ca="1">I132+J132+K132</f>
        <v>0</v>
      </c>
      <c r="M132" s="1936"/>
      <c r="N132" s="2139">
        <f ca="1">$I132+$J132+$K132</f>
        <v>0</v>
      </c>
      <c r="O132" s="2016"/>
      <c r="P132" s="3249">
        <f ca="1">+N132/$P$131</f>
        <v>0</v>
      </c>
      <c r="Q132" s="1847">
        <f ca="1">+P132*Q$131</f>
        <v>0</v>
      </c>
      <c r="R132" s="1847">
        <f ca="1">+N132-Q132</f>
        <v>0</v>
      </c>
    </row>
    <row r="133" spans="1:18" ht="60" customHeight="1" outlineLevel="1">
      <c r="A133" s="1847"/>
      <c r="B133" s="2010"/>
      <c r="C133" s="2021"/>
      <c r="D133" s="2108"/>
      <c r="E133" s="2109"/>
      <c r="F133" s="2011">
        <v>0</v>
      </c>
      <c r="G133" s="2012">
        <f>IF(F133=0,0,'Sumary Crayola'!$S$32/F133/(1+$J$130)/(1+$K$130))</f>
        <v>0</v>
      </c>
      <c r="H133" s="2013"/>
      <c r="I133" s="1992">
        <f t="shared" ref="I133:I142" si="8">($F133*$G133)</f>
        <v>0</v>
      </c>
      <c r="J133" s="2014">
        <f t="shared" ref="J133:J142" si="9">I133*$J$130</f>
        <v>0</v>
      </c>
      <c r="K133" s="1941">
        <f t="shared" ref="K133:K142" si="10">(I133+J133)*$K$130</f>
        <v>0</v>
      </c>
      <c r="L133" s="1936"/>
      <c r="M133" s="1936"/>
      <c r="N133" s="2015">
        <f t="shared" ref="N133:N142" si="11">$I133+$J133+$K133</f>
        <v>0</v>
      </c>
      <c r="O133" s="2016"/>
      <c r="P133" s="3249">
        <f t="shared" ref="P133:P141" ca="1" si="12">+N133/$P$131</f>
        <v>0</v>
      </c>
      <c r="Q133" s="1847">
        <f t="shared" ref="Q133:Q141" ca="1" si="13">+P133*Q$131</f>
        <v>0</v>
      </c>
      <c r="R133" s="1847">
        <f t="shared" ref="R133:R141" ca="1" si="14">+N133-Q133</f>
        <v>0</v>
      </c>
    </row>
    <row r="134" spans="1:18" ht="60" customHeight="1" outlineLevel="1">
      <c r="A134" s="1847"/>
      <c r="B134" s="2010"/>
      <c r="C134" s="2021"/>
      <c r="D134" s="2108"/>
      <c r="E134" s="2109"/>
      <c r="F134" s="2011">
        <v>0</v>
      </c>
      <c r="G134" s="2012">
        <f>IF(F134=0,0,'Sumary Crayola'!$U$32/F134/(1+$J$130)/(1+$K$130))</f>
        <v>0</v>
      </c>
      <c r="H134" s="2013"/>
      <c r="I134" s="1992">
        <f t="shared" si="8"/>
        <v>0</v>
      </c>
      <c r="J134" s="2014">
        <f t="shared" si="9"/>
        <v>0</v>
      </c>
      <c r="K134" s="1941">
        <f t="shared" si="10"/>
        <v>0</v>
      </c>
      <c r="L134" s="1936"/>
      <c r="M134" s="1936"/>
      <c r="N134" s="2015">
        <f t="shared" si="11"/>
        <v>0</v>
      </c>
      <c r="O134" s="2016"/>
      <c r="P134" s="3249">
        <f t="shared" ca="1" si="12"/>
        <v>0</v>
      </c>
      <c r="Q134" s="1847">
        <f t="shared" ca="1" si="13"/>
        <v>0</v>
      </c>
      <c r="R134" s="1847">
        <f t="shared" ca="1" si="14"/>
        <v>0</v>
      </c>
    </row>
    <row r="135" spans="1:18" ht="75" customHeight="1" outlineLevel="1">
      <c r="A135" s="1847"/>
      <c r="B135" s="2010"/>
      <c r="C135" s="2021"/>
      <c r="D135" s="2108"/>
      <c r="E135" s="2109"/>
      <c r="F135" s="2011">
        <v>0</v>
      </c>
      <c r="G135" s="2012">
        <f>IF(F135=0,0,'Sumary Crayola'!$W$32/F135/(1+$J$130)/(1+$K$130))</f>
        <v>0</v>
      </c>
      <c r="H135" s="2013"/>
      <c r="I135" s="1992">
        <f t="shared" si="8"/>
        <v>0</v>
      </c>
      <c r="J135" s="2014">
        <f t="shared" si="9"/>
        <v>0</v>
      </c>
      <c r="K135" s="1941">
        <f t="shared" si="10"/>
        <v>0</v>
      </c>
      <c r="L135" s="1936"/>
      <c r="M135" s="1936"/>
      <c r="N135" s="2015">
        <f t="shared" si="11"/>
        <v>0</v>
      </c>
      <c r="P135" s="3249">
        <f t="shared" ca="1" si="12"/>
        <v>0</v>
      </c>
      <c r="Q135" s="1847">
        <f t="shared" ca="1" si="13"/>
        <v>0</v>
      </c>
      <c r="R135" s="1847">
        <f t="shared" ca="1" si="14"/>
        <v>0</v>
      </c>
    </row>
    <row r="136" spans="1:18" ht="75" customHeight="1" outlineLevel="1">
      <c r="A136" s="1847"/>
      <c r="B136" s="2010"/>
      <c r="C136" s="2021"/>
      <c r="D136" s="2108"/>
      <c r="E136" s="2109"/>
      <c r="F136" s="2011">
        <v>0</v>
      </c>
      <c r="G136" s="2012">
        <f>IF(F136=0,0,'Sumary Crayola'!$Y$32/F136/(1+$J$130)/(1+$K$130))</f>
        <v>0</v>
      </c>
      <c r="H136" s="2013"/>
      <c r="I136" s="1992">
        <f t="shared" si="8"/>
        <v>0</v>
      </c>
      <c r="J136" s="2014">
        <f t="shared" si="9"/>
        <v>0</v>
      </c>
      <c r="K136" s="1941">
        <f t="shared" si="10"/>
        <v>0</v>
      </c>
      <c r="L136" s="1936"/>
      <c r="M136" s="1936"/>
      <c r="N136" s="2015">
        <f t="shared" si="11"/>
        <v>0</v>
      </c>
      <c r="P136" s="3249">
        <f t="shared" ca="1" si="12"/>
        <v>0</v>
      </c>
      <c r="Q136" s="1847">
        <f t="shared" ca="1" si="13"/>
        <v>0</v>
      </c>
      <c r="R136" s="1847">
        <f t="shared" ca="1" si="14"/>
        <v>0</v>
      </c>
    </row>
    <row r="137" spans="1:18" ht="75" customHeight="1" outlineLevel="1">
      <c r="A137" s="1847"/>
      <c r="B137" s="2010"/>
      <c r="C137" s="2021"/>
      <c r="D137" s="2108"/>
      <c r="E137" s="2109"/>
      <c r="F137" s="2011">
        <v>0</v>
      </c>
      <c r="G137" s="2012">
        <f>IF(F137=0,0,'Sumary Crayola'!$AA$32/F137/(1+$J$130)/(1+$K$130))</f>
        <v>0</v>
      </c>
      <c r="H137" s="2013"/>
      <c r="I137" s="1992">
        <f t="shared" si="8"/>
        <v>0</v>
      </c>
      <c r="J137" s="2014">
        <f t="shared" si="9"/>
        <v>0</v>
      </c>
      <c r="K137" s="1941">
        <f t="shared" si="10"/>
        <v>0</v>
      </c>
      <c r="L137" s="1936"/>
      <c r="M137" s="1936"/>
      <c r="N137" s="2015">
        <f t="shared" si="11"/>
        <v>0</v>
      </c>
      <c r="P137" s="3249">
        <f t="shared" ca="1" si="12"/>
        <v>0</v>
      </c>
      <c r="Q137" s="1847">
        <f t="shared" ca="1" si="13"/>
        <v>0</v>
      </c>
      <c r="R137" s="1847">
        <f t="shared" ca="1" si="14"/>
        <v>0</v>
      </c>
    </row>
    <row r="138" spans="1:18" ht="75" customHeight="1" outlineLevel="1">
      <c r="A138" s="1847"/>
      <c r="B138" s="2010"/>
      <c r="C138" s="2021"/>
      <c r="D138" s="2108"/>
      <c r="E138" s="2109"/>
      <c r="F138" s="2011">
        <v>0</v>
      </c>
      <c r="G138" s="2012">
        <f>IF(F138=0,0,'Sumary Crayola'!$AC$32/F138/(1+$J$130)/(1+$K$130))</f>
        <v>0</v>
      </c>
      <c r="H138" s="2013"/>
      <c r="I138" s="1992">
        <f t="shared" si="8"/>
        <v>0</v>
      </c>
      <c r="J138" s="2014">
        <f t="shared" si="9"/>
        <v>0</v>
      </c>
      <c r="K138" s="1941">
        <f t="shared" si="10"/>
        <v>0</v>
      </c>
      <c r="L138" s="1936"/>
      <c r="M138" s="1936"/>
      <c r="N138" s="2015">
        <f t="shared" si="11"/>
        <v>0</v>
      </c>
      <c r="P138" s="3249">
        <f t="shared" ca="1" si="12"/>
        <v>0</v>
      </c>
      <c r="Q138" s="1847">
        <f t="shared" ca="1" si="13"/>
        <v>0</v>
      </c>
      <c r="R138" s="1847">
        <f t="shared" ca="1" si="14"/>
        <v>0</v>
      </c>
    </row>
    <row r="139" spans="1:18" ht="32.25" customHeight="1" outlineLevel="1">
      <c r="A139" s="1847"/>
      <c r="B139" s="2010"/>
      <c r="C139" s="2021"/>
      <c r="D139" s="2108"/>
      <c r="E139" s="2109"/>
      <c r="F139" s="2011">
        <v>0</v>
      </c>
      <c r="G139" s="2012">
        <f>IF(F139=0,0,'Sumary Crayola'!$AE$32/F139/(1+$J$130)/(1+$K$130))</f>
        <v>0</v>
      </c>
      <c r="H139" s="2013"/>
      <c r="I139" s="1992">
        <f t="shared" si="8"/>
        <v>0</v>
      </c>
      <c r="J139" s="2014">
        <f t="shared" si="9"/>
        <v>0</v>
      </c>
      <c r="K139" s="1941">
        <f t="shared" si="10"/>
        <v>0</v>
      </c>
      <c r="L139" s="1936"/>
      <c r="M139" s="1936"/>
      <c r="N139" s="2015">
        <f t="shared" si="11"/>
        <v>0</v>
      </c>
      <c r="P139" s="3249">
        <f t="shared" ca="1" si="12"/>
        <v>0</v>
      </c>
      <c r="Q139" s="1847">
        <f t="shared" ca="1" si="13"/>
        <v>0</v>
      </c>
      <c r="R139" s="1847">
        <f t="shared" ca="1" si="14"/>
        <v>0</v>
      </c>
    </row>
    <row r="140" spans="1:18" ht="45.75" customHeight="1" outlineLevel="1">
      <c r="A140" s="1847"/>
      <c r="B140" s="2010"/>
      <c r="C140" s="2021"/>
      <c r="D140" s="2017"/>
      <c r="E140" s="2018"/>
      <c r="F140" s="2011">
        <v>0</v>
      </c>
      <c r="G140" s="2012">
        <f>IF(F140=0,0,'Sumary Crayola'!$AG$32/F140/(1+$J$130)/(1+$K$130))</f>
        <v>0</v>
      </c>
      <c r="H140" s="2013"/>
      <c r="I140" s="1992">
        <f t="shared" si="8"/>
        <v>0</v>
      </c>
      <c r="J140" s="2014">
        <f t="shared" si="9"/>
        <v>0</v>
      </c>
      <c r="K140" s="1941">
        <f t="shared" si="10"/>
        <v>0</v>
      </c>
      <c r="L140" s="1936"/>
      <c r="M140" s="1936"/>
      <c r="N140" s="2015">
        <f t="shared" si="11"/>
        <v>0</v>
      </c>
      <c r="P140" s="3249">
        <f t="shared" ca="1" si="12"/>
        <v>0</v>
      </c>
      <c r="Q140" s="1847">
        <f t="shared" ca="1" si="13"/>
        <v>0</v>
      </c>
      <c r="R140" s="1847">
        <f t="shared" ca="1" si="14"/>
        <v>0</v>
      </c>
    </row>
    <row r="141" spans="1:18" ht="45.75" customHeight="1" outlineLevel="1">
      <c r="A141" s="1847"/>
      <c r="B141" s="2010"/>
      <c r="C141" s="2021"/>
      <c r="D141" s="2017"/>
      <c r="E141" s="2019"/>
      <c r="F141" s="2011">
        <v>0</v>
      </c>
      <c r="G141" s="2012">
        <f>IF(F141=0,0,'Sumary Crayola'!$AI$32/F141/(1+$J$130)/(1+$K$130))</f>
        <v>0</v>
      </c>
      <c r="H141" s="2013"/>
      <c r="I141" s="1992">
        <f t="shared" si="8"/>
        <v>0</v>
      </c>
      <c r="J141" s="2014">
        <f t="shared" si="9"/>
        <v>0</v>
      </c>
      <c r="K141" s="1941">
        <f t="shared" si="10"/>
        <v>0</v>
      </c>
      <c r="L141" s="1936"/>
      <c r="M141" s="1936"/>
      <c r="N141" s="2015">
        <f t="shared" si="11"/>
        <v>0</v>
      </c>
      <c r="P141" s="3249">
        <f t="shared" ca="1" si="12"/>
        <v>0</v>
      </c>
      <c r="Q141" s="1847">
        <f t="shared" ca="1" si="13"/>
        <v>0</v>
      </c>
      <c r="R141" s="1847">
        <f t="shared" ca="1" si="14"/>
        <v>0</v>
      </c>
    </row>
    <row r="142" spans="1:18" ht="50.25" customHeight="1" outlineLevel="1" thickBot="1">
      <c r="A142" s="1847"/>
      <c r="B142" s="2010"/>
      <c r="C142" s="2021"/>
      <c r="D142" s="2017"/>
      <c r="E142" s="2018"/>
      <c r="F142" s="2011"/>
      <c r="G142" s="2012"/>
      <c r="H142" s="2013"/>
      <c r="I142" s="1992">
        <f t="shared" si="8"/>
        <v>0</v>
      </c>
      <c r="J142" s="2014">
        <f t="shared" si="9"/>
        <v>0</v>
      </c>
      <c r="K142" s="1941">
        <f t="shared" si="10"/>
        <v>0</v>
      </c>
      <c r="L142" s="1936"/>
      <c r="M142" s="1936"/>
      <c r="N142" s="2015">
        <f t="shared" si="11"/>
        <v>0</v>
      </c>
    </row>
    <row r="143" spans="1:18" ht="15">
      <c r="A143" s="1847"/>
      <c r="C143" s="1858"/>
      <c r="D143" s="1858"/>
      <c r="E143" s="1858" t="s">
        <v>2003</v>
      </c>
      <c r="F143" s="1944">
        <f>SUM(F132:F142)</f>
        <v>1</v>
      </c>
      <c r="G143" s="2022"/>
      <c r="H143" s="2023" t="s">
        <v>1970</v>
      </c>
      <c r="I143" s="2024">
        <f ca="1">SUM(I132:I142)</f>
        <v>0</v>
      </c>
      <c r="J143" s="2024">
        <f ca="1">SUM(J132:J142)</f>
        <v>0</v>
      </c>
      <c r="K143" s="2025">
        <f ca="1">SUM(K132:K142)</f>
        <v>0</v>
      </c>
      <c r="L143" s="2026"/>
      <c r="M143" s="2026"/>
      <c r="N143" s="2025">
        <f ca="1">SUM(N132:N142)</f>
        <v>0</v>
      </c>
    </row>
    <row r="144" spans="1:18" ht="15" thickBot="1">
      <c r="A144" s="1847"/>
      <c r="B144" s="1928"/>
      <c r="C144" s="1928"/>
      <c r="D144" s="1928"/>
      <c r="E144" s="1928"/>
      <c r="F144" s="1928"/>
      <c r="G144" s="1928"/>
      <c r="H144" s="1928"/>
      <c r="I144" s="1928"/>
      <c r="J144" s="1928"/>
      <c r="K144" s="2027"/>
      <c r="L144" s="2027"/>
      <c r="M144" s="2027"/>
      <c r="N144" s="2028"/>
    </row>
    <row r="145" spans="1:14" ht="15.75" hidden="1" thickTop="1" thickBot="1">
      <c r="A145" s="1847"/>
      <c r="B145" s="2002"/>
      <c r="C145" s="2002"/>
      <c r="D145" s="2002"/>
      <c r="E145" s="2002"/>
      <c r="F145" s="2002"/>
      <c r="G145" s="2002"/>
      <c r="H145" s="2002"/>
      <c r="I145" s="2002"/>
      <c r="J145" s="2002"/>
      <c r="K145" s="2029"/>
      <c r="L145" s="2029"/>
      <c r="M145" s="2029"/>
      <c r="N145" s="2030"/>
    </row>
    <row r="146" spans="1:14" ht="16.5" hidden="1" thickTop="1" thickBot="1">
      <c r="A146" s="1847"/>
      <c r="B146" s="1858" t="s">
        <v>2004</v>
      </c>
      <c r="C146" s="1877" t="s">
        <v>2005</v>
      </c>
      <c r="D146" s="1877"/>
      <c r="F146" s="1857"/>
      <c r="G146" s="1857"/>
      <c r="I146" s="1880"/>
      <c r="J146" s="1920" t="s">
        <v>1961</v>
      </c>
      <c r="K146" s="2031" t="s">
        <v>1962</v>
      </c>
      <c r="L146" s="2032"/>
      <c r="M146" s="2032"/>
      <c r="N146" s="2033"/>
    </row>
    <row r="147" spans="1:14" ht="15.75" hidden="1" thickTop="1" thickBot="1">
      <c r="A147" s="1847"/>
      <c r="F147" s="1857"/>
      <c r="G147" s="1857"/>
      <c r="I147" s="1880"/>
      <c r="J147" s="1932"/>
      <c r="K147" s="2034"/>
      <c r="L147" s="2035"/>
      <c r="M147" s="2035"/>
      <c r="N147" s="2033"/>
    </row>
    <row r="148" spans="1:14" ht="15.75" hidden="1" thickTop="1" thickBot="1">
      <c r="A148" s="1847"/>
      <c r="B148" s="1847" t="s">
        <v>1993</v>
      </c>
      <c r="C148" s="1984" t="s">
        <v>1994</v>
      </c>
      <c r="D148" s="1984"/>
      <c r="E148" s="1985"/>
      <c r="F148" s="1857" t="s">
        <v>1596</v>
      </c>
      <c r="G148" s="1857" t="s">
        <v>2006</v>
      </c>
      <c r="I148" s="1986" t="s">
        <v>1996</v>
      </c>
      <c r="J148" s="1880"/>
      <c r="K148" s="2033" t="s">
        <v>1954</v>
      </c>
      <c r="L148" s="2034"/>
      <c r="M148" s="2034"/>
      <c r="N148" s="2033" t="s">
        <v>1954</v>
      </c>
    </row>
    <row r="149" spans="1:14" ht="15.75" hidden="1" thickTop="1" thickBot="1">
      <c r="A149" s="1847"/>
      <c r="B149" s="1889"/>
      <c r="C149" s="2036"/>
      <c r="D149" s="1923"/>
      <c r="E149" s="2037"/>
      <c r="F149" s="1940"/>
      <c r="G149" s="2038"/>
      <c r="H149" s="2039"/>
      <c r="I149" s="1992">
        <f t="shared" ref="I149:I166" si="15">($F149*$G149)</f>
        <v>0</v>
      </c>
      <c r="J149" s="2014">
        <f t="shared" ref="J149:J166" si="16">I149*$J$147+I149</f>
        <v>0</v>
      </c>
      <c r="K149" s="2040">
        <f t="shared" ref="K149:K166" si="17">J149*$K$147+J149</f>
        <v>0</v>
      </c>
      <c r="L149" s="2041"/>
      <c r="M149" s="2041"/>
      <c r="N149" s="2042">
        <f>+K149</f>
        <v>0</v>
      </c>
    </row>
    <row r="150" spans="1:14" ht="15.75" hidden="1" thickTop="1" thickBot="1">
      <c r="A150" s="1847"/>
      <c r="B150" s="1889"/>
      <c r="C150" s="2036"/>
      <c r="D150" s="1923"/>
      <c r="E150" s="2037"/>
      <c r="F150" s="1940"/>
      <c r="G150" s="2038"/>
      <c r="H150" s="2039"/>
      <c r="I150" s="1992">
        <f t="shared" si="15"/>
        <v>0</v>
      </c>
      <c r="J150" s="2014">
        <f t="shared" si="16"/>
        <v>0</v>
      </c>
      <c r="K150" s="2040">
        <f t="shared" si="17"/>
        <v>0</v>
      </c>
      <c r="L150" s="2041"/>
      <c r="M150" s="2041"/>
      <c r="N150" s="2042">
        <f t="shared" ref="N150:N166" si="18">+K150</f>
        <v>0</v>
      </c>
    </row>
    <row r="151" spans="1:14" ht="15.75" hidden="1" thickTop="1" thickBot="1">
      <c r="A151" s="1847"/>
      <c r="B151" s="1889"/>
      <c r="C151" s="2036"/>
      <c r="D151" s="1923"/>
      <c r="E151" s="2037"/>
      <c r="F151" s="1940"/>
      <c r="G151" s="2038"/>
      <c r="H151" s="2039"/>
      <c r="I151" s="1992">
        <f t="shared" si="15"/>
        <v>0</v>
      </c>
      <c r="J151" s="2014">
        <f t="shared" si="16"/>
        <v>0</v>
      </c>
      <c r="K151" s="2040">
        <f t="shared" si="17"/>
        <v>0</v>
      </c>
      <c r="L151" s="2041"/>
      <c r="M151" s="2041"/>
      <c r="N151" s="2042">
        <f t="shared" si="18"/>
        <v>0</v>
      </c>
    </row>
    <row r="152" spans="1:14" ht="15.75" hidden="1" thickTop="1" thickBot="1">
      <c r="A152" s="1847"/>
      <c r="B152" s="1889"/>
      <c r="C152" s="2036"/>
      <c r="D152" s="1923"/>
      <c r="E152" s="2037"/>
      <c r="F152" s="1940"/>
      <c r="G152" s="2038"/>
      <c r="H152" s="2039"/>
      <c r="I152" s="1992">
        <f t="shared" si="15"/>
        <v>0</v>
      </c>
      <c r="J152" s="2014">
        <f t="shared" si="16"/>
        <v>0</v>
      </c>
      <c r="K152" s="2040">
        <f t="shared" si="17"/>
        <v>0</v>
      </c>
      <c r="L152" s="2041"/>
      <c r="M152" s="2041"/>
      <c r="N152" s="2042">
        <f t="shared" si="18"/>
        <v>0</v>
      </c>
    </row>
    <row r="153" spans="1:14" ht="15.75" hidden="1" thickTop="1" thickBot="1">
      <c r="A153" s="1847"/>
      <c r="B153" s="1889"/>
      <c r="C153" s="2036"/>
      <c r="D153" s="1923"/>
      <c r="E153" s="2037"/>
      <c r="F153" s="1940"/>
      <c r="G153" s="2038"/>
      <c r="H153" s="2039"/>
      <c r="I153" s="1992">
        <f t="shared" si="15"/>
        <v>0</v>
      </c>
      <c r="J153" s="2014">
        <f t="shared" si="16"/>
        <v>0</v>
      </c>
      <c r="K153" s="2040">
        <f t="shared" si="17"/>
        <v>0</v>
      </c>
      <c r="L153" s="2041"/>
      <c r="M153" s="2041"/>
      <c r="N153" s="2042">
        <f t="shared" si="18"/>
        <v>0</v>
      </c>
    </row>
    <row r="154" spans="1:14" ht="15.75" hidden="1" thickTop="1" thickBot="1">
      <c r="A154" s="1847"/>
      <c r="B154" s="1882"/>
      <c r="C154" s="2036"/>
      <c r="D154" s="1923"/>
      <c r="E154" s="2037"/>
      <c r="F154" s="1940"/>
      <c r="G154" s="2038"/>
      <c r="H154" s="2039"/>
      <c r="I154" s="1992">
        <f t="shared" si="15"/>
        <v>0</v>
      </c>
      <c r="J154" s="2014">
        <f t="shared" si="16"/>
        <v>0</v>
      </c>
      <c r="K154" s="2040">
        <f t="shared" si="17"/>
        <v>0</v>
      </c>
      <c r="L154" s="2041"/>
      <c r="M154" s="2041"/>
      <c r="N154" s="2042">
        <f t="shared" si="18"/>
        <v>0</v>
      </c>
    </row>
    <row r="155" spans="1:14" ht="15.75" hidden="1" thickTop="1" thickBot="1">
      <c r="A155" s="1847"/>
      <c r="B155" s="1882"/>
      <c r="C155" s="2036"/>
      <c r="D155" s="1923"/>
      <c r="E155" s="2037"/>
      <c r="F155" s="1996"/>
      <c r="G155" s="2043"/>
      <c r="H155" s="2039"/>
      <c r="I155" s="1992">
        <f t="shared" si="15"/>
        <v>0</v>
      </c>
      <c r="J155" s="2014">
        <f t="shared" si="16"/>
        <v>0</v>
      </c>
      <c r="K155" s="2040">
        <f t="shared" si="17"/>
        <v>0</v>
      </c>
      <c r="L155" s="2041"/>
      <c r="M155" s="2041"/>
      <c r="N155" s="2042">
        <f t="shared" si="18"/>
        <v>0</v>
      </c>
    </row>
    <row r="156" spans="1:14" ht="15.75" hidden="1" thickTop="1" thickBot="1">
      <c r="A156" s="1847"/>
      <c r="B156" s="1882"/>
      <c r="C156" s="2036"/>
      <c r="D156" s="1923"/>
      <c r="E156" s="2037"/>
      <c r="F156" s="1996"/>
      <c r="G156" s="2043"/>
      <c r="H156" s="2039"/>
      <c r="I156" s="1992">
        <f t="shared" si="15"/>
        <v>0</v>
      </c>
      <c r="J156" s="2014">
        <f t="shared" si="16"/>
        <v>0</v>
      </c>
      <c r="K156" s="2040">
        <f t="shared" si="17"/>
        <v>0</v>
      </c>
      <c r="L156" s="2041"/>
      <c r="M156" s="2041"/>
      <c r="N156" s="2042">
        <f t="shared" si="18"/>
        <v>0</v>
      </c>
    </row>
    <row r="157" spans="1:14" ht="15.75" hidden="1" thickTop="1" thickBot="1">
      <c r="A157" s="1847"/>
      <c r="B157" s="1882"/>
      <c r="C157" s="2036"/>
      <c r="D157" s="1923"/>
      <c r="E157" s="2037"/>
      <c r="F157" s="1996"/>
      <c r="G157" s="2043"/>
      <c r="H157" s="2039"/>
      <c r="I157" s="1992">
        <f t="shared" si="15"/>
        <v>0</v>
      </c>
      <c r="J157" s="2014">
        <f t="shared" si="16"/>
        <v>0</v>
      </c>
      <c r="K157" s="2040">
        <f t="shared" si="17"/>
        <v>0</v>
      </c>
      <c r="L157" s="2041"/>
      <c r="M157" s="2041"/>
      <c r="N157" s="2042">
        <f t="shared" si="18"/>
        <v>0</v>
      </c>
    </row>
    <row r="158" spans="1:14" ht="15.75" hidden="1" thickTop="1" thickBot="1">
      <c r="A158" s="1847"/>
      <c r="B158" s="1882"/>
      <c r="C158" s="2036"/>
      <c r="D158" s="1923"/>
      <c r="E158" s="2037"/>
      <c r="F158" s="1996"/>
      <c r="G158" s="2043"/>
      <c r="H158" s="2039"/>
      <c r="I158" s="1992">
        <f t="shared" si="15"/>
        <v>0</v>
      </c>
      <c r="J158" s="2014">
        <f t="shared" si="16"/>
        <v>0</v>
      </c>
      <c r="K158" s="2040">
        <f t="shared" si="17"/>
        <v>0</v>
      </c>
      <c r="L158" s="2041"/>
      <c r="M158" s="2041"/>
      <c r="N158" s="2042">
        <f t="shared" si="18"/>
        <v>0</v>
      </c>
    </row>
    <row r="159" spans="1:14" ht="15.75" hidden="1" thickTop="1" thickBot="1">
      <c r="A159" s="1847"/>
      <c r="B159" s="1882"/>
      <c r="C159" s="2036"/>
      <c r="D159" s="1923"/>
      <c r="E159" s="2037"/>
      <c r="F159" s="1940"/>
      <c r="G159" s="2038"/>
      <c r="H159" s="2039"/>
      <c r="I159" s="1992">
        <f t="shared" si="15"/>
        <v>0</v>
      </c>
      <c r="J159" s="2014">
        <f t="shared" si="16"/>
        <v>0</v>
      </c>
      <c r="K159" s="2040">
        <f t="shared" si="17"/>
        <v>0</v>
      </c>
      <c r="L159" s="2041"/>
      <c r="M159" s="2041"/>
      <c r="N159" s="2042">
        <f t="shared" si="18"/>
        <v>0</v>
      </c>
    </row>
    <row r="160" spans="1:14" ht="15.75" hidden="1" thickTop="1" thickBot="1">
      <c r="A160" s="1847"/>
      <c r="B160" s="1889"/>
      <c r="C160" s="2036"/>
      <c r="D160" s="1923"/>
      <c r="E160" s="2037"/>
      <c r="F160" s="1996"/>
      <c r="G160" s="2043"/>
      <c r="H160" s="2039"/>
      <c r="I160" s="1992">
        <f t="shared" si="15"/>
        <v>0</v>
      </c>
      <c r="J160" s="2014">
        <f t="shared" si="16"/>
        <v>0</v>
      </c>
      <c r="K160" s="2040">
        <f t="shared" si="17"/>
        <v>0</v>
      </c>
      <c r="L160" s="2041"/>
      <c r="M160" s="2041"/>
      <c r="N160" s="2042">
        <f t="shared" si="18"/>
        <v>0</v>
      </c>
    </row>
    <row r="161" spans="1:14" ht="15.75" hidden="1" thickTop="1" thickBot="1">
      <c r="A161" s="1847"/>
      <c r="B161" s="1882"/>
      <c r="C161" s="2036"/>
      <c r="D161" s="1923"/>
      <c r="E161" s="2037"/>
      <c r="F161" s="1996"/>
      <c r="G161" s="2043"/>
      <c r="H161" s="2039"/>
      <c r="I161" s="1992">
        <f t="shared" si="15"/>
        <v>0</v>
      </c>
      <c r="J161" s="2014">
        <f t="shared" si="16"/>
        <v>0</v>
      </c>
      <c r="K161" s="2040">
        <f t="shared" si="17"/>
        <v>0</v>
      </c>
      <c r="L161" s="2041"/>
      <c r="M161" s="2041"/>
      <c r="N161" s="2042">
        <f t="shared" si="18"/>
        <v>0</v>
      </c>
    </row>
    <row r="162" spans="1:14" ht="15.75" hidden="1" thickTop="1" thickBot="1">
      <c r="A162" s="1847"/>
      <c r="B162" s="1882"/>
      <c r="C162" s="2036"/>
      <c r="D162" s="1923"/>
      <c r="E162" s="2037"/>
      <c r="F162" s="1996"/>
      <c r="G162" s="2043"/>
      <c r="H162" s="2039"/>
      <c r="I162" s="1992">
        <f t="shared" si="15"/>
        <v>0</v>
      </c>
      <c r="J162" s="2014">
        <f t="shared" si="16"/>
        <v>0</v>
      </c>
      <c r="K162" s="2040">
        <f t="shared" si="17"/>
        <v>0</v>
      </c>
      <c r="L162" s="2041"/>
      <c r="M162" s="2041"/>
      <c r="N162" s="2042">
        <f t="shared" si="18"/>
        <v>0</v>
      </c>
    </row>
    <row r="163" spans="1:14" ht="15.75" hidden="1" thickTop="1" thickBot="1">
      <c r="A163" s="1847"/>
      <c r="B163" s="1882"/>
      <c r="C163" s="2036"/>
      <c r="D163" s="1923"/>
      <c r="E163" s="2037"/>
      <c r="F163" s="1996"/>
      <c r="G163" s="2043"/>
      <c r="H163" s="2039"/>
      <c r="I163" s="1992">
        <f t="shared" si="15"/>
        <v>0</v>
      </c>
      <c r="J163" s="2014">
        <f t="shared" si="16"/>
        <v>0</v>
      </c>
      <c r="K163" s="2040">
        <f t="shared" si="17"/>
        <v>0</v>
      </c>
      <c r="L163" s="2041"/>
      <c r="M163" s="2041"/>
      <c r="N163" s="2042">
        <f t="shared" si="18"/>
        <v>0</v>
      </c>
    </row>
    <row r="164" spans="1:14" ht="15.75" hidden="1" thickTop="1" thickBot="1">
      <c r="A164" s="1847"/>
      <c r="B164" s="1882"/>
      <c r="C164" s="2044"/>
      <c r="D164" s="2045"/>
      <c r="E164" s="2046"/>
      <c r="F164" s="2047"/>
      <c r="G164" s="2048"/>
      <c r="H164" s="2039"/>
      <c r="I164" s="1992">
        <f t="shared" si="15"/>
        <v>0</v>
      </c>
      <c r="J164" s="2014">
        <f t="shared" si="16"/>
        <v>0</v>
      </c>
      <c r="K164" s="2040">
        <f t="shared" si="17"/>
        <v>0</v>
      </c>
      <c r="L164" s="2041"/>
      <c r="M164" s="2041"/>
      <c r="N164" s="2042">
        <f t="shared" si="18"/>
        <v>0</v>
      </c>
    </row>
    <row r="165" spans="1:14" ht="15.75" hidden="1" thickTop="1" thickBot="1">
      <c r="A165" s="1847"/>
      <c r="B165" s="1882"/>
      <c r="C165" s="2036"/>
      <c r="D165" s="1923"/>
      <c r="E165" s="2037"/>
      <c r="F165" s="1996"/>
      <c r="G165" s="2043"/>
      <c r="H165" s="2039"/>
      <c r="I165" s="1992">
        <f t="shared" si="15"/>
        <v>0</v>
      </c>
      <c r="J165" s="2014">
        <f t="shared" si="16"/>
        <v>0</v>
      </c>
      <c r="K165" s="2040">
        <f t="shared" si="17"/>
        <v>0</v>
      </c>
      <c r="L165" s="2041"/>
      <c r="M165" s="2041"/>
      <c r="N165" s="2042">
        <f t="shared" si="18"/>
        <v>0</v>
      </c>
    </row>
    <row r="166" spans="1:14" ht="15.75" hidden="1" thickTop="1" thickBot="1">
      <c r="A166" s="1847"/>
      <c r="B166" s="1889"/>
      <c r="C166" s="2036"/>
      <c r="D166" s="1923"/>
      <c r="E166" s="2037"/>
      <c r="F166" s="1940"/>
      <c r="G166" s="2038"/>
      <c r="H166" s="2039"/>
      <c r="I166" s="1992">
        <f t="shared" si="15"/>
        <v>0</v>
      </c>
      <c r="J166" s="2049">
        <f t="shared" si="16"/>
        <v>0</v>
      </c>
      <c r="K166" s="2050">
        <f t="shared" si="17"/>
        <v>0</v>
      </c>
      <c r="L166" s="2041"/>
      <c r="M166" s="2041"/>
      <c r="N166" s="2042">
        <f t="shared" si="18"/>
        <v>0</v>
      </c>
    </row>
    <row r="167" spans="1:14" ht="16.5" hidden="1" thickTop="1" thickBot="1">
      <c r="A167" s="1847"/>
      <c r="C167" s="1868"/>
      <c r="D167" s="1868"/>
      <c r="E167" s="1976"/>
      <c r="F167" s="2051"/>
      <c r="G167" s="2022"/>
      <c r="H167" s="2023" t="s">
        <v>2007</v>
      </c>
      <c r="I167" s="2052">
        <f>SUM(I149:I166)</f>
        <v>0</v>
      </c>
      <c r="J167" s="2053">
        <f>SUM(J149:J166)</f>
        <v>0</v>
      </c>
      <c r="K167" s="2054">
        <f>SUM(K149:K166)</f>
        <v>0</v>
      </c>
      <c r="L167" s="2055"/>
      <c r="M167" s="2056"/>
      <c r="N167" s="2057">
        <f>SUM(N149:N166)</f>
        <v>0</v>
      </c>
    </row>
    <row r="168" spans="1:14" ht="16.5" hidden="1" thickTop="1" thickBot="1">
      <c r="A168" s="1847"/>
      <c r="E168" s="1877"/>
      <c r="F168" s="2058">
        <f>SUM(F149:F166)</f>
        <v>0</v>
      </c>
      <c r="G168" s="1877"/>
      <c r="H168" s="1877"/>
      <c r="I168" s="2059"/>
      <c r="J168" s="1877"/>
      <c r="K168" s="2060"/>
      <c r="L168" s="2060"/>
      <c r="M168" s="2060"/>
      <c r="N168" s="2061"/>
    </row>
    <row r="169" spans="1:14" ht="16.5" hidden="1" thickTop="1" thickBot="1">
      <c r="A169" s="1847"/>
      <c r="B169" s="1858" t="s">
        <v>2008</v>
      </c>
      <c r="C169" s="1877"/>
      <c r="D169" s="1877"/>
      <c r="F169" s="1857"/>
      <c r="G169" s="1857"/>
      <c r="I169" s="1880"/>
      <c r="J169" s="1920"/>
      <c r="K169" s="2031" t="s">
        <v>1962</v>
      </c>
      <c r="L169" s="2032"/>
      <c r="M169" s="2032"/>
      <c r="N169" s="2033"/>
    </row>
    <row r="170" spans="1:14" ht="15.75" hidden="1" thickTop="1" thickBot="1">
      <c r="A170" s="1847"/>
      <c r="F170" s="1857"/>
      <c r="G170" s="1857"/>
      <c r="I170" s="1880"/>
      <c r="J170" s="1932"/>
      <c r="K170" s="2034"/>
      <c r="L170" s="2035"/>
      <c r="M170" s="2035"/>
      <c r="N170" s="2033"/>
    </row>
    <row r="171" spans="1:14" ht="15.75" hidden="1" thickTop="1" thickBot="1">
      <c r="A171" s="1847"/>
      <c r="C171" s="1984" t="s">
        <v>1994</v>
      </c>
      <c r="D171" s="1984"/>
      <c r="E171" s="1985"/>
      <c r="F171" s="1857"/>
      <c r="G171" s="1857"/>
      <c r="I171" s="1986" t="s">
        <v>1996</v>
      </c>
      <c r="J171" s="1880"/>
      <c r="K171" s="2033" t="s">
        <v>1954</v>
      </c>
      <c r="L171" s="2034"/>
      <c r="M171" s="2034"/>
      <c r="N171" s="2033" t="s">
        <v>1954</v>
      </c>
    </row>
    <row r="172" spans="1:14" ht="15.75" hidden="1" thickTop="1" thickBot="1">
      <c r="A172" s="1847"/>
      <c r="B172" s="1889"/>
      <c r="C172" s="1889"/>
      <c r="D172" s="1889"/>
      <c r="E172" s="1889"/>
      <c r="F172" s="1889"/>
      <c r="G172" s="1889"/>
      <c r="H172" s="1889"/>
      <c r="I172" s="2062"/>
      <c r="K172" s="2040">
        <f>I172*$K$170+I172</f>
        <v>0</v>
      </c>
      <c r="L172" s="2063"/>
      <c r="M172" s="2063"/>
      <c r="N172" s="2042">
        <f>+K172</f>
        <v>0</v>
      </c>
    </row>
    <row r="173" spans="1:14" ht="15.75" hidden="1" thickTop="1" thickBot="1">
      <c r="A173" s="1847"/>
      <c r="B173" s="1889"/>
      <c r="C173" s="1889"/>
      <c r="D173" s="1889"/>
      <c r="E173" s="1889"/>
      <c r="F173" s="1889"/>
      <c r="G173" s="1889"/>
      <c r="H173" s="1889"/>
      <c r="I173" s="2062"/>
      <c r="K173" s="2040">
        <f>I173*$K$170+I173</f>
        <v>0</v>
      </c>
      <c r="L173" s="2041"/>
      <c r="M173" s="2041"/>
      <c r="N173" s="2042">
        <f>+K173</f>
        <v>0</v>
      </c>
    </row>
    <row r="174" spans="1:14" ht="15.75" hidden="1" thickTop="1" thickBot="1">
      <c r="A174" s="1847"/>
      <c r="B174" s="1889"/>
      <c r="C174" s="1889"/>
      <c r="D174" s="1889"/>
      <c r="E174" s="1889"/>
      <c r="F174" s="1889"/>
      <c r="G174" s="1889"/>
      <c r="H174" s="1889"/>
      <c r="I174" s="2062"/>
      <c r="K174" s="2040">
        <f>I174*$K$170+I174</f>
        <v>0</v>
      </c>
      <c r="L174" s="2063"/>
      <c r="M174" s="2063"/>
      <c r="N174" s="2042">
        <f>+K174</f>
        <v>0</v>
      </c>
    </row>
    <row r="175" spans="1:14" ht="15.75" hidden="1" thickTop="1" thickBot="1">
      <c r="A175" s="1847"/>
      <c r="B175" s="1889"/>
      <c r="C175" s="1889"/>
      <c r="D175" s="1889"/>
      <c r="E175" s="1889"/>
      <c r="F175" s="1889"/>
      <c r="G175" s="1889"/>
      <c r="H175" s="1889"/>
      <c r="I175" s="2062"/>
      <c r="K175" s="2040">
        <f>I175*$K$170+I175</f>
        <v>0</v>
      </c>
      <c r="L175" s="2041"/>
      <c r="M175" s="2041"/>
      <c r="N175" s="2042">
        <f>+K175</f>
        <v>0</v>
      </c>
    </row>
    <row r="176" spans="1:14" ht="15.75" hidden="1" thickTop="1" thickBot="1">
      <c r="A176" s="1847"/>
      <c r="B176" s="1889"/>
      <c r="C176" s="1889"/>
      <c r="D176" s="1889"/>
      <c r="E176" s="1889"/>
      <c r="F176" s="1889"/>
      <c r="G176" s="1889"/>
      <c r="H176" s="1889"/>
      <c r="I176" s="2064"/>
      <c r="K176" s="2040">
        <f>I176*$K$170+I176</f>
        <v>0</v>
      </c>
      <c r="L176" s="2041"/>
      <c r="M176" s="2041"/>
      <c r="N176" s="2042">
        <f>+K176</f>
        <v>0</v>
      </c>
    </row>
    <row r="177" spans="1:14" ht="16.5" hidden="1" thickTop="1" thickBot="1">
      <c r="A177" s="1847"/>
      <c r="B177" s="1877"/>
      <c r="C177" s="1877"/>
      <c r="D177" s="1877"/>
      <c r="E177" s="1877"/>
      <c r="F177" s="1877"/>
      <c r="G177" s="1877"/>
      <c r="H177" s="1858" t="s">
        <v>2009</v>
      </c>
      <c r="I177" s="2052">
        <f>SUM(I172:I176)</f>
        <v>0</v>
      </c>
      <c r="J177" s="1877"/>
      <c r="K177" s="2025">
        <f>SUM(K172:K176)</f>
        <v>0</v>
      </c>
      <c r="L177" s="2055"/>
      <c r="M177" s="2055"/>
      <c r="N177" s="2025">
        <f>SUM(N172:N176)</f>
        <v>0</v>
      </c>
    </row>
    <row r="178" spans="1:14" ht="15.75" hidden="1" thickTop="1" thickBot="1">
      <c r="A178" s="1847"/>
      <c r="K178" s="2032"/>
      <c r="L178" s="2032"/>
      <c r="M178" s="2032"/>
      <c r="N178" s="2065"/>
    </row>
    <row r="179" spans="1:14" ht="16.5" hidden="1" thickTop="1" thickBot="1">
      <c r="A179" s="1847"/>
      <c r="B179" s="1926"/>
      <c r="C179" s="1877"/>
      <c r="D179" s="1877"/>
      <c r="E179" s="1877"/>
      <c r="F179" s="1858"/>
      <c r="G179" s="1877"/>
      <c r="H179" s="1877"/>
      <c r="I179" s="1877"/>
      <c r="J179" s="1858" t="s">
        <v>2010</v>
      </c>
      <c r="K179" s="2066">
        <f>+K167+K177</f>
        <v>0</v>
      </c>
      <c r="L179" s="2060"/>
      <c r="M179" s="2060"/>
      <c r="N179" s="2066">
        <f>+K179</f>
        <v>0</v>
      </c>
    </row>
    <row r="180" spans="1:14" ht="15.75" hidden="1" thickTop="1" thickBot="1">
      <c r="A180" s="1847"/>
      <c r="B180" s="1928"/>
      <c r="C180" s="1928"/>
      <c r="D180" s="1928"/>
      <c r="E180" s="1928"/>
      <c r="F180" s="1928"/>
      <c r="G180" s="1928"/>
      <c r="H180" s="1928"/>
      <c r="I180" s="1928"/>
      <c r="J180" s="1928"/>
      <c r="K180" s="2027"/>
      <c r="L180" s="2027"/>
      <c r="M180" s="2027"/>
      <c r="N180" s="2028"/>
    </row>
    <row r="181" spans="1:14" ht="15.75" hidden="1" thickTop="1" thickBot="1">
      <c r="A181" s="1847"/>
      <c r="B181" s="2002"/>
      <c r="C181" s="2002"/>
      <c r="D181" s="2002"/>
      <c r="E181" s="2002"/>
      <c r="F181" s="2002"/>
      <c r="G181" s="2002"/>
      <c r="H181" s="2002"/>
      <c r="I181" s="2002"/>
      <c r="J181" s="2002"/>
      <c r="K181" s="2029"/>
      <c r="L181" s="2029"/>
      <c r="M181" s="2029"/>
      <c r="N181" s="2030"/>
    </row>
    <row r="182" spans="1:14" ht="16.5" hidden="1" thickTop="1" thickBot="1">
      <c r="A182" s="1847"/>
      <c r="B182" s="1858" t="s">
        <v>2011</v>
      </c>
      <c r="C182" s="1877" t="s">
        <v>2012</v>
      </c>
      <c r="D182" s="1877"/>
      <c r="F182" s="1857"/>
      <c r="G182" s="1857"/>
      <c r="I182" s="1880"/>
      <c r="J182" s="1920" t="s">
        <v>1961</v>
      </c>
      <c r="K182" s="2031" t="s">
        <v>1962</v>
      </c>
      <c r="L182" s="2032"/>
      <c r="M182" s="2032"/>
      <c r="N182" s="2033"/>
    </row>
    <row r="183" spans="1:14" ht="15.75" hidden="1" thickTop="1" thickBot="1">
      <c r="A183" s="1847"/>
      <c r="F183" s="1857"/>
      <c r="G183" s="1857"/>
      <c r="I183" s="1880"/>
      <c r="J183" s="1932"/>
      <c r="K183" s="2034"/>
      <c r="L183" s="2035"/>
      <c r="M183" s="2035"/>
      <c r="N183" s="2033"/>
    </row>
    <row r="184" spans="1:14" ht="15.75" hidden="1" thickTop="1" thickBot="1">
      <c r="A184" s="1847"/>
      <c r="B184" s="1847" t="s">
        <v>1993</v>
      </c>
      <c r="C184" s="1984" t="s">
        <v>1994</v>
      </c>
      <c r="D184" s="1984"/>
      <c r="E184" s="1985"/>
      <c r="F184" s="1857" t="s">
        <v>1596</v>
      </c>
      <c r="G184" s="1857" t="s">
        <v>2006</v>
      </c>
      <c r="I184" s="1986" t="s">
        <v>1996</v>
      </c>
      <c r="J184" s="1880"/>
      <c r="K184" s="2033" t="s">
        <v>1954</v>
      </c>
      <c r="L184" s="2034"/>
      <c r="M184" s="2034"/>
      <c r="N184" s="2033" t="s">
        <v>1954</v>
      </c>
    </row>
    <row r="185" spans="1:14" ht="15.75" hidden="1" thickTop="1" thickBot="1">
      <c r="A185" s="1847"/>
      <c r="B185" s="1889"/>
      <c r="C185" s="2036"/>
      <c r="D185" s="1923"/>
      <c r="E185" s="2037"/>
      <c r="F185" s="1940"/>
      <c r="G185" s="2038"/>
      <c r="H185" s="2039"/>
      <c r="I185" s="1992">
        <f t="shared" ref="I185:I206" si="19">($F185*$G185)</f>
        <v>0</v>
      </c>
      <c r="J185" s="2014">
        <f t="shared" ref="J185:J206" si="20">I185*$J$183+I185</f>
        <v>0</v>
      </c>
      <c r="K185" s="2040">
        <f>J185*$K$183+J185</f>
        <v>0</v>
      </c>
      <c r="L185" s="2041"/>
      <c r="M185" s="2041"/>
      <c r="N185" s="2042">
        <f>+K185</f>
        <v>0</v>
      </c>
    </row>
    <row r="186" spans="1:14" ht="15.75" hidden="1" thickTop="1" thickBot="1">
      <c r="A186" s="1847"/>
      <c r="B186" s="1889"/>
      <c r="C186" s="2036"/>
      <c r="D186" s="1923"/>
      <c r="E186" s="2037"/>
      <c r="F186" s="1940"/>
      <c r="G186" s="2038"/>
      <c r="H186" s="2039"/>
      <c r="I186" s="1992">
        <f t="shared" si="19"/>
        <v>0</v>
      </c>
      <c r="J186" s="2014">
        <f t="shared" si="20"/>
        <v>0</v>
      </c>
      <c r="K186" s="2040">
        <f t="shared" ref="K186:K206" si="21">J186*$K$183+J186</f>
        <v>0</v>
      </c>
      <c r="L186" s="2041"/>
      <c r="M186" s="2041"/>
      <c r="N186" s="2042">
        <f t="shared" ref="N186:N206" si="22">+K186</f>
        <v>0</v>
      </c>
    </row>
    <row r="187" spans="1:14" ht="15.75" hidden="1" thickTop="1" thickBot="1">
      <c r="A187" s="1847"/>
      <c r="B187" s="1889"/>
      <c r="C187" s="2036"/>
      <c r="D187" s="1923"/>
      <c r="E187" s="2037"/>
      <c r="F187" s="1940"/>
      <c r="G187" s="2038"/>
      <c r="H187" s="2039"/>
      <c r="I187" s="1992">
        <f t="shared" si="19"/>
        <v>0</v>
      </c>
      <c r="J187" s="2014">
        <f t="shared" si="20"/>
        <v>0</v>
      </c>
      <c r="K187" s="2040">
        <f t="shared" si="21"/>
        <v>0</v>
      </c>
      <c r="L187" s="2041"/>
      <c r="M187" s="2041"/>
      <c r="N187" s="2042">
        <f t="shared" si="22"/>
        <v>0</v>
      </c>
    </row>
    <row r="188" spans="1:14" ht="15.75" hidden="1" thickTop="1" thickBot="1">
      <c r="A188" s="1847"/>
      <c r="B188" s="1889"/>
      <c r="C188" s="2036"/>
      <c r="D188" s="1923"/>
      <c r="E188" s="2037"/>
      <c r="F188" s="1940"/>
      <c r="G188" s="2038"/>
      <c r="H188" s="2039"/>
      <c r="I188" s="1992">
        <f t="shared" si="19"/>
        <v>0</v>
      </c>
      <c r="J188" s="2014">
        <f t="shared" si="20"/>
        <v>0</v>
      </c>
      <c r="K188" s="2040">
        <f t="shared" si="21"/>
        <v>0</v>
      </c>
      <c r="L188" s="2041"/>
      <c r="M188" s="2041"/>
      <c r="N188" s="2042">
        <f t="shared" si="22"/>
        <v>0</v>
      </c>
    </row>
    <row r="189" spans="1:14" ht="15.75" hidden="1" thickTop="1" thickBot="1">
      <c r="A189" s="1847"/>
      <c r="B189" s="1889"/>
      <c r="C189" s="2036"/>
      <c r="D189" s="1923"/>
      <c r="E189" s="2037"/>
      <c r="F189" s="1940"/>
      <c r="G189" s="2038"/>
      <c r="H189" s="2039"/>
      <c r="I189" s="1992">
        <f t="shared" si="19"/>
        <v>0</v>
      </c>
      <c r="J189" s="2014">
        <f t="shared" si="20"/>
        <v>0</v>
      </c>
      <c r="K189" s="2040">
        <f t="shared" si="21"/>
        <v>0</v>
      </c>
      <c r="L189" s="2041"/>
      <c r="M189" s="2041"/>
      <c r="N189" s="2042">
        <f t="shared" si="22"/>
        <v>0</v>
      </c>
    </row>
    <row r="190" spans="1:14" ht="15.75" hidden="1" thickTop="1" thickBot="1">
      <c r="A190" s="1847"/>
      <c r="B190" s="1889"/>
      <c r="C190" s="2036"/>
      <c r="D190" s="1923"/>
      <c r="E190" s="2037"/>
      <c r="F190" s="1940"/>
      <c r="G190" s="2038"/>
      <c r="H190" s="2039"/>
      <c r="I190" s="1992">
        <f t="shared" si="19"/>
        <v>0</v>
      </c>
      <c r="J190" s="2014">
        <f t="shared" si="20"/>
        <v>0</v>
      </c>
      <c r="K190" s="2040">
        <f t="shared" si="21"/>
        <v>0</v>
      </c>
      <c r="L190" s="2041"/>
      <c r="M190" s="2041"/>
      <c r="N190" s="2042">
        <f t="shared" si="22"/>
        <v>0</v>
      </c>
    </row>
    <row r="191" spans="1:14" ht="15.75" hidden="1" thickTop="1" thickBot="1">
      <c r="A191" s="1847"/>
      <c r="B191" s="1889"/>
      <c r="C191" s="2036"/>
      <c r="D191" s="1923"/>
      <c r="E191" s="2037"/>
      <c r="F191" s="1940"/>
      <c r="G191" s="2038"/>
      <c r="H191" s="2039"/>
      <c r="I191" s="1992">
        <f t="shared" si="19"/>
        <v>0</v>
      </c>
      <c r="J191" s="2014">
        <f t="shared" si="20"/>
        <v>0</v>
      </c>
      <c r="K191" s="2040">
        <f t="shared" si="21"/>
        <v>0</v>
      </c>
      <c r="L191" s="2041"/>
      <c r="M191" s="2041"/>
      <c r="N191" s="2042">
        <f t="shared" si="22"/>
        <v>0</v>
      </c>
    </row>
    <row r="192" spans="1:14" ht="15.75" hidden="1" thickTop="1" thickBot="1">
      <c r="A192" s="1847"/>
      <c r="B192" s="1889"/>
      <c r="C192" s="2036"/>
      <c r="D192" s="1923"/>
      <c r="E192" s="2037"/>
      <c r="F192" s="1940"/>
      <c r="G192" s="2038"/>
      <c r="H192" s="2039"/>
      <c r="I192" s="1992">
        <f t="shared" si="19"/>
        <v>0</v>
      </c>
      <c r="J192" s="2014">
        <f t="shared" si="20"/>
        <v>0</v>
      </c>
      <c r="K192" s="2040">
        <f t="shared" si="21"/>
        <v>0</v>
      </c>
      <c r="L192" s="2041"/>
      <c r="M192" s="2041"/>
      <c r="N192" s="2042">
        <f t="shared" si="22"/>
        <v>0</v>
      </c>
    </row>
    <row r="193" spans="1:14" ht="15.75" hidden="1" thickTop="1" thickBot="1">
      <c r="A193" s="1847"/>
      <c r="B193" s="1889"/>
      <c r="C193" s="2036"/>
      <c r="D193" s="1923"/>
      <c r="E193" s="2037"/>
      <c r="F193" s="1940"/>
      <c r="G193" s="2038"/>
      <c r="H193" s="2039"/>
      <c r="I193" s="1992">
        <f t="shared" si="19"/>
        <v>0</v>
      </c>
      <c r="J193" s="2014">
        <f t="shared" si="20"/>
        <v>0</v>
      </c>
      <c r="K193" s="2040">
        <f t="shared" si="21"/>
        <v>0</v>
      </c>
      <c r="L193" s="2041"/>
      <c r="M193" s="2041"/>
      <c r="N193" s="2042">
        <f t="shared" si="22"/>
        <v>0</v>
      </c>
    </row>
    <row r="194" spans="1:14" ht="15.75" hidden="1" thickTop="1" thickBot="1">
      <c r="A194" s="1847"/>
      <c r="B194" s="1889"/>
      <c r="C194" s="2036"/>
      <c r="D194" s="1923"/>
      <c r="E194" s="2037"/>
      <c r="F194" s="1940"/>
      <c r="G194" s="2038"/>
      <c r="H194" s="2039"/>
      <c r="I194" s="1992">
        <f t="shared" si="19"/>
        <v>0</v>
      </c>
      <c r="J194" s="2014">
        <f t="shared" si="20"/>
        <v>0</v>
      </c>
      <c r="K194" s="2040">
        <f t="shared" si="21"/>
        <v>0</v>
      </c>
      <c r="L194" s="2041"/>
      <c r="M194" s="2041"/>
      <c r="N194" s="2042">
        <f t="shared" si="22"/>
        <v>0</v>
      </c>
    </row>
    <row r="195" spans="1:14" ht="15.75" hidden="1" thickTop="1" thickBot="1">
      <c r="A195" s="1847"/>
      <c r="B195" s="1889"/>
      <c r="C195" s="2036"/>
      <c r="D195" s="1923"/>
      <c r="E195" s="2037"/>
      <c r="F195" s="1940"/>
      <c r="G195" s="2038"/>
      <c r="H195" s="2039"/>
      <c r="I195" s="1992">
        <f t="shared" si="19"/>
        <v>0</v>
      </c>
      <c r="J195" s="2014">
        <f t="shared" si="20"/>
        <v>0</v>
      </c>
      <c r="K195" s="2040">
        <f t="shared" si="21"/>
        <v>0</v>
      </c>
      <c r="L195" s="2041"/>
      <c r="M195" s="2041"/>
      <c r="N195" s="2042">
        <f t="shared" si="22"/>
        <v>0</v>
      </c>
    </row>
    <row r="196" spans="1:14" ht="15.75" hidden="1" thickTop="1" thickBot="1">
      <c r="A196" s="1847"/>
      <c r="B196" s="1889"/>
      <c r="C196" s="2036"/>
      <c r="D196" s="1923"/>
      <c r="E196" s="2037"/>
      <c r="F196" s="1940"/>
      <c r="G196" s="2038"/>
      <c r="H196" s="2039"/>
      <c r="I196" s="1992">
        <f t="shared" si="19"/>
        <v>0</v>
      </c>
      <c r="J196" s="2014">
        <f t="shared" si="20"/>
        <v>0</v>
      </c>
      <c r="K196" s="2040">
        <f t="shared" si="21"/>
        <v>0</v>
      </c>
      <c r="L196" s="2041"/>
      <c r="M196" s="2041"/>
      <c r="N196" s="2042">
        <f t="shared" si="22"/>
        <v>0</v>
      </c>
    </row>
    <row r="197" spans="1:14" ht="15.75" hidden="1" thickTop="1" thickBot="1">
      <c r="A197" s="1847"/>
      <c r="B197" s="1889"/>
      <c r="C197" s="2036"/>
      <c r="D197" s="1923"/>
      <c r="E197" s="2037"/>
      <c r="F197" s="1940"/>
      <c r="G197" s="2038"/>
      <c r="H197" s="2039"/>
      <c r="I197" s="1992">
        <f t="shared" si="19"/>
        <v>0</v>
      </c>
      <c r="J197" s="2014">
        <f t="shared" si="20"/>
        <v>0</v>
      </c>
      <c r="K197" s="2040">
        <f t="shared" si="21"/>
        <v>0</v>
      </c>
      <c r="L197" s="2041"/>
      <c r="M197" s="2041"/>
      <c r="N197" s="2042">
        <f t="shared" si="22"/>
        <v>0</v>
      </c>
    </row>
    <row r="198" spans="1:14" ht="15.75" hidden="1" thickTop="1" thickBot="1">
      <c r="A198" s="1847"/>
      <c r="B198" s="1889"/>
      <c r="C198" s="2036"/>
      <c r="D198" s="1923"/>
      <c r="E198" s="2037"/>
      <c r="F198" s="1940"/>
      <c r="G198" s="2038"/>
      <c r="H198" s="2039"/>
      <c r="I198" s="1992">
        <f t="shared" si="19"/>
        <v>0</v>
      </c>
      <c r="J198" s="2014">
        <f t="shared" si="20"/>
        <v>0</v>
      </c>
      <c r="K198" s="2040">
        <f t="shared" si="21"/>
        <v>0</v>
      </c>
      <c r="L198" s="2041"/>
      <c r="M198" s="2041"/>
      <c r="N198" s="2042">
        <f t="shared" si="22"/>
        <v>0</v>
      </c>
    </row>
    <row r="199" spans="1:14" ht="15.75" hidden="1" thickTop="1" thickBot="1">
      <c r="A199" s="1847"/>
      <c r="B199" s="1889"/>
      <c r="C199" s="2036"/>
      <c r="D199" s="1923"/>
      <c r="E199" s="2037"/>
      <c r="F199" s="1940"/>
      <c r="G199" s="2038"/>
      <c r="H199" s="2039"/>
      <c r="I199" s="1992">
        <f t="shared" si="19"/>
        <v>0</v>
      </c>
      <c r="J199" s="2014">
        <f t="shared" si="20"/>
        <v>0</v>
      </c>
      <c r="K199" s="2040">
        <f t="shared" si="21"/>
        <v>0</v>
      </c>
      <c r="L199" s="2041"/>
      <c r="M199" s="2041"/>
      <c r="N199" s="2042">
        <f t="shared" si="22"/>
        <v>0</v>
      </c>
    </row>
    <row r="200" spans="1:14" ht="15.75" hidden="1" thickTop="1" thickBot="1">
      <c r="A200" s="1847"/>
      <c r="B200" s="1882"/>
      <c r="C200" s="2036"/>
      <c r="D200" s="1923"/>
      <c r="E200" s="2037"/>
      <c r="F200" s="1996"/>
      <c r="G200" s="2043"/>
      <c r="H200" s="2039"/>
      <c r="I200" s="1992">
        <f t="shared" si="19"/>
        <v>0</v>
      </c>
      <c r="J200" s="2014">
        <f t="shared" si="20"/>
        <v>0</v>
      </c>
      <c r="K200" s="2040">
        <f t="shared" si="21"/>
        <v>0</v>
      </c>
      <c r="L200" s="2041"/>
      <c r="M200" s="2041"/>
      <c r="N200" s="2042">
        <f t="shared" si="22"/>
        <v>0</v>
      </c>
    </row>
    <row r="201" spans="1:14" ht="15.75" hidden="1" thickTop="1" thickBot="1">
      <c r="A201" s="1847"/>
      <c r="B201" s="1882"/>
      <c r="C201" s="2036"/>
      <c r="D201" s="1923"/>
      <c r="E201" s="2037"/>
      <c r="F201" s="1996"/>
      <c r="G201" s="2043"/>
      <c r="H201" s="2039"/>
      <c r="I201" s="1992">
        <f t="shared" si="19"/>
        <v>0</v>
      </c>
      <c r="J201" s="2014">
        <f t="shared" si="20"/>
        <v>0</v>
      </c>
      <c r="K201" s="2040">
        <f t="shared" si="21"/>
        <v>0</v>
      </c>
      <c r="L201" s="2041"/>
      <c r="M201" s="2041"/>
      <c r="N201" s="2042">
        <f t="shared" si="22"/>
        <v>0</v>
      </c>
    </row>
    <row r="202" spans="1:14" ht="15.75" hidden="1" thickTop="1" thickBot="1">
      <c r="A202" s="1847"/>
      <c r="B202" s="1882"/>
      <c r="C202" s="2036"/>
      <c r="D202" s="1923"/>
      <c r="E202" s="2037"/>
      <c r="F202" s="1996"/>
      <c r="G202" s="2043"/>
      <c r="H202" s="2039"/>
      <c r="I202" s="1992">
        <f t="shared" si="19"/>
        <v>0</v>
      </c>
      <c r="J202" s="2014">
        <f t="shared" si="20"/>
        <v>0</v>
      </c>
      <c r="K202" s="2040">
        <f t="shared" si="21"/>
        <v>0</v>
      </c>
      <c r="L202" s="2041"/>
      <c r="M202" s="2041"/>
      <c r="N202" s="2042">
        <f t="shared" si="22"/>
        <v>0</v>
      </c>
    </row>
    <row r="203" spans="1:14" ht="15.75" hidden="1" thickTop="1" thickBot="1">
      <c r="A203" s="1847"/>
      <c r="B203" s="1882"/>
      <c r="C203" s="2036"/>
      <c r="D203" s="1923"/>
      <c r="E203" s="2037"/>
      <c r="F203" s="1996"/>
      <c r="G203" s="2043"/>
      <c r="H203" s="2039"/>
      <c r="I203" s="1992">
        <f t="shared" si="19"/>
        <v>0</v>
      </c>
      <c r="J203" s="2014">
        <f t="shared" si="20"/>
        <v>0</v>
      </c>
      <c r="K203" s="2040">
        <f t="shared" si="21"/>
        <v>0</v>
      </c>
      <c r="L203" s="2041"/>
      <c r="M203" s="2041"/>
      <c r="N203" s="2042">
        <f t="shared" si="22"/>
        <v>0</v>
      </c>
    </row>
    <row r="204" spans="1:14" ht="15.75" hidden="1" thickTop="1" thickBot="1">
      <c r="A204" s="1847"/>
      <c r="B204" s="1882"/>
      <c r="C204" s="2036"/>
      <c r="D204" s="1923"/>
      <c r="E204" s="2037"/>
      <c r="F204" s="1996"/>
      <c r="G204" s="2043"/>
      <c r="H204" s="2039"/>
      <c r="I204" s="1992">
        <f t="shared" si="19"/>
        <v>0</v>
      </c>
      <c r="J204" s="2014">
        <f t="shared" si="20"/>
        <v>0</v>
      </c>
      <c r="K204" s="2040">
        <f t="shared" si="21"/>
        <v>0</v>
      </c>
      <c r="L204" s="2041"/>
      <c r="M204" s="2041"/>
      <c r="N204" s="2042">
        <f t="shared" si="22"/>
        <v>0</v>
      </c>
    </row>
    <row r="205" spans="1:14" ht="15.75" hidden="1" thickTop="1" thickBot="1">
      <c r="A205" s="1847"/>
      <c r="B205" s="1882"/>
      <c r="C205" s="2036"/>
      <c r="D205" s="1923"/>
      <c r="E205" s="2037"/>
      <c r="F205" s="1996"/>
      <c r="G205" s="2043"/>
      <c r="H205" s="2039"/>
      <c r="I205" s="1992">
        <f t="shared" si="19"/>
        <v>0</v>
      </c>
      <c r="J205" s="2014">
        <f t="shared" si="20"/>
        <v>0</v>
      </c>
      <c r="K205" s="2040">
        <f t="shared" si="21"/>
        <v>0</v>
      </c>
      <c r="L205" s="2041"/>
      <c r="M205" s="2041"/>
      <c r="N205" s="2042">
        <f t="shared" si="22"/>
        <v>0</v>
      </c>
    </row>
    <row r="206" spans="1:14" ht="15.75" hidden="1" thickTop="1" thickBot="1">
      <c r="A206" s="1847"/>
      <c r="B206" s="1889"/>
      <c r="C206" s="2036"/>
      <c r="D206" s="1923"/>
      <c r="E206" s="2037"/>
      <c r="F206" s="1940"/>
      <c r="G206" s="2038"/>
      <c r="H206" s="2039"/>
      <c r="I206" s="1992">
        <f t="shared" si="19"/>
        <v>0</v>
      </c>
      <c r="J206" s="2014">
        <f t="shared" si="20"/>
        <v>0</v>
      </c>
      <c r="K206" s="2050">
        <f t="shared" si="21"/>
        <v>0</v>
      </c>
      <c r="L206" s="2041"/>
      <c r="M206" s="2041"/>
      <c r="N206" s="2042">
        <f t="shared" si="22"/>
        <v>0</v>
      </c>
    </row>
    <row r="207" spans="1:14" ht="16.5" hidden="1" thickTop="1" thickBot="1">
      <c r="A207" s="1847"/>
      <c r="B207" s="1848"/>
      <c r="C207" s="1868"/>
      <c r="D207" s="1868"/>
      <c r="E207" s="1976"/>
      <c r="F207" s="2051"/>
      <c r="G207" s="2022"/>
      <c r="H207" s="2023" t="s">
        <v>2013</v>
      </c>
      <c r="I207" s="2052">
        <f>SUM(I185:I206)</f>
        <v>0</v>
      </c>
      <c r="J207" s="2053">
        <f>SUM(J185:J206)</f>
        <v>0</v>
      </c>
      <c r="K207" s="2067">
        <f>SUM(K185:K206)</f>
        <v>0</v>
      </c>
      <c r="L207" s="2026"/>
      <c r="M207" s="2026"/>
      <c r="N207" s="2067">
        <f>SUM(N185:N206)</f>
        <v>0</v>
      </c>
    </row>
    <row r="208" spans="1:14" ht="16.5" hidden="1" thickTop="1" thickBot="1">
      <c r="A208" s="1847"/>
      <c r="E208" s="1877"/>
      <c r="F208" s="1877"/>
      <c r="G208" s="1877"/>
      <c r="H208" s="1926" t="s">
        <v>2014</v>
      </c>
      <c r="I208" s="2059"/>
      <c r="J208" s="1877"/>
      <c r="K208" s="2060"/>
      <c r="L208" s="2060"/>
      <c r="M208" s="2060"/>
      <c r="N208" s="2061"/>
    </row>
    <row r="209" spans="1:18" ht="15.75" hidden="1" thickTop="1" thickBot="1">
      <c r="A209" s="1847"/>
      <c r="B209" s="1928"/>
      <c r="C209" s="1928"/>
      <c r="D209" s="1928"/>
      <c r="E209" s="1928"/>
      <c r="F209" s="1928"/>
      <c r="G209" s="1928"/>
      <c r="H209" s="1928"/>
      <c r="I209" s="1928"/>
      <c r="J209" s="1928"/>
      <c r="K209" s="1928"/>
      <c r="L209" s="1928"/>
      <c r="M209" s="1928"/>
      <c r="N209" s="1930"/>
    </row>
    <row r="210" spans="1:18" ht="15" thickTop="1">
      <c r="A210" s="1847"/>
      <c r="B210" s="2002"/>
      <c r="C210" s="2002"/>
      <c r="D210" s="2002"/>
      <c r="E210" s="2002"/>
      <c r="F210" s="2002"/>
      <c r="G210" s="2002"/>
      <c r="H210" s="2002"/>
      <c r="I210" s="2002"/>
      <c r="J210" s="2002"/>
      <c r="K210" s="2002"/>
      <c r="L210" s="2002"/>
      <c r="M210" s="2002"/>
      <c r="N210" s="2003"/>
    </row>
    <row r="211" spans="1:18" ht="15">
      <c r="A211" s="1847"/>
      <c r="B211" s="1926" t="s">
        <v>2015</v>
      </c>
      <c r="C211" s="1901"/>
      <c r="D211" s="2068"/>
      <c r="E211" s="2068"/>
      <c r="F211" s="1920"/>
      <c r="G211" s="1857"/>
      <c r="I211" s="1880"/>
      <c r="J211" s="1920" t="s">
        <v>1961</v>
      </c>
      <c r="K211" s="1920" t="s">
        <v>1962</v>
      </c>
      <c r="N211" s="1880"/>
    </row>
    <row r="212" spans="1:18">
      <c r="A212" s="1847"/>
      <c r="D212" s="2069"/>
      <c r="E212" s="2069"/>
      <c r="F212" s="1920"/>
      <c r="G212" s="1857"/>
      <c r="I212" s="1880"/>
      <c r="J212" s="2070">
        <v>0.02</v>
      </c>
      <c r="K212" s="2071">
        <v>0.05</v>
      </c>
      <c r="L212" s="1934"/>
      <c r="M212" s="1934"/>
      <c r="N212" s="1880"/>
    </row>
    <row r="213" spans="1:18">
      <c r="A213" s="1847"/>
      <c r="B213" s="1847" t="s">
        <v>1993</v>
      </c>
      <c r="C213" s="1984" t="s">
        <v>1994</v>
      </c>
      <c r="D213" s="2072"/>
      <c r="E213" s="2073"/>
      <c r="F213" s="1920"/>
      <c r="G213" s="1857" t="s">
        <v>2016</v>
      </c>
      <c r="I213" s="1986" t="s">
        <v>1996</v>
      </c>
      <c r="J213" s="1880" t="s">
        <v>1954</v>
      </c>
      <c r="K213" s="1880" t="s">
        <v>1954</v>
      </c>
      <c r="L213" s="1932"/>
      <c r="M213" s="1932"/>
      <c r="N213" s="1880" t="s">
        <v>1954</v>
      </c>
    </row>
    <row r="214" spans="1:18" ht="36" customHeight="1">
      <c r="A214" s="1847"/>
      <c r="B214" s="2074">
        <v>1</v>
      </c>
      <c r="C214" s="4330" t="str">
        <f ca="1">'Sumary Crayola'!$K$6</f>
        <v>Carton, (size 14.3x19.77x15.52 inch), 150pcs/ctn</v>
      </c>
      <c r="D214" s="4331"/>
      <c r="E214" s="4332"/>
      <c r="F214" s="2075">
        <v>1</v>
      </c>
      <c r="G214" s="2076">
        <f ca="1">IF(F214=0,0,'Sumary Crayola'!$K$32/$F214/(1+$J$212)/(1+$K$212))</f>
        <v>219.05309273789183</v>
      </c>
      <c r="H214" s="2013"/>
      <c r="I214" s="1992">
        <f t="shared" ref="I214:I219" ca="1" si="23">F214*G214</f>
        <v>219.05309273789183</v>
      </c>
      <c r="J214" s="2077">
        <f t="shared" ref="J214:J219" ca="1" si="24">I214*$J$212</f>
        <v>4.3810618547578368</v>
      </c>
      <c r="K214" s="1941">
        <f t="shared" ref="K214:K219" ca="1" si="25">(I214+J214)*$K$212</f>
        <v>11.171707729632484</v>
      </c>
      <c r="L214" s="2078">
        <f ca="1">$I214+$J214+$K214</f>
        <v>234.60586232228215</v>
      </c>
      <c r="M214" s="2078"/>
      <c r="N214" s="1943">
        <f t="shared" ref="N214:N219" ca="1" si="26">(I214+J214+K214)</f>
        <v>234.60586232228215</v>
      </c>
      <c r="P214" s="3249">
        <f ca="1">+N214/$P$131</f>
        <v>1</v>
      </c>
      <c r="Q214" s="1847">
        <f ca="1">+P214*Q$131</f>
        <v>1.2999999999999999E-2</v>
      </c>
      <c r="R214" s="1847">
        <f ca="1">+N214-Q214</f>
        <v>234.59286232228214</v>
      </c>
    </row>
    <row r="215" spans="1:18" ht="36.75" customHeight="1">
      <c r="A215" s="1847"/>
      <c r="B215" s="2074">
        <v>2</v>
      </c>
      <c r="C215" s="4330" t="str">
        <f ca="1">'Sumary Crayola'!$M$6</f>
        <v>Pallet, (size 4.61x6.25x5.5 inch), 4050pcs/pallet</v>
      </c>
      <c r="D215" s="4331"/>
      <c r="E215" s="4332"/>
      <c r="F215" s="2011">
        <f>1/(input!$H$1185*input!$H$1187)*0</f>
        <v>0</v>
      </c>
      <c r="G215" s="2076">
        <f>IF(F215=0,0,'Sumary Crayola'!$M$32/$F215/(1+$J$212)/(1+$K$212))</f>
        <v>0</v>
      </c>
      <c r="H215" s="2013"/>
      <c r="I215" s="1992">
        <f t="shared" si="23"/>
        <v>0</v>
      </c>
      <c r="J215" s="2077">
        <f t="shared" si="24"/>
        <v>0</v>
      </c>
      <c r="K215" s="1941">
        <f t="shared" si="25"/>
        <v>0</v>
      </c>
      <c r="L215" s="1936"/>
      <c r="M215" s="1936"/>
      <c r="N215" s="1943">
        <f t="shared" si="26"/>
        <v>0</v>
      </c>
    </row>
    <row r="216" spans="1:18" ht="21.75" customHeight="1">
      <c r="A216" s="1847"/>
      <c r="B216" s="2074">
        <v>3</v>
      </c>
      <c r="C216" s="4330" t="str">
        <f>'Extra cost'!$A$4</f>
        <v>Clear Tap</v>
      </c>
      <c r="D216" s="4331"/>
      <c r="E216" s="4332"/>
      <c r="F216" s="2011">
        <f>'Extra cost'!F4*0</f>
        <v>0</v>
      </c>
      <c r="G216" s="2079">
        <f ca="1">'Extra cost'!$D$11/(1+$J$212)/(1+$K$212)</f>
        <v>0</v>
      </c>
      <c r="H216" s="2013"/>
      <c r="I216" s="1992">
        <f t="shared" ca="1" si="23"/>
        <v>0</v>
      </c>
      <c r="J216" s="2077">
        <f t="shared" ca="1" si="24"/>
        <v>0</v>
      </c>
      <c r="K216" s="1941">
        <f t="shared" ca="1" si="25"/>
        <v>0</v>
      </c>
      <c r="L216" s="1936"/>
      <c r="M216" s="1936"/>
      <c r="N216" s="1943">
        <f t="shared" ca="1" si="26"/>
        <v>0</v>
      </c>
    </row>
    <row r="217" spans="1:18" ht="26.25" customHeight="1">
      <c r="A217" s="1847"/>
      <c r="B217" s="2074">
        <v>4</v>
      </c>
      <c r="C217" s="4330" t="str">
        <f>'Extra cost'!$A$13</f>
        <v>Shrinkwrap</v>
      </c>
      <c r="D217" s="4331"/>
      <c r="E217" s="4332"/>
      <c r="F217" s="2080">
        <f>'Extra cost'!F13*0</f>
        <v>0</v>
      </c>
      <c r="G217" s="2079">
        <f ca="1">'Extra cost'!D20/(1+$J$212)/(1+$K$212)</f>
        <v>512.18171593208751</v>
      </c>
      <c r="H217" s="2013"/>
      <c r="I217" s="1992">
        <f t="shared" ca="1" si="23"/>
        <v>0</v>
      </c>
      <c r="J217" s="2077">
        <f t="shared" ca="1" si="24"/>
        <v>0</v>
      </c>
      <c r="K217" s="1941">
        <f t="shared" ca="1" si="25"/>
        <v>0</v>
      </c>
      <c r="L217" s="1936"/>
      <c r="M217" s="1936"/>
      <c r="N217" s="1943">
        <f t="shared" ca="1" si="26"/>
        <v>0</v>
      </c>
    </row>
    <row r="218" spans="1:18" ht="26.25" customHeight="1">
      <c r="A218" s="1847"/>
      <c r="B218" s="2074">
        <v>5</v>
      </c>
      <c r="C218" s="4330">
        <f>'Extra cost'!$A$22</f>
        <v>0</v>
      </c>
      <c r="D218" s="4331"/>
      <c r="E218" s="4332"/>
      <c r="F218" s="2080">
        <f>'Extra cost'!F22*0</f>
        <v>0</v>
      </c>
      <c r="G218" s="2081"/>
      <c r="H218" s="2013"/>
      <c r="I218" s="1992">
        <f t="shared" si="23"/>
        <v>0</v>
      </c>
      <c r="J218" s="2077">
        <f t="shared" si="24"/>
        <v>0</v>
      </c>
      <c r="K218" s="1941">
        <f t="shared" si="25"/>
        <v>0</v>
      </c>
      <c r="L218" s="1936"/>
      <c r="M218" s="1936"/>
      <c r="N218" s="1943">
        <f t="shared" si="26"/>
        <v>0</v>
      </c>
    </row>
    <row r="219" spans="1:18" ht="31.5" customHeight="1" thickBot="1">
      <c r="A219" s="1847"/>
      <c r="B219" s="2074">
        <v>6</v>
      </c>
      <c r="C219" s="4330">
        <f>'Extra cost'!$A$31</f>
        <v>0</v>
      </c>
      <c r="D219" s="4331"/>
      <c r="E219" s="4332"/>
      <c r="F219" s="2080">
        <f>'Extra cost'!F31*0</f>
        <v>0</v>
      </c>
      <c r="G219" s="2020"/>
      <c r="H219" s="2013"/>
      <c r="I219" s="1992">
        <f t="shared" si="23"/>
        <v>0</v>
      </c>
      <c r="J219" s="2077">
        <f t="shared" si="24"/>
        <v>0</v>
      </c>
      <c r="K219" s="1941">
        <f t="shared" si="25"/>
        <v>0</v>
      </c>
      <c r="N219" s="1943">
        <f t="shared" si="26"/>
        <v>0</v>
      </c>
    </row>
    <row r="220" spans="1:18" ht="15">
      <c r="A220" s="1847"/>
      <c r="B220" s="1877"/>
      <c r="C220" s="1858"/>
      <c r="D220" s="1858"/>
      <c r="E220" s="1858"/>
      <c r="F220" s="2051"/>
      <c r="G220" s="2022"/>
      <c r="H220" s="1858" t="s">
        <v>2017</v>
      </c>
      <c r="I220" s="1946"/>
      <c r="J220" s="1946"/>
      <c r="K220" s="1981"/>
      <c r="L220" s="2082"/>
      <c r="M220" s="2082"/>
      <c r="N220" s="2057">
        <f ca="1">SUM(N214:N219)</f>
        <v>234.60586232228215</v>
      </c>
    </row>
    <row r="221" spans="1:18" ht="15" thickBot="1">
      <c r="A221" s="1847"/>
      <c r="B221" s="1928"/>
      <c r="C221" s="1928"/>
      <c r="D221" s="1928"/>
      <c r="E221" s="1928"/>
      <c r="F221" s="1928"/>
      <c r="G221" s="1928"/>
      <c r="H221" s="1928"/>
      <c r="I221" s="1928"/>
      <c r="J221" s="1928"/>
      <c r="K221" s="1928"/>
      <c r="L221" s="1928"/>
      <c r="M221" s="1928"/>
      <c r="N221" s="1930"/>
    </row>
    <row r="222" spans="1:18" ht="15" thickTop="1">
      <c r="A222" s="1847"/>
      <c r="B222" s="2002"/>
      <c r="C222" s="2002"/>
      <c r="D222" s="2002"/>
      <c r="E222" s="2002"/>
      <c r="F222" s="2002"/>
      <c r="G222" s="2002"/>
      <c r="H222" s="2002"/>
      <c r="I222" s="2002"/>
      <c r="J222" s="2002"/>
      <c r="K222" s="2002"/>
      <c r="L222" s="2002"/>
      <c r="M222" s="2002"/>
      <c r="N222" s="2003"/>
    </row>
    <row r="223" spans="1:18" ht="15">
      <c r="A223" s="1847"/>
      <c r="B223" s="1926" t="s">
        <v>2018</v>
      </c>
      <c r="C223" s="1877"/>
      <c r="D223" s="1877"/>
      <c r="F223" s="1857"/>
      <c r="G223" s="1857"/>
      <c r="I223" s="1880"/>
      <c r="J223" s="1920"/>
      <c r="K223" s="1920" t="s">
        <v>1962</v>
      </c>
      <c r="N223" s="1880"/>
    </row>
    <row r="224" spans="1:18">
      <c r="A224" s="1847"/>
      <c r="F224" s="1857"/>
      <c r="G224" s="1857"/>
      <c r="I224" s="1880"/>
      <c r="J224" s="1932"/>
      <c r="K224" s="2083">
        <v>0.13</v>
      </c>
      <c r="L224" s="1880"/>
      <c r="M224" s="1880"/>
      <c r="N224" s="1880"/>
    </row>
    <row r="225" spans="1:18">
      <c r="A225" s="1847"/>
      <c r="C225" s="1857" t="s">
        <v>1994</v>
      </c>
      <c r="D225" s="1857"/>
      <c r="E225" s="1857"/>
      <c r="F225" s="1857"/>
      <c r="G225" s="1857" t="s">
        <v>1954</v>
      </c>
      <c r="I225" s="1986" t="s">
        <v>1996</v>
      </c>
      <c r="J225" s="1880"/>
      <c r="K225" s="1880" t="s">
        <v>1954</v>
      </c>
      <c r="L225" s="1932"/>
      <c r="M225" s="1932"/>
      <c r="N225" s="1880" t="s">
        <v>1954</v>
      </c>
    </row>
    <row r="226" spans="1:18" ht="33" customHeight="1">
      <c r="A226" s="1847"/>
      <c r="B226" s="2084"/>
      <c r="C226" s="4339" t="s">
        <v>2019</v>
      </c>
      <c r="D226" s="4340"/>
      <c r="E226" s="4340"/>
      <c r="F226" s="4341"/>
      <c r="G226" s="2085">
        <f ca="1">'Sumary Crayola'!$I$32/(1+$K$224)</f>
        <v>0</v>
      </c>
      <c r="H226" s="2013"/>
      <c r="I226" s="2014">
        <f ca="1">G226</f>
        <v>0</v>
      </c>
      <c r="J226" s="2014"/>
      <c r="K226" s="1941">
        <f ca="1">I226*$K$224</f>
        <v>0</v>
      </c>
      <c r="L226" s="2078"/>
      <c r="M226" s="2078"/>
      <c r="N226" s="1943">
        <f ca="1">+K226+I226</f>
        <v>0</v>
      </c>
      <c r="P226" s="3249">
        <f ca="1">+N226/$P$131</f>
        <v>0</v>
      </c>
      <c r="Q226" s="1847">
        <f ca="1">+P226*Q$131</f>
        <v>0</v>
      </c>
      <c r="R226" s="1847">
        <f ca="1">+N226-Q226</f>
        <v>0</v>
      </c>
    </row>
    <row r="227" spans="1:18">
      <c r="A227" s="1847"/>
      <c r="B227" s="2084"/>
      <c r="C227" s="4336"/>
      <c r="D227" s="4337"/>
      <c r="E227" s="4337"/>
      <c r="F227" s="4338"/>
      <c r="G227" s="2086"/>
      <c r="I227" s="2014">
        <f>G227</f>
        <v>0</v>
      </c>
      <c r="J227" s="2014"/>
      <c r="K227" s="1941">
        <f>I227*$K$224</f>
        <v>0</v>
      </c>
      <c r="L227" s="2078"/>
      <c r="M227" s="2078"/>
      <c r="N227" s="1943">
        <f>+K227+I227</f>
        <v>0</v>
      </c>
    </row>
    <row r="228" spans="1:18">
      <c r="A228" s="1847"/>
      <c r="C228" s="4336"/>
      <c r="D228" s="4337"/>
      <c r="E228" s="4337"/>
      <c r="F228" s="4338"/>
      <c r="G228" s="2086"/>
      <c r="H228" s="2087"/>
      <c r="I228" s="2014">
        <f>G228</f>
        <v>0</v>
      </c>
      <c r="J228" s="2014"/>
      <c r="K228" s="1941">
        <f>I228*$K$224</f>
        <v>0</v>
      </c>
      <c r="L228" s="2078"/>
      <c r="M228" s="2078"/>
      <c r="N228" s="1943">
        <f>+K228+I228</f>
        <v>0</v>
      </c>
    </row>
    <row r="229" spans="1:18" ht="15.75" thickBot="1">
      <c r="A229" s="1847"/>
      <c r="B229" s="1901"/>
      <c r="C229" s="4336"/>
      <c r="D229" s="4337"/>
      <c r="E229" s="4337"/>
      <c r="F229" s="4338"/>
      <c r="G229" s="2086"/>
      <c r="H229" s="2087"/>
      <c r="I229" s="2014">
        <f>G229</f>
        <v>0</v>
      </c>
      <c r="J229" s="2014"/>
      <c r="K229" s="1941">
        <f>I229*$K$224</f>
        <v>0</v>
      </c>
      <c r="L229" s="2078"/>
      <c r="M229" s="2078"/>
      <c r="N229" s="1943">
        <f>+K229+I229</f>
        <v>0</v>
      </c>
    </row>
    <row r="230" spans="1:18" ht="15">
      <c r="A230" s="1847"/>
      <c r="B230" s="1877"/>
      <c r="C230" s="1877"/>
      <c r="D230" s="1877"/>
      <c r="E230" s="1877"/>
      <c r="F230" s="1877"/>
      <c r="G230" s="1877"/>
      <c r="H230" s="1858" t="s">
        <v>2020</v>
      </c>
      <c r="I230" s="2088"/>
      <c r="J230" s="2088"/>
      <c r="K230" s="2089">
        <f>SUM(K229:K229)</f>
        <v>0</v>
      </c>
      <c r="L230" s="2082"/>
      <c r="M230" s="2082"/>
      <c r="N230" s="2057">
        <f ca="1">SUM(N226:N229)</f>
        <v>0</v>
      </c>
    </row>
    <row r="231" spans="1:18">
      <c r="J231" s="1868"/>
      <c r="N231" s="1878"/>
    </row>
    <row r="232" spans="1:18" ht="15">
      <c r="B232" s="1901" t="s">
        <v>2021</v>
      </c>
      <c r="H232" s="1868"/>
      <c r="I232" s="1936"/>
      <c r="K232" s="1880"/>
      <c r="L232" s="1936"/>
      <c r="M232" s="1936"/>
      <c r="N232" s="1880"/>
    </row>
    <row r="233" spans="1:18" ht="15" thickBot="1">
      <c r="B233" s="1928"/>
      <c r="C233" s="1928"/>
      <c r="D233" s="1928"/>
      <c r="E233" s="1928"/>
      <c r="F233" s="1928"/>
      <c r="G233" s="1928"/>
      <c r="H233" s="1928"/>
      <c r="I233" s="1928"/>
      <c r="J233" s="1928"/>
      <c r="K233" s="1928"/>
      <c r="L233" s="1928"/>
      <c r="M233" s="1928"/>
      <c r="N233" s="1930"/>
    </row>
    <row r="234" spans="1:18" ht="15.75" thickTop="1">
      <c r="A234" s="2090"/>
      <c r="B234" s="2091" t="s">
        <v>2022</v>
      </c>
      <c r="C234" s="2092"/>
      <c r="D234" s="2002"/>
      <c r="E234" s="2002"/>
      <c r="F234" s="2002"/>
      <c r="G234" s="2002"/>
      <c r="H234" s="2002"/>
      <c r="I234" s="2002"/>
      <c r="J234" s="2002"/>
      <c r="K234" s="2002"/>
      <c r="L234" s="2002"/>
      <c r="M234" s="2002"/>
      <c r="N234" s="2003"/>
    </row>
    <row r="235" spans="1:18" ht="15" customHeight="1">
      <c r="B235" s="2093">
        <v>1</v>
      </c>
      <c r="C235" s="2093"/>
      <c r="D235" s="2094"/>
      <c r="E235" s="2094"/>
      <c r="F235" s="2094"/>
      <c r="G235" s="2094"/>
      <c r="H235" s="2094"/>
      <c r="I235" s="2094"/>
      <c r="J235" s="2094"/>
      <c r="K235" s="2094"/>
      <c r="L235" s="2094"/>
      <c r="M235" s="2094"/>
      <c r="N235" s="2094"/>
    </row>
    <row r="236" spans="1:18" ht="15">
      <c r="B236" s="2095"/>
      <c r="C236" s="2094"/>
      <c r="D236" s="2094"/>
      <c r="E236" s="2094"/>
      <c r="F236" s="2094"/>
      <c r="G236" s="2094"/>
      <c r="H236" s="2094"/>
      <c r="I236" s="2094"/>
      <c r="J236" s="2094"/>
      <c r="K236" s="2094"/>
      <c r="L236" s="2094"/>
      <c r="M236" s="2094"/>
      <c r="N236" s="2094"/>
    </row>
    <row r="237" spans="1:18" ht="15">
      <c r="B237" s="2093">
        <v>2</v>
      </c>
      <c r="C237" s="2091"/>
      <c r="D237" s="2096"/>
      <c r="E237" s="2097"/>
      <c r="F237" s="2097"/>
      <c r="G237" s="2097"/>
      <c r="H237" s="2097"/>
      <c r="I237" s="2097"/>
      <c r="J237" s="2097"/>
      <c r="K237" s="2097"/>
      <c r="L237" s="2097"/>
      <c r="M237" s="2097"/>
      <c r="N237" s="2097"/>
    </row>
    <row r="238" spans="1:18" ht="15">
      <c r="B238" s="2096"/>
      <c r="C238" s="2096"/>
      <c r="D238" s="2098"/>
      <c r="F238" s="2098"/>
      <c r="G238" s="2098"/>
      <c r="H238" s="2098"/>
      <c r="I238" s="2098"/>
      <c r="J238" s="2098"/>
      <c r="K238" s="2098"/>
      <c r="L238" s="2098"/>
      <c r="M238" s="2098"/>
      <c r="N238" s="2099"/>
    </row>
    <row r="239" spans="1:18" ht="15">
      <c r="B239" s="2093">
        <v>3</v>
      </c>
      <c r="C239" s="2091"/>
      <c r="D239" s="2100"/>
      <c r="F239" s="2100"/>
      <c r="G239" s="2100"/>
      <c r="H239" s="2100"/>
      <c r="I239" s="2100"/>
      <c r="J239" s="2100"/>
      <c r="K239" s="2100"/>
      <c r="L239" s="2100"/>
      <c r="M239" s="2100"/>
      <c r="N239" s="2100"/>
    </row>
    <row r="240" spans="1:18">
      <c r="F240" s="1908"/>
      <c r="G240" s="1935"/>
      <c r="I240" s="1936"/>
      <c r="J240" s="1937"/>
      <c r="K240" s="1936"/>
      <c r="L240" s="1936"/>
      <c r="M240" s="1936"/>
      <c r="N240" s="1880"/>
    </row>
    <row r="241" spans="1:14" ht="15">
      <c r="A241" s="1847"/>
      <c r="C241" s="2101"/>
    </row>
    <row r="242" spans="1:14" ht="15">
      <c r="A242" s="1847"/>
      <c r="C242" s="2103"/>
      <c r="D242" s="2104"/>
      <c r="E242" s="2104"/>
      <c r="N242" s="1847"/>
    </row>
    <row r="243" spans="1:14">
      <c r="A243" s="1847"/>
      <c r="C243" s="1868"/>
      <c r="E243" s="2104"/>
      <c r="N243" s="1847"/>
    </row>
    <row r="244" spans="1:14">
      <c r="A244" s="1847"/>
      <c r="C244" s="1868"/>
      <c r="E244" s="2104"/>
      <c r="N244" s="1847"/>
    </row>
    <row r="245" spans="1:14">
      <c r="A245" s="1847"/>
      <c r="C245" s="1868"/>
      <c r="D245" s="1932"/>
      <c r="E245" s="2104"/>
      <c r="N245" s="1847"/>
    </row>
    <row r="246" spans="1:14">
      <c r="A246" s="1847"/>
      <c r="C246" s="2105"/>
      <c r="D246" s="2104"/>
      <c r="E246" s="2104"/>
      <c r="N246" s="1847"/>
    </row>
    <row r="247" spans="1:14">
      <c r="A247" s="1847"/>
      <c r="C247" s="2105"/>
      <c r="D247" s="2104"/>
      <c r="E247" s="2104"/>
      <c r="N247" s="1847"/>
    </row>
    <row r="248" spans="1:14">
      <c r="A248" s="1847"/>
      <c r="C248" s="2105"/>
      <c r="D248" s="2106"/>
      <c r="E248" s="2104"/>
      <c r="N248" s="1847"/>
    </row>
    <row r="249" spans="1:14">
      <c r="A249" s="1847"/>
      <c r="N249" s="1847"/>
    </row>
    <row r="250" spans="1:14">
      <c r="A250" s="1847"/>
      <c r="N250" s="1847"/>
    </row>
    <row r="251" spans="1:14">
      <c r="A251" s="1847"/>
      <c r="N251" s="1847"/>
    </row>
    <row r="252" spans="1:14">
      <c r="A252" s="1847"/>
      <c r="N252" s="1847"/>
    </row>
    <row r="253" spans="1:14">
      <c r="A253" s="1847"/>
      <c r="N253" s="1847"/>
    </row>
    <row r="254" spans="1:14">
      <c r="A254" s="1847"/>
      <c r="N254" s="1847"/>
    </row>
    <row r="255" spans="1:14">
      <c r="A255" s="1847"/>
      <c r="N255" s="1847"/>
    </row>
    <row r="256" spans="1:14">
      <c r="A256" s="1847"/>
      <c r="N256" s="1847"/>
    </row>
    <row r="257" s="1847" customFormat="1"/>
    <row r="258" s="1847" customFormat="1"/>
    <row r="259" s="1847" customFormat="1"/>
    <row r="260" s="1847" customFormat="1"/>
    <row r="261" s="1847" customFormat="1"/>
    <row r="262" s="1847" customFormat="1"/>
    <row r="263" s="1847" customFormat="1"/>
    <row r="264" s="1847" customFormat="1"/>
    <row r="265" s="1847" customFormat="1"/>
    <row r="266" s="1847" customFormat="1"/>
    <row r="267" s="1847" customFormat="1"/>
    <row r="268" s="1847" customFormat="1"/>
    <row r="269" s="1847" customFormat="1"/>
    <row r="270" s="1847" customFormat="1"/>
    <row r="271" s="1847" customFormat="1"/>
    <row r="272" s="1847" customFormat="1"/>
    <row r="273" s="1847" customFormat="1"/>
    <row r="274" s="1847" customFormat="1"/>
    <row r="275" s="1847" customFormat="1"/>
    <row r="276" s="1847" customFormat="1"/>
    <row r="277" s="1847" customFormat="1"/>
    <row r="278" s="1847" customFormat="1"/>
    <row r="279" s="1847" customFormat="1"/>
    <row r="280" s="1847" customFormat="1"/>
    <row r="281" s="1847" customFormat="1"/>
    <row r="282" s="1847" customFormat="1"/>
    <row r="283" s="1847" customFormat="1"/>
    <row r="284" s="1847" customFormat="1"/>
    <row r="285" s="1847" customFormat="1"/>
    <row r="286" s="1847" customFormat="1"/>
    <row r="287" s="1847" customFormat="1"/>
    <row r="288" s="1847" customFormat="1"/>
    <row r="289" s="1847" customFormat="1"/>
    <row r="290" s="1847" customFormat="1"/>
    <row r="291" s="1847" customFormat="1"/>
    <row r="292" s="1847" customFormat="1"/>
    <row r="293" s="1847" customFormat="1"/>
    <row r="294" s="1847" customFormat="1"/>
    <row r="295" s="1847" customFormat="1"/>
    <row r="296" s="1847" customFormat="1"/>
    <row r="297" s="1847" customFormat="1"/>
    <row r="298" s="1847" customFormat="1"/>
    <row r="299" s="1847" customFormat="1"/>
    <row r="300" s="1847" customFormat="1"/>
    <row r="301" s="1847" customFormat="1"/>
    <row r="302" s="1847" customFormat="1"/>
    <row r="303" s="1847" customFormat="1"/>
    <row r="304" s="1847" customFormat="1"/>
    <row r="305" s="1847" customFormat="1"/>
    <row r="306" s="1847" customFormat="1"/>
    <row r="307" s="1847" customFormat="1"/>
    <row r="308" s="1847" customFormat="1"/>
    <row r="309" s="1847" customFormat="1"/>
    <row r="310" s="1847" customFormat="1"/>
    <row r="311" s="1847" customFormat="1"/>
    <row r="312" s="1847" customFormat="1"/>
    <row r="313" s="1847" customFormat="1"/>
    <row r="314" s="1847" customFormat="1"/>
    <row r="315" s="1847" customFormat="1"/>
    <row r="316" s="1847" customFormat="1"/>
    <row r="317" s="1847" customFormat="1"/>
    <row r="318" s="1847" customFormat="1"/>
    <row r="319" s="1847" customFormat="1"/>
    <row r="320" s="1847" customFormat="1"/>
    <row r="321" s="1847" customFormat="1"/>
    <row r="322" s="1847" customFormat="1"/>
    <row r="323" s="1847" customFormat="1"/>
    <row r="324" s="1847" customFormat="1"/>
    <row r="325" s="1847" customFormat="1"/>
    <row r="326" s="1847" customFormat="1"/>
    <row r="327" s="1847" customFormat="1"/>
    <row r="328" s="1847" customFormat="1"/>
    <row r="329" s="1847" customFormat="1"/>
    <row r="330" s="1847" customFormat="1"/>
    <row r="331" s="1847" customFormat="1"/>
    <row r="332" s="1847" customFormat="1"/>
    <row r="333" s="1847" customFormat="1"/>
    <row r="334" s="1847" customFormat="1"/>
    <row r="335" s="1847" customFormat="1"/>
    <row r="336" s="1847" customFormat="1"/>
    <row r="337" s="1847" customFormat="1"/>
    <row r="338" s="1847" customFormat="1"/>
    <row r="339" s="1847" customFormat="1"/>
    <row r="340" s="1847" customFormat="1"/>
    <row r="341" s="1847" customFormat="1"/>
    <row r="342" s="1847" customFormat="1"/>
    <row r="343" s="1847" customFormat="1"/>
    <row r="344" s="1847" customFormat="1"/>
    <row r="345" s="1847" customFormat="1"/>
    <row r="346" s="1847" customFormat="1"/>
    <row r="347" s="1847" customFormat="1"/>
    <row r="348" s="1847" customFormat="1"/>
    <row r="349" s="1847" customFormat="1"/>
    <row r="350" s="1847" customFormat="1"/>
    <row r="351" s="1847" customFormat="1"/>
    <row r="352" s="1847" customFormat="1"/>
    <row r="353" s="1847" customFormat="1"/>
    <row r="354" s="1847" customFormat="1"/>
    <row r="355" s="1847" customFormat="1"/>
    <row r="356" s="1847" customFormat="1"/>
    <row r="357" s="1847" customFormat="1"/>
    <row r="358" s="1847" customFormat="1"/>
    <row r="359" s="1847" customFormat="1"/>
    <row r="360" s="1847" customFormat="1"/>
    <row r="361" s="1847" customFormat="1"/>
    <row r="362" s="1847" customFormat="1"/>
    <row r="363" s="1847" customFormat="1"/>
    <row r="364" s="1847" customFormat="1"/>
    <row r="365" s="1847" customFormat="1"/>
    <row r="366" s="1847" customFormat="1"/>
    <row r="367" s="1847" customFormat="1"/>
    <row r="368" s="1847" customFormat="1"/>
    <row r="369" s="1847" customFormat="1"/>
    <row r="370" s="1847" customFormat="1"/>
    <row r="371" s="1847" customFormat="1"/>
    <row r="372" s="1847" customFormat="1"/>
    <row r="373" s="1847" customFormat="1"/>
    <row r="374" s="1847" customFormat="1"/>
    <row r="375" s="1847" customFormat="1"/>
    <row r="376" s="1847" customFormat="1"/>
    <row r="377" s="1847" customFormat="1"/>
    <row r="378" s="1847" customFormat="1"/>
    <row r="379" s="1847" customFormat="1"/>
    <row r="380" s="1847" customFormat="1"/>
    <row r="381" s="1847" customFormat="1"/>
    <row r="382" s="1847" customFormat="1"/>
    <row r="383" s="1847" customFormat="1"/>
    <row r="384" s="1847" customFormat="1"/>
    <row r="385" s="1847" customFormat="1"/>
    <row r="386" s="1847" customFormat="1"/>
    <row r="387" s="1847" customFormat="1"/>
    <row r="388" s="1847" customFormat="1"/>
    <row r="389" s="1847" customFormat="1"/>
    <row r="390" s="1847" customFormat="1"/>
    <row r="391" s="1847" customFormat="1"/>
    <row r="392" s="1847" customFormat="1"/>
    <row r="393" s="1847" customFormat="1"/>
    <row r="394" s="1847" customFormat="1"/>
    <row r="395" s="1847" customFormat="1"/>
    <row r="396" s="1847" customFormat="1"/>
    <row r="397" s="1847" customFormat="1"/>
    <row r="398" s="1847" customFormat="1"/>
    <row r="399" s="1847" customFormat="1"/>
    <row r="400" s="1847" customFormat="1"/>
    <row r="401" spans="1:14">
      <c r="A401" s="1847"/>
      <c r="N401" s="1847"/>
    </row>
    <row r="402" spans="1:14">
      <c r="A402" s="1847"/>
      <c r="N402" s="1847"/>
    </row>
    <row r="403" spans="1:14">
      <c r="A403" s="1847"/>
      <c r="N403" s="1847"/>
    </row>
    <row r="404" spans="1:14">
      <c r="A404" s="1847"/>
      <c r="N404" s="1847"/>
    </row>
    <row r="405" spans="1:14">
      <c r="A405" s="1847"/>
      <c r="N405" s="1847"/>
    </row>
    <row r="406" spans="1:14">
      <c r="A406" s="1847"/>
      <c r="N406" s="1847"/>
    </row>
    <row r="407" spans="1:14">
      <c r="A407" s="1847"/>
      <c r="N407" s="1847"/>
    </row>
    <row r="408" spans="1:14">
      <c r="A408" s="1847"/>
      <c r="N408" s="1847"/>
    </row>
    <row r="409" spans="1:14">
      <c r="A409" s="1847"/>
      <c r="N409" s="1847"/>
    </row>
    <row r="410" spans="1:14">
      <c r="A410" s="1847"/>
      <c r="N410" s="1847"/>
    </row>
    <row r="411" spans="1:14">
      <c r="A411" s="1847"/>
      <c r="N411" s="1847"/>
    </row>
    <row r="412" spans="1:14">
      <c r="A412" s="1847"/>
      <c r="N412" s="1847"/>
    </row>
    <row r="413" spans="1:14">
      <c r="A413" s="1847"/>
      <c r="N413" s="1847"/>
    </row>
    <row r="414" spans="1:14">
      <c r="A414" s="1847"/>
      <c r="N414" s="1847"/>
    </row>
    <row r="415" spans="1:14">
      <c r="N415" s="1847"/>
    </row>
  </sheetData>
  <dataConsolidate link="1"/>
  <mergeCells count="22">
    <mergeCell ref="C228:F228"/>
    <mergeCell ref="C229:F229"/>
    <mergeCell ref="C217:E217"/>
    <mergeCell ref="C218:E218"/>
    <mergeCell ref="C219:E219"/>
    <mergeCell ref="C226:F226"/>
    <mergeCell ref="C227:F227"/>
    <mergeCell ref="C214:E214"/>
    <mergeCell ref="C215:E215"/>
    <mergeCell ref="C216:E216"/>
    <mergeCell ref="B19:D19"/>
    <mergeCell ref="B26:C26"/>
    <mergeCell ref="F13:I13"/>
    <mergeCell ref="F15:F16"/>
    <mergeCell ref="G15:G16"/>
    <mergeCell ref="H15:H16"/>
    <mergeCell ref="I15:I16"/>
    <mergeCell ref="J15:K15"/>
    <mergeCell ref="J16:K16"/>
    <mergeCell ref="G44:H44"/>
    <mergeCell ref="G45:H45"/>
    <mergeCell ref="C132:E132"/>
  </mergeCells>
  <dataValidations disablePrompts="1" count="1">
    <dataValidation type="list" allowBlank="1" showInputMessage="1" showErrorMessage="1" sqref="F24" xr:uid="{00000000-0002-0000-1200-000000000000}">
      <formula1>$O$1:$O$11</formula1>
    </dataValidation>
  </dataValidations>
  <pageMargins left="0.7" right="0.7" top="0.75" bottom="0.75" header="0.3" footer="0.3"/>
  <pageSetup scale="34"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200-000001000000}">
          <x14:formula1>
            <xm:f>weight!$A$5:$A$39</xm:f>
          </x14:formula1>
          <xm:sqref>A132:A142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4:V7"/>
  <sheetViews>
    <sheetView workbookViewId="0">
      <selection activeCell="A7" sqref="A7"/>
    </sheetView>
  </sheetViews>
  <sheetFormatPr defaultColWidth="8.85546875" defaultRowHeight="15"/>
  <cols>
    <col min="1" max="1" width="8" style="2300" bestFit="1" customWidth="1"/>
    <col min="2" max="2" width="7" style="2300" customWidth="1"/>
    <col min="3" max="3" width="16.5703125" style="2300" customWidth="1"/>
    <col min="4" max="6" width="8.85546875" style="2300"/>
    <col min="7" max="7" width="10.42578125" style="2300" customWidth="1"/>
    <col min="8" max="8" width="9.85546875" style="2300" customWidth="1"/>
    <col min="9" max="9" width="11.42578125" style="2300" customWidth="1"/>
    <col min="10" max="11" width="8.85546875" style="2300"/>
    <col min="12" max="12" width="9" style="2300" customWidth="1"/>
    <col min="13" max="13" width="6.42578125" style="2300" customWidth="1"/>
    <col min="14" max="14" width="13.42578125" style="2300" customWidth="1"/>
    <col min="15" max="17" width="8.85546875" style="2300"/>
    <col min="18" max="18" width="10.28515625" style="2300" customWidth="1"/>
    <col min="19" max="16384" width="8.85546875" style="2300"/>
  </cols>
  <sheetData>
    <row r="4" spans="1:22" ht="15.75">
      <c r="A4" s="4342" t="s">
        <v>2137</v>
      </c>
      <c r="B4" s="4343"/>
      <c r="C4" s="4343"/>
      <c r="D4" s="4343"/>
      <c r="E4" s="4343"/>
      <c r="F4" s="4343"/>
      <c r="G4" s="4343"/>
      <c r="H4" s="4343"/>
      <c r="I4" s="4343"/>
      <c r="J4" s="4343"/>
      <c r="K4" s="4343"/>
      <c r="L4" s="4343"/>
      <c r="M4" s="4343"/>
      <c r="N4" s="4343"/>
      <c r="O4" s="4343"/>
      <c r="P4" s="4343"/>
      <c r="Q4" s="4343"/>
      <c r="R4" s="4343"/>
    </row>
    <row r="5" spans="1:22">
      <c r="A5" s="4344" t="s">
        <v>2138</v>
      </c>
      <c r="B5" s="4345"/>
      <c r="C5" s="4345"/>
      <c r="D5" s="4345"/>
      <c r="E5" s="4345"/>
      <c r="F5" s="4346"/>
      <c r="G5" s="4347" t="s">
        <v>2139</v>
      </c>
      <c r="H5" s="4348"/>
      <c r="I5" s="4348"/>
      <c r="J5" s="4348"/>
      <c r="K5" s="4348"/>
      <c r="L5" s="4348"/>
      <c r="M5" s="4348"/>
      <c r="N5" s="4348"/>
      <c r="O5" s="2301"/>
      <c r="P5" s="2301"/>
      <c r="Q5" s="2301"/>
      <c r="R5" s="2301"/>
    </row>
    <row r="6" spans="1:22" ht="46.15" customHeight="1">
      <c r="A6" s="2302" t="s">
        <v>750</v>
      </c>
      <c r="B6" s="2302" t="s">
        <v>213</v>
      </c>
      <c r="C6" s="2302" t="s">
        <v>2140</v>
      </c>
      <c r="D6" s="2302" t="s">
        <v>2141</v>
      </c>
      <c r="E6" s="2302" t="s">
        <v>2142</v>
      </c>
      <c r="F6" s="2302" t="s">
        <v>215</v>
      </c>
      <c r="G6" s="2302" t="s">
        <v>2066</v>
      </c>
      <c r="H6" s="2302" t="s">
        <v>1460</v>
      </c>
      <c r="I6" s="2302"/>
      <c r="J6" s="2302"/>
      <c r="K6" s="2302" t="s">
        <v>2143</v>
      </c>
      <c r="L6" s="2302" t="s">
        <v>2144</v>
      </c>
      <c r="M6" s="2302" t="s">
        <v>2145</v>
      </c>
      <c r="N6" s="2302" t="s">
        <v>2146</v>
      </c>
      <c r="O6" s="2303" t="s">
        <v>2147</v>
      </c>
      <c r="P6" s="2302" t="s">
        <v>2148</v>
      </c>
      <c r="Q6" s="2303" t="s">
        <v>2149</v>
      </c>
      <c r="R6" s="2303" t="s">
        <v>2150</v>
      </c>
      <c r="T6" s="2304" t="s">
        <v>2151</v>
      </c>
      <c r="U6" s="2304" t="s">
        <v>1627</v>
      </c>
      <c r="V6" s="2304" t="s">
        <v>2152</v>
      </c>
    </row>
    <row r="7" spans="1:22">
      <c r="A7" s="2305">
        <f ca="1">Report!$M$2/(1-$T$7)+Report!$M$2*$U$7</f>
        <v>1597.9401831857999</v>
      </c>
      <c r="B7" s="2305">
        <f ca="1">Report!$N$2/(1-$T$7)+Report!$N$2*$U$7</f>
        <v>55.967603999999994</v>
      </c>
      <c r="C7" s="2305">
        <f ca="1">Report!$O$2/(1-$T$7)+Report!$O$2*$U$7</f>
        <v>94.063199999999995</v>
      </c>
      <c r="D7" s="2305">
        <f ca="1">Report!$P$2/(1-$T$7)+Report!$P$2*$U$7</f>
        <v>0</v>
      </c>
      <c r="E7" s="2305">
        <f ca="1">Report!$U$2/(1-$T$7)+Report!$U$2*$U$7</f>
        <v>61.641923008917587</v>
      </c>
      <c r="F7" s="2305">
        <f ca="1">Report!$Q$2/(1-$T$7)+Report!$Q$2*$U$7</f>
        <v>92.650725000000008</v>
      </c>
      <c r="G7" s="2305">
        <f ca="1">Report!$V$2/(1-$T$7)+Report!$V$2*$U$7</f>
        <v>0</v>
      </c>
      <c r="H7" s="2305">
        <f ca="1">Report!$Z$2/(1-$T$7)+Report!$Z$2*$U$7</f>
        <v>1223.9008814551976</v>
      </c>
      <c r="I7" s="2305"/>
      <c r="J7" s="2305"/>
      <c r="K7" s="2305">
        <f ca="1">Report!$W$2/(1-$T$7)+Report!$W$2*$U$7</f>
        <v>525.92699912724538</v>
      </c>
      <c r="L7" s="2305">
        <f ca="1">Report!$T$2/(1-$T$7)+Report!$T$2*$U$7</f>
        <v>159.26943381596334</v>
      </c>
      <c r="M7" s="2305">
        <f ca="1">'Cost EST. GM target'!$J$41-SUM(A7:L7,N7)</f>
        <v>0</v>
      </c>
      <c r="N7" s="2305">
        <f ca="1">Report!$X$2/(1-$T$7)+Report!$X$2*$U$7</f>
        <v>153.209</v>
      </c>
      <c r="O7" s="2306">
        <f ca="1">SUM(A7:N7)</f>
        <v>3964.5699495931231</v>
      </c>
      <c r="P7" s="2307">
        <v>0.1</v>
      </c>
      <c r="Q7" s="2306">
        <f ca="1">O7*P7</f>
        <v>396.45699495931234</v>
      </c>
      <c r="R7" s="2306">
        <f ca="1">O7+Q7</f>
        <v>4361.0269445524355</v>
      </c>
      <c r="T7" s="2308">
        <f>'Cost EST. GM target'!$J$35</f>
        <v>0.2</v>
      </c>
      <c r="U7" s="2308">
        <f>'Cost EST. GM target'!$J$37</f>
        <v>2.2499999999999999E-2</v>
      </c>
      <c r="V7" s="2308">
        <f ca="1">'Cost EST. GM target'!$J$73</f>
        <v>0.45002378881461591</v>
      </c>
    </row>
  </sheetData>
  <mergeCells count="3">
    <mergeCell ref="A4:R4"/>
    <mergeCell ref="A5:F5"/>
    <mergeCell ref="G5:N5"/>
  </mergeCells>
  <dataValidations count="4">
    <dataValidation type="decimal" allowBlank="1" showInputMessage="1" showErrorMessage="1" errorTitle="Invalid value" error="The value entered for Material Cost (per pc) must be a decimal number." sqref="A7:H7 K7:L7 N7" xr:uid="{00000000-0002-0000-1300-000000000000}">
      <formula1>-1E+307</formula1>
      <formula2>9.99999999999999E+307</formula2>
    </dataValidation>
    <dataValidation type="decimal" allowBlank="1" showInputMessage="1" showErrorMessage="1" errorTitle="Invalid value" error="The value entered for Profit (per pc) must be a decimal number." sqref="M7" xr:uid="{00000000-0002-0000-1300-000001000000}">
      <formula1>-1E+307</formula1>
      <formula2>9.99999999999999E+307</formula2>
    </dataValidation>
    <dataValidation type="decimal" allowBlank="1" showInputMessage="1" showErrorMessage="1" errorTitle="Invalid value" error="The value entered for % Tax must be a percent value." sqref="P7" xr:uid="{00000000-0002-0000-1300-000002000000}">
      <formula1>-1E+307</formula1>
      <formula2>9.99999999999999E+307</formula2>
    </dataValidation>
    <dataValidation type="decimal" allowBlank="1" showInputMessage="1" showErrorMessage="1" errorTitle="Invalid value" error="The value entered for Conversion Cost (per pc) must be a decimal number." sqref="I7:J7" xr:uid="{00000000-0002-0000-1300-000003000000}">
      <formula1>-1E+307</formula1>
      <formula2>9.99999999999999E+307</formula2>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AB14"/>
  <sheetViews>
    <sheetView topLeftCell="G1" workbookViewId="0">
      <selection activeCell="J37" sqref="J37"/>
    </sheetView>
  </sheetViews>
  <sheetFormatPr defaultColWidth="6.42578125" defaultRowHeight="12.75"/>
  <cols>
    <col min="1" max="1" width="2.5703125" style="668" bestFit="1" customWidth="1"/>
    <col min="2" max="2" width="5" style="668" bestFit="1" customWidth="1"/>
    <col min="3" max="3" width="3.7109375" style="668" bestFit="1" customWidth="1"/>
    <col min="4" max="4" width="10.5703125" style="668" bestFit="1" customWidth="1"/>
    <col min="5" max="5" width="6.28515625" style="668" bestFit="1" customWidth="1"/>
    <col min="6" max="6" width="6.5703125" style="668" bestFit="1" customWidth="1"/>
    <col min="7" max="7" width="5.42578125" style="668" bestFit="1" customWidth="1"/>
    <col min="8" max="8" width="6.28515625" style="668" bestFit="1" customWidth="1"/>
    <col min="9" max="13" width="5.85546875" style="668" customWidth="1"/>
    <col min="14" max="16" width="5.42578125" style="668" customWidth="1"/>
    <col min="17" max="17" width="5.7109375" style="668" customWidth="1"/>
    <col min="18" max="20" width="6.42578125" style="668" customWidth="1"/>
    <col min="21" max="21" width="8" style="668" customWidth="1"/>
    <col min="22" max="23" width="6.42578125" style="668" customWidth="1"/>
    <col min="24" max="24" width="5.7109375" style="668" customWidth="1"/>
    <col min="25" max="25" width="6" style="668" customWidth="1"/>
    <col min="26" max="27" width="5.7109375" style="668" customWidth="1"/>
    <col min="28" max="16384" width="6.42578125" style="668"/>
  </cols>
  <sheetData>
    <row r="1" spans="1:28" ht="76.5">
      <c r="A1" s="661" t="s">
        <v>594</v>
      </c>
      <c r="B1" s="661" t="s">
        <v>1622</v>
      </c>
      <c r="C1" s="661" t="s">
        <v>1623</v>
      </c>
      <c r="D1" s="661" t="s">
        <v>1624</v>
      </c>
      <c r="E1" s="661" t="s">
        <v>1625</v>
      </c>
      <c r="F1" s="662" t="s">
        <v>1626</v>
      </c>
      <c r="G1" s="663" t="s">
        <v>1631</v>
      </c>
      <c r="H1" s="664" t="s">
        <v>1627</v>
      </c>
      <c r="I1" s="665" t="s">
        <v>595</v>
      </c>
      <c r="J1" s="665" t="s">
        <v>596</v>
      </c>
      <c r="K1" s="665" t="s">
        <v>1628</v>
      </c>
      <c r="L1" s="666" t="s">
        <v>1629</v>
      </c>
      <c r="M1" s="666" t="s">
        <v>1630</v>
      </c>
      <c r="N1" s="666" t="s">
        <v>213</v>
      </c>
      <c r="O1" s="666" t="s">
        <v>1610</v>
      </c>
      <c r="P1" s="666" t="s">
        <v>495</v>
      </c>
      <c r="Q1" s="666" t="s">
        <v>215</v>
      </c>
      <c r="R1" s="666" t="s">
        <v>149</v>
      </c>
      <c r="S1" s="666" t="s">
        <v>2065</v>
      </c>
      <c r="T1" s="666" t="s">
        <v>2064</v>
      </c>
      <c r="U1" s="666" t="s">
        <v>1632</v>
      </c>
      <c r="V1" s="666" t="s">
        <v>2066</v>
      </c>
      <c r="W1" s="666" t="s">
        <v>598</v>
      </c>
      <c r="X1" s="666" t="s">
        <v>61</v>
      </c>
      <c r="Y1" s="667" t="s">
        <v>177</v>
      </c>
      <c r="Z1" s="682" t="s">
        <v>1583</v>
      </c>
      <c r="AA1" s="682" t="s">
        <v>1633</v>
      </c>
      <c r="AB1" s="682" t="s">
        <v>157</v>
      </c>
    </row>
    <row r="2" spans="1:28" ht="15">
      <c r="A2" s="669"/>
      <c r="B2" s="670" t="str">
        <f>'Cost EST. GM target'!G3</f>
        <v>Friwo</v>
      </c>
      <c r="C2" s="671"/>
      <c r="D2" s="672" t="str">
        <f>'Cost EST. GM target'!G4</f>
        <v>Corrugated box - 20001531</v>
      </c>
      <c r="E2" s="672">
        <f>'Cost EST. GM target'!$J$14</f>
        <v>5000</v>
      </c>
      <c r="F2" s="672">
        <f ca="1">'Cost EST. GM target'!J41</f>
        <v>3964.5699495931244</v>
      </c>
      <c r="G2" s="673">
        <f>'Cost EST. GM target'!J35</f>
        <v>0.2</v>
      </c>
      <c r="H2" s="674">
        <f>'Cost EST. GM target'!J37</f>
        <v>2.2499999999999999E-2</v>
      </c>
      <c r="I2" s="675"/>
      <c r="J2" s="675">
        <f ca="1">M2-I2</f>
        <v>1255.7486704800001</v>
      </c>
      <c r="K2" s="675">
        <f ca="1">'Cost EST. GM target'!$J$17</f>
        <v>562.77484848000006</v>
      </c>
      <c r="L2" s="675">
        <f ca="1">'Cost EST. GM target'!$J$18</f>
        <v>692.97382200000004</v>
      </c>
      <c r="M2" s="675">
        <f ca="1">SUM(K2:L2)</f>
        <v>1255.7486704800001</v>
      </c>
      <c r="N2" s="675">
        <f ca="1">'Cost EST. GM target'!$J$19</f>
        <v>43.982399999999998</v>
      </c>
      <c r="O2" s="675">
        <f ca="1">Coating!$C$205</f>
        <v>73.92</v>
      </c>
      <c r="P2" s="675">
        <f ca="1">Coating!$C$206</f>
        <v>0</v>
      </c>
      <c r="Q2" s="675">
        <f ca="1">'Cost EST. GM target'!$J$21</f>
        <v>72.81</v>
      </c>
      <c r="R2" s="675">
        <f>'Cost EST. GM target'!$J$22</f>
        <v>0</v>
      </c>
      <c r="S2" s="675">
        <f>'Cost EST. GM target'!$J$23</f>
        <v>0</v>
      </c>
      <c r="T2" s="675">
        <f ca="1">'Cost EST. GM target'!$J$24</f>
        <v>125.16261989466669</v>
      </c>
      <c r="U2" s="675">
        <f ca="1">'Cost EST. GM target'!J31</f>
        <v>48.441589790897908</v>
      </c>
      <c r="V2" s="675">
        <f ca="1">'Cost EST. GM target'!$J$32</f>
        <v>0</v>
      </c>
      <c r="W2" s="675">
        <f ca="1">'Cost EST. GM target'!$J$26</f>
        <v>413.30216041433829</v>
      </c>
      <c r="X2" s="675">
        <f ca="1">'Cost EST. GM target'!$J$28</f>
        <v>120.4</v>
      </c>
      <c r="Y2" s="681">
        <f ca="1">SUM(M2:X2,Z2,AA2)</f>
        <v>3115.5755988944002</v>
      </c>
      <c r="Z2" s="675">
        <f ca="1">'Cost EST. GM target'!$J$33</f>
        <v>961.80815831449718</v>
      </c>
      <c r="AA2" s="675">
        <f ca="1">'Cost EST. GM target'!$J$38</f>
        <v>0</v>
      </c>
      <c r="AB2" s="673">
        <f ca="1">'Cost EST. GM target'!$J$73</f>
        <v>0.45002378881461591</v>
      </c>
    </row>
    <row r="3" spans="1:28" ht="15">
      <c r="A3" s="669"/>
      <c r="B3" s="676"/>
      <c r="C3" s="676"/>
      <c r="D3" s="677"/>
      <c r="E3" s="677"/>
      <c r="F3" s="677"/>
      <c r="G3" s="678"/>
      <c r="H3" s="679"/>
      <c r="I3" s="680"/>
      <c r="J3" s="680"/>
      <c r="K3" s="680"/>
      <c r="L3" s="680"/>
      <c r="M3" s="680"/>
      <c r="N3" s="680"/>
      <c r="O3" s="680"/>
      <c r="P3" s="680"/>
      <c r="Q3" s="680"/>
      <c r="R3" s="680"/>
      <c r="S3" s="680"/>
      <c r="T3" s="680"/>
      <c r="U3" s="680"/>
      <c r="V3" s="680"/>
      <c r="W3" s="680"/>
      <c r="X3" s="680"/>
      <c r="Y3" s="681">
        <f t="shared" ref="Y3:Y14" si="0">SUM(K3:X3)-SUM(K3:L3)</f>
        <v>0</v>
      </c>
      <c r="Z3" s="680"/>
      <c r="AA3" s="680"/>
      <c r="AB3" s="678"/>
    </row>
    <row r="4" spans="1:28" ht="15">
      <c r="A4" s="669"/>
      <c r="B4" s="676"/>
      <c r="C4" s="676"/>
      <c r="D4" s="677"/>
      <c r="E4" s="677"/>
      <c r="F4" s="677"/>
      <c r="G4" s="678"/>
      <c r="H4" s="679"/>
      <c r="I4" s="680"/>
      <c r="J4" s="680"/>
      <c r="K4" s="680"/>
      <c r="L4" s="680"/>
      <c r="M4" s="680"/>
      <c r="N4" s="680"/>
      <c r="O4" s="680"/>
      <c r="P4" s="680"/>
      <c r="Q4" s="680"/>
      <c r="R4" s="680"/>
      <c r="S4" s="680"/>
      <c r="T4" s="680"/>
      <c r="U4" s="680"/>
      <c r="V4" s="680"/>
      <c r="W4" s="680"/>
      <c r="X4" s="680"/>
      <c r="Y4" s="681">
        <f t="shared" si="0"/>
        <v>0</v>
      </c>
      <c r="Z4" s="680"/>
      <c r="AA4" s="680"/>
      <c r="AB4" s="678"/>
    </row>
    <row r="5" spans="1:28" ht="15">
      <c r="A5" s="669"/>
      <c r="B5" s="676"/>
      <c r="C5" s="676"/>
      <c r="D5" s="677"/>
      <c r="E5" s="677"/>
      <c r="F5" s="677"/>
      <c r="G5" s="678"/>
      <c r="H5" s="679"/>
      <c r="I5" s="680"/>
      <c r="J5" s="680"/>
      <c r="K5" s="680"/>
      <c r="L5" s="680"/>
      <c r="M5" s="680"/>
      <c r="N5" s="680"/>
      <c r="O5" s="680"/>
      <c r="P5" s="680"/>
      <c r="Q5" s="680"/>
      <c r="R5" s="680"/>
      <c r="S5" s="680"/>
      <c r="T5" s="680"/>
      <c r="U5" s="680"/>
      <c r="V5" s="680"/>
      <c r="W5" s="680"/>
      <c r="X5" s="680"/>
      <c r="Y5" s="681">
        <f t="shared" si="0"/>
        <v>0</v>
      </c>
      <c r="Z5" s="680"/>
      <c r="AA5" s="680"/>
      <c r="AB5" s="678"/>
    </row>
    <row r="6" spans="1:28" ht="15">
      <c r="A6" s="669"/>
      <c r="B6" s="676"/>
      <c r="C6" s="676"/>
      <c r="D6" s="677"/>
      <c r="E6" s="677"/>
      <c r="F6" s="677"/>
      <c r="G6" s="678"/>
      <c r="H6" s="679"/>
      <c r="I6" s="680"/>
      <c r="J6" s="680"/>
      <c r="K6" s="680"/>
      <c r="L6" s="680"/>
      <c r="M6" s="680"/>
      <c r="N6" s="680"/>
      <c r="O6" s="680"/>
      <c r="P6" s="680"/>
      <c r="Q6" s="680"/>
      <c r="R6" s="680"/>
      <c r="S6" s="680"/>
      <c r="T6" s="680"/>
      <c r="U6" s="680"/>
      <c r="V6" s="680"/>
      <c r="W6" s="680"/>
      <c r="X6" s="680"/>
      <c r="Y6" s="681">
        <f t="shared" si="0"/>
        <v>0</v>
      </c>
      <c r="Z6" s="680"/>
      <c r="AA6" s="680"/>
      <c r="AB6" s="678"/>
    </row>
    <row r="7" spans="1:28" ht="15">
      <c r="A7" s="669"/>
      <c r="B7" s="676"/>
      <c r="C7" s="676"/>
      <c r="D7" s="677"/>
      <c r="E7" s="677"/>
      <c r="F7" s="677"/>
      <c r="G7" s="678"/>
      <c r="H7" s="679"/>
      <c r="I7" s="680"/>
      <c r="J7" s="680"/>
      <c r="K7" s="680"/>
      <c r="L7" s="680"/>
      <c r="M7" s="680"/>
      <c r="N7" s="680"/>
      <c r="O7" s="680"/>
      <c r="P7" s="680"/>
      <c r="Q7" s="680"/>
      <c r="R7" s="680"/>
      <c r="S7" s="680"/>
      <c r="T7" s="680"/>
      <c r="U7" s="680"/>
      <c r="V7" s="680"/>
      <c r="W7" s="680"/>
      <c r="X7" s="680"/>
      <c r="Y7" s="681">
        <f t="shared" si="0"/>
        <v>0</v>
      </c>
      <c r="Z7" s="680"/>
      <c r="AA7" s="680"/>
      <c r="AB7" s="678"/>
    </row>
    <row r="8" spans="1:28" ht="15">
      <c r="A8" s="669"/>
      <c r="B8" s="676"/>
      <c r="C8" s="676"/>
      <c r="D8" s="677"/>
      <c r="E8" s="677"/>
      <c r="F8" s="677"/>
      <c r="G8" s="678"/>
      <c r="H8" s="679"/>
      <c r="I8" s="680"/>
      <c r="J8" s="680"/>
      <c r="K8" s="680"/>
      <c r="L8" s="680"/>
      <c r="M8" s="680"/>
      <c r="N8" s="680"/>
      <c r="O8" s="680"/>
      <c r="P8" s="680"/>
      <c r="Q8" s="680"/>
      <c r="R8" s="680"/>
      <c r="S8" s="680"/>
      <c r="T8" s="680"/>
      <c r="U8" s="680"/>
      <c r="V8" s="680"/>
      <c r="W8" s="680"/>
      <c r="X8" s="680"/>
      <c r="Y8" s="681">
        <f t="shared" si="0"/>
        <v>0</v>
      </c>
      <c r="Z8" s="680"/>
      <c r="AA8" s="680"/>
      <c r="AB8" s="678"/>
    </row>
    <row r="9" spans="1:28" ht="15">
      <c r="A9" s="669"/>
      <c r="B9" s="676"/>
      <c r="C9" s="676"/>
      <c r="D9" s="677"/>
      <c r="E9" s="677"/>
      <c r="F9" s="677"/>
      <c r="G9" s="678"/>
      <c r="H9" s="679"/>
      <c r="I9" s="680"/>
      <c r="J9" s="680"/>
      <c r="K9" s="680"/>
      <c r="L9" s="680"/>
      <c r="M9" s="680"/>
      <c r="N9" s="680"/>
      <c r="O9" s="680"/>
      <c r="P9" s="680"/>
      <c r="Q9" s="680"/>
      <c r="R9" s="680"/>
      <c r="S9" s="680"/>
      <c r="T9" s="680"/>
      <c r="U9" s="680"/>
      <c r="V9" s="680"/>
      <c r="W9" s="680"/>
      <c r="X9" s="680"/>
      <c r="Y9" s="681">
        <f t="shared" si="0"/>
        <v>0</v>
      </c>
      <c r="Z9" s="680"/>
      <c r="AA9" s="680"/>
      <c r="AB9" s="678"/>
    </row>
    <row r="10" spans="1:28" ht="15">
      <c r="A10" s="669"/>
      <c r="B10" s="676"/>
      <c r="C10" s="676"/>
      <c r="D10" s="677"/>
      <c r="E10" s="677"/>
      <c r="F10" s="677"/>
      <c r="G10" s="678"/>
      <c r="H10" s="679"/>
      <c r="I10" s="680"/>
      <c r="J10" s="680"/>
      <c r="K10" s="680"/>
      <c r="L10" s="680"/>
      <c r="M10" s="680"/>
      <c r="N10" s="680"/>
      <c r="O10" s="680"/>
      <c r="P10" s="680"/>
      <c r="Q10" s="680"/>
      <c r="R10" s="680"/>
      <c r="S10" s="680"/>
      <c r="T10" s="680"/>
      <c r="U10" s="680"/>
      <c r="V10" s="680"/>
      <c r="W10" s="680"/>
      <c r="X10" s="680"/>
      <c r="Y10" s="681">
        <f t="shared" si="0"/>
        <v>0</v>
      </c>
      <c r="Z10" s="680"/>
      <c r="AA10" s="680"/>
      <c r="AB10" s="678"/>
    </row>
    <row r="11" spans="1:28" ht="15">
      <c r="A11" s="669"/>
      <c r="B11" s="676"/>
      <c r="C11" s="676"/>
      <c r="D11" s="677"/>
      <c r="E11" s="677"/>
      <c r="F11" s="677"/>
      <c r="G11" s="678"/>
      <c r="H11" s="679"/>
      <c r="I11" s="680"/>
      <c r="J11" s="680"/>
      <c r="K11" s="680"/>
      <c r="L11" s="680"/>
      <c r="M11" s="680"/>
      <c r="N11" s="680"/>
      <c r="O11" s="680"/>
      <c r="P11" s="680"/>
      <c r="Q11" s="680"/>
      <c r="R11" s="680"/>
      <c r="S11" s="680"/>
      <c r="T11" s="680"/>
      <c r="U11" s="680"/>
      <c r="V11" s="680"/>
      <c r="W11" s="680"/>
      <c r="X11" s="680"/>
      <c r="Y11" s="681">
        <f t="shared" si="0"/>
        <v>0</v>
      </c>
      <c r="Z11" s="680"/>
      <c r="AA11" s="680"/>
      <c r="AB11" s="678"/>
    </row>
    <row r="12" spans="1:28" ht="15">
      <c r="A12" s="669"/>
      <c r="B12" s="676"/>
      <c r="C12" s="676"/>
      <c r="D12" s="677"/>
      <c r="E12" s="677"/>
      <c r="F12" s="677"/>
      <c r="G12" s="678"/>
      <c r="H12" s="679"/>
      <c r="I12" s="680"/>
      <c r="J12" s="680"/>
      <c r="K12" s="680"/>
      <c r="L12" s="680"/>
      <c r="M12" s="680"/>
      <c r="N12" s="680"/>
      <c r="O12" s="680"/>
      <c r="P12" s="680"/>
      <c r="Q12" s="680"/>
      <c r="R12" s="680"/>
      <c r="S12" s="680"/>
      <c r="T12" s="680"/>
      <c r="U12" s="680"/>
      <c r="V12" s="680"/>
      <c r="W12" s="680"/>
      <c r="X12" s="680"/>
      <c r="Y12" s="681">
        <f t="shared" si="0"/>
        <v>0</v>
      </c>
      <c r="Z12" s="680"/>
      <c r="AA12" s="680"/>
      <c r="AB12" s="678"/>
    </row>
    <row r="13" spans="1:28" ht="15">
      <c r="A13" s="669"/>
      <c r="B13" s="676"/>
      <c r="C13" s="676"/>
      <c r="D13" s="677"/>
      <c r="E13" s="677"/>
      <c r="F13" s="677"/>
      <c r="G13" s="678"/>
      <c r="H13" s="679"/>
      <c r="I13" s="680"/>
      <c r="J13" s="680"/>
      <c r="K13" s="680"/>
      <c r="L13" s="680"/>
      <c r="M13" s="680"/>
      <c r="N13" s="680"/>
      <c r="O13" s="680"/>
      <c r="P13" s="680"/>
      <c r="Q13" s="680"/>
      <c r="R13" s="680"/>
      <c r="S13" s="680"/>
      <c r="T13" s="680"/>
      <c r="U13" s="680"/>
      <c r="V13" s="680"/>
      <c r="W13" s="680"/>
      <c r="X13" s="680"/>
      <c r="Y13" s="681">
        <f t="shared" si="0"/>
        <v>0</v>
      </c>
      <c r="Z13" s="680"/>
      <c r="AA13" s="680"/>
      <c r="AB13" s="678"/>
    </row>
    <row r="14" spans="1:28" ht="15">
      <c r="A14" s="669"/>
      <c r="B14" s="676"/>
      <c r="C14" s="676"/>
      <c r="D14" s="677"/>
      <c r="E14" s="677"/>
      <c r="F14" s="677"/>
      <c r="G14" s="678"/>
      <c r="H14" s="679"/>
      <c r="I14" s="680"/>
      <c r="J14" s="680"/>
      <c r="K14" s="680"/>
      <c r="L14" s="680"/>
      <c r="M14" s="680"/>
      <c r="N14" s="680"/>
      <c r="O14" s="680"/>
      <c r="P14" s="680"/>
      <c r="Q14" s="680"/>
      <c r="R14" s="680"/>
      <c r="S14" s="680"/>
      <c r="T14" s="680"/>
      <c r="U14" s="680"/>
      <c r="V14" s="680"/>
      <c r="W14" s="680"/>
      <c r="X14" s="680"/>
      <c r="Y14" s="681">
        <f t="shared" si="0"/>
        <v>0</v>
      </c>
      <c r="Z14" s="680"/>
      <c r="AA14" s="680"/>
      <c r="AB14" s="678"/>
    </row>
  </sheetData>
  <pageMargins left="0.7" right="0.7" top="0.75" bottom="0.75" header="0.3" footer="0.3"/>
  <pageSetup orientation="portrait" verticalDpi="300"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2:AU313"/>
  <sheetViews>
    <sheetView showGridLines="0" topLeftCell="K304" zoomScaleNormal="100" workbookViewId="0">
      <selection activeCell="B3" sqref="A3:L25"/>
    </sheetView>
  </sheetViews>
  <sheetFormatPr defaultColWidth="8.85546875" defaultRowHeight="16.5" customHeight="1" outlineLevelRow="1"/>
  <cols>
    <col min="1" max="1" width="5.28515625" style="313" customWidth="1"/>
    <col min="2" max="2" width="14" style="313" customWidth="1"/>
    <col min="3" max="3" width="19" style="313" customWidth="1"/>
    <col min="4" max="4" width="11.7109375" style="313" customWidth="1"/>
    <col min="5" max="5" width="9.28515625" style="313" customWidth="1"/>
    <col min="6" max="6" width="9.85546875" style="313" customWidth="1"/>
    <col min="7" max="7" width="9.42578125" style="313" customWidth="1"/>
    <col min="8" max="8" width="9.85546875" style="313" customWidth="1"/>
    <col min="9" max="9" width="12.5703125" style="313" customWidth="1"/>
    <col min="10" max="10" width="8" style="313" customWidth="1"/>
    <col min="11" max="11" width="9.28515625" style="360" customWidth="1"/>
    <col min="12" max="13" width="9.28515625" style="313" customWidth="1"/>
    <col min="14" max="14" width="7.28515625" style="313" customWidth="1"/>
    <col min="15" max="15" width="6" style="313" customWidth="1"/>
    <col min="16" max="16" width="6.42578125" style="313" customWidth="1"/>
    <col min="17" max="17" width="9.42578125" style="313" customWidth="1"/>
    <col min="18" max="18" width="5.85546875" style="313" customWidth="1"/>
    <col min="19" max="19" width="10.28515625" style="313" customWidth="1"/>
    <col min="20" max="20" width="25.42578125" style="313" customWidth="1"/>
    <col min="21" max="21" width="8.85546875" style="313" customWidth="1"/>
    <col min="22" max="23" width="7.5703125" style="313" customWidth="1"/>
    <col min="24" max="27" width="5.42578125" style="313" customWidth="1"/>
    <col min="28" max="28" width="3.7109375" style="313" customWidth="1"/>
    <col min="29" max="29" width="3.7109375" style="313" hidden="1" customWidth="1"/>
    <col min="30" max="30" width="7.28515625" style="313" hidden="1" customWidth="1"/>
    <col min="31" max="31" width="12.42578125" style="313" hidden="1" customWidth="1"/>
    <col min="32" max="32" width="6" style="313" hidden="1" customWidth="1"/>
    <col min="33" max="34" width="8" style="313" hidden="1" customWidth="1"/>
    <col min="35" max="35" width="6" style="313" hidden="1" customWidth="1"/>
    <col min="36" max="36" width="9" style="313" hidden="1" customWidth="1"/>
    <col min="37" max="37" width="6.42578125" style="363" hidden="1" customWidth="1"/>
    <col min="38" max="38" width="7.42578125" style="363" hidden="1" customWidth="1"/>
    <col min="39" max="39" width="6" style="385" hidden="1" customWidth="1"/>
    <col min="40" max="40" width="9.42578125" style="313" hidden="1" customWidth="1"/>
    <col min="41" max="41" width="8.42578125" style="313" hidden="1" customWidth="1"/>
    <col min="42" max="42" width="8.42578125" style="313" customWidth="1" collapsed="1"/>
    <col min="43" max="43" width="6.7109375" style="362" customWidth="1"/>
    <col min="44" max="44" width="5.42578125" style="361" customWidth="1"/>
    <col min="45" max="45" width="7" style="313" customWidth="1"/>
    <col min="46" max="16384" width="8.85546875" style="313"/>
  </cols>
  <sheetData>
    <row r="2" spans="1:47" ht="17.25" customHeight="1">
      <c r="C2" s="136" t="s">
        <v>77</v>
      </c>
      <c r="D2" s="136"/>
      <c r="E2" s="1265">
        <f>'Proof cost'!I5</f>
        <v>180</v>
      </c>
      <c r="F2" s="386" t="s">
        <v>11</v>
      </c>
      <c r="G2" s="136"/>
      <c r="H2" s="136"/>
      <c r="I2" s="791"/>
      <c r="J2" s="1038"/>
      <c r="AK2" s="313"/>
      <c r="AL2" s="313"/>
      <c r="AM2" s="1036"/>
      <c r="AN2" s="1037"/>
    </row>
    <row r="3" spans="1:47" ht="17.25" customHeight="1">
      <c r="C3" s="136" t="s">
        <v>1342</v>
      </c>
      <c r="D3" s="136"/>
      <c r="E3" s="1265">
        <f>E2*(1+$G$3)</f>
        <v>180</v>
      </c>
      <c r="F3" s="386" t="s">
        <v>11</v>
      </c>
      <c r="G3" s="1266">
        <v>0</v>
      </c>
      <c r="H3" s="136" t="s">
        <v>1094</v>
      </c>
      <c r="AK3" s="313"/>
      <c r="AL3" s="313"/>
      <c r="AM3" s="1036"/>
      <c r="AN3" s="1037"/>
    </row>
    <row r="4" spans="1:47" ht="17.25" customHeight="1">
      <c r="C4" s="136" t="s">
        <v>1341</v>
      </c>
      <c r="D4" s="136"/>
      <c r="E4" s="1265">
        <f>E3*(1+$G$4)</f>
        <v>198.00000000000003</v>
      </c>
      <c r="F4" s="386" t="s">
        <v>11</v>
      </c>
      <c r="G4" s="1266">
        <v>0.1</v>
      </c>
      <c r="H4" s="136" t="s">
        <v>78</v>
      </c>
      <c r="J4" s="1039"/>
      <c r="K4" s="1040"/>
      <c r="M4" s="1041">
        <v>0.8</v>
      </c>
      <c r="N4" s="1042" t="s">
        <v>731</v>
      </c>
      <c r="AK4" s="313"/>
      <c r="AL4" s="313"/>
      <c r="AM4" s="1036"/>
      <c r="AN4" s="1037"/>
    </row>
    <row r="5" spans="1:47" ht="15" customHeight="1">
      <c r="F5" s="385"/>
      <c r="J5" s="1039"/>
      <c r="K5" s="1040"/>
      <c r="M5" s="1041">
        <v>0.95</v>
      </c>
      <c r="N5" s="1042" t="s">
        <v>368</v>
      </c>
      <c r="AK5" s="313"/>
      <c r="AL5" s="313"/>
      <c r="AM5" s="1036"/>
      <c r="AN5" s="1037"/>
      <c r="AR5" s="393"/>
      <c r="AS5" s="1043"/>
    </row>
    <row r="6" spans="1:47" s="385" customFormat="1" ht="12.95" customHeight="1">
      <c r="A6" s="4291" t="s">
        <v>274</v>
      </c>
      <c r="B6" s="4292"/>
      <c r="C6" s="4292"/>
      <c r="D6" s="4292"/>
      <c r="E6" s="4292"/>
      <c r="F6" s="4292"/>
      <c r="G6" s="4293"/>
      <c r="H6" s="4297" t="s">
        <v>166</v>
      </c>
      <c r="I6" s="4299" t="s">
        <v>165</v>
      </c>
      <c r="J6" s="4299"/>
      <c r="K6" s="4299" t="s">
        <v>167</v>
      </c>
      <c r="L6" s="4299"/>
      <c r="M6" s="4299" t="s">
        <v>20</v>
      </c>
      <c r="N6" s="4297" t="s">
        <v>170</v>
      </c>
      <c r="O6" s="4299" t="s">
        <v>2049</v>
      </c>
      <c r="P6" s="4299"/>
      <c r="Q6" s="4301" t="s">
        <v>85</v>
      </c>
      <c r="R6" s="4297" t="s">
        <v>182</v>
      </c>
      <c r="S6" s="4297" t="s">
        <v>745</v>
      </c>
      <c r="AM6" s="1044"/>
      <c r="AN6" s="1037"/>
      <c r="AO6" s="384"/>
      <c r="AP6" s="384"/>
      <c r="AQ6" s="1045"/>
      <c r="AR6" s="393"/>
      <c r="AS6" s="1043"/>
      <c r="AT6" s="313"/>
      <c r="AU6" s="313"/>
    </row>
    <row r="7" spans="1:47" ht="12.75">
      <c r="A7" s="4294"/>
      <c r="B7" s="4295"/>
      <c r="C7" s="4295"/>
      <c r="D7" s="4295"/>
      <c r="E7" s="4295"/>
      <c r="F7" s="4295"/>
      <c r="G7" s="4296"/>
      <c r="H7" s="4298"/>
      <c r="I7" s="1267" t="s">
        <v>1413</v>
      </c>
      <c r="J7" s="1267" t="s">
        <v>181</v>
      </c>
      <c r="K7" s="1268" t="s">
        <v>168</v>
      </c>
      <c r="L7" s="1267" t="s">
        <v>169</v>
      </c>
      <c r="M7" s="4300"/>
      <c r="N7" s="4298"/>
      <c r="O7" s="1267" t="s">
        <v>168</v>
      </c>
      <c r="P7" s="1267" t="s">
        <v>169</v>
      </c>
      <c r="Q7" s="4302"/>
      <c r="R7" s="4298"/>
      <c r="S7" s="4298"/>
      <c r="T7" s="313" t="s">
        <v>2055</v>
      </c>
      <c r="AK7" s="313"/>
      <c r="AL7" s="313"/>
      <c r="AM7" s="1044"/>
      <c r="AN7" s="1036"/>
      <c r="AO7" s="384"/>
      <c r="AP7" s="384"/>
      <c r="AQ7" s="1045"/>
      <c r="AR7" s="393"/>
      <c r="AS7" s="1043"/>
    </row>
    <row r="8" spans="1:47" ht="12.75">
      <c r="A8" s="385" t="s">
        <v>141</v>
      </c>
      <c r="B8" s="1255" t="s">
        <v>185</v>
      </c>
      <c r="C8" s="1256" t="s">
        <v>739</v>
      </c>
      <c r="D8" s="1256"/>
      <c r="E8" s="1256"/>
      <c r="F8" s="1256"/>
      <c r="G8" s="1256"/>
      <c r="H8" s="1256">
        <f>SUM('Proof cost'!$J$23:$J$37)</f>
        <v>800</v>
      </c>
      <c r="I8" s="1256">
        <v>10000</v>
      </c>
      <c r="J8" s="1256" t="s">
        <v>5</v>
      </c>
      <c r="K8" s="2145">
        <v>0</v>
      </c>
      <c r="L8" s="1256">
        <v>3</v>
      </c>
      <c r="M8" s="1256">
        <f>IF(H8&gt;0,10/60,0)*COUNTIFS(Paper!$AN$7:$AN$12,"Roll",Paper!$V$7:$V$12,"&gt;0")</f>
        <v>0.16666666666666666</v>
      </c>
      <c r="N8" s="2152">
        <f>IF(H8&gt;0,ROUNDUP(((H8/I8)/$M$5+M8),1),0)</f>
        <v>0.30000000000000004</v>
      </c>
      <c r="O8" s="1256"/>
      <c r="P8" s="1256">
        <f>Data!$N$1157</f>
        <v>57554.664656607813</v>
      </c>
      <c r="Q8" s="1256">
        <f t="shared" ref="Q8:Q38" si="0">(N8*O8*K8+N8*P8*L8)*(1+$R$312)</f>
        <v>51799.198190947034</v>
      </c>
      <c r="R8" s="1256">
        <f>IF($E$2&gt;0,Q8/$E$2,0)</f>
        <v>287.77332328303908</v>
      </c>
      <c r="S8" s="1257">
        <f>IF(M8&gt;0,K8*O8+L8*P8,0)</f>
        <v>172663.99396982344</v>
      </c>
      <c r="T8" s="313" t="str">
        <f ca="1">'Production cost'!T8</f>
        <v>Box</v>
      </c>
      <c r="X8" s="363"/>
      <c r="Y8" s="363"/>
      <c r="Z8" s="363"/>
      <c r="AA8" s="363"/>
      <c r="AM8" s="1044"/>
      <c r="AN8" s="1044"/>
      <c r="AO8" s="1043"/>
      <c r="AP8" s="1043"/>
      <c r="AQ8" s="1047"/>
      <c r="AR8" s="1048"/>
      <c r="AS8" s="385"/>
      <c r="AT8" s="392"/>
      <c r="AU8" s="392"/>
    </row>
    <row r="9" spans="1:47" ht="12.75">
      <c r="A9" s="385" t="s">
        <v>142</v>
      </c>
      <c r="B9" s="1258" t="s">
        <v>185</v>
      </c>
      <c r="C9" s="313" t="s">
        <v>28</v>
      </c>
      <c r="F9" s="363" t="str">
        <f ca="1">'Production cost'!$F9</f>
        <v>Box</v>
      </c>
      <c r="H9" s="313">
        <f ca="1">IFERROR(IF($F9="PCS",$E$4,VLOOKUP($F9,'Proof cost'!$I$23:$X$55,2,0)),0)</f>
        <v>800</v>
      </c>
      <c r="I9" s="313" t="str">
        <f ca="1">'Production cost'!$I9</f>
        <v>8000</v>
      </c>
      <c r="J9" s="313" t="s">
        <v>5</v>
      </c>
      <c r="K9" s="360">
        <v>0</v>
      </c>
      <c r="L9" s="313" t="str">
        <f ca="1">'Production cost'!$L9</f>
        <v>3</v>
      </c>
      <c r="M9" s="313">
        <f ca="1">IF(H9&gt;0,10/60,0)</f>
        <v>0.16666666666666666</v>
      </c>
      <c r="N9" s="983">
        <f ca="1">IF(H9&gt;0,ROUNDUP(((H9/I9)/$M$5+M9),1),0)</f>
        <v>0.30000000000000004</v>
      </c>
      <c r="P9" s="313">
        <f>Data!$N$1157</f>
        <v>57554.664656607813</v>
      </c>
      <c r="Q9" s="313">
        <f t="shared" ca="1" si="0"/>
        <v>51799.198190947034</v>
      </c>
      <c r="R9" s="313">
        <f ca="1">IF($E$2&gt;0,Q9/$E$2,0)</f>
        <v>287.77332328303908</v>
      </c>
      <c r="S9" s="1741">
        <f ca="1">IF(M9&gt;0,K9*O9+L9*P9,0)</f>
        <v>172663.99396982344</v>
      </c>
      <c r="T9" s="313" t="str">
        <f ca="1">'Production cost'!T9</f>
        <v>Box</v>
      </c>
      <c r="X9" s="363"/>
      <c r="Y9" s="363"/>
      <c r="Z9" s="363"/>
      <c r="AA9" s="363"/>
      <c r="AK9" s="313"/>
      <c r="AL9" s="313"/>
      <c r="AM9" s="313"/>
      <c r="AO9" s="1043"/>
      <c r="AP9" s="1043"/>
      <c r="AQ9" s="1047"/>
      <c r="AR9" s="1048"/>
      <c r="AS9" s="385"/>
      <c r="AT9" s="392"/>
      <c r="AU9" s="392"/>
    </row>
    <row r="10" spans="1:47" ht="12.75" outlineLevel="1">
      <c r="A10" s="385"/>
      <c r="B10" s="1258" t="s">
        <v>185</v>
      </c>
      <c r="C10" s="313" t="s">
        <v>28</v>
      </c>
      <c r="F10" s="363" t="str">
        <f ca="1">'Production cost'!$F10</f>
        <v>N</v>
      </c>
      <c r="H10" s="313">
        <f ca="1">IFERROR(IF($F10="PCS",$E$4,VLOOKUP($F10,'Proof cost'!$I$23:$X$55,2,0)),0)</f>
        <v>0</v>
      </c>
      <c r="I10" s="313">
        <f ca="1">'Production cost'!$I10</f>
        <v>7000</v>
      </c>
      <c r="J10" s="313" t="s">
        <v>5</v>
      </c>
      <c r="K10" s="360">
        <v>0</v>
      </c>
      <c r="L10" s="313">
        <f ca="1">'Production cost'!$L10</f>
        <v>2</v>
      </c>
      <c r="M10" s="313">
        <f t="shared" ref="M10:M38" ca="1" si="1">IF(H10&gt;0,10/60,0)</f>
        <v>0</v>
      </c>
      <c r="N10" s="983">
        <f t="shared" ref="N10:N38" ca="1" si="2">IF(H10&gt;0,ROUNDUP(((H10/I10)/$M$5+M10),1),0)</f>
        <v>0</v>
      </c>
      <c r="P10" s="313">
        <f>Data!$N$1157</f>
        <v>57554.664656607813</v>
      </c>
      <c r="Q10" s="313">
        <f t="shared" ca="1" si="0"/>
        <v>0</v>
      </c>
      <c r="R10" s="313">
        <f t="shared" ref="R10:R38" ca="1" si="3">IF($E$2&gt;0,Q10/$E$2,0)</f>
        <v>0</v>
      </c>
      <c r="S10" s="1741">
        <f t="shared" ref="S10:S38" ca="1" si="4">IF(M10&gt;0,K10*O10+L10*P10,0)</f>
        <v>0</v>
      </c>
      <c r="T10" s="313" t="str">
        <f ca="1">'Production cost'!T10</f>
        <v>N</v>
      </c>
      <c r="X10" s="363"/>
      <c r="Y10" s="363"/>
      <c r="Z10" s="363"/>
      <c r="AA10" s="363"/>
      <c r="AK10" s="313"/>
      <c r="AL10" s="313"/>
      <c r="AM10" s="313"/>
      <c r="AO10" s="1043"/>
      <c r="AP10" s="1043"/>
      <c r="AQ10" s="1047"/>
      <c r="AR10" s="1048"/>
      <c r="AS10" s="385"/>
      <c r="AT10" s="392"/>
      <c r="AU10" s="392"/>
    </row>
    <row r="11" spans="1:47" ht="12.75" outlineLevel="1">
      <c r="A11" s="385"/>
      <c r="B11" s="1258" t="s">
        <v>185</v>
      </c>
      <c r="C11" s="313" t="s">
        <v>28</v>
      </c>
      <c r="F11" s="363" t="str">
        <f ca="1">'Production cost'!$F11</f>
        <v>N</v>
      </c>
      <c r="H11" s="313">
        <f ca="1">IFERROR(IF($F11="PCS",$E$4,VLOOKUP($F11,'Proof cost'!$I$23:$X$55,2,0)),0)</f>
        <v>0</v>
      </c>
      <c r="I11" s="313">
        <f ca="1">'Production cost'!$I11</f>
        <v>7000</v>
      </c>
      <c r="J11" s="313" t="s">
        <v>5</v>
      </c>
      <c r="K11" s="360">
        <v>0</v>
      </c>
      <c r="L11" s="313">
        <f ca="1">'Production cost'!$L11</f>
        <v>2</v>
      </c>
      <c r="M11" s="313">
        <f t="shared" ca="1" si="1"/>
        <v>0</v>
      </c>
      <c r="N11" s="983">
        <f t="shared" ca="1" si="2"/>
        <v>0</v>
      </c>
      <c r="P11" s="313">
        <f>Data!$N$1157</f>
        <v>57554.664656607813</v>
      </c>
      <c r="Q11" s="313">
        <f t="shared" ca="1" si="0"/>
        <v>0</v>
      </c>
      <c r="R11" s="313">
        <f t="shared" ca="1" si="3"/>
        <v>0</v>
      </c>
      <c r="S11" s="1741">
        <f t="shared" ca="1" si="4"/>
        <v>0</v>
      </c>
      <c r="T11" s="313" t="str">
        <f ca="1">'Production cost'!T11</f>
        <v>N</v>
      </c>
      <c r="X11" s="363"/>
      <c r="Y11" s="363"/>
      <c r="Z11" s="363"/>
      <c r="AA11" s="363"/>
      <c r="AK11" s="313"/>
      <c r="AL11" s="313"/>
      <c r="AM11" s="313"/>
      <c r="AO11" s="1043"/>
      <c r="AP11" s="1043"/>
      <c r="AQ11" s="1047"/>
      <c r="AR11" s="1048"/>
      <c r="AS11" s="385"/>
      <c r="AT11" s="392"/>
      <c r="AU11" s="392"/>
    </row>
    <row r="12" spans="1:47" ht="12.75" outlineLevel="1">
      <c r="A12" s="385"/>
      <c r="B12" s="1258" t="s">
        <v>185</v>
      </c>
      <c r="C12" s="313" t="s">
        <v>28</v>
      </c>
      <c r="F12" s="363" t="str">
        <f ca="1">'Production cost'!$F12</f>
        <v>N</v>
      </c>
      <c r="H12" s="313">
        <f ca="1">IFERROR(IF($F12="PCS",$E$4,VLOOKUP($F12,'Proof cost'!$I$23:$X$55,2,0)),0)</f>
        <v>0</v>
      </c>
      <c r="I12" s="313">
        <f ca="1">'Production cost'!$I12</f>
        <v>7000</v>
      </c>
      <c r="J12" s="313" t="s">
        <v>5</v>
      </c>
      <c r="K12" s="360">
        <v>0</v>
      </c>
      <c r="L12" s="313">
        <f ca="1">'Production cost'!$L12</f>
        <v>2</v>
      </c>
      <c r="M12" s="313">
        <f t="shared" ca="1" si="1"/>
        <v>0</v>
      </c>
      <c r="N12" s="983">
        <f t="shared" ca="1" si="2"/>
        <v>0</v>
      </c>
      <c r="P12" s="313">
        <f>Data!$N$1157</f>
        <v>57554.664656607813</v>
      </c>
      <c r="Q12" s="313">
        <f t="shared" ca="1" si="0"/>
        <v>0</v>
      </c>
      <c r="R12" s="313">
        <f t="shared" ca="1" si="3"/>
        <v>0</v>
      </c>
      <c r="S12" s="1741">
        <f t="shared" ca="1" si="4"/>
        <v>0</v>
      </c>
      <c r="T12" s="313" t="str">
        <f ca="1">'Production cost'!T12</f>
        <v>N</v>
      </c>
      <c r="X12" s="363"/>
      <c r="Y12" s="363"/>
      <c r="Z12" s="363"/>
      <c r="AA12" s="363"/>
      <c r="AK12" s="313"/>
      <c r="AL12" s="313"/>
      <c r="AM12" s="313"/>
      <c r="AO12" s="1043"/>
      <c r="AP12" s="1043"/>
      <c r="AQ12" s="1047"/>
      <c r="AR12" s="1048"/>
      <c r="AS12" s="385"/>
      <c r="AT12" s="392"/>
      <c r="AU12" s="392"/>
    </row>
    <row r="13" spans="1:47" ht="12.75" outlineLevel="1">
      <c r="A13" s="385"/>
      <c r="B13" s="1258" t="s">
        <v>185</v>
      </c>
      <c r="C13" s="313" t="s">
        <v>28</v>
      </c>
      <c r="F13" s="363" t="str">
        <f ca="1">'Production cost'!$F13</f>
        <v>N</v>
      </c>
      <c r="H13" s="313">
        <f ca="1">IFERROR(IF($F13="PCS",$E$4,VLOOKUP($F13,'Proof cost'!$I$23:$X$55,2,0)),0)</f>
        <v>0</v>
      </c>
      <c r="I13" s="313">
        <f ca="1">'Production cost'!$I13</f>
        <v>7000</v>
      </c>
      <c r="J13" s="313" t="s">
        <v>5</v>
      </c>
      <c r="K13" s="360">
        <v>0</v>
      </c>
      <c r="L13" s="313">
        <f ca="1">'Production cost'!$L13</f>
        <v>2</v>
      </c>
      <c r="M13" s="313">
        <f t="shared" ca="1" si="1"/>
        <v>0</v>
      </c>
      <c r="N13" s="983">
        <f t="shared" ca="1" si="2"/>
        <v>0</v>
      </c>
      <c r="P13" s="313">
        <f>Data!$N$1157</f>
        <v>57554.664656607813</v>
      </c>
      <c r="Q13" s="313">
        <f t="shared" ca="1" si="0"/>
        <v>0</v>
      </c>
      <c r="R13" s="313">
        <f t="shared" ca="1" si="3"/>
        <v>0</v>
      </c>
      <c r="S13" s="1741">
        <f t="shared" ca="1" si="4"/>
        <v>0</v>
      </c>
      <c r="T13" s="313" t="str">
        <f ca="1">'Production cost'!T13</f>
        <v>N</v>
      </c>
      <c r="X13" s="363"/>
      <c r="Y13" s="363"/>
      <c r="Z13" s="363"/>
      <c r="AA13" s="363"/>
      <c r="AK13" s="313"/>
      <c r="AL13" s="313"/>
      <c r="AM13" s="313"/>
      <c r="AO13" s="1043"/>
      <c r="AP13" s="1043"/>
      <c r="AQ13" s="1047"/>
      <c r="AR13" s="1048"/>
      <c r="AS13" s="385"/>
      <c r="AT13" s="392"/>
      <c r="AU13" s="392"/>
    </row>
    <row r="14" spans="1:47" ht="12.75" outlineLevel="1">
      <c r="A14" s="385"/>
      <c r="B14" s="1258" t="s">
        <v>185</v>
      </c>
      <c r="C14" s="313" t="s">
        <v>28</v>
      </c>
      <c r="F14" s="363" t="str">
        <f ca="1">'Production cost'!$F14</f>
        <v>N</v>
      </c>
      <c r="H14" s="313">
        <f ca="1">IFERROR(IF($F14="PCS",$E$4,VLOOKUP($F14,'Proof cost'!$I$23:$X$55,2,0)),0)</f>
        <v>0</v>
      </c>
      <c r="I14" s="313">
        <f ca="1">'Production cost'!$I14</f>
        <v>7000</v>
      </c>
      <c r="J14" s="313" t="s">
        <v>5</v>
      </c>
      <c r="K14" s="360">
        <v>0</v>
      </c>
      <c r="L14" s="313">
        <f ca="1">'Production cost'!$L14</f>
        <v>2</v>
      </c>
      <c r="M14" s="313">
        <f t="shared" ca="1" si="1"/>
        <v>0</v>
      </c>
      <c r="N14" s="983">
        <f t="shared" ca="1" si="2"/>
        <v>0</v>
      </c>
      <c r="P14" s="313">
        <f>Data!$N$1157</f>
        <v>57554.664656607813</v>
      </c>
      <c r="Q14" s="313">
        <f t="shared" ca="1" si="0"/>
        <v>0</v>
      </c>
      <c r="R14" s="313">
        <f t="shared" ca="1" si="3"/>
        <v>0</v>
      </c>
      <c r="S14" s="1741">
        <f t="shared" ca="1" si="4"/>
        <v>0</v>
      </c>
      <c r="T14" s="313" t="str">
        <f ca="1">'Production cost'!T14</f>
        <v>N</v>
      </c>
      <c r="X14" s="363"/>
      <c r="Y14" s="363"/>
      <c r="Z14" s="363"/>
      <c r="AA14" s="363"/>
      <c r="AK14" s="313"/>
      <c r="AL14" s="313"/>
      <c r="AM14" s="313"/>
      <c r="AO14" s="1043"/>
      <c r="AP14" s="1043"/>
      <c r="AQ14" s="1047"/>
      <c r="AR14" s="1048"/>
      <c r="AS14" s="385"/>
      <c r="AT14" s="392"/>
      <c r="AU14" s="392"/>
    </row>
    <row r="15" spans="1:47" ht="12.75" outlineLevel="1">
      <c r="A15" s="385"/>
      <c r="B15" s="1258" t="s">
        <v>185</v>
      </c>
      <c r="C15" s="313" t="s">
        <v>28</v>
      </c>
      <c r="F15" s="363" t="str">
        <f ca="1">'Production cost'!$F15</f>
        <v>N</v>
      </c>
      <c r="H15" s="313">
        <f ca="1">IFERROR(IF($F15="PCS",$E$4,VLOOKUP($F15,'Proof cost'!$I$23:$X$55,2,0)),0)</f>
        <v>0</v>
      </c>
      <c r="I15" s="313">
        <f ca="1">'Production cost'!$I15</f>
        <v>7000</v>
      </c>
      <c r="J15" s="313" t="s">
        <v>5</v>
      </c>
      <c r="K15" s="360">
        <v>0</v>
      </c>
      <c r="L15" s="313">
        <f ca="1">'Production cost'!$L15</f>
        <v>2</v>
      </c>
      <c r="M15" s="313">
        <f t="shared" ca="1" si="1"/>
        <v>0</v>
      </c>
      <c r="N15" s="983">
        <f t="shared" ca="1" si="2"/>
        <v>0</v>
      </c>
      <c r="P15" s="313">
        <f>Data!$N$1157</f>
        <v>57554.664656607813</v>
      </c>
      <c r="Q15" s="313">
        <f t="shared" ca="1" si="0"/>
        <v>0</v>
      </c>
      <c r="R15" s="313">
        <f t="shared" ca="1" si="3"/>
        <v>0</v>
      </c>
      <c r="S15" s="1741">
        <f t="shared" ca="1" si="4"/>
        <v>0</v>
      </c>
      <c r="T15" s="313" t="str">
        <f ca="1">'Production cost'!T15</f>
        <v>N</v>
      </c>
      <c r="X15" s="363"/>
      <c r="Y15" s="363"/>
      <c r="Z15" s="363"/>
      <c r="AA15" s="363"/>
      <c r="AK15" s="313"/>
      <c r="AL15" s="313"/>
      <c r="AM15" s="313"/>
      <c r="AO15" s="1043"/>
      <c r="AP15" s="1043"/>
      <c r="AQ15" s="1047"/>
      <c r="AR15" s="1048"/>
      <c r="AS15" s="385"/>
      <c r="AT15" s="392"/>
      <c r="AU15" s="392"/>
    </row>
    <row r="16" spans="1:47" ht="12.75" outlineLevel="1">
      <c r="A16" s="385"/>
      <c r="B16" s="1258" t="s">
        <v>185</v>
      </c>
      <c r="C16" s="313" t="s">
        <v>28</v>
      </c>
      <c r="F16" s="363" t="str">
        <f ca="1">'Production cost'!$F16</f>
        <v>N</v>
      </c>
      <c r="H16" s="313">
        <f ca="1">IFERROR(IF($F16="PCS",$E$4,VLOOKUP($F16,'Proof cost'!$I$23:$X$55,2,0)),0)</f>
        <v>0</v>
      </c>
      <c r="I16" s="313">
        <f ca="1">'Production cost'!$I16</f>
        <v>7000</v>
      </c>
      <c r="J16" s="313" t="s">
        <v>5</v>
      </c>
      <c r="K16" s="360">
        <v>0</v>
      </c>
      <c r="L16" s="313">
        <f ca="1">'Production cost'!$L16</f>
        <v>2</v>
      </c>
      <c r="M16" s="313">
        <f t="shared" ca="1" si="1"/>
        <v>0</v>
      </c>
      <c r="N16" s="983">
        <f t="shared" ca="1" si="2"/>
        <v>0</v>
      </c>
      <c r="P16" s="313">
        <f>Data!$N$1157</f>
        <v>57554.664656607813</v>
      </c>
      <c r="Q16" s="313">
        <f t="shared" ca="1" si="0"/>
        <v>0</v>
      </c>
      <c r="R16" s="313">
        <f t="shared" ca="1" si="3"/>
        <v>0</v>
      </c>
      <c r="S16" s="1741">
        <f t="shared" ca="1" si="4"/>
        <v>0</v>
      </c>
      <c r="T16" s="313" t="str">
        <f ca="1">'Production cost'!T16</f>
        <v>N</v>
      </c>
      <c r="X16" s="363"/>
      <c r="Y16" s="363"/>
      <c r="Z16" s="363"/>
      <c r="AA16" s="363"/>
      <c r="AK16" s="313"/>
      <c r="AL16" s="313"/>
      <c r="AM16" s="313"/>
      <c r="AO16" s="1043"/>
      <c r="AP16" s="1043"/>
      <c r="AQ16" s="1047"/>
      <c r="AR16" s="1048"/>
      <c r="AS16" s="385"/>
      <c r="AT16" s="392"/>
      <c r="AU16" s="392"/>
    </row>
    <row r="17" spans="1:47" ht="12.75" outlineLevel="1">
      <c r="A17" s="385"/>
      <c r="B17" s="1258" t="s">
        <v>185</v>
      </c>
      <c r="C17" s="313" t="s">
        <v>28</v>
      </c>
      <c r="F17" s="363" t="str">
        <f ca="1">'Production cost'!$F17</f>
        <v>N</v>
      </c>
      <c r="H17" s="313">
        <f ca="1">IFERROR(IF($F17="PCS",$E$4,VLOOKUP($F17,'Proof cost'!$I$23:$X$55,2,0)),0)</f>
        <v>0</v>
      </c>
      <c r="I17" s="313">
        <f ca="1">'Production cost'!$I17</f>
        <v>7000</v>
      </c>
      <c r="J17" s="313" t="s">
        <v>5</v>
      </c>
      <c r="K17" s="360">
        <v>0</v>
      </c>
      <c r="L17" s="313">
        <f ca="1">'Production cost'!$L17</f>
        <v>2</v>
      </c>
      <c r="M17" s="313">
        <f t="shared" ca="1" si="1"/>
        <v>0</v>
      </c>
      <c r="N17" s="983">
        <f t="shared" ca="1" si="2"/>
        <v>0</v>
      </c>
      <c r="P17" s="313">
        <f>Data!$N$1157</f>
        <v>57554.664656607813</v>
      </c>
      <c r="Q17" s="313">
        <f t="shared" ca="1" si="0"/>
        <v>0</v>
      </c>
      <c r="R17" s="313">
        <f t="shared" ca="1" si="3"/>
        <v>0</v>
      </c>
      <c r="S17" s="1741">
        <f t="shared" ca="1" si="4"/>
        <v>0</v>
      </c>
      <c r="T17" s="313" t="str">
        <f ca="1">'Production cost'!T17</f>
        <v>N</v>
      </c>
      <c r="X17" s="363"/>
      <c r="Y17" s="363"/>
      <c r="Z17" s="363"/>
      <c r="AA17" s="363"/>
      <c r="AK17" s="313"/>
      <c r="AL17" s="313"/>
      <c r="AM17" s="313"/>
      <c r="AO17" s="1043"/>
      <c r="AP17" s="1043"/>
      <c r="AQ17" s="1047"/>
      <c r="AR17" s="1048"/>
      <c r="AS17" s="385"/>
      <c r="AT17" s="392"/>
      <c r="AU17" s="392"/>
    </row>
    <row r="18" spans="1:47" ht="12.75" outlineLevel="1">
      <c r="A18" s="385"/>
      <c r="B18" s="1258" t="s">
        <v>185</v>
      </c>
      <c r="C18" s="313" t="s">
        <v>28</v>
      </c>
      <c r="F18" s="363" t="str">
        <f ca="1">'Production cost'!$F18</f>
        <v>N</v>
      </c>
      <c r="H18" s="313">
        <f ca="1">IFERROR(IF($F18="PCS",$E$4,VLOOKUP($F18,'Proof cost'!$I$23:$X$55,2,0)),0)</f>
        <v>0</v>
      </c>
      <c r="I18" s="313">
        <f ca="1">'Production cost'!$I18</f>
        <v>7000</v>
      </c>
      <c r="J18" s="313" t="s">
        <v>5</v>
      </c>
      <c r="K18" s="360">
        <v>0</v>
      </c>
      <c r="L18" s="313">
        <f ca="1">'Production cost'!$L18</f>
        <v>2</v>
      </c>
      <c r="M18" s="313">
        <f t="shared" ca="1" si="1"/>
        <v>0</v>
      </c>
      <c r="N18" s="983">
        <f t="shared" ca="1" si="2"/>
        <v>0</v>
      </c>
      <c r="P18" s="313">
        <f>Data!$N$1157</f>
        <v>57554.664656607813</v>
      </c>
      <c r="Q18" s="313">
        <f t="shared" ca="1" si="0"/>
        <v>0</v>
      </c>
      <c r="R18" s="313">
        <f t="shared" ca="1" si="3"/>
        <v>0</v>
      </c>
      <c r="S18" s="1741">
        <f t="shared" ca="1" si="4"/>
        <v>0</v>
      </c>
      <c r="T18" s="313" t="str">
        <f ca="1">'Production cost'!T18</f>
        <v>N</v>
      </c>
      <c r="X18" s="363"/>
      <c r="Y18" s="363"/>
      <c r="Z18" s="363"/>
      <c r="AA18" s="363"/>
      <c r="AK18" s="313"/>
      <c r="AL18" s="313"/>
      <c r="AM18" s="313"/>
      <c r="AO18" s="1043"/>
      <c r="AP18" s="1043"/>
      <c r="AQ18" s="1047"/>
      <c r="AR18" s="1048"/>
      <c r="AS18" s="385"/>
      <c r="AT18" s="392"/>
      <c r="AU18" s="392"/>
    </row>
    <row r="19" spans="1:47" ht="12.75" outlineLevel="1">
      <c r="A19" s="385"/>
      <c r="B19" s="1258" t="s">
        <v>185</v>
      </c>
      <c r="C19" s="313" t="s">
        <v>28</v>
      </c>
      <c r="F19" s="363" t="str">
        <f ca="1">'Production cost'!$F19</f>
        <v>N</v>
      </c>
      <c r="H19" s="313">
        <f ca="1">IFERROR(IF($F19="PCS",$E$4,VLOOKUP($F19,'Proof cost'!$I$23:$X$55,2,0)),0)</f>
        <v>0</v>
      </c>
      <c r="I19" s="313">
        <f ca="1">'Production cost'!$I19</f>
        <v>7000</v>
      </c>
      <c r="J19" s="313" t="s">
        <v>5</v>
      </c>
      <c r="K19" s="360">
        <v>0</v>
      </c>
      <c r="L19" s="313">
        <f ca="1">'Production cost'!$L19</f>
        <v>2</v>
      </c>
      <c r="M19" s="313">
        <f t="shared" ca="1" si="1"/>
        <v>0</v>
      </c>
      <c r="N19" s="983">
        <f t="shared" ca="1" si="2"/>
        <v>0</v>
      </c>
      <c r="P19" s="313">
        <f>Data!$N$1157</f>
        <v>57554.664656607813</v>
      </c>
      <c r="Q19" s="313">
        <f t="shared" ca="1" si="0"/>
        <v>0</v>
      </c>
      <c r="R19" s="313">
        <f t="shared" ca="1" si="3"/>
        <v>0</v>
      </c>
      <c r="S19" s="1741">
        <f t="shared" ca="1" si="4"/>
        <v>0</v>
      </c>
      <c r="T19" s="313" t="str">
        <f ca="1">'Production cost'!T19</f>
        <v>N</v>
      </c>
      <c r="X19" s="363"/>
      <c r="Y19" s="363"/>
      <c r="Z19" s="363"/>
      <c r="AA19" s="363"/>
      <c r="AK19" s="313"/>
      <c r="AL19" s="313"/>
      <c r="AM19" s="313"/>
      <c r="AO19" s="1043"/>
      <c r="AP19" s="1043"/>
      <c r="AQ19" s="1047"/>
      <c r="AR19" s="1048"/>
      <c r="AS19" s="385"/>
      <c r="AT19" s="392"/>
      <c r="AU19" s="392"/>
    </row>
    <row r="20" spans="1:47" ht="12.75" outlineLevel="1">
      <c r="A20" s="385"/>
      <c r="B20" s="1258" t="s">
        <v>185</v>
      </c>
      <c r="C20" s="313" t="s">
        <v>28</v>
      </c>
      <c r="F20" s="363" t="str">
        <f ca="1">'Production cost'!$F20</f>
        <v>N</v>
      </c>
      <c r="H20" s="313">
        <f ca="1">IFERROR(IF($F20="PCS",$E$4,VLOOKUP($F20,'Proof cost'!$I$23:$X$55,2,0)),0)</f>
        <v>0</v>
      </c>
      <c r="I20" s="313">
        <f ca="1">'Production cost'!$I20</f>
        <v>7000</v>
      </c>
      <c r="J20" s="313" t="s">
        <v>5</v>
      </c>
      <c r="K20" s="360">
        <v>0</v>
      </c>
      <c r="L20" s="313">
        <f ca="1">'Production cost'!$L20</f>
        <v>2</v>
      </c>
      <c r="M20" s="313">
        <f t="shared" ca="1" si="1"/>
        <v>0</v>
      </c>
      <c r="N20" s="983">
        <f t="shared" ca="1" si="2"/>
        <v>0</v>
      </c>
      <c r="P20" s="313">
        <f>Data!$N$1157</f>
        <v>57554.664656607813</v>
      </c>
      <c r="Q20" s="313">
        <f t="shared" ca="1" si="0"/>
        <v>0</v>
      </c>
      <c r="R20" s="313">
        <f t="shared" ca="1" si="3"/>
        <v>0</v>
      </c>
      <c r="S20" s="1741">
        <f t="shared" ca="1" si="4"/>
        <v>0</v>
      </c>
      <c r="T20" s="313" t="str">
        <f ca="1">'Production cost'!T20</f>
        <v>N</v>
      </c>
      <c r="X20" s="363"/>
      <c r="Y20" s="363"/>
      <c r="Z20" s="363"/>
      <c r="AA20" s="363"/>
      <c r="AK20" s="313"/>
      <c r="AL20" s="313"/>
      <c r="AM20" s="313"/>
      <c r="AO20" s="1043"/>
      <c r="AP20" s="1043"/>
      <c r="AQ20" s="1047"/>
      <c r="AR20" s="1048"/>
      <c r="AS20" s="385"/>
      <c r="AT20" s="392"/>
      <c r="AU20" s="392"/>
    </row>
    <row r="21" spans="1:47" ht="12.75" outlineLevel="1">
      <c r="A21" s="385"/>
      <c r="B21" s="1258" t="s">
        <v>185</v>
      </c>
      <c r="C21" s="313" t="s">
        <v>28</v>
      </c>
      <c r="F21" s="363" t="str">
        <f ca="1">'Production cost'!$F21</f>
        <v>N</v>
      </c>
      <c r="H21" s="313">
        <f ca="1">IFERROR(IF($F21="PCS",$E$4,VLOOKUP($F21,'Proof cost'!$I$23:$X$55,2,0)),0)</f>
        <v>0</v>
      </c>
      <c r="I21" s="313">
        <f ca="1">'Production cost'!$I21</f>
        <v>7000</v>
      </c>
      <c r="J21" s="313" t="s">
        <v>5</v>
      </c>
      <c r="K21" s="360">
        <v>0</v>
      </c>
      <c r="L21" s="313">
        <f ca="1">'Production cost'!$L21</f>
        <v>2</v>
      </c>
      <c r="M21" s="313">
        <f t="shared" ca="1" si="1"/>
        <v>0</v>
      </c>
      <c r="N21" s="983">
        <f t="shared" ca="1" si="2"/>
        <v>0</v>
      </c>
      <c r="P21" s="313">
        <f>Data!$N$1157</f>
        <v>57554.664656607813</v>
      </c>
      <c r="Q21" s="313">
        <f t="shared" ca="1" si="0"/>
        <v>0</v>
      </c>
      <c r="R21" s="313">
        <f t="shared" ca="1" si="3"/>
        <v>0</v>
      </c>
      <c r="S21" s="1741">
        <f t="shared" ca="1" si="4"/>
        <v>0</v>
      </c>
      <c r="T21" s="313" t="str">
        <f ca="1">'Production cost'!T21</f>
        <v>N</v>
      </c>
      <c r="X21" s="363"/>
      <c r="Y21" s="363"/>
      <c r="Z21" s="363"/>
      <c r="AA21" s="363"/>
      <c r="AK21" s="313"/>
      <c r="AL21" s="313"/>
      <c r="AM21" s="313"/>
      <c r="AO21" s="1043"/>
      <c r="AP21" s="1043"/>
      <c r="AQ21" s="1047"/>
      <c r="AR21" s="1048"/>
      <c r="AS21" s="385"/>
      <c r="AT21" s="392"/>
      <c r="AU21" s="392"/>
    </row>
    <row r="22" spans="1:47" ht="12.75" outlineLevel="1">
      <c r="A22" s="385"/>
      <c r="B22" s="1258" t="s">
        <v>185</v>
      </c>
      <c r="C22" s="313" t="s">
        <v>28</v>
      </c>
      <c r="F22" s="363" t="str">
        <f ca="1">'Production cost'!$F22</f>
        <v>N</v>
      </c>
      <c r="H22" s="313">
        <f ca="1">IFERROR(IF($F22="PCS",$E$4,VLOOKUP($F22,'Proof cost'!$I$23:$X$55,2,0)),0)</f>
        <v>0</v>
      </c>
      <c r="I22" s="313">
        <f ca="1">'Production cost'!$I22</f>
        <v>7000</v>
      </c>
      <c r="J22" s="313" t="s">
        <v>5</v>
      </c>
      <c r="K22" s="360">
        <v>0</v>
      </c>
      <c r="L22" s="313">
        <f ca="1">'Production cost'!$L22</f>
        <v>2</v>
      </c>
      <c r="M22" s="313">
        <f t="shared" ca="1" si="1"/>
        <v>0</v>
      </c>
      <c r="N22" s="983">
        <f t="shared" ca="1" si="2"/>
        <v>0</v>
      </c>
      <c r="P22" s="313">
        <f>Data!$N$1157</f>
        <v>57554.664656607813</v>
      </c>
      <c r="Q22" s="313">
        <f t="shared" ca="1" si="0"/>
        <v>0</v>
      </c>
      <c r="R22" s="313">
        <f t="shared" ca="1" si="3"/>
        <v>0</v>
      </c>
      <c r="S22" s="1741">
        <f t="shared" ca="1" si="4"/>
        <v>0</v>
      </c>
      <c r="T22" s="313" t="str">
        <f ca="1">'Production cost'!T22</f>
        <v>N</v>
      </c>
      <c r="X22" s="363"/>
      <c r="Y22" s="363"/>
      <c r="Z22" s="363"/>
      <c r="AA22" s="363"/>
      <c r="AK22" s="313"/>
      <c r="AL22" s="313"/>
      <c r="AM22" s="313"/>
      <c r="AO22" s="1043"/>
      <c r="AP22" s="1043"/>
      <c r="AQ22" s="1047"/>
      <c r="AR22" s="1048"/>
      <c r="AS22" s="385"/>
      <c r="AT22" s="392"/>
      <c r="AU22" s="392"/>
    </row>
    <row r="23" spans="1:47" ht="12.75" outlineLevel="1">
      <c r="A23" s="385"/>
      <c r="B23" s="1258" t="s">
        <v>185</v>
      </c>
      <c r="C23" s="313" t="s">
        <v>28</v>
      </c>
      <c r="F23" s="363" t="str">
        <f ca="1">'Production cost'!$F23</f>
        <v>N</v>
      </c>
      <c r="H23" s="313">
        <f ca="1">IFERROR(IF($F23="PCS",$E$4,VLOOKUP($F23,'Proof cost'!$I$23:$X$55,2,0)),0)</f>
        <v>0</v>
      </c>
      <c r="I23" s="313">
        <f ca="1">'Production cost'!$I23</f>
        <v>7000</v>
      </c>
      <c r="J23" s="313" t="s">
        <v>5</v>
      </c>
      <c r="K23" s="360">
        <v>0</v>
      </c>
      <c r="L23" s="313">
        <f ca="1">'Production cost'!$L23</f>
        <v>2</v>
      </c>
      <c r="M23" s="313">
        <f t="shared" ca="1" si="1"/>
        <v>0</v>
      </c>
      <c r="N23" s="983">
        <f t="shared" ca="1" si="2"/>
        <v>0</v>
      </c>
      <c r="P23" s="313">
        <f>Data!$N$1157</f>
        <v>57554.664656607813</v>
      </c>
      <c r="Q23" s="313">
        <f t="shared" ca="1" si="0"/>
        <v>0</v>
      </c>
      <c r="R23" s="313">
        <f t="shared" ca="1" si="3"/>
        <v>0</v>
      </c>
      <c r="S23" s="1741">
        <f t="shared" ca="1" si="4"/>
        <v>0</v>
      </c>
      <c r="T23" s="313" t="str">
        <f ca="1">'Production cost'!T23</f>
        <v>N</v>
      </c>
      <c r="X23" s="363"/>
      <c r="Y23" s="363"/>
      <c r="Z23" s="363"/>
      <c r="AA23" s="363"/>
      <c r="AK23" s="313"/>
      <c r="AL23" s="313"/>
      <c r="AM23" s="313"/>
      <c r="AO23" s="1043"/>
      <c r="AP23" s="1043"/>
      <c r="AQ23" s="1047"/>
      <c r="AR23" s="1048"/>
      <c r="AS23" s="385"/>
      <c r="AT23" s="392"/>
      <c r="AU23" s="392"/>
    </row>
    <row r="24" spans="1:47" ht="12.75" outlineLevel="1">
      <c r="A24" s="385"/>
      <c r="B24" s="1258" t="s">
        <v>185</v>
      </c>
      <c r="C24" s="313" t="s">
        <v>28</v>
      </c>
      <c r="F24" s="363" t="str">
        <f ca="1">'Production cost'!$F24</f>
        <v>N</v>
      </c>
      <c r="H24" s="313">
        <f ca="1">IFERROR(IF($F24="PCS",$E$4,VLOOKUP($F24,'Proof cost'!$I$23:$X$55,2,0)),0)</f>
        <v>0</v>
      </c>
      <c r="I24" s="313">
        <f ca="1">'Production cost'!$I24</f>
        <v>7000</v>
      </c>
      <c r="J24" s="313" t="s">
        <v>5</v>
      </c>
      <c r="K24" s="360">
        <v>0</v>
      </c>
      <c r="L24" s="313">
        <f ca="1">'Production cost'!$L24</f>
        <v>2</v>
      </c>
      <c r="M24" s="313">
        <f t="shared" ca="1" si="1"/>
        <v>0</v>
      </c>
      <c r="N24" s="983">
        <f t="shared" ca="1" si="2"/>
        <v>0</v>
      </c>
      <c r="P24" s="313">
        <f>Data!$N$1157</f>
        <v>57554.664656607813</v>
      </c>
      <c r="Q24" s="313">
        <f t="shared" ca="1" si="0"/>
        <v>0</v>
      </c>
      <c r="R24" s="313">
        <f t="shared" ca="1" si="3"/>
        <v>0</v>
      </c>
      <c r="S24" s="1741">
        <f t="shared" ca="1" si="4"/>
        <v>0</v>
      </c>
      <c r="T24" s="313" t="str">
        <f ca="1">'Production cost'!T24</f>
        <v>N</v>
      </c>
      <c r="X24" s="363"/>
      <c r="Y24" s="363"/>
      <c r="Z24" s="363"/>
      <c r="AA24" s="363"/>
      <c r="AK24" s="313"/>
      <c r="AL24" s="313"/>
      <c r="AM24" s="313"/>
      <c r="AO24" s="1043"/>
      <c r="AP24" s="1043"/>
      <c r="AQ24" s="1047"/>
      <c r="AR24" s="1048"/>
      <c r="AS24" s="385"/>
      <c r="AT24" s="392"/>
      <c r="AU24" s="392"/>
    </row>
    <row r="25" spans="1:47" ht="12.75" outlineLevel="1">
      <c r="A25" s="385"/>
      <c r="B25" s="1258" t="s">
        <v>185</v>
      </c>
      <c r="C25" s="313" t="s">
        <v>28</v>
      </c>
      <c r="F25" s="363" t="str">
        <f ca="1">'Production cost'!$F25</f>
        <v>N</v>
      </c>
      <c r="H25" s="313">
        <f ca="1">IFERROR(IF($F25="PCS",$E$4,VLOOKUP($F25,'Proof cost'!$I$23:$X$55,2,0)),0)</f>
        <v>0</v>
      </c>
      <c r="I25" s="313">
        <f ca="1">'Production cost'!$I25</f>
        <v>7000</v>
      </c>
      <c r="J25" s="313" t="s">
        <v>5</v>
      </c>
      <c r="K25" s="360">
        <v>0</v>
      </c>
      <c r="L25" s="313">
        <f ca="1">'Production cost'!$L25</f>
        <v>2</v>
      </c>
      <c r="M25" s="313">
        <f t="shared" ca="1" si="1"/>
        <v>0</v>
      </c>
      <c r="N25" s="983">
        <f t="shared" ca="1" si="2"/>
        <v>0</v>
      </c>
      <c r="P25" s="313">
        <f>Data!$N$1157</f>
        <v>57554.664656607813</v>
      </c>
      <c r="Q25" s="313">
        <f t="shared" ca="1" si="0"/>
        <v>0</v>
      </c>
      <c r="R25" s="313">
        <f t="shared" ca="1" si="3"/>
        <v>0</v>
      </c>
      <c r="S25" s="1741">
        <f t="shared" ca="1" si="4"/>
        <v>0</v>
      </c>
      <c r="T25" s="313" t="str">
        <f ca="1">'Production cost'!T25</f>
        <v>N</v>
      </c>
      <c r="X25" s="363"/>
      <c r="Y25" s="363"/>
      <c r="Z25" s="363"/>
      <c r="AA25" s="363"/>
      <c r="AK25" s="313"/>
      <c r="AL25" s="313"/>
      <c r="AM25" s="313"/>
      <c r="AO25" s="1043"/>
      <c r="AP25" s="1043"/>
      <c r="AQ25" s="1047"/>
      <c r="AR25" s="1048"/>
      <c r="AS25" s="385"/>
      <c r="AT25" s="392"/>
      <c r="AU25" s="392"/>
    </row>
    <row r="26" spans="1:47" ht="12.75" outlineLevel="1">
      <c r="A26" s="385"/>
      <c r="B26" s="1258" t="s">
        <v>185</v>
      </c>
      <c r="C26" s="313" t="s">
        <v>28</v>
      </c>
      <c r="F26" s="363" t="str">
        <f ca="1">'Production cost'!$F26</f>
        <v>N</v>
      </c>
      <c r="H26" s="313">
        <f ca="1">IFERROR(IF($F26="PCS",$E$4,VLOOKUP($F26,'Proof cost'!$I$23:$X$55,2,0)),0)</f>
        <v>0</v>
      </c>
      <c r="I26" s="313">
        <f ca="1">'Production cost'!$I26</f>
        <v>7000</v>
      </c>
      <c r="J26" s="313" t="s">
        <v>5</v>
      </c>
      <c r="K26" s="360">
        <v>0</v>
      </c>
      <c r="L26" s="313">
        <f ca="1">'Production cost'!$L26</f>
        <v>2</v>
      </c>
      <c r="M26" s="313">
        <f t="shared" ca="1" si="1"/>
        <v>0</v>
      </c>
      <c r="N26" s="983">
        <f t="shared" ca="1" si="2"/>
        <v>0</v>
      </c>
      <c r="P26" s="313">
        <f>Data!$N$1157</f>
        <v>57554.664656607813</v>
      </c>
      <c r="Q26" s="313">
        <f t="shared" ca="1" si="0"/>
        <v>0</v>
      </c>
      <c r="R26" s="313">
        <f t="shared" ca="1" si="3"/>
        <v>0</v>
      </c>
      <c r="S26" s="1741">
        <f t="shared" ca="1" si="4"/>
        <v>0</v>
      </c>
      <c r="T26" s="313" t="str">
        <f ca="1">'Production cost'!T26</f>
        <v>N</v>
      </c>
      <c r="X26" s="363"/>
      <c r="Y26" s="363"/>
      <c r="Z26" s="363"/>
      <c r="AA26" s="363"/>
      <c r="AK26" s="313"/>
      <c r="AL26" s="313"/>
      <c r="AM26" s="313"/>
      <c r="AO26" s="1043"/>
      <c r="AP26" s="1043"/>
      <c r="AQ26" s="1047"/>
      <c r="AR26" s="1048"/>
      <c r="AS26" s="385"/>
      <c r="AT26" s="392"/>
      <c r="AU26" s="392"/>
    </row>
    <row r="27" spans="1:47" ht="12.75" outlineLevel="1">
      <c r="A27" s="385"/>
      <c r="B27" s="1258" t="s">
        <v>185</v>
      </c>
      <c r="C27" s="313" t="s">
        <v>28</v>
      </c>
      <c r="F27" s="363" t="str">
        <f ca="1">'Production cost'!$F27</f>
        <v>N</v>
      </c>
      <c r="H27" s="313">
        <f ca="1">IFERROR(IF($F27="PCS",$E$4,VLOOKUP($F27,'Proof cost'!$I$23:$X$55,2,0)),0)</f>
        <v>0</v>
      </c>
      <c r="I27" s="313">
        <f ca="1">'Production cost'!$I27</f>
        <v>7000</v>
      </c>
      <c r="J27" s="313" t="s">
        <v>5</v>
      </c>
      <c r="K27" s="360">
        <v>0</v>
      </c>
      <c r="L27" s="313">
        <f ca="1">'Production cost'!$L27</f>
        <v>2</v>
      </c>
      <c r="M27" s="313">
        <f t="shared" ca="1" si="1"/>
        <v>0</v>
      </c>
      <c r="N27" s="983">
        <f t="shared" ca="1" si="2"/>
        <v>0</v>
      </c>
      <c r="P27" s="313">
        <f>Data!$N$1157</f>
        <v>57554.664656607813</v>
      </c>
      <c r="Q27" s="313">
        <f t="shared" ca="1" si="0"/>
        <v>0</v>
      </c>
      <c r="R27" s="313">
        <f t="shared" ca="1" si="3"/>
        <v>0</v>
      </c>
      <c r="S27" s="1741">
        <f t="shared" ca="1" si="4"/>
        <v>0</v>
      </c>
      <c r="T27" s="313" t="str">
        <f ca="1">'Production cost'!T27</f>
        <v>N</v>
      </c>
      <c r="X27" s="363"/>
      <c r="Y27" s="363"/>
      <c r="Z27" s="363"/>
      <c r="AA27" s="363"/>
      <c r="AK27" s="313"/>
      <c r="AL27" s="313"/>
      <c r="AM27" s="313"/>
      <c r="AO27" s="1043"/>
      <c r="AP27" s="1043"/>
      <c r="AQ27" s="1047"/>
      <c r="AR27" s="1048"/>
      <c r="AS27" s="385"/>
      <c r="AT27" s="392"/>
      <c r="AU27" s="392"/>
    </row>
    <row r="28" spans="1:47" ht="12.75" outlineLevel="1">
      <c r="A28" s="385"/>
      <c r="B28" s="1258" t="s">
        <v>185</v>
      </c>
      <c r="C28" s="313" t="s">
        <v>28</v>
      </c>
      <c r="F28" s="363" t="str">
        <f ca="1">'Production cost'!$F28</f>
        <v>N</v>
      </c>
      <c r="H28" s="313">
        <f ca="1">IFERROR(IF($F28="PCS",$E$4,VLOOKUP($F28,'Proof cost'!$I$23:$X$55,2,0)),0)</f>
        <v>0</v>
      </c>
      <c r="I28" s="313">
        <f ca="1">'Production cost'!$I28</f>
        <v>7000</v>
      </c>
      <c r="J28" s="313" t="s">
        <v>5</v>
      </c>
      <c r="K28" s="360">
        <v>0</v>
      </c>
      <c r="L28" s="313">
        <f ca="1">'Production cost'!$L28</f>
        <v>2</v>
      </c>
      <c r="M28" s="313">
        <f t="shared" ca="1" si="1"/>
        <v>0</v>
      </c>
      <c r="N28" s="983">
        <f t="shared" ca="1" si="2"/>
        <v>0</v>
      </c>
      <c r="P28" s="313">
        <f>Data!$N$1157</f>
        <v>57554.664656607813</v>
      </c>
      <c r="Q28" s="313">
        <f t="shared" ca="1" si="0"/>
        <v>0</v>
      </c>
      <c r="R28" s="313">
        <f t="shared" ca="1" si="3"/>
        <v>0</v>
      </c>
      <c r="S28" s="1741">
        <f t="shared" ca="1" si="4"/>
        <v>0</v>
      </c>
      <c r="T28" s="313" t="str">
        <f ca="1">'Production cost'!T28</f>
        <v>N</v>
      </c>
      <c r="X28" s="363"/>
      <c r="Y28" s="363"/>
      <c r="Z28" s="363"/>
      <c r="AA28" s="363"/>
      <c r="AK28" s="313"/>
      <c r="AL28" s="313"/>
      <c r="AM28" s="313"/>
      <c r="AO28" s="1043"/>
      <c r="AP28" s="1043"/>
      <c r="AQ28" s="1047"/>
      <c r="AR28" s="1048"/>
      <c r="AS28" s="385"/>
      <c r="AT28" s="392"/>
      <c r="AU28" s="392"/>
    </row>
    <row r="29" spans="1:47" ht="12.75" outlineLevel="1">
      <c r="A29" s="385"/>
      <c r="B29" s="1258" t="s">
        <v>185</v>
      </c>
      <c r="C29" s="313" t="s">
        <v>28</v>
      </c>
      <c r="F29" s="363" t="str">
        <f ca="1">'Production cost'!$F29</f>
        <v>N</v>
      </c>
      <c r="H29" s="313">
        <f ca="1">IFERROR(IF($F29="PCS",$E$4,VLOOKUP($F29,'Proof cost'!$I$23:$X$55,2,0)),0)</f>
        <v>0</v>
      </c>
      <c r="I29" s="313">
        <f ca="1">'Production cost'!$I29</f>
        <v>7000</v>
      </c>
      <c r="J29" s="313" t="s">
        <v>5</v>
      </c>
      <c r="K29" s="360">
        <v>0</v>
      </c>
      <c r="L29" s="313">
        <f ca="1">'Production cost'!$L29</f>
        <v>2</v>
      </c>
      <c r="M29" s="313">
        <f t="shared" ca="1" si="1"/>
        <v>0</v>
      </c>
      <c r="N29" s="983">
        <f t="shared" ca="1" si="2"/>
        <v>0</v>
      </c>
      <c r="P29" s="313">
        <f>Data!$N$1157</f>
        <v>57554.664656607813</v>
      </c>
      <c r="Q29" s="313">
        <f t="shared" ca="1" si="0"/>
        <v>0</v>
      </c>
      <c r="R29" s="313">
        <f t="shared" ca="1" si="3"/>
        <v>0</v>
      </c>
      <c r="S29" s="1741">
        <f t="shared" ca="1" si="4"/>
        <v>0</v>
      </c>
      <c r="T29" s="313" t="str">
        <f ca="1">'Production cost'!T29</f>
        <v>N</v>
      </c>
      <c r="X29" s="363"/>
      <c r="Y29" s="363"/>
      <c r="Z29" s="363"/>
      <c r="AA29" s="363"/>
      <c r="AK29" s="313"/>
      <c r="AL29" s="313"/>
      <c r="AM29" s="313"/>
      <c r="AO29" s="1043"/>
      <c r="AP29" s="1043"/>
      <c r="AQ29" s="1047"/>
      <c r="AR29" s="1048"/>
      <c r="AS29" s="385"/>
      <c r="AT29" s="392"/>
      <c r="AU29" s="392"/>
    </row>
    <row r="30" spans="1:47" ht="12.75" outlineLevel="1">
      <c r="A30" s="385"/>
      <c r="B30" s="1258" t="s">
        <v>185</v>
      </c>
      <c r="C30" s="313" t="s">
        <v>28</v>
      </c>
      <c r="F30" s="363" t="str">
        <f ca="1">'Production cost'!$F30</f>
        <v>N</v>
      </c>
      <c r="H30" s="313">
        <f ca="1">IFERROR(IF($F30="PCS",$E$4,VLOOKUP($F30,'Proof cost'!$I$23:$X$55,2,0)),0)</f>
        <v>0</v>
      </c>
      <c r="I30" s="313">
        <f ca="1">'Production cost'!$I30</f>
        <v>7000</v>
      </c>
      <c r="J30" s="313" t="s">
        <v>5</v>
      </c>
      <c r="K30" s="360">
        <v>0</v>
      </c>
      <c r="L30" s="313">
        <f ca="1">'Production cost'!$L30</f>
        <v>2</v>
      </c>
      <c r="M30" s="313">
        <f t="shared" ca="1" si="1"/>
        <v>0</v>
      </c>
      <c r="N30" s="983">
        <f t="shared" ca="1" si="2"/>
        <v>0</v>
      </c>
      <c r="P30" s="313">
        <f>Data!$N$1157</f>
        <v>57554.664656607813</v>
      </c>
      <c r="Q30" s="313">
        <f t="shared" ca="1" si="0"/>
        <v>0</v>
      </c>
      <c r="R30" s="313">
        <f t="shared" ca="1" si="3"/>
        <v>0</v>
      </c>
      <c r="S30" s="1741">
        <f t="shared" ca="1" si="4"/>
        <v>0</v>
      </c>
      <c r="T30" s="313" t="str">
        <f ca="1">'Production cost'!T30</f>
        <v>N</v>
      </c>
      <c r="X30" s="363"/>
      <c r="Y30" s="363"/>
      <c r="Z30" s="363"/>
      <c r="AA30" s="363"/>
      <c r="AK30" s="313"/>
      <c r="AL30" s="313"/>
      <c r="AM30" s="313"/>
      <c r="AO30" s="1043"/>
      <c r="AP30" s="1043"/>
      <c r="AQ30" s="1047"/>
      <c r="AR30" s="1048"/>
      <c r="AS30" s="385"/>
      <c r="AT30" s="392"/>
      <c r="AU30" s="392"/>
    </row>
    <row r="31" spans="1:47" ht="12.75" outlineLevel="1">
      <c r="A31" s="385"/>
      <c r="B31" s="1258" t="s">
        <v>185</v>
      </c>
      <c r="C31" s="313" t="s">
        <v>28</v>
      </c>
      <c r="F31" s="363" t="str">
        <f ca="1">'Production cost'!$F31</f>
        <v>N</v>
      </c>
      <c r="H31" s="313">
        <f ca="1">IFERROR(IF($F31="PCS",$E$4,VLOOKUP($F31,'Proof cost'!$I$23:$X$55,2,0)),0)</f>
        <v>0</v>
      </c>
      <c r="I31" s="313">
        <f ca="1">'Production cost'!$I31</f>
        <v>7000</v>
      </c>
      <c r="J31" s="313" t="s">
        <v>5</v>
      </c>
      <c r="K31" s="360">
        <v>0</v>
      </c>
      <c r="L31" s="313">
        <f ca="1">'Production cost'!$L31</f>
        <v>2</v>
      </c>
      <c r="M31" s="313">
        <f t="shared" ca="1" si="1"/>
        <v>0</v>
      </c>
      <c r="N31" s="983">
        <f t="shared" ca="1" si="2"/>
        <v>0</v>
      </c>
      <c r="P31" s="313">
        <f>Data!$N$1157</f>
        <v>57554.664656607813</v>
      </c>
      <c r="Q31" s="313">
        <f t="shared" ca="1" si="0"/>
        <v>0</v>
      </c>
      <c r="R31" s="313">
        <f t="shared" ca="1" si="3"/>
        <v>0</v>
      </c>
      <c r="S31" s="1741">
        <f t="shared" ca="1" si="4"/>
        <v>0</v>
      </c>
      <c r="T31" s="313" t="str">
        <f ca="1">'Production cost'!T31</f>
        <v>N</v>
      </c>
      <c r="X31" s="363"/>
      <c r="Y31" s="363"/>
      <c r="Z31" s="363"/>
      <c r="AA31" s="363"/>
      <c r="AK31" s="313"/>
      <c r="AL31" s="313"/>
      <c r="AM31" s="313"/>
      <c r="AO31" s="1043"/>
      <c r="AP31" s="1043"/>
      <c r="AQ31" s="1047"/>
      <c r="AR31" s="1048"/>
      <c r="AS31" s="385"/>
      <c r="AT31" s="392"/>
      <c r="AU31" s="392"/>
    </row>
    <row r="32" spans="1:47" ht="12.75" outlineLevel="1">
      <c r="A32" s="385"/>
      <c r="B32" s="1258" t="s">
        <v>185</v>
      </c>
      <c r="C32" s="313" t="s">
        <v>28</v>
      </c>
      <c r="F32" s="363" t="str">
        <f ca="1">'Production cost'!$F32</f>
        <v>N</v>
      </c>
      <c r="H32" s="313">
        <f ca="1">IFERROR(IF($F32="PCS",$E$4,VLOOKUP($F32,'Proof cost'!$I$23:$X$55,2,0)),0)</f>
        <v>0</v>
      </c>
      <c r="I32" s="313">
        <f ca="1">'Production cost'!$I32</f>
        <v>7000</v>
      </c>
      <c r="J32" s="313" t="s">
        <v>5</v>
      </c>
      <c r="K32" s="360">
        <v>0</v>
      </c>
      <c r="L32" s="313">
        <f ca="1">'Production cost'!$L32</f>
        <v>2</v>
      </c>
      <c r="M32" s="313">
        <f t="shared" ca="1" si="1"/>
        <v>0</v>
      </c>
      <c r="N32" s="983">
        <f t="shared" ca="1" si="2"/>
        <v>0</v>
      </c>
      <c r="P32" s="313">
        <f>Data!$N$1157</f>
        <v>57554.664656607813</v>
      </c>
      <c r="Q32" s="313">
        <f t="shared" ca="1" si="0"/>
        <v>0</v>
      </c>
      <c r="R32" s="313">
        <f t="shared" ca="1" si="3"/>
        <v>0</v>
      </c>
      <c r="S32" s="1741">
        <f t="shared" ca="1" si="4"/>
        <v>0</v>
      </c>
      <c r="T32" s="313" t="str">
        <f ca="1">'Production cost'!T32</f>
        <v>N</v>
      </c>
      <c r="X32" s="363"/>
      <c r="Y32" s="363"/>
      <c r="Z32" s="363"/>
      <c r="AA32" s="363"/>
      <c r="AK32" s="313"/>
      <c r="AL32" s="313"/>
      <c r="AM32" s="313"/>
      <c r="AO32" s="1043"/>
      <c r="AP32" s="1043"/>
      <c r="AQ32" s="1047"/>
      <c r="AR32" s="1048"/>
      <c r="AS32" s="385"/>
      <c r="AT32" s="392"/>
      <c r="AU32" s="392"/>
    </row>
    <row r="33" spans="1:47" ht="12.75" outlineLevel="1">
      <c r="A33" s="385"/>
      <c r="B33" s="1258" t="s">
        <v>185</v>
      </c>
      <c r="C33" s="313" t="s">
        <v>28</v>
      </c>
      <c r="F33" s="363" t="str">
        <f ca="1">'Production cost'!$F33</f>
        <v>N</v>
      </c>
      <c r="H33" s="313">
        <f ca="1">IFERROR(IF($F33="PCS",$E$4,VLOOKUP($F33,'Proof cost'!$I$23:$X$55,2,0)),0)</f>
        <v>0</v>
      </c>
      <c r="I33" s="313">
        <f ca="1">'Production cost'!$I33</f>
        <v>7000</v>
      </c>
      <c r="J33" s="313" t="s">
        <v>5</v>
      </c>
      <c r="K33" s="360">
        <v>0</v>
      </c>
      <c r="L33" s="313">
        <f ca="1">'Production cost'!$L33</f>
        <v>2</v>
      </c>
      <c r="M33" s="313">
        <f t="shared" ca="1" si="1"/>
        <v>0</v>
      </c>
      <c r="N33" s="983">
        <f t="shared" ca="1" si="2"/>
        <v>0</v>
      </c>
      <c r="P33" s="313">
        <f>Data!$N$1157</f>
        <v>57554.664656607813</v>
      </c>
      <c r="Q33" s="313">
        <f t="shared" ca="1" si="0"/>
        <v>0</v>
      </c>
      <c r="R33" s="313">
        <f t="shared" ca="1" si="3"/>
        <v>0</v>
      </c>
      <c r="S33" s="1741">
        <f t="shared" ca="1" si="4"/>
        <v>0</v>
      </c>
      <c r="T33" s="313" t="str">
        <f ca="1">'Production cost'!T33</f>
        <v>N</v>
      </c>
      <c r="X33" s="363"/>
      <c r="Y33" s="363"/>
      <c r="Z33" s="363"/>
      <c r="AA33" s="363"/>
      <c r="AK33" s="313"/>
      <c r="AL33" s="313"/>
      <c r="AM33" s="313"/>
      <c r="AO33" s="1043"/>
      <c r="AP33" s="1043"/>
      <c r="AQ33" s="1047"/>
      <c r="AR33" s="1048"/>
      <c r="AS33" s="385"/>
      <c r="AT33" s="392"/>
      <c r="AU33" s="392"/>
    </row>
    <row r="34" spans="1:47" ht="12.75" outlineLevel="1">
      <c r="A34" s="385"/>
      <c r="B34" s="1258" t="s">
        <v>185</v>
      </c>
      <c r="C34" s="313" t="s">
        <v>28</v>
      </c>
      <c r="F34" s="363" t="str">
        <f ca="1">'Production cost'!$F39</f>
        <v>N</v>
      </c>
      <c r="H34" s="313">
        <f ca="1">IFERROR(IF($F34="PCS",$E$4,VLOOKUP($F34,'Proof cost'!$I$23:$X$55,2,0)),0)</f>
        <v>0</v>
      </c>
      <c r="I34" s="313">
        <f ca="1">'Production cost'!$I39</f>
        <v>7000</v>
      </c>
      <c r="J34" s="313" t="s">
        <v>5</v>
      </c>
      <c r="K34" s="360">
        <v>0</v>
      </c>
      <c r="L34" s="313">
        <f ca="1">'Production cost'!$L39</f>
        <v>2</v>
      </c>
      <c r="M34" s="313">
        <f t="shared" ca="1" si="1"/>
        <v>0</v>
      </c>
      <c r="N34" s="983">
        <f t="shared" ca="1" si="2"/>
        <v>0</v>
      </c>
      <c r="P34" s="313">
        <f>Data!$N$1157</f>
        <v>57554.664656607813</v>
      </c>
      <c r="Q34" s="313">
        <f t="shared" ca="1" si="0"/>
        <v>0</v>
      </c>
      <c r="R34" s="313">
        <f t="shared" ca="1" si="3"/>
        <v>0</v>
      </c>
      <c r="S34" s="1741">
        <f t="shared" ca="1" si="4"/>
        <v>0</v>
      </c>
      <c r="T34" s="313" t="str">
        <f ca="1">'Production cost'!T39</f>
        <v>N</v>
      </c>
      <c r="X34" s="363"/>
      <c r="Y34" s="363"/>
      <c r="Z34" s="363"/>
      <c r="AA34" s="363"/>
      <c r="AK34" s="313"/>
      <c r="AL34" s="313"/>
      <c r="AM34" s="313"/>
      <c r="AO34" s="1043"/>
      <c r="AP34" s="1043"/>
      <c r="AQ34" s="1047"/>
      <c r="AR34" s="1048"/>
      <c r="AS34" s="385"/>
      <c r="AT34" s="392"/>
      <c r="AU34" s="392"/>
    </row>
    <row r="35" spans="1:47" ht="12.75" outlineLevel="1">
      <c r="A35" s="385"/>
      <c r="B35" s="1258" t="s">
        <v>185</v>
      </c>
      <c r="C35" s="313" t="s">
        <v>28</v>
      </c>
      <c r="F35" s="363" t="str">
        <f ca="1">'Production cost'!$F40</f>
        <v>N</v>
      </c>
      <c r="H35" s="313">
        <f ca="1">IFERROR(IF($F35="PCS",$E$4,VLOOKUP($F35,'Proof cost'!$I$23:$X$55,2,0)),0)</f>
        <v>0</v>
      </c>
      <c r="I35" s="313">
        <f ca="1">'Production cost'!$I40</f>
        <v>7000</v>
      </c>
      <c r="J35" s="313" t="s">
        <v>5</v>
      </c>
      <c r="K35" s="360">
        <v>0</v>
      </c>
      <c r="L35" s="313">
        <f ca="1">'Production cost'!$L40</f>
        <v>2</v>
      </c>
      <c r="M35" s="313">
        <f t="shared" ca="1" si="1"/>
        <v>0</v>
      </c>
      <c r="N35" s="983">
        <f t="shared" ca="1" si="2"/>
        <v>0</v>
      </c>
      <c r="P35" s="313">
        <f>Data!$N$1157</f>
        <v>57554.664656607813</v>
      </c>
      <c r="Q35" s="313">
        <f t="shared" ca="1" si="0"/>
        <v>0</v>
      </c>
      <c r="R35" s="313">
        <f t="shared" ca="1" si="3"/>
        <v>0</v>
      </c>
      <c r="S35" s="1741">
        <f t="shared" ca="1" si="4"/>
        <v>0</v>
      </c>
      <c r="T35" s="313" t="str">
        <f ca="1">'Production cost'!T40</f>
        <v>N</v>
      </c>
      <c r="X35" s="363"/>
      <c r="Y35" s="363"/>
      <c r="Z35" s="363"/>
      <c r="AA35" s="363"/>
      <c r="AK35" s="313"/>
      <c r="AL35" s="313"/>
      <c r="AM35" s="313"/>
      <c r="AO35" s="1043"/>
      <c r="AP35" s="1043"/>
      <c r="AQ35" s="1047"/>
      <c r="AR35" s="1048"/>
      <c r="AS35" s="385"/>
      <c r="AT35" s="392"/>
      <c r="AU35" s="392"/>
    </row>
    <row r="36" spans="1:47" ht="12.75" outlineLevel="1">
      <c r="A36" s="385"/>
      <c r="B36" s="1258" t="s">
        <v>185</v>
      </c>
      <c r="C36" s="313" t="s">
        <v>28</v>
      </c>
      <c r="F36" s="363" t="str">
        <f ca="1">'Production cost'!$F41</f>
        <v>N</v>
      </c>
      <c r="H36" s="313">
        <f ca="1">IFERROR(IF($F36="PCS",$E$4,VLOOKUP($F36,'Proof cost'!$I$23:$X$55,2,0)),0)</f>
        <v>0</v>
      </c>
      <c r="I36" s="313">
        <f ca="1">'Production cost'!$I41</f>
        <v>7000</v>
      </c>
      <c r="J36" s="313" t="s">
        <v>5</v>
      </c>
      <c r="K36" s="360">
        <v>0</v>
      </c>
      <c r="L36" s="313">
        <f ca="1">'Production cost'!$L41</f>
        <v>2</v>
      </c>
      <c r="M36" s="313">
        <f t="shared" ca="1" si="1"/>
        <v>0</v>
      </c>
      <c r="N36" s="983">
        <f t="shared" ca="1" si="2"/>
        <v>0</v>
      </c>
      <c r="P36" s="313">
        <f>Data!$N$1157</f>
        <v>57554.664656607813</v>
      </c>
      <c r="Q36" s="313">
        <f t="shared" ca="1" si="0"/>
        <v>0</v>
      </c>
      <c r="R36" s="313">
        <f t="shared" ca="1" si="3"/>
        <v>0</v>
      </c>
      <c r="S36" s="1741">
        <f t="shared" ca="1" si="4"/>
        <v>0</v>
      </c>
      <c r="T36" s="313" t="str">
        <f ca="1">'Production cost'!T41</f>
        <v>N</v>
      </c>
      <c r="X36" s="363"/>
      <c r="Y36" s="363"/>
      <c r="Z36" s="363"/>
      <c r="AA36" s="363"/>
      <c r="AK36" s="313"/>
      <c r="AL36" s="313"/>
      <c r="AM36" s="313"/>
      <c r="AO36" s="1043"/>
      <c r="AP36" s="1043"/>
      <c r="AQ36" s="1047"/>
      <c r="AR36" s="1048"/>
      <c r="AS36" s="385"/>
      <c r="AT36" s="392"/>
      <c r="AU36" s="392"/>
    </row>
    <row r="37" spans="1:47" ht="12.75" outlineLevel="1">
      <c r="A37" s="385"/>
      <c r="B37" s="1258" t="s">
        <v>185</v>
      </c>
      <c r="C37" s="313" t="s">
        <v>28</v>
      </c>
      <c r="F37" s="363">
        <f>'Production cost'!$F42</f>
        <v>0</v>
      </c>
      <c r="H37" s="313">
        <f ca="1">IFERROR(IF($F37="PCS",$E$4,VLOOKUP($F37,'Proof cost'!$I$23:$X$55,2,0)),0)</f>
        <v>0</v>
      </c>
      <c r="I37" s="313">
        <f>'Production cost'!$I42</f>
        <v>7000</v>
      </c>
      <c r="J37" s="313" t="s">
        <v>5</v>
      </c>
      <c r="K37" s="360">
        <v>0</v>
      </c>
      <c r="L37" s="313">
        <f>'Production cost'!$L42</f>
        <v>2</v>
      </c>
      <c r="M37" s="313">
        <f t="shared" ca="1" si="1"/>
        <v>0</v>
      </c>
      <c r="N37" s="983">
        <f t="shared" ca="1" si="2"/>
        <v>0</v>
      </c>
      <c r="P37" s="313">
        <f>Data!$N$1157</f>
        <v>57554.664656607813</v>
      </c>
      <c r="Q37" s="313">
        <f t="shared" ca="1" si="0"/>
        <v>0</v>
      </c>
      <c r="R37" s="313">
        <f t="shared" ca="1" si="3"/>
        <v>0</v>
      </c>
      <c r="S37" s="1741">
        <f t="shared" ca="1" si="4"/>
        <v>0</v>
      </c>
      <c r="T37" s="313">
        <f>'Production cost'!T42</f>
        <v>0</v>
      </c>
      <c r="X37" s="363"/>
      <c r="Y37" s="363"/>
      <c r="Z37" s="363"/>
      <c r="AA37" s="363"/>
      <c r="AK37" s="313"/>
      <c r="AL37" s="313"/>
      <c r="AM37" s="313"/>
      <c r="AO37" s="1043"/>
      <c r="AP37" s="1043"/>
      <c r="AQ37" s="1047"/>
      <c r="AR37" s="1048"/>
      <c r="AS37" s="385"/>
      <c r="AT37" s="392"/>
      <c r="AU37" s="392"/>
    </row>
    <row r="38" spans="1:47" ht="12.75" outlineLevel="1">
      <c r="A38" s="385"/>
      <c r="B38" s="1259" t="s">
        <v>185</v>
      </c>
      <c r="C38" s="1260" t="s">
        <v>28</v>
      </c>
      <c r="D38" s="1260"/>
      <c r="E38" s="1260"/>
      <c r="F38" s="2158">
        <f>'Production cost'!$F43</f>
        <v>0</v>
      </c>
      <c r="G38" s="1260"/>
      <c r="H38" s="1260">
        <f ca="1">IFERROR(IF($F38="PCS",$E$4,VLOOKUP($F38,'Proof cost'!$I$23:$X$55,2,0)),0)</f>
        <v>0</v>
      </c>
      <c r="I38" s="1260">
        <f>'Production cost'!$I43</f>
        <v>7000</v>
      </c>
      <c r="J38" s="1260" t="s">
        <v>5</v>
      </c>
      <c r="K38" s="2159">
        <v>0</v>
      </c>
      <c r="L38" s="1260">
        <f>'Production cost'!$L43</f>
        <v>2</v>
      </c>
      <c r="M38" s="1260">
        <f t="shared" ca="1" si="1"/>
        <v>0</v>
      </c>
      <c r="N38" s="2161">
        <f t="shared" ca="1" si="2"/>
        <v>0</v>
      </c>
      <c r="O38" s="1260"/>
      <c r="P38" s="1260">
        <f>Data!$N$1157</f>
        <v>57554.664656607813</v>
      </c>
      <c r="Q38" s="1260">
        <f t="shared" ca="1" si="0"/>
        <v>0</v>
      </c>
      <c r="R38" s="1260">
        <f t="shared" ca="1" si="3"/>
        <v>0</v>
      </c>
      <c r="S38" s="2162">
        <f t="shared" ca="1" si="4"/>
        <v>0</v>
      </c>
      <c r="T38" s="313">
        <f>'Production cost'!T43</f>
        <v>0</v>
      </c>
      <c r="X38" s="363"/>
      <c r="Y38" s="363"/>
      <c r="Z38" s="363"/>
      <c r="AA38" s="363"/>
      <c r="AK38" s="313"/>
      <c r="AL38" s="313"/>
      <c r="AM38" s="313"/>
      <c r="AO38" s="1043"/>
      <c r="AP38" s="1043"/>
      <c r="AQ38" s="1047"/>
      <c r="AR38" s="1048"/>
      <c r="AS38" s="385"/>
      <c r="AT38" s="392"/>
      <c r="AU38" s="392"/>
    </row>
    <row r="39" spans="1:47" ht="12.75">
      <c r="A39" s="385"/>
      <c r="I39" s="1052"/>
      <c r="X39" s="363"/>
      <c r="Y39" s="363"/>
      <c r="Z39" s="363"/>
      <c r="AA39" s="363"/>
      <c r="AK39" s="313"/>
      <c r="AL39" s="313"/>
      <c r="AM39" s="313"/>
      <c r="AO39" s="385"/>
      <c r="AP39" s="385"/>
      <c r="AQ39" s="1050"/>
      <c r="AR39" s="1049"/>
      <c r="AS39" s="1051"/>
    </row>
    <row r="40" spans="1:47" ht="12.75">
      <c r="A40" s="1269" t="s">
        <v>143</v>
      </c>
      <c r="B40" s="1269"/>
      <c r="C40" s="385"/>
      <c r="F40" s="384" t="s">
        <v>746</v>
      </c>
      <c r="G40" s="1270"/>
      <c r="I40" s="363"/>
      <c r="J40" s="1038"/>
      <c r="N40" s="391"/>
      <c r="S40" s="363"/>
      <c r="X40" s="363"/>
      <c r="Y40" s="363"/>
      <c r="Z40" s="363"/>
      <c r="AA40" s="363"/>
      <c r="AO40" s="385"/>
      <c r="AP40" s="385"/>
      <c r="AQ40" s="385"/>
      <c r="AR40" s="1048"/>
      <c r="AS40" s="385"/>
    </row>
    <row r="41" spans="1:47" ht="12.75">
      <c r="A41" s="333">
        <f>input!A412</f>
        <v>2</v>
      </c>
      <c r="B41" s="1255" t="s">
        <v>139</v>
      </c>
      <c r="C41" s="1256" t="str">
        <f>'Production cost'!$C46</f>
        <v>Komori_L240</v>
      </c>
      <c r="D41" s="1256"/>
      <c r="E41" s="2144" t="str">
        <f>'Production cost'!$E46</f>
        <v>None_Metalize</v>
      </c>
      <c r="F41" s="2144" t="str">
        <f>'Production cost'!$F46</f>
        <v>Box</v>
      </c>
      <c r="G41" s="2144" t="str">
        <f ca="1">'Production cost'!$G46</f>
        <v>220 - 350gsm</v>
      </c>
      <c r="H41" s="1256">
        <f>IFERROR(IF($F41="PCS",$E$4,VLOOKUP($F41,'Proof cost'!$I$23:$X$55,2,0)),0)</f>
        <v>800</v>
      </c>
      <c r="I41" s="1256">
        <f ca="1">'Production cost'!$I46</f>
        <v>8000</v>
      </c>
      <c r="J41" s="1256" t="s">
        <v>5</v>
      </c>
      <c r="K41" s="2145">
        <f>'Production cost'!$K46</f>
        <v>0</v>
      </c>
      <c r="L41" s="2146">
        <f>'Production cost'!$L46</f>
        <v>3</v>
      </c>
      <c r="M41" s="2146">
        <v>0</v>
      </c>
      <c r="N41" s="2146">
        <f>IF(H41&gt;0,3*VLOOKUP($F41,'Proof cost'!$I$23:$W$55,15,0),0)</f>
        <v>3</v>
      </c>
      <c r="O41" s="1256">
        <f>'Production cost'!$O46</f>
        <v>0</v>
      </c>
      <c r="P41" s="1256">
        <f>'Production cost'!$P46</f>
        <v>83000.376301260956</v>
      </c>
      <c r="Q41" s="1256">
        <f t="shared" ref="Q41:Q70" si="5">(N41*O41*K41+N41*P41*L41)*(1+$R$312)</f>
        <v>747003.38671134855</v>
      </c>
      <c r="R41" s="1256">
        <f t="shared" ref="R41:R70" si="6">IF($E$2&gt;0,Q41/$E$2,0)</f>
        <v>4150.0188150630474</v>
      </c>
      <c r="S41" s="1257">
        <f t="shared" ref="S41:S70" si="7">IF(M41&gt;0,K41*O41+L41*P41,0)</f>
        <v>0</v>
      </c>
      <c r="T41" s="313">
        <f>'Production cost'!T46</f>
        <v>0</v>
      </c>
      <c r="X41" s="363"/>
      <c r="Y41" s="363"/>
      <c r="Z41" s="363"/>
      <c r="AA41" s="363"/>
      <c r="AK41" s="313"/>
      <c r="AL41" s="313"/>
      <c r="AM41" s="313"/>
      <c r="AO41" s="385"/>
      <c r="AP41" s="385"/>
      <c r="AQ41" s="385"/>
      <c r="AR41" s="1048"/>
      <c r="AS41" s="385"/>
    </row>
    <row r="42" spans="1:47" ht="12.75" outlineLevel="1">
      <c r="A42" s="333">
        <f ca="1">input!A413</f>
        <v>7</v>
      </c>
      <c r="B42" s="1258" t="s">
        <v>139</v>
      </c>
      <c r="C42" s="313" t="str">
        <f ca="1">'Production cost'!$C47</f>
        <v>KBA</v>
      </c>
      <c r="E42" s="363" t="str">
        <f>'Production cost'!$E47</f>
        <v>None_Metalize</v>
      </c>
      <c r="F42" s="363" t="str">
        <f>'Production cost'!$F47</f>
        <v>N</v>
      </c>
      <c r="G42" s="363">
        <f ca="1">'Production cost'!$G47</f>
        <v>0</v>
      </c>
      <c r="H42" s="313">
        <f>IFERROR(IF($F42="PCS",$E$4,VLOOKUP($F42,'Proof cost'!$I$23:$X$55,2,0)),0)</f>
        <v>0</v>
      </c>
      <c r="I42" s="313">
        <f ca="1">'Production cost'!$I47</f>
        <v>12000</v>
      </c>
      <c r="J42" s="313" t="s">
        <v>5</v>
      </c>
      <c r="K42" s="360">
        <f ca="1">'Production cost'!$K47</f>
        <v>1</v>
      </c>
      <c r="L42" s="391">
        <f ca="1">'Production cost'!$L47</f>
        <v>5</v>
      </c>
      <c r="M42" s="391">
        <v>0</v>
      </c>
      <c r="N42" s="391">
        <f>IF(H42&gt;0,3*VLOOKUP($F42,'Proof cost'!$I$23:$W$55,15,0),0)</f>
        <v>0</v>
      </c>
      <c r="O42" s="313">
        <f ca="1">'Production cost'!$O47</f>
        <v>352574.32240985788</v>
      </c>
      <c r="P42" s="313">
        <f ca="1">'Production cost'!$P47</f>
        <v>83000.376301260956</v>
      </c>
      <c r="Q42" s="313">
        <f t="shared" ca="1" si="5"/>
        <v>0</v>
      </c>
      <c r="R42" s="313">
        <f t="shared" ca="1" si="6"/>
        <v>0</v>
      </c>
      <c r="S42" s="1741">
        <f t="shared" si="7"/>
        <v>0</v>
      </c>
      <c r="T42" s="313" t="str">
        <f>'Production cost'!T47</f>
        <v>N</v>
      </c>
      <c r="X42" s="363"/>
      <c r="Y42" s="363"/>
      <c r="Z42" s="363"/>
      <c r="AA42" s="363"/>
      <c r="AK42" s="313"/>
      <c r="AL42" s="313"/>
      <c r="AM42" s="313"/>
      <c r="AO42" s="385"/>
      <c r="AP42" s="385"/>
      <c r="AQ42" s="385"/>
      <c r="AR42" s="1048"/>
      <c r="AS42" s="385"/>
    </row>
    <row r="43" spans="1:47" ht="12.75" outlineLevel="1">
      <c r="A43" s="333">
        <f ca="1">input!A414</f>
        <v>7</v>
      </c>
      <c r="B43" s="1258" t="s">
        <v>139</v>
      </c>
      <c r="C43" s="313" t="str">
        <f ca="1">'Production cost'!$C48</f>
        <v>KBA</v>
      </c>
      <c r="E43" s="363" t="str">
        <f>'Production cost'!$E48</f>
        <v>None_Metalize</v>
      </c>
      <c r="F43" s="363" t="str">
        <f>'Production cost'!$F48</f>
        <v>N</v>
      </c>
      <c r="G43" s="363">
        <f ca="1">'Production cost'!$G48</f>
        <v>0</v>
      </c>
      <c r="H43" s="313">
        <f>IFERROR(IF($F43="PCS",$E$4,VLOOKUP($F43,'Proof cost'!$I$23:$X$55,2,0)),0)</f>
        <v>0</v>
      </c>
      <c r="I43" s="313">
        <f ca="1">'Production cost'!$I48</f>
        <v>12000</v>
      </c>
      <c r="J43" s="313" t="s">
        <v>5</v>
      </c>
      <c r="K43" s="360">
        <f ca="1">'Production cost'!$K48</f>
        <v>1</v>
      </c>
      <c r="L43" s="391">
        <f ca="1">'Production cost'!$L48</f>
        <v>5</v>
      </c>
      <c r="M43" s="391">
        <v>0</v>
      </c>
      <c r="N43" s="391">
        <f>IF(H43&gt;0,3*VLOOKUP($F43,'Proof cost'!$I$23:$W$55,15,0),0)</f>
        <v>0</v>
      </c>
      <c r="O43" s="313">
        <f ca="1">'Production cost'!$O48</f>
        <v>352574.32240985788</v>
      </c>
      <c r="P43" s="313">
        <f ca="1">'Production cost'!$P48</f>
        <v>83000.376301260956</v>
      </c>
      <c r="Q43" s="313">
        <f t="shared" ca="1" si="5"/>
        <v>0</v>
      </c>
      <c r="R43" s="313">
        <f t="shared" ca="1" si="6"/>
        <v>0</v>
      </c>
      <c r="S43" s="1741">
        <f t="shared" si="7"/>
        <v>0</v>
      </c>
      <c r="T43" s="313" t="str">
        <f>'Production cost'!T48</f>
        <v>N</v>
      </c>
      <c r="X43" s="363"/>
      <c r="Y43" s="363"/>
      <c r="Z43" s="363"/>
      <c r="AA43" s="363"/>
      <c r="AK43" s="313"/>
      <c r="AL43" s="313"/>
      <c r="AM43" s="313"/>
      <c r="AO43" s="385"/>
      <c r="AP43" s="385"/>
      <c r="AQ43" s="385"/>
      <c r="AR43" s="1048"/>
      <c r="AS43" s="385"/>
    </row>
    <row r="44" spans="1:47" ht="12.75" outlineLevel="1">
      <c r="A44" s="333">
        <f ca="1">input!A415</f>
        <v>7</v>
      </c>
      <c r="B44" s="1258" t="s">
        <v>139</v>
      </c>
      <c r="C44" s="313" t="str">
        <f ca="1">'Production cost'!$C49</f>
        <v>KBA</v>
      </c>
      <c r="E44" s="363" t="str">
        <f>'Production cost'!$E49</f>
        <v>None_Metalize</v>
      </c>
      <c r="F44" s="363" t="str">
        <f>'Production cost'!$F49</f>
        <v>N</v>
      </c>
      <c r="G44" s="363">
        <f ca="1">'Production cost'!$G49</f>
        <v>0</v>
      </c>
      <c r="H44" s="313">
        <f>IFERROR(IF($F44="PCS",$E$4,VLOOKUP($F44,'Proof cost'!$I$23:$X$55,2,0)),0)</f>
        <v>0</v>
      </c>
      <c r="I44" s="313">
        <f ca="1">'Production cost'!$I49</f>
        <v>12000</v>
      </c>
      <c r="J44" s="313" t="s">
        <v>5</v>
      </c>
      <c r="K44" s="360">
        <f ca="1">'Production cost'!$K49</f>
        <v>1</v>
      </c>
      <c r="L44" s="391">
        <f ca="1">'Production cost'!$L49</f>
        <v>5</v>
      </c>
      <c r="M44" s="391">
        <v>0</v>
      </c>
      <c r="N44" s="391">
        <f>IF(H44&gt;0,3*VLOOKUP($F44,'Proof cost'!$I$23:$W$55,15,0),0)</f>
        <v>0</v>
      </c>
      <c r="O44" s="313">
        <f ca="1">'Production cost'!$O49</f>
        <v>352574.32240985788</v>
      </c>
      <c r="P44" s="313">
        <f ca="1">'Production cost'!$P49</f>
        <v>83000.376301260956</v>
      </c>
      <c r="Q44" s="313">
        <f t="shared" ca="1" si="5"/>
        <v>0</v>
      </c>
      <c r="R44" s="313">
        <f t="shared" ca="1" si="6"/>
        <v>0</v>
      </c>
      <c r="S44" s="1741">
        <f t="shared" si="7"/>
        <v>0</v>
      </c>
      <c r="T44" s="313" t="str">
        <f>'Production cost'!T49</f>
        <v>N</v>
      </c>
      <c r="X44" s="363"/>
      <c r="Y44" s="363"/>
      <c r="Z44" s="363"/>
      <c r="AA44" s="363"/>
      <c r="AK44" s="313"/>
      <c r="AL44" s="313"/>
      <c r="AM44" s="313"/>
      <c r="AO44" s="385"/>
      <c r="AP44" s="385"/>
      <c r="AQ44" s="385"/>
      <c r="AR44" s="1048"/>
      <c r="AS44" s="385"/>
    </row>
    <row r="45" spans="1:47" ht="12.75" outlineLevel="1">
      <c r="A45" s="333">
        <f ca="1">input!A416</f>
        <v>7</v>
      </c>
      <c r="B45" s="1258" t="s">
        <v>139</v>
      </c>
      <c r="C45" s="313" t="str">
        <f ca="1">'Production cost'!$C50</f>
        <v>KBA</v>
      </c>
      <c r="E45" s="363" t="str">
        <f>'Production cost'!$E50</f>
        <v>None_Metalize</v>
      </c>
      <c r="F45" s="363" t="str">
        <f>'Production cost'!$F50</f>
        <v>N</v>
      </c>
      <c r="G45" s="363">
        <f ca="1">'Production cost'!$G50</f>
        <v>0</v>
      </c>
      <c r="H45" s="313">
        <f>IFERROR(IF($F45="PCS",$E$4,VLOOKUP($F45,'Proof cost'!$I$23:$X$55,2,0)),0)</f>
        <v>0</v>
      </c>
      <c r="I45" s="313">
        <f ca="1">'Production cost'!$I50</f>
        <v>12000</v>
      </c>
      <c r="J45" s="313" t="s">
        <v>5</v>
      </c>
      <c r="K45" s="360">
        <f ca="1">'Production cost'!$K50</f>
        <v>1</v>
      </c>
      <c r="L45" s="391">
        <f ca="1">'Production cost'!$L50</f>
        <v>5</v>
      </c>
      <c r="M45" s="391">
        <v>0</v>
      </c>
      <c r="N45" s="391">
        <f>IF(H45&gt;0,3*VLOOKUP($F45,'Proof cost'!$I$23:$W$55,15,0),0)</f>
        <v>0</v>
      </c>
      <c r="O45" s="313">
        <f ca="1">'Production cost'!$O50</f>
        <v>352574.32240985788</v>
      </c>
      <c r="P45" s="313">
        <f ca="1">'Production cost'!$P50</f>
        <v>83000.376301260956</v>
      </c>
      <c r="Q45" s="313">
        <f t="shared" ca="1" si="5"/>
        <v>0</v>
      </c>
      <c r="R45" s="313">
        <f t="shared" ca="1" si="6"/>
        <v>0</v>
      </c>
      <c r="S45" s="1741">
        <f t="shared" si="7"/>
        <v>0</v>
      </c>
      <c r="T45" s="313" t="str">
        <f>'Production cost'!T50</f>
        <v>N</v>
      </c>
      <c r="X45" s="363"/>
      <c r="Y45" s="363"/>
      <c r="Z45" s="363"/>
      <c r="AA45" s="363"/>
      <c r="AK45" s="313"/>
      <c r="AL45" s="313"/>
      <c r="AM45" s="313"/>
      <c r="AO45" s="385"/>
      <c r="AP45" s="385"/>
      <c r="AQ45" s="385"/>
      <c r="AR45" s="1048"/>
      <c r="AS45" s="385"/>
    </row>
    <row r="46" spans="1:47" ht="12.75" outlineLevel="1">
      <c r="A46" s="333">
        <f ca="1">input!A417</f>
        <v>7</v>
      </c>
      <c r="B46" s="1258" t="s">
        <v>139</v>
      </c>
      <c r="C46" s="313" t="str">
        <f ca="1">'Production cost'!$C51</f>
        <v>KBA</v>
      </c>
      <c r="E46" s="363" t="str">
        <f>'Production cost'!$E51</f>
        <v>None_Metalize</v>
      </c>
      <c r="F46" s="363" t="str">
        <f>'Production cost'!$F51</f>
        <v>N</v>
      </c>
      <c r="G46" s="363">
        <f ca="1">'Production cost'!$G51</f>
        <v>0</v>
      </c>
      <c r="H46" s="313">
        <f>IFERROR(IF($F46="PCS",$E$4,VLOOKUP($F46,'Proof cost'!$I$23:$X$55,2,0)),0)</f>
        <v>0</v>
      </c>
      <c r="I46" s="313">
        <f ca="1">'Production cost'!$I51</f>
        <v>12000</v>
      </c>
      <c r="J46" s="313" t="s">
        <v>5</v>
      </c>
      <c r="K46" s="360">
        <f ca="1">'Production cost'!$K51</f>
        <v>1</v>
      </c>
      <c r="L46" s="391">
        <f ca="1">'Production cost'!$L51</f>
        <v>5</v>
      </c>
      <c r="M46" s="391">
        <v>0</v>
      </c>
      <c r="N46" s="391">
        <f>IF(H46&gt;0,3*VLOOKUP($F46,'Proof cost'!$I$23:$W$55,15,0),0)</f>
        <v>0</v>
      </c>
      <c r="O46" s="313">
        <f ca="1">'Production cost'!$O51</f>
        <v>352574.32240985788</v>
      </c>
      <c r="P46" s="313">
        <f ca="1">'Production cost'!$P51</f>
        <v>83000.376301260956</v>
      </c>
      <c r="Q46" s="313">
        <f t="shared" ca="1" si="5"/>
        <v>0</v>
      </c>
      <c r="R46" s="313">
        <f t="shared" ca="1" si="6"/>
        <v>0</v>
      </c>
      <c r="S46" s="1741">
        <f t="shared" si="7"/>
        <v>0</v>
      </c>
      <c r="T46" s="313" t="str">
        <f>'Production cost'!T51</f>
        <v>N</v>
      </c>
      <c r="X46" s="363"/>
      <c r="Y46" s="363"/>
      <c r="Z46" s="363"/>
      <c r="AA46" s="363"/>
      <c r="AK46" s="313"/>
      <c r="AL46" s="313"/>
      <c r="AM46" s="313"/>
      <c r="AO46" s="385"/>
      <c r="AP46" s="385"/>
      <c r="AQ46" s="385"/>
      <c r="AR46" s="1048"/>
      <c r="AS46" s="385"/>
    </row>
    <row r="47" spans="1:47" ht="12.75" outlineLevel="1">
      <c r="A47" s="333">
        <f ca="1">input!A418</f>
        <v>7</v>
      </c>
      <c r="B47" s="1258" t="s">
        <v>139</v>
      </c>
      <c r="C47" s="313" t="str">
        <f ca="1">'Production cost'!$C52</f>
        <v>KBA</v>
      </c>
      <c r="E47" s="363" t="str">
        <f>'Production cost'!$E52</f>
        <v>None_Metalize</v>
      </c>
      <c r="F47" s="363" t="str">
        <f>'Production cost'!$F52</f>
        <v>N</v>
      </c>
      <c r="G47" s="363">
        <f ca="1">'Production cost'!$G52</f>
        <v>0</v>
      </c>
      <c r="H47" s="313">
        <f>IFERROR(IF($F47="PCS",$E$4,VLOOKUP($F47,'Proof cost'!$I$23:$X$55,2,0)),0)</f>
        <v>0</v>
      </c>
      <c r="I47" s="313">
        <f ca="1">'Production cost'!$I52</f>
        <v>12000</v>
      </c>
      <c r="J47" s="313" t="s">
        <v>5</v>
      </c>
      <c r="K47" s="360">
        <f ca="1">'Production cost'!$K52</f>
        <v>1</v>
      </c>
      <c r="L47" s="391">
        <f ca="1">'Production cost'!$L52</f>
        <v>5</v>
      </c>
      <c r="M47" s="391">
        <v>0</v>
      </c>
      <c r="N47" s="391">
        <f>IF(H47&gt;0,3*VLOOKUP($F47,'Proof cost'!$I$23:$W$55,15,0),0)</f>
        <v>0</v>
      </c>
      <c r="O47" s="313">
        <f ca="1">'Production cost'!$O52</f>
        <v>352574.32240985788</v>
      </c>
      <c r="P47" s="313">
        <f ca="1">'Production cost'!$P52</f>
        <v>83000.376301260956</v>
      </c>
      <c r="Q47" s="313">
        <f t="shared" ca="1" si="5"/>
        <v>0</v>
      </c>
      <c r="R47" s="313">
        <f t="shared" ca="1" si="6"/>
        <v>0</v>
      </c>
      <c r="S47" s="1741">
        <f t="shared" si="7"/>
        <v>0</v>
      </c>
      <c r="T47" s="313" t="str">
        <f>'Production cost'!T52</f>
        <v>N</v>
      </c>
      <c r="X47" s="363"/>
      <c r="Y47" s="363"/>
      <c r="Z47" s="363"/>
      <c r="AA47" s="363"/>
      <c r="AK47" s="313"/>
      <c r="AL47" s="313"/>
      <c r="AM47" s="313"/>
      <c r="AO47" s="385"/>
      <c r="AP47" s="385"/>
      <c r="AQ47" s="385"/>
      <c r="AR47" s="1048"/>
      <c r="AS47" s="385"/>
    </row>
    <row r="48" spans="1:47" ht="12.75" outlineLevel="1">
      <c r="A48" s="333">
        <f ca="1">input!A419</f>
        <v>7</v>
      </c>
      <c r="B48" s="1258" t="s">
        <v>139</v>
      </c>
      <c r="C48" s="313" t="str">
        <f ca="1">'Production cost'!$C53</f>
        <v>KBA</v>
      </c>
      <c r="E48" s="363" t="str">
        <f>'Production cost'!$E53</f>
        <v>None_Metalize</v>
      </c>
      <c r="F48" s="363" t="str">
        <f>'Production cost'!$F53</f>
        <v>N</v>
      </c>
      <c r="G48" s="363">
        <f ca="1">'Production cost'!$G53</f>
        <v>0</v>
      </c>
      <c r="H48" s="313">
        <f>IFERROR(IF($F48="PCS",$E$4,VLOOKUP($F48,'Proof cost'!$I$23:$X$55,2,0)),0)</f>
        <v>0</v>
      </c>
      <c r="I48" s="313">
        <f ca="1">'Production cost'!$I53</f>
        <v>12000</v>
      </c>
      <c r="J48" s="313" t="s">
        <v>5</v>
      </c>
      <c r="K48" s="360">
        <f ca="1">'Production cost'!$K53</f>
        <v>1</v>
      </c>
      <c r="L48" s="391">
        <f ca="1">'Production cost'!$L53</f>
        <v>5</v>
      </c>
      <c r="M48" s="391">
        <v>0</v>
      </c>
      <c r="N48" s="391">
        <f>IF(H48&gt;0,3*VLOOKUP($F48,'Proof cost'!$I$23:$W$55,15,0),0)</f>
        <v>0</v>
      </c>
      <c r="O48" s="313">
        <f ca="1">'Production cost'!$O53</f>
        <v>352574.32240985788</v>
      </c>
      <c r="P48" s="313">
        <f ca="1">'Production cost'!$P53</f>
        <v>83000.376301260956</v>
      </c>
      <c r="Q48" s="313">
        <f t="shared" ca="1" si="5"/>
        <v>0</v>
      </c>
      <c r="R48" s="313">
        <f t="shared" ca="1" si="6"/>
        <v>0</v>
      </c>
      <c r="S48" s="1741">
        <f t="shared" si="7"/>
        <v>0</v>
      </c>
      <c r="T48" s="313" t="str">
        <f>'Production cost'!T53</f>
        <v>N</v>
      </c>
      <c r="X48" s="363"/>
      <c r="Y48" s="363"/>
      <c r="Z48" s="363"/>
      <c r="AA48" s="363"/>
      <c r="AK48" s="313"/>
      <c r="AL48" s="313"/>
      <c r="AM48" s="313"/>
      <c r="AO48" s="385"/>
      <c r="AP48" s="385"/>
      <c r="AQ48" s="385"/>
      <c r="AR48" s="1048"/>
      <c r="AS48" s="385"/>
    </row>
    <row r="49" spans="1:45" ht="12.75" outlineLevel="1">
      <c r="A49" s="333">
        <f ca="1">input!A420</f>
        <v>7</v>
      </c>
      <c r="B49" s="1258" t="s">
        <v>139</v>
      </c>
      <c r="C49" s="313" t="str">
        <f ca="1">'Production cost'!$C54</f>
        <v>KBA</v>
      </c>
      <c r="E49" s="363" t="str">
        <f>'Production cost'!$E54</f>
        <v>None_Metalize</v>
      </c>
      <c r="F49" s="363" t="str">
        <f>'Production cost'!$F54</f>
        <v>N</v>
      </c>
      <c r="G49" s="363">
        <f ca="1">'Production cost'!$G54</f>
        <v>0</v>
      </c>
      <c r="H49" s="313">
        <f>IFERROR(IF($F49="PCS",$E$4,VLOOKUP($F49,'Proof cost'!$I$23:$X$55,2,0)),0)</f>
        <v>0</v>
      </c>
      <c r="I49" s="313">
        <f ca="1">'Production cost'!$I54</f>
        <v>12000</v>
      </c>
      <c r="J49" s="313" t="s">
        <v>5</v>
      </c>
      <c r="K49" s="360">
        <f ca="1">'Production cost'!$K54</f>
        <v>1</v>
      </c>
      <c r="L49" s="391">
        <f ca="1">'Production cost'!$L54</f>
        <v>5</v>
      </c>
      <c r="M49" s="391">
        <v>0</v>
      </c>
      <c r="N49" s="391">
        <f>IF(H49&gt;0,3*VLOOKUP($F49,'Proof cost'!$I$23:$W$55,15,0),0)</f>
        <v>0</v>
      </c>
      <c r="O49" s="313">
        <f ca="1">'Production cost'!$O54</f>
        <v>352574.32240985788</v>
      </c>
      <c r="P49" s="313">
        <f ca="1">'Production cost'!$P54</f>
        <v>83000.376301260956</v>
      </c>
      <c r="Q49" s="313">
        <f t="shared" ca="1" si="5"/>
        <v>0</v>
      </c>
      <c r="R49" s="313">
        <f t="shared" ca="1" si="6"/>
        <v>0</v>
      </c>
      <c r="S49" s="1741">
        <f t="shared" si="7"/>
        <v>0</v>
      </c>
      <c r="T49" s="313" t="str">
        <f>'Production cost'!T54</f>
        <v>N</v>
      </c>
      <c r="X49" s="363"/>
      <c r="Y49" s="363"/>
      <c r="Z49" s="363"/>
      <c r="AA49" s="363"/>
      <c r="AK49" s="313"/>
      <c r="AL49" s="313"/>
      <c r="AM49" s="313"/>
      <c r="AO49" s="385"/>
      <c r="AP49" s="385"/>
      <c r="AQ49" s="385"/>
      <c r="AR49" s="1048"/>
      <c r="AS49" s="385"/>
    </row>
    <row r="50" spans="1:45" ht="12.75" outlineLevel="1">
      <c r="A50" s="333">
        <f ca="1">input!A421</f>
        <v>7</v>
      </c>
      <c r="B50" s="1258" t="s">
        <v>139</v>
      </c>
      <c r="C50" s="313" t="str">
        <f ca="1">'Production cost'!$C55</f>
        <v>KBA</v>
      </c>
      <c r="E50" s="363" t="str">
        <f>'Production cost'!$E55</f>
        <v>None_Metalize</v>
      </c>
      <c r="F50" s="363" t="str">
        <f>'Production cost'!$F55</f>
        <v>N</v>
      </c>
      <c r="G50" s="363">
        <f ca="1">'Production cost'!$G55</f>
        <v>0</v>
      </c>
      <c r="H50" s="313">
        <f>IFERROR(IF($F50="PCS",$E$4,VLOOKUP($F50,'Proof cost'!$I$23:$X$55,2,0)),0)</f>
        <v>0</v>
      </c>
      <c r="I50" s="313">
        <f ca="1">'Production cost'!$I55</f>
        <v>12000</v>
      </c>
      <c r="J50" s="313" t="s">
        <v>5</v>
      </c>
      <c r="K50" s="360">
        <f ca="1">'Production cost'!$K55</f>
        <v>1</v>
      </c>
      <c r="L50" s="391">
        <f ca="1">'Production cost'!$L55</f>
        <v>5</v>
      </c>
      <c r="M50" s="391">
        <v>0</v>
      </c>
      <c r="N50" s="391">
        <f>IF(H50&gt;0,3*VLOOKUP($F50,'Proof cost'!$I$23:$W$55,15,0),0)</f>
        <v>0</v>
      </c>
      <c r="O50" s="313">
        <f ca="1">'Production cost'!$O55</f>
        <v>352574.32240985788</v>
      </c>
      <c r="P50" s="313">
        <f ca="1">'Production cost'!$P55</f>
        <v>83000.376301260956</v>
      </c>
      <c r="Q50" s="313">
        <f t="shared" ca="1" si="5"/>
        <v>0</v>
      </c>
      <c r="R50" s="313">
        <f t="shared" ca="1" si="6"/>
        <v>0</v>
      </c>
      <c r="S50" s="1741">
        <f t="shared" si="7"/>
        <v>0</v>
      </c>
      <c r="T50" s="313" t="str">
        <f>'Production cost'!T55</f>
        <v>N</v>
      </c>
      <c r="X50" s="363"/>
      <c r="Y50" s="363"/>
      <c r="Z50" s="363"/>
      <c r="AA50" s="363"/>
      <c r="AK50" s="313"/>
      <c r="AL50" s="313"/>
      <c r="AM50" s="313"/>
      <c r="AO50" s="385"/>
      <c r="AP50" s="385"/>
      <c r="AQ50" s="385"/>
      <c r="AR50" s="1048"/>
      <c r="AS50" s="385"/>
    </row>
    <row r="51" spans="1:45" ht="12.75" outlineLevel="1">
      <c r="A51" s="333">
        <f ca="1">input!A422</f>
        <v>7</v>
      </c>
      <c r="B51" s="1258" t="s">
        <v>139</v>
      </c>
      <c r="C51" s="313" t="str">
        <f ca="1">'Production cost'!$C56</f>
        <v>KBA</v>
      </c>
      <c r="E51" s="363" t="str">
        <f>'Production cost'!$E56</f>
        <v>None_Metalize</v>
      </c>
      <c r="F51" s="363" t="str">
        <f>'Production cost'!$F56</f>
        <v>N</v>
      </c>
      <c r="G51" s="363" t="str">
        <f ca="1">'Production cost'!$G56</f>
        <v>220 - 350gsm</v>
      </c>
      <c r="H51" s="313">
        <f>IFERROR(IF($F51="PCS",$E$4,VLOOKUP($F51,'Proof cost'!$I$23:$X$55,2,0)),0)</f>
        <v>0</v>
      </c>
      <c r="I51" s="313">
        <f ca="1">'Production cost'!$I56</f>
        <v>12000</v>
      </c>
      <c r="J51" s="313" t="s">
        <v>5</v>
      </c>
      <c r="K51" s="360">
        <f ca="1">'Production cost'!$K56</f>
        <v>1</v>
      </c>
      <c r="L51" s="391">
        <f ca="1">'Production cost'!$L56</f>
        <v>5</v>
      </c>
      <c r="M51" s="391">
        <v>0</v>
      </c>
      <c r="N51" s="391">
        <f>IF(H51&gt;0,3*VLOOKUP($F51,'Proof cost'!$I$23:$W$55,15,0),0)</f>
        <v>0</v>
      </c>
      <c r="O51" s="313">
        <f ca="1">'Production cost'!$O56</f>
        <v>352574.32240985788</v>
      </c>
      <c r="P51" s="313">
        <f ca="1">'Production cost'!$P56</f>
        <v>83000.376301260956</v>
      </c>
      <c r="Q51" s="313">
        <f t="shared" ca="1" si="5"/>
        <v>0</v>
      </c>
      <c r="R51" s="313">
        <f t="shared" ca="1" si="6"/>
        <v>0</v>
      </c>
      <c r="S51" s="1741">
        <f t="shared" si="7"/>
        <v>0</v>
      </c>
      <c r="T51" s="313" t="str">
        <f>'Production cost'!T56</f>
        <v>N</v>
      </c>
      <c r="X51" s="363"/>
      <c r="Y51" s="363"/>
      <c r="Z51" s="363"/>
      <c r="AA51" s="363"/>
      <c r="AK51" s="313"/>
      <c r="AL51" s="313"/>
      <c r="AM51" s="313"/>
      <c r="AO51" s="385"/>
      <c r="AP51" s="385"/>
      <c r="AQ51" s="385"/>
      <c r="AR51" s="1048"/>
      <c r="AS51" s="385"/>
    </row>
    <row r="52" spans="1:45" ht="12.75" outlineLevel="1">
      <c r="A52" s="333">
        <f ca="1">input!A423</f>
        <v>7</v>
      </c>
      <c r="B52" s="1258" t="s">
        <v>139</v>
      </c>
      <c r="C52" s="313" t="str">
        <f ca="1">'Production cost'!$C57</f>
        <v>KBA</v>
      </c>
      <c r="E52" s="363" t="str">
        <f>'Production cost'!$E57</f>
        <v>None_Metalize</v>
      </c>
      <c r="F52" s="363" t="str">
        <f>'Production cost'!$F57</f>
        <v>N</v>
      </c>
      <c r="G52" s="363">
        <f ca="1">'Production cost'!$G57</f>
        <v>0</v>
      </c>
      <c r="H52" s="313">
        <f>IFERROR(IF($F52="PCS",$E$4,VLOOKUP($F52,'Proof cost'!$I$23:$X$55,2,0)),0)</f>
        <v>0</v>
      </c>
      <c r="I52" s="313">
        <f ca="1">'Production cost'!$I57</f>
        <v>12000</v>
      </c>
      <c r="J52" s="313" t="s">
        <v>5</v>
      </c>
      <c r="K52" s="360">
        <f ca="1">'Production cost'!$K57</f>
        <v>1</v>
      </c>
      <c r="L52" s="391">
        <f ca="1">'Production cost'!$L57</f>
        <v>5</v>
      </c>
      <c r="M52" s="391">
        <v>0</v>
      </c>
      <c r="N52" s="391">
        <f>IF(H52&gt;0,3*VLOOKUP($F52,'Proof cost'!$I$23:$W$55,15,0),0)</f>
        <v>0</v>
      </c>
      <c r="O52" s="313">
        <f ca="1">'Production cost'!$O57</f>
        <v>352574.32240985788</v>
      </c>
      <c r="P52" s="313">
        <f ca="1">'Production cost'!$P57</f>
        <v>83000.376301260956</v>
      </c>
      <c r="Q52" s="313">
        <f t="shared" ca="1" si="5"/>
        <v>0</v>
      </c>
      <c r="R52" s="313">
        <f t="shared" ca="1" si="6"/>
        <v>0</v>
      </c>
      <c r="S52" s="1741">
        <f t="shared" si="7"/>
        <v>0</v>
      </c>
      <c r="T52" s="313" t="str">
        <f>'Production cost'!T57</f>
        <v>N</v>
      </c>
      <c r="X52" s="363"/>
      <c r="Y52" s="363"/>
      <c r="Z52" s="363"/>
      <c r="AA52" s="363"/>
      <c r="AK52" s="313"/>
      <c r="AL52" s="313"/>
      <c r="AM52" s="313"/>
      <c r="AO52" s="385"/>
      <c r="AP52" s="385"/>
      <c r="AQ52" s="385"/>
      <c r="AR52" s="1048"/>
      <c r="AS52" s="385"/>
    </row>
    <row r="53" spans="1:45" ht="12.75" outlineLevel="1">
      <c r="A53" s="333">
        <f ca="1">input!A424</f>
        <v>7</v>
      </c>
      <c r="B53" s="1258" t="s">
        <v>139</v>
      </c>
      <c r="C53" s="313" t="str">
        <f ca="1">'Production cost'!$C58</f>
        <v>KBA</v>
      </c>
      <c r="E53" s="363" t="str">
        <f>'Production cost'!$E58</f>
        <v>None_Metalize</v>
      </c>
      <c r="F53" s="363" t="str">
        <f>'Production cost'!$F58</f>
        <v>N</v>
      </c>
      <c r="G53" s="363">
        <f ca="1">'Production cost'!$G58</f>
        <v>0</v>
      </c>
      <c r="H53" s="313">
        <f>IFERROR(IF($F53="PCS",$E$4,VLOOKUP($F53,'Proof cost'!$I$23:$X$55,2,0)),0)</f>
        <v>0</v>
      </c>
      <c r="I53" s="313">
        <f ca="1">'Production cost'!$I58</f>
        <v>12000</v>
      </c>
      <c r="J53" s="313" t="s">
        <v>5</v>
      </c>
      <c r="K53" s="360">
        <f ca="1">'Production cost'!$K58</f>
        <v>1</v>
      </c>
      <c r="L53" s="391">
        <f ca="1">'Production cost'!$L58</f>
        <v>5</v>
      </c>
      <c r="M53" s="391">
        <v>0</v>
      </c>
      <c r="N53" s="391">
        <f>IF(H53&gt;0,3*VLOOKUP($F53,'Proof cost'!$I$23:$W$55,15,0),0)</f>
        <v>0</v>
      </c>
      <c r="O53" s="313">
        <f ca="1">'Production cost'!$O58</f>
        <v>352574.32240985788</v>
      </c>
      <c r="P53" s="313">
        <f ca="1">'Production cost'!$P58</f>
        <v>83000.376301260956</v>
      </c>
      <c r="Q53" s="313">
        <f t="shared" ca="1" si="5"/>
        <v>0</v>
      </c>
      <c r="R53" s="313">
        <f t="shared" ca="1" si="6"/>
        <v>0</v>
      </c>
      <c r="S53" s="1741">
        <f t="shared" si="7"/>
        <v>0</v>
      </c>
      <c r="T53" s="313" t="str">
        <f>'Production cost'!T58</f>
        <v>N</v>
      </c>
      <c r="X53" s="363"/>
      <c r="Y53" s="363"/>
      <c r="Z53" s="363"/>
      <c r="AA53" s="363"/>
      <c r="AK53" s="313"/>
      <c r="AL53" s="313"/>
      <c r="AM53" s="313"/>
      <c r="AO53" s="385"/>
      <c r="AP53" s="385"/>
      <c r="AQ53" s="385"/>
      <c r="AR53" s="1048"/>
      <c r="AS53" s="385"/>
    </row>
    <row r="54" spans="1:45" ht="12.75" outlineLevel="1">
      <c r="A54" s="333">
        <f ca="1">input!A425</f>
        <v>7</v>
      </c>
      <c r="B54" s="1258" t="s">
        <v>139</v>
      </c>
      <c r="C54" s="313" t="str">
        <f ca="1">'Production cost'!$C59</f>
        <v>KBA</v>
      </c>
      <c r="E54" s="363" t="str">
        <f>'Production cost'!$E59</f>
        <v>None_Metalize</v>
      </c>
      <c r="F54" s="363" t="str">
        <f>'Production cost'!$F59</f>
        <v>N</v>
      </c>
      <c r="G54" s="363">
        <f ca="1">'Production cost'!$G59</f>
        <v>0</v>
      </c>
      <c r="H54" s="313">
        <f>IFERROR(IF($F54="PCS",$E$4,VLOOKUP($F54,'Proof cost'!$I$23:$X$55,2,0)),0)</f>
        <v>0</v>
      </c>
      <c r="I54" s="313">
        <f ca="1">'Production cost'!$I59</f>
        <v>12000</v>
      </c>
      <c r="J54" s="313" t="s">
        <v>5</v>
      </c>
      <c r="K54" s="360">
        <f ca="1">'Production cost'!$K59</f>
        <v>1</v>
      </c>
      <c r="L54" s="391">
        <f ca="1">'Production cost'!$L59</f>
        <v>5</v>
      </c>
      <c r="M54" s="391">
        <v>0</v>
      </c>
      <c r="N54" s="391">
        <f>IF(H54&gt;0,3*VLOOKUP($F54,'Proof cost'!$I$23:$W$55,15,0),0)</f>
        <v>0</v>
      </c>
      <c r="O54" s="313">
        <f ca="1">'Production cost'!$O59</f>
        <v>352574.32240985788</v>
      </c>
      <c r="P54" s="313">
        <f ca="1">'Production cost'!$P59</f>
        <v>83000.376301260956</v>
      </c>
      <c r="Q54" s="313">
        <f t="shared" ca="1" si="5"/>
        <v>0</v>
      </c>
      <c r="R54" s="313">
        <f t="shared" ca="1" si="6"/>
        <v>0</v>
      </c>
      <c r="S54" s="1741">
        <f t="shared" si="7"/>
        <v>0</v>
      </c>
      <c r="T54" s="313" t="str">
        <f>'Production cost'!T59</f>
        <v>N</v>
      </c>
      <c r="X54" s="363"/>
      <c r="Y54" s="363"/>
      <c r="Z54" s="363"/>
      <c r="AA54" s="363"/>
      <c r="AK54" s="313"/>
      <c r="AL54" s="313"/>
      <c r="AM54" s="313"/>
      <c r="AO54" s="385"/>
      <c r="AP54" s="385"/>
      <c r="AQ54" s="385"/>
      <c r="AR54" s="1048"/>
      <c r="AS54" s="385"/>
    </row>
    <row r="55" spans="1:45" ht="12.75" outlineLevel="1">
      <c r="A55" s="333">
        <f ca="1">input!A426</f>
        <v>7</v>
      </c>
      <c r="B55" s="1258" t="s">
        <v>139</v>
      </c>
      <c r="C55" s="313" t="str">
        <f ca="1">'Production cost'!$C60</f>
        <v>KBA</v>
      </c>
      <c r="E55" s="363" t="str">
        <f>'Production cost'!$E60</f>
        <v>None_Metalize</v>
      </c>
      <c r="F55" s="363" t="str">
        <f>'Production cost'!$F60</f>
        <v>N</v>
      </c>
      <c r="G55" s="363">
        <f ca="1">'Production cost'!$G60</f>
        <v>0</v>
      </c>
      <c r="H55" s="313">
        <f>IFERROR(IF($F55="PCS",$E$4,VLOOKUP($F55,'Proof cost'!$I$23:$X$55,2,0)),0)</f>
        <v>0</v>
      </c>
      <c r="I55" s="313">
        <f ca="1">'Production cost'!$I60</f>
        <v>12000</v>
      </c>
      <c r="J55" s="313" t="s">
        <v>5</v>
      </c>
      <c r="K55" s="360">
        <f ca="1">'Production cost'!$K60</f>
        <v>1</v>
      </c>
      <c r="L55" s="391">
        <f ca="1">'Production cost'!$L60</f>
        <v>5</v>
      </c>
      <c r="M55" s="391">
        <v>0</v>
      </c>
      <c r="N55" s="391">
        <f>IF(H55&gt;0,3*VLOOKUP($F55,'Proof cost'!$I$23:$W$55,15,0),0)</f>
        <v>0</v>
      </c>
      <c r="O55" s="313">
        <f ca="1">'Production cost'!$O60</f>
        <v>352574.32240985788</v>
      </c>
      <c r="P55" s="313">
        <f ca="1">'Production cost'!$P60</f>
        <v>83000.376301260956</v>
      </c>
      <c r="Q55" s="313">
        <f t="shared" ca="1" si="5"/>
        <v>0</v>
      </c>
      <c r="R55" s="313">
        <f t="shared" ca="1" si="6"/>
        <v>0</v>
      </c>
      <c r="S55" s="1741">
        <f t="shared" si="7"/>
        <v>0</v>
      </c>
      <c r="T55" s="313" t="str">
        <f>'Production cost'!T60</f>
        <v>N</v>
      </c>
      <c r="X55" s="363"/>
      <c r="Y55" s="363"/>
      <c r="Z55" s="363"/>
      <c r="AA55" s="363"/>
      <c r="AK55" s="313"/>
      <c r="AL55" s="313"/>
      <c r="AM55" s="313"/>
      <c r="AO55" s="385"/>
      <c r="AP55" s="385"/>
      <c r="AQ55" s="385"/>
      <c r="AR55" s="1048"/>
      <c r="AS55" s="385"/>
    </row>
    <row r="56" spans="1:45" ht="12.75" outlineLevel="1">
      <c r="A56" s="333">
        <f>input!A427</f>
        <v>7</v>
      </c>
      <c r="B56" s="1258" t="s">
        <v>139</v>
      </c>
      <c r="C56" s="313" t="str">
        <f>'Production cost'!$C61</f>
        <v>KBA</v>
      </c>
      <c r="E56" s="363" t="str">
        <f>'Production cost'!$E61</f>
        <v>None_Metalize</v>
      </c>
      <c r="F56" s="363" t="str">
        <f>'Production cost'!$F61</f>
        <v>N</v>
      </c>
      <c r="G56" s="363">
        <f ca="1">'Production cost'!$G61</f>
        <v>0</v>
      </c>
      <c r="H56" s="313">
        <f>IFERROR(IF($F56="PCS",$E$4,VLOOKUP($F56,'Proof cost'!$I$23:$X$55,2,0)),0)</f>
        <v>0</v>
      </c>
      <c r="I56" s="313">
        <f ca="1">'Production cost'!$I61</f>
        <v>12000</v>
      </c>
      <c r="J56" s="313" t="s">
        <v>5</v>
      </c>
      <c r="K56" s="360">
        <f>'Production cost'!$K61</f>
        <v>1</v>
      </c>
      <c r="L56" s="391">
        <f>'Production cost'!$L61</f>
        <v>5</v>
      </c>
      <c r="M56" s="391">
        <v>0</v>
      </c>
      <c r="N56" s="391">
        <f>IF(H56&gt;0,3*VLOOKUP($F56,'Proof cost'!$I$23:$W$55,15,0),0)</f>
        <v>0</v>
      </c>
      <c r="O56" s="313">
        <f>'Production cost'!$O61</f>
        <v>352574.32240985788</v>
      </c>
      <c r="P56" s="313">
        <f>'Production cost'!$P61</f>
        <v>83000.376301260956</v>
      </c>
      <c r="Q56" s="313">
        <f t="shared" si="5"/>
        <v>0</v>
      </c>
      <c r="R56" s="313">
        <f t="shared" si="6"/>
        <v>0</v>
      </c>
      <c r="S56" s="1741">
        <f t="shared" si="7"/>
        <v>0</v>
      </c>
      <c r="T56" s="313" t="str">
        <f>'Production cost'!T61</f>
        <v>N</v>
      </c>
      <c r="X56" s="363"/>
      <c r="Y56" s="363"/>
      <c r="Z56" s="363"/>
      <c r="AA56" s="363"/>
      <c r="AK56" s="313"/>
      <c r="AL56" s="313"/>
      <c r="AM56" s="313"/>
      <c r="AO56" s="385"/>
      <c r="AP56" s="385"/>
      <c r="AQ56" s="385"/>
      <c r="AR56" s="1048"/>
      <c r="AS56" s="385"/>
    </row>
    <row r="57" spans="1:45" ht="12.75" outlineLevel="1">
      <c r="A57" s="333">
        <f>input!A428</f>
        <v>7</v>
      </c>
      <c r="B57" s="1258" t="s">
        <v>139</v>
      </c>
      <c r="C57" s="313" t="str">
        <f>'Production cost'!$C62</f>
        <v>KBA</v>
      </c>
      <c r="E57" s="363" t="str">
        <f>'Production cost'!$E62</f>
        <v>None_Metalize</v>
      </c>
      <c r="F57" s="363" t="str">
        <f>'Production cost'!$F62</f>
        <v>N</v>
      </c>
      <c r="G57" s="363">
        <f ca="1">'Production cost'!$G62</f>
        <v>0</v>
      </c>
      <c r="H57" s="313">
        <f>IFERROR(IF($F57="PCS",$E$4,VLOOKUP($F57,'Proof cost'!$I$23:$X$55,2,0)),0)</f>
        <v>0</v>
      </c>
      <c r="I57" s="313">
        <f ca="1">'Production cost'!$I62</f>
        <v>12000</v>
      </c>
      <c r="J57" s="313" t="s">
        <v>5</v>
      </c>
      <c r="K57" s="360">
        <f>'Production cost'!$K62</f>
        <v>1</v>
      </c>
      <c r="L57" s="391">
        <f>'Production cost'!$L62</f>
        <v>5</v>
      </c>
      <c r="M57" s="391">
        <v>0</v>
      </c>
      <c r="N57" s="391">
        <f>IF(H57&gt;0,3*VLOOKUP($F57,'Proof cost'!$I$23:$W$55,15,0),0)</f>
        <v>0</v>
      </c>
      <c r="O57" s="313">
        <f>'Production cost'!$O62</f>
        <v>352574.32240985788</v>
      </c>
      <c r="P57" s="313">
        <f>'Production cost'!$P62</f>
        <v>83000.376301260956</v>
      </c>
      <c r="Q57" s="313">
        <f t="shared" si="5"/>
        <v>0</v>
      </c>
      <c r="R57" s="313">
        <f t="shared" si="6"/>
        <v>0</v>
      </c>
      <c r="S57" s="1741">
        <f t="shared" si="7"/>
        <v>0</v>
      </c>
      <c r="T57" s="313" t="str">
        <f>'Production cost'!T62</f>
        <v>N</v>
      </c>
      <c r="X57" s="363"/>
      <c r="Y57" s="363"/>
      <c r="Z57" s="363"/>
      <c r="AA57" s="363"/>
      <c r="AK57" s="313"/>
      <c r="AL57" s="313"/>
      <c r="AM57" s="313"/>
      <c r="AO57" s="385"/>
      <c r="AP57" s="385"/>
      <c r="AQ57" s="385"/>
      <c r="AR57" s="1048"/>
      <c r="AS57" s="385"/>
    </row>
    <row r="58" spans="1:45" ht="12.75" outlineLevel="1">
      <c r="A58" s="333">
        <f>input!A429</f>
        <v>7</v>
      </c>
      <c r="B58" s="1258" t="s">
        <v>139</v>
      </c>
      <c r="C58" s="313" t="str">
        <f>'Production cost'!$C63</f>
        <v>KBA</v>
      </c>
      <c r="E58" s="363" t="str">
        <f>'Production cost'!$E63</f>
        <v>None_Metalize</v>
      </c>
      <c r="F58" s="363" t="str">
        <f>'Production cost'!$F63</f>
        <v>N</v>
      </c>
      <c r="G58" s="363">
        <f ca="1">'Production cost'!$G63</f>
        <v>0</v>
      </c>
      <c r="H58" s="313">
        <f>IFERROR(IF($F58="PCS",$E$4,VLOOKUP($F58,'Proof cost'!$I$23:$X$55,2,0)),0)</f>
        <v>0</v>
      </c>
      <c r="I58" s="313">
        <f ca="1">'Production cost'!$I63</f>
        <v>12000</v>
      </c>
      <c r="J58" s="313" t="s">
        <v>5</v>
      </c>
      <c r="K58" s="360">
        <f>'Production cost'!$K63</f>
        <v>1</v>
      </c>
      <c r="L58" s="391">
        <f>'Production cost'!$L63</f>
        <v>5</v>
      </c>
      <c r="M58" s="391">
        <v>0</v>
      </c>
      <c r="N58" s="391">
        <f>IF(H58&gt;0,3*VLOOKUP($F58,'Proof cost'!$I$23:$W$55,15,0),0)</f>
        <v>0</v>
      </c>
      <c r="O58" s="313">
        <f>'Production cost'!$O63</f>
        <v>352574.32240985788</v>
      </c>
      <c r="P58" s="313">
        <f>'Production cost'!$P63</f>
        <v>83000.376301260956</v>
      </c>
      <c r="Q58" s="313">
        <f t="shared" si="5"/>
        <v>0</v>
      </c>
      <c r="R58" s="313">
        <f t="shared" si="6"/>
        <v>0</v>
      </c>
      <c r="S58" s="1741">
        <f t="shared" si="7"/>
        <v>0</v>
      </c>
      <c r="T58" s="313" t="str">
        <f>'Production cost'!T63</f>
        <v>N</v>
      </c>
      <c r="X58" s="363"/>
      <c r="Y58" s="363"/>
      <c r="Z58" s="363"/>
      <c r="AA58" s="363"/>
      <c r="AK58" s="313"/>
      <c r="AL58" s="313"/>
      <c r="AM58" s="313"/>
      <c r="AO58" s="385"/>
      <c r="AP58" s="385"/>
      <c r="AQ58" s="385"/>
      <c r="AR58" s="1048"/>
      <c r="AS58" s="385"/>
    </row>
    <row r="59" spans="1:45" ht="12.75" outlineLevel="1">
      <c r="A59" s="333">
        <f>input!A430</f>
        <v>7</v>
      </c>
      <c r="B59" s="1258" t="s">
        <v>139</v>
      </c>
      <c r="C59" s="313" t="str">
        <f>'Production cost'!$C64</f>
        <v>KBA</v>
      </c>
      <c r="E59" s="363" t="str">
        <f>'Production cost'!$E64</f>
        <v>None_Metalize</v>
      </c>
      <c r="F59" s="363" t="str">
        <f>'Production cost'!$F64</f>
        <v>N</v>
      </c>
      <c r="G59" s="363">
        <f ca="1">'Production cost'!$G64</f>
        <v>0</v>
      </c>
      <c r="H59" s="313">
        <f>IFERROR(IF($F59="PCS",$E$4,VLOOKUP($F59,'Proof cost'!$I$23:$X$55,2,0)),0)</f>
        <v>0</v>
      </c>
      <c r="I59" s="313">
        <f ca="1">'Production cost'!$I64</f>
        <v>12000</v>
      </c>
      <c r="J59" s="313" t="s">
        <v>5</v>
      </c>
      <c r="K59" s="360">
        <f>'Production cost'!$K64</f>
        <v>1</v>
      </c>
      <c r="L59" s="391">
        <f>'Production cost'!$L64</f>
        <v>5</v>
      </c>
      <c r="M59" s="391">
        <v>0</v>
      </c>
      <c r="N59" s="391">
        <f>IF(H59&gt;0,3*VLOOKUP($F59,'Proof cost'!$I$23:$W$55,15,0),0)</f>
        <v>0</v>
      </c>
      <c r="O59" s="313">
        <f>'Production cost'!$O64</f>
        <v>352574.32240985788</v>
      </c>
      <c r="P59" s="313">
        <f>'Production cost'!$P64</f>
        <v>83000.376301260956</v>
      </c>
      <c r="Q59" s="313">
        <f t="shared" si="5"/>
        <v>0</v>
      </c>
      <c r="R59" s="313">
        <f t="shared" si="6"/>
        <v>0</v>
      </c>
      <c r="S59" s="1741">
        <f t="shared" si="7"/>
        <v>0</v>
      </c>
      <c r="T59" s="313" t="str">
        <f>'Production cost'!T64</f>
        <v>N</v>
      </c>
      <c r="X59" s="363"/>
      <c r="Y59" s="363"/>
      <c r="Z59" s="363"/>
      <c r="AA59" s="363"/>
      <c r="AK59" s="313"/>
      <c r="AL59" s="313"/>
      <c r="AM59" s="313"/>
      <c r="AO59" s="385"/>
      <c r="AP59" s="385"/>
      <c r="AQ59" s="385"/>
      <c r="AR59" s="1048"/>
      <c r="AS59" s="385"/>
    </row>
    <row r="60" spans="1:45" ht="12.75" outlineLevel="1">
      <c r="A60" s="333">
        <f>input!A431</f>
        <v>7</v>
      </c>
      <c r="B60" s="1258" t="s">
        <v>139</v>
      </c>
      <c r="C60" s="313" t="str">
        <f>'Production cost'!$C65</f>
        <v>KBA</v>
      </c>
      <c r="E60" s="363" t="str">
        <f>'Production cost'!$E65</f>
        <v>None_Metalize</v>
      </c>
      <c r="F60" s="363" t="str">
        <f>'Production cost'!$F65</f>
        <v>N</v>
      </c>
      <c r="G60" s="363">
        <f ca="1">'Production cost'!$G65</f>
        <v>0</v>
      </c>
      <c r="H60" s="313">
        <f>IFERROR(IF($F60="PCS",$E$4,VLOOKUP($F60,'Proof cost'!$I$23:$X$55,2,0)),0)</f>
        <v>0</v>
      </c>
      <c r="I60" s="313">
        <f ca="1">'Production cost'!$I65</f>
        <v>12000</v>
      </c>
      <c r="J60" s="313" t="s">
        <v>5</v>
      </c>
      <c r="K60" s="360">
        <f>'Production cost'!$K65</f>
        <v>1</v>
      </c>
      <c r="L60" s="391">
        <f>'Production cost'!$L65</f>
        <v>5</v>
      </c>
      <c r="M60" s="391">
        <v>0</v>
      </c>
      <c r="N60" s="391">
        <f>IF(H60&gt;0,3*VLOOKUP($F60,'Proof cost'!$I$23:$W$55,15,0),0)</f>
        <v>0</v>
      </c>
      <c r="O60" s="313">
        <f>'Production cost'!$O65</f>
        <v>352574.32240985788</v>
      </c>
      <c r="P60" s="313">
        <f>'Production cost'!$P65</f>
        <v>83000.376301260956</v>
      </c>
      <c r="Q60" s="313">
        <f t="shared" si="5"/>
        <v>0</v>
      </c>
      <c r="R60" s="313">
        <f t="shared" si="6"/>
        <v>0</v>
      </c>
      <c r="S60" s="1741">
        <f t="shared" si="7"/>
        <v>0</v>
      </c>
      <c r="T60" s="313" t="str">
        <f>'Production cost'!T65</f>
        <v>N</v>
      </c>
      <c r="X60" s="363"/>
      <c r="Y60" s="363"/>
      <c r="Z60" s="363"/>
      <c r="AA60" s="363"/>
      <c r="AK60" s="313"/>
      <c r="AL60" s="313"/>
      <c r="AM60" s="313"/>
      <c r="AO60" s="385"/>
      <c r="AP60" s="385"/>
      <c r="AQ60" s="385"/>
      <c r="AR60" s="1048"/>
      <c r="AS60" s="385"/>
    </row>
    <row r="61" spans="1:45" ht="12.75" outlineLevel="1">
      <c r="A61" s="333">
        <f>input!A432</f>
        <v>7</v>
      </c>
      <c r="B61" s="1258" t="s">
        <v>139</v>
      </c>
      <c r="C61" s="313" t="str">
        <f>'Production cost'!$C66</f>
        <v>KBA</v>
      </c>
      <c r="E61" s="363" t="str">
        <f>'Production cost'!$E66</f>
        <v>None_Metalize</v>
      </c>
      <c r="F61" s="363" t="str">
        <f>'Production cost'!$F66</f>
        <v>N</v>
      </c>
      <c r="G61" s="363" t="str">
        <f>'Production cost'!$G66</f>
        <v>220 - 350gsm</v>
      </c>
      <c r="H61" s="313">
        <f>IFERROR(IF($F61="PCS",$E$4,VLOOKUP($F61,'Proof cost'!$I$23:$X$55,2,0)),0)</f>
        <v>0</v>
      </c>
      <c r="I61" s="313">
        <f>'Production cost'!$I66</f>
        <v>12000</v>
      </c>
      <c r="J61" s="313" t="s">
        <v>5</v>
      </c>
      <c r="K61" s="360">
        <f>'Production cost'!$K66</f>
        <v>1</v>
      </c>
      <c r="L61" s="391">
        <f>'Production cost'!$L66</f>
        <v>5</v>
      </c>
      <c r="M61" s="391">
        <v>0</v>
      </c>
      <c r="N61" s="391">
        <f>IF(H61&gt;0,3*VLOOKUP($F61,'Proof cost'!$I$23:$W$55,15,0),0)</f>
        <v>0</v>
      </c>
      <c r="O61" s="313">
        <f>'Production cost'!$O66</f>
        <v>352574.32240985788</v>
      </c>
      <c r="P61" s="313">
        <f>'Production cost'!$P66</f>
        <v>83000.376301260956</v>
      </c>
      <c r="Q61" s="313">
        <f t="shared" si="5"/>
        <v>0</v>
      </c>
      <c r="R61" s="313">
        <f t="shared" si="6"/>
        <v>0</v>
      </c>
      <c r="S61" s="1741">
        <f t="shared" si="7"/>
        <v>0</v>
      </c>
      <c r="T61" s="313" t="str">
        <f>'Production cost'!T66</f>
        <v>N</v>
      </c>
      <c r="X61" s="363"/>
      <c r="Y61" s="363"/>
      <c r="Z61" s="363"/>
      <c r="AA61" s="363"/>
      <c r="AK61" s="313"/>
      <c r="AL61" s="313"/>
      <c r="AM61" s="313"/>
      <c r="AO61" s="385"/>
      <c r="AP61" s="385"/>
      <c r="AQ61" s="385"/>
      <c r="AR61" s="1048"/>
      <c r="AS61" s="385"/>
    </row>
    <row r="62" spans="1:45" ht="12.75" outlineLevel="1">
      <c r="A62" s="333">
        <f>input!A433</f>
        <v>7</v>
      </c>
      <c r="B62" s="1258" t="s">
        <v>139</v>
      </c>
      <c r="C62" s="313" t="str">
        <f>'Production cost'!$C67</f>
        <v>KBA</v>
      </c>
      <c r="E62" s="363" t="str">
        <f>'Production cost'!$E67</f>
        <v>None_Metalize</v>
      </c>
      <c r="F62" s="363" t="str">
        <f>'Production cost'!$F67</f>
        <v>N</v>
      </c>
      <c r="G62" s="363" t="str">
        <f>'Production cost'!$G67</f>
        <v>220 - 350gsm</v>
      </c>
      <c r="H62" s="313">
        <f>IFERROR(IF($F62="PCS",$E$4,VLOOKUP($F62,'Proof cost'!$I$23:$X$55,2,0)),0)</f>
        <v>0</v>
      </c>
      <c r="I62" s="313">
        <f>'Production cost'!$I67</f>
        <v>12000</v>
      </c>
      <c r="J62" s="313" t="s">
        <v>5</v>
      </c>
      <c r="K62" s="360">
        <f>'Production cost'!$K67</f>
        <v>1</v>
      </c>
      <c r="L62" s="391">
        <f>'Production cost'!$L67</f>
        <v>5</v>
      </c>
      <c r="M62" s="391">
        <v>0</v>
      </c>
      <c r="N62" s="391">
        <f>IF(H62&gt;0,3*VLOOKUP($F62,'Proof cost'!$I$23:$W$55,15,0),0)</f>
        <v>0</v>
      </c>
      <c r="O62" s="313">
        <f>'Production cost'!$O67</f>
        <v>352574.32240985788</v>
      </c>
      <c r="P62" s="313">
        <f>'Production cost'!$P67</f>
        <v>83000.376301260956</v>
      </c>
      <c r="Q62" s="313">
        <f t="shared" si="5"/>
        <v>0</v>
      </c>
      <c r="R62" s="313">
        <f t="shared" si="6"/>
        <v>0</v>
      </c>
      <c r="S62" s="1741">
        <f t="shared" si="7"/>
        <v>0</v>
      </c>
      <c r="T62" s="313" t="str">
        <f>'Production cost'!T67</f>
        <v>N</v>
      </c>
      <c r="X62" s="363"/>
      <c r="Y62" s="363"/>
      <c r="Z62" s="363"/>
      <c r="AA62" s="363"/>
      <c r="AK62" s="313"/>
      <c r="AL62" s="313"/>
      <c r="AM62" s="313"/>
      <c r="AO62" s="385"/>
      <c r="AP62" s="385"/>
      <c r="AQ62" s="385"/>
      <c r="AR62" s="1048"/>
      <c r="AS62" s="385"/>
    </row>
    <row r="63" spans="1:45" ht="12.75" outlineLevel="1">
      <c r="A63" s="333">
        <f>input!A434</f>
        <v>7</v>
      </c>
      <c r="B63" s="1258" t="s">
        <v>139</v>
      </c>
      <c r="C63" s="313" t="str">
        <f>'Production cost'!$C68</f>
        <v>KBA</v>
      </c>
      <c r="E63" s="363" t="str">
        <f>'Production cost'!$E68</f>
        <v>None_Metalize</v>
      </c>
      <c r="F63" s="363" t="str">
        <f>'Production cost'!$F68</f>
        <v>N</v>
      </c>
      <c r="G63" s="363" t="str">
        <f>'Production cost'!$G68</f>
        <v>220 - 350gsm</v>
      </c>
      <c r="H63" s="313">
        <f>IFERROR(IF($F63="PCS",$E$4,VLOOKUP($F63,'Proof cost'!$I$23:$X$55,2,0)),0)</f>
        <v>0</v>
      </c>
      <c r="I63" s="313">
        <f>'Production cost'!$I68</f>
        <v>12000</v>
      </c>
      <c r="J63" s="313" t="s">
        <v>5</v>
      </c>
      <c r="K63" s="360">
        <f>'Production cost'!$K68</f>
        <v>1</v>
      </c>
      <c r="L63" s="391">
        <f>'Production cost'!$L68</f>
        <v>5</v>
      </c>
      <c r="M63" s="391">
        <v>0</v>
      </c>
      <c r="N63" s="391">
        <f>IF(H63&gt;0,3*VLOOKUP($F63,'Proof cost'!$I$23:$W$55,15,0),0)</f>
        <v>0</v>
      </c>
      <c r="O63" s="313">
        <f>'Production cost'!$O68</f>
        <v>352574.32240985788</v>
      </c>
      <c r="P63" s="313">
        <f>'Production cost'!$P68</f>
        <v>83000.376301260956</v>
      </c>
      <c r="Q63" s="313">
        <f t="shared" si="5"/>
        <v>0</v>
      </c>
      <c r="R63" s="313">
        <f t="shared" si="6"/>
        <v>0</v>
      </c>
      <c r="S63" s="1741">
        <f t="shared" si="7"/>
        <v>0</v>
      </c>
      <c r="T63" s="313" t="str">
        <f>'Production cost'!T68</f>
        <v>N</v>
      </c>
      <c r="X63" s="363"/>
      <c r="Y63" s="363"/>
      <c r="Z63" s="363"/>
      <c r="AA63" s="363"/>
      <c r="AK63" s="313"/>
      <c r="AL63" s="313"/>
      <c r="AM63" s="313"/>
      <c r="AO63" s="385"/>
      <c r="AP63" s="385"/>
      <c r="AQ63" s="385"/>
      <c r="AR63" s="1048"/>
      <c r="AS63" s="385"/>
    </row>
    <row r="64" spans="1:45" ht="12.75" outlineLevel="1">
      <c r="A64" s="333">
        <f>input!A435</f>
        <v>7</v>
      </c>
      <c r="B64" s="1258" t="s">
        <v>139</v>
      </c>
      <c r="C64" s="313" t="str">
        <f>'Production cost'!$C69</f>
        <v>KBA</v>
      </c>
      <c r="E64" s="363" t="str">
        <f>'Production cost'!$E69</f>
        <v>None_Metalize</v>
      </c>
      <c r="F64" s="363" t="str">
        <f>'Production cost'!$F69</f>
        <v>N</v>
      </c>
      <c r="G64" s="363" t="str">
        <f>'Production cost'!$G69</f>
        <v>220 - 350gsm</v>
      </c>
      <c r="H64" s="313">
        <f>IFERROR(IF($F64="PCS",$E$4,VLOOKUP($F64,'Proof cost'!$I$23:$X$55,2,0)),0)</f>
        <v>0</v>
      </c>
      <c r="I64" s="313">
        <f>'Production cost'!$I69</f>
        <v>12000</v>
      </c>
      <c r="J64" s="313" t="s">
        <v>5</v>
      </c>
      <c r="K64" s="360">
        <f>'Production cost'!$K69</f>
        <v>1</v>
      </c>
      <c r="L64" s="391">
        <f>'Production cost'!$L69</f>
        <v>5</v>
      </c>
      <c r="M64" s="391">
        <v>0</v>
      </c>
      <c r="N64" s="391">
        <f>IF(H64&gt;0,3*VLOOKUP($F64,'Proof cost'!$I$23:$W$55,15,0),0)</f>
        <v>0</v>
      </c>
      <c r="O64" s="313">
        <f>'Production cost'!$O69</f>
        <v>352574.32240985788</v>
      </c>
      <c r="P64" s="313">
        <f>'Production cost'!$P69</f>
        <v>83000.376301260956</v>
      </c>
      <c r="Q64" s="313">
        <f t="shared" si="5"/>
        <v>0</v>
      </c>
      <c r="R64" s="313">
        <f t="shared" si="6"/>
        <v>0</v>
      </c>
      <c r="S64" s="1741">
        <f t="shared" si="7"/>
        <v>0</v>
      </c>
      <c r="T64" s="313" t="str">
        <f>'Production cost'!T69</f>
        <v>N</v>
      </c>
      <c r="X64" s="363"/>
      <c r="Y64" s="363"/>
      <c r="Z64" s="363"/>
      <c r="AA64" s="363"/>
      <c r="AK64" s="313"/>
      <c r="AL64" s="313"/>
      <c r="AM64" s="313"/>
      <c r="AO64" s="385"/>
      <c r="AP64" s="385"/>
      <c r="AQ64" s="385"/>
      <c r="AR64" s="1048"/>
      <c r="AS64" s="385"/>
    </row>
    <row r="65" spans="1:47" ht="12.75" outlineLevel="1">
      <c r="A65" s="333">
        <f>input!A436</f>
        <v>7</v>
      </c>
      <c r="B65" s="1258" t="s">
        <v>139</v>
      </c>
      <c r="C65" s="313" t="str">
        <f>'Production cost'!$C70</f>
        <v>KBA</v>
      </c>
      <c r="E65" s="363" t="str">
        <f>'Production cost'!$E70</f>
        <v>None_Metalize</v>
      </c>
      <c r="F65" s="363" t="str">
        <f>'Production cost'!$F70</f>
        <v>N</v>
      </c>
      <c r="G65" s="363" t="str">
        <f>'Production cost'!$G70</f>
        <v>220 - 350gsm</v>
      </c>
      <c r="H65" s="313">
        <f>IFERROR(IF($F65="PCS",$E$4,VLOOKUP($F65,'Proof cost'!$I$23:$X$55,2,0)),0)</f>
        <v>0</v>
      </c>
      <c r="I65" s="313">
        <f>'Production cost'!$I70</f>
        <v>12000</v>
      </c>
      <c r="J65" s="313" t="s">
        <v>5</v>
      </c>
      <c r="K65" s="360">
        <f>'Production cost'!$K70</f>
        <v>1</v>
      </c>
      <c r="L65" s="391">
        <f>'Production cost'!$L70</f>
        <v>5</v>
      </c>
      <c r="M65" s="391">
        <v>0</v>
      </c>
      <c r="N65" s="391">
        <f>IF(H65&gt;0,3*VLOOKUP($F65,'Proof cost'!$I$23:$W$55,15,0),0)</f>
        <v>0</v>
      </c>
      <c r="O65" s="313">
        <f>'Production cost'!$O70</f>
        <v>352574.32240985788</v>
      </c>
      <c r="P65" s="313">
        <f>'Production cost'!$P70</f>
        <v>83000.376301260956</v>
      </c>
      <c r="Q65" s="313">
        <f t="shared" si="5"/>
        <v>0</v>
      </c>
      <c r="R65" s="313">
        <f t="shared" si="6"/>
        <v>0</v>
      </c>
      <c r="S65" s="1741">
        <f t="shared" si="7"/>
        <v>0</v>
      </c>
      <c r="T65" s="313" t="str">
        <f>'Production cost'!T70</f>
        <v>N</v>
      </c>
      <c r="X65" s="363"/>
      <c r="Y65" s="363"/>
      <c r="Z65" s="363"/>
      <c r="AA65" s="363"/>
      <c r="AK65" s="313"/>
      <c r="AL65" s="313"/>
      <c r="AM65" s="313"/>
      <c r="AO65" s="385"/>
      <c r="AP65" s="385"/>
      <c r="AQ65" s="385"/>
      <c r="AR65" s="1048"/>
      <c r="AS65" s="385"/>
    </row>
    <row r="66" spans="1:47" ht="12.75" outlineLevel="1">
      <c r="A66" s="333">
        <f>input!A437</f>
        <v>7</v>
      </c>
      <c r="B66" s="1258" t="s">
        <v>139</v>
      </c>
      <c r="C66" s="313" t="str">
        <f>'Production cost'!$C71</f>
        <v>KBA</v>
      </c>
      <c r="E66" s="363" t="str">
        <f>'Production cost'!$E71</f>
        <v>None_Metalize</v>
      </c>
      <c r="F66" s="363" t="str">
        <f>'Production cost'!$F71</f>
        <v>N</v>
      </c>
      <c r="G66" s="363" t="str">
        <f>'Production cost'!$G71</f>
        <v>220 - 350gsm</v>
      </c>
      <c r="H66" s="313">
        <f>IFERROR(IF($F66="PCS",$E$4,VLOOKUP($F66,'Proof cost'!$I$23:$X$55,2,0)),0)</f>
        <v>0</v>
      </c>
      <c r="I66" s="313">
        <f>'Production cost'!$I71</f>
        <v>12000</v>
      </c>
      <c r="J66" s="313" t="s">
        <v>5</v>
      </c>
      <c r="K66" s="360">
        <f>'Production cost'!$K71</f>
        <v>1</v>
      </c>
      <c r="L66" s="391">
        <f>'Production cost'!$L71</f>
        <v>5</v>
      </c>
      <c r="M66" s="391">
        <v>0</v>
      </c>
      <c r="N66" s="391">
        <f>IF(H66&gt;0,3*VLOOKUP($F66,'Proof cost'!$I$23:$W$55,15,0),0)</f>
        <v>0</v>
      </c>
      <c r="O66" s="313">
        <f>'Production cost'!$O71</f>
        <v>352574.32240985788</v>
      </c>
      <c r="P66" s="313">
        <f>'Production cost'!$P71</f>
        <v>83000.376301260956</v>
      </c>
      <c r="Q66" s="313">
        <f t="shared" si="5"/>
        <v>0</v>
      </c>
      <c r="R66" s="313">
        <f t="shared" si="6"/>
        <v>0</v>
      </c>
      <c r="S66" s="1741">
        <f t="shared" si="7"/>
        <v>0</v>
      </c>
      <c r="T66" s="313" t="str">
        <f>'Production cost'!T71</f>
        <v>N</v>
      </c>
      <c r="X66" s="363"/>
      <c r="Y66" s="363"/>
      <c r="Z66" s="363"/>
      <c r="AA66" s="363"/>
      <c r="AK66" s="313"/>
      <c r="AL66" s="313"/>
      <c r="AM66" s="313"/>
      <c r="AO66" s="385"/>
      <c r="AP66" s="385"/>
      <c r="AQ66" s="385"/>
      <c r="AR66" s="1048"/>
      <c r="AS66" s="385"/>
    </row>
    <row r="67" spans="1:47" ht="12.75" outlineLevel="1">
      <c r="A67" s="333">
        <f>input!A438</f>
        <v>7</v>
      </c>
      <c r="B67" s="1258" t="s">
        <v>139</v>
      </c>
      <c r="C67" s="313" t="str">
        <f>'Production cost'!$C72</f>
        <v>KBA</v>
      </c>
      <c r="E67" s="363" t="str">
        <f>'Production cost'!$E72</f>
        <v>None_Metalize</v>
      </c>
      <c r="F67" s="363" t="str">
        <f>'Production cost'!$F72</f>
        <v>N</v>
      </c>
      <c r="G67" s="363" t="str">
        <f>'Production cost'!$G72</f>
        <v>220 - 350gsm</v>
      </c>
      <c r="H67" s="313">
        <f>IFERROR(IF($F67="PCS",$E$4,VLOOKUP($F67,'Proof cost'!$I$23:$X$55,2,0)),0)</f>
        <v>0</v>
      </c>
      <c r="I67" s="313">
        <f>'Production cost'!$I72</f>
        <v>12000</v>
      </c>
      <c r="J67" s="313" t="s">
        <v>5</v>
      </c>
      <c r="K67" s="360">
        <f>'Production cost'!$K72</f>
        <v>1</v>
      </c>
      <c r="L67" s="391">
        <f>'Production cost'!$L72</f>
        <v>5</v>
      </c>
      <c r="M67" s="391">
        <v>0</v>
      </c>
      <c r="N67" s="391">
        <f>IF(H67&gt;0,3*VLOOKUP($F67,'Proof cost'!$I$23:$W$55,15,0),0)</f>
        <v>0</v>
      </c>
      <c r="O67" s="313">
        <f>'Production cost'!$O72</f>
        <v>352574.32240985788</v>
      </c>
      <c r="P67" s="313">
        <f>'Production cost'!$P72</f>
        <v>83000.376301260956</v>
      </c>
      <c r="Q67" s="313">
        <f t="shared" si="5"/>
        <v>0</v>
      </c>
      <c r="R67" s="313">
        <f t="shared" si="6"/>
        <v>0</v>
      </c>
      <c r="S67" s="1741">
        <f t="shared" si="7"/>
        <v>0</v>
      </c>
      <c r="T67" s="313" t="str">
        <f>'Production cost'!T72</f>
        <v>N</v>
      </c>
      <c r="X67" s="363"/>
      <c r="Y67" s="363"/>
      <c r="Z67" s="363"/>
      <c r="AA67" s="363"/>
      <c r="AK67" s="313"/>
      <c r="AL67" s="313"/>
      <c r="AM67" s="313"/>
      <c r="AO67" s="385"/>
      <c r="AP67" s="385"/>
      <c r="AQ67" s="385"/>
      <c r="AR67" s="1048"/>
      <c r="AS67" s="385"/>
    </row>
    <row r="68" spans="1:47" ht="12.75" outlineLevel="1">
      <c r="A68" s="333">
        <f>input!A439</f>
        <v>7</v>
      </c>
      <c r="B68" s="1258" t="s">
        <v>139</v>
      </c>
      <c r="C68" s="313" t="str">
        <f>'Production cost'!$C73</f>
        <v>KBA</v>
      </c>
      <c r="E68" s="363" t="str">
        <f>'Production cost'!$E73</f>
        <v>None_Metalize</v>
      </c>
      <c r="F68" s="363" t="str">
        <f>'Production cost'!$F73</f>
        <v>N</v>
      </c>
      <c r="G68" s="363" t="str">
        <f>'Production cost'!$G73</f>
        <v>220 - 350gsm</v>
      </c>
      <c r="H68" s="313">
        <f>IFERROR(IF($F68="PCS",$E$4,VLOOKUP($F68,'Proof cost'!$I$23:$X$55,2,0)),0)</f>
        <v>0</v>
      </c>
      <c r="I68" s="313">
        <f>'Production cost'!$I73</f>
        <v>12000</v>
      </c>
      <c r="J68" s="313" t="s">
        <v>5</v>
      </c>
      <c r="K68" s="360">
        <f>'Production cost'!$K73</f>
        <v>1</v>
      </c>
      <c r="L68" s="391">
        <f>'Production cost'!$L73</f>
        <v>5</v>
      </c>
      <c r="M68" s="391">
        <v>0</v>
      </c>
      <c r="N68" s="391">
        <f>IF(H68&gt;0,3*VLOOKUP($F68,'Proof cost'!$I$23:$W$55,15,0),0)</f>
        <v>0</v>
      </c>
      <c r="O68" s="313">
        <f>'Production cost'!$O73</f>
        <v>352574.32240985788</v>
      </c>
      <c r="P68" s="313">
        <f>'Production cost'!$P73</f>
        <v>83000.376301260956</v>
      </c>
      <c r="Q68" s="313">
        <f t="shared" si="5"/>
        <v>0</v>
      </c>
      <c r="R68" s="313">
        <f t="shared" si="6"/>
        <v>0</v>
      </c>
      <c r="S68" s="1741">
        <f t="shared" si="7"/>
        <v>0</v>
      </c>
      <c r="T68" s="313" t="str">
        <f>'Production cost'!T73</f>
        <v>N</v>
      </c>
      <c r="X68" s="363"/>
      <c r="Y68" s="363"/>
      <c r="Z68" s="363"/>
      <c r="AA68" s="363"/>
      <c r="AK68" s="313"/>
      <c r="AL68" s="313"/>
      <c r="AM68" s="313"/>
      <c r="AO68" s="385"/>
      <c r="AP68" s="385"/>
      <c r="AQ68" s="385"/>
      <c r="AR68" s="1048"/>
      <c r="AS68" s="385"/>
    </row>
    <row r="69" spans="1:47" ht="12.75" outlineLevel="1">
      <c r="A69" s="333">
        <f>input!A440</f>
        <v>7</v>
      </c>
      <c r="B69" s="1258" t="s">
        <v>139</v>
      </c>
      <c r="C69" s="313" t="str">
        <f>'Production cost'!$C74</f>
        <v>KBA</v>
      </c>
      <c r="E69" s="363" t="str">
        <f>'Production cost'!$E74</f>
        <v>None_Metalize</v>
      </c>
      <c r="F69" s="363" t="str">
        <f>'Production cost'!$F74</f>
        <v>N</v>
      </c>
      <c r="G69" s="363" t="str">
        <f>'Production cost'!$G74</f>
        <v>220 - 350gsm</v>
      </c>
      <c r="H69" s="313">
        <f>IFERROR(IF($F69="PCS",$E$4,VLOOKUP($F69,'Proof cost'!$I$23:$X$55,2,0)),0)</f>
        <v>0</v>
      </c>
      <c r="I69" s="313">
        <f>'Production cost'!$I74</f>
        <v>12000</v>
      </c>
      <c r="J69" s="313" t="s">
        <v>5</v>
      </c>
      <c r="K69" s="360">
        <f>'Production cost'!$K74</f>
        <v>1</v>
      </c>
      <c r="L69" s="391">
        <f>'Production cost'!$L74</f>
        <v>5</v>
      </c>
      <c r="M69" s="391">
        <v>0</v>
      </c>
      <c r="N69" s="391">
        <f>IF(H69&gt;0,3*VLOOKUP($F69,'Proof cost'!$I$23:$W$55,15,0),0)</f>
        <v>0</v>
      </c>
      <c r="O69" s="313">
        <f>'Production cost'!$O74</f>
        <v>352574.32240985788</v>
      </c>
      <c r="P69" s="313">
        <f>'Production cost'!$P74</f>
        <v>83000.376301260956</v>
      </c>
      <c r="Q69" s="313">
        <f t="shared" si="5"/>
        <v>0</v>
      </c>
      <c r="R69" s="313">
        <f t="shared" si="6"/>
        <v>0</v>
      </c>
      <c r="S69" s="1741">
        <f t="shared" si="7"/>
        <v>0</v>
      </c>
      <c r="T69" s="313" t="str">
        <f>'Production cost'!T74</f>
        <v>N</v>
      </c>
      <c r="X69" s="363"/>
      <c r="Y69" s="363"/>
      <c r="Z69" s="363"/>
      <c r="AA69" s="363"/>
      <c r="AK69" s="313"/>
      <c r="AL69" s="313"/>
      <c r="AM69" s="313"/>
      <c r="AO69" s="385"/>
      <c r="AP69" s="385"/>
      <c r="AQ69" s="385"/>
      <c r="AR69" s="1048"/>
      <c r="AS69" s="385"/>
    </row>
    <row r="70" spans="1:47" ht="12.75" outlineLevel="1">
      <c r="A70" s="333">
        <f>input!A441</f>
        <v>7</v>
      </c>
      <c r="B70" s="1259" t="s">
        <v>139</v>
      </c>
      <c r="C70" s="1260" t="str">
        <f>'Production cost'!$C75</f>
        <v>KBA</v>
      </c>
      <c r="D70" s="1260"/>
      <c r="E70" s="2158" t="str">
        <f>'Production cost'!$E75</f>
        <v>None_Metalize</v>
      </c>
      <c r="F70" s="2158" t="str">
        <f>'Production cost'!$F75</f>
        <v>N</v>
      </c>
      <c r="G70" s="2158" t="str">
        <f>'Production cost'!$G75</f>
        <v>220 - 350gsm</v>
      </c>
      <c r="H70" s="1260">
        <f>IFERROR(IF($F70="PCS",$E$4,VLOOKUP($F70,'Proof cost'!$I$23:$X$55,2,0)),0)</f>
        <v>0</v>
      </c>
      <c r="I70" s="1260">
        <f>'Production cost'!$I75</f>
        <v>12000</v>
      </c>
      <c r="J70" s="1260" t="s">
        <v>5</v>
      </c>
      <c r="K70" s="2159">
        <f>'Production cost'!$K75</f>
        <v>1</v>
      </c>
      <c r="L70" s="2160">
        <f>'Production cost'!$L75</f>
        <v>5</v>
      </c>
      <c r="M70" s="2160">
        <v>0</v>
      </c>
      <c r="N70" s="2160">
        <f>IF(H70&gt;0,3*VLOOKUP($F70,'Proof cost'!$I$23:$W$55,15,0),0)</f>
        <v>0</v>
      </c>
      <c r="O70" s="1260">
        <f>'Production cost'!$O75</f>
        <v>352574.32240985788</v>
      </c>
      <c r="P70" s="1260">
        <f>'Production cost'!$P75</f>
        <v>83000.376301260956</v>
      </c>
      <c r="Q70" s="1260">
        <f t="shared" si="5"/>
        <v>0</v>
      </c>
      <c r="R70" s="1260">
        <f t="shared" si="6"/>
        <v>0</v>
      </c>
      <c r="S70" s="2162">
        <f t="shared" si="7"/>
        <v>0</v>
      </c>
      <c r="T70" s="313" t="str">
        <f>'Production cost'!T75</f>
        <v>N</v>
      </c>
      <c r="X70" s="363"/>
      <c r="Y70" s="363"/>
      <c r="Z70" s="363"/>
      <c r="AA70" s="363"/>
      <c r="AK70" s="313"/>
      <c r="AL70" s="313"/>
      <c r="AM70" s="313"/>
      <c r="AO70" s="385"/>
      <c r="AP70" s="385"/>
      <c r="AQ70" s="385"/>
      <c r="AR70" s="1048"/>
      <c r="AS70" s="385"/>
    </row>
    <row r="71" spans="1:47" ht="12.75">
      <c r="F71" s="384"/>
      <c r="G71" s="363"/>
      <c r="H71" s="363"/>
      <c r="N71" s="391"/>
      <c r="P71" s="391"/>
      <c r="S71" s="363"/>
      <c r="AK71" s="313"/>
      <c r="AL71" s="313"/>
      <c r="AM71" s="313"/>
      <c r="AO71" s="385"/>
      <c r="AP71" s="385"/>
      <c r="AQ71" s="385"/>
      <c r="AR71" s="1048"/>
      <c r="AS71" s="385"/>
      <c r="AT71" s="392"/>
      <c r="AU71" s="392"/>
    </row>
    <row r="72" spans="1:47" ht="12.75">
      <c r="B72" s="1269"/>
      <c r="C72" s="385"/>
      <c r="G72" s="1270"/>
      <c r="N72" s="391"/>
      <c r="S72" s="363"/>
      <c r="AO72" s="385"/>
      <c r="AP72" s="385"/>
      <c r="AQ72" s="385"/>
      <c r="AR72" s="1048"/>
      <c r="AS72" s="385"/>
      <c r="AT72" s="392"/>
      <c r="AU72" s="392"/>
    </row>
    <row r="73" spans="1:47" ht="12.75">
      <c r="A73" s="1269" t="s">
        <v>143</v>
      </c>
      <c r="B73" s="1255" t="s">
        <v>140</v>
      </c>
      <c r="C73" s="1256" t="str">
        <f>'Production cost'!$C78</f>
        <v>Metalize lamination</v>
      </c>
      <c r="D73" s="1256"/>
      <c r="E73" s="2144"/>
      <c r="F73" s="2144" t="str">
        <f ca="1">'Production cost'!$F78</f>
        <v>N</v>
      </c>
      <c r="G73" s="2144"/>
      <c r="H73" s="1256">
        <f ca="1">IFERROR(IF($F73="PCS",$E$4,VLOOKUP($F73,'Proof cost'!$I$23:$X$55,2,0)),0)</f>
        <v>0</v>
      </c>
      <c r="I73" s="1256">
        <f ca="1">'Production cost'!$I78</f>
        <v>3000</v>
      </c>
      <c r="J73" s="1256" t="s">
        <v>5</v>
      </c>
      <c r="K73" s="2145">
        <f>'Production cost'!$K78</f>
        <v>0</v>
      </c>
      <c r="L73" s="1256">
        <f ca="1">'Production cost'!$L78</f>
        <v>3</v>
      </c>
      <c r="M73" s="2146">
        <f ca="1">'Production cost'!$M78</f>
        <v>0</v>
      </c>
      <c r="N73" s="2152">
        <f t="shared" ref="N73:N133" ca="1" si="8">IF(H73&gt;0,ROUNDUP(((H73/I73)/$M$5+M73),1),0)</f>
        <v>0</v>
      </c>
      <c r="O73" s="1256"/>
      <c r="P73" s="1256">
        <f>'Production cost'!$P78</f>
        <v>78551.859745354872</v>
      </c>
      <c r="Q73" s="1256">
        <f t="shared" ref="Q73:Q102" ca="1" si="9">(N73*O73*K73+N73*P73*L73)*(1+$R$312)</f>
        <v>0</v>
      </c>
      <c r="R73" s="1256">
        <f ca="1">IF($E$2&gt;0,Q73/$E$2,0)</f>
        <v>0</v>
      </c>
      <c r="S73" s="1257">
        <f ca="1">IF(M73&gt;0,K73*O73+L73*P73,0)</f>
        <v>0</v>
      </c>
      <c r="T73" s="313" t="str">
        <f ca="1">'Production cost'!T78</f>
        <v>N</v>
      </c>
      <c r="AK73" s="313"/>
      <c r="AL73" s="313"/>
      <c r="AM73" s="313"/>
      <c r="AO73" s="385"/>
      <c r="AP73" s="385"/>
      <c r="AQ73" s="385"/>
      <c r="AR73" s="1048"/>
      <c r="AS73" s="385"/>
      <c r="AT73" s="392"/>
      <c r="AU73" s="392"/>
    </row>
    <row r="74" spans="1:47" ht="12.75" outlineLevel="1">
      <c r="A74" s="1269"/>
      <c r="B74" s="1258" t="s">
        <v>140</v>
      </c>
      <c r="C74" s="313" t="str">
        <f>'Production cost'!$C79</f>
        <v>Metalize lamination</v>
      </c>
      <c r="E74" s="363"/>
      <c r="F74" s="363" t="str">
        <f ca="1">'Production cost'!$F79</f>
        <v>N</v>
      </c>
      <c r="G74" s="363"/>
      <c r="H74" s="313">
        <f ca="1">IFERROR(IF($F74="PCS",$E$4,VLOOKUP($F74,'Proof cost'!$I$23:$X$55,2,0)),0)</f>
        <v>0</v>
      </c>
      <c r="I74" s="313">
        <f ca="1">'Production cost'!$I79</f>
        <v>3000</v>
      </c>
      <c r="J74" s="313" t="s">
        <v>5</v>
      </c>
      <c r="K74" s="360">
        <f>'Production cost'!$K79</f>
        <v>0</v>
      </c>
      <c r="L74" s="313">
        <f ca="1">'Production cost'!$L79</f>
        <v>3</v>
      </c>
      <c r="M74" s="391">
        <f ca="1">'Production cost'!$M79</f>
        <v>0</v>
      </c>
      <c r="N74" s="983">
        <f t="shared" ca="1" si="8"/>
        <v>0</v>
      </c>
      <c r="P74" s="313">
        <f>'Production cost'!$P79</f>
        <v>78551.859745354872</v>
      </c>
      <c r="Q74" s="313">
        <f t="shared" ca="1" si="9"/>
        <v>0</v>
      </c>
      <c r="R74" s="313">
        <f t="shared" ref="R74:R102" ca="1" si="10">IF($E$2&gt;0,Q74/$E$2,0)</f>
        <v>0</v>
      </c>
      <c r="S74" s="1741">
        <f t="shared" ref="S74:S102" ca="1" si="11">IF(M74&gt;0,K74*O74+L74*P74,0)</f>
        <v>0</v>
      </c>
      <c r="T74" s="313" t="str">
        <f ca="1">'Production cost'!T79</f>
        <v>N</v>
      </c>
      <c r="AK74" s="313"/>
      <c r="AL74" s="313"/>
      <c r="AM74" s="313"/>
      <c r="AO74" s="385"/>
      <c r="AP74" s="385"/>
      <c r="AQ74" s="385"/>
      <c r="AR74" s="1048"/>
      <c r="AS74" s="385"/>
      <c r="AT74" s="392"/>
      <c r="AU74" s="392"/>
    </row>
    <row r="75" spans="1:47" ht="12.75" outlineLevel="1">
      <c r="A75" s="1269"/>
      <c r="B75" s="1258" t="s">
        <v>140</v>
      </c>
      <c r="C75" s="313" t="str">
        <f>'Production cost'!$C80</f>
        <v>Metalize lamination</v>
      </c>
      <c r="E75" s="363"/>
      <c r="F75" s="363" t="str">
        <f ca="1">'Production cost'!$F80</f>
        <v>N</v>
      </c>
      <c r="G75" s="363"/>
      <c r="H75" s="313">
        <f ca="1">IFERROR(IF($F75="PCS",$E$4,VLOOKUP($F75,'Proof cost'!$I$23:$X$55,2,0)),0)</f>
        <v>0</v>
      </c>
      <c r="I75" s="313">
        <f ca="1">'Production cost'!$I80</f>
        <v>3000</v>
      </c>
      <c r="J75" s="313" t="s">
        <v>5</v>
      </c>
      <c r="K75" s="360">
        <f>'Production cost'!$K80</f>
        <v>0</v>
      </c>
      <c r="L75" s="313">
        <f ca="1">'Production cost'!$L80</f>
        <v>3</v>
      </c>
      <c r="M75" s="391">
        <f ca="1">'Production cost'!$M80</f>
        <v>0</v>
      </c>
      <c r="N75" s="983">
        <f t="shared" ca="1" si="8"/>
        <v>0</v>
      </c>
      <c r="P75" s="313">
        <f>'Production cost'!$P80</f>
        <v>78551.859745354872</v>
      </c>
      <c r="Q75" s="313">
        <f t="shared" ca="1" si="9"/>
        <v>0</v>
      </c>
      <c r="R75" s="313">
        <f t="shared" ca="1" si="10"/>
        <v>0</v>
      </c>
      <c r="S75" s="1741">
        <f t="shared" ca="1" si="11"/>
        <v>0</v>
      </c>
      <c r="T75" s="313" t="str">
        <f ca="1">'Production cost'!T80</f>
        <v>N</v>
      </c>
      <c r="AK75" s="313"/>
      <c r="AL75" s="313"/>
      <c r="AM75" s="313"/>
      <c r="AO75" s="385"/>
      <c r="AP75" s="385"/>
      <c r="AQ75" s="385"/>
      <c r="AR75" s="1048"/>
      <c r="AS75" s="385"/>
      <c r="AT75" s="392"/>
      <c r="AU75" s="392"/>
    </row>
    <row r="76" spans="1:47" ht="12.75" outlineLevel="1">
      <c r="A76" s="1269"/>
      <c r="B76" s="1258" t="s">
        <v>140</v>
      </c>
      <c r="C76" s="313" t="str">
        <f>'Production cost'!$C81</f>
        <v>Metalize lamination</v>
      </c>
      <c r="E76" s="363"/>
      <c r="F76" s="363" t="str">
        <f ca="1">'Production cost'!$F81</f>
        <v>N</v>
      </c>
      <c r="G76" s="363"/>
      <c r="H76" s="313">
        <f ca="1">IFERROR(IF($F76="PCS",$E$4,VLOOKUP($F76,'Proof cost'!$I$23:$X$55,2,0)),0)</f>
        <v>0</v>
      </c>
      <c r="I76" s="313">
        <f ca="1">'Production cost'!$I81</f>
        <v>3000</v>
      </c>
      <c r="J76" s="313" t="s">
        <v>5</v>
      </c>
      <c r="K76" s="360">
        <f>'Production cost'!$K81</f>
        <v>0</v>
      </c>
      <c r="L76" s="313">
        <f ca="1">'Production cost'!$L81</f>
        <v>3</v>
      </c>
      <c r="M76" s="391">
        <f ca="1">'Production cost'!$M81</f>
        <v>0</v>
      </c>
      <c r="N76" s="983">
        <f t="shared" ca="1" si="8"/>
        <v>0</v>
      </c>
      <c r="P76" s="313">
        <f>'Production cost'!$P81</f>
        <v>78551.859745354872</v>
      </c>
      <c r="Q76" s="313">
        <f t="shared" ca="1" si="9"/>
        <v>0</v>
      </c>
      <c r="R76" s="313">
        <f t="shared" ca="1" si="10"/>
        <v>0</v>
      </c>
      <c r="S76" s="1741">
        <f t="shared" ca="1" si="11"/>
        <v>0</v>
      </c>
      <c r="T76" s="313" t="str">
        <f ca="1">'Production cost'!T81</f>
        <v>N</v>
      </c>
      <c r="AK76" s="313"/>
      <c r="AL76" s="313"/>
      <c r="AM76" s="313"/>
      <c r="AO76" s="385"/>
      <c r="AP76" s="385"/>
      <c r="AQ76" s="385"/>
      <c r="AR76" s="1048"/>
      <c r="AS76" s="385"/>
      <c r="AT76" s="392"/>
      <c r="AU76" s="392"/>
    </row>
    <row r="77" spans="1:47" ht="12.75" outlineLevel="1">
      <c r="A77" s="1269"/>
      <c r="B77" s="1258" t="s">
        <v>140</v>
      </c>
      <c r="C77" s="313" t="str">
        <f>'Production cost'!$C82</f>
        <v>Metalize lamination</v>
      </c>
      <c r="E77" s="363"/>
      <c r="F77" s="363" t="str">
        <f ca="1">'Production cost'!$F82</f>
        <v>N</v>
      </c>
      <c r="G77" s="363"/>
      <c r="H77" s="313">
        <f ca="1">IFERROR(IF($F77="PCS",$E$4,VLOOKUP($F77,'Proof cost'!$I$23:$X$55,2,0)),0)</f>
        <v>0</v>
      </c>
      <c r="I77" s="313">
        <f ca="1">'Production cost'!$I82</f>
        <v>3000</v>
      </c>
      <c r="J77" s="313" t="s">
        <v>5</v>
      </c>
      <c r="K77" s="360">
        <f>'Production cost'!$K82</f>
        <v>0</v>
      </c>
      <c r="L77" s="313">
        <f ca="1">'Production cost'!$L82</f>
        <v>3</v>
      </c>
      <c r="M77" s="391">
        <f ca="1">'Production cost'!$M82</f>
        <v>0</v>
      </c>
      <c r="N77" s="983">
        <f t="shared" ca="1" si="8"/>
        <v>0</v>
      </c>
      <c r="P77" s="313">
        <f>'Production cost'!$P82</f>
        <v>78551.859745354872</v>
      </c>
      <c r="Q77" s="313">
        <f t="shared" ca="1" si="9"/>
        <v>0</v>
      </c>
      <c r="R77" s="313">
        <f t="shared" ca="1" si="10"/>
        <v>0</v>
      </c>
      <c r="S77" s="1741">
        <f t="shared" ca="1" si="11"/>
        <v>0</v>
      </c>
      <c r="T77" s="313" t="str">
        <f ca="1">'Production cost'!T82</f>
        <v>N</v>
      </c>
      <c r="AK77" s="313"/>
      <c r="AL77" s="313"/>
      <c r="AM77" s="313"/>
      <c r="AO77" s="385"/>
      <c r="AP77" s="385"/>
      <c r="AQ77" s="385"/>
      <c r="AR77" s="1048"/>
      <c r="AS77" s="385"/>
      <c r="AT77" s="392"/>
      <c r="AU77" s="392"/>
    </row>
    <row r="78" spans="1:47" ht="12.75" outlineLevel="1">
      <c r="A78" s="1269"/>
      <c r="B78" s="1258" t="s">
        <v>140</v>
      </c>
      <c r="C78" s="313" t="str">
        <f>'Production cost'!$C93</f>
        <v>OPP lamination</v>
      </c>
      <c r="E78" s="363"/>
      <c r="F78" s="363" t="str">
        <f ca="1">'Production cost'!$F93</f>
        <v>N</v>
      </c>
      <c r="G78" s="363"/>
      <c r="H78" s="313">
        <f ca="1">IFERROR(IF($F78="PCS",$E$4,VLOOKUP($F78,'Proof cost'!$I$23:$X$55,2,0)),0)</f>
        <v>0</v>
      </c>
      <c r="I78" s="313">
        <f ca="1">'Production cost'!$I93</f>
        <v>3000</v>
      </c>
      <c r="J78" s="313" t="s">
        <v>5</v>
      </c>
      <c r="K78" s="360">
        <f>'Production cost'!$K93</f>
        <v>0</v>
      </c>
      <c r="L78" s="313">
        <f ca="1">'Production cost'!$L93</f>
        <v>3</v>
      </c>
      <c r="M78" s="391">
        <f ca="1">'Production cost'!$M93</f>
        <v>0</v>
      </c>
      <c r="N78" s="983">
        <f t="shared" ca="1" si="8"/>
        <v>0</v>
      </c>
      <c r="P78" s="313">
        <f>'Production cost'!$P93</f>
        <v>78551.859745354872</v>
      </c>
      <c r="Q78" s="313">
        <f t="shared" ca="1" si="9"/>
        <v>0</v>
      </c>
      <c r="R78" s="313">
        <f t="shared" ca="1" si="10"/>
        <v>0</v>
      </c>
      <c r="S78" s="1741">
        <f t="shared" ca="1" si="11"/>
        <v>0</v>
      </c>
      <c r="T78" s="313" t="str">
        <f ca="1">'Production cost'!T93</f>
        <v>N</v>
      </c>
      <c r="AK78" s="313"/>
      <c r="AL78" s="313"/>
      <c r="AM78" s="313"/>
      <c r="AO78" s="385"/>
      <c r="AP78" s="385"/>
      <c r="AQ78" s="385"/>
      <c r="AR78" s="1048"/>
      <c r="AS78" s="385"/>
      <c r="AT78" s="392"/>
      <c r="AU78" s="392"/>
    </row>
    <row r="79" spans="1:47" ht="12.75" outlineLevel="1">
      <c r="A79" s="1269"/>
      <c r="B79" s="1258" t="s">
        <v>140</v>
      </c>
      <c r="C79" s="313" t="str">
        <f>'Production cost'!$C94</f>
        <v>OPP lamination</v>
      </c>
      <c r="E79" s="363"/>
      <c r="F79" s="363" t="str">
        <f ca="1">'Production cost'!$F94</f>
        <v>N</v>
      </c>
      <c r="G79" s="363"/>
      <c r="H79" s="313">
        <f ca="1">IFERROR(IF($F79="PCS",$E$4,VLOOKUP($F79,'Proof cost'!$I$23:$X$55,2,0)),0)</f>
        <v>0</v>
      </c>
      <c r="I79" s="313">
        <f ca="1">'Production cost'!$I94</f>
        <v>3000</v>
      </c>
      <c r="J79" s="313" t="s">
        <v>5</v>
      </c>
      <c r="K79" s="360">
        <f>'Production cost'!$K94</f>
        <v>0</v>
      </c>
      <c r="L79" s="313">
        <f ca="1">'Production cost'!$L94</f>
        <v>3</v>
      </c>
      <c r="M79" s="391">
        <f ca="1">'Production cost'!$M94</f>
        <v>0</v>
      </c>
      <c r="N79" s="983">
        <f t="shared" ca="1" si="8"/>
        <v>0</v>
      </c>
      <c r="P79" s="313">
        <f>'Production cost'!$P94</f>
        <v>78551.859745354872</v>
      </c>
      <c r="Q79" s="313">
        <f t="shared" ca="1" si="9"/>
        <v>0</v>
      </c>
      <c r="R79" s="313">
        <f t="shared" ca="1" si="10"/>
        <v>0</v>
      </c>
      <c r="S79" s="1741">
        <f t="shared" ca="1" si="11"/>
        <v>0</v>
      </c>
      <c r="T79" s="313" t="str">
        <f ca="1">'Production cost'!T94</f>
        <v>N</v>
      </c>
      <c r="AK79" s="313"/>
      <c r="AL79" s="313"/>
      <c r="AM79" s="313"/>
      <c r="AO79" s="385"/>
      <c r="AP79" s="385"/>
      <c r="AQ79" s="385"/>
      <c r="AR79" s="1048"/>
      <c r="AS79" s="385"/>
      <c r="AT79" s="392"/>
      <c r="AU79" s="392"/>
    </row>
    <row r="80" spans="1:47" ht="12.75" outlineLevel="1">
      <c r="A80" s="1269"/>
      <c r="B80" s="1258" t="s">
        <v>140</v>
      </c>
      <c r="C80" s="313" t="str">
        <f>'Production cost'!$C95</f>
        <v>OPP lamination</v>
      </c>
      <c r="E80" s="363"/>
      <c r="F80" s="363" t="str">
        <f ca="1">'Production cost'!$F95</f>
        <v>N</v>
      </c>
      <c r="G80" s="363"/>
      <c r="H80" s="313">
        <f ca="1">IFERROR(IF($F80="PCS",$E$4,VLOOKUP($F80,'Proof cost'!$I$23:$X$55,2,0)),0)</f>
        <v>0</v>
      </c>
      <c r="I80" s="313">
        <f ca="1">'Production cost'!$I95</f>
        <v>3000</v>
      </c>
      <c r="J80" s="313" t="s">
        <v>5</v>
      </c>
      <c r="K80" s="360">
        <f>'Production cost'!$K95</f>
        <v>0</v>
      </c>
      <c r="L80" s="313">
        <f ca="1">'Production cost'!$L95</f>
        <v>3</v>
      </c>
      <c r="M80" s="391">
        <f ca="1">'Production cost'!$M95</f>
        <v>0</v>
      </c>
      <c r="N80" s="983">
        <f t="shared" ca="1" si="8"/>
        <v>0</v>
      </c>
      <c r="P80" s="313">
        <f>'Production cost'!$P95</f>
        <v>78551.859745354872</v>
      </c>
      <c r="Q80" s="313">
        <f t="shared" ca="1" si="9"/>
        <v>0</v>
      </c>
      <c r="R80" s="313">
        <f t="shared" ca="1" si="10"/>
        <v>0</v>
      </c>
      <c r="S80" s="1741">
        <f t="shared" ca="1" si="11"/>
        <v>0</v>
      </c>
      <c r="T80" s="313" t="str">
        <f ca="1">'Production cost'!T95</f>
        <v>N</v>
      </c>
      <c r="AK80" s="313"/>
      <c r="AL80" s="313"/>
      <c r="AM80" s="313"/>
      <c r="AO80" s="385"/>
      <c r="AP80" s="385"/>
      <c r="AQ80" s="385"/>
      <c r="AR80" s="1048"/>
      <c r="AS80" s="385"/>
      <c r="AT80" s="392"/>
      <c r="AU80" s="392"/>
    </row>
    <row r="81" spans="1:47" ht="12.75" outlineLevel="1">
      <c r="A81" s="1269"/>
      <c r="B81" s="1258" t="s">
        <v>140</v>
      </c>
      <c r="C81" s="313" t="str">
        <f>'Production cost'!$C96</f>
        <v>OPP lamination</v>
      </c>
      <c r="E81" s="363"/>
      <c r="F81" s="363" t="str">
        <f ca="1">'Production cost'!$F96</f>
        <v>N</v>
      </c>
      <c r="G81" s="363"/>
      <c r="H81" s="313">
        <f ca="1">IFERROR(IF($F81="PCS",$E$4,VLOOKUP($F81,'Proof cost'!$I$23:$X$55,2,0)),0)</f>
        <v>0</v>
      </c>
      <c r="I81" s="313">
        <f ca="1">'Production cost'!$I96</f>
        <v>3000</v>
      </c>
      <c r="J81" s="313" t="s">
        <v>5</v>
      </c>
      <c r="K81" s="360">
        <f>'Production cost'!$K96</f>
        <v>0</v>
      </c>
      <c r="L81" s="313">
        <f ca="1">'Production cost'!$L96</f>
        <v>3</v>
      </c>
      <c r="M81" s="391">
        <f ca="1">'Production cost'!$M96</f>
        <v>0</v>
      </c>
      <c r="N81" s="983">
        <f t="shared" ca="1" si="8"/>
        <v>0</v>
      </c>
      <c r="P81" s="313">
        <f>'Production cost'!$P96</f>
        <v>78551.859745354872</v>
      </c>
      <c r="Q81" s="313">
        <f t="shared" ca="1" si="9"/>
        <v>0</v>
      </c>
      <c r="R81" s="313">
        <f t="shared" ca="1" si="10"/>
        <v>0</v>
      </c>
      <c r="S81" s="1741">
        <f t="shared" ca="1" si="11"/>
        <v>0</v>
      </c>
      <c r="T81" s="313" t="str">
        <f ca="1">'Production cost'!T96</f>
        <v>N</v>
      </c>
      <c r="AK81" s="313"/>
      <c r="AL81" s="313"/>
      <c r="AM81" s="313"/>
      <c r="AO81" s="385"/>
      <c r="AP81" s="385"/>
      <c r="AQ81" s="385"/>
      <c r="AR81" s="1048"/>
      <c r="AS81" s="385"/>
      <c r="AT81" s="392"/>
      <c r="AU81" s="392"/>
    </row>
    <row r="82" spans="1:47" ht="12.75" outlineLevel="1">
      <c r="A82" s="1269"/>
      <c r="B82" s="1258" t="s">
        <v>140</v>
      </c>
      <c r="C82" s="313" t="str">
        <f>'Production cost'!$C97</f>
        <v>OPP lamination</v>
      </c>
      <c r="E82" s="363"/>
      <c r="F82" s="363" t="str">
        <f ca="1">'Production cost'!$F97</f>
        <v>N</v>
      </c>
      <c r="G82" s="363"/>
      <c r="H82" s="313">
        <f ca="1">IFERROR(IF($F82="PCS",$E$4,VLOOKUP($F82,'Proof cost'!$I$23:$X$55,2,0)),0)</f>
        <v>0</v>
      </c>
      <c r="I82" s="313">
        <f ca="1">'Production cost'!$I97</f>
        <v>3000</v>
      </c>
      <c r="J82" s="313" t="s">
        <v>5</v>
      </c>
      <c r="K82" s="360">
        <f>'Production cost'!$K97</f>
        <v>0</v>
      </c>
      <c r="L82" s="313">
        <f ca="1">'Production cost'!$L97</f>
        <v>3</v>
      </c>
      <c r="M82" s="391">
        <f ca="1">'Production cost'!$M97</f>
        <v>0</v>
      </c>
      <c r="N82" s="983">
        <f t="shared" ca="1" si="8"/>
        <v>0</v>
      </c>
      <c r="P82" s="313">
        <f>'Production cost'!$P97</f>
        <v>78551.859745354872</v>
      </c>
      <c r="Q82" s="313">
        <f t="shared" ca="1" si="9"/>
        <v>0</v>
      </c>
      <c r="R82" s="313">
        <f t="shared" ca="1" si="10"/>
        <v>0</v>
      </c>
      <c r="S82" s="1741">
        <f t="shared" ca="1" si="11"/>
        <v>0</v>
      </c>
      <c r="T82" s="313" t="str">
        <f ca="1">'Production cost'!T97</f>
        <v>N</v>
      </c>
      <c r="AK82" s="313"/>
      <c r="AL82" s="313"/>
      <c r="AM82" s="313"/>
      <c r="AO82" s="385"/>
      <c r="AP82" s="385"/>
      <c r="AQ82" s="385"/>
      <c r="AR82" s="1048"/>
      <c r="AS82" s="385"/>
      <c r="AT82" s="392"/>
      <c r="AU82" s="392"/>
    </row>
    <row r="83" spans="1:47" ht="12.75" outlineLevel="1">
      <c r="A83" s="1269"/>
      <c r="B83" s="1258" t="s">
        <v>140</v>
      </c>
      <c r="C83" s="313" t="str">
        <f>'Production cost'!$C108</f>
        <v>TK Coating</v>
      </c>
      <c r="E83" s="363"/>
      <c r="F83" s="363" t="str">
        <f ca="1">'Production cost'!$F108</f>
        <v>N</v>
      </c>
      <c r="G83" s="363"/>
      <c r="H83" s="313">
        <f ca="1">IFERROR(IF($F83="PCS",$E$4,VLOOKUP($F83,'Proof cost'!$I$23:$X$55,2,0)),0)</f>
        <v>0</v>
      </c>
      <c r="I83" s="313">
        <f ca="1">'Production cost'!$I108</f>
        <v>3000</v>
      </c>
      <c r="J83" s="313" t="s">
        <v>5</v>
      </c>
      <c r="K83" s="360">
        <f>'Production cost'!$K108</f>
        <v>0</v>
      </c>
      <c r="L83" s="313">
        <f ca="1">'Production cost'!$L108</f>
        <v>3</v>
      </c>
      <c r="M83" s="391">
        <f ca="1">'Production cost'!$M108</f>
        <v>0</v>
      </c>
      <c r="N83" s="983">
        <f t="shared" ca="1" si="8"/>
        <v>0</v>
      </c>
      <c r="P83" s="313">
        <f>'Production cost'!$P108</f>
        <v>78551.859745354872</v>
      </c>
      <c r="Q83" s="313">
        <f t="shared" ca="1" si="9"/>
        <v>0</v>
      </c>
      <c r="R83" s="313">
        <f t="shared" ca="1" si="10"/>
        <v>0</v>
      </c>
      <c r="S83" s="1741">
        <f t="shared" ca="1" si="11"/>
        <v>0</v>
      </c>
      <c r="T83" s="313" t="str">
        <f ca="1">'Production cost'!T108</f>
        <v>N</v>
      </c>
      <c r="AK83" s="313"/>
      <c r="AL83" s="313"/>
      <c r="AM83" s="313"/>
      <c r="AO83" s="385"/>
      <c r="AP83" s="385"/>
      <c r="AQ83" s="385"/>
      <c r="AR83" s="1048"/>
      <c r="AS83" s="385"/>
      <c r="AT83" s="392"/>
      <c r="AU83" s="392"/>
    </row>
    <row r="84" spans="1:47" ht="12.75" outlineLevel="1">
      <c r="A84" s="1269"/>
      <c r="B84" s="1258" t="s">
        <v>140</v>
      </c>
      <c r="C84" s="313" t="str">
        <f>'Production cost'!$C109</f>
        <v>TK Coating</v>
      </c>
      <c r="E84" s="363"/>
      <c r="F84" s="363" t="str">
        <f ca="1">'Production cost'!$F109</f>
        <v>N</v>
      </c>
      <c r="G84" s="363"/>
      <c r="H84" s="313">
        <f ca="1">IFERROR(IF($F84="PCS",$E$4,VLOOKUP($F84,'Proof cost'!$I$23:$X$55,2,0)),0)</f>
        <v>0</v>
      </c>
      <c r="I84" s="313">
        <f ca="1">'Production cost'!$I109</f>
        <v>3000</v>
      </c>
      <c r="J84" s="313" t="s">
        <v>5</v>
      </c>
      <c r="K84" s="360">
        <f>'Production cost'!$K109</f>
        <v>0</v>
      </c>
      <c r="L84" s="313">
        <f ca="1">'Production cost'!$L109</f>
        <v>3</v>
      </c>
      <c r="M84" s="391">
        <f ca="1">'Production cost'!$M109</f>
        <v>0</v>
      </c>
      <c r="N84" s="983">
        <f t="shared" ca="1" si="8"/>
        <v>0</v>
      </c>
      <c r="P84" s="313">
        <f>'Production cost'!$P109</f>
        <v>78551.859745354872</v>
      </c>
      <c r="Q84" s="313">
        <f t="shared" ca="1" si="9"/>
        <v>0</v>
      </c>
      <c r="R84" s="313">
        <f t="shared" ca="1" si="10"/>
        <v>0</v>
      </c>
      <c r="S84" s="1741">
        <f t="shared" ca="1" si="11"/>
        <v>0</v>
      </c>
      <c r="T84" s="313" t="str">
        <f ca="1">'Production cost'!T109</f>
        <v>N</v>
      </c>
      <c r="AK84" s="313"/>
      <c r="AL84" s="313"/>
      <c r="AM84" s="313"/>
      <c r="AO84" s="385"/>
      <c r="AP84" s="385"/>
      <c r="AQ84" s="385"/>
      <c r="AR84" s="1048"/>
      <c r="AS84" s="385"/>
      <c r="AT84" s="392"/>
      <c r="AU84" s="392"/>
    </row>
    <row r="85" spans="1:47" ht="12.75" outlineLevel="1">
      <c r="A85" s="1269"/>
      <c r="B85" s="1258" t="s">
        <v>140</v>
      </c>
      <c r="C85" s="313" t="str">
        <f>'Production cost'!$C110</f>
        <v>TK Coating</v>
      </c>
      <c r="E85" s="363"/>
      <c r="F85" s="363" t="str">
        <f ca="1">'Production cost'!$F110</f>
        <v>N</v>
      </c>
      <c r="G85" s="363"/>
      <c r="H85" s="313">
        <f ca="1">IFERROR(IF($F85="PCS",$E$4,VLOOKUP($F85,'Proof cost'!$I$23:$X$55,2,0)),0)</f>
        <v>0</v>
      </c>
      <c r="I85" s="313">
        <f ca="1">'Production cost'!$I110</f>
        <v>3000</v>
      </c>
      <c r="J85" s="313" t="s">
        <v>5</v>
      </c>
      <c r="K85" s="360">
        <f>'Production cost'!$K110</f>
        <v>0</v>
      </c>
      <c r="L85" s="313">
        <f ca="1">'Production cost'!$L110</f>
        <v>3</v>
      </c>
      <c r="M85" s="391">
        <f ca="1">'Production cost'!$M110</f>
        <v>0</v>
      </c>
      <c r="N85" s="983">
        <f t="shared" ca="1" si="8"/>
        <v>0</v>
      </c>
      <c r="P85" s="313">
        <f>'Production cost'!$P110</f>
        <v>78551.859745354872</v>
      </c>
      <c r="Q85" s="313">
        <f t="shared" ca="1" si="9"/>
        <v>0</v>
      </c>
      <c r="R85" s="313">
        <f t="shared" ca="1" si="10"/>
        <v>0</v>
      </c>
      <c r="S85" s="1741">
        <f t="shared" ca="1" si="11"/>
        <v>0</v>
      </c>
      <c r="T85" s="313" t="str">
        <f ca="1">'Production cost'!T110</f>
        <v>N</v>
      </c>
      <c r="AK85" s="313"/>
      <c r="AL85" s="313"/>
      <c r="AM85" s="313"/>
      <c r="AO85" s="385"/>
      <c r="AP85" s="385"/>
      <c r="AQ85" s="385"/>
      <c r="AR85" s="1048"/>
      <c r="AS85" s="385"/>
      <c r="AT85" s="392"/>
      <c r="AU85" s="392"/>
    </row>
    <row r="86" spans="1:47" ht="12.75" outlineLevel="1">
      <c r="A86" s="1269"/>
      <c r="B86" s="1258" t="s">
        <v>140</v>
      </c>
      <c r="C86" s="313" t="str">
        <f>'Production cost'!$C111</f>
        <v>TK Coating</v>
      </c>
      <c r="E86" s="363"/>
      <c r="F86" s="363" t="str">
        <f ca="1">'Production cost'!$F111</f>
        <v>N</v>
      </c>
      <c r="G86" s="363"/>
      <c r="H86" s="313">
        <f ca="1">IFERROR(IF($F86="PCS",$E$4,VLOOKUP($F86,'Proof cost'!$I$23:$X$55,2,0)),0)</f>
        <v>0</v>
      </c>
      <c r="I86" s="313">
        <f ca="1">'Production cost'!$I111</f>
        <v>3000</v>
      </c>
      <c r="J86" s="313" t="s">
        <v>5</v>
      </c>
      <c r="K86" s="360">
        <f>'Production cost'!$K111</f>
        <v>0</v>
      </c>
      <c r="L86" s="313">
        <f ca="1">'Production cost'!$L111</f>
        <v>3</v>
      </c>
      <c r="M86" s="391">
        <f ca="1">'Production cost'!$M111</f>
        <v>0</v>
      </c>
      <c r="N86" s="983">
        <f t="shared" ca="1" si="8"/>
        <v>0</v>
      </c>
      <c r="P86" s="313">
        <f>'Production cost'!$P111</f>
        <v>78551.859745354872</v>
      </c>
      <c r="Q86" s="313">
        <f t="shared" ca="1" si="9"/>
        <v>0</v>
      </c>
      <c r="R86" s="313">
        <f t="shared" ca="1" si="10"/>
        <v>0</v>
      </c>
      <c r="S86" s="1741">
        <f t="shared" ca="1" si="11"/>
        <v>0</v>
      </c>
      <c r="T86" s="313" t="str">
        <f ca="1">'Production cost'!T111</f>
        <v>N</v>
      </c>
      <c r="AK86" s="313"/>
      <c r="AL86" s="313"/>
      <c r="AM86" s="313"/>
      <c r="AO86" s="385"/>
      <c r="AP86" s="385"/>
      <c r="AQ86" s="385"/>
      <c r="AR86" s="1048"/>
      <c r="AS86" s="385"/>
      <c r="AT86" s="392"/>
      <c r="AU86" s="392"/>
    </row>
    <row r="87" spans="1:47" ht="12.75" outlineLevel="1">
      <c r="A87" s="1269"/>
      <c r="B87" s="1258" t="s">
        <v>140</v>
      </c>
      <c r="C87" s="313" t="str">
        <f>'Production cost'!$C112</f>
        <v>TK Coating</v>
      </c>
      <c r="E87" s="363"/>
      <c r="F87" s="363" t="str">
        <f ca="1">'Production cost'!$F112</f>
        <v>N</v>
      </c>
      <c r="G87" s="363"/>
      <c r="H87" s="313">
        <f ca="1">IFERROR(IF($F87="PCS",$E$4,VLOOKUP($F87,'Proof cost'!$I$23:$X$55,2,0)),0)</f>
        <v>0</v>
      </c>
      <c r="I87" s="313">
        <f ca="1">'Production cost'!$I112</f>
        <v>3000</v>
      </c>
      <c r="J87" s="313" t="s">
        <v>5</v>
      </c>
      <c r="K87" s="360">
        <f>'Production cost'!$K112</f>
        <v>0</v>
      </c>
      <c r="L87" s="313">
        <f ca="1">'Production cost'!$L112</f>
        <v>3</v>
      </c>
      <c r="M87" s="391">
        <f ca="1">'Production cost'!$M112</f>
        <v>0</v>
      </c>
      <c r="N87" s="983">
        <f t="shared" ca="1" si="8"/>
        <v>0</v>
      </c>
      <c r="P87" s="313">
        <f>'Production cost'!$P112</f>
        <v>78551.859745354872</v>
      </c>
      <c r="Q87" s="313">
        <f t="shared" ca="1" si="9"/>
        <v>0</v>
      </c>
      <c r="R87" s="313">
        <f t="shared" ca="1" si="10"/>
        <v>0</v>
      </c>
      <c r="S87" s="1741">
        <f t="shared" ca="1" si="11"/>
        <v>0</v>
      </c>
      <c r="T87" s="313" t="str">
        <f ca="1">'Production cost'!T112</f>
        <v>N</v>
      </c>
      <c r="AK87" s="313"/>
      <c r="AL87" s="313"/>
      <c r="AM87" s="313"/>
      <c r="AO87" s="385"/>
      <c r="AP87" s="385"/>
      <c r="AQ87" s="385"/>
      <c r="AR87" s="1048"/>
      <c r="AS87" s="385"/>
      <c r="AT87" s="392"/>
      <c r="AU87" s="392"/>
    </row>
    <row r="88" spans="1:47" ht="12.75" outlineLevel="1">
      <c r="A88" s="1269"/>
      <c r="B88" s="1258" t="s">
        <v>140</v>
      </c>
      <c r="C88" s="313" t="str">
        <f>'Production cost'!$C123</f>
        <v>Calendering</v>
      </c>
      <c r="E88" s="363"/>
      <c r="F88" s="363" t="str">
        <f ca="1">'Production cost'!$F123</f>
        <v>N</v>
      </c>
      <c r="G88" s="363"/>
      <c r="H88" s="313">
        <f ca="1">IFERROR(IF($F88="PCS",$E$4,VLOOKUP($F88,'Proof cost'!$I$23:$X$55,2,0)),0)</f>
        <v>0</v>
      </c>
      <c r="I88" s="313">
        <f ca="1">'Production cost'!$I123</f>
        <v>3000</v>
      </c>
      <c r="J88" s="313" t="s">
        <v>5</v>
      </c>
      <c r="K88" s="360">
        <f>'Production cost'!$K123</f>
        <v>0</v>
      </c>
      <c r="L88" s="313">
        <f ca="1">'Production cost'!$L123</f>
        <v>3</v>
      </c>
      <c r="M88" s="391">
        <f ca="1">'Production cost'!$M123</f>
        <v>0</v>
      </c>
      <c r="N88" s="983">
        <f t="shared" ca="1" si="8"/>
        <v>0</v>
      </c>
      <c r="P88" s="313">
        <f>'Production cost'!$P123</f>
        <v>78551.859745354872</v>
      </c>
      <c r="Q88" s="313">
        <f t="shared" ca="1" si="9"/>
        <v>0</v>
      </c>
      <c r="R88" s="313">
        <f t="shared" ca="1" si="10"/>
        <v>0</v>
      </c>
      <c r="S88" s="1741">
        <f t="shared" ca="1" si="11"/>
        <v>0</v>
      </c>
      <c r="T88" s="313" t="str">
        <f ca="1">'Production cost'!T123</f>
        <v>N</v>
      </c>
      <c r="AK88" s="313"/>
      <c r="AL88" s="313"/>
      <c r="AM88" s="313"/>
      <c r="AO88" s="385"/>
      <c r="AP88" s="385"/>
      <c r="AQ88" s="385"/>
      <c r="AR88" s="1048"/>
      <c r="AS88" s="385"/>
      <c r="AT88" s="392"/>
      <c r="AU88" s="392"/>
    </row>
    <row r="89" spans="1:47" ht="12.75" outlineLevel="1">
      <c r="A89" s="1269"/>
      <c r="B89" s="1258" t="s">
        <v>140</v>
      </c>
      <c r="C89" s="313" t="str">
        <f>'Production cost'!$C124</f>
        <v>Calendering</v>
      </c>
      <c r="E89" s="363"/>
      <c r="F89" s="363" t="str">
        <f ca="1">'Production cost'!$F124</f>
        <v>N</v>
      </c>
      <c r="G89" s="363"/>
      <c r="H89" s="313">
        <f ca="1">IFERROR(IF($F89="PCS",$E$4,VLOOKUP($F89,'Proof cost'!$I$23:$X$55,2,0)),0)</f>
        <v>0</v>
      </c>
      <c r="I89" s="313">
        <f ca="1">'Production cost'!$I124</f>
        <v>3000</v>
      </c>
      <c r="J89" s="313" t="s">
        <v>5</v>
      </c>
      <c r="K89" s="360">
        <f>'Production cost'!$K124</f>
        <v>0</v>
      </c>
      <c r="L89" s="313">
        <f ca="1">'Production cost'!$L124</f>
        <v>3</v>
      </c>
      <c r="M89" s="391">
        <f ca="1">'Production cost'!$M124</f>
        <v>0</v>
      </c>
      <c r="N89" s="983">
        <f t="shared" ca="1" si="8"/>
        <v>0</v>
      </c>
      <c r="P89" s="313">
        <f>'Production cost'!$P124</f>
        <v>78551.859745354872</v>
      </c>
      <c r="Q89" s="313">
        <f t="shared" ca="1" si="9"/>
        <v>0</v>
      </c>
      <c r="R89" s="313">
        <f t="shared" ca="1" si="10"/>
        <v>0</v>
      </c>
      <c r="S89" s="1741">
        <f t="shared" ca="1" si="11"/>
        <v>0</v>
      </c>
      <c r="T89" s="313" t="str">
        <f ca="1">'Production cost'!T124</f>
        <v>N</v>
      </c>
      <c r="AK89" s="313"/>
      <c r="AL89" s="313"/>
      <c r="AM89" s="313"/>
      <c r="AO89" s="385"/>
      <c r="AP89" s="385"/>
      <c r="AQ89" s="385"/>
      <c r="AR89" s="1048"/>
      <c r="AS89" s="385"/>
      <c r="AT89" s="392"/>
      <c r="AU89" s="392"/>
    </row>
    <row r="90" spans="1:47" ht="12.75" outlineLevel="1">
      <c r="A90" s="1269"/>
      <c r="B90" s="1258" t="s">
        <v>140</v>
      </c>
      <c r="C90" s="313" t="str">
        <f>'Production cost'!$C125</f>
        <v>Calendering</v>
      </c>
      <c r="E90" s="363"/>
      <c r="F90" s="363" t="str">
        <f ca="1">'Production cost'!$F125</f>
        <v>N</v>
      </c>
      <c r="G90" s="363"/>
      <c r="H90" s="313">
        <f ca="1">IFERROR(IF($F90="PCS",$E$4,VLOOKUP($F90,'Proof cost'!$I$23:$X$55,2,0)),0)</f>
        <v>0</v>
      </c>
      <c r="I90" s="313">
        <f ca="1">'Production cost'!$I125</f>
        <v>3000</v>
      </c>
      <c r="J90" s="313" t="s">
        <v>5</v>
      </c>
      <c r="K90" s="360">
        <f>'Production cost'!$K125</f>
        <v>0</v>
      </c>
      <c r="L90" s="313">
        <f ca="1">'Production cost'!$L125</f>
        <v>3</v>
      </c>
      <c r="M90" s="391">
        <f ca="1">'Production cost'!$M125</f>
        <v>0</v>
      </c>
      <c r="N90" s="983">
        <f t="shared" ca="1" si="8"/>
        <v>0</v>
      </c>
      <c r="P90" s="313">
        <f>'Production cost'!$P125</f>
        <v>78551.859745354872</v>
      </c>
      <c r="Q90" s="313">
        <f t="shared" ca="1" si="9"/>
        <v>0</v>
      </c>
      <c r="R90" s="313">
        <f t="shared" ca="1" si="10"/>
        <v>0</v>
      </c>
      <c r="S90" s="1741">
        <f t="shared" ca="1" si="11"/>
        <v>0</v>
      </c>
      <c r="T90" s="313" t="str">
        <f ca="1">'Production cost'!T125</f>
        <v>N</v>
      </c>
      <c r="AK90" s="313"/>
      <c r="AL90" s="313"/>
      <c r="AM90" s="313"/>
      <c r="AO90" s="385"/>
      <c r="AP90" s="385"/>
      <c r="AQ90" s="385"/>
      <c r="AR90" s="1048"/>
      <c r="AS90" s="385"/>
      <c r="AT90" s="392"/>
      <c r="AU90" s="392"/>
    </row>
    <row r="91" spans="1:47" ht="12.75" outlineLevel="1">
      <c r="A91" s="1269"/>
      <c r="B91" s="1258" t="s">
        <v>140</v>
      </c>
      <c r="C91" s="313" t="str">
        <f>'Production cost'!$C126</f>
        <v>Calendering</v>
      </c>
      <c r="E91" s="363"/>
      <c r="F91" s="363" t="str">
        <f ca="1">'Production cost'!$F126</f>
        <v>N</v>
      </c>
      <c r="G91" s="363"/>
      <c r="H91" s="313">
        <f ca="1">IFERROR(IF($F91="PCS",$E$4,VLOOKUP($F91,'Proof cost'!$I$23:$X$55,2,0)),0)</f>
        <v>0</v>
      </c>
      <c r="I91" s="313">
        <f ca="1">'Production cost'!$I126</f>
        <v>3000</v>
      </c>
      <c r="J91" s="313" t="s">
        <v>5</v>
      </c>
      <c r="K91" s="360">
        <f>'Production cost'!$K126</f>
        <v>0</v>
      </c>
      <c r="L91" s="313">
        <f ca="1">'Production cost'!$L126</f>
        <v>3</v>
      </c>
      <c r="M91" s="391">
        <f ca="1">'Production cost'!$M126</f>
        <v>0</v>
      </c>
      <c r="N91" s="983">
        <f t="shared" ca="1" si="8"/>
        <v>0</v>
      </c>
      <c r="P91" s="313">
        <f>'Production cost'!$P126</f>
        <v>78551.859745354872</v>
      </c>
      <c r="Q91" s="313">
        <f t="shared" ca="1" si="9"/>
        <v>0</v>
      </c>
      <c r="R91" s="313">
        <f t="shared" ca="1" si="10"/>
        <v>0</v>
      </c>
      <c r="S91" s="1741">
        <f t="shared" ca="1" si="11"/>
        <v>0</v>
      </c>
      <c r="T91" s="313" t="str">
        <f ca="1">'Production cost'!T126</f>
        <v>N</v>
      </c>
      <c r="AK91" s="313"/>
      <c r="AL91" s="313"/>
      <c r="AM91" s="313"/>
      <c r="AO91" s="385"/>
      <c r="AP91" s="385"/>
      <c r="AQ91" s="385"/>
      <c r="AR91" s="1048"/>
      <c r="AS91" s="385"/>
      <c r="AT91" s="392"/>
      <c r="AU91" s="392"/>
    </row>
    <row r="92" spans="1:47" ht="12.75" outlineLevel="1">
      <c r="A92" s="1269"/>
      <c r="B92" s="1258" t="s">
        <v>140</v>
      </c>
      <c r="C92" s="313" t="str">
        <f>'Production cost'!$C127</f>
        <v>Calendering</v>
      </c>
      <c r="E92" s="363"/>
      <c r="F92" s="363" t="str">
        <f ca="1">'Production cost'!$F127</f>
        <v>N</v>
      </c>
      <c r="G92" s="363"/>
      <c r="H92" s="313">
        <f ca="1">IFERROR(IF($F92="PCS",$E$4,VLOOKUP($F92,'Proof cost'!$I$23:$X$55,2,0)),0)</f>
        <v>0</v>
      </c>
      <c r="I92" s="313">
        <f ca="1">'Production cost'!$I127</f>
        <v>3000</v>
      </c>
      <c r="J92" s="313" t="s">
        <v>5</v>
      </c>
      <c r="K92" s="360">
        <f>'Production cost'!$K127</f>
        <v>0</v>
      </c>
      <c r="L92" s="313">
        <f ca="1">'Production cost'!$L127</f>
        <v>3</v>
      </c>
      <c r="M92" s="391">
        <f ca="1">'Production cost'!$M127</f>
        <v>0</v>
      </c>
      <c r="N92" s="983">
        <f t="shared" ca="1" si="8"/>
        <v>0</v>
      </c>
      <c r="P92" s="313">
        <f>'Production cost'!$P127</f>
        <v>78551.859745354872</v>
      </c>
      <c r="Q92" s="313">
        <f t="shared" ca="1" si="9"/>
        <v>0</v>
      </c>
      <c r="R92" s="313">
        <f t="shared" ca="1" si="10"/>
        <v>0</v>
      </c>
      <c r="S92" s="1741">
        <f t="shared" ca="1" si="11"/>
        <v>0</v>
      </c>
      <c r="T92" s="313" t="str">
        <f ca="1">'Production cost'!T127</f>
        <v>N</v>
      </c>
      <c r="AK92" s="313"/>
      <c r="AL92" s="313"/>
      <c r="AM92" s="313"/>
      <c r="AO92" s="385"/>
      <c r="AP92" s="385"/>
      <c r="AQ92" s="385"/>
      <c r="AR92" s="1048"/>
      <c r="AS92" s="385"/>
      <c r="AT92" s="392"/>
      <c r="AU92" s="392"/>
    </row>
    <row r="93" spans="1:47" ht="12.75" outlineLevel="1">
      <c r="A93" s="1269"/>
      <c r="B93" s="1258" t="s">
        <v>140</v>
      </c>
      <c r="C93" s="313" t="str">
        <f>'Production cost'!$C138</f>
        <v>Blister Coating</v>
      </c>
      <c r="E93" s="363"/>
      <c r="F93" s="363" t="str">
        <f ca="1">'Production cost'!$F138</f>
        <v>N</v>
      </c>
      <c r="G93" s="363"/>
      <c r="H93" s="313">
        <f ca="1">IFERROR(IF($F93="PCS",$E$4,VLOOKUP($F93,'Proof cost'!$I$23:$X$55,2,0)),0)</f>
        <v>0</v>
      </c>
      <c r="I93" s="313">
        <f ca="1">'Production cost'!$I138</f>
        <v>3000</v>
      </c>
      <c r="J93" s="313" t="s">
        <v>5</v>
      </c>
      <c r="K93" s="360">
        <f>'Production cost'!$K138</f>
        <v>0</v>
      </c>
      <c r="L93" s="313">
        <f ca="1">'Production cost'!$L138</f>
        <v>3</v>
      </c>
      <c r="M93" s="391">
        <f ca="1">'Production cost'!$M138</f>
        <v>0</v>
      </c>
      <c r="N93" s="983">
        <f t="shared" ca="1" si="8"/>
        <v>0</v>
      </c>
      <c r="P93" s="313">
        <f>'Production cost'!$P138</f>
        <v>78551.859745354872</v>
      </c>
      <c r="Q93" s="313">
        <f t="shared" ca="1" si="9"/>
        <v>0</v>
      </c>
      <c r="R93" s="313">
        <f t="shared" ca="1" si="10"/>
        <v>0</v>
      </c>
      <c r="S93" s="1741">
        <f t="shared" ca="1" si="11"/>
        <v>0</v>
      </c>
      <c r="T93" s="313" t="str">
        <f ca="1">'Production cost'!T138</f>
        <v>N</v>
      </c>
      <c r="AK93" s="313"/>
      <c r="AL93" s="313"/>
      <c r="AM93" s="313"/>
      <c r="AO93" s="385"/>
      <c r="AP93" s="385"/>
      <c r="AQ93" s="385"/>
      <c r="AR93" s="1048"/>
      <c r="AS93" s="385"/>
      <c r="AT93" s="392"/>
      <c r="AU93" s="392"/>
    </row>
    <row r="94" spans="1:47" ht="12.75" outlineLevel="1">
      <c r="A94" s="1269"/>
      <c r="B94" s="1258" t="s">
        <v>140</v>
      </c>
      <c r="C94" s="313" t="str">
        <f>'Production cost'!$C139</f>
        <v>Blister Coating</v>
      </c>
      <c r="E94" s="363"/>
      <c r="F94" s="363" t="str">
        <f ca="1">'Production cost'!$F139</f>
        <v>N</v>
      </c>
      <c r="G94" s="363"/>
      <c r="H94" s="313">
        <f ca="1">IFERROR(IF($F94="PCS",$E$4,VLOOKUP($F94,'Proof cost'!$I$23:$X$55,2,0)),0)</f>
        <v>0</v>
      </c>
      <c r="I94" s="313">
        <f ca="1">'Production cost'!$I139</f>
        <v>3000</v>
      </c>
      <c r="J94" s="313" t="s">
        <v>5</v>
      </c>
      <c r="K94" s="360">
        <f>'Production cost'!$K139</f>
        <v>0</v>
      </c>
      <c r="L94" s="313">
        <f ca="1">'Production cost'!$L139</f>
        <v>3</v>
      </c>
      <c r="M94" s="391">
        <f ca="1">'Production cost'!$M139</f>
        <v>0</v>
      </c>
      <c r="N94" s="983">
        <f t="shared" ca="1" si="8"/>
        <v>0</v>
      </c>
      <c r="P94" s="313">
        <f>'Production cost'!$P139</f>
        <v>78551.859745354872</v>
      </c>
      <c r="Q94" s="313">
        <f t="shared" ca="1" si="9"/>
        <v>0</v>
      </c>
      <c r="R94" s="313">
        <f t="shared" ca="1" si="10"/>
        <v>0</v>
      </c>
      <c r="S94" s="1741">
        <f t="shared" ca="1" si="11"/>
        <v>0</v>
      </c>
      <c r="T94" s="313" t="str">
        <f ca="1">'Production cost'!T139</f>
        <v>N</v>
      </c>
      <c r="AK94" s="313"/>
      <c r="AL94" s="313"/>
      <c r="AM94" s="313"/>
      <c r="AO94" s="385"/>
      <c r="AP94" s="385"/>
      <c r="AQ94" s="385"/>
      <c r="AR94" s="1048"/>
      <c r="AS94" s="385"/>
      <c r="AT94" s="392"/>
      <c r="AU94" s="392"/>
    </row>
    <row r="95" spans="1:47" ht="12.75" outlineLevel="1">
      <c r="A95" s="1269"/>
      <c r="B95" s="1258" t="s">
        <v>140</v>
      </c>
      <c r="C95" s="313" t="str">
        <f>'Production cost'!$C140</f>
        <v>Blister Coating</v>
      </c>
      <c r="E95" s="363"/>
      <c r="F95" s="363" t="str">
        <f ca="1">'Production cost'!$F140</f>
        <v>N</v>
      </c>
      <c r="G95" s="363"/>
      <c r="H95" s="313">
        <f ca="1">IFERROR(IF($F95="PCS",$E$4,VLOOKUP($F95,'Proof cost'!$I$23:$X$55,2,0)),0)</f>
        <v>0</v>
      </c>
      <c r="I95" s="313">
        <f ca="1">'Production cost'!$I140</f>
        <v>3000</v>
      </c>
      <c r="J95" s="313" t="s">
        <v>5</v>
      </c>
      <c r="K95" s="360">
        <f>'Production cost'!$K140</f>
        <v>0</v>
      </c>
      <c r="L95" s="313">
        <f ca="1">'Production cost'!$L140</f>
        <v>3</v>
      </c>
      <c r="M95" s="391">
        <f ca="1">'Production cost'!$M140</f>
        <v>0</v>
      </c>
      <c r="N95" s="983">
        <f t="shared" ca="1" si="8"/>
        <v>0</v>
      </c>
      <c r="P95" s="313">
        <f>'Production cost'!$P140</f>
        <v>78551.859745354872</v>
      </c>
      <c r="Q95" s="313">
        <f t="shared" ca="1" si="9"/>
        <v>0</v>
      </c>
      <c r="R95" s="313">
        <f t="shared" ca="1" si="10"/>
        <v>0</v>
      </c>
      <c r="S95" s="1741">
        <f t="shared" ca="1" si="11"/>
        <v>0</v>
      </c>
      <c r="T95" s="313" t="str">
        <f ca="1">'Production cost'!T140</f>
        <v>N</v>
      </c>
      <c r="AK95" s="313"/>
      <c r="AL95" s="313"/>
      <c r="AM95" s="313"/>
      <c r="AO95" s="385"/>
      <c r="AP95" s="385"/>
      <c r="AQ95" s="385"/>
      <c r="AR95" s="1048"/>
      <c r="AS95" s="385"/>
      <c r="AT95" s="392"/>
      <c r="AU95" s="392"/>
    </row>
    <row r="96" spans="1:47" ht="12.75" outlineLevel="1">
      <c r="A96" s="1269"/>
      <c r="B96" s="1258" t="s">
        <v>140</v>
      </c>
      <c r="C96" s="313" t="str">
        <f>'Production cost'!$C141</f>
        <v>Blister Coating</v>
      </c>
      <c r="E96" s="363"/>
      <c r="F96" s="363" t="str">
        <f ca="1">'Production cost'!$F141</f>
        <v>N</v>
      </c>
      <c r="G96" s="363"/>
      <c r="H96" s="313">
        <f ca="1">IFERROR(IF($F96="PCS",$E$4,VLOOKUP($F96,'Proof cost'!$I$23:$X$55,2,0)),0)</f>
        <v>0</v>
      </c>
      <c r="I96" s="313">
        <f ca="1">'Production cost'!$I141</f>
        <v>3000</v>
      </c>
      <c r="J96" s="313" t="s">
        <v>5</v>
      </c>
      <c r="K96" s="360">
        <f>'Production cost'!$K141</f>
        <v>0</v>
      </c>
      <c r="L96" s="313">
        <f ca="1">'Production cost'!$L141</f>
        <v>3</v>
      </c>
      <c r="M96" s="391">
        <f ca="1">'Production cost'!$M141</f>
        <v>0</v>
      </c>
      <c r="N96" s="983">
        <f t="shared" ca="1" si="8"/>
        <v>0</v>
      </c>
      <c r="P96" s="313">
        <f>'Production cost'!$P141</f>
        <v>78551.859745354872</v>
      </c>
      <c r="Q96" s="313">
        <f t="shared" ca="1" si="9"/>
        <v>0</v>
      </c>
      <c r="R96" s="313">
        <f t="shared" ca="1" si="10"/>
        <v>0</v>
      </c>
      <c r="S96" s="1741">
        <f t="shared" ca="1" si="11"/>
        <v>0</v>
      </c>
      <c r="T96" s="313" t="str">
        <f ca="1">'Production cost'!T141</f>
        <v>N</v>
      </c>
      <c r="AK96" s="313"/>
      <c r="AL96" s="313"/>
      <c r="AM96" s="313"/>
      <c r="AO96" s="385"/>
      <c r="AP96" s="385"/>
      <c r="AQ96" s="385"/>
      <c r="AR96" s="1048"/>
      <c r="AS96" s="385"/>
      <c r="AT96" s="392"/>
      <c r="AU96" s="392"/>
    </row>
    <row r="97" spans="1:47" ht="12.75" outlineLevel="1">
      <c r="A97" s="1269"/>
      <c r="B97" s="1258" t="s">
        <v>140</v>
      </c>
      <c r="C97" s="313" t="str">
        <f>'Production cost'!$C142</f>
        <v>Blister Coating</v>
      </c>
      <c r="E97" s="363"/>
      <c r="F97" s="363" t="str">
        <f ca="1">'Production cost'!$F142</f>
        <v>N</v>
      </c>
      <c r="G97" s="363"/>
      <c r="H97" s="313">
        <f ca="1">IFERROR(IF($F97="PCS",$E$4,VLOOKUP($F97,'Proof cost'!$I$23:$X$55,2,0)),0)</f>
        <v>0</v>
      </c>
      <c r="I97" s="313">
        <f ca="1">'Production cost'!$I142</f>
        <v>3000</v>
      </c>
      <c r="J97" s="313" t="s">
        <v>5</v>
      </c>
      <c r="K97" s="360">
        <f>'Production cost'!$K142</f>
        <v>0</v>
      </c>
      <c r="L97" s="313">
        <f ca="1">'Production cost'!$L142</f>
        <v>3</v>
      </c>
      <c r="M97" s="391">
        <f ca="1">'Production cost'!$M142</f>
        <v>0</v>
      </c>
      <c r="N97" s="983">
        <f t="shared" ca="1" si="8"/>
        <v>0</v>
      </c>
      <c r="P97" s="313">
        <f>'Production cost'!$P142</f>
        <v>78551.859745354872</v>
      </c>
      <c r="Q97" s="313">
        <f t="shared" ca="1" si="9"/>
        <v>0</v>
      </c>
      <c r="R97" s="313">
        <f t="shared" ca="1" si="10"/>
        <v>0</v>
      </c>
      <c r="S97" s="1741">
        <f t="shared" ca="1" si="11"/>
        <v>0</v>
      </c>
      <c r="T97" s="313" t="str">
        <f ca="1">'Production cost'!T142</f>
        <v>N</v>
      </c>
      <c r="AK97" s="313"/>
      <c r="AL97" s="313"/>
      <c r="AM97" s="313"/>
      <c r="AO97" s="385"/>
      <c r="AP97" s="385"/>
      <c r="AQ97" s="385"/>
      <c r="AR97" s="1048"/>
      <c r="AS97" s="385"/>
      <c r="AT97" s="392"/>
      <c r="AU97" s="392"/>
    </row>
    <row r="98" spans="1:47" ht="12.75" outlineLevel="1">
      <c r="B98" s="1258" t="s">
        <v>140</v>
      </c>
      <c r="C98" s="313" t="str">
        <f>'Production cost'!$C188</f>
        <v>Test</v>
      </c>
      <c r="E98" s="363"/>
      <c r="F98" s="363" t="str">
        <f ca="1">'Production cost'!$F188</f>
        <v>N</v>
      </c>
      <c r="G98" s="363"/>
      <c r="H98" s="313">
        <f ca="1">IFERROR(IF($F98="PCS",$E$4,VLOOKUP($F98,'Proof cost'!$I$23:$X$55,2,0)),0)</f>
        <v>0</v>
      </c>
      <c r="I98" s="313">
        <f ca="1">'Production cost'!$I188</f>
        <v>3000</v>
      </c>
      <c r="J98" s="313" t="s">
        <v>5</v>
      </c>
      <c r="K98" s="360">
        <f>'Production cost'!$K188</f>
        <v>0</v>
      </c>
      <c r="L98" s="313">
        <f ca="1">'Production cost'!$L188</f>
        <v>3</v>
      </c>
      <c r="M98" s="391">
        <f ca="1">'Production cost'!$M188</f>
        <v>0</v>
      </c>
      <c r="N98" s="983">
        <f t="shared" ca="1" si="8"/>
        <v>0</v>
      </c>
      <c r="P98" s="313">
        <f>'Production cost'!$P188</f>
        <v>0</v>
      </c>
      <c r="Q98" s="313">
        <f t="shared" ca="1" si="9"/>
        <v>0</v>
      </c>
      <c r="R98" s="313">
        <f t="shared" ca="1" si="10"/>
        <v>0</v>
      </c>
      <c r="S98" s="1741">
        <f t="shared" ca="1" si="11"/>
        <v>0</v>
      </c>
      <c r="T98" s="313" t="str">
        <f ca="1">'Production cost'!T188</f>
        <v>N</v>
      </c>
      <c r="AK98" s="313"/>
      <c r="AL98" s="313"/>
      <c r="AM98" s="313"/>
      <c r="AO98" s="385"/>
      <c r="AP98" s="385"/>
      <c r="AQ98" s="385"/>
      <c r="AR98" s="1048"/>
      <c r="AS98" s="385"/>
      <c r="AT98" s="392"/>
      <c r="AU98" s="392"/>
    </row>
    <row r="99" spans="1:47" ht="12.75" outlineLevel="1">
      <c r="B99" s="1258" t="s">
        <v>140</v>
      </c>
      <c r="C99" s="313" t="str">
        <f>'Production cost'!$C189</f>
        <v>Test</v>
      </c>
      <c r="E99" s="363"/>
      <c r="F99" s="363" t="str">
        <f ca="1">'Production cost'!$F189</f>
        <v>N</v>
      </c>
      <c r="G99" s="363"/>
      <c r="H99" s="313">
        <f ca="1">IFERROR(IF($F99="PCS",$E$4,VLOOKUP($F99,'Proof cost'!$I$23:$X$55,2,0)),0)</f>
        <v>0</v>
      </c>
      <c r="I99" s="313">
        <f ca="1">'Production cost'!$I189</f>
        <v>3000</v>
      </c>
      <c r="J99" s="313" t="s">
        <v>5</v>
      </c>
      <c r="K99" s="360">
        <f>'Production cost'!$K189</f>
        <v>0</v>
      </c>
      <c r="L99" s="313">
        <f ca="1">'Production cost'!$L189</f>
        <v>3</v>
      </c>
      <c r="M99" s="391">
        <f ca="1">'Production cost'!$M189</f>
        <v>0</v>
      </c>
      <c r="N99" s="983">
        <f t="shared" ca="1" si="8"/>
        <v>0</v>
      </c>
      <c r="P99" s="313">
        <f>'Production cost'!$P189</f>
        <v>0</v>
      </c>
      <c r="Q99" s="313">
        <f t="shared" ca="1" si="9"/>
        <v>0</v>
      </c>
      <c r="R99" s="313">
        <f t="shared" ca="1" si="10"/>
        <v>0</v>
      </c>
      <c r="S99" s="1741">
        <f t="shared" ca="1" si="11"/>
        <v>0</v>
      </c>
      <c r="T99" s="313" t="str">
        <f ca="1">'Production cost'!T189</f>
        <v>N</v>
      </c>
      <c r="AK99" s="313"/>
      <c r="AL99" s="313"/>
      <c r="AM99" s="313"/>
      <c r="AO99" s="385"/>
      <c r="AP99" s="385"/>
      <c r="AQ99" s="385"/>
      <c r="AR99" s="1048"/>
      <c r="AS99" s="385"/>
      <c r="AT99" s="392"/>
      <c r="AU99" s="392"/>
    </row>
    <row r="100" spans="1:47" ht="12.75" outlineLevel="1">
      <c r="B100" s="1258" t="s">
        <v>140</v>
      </c>
      <c r="C100" s="313" t="str">
        <f>'Production cost'!$C190</f>
        <v>Test</v>
      </c>
      <c r="E100" s="363"/>
      <c r="F100" s="363" t="str">
        <f ca="1">'Production cost'!$F190</f>
        <v>N</v>
      </c>
      <c r="G100" s="363"/>
      <c r="H100" s="313">
        <f ca="1">IFERROR(IF($F100="PCS",$E$4,VLOOKUP($F100,'Proof cost'!$I$23:$X$55,2,0)),0)</f>
        <v>0</v>
      </c>
      <c r="I100" s="313">
        <f ca="1">'Production cost'!$I190</f>
        <v>3000</v>
      </c>
      <c r="J100" s="313" t="s">
        <v>5</v>
      </c>
      <c r="K100" s="360">
        <f>'Production cost'!$K190</f>
        <v>0</v>
      </c>
      <c r="L100" s="313">
        <f ca="1">'Production cost'!$L190</f>
        <v>3</v>
      </c>
      <c r="M100" s="391">
        <f ca="1">'Production cost'!$M190</f>
        <v>0</v>
      </c>
      <c r="N100" s="983">
        <f t="shared" ca="1" si="8"/>
        <v>0</v>
      </c>
      <c r="P100" s="313">
        <f>'Production cost'!$P190</f>
        <v>0</v>
      </c>
      <c r="Q100" s="313">
        <f t="shared" ca="1" si="9"/>
        <v>0</v>
      </c>
      <c r="R100" s="313">
        <f t="shared" ca="1" si="10"/>
        <v>0</v>
      </c>
      <c r="S100" s="1741">
        <f t="shared" ca="1" si="11"/>
        <v>0</v>
      </c>
      <c r="T100" s="313" t="str">
        <f ca="1">'Production cost'!T190</f>
        <v>N</v>
      </c>
      <c r="AK100" s="313"/>
      <c r="AL100" s="313"/>
      <c r="AM100" s="313"/>
      <c r="AO100" s="385"/>
      <c r="AP100" s="385"/>
      <c r="AQ100" s="385"/>
      <c r="AR100" s="1048"/>
      <c r="AS100" s="385"/>
      <c r="AT100" s="392"/>
      <c r="AU100" s="392"/>
    </row>
    <row r="101" spans="1:47" ht="12.75" outlineLevel="1">
      <c r="B101" s="1258" t="s">
        <v>140</v>
      </c>
      <c r="C101" s="313" t="str">
        <f>'Production cost'!$C191</f>
        <v>Test</v>
      </c>
      <c r="E101" s="363"/>
      <c r="F101" s="363" t="str">
        <f ca="1">'Production cost'!$F191</f>
        <v>N</v>
      </c>
      <c r="G101" s="363"/>
      <c r="H101" s="313">
        <f ca="1">IFERROR(IF($F101="PCS",$E$4,VLOOKUP($F101,'Proof cost'!$I$23:$X$55,2,0)),0)</f>
        <v>0</v>
      </c>
      <c r="I101" s="313">
        <f ca="1">'Production cost'!$I191</f>
        <v>3000</v>
      </c>
      <c r="J101" s="313" t="s">
        <v>5</v>
      </c>
      <c r="K101" s="360">
        <f>'Production cost'!$K191</f>
        <v>0</v>
      </c>
      <c r="L101" s="313">
        <f ca="1">'Production cost'!$L191</f>
        <v>3</v>
      </c>
      <c r="M101" s="391">
        <f ca="1">'Production cost'!$M191</f>
        <v>0</v>
      </c>
      <c r="N101" s="983">
        <f t="shared" ca="1" si="8"/>
        <v>0</v>
      </c>
      <c r="P101" s="313">
        <f>'Production cost'!$P191</f>
        <v>0</v>
      </c>
      <c r="Q101" s="313">
        <f t="shared" ca="1" si="9"/>
        <v>0</v>
      </c>
      <c r="R101" s="313">
        <f t="shared" ca="1" si="10"/>
        <v>0</v>
      </c>
      <c r="S101" s="1741">
        <f t="shared" ca="1" si="11"/>
        <v>0</v>
      </c>
      <c r="T101" s="313" t="str">
        <f ca="1">'Production cost'!T191</f>
        <v>N</v>
      </c>
      <c r="AK101" s="313"/>
      <c r="AL101" s="313"/>
      <c r="AM101" s="313"/>
      <c r="AO101" s="385"/>
      <c r="AP101" s="385"/>
      <c r="AQ101" s="385"/>
      <c r="AR101" s="1048"/>
      <c r="AS101" s="385"/>
      <c r="AT101" s="392"/>
      <c r="AU101" s="392"/>
    </row>
    <row r="102" spans="1:47" ht="12.75">
      <c r="B102" s="1259" t="s">
        <v>140</v>
      </c>
      <c r="C102" s="1260" t="str">
        <f>'Production cost'!$C192</f>
        <v>Test</v>
      </c>
      <c r="D102" s="1260"/>
      <c r="E102" s="2158"/>
      <c r="F102" s="2158" t="str">
        <f ca="1">'Production cost'!$F192</f>
        <v>N</v>
      </c>
      <c r="G102" s="2158"/>
      <c r="H102" s="1260">
        <f ca="1">IFERROR(IF($F102="PCS",$E$4,VLOOKUP($F102,'Proof cost'!$I$23:$X$55,2,0)),0)</f>
        <v>0</v>
      </c>
      <c r="I102" s="1260">
        <f ca="1">'Production cost'!$I192</f>
        <v>3000</v>
      </c>
      <c r="J102" s="1260" t="s">
        <v>5</v>
      </c>
      <c r="K102" s="2159">
        <f>'Production cost'!$K192</f>
        <v>0</v>
      </c>
      <c r="L102" s="1260">
        <f ca="1">'Production cost'!$L192</f>
        <v>3</v>
      </c>
      <c r="M102" s="2160">
        <f ca="1">'Production cost'!$M192</f>
        <v>0</v>
      </c>
      <c r="N102" s="2161">
        <f t="shared" ca="1" si="8"/>
        <v>0</v>
      </c>
      <c r="O102" s="1260"/>
      <c r="P102" s="1260">
        <f>'Production cost'!$P192</f>
        <v>0</v>
      </c>
      <c r="Q102" s="1260">
        <f t="shared" ca="1" si="9"/>
        <v>0</v>
      </c>
      <c r="R102" s="1260">
        <f t="shared" ca="1" si="10"/>
        <v>0</v>
      </c>
      <c r="S102" s="2162">
        <f t="shared" ca="1" si="11"/>
        <v>0</v>
      </c>
      <c r="T102" s="313" t="str">
        <f ca="1">'Production cost'!T192</f>
        <v>N</v>
      </c>
      <c r="AK102" s="313"/>
      <c r="AL102" s="313"/>
      <c r="AM102" s="313"/>
      <c r="AO102" s="385"/>
      <c r="AP102" s="385"/>
      <c r="AQ102" s="385"/>
      <c r="AR102" s="1048"/>
      <c r="AS102" s="385"/>
      <c r="AT102" s="392"/>
      <c r="AU102" s="392"/>
    </row>
    <row r="103" spans="1:47" ht="12.75">
      <c r="B103" s="1269"/>
      <c r="C103" s="1269"/>
      <c r="G103" s="1270"/>
      <c r="N103" s="391"/>
      <c r="S103" s="363"/>
      <c r="AK103" s="313"/>
      <c r="AL103" s="313"/>
      <c r="AM103" s="313"/>
      <c r="AO103" s="385"/>
      <c r="AP103" s="385"/>
      <c r="AQ103" s="385"/>
      <c r="AR103" s="1048"/>
      <c r="AS103" s="385"/>
      <c r="AT103" s="392"/>
      <c r="AU103" s="392"/>
    </row>
    <row r="104" spans="1:47" ht="12.75" outlineLevel="1">
      <c r="A104" s="1269" t="s">
        <v>144</v>
      </c>
      <c r="B104" s="1255" t="s">
        <v>173</v>
      </c>
      <c r="C104" s="1256" t="str">
        <f>'Production cost'!$C198</f>
        <v>Laminated PE</v>
      </c>
      <c r="D104" s="1256"/>
      <c r="E104" s="2144"/>
      <c r="F104" s="2144" t="str">
        <f ca="1">'Production cost'!$F198</f>
        <v>N</v>
      </c>
      <c r="G104" s="2144"/>
      <c r="H104" s="1256">
        <f ca="1">IFERROR(IF($F104="PCS",$E$4,VLOOKUP($F104,'Proof cost'!$I$23:$X$55,2,0)),0)</f>
        <v>0</v>
      </c>
      <c r="I104" s="1256">
        <f ca="1">'Production cost'!$I198</f>
        <v>66600</v>
      </c>
      <c r="J104" s="1256" t="s">
        <v>5</v>
      </c>
      <c r="K104" s="2145">
        <f>'Production cost'!$K198</f>
        <v>0</v>
      </c>
      <c r="L104" s="1256">
        <f ca="1">'Production cost'!$L198</f>
        <v>3</v>
      </c>
      <c r="M104" s="2146">
        <f ca="1">'Production cost'!$M198</f>
        <v>0</v>
      </c>
      <c r="N104" s="2152">
        <f t="shared" ca="1" si="8"/>
        <v>0</v>
      </c>
      <c r="O104" s="1256"/>
      <c r="P104" s="1256">
        <f>'Production cost'!$P198</f>
        <v>64593.240854333337</v>
      </c>
      <c r="Q104" s="1256">
        <f t="shared" ref="Q104:Q133" ca="1" si="12">(N104*O104*K104+N104*P104*L104)*(1+$R$312)</f>
        <v>0</v>
      </c>
      <c r="R104" s="1256">
        <f t="shared" ref="R104:R123" ca="1" si="13">IF($E$2&gt;0,Q104/$E$2,0)</f>
        <v>0</v>
      </c>
      <c r="S104" s="1257">
        <f t="shared" ref="S104:S123" ca="1" si="14">IF(M104&gt;0,K104*O104+L104*P104,0)</f>
        <v>0</v>
      </c>
      <c r="T104" s="313" t="str">
        <f ca="1">'Production cost'!T198</f>
        <v>N</v>
      </c>
      <c r="AK104" s="313"/>
      <c r="AL104" s="313"/>
      <c r="AM104" s="313"/>
      <c r="AO104" s="385"/>
      <c r="AP104" s="385"/>
      <c r="AQ104" s="385"/>
      <c r="AR104" s="1048"/>
      <c r="AS104" s="385"/>
    </row>
    <row r="105" spans="1:47" ht="12.75" outlineLevel="1">
      <c r="A105" s="1269"/>
      <c r="B105" s="1258" t="s">
        <v>173</v>
      </c>
      <c r="C105" s="313" t="str">
        <f>'Production cost'!$C199</f>
        <v>Laminated PE</v>
      </c>
      <c r="E105" s="363"/>
      <c r="F105" s="363" t="str">
        <f ca="1">'Production cost'!$F199</f>
        <v>N</v>
      </c>
      <c r="G105" s="363"/>
      <c r="H105" s="313">
        <f ca="1">IFERROR(IF($F105="PCS",$E$4,VLOOKUP($F105,'Proof cost'!$I$23:$X$55,2,0)),0)</f>
        <v>0</v>
      </c>
      <c r="I105" s="313" t="e">
        <f ca="1">'Production cost'!$I199</f>
        <v>#DIV/0!</v>
      </c>
      <c r="J105" s="313" t="s">
        <v>5</v>
      </c>
      <c r="K105" s="360">
        <f>'Production cost'!$K199</f>
        <v>0</v>
      </c>
      <c r="L105" s="313">
        <f ca="1">'Production cost'!$L199</f>
        <v>3</v>
      </c>
      <c r="M105" s="391">
        <f ca="1">'Production cost'!$M199</f>
        <v>0</v>
      </c>
      <c r="N105" s="983">
        <f t="shared" ca="1" si="8"/>
        <v>0</v>
      </c>
      <c r="P105" s="313">
        <f>'Production cost'!$P199</f>
        <v>64593.240854333337</v>
      </c>
      <c r="Q105" s="313">
        <f t="shared" ca="1" si="12"/>
        <v>0</v>
      </c>
      <c r="R105" s="313">
        <f t="shared" ca="1" si="13"/>
        <v>0</v>
      </c>
      <c r="S105" s="1741">
        <f t="shared" ca="1" si="14"/>
        <v>0</v>
      </c>
      <c r="T105" s="313" t="str">
        <f ca="1">'Production cost'!T199</f>
        <v>N</v>
      </c>
      <c r="AK105" s="313"/>
      <c r="AL105" s="313"/>
      <c r="AM105" s="313"/>
      <c r="AO105" s="385"/>
      <c r="AP105" s="385"/>
      <c r="AQ105" s="385"/>
      <c r="AR105" s="1048"/>
      <c r="AS105" s="385"/>
    </row>
    <row r="106" spans="1:47" ht="12.75" outlineLevel="1">
      <c r="A106" s="1269"/>
      <c r="B106" s="1258" t="s">
        <v>173</v>
      </c>
      <c r="C106" s="313" t="str">
        <f>'Production cost'!$C200</f>
        <v>Laminated PE</v>
      </c>
      <c r="E106" s="363"/>
      <c r="F106" s="363" t="str">
        <f ca="1">'Production cost'!$F200</f>
        <v>N</v>
      </c>
      <c r="G106" s="363"/>
      <c r="H106" s="313">
        <f ca="1">IFERROR(IF($F106="PCS",$E$4,VLOOKUP($F106,'Proof cost'!$I$23:$X$55,2,0)),0)</f>
        <v>0</v>
      </c>
      <c r="I106" s="313" t="e">
        <f ca="1">'Production cost'!$I200</f>
        <v>#DIV/0!</v>
      </c>
      <c r="J106" s="313" t="s">
        <v>5</v>
      </c>
      <c r="K106" s="360">
        <f>'Production cost'!$K200</f>
        <v>0</v>
      </c>
      <c r="L106" s="313">
        <f ca="1">'Production cost'!$L200</f>
        <v>3</v>
      </c>
      <c r="M106" s="391">
        <f ca="1">'Production cost'!$M200</f>
        <v>0</v>
      </c>
      <c r="N106" s="983">
        <f t="shared" ca="1" si="8"/>
        <v>0</v>
      </c>
      <c r="P106" s="313">
        <f>'Production cost'!$P200</f>
        <v>64593.240854333337</v>
      </c>
      <c r="Q106" s="313">
        <f t="shared" ca="1" si="12"/>
        <v>0</v>
      </c>
      <c r="R106" s="313">
        <f t="shared" ca="1" si="13"/>
        <v>0</v>
      </c>
      <c r="S106" s="1741">
        <f t="shared" ca="1" si="14"/>
        <v>0</v>
      </c>
      <c r="T106" s="313" t="str">
        <f ca="1">'Production cost'!T200</f>
        <v>N</v>
      </c>
      <c r="AK106" s="313"/>
      <c r="AL106" s="313"/>
      <c r="AM106" s="313"/>
      <c r="AO106" s="385"/>
      <c r="AP106" s="385"/>
      <c r="AQ106" s="385"/>
      <c r="AR106" s="1048"/>
      <c r="AS106" s="385"/>
    </row>
    <row r="107" spans="1:47" ht="12.75" outlineLevel="1">
      <c r="A107" s="1269"/>
      <c r="B107" s="1258" t="s">
        <v>173</v>
      </c>
      <c r="C107" s="313" t="str">
        <f>'Production cost'!$C201</f>
        <v>Laminated PE</v>
      </c>
      <c r="E107" s="363"/>
      <c r="F107" s="363" t="str">
        <f ca="1">'Production cost'!$F201</f>
        <v>N</v>
      </c>
      <c r="G107" s="363"/>
      <c r="H107" s="313">
        <f ca="1">IFERROR(IF($F107="PCS",$E$4,VLOOKUP($F107,'Proof cost'!$I$23:$X$55,2,0)),0)</f>
        <v>0</v>
      </c>
      <c r="I107" s="313" t="e">
        <f ca="1">'Production cost'!$I201</f>
        <v>#DIV/0!</v>
      </c>
      <c r="J107" s="313" t="s">
        <v>5</v>
      </c>
      <c r="K107" s="360">
        <f>'Production cost'!$K201</f>
        <v>0</v>
      </c>
      <c r="L107" s="313">
        <f ca="1">'Production cost'!$L201</f>
        <v>3</v>
      </c>
      <c r="M107" s="391">
        <f ca="1">'Production cost'!$M201</f>
        <v>0</v>
      </c>
      <c r="N107" s="983">
        <f t="shared" ca="1" si="8"/>
        <v>0</v>
      </c>
      <c r="P107" s="313">
        <f>'Production cost'!$P201</f>
        <v>64593.240854333337</v>
      </c>
      <c r="Q107" s="313">
        <f t="shared" ca="1" si="12"/>
        <v>0</v>
      </c>
      <c r="R107" s="313">
        <f t="shared" ca="1" si="13"/>
        <v>0</v>
      </c>
      <c r="S107" s="1741">
        <f t="shared" ca="1" si="14"/>
        <v>0</v>
      </c>
      <c r="T107" s="313" t="str">
        <f ca="1">'Production cost'!T201</f>
        <v>N</v>
      </c>
      <c r="AK107" s="313"/>
      <c r="AL107" s="313"/>
      <c r="AM107" s="313"/>
      <c r="AO107" s="385"/>
      <c r="AP107" s="385"/>
      <c r="AQ107" s="385"/>
      <c r="AR107" s="1048"/>
      <c r="AS107" s="385"/>
    </row>
    <row r="108" spans="1:47" ht="12.75" outlineLevel="1">
      <c r="A108" s="1269"/>
      <c r="B108" s="1258" t="s">
        <v>173</v>
      </c>
      <c r="C108" s="313" t="str">
        <f>'Production cost'!$C202</f>
        <v>Laminated PE</v>
      </c>
      <c r="E108" s="363"/>
      <c r="F108" s="363" t="str">
        <f ca="1">'Production cost'!$F202</f>
        <v>N</v>
      </c>
      <c r="G108" s="363"/>
      <c r="H108" s="313">
        <f ca="1">IFERROR(IF($F108="PCS",$E$4,VLOOKUP($F108,'Proof cost'!$I$23:$X$55,2,0)),0)</f>
        <v>0</v>
      </c>
      <c r="I108" s="313" t="e">
        <f ca="1">'Production cost'!$I202</f>
        <v>#DIV/0!</v>
      </c>
      <c r="J108" s="313" t="s">
        <v>5</v>
      </c>
      <c r="K108" s="360">
        <f>'Production cost'!$K202</f>
        <v>0</v>
      </c>
      <c r="L108" s="313">
        <f ca="1">'Production cost'!$L202</f>
        <v>3</v>
      </c>
      <c r="M108" s="391">
        <f ca="1">'Production cost'!$M202</f>
        <v>0</v>
      </c>
      <c r="N108" s="983">
        <f t="shared" ca="1" si="8"/>
        <v>0</v>
      </c>
      <c r="P108" s="313">
        <f>'Production cost'!$P202</f>
        <v>64593.240854333337</v>
      </c>
      <c r="Q108" s="313">
        <f t="shared" ca="1" si="12"/>
        <v>0</v>
      </c>
      <c r="R108" s="313">
        <f t="shared" ca="1" si="13"/>
        <v>0</v>
      </c>
      <c r="S108" s="1741">
        <f t="shared" ca="1" si="14"/>
        <v>0</v>
      </c>
      <c r="T108" s="313" t="str">
        <f ca="1">'Production cost'!T202</f>
        <v>N</v>
      </c>
      <c r="AK108" s="313"/>
      <c r="AL108" s="313"/>
      <c r="AM108" s="313"/>
      <c r="AO108" s="385"/>
      <c r="AP108" s="385"/>
      <c r="AQ108" s="385"/>
      <c r="AR108" s="1048"/>
      <c r="AS108" s="385"/>
    </row>
    <row r="109" spans="1:47" ht="12.75" outlineLevel="1">
      <c r="A109" s="1269"/>
      <c r="B109" s="1258" t="s">
        <v>173</v>
      </c>
      <c r="C109" s="313" t="str">
        <f>'Production cost'!$C213</f>
        <v>E-Flute</v>
      </c>
      <c r="E109" s="363"/>
      <c r="F109" s="363" t="str">
        <f ca="1">'Production cost'!$F213</f>
        <v>Box</v>
      </c>
      <c r="G109" s="363"/>
      <c r="H109" s="313">
        <f ca="1">IFERROR(IF($F109="PCS",$E$4,VLOOKUP($F109,'Proof cost'!$I$23:$X$55,2,0)),0)</f>
        <v>800</v>
      </c>
      <c r="I109" s="313" t="str">
        <f ca="1">'Production cost'!$I213</f>
        <v>4000</v>
      </c>
      <c r="J109" s="313" t="s">
        <v>5</v>
      </c>
      <c r="K109" s="360">
        <f>'Production cost'!$K213</f>
        <v>0</v>
      </c>
      <c r="L109" s="313" t="str">
        <f ca="1">'Production cost'!$L213</f>
        <v>3</v>
      </c>
      <c r="M109" s="391">
        <f ca="1">'Production cost'!$M213</f>
        <v>1</v>
      </c>
      <c r="N109" s="983">
        <f t="shared" ca="1" si="8"/>
        <v>1.3</v>
      </c>
      <c r="P109" s="313">
        <f>'Production cost'!$P213</f>
        <v>64593.240854333337</v>
      </c>
      <c r="Q109" s="313">
        <f t="shared" ca="1" si="12"/>
        <v>251913.63933190002</v>
      </c>
      <c r="R109" s="313">
        <f t="shared" ca="1" si="13"/>
        <v>1399.5202185105557</v>
      </c>
      <c r="S109" s="1741">
        <f t="shared" ca="1" si="14"/>
        <v>193779.72256300002</v>
      </c>
      <c r="T109" s="313" t="str">
        <f ca="1">'Production cost'!T213</f>
        <v>Box</v>
      </c>
      <c r="AK109" s="313"/>
      <c r="AL109" s="313"/>
      <c r="AM109" s="313"/>
      <c r="AO109" s="385"/>
      <c r="AP109" s="385"/>
      <c r="AQ109" s="385"/>
      <c r="AR109" s="1048"/>
      <c r="AS109" s="385"/>
    </row>
    <row r="110" spans="1:47" ht="12.75" outlineLevel="1">
      <c r="A110" s="1269"/>
      <c r="B110" s="1258" t="s">
        <v>173</v>
      </c>
      <c r="C110" s="313" t="str">
        <f>'Production cost'!$C214</f>
        <v>E-Flute</v>
      </c>
      <c r="E110" s="363"/>
      <c r="F110" s="363" t="str">
        <f ca="1">'Production cost'!$F214</f>
        <v>N</v>
      </c>
      <c r="G110" s="363"/>
      <c r="H110" s="313">
        <f ca="1">IFERROR(IF($F110="PCS",$E$4,VLOOKUP($F110,'Proof cost'!$I$23:$X$55,2,0)),0)</f>
        <v>0</v>
      </c>
      <c r="I110" s="313">
        <f ca="1">'Production cost'!$I214</f>
        <v>3000</v>
      </c>
      <c r="J110" s="313" t="s">
        <v>5</v>
      </c>
      <c r="K110" s="360">
        <f>'Production cost'!$K214</f>
        <v>0</v>
      </c>
      <c r="L110" s="313">
        <f ca="1">'Production cost'!$L214</f>
        <v>3</v>
      </c>
      <c r="M110" s="391">
        <f ca="1">'Production cost'!$M214</f>
        <v>0</v>
      </c>
      <c r="N110" s="983">
        <f t="shared" ca="1" si="8"/>
        <v>0</v>
      </c>
      <c r="P110" s="313">
        <f>'Production cost'!$P214</f>
        <v>64593.240854333337</v>
      </c>
      <c r="Q110" s="313">
        <f t="shared" ca="1" si="12"/>
        <v>0</v>
      </c>
      <c r="R110" s="313">
        <f t="shared" ca="1" si="13"/>
        <v>0</v>
      </c>
      <c r="S110" s="1741">
        <f t="shared" ca="1" si="14"/>
        <v>0</v>
      </c>
      <c r="T110" s="313" t="str">
        <f ca="1">'Production cost'!T214</f>
        <v>N</v>
      </c>
      <c r="AK110" s="313"/>
      <c r="AL110" s="313"/>
      <c r="AM110" s="313"/>
      <c r="AO110" s="385"/>
      <c r="AP110" s="385"/>
      <c r="AQ110" s="385"/>
      <c r="AR110" s="1048"/>
      <c r="AS110" s="385"/>
    </row>
    <row r="111" spans="1:47" ht="12.75" outlineLevel="1">
      <c r="A111" s="1269"/>
      <c r="B111" s="1258" t="s">
        <v>173</v>
      </c>
      <c r="C111" s="313" t="str">
        <f>'Production cost'!$C215</f>
        <v>E-Flute</v>
      </c>
      <c r="E111" s="363"/>
      <c r="F111" s="363" t="str">
        <f ca="1">'Production cost'!$F215</f>
        <v>N</v>
      </c>
      <c r="G111" s="363"/>
      <c r="H111" s="313">
        <f ca="1">IFERROR(IF($F111="PCS",$E$4,VLOOKUP($F111,'Proof cost'!$I$23:$X$55,2,0)),0)</f>
        <v>0</v>
      </c>
      <c r="I111" s="313">
        <f ca="1">'Production cost'!$I215</f>
        <v>3000</v>
      </c>
      <c r="J111" s="313" t="s">
        <v>5</v>
      </c>
      <c r="K111" s="360">
        <f>'Production cost'!$K215</f>
        <v>0</v>
      </c>
      <c r="L111" s="313">
        <f ca="1">'Production cost'!$L215</f>
        <v>3</v>
      </c>
      <c r="M111" s="391">
        <f ca="1">'Production cost'!$M215</f>
        <v>0</v>
      </c>
      <c r="N111" s="983">
        <f t="shared" ca="1" si="8"/>
        <v>0</v>
      </c>
      <c r="P111" s="313">
        <f>'Production cost'!$P215</f>
        <v>64593.240854333337</v>
      </c>
      <c r="Q111" s="313">
        <f t="shared" ca="1" si="12"/>
        <v>0</v>
      </c>
      <c r="R111" s="313">
        <f t="shared" ca="1" si="13"/>
        <v>0</v>
      </c>
      <c r="S111" s="1741">
        <f t="shared" ca="1" si="14"/>
        <v>0</v>
      </c>
      <c r="T111" s="313" t="str">
        <f ca="1">'Production cost'!T215</f>
        <v>N</v>
      </c>
      <c r="AK111" s="313"/>
      <c r="AL111" s="313"/>
      <c r="AM111" s="313"/>
      <c r="AO111" s="385"/>
      <c r="AP111" s="385"/>
      <c r="AQ111" s="385"/>
      <c r="AR111" s="1048"/>
      <c r="AS111" s="385"/>
    </row>
    <row r="112" spans="1:47" ht="12.75" outlineLevel="1">
      <c r="A112" s="1269"/>
      <c r="B112" s="1258" t="s">
        <v>173</v>
      </c>
      <c r="C112" s="313" t="str">
        <f>'Production cost'!$C216</f>
        <v>E-Flute</v>
      </c>
      <c r="E112" s="363"/>
      <c r="F112" s="363" t="str">
        <f ca="1">'Production cost'!$F216</f>
        <v>N</v>
      </c>
      <c r="G112" s="363"/>
      <c r="H112" s="313">
        <f ca="1">IFERROR(IF($F112="PCS",$E$4,VLOOKUP($F112,'Proof cost'!$I$23:$X$55,2,0)),0)</f>
        <v>0</v>
      </c>
      <c r="I112" s="313">
        <f ca="1">'Production cost'!$I216</f>
        <v>3000</v>
      </c>
      <c r="J112" s="313" t="s">
        <v>5</v>
      </c>
      <c r="K112" s="360">
        <f>'Production cost'!$K216</f>
        <v>0</v>
      </c>
      <c r="L112" s="313">
        <f ca="1">'Production cost'!$L216</f>
        <v>3</v>
      </c>
      <c r="M112" s="391">
        <f ca="1">'Production cost'!$M216</f>
        <v>0</v>
      </c>
      <c r="N112" s="983">
        <f t="shared" ca="1" si="8"/>
        <v>0</v>
      </c>
      <c r="P112" s="313">
        <f>'Production cost'!$P216</f>
        <v>64593.240854333337</v>
      </c>
      <c r="Q112" s="313">
        <f t="shared" ca="1" si="12"/>
        <v>0</v>
      </c>
      <c r="R112" s="313">
        <f t="shared" ca="1" si="13"/>
        <v>0</v>
      </c>
      <c r="S112" s="1741">
        <f t="shared" ca="1" si="14"/>
        <v>0</v>
      </c>
      <c r="T112" s="313" t="str">
        <f ca="1">'Production cost'!T216</f>
        <v>N</v>
      </c>
      <c r="AK112" s="313"/>
      <c r="AL112" s="313"/>
      <c r="AM112" s="313"/>
      <c r="AO112" s="385"/>
      <c r="AP112" s="385"/>
      <c r="AQ112" s="385"/>
      <c r="AR112" s="1048"/>
      <c r="AS112" s="385"/>
    </row>
    <row r="113" spans="1:47" ht="12.75" outlineLevel="1">
      <c r="A113" s="1269"/>
      <c r="B113" s="1258" t="s">
        <v>173</v>
      </c>
      <c r="C113" s="313" t="str">
        <f>'Production cost'!$C217</f>
        <v>E-Flute</v>
      </c>
      <c r="E113" s="363"/>
      <c r="F113" s="363" t="str">
        <f ca="1">'Production cost'!$F217</f>
        <v>N</v>
      </c>
      <c r="G113" s="363"/>
      <c r="H113" s="313">
        <f ca="1">IFERROR(IF($F113="PCS",$E$4,VLOOKUP($F113,'Proof cost'!$I$23:$X$55,2,0)),0)</f>
        <v>0</v>
      </c>
      <c r="I113" s="313">
        <f ca="1">'Production cost'!$I217</f>
        <v>3000</v>
      </c>
      <c r="J113" s="313" t="s">
        <v>5</v>
      </c>
      <c r="K113" s="360">
        <f>'Production cost'!$K217</f>
        <v>0</v>
      </c>
      <c r="L113" s="313">
        <f ca="1">'Production cost'!$L217</f>
        <v>3</v>
      </c>
      <c r="M113" s="391">
        <f ca="1">'Production cost'!$M217</f>
        <v>0</v>
      </c>
      <c r="N113" s="983">
        <f t="shared" ca="1" si="8"/>
        <v>0</v>
      </c>
      <c r="P113" s="313">
        <f>'Production cost'!$P217</f>
        <v>64593.240854333337</v>
      </c>
      <c r="Q113" s="313">
        <f t="shared" ca="1" si="12"/>
        <v>0</v>
      </c>
      <c r="R113" s="313">
        <f t="shared" ca="1" si="13"/>
        <v>0</v>
      </c>
      <c r="S113" s="1741">
        <f t="shared" ca="1" si="14"/>
        <v>0</v>
      </c>
      <c r="T113" s="313" t="str">
        <f ca="1">'Production cost'!T217</f>
        <v>N</v>
      </c>
      <c r="AK113" s="313"/>
      <c r="AL113" s="313"/>
      <c r="AM113" s="313"/>
      <c r="AO113" s="385"/>
      <c r="AP113" s="385"/>
      <c r="AQ113" s="385"/>
      <c r="AR113" s="1048"/>
      <c r="AS113" s="385"/>
    </row>
    <row r="114" spans="1:47" ht="12.75" outlineLevel="1">
      <c r="B114" s="1258" t="s">
        <v>173</v>
      </c>
      <c r="C114" s="313" t="str">
        <f>'Production cost'!$C228</f>
        <v>Roller Emboss</v>
      </c>
      <c r="E114" s="363"/>
      <c r="F114" s="363" t="str">
        <f ca="1">'Production cost'!$F228</f>
        <v>N</v>
      </c>
      <c r="G114" s="363"/>
      <c r="H114" s="313">
        <f ca="1">IFERROR(IF($F114="PCS",$E$4,VLOOKUP($F114,'Proof cost'!$I$23:$X$55,2,0)),0)</f>
        <v>0</v>
      </c>
      <c r="I114" s="313">
        <f ca="1">'Production cost'!$I228</f>
        <v>2000</v>
      </c>
      <c r="J114" s="313" t="s">
        <v>5</v>
      </c>
      <c r="K114" s="360">
        <f>'Production cost'!$K228</f>
        <v>0</v>
      </c>
      <c r="L114" s="313">
        <f ca="1">'Production cost'!$L228</f>
        <v>3</v>
      </c>
      <c r="M114" s="391">
        <f ca="1">'Production cost'!$M228</f>
        <v>0</v>
      </c>
      <c r="N114" s="983">
        <f t="shared" ca="1" si="8"/>
        <v>0</v>
      </c>
      <c r="P114" s="313">
        <f>'Production cost'!$P228</f>
        <v>64593.240854333337</v>
      </c>
      <c r="Q114" s="313">
        <f t="shared" ca="1" si="12"/>
        <v>0</v>
      </c>
      <c r="R114" s="313">
        <f t="shared" ca="1" si="13"/>
        <v>0</v>
      </c>
      <c r="S114" s="1741">
        <f t="shared" ca="1" si="14"/>
        <v>0</v>
      </c>
      <c r="T114" s="313" t="str">
        <f ca="1">'Production cost'!T228</f>
        <v>N</v>
      </c>
      <c r="AK114" s="313"/>
      <c r="AL114" s="313"/>
      <c r="AM114" s="313"/>
      <c r="AO114" s="385"/>
      <c r="AP114" s="385"/>
      <c r="AQ114" s="385"/>
      <c r="AR114" s="1048"/>
      <c r="AS114" s="385"/>
      <c r="AT114" s="392"/>
      <c r="AU114" s="392"/>
    </row>
    <row r="115" spans="1:47" ht="12.75" outlineLevel="1">
      <c r="B115" s="1258" t="s">
        <v>173</v>
      </c>
      <c r="C115" s="313" t="str">
        <f>'Production cost'!$C229</f>
        <v>Roller Emboss</v>
      </c>
      <c r="E115" s="363"/>
      <c r="F115" s="363" t="str">
        <f ca="1">'Production cost'!$F229</f>
        <v>N</v>
      </c>
      <c r="G115" s="363"/>
      <c r="H115" s="313">
        <f ca="1">IFERROR(IF($F115="PCS",$E$4,VLOOKUP($F115,'Proof cost'!$I$23:$X$55,2,0)),0)</f>
        <v>0</v>
      </c>
      <c r="I115" s="313">
        <f ca="1">'Production cost'!$I229</f>
        <v>2000</v>
      </c>
      <c r="J115" s="313" t="s">
        <v>5</v>
      </c>
      <c r="K115" s="360">
        <f>'Production cost'!$K229</f>
        <v>0</v>
      </c>
      <c r="L115" s="313">
        <f ca="1">'Production cost'!$L229</f>
        <v>3</v>
      </c>
      <c r="M115" s="391">
        <f ca="1">'Production cost'!$M229</f>
        <v>0</v>
      </c>
      <c r="N115" s="983">
        <f t="shared" ca="1" si="8"/>
        <v>0</v>
      </c>
      <c r="P115" s="313">
        <f>'Production cost'!$P229</f>
        <v>64593.240854333337</v>
      </c>
      <c r="Q115" s="313">
        <f t="shared" ca="1" si="12"/>
        <v>0</v>
      </c>
      <c r="R115" s="313">
        <f t="shared" ca="1" si="13"/>
        <v>0</v>
      </c>
      <c r="S115" s="1741">
        <f t="shared" ca="1" si="14"/>
        <v>0</v>
      </c>
      <c r="T115" s="313" t="str">
        <f ca="1">'Production cost'!T229</f>
        <v>N</v>
      </c>
      <c r="AK115" s="313"/>
      <c r="AL115" s="313"/>
      <c r="AM115" s="313"/>
      <c r="AO115" s="385"/>
      <c r="AP115" s="385"/>
      <c r="AQ115" s="385"/>
      <c r="AR115" s="1048"/>
      <c r="AS115" s="385"/>
      <c r="AT115" s="392"/>
      <c r="AU115" s="392"/>
    </row>
    <row r="116" spans="1:47" ht="12.75" outlineLevel="1">
      <c r="B116" s="1258" t="s">
        <v>173</v>
      </c>
      <c r="C116" s="313" t="str">
        <f>'Production cost'!$C230</f>
        <v>Roller Emboss</v>
      </c>
      <c r="E116" s="363"/>
      <c r="F116" s="363" t="str">
        <f ca="1">'Production cost'!$F230</f>
        <v>N</v>
      </c>
      <c r="G116" s="363"/>
      <c r="H116" s="313">
        <f ca="1">IFERROR(IF($F116="PCS",$E$4,VLOOKUP($F116,'Proof cost'!$I$23:$X$55,2,0)),0)</f>
        <v>0</v>
      </c>
      <c r="I116" s="313">
        <f ca="1">'Production cost'!$I230</f>
        <v>2000</v>
      </c>
      <c r="J116" s="313" t="s">
        <v>5</v>
      </c>
      <c r="K116" s="360">
        <f>'Production cost'!$K230</f>
        <v>0</v>
      </c>
      <c r="L116" s="313">
        <f ca="1">'Production cost'!$L230</f>
        <v>3</v>
      </c>
      <c r="M116" s="391">
        <f ca="1">'Production cost'!$M230</f>
        <v>0</v>
      </c>
      <c r="N116" s="983">
        <f t="shared" ca="1" si="8"/>
        <v>0</v>
      </c>
      <c r="P116" s="313">
        <f>'Production cost'!$P230</f>
        <v>64593.240854333337</v>
      </c>
      <c r="Q116" s="313">
        <f t="shared" ca="1" si="12"/>
        <v>0</v>
      </c>
      <c r="R116" s="313">
        <f t="shared" ca="1" si="13"/>
        <v>0</v>
      </c>
      <c r="S116" s="1741">
        <f t="shared" ca="1" si="14"/>
        <v>0</v>
      </c>
      <c r="T116" s="313" t="str">
        <f ca="1">'Production cost'!T230</f>
        <v>N</v>
      </c>
      <c r="AK116" s="313"/>
      <c r="AL116" s="313"/>
      <c r="AM116" s="313"/>
      <c r="AO116" s="385"/>
      <c r="AP116" s="385"/>
      <c r="AQ116" s="385"/>
      <c r="AR116" s="1048"/>
      <c r="AS116" s="385"/>
      <c r="AT116" s="392"/>
      <c r="AU116" s="392"/>
    </row>
    <row r="117" spans="1:47" ht="12.75" outlineLevel="1">
      <c r="B117" s="1258" t="s">
        <v>173</v>
      </c>
      <c r="C117" s="313" t="str">
        <f>'Production cost'!$C231</f>
        <v>Roller Emboss</v>
      </c>
      <c r="E117" s="363"/>
      <c r="F117" s="363" t="str">
        <f ca="1">'Production cost'!$F231</f>
        <v>N</v>
      </c>
      <c r="G117" s="363"/>
      <c r="H117" s="313">
        <f ca="1">IFERROR(IF($F117="PCS",$E$4,VLOOKUP($F117,'Proof cost'!$I$23:$X$55,2,0)),0)</f>
        <v>0</v>
      </c>
      <c r="I117" s="313">
        <f ca="1">'Production cost'!$I231</f>
        <v>2000</v>
      </c>
      <c r="J117" s="313" t="s">
        <v>5</v>
      </c>
      <c r="K117" s="360">
        <f>'Production cost'!$K231</f>
        <v>0</v>
      </c>
      <c r="L117" s="313">
        <f ca="1">'Production cost'!$L231</f>
        <v>3</v>
      </c>
      <c r="M117" s="391">
        <f ca="1">'Production cost'!$M231</f>
        <v>0</v>
      </c>
      <c r="N117" s="983">
        <f t="shared" ca="1" si="8"/>
        <v>0</v>
      </c>
      <c r="P117" s="313">
        <f>'Production cost'!$P231</f>
        <v>64593.240854333337</v>
      </c>
      <c r="Q117" s="313">
        <f t="shared" ca="1" si="12"/>
        <v>0</v>
      </c>
      <c r="R117" s="313">
        <f t="shared" ca="1" si="13"/>
        <v>0</v>
      </c>
      <c r="S117" s="1741">
        <f t="shared" ca="1" si="14"/>
        <v>0</v>
      </c>
      <c r="T117" s="313" t="str">
        <f ca="1">'Production cost'!T231</f>
        <v>N</v>
      </c>
      <c r="AK117" s="313"/>
      <c r="AL117" s="313"/>
      <c r="AM117" s="313"/>
      <c r="AO117" s="385"/>
      <c r="AP117" s="385"/>
      <c r="AQ117" s="385"/>
      <c r="AR117" s="1048"/>
      <c r="AS117" s="385"/>
      <c r="AT117" s="392"/>
      <c r="AU117" s="392"/>
    </row>
    <row r="118" spans="1:47" ht="12.75" outlineLevel="1">
      <c r="B118" s="1258" t="s">
        <v>173</v>
      </c>
      <c r="C118" s="313" t="str">
        <f>'Production cost'!$C232</f>
        <v>Roller Emboss</v>
      </c>
      <c r="E118" s="363"/>
      <c r="F118" s="363" t="str">
        <f ca="1">'Production cost'!$F232</f>
        <v>N</v>
      </c>
      <c r="G118" s="363"/>
      <c r="H118" s="313">
        <f ca="1">IFERROR(IF($F118="PCS",$E$4,VLOOKUP($F118,'Proof cost'!$I$23:$X$55,2,0)),0)</f>
        <v>0</v>
      </c>
      <c r="I118" s="313">
        <f ca="1">'Production cost'!$I232</f>
        <v>2000</v>
      </c>
      <c r="J118" s="313" t="s">
        <v>5</v>
      </c>
      <c r="K118" s="360">
        <f>'Production cost'!$K232</f>
        <v>0</v>
      </c>
      <c r="L118" s="313">
        <f ca="1">'Production cost'!$L232</f>
        <v>3</v>
      </c>
      <c r="M118" s="391">
        <f ca="1">'Production cost'!$M232</f>
        <v>0</v>
      </c>
      <c r="N118" s="983">
        <f t="shared" ca="1" si="8"/>
        <v>0</v>
      </c>
      <c r="P118" s="313">
        <f>'Production cost'!$P232</f>
        <v>64593.240854333337</v>
      </c>
      <c r="Q118" s="313">
        <f t="shared" ca="1" si="12"/>
        <v>0</v>
      </c>
      <c r="R118" s="313">
        <f t="shared" ca="1" si="13"/>
        <v>0</v>
      </c>
      <c r="S118" s="1741">
        <f t="shared" ca="1" si="14"/>
        <v>0</v>
      </c>
      <c r="T118" s="313" t="str">
        <f ca="1">'Production cost'!T232</f>
        <v>N</v>
      </c>
      <c r="AK118" s="313"/>
      <c r="AL118" s="313"/>
      <c r="AM118" s="313"/>
      <c r="AO118" s="385"/>
      <c r="AP118" s="385"/>
      <c r="AQ118" s="385"/>
      <c r="AR118" s="1048"/>
      <c r="AS118" s="385"/>
      <c r="AT118" s="392"/>
      <c r="AU118" s="392"/>
    </row>
    <row r="119" spans="1:47" ht="12.75" outlineLevel="1">
      <c r="B119" s="1258" t="s">
        <v>173</v>
      </c>
      <c r="C119" s="313" t="str">
        <f>'Production cost'!$C243</f>
        <v>Test</v>
      </c>
      <c r="E119" s="363"/>
      <c r="F119" s="363" t="str">
        <f>'Production cost'!$F243</f>
        <v>N</v>
      </c>
      <c r="G119" s="363"/>
      <c r="H119" s="313">
        <f>IFERROR(IF($F119="PCS",$E$4,VLOOKUP($F119,'Proof cost'!$I$23:$X$55,2,0)),0)</f>
        <v>0</v>
      </c>
      <c r="I119" s="313">
        <f>'Production cost'!$I243</f>
        <v>2000</v>
      </c>
      <c r="J119" s="313" t="s">
        <v>5</v>
      </c>
      <c r="K119" s="360">
        <f>'Production cost'!$K243</f>
        <v>0</v>
      </c>
      <c r="L119" s="313">
        <f>'Production cost'!$L243</f>
        <v>3</v>
      </c>
      <c r="M119" s="391">
        <f>'Production cost'!$M243</f>
        <v>0</v>
      </c>
      <c r="N119" s="983">
        <f t="shared" si="8"/>
        <v>0</v>
      </c>
      <c r="P119" s="313">
        <f>'Production cost'!$P243</f>
        <v>0</v>
      </c>
      <c r="Q119" s="313">
        <f t="shared" si="12"/>
        <v>0</v>
      </c>
      <c r="R119" s="313">
        <f t="shared" si="13"/>
        <v>0</v>
      </c>
      <c r="S119" s="1741">
        <f t="shared" si="14"/>
        <v>0</v>
      </c>
      <c r="T119" s="313" t="str">
        <f>'Production cost'!T243</f>
        <v>N</v>
      </c>
      <c r="AK119" s="313"/>
      <c r="AL119" s="313"/>
      <c r="AM119" s="313"/>
      <c r="AO119" s="385"/>
      <c r="AP119" s="385"/>
      <c r="AQ119" s="385"/>
      <c r="AR119" s="1048"/>
      <c r="AS119" s="385"/>
      <c r="AT119" s="392"/>
      <c r="AU119" s="392"/>
    </row>
    <row r="120" spans="1:47" ht="12.75" outlineLevel="1">
      <c r="B120" s="1258" t="s">
        <v>173</v>
      </c>
      <c r="C120" s="313" t="str">
        <f>'Production cost'!$C244</f>
        <v>Test</v>
      </c>
      <c r="E120" s="363"/>
      <c r="F120" s="363" t="str">
        <f>'Production cost'!$F244</f>
        <v>N</v>
      </c>
      <c r="G120" s="363"/>
      <c r="H120" s="313">
        <f>IFERROR(IF($F120="PCS",$E$4,VLOOKUP($F120,'Proof cost'!$I$23:$X$55,2,0)),0)</f>
        <v>0</v>
      </c>
      <c r="I120" s="313">
        <f>'Production cost'!$I244</f>
        <v>2000</v>
      </c>
      <c r="J120" s="313" t="s">
        <v>5</v>
      </c>
      <c r="K120" s="360">
        <f>'Production cost'!$K244</f>
        <v>0</v>
      </c>
      <c r="L120" s="313">
        <f>'Production cost'!$L244</f>
        <v>3</v>
      </c>
      <c r="M120" s="391">
        <f>'Production cost'!$M244</f>
        <v>0</v>
      </c>
      <c r="N120" s="983">
        <f t="shared" si="8"/>
        <v>0</v>
      </c>
      <c r="P120" s="313">
        <f>'Production cost'!$P244</f>
        <v>0</v>
      </c>
      <c r="Q120" s="313">
        <f t="shared" si="12"/>
        <v>0</v>
      </c>
      <c r="R120" s="313">
        <f t="shared" si="13"/>
        <v>0</v>
      </c>
      <c r="S120" s="1741">
        <f t="shared" si="14"/>
        <v>0</v>
      </c>
      <c r="T120" s="313" t="str">
        <f>'Production cost'!T244</f>
        <v>N</v>
      </c>
      <c r="AK120" s="313"/>
      <c r="AL120" s="313"/>
      <c r="AM120" s="313"/>
      <c r="AO120" s="385"/>
      <c r="AP120" s="385"/>
      <c r="AQ120" s="385"/>
      <c r="AR120" s="1048"/>
      <c r="AS120" s="385"/>
      <c r="AT120" s="392"/>
      <c r="AU120" s="392"/>
    </row>
    <row r="121" spans="1:47" ht="12.75" outlineLevel="1">
      <c r="B121" s="1258" t="s">
        <v>173</v>
      </c>
      <c r="C121" s="313" t="str">
        <f>'Production cost'!$C245</f>
        <v>Test</v>
      </c>
      <c r="E121" s="363"/>
      <c r="F121" s="363" t="str">
        <f>'Production cost'!$F245</f>
        <v>N</v>
      </c>
      <c r="G121" s="363"/>
      <c r="H121" s="313">
        <f>IFERROR(IF($F121="PCS",$E$4,VLOOKUP($F121,'Proof cost'!$I$23:$X$55,2,0)),0)</f>
        <v>0</v>
      </c>
      <c r="I121" s="313">
        <f>'Production cost'!$I245</f>
        <v>2000</v>
      </c>
      <c r="J121" s="313" t="s">
        <v>5</v>
      </c>
      <c r="K121" s="360">
        <f>'Production cost'!$K245</f>
        <v>0</v>
      </c>
      <c r="L121" s="313">
        <f>'Production cost'!$L245</f>
        <v>3</v>
      </c>
      <c r="M121" s="391">
        <f>'Production cost'!$M245</f>
        <v>0</v>
      </c>
      <c r="N121" s="983">
        <f t="shared" si="8"/>
        <v>0</v>
      </c>
      <c r="P121" s="313">
        <f>'Production cost'!$P245</f>
        <v>0</v>
      </c>
      <c r="Q121" s="313">
        <f t="shared" si="12"/>
        <v>0</v>
      </c>
      <c r="R121" s="313">
        <f t="shared" si="13"/>
        <v>0</v>
      </c>
      <c r="S121" s="1741">
        <f t="shared" si="14"/>
        <v>0</v>
      </c>
      <c r="T121" s="313" t="str">
        <f>'Production cost'!T245</f>
        <v>N</v>
      </c>
      <c r="AK121" s="313"/>
      <c r="AL121" s="313"/>
      <c r="AM121" s="313"/>
      <c r="AO121" s="385"/>
      <c r="AP121" s="385"/>
      <c r="AQ121" s="385"/>
      <c r="AR121" s="1048"/>
      <c r="AS121" s="385"/>
      <c r="AT121" s="392"/>
      <c r="AU121" s="392"/>
    </row>
    <row r="122" spans="1:47" ht="12.75" outlineLevel="1">
      <c r="B122" s="1258" t="s">
        <v>173</v>
      </c>
      <c r="C122" s="313" t="str">
        <f>'Production cost'!$C246</f>
        <v>Test</v>
      </c>
      <c r="E122" s="363"/>
      <c r="F122" s="363" t="str">
        <f>'Production cost'!$F246</f>
        <v>N</v>
      </c>
      <c r="G122" s="363"/>
      <c r="H122" s="313">
        <f>IFERROR(IF($F122="PCS",$E$4,VLOOKUP($F122,'Proof cost'!$I$23:$X$55,2,0)),0)</f>
        <v>0</v>
      </c>
      <c r="I122" s="313">
        <f>'Production cost'!$I246</f>
        <v>2000</v>
      </c>
      <c r="J122" s="313" t="s">
        <v>5</v>
      </c>
      <c r="K122" s="360">
        <f>'Production cost'!$K246</f>
        <v>0</v>
      </c>
      <c r="L122" s="313">
        <f>'Production cost'!$L246</f>
        <v>3</v>
      </c>
      <c r="M122" s="391">
        <f>'Production cost'!$M246</f>
        <v>0</v>
      </c>
      <c r="N122" s="983">
        <f t="shared" si="8"/>
        <v>0</v>
      </c>
      <c r="P122" s="313">
        <f>'Production cost'!$P246</f>
        <v>0</v>
      </c>
      <c r="Q122" s="313">
        <f t="shared" si="12"/>
        <v>0</v>
      </c>
      <c r="R122" s="313">
        <f t="shared" si="13"/>
        <v>0</v>
      </c>
      <c r="S122" s="1741">
        <f t="shared" si="14"/>
        <v>0</v>
      </c>
      <c r="T122" s="313" t="str">
        <f>'Production cost'!T246</f>
        <v>N</v>
      </c>
      <c r="AK122" s="313"/>
      <c r="AL122" s="313"/>
      <c r="AM122" s="313"/>
      <c r="AO122" s="385"/>
      <c r="AP122" s="385"/>
      <c r="AQ122" s="385"/>
      <c r="AR122" s="1048"/>
      <c r="AS122" s="385"/>
      <c r="AT122" s="392"/>
      <c r="AU122" s="392"/>
    </row>
    <row r="123" spans="1:47" ht="12.75" outlineLevel="1">
      <c r="B123" s="1258" t="s">
        <v>173</v>
      </c>
      <c r="C123" s="313" t="str">
        <f>'Production cost'!$C247</f>
        <v>Test</v>
      </c>
      <c r="E123" s="363"/>
      <c r="F123" s="363" t="str">
        <f>'Production cost'!$F247</f>
        <v>N</v>
      </c>
      <c r="G123" s="363"/>
      <c r="H123" s="313">
        <f>IFERROR(IF($F123="PCS",$E$4,VLOOKUP($F123,'Proof cost'!$I$23:$X$55,2,0)),0)</f>
        <v>0</v>
      </c>
      <c r="I123" s="313">
        <f>'Production cost'!$I247</f>
        <v>2000</v>
      </c>
      <c r="J123" s="313" t="s">
        <v>5</v>
      </c>
      <c r="K123" s="360">
        <f>'Production cost'!$K247</f>
        <v>0</v>
      </c>
      <c r="L123" s="313">
        <f>'Production cost'!$L247</f>
        <v>3</v>
      </c>
      <c r="M123" s="391">
        <f>'Production cost'!$M247</f>
        <v>0</v>
      </c>
      <c r="N123" s="983">
        <f t="shared" si="8"/>
        <v>0</v>
      </c>
      <c r="P123" s="313">
        <f>'Production cost'!$P247</f>
        <v>0</v>
      </c>
      <c r="Q123" s="313">
        <f t="shared" si="12"/>
        <v>0</v>
      </c>
      <c r="R123" s="313">
        <f t="shared" si="13"/>
        <v>0</v>
      </c>
      <c r="S123" s="1741">
        <f t="shared" si="14"/>
        <v>0</v>
      </c>
      <c r="T123" s="313" t="str">
        <f>'Production cost'!T247</f>
        <v>N</v>
      </c>
      <c r="AK123" s="313"/>
      <c r="AL123" s="313"/>
      <c r="AM123" s="313"/>
      <c r="AO123" s="385"/>
      <c r="AP123" s="385"/>
      <c r="AQ123" s="385"/>
      <c r="AR123" s="1048"/>
      <c r="AS123" s="385"/>
      <c r="AT123" s="392"/>
      <c r="AU123" s="392"/>
    </row>
    <row r="124" spans="1:47" ht="14.25" customHeight="1" outlineLevel="1">
      <c r="B124" s="1258" t="s">
        <v>173</v>
      </c>
      <c r="C124" s="313" t="str">
        <f>'Production cost'!$C248</f>
        <v>Test</v>
      </c>
      <c r="E124" s="363"/>
      <c r="F124" s="363" t="str">
        <f>'Production cost'!$F248</f>
        <v>N</v>
      </c>
      <c r="G124" s="363"/>
      <c r="H124" s="313">
        <f>IFERROR(IF($F124="PCS",$E$4,VLOOKUP($F124,'Proof cost'!$I$23:$X$55,2,0)),0)</f>
        <v>0</v>
      </c>
      <c r="I124" s="313">
        <f>'Production cost'!$I248</f>
        <v>2000</v>
      </c>
      <c r="J124" s="313" t="s">
        <v>5</v>
      </c>
      <c r="K124" s="360">
        <f>'Production cost'!$K248</f>
        <v>0</v>
      </c>
      <c r="L124" s="313">
        <f>'Production cost'!$L248</f>
        <v>3</v>
      </c>
      <c r="M124" s="391">
        <f>'Production cost'!$M248</f>
        <v>0</v>
      </c>
      <c r="N124" s="983">
        <f t="shared" si="8"/>
        <v>0</v>
      </c>
      <c r="P124" s="313">
        <f>'Production cost'!$P248</f>
        <v>0</v>
      </c>
      <c r="Q124" s="313">
        <f t="shared" si="12"/>
        <v>0</v>
      </c>
      <c r="R124" s="313">
        <f>IF($E$2&gt;0,Q124/$E$2,0)</f>
        <v>0</v>
      </c>
      <c r="S124" s="1741">
        <f>IF(M124&gt;0,K124*O124+L124*P124,0)</f>
        <v>0</v>
      </c>
      <c r="T124" s="313" t="str">
        <f>'Production cost'!T248</f>
        <v>N</v>
      </c>
      <c r="AK124" s="313"/>
      <c r="AL124" s="313"/>
      <c r="AM124" s="313"/>
      <c r="AO124" s="385"/>
      <c r="AP124" s="385"/>
      <c r="AQ124" s="385"/>
      <c r="AR124" s="1048"/>
      <c r="AS124" s="1054"/>
      <c r="AT124" s="392"/>
      <c r="AU124" s="392"/>
    </row>
    <row r="125" spans="1:47" ht="14.25" customHeight="1" outlineLevel="1">
      <c r="B125" s="1258" t="s">
        <v>173</v>
      </c>
      <c r="C125" s="313" t="str">
        <f>'Production cost'!$C249</f>
        <v>Test</v>
      </c>
      <c r="E125" s="363"/>
      <c r="F125" s="363" t="str">
        <f>'Production cost'!$F249</f>
        <v>N</v>
      </c>
      <c r="G125" s="363"/>
      <c r="H125" s="313">
        <f>IFERROR(IF($F125="PCS",$E$4,VLOOKUP($F125,'Proof cost'!$I$23:$X$55,2,0)),0)</f>
        <v>0</v>
      </c>
      <c r="I125" s="313">
        <f>'Production cost'!$I249</f>
        <v>2000</v>
      </c>
      <c r="J125" s="313" t="s">
        <v>5</v>
      </c>
      <c r="K125" s="360">
        <f>'Production cost'!$K249</f>
        <v>0</v>
      </c>
      <c r="L125" s="313">
        <f>'Production cost'!$L249</f>
        <v>3</v>
      </c>
      <c r="M125" s="391">
        <f>'Production cost'!$M249</f>
        <v>0</v>
      </c>
      <c r="N125" s="983">
        <f t="shared" si="8"/>
        <v>0</v>
      </c>
      <c r="P125" s="313">
        <f>'Production cost'!$P249</f>
        <v>0</v>
      </c>
      <c r="Q125" s="313">
        <f t="shared" si="12"/>
        <v>0</v>
      </c>
      <c r="R125" s="313">
        <f t="shared" ref="R125:R133" si="15">IF($E$2&gt;0,Q125/$E$2,0)</f>
        <v>0</v>
      </c>
      <c r="S125" s="1741">
        <f t="shared" ref="S125:S133" si="16">IF(M125&gt;0,K125*O125+L125*P125,0)</f>
        <v>0</v>
      </c>
      <c r="T125" s="313" t="str">
        <f>'Production cost'!T249</f>
        <v>N</v>
      </c>
      <c r="AK125" s="313"/>
      <c r="AL125" s="313"/>
      <c r="AM125" s="313"/>
      <c r="AO125" s="385"/>
      <c r="AP125" s="385"/>
      <c r="AQ125" s="385"/>
      <c r="AR125" s="1048"/>
      <c r="AS125" s="1054"/>
      <c r="AT125" s="392"/>
      <c r="AU125" s="392"/>
    </row>
    <row r="126" spans="1:47" ht="14.25" customHeight="1" outlineLevel="1">
      <c r="B126" s="1258" t="s">
        <v>173</v>
      </c>
      <c r="C126" s="313" t="str">
        <f>'Production cost'!$C250</f>
        <v>Test</v>
      </c>
      <c r="E126" s="363"/>
      <c r="F126" s="363" t="str">
        <f>'Production cost'!$F250</f>
        <v>N</v>
      </c>
      <c r="G126" s="363"/>
      <c r="H126" s="313">
        <f>IFERROR(IF($F126="PCS",$E$4,VLOOKUP($F126,'Proof cost'!$I$23:$X$55,2,0)),0)</f>
        <v>0</v>
      </c>
      <c r="I126" s="313">
        <f>'Production cost'!$I250</f>
        <v>2000</v>
      </c>
      <c r="J126" s="313" t="s">
        <v>5</v>
      </c>
      <c r="K126" s="360">
        <f>'Production cost'!$K250</f>
        <v>0</v>
      </c>
      <c r="L126" s="313">
        <f>'Production cost'!$L250</f>
        <v>3</v>
      </c>
      <c r="M126" s="391">
        <f>'Production cost'!$M250</f>
        <v>0</v>
      </c>
      <c r="N126" s="983">
        <f t="shared" si="8"/>
        <v>0</v>
      </c>
      <c r="P126" s="313">
        <f>'Production cost'!$P250</f>
        <v>0</v>
      </c>
      <c r="Q126" s="313">
        <f t="shared" si="12"/>
        <v>0</v>
      </c>
      <c r="R126" s="313">
        <f t="shared" si="15"/>
        <v>0</v>
      </c>
      <c r="S126" s="1741">
        <f t="shared" si="16"/>
        <v>0</v>
      </c>
      <c r="T126" s="313" t="str">
        <f>'Production cost'!T250</f>
        <v>N</v>
      </c>
      <c r="AK126" s="313"/>
      <c r="AL126" s="313"/>
      <c r="AM126" s="313"/>
      <c r="AO126" s="385"/>
      <c r="AP126" s="385"/>
      <c r="AQ126" s="385"/>
      <c r="AR126" s="1048"/>
      <c r="AS126" s="1054"/>
      <c r="AT126" s="392"/>
      <c r="AU126" s="392"/>
    </row>
    <row r="127" spans="1:47" ht="14.25" customHeight="1" outlineLevel="1">
      <c r="B127" s="1258" t="s">
        <v>173</v>
      </c>
      <c r="C127" s="313" t="str">
        <f>'Production cost'!$C251</f>
        <v>Test</v>
      </c>
      <c r="E127" s="363"/>
      <c r="F127" s="363" t="str">
        <f>'Production cost'!$F251</f>
        <v>N</v>
      </c>
      <c r="G127" s="363"/>
      <c r="H127" s="313">
        <f>IFERROR(IF($F127="PCS",$E$4,VLOOKUP($F127,'Proof cost'!$I$23:$X$55,2,0)),0)</f>
        <v>0</v>
      </c>
      <c r="I127" s="313">
        <f>'Production cost'!$I251</f>
        <v>2000</v>
      </c>
      <c r="J127" s="313" t="s">
        <v>5</v>
      </c>
      <c r="K127" s="360">
        <f>'Production cost'!$K251</f>
        <v>0</v>
      </c>
      <c r="L127" s="313">
        <f>'Production cost'!$L251</f>
        <v>3</v>
      </c>
      <c r="M127" s="391">
        <f>'Production cost'!$M251</f>
        <v>0</v>
      </c>
      <c r="N127" s="983">
        <f t="shared" si="8"/>
        <v>0</v>
      </c>
      <c r="P127" s="313">
        <f>'Production cost'!$P251</f>
        <v>0</v>
      </c>
      <c r="Q127" s="313">
        <f t="shared" si="12"/>
        <v>0</v>
      </c>
      <c r="R127" s="313">
        <f t="shared" si="15"/>
        <v>0</v>
      </c>
      <c r="S127" s="1741">
        <f t="shared" si="16"/>
        <v>0</v>
      </c>
      <c r="T127" s="313" t="str">
        <f>'Production cost'!T251</f>
        <v>N</v>
      </c>
      <c r="AK127" s="313"/>
      <c r="AL127" s="313"/>
      <c r="AM127" s="313"/>
      <c r="AO127" s="385"/>
      <c r="AP127" s="385"/>
      <c r="AQ127" s="385"/>
      <c r="AR127" s="1048"/>
      <c r="AS127" s="1054"/>
      <c r="AT127" s="392"/>
      <c r="AU127" s="392"/>
    </row>
    <row r="128" spans="1:47" ht="14.25" customHeight="1" outlineLevel="1">
      <c r="B128" s="1258" t="s">
        <v>173</v>
      </c>
      <c r="C128" s="313" t="str">
        <f>'Production cost'!$C252</f>
        <v>Test</v>
      </c>
      <c r="E128" s="363"/>
      <c r="F128" s="363" t="str">
        <f>'Production cost'!$F252</f>
        <v>N</v>
      </c>
      <c r="G128" s="363"/>
      <c r="H128" s="313">
        <f>IFERROR(IF($F128="PCS",$E$4,VLOOKUP($F128,'Proof cost'!$I$23:$X$55,2,0)),0)</f>
        <v>0</v>
      </c>
      <c r="I128" s="313">
        <f>'Production cost'!$I252</f>
        <v>2000</v>
      </c>
      <c r="J128" s="313" t="s">
        <v>5</v>
      </c>
      <c r="K128" s="360">
        <f>'Production cost'!$K252</f>
        <v>0</v>
      </c>
      <c r="L128" s="313">
        <f>'Production cost'!$L252</f>
        <v>3</v>
      </c>
      <c r="M128" s="391">
        <f>'Production cost'!$M252</f>
        <v>0</v>
      </c>
      <c r="N128" s="983">
        <f t="shared" si="8"/>
        <v>0</v>
      </c>
      <c r="P128" s="313">
        <f>'Production cost'!$P252</f>
        <v>0</v>
      </c>
      <c r="Q128" s="313">
        <f t="shared" si="12"/>
        <v>0</v>
      </c>
      <c r="R128" s="313">
        <f t="shared" si="15"/>
        <v>0</v>
      </c>
      <c r="S128" s="1741">
        <f t="shared" si="16"/>
        <v>0</v>
      </c>
      <c r="T128" s="313" t="str">
        <f>'Production cost'!T252</f>
        <v>N</v>
      </c>
      <c r="AK128" s="313"/>
      <c r="AL128" s="313"/>
      <c r="AM128" s="313"/>
      <c r="AO128" s="385"/>
      <c r="AP128" s="385"/>
      <c r="AQ128" s="385"/>
      <c r="AR128" s="1048"/>
      <c r="AS128" s="1054"/>
      <c r="AT128" s="392"/>
      <c r="AU128" s="392"/>
    </row>
    <row r="129" spans="1:47" ht="14.25" customHeight="1" outlineLevel="1">
      <c r="B129" s="1258" t="s">
        <v>173</v>
      </c>
      <c r="C129" s="313" t="str">
        <f>'Production cost'!$C253</f>
        <v>Test</v>
      </c>
      <c r="E129" s="363"/>
      <c r="F129" s="363" t="str">
        <f>'Production cost'!$F253</f>
        <v>N</v>
      </c>
      <c r="G129" s="363"/>
      <c r="H129" s="313">
        <f>IFERROR(IF($F129="PCS",$E$4,VLOOKUP($F129,'Proof cost'!$I$23:$X$55,2,0)),0)</f>
        <v>0</v>
      </c>
      <c r="I129" s="313">
        <f>'Production cost'!$I253</f>
        <v>2000</v>
      </c>
      <c r="J129" s="313" t="s">
        <v>5</v>
      </c>
      <c r="K129" s="360">
        <f>'Production cost'!$K253</f>
        <v>0</v>
      </c>
      <c r="L129" s="313">
        <f>'Production cost'!$L253</f>
        <v>3</v>
      </c>
      <c r="M129" s="391">
        <f>'Production cost'!$M253</f>
        <v>0</v>
      </c>
      <c r="N129" s="983">
        <f t="shared" si="8"/>
        <v>0</v>
      </c>
      <c r="P129" s="313">
        <f>'Production cost'!$P253</f>
        <v>0</v>
      </c>
      <c r="Q129" s="313">
        <f t="shared" si="12"/>
        <v>0</v>
      </c>
      <c r="R129" s="313">
        <f t="shared" si="15"/>
        <v>0</v>
      </c>
      <c r="S129" s="1741">
        <f t="shared" si="16"/>
        <v>0</v>
      </c>
      <c r="T129" s="313" t="str">
        <f>'Production cost'!T253</f>
        <v>N</v>
      </c>
      <c r="AK129" s="313"/>
      <c r="AL129" s="313"/>
      <c r="AM129" s="313"/>
      <c r="AO129" s="385"/>
      <c r="AP129" s="385"/>
      <c r="AQ129" s="385"/>
      <c r="AR129" s="1048"/>
      <c r="AS129" s="1054"/>
      <c r="AT129" s="392"/>
      <c r="AU129" s="392"/>
    </row>
    <row r="130" spans="1:47" ht="14.25" customHeight="1" outlineLevel="1">
      <c r="B130" s="1258" t="s">
        <v>173</v>
      </c>
      <c r="C130" s="313" t="str">
        <f>'Production cost'!$C254</f>
        <v>Test</v>
      </c>
      <c r="E130" s="363"/>
      <c r="F130" s="363" t="str">
        <f>'Production cost'!$F254</f>
        <v>N</v>
      </c>
      <c r="G130" s="363"/>
      <c r="H130" s="313">
        <f>IFERROR(IF($F130="PCS",$E$4,VLOOKUP($F130,'Proof cost'!$I$23:$X$55,2,0)),0)</f>
        <v>0</v>
      </c>
      <c r="I130" s="313">
        <f>'Production cost'!$I254</f>
        <v>2000</v>
      </c>
      <c r="J130" s="313" t="s">
        <v>5</v>
      </c>
      <c r="K130" s="360">
        <f>'Production cost'!$K254</f>
        <v>0</v>
      </c>
      <c r="L130" s="313">
        <f>'Production cost'!$L254</f>
        <v>3</v>
      </c>
      <c r="M130" s="391">
        <f>'Production cost'!$M254</f>
        <v>0</v>
      </c>
      <c r="N130" s="983">
        <f t="shared" si="8"/>
        <v>0</v>
      </c>
      <c r="P130" s="313">
        <f>'Production cost'!$P254</f>
        <v>0</v>
      </c>
      <c r="Q130" s="313">
        <f t="shared" si="12"/>
        <v>0</v>
      </c>
      <c r="R130" s="313">
        <f t="shared" si="15"/>
        <v>0</v>
      </c>
      <c r="S130" s="1741">
        <f t="shared" si="16"/>
        <v>0</v>
      </c>
      <c r="T130" s="313" t="str">
        <f>'Production cost'!T254</f>
        <v>N</v>
      </c>
      <c r="AK130" s="313"/>
      <c r="AL130" s="313"/>
      <c r="AM130" s="313"/>
      <c r="AO130" s="385"/>
      <c r="AP130" s="385"/>
      <c r="AQ130" s="385"/>
      <c r="AR130" s="1048"/>
      <c r="AS130" s="1054"/>
      <c r="AT130" s="392"/>
      <c r="AU130" s="392"/>
    </row>
    <row r="131" spans="1:47" ht="14.25" customHeight="1" outlineLevel="1">
      <c r="B131" s="1258" t="s">
        <v>173</v>
      </c>
      <c r="C131" s="313" t="str">
        <f>'Production cost'!$C255</f>
        <v>Test</v>
      </c>
      <c r="E131" s="363"/>
      <c r="F131" s="363" t="str">
        <f>'Production cost'!$F255</f>
        <v>N</v>
      </c>
      <c r="G131" s="363"/>
      <c r="H131" s="313">
        <f>IFERROR(IF($F131="PCS",$E$4,VLOOKUP($F131,'Proof cost'!$I$23:$X$55,2,0)),0)</f>
        <v>0</v>
      </c>
      <c r="I131" s="313">
        <f>'Production cost'!$I255</f>
        <v>2000</v>
      </c>
      <c r="J131" s="313" t="s">
        <v>5</v>
      </c>
      <c r="K131" s="360">
        <f>'Production cost'!$K255</f>
        <v>0</v>
      </c>
      <c r="L131" s="313">
        <f>'Production cost'!$L255</f>
        <v>3</v>
      </c>
      <c r="M131" s="391">
        <f>'Production cost'!$M255</f>
        <v>0</v>
      </c>
      <c r="N131" s="983">
        <f t="shared" si="8"/>
        <v>0</v>
      </c>
      <c r="P131" s="313">
        <f>'Production cost'!$P255</f>
        <v>0</v>
      </c>
      <c r="Q131" s="313">
        <f t="shared" si="12"/>
        <v>0</v>
      </c>
      <c r="R131" s="313">
        <f t="shared" si="15"/>
        <v>0</v>
      </c>
      <c r="S131" s="1741">
        <f t="shared" si="16"/>
        <v>0</v>
      </c>
      <c r="T131" s="313" t="str">
        <f>'Production cost'!T255</f>
        <v>N</v>
      </c>
      <c r="AK131" s="313"/>
      <c r="AL131" s="313"/>
      <c r="AM131" s="313"/>
      <c r="AO131" s="385"/>
      <c r="AP131" s="385"/>
      <c r="AQ131" s="385"/>
      <c r="AR131" s="1048"/>
      <c r="AS131" s="1054"/>
      <c r="AT131" s="392"/>
      <c r="AU131" s="392"/>
    </row>
    <row r="132" spans="1:47" ht="14.25" customHeight="1" outlineLevel="1">
      <c r="B132" s="1258" t="s">
        <v>173</v>
      </c>
      <c r="C132" s="313" t="str">
        <f>'Production cost'!$C256</f>
        <v>Test</v>
      </c>
      <c r="E132" s="363"/>
      <c r="F132" s="363" t="str">
        <f>'Production cost'!$F256</f>
        <v>N</v>
      </c>
      <c r="G132" s="363"/>
      <c r="H132" s="313">
        <f>IFERROR(IF($F132="PCS",$E$4,VLOOKUP($F132,'Proof cost'!$I$23:$X$55,2,0)),0)</f>
        <v>0</v>
      </c>
      <c r="I132" s="313">
        <f>'Production cost'!$I256</f>
        <v>2000</v>
      </c>
      <c r="J132" s="313" t="s">
        <v>5</v>
      </c>
      <c r="K132" s="360">
        <f>'Production cost'!$K256</f>
        <v>0</v>
      </c>
      <c r="L132" s="313">
        <f>'Production cost'!$L256</f>
        <v>3</v>
      </c>
      <c r="M132" s="391">
        <f>'Production cost'!$M256</f>
        <v>0</v>
      </c>
      <c r="N132" s="983">
        <f t="shared" si="8"/>
        <v>0</v>
      </c>
      <c r="P132" s="313">
        <f>'Production cost'!$P256</f>
        <v>0</v>
      </c>
      <c r="Q132" s="313">
        <f t="shared" si="12"/>
        <v>0</v>
      </c>
      <c r="R132" s="313">
        <f t="shared" si="15"/>
        <v>0</v>
      </c>
      <c r="S132" s="1741">
        <f t="shared" si="16"/>
        <v>0</v>
      </c>
      <c r="T132" s="313" t="str">
        <f>'Production cost'!T256</f>
        <v>N</v>
      </c>
      <c r="AK132" s="313"/>
      <c r="AL132" s="313"/>
      <c r="AM132" s="313"/>
      <c r="AO132" s="385"/>
      <c r="AP132" s="385"/>
      <c r="AQ132" s="385"/>
      <c r="AR132" s="1048"/>
      <c r="AS132" s="1054"/>
      <c r="AT132" s="392"/>
      <c r="AU132" s="392"/>
    </row>
    <row r="133" spans="1:47" ht="14.25" customHeight="1" outlineLevel="1">
      <c r="B133" s="1259" t="s">
        <v>173</v>
      </c>
      <c r="C133" s="1260" t="str">
        <f>'Production cost'!$C257</f>
        <v>Test</v>
      </c>
      <c r="D133" s="1260"/>
      <c r="E133" s="2158"/>
      <c r="F133" s="2158" t="str">
        <f>'Production cost'!$F257</f>
        <v>N</v>
      </c>
      <c r="G133" s="2158"/>
      <c r="H133" s="1260">
        <f>IFERROR(IF($F133="PCS",$E$4,VLOOKUP($F133,'Proof cost'!$I$23:$X$55,2,0)),0)</f>
        <v>0</v>
      </c>
      <c r="I133" s="1260">
        <f>'Production cost'!$I257</f>
        <v>2000</v>
      </c>
      <c r="J133" s="1260" t="s">
        <v>5</v>
      </c>
      <c r="K133" s="2159">
        <f>'Production cost'!$K257</f>
        <v>0</v>
      </c>
      <c r="L133" s="1260">
        <f>'Production cost'!$L257</f>
        <v>3</v>
      </c>
      <c r="M133" s="2160">
        <f>'Production cost'!$M257</f>
        <v>0</v>
      </c>
      <c r="N133" s="2161">
        <f t="shared" si="8"/>
        <v>0</v>
      </c>
      <c r="O133" s="1260"/>
      <c r="P133" s="1260">
        <f>'Production cost'!$P257</f>
        <v>0</v>
      </c>
      <c r="Q133" s="1260">
        <f t="shared" si="12"/>
        <v>0</v>
      </c>
      <c r="R133" s="1260">
        <f t="shared" si="15"/>
        <v>0</v>
      </c>
      <c r="S133" s="2162">
        <f t="shared" si="16"/>
        <v>0</v>
      </c>
      <c r="T133" s="313" t="str">
        <f>'Production cost'!T257</f>
        <v>N</v>
      </c>
      <c r="AK133" s="313"/>
      <c r="AL133" s="313"/>
      <c r="AM133" s="313"/>
      <c r="AO133" s="385"/>
      <c r="AP133" s="385"/>
      <c r="AQ133" s="385"/>
      <c r="AR133" s="1048"/>
      <c r="AS133" s="1054"/>
      <c r="AT133" s="392"/>
      <c r="AU133" s="392"/>
    </row>
    <row r="134" spans="1:47" ht="14.25" customHeight="1">
      <c r="E134" s="363"/>
      <c r="F134" s="384"/>
      <c r="G134" s="363"/>
      <c r="M134" s="391"/>
      <c r="N134" s="391"/>
      <c r="AK134" s="313"/>
      <c r="AL134" s="313"/>
      <c r="AM134" s="313"/>
      <c r="AO134" s="385"/>
      <c r="AP134" s="385"/>
      <c r="AQ134" s="385"/>
      <c r="AR134" s="1048"/>
      <c r="AS134" s="1054"/>
      <c r="AT134" s="392"/>
      <c r="AU134" s="392"/>
    </row>
    <row r="135" spans="1:47" ht="14.25" customHeight="1">
      <c r="B135" s="1269"/>
      <c r="C135" s="385"/>
      <c r="G135" s="1270"/>
      <c r="N135" s="391"/>
      <c r="S135" s="363"/>
      <c r="AK135" s="313"/>
      <c r="AL135" s="313"/>
      <c r="AM135" s="313"/>
      <c r="AO135" s="385"/>
      <c r="AP135" s="385"/>
      <c r="AQ135" s="385"/>
      <c r="AR135" s="1048"/>
      <c r="AS135" s="1054"/>
      <c r="AT135" s="392"/>
      <c r="AU135" s="392"/>
    </row>
    <row r="136" spans="1:47" ht="14.25" customHeight="1">
      <c r="A136" s="1269" t="s">
        <v>145</v>
      </c>
      <c r="B136" s="1255" t="s">
        <v>29</v>
      </c>
      <c r="C136" s="1256" t="str">
        <f>'Production cost'!$C260</f>
        <v>Die-cutting (NIKKO 1050FH)</v>
      </c>
      <c r="D136" s="1256"/>
      <c r="E136" s="2144"/>
      <c r="F136" s="2144" t="str">
        <f ca="1">'Production cost'!$F260</f>
        <v>Box</v>
      </c>
      <c r="G136" s="2144"/>
      <c r="H136" s="1256">
        <f ca="1">IFERROR(IF($F136="PCS",$E$4,VLOOKUP($F136,'Proof cost'!$I$23:$X$55,2,0)),0)</f>
        <v>800</v>
      </c>
      <c r="I136" s="1256" t="str">
        <f ca="1">'Production cost'!$I260</f>
        <v>3500</v>
      </c>
      <c r="J136" s="1256" t="s">
        <v>5</v>
      </c>
      <c r="K136" s="2145">
        <f>'Production cost'!$K260</f>
        <v>0.25</v>
      </c>
      <c r="L136" s="1256" t="str">
        <f ca="1">'Production cost'!$L260</f>
        <v>2</v>
      </c>
      <c r="M136" s="2146">
        <f ca="1">'Production cost'!$M260</f>
        <v>0.66666666666666663</v>
      </c>
      <c r="N136" s="2152">
        <f t="shared" ref="N136:N170" ca="1" si="17">IF(H136&gt;0,ROUNDUP(((H136/I136)/$M$5+M136),1),0)</f>
        <v>1</v>
      </c>
      <c r="O136" s="1256">
        <f>'Production cost'!$O260</f>
        <v>352574.32240985788</v>
      </c>
      <c r="P136" s="1256">
        <f>'Production cost'!$P260</f>
        <v>64593.240854333337</v>
      </c>
      <c r="Q136" s="1256">
        <f t="shared" ref="Q136:Q170" ca="1" si="18">(N136*O136*K136+N136*P136*L136)*(1+$R$312)</f>
        <v>217330.06231113116</v>
      </c>
      <c r="R136" s="1256">
        <f ca="1">IF($E$2&gt;0,Q136/$E$2,0)</f>
        <v>1207.3892350618398</v>
      </c>
      <c r="S136" s="1257">
        <f ca="1">IF(M136&gt;0,K136*O136+L136*P136,0)</f>
        <v>217330.06231113116</v>
      </c>
      <c r="T136" s="313" t="str">
        <f ca="1">'Production cost'!T260</f>
        <v>Box</v>
      </c>
      <c r="AK136" s="313"/>
      <c r="AL136" s="313"/>
      <c r="AM136" s="313"/>
      <c r="AO136" s="1055"/>
      <c r="AP136" s="385"/>
      <c r="AQ136" s="385"/>
      <c r="AR136" s="1048"/>
      <c r="AS136" s="1054"/>
      <c r="AT136" s="392"/>
      <c r="AU136" s="392"/>
    </row>
    <row r="137" spans="1:47" ht="14.25" customHeight="1" outlineLevel="1">
      <c r="A137" s="1269"/>
      <c r="B137" s="1258" t="s">
        <v>29</v>
      </c>
      <c r="C137" s="313" t="str">
        <f>'Production cost'!$C261</f>
        <v>Die-cutting (NIKKO 1050FH)</v>
      </c>
      <c r="E137" s="363"/>
      <c r="F137" s="363" t="str">
        <f ca="1">'Production cost'!$F261</f>
        <v>N</v>
      </c>
      <c r="G137" s="363"/>
      <c r="H137" s="313">
        <f ca="1">IFERROR(IF($F137="PCS",$E$4,VLOOKUP($F137,'Proof cost'!$I$23:$X$55,2,0)),0)</f>
        <v>0</v>
      </c>
      <c r="I137" s="313">
        <f ca="1">'Production cost'!$I261</f>
        <v>3000</v>
      </c>
      <c r="J137" s="313" t="s">
        <v>5</v>
      </c>
      <c r="K137" s="360">
        <f>'Production cost'!$K261</f>
        <v>0.25</v>
      </c>
      <c r="L137" s="313">
        <f ca="1">'Production cost'!$L261</f>
        <v>2</v>
      </c>
      <c r="M137" s="391">
        <f ca="1">'Production cost'!$M261</f>
        <v>0</v>
      </c>
      <c r="N137" s="983">
        <f t="shared" ca="1" si="17"/>
        <v>0</v>
      </c>
      <c r="O137" s="313">
        <f>'Production cost'!$O261</f>
        <v>352574.32240985788</v>
      </c>
      <c r="P137" s="313">
        <f>'Production cost'!$P261</f>
        <v>64593.240854333337</v>
      </c>
      <c r="Q137" s="313">
        <f t="shared" ca="1" si="18"/>
        <v>0</v>
      </c>
      <c r="R137" s="313">
        <f t="shared" ref="R137:R165" ca="1" si="19">IF($E$2&gt;0,Q137/$E$2,0)</f>
        <v>0</v>
      </c>
      <c r="S137" s="1741">
        <f t="shared" ref="S137:S165" ca="1" si="20">IF(M137&gt;0,K137*O137+L137*P137,0)</f>
        <v>0</v>
      </c>
      <c r="T137" s="313" t="str">
        <f ca="1">'Production cost'!T261</f>
        <v>N</v>
      </c>
      <c r="AK137" s="313"/>
      <c r="AL137" s="313"/>
      <c r="AM137" s="313"/>
      <c r="AO137" s="1055"/>
      <c r="AP137" s="385"/>
      <c r="AQ137" s="385"/>
      <c r="AR137" s="1048"/>
      <c r="AS137" s="1054"/>
      <c r="AT137" s="392"/>
      <c r="AU137" s="392"/>
    </row>
    <row r="138" spans="1:47" ht="14.25" customHeight="1" outlineLevel="1">
      <c r="A138" s="1269"/>
      <c r="B138" s="1258" t="s">
        <v>29</v>
      </c>
      <c r="C138" s="313" t="str">
        <f>'Production cost'!$C262</f>
        <v>Die-cutting (NIKKO 1050FH)</v>
      </c>
      <c r="E138" s="363"/>
      <c r="F138" s="363" t="str">
        <f ca="1">'Production cost'!$F262</f>
        <v>N</v>
      </c>
      <c r="G138" s="363"/>
      <c r="H138" s="313">
        <f ca="1">IFERROR(IF($F138="PCS",$E$4,VLOOKUP($F138,'Proof cost'!$I$23:$X$55,2,0)),0)</f>
        <v>0</v>
      </c>
      <c r="I138" s="313">
        <f ca="1">'Production cost'!$I262</f>
        <v>3000</v>
      </c>
      <c r="J138" s="313" t="s">
        <v>5</v>
      </c>
      <c r="K138" s="360">
        <f>'Production cost'!$K262</f>
        <v>0.25</v>
      </c>
      <c r="L138" s="313">
        <f ca="1">'Production cost'!$L262</f>
        <v>2</v>
      </c>
      <c r="M138" s="391">
        <f ca="1">'Production cost'!$M262</f>
        <v>0</v>
      </c>
      <c r="N138" s="983">
        <f t="shared" ca="1" si="17"/>
        <v>0</v>
      </c>
      <c r="O138" s="313">
        <f>'Production cost'!$O262</f>
        <v>352574.32240985788</v>
      </c>
      <c r="P138" s="313">
        <f>'Production cost'!$P262</f>
        <v>64593.240854333337</v>
      </c>
      <c r="Q138" s="313">
        <f t="shared" ca="1" si="18"/>
        <v>0</v>
      </c>
      <c r="R138" s="313">
        <f t="shared" ca="1" si="19"/>
        <v>0</v>
      </c>
      <c r="S138" s="1741">
        <f t="shared" ca="1" si="20"/>
        <v>0</v>
      </c>
      <c r="T138" s="313" t="str">
        <f ca="1">'Production cost'!T262</f>
        <v>N</v>
      </c>
      <c r="AK138" s="313"/>
      <c r="AL138" s="313"/>
      <c r="AM138" s="313"/>
      <c r="AO138" s="1055"/>
      <c r="AP138" s="385"/>
      <c r="AQ138" s="385"/>
      <c r="AR138" s="1048"/>
      <c r="AS138" s="1054"/>
      <c r="AT138" s="392"/>
      <c r="AU138" s="392"/>
    </row>
    <row r="139" spans="1:47" ht="14.25" customHeight="1" outlineLevel="1">
      <c r="A139" s="1269"/>
      <c r="B139" s="1258" t="s">
        <v>29</v>
      </c>
      <c r="C139" s="313" t="str">
        <f>'Production cost'!$C263</f>
        <v>Die-cutting (NIKKO 1050FH)</v>
      </c>
      <c r="E139" s="363"/>
      <c r="F139" s="363" t="str">
        <f ca="1">'Production cost'!$F263</f>
        <v>N</v>
      </c>
      <c r="G139" s="363"/>
      <c r="H139" s="313">
        <f ca="1">IFERROR(IF($F139="PCS",$E$4,VLOOKUP($F139,'Proof cost'!$I$23:$X$55,2,0)),0)</f>
        <v>0</v>
      </c>
      <c r="I139" s="313">
        <f ca="1">'Production cost'!$I263</f>
        <v>3000</v>
      </c>
      <c r="J139" s="313" t="s">
        <v>5</v>
      </c>
      <c r="K139" s="360">
        <f>'Production cost'!$K263</f>
        <v>0.25</v>
      </c>
      <c r="L139" s="313">
        <f ca="1">'Production cost'!$L263</f>
        <v>2</v>
      </c>
      <c r="M139" s="391">
        <f ca="1">'Production cost'!$M263</f>
        <v>0</v>
      </c>
      <c r="N139" s="983">
        <f t="shared" ca="1" si="17"/>
        <v>0</v>
      </c>
      <c r="O139" s="313">
        <f>'Production cost'!$O263</f>
        <v>352574.32240985788</v>
      </c>
      <c r="P139" s="313">
        <f>'Production cost'!$P263</f>
        <v>64593.240854333337</v>
      </c>
      <c r="Q139" s="313">
        <f t="shared" ca="1" si="18"/>
        <v>0</v>
      </c>
      <c r="R139" s="313">
        <f t="shared" ca="1" si="19"/>
        <v>0</v>
      </c>
      <c r="S139" s="1741">
        <f t="shared" ca="1" si="20"/>
        <v>0</v>
      </c>
      <c r="T139" s="313" t="str">
        <f ca="1">'Production cost'!T263</f>
        <v>N</v>
      </c>
      <c r="AK139" s="313"/>
      <c r="AL139" s="313"/>
      <c r="AM139" s="313"/>
      <c r="AO139" s="1055"/>
      <c r="AP139" s="385"/>
      <c r="AQ139" s="385"/>
      <c r="AR139" s="1048"/>
      <c r="AS139" s="1054"/>
      <c r="AT139" s="392"/>
      <c r="AU139" s="392"/>
    </row>
    <row r="140" spans="1:47" ht="14.25" customHeight="1" outlineLevel="1">
      <c r="A140" s="1269"/>
      <c r="B140" s="1258" t="s">
        <v>29</v>
      </c>
      <c r="C140" s="313" t="str">
        <f>'Production cost'!$C264</f>
        <v>Die-cutting (NIKKO 1050FH)</v>
      </c>
      <c r="E140" s="363"/>
      <c r="F140" s="363" t="str">
        <f ca="1">'Production cost'!$F264</f>
        <v>N</v>
      </c>
      <c r="G140" s="363"/>
      <c r="H140" s="313">
        <f ca="1">IFERROR(IF($F140="PCS",$E$4,VLOOKUP($F140,'Proof cost'!$I$23:$X$55,2,0)),0)</f>
        <v>0</v>
      </c>
      <c r="I140" s="313">
        <f ca="1">'Production cost'!$I264</f>
        <v>3000</v>
      </c>
      <c r="J140" s="313" t="s">
        <v>5</v>
      </c>
      <c r="K140" s="360">
        <f>'Production cost'!$K264</f>
        <v>0.25</v>
      </c>
      <c r="L140" s="313">
        <f ca="1">'Production cost'!$L264</f>
        <v>2</v>
      </c>
      <c r="M140" s="391">
        <f ca="1">'Production cost'!$M264</f>
        <v>0</v>
      </c>
      <c r="N140" s="983">
        <f t="shared" ca="1" si="17"/>
        <v>0</v>
      </c>
      <c r="O140" s="313">
        <f>'Production cost'!$O264</f>
        <v>352574.32240985788</v>
      </c>
      <c r="P140" s="313">
        <f>'Production cost'!$P264</f>
        <v>64593.240854333337</v>
      </c>
      <c r="Q140" s="313">
        <f t="shared" ca="1" si="18"/>
        <v>0</v>
      </c>
      <c r="R140" s="313">
        <f t="shared" ca="1" si="19"/>
        <v>0</v>
      </c>
      <c r="S140" s="1741">
        <f t="shared" ca="1" si="20"/>
        <v>0</v>
      </c>
      <c r="T140" s="313" t="str">
        <f ca="1">'Production cost'!T264</f>
        <v>N</v>
      </c>
      <c r="AK140" s="313"/>
      <c r="AL140" s="313"/>
      <c r="AM140" s="313"/>
      <c r="AO140" s="1055"/>
      <c r="AP140" s="385"/>
      <c r="AQ140" s="385"/>
      <c r="AR140" s="1048"/>
      <c r="AS140" s="1054"/>
      <c r="AT140" s="392"/>
      <c r="AU140" s="392"/>
    </row>
    <row r="141" spans="1:47" ht="14.25" customHeight="1" outlineLevel="1">
      <c r="A141" s="1269"/>
      <c r="B141" s="1258" t="s">
        <v>29</v>
      </c>
      <c r="C141" s="313" t="str">
        <f>'Production cost'!$C265</f>
        <v>Die-cutting (NIKKO 1050FH)</v>
      </c>
      <c r="E141" s="363"/>
      <c r="F141" s="363" t="str">
        <f ca="1">'Production cost'!$F265</f>
        <v>N</v>
      </c>
      <c r="G141" s="363"/>
      <c r="H141" s="313">
        <f ca="1">IFERROR(IF($F141="PCS",$E$4,VLOOKUP($F141,'Proof cost'!$I$23:$X$55,2,0)),0)</f>
        <v>0</v>
      </c>
      <c r="I141" s="313">
        <f ca="1">'Production cost'!$I265</f>
        <v>3000</v>
      </c>
      <c r="J141" s="313" t="s">
        <v>5</v>
      </c>
      <c r="K141" s="360">
        <f>'Production cost'!$K265</f>
        <v>0.25</v>
      </c>
      <c r="L141" s="313">
        <f ca="1">'Production cost'!$L265</f>
        <v>2</v>
      </c>
      <c r="M141" s="391">
        <f ca="1">'Production cost'!$M265</f>
        <v>0</v>
      </c>
      <c r="N141" s="983">
        <f t="shared" ca="1" si="17"/>
        <v>0</v>
      </c>
      <c r="O141" s="313">
        <f>'Production cost'!$O265</f>
        <v>352574.32240985788</v>
      </c>
      <c r="P141" s="313">
        <f>'Production cost'!$P265</f>
        <v>64593.240854333337</v>
      </c>
      <c r="Q141" s="313">
        <f t="shared" ca="1" si="18"/>
        <v>0</v>
      </c>
      <c r="R141" s="313">
        <f t="shared" ca="1" si="19"/>
        <v>0</v>
      </c>
      <c r="S141" s="1741">
        <f t="shared" ca="1" si="20"/>
        <v>0</v>
      </c>
      <c r="T141" s="313" t="str">
        <f ca="1">'Production cost'!T265</f>
        <v>N</v>
      </c>
      <c r="AK141" s="313"/>
      <c r="AL141" s="313"/>
      <c r="AM141" s="313"/>
      <c r="AO141" s="1055"/>
      <c r="AP141" s="385"/>
      <c r="AQ141" s="385"/>
      <c r="AR141" s="1048"/>
      <c r="AS141" s="1054"/>
      <c r="AT141" s="392"/>
      <c r="AU141" s="392"/>
    </row>
    <row r="142" spans="1:47" ht="14.25" customHeight="1" outlineLevel="1">
      <c r="A142" s="1269"/>
      <c r="B142" s="1258" t="s">
        <v>29</v>
      </c>
      <c r="C142" s="313" t="str">
        <f>'Production cost'!$C266</f>
        <v>Die-cutting (NIKKO 1050FH)</v>
      </c>
      <c r="E142" s="363"/>
      <c r="F142" s="363" t="str">
        <f ca="1">'Production cost'!$F266</f>
        <v>N</v>
      </c>
      <c r="G142" s="363"/>
      <c r="H142" s="313">
        <f ca="1">IFERROR(IF($F142="PCS",$E$4,VLOOKUP($F142,'Proof cost'!$I$23:$X$55,2,0)),0)</f>
        <v>0</v>
      </c>
      <c r="I142" s="313">
        <f ca="1">'Production cost'!$I266</f>
        <v>3000</v>
      </c>
      <c r="J142" s="313" t="s">
        <v>5</v>
      </c>
      <c r="K142" s="360">
        <f>'Production cost'!$K266</f>
        <v>0.25</v>
      </c>
      <c r="L142" s="313">
        <f ca="1">'Production cost'!$L266</f>
        <v>2</v>
      </c>
      <c r="M142" s="391">
        <f ca="1">'Production cost'!$M266</f>
        <v>0</v>
      </c>
      <c r="N142" s="983">
        <f t="shared" ca="1" si="17"/>
        <v>0</v>
      </c>
      <c r="O142" s="313">
        <f>'Production cost'!$O266</f>
        <v>352574.32240985788</v>
      </c>
      <c r="P142" s="313">
        <f>'Production cost'!$P266</f>
        <v>64593.240854333337</v>
      </c>
      <c r="Q142" s="313">
        <f t="shared" ca="1" si="18"/>
        <v>0</v>
      </c>
      <c r="R142" s="313">
        <f t="shared" ca="1" si="19"/>
        <v>0</v>
      </c>
      <c r="S142" s="1741">
        <f t="shared" ca="1" si="20"/>
        <v>0</v>
      </c>
      <c r="T142" s="313" t="str">
        <f ca="1">'Production cost'!T266</f>
        <v>N</v>
      </c>
      <c r="AK142" s="313"/>
      <c r="AL142" s="313"/>
      <c r="AM142" s="313"/>
      <c r="AO142" s="1055"/>
      <c r="AP142" s="385"/>
      <c r="AQ142" s="385"/>
      <c r="AR142" s="1048"/>
      <c r="AS142" s="1054"/>
      <c r="AT142" s="392"/>
      <c r="AU142" s="392"/>
    </row>
    <row r="143" spans="1:47" ht="14.25" customHeight="1" outlineLevel="1">
      <c r="A143" s="1269"/>
      <c r="B143" s="1258" t="s">
        <v>29</v>
      </c>
      <c r="C143" s="313" t="str">
        <f>'Production cost'!$C267</f>
        <v>Die-cutting (NIKKO 1050FH)</v>
      </c>
      <c r="E143" s="363"/>
      <c r="F143" s="363" t="str">
        <f ca="1">'Production cost'!$F267</f>
        <v>N</v>
      </c>
      <c r="G143" s="363"/>
      <c r="H143" s="313">
        <f ca="1">IFERROR(IF($F143="PCS",$E$4,VLOOKUP($F143,'Proof cost'!$I$23:$X$55,2,0)),0)</f>
        <v>0</v>
      </c>
      <c r="I143" s="313">
        <f ca="1">'Production cost'!$I267</f>
        <v>3000</v>
      </c>
      <c r="J143" s="313" t="s">
        <v>5</v>
      </c>
      <c r="K143" s="360">
        <f>'Production cost'!$K267</f>
        <v>0.25</v>
      </c>
      <c r="L143" s="313">
        <f ca="1">'Production cost'!$L267</f>
        <v>2</v>
      </c>
      <c r="M143" s="391">
        <f ca="1">'Production cost'!$M267</f>
        <v>0</v>
      </c>
      <c r="N143" s="983">
        <f t="shared" ca="1" si="17"/>
        <v>0</v>
      </c>
      <c r="O143" s="313">
        <f>'Production cost'!$O267</f>
        <v>352574.32240985788</v>
      </c>
      <c r="P143" s="313">
        <f>'Production cost'!$P267</f>
        <v>64593.240854333337</v>
      </c>
      <c r="Q143" s="313">
        <f t="shared" ca="1" si="18"/>
        <v>0</v>
      </c>
      <c r="R143" s="313">
        <f t="shared" ca="1" si="19"/>
        <v>0</v>
      </c>
      <c r="S143" s="1741">
        <f t="shared" ca="1" si="20"/>
        <v>0</v>
      </c>
      <c r="T143" s="313" t="str">
        <f ca="1">'Production cost'!T267</f>
        <v>N</v>
      </c>
      <c r="AK143" s="313"/>
      <c r="AL143" s="313"/>
      <c r="AM143" s="313"/>
      <c r="AO143" s="1055"/>
      <c r="AP143" s="385"/>
      <c r="AQ143" s="385"/>
      <c r="AR143" s="1048"/>
      <c r="AS143" s="1054"/>
      <c r="AT143" s="392"/>
      <c r="AU143" s="392"/>
    </row>
    <row r="144" spans="1:47" ht="14.25" customHeight="1" outlineLevel="1">
      <c r="A144" s="1269"/>
      <c r="B144" s="1258" t="s">
        <v>29</v>
      </c>
      <c r="C144" s="313" t="str">
        <f>'Production cost'!$C268</f>
        <v>Die-cutting (NIKKO 1050FH)</v>
      </c>
      <c r="E144" s="363"/>
      <c r="F144" s="363" t="str">
        <f ca="1">'Production cost'!$F268</f>
        <v>N</v>
      </c>
      <c r="G144" s="363"/>
      <c r="H144" s="313">
        <f ca="1">IFERROR(IF($F144="PCS",$E$4,VLOOKUP($F144,'Proof cost'!$I$23:$X$55,2,0)),0)</f>
        <v>0</v>
      </c>
      <c r="I144" s="313">
        <f ca="1">'Production cost'!$I268</f>
        <v>3000</v>
      </c>
      <c r="J144" s="313" t="s">
        <v>5</v>
      </c>
      <c r="K144" s="360">
        <f>'Production cost'!$K268</f>
        <v>0.25</v>
      </c>
      <c r="L144" s="313">
        <f ca="1">'Production cost'!$L268</f>
        <v>2</v>
      </c>
      <c r="M144" s="391">
        <f ca="1">'Production cost'!$M268</f>
        <v>0</v>
      </c>
      <c r="N144" s="983">
        <f t="shared" ca="1" si="17"/>
        <v>0</v>
      </c>
      <c r="O144" s="313">
        <f>'Production cost'!$O268</f>
        <v>352574.32240985788</v>
      </c>
      <c r="P144" s="313">
        <f>'Production cost'!$P268</f>
        <v>64593.240854333337</v>
      </c>
      <c r="Q144" s="313">
        <f t="shared" ca="1" si="18"/>
        <v>0</v>
      </c>
      <c r="R144" s="313">
        <f t="shared" ca="1" si="19"/>
        <v>0</v>
      </c>
      <c r="S144" s="1741">
        <f t="shared" ca="1" si="20"/>
        <v>0</v>
      </c>
      <c r="T144" s="313" t="str">
        <f ca="1">'Production cost'!T268</f>
        <v>N</v>
      </c>
      <c r="AK144" s="313"/>
      <c r="AL144" s="313"/>
      <c r="AM144" s="313"/>
      <c r="AO144" s="1055"/>
      <c r="AP144" s="385"/>
      <c r="AQ144" s="385"/>
      <c r="AR144" s="1048"/>
      <c r="AS144" s="1054"/>
      <c r="AT144" s="392"/>
      <c r="AU144" s="392"/>
    </row>
    <row r="145" spans="1:47" ht="14.25" customHeight="1" outlineLevel="1">
      <c r="A145" s="1269"/>
      <c r="B145" s="1258" t="s">
        <v>29</v>
      </c>
      <c r="C145" s="313" t="str">
        <f>'Production cost'!$C269</f>
        <v>Die-cutting (NIKKO 1050FH)</v>
      </c>
      <c r="E145" s="363"/>
      <c r="F145" s="363" t="str">
        <f ca="1">'Production cost'!$F269</f>
        <v>N</v>
      </c>
      <c r="G145" s="363"/>
      <c r="H145" s="313">
        <f ca="1">IFERROR(IF($F145="PCS",$E$4,VLOOKUP($F145,'Proof cost'!$I$23:$X$55,2,0)),0)</f>
        <v>0</v>
      </c>
      <c r="I145" s="313">
        <f ca="1">'Production cost'!$I269</f>
        <v>3000</v>
      </c>
      <c r="J145" s="313" t="s">
        <v>5</v>
      </c>
      <c r="K145" s="360">
        <f>'Production cost'!$K269</f>
        <v>0.25</v>
      </c>
      <c r="L145" s="313">
        <f ca="1">'Production cost'!$L269</f>
        <v>2</v>
      </c>
      <c r="M145" s="391">
        <f ca="1">'Production cost'!$M269</f>
        <v>0</v>
      </c>
      <c r="N145" s="983">
        <f t="shared" ca="1" si="17"/>
        <v>0</v>
      </c>
      <c r="O145" s="313">
        <f>'Production cost'!$O269</f>
        <v>352574.32240985788</v>
      </c>
      <c r="P145" s="313">
        <f>'Production cost'!$P269</f>
        <v>64593.240854333337</v>
      </c>
      <c r="Q145" s="313">
        <f t="shared" ca="1" si="18"/>
        <v>0</v>
      </c>
      <c r="R145" s="313">
        <f t="shared" ca="1" si="19"/>
        <v>0</v>
      </c>
      <c r="S145" s="1741">
        <f t="shared" ca="1" si="20"/>
        <v>0</v>
      </c>
      <c r="T145" s="313" t="str">
        <f ca="1">'Production cost'!T269</f>
        <v>N</v>
      </c>
      <c r="AK145" s="313"/>
      <c r="AL145" s="313"/>
      <c r="AM145" s="313"/>
      <c r="AO145" s="1055"/>
      <c r="AP145" s="385"/>
      <c r="AQ145" s="385"/>
      <c r="AR145" s="1048"/>
      <c r="AS145" s="1054"/>
      <c r="AT145" s="392"/>
      <c r="AU145" s="392"/>
    </row>
    <row r="146" spans="1:47" ht="14.25" customHeight="1" outlineLevel="1">
      <c r="B146" s="1258" t="s">
        <v>29</v>
      </c>
      <c r="C146" s="313" t="str">
        <f>'Production cost'!$C278</f>
        <v>Die-cutting (Semi-auto)</v>
      </c>
      <c r="E146" s="363"/>
      <c r="F146" s="363" t="str">
        <f ca="1">'Production cost'!$F278</f>
        <v>N</v>
      </c>
      <c r="G146" s="363"/>
      <c r="H146" s="313">
        <f ca="1">IFERROR(IF($F146="PCS",$E$4,VLOOKUP($F146,'Proof cost'!$I$23:$X$55,2,0)),0)</f>
        <v>0</v>
      </c>
      <c r="I146" s="313">
        <f ca="1">'Production cost'!$I278</f>
        <v>500</v>
      </c>
      <c r="J146" s="313" t="s">
        <v>5</v>
      </c>
      <c r="K146" s="360">
        <f>'Production cost'!$K278</f>
        <v>0</v>
      </c>
      <c r="L146" s="313">
        <f ca="1">'Production cost'!$L278</f>
        <v>2</v>
      </c>
      <c r="M146" s="391">
        <f ca="1">'Production cost'!$M278</f>
        <v>0</v>
      </c>
      <c r="N146" s="983">
        <f t="shared" ca="1" si="17"/>
        <v>0</v>
      </c>
      <c r="O146" s="313">
        <f>'Production cost'!$O278</f>
        <v>0</v>
      </c>
      <c r="P146" s="313">
        <f>'Production cost'!$P278</f>
        <v>64593.240854333337</v>
      </c>
      <c r="Q146" s="313">
        <f t="shared" ca="1" si="18"/>
        <v>0</v>
      </c>
      <c r="R146" s="313">
        <f t="shared" ca="1" si="19"/>
        <v>0</v>
      </c>
      <c r="S146" s="1741">
        <f t="shared" ca="1" si="20"/>
        <v>0</v>
      </c>
      <c r="T146" s="313" t="str">
        <f ca="1">'Production cost'!T278</f>
        <v>N</v>
      </c>
      <c r="AK146" s="313"/>
      <c r="AL146" s="313"/>
      <c r="AM146" s="313"/>
      <c r="AO146" s="1055"/>
      <c r="AP146" s="385"/>
      <c r="AQ146" s="385"/>
      <c r="AR146" s="1048"/>
      <c r="AS146" s="385"/>
      <c r="AT146" s="392"/>
      <c r="AU146" s="392"/>
    </row>
    <row r="147" spans="1:47" ht="14.25" customHeight="1" outlineLevel="1">
      <c r="B147" s="1258" t="s">
        <v>29</v>
      </c>
      <c r="C147" s="313" t="str">
        <f>'Production cost'!$C279</f>
        <v>Die-cutting (Semi-auto)</v>
      </c>
      <c r="E147" s="363"/>
      <c r="F147" s="363" t="str">
        <f ca="1">'Production cost'!$F279</f>
        <v>N</v>
      </c>
      <c r="G147" s="363"/>
      <c r="H147" s="313">
        <f ca="1">IFERROR(IF($F147="PCS",$E$4,VLOOKUP($F147,'Proof cost'!$I$23:$X$55,2,0)),0)</f>
        <v>0</v>
      </c>
      <c r="I147" s="313">
        <f ca="1">'Production cost'!$I279</f>
        <v>500</v>
      </c>
      <c r="J147" s="313" t="s">
        <v>5</v>
      </c>
      <c r="K147" s="360">
        <f>'Production cost'!$K279</f>
        <v>0</v>
      </c>
      <c r="L147" s="313">
        <f ca="1">'Production cost'!$L279</f>
        <v>2</v>
      </c>
      <c r="M147" s="391">
        <f ca="1">'Production cost'!$M279</f>
        <v>0</v>
      </c>
      <c r="N147" s="983">
        <f t="shared" ca="1" si="17"/>
        <v>0</v>
      </c>
      <c r="O147" s="313">
        <f>'Production cost'!$O279</f>
        <v>0</v>
      </c>
      <c r="P147" s="313">
        <f>'Production cost'!$P279</f>
        <v>64593.240854333337</v>
      </c>
      <c r="Q147" s="313">
        <f t="shared" ca="1" si="18"/>
        <v>0</v>
      </c>
      <c r="R147" s="313">
        <f t="shared" ca="1" si="19"/>
        <v>0</v>
      </c>
      <c r="S147" s="1741">
        <f t="shared" ca="1" si="20"/>
        <v>0</v>
      </c>
      <c r="T147" s="313" t="str">
        <f ca="1">'Production cost'!T279</f>
        <v>N</v>
      </c>
      <c r="AK147" s="313"/>
      <c r="AL147" s="313"/>
      <c r="AM147" s="313"/>
      <c r="AO147" s="1055"/>
      <c r="AP147" s="385"/>
      <c r="AQ147" s="385"/>
      <c r="AR147" s="1048"/>
      <c r="AS147" s="385"/>
      <c r="AT147" s="392"/>
      <c r="AU147" s="392"/>
    </row>
    <row r="148" spans="1:47" ht="14.25" customHeight="1" outlineLevel="1">
      <c r="B148" s="1258" t="s">
        <v>29</v>
      </c>
      <c r="C148" s="313" t="str">
        <f>'Production cost'!$C280</f>
        <v>Die-cutting (Semi-auto)</v>
      </c>
      <c r="E148" s="363"/>
      <c r="F148" s="363" t="str">
        <f ca="1">'Production cost'!$F280</f>
        <v>N</v>
      </c>
      <c r="G148" s="363"/>
      <c r="H148" s="313">
        <f ca="1">IFERROR(IF($F148="PCS",$E$4,VLOOKUP($F148,'Proof cost'!$I$23:$X$55,2,0)),0)</f>
        <v>0</v>
      </c>
      <c r="I148" s="313">
        <f ca="1">'Production cost'!$I280</f>
        <v>500</v>
      </c>
      <c r="J148" s="313" t="s">
        <v>5</v>
      </c>
      <c r="K148" s="360">
        <f>'Production cost'!$K280</f>
        <v>0</v>
      </c>
      <c r="L148" s="313">
        <f ca="1">'Production cost'!$L280</f>
        <v>2</v>
      </c>
      <c r="M148" s="391">
        <f ca="1">'Production cost'!$M280</f>
        <v>0</v>
      </c>
      <c r="N148" s="983">
        <f t="shared" ca="1" si="17"/>
        <v>0</v>
      </c>
      <c r="O148" s="313">
        <f>'Production cost'!$O280</f>
        <v>0</v>
      </c>
      <c r="P148" s="313">
        <f>'Production cost'!$P280</f>
        <v>64593.240854333337</v>
      </c>
      <c r="Q148" s="313">
        <f t="shared" ca="1" si="18"/>
        <v>0</v>
      </c>
      <c r="R148" s="313">
        <f t="shared" ca="1" si="19"/>
        <v>0</v>
      </c>
      <c r="S148" s="1741">
        <f t="shared" ca="1" si="20"/>
        <v>0</v>
      </c>
      <c r="T148" s="313" t="str">
        <f ca="1">'Production cost'!T280</f>
        <v>N</v>
      </c>
      <c r="AK148" s="313"/>
      <c r="AL148" s="313"/>
      <c r="AM148" s="313"/>
      <c r="AO148" s="1055"/>
      <c r="AP148" s="385"/>
      <c r="AQ148" s="385"/>
      <c r="AR148" s="1048"/>
      <c r="AS148" s="385"/>
      <c r="AT148" s="392"/>
      <c r="AU148" s="392"/>
    </row>
    <row r="149" spans="1:47" ht="14.25" customHeight="1" outlineLevel="1">
      <c r="B149" s="1258" t="s">
        <v>29</v>
      </c>
      <c r="C149" s="313" t="str">
        <f>'Production cost'!$C281</f>
        <v>Die-cutting (Semi-auto)</v>
      </c>
      <c r="E149" s="363"/>
      <c r="F149" s="363" t="str">
        <f ca="1">'Production cost'!$F281</f>
        <v>N</v>
      </c>
      <c r="G149" s="363"/>
      <c r="H149" s="313">
        <f ca="1">IFERROR(IF($F149="PCS",$E$4,VLOOKUP($F149,'Proof cost'!$I$23:$X$55,2,0)),0)</f>
        <v>0</v>
      </c>
      <c r="I149" s="313">
        <f ca="1">'Production cost'!$I281</f>
        <v>500</v>
      </c>
      <c r="J149" s="313" t="s">
        <v>5</v>
      </c>
      <c r="K149" s="360">
        <f>'Production cost'!$K281</f>
        <v>0</v>
      </c>
      <c r="L149" s="313">
        <f ca="1">'Production cost'!$L281</f>
        <v>2</v>
      </c>
      <c r="M149" s="391">
        <f ca="1">'Production cost'!$M281</f>
        <v>0</v>
      </c>
      <c r="N149" s="983">
        <f t="shared" ca="1" si="17"/>
        <v>0</v>
      </c>
      <c r="O149" s="313">
        <f>'Production cost'!$O281</f>
        <v>0</v>
      </c>
      <c r="P149" s="313">
        <f>'Production cost'!$P281</f>
        <v>64593.240854333337</v>
      </c>
      <c r="Q149" s="313">
        <f t="shared" ca="1" si="18"/>
        <v>0</v>
      </c>
      <c r="R149" s="313">
        <f t="shared" ca="1" si="19"/>
        <v>0</v>
      </c>
      <c r="S149" s="1741">
        <f t="shared" ca="1" si="20"/>
        <v>0</v>
      </c>
      <c r="T149" s="313" t="str">
        <f ca="1">'Production cost'!T281</f>
        <v>N</v>
      </c>
      <c r="AK149" s="313"/>
      <c r="AL149" s="313"/>
      <c r="AM149" s="313"/>
      <c r="AO149" s="1055"/>
      <c r="AP149" s="385"/>
      <c r="AQ149" s="385"/>
      <c r="AR149" s="1048"/>
      <c r="AS149" s="385"/>
      <c r="AT149" s="392"/>
      <c r="AU149" s="392"/>
    </row>
    <row r="150" spans="1:47" ht="14.25" customHeight="1" outlineLevel="1">
      <c r="B150" s="1258" t="s">
        <v>29</v>
      </c>
      <c r="C150" s="313" t="str">
        <f>'Production cost'!$C282</f>
        <v>Die-cutting (Semi-auto)</v>
      </c>
      <c r="E150" s="363"/>
      <c r="F150" s="363" t="str">
        <f ca="1">'Production cost'!$F282</f>
        <v>N</v>
      </c>
      <c r="G150" s="363"/>
      <c r="H150" s="313">
        <f ca="1">IFERROR(IF($F150="PCS",$E$4,VLOOKUP($F150,'Proof cost'!$I$23:$X$55,2,0)),0)</f>
        <v>0</v>
      </c>
      <c r="I150" s="313">
        <f ca="1">'Production cost'!$I282</f>
        <v>500</v>
      </c>
      <c r="J150" s="313" t="s">
        <v>5</v>
      </c>
      <c r="K150" s="360">
        <f>'Production cost'!$K282</f>
        <v>0</v>
      </c>
      <c r="L150" s="313">
        <f ca="1">'Production cost'!$L282</f>
        <v>2</v>
      </c>
      <c r="M150" s="391">
        <f ca="1">'Production cost'!$M282</f>
        <v>0</v>
      </c>
      <c r="N150" s="983">
        <f t="shared" ca="1" si="17"/>
        <v>0</v>
      </c>
      <c r="O150" s="313">
        <f>'Production cost'!$O282</f>
        <v>0</v>
      </c>
      <c r="P150" s="313">
        <f>'Production cost'!$P282</f>
        <v>64593.240854333337</v>
      </c>
      <c r="Q150" s="313">
        <f t="shared" ca="1" si="18"/>
        <v>0</v>
      </c>
      <c r="R150" s="313">
        <f t="shared" ca="1" si="19"/>
        <v>0</v>
      </c>
      <c r="S150" s="1741">
        <f t="shared" ca="1" si="20"/>
        <v>0</v>
      </c>
      <c r="T150" s="313" t="str">
        <f ca="1">'Production cost'!T282</f>
        <v>N</v>
      </c>
      <c r="AK150" s="313"/>
      <c r="AL150" s="313"/>
      <c r="AM150" s="313"/>
      <c r="AO150" s="1055"/>
      <c r="AP150" s="385"/>
      <c r="AQ150" s="385"/>
      <c r="AR150" s="1048"/>
      <c r="AS150" s="385"/>
      <c r="AT150" s="392"/>
      <c r="AU150" s="392"/>
    </row>
    <row r="151" spans="1:47" ht="14.25" customHeight="1" outlineLevel="1">
      <c r="B151" s="1258" t="s">
        <v>29</v>
      </c>
      <c r="C151" s="313" t="str">
        <f>'Production cost'!$C283</f>
        <v>Die-cutting (Semi-auto)</v>
      </c>
      <c r="E151" s="363"/>
      <c r="F151" s="363" t="str">
        <f ca="1">'Production cost'!$F283</f>
        <v>N</v>
      </c>
      <c r="G151" s="363"/>
      <c r="H151" s="313">
        <f ca="1">IFERROR(IF($F151="PCS",$E$4,VLOOKUP($F151,'Proof cost'!$I$23:$X$55,2,0)),0)</f>
        <v>0</v>
      </c>
      <c r="I151" s="313">
        <f ca="1">'Production cost'!$I283</f>
        <v>500</v>
      </c>
      <c r="J151" s="313" t="s">
        <v>5</v>
      </c>
      <c r="K151" s="360">
        <f>'Production cost'!$K283</f>
        <v>0</v>
      </c>
      <c r="L151" s="313">
        <f ca="1">'Production cost'!$L283</f>
        <v>2</v>
      </c>
      <c r="M151" s="391">
        <f ca="1">'Production cost'!$M283</f>
        <v>0</v>
      </c>
      <c r="N151" s="983">
        <f t="shared" ca="1" si="17"/>
        <v>0</v>
      </c>
      <c r="O151" s="313">
        <f>'Production cost'!$O283</f>
        <v>0</v>
      </c>
      <c r="P151" s="313">
        <f>'Production cost'!$P283</f>
        <v>64593.240854333337</v>
      </c>
      <c r="Q151" s="313">
        <f t="shared" ca="1" si="18"/>
        <v>0</v>
      </c>
      <c r="R151" s="313">
        <f t="shared" ca="1" si="19"/>
        <v>0</v>
      </c>
      <c r="S151" s="1741">
        <f t="shared" ca="1" si="20"/>
        <v>0</v>
      </c>
      <c r="T151" s="313" t="str">
        <f ca="1">'Production cost'!T283</f>
        <v>N</v>
      </c>
      <c r="AK151" s="313"/>
      <c r="AL151" s="313"/>
      <c r="AM151" s="313"/>
      <c r="AO151" s="1055"/>
      <c r="AP151" s="385"/>
      <c r="AQ151" s="385"/>
      <c r="AR151" s="1048"/>
      <c r="AS151" s="385"/>
      <c r="AT151" s="392"/>
      <c r="AU151" s="392"/>
    </row>
    <row r="152" spans="1:47" ht="14.25" customHeight="1" outlineLevel="1">
      <c r="B152" s="1258" t="s">
        <v>29</v>
      </c>
      <c r="C152" s="313" t="str">
        <f>'Production cost'!$C284</f>
        <v>Die-cutting (Semi-auto)</v>
      </c>
      <c r="E152" s="363"/>
      <c r="F152" s="363" t="str">
        <f ca="1">'Production cost'!$F284</f>
        <v>N</v>
      </c>
      <c r="G152" s="363"/>
      <c r="H152" s="313">
        <f ca="1">IFERROR(IF($F152="PCS",$E$4,VLOOKUP($F152,'Proof cost'!$I$23:$X$55,2,0)),0)</f>
        <v>0</v>
      </c>
      <c r="I152" s="313">
        <f ca="1">'Production cost'!$I284</f>
        <v>500</v>
      </c>
      <c r="J152" s="313" t="s">
        <v>5</v>
      </c>
      <c r="K152" s="360">
        <f>'Production cost'!$K284</f>
        <v>0</v>
      </c>
      <c r="L152" s="313">
        <f ca="1">'Production cost'!$L284</f>
        <v>2</v>
      </c>
      <c r="M152" s="391">
        <f ca="1">'Production cost'!$M284</f>
        <v>0</v>
      </c>
      <c r="N152" s="983">
        <f t="shared" ca="1" si="17"/>
        <v>0</v>
      </c>
      <c r="O152" s="313">
        <f>'Production cost'!$O284</f>
        <v>0</v>
      </c>
      <c r="P152" s="313">
        <f>'Production cost'!$P284</f>
        <v>64593.240854333337</v>
      </c>
      <c r="Q152" s="313">
        <f t="shared" ca="1" si="18"/>
        <v>0</v>
      </c>
      <c r="R152" s="313">
        <f t="shared" ca="1" si="19"/>
        <v>0</v>
      </c>
      <c r="S152" s="1741">
        <f t="shared" ca="1" si="20"/>
        <v>0</v>
      </c>
      <c r="T152" s="313" t="str">
        <f ca="1">'Production cost'!T284</f>
        <v>N</v>
      </c>
      <c r="AK152" s="313"/>
      <c r="AL152" s="313"/>
      <c r="AM152" s="313"/>
      <c r="AO152" s="1055"/>
      <c r="AP152" s="385"/>
      <c r="AQ152" s="385"/>
      <c r="AR152" s="1048"/>
      <c r="AS152" s="385"/>
      <c r="AT152" s="392"/>
      <c r="AU152" s="392"/>
    </row>
    <row r="153" spans="1:47" ht="14.25" customHeight="1" outlineLevel="1">
      <c r="B153" s="1258" t="s">
        <v>29</v>
      </c>
      <c r="C153" s="313" t="str">
        <f>'Production cost'!$C285</f>
        <v>Die-cutting (Semi-auto)</v>
      </c>
      <c r="E153" s="363"/>
      <c r="F153" s="363" t="str">
        <f ca="1">'Production cost'!$F285</f>
        <v>N</v>
      </c>
      <c r="G153" s="363"/>
      <c r="H153" s="313">
        <f ca="1">IFERROR(IF($F153="PCS",$E$4,VLOOKUP($F153,'Proof cost'!$I$23:$X$55,2,0)),0)</f>
        <v>0</v>
      </c>
      <c r="I153" s="313">
        <f ca="1">'Production cost'!$I285</f>
        <v>500</v>
      </c>
      <c r="J153" s="313" t="s">
        <v>5</v>
      </c>
      <c r="K153" s="360">
        <f>'Production cost'!$K285</f>
        <v>0</v>
      </c>
      <c r="L153" s="313">
        <f ca="1">'Production cost'!$L285</f>
        <v>2</v>
      </c>
      <c r="M153" s="391">
        <f ca="1">'Production cost'!$M285</f>
        <v>0</v>
      </c>
      <c r="N153" s="983">
        <f t="shared" ca="1" si="17"/>
        <v>0</v>
      </c>
      <c r="O153" s="313">
        <f>'Production cost'!$O285</f>
        <v>0</v>
      </c>
      <c r="P153" s="313">
        <f>'Production cost'!$P285</f>
        <v>64593.240854333337</v>
      </c>
      <c r="Q153" s="313">
        <f t="shared" ca="1" si="18"/>
        <v>0</v>
      </c>
      <c r="R153" s="313">
        <f t="shared" ca="1" si="19"/>
        <v>0</v>
      </c>
      <c r="S153" s="1741">
        <f t="shared" ca="1" si="20"/>
        <v>0</v>
      </c>
      <c r="T153" s="313" t="str">
        <f ca="1">'Production cost'!T285</f>
        <v>N</v>
      </c>
      <c r="AK153" s="313"/>
      <c r="AL153" s="313"/>
      <c r="AM153" s="313"/>
      <c r="AO153" s="1055"/>
      <c r="AP153" s="385"/>
      <c r="AQ153" s="385"/>
      <c r="AR153" s="1048"/>
      <c r="AS153" s="385"/>
      <c r="AT153" s="392"/>
      <c r="AU153" s="392"/>
    </row>
    <row r="154" spans="1:47" ht="14.25" customHeight="1" outlineLevel="1">
      <c r="B154" s="1258" t="s">
        <v>29</v>
      </c>
      <c r="C154" s="313" t="str">
        <f>'Production cost'!$C286</f>
        <v>Die-cutting (Semi-auto)</v>
      </c>
      <c r="E154" s="363"/>
      <c r="F154" s="363" t="str">
        <f ca="1">'Production cost'!$F286</f>
        <v>N</v>
      </c>
      <c r="G154" s="363"/>
      <c r="H154" s="313">
        <f ca="1">IFERROR(IF($F154="PCS",$E$4,VLOOKUP($F154,'Proof cost'!$I$23:$X$55,2,0)),0)</f>
        <v>0</v>
      </c>
      <c r="I154" s="313">
        <f ca="1">'Production cost'!$I286</f>
        <v>500</v>
      </c>
      <c r="J154" s="313" t="s">
        <v>5</v>
      </c>
      <c r="K154" s="360">
        <f>'Production cost'!$K286</f>
        <v>0</v>
      </c>
      <c r="L154" s="313">
        <f ca="1">'Production cost'!$L286</f>
        <v>2</v>
      </c>
      <c r="M154" s="391">
        <f ca="1">'Production cost'!$M286</f>
        <v>0</v>
      </c>
      <c r="N154" s="983">
        <f t="shared" ca="1" si="17"/>
        <v>0</v>
      </c>
      <c r="O154" s="313">
        <f>'Production cost'!$O286</f>
        <v>0</v>
      </c>
      <c r="P154" s="313">
        <f>'Production cost'!$P286</f>
        <v>64593.240854333337</v>
      </c>
      <c r="Q154" s="313">
        <f t="shared" ca="1" si="18"/>
        <v>0</v>
      </c>
      <c r="R154" s="313">
        <f t="shared" ca="1" si="19"/>
        <v>0</v>
      </c>
      <c r="S154" s="1741">
        <f t="shared" ca="1" si="20"/>
        <v>0</v>
      </c>
      <c r="T154" s="313" t="str">
        <f ca="1">'Production cost'!T286</f>
        <v>N</v>
      </c>
      <c r="AK154" s="313"/>
      <c r="AL154" s="313"/>
      <c r="AM154" s="313"/>
      <c r="AO154" s="1055"/>
      <c r="AP154" s="385"/>
      <c r="AQ154" s="385"/>
      <c r="AR154" s="1048"/>
      <c r="AS154" s="385"/>
      <c r="AT154" s="392"/>
      <c r="AU154" s="392"/>
    </row>
    <row r="155" spans="1:47" ht="14.25" customHeight="1" outlineLevel="1">
      <c r="B155" s="1258" t="s">
        <v>29</v>
      </c>
      <c r="C155" s="313" t="str">
        <f>'Production cost'!$C376</f>
        <v>Emboss (NIKKO 1050FH)</v>
      </c>
      <c r="E155" s="363"/>
      <c r="F155" s="363" t="str">
        <f ca="1">'Production cost'!$F376</f>
        <v>N</v>
      </c>
      <c r="G155" s="363"/>
      <c r="H155" s="313">
        <f ca="1">IFERROR(IF($F155="PCS",$E$4,VLOOKUP($F155,'Proof cost'!$I$23:$X$55,2,0)),0)</f>
        <v>0</v>
      </c>
      <c r="I155" s="313">
        <f ca="1">'Production cost'!$I376</f>
        <v>3000</v>
      </c>
      <c r="J155" s="313" t="s">
        <v>5</v>
      </c>
      <c r="K155" s="360">
        <f>'Production cost'!$K376</f>
        <v>0.25</v>
      </c>
      <c r="L155" s="313">
        <f ca="1">'Production cost'!$L376</f>
        <v>2</v>
      </c>
      <c r="M155" s="391">
        <f ca="1">'Production cost'!$M376</f>
        <v>0</v>
      </c>
      <c r="N155" s="983">
        <f t="shared" ca="1" si="17"/>
        <v>0</v>
      </c>
      <c r="O155" s="313">
        <f>'Production cost'!$O376</f>
        <v>352574.32240985788</v>
      </c>
      <c r="P155" s="313">
        <f>'Production cost'!$P376</f>
        <v>64593.240854333337</v>
      </c>
      <c r="Q155" s="313">
        <f t="shared" ca="1" si="18"/>
        <v>0</v>
      </c>
      <c r="R155" s="313">
        <f t="shared" ca="1" si="19"/>
        <v>0</v>
      </c>
      <c r="S155" s="1741">
        <f t="shared" ca="1" si="20"/>
        <v>0</v>
      </c>
      <c r="T155" s="313" t="str">
        <f ca="1">'Production cost'!T376</f>
        <v>N</v>
      </c>
      <c r="AK155" s="313"/>
      <c r="AL155" s="313"/>
      <c r="AM155" s="313"/>
      <c r="AO155" s="1055"/>
      <c r="AP155" s="385"/>
      <c r="AQ155" s="385"/>
      <c r="AR155" s="1048"/>
      <c r="AS155" s="385"/>
      <c r="AT155" s="392"/>
      <c r="AU155" s="392"/>
    </row>
    <row r="156" spans="1:47" ht="14.25" customHeight="1" outlineLevel="1">
      <c r="B156" s="1258" t="s">
        <v>29</v>
      </c>
      <c r="C156" s="313" t="str">
        <f>'Production cost'!$C377</f>
        <v>Emboss (NIKKO 1050FH)</v>
      </c>
      <c r="E156" s="363"/>
      <c r="F156" s="363" t="str">
        <f ca="1">'Production cost'!$F377</f>
        <v>N</v>
      </c>
      <c r="G156" s="363"/>
      <c r="H156" s="313">
        <f ca="1">IFERROR(IF($F156="PCS",$E$4,VLOOKUP($F156,'Proof cost'!$I$23:$X$55,2,0)),0)</f>
        <v>0</v>
      </c>
      <c r="I156" s="313">
        <f ca="1">'Production cost'!$I377</f>
        <v>3000</v>
      </c>
      <c r="J156" s="313" t="s">
        <v>5</v>
      </c>
      <c r="K156" s="360">
        <f>'Production cost'!$K377</f>
        <v>0.25</v>
      </c>
      <c r="L156" s="313">
        <f ca="1">'Production cost'!$L377</f>
        <v>2</v>
      </c>
      <c r="M156" s="391">
        <f ca="1">'Production cost'!$M377</f>
        <v>0</v>
      </c>
      <c r="N156" s="983">
        <f t="shared" ca="1" si="17"/>
        <v>0</v>
      </c>
      <c r="O156" s="313">
        <f>'Production cost'!$O377</f>
        <v>352574.32240985788</v>
      </c>
      <c r="P156" s="313">
        <f>'Production cost'!$P377</f>
        <v>64593.240854333337</v>
      </c>
      <c r="Q156" s="313">
        <f t="shared" ca="1" si="18"/>
        <v>0</v>
      </c>
      <c r="R156" s="313">
        <f t="shared" ca="1" si="19"/>
        <v>0</v>
      </c>
      <c r="S156" s="1741">
        <f t="shared" ca="1" si="20"/>
        <v>0</v>
      </c>
      <c r="T156" s="313" t="str">
        <f ca="1">'Production cost'!T377</f>
        <v>N</v>
      </c>
      <c r="AK156" s="313"/>
      <c r="AL156" s="313"/>
      <c r="AM156" s="313"/>
      <c r="AO156" s="1055"/>
      <c r="AP156" s="385"/>
      <c r="AQ156" s="385"/>
      <c r="AR156" s="1048"/>
      <c r="AS156" s="385"/>
      <c r="AT156" s="392"/>
      <c r="AU156" s="392"/>
    </row>
    <row r="157" spans="1:47" ht="14.25" customHeight="1" outlineLevel="1">
      <c r="B157" s="1258" t="s">
        <v>29</v>
      </c>
      <c r="C157" s="313" t="str">
        <f>'Production cost'!$C378</f>
        <v>Emboss (NIKKO 1050FH)</v>
      </c>
      <c r="E157" s="363"/>
      <c r="F157" s="363" t="str">
        <f ca="1">'Production cost'!$F378</f>
        <v>N</v>
      </c>
      <c r="G157" s="363"/>
      <c r="H157" s="313">
        <f ca="1">IFERROR(IF($F157="PCS",$E$4,VLOOKUP($F157,'Proof cost'!$I$23:$X$55,2,0)),0)</f>
        <v>0</v>
      </c>
      <c r="I157" s="313">
        <f ca="1">'Production cost'!$I378</f>
        <v>3000</v>
      </c>
      <c r="J157" s="313" t="s">
        <v>5</v>
      </c>
      <c r="K157" s="360">
        <f>'Production cost'!$K378</f>
        <v>0.25</v>
      </c>
      <c r="L157" s="313">
        <f ca="1">'Production cost'!$L378</f>
        <v>2</v>
      </c>
      <c r="M157" s="391">
        <f ca="1">'Production cost'!$M378</f>
        <v>0</v>
      </c>
      <c r="N157" s="983">
        <f t="shared" ca="1" si="17"/>
        <v>0</v>
      </c>
      <c r="O157" s="313">
        <f>'Production cost'!$O378</f>
        <v>352574.32240985788</v>
      </c>
      <c r="P157" s="313">
        <f>'Production cost'!$P378</f>
        <v>64593.240854333337</v>
      </c>
      <c r="Q157" s="313">
        <f t="shared" ca="1" si="18"/>
        <v>0</v>
      </c>
      <c r="R157" s="313">
        <f t="shared" ca="1" si="19"/>
        <v>0</v>
      </c>
      <c r="S157" s="1741">
        <f t="shared" ca="1" si="20"/>
        <v>0</v>
      </c>
      <c r="T157" s="313" t="str">
        <f ca="1">'Production cost'!T378</f>
        <v>N</v>
      </c>
      <c r="AK157" s="313"/>
      <c r="AL157" s="313"/>
      <c r="AM157" s="313"/>
      <c r="AO157" s="1055"/>
      <c r="AP157" s="385"/>
      <c r="AQ157" s="385"/>
      <c r="AR157" s="1048"/>
      <c r="AS157" s="385"/>
      <c r="AT157" s="392"/>
      <c r="AU157" s="392"/>
    </row>
    <row r="158" spans="1:47" ht="14.25" customHeight="1" outlineLevel="1">
      <c r="B158" s="1258" t="s">
        <v>29</v>
      </c>
      <c r="C158" s="313" t="str">
        <f>'Production cost'!$C379</f>
        <v>Emboss (NIKKO 1050FH)</v>
      </c>
      <c r="E158" s="363"/>
      <c r="F158" s="363" t="str">
        <f ca="1">'Production cost'!$F379</f>
        <v>N</v>
      </c>
      <c r="G158" s="363"/>
      <c r="H158" s="313">
        <f ca="1">IFERROR(IF($F158="PCS",$E$4,VLOOKUP($F158,'Proof cost'!$I$23:$X$55,2,0)),0)</f>
        <v>0</v>
      </c>
      <c r="I158" s="313">
        <f ca="1">'Production cost'!$I379</f>
        <v>3000</v>
      </c>
      <c r="J158" s="313" t="s">
        <v>5</v>
      </c>
      <c r="K158" s="360">
        <f>'Production cost'!$K379</f>
        <v>0.25</v>
      </c>
      <c r="L158" s="313">
        <f ca="1">'Production cost'!$L379</f>
        <v>2</v>
      </c>
      <c r="M158" s="391">
        <f ca="1">'Production cost'!$M379</f>
        <v>0</v>
      </c>
      <c r="N158" s="983">
        <f t="shared" ca="1" si="17"/>
        <v>0</v>
      </c>
      <c r="O158" s="313">
        <f>'Production cost'!$O379</f>
        <v>352574.32240985788</v>
      </c>
      <c r="P158" s="313">
        <f>'Production cost'!$P379</f>
        <v>64593.240854333337</v>
      </c>
      <c r="Q158" s="313">
        <f t="shared" ca="1" si="18"/>
        <v>0</v>
      </c>
      <c r="R158" s="313">
        <f t="shared" ca="1" si="19"/>
        <v>0</v>
      </c>
      <c r="S158" s="1741">
        <f t="shared" ca="1" si="20"/>
        <v>0</v>
      </c>
      <c r="T158" s="313" t="str">
        <f ca="1">'Production cost'!T379</f>
        <v>N</v>
      </c>
      <c r="AK158" s="313"/>
      <c r="AL158" s="313"/>
      <c r="AM158" s="313"/>
      <c r="AO158" s="1055"/>
      <c r="AP158" s="385"/>
      <c r="AQ158" s="385"/>
      <c r="AR158" s="1048"/>
      <c r="AS158" s="385"/>
      <c r="AT158" s="392"/>
      <c r="AU158" s="392"/>
    </row>
    <row r="159" spans="1:47" ht="14.25" customHeight="1" outlineLevel="1">
      <c r="B159" s="1258" t="s">
        <v>29</v>
      </c>
      <c r="C159" s="313" t="str">
        <f>'Production cost'!$C380</f>
        <v>Emboss (NIKKO 1050FH)</v>
      </c>
      <c r="E159" s="363"/>
      <c r="F159" s="363" t="str">
        <f ca="1">'Production cost'!$F380</f>
        <v>N</v>
      </c>
      <c r="G159" s="363"/>
      <c r="H159" s="313">
        <f ca="1">IFERROR(IF($F159="PCS",$E$4,VLOOKUP($F159,'Proof cost'!$I$23:$X$55,2,0)),0)</f>
        <v>0</v>
      </c>
      <c r="I159" s="313">
        <f ca="1">'Production cost'!$I380</f>
        <v>3000</v>
      </c>
      <c r="J159" s="313" t="s">
        <v>5</v>
      </c>
      <c r="K159" s="360">
        <f>'Production cost'!$K380</f>
        <v>0.25</v>
      </c>
      <c r="L159" s="313">
        <f ca="1">'Production cost'!$L380</f>
        <v>2</v>
      </c>
      <c r="M159" s="391">
        <f ca="1">'Production cost'!$M380</f>
        <v>0</v>
      </c>
      <c r="N159" s="983">
        <f t="shared" ca="1" si="17"/>
        <v>0</v>
      </c>
      <c r="O159" s="313">
        <f>'Production cost'!$O380</f>
        <v>352574.32240985788</v>
      </c>
      <c r="P159" s="313">
        <f>'Production cost'!$P380</f>
        <v>64593.240854333337</v>
      </c>
      <c r="Q159" s="313">
        <f t="shared" ca="1" si="18"/>
        <v>0</v>
      </c>
      <c r="R159" s="313">
        <f t="shared" ca="1" si="19"/>
        <v>0</v>
      </c>
      <c r="S159" s="1741">
        <f t="shared" ca="1" si="20"/>
        <v>0</v>
      </c>
      <c r="T159" s="313" t="str">
        <f ca="1">'Production cost'!T380</f>
        <v>N</v>
      </c>
      <c r="AK159" s="313"/>
      <c r="AL159" s="313"/>
      <c r="AM159" s="313"/>
      <c r="AO159" s="1055"/>
      <c r="AP159" s="385"/>
      <c r="AQ159" s="385"/>
      <c r="AR159" s="1048"/>
      <c r="AS159" s="385"/>
      <c r="AT159" s="392"/>
      <c r="AU159" s="392"/>
    </row>
    <row r="160" spans="1:47" ht="14.25" customHeight="1" outlineLevel="1">
      <c r="B160" s="1258" t="s">
        <v>29</v>
      </c>
      <c r="C160" s="313" t="str">
        <f>'Production cost'!$C381</f>
        <v>Emboss (NIKKO 1050FH)</v>
      </c>
      <c r="E160" s="363"/>
      <c r="F160" s="363" t="str">
        <f ca="1">'Production cost'!$F381</f>
        <v>N</v>
      </c>
      <c r="G160" s="363"/>
      <c r="H160" s="313">
        <f ca="1">IFERROR(IF($F160="PCS",$E$4,VLOOKUP($F160,'Proof cost'!$I$23:$X$55,2,0)),0)</f>
        <v>0</v>
      </c>
      <c r="I160" s="313">
        <f ca="1">'Production cost'!$I381</f>
        <v>3000</v>
      </c>
      <c r="J160" s="313" t="s">
        <v>5</v>
      </c>
      <c r="K160" s="360">
        <f>'Production cost'!$K381</f>
        <v>0.25</v>
      </c>
      <c r="L160" s="313">
        <f ca="1">'Production cost'!$L381</f>
        <v>2</v>
      </c>
      <c r="M160" s="391">
        <f ca="1">'Production cost'!$M381</f>
        <v>0</v>
      </c>
      <c r="N160" s="983">
        <f t="shared" ca="1" si="17"/>
        <v>0</v>
      </c>
      <c r="O160" s="313">
        <f>'Production cost'!$O381</f>
        <v>352574.32240985788</v>
      </c>
      <c r="P160" s="313">
        <f>'Production cost'!$P381</f>
        <v>64593.240854333337</v>
      </c>
      <c r="Q160" s="313">
        <f t="shared" ca="1" si="18"/>
        <v>0</v>
      </c>
      <c r="R160" s="313">
        <f t="shared" ca="1" si="19"/>
        <v>0</v>
      </c>
      <c r="S160" s="1741">
        <f t="shared" ca="1" si="20"/>
        <v>0</v>
      </c>
      <c r="T160" s="313" t="str">
        <f ca="1">'Production cost'!T381</f>
        <v>N</v>
      </c>
      <c r="AK160" s="313"/>
      <c r="AL160" s="313"/>
      <c r="AM160" s="313"/>
      <c r="AO160" s="1055"/>
      <c r="AP160" s="385"/>
      <c r="AQ160" s="385"/>
      <c r="AR160" s="1048"/>
      <c r="AS160" s="385"/>
      <c r="AT160" s="392"/>
      <c r="AU160" s="392"/>
    </row>
    <row r="161" spans="1:47" ht="14.25" customHeight="1" outlineLevel="1">
      <c r="B161" s="1258" t="s">
        <v>29</v>
      </c>
      <c r="C161" s="313" t="str">
        <f>'Production cost'!$C382</f>
        <v>Emboss (NIKKO 1050FH)</v>
      </c>
      <c r="E161" s="363"/>
      <c r="F161" s="363" t="str">
        <f ca="1">'Production cost'!$F382</f>
        <v>N</v>
      </c>
      <c r="G161" s="363"/>
      <c r="H161" s="313">
        <f ca="1">IFERROR(IF($F161="PCS",$E$4,VLOOKUP($F161,'Proof cost'!$I$23:$X$55,2,0)),0)</f>
        <v>0</v>
      </c>
      <c r="I161" s="313">
        <f ca="1">'Production cost'!$I382</f>
        <v>3000</v>
      </c>
      <c r="J161" s="313" t="s">
        <v>5</v>
      </c>
      <c r="K161" s="360">
        <f>'Production cost'!$K382</f>
        <v>0.25</v>
      </c>
      <c r="L161" s="313">
        <f ca="1">'Production cost'!$L382</f>
        <v>2</v>
      </c>
      <c r="M161" s="391">
        <f ca="1">'Production cost'!$M382</f>
        <v>0</v>
      </c>
      <c r="N161" s="983">
        <f t="shared" ca="1" si="17"/>
        <v>0</v>
      </c>
      <c r="O161" s="313">
        <f>'Production cost'!$O382</f>
        <v>352574.32240985788</v>
      </c>
      <c r="P161" s="313">
        <f>'Production cost'!$P382</f>
        <v>64593.240854333337</v>
      </c>
      <c r="Q161" s="313">
        <f t="shared" ca="1" si="18"/>
        <v>0</v>
      </c>
      <c r="R161" s="313">
        <f t="shared" ca="1" si="19"/>
        <v>0</v>
      </c>
      <c r="S161" s="1741">
        <f t="shared" ca="1" si="20"/>
        <v>0</v>
      </c>
      <c r="T161" s="313" t="str">
        <f ca="1">'Production cost'!T382</f>
        <v>N</v>
      </c>
      <c r="AK161" s="313"/>
      <c r="AL161" s="313"/>
      <c r="AM161" s="313"/>
      <c r="AO161" s="1055"/>
      <c r="AP161" s="385"/>
      <c r="AQ161" s="385"/>
      <c r="AR161" s="1048"/>
      <c r="AS161" s="385"/>
      <c r="AT161" s="392"/>
      <c r="AU161" s="392"/>
    </row>
    <row r="162" spans="1:47" ht="14.25" customHeight="1" outlineLevel="1">
      <c r="B162" s="1258" t="s">
        <v>29</v>
      </c>
      <c r="C162" s="313" t="str">
        <f>'Production cost'!$C383</f>
        <v>Emboss (NIKKO 1050FH)</v>
      </c>
      <c r="E162" s="363"/>
      <c r="F162" s="363" t="str">
        <f ca="1">'Production cost'!$F383</f>
        <v>N</v>
      </c>
      <c r="G162" s="363"/>
      <c r="H162" s="313">
        <f ca="1">IFERROR(IF($F162="PCS",$E$4,VLOOKUP($F162,'Proof cost'!$I$23:$X$55,2,0)),0)</f>
        <v>0</v>
      </c>
      <c r="I162" s="313">
        <f ca="1">'Production cost'!$I383</f>
        <v>3000</v>
      </c>
      <c r="J162" s="313" t="s">
        <v>5</v>
      </c>
      <c r="K162" s="360">
        <f>'Production cost'!$K383</f>
        <v>0.25</v>
      </c>
      <c r="L162" s="313">
        <f ca="1">'Production cost'!$L383</f>
        <v>2</v>
      </c>
      <c r="M162" s="391">
        <f ca="1">'Production cost'!$M383</f>
        <v>0</v>
      </c>
      <c r="N162" s="983">
        <f t="shared" ca="1" si="17"/>
        <v>0</v>
      </c>
      <c r="O162" s="313">
        <f>'Production cost'!$O383</f>
        <v>352574.32240985788</v>
      </c>
      <c r="P162" s="313">
        <f>'Production cost'!$P383</f>
        <v>64593.240854333337</v>
      </c>
      <c r="Q162" s="313">
        <f t="shared" ca="1" si="18"/>
        <v>0</v>
      </c>
      <c r="R162" s="313">
        <f t="shared" ca="1" si="19"/>
        <v>0</v>
      </c>
      <c r="S162" s="1741">
        <f t="shared" ca="1" si="20"/>
        <v>0</v>
      </c>
      <c r="T162" s="313" t="str">
        <f ca="1">'Production cost'!T383</f>
        <v>N</v>
      </c>
      <c r="AK162" s="313"/>
      <c r="AL162" s="313"/>
      <c r="AM162" s="313"/>
      <c r="AO162" s="1055"/>
      <c r="AP162" s="385"/>
      <c r="AQ162" s="385"/>
      <c r="AR162" s="1048"/>
      <c r="AS162" s="385"/>
      <c r="AT162" s="392"/>
      <c r="AU162" s="392"/>
    </row>
    <row r="163" spans="1:47" ht="14.25" customHeight="1" outlineLevel="1">
      <c r="B163" s="1258" t="s">
        <v>29</v>
      </c>
      <c r="C163" s="313" t="str">
        <f>'Production cost'!$C419</f>
        <v>Hotstamp (NIKKO 1050FH)</v>
      </c>
      <c r="E163" s="363"/>
      <c r="F163" s="363" t="str">
        <f ca="1">'Production cost'!$F419</f>
        <v>N</v>
      </c>
      <c r="G163" s="363"/>
      <c r="H163" s="313">
        <f ca="1">IFERROR(IF($F163="PCS",$E$4,VLOOKUP($F163,'Proof cost'!$I$23:$X$55,2,0)),0)</f>
        <v>0</v>
      </c>
      <c r="I163" s="313">
        <f ca="1">'Production cost'!$I419</f>
        <v>3000</v>
      </c>
      <c r="J163" s="313" t="s">
        <v>5</v>
      </c>
      <c r="K163" s="360">
        <f>'Production cost'!$K419</f>
        <v>0.25</v>
      </c>
      <c r="L163" s="313">
        <f ca="1">'Production cost'!$L419</f>
        <v>2</v>
      </c>
      <c r="M163" s="391">
        <f ca="1">'Production cost'!$M419</f>
        <v>0</v>
      </c>
      <c r="N163" s="983">
        <f t="shared" ca="1" si="17"/>
        <v>0</v>
      </c>
      <c r="O163" s="313">
        <f>'Production cost'!$O419</f>
        <v>352574.32240985788</v>
      </c>
      <c r="P163" s="313">
        <f>'Production cost'!$P419</f>
        <v>64593.240854333337</v>
      </c>
      <c r="Q163" s="313">
        <f t="shared" ca="1" si="18"/>
        <v>0</v>
      </c>
      <c r="R163" s="313">
        <f t="shared" ca="1" si="19"/>
        <v>0</v>
      </c>
      <c r="S163" s="1741">
        <f t="shared" ca="1" si="20"/>
        <v>0</v>
      </c>
      <c r="T163" s="313" t="str">
        <f ca="1">'Production cost'!T419</f>
        <v>N</v>
      </c>
      <c r="AK163" s="313"/>
      <c r="AL163" s="313"/>
      <c r="AM163" s="313"/>
      <c r="AO163" s="1055"/>
      <c r="AP163" s="385"/>
      <c r="AQ163" s="385"/>
      <c r="AR163" s="1048"/>
      <c r="AS163" s="385"/>
      <c r="AT163" s="392"/>
      <c r="AU163" s="392"/>
    </row>
    <row r="164" spans="1:47" ht="14.25" customHeight="1" outlineLevel="1">
      <c r="B164" s="1258" t="s">
        <v>29</v>
      </c>
      <c r="C164" s="313" t="str">
        <f>'Production cost'!$C420</f>
        <v>Hotstamp (NIKKO 1050FH)</v>
      </c>
      <c r="E164" s="363"/>
      <c r="F164" s="363" t="str">
        <f ca="1">'Production cost'!$F420</f>
        <v>N</v>
      </c>
      <c r="G164" s="363"/>
      <c r="H164" s="313">
        <f ca="1">IFERROR(IF($F164="PCS",$E$4,VLOOKUP($F164,'Proof cost'!$I$23:$X$55,2,0)),0)</f>
        <v>0</v>
      </c>
      <c r="I164" s="313">
        <f ca="1">'Production cost'!$I420</f>
        <v>3000</v>
      </c>
      <c r="J164" s="313" t="s">
        <v>5</v>
      </c>
      <c r="K164" s="360">
        <f>'Production cost'!$K420</f>
        <v>0.25</v>
      </c>
      <c r="L164" s="313">
        <f ca="1">'Production cost'!$L420</f>
        <v>2</v>
      </c>
      <c r="M164" s="391">
        <f ca="1">'Production cost'!$M420</f>
        <v>0</v>
      </c>
      <c r="N164" s="983">
        <f t="shared" ca="1" si="17"/>
        <v>0</v>
      </c>
      <c r="O164" s="313">
        <f>'Production cost'!$O420</f>
        <v>352574.32240985788</v>
      </c>
      <c r="P164" s="313">
        <f>'Production cost'!$P420</f>
        <v>64593.240854333337</v>
      </c>
      <c r="Q164" s="313">
        <f t="shared" ca="1" si="18"/>
        <v>0</v>
      </c>
      <c r="R164" s="313">
        <f t="shared" ca="1" si="19"/>
        <v>0</v>
      </c>
      <c r="S164" s="1741">
        <f t="shared" ca="1" si="20"/>
        <v>0</v>
      </c>
      <c r="T164" s="313" t="str">
        <f ca="1">'Production cost'!T420</f>
        <v>N</v>
      </c>
      <c r="AK164" s="313"/>
      <c r="AL164" s="313"/>
      <c r="AM164" s="313"/>
      <c r="AO164" s="1055"/>
      <c r="AP164" s="385"/>
      <c r="AQ164" s="385"/>
      <c r="AR164" s="1048"/>
      <c r="AS164" s="385"/>
      <c r="AT164" s="392"/>
      <c r="AU164" s="392"/>
    </row>
    <row r="165" spans="1:47" ht="14.25" customHeight="1" outlineLevel="1">
      <c r="B165" s="1258" t="s">
        <v>29</v>
      </c>
      <c r="C165" s="313" t="str">
        <f>'Production cost'!$C428</f>
        <v>Hotstamp (NIKKO 1050FH)</v>
      </c>
      <c r="E165" s="363"/>
      <c r="F165" s="363" t="str">
        <f ca="1">'Production cost'!$F428</f>
        <v>N</v>
      </c>
      <c r="G165" s="363"/>
      <c r="H165" s="313">
        <f ca="1">IFERROR(IF($F165="PCS",$E$4,VLOOKUP($F165,'Proof cost'!$I$23:$X$55,2,0)),0)</f>
        <v>0</v>
      </c>
      <c r="I165" s="313">
        <f ca="1">'Production cost'!$I428</f>
        <v>3000</v>
      </c>
      <c r="J165" s="313" t="s">
        <v>5</v>
      </c>
      <c r="K165" s="360">
        <f>'Production cost'!$K428</f>
        <v>0.25</v>
      </c>
      <c r="L165" s="313">
        <f ca="1">'Production cost'!$L428</f>
        <v>2</v>
      </c>
      <c r="M165" s="391">
        <f ca="1">'Production cost'!$M428</f>
        <v>0</v>
      </c>
      <c r="N165" s="983">
        <f t="shared" ca="1" si="17"/>
        <v>0</v>
      </c>
      <c r="O165" s="313">
        <f>'Production cost'!$O428</f>
        <v>352574.32240985788</v>
      </c>
      <c r="P165" s="313">
        <f>'Production cost'!$P428</f>
        <v>64593.240854333337</v>
      </c>
      <c r="Q165" s="313">
        <f t="shared" ca="1" si="18"/>
        <v>0</v>
      </c>
      <c r="R165" s="313">
        <f t="shared" ca="1" si="19"/>
        <v>0</v>
      </c>
      <c r="S165" s="1741">
        <f t="shared" ca="1" si="20"/>
        <v>0</v>
      </c>
      <c r="T165" s="313" t="str">
        <f ca="1">'Production cost'!T428</f>
        <v>N</v>
      </c>
      <c r="AK165" s="313"/>
      <c r="AL165" s="313"/>
      <c r="AM165" s="313"/>
      <c r="AO165" s="1055"/>
      <c r="AP165" s="385"/>
      <c r="AQ165" s="385"/>
      <c r="AR165" s="1048"/>
      <c r="AS165" s="385"/>
      <c r="AT165" s="392"/>
      <c r="AU165" s="392"/>
    </row>
    <row r="166" spans="1:47" ht="14.25" customHeight="1" outlineLevel="1">
      <c r="B166" s="1258" t="str">
        <f>input!B832</f>
        <v>Diecutting - ACC</v>
      </c>
      <c r="C166" s="313" t="str">
        <f>'Production cost'!$C464</f>
        <v>Die-cutting</v>
      </c>
      <c r="E166" s="363"/>
      <c r="F166" s="363" t="str">
        <f>'Production cost'!$F464</f>
        <v>N</v>
      </c>
      <c r="G166" s="363"/>
      <c r="H166" s="313">
        <f>IFERROR(IF($F166="PCS",$E$4,VLOOKUP($F166,'Proof cost'!$I$23:$X$55,2,0)),0)</f>
        <v>0</v>
      </c>
      <c r="I166" s="313">
        <f>'Production cost'!$I464</f>
        <v>3000</v>
      </c>
      <c r="J166" s="313" t="s">
        <v>5</v>
      </c>
      <c r="K166" s="360">
        <f>'Production cost'!$K464</f>
        <v>0.25</v>
      </c>
      <c r="L166" s="313">
        <f>'Production cost'!$L464</f>
        <v>2</v>
      </c>
      <c r="M166" s="391">
        <f>'Production cost'!$M464</f>
        <v>0</v>
      </c>
      <c r="N166" s="983">
        <f t="shared" si="17"/>
        <v>0</v>
      </c>
      <c r="O166" s="313">
        <f>'Production cost'!$O464</f>
        <v>352574.32240985788</v>
      </c>
      <c r="P166" s="313">
        <f>'Production cost'!$P464</f>
        <v>0</v>
      </c>
      <c r="Q166" s="313">
        <f t="shared" si="18"/>
        <v>0</v>
      </c>
      <c r="R166" s="313">
        <f>IF($E$2&gt;0,Q166/$E$2,0)</f>
        <v>0</v>
      </c>
      <c r="S166" s="1741">
        <f>IF(M166&gt;0,K166*O166+L166*P166,0)</f>
        <v>0</v>
      </c>
      <c r="T166" s="313" t="str">
        <f>'Production cost'!T464</f>
        <v>N</v>
      </c>
      <c r="AK166" s="313"/>
      <c r="AL166" s="313"/>
      <c r="AM166" s="313"/>
      <c r="AO166" s="1055"/>
      <c r="AP166" s="385"/>
      <c r="AQ166" s="385"/>
      <c r="AR166" s="1048"/>
      <c r="AS166" s="1051"/>
    </row>
    <row r="167" spans="1:47" ht="14.25" customHeight="1" outlineLevel="1">
      <c r="B167" s="1258" t="str">
        <f>input!B833</f>
        <v>Diecutting - ACC</v>
      </c>
      <c r="C167" s="313" t="str">
        <f>'Production cost'!$C465</f>
        <v>Die-cutting</v>
      </c>
      <c r="E167" s="363"/>
      <c r="F167" s="363" t="str">
        <f>'Production cost'!$F465</f>
        <v>N</v>
      </c>
      <c r="G167" s="363"/>
      <c r="H167" s="313">
        <f>IFERROR(IF($F167="PCS",$E$4,VLOOKUP($F167,'Proof cost'!$I$23:$X$55,2,0)),0)</f>
        <v>0</v>
      </c>
      <c r="I167" s="313">
        <f>'Production cost'!$I465</f>
        <v>3000</v>
      </c>
      <c r="J167" s="313" t="s">
        <v>5</v>
      </c>
      <c r="K167" s="360">
        <f>'Production cost'!$K465</f>
        <v>0.25</v>
      </c>
      <c r="L167" s="313">
        <f>'Production cost'!$L465</f>
        <v>2</v>
      </c>
      <c r="M167" s="391">
        <f>'Production cost'!$M465</f>
        <v>0</v>
      </c>
      <c r="N167" s="983">
        <f t="shared" si="17"/>
        <v>0</v>
      </c>
      <c r="O167" s="313">
        <f>'Production cost'!$O465</f>
        <v>352574.32240985788</v>
      </c>
      <c r="P167" s="313">
        <f>'Production cost'!$P465</f>
        <v>0</v>
      </c>
      <c r="Q167" s="313">
        <f t="shared" si="18"/>
        <v>0</v>
      </c>
      <c r="R167" s="313">
        <f>IF($E$2&gt;0,Q167/$E$2,0)</f>
        <v>0</v>
      </c>
      <c r="S167" s="1741">
        <f>IF(M167&gt;0,K167*O167+L167*P167,0)</f>
        <v>0</v>
      </c>
      <c r="T167" s="313" t="str">
        <f>'Production cost'!T465</f>
        <v>N</v>
      </c>
      <c r="AK167" s="313"/>
      <c r="AL167" s="313"/>
      <c r="AM167" s="313"/>
      <c r="AO167" s="1055"/>
      <c r="AP167" s="385"/>
      <c r="AQ167" s="385"/>
      <c r="AR167" s="1048"/>
      <c r="AS167" s="1051"/>
    </row>
    <row r="168" spans="1:47" ht="14.25" customHeight="1" outlineLevel="1">
      <c r="B168" s="1258" t="str">
        <f>input!B834</f>
        <v>Diecutting - ACC</v>
      </c>
      <c r="C168" s="313" t="str">
        <f>'Production cost'!$C466</f>
        <v>Die-cutting</v>
      </c>
      <c r="E168" s="363"/>
      <c r="F168" s="363" t="str">
        <f>'Production cost'!$F466</f>
        <v>N</v>
      </c>
      <c r="G168" s="363"/>
      <c r="H168" s="313">
        <f>IFERROR(IF($F168="PCS",$E$4,VLOOKUP($F168,'Proof cost'!$I$23:$X$55,2,0)),0)</f>
        <v>0</v>
      </c>
      <c r="I168" s="313">
        <f>'Production cost'!$I466</f>
        <v>3000</v>
      </c>
      <c r="J168" s="313" t="s">
        <v>5</v>
      </c>
      <c r="K168" s="360">
        <f>'Production cost'!$K466</f>
        <v>0.25</v>
      </c>
      <c r="L168" s="313">
        <f>'Production cost'!$L466</f>
        <v>2</v>
      </c>
      <c r="M168" s="391">
        <f>'Production cost'!$M466</f>
        <v>0</v>
      </c>
      <c r="N168" s="983">
        <f t="shared" si="17"/>
        <v>0</v>
      </c>
      <c r="O168" s="313">
        <f>'Production cost'!$O466</f>
        <v>352574.32240985788</v>
      </c>
      <c r="P168" s="313">
        <f>'Production cost'!$P466</f>
        <v>0</v>
      </c>
      <c r="Q168" s="313">
        <f t="shared" si="18"/>
        <v>0</v>
      </c>
      <c r="R168" s="313">
        <f>IF($E$2&gt;0,Q168/$E$2,0)</f>
        <v>0</v>
      </c>
      <c r="S168" s="1741">
        <f>IF(M168&gt;0,K168*O168+L168*P168,0)</f>
        <v>0</v>
      </c>
      <c r="T168" s="313" t="str">
        <f>'Production cost'!T466</f>
        <v>N</v>
      </c>
      <c r="AK168" s="313"/>
      <c r="AL168" s="313"/>
      <c r="AM168" s="313"/>
      <c r="AO168" s="1055"/>
      <c r="AP168" s="385"/>
      <c r="AQ168" s="385"/>
      <c r="AR168" s="1048"/>
      <c r="AS168" s="1051"/>
    </row>
    <row r="169" spans="1:47" ht="14.25" customHeight="1" outlineLevel="1">
      <c r="B169" s="1258" t="str">
        <f>input!B835</f>
        <v>Diecutting - ACC</v>
      </c>
      <c r="C169" s="313" t="str">
        <f>'Production cost'!$C467</f>
        <v>Die-cutting</v>
      </c>
      <c r="E169" s="363"/>
      <c r="F169" s="363" t="str">
        <f>'Production cost'!$F467</f>
        <v>N</v>
      </c>
      <c r="G169" s="363"/>
      <c r="H169" s="313">
        <f>IFERROR(IF($F169="PCS",$E$4,VLOOKUP($F169,'Proof cost'!$I$23:$X$55,2,0)),0)</f>
        <v>0</v>
      </c>
      <c r="I169" s="313">
        <f>'Production cost'!$I467</f>
        <v>3000</v>
      </c>
      <c r="J169" s="313" t="s">
        <v>5</v>
      </c>
      <c r="K169" s="360">
        <f>'Production cost'!$K467</f>
        <v>0.25</v>
      </c>
      <c r="L169" s="313">
        <f>'Production cost'!$L467</f>
        <v>2</v>
      </c>
      <c r="M169" s="391">
        <f>'Production cost'!$M467</f>
        <v>0</v>
      </c>
      <c r="N169" s="983">
        <f t="shared" si="17"/>
        <v>0</v>
      </c>
      <c r="O169" s="313">
        <f>'Production cost'!$O467</f>
        <v>352574.32240985788</v>
      </c>
      <c r="P169" s="313">
        <f>'Production cost'!$P467</f>
        <v>0</v>
      </c>
      <c r="Q169" s="313">
        <f t="shared" si="18"/>
        <v>0</v>
      </c>
      <c r="R169" s="313">
        <f>IF($E$2&gt;0,Q169/$E$2,0)</f>
        <v>0</v>
      </c>
      <c r="S169" s="1741">
        <f>IF(M169&gt;0,K169*O169+L169*P169,0)</f>
        <v>0</v>
      </c>
      <c r="T169" s="313" t="str">
        <f>'Production cost'!T467</f>
        <v>N</v>
      </c>
      <c r="AK169" s="313"/>
      <c r="AL169" s="313"/>
      <c r="AM169" s="313"/>
      <c r="AO169" s="1055"/>
      <c r="AP169" s="385"/>
      <c r="AQ169" s="385"/>
      <c r="AR169" s="1048"/>
      <c r="AS169" s="1051"/>
    </row>
    <row r="170" spans="1:47" ht="14.25" customHeight="1" outlineLevel="1" collapsed="1">
      <c r="B170" s="1259" t="str">
        <f>input!B836</f>
        <v>Diecutting - ACC</v>
      </c>
      <c r="C170" s="1260" t="str">
        <f>'Production cost'!$C468</f>
        <v>Die-cutting</v>
      </c>
      <c r="D170" s="1260"/>
      <c r="E170" s="2158"/>
      <c r="F170" s="2158" t="str">
        <f>'Production cost'!$F468</f>
        <v>N</v>
      </c>
      <c r="G170" s="2158"/>
      <c r="H170" s="1260">
        <f>IFERROR(IF($F170="PCS",$E$4,VLOOKUP($F170,'Proof cost'!$I$23:$X$55,2,0)),0)</f>
        <v>0</v>
      </c>
      <c r="I170" s="1260">
        <f>'Production cost'!$I468</f>
        <v>3000</v>
      </c>
      <c r="J170" s="1260" t="s">
        <v>5</v>
      </c>
      <c r="K170" s="2159">
        <f>'Production cost'!$K468</f>
        <v>0.25</v>
      </c>
      <c r="L170" s="1260">
        <f>'Production cost'!$L468</f>
        <v>2</v>
      </c>
      <c r="M170" s="2160">
        <f>'Production cost'!$M468</f>
        <v>0</v>
      </c>
      <c r="N170" s="2161">
        <f t="shared" si="17"/>
        <v>0</v>
      </c>
      <c r="O170" s="1260">
        <f>'Production cost'!$O468</f>
        <v>352574.32240985788</v>
      </c>
      <c r="P170" s="1260">
        <f>'Production cost'!$P468</f>
        <v>0</v>
      </c>
      <c r="Q170" s="1260">
        <f t="shared" si="18"/>
        <v>0</v>
      </c>
      <c r="R170" s="1260">
        <f>IF($E$2&gt;0,Q170/$E$2,0)</f>
        <v>0</v>
      </c>
      <c r="S170" s="2162">
        <f>IF(M170&gt;0,K170*O170+L170*P170,0)</f>
        <v>0</v>
      </c>
      <c r="T170" s="313" t="str">
        <f>'Production cost'!T468</f>
        <v>N</v>
      </c>
      <c r="AK170" s="313"/>
      <c r="AL170" s="313"/>
      <c r="AM170" s="313"/>
      <c r="AO170" s="1055"/>
      <c r="AP170" s="385"/>
      <c r="AQ170" s="385"/>
      <c r="AR170" s="1048"/>
      <c r="AS170" s="1051"/>
    </row>
    <row r="171" spans="1:47" ht="14.25" customHeight="1">
      <c r="E171" s="363"/>
      <c r="F171" s="384"/>
      <c r="G171" s="1270"/>
      <c r="M171" s="391"/>
      <c r="N171" s="391"/>
      <c r="AO171" s="385"/>
      <c r="AP171" s="385"/>
      <c r="AQ171" s="385"/>
      <c r="AR171" s="1048"/>
      <c r="AS171" s="385"/>
    </row>
    <row r="172" spans="1:47" ht="14.25" customHeight="1">
      <c r="B172" s="1269"/>
      <c r="C172" s="385"/>
      <c r="G172" s="1270"/>
      <c r="S172" s="363"/>
      <c r="AO172" s="385"/>
      <c r="AP172" s="385"/>
      <c r="AQ172" s="385"/>
      <c r="AR172" s="1048"/>
      <c r="AS172" s="385"/>
      <c r="AU172" s="392"/>
    </row>
    <row r="173" spans="1:47" ht="12.75" outlineLevel="1">
      <c r="A173" s="1269" t="s">
        <v>1415</v>
      </c>
      <c r="B173" s="1255" t="s">
        <v>159</v>
      </c>
      <c r="C173" s="1256" t="str">
        <f>'Production cost'!$C471</f>
        <v>Folding &amp; Glueing (side-joint)</v>
      </c>
      <c r="D173" s="1256"/>
      <c r="E173" s="2144"/>
      <c r="F173" s="2144" t="str">
        <f ca="1">'Production cost'!$F471</f>
        <v>Pcs</v>
      </c>
      <c r="G173" s="2144"/>
      <c r="H173" s="1256">
        <f ca="1">IFERROR(IF($F173="PCS",$E$4,VLOOKUP($F173,'Proof cost'!$I$23:$X$55,2,0)),0)</f>
        <v>198.00000000000003</v>
      </c>
      <c r="I173" s="1256" t="str">
        <f ca="1">'Production cost'!$I471</f>
        <v>4000</v>
      </c>
      <c r="J173" s="1256" t="s">
        <v>175</v>
      </c>
      <c r="K173" s="2145">
        <f>'Production cost'!$K471</f>
        <v>0</v>
      </c>
      <c r="L173" s="1256" t="str">
        <f ca="1">'Production cost'!$L471</f>
        <v>7</v>
      </c>
      <c r="M173" s="2146">
        <f ca="1">'Production cost'!$M471</f>
        <v>0.33333333333333331</v>
      </c>
      <c r="N173" s="2152">
        <f t="shared" ref="N173:N183" ca="1" si="21">IF(H173&gt;0,ROUNDUP(((H173/I173)/$M$5+M173),1),0)</f>
        <v>0.4</v>
      </c>
      <c r="O173" s="1256"/>
      <c r="P173" s="1256">
        <f>'Production cost'!$P471</f>
        <v>59357.701116720593</v>
      </c>
      <c r="Q173" s="1256">
        <f t="shared" ref="Q173:Q183" ca="1" si="22">(N173*O173*K173+N173*P173*L173)*(1+$R$312)</f>
        <v>166201.56312681769</v>
      </c>
      <c r="R173" s="1256">
        <f t="shared" ref="R173:R183" ca="1" si="23">IF($E$2&gt;0,Q173/$E$2,0)</f>
        <v>923.34201737120941</v>
      </c>
      <c r="S173" s="1257">
        <f t="shared" ref="S173:S183" ca="1" si="24">IF(M173&gt;0,K173*O173+L173*P173,0)</f>
        <v>415503.90781704418</v>
      </c>
      <c r="T173" s="313" t="str">
        <f ca="1">'Production cost'!T471</f>
        <v>Box</v>
      </c>
      <c r="AK173" s="313"/>
      <c r="AL173" s="313"/>
      <c r="AM173" s="313"/>
      <c r="AO173" s="385"/>
      <c r="AP173" s="385"/>
      <c r="AQ173" s="385"/>
      <c r="AR173" s="1048"/>
      <c r="AS173" s="1051"/>
      <c r="AU173" s="392"/>
    </row>
    <row r="174" spans="1:47" ht="12.75" outlineLevel="1">
      <c r="A174" s="1269"/>
      <c r="B174" s="1258" t="s">
        <v>159</v>
      </c>
      <c r="C174" s="313" t="str">
        <f>'Production cost'!$C472</f>
        <v>Folding &amp; Glueing (side-joint)</v>
      </c>
      <c r="E174" s="363"/>
      <c r="F174" s="363" t="str">
        <f ca="1">'Production cost'!$F472</f>
        <v>N</v>
      </c>
      <c r="G174" s="363"/>
      <c r="H174" s="313">
        <f ca="1">IFERROR(IF($F174="PCS",$E$4,VLOOKUP($F174,'Proof cost'!$I$23:$X$55,2,0)),0)</f>
        <v>0</v>
      </c>
      <c r="I174" s="313">
        <f ca="1">'Production cost'!$I472</f>
        <v>9000</v>
      </c>
      <c r="J174" s="313" t="s">
        <v>175</v>
      </c>
      <c r="K174" s="360">
        <f>'Production cost'!$K472</f>
        <v>0</v>
      </c>
      <c r="L174" s="313">
        <f ca="1">'Production cost'!$L472</f>
        <v>4</v>
      </c>
      <c r="M174" s="391">
        <f ca="1">'Production cost'!$M472</f>
        <v>0</v>
      </c>
      <c r="N174" s="983">
        <f t="shared" ca="1" si="21"/>
        <v>0</v>
      </c>
      <c r="P174" s="313">
        <f>'Production cost'!$P472</f>
        <v>59357.701116720593</v>
      </c>
      <c r="Q174" s="313">
        <f t="shared" ca="1" si="22"/>
        <v>0</v>
      </c>
      <c r="R174" s="313">
        <f t="shared" ca="1" si="23"/>
        <v>0</v>
      </c>
      <c r="S174" s="1741">
        <f t="shared" ca="1" si="24"/>
        <v>0</v>
      </c>
      <c r="T174" s="313" t="str">
        <f ca="1">'Production cost'!T472</f>
        <v>N</v>
      </c>
      <c r="AK174" s="313"/>
      <c r="AL174" s="313"/>
      <c r="AM174" s="313"/>
      <c r="AO174" s="385"/>
      <c r="AP174" s="385"/>
      <c r="AQ174" s="385"/>
      <c r="AR174" s="1048"/>
      <c r="AS174" s="1051"/>
      <c r="AU174" s="392"/>
    </row>
    <row r="175" spans="1:47" ht="12.75" outlineLevel="1">
      <c r="A175" s="1269"/>
      <c r="B175" s="1258" t="s">
        <v>159</v>
      </c>
      <c r="C175" s="313" t="str">
        <f>'Production cost'!$C473</f>
        <v>Folding &amp; Glueing (side-joint)</v>
      </c>
      <c r="E175" s="363"/>
      <c r="F175" s="363" t="str">
        <f ca="1">'Production cost'!$F473</f>
        <v>N</v>
      </c>
      <c r="G175" s="363"/>
      <c r="H175" s="313">
        <f ca="1">IFERROR(IF($F175="PCS",$E$4,VLOOKUP($F175,'Proof cost'!$I$23:$X$55,2,0)),0)</f>
        <v>0</v>
      </c>
      <c r="I175" s="313">
        <f ca="1">'Production cost'!$I473</f>
        <v>9000</v>
      </c>
      <c r="J175" s="313" t="s">
        <v>175</v>
      </c>
      <c r="K175" s="360">
        <f>'Production cost'!$K473</f>
        <v>0</v>
      </c>
      <c r="L175" s="313">
        <f ca="1">'Production cost'!$L473</f>
        <v>4</v>
      </c>
      <c r="M175" s="391">
        <f ca="1">'Production cost'!$M473</f>
        <v>0</v>
      </c>
      <c r="N175" s="983">
        <f t="shared" ca="1" si="21"/>
        <v>0</v>
      </c>
      <c r="P175" s="313">
        <f>'Production cost'!$P473</f>
        <v>59357.701116720593</v>
      </c>
      <c r="Q175" s="313">
        <f t="shared" ca="1" si="22"/>
        <v>0</v>
      </c>
      <c r="R175" s="313">
        <f t="shared" ca="1" si="23"/>
        <v>0</v>
      </c>
      <c r="S175" s="1741">
        <f t="shared" ca="1" si="24"/>
        <v>0</v>
      </c>
      <c r="T175" s="313" t="str">
        <f ca="1">'Production cost'!T473</f>
        <v>N</v>
      </c>
      <c r="AK175" s="313"/>
      <c r="AL175" s="313"/>
      <c r="AM175" s="313"/>
      <c r="AO175" s="385"/>
      <c r="AP175" s="385"/>
      <c r="AQ175" s="385"/>
      <c r="AR175" s="1048"/>
      <c r="AS175" s="1051"/>
      <c r="AU175" s="392"/>
    </row>
    <row r="176" spans="1:47" ht="12.75" outlineLevel="1">
      <c r="A176" s="1269"/>
      <c r="B176" s="1258" t="s">
        <v>159</v>
      </c>
      <c r="C176" s="313" t="str">
        <f>'Production cost'!$C474</f>
        <v>Folding &amp; Glueing (side-joint)</v>
      </c>
      <c r="E176" s="363"/>
      <c r="F176" s="363" t="str">
        <f ca="1">'Production cost'!$F474</f>
        <v>N</v>
      </c>
      <c r="G176" s="363"/>
      <c r="H176" s="313">
        <f ca="1">IFERROR(IF($F176="PCS",$E$4,VLOOKUP($F176,'Proof cost'!$I$23:$X$55,2,0)),0)</f>
        <v>0</v>
      </c>
      <c r="I176" s="313">
        <f ca="1">'Production cost'!$I474</f>
        <v>9000</v>
      </c>
      <c r="J176" s="313" t="s">
        <v>175</v>
      </c>
      <c r="K176" s="360">
        <f>'Production cost'!$K474</f>
        <v>0</v>
      </c>
      <c r="L176" s="313">
        <f ca="1">'Production cost'!$L474</f>
        <v>4</v>
      </c>
      <c r="M176" s="391">
        <f ca="1">'Production cost'!$M474</f>
        <v>0</v>
      </c>
      <c r="N176" s="983">
        <f t="shared" ca="1" si="21"/>
        <v>0</v>
      </c>
      <c r="P176" s="313">
        <f>'Production cost'!$P474</f>
        <v>59357.701116720593</v>
      </c>
      <c r="Q176" s="313">
        <f t="shared" ca="1" si="22"/>
        <v>0</v>
      </c>
      <c r="R176" s="313">
        <f t="shared" ca="1" si="23"/>
        <v>0</v>
      </c>
      <c r="S176" s="1741">
        <f t="shared" ca="1" si="24"/>
        <v>0</v>
      </c>
      <c r="T176" s="313" t="str">
        <f ca="1">'Production cost'!T474</f>
        <v>N</v>
      </c>
      <c r="AK176" s="313"/>
      <c r="AL176" s="313"/>
      <c r="AM176" s="313"/>
      <c r="AO176" s="385"/>
      <c r="AP176" s="385"/>
      <c r="AQ176" s="385"/>
      <c r="AR176" s="1048"/>
      <c r="AS176" s="1051"/>
      <c r="AU176" s="392"/>
    </row>
    <row r="177" spans="1:47" ht="12.75" outlineLevel="1">
      <c r="A177" s="1269"/>
      <c r="B177" s="1258" t="s">
        <v>159</v>
      </c>
      <c r="C177" s="313" t="str">
        <f>'Production cost'!$C475</f>
        <v>Folding &amp; Glueing (side-joint)</v>
      </c>
      <c r="E177" s="363"/>
      <c r="F177" s="363" t="str">
        <f ca="1">'Production cost'!$F475</f>
        <v>N</v>
      </c>
      <c r="G177" s="363"/>
      <c r="H177" s="313">
        <f ca="1">IFERROR(IF($F177="PCS",$E$4,VLOOKUP($F177,'Proof cost'!$I$23:$X$55,2,0)),0)</f>
        <v>0</v>
      </c>
      <c r="I177" s="313">
        <f ca="1">'Production cost'!$I475</f>
        <v>9000</v>
      </c>
      <c r="J177" s="313" t="s">
        <v>175</v>
      </c>
      <c r="K177" s="360">
        <f>'Production cost'!$K475</f>
        <v>0</v>
      </c>
      <c r="L177" s="313">
        <f ca="1">'Production cost'!$L475</f>
        <v>4</v>
      </c>
      <c r="M177" s="391">
        <f ca="1">'Production cost'!$M475</f>
        <v>0</v>
      </c>
      <c r="N177" s="983">
        <f t="shared" ca="1" si="21"/>
        <v>0</v>
      </c>
      <c r="P177" s="313">
        <f>'Production cost'!$P475</f>
        <v>59357.701116720593</v>
      </c>
      <c r="Q177" s="313">
        <f t="shared" ca="1" si="22"/>
        <v>0</v>
      </c>
      <c r="R177" s="313">
        <f t="shared" ca="1" si="23"/>
        <v>0</v>
      </c>
      <c r="S177" s="1741">
        <f t="shared" ca="1" si="24"/>
        <v>0</v>
      </c>
      <c r="T177" s="313" t="str">
        <f ca="1">'Production cost'!T475</f>
        <v>N</v>
      </c>
      <c r="AK177" s="313"/>
      <c r="AL177" s="313"/>
      <c r="AM177" s="313"/>
      <c r="AO177" s="385"/>
      <c r="AP177" s="385"/>
      <c r="AQ177" s="385"/>
      <c r="AR177" s="1048"/>
      <c r="AS177" s="1051"/>
      <c r="AU177" s="392"/>
    </row>
    <row r="178" spans="1:47" ht="12.75" outlineLevel="1">
      <c r="B178" s="1258" t="s">
        <v>159</v>
      </c>
      <c r="C178" s="313" t="str">
        <f>'Production cost'!$C486</f>
        <v>Other</v>
      </c>
      <c r="E178" s="363"/>
      <c r="F178" s="363" t="str">
        <f ca="1">'Production cost'!$F486</f>
        <v>N</v>
      </c>
      <c r="G178" s="363"/>
      <c r="H178" s="313">
        <f ca="1">IFERROR(IF($F178="PCS",$E$4,VLOOKUP($F178,'Proof cost'!$I$23:$X$55,2,0)),0)</f>
        <v>0</v>
      </c>
      <c r="I178" s="313">
        <f ca="1">'Production cost'!$I486</f>
        <v>9000</v>
      </c>
      <c r="J178" s="313" t="s">
        <v>175</v>
      </c>
      <c r="K178" s="360">
        <f>'Production cost'!$K486</f>
        <v>0</v>
      </c>
      <c r="L178" s="313">
        <f ca="1">'Production cost'!$L486</f>
        <v>4</v>
      </c>
      <c r="M178" s="391">
        <f ca="1">'Production cost'!$M486</f>
        <v>0</v>
      </c>
      <c r="N178" s="983">
        <f t="shared" ca="1" si="21"/>
        <v>0</v>
      </c>
      <c r="P178" s="313">
        <f>'Production cost'!$P486</f>
        <v>59357.701116720593</v>
      </c>
      <c r="Q178" s="313">
        <f t="shared" ca="1" si="22"/>
        <v>0</v>
      </c>
      <c r="R178" s="313">
        <f t="shared" ca="1" si="23"/>
        <v>0</v>
      </c>
      <c r="S178" s="1741">
        <f t="shared" ca="1" si="24"/>
        <v>0</v>
      </c>
      <c r="T178" s="313" t="str">
        <f ca="1">'Production cost'!T486</f>
        <v>E-flute 115/105</v>
      </c>
      <c r="AK178" s="313"/>
      <c r="AL178" s="313"/>
      <c r="AM178" s="313"/>
      <c r="AO178" s="385"/>
      <c r="AP178" s="1055"/>
      <c r="AQ178" s="385"/>
      <c r="AR178" s="1048"/>
      <c r="AS178" s="385"/>
      <c r="AU178" s="392"/>
    </row>
    <row r="179" spans="1:47" ht="12.75" outlineLevel="1">
      <c r="B179" s="1258" t="s">
        <v>159</v>
      </c>
      <c r="C179" s="313" t="str">
        <f>'Production cost'!$C487</f>
        <v>Other</v>
      </c>
      <c r="E179" s="363"/>
      <c r="F179" s="363" t="str">
        <f ca="1">'Production cost'!$F487</f>
        <v>N</v>
      </c>
      <c r="G179" s="363"/>
      <c r="H179" s="313">
        <f ca="1">IFERROR(IF($F179="PCS",$E$4,VLOOKUP($F179,'Proof cost'!$I$23:$X$55,2,0)),0)</f>
        <v>0</v>
      </c>
      <c r="I179" s="313">
        <f ca="1">'Production cost'!$I487</f>
        <v>9000</v>
      </c>
      <c r="J179" s="313" t="s">
        <v>175</v>
      </c>
      <c r="K179" s="360">
        <f>'Production cost'!$K487</f>
        <v>0</v>
      </c>
      <c r="L179" s="313">
        <f ca="1">'Production cost'!$L487</f>
        <v>4</v>
      </c>
      <c r="M179" s="391">
        <f ca="1">'Production cost'!$M487</f>
        <v>0</v>
      </c>
      <c r="N179" s="983">
        <f t="shared" ca="1" si="21"/>
        <v>0</v>
      </c>
      <c r="P179" s="313">
        <f>'Production cost'!$P487</f>
        <v>59357.701116720593</v>
      </c>
      <c r="Q179" s="313">
        <f t="shared" ca="1" si="22"/>
        <v>0</v>
      </c>
      <c r="R179" s="313">
        <f t="shared" ca="1" si="23"/>
        <v>0</v>
      </c>
      <c r="S179" s="1741">
        <f t="shared" ca="1" si="24"/>
        <v>0</v>
      </c>
      <c r="T179" s="313" t="str">
        <f ca="1">'Production cost'!T487</f>
        <v>N</v>
      </c>
      <c r="AK179" s="313"/>
      <c r="AL179" s="313"/>
      <c r="AM179" s="313"/>
      <c r="AO179" s="385"/>
      <c r="AP179" s="1055"/>
      <c r="AQ179" s="385"/>
      <c r="AR179" s="1048"/>
      <c r="AS179" s="385"/>
      <c r="AU179" s="392"/>
    </row>
    <row r="180" spans="1:47" ht="12.75" outlineLevel="1">
      <c r="B180" s="1258" t="s">
        <v>159</v>
      </c>
      <c r="C180" s="313" t="str">
        <f>'Production cost'!$C488</f>
        <v>Other</v>
      </c>
      <c r="E180" s="363"/>
      <c r="F180" s="363" t="str">
        <f ca="1">'Production cost'!$F488</f>
        <v>N</v>
      </c>
      <c r="G180" s="363"/>
      <c r="H180" s="313">
        <f ca="1">IFERROR(IF($F180="PCS",$E$4,VLOOKUP($F180,'Proof cost'!$I$23:$X$55,2,0)),0)</f>
        <v>0</v>
      </c>
      <c r="I180" s="313">
        <f ca="1">'Production cost'!$I488</f>
        <v>9000</v>
      </c>
      <c r="J180" s="313" t="s">
        <v>175</v>
      </c>
      <c r="K180" s="360">
        <f>'Production cost'!$K488</f>
        <v>0</v>
      </c>
      <c r="L180" s="313">
        <f ca="1">'Production cost'!$L488</f>
        <v>4</v>
      </c>
      <c r="M180" s="391">
        <f ca="1">'Production cost'!$M488</f>
        <v>0</v>
      </c>
      <c r="N180" s="983">
        <f t="shared" ca="1" si="21"/>
        <v>0</v>
      </c>
      <c r="P180" s="313">
        <f>'Production cost'!$P488</f>
        <v>59357.701116720593</v>
      </c>
      <c r="Q180" s="313">
        <f t="shared" ca="1" si="22"/>
        <v>0</v>
      </c>
      <c r="R180" s="313">
        <f t="shared" ca="1" si="23"/>
        <v>0</v>
      </c>
      <c r="S180" s="1741">
        <f t="shared" ca="1" si="24"/>
        <v>0</v>
      </c>
      <c r="T180" s="313" t="str">
        <f ca="1">'Production cost'!T488</f>
        <v>N</v>
      </c>
      <c r="AK180" s="313"/>
      <c r="AL180" s="313"/>
      <c r="AM180" s="313"/>
      <c r="AO180" s="385"/>
      <c r="AP180" s="1055"/>
      <c r="AQ180" s="385"/>
      <c r="AR180" s="1048"/>
      <c r="AS180" s="385"/>
      <c r="AU180" s="392"/>
    </row>
    <row r="181" spans="1:47" ht="12.75" outlineLevel="1">
      <c r="B181" s="1258" t="s">
        <v>159</v>
      </c>
      <c r="C181" s="313" t="str">
        <f>'Production cost'!$C489</f>
        <v>Other</v>
      </c>
      <c r="E181" s="363"/>
      <c r="F181" s="363" t="str">
        <f ca="1">'Production cost'!$F489</f>
        <v>N</v>
      </c>
      <c r="G181" s="363"/>
      <c r="H181" s="313">
        <f ca="1">IFERROR(IF($F181="PCS",$E$4,VLOOKUP($F181,'Proof cost'!$I$23:$X$55,2,0)),0)</f>
        <v>0</v>
      </c>
      <c r="I181" s="313">
        <f ca="1">'Production cost'!$I489</f>
        <v>9000</v>
      </c>
      <c r="J181" s="313" t="s">
        <v>175</v>
      </c>
      <c r="K181" s="360">
        <f>'Production cost'!$K489</f>
        <v>0</v>
      </c>
      <c r="L181" s="313">
        <f ca="1">'Production cost'!$L489</f>
        <v>4</v>
      </c>
      <c r="M181" s="391">
        <f ca="1">'Production cost'!$M489</f>
        <v>0</v>
      </c>
      <c r="N181" s="983">
        <f t="shared" ca="1" si="21"/>
        <v>0</v>
      </c>
      <c r="P181" s="313">
        <f>'Production cost'!$P489</f>
        <v>59357.701116720593</v>
      </c>
      <c r="Q181" s="313">
        <f t="shared" ca="1" si="22"/>
        <v>0</v>
      </c>
      <c r="R181" s="313">
        <f t="shared" ca="1" si="23"/>
        <v>0</v>
      </c>
      <c r="S181" s="1741">
        <f t="shared" ca="1" si="24"/>
        <v>0</v>
      </c>
      <c r="T181" s="313" t="str">
        <f ca="1">'Production cost'!T489</f>
        <v>N</v>
      </c>
      <c r="AK181" s="313"/>
      <c r="AL181" s="313"/>
      <c r="AM181" s="313"/>
      <c r="AO181" s="385"/>
      <c r="AP181" s="1055"/>
      <c r="AQ181" s="385"/>
      <c r="AR181" s="1048"/>
      <c r="AS181" s="385"/>
      <c r="AU181" s="392"/>
    </row>
    <row r="182" spans="1:47" ht="12.75" outlineLevel="1">
      <c r="B182" s="1258" t="s">
        <v>159</v>
      </c>
      <c r="C182" s="313" t="str">
        <f>'Production cost'!$C490</f>
        <v>Other</v>
      </c>
      <c r="E182" s="363"/>
      <c r="F182" s="363" t="str">
        <f ca="1">'Production cost'!$F490</f>
        <v>N</v>
      </c>
      <c r="G182" s="363"/>
      <c r="H182" s="313">
        <f ca="1">IFERROR(IF($F182="PCS",$E$4,VLOOKUP($F182,'Proof cost'!$I$23:$X$55,2,0)),0)</f>
        <v>0</v>
      </c>
      <c r="I182" s="313">
        <f ca="1">'Production cost'!$I490</f>
        <v>9000</v>
      </c>
      <c r="J182" s="313" t="s">
        <v>175</v>
      </c>
      <c r="K182" s="360">
        <f>'Production cost'!$K490</f>
        <v>0</v>
      </c>
      <c r="L182" s="313">
        <f ca="1">'Production cost'!$L490</f>
        <v>4</v>
      </c>
      <c r="M182" s="391">
        <f ca="1">'Production cost'!$M490</f>
        <v>0</v>
      </c>
      <c r="N182" s="983">
        <f t="shared" ca="1" si="21"/>
        <v>0</v>
      </c>
      <c r="P182" s="313">
        <f>'Production cost'!$P490</f>
        <v>59357.701116720593</v>
      </c>
      <c r="Q182" s="313">
        <f t="shared" ca="1" si="22"/>
        <v>0</v>
      </c>
      <c r="R182" s="313">
        <f t="shared" ca="1" si="23"/>
        <v>0</v>
      </c>
      <c r="S182" s="1741">
        <f t="shared" ca="1" si="24"/>
        <v>0</v>
      </c>
      <c r="T182" s="313" t="str">
        <f ca="1">'Production cost'!T490</f>
        <v>N</v>
      </c>
      <c r="AK182" s="313"/>
      <c r="AL182" s="313"/>
      <c r="AM182" s="313"/>
      <c r="AO182" s="385"/>
      <c r="AP182" s="1055"/>
      <c r="AQ182" s="385"/>
      <c r="AR182" s="1048"/>
      <c r="AS182" s="385"/>
      <c r="AU182" s="392"/>
    </row>
    <row r="183" spans="1:47" ht="14.25" customHeight="1">
      <c r="B183" s="1259" t="s">
        <v>159</v>
      </c>
      <c r="C183" s="1260" t="str">
        <f>'Production cost'!$C491</f>
        <v>Other</v>
      </c>
      <c r="D183" s="1260"/>
      <c r="E183" s="2158"/>
      <c r="F183" s="2158" t="str">
        <f>'Production cost'!$F491</f>
        <v>N</v>
      </c>
      <c r="G183" s="2158"/>
      <c r="H183" s="1260">
        <f>IFERROR(IF($F183="PCS",$E$4,VLOOKUP($F183,'Proof cost'!$I$23:$X$55,2,0)),0)</f>
        <v>0</v>
      </c>
      <c r="I183" s="1260">
        <f>'Production cost'!$I491</f>
        <v>9000</v>
      </c>
      <c r="J183" s="1260" t="s">
        <v>175</v>
      </c>
      <c r="K183" s="2159">
        <f>'Production cost'!$K491</f>
        <v>0</v>
      </c>
      <c r="L183" s="1260">
        <f>'Production cost'!$L491</f>
        <v>4</v>
      </c>
      <c r="M183" s="2160">
        <f ca="1">'Production cost'!$M491</f>
        <v>0</v>
      </c>
      <c r="N183" s="2161">
        <f t="shared" si="21"/>
        <v>0</v>
      </c>
      <c r="O183" s="1260"/>
      <c r="P183" s="1260">
        <f>'Production cost'!$P491</f>
        <v>59357.701116720593</v>
      </c>
      <c r="Q183" s="1260">
        <f t="shared" si="22"/>
        <v>0</v>
      </c>
      <c r="R183" s="1260">
        <f t="shared" si="23"/>
        <v>0</v>
      </c>
      <c r="S183" s="2162">
        <f t="shared" ca="1" si="24"/>
        <v>0</v>
      </c>
      <c r="T183" s="313">
        <f>'Production cost'!T491</f>
        <v>0</v>
      </c>
      <c r="AK183" s="313"/>
      <c r="AL183" s="313"/>
      <c r="AM183" s="313"/>
      <c r="AO183" s="385"/>
      <c r="AP183" s="385"/>
      <c r="AQ183" s="385"/>
      <c r="AR183" s="1048"/>
      <c r="AS183" s="385"/>
      <c r="AU183" s="392"/>
    </row>
    <row r="184" spans="1:47" ht="14.25" customHeight="1">
      <c r="F184" s="384"/>
      <c r="G184" s="363"/>
      <c r="H184" s="363"/>
      <c r="N184" s="391"/>
      <c r="P184" s="364"/>
      <c r="AK184" s="313"/>
      <c r="AL184" s="313"/>
      <c r="AM184" s="313"/>
      <c r="AO184" s="385"/>
      <c r="AP184" s="385"/>
      <c r="AQ184" s="385"/>
      <c r="AR184" s="1048"/>
      <c r="AS184" s="385"/>
      <c r="AU184" s="392"/>
    </row>
    <row r="185" spans="1:47" ht="14.25" customHeight="1">
      <c r="F185" s="384"/>
      <c r="G185" s="363"/>
      <c r="H185" s="363"/>
      <c r="N185" s="391"/>
      <c r="P185" s="364"/>
      <c r="AK185" s="313"/>
      <c r="AL185" s="313"/>
      <c r="AM185" s="313"/>
      <c r="AO185" s="385"/>
      <c r="AP185" s="385"/>
      <c r="AQ185" s="385"/>
      <c r="AR185" s="1048"/>
      <c r="AS185" s="385"/>
      <c r="AU185" s="392"/>
    </row>
    <row r="186" spans="1:47" s="385" customFormat="1" ht="14.25" customHeight="1">
      <c r="A186" s="385" t="s">
        <v>217</v>
      </c>
      <c r="G186" s="1271"/>
      <c r="H186" s="385" t="str">
        <f>(input!B16&amp;" "&amp;input!C16&amp;"  X  "&amp;input!E16)</f>
        <v>Size of Book : 150  X  150</v>
      </c>
      <c r="K186" s="430"/>
      <c r="N186" s="399"/>
      <c r="AR186" s="1048"/>
      <c r="AU186" s="398"/>
    </row>
    <row r="187" spans="1:47" ht="12.75" customHeight="1">
      <c r="A187" s="1269" t="s">
        <v>141</v>
      </c>
      <c r="B187" s="1269"/>
      <c r="C187" s="385"/>
      <c r="G187" s="1270"/>
      <c r="H187" s="385">
        <f>'Production cost'!$H495</f>
        <v>9</v>
      </c>
      <c r="I187" s="313" t="s">
        <v>191</v>
      </c>
      <c r="K187" s="430">
        <f>'Production cost'!$K495</f>
        <v>0</v>
      </c>
      <c r="L187" s="313" t="s">
        <v>639</v>
      </c>
      <c r="N187" s="391"/>
      <c r="AK187" s="313"/>
      <c r="AL187" s="313"/>
      <c r="AM187" s="313"/>
      <c r="AO187" s="385"/>
      <c r="AP187" s="1055"/>
      <c r="AQ187" s="385"/>
      <c r="AR187" s="1048"/>
      <c r="AS187" s="385"/>
      <c r="AU187" s="392"/>
    </row>
    <row r="188" spans="1:47" ht="12.75" customHeight="1" outlineLevel="1">
      <c r="A188" s="1269"/>
      <c r="B188" s="1255" t="s">
        <v>159</v>
      </c>
      <c r="C188" s="1256" t="str">
        <f>'Production cost'!$C496</f>
        <v>Laminating foam + CB</v>
      </c>
      <c r="D188" s="1256"/>
      <c r="E188" s="2144"/>
      <c r="F188" s="2144" t="str">
        <f>'Production cost'!$F496</f>
        <v>N</v>
      </c>
      <c r="G188" s="2144"/>
      <c r="H188" s="1256">
        <f>IFERROR(IF($F188="PCS",$E$4,VLOOKUP($F188,'Proof cost'!$I$23:$X$55,2,0)),0)</f>
        <v>0</v>
      </c>
      <c r="I188" s="1256">
        <f>'Production cost'!$I496</f>
        <v>880</v>
      </c>
      <c r="J188" s="1256" t="str">
        <f>'Production cost'!$J496</f>
        <v>sheets</v>
      </c>
      <c r="K188" s="2145">
        <f>'Production cost'!$K496</f>
        <v>0</v>
      </c>
      <c r="L188" s="1256">
        <f>'Production cost'!$L496</f>
        <v>7</v>
      </c>
      <c r="M188" s="2146">
        <f ca="1">'Production cost'!$M496</f>
        <v>0</v>
      </c>
      <c r="N188" s="2152">
        <f t="shared" ref="N188:N243" si="25">IF(H188&gt;0,ROUNDUP(((H188/I188)/$M$5+M188),1),0)</f>
        <v>0</v>
      </c>
      <c r="O188" s="1256"/>
      <c r="P188" s="1256">
        <f>'Production cost'!$P496</f>
        <v>64591.331280067061</v>
      </c>
      <c r="Q188" s="1256">
        <f t="shared" ref="Q188:Q243" si="26">(N188*O188*K188+N188*P188*L188)*(1+$R$312)</f>
        <v>0</v>
      </c>
      <c r="R188" s="1256">
        <f t="shared" ref="R188:R243" si="27">IF($E$2&gt;0,Q188/$E$2,0)</f>
        <v>0</v>
      </c>
      <c r="S188" s="1257">
        <f t="shared" ref="S188:S242" ca="1" si="28">IF(M188&gt;0,K188*O188+L188*P188,0)</f>
        <v>0</v>
      </c>
      <c r="T188" s="313" t="str">
        <f>'Production cost'!T496</f>
        <v>N</v>
      </c>
      <c r="AK188" s="313"/>
      <c r="AL188" s="313"/>
      <c r="AM188" s="313"/>
      <c r="AO188" s="385"/>
      <c r="AP188" s="1055"/>
      <c r="AQ188" s="385"/>
      <c r="AR188" s="1048"/>
      <c r="AS188" s="385"/>
      <c r="AU188" s="392"/>
    </row>
    <row r="189" spans="1:47" ht="12.75" customHeight="1" outlineLevel="1">
      <c r="A189" s="1269"/>
      <c r="B189" s="1258" t="s">
        <v>159</v>
      </c>
      <c r="C189" s="313" t="str">
        <f>'Production cost'!$C497</f>
        <v>Laminating foam + CB</v>
      </c>
      <c r="E189" s="363"/>
      <c r="F189" s="363" t="str">
        <f>'Production cost'!$F497</f>
        <v>N</v>
      </c>
      <c r="G189" s="363"/>
      <c r="H189" s="313">
        <f>IFERROR(IF($F189="PCS",$E$4,VLOOKUP($F189,'Proof cost'!$I$23:$X$55,2,0)),0)</f>
        <v>0</v>
      </c>
      <c r="I189" s="313">
        <f>'Production cost'!$I497</f>
        <v>880</v>
      </c>
      <c r="J189" s="313" t="str">
        <f>'Production cost'!$J497</f>
        <v>sheets</v>
      </c>
      <c r="K189" s="360">
        <f>'Production cost'!$K497</f>
        <v>0</v>
      </c>
      <c r="L189" s="313">
        <f>'Production cost'!$L497</f>
        <v>7</v>
      </c>
      <c r="M189" s="391">
        <f ca="1">'Production cost'!$M497</f>
        <v>0</v>
      </c>
      <c r="N189" s="983">
        <f t="shared" si="25"/>
        <v>0</v>
      </c>
      <c r="P189" s="313">
        <f>'Production cost'!$P497</f>
        <v>64591.331280067061</v>
      </c>
      <c r="Q189" s="313">
        <f t="shared" si="26"/>
        <v>0</v>
      </c>
      <c r="R189" s="313">
        <f t="shared" si="27"/>
        <v>0</v>
      </c>
      <c r="S189" s="1741">
        <f t="shared" ca="1" si="28"/>
        <v>0</v>
      </c>
      <c r="T189" s="313" t="str">
        <f>'Production cost'!T497</f>
        <v>N</v>
      </c>
      <c r="AK189" s="313"/>
      <c r="AL189" s="313"/>
      <c r="AM189" s="313"/>
      <c r="AO189" s="385"/>
      <c r="AP189" s="1055"/>
      <c r="AQ189" s="385"/>
      <c r="AR189" s="1048"/>
      <c r="AS189" s="385"/>
      <c r="AU189" s="392"/>
    </row>
    <row r="190" spans="1:47" ht="12.75" customHeight="1" outlineLevel="1">
      <c r="A190" s="1269"/>
      <c r="B190" s="1258" t="s">
        <v>159</v>
      </c>
      <c r="C190" s="313" t="str">
        <f>'Production cost'!$C498</f>
        <v>Laminating foam + CB</v>
      </c>
      <c r="E190" s="363"/>
      <c r="F190" s="363" t="str">
        <f>'Production cost'!$F498</f>
        <v>N</v>
      </c>
      <c r="G190" s="363"/>
      <c r="H190" s="313">
        <f>IFERROR(IF($F190="PCS",$E$4,VLOOKUP($F190,'Proof cost'!$I$23:$X$55,2,0)),0)</f>
        <v>0</v>
      </c>
      <c r="I190" s="313">
        <f>'Production cost'!$I498</f>
        <v>880</v>
      </c>
      <c r="J190" s="313" t="str">
        <f>'Production cost'!$J498</f>
        <v>sheets</v>
      </c>
      <c r="K190" s="360">
        <f>'Production cost'!$K498</f>
        <v>0</v>
      </c>
      <c r="L190" s="313">
        <f>'Production cost'!$L498</f>
        <v>7</v>
      </c>
      <c r="M190" s="391">
        <f ca="1">'Production cost'!$M498</f>
        <v>0</v>
      </c>
      <c r="N190" s="983">
        <f t="shared" si="25"/>
        <v>0</v>
      </c>
      <c r="P190" s="313">
        <f>'Production cost'!$P498</f>
        <v>64591.331280067061</v>
      </c>
      <c r="Q190" s="313">
        <f t="shared" si="26"/>
        <v>0</v>
      </c>
      <c r="R190" s="313">
        <f t="shared" si="27"/>
        <v>0</v>
      </c>
      <c r="S190" s="1741">
        <f t="shared" ca="1" si="28"/>
        <v>0</v>
      </c>
      <c r="T190" s="313" t="str">
        <f>'Production cost'!T498</f>
        <v>N</v>
      </c>
      <c r="AK190" s="313"/>
      <c r="AL190" s="313"/>
      <c r="AM190" s="313"/>
      <c r="AO190" s="385"/>
      <c r="AP190" s="1055"/>
      <c r="AQ190" s="385"/>
      <c r="AR190" s="1048"/>
      <c r="AS190" s="385"/>
      <c r="AU190" s="392"/>
    </row>
    <row r="191" spans="1:47" ht="12.75" customHeight="1" outlineLevel="1">
      <c r="A191" s="1269"/>
      <c r="B191" s="1258" t="s">
        <v>159</v>
      </c>
      <c r="C191" s="313" t="str">
        <f>'Production cost'!$C499</f>
        <v>Laminating foam + CB</v>
      </c>
      <c r="E191" s="363"/>
      <c r="F191" s="363" t="str">
        <f>'Production cost'!$F499</f>
        <v>N</v>
      </c>
      <c r="G191" s="363"/>
      <c r="H191" s="313">
        <f>IFERROR(IF($F191="PCS",$E$4,VLOOKUP($F191,'Proof cost'!$I$23:$X$55,2,0)),0)</f>
        <v>0</v>
      </c>
      <c r="I191" s="313">
        <f>'Production cost'!$I499</f>
        <v>880</v>
      </c>
      <c r="J191" s="313" t="str">
        <f>'Production cost'!$J499</f>
        <v>sheets</v>
      </c>
      <c r="K191" s="360">
        <f>'Production cost'!$K499</f>
        <v>0</v>
      </c>
      <c r="L191" s="313">
        <f>'Production cost'!$L499</f>
        <v>7</v>
      </c>
      <c r="M191" s="391">
        <f ca="1">'Production cost'!$M499</f>
        <v>0</v>
      </c>
      <c r="N191" s="983">
        <f t="shared" si="25"/>
        <v>0</v>
      </c>
      <c r="P191" s="313">
        <f>'Production cost'!$P499</f>
        <v>64591.331280067061</v>
      </c>
      <c r="Q191" s="313">
        <f t="shared" si="26"/>
        <v>0</v>
      </c>
      <c r="R191" s="313">
        <f t="shared" si="27"/>
        <v>0</v>
      </c>
      <c r="S191" s="1741">
        <f t="shared" ca="1" si="28"/>
        <v>0</v>
      </c>
      <c r="T191" s="313" t="str">
        <f>'Production cost'!T499</f>
        <v>N</v>
      </c>
      <c r="AK191" s="313"/>
      <c r="AL191" s="313"/>
      <c r="AM191" s="313"/>
      <c r="AO191" s="385"/>
      <c r="AP191" s="1055"/>
      <c r="AQ191" s="385"/>
      <c r="AR191" s="1048"/>
      <c r="AS191" s="385"/>
      <c r="AU191" s="392"/>
    </row>
    <row r="192" spans="1:47" ht="12.75" customHeight="1" outlineLevel="1">
      <c r="A192" s="1269"/>
      <c r="B192" s="1258" t="s">
        <v>159</v>
      </c>
      <c r="C192" s="313" t="str">
        <f>'Production cost'!$C500</f>
        <v>Laminating foam + CB</v>
      </c>
      <c r="E192" s="363"/>
      <c r="F192" s="363" t="str">
        <f>'Production cost'!$F500</f>
        <v>N</v>
      </c>
      <c r="G192" s="363"/>
      <c r="H192" s="313">
        <f>IFERROR(IF($F192="PCS",$E$4,VLOOKUP($F192,'Proof cost'!$I$23:$X$55,2,0)),0)</f>
        <v>0</v>
      </c>
      <c r="I192" s="313">
        <f>'Production cost'!$I500</f>
        <v>880</v>
      </c>
      <c r="J192" s="313" t="str">
        <f>'Production cost'!$J500</f>
        <v>sheets</v>
      </c>
      <c r="K192" s="360">
        <f>'Production cost'!$K500</f>
        <v>0</v>
      </c>
      <c r="L192" s="313">
        <f>'Production cost'!$L500</f>
        <v>7</v>
      </c>
      <c r="M192" s="391">
        <f ca="1">'Production cost'!$M500</f>
        <v>0</v>
      </c>
      <c r="N192" s="983">
        <f t="shared" si="25"/>
        <v>0</v>
      </c>
      <c r="P192" s="313">
        <f>'Production cost'!$P500</f>
        <v>64591.331280067061</v>
      </c>
      <c r="Q192" s="313">
        <f t="shared" si="26"/>
        <v>0</v>
      </c>
      <c r="R192" s="313">
        <f t="shared" si="27"/>
        <v>0</v>
      </c>
      <c r="S192" s="1741">
        <f t="shared" ca="1" si="28"/>
        <v>0</v>
      </c>
      <c r="T192" s="313" t="str">
        <f>'Production cost'!T500</f>
        <v>N</v>
      </c>
      <c r="AK192" s="313"/>
      <c r="AL192" s="313"/>
      <c r="AM192" s="313"/>
      <c r="AO192" s="385"/>
      <c r="AP192" s="1055"/>
      <c r="AQ192" s="385"/>
      <c r="AR192" s="1048"/>
      <c r="AS192" s="385"/>
      <c r="AU192" s="392"/>
    </row>
    <row r="193" spans="1:47" ht="12.75" customHeight="1" outlineLevel="1">
      <c r="A193" s="1269"/>
      <c r="B193" s="1258" t="s">
        <v>159</v>
      </c>
      <c r="C193" s="313" t="str">
        <f>'Production cost'!$C501</f>
        <v>Laminating paper</v>
      </c>
      <c r="E193" s="363"/>
      <c r="F193" s="363" t="str">
        <f ca="1">'Production cost'!$F501</f>
        <v>N</v>
      </c>
      <c r="G193" s="363"/>
      <c r="H193" s="313">
        <f ca="1">IFERROR(IF($F193="PCS",$E$4,VLOOKUP($F193,'Proof cost'!$I$23:$X$55,2,0)),0)</f>
        <v>0</v>
      </c>
      <c r="I193" s="313">
        <f ca="1">'Production cost'!$I501</f>
        <v>1200</v>
      </c>
      <c r="J193" s="313" t="str">
        <f>'Production cost'!$J501</f>
        <v>Sheets</v>
      </c>
      <c r="K193" s="360">
        <f>'Production cost'!$K501</f>
        <v>0</v>
      </c>
      <c r="L193" s="313">
        <f ca="1">'Production cost'!$L501</f>
        <v>8</v>
      </c>
      <c r="M193" s="391">
        <f ca="1">'Production cost'!$M501</f>
        <v>0</v>
      </c>
      <c r="N193" s="983">
        <f t="shared" ca="1" si="25"/>
        <v>0</v>
      </c>
      <c r="P193" s="313">
        <f>'Production cost'!$P501</f>
        <v>64591.331280067061</v>
      </c>
      <c r="Q193" s="313">
        <f t="shared" ca="1" si="26"/>
        <v>0</v>
      </c>
      <c r="R193" s="313">
        <f t="shared" ca="1" si="27"/>
        <v>0</v>
      </c>
      <c r="S193" s="1741">
        <f t="shared" ca="1" si="28"/>
        <v>0</v>
      </c>
      <c r="T193" s="313" t="str">
        <f ca="1">'Production cost'!T501</f>
        <v>N</v>
      </c>
      <c r="AM193" s="363"/>
      <c r="AN193" s="385"/>
      <c r="AP193" s="1055"/>
      <c r="AQ193" s="385"/>
      <c r="AR193" s="1048"/>
      <c r="AS193" s="385"/>
      <c r="AU193" s="392"/>
    </row>
    <row r="194" spans="1:47" ht="12.75" customHeight="1" outlineLevel="1">
      <c r="A194" s="1269"/>
      <c r="B194" s="1258" t="s">
        <v>159</v>
      </c>
      <c r="C194" s="313" t="str">
        <f>'Production cost'!$C502</f>
        <v>Laminating paper</v>
      </c>
      <c r="E194" s="363"/>
      <c r="F194" s="363" t="str">
        <f ca="1">'Production cost'!$F502</f>
        <v>N</v>
      </c>
      <c r="G194" s="363"/>
      <c r="H194" s="313">
        <f ca="1">IFERROR(IF($F194="PCS",$E$4,VLOOKUP($F194,'Proof cost'!$I$23:$X$55,2,0)),0)</f>
        <v>0</v>
      </c>
      <c r="I194" s="313">
        <f ca="1">'Production cost'!$I502</f>
        <v>1200</v>
      </c>
      <c r="J194" s="313" t="str">
        <f>'Production cost'!$J502</f>
        <v>Sheets</v>
      </c>
      <c r="K194" s="360">
        <f>'Production cost'!$K502</f>
        <v>0</v>
      </c>
      <c r="L194" s="313">
        <f ca="1">'Production cost'!$L502</f>
        <v>8</v>
      </c>
      <c r="M194" s="391">
        <f ca="1">'Production cost'!$M502</f>
        <v>0</v>
      </c>
      <c r="N194" s="983">
        <f t="shared" ca="1" si="25"/>
        <v>0</v>
      </c>
      <c r="P194" s="313">
        <f>'Production cost'!$P502</f>
        <v>64591.331280067061</v>
      </c>
      <c r="Q194" s="313">
        <f t="shared" ca="1" si="26"/>
        <v>0</v>
      </c>
      <c r="R194" s="313">
        <f t="shared" ca="1" si="27"/>
        <v>0</v>
      </c>
      <c r="S194" s="1741">
        <f t="shared" ca="1" si="28"/>
        <v>0</v>
      </c>
      <c r="T194" s="313" t="str">
        <f ca="1">'Production cost'!T502</f>
        <v>N</v>
      </c>
      <c r="AK194" s="313"/>
      <c r="AL194" s="313"/>
      <c r="AM194" s="313"/>
      <c r="AO194" s="385"/>
      <c r="AP194" s="1055"/>
      <c r="AQ194" s="385"/>
      <c r="AR194" s="1048"/>
      <c r="AS194" s="385"/>
      <c r="AU194" s="392"/>
    </row>
    <row r="195" spans="1:47" ht="12.75" customHeight="1" outlineLevel="1">
      <c r="A195" s="1269"/>
      <c r="B195" s="1258" t="s">
        <v>159</v>
      </c>
      <c r="C195" s="313" t="str">
        <f>'Production cost'!$C503</f>
        <v>Laminating paper</v>
      </c>
      <c r="E195" s="363"/>
      <c r="F195" s="363" t="str">
        <f ca="1">'Production cost'!$F503</f>
        <v>N</v>
      </c>
      <c r="G195" s="363"/>
      <c r="H195" s="313">
        <f ca="1">IFERROR(IF($F195="PCS",$E$4,VLOOKUP($F195,'Proof cost'!$I$23:$X$55,2,0)),0)</f>
        <v>0</v>
      </c>
      <c r="I195" s="313">
        <f ca="1">'Production cost'!$I503</f>
        <v>1200</v>
      </c>
      <c r="J195" s="313" t="str">
        <f>'Production cost'!$J503</f>
        <v>Sheets</v>
      </c>
      <c r="K195" s="360">
        <f>'Production cost'!$K503</f>
        <v>0</v>
      </c>
      <c r="L195" s="313">
        <f ca="1">'Production cost'!$L503</f>
        <v>8</v>
      </c>
      <c r="M195" s="391">
        <f ca="1">'Production cost'!$M503</f>
        <v>0</v>
      </c>
      <c r="N195" s="983">
        <f t="shared" ca="1" si="25"/>
        <v>0</v>
      </c>
      <c r="P195" s="313">
        <f>'Production cost'!$P503</f>
        <v>64591.331280067061</v>
      </c>
      <c r="Q195" s="313">
        <f t="shared" ca="1" si="26"/>
        <v>0</v>
      </c>
      <c r="R195" s="313">
        <f t="shared" ca="1" si="27"/>
        <v>0</v>
      </c>
      <c r="S195" s="1741">
        <f t="shared" ca="1" si="28"/>
        <v>0</v>
      </c>
      <c r="T195" s="313" t="str">
        <f ca="1">'Production cost'!T503</f>
        <v>N</v>
      </c>
      <c r="AK195" s="313"/>
      <c r="AL195" s="313"/>
      <c r="AM195" s="313"/>
      <c r="AO195" s="385"/>
      <c r="AP195" s="1055"/>
      <c r="AQ195" s="385"/>
      <c r="AR195" s="1048"/>
      <c r="AS195" s="385"/>
      <c r="AU195" s="392"/>
    </row>
    <row r="196" spans="1:47" ht="12.75" customHeight="1" outlineLevel="1">
      <c r="A196" s="1269"/>
      <c r="B196" s="1258" t="s">
        <v>159</v>
      </c>
      <c r="C196" s="313" t="str">
        <f>'Production cost'!$C504</f>
        <v>Laminating paper</v>
      </c>
      <c r="E196" s="363"/>
      <c r="F196" s="363" t="str">
        <f ca="1">'Production cost'!$F504</f>
        <v>N</v>
      </c>
      <c r="G196" s="363"/>
      <c r="H196" s="313">
        <f ca="1">IFERROR(IF($F196="PCS",$E$4,VLOOKUP($F196,'Proof cost'!$I$23:$X$55,2,0)),0)</f>
        <v>0</v>
      </c>
      <c r="I196" s="313">
        <f ca="1">'Production cost'!$I504</f>
        <v>1200</v>
      </c>
      <c r="J196" s="313" t="str">
        <f>'Production cost'!$J504</f>
        <v>Sheets</v>
      </c>
      <c r="K196" s="360">
        <f>'Production cost'!$K504</f>
        <v>0</v>
      </c>
      <c r="L196" s="313">
        <f ca="1">'Production cost'!$L504</f>
        <v>8</v>
      </c>
      <c r="M196" s="391">
        <f ca="1">'Production cost'!$M504</f>
        <v>0</v>
      </c>
      <c r="N196" s="983">
        <f t="shared" ca="1" si="25"/>
        <v>0</v>
      </c>
      <c r="P196" s="313">
        <f>'Production cost'!$P504</f>
        <v>64591.331280067061</v>
      </c>
      <c r="Q196" s="313">
        <f t="shared" ca="1" si="26"/>
        <v>0</v>
      </c>
      <c r="R196" s="313">
        <f t="shared" ca="1" si="27"/>
        <v>0</v>
      </c>
      <c r="S196" s="1741">
        <f t="shared" ca="1" si="28"/>
        <v>0</v>
      </c>
      <c r="T196" s="313" t="str">
        <f ca="1">'Production cost'!T504</f>
        <v>N</v>
      </c>
      <c r="AK196" s="313"/>
      <c r="AL196" s="313"/>
      <c r="AM196" s="313"/>
      <c r="AO196" s="385"/>
      <c r="AP196" s="1055"/>
      <c r="AQ196" s="385"/>
      <c r="AR196" s="1048"/>
      <c r="AS196" s="385"/>
      <c r="AU196" s="392"/>
    </row>
    <row r="197" spans="1:47" ht="12.75" customHeight="1" outlineLevel="1">
      <c r="A197" s="1269"/>
      <c r="B197" s="1258" t="s">
        <v>159</v>
      </c>
      <c r="C197" s="313" t="str">
        <f>'Production cost'!$C505</f>
        <v>Laminating paper</v>
      </c>
      <c r="E197" s="363"/>
      <c r="F197" s="363" t="str">
        <f ca="1">'Production cost'!$F505</f>
        <v>N</v>
      </c>
      <c r="G197" s="363"/>
      <c r="H197" s="313">
        <f ca="1">IFERROR(IF($F197="PCS",$E$4,VLOOKUP($F197,'Proof cost'!$I$23:$X$55,2,0)),0)</f>
        <v>0</v>
      </c>
      <c r="I197" s="313">
        <f ca="1">'Production cost'!$I505</f>
        <v>1200</v>
      </c>
      <c r="J197" s="313" t="str">
        <f>'Production cost'!$J505</f>
        <v>Sheets</v>
      </c>
      <c r="K197" s="360">
        <f>'Production cost'!$K505</f>
        <v>0</v>
      </c>
      <c r="L197" s="313">
        <f ca="1">'Production cost'!$L505</f>
        <v>8</v>
      </c>
      <c r="M197" s="391">
        <f ca="1">'Production cost'!$M505</f>
        <v>0</v>
      </c>
      <c r="N197" s="983">
        <f t="shared" ca="1" si="25"/>
        <v>0</v>
      </c>
      <c r="P197" s="313">
        <f>'Production cost'!$P505</f>
        <v>64591.331280067061</v>
      </c>
      <c r="Q197" s="313">
        <f t="shared" ca="1" si="26"/>
        <v>0</v>
      </c>
      <c r="R197" s="313">
        <f t="shared" ca="1" si="27"/>
        <v>0</v>
      </c>
      <c r="S197" s="1741">
        <f t="shared" ca="1" si="28"/>
        <v>0</v>
      </c>
      <c r="T197" s="313" t="str">
        <f ca="1">'Production cost'!T505</f>
        <v>N</v>
      </c>
      <c r="AK197" s="313"/>
      <c r="AL197" s="313"/>
      <c r="AM197" s="313"/>
      <c r="AO197" s="385"/>
      <c r="AP197" s="1055"/>
      <c r="AQ197" s="385"/>
      <c r="AR197" s="1048"/>
      <c r="AS197" s="385"/>
      <c r="AU197" s="392"/>
    </row>
    <row r="198" spans="1:47" ht="12.75" customHeight="1" outlineLevel="1">
      <c r="B198" s="1258" t="s">
        <v>159</v>
      </c>
      <c r="C198" s="313" t="str">
        <f>'Production cost'!$C516</f>
        <v>Folding BOS-04 - 1 time</v>
      </c>
      <c r="E198" s="363"/>
      <c r="F198" s="363" t="str">
        <f>'Production cost'!$F516</f>
        <v>N</v>
      </c>
      <c r="G198" s="363"/>
      <c r="H198" s="313">
        <f>IFERROR(IF($F198="PCS",$E$4,VLOOKUP($F198,'Proof cost'!$I$23:$X$55,2,0)),0)</f>
        <v>0</v>
      </c>
      <c r="I198" s="313">
        <f>'Production cost'!$I516</f>
        <v>7500</v>
      </c>
      <c r="J198" s="313" t="str">
        <f>'Production cost'!$J516</f>
        <v>sheets</v>
      </c>
      <c r="K198" s="360">
        <f>'Production cost'!$K516</f>
        <v>0</v>
      </c>
      <c r="L198" s="313">
        <f>'Production cost'!$L516</f>
        <v>2</v>
      </c>
      <c r="M198" s="391">
        <f ca="1">'Production cost'!$M516</f>
        <v>0</v>
      </c>
      <c r="N198" s="983">
        <f t="shared" si="25"/>
        <v>0</v>
      </c>
      <c r="P198" s="313">
        <f>'Production cost'!$P516</f>
        <v>64591.331280067061</v>
      </c>
      <c r="Q198" s="313">
        <f t="shared" si="26"/>
        <v>0</v>
      </c>
      <c r="R198" s="313">
        <f t="shared" si="27"/>
        <v>0</v>
      </c>
      <c r="S198" s="1741">
        <f t="shared" ca="1" si="28"/>
        <v>0</v>
      </c>
      <c r="T198" s="313" t="str">
        <f>'Production cost'!T516</f>
        <v>N</v>
      </c>
      <c r="AK198" s="313"/>
      <c r="AL198" s="313"/>
      <c r="AM198" s="313"/>
      <c r="AP198" s="1055"/>
      <c r="AQ198" s="385"/>
      <c r="AR198" s="1048"/>
    </row>
    <row r="199" spans="1:47" ht="12.75" customHeight="1" outlineLevel="1">
      <c r="B199" s="1258" t="s">
        <v>159</v>
      </c>
      <c r="C199" s="313" t="str">
        <f>'Production cost'!$C517</f>
        <v>Folding BOS-04 - 1 time</v>
      </c>
      <c r="E199" s="363"/>
      <c r="F199" s="363" t="str">
        <f>'Production cost'!$F517</f>
        <v>N</v>
      </c>
      <c r="G199" s="363"/>
      <c r="H199" s="313">
        <f>IFERROR(IF($F199="PCS",$E$4,VLOOKUP($F199,'Proof cost'!$I$23:$X$55,2,0)),0)</f>
        <v>0</v>
      </c>
      <c r="I199" s="313">
        <f>'Production cost'!$I517</f>
        <v>7500</v>
      </c>
      <c r="J199" s="313" t="str">
        <f>'Production cost'!$J517</f>
        <v>sheets</v>
      </c>
      <c r="K199" s="360">
        <f>'Production cost'!$K517</f>
        <v>0</v>
      </c>
      <c r="L199" s="313">
        <f>'Production cost'!$L517</f>
        <v>2</v>
      </c>
      <c r="M199" s="391">
        <f ca="1">'Production cost'!$M517</f>
        <v>0</v>
      </c>
      <c r="N199" s="983">
        <f t="shared" si="25"/>
        <v>0</v>
      </c>
      <c r="P199" s="313">
        <f>'Production cost'!$P517</f>
        <v>64591.331280067061</v>
      </c>
      <c r="Q199" s="313">
        <f t="shared" si="26"/>
        <v>0</v>
      </c>
      <c r="R199" s="313">
        <f t="shared" si="27"/>
        <v>0</v>
      </c>
      <c r="S199" s="1741">
        <f ca="1">IF(M199&gt;0,K199*O199+L199*P199,0)</f>
        <v>0</v>
      </c>
      <c r="T199" s="313" t="str">
        <f>'Production cost'!T517</f>
        <v>N</v>
      </c>
      <c r="AK199" s="313"/>
      <c r="AL199" s="313"/>
      <c r="AM199" s="313"/>
      <c r="AP199" s="1055"/>
      <c r="AQ199" s="385"/>
      <c r="AR199" s="1048"/>
    </row>
    <row r="200" spans="1:47" ht="12.75" customHeight="1" outlineLevel="1">
      <c r="B200" s="1258" t="s">
        <v>159</v>
      </c>
      <c r="C200" s="313" t="str">
        <f>'Production cost'!$C518</f>
        <v>Folding BOS-04 - 1 time</v>
      </c>
      <c r="E200" s="363"/>
      <c r="F200" s="363" t="str">
        <f>'Production cost'!$F518</f>
        <v>N</v>
      </c>
      <c r="G200" s="363"/>
      <c r="H200" s="313">
        <f>IFERROR(IF($F200="PCS",$E$4,VLOOKUP($F200,'Proof cost'!$I$23:$X$55,2,0)),0)</f>
        <v>0</v>
      </c>
      <c r="I200" s="313">
        <f>'Production cost'!$I518</f>
        <v>7500</v>
      </c>
      <c r="J200" s="313" t="str">
        <f>'Production cost'!$J518</f>
        <v>sheets</v>
      </c>
      <c r="K200" s="360">
        <f>'Production cost'!$K518</f>
        <v>0</v>
      </c>
      <c r="L200" s="313">
        <f>'Production cost'!$L518</f>
        <v>2</v>
      </c>
      <c r="M200" s="391">
        <f ca="1">'Production cost'!$M518</f>
        <v>0</v>
      </c>
      <c r="N200" s="983">
        <f t="shared" si="25"/>
        <v>0</v>
      </c>
      <c r="P200" s="313">
        <f>'Production cost'!$P518</f>
        <v>64591.331280067061</v>
      </c>
      <c r="Q200" s="313">
        <f t="shared" si="26"/>
        <v>0</v>
      </c>
      <c r="R200" s="313">
        <f t="shared" si="27"/>
        <v>0</v>
      </c>
      <c r="S200" s="1741">
        <f ca="1">IF(M200&gt;0,K200*O200+L200*P200,0)</f>
        <v>0</v>
      </c>
      <c r="T200" s="313" t="str">
        <f>'Production cost'!T518</f>
        <v>N</v>
      </c>
      <c r="AK200" s="313"/>
      <c r="AL200" s="313"/>
      <c r="AM200" s="313"/>
      <c r="AP200" s="1055"/>
      <c r="AQ200" s="385"/>
      <c r="AR200" s="1048"/>
    </row>
    <row r="201" spans="1:47" ht="12.75" customHeight="1" outlineLevel="1">
      <c r="B201" s="1258" t="s">
        <v>159</v>
      </c>
      <c r="C201" s="313" t="str">
        <f>'Production cost'!$C519</f>
        <v>Folding BOS-04 - 2 times</v>
      </c>
      <c r="E201" s="363"/>
      <c r="F201" s="363" t="str">
        <f>'Production cost'!$F519</f>
        <v>N</v>
      </c>
      <c r="G201" s="363"/>
      <c r="H201" s="313">
        <f>IFERROR(IF($F201="PCS",$E$4,VLOOKUP($F201,'Proof cost'!$I$23:$X$55,2,0)),0)</f>
        <v>0</v>
      </c>
      <c r="I201" s="313">
        <f>'Production cost'!$I519</f>
        <v>5250</v>
      </c>
      <c r="J201" s="313" t="str">
        <f>'Production cost'!$J519</f>
        <v>sheets</v>
      </c>
      <c r="K201" s="360">
        <f>'Production cost'!$K519</f>
        <v>0</v>
      </c>
      <c r="L201" s="313">
        <f>'Production cost'!$L519</f>
        <v>2</v>
      </c>
      <c r="M201" s="391">
        <f ca="1">'Production cost'!$M519</f>
        <v>0</v>
      </c>
      <c r="N201" s="983">
        <f t="shared" si="25"/>
        <v>0</v>
      </c>
      <c r="P201" s="313">
        <f>'Production cost'!$P519</f>
        <v>64591.331280067061</v>
      </c>
      <c r="Q201" s="313">
        <f t="shared" si="26"/>
        <v>0</v>
      </c>
      <c r="R201" s="313">
        <f t="shared" si="27"/>
        <v>0</v>
      </c>
      <c r="S201" s="1741">
        <f t="shared" ca="1" si="28"/>
        <v>0</v>
      </c>
      <c r="T201" s="313" t="str">
        <f>'Production cost'!T519</f>
        <v>N</v>
      </c>
      <c r="AK201" s="313"/>
      <c r="AL201" s="313"/>
      <c r="AM201" s="313"/>
      <c r="AP201" s="1055"/>
      <c r="AQ201" s="385"/>
      <c r="AR201" s="1048"/>
    </row>
    <row r="202" spans="1:47" ht="12.75" customHeight="1" outlineLevel="1">
      <c r="B202" s="1258" t="s">
        <v>159</v>
      </c>
      <c r="C202" s="313" t="str">
        <f>'Production cost'!$C520</f>
        <v>Folding BOS-04 - 2 times</v>
      </c>
      <c r="E202" s="363"/>
      <c r="F202" s="363" t="str">
        <f>'Production cost'!$F520</f>
        <v>N</v>
      </c>
      <c r="G202" s="363"/>
      <c r="H202" s="313">
        <f>IFERROR(IF($F202="PCS",$E$4,VLOOKUP($F202,'Proof cost'!$I$23:$X$55,2,0)),0)</f>
        <v>0</v>
      </c>
      <c r="I202" s="313">
        <f>'Production cost'!$I520</f>
        <v>5250</v>
      </c>
      <c r="J202" s="313" t="str">
        <f>'Production cost'!$J520</f>
        <v>sheets</v>
      </c>
      <c r="K202" s="360">
        <f>'Production cost'!$K520</f>
        <v>0</v>
      </c>
      <c r="L202" s="313">
        <f>'Production cost'!$L520</f>
        <v>2</v>
      </c>
      <c r="M202" s="391">
        <f ca="1">'Production cost'!$M520</f>
        <v>0</v>
      </c>
      <c r="N202" s="983">
        <f t="shared" si="25"/>
        <v>0</v>
      </c>
      <c r="P202" s="313">
        <f>'Production cost'!$P520</f>
        <v>64591.331280067061</v>
      </c>
      <c r="Q202" s="313">
        <f t="shared" si="26"/>
        <v>0</v>
      </c>
      <c r="R202" s="313">
        <f t="shared" si="27"/>
        <v>0</v>
      </c>
      <c r="S202" s="1741">
        <f ca="1">IF(M202&gt;0,K202*O202+L202*P202,0)</f>
        <v>0</v>
      </c>
      <c r="T202" s="313" t="str">
        <f>'Production cost'!T520</f>
        <v>N</v>
      </c>
      <c r="AK202" s="313"/>
      <c r="AL202" s="313"/>
      <c r="AM202" s="313"/>
      <c r="AP202" s="1055"/>
      <c r="AQ202" s="385"/>
      <c r="AR202" s="1048"/>
    </row>
    <row r="203" spans="1:47" ht="12.75" customHeight="1" outlineLevel="1">
      <c r="B203" s="1258" t="s">
        <v>159</v>
      </c>
      <c r="C203" s="313" t="str">
        <f>'Production cost'!$C521</f>
        <v>Folding BOS-04 - 2 times</v>
      </c>
      <c r="E203" s="363"/>
      <c r="F203" s="363" t="str">
        <f>'Production cost'!$F521</f>
        <v>N</v>
      </c>
      <c r="G203" s="363"/>
      <c r="H203" s="313">
        <f>IFERROR(IF($F203="PCS",$E$4,VLOOKUP($F203,'Proof cost'!$I$23:$X$55,2,0)),0)</f>
        <v>0</v>
      </c>
      <c r="I203" s="313">
        <f>'Production cost'!$I521</f>
        <v>5250</v>
      </c>
      <c r="J203" s="313" t="str">
        <f>'Production cost'!$J521</f>
        <v>sheets</v>
      </c>
      <c r="K203" s="360">
        <f>'Production cost'!$K521</f>
        <v>0</v>
      </c>
      <c r="L203" s="313">
        <f>'Production cost'!$L521</f>
        <v>2</v>
      </c>
      <c r="M203" s="391">
        <f ca="1">'Production cost'!$M521</f>
        <v>0</v>
      </c>
      <c r="N203" s="983">
        <f t="shared" si="25"/>
        <v>0</v>
      </c>
      <c r="P203" s="313">
        <f>'Production cost'!$P521</f>
        <v>64591.331280067061</v>
      </c>
      <c r="Q203" s="313">
        <f t="shared" si="26"/>
        <v>0</v>
      </c>
      <c r="R203" s="313">
        <f t="shared" si="27"/>
        <v>0</v>
      </c>
      <c r="S203" s="1741">
        <f ca="1">IF(M203&gt;0,K203*O203+L203*P203,0)</f>
        <v>0</v>
      </c>
      <c r="T203" s="313" t="str">
        <f>'Production cost'!T521</f>
        <v>N</v>
      </c>
      <c r="AK203" s="313"/>
      <c r="AL203" s="313"/>
      <c r="AM203" s="313"/>
      <c r="AP203" s="1055"/>
      <c r="AQ203" s="385"/>
      <c r="AR203" s="1048"/>
    </row>
    <row r="204" spans="1:47" ht="12.75" customHeight="1" outlineLevel="1">
      <c r="B204" s="1258" t="s">
        <v>159</v>
      </c>
      <c r="C204" s="313" t="str">
        <f>'Production cost'!$C522</f>
        <v>Folding BOS-04 - 3 times</v>
      </c>
      <c r="E204" s="363"/>
      <c r="F204" s="363" t="str">
        <f>'Production cost'!$F522</f>
        <v>N</v>
      </c>
      <c r="G204" s="363"/>
      <c r="H204" s="313">
        <f>IFERROR(IF($F204="PCS",$E$4,VLOOKUP($F204,'Proof cost'!$I$23:$X$55,2,0)),0)</f>
        <v>0</v>
      </c>
      <c r="I204" s="313">
        <f>'Production cost'!$I522</f>
        <v>3500</v>
      </c>
      <c r="J204" s="313" t="str">
        <f>'Production cost'!$J522</f>
        <v>sheets</v>
      </c>
      <c r="K204" s="360">
        <f>'Production cost'!$K522</f>
        <v>0</v>
      </c>
      <c r="L204" s="313">
        <f>'Production cost'!$L522</f>
        <v>2</v>
      </c>
      <c r="M204" s="391">
        <f ca="1">'Production cost'!$M522</f>
        <v>0</v>
      </c>
      <c r="N204" s="983">
        <f t="shared" si="25"/>
        <v>0</v>
      </c>
      <c r="P204" s="313">
        <f>'Production cost'!$P522</f>
        <v>64591.331280067061</v>
      </c>
      <c r="Q204" s="313">
        <f t="shared" si="26"/>
        <v>0</v>
      </c>
      <c r="R204" s="313">
        <f t="shared" si="27"/>
        <v>0</v>
      </c>
      <c r="S204" s="1741">
        <f t="shared" ca="1" si="28"/>
        <v>0</v>
      </c>
      <c r="T204" s="313" t="str">
        <f>'Production cost'!T522</f>
        <v>N</v>
      </c>
      <c r="AK204" s="313"/>
      <c r="AL204" s="313"/>
      <c r="AM204" s="313"/>
      <c r="AP204" s="385"/>
      <c r="AQ204" s="385"/>
      <c r="AR204" s="1048"/>
    </row>
    <row r="205" spans="1:47" ht="12.75" customHeight="1" outlineLevel="1">
      <c r="B205" s="1258" t="s">
        <v>159</v>
      </c>
      <c r="C205" s="313" t="str">
        <f>'Production cost'!$C523</f>
        <v>Folding BOS-04 - 3 times</v>
      </c>
      <c r="E205" s="363"/>
      <c r="F205" s="363" t="str">
        <f>'Production cost'!$F523</f>
        <v>N</v>
      </c>
      <c r="G205" s="363"/>
      <c r="H205" s="313">
        <f>IFERROR(IF($F205="PCS",$E$4,VLOOKUP($F205,'Proof cost'!$I$23:$X$55,2,0)),0)</f>
        <v>0</v>
      </c>
      <c r="I205" s="313">
        <f>'Production cost'!$I523</f>
        <v>3500</v>
      </c>
      <c r="J205" s="313" t="str">
        <f>'Production cost'!$J523</f>
        <v>sheets</v>
      </c>
      <c r="K205" s="360">
        <f>'Production cost'!$K523</f>
        <v>0</v>
      </c>
      <c r="L205" s="313">
        <f>'Production cost'!$L523</f>
        <v>2</v>
      </c>
      <c r="M205" s="391">
        <f ca="1">'Production cost'!$M523</f>
        <v>0</v>
      </c>
      <c r="N205" s="983">
        <f t="shared" si="25"/>
        <v>0</v>
      </c>
      <c r="P205" s="313">
        <f>'Production cost'!$P523</f>
        <v>64591.331280067061</v>
      </c>
      <c r="Q205" s="313">
        <f t="shared" si="26"/>
        <v>0</v>
      </c>
      <c r="R205" s="313">
        <f t="shared" si="27"/>
        <v>0</v>
      </c>
      <c r="S205" s="1741">
        <f ca="1">IF(M205&gt;0,K205*O205+L205*P205,0)</f>
        <v>0</v>
      </c>
      <c r="T205" s="313" t="str">
        <f>'Production cost'!T523</f>
        <v>N</v>
      </c>
      <c r="AK205" s="313"/>
      <c r="AL205" s="313"/>
      <c r="AM205" s="313"/>
      <c r="AP205" s="385"/>
      <c r="AQ205" s="385"/>
      <c r="AR205" s="1048"/>
    </row>
    <row r="206" spans="1:47" ht="12.75" customHeight="1" outlineLevel="1">
      <c r="B206" s="1258" t="s">
        <v>159</v>
      </c>
      <c r="C206" s="313" t="str">
        <f>'Production cost'!$C524</f>
        <v>Folding BOS-04 - 3 times</v>
      </c>
      <c r="E206" s="363"/>
      <c r="F206" s="363" t="str">
        <f>'Production cost'!$F524</f>
        <v>N</v>
      </c>
      <c r="G206" s="363"/>
      <c r="H206" s="313">
        <f>IFERROR(IF($F206="PCS",$E$4,VLOOKUP($F206,'Proof cost'!$I$23:$X$55,2,0)),0)</f>
        <v>0</v>
      </c>
      <c r="I206" s="313">
        <f>'Production cost'!$I524</f>
        <v>3500</v>
      </c>
      <c r="J206" s="313" t="str">
        <f>'Production cost'!$J524</f>
        <v>sheets</v>
      </c>
      <c r="K206" s="360">
        <f>'Production cost'!$K524</f>
        <v>0</v>
      </c>
      <c r="L206" s="313">
        <f>'Production cost'!$L524</f>
        <v>2</v>
      </c>
      <c r="M206" s="391">
        <f ca="1">'Production cost'!$M524</f>
        <v>0</v>
      </c>
      <c r="N206" s="983">
        <f t="shared" si="25"/>
        <v>0</v>
      </c>
      <c r="P206" s="313">
        <f>'Production cost'!$P524</f>
        <v>64591.331280067061</v>
      </c>
      <c r="Q206" s="313">
        <f t="shared" si="26"/>
        <v>0</v>
      </c>
      <c r="R206" s="313">
        <f t="shared" si="27"/>
        <v>0</v>
      </c>
      <c r="S206" s="1741">
        <f ca="1">IF(M206&gt;0,K206*O206+L206*P206,0)</f>
        <v>0</v>
      </c>
      <c r="T206" s="313" t="str">
        <f>'Production cost'!T524</f>
        <v>N</v>
      </c>
      <c r="AK206" s="313"/>
      <c r="AL206" s="313"/>
      <c r="AM206" s="313"/>
      <c r="AP206" s="385"/>
      <c r="AQ206" s="385"/>
      <c r="AR206" s="1048"/>
    </row>
    <row r="207" spans="1:47" ht="12.75" customHeight="1" outlineLevel="1">
      <c r="B207" s="1258" t="s">
        <v>159</v>
      </c>
      <c r="C207" s="313" t="str">
        <f>'Production cost'!$C525</f>
        <v>Sewing YOKS</v>
      </c>
      <c r="E207" s="363"/>
      <c r="F207" s="363" t="str">
        <f>'Production cost'!$F525</f>
        <v>N</v>
      </c>
      <c r="G207" s="363"/>
      <c r="H207" s="313">
        <f>IFERROR(IF($F207="PCS",$E$4,VLOOKUP($F207,'Proof cost'!$I$23:$X$55,2,0)),0)</f>
        <v>0</v>
      </c>
      <c r="I207" s="313">
        <f>'Production cost'!$I525</f>
        <v>350</v>
      </c>
      <c r="J207" s="313" t="str">
        <f>'Production cost'!$J525</f>
        <v>copies</v>
      </c>
      <c r="K207" s="360">
        <f>'Production cost'!$K525</f>
        <v>0</v>
      </c>
      <c r="L207" s="313">
        <f>'Production cost'!$L525</f>
        <v>9</v>
      </c>
      <c r="M207" s="391">
        <f ca="1">'Production cost'!$M525</f>
        <v>0</v>
      </c>
      <c r="N207" s="983">
        <f t="shared" si="25"/>
        <v>0</v>
      </c>
      <c r="P207" s="313">
        <f>'Production cost'!$P525</f>
        <v>64591.331280067061</v>
      </c>
      <c r="Q207" s="313">
        <f t="shared" si="26"/>
        <v>0</v>
      </c>
      <c r="R207" s="313">
        <f t="shared" si="27"/>
        <v>0</v>
      </c>
      <c r="S207" s="1741">
        <f t="shared" ca="1" si="28"/>
        <v>0</v>
      </c>
      <c r="T207" s="313" t="str">
        <f>'Production cost'!T525</f>
        <v>N</v>
      </c>
      <c r="AK207" s="313"/>
      <c r="AL207" s="313"/>
      <c r="AM207" s="313"/>
      <c r="AP207" s="385"/>
      <c r="AQ207" s="385"/>
      <c r="AR207" s="1048"/>
    </row>
    <row r="208" spans="1:47" ht="12.75" customHeight="1" outlineLevel="1">
      <c r="B208" s="1258" t="s">
        <v>159</v>
      </c>
      <c r="C208" s="313" t="str">
        <f>'Production cost'!$C526</f>
        <v>Wire stitching (no arrange)  + cut 3 sides</v>
      </c>
      <c r="E208" s="363"/>
      <c r="F208" s="363" t="str">
        <f>'Production cost'!$F526</f>
        <v>N</v>
      </c>
      <c r="G208" s="363"/>
      <c r="H208" s="313">
        <f>IFERROR(IF($F208="PCS",$E$4,VLOOKUP($F208,'Proof cost'!$I$23:$X$55,2,0)),0)</f>
        <v>0</v>
      </c>
      <c r="I208" s="313">
        <f>'Production cost'!$I526</f>
        <v>3500</v>
      </c>
      <c r="J208" s="313" t="str">
        <f>'Production cost'!$J526</f>
        <v>copies</v>
      </c>
      <c r="K208" s="360">
        <f>'Production cost'!$K526</f>
        <v>0</v>
      </c>
      <c r="L208" s="313">
        <f>'Production cost'!$L526</f>
        <v>6</v>
      </c>
      <c r="M208" s="391">
        <f ca="1">'Production cost'!$M526</f>
        <v>0</v>
      </c>
      <c r="N208" s="983">
        <f t="shared" si="25"/>
        <v>0</v>
      </c>
      <c r="P208" s="313">
        <f>'Production cost'!$P526</f>
        <v>64591.331280067061</v>
      </c>
      <c r="Q208" s="313">
        <f t="shared" si="26"/>
        <v>0</v>
      </c>
      <c r="R208" s="313">
        <f t="shared" si="27"/>
        <v>0</v>
      </c>
      <c r="S208" s="1741">
        <f t="shared" ca="1" si="28"/>
        <v>0</v>
      </c>
      <c r="T208" s="313" t="str">
        <f>'Production cost'!T526</f>
        <v>N</v>
      </c>
      <c r="AK208" s="313"/>
      <c r="AL208" s="313"/>
      <c r="AM208" s="313"/>
      <c r="AP208" s="385"/>
      <c r="AQ208" s="385"/>
      <c r="AR208" s="1048"/>
    </row>
    <row r="209" spans="2:44" ht="12.75" customHeight="1" outlineLevel="1">
      <c r="B209" s="1258" t="s">
        <v>159</v>
      </c>
      <c r="C209" s="313" t="str">
        <f>'Production cost'!$C527</f>
        <v>Arranging + Wire stitching</v>
      </c>
      <c r="E209" s="363"/>
      <c r="F209" s="363" t="str">
        <f>'Production cost'!$F527</f>
        <v>N</v>
      </c>
      <c r="G209" s="363"/>
      <c r="H209" s="313">
        <f>IFERROR(IF($F209="PCS",$E$4,VLOOKUP($F209,'Proof cost'!$I$23:$X$55,2,0)),0)</f>
        <v>0</v>
      </c>
      <c r="I209" s="313">
        <f>'Production cost'!$I527</f>
        <v>1600</v>
      </c>
      <c r="J209" s="313" t="str">
        <f>'Production cost'!$J527</f>
        <v>copies</v>
      </c>
      <c r="K209" s="360">
        <f>'Production cost'!$K527</f>
        <v>0</v>
      </c>
      <c r="L209" s="313">
        <f>'Production cost'!$L527</f>
        <v>18</v>
      </c>
      <c r="M209" s="391">
        <f ca="1">'Production cost'!$M527</f>
        <v>0</v>
      </c>
      <c r="N209" s="983">
        <f t="shared" si="25"/>
        <v>0</v>
      </c>
      <c r="P209" s="313">
        <f>'Production cost'!$P527</f>
        <v>64591.331280067061</v>
      </c>
      <c r="Q209" s="313">
        <f t="shared" si="26"/>
        <v>0</v>
      </c>
      <c r="R209" s="313">
        <f t="shared" si="27"/>
        <v>0</v>
      </c>
      <c r="S209" s="1741">
        <f t="shared" ca="1" si="28"/>
        <v>0</v>
      </c>
      <c r="T209" s="313" t="str">
        <f>'Production cost'!T527</f>
        <v>N</v>
      </c>
      <c r="AK209" s="313"/>
      <c r="AL209" s="313"/>
      <c r="AM209" s="313"/>
      <c r="AP209" s="385"/>
      <c r="AQ209" s="385"/>
      <c r="AR209" s="1048"/>
    </row>
    <row r="210" spans="2:44" ht="12.75" customHeight="1" outlineLevel="1">
      <c r="B210" s="1258" t="s">
        <v>159</v>
      </c>
      <c r="C210" s="313" t="str">
        <f>'Production cost'!$C528</f>
        <v>Wire stitching + cut actual sz (max 1 cover + 4 section text)</v>
      </c>
      <c r="E210" s="363"/>
      <c r="F210" s="363" t="str">
        <f>'Production cost'!$F528</f>
        <v>N</v>
      </c>
      <c r="G210" s="363"/>
      <c r="H210" s="313">
        <f>IFERROR(IF($F210="PCS",$E$4,VLOOKUP($F210,'Proof cost'!$I$23:$X$55,2,0)),0)</f>
        <v>0</v>
      </c>
      <c r="I210" s="313">
        <f>'Production cost'!$I528</f>
        <v>3500</v>
      </c>
      <c r="J210" s="313" t="str">
        <f>'Production cost'!$J528</f>
        <v>copies</v>
      </c>
      <c r="K210" s="360">
        <f>'Production cost'!$K528</f>
        <v>0</v>
      </c>
      <c r="L210" s="313">
        <f>'Production cost'!$L528</f>
        <v>6</v>
      </c>
      <c r="M210" s="391">
        <f ca="1">'Production cost'!$M528</f>
        <v>0</v>
      </c>
      <c r="N210" s="983">
        <f t="shared" si="25"/>
        <v>0</v>
      </c>
      <c r="P210" s="313">
        <f>'Production cost'!$P528</f>
        <v>64591.331280067061</v>
      </c>
      <c r="Q210" s="313">
        <f t="shared" si="26"/>
        <v>0</v>
      </c>
      <c r="R210" s="313">
        <f t="shared" si="27"/>
        <v>0</v>
      </c>
      <c r="S210" s="1741">
        <f t="shared" ca="1" si="28"/>
        <v>0</v>
      </c>
      <c r="T210" s="313" t="str">
        <f>'Production cost'!T528</f>
        <v>N</v>
      </c>
      <c r="AK210" s="313"/>
      <c r="AL210" s="313"/>
      <c r="AM210" s="313"/>
      <c r="AP210" s="385"/>
      <c r="AQ210" s="385"/>
      <c r="AR210" s="1048"/>
    </row>
    <row r="211" spans="2:44" ht="12.75" customHeight="1" outlineLevel="1">
      <c r="B211" s="1258" t="s">
        <v>159</v>
      </c>
      <c r="C211" s="313" t="str">
        <f>'Production cost'!$C529</f>
        <v>Perfect binding - big machine</v>
      </c>
      <c r="E211" s="363"/>
      <c r="F211" s="363" t="str">
        <f>'Production cost'!$F529</f>
        <v>N</v>
      </c>
      <c r="G211" s="363"/>
      <c r="H211" s="313">
        <f>IFERROR(IF($F211="PCS",$E$4,VLOOKUP($F211,'Proof cost'!$I$23:$X$55,2,0)),0)</f>
        <v>0</v>
      </c>
      <c r="I211" s="313">
        <f>'Production cost'!$I529</f>
        <v>1400</v>
      </c>
      <c r="J211" s="313" t="str">
        <f>'Production cost'!$J529</f>
        <v>copies</v>
      </c>
      <c r="K211" s="360">
        <f>'Production cost'!$K529</f>
        <v>0</v>
      </c>
      <c r="L211" s="313">
        <f>'Production cost'!$L529</f>
        <v>7</v>
      </c>
      <c r="M211" s="391">
        <f ca="1">'Production cost'!$M529</f>
        <v>0</v>
      </c>
      <c r="N211" s="983">
        <f t="shared" si="25"/>
        <v>0</v>
      </c>
      <c r="P211" s="313">
        <f>'Production cost'!$P529</f>
        <v>64591.331280067061</v>
      </c>
      <c r="Q211" s="313">
        <f t="shared" si="26"/>
        <v>0</v>
      </c>
      <c r="R211" s="313">
        <f t="shared" si="27"/>
        <v>0</v>
      </c>
      <c r="S211" s="1741">
        <f t="shared" ca="1" si="28"/>
        <v>0</v>
      </c>
      <c r="T211" s="313" t="str">
        <f>'Production cost'!T529</f>
        <v>N</v>
      </c>
      <c r="AK211" s="313"/>
      <c r="AL211" s="313"/>
      <c r="AM211" s="313"/>
      <c r="AP211" s="385"/>
      <c r="AQ211" s="385"/>
      <c r="AR211" s="1048"/>
    </row>
    <row r="212" spans="2:44" ht="12.75" customHeight="1" outlineLevel="1">
      <c r="B212" s="1258" t="s">
        <v>159</v>
      </c>
      <c r="C212" s="313" t="str">
        <f>'Production cost'!$C530</f>
        <v>Perfect binding - big machine</v>
      </c>
      <c r="E212" s="363"/>
      <c r="F212" s="363" t="str">
        <f>'Production cost'!$F530</f>
        <v>N</v>
      </c>
      <c r="G212" s="363"/>
      <c r="H212" s="313">
        <f>IFERROR(IF($F212="PCS",$E$4,VLOOKUP($F212,'Proof cost'!$I$23:$X$55,2,0)),0)</f>
        <v>0</v>
      </c>
      <c r="I212" s="313">
        <f>'Production cost'!$I530</f>
        <v>1400</v>
      </c>
      <c r="J212" s="313" t="str">
        <f>'Production cost'!$J530</f>
        <v>copies</v>
      </c>
      <c r="K212" s="360">
        <f>'Production cost'!$K530</f>
        <v>0</v>
      </c>
      <c r="L212" s="313">
        <f>'Production cost'!$L530</f>
        <v>7</v>
      </c>
      <c r="M212" s="391">
        <f ca="1">'Production cost'!$M530</f>
        <v>0</v>
      </c>
      <c r="N212" s="983">
        <f t="shared" si="25"/>
        <v>0</v>
      </c>
      <c r="P212" s="313">
        <f>'Production cost'!$P530</f>
        <v>64591.331280067061</v>
      </c>
      <c r="Q212" s="313">
        <f t="shared" si="26"/>
        <v>0</v>
      </c>
      <c r="R212" s="313">
        <f t="shared" si="27"/>
        <v>0</v>
      </c>
      <c r="S212" s="1741">
        <f ca="1">IF(M212&gt;0,K212*O212+L212*P212,0)</f>
        <v>0</v>
      </c>
      <c r="T212" s="313" t="str">
        <f>'Production cost'!T530</f>
        <v>N</v>
      </c>
      <c r="AK212" s="313"/>
      <c r="AL212" s="313"/>
      <c r="AM212" s="313"/>
      <c r="AP212" s="385"/>
      <c r="AQ212" s="385"/>
      <c r="AR212" s="1048"/>
    </row>
    <row r="213" spans="2:44" ht="12.75" customHeight="1" outlineLevel="1">
      <c r="B213" s="1258" t="s">
        <v>159</v>
      </c>
      <c r="C213" s="313" t="str">
        <f>'Production cost'!$C531</f>
        <v>Perfect binding - small machine</v>
      </c>
      <c r="E213" s="363"/>
      <c r="F213" s="363" t="str">
        <f>'Production cost'!$F531</f>
        <v>N</v>
      </c>
      <c r="G213" s="363"/>
      <c r="H213" s="313">
        <f>IFERROR(IF($F213="PCS",$E$4,VLOOKUP($F213,'Proof cost'!$I$23:$X$55,2,0)),0)</f>
        <v>0</v>
      </c>
      <c r="I213" s="313">
        <f>'Production cost'!$I531</f>
        <v>250</v>
      </c>
      <c r="J213" s="313" t="str">
        <f>'Production cost'!$J531</f>
        <v>copies</v>
      </c>
      <c r="K213" s="360">
        <f>'Production cost'!$K531</f>
        <v>0</v>
      </c>
      <c r="L213" s="313">
        <f>'Production cost'!$L531</f>
        <v>5</v>
      </c>
      <c r="M213" s="391">
        <f ca="1">'Production cost'!$M531</f>
        <v>0</v>
      </c>
      <c r="N213" s="983">
        <f t="shared" si="25"/>
        <v>0</v>
      </c>
      <c r="P213" s="313">
        <f>'Production cost'!$P531</f>
        <v>64591.331280067061</v>
      </c>
      <c r="Q213" s="313">
        <f t="shared" si="26"/>
        <v>0</v>
      </c>
      <c r="R213" s="313">
        <f t="shared" si="27"/>
        <v>0</v>
      </c>
      <c r="S213" s="1741">
        <f t="shared" ca="1" si="28"/>
        <v>0</v>
      </c>
      <c r="T213" s="313" t="str">
        <f>'Production cost'!T531</f>
        <v>N</v>
      </c>
      <c r="AK213" s="313"/>
      <c r="AL213" s="313"/>
      <c r="AM213" s="313"/>
      <c r="AP213" s="385"/>
      <c r="AQ213" s="385"/>
      <c r="AR213" s="1048"/>
    </row>
    <row r="214" spans="2:44" ht="12.75" customHeight="1" outlineLevel="1">
      <c r="B214" s="1258" t="s">
        <v>159</v>
      </c>
      <c r="C214" s="313" t="str">
        <f>'Production cost'!$C532</f>
        <v>Perfect binding - small machine</v>
      </c>
      <c r="E214" s="363"/>
      <c r="F214" s="363" t="str">
        <f>'Production cost'!$F532</f>
        <v>N</v>
      </c>
      <c r="G214" s="363"/>
      <c r="H214" s="313">
        <f>IFERROR(IF($F214="PCS",$E$4,VLOOKUP($F214,'Proof cost'!$I$23:$X$55,2,0)),0)</f>
        <v>0</v>
      </c>
      <c r="I214" s="313">
        <f>'Production cost'!$I532</f>
        <v>250</v>
      </c>
      <c r="J214" s="313" t="str">
        <f>'Production cost'!$J532</f>
        <v>copies</v>
      </c>
      <c r="K214" s="360">
        <f>'Production cost'!$K532</f>
        <v>0</v>
      </c>
      <c r="L214" s="313">
        <f>'Production cost'!$L532</f>
        <v>5</v>
      </c>
      <c r="M214" s="391">
        <f ca="1">'Production cost'!$M532</f>
        <v>0</v>
      </c>
      <c r="N214" s="983">
        <f t="shared" si="25"/>
        <v>0</v>
      </c>
      <c r="P214" s="313">
        <f>'Production cost'!$P532</f>
        <v>64591.331280067061</v>
      </c>
      <c r="Q214" s="313">
        <f t="shared" si="26"/>
        <v>0</v>
      </c>
      <c r="R214" s="313">
        <f t="shared" si="27"/>
        <v>0</v>
      </c>
      <c r="S214" s="1741">
        <f ca="1">IF(M214&gt;0,K214*O214+L214*P214,0)</f>
        <v>0</v>
      </c>
      <c r="T214" s="313" t="str">
        <f>'Production cost'!T532</f>
        <v>N</v>
      </c>
      <c r="AK214" s="313"/>
      <c r="AL214" s="313"/>
      <c r="AM214" s="313"/>
      <c r="AP214" s="385"/>
      <c r="AQ214" s="385"/>
      <c r="AR214" s="1048"/>
    </row>
    <row r="215" spans="2:44" ht="12.75" customHeight="1" outlineLevel="1">
      <c r="B215" s="1258" t="s">
        <v>159</v>
      </c>
      <c r="C215" s="313" t="str">
        <f>'Production cost'!$C533</f>
        <v>Section sewn</v>
      </c>
      <c r="E215" s="363"/>
      <c r="F215" s="363" t="str">
        <f>'Production cost'!$F533</f>
        <v>N</v>
      </c>
      <c r="G215" s="363"/>
      <c r="H215" s="313">
        <f>IFERROR(IF($F215="PCS",$E$4,VLOOKUP($F215,'Proof cost'!$I$23:$X$55,2,0)),0)</f>
        <v>0</v>
      </c>
      <c r="I215" s="313">
        <f>'Production cost'!$I533</f>
        <v>9000</v>
      </c>
      <c r="J215" s="313" t="str">
        <f>'Production cost'!$J533</f>
        <v>copies</v>
      </c>
      <c r="K215" s="360">
        <f>'Production cost'!$K533</f>
        <v>0</v>
      </c>
      <c r="L215" s="313">
        <f>'Production cost'!$L533</f>
        <v>0</v>
      </c>
      <c r="M215" s="391">
        <f ca="1">'Production cost'!$M533</f>
        <v>0</v>
      </c>
      <c r="N215" s="983">
        <f t="shared" si="25"/>
        <v>0</v>
      </c>
      <c r="P215" s="313">
        <f>'Production cost'!$P533</f>
        <v>64591.331280067061</v>
      </c>
      <c r="Q215" s="313">
        <f t="shared" si="26"/>
        <v>0</v>
      </c>
      <c r="R215" s="313">
        <f t="shared" si="27"/>
        <v>0</v>
      </c>
      <c r="S215" s="1741">
        <f t="shared" ca="1" si="28"/>
        <v>0</v>
      </c>
      <c r="T215" s="313" t="str">
        <f>'Production cost'!T533</f>
        <v>N</v>
      </c>
      <c r="AK215" s="313"/>
      <c r="AL215" s="313"/>
      <c r="AM215" s="313"/>
      <c r="AQ215" s="385"/>
      <c r="AR215" s="1048"/>
    </row>
    <row r="216" spans="2:44" ht="12.75" customHeight="1" outlineLevel="1">
      <c r="B216" s="1258" t="s">
        <v>159</v>
      </c>
      <c r="C216" s="313" t="str">
        <f>'Production cost'!$C534</f>
        <v>Section sewn</v>
      </c>
      <c r="E216" s="363"/>
      <c r="F216" s="363" t="str">
        <f>'Production cost'!$F534</f>
        <v>N</v>
      </c>
      <c r="G216" s="363"/>
      <c r="H216" s="313">
        <f>IFERROR(IF($F216="PCS",$E$4,VLOOKUP($F216,'Proof cost'!$I$23:$X$55,2,0)),0)</f>
        <v>0</v>
      </c>
      <c r="I216" s="313">
        <f>'Production cost'!$I534</f>
        <v>9000</v>
      </c>
      <c r="J216" s="313" t="str">
        <f>'Production cost'!$J534</f>
        <v>copies</v>
      </c>
      <c r="K216" s="360">
        <f>'Production cost'!$K534</f>
        <v>0</v>
      </c>
      <c r="L216" s="313">
        <f>'Production cost'!$L534</f>
        <v>0</v>
      </c>
      <c r="M216" s="391">
        <f ca="1">'Production cost'!$M534</f>
        <v>0</v>
      </c>
      <c r="N216" s="983">
        <f t="shared" si="25"/>
        <v>0</v>
      </c>
      <c r="P216" s="313">
        <f>'Production cost'!$P534</f>
        <v>64591.331280067061</v>
      </c>
      <c r="Q216" s="313">
        <f t="shared" si="26"/>
        <v>0</v>
      </c>
      <c r="R216" s="313">
        <f t="shared" si="27"/>
        <v>0</v>
      </c>
      <c r="S216" s="1741">
        <f ca="1">IF(M216&gt;0,K216*O216+L216*P216,0)</f>
        <v>0</v>
      </c>
      <c r="T216" s="313" t="str">
        <f>'Production cost'!T534</f>
        <v>N</v>
      </c>
      <c r="AK216" s="313"/>
      <c r="AL216" s="313"/>
      <c r="AM216" s="313"/>
      <c r="AQ216" s="385"/>
      <c r="AR216" s="1048"/>
    </row>
    <row r="217" spans="2:44" ht="12.75" customHeight="1">
      <c r="B217" s="1258" t="s">
        <v>159</v>
      </c>
      <c r="C217" s="313" t="str">
        <f>'Production cost'!$C535</f>
        <v>Binding front cover &amp; text - Old Process</v>
      </c>
      <c r="E217" s="363"/>
      <c r="F217" s="363" t="str">
        <f>'Production cost'!$F535</f>
        <v>N</v>
      </c>
      <c r="G217" s="363"/>
      <c r="H217" s="313">
        <f>IFERROR(IF($F217="PCS",$E$4,VLOOKUP($F217,'Proof cost'!$I$23:$X$55,2,0)),0)</f>
        <v>0</v>
      </c>
      <c r="I217" s="313">
        <f>'Production cost'!$I535</f>
        <v>300</v>
      </c>
      <c r="J217" s="313" t="str">
        <f>'Production cost'!$J535</f>
        <v>columns</v>
      </c>
      <c r="K217" s="360">
        <f>'Production cost'!$K535</f>
        <v>0</v>
      </c>
      <c r="L217" s="313">
        <f>'Production cost'!$L535</f>
        <v>8</v>
      </c>
      <c r="M217" s="391">
        <f ca="1">'Production cost'!$M535</f>
        <v>0</v>
      </c>
      <c r="N217" s="983">
        <f t="shared" si="25"/>
        <v>0</v>
      </c>
      <c r="P217" s="313">
        <f>'Production cost'!$P535</f>
        <v>64591.331280067061</v>
      </c>
      <c r="Q217" s="313">
        <f t="shared" si="26"/>
        <v>0</v>
      </c>
      <c r="R217" s="313">
        <f t="shared" si="27"/>
        <v>0</v>
      </c>
      <c r="S217" s="1741">
        <f t="shared" ca="1" si="28"/>
        <v>0</v>
      </c>
      <c r="T217" s="313" t="str">
        <f>'Production cost'!T535</f>
        <v>N</v>
      </c>
      <c r="AK217" s="313"/>
      <c r="AL217" s="313"/>
      <c r="AM217" s="313"/>
      <c r="AQ217" s="385"/>
      <c r="AR217" s="1048"/>
    </row>
    <row r="218" spans="2:44" ht="12.75" customHeight="1">
      <c r="B218" s="1258" t="s">
        <v>159</v>
      </c>
      <c r="C218" s="313" t="str">
        <f>'Production cost'!$C536</f>
        <v>Binding back cover &amp; text - Old Process</v>
      </c>
      <c r="E218" s="363"/>
      <c r="F218" s="363" t="str">
        <f>'Production cost'!$F536</f>
        <v>N</v>
      </c>
      <c r="G218" s="363"/>
      <c r="H218" s="313">
        <f>IFERROR(IF($F218="PCS",$E$4,VLOOKUP($F218,'Proof cost'!$I$23:$X$55,2,0)),0)</f>
        <v>0</v>
      </c>
      <c r="I218" s="313">
        <f>'Production cost'!$I536</f>
        <v>1500</v>
      </c>
      <c r="J218" s="313" t="str">
        <f>'Production cost'!$J536</f>
        <v>columns</v>
      </c>
      <c r="K218" s="360">
        <f>'Production cost'!$K536</f>
        <v>0</v>
      </c>
      <c r="L218" s="313">
        <f>'Production cost'!$L536</f>
        <v>8</v>
      </c>
      <c r="M218" s="391">
        <f ca="1">'Production cost'!$M536</f>
        <v>0</v>
      </c>
      <c r="N218" s="983">
        <f t="shared" si="25"/>
        <v>0</v>
      </c>
      <c r="P218" s="313">
        <f>'Production cost'!$P536</f>
        <v>64591.331280067061</v>
      </c>
      <c r="Q218" s="313">
        <f t="shared" si="26"/>
        <v>0</v>
      </c>
      <c r="R218" s="313">
        <f t="shared" si="27"/>
        <v>0</v>
      </c>
      <c r="S218" s="1741">
        <f t="shared" ca="1" si="28"/>
        <v>0</v>
      </c>
      <c r="T218" s="313" t="str">
        <f>'Production cost'!T536</f>
        <v>N</v>
      </c>
      <c r="AL218" s="1056"/>
      <c r="AQ218" s="385"/>
      <c r="AR218" s="1048"/>
    </row>
    <row r="219" spans="2:44" ht="12.75" customHeight="1" outlineLevel="1">
      <c r="B219" s="1258" t="s">
        <v>159</v>
      </c>
      <c r="C219" s="313" t="str">
        <f>'Production cost'!$C537</f>
        <v>Folding text - New Process</v>
      </c>
      <c r="E219" s="363"/>
      <c r="F219" s="363" t="str">
        <f>'Production cost'!$F537</f>
        <v>N</v>
      </c>
      <c r="G219" s="363" t="str">
        <f>'Production cost'!$G537</f>
        <v>&lt; 200 x 200</v>
      </c>
      <c r="H219" s="313">
        <f>IFERROR(IF($F219="PCS",$E$4,VLOOKUP($F219,'Proof cost'!$I$23:$X$55,2,0)),0)</f>
        <v>0</v>
      </c>
      <c r="I219" s="313">
        <f>'Production cost'!$I537</f>
        <v>9000</v>
      </c>
      <c r="J219" s="313" t="str">
        <f>'Production cost'!$J537</f>
        <v>copies</v>
      </c>
      <c r="K219" s="360">
        <f>'Production cost'!$K537</f>
        <v>0</v>
      </c>
      <c r="L219" s="313">
        <f>'Production cost'!$L537</f>
        <v>2</v>
      </c>
      <c r="M219" s="391">
        <f ca="1">'Production cost'!$M537</f>
        <v>0</v>
      </c>
      <c r="N219" s="983">
        <f t="shared" si="25"/>
        <v>0</v>
      </c>
      <c r="P219" s="313">
        <f>'Production cost'!$P537</f>
        <v>64591.331280067061</v>
      </c>
      <c r="Q219" s="313">
        <f t="shared" si="26"/>
        <v>0</v>
      </c>
      <c r="R219" s="313">
        <f t="shared" si="27"/>
        <v>0</v>
      </c>
      <c r="S219" s="1741">
        <f t="shared" ca="1" si="28"/>
        <v>0</v>
      </c>
      <c r="T219" s="313" t="str">
        <f>'Production cost'!T537</f>
        <v>N</v>
      </c>
      <c r="AL219" s="1056"/>
      <c r="AQ219" s="385"/>
      <c r="AR219" s="1048"/>
    </row>
    <row r="220" spans="2:44" ht="12.75" customHeight="1" outlineLevel="1">
      <c r="B220" s="1258" t="s">
        <v>159</v>
      </c>
      <c r="C220" s="313" t="str">
        <f>'Production cost'!$C538</f>
        <v>Arrang text - New Process</v>
      </c>
      <c r="E220" s="363"/>
      <c r="F220" s="363" t="str">
        <f>'Production cost'!$F538</f>
        <v>N</v>
      </c>
      <c r="G220" s="363"/>
      <c r="H220" s="313">
        <f>IFERROR(IF($F220="PCS",$E$4,VLOOKUP($F220,'Proof cost'!$I$23:$X$55,2,0)),0)</f>
        <v>0</v>
      </c>
      <c r="I220" s="313">
        <f>'Production cost'!$I538</f>
        <v>1312.5</v>
      </c>
      <c r="J220" s="313" t="str">
        <f>'Production cost'!$J538</f>
        <v>copies</v>
      </c>
      <c r="K220" s="360">
        <f>'Production cost'!$K538</f>
        <v>0</v>
      </c>
      <c r="L220" s="313">
        <f>'Production cost'!$L538</f>
        <v>5</v>
      </c>
      <c r="M220" s="391">
        <f ca="1">'Production cost'!$M538</f>
        <v>0</v>
      </c>
      <c r="N220" s="983">
        <f t="shared" si="25"/>
        <v>0</v>
      </c>
      <c r="P220" s="313">
        <f>'Production cost'!$P538</f>
        <v>64591.331280067061</v>
      </c>
      <c r="Q220" s="313">
        <f t="shared" si="26"/>
        <v>0</v>
      </c>
      <c r="R220" s="313">
        <f t="shared" si="27"/>
        <v>0</v>
      </c>
      <c r="S220" s="1741">
        <f t="shared" ca="1" si="28"/>
        <v>0</v>
      </c>
      <c r="T220" s="313" t="str">
        <f>'Production cost'!T538</f>
        <v>N</v>
      </c>
      <c r="AL220" s="1056"/>
      <c r="AQ220" s="385"/>
      <c r="AR220" s="1048"/>
    </row>
    <row r="221" spans="2:44" ht="12.75" customHeight="1" outlineLevel="1">
      <c r="B221" s="1258" t="s">
        <v>159</v>
      </c>
      <c r="C221" s="313" t="str">
        <f>'Production cost'!$C539</f>
        <v>Gluing text - New Process</v>
      </c>
      <c r="E221" s="363"/>
      <c r="F221" s="363" t="str">
        <f>'Production cost'!$F539</f>
        <v>N</v>
      </c>
      <c r="G221" s="363"/>
      <c r="H221" s="313">
        <f>IFERROR(IF($F221="PCS",$E$4,VLOOKUP($F221,'Proof cost'!$I$23:$X$55,2,0)),0)</f>
        <v>0</v>
      </c>
      <c r="I221" s="313">
        <f>'Production cost'!$I539</f>
        <v>9000</v>
      </c>
      <c r="J221" s="313" t="str">
        <f>'Production cost'!$J539</f>
        <v>copies</v>
      </c>
      <c r="K221" s="360">
        <f>'Production cost'!$K539</f>
        <v>0</v>
      </c>
      <c r="L221" s="313">
        <f>'Production cost'!$L539</f>
        <v>2</v>
      </c>
      <c r="M221" s="391">
        <f ca="1">'Production cost'!$M539</f>
        <v>0</v>
      </c>
      <c r="N221" s="983">
        <f t="shared" si="25"/>
        <v>0</v>
      </c>
      <c r="P221" s="313">
        <f>'Production cost'!$P539</f>
        <v>64591.331280067061</v>
      </c>
      <c r="Q221" s="313">
        <f t="shared" si="26"/>
        <v>0</v>
      </c>
      <c r="R221" s="313">
        <f t="shared" si="27"/>
        <v>0</v>
      </c>
      <c r="S221" s="1741">
        <f t="shared" ca="1" si="28"/>
        <v>0</v>
      </c>
      <c r="T221" s="313" t="str">
        <f>'Production cost'!T539</f>
        <v>N</v>
      </c>
      <c r="AP221" s="385"/>
      <c r="AQ221" s="385"/>
      <c r="AR221" s="1048"/>
    </row>
    <row r="222" spans="2:44" ht="12.75" customHeight="1" outlineLevel="1">
      <c r="B222" s="1258" t="s">
        <v>159</v>
      </c>
      <c r="C222" s="313" t="str">
        <f>'Production cost'!$C540</f>
        <v>Glue Text + Cover - New Process</v>
      </c>
      <c r="E222" s="363"/>
      <c r="F222" s="363" t="str">
        <f>'Production cost'!$F540</f>
        <v>N</v>
      </c>
      <c r="G222" s="363"/>
      <c r="H222" s="313">
        <f>IFERROR(IF($F222="PCS",$E$4,VLOOKUP($F222,'Proof cost'!$I$23:$X$55,2,0)),0)</f>
        <v>0</v>
      </c>
      <c r="I222" s="313">
        <f>'Production cost'!$I540</f>
        <v>600</v>
      </c>
      <c r="J222" s="313" t="str">
        <f>'Production cost'!$J540</f>
        <v>copies</v>
      </c>
      <c r="K222" s="360">
        <f>'Production cost'!$K540</f>
        <v>0</v>
      </c>
      <c r="L222" s="313">
        <f>'Production cost'!$L540</f>
        <v>8</v>
      </c>
      <c r="M222" s="391">
        <f ca="1">'Production cost'!$M540</f>
        <v>0</v>
      </c>
      <c r="N222" s="983">
        <f t="shared" si="25"/>
        <v>0</v>
      </c>
      <c r="P222" s="313">
        <f>'Production cost'!$P540</f>
        <v>64591.331280067061</v>
      </c>
      <c r="Q222" s="313">
        <f t="shared" si="26"/>
        <v>0</v>
      </c>
      <c r="R222" s="313">
        <f t="shared" si="27"/>
        <v>0</v>
      </c>
      <c r="S222" s="1741">
        <f t="shared" ca="1" si="28"/>
        <v>0</v>
      </c>
      <c r="T222" s="313" t="str">
        <f>'Production cost'!T540</f>
        <v>N</v>
      </c>
      <c r="AP222" s="385"/>
      <c r="AQ222" s="385"/>
      <c r="AR222" s="1048"/>
    </row>
    <row r="223" spans="2:44" ht="12.75" customHeight="1" outlineLevel="1">
      <c r="B223" s="1258" t="s">
        <v>159</v>
      </c>
      <c r="C223" s="313" t="str">
        <f>'Production cost'!$C541</f>
        <v>Silkscreen binding</v>
      </c>
      <c r="E223" s="363"/>
      <c r="F223" s="363" t="str">
        <f>'Production cost'!$F541</f>
        <v>N</v>
      </c>
      <c r="G223" s="363"/>
      <c r="H223" s="313">
        <f>IFERROR(IF($F223="PCS",$E$4,VLOOKUP($F223,'Proof cost'!$I$23:$X$55,2,0)),0)</f>
        <v>0</v>
      </c>
      <c r="I223" s="313">
        <f>'Production cost'!$I541</f>
        <v>600</v>
      </c>
      <c r="J223" s="313" t="str">
        <f>'Production cost'!$J541</f>
        <v>Sheets</v>
      </c>
      <c r="K223" s="360">
        <f>'Production cost'!$K541</f>
        <v>0</v>
      </c>
      <c r="L223" s="313">
        <f>'Production cost'!$L541</f>
        <v>12</v>
      </c>
      <c r="M223" s="391">
        <f ca="1">'Production cost'!$M541</f>
        <v>0</v>
      </c>
      <c r="N223" s="983">
        <f t="shared" si="25"/>
        <v>0</v>
      </c>
      <c r="P223" s="313">
        <f>'Production cost'!$P541</f>
        <v>64591.331280067061</v>
      </c>
      <c r="Q223" s="313">
        <f t="shared" si="26"/>
        <v>0</v>
      </c>
      <c r="R223" s="313">
        <f t="shared" si="27"/>
        <v>0</v>
      </c>
      <c r="S223" s="1741">
        <f t="shared" ca="1" si="28"/>
        <v>0</v>
      </c>
      <c r="T223" s="313" t="str">
        <f>'Production cost'!T541</f>
        <v>N</v>
      </c>
      <c r="AM223" s="363"/>
      <c r="AN223" s="385"/>
    </row>
    <row r="224" spans="2:44" ht="12.75" customHeight="1" outlineLevel="1">
      <c r="B224" s="1258" t="s">
        <v>159</v>
      </c>
      <c r="C224" s="313" t="str">
        <f>'Production cost'!$C542</f>
        <v>Silkscreen binding</v>
      </c>
      <c r="E224" s="363"/>
      <c r="F224" s="363" t="str">
        <f>'Production cost'!$F542</f>
        <v>N</v>
      </c>
      <c r="G224" s="363"/>
      <c r="H224" s="313">
        <f>IFERROR(IF($F224="PCS",$E$4,VLOOKUP($F224,'Proof cost'!$I$23:$X$55,2,0)),0)</f>
        <v>0</v>
      </c>
      <c r="I224" s="313">
        <f>'Production cost'!$I542</f>
        <v>600</v>
      </c>
      <c r="J224" s="313" t="str">
        <f>'Production cost'!$J542</f>
        <v>Sheets</v>
      </c>
      <c r="K224" s="360">
        <f>'Production cost'!$K542</f>
        <v>0</v>
      </c>
      <c r="L224" s="313">
        <f>'Production cost'!$L542</f>
        <v>12</v>
      </c>
      <c r="M224" s="391">
        <f ca="1">'Production cost'!$M542</f>
        <v>0</v>
      </c>
      <c r="N224" s="983">
        <f t="shared" si="25"/>
        <v>0</v>
      </c>
      <c r="P224" s="313">
        <f>'Production cost'!$P542</f>
        <v>64591.331280067061</v>
      </c>
      <c r="Q224" s="313">
        <f t="shared" si="26"/>
        <v>0</v>
      </c>
      <c r="R224" s="313">
        <f t="shared" si="27"/>
        <v>0</v>
      </c>
      <c r="S224" s="1741">
        <f t="shared" ca="1" si="28"/>
        <v>0</v>
      </c>
      <c r="T224" s="313" t="str">
        <f>'Production cost'!T542</f>
        <v>N</v>
      </c>
      <c r="AM224" s="363"/>
      <c r="AN224" s="385"/>
    </row>
    <row r="225" spans="2:40" ht="12.75" customHeight="1" outlineLevel="1">
      <c r="B225" s="1258" t="s">
        <v>159</v>
      </c>
      <c r="C225" s="313" t="str">
        <f>'Production cost'!$C543</f>
        <v>Silkscreen binding</v>
      </c>
      <c r="E225" s="363"/>
      <c r="F225" s="363" t="str">
        <f>'Production cost'!$F543</f>
        <v>N</v>
      </c>
      <c r="G225" s="363"/>
      <c r="H225" s="313">
        <f>IFERROR(IF($F225="PCS",$E$4,VLOOKUP($F225,'Proof cost'!$I$23:$X$55,2,0)),0)</f>
        <v>0</v>
      </c>
      <c r="I225" s="313">
        <f>'Production cost'!$I543</f>
        <v>600</v>
      </c>
      <c r="J225" s="313" t="str">
        <f>'Production cost'!$J543</f>
        <v>Sheets</v>
      </c>
      <c r="K225" s="360">
        <f>'Production cost'!$K543</f>
        <v>0</v>
      </c>
      <c r="L225" s="313">
        <f>'Production cost'!$L543</f>
        <v>12</v>
      </c>
      <c r="M225" s="391">
        <f ca="1">'Production cost'!$M543</f>
        <v>0</v>
      </c>
      <c r="N225" s="983">
        <f t="shared" si="25"/>
        <v>0</v>
      </c>
      <c r="P225" s="313">
        <f>'Production cost'!$P543</f>
        <v>64591.331280067061</v>
      </c>
      <c r="Q225" s="313">
        <f t="shared" si="26"/>
        <v>0</v>
      </c>
      <c r="R225" s="313">
        <f t="shared" si="27"/>
        <v>0</v>
      </c>
      <c r="S225" s="1741">
        <f t="shared" ca="1" si="28"/>
        <v>0</v>
      </c>
      <c r="T225" s="313" t="str">
        <f>'Production cost'!T543</f>
        <v>N</v>
      </c>
      <c r="AM225" s="363"/>
      <c r="AN225" s="385"/>
    </row>
    <row r="226" spans="2:40" ht="12.75" customHeight="1" outlineLevel="1">
      <c r="B226" s="1258" t="s">
        <v>159</v>
      </c>
      <c r="C226" s="313" t="str">
        <f>'Production cost'!$C544</f>
        <v>Silkscreen binding</v>
      </c>
      <c r="E226" s="363"/>
      <c r="F226" s="363" t="str">
        <f>'Production cost'!$F544</f>
        <v>N</v>
      </c>
      <c r="G226" s="363"/>
      <c r="H226" s="313">
        <f>IFERROR(IF($F226="PCS",$E$4,VLOOKUP($F226,'Proof cost'!$I$23:$X$55,2,0)),0)</f>
        <v>0</v>
      </c>
      <c r="I226" s="313">
        <f>'Production cost'!$I544</f>
        <v>600</v>
      </c>
      <c r="J226" s="313" t="str">
        <f>'Production cost'!$J544</f>
        <v>Sheets</v>
      </c>
      <c r="K226" s="360">
        <f>'Production cost'!$K544</f>
        <v>0</v>
      </c>
      <c r="L226" s="313">
        <f>'Production cost'!$L544</f>
        <v>12</v>
      </c>
      <c r="M226" s="391">
        <f ca="1">'Production cost'!$M544</f>
        <v>0</v>
      </c>
      <c r="N226" s="983">
        <f t="shared" si="25"/>
        <v>0</v>
      </c>
      <c r="P226" s="313">
        <f>'Production cost'!$P544</f>
        <v>64591.331280067061</v>
      </c>
      <c r="Q226" s="313">
        <f t="shared" si="26"/>
        <v>0</v>
      </c>
      <c r="R226" s="313">
        <f t="shared" si="27"/>
        <v>0</v>
      </c>
      <c r="S226" s="1741">
        <f t="shared" ca="1" si="28"/>
        <v>0</v>
      </c>
      <c r="T226" s="313" t="str">
        <f>'Production cost'!T544</f>
        <v>N</v>
      </c>
      <c r="AM226" s="363"/>
      <c r="AN226" s="385"/>
    </row>
    <row r="227" spans="2:40" ht="12.75" customHeight="1" outlineLevel="1">
      <c r="B227" s="1258" t="s">
        <v>159</v>
      </c>
      <c r="C227" s="313" t="str">
        <f>'Production cost'!$C545</f>
        <v>Silkscreen binding</v>
      </c>
      <c r="E227" s="363"/>
      <c r="F227" s="363" t="str">
        <f>'Production cost'!$F545</f>
        <v>N</v>
      </c>
      <c r="G227" s="363"/>
      <c r="H227" s="313">
        <f>IFERROR(IF($F227="PCS",$E$4,VLOOKUP($F227,'Proof cost'!$I$23:$X$55,2,0)),0)</f>
        <v>0</v>
      </c>
      <c r="I227" s="313">
        <f>'Production cost'!$I545</f>
        <v>600</v>
      </c>
      <c r="J227" s="313" t="str">
        <f>'Production cost'!$J545</f>
        <v>Sheets</v>
      </c>
      <c r="K227" s="360">
        <f>'Production cost'!$K545</f>
        <v>0</v>
      </c>
      <c r="L227" s="313">
        <f>'Production cost'!$L545</f>
        <v>12</v>
      </c>
      <c r="M227" s="391">
        <f ca="1">'Production cost'!$M545</f>
        <v>0</v>
      </c>
      <c r="N227" s="983">
        <f t="shared" si="25"/>
        <v>0</v>
      </c>
      <c r="P227" s="313">
        <f>'Production cost'!$P545</f>
        <v>64591.331280067061</v>
      </c>
      <c r="Q227" s="313">
        <f t="shared" si="26"/>
        <v>0</v>
      </c>
      <c r="R227" s="313">
        <f t="shared" si="27"/>
        <v>0</v>
      </c>
      <c r="S227" s="1741">
        <f t="shared" ca="1" si="28"/>
        <v>0</v>
      </c>
      <c r="T227" s="313" t="str">
        <f>'Production cost'!T545</f>
        <v>N</v>
      </c>
      <c r="AM227" s="363"/>
      <c r="AN227" s="385"/>
    </row>
    <row r="228" spans="2:40" ht="12.75" customHeight="1" outlineLevel="1">
      <c r="B228" s="1258" t="s">
        <v>159</v>
      </c>
      <c r="C228" s="313" t="str">
        <f>'Production cost'!$C546</f>
        <v>Silkscreen binding</v>
      </c>
      <c r="E228" s="363"/>
      <c r="F228" s="363" t="str">
        <f>'Production cost'!$F546</f>
        <v>N</v>
      </c>
      <c r="G228" s="363"/>
      <c r="H228" s="313">
        <f>IFERROR(IF($F228="PCS",$E$4,VLOOKUP($F228,'Proof cost'!$I$23:$X$55,2,0)),0)</f>
        <v>0</v>
      </c>
      <c r="I228" s="313">
        <f>'Production cost'!$I546</f>
        <v>600</v>
      </c>
      <c r="J228" s="313" t="str">
        <f>'Production cost'!$J546</f>
        <v>Sheets</v>
      </c>
      <c r="K228" s="360">
        <f>'Production cost'!$K546</f>
        <v>0</v>
      </c>
      <c r="L228" s="313">
        <f>'Production cost'!$L546</f>
        <v>12</v>
      </c>
      <c r="M228" s="391">
        <f ca="1">'Production cost'!$M546</f>
        <v>0</v>
      </c>
      <c r="N228" s="983">
        <f t="shared" si="25"/>
        <v>0</v>
      </c>
      <c r="P228" s="313">
        <f>'Production cost'!$P546</f>
        <v>64591.331280067061</v>
      </c>
      <c r="Q228" s="313">
        <f t="shared" si="26"/>
        <v>0</v>
      </c>
      <c r="R228" s="313">
        <f t="shared" si="27"/>
        <v>0</v>
      </c>
      <c r="S228" s="1741">
        <f t="shared" ca="1" si="28"/>
        <v>0</v>
      </c>
      <c r="T228" s="313" t="str">
        <f>'Production cost'!T546</f>
        <v>N</v>
      </c>
      <c r="AM228" s="363"/>
      <c r="AN228" s="385"/>
    </row>
    <row r="229" spans="2:40" ht="12.75" customHeight="1" outlineLevel="1">
      <c r="B229" s="1258" t="s">
        <v>159</v>
      </c>
      <c r="C229" s="313" t="str">
        <f>'Production cost'!$C547</f>
        <v>Silkscreen binding</v>
      </c>
      <c r="E229" s="363"/>
      <c r="F229" s="363" t="str">
        <f>'Production cost'!$F547</f>
        <v>N</v>
      </c>
      <c r="G229" s="363"/>
      <c r="H229" s="313">
        <f>IFERROR(IF($F229="PCS",$E$4,VLOOKUP($F229,'Proof cost'!$I$23:$X$55,2,0)),0)</f>
        <v>0</v>
      </c>
      <c r="I229" s="313">
        <f>'Production cost'!$I547</f>
        <v>600</v>
      </c>
      <c r="J229" s="313" t="str">
        <f>'Production cost'!$J547</f>
        <v>Sheets</v>
      </c>
      <c r="K229" s="360">
        <f>'Production cost'!$K547</f>
        <v>0</v>
      </c>
      <c r="L229" s="313">
        <f>'Production cost'!$L547</f>
        <v>12</v>
      </c>
      <c r="M229" s="391">
        <f ca="1">'Production cost'!$M547</f>
        <v>0</v>
      </c>
      <c r="N229" s="983">
        <f t="shared" si="25"/>
        <v>0</v>
      </c>
      <c r="P229" s="313">
        <f>'Production cost'!$P547</f>
        <v>64591.331280067061</v>
      </c>
      <c r="Q229" s="313">
        <f t="shared" si="26"/>
        <v>0</v>
      </c>
      <c r="R229" s="313">
        <f t="shared" si="27"/>
        <v>0</v>
      </c>
      <c r="S229" s="1741">
        <f t="shared" ca="1" si="28"/>
        <v>0</v>
      </c>
      <c r="T229" s="313" t="str">
        <f>'Production cost'!T547</f>
        <v>N</v>
      </c>
      <c r="AM229" s="363"/>
      <c r="AN229" s="385"/>
    </row>
    <row r="230" spans="2:40" ht="12.75" customHeight="1" outlineLevel="1">
      <c r="B230" s="1258" t="s">
        <v>159</v>
      </c>
      <c r="C230" s="313" t="str">
        <f>'Production cost'!$C548</f>
        <v>Silkscreen binding</v>
      </c>
      <c r="E230" s="363"/>
      <c r="F230" s="363" t="str">
        <f>'Production cost'!$F548</f>
        <v>N</v>
      </c>
      <c r="G230" s="363"/>
      <c r="H230" s="313">
        <f>IFERROR(IF($F230="PCS",$E$4,VLOOKUP($F230,'Proof cost'!$I$23:$X$55,2,0)),0)</f>
        <v>0</v>
      </c>
      <c r="I230" s="313">
        <f>'Production cost'!$I548</f>
        <v>600</v>
      </c>
      <c r="J230" s="313" t="str">
        <f>'Production cost'!$J548</f>
        <v>Sheets</v>
      </c>
      <c r="K230" s="360">
        <f>'Production cost'!$K548</f>
        <v>0</v>
      </c>
      <c r="L230" s="313">
        <f>'Production cost'!$L548</f>
        <v>12</v>
      </c>
      <c r="M230" s="391">
        <f ca="1">'Production cost'!$M548</f>
        <v>0</v>
      </c>
      <c r="N230" s="983">
        <f t="shared" si="25"/>
        <v>0</v>
      </c>
      <c r="P230" s="313">
        <f>'Production cost'!$P548</f>
        <v>64591.331280067061</v>
      </c>
      <c r="Q230" s="313">
        <f t="shared" si="26"/>
        <v>0</v>
      </c>
      <c r="R230" s="313">
        <f t="shared" si="27"/>
        <v>0</v>
      </c>
      <c r="S230" s="1741">
        <f t="shared" ca="1" si="28"/>
        <v>0</v>
      </c>
      <c r="T230" s="313" t="str">
        <f>'Production cost'!T548</f>
        <v>N</v>
      </c>
      <c r="AM230" s="363"/>
      <c r="AN230" s="385"/>
    </row>
    <row r="231" spans="2:40" ht="12.75" customHeight="1" outlineLevel="1">
      <c r="B231" s="1258" t="s">
        <v>159</v>
      </c>
      <c r="C231" s="313" t="str">
        <f>'Production cost'!$C549</f>
        <v>Silkscreen binding</v>
      </c>
      <c r="E231" s="363"/>
      <c r="F231" s="363" t="str">
        <f>'Production cost'!$F549</f>
        <v>N</v>
      </c>
      <c r="G231" s="363"/>
      <c r="H231" s="313">
        <f>IFERROR(IF($F231="PCS",$E$4,VLOOKUP($F231,'Proof cost'!$I$23:$X$55,2,0)),0)</f>
        <v>0</v>
      </c>
      <c r="I231" s="313">
        <f>'Production cost'!$I549</f>
        <v>600</v>
      </c>
      <c r="J231" s="313" t="str">
        <f>'Production cost'!$J549</f>
        <v>Sheets</v>
      </c>
      <c r="K231" s="360">
        <f>'Production cost'!$K549</f>
        <v>0</v>
      </c>
      <c r="L231" s="313">
        <f>'Production cost'!$L549</f>
        <v>12</v>
      </c>
      <c r="M231" s="391">
        <f ca="1">'Production cost'!$M549</f>
        <v>0</v>
      </c>
      <c r="N231" s="983">
        <f t="shared" si="25"/>
        <v>0</v>
      </c>
      <c r="P231" s="313">
        <f>'Production cost'!$P549</f>
        <v>64591.331280067061</v>
      </c>
      <c r="Q231" s="313">
        <f t="shared" si="26"/>
        <v>0</v>
      </c>
      <c r="R231" s="313">
        <f t="shared" si="27"/>
        <v>0</v>
      </c>
      <c r="S231" s="1741">
        <f t="shared" ca="1" si="28"/>
        <v>0</v>
      </c>
      <c r="T231" s="313" t="str">
        <f>'Production cost'!T549</f>
        <v>N</v>
      </c>
      <c r="AM231" s="363"/>
      <c r="AN231" s="385"/>
    </row>
    <row r="232" spans="2:40" ht="12.75" customHeight="1" outlineLevel="1">
      <c r="B232" s="1258" t="s">
        <v>159</v>
      </c>
      <c r="C232" s="313" t="str">
        <f>'Production cost'!$C550</f>
        <v>Silkscreen binding</v>
      </c>
      <c r="E232" s="363"/>
      <c r="F232" s="363" t="str">
        <f>'Production cost'!$F550</f>
        <v>N</v>
      </c>
      <c r="G232" s="363"/>
      <c r="H232" s="313">
        <f>IFERROR(IF($F232="PCS",$E$4,VLOOKUP($F232,'Proof cost'!$I$23:$X$55,2,0)),0)</f>
        <v>0</v>
      </c>
      <c r="I232" s="313">
        <f>'Production cost'!$I550</f>
        <v>600</v>
      </c>
      <c r="J232" s="313" t="str">
        <f>'Production cost'!$J550</f>
        <v>Sheets</v>
      </c>
      <c r="K232" s="360">
        <f>'Production cost'!$K550</f>
        <v>0</v>
      </c>
      <c r="L232" s="313">
        <f>'Production cost'!$L550</f>
        <v>12</v>
      </c>
      <c r="M232" s="391">
        <f ca="1">'Production cost'!$M550</f>
        <v>0</v>
      </c>
      <c r="N232" s="983">
        <f t="shared" si="25"/>
        <v>0</v>
      </c>
      <c r="P232" s="313">
        <f>'Production cost'!$P550</f>
        <v>64591.331280067061</v>
      </c>
      <c r="Q232" s="313">
        <f t="shared" si="26"/>
        <v>0</v>
      </c>
      <c r="R232" s="313">
        <f t="shared" si="27"/>
        <v>0</v>
      </c>
      <c r="S232" s="1741">
        <f t="shared" ca="1" si="28"/>
        <v>0</v>
      </c>
      <c r="T232" s="313" t="str">
        <f>'Production cost'!T550</f>
        <v>N</v>
      </c>
      <c r="AM232" s="363"/>
      <c r="AN232" s="385"/>
    </row>
    <row r="233" spans="2:40" ht="12.75" customHeight="1" outlineLevel="1">
      <c r="B233" s="1258" t="s">
        <v>159</v>
      </c>
      <c r="C233" s="313" t="str">
        <f>'Production cost'!$C551</f>
        <v>Wrapping square corners with foam</v>
      </c>
      <c r="E233" s="363"/>
      <c r="F233" s="363" t="str">
        <f>'Production cost'!$F551</f>
        <v>N</v>
      </c>
      <c r="G233" s="363" t="str">
        <f>'Production cost'!$G551</f>
        <v>&gt; 200 x 300</v>
      </c>
      <c r="H233" s="313">
        <f>IFERROR(IF($F233="PCS",$E$4,VLOOKUP($F233,'Proof cost'!$I$23:$X$55,2,0)),0)</f>
        <v>0</v>
      </c>
      <c r="I233" s="313">
        <f>'Production cost'!$I551</f>
        <v>900</v>
      </c>
      <c r="J233" s="313" t="str">
        <f>'Production cost'!$J551</f>
        <v>copies</v>
      </c>
      <c r="K233" s="360">
        <f>'Production cost'!$K551</f>
        <v>0</v>
      </c>
      <c r="L233" s="313">
        <f>'Production cost'!$L551</f>
        <v>2</v>
      </c>
      <c r="M233" s="391">
        <f ca="1">'Production cost'!$M551</f>
        <v>0</v>
      </c>
      <c r="N233" s="983">
        <f t="shared" si="25"/>
        <v>0</v>
      </c>
      <c r="P233" s="313">
        <f>'Production cost'!$P551</f>
        <v>64591.331280067061</v>
      </c>
      <c r="Q233" s="313">
        <f t="shared" si="26"/>
        <v>0</v>
      </c>
      <c r="R233" s="313">
        <f t="shared" si="27"/>
        <v>0</v>
      </c>
      <c r="S233" s="1741">
        <f t="shared" ca="1" si="28"/>
        <v>0</v>
      </c>
      <c r="T233" s="313" t="str">
        <f>'Production cost'!T551</f>
        <v>N</v>
      </c>
      <c r="AL233" s="313"/>
      <c r="AM233" s="363"/>
      <c r="AN233" s="385"/>
    </row>
    <row r="234" spans="2:40" ht="12.75" customHeight="1" outlineLevel="1">
      <c r="B234" s="1258" t="s">
        <v>159</v>
      </c>
      <c r="C234" s="313" t="str">
        <f>'Production cost'!$C552</f>
        <v>Wrapping round corners with foam</v>
      </c>
      <c r="E234" s="363"/>
      <c r="F234" s="363" t="str">
        <f>'Production cost'!$F552</f>
        <v>N</v>
      </c>
      <c r="G234" s="363" t="str">
        <f>'Production cost'!$G552</f>
        <v>&gt; 200 x 300</v>
      </c>
      <c r="H234" s="313">
        <f>IFERROR(IF($F234="PCS",$E$4,VLOOKUP($F234,'Proof cost'!$I$23:$X$55,2,0)),0)</f>
        <v>0</v>
      </c>
      <c r="I234" s="313">
        <f>'Production cost'!$I552</f>
        <v>900</v>
      </c>
      <c r="J234" s="313" t="str">
        <f>'Production cost'!$J552</f>
        <v>copies</v>
      </c>
      <c r="K234" s="360">
        <f>'Production cost'!$K552</f>
        <v>0</v>
      </c>
      <c r="L234" s="313">
        <f>'Production cost'!$L552</f>
        <v>2</v>
      </c>
      <c r="M234" s="391">
        <f ca="1">'Production cost'!$M552</f>
        <v>0</v>
      </c>
      <c r="N234" s="983">
        <f t="shared" si="25"/>
        <v>0</v>
      </c>
      <c r="P234" s="313">
        <f>'Production cost'!$P552</f>
        <v>64591.331280067061</v>
      </c>
      <c r="Q234" s="313">
        <f t="shared" si="26"/>
        <v>0</v>
      </c>
      <c r="R234" s="313">
        <f t="shared" si="27"/>
        <v>0</v>
      </c>
      <c r="S234" s="1741">
        <f t="shared" ca="1" si="28"/>
        <v>0</v>
      </c>
      <c r="T234" s="313" t="str">
        <f>'Production cost'!T552</f>
        <v>N</v>
      </c>
      <c r="AL234" s="313"/>
      <c r="AM234" s="363"/>
      <c r="AN234" s="385"/>
    </row>
    <row r="235" spans="2:40" ht="12.75" customHeight="1" outlineLevel="1">
      <c r="B235" s="1258" t="s">
        <v>159</v>
      </c>
      <c r="C235" s="313" t="str">
        <f>'Production cost'!$C553</f>
        <v>Wrapping square corners and window w/o foam</v>
      </c>
      <c r="E235" s="363"/>
      <c r="F235" s="363" t="str">
        <f>'Production cost'!$F553</f>
        <v>N</v>
      </c>
      <c r="G235" s="363" t="str">
        <f>'Production cost'!$G553</f>
        <v>&gt; 200 x 300</v>
      </c>
      <c r="H235" s="313">
        <f>IFERROR(IF($F235="PCS",$E$4,VLOOKUP($F235,'Proof cost'!$I$23:$X$55,2,0)),0)</f>
        <v>0</v>
      </c>
      <c r="I235" s="313">
        <f>'Production cost'!$I553</f>
        <v>1100</v>
      </c>
      <c r="J235" s="313" t="str">
        <f>'Production cost'!$J553</f>
        <v>copies</v>
      </c>
      <c r="K235" s="360">
        <f>'Production cost'!$K553</f>
        <v>0</v>
      </c>
      <c r="L235" s="313">
        <f>'Production cost'!$L553</f>
        <v>5</v>
      </c>
      <c r="M235" s="391">
        <f ca="1">'Production cost'!$M553</f>
        <v>0</v>
      </c>
      <c r="N235" s="983">
        <f t="shared" si="25"/>
        <v>0</v>
      </c>
      <c r="P235" s="313">
        <f>'Production cost'!$P553</f>
        <v>64591.331280067061</v>
      </c>
      <c r="Q235" s="313">
        <f t="shared" si="26"/>
        <v>0</v>
      </c>
      <c r="R235" s="313">
        <f t="shared" si="27"/>
        <v>0</v>
      </c>
      <c r="S235" s="1741">
        <f t="shared" ca="1" si="28"/>
        <v>0</v>
      </c>
      <c r="T235" s="313" t="str">
        <f>'Production cost'!T553</f>
        <v>N</v>
      </c>
      <c r="AL235" s="313"/>
      <c r="AM235" s="363"/>
      <c r="AN235" s="385"/>
    </row>
    <row r="236" spans="2:40" ht="12.75" customHeight="1" outlineLevel="1">
      <c r="B236" s="1258" t="s">
        <v>159</v>
      </c>
      <c r="C236" s="313" t="str">
        <f>'Production cost'!$C554</f>
        <v>Wrapping round corners and window with foam</v>
      </c>
      <c r="E236" s="363"/>
      <c r="F236" s="363" t="str">
        <f>'Production cost'!$F554</f>
        <v>N</v>
      </c>
      <c r="G236" s="363" t="str">
        <f>'Production cost'!$G554</f>
        <v>&gt; 200 x 300</v>
      </c>
      <c r="H236" s="313">
        <f>IFERROR(IF($F236="PCS",$E$4,VLOOKUP($F236,'Proof cost'!$I$23:$X$55,2,0)),0)</f>
        <v>0</v>
      </c>
      <c r="I236" s="313">
        <f>'Production cost'!$I554</f>
        <v>900</v>
      </c>
      <c r="J236" s="313" t="str">
        <f>'Production cost'!$J554</f>
        <v>copies</v>
      </c>
      <c r="K236" s="360">
        <f>'Production cost'!$K554</f>
        <v>0</v>
      </c>
      <c r="L236" s="313">
        <f>'Production cost'!$L554</f>
        <v>5</v>
      </c>
      <c r="M236" s="391">
        <f ca="1">'Production cost'!$M554</f>
        <v>0</v>
      </c>
      <c r="N236" s="983">
        <f t="shared" si="25"/>
        <v>0</v>
      </c>
      <c r="P236" s="313">
        <f>'Production cost'!$P554</f>
        <v>64591.331280067061</v>
      </c>
      <c r="Q236" s="313">
        <f t="shared" si="26"/>
        <v>0</v>
      </c>
      <c r="R236" s="313">
        <f t="shared" si="27"/>
        <v>0</v>
      </c>
      <c r="S236" s="1741">
        <f t="shared" ca="1" si="28"/>
        <v>0</v>
      </c>
      <c r="T236" s="313" t="str">
        <f>'Production cost'!T554</f>
        <v>N</v>
      </c>
      <c r="AL236" s="313"/>
      <c r="AM236" s="363"/>
      <c r="AN236" s="385"/>
    </row>
    <row r="237" spans="2:40" ht="12.75" customHeight="1" outlineLevel="1">
      <c r="B237" s="1258" t="s">
        <v>159</v>
      </c>
      <c r="C237" s="313" t="str">
        <f>'Production cost'!$C555</f>
        <v>Wrapping square corners by hand</v>
      </c>
      <c r="E237" s="363"/>
      <c r="F237" s="363" t="str">
        <f>'Production cost'!$F555</f>
        <v>N</v>
      </c>
      <c r="G237" s="363"/>
      <c r="H237" s="313">
        <f>IFERROR(IF($F237="PCS",$E$4,VLOOKUP($F237,'Proof cost'!$I$23:$X$55,2,0)),0)</f>
        <v>0</v>
      </c>
      <c r="I237" s="313">
        <f>'Production cost'!$I555</f>
        <v>9000</v>
      </c>
      <c r="J237" s="313" t="str">
        <f>'Production cost'!$J555</f>
        <v>copies</v>
      </c>
      <c r="K237" s="360">
        <f>'Production cost'!$K555</f>
        <v>0</v>
      </c>
      <c r="L237" s="313">
        <f>'Production cost'!$L555</f>
        <v>0</v>
      </c>
      <c r="M237" s="391">
        <f ca="1">'Production cost'!$M555</f>
        <v>0</v>
      </c>
      <c r="N237" s="983">
        <f t="shared" si="25"/>
        <v>0</v>
      </c>
      <c r="P237" s="313">
        <f>'Production cost'!$P555</f>
        <v>64591.331280067061</v>
      </c>
      <c r="Q237" s="313">
        <f t="shared" si="26"/>
        <v>0</v>
      </c>
      <c r="R237" s="313">
        <f t="shared" si="27"/>
        <v>0</v>
      </c>
      <c r="S237" s="1741">
        <f t="shared" ca="1" si="28"/>
        <v>0</v>
      </c>
      <c r="T237" s="313" t="str">
        <f>'Production cost'!T555</f>
        <v>N</v>
      </c>
      <c r="AL237" s="313"/>
      <c r="AM237" s="363"/>
      <c r="AN237" s="385"/>
    </row>
    <row r="238" spans="2:40" ht="12.75" customHeight="1" outlineLevel="1">
      <c r="B238" s="1258" t="s">
        <v>159</v>
      </c>
      <c r="C238" s="313" t="str">
        <f>'Production cost'!$C556</f>
        <v>Wrapping rounded corners by hand</v>
      </c>
      <c r="E238" s="363"/>
      <c r="F238" s="363" t="str">
        <f>'Production cost'!$F556</f>
        <v>N</v>
      </c>
      <c r="G238" s="363"/>
      <c r="H238" s="313">
        <f>IFERROR(IF($F238="PCS",$E$4,VLOOKUP($F238,'Proof cost'!$I$23:$X$55,2,0)),0)</f>
        <v>0</v>
      </c>
      <c r="I238" s="313">
        <f>'Production cost'!$I556</f>
        <v>9000</v>
      </c>
      <c r="J238" s="313" t="str">
        <f>'Production cost'!$J556</f>
        <v>copies</v>
      </c>
      <c r="K238" s="360">
        <f>'Production cost'!$K556</f>
        <v>0</v>
      </c>
      <c r="L238" s="313">
        <f>'Production cost'!$L556</f>
        <v>0</v>
      </c>
      <c r="M238" s="391">
        <f ca="1">'Production cost'!$M556</f>
        <v>0</v>
      </c>
      <c r="N238" s="983">
        <f t="shared" si="25"/>
        <v>0</v>
      </c>
      <c r="P238" s="313">
        <f>'Production cost'!$P556</f>
        <v>64591.331280067061</v>
      </c>
      <c r="Q238" s="313">
        <f t="shared" si="26"/>
        <v>0</v>
      </c>
      <c r="R238" s="313">
        <f t="shared" si="27"/>
        <v>0</v>
      </c>
      <c r="S238" s="1741">
        <f t="shared" ca="1" si="28"/>
        <v>0</v>
      </c>
      <c r="T238" s="313" t="str">
        <f>'Production cost'!T556</f>
        <v>N</v>
      </c>
      <c r="AL238" s="313"/>
      <c r="AM238" s="363"/>
      <c r="AN238" s="385"/>
    </row>
    <row r="239" spans="2:40" ht="12.75" customHeight="1" outlineLevel="1">
      <c r="B239" s="1258" t="s">
        <v>159</v>
      </c>
      <c r="C239" s="313" t="str">
        <f>'Production cost'!$C557</f>
        <v>Attached liner</v>
      </c>
      <c r="E239" s="363"/>
      <c r="F239" s="363" t="str">
        <f>'Production cost'!$F557</f>
        <v>N</v>
      </c>
      <c r="G239" s="363"/>
      <c r="H239" s="313">
        <f>IFERROR(IF($F239="PCS",$E$4,VLOOKUP($F239,'Proof cost'!$I$23:$X$55,2,0)),0)</f>
        <v>0</v>
      </c>
      <c r="I239" s="313">
        <f>'Production cost'!$I557</f>
        <v>250</v>
      </c>
      <c r="J239" s="313" t="str">
        <f>'Production cost'!$J557</f>
        <v>copies</v>
      </c>
      <c r="K239" s="360">
        <f>'Production cost'!$K557</f>
        <v>0</v>
      </c>
      <c r="L239" s="313">
        <f>'Production cost'!$L557</f>
        <v>6</v>
      </c>
      <c r="M239" s="391">
        <f ca="1">'Production cost'!$M557</f>
        <v>0</v>
      </c>
      <c r="N239" s="983">
        <f t="shared" si="25"/>
        <v>0</v>
      </c>
      <c r="P239" s="313">
        <f>'Production cost'!$P557</f>
        <v>64591.331280067061</v>
      </c>
      <c r="Q239" s="313">
        <f t="shared" si="26"/>
        <v>0</v>
      </c>
      <c r="R239" s="313">
        <f t="shared" si="27"/>
        <v>0</v>
      </c>
      <c r="S239" s="1741">
        <f t="shared" ca="1" si="28"/>
        <v>0</v>
      </c>
      <c r="T239" s="313" t="str">
        <f>'Production cost'!T557</f>
        <v>N</v>
      </c>
      <c r="AL239" s="313"/>
      <c r="AM239" s="363"/>
      <c r="AN239" s="385"/>
    </row>
    <row r="240" spans="2:40" ht="12.75" customHeight="1" outlineLevel="1">
      <c r="B240" s="1258" t="s">
        <v>159</v>
      </c>
      <c r="C240" s="313" t="str">
        <f>'Production cost'!$C558</f>
        <v>Casing in - Board Book</v>
      </c>
      <c r="E240" s="363"/>
      <c r="F240" s="363" t="str">
        <f>'Production cost'!$F558</f>
        <v>N</v>
      </c>
      <c r="G240" s="363"/>
      <c r="H240" s="313">
        <f>IFERROR(IF($F240="PCS",$E$4,VLOOKUP($F240,'Proof cost'!$I$23:$X$55,2,0)),0)</f>
        <v>0</v>
      </c>
      <c r="I240" s="313">
        <f>'Production cost'!$I558</f>
        <v>550</v>
      </c>
      <c r="J240" s="313" t="str">
        <f>'Production cost'!$J558</f>
        <v>copies</v>
      </c>
      <c r="K240" s="360">
        <f>'Production cost'!$K558</f>
        <v>0</v>
      </c>
      <c r="L240" s="313">
        <f>'Production cost'!$L558</f>
        <v>7</v>
      </c>
      <c r="M240" s="391">
        <f ca="1">'Production cost'!$M558</f>
        <v>0</v>
      </c>
      <c r="N240" s="983">
        <f t="shared" si="25"/>
        <v>0</v>
      </c>
      <c r="P240" s="313">
        <f>'Production cost'!$P558</f>
        <v>64591.331280067061</v>
      </c>
      <c r="Q240" s="313">
        <f t="shared" si="26"/>
        <v>0</v>
      </c>
      <c r="R240" s="313">
        <f t="shared" si="27"/>
        <v>0</v>
      </c>
      <c r="S240" s="1741">
        <f t="shared" ca="1" si="28"/>
        <v>0</v>
      </c>
      <c r="T240" s="313" t="str">
        <f>'Production cost'!T558</f>
        <v>N</v>
      </c>
      <c r="AL240" s="313"/>
      <c r="AM240" s="363"/>
      <c r="AN240" s="385"/>
    </row>
    <row r="241" spans="1:40" ht="12.75" outlineLevel="1">
      <c r="B241" s="1258" t="s">
        <v>159</v>
      </c>
      <c r="C241" s="313" t="str">
        <f>'Production cost'!$C559</f>
        <v>Casing in - Pop Up</v>
      </c>
      <c r="E241" s="363"/>
      <c r="F241" s="363" t="str">
        <f>'Production cost'!$F559</f>
        <v>N</v>
      </c>
      <c r="G241" s="363"/>
      <c r="H241" s="313">
        <f>IFERROR(IF($F241="PCS",$E$4,VLOOKUP($F241,'Proof cost'!$I$23:$X$55,2,0)),0)</f>
        <v>0</v>
      </c>
      <c r="I241" s="313">
        <f>'Production cost'!$I559</f>
        <v>300</v>
      </c>
      <c r="J241" s="313" t="str">
        <f>'Production cost'!$J559</f>
        <v>copies</v>
      </c>
      <c r="K241" s="360">
        <f>'Production cost'!$K559</f>
        <v>0</v>
      </c>
      <c r="L241" s="313">
        <f>'Production cost'!$L559</f>
        <v>12</v>
      </c>
      <c r="M241" s="391">
        <f ca="1">'Production cost'!$M559</f>
        <v>0</v>
      </c>
      <c r="N241" s="983">
        <f t="shared" si="25"/>
        <v>0</v>
      </c>
      <c r="P241" s="313">
        <f>'Production cost'!$P559</f>
        <v>64591.331280067061</v>
      </c>
      <c r="Q241" s="313">
        <f t="shared" si="26"/>
        <v>0</v>
      </c>
      <c r="R241" s="313">
        <f t="shared" si="27"/>
        <v>0</v>
      </c>
      <c r="S241" s="1741">
        <f t="shared" ca="1" si="28"/>
        <v>0</v>
      </c>
      <c r="T241" s="313" t="str">
        <f>'Production cost'!T559</f>
        <v>N</v>
      </c>
      <c r="AL241" s="313"/>
      <c r="AM241" s="363"/>
      <c r="AN241" s="385"/>
    </row>
    <row r="242" spans="1:40" ht="12.75" customHeight="1" outlineLevel="1">
      <c r="B242" s="1258" t="s">
        <v>159</v>
      </c>
      <c r="C242" s="313" t="str">
        <f>'Production cost'!$C560</f>
        <v>Casing in - Concertina Pop Up</v>
      </c>
      <c r="E242" s="363"/>
      <c r="F242" s="363" t="str">
        <f>'Production cost'!$F560</f>
        <v>N</v>
      </c>
      <c r="G242" s="363"/>
      <c r="H242" s="313">
        <f>IFERROR(IF($F242="PCS",$E$4,VLOOKUP($F242,'Proof cost'!$I$23:$X$55,2,0)),0)</f>
        <v>0</v>
      </c>
      <c r="I242" s="313">
        <f>'Production cost'!$I560</f>
        <v>270</v>
      </c>
      <c r="J242" s="313" t="str">
        <f>'Production cost'!$J560</f>
        <v>copies</v>
      </c>
      <c r="K242" s="360">
        <f>'Production cost'!$K560</f>
        <v>0</v>
      </c>
      <c r="L242" s="313">
        <f>'Production cost'!$L560</f>
        <v>12</v>
      </c>
      <c r="M242" s="391">
        <f ca="1">'Production cost'!$M560</f>
        <v>0</v>
      </c>
      <c r="N242" s="983">
        <f t="shared" si="25"/>
        <v>0</v>
      </c>
      <c r="P242" s="313">
        <f>'Production cost'!$P560</f>
        <v>64591.331280067061</v>
      </c>
      <c r="Q242" s="313">
        <f t="shared" si="26"/>
        <v>0</v>
      </c>
      <c r="R242" s="313">
        <f t="shared" si="27"/>
        <v>0</v>
      </c>
      <c r="S242" s="1741">
        <f t="shared" ca="1" si="28"/>
        <v>0</v>
      </c>
      <c r="T242" s="313" t="str">
        <f>'Production cost'!T560</f>
        <v>N</v>
      </c>
      <c r="AL242" s="313"/>
      <c r="AM242" s="363"/>
      <c r="AN242" s="385"/>
    </row>
    <row r="243" spans="1:40" ht="12.75" customHeight="1" outlineLevel="1">
      <c r="B243" s="1259" t="s">
        <v>159</v>
      </c>
      <c r="C243" s="1260" t="str">
        <f>'Production cost'!$C561</f>
        <v>Other</v>
      </c>
      <c r="D243" s="1260"/>
      <c r="E243" s="2158"/>
      <c r="F243" s="2158" t="str">
        <f>'Production cost'!$F561</f>
        <v>N</v>
      </c>
      <c r="G243" s="2158"/>
      <c r="H243" s="1260">
        <f>IFERROR(IF($F243="PCS",$E$4,VLOOKUP($F243,'Proof cost'!$I$23:$X$55,2,0)),0)</f>
        <v>0</v>
      </c>
      <c r="I243" s="1260">
        <f>'Production cost'!$I561</f>
        <v>9000</v>
      </c>
      <c r="J243" s="1260" t="str">
        <f>'Production cost'!$J561</f>
        <v>copies</v>
      </c>
      <c r="K243" s="2159">
        <f>'Production cost'!$K561</f>
        <v>0</v>
      </c>
      <c r="L243" s="1260">
        <f>'Production cost'!$L561</f>
        <v>0</v>
      </c>
      <c r="M243" s="2160">
        <f ca="1">'Production cost'!$M561</f>
        <v>0</v>
      </c>
      <c r="N243" s="2161">
        <f t="shared" si="25"/>
        <v>0</v>
      </c>
      <c r="O243" s="1260"/>
      <c r="P243" s="1260">
        <f>'Production cost'!$P561</f>
        <v>64591.331280067061</v>
      </c>
      <c r="Q243" s="1260">
        <f t="shared" si="26"/>
        <v>0</v>
      </c>
      <c r="R243" s="1260">
        <f t="shared" si="27"/>
        <v>0</v>
      </c>
      <c r="S243" s="2162">
        <f ca="1">IF(M243&gt;0,K243*O243+L243*P243,0)</f>
        <v>0</v>
      </c>
      <c r="T243" s="313" t="str">
        <f>'Production cost'!T561</f>
        <v>N</v>
      </c>
      <c r="AL243" s="313"/>
      <c r="AM243" s="363"/>
      <c r="AN243" s="385"/>
    </row>
    <row r="244" spans="1:40" ht="12.75" customHeight="1" outlineLevel="1">
      <c r="G244" s="1270"/>
      <c r="M244" s="391"/>
      <c r="N244" s="391"/>
      <c r="AL244" s="313"/>
      <c r="AM244" s="363"/>
      <c r="AN244" s="385"/>
    </row>
    <row r="245" spans="1:40" ht="12.75">
      <c r="B245" s="1269"/>
      <c r="C245" s="385"/>
      <c r="G245" s="1270"/>
      <c r="N245" s="391"/>
      <c r="S245" s="363"/>
      <c r="AL245" s="313"/>
      <c r="AM245" s="363"/>
      <c r="AN245" s="385"/>
    </row>
    <row r="246" spans="1:40" ht="12.75" outlineLevel="1">
      <c r="A246" s="1269" t="s">
        <v>142</v>
      </c>
      <c r="B246" s="1255" t="s">
        <v>220</v>
      </c>
      <c r="C246" s="1256" t="str">
        <f>'Production cost'!$C564</f>
        <v>Cutting paper</v>
      </c>
      <c r="D246" s="1256"/>
      <c r="E246" s="2144"/>
      <c r="F246" s="2144" t="str">
        <f>'Production cost'!$F564</f>
        <v>N</v>
      </c>
      <c r="G246" s="2144"/>
      <c r="H246" s="1256">
        <f>IFERROR(IF($F246="PCS",$E$4,VLOOKUP($F246,'Proof cost'!$I$23:$X$55,2,0)),0)</f>
        <v>0</v>
      </c>
      <c r="I246" s="1256">
        <f>'Production cost'!$I564</f>
        <v>1000</v>
      </c>
      <c r="J246" s="1256" t="str">
        <f>'Production cost'!$J564</f>
        <v>Sheets</v>
      </c>
      <c r="K246" s="2145">
        <f>'Production cost'!$K564</f>
        <v>0</v>
      </c>
      <c r="L246" s="1256">
        <f>'Production cost'!$L564</f>
        <v>3</v>
      </c>
      <c r="M246" s="2146">
        <f ca="1">'Production cost'!$M564</f>
        <v>0</v>
      </c>
      <c r="N246" s="2152">
        <f t="shared" ref="N246:N269" si="29">IF(H246&gt;0,ROUNDUP(((H246/I246)/$M$5+M246),1),0)</f>
        <v>0</v>
      </c>
      <c r="O246" s="1256"/>
      <c r="P246" s="1256">
        <f>'Production cost'!$P564</f>
        <v>64591.331280067061</v>
      </c>
      <c r="Q246" s="1256">
        <f t="shared" ref="Q246:Q269" si="30">(N246*O246*K246+N246*P246*L246)*(1+$R$312)</f>
        <v>0</v>
      </c>
      <c r="R246" s="1256">
        <f>IF($E$2&gt;0,Q246/$E$2,0)</f>
        <v>0</v>
      </c>
      <c r="S246" s="1257">
        <f ca="1">IF(M246&gt;0,K246*O246+L246*P246,0)</f>
        <v>0</v>
      </c>
      <c r="T246" s="313" t="str">
        <f>'Production cost'!T564</f>
        <v>N</v>
      </c>
      <c r="AL246" s="313"/>
      <c r="AM246" s="363"/>
      <c r="AN246" s="385"/>
    </row>
    <row r="247" spans="1:40" ht="12.75" outlineLevel="1">
      <c r="A247" s="1269"/>
      <c r="B247" s="1258" t="s">
        <v>220</v>
      </c>
      <c r="C247" s="313" t="str">
        <f>'Production cost'!$C565</f>
        <v>Cutting paper</v>
      </c>
      <c r="E247" s="363"/>
      <c r="F247" s="363" t="str">
        <f>'Production cost'!$F565</f>
        <v>N</v>
      </c>
      <c r="G247" s="363"/>
      <c r="H247" s="313">
        <f>IFERROR(IF($F247="PCS",$E$4,VLOOKUP($F247,'Proof cost'!$I$23:$X$55,2,0)),0)</f>
        <v>0</v>
      </c>
      <c r="I247" s="313">
        <f>'Production cost'!$I565</f>
        <v>1000</v>
      </c>
      <c r="J247" s="313" t="str">
        <f>'Production cost'!$J565</f>
        <v>Sheets</v>
      </c>
      <c r="K247" s="360">
        <f>'Production cost'!$K565</f>
        <v>0</v>
      </c>
      <c r="L247" s="313">
        <f>'Production cost'!$L565</f>
        <v>3</v>
      </c>
      <c r="M247" s="391">
        <f ca="1">'Production cost'!$M565</f>
        <v>0</v>
      </c>
      <c r="N247" s="983">
        <f t="shared" si="29"/>
        <v>0</v>
      </c>
      <c r="P247" s="313">
        <f>'Production cost'!$P565</f>
        <v>64591.331280067061</v>
      </c>
      <c r="Q247" s="313">
        <f t="shared" si="30"/>
        <v>0</v>
      </c>
      <c r="R247" s="313">
        <f t="shared" ref="R247:R269" si="31">IF($E$2&gt;0,Q247/$E$2,0)</f>
        <v>0</v>
      </c>
      <c r="S247" s="1741">
        <f t="shared" ref="S247:S269" ca="1" si="32">IF(M247&gt;0,K247*O247+L247*P247,0)</f>
        <v>0</v>
      </c>
      <c r="T247" s="313" t="str">
        <f>'Production cost'!T565</f>
        <v>N</v>
      </c>
      <c r="AL247" s="313"/>
      <c r="AM247" s="363"/>
      <c r="AN247" s="385"/>
    </row>
    <row r="248" spans="1:40" ht="12.75" outlineLevel="1">
      <c r="A248" s="1269"/>
      <c r="B248" s="1258" t="s">
        <v>220</v>
      </c>
      <c r="C248" s="313" t="str">
        <f>'Production cost'!$C566</f>
        <v>Cutting paper</v>
      </c>
      <c r="E248" s="363"/>
      <c r="F248" s="363" t="str">
        <f>'Production cost'!$F566</f>
        <v>N</v>
      </c>
      <c r="G248" s="363"/>
      <c r="H248" s="313">
        <f>IFERROR(IF($F248="PCS",$E$4,VLOOKUP($F248,'Proof cost'!$I$23:$X$55,2,0)),0)</f>
        <v>0</v>
      </c>
      <c r="I248" s="313">
        <f>'Production cost'!$I566</f>
        <v>1000</v>
      </c>
      <c r="J248" s="313" t="str">
        <f>'Production cost'!$J566</f>
        <v>Sheets</v>
      </c>
      <c r="K248" s="360">
        <f>'Production cost'!$K566</f>
        <v>0</v>
      </c>
      <c r="L248" s="313">
        <f>'Production cost'!$L566</f>
        <v>3</v>
      </c>
      <c r="M248" s="391">
        <f ca="1">'Production cost'!$M566</f>
        <v>0</v>
      </c>
      <c r="N248" s="983">
        <f t="shared" si="29"/>
        <v>0</v>
      </c>
      <c r="P248" s="313">
        <f>'Production cost'!$P566</f>
        <v>64591.331280067061</v>
      </c>
      <c r="Q248" s="313">
        <f t="shared" si="30"/>
        <v>0</v>
      </c>
      <c r="R248" s="313">
        <f t="shared" si="31"/>
        <v>0</v>
      </c>
      <c r="S248" s="1741">
        <f t="shared" ca="1" si="32"/>
        <v>0</v>
      </c>
      <c r="T248" s="313" t="str">
        <f>'Production cost'!T566</f>
        <v>N</v>
      </c>
      <c r="AL248" s="313"/>
      <c r="AM248" s="363"/>
      <c r="AN248" s="385"/>
    </row>
    <row r="249" spans="1:40" ht="12.75" outlineLevel="1">
      <c r="A249" s="1269"/>
      <c r="B249" s="1258" t="s">
        <v>220</v>
      </c>
      <c r="C249" s="313" t="str">
        <f>'Production cost'!$C567</f>
        <v>Cutting paper - Acc</v>
      </c>
      <c r="E249" s="363"/>
      <c r="F249" s="363" t="str">
        <f>'Production cost'!$F567</f>
        <v>N</v>
      </c>
      <c r="G249" s="363"/>
      <c r="H249" s="313">
        <f>IFERROR(IF($F249="PCS",$E$4,VLOOKUP($F249,'Proof cost'!$I$23:$X$55,2,0)),0)</f>
        <v>0</v>
      </c>
      <c r="I249" s="313">
        <f>'Production cost'!$I567</f>
        <v>1000</v>
      </c>
      <c r="J249" s="313" t="str">
        <f>'Production cost'!$J567</f>
        <v>Sheets</v>
      </c>
      <c r="K249" s="360">
        <f>'Production cost'!$K567</f>
        <v>0</v>
      </c>
      <c r="L249" s="313">
        <f>'Production cost'!$L567</f>
        <v>3</v>
      </c>
      <c r="M249" s="391">
        <f>'Production cost'!$M567</f>
        <v>0</v>
      </c>
      <c r="N249" s="983">
        <f t="shared" si="29"/>
        <v>0</v>
      </c>
      <c r="P249" s="313">
        <f>'Production cost'!$P567</f>
        <v>64591.331280067061</v>
      </c>
      <c r="Q249" s="313">
        <f t="shared" si="30"/>
        <v>0</v>
      </c>
      <c r="R249" s="313">
        <f t="shared" si="31"/>
        <v>0</v>
      </c>
      <c r="S249" s="1741">
        <f t="shared" si="32"/>
        <v>0</v>
      </c>
      <c r="T249" s="313" t="str">
        <f>'Production cost'!T567</f>
        <v>N</v>
      </c>
      <c r="AL249" s="313"/>
      <c r="AM249" s="363"/>
      <c r="AN249" s="385"/>
    </row>
    <row r="250" spans="1:40" ht="12.75" outlineLevel="1">
      <c r="A250" s="1269"/>
      <c r="B250" s="1258" t="s">
        <v>220</v>
      </c>
      <c r="C250" s="313" t="str">
        <f>'Production cost'!$C568</f>
        <v>Cutting paper - Acc</v>
      </c>
      <c r="E250" s="363"/>
      <c r="F250" s="363" t="str">
        <f>'Production cost'!$F568</f>
        <v>N</v>
      </c>
      <c r="G250" s="363"/>
      <c r="H250" s="313">
        <f>IFERROR(IF($F250="PCS",$E$4,VLOOKUP($F250,'Proof cost'!$I$23:$X$55,2,0)),0)</f>
        <v>0</v>
      </c>
      <c r="I250" s="313">
        <f>'Production cost'!$I568</f>
        <v>1000</v>
      </c>
      <c r="J250" s="313" t="str">
        <f>'Production cost'!$J568</f>
        <v>Sheets</v>
      </c>
      <c r="K250" s="360">
        <f>'Production cost'!$K568</f>
        <v>0</v>
      </c>
      <c r="L250" s="313">
        <f>'Production cost'!$L568</f>
        <v>3</v>
      </c>
      <c r="M250" s="391">
        <f>'Production cost'!$M568</f>
        <v>0</v>
      </c>
      <c r="N250" s="983">
        <f t="shared" si="29"/>
        <v>0</v>
      </c>
      <c r="P250" s="313">
        <f>'Production cost'!$P568</f>
        <v>64591.331280067061</v>
      </c>
      <c r="Q250" s="313">
        <f t="shared" si="30"/>
        <v>0</v>
      </c>
      <c r="R250" s="313">
        <f t="shared" si="31"/>
        <v>0</v>
      </c>
      <c r="S250" s="1741">
        <f t="shared" si="32"/>
        <v>0</v>
      </c>
      <c r="T250" s="313" t="str">
        <f>'Production cost'!T568</f>
        <v>N</v>
      </c>
      <c r="AL250" s="313"/>
      <c r="AM250" s="363"/>
      <c r="AN250" s="385"/>
    </row>
    <row r="251" spans="1:40" ht="12.75" outlineLevel="1">
      <c r="A251" s="1269"/>
      <c r="B251" s="1258" t="s">
        <v>220</v>
      </c>
      <c r="C251" s="313" t="str">
        <f>'Production cost'!$C569</f>
        <v>Trimming paper</v>
      </c>
      <c r="E251" s="363"/>
      <c r="F251" s="363" t="str">
        <f>'Production cost'!$F569</f>
        <v>N</v>
      </c>
      <c r="G251" s="363"/>
      <c r="H251" s="313">
        <f>IFERROR(IF($F251="PCS",$E$4,VLOOKUP($F251,'Proof cost'!$I$23:$X$55,2,0)),0)</f>
        <v>0</v>
      </c>
      <c r="I251" s="313">
        <f>'Production cost'!$I569</f>
        <v>2000</v>
      </c>
      <c r="J251" s="313" t="str">
        <f>'Production cost'!$J569</f>
        <v>Sheets</v>
      </c>
      <c r="K251" s="360">
        <f>'Production cost'!$K569</f>
        <v>0</v>
      </c>
      <c r="L251" s="313">
        <f>'Production cost'!$L569</f>
        <v>3</v>
      </c>
      <c r="M251" s="391">
        <f ca="1">'Production cost'!$M569</f>
        <v>0</v>
      </c>
      <c r="N251" s="983">
        <f t="shared" si="29"/>
        <v>0</v>
      </c>
      <c r="P251" s="313">
        <f>'Production cost'!$P569</f>
        <v>64591.331280067061</v>
      </c>
      <c r="Q251" s="313">
        <f t="shared" si="30"/>
        <v>0</v>
      </c>
      <c r="R251" s="313">
        <f t="shared" si="31"/>
        <v>0</v>
      </c>
      <c r="S251" s="1741">
        <f t="shared" ca="1" si="32"/>
        <v>0</v>
      </c>
      <c r="T251" s="313" t="str">
        <f>'Production cost'!T569</f>
        <v>N</v>
      </c>
      <c r="AL251" s="313"/>
      <c r="AM251" s="363"/>
      <c r="AN251" s="385"/>
    </row>
    <row r="252" spans="1:40" ht="12.75" outlineLevel="1">
      <c r="A252" s="1269"/>
      <c r="B252" s="1258" t="s">
        <v>220</v>
      </c>
      <c r="C252" s="313" t="str">
        <f>'Production cost'!$C570</f>
        <v>Trimming paper</v>
      </c>
      <c r="E252" s="363"/>
      <c r="F252" s="363" t="str">
        <f>'Production cost'!$F570</f>
        <v>N</v>
      </c>
      <c r="G252" s="363"/>
      <c r="H252" s="313">
        <f>IFERROR(IF($F252="PCS",$E$4,VLOOKUP($F252,'Proof cost'!$I$23:$X$55,2,0)),0)</f>
        <v>0</v>
      </c>
      <c r="I252" s="313">
        <f>'Production cost'!$I570</f>
        <v>2000</v>
      </c>
      <c r="J252" s="313" t="str">
        <f>'Production cost'!$J570</f>
        <v>Sheets</v>
      </c>
      <c r="K252" s="360">
        <f>'Production cost'!$K570</f>
        <v>0</v>
      </c>
      <c r="L252" s="313">
        <f>'Production cost'!$L570</f>
        <v>3</v>
      </c>
      <c r="M252" s="391">
        <f ca="1">'Production cost'!$M570</f>
        <v>0</v>
      </c>
      <c r="N252" s="983">
        <f t="shared" si="29"/>
        <v>0</v>
      </c>
      <c r="P252" s="313">
        <f>'Production cost'!$P570</f>
        <v>64591.331280067061</v>
      </c>
      <c r="Q252" s="313">
        <f t="shared" si="30"/>
        <v>0</v>
      </c>
      <c r="R252" s="313">
        <f t="shared" si="31"/>
        <v>0</v>
      </c>
      <c r="S252" s="1741">
        <f t="shared" ca="1" si="32"/>
        <v>0</v>
      </c>
      <c r="T252" s="313" t="str">
        <f>'Production cost'!T570</f>
        <v>N</v>
      </c>
      <c r="AL252" s="313"/>
      <c r="AM252" s="363"/>
      <c r="AN252" s="385"/>
    </row>
    <row r="253" spans="1:40" ht="12.75" outlineLevel="1">
      <c r="A253" s="1269"/>
      <c r="B253" s="1258" t="s">
        <v>220</v>
      </c>
      <c r="C253" s="313" t="str">
        <f>'Production cost'!$C571</f>
        <v>Trimming paper</v>
      </c>
      <c r="E253" s="363"/>
      <c r="F253" s="363" t="str">
        <f>'Production cost'!$F571</f>
        <v>N</v>
      </c>
      <c r="G253" s="363"/>
      <c r="H253" s="313">
        <f>IFERROR(IF($F253="PCS",$E$4,VLOOKUP($F253,'Proof cost'!$I$23:$X$55,2,0)),0)</f>
        <v>0</v>
      </c>
      <c r="I253" s="313">
        <f>'Production cost'!$I571</f>
        <v>2000</v>
      </c>
      <c r="J253" s="313" t="str">
        <f>'Production cost'!$J571</f>
        <v>Sheets</v>
      </c>
      <c r="K253" s="360">
        <f>'Production cost'!$K571</f>
        <v>0</v>
      </c>
      <c r="L253" s="313">
        <f>'Production cost'!$L571</f>
        <v>3</v>
      </c>
      <c r="M253" s="391">
        <f ca="1">'Production cost'!$M571</f>
        <v>0</v>
      </c>
      <c r="N253" s="983">
        <f t="shared" si="29"/>
        <v>0</v>
      </c>
      <c r="P253" s="313">
        <f>'Production cost'!$P571</f>
        <v>64591.331280067061</v>
      </c>
      <c r="Q253" s="313">
        <f t="shared" si="30"/>
        <v>0</v>
      </c>
      <c r="R253" s="313">
        <f t="shared" si="31"/>
        <v>0</v>
      </c>
      <c r="S253" s="1741">
        <f t="shared" ca="1" si="32"/>
        <v>0</v>
      </c>
      <c r="T253" s="313" t="str">
        <f>'Production cost'!T571</f>
        <v>N</v>
      </c>
      <c r="AL253" s="313"/>
      <c r="AM253" s="363"/>
      <c r="AN253" s="385"/>
    </row>
    <row r="254" spans="1:40" ht="12.75" outlineLevel="1">
      <c r="A254" s="1269"/>
      <c r="B254" s="1258" t="s">
        <v>220</v>
      </c>
      <c r="C254" s="313" t="str">
        <f>'Production cost'!$C572</f>
        <v>Trimming paper - Acc</v>
      </c>
      <c r="E254" s="363"/>
      <c r="F254" s="363" t="str">
        <f>'Production cost'!$F572</f>
        <v>N</v>
      </c>
      <c r="G254" s="363"/>
      <c r="H254" s="313">
        <f>IFERROR(IF($F254="PCS",$E$4,VLOOKUP($F254,'Proof cost'!$I$23:$X$55,2,0)),0)</f>
        <v>0</v>
      </c>
      <c r="I254" s="313">
        <f>'Production cost'!$I572</f>
        <v>2000</v>
      </c>
      <c r="J254" s="313" t="str">
        <f>'Production cost'!$J572</f>
        <v>Sheets</v>
      </c>
      <c r="K254" s="360">
        <f>'Production cost'!$K572</f>
        <v>0</v>
      </c>
      <c r="L254" s="313">
        <f>'Production cost'!$L572</f>
        <v>3</v>
      </c>
      <c r="M254" s="391">
        <f>'Production cost'!$M572</f>
        <v>0</v>
      </c>
      <c r="N254" s="983">
        <f t="shared" si="29"/>
        <v>0</v>
      </c>
      <c r="P254" s="313">
        <f>'Production cost'!$P572</f>
        <v>64591.331280067061</v>
      </c>
      <c r="Q254" s="313">
        <f t="shared" si="30"/>
        <v>0</v>
      </c>
      <c r="R254" s="313">
        <f t="shared" si="31"/>
        <v>0</v>
      </c>
      <c r="S254" s="1741">
        <f t="shared" si="32"/>
        <v>0</v>
      </c>
      <c r="T254" s="313" t="str">
        <f>'Production cost'!T572</f>
        <v>N</v>
      </c>
      <c r="AL254" s="313"/>
      <c r="AM254" s="363"/>
      <c r="AN254" s="385"/>
    </row>
    <row r="255" spans="1:40" ht="12.75" outlineLevel="1">
      <c r="A255" s="1269"/>
      <c r="B255" s="1258" t="s">
        <v>220</v>
      </c>
      <c r="C255" s="313" t="str">
        <f>'Production cost'!$C573</f>
        <v>Trimming paper - Acc</v>
      </c>
      <c r="E255" s="363"/>
      <c r="F255" s="363" t="str">
        <f>'Production cost'!$F573</f>
        <v>N</v>
      </c>
      <c r="G255" s="363"/>
      <c r="H255" s="313">
        <f>IFERROR(IF($F255="PCS",$E$4,VLOOKUP($F255,'Proof cost'!$I$23:$X$55,2,0)),0)</f>
        <v>0</v>
      </c>
      <c r="I255" s="313">
        <f>'Production cost'!$I573</f>
        <v>2000</v>
      </c>
      <c r="J255" s="313" t="str">
        <f>'Production cost'!$J573</f>
        <v>Sheets</v>
      </c>
      <c r="K255" s="360">
        <f>'Production cost'!$K573</f>
        <v>0</v>
      </c>
      <c r="L255" s="313">
        <f>'Production cost'!$L573</f>
        <v>3</v>
      </c>
      <c r="M255" s="391">
        <f>'Production cost'!$M573</f>
        <v>0</v>
      </c>
      <c r="N255" s="983">
        <f t="shared" si="29"/>
        <v>0</v>
      </c>
      <c r="P255" s="313">
        <f>'Production cost'!$P573</f>
        <v>64591.331280067061</v>
      </c>
      <c r="Q255" s="313">
        <f t="shared" si="30"/>
        <v>0</v>
      </c>
      <c r="R255" s="313">
        <f t="shared" si="31"/>
        <v>0</v>
      </c>
      <c r="S255" s="1741">
        <f t="shared" si="32"/>
        <v>0</v>
      </c>
      <c r="T255" s="313" t="str">
        <f>'Production cost'!T573</f>
        <v>N</v>
      </c>
      <c r="AL255" s="313"/>
      <c r="AM255" s="363"/>
      <c r="AN255" s="385"/>
    </row>
    <row r="256" spans="1:40" ht="12.75" outlineLevel="1">
      <c r="B256" s="1258" t="s">
        <v>220</v>
      </c>
      <c r="C256" s="313" t="str">
        <f>'Production cost'!$C574</f>
        <v>Slit OPP</v>
      </c>
      <c r="E256" s="363"/>
      <c r="F256" s="363" t="str">
        <f>'Production cost'!$F574</f>
        <v>N</v>
      </c>
      <c r="G256" s="363"/>
      <c r="H256" s="313">
        <f>IFERROR(IF($F256="PCS",$E$4,VLOOKUP($F256,'Proof cost'!$I$23:$X$55,2,0)),0)</f>
        <v>0</v>
      </c>
      <c r="I256" s="313">
        <f>'Production cost'!$I574</f>
        <v>300</v>
      </c>
      <c r="J256" s="313" t="str">
        <f>'Production cost'!$J574</f>
        <v>Sheets</v>
      </c>
      <c r="K256" s="360">
        <f>'Production cost'!$K574</f>
        <v>0</v>
      </c>
      <c r="L256" s="313">
        <f>'Production cost'!$L574</f>
        <v>2</v>
      </c>
      <c r="M256" s="391">
        <f ca="1">'Production cost'!$M574</f>
        <v>0</v>
      </c>
      <c r="N256" s="983">
        <f t="shared" si="29"/>
        <v>0</v>
      </c>
      <c r="P256" s="313">
        <f>'Production cost'!$P574</f>
        <v>52580.182439963428</v>
      </c>
      <c r="Q256" s="313">
        <f t="shared" si="30"/>
        <v>0</v>
      </c>
      <c r="R256" s="313">
        <f t="shared" si="31"/>
        <v>0</v>
      </c>
      <c r="S256" s="1741">
        <f t="shared" ca="1" si="32"/>
        <v>0</v>
      </c>
      <c r="T256" s="313" t="str">
        <f>'Production cost'!T574</f>
        <v>N</v>
      </c>
      <c r="AL256" s="313"/>
      <c r="AM256" s="363"/>
      <c r="AN256" s="385"/>
    </row>
    <row r="257" spans="1:40" ht="12.75" outlineLevel="1">
      <c r="B257" s="1258" t="s">
        <v>220</v>
      </c>
      <c r="C257" s="313" t="str">
        <f>'Production cost'!$C575</f>
        <v>Cut to size</v>
      </c>
      <c r="D257" s="363" t="s">
        <v>16</v>
      </c>
      <c r="E257" s="363">
        <f>'Production cost'!$E575</f>
        <v>12</v>
      </c>
      <c r="F257" s="363" t="str">
        <f>'Production cost'!$F575</f>
        <v>N</v>
      </c>
      <c r="G257" s="363" t="str">
        <f>'Production cost'!$G575</f>
        <v>80 x 80</v>
      </c>
      <c r="H257" s="313">
        <f>IFERROR(IF($F257="PCS",$E$4,VLOOKUP($F257,'Proof cost'!$I$23:$X$55,2,0)),0)</f>
        <v>0</v>
      </c>
      <c r="I257" s="313">
        <f>'Production cost'!$I575</f>
        <v>2500</v>
      </c>
      <c r="J257" s="313" t="str">
        <f>'Production cost'!$J575</f>
        <v>copies</v>
      </c>
      <c r="K257" s="360">
        <f>'Production cost'!$K575</f>
        <v>0</v>
      </c>
      <c r="L257" s="313">
        <f>'Production cost'!$L575</f>
        <v>3</v>
      </c>
      <c r="M257" s="391">
        <f ca="1">'Production cost'!$M575</f>
        <v>0</v>
      </c>
      <c r="N257" s="983">
        <f t="shared" si="29"/>
        <v>0</v>
      </c>
      <c r="P257" s="313">
        <f>'Production cost'!$P575</f>
        <v>64591.331280067061</v>
      </c>
      <c r="Q257" s="313">
        <f t="shared" si="30"/>
        <v>0</v>
      </c>
      <c r="R257" s="313">
        <f t="shared" si="31"/>
        <v>0</v>
      </c>
      <c r="S257" s="1741">
        <f t="shared" ca="1" si="32"/>
        <v>0</v>
      </c>
      <c r="T257" s="313" t="str">
        <f>'Production cost'!T575</f>
        <v>N</v>
      </c>
      <c r="AL257" s="313"/>
      <c r="AM257" s="363"/>
      <c r="AN257" s="385"/>
    </row>
    <row r="258" spans="1:40" ht="12.75" outlineLevel="1">
      <c r="B258" s="1258" t="s">
        <v>220</v>
      </c>
      <c r="C258" s="313" t="str">
        <f>'Production cost'!$C576</f>
        <v>Cut to size</v>
      </c>
      <c r="D258" s="363" t="s">
        <v>16</v>
      </c>
      <c r="E258" s="363">
        <f>'Production cost'!$E576</f>
        <v>12</v>
      </c>
      <c r="F258" s="363" t="str">
        <f>'Production cost'!$F576</f>
        <v>N</v>
      </c>
      <c r="G258" s="363" t="str">
        <f>'Production cost'!$G576</f>
        <v>80 x 80</v>
      </c>
      <c r="H258" s="313">
        <f>IFERROR(IF($F258="PCS",$E$4,VLOOKUP($F258,'Proof cost'!$I$23:$X$55,2,0)),0)</f>
        <v>0</v>
      </c>
      <c r="I258" s="313">
        <f>'Production cost'!$I576</f>
        <v>2500</v>
      </c>
      <c r="J258" s="313" t="str">
        <f>'Production cost'!$J576</f>
        <v>copies</v>
      </c>
      <c r="K258" s="360">
        <f>'Production cost'!$K576</f>
        <v>0</v>
      </c>
      <c r="L258" s="313">
        <f>'Production cost'!$L576</f>
        <v>3</v>
      </c>
      <c r="M258" s="391">
        <f ca="1">'Production cost'!$M576</f>
        <v>0</v>
      </c>
      <c r="N258" s="983">
        <f t="shared" si="29"/>
        <v>0</v>
      </c>
      <c r="P258" s="313">
        <f>'Production cost'!$P576</f>
        <v>64591.331280067061</v>
      </c>
      <c r="Q258" s="313">
        <f t="shared" si="30"/>
        <v>0</v>
      </c>
      <c r="R258" s="313">
        <f t="shared" si="31"/>
        <v>0</v>
      </c>
      <c r="S258" s="1741">
        <f t="shared" ca="1" si="32"/>
        <v>0</v>
      </c>
      <c r="T258" s="313" t="str">
        <f>'Production cost'!T576</f>
        <v>N</v>
      </c>
      <c r="AL258" s="313"/>
      <c r="AM258" s="363"/>
      <c r="AN258" s="385"/>
    </row>
    <row r="259" spans="1:40" ht="12.75" outlineLevel="1">
      <c r="B259" s="1258" t="s">
        <v>220</v>
      </c>
      <c r="C259" s="313" t="str">
        <f>'Production cost'!$C577</f>
        <v>Cut to size</v>
      </c>
      <c r="D259" s="363" t="s">
        <v>16</v>
      </c>
      <c r="E259" s="363">
        <f>'Production cost'!$E577</f>
        <v>12</v>
      </c>
      <c r="F259" s="363" t="str">
        <f>'Production cost'!$F577</f>
        <v>N</v>
      </c>
      <c r="G259" s="363" t="str">
        <f>'Production cost'!$G577</f>
        <v>80 x 80</v>
      </c>
      <c r="H259" s="313">
        <f>IFERROR(IF($F259="PCS",$E$4,VLOOKUP($F259,'Proof cost'!$I$23:$X$55,2,0)),0)</f>
        <v>0</v>
      </c>
      <c r="I259" s="313">
        <f>'Production cost'!$I577</f>
        <v>2500</v>
      </c>
      <c r="J259" s="313" t="str">
        <f>'Production cost'!$J577</f>
        <v>copies</v>
      </c>
      <c r="K259" s="360">
        <f>'Production cost'!$K577</f>
        <v>0</v>
      </c>
      <c r="L259" s="313">
        <f>'Production cost'!$L577</f>
        <v>3</v>
      </c>
      <c r="M259" s="391">
        <f ca="1">'Production cost'!$M577</f>
        <v>0</v>
      </c>
      <c r="N259" s="983">
        <f t="shared" si="29"/>
        <v>0</v>
      </c>
      <c r="P259" s="313">
        <f>'Production cost'!$P577</f>
        <v>64591.331280067061</v>
      </c>
      <c r="Q259" s="313">
        <f t="shared" si="30"/>
        <v>0</v>
      </c>
      <c r="R259" s="313">
        <f t="shared" si="31"/>
        <v>0</v>
      </c>
      <c r="S259" s="1741">
        <f t="shared" ca="1" si="32"/>
        <v>0</v>
      </c>
      <c r="T259" s="313" t="str">
        <f>'Production cost'!T577</f>
        <v>N</v>
      </c>
      <c r="AL259" s="313"/>
      <c r="AM259" s="363"/>
      <c r="AN259" s="385"/>
    </row>
    <row r="260" spans="1:40" ht="12.75" outlineLevel="1">
      <c r="B260" s="1258" t="s">
        <v>220</v>
      </c>
      <c r="C260" s="313" t="str">
        <f>'Production cost'!$C578</f>
        <v>Cut 3 size</v>
      </c>
      <c r="D260" s="363" t="s">
        <v>16</v>
      </c>
      <c r="E260" s="363">
        <f>'Production cost'!$E578</f>
        <v>12</v>
      </c>
      <c r="F260" s="363" t="str">
        <f>'Production cost'!$F578</f>
        <v>N</v>
      </c>
      <c r="G260" s="363" t="str">
        <f>'Production cost'!$G578</f>
        <v>80 x 80</v>
      </c>
      <c r="H260" s="313">
        <f>IFERROR(IF($F260="PCS",$E$4,VLOOKUP($F260,'Proof cost'!$I$23:$X$55,2,0)),0)</f>
        <v>0</v>
      </c>
      <c r="I260" s="313">
        <f>'Production cost'!$I578</f>
        <v>2500</v>
      </c>
      <c r="J260" s="313" t="str">
        <f>'Production cost'!$J578</f>
        <v>copies</v>
      </c>
      <c r="K260" s="360">
        <f>'Production cost'!$K578</f>
        <v>0</v>
      </c>
      <c r="L260" s="313">
        <f>'Production cost'!$L578</f>
        <v>4</v>
      </c>
      <c r="M260" s="391">
        <f ca="1">'Production cost'!$M578</f>
        <v>0</v>
      </c>
      <c r="N260" s="983">
        <f t="shared" si="29"/>
        <v>0</v>
      </c>
      <c r="P260" s="313">
        <f>'Production cost'!$P578</f>
        <v>64591.331280067061</v>
      </c>
      <c r="Q260" s="313">
        <f t="shared" si="30"/>
        <v>0</v>
      </c>
      <c r="R260" s="313">
        <f t="shared" si="31"/>
        <v>0</v>
      </c>
      <c r="S260" s="1741">
        <f t="shared" ca="1" si="32"/>
        <v>0</v>
      </c>
      <c r="T260" s="313" t="str">
        <f>'Production cost'!T578</f>
        <v>N</v>
      </c>
      <c r="AL260" s="313"/>
      <c r="AM260" s="363"/>
      <c r="AN260" s="385"/>
    </row>
    <row r="261" spans="1:40" ht="12.75" outlineLevel="1">
      <c r="B261" s="1258" t="s">
        <v>220</v>
      </c>
      <c r="C261" s="313" t="str">
        <f>'Production cost'!$C579</f>
        <v>Cut 3 size</v>
      </c>
      <c r="D261" s="363" t="s">
        <v>16</v>
      </c>
      <c r="E261" s="363">
        <f>'Production cost'!$E579</f>
        <v>12</v>
      </c>
      <c r="F261" s="363" t="str">
        <f>'Production cost'!$F579</f>
        <v>N</v>
      </c>
      <c r="G261" s="363" t="str">
        <f>'Production cost'!$G579</f>
        <v>80 x 80</v>
      </c>
      <c r="H261" s="313">
        <f>IFERROR(IF($F261="PCS",$E$4,VLOOKUP($F261,'Proof cost'!$I$23:$X$55,2,0)),0)</f>
        <v>0</v>
      </c>
      <c r="I261" s="313">
        <f>'Production cost'!$I579</f>
        <v>2500</v>
      </c>
      <c r="J261" s="313" t="str">
        <f>'Production cost'!$J579</f>
        <v>copies</v>
      </c>
      <c r="K261" s="360">
        <f>'Production cost'!$K579</f>
        <v>0</v>
      </c>
      <c r="L261" s="313">
        <f>'Production cost'!$L579</f>
        <v>4</v>
      </c>
      <c r="M261" s="391">
        <f ca="1">'Production cost'!$M579</f>
        <v>0</v>
      </c>
      <c r="N261" s="983">
        <f t="shared" si="29"/>
        <v>0</v>
      </c>
      <c r="P261" s="313">
        <f>'Production cost'!$P579</f>
        <v>64591.331280067061</v>
      </c>
      <c r="Q261" s="313">
        <f t="shared" si="30"/>
        <v>0</v>
      </c>
      <c r="R261" s="313">
        <f t="shared" si="31"/>
        <v>0</v>
      </c>
      <c r="S261" s="1741">
        <f t="shared" ca="1" si="32"/>
        <v>0</v>
      </c>
      <c r="T261" s="313" t="str">
        <f>'Production cost'!T579</f>
        <v>N</v>
      </c>
      <c r="AL261" s="313"/>
      <c r="AM261" s="363"/>
      <c r="AN261" s="385"/>
    </row>
    <row r="262" spans="1:40" ht="12.75" outlineLevel="1">
      <c r="B262" s="1258" t="s">
        <v>220</v>
      </c>
      <c r="C262" s="313" t="str">
        <f>'Production cost'!$C580</f>
        <v>Cut 3 size</v>
      </c>
      <c r="D262" s="363" t="s">
        <v>16</v>
      </c>
      <c r="E262" s="363">
        <f>'Production cost'!$E580</f>
        <v>12</v>
      </c>
      <c r="F262" s="363" t="str">
        <f>'Production cost'!$F580</f>
        <v>N</v>
      </c>
      <c r="G262" s="363" t="str">
        <f>'Production cost'!$G580</f>
        <v>80 x 80</v>
      </c>
      <c r="H262" s="313">
        <f>IFERROR(IF($F262="PCS",$E$4,VLOOKUP($F262,'Proof cost'!$I$23:$X$55,2,0)),0)</f>
        <v>0</v>
      </c>
      <c r="I262" s="313">
        <f>'Production cost'!$I580</f>
        <v>2500</v>
      </c>
      <c r="J262" s="313" t="str">
        <f>'Production cost'!$J580</f>
        <v>copies</v>
      </c>
      <c r="K262" s="360">
        <f>'Production cost'!$K580</f>
        <v>0</v>
      </c>
      <c r="L262" s="313">
        <f>'Production cost'!$L580</f>
        <v>4</v>
      </c>
      <c r="M262" s="391">
        <f ca="1">'Production cost'!$M580</f>
        <v>0</v>
      </c>
      <c r="N262" s="983">
        <f t="shared" si="29"/>
        <v>0</v>
      </c>
      <c r="P262" s="313">
        <f>'Production cost'!$P580</f>
        <v>64591.331280067061</v>
      </c>
      <c r="Q262" s="313">
        <f t="shared" si="30"/>
        <v>0</v>
      </c>
      <c r="R262" s="313">
        <f t="shared" si="31"/>
        <v>0</v>
      </c>
      <c r="S262" s="1741">
        <f t="shared" ca="1" si="32"/>
        <v>0</v>
      </c>
      <c r="T262" s="313" t="str">
        <f>'Production cost'!T580</f>
        <v>N</v>
      </c>
      <c r="AL262" s="313"/>
      <c r="AM262" s="363"/>
      <c r="AN262" s="385"/>
    </row>
    <row r="263" spans="1:40" ht="12.75" outlineLevel="1">
      <c r="B263" s="1258" t="s">
        <v>220</v>
      </c>
      <c r="C263" s="313" t="str">
        <f>'Production cost'!$C581</f>
        <v>2 Round Conner</v>
      </c>
      <c r="D263" s="363" t="s">
        <v>16</v>
      </c>
      <c r="E263" s="363">
        <f>'Production cost'!$E581</f>
        <v>12</v>
      </c>
      <c r="F263" s="363" t="str">
        <f>'Production cost'!$F581</f>
        <v>N</v>
      </c>
      <c r="G263" s="363" t="str">
        <f>'Production cost'!$G581</f>
        <v>80 x 80</v>
      </c>
      <c r="H263" s="313">
        <f>IFERROR(IF($F263="PCS",$E$4,VLOOKUP($F263,'Proof cost'!$I$23:$X$55,2,0)),0)</f>
        <v>0</v>
      </c>
      <c r="I263" s="313">
        <f>'Production cost'!$I581</f>
        <v>2500</v>
      </c>
      <c r="J263" s="313" t="str">
        <f>'Production cost'!$J581</f>
        <v>copies</v>
      </c>
      <c r="K263" s="360">
        <f>'Production cost'!$K581</f>
        <v>0</v>
      </c>
      <c r="L263" s="313">
        <f>'Production cost'!$L581</f>
        <v>2</v>
      </c>
      <c r="M263" s="391">
        <f ca="1">'Production cost'!$M581</f>
        <v>0</v>
      </c>
      <c r="N263" s="983">
        <f t="shared" si="29"/>
        <v>0</v>
      </c>
      <c r="P263" s="313">
        <f>'Production cost'!$P581</f>
        <v>64591.331280067061</v>
      </c>
      <c r="Q263" s="313">
        <f t="shared" si="30"/>
        <v>0</v>
      </c>
      <c r="R263" s="313">
        <f t="shared" si="31"/>
        <v>0</v>
      </c>
      <c r="S263" s="1741">
        <f t="shared" ca="1" si="32"/>
        <v>0</v>
      </c>
      <c r="T263" s="313" t="str">
        <f>'Production cost'!T581</f>
        <v>N</v>
      </c>
      <c r="AL263" s="313"/>
      <c r="AM263" s="363"/>
      <c r="AN263" s="385"/>
    </row>
    <row r="264" spans="1:40" ht="12.75" outlineLevel="1">
      <c r="B264" s="1258" t="s">
        <v>220</v>
      </c>
      <c r="C264" s="313" t="str">
        <f>'Production cost'!$C582</f>
        <v>2 Round Conner</v>
      </c>
      <c r="D264" s="363" t="s">
        <v>16</v>
      </c>
      <c r="E264" s="363">
        <f>'Production cost'!$E582</f>
        <v>12</v>
      </c>
      <c r="F264" s="363" t="str">
        <f>'Production cost'!$F582</f>
        <v>N</v>
      </c>
      <c r="G264" s="363" t="str">
        <f>'Production cost'!$G582</f>
        <v>80 x 80</v>
      </c>
      <c r="H264" s="313">
        <f>IFERROR(IF($F264="PCS",$E$4,VLOOKUP($F264,'Proof cost'!$I$23:$X$55,2,0)),0)</f>
        <v>0</v>
      </c>
      <c r="I264" s="313">
        <f>'Production cost'!$I582</f>
        <v>2500</v>
      </c>
      <c r="J264" s="313" t="str">
        <f>'Production cost'!$J582</f>
        <v>copies</v>
      </c>
      <c r="K264" s="360">
        <f>'Production cost'!$K582</f>
        <v>0</v>
      </c>
      <c r="L264" s="313">
        <f>'Production cost'!$L582</f>
        <v>2</v>
      </c>
      <c r="M264" s="391">
        <f ca="1">'Production cost'!$M582</f>
        <v>0</v>
      </c>
      <c r="N264" s="983">
        <f t="shared" si="29"/>
        <v>0</v>
      </c>
      <c r="P264" s="313">
        <f>'Production cost'!$P582</f>
        <v>64591.331280067061</v>
      </c>
      <c r="Q264" s="313">
        <f t="shared" si="30"/>
        <v>0</v>
      </c>
      <c r="R264" s="313">
        <f t="shared" si="31"/>
        <v>0</v>
      </c>
      <c r="S264" s="1741">
        <f t="shared" ca="1" si="32"/>
        <v>0</v>
      </c>
      <c r="T264" s="313" t="str">
        <f>'Production cost'!T582</f>
        <v>N</v>
      </c>
      <c r="AL264" s="313"/>
      <c r="AM264" s="363"/>
      <c r="AN264" s="385"/>
    </row>
    <row r="265" spans="1:40" ht="12.75" outlineLevel="1">
      <c r="B265" s="1258" t="s">
        <v>220</v>
      </c>
      <c r="C265" s="313" t="str">
        <f>'Production cost'!$C583</f>
        <v>2 Round Conner</v>
      </c>
      <c r="D265" s="363" t="s">
        <v>16</v>
      </c>
      <c r="E265" s="363">
        <f>'Production cost'!$E583</f>
        <v>12</v>
      </c>
      <c r="F265" s="363" t="str">
        <f>'Production cost'!$F583</f>
        <v>N</v>
      </c>
      <c r="G265" s="363" t="str">
        <f>'Production cost'!$G583</f>
        <v>80 x 80</v>
      </c>
      <c r="H265" s="313">
        <f>IFERROR(IF($F265="PCS",$E$4,VLOOKUP($F265,'Proof cost'!$I$23:$X$55,2,0)),0)</f>
        <v>0</v>
      </c>
      <c r="I265" s="313">
        <f>'Production cost'!$I583</f>
        <v>2500</v>
      </c>
      <c r="J265" s="313" t="str">
        <f>'Production cost'!$J583</f>
        <v>copies</v>
      </c>
      <c r="K265" s="360">
        <f>'Production cost'!$K583</f>
        <v>0</v>
      </c>
      <c r="L265" s="313">
        <f>'Production cost'!$L583</f>
        <v>2</v>
      </c>
      <c r="M265" s="391">
        <f ca="1">'Production cost'!$M583</f>
        <v>0</v>
      </c>
      <c r="N265" s="983">
        <f t="shared" si="29"/>
        <v>0</v>
      </c>
      <c r="P265" s="313">
        <f>'Production cost'!$P583</f>
        <v>64591.331280067061</v>
      </c>
      <c r="Q265" s="313">
        <f t="shared" si="30"/>
        <v>0</v>
      </c>
      <c r="R265" s="313">
        <f t="shared" si="31"/>
        <v>0</v>
      </c>
      <c r="S265" s="1741">
        <f t="shared" ca="1" si="32"/>
        <v>0</v>
      </c>
      <c r="T265" s="313" t="str">
        <f>'Production cost'!T583</f>
        <v>N</v>
      </c>
      <c r="AL265" s="313"/>
      <c r="AM265" s="363"/>
      <c r="AN265" s="385"/>
    </row>
    <row r="266" spans="1:40" ht="12.75" outlineLevel="1">
      <c r="B266" s="1258" t="s">
        <v>220</v>
      </c>
      <c r="C266" s="313" t="str">
        <f>'Production cost'!$C584</f>
        <v>Punch Shape</v>
      </c>
      <c r="D266" s="363" t="s">
        <v>16</v>
      </c>
      <c r="E266" s="363">
        <f>'Production cost'!$E584</f>
        <v>12</v>
      </c>
      <c r="F266" s="363" t="str">
        <f>'Production cost'!$F584</f>
        <v>N</v>
      </c>
      <c r="G266" s="363" t="str">
        <f>'Production cost'!$G584</f>
        <v>80 x 80</v>
      </c>
      <c r="H266" s="313">
        <f>IFERROR(IF($F266="PCS",$E$4,VLOOKUP($F266,'Proof cost'!$I$23:$X$55,2,0)),0)</f>
        <v>0</v>
      </c>
      <c r="I266" s="313">
        <f>'Production cost'!$I584</f>
        <v>2500</v>
      </c>
      <c r="J266" s="313" t="str">
        <f>'Production cost'!$J584</f>
        <v>copies</v>
      </c>
      <c r="K266" s="360">
        <f>'Production cost'!$K584</f>
        <v>0</v>
      </c>
      <c r="L266" s="313">
        <f>'Production cost'!$L584</f>
        <v>4</v>
      </c>
      <c r="M266" s="391">
        <f ca="1">'Production cost'!$M584</f>
        <v>0</v>
      </c>
      <c r="N266" s="983">
        <f t="shared" si="29"/>
        <v>0</v>
      </c>
      <c r="P266" s="313">
        <f>'Production cost'!$P584</f>
        <v>64591.331280067061</v>
      </c>
      <c r="Q266" s="313">
        <f t="shared" si="30"/>
        <v>0</v>
      </c>
      <c r="R266" s="313">
        <f t="shared" si="31"/>
        <v>0</v>
      </c>
      <c r="S266" s="1741">
        <f t="shared" ca="1" si="32"/>
        <v>0</v>
      </c>
      <c r="T266" s="313" t="str">
        <f>'Production cost'!T584</f>
        <v>N</v>
      </c>
      <c r="AL266" s="313"/>
      <c r="AM266" s="363"/>
      <c r="AN266" s="385"/>
    </row>
    <row r="267" spans="1:40" ht="12.75" outlineLevel="1">
      <c r="B267" s="1258" t="s">
        <v>220</v>
      </c>
      <c r="C267" s="313" t="str">
        <f>'Production cost'!$C585</f>
        <v>Punch Shape</v>
      </c>
      <c r="D267" s="363" t="s">
        <v>16</v>
      </c>
      <c r="E267" s="363">
        <f>'Production cost'!$E585</f>
        <v>12</v>
      </c>
      <c r="F267" s="363" t="str">
        <f>'Production cost'!$F585</f>
        <v>N</v>
      </c>
      <c r="G267" s="363" t="str">
        <f>'Production cost'!$G585</f>
        <v>80 x 80</v>
      </c>
      <c r="H267" s="313">
        <f>IFERROR(IF($F267="PCS",$E$4,VLOOKUP($F267,'Proof cost'!$I$23:$X$55,2,0)),0)</f>
        <v>0</v>
      </c>
      <c r="I267" s="313">
        <f>'Production cost'!$I585</f>
        <v>2500</v>
      </c>
      <c r="J267" s="313" t="str">
        <f>'Production cost'!$J585</f>
        <v>copies</v>
      </c>
      <c r="K267" s="360">
        <f>'Production cost'!$K585</f>
        <v>0</v>
      </c>
      <c r="L267" s="313">
        <f>'Production cost'!$L585</f>
        <v>4</v>
      </c>
      <c r="M267" s="391">
        <f ca="1">'Production cost'!$M585</f>
        <v>0</v>
      </c>
      <c r="N267" s="983">
        <f t="shared" si="29"/>
        <v>0</v>
      </c>
      <c r="P267" s="313">
        <f>'Production cost'!$P585</f>
        <v>64591.331280067061</v>
      </c>
      <c r="Q267" s="313">
        <f t="shared" si="30"/>
        <v>0</v>
      </c>
      <c r="R267" s="313">
        <f t="shared" si="31"/>
        <v>0</v>
      </c>
      <c r="S267" s="1741">
        <f t="shared" ca="1" si="32"/>
        <v>0</v>
      </c>
      <c r="T267" s="313" t="str">
        <f>'Production cost'!T585</f>
        <v>N</v>
      </c>
      <c r="AL267" s="313"/>
      <c r="AM267" s="363"/>
      <c r="AN267" s="385"/>
    </row>
    <row r="268" spans="1:40" ht="12.75" outlineLevel="1">
      <c r="B268" s="1258" t="s">
        <v>220</v>
      </c>
      <c r="C268" s="313" t="str">
        <f>'Production cost'!$C586</f>
        <v>Punch Shape</v>
      </c>
      <c r="D268" s="363" t="s">
        <v>16</v>
      </c>
      <c r="E268" s="363">
        <f>'Production cost'!$E586</f>
        <v>12</v>
      </c>
      <c r="F268" s="363" t="str">
        <f>'Production cost'!$F586</f>
        <v>N</v>
      </c>
      <c r="G268" s="363" t="str">
        <f>'Production cost'!$G586</f>
        <v>80 x 80</v>
      </c>
      <c r="H268" s="313">
        <f>IFERROR(IF($F268="PCS",$E$4,VLOOKUP($F268,'Proof cost'!$I$23:$X$55,2,0)),0)</f>
        <v>0</v>
      </c>
      <c r="I268" s="313">
        <f>'Production cost'!$I586</f>
        <v>2500</v>
      </c>
      <c r="J268" s="313" t="str">
        <f>'Production cost'!$J586</f>
        <v>copies</v>
      </c>
      <c r="K268" s="360">
        <f>'Production cost'!$K586</f>
        <v>0</v>
      </c>
      <c r="L268" s="313">
        <f>'Production cost'!$L586</f>
        <v>4</v>
      </c>
      <c r="M268" s="391">
        <f ca="1">'Production cost'!$M586</f>
        <v>0</v>
      </c>
      <c r="N268" s="983">
        <f t="shared" si="29"/>
        <v>0</v>
      </c>
      <c r="P268" s="313">
        <f>'Production cost'!$P586</f>
        <v>64591.331280067061</v>
      </c>
      <c r="Q268" s="313">
        <f t="shared" si="30"/>
        <v>0</v>
      </c>
      <c r="R268" s="313">
        <f t="shared" si="31"/>
        <v>0</v>
      </c>
      <c r="S268" s="1741">
        <f t="shared" ca="1" si="32"/>
        <v>0</v>
      </c>
      <c r="T268" s="313" t="str">
        <f>'Production cost'!T586</f>
        <v>N</v>
      </c>
      <c r="AL268" s="313"/>
      <c r="AM268" s="363"/>
      <c r="AN268" s="385"/>
    </row>
    <row r="269" spans="1:40" ht="12.75" outlineLevel="1">
      <c r="B269" s="1259" t="s">
        <v>220</v>
      </c>
      <c r="C269" s="1260" t="str">
        <f>'Production cost'!$C587</f>
        <v>Other</v>
      </c>
      <c r="D269" s="1260"/>
      <c r="E269" s="2158"/>
      <c r="F269" s="2158" t="str">
        <f>'Production cost'!$F587</f>
        <v>N</v>
      </c>
      <c r="G269" s="2158"/>
      <c r="H269" s="1260">
        <f>IFERROR(IF($F269="PCS",$E$4,VLOOKUP($F269,'Proof cost'!$I$23:$X$55,2,0)),0)</f>
        <v>0</v>
      </c>
      <c r="I269" s="1260">
        <f>'Production cost'!$I587</f>
        <v>9000</v>
      </c>
      <c r="J269" s="1260">
        <f>'Production cost'!$J587</f>
        <v>0</v>
      </c>
      <c r="K269" s="2159">
        <f>'Production cost'!$K587</f>
        <v>0</v>
      </c>
      <c r="L269" s="1260">
        <f>'Production cost'!$L587</f>
        <v>0</v>
      </c>
      <c r="M269" s="2160">
        <f ca="1">'Production cost'!$M587</f>
        <v>0</v>
      </c>
      <c r="N269" s="2161">
        <f t="shared" si="29"/>
        <v>0</v>
      </c>
      <c r="O269" s="1260"/>
      <c r="P269" s="1260">
        <f>'Production cost'!$P587</f>
        <v>64591.331280067061</v>
      </c>
      <c r="Q269" s="1260">
        <f t="shared" si="30"/>
        <v>0</v>
      </c>
      <c r="R269" s="1260">
        <f t="shared" si="31"/>
        <v>0</v>
      </c>
      <c r="S269" s="2162">
        <f t="shared" ca="1" si="32"/>
        <v>0</v>
      </c>
      <c r="T269" s="313" t="str">
        <f>'Production cost'!T587</f>
        <v>N</v>
      </c>
      <c r="AL269" s="313"/>
      <c r="AM269" s="363"/>
      <c r="AN269" s="385"/>
    </row>
    <row r="270" spans="1:40" ht="12.75">
      <c r="B270" s="1269"/>
      <c r="C270" s="385"/>
      <c r="G270" s="1270"/>
      <c r="N270" s="391"/>
      <c r="S270" s="363"/>
      <c r="AL270" s="313"/>
      <c r="AM270" s="363"/>
      <c r="AN270" s="385"/>
    </row>
    <row r="271" spans="1:40" ht="12.75">
      <c r="B271" s="1269"/>
      <c r="C271" s="385"/>
      <c r="G271" s="1270"/>
      <c r="N271" s="391"/>
      <c r="S271" s="363"/>
      <c r="AL271" s="313"/>
      <c r="AM271" s="363"/>
      <c r="AN271" s="385"/>
    </row>
    <row r="272" spans="1:40" ht="12.75">
      <c r="A272" s="1269" t="s">
        <v>143</v>
      </c>
      <c r="B272" s="1255" t="s">
        <v>179</v>
      </c>
      <c r="C272" s="1256" t="str">
        <f>'Production cost'!C590</f>
        <v>Packing</v>
      </c>
      <c r="D272" s="2142">
        <f>'Production cost'!D590</f>
        <v>1</v>
      </c>
      <c r="E272" s="2143">
        <f>'Production cost'!E590</f>
        <v>1</v>
      </c>
      <c r="F272" s="2144" t="str">
        <f>'Production cost'!F590</f>
        <v>N</v>
      </c>
      <c r="G272" s="2144"/>
      <c r="H272" s="1256">
        <f>IFERROR(IF($F272="PCS",$E$4*$D272/$E272,VLOOKUP($F272,'Proof cost'!$I$23:$X$55,2,0)),0)</f>
        <v>0</v>
      </c>
      <c r="I272" s="1256">
        <f>'Production cost'!I590</f>
        <v>2500</v>
      </c>
      <c r="J272" s="1256" t="str">
        <f>'Production cost'!J590</f>
        <v>Sheets</v>
      </c>
      <c r="K272" s="2145">
        <f>'Production cost'!$K590</f>
        <v>0</v>
      </c>
      <c r="L272" s="1256">
        <f>'Production cost'!$L590</f>
        <v>6</v>
      </c>
      <c r="M272" s="2146">
        <f ca="1">'Production cost'!$M590</f>
        <v>0</v>
      </c>
      <c r="N272" s="2152">
        <f t="shared" ref="N272:N309" si="33">IF(H272&gt;0,ROUNDUP(((H272/I272)/$M$5+M272),1),0)</f>
        <v>0</v>
      </c>
      <c r="O272" s="1256"/>
      <c r="P272" s="1256">
        <f>'Production cost'!$P590</f>
        <v>52580.182439963428</v>
      </c>
      <c r="Q272" s="1256">
        <f t="shared" ref="Q272:Q304" si="34">(N272*O272*K272+N272*P272*L272)*(1+$R$312)</f>
        <v>0</v>
      </c>
      <c r="R272" s="1256">
        <f>IF($E$2&gt;0,Q272/$E$2,0)</f>
        <v>0</v>
      </c>
      <c r="S272" s="1257">
        <f ca="1">IF(M272&gt;0,K272*O272+L272*P272,0)</f>
        <v>0</v>
      </c>
      <c r="T272" s="2170"/>
      <c r="AL272" s="313"/>
      <c r="AM272" s="363"/>
      <c r="AN272" s="385"/>
    </row>
    <row r="273" spans="2:40" ht="12.75" outlineLevel="1">
      <c r="B273" s="1258" t="s">
        <v>179</v>
      </c>
      <c r="C273" s="313" t="str">
        <f>'Production cost'!C591</f>
        <v>Print date code on book</v>
      </c>
      <c r="D273" s="1739">
        <f>'Production cost'!D591</f>
        <v>1</v>
      </c>
      <c r="E273" s="1740">
        <f>'Production cost'!E591</f>
        <v>1</v>
      </c>
      <c r="F273" s="363" t="str">
        <f>'Production cost'!F591</f>
        <v>N</v>
      </c>
      <c r="G273" s="363"/>
      <c r="H273" s="313">
        <f>IFERROR(IF($F273="PCS",$E$4*$D273/$E273,VLOOKUP($F273,'Proof cost'!$I$23:$X$55,2,0)),0)</f>
        <v>0</v>
      </c>
      <c r="I273" s="313">
        <f>'Production cost'!I591</f>
        <v>2000</v>
      </c>
      <c r="J273" s="313" t="str">
        <f>'Production cost'!J591</f>
        <v>Sheets</v>
      </c>
      <c r="K273" s="360">
        <f>'Production cost'!$K591</f>
        <v>0</v>
      </c>
      <c r="L273" s="313">
        <f>'Production cost'!$L591</f>
        <v>2</v>
      </c>
      <c r="M273" s="391">
        <f ca="1">'Production cost'!$M591</f>
        <v>0</v>
      </c>
      <c r="N273" s="983">
        <f t="shared" si="33"/>
        <v>0</v>
      </c>
      <c r="P273" s="313">
        <f>'Production cost'!$P591</f>
        <v>52580.182439963428</v>
      </c>
      <c r="Q273" s="313">
        <f t="shared" si="34"/>
        <v>0</v>
      </c>
      <c r="R273" s="313">
        <f>IF($E$2&gt;0,Q273/$E$2,0)</f>
        <v>0</v>
      </c>
      <c r="S273" s="1741">
        <f ca="1">IF(M273&gt;0,K273*O273+L273*P273,0)</f>
        <v>0</v>
      </c>
      <c r="T273" s="2170"/>
      <c r="AL273" s="313"/>
      <c r="AM273" s="363"/>
      <c r="AN273" s="385"/>
    </row>
    <row r="274" spans="2:40" ht="12.75" outlineLevel="1">
      <c r="B274" s="1258" t="s">
        <v>179</v>
      </c>
      <c r="C274" s="313" t="str">
        <f>'Production cost'!C592</f>
        <v>Print date code on carton</v>
      </c>
      <c r="D274" s="1739">
        <f>'Production cost'!D592</f>
        <v>1</v>
      </c>
      <c r="E274" s="1740">
        <f>'Production cost'!E592</f>
        <v>150</v>
      </c>
      <c r="F274" s="363" t="str">
        <f>'Production cost'!F592</f>
        <v>N</v>
      </c>
      <c r="G274" s="363"/>
      <c r="H274" s="313">
        <f>IFERROR(IF($F274="PCS",$E$4*$D274/$E274,VLOOKUP($F274,'Proof cost'!$I$23:$X$55,2,0)),0)</f>
        <v>0</v>
      </c>
      <c r="I274" s="313">
        <f>'Production cost'!I592</f>
        <v>800</v>
      </c>
      <c r="J274" s="313" t="str">
        <f>'Production cost'!J592</f>
        <v>Sets</v>
      </c>
      <c r="K274" s="360">
        <f>'Production cost'!$K592</f>
        <v>0</v>
      </c>
      <c r="L274" s="313">
        <f>'Production cost'!$L592</f>
        <v>2</v>
      </c>
      <c r="M274" s="391">
        <f ca="1">'Production cost'!$M592</f>
        <v>0</v>
      </c>
      <c r="N274" s="983">
        <f t="shared" si="33"/>
        <v>0</v>
      </c>
      <c r="P274" s="313">
        <f>'Production cost'!$P592</f>
        <v>52580.182439963428</v>
      </c>
      <c r="Q274" s="313">
        <f t="shared" si="34"/>
        <v>0</v>
      </c>
      <c r="R274" s="313">
        <f>IF($E$2&gt;0,Q274/$E$2,0)</f>
        <v>0</v>
      </c>
      <c r="S274" s="1741">
        <f ca="1">IF(M274&gt;0,K274*O274+L274*P274,0)</f>
        <v>0</v>
      </c>
      <c r="T274" s="2170"/>
      <c r="AL274" s="313"/>
      <c r="AM274" s="363"/>
      <c r="AN274" s="385"/>
    </row>
    <row r="275" spans="2:40" ht="12.75" outlineLevel="1">
      <c r="B275" s="1258" t="s">
        <v>179</v>
      </c>
      <c r="C275" s="313" t="str">
        <f>'Production cost'!C593</f>
        <v>Picking</v>
      </c>
      <c r="D275" s="1739">
        <f>'Production cost'!D593</f>
        <v>1</v>
      </c>
      <c r="E275" s="1740">
        <f>'Production cost'!E593</f>
        <v>1</v>
      </c>
      <c r="F275" s="363" t="str">
        <f>'Production cost'!F593</f>
        <v>N</v>
      </c>
      <c r="G275" s="363"/>
      <c r="H275" s="313">
        <f>IFERROR(IF($F275="PCS",$E$4*$D275/$E275,VLOOKUP($F275,'Proof cost'!$I$23:$X$55,2,0)),0)</f>
        <v>0</v>
      </c>
      <c r="I275" s="313">
        <f>'Production cost'!I593</f>
        <v>2000</v>
      </c>
      <c r="J275" s="313" t="str">
        <f>'Production cost'!J593</f>
        <v>Sheets</v>
      </c>
      <c r="K275" s="360">
        <f>'Production cost'!$K593</f>
        <v>0</v>
      </c>
      <c r="L275" s="313">
        <f>'Production cost'!$L593</f>
        <v>2</v>
      </c>
      <c r="M275" s="391">
        <f ca="1">'Production cost'!$M593</f>
        <v>0</v>
      </c>
      <c r="N275" s="983">
        <f t="shared" si="33"/>
        <v>0</v>
      </c>
      <c r="P275" s="313">
        <f>'Production cost'!$P593</f>
        <v>59357.701116720593</v>
      </c>
      <c r="Q275" s="313">
        <f t="shared" si="34"/>
        <v>0</v>
      </c>
      <c r="R275" s="313">
        <f>IF($E$2&gt;0,Q275/$E$2,0)</f>
        <v>0</v>
      </c>
      <c r="S275" s="1741">
        <f ca="1">IF(M275&gt;0,K275*O275+L275*P275,0)</f>
        <v>0</v>
      </c>
      <c r="T275" s="2170"/>
      <c r="AL275" s="313"/>
      <c r="AM275" s="363"/>
      <c r="AN275" s="385"/>
    </row>
    <row r="276" spans="2:40" ht="12.75" outlineLevel="1">
      <c r="B276" s="1258" t="s">
        <v>179</v>
      </c>
      <c r="C276" s="313" t="str">
        <f>'Production cost'!C594</f>
        <v>Picking</v>
      </c>
      <c r="D276" s="1739">
        <f>'Production cost'!D594</f>
        <v>1</v>
      </c>
      <c r="E276" s="1740">
        <f>'Production cost'!E594</f>
        <v>1</v>
      </c>
      <c r="F276" s="363" t="str">
        <f>'Production cost'!F594</f>
        <v>N</v>
      </c>
      <c r="G276" s="363"/>
      <c r="H276" s="313">
        <f>IFERROR(IF($F276="PCS",$E$4*$D276/$E276,VLOOKUP($F276,'Proof cost'!$I$23:$X$55,2,0)),0)</f>
        <v>0</v>
      </c>
      <c r="I276" s="313">
        <f>'Production cost'!I594</f>
        <v>2000</v>
      </c>
      <c r="J276" s="313" t="str">
        <f>'Production cost'!J594</f>
        <v>Sheets</v>
      </c>
      <c r="K276" s="360">
        <f>'Production cost'!$K594</f>
        <v>0</v>
      </c>
      <c r="L276" s="313">
        <f>'Production cost'!$L594</f>
        <v>2</v>
      </c>
      <c r="M276" s="391">
        <f ca="1">'Production cost'!$M594</f>
        <v>0</v>
      </c>
      <c r="N276" s="983">
        <f t="shared" si="33"/>
        <v>0</v>
      </c>
      <c r="P276" s="313">
        <f>'Production cost'!$P594</f>
        <v>59357.701116720593</v>
      </c>
      <c r="Q276" s="313">
        <f t="shared" si="34"/>
        <v>0</v>
      </c>
      <c r="R276" s="313">
        <f t="shared" ref="R276:R284" si="35">IF($E$2&gt;0,Q276/$E$2,0)</f>
        <v>0</v>
      </c>
      <c r="S276" s="1741">
        <f t="shared" ref="S276:S284" ca="1" si="36">IF(M276&gt;0,K276*O276+L276*P276,0)</f>
        <v>0</v>
      </c>
      <c r="T276" s="2170"/>
      <c r="AL276" s="313"/>
      <c r="AM276" s="363"/>
      <c r="AN276" s="385"/>
    </row>
    <row r="277" spans="2:40" ht="12.75" outlineLevel="1">
      <c r="B277" s="1258" t="s">
        <v>179</v>
      </c>
      <c r="C277" s="313" t="str">
        <f>'Production cost'!C595</f>
        <v>Picking - Acc</v>
      </c>
      <c r="D277" s="1739">
        <f>'Production cost'!D595</f>
        <v>0</v>
      </c>
      <c r="E277" s="1740">
        <f>'Production cost'!E595</f>
        <v>0</v>
      </c>
      <c r="F277" s="363" t="str">
        <f>'Production cost'!F595</f>
        <v>N</v>
      </c>
      <c r="G277" s="363"/>
      <c r="H277" s="313">
        <f>IFERROR(IF($F277="PCS",$E$4*$D277/$E277,VLOOKUP($F277,'Proof cost'!$I$23:$X$55,2,0)),0)</f>
        <v>0</v>
      </c>
      <c r="I277" s="313">
        <f>'Production cost'!I595</f>
        <v>2000</v>
      </c>
      <c r="J277" s="313" t="str">
        <f>'Production cost'!J595</f>
        <v>Sheets</v>
      </c>
      <c r="K277" s="360">
        <f>'Production cost'!$K595</f>
        <v>0</v>
      </c>
      <c r="L277" s="313">
        <f>'Production cost'!$L595</f>
        <v>2</v>
      </c>
      <c r="M277" s="391">
        <f>'Production cost'!$M595</f>
        <v>0</v>
      </c>
      <c r="N277" s="983">
        <f t="shared" si="33"/>
        <v>0</v>
      </c>
      <c r="P277" s="313">
        <f>'Production cost'!$P595</f>
        <v>59357.701116720593</v>
      </c>
      <c r="Q277" s="313">
        <f t="shared" si="34"/>
        <v>0</v>
      </c>
      <c r="R277" s="313">
        <f t="shared" si="35"/>
        <v>0</v>
      </c>
      <c r="S277" s="1741">
        <f t="shared" si="36"/>
        <v>0</v>
      </c>
      <c r="T277" s="313">
        <f>'Production cost'!$T595</f>
        <v>0</v>
      </c>
      <c r="AL277" s="313"/>
      <c r="AM277" s="363"/>
      <c r="AN277" s="385"/>
    </row>
    <row r="278" spans="2:40" ht="12.75" outlineLevel="1">
      <c r="B278" s="1258" t="s">
        <v>179</v>
      </c>
      <c r="C278" s="313" t="str">
        <f>'Production cost'!C596</f>
        <v>Picking - Acc</v>
      </c>
      <c r="D278" s="1739">
        <f>'Production cost'!D596</f>
        <v>0</v>
      </c>
      <c r="E278" s="1740">
        <f>'Production cost'!E596</f>
        <v>0</v>
      </c>
      <c r="F278" s="363" t="str">
        <f>'Production cost'!F596</f>
        <v>N</v>
      </c>
      <c r="G278" s="363"/>
      <c r="H278" s="313">
        <f>IFERROR(IF($F278="PCS",$E$4*$D278/$E278,VLOOKUP($F278,'Proof cost'!$I$23:$X$55,2,0)),0)</f>
        <v>0</v>
      </c>
      <c r="I278" s="313">
        <f>'Production cost'!I596</f>
        <v>2000</v>
      </c>
      <c r="J278" s="313" t="str">
        <f>'Production cost'!J596</f>
        <v>Sheets</v>
      </c>
      <c r="K278" s="360">
        <f>'Production cost'!$K596</f>
        <v>0</v>
      </c>
      <c r="L278" s="313">
        <f>'Production cost'!$L596</f>
        <v>2</v>
      </c>
      <c r="M278" s="391">
        <f>'Production cost'!$M596</f>
        <v>0</v>
      </c>
      <c r="N278" s="983">
        <f t="shared" si="33"/>
        <v>0</v>
      </c>
      <c r="P278" s="313">
        <f>'Production cost'!$P596</f>
        <v>59357.701116720593</v>
      </c>
      <c r="Q278" s="313">
        <f t="shared" si="34"/>
        <v>0</v>
      </c>
      <c r="R278" s="313">
        <f t="shared" si="35"/>
        <v>0</v>
      </c>
      <c r="S278" s="1741">
        <f t="shared" si="36"/>
        <v>0</v>
      </c>
      <c r="T278" s="313">
        <f>'Production cost'!$T596</f>
        <v>0</v>
      </c>
      <c r="AL278" s="313"/>
      <c r="AM278" s="363"/>
      <c r="AN278" s="385"/>
    </row>
    <row r="279" spans="2:40" ht="12.75" outlineLevel="1">
      <c r="B279" s="1258" t="s">
        <v>179</v>
      </c>
      <c r="C279" s="313" t="str">
        <f ca="1">'Production cost'!C597</f>
        <v>Box</v>
      </c>
      <c r="D279" s="1739">
        <f>'Production cost'!D597</f>
        <v>1</v>
      </c>
      <c r="E279" s="1740">
        <f>'Production cost'!E597</f>
        <v>1</v>
      </c>
      <c r="F279" s="363" t="str">
        <f ca="1">'Production cost'!F597</f>
        <v>Pcs</v>
      </c>
      <c r="G279" s="363"/>
      <c r="H279" s="313">
        <f ca="1">IFERROR(IF($F279="PCS",$E$4*$D279/$E279,VLOOKUP($F279,'Proof cost'!$I$23:$X$55,2,0)),0)</f>
        <v>198.00000000000003</v>
      </c>
      <c r="I279" s="313" t="str">
        <f ca="1">'Production cost'!I597</f>
        <v>4000</v>
      </c>
      <c r="J279" s="313" t="str">
        <f ca="1">'Production cost'!J597</f>
        <v>Copies</v>
      </c>
      <c r="K279" s="360">
        <f>'Production cost'!$K597</f>
        <v>0</v>
      </c>
      <c r="L279" s="313" t="str">
        <f ca="1">'Production cost'!$L597</f>
        <v>2</v>
      </c>
      <c r="M279" s="391">
        <f ca="1">'Production cost'!$M597</f>
        <v>0</v>
      </c>
      <c r="N279" s="983">
        <f t="shared" ca="1" si="33"/>
        <v>0.1</v>
      </c>
      <c r="P279" s="313">
        <f>'Production cost'!$P597</f>
        <v>59357.701116720593</v>
      </c>
      <c r="Q279" s="313">
        <f t="shared" ca="1" si="34"/>
        <v>11871.54022334412</v>
      </c>
      <c r="R279" s="313">
        <f t="shared" ca="1" si="35"/>
        <v>65.95300124080066</v>
      </c>
      <c r="S279" s="1741">
        <f t="shared" ca="1" si="36"/>
        <v>0</v>
      </c>
      <c r="T279" s="313" t="str">
        <f ca="1">'Production cost'!$T597</f>
        <v>Box</v>
      </c>
      <c r="AL279" s="313"/>
      <c r="AM279" s="363"/>
      <c r="AN279" s="385"/>
    </row>
    <row r="280" spans="2:40" ht="12.75" outlineLevel="1">
      <c r="B280" s="1258" t="s">
        <v>179</v>
      </c>
      <c r="C280" s="313" t="str">
        <f ca="1">'Production cost'!C598</f>
        <v>N</v>
      </c>
      <c r="D280" s="1739">
        <f>'Production cost'!D598</f>
        <v>1</v>
      </c>
      <c r="E280" s="1740">
        <f>'Production cost'!E598</f>
        <v>1</v>
      </c>
      <c r="F280" s="363" t="str">
        <f ca="1">'Production cost'!F598</f>
        <v>N</v>
      </c>
      <c r="G280" s="363"/>
      <c r="H280" s="313">
        <f ca="1">IFERROR(IF($F280="PCS",$E$4*$D280/$E280,VLOOKUP($F280,'Proof cost'!$I$23:$X$55,2,0)),0)</f>
        <v>0</v>
      </c>
      <c r="I280" s="313">
        <f ca="1">'Production cost'!I598</f>
        <v>2000</v>
      </c>
      <c r="J280" s="313" t="str">
        <f ca="1">'Production cost'!J598</f>
        <v>Sheets</v>
      </c>
      <c r="K280" s="360">
        <f>'Production cost'!$K598</f>
        <v>0</v>
      </c>
      <c r="L280" s="313">
        <f ca="1">'Production cost'!$L598</f>
        <v>2</v>
      </c>
      <c r="M280" s="391">
        <f ca="1">'Production cost'!$M598</f>
        <v>0</v>
      </c>
      <c r="N280" s="983">
        <f t="shared" ca="1" si="33"/>
        <v>0</v>
      </c>
      <c r="P280" s="313">
        <f>'Production cost'!$P598</f>
        <v>59357.701116720593</v>
      </c>
      <c r="Q280" s="313">
        <f t="shared" ca="1" si="34"/>
        <v>0</v>
      </c>
      <c r="R280" s="313">
        <f t="shared" ca="1" si="35"/>
        <v>0</v>
      </c>
      <c r="S280" s="1741">
        <f t="shared" ca="1" si="36"/>
        <v>0</v>
      </c>
      <c r="T280" s="313" t="str">
        <f ca="1">'Production cost'!$T598</f>
        <v>N</v>
      </c>
      <c r="AL280" s="313"/>
      <c r="AM280" s="363"/>
      <c r="AN280" s="385"/>
    </row>
    <row r="281" spans="2:40" ht="12.75" outlineLevel="1">
      <c r="B281" s="1258" t="s">
        <v>179</v>
      </c>
      <c r="C281" s="313" t="str">
        <f ca="1">'Production cost'!C599</f>
        <v>N</v>
      </c>
      <c r="D281" s="1739">
        <f>'Production cost'!D599</f>
        <v>1</v>
      </c>
      <c r="E281" s="1740">
        <f>'Production cost'!E599</f>
        <v>1</v>
      </c>
      <c r="F281" s="363" t="str">
        <f ca="1">'Production cost'!F599</f>
        <v>N</v>
      </c>
      <c r="G281" s="363"/>
      <c r="H281" s="313">
        <f ca="1">IFERROR(IF($F281="PCS",$E$4*$D281/$E281,VLOOKUP($F281,'Proof cost'!$I$23:$X$55,2,0)),0)</f>
        <v>0</v>
      </c>
      <c r="I281" s="313">
        <f ca="1">'Production cost'!I599</f>
        <v>2000</v>
      </c>
      <c r="J281" s="313" t="str">
        <f ca="1">'Production cost'!J599</f>
        <v>Sheets</v>
      </c>
      <c r="K281" s="360">
        <f>'Production cost'!$K599</f>
        <v>0</v>
      </c>
      <c r="L281" s="313">
        <f ca="1">'Production cost'!$L599</f>
        <v>2</v>
      </c>
      <c r="M281" s="391">
        <f ca="1">'Production cost'!$M599</f>
        <v>0</v>
      </c>
      <c r="N281" s="983">
        <f t="shared" ca="1" si="33"/>
        <v>0</v>
      </c>
      <c r="P281" s="313">
        <f>'Production cost'!$P599</f>
        <v>59357.701116720593</v>
      </c>
      <c r="Q281" s="313">
        <f t="shared" ca="1" si="34"/>
        <v>0</v>
      </c>
      <c r="R281" s="313">
        <f t="shared" ca="1" si="35"/>
        <v>0</v>
      </c>
      <c r="S281" s="1741">
        <f t="shared" ca="1" si="36"/>
        <v>0</v>
      </c>
      <c r="T281" s="313" t="str">
        <f ca="1">'Production cost'!$T599</f>
        <v>N</v>
      </c>
      <c r="AL281" s="313"/>
      <c r="AM281" s="363"/>
      <c r="AN281" s="385"/>
    </row>
    <row r="282" spans="2:40" ht="12.75" outlineLevel="1">
      <c r="B282" s="1258" t="s">
        <v>179</v>
      </c>
      <c r="C282" s="313" t="str">
        <f ca="1">'Production cost'!C600</f>
        <v>N</v>
      </c>
      <c r="D282" s="1739">
        <f>'Production cost'!D600</f>
        <v>1</v>
      </c>
      <c r="E282" s="1740">
        <f>'Production cost'!E600</f>
        <v>1</v>
      </c>
      <c r="F282" s="363" t="str">
        <f ca="1">'Production cost'!F600</f>
        <v>N</v>
      </c>
      <c r="G282" s="363"/>
      <c r="H282" s="313">
        <f ca="1">IFERROR(IF($F282="PCS",$E$4*$D282/$E282,VLOOKUP($F282,'Proof cost'!$I$23:$X$55,2,0)),0)</f>
        <v>0</v>
      </c>
      <c r="I282" s="313">
        <f ca="1">'Production cost'!I600</f>
        <v>2000</v>
      </c>
      <c r="J282" s="313" t="str">
        <f ca="1">'Production cost'!J600</f>
        <v>Sheets</v>
      </c>
      <c r="K282" s="360">
        <f>'Production cost'!$K600</f>
        <v>0</v>
      </c>
      <c r="L282" s="313">
        <f ca="1">'Production cost'!$L600</f>
        <v>2</v>
      </c>
      <c r="M282" s="391">
        <f ca="1">'Production cost'!$M600</f>
        <v>0</v>
      </c>
      <c r="N282" s="983">
        <f t="shared" ca="1" si="33"/>
        <v>0</v>
      </c>
      <c r="P282" s="313">
        <f>'Production cost'!$P600</f>
        <v>59357.701116720593</v>
      </c>
      <c r="Q282" s="313">
        <f t="shared" ca="1" si="34"/>
        <v>0</v>
      </c>
      <c r="R282" s="313">
        <f t="shared" ca="1" si="35"/>
        <v>0</v>
      </c>
      <c r="S282" s="1741">
        <f t="shared" ca="1" si="36"/>
        <v>0</v>
      </c>
      <c r="T282" s="313" t="str">
        <f ca="1">'Production cost'!$T600</f>
        <v>N</v>
      </c>
      <c r="AL282" s="313"/>
      <c r="AM282" s="363"/>
      <c r="AN282" s="385"/>
    </row>
    <row r="283" spans="2:40" ht="12.75" outlineLevel="1">
      <c r="B283" s="1258" t="s">
        <v>179</v>
      </c>
      <c r="C283" s="313" t="str">
        <f ca="1">'Production cost'!C601</f>
        <v>N</v>
      </c>
      <c r="D283" s="1739">
        <f>'Production cost'!D601</f>
        <v>1</v>
      </c>
      <c r="E283" s="1740">
        <f>'Production cost'!E601</f>
        <v>1</v>
      </c>
      <c r="F283" s="363" t="str">
        <f ca="1">'Production cost'!F601</f>
        <v>N</v>
      </c>
      <c r="G283" s="363"/>
      <c r="H283" s="313">
        <f ca="1">IFERROR(IF($F283="PCS",$E$4*$D283/$E283,VLOOKUP($F283,'Proof cost'!$I$23:$X$55,2,0)),0)</f>
        <v>0</v>
      </c>
      <c r="I283" s="313">
        <f ca="1">'Production cost'!I601</f>
        <v>2000</v>
      </c>
      <c r="J283" s="313" t="str">
        <f ca="1">'Production cost'!J601</f>
        <v>Sheets</v>
      </c>
      <c r="K283" s="360">
        <f>'Production cost'!$K601</f>
        <v>0</v>
      </c>
      <c r="L283" s="313">
        <f ca="1">'Production cost'!$L601</f>
        <v>2</v>
      </c>
      <c r="M283" s="391">
        <f ca="1">'Production cost'!$M601</f>
        <v>0</v>
      </c>
      <c r="N283" s="983">
        <f t="shared" ca="1" si="33"/>
        <v>0</v>
      </c>
      <c r="P283" s="313">
        <f>'Production cost'!$P601</f>
        <v>59357.701116720593</v>
      </c>
      <c r="Q283" s="313">
        <f t="shared" ca="1" si="34"/>
        <v>0</v>
      </c>
      <c r="R283" s="313">
        <f t="shared" ca="1" si="35"/>
        <v>0</v>
      </c>
      <c r="S283" s="1741">
        <f t="shared" ca="1" si="36"/>
        <v>0</v>
      </c>
      <c r="T283" s="313" t="str">
        <f ca="1">'Production cost'!$T601</f>
        <v>N</v>
      </c>
      <c r="AL283" s="313"/>
      <c r="AM283" s="363"/>
      <c r="AN283" s="385"/>
    </row>
    <row r="284" spans="2:40" ht="12.75" outlineLevel="1">
      <c r="B284" s="1258" t="s">
        <v>179</v>
      </c>
      <c r="C284" s="313" t="str">
        <f ca="1">'Production cost'!C602</f>
        <v>N</v>
      </c>
      <c r="D284" s="1739">
        <f>'Production cost'!D602</f>
        <v>1</v>
      </c>
      <c r="E284" s="1740">
        <f>'Production cost'!E602</f>
        <v>1</v>
      </c>
      <c r="F284" s="363" t="str">
        <f ca="1">'Production cost'!F602</f>
        <v>N</v>
      </c>
      <c r="G284" s="363"/>
      <c r="H284" s="313">
        <f ca="1">IFERROR(IF($F284="PCS",$E$4*$D284/$E284,VLOOKUP($F284,'Proof cost'!$I$23:$X$55,2,0)),0)</f>
        <v>0</v>
      </c>
      <c r="I284" s="313">
        <f ca="1">'Production cost'!I602</f>
        <v>2000</v>
      </c>
      <c r="J284" s="313" t="str">
        <f ca="1">'Production cost'!J602</f>
        <v>Sheets</v>
      </c>
      <c r="K284" s="360">
        <f>'Production cost'!$K602</f>
        <v>0</v>
      </c>
      <c r="L284" s="313">
        <f ca="1">'Production cost'!$L602</f>
        <v>2</v>
      </c>
      <c r="M284" s="391">
        <f ca="1">'Production cost'!$M602</f>
        <v>0</v>
      </c>
      <c r="N284" s="983">
        <f t="shared" ca="1" si="33"/>
        <v>0</v>
      </c>
      <c r="P284" s="313">
        <f>'Production cost'!$P602</f>
        <v>59357.701116720593</v>
      </c>
      <c r="Q284" s="313">
        <f t="shared" ca="1" si="34"/>
        <v>0</v>
      </c>
      <c r="R284" s="313">
        <f t="shared" ca="1" si="35"/>
        <v>0</v>
      </c>
      <c r="S284" s="1741">
        <f t="shared" ca="1" si="36"/>
        <v>0</v>
      </c>
      <c r="T284" s="313" t="str">
        <f ca="1">'Production cost'!$T602</f>
        <v>N</v>
      </c>
      <c r="AL284" s="313"/>
      <c r="AM284" s="363"/>
      <c r="AN284" s="385"/>
    </row>
    <row r="285" spans="2:40" ht="12.75" outlineLevel="1">
      <c r="B285" s="1258" t="s">
        <v>179</v>
      </c>
      <c r="C285" s="313" t="str">
        <f ca="1">'Production cost'!C603</f>
        <v>N</v>
      </c>
      <c r="D285" s="1739">
        <f>'Production cost'!D603</f>
        <v>1</v>
      </c>
      <c r="E285" s="1740">
        <f>'Production cost'!E603</f>
        <v>1</v>
      </c>
      <c r="F285" s="363" t="str">
        <f ca="1">'Production cost'!F603</f>
        <v>N</v>
      </c>
      <c r="G285" s="363"/>
      <c r="H285" s="313">
        <f ca="1">IFERROR(IF($F285="PCS",$E$4*$D285/$E285,VLOOKUP($F285,'Proof cost'!$I$23:$X$55,2,0)),0)</f>
        <v>0</v>
      </c>
      <c r="I285" s="313">
        <f ca="1">'Production cost'!I603</f>
        <v>2000</v>
      </c>
      <c r="J285" s="313" t="str">
        <f ca="1">'Production cost'!J603</f>
        <v>Sheets</v>
      </c>
      <c r="K285" s="360">
        <f>'Production cost'!$K603</f>
        <v>0</v>
      </c>
      <c r="L285" s="313">
        <f ca="1">'Production cost'!$L603</f>
        <v>0</v>
      </c>
      <c r="M285" s="391">
        <f ca="1">'Production cost'!$M603</f>
        <v>0</v>
      </c>
      <c r="N285" s="983">
        <f t="shared" ca="1" si="33"/>
        <v>0</v>
      </c>
      <c r="P285" s="313">
        <f>'Production cost'!$P603</f>
        <v>59357.701116720593</v>
      </c>
      <c r="Q285" s="313">
        <f t="shared" ca="1" si="34"/>
        <v>0</v>
      </c>
      <c r="R285" s="313">
        <f ca="1">IF($E$2&gt;0,Q285/$E$2,0)</f>
        <v>0</v>
      </c>
      <c r="S285" s="1741">
        <f ca="1">IF(M285&gt;0,K285*O285+L285*P285,0)</f>
        <v>0</v>
      </c>
      <c r="T285" s="313" t="str">
        <f ca="1">'Production cost'!$T603</f>
        <v>N</v>
      </c>
      <c r="AL285" s="313"/>
      <c r="AM285" s="363"/>
      <c r="AN285" s="385"/>
    </row>
    <row r="286" spans="2:40" ht="12.75" outlineLevel="1">
      <c r="B286" s="1258" t="s">
        <v>179</v>
      </c>
      <c r="C286" s="313" t="str">
        <f ca="1">'Production cost'!C604</f>
        <v>N</v>
      </c>
      <c r="D286" s="1739">
        <f>'Production cost'!D604</f>
        <v>1</v>
      </c>
      <c r="E286" s="1740">
        <f>'Production cost'!E604</f>
        <v>1</v>
      </c>
      <c r="F286" s="363" t="str">
        <f ca="1">'Production cost'!F604</f>
        <v>N</v>
      </c>
      <c r="G286" s="363"/>
      <c r="H286" s="313">
        <f ca="1">IFERROR(IF($F286="PCS",$E$4*$D286/$E286,VLOOKUP($F286,'Proof cost'!$I$23:$X$55,2,0)),0)</f>
        <v>0</v>
      </c>
      <c r="I286" s="313">
        <f ca="1">'Production cost'!I604</f>
        <v>2000</v>
      </c>
      <c r="J286" s="313" t="str">
        <f ca="1">'Production cost'!J604</f>
        <v>Sheets</v>
      </c>
      <c r="K286" s="360">
        <f>'Production cost'!$K604</f>
        <v>0</v>
      </c>
      <c r="L286" s="313">
        <f ca="1">'Production cost'!$L604</f>
        <v>0</v>
      </c>
      <c r="M286" s="391">
        <f ca="1">'Production cost'!$M604</f>
        <v>0</v>
      </c>
      <c r="N286" s="983">
        <f t="shared" ca="1" si="33"/>
        <v>0</v>
      </c>
      <c r="P286" s="313">
        <f>'Production cost'!$P604</f>
        <v>59357.701116720593</v>
      </c>
      <c r="Q286" s="313">
        <f t="shared" ca="1" si="34"/>
        <v>0</v>
      </c>
      <c r="R286" s="313">
        <f t="shared" ref="R286:R304" ca="1" si="37">IF($E$2&gt;0,Q286/$E$2,0)</f>
        <v>0</v>
      </c>
      <c r="S286" s="1741">
        <f t="shared" ref="S286:S304" ca="1" si="38">IF(M286&gt;0,K286*O286+L286*P286,0)</f>
        <v>0</v>
      </c>
      <c r="T286" s="313" t="str">
        <f ca="1">'Production cost'!$T604</f>
        <v>N</v>
      </c>
      <c r="AL286" s="313"/>
      <c r="AM286" s="363"/>
      <c r="AN286" s="385"/>
    </row>
    <row r="287" spans="2:40" ht="12.75" outlineLevel="1">
      <c r="B287" s="1258" t="s">
        <v>179</v>
      </c>
      <c r="C287" s="313" t="str">
        <f ca="1">'Production cost'!C605</f>
        <v>N</v>
      </c>
      <c r="D287" s="1739">
        <f>'Production cost'!D605</f>
        <v>1</v>
      </c>
      <c r="E287" s="1740">
        <f>'Production cost'!E605</f>
        <v>1</v>
      </c>
      <c r="F287" s="363" t="str">
        <f ca="1">'Production cost'!F605</f>
        <v>N</v>
      </c>
      <c r="G287" s="363"/>
      <c r="H287" s="313">
        <f ca="1">IFERROR(IF($F287="PCS",$E$4*$D287/$E287,VLOOKUP($F287,'Proof cost'!$I$23:$X$55,2,0)),0)</f>
        <v>0</v>
      </c>
      <c r="I287" s="313">
        <f ca="1">'Production cost'!I605</f>
        <v>2000</v>
      </c>
      <c r="J287" s="313" t="str">
        <f ca="1">'Production cost'!J605</f>
        <v>Sheets</v>
      </c>
      <c r="K287" s="360">
        <f>'Production cost'!$K605</f>
        <v>0</v>
      </c>
      <c r="L287" s="313">
        <f ca="1">'Production cost'!$L605</f>
        <v>0</v>
      </c>
      <c r="M287" s="391">
        <f ca="1">'Production cost'!$M605</f>
        <v>0</v>
      </c>
      <c r="N287" s="983">
        <f t="shared" ca="1" si="33"/>
        <v>0</v>
      </c>
      <c r="P287" s="313">
        <f>'Production cost'!$P605</f>
        <v>59357.701116720593</v>
      </c>
      <c r="Q287" s="313">
        <f t="shared" ca="1" si="34"/>
        <v>0</v>
      </c>
      <c r="R287" s="313">
        <f t="shared" ca="1" si="37"/>
        <v>0</v>
      </c>
      <c r="S287" s="1741">
        <f t="shared" ca="1" si="38"/>
        <v>0</v>
      </c>
      <c r="T287" s="313" t="str">
        <f ca="1">'Production cost'!$T605</f>
        <v>N</v>
      </c>
      <c r="AL287" s="313"/>
      <c r="AM287" s="363"/>
      <c r="AN287" s="385"/>
    </row>
    <row r="288" spans="2:40" ht="12.75" outlineLevel="1">
      <c r="B288" s="1258" t="s">
        <v>179</v>
      </c>
      <c r="C288" s="313" t="str">
        <f ca="1">'Production cost'!C606</f>
        <v>N</v>
      </c>
      <c r="D288" s="1739">
        <f>'Production cost'!D606</f>
        <v>1</v>
      </c>
      <c r="E288" s="1740">
        <f>'Production cost'!E606</f>
        <v>1</v>
      </c>
      <c r="F288" s="363" t="str">
        <f ca="1">'Production cost'!F606</f>
        <v>N</v>
      </c>
      <c r="G288" s="363"/>
      <c r="H288" s="313">
        <f ca="1">IFERROR(IF($F288="PCS",$E$4*$D288/$E288,VLOOKUP($F288,'Proof cost'!$I$23:$X$55,2,0)),0)</f>
        <v>0</v>
      </c>
      <c r="I288" s="313">
        <f ca="1">'Production cost'!I606</f>
        <v>2000</v>
      </c>
      <c r="J288" s="313" t="str">
        <f ca="1">'Production cost'!J606</f>
        <v>Sheets</v>
      </c>
      <c r="K288" s="360">
        <f>'Production cost'!$K606</f>
        <v>0</v>
      </c>
      <c r="L288" s="313">
        <f ca="1">'Production cost'!$L606</f>
        <v>0</v>
      </c>
      <c r="M288" s="391">
        <f ca="1">'Production cost'!$M606</f>
        <v>0</v>
      </c>
      <c r="N288" s="983">
        <f t="shared" ca="1" si="33"/>
        <v>0</v>
      </c>
      <c r="P288" s="313">
        <f>'Production cost'!$P606</f>
        <v>59357.701116720593</v>
      </c>
      <c r="Q288" s="313">
        <f t="shared" ca="1" si="34"/>
        <v>0</v>
      </c>
      <c r="R288" s="313">
        <f t="shared" ca="1" si="37"/>
        <v>0</v>
      </c>
      <c r="S288" s="1741">
        <f t="shared" ca="1" si="38"/>
        <v>0</v>
      </c>
      <c r="T288" s="313" t="str">
        <f ca="1">'Production cost'!$T606</f>
        <v>N</v>
      </c>
      <c r="AL288" s="313"/>
      <c r="AM288" s="363"/>
      <c r="AN288" s="385"/>
    </row>
    <row r="289" spans="2:40" ht="12.75" outlineLevel="1">
      <c r="B289" s="1258" t="s">
        <v>179</v>
      </c>
      <c r="C289" s="313" t="str">
        <f ca="1">'Production cost'!C635</f>
        <v>Box</v>
      </c>
      <c r="D289" s="1739">
        <f>'Production cost'!D635</f>
        <v>1</v>
      </c>
      <c r="E289" s="1740">
        <f>'Production cost'!E635</f>
        <v>1</v>
      </c>
      <c r="F289" s="363" t="str">
        <f ca="1">'Production cost'!F635</f>
        <v>N</v>
      </c>
      <c r="G289" s="363"/>
      <c r="H289" s="313">
        <f ca="1">IFERROR(IF($F289="PCS",$E$4*$D289/$E289,VLOOKUP($F289,'Proof cost'!$I$23:$X$55,2,0)),0)</f>
        <v>0</v>
      </c>
      <c r="I289" s="313">
        <f ca="1">'Production cost'!I635</f>
        <v>2000</v>
      </c>
      <c r="J289" s="313" t="str">
        <f ca="1">'Production cost'!J635</f>
        <v>Sheets</v>
      </c>
      <c r="K289" s="360">
        <f>'Production cost'!$K635</f>
        <v>0</v>
      </c>
      <c r="L289" s="313">
        <f ca="1">'Production cost'!$L635</f>
        <v>0</v>
      </c>
      <c r="M289" s="391">
        <f ca="1">'Production cost'!$M635</f>
        <v>0</v>
      </c>
      <c r="N289" s="983">
        <f t="shared" ca="1" si="33"/>
        <v>0</v>
      </c>
      <c r="P289" s="313">
        <f>'Production cost'!$P635</f>
        <v>59357.701116720593</v>
      </c>
      <c r="Q289" s="313">
        <f t="shared" ca="1" si="34"/>
        <v>0</v>
      </c>
      <c r="R289" s="313">
        <f t="shared" ca="1" si="37"/>
        <v>0</v>
      </c>
      <c r="S289" s="1741">
        <f t="shared" ca="1" si="38"/>
        <v>0</v>
      </c>
      <c r="T289" s="313" t="str">
        <f ca="1">'Production cost'!$T635</f>
        <v>Box</v>
      </c>
      <c r="AL289" s="313"/>
      <c r="AM289" s="363"/>
      <c r="AN289" s="385"/>
    </row>
    <row r="290" spans="2:40" ht="12.75" outlineLevel="1">
      <c r="B290" s="1258" t="s">
        <v>179</v>
      </c>
      <c r="C290" s="313" t="str">
        <f ca="1">'Production cost'!C636</f>
        <v>N</v>
      </c>
      <c r="D290" s="1739">
        <f>'Production cost'!D636</f>
        <v>1</v>
      </c>
      <c r="E290" s="1740">
        <f>'Production cost'!E636</f>
        <v>1</v>
      </c>
      <c r="F290" s="363" t="str">
        <f ca="1">'Production cost'!F636</f>
        <v>N</v>
      </c>
      <c r="G290" s="363"/>
      <c r="H290" s="313">
        <f ca="1">IFERROR(IF($F290="PCS",$E$4*$D290/$E290,VLOOKUP($F290,'Proof cost'!$I$23:$X$55,2,0)),0)</f>
        <v>0</v>
      </c>
      <c r="I290" s="313">
        <f ca="1">'Production cost'!I636</f>
        <v>2000</v>
      </c>
      <c r="J290" s="313" t="str">
        <f ca="1">'Production cost'!J636</f>
        <v>Sheets</v>
      </c>
      <c r="K290" s="360">
        <f>'Production cost'!$K636</f>
        <v>0</v>
      </c>
      <c r="L290" s="313">
        <f ca="1">'Production cost'!$L636</f>
        <v>0</v>
      </c>
      <c r="M290" s="391">
        <f ca="1">'Production cost'!$M636</f>
        <v>0</v>
      </c>
      <c r="N290" s="983">
        <f t="shared" ca="1" si="33"/>
        <v>0</v>
      </c>
      <c r="P290" s="313">
        <f>'Production cost'!$P636</f>
        <v>59357.701116720593</v>
      </c>
      <c r="Q290" s="313">
        <f t="shared" ca="1" si="34"/>
        <v>0</v>
      </c>
      <c r="R290" s="313">
        <f t="shared" ca="1" si="37"/>
        <v>0</v>
      </c>
      <c r="S290" s="1741">
        <f t="shared" ca="1" si="38"/>
        <v>0</v>
      </c>
      <c r="T290" s="313" t="str">
        <f ca="1">'Production cost'!$T636</f>
        <v>N</v>
      </c>
      <c r="AL290" s="313"/>
      <c r="AM290" s="363"/>
      <c r="AN290" s="385"/>
    </row>
    <row r="291" spans="2:40" ht="12.75" outlineLevel="1">
      <c r="B291" s="1258" t="s">
        <v>179</v>
      </c>
      <c r="C291" s="313" t="str">
        <f ca="1">'Production cost'!C637</f>
        <v>N</v>
      </c>
      <c r="D291" s="1739">
        <f>'Production cost'!D637</f>
        <v>1</v>
      </c>
      <c r="E291" s="1740">
        <f>'Production cost'!E637</f>
        <v>1</v>
      </c>
      <c r="F291" s="363" t="str">
        <f ca="1">'Production cost'!F637</f>
        <v>N</v>
      </c>
      <c r="G291" s="363"/>
      <c r="H291" s="313">
        <f ca="1">IFERROR(IF($F291="PCS",$E$4*$D291/$E291,VLOOKUP($F291,'Proof cost'!$I$23:$X$55,2,0)),0)</f>
        <v>0</v>
      </c>
      <c r="I291" s="313">
        <f ca="1">'Production cost'!I637</f>
        <v>2000</v>
      </c>
      <c r="J291" s="313" t="str">
        <f ca="1">'Production cost'!J637</f>
        <v>Sheets</v>
      </c>
      <c r="K291" s="360">
        <f>'Production cost'!$K637</f>
        <v>0</v>
      </c>
      <c r="L291" s="313">
        <f ca="1">'Production cost'!$L637</f>
        <v>0</v>
      </c>
      <c r="M291" s="391">
        <f ca="1">'Production cost'!$M637</f>
        <v>0</v>
      </c>
      <c r="N291" s="983">
        <f t="shared" ca="1" si="33"/>
        <v>0</v>
      </c>
      <c r="P291" s="313">
        <f>'Production cost'!$P637</f>
        <v>59357.701116720593</v>
      </c>
      <c r="Q291" s="313">
        <f t="shared" ca="1" si="34"/>
        <v>0</v>
      </c>
      <c r="R291" s="313">
        <f t="shared" ca="1" si="37"/>
        <v>0</v>
      </c>
      <c r="S291" s="1741">
        <f t="shared" ca="1" si="38"/>
        <v>0</v>
      </c>
      <c r="T291" s="313" t="str">
        <f ca="1">'Production cost'!$T637</f>
        <v>N</v>
      </c>
      <c r="AL291" s="313"/>
      <c r="AM291" s="363"/>
      <c r="AN291" s="385"/>
    </row>
    <row r="292" spans="2:40" ht="12.75" outlineLevel="1">
      <c r="B292" s="1258" t="s">
        <v>179</v>
      </c>
      <c r="C292" s="313" t="str">
        <f ca="1">'Production cost'!C638</f>
        <v>N</v>
      </c>
      <c r="D292" s="1739">
        <f>'Production cost'!D638</f>
        <v>1</v>
      </c>
      <c r="E292" s="1740">
        <f>'Production cost'!E638</f>
        <v>1</v>
      </c>
      <c r="F292" s="363" t="str">
        <f ca="1">'Production cost'!F638</f>
        <v>N</v>
      </c>
      <c r="G292" s="363"/>
      <c r="H292" s="313">
        <f ca="1">IFERROR(IF($F292="PCS",$E$4*$D292/$E292,VLOOKUP($F292,'Proof cost'!$I$23:$X$55,2,0)),0)</f>
        <v>0</v>
      </c>
      <c r="I292" s="313">
        <f ca="1">'Production cost'!I638</f>
        <v>2000</v>
      </c>
      <c r="J292" s="313" t="str">
        <f ca="1">'Production cost'!J638</f>
        <v>Sheets</v>
      </c>
      <c r="K292" s="360">
        <f>'Production cost'!$K638</f>
        <v>0</v>
      </c>
      <c r="L292" s="313">
        <f ca="1">'Production cost'!$L638</f>
        <v>0</v>
      </c>
      <c r="M292" s="391">
        <f ca="1">'Production cost'!$M638</f>
        <v>0</v>
      </c>
      <c r="N292" s="983">
        <f t="shared" ca="1" si="33"/>
        <v>0</v>
      </c>
      <c r="P292" s="313">
        <f>'Production cost'!$P638</f>
        <v>59357.701116720593</v>
      </c>
      <c r="Q292" s="313">
        <f t="shared" ca="1" si="34"/>
        <v>0</v>
      </c>
      <c r="R292" s="313">
        <f t="shared" ca="1" si="37"/>
        <v>0</v>
      </c>
      <c r="S292" s="1741">
        <f t="shared" ca="1" si="38"/>
        <v>0</v>
      </c>
      <c r="T292" s="313" t="str">
        <f ca="1">'Production cost'!$T638</f>
        <v>N</v>
      </c>
      <c r="AL292" s="313"/>
      <c r="AM292" s="363"/>
      <c r="AN292" s="385"/>
    </row>
    <row r="293" spans="2:40" ht="12.75" outlineLevel="1">
      <c r="B293" s="1258" t="s">
        <v>179</v>
      </c>
      <c r="C293" s="313" t="str">
        <f ca="1">'Production cost'!C639</f>
        <v>N</v>
      </c>
      <c r="D293" s="1739">
        <f>'Production cost'!D639</f>
        <v>1</v>
      </c>
      <c r="E293" s="1740">
        <f>'Production cost'!E639</f>
        <v>1</v>
      </c>
      <c r="F293" s="363" t="str">
        <f ca="1">'Production cost'!F639</f>
        <v>N</v>
      </c>
      <c r="G293" s="363"/>
      <c r="H293" s="313">
        <f ca="1">IFERROR(IF($F293="PCS",$E$4*$D293/$E293,VLOOKUP($F293,'Proof cost'!$I$23:$X$55,2,0)),0)</f>
        <v>0</v>
      </c>
      <c r="I293" s="313">
        <f ca="1">'Production cost'!I639</f>
        <v>2000</v>
      </c>
      <c r="J293" s="313" t="str">
        <f ca="1">'Production cost'!J639</f>
        <v>Sheets</v>
      </c>
      <c r="K293" s="360">
        <f>'Production cost'!$K639</f>
        <v>0</v>
      </c>
      <c r="L293" s="313">
        <f ca="1">'Production cost'!$L639</f>
        <v>0</v>
      </c>
      <c r="M293" s="391">
        <f ca="1">'Production cost'!$M639</f>
        <v>0</v>
      </c>
      <c r="N293" s="983">
        <f t="shared" ca="1" si="33"/>
        <v>0</v>
      </c>
      <c r="P293" s="313">
        <f>'Production cost'!$P639</f>
        <v>59357.701116720593</v>
      </c>
      <c r="Q293" s="313">
        <f t="shared" ca="1" si="34"/>
        <v>0</v>
      </c>
      <c r="R293" s="313">
        <f t="shared" ca="1" si="37"/>
        <v>0</v>
      </c>
      <c r="S293" s="1741">
        <f t="shared" ca="1" si="38"/>
        <v>0</v>
      </c>
      <c r="T293" s="313" t="str">
        <f ca="1">'Production cost'!$T639</f>
        <v>N</v>
      </c>
      <c r="AL293" s="313"/>
      <c r="AM293" s="363"/>
      <c r="AN293" s="385"/>
    </row>
    <row r="294" spans="2:40" ht="12.75" outlineLevel="1">
      <c r="B294" s="1258" t="s">
        <v>179</v>
      </c>
      <c r="C294" s="313" t="str">
        <f ca="1">'Production cost'!C640</f>
        <v>N</v>
      </c>
      <c r="D294" s="1739">
        <f>'Production cost'!D640</f>
        <v>1</v>
      </c>
      <c r="E294" s="1740">
        <f>'Production cost'!E640</f>
        <v>1</v>
      </c>
      <c r="F294" s="363" t="str">
        <f ca="1">'Production cost'!F640</f>
        <v>N</v>
      </c>
      <c r="G294" s="363"/>
      <c r="H294" s="313">
        <f ca="1">IFERROR(IF($F294="PCS",$E$4*$D294/$E294,VLOOKUP($F294,'Proof cost'!$I$23:$X$55,2,0)),0)</f>
        <v>0</v>
      </c>
      <c r="I294" s="313">
        <f ca="1">'Production cost'!I640</f>
        <v>2000</v>
      </c>
      <c r="J294" s="313" t="str">
        <f ca="1">'Production cost'!J640</f>
        <v>Sheets</v>
      </c>
      <c r="K294" s="360">
        <f>'Production cost'!$K640</f>
        <v>0</v>
      </c>
      <c r="L294" s="313">
        <f ca="1">'Production cost'!$L640</f>
        <v>0</v>
      </c>
      <c r="M294" s="391">
        <f ca="1">'Production cost'!$M640</f>
        <v>0</v>
      </c>
      <c r="N294" s="983">
        <f t="shared" ca="1" si="33"/>
        <v>0</v>
      </c>
      <c r="P294" s="313">
        <f>'Production cost'!$P640</f>
        <v>59357.701116720593</v>
      </c>
      <c r="Q294" s="313">
        <f t="shared" ca="1" si="34"/>
        <v>0</v>
      </c>
      <c r="R294" s="313">
        <f t="shared" ca="1" si="37"/>
        <v>0</v>
      </c>
      <c r="S294" s="1741">
        <f t="shared" ca="1" si="38"/>
        <v>0</v>
      </c>
      <c r="T294" s="313" t="str">
        <f ca="1">'Production cost'!$T640</f>
        <v>N</v>
      </c>
      <c r="AL294" s="313"/>
      <c r="AM294" s="363"/>
      <c r="AN294" s="385"/>
    </row>
    <row r="295" spans="2:40" ht="12.75" outlineLevel="1">
      <c r="B295" s="1258" t="s">
        <v>179</v>
      </c>
      <c r="C295" s="313" t="str">
        <f ca="1">'Production cost'!C641</f>
        <v>N</v>
      </c>
      <c r="D295" s="1739">
        <f>'Production cost'!D641</f>
        <v>1</v>
      </c>
      <c r="E295" s="1740">
        <f>'Production cost'!E641</f>
        <v>1</v>
      </c>
      <c r="F295" s="363" t="str">
        <f ca="1">'Production cost'!F641</f>
        <v>N</v>
      </c>
      <c r="G295" s="363"/>
      <c r="H295" s="313">
        <f ca="1">IFERROR(IF($F295="PCS",$E$4*$D295/$E295,VLOOKUP($F295,'Proof cost'!$I$23:$X$55,2,0)),0)</f>
        <v>0</v>
      </c>
      <c r="I295" s="313">
        <f ca="1">'Production cost'!I641</f>
        <v>2000</v>
      </c>
      <c r="J295" s="313" t="str">
        <f ca="1">'Production cost'!J641</f>
        <v>Sheets</v>
      </c>
      <c r="K295" s="360">
        <f>'Production cost'!$K641</f>
        <v>0</v>
      </c>
      <c r="L295" s="313">
        <f ca="1">'Production cost'!$L641</f>
        <v>0</v>
      </c>
      <c r="M295" s="391">
        <f ca="1">'Production cost'!$M641</f>
        <v>0</v>
      </c>
      <c r="N295" s="983">
        <f t="shared" ca="1" si="33"/>
        <v>0</v>
      </c>
      <c r="P295" s="313">
        <f>'Production cost'!$P641</f>
        <v>59357.701116720593</v>
      </c>
      <c r="Q295" s="313">
        <f t="shared" ca="1" si="34"/>
        <v>0</v>
      </c>
      <c r="R295" s="313">
        <f t="shared" ca="1" si="37"/>
        <v>0</v>
      </c>
      <c r="S295" s="1741">
        <f t="shared" ca="1" si="38"/>
        <v>0</v>
      </c>
      <c r="T295" s="313" t="str">
        <f ca="1">'Production cost'!$T641</f>
        <v>N</v>
      </c>
      <c r="AL295" s="313"/>
      <c r="AM295" s="363"/>
      <c r="AN295" s="385"/>
    </row>
    <row r="296" spans="2:40" ht="12.75" outlineLevel="1">
      <c r="B296" s="1258" t="s">
        <v>179</v>
      </c>
      <c r="C296" s="313" t="str">
        <f ca="1">'Production cost'!C642</f>
        <v>N</v>
      </c>
      <c r="D296" s="1739">
        <f>'Production cost'!D642</f>
        <v>1</v>
      </c>
      <c r="E296" s="1740">
        <f>'Production cost'!E642</f>
        <v>1</v>
      </c>
      <c r="F296" s="363" t="str">
        <f ca="1">'Production cost'!F642</f>
        <v>N</v>
      </c>
      <c r="G296" s="363"/>
      <c r="H296" s="313">
        <f ca="1">IFERROR(IF($F296="PCS",$E$4*$D296/$E296,VLOOKUP($F296,'Proof cost'!$I$23:$X$55,2,0)),0)</f>
        <v>0</v>
      </c>
      <c r="I296" s="313">
        <f ca="1">'Production cost'!I642</f>
        <v>2000</v>
      </c>
      <c r="J296" s="313" t="str">
        <f ca="1">'Production cost'!J642</f>
        <v>Sheets</v>
      </c>
      <c r="K296" s="360">
        <f>'Production cost'!$K642</f>
        <v>0</v>
      </c>
      <c r="L296" s="313">
        <f ca="1">'Production cost'!$L642</f>
        <v>0</v>
      </c>
      <c r="M296" s="391">
        <f ca="1">'Production cost'!$M642</f>
        <v>0</v>
      </c>
      <c r="N296" s="983">
        <f t="shared" ca="1" si="33"/>
        <v>0</v>
      </c>
      <c r="P296" s="313">
        <f>'Production cost'!$P642</f>
        <v>59357.701116720593</v>
      </c>
      <c r="Q296" s="313">
        <f t="shared" ca="1" si="34"/>
        <v>0</v>
      </c>
      <c r="R296" s="313">
        <f t="shared" ca="1" si="37"/>
        <v>0</v>
      </c>
      <c r="S296" s="1741">
        <f t="shared" ca="1" si="38"/>
        <v>0</v>
      </c>
      <c r="T296" s="313" t="str">
        <f ca="1">'Production cost'!$T642</f>
        <v>N</v>
      </c>
      <c r="AL296" s="313"/>
      <c r="AM296" s="363"/>
      <c r="AN296" s="385"/>
    </row>
    <row r="297" spans="2:40" ht="12.75" outlineLevel="1">
      <c r="B297" s="1258" t="s">
        <v>179</v>
      </c>
      <c r="C297" s="313" t="str">
        <f ca="1">'Production cost'!C643</f>
        <v>N</v>
      </c>
      <c r="D297" s="1739">
        <f>'Production cost'!D643</f>
        <v>1</v>
      </c>
      <c r="E297" s="1740">
        <f>'Production cost'!E643</f>
        <v>1</v>
      </c>
      <c r="F297" s="363" t="str">
        <f ca="1">'Production cost'!F643</f>
        <v>N</v>
      </c>
      <c r="G297" s="363"/>
      <c r="H297" s="313">
        <f ca="1">IFERROR(IF($F297="PCS",$E$4*$D297/$E297,VLOOKUP($F297,'Proof cost'!$I$23:$X$55,2,0)),0)</f>
        <v>0</v>
      </c>
      <c r="I297" s="313">
        <f ca="1">'Production cost'!I643</f>
        <v>2000</v>
      </c>
      <c r="J297" s="313" t="str">
        <f ca="1">'Production cost'!J643</f>
        <v>Sheets</v>
      </c>
      <c r="K297" s="360">
        <f>'Production cost'!$K643</f>
        <v>0</v>
      </c>
      <c r="L297" s="313">
        <f ca="1">'Production cost'!$L643</f>
        <v>0</v>
      </c>
      <c r="M297" s="391">
        <f ca="1">'Production cost'!$M643</f>
        <v>0</v>
      </c>
      <c r="N297" s="983">
        <f t="shared" ca="1" si="33"/>
        <v>0</v>
      </c>
      <c r="P297" s="313">
        <f>'Production cost'!$P643</f>
        <v>59357.701116720593</v>
      </c>
      <c r="Q297" s="313">
        <f t="shared" ca="1" si="34"/>
        <v>0</v>
      </c>
      <c r="R297" s="313">
        <f t="shared" ca="1" si="37"/>
        <v>0</v>
      </c>
      <c r="S297" s="1741">
        <f t="shared" ca="1" si="38"/>
        <v>0</v>
      </c>
      <c r="T297" s="313" t="str">
        <f ca="1">'Production cost'!$T643</f>
        <v>N</v>
      </c>
      <c r="AL297" s="313"/>
      <c r="AM297" s="363"/>
      <c r="AN297" s="385"/>
    </row>
    <row r="298" spans="2:40" ht="12.75" outlineLevel="1">
      <c r="B298" s="1258" t="s">
        <v>179</v>
      </c>
      <c r="C298" s="313" t="str">
        <f ca="1">'Production cost'!C644</f>
        <v>N</v>
      </c>
      <c r="D298" s="1739">
        <f>'Production cost'!D644</f>
        <v>1</v>
      </c>
      <c r="E298" s="1740">
        <f>'Production cost'!E644</f>
        <v>1</v>
      </c>
      <c r="F298" s="363" t="str">
        <f ca="1">'Production cost'!F644</f>
        <v>N</v>
      </c>
      <c r="G298" s="363"/>
      <c r="H298" s="313">
        <f ca="1">IFERROR(IF($F298="PCS",$E$4*$D298/$E298,VLOOKUP($F298,'Proof cost'!$I$23:$X$55,2,0)),0)</f>
        <v>0</v>
      </c>
      <c r="I298" s="313">
        <f ca="1">'Production cost'!I644</f>
        <v>2000</v>
      </c>
      <c r="J298" s="313" t="str">
        <f ca="1">'Production cost'!J644</f>
        <v>Sheets</v>
      </c>
      <c r="K298" s="360">
        <f>'Production cost'!$K644</f>
        <v>0</v>
      </c>
      <c r="L298" s="313">
        <f ca="1">'Production cost'!$L644</f>
        <v>0</v>
      </c>
      <c r="M298" s="391">
        <f ca="1">'Production cost'!$M644</f>
        <v>0</v>
      </c>
      <c r="N298" s="983">
        <f t="shared" ca="1" si="33"/>
        <v>0</v>
      </c>
      <c r="P298" s="313">
        <f>'Production cost'!$P644</f>
        <v>52580.182439963428</v>
      </c>
      <c r="Q298" s="313">
        <f t="shared" ca="1" si="34"/>
        <v>0</v>
      </c>
      <c r="R298" s="313">
        <f t="shared" ca="1" si="37"/>
        <v>0</v>
      </c>
      <c r="S298" s="1741">
        <f t="shared" ca="1" si="38"/>
        <v>0</v>
      </c>
      <c r="T298" s="313" t="str">
        <f ca="1">'Production cost'!$T644</f>
        <v>N</v>
      </c>
      <c r="AL298" s="313"/>
      <c r="AM298" s="363"/>
      <c r="AN298" s="385"/>
    </row>
    <row r="299" spans="2:40" ht="12.75" outlineLevel="1">
      <c r="B299" s="1258" t="s">
        <v>179</v>
      </c>
      <c r="C299" s="313" t="str">
        <f ca="1">'Production cost'!C670</f>
        <v>N</v>
      </c>
      <c r="D299" s="1739">
        <f>'Production cost'!D670</f>
        <v>1</v>
      </c>
      <c r="E299" s="1740">
        <f>'Production cost'!E670</f>
        <v>1</v>
      </c>
      <c r="F299" s="363" t="str">
        <f ca="1">'Production cost'!F670</f>
        <v>N</v>
      </c>
      <c r="G299" s="363"/>
      <c r="H299" s="313">
        <f ca="1">IFERROR(IF($F299="PCS",$E$4*$D299/$E299,VLOOKUP($F299,'Proof cost'!$I$23:$X$55,2,0)),0)</f>
        <v>0</v>
      </c>
      <c r="I299" s="313">
        <f ca="1">'Production cost'!I670</f>
        <v>2000</v>
      </c>
      <c r="J299" s="313" t="str">
        <f ca="1">'Production cost'!J670</f>
        <v>Sheets</v>
      </c>
      <c r="K299" s="360">
        <f>'Production cost'!$K670</f>
        <v>0</v>
      </c>
      <c r="L299" s="313">
        <f ca="1">'Production cost'!$L670</f>
        <v>0</v>
      </c>
      <c r="M299" s="391">
        <f ca="1">'Production cost'!$M670</f>
        <v>0</v>
      </c>
      <c r="N299" s="983">
        <f t="shared" ca="1" si="33"/>
        <v>0</v>
      </c>
      <c r="P299" s="313">
        <f>'Production cost'!$P670</f>
        <v>52580.182439963428</v>
      </c>
      <c r="Q299" s="313">
        <f t="shared" ca="1" si="34"/>
        <v>0</v>
      </c>
      <c r="R299" s="313">
        <f t="shared" ca="1" si="37"/>
        <v>0</v>
      </c>
      <c r="S299" s="1741">
        <f t="shared" ca="1" si="38"/>
        <v>0</v>
      </c>
      <c r="T299" s="313" t="str">
        <f ca="1">'Production cost'!$T670</f>
        <v>N</v>
      </c>
      <c r="AL299" s="313"/>
      <c r="AM299" s="363"/>
      <c r="AN299" s="385"/>
    </row>
    <row r="300" spans="2:40" ht="12.75" outlineLevel="1">
      <c r="B300" s="1258" t="s">
        <v>179</v>
      </c>
      <c r="C300" s="313" t="str">
        <f ca="1">'Production cost'!C671</f>
        <v>N</v>
      </c>
      <c r="D300" s="1739">
        <f>'Production cost'!D671</f>
        <v>1</v>
      </c>
      <c r="E300" s="1740">
        <f>'Production cost'!E671</f>
        <v>1</v>
      </c>
      <c r="F300" s="363" t="str">
        <f ca="1">'Production cost'!F671</f>
        <v>N</v>
      </c>
      <c r="G300" s="363"/>
      <c r="H300" s="313">
        <f ca="1">IFERROR(IF($F300="PCS",$E$4*$D300/$E300,VLOOKUP($F300,'Proof cost'!$I$23:$X$55,2,0)),0)</f>
        <v>0</v>
      </c>
      <c r="I300" s="313">
        <f ca="1">'Production cost'!I671</f>
        <v>2000</v>
      </c>
      <c r="J300" s="313" t="str">
        <f ca="1">'Production cost'!J671</f>
        <v>Sheets</v>
      </c>
      <c r="K300" s="360">
        <f>'Production cost'!$K671</f>
        <v>0</v>
      </c>
      <c r="L300" s="313">
        <f ca="1">'Production cost'!$L671</f>
        <v>0</v>
      </c>
      <c r="M300" s="391">
        <f ca="1">'Production cost'!$M671</f>
        <v>0</v>
      </c>
      <c r="N300" s="983">
        <f t="shared" ca="1" si="33"/>
        <v>0</v>
      </c>
      <c r="P300" s="313">
        <f>'Production cost'!$P671</f>
        <v>52580.182439963428</v>
      </c>
      <c r="Q300" s="313">
        <f t="shared" ca="1" si="34"/>
        <v>0</v>
      </c>
      <c r="R300" s="313">
        <f t="shared" ca="1" si="37"/>
        <v>0</v>
      </c>
      <c r="S300" s="1741">
        <f t="shared" ca="1" si="38"/>
        <v>0</v>
      </c>
      <c r="T300" s="313" t="str">
        <f ca="1">'Production cost'!$T671</f>
        <v>N</v>
      </c>
      <c r="AL300" s="313"/>
      <c r="AM300" s="363"/>
      <c r="AN300" s="385"/>
    </row>
    <row r="301" spans="2:40" ht="12.75" outlineLevel="1">
      <c r="B301" s="1258" t="s">
        <v>179</v>
      </c>
      <c r="C301" s="313" t="str">
        <f ca="1">'Production cost'!C672</f>
        <v>N</v>
      </c>
      <c r="D301" s="1739">
        <f>'Production cost'!D672</f>
        <v>1</v>
      </c>
      <c r="E301" s="1740">
        <f>'Production cost'!E672</f>
        <v>1</v>
      </c>
      <c r="F301" s="363" t="str">
        <f ca="1">'Production cost'!F672</f>
        <v>N</v>
      </c>
      <c r="G301" s="363"/>
      <c r="H301" s="313">
        <f ca="1">IFERROR(IF($F301="PCS",$E$4*$D301/$E301,VLOOKUP($F301,'Proof cost'!$I$23:$X$55,2,0)),0)</f>
        <v>0</v>
      </c>
      <c r="I301" s="313">
        <f ca="1">'Production cost'!I672</f>
        <v>2000</v>
      </c>
      <c r="J301" s="313" t="str">
        <f ca="1">'Production cost'!J672</f>
        <v>Sheets</v>
      </c>
      <c r="K301" s="360">
        <f>'Production cost'!$K672</f>
        <v>0</v>
      </c>
      <c r="L301" s="313">
        <f ca="1">'Production cost'!$L672</f>
        <v>0</v>
      </c>
      <c r="M301" s="391">
        <f ca="1">'Production cost'!$M672</f>
        <v>0</v>
      </c>
      <c r="N301" s="983">
        <f t="shared" ca="1" si="33"/>
        <v>0</v>
      </c>
      <c r="P301" s="313">
        <f>'Production cost'!$P672</f>
        <v>52580.182439963428</v>
      </c>
      <c r="Q301" s="313">
        <f t="shared" ca="1" si="34"/>
        <v>0</v>
      </c>
      <c r="R301" s="313">
        <f t="shared" ca="1" si="37"/>
        <v>0</v>
      </c>
      <c r="S301" s="1741">
        <f t="shared" ca="1" si="38"/>
        <v>0</v>
      </c>
      <c r="T301" s="313" t="str">
        <f ca="1">'Production cost'!$T672</f>
        <v>N</v>
      </c>
      <c r="AL301" s="313"/>
      <c r="AM301" s="363"/>
      <c r="AN301" s="385"/>
    </row>
    <row r="302" spans="2:40" ht="12.75" outlineLevel="1">
      <c r="B302" s="1258" t="s">
        <v>179</v>
      </c>
      <c r="C302" s="313" t="str">
        <f ca="1">'Production cost'!C673</f>
        <v>N</v>
      </c>
      <c r="D302" s="1739">
        <f>'Production cost'!D673</f>
        <v>1</v>
      </c>
      <c r="E302" s="1740">
        <f>'Production cost'!E673</f>
        <v>1</v>
      </c>
      <c r="F302" s="363" t="str">
        <f ca="1">'Production cost'!F673</f>
        <v>N</v>
      </c>
      <c r="G302" s="363"/>
      <c r="H302" s="313">
        <f ca="1">IFERROR(IF($F302="PCS",$E$4*$D302/$E302,VLOOKUP($F302,'Proof cost'!$I$23:$X$55,2,0)),0)</f>
        <v>0</v>
      </c>
      <c r="I302" s="313">
        <f ca="1">'Production cost'!I673</f>
        <v>2000</v>
      </c>
      <c r="J302" s="313" t="str">
        <f ca="1">'Production cost'!J673</f>
        <v>Sheets</v>
      </c>
      <c r="K302" s="360">
        <f>'Production cost'!$K673</f>
        <v>0</v>
      </c>
      <c r="L302" s="313">
        <f ca="1">'Production cost'!$L673</f>
        <v>0</v>
      </c>
      <c r="M302" s="391">
        <f ca="1">'Production cost'!$M673</f>
        <v>0</v>
      </c>
      <c r="N302" s="983">
        <f t="shared" ca="1" si="33"/>
        <v>0</v>
      </c>
      <c r="P302" s="313">
        <f>'Production cost'!$P673</f>
        <v>52580.182439963428</v>
      </c>
      <c r="Q302" s="313">
        <f t="shared" ca="1" si="34"/>
        <v>0</v>
      </c>
      <c r="R302" s="313">
        <f t="shared" ca="1" si="37"/>
        <v>0</v>
      </c>
      <c r="S302" s="1741">
        <f t="shared" ca="1" si="38"/>
        <v>0</v>
      </c>
      <c r="T302" s="313" t="str">
        <f ca="1">'Production cost'!$T673</f>
        <v>N</v>
      </c>
      <c r="AL302" s="313"/>
      <c r="AM302" s="363"/>
      <c r="AN302" s="385"/>
    </row>
    <row r="303" spans="2:40" ht="12.75" outlineLevel="1">
      <c r="B303" s="1258" t="s">
        <v>179</v>
      </c>
      <c r="C303" s="313" t="str">
        <f ca="1">'Production cost'!C674</f>
        <v>N</v>
      </c>
      <c r="D303" s="1739">
        <f>'Production cost'!D674</f>
        <v>1</v>
      </c>
      <c r="E303" s="1740">
        <f>'Production cost'!E674</f>
        <v>1</v>
      </c>
      <c r="F303" s="363" t="str">
        <f ca="1">'Production cost'!F674</f>
        <v>N</v>
      </c>
      <c r="G303" s="363"/>
      <c r="H303" s="313">
        <f ca="1">IFERROR(IF($F303="PCS",$E$4*$D303/$E303,VLOOKUP($F303,'Proof cost'!$I$23:$X$55,2,0)),0)</f>
        <v>0</v>
      </c>
      <c r="I303" s="313">
        <f ca="1">'Production cost'!I674</f>
        <v>2000</v>
      </c>
      <c r="J303" s="313" t="str">
        <f ca="1">'Production cost'!J674</f>
        <v>Sheets</v>
      </c>
      <c r="K303" s="360">
        <f>'Production cost'!$K674</f>
        <v>0</v>
      </c>
      <c r="L303" s="313">
        <f ca="1">'Production cost'!$L674</f>
        <v>0</v>
      </c>
      <c r="M303" s="391">
        <f ca="1">'Production cost'!$M674</f>
        <v>0</v>
      </c>
      <c r="N303" s="983">
        <f t="shared" ca="1" si="33"/>
        <v>0</v>
      </c>
      <c r="P303" s="313">
        <f>'Production cost'!$P674</f>
        <v>52580.182439963428</v>
      </c>
      <c r="Q303" s="313">
        <f t="shared" ca="1" si="34"/>
        <v>0</v>
      </c>
      <c r="R303" s="313">
        <f t="shared" ca="1" si="37"/>
        <v>0</v>
      </c>
      <c r="S303" s="1741">
        <f t="shared" ca="1" si="38"/>
        <v>0</v>
      </c>
      <c r="T303" s="313" t="str">
        <f ca="1">'Production cost'!$T674</f>
        <v>N</v>
      </c>
      <c r="AL303" s="313"/>
      <c r="AM303" s="363"/>
      <c r="AN303" s="385"/>
    </row>
    <row r="304" spans="2:40" ht="12.75" outlineLevel="1">
      <c r="B304" s="1259" t="s">
        <v>179</v>
      </c>
      <c r="C304" s="1260">
        <f>'Production cost'!C694</f>
        <v>0</v>
      </c>
      <c r="D304" s="2156">
        <f>'Production cost'!D694</f>
        <v>1</v>
      </c>
      <c r="E304" s="2157">
        <f>'Production cost'!E694</f>
        <v>1</v>
      </c>
      <c r="F304" s="2158" t="str">
        <f>'Production cost'!F694</f>
        <v>N</v>
      </c>
      <c r="G304" s="2158"/>
      <c r="H304" s="1260">
        <f>IFERROR(IF($F304="PCS",$E$4*$D304/$E304,VLOOKUP($F304,'Proof cost'!$I$23:$X$55,2,0)),0)</f>
        <v>0</v>
      </c>
      <c r="I304" s="1260">
        <f>'Production cost'!I694</f>
        <v>2000</v>
      </c>
      <c r="J304" s="1260" t="str">
        <f>'Production cost'!J694</f>
        <v>Sheets</v>
      </c>
      <c r="K304" s="2159">
        <f>'Production cost'!$K694</f>
        <v>0</v>
      </c>
      <c r="L304" s="1260">
        <f>'Production cost'!$L694</f>
        <v>0</v>
      </c>
      <c r="M304" s="2160">
        <f ca="1">'Production cost'!$M694</f>
        <v>0</v>
      </c>
      <c r="N304" s="2161">
        <f t="shared" si="33"/>
        <v>0</v>
      </c>
      <c r="O304" s="1260"/>
      <c r="P304" s="1260">
        <f>'Production cost'!$P694</f>
        <v>52580.182439963428</v>
      </c>
      <c r="Q304" s="1260">
        <f t="shared" si="34"/>
        <v>0</v>
      </c>
      <c r="R304" s="1260">
        <f t="shared" si="37"/>
        <v>0</v>
      </c>
      <c r="S304" s="2162">
        <f t="shared" ca="1" si="38"/>
        <v>0</v>
      </c>
      <c r="T304" s="313">
        <f>'Production cost'!$T694</f>
        <v>0</v>
      </c>
      <c r="AL304" s="313"/>
      <c r="AM304" s="363"/>
      <c r="AN304" s="385"/>
    </row>
    <row r="305" spans="1:43" ht="12.75">
      <c r="G305" s="1270"/>
      <c r="N305" s="391"/>
      <c r="AL305" s="313"/>
      <c r="AM305" s="363"/>
      <c r="AN305" s="385"/>
    </row>
    <row r="306" spans="1:43" ht="12.75" outlineLevel="1">
      <c r="A306" s="385" t="s">
        <v>255</v>
      </c>
      <c r="B306" s="1255" t="s">
        <v>255</v>
      </c>
      <c r="C306" s="1256"/>
      <c r="D306" s="1256"/>
      <c r="E306" s="2144"/>
      <c r="F306" s="2154" t="s">
        <v>106</v>
      </c>
      <c r="G306" s="2144"/>
      <c r="H306" s="1256">
        <f>IFERROR(IF($F306="PCS",$E$4,VLOOKUP($F306,'Proof cost'!$I$23:$X$55,2,0)),0)</f>
        <v>0</v>
      </c>
      <c r="I306" s="1256">
        <v>0</v>
      </c>
      <c r="J306" s="1256" t="s">
        <v>31</v>
      </c>
      <c r="K306" s="2145">
        <v>0</v>
      </c>
      <c r="L306" s="1256">
        <v>0</v>
      </c>
      <c r="M306" s="2146">
        <f>IF(H306&gt;0,90/60,0)</f>
        <v>0</v>
      </c>
      <c r="N306" s="983">
        <f t="shared" si="33"/>
        <v>0</v>
      </c>
      <c r="O306" s="1256"/>
      <c r="P306" s="1256">
        <f>Data!$N$1197</f>
        <v>0</v>
      </c>
      <c r="Q306" s="1256">
        <f>(N306*O306*K306+N306*P306*L306)*(1+$R$312)</f>
        <v>0</v>
      </c>
      <c r="R306" s="1257">
        <f>IF($E$2&gt;0,Q306/$E$2,0)</f>
        <v>0</v>
      </c>
      <c r="T306" s="2170"/>
      <c r="AL306" s="313"/>
      <c r="AM306" s="363"/>
      <c r="AN306" s="385"/>
    </row>
    <row r="307" spans="1:43" ht="12.75" outlineLevel="1">
      <c r="A307" s="385"/>
      <c r="B307" s="1738" t="s">
        <v>255</v>
      </c>
      <c r="E307" s="363"/>
      <c r="F307" s="1579" t="s">
        <v>106</v>
      </c>
      <c r="G307" s="363"/>
      <c r="H307" s="313">
        <f ca="1">IF(F307="PCS",$E$4,SUMIFS(Paper!$AC$7:$AC$58,Paper!$A$7:$A$58,'Proof - Pro'!F307))*IF(F307="Pcs",D307/E307,1)</f>
        <v>0</v>
      </c>
      <c r="I307" s="313">
        <v>0</v>
      </c>
      <c r="J307" s="313" t="s">
        <v>31</v>
      </c>
      <c r="K307" s="360">
        <v>0</v>
      </c>
      <c r="L307" s="313">
        <v>0</v>
      </c>
      <c r="M307" s="391">
        <f ca="1">IF(H307&gt;0,90/60,0)</f>
        <v>0</v>
      </c>
      <c r="N307" s="983">
        <f t="shared" ca="1" si="33"/>
        <v>0</v>
      </c>
      <c r="P307" s="313">
        <f>Data!$N$1197</f>
        <v>0</v>
      </c>
      <c r="Q307" s="313">
        <f ca="1">(N307*O307*K307+N307*P307*L307)*(1+$R$312)</f>
        <v>0</v>
      </c>
      <c r="R307" s="1741">
        <f ca="1">IF($E$2&gt;0,Q307/$E$2,0)</f>
        <v>0</v>
      </c>
      <c r="T307" s="2170"/>
      <c r="AL307" s="313"/>
      <c r="AM307" s="363"/>
      <c r="AN307" s="385"/>
    </row>
    <row r="308" spans="1:43" ht="12.75" outlineLevel="1">
      <c r="A308" s="385" t="s">
        <v>256</v>
      </c>
      <c r="B308" s="1738" t="s">
        <v>256</v>
      </c>
      <c r="E308" s="363"/>
      <c r="F308" s="1579" t="s">
        <v>106</v>
      </c>
      <c r="G308" s="363"/>
      <c r="H308" s="313">
        <f ca="1">IF(F308="PCS",$E$4,SUMIFS(Paper!$AC$7:$AC$58,Paper!$A$7:$A$58,'Proof - Pro'!F308))*IF(F308="Pcs",D308/E308,1)</f>
        <v>0</v>
      </c>
      <c r="I308" s="313">
        <v>0</v>
      </c>
      <c r="J308" s="313" t="s">
        <v>31</v>
      </c>
      <c r="K308" s="360">
        <v>0</v>
      </c>
      <c r="L308" s="313">
        <v>0</v>
      </c>
      <c r="M308" s="391">
        <f ca="1">IF(H308&gt;0,90/60,0)</f>
        <v>0</v>
      </c>
      <c r="N308" s="983">
        <f t="shared" ca="1" si="33"/>
        <v>0</v>
      </c>
      <c r="P308" s="313">
        <f>Data!$N$1197</f>
        <v>0</v>
      </c>
      <c r="Q308" s="313">
        <f ca="1">(N308*O308*K308+N308*P308*L308)*(1+$R$312)</f>
        <v>0</v>
      </c>
      <c r="R308" s="1741">
        <f ca="1">IF($E$2&gt;0,Q308/$E$2,0)</f>
        <v>0</v>
      </c>
      <c r="T308" s="2170"/>
      <c r="AC308" s="1057"/>
      <c r="AL308" s="313"/>
      <c r="AM308" s="363"/>
      <c r="AN308" s="385"/>
    </row>
    <row r="309" spans="1:43" ht="12.75" outlineLevel="1">
      <c r="A309" s="385"/>
      <c r="B309" s="1742" t="s">
        <v>256</v>
      </c>
      <c r="C309" s="1743"/>
      <c r="D309" s="1743"/>
      <c r="E309" s="1746"/>
      <c r="F309" s="2155" t="s">
        <v>106</v>
      </c>
      <c r="G309" s="1746"/>
      <c r="H309" s="1743">
        <f ca="1">IF(F309="PCS",$E$4,SUMIFS(Paper!$AC$7:$AC$58,Paper!$A$7:$A$58,'Proof - Pro'!F309))*IF(F309="Pcs",D309/E309,1)</f>
        <v>0</v>
      </c>
      <c r="I309" s="1743">
        <v>0</v>
      </c>
      <c r="J309" s="1743" t="s">
        <v>31</v>
      </c>
      <c r="K309" s="1747">
        <v>0</v>
      </c>
      <c r="L309" s="1743">
        <v>0</v>
      </c>
      <c r="M309" s="1748">
        <f ca="1">IF(H309&gt;0,90/60,0)</f>
        <v>0</v>
      </c>
      <c r="N309" s="983">
        <f t="shared" ca="1" si="33"/>
        <v>0</v>
      </c>
      <c r="O309" s="1743"/>
      <c r="P309" s="1743">
        <f>Data!$N$1197</f>
        <v>0</v>
      </c>
      <c r="Q309" s="1743">
        <f ca="1">(N309*O309*K309+N309*P309*L309)*(1+$R$312)</f>
        <v>0</v>
      </c>
      <c r="R309" s="1749">
        <f ca="1">IF($E$2&gt;0,Q309/$E$2,0)</f>
        <v>0</v>
      </c>
      <c r="T309" s="2170"/>
      <c r="AC309" s="1057"/>
      <c r="AL309" s="313"/>
      <c r="AM309" s="363"/>
      <c r="AN309" s="385"/>
    </row>
    <row r="310" spans="1:43" ht="16.5" customHeight="1" thickBot="1">
      <c r="AL310" s="313"/>
      <c r="AM310" s="363"/>
      <c r="AN310" s="385"/>
      <c r="AQ310" s="393"/>
    </row>
    <row r="311" spans="1:43" ht="16.5" customHeight="1" thickBot="1">
      <c r="A311" s="385" t="s">
        <v>189</v>
      </c>
      <c r="B311" s="385"/>
      <c r="C311" s="385" t="s">
        <v>184</v>
      </c>
      <c r="Q311" s="1727">
        <f ca="1">SUM(Q8:Q309)</f>
        <v>1497918.588086436</v>
      </c>
      <c r="R311" s="1728">
        <f ca="1">SUM(R8:R309)</f>
        <v>8321.7699338135317</v>
      </c>
      <c r="AL311" s="313"/>
      <c r="AM311" s="363"/>
      <c r="AN311" s="385"/>
    </row>
    <row r="312" spans="1:43" ht="17.25" customHeight="1" thickBot="1">
      <c r="R312" s="1729"/>
      <c r="S312" s="393"/>
      <c r="AL312" s="313"/>
      <c r="AM312" s="363"/>
      <c r="AN312" s="385"/>
    </row>
    <row r="313" spans="1:43" ht="12.75"/>
  </sheetData>
  <autoFilter ref="A6:S304" xr:uid="{00000000-0009-0000-0000-000015000000}">
    <filterColumn colId="0" showButton="0"/>
    <filterColumn colId="1" showButton="0"/>
    <filterColumn colId="2" showButton="0"/>
    <filterColumn colId="3" showButton="0"/>
    <filterColumn colId="4" showButton="0"/>
    <filterColumn colId="5" showButton="0"/>
    <filterColumn colId="8" showButton="0"/>
    <filterColumn colId="10" showButton="0"/>
    <filterColumn colId="14" showButton="0"/>
  </autoFilter>
  <mergeCells count="10">
    <mergeCell ref="O6:P6"/>
    <mergeCell ref="Q6:Q7"/>
    <mergeCell ref="R6:R7"/>
    <mergeCell ref="S6:S7"/>
    <mergeCell ref="A6:G7"/>
    <mergeCell ref="H6:H7"/>
    <mergeCell ref="I6:J6"/>
    <mergeCell ref="K6:L6"/>
    <mergeCell ref="M6:M7"/>
    <mergeCell ref="N6:N7"/>
  </mergeCells>
  <pageMargins left="0.75" right="0.75" top="1" bottom="1" header="0.5" footer="0.5"/>
  <pageSetup scale="63" orientation="landscape" horizontalDpi="300" verticalDpi="300" r:id="rId1"/>
  <headerFooter alignWithMargins="0"/>
  <rowBreaks count="2" manualBreakCount="2">
    <brk id="200" max="16383" man="1"/>
    <brk id="310" max="16383" man="1"/>
  </rowBreaks>
  <colBreaks count="1" manualBreakCount="1">
    <brk id="27" max="1048575" man="1"/>
  </colBreak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500-000000000000}">
          <x14:formula1>
            <xm:f>weight!$A$5:$A$39</xm:f>
          </x14:formula1>
          <xm:sqref>F306:F309</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A1:T103"/>
  <sheetViews>
    <sheetView topLeftCell="A59" workbookViewId="0">
      <selection activeCell="M28" sqref="M28"/>
    </sheetView>
  </sheetViews>
  <sheetFormatPr defaultColWidth="8.85546875" defaultRowHeight="12.75"/>
  <cols>
    <col min="1" max="1" width="8.85546875" style="136"/>
    <col min="2" max="2" width="13.140625" style="136" customWidth="1"/>
    <col min="3" max="3" width="11.7109375" style="136" customWidth="1"/>
    <col min="4" max="4" width="11.28515625" style="136" customWidth="1"/>
    <col min="5" max="5" width="9.7109375" style="136" bestFit="1" customWidth="1"/>
    <col min="6" max="6" width="13.42578125" style="136" bestFit="1" customWidth="1"/>
    <col min="7" max="8" width="8.85546875" style="136"/>
    <col min="9" max="9" width="7.28515625" style="136" bestFit="1" customWidth="1"/>
    <col min="10" max="10" width="8.85546875" style="136"/>
    <col min="11" max="11" width="9.42578125" style="136" customWidth="1"/>
    <col min="12" max="13" width="8.85546875" style="136"/>
    <col min="14" max="14" width="10.28515625" style="136" customWidth="1"/>
    <col min="15" max="15" width="10.28515625" style="136" bestFit="1" customWidth="1"/>
    <col min="16" max="16" width="10" style="136" customWidth="1"/>
    <col min="17" max="17" width="11.28515625" style="136" customWidth="1"/>
    <col min="18" max="19" width="10.28515625" style="136" bestFit="1" customWidth="1"/>
    <col min="20" max="16384" width="8.85546875" style="136"/>
  </cols>
  <sheetData>
    <row r="1" spans="1:20" ht="19.5">
      <c r="A1" s="1263" t="s">
        <v>354</v>
      </c>
    </row>
    <row r="2" spans="1:20" s="1812" customFormat="1" ht="24.75" customHeight="1">
      <c r="A2" s="1810" t="s">
        <v>1306</v>
      </c>
      <c r="B2" s="1224" t="s">
        <v>1392</v>
      </c>
      <c r="C2" s="1224" t="s">
        <v>1349</v>
      </c>
      <c r="D2" s="1810" t="s">
        <v>1741</v>
      </c>
      <c r="E2" s="1221" t="s">
        <v>950</v>
      </c>
      <c r="F2" s="1811" t="s">
        <v>14</v>
      </c>
      <c r="G2" s="1221" t="s">
        <v>1744</v>
      </c>
      <c r="H2" s="1221" t="s">
        <v>2038</v>
      </c>
      <c r="I2" s="1221" t="s">
        <v>1745</v>
      </c>
      <c r="J2" s="1221" t="s">
        <v>204</v>
      </c>
      <c r="K2" s="1224" t="s">
        <v>1746</v>
      </c>
      <c r="L2" s="1224" t="s">
        <v>2253</v>
      </c>
      <c r="M2" s="1810" t="s">
        <v>2813</v>
      </c>
      <c r="N2" s="1224" t="s">
        <v>2862</v>
      </c>
      <c r="O2" s="1224" t="s">
        <v>1748</v>
      </c>
      <c r="P2" s="1224"/>
    </row>
    <row r="3" spans="1:20">
      <c r="A3" s="136">
        <v>1</v>
      </c>
      <c r="B3" s="1220" t="s">
        <v>1749</v>
      </c>
      <c r="C3" s="1220" t="s">
        <v>1393</v>
      </c>
      <c r="E3" s="1228">
        <v>1</v>
      </c>
      <c r="F3" s="2203"/>
      <c r="G3" s="338"/>
      <c r="I3" s="338"/>
      <c r="J3" s="256">
        <v>0</v>
      </c>
      <c r="K3" s="1226"/>
      <c r="M3" s="136" t="s">
        <v>127</v>
      </c>
      <c r="N3" s="1230">
        <v>45</v>
      </c>
      <c r="O3" s="1229"/>
      <c r="P3" s="1229"/>
      <c r="Q3" s="1812"/>
      <c r="R3" s="1812"/>
      <c r="S3" s="1812"/>
      <c r="T3" s="1812"/>
    </row>
    <row r="4" spans="1:20">
      <c r="A4" s="136">
        <v>2</v>
      </c>
      <c r="B4" s="1220" t="s">
        <v>3349</v>
      </c>
      <c r="C4" s="1220" t="s">
        <v>1393</v>
      </c>
      <c r="E4" s="1228">
        <v>2</v>
      </c>
      <c r="F4" s="2203"/>
      <c r="G4" s="338"/>
      <c r="I4" s="338"/>
      <c r="J4" s="256">
        <v>0</v>
      </c>
      <c r="K4" s="1226"/>
      <c r="M4" s="136" t="s">
        <v>127</v>
      </c>
      <c r="N4" s="1230">
        <v>45</v>
      </c>
      <c r="O4" s="1229"/>
      <c r="P4" s="1229"/>
      <c r="Q4" s="1812"/>
      <c r="R4" s="1812"/>
      <c r="S4" s="1812"/>
      <c r="T4" s="1812"/>
    </row>
    <row r="5" spans="1:20">
      <c r="A5" s="136">
        <v>3</v>
      </c>
      <c r="B5" s="1220" t="s">
        <v>3350</v>
      </c>
      <c r="C5" s="1220" t="s">
        <v>1393</v>
      </c>
      <c r="E5" s="1228">
        <v>3</v>
      </c>
      <c r="F5" s="2203"/>
      <c r="G5" s="338"/>
      <c r="I5" s="338"/>
      <c r="J5" s="256">
        <v>0</v>
      </c>
      <c r="K5" s="1226"/>
      <c r="M5" s="136" t="s">
        <v>127</v>
      </c>
      <c r="N5" s="1230">
        <v>45</v>
      </c>
      <c r="O5" s="1229"/>
      <c r="P5" s="1229"/>
      <c r="Q5" s="1812"/>
      <c r="R5" s="1812"/>
      <c r="S5" s="1812"/>
      <c r="T5" s="1812"/>
    </row>
    <row r="6" spans="1:20">
      <c r="A6" s="136">
        <v>4</v>
      </c>
      <c r="B6" s="1220" t="s">
        <v>3351</v>
      </c>
      <c r="C6" s="1220" t="s">
        <v>1393</v>
      </c>
      <c r="E6" s="1228">
        <v>4</v>
      </c>
      <c r="F6" s="2203"/>
      <c r="G6" s="338"/>
      <c r="I6" s="338"/>
      <c r="J6" s="256">
        <v>0</v>
      </c>
      <c r="K6" s="1226"/>
      <c r="M6" s="136" t="s">
        <v>127</v>
      </c>
      <c r="N6" s="1230">
        <v>45</v>
      </c>
      <c r="O6" s="1229"/>
      <c r="P6" s="1229"/>
      <c r="Q6" s="1812"/>
      <c r="R6" s="1812"/>
      <c r="S6" s="1812"/>
      <c r="T6" s="1812"/>
    </row>
    <row r="7" spans="1:20">
      <c r="A7" s="136">
        <v>5</v>
      </c>
      <c r="B7" s="1220" t="s">
        <v>3352</v>
      </c>
      <c r="C7" s="1220" t="s">
        <v>1393</v>
      </c>
      <c r="E7" s="1228">
        <v>5</v>
      </c>
      <c r="F7" s="2203"/>
      <c r="G7" s="338"/>
      <c r="I7" s="338"/>
      <c r="J7" s="256">
        <v>0</v>
      </c>
      <c r="K7" s="1226"/>
      <c r="M7" s="136" t="s">
        <v>127</v>
      </c>
      <c r="N7" s="1230">
        <v>45</v>
      </c>
      <c r="O7" s="1229"/>
      <c r="P7" s="1229"/>
      <c r="Q7" s="1812"/>
      <c r="R7" s="1812"/>
      <c r="S7" s="1812"/>
      <c r="T7" s="1812"/>
    </row>
    <row r="9" spans="1:20">
      <c r="A9" s="319" t="s">
        <v>1750</v>
      </c>
      <c r="B9" s="319" t="s">
        <v>1751</v>
      </c>
      <c r="C9" s="1811" t="s">
        <v>14</v>
      </c>
      <c r="D9" s="319" t="s">
        <v>950</v>
      </c>
      <c r="E9" s="319" t="s">
        <v>1752</v>
      </c>
    </row>
    <row r="10" spans="1:20">
      <c r="A10" s="136">
        <v>1</v>
      </c>
      <c r="B10" s="338" t="str">
        <f>A80</f>
        <v>SW7329F (Art paper)</v>
      </c>
      <c r="C10" s="338"/>
      <c r="D10" s="338"/>
      <c r="E10" s="256">
        <f>B92</f>
        <v>14415</v>
      </c>
      <c r="F10" s="1227"/>
      <c r="G10" s="254"/>
      <c r="H10" s="1228"/>
      <c r="I10" s="1229"/>
      <c r="J10" s="1229"/>
      <c r="K10" s="1229"/>
      <c r="L10" s="1229"/>
      <c r="M10" s="1226"/>
      <c r="N10" s="1230"/>
      <c r="P10" s="1229"/>
      <c r="Q10" s="1220"/>
      <c r="R10" s="1220"/>
    </row>
    <row r="12" spans="1:20" ht="25.5">
      <c r="A12" s="319" t="s">
        <v>1418</v>
      </c>
      <c r="B12" s="1224" t="s">
        <v>1392</v>
      </c>
      <c r="C12" s="1224" t="s">
        <v>1349</v>
      </c>
      <c r="D12" s="319" t="s">
        <v>1741</v>
      </c>
      <c r="E12" s="1221" t="s">
        <v>950</v>
      </c>
      <c r="F12" s="1811" t="s">
        <v>14</v>
      </c>
      <c r="G12" s="1221" t="s">
        <v>1744</v>
      </c>
      <c r="H12" s="1221" t="s">
        <v>2038</v>
      </c>
      <c r="I12" s="1221" t="s">
        <v>1745</v>
      </c>
      <c r="J12" s="1221" t="s">
        <v>204</v>
      </c>
      <c r="K12" s="1224" t="s">
        <v>1746</v>
      </c>
      <c r="L12" s="1224" t="s">
        <v>1747</v>
      </c>
      <c r="M12" s="1810" t="s">
        <v>2813</v>
      </c>
      <c r="N12" s="1224" t="s">
        <v>2862</v>
      </c>
      <c r="O12" s="1224" t="s">
        <v>1748</v>
      </c>
    </row>
    <row r="13" spans="1:20">
      <c r="A13" s="136">
        <v>1</v>
      </c>
      <c r="B13" s="1220" t="s">
        <v>1749</v>
      </c>
      <c r="C13" s="1220" t="s">
        <v>1418</v>
      </c>
      <c r="E13" s="1228">
        <v>1</v>
      </c>
      <c r="F13" s="2203"/>
      <c r="G13" s="338"/>
      <c r="I13" s="338"/>
      <c r="J13" s="256">
        <v>0</v>
      </c>
      <c r="K13" s="1226"/>
      <c r="M13" s="136" t="s">
        <v>127</v>
      </c>
      <c r="N13" s="1230">
        <v>45</v>
      </c>
      <c r="O13" s="1229"/>
      <c r="S13" s="865"/>
    </row>
    <row r="14" spans="1:20">
      <c r="A14" s="136">
        <v>2</v>
      </c>
      <c r="B14" s="1220" t="s">
        <v>3349</v>
      </c>
      <c r="C14" s="1220" t="s">
        <v>1418</v>
      </c>
      <c r="E14" s="1228">
        <v>2</v>
      </c>
      <c r="F14" s="2203"/>
      <c r="G14" s="338"/>
      <c r="I14" s="338"/>
      <c r="J14" s="256">
        <v>0</v>
      </c>
      <c r="K14" s="1226"/>
      <c r="M14" s="136" t="s">
        <v>127</v>
      </c>
      <c r="N14" s="1230">
        <v>45</v>
      </c>
      <c r="O14" s="1229"/>
      <c r="S14" s="865"/>
    </row>
    <row r="15" spans="1:20">
      <c r="A15" s="136">
        <v>3</v>
      </c>
      <c r="B15" s="1220" t="s">
        <v>3350</v>
      </c>
      <c r="C15" s="1220" t="s">
        <v>1418</v>
      </c>
      <c r="E15" s="1228">
        <v>3</v>
      </c>
      <c r="F15" s="2203"/>
      <c r="G15" s="338"/>
      <c r="I15" s="338"/>
      <c r="J15" s="256">
        <v>0</v>
      </c>
      <c r="K15" s="1226"/>
      <c r="M15" s="136" t="s">
        <v>127</v>
      </c>
      <c r="N15" s="1230">
        <v>45</v>
      </c>
      <c r="O15" s="1229"/>
      <c r="S15" s="865"/>
    </row>
    <row r="16" spans="1:20">
      <c r="A16" s="136">
        <v>4</v>
      </c>
      <c r="B16" s="1220" t="s">
        <v>3351</v>
      </c>
      <c r="C16" s="1220" t="s">
        <v>1418</v>
      </c>
      <c r="E16" s="1228">
        <v>4</v>
      </c>
      <c r="F16" s="2203"/>
      <c r="G16" s="338"/>
      <c r="I16" s="338"/>
      <c r="J16" s="256">
        <v>0</v>
      </c>
      <c r="K16" s="1226"/>
      <c r="M16" s="136" t="s">
        <v>127</v>
      </c>
      <c r="N16" s="1230">
        <v>45</v>
      </c>
      <c r="O16" s="1229"/>
      <c r="S16" s="865"/>
    </row>
    <row r="17" spans="1:19">
      <c r="A17" s="136">
        <v>5</v>
      </c>
      <c r="B17" s="1220" t="s">
        <v>3352</v>
      </c>
      <c r="C17" s="1220" t="s">
        <v>1418</v>
      </c>
      <c r="E17" s="1228">
        <v>5</v>
      </c>
      <c r="F17" s="2203"/>
      <c r="G17" s="338"/>
      <c r="I17" s="338"/>
      <c r="J17" s="256">
        <v>0</v>
      </c>
      <c r="K17" s="1226"/>
      <c r="M17" s="136" t="s">
        <v>127</v>
      </c>
      <c r="N17" s="1230">
        <v>45</v>
      </c>
      <c r="O17" s="1229"/>
      <c r="S17" s="865"/>
    </row>
    <row r="19" spans="1:19">
      <c r="A19" s="319" t="s">
        <v>1753</v>
      </c>
      <c r="B19" s="136" t="s">
        <v>1751</v>
      </c>
      <c r="C19" s="136" t="s">
        <v>445</v>
      </c>
      <c r="E19" s="136" t="s">
        <v>2938</v>
      </c>
      <c r="I19" s="136" t="s">
        <v>706</v>
      </c>
      <c r="M19" s="136" t="s">
        <v>1741</v>
      </c>
    </row>
    <row r="20" spans="1:19" s="2993" customFormat="1">
      <c r="A20" s="2993">
        <v>1</v>
      </c>
      <c r="B20" s="2993" t="s">
        <v>3474</v>
      </c>
      <c r="C20" s="3401">
        <f>E20</f>
        <v>801360</v>
      </c>
      <c r="E20" s="3402">
        <v>801360</v>
      </c>
      <c r="I20" s="2993">
        <v>1</v>
      </c>
      <c r="J20" s="2993">
        <v>0</v>
      </c>
      <c r="K20" s="2993">
        <v>0</v>
      </c>
      <c r="L20" s="2993">
        <v>0</v>
      </c>
      <c r="M20" s="2993" t="s">
        <v>3475</v>
      </c>
    </row>
    <row r="21" spans="1:19" s="2993" customFormat="1" ht="62.25" customHeight="1">
      <c r="A21" s="2993">
        <v>2</v>
      </c>
      <c r="B21" s="3403" t="s">
        <v>3476</v>
      </c>
      <c r="C21" s="3401">
        <f>(E21*I21+F21*J21+G21*K21+H21*L21)/SUM(I21:L21)</f>
        <v>926629.2</v>
      </c>
      <c r="E21" s="3402">
        <v>801360</v>
      </c>
      <c r="F21" s="3402">
        <v>728700</v>
      </c>
      <c r="G21" s="3402">
        <v>1840125</v>
      </c>
      <c r="H21" s="3402">
        <v>3257625</v>
      </c>
      <c r="I21" s="2993">
        <v>72</v>
      </c>
      <c r="J21" s="2993">
        <v>20</v>
      </c>
      <c r="K21" s="2993">
        <v>4</v>
      </c>
      <c r="L21" s="2993">
        <v>4</v>
      </c>
      <c r="M21" s="2993" t="s">
        <v>3475</v>
      </c>
      <c r="N21" s="2993" t="s">
        <v>3477</v>
      </c>
      <c r="O21" s="2993" t="s">
        <v>3478</v>
      </c>
      <c r="P21" s="2993" t="s">
        <v>3479</v>
      </c>
    </row>
    <row r="22" spans="1:19">
      <c r="A22" s="136">
        <v>3</v>
      </c>
      <c r="B22" s="136" t="s">
        <v>1754</v>
      </c>
    </row>
    <row r="23" spans="1:19">
      <c r="A23" s="136">
        <v>4</v>
      </c>
      <c r="B23" s="136" t="s">
        <v>1755</v>
      </c>
    </row>
    <row r="24" spans="1:19">
      <c r="A24" s="136">
        <v>5</v>
      </c>
      <c r="B24" s="136" t="s">
        <v>1756</v>
      </c>
    </row>
    <row r="26" spans="1:19">
      <c r="A26" s="319" t="s">
        <v>495</v>
      </c>
      <c r="B26" s="136" t="s">
        <v>1751</v>
      </c>
      <c r="C26" s="136" t="s">
        <v>445</v>
      </c>
      <c r="D26" s="136" t="s">
        <v>1757</v>
      </c>
    </row>
    <row r="27" spans="1:19">
      <c r="A27" s="136">
        <v>1</v>
      </c>
      <c r="D27" s="1844">
        <v>3000</v>
      </c>
      <c r="E27" s="1845">
        <v>20</v>
      </c>
      <c r="F27" s="136" t="s">
        <v>1902</v>
      </c>
    </row>
    <row r="28" spans="1:19">
      <c r="A28" s="136">
        <v>2</v>
      </c>
      <c r="D28" s="1844">
        <v>3000</v>
      </c>
      <c r="E28" s="1845">
        <v>20</v>
      </c>
      <c r="F28" s="136" t="s">
        <v>1902</v>
      </c>
    </row>
    <row r="29" spans="1:19">
      <c r="A29" s="136">
        <v>3</v>
      </c>
      <c r="D29" s="1844">
        <v>3000</v>
      </c>
      <c r="E29" s="136" t="s">
        <v>1903</v>
      </c>
    </row>
    <row r="30" spans="1:19">
      <c r="A30" s="136">
        <v>4</v>
      </c>
      <c r="D30" s="1844">
        <v>3000</v>
      </c>
      <c r="E30" s="136" t="s">
        <v>1903</v>
      </c>
    </row>
    <row r="32" spans="1:19">
      <c r="A32" s="319" t="s">
        <v>1758</v>
      </c>
      <c r="B32" s="136" t="s">
        <v>1751</v>
      </c>
      <c r="C32" s="136" t="s">
        <v>445</v>
      </c>
    </row>
    <row r="33" spans="1:10">
      <c r="A33" s="136">
        <v>1</v>
      </c>
    </row>
    <row r="34" spans="1:10">
      <c r="A34" s="136">
        <v>2</v>
      </c>
    </row>
    <row r="35" spans="1:10">
      <c r="A35" s="136">
        <v>3</v>
      </c>
    </row>
    <row r="41" spans="1:10">
      <c r="A41" s="3002" t="s">
        <v>3063</v>
      </c>
      <c r="B41" s="319"/>
      <c r="D41" s="3338">
        <v>120</v>
      </c>
    </row>
    <row r="42" spans="1:10">
      <c r="A42" s="1313"/>
      <c r="B42" s="319"/>
    </row>
    <row r="43" spans="1:10">
      <c r="A43" s="136" t="str">
        <f>Paper!A7</f>
        <v>Box</v>
      </c>
      <c r="B43" s="136" t="s">
        <v>3064</v>
      </c>
      <c r="C43" s="3067">
        <f>VLOOKUP(A43,Paper!$A$7:$Y$21,14,0)+3</f>
        <v>641</v>
      </c>
      <c r="D43" s="3067">
        <f>VLOOKUP(A43,Paper!$A$7:$Y$21,15,0)+3</f>
        <v>410</v>
      </c>
      <c r="F43" s="2746">
        <f ca="1">SUMIFS(Paper!$AC:$AC,Paper!$A:$A,Other!A43)+SUMIFS(Paper!$X:$X,Paper!$A:$A,Other!A43)</f>
        <v>2775</v>
      </c>
      <c r="G43" s="136" t="s">
        <v>3065</v>
      </c>
      <c r="I43" s="3068">
        <f ca="1">F43/(C44*D44)</f>
        <v>1387.5</v>
      </c>
      <c r="J43" s="2993" t="s">
        <v>3066</v>
      </c>
    </row>
    <row r="44" spans="1:10">
      <c r="C44" s="1228">
        <f>INT(C45/C43)</f>
        <v>1</v>
      </c>
      <c r="D44" s="1228">
        <f>INT(D45/D43)</f>
        <v>2</v>
      </c>
      <c r="I44" s="2993"/>
      <c r="J44" s="2993"/>
    </row>
    <row r="45" spans="1:10">
      <c r="B45" s="136" t="s">
        <v>340</v>
      </c>
      <c r="C45" s="3067">
        <v>787</v>
      </c>
      <c r="D45" s="3067">
        <v>1092</v>
      </c>
      <c r="I45" s="2993"/>
      <c r="J45" s="2993"/>
    </row>
    <row r="46" spans="1:10">
      <c r="A46" s="1313"/>
      <c r="B46" s="319"/>
    </row>
    <row r="47" spans="1:10">
      <c r="A47" s="136" t="str">
        <f>Paper!A8</f>
        <v>N</v>
      </c>
      <c r="B47" s="136" t="s">
        <v>3064</v>
      </c>
      <c r="C47" s="3067">
        <f>VLOOKUP(A47,Paper!$A$7:$Y$21,14,0)+3</f>
        <v>3</v>
      </c>
      <c r="D47" s="3067">
        <f>VLOOKUP(A47,Paper!$A$7:$Y$21,15,0)+3</f>
        <v>3</v>
      </c>
      <c r="F47" s="2746">
        <f ca="1">SUMIFS(Paper!$AC:$AC,Paper!$A:$A,Other!A47)+SUMIFS(Paper!$X:$X,Paper!$A:$A,Other!A47)</f>
        <v>0</v>
      </c>
      <c r="G47" s="136" t="s">
        <v>3065</v>
      </c>
      <c r="I47" s="3068">
        <f ca="1">F47/(C48*D48)</f>
        <v>0</v>
      </c>
      <c r="J47" s="2993" t="s">
        <v>3066</v>
      </c>
    </row>
    <row r="48" spans="1:10">
      <c r="C48" s="1228">
        <f>INT(C49/C47)</f>
        <v>262</v>
      </c>
      <c r="D48" s="1228">
        <f>INT(D49/D47)</f>
        <v>364</v>
      </c>
      <c r="I48" s="2993"/>
      <c r="J48" s="2993"/>
    </row>
    <row r="49" spans="1:19">
      <c r="B49" s="136" t="s">
        <v>340</v>
      </c>
      <c r="C49" s="3067">
        <v>787</v>
      </c>
      <c r="D49" s="3067">
        <v>1092</v>
      </c>
      <c r="I49" s="2993"/>
      <c r="J49" s="2993"/>
    </row>
    <row r="50" spans="1:19">
      <c r="A50" s="1313"/>
      <c r="B50" s="319"/>
    </row>
    <row r="51" spans="1:19">
      <c r="A51" s="320"/>
      <c r="B51" s="335"/>
      <c r="G51" s="189" t="s">
        <v>528</v>
      </c>
      <c r="H51" s="2976"/>
      <c r="I51" s="2976"/>
      <c r="J51" s="2976"/>
      <c r="K51" s="189" t="s">
        <v>10</v>
      </c>
      <c r="N51" s="2984" t="s">
        <v>2296</v>
      </c>
      <c r="O51" s="2985">
        <f>'Data Extra cost'!$V$149</f>
        <v>1</v>
      </c>
      <c r="P51" s="2985">
        <f>'Data Extra cost'!$W$149</f>
        <v>2</v>
      </c>
      <c r="Q51" s="2985">
        <f>'Data Extra cost'!$X$149</f>
        <v>3.5</v>
      </c>
      <c r="R51" s="2985">
        <f>'Data Extra cost'!$Y$149</f>
        <v>5</v>
      </c>
      <c r="S51" s="2986">
        <f>'Data Extra cost'!$Z$149</f>
        <v>8</v>
      </c>
    </row>
    <row r="52" spans="1:19">
      <c r="A52" s="320" t="s">
        <v>529</v>
      </c>
      <c r="B52" s="335">
        <f ca="1">I43+I47</f>
        <v>1387.5</v>
      </c>
      <c r="C52" s="320" t="str">
        <f>J43</f>
        <v>STD sheet</v>
      </c>
      <c r="G52" s="189" t="s">
        <v>530</v>
      </c>
      <c r="H52" s="2976">
        <v>5500</v>
      </c>
      <c r="I52" s="189" t="s">
        <v>3067</v>
      </c>
      <c r="J52" s="983">
        <v>1</v>
      </c>
      <c r="K52" s="189" t="s">
        <v>1486</v>
      </c>
      <c r="L52" s="983">
        <f>E3*C45*D45/10^9*H52</f>
        <v>4.7267220000000005</v>
      </c>
      <c r="M52" s="136" t="s">
        <v>1489</v>
      </c>
      <c r="N52" s="2416" t="s">
        <v>2295</v>
      </c>
      <c r="O52" s="2417">
        <f>'Data Extra cost'!$V$150</f>
        <v>6.75</v>
      </c>
      <c r="P52" s="2417">
        <f>'Data Extra cost'!$W$150</f>
        <v>10.404</v>
      </c>
      <c r="Q52" s="2417">
        <f>'Data Extra cost'!$X$150</f>
        <v>17.442</v>
      </c>
      <c r="R52" s="2417">
        <f>'Data Extra cost'!$Y$150</f>
        <v>25.214999999999996</v>
      </c>
      <c r="S52" s="2418">
        <f>'Data Extra cost'!$Z$150</f>
        <v>33.88000000000001</v>
      </c>
    </row>
    <row r="53" spans="1:19">
      <c r="A53" s="320" t="s">
        <v>445</v>
      </c>
      <c r="B53" s="3025"/>
      <c r="C53" s="326" t="s">
        <v>3068</v>
      </c>
      <c r="D53" s="136" t="s">
        <v>3069</v>
      </c>
      <c r="G53" s="189" t="s">
        <v>533</v>
      </c>
      <c r="H53" s="194">
        <f ca="1">ROUNDUP(B52/H52,0)</f>
        <v>1</v>
      </c>
      <c r="I53" s="189" t="s">
        <v>3028</v>
      </c>
      <c r="J53" s="189"/>
      <c r="K53" s="189"/>
      <c r="N53" s="2987" t="s">
        <v>2297</v>
      </c>
      <c r="O53" s="2988">
        <f>'Data Extra cost'!$V$151</f>
        <v>1060000</v>
      </c>
      <c r="P53" s="2988">
        <f>'Data Extra cost'!$W$151</f>
        <v>1160000</v>
      </c>
      <c r="Q53" s="2988">
        <f>'Data Extra cost'!$X$151</f>
        <v>1370000</v>
      </c>
      <c r="R53" s="2988">
        <f>'Data Extra cost'!$Y$151</f>
        <v>1690000</v>
      </c>
      <c r="S53" s="2989">
        <f>'Data Extra cost'!$Z$151</f>
        <v>2005000</v>
      </c>
    </row>
    <row r="54" spans="1:19">
      <c r="A54" s="320" t="s">
        <v>2918</v>
      </c>
      <c r="B54" s="3012">
        <f>20%*IF(input!$B$2="Oversea Client",0,1)</f>
        <v>0.2</v>
      </c>
      <c r="C54" s="136" t="s">
        <v>3070</v>
      </c>
      <c r="D54" s="383"/>
      <c r="G54" s="320" t="s">
        <v>535</v>
      </c>
      <c r="H54" s="1342">
        <f ca="1">ROUNDUP(J52*H53,0)</f>
        <v>1</v>
      </c>
      <c r="I54" s="189" t="s">
        <v>563</v>
      </c>
      <c r="J54" s="983">
        <f ca="1">H53*L52/1000</f>
        <v>4.7267220000000009E-3</v>
      </c>
      <c r="K54" s="189"/>
    </row>
    <row r="55" spans="1:19">
      <c r="A55" s="320" t="s">
        <v>3071</v>
      </c>
      <c r="B55" s="3069">
        <f ca="1">B52*C45*D45*D41/10^12*(1+VLOOKUP(A43,'Cost EST. GM target'!$C$95:$L$123,10,0))</f>
        <v>0.14309076600000001</v>
      </c>
      <c r="C55" s="136" t="s">
        <v>3038</v>
      </c>
      <c r="G55" s="320"/>
      <c r="H55" s="1342"/>
      <c r="I55" s="189"/>
      <c r="J55" s="983"/>
      <c r="K55" s="189"/>
    </row>
    <row r="56" spans="1:19">
      <c r="A56" s="320" t="s">
        <v>21</v>
      </c>
      <c r="B56" s="3070">
        <f ca="1">B53*B52*(1+B54)</f>
        <v>0</v>
      </c>
      <c r="C56" s="320" t="s">
        <v>87</v>
      </c>
      <c r="D56" s="136" t="str">
        <f>D53</f>
        <v xml:space="preserve">EXW - Dongguan, Guangdong, China </v>
      </c>
    </row>
    <row r="57" spans="1:19" ht="13.5" thickBot="1">
      <c r="A57" s="320"/>
      <c r="B57" s="3070"/>
      <c r="C57" s="320"/>
    </row>
    <row r="58" spans="1:19">
      <c r="A58" s="3071" t="s">
        <v>41</v>
      </c>
      <c r="B58" s="3187"/>
      <c r="C58" s="3072"/>
      <c r="D58" s="3072"/>
      <c r="E58" s="3072"/>
      <c r="F58" s="3073"/>
    </row>
    <row r="59" spans="1:19">
      <c r="A59" s="3074" t="s">
        <v>536</v>
      </c>
      <c r="B59" s="136">
        <f ca="1">IF(H54&lt;3.1,280,IF(H54&lt;5.1,330,IF(H54&lt;8.1,400,450)))+20*H54</f>
        <v>300</v>
      </c>
      <c r="C59" s="189" t="s">
        <v>3048</v>
      </c>
      <c r="D59" s="2976">
        <f ca="1">B59</f>
        <v>300</v>
      </c>
      <c r="E59" s="1344" t="s">
        <v>87</v>
      </c>
      <c r="F59" s="3075"/>
    </row>
    <row r="60" spans="1:19">
      <c r="A60" s="3074" t="s">
        <v>537</v>
      </c>
      <c r="B60" s="194"/>
      <c r="C60" s="189"/>
      <c r="D60" s="2976">
        <f ca="1">IF(H54&gt;0,IF((B56+D59)*1.1*0.065%&lt;300000/input!$I$5,300000/input!$I$5,(B56+D59)*1.1*0.065%),0)</f>
        <v>12.494793835901708</v>
      </c>
      <c r="E60" s="1344" t="s">
        <v>87</v>
      </c>
      <c r="F60" s="3075"/>
    </row>
    <row r="61" spans="1:19">
      <c r="A61" s="3074" t="s">
        <v>538</v>
      </c>
      <c r="B61" s="194"/>
      <c r="C61" s="194"/>
      <c r="D61" s="321"/>
      <c r="F61" s="3075"/>
    </row>
    <row r="62" spans="1:19">
      <c r="A62" s="3076" t="s">
        <v>2306</v>
      </c>
      <c r="B62" s="194">
        <v>10</v>
      </c>
      <c r="C62" s="189" t="s">
        <v>540</v>
      </c>
      <c r="D62" s="2976">
        <f ca="1">B62*H54</f>
        <v>10</v>
      </c>
      <c r="E62" s="1344" t="s">
        <v>87</v>
      </c>
      <c r="F62" s="3075"/>
    </row>
    <row r="63" spans="1:19">
      <c r="A63" s="3076" t="s">
        <v>539</v>
      </c>
      <c r="B63" s="3019">
        <v>8</v>
      </c>
      <c r="C63" s="189" t="s">
        <v>540</v>
      </c>
      <c r="D63" s="2976">
        <f ca="1">B63*H54</f>
        <v>8</v>
      </c>
      <c r="E63" s="1344" t="s">
        <v>87</v>
      </c>
      <c r="F63" s="3075"/>
    </row>
    <row r="64" spans="1:19">
      <c r="A64" s="3076" t="s">
        <v>541</v>
      </c>
      <c r="B64" s="3019">
        <f>40+20</f>
        <v>60</v>
      </c>
      <c r="C64" s="189" t="s">
        <v>542</v>
      </c>
      <c r="D64" s="2976">
        <f ca="1">IF(H54&gt;0,B64,0)</f>
        <v>60</v>
      </c>
      <c r="E64" s="1344" t="s">
        <v>87</v>
      </c>
      <c r="F64" s="3075"/>
    </row>
    <row r="65" spans="1:11">
      <c r="A65" s="3076" t="s">
        <v>543</v>
      </c>
      <c r="B65" s="194">
        <v>4</v>
      </c>
      <c r="C65" s="189" t="s">
        <v>540</v>
      </c>
      <c r="D65" s="2976">
        <f ca="1">B65*H54</f>
        <v>4</v>
      </c>
      <c r="E65" s="1344" t="s">
        <v>87</v>
      </c>
      <c r="F65" s="3075"/>
    </row>
    <row r="66" spans="1:11">
      <c r="A66" s="3076" t="s">
        <v>544</v>
      </c>
      <c r="B66" s="3019">
        <v>18</v>
      </c>
      <c r="C66" s="189" t="s">
        <v>540</v>
      </c>
      <c r="D66" s="2976">
        <f ca="1">B66*H54</f>
        <v>18</v>
      </c>
      <c r="E66" s="1344" t="s">
        <v>87</v>
      </c>
      <c r="F66" s="3075"/>
    </row>
    <row r="67" spans="1:11">
      <c r="A67" s="3076" t="s">
        <v>545</v>
      </c>
      <c r="B67" s="194">
        <v>0</v>
      </c>
      <c r="C67" s="189" t="s">
        <v>540</v>
      </c>
      <c r="D67" s="2976">
        <f ca="1">B67*H54</f>
        <v>0</v>
      </c>
      <c r="E67" s="1344" t="s">
        <v>87</v>
      </c>
      <c r="F67" s="3075"/>
    </row>
    <row r="68" spans="1:11">
      <c r="A68" s="3076" t="s">
        <v>729</v>
      </c>
      <c r="B68" s="189"/>
      <c r="C68" s="189"/>
      <c r="D68" s="3077">
        <f ca="1">(IF(H53&gt;0,MAX(IF(H54&lt;=O52,O53,IF(H54&lt;=P52,P53,IF(H54&lt;=Q52,Q53,IF(H54&lt;=R52,R53,IF(H54&lt;=S52,S53,0))))),IF(J54&lt;=O51,O53,IF(J54&lt;=P51,P53,IF(J54&lt;=Q51,Q53,IF(J54&lt;=R51,R53,IF(J54&lt;=S51,S53,0)))))),0)+700000)/input!$I$5</f>
        <v>73.302790503956686</v>
      </c>
      <c r="E68" s="1344" t="s">
        <v>87</v>
      </c>
      <c r="F68" s="3075"/>
    </row>
    <row r="69" spans="1:11">
      <c r="A69" s="3076" t="s">
        <v>558</v>
      </c>
      <c r="B69" s="194">
        <f>150000/input!$I$5*IF(input!$B$2="Oversea Client",1,0)</f>
        <v>0</v>
      </c>
      <c r="C69" s="189" t="s">
        <v>542</v>
      </c>
      <c r="D69" s="2976">
        <f ca="1">IF(H54&gt;0,B69,0)</f>
        <v>0</v>
      </c>
      <c r="E69" s="1344" t="s">
        <v>87</v>
      </c>
      <c r="F69" s="3075"/>
    </row>
    <row r="70" spans="1:11">
      <c r="A70" s="3076" t="s">
        <v>3012</v>
      </c>
      <c r="B70" s="194">
        <f>50000/input!$I$5</f>
        <v>2.0824656393169514</v>
      </c>
      <c r="C70" s="189" t="s">
        <v>3013</v>
      </c>
      <c r="D70" s="2976">
        <f ca="1">IF(J54&gt;0,MAX(B70,B70*ROUNDUP(J54,0)),0)</f>
        <v>2.0824656393169514</v>
      </c>
      <c r="E70" s="1344" t="s">
        <v>87</v>
      </c>
      <c r="F70" s="3075"/>
    </row>
    <row r="71" spans="1:11">
      <c r="A71" s="3078" t="s">
        <v>3072</v>
      </c>
      <c r="B71" s="3244">
        <v>80</v>
      </c>
      <c r="C71" s="189" t="s">
        <v>542</v>
      </c>
      <c r="D71" s="2976">
        <f ca="1">IF(H54&gt;0,B71,0)</f>
        <v>80</v>
      </c>
      <c r="E71" s="1344" t="s">
        <v>87</v>
      </c>
      <c r="F71" s="3075"/>
    </row>
    <row r="72" spans="1:11">
      <c r="A72" s="3078"/>
      <c r="B72" s="320"/>
      <c r="C72" s="312" t="s">
        <v>2212</v>
      </c>
      <c r="D72" s="321">
        <f ca="1">SUM(D59:D60)+SUM(D62:D71)*(1+10%)</f>
        <v>593.41857559350274</v>
      </c>
      <c r="E72" s="816" t="s">
        <v>87</v>
      </c>
      <c r="F72" s="3075"/>
    </row>
    <row r="73" spans="1:11">
      <c r="A73" s="3078"/>
      <c r="B73" s="320"/>
      <c r="C73" s="312" t="s">
        <v>3073</v>
      </c>
      <c r="D73" s="3079">
        <f>Data!$M$10/30*$N$3</f>
        <v>1.2E-2</v>
      </c>
      <c r="E73" s="816"/>
      <c r="F73" s="3075"/>
    </row>
    <row r="74" spans="1:11">
      <c r="A74" s="3078"/>
      <c r="B74" s="320"/>
      <c r="C74" s="312" t="s">
        <v>3074</v>
      </c>
      <c r="D74" s="321">
        <f ca="1">SUM(D72,B56)*(1+D73)</f>
        <v>600.53959850062472</v>
      </c>
      <c r="E74" s="816" t="s">
        <v>87</v>
      </c>
      <c r="F74" s="3075"/>
    </row>
    <row r="75" spans="1:11">
      <c r="A75" s="3080"/>
      <c r="B75" s="320"/>
      <c r="C75" s="312" t="s">
        <v>3074</v>
      </c>
      <c r="D75" s="321" t="e">
        <f ca="1">D74*input!#REF!</f>
        <v>#REF!</v>
      </c>
      <c r="E75" s="816" t="s">
        <v>92</v>
      </c>
      <c r="F75" s="3081"/>
      <c r="G75" s="2746"/>
      <c r="H75" s="3031"/>
    </row>
    <row r="76" spans="1:11">
      <c r="A76" s="3080"/>
      <c r="C76" s="3185" t="s">
        <v>3074</v>
      </c>
      <c r="D76" s="396" t="e">
        <f ca="1">D75/B55</f>
        <v>#REF!</v>
      </c>
      <c r="E76" s="3186" t="s">
        <v>3075</v>
      </c>
      <c r="F76" s="3081"/>
    </row>
    <row r="77" spans="1:11" ht="13.5" thickBot="1">
      <c r="A77" s="3188"/>
      <c r="B77" s="3189"/>
      <c r="C77" s="3189"/>
      <c r="D77" s="3189"/>
      <c r="E77" s="3189"/>
      <c r="F77" s="3190"/>
    </row>
    <row r="80" spans="1:11">
      <c r="A80" s="2132" t="s">
        <v>3757</v>
      </c>
      <c r="B80" s="2132"/>
      <c r="C80" s="2132"/>
      <c r="D80" s="2132"/>
      <c r="E80" s="2132"/>
      <c r="F80" s="2132" t="s">
        <v>3758</v>
      </c>
      <c r="G80" s="2132"/>
      <c r="I80" s="189"/>
      <c r="J80" s="349"/>
      <c r="K80" s="189"/>
    </row>
    <row r="81" spans="1:11">
      <c r="A81" s="320" t="s">
        <v>3759</v>
      </c>
      <c r="B81" s="2746">
        <f>input!J281+3</f>
        <v>3</v>
      </c>
      <c r="C81" s="2746">
        <f>input!K281+3</f>
        <v>3</v>
      </c>
      <c r="D81" s="136" t="s">
        <v>10</v>
      </c>
      <c r="I81" s="189"/>
      <c r="J81" s="349"/>
      <c r="K81" s="189"/>
    </row>
    <row r="82" spans="1:11">
      <c r="A82" s="4005" t="s">
        <v>3760</v>
      </c>
      <c r="B82" s="2746">
        <v>1525</v>
      </c>
      <c r="C82" s="2746">
        <f>1000*1000</f>
        <v>1000000</v>
      </c>
      <c r="D82" s="136" t="s">
        <v>10</v>
      </c>
      <c r="E82" s="2746">
        <f>+B82*C82/10^6</f>
        <v>1525</v>
      </c>
    </row>
    <row r="83" spans="1:11">
      <c r="A83" s="4005"/>
      <c r="B83" s="136">
        <f>INT(B82/B81)</f>
        <v>508</v>
      </c>
      <c r="C83" s="2746">
        <f>INT(C82/C81)</f>
        <v>333333</v>
      </c>
    </row>
    <row r="84" spans="1:11">
      <c r="A84" s="4005" t="s">
        <v>3761</v>
      </c>
      <c r="B84" s="2746">
        <f>SUM(Paper!$V$27:$X$27)</f>
        <v>0</v>
      </c>
      <c r="C84" s="136" t="s">
        <v>3762</v>
      </c>
    </row>
    <row r="85" spans="1:11">
      <c r="A85" s="4005"/>
      <c r="B85" s="2746">
        <f>B83*C83</f>
        <v>169333164</v>
      </c>
      <c r="C85" s="136" t="s">
        <v>3763</v>
      </c>
    </row>
    <row r="86" spans="1:11">
      <c r="A86" s="4005" t="str">
        <f>A84</f>
        <v>Required</v>
      </c>
      <c r="B86" s="315">
        <f>ROUNDUP(B84/B85,0)</f>
        <v>0</v>
      </c>
      <c r="C86" s="136" t="s">
        <v>104</v>
      </c>
    </row>
    <row r="87" spans="1:11">
      <c r="A87" s="3347" t="s">
        <v>1924</v>
      </c>
      <c r="B87" s="3402">
        <v>1</v>
      </c>
      <c r="C87" s="2993" t="s">
        <v>104</v>
      </c>
      <c r="D87" s="320" t="s">
        <v>3764</v>
      </c>
      <c r="E87" s="2606">
        <f>B87*B82*C82/10^6</f>
        <v>1525</v>
      </c>
      <c r="F87" s="320" t="s">
        <v>206</v>
      </c>
      <c r="G87" s="189"/>
    </row>
    <row r="88" spans="1:11">
      <c r="A88" s="320" t="s">
        <v>529</v>
      </c>
      <c r="B88" s="335">
        <f>MAX(B86:B87)*B82*C82/10^6</f>
        <v>1525</v>
      </c>
      <c r="C88" s="320" t="s">
        <v>3765</v>
      </c>
      <c r="G88" s="189"/>
    </row>
    <row r="89" spans="1:11">
      <c r="A89" s="320" t="s">
        <v>445</v>
      </c>
      <c r="B89" s="3348">
        <f>IF(MAX($B$86:$B$87)&lt;5,14415,IF(MAX($B$86:$B$87)&lt;10,13209,12305))</f>
        <v>14415</v>
      </c>
      <c r="C89" s="326" t="s">
        <v>3766</v>
      </c>
      <c r="G89" s="189"/>
    </row>
    <row r="90" spans="1:11">
      <c r="A90" s="320" t="s">
        <v>3767</v>
      </c>
      <c r="B90" s="335">
        <f>Paper!T4</f>
        <v>0</v>
      </c>
      <c r="C90" s="320" t="s">
        <v>92</v>
      </c>
      <c r="G90" s="320"/>
    </row>
    <row r="91" spans="1:11">
      <c r="A91" s="320" t="s">
        <v>21</v>
      </c>
      <c r="B91" s="348">
        <f>B89*B88*(1+B90)</f>
        <v>21982875</v>
      </c>
      <c r="C91" s="320" t="s">
        <v>92</v>
      </c>
    </row>
    <row r="92" spans="1:11">
      <c r="A92" s="320" t="s">
        <v>567</v>
      </c>
      <c r="B92" s="4006">
        <f>B91/B88</f>
        <v>14415</v>
      </c>
      <c r="C92" s="1344" t="s">
        <v>3768</v>
      </c>
      <c r="D92" s="1344" t="s">
        <v>206</v>
      </c>
    </row>
    <row r="95" spans="1:11" customFormat="1" ht="17.25" customHeight="1">
      <c r="A95" s="2405" t="s">
        <v>3769</v>
      </c>
    </row>
    <row r="96" spans="1:11" customFormat="1" ht="21.75">
      <c r="A96" s="2405" t="s">
        <v>3770</v>
      </c>
    </row>
    <row r="97" spans="1:1" customFormat="1" ht="21.75">
      <c r="A97" s="2405" t="s">
        <v>3771</v>
      </c>
    </row>
    <row r="98" spans="1:1" customFormat="1" ht="21.75">
      <c r="A98" s="2405" t="s">
        <v>3772</v>
      </c>
    </row>
    <row r="99" spans="1:1" customFormat="1" ht="21.75">
      <c r="A99" s="2405" t="s">
        <v>3773</v>
      </c>
    </row>
    <row r="100" spans="1:1" customFormat="1" ht="21.75">
      <c r="A100" s="2887"/>
    </row>
    <row r="101" spans="1:1" customFormat="1" ht="21.75">
      <c r="A101" s="2887" t="s">
        <v>3774</v>
      </c>
    </row>
    <row r="102" spans="1:1" customFormat="1" ht="21.75">
      <c r="A102" s="2887"/>
    </row>
    <row r="103" spans="1:1" customFormat="1" ht="21.75">
      <c r="A103" s="2887" t="s">
        <v>3775</v>
      </c>
    </row>
  </sheetData>
  <phoneticPr fontId="39" type="noConversion"/>
  <pageMargins left="0.7" right="0.7" top="0.75" bottom="0.75" header="0.3" footer="0.3"/>
  <pageSetup orientation="portrait" r:id="rId1"/>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AU290"/>
  <sheetViews>
    <sheetView showGridLines="0" zoomScale="85" zoomScaleNormal="85" workbookViewId="0">
      <pane ySplit="9" topLeftCell="A256" activePane="bottomLeft" state="frozen"/>
      <selection activeCell="M28" sqref="M28"/>
      <selection pane="bottomLeft" activeCell="M28" sqref="M28"/>
    </sheetView>
  </sheetViews>
  <sheetFormatPr defaultColWidth="8.85546875" defaultRowHeight="12.75" outlineLevelRow="1"/>
  <cols>
    <col min="1" max="1" width="8.85546875" style="136"/>
    <col min="2" max="2" width="18.85546875" style="136" customWidth="1"/>
    <col min="3" max="3" width="8.85546875" style="136" customWidth="1"/>
    <col min="4" max="4" width="17" style="136" customWidth="1"/>
    <col min="5" max="5" width="12" style="136" customWidth="1"/>
    <col min="6" max="6" width="12.85546875" style="136" customWidth="1"/>
    <col min="7" max="7" width="10.42578125" style="136" customWidth="1"/>
    <col min="8" max="8" width="9.42578125" style="136" customWidth="1"/>
    <col min="9" max="9" width="10.28515625" style="136" customWidth="1"/>
    <col min="10" max="10" width="9.5703125" style="136" customWidth="1"/>
    <col min="11" max="11" width="10.42578125" style="136" customWidth="1"/>
    <col min="12" max="12" width="18" style="136" customWidth="1"/>
    <col min="13" max="13" width="8.85546875" style="136" customWidth="1"/>
    <col min="14" max="14" width="8.85546875" style="136"/>
    <col min="15" max="15" width="14.42578125" style="136" bestFit="1" customWidth="1"/>
    <col min="16" max="16384" width="8.85546875" style="136"/>
  </cols>
  <sheetData>
    <row r="1" spans="1:47" ht="13.5" thickBot="1"/>
    <row r="2" spans="1:47">
      <c r="B2" s="788" t="str">
        <f>input!B3</f>
        <v>PACK</v>
      </c>
      <c r="C2" s="323"/>
      <c r="D2" s="431" t="str">
        <f>input!B4</f>
        <v>Non Metalize</v>
      </c>
      <c r="E2" s="323"/>
      <c r="F2" s="323"/>
      <c r="G2" s="328"/>
    </row>
    <row r="3" spans="1:47">
      <c r="A3" s="319"/>
      <c r="B3" s="882" t="s">
        <v>77</v>
      </c>
      <c r="C3" s="791"/>
      <c r="D3" s="883">
        <f>'Cost EST. GM target'!$L$6/(1+$F$4)</f>
        <v>5000</v>
      </c>
      <c r="E3" s="791" t="s">
        <v>11</v>
      </c>
      <c r="F3" s="791"/>
      <c r="G3" s="790"/>
      <c r="J3" s="353"/>
    </row>
    <row r="4" spans="1:47">
      <c r="A4" s="319"/>
      <c r="B4" s="882" t="s">
        <v>1342</v>
      </c>
      <c r="D4" s="883">
        <f>D3*(1+$F$4)</f>
        <v>5000</v>
      </c>
      <c r="E4" s="791" t="s">
        <v>11</v>
      </c>
      <c r="F4" s="797">
        <f>'Cost EST. GM target'!$N$6</f>
        <v>0</v>
      </c>
      <c r="G4" s="884" t="s">
        <v>1094</v>
      </c>
      <c r="I4" s="940"/>
    </row>
    <row r="5" spans="1:47" ht="13.5" thickBot="1">
      <c r="A5" s="319"/>
      <c r="B5" s="885" t="s">
        <v>1341</v>
      </c>
      <c r="C5" s="886"/>
      <c r="D5" s="887">
        <f>D4*(1+$F$5)</f>
        <v>5225</v>
      </c>
      <c r="E5" s="886" t="s">
        <v>11</v>
      </c>
      <c r="F5" s="888">
        <f>input!$D$4</f>
        <v>4.4999999999999998E-2</v>
      </c>
      <c r="G5" s="889" t="s">
        <v>78</v>
      </c>
      <c r="I5" s="941"/>
      <c r="J5" s="942"/>
      <c r="L5" s="3198" t="s">
        <v>3325</v>
      </c>
      <c r="M5" s="3199">
        <f>IF(input!$F$1=2023,5%,0%)*0</f>
        <v>0</v>
      </c>
    </row>
    <row r="6" spans="1:47">
      <c r="L6" s="319" t="s">
        <v>267</v>
      </c>
      <c r="M6" s="720">
        <f>input!$D$5</f>
        <v>0</v>
      </c>
    </row>
    <row r="7" spans="1:47" s="413" customFormat="1" ht="20.25">
      <c r="B7" s="945" t="s">
        <v>213</v>
      </c>
      <c r="I7" s="943">
        <f ca="1">SUM(I10:I258)</f>
        <v>0.2</v>
      </c>
      <c r="J7" s="943">
        <f ca="1">SUM(J10:J258)</f>
        <v>0.2</v>
      </c>
      <c r="K7" s="943">
        <f ca="1">SUM(K10:K258)</f>
        <v>109956</v>
      </c>
      <c r="L7" s="943">
        <f ca="1">SUM(L10:L258)+$D$269</f>
        <v>219912</v>
      </c>
      <c r="M7" s="943">
        <f ca="1">SUM(M10:M258,$D$270)*(1+$M$5)</f>
        <v>43.982399999999998</v>
      </c>
    </row>
    <row r="8" spans="1:47" s="319" customFormat="1">
      <c r="A8" s="333"/>
      <c r="B8" s="946"/>
      <c r="C8" s="947" t="s">
        <v>1410</v>
      </c>
      <c r="D8" s="948">
        <f>IF(B2="Book",0.0000000004,IF(D2="Non Metalize",2.5/10^9,2.2/10^9))</f>
        <v>2.5000000000000001E-9</v>
      </c>
      <c r="E8" s="319" t="s">
        <v>154</v>
      </c>
      <c r="G8" s="333" t="s">
        <v>1102</v>
      </c>
      <c r="H8" s="319" t="s">
        <v>1411</v>
      </c>
      <c r="I8" s="949" t="s">
        <v>1103</v>
      </c>
      <c r="J8" s="4349" t="s">
        <v>20</v>
      </c>
      <c r="K8" s="4349"/>
      <c r="L8" s="319" t="s">
        <v>232</v>
      </c>
      <c r="M8" s="333" t="s">
        <v>146</v>
      </c>
      <c r="N8" s="319" t="s">
        <v>2055</v>
      </c>
    </row>
    <row r="9" spans="1:47" s="319" customFormat="1">
      <c r="A9" s="333"/>
      <c r="B9" s="947"/>
      <c r="E9" s="4351"/>
      <c r="F9" s="4351"/>
      <c r="G9" s="4351"/>
      <c r="H9" s="4351"/>
      <c r="I9" s="877">
        <f ca="1">SUM(I10:I23)</f>
        <v>0.2</v>
      </c>
      <c r="J9" s="877">
        <f ca="1">SUM(J10:J23)</f>
        <v>0.2</v>
      </c>
      <c r="K9" s="950">
        <f ca="1">SUM(K10:K23)</f>
        <v>109956</v>
      </c>
      <c r="L9" s="950">
        <f ca="1">SUM(L10:L23)</f>
        <v>219912</v>
      </c>
      <c r="M9" s="951">
        <f ca="1">IF($D$3&gt;0,L9/($D$3),0)</f>
        <v>43.982399999999998</v>
      </c>
      <c r="O9" s="333" t="s">
        <v>3689</v>
      </c>
      <c r="P9" s="333" t="s">
        <v>3689</v>
      </c>
      <c r="Q9" s="333" t="s">
        <v>3690</v>
      </c>
    </row>
    <row r="10" spans="1:47" ht="15">
      <c r="A10" s="952" t="str">
        <f ca="1">OFFSET(input!$A$25,P10,0)</f>
        <v>Box</v>
      </c>
      <c r="B10" s="891">
        <f ca="1">SUMIFS(Paper!$AC$7:$AC$30,Paper!$A$7:$A$30,Ink!A10)+SUMIFS(Paper!$X$7:$X$30,Paper!$A$7:$A$30,Ink!A10)</f>
        <v>2775</v>
      </c>
      <c r="C10" s="953">
        <v>1</v>
      </c>
      <c r="D10" s="954" t="str">
        <f ca="1">OFFSET(input!$A$27,O10,0)</f>
        <v>Black (60-914386-2.1200 Nutri-2 Proc Black ISO 2846-1)</v>
      </c>
      <c r="E10" s="891">
        <f ca="1">SUMIFS(Paper!$N$7:$N$30,Paper!$A$7:$A$30,A10)</f>
        <v>638</v>
      </c>
      <c r="F10" s="891">
        <f ca="1">SUMIFS(Paper!$O$7:$O$30,Paper!$A$7:$A$30,A10)</f>
        <v>407</v>
      </c>
      <c r="G10" s="955">
        <f ca="1">IF($D10="None",0,IF(OFFSET(input!$B$27,O10,0)&gt;0,OFFSET(input!$B$27,O10,0),E10*F10*$D$8*10000/IF($B$2="PACK",COUNTIF($H$10:$H$23,"&gt;0"),1)))</f>
        <v>0.5</v>
      </c>
      <c r="H10" s="956">
        <f ca="1">IF(OFFSET(input!$C$27,O10,0)&gt;0,OFFSET(input!$C$27,O10,0),VLOOKUP(D10,Data!$L$1064:$M$1071,2,0))</f>
        <v>549780</v>
      </c>
      <c r="I10" s="891">
        <f t="shared" ref="I10:I23" ca="1" si="0">ROUNDUP(IF(G10&gt;0,((B10/10000)*G10),0),1)</f>
        <v>0.2</v>
      </c>
      <c r="J10" s="891">
        <f ca="1">IF(G10&gt;0,0.2,0)*OFFSET(Paper!$J$7,Q10,0)</f>
        <v>0.2</v>
      </c>
      <c r="K10" s="891">
        <f t="shared" ref="K10:K23" ca="1" si="1">J10*H10</f>
        <v>109956</v>
      </c>
      <c r="L10" s="891">
        <f t="shared" ref="L10:L23" ca="1" si="2">IF(I10=0,0,H10*(I10+J10))</f>
        <v>219912</v>
      </c>
      <c r="M10" s="891">
        <f ca="1">IF($D$3&gt;0,L10/($D$3),0)*(1+$M$6)</f>
        <v>43.982399999999998</v>
      </c>
      <c r="N10" s="136" t="str">
        <f ca="1">OFFSET(input!$F$33,P10,0)</f>
        <v>Box</v>
      </c>
      <c r="O10" s="136">
        <v>0</v>
      </c>
      <c r="P10" s="136">
        <v>0</v>
      </c>
      <c r="Q10" s="136">
        <v>0</v>
      </c>
      <c r="AT10" s="413">
        <f ca="1">IF(ISNUMBER(M10),IF(M10&lt;&gt;0,IF(ISNUMBER(SEARCH("to",GL10)),0,1),0),"")</f>
        <v>1</v>
      </c>
      <c r="AU10" s="136">
        <f ca="1">COUNTIFS(AT$7:$AT10,1)</f>
        <v>1</v>
      </c>
    </row>
    <row r="11" spans="1:47" ht="15">
      <c r="A11" s="952" t="str">
        <f ca="1">OFFSET(input!$A$25,P11,0)</f>
        <v>Box</v>
      </c>
      <c r="B11" s="891">
        <f ca="1">SUMIFS(Paper!$AC$7:$AC$30,Paper!$A$7:$A$30,Ink!A11)+SUMIFS(Paper!$X$7:$X$30,Paper!$A$7:$A$30,Ink!A11)</f>
        <v>2775</v>
      </c>
      <c r="C11" s="953">
        <v>2</v>
      </c>
      <c r="D11" s="954" t="str">
        <f ca="1">OFFSET(input!$A$27,O11,0)</f>
        <v>None</v>
      </c>
      <c r="E11" s="891">
        <f ca="1">SUMIFS(Paper!$N$7:$N$30,Paper!$A$7:$A$30,A11)</f>
        <v>638</v>
      </c>
      <c r="F11" s="891">
        <f ca="1">SUMIFS(Paper!$O$7:$O$30,Paper!$A$7:$A$30,A11)</f>
        <v>407</v>
      </c>
      <c r="G11" s="955">
        <f ca="1">IF($D11="None",0,IF(OFFSET(input!$B$27,O11,0)&gt;0,OFFSET(input!$B$27,O11,0),E11*F11*$D$8*10000/IF($B$2="PACK",COUNTIF($H$10:$H$23,"&gt;0"),1)))</f>
        <v>0</v>
      </c>
      <c r="H11" s="956">
        <f ca="1">IF(OFFSET(input!$C$27,O11,0)&gt;0,OFFSET(input!$C$27,O11,0),VLOOKUP(D11,Data!$L$1064:$M$1071,2,0))</f>
        <v>0</v>
      </c>
      <c r="I11" s="891">
        <f t="shared" ca="1" si="0"/>
        <v>0</v>
      </c>
      <c r="J11" s="891">
        <f ca="1">IF(G11&gt;0,0.2,0)*OFFSET(Paper!$J$7,Q11,0)</f>
        <v>0</v>
      </c>
      <c r="K11" s="891">
        <f t="shared" ca="1" si="1"/>
        <v>0</v>
      </c>
      <c r="L11" s="891">
        <f t="shared" ca="1" si="2"/>
        <v>0</v>
      </c>
      <c r="M11" s="891">
        <f t="shared" ref="M11:M23" ca="1" si="3">IF($D$3&gt;0,L11/($D$3),0)*(1+$M$6)</f>
        <v>0</v>
      </c>
      <c r="N11" s="136" t="str">
        <f ca="1">OFFSET(input!$F$33,P11,0)</f>
        <v>Box</v>
      </c>
      <c r="O11" s="136">
        <f>O10+1</f>
        <v>1</v>
      </c>
      <c r="P11" s="136">
        <f>+P10</f>
        <v>0</v>
      </c>
      <c r="Q11" s="136">
        <v>0</v>
      </c>
      <c r="AT11" s="413">
        <f t="shared" ref="AT11:AT74" ca="1" si="4">IF(ISNUMBER(M11),IF(M11&lt;&gt;0,IF(ISNUMBER(SEARCH("to",GL11)),0,1),0),"")</f>
        <v>0</v>
      </c>
      <c r="AU11" s="136">
        <f ca="1">COUNTIFS(AT$7:$AT11,1)</f>
        <v>1</v>
      </c>
    </row>
    <row r="12" spans="1:47" ht="15">
      <c r="A12" s="952" t="str">
        <f ca="1">OFFSET(input!$A$25,P12,0)</f>
        <v>Box</v>
      </c>
      <c r="B12" s="891">
        <f ca="1">SUMIFS(Paper!$AC$7:$AC$30,Paper!$A$7:$A$30,Ink!A12)+SUMIFS(Paper!$X$7:$X$30,Paper!$A$7:$A$30,Ink!A12)</f>
        <v>2775</v>
      </c>
      <c r="C12" s="953">
        <v>3</v>
      </c>
      <c r="D12" s="954" t="str">
        <f ca="1">OFFSET(input!$A$27,O12,0)</f>
        <v>None</v>
      </c>
      <c r="E12" s="891">
        <f ca="1">SUMIFS(Paper!$N$7:$N$30,Paper!$A$7:$A$30,A12)</f>
        <v>638</v>
      </c>
      <c r="F12" s="891">
        <f ca="1">SUMIFS(Paper!$O$7:$O$30,Paper!$A$7:$A$30,A12)</f>
        <v>407</v>
      </c>
      <c r="G12" s="955">
        <f ca="1">IF($D12="None",0,IF(OFFSET(input!$B$27,O12,0)&gt;0,OFFSET(input!$B$27,O12,0),E12*F12*$D$8*10000/IF($B$2="PACK",COUNTIF($H$10:$H$23,"&gt;0"),1)))</f>
        <v>0</v>
      </c>
      <c r="H12" s="956">
        <f ca="1">IF(OFFSET(input!$C$27,O12,0)&gt;0,OFFSET(input!$C$27,O12,0),VLOOKUP(D12,Data!$L$1064:$M$1071,2,0))</f>
        <v>0</v>
      </c>
      <c r="I12" s="891">
        <f t="shared" ca="1" si="0"/>
        <v>0</v>
      </c>
      <c r="J12" s="891">
        <f ca="1">IF(G12&gt;0,0.2,0)*OFFSET(Paper!$J$7,Q12,0)</f>
        <v>0</v>
      </c>
      <c r="K12" s="891">
        <f t="shared" ca="1" si="1"/>
        <v>0</v>
      </c>
      <c r="L12" s="891">
        <f t="shared" ca="1" si="2"/>
        <v>0</v>
      </c>
      <c r="M12" s="891">
        <f t="shared" ca="1" si="3"/>
        <v>0</v>
      </c>
      <c r="N12" s="136" t="str">
        <f ca="1">OFFSET(input!$F$33,P12,0)</f>
        <v>Box</v>
      </c>
      <c r="O12" s="136">
        <f t="shared" ref="O12:O23" si="5">O11+1</f>
        <v>2</v>
      </c>
      <c r="P12" s="136">
        <f t="shared" ref="P12:P23" si="6">+P11</f>
        <v>0</v>
      </c>
      <c r="Q12" s="136">
        <v>0</v>
      </c>
      <c r="AT12" s="413">
        <f t="shared" ca="1" si="4"/>
        <v>0</v>
      </c>
      <c r="AU12" s="136">
        <f ca="1">COUNTIFS(AT$7:$AT12,1)</f>
        <v>1</v>
      </c>
    </row>
    <row r="13" spans="1:47" ht="15">
      <c r="A13" s="952" t="str">
        <f ca="1">OFFSET(input!$A$25,P13,0)</f>
        <v>Box</v>
      </c>
      <c r="B13" s="891">
        <f ca="1">SUMIFS(Paper!$AC$7:$AC$30,Paper!$A$7:$A$30,Ink!A13)+SUMIFS(Paper!$X$7:$X$30,Paper!$A$7:$A$30,Ink!A13)</f>
        <v>2775</v>
      </c>
      <c r="C13" s="953">
        <v>4</v>
      </c>
      <c r="D13" s="954" t="str">
        <f ca="1">OFFSET(input!$A$27,O13,0)</f>
        <v>None</v>
      </c>
      <c r="E13" s="891">
        <f ca="1">SUMIFS(Paper!$N$7:$N$30,Paper!$A$7:$A$30,A13)</f>
        <v>638</v>
      </c>
      <c r="F13" s="891">
        <f ca="1">SUMIFS(Paper!$O$7:$O$30,Paper!$A$7:$A$30,A13)</f>
        <v>407</v>
      </c>
      <c r="G13" s="955">
        <f ca="1">IF($D13="None",0,IF(OFFSET(input!$B$27,O13,0)&gt;0,OFFSET(input!$B$27,O13,0),E13*F13*$D$8*10000/IF($B$2="PACK",COUNTIF($H$10:$H$23,"&gt;0"),1)))</f>
        <v>0</v>
      </c>
      <c r="H13" s="956">
        <f ca="1">IF(OFFSET(input!$C$27,O13,0)&gt;0,OFFSET(input!$C$27,O13,0),VLOOKUP(D13,Data!$L$1064:$M$1071,2,0))</f>
        <v>0</v>
      </c>
      <c r="I13" s="891">
        <f t="shared" ca="1" si="0"/>
        <v>0</v>
      </c>
      <c r="J13" s="891">
        <f ca="1">IF(G13&gt;0,0.2,0)*OFFSET(Paper!$J$7,Q13,0)</f>
        <v>0</v>
      </c>
      <c r="K13" s="891">
        <f t="shared" ca="1" si="1"/>
        <v>0</v>
      </c>
      <c r="L13" s="891">
        <f t="shared" ca="1" si="2"/>
        <v>0</v>
      </c>
      <c r="M13" s="891">
        <f t="shared" ca="1" si="3"/>
        <v>0</v>
      </c>
      <c r="N13" s="136" t="str">
        <f ca="1">OFFSET(input!$F$33,P13,0)</f>
        <v>Box</v>
      </c>
      <c r="O13" s="136">
        <f t="shared" si="5"/>
        <v>3</v>
      </c>
      <c r="P13" s="136">
        <f t="shared" si="6"/>
        <v>0</v>
      </c>
      <c r="Q13" s="136">
        <v>0</v>
      </c>
      <c r="AT13" s="413">
        <f t="shared" ca="1" si="4"/>
        <v>0</v>
      </c>
      <c r="AU13" s="136">
        <f ca="1">COUNTIFS(AT$7:$AT13,1)</f>
        <v>1</v>
      </c>
    </row>
    <row r="14" spans="1:47" ht="15">
      <c r="A14" s="952" t="str">
        <f ca="1">OFFSET(input!$A$25,P14,0)</f>
        <v>Box</v>
      </c>
      <c r="B14" s="891">
        <f ca="1">SUMIFS(Paper!$AC$7:$AC$30,Paper!$A$7:$A$30,Ink!A14)+SUMIFS(Paper!$X$7:$X$30,Paper!$A$7:$A$30,Ink!A14)</f>
        <v>2775</v>
      </c>
      <c r="C14" s="953">
        <v>5</v>
      </c>
      <c r="D14" s="954" t="str">
        <f ca="1">OFFSET(input!$A$27,O14,0)</f>
        <v>None</v>
      </c>
      <c r="E14" s="891">
        <f ca="1">SUMIFS(Paper!$N$7:$N$30,Paper!$A$7:$A$30,A14)</f>
        <v>638</v>
      </c>
      <c r="F14" s="891">
        <f ca="1">SUMIFS(Paper!$O$7:$O$30,Paper!$A$7:$A$30,A14)</f>
        <v>407</v>
      </c>
      <c r="G14" s="955">
        <f ca="1">IF($D14="None",0,IF(OFFSET(input!$B$27,O14,0)&gt;0,OFFSET(input!$B$27,O14,0),E14*F14*$D$8*10000/IF($B$2="PACK",COUNTIF($H$10:$H$23,"&gt;0"),1)))</f>
        <v>0</v>
      </c>
      <c r="H14" s="956">
        <f ca="1">IF(OFFSET(input!$C$27,O14,0)&gt;0,OFFSET(input!$C$27,O14,0),VLOOKUP(D14,Data!$L$1064:$M$1071,2,0))</f>
        <v>0</v>
      </c>
      <c r="I14" s="891">
        <f t="shared" ca="1" si="0"/>
        <v>0</v>
      </c>
      <c r="J14" s="891">
        <f ca="1">IF(G14&gt;0,0.2,0)*OFFSET(Paper!$J$7,Q14,0)</f>
        <v>0</v>
      </c>
      <c r="K14" s="891">
        <f t="shared" ca="1" si="1"/>
        <v>0</v>
      </c>
      <c r="L14" s="891">
        <f t="shared" ca="1" si="2"/>
        <v>0</v>
      </c>
      <c r="M14" s="891">
        <f t="shared" ca="1" si="3"/>
        <v>0</v>
      </c>
      <c r="N14" s="136" t="str">
        <f ca="1">OFFSET(input!$F$33,P14,0)</f>
        <v>Box</v>
      </c>
      <c r="O14" s="136">
        <f t="shared" si="5"/>
        <v>4</v>
      </c>
      <c r="P14" s="136">
        <f t="shared" si="6"/>
        <v>0</v>
      </c>
      <c r="Q14" s="136">
        <v>0</v>
      </c>
      <c r="AT14" s="413">
        <f t="shared" ca="1" si="4"/>
        <v>0</v>
      </c>
      <c r="AU14" s="136">
        <f ca="1">COUNTIFS(AT$7:$AT14,1)</f>
        <v>1</v>
      </c>
    </row>
    <row r="15" spans="1:47" ht="15">
      <c r="A15" s="952" t="str">
        <f ca="1">OFFSET(input!$A$25,P15,0)</f>
        <v>Box</v>
      </c>
      <c r="B15" s="891">
        <f ca="1">SUMIFS(Paper!$AC$7:$AC$30,Paper!$A$7:$A$30,Ink!A15)+SUMIFS(Paper!$X$7:$X$30,Paper!$A$7:$A$30,Ink!A15)</f>
        <v>2775</v>
      </c>
      <c r="C15" s="953">
        <v>6</v>
      </c>
      <c r="D15" s="954" t="str">
        <f ca="1">OFFSET(input!$A$27,O15,0)</f>
        <v>None</v>
      </c>
      <c r="E15" s="891">
        <f ca="1">SUMIFS(Paper!$N$7:$N$30,Paper!$A$7:$A$30,A15)</f>
        <v>638</v>
      </c>
      <c r="F15" s="891">
        <f ca="1">SUMIFS(Paper!$O$7:$O$30,Paper!$A$7:$A$30,A15)</f>
        <v>407</v>
      </c>
      <c r="G15" s="955">
        <f ca="1">IF($D15="None",0,IF(OFFSET(input!$B$27,O15,0)&gt;0,OFFSET(input!$B$27,O15,0),E15*F15*$D$8*10000/IF($B$2="PACK",COUNTIF($H$10:$H$23,"&gt;0"),1)))</f>
        <v>0</v>
      </c>
      <c r="H15" s="956">
        <f ca="1">IF(OFFSET(input!$C$27,O15,0)&gt;0,OFFSET(input!$C$27,O15,0),VLOOKUP(D15,Data!$L$1064:$M$1071,2,0))</f>
        <v>0</v>
      </c>
      <c r="I15" s="891">
        <f t="shared" ca="1" si="0"/>
        <v>0</v>
      </c>
      <c r="J15" s="891">
        <f ca="1">IF(G15&gt;0,0.2,0)*OFFSET(Paper!$J$7,Q15,0)</f>
        <v>0</v>
      </c>
      <c r="K15" s="891">
        <f t="shared" ca="1" si="1"/>
        <v>0</v>
      </c>
      <c r="L15" s="891">
        <f t="shared" ca="1" si="2"/>
        <v>0</v>
      </c>
      <c r="M15" s="891">
        <f t="shared" ca="1" si="3"/>
        <v>0</v>
      </c>
      <c r="N15" s="136" t="str">
        <f ca="1">OFFSET(input!$F$33,P15,0)</f>
        <v>Box</v>
      </c>
      <c r="O15" s="136">
        <f t="shared" si="5"/>
        <v>5</v>
      </c>
      <c r="P15" s="136">
        <f t="shared" si="6"/>
        <v>0</v>
      </c>
      <c r="Q15" s="136">
        <v>0</v>
      </c>
      <c r="AT15" s="413">
        <f t="shared" ca="1" si="4"/>
        <v>0</v>
      </c>
      <c r="AU15" s="136">
        <f ca="1">COUNTIFS(AT$7:$AT15,1)</f>
        <v>1</v>
      </c>
    </row>
    <row r="16" spans="1:47" ht="15">
      <c r="A16" s="952" t="str">
        <f ca="1">OFFSET(input!$A$25,P16,0)</f>
        <v>Box</v>
      </c>
      <c r="B16" s="891">
        <f ca="1">SUMIFS(Paper!$AC$7:$AC$30,Paper!$A$7:$A$30,Ink!A16)+SUMIFS(Paper!$X$7:$X$30,Paper!$A$7:$A$30,Ink!A16)</f>
        <v>2775</v>
      </c>
      <c r="C16" s="953">
        <v>7</v>
      </c>
      <c r="D16" s="954" t="str">
        <f ca="1">OFFSET(input!$A$27,O16,0)</f>
        <v>None</v>
      </c>
      <c r="E16" s="891">
        <f ca="1">SUMIFS(Paper!$N$7:$N$30,Paper!$A$7:$A$30,A16)</f>
        <v>638</v>
      </c>
      <c r="F16" s="891">
        <f ca="1">SUMIFS(Paper!$O$7:$O$30,Paper!$A$7:$A$30,A16)</f>
        <v>407</v>
      </c>
      <c r="G16" s="955">
        <f ca="1">IF($D16="None",0,IF(OFFSET(input!$B$27,O16,0)&gt;0,OFFSET(input!$B$27,O16,0),E16*F16*$D$8*10000/IF($B$2="PACK",COUNTIF($H$10:$H$23,"&gt;0"),1)))</f>
        <v>0</v>
      </c>
      <c r="H16" s="956">
        <f ca="1">IF(OFFSET(input!$C$27,O16,0)&gt;0,OFFSET(input!$C$27,O16,0),VLOOKUP(D16,Data!$L$1064:$M$1071,2,0))</f>
        <v>0</v>
      </c>
      <c r="I16" s="891">
        <f t="shared" ca="1" si="0"/>
        <v>0</v>
      </c>
      <c r="J16" s="891">
        <f ca="1">IF(G16&gt;0,0.2,0)*OFFSET(Paper!$J$7,Q16,0)</f>
        <v>0</v>
      </c>
      <c r="K16" s="891">
        <f t="shared" ca="1" si="1"/>
        <v>0</v>
      </c>
      <c r="L16" s="891">
        <f t="shared" ca="1" si="2"/>
        <v>0</v>
      </c>
      <c r="M16" s="891">
        <f t="shared" ca="1" si="3"/>
        <v>0</v>
      </c>
      <c r="N16" s="136" t="str">
        <f ca="1">OFFSET(input!$F$33,P16,0)</f>
        <v>Box</v>
      </c>
      <c r="O16" s="136">
        <f t="shared" si="5"/>
        <v>6</v>
      </c>
      <c r="P16" s="136">
        <f t="shared" si="6"/>
        <v>0</v>
      </c>
      <c r="Q16" s="136">
        <v>0</v>
      </c>
      <c r="AT16" s="413">
        <f t="shared" ca="1" si="4"/>
        <v>0</v>
      </c>
      <c r="AU16" s="136">
        <f ca="1">COUNTIFS(AT$7:$AT16,1)</f>
        <v>1</v>
      </c>
    </row>
    <row r="17" spans="1:47" ht="15">
      <c r="A17" s="952" t="str">
        <f ca="1">OFFSET(input!$A$25,P17,0)</f>
        <v>Box</v>
      </c>
      <c r="B17" s="891">
        <f ca="1">SUMIFS(Paper!$AC$7:$AC$30,Paper!$A$7:$A$30,Ink!A17)+SUMIFS(Paper!$X$7:$X$30,Paper!$A$7:$A$30,Ink!A17)</f>
        <v>2775</v>
      </c>
      <c r="C17" s="953">
        <v>8</v>
      </c>
      <c r="D17" s="954" t="str">
        <f ca="1">OFFSET(input!$A$27,O17,0)</f>
        <v>None</v>
      </c>
      <c r="E17" s="891">
        <f ca="1">SUMIFS(Paper!$N$7:$N$30,Paper!$A$7:$A$30,A17)</f>
        <v>638</v>
      </c>
      <c r="F17" s="891">
        <f ca="1">SUMIFS(Paper!$O$7:$O$30,Paper!$A$7:$A$30,A17)</f>
        <v>407</v>
      </c>
      <c r="G17" s="955">
        <f ca="1">IF($D17="None",0,IF(OFFSET(input!$B$27,O17,0)&gt;0,OFFSET(input!$B$27,O17,0),E17*F17*$D$8*10000/IF($B$2="PACK",COUNTIF($H$10:$H$23,"&gt;0"),1)))</f>
        <v>0</v>
      </c>
      <c r="H17" s="956">
        <f ca="1">IF(OFFSET(input!$C$27,O17,0)&gt;0,OFFSET(input!$C$27,O17,0),VLOOKUP(D17,Data!$L$1064:$M$1071,2,0))</f>
        <v>0</v>
      </c>
      <c r="I17" s="891">
        <f t="shared" ca="1" si="0"/>
        <v>0</v>
      </c>
      <c r="J17" s="891">
        <f ca="1">IF(G17&gt;0,0.2,0)*OFFSET(Paper!$J$7,Q17,0)</f>
        <v>0</v>
      </c>
      <c r="K17" s="891">
        <f t="shared" ca="1" si="1"/>
        <v>0</v>
      </c>
      <c r="L17" s="891">
        <f t="shared" ca="1" si="2"/>
        <v>0</v>
      </c>
      <c r="M17" s="891">
        <f t="shared" ca="1" si="3"/>
        <v>0</v>
      </c>
      <c r="N17" s="136" t="str">
        <f ca="1">OFFSET(input!$F$33,P17,0)</f>
        <v>Box</v>
      </c>
      <c r="O17" s="136">
        <f t="shared" si="5"/>
        <v>7</v>
      </c>
      <c r="P17" s="136">
        <f t="shared" si="6"/>
        <v>0</v>
      </c>
      <c r="Q17" s="136">
        <v>0</v>
      </c>
      <c r="AT17" s="413">
        <f t="shared" ca="1" si="4"/>
        <v>0</v>
      </c>
      <c r="AU17" s="136">
        <f ca="1">COUNTIFS(AT$7:$AT17,1)</f>
        <v>1</v>
      </c>
    </row>
    <row r="18" spans="1:47" ht="15">
      <c r="A18" s="952" t="str">
        <f ca="1">OFFSET(input!$A$25,P18,0)</f>
        <v>Box</v>
      </c>
      <c r="B18" s="891">
        <f ca="1">SUMIFS(Paper!$AC$7:$AC$30,Paper!$A$7:$A$30,Ink!A18)+SUMIFS(Paper!$X$7:$X$30,Paper!$A$7:$A$30,Ink!A18)</f>
        <v>2775</v>
      </c>
      <c r="C18" s="953">
        <v>9</v>
      </c>
      <c r="D18" s="954" t="str">
        <f ca="1">OFFSET(input!$A$27,O18,0)</f>
        <v>None</v>
      </c>
      <c r="E18" s="891">
        <f ca="1">SUMIFS(Paper!$N$7:$N$30,Paper!$A$7:$A$30,A18)</f>
        <v>638</v>
      </c>
      <c r="F18" s="891">
        <f ca="1">SUMIFS(Paper!$O$7:$O$30,Paper!$A$7:$A$30,A18)</f>
        <v>407</v>
      </c>
      <c r="G18" s="955">
        <f ca="1">IF($D18="None",0,IF(OFFSET(input!$B$27,O18,0)&gt;0,OFFSET(input!$B$27,O18,0),E18*F18*$D$8*10000/IF($B$2="PACK",COUNTIF($H$10:$H$23,"&gt;0"),1)))</f>
        <v>0</v>
      </c>
      <c r="H18" s="956">
        <f ca="1">IF(OFFSET(input!$C$27,O18,0)&gt;0,OFFSET(input!$C$27,O18,0),VLOOKUP(D18,Data!$L$1064:$M$1071,2,0))</f>
        <v>0</v>
      </c>
      <c r="I18" s="891">
        <f t="shared" ca="1" si="0"/>
        <v>0</v>
      </c>
      <c r="J18" s="891">
        <f ca="1">IF(G18&gt;0,0.2,0)*OFFSET(Paper!$J$7,Q18,0)</f>
        <v>0</v>
      </c>
      <c r="K18" s="891">
        <f t="shared" ca="1" si="1"/>
        <v>0</v>
      </c>
      <c r="L18" s="891">
        <f t="shared" ca="1" si="2"/>
        <v>0</v>
      </c>
      <c r="M18" s="891">
        <f t="shared" ca="1" si="3"/>
        <v>0</v>
      </c>
      <c r="N18" s="136" t="str">
        <f ca="1">OFFSET(input!$F$33,P18,0)</f>
        <v>Box</v>
      </c>
      <c r="O18" s="136">
        <f t="shared" si="5"/>
        <v>8</v>
      </c>
      <c r="P18" s="136">
        <f t="shared" si="6"/>
        <v>0</v>
      </c>
      <c r="Q18" s="136">
        <v>0</v>
      </c>
      <c r="AT18" s="413">
        <f t="shared" ca="1" si="4"/>
        <v>0</v>
      </c>
      <c r="AU18" s="136">
        <f ca="1">COUNTIFS(AT$7:$AT18,1)</f>
        <v>1</v>
      </c>
    </row>
    <row r="19" spans="1:47" ht="15">
      <c r="A19" s="952" t="str">
        <f ca="1">OFFSET(input!$A$25,P19,0)</f>
        <v>Box</v>
      </c>
      <c r="B19" s="891">
        <f ca="1">SUMIFS(Paper!$AC$7:$AC$30,Paper!$A$7:$A$30,Ink!A19)+SUMIFS(Paper!$X$7:$X$30,Paper!$A$7:$A$30,Ink!A19)</f>
        <v>2775</v>
      </c>
      <c r="C19" s="953">
        <v>10</v>
      </c>
      <c r="D19" s="954" t="str">
        <f ca="1">OFFSET(input!$A$27,O19,0)</f>
        <v>None</v>
      </c>
      <c r="E19" s="891">
        <f ca="1">SUMIFS(Paper!$N$7:$N$30,Paper!$A$7:$A$30,A19)</f>
        <v>638</v>
      </c>
      <c r="F19" s="891">
        <f ca="1">SUMIFS(Paper!$O$7:$O$30,Paper!$A$7:$A$30,A19)</f>
        <v>407</v>
      </c>
      <c r="G19" s="955">
        <f ca="1">IF($D19="None",0,IF(OFFSET(input!$B$27,O19,0)&gt;0,OFFSET(input!$B$27,O19,0),E19*F19*$D$8*10000/IF($B$2="PACK",COUNTIF($H$10:$H$23,"&gt;0"),1)))</f>
        <v>0</v>
      </c>
      <c r="H19" s="956">
        <f ca="1">IF(OFFSET(input!$C$27,O19,0)&gt;0,OFFSET(input!$C$27,O19,0),VLOOKUP(D19,Data!$L$1064:$M$1071,2,0))</f>
        <v>0</v>
      </c>
      <c r="I19" s="891">
        <f ca="1">ROUNDUP(IF(G19&gt;0,((B19/10000)*G19),0),1)</f>
        <v>0</v>
      </c>
      <c r="J19" s="891">
        <f ca="1">IF(G19&gt;0,0.2,0)*OFFSET(Paper!$J$7,Q19,0)</f>
        <v>0</v>
      </c>
      <c r="K19" s="891">
        <f ca="1">J19*H19</f>
        <v>0</v>
      </c>
      <c r="L19" s="891">
        <f ca="1">IF(I19=0,0,H19*(I19+J19))</f>
        <v>0</v>
      </c>
      <c r="M19" s="891">
        <f ca="1">IF($D$3&gt;0,L19/($D$3),0)*(1+$M$6)</f>
        <v>0</v>
      </c>
      <c r="N19" s="136" t="str">
        <f ca="1">OFFSET(input!$F$33,P19,0)</f>
        <v>Box</v>
      </c>
      <c r="O19" s="136">
        <f t="shared" si="5"/>
        <v>9</v>
      </c>
      <c r="P19" s="136">
        <f t="shared" si="6"/>
        <v>0</v>
      </c>
      <c r="Q19" s="136">
        <v>0</v>
      </c>
      <c r="AT19" s="413">
        <f t="shared" ca="1" si="4"/>
        <v>0</v>
      </c>
      <c r="AU19" s="136">
        <f ca="1">COUNTIFS(AT$7:$AT19,1)</f>
        <v>1</v>
      </c>
    </row>
    <row r="20" spans="1:47" ht="15">
      <c r="A20" s="952" t="str">
        <f ca="1">OFFSET(input!$A$25,P20,0)</f>
        <v>Box</v>
      </c>
      <c r="B20" s="891">
        <f ca="1">SUMIFS(Paper!$AC$7:$AC$30,Paper!$A$7:$A$30,Ink!A20)+SUMIFS(Paper!$X$7:$X$30,Paper!$A$7:$A$30,Ink!A20)</f>
        <v>2775</v>
      </c>
      <c r="C20" s="953">
        <v>11</v>
      </c>
      <c r="D20" s="954" t="str">
        <f ca="1">OFFSET(input!$A$27,O20,0)</f>
        <v>None</v>
      </c>
      <c r="E20" s="891">
        <f ca="1">SUMIFS(Paper!$N$7:$N$30,Paper!$A$7:$A$30,A20)</f>
        <v>638</v>
      </c>
      <c r="F20" s="891">
        <f ca="1">SUMIFS(Paper!$O$7:$O$30,Paper!$A$7:$A$30,A20)</f>
        <v>407</v>
      </c>
      <c r="G20" s="955">
        <f ca="1">IF($D20="None",0,IF(OFFSET(input!$B$27,O20,0)&gt;0,OFFSET(input!$B$27,O20,0),E20*F20*$D$8*10000/IF($B$2="PACK",COUNTIF($H$10:$H$23,"&gt;0"),1)))</f>
        <v>0</v>
      </c>
      <c r="H20" s="956">
        <f ca="1">IF(OFFSET(input!$C$27,O20,0)&gt;0,OFFSET(input!$C$27,O20,0),VLOOKUP(D20,Data!$L$1064:$M$1071,2,0))</f>
        <v>0</v>
      </c>
      <c r="I20" s="891">
        <f ca="1">ROUNDUP(IF(G20&gt;0,((B20/10000)*G20),0),1)</f>
        <v>0</v>
      </c>
      <c r="J20" s="891">
        <f ca="1">IF(G20&gt;0,0.2,0)*OFFSET(Paper!$J$7,Q20,0)</f>
        <v>0</v>
      </c>
      <c r="K20" s="891">
        <f ca="1">J20*H20</f>
        <v>0</v>
      </c>
      <c r="L20" s="891">
        <f ca="1">IF(I20=0,0,H20*(I20+J20))</f>
        <v>0</v>
      </c>
      <c r="M20" s="891">
        <f ca="1">IF($D$3&gt;0,L20/($D$3),0)*(1+$M$6)</f>
        <v>0</v>
      </c>
      <c r="N20" s="136" t="str">
        <f ca="1">OFFSET(input!$F$33,P20,0)</f>
        <v>Box</v>
      </c>
      <c r="O20" s="136">
        <f t="shared" si="5"/>
        <v>10</v>
      </c>
      <c r="P20" s="136">
        <f t="shared" si="6"/>
        <v>0</v>
      </c>
      <c r="Q20" s="136">
        <v>0</v>
      </c>
      <c r="AT20" s="413">
        <f t="shared" ca="1" si="4"/>
        <v>0</v>
      </c>
      <c r="AU20" s="136">
        <f ca="1">COUNTIFS(AT$7:$AT20,1)</f>
        <v>1</v>
      </c>
    </row>
    <row r="21" spans="1:47" ht="15">
      <c r="A21" s="952" t="str">
        <f ca="1">OFFSET(input!$A$25,P21,0)</f>
        <v>Box</v>
      </c>
      <c r="B21" s="891">
        <f ca="1">SUMIFS(Paper!$AC$7:$AC$30,Paper!$A$7:$A$30,Ink!A21)+SUMIFS(Paper!$X$7:$X$30,Paper!$A$7:$A$30,Ink!A21)</f>
        <v>2775</v>
      </c>
      <c r="C21" s="953">
        <v>12</v>
      </c>
      <c r="D21" s="954" t="str">
        <f ca="1">OFFSET(input!$A$27,O21,0)</f>
        <v>None</v>
      </c>
      <c r="E21" s="891">
        <f ca="1">SUMIFS(Paper!$N$7:$N$30,Paper!$A$7:$A$30,A21)</f>
        <v>638</v>
      </c>
      <c r="F21" s="891">
        <f ca="1">SUMIFS(Paper!$O$7:$O$30,Paper!$A$7:$A$30,A21)</f>
        <v>407</v>
      </c>
      <c r="G21" s="955">
        <f ca="1">IF($D21="None",0,IF(OFFSET(input!$B$27,O21,0)&gt;0,OFFSET(input!$B$27,O21,0),E21*F21*$D$8*10000/IF($B$2="PACK",COUNTIF($H$10:$H$23,"&gt;0"),1)))</f>
        <v>0</v>
      </c>
      <c r="H21" s="956">
        <f ca="1">IF(OFFSET(input!$C$27,O21,0)&gt;0,OFFSET(input!$C$27,O21,0),VLOOKUP(D21,Data!$L$1064:$M$1071,2,0))</f>
        <v>0</v>
      </c>
      <c r="I21" s="891">
        <f ca="1">ROUNDUP(IF(G21&gt;0,((B21/10000)*G21),0),1)</f>
        <v>0</v>
      </c>
      <c r="J21" s="891">
        <f ca="1">IF(G21&gt;0,0.2,0)*OFFSET(Paper!$J$7,Q21,0)</f>
        <v>0</v>
      </c>
      <c r="K21" s="891">
        <f ca="1">J21*H21</f>
        <v>0</v>
      </c>
      <c r="L21" s="891">
        <f ca="1">IF(I21=0,0,H21*(I21+J21))</f>
        <v>0</v>
      </c>
      <c r="M21" s="891">
        <f ca="1">IF($D$3&gt;0,L21/($D$3),0)*(1+$M$6)</f>
        <v>0</v>
      </c>
      <c r="N21" s="136" t="str">
        <f ca="1">OFFSET(input!$F$33,P21,0)</f>
        <v>Box</v>
      </c>
      <c r="O21" s="136">
        <f t="shared" si="5"/>
        <v>11</v>
      </c>
      <c r="P21" s="136">
        <f t="shared" si="6"/>
        <v>0</v>
      </c>
      <c r="Q21" s="136">
        <v>0</v>
      </c>
      <c r="AT21" s="413">
        <f t="shared" ca="1" si="4"/>
        <v>0</v>
      </c>
      <c r="AU21" s="136">
        <f ca="1">COUNTIFS(AT$7:$AT21,1)</f>
        <v>1</v>
      </c>
    </row>
    <row r="22" spans="1:47" ht="15">
      <c r="A22" s="952" t="str">
        <f ca="1">OFFSET(input!$A$25,P22,0)</f>
        <v>Box</v>
      </c>
      <c r="B22" s="891">
        <f ca="1">SUMIFS(Paper!$AC$7:$AC$30,Paper!$A$7:$A$30,Ink!A22)+SUMIFS(Paper!$X$7:$X$30,Paper!$A$7:$A$30,Ink!A22)</f>
        <v>2775</v>
      </c>
      <c r="C22" s="953">
        <v>13</v>
      </c>
      <c r="D22" s="954" t="str">
        <f ca="1">OFFSET(input!$A$27,O22,0)</f>
        <v>None</v>
      </c>
      <c r="E22" s="891">
        <f ca="1">SUMIFS(Paper!$N$7:$N$30,Paper!$A$7:$A$30,A22)</f>
        <v>638</v>
      </c>
      <c r="F22" s="891">
        <f ca="1">SUMIFS(Paper!$O$7:$O$30,Paper!$A$7:$A$30,A22)</f>
        <v>407</v>
      </c>
      <c r="G22" s="955">
        <f ca="1">IF($D22="None",0,IF(OFFSET(input!$B$27,O22,0)&gt;0,OFFSET(input!$B$27,O22,0),E22*F22*$D$8*10000/IF($B$2="PACK",COUNTIF($H$10:$H$23,"&gt;0"),1)))</f>
        <v>0</v>
      </c>
      <c r="H22" s="956">
        <f ca="1">IF(OFFSET(input!$C$27,O22,0)&gt;0,OFFSET(input!$C$27,O22,0),VLOOKUP(D22,Data!$L$1064:$M$1071,2,0))</f>
        <v>0</v>
      </c>
      <c r="I22" s="891">
        <f ca="1">ROUNDUP(IF(G22&gt;0,((B22/10000)*G22),0),1)</f>
        <v>0</v>
      </c>
      <c r="J22" s="891">
        <f ca="1">IF(G22&gt;0,0.2,0)*OFFSET(Paper!$J$7,Q22,0)</f>
        <v>0</v>
      </c>
      <c r="K22" s="891">
        <f ca="1">J22*H22</f>
        <v>0</v>
      </c>
      <c r="L22" s="891">
        <f ca="1">IF(I22=0,0,H22*(I22+J22))</f>
        <v>0</v>
      </c>
      <c r="M22" s="891">
        <f ca="1">IF($D$3&gt;0,L22/($D$3),0)*(1+$M$6)</f>
        <v>0</v>
      </c>
      <c r="N22" s="136" t="str">
        <f ca="1">OFFSET(input!$F$33,P22,0)</f>
        <v>Box</v>
      </c>
      <c r="O22" s="136">
        <f t="shared" si="5"/>
        <v>12</v>
      </c>
      <c r="P22" s="136">
        <f t="shared" si="6"/>
        <v>0</v>
      </c>
      <c r="Q22" s="136">
        <v>0</v>
      </c>
      <c r="AT22" s="413">
        <f t="shared" ca="1" si="4"/>
        <v>0</v>
      </c>
      <c r="AU22" s="136">
        <f ca="1">COUNTIFS(AT$7:$AT22,1)</f>
        <v>1</v>
      </c>
    </row>
    <row r="23" spans="1:47" ht="15">
      <c r="A23" s="952" t="str">
        <f ca="1">OFFSET(input!$A$25,P23,0)</f>
        <v>Box</v>
      </c>
      <c r="B23" s="891">
        <f ca="1">SUMIFS(Paper!$AC$7:$AC$30,Paper!$A$7:$A$30,Ink!A23)+SUMIFS(Paper!$X$7:$X$30,Paper!$A$7:$A$30,Ink!A23)</f>
        <v>2775</v>
      </c>
      <c r="C23" s="953">
        <v>14</v>
      </c>
      <c r="D23" s="954" t="str">
        <f ca="1">OFFSET(input!$A$27,O23,0)</f>
        <v>None</v>
      </c>
      <c r="E23" s="891">
        <f ca="1">SUMIFS(Paper!$N$7:$N$30,Paper!$A$7:$A$30,A23)</f>
        <v>638</v>
      </c>
      <c r="F23" s="891">
        <f ca="1">SUMIFS(Paper!$O$7:$O$30,Paper!$A$7:$A$30,A23)</f>
        <v>407</v>
      </c>
      <c r="G23" s="955">
        <f ca="1">IF($D23="None",0,IF(OFFSET(input!$B$27,O23,0)&gt;0,OFFSET(input!$B$27,O23,0),E23*F23*$D$8*10000/IF($B$2="PACK",COUNTIF($H$10:$H$23,"&gt;0"),1)))</f>
        <v>0</v>
      </c>
      <c r="H23" s="956">
        <f ca="1">IF(OFFSET(input!$C$27,O23,0)&gt;0,OFFSET(input!$C$27,O23,0),VLOOKUP(D23,Data!$L$1064:$M$1071,2,0))</f>
        <v>0</v>
      </c>
      <c r="I23" s="891">
        <f t="shared" ca="1" si="0"/>
        <v>0</v>
      </c>
      <c r="J23" s="891">
        <f ca="1">IF(G23&gt;0,0.2,0)*OFFSET(Paper!$J$7,Q23,0)</f>
        <v>0</v>
      </c>
      <c r="K23" s="891">
        <f t="shared" ca="1" si="1"/>
        <v>0</v>
      </c>
      <c r="L23" s="891">
        <f t="shared" ca="1" si="2"/>
        <v>0</v>
      </c>
      <c r="M23" s="891">
        <f t="shared" ca="1" si="3"/>
        <v>0</v>
      </c>
      <c r="N23" s="136" t="str">
        <f ca="1">OFFSET(input!$F$33,P23,0)</f>
        <v>Box</v>
      </c>
      <c r="O23" s="136">
        <f t="shared" si="5"/>
        <v>13</v>
      </c>
      <c r="P23" s="136">
        <f t="shared" si="6"/>
        <v>0</v>
      </c>
      <c r="Q23" s="136">
        <v>0</v>
      </c>
      <c r="AT23" s="413">
        <f t="shared" ca="1" si="4"/>
        <v>0</v>
      </c>
      <c r="AU23" s="136">
        <f ca="1">COUNTIFS(AT$7:$AT23,1)</f>
        <v>1</v>
      </c>
    </row>
    <row r="24" spans="1:47" ht="15">
      <c r="A24" s="957"/>
      <c r="B24" s="958"/>
      <c r="C24" s="959"/>
      <c r="D24" s="954"/>
      <c r="E24" s="958"/>
      <c r="F24" s="958"/>
      <c r="G24" s="955"/>
      <c r="H24" s="960"/>
      <c r="I24" s="958"/>
      <c r="J24" s="958"/>
      <c r="K24" s="958"/>
      <c r="L24" s="958"/>
      <c r="M24" s="958"/>
      <c r="AT24" s="413" t="str">
        <f t="shared" si="4"/>
        <v/>
      </c>
      <c r="AU24" s="136">
        <f ca="1">COUNTIFS(AT$7:$AT24,1)</f>
        <v>1</v>
      </c>
    </row>
    <row r="25" spans="1:47" ht="15">
      <c r="A25" s="952" t="str">
        <f ca="1">OFFSET(input!$A$25,P25,0)</f>
        <v>N</v>
      </c>
      <c r="B25" s="891">
        <f ca="1">SUMIFS(Paper!$AC$7:$AC$30,Paper!$A$7:$A$30,Ink!A25)+SUMIFS(Paper!$X$7:$X$30,Paper!$A$7:$A$30,Ink!A25)</f>
        <v>0</v>
      </c>
      <c r="C25" s="953">
        <v>1</v>
      </c>
      <c r="D25" s="954" t="str">
        <f ca="1">OFFSET(input!$A$27,O25,0)</f>
        <v>None</v>
      </c>
      <c r="E25" s="891">
        <f ca="1">SUMIFS(Paper!$N$7:$N$30,Paper!$A$7:$A$30,A25)</f>
        <v>0</v>
      </c>
      <c r="F25" s="891">
        <f ca="1">SUMIFS(Paper!$O$7:$O$30,Paper!$A$7:$A$30,A25)</f>
        <v>0</v>
      </c>
      <c r="G25" s="955">
        <f ca="1">IF($D25="None",0,IF(OFFSET(input!$B$27,O25,0)&gt;0,OFFSET(input!$B$27,O25,0),E25*F25*$D$8*10000/IF($B$2="PACK",COUNTIF($H$10:$H$23,"&gt;0"),1)))</f>
        <v>0</v>
      </c>
      <c r="H25" s="956">
        <f ca="1">IF(OFFSET(input!$C$27,O25,0)&gt;0,OFFSET(input!$C$27,O25,0),VLOOKUP(D25,Data!$L$1064:$M$1071,2,0))</f>
        <v>0</v>
      </c>
      <c r="I25" s="891">
        <f t="shared" ref="I25:I33" ca="1" si="7">ROUNDUP(IF(G25&gt;0,((B25/10000)*G25),0),1)</f>
        <v>0</v>
      </c>
      <c r="J25" s="891">
        <f ca="1">IF(G25&gt;0,0.2,0)*OFFSET(Paper!$J$7,Q25,0)</f>
        <v>0</v>
      </c>
      <c r="K25" s="891">
        <f t="shared" ref="K25:K33" ca="1" si="8">J25*H25</f>
        <v>0</v>
      </c>
      <c r="L25" s="891">
        <f t="shared" ref="L25:L33" ca="1" si="9">IF(I25=0,0,H25*(I25+J25))</f>
        <v>0</v>
      </c>
      <c r="M25" s="891">
        <f ca="1">IF($D$3&gt;0,L25/($D$3),0)*(1+$M$6)</f>
        <v>0</v>
      </c>
      <c r="N25" s="136" t="str">
        <f ca="1">OFFSET(input!$F$33,P25,0)</f>
        <v>N</v>
      </c>
      <c r="O25" s="136">
        <f>O10+17</f>
        <v>17</v>
      </c>
      <c r="P25" s="136">
        <f>+P10+17</f>
        <v>17</v>
      </c>
      <c r="Q25" s="136">
        <f>+Q10+1</f>
        <v>1</v>
      </c>
      <c r="AT25" s="413">
        <f t="shared" ca="1" si="4"/>
        <v>0</v>
      </c>
      <c r="AU25" s="136">
        <f ca="1">COUNTIFS(AT$7:$AT25,1)</f>
        <v>1</v>
      </c>
    </row>
    <row r="26" spans="1:47" ht="15">
      <c r="A26" s="952" t="str">
        <f ca="1">OFFSET(input!$A$25,P26,0)</f>
        <v>N</v>
      </c>
      <c r="B26" s="891">
        <f ca="1">SUMIFS(Paper!$AC$7:$AC$30,Paper!$A$7:$A$30,Ink!A26)+SUMIFS(Paper!$X$7:$X$30,Paper!$A$7:$A$30,Ink!A26)</f>
        <v>0</v>
      </c>
      <c r="C26" s="953">
        <v>2</v>
      </c>
      <c r="D26" s="954" t="str">
        <f ca="1">OFFSET(input!$A$27,O26,0)</f>
        <v>None</v>
      </c>
      <c r="E26" s="891">
        <f ca="1">SUMIFS(Paper!$N$7:$N$30,Paper!$A$7:$A$30,A26)</f>
        <v>0</v>
      </c>
      <c r="F26" s="891">
        <f ca="1">SUMIFS(Paper!$O$7:$O$30,Paper!$A$7:$A$30,A26)</f>
        <v>0</v>
      </c>
      <c r="G26" s="955">
        <f ca="1">IF($D26="None",0,IF(OFFSET(input!$B$27,O26,0)&gt;0,OFFSET(input!$B$27,O26,0),E26*F26*$D$8*10000/IF($B$2="PACK",COUNTIF($H$10:$H$23,"&gt;0"),1)))</f>
        <v>0</v>
      </c>
      <c r="H26" s="956">
        <f ca="1">IF(OFFSET(input!$C$27,O26,0)&gt;0,OFFSET(input!$C$27,O26,0),VLOOKUP(D26,Data!$L$1064:$M$1071,2,0))</f>
        <v>0</v>
      </c>
      <c r="I26" s="891">
        <f t="shared" ca="1" si="7"/>
        <v>0</v>
      </c>
      <c r="J26" s="891">
        <f ca="1">IF(G26&gt;0,0.2,0)*OFFSET(Paper!$J$7,Q26,0)</f>
        <v>0</v>
      </c>
      <c r="K26" s="891">
        <f t="shared" ca="1" si="8"/>
        <v>0</v>
      </c>
      <c r="L26" s="891">
        <f t="shared" ca="1" si="9"/>
        <v>0</v>
      </c>
      <c r="M26" s="891">
        <f t="shared" ref="M26:M33" ca="1" si="10">IF($D$3&gt;0,L26/($D$3),0)*(1+$M$6)</f>
        <v>0</v>
      </c>
      <c r="N26" s="136" t="str">
        <f ca="1">OFFSET(input!$F$33,P26,0)</f>
        <v>N</v>
      </c>
      <c r="O26" s="136">
        <f t="shared" ref="O26:O38" si="11">O11+17</f>
        <v>18</v>
      </c>
      <c r="P26" s="136">
        <f t="shared" ref="P26:P37" si="12">+P11+17</f>
        <v>17</v>
      </c>
      <c r="Q26" s="136">
        <f t="shared" ref="Q26:Q38" si="13">+Q11+1</f>
        <v>1</v>
      </c>
      <c r="AT26" s="413">
        <f t="shared" ca="1" si="4"/>
        <v>0</v>
      </c>
      <c r="AU26" s="136">
        <f ca="1">COUNTIFS(AT$7:$AT26,1)</f>
        <v>1</v>
      </c>
    </row>
    <row r="27" spans="1:47" ht="15">
      <c r="A27" s="952" t="str">
        <f ca="1">OFFSET(input!$A$25,P27,0)</f>
        <v>N</v>
      </c>
      <c r="B27" s="891">
        <f ca="1">SUMIFS(Paper!$AC$7:$AC$30,Paper!$A$7:$A$30,Ink!A27)+SUMIFS(Paper!$X$7:$X$30,Paper!$A$7:$A$30,Ink!A27)</f>
        <v>0</v>
      </c>
      <c r="C27" s="953">
        <v>3</v>
      </c>
      <c r="D27" s="954" t="str">
        <f ca="1">OFFSET(input!$A$27,O27,0)</f>
        <v>None</v>
      </c>
      <c r="E27" s="891">
        <f ca="1">SUMIFS(Paper!$N$7:$N$30,Paper!$A$7:$A$30,A27)</f>
        <v>0</v>
      </c>
      <c r="F27" s="891">
        <f ca="1">SUMIFS(Paper!$O$7:$O$30,Paper!$A$7:$A$30,A27)</f>
        <v>0</v>
      </c>
      <c r="G27" s="955">
        <f ca="1">IF($D27="None",0,IF(OFFSET(input!$B$27,O27,0)&gt;0,OFFSET(input!$B$27,O27,0),E27*F27*$D$8*10000/IF($B$2="PACK",COUNTIF($H$10:$H$23,"&gt;0"),1)))</f>
        <v>0</v>
      </c>
      <c r="H27" s="956">
        <f ca="1">IF(OFFSET(input!$C$27,O27,0)&gt;0,OFFSET(input!$C$27,O27,0),VLOOKUP(D27,Data!$L$1064:$M$1071,2,0))</f>
        <v>0</v>
      </c>
      <c r="I27" s="891">
        <f t="shared" ca="1" si="7"/>
        <v>0</v>
      </c>
      <c r="J27" s="891">
        <f ca="1">IF(G27&gt;0,0.2,0)*OFFSET(Paper!$J$7,Q27,0)</f>
        <v>0</v>
      </c>
      <c r="K27" s="891">
        <f t="shared" ca="1" si="8"/>
        <v>0</v>
      </c>
      <c r="L27" s="891">
        <f t="shared" ca="1" si="9"/>
        <v>0</v>
      </c>
      <c r="M27" s="891">
        <f t="shared" ca="1" si="10"/>
        <v>0</v>
      </c>
      <c r="N27" s="136" t="str">
        <f ca="1">OFFSET(input!$F$33,P27,0)</f>
        <v>N</v>
      </c>
      <c r="O27" s="136">
        <f t="shared" si="11"/>
        <v>19</v>
      </c>
      <c r="P27" s="136">
        <f t="shared" si="12"/>
        <v>17</v>
      </c>
      <c r="Q27" s="136">
        <f t="shared" si="13"/>
        <v>1</v>
      </c>
      <c r="AT27" s="413">
        <f t="shared" ca="1" si="4"/>
        <v>0</v>
      </c>
      <c r="AU27" s="136">
        <f ca="1">COUNTIFS(AT$7:$AT27,1)</f>
        <v>1</v>
      </c>
    </row>
    <row r="28" spans="1:47" ht="15">
      <c r="A28" s="952" t="str">
        <f ca="1">OFFSET(input!$A$25,P28,0)</f>
        <v>N</v>
      </c>
      <c r="B28" s="891">
        <f ca="1">SUMIFS(Paper!$AC$7:$AC$30,Paper!$A$7:$A$30,Ink!A28)+SUMIFS(Paper!$X$7:$X$30,Paper!$A$7:$A$30,Ink!A28)</f>
        <v>0</v>
      </c>
      <c r="C28" s="953">
        <v>4</v>
      </c>
      <c r="D28" s="954" t="str">
        <f ca="1">OFFSET(input!$A$27,O28,0)</f>
        <v>None</v>
      </c>
      <c r="E28" s="891">
        <f ca="1">SUMIFS(Paper!$N$7:$N$30,Paper!$A$7:$A$30,A28)</f>
        <v>0</v>
      </c>
      <c r="F28" s="891">
        <f ca="1">SUMIFS(Paper!$O$7:$O$30,Paper!$A$7:$A$30,A28)</f>
        <v>0</v>
      </c>
      <c r="G28" s="955">
        <f ca="1">IF($D28="None",0,IF(OFFSET(input!$B$27,O28,0)&gt;0,OFFSET(input!$B$27,O28,0),E28*F28*$D$8*10000/IF($B$2="PACK",COUNTIF($H$10:$H$23,"&gt;0"),1)))</f>
        <v>0</v>
      </c>
      <c r="H28" s="956">
        <f ca="1">IF(OFFSET(input!$C$27,O28,0)&gt;0,OFFSET(input!$C$27,O28,0),VLOOKUP(D28,Data!$L$1064:$M$1071,2,0))</f>
        <v>0</v>
      </c>
      <c r="I28" s="891">
        <f t="shared" ca="1" si="7"/>
        <v>0</v>
      </c>
      <c r="J28" s="891">
        <f ca="1">IF(G28&gt;0,0.2,0)*OFFSET(Paper!$J$7,Q28,0)</f>
        <v>0</v>
      </c>
      <c r="K28" s="891">
        <f t="shared" ca="1" si="8"/>
        <v>0</v>
      </c>
      <c r="L28" s="891">
        <f t="shared" ca="1" si="9"/>
        <v>0</v>
      </c>
      <c r="M28" s="891">
        <f t="shared" ca="1" si="10"/>
        <v>0</v>
      </c>
      <c r="N28" s="136" t="str">
        <f ca="1">OFFSET(input!$F$33,P28,0)</f>
        <v>N</v>
      </c>
      <c r="O28" s="136">
        <f t="shared" si="11"/>
        <v>20</v>
      </c>
      <c r="P28" s="136">
        <f t="shared" si="12"/>
        <v>17</v>
      </c>
      <c r="Q28" s="136">
        <f t="shared" si="13"/>
        <v>1</v>
      </c>
      <c r="AT28" s="413">
        <f t="shared" ca="1" si="4"/>
        <v>0</v>
      </c>
      <c r="AU28" s="136">
        <f ca="1">COUNTIFS(AT$7:$AT28,1)</f>
        <v>1</v>
      </c>
    </row>
    <row r="29" spans="1:47" ht="15">
      <c r="A29" s="952" t="str">
        <f ca="1">OFFSET(input!$A$25,P29,0)</f>
        <v>N</v>
      </c>
      <c r="B29" s="891">
        <f ca="1">SUMIFS(Paper!$AC$7:$AC$30,Paper!$A$7:$A$30,Ink!A29)+SUMIFS(Paper!$X$7:$X$30,Paper!$A$7:$A$30,Ink!A29)</f>
        <v>0</v>
      </c>
      <c r="C29" s="953">
        <v>5</v>
      </c>
      <c r="D29" s="954" t="str">
        <f ca="1">OFFSET(input!$A$27,O29,0)</f>
        <v>None</v>
      </c>
      <c r="E29" s="891">
        <f ca="1">SUMIFS(Paper!$N$7:$N$30,Paper!$A$7:$A$30,A29)</f>
        <v>0</v>
      </c>
      <c r="F29" s="891">
        <f ca="1">SUMIFS(Paper!$O$7:$O$30,Paper!$A$7:$A$30,A29)</f>
        <v>0</v>
      </c>
      <c r="G29" s="955">
        <f ca="1">IF($D29="None",0,IF(OFFSET(input!$B$27,O29,0)&gt;0,OFFSET(input!$B$27,O29,0),E29*F29*$D$8*10000/IF($B$2="PACK",COUNTIF($H$10:$H$23,"&gt;0"),1)))</f>
        <v>0</v>
      </c>
      <c r="H29" s="956">
        <f ca="1">IF(OFFSET(input!$C$27,O29,0)&gt;0,OFFSET(input!$C$27,O29,0),VLOOKUP(D29,Data!$L$1064:$M$1071,2,0))</f>
        <v>0</v>
      </c>
      <c r="I29" s="891">
        <f t="shared" ca="1" si="7"/>
        <v>0</v>
      </c>
      <c r="J29" s="891">
        <f ca="1">IF(G29&gt;0,0.2,0)*OFFSET(Paper!$J$7,Q29,0)</f>
        <v>0</v>
      </c>
      <c r="K29" s="891">
        <f t="shared" ca="1" si="8"/>
        <v>0</v>
      </c>
      <c r="L29" s="891">
        <f t="shared" ca="1" si="9"/>
        <v>0</v>
      </c>
      <c r="M29" s="891">
        <f t="shared" ca="1" si="10"/>
        <v>0</v>
      </c>
      <c r="N29" s="136" t="str">
        <f ca="1">OFFSET(input!$F$33,P29,0)</f>
        <v>N</v>
      </c>
      <c r="O29" s="136">
        <f t="shared" si="11"/>
        <v>21</v>
      </c>
      <c r="P29" s="136">
        <f t="shared" si="12"/>
        <v>17</v>
      </c>
      <c r="Q29" s="136">
        <f t="shared" si="13"/>
        <v>1</v>
      </c>
      <c r="AT29" s="413">
        <f t="shared" ca="1" si="4"/>
        <v>0</v>
      </c>
      <c r="AU29" s="136">
        <f ca="1">COUNTIFS(AT$7:$AT29,1)</f>
        <v>1</v>
      </c>
    </row>
    <row r="30" spans="1:47" ht="15">
      <c r="A30" s="952" t="str">
        <f ca="1">OFFSET(input!$A$25,P30,0)</f>
        <v>N</v>
      </c>
      <c r="B30" s="891">
        <f ca="1">SUMIFS(Paper!$AC$7:$AC$30,Paper!$A$7:$A$30,Ink!A30)+SUMIFS(Paper!$X$7:$X$30,Paper!$A$7:$A$30,Ink!A30)</f>
        <v>0</v>
      </c>
      <c r="C30" s="953">
        <v>6</v>
      </c>
      <c r="D30" s="954" t="str">
        <f ca="1">OFFSET(input!$A$27,O30,0)</f>
        <v>None</v>
      </c>
      <c r="E30" s="891">
        <f ca="1">SUMIFS(Paper!$N$7:$N$30,Paper!$A$7:$A$30,A30)</f>
        <v>0</v>
      </c>
      <c r="F30" s="891">
        <f ca="1">SUMIFS(Paper!$O$7:$O$30,Paper!$A$7:$A$30,A30)</f>
        <v>0</v>
      </c>
      <c r="G30" s="955">
        <f ca="1">IF($D30="None",0,IF(OFFSET(input!$B$27,O30,0)&gt;0,OFFSET(input!$B$27,O30,0),E30*F30*$D$8*10000/IF($B$2="PACK",COUNTIF($H$10:$H$23,"&gt;0"),1)))</f>
        <v>0</v>
      </c>
      <c r="H30" s="956">
        <f ca="1">IF(OFFSET(input!$C$27,O30,0)&gt;0,OFFSET(input!$C$27,O30,0),VLOOKUP(D30,Data!$L$1064:$M$1071,2,0))</f>
        <v>0</v>
      </c>
      <c r="I30" s="891">
        <f t="shared" ca="1" si="7"/>
        <v>0</v>
      </c>
      <c r="J30" s="891">
        <f ca="1">IF(G30&gt;0,0.2,0)*OFFSET(Paper!$J$7,Q30,0)</f>
        <v>0</v>
      </c>
      <c r="K30" s="891">
        <f t="shared" ca="1" si="8"/>
        <v>0</v>
      </c>
      <c r="L30" s="891">
        <f t="shared" ca="1" si="9"/>
        <v>0</v>
      </c>
      <c r="M30" s="891">
        <f t="shared" ca="1" si="10"/>
        <v>0</v>
      </c>
      <c r="N30" s="136" t="str">
        <f ca="1">OFFSET(input!$F$33,P30,0)</f>
        <v>N</v>
      </c>
      <c r="O30" s="136">
        <f t="shared" si="11"/>
        <v>22</v>
      </c>
      <c r="P30" s="136">
        <f t="shared" si="12"/>
        <v>17</v>
      </c>
      <c r="Q30" s="136">
        <f t="shared" si="13"/>
        <v>1</v>
      </c>
      <c r="AT30" s="413">
        <f t="shared" ca="1" si="4"/>
        <v>0</v>
      </c>
      <c r="AU30" s="136">
        <f ca="1">COUNTIFS(AT$7:$AT30,1)</f>
        <v>1</v>
      </c>
    </row>
    <row r="31" spans="1:47" ht="15">
      <c r="A31" s="952" t="str">
        <f ca="1">OFFSET(input!$A$25,P31,0)</f>
        <v>N</v>
      </c>
      <c r="B31" s="891">
        <f ca="1">SUMIFS(Paper!$AC$7:$AC$30,Paper!$A$7:$A$30,Ink!A31)+SUMIFS(Paper!$X$7:$X$30,Paper!$A$7:$A$30,Ink!A31)</f>
        <v>0</v>
      </c>
      <c r="C31" s="953">
        <v>7</v>
      </c>
      <c r="D31" s="954" t="str">
        <f ca="1">OFFSET(input!$A$27,O31,0)</f>
        <v>None</v>
      </c>
      <c r="E31" s="891">
        <f ca="1">SUMIFS(Paper!$N$7:$N$30,Paper!$A$7:$A$30,A31)</f>
        <v>0</v>
      </c>
      <c r="F31" s="891">
        <f ca="1">SUMIFS(Paper!$O$7:$O$30,Paper!$A$7:$A$30,A31)</f>
        <v>0</v>
      </c>
      <c r="G31" s="955">
        <f ca="1">IF($D31="None",0,IF(OFFSET(input!$B$27,O31,0)&gt;0,OFFSET(input!$B$27,O31,0),E31*F31*$D$8*10000/IF($B$2="PACK",COUNTIF($H$10:$H$23,"&gt;0"),1)))</f>
        <v>0</v>
      </c>
      <c r="H31" s="956">
        <f ca="1">IF(OFFSET(input!$C$27,O31,0)&gt;0,OFFSET(input!$C$27,O31,0),VLOOKUP(D31,Data!$L$1064:$M$1071,2,0))</f>
        <v>0</v>
      </c>
      <c r="I31" s="891">
        <f t="shared" ca="1" si="7"/>
        <v>0</v>
      </c>
      <c r="J31" s="891">
        <f ca="1">IF(G31&gt;0,0.2,0)*OFFSET(Paper!$J$7,Q31,0)</f>
        <v>0</v>
      </c>
      <c r="K31" s="891">
        <f t="shared" ca="1" si="8"/>
        <v>0</v>
      </c>
      <c r="L31" s="891">
        <f t="shared" ca="1" si="9"/>
        <v>0</v>
      </c>
      <c r="M31" s="891">
        <f t="shared" ca="1" si="10"/>
        <v>0</v>
      </c>
      <c r="N31" s="136" t="str">
        <f ca="1">OFFSET(input!$F$33,P31,0)</f>
        <v>N</v>
      </c>
      <c r="O31" s="136">
        <f t="shared" si="11"/>
        <v>23</v>
      </c>
      <c r="P31" s="136">
        <f t="shared" si="12"/>
        <v>17</v>
      </c>
      <c r="Q31" s="136">
        <f t="shared" si="13"/>
        <v>1</v>
      </c>
      <c r="AT31" s="413">
        <f t="shared" ca="1" si="4"/>
        <v>0</v>
      </c>
      <c r="AU31" s="136">
        <f ca="1">COUNTIFS(AT$7:$AT31,1)</f>
        <v>1</v>
      </c>
    </row>
    <row r="32" spans="1:47" ht="15">
      <c r="A32" s="952" t="str">
        <f ca="1">OFFSET(input!$A$25,P32,0)</f>
        <v>N</v>
      </c>
      <c r="B32" s="891">
        <f ca="1">SUMIFS(Paper!$AC$7:$AC$30,Paper!$A$7:$A$30,Ink!A32)+SUMIFS(Paper!$X$7:$X$30,Paper!$A$7:$A$30,Ink!A32)</f>
        <v>0</v>
      </c>
      <c r="C32" s="953">
        <v>8</v>
      </c>
      <c r="D32" s="954" t="str">
        <f ca="1">OFFSET(input!$A$27,O32,0)</f>
        <v>None</v>
      </c>
      <c r="E32" s="891">
        <f ca="1">SUMIFS(Paper!$N$7:$N$30,Paper!$A$7:$A$30,A32)</f>
        <v>0</v>
      </c>
      <c r="F32" s="891">
        <f ca="1">SUMIFS(Paper!$O$7:$O$30,Paper!$A$7:$A$30,A32)</f>
        <v>0</v>
      </c>
      <c r="G32" s="955">
        <f ca="1">IF($D32="None",0,IF(OFFSET(input!$B$27,O32,0)&gt;0,OFFSET(input!$B$27,O32,0),E32*F32*$D$8*10000/IF($B$2="PACK",COUNTIF($H$10:$H$23,"&gt;0"),1)))</f>
        <v>0</v>
      </c>
      <c r="H32" s="956">
        <f ca="1">IF(OFFSET(input!$C$27,O32,0)&gt;0,OFFSET(input!$C$27,O32,0),VLOOKUP(D32,Data!$L$1064:$M$1071,2,0))</f>
        <v>0</v>
      </c>
      <c r="I32" s="891">
        <f t="shared" ca="1" si="7"/>
        <v>0</v>
      </c>
      <c r="J32" s="891">
        <f ca="1">IF(G32&gt;0,0.2,0)*OFFSET(Paper!$J$7,Q32,0)</f>
        <v>0</v>
      </c>
      <c r="K32" s="891">
        <f t="shared" ca="1" si="8"/>
        <v>0</v>
      </c>
      <c r="L32" s="891">
        <f t="shared" ca="1" si="9"/>
        <v>0</v>
      </c>
      <c r="M32" s="891">
        <f t="shared" ca="1" si="10"/>
        <v>0</v>
      </c>
      <c r="N32" s="136" t="str">
        <f ca="1">OFFSET(input!$F$33,P32,0)</f>
        <v>N</v>
      </c>
      <c r="O32" s="136">
        <f t="shared" si="11"/>
        <v>24</v>
      </c>
      <c r="P32" s="136">
        <f t="shared" si="12"/>
        <v>17</v>
      </c>
      <c r="Q32" s="136">
        <f t="shared" si="13"/>
        <v>1</v>
      </c>
      <c r="AT32" s="413">
        <f t="shared" ca="1" si="4"/>
        <v>0</v>
      </c>
      <c r="AU32" s="136">
        <f ca="1">COUNTIFS(AT$7:$AT32,1)</f>
        <v>1</v>
      </c>
    </row>
    <row r="33" spans="1:47" ht="15">
      <c r="A33" s="952" t="str">
        <f ca="1">OFFSET(input!$A$25,P33,0)</f>
        <v>N</v>
      </c>
      <c r="B33" s="891">
        <f ca="1">SUMIFS(Paper!$AC$7:$AC$30,Paper!$A$7:$A$30,Ink!A33)+SUMIFS(Paper!$X$7:$X$30,Paper!$A$7:$A$30,Ink!A33)</f>
        <v>0</v>
      </c>
      <c r="C33" s="953">
        <v>9</v>
      </c>
      <c r="D33" s="954" t="str">
        <f ca="1">OFFSET(input!$A$27,O33,0)</f>
        <v>None</v>
      </c>
      <c r="E33" s="891">
        <f ca="1">SUMIFS(Paper!$N$7:$N$30,Paper!$A$7:$A$30,A33)</f>
        <v>0</v>
      </c>
      <c r="F33" s="891">
        <f ca="1">SUMIFS(Paper!$O$7:$O$30,Paper!$A$7:$A$30,A33)</f>
        <v>0</v>
      </c>
      <c r="G33" s="955">
        <f ca="1">IF($D33="None",0,IF(OFFSET(input!$B$27,O33,0)&gt;0,OFFSET(input!$B$27,O33,0),E33*F33*$D$8*10000/IF($B$2="PACK",COUNTIF($H$10:$H$23,"&gt;0"),1)))</f>
        <v>0</v>
      </c>
      <c r="H33" s="956">
        <f ca="1">IF(OFFSET(input!$C$27,O33,0)&gt;0,OFFSET(input!$C$27,O33,0),VLOOKUP(D33,Data!$L$1064:$M$1071,2,0))</f>
        <v>0</v>
      </c>
      <c r="I33" s="891">
        <f t="shared" ca="1" si="7"/>
        <v>0</v>
      </c>
      <c r="J33" s="891">
        <f ca="1">IF(G33&gt;0,0.2,0)*OFFSET(Paper!$J$7,Q33,0)</f>
        <v>0</v>
      </c>
      <c r="K33" s="891">
        <f t="shared" ca="1" si="8"/>
        <v>0</v>
      </c>
      <c r="L33" s="891">
        <f t="shared" ca="1" si="9"/>
        <v>0</v>
      </c>
      <c r="M33" s="891">
        <f t="shared" ca="1" si="10"/>
        <v>0</v>
      </c>
      <c r="N33" s="136" t="str">
        <f ca="1">OFFSET(input!$F$33,P33,0)</f>
        <v>N</v>
      </c>
      <c r="O33" s="136">
        <f t="shared" si="11"/>
        <v>25</v>
      </c>
      <c r="P33" s="136">
        <f t="shared" si="12"/>
        <v>17</v>
      </c>
      <c r="Q33" s="136">
        <f t="shared" si="13"/>
        <v>1</v>
      </c>
      <c r="AT33" s="413">
        <f t="shared" ca="1" si="4"/>
        <v>0</v>
      </c>
      <c r="AU33" s="136">
        <f ca="1">COUNTIFS(AT$7:$AT33,1)</f>
        <v>1</v>
      </c>
    </row>
    <row r="34" spans="1:47" ht="15">
      <c r="A34" s="952" t="str">
        <f ca="1">OFFSET(input!$A$25,P34,0)</f>
        <v>N</v>
      </c>
      <c r="B34" s="891">
        <f ca="1">SUMIFS(Paper!$AC$7:$AC$30,Paper!$A$7:$A$30,Ink!A34)+SUMIFS(Paper!$X$7:$X$30,Paper!$A$7:$A$30,Ink!A34)</f>
        <v>0</v>
      </c>
      <c r="C34" s="953">
        <v>10</v>
      </c>
      <c r="D34" s="954" t="str">
        <f ca="1">OFFSET(input!$A$27,O34,0)</f>
        <v>None</v>
      </c>
      <c r="E34" s="891">
        <f ca="1">SUMIFS(Paper!$N$7:$N$30,Paper!$A$7:$A$30,A34)</f>
        <v>0</v>
      </c>
      <c r="F34" s="891">
        <f ca="1">SUMIFS(Paper!$O$7:$O$30,Paper!$A$7:$A$30,A34)</f>
        <v>0</v>
      </c>
      <c r="G34" s="955">
        <f ca="1">IF($D34="None",0,IF(OFFSET(input!$B$27,O34,0)&gt;0,OFFSET(input!$B$27,O34,0),E34*F34*$D$8*10000/IF($B$2="PACK",COUNTIF($H$10:$H$23,"&gt;0"),1)))</f>
        <v>0</v>
      </c>
      <c r="H34" s="956">
        <f ca="1">IF(OFFSET(input!$C$27,O34,0)&gt;0,OFFSET(input!$C$27,O34,0),VLOOKUP(D34,Data!$L$1064:$M$1071,2,0))</f>
        <v>0</v>
      </c>
      <c r="I34" s="891">
        <f ca="1">ROUNDUP(IF(G34&gt;0,((B34/10000)*G34),0),1)</f>
        <v>0</v>
      </c>
      <c r="J34" s="891">
        <f ca="1">IF(G34&gt;0,0.2,0)*OFFSET(Paper!$J$7,Q34,0)</f>
        <v>0</v>
      </c>
      <c r="K34" s="891">
        <f ca="1">J34*H34</f>
        <v>0</v>
      </c>
      <c r="L34" s="891">
        <f ca="1">IF(I34=0,0,H34*(I34+J34))</f>
        <v>0</v>
      </c>
      <c r="M34" s="891">
        <f ca="1">IF($D$3&gt;0,L34/($D$3),0)*(1+$M$6)</f>
        <v>0</v>
      </c>
      <c r="N34" s="136" t="str">
        <f ca="1">OFFSET(input!$F$33,P34,0)</f>
        <v>N</v>
      </c>
      <c r="O34" s="136">
        <f t="shared" si="11"/>
        <v>26</v>
      </c>
      <c r="P34" s="136">
        <f t="shared" si="12"/>
        <v>17</v>
      </c>
      <c r="Q34" s="136">
        <f t="shared" si="13"/>
        <v>1</v>
      </c>
      <c r="AT34" s="413">
        <f t="shared" ca="1" si="4"/>
        <v>0</v>
      </c>
      <c r="AU34" s="136">
        <f ca="1">COUNTIFS(AT$7:$AT34,1)</f>
        <v>1</v>
      </c>
    </row>
    <row r="35" spans="1:47" ht="15">
      <c r="A35" s="952" t="str">
        <f ca="1">OFFSET(input!$A$25,P35,0)</f>
        <v>N</v>
      </c>
      <c r="B35" s="891">
        <f ca="1">SUMIFS(Paper!$AC$7:$AC$30,Paper!$A$7:$A$30,Ink!A35)+SUMIFS(Paper!$X$7:$X$30,Paper!$A$7:$A$30,Ink!A35)</f>
        <v>0</v>
      </c>
      <c r="C35" s="953">
        <v>11</v>
      </c>
      <c r="D35" s="954" t="str">
        <f ca="1">OFFSET(input!$A$27,O35,0)</f>
        <v>None</v>
      </c>
      <c r="E35" s="891">
        <f ca="1">SUMIFS(Paper!$N$7:$N$30,Paper!$A$7:$A$30,A35)</f>
        <v>0</v>
      </c>
      <c r="F35" s="891">
        <f ca="1">SUMIFS(Paper!$O$7:$O$30,Paper!$A$7:$A$30,A35)</f>
        <v>0</v>
      </c>
      <c r="G35" s="955">
        <f ca="1">IF($D35="None",0,IF(OFFSET(input!$B$27,O35,0)&gt;0,OFFSET(input!$B$27,O35,0),E35*F35*$D$8*10000/IF($B$2="PACK",COUNTIF($H$10:$H$23,"&gt;0"),1)))</f>
        <v>0</v>
      </c>
      <c r="H35" s="956">
        <f ca="1">IF(OFFSET(input!$C$27,O35,0)&gt;0,OFFSET(input!$C$27,O35,0),VLOOKUP(D35,Data!$L$1064:$M$1071,2,0))</f>
        <v>0</v>
      </c>
      <c r="I35" s="891">
        <f ca="1">ROUNDUP(IF(G35&gt;0,((B35/10000)*G35),0),1)</f>
        <v>0</v>
      </c>
      <c r="J35" s="891">
        <f ca="1">IF(G35&gt;0,0.2,0)*OFFSET(Paper!$J$7,Q35,0)</f>
        <v>0</v>
      </c>
      <c r="K35" s="891">
        <f ca="1">J35*H35</f>
        <v>0</v>
      </c>
      <c r="L35" s="891">
        <f ca="1">IF(I35=0,0,H35*(I35+J35))</f>
        <v>0</v>
      </c>
      <c r="M35" s="891">
        <f ca="1">IF($D$3&gt;0,L35/($D$3),0)*(1+$M$6)</f>
        <v>0</v>
      </c>
      <c r="N35" s="136" t="str">
        <f ca="1">OFFSET(input!$F$33,P35,0)</f>
        <v>N</v>
      </c>
      <c r="O35" s="136">
        <f t="shared" si="11"/>
        <v>27</v>
      </c>
      <c r="P35" s="136">
        <f t="shared" si="12"/>
        <v>17</v>
      </c>
      <c r="Q35" s="136">
        <f t="shared" si="13"/>
        <v>1</v>
      </c>
      <c r="AT35" s="413">
        <f t="shared" ca="1" si="4"/>
        <v>0</v>
      </c>
      <c r="AU35" s="136">
        <f ca="1">COUNTIFS(AT$7:$AT35,1)</f>
        <v>1</v>
      </c>
    </row>
    <row r="36" spans="1:47" ht="15">
      <c r="A36" s="952" t="str">
        <f ca="1">OFFSET(input!$A$25,P36,0)</f>
        <v>N</v>
      </c>
      <c r="B36" s="891">
        <f ca="1">SUMIFS(Paper!$AC$7:$AC$30,Paper!$A$7:$A$30,Ink!A36)+SUMIFS(Paper!$X$7:$X$30,Paper!$A$7:$A$30,Ink!A36)</f>
        <v>0</v>
      </c>
      <c r="C36" s="953">
        <v>12</v>
      </c>
      <c r="D36" s="954" t="str">
        <f ca="1">OFFSET(input!$A$27,O36,0)</f>
        <v>None</v>
      </c>
      <c r="E36" s="891">
        <f ca="1">SUMIFS(Paper!$N$7:$N$30,Paper!$A$7:$A$30,A36)</f>
        <v>0</v>
      </c>
      <c r="F36" s="891">
        <f ca="1">SUMIFS(Paper!$O$7:$O$30,Paper!$A$7:$A$30,A36)</f>
        <v>0</v>
      </c>
      <c r="G36" s="955">
        <f ca="1">IF($D36="None",0,IF(OFFSET(input!$B$27,O36,0)&gt;0,OFFSET(input!$B$27,O36,0),E36*F36*$D$8*10000/IF($B$2="PACK",COUNTIF($H$10:$H$23,"&gt;0"),1)))</f>
        <v>0</v>
      </c>
      <c r="H36" s="956">
        <f ca="1">IF(OFFSET(input!$C$27,O36,0)&gt;0,OFFSET(input!$C$27,O36,0),VLOOKUP(D36,Data!$L$1064:$M$1071,2,0))</f>
        <v>0</v>
      </c>
      <c r="I36" s="891">
        <f ca="1">ROUNDUP(IF(G36&gt;0,((B36/10000)*G36),0),1)</f>
        <v>0</v>
      </c>
      <c r="J36" s="891">
        <f ca="1">IF(G36&gt;0,0.2,0)*OFFSET(Paper!$J$7,Q36,0)</f>
        <v>0</v>
      </c>
      <c r="K36" s="891">
        <f ca="1">J36*H36</f>
        <v>0</v>
      </c>
      <c r="L36" s="891">
        <f ca="1">IF(I36=0,0,H36*(I36+J36))</f>
        <v>0</v>
      </c>
      <c r="M36" s="891">
        <f ca="1">IF($D$3&gt;0,L36/($D$3),0)*(1+$M$6)</f>
        <v>0</v>
      </c>
      <c r="N36" s="136" t="str">
        <f ca="1">OFFSET(input!$F$33,P36,0)</f>
        <v>N</v>
      </c>
      <c r="O36" s="136">
        <f t="shared" si="11"/>
        <v>28</v>
      </c>
      <c r="P36" s="136">
        <f t="shared" si="12"/>
        <v>17</v>
      </c>
      <c r="Q36" s="136">
        <f t="shared" si="13"/>
        <v>1</v>
      </c>
      <c r="AT36" s="413">
        <f t="shared" ca="1" si="4"/>
        <v>0</v>
      </c>
      <c r="AU36" s="136">
        <f ca="1">COUNTIFS(AT$7:$AT36,1)</f>
        <v>1</v>
      </c>
    </row>
    <row r="37" spans="1:47" ht="15">
      <c r="A37" s="952" t="str">
        <f ca="1">OFFSET(input!$A$25,P37,0)</f>
        <v>N</v>
      </c>
      <c r="B37" s="891">
        <f ca="1">SUMIFS(Paper!$AC$7:$AC$30,Paper!$A$7:$A$30,Ink!A37)+SUMIFS(Paper!$X$7:$X$30,Paper!$A$7:$A$30,Ink!A37)</f>
        <v>0</v>
      </c>
      <c r="C37" s="953">
        <v>13</v>
      </c>
      <c r="D37" s="954" t="str">
        <f ca="1">OFFSET(input!$A$27,O37,0)</f>
        <v>None</v>
      </c>
      <c r="E37" s="891">
        <f ca="1">SUMIFS(Paper!$N$7:$N$30,Paper!$A$7:$A$30,A37)</f>
        <v>0</v>
      </c>
      <c r="F37" s="891">
        <f ca="1">SUMIFS(Paper!$O$7:$O$30,Paper!$A$7:$A$30,A37)</f>
        <v>0</v>
      </c>
      <c r="G37" s="955">
        <f ca="1">IF($D37="None",0,IF(OFFSET(input!$B$27,O37,0)&gt;0,OFFSET(input!$B$27,O37,0),E37*F37*$D$8*10000/IF($B$2="PACK",COUNTIF($H$10:$H$23,"&gt;0"),1)))</f>
        <v>0</v>
      </c>
      <c r="H37" s="956">
        <f ca="1">IF(OFFSET(input!$C$27,O37,0)&gt;0,OFFSET(input!$C$27,O37,0),VLOOKUP(D37,Data!$L$1064:$M$1071,2,0))</f>
        <v>0</v>
      </c>
      <c r="I37" s="891">
        <f ca="1">ROUNDUP(IF(G37&gt;0,((B37/10000)*G37),0),1)</f>
        <v>0</v>
      </c>
      <c r="J37" s="891">
        <f ca="1">IF(G37&gt;0,0.2,0)*OFFSET(Paper!$J$7,Q37,0)</f>
        <v>0</v>
      </c>
      <c r="K37" s="891">
        <f ca="1">J37*H37</f>
        <v>0</v>
      </c>
      <c r="L37" s="891">
        <f ca="1">IF(I37=0,0,H37*(I37+J37))</f>
        <v>0</v>
      </c>
      <c r="M37" s="891">
        <f ca="1">IF($D$3&gt;0,L37/($D$3),0)*(1+$M$6)</f>
        <v>0</v>
      </c>
      <c r="N37" s="136" t="str">
        <f ca="1">OFFSET(input!$F$33,P37,0)</f>
        <v>N</v>
      </c>
      <c r="O37" s="136">
        <f t="shared" si="11"/>
        <v>29</v>
      </c>
      <c r="P37" s="136">
        <f t="shared" si="12"/>
        <v>17</v>
      </c>
      <c r="Q37" s="136">
        <f t="shared" si="13"/>
        <v>1</v>
      </c>
      <c r="AT37" s="413">
        <f t="shared" ca="1" si="4"/>
        <v>0</v>
      </c>
      <c r="AU37" s="136">
        <f ca="1">COUNTIFS(AT$7:$AT37,1)</f>
        <v>1</v>
      </c>
    </row>
    <row r="38" spans="1:47" ht="15">
      <c r="A38" s="952" t="str">
        <f ca="1">OFFSET(input!$A$25,P38,0)</f>
        <v>N</v>
      </c>
      <c r="B38" s="891">
        <f ca="1">SUMIFS(Paper!$AC$7:$AC$30,Paper!$A$7:$A$30,Ink!A38)+SUMIFS(Paper!$X$7:$X$30,Paper!$A$7:$A$30,Ink!A38)</f>
        <v>0</v>
      </c>
      <c r="C38" s="953">
        <v>14</v>
      </c>
      <c r="D38" s="954" t="str">
        <f ca="1">OFFSET(input!$A$27,O38,0)</f>
        <v>None</v>
      </c>
      <c r="E38" s="891">
        <f ca="1">SUMIFS(Paper!$N$7:$N$30,Paper!$A$7:$A$30,A38)</f>
        <v>0</v>
      </c>
      <c r="F38" s="891">
        <f ca="1">SUMIFS(Paper!$O$7:$O$30,Paper!$A$7:$A$30,A38)</f>
        <v>0</v>
      </c>
      <c r="G38" s="955">
        <f ca="1">IF($D38="None",0,IF(OFFSET(input!$B$27,O38,0)&gt;0,OFFSET(input!$B$27,O38,0),E38*F38*$D$8*10000/IF($B$2="PACK",COUNTIF($H$10:$H$23,"&gt;0"),1)))</f>
        <v>0</v>
      </c>
      <c r="H38" s="956">
        <f ca="1">IF(OFFSET(input!$C$27,O38,0)&gt;0,OFFSET(input!$C$27,O38,0),VLOOKUP(D38,Data!$L$1064:$M$1071,2,0))</f>
        <v>0</v>
      </c>
      <c r="I38" s="891">
        <f t="shared" ref="I38" ca="1" si="14">ROUNDUP(IF(G38&gt;0,((B38/10000)*G38),0),1)</f>
        <v>0</v>
      </c>
      <c r="J38" s="891">
        <f ca="1">IF(G38&gt;0,0.2,0)*OFFSET(Paper!$J$7,Q38,0)</f>
        <v>0</v>
      </c>
      <c r="K38" s="891">
        <f t="shared" ref="K38" ca="1" si="15">J38*H38</f>
        <v>0</v>
      </c>
      <c r="L38" s="891">
        <f t="shared" ref="L38" ca="1" si="16">IF(I38=0,0,H38*(I38+J38))</f>
        <v>0</v>
      </c>
      <c r="M38" s="891">
        <f t="shared" ref="M38" ca="1" si="17">IF($D$3&gt;0,L38/($D$3),0)*(1+$M$6)</f>
        <v>0</v>
      </c>
      <c r="N38" s="136" t="str">
        <f ca="1">OFFSET(input!$F$33,P38,0)</f>
        <v>N</v>
      </c>
      <c r="O38" s="136">
        <f t="shared" si="11"/>
        <v>30</v>
      </c>
      <c r="P38" s="136">
        <f>+P23+17</f>
        <v>17</v>
      </c>
      <c r="Q38" s="136">
        <f t="shared" si="13"/>
        <v>1</v>
      </c>
      <c r="AT38" s="413">
        <f t="shared" ca="1" si="4"/>
        <v>0</v>
      </c>
      <c r="AU38" s="136">
        <f ca="1">COUNTIFS(AT$7:$AT38,1)</f>
        <v>1</v>
      </c>
    </row>
    <row r="39" spans="1:47" ht="15">
      <c r="A39" s="957"/>
      <c r="B39" s="958"/>
      <c r="C39" s="959"/>
      <c r="D39" s="954"/>
      <c r="E39" s="958"/>
      <c r="F39" s="958"/>
      <c r="G39" s="955"/>
      <c r="H39" s="960"/>
      <c r="I39" s="958"/>
      <c r="J39" s="958"/>
      <c r="K39" s="958"/>
      <c r="L39" s="958"/>
      <c r="M39" s="958"/>
      <c r="AT39" s="413" t="str">
        <f t="shared" si="4"/>
        <v/>
      </c>
      <c r="AU39" s="136">
        <f ca="1">COUNTIFS(AT$7:$AT39,1)</f>
        <v>1</v>
      </c>
    </row>
    <row r="40" spans="1:47" ht="15">
      <c r="A40" s="952" t="str">
        <f ca="1">OFFSET(input!$A$25,P40,0)</f>
        <v>N</v>
      </c>
      <c r="B40" s="891">
        <f ca="1">SUMIFS(Paper!$AC$7:$AC$30,Paper!$A$7:$A$30,Ink!A40)+SUMIFS(Paper!$X$7:$X$30,Paper!$A$7:$A$30,Ink!A40)</f>
        <v>0</v>
      </c>
      <c r="C40" s="953">
        <v>1</v>
      </c>
      <c r="D40" s="954" t="str">
        <f ca="1">OFFSET(input!$A$27,O40,0)</f>
        <v>None</v>
      </c>
      <c r="E40" s="891">
        <f ca="1">SUMIFS(Paper!$N$7:$N$30,Paper!$A$7:$A$30,A40)</f>
        <v>0</v>
      </c>
      <c r="F40" s="891">
        <f ca="1">SUMIFS(Paper!$O$7:$O$30,Paper!$A$7:$A$30,A40)</f>
        <v>0</v>
      </c>
      <c r="G40" s="955">
        <f ca="1">IF($D40="None",0,IF(OFFSET(input!$B$27,O40,0)&gt;0,OFFSET(input!$B$27,O40,0),E40*F40*$D$8*10000/IF($B$2="PACK",COUNTIF($H$10:$H$23,"&gt;0"),1)))</f>
        <v>0</v>
      </c>
      <c r="H40" s="956">
        <f ca="1">IF(OFFSET(input!$C$27,O40,0)&gt;0,OFFSET(input!$C$27,O40,0),VLOOKUP(D40,Data!$L$1064:$M$1071,2,0))</f>
        <v>0</v>
      </c>
      <c r="I40" s="891">
        <f t="shared" ref="I40:I48" ca="1" si="18">ROUNDUP(IF(G40&gt;0,((B40/10000)*G40),0),1)</f>
        <v>0</v>
      </c>
      <c r="J40" s="891">
        <f ca="1">IF(G40&gt;0,0.2,0)*OFFSET(Paper!$J$7,Q40,0)</f>
        <v>0</v>
      </c>
      <c r="K40" s="891">
        <f t="shared" ref="K40:K48" ca="1" si="19">J40*H40</f>
        <v>0</v>
      </c>
      <c r="L40" s="891">
        <f t="shared" ref="L40:L48" ca="1" si="20">IF(I40=0,0,H40*(I40+J40))</f>
        <v>0</v>
      </c>
      <c r="M40" s="891">
        <f ca="1">IF($D$3&gt;0,L40/($D$3),0)*(1+$M$6)</f>
        <v>0</v>
      </c>
      <c r="N40" s="136" t="str">
        <f ca="1">OFFSET(input!$F$33,P40,0)</f>
        <v>N</v>
      </c>
      <c r="O40" s="136">
        <f>O25+17</f>
        <v>34</v>
      </c>
      <c r="P40" s="136">
        <f>+P25+17</f>
        <v>34</v>
      </c>
      <c r="Q40" s="136">
        <f>+Q25+1</f>
        <v>2</v>
      </c>
      <c r="AT40" s="413">
        <f t="shared" ca="1" si="4"/>
        <v>0</v>
      </c>
      <c r="AU40" s="136">
        <f ca="1">COUNTIFS(AT$7:$AT40,1)</f>
        <v>1</v>
      </c>
    </row>
    <row r="41" spans="1:47" ht="15">
      <c r="A41" s="952" t="str">
        <f ca="1">OFFSET(input!$A$25,P41,0)</f>
        <v>N</v>
      </c>
      <c r="B41" s="891">
        <f ca="1">SUMIFS(Paper!$AC$7:$AC$30,Paper!$A$7:$A$30,Ink!A41)+SUMIFS(Paper!$X$7:$X$30,Paper!$A$7:$A$30,Ink!A41)</f>
        <v>0</v>
      </c>
      <c r="C41" s="953">
        <v>2</v>
      </c>
      <c r="D41" s="954" t="str">
        <f ca="1">OFFSET(input!$A$27,O41,0)</f>
        <v>None</v>
      </c>
      <c r="E41" s="891">
        <f ca="1">SUMIFS(Paper!$N$7:$N$30,Paper!$A$7:$A$30,A41)</f>
        <v>0</v>
      </c>
      <c r="F41" s="891">
        <f ca="1">SUMIFS(Paper!$O$7:$O$30,Paper!$A$7:$A$30,A41)</f>
        <v>0</v>
      </c>
      <c r="G41" s="955">
        <f ca="1">IF($D41="None",0,IF(OFFSET(input!$B$27,O41,0)&gt;0,OFFSET(input!$B$27,O41,0),E41*F41*$D$8*10000/IF($B$2="PACK",COUNTIF($H$10:$H$23,"&gt;0"),1)))</f>
        <v>0</v>
      </c>
      <c r="H41" s="956">
        <f ca="1">IF(OFFSET(input!$C$27,O41,0)&gt;0,OFFSET(input!$C$27,O41,0),VLOOKUP(D41,Data!$L$1064:$M$1071,2,0))</f>
        <v>0</v>
      </c>
      <c r="I41" s="891">
        <f t="shared" ca="1" si="18"/>
        <v>0</v>
      </c>
      <c r="J41" s="891">
        <f ca="1">IF(G41&gt;0,0.2,0)*OFFSET(Paper!$J$7,Q41,0)</f>
        <v>0</v>
      </c>
      <c r="K41" s="891">
        <f t="shared" ca="1" si="19"/>
        <v>0</v>
      </c>
      <c r="L41" s="891">
        <f t="shared" ca="1" si="20"/>
        <v>0</v>
      </c>
      <c r="M41" s="891">
        <f t="shared" ref="M41:M48" ca="1" si="21">IF($D$3&gt;0,L41/($D$3),0)*(1+$M$6)</f>
        <v>0</v>
      </c>
      <c r="N41" s="136" t="str">
        <f ca="1">OFFSET(input!$F$33,P41,0)</f>
        <v>N</v>
      </c>
      <c r="O41" s="136">
        <f t="shared" ref="O41:O53" si="22">O26+17</f>
        <v>35</v>
      </c>
      <c r="P41" s="136">
        <f t="shared" ref="P41:P52" si="23">+P26+17</f>
        <v>34</v>
      </c>
      <c r="Q41" s="136">
        <f t="shared" ref="Q41:Q53" si="24">+Q26+1</f>
        <v>2</v>
      </c>
      <c r="AT41" s="413">
        <f t="shared" ca="1" si="4"/>
        <v>0</v>
      </c>
      <c r="AU41" s="136">
        <f ca="1">COUNTIFS(AT$7:$AT41,1)</f>
        <v>1</v>
      </c>
    </row>
    <row r="42" spans="1:47" ht="15">
      <c r="A42" s="952" t="str">
        <f ca="1">OFFSET(input!$A$25,P42,0)</f>
        <v>N</v>
      </c>
      <c r="B42" s="891">
        <f ca="1">SUMIFS(Paper!$AC$7:$AC$30,Paper!$A$7:$A$30,Ink!A42)+SUMIFS(Paper!$X$7:$X$30,Paper!$A$7:$A$30,Ink!A42)</f>
        <v>0</v>
      </c>
      <c r="C42" s="953">
        <v>3</v>
      </c>
      <c r="D42" s="954" t="str">
        <f ca="1">OFFSET(input!$A$27,O42,0)</f>
        <v>None</v>
      </c>
      <c r="E42" s="891">
        <f ca="1">SUMIFS(Paper!$N$7:$N$30,Paper!$A$7:$A$30,A42)</f>
        <v>0</v>
      </c>
      <c r="F42" s="891">
        <f ca="1">SUMIFS(Paper!$O$7:$O$30,Paper!$A$7:$A$30,A42)</f>
        <v>0</v>
      </c>
      <c r="G42" s="955">
        <f ca="1">IF($D42="None",0,IF(OFFSET(input!$B$27,O42,0)&gt;0,OFFSET(input!$B$27,O42,0),E42*F42*$D$8*10000/IF($B$2="PACK",COUNTIF($H$10:$H$23,"&gt;0"),1)))</f>
        <v>0</v>
      </c>
      <c r="H42" s="956">
        <f ca="1">IF(OFFSET(input!$C$27,O42,0)&gt;0,OFFSET(input!$C$27,O42,0),VLOOKUP(D42,Data!$L$1064:$M$1071,2,0))</f>
        <v>0</v>
      </c>
      <c r="I42" s="891">
        <f t="shared" ca="1" si="18"/>
        <v>0</v>
      </c>
      <c r="J42" s="891">
        <f ca="1">IF(G42&gt;0,0.2,0)*OFFSET(Paper!$J$7,Q42,0)</f>
        <v>0</v>
      </c>
      <c r="K42" s="891">
        <f t="shared" ca="1" si="19"/>
        <v>0</v>
      </c>
      <c r="L42" s="891">
        <f t="shared" ca="1" si="20"/>
        <v>0</v>
      </c>
      <c r="M42" s="891">
        <f t="shared" ca="1" si="21"/>
        <v>0</v>
      </c>
      <c r="N42" s="136" t="str">
        <f ca="1">OFFSET(input!$F$33,P42,0)</f>
        <v>N</v>
      </c>
      <c r="O42" s="136">
        <f t="shared" si="22"/>
        <v>36</v>
      </c>
      <c r="P42" s="136">
        <f t="shared" si="23"/>
        <v>34</v>
      </c>
      <c r="Q42" s="136">
        <f t="shared" si="24"/>
        <v>2</v>
      </c>
      <c r="AT42" s="413">
        <f t="shared" ca="1" si="4"/>
        <v>0</v>
      </c>
      <c r="AU42" s="136">
        <f ca="1">COUNTIFS(AT$7:$AT42,1)</f>
        <v>1</v>
      </c>
    </row>
    <row r="43" spans="1:47" ht="15">
      <c r="A43" s="952" t="str">
        <f ca="1">OFFSET(input!$A$25,P43,0)</f>
        <v>N</v>
      </c>
      <c r="B43" s="891">
        <f ca="1">SUMIFS(Paper!$AC$7:$AC$30,Paper!$A$7:$A$30,Ink!A43)+SUMIFS(Paper!$X$7:$X$30,Paper!$A$7:$A$30,Ink!A43)</f>
        <v>0</v>
      </c>
      <c r="C43" s="953">
        <v>4</v>
      </c>
      <c r="D43" s="954" t="str">
        <f ca="1">OFFSET(input!$A$27,O43,0)</f>
        <v>None</v>
      </c>
      <c r="E43" s="891">
        <f ca="1">SUMIFS(Paper!$N$7:$N$30,Paper!$A$7:$A$30,A43)</f>
        <v>0</v>
      </c>
      <c r="F43" s="891">
        <f ca="1">SUMIFS(Paper!$O$7:$O$30,Paper!$A$7:$A$30,A43)</f>
        <v>0</v>
      </c>
      <c r="G43" s="955">
        <f ca="1">IF($D43="None",0,IF(OFFSET(input!$B$27,O43,0)&gt;0,OFFSET(input!$B$27,O43,0),E43*F43*$D$8*10000/IF($B$2="PACK",COUNTIF($H$10:$H$23,"&gt;0"),1)))</f>
        <v>0</v>
      </c>
      <c r="H43" s="956">
        <f ca="1">IF(OFFSET(input!$C$27,O43,0)&gt;0,OFFSET(input!$C$27,O43,0),VLOOKUP(D43,Data!$L$1064:$M$1071,2,0))</f>
        <v>0</v>
      </c>
      <c r="I43" s="891">
        <f t="shared" ca="1" si="18"/>
        <v>0</v>
      </c>
      <c r="J43" s="891">
        <f ca="1">IF(G43&gt;0,0.2,0)*OFFSET(Paper!$J$7,Q43,0)</f>
        <v>0</v>
      </c>
      <c r="K43" s="891">
        <f t="shared" ca="1" si="19"/>
        <v>0</v>
      </c>
      <c r="L43" s="891">
        <f t="shared" ca="1" si="20"/>
        <v>0</v>
      </c>
      <c r="M43" s="891">
        <f t="shared" ca="1" si="21"/>
        <v>0</v>
      </c>
      <c r="N43" s="136" t="str">
        <f ca="1">OFFSET(input!$F$33,P43,0)</f>
        <v>N</v>
      </c>
      <c r="O43" s="136">
        <f t="shared" si="22"/>
        <v>37</v>
      </c>
      <c r="P43" s="136">
        <f t="shared" si="23"/>
        <v>34</v>
      </c>
      <c r="Q43" s="136">
        <f t="shared" si="24"/>
        <v>2</v>
      </c>
      <c r="AT43" s="413">
        <f t="shared" ca="1" si="4"/>
        <v>0</v>
      </c>
      <c r="AU43" s="136">
        <f ca="1">COUNTIFS(AT$7:$AT43,1)</f>
        <v>1</v>
      </c>
    </row>
    <row r="44" spans="1:47" ht="15">
      <c r="A44" s="952" t="str">
        <f ca="1">OFFSET(input!$A$25,P44,0)</f>
        <v>N</v>
      </c>
      <c r="B44" s="891">
        <f ca="1">SUMIFS(Paper!$AC$7:$AC$30,Paper!$A$7:$A$30,Ink!A44)+SUMIFS(Paper!$X$7:$X$30,Paper!$A$7:$A$30,Ink!A44)</f>
        <v>0</v>
      </c>
      <c r="C44" s="953">
        <v>5</v>
      </c>
      <c r="D44" s="954" t="str">
        <f ca="1">OFFSET(input!$A$27,O44,0)</f>
        <v>None</v>
      </c>
      <c r="E44" s="891">
        <f ca="1">SUMIFS(Paper!$N$7:$N$30,Paper!$A$7:$A$30,A44)</f>
        <v>0</v>
      </c>
      <c r="F44" s="891">
        <f ca="1">SUMIFS(Paper!$O$7:$O$30,Paper!$A$7:$A$30,A44)</f>
        <v>0</v>
      </c>
      <c r="G44" s="955">
        <f ca="1">IF($D44="None",0,IF(OFFSET(input!$B$27,O44,0)&gt;0,OFFSET(input!$B$27,O44,0),E44*F44*$D$8*10000/IF($B$2="PACK",COUNTIF($H$10:$H$23,"&gt;0"),1)))</f>
        <v>0</v>
      </c>
      <c r="H44" s="956">
        <f ca="1">IF(OFFSET(input!$C$27,O44,0)&gt;0,OFFSET(input!$C$27,O44,0),VLOOKUP(D44,Data!$L$1064:$M$1071,2,0))</f>
        <v>0</v>
      </c>
      <c r="I44" s="891">
        <f t="shared" ca="1" si="18"/>
        <v>0</v>
      </c>
      <c r="J44" s="891">
        <f ca="1">IF(G44&gt;0,0.2,0)*OFFSET(Paper!$J$7,Q44,0)</f>
        <v>0</v>
      </c>
      <c r="K44" s="891">
        <f t="shared" ca="1" si="19"/>
        <v>0</v>
      </c>
      <c r="L44" s="891">
        <f t="shared" ca="1" si="20"/>
        <v>0</v>
      </c>
      <c r="M44" s="891">
        <f t="shared" ca="1" si="21"/>
        <v>0</v>
      </c>
      <c r="N44" s="136" t="str">
        <f ca="1">OFFSET(input!$F$33,P44,0)</f>
        <v>N</v>
      </c>
      <c r="O44" s="136">
        <f t="shared" si="22"/>
        <v>38</v>
      </c>
      <c r="P44" s="136">
        <f t="shared" si="23"/>
        <v>34</v>
      </c>
      <c r="Q44" s="136">
        <f t="shared" si="24"/>
        <v>2</v>
      </c>
      <c r="AT44" s="413">
        <f t="shared" ca="1" si="4"/>
        <v>0</v>
      </c>
      <c r="AU44" s="136">
        <f ca="1">COUNTIFS(AT$7:$AT44,1)</f>
        <v>1</v>
      </c>
    </row>
    <row r="45" spans="1:47" ht="15">
      <c r="A45" s="952" t="str">
        <f ca="1">OFFSET(input!$A$25,P45,0)</f>
        <v>N</v>
      </c>
      <c r="B45" s="891">
        <f ca="1">SUMIFS(Paper!$AC$7:$AC$30,Paper!$A$7:$A$30,Ink!A45)+SUMIFS(Paper!$X$7:$X$30,Paper!$A$7:$A$30,Ink!A45)</f>
        <v>0</v>
      </c>
      <c r="C45" s="953">
        <v>6</v>
      </c>
      <c r="D45" s="954" t="str">
        <f ca="1">OFFSET(input!$A$27,O45,0)</f>
        <v>None</v>
      </c>
      <c r="E45" s="891">
        <f ca="1">SUMIFS(Paper!$N$7:$N$30,Paper!$A$7:$A$30,A45)</f>
        <v>0</v>
      </c>
      <c r="F45" s="891">
        <f ca="1">SUMIFS(Paper!$O$7:$O$30,Paper!$A$7:$A$30,A45)</f>
        <v>0</v>
      </c>
      <c r="G45" s="955">
        <f ca="1">IF($D45="None",0,IF(OFFSET(input!$B$27,O45,0)&gt;0,OFFSET(input!$B$27,O45,0),E45*F45*$D$8*10000/IF($B$2="PACK",COUNTIF($H$10:$H$23,"&gt;0"),1)))</f>
        <v>0</v>
      </c>
      <c r="H45" s="956">
        <f ca="1">IF(OFFSET(input!$C$27,O45,0)&gt;0,OFFSET(input!$C$27,O45,0),VLOOKUP(D45,Data!$L$1064:$M$1071,2,0))</f>
        <v>0</v>
      </c>
      <c r="I45" s="891">
        <f t="shared" ca="1" si="18"/>
        <v>0</v>
      </c>
      <c r="J45" s="891">
        <f ca="1">IF(G45&gt;0,0.2,0)*OFFSET(Paper!$J$7,Q45,0)</f>
        <v>0</v>
      </c>
      <c r="K45" s="891">
        <f t="shared" ca="1" si="19"/>
        <v>0</v>
      </c>
      <c r="L45" s="891">
        <f t="shared" ca="1" si="20"/>
        <v>0</v>
      </c>
      <c r="M45" s="891">
        <f t="shared" ca="1" si="21"/>
        <v>0</v>
      </c>
      <c r="N45" s="136" t="str">
        <f ca="1">OFFSET(input!$F$33,P45,0)</f>
        <v>N</v>
      </c>
      <c r="O45" s="136">
        <f t="shared" si="22"/>
        <v>39</v>
      </c>
      <c r="P45" s="136">
        <f t="shared" si="23"/>
        <v>34</v>
      </c>
      <c r="Q45" s="136">
        <f t="shared" si="24"/>
        <v>2</v>
      </c>
      <c r="AT45" s="413">
        <f t="shared" ca="1" si="4"/>
        <v>0</v>
      </c>
      <c r="AU45" s="136">
        <f ca="1">COUNTIFS(AT$7:$AT45,1)</f>
        <v>1</v>
      </c>
    </row>
    <row r="46" spans="1:47" ht="15">
      <c r="A46" s="952" t="str">
        <f ca="1">OFFSET(input!$A$25,P46,0)</f>
        <v>N</v>
      </c>
      <c r="B46" s="891">
        <f ca="1">SUMIFS(Paper!$AC$7:$AC$30,Paper!$A$7:$A$30,Ink!A46)+SUMIFS(Paper!$X$7:$X$30,Paper!$A$7:$A$30,Ink!A46)</f>
        <v>0</v>
      </c>
      <c r="C46" s="953">
        <v>7</v>
      </c>
      <c r="D46" s="954" t="str">
        <f ca="1">OFFSET(input!$A$27,O46,0)</f>
        <v>None</v>
      </c>
      <c r="E46" s="891">
        <f ca="1">SUMIFS(Paper!$N$7:$N$30,Paper!$A$7:$A$30,A46)</f>
        <v>0</v>
      </c>
      <c r="F46" s="891">
        <f ca="1">SUMIFS(Paper!$O$7:$O$30,Paper!$A$7:$A$30,A46)</f>
        <v>0</v>
      </c>
      <c r="G46" s="955">
        <f ca="1">IF($D46="None",0,IF(OFFSET(input!$B$27,O46,0)&gt;0,OFFSET(input!$B$27,O46,0),E46*F46*$D$8*10000/IF($B$2="PACK",COUNTIF($H$10:$H$23,"&gt;0"),1)))</f>
        <v>0</v>
      </c>
      <c r="H46" s="956">
        <f ca="1">IF(OFFSET(input!$C$27,O46,0)&gt;0,OFFSET(input!$C$27,O46,0),VLOOKUP(D46,Data!$L$1064:$M$1071,2,0))</f>
        <v>0</v>
      </c>
      <c r="I46" s="891">
        <f t="shared" ca="1" si="18"/>
        <v>0</v>
      </c>
      <c r="J46" s="891">
        <f ca="1">IF(G46&gt;0,0.2,0)*OFFSET(Paper!$J$7,Q46,0)</f>
        <v>0</v>
      </c>
      <c r="K46" s="891">
        <f t="shared" ca="1" si="19"/>
        <v>0</v>
      </c>
      <c r="L46" s="891">
        <f t="shared" ca="1" si="20"/>
        <v>0</v>
      </c>
      <c r="M46" s="891">
        <f t="shared" ca="1" si="21"/>
        <v>0</v>
      </c>
      <c r="N46" s="136" t="str">
        <f ca="1">OFFSET(input!$F$33,P46,0)</f>
        <v>N</v>
      </c>
      <c r="O46" s="136">
        <f t="shared" si="22"/>
        <v>40</v>
      </c>
      <c r="P46" s="136">
        <f t="shared" si="23"/>
        <v>34</v>
      </c>
      <c r="Q46" s="136">
        <f t="shared" si="24"/>
        <v>2</v>
      </c>
      <c r="AT46" s="413">
        <f t="shared" ca="1" si="4"/>
        <v>0</v>
      </c>
      <c r="AU46" s="136">
        <f ca="1">COUNTIFS(AT$7:$AT46,1)</f>
        <v>1</v>
      </c>
    </row>
    <row r="47" spans="1:47" ht="15">
      <c r="A47" s="952" t="str">
        <f ca="1">OFFSET(input!$A$25,P47,0)</f>
        <v>N</v>
      </c>
      <c r="B47" s="891">
        <f ca="1">SUMIFS(Paper!$AC$7:$AC$30,Paper!$A$7:$A$30,Ink!A47)+SUMIFS(Paper!$X$7:$X$30,Paper!$A$7:$A$30,Ink!A47)</f>
        <v>0</v>
      </c>
      <c r="C47" s="953">
        <v>8</v>
      </c>
      <c r="D47" s="954" t="str">
        <f ca="1">OFFSET(input!$A$27,O47,0)</f>
        <v>None</v>
      </c>
      <c r="E47" s="891">
        <f ca="1">SUMIFS(Paper!$N$7:$N$30,Paper!$A$7:$A$30,A47)</f>
        <v>0</v>
      </c>
      <c r="F47" s="891">
        <f ca="1">SUMIFS(Paper!$O$7:$O$30,Paper!$A$7:$A$30,A47)</f>
        <v>0</v>
      </c>
      <c r="G47" s="955">
        <f ca="1">IF($D47="None",0,IF(OFFSET(input!$B$27,O47,0)&gt;0,OFFSET(input!$B$27,O47,0),E47*F47*$D$8*10000/IF($B$2="PACK",COUNTIF($H$10:$H$23,"&gt;0"),1)))</f>
        <v>0</v>
      </c>
      <c r="H47" s="956">
        <f ca="1">IF(OFFSET(input!$C$27,O47,0)&gt;0,OFFSET(input!$C$27,O47,0),VLOOKUP(D47,Data!$L$1064:$M$1071,2,0))</f>
        <v>0</v>
      </c>
      <c r="I47" s="891">
        <f t="shared" ca="1" si="18"/>
        <v>0</v>
      </c>
      <c r="J47" s="891">
        <f ca="1">IF(G47&gt;0,0.2,0)*OFFSET(Paper!$J$7,Q47,0)</f>
        <v>0</v>
      </c>
      <c r="K47" s="891">
        <f t="shared" ca="1" si="19"/>
        <v>0</v>
      </c>
      <c r="L47" s="891">
        <f t="shared" ca="1" si="20"/>
        <v>0</v>
      </c>
      <c r="M47" s="891">
        <f t="shared" ca="1" si="21"/>
        <v>0</v>
      </c>
      <c r="N47" s="136" t="str">
        <f ca="1">OFFSET(input!$F$33,P47,0)</f>
        <v>N</v>
      </c>
      <c r="O47" s="136">
        <f t="shared" si="22"/>
        <v>41</v>
      </c>
      <c r="P47" s="136">
        <f t="shared" si="23"/>
        <v>34</v>
      </c>
      <c r="Q47" s="136">
        <f t="shared" si="24"/>
        <v>2</v>
      </c>
      <c r="AT47" s="413">
        <f t="shared" ca="1" si="4"/>
        <v>0</v>
      </c>
      <c r="AU47" s="136">
        <f ca="1">COUNTIFS(AT$7:$AT47,1)</f>
        <v>1</v>
      </c>
    </row>
    <row r="48" spans="1:47" ht="15">
      <c r="A48" s="952" t="str">
        <f ca="1">OFFSET(input!$A$25,P48,0)</f>
        <v>N</v>
      </c>
      <c r="B48" s="891">
        <f ca="1">SUMIFS(Paper!$AC$7:$AC$30,Paper!$A$7:$A$30,Ink!A48)+SUMIFS(Paper!$X$7:$X$30,Paper!$A$7:$A$30,Ink!A48)</f>
        <v>0</v>
      </c>
      <c r="C48" s="953">
        <v>9</v>
      </c>
      <c r="D48" s="954" t="str">
        <f ca="1">OFFSET(input!$A$27,O48,0)</f>
        <v>None</v>
      </c>
      <c r="E48" s="891">
        <f ca="1">SUMIFS(Paper!$N$7:$N$30,Paper!$A$7:$A$30,A48)</f>
        <v>0</v>
      </c>
      <c r="F48" s="891">
        <f ca="1">SUMIFS(Paper!$O$7:$O$30,Paper!$A$7:$A$30,A48)</f>
        <v>0</v>
      </c>
      <c r="G48" s="955">
        <f ca="1">IF($D48="None",0,IF(OFFSET(input!$B$27,O48,0)&gt;0,OFFSET(input!$B$27,O48,0),E48*F48*$D$8*10000/IF($B$2="PACK",COUNTIF($H$10:$H$23,"&gt;0"),1)))</f>
        <v>0</v>
      </c>
      <c r="H48" s="956">
        <f ca="1">IF(OFFSET(input!$C$27,O48,0)&gt;0,OFFSET(input!$C$27,O48,0),VLOOKUP(D48,Data!$L$1064:$M$1071,2,0))</f>
        <v>0</v>
      </c>
      <c r="I48" s="891">
        <f t="shared" ca="1" si="18"/>
        <v>0</v>
      </c>
      <c r="J48" s="891">
        <f ca="1">IF(G48&gt;0,0.2,0)*OFFSET(Paper!$J$7,Q48,0)</f>
        <v>0</v>
      </c>
      <c r="K48" s="891">
        <f t="shared" ca="1" si="19"/>
        <v>0</v>
      </c>
      <c r="L48" s="891">
        <f t="shared" ca="1" si="20"/>
        <v>0</v>
      </c>
      <c r="M48" s="891">
        <f t="shared" ca="1" si="21"/>
        <v>0</v>
      </c>
      <c r="N48" s="136" t="str">
        <f ca="1">OFFSET(input!$F$33,P48,0)</f>
        <v>N</v>
      </c>
      <c r="O48" s="136">
        <f t="shared" si="22"/>
        <v>42</v>
      </c>
      <c r="P48" s="136">
        <f t="shared" si="23"/>
        <v>34</v>
      </c>
      <c r="Q48" s="136">
        <f t="shared" si="24"/>
        <v>2</v>
      </c>
      <c r="AT48" s="413">
        <f t="shared" ca="1" si="4"/>
        <v>0</v>
      </c>
      <c r="AU48" s="136">
        <f ca="1">COUNTIFS(AT$7:$AT48,1)</f>
        <v>1</v>
      </c>
    </row>
    <row r="49" spans="1:47" ht="15">
      <c r="A49" s="952" t="str">
        <f ca="1">OFFSET(input!$A$25,P49,0)</f>
        <v>N</v>
      </c>
      <c r="B49" s="891">
        <f ca="1">SUMIFS(Paper!$AC$7:$AC$30,Paper!$A$7:$A$30,Ink!A49)+SUMIFS(Paper!$X$7:$X$30,Paper!$A$7:$A$30,Ink!A49)</f>
        <v>0</v>
      </c>
      <c r="C49" s="953">
        <v>10</v>
      </c>
      <c r="D49" s="954" t="str">
        <f ca="1">OFFSET(input!$A$27,O49,0)</f>
        <v>None</v>
      </c>
      <c r="E49" s="891">
        <f ca="1">SUMIFS(Paper!$N$7:$N$30,Paper!$A$7:$A$30,A49)</f>
        <v>0</v>
      </c>
      <c r="F49" s="891">
        <f ca="1">SUMIFS(Paper!$O$7:$O$30,Paper!$A$7:$A$30,A49)</f>
        <v>0</v>
      </c>
      <c r="G49" s="955">
        <f ca="1">IF($D49="None",0,IF(OFFSET(input!$B$27,O49,0)&gt;0,OFFSET(input!$B$27,O49,0),E49*F49*$D$8*10000/IF($B$2="PACK",COUNTIF($H$10:$H$23,"&gt;0"),1)))</f>
        <v>0</v>
      </c>
      <c r="H49" s="956">
        <f ca="1">IF(OFFSET(input!$C$27,O49,0)&gt;0,OFFSET(input!$C$27,O49,0),VLOOKUP(D49,Data!$L$1064:$M$1071,2,0))</f>
        <v>0</v>
      </c>
      <c r="I49" s="891">
        <f ca="1">ROUNDUP(IF(G49&gt;0,((B49/10000)*G49),0),1)</f>
        <v>0</v>
      </c>
      <c r="J49" s="891">
        <f ca="1">IF(G49&gt;0,0.2,0)*OFFSET(Paper!$J$7,Q49,0)</f>
        <v>0</v>
      </c>
      <c r="K49" s="891">
        <f ca="1">J49*H49</f>
        <v>0</v>
      </c>
      <c r="L49" s="891">
        <f ca="1">IF(I49=0,0,H49*(I49+J49))</f>
        <v>0</v>
      </c>
      <c r="M49" s="891">
        <f ca="1">IF($D$3&gt;0,L49/($D$3),0)*(1+$M$6)</f>
        <v>0</v>
      </c>
      <c r="N49" s="136" t="str">
        <f ca="1">OFFSET(input!$F$33,P49,0)</f>
        <v>N</v>
      </c>
      <c r="O49" s="136">
        <f t="shared" si="22"/>
        <v>43</v>
      </c>
      <c r="P49" s="136">
        <f t="shared" si="23"/>
        <v>34</v>
      </c>
      <c r="Q49" s="136">
        <f t="shared" si="24"/>
        <v>2</v>
      </c>
      <c r="AT49" s="413">
        <f t="shared" ca="1" si="4"/>
        <v>0</v>
      </c>
      <c r="AU49" s="136">
        <f ca="1">COUNTIFS(AT$7:$AT49,1)</f>
        <v>1</v>
      </c>
    </row>
    <row r="50" spans="1:47" ht="15">
      <c r="A50" s="952" t="str">
        <f ca="1">OFFSET(input!$A$25,P50,0)</f>
        <v>N</v>
      </c>
      <c r="B50" s="891">
        <f ca="1">SUMIFS(Paper!$AC$7:$AC$30,Paper!$A$7:$A$30,Ink!A50)+SUMIFS(Paper!$X$7:$X$30,Paper!$A$7:$A$30,Ink!A50)</f>
        <v>0</v>
      </c>
      <c r="C50" s="953">
        <v>11</v>
      </c>
      <c r="D50" s="954" t="str">
        <f ca="1">OFFSET(input!$A$27,O50,0)</f>
        <v>None</v>
      </c>
      <c r="E50" s="891">
        <f ca="1">SUMIFS(Paper!$N$7:$N$30,Paper!$A$7:$A$30,A50)</f>
        <v>0</v>
      </c>
      <c r="F50" s="891">
        <f ca="1">SUMIFS(Paper!$O$7:$O$30,Paper!$A$7:$A$30,A50)</f>
        <v>0</v>
      </c>
      <c r="G50" s="955">
        <f ca="1">IF($D50="None",0,IF(OFFSET(input!$B$27,O50,0)&gt;0,OFFSET(input!$B$27,O50,0),E50*F50*$D$8*10000/IF($B$2="PACK",COUNTIF($H$10:$H$23,"&gt;0"),1)))</f>
        <v>0</v>
      </c>
      <c r="H50" s="956">
        <f ca="1">IF(OFFSET(input!$C$27,O50,0)&gt;0,OFFSET(input!$C$27,O50,0),VLOOKUP(D50,Data!$L$1064:$M$1071,2,0))</f>
        <v>0</v>
      </c>
      <c r="I50" s="891">
        <f ca="1">ROUNDUP(IF(G50&gt;0,((B50/10000)*G50),0),1)</f>
        <v>0</v>
      </c>
      <c r="J50" s="891">
        <f ca="1">IF(G50&gt;0,0.2,0)*OFFSET(Paper!$J$7,Q50,0)</f>
        <v>0</v>
      </c>
      <c r="K50" s="891">
        <f ca="1">J50*H50</f>
        <v>0</v>
      </c>
      <c r="L50" s="891">
        <f ca="1">IF(I50=0,0,H50*(I50+J50))</f>
        <v>0</v>
      </c>
      <c r="M50" s="891">
        <f ca="1">IF($D$3&gt;0,L50/($D$3),0)*(1+$M$6)</f>
        <v>0</v>
      </c>
      <c r="N50" s="136" t="str">
        <f ca="1">OFFSET(input!$F$33,P50,0)</f>
        <v>N</v>
      </c>
      <c r="O50" s="136">
        <f t="shared" si="22"/>
        <v>44</v>
      </c>
      <c r="P50" s="136">
        <f t="shared" si="23"/>
        <v>34</v>
      </c>
      <c r="Q50" s="136">
        <f t="shared" si="24"/>
        <v>2</v>
      </c>
      <c r="AT50" s="413">
        <f t="shared" ca="1" si="4"/>
        <v>0</v>
      </c>
      <c r="AU50" s="136">
        <f ca="1">COUNTIFS(AT$7:$AT50,1)</f>
        <v>1</v>
      </c>
    </row>
    <row r="51" spans="1:47" ht="15">
      <c r="A51" s="952" t="str">
        <f ca="1">OFFSET(input!$A$25,P51,0)</f>
        <v>N</v>
      </c>
      <c r="B51" s="891">
        <f ca="1">SUMIFS(Paper!$AC$7:$AC$30,Paper!$A$7:$A$30,Ink!A51)+SUMIFS(Paper!$X$7:$X$30,Paper!$A$7:$A$30,Ink!A51)</f>
        <v>0</v>
      </c>
      <c r="C51" s="953">
        <v>12</v>
      </c>
      <c r="D51" s="954" t="str">
        <f ca="1">OFFSET(input!$A$27,O51,0)</f>
        <v>None</v>
      </c>
      <c r="E51" s="891">
        <f ca="1">SUMIFS(Paper!$N$7:$N$30,Paper!$A$7:$A$30,A51)</f>
        <v>0</v>
      </c>
      <c r="F51" s="891">
        <f ca="1">SUMIFS(Paper!$O$7:$O$30,Paper!$A$7:$A$30,A51)</f>
        <v>0</v>
      </c>
      <c r="G51" s="955">
        <f ca="1">IF($D51="None",0,IF(OFFSET(input!$B$27,O51,0)&gt;0,OFFSET(input!$B$27,O51,0),E51*F51*$D$8*10000/IF($B$2="PACK",COUNTIF($H$10:$H$23,"&gt;0"),1)))</f>
        <v>0</v>
      </c>
      <c r="H51" s="956">
        <f ca="1">IF(OFFSET(input!$C$27,O51,0)&gt;0,OFFSET(input!$C$27,O51,0),VLOOKUP(D51,Data!$L$1064:$M$1071,2,0))</f>
        <v>0</v>
      </c>
      <c r="I51" s="891">
        <f ca="1">ROUNDUP(IF(G51&gt;0,((B51/10000)*G51),0),1)</f>
        <v>0</v>
      </c>
      <c r="J51" s="891">
        <f ca="1">IF(G51&gt;0,0.2,0)*OFFSET(Paper!$J$7,Q51,0)</f>
        <v>0</v>
      </c>
      <c r="K51" s="891">
        <f ca="1">J51*H51</f>
        <v>0</v>
      </c>
      <c r="L51" s="891">
        <f ca="1">IF(I51=0,0,H51*(I51+J51))</f>
        <v>0</v>
      </c>
      <c r="M51" s="891">
        <f ca="1">IF($D$3&gt;0,L51/($D$3),0)*(1+$M$6)</f>
        <v>0</v>
      </c>
      <c r="N51" s="136" t="str">
        <f ca="1">OFFSET(input!$F$33,P51,0)</f>
        <v>N</v>
      </c>
      <c r="O51" s="136">
        <f t="shared" si="22"/>
        <v>45</v>
      </c>
      <c r="P51" s="136">
        <f t="shared" si="23"/>
        <v>34</v>
      </c>
      <c r="Q51" s="136">
        <f t="shared" si="24"/>
        <v>2</v>
      </c>
      <c r="AT51" s="413">
        <f t="shared" ca="1" si="4"/>
        <v>0</v>
      </c>
      <c r="AU51" s="136">
        <f ca="1">COUNTIFS(AT$7:$AT51,1)</f>
        <v>1</v>
      </c>
    </row>
    <row r="52" spans="1:47" ht="15">
      <c r="A52" s="952" t="str">
        <f ca="1">OFFSET(input!$A$25,P52,0)</f>
        <v>N</v>
      </c>
      <c r="B52" s="891">
        <f ca="1">SUMIFS(Paper!$AC$7:$AC$30,Paper!$A$7:$A$30,Ink!A52)+SUMIFS(Paper!$X$7:$X$30,Paper!$A$7:$A$30,Ink!A52)</f>
        <v>0</v>
      </c>
      <c r="C52" s="953">
        <v>13</v>
      </c>
      <c r="D52" s="954" t="str">
        <f ca="1">OFFSET(input!$A$27,O52,0)</f>
        <v>None</v>
      </c>
      <c r="E52" s="891">
        <f ca="1">SUMIFS(Paper!$N$7:$N$30,Paper!$A$7:$A$30,A52)</f>
        <v>0</v>
      </c>
      <c r="F52" s="891">
        <f ca="1">SUMIFS(Paper!$O$7:$O$30,Paper!$A$7:$A$30,A52)</f>
        <v>0</v>
      </c>
      <c r="G52" s="955">
        <f ca="1">IF($D52="None",0,IF(OFFSET(input!$B$27,O52,0)&gt;0,OFFSET(input!$B$27,O52,0),E52*F52*$D$8*10000/IF($B$2="PACK",COUNTIF($H$10:$H$23,"&gt;0"),1)))</f>
        <v>0</v>
      </c>
      <c r="H52" s="956">
        <f ca="1">IF(OFFSET(input!$C$27,O52,0)&gt;0,OFFSET(input!$C$27,O52,0),VLOOKUP(D52,Data!$L$1064:$M$1071,2,0))</f>
        <v>0</v>
      </c>
      <c r="I52" s="891">
        <f ca="1">ROUNDUP(IF(G52&gt;0,((B52/10000)*G52),0),1)</f>
        <v>0</v>
      </c>
      <c r="J52" s="891">
        <f ca="1">IF(G52&gt;0,0.2,0)*OFFSET(Paper!$J$7,Q52,0)</f>
        <v>0</v>
      </c>
      <c r="K52" s="891">
        <f ca="1">J52*H52</f>
        <v>0</v>
      </c>
      <c r="L52" s="891">
        <f ca="1">IF(I52=0,0,H52*(I52+J52))</f>
        <v>0</v>
      </c>
      <c r="M52" s="891">
        <f ca="1">IF($D$3&gt;0,L52/($D$3),0)*(1+$M$6)</f>
        <v>0</v>
      </c>
      <c r="N52" s="136" t="str">
        <f ca="1">OFFSET(input!$F$33,P52,0)</f>
        <v>N</v>
      </c>
      <c r="O52" s="136">
        <f t="shared" si="22"/>
        <v>46</v>
      </c>
      <c r="P52" s="136">
        <f t="shared" si="23"/>
        <v>34</v>
      </c>
      <c r="Q52" s="136">
        <f t="shared" si="24"/>
        <v>2</v>
      </c>
      <c r="AT52" s="413">
        <f t="shared" ca="1" si="4"/>
        <v>0</v>
      </c>
      <c r="AU52" s="136">
        <f ca="1">COUNTIFS(AT$7:$AT52,1)</f>
        <v>1</v>
      </c>
    </row>
    <row r="53" spans="1:47" ht="15">
      <c r="A53" s="952" t="str">
        <f ca="1">OFFSET(input!$A$25,P53,0)</f>
        <v>N</v>
      </c>
      <c r="B53" s="891">
        <f ca="1">SUMIFS(Paper!$AC$7:$AC$30,Paper!$A$7:$A$30,Ink!A53)+SUMIFS(Paper!$X$7:$X$30,Paper!$A$7:$A$30,Ink!A53)</f>
        <v>0</v>
      </c>
      <c r="C53" s="953">
        <v>14</v>
      </c>
      <c r="D53" s="954" t="str">
        <f ca="1">OFFSET(input!$A$27,O53,0)</f>
        <v>None</v>
      </c>
      <c r="E53" s="891">
        <f ca="1">SUMIFS(Paper!$N$7:$N$30,Paper!$A$7:$A$30,A53)</f>
        <v>0</v>
      </c>
      <c r="F53" s="891">
        <f ca="1">SUMIFS(Paper!$O$7:$O$30,Paper!$A$7:$A$30,A53)</f>
        <v>0</v>
      </c>
      <c r="G53" s="955">
        <f ca="1">IF($D53="None",0,IF(OFFSET(input!$B$27,O53,0)&gt;0,OFFSET(input!$B$27,O53,0),E53*F53*$D$8*10000/IF($B$2="PACK",COUNTIF($H$10:$H$23,"&gt;0"),1)))</f>
        <v>0</v>
      </c>
      <c r="H53" s="956">
        <f ca="1">IF(OFFSET(input!$C$27,O53,0)&gt;0,OFFSET(input!$C$27,O53,0),VLOOKUP(D53,Data!$L$1064:$M$1071,2,0))</f>
        <v>0</v>
      </c>
      <c r="I53" s="891">
        <f t="shared" ref="I53" ca="1" si="25">ROUNDUP(IF(G53&gt;0,((B53/10000)*G53),0),1)</f>
        <v>0</v>
      </c>
      <c r="J53" s="891">
        <f ca="1">IF(G53&gt;0,0.2,0)*OFFSET(Paper!$J$7,Q53,0)</f>
        <v>0</v>
      </c>
      <c r="K53" s="891">
        <f t="shared" ref="K53" ca="1" si="26">J53*H53</f>
        <v>0</v>
      </c>
      <c r="L53" s="891">
        <f t="shared" ref="L53" ca="1" si="27">IF(I53=0,0,H53*(I53+J53))</f>
        <v>0</v>
      </c>
      <c r="M53" s="891">
        <f t="shared" ref="M53" ca="1" si="28">IF($D$3&gt;0,L53/($D$3),0)*(1+$M$6)</f>
        <v>0</v>
      </c>
      <c r="N53" s="136" t="str">
        <f ca="1">OFFSET(input!$F$33,P53,0)</f>
        <v>N</v>
      </c>
      <c r="O53" s="136">
        <f t="shared" si="22"/>
        <v>47</v>
      </c>
      <c r="P53" s="136">
        <f>+P38+17</f>
        <v>34</v>
      </c>
      <c r="Q53" s="136">
        <f t="shared" si="24"/>
        <v>2</v>
      </c>
      <c r="AT53" s="413">
        <f t="shared" ca="1" si="4"/>
        <v>0</v>
      </c>
      <c r="AU53" s="136">
        <f ca="1">COUNTIFS(AT$7:$AT53,1)</f>
        <v>1</v>
      </c>
    </row>
    <row r="54" spans="1:47" ht="15">
      <c r="A54" s="957"/>
      <c r="B54" s="958"/>
      <c r="C54" s="959"/>
      <c r="D54" s="954"/>
      <c r="E54" s="958"/>
      <c r="F54" s="958"/>
      <c r="G54" s="955"/>
      <c r="H54" s="960"/>
      <c r="I54" s="958"/>
      <c r="J54" s="958"/>
      <c r="K54" s="958"/>
      <c r="L54" s="958"/>
      <c r="M54" s="958"/>
      <c r="AT54" s="413" t="str">
        <f t="shared" si="4"/>
        <v/>
      </c>
      <c r="AU54" s="136">
        <f ca="1">COUNTIFS(AT$7:$AT54,1)</f>
        <v>1</v>
      </c>
    </row>
    <row r="55" spans="1:47" ht="15" collapsed="1">
      <c r="A55" s="952" t="str">
        <f ca="1">OFFSET(input!$A$25,P55,0)</f>
        <v>N</v>
      </c>
      <c r="B55" s="891">
        <f ca="1">SUMIFS(Paper!$AC$7:$AC$30,Paper!$A$7:$A$30,Ink!A55)+SUMIFS(Paper!$X$7:$X$30,Paper!$A$7:$A$30,Ink!A55)</f>
        <v>0</v>
      </c>
      <c r="C55" s="953">
        <v>1</v>
      </c>
      <c r="D55" s="954" t="str">
        <f ca="1">OFFSET(input!$A$27,O55,0)</f>
        <v>None</v>
      </c>
      <c r="E55" s="891">
        <f ca="1">SUMIFS(Paper!$N$7:$N$30,Paper!$A$7:$A$30,A55)</f>
        <v>0</v>
      </c>
      <c r="F55" s="891">
        <f ca="1">SUMIFS(Paper!$O$7:$O$30,Paper!$A$7:$A$30,A55)</f>
        <v>0</v>
      </c>
      <c r="G55" s="955">
        <f ca="1">IF($D55="None",0,IF(OFFSET(input!$B$27,O55,0)&gt;0,OFFSET(input!$B$27,O55,0),E55*F55*$D$8*10000/IF($B$2="PACK",COUNTIF($H$10:$H$23,"&gt;0"),1)))</f>
        <v>0</v>
      </c>
      <c r="H55" s="956">
        <f ca="1">IF(OFFSET(input!$C$27,O55,0)&gt;0,OFFSET(input!$C$27,O55,0),VLOOKUP(D55,Data!$L$1064:$M$1071,2,0))</f>
        <v>0</v>
      </c>
      <c r="I55" s="891">
        <f t="shared" ref="I55:I63" ca="1" si="29">ROUNDUP(IF(G55&gt;0,((B55/10000)*G55),0),1)</f>
        <v>0</v>
      </c>
      <c r="J55" s="891">
        <f ca="1">IF(G55&gt;0,0.2,0)*OFFSET(Paper!$J$7,Q55,0)</f>
        <v>0</v>
      </c>
      <c r="K55" s="891">
        <f t="shared" ref="K55:K63" ca="1" si="30">J55*H55</f>
        <v>0</v>
      </c>
      <c r="L55" s="891">
        <f t="shared" ref="L55:L63" ca="1" si="31">IF(I55=0,0,H55*(I55+J55))</f>
        <v>0</v>
      </c>
      <c r="M55" s="891">
        <f ca="1">IF($D$3&gt;0,L55/($D$3),0)*(1+$M$6)</f>
        <v>0</v>
      </c>
      <c r="N55" s="136" t="str">
        <f ca="1">OFFSET(input!$F$33,P55,0)</f>
        <v>N</v>
      </c>
      <c r="O55" s="136">
        <f>O40+17</f>
        <v>51</v>
      </c>
      <c r="P55" s="136">
        <f>+P40+17</f>
        <v>51</v>
      </c>
      <c r="Q55" s="136">
        <f>+Q40+1</f>
        <v>3</v>
      </c>
      <c r="AT55" s="413">
        <f t="shared" ca="1" si="4"/>
        <v>0</v>
      </c>
      <c r="AU55" s="136">
        <f ca="1">COUNTIFS(AT$7:$AT55,1)</f>
        <v>1</v>
      </c>
    </row>
    <row r="56" spans="1:47" ht="15">
      <c r="A56" s="952" t="str">
        <f ca="1">OFFSET(input!$A$25,P56,0)</f>
        <v>N</v>
      </c>
      <c r="B56" s="891">
        <f ca="1">SUMIFS(Paper!$AC$7:$AC$30,Paper!$A$7:$A$30,Ink!A56)+SUMIFS(Paper!$X$7:$X$30,Paper!$A$7:$A$30,Ink!A56)</f>
        <v>0</v>
      </c>
      <c r="C56" s="953">
        <v>2</v>
      </c>
      <c r="D56" s="954" t="str">
        <f ca="1">OFFSET(input!$A$27,O56,0)</f>
        <v>None</v>
      </c>
      <c r="E56" s="891">
        <f ca="1">SUMIFS(Paper!$N$7:$N$30,Paper!$A$7:$A$30,A56)</f>
        <v>0</v>
      </c>
      <c r="F56" s="891">
        <f ca="1">SUMIFS(Paper!$O$7:$O$30,Paper!$A$7:$A$30,A56)</f>
        <v>0</v>
      </c>
      <c r="G56" s="955">
        <f ca="1">IF($D56="None",0,IF(OFFSET(input!$B$27,O56,0)&gt;0,OFFSET(input!$B$27,O56,0),E56*F56*$D$8*10000/IF($B$2="PACK",COUNTIF($H$10:$H$23,"&gt;0"),1)))</f>
        <v>0</v>
      </c>
      <c r="H56" s="956">
        <f ca="1">IF(OFFSET(input!$C$27,O56,0)&gt;0,OFFSET(input!$C$27,O56,0),VLOOKUP(D56,Data!$L$1064:$M$1071,2,0))</f>
        <v>0</v>
      </c>
      <c r="I56" s="891">
        <f t="shared" ca="1" si="29"/>
        <v>0</v>
      </c>
      <c r="J56" s="891">
        <f ca="1">IF(G56&gt;0,0.2,0)*OFFSET(Paper!$J$7,Q56,0)</f>
        <v>0</v>
      </c>
      <c r="K56" s="891">
        <f t="shared" ca="1" si="30"/>
        <v>0</v>
      </c>
      <c r="L56" s="891">
        <f t="shared" ca="1" si="31"/>
        <v>0</v>
      </c>
      <c r="M56" s="891">
        <f t="shared" ref="M56:M63" ca="1" si="32">IF($D$3&gt;0,L56/($D$3),0)*(1+$M$6)</f>
        <v>0</v>
      </c>
      <c r="N56" s="136" t="str">
        <f ca="1">OFFSET(input!$F$33,P56,0)</f>
        <v>N</v>
      </c>
      <c r="O56" s="136">
        <f t="shared" ref="O56:O68" si="33">O41+17</f>
        <v>52</v>
      </c>
      <c r="P56" s="136">
        <f t="shared" ref="P56:P67" si="34">+P41+17</f>
        <v>51</v>
      </c>
      <c r="Q56" s="136">
        <f t="shared" ref="Q56:Q68" si="35">+Q41+1</f>
        <v>3</v>
      </c>
      <c r="AT56" s="413">
        <f t="shared" ca="1" si="4"/>
        <v>0</v>
      </c>
      <c r="AU56" s="136">
        <f ca="1">COUNTIFS(AT$7:$AT56,1)</f>
        <v>1</v>
      </c>
    </row>
    <row r="57" spans="1:47" ht="15">
      <c r="A57" s="952" t="str">
        <f ca="1">OFFSET(input!$A$25,P57,0)</f>
        <v>N</v>
      </c>
      <c r="B57" s="891">
        <f ca="1">SUMIFS(Paper!$AC$7:$AC$30,Paper!$A$7:$A$30,Ink!A57)+SUMIFS(Paper!$X$7:$X$30,Paper!$A$7:$A$30,Ink!A57)</f>
        <v>0</v>
      </c>
      <c r="C57" s="953">
        <v>3</v>
      </c>
      <c r="D57" s="954" t="str">
        <f ca="1">OFFSET(input!$A$27,O57,0)</f>
        <v>None</v>
      </c>
      <c r="E57" s="891">
        <f ca="1">SUMIFS(Paper!$N$7:$N$30,Paper!$A$7:$A$30,A57)</f>
        <v>0</v>
      </c>
      <c r="F57" s="891">
        <f ca="1">SUMIFS(Paper!$O$7:$O$30,Paper!$A$7:$A$30,A57)</f>
        <v>0</v>
      </c>
      <c r="G57" s="955">
        <f ca="1">IF($D57="None",0,IF(OFFSET(input!$B$27,O57,0)&gt;0,OFFSET(input!$B$27,O57,0),E57*F57*$D$8*10000/IF($B$2="PACK",COUNTIF($H$10:$H$23,"&gt;0"),1)))</f>
        <v>0</v>
      </c>
      <c r="H57" s="956">
        <f ca="1">IF(OFFSET(input!$C$27,O57,0)&gt;0,OFFSET(input!$C$27,O57,0),VLOOKUP(D57,Data!$L$1064:$M$1071,2,0))</f>
        <v>0</v>
      </c>
      <c r="I57" s="891">
        <f t="shared" ca="1" si="29"/>
        <v>0</v>
      </c>
      <c r="J57" s="891">
        <f ca="1">IF(G57&gt;0,0.2,0)*OFFSET(Paper!$J$7,Q57,0)</f>
        <v>0</v>
      </c>
      <c r="K57" s="891">
        <f t="shared" ca="1" si="30"/>
        <v>0</v>
      </c>
      <c r="L57" s="891">
        <f t="shared" ca="1" si="31"/>
        <v>0</v>
      </c>
      <c r="M57" s="891">
        <f t="shared" ca="1" si="32"/>
        <v>0</v>
      </c>
      <c r="N57" s="136" t="str">
        <f ca="1">OFFSET(input!$F$33,P57,0)</f>
        <v>N</v>
      </c>
      <c r="O57" s="136">
        <f t="shared" si="33"/>
        <v>53</v>
      </c>
      <c r="P57" s="136">
        <f t="shared" si="34"/>
        <v>51</v>
      </c>
      <c r="Q57" s="136">
        <f t="shared" si="35"/>
        <v>3</v>
      </c>
      <c r="AT57" s="413">
        <f t="shared" ca="1" si="4"/>
        <v>0</v>
      </c>
      <c r="AU57" s="136">
        <f ca="1">COUNTIFS(AT$7:$AT57,1)</f>
        <v>1</v>
      </c>
    </row>
    <row r="58" spans="1:47" ht="15">
      <c r="A58" s="952" t="str">
        <f ca="1">OFFSET(input!$A$25,P58,0)</f>
        <v>N</v>
      </c>
      <c r="B58" s="891">
        <f ca="1">SUMIFS(Paper!$AC$7:$AC$30,Paper!$A$7:$A$30,Ink!A58)+SUMIFS(Paper!$X$7:$X$30,Paper!$A$7:$A$30,Ink!A58)</f>
        <v>0</v>
      </c>
      <c r="C58" s="953">
        <v>4</v>
      </c>
      <c r="D58" s="954" t="str">
        <f ca="1">OFFSET(input!$A$27,O58,0)</f>
        <v>None</v>
      </c>
      <c r="E58" s="891">
        <f ca="1">SUMIFS(Paper!$N$7:$N$30,Paper!$A$7:$A$30,A58)</f>
        <v>0</v>
      </c>
      <c r="F58" s="891">
        <f ca="1">SUMIFS(Paper!$O$7:$O$30,Paper!$A$7:$A$30,A58)</f>
        <v>0</v>
      </c>
      <c r="G58" s="955">
        <f ca="1">IF($D58="None",0,IF(OFFSET(input!$B$27,O58,0)&gt;0,OFFSET(input!$B$27,O58,0),E58*F58*$D$8*10000/IF($B$2="PACK",COUNTIF($H$10:$H$23,"&gt;0"),1)))</f>
        <v>0</v>
      </c>
      <c r="H58" s="956">
        <f ca="1">IF(OFFSET(input!$C$27,O58,0)&gt;0,OFFSET(input!$C$27,O58,0),VLOOKUP(D58,Data!$L$1064:$M$1071,2,0))</f>
        <v>0</v>
      </c>
      <c r="I58" s="891">
        <f t="shared" ca="1" si="29"/>
        <v>0</v>
      </c>
      <c r="J58" s="891">
        <f ca="1">IF(G58&gt;0,0.2,0)*OFFSET(Paper!$J$7,Q58,0)</f>
        <v>0</v>
      </c>
      <c r="K58" s="891">
        <f t="shared" ca="1" si="30"/>
        <v>0</v>
      </c>
      <c r="L58" s="891">
        <f t="shared" ca="1" si="31"/>
        <v>0</v>
      </c>
      <c r="M58" s="891">
        <f t="shared" ca="1" si="32"/>
        <v>0</v>
      </c>
      <c r="N58" s="136" t="str">
        <f ca="1">OFFSET(input!$F$33,P58,0)</f>
        <v>N</v>
      </c>
      <c r="O58" s="136">
        <f t="shared" si="33"/>
        <v>54</v>
      </c>
      <c r="P58" s="136">
        <f t="shared" si="34"/>
        <v>51</v>
      </c>
      <c r="Q58" s="136">
        <f t="shared" si="35"/>
        <v>3</v>
      </c>
      <c r="AT58" s="413">
        <f t="shared" ca="1" si="4"/>
        <v>0</v>
      </c>
      <c r="AU58" s="136">
        <f ca="1">COUNTIFS(AT$7:$AT58,1)</f>
        <v>1</v>
      </c>
    </row>
    <row r="59" spans="1:47" ht="15">
      <c r="A59" s="952" t="str">
        <f ca="1">OFFSET(input!$A$25,P59,0)</f>
        <v>N</v>
      </c>
      <c r="B59" s="891">
        <f ca="1">SUMIFS(Paper!$AC$7:$AC$30,Paper!$A$7:$A$30,Ink!A59)+SUMIFS(Paper!$X$7:$X$30,Paper!$A$7:$A$30,Ink!A59)</f>
        <v>0</v>
      </c>
      <c r="C59" s="953">
        <v>5</v>
      </c>
      <c r="D59" s="954" t="str">
        <f ca="1">OFFSET(input!$A$27,O59,0)</f>
        <v>None</v>
      </c>
      <c r="E59" s="891">
        <f ca="1">SUMIFS(Paper!$N$7:$N$30,Paper!$A$7:$A$30,A59)</f>
        <v>0</v>
      </c>
      <c r="F59" s="891">
        <f ca="1">SUMIFS(Paper!$O$7:$O$30,Paper!$A$7:$A$30,A59)</f>
        <v>0</v>
      </c>
      <c r="G59" s="955">
        <f ca="1">IF($D59="None",0,IF(OFFSET(input!$B$27,O59,0)&gt;0,OFFSET(input!$B$27,O59,0),E59*F59*$D$8*10000/IF($B$2="PACK",COUNTIF($H$10:$H$23,"&gt;0"),1)))</f>
        <v>0</v>
      </c>
      <c r="H59" s="956">
        <f ca="1">IF(OFFSET(input!$C$27,O59,0)&gt;0,OFFSET(input!$C$27,O59,0),VLOOKUP(D59,Data!$L$1064:$M$1071,2,0))</f>
        <v>0</v>
      </c>
      <c r="I59" s="891">
        <f t="shared" ca="1" si="29"/>
        <v>0</v>
      </c>
      <c r="J59" s="891">
        <f ca="1">IF(G59&gt;0,0.2,0)*OFFSET(Paper!$J$7,Q59,0)</f>
        <v>0</v>
      </c>
      <c r="K59" s="891">
        <f t="shared" ca="1" si="30"/>
        <v>0</v>
      </c>
      <c r="L59" s="891">
        <f t="shared" ca="1" si="31"/>
        <v>0</v>
      </c>
      <c r="M59" s="891">
        <f t="shared" ca="1" si="32"/>
        <v>0</v>
      </c>
      <c r="N59" s="136" t="str">
        <f ca="1">OFFSET(input!$F$33,P59,0)</f>
        <v>N</v>
      </c>
      <c r="O59" s="136">
        <f t="shared" si="33"/>
        <v>55</v>
      </c>
      <c r="P59" s="136">
        <f t="shared" si="34"/>
        <v>51</v>
      </c>
      <c r="Q59" s="136">
        <f t="shared" si="35"/>
        <v>3</v>
      </c>
      <c r="AT59" s="413">
        <f t="shared" ca="1" si="4"/>
        <v>0</v>
      </c>
      <c r="AU59" s="136">
        <f ca="1">COUNTIFS(AT$7:$AT59,1)</f>
        <v>1</v>
      </c>
    </row>
    <row r="60" spans="1:47" ht="15">
      <c r="A60" s="952" t="str">
        <f ca="1">OFFSET(input!$A$25,P60,0)</f>
        <v>N</v>
      </c>
      <c r="B60" s="891">
        <f ca="1">SUMIFS(Paper!$AC$7:$AC$30,Paper!$A$7:$A$30,Ink!A60)+SUMIFS(Paper!$X$7:$X$30,Paper!$A$7:$A$30,Ink!A60)</f>
        <v>0</v>
      </c>
      <c r="C60" s="953">
        <v>6</v>
      </c>
      <c r="D60" s="954" t="str">
        <f ca="1">OFFSET(input!$A$27,O60,0)</f>
        <v>None</v>
      </c>
      <c r="E60" s="891">
        <f ca="1">SUMIFS(Paper!$N$7:$N$30,Paper!$A$7:$A$30,A60)</f>
        <v>0</v>
      </c>
      <c r="F60" s="891">
        <f ca="1">SUMIFS(Paper!$O$7:$O$30,Paper!$A$7:$A$30,A60)</f>
        <v>0</v>
      </c>
      <c r="G60" s="955">
        <f ca="1">IF($D60="None",0,IF(OFFSET(input!$B$27,O60,0)&gt;0,OFFSET(input!$B$27,O60,0),E60*F60*$D$8*10000/IF($B$2="PACK",COUNTIF($H$10:$H$23,"&gt;0"),1)))</f>
        <v>0</v>
      </c>
      <c r="H60" s="956">
        <f ca="1">IF(OFFSET(input!$C$27,O60,0)&gt;0,OFFSET(input!$C$27,O60,0),VLOOKUP(D60,Data!$L$1064:$M$1071,2,0))</f>
        <v>0</v>
      </c>
      <c r="I60" s="891">
        <f t="shared" ca="1" si="29"/>
        <v>0</v>
      </c>
      <c r="J60" s="891">
        <f ca="1">IF(G60&gt;0,0.2,0)*OFFSET(Paper!$J$7,Q60,0)</f>
        <v>0</v>
      </c>
      <c r="K60" s="891">
        <f t="shared" ca="1" si="30"/>
        <v>0</v>
      </c>
      <c r="L60" s="891">
        <f t="shared" ca="1" si="31"/>
        <v>0</v>
      </c>
      <c r="M60" s="891">
        <f t="shared" ca="1" si="32"/>
        <v>0</v>
      </c>
      <c r="N60" s="136" t="str">
        <f ca="1">OFFSET(input!$F$33,P60,0)</f>
        <v>N</v>
      </c>
      <c r="O60" s="136">
        <f t="shared" si="33"/>
        <v>56</v>
      </c>
      <c r="P60" s="136">
        <f t="shared" si="34"/>
        <v>51</v>
      </c>
      <c r="Q60" s="136">
        <f t="shared" si="35"/>
        <v>3</v>
      </c>
      <c r="AT60" s="413">
        <f t="shared" ca="1" si="4"/>
        <v>0</v>
      </c>
      <c r="AU60" s="136">
        <f ca="1">COUNTIFS(AT$7:$AT60,1)</f>
        <v>1</v>
      </c>
    </row>
    <row r="61" spans="1:47" ht="15">
      <c r="A61" s="952" t="str">
        <f ca="1">OFFSET(input!$A$25,P61,0)</f>
        <v>N</v>
      </c>
      <c r="B61" s="891">
        <f ca="1">SUMIFS(Paper!$AC$7:$AC$30,Paper!$A$7:$A$30,Ink!A61)+SUMIFS(Paper!$X$7:$X$30,Paper!$A$7:$A$30,Ink!A61)</f>
        <v>0</v>
      </c>
      <c r="C61" s="953">
        <v>7</v>
      </c>
      <c r="D61" s="954" t="str">
        <f ca="1">OFFSET(input!$A$27,O61,0)</f>
        <v>None</v>
      </c>
      <c r="E61" s="891">
        <f ca="1">SUMIFS(Paper!$N$7:$N$30,Paper!$A$7:$A$30,A61)</f>
        <v>0</v>
      </c>
      <c r="F61" s="891">
        <f ca="1">SUMIFS(Paper!$O$7:$O$30,Paper!$A$7:$A$30,A61)</f>
        <v>0</v>
      </c>
      <c r="G61" s="955">
        <f ca="1">IF($D61="None",0,IF(OFFSET(input!$B$27,O61,0)&gt;0,OFFSET(input!$B$27,O61,0),E61*F61*$D$8*10000/IF($B$2="PACK",COUNTIF($H$10:$H$23,"&gt;0"),1)))</f>
        <v>0</v>
      </c>
      <c r="H61" s="956">
        <f ca="1">IF(OFFSET(input!$C$27,O61,0)&gt;0,OFFSET(input!$C$27,O61,0),VLOOKUP(D61,Data!$L$1064:$M$1071,2,0))</f>
        <v>0</v>
      </c>
      <c r="I61" s="891">
        <f t="shared" ca="1" si="29"/>
        <v>0</v>
      </c>
      <c r="J61" s="891">
        <f ca="1">IF(G61&gt;0,0.2,0)*OFFSET(Paper!$J$7,Q61,0)</f>
        <v>0</v>
      </c>
      <c r="K61" s="891">
        <f t="shared" ca="1" si="30"/>
        <v>0</v>
      </c>
      <c r="L61" s="891">
        <f t="shared" ca="1" si="31"/>
        <v>0</v>
      </c>
      <c r="M61" s="891">
        <f t="shared" ca="1" si="32"/>
        <v>0</v>
      </c>
      <c r="N61" s="136" t="str">
        <f ca="1">OFFSET(input!$F$33,P61,0)</f>
        <v>N</v>
      </c>
      <c r="O61" s="136">
        <f t="shared" si="33"/>
        <v>57</v>
      </c>
      <c r="P61" s="136">
        <f t="shared" si="34"/>
        <v>51</v>
      </c>
      <c r="Q61" s="136">
        <f t="shared" si="35"/>
        <v>3</v>
      </c>
      <c r="AT61" s="413">
        <f t="shared" ca="1" si="4"/>
        <v>0</v>
      </c>
      <c r="AU61" s="136">
        <f ca="1">COUNTIFS(AT$7:$AT61,1)</f>
        <v>1</v>
      </c>
    </row>
    <row r="62" spans="1:47" ht="15">
      <c r="A62" s="952" t="str">
        <f ca="1">OFFSET(input!$A$25,P62,0)</f>
        <v>N</v>
      </c>
      <c r="B62" s="891">
        <f ca="1">SUMIFS(Paper!$AC$7:$AC$30,Paper!$A$7:$A$30,Ink!A62)+SUMIFS(Paper!$X$7:$X$30,Paper!$A$7:$A$30,Ink!A62)</f>
        <v>0</v>
      </c>
      <c r="C62" s="953">
        <v>8</v>
      </c>
      <c r="D62" s="954" t="str">
        <f ca="1">OFFSET(input!$A$27,O62,0)</f>
        <v>None</v>
      </c>
      <c r="E62" s="891">
        <f ca="1">SUMIFS(Paper!$N$7:$N$30,Paper!$A$7:$A$30,A62)</f>
        <v>0</v>
      </c>
      <c r="F62" s="891">
        <f ca="1">SUMIFS(Paper!$O$7:$O$30,Paper!$A$7:$A$30,A62)</f>
        <v>0</v>
      </c>
      <c r="G62" s="955">
        <f ca="1">IF($D62="None",0,IF(OFFSET(input!$B$27,O62,0)&gt;0,OFFSET(input!$B$27,O62,0),E62*F62*$D$8*10000/IF($B$2="PACK",COUNTIF($H$10:$H$23,"&gt;0"),1)))</f>
        <v>0</v>
      </c>
      <c r="H62" s="956">
        <f ca="1">IF(OFFSET(input!$C$27,O62,0)&gt;0,OFFSET(input!$C$27,O62,0),VLOOKUP(D62,Data!$L$1064:$M$1071,2,0))</f>
        <v>0</v>
      </c>
      <c r="I62" s="891">
        <f t="shared" ca="1" si="29"/>
        <v>0</v>
      </c>
      <c r="J62" s="891">
        <f ca="1">IF(G62&gt;0,0.2,0)*OFFSET(Paper!$J$7,Q62,0)</f>
        <v>0</v>
      </c>
      <c r="K62" s="891">
        <f t="shared" ca="1" si="30"/>
        <v>0</v>
      </c>
      <c r="L62" s="891">
        <f t="shared" ca="1" si="31"/>
        <v>0</v>
      </c>
      <c r="M62" s="891">
        <f t="shared" ca="1" si="32"/>
        <v>0</v>
      </c>
      <c r="N62" s="136" t="str">
        <f ca="1">OFFSET(input!$F$33,P62,0)</f>
        <v>N</v>
      </c>
      <c r="O62" s="136">
        <f t="shared" si="33"/>
        <v>58</v>
      </c>
      <c r="P62" s="136">
        <f t="shared" si="34"/>
        <v>51</v>
      </c>
      <c r="Q62" s="136">
        <f t="shared" si="35"/>
        <v>3</v>
      </c>
      <c r="AT62" s="413">
        <f t="shared" ca="1" si="4"/>
        <v>0</v>
      </c>
      <c r="AU62" s="136">
        <f ca="1">COUNTIFS(AT$7:$AT62,1)</f>
        <v>1</v>
      </c>
    </row>
    <row r="63" spans="1:47" ht="15">
      <c r="A63" s="952" t="str">
        <f ca="1">OFFSET(input!$A$25,P63,0)</f>
        <v>N</v>
      </c>
      <c r="B63" s="891">
        <f ca="1">SUMIFS(Paper!$AC$7:$AC$30,Paper!$A$7:$A$30,Ink!A63)+SUMIFS(Paper!$X$7:$X$30,Paper!$A$7:$A$30,Ink!A63)</f>
        <v>0</v>
      </c>
      <c r="C63" s="953">
        <v>9</v>
      </c>
      <c r="D63" s="954" t="str">
        <f ca="1">OFFSET(input!$A$27,O63,0)</f>
        <v>None</v>
      </c>
      <c r="E63" s="891">
        <f ca="1">SUMIFS(Paper!$N$7:$N$30,Paper!$A$7:$A$30,A63)</f>
        <v>0</v>
      </c>
      <c r="F63" s="891">
        <f ca="1">SUMIFS(Paper!$O$7:$O$30,Paper!$A$7:$A$30,A63)</f>
        <v>0</v>
      </c>
      <c r="G63" s="955">
        <f ca="1">IF($D63="None",0,IF(OFFSET(input!$B$27,O63,0)&gt;0,OFFSET(input!$B$27,O63,0),E63*F63*$D$8*10000/IF($B$2="PACK",COUNTIF($H$10:$H$23,"&gt;0"),1)))</f>
        <v>0</v>
      </c>
      <c r="H63" s="956">
        <f ca="1">IF(OFFSET(input!$C$27,O63,0)&gt;0,OFFSET(input!$C$27,O63,0),VLOOKUP(D63,Data!$L$1064:$M$1071,2,0))</f>
        <v>0</v>
      </c>
      <c r="I63" s="891">
        <f t="shared" ca="1" si="29"/>
        <v>0</v>
      </c>
      <c r="J63" s="891">
        <f ca="1">IF(G63&gt;0,0.2,0)*OFFSET(Paper!$J$7,Q63,0)</f>
        <v>0</v>
      </c>
      <c r="K63" s="891">
        <f t="shared" ca="1" si="30"/>
        <v>0</v>
      </c>
      <c r="L63" s="891">
        <f t="shared" ca="1" si="31"/>
        <v>0</v>
      </c>
      <c r="M63" s="891">
        <f t="shared" ca="1" si="32"/>
        <v>0</v>
      </c>
      <c r="N63" s="136" t="str">
        <f ca="1">OFFSET(input!$F$33,P63,0)</f>
        <v>N</v>
      </c>
      <c r="O63" s="136">
        <f t="shared" si="33"/>
        <v>59</v>
      </c>
      <c r="P63" s="136">
        <f t="shared" si="34"/>
        <v>51</v>
      </c>
      <c r="Q63" s="136">
        <f t="shared" si="35"/>
        <v>3</v>
      </c>
      <c r="AT63" s="413">
        <f t="shared" ca="1" si="4"/>
        <v>0</v>
      </c>
      <c r="AU63" s="136">
        <f ca="1">COUNTIFS(AT$7:$AT63,1)</f>
        <v>1</v>
      </c>
    </row>
    <row r="64" spans="1:47" ht="15">
      <c r="A64" s="952" t="str">
        <f ca="1">OFFSET(input!$A$25,P64,0)</f>
        <v>N</v>
      </c>
      <c r="B64" s="891">
        <f ca="1">SUMIFS(Paper!$AC$7:$AC$30,Paper!$A$7:$A$30,Ink!A64)+SUMIFS(Paper!$X$7:$X$30,Paper!$A$7:$A$30,Ink!A64)</f>
        <v>0</v>
      </c>
      <c r="C64" s="953">
        <v>10</v>
      </c>
      <c r="D64" s="954" t="str">
        <f ca="1">OFFSET(input!$A$27,O64,0)</f>
        <v>None</v>
      </c>
      <c r="E64" s="891">
        <f ca="1">SUMIFS(Paper!$N$7:$N$30,Paper!$A$7:$A$30,A64)</f>
        <v>0</v>
      </c>
      <c r="F64" s="891">
        <f ca="1">SUMIFS(Paper!$O$7:$O$30,Paper!$A$7:$A$30,A64)</f>
        <v>0</v>
      </c>
      <c r="G64" s="955">
        <f ca="1">IF($D64="None",0,IF(OFFSET(input!$B$27,O64,0)&gt;0,OFFSET(input!$B$27,O64,0),E64*F64*$D$8*10000/IF($B$2="PACK",COUNTIF($H$10:$H$23,"&gt;0"),1)))</f>
        <v>0</v>
      </c>
      <c r="H64" s="956">
        <f ca="1">IF(OFFSET(input!$C$27,O64,0)&gt;0,OFFSET(input!$C$27,O64,0),VLOOKUP(D64,Data!$L$1064:$M$1071,2,0))</f>
        <v>0</v>
      </c>
      <c r="I64" s="891">
        <f ca="1">ROUNDUP(IF(G64&gt;0,((B64/10000)*G64),0),1)</f>
        <v>0</v>
      </c>
      <c r="J64" s="891">
        <f ca="1">IF(G64&gt;0,0.2,0)*OFFSET(Paper!$J$7,Q64,0)</f>
        <v>0</v>
      </c>
      <c r="K64" s="891">
        <f ca="1">J64*H64</f>
        <v>0</v>
      </c>
      <c r="L64" s="891">
        <f ca="1">IF(I64=0,0,H64*(I64+J64))</f>
        <v>0</v>
      </c>
      <c r="M64" s="891">
        <f ca="1">IF($D$3&gt;0,L64/($D$3),0)*(1+$M$6)</f>
        <v>0</v>
      </c>
      <c r="N64" s="136" t="str">
        <f ca="1">OFFSET(input!$F$33,P64,0)</f>
        <v>N</v>
      </c>
      <c r="O64" s="136">
        <f t="shared" si="33"/>
        <v>60</v>
      </c>
      <c r="P64" s="136">
        <f t="shared" si="34"/>
        <v>51</v>
      </c>
      <c r="Q64" s="136">
        <f t="shared" si="35"/>
        <v>3</v>
      </c>
      <c r="AT64" s="413">
        <f t="shared" ca="1" si="4"/>
        <v>0</v>
      </c>
      <c r="AU64" s="136">
        <f ca="1">COUNTIFS(AT$7:$AT64,1)</f>
        <v>1</v>
      </c>
    </row>
    <row r="65" spans="1:47" ht="15">
      <c r="A65" s="952" t="str">
        <f ca="1">OFFSET(input!$A$25,P65,0)</f>
        <v>N</v>
      </c>
      <c r="B65" s="891">
        <f ca="1">SUMIFS(Paper!$AC$7:$AC$30,Paper!$A$7:$A$30,Ink!A65)+SUMIFS(Paper!$X$7:$X$30,Paper!$A$7:$A$30,Ink!A65)</f>
        <v>0</v>
      </c>
      <c r="C65" s="953">
        <v>11</v>
      </c>
      <c r="D65" s="954" t="str">
        <f ca="1">OFFSET(input!$A$27,O65,0)</f>
        <v>None</v>
      </c>
      <c r="E65" s="891">
        <f ca="1">SUMIFS(Paper!$N$7:$N$30,Paper!$A$7:$A$30,A65)</f>
        <v>0</v>
      </c>
      <c r="F65" s="891">
        <f ca="1">SUMIFS(Paper!$O$7:$O$30,Paper!$A$7:$A$30,A65)</f>
        <v>0</v>
      </c>
      <c r="G65" s="955">
        <f ca="1">IF($D65="None",0,IF(OFFSET(input!$B$27,O65,0)&gt;0,OFFSET(input!$B$27,O65,0),E65*F65*$D$8*10000/IF($B$2="PACK",COUNTIF($H$10:$H$23,"&gt;0"),1)))</f>
        <v>0</v>
      </c>
      <c r="H65" s="956">
        <f ca="1">IF(OFFSET(input!$C$27,O65,0)&gt;0,OFFSET(input!$C$27,O65,0),VLOOKUP(D65,Data!$L$1064:$M$1071,2,0))</f>
        <v>0</v>
      </c>
      <c r="I65" s="891">
        <f ca="1">ROUNDUP(IF(G65&gt;0,((B65/10000)*G65),0),1)</f>
        <v>0</v>
      </c>
      <c r="J65" s="891">
        <f ca="1">IF(G65&gt;0,0.2,0)*OFFSET(Paper!$J$7,Q65,0)</f>
        <v>0</v>
      </c>
      <c r="K65" s="891">
        <f ca="1">J65*H65</f>
        <v>0</v>
      </c>
      <c r="L65" s="891">
        <f ca="1">IF(I65=0,0,H65*(I65+J65))</f>
        <v>0</v>
      </c>
      <c r="M65" s="891">
        <f ca="1">IF($D$3&gt;0,L65/($D$3),0)*(1+$M$6)</f>
        <v>0</v>
      </c>
      <c r="N65" s="136" t="str">
        <f ca="1">OFFSET(input!$F$33,P65,0)</f>
        <v>N</v>
      </c>
      <c r="O65" s="136">
        <f t="shared" si="33"/>
        <v>61</v>
      </c>
      <c r="P65" s="136">
        <f t="shared" si="34"/>
        <v>51</v>
      </c>
      <c r="Q65" s="136">
        <f t="shared" si="35"/>
        <v>3</v>
      </c>
      <c r="AT65" s="413">
        <f t="shared" ca="1" si="4"/>
        <v>0</v>
      </c>
      <c r="AU65" s="136">
        <f ca="1">COUNTIFS(AT$7:$AT65,1)</f>
        <v>1</v>
      </c>
    </row>
    <row r="66" spans="1:47" ht="15">
      <c r="A66" s="952" t="str">
        <f ca="1">OFFSET(input!$A$25,P66,0)</f>
        <v>N</v>
      </c>
      <c r="B66" s="891">
        <f ca="1">SUMIFS(Paper!$AC$7:$AC$30,Paper!$A$7:$A$30,Ink!A66)+SUMIFS(Paper!$X$7:$X$30,Paper!$A$7:$A$30,Ink!A66)</f>
        <v>0</v>
      </c>
      <c r="C66" s="953">
        <v>12</v>
      </c>
      <c r="D66" s="954" t="str">
        <f ca="1">OFFSET(input!$A$27,O66,0)</f>
        <v>None</v>
      </c>
      <c r="E66" s="891">
        <f ca="1">SUMIFS(Paper!$N$7:$N$30,Paper!$A$7:$A$30,A66)</f>
        <v>0</v>
      </c>
      <c r="F66" s="891">
        <f ca="1">SUMIFS(Paper!$O$7:$O$30,Paper!$A$7:$A$30,A66)</f>
        <v>0</v>
      </c>
      <c r="G66" s="955">
        <f ca="1">IF($D66="None",0,IF(OFFSET(input!$B$27,O66,0)&gt;0,OFFSET(input!$B$27,O66,0),E66*F66*$D$8*10000/IF($B$2="PACK",COUNTIF($H$10:$H$23,"&gt;0"),1)))</f>
        <v>0</v>
      </c>
      <c r="H66" s="956">
        <f ca="1">IF(OFFSET(input!$C$27,O66,0)&gt;0,OFFSET(input!$C$27,O66,0),VLOOKUP(D66,Data!$L$1064:$M$1071,2,0))</f>
        <v>0</v>
      </c>
      <c r="I66" s="891">
        <f ca="1">ROUNDUP(IF(G66&gt;0,((B66/10000)*G66),0),1)</f>
        <v>0</v>
      </c>
      <c r="J66" s="891">
        <f ca="1">IF(G66&gt;0,0.2,0)*OFFSET(Paper!$J$7,Q66,0)</f>
        <v>0</v>
      </c>
      <c r="K66" s="891">
        <f ca="1">J66*H66</f>
        <v>0</v>
      </c>
      <c r="L66" s="891">
        <f ca="1">IF(I66=0,0,H66*(I66+J66))</f>
        <v>0</v>
      </c>
      <c r="M66" s="891">
        <f ca="1">IF($D$3&gt;0,L66/($D$3),0)*(1+$M$6)</f>
        <v>0</v>
      </c>
      <c r="N66" s="136" t="str">
        <f ca="1">OFFSET(input!$F$33,P66,0)</f>
        <v>N</v>
      </c>
      <c r="O66" s="136">
        <f t="shared" si="33"/>
        <v>62</v>
      </c>
      <c r="P66" s="136">
        <f t="shared" si="34"/>
        <v>51</v>
      </c>
      <c r="Q66" s="136">
        <f t="shared" si="35"/>
        <v>3</v>
      </c>
      <c r="AT66" s="413">
        <f t="shared" ca="1" si="4"/>
        <v>0</v>
      </c>
      <c r="AU66" s="136">
        <f ca="1">COUNTIFS(AT$7:$AT66,1)</f>
        <v>1</v>
      </c>
    </row>
    <row r="67" spans="1:47" ht="15">
      <c r="A67" s="952" t="str">
        <f ca="1">OFFSET(input!$A$25,P67,0)</f>
        <v>N</v>
      </c>
      <c r="B67" s="891">
        <f ca="1">SUMIFS(Paper!$AC$7:$AC$30,Paper!$A$7:$A$30,Ink!A67)+SUMIFS(Paper!$X$7:$X$30,Paper!$A$7:$A$30,Ink!A67)</f>
        <v>0</v>
      </c>
      <c r="C67" s="953">
        <v>13</v>
      </c>
      <c r="D67" s="954" t="str">
        <f ca="1">OFFSET(input!$A$27,O67,0)</f>
        <v>None</v>
      </c>
      <c r="E67" s="891">
        <f ca="1">SUMIFS(Paper!$N$7:$N$30,Paper!$A$7:$A$30,A67)</f>
        <v>0</v>
      </c>
      <c r="F67" s="891">
        <f ca="1">SUMIFS(Paper!$O$7:$O$30,Paper!$A$7:$A$30,A67)</f>
        <v>0</v>
      </c>
      <c r="G67" s="955">
        <f ca="1">IF($D67="None",0,IF(OFFSET(input!$B$27,O67,0)&gt;0,OFFSET(input!$B$27,O67,0),E67*F67*$D$8*10000/IF($B$2="PACK",COUNTIF($H$10:$H$23,"&gt;0"),1)))</f>
        <v>0</v>
      </c>
      <c r="H67" s="956">
        <f ca="1">IF(OFFSET(input!$C$27,O67,0)&gt;0,OFFSET(input!$C$27,O67,0),VLOOKUP(D67,Data!$L$1064:$M$1071,2,0))</f>
        <v>0</v>
      </c>
      <c r="I67" s="891">
        <f ca="1">ROUNDUP(IF(G67&gt;0,((B67/10000)*G67),0),1)</f>
        <v>0</v>
      </c>
      <c r="J67" s="891">
        <f ca="1">IF(G67&gt;0,0.2,0)*OFFSET(Paper!$J$7,Q67,0)</f>
        <v>0</v>
      </c>
      <c r="K67" s="891">
        <f ca="1">J67*H67</f>
        <v>0</v>
      </c>
      <c r="L67" s="891">
        <f ca="1">IF(I67=0,0,H67*(I67+J67))</f>
        <v>0</v>
      </c>
      <c r="M67" s="891">
        <f ca="1">IF($D$3&gt;0,L67/($D$3),0)*(1+$M$6)</f>
        <v>0</v>
      </c>
      <c r="N67" s="136" t="str">
        <f ca="1">OFFSET(input!$F$33,P67,0)</f>
        <v>N</v>
      </c>
      <c r="O67" s="136">
        <f t="shared" si="33"/>
        <v>63</v>
      </c>
      <c r="P67" s="136">
        <f t="shared" si="34"/>
        <v>51</v>
      </c>
      <c r="Q67" s="136">
        <f t="shared" si="35"/>
        <v>3</v>
      </c>
      <c r="AT67" s="413">
        <f t="shared" ca="1" si="4"/>
        <v>0</v>
      </c>
      <c r="AU67" s="136">
        <f ca="1">COUNTIFS(AT$7:$AT67,1)</f>
        <v>1</v>
      </c>
    </row>
    <row r="68" spans="1:47" ht="15">
      <c r="A68" s="952" t="str">
        <f ca="1">OFFSET(input!$A$25,P68,0)</f>
        <v>N</v>
      </c>
      <c r="B68" s="891">
        <f ca="1">SUMIFS(Paper!$AC$7:$AC$30,Paper!$A$7:$A$30,Ink!A68)+SUMIFS(Paper!$X$7:$X$30,Paper!$A$7:$A$30,Ink!A68)</f>
        <v>0</v>
      </c>
      <c r="C68" s="953">
        <v>14</v>
      </c>
      <c r="D68" s="954" t="str">
        <f ca="1">OFFSET(input!$A$27,O68,0)</f>
        <v>None</v>
      </c>
      <c r="E68" s="891">
        <f ca="1">SUMIFS(Paper!$N$7:$N$30,Paper!$A$7:$A$30,A68)</f>
        <v>0</v>
      </c>
      <c r="F68" s="891">
        <f ca="1">SUMIFS(Paper!$O$7:$O$30,Paper!$A$7:$A$30,A68)</f>
        <v>0</v>
      </c>
      <c r="G68" s="955">
        <f ca="1">IF($D68="None",0,IF(OFFSET(input!$B$27,O68,0)&gt;0,OFFSET(input!$B$27,O68,0),E68*F68*$D$8*10000/IF($B$2="PACK",COUNTIF($H$10:$H$23,"&gt;0"),1)))</f>
        <v>0</v>
      </c>
      <c r="H68" s="956">
        <f ca="1">IF(OFFSET(input!$C$27,O68,0)&gt;0,OFFSET(input!$C$27,O68,0),VLOOKUP(D68,Data!$L$1064:$M$1071,2,0))</f>
        <v>0</v>
      </c>
      <c r="I68" s="891">
        <f t="shared" ref="I68" ca="1" si="36">ROUNDUP(IF(G68&gt;0,((B68/10000)*G68),0),1)</f>
        <v>0</v>
      </c>
      <c r="J68" s="891">
        <f ca="1">IF(G68&gt;0,0.2,0)*OFFSET(Paper!$J$7,Q68,0)</f>
        <v>0</v>
      </c>
      <c r="K68" s="891">
        <f t="shared" ref="K68" ca="1" si="37">J68*H68</f>
        <v>0</v>
      </c>
      <c r="L68" s="891">
        <f t="shared" ref="L68" ca="1" si="38">IF(I68=0,0,H68*(I68+J68))</f>
        <v>0</v>
      </c>
      <c r="M68" s="891">
        <f t="shared" ref="M68" ca="1" si="39">IF($D$3&gt;0,L68/($D$3),0)*(1+$M$6)</f>
        <v>0</v>
      </c>
      <c r="N68" s="136" t="str">
        <f ca="1">OFFSET(input!$F$33,P68,0)</f>
        <v>N</v>
      </c>
      <c r="O68" s="136">
        <f t="shared" si="33"/>
        <v>64</v>
      </c>
      <c r="P68" s="136">
        <f>+P53+17</f>
        <v>51</v>
      </c>
      <c r="Q68" s="136">
        <f t="shared" si="35"/>
        <v>3</v>
      </c>
      <c r="AT68" s="413">
        <f t="shared" ca="1" si="4"/>
        <v>0</v>
      </c>
      <c r="AU68" s="136">
        <f ca="1">COUNTIFS(AT$7:$AT68,1)</f>
        <v>1</v>
      </c>
    </row>
    <row r="69" spans="1:47" ht="15">
      <c r="A69" s="957"/>
      <c r="B69" s="958"/>
      <c r="C69" s="959"/>
      <c r="D69" s="954"/>
      <c r="E69" s="958"/>
      <c r="F69" s="958"/>
      <c r="G69" s="955"/>
      <c r="H69" s="960"/>
      <c r="I69" s="958"/>
      <c r="J69" s="958"/>
      <c r="K69" s="958"/>
      <c r="L69" s="958"/>
      <c r="M69" s="958"/>
      <c r="AT69" s="413" t="str">
        <f t="shared" si="4"/>
        <v/>
      </c>
      <c r="AU69" s="136">
        <f ca="1">COUNTIFS(AT$7:$AT69,1)</f>
        <v>1</v>
      </c>
    </row>
    <row r="70" spans="1:47" ht="15" collapsed="1">
      <c r="A70" s="952" t="str">
        <f ca="1">OFFSET(input!$A$25,P70,0)</f>
        <v>N</v>
      </c>
      <c r="B70" s="891">
        <f ca="1">SUMIFS(Paper!$AC$7:$AC$30,Paper!$A$7:$A$30,Ink!A70)+SUMIFS(Paper!$X$7:$X$30,Paper!$A$7:$A$30,Ink!A70)</f>
        <v>0</v>
      </c>
      <c r="C70" s="953">
        <v>1</v>
      </c>
      <c r="D70" s="954" t="str">
        <f ca="1">OFFSET(input!$A$27,O70,0)</f>
        <v>None</v>
      </c>
      <c r="E70" s="891">
        <f ca="1">SUMIFS(Paper!$N$7:$N$30,Paper!$A$7:$A$30,A70)</f>
        <v>0</v>
      </c>
      <c r="F70" s="891">
        <f ca="1">SUMIFS(Paper!$O$7:$O$30,Paper!$A$7:$A$30,A70)</f>
        <v>0</v>
      </c>
      <c r="G70" s="955">
        <f ca="1">IF($D70="None",0,IF(OFFSET(input!$B$27,O70,0)&gt;0,OFFSET(input!$B$27,O70,0),E70*F70*$D$8*10000/IF($B$2="PACK",COUNTIF($H$10:$H$23,"&gt;0"),1)))</f>
        <v>0</v>
      </c>
      <c r="H70" s="956">
        <f ca="1">IF(OFFSET(input!$C$27,O70,0)&gt;0,OFFSET(input!$C$27,O70,0),VLOOKUP(D70,Data!$L$1064:$M$1071,2,0))</f>
        <v>0</v>
      </c>
      <c r="I70" s="891">
        <f t="shared" ref="I70:I78" ca="1" si="40">ROUNDUP(IF(G70&gt;0,((B70/10000)*G70),0),1)</f>
        <v>0</v>
      </c>
      <c r="J70" s="891">
        <f ca="1">IF(G70&gt;0,0.2,0)*OFFSET(Paper!$J$7,Q70,0)</f>
        <v>0</v>
      </c>
      <c r="K70" s="891">
        <f t="shared" ref="K70:K78" ca="1" si="41">J70*H70</f>
        <v>0</v>
      </c>
      <c r="L70" s="891">
        <f t="shared" ref="L70:L78" ca="1" si="42">IF(I70=0,0,H70*(I70+J70))</f>
        <v>0</v>
      </c>
      <c r="M70" s="891">
        <f ca="1">IF($D$3&gt;0,L70/($D$3),0)*(1+$M$6)</f>
        <v>0</v>
      </c>
      <c r="N70" s="136" t="str">
        <f ca="1">OFFSET(input!$F$33,P70,0)</f>
        <v>N</v>
      </c>
      <c r="O70" s="136">
        <f>O55+17</f>
        <v>68</v>
      </c>
      <c r="P70" s="136">
        <f>+P55+17</f>
        <v>68</v>
      </c>
      <c r="Q70" s="136">
        <f>+Q55+1</f>
        <v>4</v>
      </c>
      <c r="AT70" s="413">
        <f t="shared" ca="1" si="4"/>
        <v>0</v>
      </c>
      <c r="AU70" s="136">
        <f ca="1">COUNTIFS(AT$7:$AT70,1)</f>
        <v>1</v>
      </c>
    </row>
    <row r="71" spans="1:47" ht="15">
      <c r="A71" s="952" t="str">
        <f ca="1">OFFSET(input!$A$25,P71,0)</f>
        <v>N</v>
      </c>
      <c r="B71" s="891">
        <f ca="1">SUMIFS(Paper!$AC$7:$AC$30,Paper!$A$7:$A$30,Ink!A71)+SUMIFS(Paper!$X$7:$X$30,Paper!$A$7:$A$30,Ink!A71)</f>
        <v>0</v>
      </c>
      <c r="C71" s="953">
        <v>2</v>
      </c>
      <c r="D71" s="954" t="str">
        <f ca="1">OFFSET(input!$A$27,O71,0)</f>
        <v>None</v>
      </c>
      <c r="E71" s="891">
        <f ca="1">SUMIFS(Paper!$N$7:$N$30,Paper!$A$7:$A$30,A71)</f>
        <v>0</v>
      </c>
      <c r="F71" s="891">
        <f ca="1">SUMIFS(Paper!$O$7:$O$30,Paper!$A$7:$A$30,A71)</f>
        <v>0</v>
      </c>
      <c r="G71" s="955">
        <f ca="1">IF($D71="None",0,IF(OFFSET(input!$B$27,O71,0)&gt;0,OFFSET(input!$B$27,O71,0),E71*F71*$D$8*10000/IF($B$2="PACK",COUNTIF($H$10:$H$23,"&gt;0"),1)))</f>
        <v>0</v>
      </c>
      <c r="H71" s="956">
        <f ca="1">IF(OFFSET(input!$C$27,O71,0)&gt;0,OFFSET(input!$C$27,O71,0),VLOOKUP(D71,Data!$L$1064:$M$1071,2,0))</f>
        <v>0</v>
      </c>
      <c r="I71" s="891">
        <f t="shared" ca="1" si="40"/>
        <v>0</v>
      </c>
      <c r="J71" s="891">
        <f ca="1">IF(G71&gt;0,0.2,0)*OFFSET(Paper!$J$7,Q71,0)</f>
        <v>0</v>
      </c>
      <c r="K71" s="891">
        <f t="shared" ca="1" si="41"/>
        <v>0</v>
      </c>
      <c r="L71" s="891">
        <f t="shared" ca="1" si="42"/>
        <v>0</v>
      </c>
      <c r="M71" s="891">
        <f t="shared" ref="M71:M78" ca="1" si="43">IF($D$3&gt;0,L71/($D$3),0)*(1+$M$6)</f>
        <v>0</v>
      </c>
      <c r="N71" s="136" t="str">
        <f ca="1">OFFSET(input!$F$33,P71,0)</f>
        <v>N</v>
      </c>
      <c r="O71" s="136">
        <f t="shared" ref="O71:O83" si="44">O56+17</f>
        <v>69</v>
      </c>
      <c r="P71" s="136">
        <f t="shared" ref="P71:P82" si="45">+P56+17</f>
        <v>68</v>
      </c>
      <c r="Q71" s="136">
        <f t="shared" ref="Q71:Q83" si="46">+Q56+1</f>
        <v>4</v>
      </c>
      <c r="AT71" s="413">
        <f t="shared" ca="1" si="4"/>
        <v>0</v>
      </c>
      <c r="AU71" s="136">
        <f ca="1">COUNTIFS(AT$7:$AT71,1)</f>
        <v>1</v>
      </c>
    </row>
    <row r="72" spans="1:47" ht="15">
      <c r="A72" s="952" t="str">
        <f ca="1">OFFSET(input!$A$25,P72,0)</f>
        <v>N</v>
      </c>
      <c r="B72" s="891">
        <f ca="1">SUMIFS(Paper!$AC$7:$AC$30,Paper!$A$7:$A$30,Ink!A72)+SUMIFS(Paper!$X$7:$X$30,Paper!$A$7:$A$30,Ink!A72)</f>
        <v>0</v>
      </c>
      <c r="C72" s="953">
        <v>3</v>
      </c>
      <c r="D72" s="954" t="str">
        <f ca="1">OFFSET(input!$A$27,O72,0)</f>
        <v>None</v>
      </c>
      <c r="E72" s="891">
        <f ca="1">SUMIFS(Paper!$N$7:$N$30,Paper!$A$7:$A$30,A72)</f>
        <v>0</v>
      </c>
      <c r="F72" s="891">
        <f ca="1">SUMIFS(Paper!$O$7:$O$30,Paper!$A$7:$A$30,A72)</f>
        <v>0</v>
      </c>
      <c r="G72" s="955">
        <f ca="1">IF($D72="None",0,IF(OFFSET(input!$B$27,O72,0)&gt;0,OFFSET(input!$B$27,O72,0),E72*F72*$D$8*10000/IF($B$2="PACK",COUNTIF($H$10:$H$23,"&gt;0"),1)))</f>
        <v>0</v>
      </c>
      <c r="H72" s="956">
        <f ca="1">IF(OFFSET(input!$C$27,O72,0)&gt;0,OFFSET(input!$C$27,O72,0),VLOOKUP(D72,Data!$L$1064:$M$1071,2,0))</f>
        <v>0</v>
      </c>
      <c r="I72" s="891">
        <f t="shared" ca="1" si="40"/>
        <v>0</v>
      </c>
      <c r="J72" s="891">
        <f ca="1">IF(G72&gt;0,0.2,0)*OFFSET(Paper!$J$7,Q72,0)</f>
        <v>0</v>
      </c>
      <c r="K72" s="891">
        <f t="shared" ca="1" si="41"/>
        <v>0</v>
      </c>
      <c r="L72" s="891">
        <f t="shared" ca="1" si="42"/>
        <v>0</v>
      </c>
      <c r="M72" s="891">
        <f t="shared" ca="1" si="43"/>
        <v>0</v>
      </c>
      <c r="N72" s="136" t="str">
        <f ca="1">OFFSET(input!$F$33,P72,0)</f>
        <v>N</v>
      </c>
      <c r="O72" s="136">
        <f t="shared" si="44"/>
        <v>70</v>
      </c>
      <c r="P72" s="136">
        <f t="shared" si="45"/>
        <v>68</v>
      </c>
      <c r="Q72" s="136">
        <f t="shared" si="46"/>
        <v>4</v>
      </c>
      <c r="AT72" s="413">
        <f t="shared" ca="1" si="4"/>
        <v>0</v>
      </c>
      <c r="AU72" s="136">
        <f ca="1">COUNTIFS(AT$7:$AT72,1)</f>
        <v>1</v>
      </c>
    </row>
    <row r="73" spans="1:47" ht="15">
      <c r="A73" s="952" t="str">
        <f ca="1">OFFSET(input!$A$25,P73,0)</f>
        <v>N</v>
      </c>
      <c r="B73" s="891">
        <f ca="1">SUMIFS(Paper!$AC$7:$AC$30,Paper!$A$7:$A$30,Ink!A73)+SUMIFS(Paper!$X$7:$X$30,Paper!$A$7:$A$30,Ink!A73)</f>
        <v>0</v>
      </c>
      <c r="C73" s="953">
        <v>4</v>
      </c>
      <c r="D73" s="954" t="str">
        <f ca="1">OFFSET(input!$A$27,O73,0)</f>
        <v>None</v>
      </c>
      <c r="E73" s="891">
        <f ca="1">SUMIFS(Paper!$N$7:$N$30,Paper!$A$7:$A$30,A73)</f>
        <v>0</v>
      </c>
      <c r="F73" s="891">
        <f ca="1">SUMIFS(Paper!$O$7:$O$30,Paper!$A$7:$A$30,A73)</f>
        <v>0</v>
      </c>
      <c r="G73" s="955">
        <f ca="1">IF($D73="None",0,IF(OFFSET(input!$B$27,O73,0)&gt;0,OFFSET(input!$B$27,O73,0),E73*F73*$D$8*10000/IF($B$2="PACK",COUNTIF($H$10:$H$23,"&gt;0"),1)))</f>
        <v>0</v>
      </c>
      <c r="H73" s="956">
        <f ca="1">IF(OFFSET(input!$C$27,O73,0)&gt;0,OFFSET(input!$C$27,O73,0),VLOOKUP(D73,Data!$L$1064:$M$1071,2,0))</f>
        <v>0</v>
      </c>
      <c r="I73" s="891">
        <f t="shared" ca="1" si="40"/>
        <v>0</v>
      </c>
      <c r="J73" s="891">
        <f ca="1">IF(G73&gt;0,0.2,0)*OFFSET(Paper!$J$7,Q73,0)</f>
        <v>0</v>
      </c>
      <c r="K73" s="891">
        <f t="shared" ca="1" si="41"/>
        <v>0</v>
      </c>
      <c r="L73" s="891">
        <f t="shared" ca="1" si="42"/>
        <v>0</v>
      </c>
      <c r="M73" s="891">
        <f t="shared" ca="1" si="43"/>
        <v>0</v>
      </c>
      <c r="N73" s="136" t="str">
        <f ca="1">OFFSET(input!$F$33,P73,0)</f>
        <v>N</v>
      </c>
      <c r="O73" s="136">
        <f t="shared" si="44"/>
        <v>71</v>
      </c>
      <c r="P73" s="136">
        <f t="shared" si="45"/>
        <v>68</v>
      </c>
      <c r="Q73" s="136">
        <f t="shared" si="46"/>
        <v>4</v>
      </c>
      <c r="AT73" s="413">
        <f t="shared" ca="1" si="4"/>
        <v>0</v>
      </c>
      <c r="AU73" s="136">
        <f ca="1">COUNTIFS(AT$7:$AT73,1)</f>
        <v>1</v>
      </c>
    </row>
    <row r="74" spans="1:47" ht="15">
      <c r="A74" s="952" t="str">
        <f ca="1">OFFSET(input!$A$25,P74,0)</f>
        <v>N</v>
      </c>
      <c r="B74" s="891">
        <f ca="1">SUMIFS(Paper!$AC$7:$AC$30,Paper!$A$7:$A$30,Ink!A74)+SUMIFS(Paper!$X$7:$X$30,Paper!$A$7:$A$30,Ink!A74)</f>
        <v>0</v>
      </c>
      <c r="C74" s="953">
        <v>5</v>
      </c>
      <c r="D74" s="954" t="str">
        <f ca="1">OFFSET(input!$A$27,O74,0)</f>
        <v>None</v>
      </c>
      <c r="E74" s="891">
        <f ca="1">SUMIFS(Paper!$N$7:$N$30,Paper!$A$7:$A$30,A74)</f>
        <v>0</v>
      </c>
      <c r="F74" s="891">
        <f ca="1">SUMIFS(Paper!$O$7:$O$30,Paper!$A$7:$A$30,A74)</f>
        <v>0</v>
      </c>
      <c r="G74" s="955">
        <f ca="1">IF($D74="None",0,IF(OFFSET(input!$B$27,O74,0)&gt;0,OFFSET(input!$B$27,O74,0),E74*F74*$D$8*10000/IF($B$2="PACK",COUNTIF($H$10:$H$23,"&gt;0"),1)))</f>
        <v>0</v>
      </c>
      <c r="H74" s="956">
        <f ca="1">IF(OFFSET(input!$C$27,O74,0)&gt;0,OFFSET(input!$C$27,O74,0),VLOOKUP(D74,Data!$L$1064:$M$1071,2,0))</f>
        <v>0</v>
      </c>
      <c r="I74" s="891">
        <f t="shared" ca="1" si="40"/>
        <v>0</v>
      </c>
      <c r="J74" s="891">
        <f ca="1">IF(G74&gt;0,0.2,0)*OFFSET(Paper!$J$7,Q74,0)</f>
        <v>0</v>
      </c>
      <c r="K74" s="891">
        <f t="shared" ca="1" si="41"/>
        <v>0</v>
      </c>
      <c r="L74" s="891">
        <f t="shared" ca="1" si="42"/>
        <v>0</v>
      </c>
      <c r="M74" s="891">
        <f t="shared" ca="1" si="43"/>
        <v>0</v>
      </c>
      <c r="N74" s="136" t="str">
        <f ca="1">OFFSET(input!$F$33,P74,0)</f>
        <v>N</v>
      </c>
      <c r="O74" s="136">
        <f t="shared" si="44"/>
        <v>72</v>
      </c>
      <c r="P74" s="136">
        <f t="shared" si="45"/>
        <v>68</v>
      </c>
      <c r="Q74" s="136">
        <f t="shared" si="46"/>
        <v>4</v>
      </c>
      <c r="AT74" s="413">
        <f t="shared" ca="1" si="4"/>
        <v>0</v>
      </c>
      <c r="AU74" s="136">
        <f ca="1">COUNTIFS(AT$7:$AT74,1)</f>
        <v>1</v>
      </c>
    </row>
    <row r="75" spans="1:47" ht="15">
      <c r="A75" s="952" t="str">
        <f ca="1">OFFSET(input!$A$25,P75,0)</f>
        <v>N</v>
      </c>
      <c r="B75" s="891">
        <f ca="1">SUMIFS(Paper!$AC$7:$AC$30,Paper!$A$7:$A$30,Ink!A75)+SUMIFS(Paper!$X$7:$X$30,Paper!$A$7:$A$30,Ink!A75)</f>
        <v>0</v>
      </c>
      <c r="C75" s="953">
        <v>6</v>
      </c>
      <c r="D75" s="954" t="str">
        <f ca="1">OFFSET(input!$A$27,O75,0)</f>
        <v>None</v>
      </c>
      <c r="E75" s="891">
        <f ca="1">SUMIFS(Paper!$N$7:$N$30,Paper!$A$7:$A$30,A75)</f>
        <v>0</v>
      </c>
      <c r="F75" s="891">
        <f ca="1">SUMIFS(Paper!$O$7:$O$30,Paper!$A$7:$A$30,A75)</f>
        <v>0</v>
      </c>
      <c r="G75" s="955">
        <f ca="1">IF($D75="None",0,IF(OFFSET(input!$B$27,O75,0)&gt;0,OFFSET(input!$B$27,O75,0),E75*F75*$D$8*10000/IF($B$2="PACK",COUNTIF($H$10:$H$23,"&gt;0"),1)))</f>
        <v>0</v>
      </c>
      <c r="H75" s="956">
        <f ca="1">IF(OFFSET(input!$C$27,O75,0)&gt;0,OFFSET(input!$C$27,O75,0),VLOOKUP(D75,Data!$L$1064:$M$1071,2,0))</f>
        <v>0</v>
      </c>
      <c r="I75" s="891">
        <f t="shared" ca="1" si="40"/>
        <v>0</v>
      </c>
      <c r="J75" s="891">
        <f ca="1">IF(G75&gt;0,0.2,0)*OFFSET(Paper!$J$7,Q75,0)</f>
        <v>0</v>
      </c>
      <c r="K75" s="891">
        <f t="shared" ca="1" si="41"/>
        <v>0</v>
      </c>
      <c r="L75" s="891">
        <f t="shared" ca="1" si="42"/>
        <v>0</v>
      </c>
      <c r="M75" s="891">
        <f t="shared" ca="1" si="43"/>
        <v>0</v>
      </c>
      <c r="N75" s="136" t="str">
        <f ca="1">OFFSET(input!$F$33,P75,0)</f>
        <v>N</v>
      </c>
      <c r="O75" s="136">
        <f t="shared" si="44"/>
        <v>73</v>
      </c>
      <c r="P75" s="136">
        <f t="shared" si="45"/>
        <v>68</v>
      </c>
      <c r="Q75" s="136">
        <f t="shared" si="46"/>
        <v>4</v>
      </c>
      <c r="AT75" s="413">
        <f t="shared" ref="AT75:AT138" ca="1" si="47">IF(ISNUMBER(M75),IF(M75&lt;&gt;0,IF(ISNUMBER(SEARCH("to",GL75)),0,1),0),"")</f>
        <v>0</v>
      </c>
      <c r="AU75" s="136">
        <f ca="1">COUNTIFS(AT$7:$AT75,1)</f>
        <v>1</v>
      </c>
    </row>
    <row r="76" spans="1:47" ht="15">
      <c r="A76" s="952" t="str">
        <f ca="1">OFFSET(input!$A$25,P76,0)</f>
        <v>N</v>
      </c>
      <c r="B76" s="891">
        <f ca="1">SUMIFS(Paper!$AC$7:$AC$30,Paper!$A$7:$A$30,Ink!A76)+SUMIFS(Paper!$X$7:$X$30,Paper!$A$7:$A$30,Ink!A76)</f>
        <v>0</v>
      </c>
      <c r="C76" s="953">
        <v>7</v>
      </c>
      <c r="D76" s="954" t="str">
        <f ca="1">OFFSET(input!$A$27,O76,0)</f>
        <v>None</v>
      </c>
      <c r="E76" s="891">
        <f ca="1">SUMIFS(Paper!$N$7:$N$30,Paper!$A$7:$A$30,A76)</f>
        <v>0</v>
      </c>
      <c r="F76" s="891">
        <f ca="1">SUMIFS(Paper!$O$7:$O$30,Paper!$A$7:$A$30,A76)</f>
        <v>0</v>
      </c>
      <c r="G76" s="955">
        <f ca="1">IF($D76="None",0,IF(OFFSET(input!$B$27,O76,0)&gt;0,OFFSET(input!$B$27,O76,0),E76*F76*$D$8*10000/IF($B$2="PACK",COUNTIF($H$10:$H$23,"&gt;0"),1)))</f>
        <v>0</v>
      </c>
      <c r="H76" s="956">
        <f ca="1">IF(OFFSET(input!$C$27,O76,0)&gt;0,OFFSET(input!$C$27,O76,0),VLOOKUP(D76,Data!$L$1064:$M$1071,2,0))</f>
        <v>0</v>
      </c>
      <c r="I76" s="891">
        <f t="shared" ca="1" si="40"/>
        <v>0</v>
      </c>
      <c r="J76" s="891">
        <f ca="1">IF(G76&gt;0,0.2,0)*OFFSET(Paper!$J$7,Q76,0)</f>
        <v>0</v>
      </c>
      <c r="K76" s="891">
        <f t="shared" ca="1" si="41"/>
        <v>0</v>
      </c>
      <c r="L76" s="891">
        <f t="shared" ca="1" si="42"/>
        <v>0</v>
      </c>
      <c r="M76" s="891">
        <f t="shared" ca="1" si="43"/>
        <v>0</v>
      </c>
      <c r="N76" s="136" t="str">
        <f ca="1">OFFSET(input!$F$33,P76,0)</f>
        <v>N</v>
      </c>
      <c r="O76" s="136">
        <f t="shared" si="44"/>
        <v>74</v>
      </c>
      <c r="P76" s="136">
        <f t="shared" si="45"/>
        <v>68</v>
      </c>
      <c r="Q76" s="136">
        <f t="shared" si="46"/>
        <v>4</v>
      </c>
      <c r="AT76" s="413">
        <f t="shared" ca="1" si="47"/>
        <v>0</v>
      </c>
      <c r="AU76" s="136">
        <f ca="1">COUNTIFS(AT$7:$AT76,1)</f>
        <v>1</v>
      </c>
    </row>
    <row r="77" spans="1:47" ht="15">
      <c r="A77" s="952" t="str">
        <f ca="1">OFFSET(input!$A$25,P77,0)</f>
        <v>N</v>
      </c>
      <c r="B77" s="891">
        <f ca="1">SUMIFS(Paper!$AC$7:$AC$30,Paper!$A$7:$A$30,Ink!A77)+SUMIFS(Paper!$X$7:$X$30,Paper!$A$7:$A$30,Ink!A77)</f>
        <v>0</v>
      </c>
      <c r="C77" s="953">
        <v>8</v>
      </c>
      <c r="D77" s="954" t="str">
        <f ca="1">OFFSET(input!$A$27,O77,0)</f>
        <v>None</v>
      </c>
      <c r="E77" s="891">
        <f ca="1">SUMIFS(Paper!$N$7:$N$30,Paper!$A$7:$A$30,A77)</f>
        <v>0</v>
      </c>
      <c r="F77" s="891">
        <f ca="1">SUMIFS(Paper!$O$7:$O$30,Paper!$A$7:$A$30,A77)</f>
        <v>0</v>
      </c>
      <c r="G77" s="955">
        <f ca="1">IF($D77="None",0,IF(OFFSET(input!$B$27,O77,0)&gt;0,OFFSET(input!$B$27,O77,0),E77*F77*$D$8*10000/IF($B$2="PACK",COUNTIF($H$10:$H$23,"&gt;0"),1)))</f>
        <v>0</v>
      </c>
      <c r="H77" s="956">
        <f ca="1">IF(OFFSET(input!$C$27,O77,0)&gt;0,OFFSET(input!$C$27,O77,0),VLOOKUP(D77,Data!$L$1064:$M$1071,2,0))</f>
        <v>0</v>
      </c>
      <c r="I77" s="891">
        <f t="shared" ca="1" si="40"/>
        <v>0</v>
      </c>
      <c r="J77" s="891">
        <f ca="1">IF(G77&gt;0,0.2,0)*OFFSET(Paper!$J$7,Q77,0)</f>
        <v>0</v>
      </c>
      <c r="K77" s="891">
        <f t="shared" ca="1" si="41"/>
        <v>0</v>
      </c>
      <c r="L77" s="891">
        <f t="shared" ca="1" si="42"/>
        <v>0</v>
      </c>
      <c r="M77" s="891">
        <f t="shared" ca="1" si="43"/>
        <v>0</v>
      </c>
      <c r="N77" s="136" t="str">
        <f ca="1">OFFSET(input!$F$33,P77,0)</f>
        <v>N</v>
      </c>
      <c r="O77" s="136">
        <f t="shared" si="44"/>
        <v>75</v>
      </c>
      <c r="P77" s="136">
        <f t="shared" si="45"/>
        <v>68</v>
      </c>
      <c r="Q77" s="136">
        <f t="shared" si="46"/>
        <v>4</v>
      </c>
      <c r="AT77" s="413">
        <f t="shared" ca="1" si="47"/>
        <v>0</v>
      </c>
      <c r="AU77" s="136">
        <f ca="1">COUNTIFS(AT$7:$AT77,1)</f>
        <v>1</v>
      </c>
    </row>
    <row r="78" spans="1:47" ht="15">
      <c r="A78" s="952" t="str">
        <f ca="1">OFFSET(input!$A$25,P78,0)</f>
        <v>N</v>
      </c>
      <c r="B78" s="891">
        <f ca="1">SUMIFS(Paper!$AC$7:$AC$30,Paper!$A$7:$A$30,Ink!A78)+SUMIFS(Paper!$X$7:$X$30,Paper!$A$7:$A$30,Ink!A78)</f>
        <v>0</v>
      </c>
      <c r="C78" s="953">
        <v>9</v>
      </c>
      <c r="D78" s="954" t="str">
        <f ca="1">OFFSET(input!$A$27,O78,0)</f>
        <v>None</v>
      </c>
      <c r="E78" s="891">
        <f ca="1">SUMIFS(Paper!$N$7:$N$30,Paper!$A$7:$A$30,A78)</f>
        <v>0</v>
      </c>
      <c r="F78" s="891">
        <f ca="1">SUMIFS(Paper!$O$7:$O$30,Paper!$A$7:$A$30,A78)</f>
        <v>0</v>
      </c>
      <c r="G78" s="955">
        <f ca="1">IF($D78="None",0,IF(OFFSET(input!$B$27,O78,0)&gt;0,OFFSET(input!$B$27,O78,0),E78*F78*$D$8*10000/IF($B$2="PACK",COUNTIF($H$10:$H$23,"&gt;0"),1)))</f>
        <v>0</v>
      </c>
      <c r="H78" s="956">
        <f ca="1">IF(OFFSET(input!$C$27,O78,0)&gt;0,OFFSET(input!$C$27,O78,0),VLOOKUP(D78,Data!$L$1064:$M$1071,2,0))</f>
        <v>0</v>
      </c>
      <c r="I78" s="891">
        <f t="shared" ca="1" si="40"/>
        <v>0</v>
      </c>
      <c r="J78" s="891">
        <f ca="1">IF(G78&gt;0,0.2,0)*OFFSET(Paper!$J$7,Q78,0)</f>
        <v>0</v>
      </c>
      <c r="K78" s="891">
        <f t="shared" ca="1" si="41"/>
        <v>0</v>
      </c>
      <c r="L78" s="891">
        <f t="shared" ca="1" si="42"/>
        <v>0</v>
      </c>
      <c r="M78" s="891">
        <f t="shared" ca="1" si="43"/>
        <v>0</v>
      </c>
      <c r="N78" s="136" t="str">
        <f ca="1">OFFSET(input!$F$33,P78,0)</f>
        <v>N</v>
      </c>
      <c r="O78" s="136">
        <f t="shared" si="44"/>
        <v>76</v>
      </c>
      <c r="P78" s="136">
        <f t="shared" si="45"/>
        <v>68</v>
      </c>
      <c r="Q78" s="136">
        <f t="shared" si="46"/>
        <v>4</v>
      </c>
      <c r="AT78" s="413">
        <f t="shared" ca="1" si="47"/>
        <v>0</v>
      </c>
      <c r="AU78" s="136">
        <f ca="1">COUNTIFS(AT$7:$AT78,1)</f>
        <v>1</v>
      </c>
    </row>
    <row r="79" spans="1:47" ht="15">
      <c r="A79" s="952" t="str">
        <f ca="1">OFFSET(input!$A$25,P79,0)</f>
        <v>N</v>
      </c>
      <c r="B79" s="891">
        <f ca="1">SUMIFS(Paper!$AC$7:$AC$30,Paper!$A$7:$A$30,Ink!A79)+SUMIFS(Paper!$X$7:$X$30,Paper!$A$7:$A$30,Ink!A79)</f>
        <v>0</v>
      </c>
      <c r="C79" s="953">
        <v>10</v>
      </c>
      <c r="D79" s="954" t="str">
        <f ca="1">OFFSET(input!$A$27,O79,0)</f>
        <v>None</v>
      </c>
      <c r="E79" s="891">
        <f ca="1">SUMIFS(Paper!$N$7:$N$30,Paper!$A$7:$A$30,A79)</f>
        <v>0</v>
      </c>
      <c r="F79" s="891">
        <f ca="1">SUMIFS(Paper!$O$7:$O$30,Paper!$A$7:$A$30,A79)</f>
        <v>0</v>
      </c>
      <c r="G79" s="955">
        <f ca="1">IF($D79="None",0,IF(OFFSET(input!$B$27,O79,0)&gt;0,OFFSET(input!$B$27,O79,0),E79*F79*$D$8*10000/IF($B$2="PACK",COUNTIF($H$10:$H$23,"&gt;0"),1)))</f>
        <v>0</v>
      </c>
      <c r="H79" s="956">
        <f ca="1">IF(OFFSET(input!$C$27,O79,0)&gt;0,OFFSET(input!$C$27,O79,0),VLOOKUP(D79,Data!$L$1064:$M$1071,2,0))</f>
        <v>0</v>
      </c>
      <c r="I79" s="891">
        <f ca="1">ROUNDUP(IF(G79&gt;0,((B79/10000)*G79),0),1)</f>
        <v>0</v>
      </c>
      <c r="J79" s="891">
        <f ca="1">IF(G79&gt;0,0.2,0)*OFFSET(Paper!$J$7,Q79,0)</f>
        <v>0</v>
      </c>
      <c r="K79" s="891">
        <f ca="1">J79*H79</f>
        <v>0</v>
      </c>
      <c r="L79" s="891">
        <f ca="1">IF(I79=0,0,H79*(I79+J79))</f>
        <v>0</v>
      </c>
      <c r="M79" s="891">
        <f ca="1">IF($D$3&gt;0,L79/($D$3),0)*(1+$M$6)</f>
        <v>0</v>
      </c>
      <c r="N79" s="136" t="str">
        <f ca="1">OFFSET(input!$F$33,P79,0)</f>
        <v>N</v>
      </c>
      <c r="O79" s="136">
        <f t="shared" si="44"/>
        <v>77</v>
      </c>
      <c r="P79" s="136">
        <f t="shared" si="45"/>
        <v>68</v>
      </c>
      <c r="Q79" s="136">
        <f t="shared" si="46"/>
        <v>4</v>
      </c>
      <c r="AT79" s="413">
        <f t="shared" ca="1" si="47"/>
        <v>0</v>
      </c>
      <c r="AU79" s="136">
        <f ca="1">COUNTIFS(AT$7:$AT79,1)</f>
        <v>1</v>
      </c>
    </row>
    <row r="80" spans="1:47" ht="15">
      <c r="A80" s="952" t="str">
        <f ca="1">OFFSET(input!$A$25,P80,0)</f>
        <v>N</v>
      </c>
      <c r="B80" s="891">
        <f ca="1">SUMIFS(Paper!$AC$7:$AC$30,Paper!$A$7:$A$30,Ink!A80)+SUMIFS(Paper!$X$7:$X$30,Paper!$A$7:$A$30,Ink!A80)</f>
        <v>0</v>
      </c>
      <c r="C80" s="953">
        <v>11</v>
      </c>
      <c r="D80" s="954" t="str">
        <f ca="1">OFFSET(input!$A$27,O80,0)</f>
        <v>None</v>
      </c>
      <c r="E80" s="891">
        <f ca="1">SUMIFS(Paper!$N$7:$N$30,Paper!$A$7:$A$30,A80)</f>
        <v>0</v>
      </c>
      <c r="F80" s="891">
        <f ca="1">SUMIFS(Paper!$O$7:$O$30,Paper!$A$7:$A$30,A80)</f>
        <v>0</v>
      </c>
      <c r="G80" s="955">
        <f ca="1">IF($D80="None",0,IF(OFFSET(input!$B$27,O80,0)&gt;0,OFFSET(input!$B$27,O80,0),E80*F80*$D$8*10000/IF($B$2="PACK",COUNTIF($H$10:$H$23,"&gt;0"),1)))</f>
        <v>0</v>
      </c>
      <c r="H80" s="956">
        <f ca="1">IF(OFFSET(input!$C$27,O80,0)&gt;0,OFFSET(input!$C$27,O80,0),VLOOKUP(D80,Data!$L$1064:$M$1071,2,0))</f>
        <v>0</v>
      </c>
      <c r="I80" s="891">
        <f ca="1">ROUNDUP(IF(G80&gt;0,((B80/10000)*G80),0),1)</f>
        <v>0</v>
      </c>
      <c r="J80" s="891">
        <f ca="1">IF(G80&gt;0,0.2,0)*OFFSET(Paper!$J$7,Q80,0)</f>
        <v>0</v>
      </c>
      <c r="K80" s="891">
        <f ca="1">J80*H80</f>
        <v>0</v>
      </c>
      <c r="L80" s="891">
        <f ca="1">IF(I80=0,0,H80*(I80+J80))</f>
        <v>0</v>
      </c>
      <c r="M80" s="891">
        <f ca="1">IF($D$3&gt;0,L80/($D$3),0)*(1+$M$6)</f>
        <v>0</v>
      </c>
      <c r="N80" s="136" t="str">
        <f ca="1">OFFSET(input!$F$33,P80,0)</f>
        <v>N</v>
      </c>
      <c r="O80" s="136">
        <f t="shared" si="44"/>
        <v>78</v>
      </c>
      <c r="P80" s="136">
        <f t="shared" si="45"/>
        <v>68</v>
      </c>
      <c r="Q80" s="136">
        <f t="shared" si="46"/>
        <v>4</v>
      </c>
      <c r="AT80" s="413">
        <f t="shared" ca="1" si="47"/>
        <v>0</v>
      </c>
      <c r="AU80" s="136">
        <f ca="1">COUNTIFS(AT$7:$AT80,1)</f>
        <v>1</v>
      </c>
    </row>
    <row r="81" spans="1:47" ht="15">
      <c r="A81" s="952" t="str">
        <f ca="1">OFFSET(input!$A$25,P81,0)</f>
        <v>N</v>
      </c>
      <c r="B81" s="891">
        <f ca="1">SUMIFS(Paper!$AC$7:$AC$30,Paper!$A$7:$A$30,Ink!A81)+SUMIFS(Paper!$X$7:$X$30,Paper!$A$7:$A$30,Ink!A81)</f>
        <v>0</v>
      </c>
      <c r="C81" s="953">
        <v>12</v>
      </c>
      <c r="D81" s="954" t="str">
        <f ca="1">OFFSET(input!$A$27,O81,0)</f>
        <v>None</v>
      </c>
      <c r="E81" s="891">
        <f ca="1">SUMIFS(Paper!$N$7:$N$30,Paper!$A$7:$A$30,A81)</f>
        <v>0</v>
      </c>
      <c r="F81" s="891">
        <f ca="1">SUMIFS(Paper!$O$7:$O$30,Paper!$A$7:$A$30,A81)</f>
        <v>0</v>
      </c>
      <c r="G81" s="955">
        <f ca="1">IF($D81="None",0,IF(OFFSET(input!$B$27,O81,0)&gt;0,OFFSET(input!$B$27,O81,0),E81*F81*$D$8*10000/IF($B$2="PACK",COUNTIF($H$10:$H$23,"&gt;0"),1)))</f>
        <v>0</v>
      </c>
      <c r="H81" s="956">
        <f ca="1">IF(OFFSET(input!$C$27,O81,0)&gt;0,OFFSET(input!$C$27,O81,0),VLOOKUP(D81,Data!$L$1064:$M$1071,2,0))</f>
        <v>0</v>
      </c>
      <c r="I81" s="891">
        <f ca="1">ROUNDUP(IF(G81&gt;0,((B81/10000)*G81),0),1)</f>
        <v>0</v>
      </c>
      <c r="J81" s="891">
        <f ca="1">IF(G81&gt;0,0.2,0)*OFFSET(Paper!$J$7,Q81,0)</f>
        <v>0</v>
      </c>
      <c r="K81" s="891">
        <f ca="1">J81*H81</f>
        <v>0</v>
      </c>
      <c r="L81" s="891">
        <f ca="1">IF(I81=0,0,H81*(I81+J81))</f>
        <v>0</v>
      </c>
      <c r="M81" s="891">
        <f ca="1">IF($D$3&gt;0,L81/($D$3),0)*(1+$M$6)</f>
        <v>0</v>
      </c>
      <c r="N81" s="136" t="str">
        <f ca="1">OFFSET(input!$F$33,P81,0)</f>
        <v>N</v>
      </c>
      <c r="O81" s="136">
        <f t="shared" si="44"/>
        <v>79</v>
      </c>
      <c r="P81" s="136">
        <f t="shared" si="45"/>
        <v>68</v>
      </c>
      <c r="Q81" s="136">
        <f t="shared" si="46"/>
        <v>4</v>
      </c>
      <c r="AT81" s="413">
        <f t="shared" ca="1" si="47"/>
        <v>0</v>
      </c>
      <c r="AU81" s="136">
        <f ca="1">COUNTIFS(AT$7:$AT81,1)</f>
        <v>1</v>
      </c>
    </row>
    <row r="82" spans="1:47" ht="15">
      <c r="A82" s="952" t="str">
        <f ca="1">OFFSET(input!$A$25,P82,0)</f>
        <v>N</v>
      </c>
      <c r="B82" s="891">
        <f ca="1">SUMIFS(Paper!$AC$7:$AC$30,Paper!$A$7:$A$30,Ink!A82)+SUMIFS(Paper!$X$7:$X$30,Paper!$A$7:$A$30,Ink!A82)</f>
        <v>0</v>
      </c>
      <c r="C82" s="953">
        <v>13</v>
      </c>
      <c r="D82" s="954" t="str">
        <f ca="1">OFFSET(input!$A$27,O82,0)</f>
        <v>None</v>
      </c>
      <c r="E82" s="891">
        <f ca="1">SUMIFS(Paper!$N$7:$N$30,Paper!$A$7:$A$30,A82)</f>
        <v>0</v>
      </c>
      <c r="F82" s="891">
        <f ca="1">SUMIFS(Paper!$O$7:$O$30,Paper!$A$7:$A$30,A82)</f>
        <v>0</v>
      </c>
      <c r="G82" s="955">
        <f ca="1">IF($D82="None",0,IF(OFFSET(input!$B$27,O82,0)&gt;0,OFFSET(input!$B$27,O82,0),E82*F82*$D$8*10000/IF($B$2="PACK",COUNTIF($H$10:$H$23,"&gt;0"),1)))</f>
        <v>0</v>
      </c>
      <c r="H82" s="956">
        <f ca="1">IF(OFFSET(input!$C$27,O82,0)&gt;0,OFFSET(input!$C$27,O82,0),VLOOKUP(D82,Data!$L$1064:$M$1071,2,0))</f>
        <v>0</v>
      </c>
      <c r="I82" s="891">
        <f ca="1">ROUNDUP(IF(G82&gt;0,((B82/10000)*G82),0),1)</f>
        <v>0</v>
      </c>
      <c r="J82" s="891">
        <f ca="1">IF(G82&gt;0,0.2,0)*OFFSET(Paper!$J$7,Q82,0)</f>
        <v>0</v>
      </c>
      <c r="K82" s="891">
        <f ca="1">J82*H82</f>
        <v>0</v>
      </c>
      <c r="L82" s="891">
        <f ca="1">IF(I82=0,0,H82*(I82+J82))</f>
        <v>0</v>
      </c>
      <c r="M82" s="891">
        <f ca="1">IF($D$3&gt;0,L82/($D$3),0)*(1+$M$6)</f>
        <v>0</v>
      </c>
      <c r="N82" s="136" t="str">
        <f ca="1">OFFSET(input!$F$33,P82,0)</f>
        <v>N</v>
      </c>
      <c r="O82" s="136">
        <f t="shared" si="44"/>
        <v>80</v>
      </c>
      <c r="P82" s="136">
        <f t="shared" si="45"/>
        <v>68</v>
      </c>
      <c r="Q82" s="136">
        <f t="shared" si="46"/>
        <v>4</v>
      </c>
      <c r="AT82" s="413">
        <f t="shared" ca="1" si="47"/>
        <v>0</v>
      </c>
      <c r="AU82" s="136">
        <f ca="1">COUNTIFS(AT$7:$AT82,1)</f>
        <v>1</v>
      </c>
    </row>
    <row r="83" spans="1:47" ht="15">
      <c r="A83" s="952" t="str">
        <f ca="1">OFFSET(input!$A$25,P83,0)</f>
        <v>N</v>
      </c>
      <c r="B83" s="891">
        <f ca="1">SUMIFS(Paper!$AC$7:$AC$30,Paper!$A$7:$A$30,Ink!A83)+SUMIFS(Paper!$X$7:$X$30,Paper!$A$7:$A$30,Ink!A83)</f>
        <v>0</v>
      </c>
      <c r="C83" s="953">
        <v>14</v>
      </c>
      <c r="D83" s="954" t="str">
        <f ca="1">OFFSET(input!$A$27,O83,0)</f>
        <v>None</v>
      </c>
      <c r="E83" s="891">
        <f ca="1">SUMIFS(Paper!$N$7:$N$30,Paper!$A$7:$A$30,A83)</f>
        <v>0</v>
      </c>
      <c r="F83" s="891">
        <f ca="1">SUMIFS(Paper!$O$7:$O$30,Paper!$A$7:$A$30,A83)</f>
        <v>0</v>
      </c>
      <c r="G83" s="955">
        <f ca="1">IF($D83="None",0,IF(OFFSET(input!$B$27,O83,0)&gt;0,OFFSET(input!$B$27,O83,0),E83*F83*$D$8*10000/IF($B$2="PACK",COUNTIF($H$10:$H$23,"&gt;0"),1)))</f>
        <v>0</v>
      </c>
      <c r="H83" s="956">
        <f ca="1">IF(OFFSET(input!$C$27,O83,0)&gt;0,OFFSET(input!$C$27,O83,0),VLOOKUP(D83,Data!$L$1064:$M$1071,2,0))</f>
        <v>0</v>
      </c>
      <c r="I83" s="891">
        <f t="shared" ref="I83" ca="1" si="48">ROUNDUP(IF(G83&gt;0,((B83/10000)*G83),0),1)</f>
        <v>0</v>
      </c>
      <c r="J83" s="891">
        <f ca="1">IF(G83&gt;0,0.2,0)*OFFSET(Paper!$J$7,Q83,0)</f>
        <v>0</v>
      </c>
      <c r="K83" s="891">
        <f t="shared" ref="K83" ca="1" si="49">J83*H83</f>
        <v>0</v>
      </c>
      <c r="L83" s="891">
        <f t="shared" ref="L83" ca="1" si="50">IF(I83=0,0,H83*(I83+J83))</f>
        <v>0</v>
      </c>
      <c r="M83" s="891">
        <f t="shared" ref="M83" ca="1" si="51">IF($D$3&gt;0,L83/($D$3),0)*(1+$M$6)</f>
        <v>0</v>
      </c>
      <c r="N83" s="136" t="str">
        <f ca="1">OFFSET(input!$F$33,P83,0)</f>
        <v>N</v>
      </c>
      <c r="O83" s="136">
        <f t="shared" si="44"/>
        <v>81</v>
      </c>
      <c r="P83" s="136">
        <f>+P68+17</f>
        <v>68</v>
      </c>
      <c r="Q83" s="136">
        <f t="shared" si="46"/>
        <v>4</v>
      </c>
      <c r="AT83" s="413">
        <f t="shared" ca="1" si="47"/>
        <v>0</v>
      </c>
      <c r="AU83" s="136">
        <f ca="1">COUNTIFS(AT$7:$AT83,1)</f>
        <v>1</v>
      </c>
    </row>
    <row r="84" spans="1:47" ht="15">
      <c r="A84" s="957"/>
      <c r="B84" s="958"/>
      <c r="C84" s="959"/>
      <c r="D84" s="954"/>
      <c r="E84" s="958"/>
      <c r="F84" s="958"/>
      <c r="G84" s="955"/>
      <c r="H84" s="960"/>
      <c r="I84" s="958"/>
      <c r="J84" s="958"/>
      <c r="K84" s="958"/>
      <c r="L84" s="958"/>
      <c r="M84" s="958"/>
      <c r="AT84" s="413" t="str">
        <f t="shared" si="47"/>
        <v/>
      </c>
      <c r="AU84" s="136">
        <f ca="1">COUNTIFS(AT$7:$AT84,1)</f>
        <v>1</v>
      </c>
    </row>
    <row r="85" spans="1:47" ht="15" collapsed="1">
      <c r="A85" s="952" t="str">
        <f ca="1">OFFSET(input!$A$25,P85,0)</f>
        <v>N</v>
      </c>
      <c r="B85" s="891">
        <f ca="1">SUMIFS(Paper!$AC$7:$AC$30,Paper!$A$7:$A$30,Ink!A85)+SUMIFS(Paper!$X$7:$X$30,Paper!$A$7:$A$30,Ink!A85)</f>
        <v>0</v>
      </c>
      <c r="C85" s="953">
        <v>1</v>
      </c>
      <c r="D85" s="954" t="str">
        <f ca="1">OFFSET(input!$A$27,O85,0)</f>
        <v>None</v>
      </c>
      <c r="E85" s="891">
        <f ca="1">SUMIFS(Paper!$N$7:$N$30,Paper!$A$7:$A$30,A85)</f>
        <v>0</v>
      </c>
      <c r="F85" s="891">
        <f ca="1">SUMIFS(Paper!$O$7:$O$30,Paper!$A$7:$A$30,A85)</f>
        <v>0</v>
      </c>
      <c r="G85" s="955">
        <f ca="1">IF($D85="None",0,IF(OFFSET(input!$B$27,O85,0)&gt;0,OFFSET(input!$B$27,O85,0),E85*F85*$D$8*10000/IF($B$2="PACK",COUNTIF($H$10:$H$23,"&gt;0"),1)))</f>
        <v>0</v>
      </c>
      <c r="H85" s="956">
        <f ca="1">IF(OFFSET(input!$C$27,O85,0)&gt;0,OFFSET(input!$C$27,O85,0),VLOOKUP(D85,Data!$L$1064:$M$1071,2,0))</f>
        <v>0</v>
      </c>
      <c r="I85" s="891">
        <f t="shared" ref="I85:I93" ca="1" si="52">ROUNDUP(IF(G85&gt;0,((B85/10000)*G85),0),1)</f>
        <v>0</v>
      </c>
      <c r="J85" s="891">
        <f ca="1">IF(G85&gt;0,0.2,0)*OFFSET(Paper!$J$7,Q85,0)</f>
        <v>0</v>
      </c>
      <c r="K85" s="891">
        <f t="shared" ref="K85:K93" ca="1" si="53">J85*H85</f>
        <v>0</v>
      </c>
      <c r="L85" s="891">
        <f t="shared" ref="L85:L93" ca="1" si="54">IF(I85=0,0,H85*(I85+J85))</f>
        <v>0</v>
      </c>
      <c r="M85" s="891">
        <f ca="1">IF($D$3&gt;0,L85/($D$3),0)*(1+$M$6)</f>
        <v>0</v>
      </c>
      <c r="N85" s="136" t="str">
        <f ca="1">OFFSET(input!$F$33,P85,0)</f>
        <v>N</v>
      </c>
      <c r="O85" s="136">
        <f>O70+17</f>
        <v>85</v>
      </c>
      <c r="P85" s="136">
        <f>+P70+17</f>
        <v>85</v>
      </c>
      <c r="Q85" s="136">
        <f>+Q70+1</f>
        <v>5</v>
      </c>
      <c r="AT85" s="413">
        <f t="shared" ca="1" si="47"/>
        <v>0</v>
      </c>
      <c r="AU85" s="136">
        <f ca="1">COUNTIFS(AT$7:$AT85,1)</f>
        <v>1</v>
      </c>
    </row>
    <row r="86" spans="1:47" ht="15">
      <c r="A86" s="952" t="str">
        <f ca="1">OFFSET(input!$A$25,P86,0)</f>
        <v>N</v>
      </c>
      <c r="B86" s="891">
        <f ca="1">SUMIFS(Paper!$AC$7:$AC$30,Paper!$A$7:$A$30,Ink!A86)+SUMIFS(Paper!$X$7:$X$30,Paper!$A$7:$A$30,Ink!A86)</f>
        <v>0</v>
      </c>
      <c r="C86" s="953">
        <v>2</v>
      </c>
      <c r="D86" s="954" t="str">
        <f ca="1">OFFSET(input!$A$27,O86,0)</f>
        <v>None</v>
      </c>
      <c r="E86" s="891">
        <f ca="1">SUMIFS(Paper!$N$7:$N$30,Paper!$A$7:$A$30,A86)</f>
        <v>0</v>
      </c>
      <c r="F86" s="891">
        <f ca="1">SUMIFS(Paper!$O$7:$O$30,Paper!$A$7:$A$30,A86)</f>
        <v>0</v>
      </c>
      <c r="G86" s="955">
        <f ca="1">IF($D86="None",0,IF(OFFSET(input!$B$27,O86,0)&gt;0,OFFSET(input!$B$27,O86,0),E86*F86*$D$8*10000/IF($B$2="PACK",COUNTIF($H$10:$H$23,"&gt;0"),1)))</f>
        <v>0</v>
      </c>
      <c r="H86" s="956">
        <f ca="1">IF(OFFSET(input!$C$27,O86,0)&gt;0,OFFSET(input!$C$27,O86,0),VLOOKUP(D86,Data!$L$1064:$M$1071,2,0))</f>
        <v>0</v>
      </c>
      <c r="I86" s="891">
        <f t="shared" ca="1" si="52"/>
        <v>0</v>
      </c>
      <c r="J86" s="891">
        <f ca="1">IF(G86&gt;0,0.2,0)*OFFSET(Paper!$J$7,Q86,0)</f>
        <v>0</v>
      </c>
      <c r="K86" s="891">
        <f t="shared" ca="1" si="53"/>
        <v>0</v>
      </c>
      <c r="L86" s="891">
        <f t="shared" ca="1" si="54"/>
        <v>0</v>
      </c>
      <c r="M86" s="891">
        <f t="shared" ref="M86:M93" ca="1" si="55">IF($D$3&gt;0,L86/($D$3),0)*(1+$M$6)</f>
        <v>0</v>
      </c>
      <c r="N86" s="136" t="str">
        <f ca="1">OFFSET(input!$F$33,P86,0)</f>
        <v>N</v>
      </c>
      <c r="O86" s="136">
        <f t="shared" ref="O86:O98" si="56">O71+17</f>
        <v>86</v>
      </c>
      <c r="P86" s="136">
        <f t="shared" ref="P86:P97" si="57">+P71+17</f>
        <v>85</v>
      </c>
      <c r="Q86" s="136">
        <f t="shared" ref="Q86:Q98" si="58">+Q71+1</f>
        <v>5</v>
      </c>
      <c r="AT86" s="413">
        <f t="shared" ca="1" si="47"/>
        <v>0</v>
      </c>
      <c r="AU86" s="136">
        <f ca="1">COUNTIFS(AT$7:$AT86,1)</f>
        <v>1</v>
      </c>
    </row>
    <row r="87" spans="1:47" ht="15">
      <c r="A87" s="952" t="str">
        <f ca="1">OFFSET(input!$A$25,P87,0)</f>
        <v>N</v>
      </c>
      <c r="B87" s="891">
        <f ca="1">SUMIFS(Paper!$AC$7:$AC$30,Paper!$A$7:$A$30,Ink!A87)+SUMIFS(Paper!$X$7:$X$30,Paper!$A$7:$A$30,Ink!A87)</f>
        <v>0</v>
      </c>
      <c r="C87" s="953">
        <v>3</v>
      </c>
      <c r="D87" s="954" t="str">
        <f ca="1">OFFSET(input!$A$27,O87,0)</f>
        <v>None</v>
      </c>
      <c r="E87" s="891">
        <f ca="1">SUMIFS(Paper!$N$7:$N$30,Paper!$A$7:$A$30,A87)</f>
        <v>0</v>
      </c>
      <c r="F87" s="891">
        <f ca="1">SUMIFS(Paper!$O$7:$O$30,Paper!$A$7:$A$30,A87)</f>
        <v>0</v>
      </c>
      <c r="G87" s="955">
        <f ca="1">IF($D87="None",0,IF(OFFSET(input!$B$27,O87,0)&gt;0,OFFSET(input!$B$27,O87,0),E87*F87*$D$8*10000/IF($B$2="PACK",COUNTIF($H$10:$H$23,"&gt;0"),1)))</f>
        <v>0</v>
      </c>
      <c r="H87" s="956">
        <f ca="1">IF(OFFSET(input!$C$27,O87,0)&gt;0,OFFSET(input!$C$27,O87,0),VLOOKUP(D87,Data!$L$1064:$M$1071,2,0))</f>
        <v>0</v>
      </c>
      <c r="I87" s="891">
        <f t="shared" ca="1" si="52"/>
        <v>0</v>
      </c>
      <c r="J87" s="891">
        <f ca="1">IF(G87&gt;0,0.2,0)*OFFSET(Paper!$J$7,Q87,0)</f>
        <v>0</v>
      </c>
      <c r="K87" s="891">
        <f t="shared" ca="1" si="53"/>
        <v>0</v>
      </c>
      <c r="L87" s="891">
        <f t="shared" ca="1" si="54"/>
        <v>0</v>
      </c>
      <c r="M87" s="891">
        <f t="shared" ca="1" si="55"/>
        <v>0</v>
      </c>
      <c r="N87" s="136" t="str">
        <f ca="1">OFFSET(input!$F$33,P87,0)</f>
        <v>N</v>
      </c>
      <c r="O87" s="136">
        <f t="shared" si="56"/>
        <v>87</v>
      </c>
      <c r="P87" s="136">
        <f t="shared" si="57"/>
        <v>85</v>
      </c>
      <c r="Q87" s="136">
        <f t="shared" si="58"/>
        <v>5</v>
      </c>
      <c r="AT87" s="413">
        <f t="shared" ca="1" si="47"/>
        <v>0</v>
      </c>
      <c r="AU87" s="136">
        <f ca="1">COUNTIFS(AT$7:$AT87,1)</f>
        <v>1</v>
      </c>
    </row>
    <row r="88" spans="1:47" ht="15">
      <c r="A88" s="952" t="str">
        <f ca="1">OFFSET(input!$A$25,P88,0)</f>
        <v>N</v>
      </c>
      <c r="B88" s="891">
        <f ca="1">SUMIFS(Paper!$AC$7:$AC$30,Paper!$A$7:$A$30,Ink!A88)+SUMIFS(Paper!$X$7:$X$30,Paper!$A$7:$A$30,Ink!A88)</f>
        <v>0</v>
      </c>
      <c r="C88" s="953">
        <v>4</v>
      </c>
      <c r="D88" s="954" t="str">
        <f ca="1">OFFSET(input!$A$27,O88,0)</f>
        <v>None</v>
      </c>
      <c r="E88" s="891">
        <f ca="1">SUMIFS(Paper!$N$7:$N$30,Paper!$A$7:$A$30,A88)</f>
        <v>0</v>
      </c>
      <c r="F88" s="891">
        <f ca="1">SUMIFS(Paper!$O$7:$O$30,Paper!$A$7:$A$30,A88)</f>
        <v>0</v>
      </c>
      <c r="G88" s="955">
        <f ca="1">IF($D88="None",0,IF(OFFSET(input!$B$27,O88,0)&gt;0,OFFSET(input!$B$27,O88,0),E88*F88*$D$8*10000/IF($B$2="PACK",COUNTIF($H$10:$H$23,"&gt;0"),1)))</f>
        <v>0</v>
      </c>
      <c r="H88" s="956">
        <f ca="1">IF(OFFSET(input!$C$27,O88,0)&gt;0,OFFSET(input!$C$27,O88,0),VLOOKUP(D88,Data!$L$1064:$M$1071,2,0))</f>
        <v>0</v>
      </c>
      <c r="I88" s="891">
        <f t="shared" ca="1" si="52"/>
        <v>0</v>
      </c>
      <c r="J88" s="891">
        <f ca="1">IF(G88&gt;0,0.2,0)*OFFSET(Paper!$J$7,Q88,0)</f>
        <v>0</v>
      </c>
      <c r="K88" s="891">
        <f t="shared" ca="1" si="53"/>
        <v>0</v>
      </c>
      <c r="L88" s="891">
        <f t="shared" ca="1" si="54"/>
        <v>0</v>
      </c>
      <c r="M88" s="891">
        <f t="shared" ca="1" si="55"/>
        <v>0</v>
      </c>
      <c r="N88" s="136" t="str">
        <f ca="1">OFFSET(input!$F$33,P88,0)</f>
        <v>N</v>
      </c>
      <c r="O88" s="136">
        <f t="shared" si="56"/>
        <v>88</v>
      </c>
      <c r="P88" s="136">
        <f t="shared" si="57"/>
        <v>85</v>
      </c>
      <c r="Q88" s="136">
        <f t="shared" si="58"/>
        <v>5</v>
      </c>
      <c r="AT88" s="413">
        <f t="shared" ca="1" si="47"/>
        <v>0</v>
      </c>
      <c r="AU88" s="136">
        <f ca="1">COUNTIFS(AT$7:$AT88,1)</f>
        <v>1</v>
      </c>
    </row>
    <row r="89" spans="1:47" ht="15">
      <c r="A89" s="952" t="str">
        <f ca="1">OFFSET(input!$A$25,P89,0)</f>
        <v>N</v>
      </c>
      <c r="B89" s="891">
        <f ca="1">SUMIFS(Paper!$AC$7:$AC$30,Paper!$A$7:$A$30,Ink!A89)+SUMIFS(Paper!$X$7:$X$30,Paper!$A$7:$A$30,Ink!A89)</f>
        <v>0</v>
      </c>
      <c r="C89" s="953">
        <v>5</v>
      </c>
      <c r="D89" s="954" t="str">
        <f ca="1">OFFSET(input!$A$27,O89,0)</f>
        <v>None</v>
      </c>
      <c r="E89" s="891">
        <f ca="1">SUMIFS(Paper!$N$7:$N$30,Paper!$A$7:$A$30,A89)</f>
        <v>0</v>
      </c>
      <c r="F89" s="891">
        <f ca="1">SUMIFS(Paper!$O$7:$O$30,Paper!$A$7:$A$30,A89)</f>
        <v>0</v>
      </c>
      <c r="G89" s="955">
        <f ca="1">IF($D89="None",0,IF(OFFSET(input!$B$27,O89,0)&gt;0,OFFSET(input!$B$27,O89,0),E89*F89*$D$8*10000/IF($B$2="PACK",COUNTIF($H$10:$H$23,"&gt;0"),1)))</f>
        <v>0</v>
      </c>
      <c r="H89" s="956">
        <f ca="1">IF(OFFSET(input!$C$27,O89,0)&gt;0,OFFSET(input!$C$27,O89,0),VLOOKUP(D89,Data!$L$1064:$M$1071,2,0))</f>
        <v>0</v>
      </c>
      <c r="I89" s="891">
        <f t="shared" ca="1" si="52"/>
        <v>0</v>
      </c>
      <c r="J89" s="891">
        <f ca="1">IF(G89&gt;0,0.2,0)*OFFSET(Paper!$J$7,Q89,0)</f>
        <v>0</v>
      </c>
      <c r="K89" s="891">
        <f t="shared" ca="1" si="53"/>
        <v>0</v>
      </c>
      <c r="L89" s="891">
        <f t="shared" ca="1" si="54"/>
        <v>0</v>
      </c>
      <c r="M89" s="891">
        <f t="shared" ca="1" si="55"/>
        <v>0</v>
      </c>
      <c r="N89" s="136" t="str">
        <f ca="1">OFFSET(input!$F$33,P89,0)</f>
        <v>N</v>
      </c>
      <c r="O89" s="136">
        <f t="shared" si="56"/>
        <v>89</v>
      </c>
      <c r="P89" s="136">
        <f t="shared" si="57"/>
        <v>85</v>
      </c>
      <c r="Q89" s="136">
        <f t="shared" si="58"/>
        <v>5</v>
      </c>
      <c r="AT89" s="413">
        <f t="shared" ca="1" si="47"/>
        <v>0</v>
      </c>
      <c r="AU89" s="136">
        <f ca="1">COUNTIFS(AT$7:$AT89,1)</f>
        <v>1</v>
      </c>
    </row>
    <row r="90" spans="1:47" ht="15">
      <c r="A90" s="952" t="str">
        <f ca="1">OFFSET(input!$A$25,P90,0)</f>
        <v>N</v>
      </c>
      <c r="B90" s="891">
        <f ca="1">SUMIFS(Paper!$AC$7:$AC$30,Paper!$A$7:$A$30,Ink!A90)+SUMIFS(Paper!$X$7:$X$30,Paper!$A$7:$A$30,Ink!A90)</f>
        <v>0</v>
      </c>
      <c r="C90" s="953">
        <v>6</v>
      </c>
      <c r="D90" s="954" t="str">
        <f ca="1">OFFSET(input!$A$27,O90,0)</f>
        <v>None</v>
      </c>
      <c r="E90" s="891">
        <f ca="1">SUMIFS(Paper!$N$7:$N$30,Paper!$A$7:$A$30,A90)</f>
        <v>0</v>
      </c>
      <c r="F90" s="891">
        <f ca="1">SUMIFS(Paper!$O$7:$O$30,Paper!$A$7:$A$30,A90)</f>
        <v>0</v>
      </c>
      <c r="G90" s="955">
        <f ca="1">IF($D90="None",0,IF(OFFSET(input!$B$27,O90,0)&gt;0,OFFSET(input!$B$27,O90,0),E90*F90*$D$8*10000/IF($B$2="PACK",COUNTIF($H$10:$H$23,"&gt;0"),1)))</f>
        <v>0</v>
      </c>
      <c r="H90" s="956">
        <f ca="1">IF(OFFSET(input!$C$27,O90,0)&gt;0,OFFSET(input!$C$27,O90,0),VLOOKUP(D90,Data!$L$1064:$M$1071,2,0))</f>
        <v>0</v>
      </c>
      <c r="I90" s="891">
        <f t="shared" ca="1" si="52"/>
        <v>0</v>
      </c>
      <c r="J90" s="891">
        <f ca="1">IF(G90&gt;0,0.2,0)*OFFSET(Paper!$J$7,Q90,0)</f>
        <v>0</v>
      </c>
      <c r="K90" s="891">
        <f t="shared" ca="1" si="53"/>
        <v>0</v>
      </c>
      <c r="L90" s="891">
        <f t="shared" ca="1" si="54"/>
        <v>0</v>
      </c>
      <c r="M90" s="891">
        <f t="shared" ca="1" si="55"/>
        <v>0</v>
      </c>
      <c r="N90" s="136" t="str">
        <f ca="1">OFFSET(input!$F$33,P90,0)</f>
        <v>N</v>
      </c>
      <c r="O90" s="136">
        <f t="shared" si="56"/>
        <v>90</v>
      </c>
      <c r="P90" s="136">
        <f t="shared" si="57"/>
        <v>85</v>
      </c>
      <c r="Q90" s="136">
        <f t="shared" si="58"/>
        <v>5</v>
      </c>
      <c r="AT90" s="413">
        <f t="shared" ca="1" si="47"/>
        <v>0</v>
      </c>
      <c r="AU90" s="136">
        <f ca="1">COUNTIFS(AT$7:$AT90,1)</f>
        <v>1</v>
      </c>
    </row>
    <row r="91" spans="1:47" ht="15">
      <c r="A91" s="952" t="str">
        <f ca="1">OFFSET(input!$A$25,P91,0)</f>
        <v>N</v>
      </c>
      <c r="B91" s="891">
        <f ca="1">SUMIFS(Paper!$AC$7:$AC$30,Paper!$A$7:$A$30,Ink!A91)+SUMIFS(Paper!$X$7:$X$30,Paper!$A$7:$A$30,Ink!A91)</f>
        <v>0</v>
      </c>
      <c r="C91" s="953">
        <v>7</v>
      </c>
      <c r="D91" s="954" t="str">
        <f ca="1">OFFSET(input!$A$27,O91,0)</f>
        <v>None</v>
      </c>
      <c r="E91" s="891">
        <f ca="1">SUMIFS(Paper!$N$7:$N$30,Paper!$A$7:$A$30,A91)</f>
        <v>0</v>
      </c>
      <c r="F91" s="891">
        <f ca="1">SUMIFS(Paper!$O$7:$O$30,Paper!$A$7:$A$30,A91)</f>
        <v>0</v>
      </c>
      <c r="G91" s="955">
        <f ca="1">IF($D91="None",0,IF(OFFSET(input!$B$27,O91,0)&gt;0,OFFSET(input!$B$27,O91,0),E91*F91*$D$8*10000/IF($B$2="PACK",COUNTIF($H$10:$H$23,"&gt;0"),1)))</f>
        <v>0</v>
      </c>
      <c r="H91" s="956">
        <f ca="1">IF(OFFSET(input!$C$27,O91,0)&gt;0,OFFSET(input!$C$27,O91,0),VLOOKUP(D91,Data!$L$1064:$M$1071,2,0))</f>
        <v>0</v>
      </c>
      <c r="I91" s="891">
        <f t="shared" ca="1" si="52"/>
        <v>0</v>
      </c>
      <c r="J91" s="891">
        <f ca="1">IF(G91&gt;0,0.2,0)*OFFSET(Paper!$J$7,Q91,0)</f>
        <v>0</v>
      </c>
      <c r="K91" s="891">
        <f t="shared" ca="1" si="53"/>
        <v>0</v>
      </c>
      <c r="L91" s="891">
        <f t="shared" ca="1" si="54"/>
        <v>0</v>
      </c>
      <c r="M91" s="891">
        <f t="shared" ca="1" si="55"/>
        <v>0</v>
      </c>
      <c r="N91" s="136" t="str">
        <f ca="1">OFFSET(input!$F$33,P91,0)</f>
        <v>N</v>
      </c>
      <c r="O91" s="136">
        <f t="shared" si="56"/>
        <v>91</v>
      </c>
      <c r="P91" s="136">
        <f t="shared" si="57"/>
        <v>85</v>
      </c>
      <c r="Q91" s="136">
        <f t="shared" si="58"/>
        <v>5</v>
      </c>
      <c r="AT91" s="413">
        <f t="shared" ca="1" si="47"/>
        <v>0</v>
      </c>
      <c r="AU91" s="136">
        <f ca="1">COUNTIFS(AT$7:$AT91,1)</f>
        <v>1</v>
      </c>
    </row>
    <row r="92" spans="1:47" ht="15">
      <c r="A92" s="952" t="str">
        <f ca="1">OFFSET(input!$A$25,P92,0)</f>
        <v>N</v>
      </c>
      <c r="B92" s="891">
        <f ca="1">SUMIFS(Paper!$AC$7:$AC$30,Paper!$A$7:$A$30,Ink!A92)+SUMIFS(Paper!$X$7:$X$30,Paper!$A$7:$A$30,Ink!A92)</f>
        <v>0</v>
      </c>
      <c r="C92" s="953">
        <v>8</v>
      </c>
      <c r="D92" s="954" t="str">
        <f ca="1">OFFSET(input!$A$27,O92,0)</f>
        <v>None</v>
      </c>
      <c r="E92" s="891">
        <f ca="1">SUMIFS(Paper!$N$7:$N$30,Paper!$A$7:$A$30,A92)</f>
        <v>0</v>
      </c>
      <c r="F92" s="891">
        <f ca="1">SUMIFS(Paper!$O$7:$O$30,Paper!$A$7:$A$30,A92)</f>
        <v>0</v>
      </c>
      <c r="G92" s="955">
        <f ca="1">IF($D92="None",0,IF(OFFSET(input!$B$27,O92,0)&gt;0,OFFSET(input!$B$27,O92,0),E92*F92*$D$8*10000/IF($B$2="PACK",COUNTIF($H$10:$H$23,"&gt;0"),1)))</f>
        <v>0</v>
      </c>
      <c r="H92" s="956">
        <f ca="1">IF(OFFSET(input!$C$27,O92,0)&gt;0,OFFSET(input!$C$27,O92,0),VLOOKUP(D92,Data!$L$1064:$M$1071,2,0))</f>
        <v>0</v>
      </c>
      <c r="I92" s="891">
        <f t="shared" ca="1" si="52"/>
        <v>0</v>
      </c>
      <c r="J92" s="891">
        <f ca="1">IF(G92&gt;0,0.2,0)*OFFSET(Paper!$J$7,Q92,0)</f>
        <v>0</v>
      </c>
      <c r="K92" s="891">
        <f t="shared" ca="1" si="53"/>
        <v>0</v>
      </c>
      <c r="L92" s="891">
        <f t="shared" ca="1" si="54"/>
        <v>0</v>
      </c>
      <c r="M92" s="891">
        <f t="shared" ca="1" si="55"/>
        <v>0</v>
      </c>
      <c r="N92" s="136" t="str">
        <f ca="1">OFFSET(input!$F$33,P92,0)</f>
        <v>N</v>
      </c>
      <c r="O92" s="136">
        <f t="shared" si="56"/>
        <v>92</v>
      </c>
      <c r="P92" s="136">
        <f t="shared" si="57"/>
        <v>85</v>
      </c>
      <c r="Q92" s="136">
        <f t="shared" si="58"/>
        <v>5</v>
      </c>
      <c r="AT92" s="413">
        <f t="shared" ca="1" si="47"/>
        <v>0</v>
      </c>
      <c r="AU92" s="136">
        <f ca="1">COUNTIFS(AT$7:$AT92,1)</f>
        <v>1</v>
      </c>
    </row>
    <row r="93" spans="1:47" ht="15">
      <c r="A93" s="952" t="str">
        <f ca="1">OFFSET(input!$A$25,P93,0)</f>
        <v>N</v>
      </c>
      <c r="B93" s="891">
        <f ca="1">SUMIFS(Paper!$AC$7:$AC$30,Paper!$A$7:$A$30,Ink!A93)+SUMIFS(Paper!$X$7:$X$30,Paper!$A$7:$A$30,Ink!A93)</f>
        <v>0</v>
      </c>
      <c r="C93" s="953">
        <v>9</v>
      </c>
      <c r="D93" s="954" t="str">
        <f ca="1">OFFSET(input!$A$27,O93,0)</f>
        <v>None</v>
      </c>
      <c r="E93" s="891">
        <f ca="1">SUMIFS(Paper!$N$7:$N$30,Paper!$A$7:$A$30,A93)</f>
        <v>0</v>
      </c>
      <c r="F93" s="891">
        <f ca="1">SUMIFS(Paper!$O$7:$O$30,Paper!$A$7:$A$30,A93)</f>
        <v>0</v>
      </c>
      <c r="G93" s="955">
        <f ca="1">IF($D93="None",0,IF(OFFSET(input!$B$27,O93,0)&gt;0,OFFSET(input!$B$27,O93,0),E93*F93*$D$8*10000/IF($B$2="PACK",COUNTIF($H$10:$H$23,"&gt;0"),1)))</f>
        <v>0</v>
      </c>
      <c r="H93" s="956">
        <f ca="1">IF(OFFSET(input!$C$27,O93,0)&gt;0,OFFSET(input!$C$27,O93,0),VLOOKUP(D93,Data!$L$1064:$M$1071,2,0))</f>
        <v>0</v>
      </c>
      <c r="I93" s="891">
        <f t="shared" ca="1" si="52"/>
        <v>0</v>
      </c>
      <c r="J93" s="891">
        <f ca="1">IF(G93&gt;0,0.2,0)*OFFSET(Paper!$J$7,Q93,0)</f>
        <v>0</v>
      </c>
      <c r="K93" s="891">
        <f t="shared" ca="1" si="53"/>
        <v>0</v>
      </c>
      <c r="L93" s="891">
        <f t="shared" ca="1" si="54"/>
        <v>0</v>
      </c>
      <c r="M93" s="891">
        <f t="shared" ca="1" si="55"/>
        <v>0</v>
      </c>
      <c r="N93" s="136" t="str">
        <f ca="1">OFFSET(input!$F$33,P93,0)</f>
        <v>N</v>
      </c>
      <c r="O93" s="136">
        <f t="shared" si="56"/>
        <v>93</v>
      </c>
      <c r="P93" s="136">
        <f t="shared" si="57"/>
        <v>85</v>
      </c>
      <c r="Q93" s="136">
        <f t="shared" si="58"/>
        <v>5</v>
      </c>
      <c r="AT93" s="413">
        <f t="shared" ca="1" si="47"/>
        <v>0</v>
      </c>
      <c r="AU93" s="136">
        <f ca="1">COUNTIFS(AT$7:$AT93,1)</f>
        <v>1</v>
      </c>
    </row>
    <row r="94" spans="1:47" ht="15">
      <c r="A94" s="952" t="str">
        <f ca="1">OFFSET(input!$A$25,P94,0)</f>
        <v>N</v>
      </c>
      <c r="B94" s="891">
        <f ca="1">SUMIFS(Paper!$AC$7:$AC$30,Paper!$A$7:$A$30,Ink!A94)+SUMIFS(Paper!$X$7:$X$30,Paper!$A$7:$A$30,Ink!A94)</f>
        <v>0</v>
      </c>
      <c r="C94" s="953">
        <v>10</v>
      </c>
      <c r="D94" s="954" t="str">
        <f ca="1">OFFSET(input!$A$27,O94,0)</f>
        <v>None</v>
      </c>
      <c r="E94" s="891">
        <f ca="1">SUMIFS(Paper!$N$7:$N$30,Paper!$A$7:$A$30,A94)</f>
        <v>0</v>
      </c>
      <c r="F94" s="891">
        <f ca="1">SUMIFS(Paper!$O$7:$O$30,Paper!$A$7:$A$30,A94)</f>
        <v>0</v>
      </c>
      <c r="G94" s="955">
        <f ca="1">IF($D94="None",0,IF(OFFSET(input!$B$27,O94,0)&gt;0,OFFSET(input!$B$27,O94,0),E94*F94*$D$8*10000/IF($B$2="PACK",COUNTIF($H$10:$H$23,"&gt;0"),1)))</f>
        <v>0</v>
      </c>
      <c r="H94" s="956">
        <f ca="1">IF(OFFSET(input!$C$27,O94,0)&gt;0,OFFSET(input!$C$27,O94,0),VLOOKUP(D94,Data!$L$1064:$M$1071,2,0))</f>
        <v>0</v>
      </c>
      <c r="I94" s="891">
        <f ca="1">ROUNDUP(IF(G94&gt;0,((B94/10000)*G94),0),1)</f>
        <v>0</v>
      </c>
      <c r="J94" s="891">
        <f ca="1">IF(G94&gt;0,0.2,0)*OFFSET(Paper!$J$7,Q94,0)</f>
        <v>0</v>
      </c>
      <c r="K94" s="891">
        <f ca="1">J94*H94</f>
        <v>0</v>
      </c>
      <c r="L94" s="891">
        <f ca="1">IF(I94=0,0,H94*(I94+J94))</f>
        <v>0</v>
      </c>
      <c r="M94" s="891">
        <f ca="1">IF($D$3&gt;0,L94/($D$3),0)*(1+$M$6)</f>
        <v>0</v>
      </c>
      <c r="N94" s="136" t="str">
        <f ca="1">OFFSET(input!$F$33,P94,0)</f>
        <v>N</v>
      </c>
      <c r="O94" s="136">
        <f t="shared" si="56"/>
        <v>94</v>
      </c>
      <c r="P94" s="136">
        <f t="shared" si="57"/>
        <v>85</v>
      </c>
      <c r="Q94" s="136">
        <f t="shared" si="58"/>
        <v>5</v>
      </c>
      <c r="AT94" s="413">
        <f t="shared" ca="1" si="47"/>
        <v>0</v>
      </c>
      <c r="AU94" s="136">
        <f ca="1">COUNTIFS(AT$7:$AT94,1)</f>
        <v>1</v>
      </c>
    </row>
    <row r="95" spans="1:47" ht="15">
      <c r="A95" s="952" t="str">
        <f ca="1">OFFSET(input!$A$25,P95,0)</f>
        <v>N</v>
      </c>
      <c r="B95" s="891">
        <f ca="1">SUMIFS(Paper!$AC$7:$AC$30,Paper!$A$7:$A$30,Ink!A95)+SUMIFS(Paper!$X$7:$X$30,Paper!$A$7:$A$30,Ink!A95)</f>
        <v>0</v>
      </c>
      <c r="C95" s="953">
        <v>11</v>
      </c>
      <c r="D95" s="954" t="str">
        <f ca="1">OFFSET(input!$A$27,O95,0)</f>
        <v>None</v>
      </c>
      <c r="E95" s="891">
        <f ca="1">SUMIFS(Paper!$N$7:$N$30,Paper!$A$7:$A$30,A95)</f>
        <v>0</v>
      </c>
      <c r="F95" s="891">
        <f ca="1">SUMIFS(Paper!$O$7:$O$30,Paper!$A$7:$A$30,A95)</f>
        <v>0</v>
      </c>
      <c r="G95" s="955">
        <f ca="1">IF($D95="None",0,IF(OFFSET(input!$B$27,O95,0)&gt;0,OFFSET(input!$B$27,O95,0),E95*F95*$D$8*10000/IF($B$2="PACK",COUNTIF($H$10:$H$23,"&gt;0"),1)))</f>
        <v>0</v>
      </c>
      <c r="H95" s="956">
        <f ca="1">IF(OFFSET(input!$C$27,O95,0)&gt;0,OFFSET(input!$C$27,O95,0),VLOOKUP(D95,Data!$L$1064:$M$1071,2,0))</f>
        <v>0</v>
      </c>
      <c r="I95" s="891">
        <f ca="1">ROUNDUP(IF(G95&gt;0,((B95/10000)*G95),0),1)</f>
        <v>0</v>
      </c>
      <c r="J95" s="891">
        <f ca="1">IF(G95&gt;0,0.2,0)*OFFSET(Paper!$J$7,Q95,0)</f>
        <v>0</v>
      </c>
      <c r="K95" s="891">
        <f ca="1">J95*H95</f>
        <v>0</v>
      </c>
      <c r="L95" s="891">
        <f ca="1">IF(I95=0,0,H95*(I95+J95))</f>
        <v>0</v>
      </c>
      <c r="M95" s="891">
        <f ca="1">IF($D$3&gt;0,L95/($D$3),0)*(1+$M$6)</f>
        <v>0</v>
      </c>
      <c r="N95" s="136" t="str">
        <f ca="1">OFFSET(input!$F$33,P95,0)</f>
        <v>N</v>
      </c>
      <c r="O95" s="136">
        <f t="shared" si="56"/>
        <v>95</v>
      </c>
      <c r="P95" s="136">
        <f t="shared" si="57"/>
        <v>85</v>
      </c>
      <c r="Q95" s="136">
        <f t="shared" si="58"/>
        <v>5</v>
      </c>
      <c r="AT95" s="413">
        <f t="shared" ca="1" si="47"/>
        <v>0</v>
      </c>
      <c r="AU95" s="136">
        <f ca="1">COUNTIFS(AT$7:$AT95,1)</f>
        <v>1</v>
      </c>
    </row>
    <row r="96" spans="1:47" ht="15">
      <c r="A96" s="952" t="str">
        <f ca="1">OFFSET(input!$A$25,P96,0)</f>
        <v>N</v>
      </c>
      <c r="B96" s="891">
        <f ca="1">SUMIFS(Paper!$AC$7:$AC$30,Paper!$A$7:$A$30,Ink!A96)+SUMIFS(Paper!$X$7:$X$30,Paper!$A$7:$A$30,Ink!A96)</f>
        <v>0</v>
      </c>
      <c r="C96" s="953">
        <v>12</v>
      </c>
      <c r="D96" s="954" t="str">
        <f ca="1">OFFSET(input!$A$27,O96,0)</f>
        <v>None</v>
      </c>
      <c r="E96" s="891">
        <f ca="1">SUMIFS(Paper!$N$7:$N$30,Paper!$A$7:$A$30,A96)</f>
        <v>0</v>
      </c>
      <c r="F96" s="891">
        <f ca="1">SUMIFS(Paper!$O$7:$O$30,Paper!$A$7:$A$30,A96)</f>
        <v>0</v>
      </c>
      <c r="G96" s="955">
        <f ca="1">IF($D96="None",0,IF(OFFSET(input!$B$27,O96,0)&gt;0,OFFSET(input!$B$27,O96,0),E96*F96*$D$8*10000/IF($B$2="PACK",COUNTIF($H$10:$H$23,"&gt;0"),1)))</f>
        <v>0</v>
      </c>
      <c r="H96" s="956">
        <f ca="1">IF(OFFSET(input!$C$27,O96,0)&gt;0,OFFSET(input!$C$27,O96,0),VLOOKUP(D96,Data!$L$1064:$M$1071,2,0))</f>
        <v>0</v>
      </c>
      <c r="I96" s="891">
        <f ca="1">ROUNDUP(IF(G96&gt;0,((B96/10000)*G96),0),1)</f>
        <v>0</v>
      </c>
      <c r="J96" s="891">
        <f ca="1">IF(G96&gt;0,0.2,0)*OFFSET(Paper!$J$7,Q96,0)</f>
        <v>0</v>
      </c>
      <c r="K96" s="891">
        <f ca="1">J96*H96</f>
        <v>0</v>
      </c>
      <c r="L96" s="891">
        <f ca="1">IF(I96=0,0,H96*(I96+J96))</f>
        <v>0</v>
      </c>
      <c r="M96" s="891">
        <f ca="1">IF($D$3&gt;0,L96/($D$3),0)*(1+$M$6)</f>
        <v>0</v>
      </c>
      <c r="N96" s="136" t="str">
        <f ca="1">OFFSET(input!$F$33,P96,0)</f>
        <v>N</v>
      </c>
      <c r="O96" s="136">
        <f t="shared" si="56"/>
        <v>96</v>
      </c>
      <c r="P96" s="136">
        <f t="shared" si="57"/>
        <v>85</v>
      </c>
      <c r="Q96" s="136">
        <f t="shared" si="58"/>
        <v>5</v>
      </c>
      <c r="AT96" s="413">
        <f t="shared" ca="1" si="47"/>
        <v>0</v>
      </c>
      <c r="AU96" s="136">
        <f ca="1">COUNTIFS(AT$7:$AT96,1)</f>
        <v>1</v>
      </c>
    </row>
    <row r="97" spans="1:47" ht="15">
      <c r="A97" s="952" t="str">
        <f ca="1">OFFSET(input!$A$25,P97,0)</f>
        <v>N</v>
      </c>
      <c r="B97" s="891">
        <f ca="1">SUMIFS(Paper!$AC$7:$AC$30,Paper!$A$7:$A$30,Ink!A97)+SUMIFS(Paper!$X$7:$X$30,Paper!$A$7:$A$30,Ink!A97)</f>
        <v>0</v>
      </c>
      <c r="C97" s="953">
        <v>13</v>
      </c>
      <c r="D97" s="954" t="str">
        <f ca="1">OFFSET(input!$A$27,O97,0)</f>
        <v>None</v>
      </c>
      <c r="E97" s="891">
        <f ca="1">SUMIFS(Paper!$N$7:$N$30,Paper!$A$7:$A$30,A97)</f>
        <v>0</v>
      </c>
      <c r="F97" s="891">
        <f ca="1">SUMIFS(Paper!$O$7:$O$30,Paper!$A$7:$A$30,A97)</f>
        <v>0</v>
      </c>
      <c r="G97" s="955">
        <f ca="1">IF($D97="None",0,IF(OFFSET(input!$B$27,O97,0)&gt;0,OFFSET(input!$B$27,O97,0),E97*F97*$D$8*10000/IF($B$2="PACK",COUNTIF($H$10:$H$23,"&gt;0"),1)))</f>
        <v>0</v>
      </c>
      <c r="H97" s="956">
        <f ca="1">IF(OFFSET(input!$C$27,O97,0)&gt;0,OFFSET(input!$C$27,O97,0),VLOOKUP(D97,Data!$L$1064:$M$1071,2,0))</f>
        <v>0</v>
      </c>
      <c r="I97" s="891">
        <f ca="1">ROUNDUP(IF(G97&gt;0,((B97/10000)*G97),0),1)</f>
        <v>0</v>
      </c>
      <c r="J97" s="891">
        <f ca="1">IF(G97&gt;0,0.2,0)*OFFSET(Paper!$J$7,Q97,0)</f>
        <v>0</v>
      </c>
      <c r="K97" s="891">
        <f ca="1">J97*H97</f>
        <v>0</v>
      </c>
      <c r="L97" s="891">
        <f ca="1">IF(I97=0,0,H97*(I97+J97))</f>
        <v>0</v>
      </c>
      <c r="M97" s="891">
        <f ca="1">IF($D$3&gt;0,L97/($D$3),0)*(1+$M$6)</f>
        <v>0</v>
      </c>
      <c r="N97" s="136" t="str">
        <f ca="1">OFFSET(input!$F$33,P97,0)</f>
        <v>N</v>
      </c>
      <c r="O97" s="136">
        <f t="shared" si="56"/>
        <v>97</v>
      </c>
      <c r="P97" s="136">
        <f t="shared" si="57"/>
        <v>85</v>
      </c>
      <c r="Q97" s="136">
        <f t="shared" si="58"/>
        <v>5</v>
      </c>
      <c r="AT97" s="413">
        <f t="shared" ca="1" si="47"/>
        <v>0</v>
      </c>
      <c r="AU97" s="136">
        <f ca="1">COUNTIFS(AT$7:$AT97,1)</f>
        <v>1</v>
      </c>
    </row>
    <row r="98" spans="1:47" ht="15">
      <c r="A98" s="952" t="str">
        <f ca="1">OFFSET(input!$A$25,P98,0)</f>
        <v>N</v>
      </c>
      <c r="B98" s="891">
        <f ca="1">SUMIFS(Paper!$AC$7:$AC$30,Paper!$A$7:$A$30,Ink!A98)+SUMIFS(Paper!$X$7:$X$30,Paper!$A$7:$A$30,Ink!A98)</f>
        <v>0</v>
      </c>
      <c r="C98" s="953">
        <v>14</v>
      </c>
      <c r="D98" s="954" t="str">
        <f ca="1">OFFSET(input!$A$27,O98,0)</f>
        <v>None</v>
      </c>
      <c r="E98" s="891">
        <f ca="1">SUMIFS(Paper!$N$7:$N$30,Paper!$A$7:$A$30,A98)</f>
        <v>0</v>
      </c>
      <c r="F98" s="891">
        <f ca="1">SUMIFS(Paper!$O$7:$O$30,Paper!$A$7:$A$30,A98)</f>
        <v>0</v>
      </c>
      <c r="G98" s="955">
        <f ca="1">IF($D98="None",0,IF(OFFSET(input!$B$27,O98,0)&gt;0,OFFSET(input!$B$27,O98,0),E98*F98*$D$8*10000/IF($B$2="PACK",COUNTIF($H$10:$H$23,"&gt;0"),1)))</f>
        <v>0</v>
      </c>
      <c r="H98" s="956">
        <f ca="1">IF(OFFSET(input!$C$27,O98,0)&gt;0,OFFSET(input!$C$27,O98,0),VLOOKUP(D98,Data!$L$1064:$M$1071,2,0))</f>
        <v>0</v>
      </c>
      <c r="I98" s="891">
        <f t="shared" ref="I98" ca="1" si="59">ROUNDUP(IF(G98&gt;0,((B98/10000)*G98),0),1)</f>
        <v>0</v>
      </c>
      <c r="J98" s="891">
        <f ca="1">IF(G98&gt;0,0.2,0)*OFFSET(Paper!$J$7,Q98,0)</f>
        <v>0</v>
      </c>
      <c r="K98" s="891">
        <f t="shared" ref="K98" ca="1" si="60">J98*H98</f>
        <v>0</v>
      </c>
      <c r="L98" s="891">
        <f t="shared" ref="L98" ca="1" si="61">IF(I98=0,0,H98*(I98+J98))</f>
        <v>0</v>
      </c>
      <c r="M98" s="891">
        <f t="shared" ref="M98" ca="1" si="62">IF($D$3&gt;0,L98/($D$3),0)*(1+$M$6)</f>
        <v>0</v>
      </c>
      <c r="N98" s="136" t="str">
        <f ca="1">OFFSET(input!$F$33,P98,0)</f>
        <v>N</v>
      </c>
      <c r="O98" s="136">
        <f t="shared" si="56"/>
        <v>98</v>
      </c>
      <c r="P98" s="136">
        <f>+P83+17</f>
        <v>85</v>
      </c>
      <c r="Q98" s="136">
        <f t="shared" si="58"/>
        <v>5</v>
      </c>
      <c r="AT98" s="413">
        <f t="shared" ca="1" si="47"/>
        <v>0</v>
      </c>
      <c r="AU98" s="136">
        <f ca="1">COUNTIFS(AT$7:$AT98,1)</f>
        <v>1</v>
      </c>
    </row>
    <row r="99" spans="1:47" ht="15">
      <c r="A99" s="957"/>
      <c r="B99" s="958"/>
      <c r="C99" s="959"/>
      <c r="D99" s="954"/>
      <c r="E99" s="958"/>
      <c r="F99" s="958"/>
      <c r="G99" s="955"/>
      <c r="H99" s="960"/>
      <c r="I99" s="958"/>
      <c r="J99" s="958"/>
      <c r="K99" s="958"/>
      <c r="L99" s="958"/>
      <c r="M99" s="958"/>
      <c r="AT99" s="413" t="str">
        <f t="shared" si="47"/>
        <v/>
      </c>
      <c r="AU99" s="136">
        <f ca="1">COUNTIFS(AT$7:$AT99,1)</f>
        <v>1</v>
      </c>
    </row>
    <row r="100" spans="1:47" ht="15" collapsed="1">
      <c r="A100" s="952" t="str">
        <f ca="1">OFFSET(input!$A$25,P100,0)</f>
        <v>N</v>
      </c>
      <c r="B100" s="891">
        <f ca="1">SUMIFS(Paper!$AC$7:$AC$30,Paper!$A$7:$A$30,Ink!A100)+SUMIFS(Paper!$X$7:$X$30,Paper!$A$7:$A$30,Ink!A100)</f>
        <v>0</v>
      </c>
      <c r="C100" s="953">
        <v>1</v>
      </c>
      <c r="D100" s="954" t="str">
        <f ca="1">OFFSET(input!$A$27,O100,0)</f>
        <v>None</v>
      </c>
      <c r="E100" s="891">
        <f ca="1">SUMIFS(Paper!$N$7:$N$30,Paper!$A$7:$A$30,A100)</f>
        <v>0</v>
      </c>
      <c r="F100" s="891">
        <f ca="1">SUMIFS(Paper!$O$7:$O$30,Paper!$A$7:$A$30,A100)</f>
        <v>0</v>
      </c>
      <c r="G100" s="955">
        <f ca="1">IF($D100="None",0,IF(OFFSET(input!$B$27,O100,0)&gt;0,OFFSET(input!$B$27,O100,0),E100*F100*$D$8*10000/IF($B$2="PACK",COUNTIF($H$10:$H$23,"&gt;0"),1)))</f>
        <v>0</v>
      </c>
      <c r="H100" s="956">
        <f ca="1">IF(OFFSET(input!$C$27,O100,0)&gt;0,OFFSET(input!$C$27,O100,0),VLOOKUP(D100,Data!$L$1064:$M$1071,2,0))</f>
        <v>0</v>
      </c>
      <c r="I100" s="891">
        <f t="shared" ref="I100:I108" ca="1" si="63">ROUNDUP(IF(G100&gt;0,((B100/10000)*G100),0),1)</f>
        <v>0</v>
      </c>
      <c r="J100" s="891">
        <f ca="1">IF(G100&gt;0,0.2,0)*OFFSET(Paper!$J$7,Q100,0)</f>
        <v>0</v>
      </c>
      <c r="K100" s="891">
        <f t="shared" ref="K100:K108" ca="1" si="64">J100*H100</f>
        <v>0</v>
      </c>
      <c r="L100" s="891">
        <f t="shared" ref="L100:L108" ca="1" si="65">IF(I100=0,0,H100*(I100+J100))</f>
        <v>0</v>
      </c>
      <c r="M100" s="891">
        <f ca="1">IF($D$3&gt;0,L100/($D$3),0)*(1+$M$6)</f>
        <v>0</v>
      </c>
      <c r="N100" s="136" t="str">
        <f ca="1">OFFSET(input!$F$33,P100,0)</f>
        <v>N</v>
      </c>
      <c r="O100" s="136">
        <f>O85+17</f>
        <v>102</v>
      </c>
      <c r="P100" s="136">
        <f>+P85+17</f>
        <v>102</v>
      </c>
      <c r="Q100" s="136">
        <f>+Q85+1</f>
        <v>6</v>
      </c>
      <c r="AT100" s="413">
        <f t="shared" ca="1" si="47"/>
        <v>0</v>
      </c>
      <c r="AU100" s="136">
        <f ca="1">COUNTIFS(AT$7:$AT100,1)</f>
        <v>1</v>
      </c>
    </row>
    <row r="101" spans="1:47" ht="15">
      <c r="A101" s="952" t="str">
        <f ca="1">OFFSET(input!$A$25,P101,0)</f>
        <v>N</v>
      </c>
      <c r="B101" s="891">
        <f ca="1">SUMIFS(Paper!$AC$7:$AC$30,Paper!$A$7:$A$30,Ink!A101)+SUMIFS(Paper!$X$7:$X$30,Paper!$A$7:$A$30,Ink!A101)</f>
        <v>0</v>
      </c>
      <c r="C101" s="953">
        <v>2</v>
      </c>
      <c r="D101" s="954" t="str">
        <f ca="1">OFFSET(input!$A$27,O101,0)</f>
        <v>None</v>
      </c>
      <c r="E101" s="891">
        <f ca="1">SUMIFS(Paper!$N$7:$N$30,Paper!$A$7:$A$30,A101)</f>
        <v>0</v>
      </c>
      <c r="F101" s="891">
        <f ca="1">SUMIFS(Paper!$O$7:$O$30,Paper!$A$7:$A$30,A101)</f>
        <v>0</v>
      </c>
      <c r="G101" s="955">
        <f ca="1">IF($D101="None",0,IF(OFFSET(input!$B$27,O101,0)&gt;0,OFFSET(input!$B$27,O101,0),E101*F101*$D$8*10000/IF($B$2="PACK",COUNTIF($H$10:$H$23,"&gt;0"),1)))</f>
        <v>0</v>
      </c>
      <c r="H101" s="956">
        <f ca="1">IF(OFFSET(input!$C$27,O101,0)&gt;0,OFFSET(input!$C$27,O101,0),VLOOKUP(D101,Data!$L$1064:$M$1071,2,0))</f>
        <v>0</v>
      </c>
      <c r="I101" s="891">
        <f t="shared" ca="1" si="63"/>
        <v>0</v>
      </c>
      <c r="J101" s="891">
        <f ca="1">IF(G101&gt;0,0.2,0)*OFFSET(Paper!$J$7,Q101,0)</f>
        <v>0</v>
      </c>
      <c r="K101" s="891">
        <f t="shared" ca="1" si="64"/>
        <v>0</v>
      </c>
      <c r="L101" s="891">
        <f t="shared" ca="1" si="65"/>
        <v>0</v>
      </c>
      <c r="M101" s="891">
        <f t="shared" ref="M101:M108" ca="1" si="66">IF($D$3&gt;0,L101/($D$3),0)*(1+$M$6)</f>
        <v>0</v>
      </c>
      <c r="N101" s="136" t="str">
        <f ca="1">OFFSET(input!$F$33,P101,0)</f>
        <v>N</v>
      </c>
      <c r="O101" s="136">
        <f t="shared" ref="O101:O113" si="67">O86+17</f>
        <v>103</v>
      </c>
      <c r="P101" s="136">
        <f t="shared" ref="P101:P112" si="68">+P86+17</f>
        <v>102</v>
      </c>
      <c r="Q101" s="136">
        <f t="shared" ref="Q101:Q113" si="69">+Q86+1</f>
        <v>6</v>
      </c>
      <c r="AT101" s="413">
        <f t="shared" ca="1" si="47"/>
        <v>0</v>
      </c>
      <c r="AU101" s="136">
        <f ca="1">COUNTIFS(AT$7:$AT101,1)</f>
        <v>1</v>
      </c>
    </row>
    <row r="102" spans="1:47" ht="15">
      <c r="A102" s="952" t="str">
        <f ca="1">OFFSET(input!$A$25,P102,0)</f>
        <v>N</v>
      </c>
      <c r="B102" s="891">
        <f ca="1">SUMIFS(Paper!$AC$7:$AC$30,Paper!$A$7:$A$30,Ink!A102)+SUMIFS(Paper!$X$7:$X$30,Paper!$A$7:$A$30,Ink!A102)</f>
        <v>0</v>
      </c>
      <c r="C102" s="953">
        <v>3</v>
      </c>
      <c r="D102" s="954" t="str">
        <f ca="1">OFFSET(input!$A$27,O102,0)</f>
        <v>None</v>
      </c>
      <c r="E102" s="891">
        <f ca="1">SUMIFS(Paper!$N$7:$N$30,Paper!$A$7:$A$30,A102)</f>
        <v>0</v>
      </c>
      <c r="F102" s="891">
        <f ca="1">SUMIFS(Paper!$O$7:$O$30,Paper!$A$7:$A$30,A102)</f>
        <v>0</v>
      </c>
      <c r="G102" s="955">
        <f ca="1">IF($D102="None",0,IF(OFFSET(input!$B$27,O102,0)&gt;0,OFFSET(input!$B$27,O102,0),E102*F102*$D$8*10000/IF($B$2="PACK",COUNTIF($H$10:$H$23,"&gt;0"),1)))</f>
        <v>0</v>
      </c>
      <c r="H102" s="956">
        <f ca="1">IF(OFFSET(input!$C$27,O102,0)&gt;0,OFFSET(input!$C$27,O102,0),VLOOKUP(D102,Data!$L$1064:$M$1071,2,0))</f>
        <v>0</v>
      </c>
      <c r="I102" s="891">
        <f t="shared" ca="1" si="63"/>
        <v>0</v>
      </c>
      <c r="J102" s="891">
        <f ca="1">IF(G102&gt;0,0.2,0)*OFFSET(Paper!$J$7,Q102,0)</f>
        <v>0</v>
      </c>
      <c r="K102" s="891">
        <f t="shared" ca="1" si="64"/>
        <v>0</v>
      </c>
      <c r="L102" s="891">
        <f t="shared" ca="1" si="65"/>
        <v>0</v>
      </c>
      <c r="M102" s="891">
        <f t="shared" ca="1" si="66"/>
        <v>0</v>
      </c>
      <c r="N102" s="136" t="str">
        <f ca="1">OFFSET(input!$F$33,P102,0)</f>
        <v>N</v>
      </c>
      <c r="O102" s="136">
        <f t="shared" si="67"/>
        <v>104</v>
      </c>
      <c r="P102" s="136">
        <f t="shared" si="68"/>
        <v>102</v>
      </c>
      <c r="Q102" s="136">
        <f t="shared" si="69"/>
        <v>6</v>
      </c>
      <c r="AT102" s="413">
        <f t="shared" ca="1" si="47"/>
        <v>0</v>
      </c>
      <c r="AU102" s="136">
        <f ca="1">COUNTIFS(AT$7:$AT102,1)</f>
        <v>1</v>
      </c>
    </row>
    <row r="103" spans="1:47" ht="15">
      <c r="A103" s="952" t="str">
        <f ca="1">OFFSET(input!$A$25,P103,0)</f>
        <v>N</v>
      </c>
      <c r="B103" s="891">
        <f ca="1">SUMIFS(Paper!$AC$7:$AC$30,Paper!$A$7:$A$30,Ink!A103)+SUMIFS(Paper!$X$7:$X$30,Paper!$A$7:$A$30,Ink!A103)</f>
        <v>0</v>
      </c>
      <c r="C103" s="953">
        <v>4</v>
      </c>
      <c r="D103" s="954" t="str">
        <f ca="1">OFFSET(input!$A$27,O103,0)</f>
        <v>None</v>
      </c>
      <c r="E103" s="891">
        <f ca="1">SUMIFS(Paper!$N$7:$N$30,Paper!$A$7:$A$30,A103)</f>
        <v>0</v>
      </c>
      <c r="F103" s="891">
        <f ca="1">SUMIFS(Paper!$O$7:$O$30,Paper!$A$7:$A$30,A103)</f>
        <v>0</v>
      </c>
      <c r="G103" s="955">
        <f ca="1">IF($D103="None",0,IF(OFFSET(input!$B$27,O103,0)&gt;0,OFFSET(input!$B$27,O103,0),E103*F103*$D$8*10000/IF($B$2="PACK",COUNTIF($H$10:$H$23,"&gt;0"),1)))</f>
        <v>0</v>
      </c>
      <c r="H103" s="956">
        <f ca="1">IF(OFFSET(input!$C$27,O103,0)&gt;0,OFFSET(input!$C$27,O103,0),VLOOKUP(D103,Data!$L$1064:$M$1071,2,0))</f>
        <v>0</v>
      </c>
      <c r="I103" s="891">
        <f t="shared" ca="1" si="63"/>
        <v>0</v>
      </c>
      <c r="J103" s="891">
        <f ca="1">IF(G103&gt;0,0.2,0)*OFFSET(Paper!$J$7,Q103,0)</f>
        <v>0</v>
      </c>
      <c r="K103" s="891">
        <f t="shared" ca="1" si="64"/>
        <v>0</v>
      </c>
      <c r="L103" s="891">
        <f t="shared" ca="1" si="65"/>
        <v>0</v>
      </c>
      <c r="M103" s="891">
        <f t="shared" ca="1" si="66"/>
        <v>0</v>
      </c>
      <c r="N103" s="136" t="str">
        <f ca="1">OFFSET(input!$F$33,P103,0)</f>
        <v>N</v>
      </c>
      <c r="O103" s="136">
        <f t="shared" si="67"/>
        <v>105</v>
      </c>
      <c r="P103" s="136">
        <f t="shared" si="68"/>
        <v>102</v>
      </c>
      <c r="Q103" s="136">
        <f t="shared" si="69"/>
        <v>6</v>
      </c>
      <c r="AT103" s="413">
        <f t="shared" ca="1" si="47"/>
        <v>0</v>
      </c>
      <c r="AU103" s="136">
        <f ca="1">COUNTIFS(AT$7:$AT103,1)</f>
        <v>1</v>
      </c>
    </row>
    <row r="104" spans="1:47" ht="15">
      <c r="A104" s="952" t="str">
        <f ca="1">OFFSET(input!$A$25,P104,0)</f>
        <v>N</v>
      </c>
      <c r="B104" s="891">
        <f ca="1">SUMIFS(Paper!$AC$7:$AC$30,Paper!$A$7:$A$30,Ink!A104)+SUMIFS(Paper!$X$7:$X$30,Paper!$A$7:$A$30,Ink!A104)</f>
        <v>0</v>
      </c>
      <c r="C104" s="953">
        <v>5</v>
      </c>
      <c r="D104" s="954" t="str">
        <f ca="1">OFFSET(input!$A$27,O104,0)</f>
        <v>None</v>
      </c>
      <c r="E104" s="891">
        <f ca="1">SUMIFS(Paper!$N$7:$N$30,Paper!$A$7:$A$30,A104)</f>
        <v>0</v>
      </c>
      <c r="F104" s="891">
        <f ca="1">SUMIFS(Paper!$O$7:$O$30,Paper!$A$7:$A$30,A104)</f>
        <v>0</v>
      </c>
      <c r="G104" s="955">
        <f ca="1">IF($D104="None",0,IF(OFFSET(input!$B$27,O104,0)&gt;0,OFFSET(input!$B$27,O104,0),E104*F104*$D$8*10000/IF($B$2="PACK",COUNTIF($H$10:$H$23,"&gt;0"),1)))</f>
        <v>0</v>
      </c>
      <c r="H104" s="956">
        <f ca="1">IF(OFFSET(input!$C$27,O104,0)&gt;0,OFFSET(input!$C$27,O104,0),VLOOKUP(D104,Data!$L$1064:$M$1071,2,0))</f>
        <v>0</v>
      </c>
      <c r="I104" s="891">
        <f t="shared" ca="1" si="63"/>
        <v>0</v>
      </c>
      <c r="J104" s="891">
        <f ca="1">IF(G104&gt;0,0.2,0)*OFFSET(Paper!$J$7,Q104,0)</f>
        <v>0</v>
      </c>
      <c r="K104" s="891">
        <f t="shared" ca="1" si="64"/>
        <v>0</v>
      </c>
      <c r="L104" s="891">
        <f t="shared" ca="1" si="65"/>
        <v>0</v>
      </c>
      <c r="M104" s="891">
        <f t="shared" ca="1" si="66"/>
        <v>0</v>
      </c>
      <c r="N104" s="136" t="str">
        <f ca="1">OFFSET(input!$F$33,P104,0)</f>
        <v>N</v>
      </c>
      <c r="O104" s="136">
        <f t="shared" si="67"/>
        <v>106</v>
      </c>
      <c r="P104" s="136">
        <f t="shared" si="68"/>
        <v>102</v>
      </c>
      <c r="Q104" s="136">
        <f t="shared" si="69"/>
        <v>6</v>
      </c>
      <c r="AT104" s="413">
        <f t="shared" ca="1" si="47"/>
        <v>0</v>
      </c>
      <c r="AU104" s="136">
        <f ca="1">COUNTIFS(AT$7:$AT104,1)</f>
        <v>1</v>
      </c>
    </row>
    <row r="105" spans="1:47" ht="15">
      <c r="A105" s="952" t="str">
        <f ca="1">OFFSET(input!$A$25,P105,0)</f>
        <v>N</v>
      </c>
      <c r="B105" s="891">
        <f ca="1">SUMIFS(Paper!$AC$7:$AC$30,Paper!$A$7:$A$30,Ink!A105)+SUMIFS(Paper!$X$7:$X$30,Paper!$A$7:$A$30,Ink!A105)</f>
        <v>0</v>
      </c>
      <c r="C105" s="953">
        <v>6</v>
      </c>
      <c r="D105" s="954" t="str">
        <f ca="1">OFFSET(input!$A$27,O105,0)</f>
        <v>None</v>
      </c>
      <c r="E105" s="891">
        <f ca="1">SUMIFS(Paper!$N$7:$N$30,Paper!$A$7:$A$30,A105)</f>
        <v>0</v>
      </c>
      <c r="F105" s="891">
        <f ca="1">SUMIFS(Paper!$O$7:$O$30,Paper!$A$7:$A$30,A105)</f>
        <v>0</v>
      </c>
      <c r="G105" s="955">
        <f ca="1">IF($D105="None",0,IF(OFFSET(input!$B$27,O105,0)&gt;0,OFFSET(input!$B$27,O105,0),E105*F105*$D$8*10000/IF($B$2="PACK",COUNTIF($H$10:$H$23,"&gt;0"),1)))</f>
        <v>0</v>
      </c>
      <c r="H105" s="956">
        <f ca="1">IF(OFFSET(input!$C$27,O105,0)&gt;0,OFFSET(input!$C$27,O105,0),VLOOKUP(D105,Data!$L$1064:$M$1071,2,0))</f>
        <v>0</v>
      </c>
      <c r="I105" s="891">
        <f t="shared" ca="1" si="63"/>
        <v>0</v>
      </c>
      <c r="J105" s="891">
        <f ca="1">IF(G105&gt;0,0.2,0)*OFFSET(Paper!$J$7,Q105,0)</f>
        <v>0</v>
      </c>
      <c r="K105" s="891">
        <f t="shared" ca="1" si="64"/>
        <v>0</v>
      </c>
      <c r="L105" s="891">
        <f t="shared" ca="1" si="65"/>
        <v>0</v>
      </c>
      <c r="M105" s="891">
        <f t="shared" ca="1" si="66"/>
        <v>0</v>
      </c>
      <c r="N105" s="136" t="str">
        <f ca="1">OFFSET(input!$F$33,P105,0)</f>
        <v>N</v>
      </c>
      <c r="O105" s="136">
        <f t="shared" si="67"/>
        <v>107</v>
      </c>
      <c r="P105" s="136">
        <f t="shared" si="68"/>
        <v>102</v>
      </c>
      <c r="Q105" s="136">
        <f t="shared" si="69"/>
        <v>6</v>
      </c>
      <c r="AT105" s="413">
        <f t="shared" ca="1" si="47"/>
        <v>0</v>
      </c>
      <c r="AU105" s="136">
        <f ca="1">COUNTIFS(AT$7:$AT105,1)</f>
        <v>1</v>
      </c>
    </row>
    <row r="106" spans="1:47" ht="15">
      <c r="A106" s="952" t="str">
        <f ca="1">OFFSET(input!$A$25,P106,0)</f>
        <v>N</v>
      </c>
      <c r="B106" s="891">
        <f ca="1">SUMIFS(Paper!$AC$7:$AC$30,Paper!$A$7:$A$30,Ink!A106)+SUMIFS(Paper!$X$7:$X$30,Paper!$A$7:$A$30,Ink!A106)</f>
        <v>0</v>
      </c>
      <c r="C106" s="953">
        <v>7</v>
      </c>
      <c r="D106" s="954" t="str">
        <f ca="1">OFFSET(input!$A$27,O106,0)</f>
        <v>None</v>
      </c>
      <c r="E106" s="891">
        <f ca="1">SUMIFS(Paper!$N$7:$N$30,Paper!$A$7:$A$30,A106)</f>
        <v>0</v>
      </c>
      <c r="F106" s="891">
        <f ca="1">SUMIFS(Paper!$O$7:$O$30,Paper!$A$7:$A$30,A106)</f>
        <v>0</v>
      </c>
      <c r="G106" s="955">
        <f ca="1">IF($D106="None",0,IF(OFFSET(input!$B$27,O106,0)&gt;0,OFFSET(input!$B$27,O106,0),E106*F106*$D$8*10000/IF($B$2="PACK",COUNTIF($H$10:$H$23,"&gt;0"),1)))</f>
        <v>0</v>
      </c>
      <c r="H106" s="956">
        <f ca="1">IF(OFFSET(input!$C$27,O106,0)&gt;0,OFFSET(input!$C$27,O106,0),VLOOKUP(D106,Data!$L$1064:$M$1071,2,0))</f>
        <v>0</v>
      </c>
      <c r="I106" s="891">
        <f t="shared" ca="1" si="63"/>
        <v>0</v>
      </c>
      <c r="J106" s="891">
        <f ca="1">IF(G106&gt;0,0.2,0)*OFFSET(Paper!$J$7,Q106,0)</f>
        <v>0</v>
      </c>
      <c r="K106" s="891">
        <f t="shared" ca="1" si="64"/>
        <v>0</v>
      </c>
      <c r="L106" s="891">
        <f t="shared" ca="1" si="65"/>
        <v>0</v>
      </c>
      <c r="M106" s="891">
        <f t="shared" ca="1" si="66"/>
        <v>0</v>
      </c>
      <c r="N106" s="136" t="str">
        <f ca="1">OFFSET(input!$F$33,P106,0)</f>
        <v>N</v>
      </c>
      <c r="O106" s="136">
        <f t="shared" si="67"/>
        <v>108</v>
      </c>
      <c r="P106" s="136">
        <f t="shared" si="68"/>
        <v>102</v>
      </c>
      <c r="Q106" s="136">
        <f t="shared" si="69"/>
        <v>6</v>
      </c>
      <c r="AT106" s="413">
        <f t="shared" ca="1" si="47"/>
        <v>0</v>
      </c>
      <c r="AU106" s="136">
        <f ca="1">COUNTIFS(AT$7:$AT106,1)</f>
        <v>1</v>
      </c>
    </row>
    <row r="107" spans="1:47" ht="15">
      <c r="A107" s="952" t="str">
        <f ca="1">OFFSET(input!$A$25,P107,0)</f>
        <v>N</v>
      </c>
      <c r="B107" s="891">
        <f ca="1">SUMIFS(Paper!$AC$7:$AC$30,Paper!$A$7:$A$30,Ink!A107)+SUMIFS(Paper!$X$7:$X$30,Paper!$A$7:$A$30,Ink!A107)</f>
        <v>0</v>
      </c>
      <c r="C107" s="953">
        <v>8</v>
      </c>
      <c r="D107" s="954" t="str">
        <f ca="1">OFFSET(input!$A$27,O107,0)</f>
        <v>None</v>
      </c>
      <c r="E107" s="891">
        <f ca="1">SUMIFS(Paper!$N$7:$N$30,Paper!$A$7:$A$30,A107)</f>
        <v>0</v>
      </c>
      <c r="F107" s="891">
        <f ca="1">SUMIFS(Paper!$O$7:$O$30,Paper!$A$7:$A$30,A107)</f>
        <v>0</v>
      </c>
      <c r="G107" s="955">
        <f ca="1">IF($D107="None",0,IF(OFFSET(input!$B$27,O107,0)&gt;0,OFFSET(input!$B$27,O107,0),E107*F107*$D$8*10000/IF($B$2="PACK",COUNTIF($H$10:$H$23,"&gt;0"),1)))</f>
        <v>0</v>
      </c>
      <c r="H107" s="956">
        <f ca="1">IF(OFFSET(input!$C$27,O107,0)&gt;0,OFFSET(input!$C$27,O107,0),VLOOKUP(D107,Data!$L$1064:$M$1071,2,0))</f>
        <v>0</v>
      </c>
      <c r="I107" s="891">
        <f t="shared" ca="1" si="63"/>
        <v>0</v>
      </c>
      <c r="J107" s="891">
        <f ca="1">IF(G107&gt;0,0.2,0)*OFFSET(Paper!$J$7,Q107,0)</f>
        <v>0</v>
      </c>
      <c r="K107" s="891">
        <f t="shared" ca="1" si="64"/>
        <v>0</v>
      </c>
      <c r="L107" s="891">
        <f t="shared" ca="1" si="65"/>
        <v>0</v>
      </c>
      <c r="M107" s="891">
        <f t="shared" ca="1" si="66"/>
        <v>0</v>
      </c>
      <c r="N107" s="136" t="str">
        <f ca="1">OFFSET(input!$F$33,P107,0)</f>
        <v>N</v>
      </c>
      <c r="O107" s="136">
        <f t="shared" si="67"/>
        <v>109</v>
      </c>
      <c r="P107" s="136">
        <f t="shared" si="68"/>
        <v>102</v>
      </c>
      <c r="Q107" s="136">
        <f t="shared" si="69"/>
        <v>6</v>
      </c>
      <c r="AT107" s="413">
        <f t="shared" ca="1" si="47"/>
        <v>0</v>
      </c>
      <c r="AU107" s="136">
        <f ca="1">COUNTIFS(AT$7:$AT107,1)</f>
        <v>1</v>
      </c>
    </row>
    <row r="108" spans="1:47" ht="15">
      <c r="A108" s="952" t="str">
        <f ca="1">OFFSET(input!$A$25,P108,0)</f>
        <v>N</v>
      </c>
      <c r="B108" s="891">
        <f ca="1">SUMIFS(Paper!$AC$7:$AC$30,Paper!$A$7:$A$30,Ink!A108)+SUMIFS(Paper!$X$7:$X$30,Paper!$A$7:$A$30,Ink!A108)</f>
        <v>0</v>
      </c>
      <c r="C108" s="953">
        <v>9</v>
      </c>
      <c r="D108" s="954" t="str">
        <f ca="1">OFFSET(input!$A$27,O108,0)</f>
        <v>None</v>
      </c>
      <c r="E108" s="891">
        <f ca="1">SUMIFS(Paper!$N$7:$N$30,Paper!$A$7:$A$30,A108)</f>
        <v>0</v>
      </c>
      <c r="F108" s="891">
        <f ca="1">SUMIFS(Paper!$O$7:$O$30,Paper!$A$7:$A$30,A108)</f>
        <v>0</v>
      </c>
      <c r="G108" s="955">
        <f ca="1">IF($D108="None",0,IF(OFFSET(input!$B$27,O108,0)&gt;0,OFFSET(input!$B$27,O108,0),E108*F108*$D$8*10000/IF($B$2="PACK",COUNTIF($H$10:$H$23,"&gt;0"),1)))</f>
        <v>0</v>
      </c>
      <c r="H108" s="956">
        <f ca="1">IF(OFFSET(input!$C$27,O108,0)&gt;0,OFFSET(input!$C$27,O108,0),VLOOKUP(D108,Data!$L$1064:$M$1071,2,0))</f>
        <v>0</v>
      </c>
      <c r="I108" s="891">
        <f t="shared" ca="1" si="63"/>
        <v>0</v>
      </c>
      <c r="J108" s="891">
        <f ca="1">IF(G108&gt;0,0.2,0)*OFFSET(Paper!$J$7,Q108,0)</f>
        <v>0</v>
      </c>
      <c r="K108" s="891">
        <f t="shared" ca="1" si="64"/>
        <v>0</v>
      </c>
      <c r="L108" s="891">
        <f t="shared" ca="1" si="65"/>
        <v>0</v>
      </c>
      <c r="M108" s="891">
        <f t="shared" ca="1" si="66"/>
        <v>0</v>
      </c>
      <c r="N108" s="136" t="str">
        <f ca="1">OFFSET(input!$F$33,P108,0)</f>
        <v>N</v>
      </c>
      <c r="O108" s="136">
        <f t="shared" si="67"/>
        <v>110</v>
      </c>
      <c r="P108" s="136">
        <f t="shared" si="68"/>
        <v>102</v>
      </c>
      <c r="Q108" s="136">
        <f t="shared" si="69"/>
        <v>6</v>
      </c>
      <c r="AT108" s="413">
        <f t="shared" ca="1" si="47"/>
        <v>0</v>
      </c>
      <c r="AU108" s="136">
        <f ca="1">COUNTIFS(AT$7:$AT108,1)</f>
        <v>1</v>
      </c>
    </row>
    <row r="109" spans="1:47" ht="15">
      <c r="A109" s="952" t="str">
        <f ca="1">OFFSET(input!$A$25,P109,0)</f>
        <v>N</v>
      </c>
      <c r="B109" s="891">
        <f ca="1">SUMIFS(Paper!$AC$7:$AC$30,Paper!$A$7:$A$30,Ink!A109)+SUMIFS(Paper!$X$7:$X$30,Paper!$A$7:$A$30,Ink!A109)</f>
        <v>0</v>
      </c>
      <c r="C109" s="953">
        <v>10</v>
      </c>
      <c r="D109" s="954" t="str">
        <f ca="1">OFFSET(input!$A$27,O109,0)</f>
        <v>None</v>
      </c>
      <c r="E109" s="891">
        <f ca="1">SUMIFS(Paper!$N$7:$N$30,Paper!$A$7:$A$30,A109)</f>
        <v>0</v>
      </c>
      <c r="F109" s="891">
        <f ca="1">SUMIFS(Paper!$O$7:$O$30,Paper!$A$7:$A$30,A109)</f>
        <v>0</v>
      </c>
      <c r="G109" s="955">
        <f ca="1">IF($D109="None",0,IF(OFFSET(input!$B$27,O109,0)&gt;0,OFFSET(input!$B$27,O109,0),E109*F109*$D$8*10000/IF($B$2="PACK",COUNTIF($H$10:$H$23,"&gt;0"),1)))</f>
        <v>0</v>
      </c>
      <c r="H109" s="956">
        <f ca="1">IF(OFFSET(input!$C$27,O109,0)&gt;0,OFFSET(input!$C$27,O109,0),VLOOKUP(D109,Data!$L$1064:$M$1071,2,0))</f>
        <v>0</v>
      </c>
      <c r="I109" s="891">
        <f ca="1">ROUNDUP(IF(G109&gt;0,((B109/10000)*G109),0),1)</f>
        <v>0</v>
      </c>
      <c r="J109" s="891">
        <f ca="1">IF(G109&gt;0,0.2,0)*OFFSET(Paper!$J$7,Q109,0)</f>
        <v>0</v>
      </c>
      <c r="K109" s="891">
        <f ca="1">J109*H109</f>
        <v>0</v>
      </c>
      <c r="L109" s="891">
        <f ca="1">IF(I109=0,0,H109*(I109+J109))</f>
        <v>0</v>
      </c>
      <c r="M109" s="891">
        <f ca="1">IF($D$3&gt;0,L109/($D$3),0)*(1+$M$6)</f>
        <v>0</v>
      </c>
      <c r="N109" s="136" t="str">
        <f ca="1">OFFSET(input!$F$33,P109,0)</f>
        <v>N</v>
      </c>
      <c r="O109" s="136">
        <f t="shared" si="67"/>
        <v>111</v>
      </c>
      <c r="P109" s="136">
        <f t="shared" si="68"/>
        <v>102</v>
      </c>
      <c r="Q109" s="136">
        <f t="shared" si="69"/>
        <v>6</v>
      </c>
      <c r="AT109" s="413">
        <f t="shared" ca="1" si="47"/>
        <v>0</v>
      </c>
      <c r="AU109" s="136">
        <f ca="1">COUNTIFS(AT$7:$AT109,1)</f>
        <v>1</v>
      </c>
    </row>
    <row r="110" spans="1:47" ht="15">
      <c r="A110" s="952" t="str">
        <f ca="1">OFFSET(input!$A$25,P110,0)</f>
        <v>N</v>
      </c>
      <c r="B110" s="891">
        <f ca="1">SUMIFS(Paper!$AC$7:$AC$30,Paper!$A$7:$A$30,Ink!A110)+SUMIFS(Paper!$X$7:$X$30,Paper!$A$7:$A$30,Ink!A110)</f>
        <v>0</v>
      </c>
      <c r="C110" s="953">
        <v>11</v>
      </c>
      <c r="D110" s="954" t="str">
        <f ca="1">OFFSET(input!$A$27,O110,0)</f>
        <v>None</v>
      </c>
      <c r="E110" s="891">
        <f ca="1">SUMIFS(Paper!$N$7:$N$30,Paper!$A$7:$A$30,A110)</f>
        <v>0</v>
      </c>
      <c r="F110" s="891">
        <f ca="1">SUMIFS(Paper!$O$7:$O$30,Paper!$A$7:$A$30,A110)</f>
        <v>0</v>
      </c>
      <c r="G110" s="955">
        <f ca="1">IF($D110="None",0,IF(OFFSET(input!$B$27,O110,0)&gt;0,OFFSET(input!$B$27,O110,0),E110*F110*$D$8*10000/IF($B$2="PACK",COUNTIF($H$10:$H$23,"&gt;0"),1)))</f>
        <v>0</v>
      </c>
      <c r="H110" s="956">
        <f ca="1">IF(OFFSET(input!$C$27,O110,0)&gt;0,OFFSET(input!$C$27,O110,0),VLOOKUP(D110,Data!$L$1064:$M$1071,2,0))</f>
        <v>0</v>
      </c>
      <c r="I110" s="891">
        <f ca="1">ROUNDUP(IF(G110&gt;0,((B110/10000)*G110),0),1)</f>
        <v>0</v>
      </c>
      <c r="J110" s="891">
        <f ca="1">IF(G110&gt;0,0.2,0)*OFFSET(Paper!$J$7,Q110,0)</f>
        <v>0</v>
      </c>
      <c r="K110" s="891">
        <f ca="1">J110*H110</f>
        <v>0</v>
      </c>
      <c r="L110" s="891">
        <f ca="1">IF(I110=0,0,H110*(I110+J110))</f>
        <v>0</v>
      </c>
      <c r="M110" s="891">
        <f ca="1">IF($D$3&gt;0,L110/($D$3),0)*(1+$M$6)</f>
        <v>0</v>
      </c>
      <c r="N110" s="136" t="str">
        <f ca="1">OFFSET(input!$F$33,P110,0)</f>
        <v>N</v>
      </c>
      <c r="O110" s="136">
        <f t="shared" si="67"/>
        <v>112</v>
      </c>
      <c r="P110" s="136">
        <f t="shared" si="68"/>
        <v>102</v>
      </c>
      <c r="Q110" s="136">
        <f t="shared" si="69"/>
        <v>6</v>
      </c>
      <c r="AT110" s="413">
        <f t="shared" ca="1" si="47"/>
        <v>0</v>
      </c>
      <c r="AU110" s="136">
        <f ca="1">COUNTIFS(AT$7:$AT110,1)</f>
        <v>1</v>
      </c>
    </row>
    <row r="111" spans="1:47" ht="15">
      <c r="A111" s="952" t="str">
        <f ca="1">OFFSET(input!$A$25,P111,0)</f>
        <v>N</v>
      </c>
      <c r="B111" s="891">
        <f ca="1">SUMIFS(Paper!$AC$7:$AC$30,Paper!$A$7:$A$30,Ink!A111)+SUMIFS(Paper!$X$7:$X$30,Paper!$A$7:$A$30,Ink!A111)</f>
        <v>0</v>
      </c>
      <c r="C111" s="953">
        <v>12</v>
      </c>
      <c r="D111" s="954" t="str">
        <f ca="1">OFFSET(input!$A$27,O111,0)</f>
        <v>None</v>
      </c>
      <c r="E111" s="891">
        <f ca="1">SUMIFS(Paper!$N$7:$N$30,Paper!$A$7:$A$30,A111)</f>
        <v>0</v>
      </c>
      <c r="F111" s="891">
        <f ca="1">SUMIFS(Paper!$O$7:$O$30,Paper!$A$7:$A$30,A111)</f>
        <v>0</v>
      </c>
      <c r="G111" s="955">
        <f ca="1">IF($D111="None",0,IF(OFFSET(input!$B$27,O111,0)&gt;0,OFFSET(input!$B$27,O111,0),E111*F111*$D$8*10000/IF($B$2="PACK",COUNTIF($H$10:$H$23,"&gt;0"),1)))</f>
        <v>0</v>
      </c>
      <c r="H111" s="956">
        <f ca="1">IF(OFFSET(input!$C$27,O111,0)&gt;0,OFFSET(input!$C$27,O111,0),VLOOKUP(D111,Data!$L$1064:$M$1071,2,0))</f>
        <v>0</v>
      </c>
      <c r="I111" s="891">
        <f ca="1">ROUNDUP(IF(G111&gt;0,((B111/10000)*G111),0),1)</f>
        <v>0</v>
      </c>
      <c r="J111" s="891">
        <f ca="1">IF(G111&gt;0,0.2,0)*OFFSET(Paper!$J$7,Q111,0)</f>
        <v>0</v>
      </c>
      <c r="K111" s="891">
        <f ca="1">J111*H111</f>
        <v>0</v>
      </c>
      <c r="L111" s="891">
        <f ca="1">IF(I111=0,0,H111*(I111+J111))</f>
        <v>0</v>
      </c>
      <c r="M111" s="891">
        <f ca="1">IF($D$3&gt;0,L111/($D$3),0)*(1+$M$6)</f>
        <v>0</v>
      </c>
      <c r="N111" s="136" t="str">
        <f ca="1">OFFSET(input!$F$33,P111,0)</f>
        <v>N</v>
      </c>
      <c r="O111" s="136">
        <f t="shared" si="67"/>
        <v>113</v>
      </c>
      <c r="P111" s="136">
        <f t="shared" si="68"/>
        <v>102</v>
      </c>
      <c r="Q111" s="136">
        <f t="shared" si="69"/>
        <v>6</v>
      </c>
      <c r="AT111" s="413">
        <f t="shared" ca="1" si="47"/>
        <v>0</v>
      </c>
      <c r="AU111" s="136">
        <f ca="1">COUNTIFS(AT$7:$AT111,1)</f>
        <v>1</v>
      </c>
    </row>
    <row r="112" spans="1:47" ht="15">
      <c r="A112" s="952" t="str">
        <f ca="1">OFFSET(input!$A$25,P112,0)</f>
        <v>N</v>
      </c>
      <c r="B112" s="891">
        <f ca="1">SUMIFS(Paper!$AC$7:$AC$30,Paper!$A$7:$A$30,Ink!A112)+SUMIFS(Paper!$X$7:$X$30,Paper!$A$7:$A$30,Ink!A112)</f>
        <v>0</v>
      </c>
      <c r="C112" s="953">
        <v>13</v>
      </c>
      <c r="D112" s="954" t="str">
        <f ca="1">OFFSET(input!$A$27,O112,0)</f>
        <v>None</v>
      </c>
      <c r="E112" s="891">
        <f ca="1">SUMIFS(Paper!$N$7:$N$30,Paper!$A$7:$A$30,A112)</f>
        <v>0</v>
      </c>
      <c r="F112" s="891">
        <f ca="1">SUMIFS(Paper!$O$7:$O$30,Paper!$A$7:$A$30,A112)</f>
        <v>0</v>
      </c>
      <c r="G112" s="955">
        <f ca="1">IF($D112="None",0,IF(OFFSET(input!$B$27,O112,0)&gt;0,OFFSET(input!$B$27,O112,0),E112*F112*$D$8*10000/IF($B$2="PACK",COUNTIF($H$10:$H$23,"&gt;0"),1)))</f>
        <v>0</v>
      </c>
      <c r="H112" s="956">
        <f ca="1">IF(OFFSET(input!$C$27,O112,0)&gt;0,OFFSET(input!$C$27,O112,0),VLOOKUP(D112,Data!$L$1064:$M$1071,2,0))</f>
        <v>0</v>
      </c>
      <c r="I112" s="891">
        <f ca="1">ROUNDUP(IF(G112&gt;0,((B112/10000)*G112),0),1)</f>
        <v>0</v>
      </c>
      <c r="J112" s="891">
        <f ca="1">IF(G112&gt;0,0.2,0)*OFFSET(Paper!$J$7,Q112,0)</f>
        <v>0</v>
      </c>
      <c r="K112" s="891">
        <f ca="1">J112*H112</f>
        <v>0</v>
      </c>
      <c r="L112" s="891">
        <f ca="1">IF(I112=0,0,H112*(I112+J112))</f>
        <v>0</v>
      </c>
      <c r="M112" s="891">
        <f ca="1">IF($D$3&gt;0,L112/($D$3),0)*(1+$M$6)</f>
        <v>0</v>
      </c>
      <c r="N112" s="136" t="str">
        <f ca="1">OFFSET(input!$F$33,P112,0)</f>
        <v>N</v>
      </c>
      <c r="O112" s="136">
        <f t="shared" si="67"/>
        <v>114</v>
      </c>
      <c r="P112" s="136">
        <f t="shared" si="68"/>
        <v>102</v>
      </c>
      <c r="Q112" s="136">
        <f t="shared" si="69"/>
        <v>6</v>
      </c>
      <c r="AT112" s="413">
        <f t="shared" ca="1" si="47"/>
        <v>0</v>
      </c>
      <c r="AU112" s="136">
        <f ca="1">COUNTIFS(AT$7:$AT112,1)</f>
        <v>1</v>
      </c>
    </row>
    <row r="113" spans="1:47" ht="15">
      <c r="A113" s="952" t="str">
        <f ca="1">OFFSET(input!$A$25,P113,0)</f>
        <v>N</v>
      </c>
      <c r="B113" s="891">
        <f ca="1">SUMIFS(Paper!$AC$7:$AC$30,Paper!$A$7:$A$30,Ink!A113)+SUMIFS(Paper!$X$7:$X$30,Paper!$A$7:$A$30,Ink!A113)</f>
        <v>0</v>
      </c>
      <c r="C113" s="953">
        <v>14</v>
      </c>
      <c r="D113" s="954" t="str">
        <f ca="1">OFFSET(input!$A$27,O113,0)</f>
        <v>None</v>
      </c>
      <c r="E113" s="891">
        <f ca="1">SUMIFS(Paper!$N$7:$N$30,Paper!$A$7:$A$30,A113)</f>
        <v>0</v>
      </c>
      <c r="F113" s="891">
        <f ca="1">SUMIFS(Paper!$O$7:$O$30,Paper!$A$7:$A$30,A113)</f>
        <v>0</v>
      </c>
      <c r="G113" s="955">
        <f ca="1">IF($D113="None",0,IF(OFFSET(input!$B$27,O113,0)&gt;0,OFFSET(input!$B$27,O113,0),E113*F113*$D$8*10000/IF($B$2="PACK",COUNTIF($H$10:$H$23,"&gt;0"),1)))</f>
        <v>0</v>
      </c>
      <c r="H113" s="956">
        <f ca="1">IF(OFFSET(input!$C$27,O113,0)&gt;0,OFFSET(input!$C$27,O113,0),VLOOKUP(D113,Data!$L$1064:$M$1071,2,0))</f>
        <v>0</v>
      </c>
      <c r="I113" s="891">
        <f t="shared" ref="I113" ca="1" si="70">ROUNDUP(IF(G113&gt;0,((B113/10000)*G113),0),1)</f>
        <v>0</v>
      </c>
      <c r="J113" s="891">
        <f ca="1">IF(G113&gt;0,0.2,0)*OFFSET(Paper!$J$7,Q113,0)</f>
        <v>0</v>
      </c>
      <c r="K113" s="891">
        <f t="shared" ref="K113" ca="1" si="71">J113*H113</f>
        <v>0</v>
      </c>
      <c r="L113" s="891">
        <f t="shared" ref="L113" ca="1" si="72">IF(I113=0,0,H113*(I113+J113))</f>
        <v>0</v>
      </c>
      <c r="M113" s="891">
        <f t="shared" ref="M113" ca="1" si="73">IF($D$3&gt;0,L113/($D$3),0)*(1+$M$6)</f>
        <v>0</v>
      </c>
      <c r="N113" s="136" t="str">
        <f ca="1">OFFSET(input!$F$33,P113,0)</f>
        <v>N</v>
      </c>
      <c r="O113" s="136">
        <f t="shared" si="67"/>
        <v>115</v>
      </c>
      <c r="P113" s="136">
        <f>+P98+17</f>
        <v>102</v>
      </c>
      <c r="Q113" s="136">
        <f t="shared" si="69"/>
        <v>6</v>
      </c>
      <c r="AT113" s="413">
        <f t="shared" ca="1" si="47"/>
        <v>0</v>
      </c>
      <c r="AU113" s="136">
        <f ca="1">COUNTIFS(AT$7:$AT113,1)</f>
        <v>1</v>
      </c>
    </row>
    <row r="114" spans="1:47" ht="15">
      <c r="A114" s="957"/>
      <c r="B114" s="958"/>
      <c r="C114" s="959"/>
      <c r="D114" s="954"/>
      <c r="E114" s="958"/>
      <c r="F114" s="958"/>
      <c r="G114" s="955"/>
      <c r="H114" s="960"/>
      <c r="I114" s="958"/>
      <c r="J114" s="958"/>
      <c r="K114" s="958"/>
      <c r="L114" s="958"/>
      <c r="M114" s="958"/>
      <c r="AT114" s="413" t="str">
        <f t="shared" si="47"/>
        <v/>
      </c>
      <c r="AU114" s="136">
        <f ca="1">COUNTIFS(AT$7:$AT114,1)</f>
        <v>1</v>
      </c>
    </row>
    <row r="115" spans="1:47" ht="15" collapsed="1">
      <c r="A115" s="952" t="str">
        <f ca="1">OFFSET(input!$A$25,P115,0)</f>
        <v>N</v>
      </c>
      <c r="B115" s="891">
        <f ca="1">SUMIFS(Paper!$AC$7:$AC$30,Paper!$A$7:$A$30,Ink!A115)+SUMIFS(Paper!$X$7:$X$30,Paper!$A$7:$A$30,Ink!A115)</f>
        <v>0</v>
      </c>
      <c r="C115" s="953">
        <v>1</v>
      </c>
      <c r="D115" s="954" t="str">
        <f ca="1">OFFSET(input!$A$27,O115,0)</f>
        <v>None</v>
      </c>
      <c r="E115" s="891">
        <f ca="1">SUMIFS(Paper!$N$7:$N$30,Paper!$A$7:$A$30,A115)</f>
        <v>0</v>
      </c>
      <c r="F115" s="891">
        <f ca="1">SUMIFS(Paper!$O$7:$O$30,Paper!$A$7:$A$30,A115)</f>
        <v>0</v>
      </c>
      <c r="G115" s="955">
        <f ca="1">IF($D115="None",0,IF(OFFSET(input!$B$27,O115,0)&gt;0,OFFSET(input!$B$27,O115,0),E115*F115*$D$8*10000/IF($B$2="PACK",COUNTIF($H$10:$H$23,"&gt;0"),1)))</f>
        <v>0</v>
      </c>
      <c r="H115" s="956">
        <f ca="1">IF(OFFSET(input!$C$27,O115,0)&gt;0,OFFSET(input!$C$27,O115,0),VLOOKUP(D115,Data!$L$1064:$M$1071,2,0))</f>
        <v>0</v>
      </c>
      <c r="I115" s="891">
        <f t="shared" ref="I115:I123" ca="1" si="74">ROUNDUP(IF(G115&gt;0,((B115/10000)*G115),0),1)</f>
        <v>0</v>
      </c>
      <c r="J115" s="891">
        <f ca="1">IF(G115&gt;0,0.2,0)*OFFSET(Paper!$J$7,Q115,0)</f>
        <v>0</v>
      </c>
      <c r="K115" s="891">
        <f t="shared" ref="K115:K123" ca="1" si="75">J115*H115</f>
        <v>0</v>
      </c>
      <c r="L115" s="891">
        <f t="shared" ref="L115:L123" ca="1" si="76">IF(I115=0,0,H115*(I115+J115))</f>
        <v>0</v>
      </c>
      <c r="M115" s="891">
        <f ca="1">IF($D$3&gt;0,L115/($D$3),0)*(1+$M$6)</f>
        <v>0</v>
      </c>
      <c r="N115" s="136" t="str">
        <f ca="1">OFFSET(input!$F$33,P115,0)</f>
        <v>N</v>
      </c>
      <c r="O115" s="136">
        <f>O100+17</f>
        <v>119</v>
      </c>
      <c r="P115" s="136">
        <f>+P100+17</f>
        <v>119</v>
      </c>
      <c r="Q115" s="136">
        <f>+Q100+1</f>
        <v>7</v>
      </c>
      <c r="AT115" s="413">
        <f t="shared" ca="1" si="47"/>
        <v>0</v>
      </c>
      <c r="AU115" s="136">
        <f ca="1">COUNTIFS(AT$7:$AT115,1)</f>
        <v>1</v>
      </c>
    </row>
    <row r="116" spans="1:47" ht="15">
      <c r="A116" s="952" t="str">
        <f ca="1">OFFSET(input!$A$25,P116,0)</f>
        <v>N</v>
      </c>
      <c r="B116" s="891">
        <f ca="1">SUMIFS(Paper!$AC$7:$AC$30,Paper!$A$7:$A$30,Ink!A116)+SUMIFS(Paper!$X$7:$X$30,Paper!$A$7:$A$30,Ink!A116)</f>
        <v>0</v>
      </c>
      <c r="C116" s="953">
        <v>2</v>
      </c>
      <c r="D116" s="954" t="str">
        <f ca="1">OFFSET(input!$A$27,O116,0)</f>
        <v>None</v>
      </c>
      <c r="E116" s="891">
        <f ca="1">SUMIFS(Paper!$N$7:$N$30,Paper!$A$7:$A$30,A116)</f>
        <v>0</v>
      </c>
      <c r="F116" s="891">
        <f ca="1">SUMIFS(Paper!$O$7:$O$30,Paper!$A$7:$A$30,A116)</f>
        <v>0</v>
      </c>
      <c r="G116" s="955">
        <f ca="1">IF($D116="None",0,IF(OFFSET(input!$B$27,O116,0)&gt;0,OFFSET(input!$B$27,O116,0),E116*F116*$D$8*10000/IF($B$2="PACK",COUNTIF($H$10:$H$23,"&gt;0"),1)))</f>
        <v>0</v>
      </c>
      <c r="H116" s="956">
        <f ca="1">IF(OFFSET(input!$C$27,O116,0)&gt;0,OFFSET(input!$C$27,O116,0),VLOOKUP(D116,Data!$L$1064:$M$1071,2,0))</f>
        <v>0</v>
      </c>
      <c r="I116" s="891">
        <f t="shared" ca="1" si="74"/>
        <v>0</v>
      </c>
      <c r="J116" s="891">
        <f ca="1">IF(G116&gt;0,0.2,0)*OFFSET(Paper!$J$7,Q116,0)</f>
        <v>0</v>
      </c>
      <c r="K116" s="891">
        <f t="shared" ca="1" si="75"/>
        <v>0</v>
      </c>
      <c r="L116" s="891">
        <f t="shared" ca="1" si="76"/>
        <v>0</v>
      </c>
      <c r="M116" s="891">
        <f t="shared" ref="M116:M123" ca="1" si="77">IF($D$3&gt;0,L116/($D$3),0)*(1+$M$6)</f>
        <v>0</v>
      </c>
      <c r="N116" s="136" t="str">
        <f ca="1">OFFSET(input!$F$33,P116,0)</f>
        <v>N</v>
      </c>
      <c r="O116" s="136">
        <f t="shared" ref="O116:O128" si="78">O101+17</f>
        <v>120</v>
      </c>
      <c r="P116" s="136">
        <f t="shared" ref="P116:P127" si="79">+P101+17</f>
        <v>119</v>
      </c>
      <c r="Q116" s="136">
        <f t="shared" ref="Q116:Q128" si="80">+Q101+1</f>
        <v>7</v>
      </c>
      <c r="AT116" s="413">
        <f t="shared" ca="1" si="47"/>
        <v>0</v>
      </c>
      <c r="AU116" s="136">
        <f ca="1">COUNTIFS(AT$7:$AT116,1)</f>
        <v>1</v>
      </c>
    </row>
    <row r="117" spans="1:47" ht="15">
      <c r="A117" s="952" t="str">
        <f ca="1">OFFSET(input!$A$25,P117,0)</f>
        <v>N</v>
      </c>
      <c r="B117" s="891">
        <f ca="1">SUMIFS(Paper!$AC$7:$AC$30,Paper!$A$7:$A$30,Ink!A117)+SUMIFS(Paper!$X$7:$X$30,Paper!$A$7:$A$30,Ink!A117)</f>
        <v>0</v>
      </c>
      <c r="C117" s="953">
        <v>3</v>
      </c>
      <c r="D117" s="954" t="str">
        <f ca="1">OFFSET(input!$A$27,O117,0)</f>
        <v>None</v>
      </c>
      <c r="E117" s="891">
        <f ca="1">SUMIFS(Paper!$N$7:$N$30,Paper!$A$7:$A$30,A117)</f>
        <v>0</v>
      </c>
      <c r="F117" s="891">
        <f ca="1">SUMIFS(Paper!$O$7:$O$30,Paper!$A$7:$A$30,A117)</f>
        <v>0</v>
      </c>
      <c r="G117" s="955">
        <f ca="1">IF($D117="None",0,IF(OFFSET(input!$B$27,O117,0)&gt;0,OFFSET(input!$B$27,O117,0),E117*F117*$D$8*10000/IF($B$2="PACK",COUNTIF($H$10:$H$23,"&gt;0"),1)))</f>
        <v>0</v>
      </c>
      <c r="H117" s="956">
        <f ca="1">IF(OFFSET(input!$C$27,O117,0)&gt;0,OFFSET(input!$C$27,O117,0),VLOOKUP(D117,Data!$L$1064:$M$1071,2,0))</f>
        <v>0</v>
      </c>
      <c r="I117" s="891">
        <f t="shared" ca="1" si="74"/>
        <v>0</v>
      </c>
      <c r="J117" s="891">
        <f ca="1">IF(G117&gt;0,0.2,0)*OFFSET(Paper!$J$7,Q117,0)</f>
        <v>0</v>
      </c>
      <c r="K117" s="891">
        <f t="shared" ca="1" si="75"/>
        <v>0</v>
      </c>
      <c r="L117" s="891">
        <f t="shared" ca="1" si="76"/>
        <v>0</v>
      </c>
      <c r="M117" s="891">
        <f t="shared" ca="1" si="77"/>
        <v>0</v>
      </c>
      <c r="N117" s="136" t="str">
        <f ca="1">OFFSET(input!$F$33,P117,0)</f>
        <v>N</v>
      </c>
      <c r="O117" s="136">
        <f t="shared" si="78"/>
        <v>121</v>
      </c>
      <c r="P117" s="136">
        <f t="shared" si="79"/>
        <v>119</v>
      </c>
      <c r="Q117" s="136">
        <f t="shared" si="80"/>
        <v>7</v>
      </c>
      <c r="AT117" s="413">
        <f t="shared" ca="1" si="47"/>
        <v>0</v>
      </c>
      <c r="AU117" s="136">
        <f ca="1">COUNTIFS(AT$7:$AT117,1)</f>
        <v>1</v>
      </c>
    </row>
    <row r="118" spans="1:47" ht="15">
      <c r="A118" s="952" t="str">
        <f ca="1">OFFSET(input!$A$25,P118,0)</f>
        <v>N</v>
      </c>
      <c r="B118" s="891">
        <f ca="1">SUMIFS(Paper!$AC$7:$AC$30,Paper!$A$7:$A$30,Ink!A118)+SUMIFS(Paper!$X$7:$X$30,Paper!$A$7:$A$30,Ink!A118)</f>
        <v>0</v>
      </c>
      <c r="C118" s="953">
        <v>4</v>
      </c>
      <c r="D118" s="954" t="str">
        <f ca="1">OFFSET(input!$A$27,O118,0)</f>
        <v>None</v>
      </c>
      <c r="E118" s="891">
        <f ca="1">SUMIFS(Paper!$N$7:$N$30,Paper!$A$7:$A$30,A118)</f>
        <v>0</v>
      </c>
      <c r="F118" s="891">
        <f ca="1">SUMIFS(Paper!$O$7:$O$30,Paper!$A$7:$A$30,A118)</f>
        <v>0</v>
      </c>
      <c r="G118" s="955">
        <f ca="1">IF($D118="None",0,IF(OFFSET(input!$B$27,O118,0)&gt;0,OFFSET(input!$B$27,O118,0),E118*F118*$D$8*10000/IF($B$2="PACK",COUNTIF($H$10:$H$23,"&gt;0"),1)))</f>
        <v>0</v>
      </c>
      <c r="H118" s="956">
        <f ca="1">IF(OFFSET(input!$C$27,O118,0)&gt;0,OFFSET(input!$C$27,O118,0),VLOOKUP(D118,Data!$L$1064:$M$1071,2,0))</f>
        <v>0</v>
      </c>
      <c r="I118" s="891">
        <f t="shared" ca="1" si="74"/>
        <v>0</v>
      </c>
      <c r="J118" s="891">
        <f ca="1">IF(G118&gt;0,0.2,0)*OFFSET(Paper!$J$7,Q118,0)</f>
        <v>0</v>
      </c>
      <c r="K118" s="891">
        <f t="shared" ca="1" si="75"/>
        <v>0</v>
      </c>
      <c r="L118" s="891">
        <f t="shared" ca="1" si="76"/>
        <v>0</v>
      </c>
      <c r="M118" s="891">
        <f t="shared" ca="1" si="77"/>
        <v>0</v>
      </c>
      <c r="N118" s="136" t="str">
        <f ca="1">OFFSET(input!$F$33,P118,0)</f>
        <v>N</v>
      </c>
      <c r="O118" s="136">
        <f t="shared" si="78"/>
        <v>122</v>
      </c>
      <c r="P118" s="136">
        <f t="shared" si="79"/>
        <v>119</v>
      </c>
      <c r="Q118" s="136">
        <f t="shared" si="80"/>
        <v>7</v>
      </c>
      <c r="AT118" s="413">
        <f t="shared" ca="1" si="47"/>
        <v>0</v>
      </c>
      <c r="AU118" s="136">
        <f ca="1">COUNTIFS(AT$7:$AT118,1)</f>
        <v>1</v>
      </c>
    </row>
    <row r="119" spans="1:47" ht="15">
      <c r="A119" s="952" t="str">
        <f ca="1">OFFSET(input!$A$25,P119,0)</f>
        <v>N</v>
      </c>
      <c r="B119" s="891">
        <f ca="1">SUMIFS(Paper!$AC$7:$AC$30,Paper!$A$7:$A$30,Ink!A119)+SUMIFS(Paper!$X$7:$X$30,Paper!$A$7:$A$30,Ink!A119)</f>
        <v>0</v>
      </c>
      <c r="C119" s="953">
        <v>5</v>
      </c>
      <c r="D119" s="954" t="str">
        <f ca="1">OFFSET(input!$A$27,O119,0)</f>
        <v>None</v>
      </c>
      <c r="E119" s="891">
        <f ca="1">SUMIFS(Paper!$N$7:$N$30,Paper!$A$7:$A$30,A119)</f>
        <v>0</v>
      </c>
      <c r="F119" s="891">
        <f ca="1">SUMIFS(Paper!$O$7:$O$30,Paper!$A$7:$A$30,A119)</f>
        <v>0</v>
      </c>
      <c r="G119" s="955">
        <f ca="1">IF($D119="None",0,IF(OFFSET(input!$B$27,O119,0)&gt;0,OFFSET(input!$B$27,O119,0),E119*F119*$D$8*10000/IF($B$2="PACK",COUNTIF($H$10:$H$23,"&gt;0"),1)))</f>
        <v>0</v>
      </c>
      <c r="H119" s="956">
        <f ca="1">IF(OFFSET(input!$C$27,O119,0)&gt;0,OFFSET(input!$C$27,O119,0),VLOOKUP(D119,Data!$L$1064:$M$1071,2,0))</f>
        <v>0</v>
      </c>
      <c r="I119" s="891">
        <f t="shared" ca="1" si="74"/>
        <v>0</v>
      </c>
      <c r="J119" s="891">
        <f ca="1">IF(G119&gt;0,0.2,0)*OFFSET(Paper!$J$7,Q119,0)</f>
        <v>0</v>
      </c>
      <c r="K119" s="891">
        <f t="shared" ca="1" si="75"/>
        <v>0</v>
      </c>
      <c r="L119" s="891">
        <f t="shared" ca="1" si="76"/>
        <v>0</v>
      </c>
      <c r="M119" s="891">
        <f t="shared" ca="1" si="77"/>
        <v>0</v>
      </c>
      <c r="N119" s="136" t="str">
        <f ca="1">OFFSET(input!$F$33,P119,0)</f>
        <v>N</v>
      </c>
      <c r="O119" s="136">
        <f t="shared" si="78"/>
        <v>123</v>
      </c>
      <c r="P119" s="136">
        <f t="shared" si="79"/>
        <v>119</v>
      </c>
      <c r="Q119" s="136">
        <f t="shared" si="80"/>
        <v>7</v>
      </c>
      <c r="AT119" s="413">
        <f t="shared" ca="1" si="47"/>
        <v>0</v>
      </c>
      <c r="AU119" s="136">
        <f ca="1">COUNTIFS(AT$7:$AT119,1)</f>
        <v>1</v>
      </c>
    </row>
    <row r="120" spans="1:47" ht="15">
      <c r="A120" s="952" t="str">
        <f ca="1">OFFSET(input!$A$25,P120,0)</f>
        <v>N</v>
      </c>
      <c r="B120" s="891">
        <f ca="1">SUMIFS(Paper!$AC$7:$AC$30,Paper!$A$7:$A$30,Ink!A120)+SUMIFS(Paper!$X$7:$X$30,Paper!$A$7:$A$30,Ink!A120)</f>
        <v>0</v>
      </c>
      <c r="C120" s="953">
        <v>6</v>
      </c>
      <c r="D120" s="954" t="str">
        <f ca="1">OFFSET(input!$A$27,O120,0)</f>
        <v>None</v>
      </c>
      <c r="E120" s="891">
        <f ca="1">SUMIFS(Paper!$N$7:$N$30,Paper!$A$7:$A$30,A120)</f>
        <v>0</v>
      </c>
      <c r="F120" s="891">
        <f ca="1">SUMIFS(Paper!$O$7:$O$30,Paper!$A$7:$A$30,A120)</f>
        <v>0</v>
      </c>
      <c r="G120" s="955">
        <f ca="1">IF($D120="None",0,IF(OFFSET(input!$B$27,O120,0)&gt;0,OFFSET(input!$B$27,O120,0),E120*F120*$D$8*10000/IF($B$2="PACK",COUNTIF($H$10:$H$23,"&gt;0"),1)))</f>
        <v>0</v>
      </c>
      <c r="H120" s="956">
        <f ca="1">IF(OFFSET(input!$C$27,O120,0)&gt;0,OFFSET(input!$C$27,O120,0),VLOOKUP(D120,Data!$L$1064:$M$1071,2,0))</f>
        <v>0</v>
      </c>
      <c r="I120" s="891">
        <f t="shared" ca="1" si="74"/>
        <v>0</v>
      </c>
      <c r="J120" s="891">
        <f ca="1">IF(G120&gt;0,0.2,0)*OFFSET(Paper!$J$7,Q120,0)</f>
        <v>0</v>
      </c>
      <c r="K120" s="891">
        <f t="shared" ca="1" si="75"/>
        <v>0</v>
      </c>
      <c r="L120" s="891">
        <f t="shared" ca="1" si="76"/>
        <v>0</v>
      </c>
      <c r="M120" s="891">
        <f t="shared" ca="1" si="77"/>
        <v>0</v>
      </c>
      <c r="N120" s="136" t="str">
        <f ca="1">OFFSET(input!$F$33,P120,0)</f>
        <v>N</v>
      </c>
      <c r="O120" s="136">
        <f t="shared" si="78"/>
        <v>124</v>
      </c>
      <c r="P120" s="136">
        <f t="shared" si="79"/>
        <v>119</v>
      </c>
      <c r="Q120" s="136">
        <f t="shared" si="80"/>
        <v>7</v>
      </c>
      <c r="AT120" s="413">
        <f t="shared" ca="1" si="47"/>
        <v>0</v>
      </c>
      <c r="AU120" s="136">
        <f ca="1">COUNTIFS(AT$7:$AT120,1)</f>
        <v>1</v>
      </c>
    </row>
    <row r="121" spans="1:47" ht="15">
      <c r="A121" s="952" t="str">
        <f ca="1">OFFSET(input!$A$25,P121,0)</f>
        <v>N</v>
      </c>
      <c r="B121" s="891">
        <f ca="1">SUMIFS(Paper!$AC$7:$AC$30,Paper!$A$7:$A$30,Ink!A121)+SUMIFS(Paper!$X$7:$X$30,Paper!$A$7:$A$30,Ink!A121)</f>
        <v>0</v>
      </c>
      <c r="C121" s="953">
        <v>7</v>
      </c>
      <c r="D121" s="954" t="str">
        <f ca="1">OFFSET(input!$A$27,O121,0)</f>
        <v>None</v>
      </c>
      <c r="E121" s="891">
        <f ca="1">SUMIFS(Paper!$N$7:$N$30,Paper!$A$7:$A$30,A121)</f>
        <v>0</v>
      </c>
      <c r="F121" s="891">
        <f ca="1">SUMIFS(Paper!$O$7:$O$30,Paper!$A$7:$A$30,A121)</f>
        <v>0</v>
      </c>
      <c r="G121" s="955">
        <f ca="1">IF($D121="None",0,IF(OFFSET(input!$B$27,O121,0)&gt;0,OFFSET(input!$B$27,O121,0),E121*F121*$D$8*10000/IF($B$2="PACK",COUNTIF($H$10:$H$23,"&gt;0"),1)))</f>
        <v>0</v>
      </c>
      <c r="H121" s="956">
        <f ca="1">IF(OFFSET(input!$C$27,O121,0)&gt;0,OFFSET(input!$C$27,O121,0),VLOOKUP(D121,Data!$L$1064:$M$1071,2,0))</f>
        <v>0</v>
      </c>
      <c r="I121" s="891">
        <f t="shared" ca="1" si="74"/>
        <v>0</v>
      </c>
      <c r="J121" s="891">
        <f ca="1">IF(G121&gt;0,0.2,0)*OFFSET(Paper!$J$7,Q121,0)</f>
        <v>0</v>
      </c>
      <c r="K121" s="891">
        <f t="shared" ca="1" si="75"/>
        <v>0</v>
      </c>
      <c r="L121" s="891">
        <f t="shared" ca="1" si="76"/>
        <v>0</v>
      </c>
      <c r="M121" s="891">
        <f t="shared" ca="1" si="77"/>
        <v>0</v>
      </c>
      <c r="N121" s="136" t="str">
        <f ca="1">OFFSET(input!$F$33,P121,0)</f>
        <v>N</v>
      </c>
      <c r="O121" s="136">
        <f t="shared" si="78"/>
        <v>125</v>
      </c>
      <c r="P121" s="136">
        <f t="shared" si="79"/>
        <v>119</v>
      </c>
      <c r="Q121" s="136">
        <f t="shared" si="80"/>
        <v>7</v>
      </c>
      <c r="AT121" s="413">
        <f t="shared" ca="1" si="47"/>
        <v>0</v>
      </c>
      <c r="AU121" s="136">
        <f ca="1">COUNTIFS(AT$7:$AT121,1)</f>
        <v>1</v>
      </c>
    </row>
    <row r="122" spans="1:47" ht="15">
      <c r="A122" s="952" t="str">
        <f ca="1">OFFSET(input!$A$25,P122,0)</f>
        <v>N</v>
      </c>
      <c r="B122" s="891">
        <f ca="1">SUMIFS(Paper!$AC$7:$AC$30,Paper!$A$7:$A$30,Ink!A122)+SUMIFS(Paper!$X$7:$X$30,Paper!$A$7:$A$30,Ink!A122)</f>
        <v>0</v>
      </c>
      <c r="C122" s="953">
        <v>8</v>
      </c>
      <c r="D122" s="954" t="str">
        <f ca="1">OFFSET(input!$A$27,O122,0)</f>
        <v>None</v>
      </c>
      <c r="E122" s="891">
        <f ca="1">SUMIFS(Paper!$N$7:$N$30,Paper!$A$7:$A$30,A122)</f>
        <v>0</v>
      </c>
      <c r="F122" s="891">
        <f ca="1">SUMIFS(Paper!$O$7:$O$30,Paper!$A$7:$A$30,A122)</f>
        <v>0</v>
      </c>
      <c r="G122" s="955">
        <f ca="1">IF($D122="None",0,IF(OFFSET(input!$B$27,O122,0)&gt;0,OFFSET(input!$B$27,O122,0),E122*F122*$D$8*10000/IF($B$2="PACK",COUNTIF($H$10:$H$23,"&gt;0"),1)))</f>
        <v>0</v>
      </c>
      <c r="H122" s="956">
        <f ca="1">IF(OFFSET(input!$C$27,O122,0)&gt;0,OFFSET(input!$C$27,O122,0),VLOOKUP(D122,Data!$L$1064:$M$1071,2,0))</f>
        <v>0</v>
      </c>
      <c r="I122" s="891">
        <f t="shared" ca="1" si="74"/>
        <v>0</v>
      </c>
      <c r="J122" s="891">
        <f ca="1">IF(G122&gt;0,0.2,0)*OFFSET(Paper!$J$7,Q122,0)</f>
        <v>0</v>
      </c>
      <c r="K122" s="891">
        <f t="shared" ca="1" si="75"/>
        <v>0</v>
      </c>
      <c r="L122" s="891">
        <f t="shared" ca="1" si="76"/>
        <v>0</v>
      </c>
      <c r="M122" s="891">
        <f t="shared" ca="1" si="77"/>
        <v>0</v>
      </c>
      <c r="N122" s="136" t="str">
        <f ca="1">OFFSET(input!$F$33,P122,0)</f>
        <v>N</v>
      </c>
      <c r="O122" s="136">
        <f t="shared" si="78"/>
        <v>126</v>
      </c>
      <c r="P122" s="136">
        <f t="shared" si="79"/>
        <v>119</v>
      </c>
      <c r="Q122" s="136">
        <f t="shared" si="80"/>
        <v>7</v>
      </c>
      <c r="AT122" s="413">
        <f t="shared" ca="1" si="47"/>
        <v>0</v>
      </c>
      <c r="AU122" s="136">
        <f ca="1">COUNTIFS(AT$7:$AT122,1)</f>
        <v>1</v>
      </c>
    </row>
    <row r="123" spans="1:47" ht="15">
      <c r="A123" s="952" t="str">
        <f ca="1">OFFSET(input!$A$25,P123,0)</f>
        <v>N</v>
      </c>
      <c r="B123" s="891">
        <f ca="1">SUMIFS(Paper!$AC$7:$AC$30,Paper!$A$7:$A$30,Ink!A123)+SUMIFS(Paper!$X$7:$X$30,Paper!$A$7:$A$30,Ink!A123)</f>
        <v>0</v>
      </c>
      <c r="C123" s="953">
        <v>9</v>
      </c>
      <c r="D123" s="954" t="str">
        <f ca="1">OFFSET(input!$A$27,O123,0)</f>
        <v>None</v>
      </c>
      <c r="E123" s="891">
        <f ca="1">SUMIFS(Paper!$N$7:$N$30,Paper!$A$7:$A$30,A123)</f>
        <v>0</v>
      </c>
      <c r="F123" s="891">
        <f ca="1">SUMIFS(Paper!$O$7:$O$30,Paper!$A$7:$A$30,A123)</f>
        <v>0</v>
      </c>
      <c r="G123" s="955">
        <f ca="1">IF($D123="None",0,IF(OFFSET(input!$B$27,O123,0)&gt;0,OFFSET(input!$B$27,O123,0),E123*F123*$D$8*10000/IF($B$2="PACK",COUNTIF($H$10:$H$23,"&gt;0"),1)))</f>
        <v>0</v>
      </c>
      <c r="H123" s="956">
        <f ca="1">IF(OFFSET(input!$C$27,O123,0)&gt;0,OFFSET(input!$C$27,O123,0),VLOOKUP(D123,Data!$L$1064:$M$1071,2,0))</f>
        <v>0</v>
      </c>
      <c r="I123" s="891">
        <f t="shared" ca="1" si="74"/>
        <v>0</v>
      </c>
      <c r="J123" s="891">
        <f ca="1">IF(G123&gt;0,0.2,0)*OFFSET(Paper!$J$7,Q123,0)</f>
        <v>0</v>
      </c>
      <c r="K123" s="891">
        <f t="shared" ca="1" si="75"/>
        <v>0</v>
      </c>
      <c r="L123" s="891">
        <f t="shared" ca="1" si="76"/>
        <v>0</v>
      </c>
      <c r="M123" s="891">
        <f t="shared" ca="1" si="77"/>
        <v>0</v>
      </c>
      <c r="N123" s="136" t="str">
        <f ca="1">OFFSET(input!$F$33,P123,0)</f>
        <v>N</v>
      </c>
      <c r="O123" s="136">
        <f t="shared" si="78"/>
        <v>127</v>
      </c>
      <c r="P123" s="136">
        <f t="shared" si="79"/>
        <v>119</v>
      </c>
      <c r="Q123" s="136">
        <f t="shared" si="80"/>
        <v>7</v>
      </c>
      <c r="AT123" s="413">
        <f t="shared" ca="1" si="47"/>
        <v>0</v>
      </c>
      <c r="AU123" s="136">
        <f ca="1">COUNTIFS(AT$7:$AT123,1)</f>
        <v>1</v>
      </c>
    </row>
    <row r="124" spans="1:47" ht="15">
      <c r="A124" s="952" t="str">
        <f ca="1">OFFSET(input!$A$25,P124,0)</f>
        <v>N</v>
      </c>
      <c r="B124" s="891">
        <f ca="1">SUMIFS(Paper!$AC$7:$AC$30,Paper!$A$7:$A$30,Ink!A124)+SUMIFS(Paper!$X$7:$X$30,Paper!$A$7:$A$30,Ink!A124)</f>
        <v>0</v>
      </c>
      <c r="C124" s="953">
        <v>10</v>
      </c>
      <c r="D124" s="954" t="str">
        <f ca="1">OFFSET(input!$A$27,O124,0)</f>
        <v>None</v>
      </c>
      <c r="E124" s="891">
        <f ca="1">SUMIFS(Paper!$N$7:$N$30,Paper!$A$7:$A$30,A124)</f>
        <v>0</v>
      </c>
      <c r="F124" s="891">
        <f ca="1">SUMIFS(Paper!$O$7:$O$30,Paper!$A$7:$A$30,A124)</f>
        <v>0</v>
      </c>
      <c r="G124" s="955">
        <f ca="1">IF($D124="None",0,IF(OFFSET(input!$B$27,O124,0)&gt;0,OFFSET(input!$B$27,O124,0),E124*F124*$D$8*10000/IF($B$2="PACK",COUNTIF($H$10:$H$23,"&gt;0"),1)))</f>
        <v>0</v>
      </c>
      <c r="H124" s="956">
        <f ca="1">IF(OFFSET(input!$C$27,O124,0)&gt;0,OFFSET(input!$C$27,O124,0),VLOOKUP(D124,Data!$L$1064:$M$1071,2,0))</f>
        <v>0</v>
      </c>
      <c r="I124" s="891">
        <f ca="1">ROUNDUP(IF(G124&gt;0,((B124/10000)*G124),0),1)</f>
        <v>0</v>
      </c>
      <c r="J124" s="891">
        <f ca="1">IF(G124&gt;0,0.2,0)*OFFSET(Paper!$J$7,Q124,0)</f>
        <v>0</v>
      </c>
      <c r="K124" s="891">
        <f ca="1">J124*H124</f>
        <v>0</v>
      </c>
      <c r="L124" s="891">
        <f ca="1">IF(I124=0,0,H124*(I124+J124))</f>
        <v>0</v>
      </c>
      <c r="M124" s="891">
        <f ca="1">IF($D$3&gt;0,L124/($D$3),0)*(1+$M$6)</f>
        <v>0</v>
      </c>
      <c r="N124" s="136" t="str">
        <f ca="1">OFFSET(input!$F$33,P124,0)</f>
        <v>N</v>
      </c>
      <c r="O124" s="136">
        <f t="shared" si="78"/>
        <v>128</v>
      </c>
      <c r="P124" s="136">
        <f t="shared" si="79"/>
        <v>119</v>
      </c>
      <c r="Q124" s="136">
        <f t="shared" si="80"/>
        <v>7</v>
      </c>
      <c r="AT124" s="413">
        <f t="shared" ca="1" si="47"/>
        <v>0</v>
      </c>
      <c r="AU124" s="136">
        <f ca="1">COUNTIFS(AT$7:$AT124,1)</f>
        <v>1</v>
      </c>
    </row>
    <row r="125" spans="1:47" ht="15">
      <c r="A125" s="952" t="str">
        <f ca="1">OFFSET(input!$A$25,P125,0)</f>
        <v>N</v>
      </c>
      <c r="B125" s="891">
        <f ca="1">SUMIFS(Paper!$AC$7:$AC$30,Paper!$A$7:$A$30,Ink!A125)+SUMIFS(Paper!$X$7:$X$30,Paper!$A$7:$A$30,Ink!A125)</f>
        <v>0</v>
      </c>
      <c r="C125" s="953">
        <v>11</v>
      </c>
      <c r="D125" s="954" t="str">
        <f ca="1">OFFSET(input!$A$27,O125,0)</f>
        <v>None</v>
      </c>
      <c r="E125" s="891">
        <f ca="1">SUMIFS(Paper!$N$7:$N$30,Paper!$A$7:$A$30,A125)</f>
        <v>0</v>
      </c>
      <c r="F125" s="891">
        <f ca="1">SUMIFS(Paper!$O$7:$O$30,Paper!$A$7:$A$30,A125)</f>
        <v>0</v>
      </c>
      <c r="G125" s="955">
        <f ca="1">IF($D125="None",0,IF(OFFSET(input!$B$27,O125,0)&gt;0,OFFSET(input!$B$27,O125,0),E125*F125*$D$8*10000/IF($B$2="PACK",COUNTIF($H$10:$H$23,"&gt;0"),1)))</f>
        <v>0</v>
      </c>
      <c r="H125" s="956">
        <f ca="1">IF(OFFSET(input!$C$27,O125,0)&gt;0,OFFSET(input!$C$27,O125,0),VLOOKUP(D125,Data!$L$1064:$M$1071,2,0))</f>
        <v>0</v>
      </c>
      <c r="I125" s="891">
        <f ca="1">ROUNDUP(IF(G125&gt;0,((B125/10000)*G125),0),1)</f>
        <v>0</v>
      </c>
      <c r="J125" s="891">
        <f ca="1">IF(G125&gt;0,0.2,0)*OFFSET(Paper!$J$7,Q125,0)</f>
        <v>0</v>
      </c>
      <c r="K125" s="891">
        <f ca="1">J125*H125</f>
        <v>0</v>
      </c>
      <c r="L125" s="891">
        <f ca="1">IF(I125=0,0,H125*(I125+J125))</f>
        <v>0</v>
      </c>
      <c r="M125" s="891">
        <f ca="1">IF($D$3&gt;0,L125/($D$3),0)*(1+$M$6)</f>
        <v>0</v>
      </c>
      <c r="N125" s="136" t="str">
        <f ca="1">OFFSET(input!$F$33,P125,0)</f>
        <v>N</v>
      </c>
      <c r="O125" s="136">
        <f t="shared" si="78"/>
        <v>129</v>
      </c>
      <c r="P125" s="136">
        <f t="shared" si="79"/>
        <v>119</v>
      </c>
      <c r="Q125" s="136">
        <f t="shared" si="80"/>
        <v>7</v>
      </c>
      <c r="AT125" s="413">
        <f t="shared" ca="1" si="47"/>
        <v>0</v>
      </c>
      <c r="AU125" s="136">
        <f ca="1">COUNTIFS(AT$7:$AT125,1)</f>
        <v>1</v>
      </c>
    </row>
    <row r="126" spans="1:47" ht="15">
      <c r="A126" s="952" t="str">
        <f ca="1">OFFSET(input!$A$25,P126,0)</f>
        <v>N</v>
      </c>
      <c r="B126" s="891">
        <f ca="1">SUMIFS(Paper!$AC$7:$AC$30,Paper!$A$7:$A$30,Ink!A126)+SUMIFS(Paper!$X$7:$X$30,Paper!$A$7:$A$30,Ink!A126)</f>
        <v>0</v>
      </c>
      <c r="C126" s="953">
        <v>12</v>
      </c>
      <c r="D126" s="954" t="str">
        <f ca="1">OFFSET(input!$A$27,O126,0)</f>
        <v>None</v>
      </c>
      <c r="E126" s="891">
        <f ca="1">SUMIFS(Paper!$N$7:$N$30,Paper!$A$7:$A$30,A126)</f>
        <v>0</v>
      </c>
      <c r="F126" s="891">
        <f ca="1">SUMIFS(Paper!$O$7:$O$30,Paper!$A$7:$A$30,A126)</f>
        <v>0</v>
      </c>
      <c r="G126" s="955">
        <f ca="1">IF($D126="None",0,IF(OFFSET(input!$B$27,O126,0)&gt;0,OFFSET(input!$B$27,O126,0),E126*F126*$D$8*10000/IF($B$2="PACK",COUNTIF($H$10:$H$23,"&gt;0"),1)))</f>
        <v>0</v>
      </c>
      <c r="H126" s="956">
        <f ca="1">IF(OFFSET(input!$C$27,O126,0)&gt;0,OFFSET(input!$C$27,O126,0),VLOOKUP(D126,Data!$L$1064:$M$1071,2,0))</f>
        <v>0</v>
      </c>
      <c r="I126" s="891">
        <f ca="1">ROUNDUP(IF(G126&gt;0,((B126/10000)*G126),0),1)</f>
        <v>0</v>
      </c>
      <c r="J126" s="891">
        <f ca="1">IF(G126&gt;0,0.2,0)*OFFSET(Paper!$J$7,Q126,0)</f>
        <v>0</v>
      </c>
      <c r="K126" s="891">
        <f ca="1">J126*H126</f>
        <v>0</v>
      </c>
      <c r="L126" s="891">
        <f ca="1">IF(I126=0,0,H126*(I126+J126))</f>
        <v>0</v>
      </c>
      <c r="M126" s="891">
        <f ca="1">IF($D$3&gt;0,L126/($D$3),0)*(1+$M$6)</f>
        <v>0</v>
      </c>
      <c r="N126" s="136" t="str">
        <f ca="1">OFFSET(input!$F$33,P126,0)</f>
        <v>N</v>
      </c>
      <c r="O126" s="136">
        <f t="shared" si="78"/>
        <v>130</v>
      </c>
      <c r="P126" s="136">
        <f t="shared" si="79"/>
        <v>119</v>
      </c>
      <c r="Q126" s="136">
        <f t="shared" si="80"/>
        <v>7</v>
      </c>
      <c r="AT126" s="413">
        <f t="shared" ca="1" si="47"/>
        <v>0</v>
      </c>
      <c r="AU126" s="136">
        <f ca="1">COUNTIFS(AT$7:$AT126,1)</f>
        <v>1</v>
      </c>
    </row>
    <row r="127" spans="1:47" ht="15">
      <c r="A127" s="952" t="str">
        <f ca="1">OFFSET(input!$A$25,P127,0)</f>
        <v>N</v>
      </c>
      <c r="B127" s="891">
        <f ca="1">SUMIFS(Paper!$AC$7:$AC$30,Paper!$A$7:$A$30,Ink!A127)+SUMIFS(Paper!$X$7:$X$30,Paper!$A$7:$A$30,Ink!A127)</f>
        <v>0</v>
      </c>
      <c r="C127" s="953">
        <v>13</v>
      </c>
      <c r="D127" s="954" t="str">
        <f ca="1">OFFSET(input!$A$27,O127,0)</f>
        <v>None</v>
      </c>
      <c r="E127" s="891">
        <f ca="1">SUMIFS(Paper!$N$7:$N$30,Paper!$A$7:$A$30,A127)</f>
        <v>0</v>
      </c>
      <c r="F127" s="891">
        <f ca="1">SUMIFS(Paper!$O$7:$O$30,Paper!$A$7:$A$30,A127)</f>
        <v>0</v>
      </c>
      <c r="G127" s="955">
        <f ca="1">IF($D127="None",0,IF(OFFSET(input!$B$27,O127,0)&gt;0,OFFSET(input!$B$27,O127,0),E127*F127*$D$8*10000/IF($B$2="PACK",COUNTIF($H$10:$H$23,"&gt;0"),1)))</f>
        <v>0</v>
      </c>
      <c r="H127" s="956">
        <f ca="1">IF(OFFSET(input!$C$27,O127,0)&gt;0,OFFSET(input!$C$27,O127,0),VLOOKUP(D127,Data!$L$1064:$M$1071,2,0))</f>
        <v>0</v>
      </c>
      <c r="I127" s="891">
        <f ca="1">ROUNDUP(IF(G127&gt;0,((B127/10000)*G127),0),1)</f>
        <v>0</v>
      </c>
      <c r="J127" s="891">
        <f ca="1">IF(G127&gt;0,0.2,0)*OFFSET(Paper!$J$7,Q127,0)</f>
        <v>0</v>
      </c>
      <c r="K127" s="891">
        <f ca="1">J127*H127</f>
        <v>0</v>
      </c>
      <c r="L127" s="891">
        <f ca="1">IF(I127=0,0,H127*(I127+J127))</f>
        <v>0</v>
      </c>
      <c r="M127" s="891">
        <f ca="1">IF($D$3&gt;0,L127/($D$3),0)*(1+$M$6)</f>
        <v>0</v>
      </c>
      <c r="N127" s="136" t="str">
        <f ca="1">OFFSET(input!$F$33,P127,0)</f>
        <v>N</v>
      </c>
      <c r="O127" s="136">
        <f t="shared" si="78"/>
        <v>131</v>
      </c>
      <c r="P127" s="136">
        <f t="shared" si="79"/>
        <v>119</v>
      </c>
      <c r="Q127" s="136">
        <f t="shared" si="80"/>
        <v>7</v>
      </c>
      <c r="AT127" s="413">
        <f t="shared" ca="1" si="47"/>
        <v>0</v>
      </c>
      <c r="AU127" s="136">
        <f ca="1">COUNTIFS(AT$7:$AT127,1)</f>
        <v>1</v>
      </c>
    </row>
    <row r="128" spans="1:47" ht="15">
      <c r="A128" s="952" t="str">
        <f ca="1">OFFSET(input!$A$25,P128,0)</f>
        <v>N</v>
      </c>
      <c r="B128" s="891">
        <f ca="1">SUMIFS(Paper!$AC$7:$AC$30,Paper!$A$7:$A$30,Ink!A128)+SUMIFS(Paper!$X$7:$X$30,Paper!$A$7:$A$30,Ink!A128)</f>
        <v>0</v>
      </c>
      <c r="C128" s="953">
        <v>14</v>
      </c>
      <c r="D128" s="954" t="str">
        <f ca="1">OFFSET(input!$A$27,O128,0)</f>
        <v>None</v>
      </c>
      <c r="E128" s="891">
        <f ca="1">SUMIFS(Paper!$N$7:$N$30,Paper!$A$7:$A$30,A128)</f>
        <v>0</v>
      </c>
      <c r="F128" s="891">
        <f ca="1">SUMIFS(Paper!$O$7:$O$30,Paper!$A$7:$A$30,A128)</f>
        <v>0</v>
      </c>
      <c r="G128" s="955">
        <f ca="1">IF($D128="None",0,IF(OFFSET(input!$B$27,O128,0)&gt;0,OFFSET(input!$B$27,O128,0),E128*F128*$D$8*10000/IF($B$2="PACK",COUNTIF($H$10:$H$23,"&gt;0"),1)))</f>
        <v>0</v>
      </c>
      <c r="H128" s="956">
        <f ca="1">IF(OFFSET(input!$C$27,O128,0)&gt;0,OFFSET(input!$C$27,O128,0),VLOOKUP(D128,Data!$L$1064:$M$1071,2,0))</f>
        <v>0</v>
      </c>
      <c r="I128" s="891">
        <f t="shared" ref="I128" ca="1" si="81">ROUNDUP(IF(G128&gt;0,((B128/10000)*G128),0),1)</f>
        <v>0</v>
      </c>
      <c r="J128" s="891">
        <f ca="1">IF(G128&gt;0,0.2,0)*OFFSET(Paper!$J$7,Q128,0)</f>
        <v>0</v>
      </c>
      <c r="K128" s="891">
        <f t="shared" ref="K128" ca="1" si="82">J128*H128</f>
        <v>0</v>
      </c>
      <c r="L128" s="891">
        <f t="shared" ref="L128" ca="1" si="83">IF(I128=0,0,H128*(I128+J128))</f>
        <v>0</v>
      </c>
      <c r="M128" s="891">
        <f t="shared" ref="M128" ca="1" si="84">IF($D$3&gt;0,L128/($D$3),0)*(1+$M$6)</f>
        <v>0</v>
      </c>
      <c r="N128" s="136" t="str">
        <f ca="1">OFFSET(input!$F$33,P128,0)</f>
        <v>N</v>
      </c>
      <c r="O128" s="136">
        <f t="shared" si="78"/>
        <v>132</v>
      </c>
      <c r="P128" s="136">
        <f>+P113+17</f>
        <v>119</v>
      </c>
      <c r="Q128" s="136">
        <f t="shared" si="80"/>
        <v>7</v>
      </c>
      <c r="AT128" s="413">
        <f t="shared" ca="1" si="47"/>
        <v>0</v>
      </c>
      <c r="AU128" s="136">
        <f ca="1">COUNTIFS(AT$7:$AT128,1)</f>
        <v>1</v>
      </c>
    </row>
    <row r="129" spans="1:47" ht="15">
      <c r="A129" s="957"/>
      <c r="B129" s="958"/>
      <c r="C129" s="959"/>
      <c r="D129" s="954"/>
      <c r="E129" s="958"/>
      <c r="F129" s="958"/>
      <c r="G129" s="955"/>
      <c r="H129" s="960"/>
      <c r="I129" s="958"/>
      <c r="J129" s="958"/>
      <c r="K129" s="958"/>
      <c r="L129" s="958"/>
      <c r="M129" s="958"/>
      <c r="AT129" s="413" t="str">
        <f t="shared" si="47"/>
        <v/>
      </c>
      <c r="AU129" s="136">
        <f ca="1">COUNTIFS(AT$7:$AT129,1)</f>
        <v>1</v>
      </c>
    </row>
    <row r="130" spans="1:47" ht="15" collapsed="1">
      <c r="A130" s="952" t="str">
        <f ca="1">OFFSET(input!$A$25,P130,0)</f>
        <v>N</v>
      </c>
      <c r="B130" s="891">
        <f ca="1">SUMIFS(Paper!$AC$7:$AC$30,Paper!$A$7:$A$30,Ink!A130)+SUMIFS(Paper!$X$7:$X$30,Paper!$A$7:$A$30,Ink!A130)</f>
        <v>0</v>
      </c>
      <c r="C130" s="953">
        <v>1</v>
      </c>
      <c r="D130" s="954" t="str">
        <f ca="1">OFFSET(input!$A$27,O130,0)</f>
        <v>None</v>
      </c>
      <c r="E130" s="891">
        <f ca="1">SUMIFS(Paper!$N$7:$N$30,Paper!$A$7:$A$30,A130)</f>
        <v>0</v>
      </c>
      <c r="F130" s="891">
        <f ca="1">SUMIFS(Paper!$O$7:$O$30,Paper!$A$7:$A$30,A130)</f>
        <v>0</v>
      </c>
      <c r="G130" s="955">
        <f ca="1">IF($D130="None",0,IF(OFFSET(input!$B$27,O130,0)&gt;0,OFFSET(input!$B$27,O130,0),E130*F130*$D$8*10000/IF($B$2="PACK",COUNTIF($H$10:$H$23,"&gt;0"),1)))</f>
        <v>0</v>
      </c>
      <c r="H130" s="956">
        <f ca="1">IF(OFFSET(input!$C$27,O130,0)&gt;0,OFFSET(input!$C$27,O130,0),VLOOKUP(D130,Data!$L$1064:$M$1071,2,0))</f>
        <v>0</v>
      </c>
      <c r="I130" s="891">
        <f t="shared" ref="I130:I138" ca="1" si="85">ROUNDUP(IF(G130&gt;0,((B130/10000)*G130),0),1)</f>
        <v>0</v>
      </c>
      <c r="J130" s="891">
        <f ca="1">IF(G130&gt;0,0.2,0)*OFFSET(Paper!$J$7,Q130,0)</f>
        <v>0</v>
      </c>
      <c r="K130" s="891">
        <f t="shared" ref="K130:K138" ca="1" si="86">J130*H130</f>
        <v>0</v>
      </c>
      <c r="L130" s="891">
        <f t="shared" ref="L130:L138" ca="1" si="87">IF(I130=0,0,H130*(I130+J130))</f>
        <v>0</v>
      </c>
      <c r="M130" s="891">
        <f ca="1">IF($D$3&gt;0,L130/($D$3),0)*(1+$M$6)</f>
        <v>0</v>
      </c>
      <c r="N130" s="136" t="str">
        <f ca="1">OFFSET(input!$F$33,P130,0)</f>
        <v>N</v>
      </c>
      <c r="O130" s="136">
        <f>O115+17</f>
        <v>136</v>
      </c>
      <c r="P130" s="136">
        <f>+P115+17</f>
        <v>136</v>
      </c>
      <c r="Q130" s="136">
        <f>+Q115+1</f>
        <v>8</v>
      </c>
      <c r="AT130" s="413">
        <f t="shared" ca="1" si="47"/>
        <v>0</v>
      </c>
      <c r="AU130" s="136">
        <f ca="1">COUNTIFS(AT$7:$AT130,1)</f>
        <v>1</v>
      </c>
    </row>
    <row r="131" spans="1:47" ht="15">
      <c r="A131" s="952" t="str">
        <f ca="1">OFFSET(input!$A$25,P131,0)</f>
        <v>N</v>
      </c>
      <c r="B131" s="891">
        <f ca="1">SUMIFS(Paper!$AC$7:$AC$30,Paper!$A$7:$A$30,Ink!A131)+SUMIFS(Paper!$X$7:$X$30,Paper!$A$7:$A$30,Ink!A131)</f>
        <v>0</v>
      </c>
      <c r="C131" s="953">
        <v>2</v>
      </c>
      <c r="D131" s="954" t="str">
        <f ca="1">OFFSET(input!$A$27,O131,0)</f>
        <v>None</v>
      </c>
      <c r="E131" s="891">
        <f ca="1">SUMIFS(Paper!$N$7:$N$30,Paper!$A$7:$A$30,A131)</f>
        <v>0</v>
      </c>
      <c r="F131" s="891">
        <f ca="1">SUMIFS(Paper!$O$7:$O$30,Paper!$A$7:$A$30,A131)</f>
        <v>0</v>
      </c>
      <c r="G131" s="955">
        <f ca="1">IF($D131="None",0,IF(OFFSET(input!$B$27,O131,0)&gt;0,OFFSET(input!$B$27,O131,0),E131*F131*$D$8*10000/IF($B$2="PACK",COUNTIF($H$10:$H$23,"&gt;0"),1)))</f>
        <v>0</v>
      </c>
      <c r="H131" s="956">
        <f ca="1">IF(OFFSET(input!$C$27,O131,0)&gt;0,OFFSET(input!$C$27,O131,0),VLOOKUP(D131,Data!$L$1064:$M$1071,2,0))</f>
        <v>0</v>
      </c>
      <c r="I131" s="891">
        <f t="shared" ca="1" si="85"/>
        <v>0</v>
      </c>
      <c r="J131" s="891">
        <f ca="1">IF(G131&gt;0,0.2,0)*OFFSET(Paper!$J$7,Q131,0)</f>
        <v>0</v>
      </c>
      <c r="K131" s="891">
        <f t="shared" ca="1" si="86"/>
        <v>0</v>
      </c>
      <c r="L131" s="891">
        <f t="shared" ca="1" si="87"/>
        <v>0</v>
      </c>
      <c r="M131" s="891">
        <f t="shared" ref="M131:M138" ca="1" si="88">IF($D$3&gt;0,L131/($D$3),0)*(1+$M$6)</f>
        <v>0</v>
      </c>
      <c r="N131" s="136" t="str">
        <f ca="1">OFFSET(input!$F$33,P131,0)</f>
        <v>N</v>
      </c>
      <c r="O131" s="136">
        <f t="shared" ref="O131:O143" si="89">O116+17</f>
        <v>137</v>
      </c>
      <c r="P131" s="136">
        <f t="shared" ref="P131:P142" si="90">+P116+17</f>
        <v>136</v>
      </c>
      <c r="Q131" s="136">
        <f t="shared" ref="Q131:Q143" si="91">+Q116+1</f>
        <v>8</v>
      </c>
      <c r="AT131" s="413">
        <f t="shared" ca="1" si="47"/>
        <v>0</v>
      </c>
      <c r="AU131" s="136">
        <f ca="1">COUNTIFS(AT$7:$AT131,1)</f>
        <v>1</v>
      </c>
    </row>
    <row r="132" spans="1:47" ht="15">
      <c r="A132" s="952" t="str">
        <f ca="1">OFFSET(input!$A$25,P132,0)</f>
        <v>N</v>
      </c>
      <c r="B132" s="891">
        <f ca="1">SUMIFS(Paper!$AC$7:$AC$30,Paper!$A$7:$A$30,Ink!A132)+SUMIFS(Paper!$X$7:$X$30,Paper!$A$7:$A$30,Ink!A132)</f>
        <v>0</v>
      </c>
      <c r="C132" s="953">
        <v>3</v>
      </c>
      <c r="D132" s="954" t="str">
        <f ca="1">OFFSET(input!$A$27,O132,0)</f>
        <v>None</v>
      </c>
      <c r="E132" s="891">
        <f ca="1">SUMIFS(Paper!$N$7:$N$30,Paper!$A$7:$A$30,A132)</f>
        <v>0</v>
      </c>
      <c r="F132" s="891">
        <f ca="1">SUMIFS(Paper!$O$7:$O$30,Paper!$A$7:$A$30,A132)</f>
        <v>0</v>
      </c>
      <c r="G132" s="955">
        <f ca="1">IF($D132="None",0,IF(OFFSET(input!$B$27,O132,0)&gt;0,OFFSET(input!$B$27,O132,0),E132*F132*$D$8*10000/IF($B$2="PACK",COUNTIF($H$10:$H$23,"&gt;0"),1)))</f>
        <v>0</v>
      </c>
      <c r="H132" s="956">
        <f ca="1">IF(OFFSET(input!$C$27,O132,0)&gt;0,OFFSET(input!$C$27,O132,0),VLOOKUP(D132,Data!$L$1064:$M$1071,2,0))</f>
        <v>0</v>
      </c>
      <c r="I132" s="891">
        <f t="shared" ca="1" si="85"/>
        <v>0</v>
      </c>
      <c r="J132" s="891">
        <f ca="1">IF(G132&gt;0,0.2,0)*OFFSET(Paper!$J$7,Q132,0)</f>
        <v>0</v>
      </c>
      <c r="K132" s="891">
        <f t="shared" ca="1" si="86"/>
        <v>0</v>
      </c>
      <c r="L132" s="891">
        <f t="shared" ca="1" si="87"/>
        <v>0</v>
      </c>
      <c r="M132" s="891">
        <f t="shared" ca="1" si="88"/>
        <v>0</v>
      </c>
      <c r="N132" s="136" t="str">
        <f ca="1">OFFSET(input!$F$33,P132,0)</f>
        <v>N</v>
      </c>
      <c r="O132" s="136">
        <f t="shared" si="89"/>
        <v>138</v>
      </c>
      <c r="P132" s="136">
        <f t="shared" si="90"/>
        <v>136</v>
      </c>
      <c r="Q132" s="136">
        <f t="shared" si="91"/>
        <v>8</v>
      </c>
      <c r="AT132" s="413">
        <f t="shared" ca="1" si="47"/>
        <v>0</v>
      </c>
      <c r="AU132" s="136">
        <f ca="1">COUNTIFS(AT$7:$AT132,1)</f>
        <v>1</v>
      </c>
    </row>
    <row r="133" spans="1:47" ht="15">
      <c r="A133" s="952" t="str">
        <f ca="1">OFFSET(input!$A$25,P133,0)</f>
        <v>N</v>
      </c>
      <c r="B133" s="891">
        <f ca="1">SUMIFS(Paper!$AC$7:$AC$30,Paper!$A$7:$A$30,Ink!A133)+SUMIFS(Paper!$X$7:$X$30,Paper!$A$7:$A$30,Ink!A133)</f>
        <v>0</v>
      </c>
      <c r="C133" s="953">
        <v>4</v>
      </c>
      <c r="D133" s="954" t="str">
        <f ca="1">OFFSET(input!$A$27,O133,0)</f>
        <v>None</v>
      </c>
      <c r="E133" s="891">
        <f ca="1">SUMIFS(Paper!$N$7:$N$30,Paper!$A$7:$A$30,A133)</f>
        <v>0</v>
      </c>
      <c r="F133" s="891">
        <f ca="1">SUMIFS(Paper!$O$7:$O$30,Paper!$A$7:$A$30,A133)</f>
        <v>0</v>
      </c>
      <c r="G133" s="955">
        <f ca="1">IF($D133="None",0,IF(OFFSET(input!$B$27,O133,0)&gt;0,OFFSET(input!$B$27,O133,0),E133*F133*$D$8*10000/IF($B$2="PACK",COUNTIF($H$10:$H$23,"&gt;0"),1)))</f>
        <v>0</v>
      </c>
      <c r="H133" s="956">
        <f ca="1">IF(OFFSET(input!$C$27,O133,0)&gt;0,OFFSET(input!$C$27,O133,0),VLOOKUP(D133,Data!$L$1064:$M$1071,2,0))</f>
        <v>0</v>
      </c>
      <c r="I133" s="891">
        <f t="shared" ca="1" si="85"/>
        <v>0</v>
      </c>
      <c r="J133" s="891">
        <f ca="1">IF(G133&gt;0,0.2,0)*OFFSET(Paper!$J$7,Q133,0)</f>
        <v>0</v>
      </c>
      <c r="K133" s="891">
        <f t="shared" ca="1" si="86"/>
        <v>0</v>
      </c>
      <c r="L133" s="891">
        <f t="shared" ca="1" si="87"/>
        <v>0</v>
      </c>
      <c r="M133" s="891">
        <f t="shared" ca="1" si="88"/>
        <v>0</v>
      </c>
      <c r="N133" s="136" t="str">
        <f ca="1">OFFSET(input!$F$33,P133,0)</f>
        <v>N</v>
      </c>
      <c r="O133" s="136">
        <f t="shared" si="89"/>
        <v>139</v>
      </c>
      <c r="P133" s="136">
        <f t="shared" si="90"/>
        <v>136</v>
      </c>
      <c r="Q133" s="136">
        <f t="shared" si="91"/>
        <v>8</v>
      </c>
      <c r="AT133" s="413">
        <f t="shared" ca="1" si="47"/>
        <v>0</v>
      </c>
      <c r="AU133" s="136">
        <f ca="1">COUNTIFS(AT$7:$AT133,1)</f>
        <v>1</v>
      </c>
    </row>
    <row r="134" spans="1:47" ht="15">
      <c r="A134" s="952" t="str">
        <f ca="1">OFFSET(input!$A$25,P134,0)</f>
        <v>N</v>
      </c>
      <c r="B134" s="891">
        <f ca="1">SUMIFS(Paper!$AC$7:$AC$30,Paper!$A$7:$A$30,Ink!A134)+SUMIFS(Paper!$X$7:$X$30,Paper!$A$7:$A$30,Ink!A134)</f>
        <v>0</v>
      </c>
      <c r="C134" s="953">
        <v>5</v>
      </c>
      <c r="D134" s="954" t="str">
        <f ca="1">OFFSET(input!$A$27,O134,0)</f>
        <v>None</v>
      </c>
      <c r="E134" s="891">
        <f ca="1">SUMIFS(Paper!$N$7:$N$30,Paper!$A$7:$A$30,A134)</f>
        <v>0</v>
      </c>
      <c r="F134" s="891">
        <f ca="1">SUMIFS(Paper!$O$7:$O$30,Paper!$A$7:$A$30,A134)</f>
        <v>0</v>
      </c>
      <c r="G134" s="955">
        <f ca="1">IF($D134="None",0,IF(OFFSET(input!$B$27,O134,0)&gt;0,OFFSET(input!$B$27,O134,0),E134*F134*$D$8*10000/IF($B$2="PACK",COUNTIF($H$10:$H$23,"&gt;0"),1)))</f>
        <v>0</v>
      </c>
      <c r="H134" s="956">
        <f ca="1">IF(OFFSET(input!$C$27,O134,0)&gt;0,OFFSET(input!$C$27,O134,0),VLOOKUP(D134,Data!$L$1064:$M$1071,2,0))</f>
        <v>0</v>
      </c>
      <c r="I134" s="891">
        <f t="shared" ca="1" si="85"/>
        <v>0</v>
      </c>
      <c r="J134" s="891">
        <f ca="1">IF(G134&gt;0,0.2,0)*OFFSET(Paper!$J$7,Q134,0)</f>
        <v>0</v>
      </c>
      <c r="K134" s="891">
        <f t="shared" ca="1" si="86"/>
        <v>0</v>
      </c>
      <c r="L134" s="891">
        <f t="shared" ca="1" si="87"/>
        <v>0</v>
      </c>
      <c r="M134" s="891">
        <f t="shared" ca="1" si="88"/>
        <v>0</v>
      </c>
      <c r="N134" s="136" t="str">
        <f ca="1">OFFSET(input!$F$33,P134,0)</f>
        <v>N</v>
      </c>
      <c r="O134" s="136">
        <f t="shared" si="89"/>
        <v>140</v>
      </c>
      <c r="P134" s="136">
        <f t="shared" si="90"/>
        <v>136</v>
      </c>
      <c r="Q134" s="136">
        <f t="shared" si="91"/>
        <v>8</v>
      </c>
      <c r="AT134" s="413">
        <f t="shared" ca="1" si="47"/>
        <v>0</v>
      </c>
      <c r="AU134" s="136">
        <f ca="1">COUNTIFS(AT$7:$AT134,1)</f>
        <v>1</v>
      </c>
    </row>
    <row r="135" spans="1:47" ht="15">
      <c r="A135" s="952" t="str">
        <f ca="1">OFFSET(input!$A$25,P135,0)</f>
        <v>N</v>
      </c>
      <c r="B135" s="891">
        <f ca="1">SUMIFS(Paper!$AC$7:$AC$30,Paper!$A$7:$A$30,Ink!A135)+SUMIFS(Paper!$X$7:$X$30,Paper!$A$7:$A$30,Ink!A135)</f>
        <v>0</v>
      </c>
      <c r="C135" s="953">
        <v>6</v>
      </c>
      <c r="D135" s="954" t="str">
        <f ca="1">OFFSET(input!$A$27,O135,0)</f>
        <v>None</v>
      </c>
      <c r="E135" s="891">
        <f ca="1">SUMIFS(Paper!$N$7:$N$30,Paper!$A$7:$A$30,A135)</f>
        <v>0</v>
      </c>
      <c r="F135" s="891">
        <f ca="1">SUMIFS(Paper!$O$7:$O$30,Paper!$A$7:$A$30,A135)</f>
        <v>0</v>
      </c>
      <c r="G135" s="955">
        <f ca="1">IF($D135="None",0,IF(OFFSET(input!$B$27,O135,0)&gt;0,OFFSET(input!$B$27,O135,0),E135*F135*$D$8*10000/IF($B$2="PACK",COUNTIF($H$10:$H$23,"&gt;0"),1)))</f>
        <v>0</v>
      </c>
      <c r="H135" s="956">
        <f ca="1">IF(OFFSET(input!$C$27,O135,0)&gt;0,OFFSET(input!$C$27,O135,0),VLOOKUP(D135,Data!$L$1064:$M$1071,2,0))</f>
        <v>0</v>
      </c>
      <c r="I135" s="891">
        <f t="shared" ca="1" si="85"/>
        <v>0</v>
      </c>
      <c r="J135" s="891">
        <f ca="1">IF(G135&gt;0,0.2,0)*OFFSET(Paper!$J$7,Q135,0)</f>
        <v>0</v>
      </c>
      <c r="K135" s="891">
        <f t="shared" ca="1" si="86"/>
        <v>0</v>
      </c>
      <c r="L135" s="891">
        <f t="shared" ca="1" si="87"/>
        <v>0</v>
      </c>
      <c r="M135" s="891">
        <f t="shared" ca="1" si="88"/>
        <v>0</v>
      </c>
      <c r="N135" s="136" t="str">
        <f ca="1">OFFSET(input!$F$33,P135,0)</f>
        <v>N</v>
      </c>
      <c r="O135" s="136">
        <f t="shared" si="89"/>
        <v>141</v>
      </c>
      <c r="P135" s="136">
        <f t="shared" si="90"/>
        <v>136</v>
      </c>
      <c r="Q135" s="136">
        <f t="shared" si="91"/>
        <v>8</v>
      </c>
      <c r="AT135" s="413">
        <f t="shared" ca="1" si="47"/>
        <v>0</v>
      </c>
      <c r="AU135" s="136">
        <f ca="1">COUNTIFS(AT$7:$AT135,1)</f>
        <v>1</v>
      </c>
    </row>
    <row r="136" spans="1:47" ht="15">
      <c r="A136" s="952" t="str">
        <f ca="1">OFFSET(input!$A$25,P136,0)</f>
        <v>N</v>
      </c>
      <c r="B136" s="891">
        <f ca="1">SUMIFS(Paper!$AC$7:$AC$30,Paper!$A$7:$A$30,Ink!A136)+SUMIFS(Paper!$X$7:$X$30,Paper!$A$7:$A$30,Ink!A136)</f>
        <v>0</v>
      </c>
      <c r="C136" s="953">
        <v>7</v>
      </c>
      <c r="D136" s="954" t="str">
        <f ca="1">OFFSET(input!$A$27,O136,0)</f>
        <v>None</v>
      </c>
      <c r="E136" s="891">
        <f ca="1">SUMIFS(Paper!$N$7:$N$30,Paper!$A$7:$A$30,A136)</f>
        <v>0</v>
      </c>
      <c r="F136" s="891">
        <f ca="1">SUMIFS(Paper!$O$7:$O$30,Paper!$A$7:$A$30,A136)</f>
        <v>0</v>
      </c>
      <c r="G136" s="955">
        <f ca="1">IF($D136="None",0,IF(OFFSET(input!$B$27,O136,0)&gt;0,OFFSET(input!$B$27,O136,0),E136*F136*$D$8*10000/IF($B$2="PACK",COUNTIF($H$10:$H$23,"&gt;0"),1)))</f>
        <v>0</v>
      </c>
      <c r="H136" s="956">
        <f ca="1">IF(OFFSET(input!$C$27,O136,0)&gt;0,OFFSET(input!$C$27,O136,0),VLOOKUP(D136,Data!$L$1064:$M$1071,2,0))</f>
        <v>0</v>
      </c>
      <c r="I136" s="891">
        <f t="shared" ca="1" si="85"/>
        <v>0</v>
      </c>
      <c r="J136" s="891">
        <f ca="1">IF(G136&gt;0,0.2,0)*OFFSET(Paper!$J$7,Q136,0)</f>
        <v>0</v>
      </c>
      <c r="K136" s="891">
        <f t="shared" ca="1" si="86"/>
        <v>0</v>
      </c>
      <c r="L136" s="891">
        <f t="shared" ca="1" si="87"/>
        <v>0</v>
      </c>
      <c r="M136" s="891">
        <f t="shared" ca="1" si="88"/>
        <v>0</v>
      </c>
      <c r="N136" s="136" t="str">
        <f ca="1">OFFSET(input!$F$33,P136,0)</f>
        <v>N</v>
      </c>
      <c r="O136" s="136">
        <f t="shared" si="89"/>
        <v>142</v>
      </c>
      <c r="P136" s="136">
        <f t="shared" si="90"/>
        <v>136</v>
      </c>
      <c r="Q136" s="136">
        <f t="shared" si="91"/>
        <v>8</v>
      </c>
      <c r="AT136" s="413">
        <f t="shared" ca="1" si="47"/>
        <v>0</v>
      </c>
      <c r="AU136" s="136">
        <f ca="1">COUNTIFS(AT$7:$AT136,1)</f>
        <v>1</v>
      </c>
    </row>
    <row r="137" spans="1:47" ht="15">
      <c r="A137" s="952" t="str">
        <f ca="1">OFFSET(input!$A$25,P137,0)</f>
        <v>N</v>
      </c>
      <c r="B137" s="891">
        <f ca="1">SUMIFS(Paper!$AC$7:$AC$30,Paper!$A$7:$A$30,Ink!A137)+SUMIFS(Paper!$X$7:$X$30,Paper!$A$7:$A$30,Ink!A137)</f>
        <v>0</v>
      </c>
      <c r="C137" s="953">
        <v>8</v>
      </c>
      <c r="D137" s="954" t="str">
        <f ca="1">OFFSET(input!$A$27,O137,0)</f>
        <v>None</v>
      </c>
      <c r="E137" s="891">
        <f ca="1">SUMIFS(Paper!$N$7:$N$30,Paper!$A$7:$A$30,A137)</f>
        <v>0</v>
      </c>
      <c r="F137" s="891">
        <f ca="1">SUMIFS(Paper!$O$7:$O$30,Paper!$A$7:$A$30,A137)</f>
        <v>0</v>
      </c>
      <c r="G137" s="955">
        <f ca="1">IF($D137="None",0,IF(OFFSET(input!$B$27,O137,0)&gt;0,OFFSET(input!$B$27,O137,0),E137*F137*$D$8*10000/IF($B$2="PACK",COUNTIF($H$10:$H$23,"&gt;0"),1)))</f>
        <v>0</v>
      </c>
      <c r="H137" s="956">
        <f ca="1">IF(OFFSET(input!$C$27,O137,0)&gt;0,OFFSET(input!$C$27,O137,0),VLOOKUP(D137,Data!$L$1064:$M$1071,2,0))</f>
        <v>0</v>
      </c>
      <c r="I137" s="891">
        <f t="shared" ca="1" si="85"/>
        <v>0</v>
      </c>
      <c r="J137" s="891">
        <f ca="1">IF(G137&gt;0,0.2,0)*OFFSET(Paper!$J$7,Q137,0)</f>
        <v>0</v>
      </c>
      <c r="K137" s="891">
        <f t="shared" ca="1" si="86"/>
        <v>0</v>
      </c>
      <c r="L137" s="891">
        <f t="shared" ca="1" si="87"/>
        <v>0</v>
      </c>
      <c r="M137" s="891">
        <f t="shared" ca="1" si="88"/>
        <v>0</v>
      </c>
      <c r="N137" s="136" t="str">
        <f ca="1">OFFSET(input!$F$33,P137,0)</f>
        <v>N</v>
      </c>
      <c r="O137" s="136">
        <f t="shared" si="89"/>
        <v>143</v>
      </c>
      <c r="P137" s="136">
        <f t="shared" si="90"/>
        <v>136</v>
      </c>
      <c r="Q137" s="136">
        <f t="shared" si="91"/>
        <v>8</v>
      </c>
      <c r="AT137" s="413">
        <f t="shared" ca="1" si="47"/>
        <v>0</v>
      </c>
      <c r="AU137" s="136">
        <f ca="1">COUNTIFS(AT$7:$AT137,1)</f>
        <v>1</v>
      </c>
    </row>
    <row r="138" spans="1:47" ht="15">
      <c r="A138" s="952" t="str">
        <f ca="1">OFFSET(input!$A$25,P138,0)</f>
        <v>N</v>
      </c>
      <c r="B138" s="891">
        <f ca="1">SUMIFS(Paper!$AC$7:$AC$30,Paper!$A$7:$A$30,Ink!A138)+SUMIFS(Paper!$X$7:$X$30,Paper!$A$7:$A$30,Ink!A138)</f>
        <v>0</v>
      </c>
      <c r="C138" s="953">
        <v>9</v>
      </c>
      <c r="D138" s="954" t="str">
        <f ca="1">OFFSET(input!$A$27,O138,0)</f>
        <v>None</v>
      </c>
      <c r="E138" s="891">
        <f ca="1">SUMIFS(Paper!$N$7:$N$30,Paper!$A$7:$A$30,A138)</f>
        <v>0</v>
      </c>
      <c r="F138" s="891">
        <f ca="1">SUMIFS(Paper!$O$7:$O$30,Paper!$A$7:$A$30,A138)</f>
        <v>0</v>
      </c>
      <c r="G138" s="955">
        <f ca="1">IF($D138="None",0,IF(OFFSET(input!$B$27,O138,0)&gt;0,OFFSET(input!$B$27,O138,0),E138*F138*$D$8*10000/IF($B$2="PACK",COUNTIF($H$10:$H$23,"&gt;0"),1)))</f>
        <v>0</v>
      </c>
      <c r="H138" s="956">
        <f ca="1">IF(OFFSET(input!$C$27,O138,0)&gt;0,OFFSET(input!$C$27,O138,0),VLOOKUP(D138,Data!$L$1064:$M$1071,2,0))</f>
        <v>0</v>
      </c>
      <c r="I138" s="891">
        <f t="shared" ca="1" si="85"/>
        <v>0</v>
      </c>
      <c r="J138" s="891">
        <f ca="1">IF(G138&gt;0,0.2,0)*OFFSET(Paper!$J$7,Q138,0)</f>
        <v>0</v>
      </c>
      <c r="K138" s="891">
        <f t="shared" ca="1" si="86"/>
        <v>0</v>
      </c>
      <c r="L138" s="891">
        <f t="shared" ca="1" si="87"/>
        <v>0</v>
      </c>
      <c r="M138" s="891">
        <f t="shared" ca="1" si="88"/>
        <v>0</v>
      </c>
      <c r="N138" s="136" t="str">
        <f ca="1">OFFSET(input!$F$33,P138,0)</f>
        <v>N</v>
      </c>
      <c r="O138" s="136">
        <f t="shared" si="89"/>
        <v>144</v>
      </c>
      <c r="P138" s="136">
        <f t="shared" si="90"/>
        <v>136</v>
      </c>
      <c r="Q138" s="136">
        <f t="shared" si="91"/>
        <v>8</v>
      </c>
      <c r="AT138" s="413">
        <f t="shared" ca="1" si="47"/>
        <v>0</v>
      </c>
      <c r="AU138" s="136">
        <f ca="1">COUNTIFS(AT$7:$AT138,1)</f>
        <v>1</v>
      </c>
    </row>
    <row r="139" spans="1:47" ht="15">
      <c r="A139" s="952" t="str">
        <f ca="1">OFFSET(input!$A$25,P139,0)</f>
        <v>N</v>
      </c>
      <c r="B139" s="891">
        <f ca="1">SUMIFS(Paper!$AC$7:$AC$30,Paper!$A$7:$A$30,Ink!A139)+SUMIFS(Paper!$X$7:$X$30,Paper!$A$7:$A$30,Ink!A139)</f>
        <v>0</v>
      </c>
      <c r="C139" s="953">
        <v>10</v>
      </c>
      <c r="D139" s="954" t="str">
        <f ca="1">OFFSET(input!$A$27,O139,0)</f>
        <v>None</v>
      </c>
      <c r="E139" s="891">
        <f ca="1">SUMIFS(Paper!$N$7:$N$30,Paper!$A$7:$A$30,A139)</f>
        <v>0</v>
      </c>
      <c r="F139" s="891">
        <f ca="1">SUMIFS(Paper!$O$7:$O$30,Paper!$A$7:$A$30,A139)</f>
        <v>0</v>
      </c>
      <c r="G139" s="955">
        <f ca="1">IF($D139="None",0,IF(OFFSET(input!$B$27,O139,0)&gt;0,OFFSET(input!$B$27,O139,0),E139*F139*$D$8*10000/IF($B$2="PACK",COUNTIF($H$10:$H$23,"&gt;0"),1)))</f>
        <v>0</v>
      </c>
      <c r="H139" s="956">
        <f ca="1">IF(OFFSET(input!$C$27,O139,0)&gt;0,OFFSET(input!$C$27,O139,0),VLOOKUP(D139,Data!$L$1064:$M$1071,2,0))</f>
        <v>0</v>
      </c>
      <c r="I139" s="891">
        <f ca="1">ROUNDUP(IF(G139&gt;0,((B139/10000)*G139),0),1)</f>
        <v>0</v>
      </c>
      <c r="J139" s="891">
        <f ca="1">IF(G139&gt;0,0.2,0)*OFFSET(Paper!$J$7,Q139,0)</f>
        <v>0</v>
      </c>
      <c r="K139" s="891">
        <f ca="1">J139*H139</f>
        <v>0</v>
      </c>
      <c r="L139" s="891">
        <f ca="1">IF(I139=0,0,H139*(I139+J139))</f>
        <v>0</v>
      </c>
      <c r="M139" s="891">
        <f ca="1">IF($D$3&gt;0,L139/($D$3),0)*(1+$M$6)</f>
        <v>0</v>
      </c>
      <c r="N139" s="136" t="str">
        <f ca="1">OFFSET(input!$F$33,P139,0)</f>
        <v>N</v>
      </c>
      <c r="O139" s="136">
        <f t="shared" si="89"/>
        <v>145</v>
      </c>
      <c r="P139" s="136">
        <f t="shared" si="90"/>
        <v>136</v>
      </c>
      <c r="Q139" s="136">
        <f t="shared" si="91"/>
        <v>8</v>
      </c>
      <c r="AT139" s="413">
        <f t="shared" ref="AT139:AT183" ca="1" si="92">IF(ISNUMBER(M139),IF(M139&lt;&gt;0,IF(ISNUMBER(SEARCH("to",GL139)),0,1),0),"")</f>
        <v>0</v>
      </c>
      <c r="AU139" s="136">
        <f ca="1">COUNTIFS(AT$7:$AT139,1)</f>
        <v>1</v>
      </c>
    </row>
    <row r="140" spans="1:47" ht="15">
      <c r="A140" s="952" t="str">
        <f ca="1">OFFSET(input!$A$25,P140,0)</f>
        <v>N</v>
      </c>
      <c r="B140" s="891">
        <f ca="1">SUMIFS(Paper!$AC$7:$AC$30,Paper!$A$7:$A$30,Ink!A140)+SUMIFS(Paper!$X$7:$X$30,Paper!$A$7:$A$30,Ink!A140)</f>
        <v>0</v>
      </c>
      <c r="C140" s="953">
        <v>11</v>
      </c>
      <c r="D140" s="954" t="str">
        <f ca="1">OFFSET(input!$A$27,O140,0)</f>
        <v>None</v>
      </c>
      <c r="E140" s="891">
        <f ca="1">SUMIFS(Paper!$N$7:$N$30,Paper!$A$7:$A$30,A140)</f>
        <v>0</v>
      </c>
      <c r="F140" s="891">
        <f ca="1">SUMIFS(Paper!$O$7:$O$30,Paper!$A$7:$A$30,A140)</f>
        <v>0</v>
      </c>
      <c r="G140" s="955">
        <f ca="1">IF($D140="None",0,IF(OFFSET(input!$B$27,O140,0)&gt;0,OFFSET(input!$B$27,O140,0),E140*F140*$D$8*10000/IF($B$2="PACK",COUNTIF($H$10:$H$23,"&gt;0"),1)))</f>
        <v>0</v>
      </c>
      <c r="H140" s="956">
        <f ca="1">IF(OFFSET(input!$C$27,O140,0)&gt;0,OFFSET(input!$C$27,O140,0),VLOOKUP(D140,Data!$L$1064:$M$1071,2,0))</f>
        <v>0</v>
      </c>
      <c r="I140" s="891">
        <f ca="1">ROUNDUP(IF(G140&gt;0,((B140/10000)*G140),0),1)</f>
        <v>0</v>
      </c>
      <c r="J140" s="891">
        <f ca="1">IF(G140&gt;0,0.2,0)*OFFSET(Paper!$J$7,Q140,0)</f>
        <v>0</v>
      </c>
      <c r="K140" s="891">
        <f ca="1">J140*H140</f>
        <v>0</v>
      </c>
      <c r="L140" s="891">
        <f ca="1">IF(I140=0,0,H140*(I140+J140))</f>
        <v>0</v>
      </c>
      <c r="M140" s="891">
        <f ca="1">IF($D$3&gt;0,L140/($D$3),0)*(1+$M$6)</f>
        <v>0</v>
      </c>
      <c r="N140" s="136" t="str">
        <f ca="1">OFFSET(input!$F$33,P140,0)</f>
        <v>N</v>
      </c>
      <c r="O140" s="136">
        <f t="shared" si="89"/>
        <v>146</v>
      </c>
      <c r="P140" s="136">
        <f t="shared" si="90"/>
        <v>136</v>
      </c>
      <c r="Q140" s="136">
        <f t="shared" si="91"/>
        <v>8</v>
      </c>
      <c r="AT140" s="413">
        <f t="shared" ca="1" si="92"/>
        <v>0</v>
      </c>
      <c r="AU140" s="136">
        <f ca="1">COUNTIFS(AT$7:$AT140,1)</f>
        <v>1</v>
      </c>
    </row>
    <row r="141" spans="1:47" ht="15">
      <c r="A141" s="952" t="str">
        <f ca="1">OFFSET(input!$A$25,P141,0)</f>
        <v>N</v>
      </c>
      <c r="B141" s="891">
        <f ca="1">SUMIFS(Paper!$AC$7:$AC$30,Paper!$A$7:$A$30,Ink!A141)+SUMIFS(Paper!$X$7:$X$30,Paper!$A$7:$A$30,Ink!A141)</f>
        <v>0</v>
      </c>
      <c r="C141" s="953">
        <v>12</v>
      </c>
      <c r="D141" s="954" t="str">
        <f ca="1">OFFSET(input!$A$27,O141,0)</f>
        <v>None</v>
      </c>
      <c r="E141" s="891">
        <f ca="1">SUMIFS(Paper!$N$7:$N$30,Paper!$A$7:$A$30,A141)</f>
        <v>0</v>
      </c>
      <c r="F141" s="891">
        <f ca="1">SUMIFS(Paper!$O$7:$O$30,Paper!$A$7:$A$30,A141)</f>
        <v>0</v>
      </c>
      <c r="G141" s="955">
        <f ca="1">IF($D141="None",0,IF(OFFSET(input!$B$27,O141,0)&gt;0,OFFSET(input!$B$27,O141,0),E141*F141*$D$8*10000/IF($B$2="PACK",COUNTIF($H$10:$H$23,"&gt;0"),1)))</f>
        <v>0</v>
      </c>
      <c r="H141" s="956">
        <f ca="1">IF(OFFSET(input!$C$27,O141,0)&gt;0,OFFSET(input!$C$27,O141,0),VLOOKUP(D141,Data!$L$1064:$M$1071,2,0))</f>
        <v>0</v>
      </c>
      <c r="I141" s="891">
        <f ca="1">ROUNDUP(IF(G141&gt;0,((B141/10000)*G141),0),1)</f>
        <v>0</v>
      </c>
      <c r="J141" s="891">
        <f ca="1">IF(G141&gt;0,0.2,0)*OFFSET(Paper!$J$7,Q141,0)</f>
        <v>0</v>
      </c>
      <c r="K141" s="891">
        <f ca="1">J141*H141</f>
        <v>0</v>
      </c>
      <c r="L141" s="891">
        <f ca="1">IF(I141=0,0,H141*(I141+J141))</f>
        <v>0</v>
      </c>
      <c r="M141" s="891">
        <f ca="1">IF($D$3&gt;0,L141/($D$3),0)*(1+$M$6)</f>
        <v>0</v>
      </c>
      <c r="N141" s="136" t="str">
        <f ca="1">OFFSET(input!$F$33,P141,0)</f>
        <v>N</v>
      </c>
      <c r="O141" s="136">
        <f t="shared" si="89"/>
        <v>147</v>
      </c>
      <c r="P141" s="136">
        <f t="shared" si="90"/>
        <v>136</v>
      </c>
      <c r="Q141" s="136">
        <f t="shared" si="91"/>
        <v>8</v>
      </c>
      <c r="AT141" s="413">
        <f t="shared" ca="1" si="92"/>
        <v>0</v>
      </c>
      <c r="AU141" s="136">
        <f ca="1">COUNTIFS(AT$7:$AT141,1)</f>
        <v>1</v>
      </c>
    </row>
    <row r="142" spans="1:47" ht="15">
      <c r="A142" s="952" t="str">
        <f ca="1">OFFSET(input!$A$25,P142,0)</f>
        <v>N</v>
      </c>
      <c r="B142" s="891">
        <f ca="1">SUMIFS(Paper!$AC$7:$AC$30,Paper!$A$7:$A$30,Ink!A142)+SUMIFS(Paper!$X$7:$X$30,Paper!$A$7:$A$30,Ink!A142)</f>
        <v>0</v>
      </c>
      <c r="C142" s="953">
        <v>13</v>
      </c>
      <c r="D142" s="954" t="str">
        <f ca="1">OFFSET(input!$A$27,O142,0)</f>
        <v>None</v>
      </c>
      <c r="E142" s="891">
        <f ca="1">SUMIFS(Paper!$N$7:$N$30,Paper!$A$7:$A$30,A142)</f>
        <v>0</v>
      </c>
      <c r="F142" s="891">
        <f ca="1">SUMIFS(Paper!$O$7:$O$30,Paper!$A$7:$A$30,A142)</f>
        <v>0</v>
      </c>
      <c r="G142" s="955">
        <f ca="1">IF($D142="None",0,IF(OFFSET(input!$B$27,O142,0)&gt;0,OFFSET(input!$B$27,O142,0),E142*F142*$D$8*10000/IF($B$2="PACK",COUNTIF($H$10:$H$23,"&gt;0"),1)))</f>
        <v>0</v>
      </c>
      <c r="H142" s="956">
        <f ca="1">IF(OFFSET(input!$C$27,O142,0)&gt;0,OFFSET(input!$C$27,O142,0),VLOOKUP(D142,Data!$L$1064:$M$1071,2,0))</f>
        <v>0</v>
      </c>
      <c r="I142" s="891">
        <f ca="1">ROUNDUP(IF(G142&gt;0,((B142/10000)*G142),0),1)</f>
        <v>0</v>
      </c>
      <c r="J142" s="891">
        <f ca="1">IF(G142&gt;0,0.2,0)*OFFSET(Paper!$J$7,Q142,0)</f>
        <v>0</v>
      </c>
      <c r="K142" s="891">
        <f ca="1">J142*H142</f>
        <v>0</v>
      </c>
      <c r="L142" s="891">
        <f ca="1">IF(I142=0,0,H142*(I142+J142))</f>
        <v>0</v>
      </c>
      <c r="M142" s="891">
        <f ca="1">IF($D$3&gt;0,L142/($D$3),0)*(1+$M$6)</f>
        <v>0</v>
      </c>
      <c r="N142" s="136" t="str">
        <f ca="1">OFFSET(input!$F$33,P142,0)</f>
        <v>N</v>
      </c>
      <c r="O142" s="136">
        <f t="shared" si="89"/>
        <v>148</v>
      </c>
      <c r="P142" s="136">
        <f t="shared" si="90"/>
        <v>136</v>
      </c>
      <c r="Q142" s="136">
        <f t="shared" si="91"/>
        <v>8</v>
      </c>
      <c r="AT142" s="413">
        <f t="shared" ca="1" si="92"/>
        <v>0</v>
      </c>
      <c r="AU142" s="136">
        <f ca="1">COUNTIFS(AT$7:$AT142,1)</f>
        <v>1</v>
      </c>
    </row>
    <row r="143" spans="1:47" ht="15">
      <c r="A143" s="952" t="str">
        <f ca="1">OFFSET(input!$A$25,P143,0)</f>
        <v>N</v>
      </c>
      <c r="B143" s="891">
        <f ca="1">SUMIFS(Paper!$AC$7:$AC$30,Paper!$A$7:$A$30,Ink!A143)+SUMIFS(Paper!$X$7:$X$30,Paper!$A$7:$A$30,Ink!A143)</f>
        <v>0</v>
      </c>
      <c r="C143" s="953">
        <v>14</v>
      </c>
      <c r="D143" s="954" t="str">
        <f ca="1">OFFSET(input!$A$27,O143,0)</f>
        <v>None</v>
      </c>
      <c r="E143" s="891">
        <f ca="1">SUMIFS(Paper!$N$7:$N$30,Paper!$A$7:$A$30,A143)</f>
        <v>0</v>
      </c>
      <c r="F143" s="891">
        <f ca="1">SUMIFS(Paper!$O$7:$O$30,Paper!$A$7:$A$30,A143)</f>
        <v>0</v>
      </c>
      <c r="G143" s="955">
        <f ca="1">IF($D143="None",0,IF(OFFSET(input!$B$27,O143,0)&gt;0,OFFSET(input!$B$27,O143,0),E143*F143*$D$8*10000/IF($B$2="PACK",COUNTIF($H$10:$H$23,"&gt;0"),1)))</f>
        <v>0</v>
      </c>
      <c r="H143" s="956">
        <f ca="1">IF(OFFSET(input!$C$27,O143,0)&gt;0,OFFSET(input!$C$27,O143,0),VLOOKUP(D143,Data!$L$1064:$M$1071,2,0))</f>
        <v>0</v>
      </c>
      <c r="I143" s="891">
        <f t="shared" ref="I143" ca="1" si="93">ROUNDUP(IF(G143&gt;0,((B143/10000)*G143),0),1)</f>
        <v>0</v>
      </c>
      <c r="J143" s="891">
        <f ca="1">IF(G143&gt;0,0.2,0)*OFFSET(Paper!$J$7,Q143,0)</f>
        <v>0</v>
      </c>
      <c r="K143" s="891">
        <f t="shared" ref="K143" ca="1" si="94">J143*H143</f>
        <v>0</v>
      </c>
      <c r="L143" s="891">
        <f t="shared" ref="L143" ca="1" si="95">IF(I143=0,0,H143*(I143+J143))</f>
        <v>0</v>
      </c>
      <c r="M143" s="891">
        <f t="shared" ref="M143" ca="1" si="96">IF($D$3&gt;0,L143/($D$3),0)*(1+$M$6)</f>
        <v>0</v>
      </c>
      <c r="N143" s="136" t="str">
        <f ca="1">OFFSET(input!$F$33,P143,0)</f>
        <v>N</v>
      </c>
      <c r="O143" s="136">
        <f t="shared" si="89"/>
        <v>149</v>
      </c>
      <c r="P143" s="136">
        <f>+P128+17</f>
        <v>136</v>
      </c>
      <c r="Q143" s="136">
        <f t="shared" si="91"/>
        <v>8</v>
      </c>
      <c r="AT143" s="413">
        <f t="shared" ca="1" si="92"/>
        <v>0</v>
      </c>
      <c r="AU143" s="136">
        <f ca="1">COUNTIFS(AT$7:$AT143,1)</f>
        <v>1</v>
      </c>
    </row>
    <row r="144" spans="1:47" ht="15">
      <c r="A144" s="957"/>
      <c r="B144" s="958"/>
      <c r="C144" s="959"/>
      <c r="D144" s="954"/>
      <c r="E144" s="958"/>
      <c r="F144" s="958"/>
      <c r="G144" s="955"/>
      <c r="H144" s="960"/>
      <c r="I144" s="958"/>
      <c r="J144" s="958"/>
      <c r="K144" s="958"/>
      <c r="L144" s="958"/>
      <c r="M144" s="958"/>
      <c r="AT144" s="413" t="str">
        <f t="shared" si="92"/>
        <v/>
      </c>
      <c r="AU144" s="136">
        <f ca="1">COUNTIFS(AT$7:$AT144,1)</f>
        <v>1</v>
      </c>
    </row>
    <row r="145" spans="1:47" ht="15" collapsed="1">
      <c r="A145" s="952" t="str">
        <f ca="1">OFFSET(input!$A$25,P145,0)</f>
        <v>N</v>
      </c>
      <c r="B145" s="891">
        <f ca="1">SUMIFS(Paper!$AC$7:$AC$30,Paper!$A$7:$A$30,Ink!A145)+SUMIFS(Paper!$X$7:$X$30,Paper!$A$7:$A$30,Ink!A145)</f>
        <v>0</v>
      </c>
      <c r="C145" s="953">
        <v>1</v>
      </c>
      <c r="D145" s="954" t="str">
        <f ca="1">OFFSET(input!$A$27,O145,0)</f>
        <v>None</v>
      </c>
      <c r="E145" s="891">
        <f ca="1">SUMIFS(Paper!$N$7:$N$30,Paper!$A$7:$A$30,A145)</f>
        <v>0</v>
      </c>
      <c r="F145" s="891">
        <f ca="1">SUMIFS(Paper!$O$7:$O$30,Paper!$A$7:$A$30,A145)</f>
        <v>0</v>
      </c>
      <c r="G145" s="955">
        <f ca="1">IF($D145="None",0,IF(OFFSET(input!$B$27,O145,0)&gt;0,OFFSET(input!$B$27,O145,0),E145*F145*$D$8*10000/IF($B$2="PACK",COUNTIF($H$10:$H$23,"&gt;0"),1)))</f>
        <v>0</v>
      </c>
      <c r="H145" s="956">
        <f ca="1">IF(OFFSET(input!$C$27,O145,0)&gt;0,OFFSET(input!$C$27,O145,0),VLOOKUP(D145,Data!$L$1064:$M$1071,2,0))</f>
        <v>0</v>
      </c>
      <c r="I145" s="891">
        <f t="shared" ref="I145:I153" ca="1" si="97">ROUNDUP(IF(G145&gt;0,((B145/10000)*G145),0),1)</f>
        <v>0</v>
      </c>
      <c r="J145" s="891">
        <f ca="1">IF(G145&gt;0,0.2,0)*OFFSET(Paper!$J$7,Q145,0)</f>
        <v>0</v>
      </c>
      <c r="K145" s="891">
        <f t="shared" ref="K145:K153" ca="1" si="98">J145*H145</f>
        <v>0</v>
      </c>
      <c r="L145" s="891">
        <f t="shared" ref="L145:L153" ca="1" si="99">IF(I145=0,0,H145*(I145+J145))</f>
        <v>0</v>
      </c>
      <c r="M145" s="891">
        <f ca="1">IF($D$3&gt;0,L145/($D$3),0)*(1+$M$6)</f>
        <v>0</v>
      </c>
      <c r="N145" s="136" t="str">
        <f ca="1">OFFSET(input!$F$33,P145,0)</f>
        <v>N</v>
      </c>
      <c r="O145" s="136">
        <f>O130+17</f>
        <v>153</v>
      </c>
      <c r="P145" s="136">
        <f>+P130+17</f>
        <v>153</v>
      </c>
      <c r="Q145" s="136">
        <f>+Q130+1</f>
        <v>9</v>
      </c>
      <c r="AT145" s="413">
        <f t="shared" ca="1" si="92"/>
        <v>0</v>
      </c>
      <c r="AU145" s="136">
        <f ca="1">COUNTIFS(AT$7:$AT145,1)</f>
        <v>1</v>
      </c>
    </row>
    <row r="146" spans="1:47" ht="15">
      <c r="A146" s="952" t="str">
        <f ca="1">OFFSET(input!$A$25,P146,0)</f>
        <v>N</v>
      </c>
      <c r="B146" s="891">
        <f ca="1">SUMIFS(Paper!$AC$7:$AC$30,Paper!$A$7:$A$30,Ink!A146)+SUMIFS(Paper!$X$7:$X$30,Paper!$A$7:$A$30,Ink!A146)</f>
        <v>0</v>
      </c>
      <c r="C146" s="953">
        <v>2</v>
      </c>
      <c r="D146" s="954" t="str">
        <f ca="1">OFFSET(input!$A$27,O146,0)</f>
        <v>None</v>
      </c>
      <c r="E146" s="891">
        <f ca="1">SUMIFS(Paper!$N$7:$N$30,Paper!$A$7:$A$30,A146)</f>
        <v>0</v>
      </c>
      <c r="F146" s="891">
        <f ca="1">SUMIFS(Paper!$O$7:$O$30,Paper!$A$7:$A$30,A146)</f>
        <v>0</v>
      </c>
      <c r="G146" s="955">
        <f ca="1">IF($D146="None",0,IF(OFFSET(input!$B$27,O146,0)&gt;0,OFFSET(input!$B$27,O146,0),E146*F146*$D$8*10000/IF($B$2="PACK",COUNTIF($H$10:$H$23,"&gt;0"),1)))</f>
        <v>0</v>
      </c>
      <c r="H146" s="956">
        <f ca="1">IF(OFFSET(input!$C$27,O146,0)&gt;0,OFFSET(input!$C$27,O146,0),VLOOKUP(D146,Data!$L$1064:$M$1071,2,0))</f>
        <v>0</v>
      </c>
      <c r="I146" s="891">
        <f t="shared" ca="1" si="97"/>
        <v>0</v>
      </c>
      <c r="J146" s="891">
        <f ca="1">IF(G146&gt;0,0.2,0)*OFFSET(Paper!$J$7,Q146,0)</f>
        <v>0</v>
      </c>
      <c r="K146" s="891">
        <f t="shared" ca="1" si="98"/>
        <v>0</v>
      </c>
      <c r="L146" s="891">
        <f t="shared" ca="1" si="99"/>
        <v>0</v>
      </c>
      <c r="M146" s="891">
        <f t="shared" ref="M146:M153" ca="1" si="100">IF($D$3&gt;0,L146/($D$3),0)*(1+$M$6)</f>
        <v>0</v>
      </c>
      <c r="N146" s="136" t="str">
        <f ca="1">OFFSET(input!$F$33,P146,0)</f>
        <v>N</v>
      </c>
      <c r="O146" s="136">
        <f t="shared" ref="O146:O158" si="101">O131+17</f>
        <v>154</v>
      </c>
      <c r="P146" s="136">
        <f t="shared" ref="P146:P157" si="102">+P131+17</f>
        <v>153</v>
      </c>
      <c r="Q146" s="136">
        <f t="shared" ref="Q146:Q158" si="103">+Q131+1</f>
        <v>9</v>
      </c>
      <c r="AT146" s="413">
        <f t="shared" ca="1" si="92"/>
        <v>0</v>
      </c>
      <c r="AU146" s="136">
        <f ca="1">COUNTIFS(AT$7:$AT146,1)</f>
        <v>1</v>
      </c>
    </row>
    <row r="147" spans="1:47" ht="15">
      <c r="A147" s="952" t="str">
        <f ca="1">OFFSET(input!$A$25,P147,0)</f>
        <v>N</v>
      </c>
      <c r="B147" s="891">
        <f ca="1">SUMIFS(Paper!$AC$7:$AC$30,Paper!$A$7:$A$30,Ink!A147)+SUMIFS(Paper!$X$7:$X$30,Paper!$A$7:$A$30,Ink!A147)</f>
        <v>0</v>
      </c>
      <c r="C147" s="953">
        <v>3</v>
      </c>
      <c r="D147" s="954" t="str">
        <f ca="1">OFFSET(input!$A$27,O147,0)</f>
        <v>None</v>
      </c>
      <c r="E147" s="891">
        <f ca="1">SUMIFS(Paper!$N$7:$N$30,Paper!$A$7:$A$30,A147)</f>
        <v>0</v>
      </c>
      <c r="F147" s="891">
        <f ca="1">SUMIFS(Paper!$O$7:$O$30,Paper!$A$7:$A$30,A147)</f>
        <v>0</v>
      </c>
      <c r="G147" s="955">
        <f ca="1">IF($D147="None",0,IF(OFFSET(input!$B$27,O147,0)&gt;0,OFFSET(input!$B$27,O147,0),E147*F147*$D$8*10000/IF($B$2="PACK",COUNTIF($H$10:$H$23,"&gt;0"),1)))</f>
        <v>0</v>
      </c>
      <c r="H147" s="956">
        <f ca="1">IF(OFFSET(input!$C$27,O147,0)&gt;0,OFFSET(input!$C$27,O147,0),VLOOKUP(D147,Data!$L$1064:$M$1071,2,0))</f>
        <v>0</v>
      </c>
      <c r="I147" s="891">
        <f t="shared" ca="1" si="97"/>
        <v>0</v>
      </c>
      <c r="J147" s="891">
        <f ca="1">IF(G147&gt;0,0.2,0)*OFFSET(Paper!$J$7,Q147,0)</f>
        <v>0</v>
      </c>
      <c r="K147" s="891">
        <f t="shared" ca="1" si="98"/>
        <v>0</v>
      </c>
      <c r="L147" s="891">
        <f t="shared" ca="1" si="99"/>
        <v>0</v>
      </c>
      <c r="M147" s="891">
        <f t="shared" ca="1" si="100"/>
        <v>0</v>
      </c>
      <c r="N147" s="136" t="str">
        <f ca="1">OFFSET(input!$F$33,P147,0)</f>
        <v>N</v>
      </c>
      <c r="O147" s="136">
        <f t="shared" si="101"/>
        <v>155</v>
      </c>
      <c r="P147" s="136">
        <f t="shared" si="102"/>
        <v>153</v>
      </c>
      <c r="Q147" s="136">
        <f t="shared" si="103"/>
        <v>9</v>
      </c>
      <c r="AT147" s="413">
        <f t="shared" ca="1" si="92"/>
        <v>0</v>
      </c>
      <c r="AU147" s="136">
        <f ca="1">COUNTIFS(AT$7:$AT147,1)</f>
        <v>1</v>
      </c>
    </row>
    <row r="148" spans="1:47" ht="15">
      <c r="A148" s="952" t="str">
        <f ca="1">OFFSET(input!$A$25,P148,0)</f>
        <v>N</v>
      </c>
      <c r="B148" s="891">
        <f ca="1">SUMIFS(Paper!$AC$7:$AC$30,Paper!$A$7:$A$30,Ink!A148)+SUMIFS(Paper!$X$7:$X$30,Paper!$A$7:$A$30,Ink!A148)</f>
        <v>0</v>
      </c>
      <c r="C148" s="953">
        <v>4</v>
      </c>
      <c r="D148" s="954" t="str">
        <f ca="1">OFFSET(input!$A$27,O148,0)</f>
        <v>None</v>
      </c>
      <c r="E148" s="891">
        <f ca="1">SUMIFS(Paper!$N$7:$N$30,Paper!$A$7:$A$30,A148)</f>
        <v>0</v>
      </c>
      <c r="F148" s="891">
        <f ca="1">SUMIFS(Paper!$O$7:$O$30,Paper!$A$7:$A$30,A148)</f>
        <v>0</v>
      </c>
      <c r="G148" s="955">
        <f ca="1">IF($D148="None",0,IF(OFFSET(input!$B$27,O148,0)&gt;0,OFFSET(input!$B$27,O148,0),E148*F148*$D$8*10000/IF($B$2="PACK",COUNTIF($H$10:$H$23,"&gt;0"),1)))</f>
        <v>0</v>
      </c>
      <c r="H148" s="956">
        <f ca="1">IF(OFFSET(input!$C$27,O148,0)&gt;0,OFFSET(input!$C$27,O148,0),VLOOKUP(D148,Data!$L$1064:$M$1071,2,0))</f>
        <v>0</v>
      </c>
      <c r="I148" s="891">
        <f t="shared" ca="1" si="97"/>
        <v>0</v>
      </c>
      <c r="J148" s="891">
        <f ca="1">IF(G148&gt;0,0.2,0)*OFFSET(Paper!$J$7,Q148,0)</f>
        <v>0</v>
      </c>
      <c r="K148" s="891">
        <f t="shared" ca="1" si="98"/>
        <v>0</v>
      </c>
      <c r="L148" s="891">
        <f t="shared" ca="1" si="99"/>
        <v>0</v>
      </c>
      <c r="M148" s="891">
        <f t="shared" ca="1" si="100"/>
        <v>0</v>
      </c>
      <c r="N148" s="136" t="str">
        <f ca="1">OFFSET(input!$F$33,P148,0)</f>
        <v>N</v>
      </c>
      <c r="O148" s="136">
        <f t="shared" si="101"/>
        <v>156</v>
      </c>
      <c r="P148" s="136">
        <f t="shared" si="102"/>
        <v>153</v>
      </c>
      <c r="Q148" s="136">
        <f t="shared" si="103"/>
        <v>9</v>
      </c>
      <c r="AT148" s="413">
        <f t="shared" ca="1" si="92"/>
        <v>0</v>
      </c>
      <c r="AU148" s="136">
        <f ca="1">COUNTIFS(AT$7:$AT148,1)</f>
        <v>1</v>
      </c>
    </row>
    <row r="149" spans="1:47" ht="15">
      <c r="A149" s="952" t="str">
        <f ca="1">OFFSET(input!$A$25,P149,0)</f>
        <v>N</v>
      </c>
      <c r="B149" s="891">
        <f ca="1">SUMIFS(Paper!$AC$7:$AC$30,Paper!$A$7:$A$30,Ink!A149)+SUMIFS(Paper!$X$7:$X$30,Paper!$A$7:$A$30,Ink!A149)</f>
        <v>0</v>
      </c>
      <c r="C149" s="953">
        <v>5</v>
      </c>
      <c r="D149" s="954" t="str">
        <f ca="1">OFFSET(input!$A$27,O149,0)</f>
        <v>None</v>
      </c>
      <c r="E149" s="891">
        <f ca="1">SUMIFS(Paper!$N$7:$N$30,Paper!$A$7:$A$30,A149)</f>
        <v>0</v>
      </c>
      <c r="F149" s="891">
        <f ca="1">SUMIFS(Paper!$O$7:$O$30,Paper!$A$7:$A$30,A149)</f>
        <v>0</v>
      </c>
      <c r="G149" s="955">
        <f ca="1">IF($D149="None",0,IF(OFFSET(input!$B$27,O149,0)&gt;0,OFFSET(input!$B$27,O149,0),E149*F149*$D$8*10000/IF($B$2="PACK",COUNTIF($H$10:$H$23,"&gt;0"),1)))</f>
        <v>0</v>
      </c>
      <c r="H149" s="956">
        <f ca="1">IF(OFFSET(input!$C$27,O149,0)&gt;0,OFFSET(input!$C$27,O149,0),VLOOKUP(D149,Data!$L$1064:$M$1071,2,0))</f>
        <v>0</v>
      </c>
      <c r="I149" s="891">
        <f t="shared" ca="1" si="97"/>
        <v>0</v>
      </c>
      <c r="J149" s="891">
        <f ca="1">IF(G149&gt;0,0.2,0)*OFFSET(Paper!$J$7,Q149,0)</f>
        <v>0</v>
      </c>
      <c r="K149" s="891">
        <f t="shared" ca="1" si="98"/>
        <v>0</v>
      </c>
      <c r="L149" s="891">
        <f t="shared" ca="1" si="99"/>
        <v>0</v>
      </c>
      <c r="M149" s="891">
        <f t="shared" ca="1" si="100"/>
        <v>0</v>
      </c>
      <c r="N149" s="136" t="str">
        <f ca="1">OFFSET(input!$F$33,P149,0)</f>
        <v>N</v>
      </c>
      <c r="O149" s="136">
        <f t="shared" si="101"/>
        <v>157</v>
      </c>
      <c r="P149" s="136">
        <f t="shared" si="102"/>
        <v>153</v>
      </c>
      <c r="Q149" s="136">
        <f t="shared" si="103"/>
        <v>9</v>
      </c>
      <c r="AT149" s="413">
        <f t="shared" ca="1" si="92"/>
        <v>0</v>
      </c>
      <c r="AU149" s="136">
        <f ca="1">COUNTIFS(AT$7:$AT149,1)</f>
        <v>1</v>
      </c>
    </row>
    <row r="150" spans="1:47" ht="15">
      <c r="A150" s="952" t="str">
        <f ca="1">OFFSET(input!$A$25,P150,0)</f>
        <v>N</v>
      </c>
      <c r="B150" s="891">
        <f ca="1">SUMIFS(Paper!$AC$7:$AC$30,Paper!$A$7:$A$30,Ink!A150)+SUMIFS(Paper!$X$7:$X$30,Paper!$A$7:$A$30,Ink!A150)</f>
        <v>0</v>
      </c>
      <c r="C150" s="953">
        <v>6</v>
      </c>
      <c r="D150" s="954" t="str">
        <f ca="1">OFFSET(input!$A$27,O150,0)</f>
        <v>None</v>
      </c>
      <c r="E150" s="891">
        <f ca="1">SUMIFS(Paper!$N$7:$N$30,Paper!$A$7:$A$30,A150)</f>
        <v>0</v>
      </c>
      <c r="F150" s="891">
        <f ca="1">SUMIFS(Paper!$O$7:$O$30,Paper!$A$7:$A$30,A150)</f>
        <v>0</v>
      </c>
      <c r="G150" s="955">
        <f ca="1">IF($D150="None",0,IF(OFFSET(input!$B$27,O150,0)&gt;0,OFFSET(input!$B$27,O150,0),E150*F150*$D$8*10000/IF($B$2="PACK",COUNTIF($H$10:$H$23,"&gt;0"),1)))</f>
        <v>0</v>
      </c>
      <c r="H150" s="956">
        <f ca="1">IF(OFFSET(input!$C$27,O150,0)&gt;0,OFFSET(input!$C$27,O150,0),VLOOKUP(D150,Data!$L$1064:$M$1071,2,0))</f>
        <v>0</v>
      </c>
      <c r="I150" s="891">
        <f t="shared" ca="1" si="97"/>
        <v>0</v>
      </c>
      <c r="J150" s="891">
        <f ca="1">IF(G150&gt;0,0.2,0)*OFFSET(Paper!$J$7,Q150,0)</f>
        <v>0</v>
      </c>
      <c r="K150" s="891">
        <f t="shared" ca="1" si="98"/>
        <v>0</v>
      </c>
      <c r="L150" s="891">
        <f t="shared" ca="1" si="99"/>
        <v>0</v>
      </c>
      <c r="M150" s="891">
        <f t="shared" ca="1" si="100"/>
        <v>0</v>
      </c>
      <c r="N150" s="136" t="str">
        <f ca="1">OFFSET(input!$F$33,P150,0)</f>
        <v>N</v>
      </c>
      <c r="O150" s="136">
        <f t="shared" si="101"/>
        <v>158</v>
      </c>
      <c r="P150" s="136">
        <f t="shared" si="102"/>
        <v>153</v>
      </c>
      <c r="Q150" s="136">
        <f t="shared" si="103"/>
        <v>9</v>
      </c>
      <c r="AT150" s="413">
        <f t="shared" ca="1" si="92"/>
        <v>0</v>
      </c>
      <c r="AU150" s="136">
        <f ca="1">COUNTIFS(AT$7:$AT150,1)</f>
        <v>1</v>
      </c>
    </row>
    <row r="151" spans="1:47" ht="15">
      <c r="A151" s="952" t="str">
        <f ca="1">OFFSET(input!$A$25,P151,0)</f>
        <v>N</v>
      </c>
      <c r="B151" s="891">
        <f ca="1">SUMIFS(Paper!$AC$7:$AC$30,Paper!$A$7:$A$30,Ink!A151)+SUMIFS(Paper!$X$7:$X$30,Paper!$A$7:$A$30,Ink!A151)</f>
        <v>0</v>
      </c>
      <c r="C151" s="953">
        <v>7</v>
      </c>
      <c r="D151" s="954" t="str">
        <f ca="1">OFFSET(input!$A$27,O151,0)</f>
        <v>None</v>
      </c>
      <c r="E151" s="891">
        <f ca="1">SUMIFS(Paper!$N$7:$N$30,Paper!$A$7:$A$30,A151)</f>
        <v>0</v>
      </c>
      <c r="F151" s="891">
        <f ca="1">SUMIFS(Paper!$O$7:$O$30,Paper!$A$7:$A$30,A151)</f>
        <v>0</v>
      </c>
      <c r="G151" s="955">
        <f ca="1">IF($D151="None",0,IF(OFFSET(input!$B$27,O151,0)&gt;0,OFFSET(input!$B$27,O151,0),E151*F151*$D$8*10000/IF($B$2="PACK",COUNTIF($H$10:$H$23,"&gt;0"),1)))</f>
        <v>0</v>
      </c>
      <c r="H151" s="956">
        <f ca="1">IF(OFFSET(input!$C$27,O151,0)&gt;0,OFFSET(input!$C$27,O151,0),VLOOKUP(D151,Data!$L$1064:$M$1071,2,0))</f>
        <v>0</v>
      </c>
      <c r="I151" s="891">
        <f t="shared" ca="1" si="97"/>
        <v>0</v>
      </c>
      <c r="J151" s="891">
        <f ca="1">IF(G151&gt;0,0.2,0)*OFFSET(Paper!$J$7,Q151,0)</f>
        <v>0</v>
      </c>
      <c r="K151" s="891">
        <f t="shared" ca="1" si="98"/>
        <v>0</v>
      </c>
      <c r="L151" s="891">
        <f t="shared" ca="1" si="99"/>
        <v>0</v>
      </c>
      <c r="M151" s="891">
        <f t="shared" ca="1" si="100"/>
        <v>0</v>
      </c>
      <c r="N151" s="136" t="str">
        <f ca="1">OFFSET(input!$F$33,P151,0)</f>
        <v>N</v>
      </c>
      <c r="O151" s="136">
        <f t="shared" si="101"/>
        <v>159</v>
      </c>
      <c r="P151" s="136">
        <f t="shared" si="102"/>
        <v>153</v>
      </c>
      <c r="Q151" s="136">
        <f t="shared" si="103"/>
        <v>9</v>
      </c>
      <c r="AT151" s="413">
        <f t="shared" ca="1" si="92"/>
        <v>0</v>
      </c>
      <c r="AU151" s="136">
        <f ca="1">COUNTIFS(AT$7:$AT151,1)</f>
        <v>1</v>
      </c>
    </row>
    <row r="152" spans="1:47" ht="15">
      <c r="A152" s="952" t="str">
        <f ca="1">OFFSET(input!$A$25,P152,0)</f>
        <v>N</v>
      </c>
      <c r="B152" s="891">
        <f ca="1">SUMIFS(Paper!$AC$7:$AC$30,Paper!$A$7:$A$30,Ink!A152)+SUMIFS(Paper!$X$7:$X$30,Paper!$A$7:$A$30,Ink!A152)</f>
        <v>0</v>
      </c>
      <c r="C152" s="953">
        <v>8</v>
      </c>
      <c r="D152" s="954" t="str">
        <f ca="1">OFFSET(input!$A$27,O152,0)</f>
        <v>None</v>
      </c>
      <c r="E152" s="891">
        <f ca="1">SUMIFS(Paper!$N$7:$N$30,Paper!$A$7:$A$30,A152)</f>
        <v>0</v>
      </c>
      <c r="F152" s="891">
        <f ca="1">SUMIFS(Paper!$O$7:$O$30,Paper!$A$7:$A$30,A152)</f>
        <v>0</v>
      </c>
      <c r="G152" s="955">
        <f ca="1">IF($D152="None",0,IF(OFFSET(input!$B$27,O152,0)&gt;0,OFFSET(input!$B$27,O152,0),E152*F152*$D$8*10000/IF($B$2="PACK",COUNTIF($H$10:$H$23,"&gt;0"),1)))</f>
        <v>0</v>
      </c>
      <c r="H152" s="956">
        <f ca="1">IF(OFFSET(input!$C$27,O152,0)&gt;0,OFFSET(input!$C$27,O152,0),VLOOKUP(D152,Data!$L$1064:$M$1071,2,0))</f>
        <v>0</v>
      </c>
      <c r="I152" s="891">
        <f t="shared" ca="1" si="97"/>
        <v>0</v>
      </c>
      <c r="J152" s="891">
        <f ca="1">IF(G152&gt;0,0.2,0)*OFFSET(Paper!$J$7,Q152,0)</f>
        <v>0</v>
      </c>
      <c r="K152" s="891">
        <f t="shared" ca="1" si="98"/>
        <v>0</v>
      </c>
      <c r="L152" s="891">
        <f t="shared" ca="1" si="99"/>
        <v>0</v>
      </c>
      <c r="M152" s="891">
        <f t="shared" ca="1" si="100"/>
        <v>0</v>
      </c>
      <c r="N152" s="136" t="str">
        <f ca="1">OFFSET(input!$F$33,P152,0)</f>
        <v>N</v>
      </c>
      <c r="O152" s="136">
        <f t="shared" si="101"/>
        <v>160</v>
      </c>
      <c r="P152" s="136">
        <f t="shared" si="102"/>
        <v>153</v>
      </c>
      <c r="Q152" s="136">
        <f t="shared" si="103"/>
        <v>9</v>
      </c>
      <c r="AT152" s="413">
        <f t="shared" ca="1" si="92"/>
        <v>0</v>
      </c>
      <c r="AU152" s="136">
        <f ca="1">COUNTIFS(AT$7:$AT152,1)</f>
        <v>1</v>
      </c>
    </row>
    <row r="153" spans="1:47" ht="15">
      <c r="A153" s="952" t="str">
        <f ca="1">OFFSET(input!$A$25,P153,0)</f>
        <v>N</v>
      </c>
      <c r="B153" s="891">
        <f ca="1">SUMIFS(Paper!$AC$7:$AC$30,Paper!$A$7:$A$30,Ink!A153)+SUMIFS(Paper!$X$7:$X$30,Paper!$A$7:$A$30,Ink!A153)</f>
        <v>0</v>
      </c>
      <c r="C153" s="953">
        <v>9</v>
      </c>
      <c r="D153" s="954" t="str">
        <f ca="1">OFFSET(input!$A$27,O153,0)</f>
        <v>None</v>
      </c>
      <c r="E153" s="891">
        <f ca="1">SUMIFS(Paper!$N$7:$N$30,Paper!$A$7:$A$30,A153)</f>
        <v>0</v>
      </c>
      <c r="F153" s="891">
        <f ca="1">SUMIFS(Paper!$O$7:$O$30,Paper!$A$7:$A$30,A153)</f>
        <v>0</v>
      </c>
      <c r="G153" s="955">
        <f ca="1">IF($D153="None",0,IF(OFFSET(input!$B$27,O153,0)&gt;0,OFFSET(input!$B$27,O153,0),E153*F153*$D$8*10000/IF($B$2="PACK",COUNTIF($H$10:$H$23,"&gt;0"),1)))</f>
        <v>0</v>
      </c>
      <c r="H153" s="956">
        <f ca="1">IF(OFFSET(input!$C$27,O153,0)&gt;0,OFFSET(input!$C$27,O153,0),VLOOKUP(D153,Data!$L$1064:$M$1071,2,0))</f>
        <v>0</v>
      </c>
      <c r="I153" s="891">
        <f t="shared" ca="1" si="97"/>
        <v>0</v>
      </c>
      <c r="J153" s="891">
        <f ca="1">IF(G153&gt;0,0.2,0)*OFFSET(Paper!$J$7,Q153,0)</f>
        <v>0</v>
      </c>
      <c r="K153" s="891">
        <f t="shared" ca="1" si="98"/>
        <v>0</v>
      </c>
      <c r="L153" s="891">
        <f t="shared" ca="1" si="99"/>
        <v>0</v>
      </c>
      <c r="M153" s="891">
        <f t="shared" ca="1" si="100"/>
        <v>0</v>
      </c>
      <c r="N153" s="136" t="str">
        <f ca="1">OFFSET(input!$F$33,P153,0)</f>
        <v>N</v>
      </c>
      <c r="O153" s="136">
        <f t="shared" si="101"/>
        <v>161</v>
      </c>
      <c r="P153" s="136">
        <f t="shared" si="102"/>
        <v>153</v>
      </c>
      <c r="Q153" s="136">
        <f t="shared" si="103"/>
        <v>9</v>
      </c>
      <c r="AT153" s="413">
        <f t="shared" ca="1" si="92"/>
        <v>0</v>
      </c>
      <c r="AU153" s="136">
        <f ca="1">COUNTIFS(AT$7:$AT153,1)</f>
        <v>1</v>
      </c>
    </row>
    <row r="154" spans="1:47" ht="15">
      <c r="A154" s="952" t="str">
        <f ca="1">OFFSET(input!$A$25,P154,0)</f>
        <v>N</v>
      </c>
      <c r="B154" s="891">
        <f ca="1">SUMIFS(Paper!$AC$7:$AC$30,Paper!$A$7:$A$30,Ink!A154)+SUMIFS(Paper!$X$7:$X$30,Paper!$A$7:$A$30,Ink!A154)</f>
        <v>0</v>
      </c>
      <c r="C154" s="953">
        <v>10</v>
      </c>
      <c r="D154" s="954" t="str">
        <f ca="1">OFFSET(input!$A$27,O154,0)</f>
        <v>None</v>
      </c>
      <c r="E154" s="891">
        <f ca="1">SUMIFS(Paper!$N$7:$N$30,Paper!$A$7:$A$30,A154)</f>
        <v>0</v>
      </c>
      <c r="F154" s="891">
        <f ca="1">SUMIFS(Paper!$O$7:$O$30,Paper!$A$7:$A$30,A154)</f>
        <v>0</v>
      </c>
      <c r="G154" s="955">
        <f ca="1">IF($D154="None",0,IF(OFFSET(input!$B$27,O154,0)&gt;0,OFFSET(input!$B$27,O154,0),E154*F154*$D$8*10000/IF($B$2="PACK",COUNTIF($H$10:$H$23,"&gt;0"),1)))</f>
        <v>0</v>
      </c>
      <c r="H154" s="956">
        <f ca="1">IF(OFFSET(input!$C$27,O154,0)&gt;0,OFFSET(input!$C$27,O154,0),VLOOKUP(D154,Data!$L$1064:$M$1071,2,0))</f>
        <v>0</v>
      </c>
      <c r="I154" s="891">
        <f ca="1">ROUNDUP(IF(G154&gt;0,((B154/10000)*G154),0),1)</f>
        <v>0</v>
      </c>
      <c r="J154" s="891">
        <f ca="1">IF(G154&gt;0,0.2,0)*OFFSET(Paper!$J$7,Q154,0)</f>
        <v>0</v>
      </c>
      <c r="K154" s="891">
        <f ca="1">J154*H154</f>
        <v>0</v>
      </c>
      <c r="L154" s="891">
        <f ca="1">IF(I154=0,0,H154*(I154+J154))</f>
        <v>0</v>
      </c>
      <c r="M154" s="891">
        <f ca="1">IF($D$3&gt;0,L154/($D$3),0)*(1+$M$6)</f>
        <v>0</v>
      </c>
      <c r="N154" s="136" t="str">
        <f ca="1">OFFSET(input!$F$33,P154,0)</f>
        <v>N</v>
      </c>
      <c r="O154" s="136">
        <f t="shared" si="101"/>
        <v>162</v>
      </c>
      <c r="P154" s="136">
        <f t="shared" si="102"/>
        <v>153</v>
      </c>
      <c r="Q154" s="136">
        <f t="shared" si="103"/>
        <v>9</v>
      </c>
      <c r="AT154" s="413">
        <f t="shared" ca="1" si="92"/>
        <v>0</v>
      </c>
      <c r="AU154" s="136">
        <f ca="1">COUNTIFS(AT$7:$AT154,1)</f>
        <v>1</v>
      </c>
    </row>
    <row r="155" spans="1:47" ht="15">
      <c r="A155" s="952" t="str">
        <f ca="1">OFFSET(input!$A$25,P155,0)</f>
        <v>N</v>
      </c>
      <c r="B155" s="891">
        <f ca="1">SUMIFS(Paper!$AC$7:$AC$30,Paper!$A$7:$A$30,Ink!A155)+SUMIFS(Paper!$X$7:$X$30,Paper!$A$7:$A$30,Ink!A155)</f>
        <v>0</v>
      </c>
      <c r="C155" s="953">
        <v>11</v>
      </c>
      <c r="D155" s="954" t="str">
        <f ca="1">OFFSET(input!$A$27,O155,0)</f>
        <v>None</v>
      </c>
      <c r="E155" s="891">
        <f ca="1">SUMIFS(Paper!$N$7:$N$30,Paper!$A$7:$A$30,A155)</f>
        <v>0</v>
      </c>
      <c r="F155" s="891">
        <f ca="1">SUMIFS(Paper!$O$7:$O$30,Paper!$A$7:$A$30,A155)</f>
        <v>0</v>
      </c>
      <c r="G155" s="955">
        <f ca="1">IF($D155="None",0,IF(OFFSET(input!$B$27,O155,0)&gt;0,OFFSET(input!$B$27,O155,0),E155*F155*$D$8*10000/IF($B$2="PACK",COUNTIF($H$10:$H$23,"&gt;0"),1)))</f>
        <v>0</v>
      </c>
      <c r="H155" s="956">
        <f ca="1">IF(OFFSET(input!$C$27,O155,0)&gt;0,OFFSET(input!$C$27,O155,0),VLOOKUP(D155,Data!$L$1064:$M$1071,2,0))</f>
        <v>0</v>
      </c>
      <c r="I155" s="891">
        <f ca="1">ROUNDUP(IF(G155&gt;0,((B155/10000)*G155),0),1)</f>
        <v>0</v>
      </c>
      <c r="J155" s="891">
        <f ca="1">IF(G155&gt;0,0.2,0)*OFFSET(Paper!$J$7,Q155,0)</f>
        <v>0</v>
      </c>
      <c r="K155" s="891">
        <f ca="1">J155*H155</f>
        <v>0</v>
      </c>
      <c r="L155" s="891">
        <f ca="1">IF(I155=0,0,H155*(I155+J155))</f>
        <v>0</v>
      </c>
      <c r="M155" s="891">
        <f ca="1">IF($D$3&gt;0,L155/($D$3),0)*(1+$M$6)</f>
        <v>0</v>
      </c>
      <c r="N155" s="136" t="str">
        <f ca="1">OFFSET(input!$F$33,P155,0)</f>
        <v>N</v>
      </c>
      <c r="O155" s="136">
        <f t="shared" si="101"/>
        <v>163</v>
      </c>
      <c r="P155" s="136">
        <f t="shared" si="102"/>
        <v>153</v>
      </c>
      <c r="Q155" s="136">
        <f t="shared" si="103"/>
        <v>9</v>
      </c>
      <c r="AT155" s="413">
        <f t="shared" ca="1" si="92"/>
        <v>0</v>
      </c>
      <c r="AU155" s="136">
        <f ca="1">COUNTIFS(AT$7:$AT155,1)</f>
        <v>1</v>
      </c>
    </row>
    <row r="156" spans="1:47" ht="15">
      <c r="A156" s="952" t="str">
        <f ca="1">OFFSET(input!$A$25,P156,0)</f>
        <v>N</v>
      </c>
      <c r="B156" s="891">
        <f ca="1">SUMIFS(Paper!$AC$7:$AC$30,Paper!$A$7:$A$30,Ink!A156)+SUMIFS(Paper!$X$7:$X$30,Paper!$A$7:$A$30,Ink!A156)</f>
        <v>0</v>
      </c>
      <c r="C156" s="953">
        <v>12</v>
      </c>
      <c r="D156" s="954" t="str">
        <f ca="1">OFFSET(input!$A$27,O156,0)</f>
        <v>None</v>
      </c>
      <c r="E156" s="891">
        <f ca="1">SUMIFS(Paper!$N$7:$N$30,Paper!$A$7:$A$30,A156)</f>
        <v>0</v>
      </c>
      <c r="F156" s="891">
        <f ca="1">SUMIFS(Paper!$O$7:$O$30,Paper!$A$7:$A$30,A156)</f>
        <v>0</v>
      </c>
      <c r="G156" s="955">
        <f ca="1">IF($D156="None",0,IF(OFFSET(input!$B$27,O156,0)&gt;0,OFFSET(input!$B$27,O156,0),E156*F156*$D$8*10000/IF($B$2="PACK",COUNTIF($H$10:$H$23,"&gt;0"),1)))</f>
        <v>0</v>
      </c>
      <c r="H156" s="956">
        <f ca="1">IF(OFFSET(input!$C$27,O156,0)&gt;0,OFFSET(input!$C$27,O156,0),VLOOKUP(D156,Data!$L$1064:$M$1071,2,0))</f>
        <v>0</v>
      </c>
      <c r="I156" s="891">
        <f ca="1">ROUNDUP(IF(G156&gt;0,((B156/10000)*G156),0),1)</f>
        <v>0</v>
      </c>
      <c r="J156" s="891">
        <f ca="1">IF(G156&gt;0,0.2,0)*OFFSET(Paper!$J$7,Q156,0)</f>
        <v>0</v>
      </c>
      <c r="K156" s="891">
        <f ca="1">J156*H156</f>
        <v>0</v>
      </c>
      <c r="L156" s="891">
        <f ca="1">IF(I156=0,0,H156*(I156+J156))</f>
        <v>0</v>
      </c>
      <c r="M156" s="891">
        <f ca="1">IF($D$3&gt;0,L156/($D$3),0)*(1+$M$6)</f>
        <v>0</v>
      </c>
      <c r="N156" s="136" t="str">
        <f ca="1">OFFSET(input!$F$33,P156,0)</f>
        <v>N</v>
      </c>
      <c r="O156" s="136">
        <f t="shared" si="101"/>
        <v>164</v>
      </c>
      <c r="P156" s="136">
        <f t="shared" si="102"/>
        <v>153</v>
      </c>
      <c r="Q156" s="136">
        <f t="shared" si="103"/>
        <v>9</v>
      </c>
      <c r="AT156" s="413">
        <f t="shared" ca="1" si="92"/>
        <v>0</v>
      </c>
      <c r="AU156" s="136">
        <f ca="1">COUNTIFS(AT$7:$AT156,1)</f>
        <v>1</v>
      </c>
    </row>
    <row r="157" spans="1:47" ht="15">
      <c r="A157" s="952" t="str">
        <f ca="1">OFFSET(input!$A$25,P157,0)</f>
        <v>N</v>
      </c>
      <c r="B157" s="891">
        <f ca="1">SUMIFS(Paper!$AC$7:$AC$30,Paper!$A$7:$A$30,Ink!A157)+SUMIFS(Paper!$X$7:$X$30,Paper!$A$7:$A$30,Ink!A157)</f>
        <v>0</v>
      </c>
      <c r="C157" s="953">
        <v>13</v>
      </c>
      <c r="D157" s="954" t="str">
        <f ca="1">OFFSET(input!$A$27,O157,0)</f>
        <v>None</v>
      </c>
      <c r="E157" s="891">
        <f ca="1">SUMIFS(Paper!$N$7:$N$30,Paper!$A$7:$A$30,A157)</f>
        <v>0</v>
      </c>
      <c r="F157" s="891">
        <f ca="1">SUMIFS(Paper!$O$7:$O$30,Paper!$A$7:$A$30,A157)</f>
        <v>0</v>
      </c>
      <c r="G157" s="955">
        <f ca="1">IF($D157="None",0,IF(OFFSET(input!$B$27,O157,0)&gt;0,OFFSET(input!$B$27,O157,0),E157*F157*$D$8*10000/IF($B$2="PACK",COUNTIF($H$10:$H$23,"&gt;0"),1)))</f>
        <v>0</v>
      </c>
      <c r="H157" s="956">
        <f ca="1">IF(OFFSET(input!$C$27,O157,0)&gt;0,OFFSET(input!$C$27,O157,0),VLOOKUP(D157,Data!$L$1064:$M$1071,2,0))</f>
        <v>0</v>
      </c>
      <c r="I157" s="891">
        <f ca="1">ROUNDUP(IF(G157&gt;0,((B157/10000)*G157),0),1)</f>
        <v>0</v>
      </c>
      <c r="J157" s="891">
        <f ca="1">IF(G157&gt;0,0.2,0)*OFFSET(Paper!$J$7,Q157,0)</f>
        <v>0</v>
      </c>
      <c r="K157" s="891">
        <f ca="1">J157*H157</f>
        <v>0</v>
      </c>
      <c r="L157" s="891">
        <f ca="1">IF(I157=0,0,H157*(I157+J157))</f>
        <v>0</v>
      </c>
      <c r="M157" s="891">
        <f ca="1">IF($D$3&gt;0,L157/($D$3),0)*(1+$M$6)</f>
        <v>0</v>
      </c>
      <c r="N157" s="136" t="str">
        <f ca="1">OFFSET(input!$F$33,P157,0)</f>
        <v>N</v>
      </c>
      <c r="O157" s="136">
        <f t="shared" si="101"/>
        <v>165</v>
      </c>
      <c r="P157" s="136">
        <f t="shared" si="102"/>
        <v>153</v>
      </c>
      <c r="Q157" s="136">
        <f t="shared" si="103"/>
        <v>9</v>
      </c>
      <c r="AT157" s="413">
        <f t="shared" ca="1" si="92"/>
        <v>0</v>
      </c>
      <c r="AU157" s="136">
        <f ca="1">COUNTIFS(AT$7:$AT157,1)</f>
        <v>1</v>
      </c>
    </row>
    <row r="158" spans="1:47" ht="15">
      <c r="A158" s="952" t="str">
        <f ca="1">OFFSET(input!$A$25,P158,0)</f>
        <v>N</v>
      </c>
      <c r="B158" s="891">
        <f ca="1">SUMIFS(Paper!$AC$7:$AC$30,Paper!$A$7:$A$30,Ink!A158)+SUMIFS(Paper!$X$7:$X$30,Paper!$A$7:$A$30,Ink!A158)</f>
        <v>0</v>
      </c>
      <c r="C158" s="953">
        <v>14</v>
      </c>
      <c r="D158" s="954" t="str">
        <f ca="1">OFFSET(input!$A$27,O158,0)</f>
        <v>None</v>
      </c>
      <c r="E158" s="891">
        <f ca="1">SUMIFS(Paper!$N$7:$N$30,Paper!$A$7:$A$30,A158)</f>
        <v>0</v>
      </c>
      <c r="F158" s="891">
        <f ca="1">SUMIFS(Paper!$O$7:$O$30,Paper!$A$7:$A$30,A158)</f>
        <v>0</v>
      </c>
      <c r="G158" s="955">
        <f ca="1">IF($D158="None",0,IF(OFFSET(input!$B$27,O158,0)&gt;0,OFFSET(input!$B$27,O158,0),E158*F158*$D$8*10000/IF($B$2="PACK",COUNTIF($H$10:$H$23,"&gt;0"),1)))</f>
        <v>0</v>
      </c>
      <c r="H158" s="956">
        <f ca="1">IF(OFFSET(input!$C$27,O158,0)&gt;0,OFFSET(input!$C$27,O158,0),VLOOKUP(D158,Data!$L$1064:$M$1071,2,0))</f>
        <v>0</v>
      </c>
      <c r="I158" s="891">
        <f t="shared" ref="I158" ca="1" si="104">ROUNDUP(IF(G158&gt;0,((B158/10000)*G158),0),1)</f>
        <v>0</v>
      </c>
      <c r="J158" s="891">
        <f ca="1">IF(G158&gt;0,0.2,0)*OFFSET(Paper!$J$7,Q158,0)</f>
        <v>0</v>
      </c>
      <c r="K158" s="891">
        <f t="shared" ref="K158" ca="1" si="105">J158*H158</f>
        <v>0</v>
      </c>
      <c r="L158" s="891">
        <f t="shared" ref="L158" ca="1" si="106">IF(I158=0,0,H158*(I158+J158))</f>
        <v>0</v>
      </c>
      <c r="M158" s="891">
        <f t="shared" ref="M158" ca="1" si="107">IF($D$3&gt;0,L158/($D$3),0)*(1+$M$6)</f>
        <v>0</v>
      </c>
      <c r="N158" s="136" t="str">
        <f ca="1">OFFSET(input!$F$33,P158,0)</f>
        <v>N</v>
      </c>
      <c r="O158" s="136">
        <f t="shared" si="101"/>
        <v>166</v>
      </c>
      <c r="P158" s="136">
        <f>+P143+17</f>
        <v>153</v>
      </c>
      <c r="Q158" s="136">
        <f t="shared" si="103"/>
        <v>9</v>
      </c>
      <c r="AT158" s="413">
        <f t="shared" ca="1" si="92"/>
        <v>0</v>
      </c>
      <c r="AU158" s="136">
        <f ca="1">COUNTIFS(AT$7:$AT158,1)</f>
        <v>1</v>
      </c>
    </row>
    <row r="159" spans="1:47" ht="15">
      <c r="A159" s="957"/>
      <c r="B159" s="958"/>
      <c r="C159" s="959"/>
      <c r="D159" s="954"/>
      <c r="E159" s="958"/>
      <c r="F159" s="958"/>
      <c r="G159" s="955"/>
      <c r="H159" s="960"/>
      <c r="I159" s="958"/>
      <c r="J159" s="958"/>
      <c r="K159" s="958"/>
      <c r="L159" s="958"/>
      <c r="M159" s="958"/>
      <c r="AT159" s="413" t="str">
        <f t="shared" si="92"/>
        <v/>
      </c>
      <c r="AU159" s="136">
        <f ca="1">COUNTIFS(AT$7:$AT159,1)</f>
        <v>1</v>
      </c>
    </row>
    <row r="160" spans="1:47" ht="15" collapsed="1">
      <c r="A160" s="952" t="str">
        <f ca="1">OFFSET(input!$A$25,P160,0)</f>
        <v>N</v>
      </c>
      <c r="B160" s="891">
        <f ca="1">SUMIFS(Paper!$AC$7:$AC$30,Paper!$A$7:$A$30,Ink!A160)+SUMIFS(Paper!$X$7:$X$30,Paper!$A$7:$A$30,Ink!A160)</f>
        <v>0</v>
      </c>
      <c r="C160" s="953">
        <v>1</v>
      </c>
      <c r="D160" s="954" t="str">
        <f ca="1">OFFSET(input!$A$27,O160,0)</f>
        <v>None</v>
      </c>
      <c r="E160" s="891">
        <f ca="1">SUMIFS(Paper!$N$7:$N$30,Paper!$A$7:$A$30,A160)</f>
        <v>0</v>
      </c>
      <c r="F160" s="891">
        <f ca="1">SUMIFS(Paper!$O$7:$O$30,Paper!$A$7:$A$30,A160)</f>
        <v>0</v>
      </c>
      <c r="G160" s="955">
        <f ca="1">IF($D160="None",0,IF(OFFSET(input!$B$27,O160,0)&gt;0,OFFSET(input!$B$27,O160,0),E160*F160*$D$8*10000/IF($B$2="PACK",COUNTIF($H$10:$H$23,"&gt;0"),1)))</f>
        <v>0</v>
      </c>
      <c r="H160" s="956">
        <f ca="1">IF(OFFSET(input!$C$27,O160,0)&gt;0,OFFSET(input!$C$27,O160,0),VLOOKUP(D160,Data!$L$1064:$M$1071,2,0))</f>
        <v>0</v>
      </c>
      <c r="I160" s="891">
        <f t="shared" ref="I160:I168" ca="1" si="108">ROUNDUP(IF(G160&gt;0,((B160/10000)*G160),0),1)</f>
        <v>0</v>
      </c>
      <c r="J160" s="891">
        <f ca="1">IF(G160&gt;0,0.2,0)*OFFSET(Paper!$J$7,Q160,0)</f>
        <v>0</v>
      </c>
      <c r="K160" s="891">
        <f t="shared" ref="K160:K168" ca="1" si="109">J160*H160</f>
        <v>0</v>
      </c>
      <c r="L160" s="891">
        <f t="shared" ref="L160:L168" ca="1" si="110">IF(I160=0,0,H160*(I160+J160))</f>
        <v>0</v>
      </c>
      <c r="M160" s="891">
        <f ca="1">IF($D$3&gt;0,L160/($D$3),0)*(1+$M$6)</f>
        <v>0</v>
      </c>
      <c r="N160" s="136" t="str">
        <f ca="1">OFFSET(input!$F$33,P160,0)</f>
        <v>N</v>
      </c>
      <c r="O160" s="136">
        <f>O145+17</f>
        <v>170</v>
      </c>
      <c r="P160" s="136">
        <f>+P145+17</f>
        <v>170</v>
      </c>
      <c r="Q160" s="136">
        <f>+Q145+1</f>
        <v>10</v>
      </c>
      <c r="AT160" s="413">
        <f t="shared" ca="1" si="92"/>
        <v>0</v>
      </c>
      <c r="AU160" s="136">
        <f ca="1">COUNTIFS(AT$7:$AT160,1)</f>
        <v>1</v>
      </c>
    </row>
    <row r="161" spans="1:47" ht="15">
      <c r="A161" s="952" t="str">
        <f ca="1">OFFSET(input!$A$25,P161,0)</f>
        <v>N</v>
      </c>
      <c r="B161" s="891">
        <f ca="1">SUMIFS(Paper!$AC$7:$AC$30,Paper!$A$7:$A$30,Ink!A161)+SUMIFS(Paper!$X$7:$X$30,Paper!$A$7:$A$30,Ink!A161)</f>
        <v>0</v>
      </c>
      <c r="C161" s="953">
        <v>2</v>
      </c>
      <c r="D161" s="954" t="str">
        <f ca="1">OFFSET(input!$A$27,O161,0)</f>
        <v>None</v>
      </c>
      <c r="E161" s="891">
        <f ca="1">SUMIFS(Paper!$N$7:$N$30,Paper!$A$7:$A$30,A161)</f>
        <v>0</v>
      </c>
      <c r="F161" s="891">
        <f ca="1">SUMIFS(Paper!$O$7:$O$30,Paper!$A$7:$A$30,A161)</f>
        <v>0</v>
      </c>
      <c r="G161" s="955">
        <f ca="1">IF($D161="None",0,IF(OFFSET(input!$B$27,O161,0)&gt;0,OFFSET(input!$B$27,O161,0),E161*F161*$D$8*10000/IF($B$2="PACK",COUNTIF($H$10:$H$23,"&gt;0"),1)))</f>
        <v>0</v>
      </c>
      <c r="H161" s="956">
        <f ca="1">IF(OFFSET(input!$C$27,O161,0)&gt;0,OFFSET(input!$C$27,O161,0),VLOOKUP(D161,Data!$L$1064:$M$1071,2,0))</f>
        <v>0</v>
      </c>
      <c r="I161" s="891">
        <f t="shared" ca="1" si="108"/>
        <v>0</v>
      </c>
      <c r="J161" s="891">
        <f ca="1">IF(G161&gt;0,0.2,0)*OFFSET(Paper!$J$7,Q161,0)</f>
        <v>0</v>
      </c>
      <c r="K161" s="891">
        <f t="shared" ca="1" si="109"/>
        <v>0</v>
      </c>
      <c r="L161" s="891">
        <f t="shared" ca="1" si="110"/>
        <v>0</v>
      </c>
      <c r="M161" s="891">
        <f t="shared" ref="M161:M168" ca="1" si="111">IF($D$3&gt;0,L161/($D$3),0)*(1+$M$6)</f>
        <v>0</v>
      </c>
      <c r="N161" s="136" t="str">
        <f ca="1">OFFSET(input!$F$33,P161,0)</f>
        <v>N</v>
      </c>
      <c r="O161" s="136">
        <f t="shared" ref="O161:O173" si="112">O146+17</f>
        <v>171</v>
      </c>
      <c r="P161" s="136">
        <f t="shared" ref="P161:P172" si="113">+P146+17</f>
        <v>170</v>
      </c>
      <c r="Q161" s="136">
        <f t="shared" ref="Q161:Q173" si="114">+Q146+1</f>
        <v>10</v>
      </c>
      <c r="AT161" s="413">
        <f t="shared" ca="1" si="92"/>
        <v>0</v>
      </c>
      <c r="AU161" s="136">
        <f ca="1">COUNTIFS(AT$7:$AT161,1)</f>
        <v>1</v>
      </c>
    </row>
    <row r="162" spans="1:47" ht="15">
      <c r="A162" s="952" t="str">
        <f ca="1">OFFSET(input!$A$25,P162,0)</f>
        <v>N</v>
      </c>
      <c r="B162" s="891">
        <f ca="1">SUMIFS(Paper!$AC$7:$AC$30,Paper!$A$7:$A$30,Ink!A162)+SUMIFS(Paper!$X$7:$X$30,Paper!$A$7:$A$30,Ink!A162)</f>
        <v>0</v>
      </c>
      <c r="C162" s="953">
        <v>3</v>
      </c>
      <c r="D162" s="954" t="str">
        <f ca="1">OFFSET(input!$A$27,O162,0)</f>
        <v>None</v>
      </c>
      <c r="E162" s="891">
        <f ca="1">SUMIFS(Paper!$N$7:$N$30,Paper!$A$7:$A$30,A162)</f>
        <v>0</v>
      </c>
      <c r="F162" s="891">
        <f ca="1">SUMIFS(Paper!$O$7:$O$30,Paper!$A$7:$A$30,A162)</f>
        <v>0</v>
      </c>
      <c r="G162" s="955">
        <f ca="1">IF($D162="None",0,IF(OFFSET(input!$B$27,O162,0)&gt;0,OFFSET(input!$B$27,O162,0),E162*F162*$D$8*10000/IF($B$2="PACK",COUNTIF($H$10:$H$23,"&gt;0"),1)))</f>
        <v>0</v>
      </c>
      <c r="H162" s="956">
        <f ca="1">IF(OFFSET(input!$C$27,O162,0)&gt;0,OFFSET(input!$C$27,O162,0),VLOOKUP(D162,Data!$L$1064:$M$1071,2,0))</f>
        <v>0</v>
      </c>
      <c r="I162" s="891">
        <f t="shared" ca="1" si="108"/>
        <v>0</v>
      </c>
      <c r="J162" s="891">
        <f ca="1">IF(G162&gt;0,0.2,0)*OFFSET(Paper!$J$7,Q162,0)</f>
        <v>0</v>
      </c>
      <c r="K162" s="891">
        <f t="shared" ca="1" si="109"/>
        <v>0</v>
      </c>
      <c r="L162" s="891">
        <f t="shared" ca="1" si="110"/>
        <v>0</v>
      </c>
      <c r="M162" s="891">
        <f t="shared" ca="1" si="111"/>
        <v>0</v>
      </c>
      <c r="N162" s="136" t="str">
        <f ca="1">OFFSET(input!$F$33,P162,0)</f>
        <v>N</v>
      </c>
      <c r="O162" s="136">
        <f t="shared" si="112"/>
        <v>172</v>
      </c>
      <c r="P162" s="136">
        <f t="shared" si="113"/>
        <v>170</v>
      </c>
      <c r="Q162" s="136">
        <f t="shared" si="114"/>
        <v>10</v>
      </c>
      <c r="AT162" s="413">
        <f t="shared" ca="1" si="92"/>
        <v>0</v>
      </c>
      <c r="AU162" s="136">
        <f ca="1">COUNTIFS(AT$7:$AT162,1)</f>
        <v>1</v>
      </c>
    </row>
    <row r="163" spans="1:47" ht="15">
      <c r="A163" s="952" t="str">
        <f ca="1">OFFSET(input!$A$25,P163,0)</f>
        <v>N</v>
      </c>
      <c r="B163" s="891">
        <f ca="1">SUMIFS(Paper!$AC$7:$AC$30,Paper!$A$7:$A$30,Ink!A163)+SUMIFS(Paper!$X$7:$X$30,Paper!$A$7:$A$30,Ink!A163)</f>
        <v>0</v>
      </c>
      <c r="C163" s="953">
        <v>4</v>
      </c>
      <c r="D163" s="954" t="str">
        <f ca="1">OFFSET(input!$A$27,O163,0)</f>
        <v>None</v>
      </c>
      <c r="E163" s="891">
        <f ca="1">SUMIFS(Paper!$N$7:$N$30,Paper!$A$7:$A$30,A163)</f>
        <v>0</v>
      </c>
      <c r="F163" s="891">
        <f ca="1">SUMIFS(Paper!$O$7:$O$30,Paper!$A$7:$A$30,A163)</f>
        <v>0</v>
      </c>
      <c r="G163" s="955">
        <f ca="1">IF($D163="None",0,IF(OFFSET(input!$B$27,O163,0)&gt;0,OFFSET(input!$B$27,O163,0),E163*F163*$D$8*10000/IF($B$2="PACK",COUNTIF($H$10:$H$23,"&gt;0"),1)))</f>
        <v>0</v>
      </c>
      <c r="H163" s="956">
        <f ca="1">IF(OFFSET(input!$C$27,O163,0)&gt;0,OFFSET(input!$C$27,O163,0),VLOOKUP(D163,Data!$L$1064:$M$1071,2,0))</f>
        <v>0</v>
      </c>
      <c r="I163" s="891">
        <f t="shared" ca="1" si="108"/>
        <v>0</v>
      </c>
      <c r="J163" s="891">
        <f ca="1">IF(G163&gt;0,0.2,0)*OFFSET(Paper!$J$7,Q163,0)</f>
        <v>0</v>
      </c>
      <c r="K163" s="891">
        <f t="shared" ca="1" si="109"/>
        <v>0</v>
      </c>
      <c r="L163" s="891">
        <f t="shared" ca="1" si="110"/>
        <v>0</v>
      </c>
      <c r="M163" s="891">
        <f t="shared" ca="1" si="111"/>
        <v>0</v>
      </c>
      <c r="N163" s="136" t="str">
        <f ca="1">OFFSET(input!$F$33,P163,0)</f>
        <v>N</v>
      </c>
      <c r="O163" s="136">
        <f t="shared" si="112"/>
        <v>173</v>
      </c>
      <c r="P163" s="136">
        <f t="shared" si="113"/>
        <v>170</v>
      </c>
      <c r="Q163" s="136">
        <f t="shared" si="114"/>
        <v>10</v>
      </c>
      <c r="AT163" s="413">
        <f t="shared" ca="1" si="92"/>
        <v>0</v>
      </c>
      <c r="AU163" s="136">
        <f ca="1">COUNTIFS(AT$7:$AT163,1)</f>
        <v>1</v>
      </c>
    </row>
    <row r="164" spans="1:47" ht="15">
      <c r="A164" s="952" t="str">
        <f ca="1">OFFSET(input!$A$25,P164,0)</f>
        <v>N</v>
      </c>
      <c r="B164" s="891">
        <f ca="1">SUMIFS(Paper!$AC$7:$AC$30,Paper!$A$7:$A$30,Ink!A164)+SUMIFS(Paper!$X$7:$X$30,Paper!$A$7:$A$30,Ink!A164)</f>
        <v>0</v>
      </c>
      <c r="C164" s="953">
        <v>5</v>
      </c>
      <c r="D164" s="954" t="str">
        <f ca="1">OFFSET(input!$A$27,O164,0)</f>
        <v>None</v>
      </c>
      <c r="E164" s="891">
        <f ca="1">SUMIFS(Paper!$N$7:$N$30,Paper!$A$7:$A$30,A164)</f>
        <v>0</v>
      </c>
      <c r="F164" s="891">
        <f ca="1">SUMIFS(Paper!$O$7:$O$30,Paper!$A$7:$A$30,A164)</f>
        <v>0</v>
      </c>
      <c r="G164" s="955">
        <f ca="1">IF($D164="None",0,IF(OFFSET(input!$B$27,O164,0)&gt;0,OFFSET(input!$B$27,O164,0),E164*F164*$D$8*10000/IF($B$2="PACK",COUNTIF($H$10:$H$23,"&gt;0"),1)))</f>
        <v>0</v>
      </c>
      <c r="H164" s="956">
        <f ca="1">IF(OFFSET(input!$C$27,O164,0)&gt;0,OFFSET(input!$C$27,O164,0),VLOOKUP(D164,Data!$L$1064:$M$1071,2,0))</f>
        <v>0</v>
      </c>
      <c r="I164" s="891">
        <f t="shared" ca="1" si="108"/>
        <v>0</v>
      </c>
      <c r="J164" s="891">
        <f ca="1">IF(G164&gt;0,0.2,0)*OFFSET(Paper!$J$7,Q164,0)</f>
        <v>0</v>
      </c>
      <c r="K164" s="891">
        <f t="shared" ca="1" si="109"/>
        <v>0</v>
      </c>
      <c r="L164" s="891">
        <f t="shared" ca="1" si="110"/>
        <v>0</v>
      </c>
      <c r="M164" s="891">
        <f t="shared" ca="1" si="111"/>
        <v>0</v>
      </c>
      <c r="N164" s="136" t="str">
        <f ca="1">OFFSET(input!$F$33,P164,0)</f>
        <v>N</v>
      </c>
      <c r="O164" s="136">
        <f t="shared" si="112"/>
        <v>174</v>
      </c>
      <c r="P164" s="136">
        <f t="shared" si="113"/>
        <v>170</v>
      </c>
      <c r="Q164" s="136">
        <f t="shared" si="114"/>
        <v>10</v>
      </c>
      <c r="AT164" s="413">
        <f t="shared" ca="1" si="92"/>
        <v>0</v>
      </c>
      <c r="AU164" s="136">
        <f ca="1">COUNTIFS(AT$7:$AT164,1)</f>
        <v>1</v>
      </c>
    </row>
    <row r="165" spans="1:47" ht="15">
      <c r="A165" s="952" t="str">
        <f ca="1">OFFSET(input!$A$25,P165,0)</f>
        <v>N</v>
      </c>
      <c r="B165" s="891">
        <f ca="1">SUMIFS(Paper!$AC$7:$AC$30,Paper!$A$7:$A$30,Ink!A165)+SUMIFS(Paper!$X$7:$X$30,Paper!$A$7:$A$30,Ink!A165)</f>
        <v>0</v>
      </c>
      <c r="C165" s="953">
        <v>6</v>
      </c>
      <c r="D165" s="954" t="str">
        <f ca="1">OFFSET(input!$A$27,O165,0)</f>
        <v>None</v>
      </c>
      <c r="E165" s="891">
        <f ca="1">SUMIFS(Paper!$N$7:$N$30,Paper!$A$7:$A$30,A165)</f>
        <v>0</v>
      </c>
      <c r="F165" s="891">
        <f ca="1">SUMIFS(Paper!$O$7:$O$30,Paper!$A$7:$A$30,A165)</f>
        <v>0</v>
      </c>
      <c r="G165" s="955">
        <f ca="1">IF($D165="None",0,IF(OFFSET(input!$B$27,O165,0)&gt;0,OFFSET(input!$B$27,O165,0),E165*F165*$D$8*10000/IF($B$2="PACK",COUNTIF($H$10:$H$23,"&gt;0"),1)))</f>
        <v>0</v>
      </c>
      <c r="H165" s="956">
        <f ca="1">IF(OFFSET(input!$C$27,O165,0)&gt;0,OFFSET(input!$C$27,O165,0),VLOOKUP(D165,Data!$L$1064:$M$1071,2,0))</f>
        <v>0</v>
      </c>
      <c r="I165" s="891">
        <f t="shared" ca="1" si="108"/>
        <v>0</v>
      </c>
      <c r="J165" s="891">
        <f ca="1">IF(G165&gt;0,0.2,0)*OFFSET(Paper!$J$7,Q165,0)</f>
        <v>0</v>
      </c>
      <c r="K165" s="891">
        <f t="shared" ca="1" si="109"/>
        <v>0</v>
      </c>
      <c r="L165" s="891">
        <f t="shared" ca="1" si="110"/>
        <v>0</v>
      </c>
      <c r="M165" s="891">
        <f t="shared" ca="1" si="111"/>
        <v>0</v>
      </c>
      <c r="N165" s="136" t="str">
        <f ca="1">OFFSET(input!$F$33,P165,0)</f>
        <v>N</v>
      </c>
      <c r="O165" s="136">
        <f t="shared" si="112"/>
        <v>175</v>
      </c>
      <c r="P165" s="136">
        <f t="shared" si="113"/>
        <v>170</v>
      </c>
      <c r="Q165" s="136">
        <f t="shared" si="114"/>
        <v>10</v>
      </c>
      <c r="AT165" s="413">
        <f t="shared" ca="1" si="92"/>
        <v>0</v>
      </c>
      <c r="AU165" s="136">
        <f ca="1">COUNTIFS(AT$7:$AT165,1)</f>
        <v>1</v>
      </c>
    </row>
    <row r="166" spans="1:47" ht="15">
      <c r="A166" s="952" t="str">
        <f ca="1">OFFSET(input!$A$25,P166,0)</f>
        <v>N</v>
      </c>
      <c r="B166" s="891">
        <f ca="1">SUMIFS(Paper!$AC$7:$AC$30,Paper!$A$7:$A$30,Ink!A166)+SUMIFS(Paper!$X$7:$X$30,Paper!$A$7:$A$30,Ink!A166)</f>
        <v>0</v>
      </c>
      <c r="C166" s="953">
        <v>7</v>
      </c>
      <c r="D166" s="954" t="str">
        <f ca="1">OFFSET(input!$A$27,O166,0)</f>
        <v>None</v>
      </c>
      <c r="E166" s="891">
        <f ca="1">SUMIFS(Paper!$N$7:$N$30,Paper!$A$7:$A$30,A166)</f>
        <v>0</v>
      </c>
      <c r="F166" s="891">
        <f ca="1">SUMIFS(Paper!$O$7:$O$30,Paper!$A$7:$A$30,A166)</f>
        <v>0</v>
      </c>
      <c r="G166" s="955">
        <f ca="1">IF($D166="None",0,IF(OFFSET(input!$B$27,O166,0)&gt;0,OFFSET(input!$B$27,O166,0),E166*F166*$D$8*10000/IF($B$2="PACK",COUNTIF($H$10:$H$23,"&gt;0"),1)))</f>
        <v>0</v>
      </c>
      <c r="H166" s="956">
        <f ca="1">IF(OFFSET(input!$C$27,O166,0)&gt;0,OFFSET(input!$C$27,O166,0),VLOOKUP(D166,Data!$L$1064:$M$1071,2,0))</f>
        <v>0</v>
      </c>
      <c r="I166" s="891">
        <f t="shared" ca="1" si="108"/>
        <v>0</v>
      </c>
      <c r="J166" s="891">
        <f ca="1">IF(G166&gt;0,0.2,0)*OFFSET(Paper!$J$7,Q166,0)</f>
        <v>0</v>
      </c>
      <c r="K166" s="891">
        <f t="shared" ca="1" si="109"/>
        <v>0</v>
      </c>
      <c r="L166" s="891">
        <f t="shared" ca="1" si="110"/>
        <v>0</v>
      </c>
      <c r="M166" s="891">
        <f t="shared" ca="1" si="111"/>
        <v>0</v>
      </c>
      <c r="N166" s="136" t="str">
        <f ca="1">OFFSET(input!$F$33,P166,0)</f>
        <v>N</v>
      </c>
      <c r="O166" s="136">
        <f t="shared" si="112"/>
        <v>176</v>
      </c>
      <c r="P166" s="136">
        <f t="shared" si="113"/>
        <v>170</v>
      </c>
      <c r="Q166" s="136">
        <f t="shared" si="114"/>
        <v>10</v>
      </c>
      <c r="AT166" s="413">
        <f t="shared" ca="1" si="92"/>
        <v>0</v>
      </c>
      <c r="AU166" s="136">
        <f ca="1">COUNTIFS(AT$7:$AT166,1)</f>
        <v>1</v>
      </c>
    </row>
    <row r="167" spans="1:47" ht="15">
      <c r="A167" s="952" t="str">
        <f ca="1">OFFSET(input!$A$25,P167,0)</f>
        <v>N</v>
      </c>
      <c r="B167" s="891">
        <f ca="1">SUMIFS(Paper!$AC$7:$AC$30,Paper!$A$7:$A$30,Ink!A167)+SUMIFS(Paper!$X$7:$X$30,Paper!$A$7:$A$30,Ink!A167)</f>
        <v>0</v>
      </c>
      <c r="C167" s="953">
        <v>8</v>
      </c>
      <c r="D167" s="954" t="str">
        <f ca="1">OFFSET(input!$A$27,O167,0)</f>
        <v>None</v>
      </c>
      <c r="E167" s="891">
        <f ca="1">SUMIFS(Paper!$N$7:$N$30,Paper!$A$7:$A$30,A167)</f>
        <v>0</v>
      </c>
      <c r="F167" s="891">
        <f ca="1">SUMIFS(Paper!$O$7:$O$30,Paper!$A$7:$A$30,A167)</f>
        <v>0</v>
      </c>
      <c r="G167" s="955">
        <f ca="1">IF($D167="None",0,IF(OFFSET(input!$B$27,O167,0)&gt;0,OFFSET(input!$B$27,O167,0),E167*F167*$D$8*10000/IF($B$2="PACK",COUNTIF($H$10:$H$23,"&gt;0"),1)))</f>
        <v>0</v>
      </c>
      <c r="H167" s="956">
        <f ca="1">IF(OFFSET(input!$C$27,O167,0)&gt;0,OFFSET(input!$C$27,O167,0),VLOOKUP(D167,Data!$L$1064:$M$1071,2,0))</f>
        <v>0</v>
      </c>
      <c r="I167" s="891">
        <f t="shared" ca="1" si="108"/>
        <v>0</v>
      </c>
      <c r="J167" s="891">
        <f ca="1">IF(G167&gt;0,0.2,0)*OFFSET(Paper!$J$7,Q167,0)</f>
        <v>0</v>
      </c>
      <c r="K167" s="891">
        <f t="shared" ca="1" si="109"/>
        <v>0</v>
      </c>
      <c r="L167" s="891">
        <f t="shared" ca="1" si="110"/>
        <v>0</v>
      </c>
      <c r="M167" s="891">
        <f t="shared" ca="1" si="111"/>
        <v>0</v>
      </c>
      <c r="N167" s="136" t="str">
        <f ca="1">OFFSET(input!$F$33,P167,0)</f>
        <v>N</v>
      </c>
      <c r="O167" s="136">
        <f t="shared" si="112"/>
        <v>177</v>
      </c>
      <c r="P167" s="136">
        <f t="shared" si="113"/>
        <v>170</v>
      </c>
      <c r="Q167" s="136">
        <f t="shared" si="114"/>
        <v>10</v>
      </c>
      <c r="AT167" s="413">
        <f t="shared" ca="1" si="92"/>
        <v>0</v>
      </c>
      <c r="AU167" s="136">
        <f ca="1">COUNTIFS(AT$7:$AT167,1)</f>
        <v>1</v>
      </c>
    </row>
    <row r="168" spans="1:47" ht="15">
      <c r="A168" s="952" t="str">
        <f ca="1">OFFSET(input!$A$25,P168,0)</f>
        <v>N</v>
      </c>
      <c r="B168" s="891">
        <f ca="1">SUMIFS(Paper!$AC$7:$AC$30,Paper!$A$7:$A$30,Ink!A168)+SUMIFS(Paper!$X$7:$X$30,Paper!$A$7:$A$30,Ink!A168)</f>
        <v>0</v>
      </c>
      <c r="C168" s="953">
        <v>9</v>
      </c>
      <c r="D168" s="954" t="str">
        <f ca="1">OFFSET(input!$A$27,O168,0)</f>
        <v>None</v>
      </c>
      <c r="E168" s="891">
        <f ca="1">SUMIFS(Paper!$N$7:$N$30,Paper!$A$7:$A$30,A168)</f>
        <v>0</v>
      </c>
      <c r="F168" s="891">
        <f ca="1">SUMIFS(Paper!$O$7:$O$30,Paper!$A$7:$A$30,A168)</f>
        <v>0</v>
      </c>
      <c r="G168" s="955">
        <f ca="1">IF($D168="None",0,IF(OFFSET(input!$B$27,O168,0)&gt;0,OFFSET(input!$B$27,O168,0),E168*F168*$D$8*10000/IF($B$2="PACK",COUNTIF($H$10:$H$23,"&gt;0"),1)))</f>
        <v>0</v>
      </c>
      <c r="H168" s="956">
        <f ca="1">IF(OFFSET(input!$C$27,O168,0)&gt;0,OFFSET(input!$C$27,O168,0),VLOOKUP(D168,Data!$L$1064:$M$1071,2,0))</f>
        <v>0</v>
      </c>
      <c r="I168" s="891">
        <f t="shared" ca="1" si="108"/>
        <v>0</v>
      </c>
      <c r="J168" s="891">
        <f ca="1">IF(G168&gt;0,0.2,0)*OFFSET(Paper!$J$7,Q168,0)</f>
        <v>0</v>
      </c>
      <c r="K168" s="891">
        <f t="shared" ca="1" si="109"/>
        <v>0</v>
      </c>
      <c r="L168" s="891">
        <f t="shared" ca="1" si="110"/>
        <v>0</v>
      </c>
      <c r="M168" s="891">
        <f t="shared" ca="1" si="111"/>
        <v>0</v>
      </c>
      <c r="N168" s="136" t="str">
        <f ca="1">OFFSET(input!$F$33,P168,0)</f>
        <v>N</v>
      </c>
      <c r="O168" s="136">
        <f t="shared" si="112"/>
        <v>178</v>
      </c>
      <c r="P168" s="136">
        <f t="shared" si="113"/>
        <v>170</v>
      </c>
      <c r="Q168" s="136">
        <f t="shared" si="114"/>
        <v>10</v>
      </c>
      <c r="AT168" s="413">
        <f t="shared" ca="1" si="92"/>
        <v>0</v>
      </c>
      <c r="AU168" s="136">
        <f ca="1">COUNTIFS(AT$7:$AT168,1)</f>
        <v>1</v>
      </c>
    </row>
    <row r="169" spans="1:47" ht="15">
      <c r="A169" s="952" t="str">
        <f ca="1">OFFSET(input!$A$25,P169,0)</f>
        <v>N</v>
      </c>
      <c r="B169" s="891">
        <f ca="1">SUMIFS(Paper!$AC$7:$AC$30,Paper!$A$7:$A$30,Ink!A169)+SUMIFS(Paper!$X$7:$X$30,Paper!$A$7:$A$30,Ink!A169)</f>
        <v>0</v>
      </c>
      <c r="C169" s="953">
        <v>10</v>
      </c>
      <c r="D169" s="954" t="str">
        <f ca="1">OFFSET(input!$A$27,O169,0)</f>
        <v>None</v>
      </c>
      <c r="E169" s="891">
        <f ca="1">SUMIFS(Paper!$N$7:$N$30,Paper!$A$7:$A$30,A169)</f>
        <v>0</v>
      </c>
      <c r="F169" s="891">
        <f ca="1">SUMIFS(Paper!$O$7:$O$30,Paper!$A$7:$A$30,A169)</f>
        <v>0</v>
      </c>
      <c r="G169" s="955">
        <f ca="1">IF($D169="None",0,IF(OFFSET(input!$B$27,O169,0)&gt;0,OFFSET(input!$B$27,O169,0),E169*F169*$D$8*10000/IF($B$2="PACK",COUNTIF($H$10:$H$23,"&gt;0"),1)))</f>
        <v>0</v>
      </c>
      <c r="H169" s="956">
        <f ca="1">IF(OFFSET(input!$C$27,O169,0)&gt;0,OFFSET(input!$C$27,O169,0),VLOOKUP(D169,Data!$L$1064:$M$1071,2,0))</f>
        <v>0</v>
      </c>
      <c r="I169" s="891">
        <f ca="1">ROUNDUP(IF(G169&gt;0,((B169/10000)*G169),0),1)</f>
        <v>0</v>
      </c>
      <c r="J169" s="891">
        <f ca="1">IF(G169&gt;0,0.2,0)*OFFSET(Paper!$J$7,Q169,0)</f>
        <v>0</v>
      </c>
      <c r="K169" s="891">
        <f ca="1">J169*H169</f>
        <v>0</v>
      </c>
      <c r="L169" s="891">
        <f ca="1">IF(I169=0,0,H169*(I169+J169))</f>
        <v>0</v>
      </c>
      <c r="M169" s="891">
        <f ca="1">IF($D$3&gt;0,L169/($D$3),0)*(1+$M$6)</f>
        <v>0</v>
      </c>
      <c r="N169" s="136" t="str">
        <f ca="1">OFFSET(input!$F$33,P169,0)</f>
        <v>N</v>
      </c>
      <c r="O169" s="136">
        <f t="shared" si="112"/>
        <v>179</v>
      </c>
      <c r="P169" s="136">
        <f t="shared" si="113"/>
        <v>170</v>
      </c>
      <c r="Q169" s="136">
        <f t="shared" si="114"/>
        <v>10</v>
      </c>
      <c r="AT169" s="413">
        <f t="shared" ca="1" si="92"/>
        <v>0</v>
      </c>
      <c r="AU169" s="136">
        <f ca="1">COUNTIFS(AT$7:$AT169,1)</f>
        <v>1</v>
      </c>
    </row>
    <row r="170" spans="1:47" ht="15">
      <c r="A170" s="952" t="str">
        <f ca="1">OFFSET(input!$A$25,P170,0)</f>
        <v>N</v>
      </c>
      <c r="B170" s="891">
        <f ca="1">SUMIFS(Paper!$AC$7:$AC$30,Paper!$A$7:$A$30,Ink!A170)+SUMIFS(Paper!$X$7:$X$30,Paper!$A$7:$A$30,Ink!A170)</f>
        <v>0</v>
      </c>
      <c r="C170" s="953">
        <v>11</v>
      </c>
      <c r="D170" s="954" t="str">
        <f ca="1">OFFSET(input!$A$27,O170,0)</f>
        <v>None</v>
      </c>
      <c r="E170" s="891">
        <f ca="1">SUMIFS(Paper!$N$7:$N$30,Paper!$A$7:$A$30,A170)</f>
        <v>0</v>
      </c>
      <c r="F170" s="891">
        <f ca="1">SUMIFS(Paper!$O$7:$O$30,Paper!$A$7:$A$30,A170)</f>
        <v>0</v>
      </c>
      <c r="G170" s="955">
        <f ca="1">IF($D170="None",0,IF(OFFSET(input!$B$27,O170,0)&gt;0,OFFSET(input!$B$27,O170,0),E170*F170*$D$8*10000/IF($B$2="PACK",COUNTIF($H$10:$H$23,"&gt;0"),1)))</f>
        <v>0</v>
      </c>
      <c r="H170" s="956">
        <f ca="1">IF(OFFSET(input!$C$27,O170,0)&gt;0,OFFSET(input!$C$27,O170,0),VLOOKUP(D170,Data!$L$1064:$M$1071,2,0))</f>
        <v>0</v>
      </c>
      <c r="I170" s="891">
        <f ca="1">ROUNDUP(IF(G170&gt;0,((B170/10000)*G170),0),1)</f>
        <v>0</v>
      </c>
      <c r="J170" s="891">
        <f ca="1">IF(G170&gt;0,0.2,0)*OFFSET(Paper!$J$7,Q170,0)</f>
        <v>0</v>
      </c>
      <c r="K170" s="891">
        <f ca="1">J170*H170</f>
        <v>0</v>
      </c>
      <c r="L170" s="891">
        <f ca="1">IF(I170=0,0,H170*(I170+J170))</f>
        <v>0</v>
      </c>
      <c r="M170" s="891">
        <f ca="1">IF($D$3&gt;0,L170/($D$3),0)*(1+$M$6)</f>
        <v>0</v>
      </c>
      <c r="N170" s="136" t="str">
        <f ca="1">OFFSET(input!$F$33,P170,0)</f>
        <v>N</v>
      </c>
      <c r="O170" s="136">
        <f t="shared" si="112"/>
        <v>180</v>
      </c>
      <c r="P170" s="136">
        <f t="shared" si="113"/>
        <v>170</v>
      </c>
      <c r="Q170" s="136">
        <f t="shared" si="114"/>
        <v>10</v>
      </c>
      <c r="AT170" s="413">
        <f t="shared" ca="1" si="92"/>
        <v>0</v>
      </c>
      <c r="AU170" s="136">
        <f ca="1">COUNTIFS(AT$7:$AT170,1)</f>
        <v>1</v>
      </c>
    </row>
    <row r="171" spans="1:47" ht="15">
      <c r="A171" s="952" t="str">
        <f ca="1">OFFSET(input!$A$25,P171,0)</f>
        <v>N</v>
      </c>
      <c r="B171" s="891">
        <f ca="1">SUMIFS(Paper!$AC$7:$AC$30,Paper!$A$7:$A$30,Ink!A171)+SUMIFS(Paper!$X$7:$X$30,Paper!$A$7:$A$30,Ink!A171)</f>
        <v>0</v>
      </c>
      <c r="C171" s="953">
        <v>12</v>
      </c>
      <c r="D171" s="954" t="str">
        <f ca="1">OFFSET(input!$A$27,O171,0)</f>
        <v>None</v>
      </c>
      <c r="E171" s="891">
        <f ca="1">SUMIFS(Paper!$N$7:$N$30,Paper!$A$7:$A$30,A171)</f>
        <v>0</v>
      </c>
      <c r="F171" s="891">
        <f ca="1">SUMIFS(Paper!$O$7:$O$30,Paper!$A$7:$A$30,A171)</f>
        <v>0</v>
      </c>
      <c r="G171" s="955">
        <f ca="1">IF($D171="None",0,IF(OFFSET(input!$B$27,O171,0)&gt;0,OFFSET(input!$B$27,O171,0),E171*F171*$D$8*10000/IF($B$2="PACK",COUNTIF($H$10:$H$23,"&gt;0"),1)))</f>
        <v>0</v>
      </c>
      <c r="H171" s="956">
        <f ca="1">IF(OFFSET(input!$C$27,O171,0)&gt;0,OFFSET(input!$C$27,O171,0),VLOOKUP(D171,Data!$L$1064:$M$1071,2,0))</f>
        <v>0</v>
      </c>
      <c r="I171" s="891">
        <f ca="1">ROUNDUP(IF(G171&gt;0,((B171/10000)*G171),0),1)</f>
        <v>0</v>
      </c>
      <c r="J171" s="891">
        <f ca="1">IF(G171&gt;0,0.2,0)*OFFSET(Paper!$J$7,Q171,0)</f>
        <v>0</v>
      </c>
      <c r="K171" s="891">
        <f ca="1">J171*H171</f>
        <v>0</v>
      </c>
      <c r="L171" s="891">
        <f ca="1">IF(I171=0,0,H171*(I171+J171))</f>
        <v>0</v>
      </c>
      <c r="M171" s="891">
        <f ca="1">IF($D$3&gt;0,L171/($D$3),0)*(1+$M$6)</f>
        <v>0</v>
      </c>
      <c r="N171" s="136" t="str">
        <f ca="1">OFFSET(input!$F$33,P171,0)</f>
        <v>N</v>
      </c>
      <c r="O171" s="136">
        <f t="shared" si="112"/>
        <v>181</v>
      </c>
      <c r="P171" s="136">
        <f t="shared" si="113"/>
        <v>170</v>
      </c>
      <c r="Q171" s="136">
        <f t="shared" si="114"/>
        <v>10</v>
      </c>
      <c r="AT171" s="413">
        <f t="shared" ca="1" si="92"/>
        <v>0</v>
      </c>
      <c r="AU171" s="136">
        <f ca="1">COUNTIFS(AT$7:$AT171,1)</f>
        <v>1</v>
      </c>
    </row>
    <row r="172" spans="1:47" ht="15">
      <c r="A172" s="952" t="str">
        <f ca="1">OFFSET(input!$A$25,P172,0)</f>
        <v>N</v>
      </c>
      <c r="B172" s="891">
        <f ca="1">SUMIFS(Paper!$AC$7:$AC$30,Paper!$A$7:$A$30,Ink!A172)+SUMIFS(Paper!$X$7:$X$30,Paper!$A$7:$A$30,Ink!A172)</f>
        <v>0</v>
      </c>
      <c r="C172" s="953">
        <v>13</v>
      </c>
      <c r="D172" s="954" t="str">
        <f ca="1">OFFSET(input!$A$27,O172,0)</f>
        <v>None</v>
      </c>
      <c r="E172" s="891">
        <f ca="1">SUMIFS(Paper!$N$7:$N$30,Paper!$A$7:$A$30,A172)</f>
        <v>0</v>
      </c>
      <c r="F172" s="891">
        <f ca="1">SUMIFS(Paper!$O$7:$O$30,Paper!$A$7:$A$30,A172)</f>
        <v>0</v>
      </c>
      <c r="G172" s="955">
        <f ca="1">IF($D172="None",0,IF(OFFSET(input!$B$27,O172,0)&gt;0,OFFSET(input!$B$27,O172,0),E172*F172*$D$8*10000/IF($B$2="PACK",COUNTIF($H$10:$H$23,"&gt;0"),1)))</f>
        <v>0</v>
      </c>
      <c r="H172" s="956">
        <f ca="1">IF(OFFSET(input!$C$27,O172,0)&gt;0,OFFSET(input!$C$27,O172,0),VLOOKUP(D172,Data!$L$1064:$M$1071,2,0))</f>
        <v>0</v>
      </c>
      <c r="I172" s="891">
        <f ca="1">ROUNDUP(IF(G172&gt;0,((B172/10000)*G172),0),1)</f>
        <v>0</v>
      </c>
      <c r="J172" s="891">
        <f ca="1">IF(G172&gt;0,0.2,0)*OFFSET(Paper!$J$7,Q172,0)</f>
        <v>0</v>
      </c>
      <c r="K172" s="891">
        <f ca="1">J172*H172</f>
        <v>0</v>
      </c>
      <c r="L172" s="891">
        <f ca="1">IF(I172=0,0,H172*(I172+J172))</f>
        <v>0</v>
      </c>
      <c r="M172" s="891">
        <f ca="1">IF($D$3&gt;0,L172/($D$3),0)*(1+$M$6)</f>
        <v>0</v>
      </c>
      <c r="N172" s="136" t="str">
        <f ca="1">OFFSET(input!$F$33,P172,0)</f>
        <v>N</v>
      </c>
      <c r="O172" s="136">
        <f t="shared" si="112"/>
        <v>182</v>
      </c>
      <c r="P172" s="136">
        <f t="shared" si="113"/>
        <v>170</v>
      </c>
      <c r="Q172" s="136">
        <f t="shared" si="114"/>
        <v>10</v>
      </c>
      <c r="AT172" s="413">
        <f t="shared" ca="1" si="92"/>
        <v>0</v>
      </c>
      <c r="AU172" s="136">
        <f ca="1">COUNTIFS(AT$7:$AT172,1)</f>
        <v>1</v>
      </c>
    </row>
    <row r="173" spans="1:47" ht="15">
      <c r="A173" s="952" t="str">
        <f ca="1">OFFSET(input!$A$25,P173,0)</f>
        <v>N</v>
      </c>
      <c r="B173" s="891">
        <f ca="1">SUMIFS(Paper!$AC$7:$AC$30,Paper!$A$7:$A$30,Ink!A173)+SUMIFS(Paper!$X$7:$X$30,Paper!$A$7:$A$30,Ink!A173)</f>
        <v>0</v>
      </c>
      <c r="C173" s="953">
        <v>14</v>
      </c>
      <c r="D173" s="954" t="str">
        <f ca="1">OFFSET(input!$A$27,O173,0)</f>
        <v>None</v>
      </c>
      <c r="E173" s="891">
        <f ca="1">SUMIFS(Paper!$N$7:$N$30,Paper!$A$7:$A$30,A173)</f>
        <v>0</v>
      </c>
      <c r="F173" s="891">
        <f ca="1">SUMIFS(Paper!$O$7:$O$30,Paper!$A$7:$A$30,A173)</f>
        <v>0</v>
      </c>
      <c r="G173" s="955">
        <f ca="1">IF($D173="None",0,IF(OFFSET(input!$B$27,O173,0)&gt;0,OFFSET(input!$B$27,O173,0),E173*F173*$D$8*10000/IF($B$2="PACK",COUNTIF($H$10:$H$23,"&gt;0"),1)))</f>
        <v>0</v>
      </c>
      <c r="H173" s="956">
        <f ca="1">IF(OFFSET(input!$C$27,O173,0)&gt;0,OFFSET(input!$C$27,O173,0),VLOOKUP(D173,Data!$L$1064:$M$1071,2,0))</f>
        <v>0</v>
      </c>
      <c r="I173" s="891">
        <f t="shared" ref="I173" ca="1" si="115">ROUNDUP(IF(G173&gt;0,((B173/10000)*G173),0),1)</f>
        <v>0</v>
      </c>
      <c r="J173" s="891">
        <f ca="1">IF(G173&gt;0,0.2,0)*OFFSET(Paper!$J$7,Q173,0)</f>
        <v>0</v>
      </c>
      <c r="K173" s="891">
        <f t="shared" ref="K173" ca="1" si="116">J173*H173</f>
        <v>0</v>
      </c>
      <c r="L173" s="891">
        <f t="shared" ref="L173" ca="1" si="117">IF(I173=0,0,H173*(I173+J173))</f>
        <v>0</v>
      </c>
      <c r="M173" s="891">
        <f t="shared" ref="M173" ca="1" si="118">IF($D$3&gt;0,L173/($D$3),0)*(1+$M$6)</f>
        <v>0</v>
      </c>
      <c r="N173" s="136" t="str">
        <f ca="1">OFFSET(input!$F$33,P173,0)</f>
        <v>N</v>
      </c>
      <c r="O173" s="136">
        <f t="shared" si="112"/>
        <v>183</v>
      </c>
      <c r="P173" s="136">
        <f>+P158+17</f>
        <v>170</v>
      </c>
      <c r="Q173" s="136">
        <f t="shared" si="114"/>
        <v>10</v>
      </c>
      <c r="AT173" s="413">
        <f t="shared" ca="1" si="92"/>
        <v>0</v>
      </c>
      <c r="AU173" s="136">
        <f ca="1">COUNTIFS(AT$7:$AT173,1)</f>
        <v>1</v>
      </c>
    </row>
    <row r="174" spans="1:47" ht="15">
      <c r="A174" s="957"/>
      <c r="B174" s="958"/>
      <c r="C174" s="959"/>
      <c r="D174" s="954"/>
      <c r="E174" s="958"/>
      <c r="F174" s="958"/>
      <c r="G174" s="955"/>
      <c r="H174" s="960"/>
      <c r="I174" s="958"/>
      <c r="J174" s="958"/>
      <c r="K174" s="958"/>
      <c r="L174" s="958"/>
      <c r="M174" s="958"/>
      <c r="AT174" s="413" t="str">
        <f t="shared" si="92"/>
        <v/>
      </c>
      <c r="AU174" s="136">
        <f ca="1">COUNTIFS(AT$7:$AT174,1)</f>
        <v>1</v>
      </c>
    </row>
    <row r="175" spans="1:47" ht="15" collapsed="1">
      <c r="A175" s="952" t="str">
        <f ca="1">OFFSET(input!$A$25,P175,0)</f>
        <v>N</v>
      </c>
      <c r="B175" s="891">
        <f ca="1">SUMIFS(Paper!$AC$7:$AC$30,Paper!$A$7:$A$30,Ink!A175)+SUMIFS(Paper!$X$7:$X$30,Paper!$A$7:$A$30,Ink!A175)</f>
        <v>0</v>
      </c>
      <c r="C175" s="953">
        <v>1</v>
      </c>
      <c r="D175" s="954" t="str">
        <f ca="1">OFFSET(input!$A$27,O175,0)</f>
        <v>None</v>
      </c>
      <c r="E175" s="891">
        <f ca="1">SUMIFS(Paper!$N$7:$N$30,Paper!$A$7:$A$30,A175)</f>
        <v>0</v>
      </c>
      <c r="F175" s="891">
        <f ca="1">SUMIFS(Paper!$O$7:$O$30,Paper!$A$7:$A$30,A175)</f>
        <v>0</v>
      </c>
      <c r="G175" s="955">
        <f ca="1">IF($D175="None",0,IF(OFFSET(input!$B$27,O175,0)&gt;0,OFFSET(input!$B$27,O175,0),E175*F175*$D$8*10000/IF($B$2="PACK",COUNTIF($H$10:$H$23,"&gt;0"),1)))</f>
        <v>0</v>
      </c>
      <c r="H175" s="956">
        <f ca="1">IF(OFFSET(input!$C$27,O175,0)&gt;0,OFFSET(input!$C$27,O175,0),VLOOKUP(D175,Data!$L$1064:$M$1071,2,0))</f>
        <v>0</v>
      </c>
      <c r="I175" s="891">
        <f t="shared" ref="I175:I183" ca="1" si="119">ROUNDUP(IF(G175&gt;0,((B175/10000)*G175),0),1)</f>
        <v>0</v>
      </c>
      <c r="J175" s="891">
        <f ca="1">IF(G175&gt;0,0.2,0)*OFFSET(Paper!$J$7,Q175,0)</f>
        <v>0</v>
      </c>
      <c r="K175" s="891">
        <f t="shared" ref="K175:K183" ca="1" si="120">J175*H175</f>
        <v>0</v>
      </c>
      <c r="L175" s="891">
        <f t="shared" ref="L175:L183" ca="1" si="121">IF(I175=0,0,H175*(I175+J175))</f>
        <v>0</v>
      </c>
      <c r="M175" s="891">
        <f ca="1">IF($D$3&gt;0,L175/($D$3),0)*(1+$M$6)</f>
        <v>0</v>
      </c>
      <c r="N175" s="136" t="str">
        <f ca="1">OFFSET(input!$F$33,P175,0)</f>
        <v>N</v>
      </c>
      <c r="O175" s="136">
        <f>O160+17</f>
        <v>187</v>
      </c>
      <c r="P175" s="136">
        <f>+P160+17</f>
        <v>187</v>
      </c>
      <c r="Q175" s="136">
        <f>+Q160+1</f>
        <v>11</v>
      </c>
      <c r="AT175" s="413">
        <f t="shared" ca="1" si="92"/>
        <v>0</v>
      </c>
      <c r="AU175" s="136">
        <f ca="1">COUNTIFS(AT$7:$AT175,1)</f>
        <v>1</v>
      </c>
    </row>
    <row r="176" spans="1:47" ht="15">
      <c r="A176" s="952" t="str">
        <f ca="1">OFFSET(input!$A$25,P176,0)</f>
        <v>N</v>
      </c>
      <c r="B176" s="891">
        <f ca="1">SUMIFS(Paper!$AC$7:$AC$30,Paper!$A$7:$A$30,Ink!A176)+SUMIFS(Paper!$X$7:$X$30,Paper!$A$7:$A$30,Ink!A176)</f>
        <v>0</v>
      </c>
      <c r="C176" s="953">
        <v>2</v>
      </c>
      <c r="D176" s="954" t="str">
        <f ca="1">OFFSET(input!$A$27,O176,0)</f>
        <v>None</v>
      </c>
      <c r="E176" s="891">
        <f ca="1">SUMIFS(Paper!$N$7:$N$30,Paper!$A$7:$A$30,A176)</f>
        <v>0</v>
      </c>
      <c r="F176" s="891">
        <f ca="1">SUMIFS(Paper!$O$7:$O$30,Paper!$A$7:$A$30,A176)</f>
        <v>0</v>
      </c>
      <c r="G176" s="955">
        <f ca="1">IF($D176="None",0,IF(OFFSET(input!$B$27,O176,0)&gt;0,OFFSET(input!$B$27,O176,0),E176*F176*$D$8*10000/IF($B$2="PACK",COUNTIF($H$10:$H$23,"&gt;0"),1)))</f>
        <v>0</v>
      </c>
      <c r="H176" s="956">
        <f ca="1">IF(OFFSET(input!$C$27,O176,0)&gt;0,OFFSET(input!$C$27,O176,0),VLOOKUP(D176,Data!$L$1064:$M$1071,2,0))</f>
        <v>0</v>
      </c>
      <c r="I176" s="891">
        <f t="shared" ca="1" si="119"/>
        <v>0</v>
      </c>
      <c r="J176" s="891">
        <f ca="1">IF(G176&gt;0,0.2,0)*OFFSET(Paper!$J$7,Q176,0)</f>
        <v>0</v>
      </c>
      <c r="K176" s="891">
        <f t="shared" ca="1" si="120"/>
        <v>0</v>
      </c>
      <c r="L176" s="891">
        <f t="shared" ca="1" si="121"/>
        <v>0</v>
      </c>
      <c r="M176" s="891">
        <f t="shared" ref="M176:M183" ca="1" si="122">IF($D$3&gt;0,L176/($D$3),0)*(1+$M$6)</f>
        <v>0</v>
      </c>
      <c r="N176" s="136" t="str">
        <f ca="1">OFFSET(input!$F$33,P176,0)</f>
        <v>N</v>
      </c>
      <c r="O176" s="136">
        <f t="shared" ref="O176:O188" si="123">O161+17</f>
        <v>188</v>
      </c>
      <c r="P176" s="136">
        <f t="shared" ref="P176:P187" si="124">+P161+17</f>
        <v>187</v>
      </c>
      <c r="Q176" s="136">
        <f t="shared" ref="Q176:Q188" si="125">+Q161+1</f>
        <v>11</v>
      </c>
      <c r="AT176" s="413">
        <f t="shared" ca="1" si="92"/>
        <v>0</v>
      </c>
      <c r="AU176" s="136">
        <f ca="1">COUNTIFS(AT$7:$AT176,1)</f>
        <v>1</v>
      </c>
    </row>
    <row r="177" spans="1:47" ht="15">
      <c r="A177" s="952" t="str">
        <f ca="1">OFFSET(input!$A$25,P177,0)</f>
        <v>N</v>
      </c>
      <c r="B177" s="891">
        <f ca="1">SUMIFS(Paper!$AC$7:$AC$30,Paper!$A$7:$A$30,Ink!A177)+SUMIFS(Paper!$X$7:$X$30,Paper!$A$7:$A$30,Ink!A177)</f>
        <v>0</v>
      </c>
      <c r="C177" s="953">
        <v>3</v>
      </c>
      <c r="D177" s="954" t="str">
        <f ca="1">OFFSET(input!$A$27,O177,0)</f>
        <v>None</v>
      </c>
      <c r="E177" s="891">
        <f ca="1">SUMIFS(Paper!$N$7:$N$30,Paper!$A$7:$A$30,A177)</f>
        <v>0</v>
      </c>
      <c r="F177" s="891">
        <f ca="1">SUMIFS(Paper!$O$7:$O$30,Paper!$A$7:$A$30,A177)</f>
        <v>0</v>
      </c>
      <c r="G177" s="955">
        <f ca="1">IF($D177="None",0,IF(OFFSET(input!$B$27,O177,0)&gt;0,OFFSET(input!$B$27,O177,0),E177*F177*$D$8*10000/IF($B$2="PACK",COUNTIF($H$10:$H$23,"&gt;0"),1)))</f>
        <v>0</v>
      </c>
      <c r="H177" s="956">
        <f ca="1">IF(OFFSET(input!$C$27,O177,0)&gt;0,OFFSET(input!$C$27,O177,0),VLOOKUP(D177,Data!$L$1064:$M$1071,2,0))</f>
        <v>0</v>
      </c>
      <c r="I177" s="891">
        <f t="shared" ca="1" si="119"/>
        <v>0</v>
      </c>
      <c r="J177" s="891">
        <f ca="1">IF(G177&gt;0,0.2,0)*OFFSET(Paper!$J$7,Q177,0)</f>
        <v>0</v>
      </c>
      <c r="K177" s="891">
        <f t="shared" ca="1" si="120"/>
        <v>0</v>
      </c>
      <c r="L177" s="891">
        <f t="shared" ca="1" si="121"/>
        <v>0</v>
      </c>
      <c r="M177" s="891">
        <f t="shared" ca="1" si="122"/>
        <v>0</v>
      </c>
      <c r="N177" s="136" t="str">
        <f ca="1">OFFSET(input!$F$33,P177,0)</f>
        <v>N</v>
      </c>
      <c r="O177" s="136">
        <f t="shared" si="123"/>
        <v>189</v>
      </c>
      <c r="P177" s="136">
        <f t="shared" si="124"/>
        <v>187</v>
      </c>
      <c r="Q177" s="136">
        <f t="shared" si="125"/>
        <v>11</v>
      </c>
      <c r="AT177" s="413">
        <f t="shared" ca="1" si="92"/>
        <v>0</v>
      </c>
      <c r="AU177" s="136">
        <f ca="1">COUNTIFS(AT$7:$AT177,1)</f>
        <v>1</v>
      </c>
    </row>
    <row r="178" spans="1:47" ht="15">
      <c r="A178" s="952" t="str">
        <f ca="1">OFFSET(input!$A$25,P178,0)</f>
        <v>N</v>
      </c>
      <c r="B178" s="891">
        <f ca="1">SUMIFS(Paper!$AC$7:$AC$30,Paper!$A$7:$A$30,Ink!A178)+SUMIFS(Paper!$X$7:$X$30,Paper!$A$7:$A$30,Ink!A178)</f>
        <v>0</v>
      </c>
      <c r="C178" s="953">
        <v>4</v>
      </c>
      <c r="D178" s="954" t="str">
        <f ca="1">OFFSET(input!$A$27,O178,0)</f>
        <v>None</v>
      </c>
      <c r="E178" s="891">
        <f ca="1">SUMIFS(Paper!$N$7:$N$30,Paper!$A$7:$A$30,A178)</f>
        <v>0</v>
      </c>
      <c r="F178" s="891">
        <f ca="1">SUMIFS(Paper!$O$7:$O$30,Paper!$A$7:$A$30,A178)</f>
        <v>0</v>
      </c>
      <c r="G178" s="955">
        <f ca="1">IF($D178="None",0,IF(OFFSET(input!$B$27,O178,0)&gt;0,OFFSET(input!$B$27,O178,0),E178*F178*$D$8*10000/IF($B$2="PACK",COUNTIF($H$10:$H$23,"&gt;0"),1)))</f>
        <v>0</v>
      </c>
      <c r="H178" s="956">
        <f ca="1">IF(OFFSET(input!$C$27,O178,0)&gt;0,OFFSET(input!$C$27,O178,0),VLOOKUP(D178,Data!$L$1064:$M$1071,2,0))</f>
        <v>0</v>
      </c>
      <c r="I178" s="891">
        <f t="shared" ca="1" si="119"/>
        <v>0</v>
      </c>
      <c r="J178" s="891">
        <f ca="1">IF(G178&gt;0,0.2,0)*OFFSET(Paper!$J$7,Q178,0)</f>
        <v>0</v>
      </c>
      <c r="K178" s="891">
        <f t="shared" ca="1" si="120"/>
        <v>0</v>
      </c>
      <c r="L178" s="891">
        <f t="shared" ca="1" si="121"/>
        <v>0</v>
      </c>
      <c r="M178" s="891">
        <f t="shared" ca="1" si="122"/>
        <v>0</v>
      </c>
      <c r="N178" s="136" t="str">
        <f ca="1">OFFSET(input!$F$33,P178,0)</f>
        <v>N</v>
      </c>
      <c r="O178" s="136">
        <f t="shared" si="123"/>
        <v>190</v>
      </c>
      <c r="P178" s="136">
        <f t="shared" si="124"/>
        <v>187</v>
      </c>
      <c r="Q178" s="136">
        <f t="shared" si="125"/>
        <v>11</v>
      </c>
      <c r="AT178" s="413">
        <f t="shared" ca="1" si="92"/>
        <v>0</v>
      </c>
      <c r="AU178" s="136">
        <f ca="1">COUNTIFS(AT$7:$AT178,1)</f>
        <v>1</v>
      </c>
    </row>
    <row r="179" spans="1:47" ht="15">
      <c r="A179" s="952" t="str">
        <f ca="1">OFFSET(input!$A$25,P179,0)</f>
        <v>N</v>
      </c>
      <c r="B179" s="891">
        <f ca="1">SUMIFS(Paper!$AC$7:$AC$30,Paper!$A$7:$A$30,Ink!A179)+SUMIFS(Paper!$X$7:$X$30,Paper!$A$7:$A$30,Ink!A179)</f>
        <v>0</v>
      </c>
      <c r="C179" s="953">
        <v>5</v>
      </c>
      <c r="D179" s="954" t="str">
        <f ca="1">OFFSET(input!$A$27,O179,0)</f>
        <v>None</v>
      </c>
      <c r="E179" s="891">
        <f ca="1">SUMIFS(Paper!$N$7:$N$30,Paper!$A$7:$A$30,A179)</f>
        <v>0</v>
      </c>
      <c r="F179" s="891">
        <f ca="1">SUMIFS(Paper!$O$7:$O$30,Paper!$A$7:$A$30,A179)</f>
        <v>0</v>
      </c>
      <c r="G179" s="955">
        <f ca="1">IF($D179="None",0,IF(OFFSET(input!$B$27,O179,0)&gt;0,OFFSET(input!$B$27,O179,0),E179*F179*$D$8*10000/IF($B$2="PACK",COUNTIF($H$10:$H$23,"&gt;0"),1)))</f>
        <v>0</v>
      </c>
      <c r="H179" s="956">
        <f ca="1">IF(OFFSET(input!$C$27,O179,0)&gt;0,OFFSET(input!$C$27,O179,0),VLOOKUP(D179,Data!$L$1064:$M$1071,2,0))</f>
        <v>0</v>
      </c>
      <c r="I179" s="891">
        <f t="shared" ca="1" si="119"/>
        <v>0</v>
      </c>
      <c r="J179" s="891">
        <f ca="1">IF(G179&gt;0,0.2,0)*OFFSET(Paper!$J$7,Q179,0)</f>
        <v>0</v>
      </c>
      <c r="K179" s="891">
        <f t="shared" ca="1" si="120"/>
        <v>0</v>
      </c>
      <c r="L179" s="891">
        <f t="shared" ca="1" si="121"/>
        <v>0</v>
      </c>
      <c r="M179" s="891">
        <f t="shared" ca="1" si="122"/>
        <v>0</v>
      </c>
      <c r="N179" s="136" t="str">
        <f ca="1">OFFSET(input!$F$33,P179,0)</f>
        <v>N</v>
      </c>
      <c r="O179" s="136">
        <f t="shared" si="123"/>
        <v>191</v>
      </c>
      <c r="P179" s="136">
        <f t="shared" si="124"/>
        <v>187</v>
      </c>
      <c r="Q179" s="136">
        <f t="shared" si="125"/>
        <v>11</v>
      </c>
      <c r="AT179" s="413">
        <f t="shared" ca="1" si="92"/>
        <v>0</v>
      </c>
      <c r="AU179" s="136">
        <f ca="1">COUNTIFS(AT$7:$AT179,1)</f>
        <v>1</v>
      </c>
    </row>
    <row r="180" spans="1:47" ht="15">
      <c r="A180" s="952" t="str">
        <f ca="1">OFFSET(input!$A$25,P180,0)</f>
        <v>N</v>
      </c>
      <c r="B180" s="891">
        <f ca="1">SUMIFS(Paper!$AC$7:$AC$30,Paper!$A$7:$A$30,Ink!A180)+SUMIFS(Paper!$X$7:$X$30,Paper!$A$7:$A$30,Ink!A180)</f>
        <v>0</v>
      </c>
      <c r="C180" s="953">
        <v>6</v>
      </c>
      <c r="D180" s="954" t="str">
        <f ca="1">OFFSET(input!$A$27,O180,0)</f>
        <v>None</v>
      </c>
      <c r="E180" s="891">
        <f ca="1">SUMIFS(Paper!$N$7:$N$30,Paper!$A$7:$A$30,A180)</f>
        <v>0</v>
      </c>
      <c r="F180" s="891">
        <f ca="1">SUMIFS(Paper!$O$7:$O$30,Paper!$A$7:$A$30,A180)</f>
        <v>0</v>
      </c>
      <c r="G180" s="955">
        <f ca="1">IF($D180="None",0,IF(OFFSET(input!$B$27,O180,0)&gt;0,OFFSET(input!$B$27,O180,0),E180*F180*$D$8*10000/IF($B$2="PACK",COUNTIF($H$10:$H$23,"&gt;0"),1)))</f>
        <v>0</v>
      </c>
      <c r="H180" s="956">
        <f ca="1">IF(OFFSET(input!$C$27,O180,0)&gt;0,OFFSET(input!$C$27,O180,0),VLOOKUP(D180,Data!$L$1064:$M$1071,2,0))</f>
        <v>0</v>
      </c>
      <c r="I180" s="891">
        <f t="shared" ca="1" si="119"/>
        <v>0</v>
      </c>
      <c r="J180" s="891">
        <f ca="1">IF(G180&gt;0,0.2,0)*OFFSET(Paper!$J$7,Q180,0)</f>
        <v>0</v>
      </c>
      <c r="K180" s="891">
        <f t="shared" ca="1" si="120"/>
        <v>0</v>
      </c>
      <c r="L180" s="891">
        <f t="shared" ca="1" si="121"/>
        <v>0</v>
      </c>
      <c r="M180" s="891">
        <f t="shared" ca="1" si="122"/>
        <v>0</v>
      </c>
      <c r="N180" s="136" t="str">
        <f ca="1">OFFSET(input!$F$33,P180,0)</f>
        <v>N</v>
      </c>
      <c r="O180" s="136">
        <f t="shared" si="123"/>
        <v>192</v>
      </c>
      <c r="P180" s="136">
        <f t="shared" si="124"/>
        <v>187</v>
      </c>
      <c r="Q180" s="136">
        <f t="shared" si="125"/>
        <v>11</v>
      </c>
      <c r="AT180" s="413">
        <f t="shared" ca="1" si="92"/>
        <v>0</v>
      </c>
      <c r="AU180" s="136">
        <f ca="1">COUNTIFS(AT$7:$AT180,1)</f>
        <v>1</v>
      </c>
    </row>
    <row r="181" spans="1:47" ht="15">
      <c r="A181" s="952" t="str">
        <f ca="1">OFFSET(input!$A$25,P181,0)</f>
        <v>N</v>
      </c>
      <c r="B181" s="891">
        <f ca="1">SUMIFS(Paper!$AC$7:$AC$30,Paper!$A$7:$A$30,Ink!A181)+SUMIFS(Paper!$X$7:$X$30,Paper!$A$7:$A$30,Ink!A181)</f>
        <v>0</v>
      </c>
      <c r="C181" s="953">
        <v>7</v>
      </c>
      <c r="D181" s="954" t="str">
        <f ca="1">OFFSET(input!$A$27,O181,0)</f>
        <v>None</v>
      </c>
      <c r="E181" s="891">
        <f ca="1">SUMIFS(Paper!$N$7:$N$30,Paper!$A$7:$A$30,A181)</f>
        <v>0</v>
      </c>
      <c r="F181" s="891">
        <f ca="1">SUMIFS(Paper!$O$7:$O$30,Paper!$A$7:$A$30,A181)</f>
        <v>0</v>
      </c>
      <c r="G181" s="955">
        <f ca="1">IF($D181="None",0,IF(OFFSET(input!$B$27,O181,0)&gt;0,OFFSET(input!$B$27,O181,0),E181*F181*$D$8*10000/IF($B$2="PACK",COUNTIF($H$10:$H$23,"&gt;0"),1)))</f>
        <v>0</v>
      </c>
      <c r="H181" s="956">
        <f ca="1">IF(OFFSET(input!$C$27,O181,0)&gt;0,OFFSET(input!$C$27,O181,0),VLOOKUP(D181,Data!$L$1064:$M$1071,2,0))</f>
        <v>0</v>
      </c>
      <c r="I181" s="891">
        <f t="shared" ca="1" si="119"/>
        <v>0</v>
      </c>
      <c r="J181" s="891">
        <f ca="1">IF(G181&gt;0,0.2,0)*OFFSET(Paper!$J$7,Q181,0)</f>
        <v>0</v>
      </c>
      <c r="K181" s="891">
        <f t="shared" ca="1" si="120"/>
        <v>0</v>
      </c>
      <c r="L181" s="891">
        <f t="shared" ca="1" si="121"/>
        <v>0</v>
      </c>
      <c r="M181" s="891">
        <f t="shared" ca="1" si="122"/>
        <v>0</v>
      </c>
      <c r="N181" s="136" t="str">
        <f ca="1">OFFSET(input!$F$33,P181,0)</f>
        <v>N</v>
      </c>
      <c r="O181" s="136">
        <f t="shared" si="123"/>
        <v>193</v>
      </c>
      <c r="P181" s="136">
        <f t="shared" si="124"/>
        <v>187</v>
      </c>
      <c r="Q181" s="136">
        <f t="shared" si="125"/>
        <v>11</v>
      </c>
      <c r="AT181" s="413">
        <f t="shared" ca="1" si="92"/>
        <v>0</v>
      </c>
      <c r="AU181" s="136">
        <f ca="1">COUNTIFS(AT$7:$AT181,1)</f>
        <v>1</v>
      </c>
    </row>
    <row r="182" spans="1:47" ht="15">
      <c r="A182" s="952" t="str">
        <f ca="1">OFFSET(input!$A$25,P182,0)</f>
        <v>N</v>
      </c>
      <c r="B182" s="891">
        <f ca="1">SUMIFS(Paper!$AC$7:$AC$30,Paper!$A$7:$A$30,Ink!A182)+SUMIFS(Paper!$X$7:$X$30,Paper!$A$7:$A$30,Ink!A182)</f>
        <v>0</v>
      </c>
      <c r="C182" s="953">
        <v>8</v>
      </c>
      <c r="D182" s="954" t="str">
        <f ca="1">OFFSET(input!$A$27,O182,0)</f>
        <v>None</v>
      </c>
      <c r="E182" s="891">
        <f ca="1">SUMIFS(Paper!$N$7:$N$30,Paper!$A$7:$A$30,A182)</f>
        <v>0</v>
      </c>
      <c r="F182" s="891">
        <f ca="1">SUMIFS(Paper!$O$7:$O$30,Paper!$A$7:$A$30,A182)</f>
        <v>0</v>
      </c>
      <c r="G182" s="955">
        <f ca="1">IF($D182="None",0,IF(OFFSET(input!$B$27,O182,0)&gt;0,OFFSET(input!$B$27,O182,0),E182*F182*$D$8*10000/IF($B$2="PACK",COUNTIF($H$10:$H$23,"&gt;0"),1)))</f>
        <v>0</v>
      </c>
      <c r="H182" s="956">
        <f ca="1">IF(OFFSET(input!$C$27,O182,0)&gt;0,OFFSET(input!$C$27,O182,0),VLOOKUP(D182,Data!$L$1064:$M$1071,2,0))</f>
        <v>0</v>
      </c>
      <c r="I182" s="891">
        <f t="shared" ca="1" si="119"/>
        <v>0</v>
      </c>
      <c r="J182" s="891">
        <f ca="1">IF(G182&gt;0,0.2,0)*OFFSET(Paper!$J$7,Q182,0)</f>
        <v>0</v>
      </c>
      <c r="K182" s="891">
        <f t="shared" ca="1" si="120"/>
        <v>0</v>
      </c>
      <c r="L182" s="891">
        <f t="shared" ca="1" si="121"/>
        <v>0</v>
      </c>
      <c r="M182" s="891">
        <f t="shared" ca="1" si="122"/>
        <v>0</v>
      </c>
      <c r="N182" s="136" t="str">
        <f ca="1">OFFSET(input!$F$33,P182,0)</f>
        <v>N</v>
      </c>
      <c r="O182" s="136">
        <f t="shared" si="123"/>
        <v>194</v>
      </c>
      <c r="P182" s="136">
        <f t="shared" si="124"/>
        <v>187</v>
      </c>
      <c r="Q182" s="136">
        <f t="shared" si="125"/>
        <v>11</v>
      </c>
      <c r="AT182" s="413">
        <f t="shared" ca="1" si="92"/>
        <v>0</v>
      </c>
      <c r="AU182" s="136">
        <f ca="1">COUNTIFS(AT$7:$AT182,1)</f>
        <v>1</v>
      </c>
    </row>
    <row r="183" spans="1:47" ht="15">
      <c r="A183" s="952" t="str">
        <f ca="1">OFFSET(input!$A$25,P183,0)</f>
        <v>N</v>
      </c>
      <c r="B183" s="891">
        <f ca="1">SUMIFS(Paper!$AC$7:$AC$30,Paper!$A$7:$A$30,Ink!A183)+SUMIFS(Paper!$X$7:$X$30,Paper!$A$7:$A$30,Ink!A183)</f>
        <v>0</v>
      </c>
      <c r="C183" s="953">
        <v>9</v>
      </c>
      <c r="D183" s="954" t="str">
        <f ca="1">OFFSET(input!$A$27,O183,0)</f>
        <v>None</v>
      </c>
      <c r="E183" s="891">
        <f ca="1">SUMIFS(Paper!$N$7:$N$30,Paper!$A$7:$A$30,A183)</f>
        <v>0</v>
      </c>
      <c r="F183" s="891">
        <f ca="1">SUMIFS(Paper!$O$7:$O$30,Paper!$A$7:$A$30,A183)</f>
        <v>0</v>
      </c>
      <c r="G183" s="955">
        <f ca="1">IF($D183="None",0,IF(OFFSET(input!$B$27,O183,0)&gt;0,OFFSET(input!$B$27,O183,0),E183*F183*$D$8*10000/IF($B$2="PACK",COUNTIF($H$10:$H$23,"&gt;0"),1)))</f>
        <v>0</v>
      </c>
      <c r="H183" s="956">
        <f ca="1">IF(OFFSET(input!$C$27,O183,0)&gt;0,OFFSET(input!$C$27,O183,0),VLOOKUP(D183,Data!$L$1064:$M$1071,2,0))</f>
        <v>0</v>
      </c>
      <c r="I183" s="891">
        <f t="shared" ca="1" si="119"/>
        <v>0</v>
      </c>
      <c r="J183" s="891">
        <f ca="1">IF(G183&gt;0,0.2,0)*OFFSET(Paper!$J$7,Q183,0)</f>
        <v>0</v>
      </c>
      <c r="K183" s="891">
        <f t="shared" ca="1" si="120"/>
        <v>0</v>
      </c>
      <c r="L183" s="891">
        <f t="shared" ca="1" si="121"/>
        <v>0</v>
      </c>
      <c r="M183" s="891">
        <f t="shared" ca="1" si="122"/>
        <v>0</v>
      </c>
      <c r="N183" s="136" t="str">
        <f ca="1">OFFSET(input!$F$33,P183,0)</f>
        <v>N</v>
      </c>
      <c r="O183" s="136">
        <f t="shared" si="123"/>
        <v>195</v>
      </c>
      <c r="P183" s="136">
        <f t="shared" si="124"/>
        <v>187</v>
      </c>
      <c r="Q183" s="136">
        <f t="shared" si="125"/>
        <v>11</v>
      </c>
      <c r="AT183" s="413">
        <f t="shared" ca="1" si="92"/>
        <v>0</v>
      </c>
      <c r="AU183" s="136">
        <f ca="1">COUNTIFS(AT$7:$AT183,1)</f>
        <v>1</v>
      </c>
    </row>
    <row r="184" spans="1:47" ht="15">
      <c r="A184" s="952" t="str">
        <f ca="1">OFFSET(input!$A$25,P184,0)</f>
        <v>N</v>
      </c>
      <c r="B184" s="891">
        <f ca="1">SUMIFS(Paper!$AC$7:$AC$30,Paper!$A$7:$A$30,Ink!A184)+SUMIFS(Paper!$X$7:$X$30,Paper!$A$7:$A$30,Ink!A184)</f>
        <v>0</v>
      </c>
      <c r="C184" s="953">
        <v>10</v>
      </c>
      <c r="D184" s="954" t="str">
        <f ca="1">OFFSET(input!$A$27,O184,0)</f>
        <v>None</v>
      </c>
      <c r="E184" s="891">
        <f ca="1">SUMIFS(Paper!$N$7:$N$30,Paper!$A$7:$A$30,A184)</f>
        <v>0</v>
      </c>
      <c r="F184" s="891">
        <f ca="1">SUMIFS(Paper!$O$7:$O$30,Paper!$A$7:$A$30,A184)</f>
        <v>0</v>
      </c>
      <c r="G184" s="955">
        <f ca="1">IF($D184="None",0,IF(OFFSET(input!$B$27,O184,0)&gt;0,OFFSET(input!$B$27,O184,0),E184*F184*$D$8*10000/IF($B$2="PACK",COUNTIF($H$10:$H$23,"&gt;0"),1)))</f>
        <v>0</v>
      </c>
      <c r="H184" s="956">
        <f ca="1">IF(OFFSET(input!$C$27,O184,0)&gt;0,OFFSET(input!$C$27,O184,0),VLOOKUP(D184,Data!$L$1064:$M$1071,2,0))</f>
        <v>0</v>
      </c>
      <c r="I184" s="891">
        <f ca="1">ROUNDUP(IF(G184&gt;0,((B184/10000)*G184),0),1)</f>
        <v>0</v>
      </c>
      <c r="J184" s="891">
        <f ca="1">IF(G184&gt;0,0.2,0)*OFFSET(Paper!$J$7,Q184,0)</f>
        <v>0</v>
      </c>
      <c r="K184" s="891">
        <f ca="1">J184*H184</f>
        <v>0</v>
      </c>
      <c r="L184" s="891">
        <f ca="1">IF(I184=0,0,H184*(I184+J184))</f>
        <v>0</v>
      </c>
      <c r="M184" s="891">
        <f ca="1">IF($D$3&gt;0,L184/($D$3),0)*(1+$M$6)</f>
        <v>0</v>
      </c>
      <c r="N184" s="136" t="str">
        <f ca="1">OFFSET(input!$F$33,P184,0)</f>
        <v>N</v>
      </c>
      <c r="O184" s="136">
        <f t="shared" si="123"/>
        <v>196</v>
      </c>
      <c r="P184" s="136">
        <f t="shared" si="124"/>
        <v>187</v>
      </c>
      <c r="Q184" s="136">
        <f t="shared" si="125"/>
        <v>11</v>
      </c>
      <c r="AT184" s="413">
        <f t="shared" ref="AT184:AT247" ca="1" si="126">IF(ISNUMBER(M184),IF(M184&lt;&gt;0,IF(ISNUMBER(SEARCH("to",GL184)),0,1),0),"")</f>
        <v>0</v>
      </c>
      <c r="AU184" s="136">
        <f ca="1">COUNTIFS(AT$7:$AT184,1)</f>
        <v>1</v>
      </c>
    </row>
    <row r="185" spans="1:47" ht="15">
      <c r="A185" s="952" t="str">
        <f ca="1">OFFSET(input!$A$25,P185,0)</f>
        <v>N</v>
      </c>
      <c r="B185" s="891">
        <f ca="1">SUMIFS(Paper!$AC$7:$AC$30,Paper!$A$7:$A$30,Ink!A185)+SUMIFS(Paper!$X$7:$X$30,Paper!$A$7:$A$30,Ink!A185)</f>
        <v>0</v>
      </c>
      <c r="C185" s="953">
        <v>11</v>
      </c>
      <c r="D185" s="954" t="str">
        <f ca="1">OFFSET(input!$A$27,O185,0)</f>
        <v>None</v>
      </c>
      <c r="E185" s="891">
        <f ca="1">SUMIFS(Paper!$N$7:$N$30,Paper!$A$7:$A$30,A185)</f>
        <v>0</v>
      </c>
      <c r="F185" s="891">
        <f ca="1">SUMIFS(Paper!$O$7:$O$30,Paper!$A$7:$A$30,A185)</f>
        <v>0</v>
      </c>
      <c r="G185" s="955">
        <f ca="1">IF($D185="None",0,IF(OFFSET(input!$B$27,O185,0)&gt;0,OFFSET(input!$B$27,O185,0),E185*F185*$D$8*10000/IF($B$2="PACK",COUNTIF($H$10:$H$23,"&gt;0"),1)))</f>
        <v>0</v>
      </c>
      <c r="H185" s="956">
        <f ca="1">IF(OFFSET(input!$C$27,O185,0)&gt;0,OFFSET(input!$C$27,O185,0),VLOOKUP(D185,Data!$L$1064:$M$1071,2,0))</f>
        <v>0</v>
      </c>
      <c r="I185" s="891">
        <f ca="1">ROUNDUP(IF(G185&gt;0,((B185/10000)*G185),0),1)</f>
        <v>0</v>
      </c>
      <c r="J185" s="891">
        <f ca="1">IF(G185&gt;0,0.2,0)*OFFSET(Paper!$J$7,Q185,0)</f>
        <v>0</v>
      </c>
      <c r="K185" s="891">
        <f ca="1">J185*H185</f>
        <v>0</v>
      </c>
      <c r="L185" s="891">
        <f ca="1">IF(I185=0,0,H185*(I185+J185))</f>
        <v>0</v>
      </c>
      <c r="M185" s="891">
        <f ca="1">IF($D$3&gt;0,L185/($D$3),0)*(1+$M$6)</f>
        <v>0</v>
      </c>
      <c r="N185" s="136" t="str">
        <f ca="1">OFFSET(input!$F$33,P185,0)</f>
        <v>N</v>
      </c>
      <c r="O185" s="136">
        <f t="shared" si="123"/>
        <v>197</v>
      </c>
      <c r="P185" s="136">
        <f t="shared" si="124"/>
        <v>187</v>
      </c>
      <c r="Q185" s="136">
        <f t="shared" si="125"/>
        <v>11</v>
      </c>
      <c r="AT185" s="413">
        <f t="shared" ca="1" si="126"/>
        <v>0</v>
      </c>
      <c r="AU185" s="136">
        <f ca="1">COUNTIFS(AT$7:$AT185,1)</f>
        <v>1</v>
      </c>
    </row>
    <row r="186" spans="1:47" ht="15">
      <c r="A186" s="952" t="str">
        <f ca="1">OFFSET(input!$A$25,P186,0)</f>
        <v>N</v>
      </c>
      <c r="B186" s="891">
        <f ca="1">SUMIFS(Paper!$AC$7:$AC$30,Paper!$A$7:$A$30,Ink!A186)+SUMIFS(Paper!$X$7:$X$30,Paper!$A$7:$A$30,Ink!A186)</f>
        <v>0</v>
      </c>
      <c r="C186" s="953">
        <v>12</v>
      </c>
      <c r="D186" s="954" t="str">
        <f ca="1">OFFSET(input!$A$27,O186,0)</f>
        <v>None</v>
      </c>
      <c r="E186" s="891">
        <f ca="1">SUMIFS(Paper!$N$7:$N$30,Paper!$A$7:$A$30,A186)</f>
        <v>0</v>
      </c>
      <c r="F186" s="891">
        <f ca="1">SUMIFS(Paper!$O$7:$O$30,Paper!$A$7:$A$30,A186)</f>
        <v>0</v>
      </c>
      <c r="G186" s="955">
        <f ca="1">IF($D186="None",0,IF(OFFSET(input!$B$27,O186,0)&gt;0,OFFSET(input!$B$27,O186,0),E186*F186*$D$8*10000/IF($B$2="PACK",COUNTIF($H$10:$H$23,"&gt;0"),1)))</f>
        <v>0</v>
      </c>
      <c r="H186" s="956">
        <f ca="1">IF(OFFSET(input!$C$27,O186,0)&gt;0,OFFSET(input!$C$27,O186,0),VLOOKUP(D186,Data!$L$1064:$M$1071,2,0))</f>
        <v>0</v>
      </c>
      <c r="I186" s="891">
        <f ca="1">ROUNDUP(IF(G186&gt;0,((B186/10000)*G186),0),1)</f>
        <v>0</v>
      </c>
      <c r="J186" s="891">
        <f ca="1">IF(G186&gt;0,0.2,0)*OFFSET(Paper!$J$7,Q186,0)</f>
        <v>0</v>
      </c>
      <c r="K186" s="891">
        <f ca="1">J186*H186</f>
        <v>0</v>
      </c>
      <c r="L186" s="891">
        <f ca="1">IF(I186=0,0,H186*(I186+J186))</f>
        <v>0</v>
      </c>
      <c r="M186" s="891">
        <f ca="1">IF($D$3&gt;0,L186/($D$3),0)*(1+$M$6)</f>
        <v>0</v>
      </c>
      <c r="N186" s="136" t="str">
        <f ca="1">OFFSET(input!$F$33,P186,0)</f>
        <v>N</v>
      </c>
      <c r="O186" s="136">
        <f t="shared" si="123"/>
        <v>198</v>
      </c>
      <c r="P186" s="136">
        <f t="shared" si="124"/>
        <v>187</v>
      </c>
      <c r="Q186" s="136">
        <f t="shared" si="125"/>
        <v>11</v>
      </c>
      <c r="AT186" s="413">
        <f t="shared" ca="1" si="126"/>
        <v>0</v>
      </c>
      <c r="AU186" s="136">
        <f ca="1">COUNTIFS(AT$7:$AT186,1)</f>
        <v>1</v>
      </c>
    </row>
    <row r="187" spans="1:47" ht="15">
      <c r="A187" s="952" t="str">
        <f ca="1">OFFSET(input!$A$25,P187,0)</f>
        <v>N</v>
      </c>
      <c r="B187" s="891">
        <f ca="1">SUMIFS(Paper!$AC$7:$AC$30,Paper!$A$7:$A$30,Ink!A187)+SUMIFS(Paper!$X$7:$X$30,Paper!$A$7:$A$30,Ink!A187)</f>
        <v>0</v>
      </c>
      <c r="C187" s="953">
        <v>13</v>
      </c>
      <c r="D187" s="954" t="str">
        <f ca="1">OFFSET(input!$A$27,O187,0)</f>
        <v>None</v>
      </c>
      <c r="E187" s="891">
        <f ca="1">SUMIFS(Paper!$N$7:$N$30,Paper!$A$7:$A$30,A187)</f>
        <v>0</v>
      </c>
      <c r="F187" s="891">
        <f ca="1">SUMIFS(Paper!$O$7:$O$30,Paper!$A$7:$A$30,A187)</f>
        <v>0</v>
      </c>
      <c r="G187" s="955">
        <f ca="1">IF($D187="None",0,IF(OFFSET(input!$B$27,O187,0)&gt;0,OFFSET(input!$B$27,O187,0),E187*F187*$D$8*10000/IF($B$2="PACK",COUNTIF($H$10:$H$23,"&gt;0"),1)))</f>
        <v>0</v>
      </c>
      <c r="H187" s="956">
        <f ca="1">IF(OFFSET(input!$C$27,O187,0)&gt;0,OFFSET(input!$C$27,O187,0),VLOOKUP(D187,Data!$L$1064:$M$1071,2,0))</f>
        <v>0</v>
      </c>
      <c r="I187" s="891">
        <f ca="1">ROUNDUP(IF(G187&gt;0,((B187/10000)*G187),0),1)</f>
        <v>0</v>
      </c>
      <c r="J187" s="891">
        <f ca="1">IF(G187&gt;0,0.2,0)*OFFSET(Paper!$J$7,Q187,0)</f>
        <v>0</v>
      </c>
      <c r="K187" s="891">
        <f ca="1">J187*H187</f>
        <v>0</v>
      </c>
      <c r="L187" s="891">
        <f ca="1">IF(I187=0,0,H187*(I187+J187))</f>
        <v>0</v>
      </c>
      <c r="M187" s="891">
        <f ca="1">IF($D$3&gt;0,L187/($D$3),0)*(1+$M$6)</f>
        <v>0</v>
      </c>
      <c r="N187" s="136" t="str">
        <f ca="1">OFFSET(input!$F$33,P187,0)</f>
        <v>N</v>
      </c>
      <c r="O187" s="136">
        <f t="shared" si="123"/>
        <v>199</v>
      </c>
      <c r="P187" s="136">
        <f t="shared" si="124"/>
        <v>187</v>
      </c>
      <c r="Q187" s="136">
        <f t="shared" si="125"/>
        <v>11</v>
      </c>
      <c r="AT187" s="413">
        <f t="shared" ca="1" si="126"/>
        <v>0</v>
      </c>
      <c r="AU187" s="136">
        <f ca="1">COUNTIFS(AT$7:$AT187,1)</f>
        <v>1</v>
      </c>
    </row>
    <row r="188" spans="1:47" ht="15">
      <c r="A188" s="952" t="str">
        <f ca="1">OFFSET(input!$A$25,P188,0)</f>
        <v>N</v>
      </c>
      <c r="B188" s="891">
        <f ca="1">SUMIFS(Paper!$AC$7:$AC$30,Paper!$A$7:$A$30,Ink!A188)+SUMIFS(Paper!$X$7:$X$30,Paper!$A$7:$A$30,Ink!A188)</f>
        <v>0</v>
      </c>
      <c r="C188" s="953">
        <v>14</v>
      </c>
      <c r="D188" s="954" t="str">
        <f ca="1">OFFSET(input!$A$27,O188,0)</f>
        <v>None</v>
      </c>
      <c r="E188" s="891">
        <f ca="1">SUMIFS(Paper!$N$7:$N$30,Paper!$A$7:$A$30,A188)</f>
        <v>0</v>
      </c>
      <c r="F188" s="891">
        <f ca="1">SUMIFS(Paper!$O$7:$O$30,Paper!$A$7:$A$30,A188)</f>
        <v>0</v>
      </c>
      <c r="G188" s="955">
        <f ca="1">IF($D188="None",0,IF(OFFSET(input!$B$27,O188,0)&gt;0,OFFSET(input!$B$27,O188,0),E188*F188*$D$8*10000/IF($B$2="PACK",COUNTIF($H$10:$H$23,"&gt;0"),1)))</f>
        <v>0</v>
      </c>
      <c r="H188" s="956">
        <f ca="1">IF(OFFSET(input!$C$27,O188,0)&gt;0,OFFSET(input!$C$27,O188,0),VLOOKUP(D188,Data!$L$1064:$M$1071,2,0))</f>
        <v>0</v>
      </c>
      <c r="I188" s="891">
        <f t="shared" ref="I188" ca="1" si="127">ROUNDUP(IF(G188&gt;0,((B188/10000)*G188),0),1)</f>
        <v>0</v>
      </c>
      <c r="J188" s="891">
        <f ca="1">IF(G188&gt;0,0.2,0)*OFFSET(Paper!$J$7,Q188,0)</f>
        <v>0</v>
      </c>
      <c r="K188" s="891">
        <f t="shared" ref="K188" ca="1" si="128">J188*H188</f>
        <v>0</v>
      </c>
      <c r="L188" s="891">
        <f t="shared" ref="L188" ca="1" si="129">IF(I188=0,0,H188*(I188+J188))</f>
        <v>0</v>
      </c>
      <c r="M188" s="891">
        <f t="shared" ref="M188" ca="1" si="130">IF($D$3&gt;0,L188/($D$3),0)*(1+$M$6)</f>
        <v>0</v>
      </c>
      <c r="N188" s="136" t="str">
        <f ca="1">OFFSET(input!$F$33,P188,0)</f>
        <v>N</v>
      </c>
      <c r="O188" s="136">
        <f t="shared" si="123"/>
        <v>200</v>
      </c>
      <c r="P188" s="136">
        <f>+P173+17</f>
        <v>187</v>
      </c>
      <c r="Q188" s="136">
        <f t="shared" si="125"/>
        <v>11</v>
      </c>
      <c r="AT188" s="413">
        <f t="shared" ca="1" si="126"/>
        <v>0</v>
      </c>
      <c r="AU188" s="136">
        <f ca="1">COUNTIFS(AT$7:$AT188,1)</f>
        <v>1</v>
      </c>
    </row>
    <row r="189" spans="1:47" ht="15">
      <c r="A189" s="957"/>
      <c r="B189" s="958"/>
      <c r="C189" s="959"/>
      <c r="D189" s="954"/>
      <c r="E189" s="958"/>
      <c r="F189" s="958"/>
      <c r="G189" s="955"/>
      <c r="H189" s="960"/>
      <c r="I189" s="958"/>
      <c r="J189" s="958"/>
      <c r="K189" s="958"/>
      <c r="L189" s="958"/>
      <c r="M189" s="958"/>
      <c r="AT189" s="413" t="str">
        <f t="shared" si="126"/>
        <v/>
      </c>
      <c r="AU189" s="136">
        <f ca="1">COUNTIFS(AT$7:$AT189,1)</f>
        <v>1</v>
      </c>
    </row>
    <row r="190" spans="1:47" ht="15" collapsed="1">
      <c r="A190" s="952" t="str">
        <f ca="1">OFFSET(input!$A$25,P190,0)</f>
        <v>N</v>
      </c>
      <c r="B190" s="891">
        <f ca="1">SUMIFS(Paper!$AC$7:$AC$30,Paper!$A$7:$A$30,Ink!A190)+SUMIFS(Paper!$X$7:$X$30,Paper!$A$7:$A$30,Ink!A190)</f>
        <v>0</v>
      </c>
      <c r="C190" s="953">
        <v>1</v>
      </c>
      <c r="D190" s="954" t="str">
        <f ca="1">OFFSET(input!$A$27,O190,0)</f>
        <v>None</v>
      </c>
      <c r="E190" s="891">
        <f ca="1">SUMIFS(Paper!$N$7:$N$30,Paper!$A$7:$A$30,A190)</f>
        <v>0</v>
      </c>
      <c r="F190" s="891">
        <f ca="1">SUMIFS(Paper!$O$7:$O$30,Paper!$A$7:$A$30,A190)</f>
        <v>0</v>
      </c>
      <c r="G190" s="955">
        <f ca="1">IF($D190="None",0,IF(OFFSET(input!$B$27,O190,0)&gt;0,OFFSET(input!$B$27,O190,0),E190*F190*$D$8*10000/IF($B$2="PACK",COUNTIF($H$10:$H$23,"&gt;0"),1)))</f>
        <v>0</v>
      </c>
      <c r="H190" s="956">
        <f ca="1">IF(OFFSET(input!$C$27,O190,0)&gt;0,OFFSET(input!$C$27,O190,0),VLOOKUP(D190,Data!$L$1064:$M$1071,2,0))</f>
        <v>0</v>
      </c>
      <c r="I190" s="891">
        <f t="shared" ref="I190:I198" ca="1" si="131">ROUNDUP(IF(G190&gt;0,((B190/10000)*G190),0),1)</f>
        <v>0</v>
      </c>
      <c r="J190" s="891">
        <f ca="1">IF(G190&gt;0,0.2,0)*OFFSET(Paper!$J$7,Q190,0)</f>
        <v>0</v>
      </c>
      <c r="K190" s="891">
        <f t="shared" ref="K190:K198" ca="1" si="132">J190*H190</f>
        <v>0</v>
      </c>
      <c r="L190" s="891">
        <f t="shared" ref="L190:L198" ca="1" si="133">IF(I190=0,0,H190*(I190+J190))</f>
        <v>0</v>
      </c>
      <c r="M190" s="891">
        <f ca="1">IF($D$3&gt;0,L190/($D$3),0)*(1+$M$6)</f>
        <v>0</v>
      </c>
      <c r="N190" s="136" t="str">
        <f ca="1">OFFSET(input!$F$33,P190,0)</f>
        <v>N</v>
      </c>
      <c r="O190" s="136">
        <f>O175+17</f>
        <v>204</v>
      </c>
      <c r="P190" s="136">
        <f>+P175+17</f>
        <v>204</v>
      </c>
      <c r="Q190" s="136">
        <f>+Q175+1</f>
        <v>12</v>
      </c>
      <c r="AT190" s="413">
        <f t="shared" ca="1" si="126"/>
        <v>0</v>
      </c>
      <c r="AU190" s="136">
        <f ca="1">COUNTIFS(AT$7:$AT190,1)</f>
        <v>1</v>
      </c>
    </row>
    <row r="191" spans="1:47" ht="15">
      <c r="A191" s="952" t="str">
        <f ca="1">OFFSET(input!$A$25,P191,0)</f>
        <v>N</v>
      </c>
      <c r="B191" s="891">
        <f ca="1">SUMIFS(Paper!$AC$7:$AC$30,Paper!$A$7:$A$30,Ink!A191)+SUMIFS(Paper!$X$7:$X$30,Paper!$A$7:$A$30,Ink!A191)</f>
        <v>0</v>
      </c>
      <c r="C191" s="953">
        <v>2</v>
      </c>
      <c r="D191" s="954" t="str">
        <f ca="1">OFFSET(input!$A$27,O191,0)</f>
        <v>None</v>
      </c>
      <c r="E191" s="891">
        <f ca="1">SUMIFS(Paper!$N$7:$N$30,Paper!$A$7:$A$30,A191)</f>
        <v>0</v>
      </c>
      <c r="F191" s="891">
        <f ca="1">SUMIFS(Paper!$O$7:$O$30,Paper!$A$7:$A$30,A191)</f>
        <v>0</v>
      </c>
      <c r="G191" s="955">
        <f ca="1">IF($D191="None",0,IF(OFFSET(input!$B$27,O191,0)&gt;0,OFFSET(input!$B$27,O191,0),E191*F191*$D$8*10000/IF($B$2="PACK",COUNTIF($H$10:$H$23,"&gt;0"),1)))</f>
        <v>0</v>
      </c>
      <c r="H191" s="956">
        <f ca="1">IF(OFFSET(input!$C$27,O191,0)&gt;0,OFFSET(input!$C$27,O191,0),VLOOKUP(D191,Data!$L$1064:$M$1071,2,0))</f>
        <v>0</v>
      </c>
      <c r="I191" s="891">
        <f t="shared" ca="1" si="131"/>
        <v>0</v>
      </c>
      <c r="J191" s="891">
        <f ca="1">IF(G191&gt;0,0.2,0)*OFFSET(Paper!$J$7,Q191,0)</f>
        <v>0</v>
      </c>
      <c r="K191" s="891">
        <f t="shared" ca="1" si="132"/>
        <v>0</v>
      </c>
      <c r="L191" s="891">
        <f t="shared" ca="1" si="133"/>
        <v>0</v>
      </c>
      <c r="M191" s="891">
        <f t="shared" ref="M191:M198" ca="1" si="134">IF($D$3&gt;0,L191/($D$3),0)*(1+$M$6)</f>
        <v>0</v>
      </c>
      <c r="N191" s="136" t="str">
        <f ca="1">OFFSET(input!$F$33,P191,0)</f>
        <v>N</v>
      </c>
      <c r="O191" s="136">
        <f t="shared" ref="O191:O203" si="135">O176+17</f>
        <v>205</v>
      </c>
      <c r="P191" s="136">
        <f t="shared" ref="P191:P202" si="136">+P176+17</f>
        <v>204</v>
      </c>
      <c r="Q191" s="136">
        <f t="shared" ref="Q191:Q203" si="137">+Q176+1</f>
        <v>12</v>
      </c>
      <c r="AT191" s="413">
        <f t="shared" ca="1" si="126"/>
        <v>0</v>
      </c>
      <c r="AU191" s="136">
        <f ca="1">COUNTIFS(AT$7:$AT191,1)</f>
        <v>1</v>
      </c>
    </row>
    <row r="192" spans="1:47" ht="15">
      <c r="A192" s="952" t="str">
        <f ca="1">OFFSET(input!$A$25,P192,0)</f>
        <v>N</v>
      </c>
      <c r="B192" s="891">
        <f ca="1">SUMIFS(Paper!$AC$7:$AC$30,Paper!$A$7:$A$30,Ink!A192)+SUMIFS(Paper!$X$7:$X$30,Paper!$A$7:$A$30,Ink!A192)</f>
        <v>0</v>
      </c>
      <c r="C192" s="953">
        <v>3</v>
      </c>
      <c r="D192" s="954" t="str">
        <f ca="1">OFFSET(input!$A$27,O192,0)</f>
        <v>None</v>
      </c>
      <c r="E192" s="891">
        <f ca="1">SUMIFS(Paper!$N$7:$N$30,Paper!$A$7:$A$30,A192)</f>
        <v>0</v>
      </c>
      <c r="F192" s="891">
        <f ca="1">SUMIFS(Paper!$O$7:$O$30,Paper!$A$7:$A$30,A192)</f>
        <v>0</v>
      </c>
      <c r="G192" s="955">
        <f ca="1">IF($D192="None",0,IF(OFFSET(input!$B$27,O192,0)&gt;0,OFFSET(input!$B$27,O192,0),E192*F192*$D$8*10000/IF($B$2="PACK",COUNTIF($H$10:$H$23,"&gt;0"),1)))</f>
        <v>0</v>
      </c>
      <c r="H192" s="956">
        <f ca="1">IF(OFFSET(input!$C$27,O192,0)&gt;0,OFFSET(input!$C$27,O192,0),VLOOKUP(D192,Data!$L$1064:$M$1071,2,0))</f>
        <v>0</v>
      </c>
      <c r="I192" s="891">
        <f t="shared" ca="1" si="131"/>
        <v>0</v>
      </c>
      <c r="J192" s="891">
        <f ca="1">IF(G192&gt;0,0.2,0)*OFFSET(Paper!$J$7,Q192,0)</f>
        <v>0</v>
      </c>
      <c r="K192" s="891">
        <f t="shared" ca="1" si="132"/>
        <v>0</v>
      </c>
      <c r="L192" s="891">
        <f t="shared" ca="1" si="133"/>
        <v>0</v>
      </c>
      <c r="M192" s="891">
        <f t="shared" ca="1" si="134"/>
        <v>0</v>
      </c>
      <c r="N192" s="136" t="str">
        <f ca="1">OFFSET(input!$F$33,P192,0)</f>
        <v>N</v>
      </c>
      <c r="O192" s="136">
        <f t="shared" si="135"/>
        <v>206</v>
      </c>
      <c r="P192" s="136">
        <f t="shared" si="136"/>
        <v>204</v>
      </c>
      <c r="Q192" s="136">
        <f t="shared" si="137"/>
        <v>12</v>
      </c>
      <c r="AT192" s="413">
        <f t="shared" ca="1" si="126"/>
        <v>0</v>
      </c>
      <c r="AU192" s="136">
        <f ca="1">COUNTIFS(AT$7:$AT192,1)</f>
        <v>1</v>
      </c>
    </row>
    <row r="193" spans="1:47" ht="15">
      <c r="A193" s="952" t="str">
        <f ca="1">OFFSET(input!$A$25,P193,0)</f>
        <v>N</v>
      </c>
      <c r="B193" s="891">
        <f ca="1">SUMIFS(Paper!$AC$7:$AC$30,Paper!$A$7:$A$30,Ink!A193)+SUMIFS(Paper!$X$7:$X$30,Paper!$A$7:$A$30,Ink!A193)</f>
        <v>0</v>
      </c>
      <c r="C193" s="953">
        <v>4</v>
      </c>
      <c r="D193" s="954" t="str">
        <f ca="1">OFFSET(input!$A$27,O193,0)</f>
        <v>None</v>
      </c>
      <c r="E193" s="891">
        <f ca="1">SUMIFS(Paper!$N$7:$N$30,Paper!$A$7:$A$30,A193)</f>
        <v>0</v>
      </c>
      <c r="F193" s="891">
        <f ca="1">SUMIFS(Paper!$O$7:$O$30,Paper!$A$7:$A$30,A193)</f>
        <v>0</v>
      </c>
      <c r="G193" s="955">
        <f ca="1">IF($D193="None",0,IF(OFFSET(input!$B$27,O193,0)&gt;0,OFFSET(input!$B$27,O193,0),E193*F193*$D$8*10000/IF($B$2="PACK",COUNTIF($H$10:$H$23,"&gt;0"),1)))</f>
        <v>0</v>
      </c>
      <c r="H193" s="956">
        <f ca="1">IF(OFFSET(input!$C$27,O193,0)&gt;0,OFFSET(input!$C$27,O193,0),VLOOKUP(D193,Data!$L$1064:$M$1071,2,0))</f>
        <v>0</v>
      </c>
      <c r="I193" s="891">
        <f t="shared" ca="1" si="131"/>
        <v>0</v>
      </c>
      <c r="J193" s="891">
        <f ca="1">IF(G193&gt;0,0.2,0)*OFFSET(Paper!$J$7,Q193,0)</f>
        <v>0</v>
      </c>
      <c r="K193" s="891">
        <f t="shared" ca="1" si="132"/>
        <v>0</v>
      </c>
      <c r="L193" s="891">
        <f t="shared" ca="1" si="133"/>
        <v>0</v>
      </c>
      <c r="M193" s="891">
        <f t="shared" ca="1" si="134"/>
        <v>0</v>
      </c>
      <c r="N193" s="136" t="str">
        <f ca="1">OFFSET(input!$F$33,P193,0)</f>
        <v>N</v>
      </c>
      <c r="O193" s="136">
        <f t="shared" si="135"/>
        <v>207</v>
      </c>
      <c r="P193" s="136">
        <f t="shared" si="136"/>
        <v>204</v>
      </c>
      <c r="Q193" s="136">
        <f t="shared" si="137"/>
        <v>12</v>
      </c>
      <c r="AT193" s="413">
        <f t="shared" ca="1" si="126"/>
        <v>0</v>
      </c>
      <c r="AU193" s="136">
        <f ca="1">COUNTIFS(AT$7:$AT193,1)</f>
        <v>1</v>
      </c>
    </row>
    <row r="194" spans="1:47" ht="15">
      <c r="A194" s="952" t="str">
        <f ca="1">OFFSET(input!$A$25,P194,0)</f>
        <v>N</v>
      </c>
      <c r="B194" s="891">
        <f ca="1">SUMIFS(Paper!$AC$7:$AC$30,Paper!$A$7:$A$30,Ink!A194)+SUMIFS(Paper!$X$7:$X$30,Paper!$A$7:$A$30,Ink!A194)</f>
        <v>0</v>
      </c>
      <c r="C194" s="953">
        <v>5</v>
      </c>
      <c r="D194" s="954" t="str">
        <f ca="1">OFFSET(input!$A$27,O194,0)</f>
        <v>None</v>
      </c>
      <c r="E194" s="891">
        <f ca="1">SUMIFS(Paper!$N$7:$N$30,Paper!$A$7:$A$30,A194)</f>
        <v>0</v>
      </c>
      <c r="F194" s="891">
        <f ca="1">SUMIFS(Paper!$O$7:$O$30,Paper!$A$7:$A$30,A194)</f>
        <v>0</v>
      </c>
      <c r="G194" s="955">
        <f ca="1">IF($D194="None",0,IF(OFFSET(input!$B$27,O194,0)&gt;0,OFFSET(input!$B$27,O194,0),E194*F194*$D$8*10000/IF($B$2="PACK",COUNTIF($H$10:$H$23,"&gt;0"),1)))</f>
        <v>0</v>
      </c>
      <c r="H194" s="956">
        <f ca="1">IF(OFFSET(input!$C$27,O194,0)&gt;0,OFFSET(input!$C$27,O194,0),VLOOKUP(D194,Data!$L$1064:$M$1071,2,0))</f>
        <v>0</v>
      </c>
      <c r="I194" s="891">
        <f t="shared" ca="1" si="131"/>
        <v>0</v>
      </c>
      <c r="J194" s="891">
        <f ca="1">IF(G194&gt;0,0.2,0)*OFFSET(Paper!$J$7,Q194,0)</f>
        <v>0</v>
      </c>
      <c r="K194" s="891">
        <f t="shared" ca="1" si="132"/>
        <v>0</v>
      </c>
      <c r="L194" s="891">
        <f t="shared" ca="1" si="133"/>
        <v>0</v>
      </c>
      <c r="M194" s="891">
        <f t="shared" ca="1" si="134"/>
        <v>0</v>
      </c>
      <c r="N194" s="136" t="str">
        <f ca="1">OFFSET(input!$F$33,P194,0)</f>
        <v>N</v>
      </c>
      <c r="O194" s="136">
        <f t="shared" si="135"/>
        <v>208</v>
      </c>
      <c r="P194" s="136">
        <f t="shared" si="136"/>
        <v>204</v>
      </c>
      <c r="Q194" s="136">
        <f t="shared" si="137"/>
        <v>12</v>
      </c>
      <c r="AT194" s="413">
        <f t="shared" ca="1" si="126"/>
        <v>0</v>
      </c>
      <c r="AU194" s="136">
        <f ca="1">COUNTIFS(AT$7:$AT194,1)</f>
        <v>1</v>
      </c>
    </row>
    <row r="195" spans="1:47" ht="15">
      <c r="A195" s="952" t="str">
        <f ca="1">OFFSET(input!$A$25,P195,0)</f>
        <v>N</v>
      </c>
      <c r="B195" s="891">
        <f ca="1">SUMIFS(Paper!$AC$7:$AC$30,Paper!$A$7:$A$30,Ink!A195)+SUMIFS(Paper!$X$7:$X$30,Paper!$A$7:$A$30,Ink!A195)</f>
        <v>0</v>
      </c>
      <c r="C195" s="953">
        <v>6</v>
      </c>
      <c r="D195" s="954" t="str">
        <f ca="1">OFFSET(input!$A$27,O195,0)</f>
        <v>None</v>
      </c>
      <c r="E195" s="891">
        <f ca="1">SUMIFS(Paper!$N$7:$N$30,Paper!$A$7:$A$30,A195)</f>
        <v>0</v>
      </c>
      <c r="F195" s="891">
        <f ca="1">SUMIFS(Paper!$O$7:$O$30,Paper!$A$7:$A$30,A195)</f>
        <v>0</v>
      </c>
      <c r="G195" s="955">
        <f ca="1">IF($D195="None",0,IF(OFFSET(input!$B$27,O195,0)&gt;0,OFFSET(input!$B$27,O195,0),E195*F195*$D$8*10000/IF($B$2="PACK",COUNTIF($H$10:$H$23,"&gt;0"),1)))</f>
        <v>0</v>
      </c>
      <c r="H195" s="956">
        <f ca="1">IF(OFFSET(input!$C$27,O195,0)&gt;0,OFFSET(input!$C$27,O195,0),VLOOKUP(D195,Data!$L$1064:$M$1071,2,0))</f>
        <v>0</v>
      </c>
      <c r="I195" s="891">
        <f t="shared" ca="1" si="131"/>
        <v>0</v>
      </c>
      <c r="J195" s="891">
        <f ca="1">IF(G195&gt;0,0.2,0)*OFFSET(Paper!$J$7,Q195,0)</f>
        <v>0</v>
      </c>
      <c r="K195" s="891">
        <f t="shared" ca="1" si="132"/>
        <v>0</v>
      </c>
      <c r="L195" s="891">
        <f t="shared" ca="1" si="133"/>
        <v>0</v>
      </c>
      <c r="M195" s="891">
        <f t="shared" ca="1" si="134"/>
        <v>0</v>
      </c>
      <c r="N195" s="136" t="str">
        <f ca="1">OFFSET(input!$F$33,P195,0)</f>
        <v>N</v>
      </c>
      <c r="O195" s="136">
        <f t="shared" si="135"/>
        <v>209</v>
      </c>
      <c r="P195" s="136">
        <f t="shared" si="136"/>
        <v>204</v>
      </c>
      <c r="Q195" s="136">
        <f t="shared" si="137"/>
        <v>12</v>
      </c>
      <c r="AT195" s="413">
        <f t="shared" ca="1" si="126"/>
        <v>0</v>
      </c>
      <c r="AU195" s="136">
        <f ca="1">COUNTIFS(AT$7:$AT195,1)</f>
        <v>1</v>
      </c>
    </row>
    <row r="196" spans="1:47" ht="15">
      <c r="A196" s="952" t="str">
        <f ca="1">OFFSET(input!$A$25,P196,0)</f>
        <v>N</v>
      </c>
      <c r="B196" s="891">
        <f ca="1">SUMIFS(Paper!$AC$7:$AC$30,Paper!$A$7:$A$30,Ink!A196)+SUMIFS(Paper!$X$7:$X$30,Paper!$A$7:$A$30,Ink!A196)</f>
        <v>0</v>
      </c>
      <c r="C196" s="953">
        <v>7</v>
      </c>
      <c r="D196" s="954" t="str">
        <f ca="1">OFFSET(input!$A$27,O196,0)</f>
        <v>None</v>
      </c>
      <c r="E196" s="891">
        <f ca="1">SUMIFS(Paper!$N$7:$N$30,Paper!$A$7:$A$30,A196)</f>
        <v>0</v>
      </c>
      <c r="F196" s="891">
        <f ca="1">SUMIFS(Paper!$O$7:$O$30,Paper!$A$7:$A$30,A196)</f>
        <v>0</v>
      </c>
      <c r="G196" s="955">
        <f ca="1">IF($D196="None",0,IF(OFFSET(input!$B$27,O196,0)&gt;0,OFFSET(input!$B$27,O196,0),E196*F196*$D$8*10000/IF($B$2="PACK",COUNTIF($H$10:$H$23,"&gt;0"),1)))</f>
        <v>0</v>
      </c>
      <c r="H196" s="956">
        <f ca="1">IF(OFFSET(input!$C$27,O196,0)&gt;0,OFFSET(input!$C$27,O196,0),VLOOKUP(D196,Data!$L$1064:$M$1071,2,0))</f>
        <v>0</v>
      </c>
      <c r="I196" s="891">
        <f t="shared" ca="1" si="131"/>
        <v>0</v>
      </c>
      <c r="J196" s="891">
        <f ca="1">IF(G196&gt;0,0.2,0)*OFFSET(Paper!$J$7,Q196,0)</f>
        <v>0</v>
      </c>
      <c r="K196" s="891">
        <f t="shared" ca="1" si="132"/>
        <v>0</v>
      </c>
      <c r="L196" s="891">
        <f t="shared" ca="1" si="133"/>
        <v>0</v>
      </c>
      <c r="M196" s="891">
        <f t="shared" ca="1" si="134"/>
        <v>0</v>
      </c>
      <c r="N196" s="136" t="str">
        <f ca="1">OFFSET(input!$F$33,P196,0)</f>
        <v>N</v>
      </c>
      <c r="O196" s="136">
        <f t="shared" si="135"/>
        <v>210</v>
      </c>
      <c r="P196" s="136">
        <f t="shared" si="136"/>
        <v>204</v>
      </c>
      <c r="Q196" s="136">
        <f t="shared" si="137"/>
        <v>12</v>
      </c>
      <c r="AT196" s="413">
        <f t="shared" ca="1" si="126"/>
        <v>0</v>
      </c>
      <c r="AU196" s="136">
        <f ca="1">COUNTIFS(AT$7:$AT196,1)</f>
        <v>1</v>
      </c>
    </row>
    <row r="197" spans="1:47" ht="15">
      <c r="A197" s="952" t="str">
        <f ca="1">OFFSET(input!$A$25,P197,0)</f>
        <v>N</v>
      </c>
      <c r="B197" s="891">
        <f ca="1">SUMIFS(Paper!$AC$7:$AC$30,Paper!$A$7:$A$30,Ink!A197)+SUMIFS(Paper!$X$7:$X$30,Paper!$A$7:$A$30,Ink!A197)</f>
        <v>0</v>
      </c>
      <c r="C197" s="953">
        <v>8</v>
      </c>
      <c r="D197" s="954" t="str">
        <f ca="1">OFFSET(input!$A$27,O197,0)</f>
        <v>None</v>
      </c>
      <c r="E197" s="891">
        <f ca="1">SUMIFS(Paper!$N$7:$N$30,Paper!$A$7:$A$30,A197)</f>
        <v>0</v>
      </c>
      <c r="F197" s="891">
        <f ca="1">SUMIFS(Paper!$O$7:$O$30,Paper!$A$7:$A$30,A197)</f>
        <v>0</v>
      </c>
      <c r="G197" s="955">
        <f ca="1">IF($D197="None",0,IF(OFFSET(input!$B$27,O197,0)&gt;0,OFFSET(input!$B$27,O197,0),E197*F197*$D$8*10000/IF($B$2="PACK",COUNTIF($H$10:$H$23,"&gt;0"),1)))</f>
        <v>0</v>
      </c>
      <c r="H197" s="956">
        <f ca="1">IF(OFFSET(input!$C$27,O197,0)&gt;0,OFFSET(input!$C$27,O197,0),VLOOKUP(D197,Data!$L$1064:$M$1071,2,0))</f>
        <v>0</v>
      </c>
      <c r="I197" s="891">
        <f t="shared" ca="1" si="131"/>
        <v>0</v>
      </c>
      <c r="J197" s="891">
        <f ca="1">IF(G197&gt;0,0.2,0)*OFFSET(Paper!$J$7,Q197,0)</f>
        <v>0</v>
      </c>
      <c r="K197" s="891">
        <f t="shared" ca="1" si="132"/>
        <v>0</v>
      </c>
      <c r="L197" s="891">
        <f t="shared" ca="1" si="133"/>
        <v>0</v>
      </c>
      <c r="M197" s="891">
        <f t="shared" ca="1" si="134"/>
        <v>0</v>
      </c>
      <c r="N197" s="136" t="str">
        <f ca="1">OFFSET(input!$F$33,P197,0)</f>
        <v>N</v>
      </c>
      <c r="O197" s="136">
        <f t="shared" si="135"/>
        <v>211</v>
      </c>
      <c r="P197" s="136">
        <f t="shared" si="136"/>
        <v>204</v>
      </c>
      <c r="Q197" s="136">
        <f t="shared" si="137"/>
        <v>12</v>
      </c>
      <c r="AT197" s="413">
        <f t="shared" ca="1" si="126"/>
        <v>0</v>
      </c>
      <c r="AU197" s="136">
        <f ca="1">COUNTIFS(AT$7:$AT197,1)</f>
        <v>1</v>
      </c>
    </row>
    <row r="198" spans="1:47" ht="15">
      <c r="A198" s="952" t="str">
        <f ca="1">OFFSET(input!$A$25,P198,0)</f>
        <v>N</v>
      </c>
      <c r="B198" s="891">
        <f ca="1">SUMIFS(Paper!$AC$7:$AC$30,Paper!$A$7:$A$30,Ink!A198)+SUMIFS(Paper!$X$7:$X$30,Paper!$A$7:$A$30,Ink!A198)</f>
        <v>0</v>
      </c>
      <c r="C198" s="953">
        <v>9</v>
      </c>
      <c r="D198" s="954" t="str">
        <f ca="1">OFFSET(input!$A$27,O198,0)</f>
        <v>None</v>
      </c>
      <c r="E198" s="891">
        <f ca="1">SUMIFS(Paper!$N$7:$N$30,Paper!$A$7:$A$30,A198)</f>
        <v>0</v>
      </c>
      <c r="F198" s="891">
        <f ca="1">SUMIFS(Paper!$O$7:$O$30,Paper!$A$7:$A$30,A198)</f>
        <v>0</v>
      </c>
      <c r="G198" s="955">
        <f ca="1">IF($D198="None",0,IF(OFFSET(input!$B$27,O198,0)&gt;0,OFFSET(input!$B$27,O198,0),E198*F198*$D$8*10000/IF($B$2="PACK",COUNTIF($H$10:$H$23,"&gt;0"),1)))</f>
        <v>0</v>
      </c>
      <c r="H198" s="956">
        <f ca="1">IF(OFFSET(input!$C$27,O198,0)&gt;0,OFFSET(input!$C$27,O198,0),VLOOKUP(D198,Data!$L$1064:$M$1071,2,0))</f>
        <v>0</v>
      </c>
      <c r="I198" s="891">
        <f t="shared" ca="1" si="131"/>
        <v>0</v>
      </c>
      <c r="J198" s="891">
        <f ca="1">IF(G198&gt;0,0.2,0)*OFFSET(Paper!$J$7,Q198,0)</f>
        <v>0</v>
      </c>
      <c r="K198" s="891">
        <f t="shared" ca="1" si="132"/>
        <v>0</v>
      </c>
      <c r="L198" s="891">
        <f t="shared" ca="1" si="133"/>
        <v>0</v>
      </c>
      <c r="M198" s="891">
        <f t="shared" ca="1" si="134"/>
        <v>0</v>
      </c>
      <c r="N198" s="136" t="str">
        <f ca="1">OFFSET(input!$F$33,P198,0)</f>
        <v>N</v>
      </c>
      <c r="O198" s="136">
        <f t="shared" si="135"/>
        <v>212</v>
      </c>
      <c r="P198" s="136">
        <f t="shared" si="136"/>
        <v>204</v>
      </c>
      <c r="Q198" s="136">
        <f t="shared" si="137"/>
        <v>12</v>
      </c>
      <c r="AT198" s="413">
        <f t="shared" ca="1" si="126"/>
        <v>0</v>
      </c>
      <c r="AU198" s="136">
        <f ca="1">COUNTIFS(AT$7:$AT198,1)</f>
        <v>1</v>
      </c>
    </row>
    <row r="199" spans="1:47" ht="15">
      <c r="A199" s="952" t="str">
        <f ca="1">OFFSET(input!$A$25,P199,0)</f>
        <v>N</v>
      </c>
      <c r="B199" s="891">
        <f ca="1">SUMIFS(Paper!$AC$7:$AC$30,Paper!$A$7:$A$30,Ink!A199)+SUMIFS(Paper!$X$7:$X$30,Paper!$A$7:$A$30,Ink!A199)</f>
        <v>0</v>
      </c>
      <c r="C199" s="953">
        <v>10</v>
      </c>
      <c r="D199" s="954" t="str">
        <f ca="1">OFFSET(input!$A$27,O199,0)</f>
        <v>None</v>
      </c>
      <c r="E199" s="891">
        <f ca="1">SUMIFS(Paper!$N$7:$N$30,Paper!$A$7:$A$30,A199)</f>
        <v>0</v>
      </c>
      <c r="F199" s="891">
        <f ca="1">SUMIFS(Paper!$O$7:$O$30,Paper!$A$7:$A$30,A199)</f>
        <v>0</v>
      </c>
      <c r="G199" s="955">
        <f ca="1">IF($D199="None",0,IF(OFFSET(input!$B$27,O199,0)&gt;0,OFFSET(input!$B$27,O199,0),E199*F199*$D$8*10000/IF($B$2="PACK",COUNTIF($H$10:$H$23,"&gt;0"),1)))</f>
        <v>0</v>
      </c>
      <c r="H199" s="956">
        <f ca="1">IF(OFFSET(input!$C$27,O199,0)&gt;0,OFFSET(input!$C$27,O199,0),VLOOKUP(D199,Data!$L$1064:$M$1071,2,0))</f>
        <v>0</v>
      </c>
      <c r="I199" s="891">
        <f ca="1">ROUNDUP(IF(G199&gt;0,((B199/10000)*G199),0),1)</f>
        <v>0</v>
      </c>
      <c r="J199" s="891">
        <f ca="1">IF(G199&gt;0,0.2,0)*OFFSET(Paper!$J$7,Q199,0)</f>
        <v>0</v>
      </c>
      <c r="K199" s="891">
        <f ca="1">J199*H199</f>
        <v>0</v>
      </c>
      <c r="L199" s="891">
        <f ca="1">IF(I199=0,0,H199*(I199+J199))</f>
        <v>0</v>
      </c>
      <c r="M199" s="891">
        <f ca="1">IF($D$3&gt;0,L199/($D$3),0)*(1+$M$6)</f>
        <v>0</v>
      </c>
      <c r="N199" s="136" t="str">
        <f ca="1">OFFSET(input!$F$33,P199,0)</f>
        <v>N</v>
      </c>
      <c r="O199" s="136">
        <f t="shared" si="135"/>
        <v>213</v>
      </c>
      <c r="P199" s="136">
        <f t="shared" si="136"/>
        <v>204</v>
      </c>
      <c r="Q199" s="136">
        <f t="shared" si="137"/>
        <v>12</v>
      </c>
      <c r="AT199" s="413">
        <f t="shared" ca="1" si="126"/>
        <v>0</v>
      </c>
      <c r="AU199" s="136">
        <f ca="1">COUNTIFS(AT$7:$AT199,1)</f>
        <v>1</v>
      </c>
    </row>
    <row r="200" spans="1:47" ht="15">
      <c r="A200" s="952" t="str">
        <f ca="1">OFFSET(input!$A$25,P200,0)</f>
        <v>N</v>
      </c>
      <c r="B200" s="891">
        <f ca="1">SUMIFS(Paper!$AC$7:$AC$30,Paper!$A$7:$A$30,Ink!A200)+SUMIFS(Paper!$X$7:$X$30,Paper!$A$7:$A$30,Ink!A200)</f>
        <v>0</v>
      </c>
      <c r="C200" s="953">
        <v>11</v>
      </c>
      <c r="D200" s="954" t="str">
        <f ca="1">OFFSET(input!$A$27,O200,0)</f>
        <v>None</v>
      </c>
      <c r="E200" s="891">
        <f ca="1">SUMIFS(Paper!$N$7:$N$30,Paper!$A$7:$A$30,A200)</f>
        <v>0</v>
      </c>
      <c r="F200" s="891">
        <f ca="1">SUMIFS(Paper!$O$7:$O$30,Paper!$A$7:$A$30,A200)</f>
        <v>0</v>
      </c>
      <c r="G200" s="955">
        <f ca="1">IF($D200="None",0,IF(OFFSET(input!$B$27,O200,0)&gt;0,OFFSET(input!$B$27,O200,0),E200*F200*$D$8*10000/IF($B$2="PACK",COUNTIF($H$10:$H$23,"&gt;0"),1)))</f>
        <v>0</v>
      </c>
      <c r="H200" s="956">
        <f ca="1">IF(OFFSET(input!$C$27,O200,0)&gt;0,OFFSET(input!$C$27,O200,0),VLOOKUP(D200,Data!$L$1064:$M$1071,2,0))</f>
        <v>0</v>
      </c>
      <c r="I200" s="891">
        <f ca="1">ROUNDUP(IF(G200&gt;0,((B200/10000)*G200),0),1)</f>
        <v>0</v>
      </c>
      <c r="J200" s="891">
        <f ca="1">IF(G200&gt;0,0.2,0)*OFFSET(Paper!$J$7,Q200,0)</f>
        <v>0</v>
      </c>
      <c r="K200" s="891">
        <f ca="1">J200*H200</f>
        <v>0</v>
      </c>
      <c r="L200" s="891">
        <f ca="1">IF(I200=0,0,H200*(I200+J200))</f>
        <v>0</v>
      </c>
      <c r="M200" s="891">
        <f ca="1">IF($D$3&gt;0,L200/($D$3),0)*(1+$M$6)</f>
        <v>0</v>
      </c>
      <c r="N200" s="136" t="str">
        <f ca="1">OFFSET(input!$F$33,P200,0)</f>
        <v>N</v>
      </c>
      <c r="O200" s="136">
        <f t="shared" si="135"/>
        <v>214</v>
      </c>
      <c r="P200" s="136">
        <f t="shared" si="136"/>
        <v>204</v>
      </c>
      <c r="Q200" s="136">
        <f t="shared" si="137"/>
        <v>12</v>
      </c>
      <c r="AT200" s="413">
        <f t="shared" ca="1" si="126"/>
        <v>0</v>
      </c>
      <c r="AU200" s="136">
        <f ca="1">COUNTIFS(AT$7:$AT200,1)</f>
        <v>1</v>
      </c>
    </row>
    <row r="201" spans="1:47" ht="15">
      <c r="A201" s="952" t="str">
        <f ca="1">OFFSET(input!$A$25,P201,0)</f>
        <v>N</v>
      </c>
      <c r="B201" s="891">
        <f ca="1">SUMIFS(Paper!$AC$7:$AC$30,Paper!$A$7:$A$30,Ink!A201)+SUMIFS(Paper!$X$7:$X$30,Paper!$A$7:$A$30,Ink!A201)</f>
        <v>0</v>
      </c>
      <c r="C201" s="953">
        <v>12</v>
      </c>
      <c r="D201" s="954" t="str">
        <f ca="1">OFFSET(input!$A$27,O201,0)</f>
        <v>None</v>
      </c>
      <c r="E201" s="891">
        <f ca="1">SUMIFS(Paper!$N$7:$N$30,Paper!$A$7:$A$30,A201)</f>
        <v>0</v>
      </c>
      <c r="F201" s="891">
        <f ca="1">SUMIFS(Paper!$O$7:$O$30,Paper!$A$7:$A$30,A201)</f>
        <v>0</v>
      </c>
      <c r="G201" s="955">
        <f ca="1">IF($D201="None",0,IF(OFFSET(input!$B$27,O201,0)&gt;0,OFFSET(input!$B$27,O201,0),E201*F201*$D$8*10000/IF($B$2="PACK",COUNTIF($H$10:$H$23,"&gt;0"),1)))</f>
        <v>0</v>
      </c>
      <c r="H201" s="956">
        <f ca="1">IF(OFFSET(input!$C$27,O201,0)&gt;0,OFFSET(input!$C$27,O201,0),VLOOKUP(D201,Data!$L$1064:$M$1071,2,0))</f>
        <v>0</v>
      </c>
      <c r="I201" s="891">
        <f ca="1">ROUNDUP(IF(G201&gt;0,((B201/10000)*G201),0),1)</f>
        <v>0</v>
      </c>
      <c r="J201" s="891">
        <f ca="1">IF(G201&gt;0,0.2,0)*OFFSET(Paper!$J$7,Q201,0)</f>
        <v>0</v>
      </c>
      <c r="K201" s="891">
        <f ca="1">J201*H201</f>
        <v>0</v>
      </c>
      <c r="L201" s="891">
        <f ca="1">IF(I201=0,0,H201*(I201+J201))</f>
        <v>0</v>
      </c>
      <c r="M201" s="891">
        <f ca="1">IF($D$3&gt;0,L201/($D$3),0)*(1+$M$6)</f>
        <v>0</v>
      </c>
      <c r="N201" s="136" t="str">
        <f ca="1">OFFSET(input!$F$33,P201,0)</f>
        <v>N</v>
      </c>
      <c r="O201" s="136">
        <f t="shared" si="135"/>
        <v>215</v>
      </c>
      <c r="P201" s="136">
        <f t="shared" si="136"/>
        <v>204</v>
      </c>
      <c r="Q201" s="136">
        <f t="shared" si="137"/>
        <v>12</v>
      </c>
      <c r="AT201" s="413">
        <f t="shared" ca="1" si="126"/>
        <v>0</v>
      </c>
      <c r="AU201" s="136">
        <f ca="1">COUNTIFS(AT$7:$AT201,1)</f>
        <v>1</v>
      </c>
    </row>
    <row r="202" spans="1:47" ht="15">
      <c r="A202" s="952" t="str">
        <f ca="1">OFFSET(input!$A$25,P202,0)</f>
        <v>N</v>
      </c>
      <c r="B202" s="891">
        <f ca="1">SUMIFS(Paper!$AC$7:$AC$30,Paper!$A$7:$A$30,Ink!A202)+SUMIFS(Paper!$X$7:$X$30,Paper!$A$7:$A$30,Ink!A202)</f>
        <v>0</v>
      </c>
      <c r="C202" s="953">
        <v>13</v>
      </c>
      <c r="D202" s="954" t="str">
        <f ca="1">OFFSET(input!$A$27,O202,0)</f>
        <v>None</v>
      </c>
      <c r="E202" s="891">
        <f ca="1">SUMIFS(Paper!$N$7:$N$30,Paper!$A$7:$A$30,A202)</f>
        <v>0</v>
      </c>
      <c r="F202" s="891">
        <f ca="1">SUMIFS(Paper!$O$7:$O$30,Paper!$A$7:$A$30,A202)</f>
        <v>0</v>
      </c>
      <c r="G202" s="955">
        <f ca="1">IF($D202="None",0,IF(OFFSET(input!$B$27,O202,0)&gt;0,OFFSET(input!$B$27,O202,0),E202*F202*$D$8*10000/IF($B$2="PACK",COUNTIF($H$10:$H$23,"&gt;0"),1)))</f>
        <v>0</v>
      </c>
      <c r="H202" s="956">
        <f ca="1">IF(OFFSET(input!$C$27,O202,0)&gt;0,OFFSET(input!$C$27,O202,0),VLOOKUP(D202,Data!$L$1064:$M$1071,2,0))</f>
        <v>0</v>
      </c>
      <c r="I202" s="891">
        <f ca="1">ROUNDUP(IF(G202&gt;0,((B202/10000)*G202),0),1)</f>
        <v>0</v>
      </c>
      <c r="J202" s="891">
        <f ca="1">IF(G202&gt;0,0.2,0)*OFFSET(Paper!$J$7,Q202,0)</f>
        <v>0</v>
      </c>
      <c r="K202" s="891">
        <f ca="1">J202*H202</f>
        <v>0</v>
      </c>
      <c r="L202" s="891">
        <f ca="1">IF(I202=0,0,H202*(I202+J202))</f>
        <v>0</v>
      </c>
      <c r="M202" s="891">
        <f ca="1">IF($D$3&gt;0,L202/($D$3),0)*(1+$M$6)</f>
        <v>0</v>
      </c>
      <c r="N202" s="136" t="str">
        <f ca="1">OFFSET(input!$F$33,P202,0)</f>
        <v>N</v>
      </c>
      <c r="O202" s="136">
        <f t="shared" si="135"/>
        <v>216</v>
      </c>
      <c r="P202" s="136">
        <f t="shared" si="136"/>
        <v>204</v>
      </c>
      <c r="Q202" s="136">
        <f t="shared" si="137"/>
        <v>12</v>
      </c>
      <c r="AT202" s="413">
        <f t="shared" ca="1" si="126"/>
        <v>0</v>
      </c>
      <c r="AU202" s="136">
        <f ca="1">COUNTIFS(AT$7:$AT202,1)</f>
        <v>1</v>
      </c>
    </row>
    <row r="203" spans="1:47" ht="15">
      <c r="A203" s="952" t="str">
        <f ca="1">OFFSET(input!$A$25,P203,0)</f>
        <v>N</v>
      </c>
      <c r="B203" s="891">
        <f ca="1">SUMIFS(Paper!$AC$7:$AC$30,Paper!$A$7:$A$30,Ink!A203)+SUMIFS(Paper!$X$7:$X$30,Paper!$A$7:$A$30,Ink!A203)</f>
        <v>0</v>
      </c>
      <c r="C203" s="953">
        <v>14</v>
      </c>
      <c r="D203" s="954" t="str">
        <f ca="1">OFFSET(input!$A$27,O203,0)</f>
        <v>None</v>
      </c>
      <c r="E203" s="891">
        <f ca="1">SUMIFS(Paper!$N$7:$N$30,Paper!$A$7:$A$30,A203)</f>
        <v>0</v>
      </c>
      <c r="F203" s="891">
        <f ca="1">SUMIFS(Paper!$O$7:$O$30,Paper!$A$7:$A$30,A203)</f>
        <v>0</v>
      </c>
      <c r="G203" s="955">
        <f ca="1">IF($D203="None",0,IF(OFFSET(input!$B$27,O203,0)&gt;0,OFFSET(input!$B$27,O203,0),E203*F203*$D$8*10000/IF($B$2="PACK",COUNTIF($H$10:$H$23,"&gt;0"),1)))</f>
        <v>0</v>
      </c>
      <c r="H203" s="956">
        <f ca="1">IF(OFFSET(input!$C$27,O203,0)&gt;0,OFFSET(input!$C$27,O203,0),VLOOKUP(D203,Data!$L$1064:$M$1071,2,0))</f>
        <v>0</v>
      </c>
      <c r="I203" s="891">
        <f t="shared" ref="I203" ca="1" si="138">ROUNDUP(IF(G203&gt;0,((B203/10000)*G203),0),1)</f>
        <v>0</v>
      </c>
      <c r="J203" s="891">
        <f ca="1">IF(G203&gt;0,0.2,0)*OFFSET(Paper!$J$7,Q203,0)</f>
        <v>0</v>
      </c>
      <c r="K203" s="891">
        <f t="shared" ref="K203" ca="1" si="139">J203*H203</f>
        <v>0</v>
      </c>
      <c r="L203" s="891">
        <f t="shared" ref="L203" ca="1" si="140">IF(I203=0,0,H203*(I203+J203))</f>
        <v>0</v>
      </c>
      <c r="M203" s="891">
        <f t="shared" ref="M203" ca="1" si="141">IF($D$3&gt;0,L203/($D$3),0)*(1+$M$6)</f>
        <v>0</v>
      </c>
      <c r="N203" s="136" t="str">
        <f ca="1">OFFSET(input!$F$33,P203,0)</f>
        <v>N</v>
      </c>
      <c r="O203" s="136">
        <f t="shared" si="135"/>
        <v>217</v>
      </c>
      <c r="P203" s="136">
        <f>+P188+17</f>
        <v>204</v>
      </c>
      <c r="Q203" s="136">
        <f t="shared" si="137"/>
        <v>12</v>
      </c>
      <c r="AT203" s="413">
        <f t="shared" ca="1" si="126"/>
        <v>0</v>
      </c>
      <c r="AU203" s="136">
        <f ca="1">COUNTIFS(AT$7:$AT203,1)</f>
        <v>1</v>
      </c>
    </row>
    <row r="204" spans="1:47" ht="15">
      <c r="A204" s="957"/>
      <c r="B204" s="958"/>
      <c r="C204" s="959"/>
      <c r="D204" s="954"/>
      <c r="E204" s="958"/>
      <c r="F204" s="958"/>
      <c r="G204" s="955"/>
      <c r="H204" s="960"/>
      <c r="I204" s="958"/>
      <c r="J204" s="958"/>
      <c r="K204" s="958"/>
      <c r="L204" s="958"/>
      <c r="M204" s="958"/>
      <c r="AT204" s="413" t="str">
        <f t="shared" si="126"/>
        <v/>
      </c>
      <c r="AU204" s="136">
        <f ca="1">COUNTIFS(AT$7:$AT204,1)</f>
        <v>1</v>
      </c>
    </row>
    <row r="205" spans="1:47" ht="15" collapsed="1">
      <c r="A205" s="952" t="str">
        <f ca="1">OFFSET(input!$A$25,P205,0)</f>
        <v>1st</v>
      </c>
      <c r="B205" s="891">
        <f ca="1">SUMIFS(Paper!$AC$7:$AC$30,Paper!$A$7:$A$30,Ink!A205)+SUMIFS(Paper!$X$7:$X$30,Paper!$A$7:$A$30,Ink!A205)</f>
        <v>0</v>
      </c>
      <c r="C205" s="953">
        <v>1</v>
      </c>
      <c r="D205" s="954" t="str">
        <f ca="1">OFFSET(input!$A$27,O205,0)</f>
        <v>None</v>
      </c>
      <c r="E205" s="891">
        <f ca="1">SUMIFS(Paper!$N$7:$N$30,Paper!$A$7:$A$30,A205)</f>
        <v>0</v>
      </c>
      <c r="F205" s="891">
        <f ca="1">SUMIFS(Paper!$O$7:$O$30,Paper!$A$7:$A$30,A205)</f>
        <v>0</v>
      </c>
      <c r="G205" s="955">
        <f ca="1">IF($D205="None",0,IF(OFFSET(input!$B$27,O205,0)&gt;0,OFFSET(input!$B$27,O205,0),E205*F205*$D$8*10000/IF($B$2="PACK",COUNTIF($H$10:$H$23,"&gt;0"),1)))</f>
        <v>0</v>
      </c>
      <c r="H205" s="956">
        <f ca="1">IF(OFFSET(input!$C$27,O205,0)&gt;0,OFFSET(input!$C$27,O205,0),VLOOKUP(D205,Data!$L$1064:$M$1071,2,0))</f>
        <v>0</v>
      </c>
      <c r="I205" s="891">
        <f t="shared" ref="I205:I213" ca="1" si="142">ROUNDUP(IF(G205&gt;0,((B205/10000)*G205),0),1)</f>
        <v>0</v>
      </c>
      <c r="J205" s="891">
        <f ca="1">IF(G205&gt;0,0.2,0)*OFFSET(Paper!$J$7,Q205,0)</f>
        <v>0</v>
      </c>
      <c r="K205" s="891">
        <f t="shared" ref="K205:K213" ca="1" si="143">J205*H205</f>
        <v>0</v>
      </c>
      <c r="L205" s="891">
        <f t="shared" ref="L205:L213" ca="1" si="144">IF(I205=0,0,H205*(I205+J205))</f>
        <v>0</v>
      </c>
      <c r="M205" s="891">
        <f ca="1">IF($D$3&gt;0,L205/($D$3),0)*(1+$M$6)</f>
        <v>0</v>
      </c>
      <c r="N205" s="136" t="str">
        <f ca="1">OFFSET(input!$F$33,P205,0)</f>
        <v>1st</v>
      </c>
      <c r="O205" s="136">
        <f>O190+17</f>
        <v>221</v>
      </c>
      <c r="P205" s="136">
        <f>+P190+17</f>
        <v>221</v>
      </c>
      <c r="Q205" s="136">
        <f>+Q190+1</f>
        <v>13</v>
      </c>
      <c r="AT205" s="413">
        <f t="shared" ca="1" si="126"/>
        <v>0</v>
      </c>
      <c r="AU205" s="136">
        <f ca="1">COUNTIFS(AT$7:$AT205,1)</f>
        <v>1</v>
      </c>
    </row>
    <row r="206" spans="1:47" ht="15">
      <c r="A206" s="952" t="str">
        <f ca="1">OFFSET(input!$A$25,P206,0)</f>
        <v>1st</v>
      </c>
      <c r="B206" s="891">
        <f ca="1">SUMIFS(Paper!$AC$7:$AC$30,Paper!$A$7:$A$30,Ink!A206)+SUMIFS(Paper!$X$7:$X$30,Paper!$A$7:$A$30,Ink!A206)</f>
        <v>0</v>
      </c>
      <c r="C206" s="953">
        <v>2</v>
      </c>
      <c r="D206" s="954" t="str">
        <f ca="1">OFFSET(input!$A$27,O206,0)</f>
        <v>None</v>
      </c>
      <c r="E206" s="891">
        <f ca="1">SUMIFS(Paper!$N$7:$N$30,Paper!$A$7:$A$30,A206)</f>
        <v>0</v>
      </c>
      <c r="F206" s="891">
        <f ca="1">SUMIFS(Paper!$O$7:$O$30,Paper!$A$7:$A$30,A206)</f>
        <v>0</v>
      </c>
      <c r="G206" s="955">
        <f ca="1">IF($D206="None",0,IF(OFFSET(input!$B$27,O206,0)&gt;0,OFFSET(input!$B$27,O206,0),E206*F206*$D$8*10000/IF($B$2="PACK",COUNTIF($H$10:$H$23,"&gt;0"),1)))</f>
        <v>0</v>
      </c>
      <c r="H206" s="956">
        <f ca="1">IF(OFFSET(input!$C$27,O206,0)&gt;0,OFFSET(input!$C$27,O206,0),VLOOKUP(D206,Data!$L$1064:$M$1071,2,0))</f>
        <v>0</v>
      </c>
      <c r="I206" s="891">
        <f t="shared" ca="1" si="142"/>
        <v>0</v>
      </c>
      <c r="J206" s="891">
        <f ca="1">IF(G206&gt;0,0.2,0)*OFFSET(Paper!$J$7,Q206,0)</f>
        <v>0</v>
      </c>
      <c r="K206" s="891">
        <f t="shared" ca="1" si="143"/>
        <v>0</v>
      </c>
      <c r="L206" s="891">
        <f t="shared" ca="1" si="144"/>
        <v>0</v>
      </c>
      <c r="M206" s="891">
        <f t="shared" ref="M206:M213" ca="1" si="145">IF($D$3&gt;0,L206/($D$3),0)*(1+$M$6)</f>
        <v>0</v>
      </c>
      <c r="N206" s="136" t="str">
        <f ca="1">OFFSET(input!$F$33,P206,0)</f>
        <v>1st</v>
      </c>
      <c r="O206" s="136">
        <f t="shared" ref="O206:O218" si="146">O191+17</f>
        <v>222</v>
      </c>
      <c r="P206" s="136">
        <f t="shared" ref="P206:P217" si="147">+P191+17</f>
        <v>221</v>
      </c>
      <c r="Q206" s="136">
        <f t="shared" ref="Q206:Q218" si="148">+Q191+1</f>
        <v>13</v>
      </c>
      <c r="AT206" s="413">
        <f t="shared" ca="1" si="126"/>
        <v>0</v>
      </c>
      <c r="AU206" s="136">
        <f ca="1">COUNTIFS(AT$7:$AT206,1)</f>
        <v>1</v>
      </c>
    </row>
    <row r="207" spans="1:47" ht="15">
      <c r="A207" s="952" t="str">
        <f ca="1">OFFSET(input!$A$25,P207,0)</f>
        <v>1st</v>
      </c>
      <c r="B207" s="891">
        <f ca="1">SUMIFS(Paper!$AC$7:$AC$30,Paper!$A$7:$A$30,Ink!A207)+SUMIFS(Paper!$X$7:$X$30,Paper!$A$7:$A$30,Ink!A207)</f>
        <v>0</v>
      </c>
      <c r="C207" s="953">
        <v>3</v>
      </c>
      <c r="D207" s="954" t="str">
        <f ca="1">OFFSET(input!$A$27,O207,0)</f>
        <v>None</v>
      </c>
      <c r="E207" s="891">
        <f ca="1">SUMIFS(Paper!$N$7:$N$30,Paper!$A$7:$A$30,A207)</f>
        <v>0</v>
      </c>
      <c r="F207" s="891">
        <f ca="1">SUMIFS(Paper!$O$7:$O$30,Paper!$A$7:$A$30,A207)</f>
        <v>0</v>
      </c>
      <c r="G207" s="955">
        <f ca="1">IF($D207="None",0,IF(OFFSET(input!$B$27,O207,0)&gt;0,OFFSET(input!$B$27,O207,0),E207*F207*$D$8*10000/IF($B$2="PACK",COUNTIF($H$10:$H$23,"&gt;0"),1)))</f>
        <v>0</v>
      </c>
      <c r="H207" s="956">
        <f ca="1">IF(OFFSET(input!$C$27,O207,0)&gt;0,OFFSET(input!$C$27,O207,0),VLOOKUP(D207,Data!$L$1064:$M$1071,2,0))</f>
        <v>0</v>
      </c>
      <c r="I207" s="891">
        <f t="shared" ca="1" si="142"/>
        <v>0</v>
      </c>
      <c r="J207" s="891">
        <f ca="1">IF(G207&gt;0,0.2,0)*OFFSET(Paper!$J$7,Q207,0)</f>
        <v>0</v>
      </c>
      <c r="K207" s="891">
        <f t="shared" ca="1" si="143"/>
        <v>0</v>
      </c>
      <c r="L207" s="891">
        <f t="shared" ca="1" si="144"/>
        <v>0</v>
      </c>
      <c r="M207" s="891">
        <f t="shared" ca="1" si="145"/>
        <v>0</v>
      </c>
      <c r="N207" s="136" t="str">
        <f ca="1">OFFSET(input!$F$33,P207,0)</f>
        <v>1st</v>
      </c>
      <c r="O207" s="136">
        <f t="shared" si="146"/>
        <v>223</v>
      </c>
      <c r="P207" s="136">
        <f t="shared" si="147"/>
        <v>221</v>
      </c>
      <c r="Q207" s="136">
        <f t="shared" si="148"/>
        <v>13</v>
      </c>
      <c r="AT207" s="413">
        <f t="shared" ca="1" si="126"/>
        <v>0</v>
      </c>
      <c r="AU207" s="136">
        <f ca="1">COUNTIFS(AT$7:$AT207,1)</f>
        <v>1</v>
      </c>
    </row>
    <row r="208" spans="1:47" ht="15">
      <c r="A208" s="952" t="str">
        <f ca="1">OFFSET(input!$A$25,P208,0)</f>
        <v>1st</v>
      </c>
      <c r="B208" s="891">
        <f ca="1">SUMIFS(Paper!$AC$7:$AC$30,Paper!$A$7:$A$30,Ink!A208)+SUMIFS(Paper!$X$7:$X$30,Paper!$A$7:$A$30,Ink!A208)</f>
        <v>0</v>
      </c>
      <c r="C208" s="953">
        <v>4</v>
      </c>
      <c r="D208" s="954" t="str">
        <f ca="1">OFFSET(input!$A$27,O208,0)</f>
        <v>None</v>
      </c>
      <c r="E208" s="891">
        <f ca="1">SUMIFS(Paper!$N$7:$N$30,Paper!$A$7:$A$30,A208)</f>
        <v>0</v>
      </c>
      <c r="F208" s="891">
        <f ca="1">SUMIFS(Paper!$O$7:$O$30,Paper!$A$7:$A$30,A208)</f>
        <v>0</v>
      </c>
      <c r="G208" s="955">
        <f ca="1">IF($D208="None",0,IF(OFFSET(input!$B$27,O208,0)&gt;0,OFFSET(input!$B$27,O208,0),E208*F208*$D$8*10000/IF($B$2="PACK",COUNTIF($H$10:$H$23,"&gt;0"),1)))</f>
        <v>0</v>
      </c>
      <c r="H208" s="956">
        <f ca="1">IF(OFFSET(input!$C$27,O208,0)&gt;0,OFFSET(input!$C$27,O208,0),VLOOKUP(D208,Data!$L$1064:$M$1071,2,0))</f>
        <v>0</v>
      </c>
      <c r="I208" s="891">
        <f t="shared" ca="1" si="142"/>
        <v>0</v>
      </c>
      <c r="J208" s="891">
        <f ca="1">IF(G208&gt;0,0.2,0)*OFFSET(Paper!$J$7,Q208,0)</f>
        <v>0</v>
      </c>
      <c r="K208" s="891">
        <f t="shared" ca="1" si="143"/>
        <v>0</v>
      </c>
      <c r="L208" s="891">
        <f t="shared" ca="1" si="144"/>
        <v>0</v>
      </c>
      <c r="M208" s="891">
        <f t="shared" ca="1" si="145"/>
        <v>0</v>
      </c>
      <c r="N208" s="136" t="str">
        <f ca="1">OFFSET(input!$F$33,P208,0)</f>
        <v>1st</v>
      </c>
      <c r="O208" s="136">
        <f t="shared" si="146"/>
        <v>224</v>
      </c>
      <c r="P208" s="136">
        <f t="shared" si="147"/>
        <v>221</v>
      </c>
      <c r="Q208" s="136">
        <f t="shared" si="148"/>
        <v>13</v>
      </c>
      <c r="AT208" s="413">
        <f t="shared" ca="1" si="126"/>
        <v>0</v>
      </c>
      <c r="AU208" s="136">
        <f ca="1">COUNTIFS(AT$7:$AT208,1)</f>
        <v>1</v>
      </c>
    </row>
    <row r="209" spans="1:47" ht="15">
      <c r="A209" s="952" t="str">
        <f ca="1">OFFSET(input!$A$25,P209,0)</f>
        <v>1st</v>
      </c>
      <c r="B209" s="891">
        <f ca="1">SUMIFS(Paper!$AC$7:$AC$30,Paper!$A$7:$A$30,Ink!A209)+SUMIFS(Paper!$X$7:$X$30,Paper!$A$7:$A$30,Ink!A209)</f>
        <v>0</v>
      </c>
      <c r="C209" s="953">
        <v>5</v>
      </c>
      <c r="D209" s="954" t="str">
        <f ca="1">OFFSET(input!$A$27,O209,0)</f>
        <v>None</v>
      </c>
      <c r="E209" s="891">
        <f ca="1">SUMIFS(Paper!$N$7:$N$30,Paper!$A$7:$A$30,A209)</f>
        <v>0</v>
      </c>
      <c r="F209" s="891">
        <f ca="1">SUMIFS(Paper!$O$7:$O$30,Paper!$A$7:$A$30,A209)</f>
        <v>0</v>
      </c>
      <c r="G209" s="955">
        <f ca="1">IF($D209="None",0,IF(OFFSET(input!$B$27,O209,0)&gt;0,OFFSET(input!$B$27,O209,0),E209*F209*$D$8*10000/IF($B$2="PACK",COUNTIF($H$10:$H$23,"&gt;0"),1)))</f>
        <v>0</v>
      </c>
      <c r="H209" s="956">
        <f ca="1">IF(OFFSET(input!$C$27,O209,0)&gt;0,OFFSET(input!$C$27,O209,0),VLOOKUP(D209,Data!$L$1064:$M$1071,2,0))</f>
        <v>0</v>
      </c>
      <c r="I209" s="891">
        <f t="shared" ca="1" si="142"/>
        <v>0</v>
      </c>
      <c r="J209" s="891">
        <f ca="1">IF(G209&gt;0,0.2,0)*OFFSET(Paper!$J$7,Q209,0)</f>
        <v>0</v>
      </c>
      <c r="K209" s="891">
        <f t="shared" ca="1" si="143"/>
        <v>0</v>
      </c>
      <c r="L209" s="891">
        <f t="shared" ca="1" si="144"/>
        <v>0</v>
      </c>
      <c r="M209" s="891">
        <f t="shared" ca="1" si="145"/>
        <v>0</v>
      </c>
      <c r="N209" s="136" t="str">
        <f ca="1">OFFSET(input!$F$33,P209,0)</f>
        <v>1st</v>
      </c>
      <c r="O209" s="136">
        <f t="shared" si="146"/>
        <v>225</v>
      </c>
      <c r="P209" s="136">
        <f t="shared" si="147"/>
        <v>221</v>
      </c>
      <c r="Q209" s="136">
        <f t="shared" si="148"/>
        <v>13</v>
      </c>
      <c r="AT209" s="413">
        <f t="shared" ca="1" si="126"/>
        <v>0</v>
      </c>
      <c r="AU209" s="136">
        <f ca="1">COUNTIFS(AT$7:$AT209,1)</f>
        <v>1</v>
      </c>
    </row>
    <row r="210" spans="1:47" ht="15">
      <c r="A210" s="952" t="str">
        <f ca="1">OFFSET(input!$A$25,P210,0)</f>
        <v>1st</v>
      </c>
      <c r="B210" s="891">
        <f ca="1">SUMIFS(Paper!$AC$7:$AC$30,Paper!$A$7:$A$30,Ink!A210)+SUMIFS(Paper!$X$7:$X$30,Paper!$A$7:$A$30,Ink!A210)</f>
        <v>0</v>
      </c>
      <c r="C210" s="953">
        <v>6</v>
      </c>
      <c r="D210" s="954" t="str">
        <f ca="1">OFFSET(input!$A$27,O210,0)</f>
        <v>None</v>
      </c>
      <c r="E210" s="891">
        <f ca="1">SUMIFS(Paper!$N$7:$N$30,Paper!$A$7:$A$30,A210)</f>
        <v>0</v>
      </c>
      <c r="F210" s="891">
        <f ca="1">SUMIFS(Paper!$O$7:$O$30,Paper!$A$7:$A$30,A210)</f>
        <v>0</v>
      </c>
      <c r="G210" s="955">
        <f ca="1">IF($D210="None",0,IF(OFFSET(input!$B$27,O210,0)&gt;0,OFFSET(input!$B$27,O210,0),E210*F210*$D$8*10000/IF($B$2="PACK",COUNTIF($H$10:$H$23,"&gt;0"),1)))</f>
        <v>0</v>
      </c>
      <c r="H210" s="956">
        <f ca="1">IF(OFFSET(input!$C$27,O210,0)&gt;0,OFFSET(input!$C$27,O210,0),VLOOKUP(D210,Data!$L$1064:$M$1071,2,0))</f>
        <v>0</v>
      </c>
      <c r="I210" s="891">
        <f t="shared" ca="1" si="142"/>
        <v>0</v>
      </c>
      <c r="J210" s="891">
        <f ca="1">IF(G210&gt;0,0.2,0)*OFFSET(Paper!$J$7,Q210,0)</f>
        <v>0</v>
      </c>
      <c r="K210" s="891">
        <f t="shared" ca="1" si="143"/>
        <v>0</v>
      </c>
      <c r="L210" s="891">
        <f t="shared" ca="1" si="144"/>
        <v>0</v>
      </c>
      <c r="M210" s="891">
        <f t="shared" ca="1" si="145"/>
        <v>0</v>
      </c>
      <c r="N210" s="136" t="str">
        <f ca="1">OFFSET(input!$F$33,P210,0)</f>
        <v>1st</v>
      </c>
      <c r="O210" s="136">
        <f t="shared" si="146"/>
        <v>226</v>
      </c>
      <c r="P210" s="136">
        <f t="shared" si="147"/>
        <v>221</v>
      </c>
      <c r="Q210" s="136">
        <f t="shared" si="148"/>
        <v>13</v>
      </c>
      <c r="AT210" s="413">
        <f t="shared" ca="1" si="126"/>
        <v>0</v>
      </c>
      <c r="AU210" s="136">
        <f ca="1">COUNTIFS(AT$7:$AT210,1)</f>
        <v>1</v>
      </c>
    </row>
    <row r="211" spans="1:47" ht="15">
      <c r="A211" s="952" t="str">
        <f ca="1">OFFSET(input!$A$25,P211,0)</f>
        <v>1st</v>
      </c>
      <c r="B211" s="891">
        <f ca="1">SUMIFS(Paper!$AC$7:$AC$30,Paper!$A$7:$A$30,Ink!A211)+SUMIFS(Paper!$X$7:$X$30,Paper!$A$7:$A$30,Ink!A211)</f>
        <v>0</v>
      </c>
      <c r="C211" s="953">
        <v>7</v>
      </c>
      <c r="D211" s="954" t="str">
        <f ca="1">OFFSET(input!$A$27,O211,0)</f>
        <v>None</v>
      </c>
      <c r="E211" s="891">
        <f ca="1">SUMIFS(Paper!$N$7:$N$30,Paper!$A$7:$A$30,A211)</f>
        <v>0</v>
      </c>
      <c r="F211" s="891">
        <f ca="1">SUMIFS(Paper!$O$7:$O$30,Paper!$A$7:$A$30,A211)</f>
        <v>0</v>
      </c>
      <c r="G211" s="955">
        <f ca="1">IF($D211="None",0,IF(OFFSET(input!$B$27,O211,0)&gt;0,OFFSET(input!$B$27,O211,0),E211*F211*$D$8*10000/IF($B$2="PACK",COUNTIF($H$10:$H$23,"&gt;0"),1)))</f>
        <v>0</v>
      </c>
      <c r="H211" s="956">
        <f ca="1">IF(OFFSET(input!$C$27,O211,0)&gt;0,OFFSET(input!$C$27,O211,0),VLOOKUP(D211,Data!$L$1064:$M$1071,2,0))</f>
        <v>0</v>
      </c>
      <c r="I211" s="891">
        <f t="shared" ca="1" si="142"/>
        <v>0</v>
      </c>
      <c r="J211" s="891">
        <f ca="1">IF(G211&gt;0,0.2,0)*OFFSET(Paper!$J$7,Q211,0)</f>
        <v>0</v>
      </c>
      <c r="K211" s="891">
        <f t="shared" ca="1" si="143"/>
        <v>0</v>
      </c>
      <c r="L211" s="891">
        <f t="shared" ca="1" si="144"/>
        <v>0</v>
      </c>
      <c r="M211" s="891">
        <f t="shared" ca="1" si="145"/>
        <v>0</v>
      </c>
      <c r="N211" s="136" t="str">
        <f ca="1">OFFSET(input!$F$33,P211,0)</f>
        <v>1st</v>
      </c>
      <c r="O211" s="136">
        <f t="shared" si="146"/>
        <v>227</v>
      </c>
      <c r="P211" s="136">
        <f t="shared" si="147"/>
        <v>221</v>
      </c>
      <c r="Q211" s="136">
        <f t="shared" si="148"/>
        <v>13</v>
      </c>
      <c r="AT211" s="413">
        <f t="shared" ca="1" si="126"/>
        <v>0</v>
      </c>
      <c r="AU211" s="136">
        <f ca="1">COUNTIFS(AT$7:$AT211,1)</f>
        <v>1</v>
      </c>
    </row>
    <row r="212" spans="1:47" ht="15">
      <c r="A212" s="952" t="str">
        <f ca="1">OFFSET(input!$A$25,P212,0)</f>
        <v>1st</v>
      </c>
      <c r="B212" s="891">
        <f ca="1">SUMIFS(Paper!$AC$7:$AC$30,Paper!$A$7:$A$30,Ink!A212)+SUMIFS(Paper!$X$7:$X$30,Paper!$A$7:$A$30,Ink!A212)</f>
        <v>0</v>
      </c>
      <c r="C212" s="953">
        <v>8</v>
      </c>
      <c r="D212" s="954" t="str">
        <f ca="1">OFFSET(input!$A$27,O212,0)</f>
        <v>None</v>
      </c>
      <c r="E212" s="891">
        <f ca="1">SUMIFS(Paper!$N$7:$N$30,Paper!$A$7:$A$30,A212)</f>
        <v>0</v>
      </c>
      <c r="F212" s="891">
        <f ca="1">SUMIFS(Paper!$O$7:$O$30,Paper!$A$7:$A$30,A212)</f>
        <v>0</v>
      </c>
      <c r="G212" s="955">
        <f ca="1">IF($D212="None",0,IF(OFFSET(input!$B$27,O212,0)&gt;0,OFFSET(input!$B$27,O212,0),E212*F212*$D$8*10000/IF($B$2="PACK",COUNTIF($H$10:$H$23,"&gt;0"),1)))</f>
        <v>0</v>
      </c>
      <c r="H212" s="956">
        <f ca="1">IF(OFFSET(input!$C$27,O212,0)&gt;0,OFFSET(input!$C$27,O212,0),VLOOKUP(D212,Data!$L$1064:$M$1071,2,0))</f>
        <v>0</v>
      </c>
      <c r="I212" s="891">
        <f t="shared" ca="1" si="142"/>
        <v>0</v>
      </c>
      <c r="J212" s="891">
        <f ca="1">IF(G212&gt;0,0.2,0)*OFFSET(Paper!$J$7,Q212,0)</f>
        <v>0</v>
      </c>
      <c r="K212" s="891">
        <f t="shared" ca="1" si="143"/>
        <v>0</v>
      </c>
      <c r="L212" s="891">
        <f t="shared" ca="1" si="144"/>
        <v>0</v>
      </c>
      <c r="M212" s="891">
        <f t="shared" ca="1" si="145"/>
        <v>0</v>
      </c>
      <c r="N212" s="136" t="str">
        <f ca="1">OFFSET(input!$F$33,P212,0)</f>
        <v>1st</v>
      </c>
      <c r="O212" s="136">
        <f t="shared" si="146"/>
        <v>228</v>
      </c>
      <c r="P212" s="136">
        <f t="shared" si="147"/>
        <v>221</v>
      </c>
      <c r="Q212" s="136">
        <f t="shared" si="148"/>
        <v>13</v>
      </c>
      <c r="AT212" s="413">
        <f t="shared" ca="1" si="126"/>
        <v>0</v>
      </c>
      <c r="AU212" s="136">
        <f ca="1">COUNTIFS(AT$7:$AT212,1)</f>
        <v>1</v>
      </c>
    </row>
    <row r="213" spans="1:47" ht="15">
      <c r="A213" s="952" t="str">
        <f ca="1">OFFSET(input!$A$25,P213,0)</f>
        <v>1st</v>
      </c>
      <c r="B213" s="891">
        <f ca="1">SUMIFS(Paper!$AC$7:$AC$30,Paper!$A$7:$A$30,Ink!A213)+SUMIFS(Paper!$X$7:$X$30,Paper!$A$7:$A$30,Ink!A213)</f>
        <v>0</v>
      </c>
      <c r="C213" s="953">
        <v>9</v>
      </c>
      <c r="D213" s="954" t="str">
        <f ca="1">OFFSET(input!$A$27,O213,0)</f>
        <v>None</v>
      </c>
      <c r="E213" s="891">
        <f ca="1">SUMIFS(Paper!$N$7:$N$30,Paper!$A$7:$A$30,A213)</f>
        <v>0</v>
      </c>
      <c r="F213" s="891">
        <f ca="1">SUMIFS(Paper!$O$7:$O$30,Paper!$A$7:$A$30,A213)</f>
        <v>0</v>
      </c>
      <c r="G213" s="955">
        <f ca="1">IF($D213="None",0,IF(OFFSET(input!$B$27,O213,0)&gt;0,OFFSET(input!$B$27,O213,0),E213*F213*$D$8*10000/IF($B$2="PACK",COUNTIF($H$10:$H$23,"&gt;0"),1)))</f>
        <v>0</v>
      </c>
      <c r="H213" s="956">
        <f ca="1">IF(OFFSET(input!$C$27,O213,0)&gt;0,OFFSET(input!$C$27,O213,0),VLOOKUP(D213,Data!$L$1064:$M$1071,2,0))</f>
        <v>0</v>
      </c>
      <c r="I213" s="891">
        <f t="shared" ca="1" si="142"/>
        <v>0</v>
      </c>
      <c r="J213" s="891">
        <f ca="1">IF(G213&gt;0,0.2,0)*OFFSET(Paper!$J$7,Q213,0)</f>
        <v>0</v>
      </c>
      <c r="K213" s="891">
        <f t="shared" ca="1" si="143"/>
        <v>0</v>
      </c>
      <c r="L213" s="891">
        <f t="shared" ca="1" si="144"/>
        <v>0</v>
      </c>
      <c r="M213" s="891">
        <f t="shared" ca="1" si="145"/>
        <v>0</v>
      </c>
      <c r="N213" s="136" t="str">
        <f ca="1">OFFSET(input!$F$33,P213,0)</f>
        <v>1st</v>
      </c>
      <c r="O213" s="136">
        <f t="shared" si="146"/>
        <v>229</v>
      </c>
      <c r="P213" s="136">
        <f t="shared" si="147"/>
        <v>221</v>
      </c>
      <c r="Q213" s="136">
        <f t="shared" si="148"/>
        <v>13</v>
      </c>
      <c r="AT213" s="413">
        <f t="shared" ca="1" si="126"/>
        <v>0</v>
      </c>
      <c r="AU213" s="136">
        <f ca="1">COUNTIFS(AT$7:$AT213,1)</f>
        <v>1</v>
      </c>
    </row>
    <row r="214" spans="1:47" ht="15">
      <c r="A214" s="952" t="str">
        <f ca="1">OFFSET(input!$A$25,P214,0)</f>
        <v>1st</v>
      </c>
      <c r="B214" s="891">
        <f ca="1">SUMIFS(Paper!$AC$7:$AC$30,Paper!$A$7:$A$30,Ink!A214)+SUMIFS(Paper!$X$7:$X$30,Paper!$A$7:$A$30,Ink!A214)</f>
        <v>0</v>
      </c>
      <c r="C214" s="953">
        <v>10</v>
      </c>
      <c r="D214" s="954" t="str">
        <f ca="1">OFFSET(input!$A$27,O214,0)</f>
        <v>None</v>
      </c>
      <c r="E214" s="891">
        <f ca="1">SUMIFS(Paper!$N$7:$N$30,Paper!$A$7:$A$30,A214)</f>
        <v>0</v>
      </c>
      <c r="F214" s="891">
        <f ca="1">SUMIFS(Paper!$O$7:$O$30,Paper!$A$7:$A$30,A214)</f>
        <v>0</v>
      </c>
      <c r="G214" s="955">
        <f ca="1">IF($D214="None",0,IF(OFFSET(input!$B$27,O214,0)&gt;0,OFFSET(input!$B$27,O214,0),E214*F214*$D$8*10000/IF($B$2="PACK",COUNTIF($H$10:$H$23,"&gt;0"),1)))</f>
        <v>0</v>
      </c>
      <c r="H214" s="956">
        <f ca="1">IF(OFFSET(input!$C$27,O214,0)&gt;0,OFFSET(input!$C$27,O214,0),VLOOKUP(D214,Data!$L$1064:$M$1071,2,0))</f>
        <v>0</v>
      </c>
      <c r="I214" s="891">
        <f ca="1">ROUNDUP(IF(G214&gt;0,((B214/10000)*G214),0),1)</f>
        <v>0</v>
      </c>
      <c r="J214" s="891">
        <f ca="1">IF(G214&gt;0,0.2,0)*OFFSET(Paper!$J$7,Q214,0)</f>
        <v>0</v>
      </c>
      <c r="K214" s="891">
        <f ca="1">J214*H214</f>
        <v>0</v>
      </c>
      <c r="L214" s="891">
        <f ca="1">IF(I214=0,0,H214*(I214+J214))</f>
        <v>0</v>
      </c>
      <c r="M214" s="891">
        <f ca="1">IF($D$3&gt;0,L214/($D$3),0)*(1+$M$6)</f>
        <v>0</v>
      </c>
      <c r="N214" s="136" t="str">
        <f ca="1">OFFSET(input!$F$33,P214,0)</f>
        <v>1st</v>
      </c>
      <c r="O214" s="136">
        <f t="shared" si="146"/>
        <v>230</v>
      </c>
      <c r="P214" s="136">
        <f t="shared" si="147"/>
        <v>221</v>
      </c>
      <c r="Q214" s="136">
        <f t="shared" si="148"/>
        <v>13</v>
      </c>
      <c r="AT214" s="413">
        <f t="shared" ca="1" si="126"/>
        <v>0</v>
      </c>
      <c r="AU214" s="136">
        <f ca="1">COUNTIFS(AT$7:$AT214,1)</f>
        <v>1</v>
      </c>
    </row>
    <row r="215" spans="1:47" ht="15">
      <c r="A215" s="952" t="str">
        <f ca="1">OFFSET(input!$A$25,P215,0)</f>
        <v>1st</v>
      </c>
      <c r="B215" s="891">
        <f ca="1">SUMIFS(Paper!$AC$7:$AC$30,Paper!$A$7:$A$30,Ink!A215)+SUMIFS(Paper!$X$7:$X$30,Paper!$A$7:$A$30,Ink!A215)</f>
        <v>0</v>
      </c>
      <c r="C215" s="953">
        <v>11</v>
      </c>
      <c r="D215" s="954" t="str">
        <f ca="1">OFFSET(input!$A$27,O215,0)</f>
        <v>None</v>
      </c>
      <c r="E215" s="891">
        <f ca="1">SUMIFS(Paper!$N$7:$N$30,Paper!$A$7:$A$30,A215)</f>
        <v>0</v>
      </c>
      <c r="F215" s="891">
        <f ca="1">SUMIFS(Paper!$O$7:$O$30,Paper!$A$7:$A$30,A215)</f>
        <v>0</v>
      </c>
      <c r="G215" s="955">
        <f ca="1">IF($D215="None",0,IF(OFFSET(input!$B$27,O215,0)&gt;0,OFFSET(input!$B$27,O215,0),E215*F215*$D$8*10000/IF($B$2="PACK",COUNTIF($H$10:$H$23,"&gt;0"),1)))</f>
        <v>0</v>
      </c>
      <c r="H215" s="956">
        <f ca="1">IF(OFFSET(input!$C$27,O215,0)&gt;0,OFFSET(input!$C$27,O215,0),VLOOKUP(D215,Data!$L$1064:$M$1071,2,0))</f>
        <v>0</v>
      </c>
      <c r="I215" s="891">
        <f ca="1">ROUNDUP(IF(G215&gt;0,((B215/10000)*G215),0),1)</f>
        <v>0</v>
      </c>
      <c r="J215" s="891">
        <f ca="1">IF(G215&gt;0,0.2,0)*OFFSET(Paper!$J$7,Q215,0)</f>
        <v>0</v>
      </c>
      <c r="K215" s="891">
        <f ca="1">J215*H215</f>
        <v>0</v>
      </c>
      <c r="L215" s="891">
        <f ca="1">IF(I215=0,0,H215*(I215+J215))</f>
        <v>0</v>
      </c>
      <c r="M215" s="891">
        <f ca="1">IF($D$3&gt;0,L215/($D$3),0)*(1+$M$6)</f>
        <v>0</v>
      </c>
      <c r="N215" s="136" t="str">
        <f ca="1">OFFSET(input!$F$33,P215,0)</f>
        <v>1st</v>
      </c>
      <c r="O215" s="136">
        <f t="shared" si="146"/>
        <v>231</v>
      </c>
      <c r="P215" s="136">
        <f t="shared" si="147"/>
        <v>221</v>
      </c>
      <c r="Q215" s="136">
        <f t="shared" si="148"/>
        <v>13</v>
      </c>
      <c r="AT215" s="413">
        <f t="shared" ca="1" si="126"/>
        <v>0</v>
      </c>
      <c r="AU215" s="136">
        <f ca="1">COUNTIFS(AT$7:$AT215,1)</f>
        <v>1</v>
      </c>
    </row>
    <row r="216" spans="1:47" ht="15">
      <c r="A216" s="952" t="str">
        <f ca="1">OFFSET(input!$A$25,P216,0)</f>
        <v>1st</v>
      </c>
      <c r="B216" s="891">
        <f ca="1">SUMIFS(Paper!$AC$7:$AC$30,Paper!$A$7:$A$30,Ink!A216)+SUMIFS(Paper!$X$7:$X$30,Paper!$A$7:$A$30,Ink!A216)</f>
        <v>0</v>
      </c>
      <c r="C216" s="953">
        <v>12</v>
      </c>
      <c r="D216" s="954" t="str">
        <f ca="1">OFFSET(input!$A$27,O216,0)</f>
        <v>None</v>
      </c>
      <c r="E216" s="891">
        <f ca="1">SUMIFS(Paper!$N$7:$N$30,Paper!$A$7:$A$30,A216)</f>
        <v>0</v>
      </c>
      <c r="F216" s="891">
        <f ca="1">SUMIFS(Paper!$O$7:$O$30,Paper!$A$7:$A$30,A216)</f>
        <v>0</v>
      </c>
      <c r="G216" s="955">
        <f ca="1">IF($D216="None",0,IF(OFFSET(input!$B$27,O216,0)&gt;0,OFFSET(input!$B$27,O216,0),E216*F216*$D$8*10000/IF($B$2="PACK",COUNTIF($H$10:$H$23,"&gt;0"),1)))</f>
        <v>0</v>
      </c>
      <c r="H216" s="956">
        <f ca="1">IF(OFFSET(input!$C$27,O216,0)&gt;0,OFFSET(input!$C$27,O216,0),VLOOKUP(D216,Data!$L$1064:$M$1071,2,0))</f>
        <v>0</v>
      </c>
      <c r="I216" s="891">
        <f ca="1">ROUNDUP(IF(G216&gt;0,((B216/10000)*G216),0),1)</f>
        <v>0</v>
      </c>
      <c r="J216" s="891">
        <f ca="1">IF(G216&gt;0,0.2,0)*OFFSET(Paper!$J$7,Q216,0)</f>
        <v>0</v>
      </c>
      <c r="K216" s="891">
        <f ca="1">J216*H216</f>
        <v>0</v>
      </c>
      <c r="L216" s="891">
        <f ca="1">IF(I216=0,0,H216*(I216+J216))</f>
        <v>0</v>
      </c>
      <c r="M216" s="891">
        <f ca="1">IF($D$3&gt;0,L216/($D$3),0)*(1+$M$6)</f>
        <v>0</v>
      </c>
      <c r="N216" s="136" t="str">
        <f ca="1">OFFSET(input!$F$33,P216,0)</f>
        <v>1st</v>
      </c>
      <c r="O216" s="136">
        <f t="shared" si="146"/>
        <v>232</v>
      </c>
      <c r="P216" s="136">
        <f t="shared" si="147"/>
        <v>221</v>
      </c>
      <c r="Q216" s="136">
        <f t="shared" si="148"/>
        <v>13</v>
      </c>
      <c r="AT216" s="413">
        <f t="shared" ca="1" si="126"/>
        <v>0</v>
      </c>
      <c r="AU216" s="136">
        <f ca="1">COUNTIFS(AT$7:$AT216,1)</f>
        <v>1</v>
      </c>
    </row>
    <row r="217" spans="1:47" ht="15">
      <c r="A217" s="952" t="str">
        <f ca="1">OFFSET(input!$A$25,P217,0)</f>
        <v>1st</v>
      </c>
      <c r="B217" s="891">
        <f ca="1">SUMIFS(Paper!$AC$7:$AC$30,Paper!$A$7:$A$30,Ink!A217)+SUMIFS(Paper!$X$7:$X$30,Paper!$A$7:$A$30,Ink!A217)</f>
        <v>0</v>
      </c>
      <c r="C217" s="953">
        <v>13</v>
      </c>
      <c r="D217" s="954" t="str">
        <f ca="1">OFFSET(input!$A$27,O217,0)</f>
        <v>None</v>
      </c>
      <c r="E217" s="891">
        <f ca="1">SUMIFS(Paper!$N$7:$N$30,Paper!$A$7:$A$30,A217)</f>
        <v>0</v>
      </c>
      <c r="F217" s="891">
        <f ca="1">SUMIFS(Paper!$O$7:$O$30,Paper!$A$7:$A$30,A217)</f>
        <v>0</v>
      </c>
      <c r="G217" s="955">
        <f ca="1">IF($D217="None",0,IF(OFFSET(input!$B$27,O217,0)&gt;0,OFFSET(input!$B$27,O217,0),E217*F217*$D$8*10000/IF($B$2="PACK",COUNTIF($H$10:$H$23,"&gt;0"),1)))</f>
        <v>0</v>
      </c>
      <c r="H217" s="956">
        <f ca="1">IF(OFFSET(input!$C$27,O217,0)&gt;0,OFFSET(input!$C$27,O217,0),VLOOKUP(D217,Data!$L$1064:$M$1071,2,0))</f>
        <v>0</v>
      </c>
      <c r="I217" s="891">
        <f ca="1">ROUNDUP(IF(G217&gt;0,((B217/10000)*G217),0),1)</f>
        <v>0</v>
      </c>
      <c r="J217" s="891">
        <f ca="1">IF(G217&gt;0,0.2,0)*OFFSET(Paper!$J$7,Q217,0)</f>
        <v>0</v>
      </c>
      <c r="K217" s="891">
        <f ca="1">J217*H217</f>
        <v>0</v>
      </c>
      <c r="L217" s="891">
        <f ca="1">IF(I217=0,0,H217*(I217+J217))</f>
        <v>0</v>
      </c>
      <c r="M217" s="891">
        <f ca="1">IF($D$3&gt;0,L217/($D$3),0)*(1+$M$6)</f>
        <v>0</v>
      </c>
      <c r="N217" s="136" t="str">
        <f ca="1">OFFSET(input!$F$33,P217,0)</f>
        <v>1st</v>
      </c>
      <c r="O217" s="136">
        <f t="shared" si="146"/>
        <v>233</v>
      </c>
      <c r="P217" s="136">
        <f t="shared" si="147"/>
        <v>221</v>
      </c>
      <c r="Q217" s="136">
        <f t="shared" si="148"/>
        <v>13</v>
      </c>
      <c r="AT217" s="413">
        <f t="shared" ca="1" si="126"/>
        <v>0</v>
      </c>
      <c r="AU217" s="136">
        <f ca="1">COUNTIFS(AT$7:$AT217,1)</f>
        <v>1</v>
      </c>
    </row>
    <row r="218" spans="1:47" ht="15">
      <c r="A218" s="952" t="str">
        <f ca="1">OFFSET(input!$A$25,P218,0)</f>
        <v>1st</v>
      </c>
      <c r="B218" s="891">
        <f ca="1">SUMIFS(Paper!$AC$7:$AC$30,Paper!$A$7:$A$30,Ink!A218)+SUMIFS(Paper!$X$7:$X$30,Paper!$A$7:$A$30,Ink!A218)</f>
        <v>0</v>
      </c>
      <c r="C218" s="953">
        <v>14</v>
      </c>
      <c r="D218" s="954" t="str">
        <f ca="1">OFFSET(input!$A$27,O218,0)</f>
        <v>None</v>
      </c>
      <c r="E218" s="891">
        <f ca="1">SUMIFS(Paper!$N$7:$N$30,Paper!$A$7:$A$30,A218)</f>
        <v>0</v>
      </c>
      <c r="F218" s="891">
        <f ca="1">SUMIFS(Paper!$O$7:$O$30,Paper!$A$7:$A$30,A218)</f>
        <v>0</v>
      </c>
      <c r="G218" s="955">
        <f ca="1">IF($D218="None",0,IF(OFFSET(input!$B$27,O218,0)&gt;0,OFFSET(input!$B$27,O218,0),E218*F218*$D$8*10000/IF($B$2="PACK",COUNTIF($H$10:$H$23,"&gt;0"),1)))</f>
        <v>0</v>
      </c>
      <c r="H218" s="956">
        <f ca="1">IF(OFFSET(input!$C$27,O218,0)&gt;0,OFFSET(input!$C$27,O218,0),VLOOKUP(D218,Data!$L$1064:$M$1071,2,0))</f>
        <v>0</v>
      </c>
      <c r="I218" s="891">
        <f t="shared" ref="I218" ca="1" si="149">ROUNDUP(IF(G218&gt;0,((B218/10000)*G218),0),1)</f>
        <v>0</v>
      </c>
      <c r="J218" s="891">
        <f ca="1">IF(G218&gt;0,0.2,0)*OFFSET(Paper!$J$7,Q218,0)</f>
        <v>0</v>
      </c>
      <c r="K218" s="891">
        <f t="shared" ref="K218" ca="1" si="150">J218*H218</f>
        <v>0</v>
      </c>
      <c r="L218" s="891">
        <f t="shared" ref="L218" ca="1" si="151">IF(I218=0,0,H218*(I218+J218))</f>
        <v>0</v>
      </c>
      <c r="M218" s="891">
        <f t="shared" ref="M218" ca="1" si="152">IF($D$3&gt;0,L218/($D$3),0)*(1+$M$6)</f>
        <v>0</v>
      </c>
      <c r="N218" s="136" t="str">
        <f ca="1">OFFSET(input!$F$33,P218,0)</f>
        <v>1st</v>
      </c>
      <c r="O218" s="136">
        <f t="shared" si="146"/>
        <v>234</v>
      </c>
      <c r="P218" s="136">
        <f>+P203+17</f>
        <v>221</v>
      </c>
      <c r="Q218" s="136">
        <f t="shared" si="148"/>
        <v>13</v>
      </c>
      <c r="AT218" s="413">
        <f t="shared" ca="1" si="126"/>
        <v>0</v>
      </c>
      <c r="AU218" s="136">
        <f ca="1">COUNTIFS(AT$7:$AT218,1)</f>
        <v>1</v>
      </c>
    </row>
    <row r="219" spans="1:47" ht="15">
      <c r="A219" s="957"/>
      <c r="B219" s="958"/>
      <c r="C219" s="959"/>
      <c r="D219" s="954"/>
      <c r="E219" s="958"/>
      <c r="F219" s="958"/>
      <c r="G219" s="955"/>
      <c r="H219" s="960"/>
      <c r="I219" s="958"/>
      <c r="J219" s="958"/>
      <c r="K219" s="958"/>
      <c r="L219" s="958"/>
      <c r="M219" s="958"/>
      <c r="AT219" s="413" t="str">
        <f t="shared" si="126"/>
        <v/>
      </c>
      <c r="AU219" s="136">
        <f ca="1">COUNTIFS(AT$7:$AT219,1)</f>
        <v>1</v>
      </c>
    </row>
    <row r="220" spans="1:47" ht="15" collapsed="1">
      <c r="A220" s="952" t="str">
        <f ca="1">OFFSET(input!$A$25,P220,0)</f>
        <v>1st</v>
      </c>
      <c r="B220" s="891">
        <f ca="1">SUMIFS(Paper!$AC$7:$AC$30,Paper!$A$7:$A$30,Ink!A220)+SUMIFS(Paper!$X$7:$X$30,Paper!$A$7:$A$30,Ink!A220)</f>
        <v>0</v>
      </c>
      <c r="C220" s="953">
        <v>1</v>
      </c>
      <c r="D220" s="954" t="str">
        <f ca="1">OFFSET(input!$A$27,O220,0)</f>
        <v>None</v>
      </c>
      <c r="E220" s="891">
        <f ca="1">SUMIFS(Paper!$N$7:$N$30,Paper!$A$7:$A$30,A220)</f>
        <v>0</v>
      </c>
      <c r="F220" s="891">
        <f ca="1">SUMIFS(Paper!$O$7:$O$30,Paper!$A$7:$A$30,A220)</f>
        <v>0</v>
      </c>
      <c r="G220" s="955">
        <f ca="1">IF($D220="None",0,IF(OFFSET(input!$B$27,O220,0)&gt;0,OFFSET(input!$B$27,O220,0),E220*F220*$D$8*10000/IF($B$2="PACK",COUNTIF($H$10:$H$23,"&gt;0"),1)))</f>
        <v>0</v>
      </c>
      <c r="H220" s="956">
        <f ca="1">IF(OFFSET(input!$C$27,O220,0)&gt;0,OFFSET(input!$C$27,O220,0),VLOOKUP(D220,Data!$L$1064:$M$1071,2,0))</f>
        <v>0</v>
      </c>
      <c r="I220" s="891">
        <f t="shared" ref="I220:I228" ca="1" si="153">ROUNDUP(IF(G220&gt;0,((B220/10000)*G220),0),1)</f>
        <v>0</v>
      </c>
      <c r="J220" s="891">
        <f ca="1">IF(G220&gt;0,0.2,0)*OFFSET(Paper!$J$7,Q220,0)</f>
        <v>0</v>
      </c>
      <c r="K220" s="891">
        <f t="shared" ref="K220:K228" ca="1" si="154">J220*H220</f>
        <v>0</v>
      </c>
      <c r="L220" s="891">
        <f t="shared" ref="L220:L228" ca="1" si="155">IF(I220=0,0,H220*(I220+J220))</f>
        <v>0</v>
      </c>
      <c r="M220" s="891">
        <f ca="1">IF($D$3&gt;0,L220/($D$3),0)*(1+$M$6)</f>
        <v>0</v>
      </c>
      <c r="N220" s="136" t="str">
        <f ca="1">OFFSET(input!$F$33,P220,0)</f>
        <v>1st</v>
      </c>
      <c r="O220" s="136">
        <f>O205+17</f>
        <v>238</v>
      </c>
      <c r="P220" s="136">
        <f>+P205+17</f>
        <v>238</v>
      </c>
      <c r="Q220" s="136">
        <f>+Q205+1</f>
        <v>14</v>
      </c>
      <c r="AT220" s="413">
        <f t="shared" ca="1" si="126"/>
        <v>0</v>
      </c>
      <c r="AU220" s="136">
        <f ca="1">COUNTIFS(AT$7:$AT220,1)</f>
        <v>1</v>
      </c>
    </row>
    <row r="221" spans="1:47" ht="15">
      <c r="A221" s="952" t="str">
        <f ca="1">OFFSET(input!$A$25,P221,0)</f>
        <v>1st</v>
      </c>
      <c r="B221" s="891">
        <f ca="1">SUMIFS(Paper!$AC$7:$AC$30,Paper!$A$7:$A$30,Ink!A221)+SUMIFS(Paper!$X$7:$X$30,Paper!$A$7:$A$30,Ink!A221)</f>
        <v>0</v>
      </c>
      <c r="C221" s="953">
        <v>2</v>
      </c>
      <c r="D221" s="954" t="str">
        <f ca="1">OFFSET(input!$A$27,O221,0)</f>
        <v>None</v>
      </c>
      <c r="E221" s="891">
        <f ca="1">SUMIFS(Paper!$N$7:$N$30,Paper!$A$7:$A$30,A221)</f>
        <v>0</v>
      </c>
      <c r="F221" s="891">
        <f ca="1">SUMIFS(Paper!$O$7:$O$30,Paper!$A$7:$A$30,A221)</f>
        <v>0</v>
      </c>
      <c r="G221" s="955">
        <f ca="1">IF($D221="None",0,IF(OFFSET(input!$B$27,O221,0)&gt;0,OFFSET(input!$B$27,O221,0),E221*F221*$D$8*10000/IF($B$2="PACK",COUNTIF($H$10:$H$23,"&gt;0"),1)))</f>
        <v>0</v>
      </c>
      <c r="H221" s="956">
        <f ca="1">IF(OFFSET(input!$C$27,O221,0)&gt;0,OFFSET(input!$C$27,O221,0),VLOOKUP(D221,Data!$L$1064:$M$1071,2,0))</f>
        <v>0</v>
      </c>
      <c r="I221" s="891">
        <f t="shared" ca="1" si="153"/>
        <v>0</v>
      </c>
      <c r="J221" s="891">
        <f ca="1">IF(G221&gt;0,0.2,0)*OFFSET(Paper!$J$7,Q221,0)</f>
        <v>0</v>
      </c>
      <c r="K221" s="891">
        <f t="shared" ca="1" si="154"/>
        <v>0</v>
      </c>
      <c r="L221" s="891">
        <f t="shared" ca="1" si="155"/>
        <v>0</v>
      </c>
      <c r="M221" s="891">
        <f t="shared" ref="M221:M228" ca="1" si="156">IF($D$3&gt;0,L221/($D$3),0)*(1+$M$6)</f>
        <v>0</v>
      </c>
      <c r="N221" s="136" t="str">
        <f ca="1">OFFSET(input!$F$33,P221,0)</f>
        <v>1st</v>
      </c>
      <c r="O221" s="136">
        <f t="shared" ref="O221:O233" si="157">O206+17</f>
        <v>239</v>
      </c>
      <c r="P221" s="136">
        <f t="shared" ref="P221:P232" si="158">+P206+17</f>
        <v>238</v>
      </c>
      <c r="Q221" s="136">
        <f t="shared" ref="Q221:Q233" si="159">+Q206+1</f>
        <v>14</v>
      </c>
      <c r="AT221" s="413">
        <f t="shared" ca="1" si="126"/>
        <v>0</v>
      </c>
      <c r="AU221" s="136">
        <f ca="1">COUNTIFS(AT$7:$AT221,1)</f>
        <v>1</v>
      </c>
    </row>
    <row r="222" spans="1:47" ht="15">
      <c r="A222" s="952" t="str">
        <f ca="1">OFFSET(input!$A$25,P222,0)</f>
        <v>1st</v>
      </c>
      <c r="B222" s="891">
        <f ca="1">SUMIFS(Paper!$AC$7:$AC$30,Paper!$A$7:$A$30,Ink!A222)+SUMIFS(Paper!$X$7:$X$30,Paper!$A$7:$A$30,Ink!A222)</f>
        <v>0</v>
      </c>
      <c r="C222" s="953">
        <v>3</v>
      </c>
      <c r="D222" s="954" t="str">
        <f ca="1">OFFSET(input!$A$27,O222,0)</f>
        <v>None</v>
      </c>
      <c r="E222" s="891">
        <f ca="1">SUMIFS(Paper!$N$7:$N$30,Paper!$A$7:$A$30,A222)</f>
        <v>0</v>
      </c>
      <c r="F222" s="891">
        <f ca="1">SUMIFS(Paper!$O$7:$O$30,Paper!$A$7:$A$30,A222)</f>
        <v>0</v>
      </c>
      <c r="G222" s="955">
        <f ca="1">IF($D222="None",0,IF(OFFSET(input!$B$27,O222,0)&gt;0,OFFSET(input!$B$27,O222,0),E222*F222*$D$8*10000/IF($B$2="PACK",COUNTIF($H$10:$H$23,"&gt;0"),1)))</f>
        <v>0</v>
      </c>
      <c r="H222" s="956">
        <f ca="1">IF(OFFSET(input!$C$27,O222,0)&gt;0,OFFSET(input!$C$27,O222,0),VLOOKUP(D222,Data!$L$1064:$M$1071,2,0))</f>
        <v>0</v>
      </c>
      <c r="I222" s="891">
        <f t="shared" ca="1" si="153"/>
        <v>0</v>
      </c>
      <c r="J222" s="891">
        <f ca="1">IF(G222&gt;0,0.2,0)*OFFSET(Paper!$J$7,Q222,0)</f>
        <v>0</v>
      </c>
      <c r="K222" s="891">
        <f t="shared" ca="1" si="154"/>
        <v>0</v>
      </c>
      <c r="L222" s="891">
        <f t="shared" ca="1" si="155"/>
        <v>0</v>
      </c>
      <c r="M222" s="891">
        <f t="shared" ca="1" si="156"/>
        <v>0</v>
      </c>
      <c r="N222" s="136" t="str">
        <f ca="1">OFFSET(input!$F$33,P222,0)</f>
        <v>1st</v>
      </c>
      <c r="O222" s="136">
        <f t="shared" si="157"/>
        <v>240</v>
      </c>
      <c r="P222" s="136">
        <f t="shared" si="158"/>
        <v>238</v>
      </c>
      <c r="Q222" s="136">
        <f t="shared" si="159"/>
        <v>14</v>
      </c>
      <c r="AT222" s="413">
        <f t="shared" ca="1" si="126"/>
        <v>0</v>
      </c>
      <c r="AU222" s="136">
        <f ca="1">COUNTIFS(AT$7:$AT222,1)</f>
        <v>1</v>
      </c>
    </row>
    <row r="223" spans="1:47" ht="15">
      <c r="A223" s="952" t="str">
        <f ca="1">OFFSET(input!$A$25,P223,0)</f>
        <v>1st</v>
      </c>
      <c r="B223" s="891">
        <f ca="1">SUMIFS(Paper!$AC$7:$AC$30,Paper!$A$7:$A$30,Ink!A223)+SUMIFS(Paper!$X$7:$X$30,Paper!$A$7:$A$30,Ink!A223)</f>
        <v>0</v>
      </c>
      <c r="C223" s="953">
        <v>4</v>
      </c>
      <c r="D223" s="954" t="str">
        <f ca="1">OFFSET(input!$A$27,O223,0)</f>
        <v>None</v>
      </c>
      <c r="E223" s="891">
        <f ca="1">SUMIFS(Paper!$N$7:$N$30,Paper!$A$7:$A$30,A223)</f>
        <v>0</v>
      </c>
      <c r="F223" s="891">
        <f ca="1">SUMIFS(Paper!$O$7:$O$30,Paper!$A$7:$A$30,A223)</f>
        <v>0</v>
      </c>
      <c r="G223" s="955">
        <f ca="1">IF($D223="None",0,IF(OFFSET(input!$B$27,O223,0)&gt;0,OFFSET(input!$B$27,O223,0),E223*F223*$D$8*10000/IF($B$2="PACK",COUNTIF($H$10:$H$23,"&gt;0"),1)))</f>
        <v>0</v>
      </c>
      <c r="H223" s="956">
        <f ca="1">IF(OFFSET(input!$C$27,O223,0)&gt;0,OFFSET(input!$C$27,O223,0),VLOOKUP(D223,Data!$L$1064:$M$1071,2,0))</f>
        <v>0</v>
      </c>
      <c r="I223" s="891">
        <f t="shared" ca="1" si="153"/>
        <v>0</v>
      </c>
      <c r="J223" s="891">
        <f ca="1">IF(G223&gt;0,0.2,0)*OFFSET(Paper!$J$7,Q223,0)</f>
        <v>0</v>
      </c>
      <c r="K223" s="891">
        <f t="shared" ca="1" si="154"/>
        <v>0</v>
      </c>
      <c r="L223" s="891">
        <f t="shared" ca="1" si="155"/>
        <v>0</v>
      </c>
      <c r="M223" s="891">
        <f t="shared" ca="1" si="156"/>
        <v>0</v>
      </c>
      <c r="N223" s="136" t="str">
        <f ca="1">OFFSET(input!$F$33,P223,0)</f>
        <v>1st</v>
      </c>
      <c r="O223" s="136">
        <f t="shared" si="157"/>
        <v>241</v>
      </c>
      <c r="P223" s="136">
        <f t="shared" si="158"/>
        <v>238</v>
      </c>
      <c r="Q223" s="136">
        <f t="shared" si="159"/>
        <v>14</v>
      </c>
      <c r="AT223" s="413">
        <f t="shared" ca="1" si="126"/>
        <v>0</v>
      </c>
      <c r="AU223" s="136">
        <f ca="1">COUNTIFS(AT$7:$AT223,1)</f>
        <v>1</v>
      </c>
    </row>
    <row r="224" spans="1:47" ht="15">
      <c r="A224" s="952" t="str">
        <f ca="1">OFFSET(input!$A$25,P224,0)</f>
        <v>1st</v>
      </c>
      <c r="B224" s="891">
        <f ca="1">SUMIFS(Paper!$AC$7:$AC$30,Paper!$A$7:$A$30,Ink!A224)+SUMIFS(Paper!$X$7:$X$30,Paper!$A$7:$A$30,Ink!A224)</f>
        <v>0</v>
      </c>
      <c r="C224" s="953">
        <v>5</v>
      </c>
      <c r="D224" s="954" t="str">
        <f ca="1">OFFSET(input!$A$27,O224,0)</f>
        <v>None</v>
      </c>
      <c r="E224" s="891">
        <f ca="1">SUMIFS(Paper!$N$7:$N$30,Paper!$A$7:$A$30,A224)</f>
        <v>0</v>
      </c>
      <c r="F224" s="891">
        <f ca="1">SUMIFS(Paper!$O$7:$O$30,Paper!$A$7:$A$30,A224)</f>
        <v>0</v>
      </c>
      <c r="G224" s="955">
        <f ca="1">IF($D224="None",0,IF(OFFSET(input!$B$27,O224,0)&gt;0,OFFSET(input!$B$27,O224,0),E224*F224*$D$8*10000/IF($B$2="PACK",COUNTIF($H$10:$H$23,"&gt;0"),1)))</f>
        <v>0</v>
      </c>
      <c r="H224" s="956">
        <f ca="1">IF(OFFSET(input!$C$27,O224,0)&gt;0,OFFSET(input!$C$27,O224,0),VLOOKUP(D224,Data!$L$1064:$M$1071,2,0))</f>
        <v>0</v>
      </c>
      <c r="I224" s="891">
        <f t="shared" ca="1" si="153"/>
        <v>0</v>
      </c>
      <c r="J224" s="891">
        <f ca="1">IF(G224&gt;0,0.2,0)*OFFSET(Paper!$J$7,Q224,0)</f>
        <v>0</v>
      </c>
      <c r="K224" s="891">
        <f t="shared" ca="1" si="154"/>
        <v>0</v>
      </c>
      <c r="L224" s="891">
        <f t="shared" ca="1" si="155"/>
        <v>0</v>
      </c>
      <c r="M224" s="891">
        <f t="shared" ca="1" si="156"/>
        <v>0</v>
      </c>
      <c r="N224" s="136" t="str">
        <f ca="1">OFFSET(input!$F$33,P224,0)</f>
        <v>1st</v>
      </c>
      <c r="O224" s="136">
        <f t="shared" si="157"/>
        <v>242</v>
      </c>
      <c r="P224" s="136">
        <f t="shared" si="158"/>
        <v>238</v>
      </c>
      <c r="Q224" s="136">
        <f t="shared" si="159"/>
        <v>14</v>
      </c>
      <c r="AT224" s="413">
        <f t="shared" ca="1" si="126"/>
        <v>0</v>
      </c>
      <c r="AU224" s="136">
        <f ca="1">COUNTIFS(AT$7:$AT224,1)</f>
        <v>1</v>
      </c>
    </row>
    <row r="225" spans="1:47" ht="15">
      <c r="A225" s="952" t="str">
        <f ca="1">OFFSET(input!$A$25,P225,0)</f>
        <v>1st</v>
      </c>
      <c r="B225" s="891">
        <f ca="1">SUMIFS(Paper!$AC$7:$AC$30,Paper!$A$7:$A$30,Ink!A225)+SUMIFS(Paper!$X$7:$X$30,Paper!$A$7:$A$30,Ink!A225)</f>
        <v>0</v>
      </c>
      <c r="C225" s="953">
        <v>6</v>
      </c>
      <c r="D225" s="954" t="str">
        <f ca="1">OFFSET(input!$A$27,O225,0)</f>
        <v>None</v>
      </c>
      <c r="E225" s="891">
        <f ca="1">SUMIFS(Paper!$N$7:$N$30,Paper!$A$7:$A$30,A225)</f>
        <v>0</v>
      </c>
      <c r="F225" s="891">
        <f ca="1">SUMIFS(Paper!$O$7:$O$30,Paper!$A$7:$A$30,A225)</f>
        <v>0</v>
      </c>
      <c r="G225" s="955">
        <f ca="1">IF($D225="None",0,IF(OFFSET(input!$B$27,O225,0)&gt;0,OFFSET(input!$B$27,O225,0),E225*F225*$D$8*10000/IF($B$2="PACK",COUNTIF($H$10:$H$23,"&gt;0"),1)))</f>
        <v>0</v>
      </c>
      <c r="H225" s="956">
        <f ca="1">IF(OFFSET(input!$C$27,O225,0)&gt;0,OFFSET(input!$C$27,O225,0),VLOOKUP(D225,Data!$L$1064:$M$1071,2,0))</f>
        <v>0</v>
      </c>
      <c r="I225" s="891">
        <f t="shared" ca="1" si="153"/>
        <v>0</v>
      </c>
      <c r="J225" s="891">
        <f ca="1">IF(G225&gt;0,0.2,0)*OFFSET(Paper!$J$7,Q225,0)</f>
        <v>0</v>
      </c>
      <c r="K225" s="891">
        <f t="shared" ca="1" si="154"/>
        <v>0</v>
      </c>
      <c r="L225" s="891">
        <f t="shared" ca="1" si="155"/>
        <v>0</v>
      </c>
      <c r="M225" s="891">
        <f t="shared" ca="1" si="156"/>
        <v>0</v>
      </c>
      <c r="N225" s="136" t="str">
        <f ca="1">OFFSET(input!$F$33,P225,0)</f>
        <v>1st</v>
      </c>
      <c r="O225" s="136">
        <f t="shared" si="157"/>
        <v>243</v>
      </c>
      <c r="P225" s="136">
        <f t="shared" si="158"/>
        <v>238</v>
      </c>
      <c r="Q225" s="136">
        <f t="shared" si="159"/>
        <v>14</v>
      </c>
      <c r="AT225" s="413">
        <f t="shared" ca="1" si="126"/>
        <v>0</v>
      </c>
      <c r="AU225" s="136">
        <f ca="1">COUNTIFS(AT$7:$AT225,1)</f>
        <v>1</v>
      </c>
    </row>
    <row r="226" spans="1:47" ht="15">
      <c r="A226" s="952" t="str">
        <f ca="1">OFFSET(input!$A$25,P226,0)</f>
        <v>1st</v>
      </c>
      <c r="B226" s="891">
        <f ca="1">SUMIFS(Paper!$AC$7:$AC$30,Paper!$A$7:$A$30,Ink!A226)+SUMIFS(Paper!$X$7:$X$30,Paper!$A$7:$A$30,Ink!A226)</f>
        <v>0</v>
      </c>
      <c r="C226" s="953">
        <v>7</v>
      </c>
      <c r="D226" s="954" t="str">
        <f ca="1">OFFSET(input!$A$27,O226,0)</f>
        <v>None</v>
      </c>
      <c r="E226" s="891">
        <f ca="1">SUMIFS(Paper!$N$7:$N$30,Paper!$A$7:$A$30,A226)</f>
        <v>0</v>
      </c>
      <c r="F226" s="891">
        <f ca="1">SUMIFS(Paper!$O$7:$O$30,Paper!$A$7:$A$30,A226)</f>
        <v>0</v>
      </c>
      <c r="G226" s="955">
        <f ca="1">IF($D226="None",0,IF(OFFSET(input!$B$27,O226,0)&gt;0,OFFSET(input!$B$27,O226,0),E226*F226*$D$8*10000/IF($B$2="PACK",COUNTIF($H$10:$H$23,"&gt;0"),1)))</f>
        <v>0</v>
      </c>
      <c r="H226" s="956">
        <f ca="1">IF(OFFSET(input!$C$27,O226,0)&gt;0,OFFSET(input!$C$27,O226,0),VLOOKUP(D226,Data!$L$1064:$M$1071,2,0))</f>
        <v>0</v>
      </c>
      <c r="I226" s="891">
        <f t="shared" ca="1" si="153"/>
        <v>0</v>
      </c>
      <c r="J226" s="891">
        <f ca="1">IF(G226&gt;0,0.2,0)*OFFSET(Paper!$J$7,Q226,0)</f>
        <v>0</v>
      </c>
      <c r="K226" s="891">
        <f t="shared" ca="1" si="154"/>
        <v>0</v>
      </c>
      <c r="L226" s="891">
        <f t="shared" ca="1" si="155"/>
        <v>0</v>
      </c>
      <c r="M226" s="891">
        <f t="shared" ca="1" si="156"/>
        <v>0</v>
      </c>
      <c r="N226" s="136" t="str">
        <f ca="1">OFFSET(input!$F$33,P226,0)</f>
        <v>1st</v>
      </c>
      <c r="O226" s="136">
        <f t="shared" si="157"/>
        <v>244</v>
      </c>
      <c r="P226" s="136">
        <f t="shared" si="158"/>
        <v>238</v>
      </c>
      <c r="Q226" s="136">
        <f t="shared" si="159"/>
        <v>14</v>
      </c>
      <c r="AT226" s="413">
        <f t="shared" ca="1" si="126"/>
        <v>0</v>
      </c>
      <c r="AU226" s="136">
        <f ca="1">COUNTIFS(AT$7:$AT226,1)</f>
        <v>1</v>
      </c>
    </row>
    <row r="227" spans="1:47" ht="15">
      <c r="A227" s="952" t="str">
        <f ca="1">OFFSET(input!$A$25,P227,0)</f>
        <v>1st</v>
      </c>
      <c r="B227" s="891">
        <f ca="1">SUMIFS(Paper!$AC$7:$AC$30,Paper!$A$7:$A$30,Ink!A227)+SUMIFS(Paper!$X$7:$X$30,Paper!$A$7:$A$30,Ink!A227)</f>
        <v>0</v>
      </c>
      <c r="C227" s="953">
        <v>8</v>
      </c>
      <c r="D227" s="954" t="str">
        <f ca="1">OFFSET(input!$A$27,O227,0)</f>
        <v>None</v>
      </c>
      <c r="E227" s="891">
        <f ca="1">SUMIFS(Paper!$N$7:$N$30,Paper!$A$7:$A$30,A227)</f>
        <v>0</v>
      </c>
      <c r="F227" s="891">
        <f ca="1">SUMIFS(Paper!$O$7:$O$30,Paper!$A$7:$A$30,A227)</f>
        <v>0</v>
      </c>
      <c r="G227" s="955">
        <f ca="1">IF($D227="None",0,IF(OFFSET(input!$B$27,O227,0)&gt;0,OFFSET(input!$B$27,O227,0),E227*F227*$D$8*10000/IF($B$2="PACK",COUNTIF($H$10:$H$23,"&gt;0"),1)))</f>
        <v>0</v>
      </c>
      <c r="H227" s="956">
        <f ca="1">IF(OFFSET(input!$C$27,O227,0)&gt;0,OFFSET(input!$C$27,O227,0),VLOOKUP(D227,Data!$L$1064:$M$1071,2,0))</f>
        <v>0</v>
      </c>
      <c r="I227" s="891">
        <f t="shared" ca="1" si="153"/>
        <v>0</v>
      </c>
      <c r="J227" s="891">
        <f ca="1">IF(G227&gt;0,0.2,0)*OFFSET(Paper!$J$7,Q227,0)</f>
        <v>0</v>
      </c>
      <c r="K227" s="891">
        <f t="shared" ca="1" si="154"/>
        <v>0</v>
      </c>
      <c r="L227" s="891">
        <f t="shared" ca="1" si="155"/>
        <v>0</v>
      </c>
      <c r="M227" s="891">
        <f t="shared" ca="1" si="156"/>
        <v>0</v>
      </c>
      <c r="N227" s="136" t="str">
        <f ca="1">OFFSET(input!$F$33,P227,0)</f>
        <v>1st</v>
      </c>
      <c r="O227" s="136">
        <f t="shared" si="157"/>
        <v>245</v>
      </c>
      <c r="P227" s="136">
        <f t="shared" si="158"/>
        <v>238</v>
      </c>
      <c r="Q227" s="136">
        <f t="shared" si="159"/>
        <v>14</v>
      </c>
      <c r="AT227" s="413">
        <f t="shared" ca="1" si="126"/>
        <v>0</v>
      </c>
      <c r="AU227" s="136">
        <f ca="1">COUNTIFS(AT$7:$AT227,1)</f>
        <v>1</v>
      </c>
    </row>
    <row r="228" spans="1:47" ht="15">
      <c r="A228" s="952" t="str">
        <f ca="1">OFFSET(input!$A$25,P228,0)</f>
        <v>1st</v>
      </c>
      <c r="B228" s="891">
        <f ca="1">SUMIFS(Paper!$AC$7:$AC$30,Paper!$A$7:$A$30,Ink!A228)+SUMIFS(Paper!$X$7:$X$30,Paper!$A$7:$A$30,Ink!A228)</f>
        <v>0</v>
      </c>
      <c r="C228" s="953">
        <v>9</v>
      </c>
      <c r="D228" s="954" t="str">
        <f ca="1">OFFSET(input!$A$27,O228,0)</f>
        <v>None</v>
      </c>
      <c r="E228" s="891">
        <f ca="1">SUMIFS(Paper!$N$7:$N$30,Paper!$A$7:$A$30,A228)</f>
        <v>0</v>
      </c>
      <c r="F228" s="891">
        <f ca="1">SUMIFS(Paper!$O$7:$O$30,Paper!$A$7:$A$30,A228)</f>
        <v>0</v>
      </c>
      <c r="G228" s="955">
        <f ca="1">IF($D228="None",0,IF(OFFSET(input!$B$27,O228,0)&gt;0,OFFSET(input!$B$27,O228,0),E228*F228*$D$8*10000/IF($B$2="PACK",COUNTIF($H$10:$H$23,"&gt;0"),1)))</f>
        <v>0</v>
      </c>
      <c r="H228" s="956">
        <f ca="1">IF(OFFSET(input!$C$27,O228,0)&gt;0,OFFSET(input!$C$27,O228,0),VLOOKUP(D228,Data!$L$1064:$M$1071,2,0))</f>
        <v>0</v>
      </c>
      <c r="I228" s="891">
        <f t="shared" ca="1" si="153"/>
        <v>0</v>
      </c>
      <c r="J228" s="891">
        <f ca="1">IF(G228&gt;0,0.2,0)*OFFSET(Paper!$J$7,Q228,0)</f>
        <v>0</v>
      </c>
      <c r="K228" s="891">
        <f t="shared" ca="1" si="154"/>
        <v>0</v>
      </c>
      <c r="L228" s="891">
        <f t="shared" ca="1" si="155"/>
        <v>0</v>
      </c>
      <c r="M228" s="891">
        <f t="shared" ca="1" si="156"/>
        <v>0</v>
      </c>
      <c r="N228" s="136" t="str">
        <f ca="1">OFFSET(input!$F$33,P228,0)</f>
        <v>1st</v>
      </c>
      <c r="O228" s="136">
        <f t="shared" si="157"/>
        <v>246</v>
      </c>
      <c r="P228" s="136">
        <f t="shared" si="158"/>
        <v>238</v>
      </c>
      <c r="Q228" s="136">
        <f t="shared" si="159"/>
        <v>14</v>
      </c>
      <c r="AT228" s="413">
        <f t="shared" ca="1" si="126"/>
        <v>0</v>
      </c>
      <c r="AU228" s="136">
        <f ca="1">COUNTIFS(AT$7:$AT228,1)</f>
        <v>1</v>
      </c>
    </row>
    <row r="229" spans="1:47" ht="15">
      <c r="A229" s="952" t="str">
        <f ca="1">OFFSET(input!$A$25,P229,0)</f>
        <v>1st</v>
      </c>
      <c r="B229" s="891">
        <f ca="1">SUMIFS(Paper!$AC$7:$AC$30,Paper!$A$7:$A$30,Ink!A229)+SUMIFS(Paper!$X$7:$X$30,Paper!$A$7:$A$30,Ink!A229)</f>
        <v>0</v>
      </c>
      <c r="C229" s="953">
        <v>10</v>
      </c>
      <c r="D229" s="954" t="str">
        <f ca="1">OFFSET(input!$A$27,O229,0)</f>
        <v>None</v>
      </c>
      <c r="E229" s="891">
        <f ca="1">SUMIFS(Paper!$N$7:$N$30,Paper!$A$7:$A$30,A229)</f>
        <v>0</v>
      </c>
      <c r="F229" s="891">
        <f ca="1">SUMIFS(Paper!$O$7:$O$30,Paper!$A$7:$A$30,A229)</f>
        <v>0</v>
      </c>
      <c r="G229" s="955">
        <f ca="1">IF($D229="None",0,IF(OFFSET(input!$B$27,O229,0)&gt;0,OFFSET(input!$B$27,O229,0),E229*F229*$D$8*10000/IF($B$2="PACK",COUNTIF($H$10:$H$23,"&gt;0"),1)))</f>
        <v>0</v>
      </c>
      <c r="H229" s="956">
        <f ca="1">IF(OFFSET(input!$C$27,O229,0)&gt;0,OFFSET(input!$C$27,O229,0),VLOOKUP(D229,Data!$L$1064:$M$1071,2,0))</f>
        <v>0</v>
      </c>
      <c r="I229" s="891">
        <f ca="1">ROUNDUP(IF(G229&gt;0,((B229/10000)*G229),0),1)</f>
        <v>0</v>
      </c>
      <c r="J229" s="891">
        <f ca="1">IF(G229&gt;0,0.2,0)*OFFSET(Paper!$J$7,Q229,0)</f>
        <v>0</v>
      </c>
      <c r="K229" s="891">
        <f ca="1">J229*H229</f>
        <v>0</v>
      </c>
      <c r="L229" s="891">
        <f ca="1">IF(I229=0,0,H229*(I229+J229))</f>
        <v>0</v>
      </c>
      <c r="M229" s="891">
        <f ca="1">IF($D$3&gt;0,L229/($D$3),0)*(1+$M$6)</f>
        <v>0</v>
      </c>
      <c r="N229" s="136" t="str">
        <f ca="1">OFFSET(input!$F$33,P229,0)</f>
        <v>1st</v>
      </c>
      <c r="O229" s="136">
        <f t="shared" si="157"/>
        <v>247</v>
      </c>
      <c r="P229" s="136">
        <f t="shared" si="158"/>
        <v>238</v>
      </c>
      <c r="Q229" s="136">
        <f t="shared" si="159"/>
        <v>14</v>
      </c>
      <c r="AT229" s="413">
        <f t="shared" ca="1" si="126"/>
        <v>0</v>
      </c>
      <c r="AU229" s="136">
        <f ca="1">COUNTIFS(AT$7:$AT229,1)</f>
        <v>1</v>
      </c>
    </row>
    <row r="230" spans="1:47" ht="15">
      <c r="A230" s="952" t="str">
        <f ca="1">OFFSET(input!$A$25,P230,0)</f>
        <v>1st</v>
      </c>
      <c r="B230" s="891">
        <f ca="1">SUMIFS(Paper!$AC$7:$AC$30,Paper!$A$7:$A$30,Ink!A230)+SUMIFS(Paper!$X$7:$X$30,Paper!$A$7:$A$30,Ink!A230)</f>
        <v>0</v>
      </c>
      <c r="C230" s="953">
        <v>11</v>
      </c>
      <c r="D230" s="954" t="str">
        <f ca="1">OFFSET(input!$A$27,O230,0)</f>
        <v>None</v>
      </c>
      <c r="E230" s="891">
        <f ca="1">SUMIFS(Paper!$N$7:$N$30,Paper!$A$7:$A$30,A230)</f>
        <v>0</v>
      </c>
      <c r="F230" s="891">
        <f ca="1">SUMIFS(Paper!$O$7:$O$30,Paper!$A$7:$A$30,A230)</f>
        <v>0</v>
      </c>
      <c r="G230" s="955">
        <f ca="1">IF($D230="None",0,IF(OFFSET(input!$B$27,O230,0)&gt;0,OFFSET(input!$B$27,O230,0),E230*F230*$D$8*10000/IF($B$2="PACK",COUNTIF($H$10:$H$23,"&gt;0"),1)))</f>
        <v>0</v>
      </c>
      <c r="H230" s="956">
        <f ca="1">IF(OFFSET(input!$C$27,O230,0)&gt;0,OFFSET(input!$C$27,O230,0),VLOOKUP(D230,Data!$L$1064:$M$1071,2,0))</f>
        <v>0</v>
      </c>
      <c r="I230" s="891">
        <f ca="1">ROUNDUP(IF(G230&gt;0,((B230/10000)*G230),0),1)</f>
        <v>0</v>
      </c>
      <c r="J230" s="891">
        <f ca="1">IF(G230&gt;0,0.2,0)*OFFSET(Paper!$J$7,Q230,0)</f>
        <v>0</v>
      </c>
      <c r="K230" s="891">
        <f ca="1">J230*H230</f>
        <v>0</v>
      </c>
      <c r="L230" s="891">
        <f ca="1">IF(I230=0,0,H230*(I230+J230))</f>
        <v>0</v>
      </c>
      <c r="M230" s="891">
        <f ca="1">IF($D$3&gt;0,L230/($D$3),0)*(1+$M$6)</f>
        <v>0</v>
      </c>
      <c r="N230" s="136" t="str">
        <f ca="1">OFFSET(input!$F$33,P230,0)</f>
        <v>1st</v>
      </c>
      <c r="O230" s="136">
        <f t="shared" si="157"/>
        <v>248</v>
      </c>
      <c r="P230" s="136">
        <f t="shared" si="158"/>
        <v>238</v>
      </c>
      <c r="Q230" s="136">
        <f t="shared" si="159"/>
        <v>14</v>
      </c>
      <c r="AT230" s="413">
        <f t="shared" ca="1" si="126"/>
        <v>0</v>
      </c>
      <c r="AU230" s="136">
        <f ca="1">COUNTIFS(AT$7:$AT230,1)</f>
        <v>1</v>
      </c>
    </row>
    <row r="231" spans="1:47" ht="15">
      <c r="A231" s="952" t="str">
        <f ca="1">OFFSET(input!$A$25,P231,0)</f>
        <v>1st</v>
      </c>
      <c r="B231" s="891">
        <f ca="1">SUMIFS(Paper!$AC$7:$AC$30,Paper!$A$7:$A$30,Ink!A231)+SUMIFS(Paper!$X$7:$X$30,Paper!$A$7:$A$30,Ink!A231)</f>
        <v>0</v>
      </c>
      <c r="C231" s="953">
        <v>12</v>
      </c>
      <c r="D231" s="954" t="str">
        <f ca="1">OFFSET(input!$A$27,O231,0)</f>
        <v>None</v>
      </c>
      <c r="E231" s="891">
        <f ca="1">SUMIFS(Paper!$N$7:$N$30,Paper!$A$7:$A$30,A231)</f>
        <v>0</v>
      </c>
      <c r="F231" s="891">
        <f ca="1">SUMIFS(Paper!$O$7:$O$30,Paper!$A$7:$A$30,A231)</f>
        <v>0</v>
      </c>
      <c r="G231" s="955">
        <f ca="1">IF($D231="None",0,IF(OFFSET(input!$B$27,O231,0)&gt;0,OFFSET(input!$B$27,O231,0),E231*F231*$D$8*10000/IF($B$2="PACK",COUNTIF($H$10:$H$23,"&gt;0"),1)))</f>
        <v>0</v>
      </c>
      <c r="H231" s="956">
        <f ca="1">IF(OFFSET(input!$C$27,O231,0)&gt;0,OFFSET(input!$C$27,O231,0),VLOOKUP(D231,Data!$L$1064:$M$1071,2,0))</f>
        <v>0</v>
      </c>
      <c r="I231" s="891">
        <f ca="1">ROUNDUP(IF(G231&gt;0,((B231/10000)*G231),0),1)</f>
        <v>0</v>
      </c>
      <c r="J231" s="891">
        <f ca="1">IF(G231&gt;0,0.2,0)*OFFSET(Paper!$J$7,Q231,0)</f>
        <v>0</v>
      </c>
      <c r="K231" s="891">
        <f ca="1">J231*H231</f>
        <v>0</v>
      </c>
      <c r="L231" s="891">
        <f ca="1">IF(I231=0,0,H231*(I231+J231))</f>
        <v>0</v>
      </c>
      <c r="M231" s="891">
        <f ca="1">IF($D$3&gt;0,L231/($D$3),0)*(1+$M$6)</f>
        <v>0</v>
      </c>
      <c r="N231" s="136" t="str">
        <f ca="1">OFFSET(input!$F$33,P231,0)</f>
        <v>1st</v>
      </c>
      <c r="O231" s="136">
        <f t="shared" si="157"/>
        <v>249</v>
      </c>
      <c r="P231" s="136">
        <f t="shared" si="158"/>
        <v>238</v>
      </c>
      <c r="Q231" s="136">
        <f t="shared" si="159"/>
        <v>14</v>
      </c>
      <c r="AT231" s="413">
        <f t="shared" ca="1" si="126"/>
        <v>0</v>
      </c>
      <c r="AU231" s="136">
        <f ca="1">COUNTIFS(AT$7:$AT231,1)</f>
        <v>1</v>
      </c>
    </row>
    <row r="232" spans="1:47" ht="15">
      <c r="A232" s="952" t="str">
        <f ca="1">OFFSET(input!$A$25,P232,0)</f>
        <v>1st</v>
      </c>
      <c r="B232" s="891">
        <f ca="1">SUMIFS(Paper!$AC$7:$AC$30,Paper!$A$7:$A$30,Ink!A232)+SUMIFS(Paper!$X$7:$X$30,Paper!$A$7:$A$30,Ink!A232)</f>
        <v>0</v>
      </c>
      <c r="C232" s="953">
        <v>13</v>
      </c>
      <c r="D232" s="954" t="str">
        <f ca="1">OFFSET(input!$A$27,O232,0)</f>
        <v>None</v>
      </c>
      <c r="E232" s="891">
        <f ca="1">SUMIFS(Paper!$N$7:$N$30,Paper!$A$7:$A$30,A232)</f>
        <v>0</v>
      </c>
      <c r="F232" s="891">
        <f ca="1">SUMIFS(Paper!$O$7:$O$30,Paper!$A$7:$A$30,A232)</f>
        <v>0</v>
      </c>
      <c r="G232" s="955">
        <f ca="1">IF($D232="None",0,IF(OFFSET(input!$B$27,O232,0)&gt;0,OFFSET(input!$B$27,O232,0),E232*F232*$D$8*10000/IF($B$2="PACK",COUNTIF($H$10:$H$23,"&gt;0"),1)))</f>
        <v>0</v>
      </c>
      <c r="H232" s="956">
        <f ca="1">IF(OFFSET(input!$C$27,O232,0)&gt;0,OFFSET(input!$C$27,O232,0),VLOOKUP(D232,Data!$L$1064:$M$1071,2,0))</f>
        <v>0</v>
      </c>
      <c r="I232" s="891">
        <f ca="1">ROUNDUP(IF(G232&gt;0,((B232/10000)*G232),0),1)</f>
        <v>0</v>
      </c>
      <c r="J232" s="891">
        <f ca="1">IF(G232&gt;0,0.2,0)*OFFSET(Paper!$J$7,Q232,0)</f>
        <v>0</v>
      </c>
      <c r="K232" s="891">
        <f ca="1">J232*H232</f>
        <v>0</v>
      </c>
      <c r="L232" s="891">
        <f ca="1">IF(I232=0,0,H232*(I232+J232))</f>
        <v>0</v>
      </c>
      <c r="M232" s="891">
        <f ca="1">IF($D$3&gt;0,L232/($D$3),0)*(1+$M$6)</f>
        <v>0</v>
      </c>
      <c r="N232" s="136" t="str">
        <f ca="1">OFFSET(input!$F$33,P232,0)</f>
        <v>1st</v>
      </c>
      <c r="O232" s="136">
        <f t="shared" si="157"/>
        <v>250</v>
      </c>
      <c r="P232" s="136">
        <f t="shared" si="158"/>
        <v>238</v>
      </c>
      <c r="Q232" s="136">
        <f t="shared" si="159"/>
        <v>14</v>
      </c>
      <c r="AT232" s="413">
        <f t="shared" ca="1" si="126"/>
        <v>0</v>
      </c>
      <c r="AU232" s="136">
        <f ca="1">COUNTIFS(AT$7:$AT232,1)</f>
        <v>1</v>
      </c>
    </row>
    <row r="233" spans="1:47" ht="15">
      <c r="A233" s="952" t="str">
        <f ca="1">OFFSET(input!$A$25,P233,0)</f>
        <v>1st</v>
      </c>
      <c r="B233" s="891">
        <f ca="1">SUMIFS(Paper!$AC$7:$AC$30,Paper!$A$7:$A$30,Ink!A233)+SUMIFS(Paper!$X$7:$X$30,Paper!$A$7:$A$30,Ink!A233)</f>
        <v>0</v>
      </c>
      <c r="C233" s="953">
        <v>14</v>
      </c>
      <c r="D233" s="954" t="str">
        <f ca="1">OFFSET(input!$A$27,O233,0)</f>
        <v>None</v>
      </c>
      <c r="E233" s="891">
        <f ca="1">SUMIFS(Paper!$N$7:$N$30,Paper!$A$7:$A$30,A233)</f>
        <v>0</v>
      </c>
      <c r="F233" s="891">
        <f ca="1">SUMIFS(Paper!$O$7:$O$30,Paper!$A$7:$A$30,A233)</f>
        <v>0</v>
      </c>
      <c r="G233" s="955">
        <f ca="1">IF($D233="None",0,IF(OFFSET(input!$B$27,O233,0)&gt;0,OFFSET(input!$B$27,O233,0),E233*F233*$D$8*10000/IF($B$2="PACK",COUNTIF($H$10:$H$23,"&gt;0"),1)))</f>
        <v>0</v>
      </c>
      <c r="H233" s="956">
        <f ca="1">IF(OFFSET(input!$C$27,O233,0)&gt;0,OFFSET(input!$C$27,O233,0),VLOOKUP(D233,Data!$L$1064:$M$1071,2,0))</f>
        <v>0</v>
      </c>
      <c r="I233" s="891">
        <f t="shared" ref="I233" ca="1" si="160">ROUNDUP(IF(G233&gt;0,((B233/10000)*G233),0),1)</f>
        <v>0</v>
      </c>
      <c r="J233" s="891">
        <f ca="1">IF(G233&gt;0,0.2,0)*OFFSET(Paper!$J$7,Q233,0)</f>
        <v>0</v>
      </c>
      <c r="K233" s="891">
        <f t="shared" ref="K233" ca="1" si="161">J233*H233</f>
        <v>0</v>
      </c>
      <c r="L233" s="891">
        <f t="shared" ref="L233" ca="1" si="162">IF(I233=0,0,H233*(I233+J233))</f>
        <v>0</v>
      </c>
      <c r="M233" s="891">
        <f t="shared" ref="M233" ca="1" si="163">IF($D$3&gt;0,L233/($D$3),0)*(1+$M$6)</f>
        <v>0</v>
      </c>
      <c r="N233" s="136" t="str">
        <f ca="1">OFFSET(input!$F$33,P233,0)</f>
        <v>1st</v>
      </c>
      <c r="O233" s="136">
        <f t="shared" si="157"/>
        <v>251</v>
      </c>
      <c r="P233" s="136">
        <f>+P218+17</f>
        <v>238</v>
      </c>
      <c r="Q233" s="136">
        <f t="shared" si="159"/>
        <v>14</v>
      </c>
      <c r="AT233" s="413">
        <f t="shared" ca="1" si="126"/>
        <v>0</v>
      </c>
      <c r="AU233" s="136">
        <f ca="1">COUNTIFS(AT$7:$AT233,1)</f>
        <v>1</v>
      </c>
    </row>
    <row r="234" spans="1:47" ht="15">
      <c r="A234" s="957"/>
      <c r="B234" s="958"/>
      <c r="C234" s="959"/>
      <c r="D234" s="954"/>
      <c r="E234" s="958"/>
      <c r="F234" s="958"/>
      <c r="G234" s="955"/>
      <c r="H234" s="960"/>
      <c r="I234" s="958"/>
      <c r="J234" s="958"/>
      <c r="K234" s="958"/>
      <c r="L234" s="958"/>
      <c r="M234" s="958"/>
      <c r="AT234" s="413" t="str">
        <f t="shared" si="126"/>
        <v/>
      </c>
      <c r="AU234" s="136">
        <f ca="1">COUNTIFS(AT$7:$AT234,1)</f>
        <v>1</v>
      </c>
    </row>
    <row r="235" spans="1:47" ht="15" collapsed="1">
      <c r="A235" s="952" t="str">
        <f>input!$A$281</f>
        <v>N</v>
      </c>
      <c r="B235" s="891">
        <f>SUMIFS(Paper!$AC$7:$AC$30,Paper!$A$7:$A$30,Ink!A235)+SUMIFS(Paper!$X$7:$X$30,Paper!$A$7:$A$30,Ink!A235)</f>
        <v>0</v>
      </c>
      <c r="C235" s="953">
        <v>1</v>
      </c>
      <c r="D235" s="954" t="str">
        <f>input!$A283</f>
        <v>None</v>
      </c>
      <c r="E235" s="891">
        <f>SUMIFS(Paper!$N$7:$N$30,Paper!$A$7:$A$30,A235)</f>
        <v>0</v>
      </c>
      <c r="F235" s="891">
        <f>SUMIFS(Paper!$O$7:$O$30,Paper!$A$7:$A$30,A235)</f>
        <v>0</v>
      </c>
      <c r="G235" s="955">
        <f>IF($D235="None",0,IF(input!$B283&gt;0,input!$B283,E235*F235*$D$8*10000/IF($B$2="PACK",COUNTIF($H$235:$H$241,"&gt;0"),1)))</f>
        <v>0</v>
      </c>
      <c r="H235" s="956">
        <f>IF(input!$C283&gt;0,input!$C283,VLOOKUP(D235,Data!$L$1064:$M$1071,2,0))</f>
        <v>0</v>
      </c>
      <c r="I235" s="891">
        <f t="shared" ref="I235:I257" si="164">ROUNDUP(IF(G235&gt;0,((B235/10000)*G235),0),1)</f>
        <v>0</v>
      </c>
      <c r="J235" s="891">
        <f>IF(G235&gt;0,0.2,0)*Paper!$J$27</f>
        <v>0</v>
      </c>
      <c r="K235" s="891">
        <f t="shared" ref="K235:K257" si="165">J235*H235</f>
        <v>0</v>
      </c>
      <c r="L235" s="891">
        <f t="shared" ref="L235:L257" si="166">IF(I235=0,0,H235*(I235+J235))</f>
        <v>0</v>
      </c>
      <c r="M235" s="891">
        <f>IF($D$3&gt;0,L235/($D$3),0)*(1+$M$6)</f>
        <v>0</v>
      </c>
      <c r="N235" s="136" t="str">
        <f>input!$F$289</f>
        <v>N</v>
      </c>
      <c r="AT235" s="413">
        <f t="shared" si="126"/>
        <v>0</v>
      </c>
      <c r="AU235" s="136">
        <f ca="1">COUNTIFS(AT$7:$AT235,1)</f>
        <v>1</v>
      </c>
    </row>
    <row r="236" spans="1:47" ht="15">
      <c r="A236" s="952" t="str">
        <f>input!$A$281</f>
        <v>N</v>
      </c>
      <c r="B236" s="891">
        <f>SUMIFS(Paper!$AC$7:$AC$30,Paper!$A$7:$A$30,Ink!A236)+SUMIFS(Paper!$X$7:$X$30,Paper!$A$7:$A$30,Ink!A236)</f>
        <v>0</v>
      </c>
      <c r="C236" s="953">
        <v>2</v>
      </c>
      <c r="D236" s="954" t="str">
        <f>input!$A284</f>
        <v>None</v>
      </c>
      <c r="E236" s="891">
        <f>SUMIFS(Paper!$N$7:$N$30,Paper!$A$7:$A$30,A236)</f>
        <v>0</v>
      </c>
      <c r="F236" s="891">
        <f>SUMIFS(Paper!$O$7:$O$30,Paper!$A$7:$A$30,A236)</f>
        <v>0</v>
      </c>
      <c r="G236" s="955">
        <f>IF($D236="None",0,IF(input!$B284&gt;0,input!$B284,E236*F236*$D$8*10000/IF($B$2="PACK",COUNTIF($H$235:$H$241,"&gt;0"),1)))</f>
        <v>0</v>
      </c>
      <c r="H236" s="956">
        <f>IF(input!$C284&gt;0,input!$C284,VLOOKUP(D236,Data!$L$1064:$M$1071,2,0))</f>
        <v>0</v>
      </c>
      <c r="I236" s="891">
        <f t="shared" si="164"/>
        <v>0</v>
      </c>
      <c r="J236" s="891">
        <f>IF(G236&gt;0,0.2,0)*Paper!$J$27</f>
        <v>0</v>
      </c>
      <c r="K236" s="891">
        <f t="shared" si="165"/>
        <v>0</v>
      </c>
      <c r="L236" s="891">
        <f t="shared" si="166"/>
        <v>0</v>
      </c>
      <c r="M236" s="891">
        <f t="shared" ref="M236:M241" si="167">IF($D$3&gt;0,L236/($D$3),0)*(1+$M$6)</f>
        <v>0</v>
      </c>
      <c r="N236" s="136" t="str">
        <f>input!$F$289</f>
        <v>N</v>
      </c>
      <c r="AT236" s="413">
        <f t="shared" si="126"/>
        <v>0</v>
      </c>
      <c r="AU236" s="136">
        <f ca="1">COUNTIFS(AT$7:$AT236,1)</f>
        <v>1</v>
      </c>
    </row>
    <row r="237" spans="1:47" ht="15">
      <c r="A237" s="952" t="str">
        <f>input!$A$281</f>
        <v>N</v>
      </c>
      <c r="B237" s="891">
        <f>SUMIFS(Paper!$AC$7:$AC$30,Paper!$A$7:$A$30,Ink!A237)+SUMIFS(Paper!$X$7:$X$30,Paper!$A$7:$A$30,Ink!A237)</f>
        <v>0</v>
      </c>
      <c r="C237" s="953">
        <v>3</v>
      </c>
      <c r="D237" s="954" t="str">
        <f>input!$A285</f>
        <v>None</v>
      </c>
      <c r="E237" s="891">
        <f>SUMIFS(Paper!$N$7:$N$30,Paper!$A$7:$A$30,A237)</f>
        <v>0</v>
      </c>
      <c r="F237" s="891">
        <f>SUMIFS(Paper!$O$7:$O$30,Paper!$A$7:$A$30,A237)</f>
        <v>0</v>
      </c>
      <c r="G237" s="955">
        <f>IF($D237="None",0,IF(input!$B285&gt;0,input!$B285,E237*F237*$D$8*10000/IF($B$2="PACK",COUNTIF($H$235:$H$241,"&gt;0"),1)))</f>
        <v>0</v>
      </c>
      <c r="H237" s="956">
        <f>IF(input!$C285&gt;0,input!$C285,VLOOKUP(D237,Data!$L$1064:$M$1071,2,0))</f>
        <v>0</v>
      </c>
      <c r="I237" s="891">
        <f t="shared" si="164"/>
        <v>0</v>
      </c>
      <c r="J237" s="891">
        <f>IF(G237&gt;0,0.2,0)*Paper!$J$27</f>
        <v>0</v>
      </c>
      <c r="K237" s="891">
        <f t="shared" si="165"/>
        <v>0</v>
      </c>
      <c r="L237" s="891">
        <f t="shared" si="166"/>
        <v>0</v>
      </c>
      <c r="M237" s="891">
        <f t="shared" si="167"/>
        <v>0</v>
      </c>
      <c r="N237" s="136" t="str">
        <f>input!$F$289</f>
        <v>N</v>
      </c>
      <c r="AT237" s="413">
        <f t="shared" si="126"/>
        <v>0</v>
      </c>
      <c r="AU237" s="136">
        <f ca="1">COUNTIFS(AT$7:$AT237,1)</f>
        <v>1</v>
      </c>
    </row>
    <row r="238" spans="1:47" ht="15">
      <c r="A238" s="952" t="str">
        <f>input!$A$281</f>
        <v>N</v>
      </c>
      <c r="B238" s="891">
        <f>SUMIFS(Paper!$AC$7:$AC$30,Paper!$A$7:$A$30,Ink!A238)+SUMIFS(Paper!$X$7:$X$30,Paper!$A$7:$A$30,Ink!A238)</f>
        <v>0</v>
      </c>
      <c r="C238" s="953">
        <v>4</v>
      </c>
      <c r="D238" s="954" t="str">
        <f>input!$A286</f>
        <v>None</v>
      </c>
      <c r="E238" s="891">
        <f>SUMIFS(Paper!$N$7:$N$30,Paper!$A$7:$A$30,A238)</f>
        <v>0</v>
      </c>
      <c r="F238" s="891">
        <f>SUMIFS(Paper!$O$7:$O$30,Paper!$A$7:$A$30,A238)</f>
        <v>0</v>
      </c>
      <c r="G238" s="955">
        <f>IF($D238="None",0,IF(input!$B286&gt;0,input!$B286,E238*F238*$D$8*10000/IF($B$2="PACK",COUNTIF($H$235:$H$241,"&gt;0"),1)))</f>
        <v>0</v>
      </c>
      <c r="H238" s="956">
        <f>IF(input!$C286&gt;0,input!$C286,VLOOKUP(D238,Data!$L$1064:$M$1071,2,0))</f>
        <v>0</v>
      </c>
      <c r="I238" s="891">
        <f t="shared" si="164"/>
        <v>0</v>
      </c>
      <c r="J238" s="891">
        <f>IF(G238&gt;0,0.2,0)*Paper!$J$27</f>
        <v>0</v>
      </c>
      <c r="K238" s="891">
        <f t="shared" si="165"/>
        <v>0</v>
      </c>
      <c r="L238" s="891">
        <f t="shared" si="166"/>
        <v>0</v>
      </c>
      <c r="M238" s="891">
        <f t="shared" si="167"/>
        <v>0</v>
      </c>
      <c r="N238" s="136" t="str">
        <f>input!$F$289</f>
        <v>N</v>
      </c>
      <c r="AT238" s="413">
        <f t="shared" si="126"/>
        <v>0</v>
      </c>
      <c r="AU238" s="136">
        <f ca="1">COUNTIFS(AT$7:$AT238,1)</f>
        <v>1</v>
      </c>
    </row>
    <row r="239" spans="1:47" ht="15">
      <c r="A239" s="952" t="str">
        <f>input!$A$281</f>
        <v>N</v>
      </c>
      <c r="B239" s="891">
        <f>SUMIFS(Paper!$AC$7:$AC$30,Paper!$A$7:$A$30,Ink!A239)+SUMIFS(Paper!$X$7:$X$30,Paper!$A$7:$A$30,Ink!A239)</f>
        <v>0</v>
      </c>
      <c r="C239" s="953">
        <v>5</v>
      </c>
      <c r="D239" s="954" t="str">
        <f>input!$A287</f>
        <v>None</v>
      </c>
      <c r="E239" s="891">
        <f>SUMIFS(Paper!$N$7:$N$30,Paper!$A$7:$A$30,A239)</f>
        <v>0</v>
      </c>
      <c r="F239" s="891">
        <f>SUMIFS(Paper!$O$7:$O$30,Paper!$A$7:$A$30,A239)</f>
        <v>0</v>
      </c>
      <c r="G239" s="955">
        <f>IF($D239="None",0,IF(input!$B287&gt;0,input!$B287,E239*F239*$D$8*10000/IF($B$2="PACK",COUNTIF($H$235:$H$241,"&gt;0"),1)))</f>
        <v>0</v>
      </c>
      <c r="H239" s="956">
        <f>IF(input!$C287&gt;0,input!$C287,VLOOKUP(D239,Data!$L$1064:$M$1071,2,0))</f>
        <v>0</v>
      </c>
      <c r="I239" s="891">
        <f t="shared" si="164"/>
        <v>0</v>
      </c>
      <c r="J239" s="891">
        <f>IF(G239&gt;0,0.2,0)*Paper!$J$27</f>
        <v>0</v>
      </c>
      <c r="K239" s="891">
        <f t="shared" si="165"/>
        <v>0</v>
      </c>
      <c r="L239" s="891">
        <f t="shared" si="166"/>
        <v>0</v>
      </c>
      <c r="M239" s="891">
        <f t="shared" si="167"/>
        <v>0</v>
      </c>
      <c r="N239" s="136" t="str">
        <f>input!$F$289</f>
        <v>N</v>
      </c>
      <c r="AT239" s="413">
        <f t="shared" si="126"/>
        <v>0</v>
      </c>
      <c r="AU239" s="136">
        <f ca="1">COUNTIFS(AT$7:$AT239,1)</f>
        <v>1</v>
      </c>
    </row>
    <row r="240" spans="1:47" ht="15">
      <c r="A240" s="952" t="str">
        <f>input!$A$281</f>
        <v>N</v>
      </c>
      <c r="B240" s="891">
        <f>SUMIFS(Paper!$AC$7:$AC$30,Paper!$A$7:$A$30,Ink!A240)+SUMIFS(Paper!$X$7:$X$30,Paper!$A$7:$A$30,Ink!A240)</f>
        <v>0</v>
      </c>
      <c r="C240" s="953">
        <v>6</v>
      </c>
      <c r="D240" s="954" t="str">
        <f>input!$A288</f>
        <v>None</v>
      </c>
      <c r="E240" s="891">
        <f>SUMIFS(Paper!$N$7:$N$30,Paper!$A$7:$A$30,A240)</f>
        <v>0</v>
      </c>
      <c r="F240" s="891">
        <f>SUMIFS(Paper!$O$7:$O$30,Paper!$A$7:$A$30,A240)</f>
        <v>0</v>
      </c>
      <c r="G240" s="955">
        <f>IF($D240="None",0,IF(input!$B288&gt;0,input!$B288,E240*F240*$D$8*10000/IF($B$2="PACK",COUNTIF($H$235:$H$241,"&gt;0"),1)))</f>
        <v>0</v>
      </c>
      <c r="H240" s="956">
        <f>IF(input!$C288&gt;0,input!$C288,VLOOKUP(D240,Data!$L$1064:$M$1071,2,0))</f>
        <v>0</v>
      </c>
      <c r="I240" s="891">
        <f t="shared" si="164"/>
        <v>0</v>
      </c>
      <c r="J240" s="891">
        <f>IF(G240&gt;0,0.2,0)*Paper!$J$27</f>
        <v>0</v>
      </c>
      <c r="K240" s="891">
        <f t="shared" si="165"/>
        <v>0</v>
      </c>
      <c r="L240" s="891">
        <f t="shared" si="166"/>
        <v>0</v>
      </c>
      <c r="M240" s="891">
        <f t="shared" si="167"/>
        <v>0</v>
      </c>
      <c r="N240" s="136" t="str">
        <f>input!$F$289</f>
        <v>N</v>
      </c>
      <c r="AT240" s="413">
        <f t="shared" si="126"/>
        <v>0</v>
      </c>
      <c r="AU240" s="136">
        <f ca="1">COUNTIFS(AT$7:$AT240,1)</f>
        <v>1</v>
      </c>
    </row>
    <row r="241" spans="1:47" ht="15">
      <c r="A241" s="952" t="str">
        <f>input!$A$281</f>
        <v>N</v>
      </c>
      <c r="B241" s="891">
        <f>SUMIFS(Paper!$AC$7:$AC$30,Paper!$A$7:$A$30,Ink!A241)+SUMIFS(Paper!$X$7:$X$30,Paper!$A$7:$A$30,Ink!A241)</f>
        <v>0</v>
      </c>
      <c r="C241" s="953">
        <v>7</v>
      </c>
      <c r="D241" s="954" t="str">
        <f>input!$A289</f>
        <v>None</v>
      </c>
      <c r="E241" s="891">
        <f>SUMIFS(Paper!$N$7:$N$30,Paper!$A$7:$A$30,A241)</f>
        <v>0</v>
      </c>
      <c r="F241" s="891">
        <f>SUMIFS(Paper!$O$7:$O$30,Paper!$A$7:$A$30,A241)</f>
        <v>0</v>
      </c>
      <c r="G241" s="955">
        <f>IF($D241="None",0,IF(input!$B289&gt;0,input!$B289,E241*F241*$D$8*10000/IF($B$2="PACK",COUNTIF($H$235:$H$241,"&gt;0"),1)))</f>
        <v>0</v>
      </c>
      <c r="H241" s="956">
        <f>IF(input!$C289&gt;0,input!$C289,VLOOKUP(D241,Data!$L$1064:$M$1071,2,0))</f>
        <v>0</v>
      </c>
      <c r="I241" s="891">
        <f t="shared" si="164"/>
        <v>0</v>
      </c>
      <c r="J241" s="891">
        <f>IF(G241&gt;0,0.2,0)*Paper!$J$27</f>
        <v>0</v>
      </c>
      <c r="K241" s="891">
        <f t="shared" si="165"/>
        <v>0</v>
      </c>
      <c r="L241" s="891">
        <f t="shared" si="166"/>
        <v>0</v>
      </c>
      <c r="M241" s="891">
        <f t="shared" si="167"/>
        <v>0</v>
      </c>
      <c r="N241" s="136" t="str">
        <f>input!$F$289</f>
        <v>N</v>
      </c>
      <c r="AT241" s="413">
        <f t="shared" si="126"/>
        <v>0</v>
      </c>
      <c r="AU241" s="136">
        <f ca="1">COUNTIFS(AT$7:$AT241,1)</f>
        <v>1</v>
      </c>
    </row>
    <row r="242" spans="1:47" ht="15">
      <c r="A242" s="957"/>
      <c r="B242" s="958"/>
      <c r="C242" s="959"/>
      <c r="D242" s="954"/>
      <c r="E242" s="958"/>
      <c r="F242" s="958"/>
      <c r="G242" s="955"/>
      <c r="H242" s="960"/>
      <c r="I242" s="958"/>
      <c r="J242" s="958"/>
      <c r="K242" s="958"/>
      <c r="L242" s="958"/>
      <c r="M242" s="958"/>
      <c r="AT242" s="413" t="str">
        <f t="shared" si="126"/>
        <v/>
      </c>
      <c r="AU242" s="136">
        <f ca="1">COUNTIFS(AT$7:$AT242,1)</f>
        <v>1</v>
      </c>
    </row>
    <row r="243" spans="1:47" ht="15">
      <c r="A243" s="952" t="str">
        <f>input!$A$291</f>
        <v>N</v>
      </c>
      <c r="B243" s="891">
        <f>SUMIFS(Paper!$AC$7:$AC$30,Paper!$A$7:$A$30,Ink!A243)+SUMIFS(Paper!$X$7:$X$30,Paper!$A$7:$A$30,Ink!A243)</f>
        <v>0</v>
      </c>
      <c r="C243" s="953">
        <v>1</v>
      </c>
      <c r="D243" s="954" t="str">
        <f>input!$A293</f>
        <v>None</v>
      </c>
      <c r="E243" s="891">
        <f>SUMIFS(Paper!$N$7:$N$30,Paper!$A$7:$A$30,A243)</f>
        <v>0</v>
      </c>
      <c r="F243" s="891">
        <f>SUMIFS(Paper!$O$7:$O$30,Paper!$A$7:$A$30,A243)</f>
        <v>0</v>
      </c>
      <c r="G243" s="955">
        <f>IF($D243="None",0,IF(input!$B293&gt;0,input!$B293,E243*F243*$D$8*10000/IF($B$2="PACK",COUNTIF($H$243:$H$249,"&gt;0"),1)))</f>
        <v>0</v>
      </c>
      <c r="H243" s="956">
        <f>IF(input!$C293&gt;0,input!$C293,VLOOKUP(D243,Data!$L$1064:$M$1071,2,0))</f>
        <v>0</v>
      </c>
      <c r="I243" s="891">
        <f t="shared" si="164"/>
        <v>0</v>
      </c>
      <c r="J243" s="891">
        <f>IF(G243&gt;0,0.2,0)*Paper!$J$28</f>
        <v>0</v>
      </c>
      <c r="K243" s="891">
        <f t="shared" si="165"/>
        <v>0</v>
      </c>
      <c r="L243" s="891">
        <f t="shared" si="166"/>
        <v>0</v>
      </c>
      <c r="M243" s="891">
        <f>IF($D$3&gt;0,L243/($D$3),0)*(1+$M$6)</f>
        <v>0</v>
      </c>
      <c r="N243" s="136" t="str">
        <f>input!$F$299</f>
        <v>N</v>
      </c>
      <c r="AT243" s="413">
        <f t="shared" si="126"/>
        <v>0</v>
      </c>
      <c r="AU243" s="136">
        <f ca="1">COUNTIFS(AT$7:$AT243,1)</f>
        <v>1</v>
      </c>
    </row>
    <row r="244" spans="1:47" ht="15">
      <c r="A244" s="952" t="str">
        <f>input!$A$291</f>
        <v>N</v>
      </c>
      <c r="B244" s="891">
        <f>SUMIFS(Paper!$AC$7:$AC$30,Paper!$A$7:$A$30,Ink!A244)+SUMIFS(Paper!$X$7:$X$30,Paper!$A$7:$A$30,Ink!A244)</f>
        <v>0</v>
      </c>
      <c r="C244" s="953">
        <v>2</v>
      </c>
      <c r="D244" s="954" t="str">
        <f>input!$A294</f>
        <v>None</v>
      </c>
      <c r="E244" s="891">
        <f>SUMIFS(Paper!$N$7:$N$30,Paper!$A$7:$A$30,A244)</f>
        <v>0</v>
      </c>
      <c r="F244" s="891">
        <f>SUMIFS(Paper!$O$7:$O$30,Paper!$A$7:$A$30,A244)</f>
        <v>0</v>
      </c>
      <c r="G244" s="955">
        <f>IF($D244="None",0,IF(input!$B294&gt;0,input!$B294,E244*F244*$D$8*10000/IF($B$2="PACK",COUNTIF($H$243:$H$249,"&gt;0"),1)))</f>
        <v>0</v>
      </c>
      <c r="H244" s="956">
        <f>IF(input!$C294&gt;0,input!$C294,VLOOKUP(D244,Data!$L$1064:$M$1071,2,0))</f>
        <v>0</v>
      </c>
      <c r="I244" s="891">
        <f t="shared" si="164"/>
        <v>0</v>
      </c>
      <c r="J244" s="891">
        <f>IF(G244&gt;0,0.2,0)*Paper!$J$28</f>
        <v>0</v>
      </c>
      <c r="K244" s="891">
        <f t="shared" si="165"/>
        <v>0</v>
      </c>
      <c r="L244" s="891">
        <f t="shared" si="166"/>
        <v>0</v>
      </c>
      <c r="M244" s="891">
        <f t="shared" ref="M244:M249" si="168">IF($D$3&gt;0,L244/($D$3),0)*(1+$M$6)</f>
        <v>0</v>
      </c>
      <c r="N244" s="136" t="str">
        <f>input!$F$299</f>
        <v>N</v>
      </c>
      <c r="AT244" s="413">
        <f t="shared" si="126"/>
        <v>0</v>
      </c>
      <c r="AU244" s="136">
        <f ca="1">COUNTIFS(AT$7:$AT244,1)</f>
        <v>1</v>
      </c>
    </row>
    <row r="245" spans="1:47" ht="15">
      <c r="A245" s="952" t="str">
        <f>input!$A$291</f>
        <v>N</v>
      </c>
      <c r="B245" s="891">
        <f>SUMIFS(Paper!$AC$7:$AC$30,Paper!$A$7:$A$30,Ink!A245)+SUMIFS(Paper!$X$7:$X$30,Paper!$A$7:$A$30,Ink!A245)</f>
        <v>0</v>
      </c>
      <c r="C245" s="953">
        <v>3</v>
      </c>
      <c r="D245" s="954" t="str">
        <f>input!$A295</f>
        <v>None</v>
      </c>
      <c r="E245" s="891">
        <f>SUMIFS(Paper!$N$7:$N$30,Paper!$A$7:$A$30,A245)</f>
        <v>0</v>
      </c>
      <c r="F245" s="891">
        <f>SUMIFS(Paper!$O$7:$O$30,Paper!$A$7:$A$30,A245)</f>
        <v>0</v>
      </c>
      <c r="G245" s="955">
        <f>IF($D245="None",0,IF(input!$B295&gt;0,input!$B295,E245*F245*$D$8*10000/IF($B$2="PACK",COUNTIF($H$243:$H$249,"&gt;0"),1)))</f>
        <v>0</v>
      </c>
      <c r="H245" s="956">
        <f>IF(input!$C295&gt;0,input!$C295,VLOOKUP(D245,Data!$L$1064:$M$1071,2,0))</f>
        <v>0</v>
      </c>
      <c r="I245" s="891">
        <f t="shared" si="164"/>
        <v>0</v>
      </c>
      <c r="J245" s="891">
        <f>IF(G245&gt;0,0.2,0)*Paper!$J$28</f>
        <v>0</v>
      </c>
      <c r="K245" s="891">
        <f t="shared" si="165"/>
        <v>0</v>
      </c>
      <c r="L245" s="891">
        <f t="shared" si="166"/>
        <v>0</v>
      </c>
      <c r="M245" s="891">
        <f t="shared" si="168"/>
        <v>0</v>
      </c>
      <c r="N245" s="136" t="str">
        <f>input!$F$299</f>
        <v>N</v>
      </c>
      <c r="AT245" s="413">
        <f t="shared" si="126"/>
        <v>0</v>
      </c>
      <c r="AU245" s="136">
        <f ca="1">COUNTIFS(AT$7:$AT245,1)</f>
        <v>1</v>
      </c>
    </row>
    <row r="246" spans="1:47" ht="15">
      <c r="A246" s="952" t="str">
        <f>input!$A$291</f>
        <v>N</v>
      </c>
      <c r="B246" s="891">
        <f>SUMIFS(Paper!$AC$7:$AC$30,Paper!$A$7:$A$30,Ink!A246)+SUMIFS(Paper!$X$7:$X$30,Paper!$A$7:$A$30,Ink!A246)</f>
        <v>0</v>
      </c>
      <c r="C246" s="953">
        <v>4</v>
      </c>
      <c r="D246" s="954" t="str">
        <f>input!$A296</f>
        <v>None</v>
      </c>
      <c r="E246" s="891">
        <f>SUMIFS(Paper!$N$7:$N$30,Paper!$A$7:$A$30,A246)</f>
        <v>0</v>
      </c>
      <c r="F246" s="891">
        <f>SUMIFS(Paper!$O$7:$O$30,Paper!$A$7:$A$30,A246)</f>
        <v>0</v>
      </c>
      <c r="G246" s="955">
        <f>IF($D246="None",0,IF(input!$B296&gt;0,input!$B296,E246*F246*$D$8*10000/IF($B$2="PACK",COUNTIF($H$243:$H$249,"&gt;0"),1)))</f>
        <v>0</v>
      </c>
      <c r="H246" s="956">
        <f>IF(input!$C296&gt;0,input!$C296,VLOOKUP(D246,Data!$L$1064:$M$1071,2,0))</f>
        <v>0</v>
      </c>
      <c r="I246" s="891">
        <f t="shared" si="164"/>
        <v>0</v>
      </c>
      <c r="J246" s="891">
        <f>IF(G246&gt;0,0.2,0)*Paper!$J$28</f>
        <v>0</v>
      </c>
      <c r="K246" s="891">
        <f t="shared" si="165"/>
        <v>0</v>
      </c>
      <c r="L246" s="891">
        <f t="shared" si="166"/>
        <v>0</v>
      </c>
      <c r="M246" s="891">
        <f t="shared" si="168"/>
        <v>0</v>
      </c>
      <c r="N246" s="136" t="str">
        <f>input!$F$299</f>
        <v>N</v>
      </c>
      <c r="AT246" s="413">
        <f t="shared" si="126"/>
        <v>0</v>
      </c>
      <c r="AU246" s="136">
        <f ca="1">COUNTIFS(AT$7:$AT246,1)</f>
        <v>1</v>
      </c>
    </row>
    <row r="247" spans="1:47" ht="15">
      <c r="A247" s="952" t="str">
        <f>input!$A$291</f>
        <v>N</v>
      </c>
      <c r="B247" s="891">
        <f>SUMIFS(Paper!$AC$7:$AC$30,Paper!$A$7:$A$30,Ink!A247)+SUMIFS(Paper!$X$7:$X$30,Paper!$A$7:$A$30,Ink!A247)</f>
        <v>0</v>
      </c>
      <c r="C247" s="953">
        <v>5</v>
      </c>
      <c r="D247" s="954" t="str">
        <f>input!$A297</f>
        <v>None</v>
      </c>
      <c r="E247" s="891">
        <f>SUMIFS(Paper!$N$7:$N$30,Paper!$A$7:$A$30,A247)</f>
        <v>0</v>
      </c>
      <c r="F247" s="891">
        <f>SUMIFS(Paper!$O$7:$O$30,Paper!$A$7:$A$30,A247)</f>
        <v>0</v>
      </c>
      <c r="G247" s="955">
        <f>IF($D247="None",0,IF(input!$B297&gt;0,input!$B297,E247*F247*$D$8*10000/IF($B$2="PACK",COUNTIF($H$243:$H$249,"&gt;0"),1)))</f>
        <v>0</v>
      </c>
      <c r="H247" s="956">
        <f>IF(input!$C297&gt;0,input!$C297,VLOOKUP(D247,Data!$L$1064:$M$1071,2,0))</f>
        <v>0</v>
      </c>
      <c r="I247" s="891">
        <f t="shared" si="164"/>
        <v>0</v>
      </c>
      <c r="J247" s="891">
        <f>IF(G247&gt;0,0.2,0)*Paper!$J$28</f>
        <v>0</v>
      </c>
      <c r="K247" s="891">
        <f t="shared" si="165"/>
        <v>0</v>
      </c>
      <c r="L247" s="891">
        <f t="shared" si="166"/>
        <v>0</v>
      </c>
      <c r="M247" s="891">
        <f t="shared" si="168"/>
        <v>0</v>
      </c>
      <c r="N247" s="136" t="str">
        <f>input!$F$299</f>
        <v>N</v>
      </c>
      <c r="AT247" s="413">
        <f t="shared" si="126"/>
        <v>0</v>
      </c>
      <c r="AU247" s="136">
        <f ca="1">COUNTIFS(AT$7:$AT247,1)</f>
        <v>1</v>
      </c>
    </row>
    <row r="248" spans="1:47" ht="15">
      <c r="A248" s="952" t="str">
        <f>input!$A$291</f>
        <v>N</v>
      </c>
      <c r="B248" s="891">
        <f>SUMIFS(Paper!$AC$7:$AC$30,Paper!$A$7:$A$30,Ink!A248)+SUMIFS(Paper!$X$7:$X$30,Paper!$A$7:$A$30,Ink!A248)</f>
        <v>0</v>
      </c>
      <c r="C248" s="953">
        <v>6</v>
      </c>
      <c r="D248" s="954" t="str">
        <f>input!$A298</f>
        <v>None</v>
      </c>
      <c r="E248" s="891">
        <f>SUMIFS(Paper!$N$7:$N$30,Paper!$A$7:$A$30,A248)</f>
        <v>0</v>
      </c>
      <c r="F248" s="891">
        <f>SUMIFS(Paper!$O$7:$O$30,Paper!$A$7:$A$30,A248)</f>
        <v>0</v>
      </c>
      <c r="G248" s="955">
        <f>IF($D248="None",0,IF(input!$B298&gt;0,input!$B298,E248*F248*$D$8*10000/IF($B$2="PACK",COUNTIF($H$243:$H$249,"&gt;0"),1)))</f>
        <v>0</v>
      </c>
      <c r="H248" s="956">
        <f>IF(input!$C298&gt;0,input!$C298,VLOOKUP(D248,Data!$L$1064:$M$1071,2,0))</f>
        <v>0</v>
      </c>
      <c r="I248" s="891">
        <f t="shared" si="164"/>
        <v>0</v>
      </c>
      <c r="J248" s="891">
        <f>IF(G248&gt;0,0.2,0)*Paper!$J$28</f>
        <v>0</v>
      </c>
      <c r="K248" s="891">
        <f t="shared" si="165"/>
        <v>0</v>
      </c>
      <c r="L248" s="891">
        <f t="shared" si="166"/>
        <v>0</v>
      </c>
      <c r="M248" s="891">
        <f t="shared" si="168"/>
        <v>0</v>
      </c>
      <c r="N248" s="136" t="str">
        <f>input!$F$299</f>
        <v>N</v>
      </c>
      <c r="AT248" s="413">
        <f t="shared" ref="AT248:AT290" si="169">IF(ISNUMBER(M248),IF(M248&lt;&gt;0,IF(ISNUMBER(SEARCH("to",GL248)),0,1),0),"")</f>
        <v>0</v>
      </c>
      <c r="AU248" s="136">
        <f ca="1">COUNTIFS(AT$7:$AT248,1)</f>
        <v>1</v>
      </c>
    </row>
    <row r="249" spans="1:47" ht="15">
      <c r="A249" s="952" t="str">
        <f>input!$A$291</f>
        <v>N</v>
      </c>
      <c r="B249" s="891">
        <f>SUMIFS(Paper!$AC$7:$AC$30,Paper!$A$7:$A$30,Ink!A249)+SUMIFS(Paper!$X$7:$X$30,Paper!$A$7:$A$30,Ink!A249)</f>
        <v>0</v>
      </c>
      <c r="C249" s="953">
        <v>7</v>
      </c>
      <c r="D249" s="954" t="str">
        <f>input!$A299</f>
        <v>None</v>
      </c>
      <c r="E249" s="891">
        <f>SUMIFS(Paper!$N$7:$N$30,Paper!$A$7:$A$30,A249)</f>
        <v>0</v>
      </c>
      <c r="F249" s="891">
        <f>SUMIFS(Paper!$O$7:$O$30,Paper!$A$7:$A$30,A249)</f>
        <v>0</v>
      </c>
      <c r="G249" s="955">
        <f>IF($D249="None",0,IF(input!$B299&gt;0,input!$B299,E249*F249*$D$8*10000/IF($B$2="PACK",COUNTIF($H$243:$H$249,"&gt;0"),1)))</f>
        <v>0</v>
      </c>
      <c r="H249" s="956">
        <f>IF(input!$C299&gt;0,input!$C299,VLOOKUP(D249,Data!$L$1064:$M$1071,2,0))</f>
        <v>0</v>
      </c>
      <c r="I249" s="891">
        <f t="shared" si="164"/>
        <v>0</v>
      </c>
      <c r="J249" s="891">
        <f>IF(G249&gt;0,0.2,0)*Paper!$J$28</f>
        <v>0</v>
      </c>
      <c r="K249" s="891">
        <f t="shared" si="165"/>
        <v>0</v>
      </c>
      <c r="L249" s="891">
        <f t="shared" si="166"/>
        <v>0</v>
      </c>
      <c r="M249" s="891">
        <f t="shared" si="168"/>
        <v>0</v>
      </c>
      <c r="N249" s="136" t="str">
        <f>input!$F$299</f>
        <v>N</v>
      </c>
      <c r="AT249" s="413">
        <f t="shared" si="169"/>
        <v>0</v>
      </c>
      <c r="AU249" s="136">
        <f ca="1">COUNTIFS(AT$7:$AT249,1)</f>
        <v>1</v>
      </c>
    </row>
    <row r="250" spans="1:47" ht="15">
      <c r="A250" s="957"/>
      <c r="B250" s="958"/>
      <c r="C250" s="959"/>
      <c r="D250" s="954"/>
      <c r="E250" s="958"/>
      <c r="F250" s="958"/>
      <c r="G250" s="955"/>
      <c r="H250" s="960"/>
      <c r="I250" s="958"/>
      <c r="J250" s="958"/>
      <c r="K250" s="958"/>
      <c r="L250" s="958"/>
      <c r="M250" s="958"/>
      <c r="AT250" s="413" t="str">
        <f t="shared" si="169"/>
        <v/>
      </c>
      <c r="AU250" s="136">
        <f ca="1">COUNTIFS(AT$7:$AT250,1)</f>
        <v>1</v>
      </c>
    </row>
    <row r="251" spans="1:47" ht="15">
      <c r="A251" s="952" t="str">
        <f>input!$A$301</f>
        <v>N</v>
      </c>
      <c r="B251" s="891">
        <f>SUMIFS(Paper!$AC$7:$AC$30,Paper!$A$7:$A$30,Ink!A251)+SUMIFS(Paper!$X$7:$X$30,Paper!$A$7:$A$30,Ink!A251)</f>
        <v>0</v>
      </c>
      <c r="C251" s="953">
        <v>1</v>
      </c>
      <c r="D251" s="954" t="str">
        <f>input!$A303</f>
        <v>None</v>
      </c>
      <c r="E251" s="891">
        <f>SUMIFS(Paper!$N$7:$N$30,Paper!$A$7:$A$30,A251)</f>
        <v>0</v>
      </c>
      <c r="F251" s="891">
        <f>SUMIFS(Paper!$O$7:$O$30,Paper!$A$7:$A$30,A251)</f>
        <v>0</v>
      </c>
      <c r="G251" s="955">
        <f>IF($D251="None",0,IF(input!$B303&gt;0,input!$B303,E251*F251*$D$8*10000/IF($B$2="PACK",COUNTIF($H$251:$H$257,"&gt;0"),1)))</f>
        <v>0</v>
      </c>
      <c r="H251" s="956">
        <f>IF(input!$C303&gt;0,input!$C303,VLOOKUP(D251,Data!$L$1064:$M$1071,2,0))</f>
        <v>0</v>
      </c>
      <c r="I251" s="891">
        <f t="shared" si="164"/>
        <v>0</v>
      </c>
      <c r="J251" s="891">
        <f>IF(G251&gt;0,0.2,0)*Paper!$J$29</f>
        <v>0</v>
      </c>
      <c r="K251" s="891">
        <f t="shared" si="165"/>
        <v>0</v>
      </c>
      <c r="L251" s="891">
        <f t="shared" si="166"/>
        <v>0</v>
      </c>
      <c r="M251" s="891">
        <f>IF($D$3&gt;0,L251/($D$3),0)*(1+$M$6)</f>
        <v>0</v>
      </c>
      <c r="N251" s="136" t="str">
        <f>input!$F$309</f>
        <v>N</v>
      </c>
      <c r="AT251" s="413">
        <f t="shared" si="169"/>
        <v>0</v>
      </c>
      <c r="AU251" s="136">
        <f ca="1">COUNTIFS(AT$7:$AT251,1)</f>
        <v>1</v>
      </c>
    </row>
    <row r="252" spans="1:47" ht="15">
      <c r="A252" s="952" t="str">
        <f>input!$A$301</f>
        <v>N</v>
      </c>
      <c r="B252" s="891">
        <f>SUMIFS(Paper!$AC$7:$AC$30,Paper!$A$7:$A$30,Ink!A252)+SUMIFS(Paper!$X$7:$X$30,Paper!$A$7:$A$30,Ink!A252)</f>
        <v>0</v>
      </c>
      <c r="C252" s="953">
        <v>2</v>
      </c>
      <c r="D252" s="954" t="str">
        <f>input!$A304</f>
        <v>None</v>
      </c>
      <c r="E252" s="891">
        <f>SUMIFS(Paper!$N$7:$N$30,Paper!$A$7:$A$30,A252)</f>
        <v>0</v>
      </c>
      <c r="F252" s="891">
        <f>SUMIFS(Paper!$O$7:$O$30,Paper!$A$7:$A$30,A252)</f>
        <v>0</v>
      </c>
      <c r="G252" s="955">
        <f>IF($D252="None",0,IF(input!$B304&gt;0,input!$B304,E252*F252*$D$8*10000/IF($B$2="PACK",COUNTIF($H$251:$H$257,"&gt;0"),1)))</f>
        <v>0</v>
      </c>
      <c r="H252" s="956">
        <f>IF(input!$C304&gt;0,input!$C304,VLOOKUP(D252,Data!$L$1064:$M$1071,2,0))</f>
        <v>0</v>
      </c>
      <c r="I252" s="891">
        <f t="shared" si="164"/>
        <v>0</v>
      </c>
      <c r="J252" s="891">
        <f>IF(G252&gt;0,0.2,0)*Paper!$J$29</f>
        <v>0</v>
      </c>
      <c r="K252" s="891">
        <f t="shared" si="165"/>
        <v>0</v>
      </c>
      <c r="L252" s="891">
        <f t="shared" si="166"/>
        <v>0</v>
      </c>
      <c r="M252" s="891">
        <f t="shared" ref="M252:M257" si="170">IF($D$3&gt;0,L252/($D$3),0)*(1+$M$6)</f>
        <v>0</v>
      </c>
      <c r="N252" s="136" t="str">
        <f>input!$F$309</f>
        <v>N</v>
      </c>
      <c r="AT252" s="413">
        <f t="shared" si="169"/>
        <v>0</v>
      </c>
      <c r="AU252" s="136">
        <f ca="1">COUNTIFS(AT$7:$AT252,1)</f>
        <v>1</v>
      </c>
    </row>
    <row r="253" spans="1:47" ht="15">
      <c r="A253" s="952" t="str">
        <f>input!$A$301</f>
        <v>N</v>
      </c>
      <c r="B253" s="891">
        <f>SUMIFS(Paper!$AC$7:$AC$30,Paper!$A$7:$A$30,Ink!A253)+SUMIFS(Paper!$X$7:$X$30,Paper!$A$7:$A$30,Ink!A253)</f>
        <v>0</v>
      </c>
      <c r="C253" s="953">
        <v>3</v>
      </c>
      <c r="D253" s="954" t="str">
        <f>input!$A305</f>
        <v>None</v>
      </c>
      <c r="E253" s="891">
        <f>SUMIFS(Paper!$N$7:$N$30,Paper!$A$7:$A$30,A253)</f>
        <v>0</v>
      </c>
      <c r="F253" s="891">
        <f>SUMIFS(Paper!$O$7:$O$30,Paper!$A$7:$A$30,A253)</f>
        <v>0</v>
      </c>
      <c r="G253" s="955">
        <f>IF($D253="None",0,IF(input!$B305&gt;0,input!$B305,E253*F253*$D$8*10000/IF($B$2="PACK",COUNTIF($H$251:$H$257,"&gt;0"),1)))</f>
        <v>0</v>
      </c>
      <c r="H253" s="956">
        <f>IF(input!$C305&gt;0,input!$C305,VLOOKUP(D253,Data!$L$1064:$M$1071,2,0))</f>
        <v>0</v>
      </c>
      <c r="I253" s="891">
        <f t="shared" si="164"/>
        <v>0</v>
      </c>
      <c r="J253" s="891">
        <f>IF(G253&gt;0,0.2,0)*Paper!$J$29</f>
        <v>0</v>
      </c>
      <c r="K253" s="891">
        <f t="shared" si="165"/>
        <v>0</v>
      </c>
      <c r="L253" s="891">
        <f t="shared" si="166"/>
        <v>0</v>
      </c>
      <c r="M253" s="891">
        <f t="shared" si="170"/>
        <v>0</v>
      </c>
      <c r="N253" s="136" t="str">
        <f>input!$F$309</f>
        <v>N</v>
      </c>
      <c r="AT253" s="413">
        <f t="shared" si="169"/>
        <v>0</v>
      </c>
      <c r="AU253" s="136">
        <f ca="1">COUNTIFS(AT$7:$AT253,1)</f>
        <v>1</v>
      </c>
    </row>
    <row r="254" spans="1:47" ht="15">
      <c r="A254" s="952" t="str">
        <f>input!$A$301</f>
        <v>N</v>
      </c>
      <c r="B254" s="891">
        <f>SUMIFS(Paper!$AC$7:$AC$30,Paper!$A$7:$A$30,Ink!A254)+SUMIFS(Paper!$X$7:$X$30,Paper!$A$7:$A$30,Ink!A254)</f>
        <v>0</v>
      </c>
      <c r="C254" s="953">
        <v>4</v>
      </c>
      <c r="D254" s="954" t="str">
        <f>input!$A306</f>
        <v>None</v>
      </c>
      <c r="E254" s="891">
        <f>SUMIFS(Paper!$N$7:$N$30,Paper!$A$7:$A$30,A254)</f>
        <v>0</v>
      </c>
      <c r="F254" s="891">
        <f>SUMIFS(Paper!$O$7:$O$30,Paper!$A$7:$A$30,A254)</f>
        <v>0</v>
      </c>
      <c r="G254" s="955">
        <f>IF($D254="None",0,IF(input!$B306&gt;0,input!$B306,E254*F254*$D$8*10000/IF($B$2="PACK",COUNTIF($H$251:$H$257,"&gt;0"),1)))</f>
        <v>0</v>
      </c>
      <c r="H254" s="956">
        <f>IF(input!$C306&gt;0,input!$C306,VLOOKUP(D254,Data!$L$1064:$M$1071,2,0))</f>
        <v>0</v>
      </c>
      <c r="I254" s="891">
        <f t="shared" si="164"/>
        <v>0</v>
      </c>
      <c r="J254" s="891">
        <f>IF(G254&gt;0,0.2,0)*Paper!$J$29</f>
        <v>0</v>
      </c>
      <c r="K254" s="891">
        <f t="shared" si="165"/>
        <v>0</v>
      </c>
      <c r="L254" s="891">
        <f t="shared" si="166"/>
        <v>0</v>
      </c>
      <c r="M254" s="891">
        <f t="shared" si="170"/>
        <v>0</v>
      </c>
      <c r="N254" s="136" t="str">
        <f>input!$F$309</f>
        <v>N</v>
      </c>
      <c r="AT254" s="413">
        <f t="shared" si="169"/>
        <v>0</v>
      </c>
      <c r="AU254" s="136">
        <f ca="1">COUNTIFS(AT$7:$AT254,1)</f>
        <v>1</v>
      </c>
    </row>
    <row r="255" spans="1:47" ht="15">
      <c r="A255" s="952" t="str">
        <f>input!$A$301</f>
        <v>N</v>
      </c>
      <c r="B255" s="891">
        <f>SUMIFS(Paper!$AC$7:$AC$30,Paper!$A$7:$A$30,Ink!A255)+SUMIFS(Paper!$X$7:$X$30,Paper!$A$7:$A$30,Ink!A255)</f>
        <v>0</v>
      </c>
      <c r="C255" s="953">
        <v>5</v>
      </c>
      <c r="D255" s="954" t="str">
        <f>input!$A307</f>
        <v>None</v>
      </c>
      <c r="E255" s="891">
        <f>SUMIFS(Paper!$N$7:$N$30,Paper!$A$7:$A$30,A255)</f>
        <v>0</v>
      </c>
      <c r="F255" s="891">
        <f>SUMIFS(Paper!$O$7:$O$30,Paper!$A$7:$A$30,A255)</f>
        <v>0</v>
      </c>
      <c r="G255" s="955">
        <f>IF($D255="None",0,IF(input!$B307&gt;0,input!$B307,E255*F255*$D$8*10000/IF($B$2="PACK",COUNTIF($H$251:$H$257,"&gt;0"),1)))</f>
        <v>0</v>
      </c>
      <c r="H255" s="956">
        <f>IF(input!$C307&gt;0,input!$C307,VLOOKUP(D255,Data!$L$1064:$M$1071,2,0))</f>
        <v>0</v>
      </c>
      <c r="I255" s="891">
        <f t="shared" si="164"/>
        <v>0</v>
      </c>
      <c r="J255" s="891">
        <f>IF(G255&gt;0,0.2,0)*Paper!$J$29</f>
        <v>0</v>
      </c>
      <c r="K255" s="891">
        <f t="shared" si="165"/>
        <v>0</v>
      </c>
      <c r="L255" s="891">
        <f t="shared" si="166"/>
        <v>0</v>
      </c>
      <c r="M255" s="891">
        <f t="shared" si="170"/>
        <v>0</v>
      </c>
      <c r="N255" s="136" t="str">
        <f>input!$F$309</f>
        <v>N</v>
      </c>
      <c r="AT255" s="413">
        <f t="shared" si="169"/>
        <v>0</v>
      </c>
      <c r="AU255" s="136">
        <f ca="1">COUNTIFS(AT$7:$AT255,1)</f>
        <v>1</v>
      </c>
    </row>
    <row r="256" spans="1:47" ht="15">
      <c r="A256" s="952" t="str">
        <f>input!$A$301</f>
        <v>N</v>
      </c>
      <c r="B256" s="891">
        <f>SUMIFS(Paper!$AC$7:$AC$30,Paper!$A$7:$A$30,Ink!A256)+SUMIFS(Paper!$X$7:$X$30,Paper!$A$7:$A$30,Ink!A256)</f>
        <v>0</v>
      </c>
      <c r="C256" s="953">
        <v>6</v>
      </c>
      <c r="D256" s="954" t="str">
        <f>input!$A308</f>
        <v>None</v>
      </c>
      <c r="E256" s="891">
        <f>SUMIFS(Paper!$N$7:$N$30,Paper!$A$7:$A$30,A256)</f>
        <v>0</v>
      </c>
      <c r="F256" s="891">
        <f>SUMIFS(Paper!$O$7:$O$30,Paper!$A$7:$A$30,A256)</f>
        <v>0</v>
      </c>
      <c r="G256" s="955">
        <f>IF($D256="None",0,IF(input!$B308&gt;0,input!$B308,E256*F256*$D$8*10000/IF($B$2="PACK",COUNTIF($H$251:$H$257,"&gt;0"),1)))</f>
        <v>0</v>
      </c>
      <c r="H256" s="956">
        <f>IF(input!$C308&gt;0,input!$C308,VLOOKUP(D256,Data!$L$1064:$M$1071,2,0))</f>
        <v>0</v>
      </c>
      <c r="I256" s="891">
        <f t="shared" si="164"/>
        <v>0</v>
      </c>
      <c r="J256" s="891">
        <f>IF(G256&gt;0,0.2,0)*Paper!$J$29</f>
        <v>0</v>
      </c>
      <c r="K256" s="891">
        <f t="shared" si="165"/>
        <v>0</v>
      </c>
      <c r="L256" s="891">
        <f t="shared" si="166"/>
        <v>0</v>
      </c>
      <c r="M256" s="891">
        <f t="shared" si="170"/>
        <v>0</v>
      </c>
      <c r="N256" s="136" t="str">
        <f>input!$F$309</f>
        <v>N</v>
      </c>
      <c r="AT256" s="413">
        <f t="shared" si="169"/>
        <v>0</v>
      </c>
      <c r="AU256" s="136">
        <f ca="1">COUNTIFS(AT$7:$AT256,1)</f>
        <v>1</v>
      </c>
    </row>
    <row r="257" spans="1:47" ht="15">
      <c r="A257" s="952" t="str">
        <f>input!$A$301</f>
        <v>N</v>
      </c>
      <c r="B257" s="891">
        <f>SUMIFS(Paper!$AC$7:$AC$30,Paper!$A$7:$A$30,Ink!A257)+SUMIFS(Paper!$X$7:$X$30,Paper!$A$7:$A$30,Ink!A257)</f>
        <v>0</v>
      </c>
      <c r="C257" s="953">
        <v>7</v>
      </c>
      <c r="D257" s="954" t="str">
        <f>input!$A309</f>
        <v>None</v>
      </c>
      <c r="E257" s="891">
        <f>SUMIFS(Paper!$N$7:$N$30,Paper!$A$7:$A$30,A257)</f>
        <v>0</v>
      </c>
      <c r="F257" s="891">
        <f>SUMIFS(Paper!$O$7:$O$30,Paper!$A$7:$A$30,A257)</f>
        <v>0</v>
      </c>
      <c r="G257" s="955">
        <f>IF($D257="None",0,IF(input!$B309&gt;0,input!$B309,E257*F257*$D$8*10000/IF($B$2="PACK",COUNTIF($H$251:$H$257,"&gt;0"),1)))</f>
        <v>0</v>
      </c>
      <c r="H257" s="956">
        <f>IF(input!$C309&gt;0,input!$C309,VLOOKUP(D257,Data!$L$1064:$M$1071,2,0))</f>
        <v>0</v>
      </c>
      <c r="I257" s="891">
        <f t="shared" si="164"/>
        <v>0</v>
      </c>
      <c r="J257" s="891">
        <f>IF(G257&gt;0,0.2,0)*Paper!$J$29</f>
        <v>0</v>
      </c>
      <c r="K257" s="891">
        <f t="shared" si="165"/>
        <v>0</v>
      </c>
      <c r="L257" s="891">
        <f t="shared" si="166"/>
        <v>0</v>
      </c>
      <c r="M257" s="891">
        <f t="shared" si="170"/>
        <v>0</v>
      </c>
      <c r="N257" s="136" t="str">
        <f>input!$F$309</f>
        <v>N</v>
      </c>
      <c r="AT257" s="413">
        <f t="shared" si="169"/>
        <v>0</v>
      </c>
      <c r="AU257" s="136">
        <f ca="1">COUNTIFS(AT$7:$AT257,1)</f>
        <v>1</v>
      </c>
    </row>
    <row r="258" spans="1:47" ht="15">
      <c r="A258" s="957"/>
      <c r="B258" s="958"/>
      <c r="C258" s="959"/>
      <c r="D258" s="954"/>
      <c r="E258" s="958"/>
      <c r="F258" s="958"/>
      <c r="G258" s="955"/>
      <c r="H258" s="960"/>
      <c r="I258" s="958"/>
      <c r="J258" s="958"/>
      <c r="K258" s="958"/>
      <c r="L258" s="958"/>
      <c r="M258" s="958"/>
      <c r="AT258" s="413" t="str">
        <f t="shared" si="169"/>
        <v/>
      </c>
      <c r="AU258" s="136">
        <f ca="1">COUNTIFS(AT$7:$AT258,1)</f>
        <v>1</v>
      </c>
    </row>
    <row r="259" spans="1:47" ht="15">
      <c r="AT259" s="413" t="str">
        <f t="shared" si="169"/>
        <v/>
      </c>
      <c r="AU259" s="136">
        <f ca="1">COUNTIFS(AT$7:$AT259,1)</f>
        <v>1</v>
      </c>
    </row>
    <row r="260" spans="1:47" ht="15">
      <c r="AT260" s="413" t="str">
        <f t="shared" si="169"/>
        <v/>
      </c>
      <c r="AU260" s="136">
        <f ca="1">COUNTIFS(AT$7:$AT260,1)</f>
        <v>1</v>
      </c>
    </row>
    <row r="261" spans="1:47" ht="15">
      <c r="AT261" s="413" t="str">
        <f t="shared" si="169"/>
        <v/>
      </c>
      <c r="AU261" s="136">
        <f ca="1">COUNTIFS(AT$7:$AT261,1)</f>
        <v>1</v>
      </c>
    </row>
    <row r="262" spans="1:47" ht="15">
      <c r="B262" s="961" t="s">
        <v>1339</v>
      </c>
      <c r="C262" s="313"/>
      <c r="D262" s="313"/>
      <c r="E262" s="313"/>
      <c r="F262" s="313"/>
      <c r="G262" s="313"/>
      <c r="M262" s="189">
        <f>D270</f>
        <v>0</v>
      </c>
      <c r="N262" s="2179" t="str">
        <f ca="1">$N$10</f>
        <v>Box</v>
      </c>
      <c r="AT262" s="413">
        <f t="shared" si="169"/>
        <v>0</v>
      </c>
      <c r="AU262" s="136">
        <f ca="1">COUNTIFS(AT$7:$AT262,1)</f>
        <v>1</v>
      </c>
    </row>
    <row r="263" spans="1:47" ht="15" outlineLevel="1">
      <c r="B263" s="313"/>
      <c r="C263" s="313"/>
      <c r="D263" s="313" t="s">
        <v>516</v>
      </c>
      <c r="E263" s="4350">
        <v>1823500</v>
      </c>
      <c r="F263" s="4350"/>
      <c r="G263" s="313" t="s">
        <v>1255</v>
      </c>
      <c r="AT263" s="413" t="str">
        <f t="shared" si="169"/>
        <v/>
      </c>
      <c r="AU263" s="136">
        <f ca="1">COUNTIFS(AT$7:$AT263,1)</f>
        <v>1</v>
      </c>
    </row>
    <row r="264" spans="1:47" ht="15" outlineLevel="1">
      <c r="B264" s="313"/>
      <c r="C264" s="313"/>
      <c r="D264" s="313"/>
      <c r="E264" s="313">
        <v>90000</v>
      </c>
      <c r="F264" s="313" t="s">
        <v>517</v>
      </c>
      <c r="G264" s="313"/>
      <c r="AT264" s="413" t="str">
        <f t="shared" si="169"/>
        <v/>
      </c>
      <c r="AU264" s="136">
        <f ca="1">COUNTIFS(AT$7:$AT264,1)</f>
        <v>1</v>
      </c>
    </row>
    <row r="265" spans="1:47" ht="15" outlineLevel="1">
      <c r="B265" s="313"/>
      <c r="C265" s="313"/>
      <c r="D265" s="313"/>
      <c r="E265" s="313">
        <v>5</v>
      </c>
      <c r="F265" s="313" t="s">
        <v>518</v>
      </c>
      <c r="G265" s="313"/>
      <c r="I265" s="313"/>
      <c r="J265" s="313"/>
      <c r="K265" s="313"/>
      <c r="AT265" s="413" t="str">
        <f t="shared" si="169"/>
        <v/>
      </c>
      <c r="AU265" s="136">
        <f ca="1">COUNTIFS(AT$7:$AT265,1)</f>
        <v>1</v>
      </c>
    </row>
    <row r="266" spans="1:47" ht="15" outlineLevel="1">
      <c r="B266" s="313"/>
      <c r="C266" s="313"/>
      <c r="D266" s="385" t="s">
        <v>11</v>
      </c>
      <c r="E266" s="313">
        <f>input!$C$1249*E265</f>
        <v>0</v>
      </c>
      <c r="F266" s="313" t="s">
        <v>519</v>
      </c>
      <c r="G266" s="313"/>
      <c r="AT266" s="413" t="str">
        <f t="shared" si="169"/>
        <v/>
      </c>
      <c r="AU266" s="136">
        <f ca="1">COUNTIFS(AT$7:$AT266,1)</f>
        <v>1</v>
      </c>
    </row>
    <row r="267" spans="1:47" ht="15" outlineLevel="1">
      <c r="B267" s="313"/>
      <c r="C267" s="313"/>
      <c r="D267" s="385" t="s">
        <v>520</v>
      </c>
      <c r="E267" s="313">
        <f>input!C1250*E265</f>
        <v>0</v>
      </c>
      <c r="F267" s="313" t="s">
        <v>519</v>
      </c>
      <c r="G267" s="313"/>
      <c r="AT267" s="413" t="str">
        <f t="shared" si="169"/>
        <v/>
      </c>
      <c r="AU267" s="136">
        <f ca="1">COUNTIFS(AT$7:$AT267,1)</f>
        <v>1</v>
      </c>
    </row>
    <row r="268" spans="1:47" ht="15" outlineLevel="1">
      <c r="B268" s="313"/>
      <c r="C268" s="313"/>
      <c r="D268" s="360">
        <f>ROUNDUP((E266+E267)/E264,1)</f>
        <v>0</v>
      </c>
      <c r="E268" s="313" t="s">
        <v>521</v>
      </c>
      <c r="F268" s="313"/>
      <c r="G268" s="313"/>
      <c r="AT268" s="413" t="str">
        <f t="shared" si="169"/>
        <v/>
      </c>
      <c r="AU268" s="136">
        <f ca="1">COUNTIFS(AT$7:$AT268,1)</f>
        <v>1</v>
      </c>
    </row>
    <row r="269" spans="1:47" ht="15" outlineLevel="1">
      <c r="B269" s="313"/>
      <c r="C269" s="313"/>
      <c r="D269" s="944">
        <f>D268*E263*(1+$M$6)</f>
        <v>0</v>
      </c>
      <c r="E269" s="313" t="s">
        <v>92</v>
      </c>
      <c r="G269" s="313"/>
      <c r="AT269" s="413" t="str">
        <f t="shared" si="169"/>
        <v/>
      </c>
      <c r="AU269" s="136">
        <f ca="1">COUNTIFS(AT$7:$AT269,1)</f>
        <v>1</v>
      </c>
    </row>
    <row r="270" spans="1:47" ht="15" outlineLevel="1">
      <c r="D270" s="944">
        <f>D269/$D$4</f>
        <v>0</v>
      </c>
      <c r="E270" s="136" t="s">
        <v>97</v>
      </c>
      <c r="AT270" s="413" t="str">
        <f t="shared" si="169"/>
        <v/>
      </c>
      <c r="AU270" s="136">
        <f ca="1">COUNTIFS(AT$7:$AT270,1)</f>
        <v>1</v>
      </c>
    </row>
    <row r="271" spans="1:47" ht="15">
      <c r="AT271" s="413" t="str">
        <f t="shared" si="169"/>
        <v/>
      </c>
      <c r="AU271" s="136">
        <f ca="1">COUNTIFS(AT$7:$AT271,1)</f>
        <v>1</v>
      </c>
    </row>
    <row r="272" spans="1:47" ht="15">
      <c r="AT272" s="413" t="str">
        <f t="shared" si="169"/>
        <v/>
      </c>
      <c r="AU272" s="136">
        <f ca="1">COUNTIFS(AT$7:$AT272,1)</f>
        <v>1</v>
      </c>
    </row>
    <row r="273" spans="8:47" ht="15">
      <c r="AT273" s="413" t="str">
        <f t="shared" si="169"/>
        <v/>
      </c>
      <c r="AU273" s="136">
        <f ca="1">COUNTIFS(AT$7:$AT273,1)</f>
        <v>1</v>
      </c>
    </row>
    <row r="274" spans="8:47" ht="15">
      <c r="AT274" s="413" t="str">
        <f t="shared" si="169"/>
        <v/>
      </c>
      <c r="AU274" s="136">
        <f ca="1">COUNTIFS(AT$7:$AT274,1)</f>
        <v>1</v>
      </c>
    </row>
    <row r="275" spans="8:47" ht="15">
      <c r="AT275" s="413" t="str">
        <f t="shared" si="169"/>
        <v/>
      </c>
      <c r="AU275" s="136">
        <f ca="1">COUNTIFS(AT$7:$AT275,1)</f>
        <v>1</v>
      </c>
    </row>
    <row r="276" spans="8:47" ht="15">
      <c r="AT276" s="413" t="str">
        <f t="shared" si="169"/>
        <v/>
      </c>
      <c r="AU276" s="136">
        <f ca="1">COUNTIFS(AT$7:$AT276,1)</f>
        <v>1</v>
      </c>
    </row>
    <row r="277" spans="8:47" ht="15">
      <c r="AT277" s="413" t="str">
        <f t="shared" si="169"/>
        <v/>
      </c>
      <c r="AU277" s="136">
        <f ca="1">COUNTIFS(AT$7:$AT277,1)</f>
        <v>1</v>
      </c>
    </row>
    <row r="278" spans="8:47" ht="15">
      <c r="AT278" s="413" t="str">
        <f t="shared" si="169"/>
        <v/>
      </c>
      <c r="AU278" s="136">
        <f ca="1">COUNTIFS(AT$7:$AT278,1)</f>
        <v>1</v>
      </c>
    </row>
    <row r="279" spans="8:47" ht="15">
      <c r="AT279" s="413" t="str">
        <f t="shared" si="169"/>
        <v/>
      </c>
      <c r="AU279" s="136">
        <f ca="1">COUNTIFS(AT$7:$AT279,1)</f>
        <v>1</v>
      </c>
    </row>
    <row r="280" spans="8:47" ht="15">
      <c r="AT280" s="413" t="str">
        <f t="shared" si="169"/>
        <v/>
      </c>
      <c r="AU280" s="136">
        <f ca="1">COUNTIFS(AT$7:$AT280,1)</f>
        <v>1</v>
      </c>
    </row>
    <row r="281" spans="8:47" ht="15">
      <c r="AT281" s="413" t="str">
        <f t="shared" si="169"/>
        <v/>
      </c>
      <c r="AU281" s="136">
        <f ca="1">COUNTIFS(AT$7:$AT281,1)</f>
        <v>1</v>
      </c>
    </row>
    <row r="282" spans="8:47" ht="15">
      <c r="AT282" s="413" t="str">
        <f t="shared" si="169"/>
        <v/>
      </c>
      <c r="AU282" s="136">
        <f ca="1">COUNTIFS(AT$7:$AT282,1)</f>
        <v>1</v>
      </c>
    </row>
    <row r="283" spans="8:47" ht="15">
      <c r="AT283" s="413" t="str">
        <f t="shared" si="169"/>
        <v/>
      </c>
      <c r="AU283" s="136">
        <f ca="1">COUNTIFS(AT$7:$AT283,1)</f>
        <v>1</v>
      </c>
    </row>
    <row r="284" spans="8:47" ht="15">
      <c r="H284" s="313"/>
      <c r="I284" s="313"/>
      <c r="J284" s="313"/>
      <c r="K284" s="313"/>
      <c r="L284" s="313"/>
      <c r="AT284" s="413" t="str">
        <f t="shared" si="169"/>
        <v/>
      </c>
      <c r="AU284" s="136">
        <f ca="1">COUNTIFS(AT$7:$AT284,1)</f>
        <v>1</v>
      </c>
    </row>
    <row r="285" spans="8:47" ht="15">
      <c r="AT285" s="413" t="str">
        <f t="shared" si="169"/>
        <v/>
      </c>
      <c r="AU285" s="136">
        <f ca="1">COUNTIFS(AT$7:$AT285,1)</f>
        <v>1</v>
      </c>
    </row>
    <row r="286" spans="8:47" ht="15">
      <c r="H286" s="313"/>
      <c r="I286" s="313"/>
      <c r="J286" s="313"/>
      <c r="K286" s="313"/>
      <c r="L286" s="313"/>
      <c r="AT286" s="413" t="str">
        <f t="shared" si="169"/>
        <v/>
      </c>
      <c r="AU286" s="136">
        <f ca="1">COUNTIFS(AT$7:$AT286,1)</f>
        <v>1</v>
      </c>
    </row>
    <row r="287" spans="8:47" ht="15">
      <c r="H287" s="313"/>
      <c r="I287" s="189"/>
      <c r="J287" s="313"/>
      <c r="K287" s="313"/>
      <c r="L287" s="313"/>
      <c r="AT287" s="413" t="str">
        <f t="shared" si="169"/>
        <v/>
      </c>
      <c r="AU287" s="136">
        <f ca="1">COUNTIFS(AT$7:$AT287,1)</f>
        <v>1</v>
      </c>
    </row>
    <row r="288" spans="8:47" ht="15">
      <c r="H288" s="313"/>
      <c r="I288" s="313"/>
      <c r="J288" s="313"/>
      <c r="K288" s="313"/>
      <c r="L288" s="313"/>
      <c r="AT288" s="413" t="str">
        <f t="shared" si="169"/>
        <v/>
      </c>
      <c r="AU288" s="136">
        <f ca="1">COUNTIFS(AT$7:$AT288,1)</f>
        <v>1</v>
      </c>
    </row>
    <row r="289" spans="8:47" ht="15">
      <c r="H289" s="313"/>
      <c r="I289" s="360"/>
      <c r="J289" s="313"/>
      <c r="K289" s="313"/>
      <c r="L289" s="313"/>
      <c r="AT289" s="413" t="str">
        <f t="shared" si="169"/>
        <v/>
      </c>
      <c r="AU289" s="136">
        <f ca="1">COUNTIFS(AT$7:$AT289,1)</f>
        <v>1</v>
      </c>
    </row>
    <row r="290" spans="8:47" ht="15">
      <c r="H290" s="313"/>
      <c r="I290" s="360"/>
      <c r="J290" s="313"/>
      <c r="K290" s="313"/>
      <c r="L290" s="313"/>
      <c r="AT290" s="413" t="str">
        <f t="shared" si="169"/>
        <v/>
      </c>
      <c r="AU290" s="136">
        <f ca="1">COUNTIFS(AT$7:$AT290,1)</f>
        <v>1</v>
      </c>
    </row>
  </sheetData>
  <autoFilter ref="A7:M258" xr:uid="{00000000-0009-0000-0000-000017000000}"/>
  <mergeCells count="4">
    <mergeCell ref="J8:K8"/>
    <mergeCell ref="E263:F263"/>
    <mergeCell ref="E9:F9"/>
    <mergeCell ref="G9:H9"/>
  </mergeCells>
  <pageMargins left="0.7" right="0.7" top="0.75" bottom="0.75" header="0.3" footer="0.3"/>
  <pageSetup orientation="portrait" verticalDpi="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AU193"/>
  <sheetViews>
    <sheetView showGridLines="0" zoomScale="85" zoomScaleNormal="85" workbookViewId="0">
      <pane ySplit="7" topLeftCell="A146" activePane="bottomLeft" state="frozen"/>
      <selection activeCell="M28" sqref="M28"/>
      <selection pane="bottomLeft" activeCell="M28" sqref="M28"/>
    </sheetView>
  </sheetViews>
  <sheetFormatPr defaultColWidth="8.85546875" defaultRowHeight="12.75"/>
  <cols>
    <col min="1" max="1" width="8.85546875" style="136"/>
    <col min="2" max="2" width="12.28515625" style="136" customWidth="1"/>
    <col min="3" max="4" width="8.85546875" style="136" customWidth="1"/>
    <col min="5" max="5" width="8.42578125" style="136" customWidth="1"/>
    <col min="6" max="7" width="8.85546875" style="136" customWidth="1"/>
    <col min="8" max="8" width="9.28515625" style="136" customWidth="1"/>
    <col min="9" max="9" width="8.85546875" style="136" customWidth="1"/>
    <col min="10" max="10" width="15.42578125" style="136" customWidth="1"/>
    <col min="11" max="11" width="11.7109375" style="136" customWidth="1"/>
    <col min="12" max="12" width="12" style="136" customWidth="1"/>
    <col min="13" max="16384" width="8.85546875" style="136"/>
  </cols>
  <sheetData>
    <row r="1" spans="1:47" ht="13.5" thickBot="1"/>
    <row r="2" spans="1:47">
      <c r="A2" s="319"/>
      <c r="B2" s="1724" t="s">
        <v>77</v>
      </c>
      <c r="C2" s="1725"/>
      <c r="D2" s="1726">
        <f>'Cost EST. GM target'!$L$6/(1+$F$3)</f>
        <v>5000</v>
      </c>
      <c r="E2" s="1725" t="s">
        <v>11</v>
      </c>
      <c r="F2" s="1725"/>
      <c r="G2" s="432"/>
    </row>
    <row r="3" spans="1:47">
      <c r="A3" s="319"/>
      <c r="B3" s="882" t="s">
        <v>1342</v>
      </c>
      <c r="D3" s="883">
        <f>D2*(1+$F$3)</f>
        <v>5000</v>
      </c>
      <c r="E3" s="791" t="s">
        <v>11</v>
      </c>
      <c r="F3" s="797">
        <f>'Cost EST. GM target'!$N$6</f>
        <v>0</v>
      </c>
      <c r="G3" s="884" t="s">
        <v>1094</v>
      </c>
    </row>
    <row r="4" spans="1:47" ht="13.5" thickBot="1">
      <c r="A4" s="319"/>
      <c r="B4" s="885" t="s">
        <v>1341</v>
      </c>
      <c r="C4" s="886"/>
      <c r="D4" s="887">
        <f>D3*(1+$F$4)</f>
        <v>5225</v>
      </c>
      <c r="E4" s="886" t="s">
        <v>11</v>
      </c>
      <c r="F4" s="888">
        <f>input!$D$4</f>
        <v>4.4999999999999998E-2</v>
      </c>
      <c r="G4" s="889" t="s">
        <v>78</v>
      </c>
      <c r="K4" s="3198" t="s">
        <v>3325</v>
      </c>
      <c r="L4" s="3199">
        <f>IF(input!$F$1=2023,5%,0%)*0</f>
        <v>0</v>
      </c>
    </row>
    <row r="5" spans="1:47">
      <c r="K5" s="319" t="s">
        <v>267</v>
      </c>
      <c r="L5" s="720">
        <f>input!$D$5</f>
        <v>0</v>
      </c>
    </row>
    <row r="6" spans="1:47" ht="15">
      <c r="B6" s="798" t="s">
        <v>1219</v>
      </c>
      <c r="C6" s="798"/>
      <c r="H6" s="800">
        <f ca="1">SUM(H8:H155)</f>
        <v>19.300000000000004</v>
      </c>
      <c r="I6" s="800">
        <f ca="1">SUM(I8:I155)</f>
        <v>2</v>
      </c>
      <c r="J6" s="801">
        <f ca="1">SUM(J8:J155)</f>
        <v>63500</v>
      </c>
      <c r="K6" s="801">
        <f ca="1">SUM(K8:K155)</f>
        <v>364050.00000000006</v>
      </c>
      <c r="L6" s="800">
        <f ca="1">SUM(L8:L155)*(1+$L$4)</f>
        <v>72.81</v>
      </c>
    </row>
    <row r="7" spans="1:47" s="146" customFormat="1" ht="25.5">
      <c r="B7" s="890" t="s">
        <v>1220</v>
      </c>
      <c r="C7" s="4352" t="s">
        <v>605</v>
      </c>
      <c r="D7" s="4352"/>
      <c r="E7" s="146" t="s">
        <v>1221</v>
      </c>
      <c r="F7" s="890" t="s">
        <v>1222</v>
      </c>
      <c r="G7" s="890" t="s">
        <v>1411</v>
      </c>
      <c r="H7" s="890" t="s">
        <v>1111</v>
      </c>
      <c r="I7" s="4142" t="s">
        <v>20</v>
      </c>
      <c r="J7" s="4142"/>
      <c r="K7" s="146" t="s">
        <v>232</v>
      </c>
      <c r="L7" s="146" t="s">
        <v>146</v>
      </c>
      <c r="M7" s="146" t="s">
        <v>2055</v>
      </c>
      <c r="N7" s="146" t="s">
        <v>3689</v>
      </c>
      <c r="O7" s="146" t="s">
        <v>3689</v>
      </c>
      <c r="AT7" s="413"/>
      <c r="AU7" s="413"/>
    </row>
    <row r="8" spans="1:47" ht="15">
      <c r="A8" s="333" t="str">
        <f ca="1">OFFSET(input!$A$25,O8,0)</f>
        <v>Box</v>
      </c>
      <c r="B8" s="891">
        <f ca="1">IF(OFFSET(input!$O$27,N8,0)="PCS",$D$4,SUMIFS(Paper!$AC$7:$AC$57,Paper!$A$7:$A$57,A8))</f>
        <v>2725</v>
      </c>
      <c r="C8" s="834">
        <f ca="1">SUMIFS(Paper!$N$7:$N$57,Paper!$A$7:$A$57,A8)</f>
        <v>638</v>
      </c>
      <c r="D8" s="834">
        <f ca="1">SUMIFS(Paper!$O$7:$O$57,Paper!$A$7:$A$57,A8)</f>
        <v>407</v>
      </c>
      <c r="E8" s="892" t="str">
        <f ca="1">OFFSET(input!$M$27,N8,0)</f>
        <v>D450</v>
      </c>
      <c r="F8" s="893">
        <f ca="1">IF(OFFSET(input!$N$27,N8,0)&gt;0,OFFSET(input!$N$27,N8,0),SUMIFS(Data!$P$962:$P$993,Data!$L$962:$L$993,E8)*C8*D8*10000)</f>
        <v>68.5</v>
      </c>
      <c r="G8" s="894">
        <f ca="1">IF(F8&gt;0,SUMIFS(Data!$O$962:$O$993,Data!$L$962:$L$993,E8),"0")</f>
        <v>14500</v>
      </c>
      <c r="H8" s="894">
        <f ca="1">ROUNDUP(((B8/10000)*F8),1)</f>
        <v>18.700000000000003</v>
      </c>
      <c r="I8" s="894">
        <f ca="1">IF(F8&gt;0,1,0)</f>
        <v>1</v>
      </c>
      <c r="J8" s="894">
        <f ca="1">I8*G8</f>
        <v>14500</v>
      </c>
      <c r="K8" s="894">
        <f ca="1">IF(F8&gt;0,G8*(H8+I8),0)</f>
        <v>285650.00000000006</v>
      </c>
      <c r="L8" s="894">
        <f ca="1">IF(F8&gt;0,K8/$D$2,0)*(1+$L$5)</f>
        <v>57.13000000000001</v>
      </c>
      <c r="M8" s="136" t="str">
        <f ca="1">OFFSET(input!$F$33,O8,0)</f>
        <v>Box</v>
      </c>
      <c r="N8" s="136">
        <v>0</v>
      </c>
      <c r="O8" s="136">
        <v>0</v>
      </c>
      <c r="AT8" s="413">
        <f ca="1">IF(ISNUMBER(L8),IF(L8&lt;&gt;0,IF(ISNUMBER(SEARCH("to",H8)),0,1),0),"")</f>
        <v>1</v>
      </c>
      <c r="AU8" s="136">
        <f ca="1">COUNTIFS(AT$7:$AT8,1)</f>
        <v>1</v>
      </c>
    </row>
    <row r="9" spans="1:47" ht="15">
      <c r="A9" s="333" t="str">
        <f ca="1">OFFSET(input!$A$25,O9,0)</f>
        <v>Box</v>
      </c>
      <c r="B9" s="891">
        <f ca="1">IF(OFFSET(input!$O$27,N9,0)="PCS",$D$4,SUMIFS(Paper!$AC$7:$AC$57,Paper!$A$7:$A$57,A9))</f>
        <v>5225</v>
      </c>
      <c r="C9" s="834">
        <f ca="1">SUMIFS(Paper!$N$7:$N$57,Paper!$A$7:$A$57,A9)</f>
        <v>638</v>
      </c>
      <c r="D9" s="834">
        <f ca="1">SUMIFS(Paper!$O$7:$O$57,Paper!$A$7:$A$57,A9)</f>
        <v>407</v>
      </c>
      <c r="E9" s="892" t="str">
        <f ca="1">OFFSET(input!$M$27,N9,0)</f>
        <v>A-10211</v>
      </c>
      <c r="F9" s="893">
        <f ca="1">IF(OFFSET(input!$N$27,N9,0)&gt;0,OFFSET(input!$N$27,N9,0),SUMIFS(Data!$P$962:$P$993,Data!$L$962:$L$993,E9)*C9*D9*10000)</f>
        <v>1</v>
      </c>
      <c r="G9" s="894">
        <f ca="1">IF(F9&gt;0,SUMIFS(Data!$O$962:$O$993,Data!$L$962:$L$993,E9),"0")</f>
        <v>49000</v>
      </c>
      <c r="H9" s="894">
        <f ca="1">ROUNDUP(((B9/10000)*F9),1)</f>
        <v>0.6</v>
      </c>
      <c r="I9" s="894">
        <f ca="1">IF(F9&gt;0,1,0)</f>
        <v>1</v>
      </c>
      <c r="J9" s="894">
        <f ca="1">I9*G9</f>
        <v>49000</v>
      </c>
      <c r="K9" s="894">
        <f ca="1">IF(F9&gt;0,G9*(H9+I9),0)</f>
        <v>78400</v>
      </c>
      <c r="L9" s="894">
        <f ca="1">IF(F9&gt;0,K9/$D$2,0)*(1+$L$5)</f>
        <v>15.68</v>
      </c>
      <c r="M9" s="136" t="str">
        <f ca="1">OFFSET(input!$F$33,O9,0)</f>
        <v>Box</v>
      </c>
      <c r="N9" s="136">
        <f>N8+1</f>
        <v>1</v>
      </c>
      <c r="O9" s="136">
        <f>+O8</f>
        <v>0</v>
      </c>
      <c r="AT9" s="413">
        <f t="shared" ref="AT9:AT72" ca="1" si="0">IF(ISNUMBER(L9),IF(L9&lt;&gt;0,IF(ISNUMBER(SEARCH("to",H9)),0,1),0),"")</f>
        <v>1</v>
      </c>
      <c r="AU9" s="136">
        <f ca="1">COUNTIFS(AT$7:$AT9,1)</f>
        <v>2</v>
      </c>
    </row>
    <row r="10" spans="1:47" ht="15">
      <c r="A10" s="333" t="str">
        <f ca="1">OFFSET(input!$A$25,O10,0)</f>
        <v>Box</v>
      </c>
      <c r="B10" s="891">
        <f ca="1">IF(OFFSET(input!$O$27,N10,0)="PCS",$D$4,SUMIFS(Paper!$AC$7:$AC$57,Paper!$A$7:$A$57,A10))</f>
        <v>5225</v>
      </c>
      <c r="C10" s="834">
        <f ca="1">SUMIFS(Paper!$N$7:$N$57,Paper!$A$7:$A$57,A10)</f>
        <v>638</v>
      </c>
      <c r="D10" s="834">
        <f ca="1">SUMIFS(Paper!$O$7:$O$57,Paper!$A$7:$A$57,A10)</f>
        <v>407</v>
      </c>
      <c r="E10" s="892" t="str">
        <f ca="1">OFFSET(input!$M$27,N10,0)</f>
        <v>None</v>
      </c>
      <c r="F10" s="893">
        <f ca="1">IF(OFFSET(input!$N$27,N10,0)&gt;0,OFFSET(input!$N$27,N10,0),SUMIFS(Data!$P$962:$P$993,Data!$L$962:$L$993,E10)*C10*D10*10000)</f>
        <v>0</v>
      </c>
      <c r="G10" s="894" t="str">
        <f ca="1">IF(F10&gt;0,SUMIFS(Data!$O$962:$O$993,Data!$L$962:$L$993,E10),"0")</f>
        <v>0</v>
      </c>
      <c r="H10" s="894">
        <f ca="1">ROUNDUP(((B10/10000)*F10),1)</f>
        <v>0</v>
      </c>
      <c r="I10" s="894">
        <f ca="1">IF(F10&gt;0,1,0)</f>
        <v>0</v>
      </c>
      <c r="J10" s="894">
        <f ca="1">I10*G10</f>
        <v>0</v>
      </c>
      <c r="K10" s="894">
        <f ca="1">IF(F10&gt;0,G10*(H10+I10),0)</f>
        <v>0</v>
      </c>
      <c r="L10" s="894">
        <f ca="1">IF(F10&gt;0,K10/$D$2,0)*(1+$L$5)</f>
        <v>0</v>
      </c>
      <c r="M10" s="136" t="str">
        <f ca="1">OFFSET(input!$F$33,O10,0)</f>
        <v>Box</v>
      </c>
      <c r="N10" s="136">
        <f t="shared" ref="N10:N12" si="1">N9+1</f>
        <v>2</v>
      </c>
      <c r="O10" s="136">
        <f t="shared" ref="O10:O12" si="2">+O9</f>
        <v>0</v>
      </c>
      <c r="AT10" s="413">
        <f t="shared" ca="1" si="0"/>
        <v>0</v>
      </c>
      <c r="AU10" s="136">
        <f ca="1">COUNTIFS(AT$7:$AT10,1)</f>
        <v>2</v>
      </c>
    </row>
    <row r="11" spans="1:47" ht="15">
      <c r="A11" s="333" t="str">
        <f ca="1">OFFSET(input!$A$25,O11,0)</f>
        <v>Box</v>
      </c>
      <c r="B11" s="891">
        <f ca="1">IF(OFFSET(input!$O$27,N11,0)="PCS",$D$4,SUMIFS(Paper!$AC$7:$AC$57,Paper!$A$7:$A$57,A11))</f>
        <v>5225</v>
      </c>
      <c r="C11" s="834">
        <f ca="1">SUMIFS(Paper!$N$7:$N$57,Paper!$A$7:$A$57,A11)</f>
        <v>638</v>
      </c>
      <c r="D11" s="834">
        <f ca="1">SUMIFS(Paper!$O$7:$O$57,Paper!$A$7:$A$57,A11)</f>
        <v>407</v>
      </c>
      <c r="E11" s="892" t="str">
        <f ca="1">OFFSET(input!$M$27,N11,0)</f>
        <v>None</v>
      </c>
      <c r="F11" s="893">
        <f ca="1">IF(OFFSET(input!$N$27,N11,0)&gt;0,OFFSET(input!$N$27,N11,0),SUMIFS(Data!$P$962:$P$993,Data!$L$962:$L$993,E11)*C11*D11*10000)</f>
        <v>0</v>
      </c>
      <c r="G11" s="894" t="str">
        <f ca="1">IF(F11&gt;0,SUMIFS(Data!$O$962:$O$993,Data!$L$962:$L$993,E11),"0")</f>
        <v>0</v>
      </c>
      <c r="H11" s="894">
        <f ca="1">ROUNDUP(((B11/10000)*F11),1)</f>
        <v>0</v>
      </c>
      <c r="I11" s="894">
        <f ca="1">IF(F11&gt;0,1,0)</f>
        <v>0</v>
      </c>
      <c r="J11" s="894">
        <f ca="1">I11*G11</f>
        <v>0</v>
      </c>
      <c r="K11" s="894">
        <f ca="1">IF(F11&gt;0,G11*(H11+I11),0)</f>
        <v>0</v>
      </c>
      <c r="L11" s="894">
        <f ca="1">IF(F11&gt;0,K11/$D$2,0)*(1+$L$5)</f>
        <v>0</v>
      </c>
      <c r="M11" s="136" t="str">
        <f ca="1">OFFSET(input!$F$33,O11,0)</f>
        <v>Box</v>
      </c>
      <c r="N11" s="136">
        <f t="shared" si="1"/>
        <v>3</v>
      </c>
      <c r="O11" s="136">
        <f t="shared" si="2"/>
        <v>0</v>
      </c>
      <c r="AT11" s="413">
        <f t="shared" ca="1" si="0"/>
        <v>0</v>
      </c>
      <c r="AU11" s="136">
        <f ca="1">COUNTIFS(AT$7:$AT11,1)</f>
        <v>2</v>
      </c>
    </row>
    <row r="12" spans="1:47" ht="15">
      <c r="A12" s="333" t="str">
        <f ca="1">OFFSET(input!$A$25,O12,0)</f>
        <v>Box</v>
      </c>
      <c r="B12" s="891">
        <f ca="1">IF(OFFSET(input!$O$27,N12,0)="PCS",$D$4,SUMIFS(Paper!$AC$7:$AC$57,Paper!$A$7:$A$57,A12))</f>
        <v>5225</v>
      </c>
      <c r="C12" s="834">
        <f ca="1">SUMIFS(Paper!$N$7:$N$57,Paper!$A$7:$A$57,A12)</f>
        <v>638</v>
      </c>
      <c r="D12" s="834">
        <f ca="1">SUMIFS(Paper!$O$7:$O$57,Paper!$A$7:$A$57,A12)</f>
        <v>407</v>
      </c>
      <c r="E12" s="892" t="str">
        <f ca="1">OFFSET(input!$M$27,N12,0)</f>
        <v>None</v>
      </c>
      <c r="F12" s="893">
        <f ca="1">IF(OFFSET(input!$N$27,N12,0)&gt;0,OFFSET(input!$N$27,N12,0),SUMIFS(Data!$P$962:$P$993,Data!$L$962:$L$993,E12)*C12*D12*10000)</f>
        <v>0</v>
      </c>
      <c r="G12" s="894" t="str">
        <f ca="1">IF(F12&gt;0,SUMIFS(Data!$O$962:$O$993,Data!$L$962:$L$993,E12),"0")</f>
        <v>0</v>
      </c>
      <c r="H12" s="894">
        <f ca="1">ROUNDUP(((B12/10000)*F12),1)</f>
        <v>0</v>
      </c>
      <c r="I12" s="894">
        <f ca="1">IF(F12&gt;0,1,0)</f>
        <v>0</v>
      </c>
      <c r="J12" s="894">
        <f ca="1">I12*G12</f>
        <v>0</v>
      </c>
      <c r="K12" s="894">
        <f ca="1">IF(F12&gt;0,G12*(H12+I12),0)</f>
        <v>0</v>
      </c>
      <c r="L12" s="894">
        <f ca="1">IF(F12&gt;0,K12/$D$2,0)*(1+$L$5)</f>
        <v>0</v>
      </c>
      <c r="M12" s="136" t="str">
        <f ca="1">OFFSET(input!$F$33,O12,0)</f>
        <v>Box</v>
      </c>
      <c r="N12" s="136">
        <f t="shared" si="1"/>
        <v>4</v>
      </c>
      <c r="O12" s="136">
        <f t="shared" si="2"/>
        <v>0</v>
      </c>
      <c r="AT12" s="413">
        <f t="shared" ca="1" si="0"/>
        <v>0</v>
      </c>
      <c r="AU12" s="136">
        <f ca="1">COUNTIFS(AT$7:$AT12,1)</f>
        <v>2</v>
      </c>
    </row>
    <row r="13" spans="1:47" ht="15">
      <c r="AT13" s="413" t="str">
        <f t="shared" si="0"/>
        <v/>
      </c>
      <c r="AU13" s="136">
        <f ca="1">COUNTIFS(AT$7:$AT13,1)</f>
        <v>2</v>
      </c>
    </row>
    <row r="14" spans="1:47" ht="15">
      <c r="A14" s="333" t="str">
        <f ca="1">OFFSET(input!$A$25,O14,0)</f>
        <v>N</v>
      </c>
      <c r="B14" s="891">
        <f ca="1">IF(OFFSET(input!$O$27,N14,0)="PCS",$D$4,SUMIFS(Paper!$AC$7:$AC$57,Paper!$A$7:$A$57,A14))</f>
        <v>5225</v>
      </c>
      <c r="C14" s="834">
        <f ca="1">SUMIFS(Paper!$N$7:$N$57,Paper!$A$7:$A$57,A14)</f>
        <v>0</v>
      </c>
      <c r="D14" s="834">
        <f ca="1">SUMIFS(Paper!$O$7:$O$57,Paper!$A$7:$A$57,A14)</f>
        <v>0</v>
      </c>
      <c r="E14" s="892" t="str">
        <f ca="1">OFFSET(input!$M$27,N14,0)</f>
        <v>None</v>
      </c>
      <c r="F14" s="893">
        <f ca="1">IF(OFFSET(input!$N$27,N14,0)&gt;0,OFFSET(input!$N$27,N14,0),SUMIFS(Data!$P$962:$P$993,Data!$L$962:$L$993,E14)*C14*D14*10000)</f>
        <v>0</v>
      </c>
      <c r="G14" s="894" t="str">
        <f ca="1">IF(F14&gt;0,SUMIFS(Data!$O$962:$O$993,Data!$L$962:$L$993,E14),"0")</f>
        <v>0</v>
      </c>
      <c r="H14" s="894">
        <f ca="1">ROUNDUP(((B14/10000)*F14),1)</f>
        <v>0</v>
      </c>
      <c r="I14" s="894">
        <f ca="1">IF(F14&gt;0,1,0)</f>
        <v>0</v>
      </c>
      <c r="J14" s="894">
        <f ca="1">I14*G14</f>
        <v>0</v>
      </c>
      <c r="K14" s="894">
        <f ca="1">IF(F14&gt;0,G14*(H14+I14),0)</f>
        <v>0</v>
      </c>
      <c r="L14" s="894">
        <f ca="1">IF(F14&gt;0,K14/$D$2,0)*(1+$L$5)</f>
        <v>0</v>
      </c>
      <c r="M14" s="136" t="str">
        <f ca="1">OFFSET(input!$F$33,O14,0)</f>
        <v>N</v>
      </c>
      <c r="N14" s="136">
        <f>+N8+17</f>
        <v>17</v>
      </c>
      <c r="O14" s="136">
        <f>+O8+17</f>
        <v>17</v>
      </c>
      <c r="AT14" s="413">
        <f t="shared" ca="1" si="0"/>
        <v>0</v>
      </c>
      <c r="AU14" s="136">
        <f ca="1">COUNTIFS(AT$7:$AT14,1)</f>
        <v>2</v>
      </c>
    </row>
    <row r="15" spans="1:47" ht="15">
      <c r="A15" s="333" t="str">
        <f ca="1">OFFSET(input!$A$25,O15,0)</f>
        <v>N</v>
      </c>
      <c r="B15" s="891">
        <f ca="1">IF(OFFSET(input!$O$27,N15,0)="PCS",$D$4,SUMIFS(Paper!$AC$7:$AC$57,Paper!$A$7:$A$57,A15))</f>
        <v>5225</v>
      </c>
      <c r="C15" s="834">
        <f ca="1">SUMIFS(Paper!$N$7:$N$57,Paper!$A$7:$A$57,A15)</f>
        <v>0</v>
      </c>
      <c r="D15" s="834">
        <f ca="1">SUMIFS(Paper!$O$7:$O$57,Paper!$A$7:$A$57,A15)</f>
        <v>0</v>
      </c>
      <c r="E15" s="892" t="str">
        <f ca="1">OFFSET(input!$M$27,N15,0)</f>
        <v>None</v>
      </c>
      <c r="F15" s="893">
        <f ca="1">IF(OFFSET(input!$N$27,N15,0)&gt;0,OFFSET(input!$N$27,N15,0),SUMIFS(Data!$P$962:$P$993,Data!$L$962:$L$993,E15)*C15*D15*10000)</f>
        <v>0</v>
      </c>
      <c r="G15" s="894" t="str">
        <f ca="1">IF(F15&gt;0,SUMIFS(Data!$O$962:$O$993,Data!$L$962:$L$993,E15),"0")</f>
        <v>0</v>
      </c>
      <c r="H15" s="894">
        <f ca="1">ROUNDUP(((B15/10000)*F15),1)</f>
        <v>0</v>
      </c>
      <c r="I15" s="894">
        <f ca="1">IF(F15&gt;0,1,0)</f>
        <v>0</v>
      </c>
      <c r="J15" s="894">
        <f ca="1">I15*G15</f>
        <v>0</v>
      </c>
      <c r="K15" s="894">
        <f ca="1">IF(F15&gt;0,G15*(H15+I15),0)</f>
        <v>0</v>
      </c>
      <c r="L15" s="894">
        <f ca="1">IF(F15&gt;0,K15/$D$2,0)*(1+$L$5)</f>
        <v>0</v>
      </c>
      <c r="M15" s="136" t="str">
        <f ca="1">OFFSET(input!$F$33,O15,0)</f>
        <v>N</v>
      </c>
      <c r="N15" s="136">
        <f t="shared" ref="N15:O18" si="3">+N9+17</f>
        <v>18</v>
      </c>
      <c r="O15" s="136">
        <f t="shared" si="3"/>
        <v>17</v>
      </c>
      <c r="AT15" s="413">
        <f t="shared" ca="1" si="0"/>
        <v>0</v>
      </c>
      <c r="AU15" s="136">
        <f ca="1">COUNTIFS(AT$7:$AT15,1)</f>
        <v>2</v>
      </c>
    </row>
    <row r="16" spans="1:47" ht="15">
      <c r="A16" s="333" t="str">
        <f ca="1">OFFSET(input!$A$25,O16,0)</f>
        <v>N</v>
      </c>
      <c r="B16" s="891">
        <f ca="1">IF(OFFSET(input!$O$27,N16,0)="PCS",$D$4,SUMIFS(Paper!$AC$7:$AC$57,Paper!$A$7:$A$57,A16))</f>
        <v>5225</v>
      </c>
      <c r="C16" s="834">
        <f ca="1">SUMIFS(Paper!$N$7:$N$57,Paper!$A$7:$A$57,A16)</f>
        <v>0</v>
      </c>
      <c r="D16" s="834">
        <f ca="1">SUMIFS(Paper!$O$7:$O$57,Paper!$A$7:$A$57,A16)</f>
        <v>0</v>
      </c>
      <c r="E16" s="892" t="str">
        <f ca="1">OFFSET(input!$M$27,N16,0)</f>
        <v>None</v>
      </c>
      <c r="F16" s="893">
        <f ca="1">IF(OFFSET(input!$N$27,N16,0)&gt;0,OFFSET(input!$N$27,N16,0),SUMIFS(Data!$P$962:$P$993,Data!$L$962:$L$993,E16)*C16*D16*10000)</f>
        <v>0</v>
      </c>
      <c r="G16" s="894" t="str">
        <f ca="1">IF(F16&gt;0,SUMIFS(Data!$O$962:$O$993,Data!$L$962:$L$993,E16),"0")</f>
        <v>0</v>
      </c>
      <c r="H16" s="894">
        <f ca="1">ROUNDUP(((B16/10000)*F16),1)</f>
        <v>0</v>
      </c>
      <c r="I16" s="894">
        <f ca="1">IF(F16&gt;0,1,0)</f>
        <v>0</v>
      </c>
      <c r="J16" s="894">
        <f ca="1">I16*G16</f>
        <v>0</v>
      </c>
      <c r="K16" s="894">
        <f ca="1">IF(F16&gt;0,G16*(H16+I16),0)</f>
        <v>0</v>
      </c>
      <c r="L16" s="894">
        <f ca="1">IF(F16&gt;0,K16/$D$2,0)*(1+$L$5)</f>
        <v>0</v>
      </c>
      <c r="M16" s="136" t="str">
        <f ca="1">OFFSET(input!$F$33,O16,0)</f>
        <v>N</v>
      </c>
      <c r="N16" s="136">
        <f t="shared" si="3"/>
        <v>19</v>
      </c>
      <c r="O16" s="136">
        <f t="shared" si="3"/>
        <v>17</v>
      </c>
      <c r="AT16" s="413">
        <f t="shared" ca="1" si="0"/>
        <v>0</v>
      </c>
      <c r="AU16" s="136">
        <f ca="1">COUNTIFS(AT$7:$AT16,1)</f>
        <v>2</v>
      </c>
    </row>
    <row r="17" spans="1:47" ht="15">
      <c r="A17" s="333" t="str">
        <f ca="1">OFFSET(input!$A$25,O17,0)</f>
        <v>N</v>
      </c>
      <c r="B17" s="891">
        <f ca="1">IF(OFFSET(input!$O$27,N17,0)="PCS",$D$4,SUMIFS(Paper!$AC$7:$AC$57,Paper!$A$7:$A$57,A17))</f>
        <v>5225</v>
      </c>
      <c r="C17" s="834">
        <f ca="1">SUMIFS(Paper!$N$7:$N$57,Paper!$A$7:$A$57,A17)</f>
        <v>0</v>
      </c>
      <c r="D17" s="834">
        <f ca="1">SUMIFS(Paper!$O$7:$O$57,Paper!$A$7:$A$57,A17)</f>
        <v>0</v>
      </c>
      <c r="E17" s="892" t="str">
        <f ca="1">OFFSET(input!$M$27,N17,0)</f>
        <v>None</v>
      </c>
      <c r="F17" s="893">
        <f ca="1">IF(OFFSET(input!$N$27,N17,0)&gt;0,OFFSET(input!$N$27,N17,0),SUMIFS(Data!$P$962:$P$993,Data!$L$962:$L$993,E17)*C17*D17*10000)</f>
        <v>0</v>
      </c>
      <c r="G17" s="894" t="str">
        <f ca="1">IF(F17&gt;0,SUMIFS(Data!$O$962:$O$993,Data!$L$962:$L$993,E17),"0")</f>
        <v>0</v>
      </c>
      <c r="H17" s="894">
        <f ca="1">ROUNDUP(((B17/10000)*F17),1)</f>
        <v>0</v>
      </c>
      <c r="I17" s="894">
        <f ca="1">IF(F17&gt;0,1,0)</f>
        <v>0</v>
      </c>
      <c r="J17" s="894">
        <f ca="1">I17*G17</f>
        <v>0</v>
      </c>
      <c r="K17" s="894">
        <f ca="1">IF(F17&gt;0,G17*(H17+I17),0)</f>
        <v>0</v>
      </c>
      <c r="L17" s="894">
        <f ca="1">IF(F17&gt;0,K17/$D$2,0)*(1+$L$5)</f>
        <v>0</v>
      </c>
      <c r="M17" s="136" t="str">
        <f ca="1">OFFSET(input!$F$33,O17,0)</f>
        <v>N</v>
      </c>
      <c r="N17" s="136">
        <f t="shared" si="3"/>
        <v>20</v>
      </c>
      <c r="O17" s="136">
        <f t="shared" si="3"/>
        <v>17</v>
      </c>
      <c r="AT17" s="413">
        <f t="shared" ca="1" si="0"/>
        <v>0</v>
      </c>
      <c r="AU17" s="136">
        <f ca="1">COUNTIFS(AT$7:$AT17,1)</f>
        <v>2</v>
      </c>
    </row>
    <row r="18" spans="1:47" ht="15">
      <c r="A18" s="333" t="str">
        <f ca="1">OFFSET(input!$A$25,O18,0)</f>
        <v>N</v>
      </c>
      <c r="B18" s="891">
        <f ca="1">IF(OFFSET(input!$O$27,N18,0)="PCS",$D$4,SUMIFS(Paper!$AC$7:$AC$57,Paper!$A$7:$A$57,A18))</f>
        <v>5225</v>
      </c>
      <c r="C18" s="834">
        <f ca="1">SUMIFS(Paper!$N$7:$N$57,Paper!$A$7:$A$57,A18)</f>
        <v>0</v>
      </c>
      <c r="D18" s="834">
        <f ca="1">SUMIFS(Paper!$O$7:$O$57,Paper!$A$7:$A$57,A18)</f>
        <v>0</v>
      </c>
      <c r="E18" s="892" t="str">
        <f ca="1">OFFSET(input!$M$27,N18,0)</f>
        <v>None</v>
      </c>
      <c r="F18" s="893">
        <f ca="1">IF(OFFSET(input!$N$27,N18,0)&gt;0,OFFSET(input!$N$27,N18,0),SUMIFS(Data!$P$962:$P$993,Data!$L$962:$L$993,E18)*C18*D18*10000)</f>
        <v>0</v>
      </c>
      <c r="G18" s="894" t="str">
        <f ca="1">IF(F18&gt;0,SUMIFS(Data!$O$962:$O$993,Data!$L$962:$L$993,E18),"0")</f>
        <v>0</v>
      </c>
      <c r="H18" s="894">
        <f ca="1">ROUNDUP(((B18/10000)*F18),1)</f>
        <v>0</v>
      </c>
      <c r="I18" s="894">
        <f ca="1">IF(F18&gt;0,1,0)</f>
        <v>0</v>
      </c>
      <c r="J18" s="894">
        <f ca="1">I18*G18</f>
        <v>0</v>
      </c>
      <c r="K18" s="894">
        <f ca="1">IF(F18&gt;0,G18*(H18+I18),0)</f>
        <v>0</v>
      </c>
      <c r="L18" s="894">
        <f ca="1">IF(F18&gt;0,K18/$D$2,0)*(1+$L$5)</f>
        <v>0</v>
      </c>
      <c r="M18" s="136" t="str">
        <f ca="1">OFFSET(input!$F$33,O18,0)</f>
        <v>N</v>
      </c>
      <c r="N18" s="136">
        <f t="shared" si="3"/>
        <v>21</v>
      </c>
      <c r="O18" s="136">
        <f t="shared" si="3"/>
        <v>17</v>
      </c>
      <c r="AT18" s="413">
        <f t="shared" ca="1" si="0"/>
        <v>0</v>
      </c>
      <c r="AU18" s="136">
        <f ca="1">COUNTIFS(AT$7:$AT18,1)</f>
        <v>2</v>
      </c>
    </row>
    <row r="19" spans="1:47" ht="15">
      <c r="AT19" s="413" t="str">
        <f t="shared" si="0"/>
        <v/>
      </c>
      <c r="AU19" s="136">
        <f ca="1">COUNTIFS(AT$7:$AT19,1)</f>
        <v>2</v>
      </c>
    </row>
    <row r="20" spans="1:47" ht="15">
      <c r="A20" s="333" t="str">
        <f ca="1">OFFSET(input!$A$25,O20,0)</f>
        <v>N</v>
      </c>
      <c r="B20" s="891">
        <f ca="1">IF(OFFSET(input!$O$27,N20,0)="PCS",$D$4,SUMIFS(Paper!$AC$7:$AC$57,Paper!$A$7:$A$57,A20))</f>
        <v>5225</v>
      </c>
      <c r="C20" s="834">
        <f ca="1">SUMIFS(Paper!$N$7:$N$57,Paper!$A$7:$A$57,A20)</f>
        <v>0</v>
      </c>
      <c r="D20" s="834">
        <f ca="1">SUMIFS(Paper!$O$7:$O$57,Paper!$A$7:$A$57,A20)</f>
        <v>0</v>
      </c>
      <c r="E20" s="892" t="str">
        <f ca="1">OFFSET(input!$M$27,N20,0)</f>
        <v>None</v>
      </c>
      <c r="F20" s="893">
        <f ca="1">IF(OFFSET(input!$N$27,N20,0)&gt;0,OFFSET(input!$N$27,N20,0),SUMIFS(Data!$P$962:$P$993,Data!$L$962:$L$993,E20)*C20*D20*10000)</f>
        <v>0</v>
      </c>
      <c r="G20" s="894" t="str">
        <f ca="1">IF(F20&gt;0,SUMIFS(Data!$O$962:$O$993,Data!$L$962:$L$993,E20),"0")</f>
        <v>0</v>
      </c>
      <c r="H20" s="894">
        <f ca="1">ROUNDUP(((B20/10000)*F20),1)</f>
        <v>0</v>
      </c>
      <c r="I20" s="894">
        <f ca="1">IF(F20&gt;0,1,0)</f>
        <v>0</v>
      </c>
      <c r="J20" s="894">
        <f ca="1">I20*G20</f>
        <v>0</v>
      </c>
      <c r="K20" s="894">
        <f ca="1">IF(F20&gt;0,G20*(H20+I20),0)</f>
        <v>0</v>
      </c>
      <c r="L20" s="894">
        <f ca="1">IF(F20&gt;0,K20/$D$2,0)*(1+$L$5)</f>
        <v>0</v>
      </c>
      <c r="M20" s="136" t="str">
        <f ca="1">OFFSET(input!$F$33,O20,0)</f>
        <v>N</v>
      </c>
      <c r="N20" s="136">
        <f>+N14+17</f>
        <v>34</v>
      </c>
      <c r="O20" s="136">
        <f>+O14+17</f>
        <v>34</v>
      </c>
      <c r="AT20" s="413">
        <f t="shared" ca="1" si="0"/>
        <v>0</v>
      </c>
      <c r="AU20" s="136">
        <f ca="1">COUNTIFS(AT$7:$AT20,1)</f>
        <v>2</v>
      </c>
    </row>
    <row r="21" spans="1:47" ht="15">
      <c r="A21" s="333" t="str">
        <f ca="1">OFFSET(input!$A$25,O21,0)</f>
        <v>N</v>
      </c>
      <c r="B21" s="891">
        <f ca="1">IF(OFFSET(input!$O$27,N21,0)="PCS",$D$4,SUMIFS(Paper!$AC$7:$AC$57,Paper!$A$7:$A$57,A21))</f>
        <v>5225</v>
      </c>
      <c r="C21" s="834">
        <f ca="1">SUMIFS(Paper!$N$7:$N$57,Paper!$A$7:$A$57,A21)</f>
        <v>0</v>
      </c>
      <c r="D21" s="834">
        <f ca="1">SUMIFS(Paper!$O$7:$O$57,Paper!$A$7:$A$57,A21)</f>
        <v>0</v>
      </c>
      <c r="E21" s="892" t="str">
        <f ca="1">OFFSET(input!$M$27,N21,0)</f>
        <v>None</v>
      </c>
      <c r="F21" s="893">
        <f ca="1">IF(OFFSET(input!$N$27,N21,0)&gt;0,OFFSET(input!$N$27,N21,0),SUMIFS(Data!$P$962:$P$993,Data!$L$962:$L$993,E21)*C21*D21*10000)</f>
        <v>0</v>
      </c>
      <c r="G21" s="894" t="str">
        <f ca="1">IF(F21&gt;0,SUMIFS(Data!$O$962:$O$993,Data!$L$962:$L$993,E21),"0")</f>
        <v>0</v>
      </c>
      <c r="H21" s="894">
        <f ca="1">ROUNDUP(((B21/10000)*F21),1)</f>
        <v>0</v>
      </c>
      <c r="I21" s="894">
        <f ca="1">IF(F21&gt;0,1,0)</f>
        <v>0</v>
      </c>
      <c r="J21" s="894">
        <f ca="1">I21*G21</f>
        <v>0</v>
      </c>
      <c r="K21" s="894">
        <f ca="1">IF(F21&gt;0,G21*(H21+I21),0)</f>
        <v>0</v>
      </c>
      <c r="L21" s="894">
        <f ca="1">IF(F21&gt;0,K21/$D$2,0)*(1+$L$5)</f>
        <v>0</v>
      </c>
      <c r="M21" s="136" t="str">
        <f ca="1">OFFSET(input!$F$33,O21,0)</f>
        <v>N</v>
      </c>
      <c r="N21" s="136">
        <f t="shared" ref="N21:O21" si="4">+N15+17</f>
        <v>35</v>
      </c>
      <c r="O21" s="136">
        <f t="shared" si="4"/>
        <v>34</v>
      </c>
      <c r="AT21" s="413">
        <f t="shared" ca="1" si="0"/>
        <v>0</v>
      </c>
      <c r="AU21" s="136">
        <f ca="1">COUNTIFS(AT$7:$AT21,1)</f>
        <v>2</v>
      </c>
    </row>
    <row r="22" spans="1:47" ht="15">
      <c r="A22" s="333" t="str">
        <f ca="1">OFFSET(input!$A$25,O22,0)</f>
        <v>N</v>
      </c>
      <c r="B22" s="891">
        <f ca="1">IF(OFFSET(input!$O$27,N22,0)="PCS",$D$4,SUMIFS(Paper!$AC$7:$AC$57,Paper!$A$7:$A$57,A22))</f>
        <v>5225</v>
      </c>
      <c r="C22" s="834">
        <f ca="1">SUMIFS(Paper!$N$7:$N$57,Paper!$A$7:$A$57,A22)</f>
        <v>0</v>
      </c>
      <c r="D22" s="834">
        <f ca="1">SUMIFS(Paper!$O$7:$O$57,Paper!$A$7:$A$57,A22)</f>
        <v>0</v>
      </c>
      <c r="E22" s="892" t="str">
        <f ca="1">OFFSET(input!$M$27,N22,0)</f>
        <v>None</v>
      </c>
      <c r="F22" s="893">
        <f ca="1">IF(OFFSET(input!$N$27,N22,0)&gt;0,OFFSET(input!$N$27,N22,0),SUMIFS(Data!$P$962:$P$993,Data!$L$962:$L$993,E22)*C22*D22*10000)</f>
        <v>0</v>
      </c>
      <c r="G22" s="894" t="str">
        <f ca="1">IF(F22&gt;0,SUMIFS(Data!$O$962:$O$993,Data!$L$962:$L$993,E22),"0")</f>
        <v>0</v>
      </c>
      <c r="H22" s="894">
        <f ca="1">ROUNDUP(((B22/10000)*F22),1)</f>
        <v>0</v>
      </c>
      <c r="I22" s="894">
        <f ca="1">IF(F22&gt;0,1,0)</f>
        <v>0</v>
      </c>
      <c r="J22" s="894">
        <f ca="1">I22*G22</f>
        <v>0</v>
      </c>
      <c r="K22" s="894">
        <f ca="1">IF(F22&gt;0,G22*(H22+I22),0)</f>
        <v>0</v>
      </c>
      <c r="L22" s="894">
        <f ca="1">IF(F22&gt;0,K22/$D$2,0)*(1+$L$5)</f>
        <v>0</v>
      </c>
      <c r="M22" s="136" t="str">
        <f ca="1">OFFSET(input!$F$33,O22,0)</f>
        <v>N</v>
      </c>
      <c r="N22" s="136">
        <f t="shared" ref="N22:O22" si="5">+N16+17</f>
        <v>36</v>
      </c>
      <c r="O22" s="136">
        <f t="shared" si="5"/>
        <v>34</v>
      </c>
      <c r="AT22" s="413">
        <f t="shared" ca="1" si="0"/>
        <v>0</v>
      </c>
      <c r="AU22" s="136">
        <f ca="1">COUNTIFS(AT$7:$AT22,1)</f>
        <v>2</v>
      </c>
    </row>
    <row r="23" spans="1:47" ht="15">
      <c r="A23" s="333" t="str">
        <f ca="1">OFFSET(input!$A$25,O23,0)</f>
        <v>N</v>
      </c>
      <c r="B23" s="891">
        <f ca="1">IF(OFFSET(input!$O$27,N23,0)="PCS",$D$4,SUMIFS(Paper!$AC$7:$AC$57,Paper!$A$7:$A$57,A23))</f>
        <v>5225</v>
      </c>
      <c r="C23" s="834">
        <f ca="1">SUMIFS(Paper!$N$7:$N$57,Paper!$A$7:$A$57,A23)</f>
        <v>0</v>
      </c>
      <c r="D23" s="834">
        <f ca="1">SUMIFS(Paper!$O$7:$O$57,Paper!$A$7:$A$57,A23)</f>
        <v>0</v>
      </c>
      <c r="E23" s="892" t="str">
        <f ca="1">OFFSET(input!$M$27,N23,0)</f>
        <v>None</v>
      </c>
      <c r="F23" s="893">
        <f ca="1">IF(OFFSET(input!$N$27,N23,0)&gt;0,OFFSET(input!$N$27,N23,0),SUMIFS(Data!$P$962:$P$993,Data!$L$962:$L$993,E23)*C23*D23*10000)</f>
        <v>0</v>
      </c>
      <c r="G23" s="894" t="str">
        <f ca="1">IF(F23&gt;0,SUMIFS(Data!$O$962:$O$993,Data!$L$962:$L$993,E23),"0")</f>
        <v>0</v>
      </c>
      <c r="H23" s="894">
        <f ca="1">ROUNDUP(((B23/10000)*F23),1)</f>
        <v>0</v>
      </c>
      <c r="I23" s="894">
        <f ca="1">IF(F23&gt;0,1,0)</f>
        <v>0</v>
      </c>
      <c r="J23" s="894">
        <f ca="1">I23*G23</f>
        <v>0</v>
      </c>
      <c r="K23" s="894">
        <f ca="1">IF(F23&gt;0,G23*(H23+I23),0)</f>
        <v>0</v>
      </c>
      <c r="L23" s="894">
        <f ca="1">IF(F23&gt;0,K23/$D$2,0)*(1+$L$5)</f>
        <v>0</v>
      </c>
      <c r="M23" s="136" t="str">
        <f ca="1">OFFSET(input!$F$33,O23,0)</f>
        <v>N</v>
      </c>
      <c r="N23" s="136">
        <f t="shared" ref="N23:O23" si="6">+N17+17</f>
        <v>37</v>
      </c>
      <c r="O23" s="136">
        <f t="shared" si="6"/>
        <v>34</v>
      </c>
      <c r="AT23" s="413">
        <f t="shared" ca="1" si="0"/>
        <v>0</v>
      </c>
      <c r="AU23" s="136">
        <f ca="1">COUNTIFS(AT$7:$AT23,1)</f>
        <v>2</v>
      </c>
    </row>
    <row r="24" spans="1:47" ht="15">
      <c r="A24" s="333" t="str">
        <f ca="1">OFFSET(input!$A$25,O24,0)</f>
        <v>N</v>
      </c>
      <c r="B24" s="891">
        <f ca="1">IF(OFFSET(input!$O$27,N24,0)="PCS",$D$4,SUMIFS(Paper!$AC$7:$AC$57,Paper!$A$7:$A$57,A24))</f>
        <v>5225</v>
      </c>
      <c r="C24" s="834">
        <f ca="1">SUMIFS(Paper!$N$7:$N$57,Paper!$A$7:$A$57,A24)</f>
        <v>0</v>
      </c>
      <c r="D24" s="834">
        <f ca="1">SUMIFS(Paper!$O$7:$O$57,Paper!$A$7:$A$57,A24)</f>
        <v>0</v>
      </c>
      <c r="E24" s="892" t="str">
        <f ca="1">OFFSET(input!$M$27,N24,0)</f>
        <v>None</v>
      </c>
      <c r="F24" s="893">
        <f ca="1">IF(OFFSET(input!$N$27,N24,0)&gt;0,OFFSET(input!$N$27,N24,0),SUMIFS(Data!$P$962:$P$993,Data!$L$962:$L$993,E24)*C24*D24*10000)</f>
        <v>0</v>
      </c>
      <c r="G24" s="894" t="str">
        <f ca="1">IF(F24&gt;0,SUMIFS(Data!$O$962:$O$993,Data!$L$962:$L$993,E24),"0")</f>
        <v>0</v>
      </c>
      <c r="H24" s="894">
        <f ca="1">ROUNDUP(((B24/10000)*F24),1)</f>
        <v>0</v>
      </c>
      <c r="I24" s="894">
        <f ca="1">IF(F24&gt;0,1,0)</f>
        <v>0</v>
      </c>
      <c r="J24" s="894">
        <f ca="1">I24*G24</f>
        <v>0</v>
      </c>
      <c r="K24" s="894">
        <f ca="1">IF(F24&gt;0,G24*(H24+I24),0)</f>
        <v>0</v>
      </c>
      <c r="L24" s="894">
        <f ca="1">IF(F24&gt;0,K24/$D$2,0)*(1+$L$5)</f>
        <v>0</v>
      </c>
      <c r="M24" s="136" t="str">
        <f ca="1">OFFSET(input!$F$33,O24,0)</f>
        <v>N</v>
      </c>
      <c r="N24" s="136">
        <f t="shared" ref="N24:O24" si="7">+N18+17</f>
        <v>38</v>
      </c>
      <c r="O24" s="136">
        <f t="shared" si="7"/>
        <v>34</v>
      </c>
      <c r="AT24" s="413">
        <f t="shared" ca="1" si="0"/>
        <v>0</v>
      </c>
      <c r="AU24" s="136">
        <f ca="1">COUNTIFS(AT$7:$AT24,1)</f>
        <v>2</v>
      </c>
    </row>
    <row r="25" spans="1:47" ht="15">
      <c r="AT25" s="413" t="str">
        <f t="shared" si="0"/>
        <v/>
      </c>
      <c r="AU25" s="136">
        <f ca="1">COUNTIFS(AT$7:$AT25,1)</f>
        <v>2</v>
      </c>
    </row>
    <row r="26" spans="1:47" ht="15">
      <c r="A26" s="333" t="str">
        <f ca="1">OFFSET(input!$A$25,O26,0)</f>
        <v>N</v>
      </c>
      <c r="B26" s="891">
        <f ca="1">IF(OFFSET(input!$O$27,N26,0)="PCS",$D$4,SUMIFS(Paper!$AC$7:$AC$57,Paper!$A$7:$A$57,A26))</f>
        <v>5225</v>
      </c>
      <c r="C26" s="834">
        <f ca="1">SUMIFS(Paper!$N$7:$N$57,Paper!$A$7:$A$57,A26)</f>
        <v>0</v>
      </c>
      <c r="D26" s="834">
        <f ca="1">SUMIFS(Paper!$O$7:$O$57,Paper!$A$7:$A$57,A26)</f>
        <v>0</v>
      </c>
      <c r="E26" s="892" t="str">
        <f ca="1">OFFSET(input!$M$27,N26,0)</f>
        <v>None</v>
      </c>
      <c r="F26" s="893">
        <f ca="1">IF(OFFSET(input!$N$27,N26,0)&gt;0,OFFSET(input!$N$27,N26,0),SUMIFS(Data!$P$962:$P$993,Data!$L$962:$L$993,E26)*C26*D26*10000)</f>
        <v>0</v>
      </c>
      <c r="G26" s="894" t="str">
        <f ca="1">IF(F26&gt;0,SUMIFS(Data!$O$962:$O$993,Data!$L$962:$L$993,E26),"0")</f>
        <v>0</v>
      </c>
      <c r="H26" s="894">
        <f ca="1">ROUNDUP(((B26/10000)*F26),1)</f>
        <v>0</v>
      </c>
      <c r="I26" s="894">
        <f ca="1">IF(F26&gt;0,1,0)</f>
        <v>0</v>
      </c>
      <c r="J26" s="894">
        <f ca="1">I26*G26</f>
        <v>0</v>
      </c>
      <c r="K26" s="894">
        <f ca="1">IF(F26&gt;0,G26*(H26+I26),0)</f>
        <v>0</v>
      </c>
      <c r="L26" s="894">
        <f ca="1">IF(F26&gt;0,K26/$D$2,0)*(1+$L$5)</f>
        <v>0</v>
      </c>
      <c r="M26" s="136" t="str">
        <f ca="1">OFFSET(input!$F$33,O26,0)</f>
        <v>N</v>
      </c>
      <c r="N26" s="136">
        <f>+N20+17</f>
        <v>51</v>
      </c>
      <c r="O26" s="136">
        <f>+O20+17</f>
        <v>51</v>
      </c>
      <c r="AT26" s="413">
        <f t="shared" ca="1" si="0"/>
        <v>0</v>
      </c>
      <c r="AU26" s="136">
        <f ca="1">COUNTIFS(AT$7:$AT26,1)</f>
        <v>2</v>
      </c>
    </row>
    <row r="27" spans="1:47" ht="15">
      <c r="A27" s="333" t="str">
        <f ca="1">OFFSET(input!$A$25,O27,0)</f>
        <v>N</v>
      </c>
      <c r="B27" s="891">
        <f ca="1">IF(OFFSET(input!$O$27,N27,0)="PCS",$D$4,SUMIFS(Paper!$AC$7:$AC$57,Paper!$A$7:$A$57,A27))</f>
        <v>5225</v>
      </c>
      <c r="C27" s="834">
        <f ca="1">SUMIFS(Paper!$N$7:$N$57,Paper!$A$7:$A$57,A27)</f>
        <v>0</v>
      </c>
      <c r="D27" s="834">
        <f ca="1">SUMIFS(Paper!$O$7:$O$57,Paper!$A$7:$A$57,A27)</f>
        <v>0</v>
      </c>
      <c r="E27" s="892" t="str">
        <f ca="1">OFFSET(input!$M$27,N27,0)</f>
        <v>None</v>
      </c>
      <c r="F27" s="893">
        <f ca="1">IF(OFFSET(input!$N$27,N27,0)&gt;0,OFFSET(input!$N$27,N27,0),SUMIFS(Data!$P$962:$P$993,Data!$L$962:$L$993,E27)*C27*D27*10000)</f>
        <v>0</v>
      </c>
      <c r="G27" s="894" t="str">
        <f ca="1">IF(F27&gt;0,SUMIFS(Data!$O$962:$O$993,Data!$L$962:$L$993,E27),"0")</f>
        <v>0</v>
      </c>
      <c r="H27" s="894">
        <f ca="1">ROUNDUP(((B27/10000)*F27),1)</f>
        <v>0</v>
      </c>
      <c r="I27" s="894">
        <f ca="1">IF(F27&gt;0,1,0)</f>
        <v>0</v>
      </c>
      <c r="J27" s="894">
        <f ca="1">I27*G27</f>
        <v>0</v>
      </c>
      <c r="K27" s="894">
        <f ca="1">IF(F27&gt;0,G27*(H27+I27),0)</f>
        <v>0</v>
      </c>
      <c r="L27" s="894">
        <f ca="1">IF(F27&gt;0,K27/$D$2,0)*(1+$L$5)</f>
        <v>0</v>
      </c>
      <c r="M27" s="136" t="str">
        <f ca="1">OFFSET(input!$F$33,O27,0)</f>
        <v>N</v>
      </c>
      <c r="N27" s="136">
        <f t="shared" ref="N27:O27" si="8">+N21+17</f>
        <v>52</v>
      </c>
      <c r="O27" s="136">
        <f t="shared" si="8"/>
        <v>51</v>
      </c>
      <c r="AT27" s="413">
        <f t="shared" ca="1" si="0"/>
        <v>0</v>
      </c>
      <c r="AU27" s="136">
        <f ca="1">COUNTIFS(AT$7:$AT27,1)</f>
        <v>2</v>
      </c>
    </row>
    <row r="28" spans="1:47" ht="15">
      <c r="A28" s="333" t="str">
        <f ca="1">OFFSET(input!$A$25,O28,0)</f>
        <v>N</v>
      </c>
      <c r="B28" s="891">
        <f ca="1">IF(OFFSET(input!$O$27,N28,0)="PCS",$D$4,SUMIFS(Paper!$AC$7:$AC$57,Paper!$A$7:$A$57,A28))</f>
        <v>5225</v>
      </c>
      <c r="C28" s="834">
        <f ca="1">SUMIFS(Paper!$N$7:$N$57,Paper!$A$7:$A$57,A28)</f>
        <v>0</v>
      </c>
      <c r="D28" s="834">
        <f ca="1">SUMIFS(Paper!$O$7:$O$57,Paper!$A$7:$A$57,A28)</f>
        <v>0</v>
      </c>
      <c r="E28" s="892" t="str">
        <f ca="1">OFFSET(input!$M$27,N28,0)</f>
        <v>None</v>
      </c>
      <c r="F28" s="893">
        <f ca="1">IF(OFFSET(input!$N$27,N28,0)&gt;0,OFFSET(input!$N$27,N28,0),SUMIFS(Data!$P$962:$P$993,Data!$L$962:$L$993,E28)*C28*D28*10000)</f>
        <v>0</v>
      </c>
      <c r="G28" s="894" t="str">
        <f ca="1">IF(F28&gt;0,SUMIFS(Data!$O$962:$O$993,Data!$L$962:$L$993,E28),"0")</f>
        <v>0</v>
      </c>
      <c r="H28" s="894">
        <f ca="1">ROUNDUP(((B28/10000)*F28),1)</f>
        <v>0</v>
      </c>
      <c r="I28" s="894">
        <f ca="1">IF(F28&gt;0,1,0)</f>
        <v>0</v>
      </c>
      <c r="J28" s="894">
        <f ca="1">I28*G28</f>
        <v>0</v>
      </c>
      <c r="K28" s="894">
        <f ca="1">IF(F28&gt;0,G28*(H28+I28),0)</f>
        <v>0</v>
      </c>
      <c r="L28" s="894">
        <f ca="1">IF(F28&gt;0,K28/$D$2,0)*(1+$L$5)</f>
        <v>0</v>
      </c>
      <c r="M28" s="136" t="str">
        <f ca="1">OFFSET(input!$F$33,O28,0)</f>
        <v>N</v>
      </c>
      <c r="N28" s="136">
        <f t="shared" ref="N28:O28" si="9">+N22+17</f>
        <v>53</v>
      </c>
      <c r="O28" s="136">
        <f t="shared" si="9"/>
        <v>51</v>
      </c>
      <c r="AT28" s="413">
        <f t="shared" ca="1" si="0"/>
        <v>0</v>
      </c>
      <c r="AU28" s="136">
        <f ca="1">COUNTIFS(AT$7:$AT28,1)</f>
        <v>2</v>
      </c>
    </row>
    <row r="29" spans="1:47" ht="15">
      <c r="A29" s="333" t="str">
        <f ca="1">OFFSET(input!$A$25,O29,0)</f>
        <v>N</v>
      </c>
      <c r="B29" s="891">
        <f ca="1">IF(OFFSET(input!$O$27,N29,0)="PCS",$D$4,SUMIFS(Paper!$AC$7:$AC$57,Paper!$A$7:$A$57,A29))</f>
        <v>5225</v>
      </c>
      <c r="C29" s="834">
        <f ca="1">SUMIFS(Paper!$N$7:$N$57,Paper!$A$7:$A$57,A29)</f>
        <v>0</v>
      </c>
      <c r="D29" s="834">
        <f ca="1">SUMIFS(Paper!$O$7:$O$57,Paper!$A$7:$A$57,A29)</f>
        <v>0</v>
      </c>
      <c r="E29" s="892" t="str">
        <f ca="1">OFFSET(input!$M$27,N29,0)</f>
        <v>None</v>
      </c>
      <c r="F29" s="893">
        <f ca="1">IF(OFFSET(input!$N$27,N29,0)&gt;0,OFFSET(input!$N$27,N29,0),SUMIFS(Data!$P$962:$P$993,Data!$L$962:$L$993,E29)*C29*D29*10000)</f>
        <v>0</v>
      </c>
      <c r="G29" s="894" t="str">
        <f ca="1">IF(F29&gt;0,SUMIFS(Data!$O$962:$O$993,Data!$L$962:$L$993,E29),"0")</f>
        <v>0</v>
      </c>
      <c r="H29" s="894">
        <f ca="1">ROUNDUP(((B29/10000)*F29),1)</f>
        <v>0</v>
      </c>
      <c r="I29" s="894">
        <f ca="1">IF(F29&gt;0,1,0)</f>
        <v>0</v>
      </c>
      <c r="J29" s="894">
        <f ca="1">I29*G29</f>
        <v>0</v>
      </c>
      <c r="K29" s="894">
        <f ca="1">IF(F29&gt;0,G29*(H29+I29),0)</f>
        <v>0</v>
      </c>
      <c r="L29" s="894">
        <f ca="1">IF(F29&gt;0,K29/$D$2,0)*(1+$L$5)</f>
        <v>0</v>
      </c>
      <c r="M29" s="136" t="str">
        <f ca="1">OFFSET(input!$F$33,O29,0)</f>
        <v>N</v>
      </c>
      <c r="N29" s="136">
        <f t="shared" ref="N29:O29" si="10">+N23+17</f>
        <v>54</v>
      </c>
      <c r="O29" s="136">
        <f t="shared" si="10"/>
        <v>51</v>
      </c>
      <c r="AT29" s="413">
        <f t="shared" ca="1" si="0"/>
        <v>0</v>
      </c>
      <c r="AU29" s="136">
        <f ca="1">COUNTIFS(AT$7:$AT29,1)</f>
        <v>2</v>
      </c>
    </row>
    <row r="30" spans="1:47" ht="15">
      <c r="A30" s="333" t="str">
        <f ca="1">OFFSET(input!$A$25,O30,0)</f>
        <v>N</v>
      </c>
      <c r="B30" s="891">
        <f ca="1">IF(OFFSET(input!$O$27,N30,0)="PCS",$D$4,SUMIFS(Paper!$AC$7:$AC$57,Paper!$A$7:$A$57,A30))</f>
        <v>5225</v>
      </c>
      <c r="C30" s="834">
        <f ca="1">SUMIFS(Paper!$N$7:$N$57,Paper!$A$7:$A$57,A30)</f>
        <v>0</v>
      </c>
      <c r="D30" s="834">
        <f ca="1">SUMIFS(Paper!$O$7:$O$57,Paper!$A$7:$A$57,A30)</f>
        <v>0</v>
      </c>
      <c r="E30" s="892" t="str">
        <f ca="1">OFFSET(input!$M$27,N30,0)</f>
        <v>None</v>
      </c>
      <c r="F30" s="893">
        <f ca="1">IF(OFFSET(input!$N$27,N30,0)&gt;0,OFFSET(input!$N$27,N30,0),SUMIFS(Data!$P$962:$P$993,Data!$L$962:$L$993,E30)*C30*D30*10000)</f>
        <v>0</v>
      </c>
      <c r="G30" s="894" t="str">
        <f ca="1">IF(F30&gt;0,SUMIFS(Data!$O$962:$O$993,Data!$L$962:$L$993,E30),"0")</f>
        <v>0</v>
      </c>
      <c r="H30" s="894">
        <f ca="1">ROUNDUP(((B30/10000)*F30),1)</f>
        <v>0</v>
      </c>
      <c r="I30" s="894">
        <f ca="1">IF(F30&gt;0,1,0)</f>
        <v>0</v>
      </c>
      <c r="J30" s="894">
        <f ca="1">I30*G30</f>
        <v>0</v>
      </c>
      <c r="K30" s="894">
        <f ca="1">IF(F30&gt;0,G30*(H30+I30),0)</f>
        <v>0</v>
      </c>
      <c r="L30" s="894">
        <f ca="1">IF(F30&gt;0,K30/$D$2,0)*(1+$L$5)</f>
        <v>0</v>
      </c>
      <c r="M30" s="136" t="str">
        <f ca="1">OFFSET(input!$F$33,O30,0)</f>
        <v>N</v>
      </c>
      <c r="N30" s="136">
        <f t="shared" ref="N30:O30" si="11">+N24+17</f>
        <v>55</v>
      </c>
      <c r="O30" s="136">
        <f t="shared" si="11"/>
        <v>51</v>
      </c>
      <c r="AT30" s="413">
        <f t="shared" ca="1" si="0"/>
        <v>0</v>
      </c>
      <c r="AU30" s="136">
        <f ca="1">COUNTIFS(AT$7:$AT30,1)</f>
        <v>2</v>
      </c>
    </row>
    <row r="31" spans="1:47" ht="15">
      <c r="AT31" s="413" t="str">
        <f t="shared" si="0"/>
        <v/>
      </c>
      <c r="AU31" s="136">
        <f ca="1">COUNTIFS(AT$7:$AT31,1)</f>
        <v>2</v>
      </c>
    </row>
    <row r="32" spans="1:47" ht="15">
      <c r="A32" s="333" t="str">
        <f ca="1">OFFSET(input!$A$25,O32,0)</f>
        <v>N</v>
      </c>
      <c r="B32" s="891">
        <f ca="1">IF(OFFSET(input!$O$27,N32,0)="PCS",$D$4,SUMIFS(Paper!$AC$7:$AC$57,Paper!$A$7:$A$57,A32))</f>
        <v>5225</v>
      </c>
      <c r="C32" s="834">
        <f ca="1">SUMIFS(Paper!$N$7:$N$57,Paper!$A$7:$A$57,A32)</f>
        <v>0</v>
      </c>
      <c r="D32" s="834">
        <f ca="1">SUMIFS(Paper!$O$7:$O$57,Paper!$A$7:$A$57,A32)</f>
        <v>0</v>
      </c>
      <c r="E32" s="892" t="str">
        <f ca="1">OFFSET(input!$M$27,N32,0)</f>
        <v>None</v>
      </c>
      <c r="F32" s="893">
        <f ca="1">IF(OFFSET(input!$N$27,N32,0)&gt;0,OFFSET(input!$N$27,N32,0),SUMIFS(Data!$P$962:$P$993,Data!$L$962:$L$993,E32)*C32*D32*10000)</f>
        <v>0</v>
      </c>
      <c r="G32" s="894" t="str">
        <f ca="1">IF(F32&gt;0,SUMIFS(Data!$O$962:$O$993,Data!$L$962:$L$993,E32),"0")</f>
        <v>0</v>
      </c>
      <c r="H32" s="894">
        <f ca="1">ROUNDUP(((B32/10000)*F32),1)</f>
        <v>0</v>
      </c>
      <c r="I32" s="894">
        <f ca="1">IF(F32&gt;0,1,0)</f>
        <v>0</v>
      </c>
      <c r="J32" s="894">
        <f ca="1">I32*G32</f>
        <v>0</v>
      </c>
      <c r="K32" s="894">
        <f ca="1">IF(F32&gt;0,G32*(H32+I32),0)</f>
        <v>0</v>
      </c>
      <c r="L32" s="894">
        <f ca="1">IF(F32&gt;0,K32/$D$2,0)*(1+$L$5)</f>
        <v>0</v>
      </c>
      <c r="M32" s="136" t="str">
        <f ca="1">OFFSET(input!$F$33,O32,0)</f>
        <v>N</v>
      </c>
      <c r="N32" s="136">
        <f>+N26+17</f>
        <v>68</v>
      </c>
      <c r="O32" s="136">
        <f>+O26+17</f>
        <v>68</v>
      </c>
      <c r="AT32" s="413">
        <f t="shared" ca="1" si="0"/>
        <v>0</v>
      </c>
      <c r="AU32" s="136">
        <f ca="1">COUNTIFS(AT$7:$AT32,1)</f>
        <v>2</v>
      </c>
    </row>
    <row r="33" spans="1:47" ht="15">
      <c r="A33" s="333" t="str">
        <f ca="1">OFFSET(input!$A$25,O33,0)</f>
        <v>N</v>
      </c>
      <c r="B33" s="891">
        <f ca="1">IF(OFFSET(input!$O$27,N33,0)="PCS",$D$4,SUMIFS(Paper!$AC$7:$AC$57,Paper!$A$7:$A$57,A33))</f>
        <v>5225</v>
      </c>
      <c r="C33" s="834">
        <f ca="1">SUMIFS(Paper!$N$7:$N$57,Paper!$A$7:$A$57,A33)</f>
        <v>0</v>
      </c>
      <c r="D33" s="834">
        <f ca="1">SUMIFS(Paper!$O$7:$O$57,Paper!$A$7:$A$57,A33)</f>
        <v>0</v>
      </c>
      <c r="E33" s="892" t="str">
        <f ca="1">OFFSET(input!$M$27,N33,0)</f>
        <v>None</v>
      </c>
      <c r="F33" s="893">
        <f ca="1">IF(OFFSET(input!$N$27,N33,0)&gt;0,OFFSET(input!$N$27,N33,0),SUMIFS(Data!$P$962:$P$993,Data!$L$962:$L$993,E33)*C33*D33*10000)</f>
        <v>0</v>
      </c>
      <c r="G33" s="894" t="str">
        <f ca="1">IF(F33&gt;0,SUMIFS(Data!$O$962:$O$993,Data!$L$962:$L$993,E33),"0")</f>
        <v>0</v>
      </c>
      <c r="H33" s="894">
        <f ca="1">ROUNDUP(((B33/10000)*F33),1)</f>
        <v>0</v>
      </c>
      <c r="I33" s="894">
        <f ca="1">IF(F33&gt;0,1,0)</f>
        <v>0</v>
      </c>
      <c r="J33" s="894">
        <f ca="1">I33*G33</f>
        <v>0</v>
      </c>
      <c r="K33" s="894">
        <f ca="1">IF(F33&gt;0,G33*(H33+I33),0)</f>
        <v>0</v>
      </c>
      <c r="L33" s="894">
        <f ca="1">IF(F33&gt;0,K33/$D$2,0)*(1+$L$5)</f>
        <v>0</v>
      </c>
      <c r="M33" s="136" t="str">
        <f ca="1">OFFSET(input!$F$33,O33,0)</f>
        <v>N</v>
      </c>
      <c r="N33" s="136">
        <f t="shared" ref="N33:O33" si="12">+N27+17</f>
        <v>69</v>
      </c>
      <c r="O33" s="136">
        <f t="shared" si="12"/>
        <v>68</v>
      </c>
      <c r="AT33" s="413">
        <f t="shared" ca="1" si="0"/>
        <v>0</v>
      </c>
      <c r="AU33" s="136">
        <f ca="1">COUNTIFS(AT$7:$AT33,1)</f>
        <v>2</v>
      </c>
    </row>
    <row r="34" spans="1:47" ht="15">
      <c r="A34" s="333" t="str">
        <f ca="1">OFFSET(input!$A$25,O34,0)</f>
        <v>N</v>
      </c>
      <c r="B34" s="891">
        <f ca="1">IF(OFFSET(input!$O$27,N34,0)="PCS",$D$4,SUMIFS(Paper!$AC$7:$AC$57,Paper!$A$7:$A$57,A34))</f>
        <v>5225</v>
      </c>
      <c r="C34" s="834">
        <f ca="1">SUMIFS(Paper!$N$7:$N$57,Paper!$A$7:$A$57,A34)</f>
        <v>0</v>
      </c>
      <c r="D34" s="834">
        <f ca="1">SUMIFS(Paper!$O$7:$O$57,Paper!$A$7:$A$57,A34)</f>
        <v>0</v>
      </c>
      <c r="E34" s="892" t="str">
        <f ca="1">OFFSET(input!$M$27,N34,0)</f>
        <v>None</v>
      </c>
      <c r="F34" s="893">
        <f ca="1">IF(OFFSET(input!$N$27,N34,0)&gt;0,OFFSET(input!$N$27,N34,0),SUMIFS(Data!$P$962:$P$993,Data!$L$962:$L$993,E34)*C34*D34*10000)</f>
        <v>0</v>
      </c>
      <c r="G34" s="894" t="str">
        <f ca="1">IF(F34&gt;0,SUMIFS(Data!$O$962:$O$993,Data!$L$962:$L$993,E34),"0")</f>
        <v>0</v>
      </c>
      <c r="H34" s="894">
        <f ca="1">ROUNDUP(((B34/10000)*F34),1)</f>
        <v>0</v>
      </c>
      <c r="I34" s="894">
        <f ca="1">IF(F34&gt;0,1,0)</f>
        <v>0</v>
      </c>
      <c r="J34" s="894">
        <f ca="1">I34*G34</f>
        <v>0</v>
      </c>
      <c r="K34" s="894">
        <f ca="1">IF(F34&gt;0,G34*(H34+I34),0)</f>
        <v>0</v>
      </c>
      <c r="L34" s="894">
        <f ca="1">IF(F34&gt;0,K34/$D$2,0)*(1+$L$5)</f>
        <v>0</v>
      </c>
      <c r="M34" s="136" t="str">
        <f ca="1">OFFSET(input!$F$33,O34,0)</f>
        <v>N</v>
      </c>
      <c r="N34" s="136">
        <f t="shared" ref="N34:O34" si="13">+N28+17</f>
        <v>70</v>
      </c>
      <c r="O34" s="136">
        <f t="shared" si="13"/>
        <v>68</v>
      </c>
      <c r="AT34" s="413">
        <f t="shared" ca="1" si="0"/>
        <v>0</v>
      </c>
      <c r="AU34" s="136">
        <f ca="1">COUNTIFS(AT$7:$AT34,1)</f>
        <v>2</v>
      </c>
    </row>
    <row r="35" spans="1:47" ht="15">
      <c r="A35" s="333" t="str">
        <f ca="1">OFFSET(input!$A$25,O35,0)</f>
        <v>N</v>
      </c>
      <c r="B35" s="891">
        <f ca="1">IF(OFFSET(input!$O$27,N35,0)="PCS",$D$4,SUMIFS(Paper!$AC$7:$AC$57,Paper!$A$7:$A$57,A35))</f>
        <v>5225</v>
      </c>
      <c r="C35" s="834">
        <f ca="1">SUMIFS(Paper!$N$7:$N$57,Paper!$A$7:$A$57,A35)</f>
        <v>0</v>
      </c>
      <c r="D35" s="834">
        <f ca="1">SUMIFS(Paper!$O$7:$O$57,Paper!$A$7:$A$57,A35)</f>
        <v>0</v>
      </c>
      <c r="E35" s="892" t="str">
        <f ca="1">OFFSET(input!$M$27,N35,0)</f>
        <v>None</v>
      </c>
      <c r="F35" s="893">
        <f ca="1">IF(OFFSET(input!$N$27,N35,0)&gt;0,OFFSET(input!$N$27,N35,0),SUMIFS(Data!$P$962:$P$993,Data!$L$962:$L$993,E35)*C35*D35*10000)</f>
        <v>0</v>
      </c>
      <c r="G35" s="894" t="str">
        <f ca="1">IF(F35&gt;0,SUMIFS(Data!$O$962:$O$993,Data!$L$962:$L$993,E35),"0")</f>
        <v>0</v>
      </c>
      <c r="H35" s="894">
        <f ca="1">ROUNDUP(((B35/10000)*F35),1)</f>
        <v>0</v>
      </c>
      <c r="I35" s="894">
        <f ca="1">IF(F35&gt;0,1,0)</f>
        <v>0</v>
      </c>
      <c r="J35" s="894">
        <f ca="1">I35*G35</f>
        <v>0</v>
      </c>
      <c r="K35" s="894">
        <f ca="1">IF(F35&gt;0,G35*(H35+I35),0)</f>
        <v>0</v>
      </c>
      <c r="L35" s="894">
        <f ca="1">IF(F35&gt;0,K35/$D$2,0)*(1+$L$5)</f>
        <v>0</v>
      </c>
      <c r="M35" s="136" t="str">
        <f ca="1">OFFSET(input!$F$33,O35,0)</f>
        <v>N</v>
      </c>
      <c r="N35" s="136">
        <f t="shared" ref="N35:O35" si="14">+N29+17</f>
        <v>71</v>
      </c>
      <c r="O35" s="136">
        <f t="shared" si="14"/>
        <v>68</v>
      </c>
      <c r="AT35" s="413">
        <f t="shared" ca="1" si="0"/>
        <v>0</v>
      </c>
      <c r="AU35" s="136">
        <f ca="1">COUNTIFS(AT$7:$AT35,1)</f>
        <v>2</v>
      </c>
    </row>
    <row r="36" spans="1:47" ht="15">
      <c r="A36" s="333" t="str">
        <f ca="1">OFFSET(input!$A$25,O36,0)</f>
        <v>N</v>
      </c>
      <c r="B36" s="891">
        <f ca="1">IF(OFFSET(input!$O$27,N36,0)="PCS",$D$4,SUMIFS(Paper!$AC$7:$AC$57,Paper!$A$7:$A$57,A36))</f>
        <v>5225</v>
      </c>
      <c r="C36" s="834">
        <f ca="1">SUMIFS(Paper!$N$7:$N$57,Paper!$A$7:$A$57,A36)</f>
        <v>0</v>
      </c>
      <c r="D36" s="834">
        <f ca="1">SUMIFS(Paper!$O$7:$O$57,Paper!$A$7:$A$57,A36)</f>
        <v>0</v>
      </c>
      <c r="E36" s="892" t="str">
        <f ca="1">OFFSET(input!$M$27,N36,0)</f>
        <v>None</v>
      </c>
      <c r="F36" s="893">
        <f ca="1">IF(OFFSET(input!$N$27,N36,0)&gt;0,OFFSET(input!$N$27,N36,0),SUMIFS(Data!$P$962:$P$993,Data!$L$962:$L$993,E36)*C36*D36*10000)</f>
        <v>0</v>
      </c>
      <c r="G36" s="894" t="str">
        <f ca="1">IF(F36&gt;0,SUMIFS(Data!$O$962:$O$993,Data!$L$962:$L$993,E36),"0")</f>
        <v>0</v>
      </c>
      <c r="H36" s="894">
        <f ca="1">ROUNDUP(((B36/10000)*F36),1)</f>
        <v>0</v>
      </c>
      <c r="I36" s="894">
        <f ca="1">IF(F36&gt;0,1,0)</f>
        <v>0</v>
      </c>
      <c r="J36" s="894">
        <f ca="1">I36*G36</f>
        <v>0</v>
      </c>
      <c r="K36" s="894">
        <f ca="1">IF(F36&gt;0,G36*(H36+I36),0)</f>
        <v>0</v>
      </c>
      <c r="L36" s="894">
        <f ca="1">IF(F36&gt;0,K36/$D$2,0)*(1+$L$5)</f>
        <v>0</v>
      </c>
      <c r="M36" s="136" t="str">
        <f ca="1">OFFSET(input!$F$33,O36,0)</f>
        <v>N</v>
      </c>
      <c r="N36" s="136">
        <f t="shared" ref="N36:O36" si="15">+N30+17</f>
        <v>72</v>
      </c>
      <c r="O36" s="136">
        <f t="shared" si="15"/>
        <v>68</v>
      </c>
      <c r="AT36" s="413">
        <f t="shared" ca="1" si="0"/>
        <v>0</v>
      </c>
      <c r="AU36" s="136">
        <f ca="1">COUNTIFS(AT$7:$AT36,1)</f>
        <v>2</v>
      </c>
    </row>
    <row r="37" spans="1:47" ht="15">
      <c r="AT37" s="413" t="str">
        <f t="shared" si="0"/>
        <v/>
      </c>
      <c r="AU37" s="136">
        <f ca="1">COUNTIFS(AT$7:$AT37,1)</f>
        <v>2</v>
      </c>
    </row>
    <row r="38" spans="1:47" ht="15">
      <c r="A38" s="333" t="str">
        <f ca="1">OFFSET(input!$A$25,O38,0)</f>
        <v>N</v>
      </c>
      <c r="B38" s="891">
        <f ca="1">IF(OFFSET(input!$O$27,N38,0)="PCS",$D$4,SUMIFS(Paper!$AC$7:$AC$57,Paper!$A$7:$A$57,A38))</f>
        <v>5225</v>
      </c>
      <c r="C38" s="834">
        <f ca="1">SUMIFS(Paper!$N$7:$N$57,Paper!$A$7:$A$57,A38)</f>
        <v>0</v>
      </c>
      <c r="D38" s="834">
        <f ca="1">SUMIFS(Paper!$O$7:$O$57,Paper!$A$7:$A$57,A38)</f>
        <v>0</v>
      </c>
      <c r="E38" s="892" t="str">
        <f ca="1">OFFSET(input!$M$27,N38,0)</f>
        <v>None</v>
      </c>
      <c r="F38" s="893">
        <f ca="1">IF(OFFSET(input!$N$27,N38,0)&gt;0,OFFSET(input!$N$27,N38,0),SUMIFS(Data!$P$962:$P$993,Data!$L$962:$L$993,E38)*C38*D38*10000)</f>
        <v>0</v>
      </c>
      <c r="G38" s="894" t="str">
        <f ca="1">IF(F38&gt;0,SUMIFS(Data!$O$962:$O$993,Data!$L$962:$L$993,E38),"0")</f>
        <v>0</v>
      </c>
      <c r="H38" s="894">
        <f ca="1">ROUNDUP(((B38/10000)*F38),1)</f>
        <v>0</v>
      </c>
      <c r="I38" s="894">
        <f ca="1">IF(F38&gt;0,1,0)</f>
        <v>0</v>
      </c>
      <c r="J38" s="894">
        <f ca="1">I38*G38</f>
        <v>0</v>
      </c>
      <c r="K38" s="894">
        <f ca="1">IF(F38&gt;0,G38*(H38+I38),0)</f>
        <v>0</v>
      </c>
      <c r="L38" s="894">
        <f ca="1">IF(F38&gt;0,K38/$D$2,0)*(1+$L$5)</f>
        <v>0</v>
      </c>
      <c r="M38" s="136" t="str">
        <f ca="1">OFFSET(input!$F$33,O38,0)</f>
        <v>N</v>
      </c>
      <c r="N38" s="136">
        <f>+N32+17</f>
        <v>85</v>
      </c>
      <c r="O38" s="136">
        <f>+O32+17</f>
        <v>85</v>
      </c>
      <c r="AT38" s="413">
        <f t="shared" ca="1" si="0"/>
        <v>0</v>
      </c>
      <c r="AU38" s="136">
        <f ca="1">COUNTIFS(AT$7:$AT38,1)</f>
        <v>2</v>
      </c>
    </row>
    <row r="39" spans="1:47" ht="15">
      <c r="A39" s="333" t="str">
        <f ca="1">OFFSET(input!$A$25,O39,0)</f>
        <v>N</v>
      </c>
      <c r="B39" s="891">
        <f ca="1">IF(OFFSET(input!$O$27,N39,0)="PCS",$D$4,SUMIFS(Paper!$AC$7:$AC$57,Paper!$A$7:$A$57,A39))</f>
        <v>5225</v>
      </c>
      <c r="C39" s="834">
        <f ca="1">SUMIFS(Paper!$N$7:$N$57,Paper!$A$7:$A$57,A39)</f>
        <v>0</v>
      </c>
      <c r="D39" s="834">
        <f ca="1">SUMIFS(Paper!$O$7:$O$57,Paper!$A$7:$A$57,A39)</f>
        <v>0</v>
      </c>
      <c r="E39" s="892" t="str">
        <f ca="1">OFFSET(input!$M$27,N39,0)</f>
        <v>None</v>
      </c>
      <c r="F39" s="893">
        <f ca="1">IF(OFFSET(input!$N$27,N39,0)&gt;0,OFFSET(input!$N$27,N39,0),SUMIFS(Data!$P$962:$P$993,Data!$L$962:$L$993,E39)*C39*D39*10000)</f>
        <v>0</v>
      </c>
      <c r="G39" s="894" t="str">
        <f ca="1">IF(F39&gt;0,SUMIFS(Data!$O$962:$O$993,Data!$L$962:$L$993,E39),"0")</f>
        <v>0</v>
      </c>
      <c r="H39" s="894">
        <f ca="1">ROUNDUP(((B39/10000)*F39),1)</f>
        <v>0</v>
      </c>
      <c r="I39" s="894">
        <f ca="1">IF(F39&gt;0,1,0)</f>
        <v>0</v>
      </c>
      <c r="J39" s="894">
        <f ca="1">I39*G39</f>
        <v>0</v>
      </c>
      <c r="K39" s="894">
        <f ca="1">IF(F39&gt;0,G39*(H39+I39),0)</f>
        <v>0</v>
      </c>
      <c r="L39" s="894">
        <f ca="1">IF(F39&gt;0,K39/$D$2,0)*(1+$L$5)</f>
        <v>0</v>
      </c>
      <c r="M39" s="136" t="str">
        <f ca="1">OFFSET(input!$F$33,O39,0)</f>
        <v>N</v>
      </c>
      <c r="N39" s="136">
        <f t="shared" ref="N39:O39" si="16">+N33+17</f>
        <v>86</v>
      </c>
      <c r="O39" s="136">
        <f t="shared" si="16"/>
        <v>85</v>
      </c>
      <c r="AT39" s="413">
        <f t="shared" ca="1" si="0"/>
        <v>0</v>
      </c>
      <c r="AU39" s="136">
        <f ca="1">COUNTIFS(AT$7:$AT39,1)</f>
        <v>2</v>
      </c>
    </row>
    <row r="40" spans="1:47" ht="15">
      <c r="A40" s="333" t="str">
        <f ca="1">OFFSET(input!$A$25,O40,0)</f>
        <v>N</v>
      </c>
      <c r="B40" s="891">
        <f ca="1">IF(OFFSET(input!$O$27,N40,0)="PCS",$D$4,SUMIFS(Paper!$AC$7:$AC$57,Paper!$A$7:$A$57,A40))</f>
        <v>5225</v>
      </c>
      <c r="C40" s="834">
        <f ca="1">SUMIFS(Paper!$N$7:$N$57,Paper!$A$7:$A$57,A40)</f>
        <v>0</v>
      </c>
      <c r="D40" s="834">
        <f ca="1">SUMIFS(Paper!$O$7:$O$57,Paper!$A$7:$A$57,A40)</f>
        <v>0</v>
      </c>
      <c r="E40" s="892" t="str">
        <f ca="1">OFFSET(input!$M$27,N40,0)</f>
        <v>None</v>
      </c>
      <c r="F40" s="893">
        <f ca="1">IF(OFFSET(input!$N$27,N40,0)&gt;0,OFFSET(input!$N$27,N40,0),SUMIFS(Data!$P$962:$P$993,Data!$L$962:$L$993,E40)*C40*D40*10000)</f>
        <v>0</v>
      </c>
      <c r="G40" s="894" t="str">
        <f ca="1">IF(F40&gt;0,SUMIFS(Data!$O$962:$O$993,Data!$L$962:$L$993,E40),"0")</f>
        <v>0</v>
      </c>
      <c r="H40" s="894">
        <f ca="1">ROUNDUP(((B40/10000)*F40),1)</f>
        <v>0</v>
      </c>
      <c r="I40" s="894">
        <f ca="1">IF(F40&gt;0,1,0)</f>
        <v>0</v>
      </c>
      <c r="J40" s="894">
        <f ca="1">I40*G40</f>
        <v>0</v>
      </c>
      <c r="K40" s="894">
        <f ca="1">IF(F40&gt;0,G40*(H40+I40),0)</f>
        <v>0</v>
      </c>
      <c r="L40" s="894">
        <f ca="1">IF(F40&gt;0,K40/$D$2,0)*(1+$L$5)</f>
        <v>0</v>
      </c>
      <c r="M40" s="136" t="str">
        <f ca="1">OFFSET(input!$F$33,O40,0)</f>
        <v>N</v>
      </c>
      <c r="N40" s="136">
        <f t="shared" ref="N40:O40" si="17">+N34+17</f>
        <v>87</v>
      </c>
      <c r="O40" s="136">
        <f t="shared" si="17"/>
        <v>85</v>
      </c>
      <c r="AT40" s="413">
        <f t="shared" ca="1" si="0"/>
        <v>0</v>
      </c>
      <c r="AU40" s="136">
        <f ca="1">COUNTIFS(AT$7:$AT40,1)</f>
        <v>2</v>
      </c>
    </row>
    <row r="41" spans="1:47" ht="15">
      <c r="A41" s="333" t="str">
        <f ca="1">OFFSET(input!$A$25,O41,0)</f>
        <v>N</v>
      </c>
      <c r="B41" s="891">
        <f ca="1">IF(OFFSET(input!$O$27,N41,0)="PCS",$D$4,SUMIFS(Paper!$AC$7:$AC$57,Paper!$A$7:$A$57,A41))</f>
        <v>5225</v>
      </c>
      <c r="C41" s="834">
        <f ca="1">SUMIFS(Paper!$N$7:$N$57,Paper!$A$7:$A$57,A41)</f>
        <v>0</v>
      </c>
      <c r="D41" s="834">
        <f ca="1">SUMIFS(Paper!$O$7:$O$57,Paper!$A$7:$A$57,A41)</f>
        <v>0</v>
      </c>
      <c r="E41" s="892" t="str">
        <f ca="1">OFFSET(input!$M$27,N41,0)</f>
        <v>None</v>
      </c>
      <c r="F41" s="893">
        <f ca="1">IF(OFFSET(input!$N$27,N41,0)&gt;0,OFFSET(input!$N$27,N41,0),SUMIFS(Data!$P$962:$P$993,Data!$L$962:$L$993,E41)*C41*D41*10000)</f>
        <v>0</v>
      </c>
      <c r="G41" s="894" t="str">
        <f ca="1">IF(F41&gt;0,SUMIFS(Data!$O$962:$O$993,Data!$L$962:$L$993,E41),"0")</f>
        <v>0</v>
      </c>
      <c r="H41" s="894">
        <f ca="1">ROUNDUP(((B41/10000)*F41),1)</f>
        <v>0</v>
      </c>
      <c r="I41" s="894">
        <f ca="1">IF(F41&gt;0,1,0)</f>
        <v>0</v>
      </c>
      <c r="J41" s="894">
        <f ca="1">I41*G41</f>
        <v>0</v>
      </c>
      <c r="K41" s="894">
        <f ca="1">IF(F41&gt;0,G41*(H41+I41),0)</f>
        <v>0</v>
      </c>
      <c r="L41" s="894">
        <f ca="1">IF(F41&gt;0,K41/$D$2,0)*(1+$L$5)</f>
        <v>0</v>
      </c>
      <c r="M41" s="136" t="str">
        <f ca="1">OFFSET(input!$F$33,O41,0)</f>
        <v>N</v>
      </c>
      <c r="N41" s="136">
        <f t="shared" ref="N41:O41" si="18">+N35+17</f>
        <v>88</v>
      </c>
      <c r="O41" s="136">
        <f t="shared" si="18"/>
        <v>85</v>
      </c>
      <c r="AT41" s="413">
        <f t="shared" ca="1" si="0"/>
        <v>0</v>
      </c>
      <c r="AU41" s="136">
        <f ca="1">COUNTIFS(AT$7:$AT41,1)</f>
        <v>2</v>
      </c>
    </row>
    <row r="42" spans="1:47" ht="15">
      <c r="A42" s="333" t="str">
        <f ca="1">OFFSET(input!$A$25,O42,0)</f>
        <v>N</v>
      </c>
      <c r="B42" s="891">
        <f ca="1">IF(OFFSET(input!$O$27,N42,0)="PCS",$D$4,SUMIFS(Paper!$AC$7:$AC$57,Paper!$A$7:$A$57,A42))</f>
        <v>5225</v>
      </c>
      <c r="C42" s="834">
        <f ca="1">SUMIFS(Paper!$N$7:$N$57,Paper!$A$7:$A$57,A42)</f>
        <v>0</v>
      </c>
      <c r="D42" s="834">
        <f ca="1">SUMIFS(Paper!$O$7:$O$57,Paper!$A$7:$A$57,A42)</f>
        <v>0</v>
      </c>
      <c r="E42" s="892" t="str">
        <f ca="1">OFFSET(input!$M$27,N42,0)</f>
        <v>None</v>
      </c>
      <c r="F42" s="893">
        <f ca="1">IF(OFFSET(input!$N$27,N42,0)&gt;0,OFFSET(input!$N$27,N42,0),SUMIFS(Data!$P$962:$P$993,Data!$L$962:$L$993,E42)*C42*D42*10000)</f>
        <v>0</v>
      </c>
      <c r="G42" s="894" t="str">
        <f ca="1">IF(F42&gt;0,SUMIFS(Data!$O$962:$O$993,Data!$L$962:$L$993,E42),"0")</f>
        <v>0</v>
      </c>
      <c r="H42" s="894">
        <f ca="1">ROUNDUP(((B42/10000)*F42),1)</f>
        <v>0</v>
      </c>
      <c r="I42" s="894">
        <f ca="1">IF(F42&gt;0,1,0)</f>
        <v>0</v>
      </c>
      <c r="J42" s="894">
        <f ca="1">I42*G42</f>
        <v>0</v>
      </c>
      <c r="K42" s="894">
        <f ca="1">IF(F42&gt;0,G42*(H42+I42),0)</f>
        <v>0</v>
      </c>
      <c r="L42" s="894">
        <f ca="1">IF(F42&gt;0,K42/$D$2,0)*(1+$L$5)</f>
        <v>0</v>
      </c>
      <c r="M42" s="136" t="str">
        <f ca="1">OFFSET(input!$F$33,O42,0)</f>
        <v>N</v>
      </c>
      <c r="N42" s="136">
        <f t="shared" ref="N42:O42" si="19">+N36+17</f>
        <v>89</v>
      </c>
      <c r="O42" s="136">
        <f t="shared" si="19"/>
        <v>85</v>
      </c>
      <c r="AT42" s="413">
        <f t="shared" ca="1" si="0"/>
        <v>0</v>
      </c>
      <c r="AU42" s="136">
        <f ca="1">COUNTIFS(AT$7:$AT42,1)</f>
        <v>2</v>
      </c>
    </row>
    <row r="43" spans="1:47" ht="15">
      <c r="AT43" s="413" t="str">
        <f t="shared" si="0"/>
        <v/>
      </c>
      <c r="AU43" s="136">
        <f ca="1">COUNTIFS(AT$7:$AT43,1)</f>
        <v>2</v>
      </c>
    </row>
    <row r="44" spans="1:47" ht="15">
      <c r="A44" s="333" t="str">
        <f ca="1">OFFSET(input!$A$25,O44,0)</f>
        <v>N</v>
      </c>
      <c r="B44" s="891">
        <f ca="1">IF(OFFSET(input!$O$27,N44,0)="PCS",$D$4,SUMIFS(Paper!$AC$7:$AC$57,Paper!$A$7:$A$57,A44))</f>
        <v>5225</v>
      </c>
      <c r="C44" s="834">
        <f ca="1">SUMIFS(Paper!$N$7:$N$57,Paper!$A$7:$A$57,A44)</f>
        <v>0</v>
      </c>
      <c r="D44" s="834">
        <f ca="1">SUMIFS(Paper!$O$7:$O$57,Paper!$A$7:$A$57,A44)</f>
        <v>0</v>
      </c>
      <c r="E44" s="892" t="str">
        <f ca="1">OFFSET(input!$M$27,N44,0)</f>
        <v>None</v>
      </c>
      <c r="F44" s="893">
        <f ca="1">IF(OFFSET(input!$N$27,N44,0)&gt;0,OFFSET(input!$N$27,N44,0),SUMIFS(Data!$P$962:$P$993,Data!$L$962:$L$993,E44)*C44*D44*10000)</f>
        <v>0</v>
      </c>
      <c r="G44" s="894" t="str">
        <f ca="1">IF(F44&gt;0,SUMIFS(Data!$O$962:$O$993,Data!$L$962:$L$993,E44),"0")</f>
        <v>0</v>
      </c>
      <c r="H44" s="894">
        <f ca="1">ROUNDUP(((B44/10000)*F44),1)</f>
        <v>0</v>
      </c>
      <c r="I44" s="894">
        <f ca="1">IF(F44&gt;0,1,0)</f>
        <v>0</v>
      </c>
      <c r="J44" s="894">
        <f ca="1">I44*G44</f>
        <v>0</v>
      </c>
      <c r="K44" s="894">
        <f ca="1">IF(F44&gt;0,G44*(H44+I44),0)</f>
        <v>0</v>
      </c>
      <c r="L44" s="894">
        <f ca="1">IF(F44&gt;0,K44/$D$2,0)*(1+$L$5)</f>
        <v>0</v>
      </c>
      <c r="M44" s="136" t="str">
        <f ca="1">OFFSET(input!$F$33,O44,0)</f>
        <v>N</v>
      </c>
      <c r="N44" s="136">
        <f>+N38+17</f>
        <v>102</v>
      </c>
      <c r="O44" s="136">
        <f>+O38+17</f>
        <v>102</v>
      </c>
      <c r="AT44" s="413">
        <f t="shared" ca="1" si="0"/>
        <v>0</v>
      </c>
      <c r="AU44" s="136">
        <f ca="1">COUNTIFS(AT$7:$AT44,1)</f>
        <v>2</v>
      </c>
    </row>
    <row r="45" spans="1:47" ht="15">
      <c r="A45" s="333" t="str">
        <f ca="1">OFFSET(input!$A$25,O45,0)</f>
        <v>N</v>
      </c>
      <c r="B45" s="891">
        <f ca="1">IF(OFFSET(input!$O$27,N45,0)="PCS",$D$4,SUMIFS(Paper!$AC$7:$AC$57,Paper!$A$7:$A$57,A45))</f>
        <v>5225</v>
      </c>
      <c r="C45" s="834">
        <f ca="1">SUMIFS(Paper!$N$7:$N$57,Paper!$A$7:$A$57,A45)</f>
        <v>0</v>
      </c>
      <c r="D45" s="834">
        <f ca="1">SUMIFS(Paper!$O$7:$O$57,Paper!$A$7:$A$57,A45)</f>
        <v>0</v>
      </c>
      <c r="E45" s="892" t="str">
        <f ca="1">OFFSET(input!$M$27,N45,0)</f>
        <v>None</v>
      </c>
      <c r="F45" s="893">
        <f ca="1">IF(OFFSET(input!$N$27,N45,0)&gt;0,OFFSET(input!$N$27,N45,0),SUMIFS(Data!$P$962:$P$993,Data!$L$962:$L$993,E45)*C45*D45*10000)</f>
        <v>0</v>
      </c>
      <c r="G45" s="894" t="str">
        <f ca="1">IF(F45&gt;0,SUMIFS(Data!$O$962:$O$993,Data!$L$962:$L$993,E45),"0")</f>
        <v>0</v>
      </c>
      <c r="H45" s="894">
        <f ca="1">ROUNDUP(((B45/10000)*F45),1)</f>
        <v>0</v>
      </c>
      <c r="I45" s="894">
        <f ca="1">IF(F45&gt;0,1,0)</f>
        <v>0</v>
      </c>
      <c r="J45" s="894">
        <f ca="1">I45*G45</f>
        <v>0</v>
      </c>
      <c r="K45" s="894">
        <f ca="1">IF(F45&gt;0,G45*(H45+I45),0)</f>
        <v>0</v>
      </c>
      <c r="L45" s="894">
        <f ca="1">IF(F45&gt;0,K45/$D$2,0)*(1+$L$5)</f>
        <v>0</v>
      </c>
      <c r="M45" s="136" t="str">
        <f ca="1">OFFSET(input!$F$33,O45,0)</f>
        <v>N</v>
      </c>
      <c r="N45" s="136">
        <f t="shared" ref="N45:O45" si="20">+N39+17</f>
        <v>103</v>
      </c>
      <c r="O45" s="136">
        <f t="shared" si="20"/>
        <v>102</v>
      </c>
      <c r="AT45" s="413">
        <f t="shared" ca="1" si="0"/>
        <v>0</v>
      </c>
      <c r="AU45" s="136">
        <f ca="1">COUNTIFS(AT$7:$AT45,1)</f>
        <v>2</v>
      </c>
    </row>
    <row r="46" spans="1:47" ht="15">
      <c r="A46" s="333" t="str">
        <f ca="1">OFFSET(input!$A$25,O46,0)</f>
        <v>N</v>
      </c>
      <c r="B46" s="891">
        <f ca="1">IF(OFFSET(input!$O$27,N46,0)="PCS",$D$4,SUMIFS(Paper!$AC$7:$AC$57,Paper!$A$7:$A$57,A46))</f>
        <v>5225</v>
      </c>
      <c r="C46" s="834">
        <f ca="1">SUMIFS(Paper!$N$7:$N$57,Paper!$A$7:$A$57,A46)</f>
        <v>0</v>
      </c>
      <c r="D46" s="834">
        <f ca="1">SUMIFS(Paper!$O$7:$O$57,Paper!$A$7:$A$57,A46)</f>
        <v>0</v>
      </c>
      <c r="E46" s="892" t="str">
        <f ca="1">OFFSET(input!$M$27,N46,0)</f>
        <v>None</v>
      </c>
      <c r="F46" s="893">
        <f ca="1">IF(OFFSET(input!$N$27,N46,0)&gt;0,OFFSET(input!$N$27,N46,0),SUMIFS(Data!$P$962:$P$993,Data!$L$962:$L$993,E46)*C46*D46*10000)</f>
        <v>0</v>
      </c>
      <c r="G46" s="894" t="str">
        <f ca="1">IF(F46&gt;0,SUMIFS(Data!$O$962:$O$993,Data!$L$962:$L$993,E46),"0")</f>
        <v>0</v>
      </c>
      <c r="H46" s="894">
        <f ca="1">ROUNDUP(((B46/10000)*F46),1)</f>
        <v>0</v>
      </c>
      <c r="I46" s="894">
        <f ca="1">IF(F46&gt;0,1,0)</f>
        <v>0</v>
      </c>
      <c r="J46" s="894">
        <f ca="1">I46*G46</f>
        <v>0</v>
      </c>
      <c r="K46" s="894">
        <f ca="1">IF(F46&gt;0,G46*(H46+I46),0)</f>
        <v>0</v>
      </c>
      <c r="L46" s="894">
        <f ca="1">IF(F46&gt;0,K46/$D$2,0)*(1+$L$5)</f>
        <v>0</v>
      </c>
      <c r="M46" s="136" t="str">
        <f ca="1">OFFSET(input!$F$33,O46,0)</f>
        <v>N</v>
      </c>
      <c r="N46" s="136">
        <f t="shared" ref="N46:O46" si="21">+N40+17</f>
        <v>104</v>
      </c>
      <c r="O46" s="136">
        <f t="shared" si="21"/>
        <v>102</v>
      </c>
      <c r="AT46" s="413">
        <f t="shared" ca="1" si="0"/>
        <v>0</v>
      </c>
      <c r="AU46" s="136">
        <f ca="1">COUNTIFS(AT$7:$AT46,1)</f>
        <v>2</v>
      </c>
    </row>
    <row r="47" spans="1:47" ht="15">
      <c r="A47" s="333" t="str">
        <f ca="1">OFFSET(input!$A$25,O47,0)</f>
        <v>N</v>
      </c>
      <c r="B47" s="891">
        <f ca="1">IF(OFFSET(input!$O$27,N47,0)="PCS",$D$4,SUMIFS(Paper!$AC$7:$AC$57,Paper!$A$7:$A$57,A47))</f>
        <v>5225</v>
      </c>
      <c r="C47" s="834">
        <f ca="1">SUMIFS(Paper!$N$7:$N$57,Paper!$A$7:$A$57,A47)</f>
        <v>0</v>
      </c>
      <c r="D47" s="834">
        <f ca="1">SUMIFS(Paper!$O$7:$O$57,Paper!$A$7:$A$57,A47)</f>
        <v>0</v>
      </c>
      <c r="E47" s="892" t="str">
        <f ca="1">OFFSET(input!$M$27,N47,0)</f>
        <v>None</v>
      </c>
      <c r="F47" s="893">
        <f ca="1">IF(OFFSET(input!$N$27,N47,0)&gt;0,OFFSET(input!$N$27,N47,0),SUMIFS(Data!$P$962:$P$993,Data!$L$962:$L$993,E47)*C47*D47*10000)</f>
        <v>0</v>
      </c>
      <c r="G47" s="894" t="str">
        <f ca="1">IF(F47&gt;0,SUMIFS(Data!$O$962:$O$993,Data!$L$962:$L$993,E47),"0")</f>
        <v>0</v>
      </c>
      <c r="H47" s="894">
        <f ca="1">ROUNDUP(((B47/10000)*F47),1)</f>
        <v>0</v>
      </c>
      <c r="I47" s="894">
        <f ca="1">IF(F47&gt;0,1,0)</f>
        <v>0</v>
      </c>
      <c r="J47" s="894">
        <f ca="1">I47*G47</f>
        <v>0</v>
      </c>
      <c r="K47" s="894">
        <f ca="1">IF(F47&gt;0,G47*(H47+I47),0)</f>
        <v>0</v>
      </c>
      <c r="L47" s="894">
        <f ca="1">IF(F47&gt;0,K47/$D$2,0)*(1+$L$5)</f>
        <v>0</v>
      </c>
      <c r="M47" s="136" t="str">
        <f ca="1">OFFSET(input!$F$33,O47,0)</f>
        <v>N</v>
      </c>
      <c r="N47" s="136">
        <f t="shared" ref="N47:O47" si="22">+N41+17</f>
        <v>105</v>
      </c>
      <c r="O47" s="136">
        <f t="shared" si="22"/>
        <v>102</v>
      </c>
      <c r="AT47" s="413">
        <f t="shared" ca="1" si="0"/>
        <v>0</v>
      </c>
      <c r="AU47" s="136">
        <f ca="1">COUNTIFS(AT$7:$AT47,1)</f>
        <v>2</v>
      </c>
    </row>
    <row r="48" spans="1:47" ht="15">
      <c r="A48" s="333" t="str">
        <f ca="1">OFFSET(input!$A$25,O48,0)</f>
        <v>N</v>
      </c>
      <c r="B48" s="891">
        <f ca="1">IF(OFFSET(input!$O$27,N48,0)="PCS",$D$4,SUMIFS(Paper!$AC$7:$AC$57,Paper!$A$7:$A$57,A48))</f>
        <v>5225</v>
      </c>
      <c r="C48" s="834">
        <f ca="1">SUMIFS(Paper!$N$7:$N$57,Paper!$A$7:$A$57,A48)</f>
        <v>0</v>
      </c>
      <c r="D48" s="834">
        <f ca="1">SUMIFS(Paper!$O$7:$O$57,Paper!$A$7:$A$57,A48)</f>
        <v>0</v>
      </c>
      <c r="E48" s="892" t="str">
        <f ca="1">OFFSET(input!$M$27,N48,0)</f>
        <v>None</v>
      </c>
      <c r="F48" s="893">
        <f ca="1">IF(OFFSET(input!$N$27,N48,0)&gt;0,OFFSET(input!$N$27,N48,0),SUMIFS(Data!$P$962:$P$993,Data!$L$962:$L$993,E48)*C48*D48*10000)</f>
        <v>0</v>
      </c>
      <c r="G48" s="894" t="str">
        <f ca="1">IF(F48&gt;0,SUMIFS(Data!$O$962:$O$993,Data!$L$962:$L$993,E48),"0")</f>
        <v>0</v>
      </c>
      <c r="H48" s="894">
        <f ca="1">ROUNDUP(((B48/10000)*F48),1)</f>
        <v>0</v>
      </c>
      <c r="I48" s="894">
        <f ca="1">IF(F48&gt;0,1,0)</f>
        <v>0</v>
      </c>
      <c r="J48" s="894">
        <f ca="1">I48*G48</f>
        <v>0</v>
      </c>
      <c r="K48" s="894">
        <f ca="1">IF(F48&gt;0,G48*(H48+I48),0)</f>
        <v>0</v>
      </c>
      <c r="L48" s="894">
        <f ca="1">IF(F48&gt;0,K48/$D$2,0)*(1+$L$5)</f>
        <v>0</v>
      </c>
      <c r="M48" s="136" t="str">
        <f ca="1">OFFSET(input!$F$33,O48,0)</f>
        <v>N</v>
      </c>
      <c r="N48" s="136">
        <f t="shared" ref="N48:O48" si="23">+N42+17</f>
        <v>106</v>
      </c>
      <c r="O48" s="136">
        <f t="shared" si="23"/>
        <v>102</v>
      </c>
      <c r="AT48" s="413">
        <f t="shared" ca="1" si="0"/>
        <v>0</v>
      </c>
      <c r="AU48" s="136">
        <f ca="1">COUNTIFS(AT$7:$AT48,1)</f>
        <v>2</v>
      </c>
    </row>
    <row r="49" spans="1:47" ht="15">
      <c r="AT49" s="413" t="str">
        <f t="shared" si="0"/>
        <v/>
      </c>
      <c r="AU49" s="136">
        <f ca="1">COUNTIFS(AT$7:$AT49,1)</f>
        <v>2</v>
      </c>
    </row>
    <row r="50" spans="1:47" ht="15">
      <c r="A50" s="333" t="str">
        <f ca="1">OFFSET(input!$A$25,O50,0)</f>
        <v>N</v>
      </c>
      <c r="B50" s="891">
        <f ca="1">IF(OFFSET(input!$O$27,N50,0)="PCS",$D$4,SUMIFS(Paper!$AC$7:$AC$57,Paper!$A$7:$A$57,A50))</f>
        <v>5225</v>
      </c>
      <c r="C50" s="834">
        <f ca="1">SUMIFS(Paper!$N$7:$N$57,Paper!$A$7:$A$57,A50)</f>
        <v>0</v>
      </c>
      <c r="D50" s="834">
        <f ca="1">SUMIFS(Paper!$O$7:$O$57,Paper!$A$7:$A$57,A50)</f>
        <v>0</v>
      </c>
      <c r="E50" s="892" t="str">
        <f ca="1">OFFSET(input!$M$27,N50,0)</f>
        <v>None</v>
      </c>
      <c r="F50" s="893">
        <f ca="1">IF(OFFSET(input!$N$27,N50,0)&gt;0,OFFSET(input!$N$27,N50,0),SUMIFS(Data!$P$962:$P$993,Data!$L$962:$L$993,E50)*C50*D50*10000)</f>
        <v>0</v>
      </c>
      <c r="G50" s="894" t="str">
        <f ca="1">IF(F50&gt;0,SUMIFS(Data!$O$962:$O$993,Data!$L$962:$L$993,E50),"0")</f>
        <v>0</v>
      </c>
      <c r="H50" s="894">
        <f ca="1">ROUNDUP(((B50/10000)*F50),1)</f>
        <v>0</v>
      </c>
      <c r="I50" s="894">
        <f ca="1">IF(F50&gt;0,1,0)</f>
        <v>0</v>
      </c>
      <c r="J50" s="894">
        <f ca="1">I50*G50</f>
        <v>0</v>
      </c>
      <c r="K50" s="894">
        <f ca="1">IF(F50&gt;0,G50*(H50+I50),0)</f>
        <v>0</v>
      </c>
      <c r="L50" s="894">
        <f ca="1">IF(F50&gt;0,K50/$D$2,0)*(1+$L$5)</f>
        <v>0</v>
      </c>
      <c r="M50" s="136" t="str">
        <f ca="1">OFFSET(input!$F$33,O50,0)</f>
        <v>N</v>
      </c>
      <c r="N50" s="136">
        <f>+N44+17</f>
        <v>119</v>
      </c>
      <c r="O50" s="136">
        <f>+O44+17</f>
        <v>119</v>
      </c>
      <c r="AT50" s="413">
        <f t="shared" ca="1" si="0"/>
        <v>0</v>
      </c>
      <c r="AU50" s="136">
        <f ca="1">COUNTIFS(AT$7:$AT50,1)</f>
        <v>2</v>
      </c>
    </row>
    <row r="51" spans="1:47" ht="15">
      <c r="A51" s="333" t="str">
        <f ca="1">OFFSET(input!$A$25,O51,0)</f>
        <v>N</v>
      </c>
      <c r="B51" s="891">
        <f ca="1">IF(OFFSET(input!$O$27,N51,0)="PCS",$D$4,SUMIFS(Paper!$AC$7:$AC$57,Paper!$A$7:$A$57,A51))</f>
        <v>5225</v>
      </c>
      <c r="C51" s="834">
        <f ca="1">SUMIFS(Paper!$N$7:$N$57,Paper!$A$7:$A$57,A51)</f>
        <v>0</v>
      </c>
      <c r="D51" s="834">
        <f ca="1">SUMIFS(Paper!$O$7:$O$57,Paper!$A$7:$A$57,A51)</f>
        <v>0</v>
      </c>
      <c r="E51" s="892" t="str">
        <f ca="1">OFFSET(input!$M$27,N51,0)</f>
        <v>None</v>
      </c>
      <c r="F51" s="893">
        <f ca="1">IF(OFFSET(input!$N$27,N51,0)&gt;0,OFFSET(input!$N$27,N51,0),SUMIFS(Data!$P$962:$P$993,Data!$L$962:$L$993,E51)*C51*D51*10000)</f>
        <v>0</v>
      </c>
      <c r="G51" s="894" t="str">
        <f ca="1">IF(F51&gt;0,SUMIFS(Data!$O$962:$O$993,Data!$L$962:$L$993,E51),"0")</f>
        <v>0</v>
      </c>
      <c r="H51" s="894">
        <f ca="1">ROUNDUP(((B51/10000)*F51),1)</f>
        <v>0</v>
      </c>
      <c r="I51" s="894">
        <f ca="1">IF(F51&gt;0,1,0)</f>
        <v>0</v>
      </c>
      <c r="J51" s="894">
        <f ca="1">I51*G51</f>
        <v>0</v>
      </c>
      <c r="K51" s="894">
        <f ca="1">IF(F51&gt;0,G51*(H51+I51),0)</f>
        <v>0</v>
      </c>
      <c r="L51" s="894">
        <f ca="1">IF(F51&gt;0,K51/$D$2,0)*(1+$L$5)</f>
        <v>0</v>
      </c>
      <c r="M51" s="136" t="str">
        <f ca="1">OFFSET(input!$F$33,O51,0)</f>
        <v>N</v>
      </c>
      <c r="N51" s="136">
        <f t="shared" ref="N51:O51" si="24">+N45+17</f>
        <v>120</v>
      </c>
      <c r="O51" s="136">
        <f t="shared" si="24"/>
        <v>119</v>
      </c>
      <c r="AT51" s="413">
        <f t="shared" ca="1" si="0"/>
        <v>0</v>
      </c>
      <c r="AU51" s="136">
        <f ca="1">COUNTIFS(AT$7:$AT51,1)</f>
        <v>2</v>
      </c>
    </row>
    <row r="52" spans="1:47" ht="15">
      <c r="A52" s="333" t="str">
        <f ca="1">OFFSET(input!$A$25,O52,0)</f>
        <v>N</v>
      </c>
      <c r="B52" s="891">
        <f ca="1">IF(OFFSET(input!$O$27,N52,0)="PCS",$D$4,SUMIFS(Paper!$AC$7:$AC$57,Paper!$A$7:$A$57,A52))</f>
        <v>5225</v>
      </c>
      <c r="C52" s="834">
        <f ca="1">SUMIFS(Paper!$N$7:$N$57,Paper!$A$7:$A$57,A52)</f>
        <v>0</v>
      </c>
      <c r="D52" s="834">
        <f ca="1">SUMIFS(Paper!$O$7:$O$57,Paper!$A$7:$A$57,A52)</f>
        <v>0</v>
      </c>
      <c r="E52" s="892" t="str">
        <f ca="1">OFFSET(input!$M$27,N52,0)</f>
        <v>None</v>
      </c>
      <c r="F52" s="893">
        <f ca="1">IF(OFFSET(input!$N$27,N52,0)&gt;0,OFFSET(input!$N$27,N52,0),SUMIFS(Data!$P$962:$P$993,Data!$L$962:$L$993,E52)*C52*D52*10000)</f>
        <v>0</v>
      </c>
      <c r="G52" s="894" t="str">
        <f ca="1">IF(F52&gt;0,SUMIFS(Data!$O$962:$O$993,Data!$L$962:$L$993,E52),"0")</f>
        <v>0</v>
      </c>
      <c r="H52" s="894">
        <f ca="1">ROUNDUP(((B52/10000)*F52),1)</f>
        <v>0</v>
      </c>
      <c r="I52" s="894">
        <f ca="1">IF(F52&gt;0,1,0)</f>
        <v>0</v>
      </c>
      <c r="J52" s="894">
        <f ca="1">I52*G52</f>
        <v>0</v>
      </c>
      <c r="K52" s="894">
        <f ca="1">IF(F52&gt;0,G52*(H52+I52),0)</f>
        <v>0</v>
      </c>
      <c r="L52" s="894">
        <f ca="1">IF(F52&gt;0,K52/$D$2,0)*(1+$L$5)</f>
        <v>0</v>
      </c>
      <c r="M52" s="136" t="str">
        <f ca="1">OFFSET(input!$F$33,O52,0)</f>
        <v>N</v>
      </c>
      <c r="N52" s="136">
        <f t="shared" ref="N52:O52" si="25">+N46+17</f>
        <v>121</v>
      </c>
      <c r="O52" s="136">
        <f t="shared" si="25"/>
        <v>119</v>
      </c>
      <c r="AT52" s="413">
        <f t="shared" ca="1" si="0"/>
        <v>0</v>
      </c>
      <c r="AU52" s="136">
        <f ca="1">COUNTIFS(AT$7:$AT52,1)</f>
        <v>2</v>
      </c>
    </row>
    <row r="53" spans="1:47" ht="15">
      <c r="A53" s="333" t="str">
        <f ca="1">OFFSET(input!$A$25,O53,0)</f>
        <v>N</v>
      </c>
      <c r="B53" s="891">
        <f ca="1">IF(OFFSET(input!$O$27,N53,0)="PCS",$D$4,SUMIFS(Paper!$AC$7:$AC$57,Paper!$A$7:$A$57,A53))</f>
        <v>5225</v>
      </c>
      <c r="C53" s="834">
        <f ca="1">SUMIFS(Paper!$N$7:$N$57,Paper!$A$7:$A$57,A53)</f>
        <v>0</v>
      </c>
      <c r="D53" s="834">
        <f ca="1">SUMIFS(Paper!$O$7:$O$57,Paper!$A$7:$A$57,A53)</f>
        <v>0</v>
      </c>
      <c r="E53" s="892" t="str">
        <f ca="1">OFFSET(input!$M$27,N53,0)</f>
        <v>None</v>
      </c>
      <c r="F53" s="893">
        <f ca="1">IF(OFFSET(input!$N$27,N53,0)&gt;0,OFFSET(input!$N$27,N53,0),SUMIFS(Data!$P$962:$P$993,Data!$L$962:$L$993,E53)*C53*D53*10000)</f>
        <v>0</v>
      </c>
      <c r="G53" s="894" t="str">
        <f ca="1">IF(F53&gt;0,SUMIFS(Data!$O$962:$O$993,Data!$L$962:$L$993,E53),"0")</f>
        <v>0</v>
      </c>
      <c r="H53" s="894">
        <f ca="1">ROUNDUP(((B53/10000)*F53),1)</f>
        <v>0</v>
      </c>
      <c r="I53" s="894">
        <f ca="1">IF(F53&gt;0,1,0)</f>
        <v>0</v>
      </c>
      <c r="J53" s="894">
        <f ca="1">I53*G53</f>
        <v>0</v>
      </c>
      <c r="K53" s="894">
        <f ca="1">IF(F53&gt;0,G53*(H53+I53),0)</f>
        <v>0</v>
      </c>
      <c r="L53" s="894">
        <f ca="1">IF(F53&gt;0,K53/$D$2,0)*(1+$L$5)</f>
        <v>0</v>
      </c>
      <c r="M53" s="136" t="str">
        <f ca="1">OFFSET(input!$F$33,O53,0)</f>
        <v>N</v>
      </c>
      <c r="N53" s="136">
        <f t="shared" ref="N53:O53" si="26">+N47+17</f>
        <v>122</v>
      </c>
      <c r="O53" s="136">
        <f t="shared" si="26"/>
        <v>119</v>
      </c>
      <c r="AT53" s="413">
        <f t="shared" ca="1" si="0"/>
        <v>0</v>
      </c>
      <c r="AU53" s="136">
        <f ca="1">COUNTIFS(AT$7:$AT53,1)</f>
        <v>2</v>
      </c>
    </row>
    <row r="54" spans="1:47" ht="15">
      <c r="A54" s="333" t="str">
        <f ca="1">OFFSET(input!$A$25,O54,0)</f>
        <v>N</v>
      </c>
      <c r="B54" s="891">
        <f ca="1">IF(OFFSET(input!$O$27,N54,0)="PCS",$D$4,SUMIFS(Paper!$AC$7:$AC$57,Paper!$A$7:$A$57,A54))</f>
        <v>5225</v>
      </c>
      <c r="C54" s="834">
        <f ca="1">SUMIFS(Paper!$N$7:$N$57,Paper!$A$7:$A$57,A54)</f>
        <v>0</v>
      </c>
      <c r="D54" s="834">
        <f ca="1">SUMIFS(Paper!$O$7:$O$57,Paper!$A$7:$A$57,A54)</f>
        <v>0</v>
      </c>
      <c r="E54" s="892" t="str">
        <f ca="1">OFFSET(input!$M$27,N54,0)</f>
        <v>None</v>
      </c>
      <c r="F54" s="893">
        <f ca="1">IF(OFFSET(input!$N$27,N54,0)&gt;0,OFFSET(input!$N$27,N54,0),SUMIFS(Data!$P$962:$P$993,Data!$L$962:$L$993,E54)*C54*D54*10000)</f>
        <v>0</v>
      </c>
      <c r="G54" s="894" t="str">
        <f ca="1">IF(F54&gt;0,SUMIFS(Data!$O$962:$O$993,Data!$L$962:$L$993,E54),"0")</f>
        <v>0</v>
      </c>
      <c r="H54" s="894">
        <f ca="1">ROUNDUP(((B54/10000)*F54),1)</f>
        <v>0</v>
      </c>
      <c r="I54" s="894">
        <f ca="1">IF(F54&gt;0,1,0)</f>
        <v>0</v>
      </c>
      <c r="J54" s="894">
        <f ca="1">I54*G54</f>
        <v>0</v>
      </c>
      <c r="K54" s="894">
        <f ca="1">IF(F54&gt;0,G54*(H54+I54),0)</f>
        <v>0</v>
      </c>
      <c r="L54" s="894">
        <f ca="1">IF(F54&gt;0,K54/$D$2,0)*(1+$L$5)</f>
        <v>0</v>
      </c>
      <c r="M54" s="136" t="str">
        <f ca="1">OFFSET(input!$F$33,O54,0)</f>
        <v>N</v>
      </c>
      <c r="N54" s="136">
        <f t="shared" ref="N54:O54" si="27">+N48+17</f>
        <v>123</v>
      </c>
      <c r="O54" s="136">
        <f t="shared" si="27"/>
        <v>119</v>
      </c>
      <c r="AT54" s="413">
        <f t="shared" ca="1" si="0"/>
        <v>0</v>
      </c>
      <c r="AU54" s="136">
        <f ca="1">COUNTIFS(AT$7:$AT54,1)</f>
        <v>2</v>
      </c>
    </row>
    <row r="55" spans="1:47" ht="15">
      <c r="AT55" s="413" t="str">
        <f t="shared" si="0"/>
        <v/>
      </c>
      <c r="AU55" s="136">
        <f ca="1">COUNTIFS(AT$7:$AT55,1)</f>
        <v>2</v>
      </c>
    </row>
    <row r="56" spans="1:47" ht="15">
      <c r="A56" s="333" t="str">
        <f ca="1">OFFSET(input!$A$25,O56,0)</f>
        <v>N</v>
      </c>
      <c r="B56" s="891">
        <f ca="1">IF(OFFSET(input!$O$27,N56,0)="PCS",$D$4,SUMIFS(Paper!$AC$7:$AC$57,Paper!$A$7:$A$57,A56))</f>
        <v>5225</v>
      </c>
      <c r="C56" s="834">
        <f ca="1">SUMIFS(Paper!$N$7:$N$57,Paper!$A$7:$A$57,A56)</f>
        <v>0</v>
      </c>
      <c r="D56" s="834">
        <f ca="1">SUMIFS(Paper!$O$7:$O$57,Paper!$A$7:$A$57,A56)</f>
        <v>0</v>
      </c>
      <c r="E56" s="892" t="str">
        <f ca="1">OFFSET(input!$M$27,N56,0)</f>
        <v>None</v>
      </c>
      <c r="F56" s="893">
        <f ca="1">IF(OFFSET(input!$N$27,N56,0)&gt;0,OFFSET(input!$N$27,N56,0),SUMIFS(Data!$P$962:$P$993,Data!$L$962:$L$993,E56)*C56*D56*10000)</f>
        <v>0</v>
      </c>
      <c r="G56" s="894" t="str">
        <f ca="1">IF(F56&gt;0,SUMIFS(Data!$O$962:$O$993,Data!$L$962:$L$993,E56),"0")</f>
        <v>0</v>
      </c>
      <c r="H56" s="894">
        <f ca="1">ROUNDUP(((B56/10000)*F56),1)</f>
        <v>0</v>
      </c>
      <c r="I56" s="894">
        <f ca="1">IF(F56&gt;0,1,0)</f>
        <v>0</v>
      </c>
      <c r="J56" s="894">
        <f ca="1">I56*G56</f>
        <v>0</v>
      </c>
      <c r="K56" s="894">
        <f ca="1">IF(F56&gt;0,G56*(H56+I56),0)</f>
        <v>0</v>
      </c>
      <c r="L56" s="894">
        <f ca="1">IF(F56&gt;0,K56/$D$2,0)*(1+$L$5)</f>
        <v>0</v>
      </c>
      <c r="M56" s="136" t="str">
        <f ca="1">OFFSET(input!$F$33,O56,0)</f>
        <v>N</v>
      </c>
      <c r="N56" s="136">
        <f>+N50+17</f>
        <v>136</v>
      </c>
      <c r="O56" s="136">
        <f>+O50+17</f>
        <v>136</v>
      </c>
      <c r="AT56" s="413">
        <f t="shared" ca="1" si="0"/>
        <v>0</v>
      </c>
      <c r="AU56" s="136">
        <f ca="1">COUNTIFS(AT$7:$AT56,1)</f>
        <v>2</v>
      </c>
    </row>
    <row r="57" spans="1:47" ht="15">
      <c r="A57" s="333" t="str">
        <f ca="1">OFFSET(input!$A$25,O57,0)</f>
        <v>N</v>
      </c>
      <c r="B57" s="891">
        <f ca="1">IF(OFFSET(input!$O$27,N57,0)="PCS",$D$4,SUMIFS(Paper!$AC$7:$AC$57,Paper!$A$7:$A$57,A57))</f>
        <v>5225</v>
      </c>
      <c r="C57" s="834">
        <f ca="1">SUMIFS(Paper!$N$7:$N$57,Paper!$A$7:$A$57,A57)</f>
        <v>0</v>
      </c>
      <c r="D57" s="834">
        <f ca="1">SUMIFS(Paper!$O$7:$O$57,Paper!$A$7:$A$57,A57)</f>
        <v>0</v>
      </c>
      <c r="E57" s="892" t="str">
        <f ca="1">OFFSET(input!$M$27,N57,0)</f>
        <v>None</v>
      </c>
      <c r="F57" s="893">
        <f ca="1">IF(OFFSET(input!$N$27,N57,0)&gt;0,OFFSET(input!$N$27,N57,0),SUMIFS(Data!$P$962:$P$993,Data!$L$962:$L$993,E57)*C57*D57*10000)</f>
        <v>0</v>
      </c>
      <c r="G57" s="894" t="str">
        <f ca="1">IF(F57&gt;0,SUMIFS(Data!$O$962:$O$993,Data!$L$962:$L$993,E57),"0")</f>
        <v>0</v>
      </c>
      <c r="H57" s="894">
        <f ca="1">ROUNDUP(((B57/10000)*F57),1)</f>
        <v>0</v>
      </c>
      <c r="I57" s="894">
        <f ca="1">IF(F57&gt;0,1,0)</f>
        <v>0</v>
      </c>
      <c r="J57" s="894">
        <f ca="1">I57*G57</f>
        <v>0</v>
      </c>
      <c r="K57" s="894">
        <f ca="1">IF(F57&gt;0,G57*(H57+I57),0)</f>
        <v>0</v>
      </c>
      <c r="L57" s="894">
        <f ca="1">IF(F57&gt;0,K57/$D$2,0)*(1+$L$5)</f>
        <v>0</v>
      </c>
      <c r="M57" s="136" t="str">
        <f ca="1">OFFSET(input!$F$33,O57,0)</f>
        <v>N</v>
      </c>
      <c r="N57" s="136">
        <f t="shared" ref="N57:O57" si="28">+N51+17</f>
        <v>137</v>
      </c>
      <c r="O57" s="136">
        <f t="shared" si="28"/>
        <v>136</v>
      </c>
      <c r="AT57" s="413">
        <f t="shared" ca="1" si="0"/>
        <v>0</v>
      </c>
      <c r="AU57" s="136">
        <f ca="1">COUNTIFS(AT$7:$AT57,1)</f>
        <v>2</v>
      </c>
    </row>
    <row r="58" spans="1:47" ht="15">
      <c r="A58" s="333" t="str">
        <f ca="1">OFFSET(input!$A$25,O58,0)</f>
        <v>N</v>
      </c>
      <c r="B58" s="891">
        <f ca="1">IF(OFFSET(input!$O$27,N58,0)="PCS",$D$4,SUMIFS(Paper!$AC$7:$AC$57,Paper!$A$7:$A$57,A58))</f>
        <v>5225</v>
      </c>
      <c r="C58" s="834">
        <f ca="1">SUMIFS(Paper!$N$7:$N$57,Paper!$A$7:$A$57,A58)</f>
        <v>0</v>
      </c>
      <c r="D58" s="834">
        <f ca="1">SUMIFS(Paper!$O$7:$O$57,Paper!$A$7:$A$57,A58)</f>
        <v>0</v>
      </c>
      <c r="E58" s="892" t="str">
        <f ca="1">OFFSET(input!$M$27,N58,0)</f>
        <v>None</v>
      </c>
      <c r="F58" s="893">
        <f ca="1">IF(OFFSET(input!$N$27,N58,0)&gt;0,OFFSET(input!$N$27,N58,0),SUMIFS(Data!$P$962:$P$993,Data!$L$962:$L$993,E58)*C58*D58*10000)</f>
        <v>0</v>
      </c>
      <c r="G58" s="894" t="str">
        <f ca="1">IF(F58&gt;0,SUMIFS(Data!$O$962:$O$993,Data!$L$962:$L$993,E58),"0")</f>
        <v>0</v>
      </c>
      <c r="H58" s="894">
        <f ca="1">ROUNDUP(((B58/10000)*F58),1)</f>
        <v>0</v>
      </c>
      <c r="I58" s="894">
        <f ca="1">IF(F58&gt;0,1,0)</f>
        <v>0</v>
      </c>
      <c r="J58" s="894">
        <f ca="1">I58*G58</f>
        <v>0</v>
      </c>
      <c r="K58" s="894">
        <f ca="1">IF(F58&gt;0,G58*(H58+I58),0)</f>
        <v>0</v>
      </c>
      <c r="L58" s="894">
        <f ca="1">IF(F58&gt;0,K58/$D$2,0)*(1+$L$5)</f>
        <v>0</v>
      </c>
      <c r="M58" s="136" t="str">
        <f ca="1">OFFSET(input!$F$33,O58,0)</f>
        <v>N</v>
      </c>
      <c r="N58" s="136">
        <f t="shared" ref="N58:O58" si="29">+N52+17</f>
        <v>138</v>
      </c>
      <c r="O58" s="136">
        <f t="shared" si="29"/>
        <v>136</v>
      </c>
      <c r="AT58" s="413">
        <f t="shared" ca="1" si="0"/>
        <v>0</v>
      </c>
      <c r="AU58" s="136">
        <f ca="1">COUNTIFS(AT$7:$AT58,1)</f>
        <v>2</v>
      </c>
    </row>
    <row r="59" spans="1:47" ht="15">
      <c r="A59" s="333" t="str">
        <f ca="1">OFFSET(input!$A$25,O59,0)</f>
        <v>N</v>
      </c>
      <c r="B59" s="891">
        <f ca="1">IF(OFFSET(input!$O$27,N59,0)="PCS",$D$4,SUMIFS(Paper!$AC$7:$AC$57,Paper!$A$7:$A$57,A59))</f>
        <v>5225</v>
      </c>
      <c r="C59" s="834">
        <f ca="1">SUMIFS(Paper!$N$7:$N$57,Paper!$A$7:$A$57,A59)</f>
        <v>0</v>
      </c>
      <c r="D59" s="834">
        <f ca="1">SUMIFS(Paper!$O$7:$O$57,Paper!$A$7:$A$57,A59)</f>
        <v>0</v>
      </c>
      <c r="E59" s="892" t="str">
        <f ca="1">OFFSET(input!$M$27,N59,0)</f>
        <v>None</v>
      </c>
      <c r="F59" s="893">
        <f ca="1">IF(OFFSET(input!$N$27,N59,0)&gt;0,OFFSET(input!$N$27,N59,0),SUMIFS(Data!$P$962:$P$993,Data!$L$962:$L$993,E59)*C59*D59*10000)</f>
        <v>0</v>
      </c>
      <c r="G59" s="894" t="str">
        <f ca="1">IF(F59&gt;0,SUMIFS(Data!$O$962:$O$993,Data!$L$962:$L$993,E59),"0")</f>
        <v>0</v>
      </c>
      <c r="H59" s="894">
        <f ca="1">ROUNDUP(((B59/10000)*F59),1)</f>
        <v>0</v>
      </c>
      <c r="I59" s="894">
        <f ca="1">IF(F59&gt;0,1,0)</f>
        <v>0</v>
      </c>
      <c r="J59" s="894">
        <f ca="1">I59*G59</f>
        <v>0</v>
      </c>
      <c r="K59" s="894">
        <f ca="1">IF(F59&gt;0,G59*(H59+I59),0)</f>
        <v>0</v>
      </c>
      <c r="L59" s="894">
        <f ca="1">IF(F59&gt;0,K59/$D$2,0)*(1+$L$5)</f>
        <v>0</v>
      </c>
      <c r="M59" s="136" t="str">
        <f ca="1">OFFSET(input!$F$33,O59,0)</f>
        <v>N</v>
      </c>
      <c r="N59" s="136">
        <f t="shared" ref="N59:O59" si="30">+N53+17</f>
        <v>139</v>
      </c>
      <c r="O59" s="136">
        <f t="shared" si="30"/>
        <v>136</v>
      </c>
      <c r="AT59" s="413">
        <f t="shared" ca="1" si="0"/>
        <v>0</v>
      </c>
      <c r="AU59" s="136">
        <f ca="1">COUNTIFS(AT$7:$AT59,1)</f>
        <v>2</v>
      </c>
    </row>
    <row r="60" spans="1:47" ht="15">
      <c r="A60" s="333" t="str">
        <f ca="1">OFFSET(input!$A$25,O60,0)</f>
        <v>N</v>
      </c>
      <c r="B60" s="891">
        <f ca="1">IF(OFFSET(input!$O$27,N60,0)="PCS",$D$4,SUMIFS(Paper!$AC$7:$AC$57,Paper!$A$7:$A$57,A60))</f>
        <v>5225</v>
      </c>
      <c r="C60" s="834">
        <f ca="1">SUMIFS(Paper!$N$7:$N$57,Paper!$A$7:$A$57,A60)</f>
        <v>0</v>
      </c>
      <c r="D60" s="834">
        <f ca="1">SUMIFS(Paper!$O$7:$O$57,Paper!$A$7:$A$57,A60)</f>
        <v>0</v>
      </c>
      <c r="E60" s="892" t="str">
        <f ca="1">OFFSET(input!$M$27,N60,0)</f>
        <v>None</v>
      </c>
      <c r="F60" s="893">
        <f ca="1">IF(OFFSET(input!$N$27,N60,0)&gt;0,OFFSET(input!$N$27,N60,0),SUMIFS(Data!$P$962:$P$993,Data!$L$962:$L$993,E60)*C60*D60*10000)</f>
        <v>0</v>
      </c>
      <c r="G60" s="894" t="str">
        <f ca="1">IF(F60&gt;0,SUMIFS(Data!$O$962:$O$993,Data!$L$962:$L$993,E60),"0")</f>
        <v>0</v>
      </c>
      <c r="H60" s="894">
        <f ca="1">ROUNDUP(((B60/10000)*F60),1)</f>
        <v>0</v>
      </c>
      <c r="I60" s="894">
        <f ca="1">IF(F60&gt;0,1,0)</f>
        <v>0</v>
      </c>
      <c r="J60" s="894">
        <f ca="1">I60*G60</f>
        <v>0</v>
      </c>
      <c r="K60" s="894">
        <f ca="1">IF(F60&gt;0,G60*(H60+I60),0)</f>
        <v>0</v>
      </c>
      <c r="L60" s="894">
        <f ca="1">IF(F60&gt;0,K60/$D$2,0)*(1+$L$5)</f>
        <v>0</v>
      </c>
      <c r="M60" s="136" t="str">
        <f ca="1">OFFSET(input!$F$33,O60,0)</f>
        <v>N</v>
      </c>
      <c r="N60" s="136">
        <f t="shared" ref="N60:O60" si="31">+N54+17</f>
        <v>140</v>
      </c>
      <c r="O60" s="136">
        <f t="shared" si="31"/>
        <v>136</v>
      </c>
      <c r="AT60" s="413">
        <f t="shared" ca="1" si="0"/>
        <v>0</v>
      </c>
      <c r="AU60" s="136">
        <f ca="1">COUNTIFS(AT$7:$AT60,1)</f>
        <v>2</v>
      </c>
    </row>
    <row r="61" spans="1:47" ht="15">
      <c r="AT61" s="413" t="str">
        <f t="shared" si="0"/>
        <v/>
      </c>
      <c r="AU61" s="136">
        <f ca="1">COUNTIFS(AT$7:$AT61,1)</f>
        <v>2</v>
      </c>
    </row>
    <row r="62" spans="1:47" ht="15">
      <c r="A62" s="333" t="str">
        <f ca="1">OFFSET(input!$A$25,O62,0)</f>
        <v>N</v>
      </c>
      <c r="B62" s="891">
        <f ca="1">IF(OFFSET(input!$O$27,N62,0)="PCS",$D$4,SUMIFS(Paper!$AC$7:$AC$57,Paper!$A$7:$A$57,A62))</f>
        <v>5225</v>
      </c>
      <c r="C62" s="834">
        <f ca="1">SUMIFS(Paper!$N$7:$N$57,Paper!$A$7:$A$57,A62)</f>
        <v>0</v>
      </c>
      <c r="D62" s="834">
        <f ca="1">SUMIFS(Paper!$O$7:$O$57,Paper!$A$7:$A$57,A62)</f>
        <v>0</v>
      </c>
      <c r="E62" s="892" t="str">
        <f ca="1">OFFSET(input!$M$27,N62,0)</f>
        <v>None</v>
      </c>
      <c r="F62" s="893">
        <f ca="1">IF(OFFSET(input!$N$27,N62,0)&gt;0,OFFSET(input!$N$27,N62,0),SUMIFS(Data!$P$962:$P$993,Data!$L$962:$L$993,E62)*C62*D62*10000)</f>
        <v>0</v>
      </c>
      <c r="G62" s="894" t="str">
        <f ca="1">IF(F62&gt;0,SUMIFS(Data!$O$962:$O$993,Data!$L$962:$L$993,E62),"0")</f>
        <v>0</v>
      </c>
      <c r="H62" s="894">
        <f ca="1">ROUNDUP(((B62/10000)*F62),1)</f>
        <v>0</v>
      </c>
      <c r="I62" s="894">
        <f ca="1">IF(F62&gt;0,1,0)</f>
        <v>0</v>
      </c>
      <c r="J62" s="894">
        <f ca="1">I62*G62</f>
        <v>0</v>
      </c>
      <c r="K62" s="894">
        <f ca="1">IF(F62&gt;0,G62*(H62+I62),0)</f>
        <v>0</v>
      </c>
      <c r="L62" s="894">
        <f ca="1">IF(F62&gt;0,K62/$D$2,0)*(1+$L$5)</f>
        <v>0</v>
      </c>
      <c r="M62" s="136" t="str">
        <f ca="1">OFFSET(input!$F$33,O62,0)</f>
        <v>N</v>
      </c>
      <c r="N62" s="136">
        <f>+N56+17</f>
        <v>153</v>
      </c>
      <c r="O62" s="136">
        <f>+O56+17</f>
        <v>153</v>
      </c>
      <c r="AT62" s="413">
        <f t="shared" ca="1" si="0"/>
        <v>0</v>
      </c>
      <c r="AU62" s="136">
        <f ca="1">COUNTIFS(AT$7:$AT62,1)</f>
        <v>2</v>
      </c>
    </row>
    <row r="63" spans="1:47" ht="15">
      <c r="A63" s="333" t="str">
        <f ca="1">OFFSET(input!$A$25,O63,0)</f>
        <v>N</v>
      </c>
      <c r="B63" s="891">
        <f ca="1">IF(OFFSET(input!$O$27,N63,0)="PCS",$D$4,SUMIFS(Paper!$AC$7:$AC$57,Paper!$A$7:$A$57,A63))</f>
        <v>5225</v>
      </c>
      <c r="C63" s="834">
        <f ca="1">SUMIFS(Paper!$N$7:$N$57,Paper!$A$7:$A$57,A63)</f>
        <v>0</v>
      </c>
      <c r="D63" s="834">
        <f ca="1">SUMIFS(Paper!$O$7:$O$57,Paper!$A$7:$A$57,A63)</f>
        <v>0</v>
      </c>
      <c r="E63" s="892" t="str">
        <f ca="1">OFFSET(input!$M$27,N63,0)</f>
        <v>None</v>
      </c>
      <c r="F63" s="893">
        <f ca="1">IF(OFFSET(input!$N$27,N63,0)&gt;0,OFFSET(input!$N$27,N63,0),SUMIFS(Data!$P$962:$P$993,Data!$L$962:$L$993,E63)*C63*D63*10000)</f>
        <v>0</v>
      </c>
      <c r="G63" s="894" t="str">
        <f ca="1">IF(F63&gt;0,SUMIFS(Data!$O$962:$O$993,Data!$L$962:$L$993,E63),"0")</f>
        <v>0</v>
      </c>
      <c r="H63" s="894">
        <f ca="1">ROUNDUP(((B63/10000)*F63),1)</f>
        <v>0</v>
      </c>
      <c r="I63" s="894">
        <f ca="1">IF(F63&gt;0,1,0)</f>
        <v>0</v>
      </c>
      <c r="J63" s="894">
        <f ca="1">I63*G63</f>
        <v>0</v>
      </c>
      <c r="K63" s="894">
        <f ca="1">IF(F63&gt;0,G63*(H63+I63),0)</f>
        <v>0</v>
      </c>
      <c r="L63" s="894">
        <f ca="1">IF(F63&gt;0,K63/$D$2,0)*(1+$L$5)</f>
        <v>0</v>
      </c>
      <c r="M63" s="136" t="str">
        <f ca="1">OFFSET(input!$F$33,O63,0)</f>
        <v>N</v>
      </c>
      <c r="N63" s="136">
        <f t="shared" ref="N63:O63" si="32">+N57+17</f>
        <v>154</v>
      </c>
      <c r="O63" s="136">
        <f t="shared" si="32"/>
        <v>153</v>
      </c>
      <c r="AT63" s="413">
        <f t="shared" ca="1" si="0"/>
        <v>0</v>
      </c>
      <c r="AU63" s="136">
        <f ca="1">COUNTIFS(AT$7:$AT63,1)</f>
        <v>2</v>
      </c>
    </row>
    <row r="64" spans="1:47" ht="15">
      <c r="A64" s="333" t="str">
        <f ca="1">OFFSET(input!$A$25,O64,0)</f>
        <v>N</v>
      </c>
      <c r="B64" s="891">
        <f ca="1">IF(OFFSET(input!$O$27,N64,0)="PCS",$D$4,SUMIFS(Paper!$AC$7:$AC$57,Paper!$A$7:$A$57,A64))</f>
        <v>5225</v>
      </c>
      <c r="C64" s="834">
        <f ca="1">SUMIFS(Paper!$N$7:$N$57,Paper!$A$7:$A$57,A64)</f>
        <v>0</v>
      </c>
      <c r="D64" s="834">
        <f ca="1">SUMIFS(Paper!$O$7:$O$57,Paper!$A$7:$A$57,A64)</f>
        <v>0</v>
      </c>
      <c r="E64" s="892" t="str">
        <f ca="1">OFFSET(input!$M$27,N64,0)</f>
        <v>None</v>
      </c>
      <c r="F64" s="893">
        <f ca="1">IF(OFFSET(input!$N$27,N64,0)&gt;0,OFFSET(input!$N$27,N64,0),SUMIFS(Data!$P$962:$P$993,Data!$L$962:$L$993,E64)*C64*D64*10000)</f>
        <v>0</v>
      </c>
      <c r="G64" s="894" t="str">
        <f ca="1">IF(F64&gt;0,SUMIFS(Data!$O$962:$O$993,Data!$L$962:$L$993,E64),"0")</f>
        <v>0</v>
      </c>
      <c r="H64" s="894">
        <f ca="1">ROUNDUP(((B64/10000)*F64),1)</f>
        <v>0</v>
      </c>
      <c r="I64" s="894">
        <f ca="1">IF(F64&gt;0,1,0)</f>
        <v>0</v>
      </c>
      <c r="J64" s="894">
        <f ca="1">I64*G64</f>
        <v>0</v>
      </c>
      <c r="K64" s="894">
        <f ca="1">IF(F64&gt;0,G64*(H64+I64),0)</f>
        <v>0</v>
      </c>
      <c r="L64" s="894">
        <f ca="1">IF(F64&gt;0,K64/$D$2,0)*(1+$L$5)</f>
        <v>0</v>
      </c>
      <c r="M64" s="136" t="str">
        <f ca="1">OFFSET(input!$F$33,O64,0)</f>
        <v>N</v>
      </c>
      <c r="N64" s="136">
        <f t="shared" ref="N64:O64" si="33">+N58+17</f>
        <v>155</v>
      </c>
      <c r="O64" s="136">
        <f t="shared" si="33"/>
        <v>153</v>
      </c>
      <c r="AT64" s="413">
        <f t="shared" ca="1" si="0"/>
        <v>0</v>
      </c>
      <c r="AU64" s="136">
        <f ca="1">COUNTIFS(AT$7:$AT64,1)</f>
        <v>2</v>
      </c>
    </row>
    <row r="65" spans="1:47" ht="15">
      <c r="A65" s="333" t="str">
        <f ca="1">OFFSET(input!$A$25,O65,0)</f>
        <v>N</v>
      </c>
      <c r="B65" s="891">
        <f ca="1">IF(OFFSET(input!$O$27,N65,0)="PCS",$D$4,SUMIFS(Paper!$AC$7:$AC$57,Paper!$A$7:$A$57,A65))</f>
        <v>5225</v>
      </c>
      <c r="C65" s="834">
        <f ca="1">SUMIFS(Paper!$N$7:$N$57,Paper!$A$7:$A$57,A65)</f>
        <v>0</v>
      </c>
      <c r="D65" s="834">
        <f ca="1">SUMIFS(Paper!$O$7:$O$57,Paper!$A$7:$A$57,A65)</f>
        <v>0</v>
      </c>
      <c r="E65" s="892" t="str">
        <f ca="1">OFFSET(input!$M$27,N65,0)</f>
        <v>None</v>
      </c>
      <c r="F65" s="893">
        <f ca="1">IF(OFFSET(input!$N$27,N65,0)&gt;0,OFFSET(input!$N$27,N65,0),SUMIFS(Data!$P$962:$P$993,Data!$L$962:$L$993,E65)*C65*D65*10000)</f>
        <v>0</v>
      </c>
      <c r="G65" s="894" t="str">
        <f ca="1">IF(F65&gt;0,SUMIFS(Data!$O$962:$O$993,Data!$L$962:$L$993,E65),"0")</f>
        <v>0</v>
      </c>
      <c r="H65" s="894">
        <f ca="1">ROUNDUP(((B65/10000)*F65),1)</f>
        <v>0</v>
      </c>
      <c r="I65" s="894">
        <f ca="1">IF(F65&gt;0,1,0)</f>
        <v>0</v>
      </c>
      <c r="J65" s="894">
        <f ca="1">I65*G65</f>
        <v>0</v>
      </c>
      <c r="K65" s="894">
        <f ca="1">IF(F65&gt;0,G65*(H65+I65),0)</f>
        <v>0</v>
      </c>
      <c r="L65" s="894">
        <f ca="1">IF(F65&gt;0,K65/$D$2,0)*(1+$L$5)</f>
        <v>0</v>
      </c>
      <c r="M65" s="136" t="str">
        <f ca="1">OFFSET(input!$F$33,O65,0)</f>
        <v>N</v>
      </c>
      <c r="N65" s="136">
        <f t="shared" ref="N65:O65" si="34">+N59+17</f>
        <v>156</v>
      </c>
      <c r="O65" s="136">
        <f t="shared" si="34"/>
        <v>153</v>
      </c>
      <c r="AT65" s="413">
        <f t="shared" ca="1" si="0"/>
        <v>0</v>
      </c>
      <c r="AU65" s="136">
        <f ca="1">COUNTIFS(AT$7:$AT65,1)</f>
        <v>2</v>
      </c>
    </row>
    <row r="66" spans="1:47" ht="15">
      <c r="A66" s="333" t="str">
        <f ca="1">OFFSET(input!$A$25,O66,0)</f>
        <v>N</v>
      </c>
      <c r="B66" s="891">
        <f ca="1">IF(OFFSET(input!$O$27,N66,0)="PCS",$D$4,SUMIFS(Paper!$AC$7:$AC$57,Paper!$A$7:$A$57,A66))</f>
        <v>5225</v>
      </c>
      <c r="C66" s="834">
        <f ca="1">SUMIFS(Paper!$N$7:$N$57,Paper!$A$7:$A$57,A66)</f>
        <v>0</v>
      </c>
      <c r="D66" s="834">
        <f ca="1">SUMIFS(Paper!$O$7:$O$57,Paper!$A$7:$A$57,A66)</f>
        <v>0</v>
      </c>
      <c r="E66" s="892" t="str">
        <f ca="1">OFFSET(input!$M$27,N66,0)</f>
        <v>None</v>
      </c>
      <c r="F66" s="893">
        <f ca="1">IF(OFFSET(input!$N$27,N66,0)&gt;0,OFFSET(input!$N$27,N66,0),SUMIFS(Data!$P$962:$P$993,Data!$L$962:$L$993,E66)*C66*D66*10000)</f>
        <v>0</v>
      </c>
      <c r="G66" s="894" t="str">
        <f ca="1">IF(F66&gt;0,SUMIFS(Data!$O$962:$O$993,Data!$L$962:$L$993,E66),"0")</f>
        <v>0</v>
      </c>
      <c r="H66" s="894">
        <f ca="1">ROUNDUP(((B66/10000)*F66),1)</f>
        <v>0</v>
      </c>
      <c r="I66" s="894">
        <f ca="1">IF(F66&gt;0,1,0)</f>
        <v>0</v>
      </c>
      <c r="J66" s="894">
        <f ca="1">I66*G66</f>
        <v>0</v>
      </c>
      <c r="K66" s="894">
        <f ca="1">IF(F66&gt;0,G66*(H66+I66),0)</f>
        <v>0</v>
      </c>
      <c r="L66" s="894">
        <f ca="1">IF(F66&gt;0,K66/$D$2,0)*(1+$L$5)</f>
        <v>0</v>
      </c>
      <c r="M66" s="136" t="str">
        <f ca="1">OFFSET(input!$F$33,O66,0)</f>
        <v>N</v>
      </c>
      <c r="N66" s="136">
        <f t="shared" ref="N66:O66" si="35">+N60+17</f>
        <v>157</v>
      </c>
      <c r="O66" s="136">
        <f t="shared" si="35"/>
        <v>153</v>
      </c>
      <c r="AT66" s="413">
        <f t="shared" ca="1" si="0"/>
        <v>0</v>
      </c>
      <c r="AU66" s="136">
        <f ca="1">COUNTIFS(AT$7:$AT66,1)</f>
        <v>2</v>
      </c>
    </row>
    <row r="67" spans="1:47" ht="15">
      <c r="AT67" s="413" t="str">
        <f t="shared" si="0"/>
        <v/>
      </c>
      <c r="AU67" s="136">
        <f ca="1">COUNTIFS(AT$7:$AT67,1)</f>
        <v>2</v>
      </c>
    </row>
    <row r="68" spans="1:47" ht="15">
      <c r="A68" s="333" t="str">
        <f ca="1">OFFSET(input!$A$25,O68,0)</f>
        <v>N</v>
      </c>
      <c r="B68" s="891">
        <f ca="1">IF(OFFSET(input!$O$27,N68,0)="PCS",$D$4,SUMIFS(Paper!$AC$7:$AC$57,Paper!$A$7:$A$57,A68))</f>
        <v>5225</v>
      </c>
      <c r="C68" s="834">
        <f ca="1">SUMIFS(Paper!$N$7:$N$57,Paper!$A$7:$A$57,A68)</f>
        <v>0</v>
      </c>
      <c r="D68" s="834">
        <f ca="1">SUMIFS(Paper!$O$7:$O$57,Paper!$A$7:$A$57,A68)</f>
        <v>0</v>
      </c>
      <c r="E68" s="892" t="str">
        <f ca="1">OFFSET(input!$M$27,N68,0)</f>
        <v>None</v>
      </c>
      <c r="F68" s="893">
        <f ca="1">IF(OFFSET(input!$N$27,N68,0)&gt;0,OFFSET(input!$N$27,N68,0),SUMIFS(Data!$P$962:$P$993,Data!$L$962:$L$993,E68)*C68*D68*10000)</f>
        <v>0</v>
      </c>
      <c r="G68" s="894" t="str">
        <f ca="1">IF(F68&gt;0,SUMIFS(Data!$O$962:$O$993,Data!$L$962:$L$993,E68),"0")</f>
        <v>0</v>
      </c>
      <c r="H68" s="894">
        <f ca="1">ROUNDUP(((B68/10000)*F68),1)</f>
        <v>0</v>
      </c>
      <c r="I68" s="894">
        <f ca="1">IF(F68&gt;0,1,0)</f>
        <v>0</v>
      </c>
      <c r="J68" s="894">
        <f ca="1">I68*G68</f>
        <v>0</v>
      </c>
      <c r="K68" s="894">
        <f ca="1">IF(F68&gt;0,G68*(H68+I68),0)</f>
        <v>0</v>
      </c>
      <c r="L68" s="894">
        <f ca="1">IF(F68&gt;0,K68/$D$2,0)*(1+$L$5)</f>
        <v>0</v>
      </c>
      <c r="M68" s="136" t="str">
        <f ca="1">OFFSET(input!$F$33,O68,0)</f>
        <v>N</v>
      </c>
      <c r="N68" s="136">
        <f>+N62+17</f>
        <v>170</v>
      </c>
      <c r="O68" s="136">
        <f>+O62+17</f>
        <v>170</v>
      </c>
      <c r="AT68" s="413">
        <f t="shared" ca="1" si="0"/>
        <v>0</v>
      </c>
      <c r="AU68" s="136">
        <f ca="1">COUNTIFS(AT$7:$AT68,1)</f>
        <v>2</v>
      </c>
    </row>
    <row r="69" spans="1:47" ht="15">
      <c r="A69" s="333" t="str">
        <f ca="1">OFFSET(input!$A$25,O69,0)</f>
        <v>N</v>
      </c>
      <c r="B69" s="891">
        <f ca="1">IF(OFFSET(input!$O$27,N69,0)="PCS",$D$4,SUMIFS(Paper!$AC$7:$AC$57,Paper!$A$7:$A$57,A69))</f>
        <v>5225</v>
      </c>
      <c r="C69" s="834">
        <f ca="1">SUMIFS(Paper!$N$7:$N$57,Paper!$A$7:$A$57,A69)</f>
        <v>0</v>
      </c>
      <c r="D69" s="834">
        <f ca="1">SUMIFS(Paper!$O$7:$O$57,Paper!$A$7:$A$57,A69)</f>
        <v>0</v>
      </c>
      <c r="E69" s="892" t="str">
        <f ca="1">OFFSET(input!$M$27,N69,0)</f>
        <v>None</v>
      </c>
      <c r="F69" s="893">
        <f ca="1">IF(OFFSET(input!$N$27,N69,0)&gt;0,OFFSET(input!$N$27,N69,0),SUMIFS(Data!$P$962:$P$993,Data!$L$962:$L$993,E69)*C69*D69*10000)</f>
        <v>0</v>
      </c>
      <c r="G69" s="894" t="str">
        <f ca="1">IF(F69&gt;0,SUMIFS(Data!$O$962:$O$993,Data!$L$962:$L$993,E69),"0")</f>
        <v>0</v>
      </c>
      <c r="H69" s="894">
        <f ca="1">ROUNDUP(((B69/10000)*F69),1)</f>
        <v>0</v>
      </c>
      <c r="I69" s="894">
        <f ca="1">IF(F69&gt;0,1,0)</f>
        <v>0</v>
      </c>
      <c r="J69" s="894">
        <f ca="1">I69*G69</f>
        <v>0</v>
      </c>
      <c r="K69" s="894">
        <f ca="1">IF(F69&gt;0,G69*(H69+I69),0)</f>
        <v>0</v>
      </c>
      <c r="L69" s="894">
        <f ca="1">IF(F69&gt;0,K69/$D$2,0)*(1+$L$5)</f>
        <v>0</v>
      </c>
      <c r="M69" s="136" t="str">
        <f ca="1">OFFSET(input!$F$33,O69,0)</f>
        <v>N</v>
      </c>
      <c r="N69" s="136">
        <f t="shared" ref="N69:O69" si="36">+N63+17</f>
        <v>171</v>
      </c>
      <c r="O69" s="136">
        <f t="shared" si="36"/>
        <v>170</v>
      </c>
      <c r="AT69" s="413">
        <f t="shared" ca="1" si="0"/>
        <v>0</v>
      </c>
      <c r="AU69" s="136">
        <f ca="1">COUNTIFS(AT$7:$AT69,1)</f>
        <v>2</v>
      </c>
    </row>
    <row r="70" spans="1:47" ht="15">
      <c r="A70" s="333" t="str">
        <f ca="1">OFFSET(input!$A$25,O70,0)</f>
        <v>N</v>
      </c>
      <c r="B70" s="891">
        <f ca="1">IF(OFFSET(input!$O$27,N70,0)="PCS",$D$4,SUMIFS(Paper!$AC$7:$AC$57,Paper!$A$7:$A$57,A70))</f>
        <v>5225</v>
      </c>
      <c r="C70" s="834">
        <f ca="1">SUMIFS(Paper!$N$7:$N$57,Paper!$A$7:$A$57,A70)</f>
        <v>0</v>
      </c>
      <c r="D70" s="834">
        <f ca="1">SUMIFS(Paper!$O$7:$O$57,Paper!$A$7:$A$57,A70)</f>
        <v>0</v>
      </c>
      <c r="E70" s="892" t="str">
        <f ca="1">OFFSET(input!$M$27,N70,0)</f>
        <v>None</v>
      </c>
      <c r="F70" s="893">
        <f ca="1">IF(OFFSET(input!$N$27,N70,0)&gt;0,OFFSET(input!$N$27,N70,0),SUMIFS(Data!$P$962:$P$993,Data!$L$962:$L$993,E70)*C70*D70*10000)</f>
        <v>0</v>
      </c>
      <c r="G70" s="894" t="str">
        <f ca="1">IF(F70&gt;0,SUMIFS(Data!$O$962:$O$993,Data!$L$962:$L$993,E70),"0")</f>
        <v>0</v>
      </c>
      <c r="H70" s="894">
        <f ca="1">ROUNDUP(((B70/10000)*F70),1)</f>
        <v>0</v>
      </c>
      <c r="I70" s="894">
        <f ca="1">IF(F70&gt;0,1,0)</f>
        <v>0</v>
      </c>
      <c r="J70" s="894">
        <f ca="1">I70*G70</f>
        <v>0</v>
      </c>
      <c r="K70" s="894">
        <f ca="1">IF(F70&gt;0,G70*(H70+I70),0)</f>
        <v>0</v>
      </c>
      <c r="L70" s="894">
        <f ca="1">IF(F70&gt;0,K70/$D$2,0)*(1+$L$5)</f>
        <v>0</v>
      </c>
      <c r="M70" s="136" t="str">
        <f ca="1">OFFSET(input!$F$33,O70,0)</f>
        <v>N</v>
      </c>
      <c r="N70" s="136">
        <f t="shared" ref="N70:O70" si="37">+N64+17</f>
        <v>172</v>
      </c>
      <c r="O70" s="136">
        <f t="shared" si="37"/>
        <v>170</v>
      </c>
      <c r="AT70" s="413">
        <f t="shared" ca="1" si="0"/>
        <v>0</v>
      </c>
      <c r="AU70" s="136">
        <f ca="1">COUNTIFS(AT$7:$AT70,1)</f>
        <v>2</v>
      </c>
    </row>
    <row r="71" spans="1:47" ht="15">
      <c r="A71" s="333" t="str">
        <f ca="1">OFFSET(input!$A$25,O71,0)</f>
        <v>N</v>
      </c>
      <c r="B71" s="891">
        <f ca="1">IF(OFFSET(input!$O$27,N71,0)="PCS",$D$4,SUMIFS(Paper!$AC$7:$AC$57,Paper!$A$7:$A$57,A71))</f>
        <v>5225</v>
      </c>
      <c r="C71" s="834">
        <f ca="1">SUMIFS(Paper!$N$7:$N$57,Paper!$A$7:$A$57,A71)</f>
        <v>0</v>
      </c>
      <c r="D71" s="834">
        <f ca="1">SUMIFS(Paper!$O$7:$O$57,Paper!$A$7:$A$57,A71)</f>
        <v>0</v>
      </c>
      <c r="E71" s="892" t="str">
        <f ca="1">OFFSET(input!$M$27,N71,0)</f>
        <v>None</v>
      </c>
      <c r="F71" s="893">
        <f ca="1">IF(OFFSET(input!$N$27,N71,0)&gt;0,OFFSET(input!$N$27,N71,0),SUMIFS(Data!$P$962:$P$993,Data!$L$962:$L$993,E71)*C71*D71*10000)</f>
        <v>0</v>
      </c>
      <c r="G71" s="894" t="str">
        <f ca="1">IF(F71&gt;0,SUMIFS(Data!$O$962:$O$993,Data!$L$962:$L$993,E71),"0")</f>
        <v>0</v>
      </c>
      <c r="H71" s="894">
        <f ca="1">ROUNDUP(((B71/10000)*F71),1)</f>
        <v>0</v>
      </c>
      <c r="I71" s="894">
        <f ca="1">IF(F71&gt;0,1,0)</f>
        <v>0</v>
      </c>
      <c r="J71" s="894">
        <f ca="1">I71*G71</f>
        <v>0</v>
      </c>
      <c r="K71" s="894">
        <f ca="1">IF(F71&gt;0,G71*(H71+I71),0)</f>
        <v>0</v>
      </c>
      <c r="L71" s="894">
        <f ca="1">IF(F71&gt;0,K71/$D$2,0)*(1+$L$5)</f>
        <v>0</v>
      </c>
      <c r="M71" s="136" t="str">
        <f ca="1">OFFSET(input!$F$33,O71,0)</f>
        <v>N</v>
      </c>
      <c r="N71" s="136">
        <f t="shared" ref="N71:O71" si="38">+N65+17</f>
        <v>173</v>
      </c>
      <c r="O71" s="136">
        <f t="shared" si="38"/>
        <v>170</v>
      </c>
      <c r="AT71" s="413">
        <f t="shared" ca="1" si="0"/>
        <v>0</v>
      </c>
      <c r="AU71" s="136">
        <f ca="1">COUNTIFS(AT$7:$AT71,1)</f>
        <v>2</v>
      </c>
    </row>
    <row r="72" spans="1:47" ht="15">
      <c r="A72" s="333" t="str">
        <f ca="1">OFFSET(input!$A$25,O72,0)</f>
        <v>N</v>
      </c>
      <c r="B72" s="891">
        <f ca="1">IF(OFFSET(input!$O$27,N72,0)="PCS",$D$4,SUMIFS(Paper!$AC$7:$AC$57,Paper!$A$7:$A$57,A72))</f>
        <v>5225</v>
      </c>
      <c r="C72" s="834">
        <f ca="1">SUMIFS(Paper!$N$7:$N$57,Paper!$A$7:$A$57,A72)</f>
        <v>0</v>
      </c>
      <c r="D72" s="834">
        <f ca="1">SUMIFS(Paper!$O$7:$O$57,Paper!$A$7:$A$57,A72)</f>
        <v>0</v>
      </c>
      <c r="E72" s="892" t="str">
        <f ca="1">OFFSET(input!$M$27,N72,0)</f>
        <v>None</v>
      </c>
      <c r="F72" s="893">
        <f ca="1">IF(OFFSET(input!$N$27,N72,0)&gt;0,OFFSET(input!$N$27,N72,0),SUMIFS(Data!$P$962:$P$993,Data!$L$962:$L$993,E72)*C72*D72*10000)</f>
        <v>0</v>
      </c>
      <c r="G72" s="894" t="str">
        <f ca="1">IF(F72&gt;0,SUMIFS(Data!$O$962:$O$993,Data!$L$962:$L$993,E72),"0")</f>
        <v>0</v>
      </c>
      <c r="H72" s="894">
        <f ca="1">ROUNDUP(((B72/10000)*F72),1)</f>
        <v>0</v>
      </c>
      <c r="I72" s="894">
        <f ca="1">IF(F72&gt;0,1,0)</f>
        <v>0</v>
      </c>
      <c r="J72" s="894">
        <f ca="1">I72*G72</f>
        <v>0</v>
      </c>
      <c r="K72" s="894">
        <f ca="1">IF(F72&gt;0,G72*(H72+I72),0)</f>
        <v>0</v>
      </c>
      <c r="L72" s="894">
        <f ca="1">IF(F72&gt;0,K72/$D$2,0)*(1+$L$5)</f>
        <v>0</v>
      </c>
      <c r="M72" s="136" t="str">
        <f ca="1">OFFSET(input!$F$33,O72,0)</f>
        <v>N</v>
      </c>
      <c r="N72" s="136">
        <f t="shared" ref="N72:O72" si="39">+N66+17</f>
        <v>174</v>
      </c>
      <c r="O72" s="136">
        <f t="shared" si="39"/>
        <v>170</v>
      </c>
      <c r="AT72" s="413">
        <f t="shared" ca="1" si="0"/>
        <v>0</v>
      </c>
      <c r="AU72" s="136">
        <f ca="1">COUNTIFS(AT$7:$AT72,1)</f>
        <v>2</v>
      </c>
    </row>
    <row r="73" spans="1:47" ht="15">
      <c r="AT73" s="413" t="str">
        <f t="shared" ref="AT73:AT146" si="40">IF(ISNUMBER(L73),IF(L73&lt;&gt;0,IF(ISNUMBER(SEARCH("to",H73)),0,1),0),"")</f>
        <v/>
      </c>
      <c r="AU73" s="136">
        <f ca="1">COUNTIFS(AT$7:$AT73,1)</f>
        <v>2</v>
      </c>
    </row>
    <row r="74" spans="1:47" ht="15">
      <c r="A74" s="333" t="str">
        <f ca="1">OFFSET(input!$A$25,O74,0)</f>
        <v>N</v>
      </c>
      <c r="B74" s="891">
        <f ca="1">IF(OFFSET(input!$O$27,N74,0)="PCS",$D$4,SUMIFS(Paper!$AC$7:$AC$57,Paper!$A$7:$A$57,A74))</f>
        <v>5225</v>
      </c>
      <c r="C74" s="834">
        <f ca="1">SUMIFS(Paper!$N$7:$N$57,Paper!$A$7:$A$57,A74)</f>
        <v>0</v>
      </c>
      <c r="D74" s="834">
        <f ca="1">SUMIFS(Paper!$O$7:$O$57,Paper!$A$7:$A$57,A74)</f>
        <v>0</v>
      </c>
      <c r="E74" s="892" t="str">
        <f ca="1">OFFSET(input!$M$27,N74,0)</f>
        <v>None</v>
      </c>
      <c r="F74" s="893">
        <f ca="1">IF(OFFSET(input!$N$27,N74,0)&gt;0,OFFSET(input!$N$27,N74,0),SUMIFS(Data!$P$962:$P$993,Data!$L$962:$L$993,E74)*C74*D74*10000)</f>
        <v>0</v>
      </c>
      <c r="G74" s="894" t="str">
        <f ca="1">IF(F74&gt;0,SUMIFS(Data!$O$962:$O$993,Data!$L$962:$L$993,E74),"0")</f>
        <v>0</v>
      </c>
      <c r="H74" s="894">
        <f ca="1">ROUNDUP(((B74/10000)*F74),1)</f>
        <v>0</v>
      </c>
      <c r="I74" s="894">
        <f ca="1">IF(F74&gt;0,1,0)</f>
        <v>0</v>
      </c>
      <c r="J74" s="894">
        <f ca="1">I74*G74</f>
        <v>0</v>
      </c>
      <c r="K74" s="894">
        <f ca="1">IF(F74&gt;0,G74*(H74+I74),0)</f>
        <v>0</v>
      </c>
      <c r="L74" s="894">
        <f ca="1">IF(F74&gt;0,K74/$D$2,0)*(1+$L$5)</f>
        <v>0</v>
      </c>
      <c r="M74" s="136" t="str">
        <f ca="1">OFFSET(input!$F$33,O74,0)</f>
        <v>N</v>
      </c>
      <c r="N74" s="136">
        <f>+N68+17</f>
        <v>187</v>
      </c>
      <c r="O74" s="136">
        <f>+O68+17</f>
        <v>187</v>
      </c>
      <c r="AT74" s="413">
        <f t="shared" ca="1" si="40"/>
        <v>0</v>
      </c>
      <c r="AU74" s="136">
        <f ca="1">COUNTIFS(AT$7:$AT74,1)</f>
        <v>2</v>
      </c>
    </row>
    <row r="75" spans="1:47" ht="15">
      <c r="A75" s="333" t="str">
        <f ca="1">OFFSET(input!$A$25,O75,0)</f>
        <v>N</v>
      </c>
      <c r="B75" s="891">
        <f ca="1">IF(OFFSET(input!$O$27,N75,0)="PCS",$D$4,SUMIFS(Paper!$AC$7:$AC$57,Paper!$A$7:$A$57,A75))</f>
        <v>5225</v>
      </c>
      <c r="C75" s="834">
        <f ca="1">SUMIFS(Paper!$N$7:$N$57,Paper!$A$7:$A$57,A75)</f>
        <v>0</v>
      </c>
      <c r="D75" s="834">
        <f ca="1">SUMIFS(Paper!$O$7:$O$57,Paper!$A$7:$A$57,A75)</f>
        <v>0</v>
      </c>
      <c r="E75" s="892" t="str">
        <f ca="1">OFFSET(input!$M$27,N75,0)</f>
        <v>None</v>
      </c>
      <c r="F75" s="893">
        <f ca="1">IF(OFFSET(input!$N$27,N75,0)&gt;0,OFFSET(input!$N$27,N75,0),SUMIFS(Data!$P$962:$P$993,Data!$L$962:$L$993,E75)*C75*D75*10000)</f>
        <v>0</v>
      </c>
      <c r="G75" s="894" t="str">
        <f ca="1">IF(F75&gt;0,SUMIFS(Data!$O$962:$O$993,Data!$L$962:$L$993,E75),"0")</f>
        <v>0</v>
      </c>
      <c r="H75" s="894">
        <f ca="1">ROUNDUP(((B75/10000)*F75),1)</f>
        <v>0</v>
      </c>
      <c r="I75" s="894">
        <f ca="1">IF(F75&gt;0,1,0)</f>
        <v>0</v>
      </c>
      <c r="J75" s="894">
        <f ca="1">I75*G75</f>
        <v>0</v>
      </c>
      <c r="K75" s="894">
        <f ca="1">IF(F75&gt;0,G75*(H75+I75),0)</f>
        <v>0</v>
      </c>
      <c r="L75" s="894">
        <f ca="1">IF(F75&gt;0,K75/$D$2,0)*(1+$L$5)</f>
        <v>0</v>
      </c>
      <c r="M75" s="136" t="str">
        <f ca="1">OFFSET(input!$F$33,O75,0)</f>
        <v>N</v>
      </c>
      <c r="N75" s="136">
        <f t="shared" ref="N75:O75" si="41">+N69+17</f>
        <v>188</v>
      </c>
      <c r="O75" s="136">
        <f t="shared" si="41"/>
        <v>187</v>
      </c>
      <c r="AT75" s="413">
        <f t="shared" ca="1" si="40"/>
        <v>0</v>
      </c>
      <c r="AU75" s="136">
        <f ca="1">COUNTIFS(AT$7:$AT75,1)</f>
        <v>2</v>
      </c>
    </row>
    <row r="76" spans="1:47" ht="15">
      <c r="A76" s="333" t="str">
        <f ca="1">OFFSET(input!$A$25,O76,0)</f>
        <v>N</v>
      </c>
      <c r="B76" s="891">
        <f ca="1">IF(OFFSET(input!$O$27,N76,0)="PCS",$D$4,SUMIFS(Paper!$AC$7:$AC$57,Paper!$A$7:$A$57,A76))</f>
        <v>5225</v>
      </c>
      <c r="C76" s="834">
        <f ca="1">SUMIFS(Paper!$N$7:$N$57,Paper!$A$7:$A$57,A76)</f>
        <v>0</v>
      </c>
      <c r="D76" s="834">
        <f ca="1">SUMIFS(Paper!$O$7:$O$57,Paper!$A$7:$A$57,A76)</f>
        <v>0</v>
      </c>
      <c r="E76" s="892" t="str">
        <f ca="1">OFFSET(input!$M$27,N76,0)</f>
        <v>None</v>
      </c>
      <c r="F76" s="893">
        <f ca="1">IF(OFFSET(input!$N$27,N76,0)&gt;0,OFFSET(input!$N$27,N76,0),SUMIFS(Data!$P$962:$P$993,Data!$L$962:$L$993,E76)*C76*D76*10000)</f>
        <v>0</v>
      </c>
      <c r="G76" s="894" t="str">
        <f ca="1">IF(F76&gt;0,SUMIFS(Data!$O$962:$O$993,Data!$L$962:$L$993,E76),"0")</f>
        <v>0</v>
      </c>
      <c r="H76" s="894">
        <f ca="1">ROUNDUP(((B76/10000)*F76),1)</f>
        <v>0</v>
      </c>
      <c r="I76" s="894">
        <f ca="1">IF(F76&gt;0,1,0)</f>
        <v>0</v>
      </c>
      <c r="J76" s="894">
        <f ca="1">I76*G76</f>
        <v>0</v>
      </c>
      <c r="K76" s="894">
        <f ca="1">IF(F76&gt;0,G76*(H76+I76),0)</f>
        <v>0</v>
      </c>
      <c r="L76" s="894">
        <f ca="1">IF(F76&gt;0,K76/$D$2,0)*(1+$L$5)</f>
        <v>0</v>
      </c>
      <c r="M76" s="136" t="str">
        <f ca="1">OFFSET(input!$F$33,O76,0)</f>
        <v>N</v>
      </c>
      <c r="N76" s="136">
        <f t="shared" ref="N76:O76" si="42">+N70+17</f>
        <v>189</v>
      </c>
      <c r="O76" s="136">
        <f t="shared" si="42"/>
        <v>187</v>
      </c>
      <c r="AT76" s="413">
        <f t="shared" ca="1" si="40"/>
        <v>0</v>
      </c>
      <c r="AU76" s="136">
        <f ca="1">COUNTIFS(AT$7:$AT76,1)</f>
        <v>2</v>
      </c>
    </row>
    <row r="77" spans="1:47" ht="15">
      <c r="A77" s="333" t="str">
        <f ca="1">OFFSET(input!$A$25,O77,0)</f>
        <v>N</v>
      </c>
      <c r="B77" s="891">
        <f ca="1">IF(OFFSET(input!$O$27,N77,0)="PCS",$D$4,SUMIFS(Paper!$AC$7:$AC$57,Paper!$A$7:$A$57,A77))</f>
        <v>5225</v>
      </c>
      <c r="C77" s="834">
        <f ca="1">SUMIFS(Paper!$N$7:$N$57,Paper!$A$7:$A$57,A77)</f>
        <v>0</v>
      </c>
      <c r="D77" s="834">
        <f ca="1">SUMIFS(Paper!$O$7:$O$57,Paper!$A$7:$A$57,A77)</f>
        <v>0</v>
      </c>
      <c r="E77" s="892" t="str">
        <f ca="1">OFFSET(input!$M$27,N77,0)</f>
        <v>None</v>
      </c>
      <c r="F77" s="893">
        <f ca="1">IF(OFFSET(input!$N$27,N77,0)&gt;0,OFFSET(input!$N$27,N77,0),SUMIFS(Data!$P$962:$P$993,Data!$L$962:$L$993,E77)*C77*D77*10000)</f>
        <v>0</v>
      </c>
      <c r="G77" s="894" t="str">
        <f ca="1">IF(F77&gt;0,SUMIFS(Data!$O$962:$O$993,Data!$L$962:$L$993,E77),"0")</f>
        <v>0</v>
      </c>
      <c r="H77" s="894">
        <f ca="1">ROUNDUP(((B77/10000)*F77),1)</f>
        <v>0</v>
      </c>
      <c r="I77" s="894">
        <f ca="1">IF(F77&gt;0,1,0)</f>
        <v>0</v>
      </c>
      <c r="J77" s="894">
        <f ca="1">I77*G77</f>
        <v>0</v>
      </c>
      <c r="K77" s="894">
        <f ca="1">IF(F77&gt;0,G77*(H77+I77),0)</f>
        <v>0</v>
      </c>
      <c r="L77" s="894">
        <f ca="1">IF(F77&gt;0,K77/$D$2,0)*(1+$L$5)</f>
        <v>0</v>
      </c>
      <c r="M77" s="136" t="str">
        <f ca="1">OFFSET(input!$F$33,O77,0)</f>
        <v>N</v>
      </c>
      <c r="N77" s="136">
        <f t="shared" ref="N77:O77" si="43">+N71+17</f>
        <v>190</v>
      </c>
      <c r="O77" s="136">
        <f t="shared" si="43"/>
        <v>187</v>
      </c>
      <c r="AT77" s="413">
        <f t="shared" ca="1" si="40"/>
        <v>0</v>
      </c>
      <c r="AU77" s="136">
        <f ca="1">COUNTIFS(AT$7:$AT77,1)</f>
        <v>2</v>
      </c>
    </row>
    <row r="78" spans="1:47" ht="15">
      <c r="A78" s="333" t="str">
        <f ca="1">OFFSET(input!$A$25,O78,0)</f>
        <v>N</v>
      </c>
      <c r="B78" s="891">
        <f ca="1">IF(OFFSET(input!$O$27,N78,0)="PCS",$D$4,SUMIFS(Paper!$AC$7:$AC$57,Paper!$A$7:$A$57,A78))</f>
        <v>5225</v>
      </c>
      <c r="C78" s="834">
        <f ca="1">SUMIFS(Paper!$N$7:$N$57,Paper!$A$7:$A$57,A78)</f>
        <v>0</v>
      </c>
      <c r="D78" s="834">
        <f ca="1">SUMIFS(Paper!$O$7:$O$57,Paper!$A$7:$A$57,A78)</f>
        <v>0</v>
      </c>
      <c r="E78" s="892" t="str">
        <f ca="1">OFFSET(input!$M$27,N78,0)</f>
        <v>None</v>
      </c>
      <c r="F78" s="893">
        <f ca="1">IF(OFFSET(input!$N$27,N78,0)&gt;0,OFFSET(input!$N$27,N78,0),SUMIFS(Data!$P$962:$P$993,Data!$L$962:$L$993,E78)*C78*D78*10000)</f>
        <v>0</v>
      </c>
      <c r="G78" s="894" t="str">
        <f ca="1">IF(F78&gt;0,SUMIFS(Data!$O$962:$O$993,Data!$L$962:$L$993,E78),"0")</f>
        <v>0</v>
      </c>
      <c r="H78" s="894">
        <f ca="1">ROUNDUP(((B78/10000)*F78),1)</f>
        <v>0</v>
      </c>
      <c r="I78" s="894">
        <f ca="1">IF(F78&gt;0,1,0)</f>
        <v>0</v>
      </c>
      <c r="J78" s="894">
        <f ca="1">I78*G78</f>
        <v>0</v>
      </c>
      <c r="K78" s="894">
        <f ca="1">IF(F78&gt;0,G78*(H78+I78),0)</f>
        <v>0</v>
      </c>
      <c r="L78" s="894">
        <f ca="1">IF(F78&gt;0,K78/$D$2,0)*(1+$L$5)</f>
        <v>0</v>
      </c>
      <c r="M78" s="136" t="str">
        <f ca="1">OFFSET(input!$F$33,O78,0)</f>
        <v>N</v>
      </c>
      <c r="N78" s="136">
        <f t="shared" ref="N78:O78" si="44">+N72+17</f>
        <v>191</v>
      </c>
      <c r="O78" s="136">
        <f t="shared" si="44"/>
        <v>187</v>
      </c>
      <c r="AT78" s="413">
        <f t="shared" ca="1" si="40"/>
        <v>0</v>
      </c>
      <c r="AU78" s="136">
        <f ca="1">COUNTIFS(AT$7:$AT78,1)</f>
        <v>2</v>
      </c>
    </row>
    <row r="79" spans="1:47" ht="15">
      <c r="AT79" s="413" t="str">
        <f t="shared" si="40"/>
        <v/>
      </c>
      <c r="AU79" s="136">
        <f ca="1">COUNTIFS(AT$7:$AT79,1)</f>
        <v>2</v>
      </c>
    </row>
    <row r="80" spans="1:47" ht="15">
      <c r="A80" s="333" t="str">
        <f ca="1">OFFSET(input!$A$25,O80,0)</f>
        <v>N</v>
      </c>
      <c r="B80" s="891">
        <f ca="1">IF(OFFSET(input!$O$27,N80,0)="PCS",$D$4,SUMIFS(Paper!$AC$7:$AC$57,Paper!$A$7:$A$57,A80))</f>
        <v>5225</v>
      </c>
      <c r="C80" s="834">
        <f ca="1">SUMIFS(Paper!$N$7:$N$57,Paper!$A$7:$A$57,A80)</f>
        <v>0</v>
      </c>
      <c r="D80" s="834">
        <f ca="1">SUMIFS(Paper!$O$7:$O$57,Paper!$A$7:$A$57,A80)</f>
        <v>0</v>
      </c>
      <c r="E80" s="892" t="str">
        <f ca="1">OFFSET(input!$M$27,N80,0)</f>
        <v>None</v>
      </c>
      <c r="F80" s="893">
        <f ca="1">IF(OFFSET(input!$N$27,N80,0)&gt;0,OFFSET(input!$N$27,N80,0),SUMIFS(Data!$P$962:$P$993,Data!$L$962:$L$993,E80)*C80*D80*10000)</f>
        <v>0</v>
      </c>
      <c r="G80" s="894" t="str">
        <f ca="1">IF(F80&gt;0,SUMIFS(Data!$O$962:$O$993,Data!$L$962:$L$993,E80),"0")</f>
        <v>0</v>
      </c>
      <c r="H80" s="894">
        <f ca="1">ROUNDUP(((B80/10000)*F80),1)</f>
        <v>0</v>
      </c>
      <c r="I80" s="894">
        <f ca="1">IF(F80&gt;0,1,0)</f>
        <v>0</v>
      </c>
      <c r="J80" s="894">
        <f ca="1">I80*G80</f>
        <v>0</v>
      </c>
      <c r="K80" s="894">
        <f ca="1">IF(F80&gt;0,G80*(H80+I80),0)</f>
        <v>0</v>
      </c>
      <c r="L80" s="894">
        <f ca="1">IF(F80&gt;0,K80/$D$2,0)*(1+$L$5)</f>
        <v>0</v>
      </c>
      <c r="M80" s="136" t="str">
        <f ca="1">OFFSET(input!$F$33,O80,0)</f>
        <v>N</v>
      </c>
      <c r="N80" s="136">
        <f>+N74+17</f>
        <v>204</v>
      </c>
      <c r="O80" s="136">
        <f>+O74+17</f>
        <v>204</v>
      </c>
      <c r="AT80" s="413">
        <f t="shared" ca="1" si="40"/>
        <v>0</v>
      </c>
      <c r="AU80" s="136">
        <f ca="1">COUNTIFS(AT$7:$AT80,1)</f>
        <v>2</v>
      </c>
    </row>
    <row r="81" spans="1:47" ht="15">
      <c r="A81" s="333" t="str">
        <f ca="1">OFFSET(input!$A$25,O81,0)</f>
        <v>N</v>
      </c>
      <c r="B81" s="891">
        <f ca="1">IF(OFFSET(input!$O$27,N81,0)="PCS",$D$4,SUMIFS(Paper!$AC$7:$AC$57,Paper!$A$7:$A$57,A81))</f>
        <v>5225</v>
      </c>
      <c r="C81" s="834">
        <f ca="1">SUMIFS(Paper!$N$7:$N$57,Paper!$A$7:$A$57,A81)</f>
        <v>0</v>
      </c>
      <c r="D81" s="834">
        <f ca="1">SUMIFS(Paper!$O$7:$O$57,Paper!$A$7:$A$57,A81)</f>
        <v>0</v>
      </c>
      <c r="E81" s="892" t="str">
        <f ca="1">OFFSET(input!$M$27,N81,0)</f>
        <v>None</v>
      </c>
      <c r="F81" s="893">
        <f ca="1">IF(OFFSET(input!$N$27,N81,0)&gt;0,OFFSET(input!$N$27,N81,0),SUMIFS(Data!$P$962:$P$993,Data!$L$962:$L$993,E81)*C81*D81*10000)</f>
        <v>0</v>
      </c>
      <c r="G81" s="894" t="str">
        <f ca="1">IF(F81&gt;0,SUMIFS(Data!$O$962:$O$993,Data!$L$962:$L$993,E81),"0")</f>
        <v>0</v>
      </c>
      <c r="H81" s="894">
        <f ca="1">ROUNDUP(((B81/10000)*F81),1)</f>
        <v>0</v>
      </c>
      <c r="I81" s="894">
        <f ca="1">IF(F81&gt;0,1,0)</f>
        <v>0</v>
      </c>
      <c r="J81" s="894">
        <f ca="1">I81*G81</f>
        <v>0</v>
      </c>
      <c r="K81" s="894">
        <f ca="1">IF(F81&gt;0,G81*(H81+I81),0)</f>
        <v>0</v>
      </c>
      <c r="L81" s="894">
        <f ca="1">IF(F81&gt;0,K81/$D$2,0)*(1+$L$5)</f>
        <v>0</v>
      </c>
      <c r="M81" s="136" t="str">
        <f ca="1">OFFSET(input!$F$33,O81,0)</f>
        <v>N</v>
      </c>
      <c r="N81" s="136">
        <f t="shared" ref="N81:O81" si="45">+N75+17</f>
        <v>205</v>
      </c>
      <c r="O81" s="136">
        <f t="shared" si="45"/>
        <v>204</v>
      </c>
      <c r="AT81" s="413">
        <f t="shared" ca="1" si="40"/>
        <v>0</v>
      </c>
      <c r="AU81" s="136">
        <f ca="1">COUNTIFS(AT$7:$AT81,1)</f>
        <v>2</v>
      </c>
    </row>
    <row r="82" spans="1:47" ht="15">
      <c r="A82" s="333" t="str">
        <f ca="1">OFFSET(input!$A$25,O82,0)</f>
        <v>N</v>
      </c>
      <c r="B82" s="891">
        <f ca="1">IF(OFFSET(input!$O$27,N82,0)="PCS",$D$4,SUMIFS(Paper!$AC$7:$AC$57,Paper!$A$7:$A$57,A82))</f>
        <v>5225</v>
      </c>
      <c r="C82" s="834">
        <f ca="1">SUMIFS(Paper!$N$7:$N$57,Paper!$A$7:$A$57,A82)</f>
        <v>0</v>
      </c>
      <c r="D82" s="834">
        <f ca="1">SUMIFS(Paper!$O$7:$O$57,Paper!$A$7:$A$57,A82)</f>
        <v>0</v>
      </c>
      <c r="E82" s="892" t="str">
        <f ca="1">OFFSET(input!$M$27,N82,0)</f>
        <v>None</v>
      </c>
      <c r="F82" s="893">
        <f ca="1">IF(OFFSET(input!$N$27,N82,0)&gt;0,OFFSET(input!$N$27,N82,0),SUMIFS(Data!$P$962:$P$993,Data!$L$962:$L$993,E82)*C82*D82*10000)</f>
        <v>0</v>
      </c>
      <c r="G82" s="894" t="str">
        <f ca="1">IF(F82&gt;0,SUMIFS(Data!$O$962:$O$993,Data!$L$962:$L$993,E82),"0")</f>
        <v>0</v>
      </c>
      <c r="H82" s="894">
        <f ca="1">ROUNDUP(((B82/10000)*F82),1)</f>
        <v>0</v>
      </c>
      <c r="I82" s="894">
        <f ca="1">IF(F82&gt;0,1,0)</f>
        <v>0</v>
      </c>
      <c r="J82" s="894">
        <f ca="1">I82*G82</f>
        <v>0</v>
      </c>
      <c r="K82" s="894">
        <f ca="1">IF(F82&gt;0,G82*(H82+I82),0)</f>
        <v>0</v>
      </c>
      <c r="L82" s="894">
        <f ca="1">IF(F82&gt;0,K82/$D$2,0)*(1+$L$5)</f>
        <v>0</v>
      </c>
      <c r="M82" s="136" t="str">
        <f ca="1">OFFSET(input!$F$33,O82,0)</f>
        <v>N</v>
      </c>
      <c r="N82" s="136">
        <f t="shared" ref="N82:O82" si="46">+N76+17</f>
        <v>206</v>
      </c>
      <c r="O82" s="136">
        <f t="shared" si="46"/>
        <v>204</v>
      </c>
      <c r="AT82" s="413">
        <f t="shared" ca="1" si="40"/>
        <v>0</v>
      </c>
      <c r="AU82" s="136">
        <f ca="1">COUNTIFS(AT$7:$AT82,1)</f>
        <v>2</v>
      </c>
    </row>
    <row r="83" spans="1:47" ht="15">
      <c r="A83" s="333" t="str">
        <f ca="1">OFFSET(input!$A$25,O83,0)</f>
        <v>N</v>
      </c>
      <c r="B83" s="891">
        <f ca="1">IF(OFFSET(input!$O$27,N83,0)="PCS",$D$4,SUMIFS(Paper!$AC$7:$AC$57,Paper!$A$7:$A$57,A83))</f>
        <v>5225</v>
      </c>
      <c r="C83" s="834">
        <f ca="1">SUMIFS(Paper!$N$7:$N$57,Paper!$A$7:$A$57,A83)</f>
        <v>0</v>
      </c>
      <c r="D83" s="834">
        <f ca="1">SUMIFS(Paper!$O$7:$O$57,Paper!$A$7:$A$57,A83)</f>
        <v>0</v>
      </c>
      <c r="E83" s="892" t="str">
        <f ca="1">OFFSET(input!$M$27,N83,0)</f>
        <v>None</v>
      </c>
      <c r="F83" s="893">
        <f ca="1">IF(OFFSET(input!$N$27,N83,0)&gt;0,OFFSET(input!$N$27,N83,0),SUMIFS(Data!$P$962:$P$993,Data!$L$962:$L$993,E83)*C83*D83*10000)</f>
        <v>0</v>
      </c>
      <c r="G83" s="894" t="str">
        <f ca="1">IF(F83&gt;0,SUMIFS(Data!$O$962:$O$993,Data!$L$962:$L$993,E83),"0")</f>
        <v>0</v>
      </c>
      <c r="H83" s="894">
        <f ca="1">ROUNDUP(((B83/10000)*F83),1)</f>
        <v>0</v>
      </c>
      <c r="I83" s="894">
        <f ca="1">IF(F83&gt;0,1,0)</f>
        <v>0</v>
      </c>
      <c r="J83" s="894">
        <f ca="1">I83*G83</f>
        <v>0</v>
      </c>
      <c r="K83" s="894">
        <f ca="1">IF(F83&gt;0,G83*(H83+I83),0)</f>
        <v>0</v>
      </c>
      <c r="L83" s="894">
        <f ca="1">IF(F83&gt;0,K83/$D$2,0)*(1+$L$5)</f>
        <v>0</v>
      </c>
      <c r="M83" s="136" t="str">
        <f ca="1">OFFSET(input!$F$33,O83,0)</f>
        <v>N</v>
      </c>
      <c r="N83" s="136">
        <f t="shared" ref="N83:O83" si="47">+N77+17</f>
        <v>207</v>
      </c>
      <c r="O83" s="136">
        <f t="shared" si="47"/>
        <v>204</v>
      </c>
      <c r="AT83" s="413">
        <f t="shared" ca="1" si="40"/>
        <v>0</v>
      </c>
      <c r="AU83" s="136">
        <f ca="1">COUNTIFS(AT$7:$AT83,1)</f>
        <v>2</v>
      </c>
    </row>
    <row r="84" spans="1:47" ht="15">
      <c r="A84" s="333" t="str">
        <f ca="1">OFFSET(input!$A$25,O84,0)</f>
        <v>N</v>
      </c>
      <c r="B84" s="891">
        <f ca="1">IF(OFFSET(input!$O$27,N84,0)="PCS",$D$4,SUMIFS(Paper!$AC$7:$AC$57,Paper!$A$7:$A$57,A84))</f>
        <v>5225</v>
      </c>
      <c r="C84" s="834">
        <f ca="1">SUMIFS(Paper!$N$7:$N$57,Paper!$A$7:$A$57,A84)</f>
        <v>0</v>
      </c>
      <c r="D84" s="834">
        <f ca="1">SUMIFS(Paper!$O$7:$O$57,Paper!$A$7:$A$57,A84)</f>
        <v>0</v>
      </c>
      <c r="E84" s="892" t="str">
        <f ca="1">OFFSET(input!$M$27,N84,0)</f>
        <v>None</v>
      </c>
      <c r="F84" s="893">
        <f ca="1">IF(OFFSET(input!$N$27,N84,0)&gt;0,OFFSET(input!$N$27,N84,0),SUMIFS(Data!$P$962:$P$993,Data!$L$962:$L$993,E84)*C84*D84*10000)</f>
        <v>0</v>
      </c>
      <c r="G84" s="894" t="str">
        <f ca="1">IF(F84&gt;0,SUMIFS(Data!$O$962:$O$993,Data!$L$962:$L$993,E84),"0")</f>
        <v>0</v>
      </c>
      <c r="H84" s="894">
        <f ca="1">ROUNDUP(((B84/10000)*F84),1)</f>
        <v>0</v>
      </c>
      <c r="I84" s="894">
        <f ca="1">IF(F84&gt;0,1,0)</f>
        <v>0</v>
      </c>
      <c r="J84" s="894">
        <f ca="1">I84*G84</f>
        <v>0</v>
      </c>
      <c r="K84" s="894">
        <f ca="1">IF(F84&gt;0,G84*(H84+I84),0)</f>
        <v>0</v>
      </c>
      <c r="L84" s="894">
        <f ca="1">IF(F84&gt;0,K84/$D$2,0)*(1+$L$5)</f>
        <v>0</v>
      </c>
      <c r="M84" s="136" t="str">
        <f ca="1">OFFSET(input!$F$33,O84,0)</f>
        <v>N</v>
      </c>
      <c r="N84" s="136">
        <f t="shared" ref="N84:O84" si="48">+N78+17</f>
        <v>208</v>
      </c>
      <c r="O84" s="136">
        <f t="shared" si="48"/>
        <v>204</v>
      </c>
      <c r="AT84" s="413">
        <f t="shared" ca="1" si="40"/>
        <v>0</v>
      </c>
      <c r="AU84" s="136">
        <f ca="1">COUNTIFS(AT$7:$AT84,1)</f>
        <v>2</v>
      </c>
    </row>
    <row r="85" spans="1:47" ht="15">
      <c r="AT85" s="413" t="str">
        <f t="shared" si="40"/>
        <v/>
      </c>
      <c r="AU85" s="136">
        <f ca="1">COUNTIFS(AT$7:$AT85,1)</f>
        <v>2</v>
      </c>
    </row>
    <row r="86" spans="1:47" ht="15">
      <c r="A86" s="333" t="str">
        <f ca="1">OFFSET(input!$A$25,O86,0)</f>
        <v>1st</v>
      </c>
      <c r="B86" s="891">
        <f ca="1">IF(OFFSET(input!$O$27,N86,0)="PCS",$D$4,SUMIFS(Paper!$AC$7:$AC$57,Paper!$A$7:$A$57,A86))</f>
        <v>5225</v>
      </c>
      <c r="C86" s="834">
        <f ca="1">SUMIFS(Paper!$N$7:$N$57,Paper!$A$7:$A$57,A86)</f>
        <v>0</v>
      </c>
      <c r="D86" s="834">
        <f ca="1">SUMIFS(Paper!$O$7:$O$57,Paper!$A$7:$A$57,A86)</f>
        <v>0</v>
      </c>
      <c r="E86" s="892" t="str">
        <f ca="1">OFFSET(input!$M$27,N86,0)</f>
        <v>None</v>
      </c>
      <c r="F86" s="893">
        <f ca="1">IF(OFFSET(input!$N$27,N86,0)&gt;0,OFFSET(input!$N$27,N86,0),SUMIFS(Data!$P$962:$P$993,Data!$L$962:$L$993,E86)*C86*D86*10000)</f>
        <v>0</v>
      </c>
      <c r="G86" s="894" t="str">
        <f ca="1">IF(F86&gt;0,SUMIFS(Data!$O$962:$O$993,Data!$L$962:$L$993,E86),"0")</f>
        <v>0</v>
      </c>
      <c r="H86" s="894">
        <f ca="1">ROUNDUP(((B86/10000)*F86),1)</f>
        <v>0</v>
      </c>
      <c r="I86" s="894">
        <f ca="1">IF(F86&gt;0,1,0)</f>
        <v>0</v>
      </c>
      <c r="J86" s="894">
        <f ca="1">I86*G86</f>
        <v>0</v>
      </c>
      <c r="K86" s="894">
        <f ca="1">IF(F86&gt;0,G86*(H86+I86),0)</f>
        <v>0</v>
      </c>
      <c r="L86" s="894">
        <f ca="1">IF(F86&gt;0,K86/$D$2,0)*(1+$L$5)</f>
        <v>0</v>
      </c>
      <c r="M86" s="136" t="str">
        <f ca="1">OFFSET(input!$F$33,O86,0)</f>
        <v>1st</v>
      </c>
      <c r="N86" s="136">
        <f>+N80+17</f>
        <v>221</v>
      </c>
      <c r="O86" s="136">
        <f>+O80+17</f>
        <v>221</v>
      </c>
      <c r="AT86" s="413">
        <f t="shared" ca="1" si="40"/>
        <v>0</v>
      </c>
      <c r="AU86" s="136">
        <f ca="1">COUNTIFS(AT$7:$AT86,1)</f>
        <v>2</v>
      </c>
    </row>
    <row r="87" spans="1:47" ht="15">
      <c r="A87" s="333" t="str">
        <f ca="1">OFFSET(input!$A$25,O87,0)</f>
        <v>1st</v>
      </c>
      <c r="B87" s="891">
        <f ca="1">IF(OFFSET(input!$O$27,N87,0)="PCS",$D$4,SUMIFS(Paper!$AC$7:$AC$57,Paper!$A$7:$A$57,A87))</f>
        <v>5225</v>
      </c>
      <c r="C87" s="834">
        <f ca="1">SUMIFS(Paper!$N$7:$N$57,Paper!$A$7:$A$57,A87)</f>
        <v>0</v>
      </c>
      <c r="D87" s="834">
        <f ca="1">SUMIFS(Paper!$O$7:$O$57,Paper!$A$7:$A$57,A87)</f>
        <v>0</v>
      </c>
      <c r="E87" s="892" t="str">
        <f ca="1">OFFSET(input!$M$27,N87,0)</f>
        <v>None</v>
      </c>
      <c r="F87" s="893">
        <f ca="1">IF(OFFSET(input!$N$27,N87,0)&gt;0,OFFSET(input!$N$27,N87,0),SUMIFS(Data!$P$962:$P$993,Data!$L$962:$L$993,E87)*C87*D87*10000)</f>
        <v>0</v>
      </c>
      <c r="G87" s="894" t="str">
        <f ca="1">IF(F87&gt;0,SUMIFS(Data!$O$962:$O$993,Data!$L$962:$L$993,E87),"0")</f>
        <v>0</v>
      </c>
      <c r="H87" s="894">
        <f ca="1">ROUNDUP(((B87/10000)*F87),1)</f>
        <v>0</v>
      </c>
      <c r="I87" s="894">
        <f ca="1">IF(F87&gt;0,1,0)</f>
        <v>0</v>
      </c>
      <c r="J87" s="894">
        <f ca="1">I87*G87</f>
        <v>0</v>
      </c>
      <c r="K87" s="894">
        <f ca="1">IF(F87&gt;0,G87*(H87+I87),0)</f>
        <v>0</v>
      </c>
      <c r="L87" s="894">
        <f ca="1">IF(F87&gt;0,K87/$D$2,0)*(1+$L$5)</f>
        <v>0</v>
      </c>
      <c r="M87" s="136" t="str">
        <f ca="1">OFFSET(input!$F$33,O87,0)</f>
        <v>1st</v>
      </c>
      <c r="N87" s="136">
        <f t="shared" ref="N87:O87" si="49">+N81+17</f>
        <v>222</v>
      </c>
      <c r="O87" s="136">
        <f t="shared" si="49"/>
        <v>221</v>
      </c>
      <c r="AT87" s="413">
        <f t="shared" ca="1" si="40"/>
        <v>0</v>
      </c>
      <c r="AU87" s="136">
        <f ca="1">COUNTIFS(AT$7:$AT87,1)</f>
        <v>2</v>
      </c>
    </row>
    <row r="88" spans="1:47" ht="15">
      <c r="A88" s="333" t="str">
        <f ca="1">OFFSET(input!$A$25,O88,0)</f>
        <v>1st</v>
      </c>
      <c r="B88" s="891">
        <f ca="1">IF(OFFSET(input!$O$27,N88,0)="PCS",$D$4,SUMIFS(Paper!$AC$7:$AC$57,Paper!$A$7:$A$57,A88))</f>
        <v>5225</v>
      </c>
      <c r="C88" s="834">
        <f ca="1">SUMIFS(Paper!$N$7:$N$57,Paper!$A$7:$A$57,A88)</f>
        <v>0</v>
      </c>
      <c r="D88" s="834">
        <f ca="1">SUMIFS(Paper!$O$7:$O$57,Paper!$A$7:$A$57,A88)</f>
        <v>0</v>
      </c>
      <c r="E88" s="892" t="str">
        <f ca="1">OFFSET(input!$M$27,N88,0)</f>
        <v>None</v>
      </c>
      <c r="F88" s="893">
        <f ca="1">IF(OFFSET(input!$N$27,N88,0)&gt;0,OFFSET(input!$N$27,N88,0),SUMIFS(Data!$P$962:$P$993,Data!$L$962:$L$993,E88)*C88*D88*10000)</f>
        <v>0</v>
      </c>
      <c r="G88" s="894" t="str">
        <f ca="1">IF(F88&gt;0,SUMIFS(Data!$O$962:$O$993,Data!$L$962:$L$993,E88),"0")</f>
        <v>0</v>
      </c>
      <c r="H88" s="894">
        <f ca="1">ROUNDUP(((B88/10000)*F88),1)</f>
        <v>0</v>
      </c>
      <c r="I88" s="894">
        <f ca="1">IF(F88&gt;0,1,0)</f>
        <v>0</v>
      </c>
      <c r="J88" s="894">
        <f ca="1">I88*G88</f>
        <v>0</v>
      </c>
      <c r="K88" s="894">
        <f ca="1">IF(F88&gt;0,G88*(H88+I88),0)</f>
        <v>0</v>
      </c>
      <c r="L88" s="894">
        <f ca="1">IF(F88&gt;0,K88/$D$2,0)*(1+$L$5)</f>
        <v>0</v>
      </c>
      <c r="M88" s="136" t="str">
        <f ca="1">OFFSET(input!$F$33,O88,0)</f>
        <v>1st</v>
      </c>
      <c r="N88" s="136">
        <f t="shared" ref="N88:O88" si="50">+N82+17</f>
        <v>223</v>
      </c>
      <c r="O88" s="136">
        <f t="shared" si="50"/>
        <v>221</v>
      </c>
      <c r="AT88" s="413">
        <f t="shared" ca="1" si="40"/>
        <v>0</v>
      </c>
      <c r="AU88" s="136">
        <f ca="1">COUNTIFS(AT$7:$AT88,1)</f>
        <v>2</v>
      </c>
    </row>
    <row r="89" spans="1:47" ht="15">
      <c r="A89" s="333" t="str">
        <f ca="1">OFFSET(input!$A$25,O89,0)</f>
        <v>1st</v>
      </c>
      <c r="B89" s="891">
        <f ca="1">IF(OFFSET(input!$O$27,N89,0)="PCS",$D$4,SUMIFS(Paper!$AC$7:$AC$57,Paper!$A$7:$A$57,A89))</f>
        <v>5225</v>
      </c>
      <c r="C89" s="834">
        <f ca="1">SUMIFS(Paper!$N$7:$N$57,Paper!$A$7:$A$57,A89)</f>
        <v>0</v>
      </c>
      <c r="D89" s="834">
        <f ca="1">SUMIFS(Paper!$O$7:$O$57,Paper!$A$7:$A$57,A89)</f>
        <v>0</v>
      </c>
      <c r="E89" s="892" t="str">
        <f ca="1">OFFSET(input!$M$27,N89,0)</f>
        <v>None</v>
      </c>
      <c r="F89" s="893">
        <f ca="1">IF(OFFSET(input!$N$27,N89,0)&gt;0,OFFSET(input!$N$27,N89,0),SUMIFS(Data!$P$962:$P$993,Data!$L$962:$L$993,E89)*C89*D89*10000)</f>
        <v>0</v>
      </c>
      <c r="G89" s="894" t="str">
        <f ca="1">IF(F89&gt;0,SUMIFS(Data!$O$962:$O$993,Data!$L$962:$L$993,E89),"0")</f>
        <v>0</v>
      </c>
      <c r="H89" s="894">
        <f ca="1">ROUNDUP(((B89/10000)*F89),1)</f>
        <v>0</v>
      </c>
      <c r="I89" s="894">
        <f ca="1">IF(F89&gt;0,1,0)</f>
        <v>0</v>
      </c>
      <c r="J89" s="894">
        <f ca="1">I89*G89</f>
        <v>0</v>
      </c>
      <c r="K89" s="894">
        <f ca="1">IF(F89&gt;0,G89*(H89+I89),0)</f>
        <v>0</v>
      </c>
      <c r="L89" s="894">
        <f ca="1">IF(F89&gt;0,K89/$D$2,0)*(1+$L$5)</f>
        <v>0</v>
      </c>
      <c r="M89" s="136" t="str">
        <f ca="1">OFFSET(input!$F$33,O89,0)</f>
        <v>1st</v>
      </c>
      <c r="N89" s="136">
        <f t="shared" ref="N89:O89" si="51">+N83+17</f>
        <v>224</v>
      </c>
      <c r="O89" s="136">
        <f t="shared" si="51"/>
        <v>221</v>
      </c>
      <c r="AT89" s="413">
        <f t="shared" ca="1" si="40"/>
        <v>0</v>
      </c>
      <c r="AU89" s="136">
        <f ca="1">COUNTIFS(AT$7:$AT89,1)</f>
        <v>2</v>
      </c>
    </row>
    <row r="90" spans="1:47" ht="15">
      <c r="A90" s="333" t="str">
        <f ca="1">OFFSET(input!$A$25,O90,0)</f>
        <v>1st</v>
      </c>
      <c r="B90" s="891">
        <f ca="1">IF(OFFSET(input!$O$27,N90,0)="PCS",$D$4,SUMIFS(Paper!$AC$7:$AC$57,Paper!$A$7:$A$57,A90))</f>
        <v>5225</v>
      </c>
      <c r="C90" s="834">
        <f ca="1">SUMIFS(Paper!$N$7:$N$57,Paper!$A$7:$A$57,A90)</f>
        <v>0</v>
      </c>
      <c r="D90" s="834">
        <f ca="1">SUMIFS(Paper!$O$7:$O$57,Paper!$A$7:$A$57,A90)</f>
        <v>0</v>
      </c>
      <c r="E90" s="892" t="str">
        <f ca="1">OFFSET(input!$M$27,N90,0)</f>
        <v>None</v>
      </c>
      <c r="F90" s="893">
        <f ca="1">IF(OFFSET(input!$N$27,N90,0)&gt;0,OFFSET(input!$N$27,N90,0),SUMIFS(Data!$P$962:$P$993,Data!$L$962:$L$993,E90)*C90*D90*10000)</f>
        <v>0</v>
      </c>
      <c r="G90" s="894" t="str">
        <f ca="1">IF(F90&gt;0,SUMIFS(Data!$O$962:$O$993,Data!$L$962:$L$993,E90),"0")</f>
        <v>0</v>
      </c>
      <c r="H90" s="894">
        <f ca="1">ROUNDUP(((B90/10000)*F90),1)</f>
        <v>0</v>
      </c>
      <c r="I90" s="894">
        <f ca="1">IF(F90&gt;0,1,0)</f>
        <v>0</v>
      </c>
      <c r="J90" s="894">
        <f ca="1">I90*G90</f>
        <v>0</v>
      </c>
      <c r="K90" s="894">
        <f ca="1">IF(F90&gt;0,G90*(H90+I90),0)</f>
        <v>0</v>
      </c>
      <c r="L90" s="894">
        <f ca="1">IF(F90&gt;0,K90/$D$2,0)*(1+$L$5)</f>
        <v>0</v>
      </c>
      <c r="M90" s="136" t="str">
        <f ca="1">OFFSET(input!$F$33,O90,0)</f>
        <v>1st</v>
      </c>
      <c r="N90" s="136">
        <f t="shared" ref="N90:O90" si="52">+N84+17</f>
        <v>225</v>
      </c>
      <c r="O90" s="136">
        <f t="shared" si="52"/>
        <v>221</v>
      </c>
      <c r="AT90" s="413">
        <f t="shared" ca="1" si="40"/>
        <v>0</v>
      </c>
      <c r="AU90" s="136">
        <f ca="1">COUNTIFS(AT$7:$AT90,1)</f>
        <v>2</v>
      </c>
    </row>
    <row r="91" spans="1:47" ht="15">
      <c r="AT91" s="413" t="str">
        <f t="shared" si="40"/>
        <v/>
      </c>
      <c r="AU91" s="136">
        <f ca="1">COUNTIFS(AT$7:$AT91,1)</f>
        <v>2</v>
      </c>
    </row>
    <row r="92" spans="1:47" ht="15">
      <c r="A92" s="333" t="str">
        <f ca="1">OFFSET(input!$A$25,O92,0)</f>
        <v>1st</v>
      </c>
      <c r="B92" s="891">
        <f ca="1">IF(OFFSET(input!$O$27,N92,0)="PCS",$D$4,SUMIFS(Paper!$AC$7:$AC$57,Paper!$A$7:$A$57,A92))</f>
        <v>5225</v>
      </c>
      <c r="C92" s="834">
        <f ca="1">SUMIFS(Paper!$N$7:$N$57,Paper!$A$7:$A$57,A92)</f>
        <v>0</v>
      </c>
      <c r="D92" s="834">
        <f ca="1">SUMIFS(Paper!$O$7:$O$57,Paper!$A$7:$A$57,A92)</f>
        <v>0</v>
      </c>
      <c r="E92" s="892" t="str">
        <f ca="1">OFFSET(input!$M$27,N92,0)</f>
        <v>None</v>
      </c>
      <c r="F92" s="893">
        <f ca="1">IF(OFFSET(input!$N$27,N92,0)&gt;0,OFFSET(input!$N$27,N92,0),SUMIFS(Data!$P$962:$P$993,Data!$L$962:$L$993,E92)*C92*D92*10000)</f>
        <v>0</v>
      </c>
      <c r="G92" s="894" t="str">
        <f ca="1">IF(F92&gt;0,SUMIFS(Data!$O$962:$O$993,Data!$L$962:$L$993,E92),"0")</f>
        <v>0</v>
      </c>
      <c r="H92" s="894">
        <f ca="1">ROUNDUP(((B92/10000)*F92),1)</f>
        <v>0</v>
      </c>
      <c r="I92" s="894">
        <f ca="1">IF(F92&gt;0,1,0)</f>
        <v>0</v>
      </c>
      <c r="J92" s="894">
        <f ca="1">I92*G92</f>
        <v>0</v>
      </c>
      <c r="K92" s="894">
        <f ca="1">IF(F92&gt;0,G92*(H92+I92),0)</f>
        <v>0</v>
      </c>
      <c r="L92" s="894">
        <f ca="1">IF(F92&gt;0,K92/$D$2,0)*(1+$L$5)</f>
        <v>0</v>
      </c>
      <c r="M92" s="136" t="str">
        <f ca="1">OFFSET(input!$F$33,O92,0)</f>
        <v>1st</v>
      </c>
      <c r="N92" s="136">
        <f>+N86+17</f>
        <v>238</v>
      </c>
      <c r="O92" s="136">
        <f>+O86+17</f>
        <v>238</v>
      </c>
      <c r="AT92" s="413">
        <f t="shared" ca="1" si="40"/>
        <v>0</v>
      </c>
      <c r="AU92" s="136">
        <f ca="1">COUNTIFS(AT$7:$AT92,1)</f>
        <v>2</v>
      </c>
    </row>
    <row r="93" spans="1:47" ht="15">
      <c r="A93" s="333" t="str">
        <f ca="1">OFFSET(input!$A$25,O93,0)</f>
        <v>1st</v>
      </c>
      <c r="B93" s="891">
        <f ca="1">IF(OFFSET(input!$O$27,N93,0)="PCS",$D$4,SUMIFS(Paper!$AC$7:$AC$57,Paper!$A$7:$A$57,A93))</f>
        <v>5225</v>
      </c>
      <c r="C93" s="834">
        <f ca="1">SUMIFS(Paper!$N$7:$N$57,Paper!$A$7:$A$57,A93)</f>
        <v>0</v>
      </c>
      <c r="D93" s="834">
        <f ca="1">SUMIFS(Paper!$O$7:$O$57,Paper!$A$7:$A$57,A93)</f>
        <v>0</v>
      </c>
      <c r="E93" s="892" t="str">
        <f ca="1">OFFSET(input!$M$27,N93,0)</f>
        <v>None</v>
      </c>
      <c r="F93" s="893">
        <f ca="1">IF(OFFSET(input!$N$27,N93,0)&gt;0,OFFSET(input!$N$27,N93,0),SUMIFS(Data!$P$962:$P$993,Data!$L$962:$L$993,E93)*C93*D93*10000)</f>
        <v>0</v>
      </c>
      <c r="G93" s="894" t="str">
        <f ca="1">IF(F93&gt;0,SUMIFS(Data!$O$962:$O$993,Data!$L$962:$L$993,E93),"0")</f>
        <v>0</v>
      </c>
      <c r="H93" s="894">
        <f ca="1">ROUNDUP(((B93/10000)*F93),1)</f>
        <v>0</v>
      </c>
      <c r="I93" s="894">
        <f ca="1">IF(F93&gt;0,1,0)</f>
        <v>0</v>
      </c>
      <c r="J93" s="894">
        <f ca="1">I93*G93</f>
        <v>0</v>
      </c>
      <c r="K93" s="894">
        <f ca="1">IF(F93&gt;0,G93*(H93+I93),0)</f>
        <v>0</v>
      </c>
      <c r="L93" s="894">
        <f ca="1">IF(F93&gt;0,K93/$D$2,0)*(1+$L$5)</f>
        <v>0</v>
      </c>
      <c r="M93" s="136" t="str">
        <f ca="1">OFFSET(input!$F$33,O93,0)</f>
        <v>1st</v>
      </c>
      <c r="N93" s="136">
        <f t="shared" ref="N93:O93" si="53">+N87+17</f>
        <v>239</v>
      </c>
      <c r="O93" s="136">
        <f t="shared" si="53"/>
        <v>238</v>
      </c>
      <c r="AT93" s="413">
        <f t="shared" ca="1" si="40"/>
        <v>0</v>
      </c>
      <c r="AU93" s="136">
        <f ca="1">COUNTIFS(AT$7:$AT93,1)</f>
        <v>2</v>
      </c>
    </row>
    <row r="94" spans="1:47" ht="15">
      <c r="A94" s="333" t="str">
        <f ca="1">OFFSET(input!$A$25,O94,0)</f>
        <v>1st</v>
      </c>
      <c r="B94" s="891">
        <f ca="1">IF(OFFSET(input!$O$27,N94,0)="PCS",$D$4,SUMIFS(Paper!$AC$7:$AC$57,Paper!$A$7:$A$57,A94))</f>
        <v>5225</v>
      </c>
      <c r="C94" s="834">
        <f ca="1">SUMIFS(Paper!$N$7:$N$57,Paper!$A$7:$A$57,A94)</f>
        <v>0</v>
      </c>
      <c r="D94" s="834">
        <f ca="1">SUMIFS(Paper!$O$7:$O$57,Paper!$A$7:$A$57,A94)</f>
        <v>0</v>
      </c>
      <c r="E94" s="892" t="str">
        <f ca="1">OFFSET(input!$M$27,N94,0)</f>
        <v>None</v>
      </c>
      <c r="F94" s="893">
        <f ca="1">IF(OFFSET(input!$N$27,N94,0)&gt;0,OFFSET(input!$N$27,N94,0),SUMIFS(Data!$P$962:$P$993,Data!$L$962:$L$993,E94)*C94*D94*10000)</f>
        <v>0</v>
      </c>
      <c r="G94" s="894" t="str">
        <f ca="1">IF(F94&gt;0,SUMIFS(Data!$O$962:$O$993,Data!$L$962:$L$993,E94),"0")</f>
        <v>0</v>
      </c>
      <c r="H94" s="894">
        <f ca="1">ROUNDUP(((B94/10000)*F94),1)</f>
        <v>0</v>
      </c>
      <c r="I94" s="894">
        <f ca="1">IF(F94&gt;0,1,0)</f>
        <v>0</v>
      </c>
      <c r="J94" s="894">
        <f ca="1">I94*G94</f>
        <v>0</v>
      </c>
      <c r="K94" s="894">
        <f ca="1">IF(F94&gt;0,G94*(H94+I94),0)</f>
        <v>0</v>
      </c>
      <c r="L94" s="894">
        <f ca="1">IF(F94&gt;0,K94/$D$2,0)*(1+$L$5)</f>
        <v>0</v>
      </c>
      <c r="M94" s="136" t="str">
        <f ca="1">OFFSET(input!$F$33,O94,0)</f>
        <v>1st</v>
      </c>
      <c r="N94" s="136">
        <f t="shared" ref="N94:O94" si="54">+N88+17</f>
        <v>240</v>
      </c>
      <c r="O94" s="136">
        <f t="shared" si="54"/>
        <v>238</v>
      </c>
      <c r="AT94" s="413">
        <f t="shared" ca="1" si="40"/>
        <v>0</v>
      </c>
      <c r="AU94" s="136">
        <f ca="1">COUNTIFS(AT$7:$AT94,1)</f>
        <v>2</v>
      </c>
    </row>
    <row r="95" spans="1:47" ht="15">
      <c r="A95" s="333" t="str">
        <f ca="1">OFFSET(input!$A$25,O95,0)</f>
        <v>1st</v>
      </c>
      <c r="B95" s="891">
        <f ca="1">IF(OFFSET(input!$O$27,N95,0)="PCS",$D$4,SUMIFS(Paper!$AC$7:$AC$57,Paper!$A$7:$A$57,A95))</f>
        <v>5225</v>
      </c>
      <c r="C95" s="834">
        <f ca="1">SUMIFS(Paper!$N$7:$N$57,Paper!$A$7:$A$57,A95)</f>
        <v>0</v>
      </c>
      <c r="D95" s="834">
        <f ca="1">SUMIFS(Paper!$O$7:$O$57,Paper!$A$7:$A$57,A95)</f>
        <v>0</v>
      </c>
      <c r="E95" s="892" t="str">
        <f ca="1">OFFSET(input!$M$27,N95,0)</f>
        <v>None</v>
      </c>
      <c r="F95" s="893">
        <f ca="1">IF(OFFSET(input!$N$27,N95,0)&gt;0,OFFSET(input!$N$27,N95,0),SUMIFS(Data!$P$962:$P$993,Data!$L$962:$L$993,E95)*C95*D95*10000)</f>
        <v>0</v>
      </c>
      <c r="G95" s="894" t="str">
        <f ca="1">IF(F95&gt;0,SUMIFS(Data!$O$962:$O$993,Data!$L$962:$L$993,E95),"0")</f>
        <v>0</v>
      </c>
      <c r="H95" s="894">
        <f ca="1">ROUNDUP(((B95/10000)*F95),1)</f>
        <v>0</v>
      </c>
      <c r="I95" s="894">
        <f ca="1">IF(F95&gt;0,1,0)</f>
        <v>0</v>
      </c>
      <c r="J95" s="894">
        <f ca="1">I95*G95</f>
        <v>0</v>
      </c>
      <c r="K95" s="894">
        <f ca="1">IF(F95&gt;0,G95*(H95+I95),0)</f>
        <v>0</v>
      </c>
      <c r="L95" s="894">
        <f ca="1">IF(F95&gt;0,K95/$D$2,0)*(1+$L$5)</f>
        <v>0</v>
      </c>
      <c r="M95" s="136" t="str">
        <f ca="1">OFFSET(input!$F$33,O95,0)</f>
        <v>1st</v>
      </c>
      <c r="N95" s="136">
        <f t="shared" ref="N95:O95" si="55">+N89+17</f>
        <v>241</v>
      </c>
      <c r="O95" s="136">
        <f t="shared" si="55"/>
        <v>238</v>
      </c>
      <c r="AT95" s="413">
        <f t="shared" ca="1" si="40"/>
        <v>0</v>
      </c>
      <c r="AU95" s="136">
        <f ca="1">COUNTIFS(AT$7:$AT95,1)</f>
        <v>2</v>
      </c>
    </row>
    <row r="96" spans="1:47" ht="15">
      <c r="A96" s="333" t="str">
        <f ca="1">OFFSET(input!$A$25,O96,0)</f>
        <v>1st</v>
      </c>
      <c r="B96" s="891">
        <f ca="1">IF(OFFSET(input!$O$27,N96,0)="PCS",$D$4,SUMIFS(Paper!$AC$7:$AC$57,Paper!$A$7:$A$57,A96))</f>
        <v>5225</v>
      </c>
      <c r="C96" s="834">
        <f ca="1">SUMIFS(Paper!$N$7:$N$57,Paper!$A$7:$A$57,A96)</f>
        <v>0</v>
      </c>
      <c r="D96" s="834">
        <f ca="1">SUMIFS(Paper!$O$7:$O$57,Paper!$A$7:$A$57,A96)</f>
        <v>0</v>
      </c>
      <c r="E96" s="892" t="str">
        <f ca="1">OFFSET(input!$M$27,N96,0)</f>
        <v>None</v>
      </c>
      <c r="F96" s="893">
        <f ca="1">IF(OFFSET(input!$N$27,N96,0)&gt;0,OFFSET(input!$N$27,N96,0),SUMIFS(Data!$P$962:$P$993,Data!$L$962:$L$993,E96)*C96*D96*10000)</f>
        <v>0</v>
      </c>
      <c r="G96" s="894" t="str">
        <f ca="1">IF(F96&gt;0,SUMIFS(Data!$O$962:$O$993,Data!$L$962:$L$993,E96),"0")</f>
        <v>0</v>
      </c>
      <c r="H96" s="894">
        <f ca="1">ROUNDUP(((B96/10000)*F96),1)</f>
        <v>0</v>
      </c>
      <c r="I96" s="894">
        <f ca="1">IF(F96&gt;0,1,0)</f>
        <v>0</v>
      </c>
      <c r="J96" s="894">
        <f ca="1">I96*G96</f>
        <v>0</v>
      </c>
      <c r="K96" s="894">
        <f ca="1">IF(F96&gt;0,G96*(H96+I96),0)</f>
        <v>0</v>
      </c>
      <c r="L96" s="894">
        <f ca="1">IF(F96&gt;0,K96/$D$2,0)*(1+$L$5)</f>
        <v>0</v>
      </c>
      <c r="M96" s="136" t="str">
        <f ca="1">OFFSET(input!$F$33,O96,0)</f>
        <v>1st</v>
      </c>
      <c r="N96" s="136">
        <f t="shared" ref="N96:O96" si="56">+N90+17</f>
        <v>242</v>
      </c>
      <c r="O96" s="136">
        <f t="shared" si="56"/>
        <v>238</v>
      </c>
      <c r="AT96" s="413">
        <f t="shared" ca="1" si="40"/>
        <v>0</v>
      </c>
      <c r="AU96" s="136">
        <f ca="1">COUNTIFS(AT$7:$AT96,1)</f>
        <v>2</v>
      </c>
    </row>
    <row r="97" spans="1:47" ht="15">
      <c r="AT97" s="413" t="str">
        <f t="shared" si="40"/>
        <v/>
      </c>
      <c r="AU97" s="136">
        <f ca="1">COUNTIFS(AT$7:$AT97,1)</f>
        <v>2</v>
      </c>
    </row>
    <row r="98" spans="1:47" ht="15">
      <c r="A98" s="895" t="str">
        <f>input!$A$281</f>
        <v>N</v>
      </c>
      <c r="B98" s="891">
        <f>IF(input!O$283="PCS",$D$4,SUMIFS(Paper!$AC$7:$AC$57,Paper!$A$7:$A$57,A98))</f>
        <v>5225</v>
      </c>
      <c r="C98" s="834">
        <f ca="1">SUMIFS(Paper!$N$7:$N$57,Paper!$A$7:$A$57,A98)</f>
        <v>0</v>
      </c>
      <c r="D98" s="834">
        <f ca="1">SUMIFS(Paper!$O$7:$O$57,Paper!$A$7:$A$57,A98)</f>
        <v>0</v>
      </c>
      <c r="E98" s="892" t="str">
        <f>input!M$283</f>
        <v>None</v>
      </c>
      <c r="F98" s="893">
        <f ca="1">IF(input!N$283&gt;0,input!N$283,SUMIFS(Data!$P$962:$P$993,Data!$L$962:$L$993,E98)*C98*D98*10000)</f>
        <v>0</v>
      </c>
      <c r="G98" s="894" t="str">
        <f ca="1">IF(F98&gt;0,SUMIFS(Data!$O$962:$O$993,Data!$L$962:$L$993,E98),"0")</f>
        <v>0</v>
      </c>
      <c r="H98" s="894">
        <f ca="1">ROUNDUP(((B98/10000)*F98),1)</f>
        <v>0</v>
      </c>
      <c r="I98" s="894">
        <f ca="1">IF(F98&gt;0,1,0)</f>
        <v>0</v>
      </c>
      <c r="J98" s="894">
        <f ca="1">I98*G98</f>
        <v>0</v>
      </c>
      <c r="K98" s="894">
        <f ca="1">IF(F98&gt;0,G98*(H98+I98),0)</f>
        <v>0</v>
      </c>
      <c r="L98" s="894">
        <f ca="1">IF(F98&gt;0,K98/$D$2,0)*(1+$L$5)</f>
        <v>0</v>
      </c>
      <c r="M98" s="136" t="str">
        <f>input!$F$289</f>
        <v>N</v>
      </c>
      <c r="N98" s="2993" t="s">
        <v>3691</v>
      </c>
      <c r="AT98" s="413">
        <f t="shared" ca="1" si="40"/>
        <v>0</v>
      </c>
      <c r="AU98" s="136">
        <f ca="1">COUNTIFS(AT$7:$AT98,1)</f>
        <v>2</v>
      </c>
    </row>
    <row r="99" spans="1:47" ht="15">
      <c r="A99" s="895" t="str">
        <f>input!$A$281</f>
        <v>N</v>
      </c>
      <c r="B99" s="891">
        <f>IF(input!O$284="PCS",$D$4,SUMIFS(Paper!$AC$7:$AC$57,Paper!$A$7:$A$57,A99))</f>
        <v>5225</v>
      </c>
      <c r="C99" s="834">
        <f ca="1">SUMIFS(Paper!$N$7:$N$57,Paper!$A$7:$A$57,A99)</f>
        <v>0</v>
      </c>
      <c r="D99" s="834">
        <f ca="1">SUMIFS(Paper!$O$7:$O$57,Paper!$A$7:$A$57,A99)</f>
        <v>0</v>
      </c>
      <c r="E99" s="892" t="str">
        <f>input!M$284</f>
        <v>None</v>
      </c>
      <c r="F99" s="893">
        <f ca="1">IF(input!N$284&gt;0,input!N$284,SUMIFS(Data!$P$962:$P$993,Data!$L$962:$L$993,E99)*C99*D99*10000)</f>
        <v>0</v>
      </c>
      <c r="G99" s="894" t="str">
        <f ca="1">IF(F99&gt;0,SUMIFS(Data!$O$962:$O$993,Data!$L$962:$L$993,E99),"0")</f>
        <v>0</v>
      </c>
      <c r="H99" s="894">
        <f ca="1">ROUNDUP(((B99/10000)*F99),1)</f>
        <v>0</v>
      </c>
      <c r="I99" s="894">
        <f ca="1">IF(F99&gt;0,1,0)</f>
        <v>0</v>
      </c>
      <c r="J99" s="894">
        <f ca="1">I99*G99</f>
        <v>0</v>
      </c>
      <c r="K99" s="894">
        <f ca="1">IF(F99&gt;0,G99*(H99+I99),0)</f>
        <v>0</v>
      </c>
      <c r="L99" s="894">
        <f ca="1">IF(F99&gt;0,K99/$D$2,0)*(1+$L$5)</f>
        <v>0</v>
      </c>
      <c r="M99" s="136" t="str">
        <f>input!$F$289</f>
        <v>N</v>
      </c>
      <c r="AT99" s="413">
        <f t="shared" ca="1" si="40"/>
        <v>0</v>
      </c>
      <c r="AU99" s="136">
        <f ca="1">COUNTIFS(AT$7:$AT99,1)</f>
        <v>2</v>
      </c>
    </row>
    <row r="100" spans="1:47" ht="15">
      <c r="A100" s="895" t="str">
        <f>input!$A$281</f>
        <v>N</v>
      </c>
      <c r="B100" s="891">
        <f>IF(input!O$285="PCS",$D$4,SUMIFS(Paper!$AC$7:$AC$57,Paper!$A$7:$A$57,A100))</f>
        <v>5225</v>
      </c>
      <c r="C100" s="834">
        <f ca="1">SUMIFS(Paper!$N$7:$N$57,Paper!$A$7:$A$57,A100)</f>
        <v>0</v>
      </c>
      <c r="D100" s="834">
        <f ca="1">SUMIFS(Paper!$O$7:$O$57,Paper!$A$7:$A$57,A100)</f>
        <v>0</v>
      </c>
      <c r="E100" s="892" t="str">
        <f>input!M$285</f>
        <v>None</v>
      </c>
      <c r="F100" s="893">
        <f ca="1">IF(input!N$285&gt;0,input!N$285,SUMIFS(Data!$P$962:$P$993,Data!$L$962:$L$993,E100)*C100*D100*10000)</f>
        <v>0</v>
      </c>
      <c r="G100" s="894" t="str">
        <f ca="1">IF(F100&gt;0,SUMIFS(Data!$O$962:$O$993,Data!$L$962:$L$993,E100),"0")</f>
        <v>0</v>
      </c>
      <c r="H100" s="894">
        <f ca="1">ROUNDUP(((B100/10000)*F100),1)</f>
        <v>0</v>
      </c>
      <c r="I100" s="894">
        <f ca="1">IF(F100&gt;0,1,0)</f>
        <v>0</v>
      </c>
      <c r="J100" s="894">
        <f ca="1">I100*G100</f>
        <v>0</v>
      </c>
      <c r="K100" s="894">
        <f ca="1">IF(F100&gt;0,G100*(H100+I100),0)</f>
        <v>0</v>
      </c>
      <c r="L100" s="894">
        <f ca="1">IF(F100&gt;0,K100/$D$2,0)*(1+$L$5)</f>
        <v>0</v>
      </c>
      <c r="M100" s="136" t="str">
        <f>input!$F$289</f>
        <v>N</v>
      </c>
      <c r="AT100" s="413">
        <f t="shared" ca="1" si="40"/>
        <v>0</v>
      </c>
      <c r="AU100" s="136">
        <f ca="1">COUNTIFS(AT$7:$AT100,1)</f>
        <v>2</v>
      </c>
    </row>
    <row r="101" spans="1:47" ht="15">
      <c r="A101" s="895" t="str">
        <f>input!$A$281</f>
        <v>N</v>
      </c>
      <c r="B101" s="891">
        <f>IF(input!O$286="PCS",$D$4,SUMIFS(Paper!$AC$7:$AC$57,Paper!$A$7:$A$57,A101))</f>
        <v>5225</v>
      </c>
      <c r="C101" s="834">
        <f ca="1">SUMIFS(Paper!$N$7:$N$57,Paper!$A$7:$A$57,A101)</f>
        <v>0</v>
      </c>
      <c r="D101" s="834">
        <f ca="1">SUMIFS(Paper!$O$7:$O$57,Paper!$A$7:$A$57,A101)</f>
        <v>0</v>
      </c>
      <c r="E101" s="892" t="str">
        <f>input!M$286</f>
        <v>None</v>
      </c>
      <c r="F101" s="893">
        <f ca="1">IF(input!N$286&gt;0,input!N$286,SUMIFS(Data!$P$962:$P$993,Data!$L$962:$L$993,E101)*C101*D101*10000)</f>
        <v>0</v>
      </c>
      <c r="G101" s="894" t="str">
        <f ca="1">IF(F101&gt;0,SUMIFS(Data!$O$962:$O$993,Data!$L$962:$L$993,E101),"0")</f>
        <v>0</v>
      </c>
      <c r="H101" s="894">
        <f ca="1">ROUNDUP(((B101/10000)*F101),1)</f>
        <v>0</v>
      </c>
      <c r="I101" s="894">
        <f ca="1">IF(F101&gt;0,1,0)</f>
        <v>0</v>
      </c>
      <c r="J101" s="894">
        <f ca="1">I101*G101</f>
        <v>0</v>
      </c>
      <c r="K101" s="894">
        <f ca="1">IF(F101&gt;0,G101*(H101+I101),0)</f>
        <v>0</v>
      </c>
      <c r="L101" s="894">
        <f ca="1">IF(F101&gt;0,K101/$D$2,0)*(1+$L$5)</f>
        <v>0</v>
      </c>
      <c r="M101" s="136" t="str">
        <f>input!$F$289</f>
        <v>N</v>
      </c>
      <c r="AT101" s="413">
        <f t="shared" ca="1" si="40"/>
        <v>0</v>
      </c>
      <c r="AU101" s="136">
        <f ca="1">COUNTIFS(AT$7:$AT101,1)</f>
        <v>2</v>
      </c>
    </row>
    <row r="102" spans="1:47" ht="15">
      <c r="A102" s="895" t="str">
        <f>input!$A$281</f>
        <v>N</v>
      </c>
      <c r="B102" s="891">
        <f>IF(input!O$287="PCS",$D$4,SUMIFS(Paper!$AC$7:$AC$57,Paper!$A$7:$A$57,A102))</f>
        <v>5225</v>
      </c>
      <c r="C102" s="834">
        <f ca="1">SUMIFS(Paper!$N$7:$N$57,Paper!$A$7:$A$57,A102)</f>
        <v>0</v>
      </c>
      <c r="D102" s="834">
        <f ca="1">SUMIFS(Paper!$O$7:$O$57,Paper!$A$7:$A$57,A102)</f>
        <v>0</v>
      </c>
      <c r="E102" s="892" t="str">
        <f>input!M$287</f>
        <v>None</v>
      </c>
      <c r="F102" s="893">
        <f ca="1">IF(input!N$287&gt;0,input!N$287,SUMIFS(Data!$P$962:$P$993,Data!$L$962:$L$993,E102)*C102*D102*10000)</f>
        <v>0</v>
      </c>
      <c r="G102" s="894" t="str">
        <f ca="1">IF(F102&gt;0,SUMIFS(Data!$O$962:$O$993,Data!$L$962:$L$993,E102),"0")</f>
        <v>0</v>
      </c>
      <c r="H102" s="894">
        <f ca="1">ROUNDUP(((B102/10000)*F102),1)</f>
        <v>0</v>
      </c>
      <c r="I102" s="894">
        <f ca="1">IF(F102&gt;0,1,0)</f>
        <v>0</v>
      </c>
      <c r="J102" s="894">
        <f ca="1">I102*G102</f>
        <v>0</v>
      </c>
      <c r="K102" s="894">
        <f ca="1">IF(F102&gt;0,G102*(H102+I102),0)</f>
        <v>0</v>
      </c>
      <c r="L102" s="894">
        <f ca="1">IF(F102&gt;0,K102/$D$2,0)*(1+$L$5)</f>
        <v>0</v>
      </c>
      <c r="M102" s="136" t="str">
        <f>input!$F$289</f>
        <v>N</v>
      </c>
      <c r="AT102" s="413">
        <f t="shared" ca="1" si="40"/>
        <v>0</v>
      </c>
      <c r="AU102" s="136">
        <f ca="1">COUNTIFS(AT$7:$AT102,1)</f>
        <v>2</v>
      </c>
    </row>
    <row r="103" spans="1:47" ht="15">
      <c r="AT103" s="413" t="str">
        <f t="shared" si="40"/>
        <v/>
      </c>
      <c r="AU103" s="136">
        <f ca="1">COUNTIFS(AT$7:$AT103,1)</f>
        <v>2</v>
      </c>
    </row>
    <row r="104" spans="1:47" ht="15">
      <c r="A104" s="895" t="str">
        <f>input!$A$291</f>
        <v>N</v>
      </c>
      <c r="B104" s="891">
        <f>IF(input!O$293="PCS",$D$4,SUMIFS(Paper!$AC$7:$AC$57,Paper!$A$7:$A$57,A104))</f>
        <v>5225</v>
      </c>
      <c r="C104" s="834">
        <f ca="1">SUMIFS(Paper!$N$7:$N$57,Paper!$A$7:$A$57,A104)</f>
        <v>0</v>
      </c>
      <c r="D104" s="834">
        <f ca="1">SUMIFS(Paper!$O$7:$O$57,Paper!$A$7:$A$57,A104)</f>
        <v>0</v>
      </c>
      <c r="E104" s="892" t="str">
        <f>input!M$293</f>
        <v>None</v>
      </c>
      <c r="F104" s="893">
        <f ca="1">IF(input!N$293&gt;0,input!N$293,SUMIFS(Data!$P$962:$P$993,Data!$L$962:$L$993,E104)*C104*D104*10000)</f>
        <v>0</v>
      </c>
      <c r="G104" s="894" t="str">
        <f ca="1">IF(F104&gt;0,SUMIFS(Data!$O$962:$O$993,Data!$L$962:$L$993,E104),"0")</f>
        <v>0</v>
      </c>
      <c r="H104" s="894">
        <f ca="1">ROUNDUP(((B104/10000)*F104),1)</f>
        <v>0</v>
      </c>
      <c r="I104" s="894">
        <f ca="1">IF(F104&gt;0,1,0)</f>
        <v>0</v>
      </c>
      <c r="J104" s="894">
        <f ca="1">I104*G104</f>
        <v>0</v>
      </c>
      <c r="K104" s="894">
        <f ca="1">IF(F104&gt;0,G104*(H104+I104),0)</f>
        <v>0</v>
      </c>
      <c r="L104" s="894">
        <f ca="1">IF(F104&gt;0,K104/$D$2,0)*(1+$L$5)</f>
        <v>0</v>
      </c>
      <c r="M104" s="136" t="str">
        <f>input!$F$299</f>
        <v>N</v>
      </c>
      <c r="AT104" s="413">
        <f t="shared" ca="1" si="40"/>
        <v>0</v>
      </c>
      <c r="AU104" s="136">
        <f ca="1">COUNTIFS(AT$7:$AT104,1)</f>
        <v>2</v>
      </c>
    </row>
    <row r="105" spans="1:47" ht="15">
      <c r="A105" s="895" t="str">
        <f>input!$A$291</f>
        <v>N</v>
      </c>
      <c r="B105" s="891">
        <f>IF(input!O$294="PCS",$D$4,SUMIFS(Paper!$AC$7:$AC$57,Paper!$A$7:$A$57,A105))</f>
        <v>5225</v>
      </c>
      <c r="C105" s="834">
        <f ca="1">SUMIFS(Paper!$N$7:$N$57,Paper!$A$7:$A$57,A105)</f>
        <v>0</v>
      </c>
      <c r="D105" s="834">
        <f ca="1">SUMIFS(Paper!$O$7:$O$57,Paper!$A$7:$A$57,A105)</f>
        <v>0</v>
      </c>
      <c r="E105" s="892" t="str">
        <f>input!M$294</f>
        <v>None</v>
      </c>
      <c r="F105" s="893">
        <f ca="1">IF(input!N$294&gt;0,input!N$294,SUMIFS(Data!$P$962:$P$993,Data!$L$962:$L$993,E105)*C105*D105*10000)</f>
        <v>0</v>
      </c>
      <c r="G105" s="894" t="str">
        <f ca="1">IF(F105&gt;0,SUMIFS(Data!$O$962:$O$993,Data!$L$962:$L$993,E105),"0")</f>
        <v>0</v>
      </c>
      <c r="H105" s="894">
        <f ca="1">ROUNDUP(((B105/10000)*F105),1)</f>
        <v>0</v>
      </c>
      <c r="I105" s="894">
        <f ca="1">IF(F105&gt;0,1,0)</f>
        <v>0</v>
      </c>
      <c r="J105" s="894">
        <f ca="1">I105*G105</f>
        <v>0</v>
      </c>
      <c r="K105" s="894">
        <f ca="1">IF(F105&gt;0,G105*(H105+I105),0)</f>
        <v>0</v>
      </c>
      <c r="L105" s="894">
        <f ca="1">IF(F105&gt;0,K105/$D$2,0)*(1+$L$5)</f>
        <v>0</v>
      </c>
      <c r="M105" s="136" t="str">
        <f>input!$F$299</f>
        <v>N</v>
      </c>
      <c r="AT105" s="413">
        <f t="shared" ca="1" si="40"/>
        <v>0</v>
      </c>
      <c r="AU105" s="136">
        <f ca="1">COUNTIFS(AT$7:$AT105,1)</f>
        <v>2</v>
      </c>
    </row>
    <row r="106" spans="1:47" ht="15">
      <c r="A106" s="895" t="str">
        <f>input!$A$291</f>
        <v>N</v>
      </c>
      <c r="B106" s="891">
        <f>IF(input!O$295="PCS",$D$4,SUMIFS(Paper!$AC$7:$AC$57,Paper!$A$7:$A$57,A106))</f>
        <v>5225</v>
      </c>
      <c r="C106" s="834">
        <f ca="1">SUMIFS(Paper!$N$7:$N$57,Paper!$A$7:$A$57,A106)</f>
        <v>0</v>
      </c>
      <c r="D106" s="834">
        <f ca="1">SUMIFS(Paper!$O$7:$O$57,Paper!$A$7:$A$57,A106)</f>
        <v>0</v>
      </c>
      <c r="E106" s="892" t="str">
        <f>input!M$295</f>
        <v>None</v>
      </c>
      <c r="F106" s="893">
        <f ca="1">IF(input!N$295&gt;0,input!N$295,SUMIFS(Data!$P$962:$P$993,Data!$L$962:$L$993,E106)*C106*D106*10000)</f>
        <v>0</v>
      </c>
      <c r="G106" s="894" t="str">
        <f ca="1">IF(F106&gt;0,SUMIFS(Data!$O$962:$O$993,Data!$L$962:$L$993,E106),"0")</f>
        <v>0</v>
      </c>
      <c r="H106" s="894">
        <f ca="1">ROUNDUP(((B106/10000)*F106),1)</f>
        <v>0</v>
      </c>
      <c r="I106" s="894">
        <f ca="1">IF(F106&gt;0,1,0)</f>
        <v>0</v>
      </c>
      <c r="J106" s="894">
        <f ca="1">I106*G106</f>
        <v>0</v>
      </c>
      <c r="K106" s="894">
        <f ca="1">IF(F106&gt;0,G106*(H106+I106),0)</f>
        <v>0</v>
      </c>
      <c r="L106" s="894">
        <f ca="1">IF(F106&gt;0,K106/$D$2,0)*(1+$L$5)</f>
        <v>0</v>
      </c>
      <c r="M106" s="136" t="str">
        <f>input!$F$299</f>
        <v>N</v>
      </c>
      <c r="AT106" s="413">
        <f t="shared" ca="1" si="40"/>
        <v>0</v>
      </c>
      <c r="AU106" s="136">
        <f ca="1">COUNTIFS(AT$7:$AT106,1)</f>
        <v>2</v>
      </c>
    </row>
    <row r="107" spans="1:47" ht="15">
      <c r="A107" s="895" t="str">
        <f>input!$A$291</f>
        <v>N</v>
      </c>
      <c r="B107" s="891">
        <f>IF(input!O$296="PCS",$D$4,SUMIFS(Paper!$AC$7:$AC$57,Paper!$A$7:$A$57,A107))</f>
        <v>5225</v>
      </c>
      <c r="C107" s="834">
        <f ca="1">SUMIFS(Paper!$N$7:$N$57,Paper!$A$7:$A$57,A107)</f>
        <v>0</v>
      </c>
      <c r="D107" s="834">
        <f ca="1">SUMIFS(Paper!$O$7:$O$57,Paper!$A$7:$A$57,A107)</f>
        <v>0</v>
      </c>
      <c r="E107" s="892" t="str">
        <f>input!M$296</f>
        <v>None</v>
      </c>
      <c r="F107" s="893">
        <f ca="1">IF(input!N$296&gt;0,input!N$296,SUMIFS(Data!$P$962:$P$993,Data!$L$962:$L$993,E107)*C107*D107*10000)</f>
        <v>0</v>
      </c>
      <c r="G107" s="894" t="str">
        <f ca="1">IF(F107&gt;0,SUMIFS(Data!$O$962:$O$993,Data!$L$962:$L$993,E107),"0")</f>
        <v>0</v>
      </c>
      <c r="H107" s="894">
        <f ca="1">ROUNDUP(((B107/10000)*F107),1)</f>
        <v>0</v>
      </c>
      <c r="I107" s="894">
        <f ca="1">IF(F107&gt;0,1,0)</f>
        <v>0</v>
      </c>
      <c r="J107" s="894">
        <f ca="1">I107*G107</f>
        <v>0</v>
      </c>
      <c r="K107" s="894">
        <f ca="1">IF(F107&gt;0,G107*(H107+I107),0)</f>
        <v>0</v>
      </c>
      <c r="L107" s="894">
        <f ca="1">IF(F107&gt;0,K107/$D$2,0)*(1+$L$5)</f>
        <v>0</v>
      </c>
      <c r="M107" s="136" t="str">
        <f>input!$F$299</f>
        <v>N</v>
      </c>
      <c r="AT107" s="413">
        <f t="shared" ca="1" si="40"/>
        <v>0</v>
      </c>
      <c r="AU107" s="136">
        <f ca="1">COUNTIFS(AT$7:$AT107,1)</f>
        <v>2</v>
      </c>
    </row>
    <row r="108" spans="1:47" ht="15">
      <c r="A108" s="895" t="str">
        <f>input!$A$291</f>
        <v>N</v>
      </c>
      <c r="B108" s="891">
        <f>IF(input!O$297="PCS",$D$4,SUMIFS(Paper!$AC$7:$AC$57,Paper!$A$7:$A$57,A108))</f>
        <v>5225</v>
      </c>
      <c r="C108" s="834">
        <f ca="1">SUMIFS(Paper!$N$7:$N$57,Paper!$A$7:$A$57,A108)</f>
        <v>0</v>
      </c>
      <c r="D108" s="834">
        <f ca="1">SUMIFS(Paper!$O$7:$O$57,Paper!$A$7:$A$57,A108)</f>
        <v>0</v>
      </c>
      <c r="E108" s="892" t="str">
        <f>input!M$297</f>
        <v>None</v>
      </c>
      <c r="F108" s="893">
        <f ca="1">IF(input!N$297&gt;0,input!N$297,SUMIFS(Data!$P$962:$P$993,Data!$L$962:$L$993,E108)*C108*D108*10000)</f>
        <v>0</v>
      </c>
      <c r="G108" s="894" t="str">
        <f ca="1">IF(F108&gt;0,SUMIFS(Data!$O$962:$O$993,Data!$L$962:$L$993,E108),"0")</f>
        <v>0</v>
      </c>
      <c r="H108" s="894">
        <f ca="1">ROUNDUP(((B108/10000)*F108),1)</f>
        <v>0</v>
      </c>
      <c r="I108" s="894">
        <f ca="1">IF(F108&gt;0,1,0)</f>
        <v>0</v>
      </c>
      <c r="J108" s="894">
        <f ca="1">I108*G108</f>
        <v>0</v>
      </c>
      <c r="K108" s="894">
        <f ca="1">IF(F108&gt;0,G108*(H108+I108),0)</f>
        <v>0</v>
      </c>
      <c r="L108" s="894">
        <f ca="1">IF(F108&gt;0,K108/$D$2,0)*(1+$L$5)</f>
        <v>0</v>
      </c>
      <c r="M108" s="136" t="str">
        <f>input!$F$299</f>
        <v>N</v>
      </c>
      <c r="AT108" s="413">
        <f t="shared" ca="1" si="40"/>
        <v>0</v>
      </c>
      <c r="AU108" s="136">
        <f ca="1">COUNTIFS(AT$7:$AT108,1)</f>
        <v>2</v>
      </c>
    </row>
    <row r="109" spans="1:47" ht="15">
      <c r="AT109" s="413" t="str">
        <f t="shared" si="40"/>
        <v/>
      </c>
      <c r="AU109" s="136">
        <f ca="1">COUNTIFS(AT$7:$AT109,1)</f>
        <v>2</v>
      </c>
    </row>
    <row r="110" spans="1:47" ht="15">
      <c r="A110" s="895" t="str">
        <f>input!$A$301</f>
        <v>N</v>
      </c>
      <c r="B110" s="891">
        <f>IF(input!O$303="PCS",$D$4,SUMIFS(Paper!$AC$7:$AC$57,Paper!$A$7:$A$57,A110))</f>
        <v>5225</v>
      </c>
      <c r="C110" s="834">
        <f ca="1">SUMIFS(Paper!$N$7:$N$57,Paper!$A$7:$A$57,A110)</f>
        <v>0</v>
      </c>
      <c r="D110" s="834">
        <f ca="1">SUMIFS(Paper!$O$7:$O$57,Paper!$A$7:$A$57,A110)</f>
        <v>0</v>
      </c>
      <c r="E110" s="892" t="str">
        <f>input!M$303</f>
        <v>None</v>
      </c>
      <c r="F110" s="893">
        <f ca="1">IF(input!N$303&gt;0,input!N$303,SUMIFS(Data!$P$962:$P$993,Data!$L$962:$L$993,E110)*C110*D110*10000)</f>
        <v>0</v>
      </c>
      <c r="G110" s="894" t="str">
        <f ca="1">IF(F110&gt;0,SUMIFS(Data!$O$962:$O$993,Data!$L$962:$L$993,E110),"0")</f>
        <v>0</v>
      </c>
      <c r="H110" s="894">
        <f ca="1">ROUNDUP(((B110/10000)*F110),1)</f>
        <v>0</v>
      </c>
      <c r="I110" s="894">
        <f ca="1">IF(F110&gt;0,1,0)</f>
        <v>0</v>
      </c>
      <c r="J110" s="894">
        <f ca="1">I110*G110</f>
        <v>0</v>
      </c>
      <c r="K110" s="894">
        <f ca="1">IF(F110&gt;0,G110*(H110+I110),0)</f>
        <v>0</v>
      </c>
      <c r="L110" s="894">
        <f ca="1">IF(F110&gt;0,K110/$D$2,0)*(1+$L$5)</f>
        <v>0</v>
      </c>
      <c r="M110" s="136" t="str">
        <f>input!$F$309</f>
        <v>N</v>
      </c>
      <c r="AT110" s="413">
        <f t="shared" ca="1" si="40"/>
        <v>0</v>
      </c>
      <c r="AU110" s="136">
        <f ca="1">COUNTIFS(AT$7:$AT110,1)</f>
        <v>2</v>
      </c>
    </row>
    <row r="111" spans="1:47" ht="15">
      <c r="A111" s="895" t="str">
        <f>input!$A$301</f>
        <v>N</v>
      </c>
      <c r="B111" s="891">
        <f>IF(input!O$304="PCS",$D$4,SUMIFS(Paper!$AC$7:$AC$57,Paper!$A$7:$A$57,A111))</f>
        <v>5225</v>
      </c>
      <c r="C111" s="834">
        <f ca="1">SUMIFS(Paper!$N$7:$N$57,Paper!$A$7:$A$57,A111)</f>
        <v>0</v>
      </c>
      <c r="D111" s="834">
        <f ca="1">SUMIFS(Paper!$O$7:$O$57,Paper!$A$7:$A$57,A111)</f>
        <v>0</v>
      </c>
      <c r="E111" s="892" t="str">
        <f>input!M$304</f>
        <v>None</v>
      </c>
      <c r="F111" s="893">
        <f ca="1">IF(input!N$304&gt;0,input!N$304,SUMIFS(Data!$P$962:$P$993,Data!$L$962:$L$993,E111)*C111*D111*10000)</f>
        <v>0</v>
      </c>
      <c r="G111" s="894" t="str">
        <f ca="1">IF(F111&gt;0,SUMIFS(Data!$O$962:$O$993,Data!$L$962:$L$993,E111),"0")</f>
        <v>0</v>
      </c>
      <c r="H111" s="894">
        <f ca="1">ROUNDUP(((B111/10000)*F111),1)</f>
        <v>0</v>
      </c>
      <c r="I111" s="894">
        <f ca="1">IF(F111&gt;0,1,0)</f>
        <v>0</v>
      </c>
      <c r="J111" s="894">
        <f ca="1">I111*G111</f>
        <v>0</v>
      </c>
      <c r="K111" s="894">
        <f ca="1">IF(F111&gt;0,G111*(H111+I111),0)</f>
        <v>0</v>
      </c>
      <c r="L111" s="894">
        <f ca="1">IF(F111&gt;0,K111/$D$2,0)*(1+$L$5)</f>
        <v>0</v>
      </c>
      <c r="M111" s="136" t="str">
        <f>input!$F$309</f>
        <v>N</v>
      </c>
      <c r="AT111" s="413">
        <f t="shared" ca="1" si="40"/>
        <v>0</v>
      </c>
      <c r="AU111" s="136">
        <f ca="1">COUNTIFS(AT$7:$AT111,1)</f>
        <v>2</v>
      </c>
    </row>
    <row r="112" spans="1:47" ht="15">
      <c r="A112" s="895" t="str">
        <f>input!$A$301</f>
        <v>N</v>
      </c>
      <c r="B112" s="891">
        <f>IF(input!O$305="PCS",$D$4,SUMIFS(Paper!$AC$7:$AC$57,Paper!$A$7:$A$57,A112))</f>
        <v>5225</v>
      </c>
      <c r="C112" s="834">
        <f ca="1">SUMIFS(Paper!$N$7:$N$57,Paper!$A$7:$A$57,A112)</f>
        <v>0</v>
      </c>
      <c r="D112" s="834">
        <f ca="1">SUMIFS(Paper!$O$7:$O$57,Paper!$A$7:$A$57,A112)</f>
        <v>0</v>
      </c>
      <c r="E112" s="892" t="str">
        <f>input!M$305</f>
        <v>None</v>
      </c>
      <c r="F112" s="893">
        <f ca="1">IF(input!N$305&gt;0,input!N$305,SUMIFS(Data!$P$962:$P$993,Data!$L$962:$L$993,E112)*C112*D112*10000)</f>
        <v>0</v>
      </c>
      <c r="G112" s="894" t="str">
        <f ca="1">IF(F112&gt;0,SUMIFS(Data!$O$962:$O$993,Data!$L$962:$L$993,E112),"0")</f>
        <v>0</v>
      </c>
      <c r="H112" s="894">
        <f ca="1">ROUNDUP(((B112/10000)*F112),1)</f>
        <v>0</v>
      </c>
      <c r="I112" s="894">
        <f ca="1">IF(F112&gt;0,1,0)</f>
        <v>0</v>
      </c>
      <c r="J112" s="894">
        <f ca="1">I112*G112</f>
        <v>0</v>
      </c>
      <c r="K112" s="894">
        <f ca="1">IF(F112&gt;0,G112*(H112+I112),0)</f>
        <v>0</v>
      </c>
      <c r="L112" s="894">
        <f ca="1">IF(F112&gt;0,K112/$D$2,0)*(1+$L$5)</f>
        <v>0</v>
      </c>
      <c r="M112" s="136" t="str">
        <f>input!$F$309</f>
        <v>N</v>
      </c>
      <c r="AT112" s="413">
        <f t="shared" ca="1" si="40"/>
        <v>0</v>
      </c>
      <c r="AU112" s="136">
        <f ca="1">COUNTIFS(AT$7:$AT112,1)</f>
        <v>2</v>
      </c>
    </row>
    <row r="113" spans="1:47" ht="15">
      <c r="A113" s="895" t="str">
        <f>input!$A$301</f>
        <v>N</v>
      </c>
      <c r="B113" s="891">
        <f>IF(input!O$306="PCS",$D$4,SUMIFS(Paper!$AC$7:$AC$57,Paper!$A$7:$A$57,A113))</f>
        <v>5225</v>
      </c>
      <c r="C113" s="834">
        <f ca="1">SUMIFS(Paper!$N$7:$N$57,Paper!$A$7:$A$57,A113)</f>
        <v>0</v>
      </c>
      <c r="D113" s="834">
        <f ca="1">SUMIFS(Paper!$O$7:$O$57,Paper!$A$7:$A$57,A113)</f>
        <v>0</v>
      </c>
      <c r="E113" s="892" t="str">
        <f>input!M$306</f>
        <v>None</v>
      </c>
      <c r="F113" s="893">
        <f ca="1">IF(input!N$306&gt;0,input!N$306,SUMIFS(Data!$P$962:$P$993,Data!$L$962:$L$993,E113)*C113*D113*10000)</f>
        <v>0</v>
      </c>
      <c r="G113" s="894" t="str">
        <f ca="1">IF(F113&gt;0,SUMIFS(Data!$O$962:$O$993,Data!$L$962:$L$993,E113),"0")</f>
        <v>0</v>
      </c>
      <c r="H113" s="894">
        <f ca="1">ROUNDUP(((B113/10000)*F113),1)</f>
        <v>0</v>
      </c>
      <c r="I113" s="894">
        <f ca="1">IF(F113&gt;0,1,0)</f>
        <v>0</v>
      </c>
      <c r="J113" s="894">
        <f ca="1">I113*G113</f>
        <v>0</v>
      </c>
      <c r="K113" s="894">
        <f ca="1">IF(F113&gt;0,G113*(H113+I113),0)</f>
        <v>0</v>
      </c>
      <c r="L113" s="894">
        <f ca="1">IF(F113&gt;0,K113/$D$2,0)*(1+$L$5)</f>
        <v>0</v>
      </c>
      <c r="M113" s="136" t="str">
        <f>input!$F$309</f>
        <v>N</v>
      </c>
      <c r="AT113" s="413">
        <f t="shared" ca="1" si="40"/>
        <v>0</v>
      </c>
      <c r="AU113" s="136">
        <f ca="1">COUNTIFS(AT$7:$AT113,1)</f>
        <v>2</v>
      </c>
    </row>
    <row r="114" spans="1:47" ht="15">
      <c r="A114" s="895" t="str">
        <f>input!$A$301</f>
        <v>N</v>
      </c>
      <c r="B114" s="891">
        <f>IF(input!O$307="PCS",$D$4,SUMIFS(Paper!$AC$7:$AC$57,Paper!$A$7:$A$57,A114))</f>
        <v>5225</v>
      </c>
      <c r="C114" s="834">
        <f ca="1">SUMIFS(Paper!$N$7:$N$57,Paper!$A$7:$A$57,A114)</f>
        <v>0</v>
      </c>
      <c r="D114" s="834">
        <f ca="1">SUMIFS(Paper!$O$7:$O$57,Paper!$A$7:$A$57,A114)</f>
        <v>0</v>
      </c>
      <c r="E114" s="892" t="str">
        <f>input!M$307</f>
        <v>None</v>
      </c>
      <c r="F114" s="893">
        <f ca="1">IF(input!N$307&gt;0,input!N$307,SUMIFS(Data!$P$962:$P$993,Data!$L$962:$L$993,E114)*C114*D114*10000)</f>
        <v>0</v>
      </c>
      <c r="G114" s="894" t="str">
        <f ca="1">IF(F114&gt;0,SUMIFS(Data!$O$962:$O$993,Data!$L$962:$L$993,E114),"0")</f>
        <v>0</v>
      </c>
      <c r="H114" s="894">
        <f ca="1">ROUNDUP(((B114/10000)*F114),1)</f>
        <v>0</v>
      </c>
      <c r="I114" s="894">
        <f ca="1">IF(F114&gt;0,1,0)</f>
        <v>0</v>
      </c>
      <c r="J114" s="894">
        <f ca="1">I114*G114</f>
        <v>0</v>
      </c>
      <c r="K114" s="894">
        <f ca="1">IF(F114&gt;0,G114*(H114+I114),0)</f>
        <v>0</v>
      </c>
      <c r="L114" s="894">
        <f ca="1">IF(F114&gt;0,K114/$D$2,0)*(1+$L$5)</f>
        <v>0</v>
      </c>
      <c r="M114" s="136" t="str">
        <f>input!$F$309</f>
        <v>N</v>
      </c>
      <c r="AT114" s="413">
        <f t="shared" ca="1" si="40"/>
        <v>0</v>
      </c>
      <c r="AU114" s="136">
        <f ca="1">COUNTIFS(AT$7:$AT114,1)</f>
        <v>2</v>
      </c>
    </row>
    <row r="115" spans="1:47" ht="15">
      <c r="AT115" s="413" t="str">
        <f t="shared" si="40"/>
        <v/>
      </c>
      <c r="AU115" s="136">
        <f ca="1">COUNTIFS(AT$7:$AT115,1)</f>
        <v>2</v>
      </c>
    </row>
    <row r="116" spans="1:47" ht="15">
      <c r="A116" s="895" t="str">
        <f>input!A312</f>
        <v>N</v>
      </c>
      <c r="B116" s="891">
        <f ca="1">IF(input!M$314="PCS",$D$4,SUMIFS(Paper!$AC$7:$AC$57,Paper!$A$7:$A$57,A116))</f>
        <v>0</v>
      </c>
      <c r="C116" s="834">
        <f ca="1">SUMIFS(Paper!$N$7:$N$57,Paper!$A$7:$A$57,A116)</f>
        <v>0</v>
      </c>
      <c r="D116" s="834">
        <f ca="1">SUMIFS(Paper!$O$7:$O$57,Paper!$A$7:$A$57,A116)</f>
        <v>0</v>
      </c>
      <c r="E116" s="892" t="str">
        <f>input!K$314</f>
        <v>None</v>
      </c>
      <c r="F116" s="893">
        <f ca="1">IF(input!L$314&gt;0,input!L$314,SUMIFS(Data!$P$962:$P$993,Data!$L$962:$L$993,E116)*C116*D116*10000)</f>
        <v>0</v>
      </c>
      <c r="G116" s="894" t="str">
        <f ca="1">IF(F116&gt;0,SUMIFS(Data!$O$962:$O$993,Data!$L$962:$L$993,E116),"0")</f>
        <v>0</v>
      </c>
      <c r="H116" s="894">
        <f ca="1">ROUNDUP(((B116/10000)*F116),1)</f>
        <v>0</v>
      </c>
      <c r="I116" s="894">
        <f ca="1">IF(F116&gt;0,1,0)</f>
        <v>0</v>
      </c>
      <c r="J116" s="894">
        <f ca="1">I116*G116</f>
        <v>0</v>
      </c>
      <c r="K116" s="894">
        <f ca="1">IF(F116&gt;0,G116*(H116+I116),0)</f>
        <v>0</v>
      </c>
      <c r="L116" s="894">
        <f ca="1">IF(F116&gt;0,K116/$D$2,0)*(1+$L$5)</f>
        <v>0</v>
      </c>
      <c r="M116" s="136" t="str">
        <f>input!$F$313</f>
        <v>N</v>
      </c>
      <c r="AT116" s="413">
        <f t="shared" ca="1" si="40"/>
        <v>0</v>
      </c>
      <c r="AU116" s="136">
        <f ca="1">COUNTIFS(AT$7:$AT116,1)</f>
        <v>2</v>
      </c>
    </row>
    <row r="117" spans="1:47" ht="15">
      <c r="AT117" s="413" t="str">
        <f t="shared" si="40"/>
        <v/>
      </c>
      <c r="AU117" s="136">
        <f ca="1">COUNTIFS(AT$7:$AT117,1)</f>
        <v>2</v>
      </c>
    </row>
    <row r="118" spans="1:47" ht="15">
      <c r="A118" s="895" t="str">
        <f>input!A315</f>
        <v>N</v>
      </c>
      <c r="B118" s="891">
        <f ca="1">IF(input!M$317="PCS",$D$4,SUMIFS(Paper!$AC$7:$AC$57,Paper!$A$7:$A$57,A118))</f>
        <v>0</v>
      </c>
      <c r="C118" s="834">
        <f ca="1">SUMIFS(Paper!$N$7:$N$57,Paper!$A$7:$A$57,A118)</f>
        <v>0</v>
      </c>
      <c r="D118" s="834">
        <f ca="1">SUMIFS(Paper!$O$7:$O$57,Paper!$A$7:$A$57,A118)</f>
        <v>0</v>
      </c>
      <c r="E118" s="892" t="str">
        <f>input!K$317</f>
        <v>None</v>
      </c>
      <c r="F118" s="893">
        <f ca="1">IF(input!L$317&gt;0,input!L$317,SUMIFS(Data!$P$962:$P$993,Data!$L$962:$L$993,E118)*C118*D118*10000)</f>
        <v>0</v>
      </c>
      <c r="G118" s="894" t="str">
        <f ca="1">IF(F118&gt;0,SUMIFS(Data!$O$962:$O$993,Data!$L$962:$L$993,E118),"0")</f>
        <v>0</v>
      </c>
      <c r="H118" s="894">
        <f ca="1">ROUNDUP(((B118/10000)*F118),1)</f>
        <v>0</v>
      </c>
      <c r="I118" s="894">
        <f ca="1">IF(F118&gt;0,1,0)</f>
        <v>0</v>
      </c>
      <c r="J118" s="894">
        <f ca="1">I118*G118</f>
        <v>0</v>
      </c>
      <c r="K118" s="894">
        <f ca="1">IF(F118&gt;0,G118*(H118+I118),0)</f>
        <v>0</v>
      </c>
      <c r="L118" s="894">
        <f ca="1">IF(F118&gt;0,K118/$D$2,0)*(1+$L$5)</f>
        <v>0</v>
      </c>
      <c r="M118" s="136" t="str">
        <f>input!$F$316</f>
        <v>N</v>
      </c>
      <c r="AT118" s="413">
        <f t="shared" ca="1" si="40"/>
        <v>0</v>
      </c>
      <c r="AU118" s="136">
        <f ca="1">COUNTIFS(AT$7:$AT118,1)</f>
        <v>2</v>
      </c>
    </row>
    <row r="119" spans="1:47" ht="15">
      <c r="AT119" s="413" t="str">
        <f t="shared" si="40"/>
        <v/>
      </c>
      <c r="AU119" s="136">
        <f ca="1">COUNTIFS(AT$7:$AT119,1)</f>
        <v>2</v>
      </c>
    </row>
    <row r="120" spans="1:47" ht="15">
      <c r="A120" s="895" t="str">
        <f>input!A318</f>
        <v>N</v>
      </c>
      <c r="B120" s="891">
        <f ca="1">IF(input!M$320="PCS",$D$4,SUMIFS(Paper!$AC$7:$AC$57,Paper!$A$7:$A$57,A120))</f>
        <v>0</v>
      </c>
      <c r="C120" s="834">
        <f ca="1">SUMIFS(Paper!$N$7:$N$57,Paper!$A$7:$A$57,A120)</f>
        <v>0</v>
      </c>
      <c r="D120" s="834">
        <f ca="1">SUMIFS(Paper!$O$7:$O$57,Paper!$A$7:$A$57,A120)</f>
        <v>0</v>
      </c>
      <c r="E120" s="892" t="str">
        <f>input!K$320</f>
        <v>None</v>
      </c>
      <c r="F120" s="893">
        <f ca="1">IF(input!L$320&gt;0,input!L$320,SUMIFS(Data!$P$962:$P$993,Data!$L$962:$L$993,E120)*C120*D120*10000)</f>
        <v>0</v>
      </c>
      <c r="G120" s="894" t="str">
        <f ca="1">IF(F120&gt;0,SUMIFS(Data!$O$962:$O$993,Data!$L$962:$L$993,E120),"0")</f>
        <v>0</v>
      </c>
      <c r="H120" s="894">
        <f ca="1">ROUNDUP(((B120/10000)*F120),1)</f>
        <v>0</v>
      </c>
      <c r="I120" s="894">
        <f ca="1">IF(F120&gt;0,1,0)</f>
        <v>0</v>
      </c>
      <c r="J120" s="894">
        <f ca="1">I120*G120</f>
        <v>0</v>
      </c>
      <c r="K120" s="894">
        <f ca="1">IF(F120&gt;0,G120*(H120+I120),0)</f>
        <v>0</v>
      </c>
      <c r="L120" s="894">
        <f ca="1">IF(F120&gt;0,K120/$D$2,0)*(1+$L$5)</f>
        <v>0</v>
      </c>
      <c r="M120" s="136" t="str">
        <f>input!$F$319</f>
        <v>N</v>
      </c>
      <c r="AT120" s="413">
        <f t="shared" ca="1" si="40"/>
        <v>0</v>
      </c>
      <c r="AU120" s="136">
        <f ca="1">COUNTIFS(AT$7:$AT120,1)</f>
        <v>2</v>
      </c>
    </row>
    <row r="121" spans="1:47" ht="15">
      <c r="AT121" s="413" t="str">
        <f t="shared" si="40"/>
        <v/>
      </c>
      <c r="AU121" s="136">
        <f ca="1">COUNTIFS(AT$7:$AT121,1)</f>
        <v>2</v>
      </c>
    </row>
    <row r="122" spans="1:47" ht="15">
      <c r="A122" s="895" t="str">
        <f>input!A321</f>
        <v>N</v>
      </c>
      <c r="B122" s="891">
        <f ca="1">IF(input!M$323="PCS",$D$4,SUMIFS(Paper!$AC$7:$AC$57,Paper!$A$7:$A$57,A122))</f>
        <v>0</v>
      </c>
      <c r="C122" s="834">
        <f ca="1">SUMIFS(Paper!$N$7:$N$57,Paper!$A$7:$A$57,A122)</f>
        <v>0</v>
      </c>
      <c r="D122" s="834">
        <f ca="1">SUMIFS(Paper!$O$7:$O$57,Paper!$A$7:$A$57,A122)</f>
        <v>0</v>
      </c>
      <c r="E122" s="892" t="str">
        <f>input!K$323</f>
        <v>None</v>
      </c>
      <c r="F122" s="893">
        <f ca="1">IF(input!L$323&gt;0,input!L$323,SUMIFS(Data!$P$962:$P$993,Data!$L$962:$L$993,E122)*C122*D122*10000)</f>
        <v>0</v>
      </c>
      <c r="G122" s="894" t="str">
        <f ca="1">IF(F122&gt;0,SUMIFS(Data!$O$962:$O$993,Data!$L$962:$L$993,E122),"0")</f>
        <v>0</v>
      </c>
      <c r="H122" s="894">
        <f ca="1">ROUNDUP(((B122/10000)*F122),1)</f>
        <v>0</v>
      </c>
      <c r="I122" s="894">
        <f ca="1">IF(F122&gt;0,1,0)</f>
        <v>0</v>
      </c>
      <c r="J122" s="894">
        <f ca="1">I122*G122</f>
        <v>0</v>
      </c>
      <c r="K122" s="894">
        <f ca="1">IF(F122&gt;0,G122*(H122+I122),0)</f>
        <v>0</v>
      </c>
      <c r="L122" s="894">
        <f ca="1">IF(F122&gt;0,K122/$D$2,0)*(1+$L$5)</f>
        <v>0</v>
      </c>
      <c r="M122" s="136" t="str">
        <f>input!$F$322</f>
        <v>N</v>
      </c>
      <c r="AT122" s="413">
        <f t="shared" ca="1" si="40"/>
        <v>0</v>
      </c>
      <c r="AU122" s="136">
        <f ca="1">COUNTIFS(AT$7:$AT122,1)</f>
        <v>2</v>
      </c>
    </row>
    <row r="123" spans="1:47" ht="15">
      <c r="AT123" s="413" t="str">
        <f t="shared" si="40"/>
        <v/>
      </c>
      <c r="AU123" s="136">
        <f ca="1">COUNTIFS(AT$7:$AT123,1)</f>
        <v>2</v>
      </c>
    </row>
    <row r="124" spans="1:47" ht="15">
      <c r="A124" s="895" t="str">
        <f>input!A324</f>
        <v>N</v>
      </c>
      <c r="B124" s="891">
        <f ca="1">IF(input!M$326="PCS",$D$4,SUMIFS(Paper!$AC$7:$AC$57,Paper!$A$7:$A$57,A124))</f>
        <v>0</v>
      </c>
      <c r="C124" s="834">
        <f ca="1">SUMIFS(Paper!$N$7:$N$57,Paper!$A$7:$A$57,A124)</f>
        <v>0</v>
      </c>
      <c r="D124" s="834">
        <f ca="1">SUMIFS(Paper!$O$7:$O$57,Paper!$A$7:$A$57,A124)</f>
        <v>0</v>
      </c>
      <c r="E124" s="892" t="str">
        <f>input!K$326</f>
        <v>None</v>
      </c>
      <c r="F124" s="893">
        <f ca="1">IF(input!L$326&gt;0,input!L$326,SUMIFS(Data!$P$962:$P$993,Data!$L$962:$L$993,E124)*C124*D124*10000)</f>
        <v>0</v>
      </c>
      <c r="G124" s="894" t="str">
        <f ca="1">IF(F124&gt;0,SUMIFS(Data!$O$962:$O$993,Data!$L$962:$L$993,E124),"0")</f>
        <v>0</v>
      </c>
      <c r="H124" s="894">
        <f ca="1">ROUNDUP(((B124/10000)*F124),1)</f>
        <v>0</v>
      </c>
      <c r="I124" s="894">
        <f ca="1">IF(F124&gt;0,1,0)</f>
        <v>0</v>
      </c>
      <c r="J124" s="894">
        <f ca="1">I124*G124</f>
        <v>0</v>
      </c>
      <c r="K124" s="894">
        <f ca="1">IF(F124&gt;0,G124*(H124+I124),0)</f>
        <v>0</v>
      </c>
      <c r="L124" s="894">
        <f ca="1">IF(F124&gt;0,K124/$D$2,0)*(1+$L$5)</f>
        <v>0</v>
      </c>
      <c r="M124" s="136" t="str">
        <f>input!$F$325</f>
        <v>N</v>
      </c>
      <c r="AT124" s="413">
        <f t="shared" ca="1" si="40"/>
        <v>0</v>
      </c>
      <c r="AU124" s="136">
        <f ca="1">COUNTIFS(AT$7:$AT124,1)</f>
        <v>2</v>
      </c>
    </row>
    <row r="125" spans="1:47" ht="15">
      <c r="AT125" s="413" t="str">
        <f t="shared" si="40"/>
        <v/>
      </c>
      <c r="AU125" s="136">
        <f ca="1">COUNTIFS(AT$7:$AT125,1)</f>
        <v>2</v>
      </c>
    </row>
    <row r="126" spans="1:47" ht="15">
      <c r="A126" s="895" t="str">
        <f>input!A327</f>
        <v>N</v>
      </c>
      <c r="B126" s="891">
        <f ca="1">IF(input!M$329="PCS",$D$4,SUMIFS(Paper!$AC$7:$AC$57,Paper!$A$7:$A$57,A126))</f>
        <v>0</v>
      </c>
      <c r="C126" s="834">
        <f ca="1">SUMIFS(Paper!$N$7:$N$57,Paper!$A$7:$A$57,A126)</f>
        <v>0</v>
      </c>
      <c r="D126" s="834">
        <f ca="1">SUMIFS(Paper!$O$7:$O$57,Paper!$A$7:$A$57,A126)</f>
        <v>0</v>
      </c>
      <c r="E126" s="892" t="str">
        <f>input!K$329</f>
        <v>None</v>
      </c>
      <c r="F126" s="893">
        <f ca="1">IF(input!L$329&gt;0,input!L$329,SUMIFS(Data!$P$962:$P$993,Data!$L$962:$L$993,E126)*C126*D126*10000)</f>
        <v>0</v>
      </c>
      <c r="G126" s="894" t="str">
        <f ca="1">IF(F126&gt;0,SUMIFS(Data!$O$962:$O$993,Data!$L$962:$L$993,E126),"0")</f>
        <v>0</v>
      </c>
      <c r="H126" s="894">
        <f ca="1">ROUNDUP(((B126/10000)*F126),1)</f>
        <v>0</v>
      </c>
      <c r="I126" s="894">
        <f ca="1">IF(F126&gt;0,1,0)</f>
        <v>0</v>
      </c>
      <c r="J126" s="894">
        <f ca="1">I126*G126</f>
        <v>0</v>
      </c>
      <c r="K126" s="894">
        <f ca="1">IF(F126&gt;0,G126*(H126+I126),0)</f>
        <v>0</v>
      </c>
      <c r="L126" s="894">
        <f ca="1">IF(F126&gt;0,K126/$D$2,0)*(1+$L$5)</f>
        <v>0</v>
      </c>
      <c r="M126" s="136" t="str">
        <f>input!$F$328</f>
        <v>N</v>
      </c>
      <c r="AT126" s="413">
        <f t="shared" ca="1" si="40"/>
        <v>0</v>
      </c>
      <c r="AU126" s="136">
        <f ca="1">COUNTIFS(AT$7:$AT126,1)</f>
        <v>2</v>
      </c>
    </row>
    <row r="127" spans="1:47" ht="15">
      <c r="AT127" s="413" t="str">
        <f t="shared" si="40"/>
        <v/>
      </c>
      <c r="AU127" s="136">
        <f ca="1">COUNTIFS(AT$7:$AT127,1)</f>
        <v>2</v>
      </c>
    </row>
    <row r="128" spans="1:47" ht="15">
      <c r="A128" s="895" t="str">
        <f>input!A330</f>
        <v>N</v>
      </c>
      <c r="B128" s="891">
        <f ca="1">IF(input!M$332="PCS",$D$4,SUMIFS(Paper!$AC$7:$AC$57,Paper!$A$7:$A$57,A128))</f>
        <v>0</v>
      </c>
      <c r="C128" s="834">
        <f ca="1">SUMIFS(Paper!$N$7:$N$57,Paper!$A$7:$A$57,A128)</f>
        <v>0</v>
      </c>
      <c r="D128" s="834">
        <f ca="1">SUMIFS(Paper!$O$7:$O$57,Paper!$A$7:$A$57,A128)</f>
        <v>0</v>
      </c>
      <c r="E128" s="892" t="str">
        <f>input!K$332</f>
        <v>None</v>
      </c>
      <c r="F128" s="893">
        <f ca="1">IF(input!L$332&gt;0,input!L$332,SUMIFS(Data!$P$962:$P$993,Data!$L$962:$L$993,E128)*C128*D128*10000)</f>
        <v>0</v>
      </c>
      <c r="G128" s="894" t="str">
        <f ca="1">IF(F128&gt;0,SUMIFS(Data!$O$962:$O$993,Data!$L$962:$L$993,E128),"0")</f>
        <v>0</v>
      </c>
      <c r="H128" s="894">
        <f ca="1">ROUNDUP(((B128/10000)*F128),1)</f>
        <v>0</v>
      </c>
      <c r="I128" s="894">
        <f ca="1">IF(F128&gt;0,1,0)</f>
        <v>0</v>
      </c>
      <c r="J128" s="894">
        <f ca="1">I128*G128</f>
        <v>0</v>
      </c>
      <c r="K128" s="894">
        <f ca="1">IF(F128&gt;0,G128*(H128+I128),0)</f>
        <v>0</v>
      </c>
      <c r="L128" s="894">
        <f ca="1">IF(F128&gt;0,K128/$D$2,0)*(1+$L$5)</f>
        <v>0</v>
      </c>
      <c r="M128" s="136" t="str">
        <f>input!$F$331</f>
        <v>N</v>
      </c>
      <c r="AT128" s="413">
        <f t="shared" ca="1" si="40"/>
        <v>0</v>
      </c>
      <c r="AU128" s="136">
        <f ca="1">COUNTIFS(AT$7:$AT128,1)</f>
        <v>2</v>
      </c>
    </row>
    <row r="129" spans="1:47" ht="15">
      <c r="AT129" s="413" t="str">
        <f t="shared" si="40"/>
        <v/>
      </c>
      <c r="AU129" s="136">
        <f ca="1">COUNTIFS(AT$7:$AT129,1)</f>
        <v>2</v>
      </c>
    </row>
    <row r="130" spans="1:47" ht="15">
      <c r="A130" s="895" t="str">
        <f>input!A333</f>
        <v>N</v>
      </c>
      <c r="B130" s="891">
        <f ca="1">IF(input!M$335="PCS",$D$4,SUMIFS(Paper!$AC$7:$AC$57,Paper!$A$7:$A$57,A130))</f>
        <v>0</v>
      </c>
      <c r="C130" s="834">
        <f ca="1">SUMIFS(Paper!$N$7:$N$57,Paper!$A$7:$A$57,A130)</f>
        <v>0</v>
      </c>
      <c r="D130" s="834">
        <f ca="1">SUMIFS(Paper!$O$7:$O$57,Paper!$A$7:$A$57,A130)</f>
        <v>0</v>
      </c>
      <c r="E130" s="892" t="str">
        <f>input!K$335</f>
        <v>None</v>
      </c>
      <c r="F130" s="893">
        <f ca="1">IF(input!L$335&gt;0,input!L$335,SUMIFS(Data!$P$962:$P$993,Data!$L$962:$L$993,E130)*C130*D130*10000)</f>
        <v>0</v>
      </c>
      <c r="G130" s="894" t="str">
        <f ca="1">IF(F130&gt;0,SUMIFS(Data!$O$962:$O$993,Data!$L$962:$L$993,E130),"0")</f>
        <v>0</v>
      </c>
      <c r="H130" s="894">
        <f ca="1">ROUNDUP(((B130/10000)*F130),1)</f>
        <v>0</v>
      </c>
      <c r="I130" s="894">
        <f ca="1">IF(F130&gt;0,1,0)</f>
        <v>0</v>
      </c>
      <c r="J130" s="894">
        <f ca="1">I130*G130</f>
        <v>0</v>
      </c>
      <c r="K130" s="894">
        <f ca="1">IF(F130&gt;0,G130*(H130+I130),0)</f>
        <v>0</v>
      </c>
      <c r="L130" s="894">
        <f ca="1">IF(F130&gt;0,K130/$D$2,0)*(1+$L$5)</f>
        <v>0</v>
      </c>
      <c r="M130" s="136" t="str">
        <f>input!$F$334</f>
        <v>N</v>
      </c>
      <c r="AT130" s="413">
        <f t="shared" ca="1" si="40"/>
        <v>0</v>
      </c>
      <c r="AU130" s="136">
        <f ca="1">COUNTIFS(AT$7:$AT130,1)</f>
        <v>2</v>
      </c>
    </row>
    <row r="131" spans="1:47" ht="15">
      <c r="AT131" s="413" t="str">
        <f t="shared" si="40"/>
        <v/>
      </c>
      <c r="AU131" s="136">
        <f ca="1">COUNTIFS(AT$7:$AT131,1)</f>
        <v>2</v>
      </c>
    </row>
    <row r="132" spans="1:47" ht="15">
      <c r="A132" s="895" t="str">
        <f>input!A336</f>
        <v>N</v>
      </c>
      <c r="B132" s="891">
        <f ca="1">IF(input!M$338="PCS",$D$4,SUMIFS(Paper!$AC$7:$AC$57,Paper!$A$7:$A$57,A132))</f>
        <v>0</v>
      </c>
      <c r="C132" s="834">
        <f ca="1">SUMIFS(Paper!$N$7:$N$57,Paper!$A$7:$A$57,A132)</f>
        <v>0</v>
      </c>
      <c r="D132" s="834">
        <f ca="1">SUMIFS(Paper!$O$7:$O$57,Paper!$A$7:$A$57,A132)</f>
        <v>0</v>
      </c>
      <c r="E132" s="892" t="str">
        <f>input!K$338</f>
        <v>None</v>
      </c>
      <c r="F132" s="893">
        <f ca="1">IF(input!L$338&gt;0,input!L$338,SUMIFS(Data!$P$962:$P$993,Data!$L$962:$L$993,E132)*C132*D132*10000)</f>
        <v>0</v>
      </c>
      <c r="G132" s="894" t="str">
        <f ca="1">IF(F132&gt;0,SUMIFS(Data!$O$962:$O$993,Data!$L$962:$L$993,E132),"0")</f>
        <v>0</v>
      </c>
      <c r="H132" s="894">
        <f ca="1">ROUNDUP(((B132/10000)*F132),1)</f>
        <v>0</v>
      </c>
      <c r="I132" s="894">
        <f ca="1">IF(F132&gt;0,1,0)</f>
        <v>0</v>
      </c>
      <c r="J132" s="894">
        <f ca="1">I132*G132</f>
        <v>0</v>
      </c>
      <c r="K132" s="894">
        <f ca="1">IF(F132&gt;0,G132*(H132+I132),0)</f>
        <v>0</v>
      </c>
      <c r="L132" s="894">
        <f ca="1">IF(F132&gt;0,K132/$D$2,0)*(1+$L$5)</f>
        <v>0</v>
      </c>
      <c r="M132" s="136" t="str">
        <f>input!$F$337</f>
        <v>N</v>
      </c>
      <c r="AT132" s="413"/>
    </row>
    <row r="133" spans="1:47" ht="15">
      <c r="AT133" s="413"/>
    </row>
    <row r="134" spans="1:47" ht="15">
      <c r="A134" s="895" t="str">
        <f>input!A339</f>
        <v>N</v>
      </c>
      <c r="B134" s="891">
        <f ca="1">IF(input!M$341="PCS",$D$4,SUMIFS(Paper!$AC$7:$AC$57,Paper!$A$7:$A$57,A134))</f>
        <v>0</v>
      </c>
      <c r="C134" s="834">
        <f ca="1">SUMIFS(Paper!$N$7:$N$57,Paper!$A$7:$A$57,A134)</f>
        <v>0</v>
      </c>
      <c r="D134" s="834">
        <f ca="1">SUMIFS(Paper!$O$7:$O$57,Paper!$A$7:$A$57,A134)</f>
        <v>0</v>
      </c>
      <c r="E134" s="892" t="str">
        <f>input!K$341</f>
        <v>None</v>
      </c>
      <c r="F134" s="893">
        <f ca="1">IF(input!L$341&gt;0,input!L$341,SUMIFS(Data!$P$962:$P$993,Data!$L$962:$L$993,E134)*C134*D134*10000)</f>
        <v>0</v>
      </c>
      <c r="G134" s="894" t="str">
        <f ca="1">IF(F134&gt;0,SUMIFS(Data!$O$962:$O$993,Data!$L$962:$L$993,E134),"0")</f>
        <v>0</v>
      </c>
      <c r="H134" s="894">
        <f ca="1">ROUNDUP(((B134/10000)*F134),1)</f>
        <v>0</v>
      </c>
      <c r="I134" s="894">
        <f ca="1">IF(F134&gt;0,1,0)</f>
        <v>0</v>
      </c>
      <c r="J134" s="894">
        <f ca="1">I134*G134</f>
        <v>0</v>
      </c>
      <c r="K134" s="894">
        <f ca="1">IF(F134&gt;0,G134*(H134+I134),0)</f>
        <v>0</v>
      </c>
      <c r="L134" s="894">
        <f ca="1">IF(F134&gt;0,K134/$D$2,0)*(1+$L$5)</f>
        <v>0</v>
      </c>
      <c r="M134" s="136" t="str">
        <f>input!$F$340</f>
        <v>N</v>
      </c>
      <c r="AT134" s="413"/>
    </row>
    <row r="135" spans="1:47" ht="15">
      <c r="AT135" s="413"/>
    </row>
    <row r="136" spans="1:47" ht="15">
      <c r="A136" s="895" t="str">
        <f>input!A342</f>
        <v>N</v>
      </c>
      <c r="B136" s="891">
        <f ca="1">IF(input!M$344="PCS",$D$4,SUMIFS(Paper!$AC$7:$AC$57,Paper!$A$7:$A$57,A136))</f>
        <v>0</v>
      </c>
      <c r="C136" s="834">
        <f ca="1">SUMIFS(Paper!$N$7:$N$57,Paper!$A$7:$A$57,A136)</f>
        <v>0</v>
      </c>
      <c r="D136" s="834">
        <f ca="1">SUMIFS(Paper!$O$7:$O$57,Paper!$A$7:$A$57,A136)</f>
        <v>0</v>
      </c>
      <c r="E136" s="892" t="str">
        <f>input!K$344</f>
        <v>None</v>
      </c>
      <c r="F136" s="893">
        <f ca="1">IF(input!L$344&gt;0,input!L$344,SUMIFS(Data!$P$962:$P$993,Data!$L$962:$L$993,E136)*C136*D136*10000)</f>
        <v>0</v>
      </c>
      <c r="G136" s="894" t="str">
        <f ca="1">IF(F136&gt;0,SUMIFS(Data!$O$962:$O$993,Data!$L$962:$L$993,E136),"0")</f>
        <v>0</v>
      </c>
      <c r="H136" s="894">
        <f ca="1">ROUNDUP(((B136/10000)*F136),1)</f>
        <v>0</v>
      </c>
      <c r="I136" s="894">
        <f ca="1">IF(F136&gt;0,1,0)</f>
        <v>0</v>
      </c>
      <c r="J136" s="894">
        <f ca="1">I136*G136</f>
        <v>0</v>
      </c>
      <c r="K136" s="894">
        <f ca="1">IF(F136&gt;0,G136*(H136+I136),0)</f>
        <v>0</v>
      </c>
      <c r="L136" s="894">
        <f ca="1">IF(F136&gt;0,K136/$D$2,0)*(1+$L$5)</f>
        <v>0</v>
      </c>
      <c r="M136" s="136" t="str">
        <f>input!$F$343</f>
        <v>N</v>
      </c>
      <c r="AT136" s="413"/>
    </row>
    <row r="137" spans="1:47" ht="15">
      <c r="AT137" s="413"/>
    </row>
    <row r="138" spans="1:47" ht="15">
      <c r="A138" s="895" t="str">
        <f>input!A345</f>
        <v>N</v>
      </c>
      <c r="B138" s="891">
        <f ca="1">IF(input!M$347="PCS",$D$4,SUMIFS(Paper!$AC$7:$AC$57,Paper!$A$7:$A$57,A138))</f>
        <v>0</v>
      </c>
      <c r="C138" s="834">
        <f ca="1">SUMIFS(Paper!$N$7:$N$57,Paper!$A$7:$A$57,A138)</f>
        <v>0</v>
      </c>
      <c r="D138" s="834">
        <f ca="1">SUMIFS(Paper!$O$7:$O$57,Paper!$A$7:$A$57,A138)</f>
        <v>0</v>
      </c>
      <c r="E138" s="892" t="str">
        <f>input!K$347</f>
        <v>None</v>
      </c>
      <c r="F138" s="893">
        <f ca="1">IF(input!L$347&gt;0,input!L$347,SUMIFS(Data!$P$962:$P$993,Data!$L$962:$L$993,E138)*C138*D138*10000)</f>
        <v>0</v>
      </c>
      <c r="G138" s="894" t="str">
        <f ca="1">IF(F138&gt;0,SUMIFS(Data!$O$962:$O$993,Data!$L$962:$L$993,E138),"0")</f>
        <v>0</v>
      </c>
      <c r="H138" s="894">
        <f ca="1">ROUNDUP(((B138/10000)*F138),1)</f>
        <v>0</v>
      </c>
      <c r="I138" s="894">
        <f ca="1">IF(F138&gt;0,1,0)</f>
        <v>0</v>
      </c>
      <c r="J138" s="894">
        <f ca="1">I138*G138</f>
        <v>0</v>
      </c>
      <c r="K138" s="894">
        <f ca="1">IF(F138&gt;0,G138*(H138+I138),0)</f>
        <v>0</v>
      </c>
      <c r="L138" s="894">
        <f ca="1">IF(F138&gt;0,K138/$D$2,0)*(1+$L$5)</f>
        <v>0</v>
      </c>
      <c r="M138" s="136" t="str">
        <f>input!$F$346</f>
        <v>N</v>
      </c>
      <c r="AT138" s="413"/>
    </row>
    <row r="139" spans="1:47" ht="15">
      <c r="AT139" s="413"/>
    </row>
    <row r="140" spans="1:47" ht="15">
      <c r="A140" s="895" t="str">
        <f>input!A348</f>
        <v>N</v>
      </c>
      <c r="B140" s="891">
        <f ca="1">IF(input!M$350="PCS",$D$4,SUMIFS(Paper!$AC$7:$AC$57,Paper!$A$7:$A$57,A140))</f>
        <v>0</v>
      </c>
      <c r="C140" s="834">
        <f ca="1">SUMIFS(Paper!$N$7:$N$57,Paper!$A$7:$A$57,A140)</f>
        <v>0</v>
      </c>
      <c r="D140" s="834">
        <f ca="1">SUMIFS(Paper!$O$7:$O$57,Paper!$A$7:$A$57,A140)</f>
        <v>0</v>
      </c>
      <c r="E140" s="892" t="str">
        <f>input!K$350</f>
        <v>None</v>
      </c>
      <c r="F140" s="893">
        <f ca="1">IF(input!L$350&gt;0,input!L$350,SUMIFS(Data!$P$962:$P$993,Data!$L$962:$L$993,E140)*C140*D140*10000)</f>
        <v>0</v>
      </c>
      <c r="G140" s="894" t="str">
        <f ca="1">IF(F140&gt;0,SUMIFS(Data!$O$962:$O$993,Data!$L$962:$L$993,E140),"0")</f>
        <v>0</v>
      </c>
      <c r="H140" s="894">
        <f ca="1">ROUNDUP(((B140/10000)*F140),1)</f>
        <v>0</v>
      </c>
      <c r="I140" s="894">
        <f ca="1">IF(F140&gt;0,1,0)</f>
        <v>0</v>
      </c>
      <c r="J140" s="894">
        <f ca="1">I140*G140</f>
        <v>0</v>
      </c>
      <c r="K140" s="894">
        <f ca="1">IF(F140&gt;0,G140*(H140+I140),0)</f>
        <v>0</v>
      </c>
      <c r="L140" s="894">
        <f ca="1">IF(F140&gt;0,K140/$D$2,0)*(1+$L$5)</f>
        <v>0</v>
      </c>
      <c r="M140" s="136" t="str">
        <f>input!$F$349</f>
        <v>N</v>
      </c>
      <c r="AT140" s="413"/>
    </row>
    <row r="141" spans="1:47" ht="15">
      <c r="AT141" s="413"/>
    </row>
    <row r="142" spans="1:47" ht="15">
      <c r="A142" s="895" t="str">
        <f>input!A351</f>
        <v>N</v>
      </c>
      <c r="B142" s="891">
        <f ca="1">IF(input!M$353="PCS",$D$4,SUMIFS(Paper!$AC$7:$AC$57,Paper!$A$7:$A$57,A142))</f>
        <v>0</v>
      </c>
      <c r="C142" s="834">
        <f ca="1">SUMIFS(Paper!$N$7:$N$57,Paper!$A$7:$A$57,A142)</f>
        <v>0</v>
      </c>
      <c r="D142" s="834">
        <f ca="1">SUMIFS(Paper!$O$7:$O$57,Paper!$A$7:$A$57,A142)</f>
        <v>0</v>
      </c>
      <c r="E142" s="892" t="str">
        <f>input!K$353</f>
        <v>None</v>
      </c>
      <c r="F142" s="893">
        <f ca="1">IF(input!L$353&gt;0,input!L$353,SUMIFS(Data!$P$962:$P$993,Data!$L$962:$L$993,E142)*C142*D142*10000)</f>
        <v>0</v>
      </c>
      <c r="G142" s="894" t="str">
        <f ca="1">IF(F142&gt;0,SUMIFS(Data!$O$962:$O$993,Data!$L$962:$L$993,E142),"0")</f>
        <v>0</v>
      </c>
      <c r="H142" s="894">
        <f ca="1">ROUNDUP(((B142/10000)*F142),1)</f>
        <v>0</v>
      </c>
      <c r="I142" s="894">
        <f ca="1">IF(F142&gt;0,1,0)</f>
        <v>0</v>
      </c>
      <c r="J142" s="894">
        <f ca="1">I142*G142</f>
        <v>0</v>
      </c>
      <c r="K142" s="894">
        <f ca="1">IF(F142&gt;0,G142*(H142+I142),0)</f>
        <v>0</v>
      </c>
      <c r="L142" s="894">
        <f ca="1">IF(F142&gt;0,K142/$D$2,0)*(1+$L$5)</f>
        <v>0</v>
      </c>
      <c r="M142" s="136" t="str">
        <f>input!$F$352</f>
        <v>N</v>
      </c>
      <c r="AT142" s="413">
        <f t="shared" ca="1" si="40"/>
        <v>0</v>
      </c>
      <c r="AU142" s="136">
        <f ca="1">COUNTIFS(AT$7:$AT142,1)</f>
        <v>2</v>
      </c>
    </row>
    <row r="143" spans="1:47" ht="15">
      <c r="AT143" s="413" t="str">
        <f t="shared" si="40"/>
        <v/>
      </c>
      <c r="AU143" s="136">
        <f ca="1">COUNTIFS(AT$7:$AT143,1)</f>
        <v>2</v>
      </c>
    </row>
    <row r="144" spans="1:47" ht="15">
      <c r="A144" s="895" t="str">
        <f>input!A354</f>
        <v>N</v>
      </c>
      <c r="B144" s="891">
        <f ca="1">IF(input!M$356="PCS",$D$4,SUMIFS(Paper!$AC$7:$AC$57,Paper!$A$7:$A$57,A144))</f>
        <v>0</v>
      </c>
      <c r="C144" s="834">
        <f ca="1">SUMIFS(Paper!$N$7:$N$57,Paper!$A$7:$A$57,A144)</f>
        <v>0</v>
      </c>
      <c r="D144" s="834">
        <f ca="1">SUMIFS(Paper!$O$7:$O$57,Paper!$A$7:$A$57,A144)</f>
        <v>0</v>
      </c>
      <c r="E144" s="892" t="str">
        <f>input!K$356</f>
        <v>None</v>
      </c>
      <c r="F144" s="893">
        <f ca="1">IF(input!L$356&gt;0,input!L$356,SUMIFS(Data!$P$962:$P$993,Data!$L$962:$L$993,E144)*C144*D144*10000)</f>
        <v>0</v>
      </c>
      <c r="G144" s="894" t="str">
        <f ca="1">IF(F144&gt;0,SUMIFS(Data!$O$962:$O$993,Data!$L$962:$L$993,E144),"0")</f>
        <v>0</v>
      </c>
      <c r="H144" s="894">
        <f ca="1">ROUNDUP(((B144/10000)*F144),1)</f>
        <v>0</v>
      </c>
      <c r="I144" s="894">
        <f ca="1">IF(F144&gt;0,1,0)</f>
        <v>0</v>
      </c>
      <c r="J144" s="894">
        <f ca="1">I144*G144</f>
        <v>0</v>
      </c>
      <c r="K144" s="894">
        <f ca="1">IF(F144&gt;0,G144*(H144+I144),0)</f>
        <v>0</v>
      </c>
      <c r="L144" s="894">
        <f ca="1">IF(F144&gt;0,K144/$D$2,0)*(1+$L$5)</f>
        <v>0</v>
      </c>
      <c r="M144" s="136" t="str">
        <f>input!F355</f>
        <v>N</v>
      </c>
      <c r="AT144" s="413">
        <f t="shared" ca="1" si="40"/>
        <v>0</v>
      </c>
      <c r="AU144" s="136">
        <f ca="1">COUNTIFS(AT$7:$AT144,1)</f>
        <v>2</v>
      </c>
    </row>
    <row r="145" spans="1:47" ht="15">
      <c r="AT145" s="413" t="str">
        <f t="shared" si="40"/>
        <v/>
      </c>
      <c r="AU145" s="136">
        <f ca="1">COUNTIFS(AT$7:$AT145,1)</f>
        <v>2</v>
      </c>
    </row>
    <row r="146" spans="1:47" ht="15">
      <c r="A146" s="895" t="str">
        <f>input!A358</f>
        <v>E-flute 115/105</v>
      </c>
      <c r="B146" s="891">
        <f ca="1">IF(input!M$360="PCS",$D$4,SUMIFS(Paper!$AC$7:$AC$57,Paper!$A$7:$A$57,A146))</f>
        <v>2725</v>
      </c>
      <c r="C146" s="834">
        <f ca="1">SUMIFS(Paper!$N$7:$N$57,Paper!$A$7:$A$57,A146)</f>
        <v>628</v>
      </c>
      <c r="D146" s="834">
        <f ca="1">SUMIFS(Paper!$O$7:$O$57,Paper!$A$7:$A$57,A146)</f>
        <v>397</v>
      </c>
      <c r="E146" s="892" t="str">
        <f>input!K$360</f>
        <v>None</v>
      </c>
      <c r="F146" s="893">
        <f ca="1">IF(input!L$360&gt;0,input!L$360,SUMIFS(Data!$P$962:$P$993,Data!$L$962:$L$993,E146)*C146*D146*10000)</f>
        <v>0</v>
      </c>
      <c r="G146" s="894" t="str">
        <f ca="1">IF(F146&gt;0,SUMIFS(Data!$O$962:$O$993,Data!$L$962:$L$993,E146),"0")</f>
        <v>0</v>
      </c>
      <c r="H146" s="894">
        <f ca="1">ROUNDUP(((B146/10000)*F146),1)</f>
        <v>0</v>
      </c>
      <c r="I146" s="894">
        <f ca="1">IF(F146&gt;0,1,0)</f>
        <v>0</v>
      </c>
      <c r="J146" s="894">
        <f ca="1">I146*G146</f>
        <v>0</v>
      </c>
      <c r="K146" s="894">
        <f ca="1">IF(F146&gt;0,G146*(H146+I146),0)</f>
        <v>0</v>
      </c>
      <c r="L146" s="894">
        <f ca="1">IF(F146&gt;0,K146/$D$2,0)*(1+$L$5)</f>
        <v>0</v>
      </c>
      <c r="M146" s="136" t="str">
        <f>input!F359</f>
        <v>E-flute 115/105</v>
      </c>
      <c r="AT146" s="413">
        <f t="shared" ca="1" si="40"/>
        <v>0</v>
      </c>
      <c r="AU146" s="136">
        <f ca="1">COUNTIFS(AT$7:$AT146,1)</f>
        <v>2</v>
      </c>
    </row>
    <row r="147" spans="1:47" ht="15">
      <c r="AT147" s="413" t="str">
        <f t="shared" ref="AT147:AT193" si="57">IF(ISNUMBER(L147),IF(L147&lt;&gt;0,IF(ISNUMBER(SEARCH("to",H147)),0,1),0),"")</f>
        <v/>
      </c>
      <c r="AU147" s="136">
        <f ca="1">COUNTIFS(AT$7:$AT147,1)</f>
        <v>2</v>
      </c>
    </row>
    <row r="148" spans="1:47" ht="15">
      <c r="A148" s="895" t="str">
        <f>input!A361</f>
        <v>N</v>
      </c>
      <c r="B148" s="891">
        <f ca="1">IF(input!M$363="PCS",$D$4,SUMIFS(Paper!$AC$7:$AC$57,Paper!$A$7:$A$57,A148))</f>
        <v>0</v>
      </c>
      <c r="C148" s="834">
        <f ca="1">SUMIFS(Paper!$N$7:$N$57,Paper!$A$7:$A$57,A148)</f>
        <v>0</v>
      </c>
      <c r="D148" s="834">
        <f ca="1">SUMIFS(Paper!$O$7:$O$57,Paper!$A$7:$A$57,A148)</f>
        <v>0</v>
      </c>
      <c r="E148" s="892" t="str">
        <f>input!K$363</f>
        <v>None</v>
      </c>
      <c r="F148" s="893">
        <f ca="1">IF(input!L$363&gt;0,input!L$363,SUMIFS(Data!$P$962:$P$993,Data!$L$962:$L$993,E148)*C148*D148*10000)</f>
        <v>0</v>
      </c>
      <c r="G148" s="894" t="str">
        <f ca="1">IF(F148&gt;0,SUMIFS(Data!$O$962:$O$993,Data!$L$962:$L$993,E148),"0")</f>
        <v>0</v>
      </c>
      <c r="H148" s="894">
        <f ca="1">ROUNDUP(((B148/10000)*F148),1)</f>
        <v>0</v>
      </c>
      <c r="I148" s="894">
        <f ca="1">IF(F148&gt;0,1,0)</f>
        <v>0</v>
      </c>
      <c r="J148" s="894">
        <f ca="1">I148*G148</f>
        <v>0</v>
      </c>
      <c r="K148" s="894">
        <f ca="1">IF(F148&gt;0,G148*(H148+I148),0)</f>
        <v>0</v>
      </c>
      <c r="L148" s="894">
        <f ca="1">IF(F148&gt;0,K148/$D$2,0)*(1+$L$5)</f>
        <v>0</v>
      </c>
      <c r="M148" s="136" t="str">
        <f>input!F362</f>
        <v>N</v>
      </c>
      <c r="AT148" s="413">
        <f t="shared" ca="1" si="57"/>
        <v>0</v>
      </c>
      <c r="AU148" s="136">
        <f ca="1">COUNTIFS(AT$7:$AT148,1)</f>
        <v>2</v>
      </c>
    </row>
    <row r="149" spans="1:47" ht="15">
      <c r="AT149" s="413" t="str">
        <f t="shared" si="57"/>
        <v/>
      </c>
      <c r="AU149" s="136">
        <f ca="1">COUNTIFS(AT$7:$AT149,1)</f>
        <v>2</v>
      </c>
    </row>
    <row r="150" spans="1:47" ht="15">
      <c r="A150" s="895" t="str">
        <f>input!A364</f>
        <v>N</v>
      </c>
      <c r="B150" s="891">
        <f ca="1">IF(input!M$366="PCS",$D$4,SUMIFS(Paper!$AC$7:$AC$57,Paper!$A$7:$A$57,A150))</f>
        <v>0</v>
      </c>
      <c r="C150" s="834">
        <f ca="1">SUMIFS(Paper!$N$7:$N$57,Paper!$A$7:$A$57,A150)</f>
        <v>0</v>
      </c>
      <c r="D150" s="834">
        <f ca="1">SUMIFS(Paper!$O$7:$O$57,Paper!$A$7:$A$57,A150)</f>
        <v>0</v>
      </c>
      <c r="E150" s="892" t="str">
        <f>input!K$366</f>
        <v>None</v>
      </c>
      <c r="F150" s="893">
        <f ca="1">IF(input!L$366&gt;0,input!L$366,SUMIFS(Data!$P$962:$P$993,Data!$L$962:$L$993,E150)*C150*D150*10000)</f>
        <v>0</v>
      </c>
      <c r="G150" s="894" t="str">
        <f ca="1">IF(F150&gt;0,SUMIFS(Data!$O$962:$O$993,Data!$L$962:$L$993,E150),"0")</f>
        <v>0</v>
      </c>
      <c r="H150" s="894">
        <f ca="1">ROUNDUP(((B150/10000)*F150),1)</f>
        <v>0</v>
      </c>
      <c r="I150" s="894">
        <f ca="1">IF(F150&gt;0,1,0)</f>
        <v>0</v>
      </c>
      <c r="J150" s="894">
        <f ca="1">I150*G150</f>
        <v>0</v>
      </c>
      <c r="K150" s="894">
        <f ca="1">IF(F150&gt;0,G150*(H150+I150),0)</f>
        <v>0</v>
      </c>
      <c r="L150" s="894">
        <f ca="1">IF(F150&gt;0,K150/$D$2,0)*(1+$L$5)</f>
        <v>0</v>
      </c>
      <c r="M150" s="136" t="str">
        <f>input!F365</f>
        <v>N</v>
      </c>
      <c r="AT150" s="413">
        <f t="shared" ca="1" si="57"/>
        <v>0</v>
      </c>
      <c r="AU150" s="136">
        <f ca="1">COUNTIFS(AT$7:$AT150,1)</f>
        <v>2</v>
      </c>
    </row>
    <row r="151" spans="1:47" ht="15">
      <c r="AT151" s="413" t="str">
        <f t="shared" si="57"/>
        <v/>
      </c>
      <c r="AU151" s="136">
        <f ca="1">COUNTIFS(AT$7:$AT151,1)</f>
        <v>2</v>
      </c>
    </row>
    <row r="152" spans="1:47" ht="15">
      <c r="A152" s="895" t="str">
        <f>input!A367</f>
        <v>N</v>
      </c>
      <c r="B152" s="891">
        <f ca="1">IF(input!M$369="PCS",$D$4,SUMIFS(Paper!$AC$7:$AC$57,Paper!$A$7:$A$57,A152))</f>
        <v>0</v>
      </c>
      <c r="C152" s="834">
        <f ca="1">SUMIFS(Paper!$N$7:$N$57,Paper!$A$7:$A$57,A152)</f>
        <v>0</v>
      </c>
      <c r="D152" s="834">
        <f ca="1">SUMIFS(Paper!$O$7:$O$57,Paper!$A$7:$A$57,A152)</f>
        <v>0</v>
      </c>
      <c r="E152" s="892" t="str">
        <f>input!K$369</f>
        <v>None</v>
      </c>
      <c r="F152" s="893">
        <f ca="1">IF(input!L$369&gt;0,input!L$369,SUMIFS(Data!$P$962:$P$993,Data!$L$962:$L$993,E152)*C152*D152*10000)</f>
        <v>0</v>
      </c>
      <c r="G152" s="894" t="str">
        <f ca="1">IF(F152&gt;0,SUMIFS(Data!$O$962:$O$993,Data!$L$962:$L$993,E152),"0")</f>
        <v>0</v>
      </c>
      <c r="H152" s="894">
        <f ca="1">ROUNDUP(((B152/10000)*F152),1)</f>
        <v>0</v>
      </c>
      <c r="I152" s="894">
        <f ca="1">IF(F152&gt;0,1,0)</f>
        <v>0</v>
      </c>
      <c r="J152" s="894">
        <f ca="1">I152*G152</f>
        <v>0</v>
      </c>
      <c r="K152" s="894">
        <f ca="1">IF(F152&gt;0,G152*(H152+I152),0)</f>
        <v>0</v>
      </c>
      <c r="L152" s="894">
        <f ca="1">IF(F152&gt;0,K152/$D$2,0)*(1+$L$5)</f>
        <v>0</v>
      </c>
      <c r="M152" s="136" t="str">
        <f>input!F368</f>
        <v>N</v>
      </c>
      <c r="AT152" s="413">
        <f t="shared" ca="1" si="57"/>
        <v>0</v>
      </c>
      <c r="AU152" s="136">
        <f ca="1">COUNTIFS(AT$7:$AT152,1)</f>
        <v>2</v>
      </c>
    </row>
    <row r="153" spans="1:47" ht="15">
      <c r="AT153" s="413" t="str">
        <f t="shared" si="57"/>
        <v/>
      </c>
      <c r="AU153" s="136">
        <f ca="1">COUNTIFS(AT$7:$AT153,1)</f>
        <v>2</v>
      </c>
    </row>
    <row r="154" spans="1:47" ht="15">
      <c r="A154" s="895" t="str">
        <f>input!A370</f>
        <v>N</v>
      </c>
      <c r="B154" s="891">
        <f ca="1">IF(input!M$372="PCS",$D$4,SUMIFS(Paper!$AC$7:$AC$57,Paper!$A$7:$A$57,A154))</f>
        <v>0</v>
      </c>
      <c r="C154" s="834">
        <f ca="1">SUMIFS(Paper!$N$7:$N$57,Paper!$A$7:$A$57,A154)</f>
        <v>0</v>
      </c>
      <c r="D154" s="834">
        <f ca="1">SUMIFS(Paper!$O$7:$O$57,Paper!$A$7:$A$57,A154)</f>
        <v>0</v>
      </c>
      <c r="E154" s="892" t="str">
        <f>input!K$372</f>
        <v>None</v>
      </c>
      <c r="F154" s="893">
        <f ca="1">IF(input!L$372&gt;0,input!L$372,SUMIFS(Data!$P$962:$P$993,Data!$L$962:$L$993,E154)*C154*D154*10000)</f>
        <v>0</v>
      </c>
      <c r="G154" s="894" t="str">
        <f ca="1">IF(F154&gt;0,SUMIFS(Data!$O$962:$O$993,Data!$L$962:$L$993,E154),"0")</f>
        <v>0</v>
      </c>
      <c r="H154" s="894">
        <f ca="1">ROUNDUP(((B154/10000)*F154),1)</f>
        <v>0</v>
      </c>
      <c r="I154" s="894">
        <f ca="1">IF(F154&gt;0,1,0)</f>
        <v>0</v>
      </c>
      <c r="J154" s="894">
        <f ca="1">I154*G154</f>
        <v>0</v>
      </c>
      <c r="K154" s="894">
        <f ca="1">IF(F154&gt;0,G154*(H154+I154),0)</f>
        <v>0</v>
      </c>
      <c r="L154" s="894">
        <f ca="1">IF(F154&gt;0,K154/$D$2,0)*(1+$L$5)</f>
        <v>0</v>
      </c>
      <c r="M154" s="136" t="str">
        <f>input!F371</f>
        <v>N</v>
      </c>
      <c r="AT154" s="413">
        <f t="shared" ca="1" si="57"/>
        <v>0</v>
      </c>
      <c r="AU154" s="136">
        <f ca="1">COUNTIFS(AT$7:$AT154,1)</f>
        <v>2</v>
      </c>
    </row>
    <row r="155" spans="1:47" ht="15">
      <c r="AT155" s="413" t="str">
        <f t="shared" si="57"/>
        <v/>
      </c>
      <c r="AU155" s="136">
        <f ca="1">COUNTIFS(AT$7:$AT155,1)</f>
        <v>2</v>
      </c>
    </row>
    <row r="156" spans="1:47" ht="15">
      <c r="AT156" s="413" t="str">
        <f t="shared" si="57"/>
        <v/>
      </c>
      <c r="AU156" s="136">
        <f ca="1">COUNTIFS(AT$7:$AT156,1)</f>
        <v>2</v>
      </c>
    </row>
    <row r="157" spans="1:47" ht="15">
      <c r="AT157" s="413" t="str">
        <f t="shared" si="57"/>
        <v/>
      </c>
      <c r="AU157" s="136">
        <f ca="1">COUNTIFS(AT$7:$AT157,1)</f>
        <v>2</v>
      </c>
    </row>
    <row r="158" spans="1:47" ht="15">
      <c r="AT158" s="413" t="str">
        <f t="shared" si="57"/>
        <v/>
      </c>
      <c r="AU158" s="136">
        <f ca="1">COUNTIFS(AT$7:$AT158,1)</f>
        <v>2</v>
      </c>
    </row>
    <row r="159" spans="1:47" ht="15">
      <c r="AT159" s="413" t="str">
        <f t="shared" si="57"/>
        <v/>
      </c>
      <c r="AU159" s="136">
        <f ca="1">COUNTIFS(AT$7:$AT159,1)</f>
        <v>2</v>
      </c>
    </row>
    <row r="160" spans="1:47" ht="15">
      <c r="AT160" s="413" t="str">
        <f t="shared" si="57"/>
        <v/>
      </c>
      <c r="AU160" s="136">
        <f ca="1">COUNTIFS(AT$7:$AT160,1)</f>
        <v>2</v>
      </c>
    </row>
    <row r="161" spans="46:47" ht="15">
      <c r="AT161" s="413" t="str">
        <f t="shared" si="57"/>
        <v/>
      </c>
      <c r="AU161" s="136">
        <f ca="1">COUNTIFS(AT$7:$AT161,1)</f>
        <v>2</v>
      </c>
    </row>
    <row r="162" spans="46:47" ht="15">
      <c r="AT162" s="413" t="str">
        <f t="shared" si="57"/>
        <v/>
      </c>
      <c r="AU162" s="136">
        <f ca="1">COUNTIFS(AT$7:$AT162,1)</f>
        <v>2</v>
      </c>
    </row>
    <row r="163" spans="46:47" ht="15">
      <c r="AT163" s="413" t="str">
        <f t="shared" si="57"/>
        <v/>
      </c>
      <c r="AU163" s="136">
        <f ca="1">COUNTIFS(AT$7:$AT163,1)</f>
        <v>2</v>
      </c>
    </row>
    <row r="164" spans="46:47" ht="15">
      <c r="AT164" s="413" t="str">
        <f t="shared" si="57"/>
        <v/>
      </c>
      <c r="AU164" s="136">
        <f ca="1">COUNTIFS(AT$7:$AT164,1)</f>
        <v>2</v>
      </c>
    </row>
    <row r="165" spans="46:47" ht="15">
      <c r="AT165" s="413" t="str">
        <f t="shared" si="57"/>
        <v/>
      </c>
      <c r="AU165" s="136">
        <f ca="1">COUNTIFS(AT$7:$AT165,1)</f>
        <v>2</v>
      </c>
    </row>
    <row r="166" spans="46:47" ht="15">
      <c r="AT166" s="413" t="str">
        <f t="shared" si="57"/>
        <v/>
      </c>
      <c r="AU166" s="136">
        <f ca="1">COUNTIFS(AT$7:$AT166,1)</f>
        <v>2</v>
      </c>
    </row>
    <row r="167" spans="46:47" ht="15">
      <c r="AT167" s="413" t="str">
        <f t="shared" si="57"/>
        <v/>
      </c>
      <c r="AU167" s="136">
        <f ca="1">COUNTIFS(AT$7:$AT167,1)</f>
        <v>2</v>
      </c>
    </row>
    <row r="168" spans="46:47" ht="15">
      <c r="AT168" s="413" t="str">
        <f t="shared" si="57"/>
        <v/>
      </c>
      <c r="AU168" s="136">
        <f ca="1">COUNTIFS(AT$7:$AT168,1)</f>
        <v>2</v>
      </c>
    </row>
    <row r="169" spans="46:47" ht="15">
      <c r="AT169" s="413" t="str">
        <f t="shared" si="57"/>
        <v/>
      </c>
      <c r="AU169" s="136">
        <f ca="1">COUNTIFS(AT$7:$AT169,1)</f>
        <v>2</v>
      </c>
    </row>
    <row r="170" spans="46:47" ht="15">
      <c r="AT170" s="413" t="str">
        <f t="shared" si="57"/>
        <v/>
      </c>
      <c r="AU170" s="136">
        <f ca="1">COUNTIFS(AT$7:$AT170,1)</f>
        <v>2</v>
      </c>
    </row>
    <row r="171" spans="46:47" ht="15">
      <c r="AT171" s="413" t="str">
        <f t="shared" si="57"/>
        <v/>
      </c>
      <c r="AU171" s="136">
        <f ca="1">COUNTIFS(AT$7:$AT171,1)</f>
        <v>2</v>
      </c>
    </row>
    <row r="172" spans="46:47" ht="15">
      <c r="AT172" s="413" t="str">
        <f t="shared" si="57"/>
        <v/>
      </c>
      <c r="AU172" s="136">
        <f ca="1">COUNTIFS(AT$7:$AT172,1)</f>
        <v>2</v>
      </c>
    </row>
    <row r="173" spans="46:47" ht="15">
      <c r="AT173" s="413" t="str">
        <f t="shared" si="57"/>
        <v/>
      </c>
      <c r="AU173" s="136">
        <f ca="1">COUNTIFS(AT$7:$AT173,1)</f>
        <v>2</v>
      </c>
    </row>
    <row r="174" spans="46:47" ht="15">
      <c r="AT174" s="413" t="str">
        <f t="shared" si="57"/>
        <v/>
      </c>
      <c r="AU174" s="136">
        <f ca="1">COUNTIFS(AT$7:$AT174,1)</f>
        <v>2</v>
      </c>
    </row>
    <row r="175" spans="46:47" ht="15">
      <c r="AT175" s="413" t="str">
        <f t="shared" si="57"/>
        <v/>
      </c>
      <c r="AU175" s="136">
        <f ca="1">COUNTIFS(AT$7:$AT175,1)</f>
        <v>2</v>
      </c>
    </row>
    <row r="176" spans="46:47" ht="15">
      <c r="AT176" s="413" t="str">
        <f t="shared" si="57"/>
        <v/>
      </c>
      <c r="AU176" s="136">
        <f ca="1">COUNTIFS(AT$7:$AT176,1)</f>
        <v>2</v>
      </c>
    </row>
    <row r="177" spans="46:47" ht="15">
      <c r="AT177" s="413" t="str">
        <f t="shared" si="57"/>
        <v/>
      </c>
      <c r="AU177" s="136">
        <f ca="1">COUNTIFS(AT$7:$AT177,1)</f>
        <v>2</v>
      </c>
    </row>
    <row r="178" spans="46:47" ht="15">
      <c r="AT178" s="413" t="str">
        <f t="shared" si="57"/>
        <v/>
      </c>
      <c r="AU178" s="136">
        <f ca="1">COUNTIFS(AT$7:$AT178,1)</f>
        <v>2</v>
      </c>
    </row>
    <row r="179" spans="46:47" ht="15">
      <c r="AT179" s="413" t="str">
        <f t="shared" si="57"/>
        <v/>
      </c>
      <c r="AU179" s="136">
        <f ca="1">COUNTIFS(AT$7:$AT179,1)</f>
        <v>2</v>
      </c>
    </row>
    <row r="180" spans="46:47" ht="15">
      <c r="AT180" s="413" t="str">
        <f t="shared" si="57"/>
        <v/>
      </c>
      <c r="AU180" s="136">
        <f ca="1">COUNTIFS(AT$7:$AT180,1)</f>
        <v>2</v>
      </c>
    </row>
    <row r="181" spans="46:47" ht="15">
      <c r="AT181" s="413" t="str">
        <f t="shared" si="57"/>
        <v/>
      </c>
      <c r="AU181" s="136">
        <f ca="1">COUNTIFS(AT$7:$AT181,1)</f>
        <v>2</v>
      </c>
    </row>
    <row r="182" spans="46:47" ht="15">
      <c r="AT182" s="413" t="str">
        <f t="shared" si="57"/>
        <v/>
      </c>
      <c r="AU182" s="136">
        <f ca="1">COUNTIFS(AT$7:$AT182,1)</f>
        <v>2</v>
      </c>
    </row>
    <row r="183" spans="46:47" ht="15">
      <c r="AT183" s="413" t="str">
        <f t="shared" si="57"/>
        <v/>
      </c>
      <c r="AU183" s="136">
        <f ca="1">COUNTIFS(AT$7:$AT183,1)</f>
        <v>2</v>
      </c>
    </row>
    <row r="184" spans="46:47" ht="15">
      <c r="AT184" s="413" t="str">
        <f t="shared" si="57"/>
        <v/>
      </c>
      <c r="AU184" s="136">
        <f ca="1">COUNTIFS(AT$7:$AT184,1)</f>
        <v>2</v>
      </c>
    </row>
    <row r="185" spans="46:47" ht="15">
      <c r="AT185" s="413" t="str">
        <f t="shared" si="57"/>
        <v/>
      </c>
      <c r="AU185" s="136">
        <f ca="1">COUNTIFS(AT$7:$AT185,1)</f>
        <v>2</v>
      </c>
    </row>
    <row r="186" spans="46:47" ht="15">
      <c r="AT186" s="413" t="str">
        <f t="shared" si="57"/>
        <v/>
      </c>
      <c r="AU186" s="136">
        <f ca="1">COUNTIFS(AT$7:$AT186,1)</f>
        <v>2</v>
      </c>
    </row>
    <row r="187" spans="46:47" ht="15">
      <c r="AT187" s="413" t="str">
        <f t="shared" si="57"/>
        <v/>
      </c>
      <c r="AU187" s="136">
        <f ca="1">COUNTIFS(AT$7:$AT187,1)</f>
        <v>2</v>
      </c>
    </row>
    <row r="188" spans="46:47" ht="15">
      <c r="AT188" s="413" t="str">
        <f t="shared" si="57"/>
        <v/>
      </c>
      <c r="AU188" s="136">
        <f ca="1">COUNTIFS(AT$7:$AT188,1)</f>
        <v>2</v>
      </c>
    </row>
    <row r="189" spans="46:47" ht="15">
      <c r="AT189" s="413" t="str">
        <f t="shared" si="57"/>
        <v/>
      </c>
      <c r="AU189" s="136">
        <f ca="1">COUNTIFS(AT$7:$AT189,1)</f>
        <v>2</v>
      </c>
    </row>
    <row r="190" spans="46:47" ht="15">
      <c r="AT190" s="413" t="str">
        <f t="shared" si="57"/>
        <v/>
      </c>
      <c r="AU190" s="136">
        <f ca="1">COUNTIFS(AT$7:$AT190,1)</f>
        <v>2</v>
      </c>
    </row>
    <row r="191" spans="46:47" ht="15">
      <c r="AT191" s="413" t="str">
        <f t="shared" si="57"/>
        <v/>
      </c>
      <c r="AU191" s="136">
        <f ca="1">COUNTIFS(AT$7:$AT191,1)</f>
        <v>2</v>
      </c>
    </row>
    <row r="192" spans="46:47" ht="15">
      <c r="AT192" s="413" t="str">
        <f t="shared" si="57"/>
        <v/>
      </c>
      <c r="AU192" s="136">
        <f ca="1">COUNTIFS(AT$7:$AT192,1)</f>
        <v>2</v>
      </c>
    </row>
    <row r="193" spans="46:47" ht="15">
      <c r="AT193" s="413" t="str">
        <f t="shared" si="57"/>
        <v/>
      </c>
      <c r="AU193" s="136">
        <f ca="1">COUNTIFS(AT$7:$AT193,1)</f>
        <v>2</v>
      </c>
    </row>
  </sheetData>
  <autoFilter ref="A6:L154" xr:uid="{00000000-0009-0000-0000-000018000000}"/>
  <mergeCells count="2">
    <mergeCell ref="C7:D7"/>
    <mergeCell ref="I7:J7"/>
  </mergeCells>
  <pageMargins left="0.7" right="0.7" top="0.75" bottom="0.75" header="0.3" footer="0.3"/>
  <pageSetup orientation="portrait" verticalDpi="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1:AY32"/>
  <sheetViews>
    <sheetView showGridLines="0" zoomScaleNormal="100" workbookViewId="0">
      <selection activeCell="A6" sqref="A6"/>
    </sheetView>
  </sheetViews>
  <sheetFormatPr defaultColWidth="6.42578125" defaultRowHeight="27" customHeight="1" outlineLevelRow="1" outlineLevelCol="1"/>
  <cols>
    <col min="1" max="1" width="8.5703125" style="38" customWidth="1" outlineLevel="1"/>
    <col min="2" max="2" width="5" style="38" customWidth="1" outlineLevel="1"/>
    <col min="3" max="3" width="1" style="38" customWidth="1" outlineLevel="1"/>
    <col min="4" max="4" width="14.85546875" style="38" bestFit="1" customWidth="1"/>
    <col min="5" max="5" width="1" style="38" bestFit="1" customWidth="1"/>
    <col min="6" max="6" width="4" style="38" customWidth="1"/>
    <col min="7" max="7" width="6" style="38" customWidth="1"/>
    <col min="8" max="8" width="3.7109375" style="38" customWidth="1"/>
    <col min="9" max="9" width="11.42578125" style="38" bestFit="1" customWidth="1"/>
    <col min="10" max="11" width="4.42578125" style="38" customWidth="1"/>
    <col min="12" max="12" width="4.85546875" style="38" bestFit="1" customWidth="1"/>
    <col min="13" max="13" width="4" style="38" bestFit="1" customWidth="1"/>
    <col min="14" max="14" width="6.7109375" style="38" bestFit="1" customWidth="1"/>
    <col min="15" max="15" width="7.85546875" style="38" customWidth="1"/>
    <col min="16" max="16" width="4.7109375" style="38" customWidth="1"/>
    <col min="17" max="17" width="0.42578125" style="38" customWidth="1"/>
    <col min="18" max="18" width="4.85546875" style="38" customWidth="1"/>
    <col min="19" max="19" width="4.7109375" style="38" customWidth="1"/>
    <col min="20" max="20" width="3" style="38" customWidth="1"/>
    <col min="21" max="24" width="4.42578125" style="38" customWidth="1"/>
    <col min="25" max="25" width="3.85546875" style="38" bestFit="1" customWidth="1"/>
    <col min="26" max="26" width="4" style="38" bestFit="1" customWidth="1"/>
    <col min="27" max="27" width="8.42578125" style="38" customWidth="1"/>
    <col min="28" max="28" width="8" style="38" customWidth="1"/>
    <col min="29" max="29" width="8.5703125" style="38" bestFit="1" customWidth="1"/>
    <col min="30" max="30" width="4.7109375" style="38" customWidth="1"/>
    <col min="31" max="31" width="6.5703125" style="38" customWidth="1" outlineLevel="1"/>
    <col min="32" max="32" width="8.7109375" style="38" customWidth="1"/>
    <col min="33" max="33" width="9.5703125" style="38" bestFit="1" customWidth="1"/>
    <col min="34" max="34" width="5.42578125" style="38" bestFit="1" customWidth="1"/>
    <col min="35" max="35" width="5.42578125" style="38" customWidth="1"/>
    <col min="36" max="36" width="7" style="38" customWidth="1"/>
    <col min="37" max="38" width="7.42578125" style="38" customWidth="1"/>
    <col min="39" max="39" width="6.42578125" style="38"/>
    <col min="40" max="40" width="6.7109375" style="38" bestFit="1" customWidth="1"/>
    <col min="41" max="41" width="7" style="38" bestFit="1" customWidth="1"/>
    <col min="42" max="42" width="6.42578125" style="38" bestFit="1" customWidth="1"/>
    <col min="43" max="43" width="4" style="38" customWidth="1"/>
    <col min="44" max="16384" width="6.42578125" style="38"/>
  </cols>
  <sheetData>
    <row r="1" spans="1:51" ht="25.9" customHeight="1">
      <c r="D1" s="4367" t="s">
        <v>494</v>
      </c>
      <c r="E1" s="4367"/>
      <c r="F1" s="4367"/>
      <c r="G1" s="4367"/>
      <c r="H1" s="4367"/>
      <c r="I1" s="4367"/>
      <c r="J1" s="4367"/>
      <c r="K1" s="4367"/>
      <c r="L1" s="4367"/>
      <c r="M1" s="4367"/>
      <c r="N1" s="4367"/>
      <c r="O1" s="4367"/>
      <c r="P1" s="4367"/>
      <c r="Q1" s="4367"/>
      <c r="R1" s="4367"/>
      <c r="S1" s="4367"/>
      <c r="T1" s="4367"/>
      <c r="U1" s="4367"/>
      <c r="V1" s="4367"/>
      <c r="W1" s="4367"/>
      <c r="X1" s="4367"/>
      <c r="Y1" s="4367"/>
      <c r="Z1" s="4367"/>
      <c r="AA1" s="4367"/>
      <c r="AB1" s="4367"/>
      <c r="AC1" s="4367"/>
      <c r="AD1" s="4367"/>
      <c r="AE1" s="4367"/>
      <c r="AF1" s="4367"/>
      <c r="AG1" s="4367"/>
      <c r="AH1" s="4367"/>
      <c r="AI1" s="4367"/>
      <c r="AJ1" s="4367"/>
      <c r="AK1" s="4367"/>
      <c r="AL1" s="68"/>
    </row>
    <row r="2" spans="1:51" ht="25.9" customHeight="1">
      <c r="D2" s="4367"/>
      <c r="E2" s="4367"/>
      <c r="F2" s="4367"/>
      <c r="G2" s="4367"/>
      <c r="H2" s="4367"/>
      <c r="I2" s="4367"/>
      <c r="J2" s="4367"/>
      <c r="K2" s="4367"/>
      <c r="L2" s="4367"/>
      <c r="M2" s="4367"/>
      <c r="N2" s="4367"/>
      <c r="O2" s="4367"/>
      <c r="P2" s="4367"/>
      <c r="Q2" s="4367"/>
      <c r="R2" s="4367"/>
      <c r="S2" s="4367"/>
      <c r="T2" s="4367"/>
      <c r="U2" s="4367"/>
      <c r="V2" s="4367"/>
      <c r="W2" s="4367"/>
      <c r="X2" s="4367"/>
      <c r="Y2" s="4367"/>
      <c r="Z2" s="4367"/>
      <c r="AA2" s="4367"/>
      <c r="AB2" s="4367"/>
      <c r="AC2" s="4367"/>
      <c r="AD2" s="4367"/>
      <c r="AE2" s="4367"/>
      <c r="AF2" s="4367"/>
      <c r="AG2" s="4367"/>
      <c r="AH2" s="4367"/>
      <c r="AI2" s="4367"/>
      <c r="AJ2" s="4367"/>
      <c r="AK2" s="4367"/>
      <c r="AL2" s="68"/>
      <c r="AM2" s="4384" t="s">
        <v>323</v>
      </c>
      <c r="AN2" s="4384"/>
      <c r="AO2" s="4384"/>
      <c r="AP2" s="4382" t="s">
        <v>324</v>
      </c>
      <c r="AQ2" s="4382"/>
      <c r="AR2" s="4382"/>
      <c r="AS2" s="4382"/>
      <c r="AT2" s="4382"/>
      <c r="AU2" s="4382"/>
      <c r="AV2" s="4382"/>
      <c r="AW2" s="4382"/>
    </row>
    <row r="3" spans="1:51" s="87" customFormat="1" ht="19.5" customHeight="1">
      <c r="A3" s="85"/>
      <c r="B3" s="85"/>
      <c r="C3" s="85"/>
      <c r="D3" s="4354" t="s">
        <v>325</v>
      </c>
      <c r="E3" s="4354"/>
      <c r="F3" s="4354"/>
      <c r="G3" s="4357" t="s">
        <v>326</v>
      </c>
      <c r="H3" s="4358"/>
      <c r="I3" s="4358"/>
      <c r="J3" s="4358"/>
      <c r="K3" s="4358"/>
      <c r="L3" s="4358"/>
      <c r="M3" s="4358"/>
      <c r="N3" s="4358"/>
      <c r="O3" s="4358"/>
      <c r="P3" s="4359"/>
      <c r="Q3" s="4377"/>
      <c r="R3" s="4360" t="s">
        <v>327</v>
      </c>
      <c r="S3" s="4361"/>
      <c r="T3" s="4361"/>
      <c r="U3" s="4361"/>
      <c r="V3" s="4361"/>
      <c r="W3" s="4361"/>
      <c r="X3" s="4361"/>
      <c r="Y3" s="4361"/>
      <c r="Z3" s="4361"/>
      <c r="AA3" s="4361"/>
      <c r="AB3" s="4361"/>
      <c r="AC3" s="4361"/>
      <c r="AD3" s="4361"/>
      <c r="AE3" s="4368" t="s">
        <v>359</v>
      </c>
      <c r="AF3" s="4381" t="s">
        <v>358</v>
      </c>
      <c r="AG3" s="4381" t="s">
        <v>355</v>
      </c>
      <c r="AH3" s="4381" t="s">
        <v>356</v>
      </c>
      <c r="AI3" s="4371" t="s">
        <v>351</v>
      </c>
      <c r="AJ3" s="4371" t="s">
        <v>352</v>
      </c>
      <c r="AK3" s="4371" t="s">
        <v>235</v>
      </c>
      <c r="AL3" s="4371" t="s">
        <v>361</v>
      </c>
      <c r="AM3" s="4374" t="s">
        <v>328</v>
      </c>
      <c r="AN3" s="4374"/>
      <c r="AO3" s="86" t="s">
        <v>329</v>
      </c>
      <c r="AP3" s="4382"/>
      <c r="AQ3" s="4382"/>
      <c r="AR3" s="4382"/>
      <c r="AS3" s="4382"/>
      <c r="AT3" s="4382"/>
      <c r="AU3" s="4382"/>
      <c r="AV3" s="4382"/>
      <c r="AW3" s="4382"/>
      <c r="AX3" s="4381" t="s">
        <v>1637</v>
      </c>
      <c r="AY3" s="4381" t="s">
        <v>1638</v>
      </c>
    </row>
    <row r="4" spans="1:51" s="87" customFormat="1" ht="15" customHeight="1">
      <c r="A4" s="85"/>
      <c r="B4" s="88" t="s">
        <v>103</v>
      </c>
      <c r="C4" s="89"/>
      <c r="D4" s="4355"/>
      <c r="E4" s="4355"/>
      <c r="F4" s="4355"/>
      <c r="G4" s="90" t="s">
        <v>177</v>
      </c>
      <c r="H4" s="4363" t="s">
        <v>330</v>
      </c>
      <c r="I4" s="4363"/>
      <c r="J4" s="4362" t="s">
        <v>331</v>
      </c>
      <c r="K4" s="4362"/>
      <c r="L4" s="92" t="s">
        <v>177</v>
      </c>
      <c r="M4" s="93" t="s">
        <v>332</v>
      </c>
      <c r="N4" s="90" t="s">
        <v>333</v>
      </c>
      <c r="O4" s="4364" t="s">
        <v>177</v>
      </c>
      <c r="P4" s="94" t="s">
        <v>334</v>
      </c>
      <c r="Q4" s="4378"/>
      <c r="R4" s="95" t="s">
        <v>177</v>
      </c>
      <c r="S4" s="4363" t="s">
        <v>330</v>
      </c>
      <c r="T4" s="4363"/>
      <c r="U4" s="4362" t="s">
        <v>335</v>
      </c>
      <c r="V4" s="4362"/>
      <c r="W4" s="4362" t="s">
        <v>336</v>
      </c>
      <c r="X4" s="4362"/>
      <c r="Y4" s="90" t="s">
        <v>177</v>
      </c>
      <c r="Z4" s="90" t="s">
        <v>177</v>
      </c>
      <c r="AA4" s="90" t="s">
        <v>333</v>
      </c>
      <c r="AB4" s="4375" t="s">
        <v>357</v>
      </c>
      <c r="AC4" s="4364" t="s">
        <v>177</v>
      </c>
      <c r="AD4" s="90" t="s">
        <v>334</v>
      </c>
      <c r="AE4" s="4369"/>
      <c r="AF4" s="4381"/>
      <c r="AG4" s="4381"/>
      <c r="AH4" s="4381"/>
      <c r="AI4" s="4372"/>
      <c r="AJ4" s="4372"/>
      <c r="AK4" s="4372"/>
      <c r="AL4" s="4372"/>
      <c r="AM4" s="4374" t="s">
        <v>337</v>
      </c>
      <c r="AN4" s="4374" t="s">
        <v>338</v>
      </c>
      <c r="AO4" s="4374" t="s">
        <v>339</v>
      </c>
      <c r="AP4" s="4385" t="s">
        <v>84</v>
      </c>
      <c r="AQ4" s="4385"/>
      <c r="AR4" s="4387" t="s">
        <v>340</v>
      </c>
      <c r="AS4" s="4387"/>
      <c r="AT4" s="4383" t="s">
        <v>48</v>
      </c>
      <c r="AU4" s="4383"/>
      <c r="AV4" s="4383" t="s">
        <v>341</v>
      </c>
      <c r="AW4" s="4383" t="s">
        <v>21</v>
      </c>
      <c r="AX4" s="4381"/>
      <c r="AY4" s="4381"/>
    </row>
    <row r="5" spans="1:51" s="87" customFormat="1" ht="15" customHeight="1">
      <c r="A5" s="85"/>
      <c r="B5" s="88" t="s">
        <v>106</v>
      </c>
      <c r="C5" s="89"/>
      <c r="D5" s="4356"/>
      <c r="E5" s="4356"/>
      <c r="F5" s="4356"/>
      <c r="G5" s="97" t="s">
        <v>342</v>
      </c>
      <c r="H5" s="98" t="s">
        <v>126</v>
      </c>
      <c r="I5" s="98" t="s">
        <v>354</v>
      </c>
      <c r="J5" s="91" t="s">
        <v>7</v>
      </c>
      <c r="K5" s="91" t="s">
        <v>9</v>
      </c>
      <c r="L5" s="99" t="s">
        <v>343</v>
      </c>
      <c r="M5" s="100" t="s">
        <v>360</v>
      </c>
      <c r="N5" s="97" t="s">
        <v>344</v>
      </c>
      <c r="O5" s="4380"/>
      <c r="P5" s="101" t="s">
        <v>345</v>
      </c>
      <c r="Q5" s="4379"/>
      <c r="R5" s="102" t="s">
        <v>342</v>
      </c>
      <c r="S5" s="4363"/>
      <c r="T5" s="4363"/>
      <c r="U5" s="91" t="s">
        <v>7</v>
      </c>
      <c r="V5" s="91" t="s">
        <v>9</v>
      </c>
      <c r="W5" s="91" t="s">
        <v>7</v>
      </c>
      <c r="X5" s="91" t="s">
        <v>9</v>
      </c>
      <c r="Y5" s="97" t="s">
        <v>343</v>
      </c>
      <c r="Z5" s="97" t="s">
        <v>360</v>
      </c>
      <c r="AA5" s="97" t="s">
        <v>344</v>
      </c>
      <c r="AB5" s="4376"/>
      <c r="AC5" s="4365"/>
      <c r="AD5" s="103" t="s">
        <v>345</v>
      </c>
      <c r="AE5" s="4370"/>
      <c r="AF5" s="4381"/>
      <c r="AG5" s="4381"/>
      <c r="AH5" s="4381"/>
      <c r="AI5" s="4373"/>
      <c r="AJ5" s="4373"/>
      <c r="AK5" s="4373"/>
      <c r="AL5" s="4373"/>
      <c r="AM5" s="4374"/>
      <c r="AN5" s="4374"/>
      <c r="AO5" s="4374"/>
      <c r="AP5" s="4385"/>
      <c r="AQ5" s="4385"/>
      <c r="AR5" s="96" t="s">
        <v>7</v>
      </c>
      <c r="AS5" s="96" t="s">
        <v>9</v>
      </c>
      <c r="AT5" s="104" t="s">
        <v>6</v>
      </c>
      <c r="AU5" s="104" t="s">
        <v>346</v>
      </c>
      <c r="AV5" s="4386"/>
      <c r="AW5" s="4386"/>
      <c r="AX5" s="4381"/>
      <c r="AY5" s="4381"/>
    </row>
    <row r="6" spans="1:51" s="41" customFormat="1" ht="21.6" customHeight="1">
      <c r="A6" s="70" t="s">
        <v>353</v>
      </c>
      <c r="B6" s="71">
        <f ca="1">'Cost EST. GM target'!J16+'Cost EST. GM target'!J26+'Cost EST. GM target'!J28+'Cost EST. GM target'!$J$30</f>
        <v>2153.767440579903</v>
      </c>
      <c r="C6" s="40"/>
      <c r="D6" s="117" t="str">
        <f>'Cost EST. GM target'!G4</f>
        <v>Corrugated box - 20001531</v>
      </c>
      <c r="E6" s="69" t="s">
        <v>103</v>
      </c>
      <c r="F6" s="41" t="s">
        <v>152</v>
      </c>
      <c r="G6" s="105">
        <f>IF(E6="Y",'Cost EST. GM target'!$L$6,0)</f>
        <v>5000</v>
      </c>
      <c r="H6" s="106">
        <f ca="1">IF($E6="Y",SUMIF(weight!$A$7:$A$39,$F6,weight!$B$7:$B$39))</f>
        <v>0</v>
      </c>
      <c r="I6" s="114" t="e">
        <f ca="1">IF(E6="Y",VLOOKUP($F6,Paper!$A$7:$E$57,4,0)&amp;" "&amp;VLOOKUP($F6,Paper!$A$7:$E$57,5,0),"-")</f>
        <v>#N/A</v>
      </c>
      <c r="J6" s="114">
        <f ca="1">IF($E6="Y",SUMIF(weight!$A$7:$A$39,$F6,weight!$I$7:$I$39))</f>
        <v>0</v>
      </c>
      <c r="K6" s="114">
        <f ca="1">IF($E6="Y",SUMIF(weight!$A$7:$A$39,$F6,weight!$J$7:$J$39))</f>
        <v>0</v>
      </c>
      <c r="L6" s="142">
        <f ca="1">IF(E6="Y",SUM(SUMIF(Paper!$A$7:$A$57,$F6,Paper!$V$7:$V$57),SUMIF(Paper!$A$7:$A$57,$F6,Paper!$W$7:$W$57),SUMIF(Paper!$A$7:$A$57,$F6,Paper!$X$7:$X$57))/500,0)</f>
        <v>0</v>
      </c>
      <c r="M6" s="42" t="e">
        <f ca="1">VLOOKUP($F6,Paper!$A$7:$R$57,18,0)</f>
        <v>#N/A</v>
      </c>
      <c r="N6" s="107" t="e">
        <f ca="1">IF(E6="Y",VLOOKUP($F6,Paper!$A$7:$R$57,8,0)*1.08*1000,0)</f>
        <v>#N/A</v>
      </c>
      <c r="O6" s="43" t="e">
        <f ca="1">N6*M6</f>
        <v>#N/A</v>
      </c>
      <c r="P6" s="44" t="e">
        <f ca="1">IF(G6&gt;0,O6/G6,0)</f>
        <v>#N/A</v>
      </c>
      <c r="Q6" s="45"/>
      <c r="R6" s="108"/>
      <c r="S6" s="111"/>
      <c r="T6" s="112"/>
      <c r="U6" s="109"/>
      <c r="V6" s="109"/>
      <c r="W6" s="47"/>
      <c r="X6" s="47"/>
      <c r="Y6" s="110"/>
      <c r="Z6" s="84">
        <f t="shared" ref="Z6:Z20" si="0">IF(Y6&gt;0,S6*W6*X6/10^12*(Y6*500),0)</f>
        <v>0</v>
      </c>
      <c r="AA6" s="107"/>
      <c r="AB6" s="107"/>
      <c r="AC6" s="83">
        <f>Z6*SUM(AA6:AB6)</f>
        <v>0</v>
      </c>
      <c r="AD6" s="48">
        <f>IF(R6&gt;0,AC6/R6,0)</f>
        <v>0</v>
      </c>
      <c r="AE6" s="74" t="e">
        <f ca="1">(P6+P7+P8+P9+P10+P11+P12+P13+P14+P15+P16+P17+P18+P19+P20-AD6-AD7-AD8-AD9-AD10-AD11-AD12-AD13-AD14-AD15-AD16-AD17-AD18-AD19-AD20)/1.1</f>
        <v>#N/A</v>
      </c>
      <c r="AF6" s="77" t="e">
        <f ca="1">(P6-AD6)*R6+(P7-AD7)*R7+(P8-AD8)*R8+(P9-AD9)*R9+(P10-AD10)*R10+(P11-AD11)*R11+(P12-AD12)*R12+(P13-AD13)*R13+(P14-AD14)*R14+(P15-AD15)*R15+(P16-AD16)*R16+(P17-AD17)*R17+(P18-AD18)*R18+(P19-AD19)*R19+(P20-AD20)*R20</f>
        <v>#N/A</v>
      </c>
      <c r="AG6" s="78">
        <f ca="1">'Cost EST. GM target'!J73</f>
        <v>0.45002378881461591</v>
      </c>
      <c r="AH6" s="78" t="e">
        <f ca="1">IF(AE6&gt;=0,"-",1-($B$6-AE6)/($B$9-$B$8-($B$6-$AE6)*$B$11))</f>
        <v>#N/A</v>
      </c>
      <c r="AI6" s="115"/>
      <c r="AJ6" s="116"/>
      <c r="AK6" s="67"/>
      <c r="AL6" s="120"/>
      <c r="AM6" s="49" t="str">
        <f>IF(R6&gt;0,#REF!,"-")</f>
        <v>-</v>
      </c>
      <c r="AN6" s="66" t="str">
        <f>IF(R6&gt;0,HLOOKUP(F6,Paper!#REF!,9,0),"-")</f>
        <v>-</v>
      </c>
      <c r="AO6" s="49"/>
      <c r="AP6" s="50">
        <f>S6</f>
        <v>0</v>
      </c>
      <c r="AQ6" s="46">
        <f>T6</f>
        <v>0</v>
      </c>
      <c r="AR6" s="51">
        <f>W6</f>
        <v>0</v>
      </c>
      <c r="AS6" s="51">
        <f>X6</f>
        <v>0</v>
      </c>
      <c r="AT6" s="52"/>
      <c r="AU6" s="53">
        <f t="shared" ref="AU6:AU20" si="1">IF(AS6&gt;0,AT6/(AP6*AR6*AS6*500/10^12),0)</f>
        <v>0</v>
      </c>
      <c r="AV6" s="54">
        <f t="shared" ref="AV6:AV14" si="2">IF(AT6&gt;0,AA6,0)</f>
        <v>0</v>
      </c>
      <c r="AW6" s="55">
        <f t="shared" ref="AW6:AW14" si="3">AV6*AT6</f>
        <v>0</v>
      </c>
      <c r="AX6" s="701">
        <f>'Cost EST. GM target'!$J$35</f>
        <v>0.2</v>
      </c>
      <c r="AY6" s="701" t="e">
        <f ca="1">IF(AE6&gt;=0,"-",1-($B$6+$B$7-$AE6)/($B$9-$B$8-($B$6+$B$7-$AE6)*$B$11))</f>
        <v>#N/A</v>
      </c>
    </row>
    <row r="7" spans="1:51" s="41" customFormat="1" ht="21.6" customHeight="1">
      <c r="A7" s="70" t="s">
        <v>1583</v>
      </c>
      <c r="B7" s="71">
        <f ca="1">'Cost EST. GM target'!$J$33</f>
        <v>961.80815831449718</v>
      </c>
      <c r="C7" s="40"/>
      <c r="D7" s="118"/>
      <c r="E7" s="69" t="s">
        <v>106</v>
      </c>
      <c r="F7" s="41" t="s">
        <v>106</v>
      </c>
      <c r="G7" s="105">
        <f>IF(E7="Y",'Cost EST. GM target'!$L$6,0)</f>
        <v>0</v>
      </c>
      <c r="H7" s="106" t="b">
        <f>IF($E7="Y",SUMIF(weight!$A$7:$A$39,$F7,weight!$B$7:$B$39))</f>
        <v>0</v>
      </c>
      <c r="I7" s="114" t="str">
        <f>IF(E7="Y",VLOOKUP($F7,Paper!$A$7:$E$57,4,0)&amp;" "&amp;VLOOKUP($F7,Paper!$A$7:$E$57,5,0),"-")</f>
        <v>-</v>
      </c>
      <c r="J7" s="114" t="b">
        <f>IF($E7="Y",SUMIF(weight!$A$7:$A$39,$F7,weight!$I$7:$I$39))</f>
        <v>0</v>
      </c>
      <c r="K7" s="114" t="b">
        <f>IF($E7="Y",SUMIF(weight!$A$7:$A$39,$F7,weight!$J$7:$J$39))</f>
        <v>0</v>
      </c>
      <c r="L7" s="142">
        <f>IF(E7="Y",SUM(SUMIF(Paper!$A$7:$A$57,$F7,Paper!$V$7:$V$57),SUMIF(Paper!$A$7:$A$57,$F7,Paper!$W$7:$W$57),SUMIF(Paper!$A$7:$A$57,$F7,Paper!$X$7:$X$57))/500,0)</f>
        <v>0</v>
      </c>
      <c r="M7" s="42">
        <f ca="1">VLOOKUP($F7,Paper!$A$7:$R$57,18,0)</f>
        <v>0</v>
      </c>
      <c r="N7" s="107">
        <f>IF(E7="Y",VLOOKUP($F7,Paper!$A$7:$R$57,8,0)*1.08*1000,0)</f>
        <v>0</v>
      </c>
      <c r="O7" s="43">
        <f t="shared" ref="O7:O20" ca="1" si="4">N7*M7</f>
        <v>0</v>
      </c>
      <c r="P7" s="44">
        <f t="shared" ref="P7:P20" si="5">IF(G7&gt;0,O7/G7,0)</f>
        <v>0</v>
      </c>
      <c r="Q7" s="45"/>
      <c r="R7" s="108"/>
      <c r="S7" s="111"/>
      <c r="T7" s="112"/>
      <c r="U7" s="109"/>
      <c r="V7" s="109"/>
      <c r="W7" s="47"/>
      <c r="X7" s="47"/>
      <c r="Y7" s="110"/>
      <c r="Z7" s="84">
        <f t="shared" si="0"/>
        <v>0</v>
      </c>
      <c r="AA7" s="107"/>
      <c r="AB7" s="113"/>
      <c r="AC7" s="83">
        <f t="shared" ref="AC7:AC20" si="6">Z7*SUM(AA7:AB7)</f>
        <v>0</v>
      </c>
      <c r="AD7" s="48">
        <f>IF(R7&gt;0,AC7/R7,0)</f>
        <v>0</v>
      </c>
      <c r="AE7" s="75"/>
      <c r="AF7" s="79"/>
      <c r="AG7" s="80"/>
      <c r="AH7" s="80"/>
      <c r="AI7" s="115"/>
      <c r="AJ7" s="116"/>
      <c r="AK7" s="67"/>
      <c r="AL7" s="120"/>
      <c r="AM7" s="49" t="str">
        <f>IF(R7&gt;0,#REF!,"-")</f>
        <v>-</v>
      </c>
      <c r="AN7" s="66" t="str">
        <f>IF(R7&gt;0,HLOOKUP(F7,Paper!#REF!,9,0),"-")</f>
        <v>-</v>
      </c>
      <c r="AO7" s="49"/>
      <c r="AP7" s="50">
        <f t="shared" ref="AP7:AP20" si="7">S7</f>
        <v>0</v>
      </c>
      <c r="AQ7" s="46">
        <f t="shared" ref="AQ7:AQ20" si="8">T7</f>
        <v>0</v>
      </c>
      <c r="AR7" s="51">
        <f t="shared" ref="AR7:AR20" si="9">W7</f>
        <v>0</v>
      </c>
      <c r="AS7" s="51">
        <f t="shared" ref="AS7:AS20" si="10">X7</f>
        <v>0</v>
      </c>
      <c r="AT7" s="56"/>
      <c r="AU7" s="53">
        <f t="shared" si="1"/>
        <v>0</v>
      </c>
      <c r="AV7" s="57">
        <f t="shared" si="2"/>
        <v>0</v>
      </c>
      <c r="AW7" s="58">
        <f t="shared" si="3"/>
        <v>0</v>
      </c>
    </row>
    <row r="8" spans="1:51" s="41" customFormat="1" ht="21.6" customHeight="1">
      <c r="A8" s="70" t="s">
        <v>1639</v>
      </c>
      <c r="B8" s="71">
        <f ca="1">'Cost EST. GM target'!$J$38</f>
        <v>0</v>
      </c>
      <c r="C8" s="40"/>
      <c r="D8" s="118"/>
      <c r="E8" s="69" t="s">
        <v>106</v>
      </c>
      <c r="F8" s="41" t="s">
        <v>106</v>
      </c>
      <c r="G8" s="105">
        <f>IF(E8="Y",'Cost EST. GM target'!$L$6,0)</f>
        <v>0</v>
      </c>
      <c r="H8" s="106" t="b">
        <f>IF($E8="Y",SUMIF(weight!$A$7:$A$39,$F8,weight!$B$7:$B$39))</f>
        <v>0</v>
      </c>
      <c r="I8" s="114" t="str">
        <f>IF(E8="Y",VLOOKUP($F8,Paper!$A$7:$E$57,4,0)&amp;" "&amp;VLOOKUP($F8,Paper!$A$7:$E$57,5,0),"-")</f>
        <v>-</v>
      </c>
      <c r="J8" s="114" t="b">
        <f>IF($E8="Y",SUMIF(weight!$A$7:$A$39,$F8,weight!$I$7:$I$39))</f>
        <v>0</v>
      </c>
      <c r="K8" s="114" t="b">
        <f>IF($E8="Y",SUMIF(weight!$A$7:$A$39,$F8,weight!$J$7:$J$39))</f>
        <v>0</v>
      </c>
      <c r="L8" s="142">
        <f>IF(E8="Y",SUM(SUMIF(Paper!$A$7:$A$57,$F8,Paper!$V$7:$V$57),SUMIF(Paper!$A$7:$A$57,$F8,Paper!$W$7:$W$57),SUMIF(Paper!$A$7:$A$57,$F8,Paper!$X$7:$X$57))/500,0)</f>
        <v>0</v>
      </c>
      <c r="M8" s="42">
        <f ca="1">VLOOKUP($F8,Paper!$A$7:$R$57,18,0)</f>
        <v>0</v>
      </c>
      <c r="N8" s="107">
        <f>IF(E8="Y",VLOOKUP($F8,Paper!$A$7:$R$57,8,0)*1.08*1000,0)</f>
        <v>0</v>
      </c>
      <c r="O8" s="43">
        <f t="shared" ca="1" si="4"/>
        <v>0</v>
      </c>
      <c r="P8" s="44">
        <f t="shared" si="5"/>
        <v>0</v>
      </c>
      <c r="Q8" s="45"/>
      <c r="R8" s="108"/>
      <c r="S8" s="111"/>
      <c r="T8" s="112"/>
      <c r="U8" s="109"/>
      <c r="V8" s="109"/>
      <c r="W8" s="47"/>
      <c r="X8" s="47"/>
      <c r="Y8" s="110"/>
      <c r="Z8" s="84">
        <f t="shared" si="0"/>
        <v>0</v>
      </c>
      <c r="AA8" s="107"/>
      <c r="AB8" s="113"/>
      <c r="AC8" s="83">
        <f t="shared" si="6"/>
        <v>0</v>
      </c>
      <c r="AD8" s="48">
        <f t="shared" ref="AD8:AD20" si="11">IF(R8&gt;0,AC8/R8,0)</f>
        <v>0</v>
      </c>
      <c r="AE8" s="75"/>
      <c r="AF8" s="79"/>
      <c r="AG8" s="80"/>
      <c r="AH8" s="80"/>
      <c r="AI8" s="115"/>
      <c r="AJ8" s="116"/>
      <c r="AK8" s="67"/>
      <c r="AL8" s="120"/>
      <c r="AM8" s="49" t="str">
        <f>IF(R8&gt;0,#REF!,"-")</f>
        <v>-</v>
      </c>
      <c r="AN8" s="66" t="str">
        <f>IF(R8&gt;0,HLOOKUP(F8,Paper!#REF!,9,0),"-")</f>
        <v>-</v>
      </c>
      <c r="AO8" s="49"/>
      <c r="AP8" s="50">
        <f t="shared" si="7"/>
        <v>0</v>
      </c>
      <c r="AQ8" s="46">
        <f t="shared" si="8"/>
        <v>0</v>
      </c>
      <c r="AR8" s="51">
        <f t="shared" si="9"/>
        <v>0</v>
      </c>
      <c r="AS8" s="51">
        <f t="shared" si="10"/>
        <v>0</v>
      </c>
      <c r="AT8" s="56"/>
      <c r="AU8" s="53">
        <f t="shared" si="1"/>
        <v>0</v>
      </c>
      <c r="AV8" s="57">
        <f t="shared" si="2"/>
        <v>0</v>
      </c>
      <c r="AW8" s="58">
        <f t="shared" si="3"/>
        <v>0</v>
      </c>
    </row>
    <row r="9" spans="1:51" s="41" customFormat="1" ht="21.6" customHeight="1">
      <c r="A9" s="70" t="s">
        <v>178</v>
      </c>
      <c r="B9" s="73">
        <f ca="1">'Cost EST. GM target'!$J$41</f>
        <v>3964.5699495931244</v>
      </c>
      <c r="C9" s="40"/>
      <c r="D9" s="118"/>
      <c r="E9" s="69" t="s">
        <v>106</v>
      </c>
      <c r="F9" s="41" t="s">
        <v>106</v>
      </c>
      <c r="G9" s="105">
        <f>IF(E9="Y",'Cost EST. GM target'!$L$6,0)</f>
        <v>0</v>
      </c>
      <c r="H9" s="106" t="b">
        <f>IF($E9="Y",SUMIF(weight!$A$7:$A$39,$F9,weight!$B$7:$B$39))</f>
        <v>0</v>
      </c>
      <c r="I9" s="114" t="str">
        <f>IF(E9="Y",VLOOKUP($F9,Paper!$A$7:$E$57,4,0)&amp;" "&amp;VLOOKUP($F9,Paper!$A$7:$E$57,5,0),"-")</f>
        <v>-</v>
      </c>
      <c r="J9" s="114" t="b">
        <f>IF($E9="Y",SUMIF(weight!$A$7:$A$39,$F9,weight!$I$7:$I$39))</f>
        <v>0</v>
      </c>
      <c r="K9" s="114" t="b">
        <f>IF($E9="Y",SUMIF(weight!$A$7:$A$39,$F9,weight!$J$7:$J$39))</f>
        <v>0</v>
      </c>
      <c r="L9" s="142">
        <f>IF(E9="Y",SUM(SUMIF(Paper!$A$7:$A$57,$F9,Paper!$V$7:$V$57),SUMIF(Paper!$A$7:$A$57,$F9,Paper!$W$7:$W$57),SUMIF(Paper!$A$7:$A$57,$F9,Paper!$X$7:$X$57))/500,0)</f>
        <v>0</v>
      </c>
      <c r="M9" s="42">
        <f ca="1">VLOOKUP($F9,Paper!$A$7:$R$57,18,0)</f>
        <v>0</v>
      </c>
      <c r="N9" s="107">
        <f>IF(E9="Y",VLOOKUP($F9,Paper!$A$7:$R$57,8,0)*1.08*1000,0)</f>
        <v>0</v>
      </c>
      <c r="O9" s="43">
        <f t="shared" ca="1" si="4"/>
        <v>0</v>
      </c>
      <c r="P9" s="44">
        <f t="shared" si="5"/>
        <v>0</v>
      </c>
      <c r="Q9" s="45"/>
      <c r="R9" s="108"/>
      <c r="S9" s="111"/>
      <c r="T9" s="112"/>
      <c r="U9" s="109"/>
      <c r="V9" s="109"/>
      <c r="W9" s="47"/>
      <c r="X9" s="47"/>
      <c r="Y9" s="110"/>
      <c r="Z9" s="84">
        <f t="shared" si="0"/>
        <v>0</v>
      </c>
      <c r="AA9" s="107"/>
      <c r="AB9" s="113"/>
      <c r="AC9" s="83">
        <f t="shared" si="6"/>
        <v>0</v>
      </c>
      <c r="AD9" s="48">
        <f t="shared" si="11"/>
        <v>0</v>
      </c>
      <c r="AE9" s="75"/>
      <c r="AF9" s="79"/>
      <c r="AG9" s="80"/>
      <c r="AH9" s="80"/>
      <c r="AI9" s="115"/>
      <c r="AJ9" s="116"/>
      <c r="AK9" s="67"/>
      <c r="AL9" s="120"/>
      <c r="AM9" s="49" t="str">
        <f>IF(R9&gt;0,#REF!,"-")</f>
        <v>-</v>
      </c>
      <c r="AN9" s="66" t="str">
        <f>IF(R9&gt;0,HLOOKUP(F9,Paper!#REF!,9,0),"-")</f>
        <v>-</v>
      </c>
      <c r="AO9" s="49"/>
      <c r="AP9" s="50">
        <f t="shared" si="7"/>
        <v>0</v>
      </c>
      <c r="AQ9" s="46">
        <f t="shared" si="8"/>
        <v>0</v>
      </c>
      <c r="AR9" s="51">
        <f t="shared" si="9"/>
        <v>0</v>
      </c>
      <c r="AS9" s="51">
        <f t="shared" si="10"/>
        <v>0</v>
      </c>
      <c r="AT9" s="56"/>
      <c r="AU9" s="53">
        <f t="shared" si="1"/>
        <v>0</v>
      </c>
      <c r="AV9" s="57">
        <f t="shared" si="2"/>
        <v>0</v>
      </c>
      <c r="AW9" s="58">
        <f t="shared" si="3"/>
        <v>0</v>
      </c>
    </row>
    <row r="10" spans="1:51" s="41" customFormat="1" ht="21.6" customHeight="1" outlineLevel="1">
      <c r="A10" s="70" t="s">
        <v>0</v>
      </c>
      <c r="B10" s="73">
        <f>'Cost EST. GM target'!$L$4</f>
        <v>1</v>
      </c>
      <c r="C10" s="40"/>
      <c r="D10" s="118"/>
      <c r="E10" s="69" t="s">
        <v>106</v>
      </c>
      <c r="F10" s="41" t="s">
        <v>106</v>
      </c>
      <c r="G10" s="105">
        <f>IF(E10="Y",'Cost EST. GM target'!$L$6,0)</f>
        <v>0</v>
      </c>
      <c r="H10" s="106" t="b">
        <f>IF($E10="Y",SUMIF(weight!$A$7:$A$39,$F10,weight!$B$7:$B$39))</f>
        <v>0</v>
      </c>
      <c r="I10" s="114" t="str">
        <f>IF(E10="Y",VLOOKUP($F10,Paper!$A$7:$E$57,4,0)&amp;" "&amp;VLOOKUP($F10,Paper!$A$7:$E$57,5,0),"-")</f>
        <v>-</v>
      </c>
      <c r="J10" s="114" t="b">
        <f>IF($E10="Y",SUMIF(weight!$A$7:$A$39,$F10,weight!$I$7:$I$39))</f>
        <v>0</v>
      </c>
      <c r="K10" s="114" t="b">
        <f>IF($E10="Y",SUMIF(weight!$A$7:$A$39,$F10,weight!$J$7:$J$39))</f>
        <v>0</v>
      </c>
      <c r="L10" s="142">
        <f>IF(E10="Y",SUM(SUMIF(Paper!$A$7:$A$57,$F10,Paper!$V$7:$V$57),SUMIF(Paper!$A$7:$A$57,$F10,Paper!$W$7:$W$57),SUMIF(Paper!$A$7:$A$57,$F10,Paper!$X$7:$X$57))/500,0)</f>
        <v>0</v>
      </c>
      <c r="M10" s="42">
        <f ca="1">VLOOKUP($F10,Paper!$A$7:$R$57,18,0)</f>
        <v>0</v>
      </c>
      <c r="N10" s="107">
        <f>IF(E10="Y",VLOOKUP($F10,Paper!$A$7:$R$57,8,0)*1.08*1000,0)</f>
        <v>0</v>
      </c>
      <c r="O10" s="43">
        <f t="shared" ca="1" si="4"/>
        <v>0</v>
      </c>
      <c r="P10" s="44">
        <f t="shared" si="5"/>
        <v>0</v>
      </c>
      <c r="Q10" s="45"/>
      <c r="R10" s="108"/>
      <c r="S10" s="111"/>
      <c r="T10" s="112"/>
      <c r="U10" s="109"/>
      <c r="V10" s="109"/>
      <c r="W10" s="47"/>
      <c r="X10" s="47"/>
      <c r="Y10" s="110"/>
      <c r="Z10" s="84">
        <f t="shared" si="0"/>
        <v>0</v>
      </c>
      <c r="AA10" s="107"/>
      <c r="AB10" s="113"/>
      <c r="AC10" s="83">
        <f t="shared" si="6"/>
        <v>0</v>
      </c>
      <c r="AD10" s="48">
        <f t="shared" si="11"/>
        <v>0</v>
      </c>
      <c r="AE10" s="75"/>
      <c r="AF10" s="79"/>
      <c r="AG10" s="80"/>
      <c r="AH10" s="80"/>
      <c r="AI10" s="115"/>
      <c r="AJ10" s="116"/>
      <c r="AK10" s="67"/>
      <c r="AL10" s="120"/>
      <c r="AM10" s="49" t="str">
        <f>IF(R10&gt;0,#REF!,"-")</f>
        <v>-</v>
      </c>
      <c r="AN10" s="66" t="str">
        <f>IF(R10&gt;0,HLOOKUP(F10,Paper!#REF!,9,0),"-")</f>
        <v>-</v>
      </c>
      <c r="AO10" s="49"/>
      <c r="AP10" s="50">
        <f t="shared" si="7"/>
        <v>0</v>
      </c>
      <c r="AQ10" s="46">
        <f t="shared" si="8"/>
        <v>0</v>
      </c>
      <c r="AR10" s="51">
        <f t="shared" si="9"/>
        <v>0</v>
      </c>
      <c r="AS10" s="51">
        <f t="shared" si="10"/>
        <v>0</v>
      </c>
      <c r="AT10" s="56"/>
      <c r="AU10" s="53">
        <f t="shared" si="1"/>
        <v>0</v>
      </c>
      <c r="AV10" s="57">
        <f t="shared" si="2"/>
        <v>0</v>
      </c>
      <c r="AW10" s="58">
        <f t="shared" si="3"/>
        <v>0</v>
      </c>
    </row>
    <row r="11" spans="1:51" s="41" customFormat="1" ht="21.6" customHeight="1" outlineLevel="1">
      <c r="A11" s="70" t="s">
        <v>75</v>
      </c>
      <c r="B11" s="72">
        <f>'Cost EST. GM target'!$J$37</f>
        <v>2.2499999999999999E-2</v>
      </c>
      <c r="C11" s="40"/>
      <c r="D11" s="118"/>
      <c r="E11" s="69" t="s">
        <v>106</v>
      </c>
      <c r="F11" s="41" t="s">
        <v>106</v>
      </c>
      <c r="G11" s="105">
        <f>IF(E11="Y",'Cost EST. GM target'!$L$6,0)</f>
        <v>0</v>
      </c>
      <c r="H11" s="106" t="b">
        <f>IF($E11="Y",SUMIF(weight!$A$7:$A$39,$F11,weight!$B$7:$B$39))</f>
        <v>0</v>
      </c>
      <c r="I11" s="114" t="str">
        <f>IF(E11="Y",VLOOKUP($F11,Paper!$A$7:$E$57,4,0)&amp;" "&amp;VLOOKUP($F11,Paper!$A$7:$E$57,5,0),"-")</f>
        <v>-</v>
      </c>
      <c r="J11" s="114" t="b">
        <f>IF($E11="Y",SUMIF(weight!$A$7:$A$39,$F11,weight!$I$7:$I$39))</f>
        <v>0</v>
      </c>
      <c r="K11" s="114" t="b">
        <f>IF($E11="Y",SUMIF(weight!$A$7:$A$39,$F11,weight!$J$7:$J$39))</f>
        <v>0</v>
      </c>
      <c r="L11" s="142">
        <f>IF(E11="Y",SUM(SUMIF(Paper!$A$7:$A$57,$F11,Paper!$V$7:$V$57),SUMIF(Paper!$A$7:$A$57,$F11,Paper!$W$7:$W$57),SUMIF(Paper!$A$7:$A$57,$F11,Paper!$X$7:$X$57))/500,0)</f>
        <v>0</v>
      </c>
      <c r="M11" s="42">
        <f ca="1">VLOOKUP($F11,Paper!$A$7:$R$57,18,0)</f>
        <v>0</v>
      </c>
      <c r="N11" s="107">
        <f>IF(E11="Y",VLOOKUP($F11,Paper!$A$7:$R$57,8,0)*1.08*1000,0)</f>
        <v>0</v>
      </c>
      <c r="O11" s="43">
        <f t="shared" ca="1" si="4"/>
        <v>0</v>
      </c>
      <c r="P11" s="44">
        <f t="shared" si="5"/>
        <v>0</v>
      </c>
      <c r="Q11" s="45"/>
      <c r="R11" s="108"/>
      <c r="S11" s="111"/>
      <c r="T11" s="112"/>
      <c r="U11" s="109"/>
      <c r="V11" s="109"/>
      <c r="W11" s="47"/>
      <c r="X11" s="47"/>
      <c r="Y11" s="110"/>
      <c r="Z11" s="84">
        <f t="shared" si="0"/>
        <v>0</v>
      </c>
      <c r="AA11" s="107"/>
      <c r="AB11" s="113"/>
      <c r="AC11" s="83">
        <f t="shared" si="6"/>
        <v>0</v>
      </c>
      <c r="AD11" s="48">
        <f t="shared" si="11"/>
        <v>0</v>
      </c>
      <c r="AE11" s="75"/>
      <c r="AF11" s="79"/>
      <c r="AG11" s="80"/>
      <c r="AH11" s="80"/>
      <c r="AI11" s="115"/>
      <c r="AJ11" s="116"/>
      <c r="AK11" s="67"/>
      <c r="AL11" s="120"/>
      <c r="AM11" s="49" t="str">
        <f>IF(R11&gt;0,#REF!,"-")</f>
        <v>-</v>
      </c>
      <c r="AN11" s="66" t="str">
        <f>IF(R11&gt;0,HLOOKUP(F11,Paper!#REF!,9,0),"-")</f>
        <v>-</v>
      </c>
      <c r="AO11" s="49"/>
      <c r="AP11" s="50">
        <f t="shared" si="7"/>
        <v>0</v>
      </c>
      <c r="AQ11" s="46">
        <f t="shared" si="8"/>
        <v>0</v>
      </c>
      <c r="AR11" s="51">
        <f t="shared" si="9"/>
        <v>0</v>
      </c>
      <c r="AS11" s="51">
        <f t="shared" si="10"/>
        <v>0</v>
      </c>
      <c r="AT11" s="56"/>
      <c r="AU11" s="53">
        <f t="shared" si="1"/>
        <v>0</v>
      </c>
      <c r="AV11" s="57">
        <f t="shared" si="2"/>
        <v>0</v>
      </c>
      <c r="AW11" s="58">
        <f t="shared" si="3"/>
        <v>0</v>
      </c>
    </row>
    <row r="12" spans="1:51" s="41" customFormat="1" ht="21.6" customHeight="1" outlineLevel="1">
      <c r="A12" s="39"/>
      <c r="B12" s="39"/>
      <c r="C12" s="40"/>
      <c r="D12" s="118"/>
      <c r="E12" s="69" t="s">
        <v>106</v>
      </c>
      <c r="F12" s="41" t="s">
        <v>106</v>
      </c>
      <c r="G12" s="105">
        <f>IF(E12="Y",'Cost EST. GM target'!$L$6,0)</f>
        <v>0</v>
      </c>
      <c r="H12" s="106" t="b">
        <f>IF($E12="Y",SUMIF(weight!$A$7:$A$39,$F12,weight!$B$7:$B$39))</f>
        <v>0</v>
      </c>
      <c r="I12" s="114" t="str">
        <f>IF(E12="Y",VLOOKUP($F12,Paper!$A$7:$E$57,4,0)&amp;" "&amp;VLOOKUP($F12,Paper!$A$7:$E$57,5,0),"-")</f>
        <v>-</v>
      </c>
      <c r="J12" s="114" t="b">
        <f>IF($E12="Y",SUMIF(weight!$A$7:$A$39,$F12,weight!$I$7:$I$39))</f>
        <v>0</v>
      </c>
      <c r="K12" s="114" t="b">
        <f>IF($E12="Y",SUMIF(weight!$A$7:$A$39,$F12,weight!$J$7:$J$39))</f>
        <v>0</v>
      </c>
      <c r="L12" s="142">
        <f>IF(E12="Y",SUM(SUMIF(Paper!$A$7:$A$57,$F12,Paper!$V$7:$V$57),SUMIF(Paper!$A$7:$A$57,$F12,Paper!$W$7:$W$57),SUMIF(Paper!$A$7:$A$57,$F12,Paper!$X$7:$X$57))/500,0)</f>
        <v>0</v>
      </c>
      <c r="M12" s="42">
        <f ca="1">VLOOKUP($F12,Paper!$A$7:$R$57,18,0)</f>
        <v>0</v>
      </c>
      <c r="N12" s="107">
        <f>IF(E12="Y",VLOOKUP($F12,Paper!$A$7:$R$57,8,0)*1.08*1000,0)</f>
        <v>0</v>
      </c>
      <c r="O12" s="43">
        <f t="shared" ca="1" si="4"/>
        <v>0</v>
      </c>
      <c r="P12" s="44">
        <f t="shared" si="5"/>
        <v>0</v>
      </c>
      <c r="Q12" s="45"/>
      <c r="R12" s="108"/>
      <c r="S12" s="111"/>
      <c r="T12" s="112"/>
      <c r="U12" s="109"/>
      <c r="V12" s="109"/>
      <c r="W12" s="47"/>
      <c r="X12" s="47"/>
      <c r="Y12" s="110"/>
      <c r="Z12" s="84">
        <f t="shared" si="0"/>
        <v>0</v>
      </c>
      <c r="AA12" s="107"/>
      <c r="AB12" s="113"/>
      <c r="AC12" s="83">
        <f t="shared" si="6"/>
        <v>0</v>
      </c>
      <c r="AD12" s="48">
        <f t="shared" si="11"/>
        <v>0</v>
      </c>
      <c r="AE12" s="75"/>
      <c r="AF12" s="79"/>
      <c r="AG12" s="80"/>
      <c r="AH12" s="80"/>
      <c r="AI12" s="115"/>
      <c r="AJ12" s="116"/>
      <c r="AK12" s="67"/>
      <c r="AL12" s="120"/>
      <c r="AM12" s="49" t="str">
        <f>IF(R12&gt;0,#REF!,"-")</f>
        <v>-</v>
      </c>
      <c r="AN12" s="66" t="str">
        <f>IF(R12&gt;0,HLOOKUP(F12,Paper!#REF!,9,0),"-")</f>
        <v>-</v>
      </c>
      <c r="AO12" s="49"/>
      <c r="AP12" s="50">
        <f t="shared" si="7"/>
        <v>0</v>
      </c>
      <c r="AQ12" s="46">
        <f t="shared" si="8"/>
        <v>0</v>
      </c>
      <c r="AR12" s="51">
        <f t="shared" si="9"/>
        <v>0</v>
      </c>
      <c r="AS12" s="51">
        <f t="shared" si="10"/>
        <v>0</v>
      </c>
      <c r="AT12" s="56"/>
      <c r="AU12" s="53">
        <f t="shared" si="1"/>
        <v>0</v>
      </c>
      <c r="AV12" s="57">
        <f t="shared" si="2"/>
        <v>0</v>
      </c>
      <c r="AW12" s="58">
        <f t="shared" si="3"/>
        <v>0</v>
      </c>
    </row>
    <row r="13" spans="1:51" s="41" customFormat="1" ht="21.6" customHeight="1" outlineLevel="1">
      <c r="A13" s="39"/>
      <c r="B13" s="39"/>
      <c r="C13" s="40"/>
      <c r="D13" s="118"/>
      <c r="E13" s="69" t="s">
        <v>106</v>
      </c>
      <c r="F13" s="41" t="s">
        <v>106</v>
      </c>
      <c r="G13" s="105">
        <f>IF(E13="Y",'Cost EST. GM target'!$L$6,0)</f>
        <v>0</v>
      </c>
      <c r="H13" s="106" t="b">
        <f>IF($E13="Y",SUMIF(weight!$A$7:$A$39,$F13,weight!$B$7:$B$39))</f>
        <v>0</v>
      </c>
      <c r="I13" s="114" t="str">
        <f>IF(E13="Y",VLOOKUP($F13,Paper!$A$7:$E$57,4,0)&amp;" "&amp;VLOOKUP($F13,Paper!$A$7:$E$57,5,0),"-")</f>
        <v>-</v>
      </c>
      <c r="J13" s="114" t="b">
        <f>IF($E13="Y",SUMIF(weight!$A$7:$A$39,$F13,weight!$I$7:$I$39))</f>
        <v>0</v>
      </c>
      <c r="K13" s="114" t="b">
        <f>IF($E13="Y",SUMIF(weight!$A$7:$A$39,$F13,weight!$J$7:$J$39))</f>
        <v>0</v>
      </c>
      <c r="L13" s="142">
        <f>IF(E13="Y",SUM(SUMIF(Paper!$A$7:$A$57,$F13,Paper!$V$7:$V$57),SUMIF(Paper!$A$7:$A$57,$F13,Paper!$W$7:$W$57),SUMIF(Paper!$A$7:$A$57,$F13,Paper!$X$7:$X$57))/500,0)</f>
        <v>0</v>
      </c>
      <c r="M13" s="42">
        <f ca="1">VLOOKUP($F13,Paper!$A$7:$R$57,18,0)</f>
        <v>0</v>
      </c>
      <c r="N13" s="107">
        <f>IF(E13="Y",VLOOKUP($F13,Paper!$A$7:$R$57,8,0)*1.08*1000,0)</f>
        <v>0</v>
      </c>
      <c r="O13" s="43">
        <f t="shared" ca="1" si="4"/>
        <v>0</v>
      </c>
      <c r="P13" s="44">
        <f t="shared" si="5"/>
        <v>0</v>
      </c>
      <c r="Q13" s="45"/>
      <c r="R13" s="108"/>
      <c r="S13" s="111"/>
      <c r="T13" s="112"/>
      <c r="U13" s="109"/>
      <c r="V13" s="109"/>
      <c r="W13" s="47"/>
      <c r="X13" s="47"/>
      <c r="Y13" s="110"/>
      <c r="Z13" s="84">
        <f t="shared" si="0"/>
        <v>0</v>
      </c>
      <c r="AA13" s="107"/>
      <c r="AB13" s="113"/>
      <c r="AC13" s="83">
        <f t="shared" si="6"/>
        <v>0</v>
      </c>
      <c r="AD13" s="48">
        <f t="shared" si="11"/>
        <v>0</v>
      </c>
      <c r="AE13" s="75"/>
      <c r="AF13" s="79"/>
      <c r="AG13" s="80"/>
      <c r="AH13" s="80"/>
      <c r="AI13" s="115"/>
      <c r="AJ13" s="116"/>
      <c r="AK13" s="67"/>
      <c r="AL13" s="120"/>
      <c r="AM13" s="49" t="str">
        <f>IF(R13&gt;0,#REF!,"-")</f>
        <v>-</v>
      </c>
      <c r="AN13" s="66" t="str">
        <f>IF(R13&gt;0,HLOOKUP(F13,Paper!#REF!,9,0),"-")</f>
        <v>-</v>
      </c>
      <c r="AO13" s="49"/>
      <c r="AP13" s="50">
        <f t="shared" si="7"/>
        <v>0</v>
      </c>
      <c r="AQ13" s="46">
        <f t="shared" si="8"/>
        <v>0</v>
      </c>
      <c r="AR13" s="51">
        <f t="shared" si="9"/>
        <v>0</v>
      </c>
      <c r="AS13" s="51">
        <f t="shared" si="10"/>
        <v>0</v>
      </c>
      <c r="AT13" s="56"/>
      <c r="AU13" s="53">
        <f t="shared" si="1"/>
        <v>0</v>
      </c>
      <c r="AV13" s="57">
        <f t="shared" si="2"/>
        <v>0</v>
      </c>
      <c r="AW13" s="58">
        <f t="shared" si="3"/>
        <v>0</v>
      </c>
    </row>
    <row r="14" spans="1:51" s="41" customFormat="1" ht="21.6" customHeight="1" outlineLevel="1">
      <c r="A14" s="39"/>
      <c r="B14" s="39"/>
      <c r="C14" s="40"/>
      <c r="D14" s="118"/>
      <c r="E14" s="69" t="s">
        <v>106</v>
      </c>
      <c r="F14" s="41" t="s">
        <v>106</v>
      </c>
      <c r="G14" s="105">
        <f>IF(E14="Y",'Cost EST. GM target'!$L$6,0)</f>
        <v>0</v>
      </c>
      <c r="H14" s="106" t="b">
        <f>IF($E14="Y",SUMIF(weight!$A$7:$A$39,$F14,weight!$B$7:$B$39))</f>
        <v>0</v>
      </c>
      <c r="I14" s="114" t="str">
        <f>IF(E14="Y",VLOOKUP($F14,Paper!$A$7:$E$57,4,0)&amp;" "&amp;VLOOKUP($F14,Paper!$A$7:$E$57,5,0),"-")</f>
        <v>-</v>
      </c>
      <c r="J14" s="114" t="b">
        <f>IF($E14="Y",SUMIF(weight!$A$7:$A$39,$F14,weight!$I$7:$I$39))</f>
        <v>0</v>
      </c>
      <c r="K14" s="114" t="b">
        <f>IF($E14="Y",SUMIF(weight!$A$7:$A$39,$F14,weight!$J$7:$J$39))</f>
        <v>0</v>
      </c>
      <c r="L14" s="142">
        <f>IF(E14="Y",SUM(SUMIF(Paper!$A$7:$A$57,$F14,Paper!$V$7:$V$57),SUMIF(Paper!$A$7:$A$57,$F14,Paper!$W$7:$W$57),SUMIF(Paper!$A$7:$A$57,$F14,Paper!$X$7:$X$57))/500,0)</f>
        <v>0</v>
      </c>
      <c r="M14" s="42">
        <f ca="1">VLOOKUP($F14,Paper!$A$7:$R$57,18,0)</f>
        <v>0</v>
      </c>
      <c r="N14" s="107">
        <f>IF(E14="Y",VLOOKUP($F14,Paper!$A$7:$R$57,8,0)*1.08*1000,0)</f>
        <v>0</v>
      </c>
      <c r="O14" s="43">
        <f t="shared" ca="1" si="4"/>
        <v>0</v>
      </c>
      <c r="P14" s="44">
        <f t="shared" si="5"/>
        <v>0</v>
      </c>
      <c r="Q14" s="45"/>
      <c r="R14" s="108"/>
      <c r="S14" s="111"/>
      <c r="T14" s="112"/>
      <c r="U14" s="109"/>
      <c r="V14" s="109"/>
      <c r="W14" s="47"/>
      <c r="X14" s="47"/>
      <c r="Y14" s="110"/>
      <c r="Z14" s="84">
        <f t="shared" si="0"/>
        <v>0</v>
      </c>
      <c r="AA14" s="107"/>
      <c r="AB14" s="113"/>
      <c r="AC14" s="83">
        <f t="shared" si="6"/>
        <v>0</v>
      </c>
      <c r="AD14" s="48">
        <f t="shared" si="11"/>
        <v>0</v>
      </c>
      <c r="AE14" s="75"/>
      <c r="AF14" s="79"/>
      <c r="AG14" s="80"/>
      <c r="AH14" s="80"/>
      <c r="AI14" s="115"/>
      <c r="AJ14" s="116"/>
      <c r="AK14" s="67"/>
      <c r="AL14" s="120"/>
      <c r="AM14" s="49" t="str">
        <f>IF(R14&gt;0,#REF!,"-")</f>
        <v>-</v>
      </c>
      <c r="AN14" s="66" t="str">
        <f>IF(R14&gt;0,HLOOKUP(F14,Paper!#REF!,9,0),"-")</f>
        <v>-</v>
      </c>
      <c r="AO14" s="49"/>
      <c r="AP14" s="50">
        <f t="shared" si="7"/>
        <v>0</v>
      </c>
      <c r="AQ14" s="46">
        <f t="shared" si="8"/>
        <v>0</v>
      </c>
      <c r="AR14" s="51">
        <f t="shared" si="9"/>
        <v>0</v>
      </c>
      <c r="AS14" s="51">
        <f t="shared" si="10"/>
        <v>0</v>
      </c>
      <c r="AT14" s="56"/>
      <c r="AU14" s="53">
        <f t="shared" si="1"/>
        <v>0</v>
      </c>
      <c r="AV14" s="57">
        <f t="shared" si="2"/>
        <v>0</v>
      </c>
      <c r="AW14" s="58">
        <f t="shared" si="3"/>
        <v>0</v>
      </c>
    </row>
    <row r="15" spans="1:51" s="41" customFormat="1" ht="21.6" customHeight="1" outlineLevel="1">
      <c r="A15" s="39"/>
      <c r="B15" s="39"/>
      <c r="C15" s="40"/>
      <c r="D15" s="118"/>
      <c r="E15" s="69" t="s">
        <v>106</v>
      </c>
      <c r="F15" s="41" t="s">
        <v>106</v>
      </c>
      <c r="G15" s="105">
        <f>IF(E15="Y",'Cost EST. GM target'!$L$6,0)</f>
        <v>0</v>
      </c>
      <c r="H15" s="106" t="b">
        <f>IF($E15="Y",SUMIF(weight!$A$7:$A$39,$F15,weight!$B$7:$B$39))</f>
        <v>0</v>
      </c>
      <c r="I15" s="114" t="str">
        <f>IF(E15="Y",VLOOKUP($F15,Paper!$A$7:$E$57,4,0)&amp;" "&amp;VLOOKUP($F15,Paper!$A$7:$E$57,5,0),"-")</f>
        <v>-</v>
      </c>
      <c r="J15" s="114" t="b">
        <f>IF($E15="Y",SUMIF(weight!$A$7:$A$39,$F15,weight!$I$7:$I$39))</f>
        <v>0</v>
      </c>
      <c r="K15" s="114" t="b">
        <f>IF($E15="Y",SUMIF(weight!$A$7:$A$39,$F15,weight!$J$7:$J$39))</f>
        <v>0</v>
      </c>
      <c r="L15" s="142">
        <f>IF(E15="Y",SUM(SUMIF(Paper!$A$7:$A$57,$F15,Paper!$V$7:$V$57),SUMIF(Paper!$A$7:$A$57,$F15,Paper!$W$7:$W$57),SUMIF(Paper!$A$7:$A$57,$F15,Paper!$X$7:$X$57))/500,0)</f>
        <v>0</v>
      </c>
      <c r="M15" s="42">
        <f ca="1">VLOOKUP($F15,Paper!$A$7:$R$57,18,0)</f>
        <v>0</v>
      </c>
      <c r="N15" s="107">
        <f>IF(E15="Y",VLOOKUP($F15,Paper!$A$7:$R$57,8,0)*1.08*1000,0)</f>
        <v>0</v>
      </c>
      <c r="O15" s="43">
        <f t="shared" ca="1" si="4"/>
        <v>0</v>
      </c>
      <c r="P15" s="44">
        <f>IF(G15&gt;0,O15/G15,0)</f>
        <v>0</v>
      </c>
      <c r="Q15" s="45"/>
      <c r="R15" s="108"/>
      <c r="S15" s="111"/>
      <c r="T15" s="112"/>
      <c r="U15" s="109"/>
      <c r="V15" s="109"/>
      <c r="W15" s="47"/>
      <c r="X15" s="47"/>
      <c r="Y15" s="110"/>
      <c r="Z15" s="84">
        <f>IF(Y15&gt;0,S15*W15*X15/10^12*(Y15*500),0)</f>
        <v>0</v>
      </c>
      <c r="AA15" s="107"/>
      <c r="AB15" s="113"/>
      <c r="AC15" s="83">
        <f t="shared" si="6"/>
        <v>0</v>
      </c>
      <c r="AD15" s="48">
        <f>IF(R15&gt;0,AC15/R15,0)</f>
        <v>0</v>
      </c>
      <c r="AE15" s="75"/>
      <c r="AF15" s="79"/>
      <c r="AG15" s="80"/>
      <c r="AH15" s="80"/>
      <c r="AI15" s="115"/>
      <c r="AJ15" s="116"/>
      <c r="AK15" s="67"/>
      <c r="AL15" s="120"/>
      <c r="AM15" s="49" t="str">
        <f>IF(R15&gt;0,#REF!,"-")</f>
        <v>-</v>
      </c>
      <c r="AN15" s="66" t="str">
        <f>IF(R15&gt;0,HLOOKUP(F15,Paper!#REF!,9,0),"-")</f>
        <v>-</v>
      </c>
      <c r="AO15" s="49"/>
      <c r="AP15" s="50">
        <f t="shared" si="7"/>
        <v>0</v>
      </c>
      <c r="AQ15" s="46">
        <f t="shared" si="8"/>
        <v>0</v>
      </c>
      <c r="AR15" s="51">
        <f t="shared" si="9"/>
        <v>0</v>
      </c>
      <c r="AS15" s="51">
        <f t="shared" si="10"/>
        <v>0</v>
      </c>
      <c r="AT15" s="56"/>
      <c r="AU15" s="53">
        <f t="shared" si="1"/>
        <v>0</v>
      </c>
      <c r="AV15" s="57">
        <f t="shared" ref="AV15:AV20" si="12">IF(AT15&gt;0,AA15,0)</f>
        <v>0</v>
      </c>
      <c r="AW15" s="58">
        <f t="shared" ref="AW15:AW20" si="13">AV15*AT15</f>
        <v>0</v>
      </c>
    </row>
    <row r="16" spans="1:51" s="41" customFormat="1" ht="21.6" customHeight="1" outlineLevel="1">
      <c r="A16" s="39"/>
      <c r="B16" s="39"/>
      <c r="C16" s="40"/>
      <c r="D16" s="118"/>
      <c r="E16" s="69" t="s">
        <v>106</v>
      </c>
      <c r="F16" s="41" t="s">
        <v>106</v>
      </c>
      <c r="G16" s="105">
        <f>IF(E16="Y",'Cost EST. GM target'!$L$6,0)</f>
        <v>0</v>
      </c>
      <c r="H16" s="106" t="b">
        <f>IF($E16="Y",SUMIF(weight!$A$7:$A$39,$F16,weight!$B$7:$B$39))</f>
        <v>0</v>
      </c>
      <c r="I16" s="114" t="str">
        <f>IF(E16="Y",VLOOKUP($F16,Paper!$A$7:$E$57,4,0)&amp;" "&amp;VLOOKUP($F16,Paper!$A$7:$E$57,5,0),"-")</f>
        <v>-</v>
      </c>
      <c r="J16" s="114" t="b">
        <f>IF($E16="Y",SUMIF(weight!$A$7:$A$39,$F16,weight!$I$7:$I$39))</f>
        <v>0</v>
      </c>
      <c r="K16" s="114" t="b">
        <f>IF($E16="Y",SUMIF(weight!$A$7:$A$39,$F16,weight!$J$7:$J$39))</f>
        <v>0</v>
      </c>
      <c r="L16" s="142">
        <f>IF(E16="Y",SUM(SUMIF(Paper!$A$7:$A$57,$F16,Paper!$V$7:$V$57),SUMIF(Paper!$A$7:$A$57,$F16,Paper!$W$7:$W$57),SUMIF(Paper!$A$7:$A$57,$F16,Paper!$X$7:$X$57))/500,0)</f>
        <v>0</v>
      </c>
      <c r="M16" s="42">
        <f ca="1">VLOOKUP($F16,Paper!$A$7:$R$57,18,0)</f>
        <v>0</v>
      </c>
      <c r="N16" s="107">
        <f>IF(E16="Y",VLOOKUP($F16,Paper!$A$7:$R$57,8,0)*1.08*1000,0)</f>
        <v>0</v>
      </c>
      <c r="O16" s="43">
        <f t="shared" ca="1" si="4"/>
        <v>0</v>
      </c>
      <c r="P16" s="44">
        <f>IF(G16&gt;0,O16/G16,0)</f>
        <v>0</v>
      </c>
      <c r="Q16" s="45"/>
      <c r="R16" s="108"/>
      <c r="S16" s="111"/>
      <c r="T16" s="112"/>
      <c r="U16" s="109"/>
      <c r="V16" s="109"/>
      <c r="W16" s="47"/>
      <c r="X16" s="47"/>
      <c r="Y16" s="110"/>
      <c r="Z16" s="84">
        <f>IF(Y16&gt;0,S16*W16*X16/10^12*(Y16*500),0)</f>
        <v>0</v>
      </c>
      <c r="AA16" s="107"/>
      <c r="AB16" s="113"/>
      <c r="AC16" s="83">
        <f t="shared" si="6"/>
        <v>0</v>
      </c>
      <c r="AD16" s="48">
        <f>IF(R16&gt;0,AC16/R16,0)</f>
        <v>0</v>
      </c>
      <c r="AE16" s="75"/>
      <c r="AF16" s="79"/>
      <c r="AG16" s="80"/>
      <c r="AH16" s="80"/>
      <c r="AI16" s="115"/>
      <c r="AJ16" s="116"/>
      <c r="AK16" s="67"/>
      <c r="AL16" s="120"/>
      <c r="AM16" s="49" t="str">
        <f>IF(R16&gt;0,#REF!,"-")</f>
        <v>-</v>
      </c>
      <c r="AN16" s="66" t="str">
        <f>IF(R16&gt;0,HLOOKUP(F16,Paper!#REF!,9,0),"-")</f>
        <v>-</v>
      </c>
      <c r="AO16" s="49"/>
      <c r="AP16" s="50">
        <f t="shared" si="7"/>
        <v>0</v>
      </c>
      <c r="AQ16" s="46">
        <f t="shared" si="8"/>
        <v>0</v>
      </c>
      <c r="AR16" s="51">
        <f t="shared" si="9"/>
        <v>0</v>
      </c>
      <c r="AS16" s="51">
        <f t="shared" si="10"/>
        <v>0</v>
      </c>
      <c r="AT16" s="56"/>
      <c r="AU16" s="53">
        <f t="shared" si="1"/>
        <v>0</v>
      </c>
      <c r="AV16" s="57">
        <f t="shared" si="12"/>
        <v>0</v>
      </c>
      <c r="AW16" s="58">
        <f t="shared" si="13"/>
        <v>0</v>
      </c>
    </row>
    <row r="17" spans="1:49" s="41" customFormat="1" ht="21.6" customHeight="1" outlineLevel="1">
      <c r="A17" s="39"/>
      <c r="B17" s="39"/>
      <c r="C17" s="40"/>
      <c r="D17" s="118"/>
      <c r="E17" s="69" t="s">
        <v>106</v>
      </c>
      <c r="F17" s="41" t="s">
        <v>106</v>
      </c>
      <c r="G17" s="105">
        <f>IF(E17="Y",'Cost EST. GM target'!$L$6,0)</f>
        <v>0</v>
      </c>
      <c r="H17" s="106" t="b">
        <f>IF($E17="Y",SUMIF(weight!$A$7:$A$39,$F17,weight!$B$7:$B$39))</f>
        <v>0</v>
      </c>
      <c r="I17" s="114" t="str">
        <f>IF(E17="Y",VLOOKUP($F17,Paper!$A$7:$E$57,4,0)&amp;" "&amp;VLOOKUP($F17,Paper!$A$7:$E$57,5,0),"-")</f>
        <v>-</v>
      </c>
      <c r="J17" s="114" t="b">
        <f>IF($E17="Y",SUMIF(weight!$A$7:$A$39,$F17,weight!$I$7:$I$39))</f>
        <v>0</v>
      </c>
      <c r="K17" s="114" t="b">
        <f>IF($E17="Y",SUMIF(weight!$A$7:$A$39,$F17,weight!$J$7:$J$39))</f>
        <v>0</v>
      </c>
      <c r="L17" s="142">
        <f>IF(E17="Y",SUM(SUMIF(Paper!$A$7:$A$57,$F17,Paper!$V$7:$V$57),SUMIF(Paper!$A$7:$A$57,$F17,Paper!$W$7:$W$57),SUMIF(Paper!$A$7:$A$57,$F17,Paper!$X$7:$X$57))/500,0)</f>
        <v>0</v>
      </c>
      <c r="M17" s="42">
        <f ca="1">VLOOKUP($F17,Paper!$A$7:$R$57,18,0)</f>
        <v>0</v>
      </c>
      <c r="N17" s="107">
        <f>IF(E17="Y",VLOOKUP($F17,Paper!$A$7:$R$57,8,0)*1.08*1000,0)</f>
        <v>0</v>
      </c>
      <c r="O17" s="43">
        <f t="shared" ca="1" si="4"/>
        <v>0</v>
      </c>
      <c r="P17" s="44">
        <f>IF(G17&gt;0,O17/G17,0)</f>
        <v>0</v>
      </c>
      <c r="Q17" s="45"/>
      <c r="R17" s="108"/>
      <c r="S17" s="111"/>
      <c r="T17" s="112"/>
      <c r="U17" s="109"/>
      <c r="V17" s="109"/>
      <c r="W17" s="47"/>
      <c r="X17" s="47"/>
      <c r="Y17" s="110"/>
      <c r="Z17" s="84">
        <f>IF(Y17&gt;0,S17*W17*X17/10^12*(Y17*500),0)</f>
        <v>0</v>
      </c>
      <c r="AA17" s="107"/>
      <c r="AB17" s="113"/>
      <c r="AC17" s="83">
        <f t="shared" si="6"/>
        <v>0</v>
      </c>
      <c r="AD17" s="48">
        <f>IF(R17&gt;0,AC17/R17,0)</f>
        <v>0</v>
      </c>
      <c r="AE17" s="75"/>
      <c r="AF17" s="79"/>
      <c r="AG17" s="80"/>
      <c r="AH17" s="80"/>
      <c r="AI17" s="115"/>
      <c r="AJ17" s="116"/>
      <c r="AK17" s="67"/>
      <c r="AL17" s="120"/>
      <c r="AM17" s="49" t="str">
        <f>IF(R17&gt;0,#REF!,"-")</f>
        <v>-</v>
      </c>
      <c r="AN17" s="66" t="str">
        <f>IF(R17&gt;0,HLOOKUP(F17,Paper!#REF!,9,0),"-")</f>
        <v>-</v>
      </c>
      <c r="AO17" s="49"/>
      <c r="AP17" s="50">
        <f t="shared" si="7"/>
        <v>0</v>
      </c>
      <c r="AQ17" s="46">
        <f t="shared" si="8"/>
        <v>0</v>
      </c>
      <c r="AR17" s="51">
        <f t="shared" si="9"/>
        <v>0</v>
      </c>
      <c r="AS17" s="51">
        <f t="shared" si="10"/>
        <v>0</v>
      </c>
      <c r="AT17" s="56"/>
      <c r="AU17" s="53">
        <f t="shared" si="1"/>
        <v>0</v>
      </c>
      <c r="AV17" s="57">
        <f t="shared" si="12"/>
        <v>0</v>
      </c>
      <c r="AW17" s="58">
        <f t="shared" si="13"/>
        <v>0</v>
      </c>
    </row>
    <row r="18" spans="1:49" s="41" customFormat="1" ht="21.6" customHeight="1" outlineLevel="1">
      <c r="A18" s="39"/>
      <c r="B18" s="39"/>
      <c r="C18" s="40"/>
      <c r="D18" s="118"/>
      <c r="E18" s="69" t="s">
        <v>106</v>
      </c>
      <c r="F18" s="41" t="s">
        <v>106</v>
      </c>
      <c r="G18" s="105">
        <f>IF(E18="Y",'Cost EST. GM target'!$L$6,0)</f>
        <v>0</v>
      </c>
      <c r="H18" s="106" t="b">
        <f>IF($E18="Y",SUMIF(weight!$A$7:$A$39,$F18,weight!$B$7:$B$39))</f>
        <v>0</v>
      </c>
      <c r="I18" s="114" t="str">
        <f>IF(E18="Y",VLOOKUP($F18,Paper!$A$7:$E$57,4,0)&amp;" "&amp;VLOOKUP($F18,Paper!$A$7:$E$57,5,0),"-")</f>
        <v>-</v>
      </c>
      <c r="J18" s="114" t="b">
        <f>IF($E18="Y",SUMIF(weight!$A$7:$A$39,$F18,weight!$I$7:$I$39))</f>
        <v>0</v>
      </c>
      <c r="K18" s="114" t="b">
        <f>IF($E18="Y",SUMIF(weight!$A$7:$A$39,$F18,weight!$J$7:$J$39))</f>
        <v>0</v>
      </c>
      <c r="L18" s="142">
        <f>IF(E18="Y",SUM(SUMIF(Paper!$A$7:$A$57,$F18,Paper!$V$7:$V$57),SUMIF(Paper!$A$7:$A$57,$F18,Paper!$W$7:$W$57),SUMIF(Paper!$A$7:$A$57,$F18,Paper!$X$7:$X$57))/500,0)</f>
        <v>0</v>
      </c>
      <c r="M18" s="42">
        <f ca="1">VLOOKUP($F18,Paper!$A$7:$R$57,18,0)</f>
        <v>0</v>
      </c>
      <c r="N18" s="107">
        <f>IF(E18="Y",VLOOKUP($F18,Paper!$A$7:$R$57,8,0)*1.08*1000,0)</f>
        <v>0</v>
      </c>
      <c r="O18" s="43">
        <f t="shared" ca="1" si="4"/>
        <v>0</v>
      </c>
      <c r="P18" s="44">
        <f>IF(G18&gt;0,O18/G18,0)</f>
        <v>0</v>
      </c>
      <c r="Q18" s="45"/>
      <c r="R18" s="108"/>
      <c r="S18" s="111"/>
      <c r="T18" s="112"/>
      <c r="U18" s="109"/>
      <c r="V18" s="109"/>
      <c r="W18" s="47"/>
      <c r="X18" s="47"/>
      <c r="Y18" s="110"/>
      <c r="Z18" s="84">
        <f>IF(Y18&gt;0,S18*W18*X18/10^12*(Y18*500),0)</f>
        <v>0</v>
      </c>
      <c r="AA18" s="107"/>
      <c r="AB18" s="113"/>
      <c r="AC18" s="83">
        <f t="shared" si="6"/>
        <v>0</v>
      </c>
      <c r="AD18" s="48">
        <f>IF(R18&gt;0,AC18/R18,0)</f>
        <v>0</v>
      </c>
      <c r="AE18" s="75"/>
      <c r="AF18" s="79"/>
      <c r="AG18" s="80"/>
      <c r="AH18" s="80"/>
      <c r="AI18" s="115"/>
      <c r="AJ18" s="116"/>
      <c r="AK18" s="67"/>
      <c r="AL18" s="120"/>
      <c r="AM18" s="49" t="str">
        <f>IF(R18&gt;0,#REF!,"-")</f>
        <v>-</v>
      </c>
      <c r="AN18" s="66" t="str">
        <f>IF(R18&gt;0,HLOOKUP(F18,Paper!#REF!,9,0),"-")</f>
        <v>-</v>
      </c>
      <c r="AO18" s="49"/>
      <c r="AP18" s="50">
        <f t="shared" si="7"/>
        <v>0</v>
      </c>
      <c r="AQ18" s="46">
        <f t="shared" si="8"/>
        <v>0</v>
      </c>
      <c r="AR18" s="51">
        <f t="shared" si="9"/>
        <v>0</v>
      </c>
      <c r="AS18" s="51">
        <f t="shared" si="10"/>
        <v>0</v>
      </c>
      <c r="AT18" s="56"/>
      <c r="AU18" s="53">
        <f t="shared" si="1"/>
        <v>0</v>
      </c>
      <c r="AV18" s="57">
        <f t="shared" si="12"/>
        <v>0</v>
      </c>
      <c r="AW18" s="58">
        <f t="shared" si="13"/>
        <v>0</v>
      </c>
    </row>
    <row r="19" spans="1:49" s="41" customFormat="1" ht="21.6" customHeight="1" outlineLevel="1">
      <c r="A19" s="39"/>
      <c r="B19" s="39"/>
      <c r="C19" s="40"/>
      <c r="D19" s="118"/>
      <c r="E19" s="69" t="s">
        <v>106</v>
      </c>
      <c r="F19" s="41" t="s">
        <v>106</v>
      </c>
      <c r="G19" s="105">
        <f>IF(E19="Y",'Cost EST. GM target'!$L$6,0)</f>
        <v>0</v>
      </c>
      <c r="H19" s="106" t="b">
        <f>IF($E19="Y",SUMIF(weight!$A$7:$A$39,$F19,weight!$B$7:$B$39))</f>
        <v>0</v>
      </c>
      <c r="I19" s="114" t="str">
        <f>IF(E19="Y",VLOOKUP($F19,Paper!$A$7:$E$57,4,0)&amp;" "&amp;VLOOKUP($F19,Paper!$A$7:$E$57,5,0),"-")</f>
        <v>-</v>
      </c>
      <c r="J19" s="114" t="b">
        <f>IF($E19="Y",SUMIF(weight!$A$7:$A$39,$F19,weight!$I$7:$I$39))</f>
        <v>0</v>
      </c>
      <c r="K19" s="114" t="b">
        <f>IF($E19="Y",SUMIF(weight!$A$7:$A$39,$F19,weight!$J$7:$J$39))</f>
        <v>0</v>
      </c>
      <c r="L19" s="142">
        <f>IF(E19="Y",SUM(SUMIF(Paper!$A$7:$A$57,$F19,Paper!$V$7:$V$57),SUMIF(Paper!$A$7:$A$57,$F19,Paper!$W$7:$W$57),SUMIF(Paper!$A$7:$A$57,$F19,Paper!$X$7:$X$57))/500,0)</f>
        <v>0</v>
      </c>
      <c r="M19" s="42">
        <f ca="1">VLOOKUP($F19,Paper!$A$7:$R$57,18,0)</f>
        <v>0</v>
      </c>
      <c r="N19" s="107">
        <f>IF(E19="Y",VLOOKUP($F19,Paper!$A$7:$R$57,8,0)*1.08*1000,0)</f>
        <v>0</v>
      </c>
      <c r="O19" s="43">
        <f t="shared" ca="1" si="4"/>
        <v>0</v>
      </c>
      <c r="P19" s="44">
        <f>IF(G19&gt;0,O19/G19,0)</f>
        <v>0</v>
      </c>
      <c r="Q19" s="45"/>
      <c r="R19" s="108"/>
      <c r="S19" s="111"/>
      <c r="T19" s="112"/>
      <c r="U19" s="109"/>
      <c r="V19" s="109"/>
      <c r="W19" s="47"/>
      <c r="X19" s="47"/>
      <c r="Y19" s="110"/>
      <c r="Z19" s="84">
        <f>IF(Y19&gt;0,S19*W19*X19/10^12*(Y19*500),0)</f>
        <v>0</v>
      </c>
      <c r="AA19" s="107"/>
      <c r="AB19" s="113"/>
      <c r="AC19" s="83">
        <f t="shared" si="6"/>
        <v>0</v>
      </c>
      <c r="AD19" s="48">
        <f>IF(R19&gt;0,AC19/R19,0)</f>
        <v>0</v>
      </c>
      <c r="AE19" s="75"/>
      <c r="AF19" s="79"/>
      <c r="AG19" s="80"/>
      <c r="AH19" s="80"/>
      <c r="AI19" s="115"/>
      <c r="AJ19" s="116"/>
      <c r="AK19" s="67"/>
      <c r="AL19" s="120"/>
      <c r="AM19" s="49" t="str">
        <f>IF(R19&gt;0,#REF!,"-")</f>
        <v>-</v>
      </c>
      <c r="AN19" s="66" t="str">
        <f>IF(R19&gt;0,HLOOKUP(F19,Paper!#REF!,9,0),"-")</f>
        <v>-</v>
      </c>
      <c r="AO19" s="49"/>
      <c r="AP19" s="50">
        <f t="shared" si="7"/>
        <v>0</v>
      </c>
      <c r="AQ19" s="46">
        <f t="shared" si="8"/>
        <v>0</v>
      </c>
      <c r="AR19" s="51">
        <f t="shared" si="9"/>
        <v>0</v>
      </c>
      <c r="AS19" s="51">
        <f t="shared" si="10"/>
        <v>0</v>
      </c>
      <c r="AT19" s="56"/>
      <c r="AU19" s="53">
        <f t="shared" si="1"/>
        <v>0</v>
      </c>
      <c r="AV19" s="57">
        <f t="shared" si="12"/>
        <v>0</v>
      </c>
      <c r="AW19" s="58">
        <f t="shared" si="13"/>
        <v>0</v>
      </c>
    </row>
    <row r="20" spans="1:49" s="41" customFormat="1" ht="21.6" customHeight="1">
      <c r="A20" s="39"/>
      <c r="B20" s="39"/>
      <c r="D20" s="119"/>
      <c r="E20" s="69" t="s">
        <v>106</v>
      </c>
      <c r="F20" s="41" t="s">
        <v>106</v>
      </c>
      <c r="G20" s="105">
        <f>IF(E20="Y",'Cost EST. GM target'!$L$6,0)</f>
        <v>0</v>
      </c>
      <c r="H20" s="106" t="b">
        <f>IF($E20="Y",SUMIF(weight!$A$7:$A$39,$F20,weight!$B$7:$B$39))</f>
        <v>0</v>
      </c>
      <c r="I20" s="114" t="str">
        <f>IF(E20="Y",VLOOKUP($F20,Paper!$A$7:$E$57,4,0)&amp;" "&amp;VLOOKUP($F20,Paper!$A$7:$E$57,5,0),"-")</f>
        <v>-</v>
      </c>
      <c r="J20" s="114" t="b">
        <f>IF($E20="Y",SUMIF(weight!$A$7:$A$39,$F20,weight!$I$7:$I$39))</f>
        <v>0</v>
      </c>
      <c r="K20" s="114" t="b">
        <f>IF($E20="Y",SUMIF(weight!$A$7:$A$39,$F20,weight!$J$7:$J$39))</f>
        <v>0</v>
      </c>
      <c r="L20" s="142">
        <f>IF(E20="Y",SUM(SUMIF(Paper!$A$7:$A$57,$F20,Paper!$V$7:$V$57),SUMIF(Paper!$A$7:$A$57,$F20,Paper!$W$7:$W$57),SUMIF(Paper!$A$7:$A$57,$F20,Paper!$X$7:$X$57))/500,0)</f>
        <v>0</v>
      </c>
      <c r="M20" s="42">
        <f ca="1">VLOOKUP($F20,Paper!$A$7:$R$57,18,0)</f>
        <v>0</v>
      </c>
      <c r="N20" s="107">
        <f>IF(E20="Y",VLOOKUP($F20,Paper!$A$7:$R$57,8,0)*1.08*1000,0)</f>
        <v>0</v>
      </c>
      <c r="O20" s="43">
        <f t="shared" ca="1" si="4"/>
        <v>0</v>
      </c>
      <c r="P20" s="44">
        <f t="shared" si="5"/>
        <v>0</v>
      </c>
      <c r="Q20" s="45"/>
      <c r="R20" s="108"/>
      <c r="S20" s="111"/>
      <c r="T20" s="112"/>
      <c r="U20" s="109"/>
      <c r="V20" s="109"/>
      <c r="W20" s="47"/>
      <c r="X20" s="47"/>
      <c r="Y20" s="110"/>
      <c r="Z20" s="84">
        <f t="shared" si="0"/>
        <v>0</v>
      </c>
      <c r="AA20" s="107"/>
      <c r="AB20" s="113"/>
      <c r="AC20" s="83">
        <f t="shared" si="6"/>
        <v>0</v>
      </c>
      <c r="AD20" s="48">
        <f t="shared" si="11"/>
        <v>0</v>
      </c>
      <c r="AE20" s="76"/>
      <c r="AF20" s="81"/>
      <c r="AG20" s="82"/>
      <c r="AH20" s="82"/>
      <c r="AI20" s="115"/>
      <c r="AJ20" s="116"/>
      <c r="AK20" s="67"/>
      <c r="AL20" s="120"/>
      <c r="AM20" s="49" t="str">
        <f>IF(R20&gt;0,#REF!,"-")</f>
        <v>-</v>
      </c>
      <c r="AN20" s="66" t="str">
        <f>IF(R20&gt;0,HLOOKUP(F20,Paper!#REF!,9,0),"-")</f>
        <v>-</v>
      </c>
      <c r="AO20" s="49"/>
      <c r="AP20" s="50">
        <f t="shared" si="7"/>
        <v>0</v>
      </c>
      <c r="AQ20" s="46">
        <f t="shared" si="8"/>
        <v>0</v>
      </c>
      <c r="AR20" s="51">
        <f t="shared" si="9"/>
        <v>0</v>
      </c>
      <c r="AS20" s="51">
        <f t="shared" si="10"/>
        <v>0</v>
      </c>
      <c r="AT20" s="56"/>
      <c r="AU20" s="53">
        <f t="shared" si="1"/>
        <v>0</v>
      </c>
      <c r="AV20" s="57">
        <f t="shared" si="12"/>
        <v>0</v>
      </c>
      <c r="AW20" s="58">
        <f t="shared" si="13"/>
        <v>0</v>
      </c>
    </row>
    <row r="22" spans="1:49" ht="21.6" customHeight="1">
      <c r="D22" s="4366" t="s">
        <v>347</v>
      </c>
      <c r="E22" s="4366"/>
      <c r="F22" s="4366"/>
      <c r="G22" s="59"/>
      <c r="I22" s="700"/>
      <c r="R22" s="60"/>
      <c r="S22" s="61"/>
      <c r="T22" s="61"/>
      <c r="U22" s="62"/>
      <c r="V22" s="61"/>
      <c r="AA22" s="59" t="s">
        <v>348</v>
      </c>
      <c r="AB22" s="59"/>
      <c r="AC22" s="61"/>
      <c r="AD22" s="61"/>
    </row>
    <row r="23" spans="1:49" ht="21.6" customHeight="1">
      <c r="D23" s="63"/>
      <c r="E23" s="63"/>
      <c r="F23" s="63"/>
    </row>
    <row r="24" spans="1:49" ht="21.6" customHeight="1">
      <c r="D24" s="63"/>
      <c r="E24" s="63"/>
      <c r="F24" s="63"/>
      <c r="I24" s="38">
        <f ca="1">SUMIF(weight!$A$7:$A$39,$F6,weight!$C$7:$C$39)</f>
        <v>0</v>
      </c>
    </row>
    <row r="25" spans="1:49" ht="21.6" customHeight="1">
      <c r="D25" s="63"/>
      <c r="E25" s="63"/>
      <c r="F25" s="63"/>
      <c r="I25" s="38" t="str">
        <f>weight!C7</f>
        <v>300gsm GB HANSOL</v>
      </c>
    </row>
    <row r="26" spans="1:49" s="59" customFormat="1" ht="21.6" customHeight="1">
      <c r="D26" s="4353"/>
      <c r="E26" s="4353"/>
      <c r="F26" s="4353"/>
      <c r="AA26" s="59" t="s">
        <v>349</v>
      </c>
    </row>
    <row r="27" spans="1:49" s="59" customFormat="1" ht="21.6" customHeight="1">
      <c r="D27" s="4353" t="s">
        <v>350</v>
      </c>
      <c r="E27" s="4353"/>
      <c r="F27" s="4353"/>
    </row>
    <row r="28" spans="1:49" ht="27" customHeight="1">
      <c r="D28" s="63"/>
      <c r="E28" s="63"/>
      <c r="F28" s="63"/>
      <c r="G28" s="64"/>
    </row>
    <row r="29" spans="1:49" ht="27" customHeight="1">
      <c r="D29" s="63"/>
      <c r="E29" s="63"/>
      <c r="F29" s="63"/>
    </row>
    <row r="30" spans="1:49" ht="27" customHeight="1">
      <c r="D30" s="63"/>
      <c r="E30" s="63"/>
      <c r="F30" s="63"/>
    </row>
    <row r="31" spans="1:49" ht="27" customHeight="1">
      <c r="D31" s="63"/>
      <c r="E31" s="63"/>
      <c r="F31" s="63"/>
      <c r="H31" s="65"/>
      <c r="I31" s="65"/>
    </row>
    <row r="32" spans="1:49" ht="27" customHeight="1">
      <c r="D32" s="63"/>
      <c r="E32" s="63"/>
      <c r="F32" s="63"/>
    </row>
  </sheetData>
  <mergeCells count="37">
    <mergeCell ref="AX3:AX5"/>
    <mergeCell ref="AY3:AY5"/>
    <mergeCell ref="AO4:AO5"/>
    <mergeCell ref="AP2:AW3"/>
    <mergeCell ref="AT4:AU4"/>
    <mergeCell ref="AM2:AO2"/>
    <mergeCell ref="AM3:AN3"/>
    <mergeCell ref="AP4:AQ5"/>
    <mergeCell ref="AV4:AV5"/>
    <mergeCell ref="AW4:AW5"/>
    <mergeCell ref="AR4:AS4"/>
    <mergeCell ref="AN4:AN5"/>
    <mergeCell ref="D1:AK2"/>
    <mergeCell ref="AE3:AE5"/>
    <mergeCell ref="AK3:AK5"/>
    <mergeCell ref="AM4:AM5"/>
    <mergeCell ref="AB4:AB5"/>
    <mergeCell ref="W4:X4"/>
    <mergeCell ref="H4:I4"/>
    <mergeCell ref="Q3:Q5"/>
    <mergeCell ref="O4:O5"/>
    <mergeCell ref="AJ3:AJ5"/>
    <mergeCell ref="AL3:AL5"/>
    <mergeCell ref="AH3:AH5"/>
    <mergeCell ref="AI3:AI5"/>
    <mergeCell ref="AF3:AF5"/>
    <mergeCell ref="AG3:AG5"/>
    <mergeCell ref="D27:F27"/>
    <mergeCell ref="D3:F5"/>
    <mergeCell ref="G3:P3"/>
    <mergeCell ref="R3:AD3"/>
    <mergeCell ref="J4:K4"/>
    <mergeCell ref="S4:T5"/>
    <mergeCell ref="U4:V4"/>
    <mergeCell ref="D26:F26"/>
    <mergeCell ref="AC4:AC5"/>
    <mergeCell ref="D22:F22"/>
  </mergeCells>
  <phoneticPr fontId="17" type="noConversion"/>
  <conditionalFormatting sqref="AE6:AF20">
    <cfRule type="cellIs" dxfId="4" priority="1" stopIfTrue="1" operator="greaterThan">
      <formula>0</formula>
    </cfRule>
  </conditionalFormatting>
  <dataValidations count="1">
    <dataValidation type="list" allowBlank="1" showInputMessage="1" showErrorMessage="1" sqref="E6:E20" xr:uid="{00000000-0002-0000-1900-000000000000}">
      <formula1>$B$4:$B$5</formula1>
    </dataValidation>
  </dataValidations>
  <pageMargins left="0.17" right="0.17" top="1" bottom="1" header="0.5" footer="0.5"/>
  <pageSetup scale="53" orientation="landscape" cellComments="asDisplayed" r:id="rId1"/>
  <headerFooter alignWithMargins="0">
    <oddFooter>&amp;RIA - FM - 01 (00-15/07/2011)</oddFooter>
  </headerFooter>
  <colBreaks count="1" manualBreakCount="1">
    <brk id="38" min="2" max="34" man="1"/>
  </colBreak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1000000}">
          <x14:formula1>
            <xm:f>weight!$A$6:$A$39</xm:f>
          </x14:formula1>
          <xm:sqref>F6:F20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L66"/>
  <sheetViews>
    <sheetView topLeftCell="A49" zoomScaleNormal="100" workbookViewId="0">
      <selection activeCell="F33" sqref="F33"/>
    </sheetView>
  </sheetViews>
  <sheetFormatPr defaultColWidth="8.85546875" defaultRowHeight="17.25" outlineLevelRow="1"/>
  <cols>
    <col min="1" max="1" width="9" style="23" customWidth="1"/>
    <col min="2" max="6" width="9.42578125" style="23" customWidth="1"/>
    <col min="7" max="7" width="10" style="23" bestFit="1" customWidth="1"/>
    <col min="8" max="9" width="10.7109375" style="23" customWidth="1"/>
    <col min="10" max="10" width="8.7109375" style="23" customWidth="1"/>
    <col min="11" max="11" width="7.85546875" style="23" customWidth="1"/>
    <col min="12" max="13" width="5.85546875" style="23" customWidth="1"/>
    <col min="14" max="14" width="9" style="23" customWidth="1"/>
    <col min="15" max="15" width="5.85546875" style="23" customWidth="1"/>
    <col min="16" max="16384" width="8.85546875" style="23"/>
  </cols>
  <sheetData>
    <row r="1" spans="1:12" outlineLevel="1"/>
    <row r="2" spans="1:12" ht="18" outlineLevel="1">
      <c r="A2" s="1097" t="s">
        <v>673</v>
      </c>
    </row>
    <row r="3" spans="1:12" s="1093" customFormat="1" ht="24" customHeight="1" outlineLevel="1">
      <c r="A3" s="4409"/>
      <c r="B3" s="4409" t="s">
        <v>242</v>
      </c>
      <c r="C3" s="4409" t="s">
        <v>243</v>
      </c>
      <c r="D3" s="4409" t="s">
        <v>71</v>
      </c>
      <c r="E3" s="4413" t="s">
        <v>84</v>
      </c>
      <c r="F3" s="4414"/>
      <c r="G3" s="4416" t="s">
        <v>244</v>
      </c>
      <c r="H3" s="4417"/>
      <c r="I3" s="1098" t="s">
        <v>21</v>
      </c>
      <c r="J3" s="1099" t="s">
        <v>6</v>
      </c>
      <c r="K3" s="1099" t="s">
        <v>93</v>
      </c>
      <c r="L3" s="1098" t="s">
        <v>85</v>
      </c>
    </row>
    <row r="4" spans="1:12" s="1093" customFormat="1" ht="14.25" customHeight="1" outlineLevel="1">
      <c r="A4" s="4410"/>
      <c r="B4" s="4410"/>
      <c r="C4" s="4410"/>
      <c r="D4" s="4410"/>
      <c r="E4" s="1100" t="s">
        <v>13</v>
      </c>
      <c r="F4" s="1100" t="s">
        <v>82</v>
      </c>
      <c r="G4" s="1100" t="s">
        <v>7</v>
      </c>
      <c r="H4" s="1100" t="s">
        <v>9</v>
      </c>
      <c r="I4" s="1101" t="s">
        <v>150</v>
      </c>
      <c r="J4" s="1102"/>
      <c r="K4" s="1102"/>
      <c r="L4" s="1101" t="s">
        <v>92</v>
      </c>
    </row>
    <row r="5" spans="1:12" s="1093" customFormat="1" ht="16.5" customHeight="1" outlineLevel="1">
      <c r="A5" s="1125" t="str">
        <f>Paper!A7</f>
        <v>Box</v>
      </c>
      <c r="B5" s="1126">
        <v>1</v>
      </c>
      <c r="C5" s="1127">
        <f>Paper!J7</f>
        <v>1</v>
      </c>
      <c r="D5" s="1127">
        <v>2</v>
      </c>
      <c r="E5" s="1134">
        <f>Paper!B7</f>
        <v>300</v>
      </c>
      <c r="F5" s="1135" t="str">
        <f>Paper!C7</f>
        <v>300gsm GB HANSOL</v>
      </c>
      <c r="G5" s="1136">
        <f>Paper!P7</f>
        <v>650</v>
      </c>
      <c r="H5" s="1136">
        <f>Paper!Q7</f>
        <v>410</v>
      </c>
      <c r="I5" s="1137">
        <f>ROUNDUP(100*B5*C5*D5/500,1)</f>
        <v>0.4</v>
      </c>
      <c r="J5" s="1138">
        <f>G5*H5*E5*I5*500/10^12</f>
        <v>1.5990000000000001E-2</v>
      </c>
      <c r="K5" s="1139">
        <f>Paper!H7</f>
        <v>12675.109200000001</v>
      </c>
      <c r="L5" s="1140">
        <f>(K5*J5*1000)</f>
        <v>202674.99610800002</v>
      </c>
    </row>
    <row r="6" spans="1:12" s="1093" customFormat="1" ht="16.5" customHeight="1" outlineLevel="1">
      <c r="A6" s="1128" t="str">
        <f>Paper!A8</f>
        <v>N</v>
      </c>
      <c r="B6" s="1129">
        <v>1</v>
      </c>
      <c r="C6" s="1130">
        <f>Paper!J8</f>
        <v>0</v>
      </c>
      <c r="D6" s="1130">
        <v>2</v>
      </c>
      <c r="E6" s="1103">
        <f>Paper!B8</f>
        <v>0</v>
      </c>
      <c r="F6" s="1104">
        <f>Paper!C8</f>
        <v>0</v>
      </c>
      <c r="G6" s="1141">
        <f ca="1">Paper!P8</f>
        <v>0</v>
      </c>
      <c r="H6" s="1141">
        <f>Paper!Q8</f>
        <v>3</v>
      </c>
      <c r="I6" s="1142">
        <f>ROUNDUP(100*B6*C6*D6/500,1)</f>
        <v>0</v>
      </c>
      <c r="J6" s="1105">
        <f ca="1">G6*H6*E6*I6*500/10^12</f>
        <v>0</v>
      </c>
      <c r="K6" s="1143">
        <f>Paper!H8</f>
        <v>0</v>
      </c>
      <c r="L6" s="1106">
        <f ca="1">(K6*J6*1000)</f>
        <v>0</v>
      </c>
    </row>
    <row r="7" spans="1:12" s="1093" customFormat="1" ht="16.5" customHeight="1" outlineLevel="1">
      <c r="A7" s="1128" t="str">
        <f>Paper!A9</f>
        <v>N</v>
      </c>
      <c r="B7" s="1129">
        <v>1</v>
      </c>
      <c r="C7" s="1130">
        <f>Paper!J9</f>
        <v>0</v>
      </c>
      <c r="D7" s="1130">
        <v>2</v>
      </c>
      <c r="E7" s="1103">
        <f>Paper!B9</f>
        <v>0</v>
      </c>
      <c r="F7" s="1104">
        <f>Paper!C9</f>
        <v>0</v>
      </c>
      <c r="G7" s="1141">
        <f ca="1">Paper!P9</f>
        <v>0</v>
      </c>
      <c r="H7" s="1141">
        <f>Paper!Q9</f>
        <v>3</v>
      </c>
      <c r="I7" s="1142">
        <f>ROUNDUP(100*B7*C7*D7/500,1)</f>
        <v>0</v>
      </c>
      <c r="J7" s="1105">
        <f ca="1">G7*H7*E7*I7*500/10^12</f>
        <v>0</v>
      </c>
      <c r="K7" s="1143">
        <f>Paper!H9</f>
        <v>0</v>
      </c>
      <c r="L7" s="1106">
        <f ca="1">(K7*J7*1000)</f>
        <v>0</v>
      </c>
    </row>
    <row r="8" spans="1:12" s="1093" customFormat="1" ht="16.5" customHeight="1" outlineLevel="1">
      <c r="A8" s="1128" t="str">
        <f>Paper!A10</f>
        <v>N</v>
      </c>
      <c r="B8" s="1129">
        <v>1</v>
      </c>
      <c r="C8" s="1130">
        <f>Paper!J10</f>
        <v>0</v>
      </c>
      <c r="D8" s="1130">
        <v>2</v>
      </c>
      <c r="E8" s="1103">
        <f>Paper!B10</f>
        <v>0</v>
      </c>
      <c r="F8" s="1104">
        <f>Paper!C10</f>
        <v>0</v>
      </c>
      <c r="G8" s="1141">
        <f ca="1">Paper!P10</f>
        <v>0</v>
      </c>
      <c r="H8" s="1141">
        <f>Paper!Q10</f>
        <v>3</v>
      </c>
      <c r="I8" s="1142">
        <f t="shared" ref="I8:I14" si="0">ROUNDUP(100*B8*C8*D8/500,1)</f>
        <v>0</v>
      </c>
      <c r="J8" s="1105">
        <f t="shared" ref="J8:J14" ca="1" si="1">G8*H8*E8*I8*500/10^12</f>
        <v>0</v>
      </c>
      <c r="K8" s="1143">
        <f>Paper!H10</f>
        <v>0</v>
      </c>
      <c r="L8" s="1106">
        <f t="shared" ref="L8:L14" ca="1" si="2">(K8*J8*1000)</f>
        <v>0</v>
      </c>
    </row>
    <row r="9" spans="1:12" s="1093" customFormat="1" ht="16.5" customHeight="1" outlineLevel="1">
      <c r="A9" s="1128" t="str">
        <f>Paper!A11</f>
        <v>N</v>
      </c>
      <c r="B9" s="1129">
        <v>1</v>
      </c>
      <c r="C9" s="1130">
        <f>Paper!J11</f>
        <v>0</v>
      </c>
      <c r="D9" s="1130">
        <v>2</v>
      </c>
      <c r="E9" s="1103">
        <f>Paper!B11</f>
        <v>0</v>
      </c>
      <c r="F9" s="1104">
        <f>Paper!C11</f>
        <v>0</v>
      </c>
      <c r="G9" s="1141">
        <f ca="1">Paper!P11</f>
        <v>0</v>
      </c>
      <c r="H9" s="1141">
        <f>Paper!Q11</f>
        <v>3</v>
      </c>
      <c r="I9" s="1142">
        <f t="shared" si="0"/>
        <v>0</v>
      </c>
      <c r="J9" s="1105">
        <f t="shared" ca="1" si="1"/>
        <v>0</v>
      </c>
      <c r="K9" s="1143">
        <f>Paper!H11</f>
        <v>0</v>
      </c>
      <c r="L9" s="1106">
        <f t="shared" ca="1" si="2"/>
        <v>0</v>
      </c>
    </row>
    <row r="10" spans="1:12" s="1093" customFormat="1" ht="16.5" customHeight="1" outlineLevel="1">
      <c r="A10" s="1128" t="str">
        <f>Paper!A12</f>
        <v>N</v>
      </c>
      <c r="B10" s="1129">
        <v>1</v>
      </c>
      <c r="C10" s="1130">
        <f>Paper!J12</f>
        <v>0</v>
      </c>
      <c r="D10" s="1130">
        <v>2</v>
      </c>
      <c r="E10" s="1103">
        <f>Paper!B12</f>
        <v>0</v>
      </c>
      <c r="F10" s="1104">
        <f>Paper!C12</f>
        <v>0</v>
      </c>
      <c r="G10" s="1141">
        <f ca="1">Paper!P12</f>
        <v>0</v>
      </c>
      <c r="H10" s="1141">
        <f>Paper!Q12</f>
        <v>3</v>
      </c>
      <c r="I10" s="1142">
        <f t="shared" si="0"/>
        <v>0</v>
      </c>
      <c r="J10" s="1105">
        <f t="shared" ca="1" si="1"/>
        <v>0</v>
      </c>
      <c r="K10" s="1143">
        <f>Paper!H12</f>
        <v>0</v>
      </c>
      <c r="L10" s="1106">
        <f t="shared" ca="1" si="2"/>
        <v>0</v>
      </c>
    </row>
    <row r="11" spans="1:12" s="1093" customFormat="1" ht="16.5" customHeight="1" outlineLevel="1">
      <c r="A11" s="1128" t="str">
        <f>Paper!A13</f>
        <v>N</v>
      </c>
      <c r="B11" s="1129">
        <v>1</v>
      </c>
      <c r="C11" s="1130">
        <f>Paper!J13</f>
        <v>0</v>
      </c>
      <c r="D11" s="1130">
        <v>2</v>
      </c>
      <c r="E11" s="1103">
        <f>Paper!B13</f>
        <v>0</v>
      </c>
      <c r="F11" s="1104">
        <f>Paper!C13</f>
        <v>0</v>
      </c>
      <c r="G11" s="1141">
        <f ca="1">Paper!P13</f>
        <v>0</v>
      </c>
      <c r="H11" s="1141">
        <f>Paper!Q13</f>
        <v>3</v>
      </c>
      <c r="I11" s="1142">
        <f t="shared" si="0"/>
        <v>0</v>
      </c>
      <c r="J11" s="1105">
        <f t="shared" ca="1" si="1"/>
        <v>0</v>
      </c>
      <c r="K11" s="1143">
        <f>Paper!H13</f>
        <v>0</v>
      </c>
      <c r="L11" s="1106">
        <f t="shared" ca="1" si="2"/>
        <v>0</v>
      </c>
    </row>
    <row r="12" spans="1:12" s="1093" customFormat="1" ht="16.5" customHeight="1" outlineLevel="1">
      <c r="A12" s="1128" t="str">
        <f>Paper!A14</f>
        <v>N</v>
      </c>
      <c r="B12" s="1129">
        <v>1</v>
      </c>
      <c r="C12" s="1130">
        <f>Paper!J14</f>
        <v>0</v>
      </c>
      <c r="D12" s="1130">
        <v>2</v>
      </c>
      <c r="E12" s="1103">
        <f>Paper!B14</f>
        <v>0</v>
      </c>
      <c r="F12" s="1104">
        <f>Paper!C14</f>
        <v>0</v>
      </c>
      <c r="G12" s="1141">
        <f ca="1">Paper!P14</f>
        <v>0</v>
      </c>
      <c r="H12" s="1141">
        <f>Paper!Q14</f>
        <v>3</v>
      </c>
      <c r="I12" s="1142">
        <f t="shared" si="0"/>
        <v>0</v>
      </c>
      <c r="J12" s="1105">
        <f t="shared" ca="1" si="1"/>
        <v>0</v>
      </c>
      <c r="K12" s="1143">
        <f>Paper!H14</f>
        <v>0</v>
      </c>
      <c r="L12" s="1106">
        <f t="shared" ca="1" si="2"/>
        <v>0</v>
      </c>
    </row>
    <row r="13" spans="1:12" s="1093" customFormat="1" ht="16.5" customHeight="1" outlineLevel="1">
      <c r="A13" s="1128" t="str">
        <f>Paper!A15</f>
        <v>N</v>
      </c>
      <c r="B13" s="1129">
        <v>1</v>
      </c>
      <c r="C13" s="1130">
        <f>Paper!J15</f>
        <v>0</v>
      </c>
      <c r="D13" s="1130">
        <v>2</v>
      </c>
      <c r="E13" s="1103">
        <f>Paper!B15</f>
        <v>0</v>
      </c>
      <c r="F13" s="1104">
        <f>Paper!C15</f>
        <v>0</v>
      </c>
      <c r="G13" s="1141">
        <f ca="1">Paper!P15</f>
        <v>0</v>
      </c>
      <c r="H13" s="1141">
        <f>Paper!Q15</f>
        <v>3</v>
      </c>
      <c r="I13" s="1142">
        <f t="shared" si="0"/>
        <v>0</v>
      </c>
      <c r="J13" s="1105">
        <f t="shared" ca="1" si="1"/>
        <v>0</v>
      </c>
      <c r="K13" s="1143">
        <f>Paper!H15</f>
        <v>0</v>
      </c>
      <c r="L13" s="1106">
        <f t="shared" ca="1" si="2"/>
        <v>0</v>
      </c>
    </row>
    <row r="14" spans="1:12" s="1093" customFormat="1" ht="16.5" customHeight="1" outlineLevel="1">
      <c r="A14" s="1128" t="str">
        <f>Paper!A21</f>
        <v>1st</v>
      </c>
      <c r="B14" s="1129">
        <v>1</v>
      </c>
      <c r="C14" s="1130">
        <f>Paper!J21</f>
        <v>0</v>
      </c>
      <c r="D14" s="1130">
        <v>2</v>
      </c>
      <c r="E14" s="1103">
        <f>Paper!B21</f>
        <v>0</v>
      </c>
      <c r="F14" s="1104">
        <f>Paper!C21</f>
        <v>0</v>
      </c>
      <c r="G14" s="1141">
        <f ca="1">Paper!P21</f>
        <v>0</v>
      </c>
      <c r="H14" s="1141">
        <f>Paper!Q21</f>
        <v>3</v>
      </c>
      <c r="I14" s="1142">
        <f t="shared" si="0"/>
        <v>0</v>
      </c>
      <c r="J14" s="1105">
        <f t="shared" ca="1" si="1"/>
        <v>0</v>
      </c>
      <c r="K14" s="1143">
        <f>Paper!H21</f>
        <v>0</v>
      </c>
      <c r="L14" s="1106">
        <f t="shared" ca="1" si="2"/>
        <v>0</v>
      </c>
    </row>
    <row r="15" spans="1:12" s="1093" customFormat="1" ht="16.5" customHeight="1" outlineLevel="1">
      <c r="A15" s="1107" t="str">
        <f>Paper!A27</f>
        <v>N</v>
      </c>
      <c r="B15" s="1129">
        <v>1</v>
      </c>
      <c r="C15" s="1130">
        <f>Paper!J27</f>
        <v>0</v>
      </c>
      <c r="D15" s="1130">
        <v>2</v>
      </c>
      <c r="E15" s="1103">
        <f>Paper!B27</f>
        <v>0</v>
      </c>
      <c r="F15" s="1104">
        <f>Paper!C27</f>
        <v>0</v>
      </c>
      <c r="G15" s="1141">
        <f>Paper!P27</f>
        <v>0</v>
      </c>
      <c r="H15" s="1141">
        <f>Paper!Q27</f>
        <v>0</v>
      </c>
      <c r="I15" s="1142">
        <f>ROUNDUP(100*B15*C15*D15/500,1)</f>
        <v>0</v>
      </c>
      <c r="J15" s="1105">
        <f>I15*500*G15*H15/10^6</f>
        <v>0</v>
      </c>
      <c r="K15" s="1143">
        <f>Paper!H27</f>
        <v>0</v>
      </c>
      <c r="L15" s="1106">
        <f>K15*J15</f>
        <v>0</v>
      </c>
    </row>
    <row r="16" spans="1:12" s="1093" customFormat="1" ht="16.5" customHeight="1" outlineLevel="1">
      <c r="A16" s="1107" t="str">
        <f>Paper!A28</f>
        <v>N</v>
      </c>
      <c r="B16" s="1129">
        <v>1</v>
      </c>
      <c r="C16" s="1130">
        <f>Paper!J28</f>
        <v>0</v>
      </c>
      <c r="D16" s="1130">
        <v>2</v>
      </c>
      <c r="E16" s="1103">
        <f>Paper!B28</f>
        <v>0</v>
      </c>
      <c r="F16" s="1104">
        <f>Paper!C28</f>
        <v>0</v>
      </c>
      <c r="G16" s="1141">
        <f>Paper!P28</f>
        <v>0</v>
      </c>
      <c r="H16" s="1141">
        <f>Paper!Q28</f>
        <v>0</v>
      </c>
      <c r="I16" s="1142">
        <f>ROUNDUP(100*B16*C16*D16/500,1)</f>
        <v>0</v>
      </c>
      <c r="J16" s="1105">
        <f>I16*500*G16*H16/10^6</f>
        <v>0</v>
      </c>
      <c r="K16" s="1143">
        <f>Paper!H28</f>
        <v>0</v>
      </c>
      <c r="L16" s="1106">
        <f>K16*J16</f>
        <v>0</v>
      </c>
    </row>
    <row r="17" spans="1:12" s="1093" customFormat="1" ht="16.5" customHeight="1" outlineLevel="1">
      <c r="A17" s="1144" t="str">
        <f>Paper!A29</f>
        <v>N</v>
      </c>
      <c r="B17" s="1132">
        <v>1</v>
      </c>
      <c r="C17" s="1133">
        <f>Paper!J29</f>
        <v>0</v>
      </c>
      <c r="D17" s="1133">
        <v>2</v>
      </c>
      <c r="E17" s="1145">
        <f>Paper!B29</f>
        <v>0</v>
      </c>
      <c r="F17" s="1146">
        <f>Paper!C29</f>
        <v>0</v>
      </c>
      <c r="G17" s="1147">
        <f>Paper!P29</f>
        <v>0</v>
      </c>
      <c r="H17" s="1147">
        <f>Paper!Q29</f>
        <v>0</v>
      </c>
      <c r="I17" s="1148">
        <f>ROUNDUP(100*B17*C17*D17/500,1)</f>
        <v>0</v>
      </c>
      <c r="J17" s="1149">
        <f>I17*500*G17*H17/10^6</f>
        <v>0</v>
      </c>
      <c r="K17" s="1150">
        <f>Paper!H29</f>
        <v>0</v>
      </c>
      <c r="L17" s="1151">
        <f>K17*J17</f>
        <v>0</v>
      </c>
    </row>
    <row r="18" spans="1:12" outlineLevel="1"/>
    <row r="19" spans="1:12" ht="18" outlineLevel="1">
      <c r="A19" s="1097" t="s">
        <v>674</v>
      </c>
      <c r="E19" s="1094"/>
    </row>
    <row r="20" spans="1:12" ht="14.25" customHeight="1" outlineLevel="1">
      <c r="A20" s="4407"/>
      <c r="B20" s="4407" t="s">
        <v>242</v>
      </c>
      <c r="C20" s="4407" t="s">
        <v>243</v>
      </c>
      <c r="D20" s="4407" t="s">
        <v>71</v>
      </c>
      <c r="E20" s="4407" t="s">
        <v>245</v>
      </c>
      <c r="F20" s="1108" t="s">
        <v>85</v>
      </c>
    </row>
    <row r="21" spans="1:12" ht="14.25" customHeight="1" outlineLevel="1">
      <c r="A21" s="4418"/>
      <c r="B21" s="4418"/>
      <c r="C21" s="4418"/>
      <c r="D21" s="4408"/>
      <c r="E21" s="4415"/>
      <c r="F21" s="1109" t="s">
        <v>92</v>
      </c>
    </row>
    <row r="22" spans="1:12" outlineLevel="1">
      <c r="A22" s="1125" t="str">
        <f t="shared" ref="A22:D34" si="3">A5</f>
        <v>Box</v>
      </c>
      <c r="B22" s="1126">
        <f t="shared" si="3"/>
        <v>1</v>
      </c>
      <c r="C22" s="1127">
        <f t="shared" si="3"/>
        <v>1</v>
      </c>
      <c r="D22" s="1548">
        <f t="shared" si="3"/>
        <v>2</v>
      </c>
      <c r="E22" s="1548">
        <v>103000</v>
      </c>
      <c r="F22" s="1551">
        <f>B22*C22*D22*E22</f>
        <v>206000</v>
      </c>
    </row>
    <row r="23" spans="1:12" outlineLevel="1">
      <c r="A23" s="1128" t="str">
        <f t="shared" si="3"/>
        <v>N</v>
      </c>
      <c r="B23" s="1129">
        <f t="shared" si="3"/>
        <v>1</v>
      </c>
      <c r="C23" s="1130">
        <f t="shared" si="3"/>
        <v>0</v>
      </c>
      <c r="D23" s="1549">
        <f t="shared" si="3"/>
        <v>2</v>
      </c>
      <c r="E23" s="1549">
        <v>103000</v>
      </c>
      <c r="F23" s="1552">
        <f t="shared" ref="F23:F31" si="4">B23*C23*D23*E23</f>
        <v>0</v>
      </c>
    </row>
    <row r="24" spans="1:12" outlineLevel="1">
      <c r="A24" s="1128" t="str">
        <f t="shared" si="3"/>
        <v>N</v>
      </c>
      <c r="B24" s="1129">
        <f t="shared" si="3"/>
        <v>1</v>
      </c>
      <c r="C24" s="1130">
        <f t="shared" si="3"/>
        <v>0</v>
      </c>
      <c r="D24" s="1549">
        <f t="shared" si="3"/>
        <v>2</v>
      </c>
      <c r="E24" s="1549">
        <v>103000</v>
      </c>
      <c r="F24" s="1552">
        <f t="shared" si="4"/>
        <v>0</v>
      </c>
    </row>
    <row r="25" spans="1:12" outlineLevel="1">
      <c r="A25" s="1128" t="str">
        <f t="shared" si="3"/>
        <v>N</v>
      </c>
      <c r="B25" s="1129">
        <f t="shared" si="3"/>
        <v>1</v>
      </c>
      <c r="C25" s="1130">
        <f t="shared" si="3"/>
        <v>0</v>
      </c>
      <c r="D25" s="1549">
        <f t="shared" si="3"/>
        <v>2</v>
      </c>
      <c r="E25" s="1549">
        <v>103000</v>
      </c>
      <c r="F25" s="1552">
        <f t="shared" si="4"/>
        <v>0</v>
      </c>
    </row>
    <row r="26" spans="1:12" outlineLevel="1">
      <c r="A26" s="1128" t="str">
        <f t="shared" si="3"/>
        <v>N</v>
      </c>
      <c r="B26" s="1129">
        <f t="shared" si="3"/>
        <v>1</v>
      </c>
      <c r="C26" s="1130">
        <f t="shared" si="3"/>
        <v>0</v>
      </c>
      <c r="D26" s="1549">
        <f t="shared" si="3"/>
        <v>2</v>
      </c>
      <c r="E26" s="1549">
        <v>103000</v>
      </c>
      <c r="F26" s="1552">
        <f t="shared" si="4"/>
        <v>0</v>
      </c>
    </row>
    <row r="27" spans="1:12" outlineLevel="1">
      <c r="A27" s="1128" t="str">
        <f t="shared" si="3"/>
        <v>N</v>
      </c>
      <c r="B27" s="1129">
        <f t="shared" si="3"/>
        <v>1</v>
      </c>
      <c r="C27" s="1130">
        <f t="shared" si="3"/>
        <v>0</v>
      </c>
      <c r="D27" s="1549">
        <f t="shared" si="3"/>
        <v>2</v>
      </c>
      <c r="E27" s="1549">
        <v>103000</v>
      </c>
      <c r="F27" s="1552">
        <f t="shared" si="4"/>
        <v>0</v>
      </c>
    </row>
    <row r="28" spans="1:12" outlineLevel="1">
      <c r="A28" s="1128" t="str">
        <f t="shared" si="3"/>
        <v>N</v>
      </c>
      <c r="B28" s="1129">
        <f t="shared" si="3"/>
        <v>1</v>
      </c>
      <c r="C28" s="1130">
        <f t="shared" si="3"/>
        <v>0</v>
      </c>
      <c r="D28" s="1549">
        <f t="shared" si="3"/>
        <v>2</v>
      </c>
      <c r="E28" s="1549">
        <v>103000</v>
      </c>
      <c r="F28" s="1552">
        <f t="shared" si="4"/>
        <v>0</v>
      </c>
    </row>
    <row r="29" spans="1:12" outlineLevel="1">
      <c r="A29" s="1128" t="str">
        <f t="shared" si="3"/>
        <v>N</v>
      </c>
      <c r="B29" s="1129">
        <f t="shared" si="3"/>
        <v>1</v>
      </c>
      <c r="C29" s="1130">
        <f t="shared" si="3"/>
        <v>0</v>
      </c>
      <c r="D29" s="1549">
        <f t="shared" si="3"/>
        <v>2</v>
      </c>
      <c r="E29" s="1549">
        <v>103000</v>
      </c>
      <c r="F29" s="1552">
        <f t="shared" si="4"/>
        <v>0</v>
      </c>
    </row>
    <row r="30" spans="1:12" outlineLevel="1">
      <c r="A30" s="1128" t="str">
        <f t="shared" si="3"/>
        <v>N</v>
      </c>
      <c r="B30" s="1129">
        <f t="shared" si="3"/>
        <v>1</v>
      </c>
      <c r="C30" s="1130">
        <f t="shared" si="3"/>
        <v>0</v>
      </c>
      <c r="D30" s="1549">
        <f t="shared" si="3"/>
        <v>2</v>
      </c>
      <c r="E30" s="1549">
        <v>103000</v>
      </c>
      <c r="F30" s="1552">
        <f t="shared" si="4"/>
        <v>0</v>
      </c>
    </row>
    <row r="31" spans="1:12" outlineLevel="1">
      <c r="A31" s="1128" t="str">
        <f t="shared" si="3"/>
        <v>1st</v>
      </c>
      <c r="B31" s="1129">
        <f t="shared" si="3"/>
        <v>1</v>
      </c>
      <c r="C31" s="1130">
        <f t="shared" si="3"/>
        <v>0</v>
      </c>
      <c r="D31" s="1549">
        <f t="shared" si="3"/>
        <v>2</v>
      </c>
      <c r="E31" s="1549">
        <v>103000</v>
      </c>
      <c r="F31" s="1552">
        <f t="shared" si="4"/>
        <v>0</v>
      </c>
    </row>
    <row r="32" spans="1:12" outlineLevel="1">
      <c r="A32" s="1128" t="str">
        <f t="shared" si="3"/>
        <v>N</v>
      </c>
      <c r="B32" s="1129">
        <f t="shared" si="3"/>
        <v>1</v>
      </c>
      <c r="C32" s="1130">
        <f t="shared" si="3"/>
        <v>0</v>
      </c>
      <c r="D32" s="1549">
        <f t="shared" si="3"/>
        <v>2</v>
      </c>
      <c r="E32" s="1549">
        <v>103000</v>
      </c>
      <c r="F32" s="1552">
        <f>B32*C32*D32*E32</f>
        <v>0</v>
      </c>
    </row>
    <row r="33" spans="1:10" outlineLevel="1">
      <c r="A33" s="1128" t="str">
        <f t="shared" si="3"/>
        <v>N</v>
      </c>
      <c r="B33" s="1129">
        <f t="shared" si="3"/>
        <v>1</v>
      </c>
      <c r="C33" s="1130">
        <f t="shared" si="3"/>
        <v>0</v>
      </c>
      <c r="D33" s="1549">
        <f t="shared" si="3"/>
        <v>2</v>
      </c>
      <c r="E33" s="1549">
        <v>103000</v>
      </c>
      <c r="F33" s="1552">
        <f>B33*C33*D33*E33</f>
        <v>0</v>
      </c>
    </row>
    <row r="34" spans="1:10" outlineLevel="1">
      <c r="A34" s="1131" t="str">
        <f t="shared" si="3"/>
        <v>N</v>
      </c>
      <c r="B34" s="1132">
        <f t="shared" si="3"/>
        <v>1</v>
      </c>
      <c r="C34" s="1133">
        <f t="shared" si="3"/>
        <v>0</v>
      </c>
      <c r="D34" s="1550">
        <f t="shared" si="3"/>
        <v>2</v>
      </c>
      <c r="E34" s="1550">
        <v>103000</v>
      </c>
      <c r="F34" s="1553">
        <f>B34*C34*D34*E34</f>
        <v>0</v>
      </c>
    </row>
    <row r="35" spans="1:10" outlineLevel="1"/>
    <row r="36" spans="1:10" ht="18" outlineLevel="1">
      <c r="A36" s="1097" t="s">
        <v>277</v>
      </c>
    </row>
    <row r="37" spans="1:10" ht="26.25" customHeight="1" outlineLevel="1">
      <c r="A37" s="1095"/>
      <c r="B37" s="1095"/>
      <c r="C37" s="1096"/>
      <c r="D37" s="1110"/>
      <c r="E37" s="1110"/>
      <c r="F37" s="4412" t="s">
        <v>239</v>
      </c>
      <c r="G37" s="4412"/>
      <c r="H37" s="4412" t="s">
        <v>240</v>
      </c>
      <c r="I37" s="4412"/>
      <c r="J37" s="4411" t="s">
        <v>211</v>
      </c>
    </row>
    <row r="38" spans="1:10" ht="15" customHeight="1" outlineLevel="1">
      <c r="A38" s="1096"/>
      <c r="B38" s="1096"/>
      <c r="C38" s="1096"/>
      <c r="D38" s="1111"/>
      <c r="E38" s="1111"/>
      <c r="F38" s="1112" t="s">
        <v>241</v>
      </c>
      <c r="G38" s="1112" t="s">
        <v>169</v>
      </c>
      <c r="H38" s="1112" t="s">
        <v>168</v>
      </c>
      <c r="I38" s="1112" t="s">
        <v>169</v>
      </c>
      <c r="J38" s="4411"/>
    </row>
    <row r="39" spans="1:10" ht="21.75" customHeight="1" outlineLevel="1">
      <c r="A39" s="1113"/>
      <c r="B39" s="1114" t="s">
        <v>139</v>
      </c>
      <c r="C39" s="1115" t="str">
        <f ca="1">'Production cost'!C56</f>
        <v>KBA</v>
      </c>
      <c r="D39" s="1116">
        <f>30/60</f>
        <v>0.5</v>
      </c>
      <c r="E39" s="1096" t="s">
        <v>258</v>
      </c>
      <c r="F39" s="1096">
        <f ca="1">'Production cost'!K56</f>
        <v>1</v>
      </c>
      <c r="G39" s="1096">
        <f ca="1">'Production cost'!L56</f>
        <v>5</v>
      </c>
      <c r="H39" s="1117">
        <f ca="1">'Production cost'!O56</f>
        <v>352574.32240985788</v>
      </c>
      <c r="I39" s="1117">
        <f ca="1">'Production cost'!P56</f>
        <v>83000.376301260956</v>
      </c>
      <c r="J39" s="1118">
        <f ca="1">D39*F39*H39+D39*G39*I39</f>
        <v>383788.10195808136</v>
      </c>
    </row>
    <row r="40" spans="1:10">
      <c r="J40" s="1119"/>
    </row>
    <row r="42" spans="1:10" ht="18">
      <c r="A42" s="1097" t="s">
        <v>251</v>
      </c>
    </row>
    <row r="44" spans="1:10" ht="21.75">
      <c r="A44" s="4402"/>
      <c r="B44" s="4402" t="s">
        <v>246</v>
      </c>
      <c r="C44" s="4402" t="s">
        <v>247</v>
      </c>
      <c r="D44" s="1152" t="s">
        <v>248</v>
      </c>
      <c r="E44" s="4388" t="s">
        <v>248</v>
      </c>
      <c r="F44" s="4389"/>
      <c r="G44" s="4390"/>
    </row>
    <row r="45" spans="1:10">
      <c r="A45" s="4403"/>
      <c r="B45" s="4403"/>
      <c r="C45" s="4403"/>
      <c r="D45" s="1153"/>
      <c r="E45" s="1154">
        <v>0</v>
      </c>
      <c r="F45" s="1154">
        <v>0</v>
      </c>
      <c r="G45" s="1154">
        <v>0</v>
      </c>
    </row>
    <row r="46" spans="1:10">
      <c r="A46" s="4404"/>
      <c r="B46" s="4404"/>
      <c r="C46" s="4404"/>
      <c r="D46" s="1155" t="s">
        <v>92</v>
      </c>
      <c r="E46" s="1155" t="s">
        <v>87</v>
      </c>
      <c r="F46" s="1155" t="s">
        <v>3</v>
      </c>
      <c r="G46" s="1155" t="s">
        <v>2</v>
      </c>
    </row>
    <row r="47" spans="1:10">
      <c r="A47" s="1156" t="str">
        <f>'Data Plate change &amp; Proof SPV'!A5</f>
        <v>Box</v>
      </c>
      <c r="B47" s="1120">
        <f ca="1">'Data Plate change &amp; Proof SPV'!L5+'Data Plate change &amp; Proof SPV'!F22+'Data Plate change &amp; Proof SPV'!$J$39*'Data Plate change &amp; Proof SPV'!C5</f>
        <v>792463.09806608141</v>
      </c>
      <c r="C47" s="1157">
        <v>0</v>
      </c>
      <c r="D47" s="1120">
        <f t="shared" ref="D47:D56" ca="1" si="5">C47*B47</f>
        <v>0</v>
      </c>
      <c r="E47" s="1121">
        <f ca="1">(D47/input!$I$4)*$E$45</f>
        <v>0</v>
      </c>
      <c r="F47" s="1121">
        <f ca="1">(D47/input!$K$4)*$F$45</f>
        <v>0</v>
      </c>
      <c r="G47" s="1121">
        <f ca="1">(D47/input!$J$4)*$G$45</f>
        <v>0</v>
      </c>
    </row>
    <row r="48" spans="1:10">
      <c r="A48" s="1158" t="str">
        <f>'Data Plate change &amp; Proof SPV'!A6</f>
        <v>N</v>
      </c>
      <c r="B48" s="1122">
        <f ca="1">'Data Plate change &amp; Proof SPV'!L6+'Data Plate change &amp; Proof SPV'!F23+'Data Plate change &amp; Proof SPV'!$J$39*'Data Plate change &amp; Proof SPV'!C6</f>
        <v>0</v>
      </c>
      <c r="C48" s="1159">
        <v>0</v>
      </c>
      <c r="D48" s="1122">
        <f t="shared" ca="1" si="5"/>
        <v>0</v>
      </c>
      <c r="E48" s="1122">
        <f ca="1">(D48/input!$I$4)*$E$45</f>
        <v>0</v>
      </c>
      <c r="F48" s="1122">
        <f ca="1">(D48/input!$K$4)*$F$45</f>
        <v>0</v>
      </c>
      <c r="G48" s="1122">
        <f ca="1">(D48/input!$J$4)*$G$45</f>
        <v>0</v>
      </c>
    </row>
    <row r="49" spans="1:7">
      <c r="A49" s="1158" t="str">
        <f>'Data Plate change &amp; Proof SPV'!A7</f>
        <v>N</v>
      </c>
      <c r="B49" s="1122">
        <f ca="1">'Data Plate change &amp; Proof SPV'!L7+'Data Plate change &amp; Proof SPV'!F24+'Data Plate change &amp; Proof SPV'!$J$39*'Data Plate change &amp; Proof SPV'!C7</f>
        <v>0</v>
      </c>
      <c r="C49" s="1159">
        <v>0</v>
      </c>
      <c r="D49" s="1122">
        <f t="shared" ca="1" si="5"/>
        <v>0</v>
      </c>
      <c r="E49" s="1122">
        <f ca="1">(D49/input!$I$4)*$E$45</f>
        <v>0</v>
      </c>
      <c r="F49" s="1122">
        <f ca="1">(D49/input!$K$4)*$F$45</f>
        <v>0</v>
      </c>
      <c r="G49" s="1122">
        <f ca="1">(D49/input!$J$4)*$G$45</f>
        <v>0</v>
      </c>
    </row>
    <row r="50" spans="1:7">
      <c r="A50" s="1158" t="str">
        <f>'Data Plate change &amp; Proof SPV'!A8</f>
        <v>N</v>
      </c>
      <c r="B50" s="1122">
        <f ca="1">'Data Plate change &amp; Proof SPV'!L8+'Data Plate change &amp; Proof SPV'!F25+'Data Plate change &amp; Proof SPV'!$J$39*'Data Plate change &amp; Proof SPV'!C8</f>
        <v>0</v>
      </c>
      <c r="C50" s="1159">
        <v>0</v>
      </c>
      <c r="D50" s="1122">
        <f t="shared" ca="1" si="5"/>
        <v>0</v>
      </c>
      <c r="E50" s="1122">
        <f ca="1">(D50/input!$I$4)*$E$45</f>
        <v>0</v>
      </c>
      <c r="F50" s="1122">
        <f ca="1">(D50/input!$K$4)*$F$45</f>
        <v>0</v>
      </c>
      <c r="G50" s="1122">
        <f ca="1">(D50/input!$J$4)*$G$45</f>
        <v>0</v>
      </c>
    </row>
    <row r="51" spans="1:7">
      <c r="A51" s="1158" t="str">
        <f>'Data Plate change &amp; Proof SPV'!A9</f>
        <v>N</v>
      </c>
      <c r="B51" s="1122">
        <f ca="1">'Data Plate change &amp; Proof SPV'!L9+'Data Plate change &amp; Proof SPV'!F26+'Data Plate change &amp; Proof SPV'!$J$39*'Data Plate change &amp; Proof SPV'!C9</f>
        <v>0</v>
      </c>
      <c r="C51" s="1159">
        <v>0</v>
      </c>
      <c r="D51" s="1122">
        <f t="shared" ca="1" si="5"/>
        <v>0</v>
      </c>
      <c r="E51" s="1122">
        <f ca="1">(D51/input!$I$4)*$E$45</f>
        <v>0</v>
      </c>
      <c r="F51" s="1122">
        <f ca="1">(D51/input!$K$4)*$F$45</f>
        <v>0</v>
      </c>
      <c r="G51" s="1122">
        <f ca="1">(D51/input!$J$4)*$G$45</f>
        <v>0</v>
      </c>
    </row>
    <row r="52" spans="1:7">
      <c r="A52" s="1158" t="str">
        <f>'Data Plate change &amp; Proof SPV'!A10</f>
        <v>N</v>
      </c>
      <c r="B52" s="1122">
        <f ca="1">'Data Plate change &amp; Proof SPV'!L10+'Data Plate change &amp; Proof SPV'!F27+'Data Plate change &amp; Proof SPV'!$J$39*'Data Plate change &amp; Proof SPV'!C10</f>
        <v>0</v>
      </c>
      <c r="C52" s="1159">
        <v>0</v>
      </c>
      <c r="D52" s="1122">
        <f t="shared" ca="1" si="5"/>
        <v>0</v>
      </c>
      <c r="E52" s="1122">
        <f ca="1">(D52/input!$I$4)*$E$45</f>
        <v>0</v>
      </c>
      <c r="F52" s="1122">
        <f ca="1">(D52/input!$K$4)*$F$45</f>
        <v>0</v>
      </c>
      <c r="G52" s="1122">
        <f ca="1">(D52/input!$J$4)*$G$45</f>
        <v>0</v>
      </c>
    </row>
    <row r="53" spans="1:7">
      <c r="A53" s="1158" t="str">
        <f>'Data Plate change &amp; Proof SPV'!A11</f>
        <v>N</v>
      </c>
      <c r="B53" s="1122">
        <f ca="1">'Data Plate change &amp; Proof SPV'!L11+'Data Plate change &amp; Proof SPV'!F28+'Data Plate change &amp; Proof SPV'!$J$39*'Data Plate change &amp; Proof SPV'!C11</f>
        <v>0</v>
      </c>
      <c r="C53" s="1159">
        <v>0</v>
      </c>
      <c r="D53" s="1122">
        <f t="shared" ca="1" si="5"/>
        <v>0</v>
      </c>
      <c r="E53" s="1122">
        <f ca="1">(D53/input!$I$4)*$E$45</f>
        <v>0</v>
      </c>
      <c r="F53" s="1122">
        <f ca="1">(D53/input!$K$4)*$F$45</f>
        <v>0</v>
      </c>
      <c r="G53" s="1122">
        <f ca="1">(D53/input!$J$4)*$G$45</f>
        <v>0</v>
      </c>
    </row>
    <row r="54" spans="1:7">
      <c r="A54" s="1158" t="str">
        <f>'Data Plate change &amp; Proof SPV'!A12</f>
        <v>N</v>
      </c>
      <c r="B54" s="1122">
        <f ca="1">'Data Plate change &amp; Proof SPV'!L12+'Data Plate change &amp; Proof SPV'!F29+'Data Plate change &amp; Proof SPV'!$J$39*'Data Plate change &amp; Proof SPV'!C12</f>
        <v>0</v>
      </c>
      <c r="C54" s="1159">
        <v>0</v>
      </c>
      <c r="D54" s="1122">
        <f t="shared" ca="1" si="5"/>
        <v>0</v>
      </c>
      <c r="E54" s="1122">
        <f ca="1">(D54/input!$I$4)*$E$45</f>
        <v>0</v>
      </c>
      <c r="F54" s="1122">
        <f ca="1">(D54/input!$K$4)*$F$45</f>
        <v>0</v>
      </c>
      <c r="G54" s="1122">
        <f ca="1">(D54/input!$J$4)*$G$45</f>
        <v>0</v>
      </c>
    </row>
    <row r="55" spans="1:7">
      <c r="A55" s="1158" t="str">
        <f>'Data Plate change &amp; Proof SPV'!A13</f>
        <v>N</v>
      </c>
      <c r="B55" s="1122">
        <f ca="1">'Data Plate change &amp; Proof SPV'!L13+'Data Plate change &amp; Proof SPV'!F30+'Data Plate change &amp; Proof SPV'!$J$39*'Data Plate change &amp; Proof SPV'!C13</f>
        <v>0</v>
      </c>
      <c r="C55" s="1159">
        <v>0</v>
      </c>
      <c r="D55" s="1122">
        <f t="shared" ca="1" si="5"/>
        <v>0</v>
      </c>
      <c r="E55" s="1122">
        <f ca="1">(D55/input!$I$4)*$E$45</f>
        <v>0</v>
      </c>
      <c r="F55" s="1122">
        <f ca="1">(D55/input!$K$4)*$F$45</f>
        <v>0</v>
      </c>
      <c r="G55" s="1122">
        <f ca="1">(D55/input!$J$4)*$G$45</f>
        <v>0</v>
      </c>
    </row>
    <row r="56" spans="1:7">
      <c r="A56" s="1158" t="str">
        <f>'Data Plate change &amp; Proof SPV'!A14</f>
        <v>1st</v>
      </c>
      <c r="B56" s="1122">
        <f ca="1">'Data Plate change &amp; Proof SPV'!L14+'Data Plate change &amp; Proof SPV'!F31+'Data Plate change &amp; Proof SPV'!$J$39*'Data Plate change &amp; Proof SPV'!C14</f>
        <v>0</v>
      </c>
      <c r="C56" s="1159">
        <v>0</v>
      </c>
      <c r="D56" s="1122">
        <f t="shared" ca="1" si="5"/>
        <v>0</v>
      </c>
      <c r="E56" s="1122">
        <f ca="1">(D56/input!$I$4)*$E$45</f>
        <v>0</v>
      </c>
      <c r="F56" s="1122">
        <f ca="1">(D56/input!$K$4)*$F$45</f>
        <v>0</v>
      </c>
      <c r="G56" s="1122">
        <f ca="1">(D56/input!$J$4)*$G$45</f>
        <v>0</v>
      </c>
    </row>
    <row r="57" spans="1:7">
      <c r="A57" s="1158" t="str">
        <f>'Data Plate change &amp; Proof SPV'!A15</f>
        <v>N</v>
      </c>
      <c r="B57" s="1122">
        <f ca="1">'Data Plate change &amp; Proof SPV'!L15+'Data Plate change &amp; Proof SPV'!F32+'Data Plate change &amp; Proof SPV'!$J$39*'Data Plate change &amp; Proof SPV'!C15</f>
        <v>0</v>
      </c>
      <c r="C57" s="1159">
        <v>0</v>
      </c>
      <c r="D57" s="1122">
        <f ca="1">C57*B57</f>
        <v>0</v>
      </c>
      <c r="E57" s="1122">
        <f ca="1">(D57/input!$I$4)*$E$45</f>
        <v>0</v>
      </c>
      <c r="F57" s="1122">
        <f ca="1">(D57/input!$K$4)*$F$45</f>
        <v>0</v>
      </c>
      <c r="G57" s="1122">
        <f ca="1">(D57/input!$J$4)*$G$45</f>
        <v>0</v>
      </c>
    </row>
    <row r="58" spans="1:7">
      <c r="A58" s="1158" t="str">
        <f>'Data Plate change &amp; Proof SPV'!A16</f>
        <v>N</v>
      </c>
      <c r="B58" s="1122">
        <f ca="1">'Data Plate change &amp; Proof SPV'!L16+'Data Plate change &amp; Proof SPV'!F33+'Data Plate change &amp; Proof SPV'!$J$39*'Data Plate change &amp; Proof SPV'!C16</f>
        <v>0</v>
      </c>
      <c r="C58" s="1159">
        <v>0</v>
      </c>
      <c r="D58" s="1122">
        <f ca="1">C58*B58</f>
        <v>0</v>
      </c>
      <c r="E58" s="1122">
        <f ca="1">(D58/input!$I$4)*$E$45</f>
        <v>0</v>
      </c>
      <c r="F58" s="1122">
        <f ca="1">(D58/input!$K$4)*$F$45</f>
        <v>0</v>
      </c>
      <c r="G58" s="1122">
        <f ca="1">(D58/input!$J$4)*$G$45</f>
        <v>0</v>
      </c>
    </row>
    <row r="59" spans="1:7">
      <c r="A59" s="1158" t="str">
        <f>'Data Plate change &amp; Proof SPV'!A17</f>
        <v>N</v>
      </c>
      <c r="B59" s="1122">
        <f ca="1">'Data Plate change &amp; Proof SPV'!L17+'Data Plate change &amp; Proof SPV'!F34+'Data Plate change &amp; Proof SPV'!$J$39*'Data Plate change &amp; Proof SPV'!C17</f>
        <v>0</v>
      </c>
      <c r="C59" s="1159">
        <v>0</v>
      </c>
      <c r="D59" s="1122">
        <f ca="1">C59*B59</f>
        <v>0</v>
      </c>
      <c r="E59" s="1122">
        <f ca="1">(D59/input!$I$4)*$E$45</f>
        <v>0</v>
      </c>
      <c r="F59" s="1122">
        <f ca="1">(D59/input!$K$4)*$F$45</f>
        <v>0</v>
      </c>
      <c r="G59" s="1122">
        <f ca="1">(D59/input!$J$4)*$G$45</f>
        <v>0</v>
      </c>
    </row>
    <row r="60" spans="1:7" ht="20.25">
      <c r="A60" s="4391" t="s">
        <v>249</v>
      </c>
      <c r="B60" s="4392"/>
      <c r="C60" s="4392"/>
      <c r="D60" s="1160" t="s">
        <v>106</v>
      </c>
      <c r="E60" s="1123">
        <f>IF(D60="Y",(ROUNDUP(150000*2/Paper!$O$1,0)*(1+10%))*E45,0)</f>
        <v>0</v>
      </c>
      <c r="F60" s="1123">
        <f>IF(D60="Y",(ROUNDUP(150000*2/Paper!$R$1,0)*(1+10%))*F45,0)</f>
        <v>0</v>
      </c>
      <c r="G60" s="1123">
        <f>IF(D60="Y",(ROUNDUP(150000*2/Paper!$P$1,0)*(1+10%))*G45,0)</f>
        <v>0</v>
      </c>
    </row>
    <row r="61" spans="1:7" ht="20.25">
      <c r="A61" s="4399" t="s">
        <v>85</v>
      </c>
      <c r="B61" s="4400"/>
      <c r="C61" s="4400"/>
      <c r="D61" s="4401"/>
      <c r="E61" s="1124">
        <f ca="1">SUM(E47:E60)</f>
        <v>0</v>
      </c>
      <c r="F61" s="1124">
        <f ca="1">SUM(F47:F60)</f>
        <v>0</v>
      </c>
      <c r="G61" s="1124">
        <f ca="1">SUM(G47:G60)</f>
        <v>0</v>
      </c>
    </row>
    <row r="62" spans="1:7" ht="20.25">
      <c r="A62" s="4393" t="s">
        <v>157</v>
      </c>
      <c r="B62" s="4394"/>
      <c r="C62" s="4394"/>
      <c r="D62" s="4395"/>
      <c r="E62" s="2164">
        <f ca="1">'Cost EST. GM target'!$J$73</f>
        <v>0.45002378881461591</v>
      </c>
      <c r="F62" s="2164">
        <f ca="1">'Cost EST. GM target'!$J$73</f>
        <v>0.45002378881461591</v>
      </c>
      <c r="G62" s="2164">
        <f ca="1">'Cost EST. GM target'!$J$73</f>
        <v>0.45002378881461591</v>
      </c>
    </row>
    <row r="63" spans="1:7">
      <c r="A63" s="4393" t="s">
        <v>1583</v>
      </c>
      <c r="B63" s="4405"/>
      <c r="C63" s="4405"/>
      <c r="D63" s="4406"/>
      <c r="E63" s="2165">
        <f>SUM(I26:I31)*500*'Fix Cost'!$H$173</f>
        <v>0</v>
      </c>
      <c r="F63" s="2165">
        <f>SUM(J26:J31)*500*'Fix Cost'!$H$173</f>
        <v>0</v>
      </c>
      <c r="G63" s="2165">
        <f>SUM(K26:K31)*500*'Fix Cost'!$H$173</f>
        <v>0</v>
      </c>
    </row>
    <row r="64" spans="1:7" ht="20.25">
      <c r="A64" s="4393" t="s">
        <v>75</v>
      </c>
      <c r="B64" s="4394"/>
      <c r="C64" s="4394"/>
      <c r="D64" s="4395"/>
      <c r="E64" s="2164">
        <f>'Cost EST. GM target'!$J$50</f>
        <v>2.2499999999999999E-2</v>
      </c>
      <c r="F64" s="2164">
        <f>'Cost EST. GM target'!$J$50</f>
        <v>2.2499999999999999E-2</v>
      </c>
      <c r="G64" s="2164">
        <f>'Cost EST. GM target'!$J$50</f>
        <v>2.2499999999999999E-2</v>
      </c>
    </row>
    <row r="65" spans="1:7" ht="20.25">
      <c r="A65" s="4393" t="s">
        <v>2056</v>
      </c>
      <c r="B65" s="4394"/>
      <c r="C65" s="4394"/>
      <c r="D65" s="4395"/>
      <c r="E65" s="2163">
        <f ca="1">1-($E61+$E63)/($E66-($E61+$E63)*$E64)</f>
        <v>1</v>
      </c>
      <c r="F65" s="2166">
        <f ca="1">1-($F61+$F63)/($F66-($F61+$F63)*$F64)</f>
        <v>1</v>
      </c>
      <c r="G65" s="2166">
        <f ca="1">1-($G61+$G63)/($G66-($G61+$G63)*$G64)</f>
        <v>1</v>
      </c>
    </row>
    <row r="66" spans="1:7" ht="20.25">
      <c r="A66" s="4396" t="s">
        <v>250</v>
      </c>
      <c r="B66" s="4397"/>
      <c r="C66" s="4397"/>
      <c r="D66" s="4398"/>
      <c r="E66" s="1161">
        <f ca="1">(INT((E61/(1-E62))*(1+E64)/5)+1)*5</f>
        <v>5</v>
      </c>
      <c r="F66" s="1161">
        <f ca="1">(INT((F61/(1-F62))*(1+F64)/5)+1)*5</f>
        <v>5</v>
      </c>
      <c r="G66" s="1161">
        <f ca="1">(INT((G61/(1-G62))*(1+G64)/5)+1)*5</f>
        <v>5</v>
      </c>
    </row>
  </sheetData>
  <sheetProtection formatCells="0" formatColumns="0" formatRows="0" insertColumns="0" insertRows="0"/>
  <mergeCells count="25">
    <mergeCell ref="A3:A4"/>
    <mergeCell ref="C3:C4"/>
    <mergeCell ref="A20:A21"/>
    <mergeCell ref="B20:B21"/>
    <mergeCell ref="C20:C21"/>
    <mergeCell ref="D20:D21"/>
    <mergeCell ref="B3:B4"/>
    <mergeCell ref="D3:D4"/>
    <mergeCell ref="J37:J38"/>
    <mergeCell ref="F37:G37"/>
    <mergeCell ref="H37:I37"/>
    <mergeCell ref="E3:F3"/>
    <mergeCell ref="E20:E21"/>
    <mergeCell ref="G3:H3"/>
    <mergeCell ref="E44:G44"/>
    <mergeCell ref="A60:C60"/>
    <mergeCell ref="A62:D62"/>
    <mergeCell ref="A64:D64"/>
    <mergeCell ref="A66:D66"/>
    <mergeCell ref="A61:D61"/>
    <mergeCell ref="A44:A46"/>
    <mergeCell ref="B44:B46"/>
    <mergeCell ref="C44:C46"/>
    <mergeCell ref="A63:D63"/>
    <mergeCell ref="A65:D65"/>
  </mergeCells>
  <phoneticPr fontId="39" type="noConversion"/>
  <dataValidations disablePrompts="1" count="1">
    <dataValidation type="list" allowBlank="1" showInputMessage="1" showErrorMessage="1" sqref="D60" xr:uid="{00000000-0002-0000-1A00-000000000000}">
      <formula1>"Y,N"</formula1>
    </dataValidation>
  </dataValidation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Z119"/>
  <sheetViews>
    <sheetView topLeftCell="A61" workbookViewId="0">
      <selection activeCell="A15" sqref="A15:K81"/>
    </sheetView>
  </sheetViews>
  <sheetFormatPr defaultColWidth="8" defaultRowHeight="12.75" outlineLevelRow="1"/>
  <cols>
    <col min="1" max="1" width="8" style="28"/>
    <col min="2" max="2" width="7" style="28" customWidth="1"/>
    <col min="3" max="3" width="7.7109375" style="28" bestFit="1" customWidth="1"/>
    <col min="4" max="11" width="7" style="28" customWidth="1"/>
    <col min="12" max="16384" width="8" style="28"/>
  </cols>
  <sheetData>
    <row r="1" spans="1:11" ht="18">
      <c r="A1" s="29"/>
      <c r="B1" s="30"/>
    </row>
    <row r="2" spans="1:11">
      <c r="A2" s="29"/>
      <c r="B2" s="29"/>
    </row>
    <row r="3" spans="1:11">
      <c r="A3" s="29"/>
      <c r="B3" s="29"/>
      <c r="D3" s="29"/>
      <c r="E3" s="29"/>
      <c r="F3" s="29"/>
    </row>
    <row r="4" spans="1:11" s="32" customFormat="1" ht="9" customHeight="1">
      <c r="A4" s="31"/>
      <c r="K4" s="33"/>
    </row>
    <row r="5" spans="1:11">
      <c r="A5" s="1353" t="s">
        <v>260</v>
      </c>
      <c r="B5" s="1354" t="s">
        <v>657</v>
      </c>
      <c r="C5" s="1354" t="s">
        <v>658</v>
      </c>
      <c r="D5" s="1354" t="s">
        <v>659</v>
      </c>
      <c r="E5" s="1354" t="s">
        <v>660</v>
      </c>
      <c r="F5" s="1354" t="s">
        <v>661</v>
      </c>
      <c r="G5" s="1354" t="s">
        <v>662</v>
      </c>
      <c r="H5" s="1354" t="s">
        <v>663</v>
      </c>
      <c r="I5" s="1354" t="s">
        <v>664</v>
      </c>
      <c r="J5" s="1354" t="s">
        <v>665</v>
      </c>
      <c r="K5" s="1354" t="s">
        <v>666</v>
      </c>
    </row>
    <row r="6" spans="1:11" s="34" customFormat="1" ht="9.75" outlineLevel="1">
      <c r="A6" s="1355"/>
      <c r="B6" s="1356"/>
      <c r="C6" s="1356"/>
      <c r="D6" s="1356"/>
      <c r="E6" s="1356"/>
      <c r="F6" s="1356"/>
      <c r="G6" s="1356"/>
      <c r="H6" s="1356"/>
      <c r="I6" s="1356"/>
      <c r="J6" s="1356"/>
      <c r="K6" s="1356"/>
    </row>
    <row r="7" spans="1:11" s="34" customFormat="1" ht="9.75" customHeight="1" outlineLevel="1">
      <c r="A7" s="1355"/>
      <c r="B7" s="1355"/>
      <c r="C7" s="1355"/>
      <c r="D7" s="1355"/>
      <c r="E7" s="1355"/>
      <c r="F7" s="1355"/>
      <c r="G7" s="1355"/>
      <c r="H7" s="1355"/>
      <c r="I7" s="1355"/>
      <c r="J7" s="1355"/>
      <c r="K7" s="1355"/>
    </row>
    <row r="8" spans="1:11" s="34" customFormat="1" ht="9.9499999999999993" customHeight="1" outlineLevel="1">
      <c r="A8" s="1355"/>
      <c r="B8" s="1355"/>
      <c r="C8" s="1355"/>
      <c r="D8" s="1355"/>
      <c r="E8" s="1355"/>
      <c r="F8" s="1355"/>
      <c r="G8" s="1355"/>
      <c r="H8" s="1355"/>
      <c r="I8" s="1355"/>
      <c r="J8" s="1355"/>
      <c r="K8" s="1355"/>
    </row>
    <row r="9" spans="1:11" s="34" customFormat="1" ht="9.9499999999999993" customHeight="1" outlineLevel="1">
      <c r="A9" s="1355"/>
      <c r="B9" s="1355"/>
      <c r="C9" s="1355"/>
      <c r="D9" s="1355"/>
      <c r="E9" s="1355"/>
      <c r="F9" s="1355"/>
      <c r="G9" s="1355"/>
      <c r="H9" s="1355"/>
      <c r="I9" s="1355"/>
      <c r="J9" s="1355"/>
      <c r="K9" s="1355"/>
    </row>
    <row r="10" spans="1:11" s="34" customFormat="1" ht="9.9499999999999993" customHeight="1" outlineLevel="1">
      <c r="A10" s="1355"/>
      <c r="B10" s="1355"/>
      <c r="C10" s="1355"/>
      <c r="D10" s="1355"/>
      <c r="E10" s="1355"/>
      <c r="F10" s="1355"/>
      <c r="G10" s="1355"/>
      <c r="H10" s="1355"/>
      <c r="I10" s="1355"/>
      <c r="J10" s="1355"/>
      <c r="K10" s="1355"/>
    </row>
    <row r="11" spans="1:11" s="34" customFormat="1" ht="9.9499999999999993" customHeight="1" outlineLevel="1">
      <c r="A11" s="1355"/>
      <c r="B11" s="1355"/>
      <c r="C11" s="1355"/>
      <c r="D11" s="1355"/>
      <c r="E11" s="1355"/>
      <c r="F11" s="1355"/>
      <c r="G11" s="1355"/>
      <c r="H11" s="1355"/>
      <c r="I11" s="1355"/>
      <c r="J11" s="1355"/>
      <c r="K11" s="1355"/>
    </row>
    <row r="12" spans="1:11" s="34" customFormat="1" ht="9.9499999999999993" customHeight="1" outlineLevel="1">
      <c r="A12" s="1355"/>
      <c r="B12" s="1355"/>
      <c r="C12" s="1355"/>
      <c r="D12" s="1355"/>
      <c r="E12" s="1355"/>
      <c r="F12" s="1355"/>
      <c r="G12" s="1355"/>
      <c r="H12" s="1355"/>
      <c r="I12" s="1355"/>
      <c r="J12" s="1355"/>
      <c r="K12" s="1355"/>
    </row>
    <row r="13" spans="1:11" s="34" customFormat="1" ht="9.75" outlineLevel="1">
      <c r="A13" s="1357"/>
      <c r="B13" s="1357"/>
      <c r="C13" s="1357"/>
      <c r="D13" s="1357"/>
      <c r="E13" s="1357"/>
      <c r="F13" s="1357"/>
      <c r="G13" s="1357"/>
      <c r="H13" s="1357"/>
      <c r="I13" s="1357"/>
      <c r="J13" s="1357"/>
      <c r="K13" s="1357"/>
    </row>
    <row r="14" spans="1:11" s="32" customFormat="1" ht="11.25">
      <c r="A14" s="1358" t="s">
        <v>309</v>
      </c>
      <c r="B14" s="1359"/>
      <c r="C14" s="1359"/>
      <c r="D14" s="1359"/>
      <c r="E14" s="1359"/>
      <c r="F14" s="1359"/>
      <c r="G14" s="1359"/>
      <c r="H14" s="1359"/>
      <c r="I14" s="1359"/>
      <c r="J14" s="1359"/>
      <c r="K14" s="1360"/>
    </row>
    <row r="15" spans="1:11" s="35" customFormat="1" ht="9.9499999999999993" customHeight="1" outlineLevel="1">
      <c r="A15" s="683">
        <v>0.5</v>
      </c>
      <c r="B15" s="684">
        <v>583800</v>
      </c>
      <c r="C15" s="684">
        <v>587750</v>
      </c>
      <c r="D15" s="684">
        <v>593950</v>
      </c>
      <c r="E15" s="684">
        <v>599700</v>
      </c>
      <c r="F15" s="684">
        <v>689650</v>
      </c>
      <c r="G15" s="684">
        <v>709100</v>
      </c>
      <c r="H15" s="684">
        <v>715200</v>
      </c>
      <c r="I15" s="684">
        <v>725650</v>
      </c>
      <c r="J15" s="684">
        <v>939450</v>
      </c>
      <c r="K15" s="684">
        <v>1293450</v>
      </c>
    </row>
    <row r="16" spans="1:11" s="35" customFormat="1" ht="9.9499999999999993" customHeight="1" outlineLevel="1">
      <c r="A16" s="683">
        <v>1</v>
      </c>
      <c r="B16" s="684">
        <v>660350</v>
      </c>
      <c r="C16" s="684">
        <v>664450</v>
      </c>
      <c r="D16" s="684">
        <v>700050</v>
      </c>
      <c r="E16" s="684">
        <v>717950</v>
      </c>
      <c r="F16" s="684">
        <v>822850</v>
      </c>
      <c r="G16" s="684">
        <v>846650</v>
      </c>
      <c r="H16" s="684">
        <v>849850</v>
      </c>
      <c r="I16" s="684">
        <v>904150</v>
      </c>
      <c r="J16" s="684">
        <v>1167350</v>
      </c>
      <c r="K16" s="684">
        <v>1554150</v>
      </c>
    </row>
    <row r="17" spans="1:26" s="35" customFormat="1" ht="9.9499999999999993" customHeight="1" outlineLevel="1">
      <c r="A17" s="683">
        <v>1.5</v>
      </c>
      <c r="B17" s="684">
        <v>736900</v>
      </c>
      <c r="C17" s="684">
        <v>741150</v>
      </c>
      <c r="D17" s="684">
        <v>783950</v>
      </c>
      <c r="E17" s="684">
        <v>836250</v>
      </c>
      <c r="F17" s="684">
        <v>956050</v>
      </c>
      <c r="G17" s="684">
        <v>984200</v>
      </c>
      <c r="H17" s="684">
        <v>1009750</v>
      </c>
      <c r="I17" s="684">
        <v>1081050</v>
      </c>
      <c r="J17" s="684">
        <v>1396900</v>
      </c>
      <c r="K17" s="684">
        <v>1814850</v>
      </c>
    </row>
    <row r="18" spans="1:26" s="35" customFormat="1" ht="9.9499999999999993" customHeight="1" outlineLevel="1">
      <c r="A18" s="683">
        <v>2</v>
      </c>
      <c r="B18" s="684">
        <v>813450</v>
      </c>
      <c r="C18" s="684">
        <v>817850</v>
      </c>
      <c r="D18" s="684">
        <v>867850</v>
      </c>
      <c r="E18" s="684">
        <v>954550</v>
      </c>
      <c r="F18" s="684">
        <v>1089250</v>
      </c>
      <c r="G18" s="684">
        <v>1121750</v>
      </c>
      <c r="H18" s="684">
        <v>1169650</v>
      </c>
      <c r="I18" s="684">
        <v>1257950</v>
      </c>
      <c r="J18" s="684">
        <v>1626450</v>
      </c>
      <c r="K18" s="684">
        <v>2075550</v>
      </c>
    </row>
    <row r="19" spans="1:26" s="35" customFormat="1" ht="9.9499999999999993" customHeight="1" outlineLevel="1">
      <c r="A19" s="685"/>
      <c r="B19" s="685"/>
      <c r="C19" s="685"/>
      <c r="D19" s="685"/>
      <c r="E19" s="685"/>
      <c r="F19" s="685"/>
      <c r="G19" s="685"/>
      <c r="H19" s="685"/>
      <c r="I19" s="685"/>
      <c r="J19" s="685"/>
      <c r="K19" s="685"/>
    </row>
    <row r="20" spans="1:26" s="32" customFormat="1" ht="15">
      <c r="A20" s="1361"/>
      <c r="B20" s="1362"/>
      <c r="C20" s="1362"/>
      <c r="D20" s="1362"/>
      <c r="E20" s="1362"/>
      <c r="F20" s="1362"/>
      <c r="G20" s="1362"/>
      <c r="H20" s="1362"/>
      <c r="I20" s="1362"/>
      <c r="J20" s="1362"/>
      <c r="K20" s="1363"/>
    </row>
    <row r="21" spans="1:26" s="36" customFormat="1" ht="12.75" customHeight="1">
      <c r="A21" s="686">
        <v>0.5</v>
      </c>
      <c r="B21" s="686">
        <v>603600</v>
      </c>
      <c r="C21" s="686">
        <v>659750</v>
      </c>
      <c r="D21" s="686">
        <v>708400</v>
      </c>
      <c r="E21" s="686">
        <v>712550</v>
      </c>
      <c r="F21" s="686">
        <v>811500</v>
      </c>
      <c r="G21" s="686">
        <v>811900</v>
      </c>
      <c r="H21" s="686">
        <v>817800</v>
      </c>
      <c r="I21" s="686">
        <v>819350</v>
      </c>
      <c r="J21" s="686">
        <v>985350</v>
      </c>
      <c r="K21" s="686">
        <v>1377850</v>
      </c>
      <c r="L21" s="35"/>
      <c r="M21" s="35"/>
      <c r="N21" s="35"/>
      <c r="O21" s="35"/>
      <c r="P21" s="35"/>
      <c r="Q21" s="35"/>
      <c r="R21" s="35"/>
      <c r="S21" s="35"/>
      <c r="T21" s="35"/>
      <c r="U21" s="35"/>
    </row>
    <row r="22" spans="1:26" s="36" customFormat="1" ht="12.75" customHeight="1">
      <c r="A22" s="683">
        <v>1</v>
      </c>
      <c r="B22" s="684">
        <v>679000</v>
      </c>
      <c r="C22" s="684">
        <v>733200</v>
      </c>
      <c r="D22" s="684">
        <v>824500</v>
      </c>
      <c r="E22" s="684">
        <v>830000</v>
      </c>
      <c r="F22" s="684">
        <v>940100</v>
      </c>
      <c r="G22" s="684">
        <v>942600</v>
      </c>
      <c r="H22" s="684">
        <v>949400</v>
      </c>
      <c r="I22" s="684">
        <v>999600</v>
      </c>
      <c r="J22" s="684">
        <v>1213350</v>
      </c>
      <c r="K22" s="684">
        <v>1637500</v>
      </c>
      <c r="L22" s="35"/>
      <c r="M22" s="35"/>
      <c r="N22" s="35"/>
      <c r="O22" s="35"/>
      <c r="P22" s="35"/>
      <c r="Q22" s="35"/>
      <c r="R22" s="35"/>
      <c r="S22" s="35"/>
      <c r="T22" s="35"/>
      <c r="U22" s="35"/>
      <c r="V22" s="187"/>
      <c r="W22" s="187"/>
      <c r="X22" s="187"/>
      <c r="Y22" s="187"/>
      <c r="Z22" s="187"/>
    </row>
    <row r="23" spans="1:26" s="36" customFormat="1" ht="12.75" customHeight="1">
      <c r="A23" s="683">
        <v>1.5</v>
      </c>
      <c r="B23" s="684">
        <v>754350</v>
      </c>
      <c r="C23" s="684">
        <v>806650</v>
      </c>
      <c r="D23" s="684">
        <v>911450</v>
      </c>
      <c r="E23" s="684">
        <v>947400</v>
      </c>
      <c r="F23" s="684">
        <v>1068750</v>
      </c>
      <c r="G23" s="684">
        <v>1099750</v>
      </c>
      <c r="H23" s="684">
        <v>1120950</v>
      </c>
      <c r="I23" s="684">
        <v>1173350</v>
      </c>
      <c r="J23" s="684">
        <v>1439650</v>
      </c>
      <c r="K23" s="684">
        <v>1897150</v>
      </c>
      <c r="L23" s="35"/>
      <c r="M23" s="35"/>
      <c r="N23" s="35"/>
      <c r="O23" s="35"/>
      <c r="P23" s="35"/>
      <c r="Q23" s="35"/>
      <c r="R23" s="35"/>
      <c r="S23" s="35"/>
      <c r="T23" s="35"/>
      <c r="U23" s="35"/>
    </row>
    <row r="24" spans="1:26" s="36" customFormat="1" ht="12.75" customHeight="1">
      <c r="A24" s="683">
        <v>2</v>
      </c>
      <c r="B24" s="684">
        <v>829700</v>
      </c>
      <c r="C24" s="684">
        <v>880100</v>
      </c>
      <c r="D24" s="684">
        <v>998400</v>
      </c>
      <c r="E24" s="684">
        <v>1064800</v>
      </c>
      <c r="F24" s="684">
        <v>1197400</v>
      </c>
      <c r="G24" s="684">
        <v>1256900</v>
      </c>
      <c r="H24" s="684">
        <v>1292500</v>
      </c>
      <c r="I24" s="684">
        <v>1347100</v>
      </c>
      <c r="J24" s="684">
        <v>1665950</v>
      </c>
      <c r="K24" s="684">
        <v>2156800</v>
      </c>
      <c r="L24" s="35"/>
      <c r="M24" s="35"/>
      <c r="N24" s="35"/>
      <c r="O24" s="35"/>
      <c r="P24" s="35"/>
      <c r="Q24" s="35"/>
      <c r="R24" s="35"/>
      <c r="S24" s="35"/>
      <c r="T24" s="35"/>
      <c r="U24" s="35"/>
    </row>
    <row r="25" spans="1:26" s="36" customFormat="1" ht="12.75" customHeight="1">
      <c r="A25" s="683">
        <v>2.5</v>
      </c>
      <c r="B25" s="684">
        <v>913650</v>
      </c>
      <c r="C25" s="684">
        <v>958950</v>
      </c>
      <c r="D25" s="684">
        <v>1091500</v>
      </c>
      <c r="E25" s="684">
        <v>1188900</v>
      </c>
      <c r="F25" s="684">
        <v>1333450</v>
      </c>
      <c r="G25" s="684">
        <v>1393750</v>
      </c>
      <c r="H25" s="684">
        <v>1472400</v>
      </c>
      <c r="I25" s="684">
        <v>1529450</v>
      </c>
      <c r="J25" s="684">
        <v>1903050</v>
      </c>
      <c r="K25" s="684">
        <v>2430100</v>
      </c>
      <c r="L25" s="35"/>
      <c r="M25" s="35"/>
      <c r="N25" s="35"/>
      <c r="O25" s="35"/>
      <c r="P25" s="35"/>
      <c r="Q25" s="35"/>
      <c r="R25" s="35"/>
      <c r="S25" s="35"/>
      <c r="T25" s="35"/>
      <c r="U25" s="35"/>
    </row>
    <row r="26" spans="1:26" s="36" customFormat="1" ht="12.75" customHeight="1">
      <c r="A26" s="683">
        <v>3</v>
      </c>
      <c r="B26" s="684">
        <v>979400</v>
      </c>
      <c r="C26" s="684">
        <v>1021250</v>
      </c>
      <c r="D26" s="684">
        <v>1165250</v>
      </c>
      <c r="E26" s="684">
        <v>1300100</v>
      </c>
      <c r="F26" s="684">
        <v>1462750</v>
      </c>
      <c r="G26" s="684">
        <v>1526800</v>
      </c>
      <c r="H26" s="684">
        <v>1624800</v>
      </c>
      <c r="I26" s="684">
        <v>1689250</v>
      </c>
      <c r="J26" s="684">
        <v>2117600</v>
      </c>
      <c r="K26" s="684">
        <v>2677400</v>
      </c>
      <c r="L26" s="35"/>
      <c r="M26" s="35"/>
      <c r="N26" s="35"/>
      <c r="O26" s="35"/>
      <c r="P26" s="35"/>
      <c r="Q26" s="35"/>
      <c r="R26" s="35"/>
      <c r="S26" s="35"/>
      <c r="T26" s="35"/>
      <c r="U26" s="35"/>
    </row>
    <row r="27" spans="1:26" s="36" customFormat="1" ht="12.75" customHeight="1">
      <c r="A27" s="683">
        <v>3.5</v>
      </c>
      <c r="B27" s="684">
        <v>1045150</v>
      </c>
      <c r="C27" s="684">
        <v>1083550</v>
      </c>
      <c r="D27" s="684">
        <v>1239000</v>
      </c>
      <c r="E27" s="684">
        <v>1411300</v>
      </c>
      <c r="F27" s="684">
        <v>1592050</v>
      </c>
      <c r="G27" s="684">
        <v>1659850</v>
      </c>
      <c r="H27" s="684">
        <v>1777200</v>
      </c>
      <c r="I27" s="684">
        <v>1849050</v>
      </c>
      <c r="J27" s="684">
        <v>2332150</v>
      </c>
      <c r="K27" s="684">
        <v>2924700</v>
      </c>
      <c r="L27" s="35"/>
      <c r="M27" s="35"/>
      <c r="N27" s="35"/>
      <c r="O27" s="35"/>
      <c r="P27" s="35"/>
      <c r="Q27" s="35"/>
      <c r="R27" s="35"/>
      <c r="S27" s="35"/>
      <c r="T27" s="35"/>
      <c r="U27" s="35"/>
    </row>
    <row r="28" spans="1:26" s="36" customFormat="1" ht="12.75" customHeight="1">
      <c r="A28" s="683">
        <v>4</v>
      </c>
      <c r="B28" s="684">
        <v>1110900</v>
      </c>
      <c r="C28" s="684">
        <v>1145850</v>
      </c>
      <c r="D28" s="684">
        <v>1312750</v>
      </c>
      <c r="E28" s="684">
        <v>1522500</v>
      </c>
      <c r="F28" s="684">
        <v>1721350</v>
      </c>
      <c r="G28" s="684">
        <v>1792900</v>
      </c>
      <c r="H28" s="684">
        <v>1929600</v>
      </c>
      <c r="I28" s="684">
        <v>2008850</v>
      </c>
      <c r="J28" s="684">
        <v>2546700</v>
      </c>
      <c r="K28" s="684">
        <v>3172000</v>
      </c>
      <c r="L28" s="35"/>
      <c r="M28" s="35"/>
      <c r="N28" s="35"/>
      <c r="O28" s="35"/>
      <c r="P28" s="35"/>
      <c r="Q28" s="35"/>
      <c r="R28" s="35"/>
      <c r="S28" s="35"/>
      <c r="T28" s="35"/>
      <c r="U28" s="35"/>
    </row>
    <row r="29" spans="1:26" s="36" customFormat="1" ht="12.75" customHeight="1">
      <c r="A29" s="683">
        <v>4.5</v>
      </c>
      <c r="B29" s="684">
        <v>1176650</v>
      </c>
      <c r="C29" s="684">
        <v>1208150</v>
      </c>
      <c r="D29" s="684">
        <v>1386500</v>
      </c>
      <c r="E29" s="684">
        <v>1633700</v>
      </c>
      <c r="F29" s="684">
        <v>1850650</v>
      </c>
      <c r="G29" s="684">
        <v>1925950</v>
      </c>
      <c r="H29" s="684">
        <v>2082000</v>
      </c>
      <c r="I29" s="684">
        <v>2168650</v>
      </c>
      <c r="J29" s="684">
        <v>2761250</v>
      </c>
      <c r="K29" s="684">
        <v>3419300</v>
      </c>
      <c r="L29" s="35"/>
      <c r="M29" s="35"/>
      <c r="N29" s="35"/>
      <c r="O29" s="35"/>
      <c r="P29" s="35"/>
      <c r="Q29" s="35"/>
      <c r="R29" s="35"/>
      <c r="S29" s="35"/>
      <c r="T29" s="35"/>
      <c r="U29" s="35"/>
    </row>
    <row r="30" spans="1:26" s="36" customFormat="1" ht="12.75" customHeight="1">
      <c r="A30" s="686">
        <v>5</v>
      </c>
      <c r="B30" s="686">
        <v>1242400</v>
      </c>
      <c r="C30" s="686">
        <v>1270450</v>
      </c>
      <c r="D30" s="686">
        <v>1460250</v>
      </c>
      <c r="E30" s="686">
        <v>1744900</v>
      </c>
      <c r="F30" s="686">
        <v>1979950</v>
      </c>
      <c r="G30" s="686">
        <v>2059000</v>
      </c>
      <c r="H30" s="686">
        <v>2234400</v>
      </c>
      <c r="I30" s="686">
        <v>2328450</v>
      </c>
      <c r="J30" s="686">
        <v>2975800</v>
      </c>
      <c r="K30" s="686">
        <v>3666600</v>
      </c>
      <c r="L30" s="35"/>
      <c r="M30" s="35"/>
      <c r="N30" s="35"/>
      <c r="O30" s="35"/>
      <c r="P30" s="35"/>
      <c r="Q30" s="35"/>
      <c r="R30" s="35"/>
      <c r="S30" s="35"/>
      <c r="T30" s="35"/>
      <c r="U30" s="35"/>
    </row>
    <row r="31" spans="1:26" s="36" customFormat="1" ht="12.75" customHeight="1">
      <c r="A31" s="683">
        <v>5.5</v>
      </c>
      <c r="B31" s="684">
        <v>1301400</v>
      </c>
      <c r="C31" s="684">
        <v>1329350</v>
      </c>
      <c r="D31" s="684">
        <v>1515350</v>
      </c>
      <c r="E31" s="684">
        <v>1850900</v>
      </c>
      <c r="F31" s="684">
        <v>2102500</v>
      </c>
      <c r="G31" s="684">
        <v>2188750</v>
      </c>
      <c r="H31" s="684">
        <v>2365100</v>
      </c>
      <c r="I31" s="684">
        <v>2465200</v>
      </c>
      <c r="J31" s="684">
        <v>3179050</v>
      </c>
      <c r="K31" s="684">
        <v>3900150</v>
      </c>
      <c r="L31" s="35"/>
      <c r="M31" s="35"/>
      <c r="N31" s="35"/>
      <c r="O31" s="35"/>
      <c r="P31" s="35"/>
      <c r="Q31" s="35"/>
      <c r="R31" s="35"/>
      <c r="S31" s="35"/>
      <c r="T31" s="35"/>
      <c r="U31" s="35"/>
    </row>
    <row r="32" spans="1:26" s="36" customFormat="1" ht="12.75" customHeight="1">
      <c r="A32" s="683">
        <v>6</v>
      </c>
      <c r="B32" s="684">
        <v>1360400</v>
      </c>
      <c r="C32" s="684">
        <v>1388250</v>
      </c>
      <c r="D32" s="684">
        <v>1570450</v>
      </c>
      <c r="E32" s="684">
        <v>1956900</v>
      </c>
      <c r="F32" s="684">
        <v>2225050</v>
      </c>
      <c r="G32" s="684">
        <v>2318500</v>
      </c>
      <c r="H32" s="684">
        <v>2495800</v>
      </c>
      <c r="I32" s="684">
        <v>2601950</v>
      </c>
      <c r="J32" s="684">
        <v>3382300</v>
      </c>
      <c r="K32" s="684">
        <v>4133700</v>
      </c>
      <c r="L32" s="35"/>
      <c r="M32" s="35"/>
      <c r="N32" s="35"/>
      <c r="O32" s="35"/>
      <c r="P32" s="35"/>
      <c r="Q32" s="35"/>
      <c r="R32" s="35"/>
      <c r="S32" s="35"/>
      <c r="T32" s="35"/>
      <c r="U32" s="35"/>
    </row>
    <row r="33" spans="1:21" s="36" customFormat="1" ht="12.75" customHeight="1">
      <c r="A33" s="683">
        <v>6.5</v>
      </c>
      <c r="B33" s="684">
        <v>1419400</v>
      </c>
      <c r="C33" s="684">
        <v>1447150</v>
      </c>
      <c r="D33" s="684">
        <v>1625550</v>
      </c>
      <c r="E33" s="684">
        <v>2062900</v>
      </c>
      <c r="F33" s="684">
        <v>2347600</v>
      </c>
      <c r="G33" s="684">
        <v>2448250</v>
      </c>
      <c r="H33" s="684">
        <v>2626500</v>
      </c>
      <c r="I33" s="684">
        <v>2738700</v>
      </c>
      <c r="J33" s="684">
        <v>3585550</v>
      </c>
      <c r="K33" s="684">
        <v>4367250</v>
      </c>
      <c r="L33" s="35"/>
      <c r="M33" s="35"/>
      <c r="N33" s="35"/>
      <c r="O33" s="35"/>
      <c r="P33" s="35"/>
      <c r="Q33" s="35"/>
      <c r="R33" s="35"/>
      <c r="S33" s="35"/>
      <c r="T33" s="35"/>
      <c r="U33" s="35"/>
    </row>
    <row r="34" spans="1:21" s="36" customFormat="1" ht="12.75" customHeight="1">
      <c r="A34" s="683">
        <v>7</v>
      </c>
      <c r="B34" s="684">
        <v>1478400</v>
      </c>
      <c r="C34" s="684">
        <v>1506050</v>
      </c>
      <c r="D34" s="684">
        <v>1680650</v>
      </c>
      <c r="E34" s="684">
        <v>2168900</v>
      </c>
      <c r="F34" s="684">
        <v>2470150</v>
      </c>
      <c r="G34" s="684">
        <v>2578000</v>
      </c>
      <c r="H34" s="684">
        <v>2757200</v>
      </c>
      <c r="I34" s="684">
        <v>2875450</v>
      </c>
      <c r="J34" s="684">
        <v>3788800</v>
      </c>
      <c r="K34" s="684">
        <v>4600800</v>
      </c>
      <c r="L34" s="35"/>
      <c r="M34" s="35"/>
      <c r="N34" s="35"/>
      <c r="O34" s="35"/>
      <c r="P34" s="35"/>
      <c r="Q34" s="35"/>
      <c r="R34" s="35"/>
      <c r="S34" s="35"/>
      <c r="T34" s="35"/>
      <c r="U34" s="35"/>
    </row>
    <row r="35" spans="1:21" s="36" customFormat="1" ht="12.75" customHeight="1">
      <c r="A35" s="683">
        <v>7.5</v>
      </c>
      <c r="B35" s="684">
        <v>1537400</v>
      </c>
      <c r="C35" s="684">
        <v>1564950</v>
      </c>
      <c r="D35" s="684">
        <v>1735750</v>
      </c>
      <c r="E35" s="684">
        <v>2274900</v>
      </c>
      <c r="F35" s="684">
        <v>2592700</v>
      </c>
      <c r="G35" s="684">
        <v>2707750</v>
      </c>
      <c r="H35" s="684">
        <v>2887900</v>
      </c>
      <c r="I35" s="684">
        <v>3012200</v>
      </c>
      <c r="J35" s="684">
        <v>3992050</v>
      </c>
      <c r="K35" s="684">
        <v>4834350</v>
      </c>
      <c r="L35" s="35"/>
      <c r="M35" s="35"/>
      <c r="N35" s="35"/>
      <c r="O35" s="35"/>
      <c r="P35" s="35"/>
      <c r="Q35" s="35"/>
      <c r="R35" s="35"/>
      <c r="S35" s="35"/>
      <c r="T35" s="35"/>
      <c r="U35" s="35"/>
    </row>
    <row r="36" spans="1:21" s="36" customFormat="1" ht="12.75" customHeight="1">
      <c r="A36" s="683">
        <v>8</v>
      </c>
      <c r="B36" s="684">
        <v>1596400</v>
      </c>
      <c r="C36" s="684">
        <v>1623850</v>
      </c>
      <c r="D36" s="684">
        <v>1790850</v>
      </c>
      <c r="E36" s="684">
        <v>2380900</v>
      </c>
      <c r="F36" s="684">
        <v>2715250</v>
      </c>
      <c r="G36" s="684">
        <v>2837500</v>
      </c>
      <c r="H36" s="684">
        <v>3018600</v>
      </c>
      <c r="I36" s="684">
        <v>3148950</v>
      </c>
      <c r="J36" s="684">
        <v>4195300</v>
      </c>
      <c r="K36" s="684">
        <v>5067900</v>
      </c>
      <c r="L36" s="35"/>
      <c r="M36" s="35"/>
      <c r="N36" s="35"/>
      <c r="O36" s="35"/>
      <c r="P36" s="35"/>
      <c r="Q36" s="35"/>
      <c r="R36" s="35"/>
      <c r="S36" s="35"/>
      <c r="T36" s="35"/>
      <c r="U36" s="35"/>
    </row>
    <row r="37" spans="1:21" s="36" customFormat="1" ht="12.75" customHeight="1">
      <c r="A37" s="683">
        <v>8.5</v>
      </c>
      <c r="B37" s="684">
        <v>1655400</v>
      </c>
      <c r="C37" s="684">
        <v>1682750</v>
      </c>
      <c r="D37" s="684">
        <v>1845950</v>
      </c>
      <c r="E37" s="684">
        <v>2486900</v>
      </c>
      <c r="F37" s="684">
        <v>2837800</v>
      </c>
      <c r="G37" s="684">
        <v>2967250</v>
      </c>
      <c r="H37" s="684">
        <v>3149300</v>
      </c>
      <c r="I37" s="684">
        <v>3285700</v>
      </c>
      <c r="J37" s="684">
        <v>4398550</v>
      </c>
      <c r="K37" s="684">
        <v>5301450</v>
      </c>
      <c r="L37" s="35"/>
      <c r="M37" s="35"/>
      <c r="N37" s="35"/>
      <c r="O37" s="35"/>
      <c r="P37" s="35"/>
      <c r="Q37" s="35"/>
      <c r="R37" s="35"/>
      <c r="S37" s="35"/>
      <c r="T37" s="35"/>
      <c r="U37" s="35"/>
    </row>
    <row r="38" spans="1:21" s="36" customFormat="1" ht="12.75" customHeight="1">
      <c r="A38" s="683">
        <v>9</v>
      </c>
      <c r="B38" s="684">
        <v>1714400</v>
      </c>
      <c r="C38" s="684">
        <v>1741650</v>
      </c>
      <c r="D38" s="684">
        <v>1901050</v>
      </c>
      <c r="E38" s="684">
        <v>2592900</v>
      </c>
      <c r="F38" s="684">
        <v>2960350</v>
      </c>
      <c r="G38" s="684">
        <v>3097000</v>
      </c>
      <c r="H38" s="684">
        <v>3280000</v>
      </c>
      <c r="I38" s="684">
        <v>3422450</v>
      </c>
      <c r="J38" s="684">
        <v>4601800</v>
      </c>
      <c r="K38" s="684">
        <v>5535000</v>
      </c>
      <c r="L38" s="35"/>
      <c r="M38" s="35"/>
      <c r="N38" s="35"/>
      <c r="O38" s="35"/>
      <c r="P38" s="35"/>
      <c r="Q38" s="35"/>
      <c r="R38" s="35"/>
      <c r="S38" s="35"/>
      <c r="T38" s="35"/>
      <c r="U38" s="35"/>
    </row>
    <row r="39" spans="1:21" s="36" customFormat="1" ht="12.75" customHeight="1">
      <c r="A39" s="683">
        <v>9.5</v>
      </c>
      <c r="B39" s="684">
        <v>1773400</v>
      </c>
      <c r="C39" s="684">
        <v>1800550</v>
      </c>
      <c r="D39" s="684">
        <v>1956150</v>
      </c>
      <c r="E39" s="684">
        <v>2698900</v>
      </c>
      <c r="F39" s="684">
        <v>3082900</v>
      </c>
      <c r="G39" s="684">
        <v>3226750</v>
      </c>
      <c r="H39" s="684">
        <v>3410700</v>
      </c>
      <c r="I39" s="684">
        <v>3559200</v>
      </c>
      <c r="J39" s="684">
        <v>4805050</v>
      </c>
      <c r="K39" s="684">
        <v>5768550</v>
      </c>
      <c r="L39" s="35"/>
      <c r="M39" s="35"/>
      <c r="N39" s="35"/>
      <c r="O39" s="35"/>
      <c r="P39" s="35"/>
      <c r="Q39" s="35"/>
      <c r="R39" s="35"/>
      <c r="S39" s="35"/>
      <c r="T39" s="35"/>
      <c r="U39" s="35"/>
    </row>
    <row r="40" spans="1:21" s="36" customFormat="1" ht="12.75" customHeight="1">
      <c r="A40" s="686">
        <v>10</v>
      </c>
      <c r="B40" s="686">
        <v>1832400</v>
      </c>
      <c r="C40" s="686">
        <v>1859450</v>
      </c>
      <c r="D40" s="686">
        <v>2011250</v>
      </c>
      <c r="E40" s="686">
        <v>2804900</v>
      </c>
      <c r="F40" s="686">
        <v>3205450</v>
      </c>
      <c r="G40" s="686">
        <v>3356500</v>
      </c>
      <c r="H40" s="686">
        <v>3541400</v>
      </c>
      <c r="I40" s="686">
        <v>3695950</v>
      </c>
      <c r="J40" s="686">
        <v>5008300</v>
      </c>
      <c r="K40" s="686">
        <v>6002100</v>
      </c>
      <c r="L40" s="35"/>
      <c r="M40" s="35"/>
      <c r="N40" s="35"/>
      <c r="O40" s="35"/>
      <c r="P40" s="35"/>
      <c r="Q40" s="35"/>
      <c r="R40" s="35"/>
      <c r="S40" s="35"/>
      <c r="T40" s="35"/>
      <c r="U40" s="35"/>
    </row>
    <row r="41" spans="1:21" s="36" customFormat="1" ht="12.75" customHeight="1">
      <c r="A41" s="683">
        <v>10.5</v>
      </c>
      <c r="B41" s="684">
        <v>1867900</v>
      </c>
      <c r="C41" s="684">
        <v>1896400</v>
      </c>
      <c r="D41" s="684">
        <v>2071350</v>
      </c>
      <c r="E41" s="684">
        <v>2869950</v>
      </c>
      <c r="F41" s="684">
        <v>3264250</v>
      </c>
      <c r="G41" s="684">
        <v>3416450</v>
      </c>
      <c r="H41" s="684">
        <v>3611800</v>
      </c>
      <c r="I41" s="684">
        <v>3776650</v>
      </c>
      <c r="J41" s="684">
        <v>5132900</v>
      </c>
      <c r="K41" s="684">
        <v>6173350</v>
      </c>
      <c r="L41" s="35"/>
      <c r="M41" s="35"/>
      <c r="N41" s="35"/>
      <c r="O41" s="35"/>
      <c r="P41" s="35"/>
      <c r="Q41" s="35"/>
      <c r="R41" s="35"/>
      <c r="S41" s="35"/>
      <c r="T41" s="35"/>
      <c r="U41" s="35"/>
    </row>
    <row r="42" spans="1:21" s="36" customFormat="1" ht="12.75" customHeight="1">
      <c r="A42" s="683">
        <v>11</v>
      </c>
      <c r="B42" s="684">
        <v>1903400</v>
      </c>
      <c r="C42" s="684">
        <v>1933350</v>
      </c>
      <c r="D42" s="684">
        <v>2131450</v>
      </c>
      <c r="E42" s="684">
        <v>2935000</v>
      </c>
      <c r="F42" s="684">
        <v>3323050</v>
      </c>
      <c r="G42" s="684">
        <v>3476400</v>
      </c>
      <c r="H42" s="684">
        <v>3682200</v>
      </c>
      <c r="I42" s="684">
        <v>3857350</v>
      </c>
      <c r="J42" s="684">
        <v>5257500</v>
      </c>
      <c r="K42" s="684">
        <v>6344600</v>
      </c>
      <c r="L42" s="35"/>
      <c r="M42" s="35"/>
      <c r="N42" s="35"/>
      <c r="O42" s="35"/>
      <c r="P42" s="35"/>
      <c r="Q42" s="35"/>
      <c r="R42" s="35"/>
      <c r="S42" s="35"/>
      <c r="T42" s="35"/>
      <c r="U42" s="35"/>
    </row>
    <row r="43" spans="1:21" s="36" customFormat="1" ht="12.75" customHeight="1">
      <c r="A43" s="683">
        <v>11.5</v>
      </c>
      <c r="B43" s="684">
        <v>1938900</v>
      </c>
      <c r="C43" s="684">
        <v>1970300</v>
      </c>
      <c r="D43" s="684">
        <v>2191550</v>
      </c>
      <c r="E43" s="684">
        <v>3000050</v>
      </c>
      <c r="F43" s="684">
        <v>3381850</v>
      </c>
      <c r="G43" s="684">
        <v>3536350</v>
      </c>
      <c r="H43" s="684">
        <v>3752600</v>
      </c>
      <c r="I43" s="684">
        <v>3938050</v>
      </c>
      <c r="J43" s="684">
        <v>5382100</v>
      </c>
      <c r="K43" s="684">
        <v>6515850</v>
      </c>
      <c r="L43" s="35"/>
      <c r="M43" s="35"/>
      <c r="N43" s="35"/>
      <c r="O43" s="35"/>
      <c r="P43" s="35"/>
      <c r="Q43" s="35"/>
      <c r="R43" s="35"/>
      <c r="S43" s="35"/>
      <c r="T43" s="35"/>
      <c r="U43" s="35"/>
    </row>
    <row r="44" spans="1:21" s="36" customFormat="1" ht="12.75" customHeight="1">
      <c r="A44" s="683">
        <v>12</v>
      </c>
      <c r="B44" s="684">
        <v>1974400</v>
      </c>
      <c r="C44" s="684">
        <v>2007250</v>
      </c>
      <c r="D44" s="684">
        <v>2251650</v>
      </c>
      <c r="E44" s="684">
        <v>3065100</v>
      </c>
      <c r="F44" s="684">
        <v>3440650</v>
      </c>
      <c r="G44" s="684">
        <v>3596300</v>
      </c>
      <c r="H44" s="684">
        <v>3823000</v>
      </c>
      <c r="I44" s="684">
        <v>4018750</v>
      </c>
      <c r="J44" s="684">
        <v>5506700</v>
      </c>
      <c r="K44" s="684">
        <v>6687100</v>
      </c>
      <c r="L44" s="35"/>
      <c r="M44" s="35"/>
      <c r="N44" s="35"/>
      <c r="O44" s="35"/>
      <c r="P44" s="35"/>
      <c r="Q44" s="35"/>
      <c r="R44" s="35"/>
      <c r="S44" s="35"/>
      <c r="T44" s="35"/>
      <c r="U44" s="35"/>
    </row>
    <row r="45" spans="1:21" s="36" customFormat="1" ht="12.75" customHeight="1">
      <c r="A45" s="683">
        <v>12.5</v>
      </c>
      <c r="B45" s="684">
        <v>2009900</v>
      </c>
      <c r="C45" s="684">
        <v>2044200</v>
      </c>
      <c r="D45" s="684">
        <v>2311750</v>
      </c>
      <c r="E45" s="684">
        <v>3130150</v>
      </c>
      <c r="F45" s="684">
        <v>3499450</v>
      </c>
      <c r="G45" s="684">
        <v>3656250</v>
      </c>
      <c r="H45" s="684">
        <v>3893400</v>
      </c>
      <c r="I45" s="684">
        <v>4099450</v>
      </c>
      <c r="J45" s="684">
        <v>5631300</v>
      </c>
      <c r="K45" s="684">
        <v>6858350</v>
      </c>
      <c r="L45" s="35"/>
      <c r="M45" s="35"/>
      <c r="N45" s="35"/>
      <c r="O45" s="35"/>
      <c r="P45" s="35"/>
      <c r="Q45" s="35"/>
      <c r="R45" s="35"/>
      <c r="S45" s="35"/>
      <c r="T45" s="35"/>
      <c r="U45" s="35"/>
    </row>
    <row r="46" spans="1:21" s="36" customFormat="1" ht="12.75" customHeight="1">
      <c r="A46" s="683">
        <v>13</v>
      </c>
      <c r="B46" s="684">
        <v>2045400</v>
      </c>
      <c r="C46" s="684">
        <v>2081150</v>
      </c>
      <c r="D46" s="684">
        <v>2371850</v>
      </c>
      <c r="E46" s="684">
        <v>3195200</v>
      </c>
      <c r="F46" s="684">
        <v>3558250</v>
      </c>
      <c r="G46" s="684">
        <v>3716200</v>
      </c>
      <c r="H46" s="684">
        <v>3963800</v>
      </c>
      <c r="I46" s="684">
        <v>4180150</v>
      </c>
      <c r="J46" s="684">
        <v>5755900</v>
      </c>
      <c r="K46" s="684">
        <v>7029600</v>
      </c>
      <c r="L46" s="35"/>
      <c r="M46" s="35"/>
      <c r="N46" s="35"/>
      <c r="O46" s="35"/>
      <c r="P46" s="35"/>
      <c r="Q46" s="35"/>
      <c r="R46" s="35"/>
      <c r="S46" s="35"/>
      <c r="T46" s="35"/>
      <c r="U46" s="35"/>
    </row>
    <row r="47" spans="1:21" s="36" customFormat="1" ht="12.75" customHeight="1">
      <c r="A47" s="683">
        <v>13.5</v>
      </c>
      <c r="B47" s="684">
        <v>2080900</v>
      </c>
      <c r="C47" s="684">
        <v>2118100</v>
      </c>
      <c r="D47" s="684">
        <v>2431950</v>
      </c>
      <c r="E47" s="684">
        <v>3260250</v>
      </c>
      <c r="F47" s="684">
        <v>3617050</v>
      </c>
      <c r="G47" s="684">
        <v>3776150</v>
      </c>
      <c r="H47" s="684">
        <v>4034200</v>
      </c>
      <c r="I47" s="684">
        <v>4260850</v>
      </c>
      <c r="J47" s="684">
        <v>5880500</v>
      </c>
      <c r="K47" s="684">
        <v>7200850</v>
      </c>
      <c r="L47" s="35"/>
      <c r="M47" s="35"/>
      <c r="N47" s="35"/>
      <c r="O47" s="35"/>
      <c r="P47" s="35"/>
      <c r="Q47" s="35"/>
      <c r="R47" s="35"/>
      <c r="S47" s="35"/>
      <c r="T47" s="35"/>
      <c r="U47" s="35"/>
    </row>
    <row r="48" spans="1:21" s="36" customFormat="1" ht="12.75" customHeight="1">
      <c r="A48" s="683">
        <v>14</v>
      </c>
      <c r="B48" s="684">
        <v>2116400</v>
      </c>
      <c r="C48" s="684">
        <v>2155050</v>
      </c>
      <c r="D48" s="684">
        <v>2492050</v>
      </c>
      <c r="E48" s="684">
        <v>3325300</v>
      </c>
      <c r="F48" s="684">
        <v>3675850</v>
      </c>
      <c r="G48" s="684">
        <v>3836100</v>
      </c>
      <c r="H48" s="684">
        <v>4104600</v>
      </c>
      <c r="I48" s="684">
        <v>4341550</v>
      </c>
      <c r="J48" s="684">
        <v>6005100</v>
      </c>
      <c r="K48" s="684">
        <v>7372100</v>
      </c>
      <c r="L48" s="35"/>
      <c r="M48" s="35"/>
      <c r="N48" s="35"/>
      <c r="O48" s="35"/>
      <c r="P48" s="35"/>
      <c r="Q48" s="35"/>
      <c r="R48" s="35"/>
      <c r="S48" s="35"/>
      <c r="T48" s="35"/>
      <c r="U48" s="35"/>
    </row>
    <row r="49" spans="1:21" s="36" customFormat="1" ht="12.75" customHeight="1">
      <c r="A49" s="683">
        <v>14.5</v>
      </c>
      <c r="B49" s="684">
        <v>2151900</v>
      </c>
      <c r="C49" s="684">
        <v>2192000</v>
      </c>
      <c r="D49" s="684">
        <v>2552150</v>
      </c>
      <c r="E49" s="684">
        <v>3390350</v>
      </c>
      <c r="F49" s="684">
        <v>3734650</v>
      </c>
      <c r="G49" s="684">
        <v>3896050</v>
      </c>
      <c r="H49" s="684">
        <v>4175000</v>
      </c>
      <c r="I49" s="684">
        <v>4422250</v>
      </c>
      <c r="J49" s="684">
        <v>6129700</v>
      </c>
      <c r="K49" s="684">
        <v>7543350</v>
      </c>
      <c r="L49" s="35"/>
      <c r="M49" s="35"/>
      <c r="N49" s="35"/>
      <c r="O49" s="35"/>
      <c r="P49" s="35"/>
      <c r="Q49" s="35"/>
      <c r="R49" s="35"/>
      <c r="S49" s="35"/>
      <c r="T49" s="35"/>
      <c r="U49" s="35"/>
    </row>
    <row r="50" spans="1:21" s="36" customFormat="1" ht="12.75" customHeight="1">
      <c r="A50" s="686">
        <v>15</v>
      </c>
      <c r="B50" s="686">
        <v>2187400</v>
      </c>
      <c r="C50" s="686">
        <v>2228950</v>
      </c>
      <c r="D50" s="686">
        <v>2612250</v>
      </c>
      <c r="E50" s="686">
        <v>3455400</v>
      </c>
      <c r="F50" s="686">
        <v>3793450</v>
      </c>
      <c r="G50" s="686">
        <v>3956000</v>
      </c>
      <c r="H50" s="686">
        <v>4245400</v>
      </c>
      <c r="I50" s="686">
        <v>4502950</v>
      </c>
      <c r="J50" s="686">
        <v>6254300</v>
      </c>
      <c r="K50" s="686">
        <v>7714600</v>
      </c>
      <c r="L50" s="35"/>
      <c r="M50" s="35"/>
      <c r="N50" s="35"/>
      <c r="O50" s="35"/>
      <c r="P50" s="35"/>
      <c r="Q50" s="35"/>
      <c r="R50" s="35"/>
      <c r="S50" s="35"/>
      <c r="T50" s="35"/>
      <c r="U50" s="35"/>
    </row>
    <row r="51" spans="1:21" s="36" customFormat="1" ht="12.75" customHeight="1">
      <c r="A51" s="683">
        <v>15.5</v>
      </c>
      <c r="B51" s="684">
        <v>2222900</v>
      </c>
      <c r="C51" s="684">
        <v>2265900</v>
      </c>
      <c r="D51" s="684">
        <v>2672350</v>
      </c>
      <c r="E51" s="684">
        <v>3520450</v>
      </c>
      <c r="F51" s="684">
        <v>3852250</v>
      </c>
      <c r="G51" s="684">
        <v>4015950</v>
      </c>
      <c r="H51" s="684">
        <v>4315800</v>
      </c>
      <c r="I51" s="684">
        <v>4583650</v>
      </c>
      <c r="J51" s="684">
        <v>6378900</v>
      </c>
      <c r="K51" s="684">
        <v>7885850</v>
      </c>
      <c r="L51" s="35"/>
      <c r="M51" s="35"/>
      <c r="N51" s="35"/>
      <c r="O51" s="35"/>
      <c r="P51" s="35"/>
      <c r="Q51" s="35"/>
      <c r="R51" s="35"/>
      <c r="S51" s="35"/>
      <c r="T51" s="35"/>
      <c r="U51" s="35"/>
    </row>
    <row r="52" spans="1:21" s="36" customFormat="1" ht="12.75" customHeight="1">
      <c r="A52" s="683">
        <v>16</v>
      </c>
      <c r="B52" s="684">
        <v>2258400</v>
      </c>
      <c r="C52" s="684">
        <v>2302850</v>
      </c>
      <c r="D52" s="684">
        <v>2732450</v>
      </c>
      <c r="E52" s="684">
        <v>3585500</v>
      </c>
      <c r="F52" s="684">
        <v>3911050</v>
      </c>
      <c r="G52" s="684">
        <v>4075900</v>
      </c>
      <c r="H52" s="684">
        <v>4386200</v>
      </c>
      <c r="I52" s="684">
        <v>4664350</v>
      </c>
      <c r="J52" s="684">
        <v>6503500</v>
      </c>
      <c r="K52" s="684">
        <v>8057100</v>
      </c>
      <c r="L52" s="35"/>
      <c r="M52" s="35"/>
      <c r="N52" s="35"/>
      <c r="O52" s="35"/>
      <c r="P52" s="35"/>
      <c r="Q52" s="35"/>
      <c r="R52" s="35"/>
      <c r="S52" s="35"/>
      <c r="T52" s="35"/>
      <c r="U52" s="35"/>
    </row>
    <row r="53" spans="1:21" s="36" customFormat="1" ht="12.75" customHeight="1">
      <c r="A53" s="683">
        <v>16.5</v>
      </c>
      <c r="B53" s="684">
        <v>2293900</v>
      </c>
      <c r="C53" s="684">
        <v>2339800</v>
      </c>
      <c r="D53" s="684">
        <v>2792550</v>
      </c>
      <c r="E53" s="684">
        <v>3650550</v>
      </c>
      <c r="F53" s="684">
        <v>3969850</v>
      </c>
      <c r="G53" s="684">
        <v>4135850</v>
      </c>
      <c r="H53" s="684">
        <v>4456600</v>
      </c>
      <c r="I53" s="684">
        <v>4745050</v>
      </c>
      <c r="J53" s="684">
        <v>6628100</v>
      </c>
      <c r="K53" s="684">
        <v>8228350</v>
      </c>
      <c r="L53" s="35"/>
      <c r="M53" s="35"/>
      <c r="N53" s="35"/>
      <c r="O53" s="35"/>
      <c r="P53" s="35"/>
      <c r="Q53" s="35"/>
      <c r="R53" s="35"/>
      <c r="S53" s="35"/>
      <c r="T53" s="35"/>
      <c r="U53" s="35"/>
    </row>
    <row r="54" spans="1:21" s="36" customFormat="1" ht="12.75" customHeight="1">
      <c r="A54" s="683">
        <v>17</v>
      </c>
      <c r="B54" s="684">
        <v>2329400</v>
      </c>
      <c r="C54" s="684">
        <v>2376750</v>
      </c>
      <c r="D54" s="684">
        <v>2852650</v>
      </c>
      <c r="E54" s="684">
        <v>3715600</v>
      </c>
      <c r="F54" s="684">
        <v>4028650</v>
      </c>
      <c r="G54" s="684">
        <v>4195800</v>
      </c>
      <c r="H54" s="684">
        <v>4527000</v>
      </c>
      <c r="I54" s="684">
        <v>4825750</v>
      </c>
      <c r="J54" s="684">
        <v>6752700</v>
      </c>
      <c r="K54" s="684">
        <v>8399600</v>
      </c>
      <c r="L54" s="35"/>
      <c r="M54" s="35"/>
      <c r="N54" s="35"/>
      <c r="O54" s="35"/>
      <c r="P54" s="35"/>
      <c r="Q54" s="35"/>
      <c r="R54" s="35"/>
      <c r="S54" s="35"/>
      <c r="T54" s="35"/>
      <c r="U54" s="35"/>
    </row>
    <row r="55" spans="1:21" s="36" customFormat="1" ht="12.75" customHeight="1">
      <c r="A55" s="683">
        <v>17.5</v>
      </c>
      <c r="B55" s="684">
        <v>2364900</v>
      </c>
      <c r="C55" s="684">
        <v>2413700</v>
      </c>
      <c r="D55" s="684">
        <v>2912750</v>
      </c>
      <c r="E55" s="684">
        <v>3780650</v>
      </c>
      <c r="F55" s="684">
        <v>4087450</v>
      </c>
      <c r="G55" s="684">
        <v>4255750</v>
      </c>
      <c r="H55" s="684">
        <v>4597400</v>
      </c>
      <c r="I55" s="684">
        <v>4906450</v>
      </c>
      <c r="J55" s="684">
        <v>6877300</v>
      </c>
      <c r="K55" s="684">
        <v>8570850</v>
      </c>
      <c r="L55" s="35"/>
      <c r="M55" s="35"/>
      <c r="N55" s="35"/>
      <c r="O55" s="35"/>
      <c r="P55" s="35"/>
      <c r="Q55" s="35"/>
      <c r="R55" s="35"/>
      <c r="S55" s="35"/>
      <c r="T55" s="35"/>
      <c r="U55" s="35"/>
    </row>
    <row r="56" spans="1:21" s="36" customFormat="1" ht="12.75" customHeight="1">
      <c r="A56" s="683">
        <v>18</v>
      </c>
      <c r="B56" s="684">
        <v>2400400</v>
      </c>
      <c r="C56" s="684">
        <v>2450650</v>
      </c>
      <c r="D56" s="684">
        <v>2972850</v>
      </c>
      <c r="E56" s="684">
        <v>3845700</v>
      </c>
      <c r="F56" s="684">
        <v>4146250</v>
      </c>
      <c r="G56" s="684">
        <v>4315700</v>
      </c>
      <c r="H56" s="684">
        <v>4667800</v>
      </c>
      <c r="I56" s="684">
        <v>4987150</v>
      </c>
      <c r="J56" s="684">
        <v>7001900</v>
      </c>
      <c r="K56" s="684">
        <v>8742100</v>
      </c>
      <c r="L56" s="35"/>
      <c r="M56" s="35"/>
      <c r="N56" s="35"/>
      <c r="O56" s="35"/>
      <c r="P56" s="35"/>
      <c r="Q56" s="35"/>
      <c r="R56" s="35"/>
      <c r="S56" s="35"/>
      <c r="T56" s="35"/>
      <c r="U56" s="35"/>
    </row>
    <row r="57" spans="1:21" s="36" customFormat="1" ht="12.75" customHeight="1">
      <c r="A57" s="683">
        <v>18.5</v>
      </c>
      <c r="B57" s="684">
        <v>2435900</v>
      </c>
      <c r="C57" s="684">
        <v>2487600</v>
      </c>
      <c r="D57" s="684">
        <v>3032950</v>
      </c>
      <c r="E57" s="684">
        <v>3910750</v>
      </c>
      <c r="F57" s="684">
        <v>4205050</v>
      </c>
      <c r="G57" s="684">
        <v>4375650</v>
      </c>
      <c r="H57" s="684">
        <v>4738200</v>
      </c>
      <c r="I57" s="684">
        <v>5067850</v>
      </c>
      <c r="J57" s="684">
        <v>7126500</v>
      </c>
      <c r="K57" s="684">
        <v>8913350</v>
      </c>
      <c r="L57" s="35"/>
      <c r="M57" s="35"/>
      <c r="N57" s="35"/>
      <c r="O57" s="35"/>
      <c r="P57" s="35"/>
      <c r="Q57" s="35"/>
      <c r="R57" s="35"/>
      <c r="S57" s="35"/>
      <c r="T57" s="35"/>
      <c r="U57" s="35"/>
    </row>
    <row r="58" spans="1:21" s="36" customFormat="1" ht="12.75" customHeight="1">
      <c r="A58" s="683">
        <v>19</v>
      </c>
      <c r="B58" s="684">
        <v>2471400</v>
      </c>
      <c r="C58" s="684">
        <v>2524550</v>
      </c>
      <c r="D58" s="684">
        <v>3093050</v>
      </c>
      <c r="E58" s="684">
        <v>3975800</v>
      </c>
      <c r="F58" s="684">
        <v>4263850</v>
      </c>
      <c r="G58" s="684">
        <v>4435600</v>
      </c>
      <c r="H58" s="684">
        <v>4808600</v>
      </c>
      <c r="I58" s="684">
        <v>5148550</v>
      </c>
      <c r="J58" s="684">
        <v>7251100</v>
      </c>
      <c r="K58" s="684">
        <v>9084600</v>
      </c>
      <c r="L58" s="35"/>
      <c r="M58" s="35"/>
      <c r="N58" s="35"/>
      <c r="O58" s="35"/>
      <c r="P58" s="35"/>
      <c r="Q58" s="35"/>
      <c r="R58" s="35"/>
      <c r="S58" s="35"/>
      <c r="T58" s="35"/>
      <c r="U58" s="35"/>
    </row>
    <row r="59" spans="1:21" s="36" customFormat="1" ht="12.75" customHeight="1">
      <c r="A59" s="683">
        <v>19.5</v>
      </c>
      <c r="B59" s="684">
        <v>2506900</v>
      </c>
      <c r="C59" s="684">
        <v>2561500</v>
      </c>
      <c r="D59" s="684">
        <v>3153150</v>
      </c>
      <c r="E59" s="684">
        <v>4040850</v>
      </c>
      <c r="F59" s="684">
        <v>4322650</v>
      </c>
      <c r="G59" s="684">
        <v>4495550</v>
      </c>
      <c r="H59" s="684">
        <v>4879000</v>
      </c>
      <c r="I59" s="684">
        <v>5229250</v>
      </c>
      <c r="J59" s="684">
        <v>7375700</v>
      </c>
      <c r="K59" s="684">
        <v>9255850</v>
      </c>
      <c r="L59" s="35"/>
      <c r="M59" s="35"/>
      <c r="N59" s="35"/>
      <c r="O59" s="35"/>
      <c r="P59" s="35"/>
      <c r="Q59" s="35"/>
      <c r="R59" s="35"/>
      <c r="S59" s="35"/>
      <c r="T59" s="35"/>
      <c r="U59" s="35"/>
    </row>
    <row r="60" spans="1:21" s="36" customFormat="1" ht="12.75" customHeight="1">
      <c r="A60" s="686">
        <v>20</v>
      </c>
      <c r="B60" s="686">
        <v>2542400</v>
      </c>
      <c r="C60" s="686">
        <v>2598450</v>
      </c>
      <c r="D60" s="686">
        <v>3213250</v>
      </c>
      <c r="E60" s="686">
        <v>4105900</v>
      </c>
      <c r="F60" s="686">
        <v>4381450</v>
      </c>
      <c r="G60" s="686">
        <v>4555500</v>
      </c>
      <c r="H60" s="686">
        <v>4949400</v>
      </c>
      <c r="I60" s="686">
        <v>5309950</v>
      </c>
      <c r="J60" s="686">
        <v>7500300</v>
      </c>
      <c r="K60" s="686">
        <v>9427100</v>
      </c>
      <c r="L60" s="35"/>
      <c r="M60" s="35"/>
      <c r="N60" s="35"/>
      <c r="O60" s="35"/>
      <c r="P60" s="35"/>
      <c r="Q60" s="35"/>
      <c r="R60" s="35"/>
      <c r="S60" s="35"/>
      <c r="T60" s="35"/>
      <c r="U60" s="35"/>
    </row>
    <row r="61" spans="1:21" s="36" customFormat="1" ht="12.75" customHeight="1">
      <c r="A61" s="683">
        <v>20.5</v>
      </c>
      <c r="B61" s="684">
        <v>2579550</v>
      </c>
      <c r="C61" s="684">
        <v>2647250</v>
      </c>
      <c r="D61" s="684">
        <v>3276850</v>
      </c>
      <c r="E61" s="684">
        <v>4162300</v>
      </c>
      <c r="F61" s="684">
        <v>4433500</v>
      </c>
      <c r="G61" s="684">
        <v>4673600</v>
      </c>
      <c r="H61" s="684">
        <v>5056550</v>
      </c>
      <c r="I61" s="684">
        <v>5410550</v>
      </c>
      <c r="J61" s="684">
        <v>7647800</v>
      </c>
      <c r="K61" s="684">
        <v>9626000</v>
      </c>
      <c r="L61" s="35"/>
      <c r="M61" s="35"/>
      <c r="N61" s="35"/>
      <c r="O61" s="35"/>
      <c r="P61" s="35"/>
      <c r="Q61" s="35"/>
      <c r="R61" s="35"/>
      <c r="S61" s="35"/>
      <c r="T61" s="35"/>
      <c r="U61" s="35"/>
    </row>
    <row r="62" spans="1:21" s="36" customFormat="1" ht="12.75" customHeight="1">
      <c r="A62" s="683">
        <v>21</v>
      </c>
      <c r="B62" s="684">
        <v>2616700</v>
      </c>
      <c r="C62" s="684">
        <v>2696050</v>
      </c>
      <c r="D62" s="684">
        <v>3340450</v>
      </c>
      <c r="E62" s="684">
        <v>4218700</v>
      </c>
      <c r="F62" s="684">
        <v>4485550</v>
      </c>
      <c r="G62" s="684">
        <v>4791700</v>
      </c>
      <c r="H62" s="684">
        <v>5163700</v>
      </c>
      <c r="I62" s="684">
        <v>5511150</v>
      </c>
      <c r="J62" s="684">
        <v>7795300</v>
      </c>
      <c r="K62" s="684">
        <v>9824900</v>
      </c>
      <c r="L62" s="35"/>
      <c r="M62" s="35"/>
      <c r="N62" s="35"/>
      <c r="O62" s="35"/>
      <c r="P62" s="35"/>
      <c r="Q62" s="35"/>
      <c r="R62" s="35"/>
      <c r="S62" s="35"/>
      <c r="T62" s="35"/>
      <c r="U62" s="35"/>
    </row>
    <row r="63" spans="1:21" s="36" customFormat="1" ht="12.75" customHeight="1">
      <c r="A63" s="683">
        <v>21.5</v>
      </c>
      <c r="B63" s="684">
        <v>2653850</v>
      </c>
      <c r="C63" s="684">
        <v>2744850</v>
      </c>
      <c r="D63" s="684">
        <v>3404050</v>
      </c>
      <c r="E63" s="684">
        <v>4275100</v>
      </c>
      <c r="F63" s="684">
        <v>4537600</v>
      </c>
      <c r="G63" s="684">
        <v>4909800</v>
      </c>
      <c r="H63" s="684">
        <v>5270850</v>
      </c>
      <c r="I63" s="684">
        <v>5611750</v>
      </c>
      <c r="J63" s="684">
        <v>7942800</v>
      </c>
      <c r="K63" s="684">
        <v>10023800</v>
      </c>
      <c r="L63" s="35"/>
      <c r="M63" s="35"/>
      <c r="N63" s="35"/>
      <c r="O63" s="35"/>
      <c r="P63" s="35"/>
      <c r="Q63" s="35"/>
      <c r="R63" s="35"/>
      <c r="S63" s="35"/>
      <c r="T63" s="35"/>
      <c r="U63" s="35"/>
    </row>
    <row r="64" spans="1:21" s="36" customFormat="1" ht="12.75" customHeight="1">
      <c r="A64" s="683">
        <v>22</v>
      </c>
      <c r="B64" s="684">
        <v>2691000</v>
      </c>
      <c r="C64" s="684">
        <v>2793650</v>
      </c>
      <c r="D64" s="684">
        <v>3467650</v>
      </c>
      <c r="E64" s="684">
        <v>4331500</v>
      </c>
      <c r="F64" s="684">
        <v>4589650</v>
      </c>
      <c r="G64" s="684">
        <v>5027900</v>
      </c>
      <c r="H64" s="684">
        <v>5378000</v>
      </c>
      <c r="I64" s="684">
        <v>5712350</v>
      </c>
      <c r="J64" s="684">
        <v>8090300</v>
      </c>
      <c r="K64" s="684">
        <v>10222700</v>
      </c>
      <c r="L64" s="35"/>
      <c r="M64" s="35"/>
      <c r="N64" s="35"/>
      <c r="O64" s="35"/>
      <c r="P64" s="35"/>
      <c r="Q64" s="35"/>
      <c r="R64" s="35"/>
      <c r="S64" s="35"/>
      <c r="T64" s="35"/>
      <c r="U64" s="35"/>
    </row>
    <row r="65" spans="1:21" s="36" customFormat="1" ht="12.75" customHeight="1">
      <c r="A65" s="683">
        <v>22.5</v>
      </c>
      <c r="B65" s="684">
        <v>2728150</v>
      </c>
      <c r="C65" s="684">
        <v>2842450</v>
      </c>
      <c r="D65" s="684">
        <v>3531250</v>
      </c>
      <c r="E65" s="684">
        <v>4387900</v>
      </c>
      <c r="F65" s="684">
        <v>4641700</v>
      </c>
      <c r="G65" s="684">
        <v>5146000</v>
      </c>
      <c r="H65" s="684">
        <v>5485150</v>
      </c>
      <c r="I65" s="684">
        <v>5812950</v>
      </c>
      <c r="J65" s="684">
        <v>8237800</v>
      </c>
      <c r="K65" s="684">
        <v>10421600</v>
      </c>
      <c r="L65" s="35"/>
      <c r="M65" s="35"/>
      <c r="N65" s="35"/>
      <c r="O65" s="35"/>
      <c r="P65" s="35"/>
      <c r="Q65" s="35"/>
      <c r="R65" s="35"/>
      <c r="S65" s="35"/>
      <c r="T65" s="35"/>
      <c r="U65" s="35"/>
    </row>
    <row r="66" spans="1:21" s="36" customFormat="1" ht="12.75" customHeight="1">
      <c r="A66" s="683">
        <v>23</v>
      </c>
      <c r="B66" s="684">
        <v>2765300</v>
      </c>
      <c r="C66" s="684">
        <v>2891250</v>
      </c>
      <c r="D66" s="684">
        <v>3594850</v>
      </c>
      <c r="E66" s="684">
        <v>4444300</v>
      </c>
      <c r="F66" s="684">
        <v>4693750</v>
      </c>
      <c r="G66" s="684">
        <v>5264100</v>
      </c>
      <c r="H66" s="684">
        <v>5592300</v>
      </c>
      <c r="I66" s="684">
        <v>5913550</v>
      </c>
      <c r="J66" s="684">
        <v>8385300</v>
      </c>
      <c r="K66" s="684">
        <v>10620500</v>
      </c>
      <c r="L66" s="35"/>
      <c r="M66" s="35"/>
      <c r="N66" s="35"/>
      <c r="O66" s="35"/>
      <c r="P66" s="35"/>
      <c r="Q66" s="35"/>
      <c r="R66" s="35"/>
      <c r="S66" s="35"/>
      <c r="T66" s="35"/>
      <c r="U66" s="35"/>
    </row>
    <row r="67" spans="1:21" s="36" customFormat="1" ht="12.75" customHeight="1">
      <c r="A67" s="683">
        <v>23.5</v>
      </c>
      <c r="B67" s="684">
        <v>2802450</v>
      </c>
      <c r="C67" s="684">
        <v>2940050</v>
      </c>
      <c r="D67" s="684">
        <v>3658450</v>
      </c>
      <c r="E67" s="684">
        <v>4500700</v>
      </c>
      <c r="F67" s="684">
        <v>4745800</v>
      </c>
      <c r="G67" s="684">
        <v>5382200</v>
      </c>
      <c r="H67" s="684">
        <v>5699450</v>
      </c>
      <c r="I67" s="684">
        <v>6014150</v>
      </c>
      <c r="J67" s="684">
        <v>8532800</v>
      </c>
      <c r="K67" s="684">
        <v>10819400</v>
      </c>
      <c r="L67" s="35"/>
      <c r="M67" s="35"/>
      <c r="N67" s="35"/>
      <c r="O67" s="35"/>
      <c r="P67" s="35"/>
      <c r="Q67" s="35"/>
      <c r="R67" s="35"/>
      <c r="S67" s="35"/>
      <c r="T67" s="35"/>
      <c r="U67" s="35"/>
    </row>
    <row r="68" spans="1:21" s="36" customFormat="1" ht="12.75" customHeight="1">
      <c r="A68" s="683">
        <v>24</v>
      </c>
      <c r="B68" s="684">
        <v>2839600</v>
      </c>
      <c r="C68" s="684">
        <v>2988850</v>
      </c>
      <c r="D68" s="684">
        <v>3722050</v>
      </c>
      <c r="E68" s="684">
        <v>4557100</v>
      </c>
      <c r="F68" s="684">
        <v>4797850</v>
      </c>
      <c r="G68" s="684">
        <v>5500300</v>
      </c>
      <c r="H68" s="684">
        <v>5806600</v>
      </c>
      <c r="I68" s="684">
        <v>6114750</v>
      </c>
      <c r="J68" s="684">
        <v>8680300</v>
      </c>
      <c r="K68" s="684">
        <v>11018300</v>
      </c>
      <c r="L68" s="35"/>
      <c r="M68" s="35"/>
      <c r="N68" s="35"/>
      <c r="O68" s="35"/>
      <c r="P68" s="35"/>
      <c r="Q68" s="35"/>
      <c r="R68" s="35"/>
      <c r="S68" s="35"/>
      <c r="T68" s="35"/>
      <c r="U68" s="35"/>
    </row>
    <row r="69" spans="1:21" s="36" customFormat="1" ht="12.75" customHeight="1">
      <c r="A69" s="683">
        <v>24.5</v>
      </c>
      <c r="B69" s="684">
        <v>2876750</v>
      </c>
      <c r="C69" s="684">
        <v>3037650</v>
      </c>
      <c r="D69" s="684">
        <v>3785650</v>
      </c>
      <c r="E69" s="684">
        <v>4613500</v>
      </c>
      <c r="F69" s="684">
        <v>4849900</v>
      </c>
      <c r="G69" s="684">
        <v>5618400</v>
      </c>
      <c r="H69" s="684">
        <v>5913750</v>
      </c>
      <c r="I69" s="684">
        <v>6215350</v>
      </c>
      <c r="J69" s="684">
        <v>8827800</v>
      </c>
      <c r="K69" s="684">
        <v>11217200</v>
      </c>
      <c r="L69" s="35"/>
      <c r="M69" s="35"/>
      <c r="N69" s="35"/>
      <c r="O69" s="35"/>
      <c r="P69" s="35"/>
      <c r="Q69" s="35"/>
      <c r="R69" s="35"/>
      <c r="S69" s="35"/>
      <c r="T69" s="35"/>
      <c r="U69" s="35"/>
    </row>
    <row r="70" spans="1:21" s="36" customFormat="1" ht="12.75" customHeight="1">
      <c r="A70" s="686">
        <v>25</v>
      </c>
      <c r="B70" s="686">
        <v>2913900</v>
      </c>
      <c r="C70" s="686">
        <v>3086450</v>
      </c>
      <c r="D70" s="686">
        <v>3849250</v>
      </c>
      <c r="E70" s="686">
        <v>4669900</v>
      </c>
      <c r="F70" s="686">
        <v>4901950</v>
      </c>
      <c r="G70" s="686">
        <v>5736500</v>
      </c>
      <c r="H70" s="686">
        <v>6020900</v>
      </c>
      <c r="I70" s="686">
        <v>6315950</v>
      </c>
      <c r="J70" s="686">
        <v>8975300</v>
      </c>
      <c r="K70" s="686">
        <v>11416100</v>
      </c>
      <c r="L70" s="35"/>
      <c r="M70" s="35"/>
      <c r="N70" s="35"/>
      <c r="O70" s="35"/>
      <c r="P70" s="35"/>
      <c r="Q70" s="35"/>
      <c r="R70" s="35"/>
      <c r="S70" s="35"/>
      <c r="T70" s="35"/>
      <c r="U70" s="35"/>
    </row>
    <row r="71" spans="1:21" s="36" customFormat="1" ht="12.75" customHeight="1">
      <c r="A71" s="687">
        <v>25.5</v>
      </c>
      <c r="B71" s="684">
        <v>2951050</v>
      </c>
      <c r="C71" s="684">
        <v>3135250</v>
      </c>
      <c r="D71" s="684">
        <v>3912850</v>
      </c>
      <c r="E71" s="684">
        <v>4726300</v>
      </c>
      <c r="F71" s="684">
        <v>4954000</v>
      </c>
      <c r="G71" s="684">
        <v>5854600</v>
      </c>
      <c r="H71" s="684">
        <v>6128050</v>
      </c>
      <c r="I71" s="684">
        <v>6416550</v>
      </c>
      <c r="J71" s="684">
        <v>9122800</v>
      </c>
      <c r="K71" s="684">
        <v>11615000</v>
      </c>
      <c r="L71" s="35"/>
      <c r="M71" s="35"/>
      <c r="N71" s="35"/>
      <c r="O71" s="35"/>
      <c r="P71" s="35"/>
      <c r="Q71" s="35"/>
      <c r="R71" s="35"/>
      <c r="S71" s="35"/>
      <c r="T71" s="35"/>
      <c r="U71" s="35"/>
    </row>
    <row r="72" spans="1:21" s="36" customFormat="1" ht="12.75" customHeight="1">
      <c r="A72" s="687">
        <v>26</v>
      </c>
      <c r="B72" s="684">
        <v>2988200</v>
      </c>
      <c r="C72" s="684">
        <v>3184050</v>
      </c>
      <c r="D72" s="684">
        <v>3976450</v>
      </c>
      <c r="E72" s="684">
        <v>4782700</v>
      </c>
      <c r="F72" s="684">
        <v>5006050</v>
      </c>
      <c r="G72" s="684">
        <v>5972700</v>
      </c>
      <c r="H72" s="684">
        <v>6235200</v>
      </c>
      <c r="I72" s="684">
        <v>6517150</v>
      </c>
      <c r="J72" s="684">
        <v>9270300</v>
      </c>
      <c r="K72" s="684">
        <v>11813900</v>
      </c>
      <c r="L72" s="35"/>
      <c r="M72" s="35"/>
      <c r="N72" s="35"/>
      <c r="O72" s="35"/>
      <c r="P72" s="35"/>
      <c r="Q72" s="35"/>
      <c r="R72" s="35"/>
      <c r="S72" s="35"/>
      <c r="T72" s="35"/>
      <c r="U72" s="35"/>
    </row>
    <row r="73" spans="1:21" s="36" customFormat="1" ht="12.75" customHeight="1">
      <c r="A73" s="687">
        <v>26.5</v>
      </c>
      <c r="B73" s="684">
        <v>3025350</v>
      </c>
      <c r="C73" s="684">
        <v>3232850</v>
      </c>
      <c r="D73" s="684">
        <v>4040050</v>
      </c>
      <c r="E73" s="684">
        <v>4839100</v>
      </c>
      <c r="F73" s="684">
        <v>5058100</v>
      </c>
      <c r="G73" s="684">
        <v>6090800</v>
      </c>
      <c r="H73" s="684">
        <v>6342350</v>
      </c>
      <c r="I73" s="684">
        <v>6617750</v>
      </c>
      <c r="J73" s="684">
        <v>9417800</v>
      </c>
      <c r="K73" s="684">
        <v>12012800</v>
      </c>
      <c r="L73" s="35"/>
      <c r="M73" s="35"/>
      <c r="N73" s="35"/>
      <c r="O73" s="35"/>
      <c r="P73" s="35"/>
      <c r="Q73" s="35"/>
      <c r="R73" s="35"/>
      <c r="S73" s="35"/>
      <c r="T73" s="35"/>
      <c r="U73" s="35"/>
    </row>
    <row r="74" spans="1:21" s="36" customFormat="1" ht="12.75" customHeight="1">
      <c r="A74" s="687">
        <v>27</v>
      </c>
      <c r="B74" s="684">
        <v>3062500</v>
      </c>
      <c r="C74" s="684">
        <v>3281650</v>
      </c>
      <c r="D74" s="684">
        <v>4103650</v>
      </c>
      <c r="E74" s="684">
        <v>4895500</v>
      </c>
      <c r="F74" s="684">
        <v>5110150</v>
      </c>
      <c r="G74" s="684">
        <v>6208900</v>
      </c>
      <c r="H74" s="684">
        <v>6449500</v>
      </c>
      <c r="I74" s="684">
        <v>6718350</v>
      </c>
      <c r="J74" s="684">
        <v>9565300</v>
      </c>
      <c r="K74" s="684">
        <v>12211700</v>
      </c>
      <c r="L74" s="35"/>
      <c r="M74" s="35"/>
      <c r="N74" s="35"/>
      <c r="O74" s="35"/>
      <c r="P74" s="35"/>
      <c r="Q74" s="35"/>
      <c r="R74" s="35"/>
      <c r="S74" s="35"/>
      <c r="T74" s="35"/>
      <c r="U74" s="35"/>
    </row>
    <row r="75" spans="1:21" s="36" customFormat="1" ht="12.75" customHeight="1">
      <c r="A75" s="687">
        <v>27.5</v>
      </c>
      <c r="B75" s="684">
        <v>3099650</v>
      </c>
      <c r="C75" s="684">
        <v>3330450</v>
      </c>
      <c r="D75" s="684">
        <v>4167250</v>
      </c>
      <c r="E75" s="684">
        <v>4951900</v>
      </c>
      <c r="F75" s="684">
        <v>5162200</v>
      </c>
      <c r="G75" s="684">
        <v>6327000</v>
      </c>
      <c r="H75" s="684">
        <v>6556650</v>
      </c>
      <c r="I75" s="684">
        <v>6818950</v>
      </c>
      <c r="J75" s="684">
        <v>9712800</v>
      </c>
      <c r="K75" s="684">
        <v>12410600</v>
      </c>
      <c r="L75" s="35"/>
      <c r="M75" s="35"/>
      <c r="N75" s="35"/>
      <c r="O75" s="35"/>
      <c r="P75" s="35"/>
      <c r="Q75" s="35"/>
      <c r="R75" s="35"/>
      <c r="S75" s="35"/>
      <c r="T75" s="35"/>
      <c r="U75" s="35"/>
    </row>
    <row r="76" spans="1:21" s="36" customFormat="1" ht="12.75" customHeight="1">
      <c r="A76" s="687">
        <v>28</v>
      </c>
      <c r="B76" s="684">
        <v>3136800</v>
      </c>
      <c r="C76" s="684">
        <v>3379250</v>
      </c>
      <c r="D76" s="684">
        <v>4230850</v>
      </c>
      <c r="E76" s="684">
        <v>5008300</v>
      </c>
      <c r="F76" s="684">
        <v>5214250</v>
      </c>
      <c r="G76" s="684">
        <v>6445100</v>
      </c>
      <c r="H76" s="684">
        <v>6663800</v>
      </c>
      <c r="I76" s="684">
        <v>6919550</v>
      </c>
      <c r="J76" s="684">
        <v>9860300</v>
      </c>
      <c r="K76" s="684">
        <v>12609500</v>
      </c>
      <c r="L76" s="35"/>
      <c r="M76" s="35"/>
      <c r="N76" s="35"/>
      <c r="O76" s="35"/>
      <c r="P76" s="35"/>
      <c r="Q76" s="35"/>
      <c r="R76" s="35"/>
      <c r="S76" s="35"/>
      <c r="T76" s="35"/>
      <c r="U76" s="35"/>
    </row>
    <row r="77" spans="1:21" s="36" customFormat="1" ht="12.75" customHeight="1">
      <c r="A77" s="687">
        <v>28.5</v>
      </c>
      <c r="B77" s="684">
        <v>3173950</v>
      </c>
      <c r="C77" s="684">
        <v>3428050</v>
      </c>
      <c r="D77" s="684">
        <v>4294450</v>
      </c>
      <c r="E77" s="684">
        <v>5064700</v>
      </c>
      <c r="F77" s="684">
        <v>5266300</v>
      </c>
      <c r="G77" s="684">
        <v>6563200</v>
      </c>
      <c r="H77" s="684">
        <v>6770950</v>
      </c>
      <c r="I77" s="684">
        <v>7020150</v>
      </c>
      <c r="J77" s="684">
        <v>10007800</v>
      </c>
      <c r="K77" s="684">
        <v>12808400</v>
      </c>
      <c r="L77" s="35"/>
      <c r="M77" s="35"/>
      <c r="N77" s="35"/>
      <c r="O77" s="35"/>
      <c r="P77" s="35"/>
      <c r="Q77" s="35"/>
      <c r="R77" s="35"/>
      <c r="S77" s="35"/>
      <c r="T77" s="35"/>
      <c r="U77" s="35"/>
    </row>
    <row r="78" spans="1:21" s="36" customFormat="1" ht="12.75" customHeight="1">
      <c r="A78" s="687">
        <v>29</v>
      </c>
      <c r="B78" s="684">
        <v>3211100</v>
      </c>
      <c r="C78" s="684">
        <v>3476850</v>
      </c>
      <c r="D78" s="684">
        <v>4358050</v>
      </c>
      <c r="E78" s="684">
        <v>5121100</v>
      </c>
      <c r="F78" s="684">
        <v>5318350</v>
      </c>
      <c r="G78" s="684">
        <v>6681300</v>
      </c>
      <c r="H78" s="684">
        <v>6878100</v>
      </c>
      <c r="I78" s="684">
        <v>7120750</v>
      </c>
      <c r="J78" s="684">
        <v>10155300</v>
      </c>
      <c r="K78" s="684">
        <v>13007300</v>
      </c>
      <c r="L78" s="35"/>
      <c r="M78" s="35"/>
      <c r="N78" s="35"/>
      <c r="O78" s="35"/>
      <c r="P78" s="35"/>
      <c r="Q78" s="35"/>
      <c r="R78" s="35"/>
      <c r="S78" s="35"/>
      <c r="T78" s="35"/>
      <c r="U78" s="35"/>
    </row>
    <row r="79" spans="1:21" s="36" customFormat="1" ht="12.75" customHeight="1">
      <c r="A79" s="687">
        <v>29.5</v>
      </c>
      <c r="B79" s="684">
        <v>3248250</v>
      </c>
      <c r="C79" s="684">
        <v>3525650</v>
      </c>
      <c r="D79" s="684">
        <v>4421650</v>
      </c>
      <c r="E79" s="684">
        <v>5177500</v>
      </c>
      <c r="F79" s="684">
        <v>5370400</v>
      </c>
      <c r="G79" s="684">
        <v>6799400</v>
      </c>
      <c r="H79" s="684">
        <v>6985250</v>
      </c>
      <c r="I79" s="684">
        <v>7221350</v>
      </c>
      <c r="J79" s="684">
        <v>10302800</v>
      </c>
      <c r="K79" s="684">
        <v>13206200</v>
      </c>
      <c r="L79" s="35"/>
      <c r="M79" s="35"/>
      <c r="N79" s="35"/>
      <c r="O79" s="35"/>
      <c r="P79" s="35"/>
      <c r="Q79" s="35"/>
      <c r="R79" s="35"/>
      <c r="S79" s="35"/>
      <c r="T79" s="35"/>
      <c r="U79" s="35"/>
    </row>
    <row r="80" spans="1:21" s="36" customFormat="1" ht="12.75" customHeight="1">
      <c r="A80" s="687">
        <v>30</v>
      </c>
      <c r="B80" s="684">
        <v>3285400</v>
      </c>
      <c r="C80" s="684">
        <v>3574450</v>
      </c>
      <c r="D80" s="684">
        <v>4485250</v>
      </c>
      <c r="E80" s="684">
        <v>5233900</v>
      </c>
      <c r="F80" s="684">
        <v>5422450</v>
      </c>
      <c r="G80" s="684">
        <v>6917500</v>
      </c>
      <c r="H80" s="684">
        <v>7092400</v>
      </c>
      <c r="I80" s="684">
        <v>7321950</v>
      </c>
      <c r="J80" s="684">
        <v>10450300</v>
      </c>
      <c r="K80" s="684">
        <v>13405100</v>
      </c>
      <c r="L80" s="35"/>
      <c r="M80" s="35"/>
      <c r="N80" s="35"/>
      <c r="O80" s="35"/>
      <c r="P80" s="35"/>
      <c r="Q80" s="35"/>
      <c r="R80" s="35"/>
      <c r="S80" s="35"/>
      <c r="T80" s="35"/>
      <c r="U80" s="35"/>
    </row>
    <row r="81" spans="1:21" s="36" customFormat="1" ht="12.75" customHeight="1">
      <c r="A81" s="1364" t="s">
        <v>656</v>
      </c>
      <c r="B81" s="1365">
        <v>113250</v>
      </c>
      <c r="C81" s="1365">
        <v>117700</v>
      </c>
      <c r="D81" s="1365">
        <v>151150</v>
      </c>
      <c r="E81" s="1365">
        <v>189400</v>
      </c>
      <c r="F81" s="1365">
        <v>198050</v>
      </c>
      <c r="G81" s="1365">
        <v>209600</v>
      </c>
      <c r="H81" s="1365">
        <v>228850</v>
      </c>
      <c r="I81" s="1365">
        <v>251900</v>
      </c>
      <c r="J81" s="1365">
        <v>342900</v>
      </c>
      <c r="K81" s="1365">
        <v>496900</v>
      </c>
      <c r="L81" s="31" t="s">
        <v>668</v>
      </c>
      <c r="M81" s="35"/>
      <c r="N81" s="35"/>
      <c r="O81" s="35"/>
      <c r="P81" s="35"/>
      <c r="Q81" s="35"/>
      <c r="R81" s="35"/>
      <c r="S81" s="35"/>
      <c r="T81" s="35"/>
      <c r="U81" s="35"/>
    </row>
    <row r="82" spans="1:21" s="37" customFormat="1" ht="11.25">
      <c r="A82" s="1366"/>
      <c r="B82" s="1367"/>
      <c r="C82" s="1367"/>
      <c r="D82" s="1367"/>
      <c r="E82" s="1367"/>
      <c r="F82" s="1367"/>
      <c r="G82" s="1367"/>
      <c r="H82" s="1367"/>
      <c r="I82" s="1367"/>
      <c r="J82" s="1367"/>
      <c r="K82" s="1367"/>
      <c r="L82" s="31"/>
    </row>
    <row r="83" spans="1:21" s="37" customFormat="1" ht="9.75">
      <c r="A83" s="1366"/>
      <c r="B83" s="1367"/>
      <c r="C83" s="1367"/>
      <c r="D83" s="1367"/>
      <c r="E83" s="1367"/>
      <c r="F83" s="1367"/>
      <c r="G83" s="1367"/>
      <c r="H83" s="1367"/>
      <c r="I83" s="1367"/>
      <c r="J83" s="1367"/>
      <c r="K83" s="1367"/>
    </row>
    <row r="84" spans="1:21" s="1369" customFormat="1" ht="21" customHeight="1">
      <c r="A84" s="1368" t="s">
        <v>1724</v>
      </c>
    </row>
    <row r="85" spans="1:21" s="1369" customFormat="1" ht="35.25" customHeight="1">
      <c r="A85" s="4419" t="s">
        <v>1725</v>
      </c>
      <c r="B85" s="4419"/>
      <c r="C85" s="4419"/>
      <c r="D85" s="4419"/>
      <c r="E85" s="4419"/>
      <c r="F85" s="4419"/>
      <c r="G85" s="4419"/>
      <c r="H85" s="4419"/>
      <c r="I85" s="4419"/>
      <c r="J85" s="4419"/>
      <c r="K85" s="4419"/>
      <c r="M85" s="1369" t="s">
        <v>135</v>
      </c>
    </row>
    <row r="86" spans="1:21" s="1369" customFormat="1" ht="21" customHeight="1">
      <c r="A86" s="1368" t="s">
        <v>1726</v>
      </c>
    </row>
    <row r="87" spans="1:21" s="1369" customFormat="1" ht="21" customHeight="1">
      <c r="A87" s="1368" t="s">
        <v>1727</v>
      </c>
    </row>
    <row r="88" spans="1:21" s="1369" customFormat="1" ht="49.5" customHeight="1">
      <c r="A88" s="4419" t="s">
        <v>1728</v>
      </c>
      <c r="B88" s="4419"/>
      <c r="C88" s="4419"/>
      <c r="D88" s="4419"/>
      <c r="E88" s="4419"/>
      <c r="F88" s="4419"/>
      <c r="G88" s="4419"/>
      <c r="H88" s="4419"/>
      <c r="I88" s="4419"/>
      <c r="J88" s="4419"/>
      <c r="K88" s="4419"/>
    </row>
    <row r="89" spans="1:21">
      <c r="A89" s="1370"/>
    </row>
    <row r="90" spans="1:21" ht="15">
      <c r="A90" s="121"/>
    </row>
    <row r="91" spans="1:21">
      <c r="A91" s="1371" t="s">
        <v>675</v>
      </c>
      <c r="B91" s="1371"/>
      <c r="C91" s="2487">
        <v>0.315</v>
      </c>
      <c r="E91" s="1372" t="s">
        <v>1635</v>
      </c>
    </row>
    <row r="92" spans="1:21">
      <c r="A92" s="1371" t="s">
        <v>156</v>
      </c>
      <c r="B92" s="1371"/>
      <c r="C92" s="2488">
        <v>0.1</v>
      </c>
    </row>
    <row r="93" spans="1:21">
      <c r="A93" s="1371" t="s">
        <v>2381</v>
      </c>
      <c r="B93" s="1371"/>
      <c r="C93" s="2489">
        <v>23000</v>
      </c>
    </row>
    <row r="94" spans="1:21">
      <c r="A94" s="136"/>
    </row>
    <row r="95" spans="1:21">
      <c r="A95" s="136"/>
    </row>
    <row r="96" spans="1:21">
      <c r="A96" s="136"/>
    </row>
    <row r="97" spans="1:1">
      <c r="A97" s="136"/>
    </row>
    <row r="98" spans="1:1">
      <c r="A98" s="136"/>
    </row>
    <row r="99" spans="1:1">
      <c r="A99" s="136"/>
    </row>
    <row r="100" spans="1:1">
      <c r="A100" s="136"/>
    </row>
    <row r="101" spans="1:1">
      <c r="A101" s="136"/>
    </row>
    <row r="102" spans="1:1">
      <c r="A102" s="136"/>
    </row>
    <row r="103" spans="1:1">
      <c r="A103" s="136"/>
    </row>
    <row r="104" spans="1:1">
      <c r="A104" s="136"/>
    </row>
    <row r="105" spans="1:1">
      <c r="A105" s="136"/>
    </row>
    <row r="106" spans="1:1">
      <c r="A106" s="136"/>
    </row>
    <row r="107" spans="1:1">
      <c r="A107" s="136"/>
    </row>
    <row r="108" spans="1:1">
      <c r="A108" s="136"/>
    </row>
    <row r="109" spans="1:1">
      <c r="A109" s="136"/>
    </row>
    <row r="110" spans="1:1">
      <c r="A110" s="136"/>
    </row>
    <row r="111" spans="1:1">
      <c r="A111" s="136"/>
    </row>
    <row r="112" spans="1:1">
      <c r="A112" s="136"/>
    </row>
    <row r="113" spans="1:1">
      <c r="A113" s="136"/>
    </row>
    <row r="114" spans="1:1">
      <c r="A114" s="136"/>
    </row>
    <row r="115" spans="1:1">
      <c r="A115" s="136"/>
    </row>
    <row r="116" spans="1:1">
      <c r="A116" s="136"/>
    </row>
    <row r="117" spans="1:1">
      <c r="A117" s="136"/>
    </row>
    <row r="118" spans="1:1">
      <c r="A118" s="136"/>
    </row>
    <row r="119" spans="1:1">
      <c r="A119" s="136"/>
    </row>
  </sheetData>
  <protectedRanges>
    <protectedRange sqref="A1:K3" name="Range1"/>
  </protectedRanges>
  <mergeCells count="2">
    <mergeCell ref="A85:K85"/>
    <mergeCell ref="A88:K88"/>
  </mergeCells>
  <phoneticPr fontId="37" type="noConversion"/>
  <hyperlinks>
    <hyperlink ref="E91" r:id="rId1" xr:uid="{00000000-0004-0000-1B00-000000000000}"/>
  </hyperlinks>
  <pageMargins left="0.75" right="0.75" top="1" bottom="1" header="0.5" footer="0.5"/>
  <pageSetup orientation="portrait" r:id="rId2"/>
  <headerFooter alignWithMargins="0"/>
  <drawing r:id="rId3"/>
  <legacyDrawing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tabColor theme="5" tint="0.39997558519241921"/>
  </sheetPr>
  <dimension ref="A1:O57"/>
  <sheetViews>
    <sheetView zoomScaleNormal="100" workbookViewId="0">
      <selection activeCell="C35" sqref="C35"/>
    </sheetView>
  </sheetViews>
  <sheetFormatPr defaultRowHeight="13.5" outlineLevelRow="1"/>
  <cols>
    <col min="1" max="1" width="20" style="2780" customWidth="1"/>
    <col min="2" max="2" width="12.42578125" style="2780" bestFit="1" customWidth="1"/>
    <col min="3" max="3" width="18" style="2780" customWidth="1"/>
    <col min="4" max="6" width="12.7109375" style="2780" bestFit="1" customWidth="1"/>
    <col min="7" max="7" width="15" style="2780" customWidth="1"/>
    <col min="8" max="8" width="9" style="2780" bestFit="1" customWidth="1"/>
    <col min="9" max="9" width="11" style="2780" customWidth="1"/>
    <col min="10" max="10" width="10.42578125" style="2780" customWidth="1"/>
    <col min="11" max="11" width="9" style="2780" bestFit="1" customWidth="1"/>
    <col min="12" max="12" width="7.7109375" style="2780" customWidth="1"/>
    <col min="13" max="13" width="17.28515625" style="2780" customWidth="1"/>
    <col min="14" max="14" width="7.42578125" style="2780" customWidth="1"/>
    <col min="15" max="15" width="9" style="2780" customWidth="1"/>
    <col min="16" max="17" width="7" style="2780" bestFit="1" customWidth="1"/>
    <col min="18" max="257" width="9" style="2780"/>
    <col min="258" max="259" width="4" style="2780" customWidth="1"/>
    <col min="260" max="260" width="9" style="2780"/>
    <col min="261" max="261" width="12" style="2780" customWidth="1"/>
    <col min="262" max="262" width="14" style="2780" customWidth="1"/>
    <col min="263" max="263" width="7.85546875" style="2780" customWidth="1"/>
    <col min="264" max="513" width="9" style="2780"/>
    <col min="514" max="515" width="4" style="2780" customWidth="1"/>
    <col min="516" max="516" width="9" style="2780"/>
    <col min="517" max="517" width="12" style="2780" customWidth="1"/>
    <col min="518" max="518" width="14" style="2780" customWidth="1"/>
    <col min="519" max="519" width="7.85546875" style="2780" customWidth="1"/>
    <col min="520" max="769" width="9" style="2780"/>
    <col min="770" max="771" width="4" style="2780" customWidth="1"/>
    <col min="772" max="772" width="9" style="2780"/>
    <col min="773" max="773" width="12" style="2780" customWidth="1"/>
    <col min="774" max="774" width="14" style="2780" customWidth="1"/>
    <col min="775" max="775" width="7.85546875" style="2780" customWidth="1"/>
    <col min="776" max="1025" width="9" style="2780"/>
    <col min="1026" max="1027" width="4" style="2780" customWidth="1"/>
    <col min="1028" max="1028" width="9" style="2780"/>
    <col min="1029" max="1029" width="12" style="2780" customWidth="1"/>
    <col min="1030" max="1030" width="14" style="2780" customWidth="1"/>
    <col min="1031" max="1031" width="7.85546875" style="2780" customWidth="1"/>
    <col min="1032" max="1281" width="9" style="2780"/>
    <col min="1282" max="1283" width="4" style="2780" customWidth="1"/>
    <col min="1284" max="1284" width="9" style="2780"/>
    <col min="1285" max="1285" width="12" style="2780" customWidth="1"/>
    <col min="1286" max="1286" width="14" style="2780" customWidth="1"/>
    <col min="1287" max="1287" width="7.85546875" style="2780" customWidth="1"/>
    <col min="1288" max="1537" width="9" style="2780"/>
    <col min="1538" max="1539" width="4" style="2780" customWidth="1"/>
    <col min="1540" max="1540" width="9" style="2780"/>
    <col min="1541" max="1541" width="12" style="2780" customWidth="1"/>
    <col min="1542" max="1542" width="14" style="2780" customWidth="1"/>
    <col min="1543" max="1543" width="7.85546875" style="2780" customWidth="1"/>
    <col min="1544" max="1793" width="9" style="2780"/>
    <col min="1794" max="1795" width="4" style="2780" customWidth="1"/>
    <col min="1796" max="1796" width="9" style="2780"/>
    <col min="1797" max="1797" width="12" style="2780" customWidth="1"/>
    <col min="1798" max="1798" width="14" style="2780" customWidth="1"/>
    <col min="1799" max="1799" width="7.85546875" style="2780" customWidth="1"/>
    <col min="1800" max="2049" width="9" style="2780"/>
    <col min="2050" max="2051" width="4" style="2780" customWidth="1"/>
    <col min="2052" max="2052" width="9" style="2780"/>
    <col min="2053" max="2053" width="12" style="2780" customWidth="1"/>
    <col min="2054" max="2054" width="14" style="2780" customWidth="1"/>
    <col min="2055" max="2055" width="7.85546875" style="2780" customWidth="1"/>
    <col min="2056" max="2305" width="9" style="2780"/>
    <col min="2306" max="2307" width="4" style="2780" customWidth="1"/>
    <col min="2308" max="2308" width="9" style="2780"/>
    <col min="2309" max="2309" width="12" style="2780" customWidth="1"/>
    <col min="2310" max="2310" width="14" style="2780" customWidth="1"/>
    <col min="2311" max="2311" width="7.85546875" style="2780" customWidth="1"/>
    <col min="2312" max="2561" width="9" style="2780"/>
    <col min="2562" max="2563" width="4" style="2780" customWidth="1"/>
    <col min="2564" max="2564" width="9" style="2780"/>
    <col min="2565" max="2565" width="12" style="2780" customWidth="1"/>
    <col min="2566" max="2566" width="14" style="2780" customWidth="1"/>
    <col min="2567" max="2567" width="7.85546875" style="2780" customWidth="1"/>
    <col min="2568" max="2817" width="9" style="2780"/>
    <col min="2818" max="2819" width="4" style="2780" customWidth="1"/>
    <col min="2820" max="2820" width="9" style="2780"/>
    <col min="2821" max="2821" width="12" style="2780" customWidth="1"/>
    <col min="2822" max="2822" width="14" style="2780" customWidth="1"/>
    <col min="2823" max="2823" width="7.85546875" style="2780" customWidth="1"/>
    <col min="2824" max="3073" width="9" style="2780"/>
    <col min="3074" max="3075" width="4" style="2780" customWidth="1"/>
    <col min="3076" max="3076" width="9" style="2780"/>
    <col min="3077" max="3077" width="12" style="2780" customWidth="1"/>
    <col min="3078" max="3078" width="14" style="2780" customWidth="1"/>
    <col min="3079" max="3079" width="7.85546875" style="2780" customWidth="1"/>
    <col min="3080" max="3329" width="9" style="2780"/>
    <col min="3330" max="3331" width="4" style="2780" customWidth="1"/>
    <col min="3332" max="3332" width="9" style="2780"/>
    <col min="3333" max="3333" width="12" style="2780" customWidth="1"/>
    <col min="3334" max="3334" width="14" style="2780" customWidth="1"/>
    <col min="3335" max="3335" width="7.85546875" style="2780" customWidth="1"/>
    <col min="3336" max="3585" width="9" style="2780"/>
    <col min="3586" max="3587" width="4" style="2780" customWidth="1"/>
    <col min="3588" max="3588" width="9" style="2780"/>
    <col min="3589" max="3589" width="12" style="2780" customWidth="1"/>
    <col min="3590" max="3590" width="14" style="2780" customWidth="1"/>
    <col min="3591" max="3591" width="7.85546875" style="2780" customWidth="1"/>
    <col min="3592" max="3841" width="9" style="2780"/>
    <col min="3842" max="3843" width="4" style="2780" customWidth="1"/>
    <col min="3844" max="3844" width="9" style="2780"/>
    <col min="3845" max="3845" width="12" style="2780" customWidth="1"/>
    <col min="3846" max="3846" width="14" style="2780" customWidth="1"/>
    <col min="3847" max="3847" width="7.85546875" style="2780" customWidth="1"/>
    <col min="3848" max="4097" width="9" style="2780"/>
    <col min="4098" max="4099" width="4" style="2780" customWidth="1"/>
    <col min="4100" max="4100" width="9" style="2780"/>
    <col min="4101" max="4101" width="12" style="2780" customWidth="1"/>
    <col min="4102" max="4102" width="14" style="2780" customWidth="1"/>
    <col min="4103" max="4103" width="7.85546875" style="2780" customWidth="1"/>
    <col min="4104" max="4353" width="9" style="2780"/>
    <col min="4354" max="4355" width="4" style="2780" customWidth="1"/>
    <col min="4356" max="4356" width="9" style="2780"/>
    <col min="4357" max="4357" width="12" style="2780" customWidth="1"/>
    <col min="4358" max="4358" width="14" style="2780" customWidth="1"/>
    <col min="4359" max="4359" width="7.85546875" style="2780" customWidth="1"/>
    <col min="4360" max="4609" width="9" style="2780"/>
    <col min="4610" max="4611" width="4" style="2780" customWidth="1"/>
    <col min="4612" max="4612" width="9" style="2780"/>
    <col min="4613" max="4613" width="12" style="2780" customWidth="1"/>
    <col min="4614" max="4614" width="14" style="2780" customWidth="1"/>
    <col min="4615" max="4615" width="7.85546875" style="2780" customWidth="1"/>
    <col min="4616" max="4865" width="9" style="2780"/>
    <col min="4866" max="4867" width="4" style="2780" customWidth="1"/>
    <col min="4868" max="4868" width="9" style="2780"/>
    <col min="4869" max="4869" width="12" style="2780" customWidth="1"/>
    <col min="4870" max="4870" width="14" style="2780" customWidth="1"/>
    <col min="4871" max="4871" width="7.85546875" style="2780" customWidth="1"/>
    <col min="4872" max="5121" width="9" style="2780"/>
    <col min="5122" max="5123" width="4" style="2780" customWidth="1"/>
    <col min="5124" max="5124" width="9" style="2780"/>
    <col min="5125" max="5125" width="12" style="2780" customWidth="1"/>
    <col min="5126" max="5126" width="14" style="2780" customWidth="1"/>
    <col min="5127" max="5127" width="7.85546875" style="2780" customWidth="1"/>
    <col min="5128" max="5377" width="9" style="2780"/>
    <col min="5378" max="5379" width="4" style="2780" customWidth="1"/>
    <col min="5380" max="5380" width="9" style="2780"/>
    <col min="5381" max="5381" width="12" style="2780" customWidth="1"/>
    <col min="5382" max="5382" width="14" style="2780" customWidth="1"/>
    <col min="5383" max="5383" width="7.85546875" style="2780" customWidth="1"/>
    <col min="5384" max="5633" width="9" style="2780"/>
    <col min="5634" max="5635" width="4" style="2780" customWidth="1"/>
    <col min="5636" max="5636" width="9" style="2780"/>
    <col min="5637" max="5637" width="12" style="2780" customWidth="1"/>
    <col min="5638" max="5638" width="14" style="2780" customWidth="1"/>
    <col min="5639" max="5639" width="7.85546875" style="2780" customWidth="1"/>
    <col min="5640" max="5889" width="9" style="2780"/>
    <col min="5890" max="5891" width="4" style="2780" customWidth="1"/>
    <col min="5892" max="5892" width="9" style="2780"/>
    <col min="5893" max="5893" width="12" style="2780" customWidth="1"/>
    <col min="5894" max="5894" width="14" style="2780" customWidth="1"/>
    <col min="5895" max="5895" width="7.85546875" style="2780" customWidth="1"/>
    <col min="5896" max="6145" width="9" style="2780"/>
    <col min="6146" max="6147" width="4" style="2780" customWidth="1"/>
    <col min="6148" max="6148" width="9" style="2780"/>
    <col min="6149" max="6149" width="12" style="2780" customWidth="1"/>
    <col min="6150" max="6150" width="14" style="2780" customWidth="1"/>
    <col min="6151" max="6151" width="7.85546875" style="2780" customWidth="1"/>
    <col min="6152" max="6401" width="9" style="2780"/>
    <col min="6402" max="6403" width="4" style="2780" customWidth="1"/>
    <col min="6404" max="6404" width="9" style="2780"/>
    <col min="6405" max="6405" width="12" style="2780" customWidth="1"/>
    <col min="6406" max="6406" width="14" style="2780" customWidth="1"/>
    <col min="6407" max="6407" width="7.85546875" style="2780" customWidth="1"/>
    <col min="6408" max="6657" width="9" style="2780"/>
    <col min="6658" max="6659" width="4" style="2780" customWidth="1"/>
    <col min="6660" max="6660" width="9" style="2780"/>
    <col min="6661" max="6661" width="12" style="2780" customWidth="1"/>
    <col min="6662" max="6662" width="14" style="2780" customWidth="1"/>
    <col min="6663" max="6663" width="7.85546875" style="2780" customWidth="1"/>
    <col min="6664" max="6913" width="9" style="2780"/>
    <col min="6914" max="6915" width="4" style="2780" customWidth="1"/>
    <col min="6916" max="6916" width="9" style="2780"/>
    <col min="6917" max="6917" width="12" style="2780" customWidth="1"/>
    <col min="6918" max="6918" width="14" style="2780" customWidth="1"/>
    <col min="6919" max="6919" width="7.85546875" style="2780" customWidth="1"/>
    <col min="6920" max="7169" width="9" style="2780"/>
    <col min="7170" max="7171" width="4" style="2780" customWidth="1"/>
    <col min="7172" max="7172" width="9" style="2780"/>
    <col min="7173" max="7173" width="12" style="2780" customWidth="1"/>
    <col min="7174" max="7174" width="14" style="2780" customWidth="1"/>
    <col min="7175" max="7175" width="7.85546875" style="2780" customWidth="1"/>
    <col min="7176" max="7425" width="9" style="2780"/>
    <col min="7426" max="7427" width="4" style="2780" customWidth="1"/>
    <col min="7428" max="7428" width="9" style="2780"/>
    <col min="7429" max="7429" width="12" style="2780" customWidth="1"/>
    <col min="7430" max="7430" width="14" style="2780" customWidth="1"/>
    <col min="7431" max="7431" width="7.85546875" style="2780" customWidth="1"/>
    <col min="7432" max="7681" width="9" style="2780"/>
    <col min="7682" max="7683" width="4" style="2780" customWidth="1"/>
    <col min="7684" max="7684" width="9" style="2780"/>
    <col min="7685" max="7685" width="12" style="2780" customWidth="1"/>
    <col min="7686" max="7686" width="14" style="2780" customWidth="1"/>
    <col min="7687" max="7687" width="7.85546875" style="2780" customWidth="1"/>
    <col min="7688" max="7937" width="9" style="2780"/>
    <col min="7938" max="7939" width="4" style="2780" customWidth="1"/>
    <col min="7940" max="7940" width="9" style="2780"/>
    <col min="7941" max="7941" width="12" style="2780" customWidth="1"/>
    <col min="7942" max="7942" width="14" style="2780" customWidth="1"/>
    <col min="7943" max="7943" width="7.85546875" style="2780" customWidth="1"/>
    <col min="7944" max="8193" width="9" style="2780"/>
    <col min="8194" max="8195" width="4" style="2780" customWidth="1"/>
    <col min="8196" max="8196" width="9" style="2780"/>
    <col min="8197" max="8197" width="12" style="2780" customWidth="1"/>
    <col min="8198" max="8198" width="14" style="2780" customWidth="1"/>
    <col min="8199" max="8199" width="7.85546875" style="2780" customWidth="1"/>
    <col min="8200" max="8449" width="9" style="2780"/>
    <col min="8450" max="8451" width="4" style="2780" customWidth="1"/>
    <col min="8452" max="8452" width="9" style="2780"/>
    <col min="8453" max="8453" width="12" style="2780" customWidth="1"/>
    <col min="8454" max="8454" width="14" style="2780" customWidth="1"/>
    <col min="8455" max="8455" width="7.85546875" style="2780" customWidth="1"/>
    <col min="8456" max="8705" width="9" style="2780"/>
    <col min="8706" max="8707" width="4" style="2780" customWidth="1"/>
    <col min="8708" max="8708" width="9" style="2780"/>
    <col min="8709" max="8709" width="12" style="2780" customWidth="1"/>
    <col min="8710" max="8710" width="14" style="2780" customWidth="1"/>
    <col min="8711" max="8711" width="7.85546875" style="2780" customWidth="1"/>
    <col min="8712" max="8961" width="9" style="2780"/>
    <col min="8962" max="8963" width="4" style="2780" customWidth="1"/>
    <col min="8964" max="8964" width="9" style="2780"/>
    <col min="8965" max="8965" width="12" style="2780" customWidth="1"/>
    <col min="8966" max="8966" width="14" style="2780" customWidth="1"/>
    <col min="8967" max="8967" width="7.85546875" style="2780" customWidth="1"/>
    <col min="8968" max="9217" width="9" style="2780"/>
    <col min="9218" max="9219" width="4" style="2780" customWidth="1"/>
    <col min="9220" max="9220" width="9" style="2780"/>
    <col min="9221" max="9221" width="12" style="2780" customWidth="1"/>
    <col min="9222" max="9222" width="14" style="2780" customWidth="1"/>
    <col min="9223" max="9223" width="7.85546875" style="2780" customWidth="1"/>
    <col min="9224" max="9473" width="9" style="2780"/>
    <col min="9474" max="9475" width="4" style="2780" customWidth="1"/>
    <col min="9476" max="9476" width="9" style="2780"/>
    <col min="9477" max="9477" width="12" style="2780" customWidth="1"/>
    <col min="9478" max="9478" width="14" style="2780" customWidth="1"/>
    <col min="9479" max="9479" width="7.85546875" style="2780" customWidth="1"/>
    <col min="9480" max="9729" width="9" style="2780"/>
    <col min="9730" max="9731" width="4" style="2780" customWidth="1"/>
    <col min="9732" max="9732" width="9" style="2780"/>
    <col min="9733" max="9733" width="12" style="2780" customWidth="1"/>
    <col min="9734" max="9734" width="14" style="2780" customWidth="1"/>
    <col min="9735" max="9735" width="7.85546875" style="2780" customWidth="1"/>
    <col min="9736" max="9985" width="9" style="2780"/>
    <col min="9986" max="9987" width="4" style="2780" customWidth="1"/>
    <col min="9988" max="9988" width="9" style="2780"/>
    <col min="9989" max="9989" width="12" style="2780" customWidth="1"/>
    <col min="9990" max="9990" width="14" style="2780" customWidth="1"/>
    <col min="9991" max="9991" width="7.85546875" style="2780" customWidth="1"/>
    <col min="9992" max="10241" width="9" style="2780"/>
    <col min="10242" max="10243" width="4" style="2780" customWidth="1"/>
    <col min="10244" max="10244" width="9" style="2780"/>
    <col min="10245" max="10245" width="12" style="2780" customWidth="1"/>
    <col min="10246" max="10246" width="14" style="2780" customWidth="1"/>
    <col min="10247" max="10247" width="7.85546875" style="2780" customWidth="1"/>
    <col min="10248" max="10497" width="9" style="2780"/>
    <col min="10498" max="10499" width="4" style="2780" customWidth="1"/>
    <col min="10500" max="10500" width="9" style="2780"/>
    <col min="10501" max="10501" width="12" style="2780" customWidth="1"/>
    <col min="10502" max="10502" width="14" style="2780" customWidth="1"/>
    <col min="10503" max="10503" width="7.85546875" style="2780" customWidth="1"/>
    <col min="10504" max="10753" width="9" style="2780"/>
    <col min="10754" max="10755" width="4" style="2780" customWidth="1"/>
    <col min="10756" max="10756" width="9" style="2780"/>
    <col min="10757" max="10757" width="12" style="2780" customWidth="1"/>
    <col min="10758" max="10758" width="14" style="2780" customWidth="1"/>
    <col min="10759" max="10759" width="7.85546875" style="2780" customWidth="1"/>
    <col min="10760" max="11009" width="9" style="2780"/>
    <col min="11010" max="11011" width="4" style="2780" customWidth="1"/>
    <col min="11012" max="11012" width="9" style="2780"/>
    <col min="11013" max="11013" width="12" style="2780" customWidth="1"/>
    <col min="11014" max="11014" width="14" style="2780" customWidth="1"/>
    <col min="11015" max="11015" width="7.85546875" style="2780" customWidth="1"/>
    <col min="11016" max="11265" width="9" style="2780"/>
    <col min="11266" max="11267" width="4" style="2780" customWidth="1"/>
    <col min="11268" max="11268" width="9" style="2780"/>
    <col min="11269" max="11269" width="12" style="2780" customWidth="1"/>
    <col min="11270" max="11270" width="14" style="2780" customWidth="1"/>
    <col min="11271" max="11271" width="7.85546875" style="2780" customWidth="1"/>
    <col min="11272" max="11521" width="9" style="2780"/>
    <col min="11522" max="11523" width="4" style="2780" customWidth="1"/>
    <col min="11524" max="11524" width="9" style="2780"/>
    <col min="11525" max="11525" width="12" style="2780" customWidth="1"/>
    <col min="11526" max="11526" width="14" style="2780" customWidth="1"/>
    <col min="11527" max="11527" width="7.85546875" style="2780" customWidth="1"/>
    <col min="11528" max="11777" width="9" style="2780"/>
    <col min="11778" max="11779" width="4" style="2780" customWidth="1"/>
    <col min="11780" max="11780" width="9" style="2780"/>
    <col min="11781" max="11781" width="12" style="2780" customWidth="1"/>
    <col min="11782" max="11782" width="14" style="2780" customWidth="1"/>
    <col min="11783" max="11783" width="7.85546875" style="2780" customWidth="1"/>
    <col min="11784" max="12033" width="9" style="2780"/>
    <col min="12034" max="12035" width="4" style="2780" customWidth="1"/>
    <col min="12036" max="12036" width="9" style="2780"/>
    <col min="12037" max="12037" width="12" style="2780" customWidth="1"/>
    <col min="12038" max="12038" width="14" style="2780" customWidth="1"/>
    <col min="12039" max="12039" width="7.85546875" style="2780" customWidth="1"/>
    <col min="12040" max="12289" width="9" style="2780"/>
    <col min="12290" max="12291" width="4" style="2780" customWidth="1"/>
    <col min="12292" max="12292" width="9" style="2780"/>
    <col min="12293" max="12293" width="12" style="2780" customWidth="1"/>
    <col min="12294" max="12294" width="14" style="2780" customWidth="1"/>
    <col min="12295" max="12295" width="7.85546875" style="2780" customWidth="1"/>
    <col min="12296" max="12545" width="9" style="2780"/>
    <col min="12546" max="12547" width="4" style="2780" customWidth="1"/>
    <col min="12548" max="12548" width="9" style="2780"/>
    <col min="12549" max="12549" width="12" style="2780" customWidth="1"/>
    <col min="12550" max="12550" width="14" style="2780" customWidth="1"/>
    <col min="12551" max="12551" width="7.85546875" style="2780" customWidth="1"/>
    <col min="12552" max="12801" width="9" style="2780"/>
    <col min="12802" max="12803" width="4" style="2780" customWidth="1"/>
    <col min="12804" max="12804" width="9" style="2780"/>
    <col min="12805" max="12805" width="12" style="2780" customWidth="1"/>
    <col min="12806" max="12806" width="14" style="2780" customWidth="1"/>
    <col min="12807" max="12807" width="7.85546875" style="2780" customWidth="1"/>
    <col min="12808" max="13057" width="9" style="2780"/>
    <col min="13058" max="13059" width="4" style="2780" customWidth="1"/>
    <col min="13060" max="13060" width="9" style="2780"/>
    <col min="13061" max="13061" width="12" style="2780" customWidth="1"/>
    <col min="13062" max="13062" width="14" style="2780" customWidth="1"/>
    <col min="13063" max="13063" width="7.85546875" style="2780" customWidth="1"/>
    <col min="13064" max="13313" width="9" style="2780"/>
    <col min="13314" max="13315" width="4" style="2780" customWidth="1"/>
    <col min="13316" max="13316" width="9" style="2780"/>
    <col min="13317" max="13317" width="12" style="2780" customWidth="1"/>
    <col min="13318" max="13318" width="14" style="2780" customWidth="1"/>
    <col min="13319" max="13319" width="7.85546875" style="2780" customWidth="1"/>
    <col min="13320" max="13569" width="9" style="2780"/>
    <col min="13570" max="13571" width="4" style="2780" customWidth="1"/>
    <col min="13572" max="13572" width="9" style="2780"/>
    <col min="13573" max="13573" width="12" style="2780" customWidth="1"/>
    <col min="13574" max="13574" width="14" style="2780" customWidth="1"/>
    <col min="13575" max="13575" width="7.85546875" style="2780" customWidth="1"/>
    <col min="13576" max="13825" width="9" style="2780"/>
    <col min="13826" max="13827" width="4" style="2780" customWidth="1"/>
    <col min="13828" max="13828" width="9" style="2780"/>
    <col min="13829" max="13829" width="12" style="2780" customWidth="1"/>
    <col min="13830" max="13830" width="14" style="2780" customWidth="1"/>
    <col min="13831" max="13831" width="7.85546875" style="2780" customWidth="1"/>
    <col min="13832" max="14081" width="9" style="2780"/>
    <col min="14082" max="14083" width="4" style="2780" customWidth="1"/>
    <col min="14084" max="14084" width="9" style="2780"/>
    <col min="14085" max="14085" width="12" style="2780" customWidth="1"/>
    <col min="14086" max="14086" width="14" style="2780" customWidth="1"/>
    <col min="14087" max="14087" width="7.85546875" style="2780" customWidth="1"/>
    <col min="14088" max="14337" width="9" style="2780"/>
    <col min="14338" max="14339" width="4" style="2780" customWidth="1"/>
    <col min="14340" max="14340" width="9" style="2780"/>
    <col min="14341" max="14341" width="12" style="2780" customWidth="1"/>
    <col min="14342" max="14342" width="14" style="2780" customWidth="1"/>
    <col min="14343" max="14343" width="7.85546875" style="2780" customWidth="1"/>
    <col min="14344" max="14593" width="9" style="2780"/>
    <col min="14594" max="14595" width="4" style="2780" customWidth="1"/>
    <col min="14596" max="14596" width="9" style="2780"/>
    <col min="14597" max="14597" width="12" style="2780" customWidth="1"/>
    <col min="14598" max="14598" width="14" style="2780" customWidth="1"/>
    <col min="14599" max="14599" width="7.85546875" style="2780" customWidth="1"/>
    <col min="14600" max="14849" width="9" style="2780"/>
    <col min="14850" max="14851" width="4" style="2780" customWidth="1"/>
    <col min="14852" max="14852" width="9" style="2780"/>
    <col min="14853" max="14853" width="12" style="2780" customWidth="1"/>
    <col min="14854" max="14854" width="14" style="2780" customWidth="1"/>
    <col min="14855" max="14855" width="7.85546875" style="2780" customWidth="1"/>
    <col min="14856" max="15105" width="9" style="2780"/>
    <col min="15106" max="15107" width="4" style="2780" customWidth="1"/>
    <col min="15108" max="15108" width="9" style="2780"/>
    <col min="15109" max="15109" width="12" style="2780" customWidth="1"/>
    <col min="15110" max="15110" width="14" style="2780" customWidth="1"/>
    <col min="15111" max="15111" width="7.85546875" style="2780" customWidth="1"/>
    <col min="15112" max="15361" width="9" style="2780"/>
    <col min="15362" max="15363" width="4" style="2780" customWidth="1"/>
    <col min="15364" max="15364" width="9" style="2780"/>
    <col min="15365" max="15365" width="12" style="2780" customWidth="1"/>
    <col min="15366" max="15366" width="14" style="2780" customWidth="1"/>
    <col min="15367" max="15367" width="7.85546875" style="2780" customWidth="1"/>
    <col min="15368" max="15617" width="9" style="2780"/>
    <col min="15618" max="15619" width="4" style="2780" customWidth="1"/>
    <col min="15620" max="15620" width="9" style="2780"/>
    <col min="15621" max="15621" width="12" style="2780" customWidth="1"/>
    <col min="15622" max="15622" width="14" style="2780" customWidth="1"/>
    <col min="15623" max="15623" width="7.85546875" style="2780" customWidth="1"/>
    <col min="15624" max="15873" width="9" style="2780"/>
    <col min="15874" max="15875" width="4" style="2780" customWidth="1"/>
    <col min="15876" max="15876" width="9" style="2780"/>
    <col min="15877" max="15877" width="12" style="2780" customWidth="1"/>
    <col min="15878" max="15878" width="14" style="2780" customWidth="1"/>
    <col min="15879" max="15879" width="7.85546875" style="2780" customWidth="1"/>
    <col min="15880" max="16129" width="9" style="2780"/>
    <col min="16130" max="16131" width="4" style="2780" customWidth="1"/>
    <col min="16132" max="16132" width="9" style="2780"/>
    <col min="16133" max="16133" width="12" style="2780" customWidth="1"/>
    <col min="16134" max="16134" width="14" style="2780" customWidth="1"/>
    <col min="16135" max="16135" width="7.85546875" style="2780" customWidth="1"/>
    <col min="16136" max="16381" width="9" style="2780"/>
    <col min="16382" max="16384" width="6" style="2780" customWidth="1"/>
  </cols>
  <sheetData>
    <row r="1" spans="1:15" ht="20.25">
      <c r="A1" s="2779" t="s">
        <v>2901</v>
      </c>
      <c r="C1" s="2781"/>
      <c r="D1" s="2781"/>
      <c r="E1" s="2781"/>
      <c r="F1" s="2781"/>
      <c r="G1" s="2781"/>
      <c r="H1" s="2781"/>
      <c r="K1" s="2782" t="str">
        <f>input!I1</f>
        <v>REF. Vietcom Bank Exchange Rate Dated : 15.08.2023</v>
      </c>
      <c r="L1" s="2783"/>
      <c r="M1" s="2784"/>
      <c r="N1" s="2785"/>
    </row>
    <row r="2" spans="1:15" ht="15.75" customHeight="1">
      <c r="B2" s="2786"/>
      <c r="C2" s="2781"/>
      <c r="D2" s="2781"/>
      <c r="E2" s="2781"/>
      <c r="F2" s="2781"/>
      <c r="G2" s="2781"/>
      <c r="H2" s="2781"/>
      <c r="K2" s="2787" t="str">
        <f>input!I2</f>
        <v>USD</v>
      </c>
      <c r="L2" s="2787" t="str">
        <f>input!J2</f>
        <v>GBP</v>
      </c>
      <c r="M2" s="2787" t="str">
        <f>input!K2</f>
        <v>EUR</v>
      </c>
      <c r="N2" s="2787" t="str">
        <f>input!L2</f>
        <v>BAHT</v>
      </c>
      <c r="O2" s="2787" t="str">
        <f>input!M2</f>
        <v>VND</v>
      </c>
    </row>
    <row r="3" spans="1:15" ht="15" customHeight="1" outlineLevel="1">
      <c r="A3" s="2788" t="str">
        <f>A1</f>
        <v>TRAY</v>
      </c>
      <c r="B3" s="2789">
        <v>420</v>
      </c>
      <c r="C3" s="2790" t="s">
        <v>2902</v>
      </c>
      <c r="D3" s="2791">
        <v>60</v>
      </c>
      <c r="E3" s="2791">
        <v>38</v>
      </c>
      <c r="F3" s="2791">
        <v>22</v>
      </c>
      <c r="G3" s="2792">
        <f>D3*E3*F3/10^6</f>
        <v>5.0160000000000003E-2</v>
      </c>
      <c r="H3" s="2793" t="s">
        <v>2903</v>
      </c>
      <c r="K3" s="2794">
        <f>input!I4</f>
        <v>23670</v>
      </c>
      <c r="L3" s="2794">
        <f>input!J4</f>
        <v>29756.98</v>
      </c>
      <c r="M3" s="2794">
        <f>input!K4</f>
        <v>25594.1</v>
      </c>
      <c r="N3" s="2794">
        <f>input!L4</f>
        <v>663.52</v>
      </c>
      <c r="O3" s="2794">
        <f>input!M4</f>
        <v>1</v>
      </c>
    </row>
    <row r="4" spans="1:15" ht="15" customHeight="1" outlineLevel="1">
      <c r="A4" s="2788"/>
      <c r="B4" s="2790"/>
      <c r="C4" s="2790"/>
      <c r="D4" s="2790"/>
      <c r="E4" s="2790"/>
      <c r="F4" s="2790"/>
      <c r="G4" s="2792"/>
      <c r="H4" s="2793"/>
      <c r="K4" s="2795">
        <f>input!I5</f>
        <v>24010</v>
      </c>
      <c r="L4" s="2795">
        <f>input!J5</f>
        <v>30727.67</v>
      </c>
      <c r="M4" s="2795">
        <f>input!K5</f>
        <v>26767.49</v>
      </c>
      <c r="N4" s="2795">
        <f>input!L5</f>
        <v>689.29</v>
      </c>
      <c r="O4" s="2795">
        <f>input!M5</f>
        <v>1</v>
      </c>
    </row>
    <row r="5" spans="1:15" ht="13.5" customHeight="1" outlineLevel="1">
      <c r="A5" s="2788" t="s">
        <v>1759</v>
      </c>
      <c r="B5" s="2796"/>
      <c r="C5" s="2797">
        <f>B5*(1+D$13)</f>
        <v>0</v>
      </c>
      <c r="D5" s="2798">
        <f>ROUNDUP(C5/$B$3,0)</f>
        <v>0</v>
      </c>
      <c r="E5" s="2799">
        <f>ROUNDUP(C5/$B$3*$G$3,0)</f>
        <v>0</v>
      </c>
      <c r="F5" s="2793"/>
      <c r="G5" s="2800"/>
      <c r="H5" s="2793"/>
      <c r="K5" s="2795" t="e">
        <f>input!#REF!</f>
        <v>#REF!</v>
      </c>
      <c r="L5" s="2795" t="e">
        <f>input!#REF!</f>
        <v>#REF!</v>
      </c>
      <c r="M5" s="2795" t="e">
        <f>input!#REF!</f>
        <v>#REF!</v>
      </c>
      <c r="N5" s="2795" t="e">
        <f>input!#REF!</f>
        <v>#REF!</v>
      </c>
      <c r="O5" s="2795" t="e">
        <f>input!#REF!</f>
        <v>#REF!</v>
      </c>
    </row>
    <row r="6" spans="1:15" ht="15" customHeight="1" outlineLevel="1">
      <c r="A6" s="2788"/>
      <c r="B6" s="2796"/>
      <c r="C6" s="2797">
        <f>B6*(1+E$13)</f>
        <v>0</v>
      </c>
      <c r="D6" s="2798">
        <f>ROUNDUP(C6/$B$3,0)</f>
        <v>0</v>
      </c>
      <c r="E6" s="2799">
        <f>ROUNDUP(C6/$B$3*$G$3,0)</f>
        <v>0</v>
      </c>
      <c r="F6" s="2793"/>
      <c r="G6" s="2800"/>
      <c r="H6" s="2793"/>
    </row>
    <row r="7" spans="1:15" ht="15" customHeight="1" outlineLevel="1">
      <c r="A7" s="2788"/>
      <c r="B7" s="2796"/>
      <c r="C7" s="2797">
        <f>B7*(1+F$13)</f>
        <v>0</v>
      </c>
      <c r="D7" s="2798">
        <f>ROUNDUP(C7/$B$3,0)</f>
        <v>0</v>
      </c>
      <c r="E7" s="2799">
        <f>ROUNDUP(C7/$B$3*$G$3,0)</f>
        <v>0</v>
      </c>
      <c r="F7" s="2793"/>
      <c r="G7" s="2800"/>
      <c r="H7" s="2793"/>
      <c r="K7" s="3082" t="s">
        <v>2904</v>
      </c>
      <c r="L7" s="3083">
        <f>INT(((233-10)*(590-10)*(237-10))/10^6)</f>
        <v>29</v>
      </c>
      <c r="M7" s="3084">
        <f>+INT(223/$D$3)*INT(580/$E$3)*INT(227/$F$3)</f>
        <v>450</v>
      </c>
    </row>
    <row r="8" spans="1:15" ht="15" customHeight="1" outlineLevel="1">
      <c r="A8" s="2788"/>
      <c r="B8" s="2796"/>
      <c r="C8" s="2797">
        <f>B8*(1+G$13)</f>
        <v>0</v>
      </c>
      <c r="D8" s="2798">
        <f>ROUNDUP(C8/$B$3,0)</f>
        <v>0</v>
      </c>
      <c r="E8" s="2799">
        <f>ROUNDUP(C8/$B$3*$G$3,0)</f>
        <v>0</v>
      </c>
      <c r="F8" s="2793"/>
      <c r="G8" s="2800"/>
      <c r="H8" s="2793"/>
      <c r="J8" s="2801"/>
      <c r="K8" s="3082" t="s">
        <v>2905</v>
      </c>
      <c r="L8" s="3083">
        <f>INT(((233-10)*(1200-10)*(270-10))/10^6)</f>
        <v>68</v>
      </c>
      <c r="M8" s="3085">
        <f>+INT(223/$D$3)*INT(1190/$E$3)*INT(260/$F$3)</f>
        <v>1023</v>
      </c>
    </row>
    <row r="9" spans="1:15" ht="15" customHeight="1" outlineLevel="1">
      <c r="A9" s="2788"/>
      <c r="B9" s="2802"/>
      <c r="C9" s="2803"/>
      <c r="D9" s="2804"/>
      <c r="E9" s="2804"/>
      <c r="F9" s="2793"/>
      <c r="G9" s="2800"/>
      <c r="H9" s="2793"/>
      <c r="J9" s="2801"/>
      <c r="K9" s="2801"/>
    </row>
    <row r="10" spans="1:15" ht="15" outlineLevel="1">
      <c r="A10" s="2805"/>
      <c r="B10" s="2806"/>
      <c r="C10" s="2806"/>
      <c r="D10" s="2807"/>
      <c r="E10" s="2807"/>
      <c r="F10" s="2807"/>
      <c r="G10" s="2807"/>
      <c r="J10" s="2808"/>
      <c r="K10" s="2809"/>
    </row>
    <row r="11" spans="1:15" ht="15.75" customHeight="1">
      <c r="A11" s="2810" t="s">
        <v>2906</v>
      </c>
      <c r="B11" s="2806" t="s">
        <v>2907</v>
      </c>
      <c r="C11" s="2806"/>
      <c r="D11" s="2811">
        <v>0.8</v>
      </c>
      <c r="E11" s="2811">
        <v>0.8</v>
      </c>
      <c r="F11" s="2811">
        <v>0.8</v>
      </c>
      <c r="G11" s="2811">
        <v>0.8</v>
      </c>
      <c r="J11" s="2808"/>
      <c r="K11" s="2809"/>
      <c r="L11" s="2807"/>
    </row>
    <row r="12" spans="1:15" ht="15.75" customHeight="1">
      <c r="B12" s="2806"/>
      <c r="C12" s="2812" t="s">
        <v>180</v>
      </c>
      <c r="D12" s="2813">
        <f>$B5</f>
        <v>0</v>
      </c>
      <c r="E12" s="2813">
        <f>$B6</f>
        <v>0</v>
      </c>
      <c r="F12" s="2813">
        <f>$B7</f>
        <v>0</v>
      </c>
      <c r="G12" s="2813">
        <f>$B8</f>
        <v>0</v>
      </c>
      <c r="J12" s="2814" t="s">
        <v>2296</v>
      </c>
      <c r="K12" s="2815">
        <f>'Data Extra cost'!V149</f>
        <v>1</v>
      </c>
      <c r="L12" s="2815">
        <f>'Data Extra cost'!W149</f>
        <v>2</v>
      </c>
      <c r="M12" s="2815">
        <f>'Data Extra cost'!X149</f>
        <v>3.5</v>
      </c>
      <c r="N12" s="2815">
        <f>'Data Extra cost'!Y149</f>
        <v>5</v>
      </c>
      <c r="O12" s="2815">
        <f>'Data Extra cost'!Z149</f>
        <v>8</v>
      </c>
    </row>
    <row r="13" spans="1:15" ht="15.75" customHeight="1" outlineLevel="1">
      <c r="A13" s="2812" t="s">
        <v>2908</v>
      </c>
      <c r="B13" s="2806"/>
      <c r="C13" s="2807"/>
      <c r="D13" s="2816">
        <f>IF(D$12&lt;20000,2%,1%)</f>
        <v>0.02</v>
      </c>
      <c r="E13" s="2816">
        <f>IF(E$12&lt;20000,2%,1%)</f>
        <v>0.02</v>
      </c>
      <c r="F13" s="2816">
        <f>IF(F$12&lt;20000,2%,1%)</f>
        <v>0.02</v>
      </c>
      <c r="G13" s="2816">
        <f>IF(G$12&lt;20000,2%,1%)</f>
        <v>0.02</v>
      </c>
      <c r="J13" s="2817" t="s">
        <v>2295</v>
      </c>
      <c r="K13" s="2417">
        <f>'Data Extra cost'!V150</f>
        <v>6.75</v>
      </c>
      <c r="L13" s="2417">
        <f>'Data Extra cost'!W150</f>
        <v>10.404</v>
      </c>
      <c r="M13" s="2417">
        <f>'Data Extra cost'!X150</f>
        <v>17.442</v>
      </c>
      <c r="N13" s="2417">
        <f>'Data Extra cost'!Y150</f>
        <v>25.214999999999996</v>
      </c>
      <c r="O13" s="2417">
        <f>'Data Extra cost'!Z150</f>
        <v>33.88000000000001</v>
      </c>
    </row>
    <row r="14" spans="1:15" ht="15.75" customHeight="1" outlineLevel="1">
      <c r="A14" s="2812" t="s">
        <v>2909</v>
      </c>
      <c r="B14" s="2806"/>
      <c r="C14" s="2806"/>
      <c r="D14" s="2818">
        <f>D12+MAX(100,(D12*D13))</f>
        <v>100</v>
      </c>
      <c r="E14" s="2818">
        <f>E12+MAX(100,(E12*E13))</f>
        <v>100</v>
      </c>
      <c r="F14" s="2818">
        <f>F12+MAX(100,(F12*F13))</f>
        <v>100</v>
      </c>
      <c r="G14" s="2818">
        <f>G12+MAX(100,(G12*G13))</f>
        <v>100</v>
      </c>
      <c r="J14" s="2419" t="s">
        <v>2297</v>
      </c>
      <c r="K14" s="3247">
        <f>'Data Extra cost'!V151</f>
        <v>1060000</v>
      </c>
      <c r="L14" s="3247">
        <f>'Data Extra cost'!W151</f>
        <v>1160000</v>
      </c>
      <c r="M14" s="3247">
        <f>'Data Extra cost'!X151</f>
        <v>1370000</v>
      </c>
      <c r="N14" s="3247">
        <f>'Data Extra cost'!Y151</f>
        <v>1690000</v>
      </c>
      <c r="O14" s="3247">
        <f>'Data Extra cost'!Z151</f>
        <v>2005000</v>
      </c>
    </row>
    <row r="15" spans="1:15" ht="15.75" customHeight="1" outlineLevel="1">
      <c r="A15" s="2812"/>
      <c r="B15" s="4424" t="s">
        <v>535</v>
      </c>
      <c r="C15" s="4425"/>
      <c r="D15" s="2819">
        <f>E5</f>
        <v>0</v>
      </c>
      <c r="E15" s="2819">
        <f>E6</f>
        <v>0</v>
      </c>
      <c r="F15" s="2820">
        <f>E7</f>
        <v>0</v>
      </c>
      <c r="G15" s="2820">
        <f>E8</f>
        <v>0</v>
      </c>
      <c r="J15" s="2808"/>
      <c r="K15" s="2809"/>
      <c r="L15" s="2807"/>
    </row>
    <row r="16" spans="1:15" ht="15.75" customHeight="1" outlineLevel="1">
      <c r="A16" s="2812" t="s">
        <v>2910</v>
      </c>
      <c r="B16" s="4426" t="s">
        <v>2911</v>
      </c>
      <c r="C16" s="4427"/>
      <c r="D16" s="2821"/>
      <c r="E16" s="2821"/>
      <c r="F16" s="2822"/>
      <c r="G16" s="2822"/>
      <c r="J16" s="2808"/>
      <c r="K16" s="2809"/>
      <c r="L16" s="2807"/>
    </row>
    <row r="17" spans="1:15" ht="15.75" customHeight="1" outlineLevel="1">
      <c r="A17" s="2812" t="s">
        <v>2912</v>
      </c>
      <c r="B17" s="2823"/>
      <c r="C17" s="2824"/>
      <c r="D17" s="2825">
        <v>0</v>
      </c>
      <c r="E17" s="2825">
        <v>0</v>
      </c>
      <c r="F17" s="2826">
        <v>0</v>
      </c>
      <c r="G17" s="2826">
        <v>0</v>
      </c>
      <c r="J17" s="2808"/>
      <c r="K17" s="2809"/>
      <c r="L17" s="2827"/>
    </row>
    <row r="18" spans="1:15" s="2830" customFormat="1" ht="15.75" customHeight="1" outlineLevel="1">
      <c r="A18" s="2812"/>
      <c r="B18" s="4424" t="s">
        <v>87</v>
      </c>
      <c r="C18" s="4425"/>
      <c r="D18" s="2828">
        <f>(D16*D14)*(1+D17)</f>
        <v>0</v>
      </c>
      <c r="E18" s="2828">
        <f>(E16*E14)*(1+E17)</f>
        <v>0</v>
      </c>
      <c r="F18" s="2829">
        <f>(F16*F14)*(1+F17)</f>
        <v>0</v>
      </c>
      <c r="G18" s="2829">
        <f>(G16*G14)*(1+G17)</f>
        <v>0</v>
      </c>
      <c r="H18" s="2780"/>
      <c r="I18" s="2780"/>
      <c r="J18" s="2808"/>
      <c r="K18" s="2809"/>
      <c r="L18" s="2807"/>
      <c r="M18" s="2780"/>
      <c r="N18" s="2780"/>
      <c r="O18" s="2780"/>
    </row>
    <row r="19" spans="1:15" s="2830" customFormat="1" ht="15.75" customHeight="1" outlineLevel="1">
      <c r="A19" s="2812"/>
      <c r="B19" s="4420" t="s">
        <v>41</v>
      </c>
      <c r="C19" s="4421"/>
      <c r="D19" s="2831">
        <v>0</v>
      </c>
      <c r="E19" s="2831">
        <v>0</v>
      </c>
      <c r="F19" s="2831">
        <v>0</v>
      </c>
      <c r="G19" s="2831">
        <v>0</v>
      </c>
      <c r="H19" s="2780"/>
      <c r="I19" s="2780"/>
      <c r="J19" s="2808"/>
      <c r="K19" s="2809"/>
      <c r="L19" s="2807"/>
      <c r="M19" s="2780"/>
      <c r="N19" s="2780"/>
      <c r="O19" s="2780"/>
    </row>
    <row r="20" spans="1:15" s="2830" customFormat="1" ht="15.75" customHeight="1" outlineLevel="1">
      <c r="A20" s="2812"/>
      <c r="B20" s="4420" t="s">
        <v>2913</v>
      </c>
      <c r="C20" s="4421"/>
      <c r="D20" s="2831">
        <v>0</v>
      </c>
      <c r="E20" s="2831">
        <v>0</v>
      </c>
      <c r="F20" s="2831">
        <v>0</v>
      </c>
      <c r="G20" s="2831">
        <v>0</v>
      </c>
      <c r="H20" s="2780"/>
      <c r="I20" s="2780"/>
      <c r="J20" s="2808"/>
      <c r="K20" s="2809"/>
      <c r="L20" s="2807"/>
      <c r="M20" s="2780"/>
      <c r="N20" s="2780"/>
      <c r="O20" s="2780"/>
    </row>
    <row r="21" spans="1:15" s="2830" customFormat="1" ht="15.75" customHeight="1" outlineLevel="1">
      <c r="A21" s="2812"/>
      <c r="B21" s="4420" t="s">
        <v>2914</v>
      </c>
      <c r="C21" s="4421"/>
      <c r="D21" s="2831">
        <v>0</v>
      </c>
      <c r="E21" s="2831">
        <v>0</v>
      </c>
      <c r="F21" s="2831">
        <v>0</v>
      </c>
      <c r="G21" s="2831">
        <v>0</v>
      </c>
      <c r="H21" s="2832"/>
      <c r="I21" s="2780"/>
      <c r="J21" s="2808"/>
      <c r="K21" s="2809"/>
      <c r="L21" s="2807"/>
      <c r="M21" s="2780"/>
      <c r="N21" s="2780"/>
      <c r="O21" s="2780"/>
    </row>
    <row r="22" spans="1:15" s="2830" customFormat="1" ht="15.75" customHeight="1" outlineLevel="1">
      <c r="A22" s="2812" t="s">
        <v>2915</v>
      </c>
      <c r="B22" s="4420" t="s">
        <v>87</v>
      </c>
      <c r="C22" s="4421"/>
      <c r="D22" s="2829"/>
      <c r="E22" s="2829"/>
      <c r="F22" s="2829"/>
      <c r="G22" s="2829"/>
      <c r="H22" s="2780"/>
      <c r="I22" s="2780"/>
      <c r="J22" s="2808"/>
      <c r="K22" s="2809"/>
      <c r="L22" s="2807"/>
      <c r="M22" s="2780"/>
      <c r="N22" s="2780"/>
      <c r="O22" s="2780"/>
    </row>
    <row r="23" spans="1:15" s="2830" customFormat="1" ht="15.75" customHeight="1" outlineLevel="1">
      <c r="A23" s="2812" t="s">
        <v>537</v>
      </c>
      <c r="B23" s="2833" t="s">
        <v>87</v>
      </c>
      <c r="C23" s="2834"/>
      <c r="D23" s="2835">
        <f>IF(SUM(D18,D22)*0.09%*1.1*1.1&lt;20,20,SUM(D22,D18)*0.09%*1.1*1.1)</f>
        <v>20</v>
      </c>
      <c r="E23" s="2835">
        <f>IF(SUM(E18,E22)*0.09%*1.1*1.1&lt;20,20,SUM(E22,E18)*0.09%*1.1*1.1)</f>
        <v>20</v>
      </c>
      <c r="F23" s="2835">
        <f>IF(SUM(F18,F22)*0.09%*1.1*1.1&lt;20,20,SUM(F22,F18)*0.09%*1.1*1.1)</f>
        <v>20</v>
      </c>
      <c r="G23" s="2835">
        <f>IF(SUM(G18,G22)*0.09%*1.1*1.1&lt;20,20,SUM(G22,G18)*0.09%*1.1*1.1)</f>
        <v>20</v>
      </c>
      <c r="H23" s="2780"/>
      <c r="I23" s="2780"/>
      <c r="J23" s="2808"/>
      <c r="K23" s="2809"/>
      <c r="L23" s="2807"/>
      <c r="M23" s="2780"/>
      <c r="N23" s="2780"/>
      <c r="O23" s="2780"/>
    </row>
    <row r="24" spans="1:15" s="2830" customFormat="1" ht="15.75" customHeight="1" outlineLevel="1">
      <c r="A24" s="4422" t="s">
        <v>2916</v>
      </c>
      <c r="B24" s="2833" t="s">
        <v>41</v>
      </c>
      <c r="C24" s="2836"/>
      <c r="D24" s="2837">
        <f>$C$24*D19</f>
        <v>0</v>
      </c>
      <c r="E24" s="2837">
        <f>$C$24*E19</f>
        <v>0</v>
      </c>
      <c r="F24" s="2837">
        <f>$C$24*F19</f>
        <v>0</v>
      </c>
      <c r="G24" s="2837">
        <f>$C$24*G19</f>
        <v>0</v>
      </c>
      <c r="H24" s="2780"/>
      <c r="I24" s="2780"/>
      <c r="J24" s="2808"/>
      <c r="K24" s="2809"/>
      <c r="L24" s="2807"/>
      <c r="M24" s="2780"/>
      <c r="N24" s="2780"/>
      <c r="O24" s="2780"/>
    </row>
    <row r="25" spans="1:15" s="2830" customFormat="1" ht="15.75" customHeight="1" outlineLevel="1">
      <c r="A25" s="4422"/>
      <c r="B25" s="2833" t="s">
        <v>2913</v>
      </c>
      <c r="C25" s="2836"/>
      <c r="D25" s="2838">
        <f>$C$25*D20</f>
        <v>0</v>
      </c>
      <c r="E25" s="2838">
        <f>$C$25*E20</f>
        <v>0</v>
      </c>
      <c r="F25" s="2838">
        <f>$C$25*F20</f>
        <v>0</v>
      </c>
      <c r="G25" s="2838">
        <f>$C$25*G20</f>
        <v>0</v>
      </c>
      <c r="H25" s="2780"/>
      <c r="I25" s="2780"/>
      <c r="J25" s="2808"/>
      <c r="K25" s="2809"/>
      <c r="L25" s="2807"/>
      <c r="M25" s="2780"/>
      <c r="N25" s="2780"/>
      <c r="O25" s="2780"/>
    </row>
    <row r="26" spans="1:15" s="2830" customFormat="1" ht="13.5" customHeight="1" outlineLevel="1">
      <c r="A26" s="4422"/>
      <c r="B26" s="2833" t="s">
        <v>2917</v>
      </c>
      <c r="C26" s="2836"/>
      <c r="D26" s="2838">
        <f>$C$26*D21</f>
        <v>0</v>
      </c>
      <c r="E26" s="2838">
        <f>$C$26*E21</f>
        <v>0</v>
      </c>
      <c r="F26" s="2838">
        <f>$C$26*F21</f>
        <v>0</v>
      </c>
      <c r="G26" s="2838">
        <f>$C$26*G21</f>
        <v>0</v>
      </c>
      <c r="H26" s="2780"/>
      <c r="I26" s="2780"/>
      <c r="J26" s="2808"/>
      <c r="K26" s="2809"/>
      <c r="L26" s="2807"/>
      <c r="M26" s="2780"/>
      <c r="N26" s="2780"/>
      <c r="O26" s="2780"/>
    </row>
    <row r="27" spans="1:15" s="2830" customFormat="1" ht="15.75" customHeight="1" outlineLevel="1">
      <c r="A27" s="2812" t="s">
        <v>2918</v>
      </c>
      <c r="B27" s="2833"/>
      <c r="C27" s="2839">
        <f>15%*0</f>
        <v>0</v>
      </c>
      <c r="D27" s="2840">
        <f>SUM(D18,D22:D23)*$C$27</f>
        <v>0</v>
      </c>
      <c r="E27" s="2840">
        <f>SUM(E18,E22:E23)*$C$27</f>
        <v>0</v>
      </c>
      <c r="F27" s="2840">
        <f>SUM(F18,F22:F23)*$C$27</f>
        <v>0</v>
      </c>
      <c r="G27" s="2840">
        <f>SUM(G18,G22:G23)*$C$27</f>
        <v>0</v>
      </c>
      <c r="H27" s="2780"/>
      <c r="I27" s="2780"/>
      <c r="J27" s="2808"/>
      <c r="K27" s="2809"/>
      <c r="L27" s="2807"/>
      <c r="M27" s="2780"/>
      <c r="N27" s="2780"/>
      <c r="O27" s="2780"/>
    </row>
    <row r="28" spans="1:15" s="2830" customFormat="1" ht="15.75" customHeight="1" outlineLevel="1">
      <c r="A28" s="2812" t="s">
        <v>2300</v>
      </c>
      <c r="B28" s="2833" t="s">
        <v>87</v>
      </c>
      <c r="C28" s="2841"/>
      <c r="D28" s="2842">
        <f>SUM(D29:D47)*(1+10%)</f>
        <v>0</v>
      </c>
      <c r="E28" s="2842">
        <f>SUM(E29:E47)*(1+10%)</f>
        <v>0</v>
      </c>
      <c r="F28" s="2842">
        <f>SUM(F29:F47)*(1+10%)</f>
        <v>0</v>
      </c>
      <c r="G28" s="2842">
        <f>SUM(G29:G47)*(1+10%)</f>
        <v>0</v>
      </c>
      <c r="H28" s="2780"/>
      <c r="I28" s="2780"/>
      <c r="J28" s="2808"/>
      <c r="K28" s="2809"/>
      <c r="L28" s="2807"/>
      <c r="M28" s="2780"/>
      <c r="N28" s="2780"/>
      <c r="O28" s="2780"/>
    </row>
    <row r="29" spans="1:15" ht="15.75" customHeight="1" outlineLevel="1">
      <c r="A29" s="2812" t="s">
        <v>2919</v>
      </c>
      <c r="B29" s="2834" t="s">
        <v>2920</v>
      </c>
      <c r="C29" s="2843"/>
      <c r="D29" s="2844">
        <f>(IF(D19&gt;0,MAX(IF(D19&lt;=$K$13,$K$14,IF(D19&lt;=$L$13,$L$14,IF(D19&lt;=$M$13,$M$14,IF(D19&lt;=$N$13,$N$14,IF(D19&lt;=$O$13,$O$14,0))))))+700000)/$K$4)</f>
        <v>0</v>
      </c>
      <c r="E29" s="2844">
        <f>(IF(E19&gt;0,MAX(IF(E19&lt;=$K$13,$K$14,IF(E19&lt;=$L$13,$L$14,IF(E19&lt;=$M$13,$M$14,IF(E19&lt;=$N$13,$N$14,IF(E19&lt;=$O$13,$O$14,0))))))+700000)/$K$4)</f>
        <v>0</v>
      </c>
      <c r="F29" s="2844">
        <f>(IF(F19&gt;0,MAX(IF(F19&lt;=$K$13,$K$14,IF(F19&lt;=$L$13,$L$14,IF(F19&lt;=$M$13,$M$14,IF(F19&lt;=$N$13,$N$14,IF(F19&lt;=$O$13,$O$14,0))))))+700000)/$K$4)</f>
        <v>0</v>
      </c>
      <c r="G29" s="2844">
        <f>(IF(G19&gt;0,MAX(IF(G19&lt;=$K$13,$K$14,IF(G19&lt;=$L$13,$L$14,IF(G19&lt;=$M$13,$M$14,IF(G19&lt;=$N$13,$N$14,IF(G19&lt;=$O$13,$O$14,0))))))+700000)/$K$4)</f>
        <v>0</v>
      </c>
      <c r="J29" s="2808"/>
      <c r="K29" s="2809"/>
      <c r="L29" s="2807"/>
    </row>
    <row r="30" spans="1:15" ht="15.75" customHeight="1" outlineLevel="1">
      <c r="A30" s="2812" t="s">
        <v>728</v>
      </c>
      <c r="B30" s="2834" t="s">
        <v>2921</v>
      </c>
      <c r="C30" s="2845">
        <f>'Data Extra cost'!H164</f>
        <v>213.3502323616392</v>
      </c>
      <c r="D30" s="2838">
        <f>$C$30*D20</f>
        <v>0</v>
      </c>
      <c r="E30" s="2838">
        <f>$C$30*E20</f>
        <v>0</v>
      </c>
      <c r="F30" s="2838">
        <f>$C$30*F20</f>
        <v>0</v>
      </c>
      <c r="G30" s="2838">
        <f>$C$30*G20</f>
        <v>0</v>
      </c>
      <c r="J30" s="2808"/>
      <c r="K30" s="2809"/>
      <c r="L30" s="2807"/>
    </row>
    <row r="31" spans="1:15" ht="15.75" customHeight="1" outlineLevel="1">
      <c r="A31" s="2812" t="s">
        <v>728</v>
      </c>
      <c r="B31" s="2834" t="s">
        <v>2922</v>
      </c>
      <c r="C31" s="2845">
        <f>'Data Extra cost'!I164</f>
        <v>270.80692860160542</v>
      </c>
      <c r="D31" s="2838">
        <f>$C$31*D21</f>
        <v>0</v>
      </c>
      <c r="E31" s="2838">
        <f>$C$31*E21</f>
        <v>0</v>
      </c>
      <c r="F31" s="2838">
        <f>$C$31*F21</f>
        <v>0</v>
      </c>
      <c r="G31" s="2838">
        <f>$C$31*G21</f>
        <v>0</v>
      </c>
      <c r="J31" s="2808"/>
      <c r="K31" s="2809"/>
      <c r="L31" s="2807"/>
    </row>
    <row r="32" spans="1:15" ht="15.75" customHeight="1" outlineLevel="1">
      <c r="A32" s="2812" t="s">
        <v>556</v>
      </c>
      <c r="B32" s="2834" t="s">
        <v>2923</v>
      </c>
      <c r="C32" s="2845">
        <f>1*0</f>
        <v>0</v>
      </c>
      <c r="D32" s="2838">
        <f>IF(SUM(D19:D21)&gt;0,$C$32,0)</f>
        <v>0</v>
      </c>
      <c r="E32" s="2838">
        <f>IF(SUM(E19:E21)&gt;0,$C$32,0)</f>
        <v>0</v>
      </c>
      <c r="F32" s="2838">
        <f>IF(SUM(F19:F21)&gt;0,$C$32,0)</f>
        <v>0</v>
      </c>
      <c r="G32" s="2838">
        <f>IF(SUM(G19:G21)&gt;0,$C$32,0)</f>
        <v>0</v>
      </c>
      <c r="J32" s="2808"/>
      <c r="K32" s="2809"/>
      <c r="L32" s="2807"/>
    </row>
    <row r="33" spans="1:15" ht="15.75" customHeight="1" outlineLevel="1">
      <c r="A33" s="2812" t="s">
        <v>3372</v>
      </c>
      <c r="B33" s="2834" t="s">
        <v>2921</v>
      </c>
      <c r="C33" s="3245">
        <f>'Data Extra cost'!H163+'Data Extra cost'!H162</f>
        <v>27</v>
      </c>
      <c r="D33" s="2838">
        <f>$C$33*D20</f>
        <v>0</v>
      </c>
      <c r="E33" s="2838">
        <f>$C$33*E20</f>
        <v>0</v>
      </c>
      <c r="F33" s="2838">
        <f>$C$33*F20</f>
        <v>0</v>
      </c>
      <c r="G33" s="2838">
        <f>$C$33*G20</f>
        <v>0</v>
      </c>
      <c r="J33" s="2808"/>
      <c r="K33" s="2809"/>
      <c r="L33" s="2807"/>
    </row>
    <row r="34" spans="1:15" ht="15.75" customHeight="1" outlineLevel="1">
      <c r="A34" s="2812" t="s">
        <v>3372</v>
      </c>
      <c r="B34" s="2834" t="s">
        <v>2922</v>
      </c>
      <c r="C34" s="3245">
        <f>'Data Extra cost'!I163+'Data Extra cost'!I162</f>
        <v>27</v>
      </c>
      <c r="D34" s="2838">
        <f>$C$34*D21</f>
        <v>0</v>
      </c>
      <c r="E34" s="2838">
        <f>$C$34*E21</f>
        <v>0</v>
      </c>
      <c r="F34" s="2838">
        <f>$C$34*F21</f>
        <v>0</v>
      </c>
      <c r="G34" s="2838">
        <f>$C$34*G21</f>
        <v>0</v>
      </c>
      <c r="J34" s="2808"/>
      <c r="K34" s="2809"/>
      <c r="L34" s="2807"/>
    </row>
    <row r="35" spans="1:15" ht="15.75" customHeight="1" outlineLevel="1">
      <c r="A35" s="2812" t="s">
        <v>678</v>
      </c>
      <c r="B35" s="2834" t="s">
        <v>2923</v>
      </c>
      <c r="C35" s="2845">
        <f>25*0</f>
        <v>0</v>
      </c>
      <c r="D35" s="2838">
        <f>IF(SUM(D19:D21)&gt;0,$C$35,0)</f>
        <v>0</v>
      </c>
      <c r="E35" s="2838">
        <f>IF(SUM(E19:E21)&gt;0,$C$35,0)</f>
        <v>0</v>
      </c>
      <c r="F35" s="2838">
        <f>IF(SUM(F19:F21)&gt;0,$C$35,0)</f>
        <v>0</v>
      </c>
      <c r="G35" s="2838">
        <f>IF(SUM(G19:G21)&gt;0,$C$35,0)</f>
        <v>0</v>
      </c>
      <c r="J35" s="2808"/>
      <c r="K35" s="2809"/>
      <c r="L35" s="2807"/>
    </row>
    <row r="36" spans="1:15" ht="15.75" customHeight="1" outlineLevel="1">
      <c r="A36" s="2812" t="s">
        <v>2924</v>
      </c>
      <c r="B36" s="2834" t="s">
        <v>2923</v>
      </c>
      <c r="C36" s="3245">
        <f>'Data Extra cost'!H160</f>
        <v>60</v>
      </c>
      <c r="D36" s="2838">
        <f>IF(SUM(D19:D21)&gt;0,$C$36,0)</f>
        <v>0</v>
      </c>
      <c r="E36" s="2838">
        <f>IF(SUM(E19:E21)&gt;0,$C$36,0)</f>
        <v>0</v>
      </c>
      <c r="F36" s="2838">
        <f>IF(SUM(F19:F21)&gt;0,$C$36,0)</f>
        <v>0</v>
      </c>
      <c r="G36" s="2838">
        <f>IF(SUM(G19:G21)&gt;0,$C$36,0)</f>
        <v>0</v>
      </c>
      <c r="J36" s="2808"/>
      <c r="K36" s="2809"/>
      <c r="L36" s="2807"/>
    </row>
    <row r="37" spans="1:15" ht="15.75" customHeight="1" outlineLevel="1">
      <c r="A37" s="2812" t="s">
        <v>2925</v>
      </c>
      <c r="B37" s="2834" t="s">
        <v>3373</v>
      </c>
      <c r="C37" s="3245">
        <f>'Data Extra cost'!B162</f>
        <v>18</v>
      </c>
      <c r="D37" s="2838">
        <f>$C$37*D19</f>
        <v>0</v>
      </c>
      <c r="E37" s="2838">
        <f>$C$37*E19</f>
        <v>0</v>
      </c>
      <c r="F37" s="2838">
        <f>$C$37*F19</f>
        <v>0</v>
      </c>
      <c r="G37" s="2838">
        <f>$C$37*G19</f>
        <v>0</v>
      </c>
      <c r="J37" s="2808"/>
      <c r="K37" s="2809"/>
      <c r="L37" s="2807"/>
    </row>
    <row r="38" spans="1:15" ht="15.75" customHeight="1" outlineLevel="1">
      <c r="A38" s="4422" t="s">
        <v>2926</v>
      </c>
      <c r="B38" s="2834" t="s">
        <v>540</v>
      </c>
      <c r="C38" s="3245">
        <f>'Data Extra cost'!B158</f>
        <v>10</v>
      </c>
      <c r="D38" s="2838">
        <f>$C$38*D19</f>
        <v>0</v>
      </c>
      <c r="E38" s="2838">
        <f>$C$38*E19</f>
        <v>0</v>
      </c>
      <c r="F38" s="2838">
        <f>$C$38*F19</f>
        <v>0</v>
      </c>
      <c r="G38" s="2838">
        <f>$C$38*G19</f>
        <v>0</v>
      </c>
      <c r="J38" s="2808"/>
      <c r="K38" s="2809"/>
      <c r="L38" s="2807"/>
    </row>
    <row r="39" spans="1:15" ht="15.75" customHeight="1" outlineLevel="1">
      <c r="A39" s="4422"/>
      <c r="B39" s="2834" t="s">
        <v>2921</v>
      </c>
      <c r="C39" s="3245">
        <f>'Data Extra cost'!H158</f>
        <v>25</v>
      </c>
      <c r="D39" s="2838">
        <f>$C$39*D20</f>
        <v>0</v>
      </c>
      <c r="E39" s="2838">
        <f>$C$39*E20</f>
        <v>0</v>
      </c>
      <c r="F39" s="2838">
        <f>$C$39*F20</f>
        <v>0</v>
      </c>
      <c r="G39" s="2838">
        <f>$C$39*G20</f>
        <v>0</v>
      </c>
      <c r="J39" s="2808"/>
      <c r="K39" s="2809"/>
      <c r="L39" s="2807"/>
    </row>
    <row r="40" spans="1:15" ht="15.75" customHeight="1" outlineLevel="1">
      <c r="A40" s="4422"/>
      <c r="B40" s="2834" t="s">
        <v>2922</v>
      </c>
      <c r="C40" s="3245">
        <f>'Data Extra cost'!I158</f>
        <v>50</v>
      </c>
      <c r="D40" s="2838">
        <f>$C$40*D21</f>
        <v>0</v>
      </c>
      <c r="E40" s="2838">
        <f>$C$40*E21</f>
        <v>0</v>
      </c>
      <c r="F40" s="2838">
        <f>$C$40*F21</f>
        <v>0</v>
      </c>
      <c r="G40" s="2838">
        <f>$C$40*G21</f>
        <v>0</v>
      </c>
      <c r="J40" s="2808"/>
      <c r="K40" s="2809"/>
      <c r="L40" s="2807"/>
    </row>
    <row r="41" spans="1:15" ht="15.75" customHeight="1" outlineLevel="1">
      <c r="A41" s="4422" t="s">
        <v>555</v>
      </c>
      <c r="B41" s="2834" t="s">
        <v>540</v>
      </c>
      <c r="C41" s="3245">
        <f>'Data Extra cost'!B159+'Data Extra cost'!B161</f>
        <v>12</v>
      </c>
      <c r="D41" s="2838">
        <f>$C$41*D19</f>
        <v>0</v>
      </c>
      <c r="E41" s="2838">
        <f>$C$41*E19</f>
        <v>0</v>
      </c>
      <c r="F41" s="2838">
        <f>$C$41*F19</f>
        <v>0</v>
      </c>
      <c r="G41" s="2838">
        <f>$C$41*G19</f>
        <v>0</v>
      </c>
      <c r="J41" s="2808"/>
      <c r="K41" s="2809"/>
      <c r="L41" s="2807"/>
    </row>
    <row r="42" spans="1:15" ht="15.75" customHeight="1" outlineLevel="1">
      <c r="A42" s="4422"/>
      <c r="B42" s="2834" t="s">
        <v>2921</v>
      </c>
      <c r="C42" s="3245">
        <f>'Data Extra cost'!H159+'Data Extra cost'!H161</f>
        <v>180</v>
      </c>
      <c r="D42" s="2838">
        <f>$C$42*D20</f>
        <v>0</v>
      </c>
      <c r="E42" s="2838">
        <f>$C$42*E20</f>
        <v>0</v>
      </c>
      <c r="F42" s="2838">
        <f>$C$42*F20</f>
        <v>0</v>
      </c>
      <c r="G42" s="2838">
        <f>$C$42*G20</f>
        <v>0</v>
      </c>
      <c r="J42" s="2808"/>
      <c r="K42" s="2809"/>
      <c r="L42" s="2807"/>
    </row>
    <row r="43" spans="1:15" ht="15.75" customHeight="1" outlineLevel="1">
      <c r="A43" s="4422"/>
      <c r="B43" s="2834" t="s">
        <v>2922</v>
      </c>
      <c r="C43" s="3245">
        <f>'Data Extra cost'!I159+'Data Extra cost'!I161</f>
        <v>290</v>
      </c>
      <c r="D43" s="2838">
        <f>$C$43*D21</f>
        <v>0</v>
      </c>
      <c r="E43" s="2838">
        <f>$C$43*E21</f>
        <v>0</v>
      </c>
      <c r="F43" s="2838">
        <f>$C$43*F21</f>
        <v>0</v>
      </c>
      <c r="G43" s="2838">
        <f>$C$43*G21</f>
        <v>0</v>
      </c>
      <c r="J43" s="2808"/>
      <c r="K43" s="2809"/>
      <c r="L43" s="2807"/>
    </row>
    <row r="44" spans="1:15" s="2830" customFormat="1" ht="13.5" customHeight="1" outlineLevel="1">
      <c r="A44" s="4423" t="str">
        <f>'Data Extra cost'!A166</f>
        <v>Others:</v>
      </c>
      <c r="B44" s="2833" t="s">
        <v>3371</v>
      </c>
      <c r="C44" s="3246">
        <f>'Data Extra cost'!B166</f>
        <v>2.1123785382340516</v>
      </c>
      <c r="D44" s="2837">
        <f>$C$44*D19</f>
        <v>0</v>
      </c>
      <c r="E44" s="2837">
        <f>$C$44*E19</f>
        <v>0</v>
      </c>
      <c r="F44" s="2837">
        <f>$C$44*F19</f>
        <v>0</v>
      </c>
      <c r="G44" s="2837">
        <f>$C$44*G19</f>
        <v>0</v>
      </c>
      <c r="H44" s="2780"/>
      <c r="I44" s="2780"/>
      <c r="J44" s="2808"/>
      <c r="K44" s="2809"/>
      <c r="L44" s="2807"/>
      <c r="M44" s="2780"/>
      <c r="N44" s="2780"/>
      <c r="O44" s="2780"/>
    </row>
    <row r="45" spans="1:15" s="2830" customFormat="1" ht="13.5" customHeight="1" outlineLevel="1">
      <c r="A45" s="4422"/>
      <c r="B45" s="2834" t="s">
        <v>2921</v>
      </c>
      <c r="C45" s="3246">
        <f>'Data Extra cost'!H166</f>
        <v>21.123785382340515</v>
      </c>
      <c r="D45" s="2838">
        <f>$C$45*D20</f>
        <v>0</v>
      </c>
      <c r="E45" s="2838">
        <f>$C$45*E20</f>
        <v>0</v>
      </c>
      <c r="F45" s="2838">
        <f>$C$45*F20</f>
        <v>0</v>
      </c>
      <c r="G45" s="2838">
        <f>$C$45*G20</f>
        <v>0</v>
      </c>
      <c r="H45" s="2780"/>
      <c r="I45" s="2780"/>
      <c r="J45" s="2808"/>
      <c r="K45" s="2809"/>
      <c r="L45" s="2807"/>
      <c r="M45" s="2780"/>
      <c r="N45" s="2780"/>
      <c r="O45" s="2780"/>
    </row>
    <row r="46" spans="1:15" s="2830" customFormat="1" ht="13.5" customHeight="1" outlineLevel="1">
      <c r="A46" s="4422"/>
      <c r="B46" s="2834" t="s">
        <v>2922</v>
      </c>
      <c r="C46" s="3246">
        <f>'Data Extra cost'!I166</f>
        <v>42.247570764681029</v>
      </c>
      <c r="D46" s="2838">
        <f>$C$46*D21</f>
        <v>0</v>
      </c>
      <c r="E46" s="2838">
        <f>$C$46*E21</f>
        <v>0</v>
      </c>
      <c r="F46" s="2838">
        <f>$C$46*F21</f>
        <v>0</v>
      </c>
      <c r="G46" s="2838">
        <f>$C$46*G21</f>
        <v>0</v>
      </c>
      <c r="H46" s="2780"/>
      <c r="I46" s="2780"/>
      <c r="J46" s="2808"/>
      <c r="K46" s="2809"/>
      <c r="L46" s="2807"/>
      <c r="M46" s="2780"/>
      <c r="N46" s="2780"/>
      <c r="O46" s="2780"/>
    </row>
    <row r="47" spans="1:15" ht="15.75" customHeight="1" outlineLevel="1">
      <c r="A47" s="2812" t="s">
        <v>2927</v>
      </c>
      <c r="B47" s="2846" t="s">
        <v>2923</v>
      </c>
      <c r="C47" s="2847">
        <f>'Data Extra cost'!H165</f>
        <v>6.3371356147021549</v>
      </c>
      <c r="D47" s="2838">
        <f>IF(SUM(D19:D21)&gt;0,$C$47,0)</f>
        <v>0</v>
      </c>
      <c r="E47" s="2838">
        <f>IF(SUM(E19:E21)&gt;0,$C$47,0)</f>
        <v>0</v>
      </c>
      <c r="F47" s="2838">
        <f>IF(SUM(F19:F21)&gt;0,$C$47,0)</f>
        <v>0</v>
      </c>
      <c r="G47" s="2838">
        <f>IF(SUM(G19:G21)&gt;0,$C$47,0)</f>
        <v>0</v>
      </c>
      <c r="J47" s="2808"/>
      <c r="K47" s="2809"/>
      <c r="L47" s="2807"/>
    </row>
    <row r="48" spans="1:15" ht="15.75" customHeight="1" outlineLevel="1">
      <c r="A48" s="2848" t="s">
        <v>125</v>
      </c>
      <c r="B48" s="2849"/>
      <c r="C48" s="2849" t="s">
        <v>87</v>
      </c>
      <c r="D48" s="2850">
        <f>D18+D22+SUM(D23:D28)</f>
        <v>20</v>
      </c>
      <c r="E48" s="2850">
        <f>E18+E22+SUM(E23:E28)</f>
        <v>20</v>
      </c>
      <c r="F48" s="2851">
        <f>F18+F22+SUM(F23:F28)</f>
        <v>20</v>
      </c>
      <c r="G48" s="2851">
        <f>G18+G22+SUM(G23:G28)</f>
        <v>20</v>
      </c>
      <c r="J48" s="2808"/>
      <c r="K48" s="2809"/>
      <c r="L48" s="2807"/>
      <c r="M48" s="2852"/>
    </row>
    <row r="49" spans="1:13" ht="15.75" customHeight="1" outlineLevel="1">
      <c r="A49" s="2853"/>
      <c r="B49" s="2849"/>
      <c r="C49" s="2849" t="s">
        <v>92</v>
      </c>
      <c r="D49" s="2854" t="e">
        <f>D48*$K$5</f>
        <v>#REF!</v>
      </c>
      <c r="E49" s="2854" t="e">
        <f>E48*$K$5</f>
        <v>#REF!</v>
      </c>
      <c r="F49" s="2855" t="e">
        <f>F48*$K$5</f>
        <v>#REF!</v>
      </c>
      <c r="G49" s="2855" t="e">
        <f>G48*$K$5</f>
        <v>#REF!</v>
      </c>
      <c r="J49" s="2808"/>
      <c r="K49" s="2809"/>
      <c r="L49" s="2807"/>
      <c r="M49" s="2852"/>
    </row>
    <row r="50" spans="1:13" ht="15.75" customHeight="1">
      <c r="A50" s="2806"/>
      <c r="B50" s="2849"/>
      <c r="C50" s="2849" t="s">
        <v>546</v>
      </c>
      <c r="D50" s="2856" t="e">
        <f>ROUNDUP(D49/D12,0)/'Cost EST. GM target'!$L$4</f>
        <v>#REF!</v>
      </c>
      <c r="E50" s="2856" t="e">
        <f>ROUNDUP(E49/E12,0)/'Cost EST. GM target'!$L$4</f>
        <v>#REF!</v>
      </c>
      <c r="F50" s="2856" t="e">
        <f>ROUNDUP(F49/F12,0)/'Cost EST. GM target'!$L$4</f>
        <v>#REF!</v>
      </c>
      <c r="G50" s="2856" t="e">
        <f>ROUNDUP(G49/G12,0)/'Cost EST. GM target'!$L$4</f>
        <v>#REF!</v>
      </c>
      <c r="H50" s="2807" t="str">
        <f>'Cost EST. GM target'!$M$4&amp;"/copy"</f>
        <v>VND/copy</v>
      </c>
      <c r="J50" s="2808"/>
      <c r="K50" s="2809"/>
      <c r="M50" s="2852"/>
    </row>
    <row r="51" spans="1:13" ht="15.75" customHeight="1">
      <c r="A51" s="2781"/>
      <c r="C51" s="2116" t="s">
        <v>157</v>
      </c>
      <c r="D51" s="2188">
        <f ca="1">'Cost EST. GM target'!$J$73</f>
        <v>0.45002378881461591</v>
      </c>
      <c r="E51" s="2188">
        <f ca="1">'Cost EST. GM target'!$J$73</f>
        <v>0.45002378881461591</v>
      </c>
      <c r="F51" s="2188">
        <f ca="1">'Cost EST. GM target'!$J$73</f>
        <v>0.45002378881461591</v>
      </c>
      <c r="G51" s="2188">
        <f ca="1">'Cost EST. GM target'!$J$73</f>
        <v>0.45002378881461591</v>
      </c>
      <c r="J51" s="2808"/>
      <c r="K51" s="2809"/>
      <c r="L51" s="2857"/>
    </row>
    <row r="52" spans="1:13">
      <c r="C52" s="2116" t="s">
        <v>1583</v>
      </c>
      <c r="D52" s="2189"/>
      <c r="E52" s="2189"/>
      <c r="F52" s="2189"/>
      <c r="G52" s="2189"/>
    </row>
    <row r="53" spans="1:13" ht="15">
      <c r="A53" s="2858"/>
      <c r="C53" s="2116" t="s">
        <v>75</v>
      </c>
      <c r="D53" s="2190">
        <f>'Cost EST. GM target'!$J$50</f>
        <v>2.2499999999999999E-2</v>
      </c>
      <c r="E53" s="2190">
        <f>'Cost EST. GM target'!$J$50</f>
        <v>2.2499999999999999E-2</v>
      </c>
      <c r="F53" s="2190">
        <f>'Cost EST. GM target'!$J$50</f>
        <v>2.2499999999999999E-2</v>
      </c>
      <c r="G53" s="2190">
        <f>'Cost EST. GM target'!$J$50</f>
        <v>2.2499999999999999E-2</v>
      </c>
    </row>
    <row r="54" spans="1:13">
      <c r="C54" s="2116" t="s">
        <v>1609</v>
      </c>
      <c r="D54" s="2859" t="e">
        <f ca="1">1-(D50+D52)/(D55-(D50+D52)*D53)</f>
        <v>#REF!</v>
      </c>
      <c r="E54" s="2191" t="e">
        <f ca="1">1-(E50+E52)/(E55-(E50+E52)*E53)</f>
        <v>#REF!</v>
      </c>
      <c r="F54" s="2191" t="e">
        <f ca="1">1-(F50+F52)/(F55-(F50+F52)*F53)</f>
        <v>#REF!</v>
      </c>
      <c r="G54" s="2191" t="e">
        <f ca="1">1-(G50+G52)/(G55-(G50+G52)*G53)</f>
        <v>#REF!</v>
      </c>
    </row>
    <row r="55" spans="1:13">
      <c r="C55" s="2116" t="s">
        <v>462</v>
      </c>
      <c r="D55" s="2860" t="e">
        <f ca="1">D50/(1-D51)+D52+(D50+D52)*D53</f>
        <v>#REF!</v>
      </c>
      <c r="E55" s="2861" t="e">
        <f ca="1">E50/(1-E51)+E52+(E50+E52)*E53</f>
        <v>#REF!</v>
      </c>
      <c r="F55" s="2861" t="e">
        <f ca="1">F50/(1-F51)+F52+(F50+F52)*F53</f>
        <v>#REF!</v>
      </c>
      <c r="G55" s="2861" t="e">
        <f ca="1">G50/(1-G51)+G52+(G50+G52)*G53</f>
        <v>#REF!</v>
      </c>
      <c r="H55" s="2862" t="str">
        <f>H50</f>
        <v>VND/copy</v>
      </c>
    </row>
    <row r="57" spans="1:13">
      <c r="D57" s="2863"/>
    </row>
  </sheetData>
  <sheetProtection selectLockedCells="1" selectUnlockedCells="1"/>
  <mergeCells count="11">
    <mergeCell ref="B21:C21"/>
    <mergeCell ref="B15:C15"/>
    <mergeCell ref="B16:C16"/>
    <mergeCell ref="B18:C18"/>
    <mergeCell ref="B19:C19"/>
    <mergeCell ref="B20:C20"/>
    <mergeCell ref="B22:C22"/>
    <mergeCell ref="A24:A26"/>
    <mergeCell ref="A38:A40"/>
    <mergeCell ref="A41:A43"/>
    <mergeCell ref="A44:A46"/>
  </mergeCells>
  <conditionalFormatting sqref="C30:C47">
    <cfRule type="cellIs" dxfId="3" priority="1" operator="equal">
      <formula>0</formula>
    </cfRule>
  </conditionalFormatting>
  <conditionalFormatting sqref="L34">
    <cfRule type="cellIs" dxfId="2" priority="2" operator="greaterThan">
      <formula>0</formula>
    </cfRule>
    <cfRule type="cellIs" dxfId="1" priority="3" operator="greaterThan">
      <formula>1</formula>
    </cfRule>
  </conditionalFormatting>
  <dataValidations count="2">
    <dataValidation type="list" allowBlank="1" showInputMessage="1" showErrorMessage="1" sqref="WVL982892 C982892 IZ982892 SV982892 ACR982892 AMN982892 AWJ982892 BGF982892 BQB982892 BZX982892 CJT982892 CTP982892 DDL982892 DNH982892 DXD982892 EGZ982892 EQV982892 FAR982892 FKN982892 FUJ982892 GEF982892 GOB982892 GXX982892 HHT982892 HRP982892 IBL982892 ILH982892 IVD982892 JEZ982892 JOV982892 JYR982892 KIN982892 KSJ982892 LCF982892 LMB982892 LVX982892 MFT982892 MPP982892 MZL982892 NJH982892 NTD982892 OCZ982892 OMV982892 OWR982892 PGN982892 PQJ982892 QAF982892 QKB982892 QTX982892 RDT982892 RNP982892 RXL982892 SHH982892 SRD982892 TAZ982892 TKV982892 TUR982892 UEN982892 UOJ982892 UYF982892 VIB982892 VRX982892 WBT982892 WLP982892 C65388 IZ65388 SV65388 ACR65388 AMN65388 AWJ65388 BGF65388 BQB65388 BZX65388 CJT65388 CTP65388 DDL65388 DNH65388 DXD65388 EGZ65388 EQV65388 FAR65388 FKN65388 FUJ65388 GEF65388 GOB65388 GXX65388 HHT65388 HRP65388 IBL65388 ILH65388 IVD65388 JEZ65388 JOV65388 JYR65388 KIN65388 KSJ65388 LCF65388 LMB65388 LVX65388 MFT65388 MPP65388 MZL65388 NJH65388 NTD65388 OCZ65388 OMV65388 OWR65388 PGN65388 PQJ65388 QAF65388 QKB65388 QTX65388 RDT65388 RNP65388 RXL65388 SHH65388 SRD65388 TAZ65388 TKV65388 TUR65388 UEN65388 UOJ65388 UYF65388 VIB65388 VRX65388 WBT65388 WLP65388 WVL65388 C130924 IZ130924 SV130924 ACR130924 AMN130924 AWJ130924 BGF130924 BQB130924 BZX130924 CJT130924 CTP130924 DDL130924 DNH130924 DXD130924 EGZ130924 EQV130924 FAR130924 FKN130924 FUJ130924 GEF130924 GOB130924 GXX130924 HHT130924 HRP130924 IBL130924 ILH130924 IVD130924 JEZ130924 JOV130924 JYR130924 KIN130924 KSJ130924 LCF130924 LMB130924 LVX130924 MFT130924 MPP130924 MZL130924 NJH130924 NTD130924 OCZ130924 OMV130924 OWR130924 PGN130924 PQJ130924 QAF130924 QKB130924 QTX130924 RDT130924 RNP130924 RXL130924 SHH130924 SRD130924 TAZ130924 TKV130924 TUR130924 UEN130924 UOJ130924 UYF130924 VIB130924 VRX130924 WBT130924 WLP130924 WVL130924 C196460 IZ196460 SV196460 ACR196460 AMN196460 AWJ196460 BGF196460 BQB196460 BZX196460 CJT196460 CTP196460 DDL196460 DNH196460 DXD196460 EGZ196460 EQV196460 FAR196460 FKN196460 FUJ196460 GEF196460 GOB196460 GXX196460 HHT196460 HRP196460 IBL196460 ILH196460 IVD196460 JEZ196460 JOV196460 JYR196460 KIN196460 KSJ196460 LCF196460 LMB196460 LVX196460 MFT196460 MPP196460 MZL196460 NJH196460 NTD196460 OCZ196460 OMV196460 OWR196460 PGN196460 PQJ196460 QAF196460 QKB196460 QTX196460 RDT196460 RNP196460 RXL196460 SHH196460 SRD196460 TAZ196460 TKV196460 TUR196460 UEN196460 UOJ196460 UYF196460 VIB196460 VRX196460 WBT196460 WLP196460 WVL196460 C261996 IZ261996 SV261996 ACR261996 AMN261996 AWJ261996 BGF261996 BQB261996 BZX261996 CJT261996 CTP261996 DDL261996 DNH261996 DXD261996 EGZ261996 EQV261996 FAR261996 FKN261996 FUJ261996 GEF261996 GOB261996 GXX261996 HHT261996 HRP261996 IBL261996 ILH261996 IVD261996 JEZ261996 JOV261996 JYR261996 KIN261996 KSJ261996 LCF261996 LMB261996 LVX261996 MFT261996 MPP261996 MZL261996 NJH261996 NTD261996 OCZ261996 OMV261996 OWR261996 PGN261996 PQJ261996 QAF261996 QKB261996 QTX261996 RDT261996 RNP261996 RXL261996 SHH261996 SRD261996 TAZ261996 TKV261996 TUR261996 UEN261996 UOJ261996 UYF261996 VIB261996 VRX261996 WBT261996 WLP261996 WVL261996 C327532 IZ327532 SV327532 ACR327532 AMN327532 AWJ327532 BGF327532 BQB327532 BZX327532 CJT327532 CTP327532 DDL327532 DNH327532 DXD327532 EGZ327532 EQV327532 FAR327532 FKN327532 FUJ327532 GEF327532 GOB327532 GXX327532 HHT327532 HRP327532 IBL327532 ILH327532 IVD327532 JEZ327532 JOV327532 JYR327532 KIN327532 KSJ327532 LCF327532 LMB327532 LVX327532 MFT327532 MPP327532 MZL327532 NJH327532 NTD327532 OCZ327532 OMV327532 OWR327532 PGN327532 PQJ327532 QAF327532 QKB327532 QTX327532 RDT327532 RNP327532 RXL327532 SHH327532 SRD327532 TAZ327532 TKV327532 TUR327532 UEN327532 UOJ327532 UYF327532 VIB327532 VRX327532 WBT327532 WLP327532 WVL327532 C393068 IZ393068 SV393068 ACR393068 AMN393068 AWJ393068 BGF393068 BQB393068 BZX393068 CJT393068 CTP393068 DDL393068 DNH393068 DXD393068 EGZ393068 EQV393068 FAR393068 FKN393068 FUJ393068 GEF393068 GOB393068 GXX393068 HHT393068 HRP393068 IBL393068 ILH393068 IVD393068 JEZ393068 JOV393068 JYR393068 KIN393068 KSJ393068 LCF393068 LMB393068 LVX393068 MFT393068 MPP393068 MZL393068 NJH393068 NTD393068 OCZ393068 OMV393068 OWR393068 PGN393068 PQJ393068 QAF393068 QKB393068 QTX393068 RDT393068 RNP393068 RXL393068 SHH393068 SRD393068 TAZ393068 TKV393068 TUR393068 UEN393068 UOJ393068 UYF393068 VIB393068 VRX393068 WBT393068 WLP393068 WVL393068 C458604 IZ458604 SV458604 ACR458604 AMN458604 AWJ458604 BGF458604 BQB458604 BZX458604 CJT458604 CTP458604 DDL458604 DNH458604 DXD458604 EGZ458604 EQV458604 FAR458604 FKN458604 FUJ458604 GEF458604 GOB458604 GXX458604 HHT458604 HRP458604 IBL458604 ILH458604 IVD458604 JEZ458604 JOV458604 JYR458604 KIN458604 KSJ458604 LCF458604 LMB458604 LVX458604 MFT458604 MPP458604 MZL458604 NJH458604 NTD458604 OCZ458604 OMV458604 OWR458604 PGN458604 PQJ458604 QAF458604 QKB458604 QTX458604 RDT458604 RNP458604 RXL458604 SHH458604 SRD458604 TAZ458604 TKV458604 TUR458604 UEN458604 UOJ458604 UYF458604 VIB458604 VRX458604 WBT458604 WLP458604 WVL458604 C524140 IZ524140 SV524140 ACR524140 AMN524140 AWJ524140 BGF524140 BQB524140 BZX524140 CJT524140 CTP524140 DDL524140 DNH524140 DXD524140 EGZ524140 EQV524140 FAR524140 FKN524140 FUJ524140 GEF524140 GOB524140 GXX524140 HHT524140 HRP524140 IBL524140 ILH524140 IVD524140 JEZ524140 JOV524140 JYR524140 KIN524140 KSJ524140 LCF524140 LMB524140 LVX524140 MFT524140 MPP524140 MZL524140 NJH524140 NTD524140 OCZ524140 OMV524140 OWR524140 PGN524140 PQJ524140 QAF524140 QKB524140 QTX524140 RDT524140 RNP524140 RXL524140 SHH524140 SRD524140 TAZ524140 TKV524140 TUR524140 UEN524140 UOJ524140 UYF524140 VIB524140 VRX524140 WBT524140 WLP524140 WVL524140 C589676 IZ589676 SV589676 ACR589676 AMN589676 AWJ589676 BGF589676 BQB589676 BZX589676 CJT589676 CTP589676 DDL589676 DNH589676 DXD589676 EGZ589676 EQV589676 FAR589676 FKN589676 FUJ589676 GEF589676 GOB589676 GXX589676 HHT589676 HRP589676 IBL589676 ILH589676 IVD589676 JEZ589676 JOV589676 JYR589676 KIN589676 KSJ589676 LCF589676 LMB589676 LVX589676 MFT589676 MPP589676 MZL589676 NJH589676 NTD589676 OCZ589676 OMV589676 OWR589676 PGN589676 PQJ589676 QAF589676 QKB589676 QTX589676 RDT589676 RNP589676 RXL589676 SHH589676 SRD589676 TAZ589676 TKV589676 TUR589676 UEN589676 UOJ589676 UYF589676 VIB589676 VRX589676 WBT589676 WLP589676 WVL589676 C655212 IZ655212 SV655212 ACR655212 AMN655212 AWJ655212 BGF655212 BQB655212 BZX655212 CJT655212 CTP655212 DDL655212 DNH655212 DXD655212 EGZ655212 EQV655212 FAR655212 FKN655212 FUJ655212 GEF655212 GOB655212 GXX655212 HHT655212 HRP655212 IBL655212 ILH655212 IVD655212 JEZ655212 JOV655212 JYR655212 KIN655212 KSJ655212 LCF655212 LMB655212 LVX655212 MFT655212 MPP655212 MZL655212 NJH655212 NTD655212 OCZ655212 OMV655212 OWR655212 PGN655212 PQJ655212 QAF655212 QKB655212 QTX655212 RDT655212 RNP655212 RXL655212 SHH655212 SRD655212 TAZ655212 TKV655212 TUR655212 UEN655212 UOJ655212 UYF655212 VIB655212 VRX655212 WBT655212 WLP655212 WVL655212 C720748 IZ720748 SV720748 ACR720748 AMN720748 AWJ720748 BGF720748 BQB720748 BZX720748 CJT720748 CTP720748 DDL720748 DNH720748 DXD720748 EGZ720748 EQV720748 FAR720748 FKN720748 FUJ720748 GEF720748 GOB720748 GXX720748 HHT720748 HRP720748 IBL720748 ILH720748 IVD720748 JEZ720748 JOV720748 JYR720748 KIN720748 KSJ720748 LCF720748 LMB720748 LVX720748 MFT720748 MPP720748 MZL720748 NJH720748 NTD720748 OCZ720748 OMV720748 OWR720748 PGN720748 PQJ720748 QAF720748 QKB720748 QTX720748 RDT720748 RNP720748 RXL720748 SHH720748 SRD720748 TAZ720748 TKV720748 TUR720748 UEN720748 UOJ720748 UYF720748 VIB720748 VRX720748 WBT720748 WLP720748 WVL720748 C786284 IZ786284 SV786284 ACR786284 AMN786284 AWJ786284 BGF786284 BQB786284 BZX786284 CJT786284 CTP786284 DDL786284 DNH786284 DXD786284 EGZ786284 EQV786284 FAR786284 FKN786284 FUJ786284 GEF786284 GOB786284 GXX786284 HHT786284 HRP786284 IBL786284 ILH786284 IVD786284 JEZ786284 JOV786284 JYR786284 KIN786284 KSJ786284 LCF786284 LMB786284 LVX786284 MFT786284 MPP786284 MZL786284 NJH786284 NTD786284 OCZ786284 OMV786284 OWR786284 PGN786284 PQJ786284 QAF786284 QKB786284 QTX786284 RDT786284 RNP786284 RXL786284 SHH786284 SRD786284 TAZ786284 TKV786284 TUR786284 UEN786284 UOJ786284 UYF786284 VIB786284 VRX786284 WBT786284 WLP786284 WVL786284 C851820 IZ851820 SV851820 ACR851820 AMN851820 AWJ851820 BGF851820 BQB851820 BZX851820 CJT851820 CTP851820 DDL851820 DNH851820 DXD851820 EGZ851820 EQV851820 FAR851820 FKN851820 FUJ851820 GEF851820 GOB851820 GXX851820 HHT851820 HRP851820 IBL851820 ILH851820 IVD851820 JEZ851820 JOV851820 JYR851820 KIN851820 KSJ851820 LCF851820 LMB851820 LVX851820 MFT851820 MPP851820 MZL851820 NJH851820 NTD851820 OCZ851820 OMV851820 OWR851820 PGN851820 PQJ851820 QAF851820 QKB851820 QTX851820 RDT851820 RNP851820 RXL851820 SHH851820 SRD851820 TAZ851820 TKV851820 TUR851820 UEN851820 UOJ851820 UYF851820 VIB851820 VRX851820 WBT851820 WLP851820 WVL851820 C917356 IZ917356 SV917356 ACR917356 AMN917356 AWJ917356 BGF917356 BQB917356 BZX917356 CJT917356 CTP917356 DDL917356 DNH917356 DXD917356 EGZ917356 EQV917356 FAR917356 FKN917356 FUJ917356 GEF917356 GOB917356 GXX917356 HHT917356 HRP917356 IBL917356 ILH917356 IVD917356 JEZ917356 JOV917356 JYR917356 KIN917356 KSJ917356 LCF917356 LMB917356 LVX917356 MFT917356 MPP917356 MZL917356 NJH917356 NTD917356 OCZ917356 OMV917356 OWR917356 PGN917356 PQJ917356 QAF917356 QKB917356 QTX917356 RDT917356 RNP917356 RXL917356 SHH917356 SRD917356 TAZ917356 TKV917356 TUR917356 UEN917356 UOJ917356 UYF917356 VIB917356 VRX917356 WBT917356 WLP917356 WVL917356" xr:uid="{00000000-0002-0000-1C00-000000000000}">
      <formula1>"Quynh Chau, Hong Van, Bich Phuuong, Hong Anh"</formula1>
    </dataValidation>
    <dataValidation type="list" allowBlank="1" showInputMessage="1" showErrorMessage="1" sqref="IZ982891 SV982891 ACR982891 AMN982891 AWJ982891 BGF982891 BQB982891 BZX982891 CJT982891 CTP982891 DDL982891 DNH982891 DXD982891 EGZ982891 EQV982891 FAR982891 FKN982891 FUJ982891 GEF982891 GOB982891 GXX982891 HHT982891 HRP982891 IBL982891 ILH982891 IVD982891 JEZ982891 JOV982891 JYR982891 KIN982891 KSJ982891 LCF982891 LMB982891 LVX982891 MFT982891 MPP982891 MZL982891 NJH982891 NTD982891 OCZ982891 OMV982891 OWR982891 PGN982891 PQJ982891 QAF982891 QKB982891 QTX982891 RDT982891 RNP982891 RXL982891 SHH982891 SRD982891 TAZ982891 TKV982891 TUR982891 UEN982891 UOJ982891 UYF982891 VIB982891 VRX982891 WBT982891 WLP982891 WVL982891 C65387 IZ65387 SV65387 ACR65387 AMN65387 AWJ65387 BGF65387 BQB65387 BZX65387 CJT65387 CTP65387 DDL65387 DNH65387 DXD65387 EGZ65387 EQV65387 FAR65387 FKN65387 FUJ65387 GEF65387 GOB65387 GXX65387 HHT65387 HRP65387 IBL65387 ILH65387 IVD65387 JEZ65387 JOV65387 JYR65387 KIN65387 KSJ65387 LCF65387 LMB65387 LVX65387 MFT65387 MPP65387 MZL65387 NJH65387 NTD65387 OCZ65387 OMV65387 OWR65387 PGN65387 PQJ65387 QAF65387 QKB65387 QTX65387 RDT65387 RNP65387 RXL65387 SHH65387 SRD65387 TAZ65387 TKV65387 TUR65387 UEN65387 UOJ65387 UYF65387 VIB65387 VRX65387 WBT65387 WLP65387 WVL65387 C130923 IZ130923 SV130923 ACR130923 AMN130923 AWJ130923 BGF130923 BQB130923 BZX130923 CJT130923 CTP130923 DDL130923 DNH130923 DXD130923 EGZ130923 EQV130923 FAR130923 FKN130923 FUJ130923 GEF130923 GOB130923 GXX130923 HHT130923 HRP130923 IBL130923 ILH130923 IVD130923 JEZ130923 JOV130923 JYR130923 KIN130923 KSJ130923 LCF130923 LMB130923 LVX130923 MFT130923 MPP130923 MZL130923 NJH130923 NTD130923 OCZ130923 OMV130923 OWR130923 PGN130923 PQJ130923 QAF130923 QKB130923 QTX130923 RDT130923 RNP130923 RXL130923 SHH130923 SRD130923 TAZ130923 TKV130923 TUR130923 UEN130923 UOJ130923 UYF130923 VIB130923 VRX130923 WBT130923 WLP130923 WVL130923 C196459 IZ196459 SV196459 ACR196459 AMN196459 AWJ196459 BGF196459 BQB196459 BZX196459 CJT196459 CTP196459 DDL196459 DNH196459 DXD196459 EGZ196459 EQV196459 FAR196459 FKN196459 FUJ196459 GEF196459 GOB196459 GXX196459 HHT196459 HRP196459 IBL196459 ILH196459 IVD196459 JEZ196459 JOV196459 JYR196459 KIN196459 KSJ196459 LCF196459 LMB196459 LVX196459 MFT196459 MPP196459 MZL196459 NJH196459 NTD196459 OCZ196459 OMV196459 OWR196459 PGN196459 PQJ196459 QAF196459 QKB196459 QTX196459 RDT196459 RNP196459 RXL196459 SHH196459 SRD196459 TAZ196459 TKV196459 TUR196459 UEN196459 UOJ196459 UYF196459 VIB196459 VRX196459 WBT196459 WLP196459 WVL196459 C261995 IZ261995 SV261995 ACR261995 AMN261995 AWJ261995 BGF261995 BQB261995 BZX261995 CJT261995 CTP261995 DDL261995 DNH261995 DXD261995 EGZ261995 EQV261995 FAR261995 FKN261995 FUJ261995 GEF261995 GOB261995 GXX261995 HHT261995 HRP261995 IBL261995 ILH261995 IVD261995 JEZ261995 JOV261995 JYR261995 KIN261995 KSJ261995 LCF261995 LMB261995 LVX261995 MFT261995 MPP261995 MZL261995 NJH261995 NTD261995 OCZ261995 OMV261995 OWR261995 PGN261995 PQJ261995 QAF261995 QKB261995 QTX261995 RDT261995 RNP261995 RXL261995 SHH261995 SRD261995 TAZ261995 TKV261995 TUR261995 UEN261995 UOJ261995 UYF261995 VIB261995 VRX261995 WBT261995 WLP261995 WVL261995 C327531 IZ327531 SV327531 ACR327531 AMN327531 AWJ327531 BGF327531 BQB327531 BZX327531 CJT327531 CTP327531 DDL327531 DNH327531 DXD327531 EGZ327531 EQV327531 FAR327531 FKN327531 FUJ327531 GEF327531 GOB327531 GXX327531 HHT327531 HRP327531 IBL327531 ILH327531 IVD327531 JEZ327531 JOV327531 JYR327531 KIN327531 KSJ327531 LCF327531 LMB327531 LVX327531 MFT327531 MPP327531 MZL327531 NJH327531 NTD327531 OCZ327531 OMV327531 OWR327531 PGN327531 PQJ327531 QAF327531 QKB327531 QTX327531 RDT327531 RNP327531 RXL327531 SHH327531 SRD327531 TAZ327531 TKV327531 TUR327531 UEN327531 UOJ327531 UYF327531 VIB327531 VRX327531 WBT327531 WLP327531 WVL327531 C393067 IZ393067 SV393067 ACR393067 AMN393067 AWJ393067 BGF393067 BQB393067 BZX393067 CJT393067 CTP393067 DDL393067 DNH393067 DXD393067 EGZ393067 EQV393067 FAR393067 FKN393067 FUJ393067 GEF393067 GOB393067 GXX393067 HHT393067 HRP393067 IBL393067 ILH393067 IVD393067 JEZ393067 JOV393067 JYR393067 KIN393067 KSJ393067 LCF393067 LMB393067 LVX393067 MFT393067 MPP393067 MZL393067 NJH393067 NTD393067 OCZ393067 OMV393067 OWR393067 PGN393067 PQJ393067 QAF393067 QKB393067 QTX393067 RDT393067 RNP393067 RXL393067 SHH393067 SRD393067 TAZ393067 TKV393067 TUR393067 UEN393067 UOJ393067 UYF393067 VIB393067 VRX393067 WBT393067 WLP393067 WVL393067 C458603 IZ458603 SV458603 ACR458603 AMN458603 AWJ458603 BGF458603 BQB458603 BZX458603 CJT458603 CTP458603 DDL458603 DNH458603 DXD458603 EGZ458603 EQV458603 FAR458603 FKN458603 FUJ458603 GEF458603 GOB458603 GXX458603 HHT458603 HRP458603 IBL458603 ILH458603 IVD458603 JEZ458603 JOV458603 JYR458603 KIN458603 KSJ458603 LCF458603 LMB458603 LVX458603 MFT458603 MPP458603 MZL458603 NJH458603 NTD458603 OCZ458603 OMV458603 OWR458603 PGN458603 PQJ458603 QAF458603 QKB458603 QTX458603 RDT458603 RNP458603 RXL458603 SHH458603 SRD458603 TAZ458603 TKV458603 TUR458603 UEN458603 UOJ458603 UYF458603 VIB458603 VRX458603 WBT458603 WLP458603 WVL458603 C524139 IZ524139 SV524139 ACR524139 AMN524139 AWJ524139 BGF524139 BQB524139 BZX524139 CJT524139 CTP524139 DDL524139 DNH524139 DXD524139 EGZ524139 EQV524139 FAR524139 FKN524139 FUJ524139 GEF524139 GOB524139 GXX524139 HHT524139 HRP524139 IBL524139 ILH524139 IVD524139 JEZ524139 JOV524139 JYR524139 KIN524139 KSJ524139 LCF524139 LMB524139 LVX524139 MFT524139 MPP524139 MZL524139 NJH524139 NTD524139 OCZ524139 OMV524139 OWR524139 PGN524139 PQJ524139 QAF524139 QKB524139 QTX524139 RDT524139 RNP524139 RXL524139 SHH524139 SRD524139 TAZ524139 TKV524139 TUR524139 UEN524139 UOJ524139 UYF524139 VIB524139 VRX524139 WBT524139 WLP524139 WVL524139 C589675 IZ589675 SV589675 ACR589675 AMN589675 AWJ589675 BGF589675 BQB589675 BZX589675 CJT589675 CTP589675 DDL589675 DNH589675 DXD589675 EGZ589675 EQV589675 FAR589675 FKN589675 FUJ589675 GEF589675 GOB589675 GXX589675 HHT589675 HRP589675 IBL589675 ILH589675 IVD589675 JEZ589675 JOV589675 JYR589675 KIN589675 KSJ589675 LCF589675 LMB589675 LVX589675 MFT589675 MPP589675 MZL589675 NJH589675 NTD589675 OCZ589675 OMV589675 OWR589675 PGN589675 PQJ589675 QAF589675 QKB589675 QTX589675 RDT589675 RNP589675 RXL589675 SHH589675 SRD589675 TAZ589675 TKV589675 TUR589675 UEN589675 UOJ589675 UYF589675 VIB589675 VRX589675 WBT589675 WLP589675 WVL589675 C655211 IZ655211 SV655211 ACR655211 AMN655211 AWJ655211 BGF655211 BQB655211 BZX655211 CJT655211 CTP655211 DDL655211 DNH655211 DXD655211 EGZ655211 EQV655211 FAR655211 FKN655211 FUJ655211 GEF655211 GOB655211 GXX655211 HHT655211 HRP655211 IBL655211 ILH655211 IVD655211 JEZ655211 JOV655211 JYR655211 KIN655211 KSJ655211 LCF655211 LMB655211 LVX655211 MFT655211 MPP655211 MZL655211 NJH655211 NTD655211 OCZ655211 OMV655211 OWR655211 PGN655211 PQJ655211 QAF655211 QKB655211 QTX655211 RDT655211 RNP655211 RXL655211 SHH655211 SRD655211 TAZ655211 TKV655211 TUR655211 UEN655211 UOJ655211 UYF655211 VIB655211 VRX655211 WBT655211 WLP655211 WVL655211 C720747 IZ720747 SV720747 ACR720747 AMN720747 AWJ720747 BGF720747 BQB720747 BZX720747 CJT720747 CTP720747 DDL720747 DNH720747 DXD720747 EGZ720747 EQV720747 FAR720747 FKN720747 FUJ720747 GEF720747 GOB720747 GXX720747 HHT720747 HRP720747 IBL720747 ILH720747 IVD720747 JEZ720747 JOV720747 JYR720747 KIN720747 KSJ720747 LCF720747 LMB720747 LVX720747 MFT720747 MPP720747 MZL720747 NJH720747 NTD720747 OCZ720747 OMV720747 OWR720747 PGN720747 PQJ720747 QAF720747 QKB720747 QTX720747 RDT720747 RNP720747 RXL720747 SHH720747 SRD720747 TAZ720747 TKV720747 TUR720747 UEN720747 UOJ720747 UYF720747 VIB720747 VRX720747 WBT720747 WLP720747 WVL720747 C786283 IZ786283 SV786283 ACR786283 AMN786283 AWJ786283 BGF786283 BQB786283 BZX786283 CJT786283 CTP786283 DDL786283 DNH786283 DXD786283 EGZ786283 EQV786283 FAR786283 FKN786283 FUJ786283 GEF786283 GOB786283 GXX786283 HHT786283 HRP786283 IBL786283 ILH786283 IVD786283 JEZ786283 JOV786283 JYR786283 KIN786283 KSJ786283 LCF786283 LMB786283 LVX786283 MFT786283 MPP786283 MZL786283 NJH786283 NTD786283 OCZ786283 OMV786283 OWR786283 PGN786283 PQJ786283 QAF786283 QKB786283 QTX786283 RDT786283 RNP786283 RXL786283 SHH786283 SRD786283 TAZ786283 TKV786283 TUR786283 UEN786283 UOJ786283 UYF786283 VIB786283 VRX786283 WBT786283 WLP786283 WVL786283 C851819 IZ851819 SV851819 ACR851819 AMN851819 AWJ851819 BGF851819 BQB851819 BZX851819 CJT851819 CTP851819 DDL851819 DNH851819 DXD851819 EGZ851819 EQV851819 FAR851819 FKN851819 FUJ851819 GEF851819 GOB851819 GXX851819 HHT851819 HRP851819 IBL851819 ILH851819 IVD851819 JEZ851819 JOV851819 JYR851819 KIN851819 KSJ851819 LCF851819 LMB851819 LVX851819 MFT851819 MPP851819 MZL851819 NJH851819 NTD851819 OCZ851819 OMV851819 OWR851819 PGN851819 PQJ851819 QAF851819 QKB851819 QTX851819 RDT851819 RNP851819 RXL851819 SHH851819 SRD851819 TAZ851819 TKV851819 TUR851819 UEN851819 UOJ851819 UYF851819 VIB851819 VRX851819 WBT851819 WLP851819 WVL851819 C917355 IZ917355 SV917355 ACR917355 AMN917355 AWJ917355 BGF917355 BQB917355 BZX917355 CJT917355 CTP917355 DDL917355 DNH917355 DXD917355 EGZ917355 EQV917355 FAR917355 FKN917355 FUJ917355 GEF917355 GOB917355 GXX917355 HHT917355 HRP917355 IBL917355 ILH917355 IVD917355 JEZ917355 JOV917355 JYR917355 KIN917355 KSJ917355 LCF917355 LMB917355 LVX917355 MFT917355 MPP917355 MZL917355 NJH917355 NTD917355 OCZ917355 OMV917355 OWR917355 PGN917355 PQJ917355 QAF917355 QKB917355 QTX917355 RDT917355 RNP917355 RXL917355 SHH917355 SRD917355 TAZ917355 TKV917355 TUR917355 UEN917355 UOJ917355 UYF917355 VIB917355 VRX917355 WBT917355 WLP917355 WVL917355 C982891" xr:uid="{00000000-0002-0000-1C00-000001000000}">
      <formula1>"Thanh Van, Quynh Chau, Hong Anh, Hong Van, Bich Phuong, Phuong Linh"</formula1>
    </dataValidation>
  </dataValidations>
  <pageMargins left="0.24791666700000001" right="0.24791666700000001" top="0.48402777800000002" bottom="0.48402777800000002" header="0" footer="0"/>
  <pageSetup scale="90" firstPageNumber="0" orientation="landscape" horizontalDpi="300" verticalDpi="300" r:id="rId1"/>
  <headerFooter alignWithMargins="0"/>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dimension ref="A1:L46"/>
  <sheetViews>
    <sheetView topLeftCell="A22" workbookViewId="0">
      <selection activeCell="H35" sqref="H35"/>
    </sheetView>
  </sheetViews>
  <sheetFormatPr defaultColWidth="6.85546875" defaultRowHeight="21" customHeight="1"/>
  <cols>
    <col min="1" max="2" width="8.85546875" style="136" customWidth="1"/>
    <col min="3" max="3" width="25.85546875" style="136" customWidth="1"/>
    <col min="4" max="10" width="8.85546875" style="136" customWidth="1"/>
    <col min="11" max="16384" width="6.85546875" style="136"/>
  </cols>
  <sheetData>
    <row r="1" spans="1:12" ht="21" customHeight="1">
      <c r="B1" s="791" t="s">
        <v>77</v>
      </c>
      <c r="C1" s="791"/>
      <c r="D1" s="1162">
        <f>'Cost EST. GM target'!$L$6</f>
        <v>5000</v>
      </c>
      <c r="E1" s="791" t="s">
        <v>11</v>
      </c>
      <c r="F1" s="791"/>
      <c r="G1" s="319"/>
      <c r="H1" s="791"/>
    </row>
    <row r="2" spans="1:12" ht="21" customHeight="1">
      <c r="B2" s="791" t="s">
        <v>77</v>
      </c>
      <c r="C2" s="791"/>
      <c r="D2" s="1162">
        <f>D1*(1+$G$2)</f>
        <v>5225</v>
      </c>
      <c r="E2" s="791" t="s">
        <v>11</v>
      </c>
      <c r="G2" s="797">
        <f>input!$D$4</f>
        <v>4.4999999999999998E-2</v>
      </c>
      <c r="H2" s="791" t="s">
        <v>78</v>
      </c>
    </row>
    <row r="4" spans="1:12" ht="21" customHeight="1">
      <c r="A4" s="1008"/>
      <c r="B4" s="1009"/>
      <c r="C4" s="1010"/>
      <c r="D4" s="1172"/>
      <c r="E4" s="1173"/>
      <c r="F4" s="1173" t="s">
        <v>90</v>
      </c>
      <c r="G4" s="1173"/>
      <c r="H4" s="1174"/>
      <c r="I4" s="1171"/>
      <c r="J4" s="1014"/>
    </row>
    <row r="5" spans="1:12" ht="21" customHeight="1">
      <c r="A5" s="1012" t="s">
        <v>1259</v>
      </c>
      <c r="B5" s="4428" t="s">
        <v>84</v>
      </c>
      <c r="C5" s="4429"/>
      <c r="D5" s="1011" t="s">
        <v>18</v>
      </c>
      <c r="E5" s="1027" t="s">
        <v>19</v>
      </c>
      <c r="F5" s="1028" t="s">
        <v>88</v>
      </c>
      <c r="G5" s="1028" t="s">
        <v>89</v>
      </c>
      <c r="H5" s="1175" t="s">
        <v>6</v>
      </c>
      <c r="I5" s="1011" t="s">
        <v>2050</v>
      </c>
      <c r="J5" s="1027" t="s">
        <v>2051</v>
      </c>
    </row>
    <row r="6" spans="1:12" ht="21" customHeight="1">
      <c r="A6" s="1012" t="s">
        <v>106</v>
      </c>
      <c r="B6" s="1165" t="s">
        <v>13</v>
      </c>
      <c r="C6" s="1029" t="s">
        <v>82</v>
      </c>
      <c r="D6" s="1030" t="s">
        <v>10</v>
      </c>
      <c r="E6" s="1028" t="s">
        <v>10</v>
      </c>
      <c r="F6" s="1031"/>
      <c r="G6" s="1032"/>
      <c r="H6" s="1176"/>
      <c r="I6" s="1030" t="s">
        <v>10</v>
      </c>
      <c r="J6" s="1028" t="s">
        <v>10</v>
      </c>
    </row>
    <row r="7" spans="1:12" ht="21" customHeight="1">
      <c r="A7" s="3717" t="str">
        <f>Paper!A7</f>
        <v>Box</v>
      </c>
      <c r="B7" s="3718">
        <f>Paper!B7</f>
        <v>300</v>
      </c>
      <c r="C7" s="3719" t="str">
        <f>Paper!C7</f>
        <v>300gsm GB HANSOL</v>
      </c>
      <c r="D7" s="3720">
        <f>Paper!N7</f>
        <v>638</v>
      </c>
      <c r="E7" s="3721">
        <f>Paper!O7</f>
        <v>407</v>
      </c>
      <c r="F7" s="3722">
        <f>IF(Paper!$J7&gt;0,ROUNDUP(Paper!$E$2*Paper!$K7/Paper!$I7,0),0)</f>
        <v>2500</v>
      </c>
      <c r="G7" s="3723">
        <f>B7*D7*E7*F7/10^9</f>
        <v>194.74950000000001</v>
      </c>
      <c r="H7" s="3724">
        <f>G7/1000</f>
        <v>0.19474950000000002</v>
      </c>
      <c r="I7" s="3720">
        <f>Paper!P7</f>
        <v>650</v>
      </c>
      <c r="J7" s="3721">
        <f>Paper!Q7</f>
        <v>410</v>
      </c>
      <c r="K7" s="3725"/>
    </row>
    <row r="8" spans="1:12" ht="21" customHeight="1">
      <c r="A8" s="3717" t="str">
        <f>Paper!A8</f>
        <v>N</v>
      </c>
      <c r="B8" s="3718">
        <f>Paper!B8</f>
        <v>0</v>
      </c>
      <c r="C8" s="3719">
        <f>Paper!C8</f>
        <v>0</v>
      </c>
      <c r="D8" s="3720">
        <f>Paper!N8</f>
        <v>0</v>
      </c>
      <c r="E8" s="3721">
        <f>Paper!O8</f>
        <v>0</v>
      </c>
      <c r="F8" s="3722">
        <f>IF(Paper!$J8&gt;0,ROUNDUP(Paper!$E$2*Paper!$K8/Paper!$I8,0),0)</f>
        <v>0</v>
      </c>
      <c r="G8" s="3723">
        <f>B8*D8*E8*F8/10^9</f>
        <v>0</v>
      </c>
      <c r="H8" s="3724">
        <f t="shared" ref="H8:H25" si="0">G8/1000</f>
        <v>0</v>
      </c>
      <c r="I8" s="3720">
        <f ca="1">Paper!P8</f>
        <v>0</v>
      </c>
      <c r="J8" s="3721">
        <f>Paper!Q8</f>
        <v>3</v>
      </c>
      <c r="K8" s="383"/>
      <c r="L8" s="981"/>
    </row>
    <row r="9" spans="1:12" ht="21" customHeight="1">
      <c r="A9" s="3717" t="str">
        <f>Paper!A9</f>
        <v>N</v>
      </c>
      <c r="B9" s="3718">
        <f>Paper!B9</f>
        <v>0</v>
      </c>
      <c r="C9" s="3719">
        <f>Paper!C9</f>
        <v>0</v>
      </c>
      <c r="D9" s="3720">
        <f>Paper!N9</f>
        <v>0</v>
      </c>
      <c r="E9" s="3721">
        <f>Paper!O9</f>
        <v>0</v>
      </c>
      <c r="F9" s="3722">
        <f>IF(Paper!$J9&gt;0,ROUNDUP(Paper!$E$2*Paper!$K9/Paper!$I9,0),0)</f>
        <v>0</v>
      </c>
      <c r="G9" s="3723">
        <f t="shared" ref="G9:G25" si="1">B9*D9*E9*F9/10^9</f>
        <v>0</v>
      </c>
      <c r="H9" s="3724">
        <f t="shared" si="0"/>
        <v>0</v>
      </c>
      <c r="I9" s="3720">
        <f ca="1">Paper!P9</f>
        <v>0</v>
      </c>
      <c r="J9" s="3721">
        <f>Paper!Q9</f>
        <v>3</v>
      </c>
      <c r="K9" s="383"/>
    </row>
    <row r="10" spans="1:12" ht="21" customHeight="1">
      <c r="A10" s="3717" t="str">
        <f>Paper!A10</f>
        <v>N</v>
      </c>
      <c r="B10" s="3718">
        <f>Paper!B10</f>
        <v>0</v>
      </c>
      <c r="C10" s="3719">
        <f>Paper!C10</f>
        <v>0</v>
      </c>
      <c r="D10" s="3720">
        <f>Paper!N10</f>
        <v>0</v>
      </c>
      <c r="E10" s="3721">
        <f>Paper!O10</f>
        <v>0</v>
      </c>
      <c r="F10" s="3722">
        <f>IF(Paper!$J10&gt;0,ROUNDUP(Paper!$E$2*Paper!$K10/Paper!$I10,0),0)</f>
        <v>0</v>
      </c>
      <c r="G10" s="3723">
        <f t="shared" si="1"/>
        <v>0</v>
      </c>
      <c r="H10" s="3724">
        <f t="shared" si="0"/>
        <v>0</v>
      </c>
      <c r="I10" s="3720">
        <f ca="1">Paper!P10</f>
        <v>0</v>
      </c>
      <c r="J10" s="3721">
        <f>Paper!Q10</f>
        <v>3</v>
      </c>
    </row>
    <row r="11" spans="1:12" ht="21" customHeight="1">
      <c r="A11" s="3717" t="str">
        <f>Paper!A11</f>
        <v>N</v>
      </c>
      <c r="B11" s="3718">
        <f>Paper!B11</f>
        <v>0</v>
      </c>
      <c r="C11" s="3719">
        <f>Paper!C11</f>
        <v>0</v>
      </c>
      <c r="D11" s="3720">
        <f>Paper!N11</f>
        <v>0</v>
      </c>
      <c r="E11" s="3721">
        <f>Paper!O11</f>
        <v>0</v>
      </c>
      <c r="F11" s="3722">
        <f>IF(Paper!$J11&gt;0,ROUNDUP(Paper!$E$2*Paper!$K11/Paper!$I11,0),0)</f>
        <v>0</v>
      </c>
      <c r="G11" s="3723">
        <f t="shared" si="1"/>
        <v>0</v>
      </c>
      <c r="H11" s="3724">
        <f t="shared" si="0"/>
        <v>0</v>
      </c>
      <c r="I11" s="3720">
        <f ca="1">Paper!P11</f>
        <v>0</v>
      </c>
      <c r="J11" s="3721">
        <f>Paper!Q11</f>
        <v>3</v>
      </c>
    </row>
    <row r="12" spans="1:12" ht="21" customHeight="1">
      <c r="A12" s="3717" t="str">
        <f>Paper!A12</f>
        <v>N</v>
      </c>
      <c r="B12" s="3718">
        <f>Paper!B12</f>
        <v>0</v>
      </c>
      <c r="C12" s="3719">
        <f>Paper!C12</f>
        <v>0</v>
      </c>
      <c r="D12" s="3720">
        <f>Paper!N12</f>
        <v>0</v>
      </c>
      <c r="E12" s="3721">
        <f>Paper!O12</f>
        <v>0</v>
      </c>
      <c r="F12" s="3722">
        <f>IF(Paper!$J12&gt;0,ROUNDUP(Paper!$E$2*Paper!$K12/Paper!$I12,0),0)</f>
        <v>0</v>
      </c>
      <c r="G12" s="3723">
        <f t="shared" si="1"/>
        <v>0</v>
      </c>
      <c r="H12" s="3724">
        <f t="shared" si="0"/>
        <v>0</v>
      </c>
      <c r="I12" s="3720">
        <f ca="1">Paper!P12</f>
        <v>0</v>
      </c>
      <c r="J12" s="3721">
        <f>Paper!Q12</f>
        <v>3</v>
      </c>
    </row>
    <row r="13" spans="1:12" ht="21" customHeight="1">
      <c r="A13" s="3717" t="str">
        <f>Paper!A13</f>
        <v>N</v>
      </c>
      <c r="B13" s="3718">
        <f>Paper!B13</f>
        <v>0</v>
      </c>
      <c r="C13" s="3719">
        <f>Paper!C13</f>
        <v>0</v>
      </c>
      <c r="D13" s="3720">
        <f>Paper!N13</f>
        <v>0</v>
      </c>
      <c r="E13" s="3721">
        <f>Paper!O13</f>
        <v>0</v>
      </c>
      <c r="F13" s="3722">
        <f>IF(Paper!$J13&gt;0,ROUNDUP(Paper!$E$2*Paper!$K13/Paper!$I13,0),0)</f>
        <v>0</v>
      </c>
      <c r="G13" s="3723">
        <f t="shared" si="1"/>
        <v>0</v>
      </c>
      <c r="H13" s="3724">
        <f t="shared" si="0"/>
        <v>0</v>
      </c>
      <c r="I13" s="3720">
        <f ca="1">Paper!P13</f>
        <v>0</v>
      </c>
      <c r="J13" s="3721">
        <f>Paper!Q13</f>
        <v>3</v>
      </c>
    </row>
    <row r="14" spans="1:12" ht="21" customHeight="1">
      <c r="A14" s="3717" t="str">
        <f>Paper!A14</f>
        <v>N</v>
      </c>
      <c r="B14" s="3718">
        <f>Paper!B14</f>
        <v>0</v>
      </c>
      <c r="C14" s="3719">
        <f>Paper!C14</f>
        <v>0</v>
      </c>
      <c r="D14" s="3720">
        <f>Paper!N14</f>
        <v>0</v>
      </c>
      <c r="E14" s="3721">
        <f>Paper!O14</f>
        <v>0</v>
      </c>
      <c r="F14" s="3722">
        <f>IF(Paper!$J14&gt;0,ROUNDUP(Paper!$E$2*Paper!$K14/Paper!$I14,0),0)</f>
        <v>0</v>
      </c>
      <c r="G14" s="3723">
        <f t="shared" si="1"/>
        <v>0</v>
      </c>
      <c r="H14" s="3724">
        <f t="shared" si="0"/>
        <v>0</v>
      </c>
      <c r="I14" s="3720">
        <f ca="1">Paper!P14</f>
        <v>0</v>
      </c>
      <c r="J14" s="3721">
        <f>Paper!Q14</f>
        <v>3</v>
      </c>
    </row>
    <row r="15" spans="1:12" ht="21" customHeight="1">
      <c r="A15" s="3717" t="str">
        <f>Paper!A15</f>
        <v>N</v>
      </c>
      <c r="B15" s="3718">
        <f>Paper!B15</f>
        <v>0</v>
      </c>
      <c r="C15" s="3719">
        <f>Paper!C15</f>
        <v>0</v>
      </c>
      <c r="D15" s="3720">
        <f>Paper!N15</f>
        <v>0</v>
      </c>
      <c r="E15" s="3721">
        <f>Paper!O15</f>
        <v>0</v>
      </c>
      <c r="F15" s="3722">
        <f>IF(Paper!$J15&gt;0,ROUNDUP(Paper!$E$2*Paper!$K15/Paper!$I15,0),0)</f>
        <v>0</v>
      </c>
      <c r="G15" s="3723">
        <f t="shared" si="1"/>
        <v>0</v>
      </c>
      <c r="H15" s="3724">
        <f t="shared" si="0"/>
        <v>0</v>
      </c>
      <c r="I15" s="3720">
        <f ca="1">Paper!P15</f>
        <v>0</v>
      </c>
      <c r="J15" s="3721">
        <f>Paper!Q15</f>
        <v>3</v>
      </c>
    </row>
    <row r="16" spans="1:12" ht="21" customHeight="1">
      <c r="A16" s="3717" t="str">
        <f>Paper!A16</f>
        <v>N</v>
      </c>
      <c r="B16" s="3718">
        <f>Paper!B16</f>
        <v>0</v>
      </c>
      <c r="C16" s="3719">
        <f>Paper!C16</f>
        <v>0</v>
      </c>
      <c r="D16" s="3720">
        <f>Paper!N16</f>
        <v>0</v>
      </c>
      <c r="E16" s="3721">
        <f>Paper!O16</f>
        <v>0</v>
      </c>
      <c r="F16" s="3722">
        <f>IF(Paper!$J16&gt;0,ROUNDUP(Paper!$E$2*Paper!$K16/Paper!$I16,0),0)</f>
        <v>0</v>
      </c>
      <c r="G16" s="3723">
        <f t="shared" ref="G16:G21" si="2">B16*D16*E16*F16/10^9</f>
        <v>0</v>
      </c>
      <c r="H16" s="3724">
        <f t="shared" ref="H16:H21" si="3">G16/1000</f>
        <v>0</v>
      </c>
      <c r="I16" s="3720">
        <f ca="1">Paper!P16</f>
        <v>0</v>
      </c>
      <c r="J16" s="3721">
        <f>Paper!Q16</f>
        <v>3</v>
      </c>
    </row>
    <row r="17" spans="1:10" ht="21" customHeight="1">
      <c r="A17" s="3717" t="str">
        <f>Paper!A17</f>
        <v>N</v>
      </c>
      <c r="B17" s="3718">
        <f>Paper!B17</f>
        <v>0</v>
      </c>
      <c r="C17" s="3719">
        <f>Paper!C17</f>
        <v>0</v>
      </c>
      <c r="D17" s="3720">
        <f>Paper!N17</f>
        <v>0</v>
      </c>
      <c r="E17" s="3721">
        <f>Paper!O17</f>
        <v>0</v>
      </c>
      <c r="F17" s="3722">
        <f>IF(Paper!$J17&gt;0,ROUNDUP(Paper!$E$2*Paper!$K17/Paper!$I17,0),0)</f>
        <v>0</v>
      </c>
      <c r="G17" s="3723">
        <f t="shared" si="2"/>
        <v>0</v>
      </c>
      <c r="H17" s="3724">
        <f t="shared" si="3"/>
        <v>0</v>
      </c>
      <c r="I17" s="3720">
        <f ca="1">Paper!P17</f>
        <v>0</v>
      </c>
      <c r="J17" s="3721">
        <f>Paper!Q17</f>
        <v>3</v>
      </c>
    </row>
    <row r="18" spans="1:10" ht="21" customHeight="1">
      <c r="A18" s="3717" t="str">
        <f>Paper!A18</f>
        <v>N</v>
      </c>
      <c r="B18" s="3718">
        <f>Paper!B18</f>
        <v>0</v>
      </c>
      <c r="C18" s="3719">
        <f>Paper!C18</f>
        <v>0</v>
      </c>
      <c r="D18" s="3720">
        <f>Paper!N18</f>
        <v>0</v>
      </c>
      <c r="E18" s="3721">
        <f>Paper!O18</f>
        <v>0</v>
      </c>
      <c r="F18" s="3722">
        <f>IF(Paper!$J18&gt;0,ROUNDUP(Paper!$E$2*Paper!$K18/Paper!$I18,0),0)</f>
        <v>0</v>
      </c>
      <c r="G18" s="3723">
        <f t="shared" si="2"/>
        <v>0</v>
      </c>
      <c r="H18" s="3724">
        <f t="shared" si="3"/>
        <v>0</v>
      </c>
      <c r="I18" s="3720">
        <f ca="1">Paper!P18</f>
        <v>0</v>
      </c>
      <c r="J18" s="3721">
        <f>Paper!Q18</f>
        <v>3</v>
      </c>
    </row>
    <row r="19" spans="1:10" ht="21" customHeight="1">
      <c r="A19" s="3717" t="str">
        <f>Paper!A19</f>
        <v>N</v>
      </c>
      <c r="B19" s="3718">
        <f>Paper!B19</f>
        <v>0</v>
      </c>
      <c r="C19" s="3719">
        <f>Paper!C19</f>
        <v>0</v>
      </c>
      <c r="D19" s="3720">
        <f>Paper!N19</f>
        <v>0</v>
      </c>
      <c r="E19" s="3721">
        <f>Paper!O19</f>
        <v>0</v>
      </c>
      <c r="F19" s="3722">
        <f>IF(Paper!$J19&gt;0,ROUNDUP(Paper!$E$2*Paper!$K19/Paper!$I19,0),0)</f>
        <v>0</v>
      </c>
      <c r="G19" s="3723">
        <f t="shared" si="2"/>
        <v>0</v>
      </c>
      <c r="H19" s="3724">
        <f t="shared" si="3"/>
        <v>0</v>
      </c>
      <c r="I19" s="3720">
        <f ca="1">Paper!P19</f>
        <v>0</v>
      </c>
      <c r="J19" s="3721">
        <f>Paper!Q19</f>
        <v>3</v>
      </c>
    </row>
    <row r="20" spans="1:10" ht="21" customHeight="1">
      <c r="A20" s="3717" t="str">
        <f>Paper!A20</f>
        <v>1st</v>
      </c>
      <c r="B20" s="3718">
        <f>Paper!B20</f>
        <v>0</v>
      </c>
      <c r="C20" s="3719">
        <f>Paper!C20</f>
        <v>0</v>
      </c>
      <c r="D20" s="3720">
        <f>Paper!N20</f>
        <v>0</v>
      </c>
      <c r="E20" s="3721">
        <f>Paper!O20</f>
        <v>0</v>
      </c>
      <c r="F20" s="3722">
        <f>IF(Paper!$J20&gt;0,ROUNDUP(Paper!$E$2*Paper!$K20/Paper!$I20,0),0)</f>
        <v>0</v>
      </c>
      <c r="G20" s="3723">
        <f t="shared" si="2"/>
        <v>0</v>
      </c>
      <c r="H20" s="3724">
        <f t="shared" si="3"/>
        <v>0</v>
      </c>
      <c r="I20" s="3720">
        <f ca="1">Paper!P20</f>
        <v>0</v>
      </c>
      <c r="J20" s="3721">
        <f>Paper!Q20</f>
        <v>3</v>
      </c>
    </row>
    <row r="21" spans="1:10" ht="21" customHeight="1">
      <c r="A21" s="3717" t="str">
        <f>Paper!A21</f>
        <v>1st</v>
      </c>
      <c r="B21" s="3718">
        <f>Paper!B21</f>
        <v>0</v>
      </c>
      <c r="C21" s="3719">
        <f>Paper!C21</f>
        <v>0</v>
      </c>
      <c r="D21" s="3720">
        <f>Paper!N21</f>
        <v>0</v>
      </c>
      <c r="E21" s="3721">
        <f>Paper!O21</f>
        <v>0</v>
      </c>
      <c r="F21" s="3722">
        <f>IF(Paper!$J21&gt;0,ROUNDUP(Paper!$E$2*Paper!$K21/Paper!$I21,0),0)</f>
        <v>0</v>
      </c>
      <c r="G21" s="3723">
        <f t="shared" si="2"/>
        <v>0</v>
      </c>
      <c r="H21" s="3724">
        <f t="shared" si="3"/>
        <v>0</v>
      </c>
      <c r="I21" s="3720">
        <f ca="1">Paper!P21</f>
        <v>0</v>
      </c>
      <c r="J21" s="3721">
        <f>Paper!Q21</f>
        <v>3</v>
      </c>
    </row>
    <row r="22" spans="1:10" ht="21" customHeight="1">
      <c r="A22" s="1015" t="str">
        <f>Paper!A27</f>
        <v>N</v>
      </c>
      <c r="B22" s="1166">
        <f>Paper!B27</f>
        <v>0</v>
      </c>
      <c r="C22" s="1033">
        <f>Paper!C27</f>
        <v>0</v>
      </c>
      <c r="D22" s="1163">
        <f>Paper!N27</f>
        <v>0</v>
      </c>
      <c r="E22" s="1164">
        <f>Paper!O27</f>
        <v>0</v>
      </c>
      <c r="F22" s="1013">
        <f>IF(Paper!$J27&gt;0,ROUNDUP(Paper!$E$2*Paper!$K27/Paper!$I27,0),0)</f>
        <v>0</v>
      </c>
      <c r="G22" s="1034">
        <f t="shared" si="1"/>
        <v>0</v>
      </c>
      <c r="H22" s="1169">
        <f t="shared" si="0"/>
        <v>0</v>
      </c>
      <c r="I22" s="1163">
        <f>Paper!P27</f>
        <v>0</v>
      </c>
      <c r="J22" s="1164">
        <f>Paper!Q27</f>
        <v>0</v>
      </c>
    </row>
    <row r="23" spans="1:10" ht="21" customHeight="1">
      <c r="A23" s="1015" t="str">
        <f>Paper!A28</f>
        <v>N</v>
      </c>
      <c r="B23" s="1166">
        <f>Paper!B28</f>
        <v>0</v>
      </c>
      <c r="C23" s="1033">
        <f>Paper!C28</f>
        <v>0</v>
      </c>
      <c r="D23" s="1163">
        <f>Paper!N28</f>
        <v>0</v>
      </c>
      <c r="E23" s="1164">
        <f>Paper!O28</f>
        <v>0</v>
      </c>
      <c r="F23" s="1013">
        <f>IF(Paper!$J28&gt;0,ROUNDUP(Paper!$E$2*Paper!$K28/Paper!$I28,0),0)</f>
        <v>0</v>
      </c>
      <c r="G23" s="1034">
        <f>B23*D23*E23*F23/10^9</f>
        <v>0</v>
      </c>
      <c r="H23" s="1169">
        <f>G23/1000</f>
        <v>0</v>
      </c>
      <c r="I23" s="1163">
        <f>Paper!P28</f>
        <v>0</v>
      </c>
      <c r="J23" s="1164">
        <f>Paper!Q28</f>
        <v>0</v>
      </c>
    </row>
    <row r="24" spans="1:10" ht="21" customHeight="1">
      <c r="A24" s="1015" t="str">
        <f>Paper!A29</f>
        <v>N</v>
      </c>
      <c r="B24" s="1166">
        <f>Paper!B29</f>
        <v>0</v>
      </c>
      <c r="C24" s="1033">
        <f>Paper!C29</f>
        <v>0</v>
      </c>
      <c r="D24" s="1163">
        <f>Paper!N29</f>
        <v>0</v>
      </c>
      <c r="E24" s="1164">
        <f>Paper!O29</f>
        <v>0</v>
      </c>
      <c r="F24" s="1013">
        <f>IF(Paper!$J29&gt;0,ROUNDUP(Paper!$E$2*Paper!$K29/Paper!$I29,0),0)</f>
        <v>0</v>
      </c>
      <c r="G24" s="1034">
        <f>B24*D24*E24*F24/10^9</f>
        <v>0</v>
      </c>
      <c r="H24" s="1169">
        <f>G24/1000</f>
        <v>0</v>
      </c>
      <c r="I24" s="1163">
        <f>Paper!P29</f>
        <v>0</v>
      </c>
      <c r="J24" s="1164">
        <f>Paper!Q29</f>
        <v>0</v>
      </c>
    </row>
    <row r="25" spans="1:10" ht="21" customHeight="1">
      <c r="A25" s="3726" t="str">
        <f>Paper!A34</f>
        <v>N</v>
      </c>
      <c r="B25" s="3718">
        <f>Paper!B34</f>
        <v>0</v>
      </c>
      <c r="C25" s="3719">
        <f>Paper!C34</f>
        <v>0</v>
      </c>
      <c r="D25" s="3720">
        <f>Paper!N34</f>
        <v>0</v>
      </c>
      <c r="E25" s="3721">
        <f>Paper!O34</f>
        <v>0</v>
      </c>
      <c r="F25" s="3722">
        <f>IF(Paper!$J34&gt;0,ROUNDUP(Paper!$E$2*Paper!$K34/Paper!$I34,0),0)*Paper!$J34</f>
        <v>0</v>
      </c>
      <c r="G25" s="3723">
        <f t="shared" si="1"/>
        <v>0</v>
      </c>
      <c r="H25" s="3724">
        <f t="shared" si="0"/>
        <v>0</v>
      </c>
      <c r="I25" s="3720">
        <f>Paper!P34</f>
        <v>0</v>
      </c>
      <c r="J25" s="3720">
        <f>Paper!Q34</f>
        <v>0</v>
      </c>
    </row>
    <row r="26" spans="1:10" ht="21" customHeight="1">
      <c r="A26" s="3726" t="str">
        <f>Paper!A35</f>
        <v>N</v>
      </c>
      <c r="B26" s="3718">
        <f>Paper!B35</f>
        <v>0</v>
      </c>
      <c r="C26" s="3719">
        <f>Paper!C35</f>
        <v>0</v>
      </c>
      <c r="D26" s="3720">
        <f>Paper!N35</f>
        <v>0</v>
      </c>
      <c r="E26" s="3721">
        <f>Paper!O35</f>
        <v>0</v>
      </c>
      <c r="F26" s="3722">
        <f>IF(Paper!$J35&gt;0,ROUNDUP(Paper!$E$2*Paper!$K35/Paper!$I35,0),0)*Paper!$J35</f>
        <v>0</v>
      </c>
      <c r="G26" s="3723">
        <f t="shared" ref="G26:G34" si="4">B26*D26*E26*F26/10^9</f>
        <v>0</v>
      </c>
      <c r="H26" s="3724">
        <f t="shared" ref="H26:H34" si="5">G26/1000</f>
        <v>0</v>
      </c>
      <c r="I26" s="3720">
        <f>Paper!P35</f>
        <v>0</v>
      </c>
      <c r="J26" s="3720">
        <f>Paper!Q35</f>
        <v>0</v>
      </c>
    </row>
    <row r="27" spans="1:10" ht="21" customHeight="1">
      <c r="A27" s="3726" t="str">
        <f>Paper!A36</f>
        <v>N</v>
      </c>
      <c r="B27" s="3718">
        <f>Paper!B36</f>
        <v>0</v>
      </c>
      <c r="C27" s="3719">
        <f>Paper!C36</f>
        <v>0</v>
      </c>
      <c r="D27" s="3720">
        <f>Paper!N36</f>
        <v>0</v>
      </c>
      <c r="E27" s="3721">
        <f>Paper!O36</f>
        <v>0</v>
      </c>
      <c r="F27" s="3722">
        <f>IF(Paper!$J36&gt;0,ROUNDUP(Paper!$E$2*Paper!$K36/Paper!$I36,0),0)*Paper!$J36</f>
        <v>0</v>
      </c>
      <c r="G27" s="3723">
        <f t="shared" si="4"/>
        <v>0</v>
      </c>
      <c r="H27" s="3724">
        <f t="shared" si="5"/>
        <v>0</v>
      </c>
      <c r="I27" s="3720">
        <f>Paper!P36</f>
        <v>0</v>
      </c>
      <c r="J27" s="3720">
        <f>Paper!Q36</f>
        <v>0</v>
      </c>
    </row>
    <row r="28" spans="1:10" ht="21" customHeight="1">
      <c r="A28" s="3726" t="str">
        <f>Paper!A37</f>
        <v>N</v>
      </c>
      <c r="B28" s="3718">
        <f>Paper!B37</f>
        <v>0</v>
      </c>
      <c r="C28" s="3719">
        <f>Paper!C37</f>
        <v>0</v>
      </c>
      <c r="D28" s="3720">
        <f>Paper!N37</f>
        <v>0</v>
      </c>
      <c r="E28" s="3721">
        <f>Paper!O37</f>
        <v>0</v>
      </c>
      <c r="F28" s="3722">
        <f>IF(Paper!$J37&gt;0,ROUNDUP(Paper!$E$2*Paper!$K37/Paper!$I37,0),0)*Paper!$J37</f>
        <v>0</v>
      </c>
      <c r="G28" s="3723">
        <f t="shared" si="4"/>
        <v>0</v>
      </c>
      <c r="H28" s="3724">
        <f t="shared" si="5"/>
        <v>0</v>
      </c>
      <c r="I28" s="3720">
        <f>Paper!P37</f>
        <v>0</v>
      </c>
      <c r="J28" s="3720">
        <f>Paper!Q37</f>
        <v>0</v>
      </c>
    </row>
    <row r="29" spans="1:10" ht="21" customHeight="1">
      <c r="A29" s="3726" t="str">
        <f>Paper!A38</f>
        <v>N</v>
      </c>
      <c r="B29" s="3718">
        <f>Paper!B38</f>
        <v>0</v>
      </c>
      <c r="C29" s="3719">
        <f>Paper!C38</f>
        <v>0</v>
      </c>
      <c r="D29" s="3720">
        <f>Paper!N38</f>
        <v>0</v>
      </c>
      <c r="E29" s="3721">
        <f>Paper!O38</f>
        <v>0</v>
      </c>
      <c r="F29" s="3722">
        <f>IF(Paper!$J38&gt;0,ROUNDUP(Paper!$E$2*Paper!$K38/Paper!$I38,0),0)*Paper!$J38</f>
        <v>0</v>
      </c>
      <c r="G29" s="3723">
        <f>B29*D29*E29*F29/10^9</f>
        <v>0</v>
      </c>
      <c r="H29" s="3724">
        <f>G29/1000</f>
        <v>0</v>
      </c>
      <c r="I29" s="3720">
        <f>Paper!P38</f>
        <v>0</v>
      </c>
      <c r="J29" s="3720">
        <f>Paper!Q38</f>
        <v>0</v>
      </c>
    </row>
    <row r="30" spans="1:10" ht="21" customHeight="1">
      <c r="A30" s="3726" t="str">
        <f>Paper!A39</f>
        <v>N</v>
      </c>
      <c r="B30" s="3718">
        <f>Paper!B39</f>
        <v>0</v>
      </c>
      <c r="C30" s="3719">
        <f>Paper!C39</f>
        <v>0</v>
      </c>
      <c r="D30" s="3720">
        <f>Paper!N39</f>
        <v>0</v>
      </c>
      <c r="E30" s="3721">
        <f>Paper!O39</f>
        <v>0</v>
      </c>
      <c r="F30" s="3722">
        <f>IF(Paper!$J39&gt;0,ROUNDUP(Paper!$E$2*Paper!$K39/Paper!$I39,0),0)*Paper!$J39</f>
        <v>0</v>
      </c>
      <c r="G30" s="3723">
        <f>B30*D30*E30*F30/10^9</f>
        <v>0</v>
      </c>
      <c r="H30" s="3724">
        <f>G30/1000</f>
        <v>0</v>
      </c>
      <c r="I30" s="3720">
        <f>Paper!P39</f>
        <v>0</v>
      </c>
      <c r="J30" s="3720">
        <f>Paper!Q39</f>
        <v>0</v>
      </c>
    </row>
    <row r="31" spans="1:10" ht="21" customHeight="1">
      <c r="A31" s="3726" t="str">
        <f>Paper!A40</f>
        <v>N</v>
      </c>
      <c r="B31" s="3718">
        <f>Paper!B40</f>
        <v>0</v>
      </c>
      <c r="C31" s="3719">
        <f>Paper!C40</f>
        <v>0</v>
      </c>
      <c r="D31" s="3720">
        <f>Paper!N40</f>
        <v>0</v>
      </c>
      <c r="E31" s="3721">
        <f>Paper!O40</f>
        <v>0</v>
      </c>
      <c r="F31" s="3722">
        <f>IF(Paper!$J40&gt;0,ROUNDUP(Paper!$E$2*Paper!$K40/Paper!$I40,0),0)*Paper!$J40</f>
        <v>0</v>
      </c>
      <c r="G31" s="3723">
        <f>B31*D31*E31*F31/10^9</f>
        <v>0</v>
      </c>
      <c r="H31" s="3724">
        <f>G31/1000</f>
        <v>0</v>
      </c>
      <c r="I31" s="3720">
        <f>Paper!P40</f>
        <v>0</v>
      </c>
      <c r="J31" s="3720">
        <f>Paper!Q40</f>
        <v>0</v>
      </c>
    </row>
    <row r="32" spans="1:10" ht="21" customHeight="1">
      <c r="A32" s="3726" t="str">
        <f ca="1">Paper!A41</f>
        <v>N</v>
      </c>
      <c r="B32" s="3718">
        <f ca="1">Paper!B41</f>
        <v>0</v>
      </c>
      <c r="C32" s="3719">
        <f ca="1">Paper!C41</f>
        <v>0</v>
      </c>
      <c r="D32" s="3720">
        <f ca="1">Paper!N41</f>
        <v>0</v>
      </c>
      <c r="E32" s="3721">
        <f ca="1">Paper!O41</f>
        <v>0</v>
      </c>
      <c r="F32" s="3722">
        <f ca="1">IF(Paper!$J41&gt;0,ROUNDUP(Paper!$E$2*Paper!$K41/Paper!$I41,0),0)*Paper!$J41</f>
        <v>0</v>
      </c>
      <c r="G32" s="3723">
        <f ca="1">B32*D32*E32*F32/10^9</f>
        <v>0</v>
      </c>
      <c r="H32" s="3724">
        <f ca="1">G32/1000</f>
        <v>0</v>
      </c>
      <c r="I32" s="3720">
        <f ca="1">Paper!P41</f>
        <v>0</v>
      </c>
      <c r="J32" s="3720">
        <f ca="1">Paper!Q41</f>
        <v>0</v>
      </c>
    </row>
    <row r="33" spans="1:10" ht="21" customHeight="1">
      <c r="A33" s="3726" t="str">
        <f ca="1">Paper!A47</f>
        <v>N</v>
      </c>
      <c r="B33" s="3718">
        <f ca="1">Paper!B47</f>
        <v>0</v>
      </c>
      <c r="C33" s="3719">
        <f ca="1">Paper!C47</f>
        <v>0</v>
      </c>
      <c r="D33" s="3720">
        <f ca="1">Paper!N47</f>
        <v>0</v>
      </c>
      <c r="E33" s="3721">
        <f ca="1">Paper!O47</f>
        <v>0</v>
      </c>
      <c r="F33" s="3722">
        <f ca="1">IF(Paper!$J47&gt;0,ROUNDUP(Paper!$E$2*Paper!$K47/Paper!$I47,0),0)*Paper!$J47</f>
        <v>0</v>
      </c>
      <c r="G33" s="3723">
        <f ca="1">B33*D33*E33*F33/10^9</f>
        <v>0</v>
      </c>
      <c r="H33" s="3724">
        <f ca="1">G33/1000</f>
        <v>0</v>
      </c>
      <c r="I33" s="3720">
        <f ca="1">Paper!P47</f>
        <v>0</v>
      </c>
      <c r="J33" s="3720">
        <f ca="1">Paper!Q47</f>
        <v>0</v>
      </c>
    </row>
    <row r="34" spans="1:10" ht="21" customHeight="1">
      <c r="A34" s="3726" t="str">
        <f ca="1">Paper!A48</f>
        <v>N</v>
      </c>
      <c r="B34" s="3718">
        <f ca="1">Paper!B48</f>
        <v>0</v>
      </c>
      <c r="C34" s="3719">
        <f ca="1">Paper!C48</f>
        <v>0</v>
      </c>
      <c r="D34" s="3720">
        <f ca="1">Paper!N48</f>
        <v>0</v>
      </c>
      <c r="E34" s="3721">
        <f ca="1">Paper!O48</f>
        <v>0</v>
      </c>
      <c r="F34" s="3722">
        <f ca="1">IF(Paper!$J48&gt;0,ROUNDUP(Paper!$E$2*Paper!$K48/Paper!$I48,0),0)*Paper!$J48</f>
        <v>0</v>
      </c>
      <c r="G34" s="3723">
        <f t="shared" ca="1" si="4"/>
        <v>0</v>
      </c>
      <c r="H34" s="3724">
        <f t="shared" ca="1" si="5"/>
        <v>0</v>
      </c>
      <c r="I34" s="3720">
        <f ca="1">Paper!P48</f>
        <v>0</v>
      </c>
      <c r="J34" s="3720">
        <f ca="1">Paper!Q48</f>
        <v>0</v>
      </c>
    </row>
    <row r="35" spans="1:10" ht="21" customHeight="1">
      <c r="A35" s="1015" t="str">
        <f>Paper!A53</f>
        <v>E-flute 115/105</v>
      </c>
      <c r="B35" s="1166">
        <f>Paper!B53</f>
        <v>249.4</v>
      </c>
      <c r="C35" s="1033" t="str">
        <f>Paper!C53</f>
        <v>E-Flute</v>
      </c>
      <c r="D35" s="1163">
        <f ca="1">Paper!N53</f>
        <v>628</v>
      </c>
      <c r="E35" s="1164">
        <f ca="1">Paper!O53</f>
        <v>397</v>
      </c>
      <c r="F35" s="1013">
        <f>IF(Paper!$J53&gt;0,ROUNDUP(Paper!$E$2*Paper!$K53/Paper!$I53,0),0)*Paper!$J53</f>
        <v>2500</v>
      </c>
      <c r="G35" s="1034">
        <f ca="1">IFERROR(B35*D35*E35*F35/10^9,0)</f>
        <v>155.44852599999999</v>
      </c>
      <c r="H35" s="1169">
        <f ca="1">G35/1000</f>
        <v>0.15544852599999998</v>
      </c>
      <c r="I35" s="1163">
        <f ca="1">Paper!P53</f>
        <v>628</v>
      </c>
      <c r="J35" s="1163">
        <f ca="1">Paper!Q53</f>
        <v>397</v>
      </c>
    </row>
    <row r="36" spans="1:10" ht="21" customHeight="1">
      <c r="A36" s="1015" t="str">
        <f>Paper!A54</f>
        <v>N</v>
      </c>
      <c r="B36" s="1166">
        <f>Paper!B54</f>
        <v>0</v>
      </c>
      <c r="C36" s="1033" t="str">
        <f>Paper!C54</f>
        <v>E-Flute</v>
      </c>
      <c r="D36" s="1163">
        <f>Paper!N54</f>
        <v>0</v>
      </c>
      <c r="E36" s="1164">
        <f>Paper!O54</f>
        <v>0</v>
      </c>
      <c r="F36" s="1013">
        <f>IF(Paper!$J54&gt;0,ROUNDUP(Paper!$E$2*Paper!$K54/Paper!$I54,0),0)*Paper!$J54</f>
        <v>0</v>
      </c>
      <c r="G36" s="1034">
        <f>B36*D36*E36*F36/10^9</f>
        <v>0</v>
      </c>
      <c r="H36" s="1169">
        <f>G36/1000</f>
        <v>0</v>
      </c>
      <c r="I36" s="1163">
        <f>Paper!P54</f>
        <v>0</v>
      </c>
      <c r="J36" s="1163">
        <f>Paper!Q54</f>
        <v>0</v>
      </c>
    </row>
    <row r="37" spans="1:10" ht="21" customHeight="1">
      <c r="A37" s="1015" t="str">
        <f>Paper!A55</f>
        <v>N</v>
      </c>
      <c r="B37" s="1166">
        <f>Paper!B55</f>
        <v>0</v>
      </c>
      <c r="C37" s="1033" t="str">
        <f>Paper!C55</f>
        <v>E-Flute</v>
      </c>
      <c r="D37" s="1163">
        <f>Paper!N55</f>
        <v>0</v>
      </c>
      <c r="E37" s="1164">
        <f>Paper!O55</f>
        <v>0</v>
      </c>
      <c r="F37" s="1013">
        <f>IF(Paper!$J55&gt;0,ROUNDUP(Paper!$E$2*Paper!$K55/Paper!$I55,0),0)*Paper!$J55</f>
        <v>0</v>
      </c>
      <c r="G37" s="1034">
        <f>B37*D37*E37*F37/10^9</f>
        <v>0</v>
      </c>
      <c r="H37" s="1169">
        <f>G37/1000</f>
        <v>0</v>
      </c>
      <c r="I37" s="1163">
        <f>Paper!P55</f>
        <v>0</v>
      </c>
      <c r="J37" s="1163">
        <f>Paper!Q55</f>
        <v>0</v>
      </c>
    </row>
    <row r="38" spans="1:10" ht="21" customHeight="1">
      <c r="A38" s="1015" t="str">
        <f>Paper!A56</f>
        <v>N</v>
      </c>
      <c r="B38" s="1166">
        <f>Paper!B56</f>
        <v>0</v>
      </c>
      <c r="C38" s="1033" t="str">
        <f>Paper!C56</f>
        <v>E-Flute</v>
      </c>
      <c r="D38" s="1163">
        <f>Paper!N56</f>
        <v>0</v>
      </c>
      <c r="E38" s="1164">
        <f>Paper!O56</f>
        <v>0</v>
      </c>
      <c r="F38" s="1013">
        <f>IF(Paper!$J56&gt;0,ROUNDUP(Paper!$E$2*Paper!$K56/Paper!$I56,0),0)*Paper!$J56</f>
        <v>0</v>
      </c>
      <c r="G38" s="1034">
        <f>B38*D38*E38*F38/10^9</f>
        <v>0</v>
      </c>
      <c r="H38" s="1169">
        <f>G38/1000</f>
        <v>0</v>
      </c>
      <c r="I38" s="1163">
        <f>Paper!P56</f>
        <v>0</v>
      </c>
      <c r="J38" s="1163">
        <f>Paper!Q56</f>
        <v>0</v>
      </c>
    </row>
    <row r="39" spans="1:10" ht="21" customHeight="1">
      <c r="A39" s="1015" t="str">
        <f>Paper!A57</f>
        <v>N</v>
      </c>
      <c r="B39" s="1166">
        <f>Paper!B57</f>
        <v>0</v>
      </c>
      <c r="C39" s="1033" t="str">
        <f>Paper!C57</f>
        <v>E-Flute</v>
      </c>
      <c r="D39" s="1163">
        <f>Paper!N57</f>
        <v>0</v>
      </c>
      <c r="E39" s="1164">
        <f>Paper!O57</f>
        <v>0</v>
      </c>
      <c r="F39" s="1013">
        <f>IF(Paper!$J57&gt;0,ROUNDUP(Paper!$E$2*Paper!$K57/Paper!$I57,0),0)*Paper!$J57</f>
        <v>0</v>
      </c>
      <c r="G39" s="1034">
        <f>B39*D39*E39*F39/10^9</f>
        <v>0</v>
      </c>
      <c r="H39" s="1169">
        <f>G39/1000</f>
        <v>0</v>
      </c>
      <c r="I39" s="1163">
        <f>Paper!P57</f>
        <v>0</v>
      </c>
      <c r="J39" s="1163">
        <f>Paper!Q57</f>
        <v>0</v>
      </c>
    </row>
    <row r="40" spans="1:10" ht="21" customHeight="1">
      <c r="A40" s="1015"/>
      <c r="B40" s="1166"/>
      <c r="C40" s="1167"/>
      <c r="D40" s="1163"/>
      <c r="E40" s="1164"/>
      <c r="F40" s="1168"/>
      <c r="G40" s="1034"/>
      <c r="H40" s="1169"/>
      <c r="I40" s="1163"/>
      <c r="J40" s="1164"/>
    </row>
    <row r="41" spans="1:10" ht="21" customHeight="1">
      <c r="A41" s="1015"/>
      <c r="B41" s="1166"/>
      <c r="C41" s="1167"/>
      <c r="D41" s="1163"/>
      <c r="E41" s="1164"/>
      <c r="F41" s="1013"/>
      <c r="G41" s="1034"/>
      <c r="H41" s="1169"/>
      <c r="I41" s="1163"/>
      <c r="J41" s="1164"/>
    </row>
    <row r="42" spans="1:10" ht="21" customHeight="1">
      <c r="A42" s="1012"/>
      <c r="B42" s="1166"/>
      <c r="C42" s="1167"/>
      <c r="D42" s="1163"/>
      <c r="E42" s="1164"/>
      <c r="F42" s="1013"/>
      <c r="G42" s="1034"/>
      <c r="H42" s="1169"/>
      <c r="I42" s="1163"/>
      <c r="J42" s="1164"/>
    </row>
    <row r="43" spans="1:10" ht="21" customHeight="1">
      <c r="A43" s="1012"/>
      <c r="B43" s="1166"/>
      <c r="C43" s="1167"/>
      <c r="D43" s="1163"/>
      <c r="E43" s="1164"/>
      <c r="F43" s="1168"/>
      <c r="G43" s="1169"/>
      <c r="H43" s="1169"/>
      <c r="I43" s="1163"/>
      <c r="J43" s="1164"/>
    </row>
    <row r="44" spans="1:10" ht="21" customHeight="1">
      <c r="A44" s="1016"/>
      <c r="B44" s="1017"/>
      <c r="C44" s="1018"/>
      <c r="D44" s="1019"/>
      <c r="E44" s="1020"/>
      <c r="F44" s="1020"/>
      <c r="G44" s="1017"/>
      <c r="H44" s="1177"/>
      <c r="I44" s="1019"/>
      <c r="J44" s="1020"/>
    </row>
    <row r="45" spans="1:10" ht="21" customHeight="1" thickBot="1">
      <c r="A45" s="1021"/>
      <c r="B45" s="1022"/>
      <c r="C45" s="1022"/>
      <c r="D45" s="1014"/>
      <c r="E45" s="1014"/>
      <c r="F45" s="1023" t="s">
        <v>21</v>
      </c>
      <c r="G45" s="1035">
        <f ca="1">SUM(G7:G44)</f>
        <v>350.19802600000003</v>
      </c>
      <c r="H45" s="1170"/>
      <c r="I45" s="1022"/>
      <c r="J45" s="1022"/>
    </row>
    <row r="46" spans="1:10" ht="21" customHeight="1" thickBot="1">
      <c r="A46" s="1021"/>
      <c r="B46" s="1022"/>
      <c r="C46" s="1022"/>
      <c r="D46" s="1014"/>
      <c r="E46" s="1014"/>
      <c r="F46" s="1024" t="s">
        <v>667</v>
      </c>
      <c r="G46" s="1025">
        <f ca="1">IF($D$1&gt;0,(G45/$D$1),0)</f>
        <v>7.0039605200000007E-2</v>
      </c>
      <c r="H46" s="1026" t="s">
        <v>91</v>
      </c>
      <c r="I46" s="1022"/>
      <c r="J46" s="1022"/>
    </row>
  </sheetData>
  <mergeCells count="1">
    <mergeCell ref="B5:C5"/>
  </mergeCells>
  <phoneticPr fontId="0" type="noConversion"/>
  <pageMargins left="0.75" right="0.75" top="1" bottom="1" header="0.5" footer="0.5"/>
  <pageSetup orientation="portrait" r:id="rId1"/>
  <headerFooter alignWithMargins="0"/>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FFFF99"/>
  </sheetPr>
  <dimension ref="A1:Y90"/>
  <sheetViews>
    <sheetView topLeftCell="A55" workbookViewId="0">
      <selection activeCell="A15" sqref="A15:K81"/>
    </sheetView>
  </sheetViews>
  <sheetFormatPr defaultColWidth="8" defaultRowHeight="12.75"/>
  <cols>
    <col min="1" max="1" width="8" style="28"/>
    <col min="2" max="2" width="14.5703125" style="28" customWidth="1"/>
    <col min="3" max="3" width="7" style="28" customWidth="1"/>
    <col min="4" max="4" width="9.28515625" style="28" customWidth="1"/>
    <col min="5" max="11" width="7" style="28" customWidth="1"/>
    <col min="12" max="16384" width="8" style="28"/>
  </cols>
  <sheetData>
    <row r="1" spans="1:25">
      <c r="A1" s="29"/>
      <c r="B1" s="29" t="s">
        <v>3369</v>
      </c>
    </row>
    <row r="2" spans="1:25">
      <c r="A2" s="29"/>
      <c r="B2" s="29"/>
    </row>
    <row r="3" spans="1:25">
      <c r="A3" s="29"/>
      <c r="B3" s="29"/>
      <c r="D3" s="29"/>
      <c r="E3" s="29"/>
      <c r="F3" s="29"/>
    </row>
    <row r="4" spans="1:25" ht="9" customHeight="1">
      <c r="A4" s="29"/>
      <c r="K4" s="3210"/>
    </row>
    <row r="5" spans="1:25" ht="18.75" customHeight="1">
      <c r="A5" s="3211"/>
      <c r="B5" s="3212" t="s">
        <v>260</v>
      </c>
      <c r="C5" s="3213" t="s">
        <v>3368</v>
      </c>
      <c r="D5" s="3214"/>
      <c r="E5" s="3214"/>
      <c r="F5" s="3214"/>
      <c r="G5" s="3214"/>
      <c r="H5" s="3214"/>
      <c r="I5" s="3214"/>
      <c r="J5" s="3214"/>
      <c r="K5" s="3214"/>
      <c r="L5" s="3214"/>
      <c r="M5" s="3214"/>
      <c r="N5" s="3214"/>
      <c r="O5" s="3214"/>
      <c r="P5" s="3214"/>
      <c r="Q5" s="3214"/>
      <c r="R5" s="3214"/>
      <c r="S5" s="3214"/>
      <c r="T5" s="3214"/>
      <c r="U5" s="3214"/>
      <c r="V5" s="3214"/>
      <c r="W5" s="3214"/>
      <c r="X5" s="3215"/>
    </row>
    <row r="6" spans="1:25" ht="18.75" customHeight="1">
      <c r="A6" s="3211"/>
      <c r="B6" s="3216" t="s">
        <v>105</v>
      </c>
      <c r="C6" s="3217" t="s">
        <v>2356</v>
      </c>
      <c r="D6" s="3217" t="s">
        <v>2357</v>
      </c>
      <c r="E6" s="3217" t="s">
        <v>2358</v>
      </c>
      <c r="F6" s="3217" t="s">
        <v>38</v>
      </c>
      <c r="G6" s="3217" t="s">
        <v>2359</v>
      </c>
      <c r="H6" s="3217" t="s">
        <v>2360</v>
      </c>
      <c r="I6" s="3217" t="s">
        <v>2361</v>
      </c>
      <c r="J6" s="3217" t="s">
        <v>291</v>
      </c>
      <c r="K6" s="3217" t="s">
        <v>86</v>
      </c>
      <c r="L6" s="3217" t="s">
        <v>2362</v>
      </c>
      <c r="M6" s="3217" t="s">
        <v>2363</v>
      </c>
      <c r="N6" s="3218" t="s">
        <v>2364</v>
      </c>
      <c r="O6" s="3218" t="s">
        <v>2365</v>
      </c>
      <c r="P6" s="3218" t="s">
        <v>2366</v>
      </c>
      <c r="Q6" s="3218" t="s">
        <v>2367</v>
      </c>
      <c r="R6" s="3217" t="s">
        <v>433</v>
      </c>
      <c r="S6" s="3218" t="s">
        <v>2368</v>
      </c>
      <c r="T6" s="3218" t="s">
        <v>2369</v>
      </c>
      <c r="U6" s="3218" t="s">
        <v>7</v>
      </c>
      <c r="V6" s="3218" t="s">
        <v>8</v>
      </c>
      <c r="W6" s="3218" t="s">
        <v>103</v>
      </c>
      <c r="X6" s="3218" t="s">
        <v>2370</v>
      </c>
    </row>
    <row r="7" spans="1:25" ht="18.75" customHeight="1">
      <c r="A7" s="3211"/>
      <c r="B7" s="3219" t="s">
        <v>2371</v>
      </c>
      <c r="C7" s="3220"/>
      <c r="D7" s="3220"/>
      <c r="E7" s="3220"/>
      <c r="F7" s="3220"/>
      <c r="G7" s="3220"/>
      <c r="H7" s="3220"/>
      <c r="I7" s="3220"/>
      <c r="J7" s="3220"/>
      <c r="K7" s="3220"/>
      <c r="L7" s="3220"/>
      <c r="M7" s="3221"/>
      <c r="N7" s="3221"/>
      <c r="O7" s="3221"/>
      <c r="P7" s="3221"/>
      <c r="Q7" s="3221"/>
      <c r="R7" s="3221"/>
      <c r="S7" s="3221"/>
      <c r="T7" s="3221"/>
      <c r="U7" s="3221"/>
      <c r="V7" s="3221"/>
      <c r="W7" s="3221"/>
      <c r="X7" s="3221"/>
    </row>
    <row r="8" spans="1:25" ht="18.75" customHeight="1">
      <c r="A8" s="3222"/>
      <c r="B8" s="3223">
        <v>0.5</v>
      </c>
      <c r="C8" s="3224">
        <v>555300</v>
      </c>
      <c r="D8" s="3224">
        <v>744678</v>
      </c>
      <c r="E8" s="3224">
        <v>808184</v>
      </c>
      <c r="F8" s="3224">
        <v>628542</v>
      </c>
      <c r="G8" s="3224">
        <v>815412</v>
      </c>
      <c r="H8" s="3224">
        <v>681893</v>
      </c>
      <c r="I8" s="3224">
        <v>913176</v>
      </c>
      <c r="J8" s="3224">
        <v>893087</v>
      </c>
      <c r="K8" s="3224">
        <v>530620</v>
      </c>
      <c r="L8" s="3224">
        <v>712074</v>
      </c>
      <c r="M8" s="3224">
        <v>573811</v>
      </c>
      <c r="N8" s="3224">
        <v>610937</v>
      </c>
      <c r="O8" s="3224">
        <v>502238</v>
      </c>
      <c r="P8" s="3224">
        <v>540369</v>
      </c>
      <c r="Q8" s="3224">
        <v>438810</v>
      </c>
      <c r="R8" s="3224">
        <v>525437</v>
      </c>
      <c r="S8" s="3224">
        <v>651365</v>
      </c>
      <c r="T8" s="3224">
        <v>375630</v>
      </c>
      <c r="U8" s="3224">
        <v>594238</v>
      </c>
      <c r="V8" s="3224">
        <v>442895</v>
      </c>
      <c r="W8" s="3224">
        <v>470894</v>
      </c>
      <c r="X8" s="3224">
        <v>579194</v>
      </c>
    </row>
    <row r="9" spans="1:25" ht="18.75" customHeight="1">
      <c r="A9" s="3222"/>
      <c r="B9" s="3225">
        <v>1</v>
      </c>
      <c r="C9" s="3226">
        <v>662160</v>
      </c>
      <c r="D9" s="3226">
        <v>879150</v>
      </c>
      <c r="E9" s="3226">
        <v>896705</v>
      </c>
      <c r="F9" s="3226">
        <v>903645</v>
      </c>
      <c r="G9" s="3226">
        <v>996082</v>
      </c>
      <c r="H9" s="3226">
        <v>727272</v>
      </c>
      <c r="I9" s="3226">
        <v>1082423</v>
      </c>
      <c r="J9" s="3226">
        <v>1056754</v>
      </c>
      <c r="K9" s="3226">
        <v>600082</v>
      </c>
      <c r="L9" s="3226">
        <v>996082</v>
      </c>
      <c r="M9" s="3224">
        <v>671021</v>
      </c>
      <c r="N9" s="3224">
        <v>756069</v>
      </c>
      <c r="O9" s="3224">
        <v>543109</v>
      </c>
      <c r="P9" s="3224">
        <v>634570</v>
      </c>
      <c r="Q9" s="3224">
        <v>514002</v>
      </c>
      <c r="R9" s="3224">
        <v>638708</v>
      </c>
      <c r="S9" s="3224">
        <v>728767</v>
      </c>
      <c r="T9" s="3224">
        <v>392606</v>
      </c>
      <c r="U9" s="3224">
        <v>676945</v>
      </c>
      <c r="V9" s="3224">
        <v>454345</v>
      </c>
      <c r="W9" s="3224">
        <v>470547</v>
      </c>
      <c r="X9" s="3224">
        <v>668154</v>
      </c>
    </row>
    <row r="10" spans="1:25" ht="18.75" customHeight="1">
      <c r="A10" s="3222"/>
      <c r="B10" s="3225">
        <v>1.5</v>
      </c>
      <c r="C10" s="3226">
        <v>732000</v>
      </c>
      <c r="D10" s="3226">
        <v>1006100</v>
      </c>
      <c r="E10" s="3226">
        <v>1030764</v>
      </c>
      <c r="F10" s="3226">
        <v>1054845</v>
      </c>
      <c r="G10" s="3226">
        <v>1168912</v>
      </c>
      <c r="H10" s="3226">
        <v>866061</v>
      </c>
      <c r="I10" s="3226">
        <v>1289443</v>
      </c>
      <c r="J10" s="3226">
        <v>1254486</v>
      </c>
      <c r="K10" s="3226">
        <v>663375</v>
      </c>
      <c r="L10" s="3226">
        <v>1168912</v>
      </c>
      <c r="M10" s="3224">
        <v>771340</v>
      </c>
      <c r="N10" s="3224">
        <v>865246</v>
      </c>
      <c r="O10" s="3224">
        <v>600392</v>
      </c>
      <c r="P10" s="3224">
        <v>701500</v>
      </c>
      <c r="Q10" s="3224">
        <v>568215</v>
      </c>
      <c r="R10" s="3224">
        <v>706075</v>
      </c>
      <c r="S10" s="3224">
        <v>837719</v>
      </c>
      <c r="T10" s="3224">
        <v>434015</v>
      </c>
      <c r="U10" s="3224">
        <v>774697</v>
      </c>
      <c r="V10" s="3224">
        <v>519952</v>
      </c>
      <c r="W10" s="3224">
        <v>520177</v>
      </c>
      <c r="X10" s="3224">
        <v>764636</v>
      </c>
    </row>
    <row r="11" spans="1:25" ht="18.75" customHeight="1">
      <c r="A11" s="3222"/>
      <c r="B11" s="3225">
        <v>2</v>
      </c>
      <c r="C11" s="3226">
        <v>801840</v>
      </c>
      <c r="D11" s="3226">
        <v>1133050</v>
      </c>
      <c r="E11" s="3226">
        <v>1164824</v>
      </c>
      <c r="F11" s="3226">
        <v>1206045</v>
      </c>
      <c r="G11" s="3226">
        <v>1341742</v>
      </c>
      <c r="H11" s="3226">
        <v>1004850</v>
      </c>
      <c r="I11" s="3226">
        <v>1496462</v>
      </c>
      <c r="J11" s="3226">
        <v>1452217</v>
      </c>
      <c r="K11" s="3226">
        <v>726667</v>
      </c>
      <c r="L11" s="3226">
        <v>1341742</v>
      </c>
      <c r="M11" s="3224">
        <v>871659</v>
      </c>
      <c r="N11" s="3224">
        <v>974423</v>
      </c>
      <c r="O11" s="3224">
        <v>657676</v>
      </c>
      <c r="P11" s="3224">
        <v>768430</v>
      </c>
      <c r="Q11" s="3224">
        <v>622428</v>
      </c>
      <c r="R11" s="3224">
        <v>773441</v>
      </c>
      <c r="S11" s="3224">
        <v>946671</v>
      </c>
      <c r="T11" s="3224">
        <v>475424</v>
      </c>
      <c r="U11" s="3224">
        <v>872448</v>
      </c>
      <c r="V11" s="3224">
        <v>585560</v>
      </c>
      <c r="W11" s="3224">
        <v>569808</v>
      </c>
      <c r="X11" s="3224">
        <v>861118</v>
      </c>
    </row>
    <row r="12" spans="1:25" ht="18.75" customHeight="1">
      <c r="A12" s="3222"/>
      <c r="B12" s="3225">
        <v>2.5</v>
      </c>
      <c r="C12" s="3226">
        <v>871680</v>
      </c>
      <c r="D12" s="3226">
        <v>1260000</v>
      </c>
      <c r="E12" s="3226">
        <v>1298883</v>
      </c>
      <c r="F12" s="3226">
        <v>1357245</v>
      </c>
      <c r="G12" s="3226">
        <v>1514572</v>
      </c>
      <c r="H12" s="3226">
        <v>1143639</v>
      </c>
      <c r="I12" s="3226">
        <v>1703481</v>
      </c>
      <c r="J12" s="3226">
        <v>1649949</v>
      </c>
      <c r="K12" s="3226">
        <v>789960</v>
      </c>
      <c r="L12" s="3226">
        <v>1514572</v>
      </c>
      <c r="M12" s="3224">
        <v>971978</v>
      </c>
      <c r="N12" s="3224">
        <v>1083600</v>
      </c>
      <c r="O12" s="3224">
        <v>714959</v>
      </c>
      <c r="P12" s="3224">
        <v>835360</v>
      </c>
      <c r="Q12" s="3224">
        <v>676642</v>
      </c>
      <c r="R12" s="3224">
        <v>840808</v>
      </c>
      <c r="S12" s="3224">
        <v>1055624</v>
      </c>
      <c r="T12" s="3224">
        <v>516834</v>
      </c>
      <c r="U12" s="3224">
        <v>970200</v>
      </c>
      <c r="V12" s="3224">
        <v>651168</v>
      </c>
      <c r="W12" s="3224">
        <v>619438</v>
      </c>
      <c r="X12" s="3224">
        <v>957600</v>
      </c>
    </row>
    <row r="13" spans="1:25" ht="18.75" customHeight="1">
      <c r="A13" s="3222"/>
      <c r="B13" s="3227">
        <v>3</v>
      </c>
      <c r="C13" s="3228">
        <v>1007604</v>
      </c>
      <c r="D13" s="3228">
        <v>1411782</v>
      </c>
      <c r="E13" s="3228">
        <v>1257336</v>
      </c>
      <c r="F13" s="3228">
        <v>1360207</v>
      </c>
      <c r="G13" s="3228">
        <v>1533792</v>
      </c>
      <c r="H13" s="3228">
        <v>915304</v>
      </c>
      <c r="I13" s="3228">
        <v>1767519</v>
      </c>
      <c r="J13" s="3228">
        <v>1773664</v>
      </c>
      <c r="K13" s="3228">
        <v>833211</v>
      </c>
      <c r="L13" s="3228">
        <v>1516217</v>
      </c>
      <c r="M13" s="3228">
        <v>1029444</v>
      </c>
      <c r="N13" s="3228">
        <v>1084581</v>
      </c>
      <c r="O13" s="3228">
        <v>725862</v>
      </c>
      <c r="P13" s="3228">
        <v>836893</v>
      </c>
      <c r="Q13" s="3228">
        <v>852588</v>
      </c>
      <c r="R13" s="3228">
        <v>842318</v>
      </c>
      <c r="S13" s="3228">
        <v>1146155</v>
      </c>
      <c r="T13" s="3228">
        <v>521048</v>
      </c>
      <c r="U13" s="3228">
        <v>984649</v>
      </c>
      <c r="V13" s="3228">
        <v>671565</v>
      </c>
      <c r="W13" s="3228">
        <v>664631</v>
      </c>
      <c r="X13" s="3228">
        <v>960565</v>
      </c>
    </row>
    <row r="14" spans="1:25" ht="18.75" customHeight="1">
      <c r="A14" s="3222"/>
      <c r="B14" s="3227">
        <v>3.5</v>
      </c>
      <c r="C14" s="3228">
        <v>1070888</v>
      </c>
      <c r="D14" s="3228">
        <v>1538364</v>
      </c>
      <c r="E14" s="3228">
        <v>1371168</v>
      </c>
      <c r="F14" s="3228">
        <v>1507942</v>
      </c>
      <c r="G14" s="3228">
        <v>1682832</v>
      </c>
      <c r="H14" s="3228">
        <v>1011181</v>
      </c>
      <c r="I14" s="3228">
        <v>1959984</v>
      </c>
      <c r="J14" s="3228">
        <v>1938327</v>
      </c>
      <c r="K14" s="3228">
        <v>885542</v>
      </c>
      <c r="L14" s="3228">
        <v>1663550</v>
      </c>
      <c r="M14" s="3228">
        <v>1122644</v>
      </c>
      <c r="N14" s="3228">
        <v>1181826</v>
      </c>
      <c r="O14" s="3228">
        <v>771451</v>
      </c>
      <c r="P14" s="3228">
        <v>889455</v>
      </c>
      <c r="Q14" s="3228">
        <v>906136</v>
      </c>
      <c r="R14" s="3228">
        <v>895221</v>
      </c>
      <c r="S14" s="3228">
        <v>1249921</v>
      </c>
      <c r="T14" s="3228">
        <v>553773</v>
      </c>
      <c r="U14" s="3228">
        <v>1072933</v>
      </c>
      <c r="V14" s="3228">
        <v>731779</v>
      </c>
      <c r="W14" s="3228">
        <v>706374</v>
      </c>
      <c r="X14" s="3228">
        <v>1046691</v>
      </c>
      <c r="Y14" s="3229"/>
    </row>
    <row r="15" spans="1:25" ht="18.75" customHeight="1">
      <c r="A15" s="3222"/>
      <c r="B15" s="3227">
        <v>4</v>
      </c>
      <c r="C15" s="3228">
        <v>1134172</v>
      </c>
      <c r="D15" s="3228">
        <v>1664946</v>
      </c>
      <c r="E15" s="3228">
        <v>1485000</v>
      </c>
      <c r="F15" s="3228">
        <v>1655677</v>
      </c>
      <c r="G15" s="3228">
        <v>1831872</v>
      </c>
      <c r="H15" s="3228">
        <v>1107058</v>
      </c>
      <c r="I15" s="3228">
        <v>2152449</v>
      </c>
      <c r="J15" s="3228">
        <v>2102990</v>
      </c>
      <c r="K15" s="3228">
        <v>937873</v>
      </c>
      <c r="L15" s="3228">
        <v>1810882</v>
      </c>
      <c r="M15" s="3228">
        <v>1215844</v>
      </c>
      <c r="N15" s="3228">
        <v>1279070</v>
      </c>
      <c r="O15" s="3228">
        <v>817040</v>
      </c>
      <c r="P15" s="3228">
        <v>942017</v>
      </c>
      <c r="Q15" s="3228">
        <v>959684</v>
      </c>
      <c r="R15" s="3228">
        <v>948124</v>
      </c>
      <c r="S15" s="3228">
        <v>1353687</v>
      </c>
      <c r="T15" s="3228">
        <v>586498</v>
      </c>
      <c r="U15" s="3228">
        <v>1161218</v>
      </c>
      <c r="V15" s="3228">
        <v>791992</v>
      </c>
      <c r="W15" s="3228">
        <v>748117</v>
      </c>
      <c r="X15" s="3228">
        <v>1132816</v>
      </c>
    </row>
    <row r="16" spans="1:25" ht="18.75" customHeight="1">
      <c r="A16" s="3222"/>
      <c r="B16" s="3227">
        <v>4.5</v>
      </c>
      <c r="C16" s="3228">
        <v>1197456</v>
      </c>
      <c r="D16" s="3228">
        <v>1791528</v>
      </c>
      <c r="E16" s="3228">
        <v>1598832</v>
      </c>
      <c r="F16" s="3228">
        <v>1803412</v>
      </c>
      <c r="G16" s="3228">
        <v>1980912</v>
      </c>
      <c r="H16" s="3228">
        <v>1202936</v>
      </c>
      <c r="I16" s="3228">
        <v>2344914</v>
      </c>
      <c r="J16" s="3228">
        <v>2267653</v>
      </c>
      <c r="K16" s="3228">
        <v>990204</v>
      </c>
      <c r="L16" s="3228">
        <v>1958214</v>
      </c>
      <c r="M16" s="3228">
        <v>1309044</v>
      </c>
      <c r="N16" s="3228">
        <v>1376315</v>
      </c>
      <c r="O16" s="3228">
        <v>862629</v>
      </c>
      <c r="P16" s="3228">
        <v>994579</v>
      </c>
      <c r="Q16" s="3228">
        <v>1013232</v>
      </c>
      <c r="R16" s="3228">
        <v>1001027</v>
      </c>
      <c r="S16" s="3228">
        <v>1457454</v>
      </c>
      <c r="T16" s="3228">
        <v>619223</v>
      </c>
      <c r="U16" s="3228">
        <v>1249503</v>
      </c>
      <c r="V16" s="3228">
        <v>852205</v>
      </c>
      <c r="W16" s="3228">
        <v>789860</v>
      </c>
      <c r="X16" s="3228">
        <v>1218942</v>
      </c>
    </row>
    <row r="17" spans="1:24" ht="18.75" customHeight="1">
      <c r="A17" s="3222"/>
      <c r="B17" s="3227">
        <v>5</v>
      </c>
      <c r="C17" s="3228">
        <v>1260740</v>
      </c>
      <c r="D17" s="3228">
        <v>1918110</v>
      </c>
      <c r="E17" s="3228">
        <v>1712664</v>
      </c>
      <c r="F17" s="3228">
        <v>1951147</v>
      </c>
      <c r="G17" s="3228">
        <v>2129952</v>
      </c>
      <c r="H17" s="3228">
        <v>1298813</v>
      </c>
      <c r="I17" s="3228">
        <v>2537379</v>
      </c>
      <c r="J17" s="3228">
        <v>2432317</v>
      </c>
      <c r="K17" s="3228">
        <v>1042535</v>
      </c>
      <c r="L17" s="3228">
        <v>2105546</v>
      </c>
      <c r="M17" s="3228">
        <v>1402244</v>
      </c>
      <c r="N17" s="3228">
        <v>1473560</v>
      </c>
      <c r="O17" s="3228">
        <v>908218</v>
      </c>
      <c r="P17" s="3228">
        <v>1047142</v>
      </c>
      <c r="Q17" s="3228">
        <v>1066780</v>
      </c>
      <c r="R17" s="3228">
        <v>1053930</v>
      </c>
      <c r="S17" s="3228">
        <v>1561220</v>
      </c>
      <c r="T17" s="3228">
        <v>651948</v>
      </c>
      <c r="U17" s="3228">
        <v>1337788</v>
      </c>
      <c r="V17" s="3228">
        <v>912419</v>
      </c>
      <c r="W17" s="3228">
        <v>831603</v>
      </c>
      <c r="X17" s="3228">
        <v>1305067</v>
      </c>
    </row>
    <row r="18" spans="1:24" ht="18.75" customHeight="1">
      <c r="A18" s="3222"/>
      <c r="B18" s="3225">
        <v>5.5</v>
      </c>
      <c r="C18" s="3226">
        <v>1319656</v>
      </c>
      <c r="D18" s="3226">
        <v>2061442</v>
      </c>
      <c r="E18" s="3226">
        <v>1720643</v>
      </c>
      <c r="F18" s="3226">
        <v>1952822</v>
      </c>
      <c r="G18" s="3226">
        <v>2185639</v>
      </c>
      <c r="H18" s="3226">
        <v>1479503</v>
      </c>
      <c r="I18" s="3226">
        <v>2713581</v>
      </c>
      <c r="J18" s="3226">
        <v>2746804</v>
      </c>
      <c r="K18" s="3226">
        <v>1053187</v>
      </c>
      <c r="L18" s="3226">
        <v>2108555</v>
      </c>
      <c r="M18" s="3226">
        <v>1435484</v>
      </c>
      <c r="N18" s="3226">
        <v>1473831</v>
      </c>
      <c r="O18" s="3226">
        <v>911578</v>
      </c>
      <c r="P18" s="3226">
        <v>1047604</v>
      </c>
      <c r="Q18" s="3226">
        <v>1078565</v>
      </c>
      <c r="R18" s="3226">
        <v>1054456</v>
      </c>
      <c r="S18" s="3226">
        <v>1626713</v>
      </c>
      <c r="T18" s="3226">
        <v>656275</v>
      </c>
      <c r="U18" s="3226">
        <v>1338136</v>
      </c>
      <c r="V18" s="3226">
        <v>913039</v>
      </c>
      <c r="W18" s="3226">
        <v>837220</v>
      </c>
      <c r="X18" s="3226">
        <v>1271690</v>
      </c>
    </row>
    <row r="19" spans="1:24" ht="18.75" customHeight="1">
      <c r="A19" s="3222"/>
      <c r="B19" s="3225">
        <v>6</v>
      </c>
      <c r="C19" s="3226">
        <v>1378572</v>
      </c>
      <c r="D19" s="3226">
        <v>2185969</v>
      </c>
      <c r="E19" s="3226">
        <v>1821787</v>
      </c>
      <c r="F19" s="3226">
        <v>2077778</v>
      </c>
      <c r="G19" s="3226">
        <v>2307888</v>
      </c>
      <c r="H19" s="3226">
        <v>1576176</v>
      </c>
      <c r="I19" s="3226">
        <v>2889783</v>
      </c>
      <c r="J19" s="3226">
        <v>2914613</v>
      </c>
      <c r="K19" s="3226">
        <v>1100206</v>
      </c>
      <c r="L19" s="3226">
        <v>2226492</v>
      </c>
      <c r="M19" s="3226">
        <v>1519866</v>
      </c>
      <c r="N19" s="3226">
        <v>1562862</v>
      </c>
      <c r="O19" s="3226">
        <v>952275</v>
      </c>
      <c r="P19" s="3226">
        <v>1094374</v>
      </c>
      <c r="Q19" s="3226">
        <v>1126717</v>
      </c>
      <c r="R19" s="3226">
        <v>1101532</v>
      </c>
      <c r="S19" s="3226">
        <v>1722336</v>
      </c>
      <c r="T19" s="3226">
        <v>685574</v>
      </c>
      <c r="U19" s="3226">
        <v>1418970</v>
      </c>
      <c r="V19" s="3226">
        <v>968193</v>
      </c>
      <c r="W19" s="3226">
        <v>874598</v>
      </c>
      <c r="X19" s="3226">
        <v>1348509</v>
      </c>
    </row>
    <row r="20" spans="1:24" ht="18.75" customHeight="1">
      <c r="A20" s="3222"/>
      <c r="B20" s="3225">
        <v>6.5</v>
      </c>
      <c r="C20" s="3226">
        <v>1437488</v>
      </c>
      <c r="D20" s="3226">
        <v>2310496</v>
      </c>
      <c r="E20" s="3226">
        <v>1922932</v>
      </c>
      <c r="F20" s="3226">
        <v>2202733</v>
      </c>
      <c r="G20" s="3226">
        <v>2430136</v>
      </c>
      <c r="H20" s="3226">
        <v>1672848</v>
      </c>
      <c r="I20" s="3226">
        <v>3065985</v>
      </c>
      <c r="J20" s="3226">
        <v>3082422</v>
      </c>
      <c r="K20" s="3226">
        <v>1147226</v>
      </c>
      <c r="L20" s="3226">
        <v>2344428</v>
      </c>
      <c r="M20" s="3226">
        <v>1604248</v>
      </c>
      <c r="N20" s="3226">
        <v>1651892</v>
      </c>
      <c r="O20" s="3226">
        <v>992972</v>
      </c>
      <c r="P20" s="3226">
        <v>1141144</v>
      </c>
      <c r="Q20" s="3226">
        <v>1174870</v>
      </c>
      <c r="R20" s="3226">
        <v>1148608</v>
      </c>
      <c r="S20" s="3226">
        <v>1817959</v>
      </c>
      <c r="T20" s="3226">
        <v>714874</v>
      </c>
      <c r="U20" s="3226">
        <v>1499804</v>
      </c>
      <c r="V20" s="3226">
        <v>1023348</v>
      </c>
      <c r="W20" s="3226">
        <v>911976</v>
      </c>
      <c r="X20" s="3226">
        <v>1425329</v>
      </c>
    </row>
    <row r="21" spans="1:24" ht="18.75" customHeight="1">
      <c r="A21" s="3222"/>
      <c r="B21" s="3225">
        <v>7</v>
      </c>
      <c r="C21" s="3226">
        <v>1496404</v>
      </c>
      <c r="D21" s="3226">
        <v>2435023</v>
      </c>
      <c r="E21" s="3226">
        <v>2024077</v>
      </c>
      <c r="F21" s="3226">
        <v>2327689</v>
      </c>
      <c r="G21" s="3226">
        <v>2552385</v>
      </c>
      <c r="H21" s="3226">
        <v>1769521</v>
      </c>
      <c r="I21" s="3226">
        <v>3242187</v>
      </c>
      <c r="J21" s="3226">
        <v>3250231</v>
      </c>
      <c r="K21" s="3226">
        <v>1194245</v>
      </c>
      <c r="L21" s="3226">
        <v>2462365</v>
      </c>
      <c r="M21" s="3226">
        <v>1688630</v>
      </c>
      <c r="N21" s="3226">
        <v>1740923</v>
      </c>
      <c r="O21" s="3226">
        <v>1033670</v>
      </c>
      <c r="P21" s="3226">
        <v>1187915</v>
      </c>
      <c r="Q21" s="3226">
        <v>1223022</v>
      </c>
      <c r="R21" s="3226">
        <v>1195684</v>
      </c>
      <c r="S21" s="3226">
        <v>1913582</v>
      </c>
      <c r="T21" s="3226">
        <v>744173</v>
      </c>
      <c r="U21" s="3226">
        <v>1580637</v>
      </c>
      <c r="V21" s="3226">
        <v>1078502</v>
      </c>
      <c r="W21" s="3226">
        <v>949353</v>
      </c>
      <c r="X21" s="3226">
        <v>1502149</v>
      </c>
    </row>
    <row r="22" spans="1:24" ht="18.75" customHeight="1">
      <c r="A22" s="3222"/>
      <c r="B22" s="3225">
        <v>7.5</v>
      </c>
      <c r="C22" s="3226">
        <v>1555320</v>
      </c>
      <c r="D22" s="3226">
        <v>2559550</v>
      </c>
      <c r="E22" s="3226">
        <v>2125221</v>
      </c>
      <c r="F22" s="3226">
        <v>2452645</v>
      </c>
      <c r="G22" s="3226">
        <v>2674633</v>
      </c>
      <c r="H22" s="3226">
        <v>1866194</v>
      </c>
      <c r="I22" s="3226">
        <v>3418389</v>
      </c>
      <c r="J22" s="3226">
        <v>3418039</v>
      </c>
      <c r="K22" s="3226">
        <v>1241265</v>
      </c>
      <c r="L22" s="3226">
        <v>2580302</v>
      </c>
      <c r="M22" s="3226">
        <v>1773012</v>
      </c>
      <c r="N22" s="3226">
        <v>1829954</v>
      </c>
      <c r="O22" s="3226">
        <v>1074367</v>
      </c>
      <c r="P22" s="3226">
        <v>1234685</v>
      </c>
      <c r="Q22" s="3226">
        <v>1271175</v>
      </c>
      <c r="R22" s="3226">
        <v>1242760</v>
      </c>
      <c r="S22" s="3226">
        <v>2009205</v>
      </c>
      <c r="T22" s="3226">
        <v>773473</v>
      </c>
      <c r="U22" s="3226">
        <v>1661471</v>
      </c>
      <c r="V22" s="3226">
        <v>1133657</v>
      </c>
      <c r="W22" s="3226">
        <v>986731</v>
      </c>
      <c r="X22" s="3226">
        <v>1578969</v>
      </c>
    </row>
    <row r="23" spans="1:24" ht="18.75" customHeight="1">
      <c r="A23" s="3222"/>
      <c r="B23" s="3227">
        <v>8</v>
      </c>
      <c r="C23" s="3228">
        <v>1614236</v>
      </c>
      <c r="D23" s="3228">
        <v>2684077</v>
      </c>
      <c r="E23" s="3228">
        <v>2226366</v>
      </c>
      <c r="F23" s="3228">
        <v>2577601</v>
      </c>
      <c r="G23" s="3228">
        <v>2796882</v>
      </c>
      <c r="H23" s="3228">
        <v>1962867</v>
      </c>
      <c r="I23" s="3228">
        <v>3594591</v>
      </c>
      <c r="J23" s="3228">
        <v>3585848</v>
      </c>
      <c r="K23" s="3228">
        <v>1288284</v>
      </c>
      <c r="L23" s="3228">
        <v>2698239</v>
      </c>
      <c r="M23" s="3228">
        <v>1857394</v>
      </c>
      <c r="N23" s="3228">
        <v>1918985</v>
      </c>
      <c r="O23" s="3228">
        <v>1115065</v>
      </c>
      <c r="P23" s="3228">
        <v>1281455</v>
      </c>
      <c r="Q23" s="3228">
        <v>1319327</v>
      </c>
      <c r="R23" s="3228">
        <v>1289837</v>
      </c>
      <c r="S23" s="3228">
        <v>2104829</v>
      </c>
      <c r="T23" s="3228">
        <v>802772</v>
      </c>
      <c r="U23" s="3228">
        <v>1742305</v>
      </c>
      <c r="V23" s="3228">
        <v>1188812</v>
      </c>
      <c r="W23" s="3228">
        <v>1024109</v>
      </c>
      <c r="X23" s="3228">
        <v>1655789</v>
      </c>
    </row>
    <row r="24" spans="1:24" ht="18.75" customHeight="1">
      <c r="A24" s="3222"/>
      <c r="B24" s="3227">
        <v>8.5</v>
      </c>
      <c r="C24" s="3228">
        <v>1673152</v>
      </c>
      <c r="D24" s="3228">
        <v>2808604</v>
      </c>
      <c r="E24" s="3228">
        <v>2327510</v>
      </c>
      <c r="F24" s="3228">
        <v>2702557</v>
      </c>
      <c r="G24" s="3228">
        <v>2919130</v>
      </c>
      <c r="H24" s="3228">
        <v>2059539</v>
      </c>
      <c r="I24" s="3228">
        <v>3770793</v>
      </c>
      <c r="J24" s="3228">
        <v>3753657</v>
      </c>
      <c r="K24" s="3228">
        <v>1335304</v>
      </c>
      <c r="L24" s="3228">
        <v>2816176</v>
      </c>
      <c r="M24" s="3228">
        <v>1941776</v>
      </c>
      <c r="N24" s="3228">
        <v>2008016</v>
      </c>
      <c r="O24" s="3228">
        <v>1155762</v>
      </c>
      <c r="P24" s="3228">
        <v>1328225</v>
      </c>
      <c r="Q24" s="3228">
        <v>1367480</v>
      </c>
      <c r="R24" s="3228">
        <v>1336913</v>
      </c>
      <c r="S24" s="3228">
        <v>2200452</v>
      </c>
      <c r="T24" s="3228">
        <v>832071</v>
      </c>
      <c r="U24" s="3228">
        <v>1823138</v>
      </c>
      <c r="V24" s="3228">
        <v>1243966</v>
      </c>
      <c r="W24" s="3228">
        <v>1061486</v>
      </c>
      <c r="X24" s="3228">
        <v>1732609</v>
      </c>
    </row>
    <row r="25" spans="1:24" ht="18.75" customHeight="1">
      <c r="A25" s="3222"/>
      <c r="B25" s="3227">
        <v>9</v>
      </c>
      <c r="C25" s="3228">
        <v>1732068</v>
      </c>
      <c r="D25" s="3228">
        <v>2933131</v>
      </c>
      <c r="E25" s="3228">
        <v>2428655</v>
      </c>
      <c r="F25" s="3228">
        <v>2827513</v>
      </c>
      <c r="G25" s="3228">
        <v>3041379</v>
      </c>
      <c r="H25" s="3228">
        <v>2156212</v>
      </c>
      <c r="I25" s="3228">
        <v>3946995</v>
      </c>
      <c r="J25" s="3228">
        <v>3921466</v>
      </c>
      <c r="K25" s="3228">
        <v>1382323</v>
      </c>
      <c r="L25" s="3228">
        <v>2934113</v>
      </c>
      <c r="M25" s="3228">
        <v>2026158</v>
      </c>
      <c r="N25" s="3228">
        <v>2097046</v>
      </c>
      <c r="O25" s="3228">
        <v>1196459</v>
      </c>
      <c r="P25" s="3228">
        <v>1374996</v>
      </c>
      <c r="Q25" s="3228">
        <v>1415632</v>
      </c>
      <c r="R25" s="3228">
        <v>1383989</v>
      </c>
      <c r="S25" s="3228">
        <v>2296075</v>
      </c>
      <c r="T25" s="3228">
        <v>861371</v>
      </c>
      <c r="U25" s="3228">
        <v>1903972</v>
      </c>
      <c r="V25" s="3228">
        <v>1299121</v>
      </c>
      <c r="W25" s="3228">
        <v>1098864</v>
      </c>
      <c r="X25" s="3228">
        <v>1809429</v>
      </c>
    </row>
    <row r="26" spans="1:24" ht="18.75" customHeight="1">
      <c r="A26" s="3222"/>
      <c r="B26" s="3227">
        <v>9.5</v>
      </c>
      <c r="C26" s="3228">
        <v>1790984</v>
      </c>
      <c r="D26" s="3228">
        <v>3057658</v>
      </c>
      <c r="E26" s="3228">
        <v>2529800</v>
      </c>
      <c r="F26" s="3228">
        <v>2952469</v>
      </c>
      <c r="G26" s="3228">
        <v>3163627</v>
      </c>
      <c r="H26" s="3228">
        <v>2252885</v>
      </c>
      <c r="I26" s="3228">
        <v>4123197</v>
      </c>
      <c r="J26" s="3228">
        <v>4089274</v>
      </c>
      <c r="K26" s="3228">
        <v>1429343</v>
      </c>
      <c r="L26" s="3228">
        <v>3052050</v>
      </c>
      <c r="M26" s="3228">
        <v>2110540</v>
      </c>
      <c r="N26" s="3228">
        <v>2186077</v>
      </c>
      <c r="O26" s="3228">
        <v>1237157</v>
      </c>
      <c r="P26" s="3228">
        <v>1421766</v>
      </c>
      <c r="Q26" s="3228">
        <v>1463785</v>
      </c>
      <c r="R26" s="3228">
        <v>1431065</v>
      </c>
      <c r="S26" s="3228">
        <v>2391698</v>
      </c>
      <c r="T26" s="3228">
        <v>890670</v>
      </c>
      <c r="U26" s="3228">
        <v>1984806</v>
      </c>
      <c r="V26" s="3228">
        <v>1354275</v>
      </c>
      <c r="W26" s="3228">
        <v>1136242</v>
      </c>
      <c r="X26" s="3228">
        <v>1886248</v>
      </c>
    </row>
    <row r="27" spans="1:24" ht="18.75" customHeight="1">
      <c r="A27" s="3222"/>
      <c r="B27" s="3227">
        <v>10</v>
      </c>
      <c r="C27" s="3228">
        <v>1849900</v>
      </c>
      <c r="D27" s="3228">
        <v>3182185</v>
      </c>
      <c r="E27" s="3228">
        <v>2630944</v>
      </c>
      <c r="F27" s="3228">
        <v>3077425</v>
      </c>
      <c r="G27" s="3228">
        <v>3285876</v>
      </c>
      <c r="H27" s="3228">
        <v>2349557</v>
      </c>
      <c r="I27" s="3228">
        <v>4299399</v>
      </c>
      <c r="J27" s="3228">
        <v>4257083</v>
      </c>
      <c r="K27" s="3228">
        <v>1476362</v>
      </c>
      <c r="L27" s="3228">
        <v>3169987</v>
      </c>
      <c r="M27" s="3228">
        <v>2194922</v>
      </c>
      <c r="N27" s="3228">
        <v>2275108</v>
      </c>
      <c r="O27" s="3228">
        <v>1277854</v>
      </c>
      <c r="P27" s="3228">
        <v>1468536</v>
      </c>
      <c r="Q27" s="3228">
        <v>1511937</v>
      </c>
      <c r="R27" s="3228">
        <v>1478141</v>
      </c>
      <c r="S27" s="3228">
        <v>2487321</v>
      </c>
      <c r="T27" s="3228">
        <v>919969</v>
      </c>
      <c r="U27" s="3228">
        <v>2065640</v>
      </c>
      <c r="V27" s="3228">
        <v>1409430</v>
      </c>
      <c r="W27" s="3228">
        <v>1173619</v>
      </c>
      <c r="X27" s="3228">
        <v>1963068</v>
      </c>
    </row>
    <row r="28" spans="1:24" ht="18.75" customHeight="1">
      <c r="A28" s="3222"/>
      <c r="B28" s="3225">
        <v>10.5</v>
      </c>
      <c r="C28" s="3226">
        <v>1876576</v>
      </c>
      <c r="D28" s="3226">
        <v>3257800</v>
      </c>
      <c r="E28" s="3226">
        <v>3337951</v>
      </c>
      <c r="F28" s="3226">
        <v>3075570</v>
      </c>
      <c r="G28" s="3226">
        <v>3334448</v>
      </c>
      <c r="H28" s="3226">
        <v>2575498</v>
      </c>
      <c r="I28" s="3226">
        <v>4961314</v>
      </c>
      <c r="J28" s="3226">
        <v>4257501</v>
      </c>
      <c r="K28" s="3226">
        <v>1479608</v>
      </c>
      <c r="L28" s="3226">
        <v>3169175</v>
      </c>
      <c r="M28" s="3226">
        <v>2527756</v>
      </c>
      <c r="N28" s="3226">
        <v>2274821</v>
      </c>
      <c r="O28" s="3226">
        <v>1560445</v>
      </c>
      <c r="P28" s="3226">
        <v>1467338</v>
      </c>
      <c r="Q28" s="3226">
        <v>1587872</v>
      </c>
      <c r="R28" s="3226">
        <v>1477082</v>
      </c>
      <c r="S28" s="3226">
        <v>2783158</v>
      </c>
      <c r="T28" s="3226">
        <v>1371344</v>
      </c>
      <c r="U28" s="3226">
        <v>2065570</v>
      </c>
      <c r="V28" s="3226">
        <v>1905813</v>
      </c>
      <c r="W28" s="3226">
        <v>1172860</v>
      </c>
      <c r="X28" s="3226">
        <v>2161425</v>
      </c>
    </row>
    <row r="29" spans="1:24" ht="18.75" customHeight="1">
      <c r="A29" s="3222"/>
      <c r="B29" s="3225">
        <v>11</v>
      </c>
      <c r="C29" s="3226">
        <v>1903252</v>
      </c>
      <c r="D29" s="3226">
        <v>3302520</v>
      </c>
      <c r="E29" s="3226">
        <v>3401552</v>
      </c>
      <c r="F29" s="3226">
        <v>3144809</v>
      </c>
      <c r="G29" s="3226">
        <v>3418352</v>
      </c>
      <c r="H29" s="3226">
        <v>2636197</v>
      </c>
      <c r="I29" s="3226">
        <v>5094071</v>
      </c>
      <c r="J29" s="3226">
        <v>4375647</v>
      </c>
      <c r="K29" s="3226">
        <v>1500641</v>
      </c>
      <c r="L29" s="3226">
        <v>3248921</v>
      </c>
      <c r="M29" s="3226">
        <v>2575919</v>
      </c>
      <c r="N29" s="3226">
        <v>2306048</v>
      </c>
      <c r="O29" s="3226">
        <v>1582627</v>
      </c>
      <c r="P29" s="3226">
        <v>1488197</v>
      </c>
      <c r="Q29" s="3226">
        <v>1610444</v>
      </c>
      <c r="R29" s="3226">
        <v>1498079</v>
      </c>
      <c r="S29" s="3226">
        <v>2836188</v>
      </c>
      <c r="T29" s="3226">
        <v>1390838</v>
      </c>
      <c r="U29" s="3226">
        <v>2093925</v>
      </c>
      <c r="V29" s="3226">
        <v>1931974</v>
      </c>
      <c r="W29" s="3226">
        <v>1189532</v>
      </c>
      <c r="X29" s="3226">
        <v>2191095</v>
      </c>
    </row>
    <row r="30" spans="1:24" ht="18.75" customHeight="1">
      <c r="A30" s="3222"/>
      <c r="B30" s="3225">
        <v>11.5</v>
      </c>
      <c r="C30" s="3226">
        <v>1929928</v>
      </c>
      <c r="D30" s="3226">
        <v>3347240</v>
      </c>
      <c r="E30" s="3226">
        <v>3465153</v>
      </c>
      <c r="F30" s="3226">
        <v>3214048</v>
      </c>
      <c r="G30" s="3226">
        <v>3502256</v>
      </c>
      <c r="H30" s="3226">
        <v>2696896</v>
      </c>
      <c r="I30" s="3226">
        <v>5226829</v>
      </c>
      <c r="J30" s="3226">
        <v>4493793</v>
      </c>
      <c r="K30" s="3226">
        <v>1521674</v>
      </c>
      <c r="L30" s="3226">
        <v>3328666</v>
      </c>
      <c r="M30" s="3226">
        <v>2624083</v>
      </c>
      <c r="N30" s="3226">
        <v>2337275</v>
      </c>
      <c r="O30" s="3226">
        <v>1604809</v>
      </c>
      <c r="P30" s="3226">
        <v>1509055</v>
      </c>
      <c r="Q30" s="3226">
        <v>1633016</v>
      </c>
      <c r="R30" s="3226">
        <v>1519076</v>
      </c>
      <c r="S30" s="3226">
        <v>2889218</v>
      </c>
      <c r="T30" s="3226">
        <v>1410332</v>
      </c>
      <c r="U30" s="3226">
        <v>2122279</v>
      </c>
      <c r="V30" s="3226">
        <v>1958135</v>
      </c>
      <c r="W30" s="3226">
        <v>1206205</v>
      </c>
      <c r="X30" s="3226">
        <v>2220765</v>
      </c>
    </row>
    <row r="31" spans="1:24" ht="18.75" customHeight="1">
      <c r="A31" s="3222"/>
      <c r="B31" s="3225">
        <v>12</v>
      </c>
      <c r="C31" s="3226">
        <v>1956604</v>
      </c>
      <c r="D31" s="3226">
        <v>3391960</v>
      </c>
      <c r="E31" s="3226">
        <v>3528754</v>
      </c>
      <c r="F31" s="3226">
        <v>3283287</v>
      </c>
      <c r="G31" s="3226">
        <v>3586160</v>
      </c>
      <c r="H31" s="3226">
        <v>2757596</v>
      </c>
      <c r="I31" s="3226">
        <v>5359587</v>
      </c>
      <c r="J31" s="3226">
        <v>4611939</v>
      </c>
      <c r="K31" s="3226">
        <v>1542707</v>
      </c>
      <c r="L31" s="3226">
        <v>3408411</v>
      </c>
      <c r="M31" s="3226">
        <v>2672246</v>
      </c>
      <c r="N31" s="3226">
        <v>2368501</v>
      </c>
      <c r="O31" s="3226">
        <v>1626991</v>
      </c>
      <c r="P31" s="3226">
        <v>1529914</v>
      </c>
      <c r="Q31" s="3226">
        <v>1655588</v>
      </c>
      <c r="R31" s="3226">
        <v>1540073</v>
      </c>
      <c r="S31" s="3226">
        <v>2942248</v>
      </c>
      <c r="T31" s="3226">
        <v>1429826</v>
      </c>
      <c r="U31" s="3226">
        <v>2150633</v>
      </c>
      <c r="V31" s="3226">
        <v>1984297</v>
      </c>
      <c r="W31" s="3226">
        <v>1222877</v>
      </c>
      <c r="X31" s="3226">
        <v>2250435</v>
      </c>
    </row>
    <row r="32" spans="1:24" ht="18.75" customHeight="1">
      <c r="A32" s="3222"/>
      <c r="B32" s="3225">
        <v>12.5</v>
      </c>
      <c r="C32" s="3226">
        <v>1983280</v>
      </c>
      <c r="D32" s="3226">
        <v>3436680</v>
      </c>
      <c r="E32" s="3226">
        <v>3592354</v>
      </c>
      <c r="F32" s="3226">
        <v>3352526</v>
      </c>
      <c r="G32" s="3226">
        <v>3670064</v>
      </c>
      <c r="H32" s="3226">
        <v>2818295</v>
      </c>
      <c r="I32" s="3226">
        <v>5492345</v>
      </c>
      <c r="J32" s="3226">
        <v>4730085</v>
      </c>
      <c r="K32" s="3226">
        <v>1563740</v>
      </c>
      <c r="L32" s="3226">
        <v>3488156</v>
      </c>
      <c r="M32" s="3226">
        <v>2720410</v>
      </c>
      <c r="N32" s="3226">
        <v>2399728</v>
      </c>
      <c r="O32" s="3226">
        <v>1649174</v>
      </c>
      <c r="P32" s="3226">
        <v>1550772</v>
      </c>
      <c r="Q32" s="3226">
        <v>1678160</v>
      </c>
      <c r="R32" s="3226">
        <v>1561070</v>
      </c>
      <c r="S32" s="3226">
        <v>2995277</v>
      </c>
      <c r="T32" s="3226">
        <v>1449320</v>
      </c>
      <c r="U32" s="3226">
        <v>2178987</v>
      </c>
      <c r="V32" s="3226">
        <v>2010458</v>
      </c>
      <c r="W32" s="3226">
        <v>1239550</v>
      </c>
      <c r="X32" s="3226">
        <v>2280105</v>
      </c>
    </row>
    <row r="33" spans="1:24" ht="18.75" customHeight="1">
      <c r="A33" s="3222"/>
      <c r="B33" s="3227">
        <v>13</v>
      </c>
      <c r="C33" s="3228">
        <v>2009956</v>
      </c>
      <c r="D33" s="3228">
        <v>3481400</v>
      </c>
      <c r="E33" s="3228">
        <v>3655955</v>
      </c>
      <c r="F33" s="3228">
        <v>3421764</v>
      </c>
      <c r="G33" s="3228">
        <v>3753968</v>
      </c>
      <c r="H33" s="3228">
        <v>2878994</v>
      </c>
      <c r="I33" s="3228">
        <v>5625103</v>
      </c>
      <c r="J33" s="3228">
        <v>4848231</v>
      </c>
      <c r="K33" s="3228">
        <v>1584773</v>
      </c>
      <c r="L33" s="3228">
        <v>3567902</v>
      </c>
      <c r="M33" s="3228">
        <v>2768573</v>
      </c>
      <c r="N33" s="3228">
        <v>2430954</v>
      </c>
      <c r="O33" s="3228">
        <v>1671356</v>
      </c>
      <c r="P33" s="3228">
        <v>1571631</v>
      </c>
      <c r="Q33" s="3228">
        <v>1700732</v>
      </c>
      <c r="R33" s="3228">
        <v>1582067</v>
      </c>
      <c r="S33" s="3228">
        <v>3048307</v>
      </c>
      <c r="T33" s="3228">
        <v>1468814</v>
      </c>
      <c r="U33" s="3228">
        <v>2207341</v>
      </c>
      <c r="V33" s="3228">
        <v>2036619</v>
      </c>
      <c r="W33" s="3228">
        <v>1256222</v>
      </c>
      <c r="X33" s="3228">
        <v>2309775</v>
      </c>
    </row>
    <row r="34" spans="1:24" ht="18.75" customHeight="1">
      <c r="A34" s="3222"/>
      <c r="B34" s="3227">
        <v>13.5</v>
      </c>
      <c r="C34" s="3228">
        <v>2036632</v>
      </c>
      <c r="D34" s="3228">
        <v>3526120</v>
      </c>
      <c r="E34" s="3228">
        <v>3719556</v>
      </c>
      <c r="F34" s="3228">
        <v>3491003</v>
      </c>
      <c r="G34" s="3228">
        <v>3837872</v>
      </c>
      <c r="H34" s="3228">
        <v>2939693</v>
      </c>
      <c r="I34" s="3228">
        <v>5757860</v>
      </c>
      <c r="J34" s="3228">
        <v>4966377</v>
      </c>
      <c r="K34" s="3228">
        <v>1605806</v>
      </c>
      <c r="L34" s="3228">
        <v>3647647</v>
      </c>
      <c r="M34" s="3228">
        <v>2816737</v>
      </c>
      <c r="N34" s="3228">
        <v>2462181</v>
      </c>
      <c r="O34" s="3228">
        <v>1693538</v>
      </c>
      <c r="P34" s="3228">
        <v>1592490</v>
      </c>
      <c r="Q34" s="3228">
        <v>1723304</v>
      </c>
      <c r="R34" s="3228">
        <v>1603064</v>
      </c>
      <c r="S34" s="3228">
        <v>3101337</v>
      </c>
      <c r="T34" s="3228">
        <v>1488308</v>
      </c>
      <c r="U34" s="3228">
        <v>2235696</v>
      </c>
      <c r="V34" s="3228">
        <v>2062780</v>
      </c>
      <c r="W34" s="3228">
        <v>1272895</v>
      </c>
      <c r="X34" s="3228">
        <v>2339445</v>
      </c>
    </row>
    <row r="35" spans="1:24" ht="18.75" customHeight="1">
      <c r="A35" s="3222"/>
      <c r="B35" s="3227">
        <v>14</v>
      </c>
      <c r="C35" s="3228">
        <v>2063308</v>
      </c>
      <c r="D35" s="3228">
        <v>3570840</v>
      </c>
      <c r="E35" s="3228">
        <v>3783157</v>
      </c>
      <c r="F35" s="3228">
        <v>3560242</v>
      </c>
      <c r="G35" s="3228">
        <v>3921776</v>
      </c>
      <c r="H35" s="3228">
        <v>3000392</v>
      </c>
      <c r="I35" s="3228">
        <v>5890618</v>
      </c>
      <c r="J35" s="3228">
        <v>5084522</v>
      </c>
      <c r="K35" s="3228">
        <v>1626839</v>
      </c>
      <c r="L35" s="3228">
        <v>3727392</v>
      </c>
      <c r="M35" s="3228">
        <v>2864900</v>
      </c>
      <c r="N35" s="3228">
        <v>2493408</v>
      </c>
      <c r="O35" s="3228">
        <v>1715720</v>
      </c>
      <c r="P35" s="3228">
        <v>1613348</v>
      </c>
      <c r="Q35" s="3228">
        <v>1745876</v>
      </c>
      <c r="R35" s="3228">
        <v>1624061</v>
      </c>
      <c r="S35" s="3228">
        <v>3154367</v>
      </c>
      <c r="T35" s="3228">
        <v>1507802</v>
      </c>
      <c r="U35" s="3228">
        <v>2264050</v>
      </c>
      <c r="V35" s="3228">
        <v>2088941</v>
      </c>
      <c r="W35" s="3228">
        <v>1289567</v>
      </c>
      <c r="X35" s="3228">
        <v>2369115</v>
      </c>
    </row>
    <row r="36" spans="1:24" ht="18.75" customHeight="1">
      <c r="A36" s="3222"/>
      <c r="B36" s="3227">
        <v>14.5</v>
      </c>
      <c r="C36" s="3228">
        <v>2089984</v>
      </c>
      <c r="D36" s="3228">
        <v>3615560</v>
      </c>
      <c r="E36" s="3228">
        <v>3846758</v>
      </c>
      <c r="F36" s="3228">
        <v>3629481</v>
      </c>
      <c r="G36" s="3228">
        <v>4005680</v>
      </c>
      <c r="H36" s="3228">
        <v>3061092</v>
      </c>
      <c r="I36" s="3228">
        <v>6023376</v>
      </c>
      <c r="J36" s="3228">
        <v>5202668</v>
      </c>
      <c r="K36" s="3228">
        <v>1647872</v>
      </c>
      <c r="L36" s="3228">
        <v>3807138</v>
      </c>
      <c r="M36" s="3228">
        <v>2913064</v>
      </c>
      <c r="N36" s="3228">
        <v>2524634</v>
      </c>
      <c r="O36" s="3228">
        <v>1737902</v>
      </c>
      <c r="P36" s="3228">
        <v>1634207</v>
      </c>
      <c r="Q36" s="3228">
        <v>1768448</v>
      </c>
      <c r="R36" s="3228">
        <v>1645059</v>
      </c>
      <c r="S36" s="3228">
        <v>3207397</v>
      </c>
      <c r="T36" s="3228">
        <v>1527296</v>
      </c>
      <c r="U36" s="3228">
        <v>2292404</v>
      </c>
      <c r="V36" s="3228">
        <v>2115103</v>
      </c>
      <c r="W36" s="3228">
        <v>1306240</v>
      </c>
      <c r="X36" s="3228">
        <v>2398785</v>
      </c>
    </row>
    <row r="37" spans="1:24" ht="18.75" customHeight="1">
      <c r="A37" s="3222"/>
      <c r="B37" s="3227">
        <v>15</v>
      </c>
      <c r="C37" s="3228">
        <v>2116660</v>
      </c>
      <c r="D37" s="3228">
        <v>3660280</v>
      </c>
      <c r="E37" s="3228">
        <v>3910359</v>
      </c>
      <c r="F37" s="3228">
        <v>3698719</v>
      </c>
      <c r="G37" s="3228">
        <v>4089584</v>
      </c>
      <c r="H37" s="3228">
        <v>3121791</v>
      </c>
      <c r="I37" s="3228">
        <v>6156134</v>
      </c>
      <c r="J37" s="3228">
        <v>5320814</v>
      </c>
      <c r="K37" s="3228">
        <v>1668905</v>
      </c>
      <c r="L37" s="3228">
        <v>3886883</v>
      </c>
      <c r="M37" s="3228">
        <v>2961227</v>
      </c>
      <c r="N37" s="3228">
        <v>2555861</v>
      </c>
      <c r="O37" s="3228">
        <v>1760084</v>
      </c>
      <c r="P37" s="3228">
        <v>1655065</v>
      </c>
      <c r="Q37" s="3228">
        <v>1791020</v>
      </c>
      <c r="R37" s="3228">
        <v>1666056</v>
      </c>
      <c r="S37" s="3228">
        <v>3260427</v>
      </c>
      <c r="T37" s="3228">
        <v>1546790</v>
      </c>
      <c r="U37" s="3228">
        <v>2320758</v>
      </c>
      <c r="V37" s="3228">
        <v>2141264</v>
      </c>
      <c r="W37" s="3228">
        <v>1322912</v>
      </c>
      <c r="X37" s="3228">
        <v>2428455</v>
      </c>
    </row>
    <row r="38" spans="1:24" ht="18.75" customHeight="1">
      <c r="A38" s="3222"/>
      <c r="B38" s="3225">
        <v>15.5</v>
      </c>
      <c r="C38" s="3226">
        <v>2143336</v>
      </c>
      <c r="D38" s="3226">
        <v>3705000</v>
      </c>
      <c r="E38" s="3226">
        <v>3973959</v>
      </c>
      <c r="F38" s="3226">
        <v>3767958</v>
      </c>
      <c r="G38" s="3226">
        <v>4173488</v>
      </c>
      <c r="H38" s="3226">
        <v>3182490</v>
      </c>
      <c r="I38" s="3226">
        <v>6288892</v>
      </c>
      <c r="J38" s="3226">
        <v>5438960</v>
      </c>
      <c r="K38" s="3226">
        <v>1689938</v>
      </c>
      <c r="L38" s="3226">
        <v>3966628</v>
      </c>
      <c r="M38" s="3226">
        <v>3009391</v>
      </c>
      <c r="N38" s="3226">
        <v>2587087</v>
      </c>
      <c r="O38" s="3226">
        <v>1782266</v>
      </c>
      <c r="P38" s="3226">
        <v>1675924</v>
      </c>
      <c r="Q38" s="3226">
        <v>1813592</v>
      </c>
      <c r="R38" s="3226">
        <v>1687053</v>
      </c>
      <c r="S38" s="3226">
        <v>3313457</v>
      </c>
      <c r="T38" s="3226">
        <v>1566284</v>
      </c>
      <c r="U38" s="3226">
        <v>2349112</v>
      </c>
      <c r="V38" s="3226">
        <v>2167425</v>
      </c>
      <c r="W38" s="3226">
        <v>1339585</v>
      </c>
      <c r="X38" s="3226">
        <v>2458125</v>
      </c>
    </row>
    <row r="39" spans="1:24" ht="18.75" customHeight="1">
      <c r="A39" s="3222"/>
      <c r="B39" s="3225">
        <v>16</v>
      </c>
      <c r="C39" s="3226">
        <v>2170012</v>
      </c>
      <c r="D39" s="3226">
        <v>3749720</v>
      </c>
      <c r="E39" s="3226">
        <v>4037560</v>
      </c>
      <c r="F39" s="3226">
        <v>3837197</v>
      </c>
      <c r="G39" s="3226">
        <v>4257392</v>
      </c>
      <c r="H39" s="3226">
        <v>3243189</v>
      </c>
      <c r="I39" s="3226">
        <v>6421649</v>
      </c>
      <c r="J39" s="3226">
        <v>5557106</v>
      </c>
      <c r="K39" s="3226">
        <v>1710971</v>
      </c>
      <c r="L39" s="3226">
        <v>4046373</v>
      </c>
      <c r="M39" s="3226">
        <v>3057554</v>
      </c>
      <c r="N39" s="3226">
        <v>2618314</v>
      </c>
      <c r="O39" s="3226">
        <v>1804448</v>
      </c>
      <c r="P39" s="3226">
        <v>1696782</v>
      </c>
      <c r="Q39" s="3226">
        <v>1836164</v>
      </c>
      <c r="R39" s="3226">
        <v>1708050</v>
      </c>
      <c r="S39" s="3226">
        <v>3366487</v>
      </c>
      <c r="T39" s="3226">
        <v>1585778</v>
      </c>
      <c r="U39" s="3226">
        <v>2377467</v>
      </c>
      <c r="V39" s="3226">
        <v>2193586</v>
      </c>
      <c r="W39" s="3226">
        <v>1356257</v>
      </c>
      <c r="X39" s="3226">
        <v>2487795</v>
      </c>
    </row>
    <row r="40" spans="1:24" ht="18.75" customHeight="1">
      <c r="A40" s="3222"/>
      <c r="B40" s="3225">
        <v>16.5</v>
      </c>
      <c r="C40" s="3226">
        <v>2196688</v>
      </c>
      <c r="D40" s="3226">
        <v>3794440</v>
      </c>
      <c r="E40" s="3226">
        <v>4101161</v>
      </c>
      <c r="F40" s="3226">
        <v>3906436</v>
      </c>
      <c r="G40" s="3226">
        <v>4341296</v>
      </c>
      <c r="H40" s="3226">
        <v>3303888</v>
      </c>
      <c r="I40" s="3226">
        <v>6554407</v>
      </c>
      <c r="J40" s="3226">
        <v>5675252</v>
      </c>
      <c r="K40" s="3226">
        <v>1732004</v>
      </c>
      <c r="L40" s="3226">
        <v>4126119</v>
      </c>
      <c r="M40" s="3226">
        <v>3105718</v>
      </c>
      <c r="N40" s="3226">
        <v>2649541</v>
      </c>
      <c r="O40" s="3226">
        <v>1826631</v>
      </c>
      <c r="P40" s="3226">
        <v>1717641</v>
      </c>
      <c r="Q40" s="3226">
        <v>1858736</v>
      </c>
      <c r="R40" s="3226">
        <v>1729047</v>
      </c>
      <c r="S40" s="3226">
        <v>3419517</v>
      </c>
      <c r="T40" s="3226">
        <v>1605272</v>
      </c>
      <c r="U40" s="3226">
        <v>2405821</v>
      </c>
      <c r="V40" s="3226">
        <v>2219747</v>
      </c>
      <c r="W40" s="3226">
        <v>1372930</v>
      </c>
      <c r="X40" s="3226">
        <v>2517465</v>
      </c>
    </row>
    <row r="41" spans="1:24" ht="18.75" customHeight="1">
      <c r="A41" s="3222"/>
      <c r="B41" s="3225">
        <v>17</v>
      </c>
      <c r="C41" s="3226">
        <v>2223364</v>
      </c>
      <c r="D41" s="3226">
        <v>3839160</v>
      </c>
      <c r="E41" s="3226">
        <v>4164762</v>
      </c>
      <c r="F41" s="3226">
        <v>3975675</v>
      </c>
      <c r="G41" s="3226">
        <v>4425200</v>
      </c>
      <c r="H41" s="3226">
        <v>3364588</v>
      </c>
      <c r="I41" s="3226">
        <v>6687165</v>
      </c>
      <c r="J41" s="3226">
        <v>5793398</v>
      </c>
      <c r="K41" s="3226">
        <v>1753037</v>
      </c>
      <c r="L41" s="3226">
        <v>4205864</v>
      </c>
      <c r="M41" s="3226">
        <v>3153881</v>
      </c>
      <c r="N41" s="3226">
        <v>2680767</v>
      </c>
      <c r="O41" s="3226">
        <v>1848813</v>
      </c>
      <c r="P41" s="3226">
        <v>1738500</v>
      </c>
      <c r="Q41" s="3226">
        <v>1881308</v>
      </c>
      <c r="R41" s="3226">
        <v>1750044</v>
      </c>
      <c r="S41" s="3226">
        <v>3472546</v>
      </c>
      <c r="T41" s="3226">
        <v>1624766</v>
      </c>
      <c r="U41" s="3226">
        <v>2434175</v>
      </c>
      <c r="V41" s="3226">
        <v>2245909</v>
      </c>
      <c r="W41" s="3226">
        <v>1389602</v>
      </c>
      <c r="X41" s="3226">
        <v>2547135</v>
      </c>
    </row>
    <row r="42" spans="1:24" ht="18.75" customHeight="1">
      <c r="A42" s="3222"/>
      <c r="B42" s="3225">
        <v>17.5</v>
      </c>
      <c r="C42" s="3226">
        <v>2250040</v>
      </c>
      <c r="D42" s="3226">
        <v>3883880</v>
      </c>
      <c r="E42" s="3226">
        <v>4228363</v>
      </c>
      <c r="F42" s="3226">
        <v>4044913</v>
      </c>
      <c r="G42" s="3226">
        <v>4509104</v>
      </c>
      <c r="H42" s="3226">
        <v>3425287</v>
      </c>
      <c r="I42" s="3226">
        <v>6819923</v>
      </c>
      <c r="J42" s="3226">
        <v>5911544</v>
      </c>
      <c r="K42" s="3226">
        <v>1774070</v>
      </c>
      <c r="L42" s="3226">
        <v>4285609</v>
      </c>
      <c r="M42" s="3226">
        <v>3202045</v>
      </c>
      <c r="N42" s="3226">
        <v>2711994</v>
      </c>
      <c r="O42" s="3226">
        <v>1870995</v>
      </c>
      <c r="P42" s="3226">
        <v>1759358</v>
      </c>
      <c r="Q42" s="3226">
        <v>1903880</v>
      </c>
      <c r="R42" s="3226">
        <v>1771041</v>
      </c>
      <c r="S42" s="3226">
        <v>3525576</v>
      </c>
      <c r="T42" s="3226">
        <v>1644260</v>
      </c>
      <c r="U42" s="3226">
        <v>2462529</v>
      </c>
      <c r="V42" s="3226">
        <v>2272070</v>
      </c>
      <c r="W42" s="3226">
        <v>1406275</v>
      </c>
      <c r="X42" s="3226">
        <v>2576805</v>
      </c>
    </row>
    <row r="43" spans="1:24" ht="18.75" customHeight="1">
      <c r="A43" s="3222"/>
      <c r="B43" s="3227">
        <v>18</v>
      </c>
      <c r="C43" s="3228">
        <v>2276716</v>
      </c>
      <c r="D43" s="3228">
        <v>3928600</v>
      </c>
      <c r="E43" s="3228">
        <v>4291964</v>
      </c>
      <c r="F43" s="3228">
        <v>4114152</v>
      </c>
      <c r="G43" s="3228">
        <v>4593008</v>
      </c>
      <c r="H43" s="3228">
        <v>3485986</v>
      </c>
      <c r="I43" s="3228">
        <v>6952681</v>
      </c>
      <c r="J43" s="3228">
        <v>6029690</v>
      </c>
      <c r="K43" s="3228">
        <v>1795103</v>
      </c>
      <c r="L43" s="3228">
        <v>4365355</v>
      </c>
      <c r="M43" s="3228">
        <v>3250208</v>
      </c>
      <c r="N43" s="3228">
        <v>2743220</v>
      </c>
      <c r="O43" s="3228">
        <v>1893177</v>
      </c>
      <c r="P43" s="3228">
        <v>1780217</v>
      </c>
      <c r="Q43" s="3228">
        <v>1926452</v>
      </c>
      <c r="R43" s="3228">
        <v>1792038</v>
      </c>
      <c r="S43" s="3228">
        <v>3578606</v>
      </c>
      <c r="T43" s="3228">
        <v>1663754</v>
      </c>
      <c r="U43" s="3228">
        <v>2490883</v>
      </c>
      <c r="V43" s="3228">
        <v>2298231</v>
      </c>
      <c r="W43" s="3228">
        <v>1422947</v>
      </c>
      <c r="X43" s="3228">
        <v>2606475</v>
      </c>
    </row>
    <row r="44" spans="1:24" ht="18.75" customHeight="1">
      <c r="A44" s="3222"/>
      <c r="B44" s="3227">
        <v>18.5</v>
      </c>
      <c r="C44" s="3228">
        <v>2303392</v>
      </c>
      <c r="D44" s="3228">
        <v>3973320</v>
      </c>
      <c r="E44" s="3228">
        <v>4355564</v>
      </c>
      <c r="F44" s="3228">
        <v>4183391</v>
      </c>
      <c r="G44" s="3228">
        <v>4676912</v>
      </c>
      <c r="H44" s="3228">
        <v>3546685</v>
      </c>
      <c r="I44" s="3228">
        <v>7085438</v>
      </c>
      <c r="J44" s="3228">
        <v>6147836</v>
      </c>
      <c r="K44" s="3228">
        <v>1816136</v>
      </c>
      <c r="L44" s="3228">
        <v>4445100</v>
      </c>
      <c r="M44" s="3228">
        <v>3298372</v>
      </c>
      <c r="N44" s="3228">
        <v>2774447</v>
      </c>
      <c r="O44" s="3228">
        <v>1915359</v>
      </c>
      <c r="P44" s="3228">
        <v>1801075</v>
      </c>
      <c r="Q44" s="3228">
        <v>1949024</v>
      </c>
      <c r="R44" s="3228">
        <v>1813035</v>
      </c>
      <c r="S44" s="3228">
        <v>3631636</v>
      </c>
      <c r="T44" s="3228">
        <v>1683248</v>
      </c>
      <c r="U44" s="3228">
        <v>2519238</v>
      </c>
      <c r="V44" s="3228">
        <v>2324392</v>
      </c>
      <c r="W44" s="3228">
        <v>1439620</v>
      </c>
      <c r="X44" s="3228">
        <v>2636145</v>
      </c>
    </row>
    <row r="45" spans="1:24" ht="18.75" customHeight="1">
      <c r="A45" s="3222"/>
      <c r="B45" s="3227">
        <v>19</v>
      </c>
      <c r="C45" s="3228">
        <v>2311764</v>
      </c>
      <c r="D45" s="3228">
        <v>4018040</v>
      </c>
      <c r="E45" s="3228">
        <v>4419165</v>
      </c>
      <c r="F45" s="3228">
        <v>4227612</v>
      </c>
      <c r="G45" s="3228">
        <v>4760816</v>
      </c>
      <c r="H45" s="3228">
        <v>3607384</v>
      </c>
      <c r="I45" s="3228">
        <v>7218196</v>
      </c>
      <c r="J45" s="3228">
        <v>6265981</v>
      </c>
      <c r="K45" s="3228">
        <v>1822737</v>
      </c>
      <c r="L45" s="3228">
        <v>4524845</v>
      </c>
      <c r="M45" s="3228">
        <v>3346535</v>
      </c>
      <c r="N45" s="3228">
        <v>2805674</v>
      </c>
      <c r="O45" s="3228">
        <v>1922321</v>
      </c>
      <c r="P45" s="3228">
        <v>1807622</v>
      </c>
      <c r="Q45" s="3228">
        <v>1956108</v>
      </c>
      <c r="R45" s="3228">
        <v>1819625</v>
      </c>
      <c r="S45" s="3228">
        <v>3684666</v>
      </c>
      <c r="T45" s="3228">
        <v>1689366</v>
      </c>
      <c r="U45" s="3228">
        <v>2547592</v>
      </c>
      <c r="V45" s="3228">
        <v>2350553</v>
      </c>
      <c r="W45" s="3228">
        <v>1444852</v>
      </c>
      <c r="X45" s="3228">
        <v>2665815</v>
      </c>
    </row>
    <row r="46" spans="1:24" ht="18.75" customHeight="1">
      <c r="A46" s="3222"/>
      <c r="B46" s="3227">
        <v>19.5</v>
      </c>
      <c r="C46" s="3228">
        <v>2311764</v>
      </c>
      <c r="D46" s="3228">
        <v>4031664</v>
      </c>
      <c r="E46" s="3228">
        <v>4482766</v>
      </c>
      <c r="F46" s="3228">
        <v>4227612</v>
      </c>
      <c r="G46" s="3228">
        <v>4817442</v>
      </c>
      <c r="H46" s="3228">
        <v>3658233</v>
      </c>
      <c r="I46" s="3228">
        <v>7288495</v>
      </c>
      <c r="J46" s="3228">
        <v>6384127</v>
      </c>
      <c r="K46" s="3228">
        <v>1822737</v>
      </c>
      <c r="L46" s="3228">
        <v>4578664</v>
      </c>
      <c r="M46" s="3228">
        <v>3394699</v>
      </c>
      <c r="N46" s="3228">
        <v>2815187</v>
      </c>
      <c r="O46" s="3228">
        <v>1922321</v>
      </c>
      <c r="P46" s="3228">
        <v>1807622</v>
      </c>
      <c r="Q46" s="3228">
        <v>1956108</v>
      </c>
      <c r="R46" s="3228">
        <v>1819625</v>
      </c>
      <c r="S46" s="3228">
        <v>3737696</v>
      </c>
      <c r="T46" s="3228">
        <v>1689366</v>
      </c>
      <c r="U46" s="3228">
        <v>2556230</v>
      </c>
      <c r="V46" s="3228">
        <v>2358523</v>
      </c>
      <c r="W46" s="3228">
        <v>1444852</v>
      </c>
      <c r="X46" s="3228">
        <v>2674854</v>
      </c>
    </row>
    <row r="47" spans="1:24" ht="18.75" customHeight="1">
      <c r="A47" s="3222"/>
      <c r="B47" s="3227">
        <v>20</v>
      </c>
      <c r="C47" s="3228">
        <v>2311764</v>
      </c>
      <c r="D47" s="3228">
        <v>4031664</v>
      </c>
      <c r="E47" s="3228">
        <v>4546367</v>
      </c>
      <c r="F47" s="3228">
        <v>4227612</v>
      </c>
      <c r="G47" s="3228">
        <v>4817442</v>
      </c>
      <c r="H47" s="3228">
        <v>3658233</v>
      </c>
      <c r="I47" s="3228">
        <v>7288495</v>
      </c>
      <c r="J47" s="3228">
        <v>6463289</v>
      </c>
      <c r="K47" s="3228">
        <v>1822737</v>
      </c>
      <c r="L47" s="3228">
        <v>4578664</v>
      </c>
      <c r="M47" s="3228">
        <v>3442862</v>
      </c>
      <c r="N47" s="3228">
        <v>2815187</v>
      </c>
      <c r="O47" s="3228">
        <v>1922321</v>
      </c>
      <c r="P47" s="3228">
        <v>1807622</v>
      </c>
      <c r="Q47" s="3228">
        <v>1956108</v>
      </c>
      <c r="R47" s="3228">
        <v>1819625</v>
      </c>
      <c r="S47" s="3228">
        <v>3790726</v>
      </c>
      <c r="T47" s="3228">
        <v>1689366</v>
      </c>
      <c r="U47" s="3228">
        <v>2556230</v>
      </c>
      <c r="V47" s="3228">
        <v>2358523</v>
      </c>
      <c r="W47" s="3228">
        <v>1444852</v>
      </c>
      <c r="X47" s="3228">
        <v>2674854</v>
      </c>
    </row>
    <row r="48" spans="1:24" ht="18.75" customHeight="1">
      <c r="A48" s="3222"/>
      <c r="B48" s="3230">
        <v>20.5</v>
      </c>
      <c r="C48" s="3231">
        <v>2311764</v>
      </c>
      <c r="D48" s="3231">
        <v>4031664</v>
      </c>
      <c r="E48" s="3231">
        <v>4609968</v>
      </c>
      <c r="F48" s="3231">
        <v>4227612</v>
      </c>
      <c r="G48" s="3231">
        <v>4817442</v>
      </c>
      <c r="H48" s="3231">
        <v>3658233</v>
      </c>
      <c r="I48" s="3231">
        <v>7288495</v>
      </c>
      <c r="J48" s="3231">
        <v>6463289</v>
      </c>
      <c r="K48" s="3231">
        <v>1822737</v>
      </c>
      <c r="L48" s="3231">
        <v>4578664</v>
      </c>
      <c r="M48" s="3231">
        <v>3491026</v>
      </c>
      <c r="N48" s="3231">
        <v>2815187</v>
      </c>
      <c r="O48" s="3231">
        <v>1922321</v>
      </c>
      <c r="P48" s="3231">
        <v>1807622</v>
      </c>
      <c r="Q48" s="3231">
        <v>1956108</v>
      </c>
      <c r="R48" s="3231">
        <v>1819625</v>
      </c>
      <c r="S48" s="3231">
        <v>3843756</v>
      </c>
      <c r="T48" s="3231">
        <v>1689366</v>
      </c>
      <c r="U48" s="3231">
        <v>2556230</v>
      </c>
      <c r="V48" s="3231">
        <v>2358523</v>
      </c>
      <c r="W48" s="3231">
        <v>1444852</v>
      </c>
      <c r="X48" s="3231">
        <v>2674854</v>
      </c>
    </row>
    <row r="49" spans="1:24" ht="18.75" customHeight="1">
      <c r="A49" s="3211"/>
      <c r="B49" s="3211"/>
      <c r="C49" s="3211"/>
      <c r="D49" s="3211"/>
      <c r="E49" s="3211"/>
      <c r="F49" s="3211"/>
      <c r="G49" s="3211"/>
      <c r="H49" s="3211"/>
      <c r="I49" s="3211"/>
      <c r="J49" s="3211"/>
      <c r="K49" s="3211"/>
      <c r="L49" s="3211"/>
      <c r="M49" s="3211"/>
      <c r="N49" s="3211"/>
      <c r="O49" s="3211"/>
      <c r="P49" s="3211"/>
      <c r="Q49" s="3211"/>
      <c r="R49" s="3211"/>
      <c r="S49" s="3211"/>
      <c r="T49" s="3211"/>
      <c r="U49" s="3211"/>
      <c r="V49" s="3211"/>
      <c r="W49" s="3211"/>
      <c r="X49" s="3211"/>
    </row>
    <row r="50" spans="1:24" ht="18.75" customHeight="1">
      <c r="A50" s="3232"/>
      <c r="B50" s="3233" t="s">
        <v>260</v>
      </c>
      <c r="C50" s="3213" t="s">
        <v>3368</v>
      </c>
      <c r="D50" s="3214"/>
      <c r="E50" s="3214"/>
      <c r="F50" s="3214"/>
      <c r="G50" s="3214"/>
      <c r="H50" s="3214"/>
      <c r="I50" s="3214"/>
      <c r="J50" s="3214"/>
      <c r="K50" s="3214"/>
      <c r="L50" s="3214"/>
      <c r="M50" s="3214"/>
      <c r="N50" s="3214"/>
      <c r="O50" s="3214"/>
      <c r="P50" s="3214"/>
      <c r="Q50" s="3214"/>
      <c r="R50" s="3214"/>
      <c r="S50" s="3214"/>
      <c r="T50" s="3214"/>
      <c r="U50" s="3214"/>
      <c r="V50" s="3214"/>
      <c r="W50" s="3214"/>
      <c r="X50" s="3215"/>
    </row>
    <row r="51" spans="1:24" ht="18.75" customHeight="1">
      <c r="A51" s="3232"/>
      <c r="B51" s="3232" t="s">
        <v>105</v>
      </c>
      <c r="C51" s="3218" t="s">
        <v>2356</v>
      </c>
      <c r="D51" s="3218" t="s">
        <v>2357</v>
      </c>
      <c r="E51" s="3218" t="s">
        <v>2358</v>
      </c>
      <c r="F51" s="3218" t="s">
        <v>38</v>
      </c>
      <c r="G51" s="3218" t="s">
        <v>2359</v>
      </c>
      <c r="H51" s="3218" t="s">
        <v>2360</v>
      </c>
      <c r="I51" s="3218" t="s">
        <v>2361</v>
      </c>
      <c r="J51" s="3218" t="s">
        <v>291</v>
      </c>
      <c r="K51" s="3217" t="s">
        <v>86</v>
      </c>
      <c r="L51" s="3218" t="s">
        <v>2362</v>
      </c>
      <c r="M51" s="3218" t="s">
        <v>2363</v>
      </c>
      <c r="N51" s="3217" t="s">
        <v>2364</v>
      </c>
      <c r="O51" s="3217" t="s">
        <v>2365</v>
      </c>
      <c r="P51" s="3218" t="s">
        <v>2366</v>
      </c>
      <c r="Q51" s="3218" t="s">
        <v>2367</v>
      </c>
      <c r="R51" s="3217" t="s">
        <v>433</v>
      </c>
      <c r="S51" s="3218" t="s">
        <v>2368</v>
      </c>
      <c r="T51" s="3218" t="s">
        <v>2369</v>
      </c>
      <c r="U51" s="3217" t="s">
        <v>7</v>
      </c>
      <c r="V51" s="3217" t="s">
        <v>8</v>
      </c>
      <c r="W51" s="3234" t="s">
        <v>103</v>
      </c>
      <c r="X51" s="3234" t="s">
        <v>2370</v>
      </c>
    </row>
    <row r="52" spans="1:24" ht="18.75" customHeight="1">
      <c r="A52" s="3235"/>
      <c r="B52" s="3236" t="s">
        <v>2372</v>
      </c>
      <c r="C52" s="3224">
        <v>105850</v>
      </c>
      <c r="D52" s="3224">
        <v>191984</v>
      </c>
      <c r="E52" s="3224">
        <v>242892</v>
      </c>
      <c r="F52" s="3224">
        <v>207553</v>
      </c>
      <c r="G52" s="3224">
        <v>229402</v>
      </c>
      <c r="H52" s="3224">
        <v>169325</v>
      </c>
      <c r="I52" s="3224">
        <v>307847</v>
      </c>
      <c r="J52" s="3224">
        <v>252364</v>
      </c>
      <c r="K52" s="3226">
        <v>82563</v>
      </c>
      <c r="L52" s="3224">
        <v>229402</v>
      </c>
      <c r="M52" s="3224">
        <v>170519</v>
      </c>
      <c r="N52" s="3224">
        <v>132912</v>
      </c>
      <c r="O52" s="3224">
        <v>95265</v>
      </c>
      <c r="P52" s="3224">
        <v>103733</v>
      </c>
      <c r="Q52" s="3224">
        <v>91031</v>
      </c>
      <c r="R52" s="3224">
        <v>93571</v>
      </c>
      <c r="S52" s="3224">
        <v>168360</v>
      </c>
      <c r="T52" s="3224">
        <v>80446</v>
      </c>
      <c r="U52" s="3224">
        <v>125528</v>
      </c>
      <c r="V52" s="3224">
        <v>125528</v>
      </c>
      <c r="W52" s="3226">
        <v>91730</v>
      </c>
      <c r="X52" s="3226">
        <v>132912</v>
      </c>
    </row>
    <row r="53" spans="1:24" ht="18.75" customHeight="1">
      <c r="A53" s="3237"/>
      <c r="B53" s="3238" t="s">
        <v>2373</v>
      </c>
      <c r="C53" s="3226">
        <v>94276</v>
      </c>
      <c r="D53" s="3226">
        <v>170716</v>
      </c>
      <c r="E53" s="3226">
        <v>215875</v>
      </c>
      <c r="F53" s="3226">
        <v>186849</v>
      </c>
      <c r="G53" s="3226">
        <v>210910</v>
      </c>
      <c r="H53" s="3226">
        <v>148050</v>
      </c>
      <c r="I53" s="3226">
        <v>297562</v>
      </c>
      <c r="J53" s="3226">
        <v>250122</v>
      </c>
      <c r="K53" s="3226">
        <v>77959</v>
      </c>
      <c r="L53" s="3226">
        <v>210910</v>
      </c>
      <c r="M53" s="3226">
        <v>149150</v>
      </c>
      <c r="N53" s="3226">
        <v>131320</v>
      </c>
      <c r="O53" s="3226">
        <v>88837</v>
      </c>
      <c r="P53" s="3226">
        <v>87024</v>
      </c>
      <c r="Q53" s="3226">
        <v>81585</v>
      </c>
      <c r="R53" s="3226">
        <v>92100</v>
      </c>
      <c r="S53" s="3226">
        <v>165282</v>
      </c>
      <c r="T53" s="3226">
        <v>76146</v>
      </c>
      <c r="U53" s="3226">
        <v>121471</v>
      </c>
      <c r="V53" s="3226">
        <v>121471</v>
      </c>
      <c r="W53" s="3226">
        <v>88837</v>
      </c>
      <c r="X53" s="3226">
        <v>128037</v>
      </c>
    </row>
    <row r="54" spans="1:24" ht="18.75" customHeight="1">
      <c r="A54" s="3237"/>
      <c r="B54" s="3238" t="s">
        <v>2374</v>
      </c>
      <c r="C54" s="3226">
        <v>89600</v>
      </c>
      <c r="D54" s="3226">
        <v>168896</v>
      </c>
      <c r="E54" s="3226">
        <v>209495</v>
      </c>
      <c r="F54" s="3226">
        <v>156618</v>
      </c>
      <c r="G54" s="3226">
        <v>208564</v>
      </c>
      <c r="H54" s="3226">
        <v>140136</v>
      </c>
      <c r="I54" s="3226">
        <v>266076</v>
      </c>
      <c r="J54" s="3226">
        <v>242253</v>
      </c>
      <c r="K54" s="3226">
        <v>75264</v>
      </c>
      <c r="L54" s="3226">
        <v>208564</v>
      </c>
      <c r="M54" s="3226">
        <v>144742</v>
      </c>
      <c r="N54" s="3226">
        <v>124918</v>
      </c>
      <c r="O54" s="3226">
        <v>82432</v>
      </c>
      <c r="P54" s="3226">
        <v>80640</v>
      </c>
      <c r="Q54" s="3226">
        <v>78848</v>
      </c>
      <c r="R54" s="3226">
        <v>87539</v>
      </c>
      <c r="S54" s="3226">
        <v>156436</v>
      </c>
      <c r="T54" s="3226">
        <v>73472</v>
      </c>
      <c r="U54" s="3226">
        <v>120176</v>
      </c>
      <c r="V54" s="3226">
        <v>116928</v>
      </c>
      <c r="W54" s="3226">
        <v>79099</v>
      </c>
      <c r="X54" s="3226">
        <v>119461</v>
      </c>
    </row>
    <row r="55" spans="1:24" ht="18.75" customHeight="1">
      <c r="A55" s="3237"/>
      <c r="B55" s="3238" t="s">
        <v>2375</v>
      </c>
      <c r="C55" s="3226">
        <v>82416</v>
      </c>
      <c r="D55" s="3226">
        <v>162200</v>
      </c>
      <c r="E55" s="3226">
        <v>204714</v>
      </c>
      <c r="F55" s="3226">
        <v>156843</v>
      </c>
      <c r="G55" s="3226">
        <v>204030</v>
      </c>
      <c r="H55" s="3226">
        <v>137016</v>
      </c>
      <c r="I55" s="3226">
        <v>265418</v>
      </c>
      <c r="J55" s="3226">
        <v>241897</v>
      </c>
      <c r="K55" s="3226">
        <v>63529</v>
      </c>
      <c r="L55" s="3226">
        <v>204030</v>
      </c>
      <c r="M55" s="3226">
        <v>140267</v>
      </c>
      <c r="N55" s="3226">
        <v>115551</v>
      </c>
      <c r="O55" s="3226">
        <v>75548</v>
      </c>
      <c r="P55" s="3226">
        <v>75548</v>
      </c>
      <c r="Q55" s="3226">
        <v>72114</v>
      </c>
      <c r="R55" s="3226">
        <v>84133</v>
      </c>
      <c r="S55" s="3226">
        <v>154256</v>
      </c>
      <c r="T55" s="3226">
        <v>65246</v>
      </c>
      <c r="U55" s="3226">
        <v>107052</v>
      </c>
      <c r="V55" s="3226">
        <v>100564</v>
      </c>
      <c r="W55" s="3226">
        <v>77265</v>
      </c>
      <c r="X55" s="3226">
        <v>103808</v>
      </c>
    </row>
    <row r="56" spans="1:24" ht="18.75" customHeight="1">
      <c r="A56" s="3237"/>
      <c r="B56" s="3238" t="s">
        <v>2376</v>
      </c>
      <c r="C56" s="3226">
        <v>82176</v>
      </c>
      <c r="D56" s="3226">
        <v>158466</v>
      </c>
      <c r="E56" s="3226">
        <v>197054</v>
      </c>
      <c r="F56" s="3226">
        <v>155800</v>
      </c>
      <c r="G56" s="3226">
        <v>199188</v>
      </c>
      <c r="H56" s="3226">
        <v>136560</v>
      </c>
      <c r="I56" s="3226">
        <v>261573</v>
      </c>
      <c r="J56" s="3226">
        <v>240194</v>
      </c>
      <c r="K56" s="3226">
        <v>59920</v>
      </c>
      <c r="L56" s="3226">
        <v>199188</v>
      </c>
      <c r="M56" s="3226">
        <v>130130</v>
      </c>
      <c r="N56" s="3226">
        <v>109956</v>
      </c>
      <c r="O56" s="3226">
        <v>70192</v>
      </c>
      <c r="P56" s="3226">
        <v>73616</v>
      </c>
      <c r="Q56" s="3226">
        <v>71904</v>
      </c>
      <c r="R56" s="3226">
        <v>83888</v>
      </c>
      <c r="S56" s="3226">
        <v>152921</v>
      </c>
      <c r="T56" s="3226">
        <v>59920</v>
      </c>
      <c r="U56" s="3226">
        <v>103488</v>
      </c>
      <c r="V56" s="3226">
        <v>97020</v>
      </c>
      <c r="W56" s="3226">
        <v>77040</v>
      </c>
      <c r="X56" s="3226">
        <v>93786</v>
      </c>
    </row>
    <row r="57" spans="1:24" ht="18.75" customHeight="1">
      <c r="A57" s="3237"/>
      <c r="B57" s="3238" t="s">
        <v>2377</v>
      </c>
      <c r="C57" s="3226">
        <v>81389</v>
      </c>
      <c r="D57" s="3226">
        <v>158172</v>
      </c>
      <c r="E57" s="3226">
        <v>196842</v>
      </c>
      <c r="F57" s="3226">
        <v>155855</v>
      </c>
      <c r="G57" s="3226">
        <v>196548</v>
      </c>
      <c r="H57" s="3226">
        <v>136320</v>
      </c>
      <c r="I57" s="3226">
        <v>261075</v>
      </c>
      <c r="J57" s="3226">
        <v>234932</v>
      </c>
      <c r="K57" s="3226">
        <v>58135</v>
      </c>
      <c r="L57" s="3226">
        <v>196548</v>
      </c>
      <c r="M57" s="3226">
        <v>129990</v>
      </c>
      <c r="N57" s="3226">
        <v>100068</v>
      </c>
      <c r="O57" s="3226">
        <v>68101</v>
      </c>
      <c r="P57" s="3226">
        <v>66440</v>
      </c>
      <c r="Q57" s="3226">
        <v>69762</v>
      </c>
      <c r="R57" s="3226">
        <v>77187</v>
      </c>
      <c r="S57" s="3226">
        <v>145737</v>
      </c>
      <c r="T57" s="3226">
        <v>58135</v>
      </c>
      <c r="U57" s="3226">
        <v>96840</v>
      </c>
      <c r="V57" s="3226">
        <v>93612</v>
      </c>
      <c r="W57" s="3226">
        <v>74745</v>
      </c>
      <c r="X57" s="3226">
        <v>87156</v>
      </c>
    </row>
    <row r="58" spans="1:24" ht="18.75" customHeight="1">
      <c r="A58" s="3237"/>
      <c r="B58" s="3238" t="s">
        <v>2378</v>
      </c>
      <c r="C58" s="3226">
        <v>81389</v>
      </c>
      <c r="D58" s="3226">
        <v>158172</v>
      </c>
      <c r="E58" s="3226">
        <v>196789</v>
      </c>
      <c r="F58" s="3226">
        <v>155709</v>
      </c>
      <c r="G58" s="3226">
        <v>192081</v>
      </c>
      <c r="H58" s="3226">
        <v>136200</v>
      </c>
      <c r="I58" s="3226">
        <v>260826</v>
      </c>
      <c r="J58" s="3226">
        <v>234062</v>
      </c>
      <c r="K58" s="3226">
        <v>56474</v>
      </c>
      <c r="L58" s="3226">
        <v>192081</v>
      </c>
      <c r="M58" s="3226">
        <v>129955</v>
      </c>
      <c r="N58" s="3226">
        <v>93612</v>
      </c>
      <c r="O58" s="3226">
        <v>68101</v>
      </c>
      <c r="P58" s="3226">
        <v>66440</v>
      </c>
      <c r="Q58" s="3226">
        <v>69762</v>
      </c>
      <c r="R58" s="3226">
        <v>77153</v>
      </c>
      <c r="S58" s="3226">
        <v>145735</v>
      </c>
      <c r="T58" s="3226">
        <v>56474</v>
      </c>
      <c r="U58" s="3226">
        <v>87156</v>
      </c>
      <c r="V58" s="3226">
        <v>90384</v>
      </c>
      <c r="W58" s="3226">
        <v>74745</v>
      </c>
      <c r="X58" s="3226">
        <v>83928</v>
      </c>
    </row>
    <row r="59" spans="1:24" ht="18.75" customHeight="1">
      <c r="A59" s="3239"/>
      <c r="B59" s="3240" t="s">
        <v>2379</v>
      </c>
      <c r="C59" s="3231">
        <v>166100</v>
      </c>
      <c r="D59" s="3231">
        <v>322800</v>
      </c>
      <c r="E59" s="3231">
        <v>371300</v>
      </c>
      <c r="F59" s="3231">
        <v>426600</v>
      </c>
      <c r="G59" s="3231">
        <v>446700</v>
      </c>
      <c r="H59" s="3231">
        <v>567500</v>
      </c>
      <c r="I59" s="3231">
        <v>628800</v>
      </c>
      <c r="J59" s="3231">
        <v>703100</v>
      </c>
      <c r="K59" s="3226">
        <v>166100</v>
      </c>
      <c r="L59" s="3231">
        <v>446700</v>
      </c>
      <c r="M59" s="3231">
        <v>371300</v>
      </c>
      <c r="N59" s="3231">
        <v>322800</v>
      </c>
      <c r="O59" s="3231">
        <v>166100</v>
      </c>
      <c r="P59" s="3231">
        <v>166100</v>
      </c>
      <c r="Q59" s="3231">
        <v>166100</v>
      </c>
      <c r="R59" s="3231">
        <v>166100</v>
      </c>
      <c r="S59" s="3231">
        <v>371300</v>
      </c>
      <c r="T59" s="3231">
        <v>166100</v>
      </c>
      <c r="U59" s="3231">
        <v>322800</v>
      </c>
      <c r="V59" s="3231">
        <v>322800</v>
      </c>
      <c r="W59" s="3231">
        <v>166100</v>
      </c>
      <c r="X59" s="3231">
        <v>322800</v>
      </c>
    </row>
    <row r="60" spans="1:24">
      <c r="A60" s="3241"/>
      <c r="B60" s="1571"/>
      <c r="C60" s="1571"/>
      <c r="D60" s="1571"/>
      <c r="E60" s="1571"/>
      <c r="F60" s="1571"/>
      <c r="G60" s="1571"/>
      <c r="H60" s="1571"/>
      <c r="I60" s="1571"/>
      <c r="J60" s="1571"/>
      <c r="K60" s="1571"/>
    </row>
    <row r="61" spans="1:24">
      <c r="A61" s="3241"/>
      <c r="B61" s="1571"/>
      <c r="C61" s="1571"/>
      <c r="D61" s="1571"/>
      <c r="E61" s="1571"/>
      <c r="F61" s="1571"/>
      <c r="G61" s="1571"/>
      <c r="H61" s="1571"/>
      <c r="I61" s="1571"/>
      <c r="J61" s="1571"/>
      <c r="K61" s="1571"/>
    </row>
    <row r="62" spans="1:24">
      <c r="B62" s="136"/>
    </row>
    <row r="63" spans="1:24">
      <c r="B63" s="1371" t="s">
        <v>675</v>
      </c>
      <c r="C63" s="1371"/>
      <c r="D63" s="2487">
        <v>0.28499999999999998</v>
      </c>
      <c r="F63" s="3242" t="s">
        <v>2380</v>
      </c>
    </row>
    <row r="64" spans="1:24">
      <c r="B64" s="1371" t="s">
        <v>156</v>
      </c>
      <c r="C64" s="1371"/>
      <c r="D64" s="2488">
        <v>0.1</v>
      </c>
    </row>
    <row r="65" spans="1:5">
      <c r="B65" s="1371" t="s">
        <v>2381</v>
      </c>
      <c r="C65" s="1371"/>
      <c r="D65" s="2489">
        <v>23000</v>
      </c>
      <c r="E65" s="28" t="s">
        <v>2382</v>
      </c>
    </row>
    <row r="66" spans="1:5">
      <c r="A66" s="136"/>
      <c r="B66" s="136"/>
    </row>
    <row r="67" spans="1:5">
      <c r="A67" s="136"/>
    </row>
    <row r="68" spans="1:5">
      <c r="A68" s="136"/>
    </row>
    <row r="69" spans="1:5">
      <c r="A69" s="136"/>
    </row>
    <row r="70" spans="1:5">
      <c r="A70" s="136"/>
    </row>
    <row r="71" spans="1:5">
      <c r="A71" s="136"/>
    </row>
    <row r="72" spans="1:5">
      <c r="A72" s="136"/>
    </row>
    <row r="73" spans="1:5">
      <c r="A73" s="136"/>
    </row>
    <row r="74" spans="1:5">
      <c r="A74" s="136"/>
    </row>
    <row r="75" spans="1:5">
      <c r="A75" s="136"/>
    </row>
    <row r="76" spans="1:5">
      <c r="A76" s="136"/>
    </row>
    <row r="77" spans="1:5">
      <c r="A77" s="136"/>
    </row>
    <row r="78" spans="1:5">
      <c r="A78" s="136"/>
    </row>
    <row r="79" spans="1:5">
      <c r="A79" s="136"/>
    </row>
    <row r="80" spans="1:5">
      <c r="A80" s="136"/>
    </row>
    <row r="81" spans="1:1">
      <c r="A81" s="136"/>
    </row>
    <row r="82" spans="1:1">
      <c r="A82" s="136"/>
    </row>
    <row r="83" spans="1:1">
      <c r="A83" s="136"/>
    </row>
    <row r="84" spans="1:1">
      <c r="A84" s="136"/>
    </row>
    <row r="85" spans="1:1">
      <c r="A85" s="136"/>
    </row>
    <row r="86" spans="1:1">
      <c r="A86" s="136"/>
    </row>
    <row r="87" spans="1:1">
      <c r="A87" s="136"/>
    </row>
    <row r="88" spans="1:1">
      <c r="A88" s="136"/>
    </row>
    <row r="89" spans="1:1">
      <c r="A89" s="136"/>
    </row>
    <row r="90" spans="1:1">
      <c r="A90" s="136"/>
    </row>
  </sheetData>
  <protectedRanges>
    <protectedRange sqref="A1:K3" name="Range1"/>
  </protectedRanges>
  <hyperlinks>
    <hyperlink ref="F63" r:id="rId1" xr:uid="{00000000-0004-0000-1E00-000000000000}"/>
  </hyperlinks>
  <pageMargins left="0.75" right="0.75" top="1" bottom="1" header="0.5" footer="0.5"/>
  <pageSetup orientation="portrait" r:id="rId2"/>
  <headerFooter alignWithMargins="0"/>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dimension ref="B1:AU244"/>
  <sheetViews>
    <sheetView showGridLines="0" zoomScale="85" zoomScaleNormal="85" workbookViewId="0">
      <selection activeCell="K230" sqref="K230"/>
    </sheetView>
  </sheetViews>
  <sheetFormatPr defaultColWidth="5.7109375" defaultRowHeight="12.75" outlineLevelRow="1" outlineLevelCol="1"/>
  <cols>
    <col min="1" max="1" width="1.7109375" style="137" customWidth="1"/>
    <col min="2" max="3" width="11.42578125" style="137" hidden="1" customWidth="1" outlineLevel="1"/>
    <col min="4" max="5" width="9.28515625" style="137" hidden="1" customWidth="1" outlineLevel="1"/>
    <col min="6" max="6" width="9.85546875" style="137" hidden="1" customWidth="1" outlineLevel="1"/>
    <col min="7" max="7" width="11" style="137" customWidth="1" collapsed="1"/>
    <col min="8" max="8" width="3.85546875" style="137" customWidth="1"/>
    <col min="9" max="9" width="8.85546875" style="1037" customWidth="1"/>
    <col min="10" max="10" width="8.85546875" style="137" customWidth="1"/>
    <col min="11" max="11" width="8.28515625" style="137" customWidth="1"/>
    <col min="12" max="13" width="9" style="137" customWidth="1"/>
    <col min="14" max="14" width="7" style="137" bestFit="1" customWidth="1"/>
    <col min="15" max="15" width="10.5703125" style="137" customWidth="1"/>
    <col min="16" max="16" width="7.42578125" style="137" customWidth="1"/>
    <col min="17" max="17" width="9.7109375" style="137" customWidth="1"/>
    <col min="18" max="18" width="8.42578125" style="137" customWidth="1"/>
    <col min="19" max="19" width="6" style="137" customWidth="1"/>
    <col min="20" max="20" width="9" style="137" bestFit="1" customWidth="1"/>
    <col min="21" max="24" width="5.7109375" style="137"/>
    <col min="25" max="25" width="8" style="137" bestFit="1" customWidth="1"/>
    <col min="26" max="45" width="5.7109375" style="137"/>
    <col min="46" max="47" width="5.7109375" style="136"/>
    <col min="48" max="16384" width="5.7109375" style="137"/>
  </cols>
  <sheetData>
    <row r="1" spans="3:47">
      <c r="AS1" s="137">
        <f t="shared" ref="AS1" si="0">AR1+1</f>
        <v>1</v>
      </c>
    </row>
    <row r="2" spans="3:47">
      <c r="G2" s="791" t="s">
        <v>77</v>
      </c>
      <c r="H2" s="791"/>
      <c r="I2" s="883">
        <f>'Cost EST. GM target'!$L$6/(1+$K$3)</f>
        <v>5000</v>
      </c>
      <c r="J2" s="791" t="str">
        <f>'Packing Materials'!F2</f>
        <v>Copies</v>
      </c>
      <c r="K2" s="791"/>
      <c r="L2" s="319" t="str">
        <f>input!$B$3</f>
        <v>PACK</v>
      </c>
    </row>
    <row r="3" spans="3:47">
      <c r="G3" s="791" t="s">
        <v>1342</v>
      </c>
      <c r="H3" s="136"/>
      <c r="I3" s="883">
        <f>I2*(1+$K$3)</f>
        <v>5000</v>
      </c>
      <c r="J3" s="791" t="str">
        <f>J2</f>
        <v>Copies</v>
      </c>
      <c r="K3" s="797">
        <f>'Cost EST. GM target'!$N$6</f>
        <v>0</v>
      </c>
      <c r="L3" s="791" t="s">
        <v>1094</v>
      </c>
    </row>
    <row r="4" spans="3:47">
      <c r="G4" s="791" t="s">
        <v>1341</v>
      </c>
      <c r="H4" s="791"/>
      <c r="I4" s="883">
        <f>I3*(1+$K$4)</f>
        <v>5225</v>
      </c>
      <c r="J4" s="791" t="str">
        <f>J2</f>
        <v>Copies</v>
      </c>
      <c r="K4" s="797">
        <f>'Packing Materials'!G4</f>
        <v>4.4999999999999998E-2</v>
      </c>
      <c r="L4" s="791" t="s">
        <v>78</v>
      </c>
    </row>
    <row r="5" spans="3:47">
      <c r="G5" s="248" t="s">
        <v>1283</v>
      </c>
      <c r="I5" s="248">
        <v>180</v>
      </c>
      <c r="J5" s="248" t="s">
        <v>11</v>
      </c>
      <c r="K5" s="797">
        <v>1</v>
      </c>
      <c r="L5" s="791" t="s">
        <v>2036</v>
      </c>
    </row>
    <row r="6" spans="3:47">
      <c r="I6" s="3106" t="s">
        <v>3165</v>
      </c>
    </row>
    <row r="7" spans="3:47" ht="15">
      <c r="AT7" s="413"/>
      <c r="AU7" s="413"/>
    </row>
    <row r="8" spans="3:47" ht="15">
      <c r="G8" s="248" t="s">
        <v>151</v>
      </c>
      <c r="I8" s="1036">
        <f ca="1">IF(L9="Y",M9*VLOOKUP(J9,Data!$L$1027:$N$1041,2,0),0)</f>
        <v>103000</v>
      </c>
      <c r="J8" s="137" t="s">
        <v>92</v>
      </c>
      <c r="AS8" s="137" t="str">
        <f>G8</f>
        <v>Plate</v>
      </c>
      <c r="AT8" s="413"/>
    </row>
    <row r="9" spans="3:47" ht="15">
      <c r="C9" s="1432"/>
      <c r="I9" s="1433" t="s">
        <v>141</v>
      </c>
      <c r="J9" s="4442" t="s">
        <v>1161</v>
      </c>
      <c r="K9" s="4442"/>
      <c r="L9" s="1434" t="str">
        <f>IF(I6="Online","N","Y")</f>
        <v>Y</v>
      </c>
      <c r="M9" s="1037">
        <f ca="1">SUM('Fix Cost'!H153:H167)</f>
        <v>1</v>
      </c>
      <c r="N9" s="137" t="s">
        <v>1284</v>
      </c>
      <c r="O9" s="1037"/>
      <c r="P9" s="1037"/>
      <c r="Q9" s="1037"/>
      <c r="AS9" s="137" t="str">
        <f>IF(G9=0,AS8,G9)</f>
        <v>Plate</v>
      </c>
      <c r="AT9" s="413"/>
    </row>
    <row r="10" spans="3:47" ht="15" hidden="1" outlineLevel="1">
      <c r="C10" s="1432"/>
      <c r="I10" s="1433"/>
      <c r="J10" s="319" t="str">
        <f>Y10</f>
        <v>1st</v>
      </c>
      <c r="K10" s="1261"/>
      <c r="L10" s="248"/>
      <c r="M10" s="1434"/>
      <c r="N10" s="1434"/>
      <c r="O10" s="2149"/>
      <c r="P10" s="1434"/>
      <c r="Q10" s="1451"/>
      <c r="R10" s="991"/>
      <c r="S10" s="991"/>
      <c r="T10" s="1449">
        <f ca="1">SUMIFS('Fix Cost'!$H$153:$H$167,'Fix Cost'!$P$153:$P$167,$Y10)*VLOOKUP($J$9,Data!$L$1027:$N$1041,2,0)</f>
        <v>0</v>
      </c>
      <c r="U10" s="1449"/>
      <c r="V10" s="1451"/>
      <c r="W10" s="1451"/>
      <c r="X10" s="1451"/>
      <c r="Y10" s="319" t="str">
        <f>'Sumary Crayola'!$Q$6</f>
        <v>1st</v>
      </c>
      <c r="Z10" s="319"/>
      <c r="AS10" s="137" t="str">
        <f t="shared" ref="AS10:AS73" si="1">IF(G10=0,AS9,G10)</f>
        <v>Plate</v>
      </c>
      <c r="AT10" s="413">
        <f t="shared" ref="AT10:AT73" ca="1" si="2">IF(ISNUMBER(T10),IF(T10&lt;&gt;0,IF(ISNUMBER(SEARCH("to",GL10)),0,1),0),"")</f>
        <v>0</v>
      </c>
      <c r="AU10" s="136">
        <f ca="1">COUNTIFS(AT$7:$AT10,1)</f>
        <v>0</v>
      </c>
    </row>
    <row r="11" spans="3:47" ht="15" hidden="1" outlineLevel="1">
      <c r="C11" s="1432"/>
      <c r="I11" s="1433"/>
      <c r="J11" s="319">
        <f t="shared" ref="J11:J19" si="3">Y11</f>
        <v>0</v>
      </c>
      <c r="K11" s="1261"/>
      <c r="L11" s="248"/>
      <c r="M11" s="1434"/>
      <c r="N11" s="1434"/>
      <c r="O11" s="2149"/>
      <c r="P11" s="1434"/>
      <c r="Q11" s="1451"/>
      <c r="R11" s="991"/>
      <c r="S11" s="991"/>
      <c r="T11" s="1449">
        <f ca="1">SUMIFS('Fix Cost'!$H$153:$H$167,'Fix Cost'!$P$153:$P$167,$Y11)*VLOOKUP($J$9,Data!$L$1027:$N$1041,2,0)</f>
        <v>0</v>
      </c>
      <c r="U11" s="1449"/>
      <c r="V11" s="1451"/>
      <c r="W11" s="1451"/>
      <c r="X11" s="1451"/>
      <c r="Y11" s="319">
        <f>'Sumary Crayola'!$S$6</f>
        <v>0</v>
      </c>
      <c r="Z11" s="319"/>
      <c r="AS11" s="137" t="str">
        <f t="shared" si="1"/>
        <v>Plate</v>
      </c>
      <c r="AT11" s="413">
        <f t="shared" ca="1" si="2"/>
        <v>0</v>
      </c>
      <c r="AU11" s="136">
        <f ca="1">COUNTIFS(AT$7:$AT11,1)</f>
        <v>0</v>
      </c>
    </row>
    <row r="12" spans="3:47" ht="15" hidden="1" outlineLevel="1">
      <c r="C12" s="1432"/>
      <c r="I12" s="1433"/>
      <c r="J12" s="319">
        <f t="shared" si="3"/>
        <v>0</v>
      </c>
      <c r="K12" s="1261"/>
      <c r="L12" s="248"/>
      <c r="M12" s="1434"/>
      <c r="N12" s="1434"/>
      <c r="O12" s="2149"/>
      <c r="P12" s="1434"/>
      <c r="Q12" s="1451"/>
      <c r="R12" s="991"/>
      <c r="S12" s="991"/>
      <c r="T12" s="1449">
        <f ca="1">SUMIFS('Fix Cost'!$H$153:$H$167,'Fix Cost'!$P$153:$P$167,$Y12)*VLOOKUP($J$9,Data!$L$1027:$N$1041,2,0)</f>
        <v>0</v>
      </c>
      <c r="U12" s="1449"/>
      <c r="V12" s="1451"/>
      <c r="W12" s="1451"/>
      <c r="X12" s="1451"/>
      <c r="Y12" s="319">
        <f>'Sumary Crayola'!$U$6</f>
        <v>0</v>
      </c>
      <c r="Z12" s="319"/>
      <c r="AS12" s="137" t="str">
        <f t="shared" si="1"/>
        <v>Plate</v>
      </c>
      <c r="AT12" s="413">
        <f t="shared" ca="1" si="2"/>
        <v>0</v>
      </c>
      <c r="AU12" s="136">
        <f ca="1">COUNTIFS(AT$7:$AT12,1)</f>
        <v>0</v>
      </c>
    </row>
    <row r="13" spans="3:47" ht="15" hidden="1" outlineLevel="1">
      <c r="C13" s="1432"/>
      <c r="I13" s="1433"/>
      <c r="J13" s="319">
        <f t="shared" si="3"/>
        <v>0</v>
      </c>
      <c r="K13" s="1261"/>
      <c r="L13" s="248"/>
      <c r="M13" s="1434"/>
      <c r="N13" s="1434"/>
      <c r="O13" s="2149"/>
      <c r="P13" s="1434"/>
      <c r="Q13" s="1451"/>
      <c r="R13" s="991"/>
      <c r="S13" s="991"/>
      <c r="T13" s="1449">
        <f ca="1">SUMIFS('Fix Cost'!$H$153:$H$167,'Fix Cost'!$P$153:$P$167,$Y13)*VLOOKUP($J$9,Data!$L$1027:$N$1041,2,0)</f>
        <v>0</v>
      </c>
      <c r="U13" s="1449"/>
      <c r="V13" s="1451"/>
      <c r="W13" s="1451"/>
      <c r="X13" s="1451"/>
      <c r="Y13" s="319">
        <f>'Sumary Crayola'!$W$6</f>
        <v>0</v>
      </c>
      <c r="Z13" s="319"/>
      <c r="AS13" s="137" t="str">
        <f t="shared" si="1"/>
        <v>Plate</v>
      </c>
      <c r="AT13" s="413">
        <f t="shared" ca="1" si="2"/>
        <v>0</v>
      </c>
      <c r="AU13" s="136">
        <f ca="1">COUNTIFS(AT$7:$AT13,1)</f>
        <v>0</v>
      </c>
    </row>
    <row r="14" spans="3:47" ht="15" hidden="1" outlineLevel="1">
      <c r="C14" s="1432"/>
      <c r="I14" s="1433"/>
      <c r="J14" s="319">
        <f t="shared" si="3"/>
        <v>0</v>
      </c>
      <c r="K14" s="1261"/>
      <c r="L14" s="248"/>
      <c r="M14" s="1434"/>
      <c r="N14" s="1434"/>
      <c r="O14" s="2149"/>
      <c r="P14" s="1434"/>
      <c r="Q14" s="1451"/>
      <c r="R14" s="991"/>
      <c r="S14" s="991"/>
      <c r="T14" s="1449">
        <f ca="1">SUMIFS('Fix Cost'!$H$153:$H$167,'Fix Cost'!$P$153:$P$167,$Y14)*VLOOKUP($J$9,Data!$L$1027:$N$1041,2,0)</f>
        <v>0</v>
      </c>
      <c r="U14" s="1449"/>
      <c r="V14" s="1451"/>
      <c r="W14" s="1451"/>
      <c r="X14" s="1451"/>
      <c r="Y14" s="319">
        <f>'Sumary Crayola'!$Y$6</f>
        <v>0</v>
      </c>
      <c r="Z14" s="319"/>
      <c r="AS14" s="137" t="str">
        <f t="shared" si="1"/>
        <v>Plate</v>
      </c>
      <c r="AT14" s="413">
        <f t="shared" ca="1" si="2"/>
        <v>0</v>
      </c>
      <c r="AU14" s="136">
        <f ca="1">COUNTIFS(AT$7:$AT14,1)</f>
        <v>0</v>
      </c>
    </row>
    <row r="15" spans="3:47" ht="15" hidden="1" outlineLevel="1">
      <c r="C15" s="1432"/>
      <c r="I15" s="1433"/>
      <c r="J15" s="319">
        <f t="shared" si="3"/>
        <v>0</v>
      </c>
      <c r="K15" s="1261"/>
      <c r="L15" s="248"/>
      <c r="M15" s="1434"/>
      <c r="N15" s="1434"/>
      <c r="O15" s="2149"/>
      <c r="P15" s="1434"/>
      <c r="Q15" s="1451"/>
      <c r="R15" s="991"/>
      <c r="S15" s="991"/>
      <c r="T15" s="1449">
        <f ca="1">SUMIFS('Fix Cost'!$H$153:$H$167,'Fix Cost'!$P$153:$P$167,$Y15)*VLOOKUP($J$9,Data!$L$1027:$N$1041,2,0)</f>
        <v>0</v>
      </c>
      <c r="U15" s="1449"/>
      <c r="V15" s="1451"/>
      <c r="W15" s="1451"/>
      <c r="X15" s="1451"/>
      <c r="Y15" s="319">
        <f>'Sumary Crayola'!$AA$6</f>
        <v>0</v>
      </c>
      <c r="Z15" s="319"/>
      <c r="AS15" s="137" t="str">
        <f t="shared" si="1"/>
        <v>Plate</v>
      </c>
      <c r="AT15" s="413">
        <f t="shared" ca="1" si="2"/>
        <v>0</v>
      </c>
      <c r="AU15" s="136">
        <f ca="1">COUNTIFS(AT$7:$AT15,1)</f>
        <v>0</v>
      </c>
    </row>
    <row r="16" spans="3:47" ht="15" hidden="1" outlineLevel="1">
      <c r="C16" s="1432"/>
      <c r="I16" s="1433"/>
      <c r="J16" s="319">
        <f t="shared" si="3"/>
        <v>0</v>
      </c>
      <c r="K16" s="1261"/>
      <c r="L16" s="248"/>
      <c r="M16" s="1434"/>
      <c r="N16" s="1434"/>
      <c r="O16" s="2149"/>
      <c r="P16" s="1434"/>
      <c r="Q16" s="1451"/>
      <c r="R16" s="991"/>
      <c r="S16" s="991"/>
      <c r="T16" s="1449">
        <f ca="1">SUMIFS('Fix Cost'!$H$153:$H$167,'Fix Cost'!$P$153:$P$167,$Y16)*VLOOKUP($J$9,Data!$L$1027:$N$1041,2,0)</f>
        <v>0</v>
      </c>
      <c r="U16" s="1449"/>
      <c r="V16" s="1451"/>
      <c r="W16" s="1451"/>
      <c r="X16" s="1451"/>
      <c r="Y16" s="319">
        <f>'Sumary Crayola'!$AC$6</f>
        <v>0</v>
      </c>
      <c r="Z16" s="319"/>
      <c r="AS16" s="137" t="str">
        <f t="shared" si="1"/>
        <v>Plate</v>
      </c>
      <c r="AT16" s="413">
        <f t="shared" ca="1" si="2"/>
        <v>0</v>
      </c>
      <c r="AU16" s="136">
        <f ca="1">COUNTIFS(AT$7:$AT16,1)</f>
        <v>0</v>
      </c>
    </row>
    <row r="17" spans="2:47" ht="15" hidden="1" outlineLevel="1">
      <c r="C17" s="1432"/>
      <c r="I17" s="1433"/>
      <c r="J17" s="319">
        <f t="shared" si="3"/>
        <v>0</v>
      </c>
      <c r="K17" s="1261"/>
      <c r="L17" s="248"/>
      <c r="M17" s="1434"/>
      <c r="N17" s="1434"/>
      <c r="O17" s="2149"/>
      <c r="P17" s="1434"/>
      <c r="Q17" s="1451"/>
      <c r="R17" s="991"/>
      <c r="S17" s="991"/>
      <c r="T17" s="1449">
        <f ca="1">SUMIFS('Fix Cost'!$H$153:$H$167,'Fix Cost'!$P$153:$P$167,$Y17)*VLOOKUP($J$9,Data!$L$1027:$N$1041,2,0)</f>
        <v>0</v>
      </c>
      <c r="U17" s="1449"/>
      <c r="V17" s="1451"/>
      <c r="W17" s="1451"/>
      <c r="X17" s="1451"/>
      <c r="Y17" s="319">
        <f>'Sumary Crayola'!$AE$6</f>
        <v>0</v>
      </c>
      <c r="Z17" s="319"/>
      <c r="AS17" s="137" t="str">
        <f t="shared" si="1"/>
        <v>Plate</v>
      </c>
      <c r="AT17" s="413">
        <f t="shared" ca="1" si="2"/>
        <v>0</v>
      </c>
      <c r="AU17" s="136">
        <f ca="1">COUNTIFS(AT$7:$AT17,1)</f>
        <v>0</v>
      </c>
    </row>
    <row r="18" spans="2:47" ht="15" hidden="1" outlineLevel="1">
      <c r="C18" s="1432"/>
      <c r="I18" s="1433"/>
      <c r="J18" s="319">
        <f t="shared" si="3"/>
        <v>0</v>
      </c>
      <c r="K18" s="1261"/>
      <c r="L18" s="248"/>
      <c r="M18" s="1434"/>
      <c r="N18" s="1434"/>
      <c r="O18" s="2149"/>
      <c r="P18" s="1434"/>
      <c r="Q18" s="1451"/>
      <c r="R18" s="991"/>
      <c r="S18" s="991"/>
      <c r="T18" s="1449">
        <f ca="1">SUMIFS('Fix Cost'!$H$153:$H$167,'Fix Cost'!$P$153:$P$167,$Y18)*VLOOKUP($J$9,Data!$L$1027:$N$1041,2,0)</f>
        <v>0</v>
      </c>
      <c r="U18" s="1449"/>
      <c r="V18" s="1451"/>
      <c r="W18" s="1451"/>
      <c r="X18" s="1451"/>
      <c r="Y18" s="319">
        <f>'Sumary Crayola'!$AG$6</f>
        <v>0</v>
      </c>
      <c r="Z18" s="319"/>
      <c r="AS18" s="137" t="str">
        <f t="shared" si="1"/>
        <v>Plate</v>
      </c>
      <c r="AT18" s="413">
        <f t="shared" ca="1" si="2"/>
        <v>0</v>
      </c>
      <c r="AU18" s="136">
        <f ca="1">COUNTIFS(AT$7:$AT18,1)</f>
        <v>0</v>
      </c>
    </row>
    <row r="19" spans="2:47" ht="15" hidden="1" outlineLevel="1">
      <c r="C19" s="1432"/>
      <c r="I19" s="1433"/>
      <c r="J19" s="319">
        <f t="shared" si="3"/>
        <v>0</v>
      </c>
      <c r="K19" s="1261"/>
      <c r="L19" s="248"/>
      <c r="M19" s="1434"/>
      <c r="N19" s="1434"/>
      <c r="O19" s="2149"/>
      <c r="P19" s="1434"/>
      <c r="Q19" s="1451"/>
      <c r="R19" s="991"/>
      <c r="S19" s="991"/>
      <c r="T19" s="1449">
        <f ca="1">SUMIFS('Fix Cost'!$H$153:$H$167,'Fix Cost'!$P$153:$P$167,$Y19)*VLOOKUP($J$9,Data!$L$1027:$N$1041,2,0)</f>
        <v>0</v>
      </c>
      <c r="U19" s="1449"/>
      <c r="V19" s="1451"/>
      <c r="W19" s="1451"/>
      <c r="X19" s="1451"/>
      <c r="Y19" s="319">
        <f>'Sumary Crayola'!$AI$6</f>
        <v>0</v>
      </c>
      <c r="Z19" s="319"/>
      <c r="AS19" s="137" t="str">
        <f t="shared" si="1"/>
        <v>Plate</v>
      </c>
      <c r="AT19" s="413">
        <f t="shared" ca="1" si="2"/>
        <v>0</v>
      </c>
      <c r="AU19" s="136">
        <f ca="1">COUNTIFS(AT$7:$AT19,1)</f>
        <v>0</v>
      </c>
    </row>
    <row r="20" spans="2:47" ht="15" collapsed="1">
      <c r="G20" s="1435"/>
      <c r="I20" s="1036"/>
      <c r="AS20" s="137" t="str">
        <f t="shared" si="1"/>
        <v>Plate</v>
      </c>
      <c r="AT20" s="413" t="str">
        <f t="shared" si="2"/>
        <v/>
      </c>
      <c r="AU20" s="136">
        <f ca="1">COUNTIFS(AT$7:$AT20,1)</f>
        <v>0</v>
      </c>
    </row>
    <row r="21" spans="2:47" ht="15">
      <c r="B21" s="137" t="s">
        <v>1906</v>
      </c>
      <c r="C21" s="1434"/>
      <c r="D21" s="1434"/>
      <c r="E21" s="1434"/>
      <c r="F21" s="1434"/>
      <c r="G21" s="248" t="s">
        <v>1285</v>
      </c>
      <c r="I21" s="1036">
        <f ca="1">SUM(T23:T55)</f>
        <v>1039572.0724320001</v>
      </c>
      <c r="J21" s="137" t="s">
        <v>92</v>
      </c>
      <c r="AS21" s="137" t="str">
        <f t="shared" si="1"/>
        <v>Paper cost</v>
      </c>
      <c r="AT21" s="413" t="str">
        <f t="shared" si="2"/>
        <v/>
      </c>
      <c r="AU21" s="136">
        <f ca="1">COUNTIFS(AT$7:$AT21,1)</f>
        <v>0</v>
      </c>
    </row>
    <row r="22" spans="2:47" ht="15">
      <c r="B22" s="137" t="s">
        <v>1104</v>
      </c>
      <c r="C22" s="1434"/>
      <c r="D22" s="1436"/>
      <c r="E22" s="1436"/>
      <c r="F22" s="424"/>
      <c r="I22" s="1460"/>
      <c r="J22" s="1461"/>
      <c r="K22" s="1462" t="s">
        <v>126</v>
      </c>
      <c r="L22" s="1462" t="s">
        <v>1086</v>
      </c>
      <c r="M22" s="1462" t="s">
        <v>1302</v>
      </c>
      <c r="N22" s="1461"/>
      <c r="O22" s="1461"/>
      <c r="P22" s="4430" t="s">
        <v>1071</v>
      </c>
      <c r="Q22" s="4430"/>
      <c r="R22" s="4430" t="s">
        <v>1072</v>
      </c>
      <c r="S22" s="4430"/>
      <c r="T22" s="1461" t="s">
        <v>95</v>
      </c>
      <c r="V22" s="1462" t="s">
        <v>17</v>
      </c>
      <c r="W22" s="1462" t="s">
        <v>746</v>
      </c>
      <c r="X22" s="137" t="s">
        <v>2037</v>
      </c>
      <c r="Y22" s="137" t="s">
        <v>2055</v>
      </c>
      <c r="AS22" s="137" t="str">
        <f t="shared" si="1"/>
        <v>Paper cost</v>
      </c>
      <c r="AT22" s="413" t="str">
        <f t="shared" si="2"/>
        <v/>
      </c>
      <c r="AU22" s="136">
        <f ca="1">COUNTIFS(AT$7:$AT22,1)</f>
        <v>0</v>
      </c>
    </row>
    <row r="23" spans="2:47" ht="15">
      <c r="B23" s="137" t="s">
        <v>1105</v>
      </c>
      <c r="C23" s="1434"/>
      <c r="D23" s="1436"/>
      <c r="E23" s="1436"/>
      <c r="F23" s="424"/>
      <c r="I23" s="1463" t="str">
        <f>Paper!A7</f>
        <v>Box</v>
      </c>
      <c r="J23" s="2992">
        <f>IF(K23&gt;0,IF(M23=0,MAX(100,$I$5*(1+$K$5)*VLOOKUP(I23,Paper!$A$7:$K$70,11,0)/'Proof cost'!V23),IF($L$2="BOOK",X23,IF($I$6="Offline",IF($V23&gt;0,IF($M23*100&lt;800,800,$M23*100),0),400))),0)</f>
        <v>800</v>
      </c>
      <c r="K23" s="1461">
        <f>Paper!B7</f>
        <v>300</v>
      </c>
      <c r="L23" s="1461" t="str">
        <f>Paper!C7</f>
        <v>300gsm GB HANSOL</v>
      </c>
      <c r="M23" s="1461">
        <f>Paper!M7</f>
        <v>1</v>
      </c>
      <c r="N23" s="1464">
        <f>Paper!H7</f>
        <v>12675.109200000001</v>
      </c>
      <c r="O23" s="1461" t="s">
        <v>93</v>
      </c>
      <c r="P23" s="1465">
        <f>Paper!N7</f>
        <v>638</v>
      </c>
      <c r="Q23" s="1465">
        <f>Paper!O7</f>
        <v>407</v>
      </c>
      <c r="R23" s="1465">
        <f>Paper!P7</f>
        <v>650</v>
      </c>
      <c r="S23" s="1465">
        <f>Paper!Q7</f>
        <v>410</v>
      </c>
      <c r="T23" s="1466">
        <f>((K23*R23*S23*J23)/10^9)*N23</f>
        <v>810699.98443200008</v>
      </c>
      <c r="V23" s="1462">
        <f>Paper!I7</f>
        <v>2</v>
      </c>
      <c r="W23" s="1462">
        <f>Paper!J7</f>
        <v>1</v>
      </c>
      <c r="X23" s="137">
        <f>IF($V23=0,0,ROUNDUP($I$5*(1+$K$5)/V23,0)+500)*W23</f>
        <v>680</v>
      </c>
      <c r="Y23" s="1432" t="str">
        <f>Paper!AO7</f>
        <v>Box</v>
      </c>
      <c r="AS23" s="137" t="str">
        <f t="shared" si="1"/>
        <v>Paper cost</v>
      </c>
      <c r="AT23" s="413">
        <f t="shared" si="2"/>
        <v>1</v>
      </c>
      <c r="AU23" s="136">
        <f ca="1">COUNTIFS(AT$7:$AT23,1)</f>
        <v>1</v>
      </c>
    </row>
    <row r="24" spans="2:47" ht="15" hidden="1" outlineLevel="1">
      <c r="B24" s="137" t="s">
        <v>1106</v>
      </c>
      <c r="C24" s="1434"/>
      <c r="D24" s="1436"/>
      <c r="E24" s="1436"/>
      <c r="F24" s="424"/>
      <c r="I24" s="1463" t="str">
        <f>Paper!A8</f>
        <v>N</v>
      </c>
      <c r="J24" s="2992">
        <f>IF(K24&gt;0,IF(M24=0,MAX(100,$I$5*(1+$K$5)*VLOOKUP(I24,Paper!$A$7:$K$70,11,0)/'Proof cost'!V24),IF($L$2="BOOK",X24,IF($I$6="Offline",IF($V24&gt;0,IF($M24*100&lt;800,800,$M24*100),0),400))),0)</f>
        <v>0</v>
      </c>
      <c r="K24" s="1461">
        <f>Paper!B8</f>
        <v>0</v>
      </c>
      <c r="L24" s="1461">
        <f>Paper!C8</f>
        <v>0</v>
      </c>
      <c r="M24" s="1461">
        <f>Paper!M8</f>
        <v>0</v>
      </c>
      <c r="N24" s="1464">
        <f>Paper!H8</f>
        <v>0</v>
      </c>
      <c r="O24" s="1461" t="s">
        <v>93</v>
      </c>
      <c r="P24" s="1465">
        <f>Paper!N8</f>
        <v>0</v>
      </c>
      <c r="Q24" s="1465">
        <f>Paper!O8</f>
        <v>0</v>
      </c>
      <c r="R24" s="1465">
        <f ca="1">Paper!P8</f>
        <v>0</v>
      </c>
      <c r="S24" s="1465">
        <f>Paper!Q8</f>
        <v>3</v>
      </c>
      <c r="T24" s="1466">
        <f t="shared" ref="T24:T37" ca="1" si="4">((K24*R24*S24*J24)/10^9)*N24</f>
        <v>0</v>
      </c>
      <c r="V24" s="1462">
        <f>Paper!I8</f>
        <v>0</v>
      </c>
      <c r="W24" s="1462">
        <f>Paper!J8</f>
        <v>0</v>
      </c>
      <c r="X24" s="137">
        <f t="shared" ref="X24:X55" si="5">IF($V24=0,0,ROUNDUP($I$5*(1+$K$5)/V24,0)+500)*W24</f>
        <v>0</v>
      </c>
      <c r="Y24" s="1432" t="str">
        <f>Paper!AO8</f>
        <v>N</v>
      </c>
      <c r="AS24" s="137" t="str">
        <f t="shared" si="1"/>
        <v>Paper cost</v>
      </c>
      <c r="AT24" s="413">
        <f t="shared" ca="1" si="2"/>
        <v>0</v>
      </c>
      <c r="AU24" s="136">
        <f ca="1">COUNTIFS(AT$7:$AT24,1)</f>
        <v>1</v>
      </c>
    </row>
    <row r="25" spans="2:47" ht="15" hidden="1" outlineLevel="1">
      <c r="B25" s="137" t="s">
        <v>1907</v>
      </c>
      <c r="C25" s="1434"/>
      <c r="D25" s="1436"/>
      <c r="E25" s="1436"/>
      <c r="F25" s="424"/>
      <c r="I25" s="1463" t="str">
        <f>Paper!A9</f>
        <v>N</v>
      </c>
      <c r="J25" s="2992">
        <f>IF(K25&gt;0,IF(M25=0,MAX(100,$I$5*(1+$K$5)*VLOOKUP(I25,Paper!$A$7:$K$70,11,0)/'Proof cost'!V25),IF($L$2="BOOK",X25,IF($I$6="Offline",IF($V25&gt;0,IF($M25*100&lt;800,800,$M25*100),0),400))),0)</f>
        <v>0</v>
      </c>
      <c r="K25" s="1461">
        <f>Paper!B9</f>
        <v>0</v>
      </c>
      <c r="L25" s="1461">
        <f>Paper!C9</f>
        <v>0</v>
      </c>
      <c r="M25" s="1461">
        <f>Paper!M9</f>
        <v>0</v>
      </c>
      <c r="N25" s="1464">
        <f>Paper!H9</f>
        <v>0</v>
      </c>
      <c r="O25" s="1461" t="s">
        <v>93</v>
      </c>
      <c r="P25" s="1465">
        <f>Paper!N9</f>
        <v>0</v>
      </c>
      <c r="Q25" s="1465">
        <f>Paper!O9</f>
        <v>0</v>
      </c>
      <c r="R25" s="1465">
        <f ca="1">Paper!P9</f>
        <v>0</v>
      </c>
      <c r="S25" s="1465">
        <f>Paper!Q9</f>
        <v>3</v>
      </c>
      <c r="T25" s="1466">
        <f t="shared" ca="1" si="4"/>
        <v>0</v>
      </c>
      <c r="V25" s="1462">
        <f>Paper!I9</f>
        <v>0</v>
      </c>
      <c r="W25" s="1462">
        <f>Paper!J9</f>
        <v>0</v>
      </c>
      <c r="X25" s="137">
        <f t="shared" si="5"/>
        <v>0</v>
      </c>
      <c r="Y25" s="1432" t="str">
        <f>Paper!AO9</f>
        <v>N</v>
      </c>
      <c r="AS25" s="137" t="str">
        <f t="shared" si="1"/>
        <v>Paper cost</v>
      </c>
      <c r="AT25" s="413">
        <f t="shared" ca="1" si="2"/>
        <v>0</v>
      </c>
      <c r="AU25" s="136">
        <f ca="1">COUNTIFS(AT$7:$AT25,1)</f>
        <v>1</v>
      </c>
    </row>
    <row r="26" spans="2:47" ht="15" hidden="1" outlineLevel="1">
      <c r="D26" s="1434"/>
      <c r="E26" s="1436"/>
      <c r="F26" s="424"/>
      <c r="I26" s="1463" t="str">
        <f>Paper!A10</f>
        <v>N</v>
      </c>
      <c r="J26" s="2992">
        <f>IF(K26&gt;0,IF(M26=0,MAX(100,$I$5*(1+$K$5)*VLOOKUP(I26,Paper!$A$7:$K$70,11,0)/'Proof cost'!V26),IF($L$2="BOOK",X26,IF($I$6="Offline",IF($V26&gt;0,IF($M26*100&lt;800,800,$M26*100),0),400))),0)</f>
        <v>0</v>
      </c>
      <c r="K26" s="1461">
        <f>Paper!B10</f>
        <v>0</v>
      </c>
      <c r="L26" s="1461">
        <f>Paper!C10</f>
        <v>0</v>
      </c>
      <c r="M26" s="1461">
        <f>Paper!M10</f>
        <v>0</v>
      </c>
      <c r="N26" s="1464">
        <f>Paper!H10</f>
        <v>0</v>
      </c>
      <c r="O26" s="1461" t="s">
        <v>93</v>
      </c>
      <c r="P26" s="1465">
        <f>Paper!N10</f>
        <v>0</v>
      </c>
      <c r="Q26" s="1465">
        <f>Paper!O10</f>
        <v>0</v>
      </c>
      <c r="R26" s="1465">
        <f ca="1">Paper!P10</f>
        <v>0</v>
      </c>
      <c r="S26" s="1465">
        <f>Paper!Q10</f>
        <v>3</v>
      </c>
      <c r="T26" s="1466">
        <f t="shared" ca="1" si="4"/>
        <v>0</v>
      </c>
      <c r="V26" s="1462">
        <f>Paper!I10</f>
        <v>0</v>
      </c>
      <c r="W26" s="1462">
        <f>Paper!J10</f>
        <v>0</v>
      </c>
      <c r="X26" s="137">
        <f t="shared" si="5"/>
        <v>0</v>
      </c>
      <c r="Y26" s="1432" t="str">
        <f>Paper!AO10</f>
        <v>N</v>
      </c>
      <c r="AS26" s="137" t="str">
        <f t="shared" si="1"/>
        <v>Paper cost</v>
      </c>
      <c r="AT26" s="413">
        <f t="shared" ca="1" si="2"/>
        <v>0</v>
      </c>
      <c r="AU26" s="136">
        <f ca="1">COUNTIFS(AT$7:$AT26,1)</f>
        <v>1</v>
      </c>
    </row>
    <row r="27" spans="2:47" ht="15" hidden="1" outlineLevel="1">
      <c r="D27" s="1434"/>
      <c r="E27" s="1436"/>
      <c r="F27" s="424"/>
      <c r="I27" s="1463" t="str">
        <f>Paper!A11</f>
        <v>N</v>
      </c>
      <c r="J27" s="2992">
        <f>IF(K27&gt;0,IF(M27=0,MAX(100,$I$5*(1+$K$5)*VLOOKUP(I27,Paper!$A$7:$K$70,11,0)/'Proof cost'!V27),IF($L$2="BOOK",X27,IF($I$6="Offline",IF($V27&gt;0,IF($M27*100&lt;800,800,$M27*100),0),400))),0)</f>
        <v>0</v>
      </c>
      <c r="K27" s="1461">
        <f>Paper!B11</f>
        <v>0</v>
      </c>
      <c r="L27" s="1461">
        <f>Paper!C11</f>
        <v>0</v>
      </c>
      <c r="M27" s="1461">
        <f>Paper!M11</f>
        <v>0</v>
      </c>
      <c r="N27" s="1464">
        <f>Paper!H11</f>
        <v>0</v>
      </c>
      <c r="O27" s="1461" t="s">
        <v>93</v>
      </c>
      <c r="P27" s="1465">
        <f>Paper!N11</f>
        <v>0</v>
      </c>
      <c r="Q27" s="1465">
        <f>Paper!O11</f>
        <v>0</v>
      </c>
      <c r="R27" s="1465">
        <f ca="1">Paper!P11</f>
        <v>0</v>
      </c>
      <c r="S27" s="1465">
        <f>Paper!Q11</f>
        <v>3</v>
      </c>
      <c r="T27" s="1466">
        <f t="shared" ca="1" si="4"/>
        <v>0</v>
      </c>
      <c r="V27" s="1462">
        <f>Paper!I11</f>
        <v>0</v>
      </c>
      <c r="W27" s="1462">
        <f>Paper!J11</f>
        <v>0</v>
      </c>
      <c r="X27" s="137">
        <f t="shared" si="5"/>
        <v>0</v>
      </c>
      <c r="Y27" s="1432" t="str">
        <f>Paper!AO11</f>
        <v>N</v>
      </c>
      <c r="AS27" s="137" t="str">
        <f t="shared" si="1"/>
        <v>Paper cost</v>
      </c>
      <c r="AT27" s="413">
        <f t="shared" ca="1" si="2"/>
        <v>0</v>
      </c>
      <c r="AU27" s="136">
        <f ca="1">COUNTIFS(AT$7:$AT27,1)</f>
        <v>1</v>
      </c>
    </row>
    <row r="28" spans="2:47" ht="15" hidden="1" outlineLevel="1">
      <c r="D28" s="1434"/>
      <c r="E28" s="1436"/>
      <c r="F28" s="424"/>
      <c r="I28" s="1463" t="str">
        <f>Paper!A12</f>
        <v>N</v>
      </c>
      <c r="J28" s="2992">
        <f>IF(K28&gt;0,IF(M28=0,MAX(100,$I$5*(1+$K$5)*VLOOKUP(I28,Paper!$A$7:$K$70,11,0)/'Proof cost'!V28),IF($L$2="BOOK",X28,IF($I$6="Offline",IF($V28&gt;0,IF($M28*100&lt;800,800,$M28*100),0),400))),0)</f>
        <v>0</v>
      </c>
      <c r="K28" s="1461">
        <f>Paper!B12</f>
        <v>0</v>
      </c>
      <c r="L28" s="1461">
        <f>Paper!C12</f>
        <v>0</v>
      </c>
      <c r="M28" s="1461">
        <f>Paper!M12</f>
        <v>0</v>
      </c>
      <c r="N28" s="1464">
        <f>Paper!H12</f>
        <v>0</v>
      </c>
      <c r="O28" s="1461" t="s">
        <v>93</v>
      </c>
      <c r="P28" s="1465">
        <f>Paper!N12</f>
        <v>0</v>
      </c>
      <c r="Q28" s="1465">
        <f>Paper!O12</f>
        <v>0</v>
      </c>
      <c r="R28" s="1465">
        <f ca="1">Paper!P12</f>
        <v>0</v>
      </c>
      <c r="S28" s="1465">
        <f>Paper!Q12</f>
        <v>3</v>
      </c>
      <c r="T28" s="1466">
        <f t="shared" ca="1" si="4"/>
        <v>0</v>
      </c>
      <c r="V28" s="1462">
        <f>Paper!I12</f>
        <v>0</v>
      </c>
      <c r="W28" s="1462">
        <f>Paper!J12</f>
        <v>0</v>
      </c>
      <c r="X28" s="137">
        <f t="shared" si="5"/>
        <v>0</v>
      </c>
      <c r="Y28" s="1432" t="str">
        <f>Paper!AO12</f>
        <v>N</v>
      </c>
      <c r="AS28" s="137" t="str">
        <f t="shared" si="1"/>
        <v>Paper cost</v>
      </c>
      <c r="AT28" s="413">
        <f t="shared" ca="1" si="2"/>
        <v>0</v>
      </c>
      <c r="AU28" s="136">
        <f ca="1">COUNTIFS(AT$7:$AT28,1)</f>
        <v>1</v>
      </c>
    </row>
    <row r="29" spans="2:47" ht="15" hidden="1" outlineLevel="1">
      <c r="D29" s="1434"/>
      <c r="E29" s="1436"/>
      <c r="F29" s="424"/>
      <c r="I29" s="1463" t="str">
        <f>Paper!A13</f>
        <v>N</v>
      </c>
      <c r="J29" s="2992">
        <f>IF(K29&gt;0,IF(M29=0,MAX(100,$I$5*(1+$K$5)*VLOOKUP(I29,Paper!$A$7:$K$70,11,0)/'Proof cost'!V29),IF($L$2="BOOK",X29,IF($I$6="Offline",IF($V29&gt;0,IF($M29*100&lt;800,800,$M29*100),0),400))),0)</f>
        <v>0</v>
      </c>
      <c r="K29" s="1461">
        <f>Paper!B13</f>
        <v>0</v>
      </c>
      <c r="L29" s="1461">
        <f>Paper!C13</f>
        <v>0</v>
      </c>
      <c r="M29" s="1461">
        <f>Paper!M13</f>
        <v>0</v>
      </c>
      <c r="N29" s="1464">
        <f>Paper!H13</f>
        <v>0</v>
      </c>
      <c r="O29" s="1461" t="s">
        <v>93</v>
      </c>
      <c r="P29" s="1465">
        <f>Paper!N13</f>
        <v>0</v>
      </c>
      <c r="Q29" s="1465">
        <f>Paper!O13</f>
        <v>0</v>
      </c>
      <c r="R29" s="1465">
        <f ca="1">Paper!P13</f>
        <v>0</v>
      </c>
      <c r="S29" s="1465">
        <f>Paper!Q13</f>
        <v>3</v>
      </c>
      <c r="T29" s="1466">
        <f t="shared" ca="1" si="4"/>
        <v>0</v>
      </c>
      <c r="V29" s="1462">
        <f>Paper!I13</f>
        <v>0</v>
      </c>
      <c r="W29" s="1462">
        <f>Paper!J13</f>
        <v>0</v>
      </c>
      <c r="X29" s="137">
        <f t="shared" si="5"/>
        <v>0</v>
      </c>
      <c r="Y29" s="1432" t="str">
        <f>Paper!AO13</f>
        <v>N</v>
      </c>
      <c r="AS29" s="137" t="str">
        <f t="shared" si="1"/>
        <v>Paper cost</v>
      </c>
      <c r="AT29" s="413">
        <f t="shared" ca="1" si="2"/>
        <v>0</v>
      </c>
      <c r="AU29" s="136">
        <f ca="1">COUNTIFS(AT$7:$AT29,1)</f>
        <v>1</v>
      </c>
    </row>
    <row r="30" spans="2:47" ht="15" hidden="1" outlineLevel="1">
      <c r="D30" s="1434"/>
      <c r="E30" s="1436"/>
      <c r="F30" s="424"/>
      <c r="I30" s="1463" t="str">
        <f>Paper!A14</f>
        <v>N</v>
      </c>
      <c r="J30" s="2992">
        <f>IF(K30&gt;0,IF(M30=0,MAX(100,$I$5*(1+$K$5)*VLOOKUP(I30,Paper!$A$7:$K$70,11,0)/'Proof cost'!V30),IF($L$2="BOOK",X30,IF($I$6="Offline",IF($V30&gt;0,IF($M30*100&lt;800,800,$M30*100),0),400))),0)</f>
        <v>0</v>
      </c>
      <c r="K30" s="1461">
        <f>Paper!B14</f>
        <v>0</v>
      </c>
      <c r="L30" s="1461">
        <f>Paper!C14</f>
        <v>0</v>
      </c>
      <c r="M30" s="1461">
        <f>Paper!M14</f>
        <v>0</v>
      </c>
      <c r="N30" s="1464">
        <f>Paper!H14</f>
        <v>0</v>
      </c>
      <c r="O30" s="1461" t="s">
        <v>93</v>
      </c>
      <c r="P30" s="1465">
        <f>Paper!N14</f>
        <v>0</v>
      </c>
      <c r="Q30" s="1465">
        <f>Paper!O14</f>
        <v>0</v>
      </c>
      <c r="R30" s="1465">
        <f ca="1">Paper!P14</f>
        <v>0</v>
      </c>
      <c r="S30" s="1465">
        <f>Paper!Q14</f>
        <v>3</v>
      </c>
      <c r="T30" s="1466">
        <f t="shared" ca="1" si="4"/>
        <v>0</v>
      </c>
      <c r="V30" s="1462">
        <f>Paper!I14</f>
        <v>0</v>
      </c>
      <c r="W30" s="1462">
        <f>Paper!J14</f>
        <v>0</v>
      </c>
      <c r="X30" s="137">
        <f t="shared" si="5"/>
        <v>0</v>
      </c>
      <c r="Y30" s="1432" t="str">
        <f>Paper!AO14</f>
        <v>N</v>
      </c>
      <c r="AS30" s="137" t="str">
        <f t="shared" si="1"/>
        <v>Paper cost</v>
      </c>
      <c r="AT30" s="413">
        <f t="shared" ca="1" si="2"/>
        <v>0</v>
      </c>
      <c r="AU30" s="136">
        <f ca="1">COUNTIFS(AT$7:$AT30,1)</f>
        <v>1</v>
      </c>
    </row>
    <row r="31" spans="2:47" ht="15" hidden="1" outlineLevel="1">
      <c r="D31" s="1434"/>
      <c r="E31" s="1436"/>
      <c r="F31" s="424"/>
      <c r="I31" s="1463" t="str">
        <f>Paper!A15</f>
        <v>N</v>
      </c>
      <c r="J31" s="2992">
        <f>IF(K31&gt;0,IF(M31=0,MAX(100,$I$5*(1+$K$5)*VLOOKUP(I31,Paper!$A$7:$K$70,11,0)/'Proof cost'!V31),IF($L$2="BOOK",X31,IF($I$6="Offline",IF($V31&gt;0,IF($M31*100&lt;800,800,$M31*100),0),400))),0)</f>
        <v>0</v>
      </c>
      <c r="K31" s="1461">
        <f>Paper!B15</f>
        <v>0</v>
      </c>
      <c r="L31" s="1461">
        <f>Paper!C15</f>
        <v>0</v>
      </c>
      <c r="M31" s="1461">
        <f>Paper!M15</f>
        <v>0</v>
      </c>
      <c r="N31" s="1464">
        <f>Paper!H15</f>
        <v>0</v>
      </c>
      <c r="O31" s="1461" t="s">
        <v>93</v>
      </c>
      <c r="P31" s="1465">
        <f>Paper!N15</f>
        <v>0</v>
      </c>
      <c r="Q31" s="1465">
        <f>Paper!O15</f>
        <v>0</v>
      </c>
      <c r="R31" s="1465">
        <f ca="1">Paper!P15</f>
        <v>0</v>
      </c>
      <c r="S31" s="1465">
        <f>Paper!Q15</f>
        <v>3</v>
      </c>
      <c r="T31" s="1466">
        <f t="shared" ca="1" si="4"/>
        <v>0</v>
      </c>
      <c r="V31" s="1462">
        <f>Paper!I15</f>
        <v>0</v>
      </c>
      <c r="W31" s="1462">
        <f>Paper!J15</f>
        <v>0</v>
      </c>
      <c r="X31" s="137">
        <f t="shared" si="5"/>
        <v>0</v>
      </c>
      <c r="Y31" s="1432" t="str">
        <f>Paper!AO15</f>
        <v>N</v>
      </c>
      <c r="AS31" s="137" t="str">
        <f t="shared" si="1"/>
        <v>Paper cost</v>
      </c>
      <c r="AT31" s="413">
        <f t="shared" ca="1" si="2"/>
        <v>0</v>
      </c>
      <c r="AU31" s="136">
        <f ca="1">COUNTIFS(AT$7:$AT31,1)</f>
        <v>1</v>
      </c>
    </row>
    <row r="32" spans="2:47" ht="15" hidden="1" outlineLevel="1">
      <c r="D32" s="1434"/>
      <c r="E32" s="1436"/>
      <c r="F32" s="424"/>
      <c r="I32" s="1463" t="str">
        <f>Paper!A16</f>
        <v>N</v>
      </c>
      <c r="J32" s="2992">
        <f>IF(K32&gt;0,IF(M32=0,MAX(100,$I$5*(1+$K$5)*VLOOKUP(I32,Paper!$A$7:$K$70,11,0)/'Proof cost'!V32),IF($L$2="BOOK",X32,IF($I$6="Offline",IF($V32&gt;0,IF($M32*100&lt;800,800,$M32*100),0),400))),0)</f>
        <v>0</v>
      </c>
      <c r="K32" s="1461">
        <f>Paper!B16</f>
        <v>0</v>
      </c>
      <c r="L32" s="1461">
        <f>Paper!C16</f>
        <v>0</v>
      </c>
      <c r="M32" s="1461">
        <f>Paper!M16</f>
        <v>0</v>
      </c>
      <c r="N32" s="1464">
        <f>Paper!H16</f>
        <v>0</v>
      </c>
      <c r="O32" s="1461" t="s">
        <v>93</v>
      </c>
      <c r="P32" s="1465">
        <f>Paper!N16</f>
        <v>0</v>
      </c>
      <c r="Q32" s="1465">
        <f>Paper!O16</f>
        <v>0</v>
      </c>
      <c r="R32" s="1465">
        <f ca="1">Paper!P16</f>
        <v>0</v>
      </c>
      <c r="S32" s="1465">
        <f>Paper!Q16</f>
        <v>3</v>
      </c>
      <c r="T32" s="1466">
        <f t="shared" ref="T32:T36" ca="1" si="6">((K32*R32*S32*J32)/10^9)*N32</f>
        <v>0</v>
      </c>
      <c r="V32" s="1462">
        <f>Paper!I16</f>
        <v>0</v>
      </c>
      <c r="W32" s="1462">
        <f>Paper!J16</f>
        <v>0</v>
      </c>
      <c r="X32" s="137">
        <f t="shared" ref="X32:X36" si="7">IF($V32=0,0,ROUNDUP($I$5*(1+$K$5)/V32,0)+500)*W32</f>
        <v>0</v>
      </c>
      <c r="Y32" s="1432" t="str">
        <f>Paper!AO16</f>
        <v>N</v>
      </c>
      <c r="AS32" s="137" t="str">
        <f t="shared" si="1"/>
        <v>Paper cost</v>
      </c>
      <c r="AT32" s="413">
        <f t="shared" ca="1" si="2"/>
        <v>0</v>
      </c>
      <c r="AU32" s="136">
        <f ca="1">COUNTIFS(AT$7:$AT32,1)</f>
        <v>1</v>
      </c>
    </row>
    <row r="33" spans="4:47" ht="15" hidden="1" outlineLevel="1">
      <c r="D33" s="1434"/>
      <c r="E33" s="1436"/>
      <c r="F33" s="424"/>
      <c r="I33" s="1463" t="str">
        <f>Paper!A17</f>
        <v>N</v>
      </c>
      <c r="J33" s="2992">
        <f>IF(K33&gt;0,IF(M33=0,MAX(100,$I$5*(1+$K$5)*VLOOKUP(I33,Paper!$A$7:$K$70,11,0)/'Proof cost'!V33),IF($L$2="BOOK",X33,IF($I$6="Offline",IF($V33&gt;0,IF($M33*100&lt;800,800,$M33*100),0),400))),0)</f>
        <v>0</v>
      </c>
      <c r="K33" s="1461">
        <f>Paper!B17</f>
        <v>0</v>
      </c>
      <c r="L33" s="1461">
        <f>Paper!C17</f>
        <v>0</v>
      </c>
      <c r="M33" s="1461">
        <f>Paper!M17</f>
        <v>0</v>
      </c>
      <c r="N33" s="1464">
        <f>Paper!H17</f>
        <v>0</v>
      </c>
      <c r="O33" s="1461" t="s">
        <v>93</v>
      </c>
      <c r="P33" s="1465">
        <f>Paper!N17</f>
        <v>0</v>
      </c>
      <c r="Q33" s="1465">
        <f>Paper!O17</f>
        <v>0</v>
      </c>
      <c r="R33" s="1465">
        <f ca="1">Paper!P17</f>
        <v>0</v>
      </c>
      <c r="S33" s="1465">
        <f>Paper!Q17</f>
        <v>3</v>
      </c>
      <c r="T33" s="1466">
        <f t="shared" ca="1" si="6"/>
        <v>0</v>
      </c>
      <c r="V33" s="1462">
        <f>Paper!I17</f>
        <v>0</v>
      </c>
      <c r="W33" s="1462">
        <f>Paper!J17</f>
        <v>0</v>
      </c>
      <c r="X33" s="137">
        <f t="shared" si="7"/>
        <v>0</v>
      </c>
      <c r="Y33" s="1432" t="str">
        <f>Paper!AO17</f>
        <v>N</v>
      </c>
      <c r="AS33" s="137" t="str">
        <f t="shared" si="1"/>
        <v>Paper cost</v>
      </c>
      <c r="AT33" s="413">
        <f t="shared" ca="1" si="2"/>
        <v>0</v>
      </c>
      <c r="AU33" s="136">
        <f ca="1">COUNTIFS(AT$7:$AT33,1)</f>
        <v>1</v>
      </c>
    </row>
    <row r="34" spans="4:47" ht="15" hidden="1" outlineLevel="1">
      <c r="D34" s="1434"/>
      <c r="E34" s="1436"/>
      <c r="F34" s="424"/>
      <c r="I34" s="1463" t="str">
        <f>Paper!A18</f>
        <v>N</v>
      </c>
      <c r="J34" s="2992">
        <f>IF(K34&gt;0,IF(M34=0,MAX(100,$I$5*(1+$K$5)*VLOOKUP(I34,Paper!$A$7:$K$70,11,0)/'Proof cost'!V34),IF($L$2="BOOK",X34,IF($I$6="Offline",IF($V34&gt;0,IF($M34*100&lt;800,800,$M34*100),0),400))),0)</f>
        <v>0</v>
      </c>
      <c r="K34" s="1461">
        <f>Paper!B18</f>
        <v>0</v>
      </c>
      <c r="L34" s="1461">
        <f>Paper!C18</f>
        <v>0</v>
      </c>
      <c r="M34" s="1461">
        <f>Paper!M18</f>
        <v>0</v>
      </c>
      <c r="N34" s="1464">
        <f>Paper!H18</f>
        <v>0</v>
      </c>
      <c r="O34" s="1461" t="s">
        <v>93</v>
      </c>
      <c r="P34" s="1465">
        <f>Paper!N18</f>
        <v>0</v>
      </c>
      <c r="Q34" s="1465">
        <f>Paper!O18</f>
        <v>0</v>
      </c>
      <c r="R34" s="1465">
        <f ca="1">Paper!P18</f>
        <v>0</v>
      </c>
      <c r="S34" s="1465">
        <f>Paper!Q18</f>
        <v>3</v>
      </c>
      <c r="T34" s="1466">
        <f t="shared" ca="1" si="6"/>
        <v>0</v>
      </c>
      <c r="V34" s="1462">
        <f>Paper!I18</f>
        <v>0</v>
      </c>
      <c r="W34" s="1462">
        <f>Paper!J18</f>
        <v>0</v>
      </c>
      <c r="X34" s="137">
        <f t="shared" si="7"/>
        <v>0</v>
      </c>
      <c r="Y34" s="1432" t="str">
        <f>Paper!AO18</f>
        <v>N</v>
      </c>
      <c r="AS34" s="137" t="str">
        <f t="shared" si="1"/>
        <v>Paper cost</v>
      </c>
      <c r="AT34" s="413">
        <f t="shared" ca="1" si="2"/>
        <v>0</v>
      </c>
      <c r="AU34" s="136">
        <f ca="1">COUNTIFS(AT$7:$AT34,1)</f>
        <v>1</v>
      </c>
    </row>
    <row r="35" spans="4:47" ht="15" hidden="1" outlineLevel="1">
      <c r="D35" s="1434"/>
      <c r="E35" s="1436"/>
      <c r="F35" s="424"/>
      <c r="I35" s="1463" t="str">
        <f>Paper!A19</f>
        <v>N</v>
      </c>
      <c r="J35" s="2992">
        <f>IF(K35&gt;0,IF(M35=0,MAX(100,$I$5*(1+$K$5)*VLOOKUP(I35,Paper!$A$7:$K$70,11,0)/'Proof cost'!V35),IF($L$2="BOOK",X35,IF($I$6="Offline",IF($V35&gt;0,IF($M35*100&lt;800,800,$M35*100),0),400))),0)</f>
        <v>0</v>
      </c>
      <c r="K35" s="1461">
        <f>Paper!B19</f>
        <v>0</v>
      </c>
      <c r="L35" s="1461">
        <f>Paper!C19</f>
        <v>0</v>
      </c>
      <c r="M35" s="1461">
        <f>Paper!M19</f>
        <v>0</v>
      </c>
      <c r="N35" s="1464">
        <f>Paper!H19</f>
        <v>0</v>
      </c>
      <c r="O35" s="1461" t="s">
        <v>93</v>
      </c>
      <c r="P35" s="1465">
        <f>Paper!N19</f>
        <v>0</v>
      </c>
      <c r="Q35" s="1465">
        <f>Paper!O19</f>
        <v>0</v>
      </c>
      <c r="R35" s="1465">
        <f ca="1">Paper!P19</f>
        <v>0</v>
      </c>
      <c r="S35" s="1465">
        <f>Paper!Q19</f>
        <v>3</v>
      </c>
      <c r="T35" s="1466">
        <f t="shared" ca="1" si="6"/>
        <v>0</v>
      </c>
      <c r="V35" s="1462">
        <f>Paper!I19</f>
        <v>0</v>
      </c>
      <c r="W35" s="1462">
        <f>Paper!J19</f>
        <v>0</v>
      </c>
      <c r="X35" s="137">
        <f t="shared" si="7"/>
        <v>0</v>
      </c>
      <c r="Y35" s="1432" t="str">
        <f>Paper!AO19</f>
        <v>N</v>
      </c>
      <c r="AS35" s="137" t="str">
        <f t="shared" si="1"/>
        <v>Paper cost</v>
      </c>
      <c r="AT35" s="413">
        <f t="shared" ca="1" si="2"/>
        <v>0</v>
      </c>
      <c r="AU35" s="136">
        <f ca="1">COUNTIFS(AT$7:$AT35,1)</f>
        <v>1</v>
      </c>
    </row>
    <row r="36" spans="4:47" ht="15" hidden="1" outlineLevel="1">
      <c r="D36" s="1434"/>
      <c r="E36" s="1436"/>
      <c r="F36" s="424"/>
      <c r="I36" s="1463" t="str">
        <f>Paper!A20</f>
        <v>1st</v>
      </c>
      <c r="J36" s="2992">
        <f>IF(K36&gt;0,IF(M36=0,MAX(100,$I$5*(1+$K$5)*VLOOKUP(I36,Paper!$A$7:$K$70,11,0)/'Proof cost'!V36),IF($L$2="BOOK",X36,IF($I$6="Offline",IF($V36&gt;0,IF($M36*100&lt;800,800,$M36*100),0),400))),0)</f>
        <v>0</v>
      </c>
      <c r="K36" s="1461">
        <f>Paper!B20</f>
        <v>0</v>
      </c>
      <c r="L36" s="1461">
        <f>Paper!C20</f>
        <v>0</v>
      </c>
      <c r="M36" s="1461">
        <f>Paper!M20</f>
        <v>0</v>
      </c>
      <c r="N36" s="1464">
        <f>Paper!H20</f>
        <v>0</v>
      </c>
      <c r="O36" s="1461" t="s">
        <v>93</v>
      </c>
      <c r="P36" s="1465">
        <f>Paper!N20</f>
        <v>0</v>
      </c>
      <c r="Q36" s="1465">
        <f>Paper!O20</f>
        <v>0</v>
      </c>
      <c r="R36" s="1465">
        <f ca="1">Paper!P20</f>
        <v>0</v>
      </c>
      <c r="S36" s="1465">
        <f>Paper!Q20</f>
        <v>3</v>
      </c>
      <c r="T36" s="1466">
        <f t="shared" ca="1" si="6"/>
        <v>0</v>
      </c>
      <c r="V36" s="1462">
        <f>Paper!I20</f>
        <v>0</v>
      </c>
      <c r="W36" s="1462">
        <f>Paper!J20</f>
        <v>0</v>
      </c>
      <c r="X36" s="137">
        <f t="shared" si="7"/>
        <v>0</v>
      </c>
      <c r="Y36" s="1432" t="str">
        <f>Paper!AO20</f>
        <v>N</v>
      </c>
      <c r="AS36" s="137" t="str">
        <f t="shared" si="1"/>
        <v>Paper cost</v>
      </c>
      <c r="AT36" s="413">
        <f t="shared" ca="1" si="2"/>
        <v>0</v>
      </c>
      <c r="AU36" s="136">
        <f ca="1">COUNTIFS(AT$7:$AT36,1)</f>
        <v>1</v>
      </c>
    </row>
    <row r="37" spans="4:47" ht="15" hidden="1" outlineLevel="1">
      <c r="D37" s="1434"/>
      <c r="E37" s="1436"/>
      <c r="F37" s="424"/>
      <c r="I37" s="1463" t="str">
        <f>Paper!A21</f>
        <v>1st</v>
      </c>
      <c r="J37" s="2992">
        <f>IF(K37&gt;0,IF(M37=0,MAX(100,$I$5*(1+$K$5)*VLOOKUP(I37,Paper!$A$7:$K$70,11,0)/'Proof cost'!V37),IF($L$2="BOOK",X37,IF($I$6="Offline",IF($V37&gt;0,IF($M37*100&lt;800,800,$M37*100),0),400))),0)</f>
        <v>0</v>
      </c>
      <c r="K37" s="1461">
        <f>Paper!B21</f>
        <v>0</v>
      </c>
      <c r="L37" s="1461">
        <f>Paper!C21</f>
        <v>0</v>
      </c>
      <c r="M37" s="1461">
        <f>Paper!M21</f>
        <v>0</v>
      </c>
      <c r="N37" s="1464">
        <f>Paper!H21</f>
        <v>0</v>
      </c>
      <c r="O37" s="1461" t="s">
        <v>93</v>
      </c>
      <c r="P37" s="1465">
        <f>Paper!N21</f>
        <v>0</v>
      </c>
      <c r="Q37" s="1465">
        <f>Paper!O21</f>
        <v>0</v>
      </c>
      <c r="R37" s="1465">
        <f ca="1">Paper!P21</f>
        <v>0</v>
      </c>
      <c r="S37" s="1465">
        <f>Paper!Q21</f>
        <v>3</v>
      </c>
      <c r="T37" s="1466">
        <f t="shared" ca="1" si="4"/>
        <v>0</v>
      </c>
      <c r="V37" s="1462">
        <f>Paper!I21</f>
        <v>0</v>
      </c>
      <c r="W37" s="1462">
        <f>Paper!J21</f>
        <v>0</v>
      </c>
      <c r="X37" s="137">
        <f t="shared" si="5"/>
        <v>0</v>
      </c>
      <c r="Y37" s="1432" t="str">
        <f>Paper!AO21</f>
        <v>N</v>
      </c>
      <c r="AS37" s="137" t="str">
        <f t="shared" si="1"/>
        <v>Paper cost</v>
      </c>
      <c r="AT37" s="413">
        <f t="shared" ca="1" si="2"/>
        <v>0</v>
      </c>
      <c r="AU37" s="136">
        <f ca="1">COUNTIFS(AT$7:$AT37,1)</f>
        <v>1</v>
      </c>
    </row>
    <row r="38" spans="4:47" ht="15" hidden="1" outlineLevel="1">
      <c r="D38" s="1434"/>
      <c r="E38" s="1436"/>
      <c r="F38" s="424"/>
      <c r="I38" s="1463" t="str">
        <f>Paper!A27</f>
        <v>N</v>
      </c>
      <c r="J38" s="2992">
        <f>IF(K38&gt;0,IF(M38=0,MAX(100,$I$5*(1+$K$5)*VLOOKUP(I38,Paper!$A$7:$K$70,11,0)/'Proof cost'!V38),IF($L$2="BOOK",X38,IF($I$6="Offline",IF($V38&gt;0,IF($M38*100&lt;800,800,$M38*100),0),400))),0)</f>
        <v>0</v>
      </c>
      <c r="K38" s="1461">
        <f>Paper!B27</f>
        <v>0</v>
      </c>
      <c r="L38" s="1461">
        <f>Paper!C27</f>
        <v>0</v>
      </c>
      <c r="M38" s="1461">
        <f>Paper!M27</f>
        <v>0</v>
      </c>
      <c r="N38" s="1464">
        <f>Paper!H27</f>
        <v>0</v>
      </c>
      <c r="O38" s="1461" t="s">
        <v>1174</v>
      </c>
      <c r="P38" s="1465">
        <f>Paper!N27</f>
        <v>0</v>
      </c>
      <c r="Q38" s="1465">
        <f>Paper!O27</f>
        <v>0</v>
      </c>
      <c r="R38" s="1465">
        <f>Paper!P27</f>
        <v>0</v>
      </c>
      <c r="S38" s="1465">
        <f>Paper!Q27</f>
        <v>0</v>
      </c>
      <c r="T38" s="1466">
        <f>((R38*S38*J38)/10^6)*N38</f>
        <v>0</v>
      </c>
      <c r="V38" s="1462">
        <f>Paper!I27</f>
        <v>0</v>
      </c>
      <c r="W38" s="1462">
        <f>Paper!J27</f>
        <v>0</v>
      </c>
      <c r="X38" s="137">
        <f t="shared" si="5"/>
        <v>0</v>
      </c>
      <c r="Y38" s="1432" t="str">
        <f>Paper!AO27</f>
        <v>N</v>
      </c>
      <c r="AS38" s="137" t="str">
        <f t="shared" si="1"/>
        <v>Paper cost</v>
      </c>
      <c r="AT38" s="413">
        <f t="shared" si="2"/>
        <v>0</v>
      </c>
      <c r="AU38" s="136">
        <f ca="1">COUNTIFS(AT$7:$AT38,1)</f>
        <v>1</v>
      </c>
    </row>
    <row r="39" spans="4:47" ht="15" hidden="1" outlineLevel="1">
      <c r="D39" s="1434"/>
      <c r="E39" s="1436"/>
      <c r="F39" s="424"/>
      <c r="I39" s="1463" t="str">
        <f>Paper!A28</f>
        <v>N</v>
      </c>
      <c r="J39" s="2992">
        <f>IF(K39&gt;0,IF(M39=0,MAX(100,$I$5*(1+$K$5)*VLOOKUP(I39,Paper!$A$7:$K$70,11,0)/'Proof cost'!V39),IF($L$2="BOOK",X39,IF($I$6="Offline",IF($V39&gt;0,IF($M39*100&lt;800,800,$M39*100),0),400))),0)</f>
        <v>0</v>
      </c>
      <c r="K39" s="1461">
        <f>Paper!B28</f>
        <v>0</v>
      </c>
      <c r="L39" s="1461">
        <f>Paper!C28</f>
        <v>0</v>
      </c>
      <c r="M39" s="1461">
        <f>Paper!M28</f>
        <v>0</v>
      </c>
      <c r="N39" s="1464">
        <f>Paper!H28</f>
        <v>0</v>
      </c>
      <c r="O39" s="1461" t="s">
        <v>1174</v>
      </c>
      <c r="P39" s="1465">
        <f>Paper!N28</f>
        <v>0</v>
      </c>
      <c r="Q39" s="1465">
        <f>Paper!O28</f>
        <v>0</v>
      </c>
      <c r="R39" s="1465">
        <f>Paper!P28</f>
        <v>0</v>
      </c>
      <c r="S39" s="1465">
        <f>Paper!Q28</f>
        <v>0</v>
      </c>
      <c r="T39" s="1466">
        <f>((R39*S39*J39)/10^6)*N39</f>
        <v>0</v>
      </c>
      <c r="V39" s="1462">
        <f>Paper!I28</f>
        <v>0</v>
      </c>
      <c r="W39" s="1462">
        <f>Paper!J28</f>
        <v>0</v>
      </c>
      <c r="X39" s="137">
        <f t="shared" si="5"/>
        <v>0</v>
      </c>
      <c r="Y39" s="1432" t="str">
        <f>Paper!AO28</f>
        <v>N</v>
      </c>
      <c r="AS39" s="137" t="str">
        <f t="shared" si="1"/>
        <v>Paper cost</v>
      </c>
      <c r="AT39" s="413">
        <f t="shared" si="2"/>
        <v>0</v>
      </c>
      <c r="AU39" s="136">
        <f ca="1">COUNTIFS(AT$7:$AT39,1)</f>
        <v>1</v>
      </c>
    </row>
    <row r="40" spans="4:47" ht="15" hidden="1" outlineLevel="1">
      <c r="D40" s="1434"/>
      <c r="E40" s="1436"/>
      <c r="F40" s="424"/>
      <c r="I40" s="1463" t="str">
        <f>Paper!A29</f>
        <v>N</v>
      </c>
      <c r="J40" s="2992">
        <f>IF(K40&gt;0,IF(M40=0,MAX(100,$I$5*(1+$K$5)*VLOOKUP(I40,Paper!$A$7:$K$70,11,0)/'Proof cost'!V40),IF($L$2="BOOK",X40,IF($I$6="Offline",IF($V40&gt;0,IF($M40*100&lt;800,800,$M40*100),0),400))),0)</f>
        <v>0</v>
      </c>
      <c r="K40" s="1461">
        <f>Paper!B29</f>
        <v>0</v>
      </c>
      <c r="L40" s="1461">
        <f>Paper!C29</f>
        <v>0</v>
      </c>
      <c r="M40" s="1461">
        <f>Paper!M29</f>
        <v>0</v>
      </c>
      <c r="N40" s="1464">
        <f>Paper!H29</f>
        <v>0</v>
      </c>
      <c r="O40" s="1461" t="s">
        <v>1174</v>
      </c>
      <c r="P40" s="1465">
        <f>Paper!N29</f>
        <v>0</v>
      </c>
      <c r="Q40" s="1465">
        <f>Paper!O29</f>
        <v>0</v>
      </c>
      <c r="R40" s="1465">
        <f>Paper!P29</f>
        <v>0</v>
      </c>
      <c r="S40" s="1465">
        <f>Paper!Q29</f>
        <v>0</v>
      </c>
      <c r="T40" s="1466">
        <f>((R40*S40*J40)/10^6)*N40</f>
        <v>0</v>
      </c>
      <c r="V40" s="1462">
        <f>Paper!I29</f>
        <v>0</v>
      </c>
      <c r="W40" s="1462">
        <f>Paper!J29</f>
        <v>0</v>
      </c>
      <c r="X40" s="137">
        <f t="shared" si="5"/>
        <v>0</v>
      </c>
      <c r="Y40" s="1432" t="str">
        <f>Paper!AO29</f>
        <v>N</v>
      </c>
      <c r="AS40" s="137" t="str">
        <f t="shared" si="1"/>
        <v>Paper cost</v>
      </c>
      <c r="AT40" s="413">
        <f t="shared" si="2"/>
        <v>0</v>
      </c>
      <c r="AU40" s="136">
        <f ca="1">COUNTIFS(AT$7:$AT40,1)</f>
        <v>1</v>
      </c>
    </row>
    <row r="41" spans="4:47" ht="15" hidden="1" outlineLevel="1">
      <c r="D41" s="1434"/>
      <c r="E41" s="1436"/>
      <c r="F41" s="424"/>
      <c r="I41" s="1463" t="str">
        <f>Paper!A34</f>
        <v>N</v>
      </c>
      <c r="J41" s="2992">
        <f>IF(K41&gt;0,IF(M41=0,MAX(100,$I$5*(1+$K$5)*VLOOKUP(I41,Paper!$A$7:$K$70,11,0)/'Proof cost'!V41),IF($L$2="BOOK",X41,IF($I$6="Offline",IF($V41&gt;0,IF($M41*100&lt;800,800,$M41*100),0),400))),0)</f>
        <v>0</v>
      </c>
      <c r="K41" s="1461">
        <f>Paper!B34</f>
        <v>0</v>
      </c>
      <c r="L41" s="1461">
        <f>Paper!C34</f>
        <v>0</v>
      </c>
      <c r="M41" s="1461">
        <v>0</v>
      </c>
      <c r="N41" s="1464">
        <f>Paper!H34</f>
        <v>0</v>
      </c>
      <c r="O41" s="1461" t="s">
        <v>93</v>
      </c>
      <c r="P41" s="1465">
        <f>Paper!N34</f>
        <v>0</v>
      </c>
      <c r="Q41" s="1465">
        <f>Paper!O34</f>
        <v>0</v>
      </c>
      <c r="R41" s="1465">
        <f>Paper!P34</f>
        <v>0</v>
      </c>
      <c r="S41" s="1465">
        <f>Paper!Q34</f>
        <v>0</v>
      </c>
      <c r="T41" s="1466">
        <f>((K41*R41*S41*J41)/10^9)*N41</f>
        <v>0</v>
      </c>
      <c r="V41" s="1462">
        <f>Paper!I34</f>
        <v>0</v>
      </c>
      <c r="W41" s="1462">
        <f>Paper!J34</f>
        <v>0</v>
      </c>
      <c r="X41" s="137">
        <f t="shared" si="5"/>
        <v>0</v>
      </c>
      <c r="Y41" s="1432" t="str">
        <f>Paper!AO34</f>
        <v>N</v>
      </c>
      <c r="AS41" s="137" t="str">
        <f t="shared" si="1"/>
        <v>Paper cost</v>
      </c>
      <c r="AT41" s="413">
        <f t="shared" si="2"/>
        <v>0</v>
      </c>
      <c r="AU41" s="136">
        <f ca="1">COUNTIFS(AT$7:$AT41,1)</f>
        <v>1</v>
      </c>
    </row>
    <row r="42" spans="4:47" ht="15" hidden="1" outlineLevel="1">
      <c r="D42" s="1434"/>
      <c r="E42" s="1436"/>
      <c r="F42" s="424"/>
      <c r="I42" s="1463" t="str">
        <f>Paper!A35</f>
        <v>N</v>
      </c>
      <c r="J42" s="2992">
        <f>IF(K42&gt;0,IF(M42=0,MAX(100,$I$5*(1+$K$5)*VLOOKUP(I42,Paper!$A$7:$K$70,11,0)/'Proof cost'!V42),IF($L$2="BOOK",X42,IF($I$6="Offline",IF($V42&gt;0,IF($M42*100&lt;800,800,$M42*100),0),400))),0)</f>
        <v>0</v>
      </c>
      <c r="K42" s="1461">
        <f>Paper!B35</f>
        <v>0</v>
      </c>
      <c r="L42" s="1461">
        <f>Paper!C35</f>
        <v>0</v>
      </c>
      <c r="M42" s="1461">
        <v>0</v>
      </c>
      <c r="N42" s="1464">
        <f>Paper!H35</f>
        <v>0</v>
      </c>
      <c r="O42" s="1461" t="s">
        <v>93</v>
      </c>
      <c r="P42" s="1465">
        <f>Paper!N35</f>
        <v>0</v>
      </c>
      <c r="Q42" s="1465">
        <f>Paper!O35</f>
        <v>0</v>
      </c>
      <c r="R42" s="1465">
        <f>Paper!P35</f>
        <v>0</v>
      </c>
      <c r="S42" s="1465">
        <f>Paper!Q35</f>
        <v>0</v>
      </c>
      <c r="T42" s="1466">
        <f t="shared" ref="T42:T50" si="8">((K42*R42*S42*J42)/10^9)*N42</f>
        <v>0</v>
      </c>
      <c r="V42" s="1462">
        <f>Paper!I35</f>
        <v>0</v>
      </c>
      <c r="W42" s="1462">
        <f>Paper!J35</f>
        <v>0</v>
      </c>
      <c r="X42" s="137">
        <f t="shared" si="5"/>
        <v>0</v>
      </c>
      <c r="Y42" s="1432" t="str">
        <f>Paper!AO35</f>
        <v>N</v>
      </c>
      <c r="AS42" s="137" t="str">
        <f t="shared" si="1"/>
        <v>Paper cost</v>
      </c>
      <c r="AT42" s="413">
        <f t="shared" si="2"/>
        <v>0</v>
      </c>
      <c r="AU42" s="136">
        <f ca="1">COUNTIFS(AT$7:$AT42,1)</f>
        <v>1</v>
      </c>
    </row>
    <row r="43" spans="4:47" ht="15" hidden="1" outlineLevel="1">
      <c r="D43" s="1434"/>
      <c r="E43" s="1436"/>
      <c r="F43" s="424"/>
      <c r="I43" s="1463" t="str">
        <f>Paper!A36</f>
        <v>N</v>
      </c>
      <c r="J43" s="2992">
        <f>IF(K43&gt;0,IF(M43=0,MAX(100,$I$5*(1+$K$5)*VLOOKUP(I43,Paper!$A$7:$K$70,11,0)/'Proof cost'!V43),IF($L$2="BOOK",X43,IF($I$6="Offline",IF($V43&gt;0,IF($M43*100&lt;800,800,$M43*100),0),400))),0)</f>
        <v>0</v>
      </c>
      <c r="K43" s="1461">
        <f>Paper!B36</f>
        <v>0</v>
      </c>
      <c r="L43" s="1461">
        <f>Paper!C36</f>
        <v>0</v>
      </c>
      <c r="M43" s="1461">
        <v>0</v>
      </c>
      <c r="N43" s="1464">
        <f>Paper!H36</f>
        <v>0</v>
      </c>
      <c r="O43" s="1461" t="s">
        <v>93</v>
      </c>
      <c r="P43" s="1465">
        <f>Paper!N36</f>
        <v>0</v>
      </c>
      <c r="Q43" s="1465">
        <f>Paper!O36</f>
        <v>0</v>
      </c>
      <c r="R43" s="1465">
        <f>Paper!P36</f>
        <v>0</v>
      </c>
      <c r="S43" s="1465">
        <f>Paper!Q36</f>
        <v>0</v>
      </c>
      <c r="T43" s="1466">
        <f t="shared" si="8"/>
        <v>0</v>
      </c>
      <c r="V43" s="1462">
        <f>Paper!I36</f>
        <v>0</v>
      </c>
      <c r="W43" s="1462">
        <f>Paper!J36</f>
        <v>0</v>
      </c>
      <c r="X43" s="137">
        <f t="shared" si="5"/>
        <v>0</v>
      </c>
      <c r="Y43" s="1432" t="str">
        <f>Paper!AO36</f>
        <v>N</v>
      </c>
      <c r="AS43" s="137" t="str">
        <f t="shared" si="1"/>
        <v>Paper cost</v>
      </c>
      <c r="AT43" s="413">
        <f t="shared" si="2"/>
        <v>0</v>
      </c>
      <c r="AU43" s="136">
        <f ca="1">COUNTIFS(AT$7:$AT43,1)</f>
        <v>1</v>
      </c>
    </row>
    <row r="44" spans="4:47" ht="15" hidden="1" outlineLevel="1">
      <c r="D44" s="1434"/>
      <c r="E44" s="1436"/>
      <c r="F44" s="424"/>
      <c r="I44" s="1463" t="str">
        <f>Paper!A37</f>
        <v>N</v>
      </c>
      <c r="J44" s="2992">
        <f>IF(K44&gt;0,IF(M44=0,MAX(100,$I$5*(1+$K$5)*VLOOKUP(I44,Paper!$A$7:$K$70,11,0)/'Proof cost'!V44),IF($L$2="BOOK",X44,IF($I$6="Offline",IF($V44&gt;0,IF($M44*100&lt;800,800,$M44*100),0),400))),0)</f>
        <v>0</v>
      </c>
      <c r="K44" s="1461">
        <f>Paper!B37</f>
        <v>0</v>
      </c>
      <c r="L44" s="1461">
        <f>Paper!C37</f>
        <v>0</v>
      </c>
      <c r="M44" s="1461">
        <v>0</v>
      </c>
      <c r="N44" s="1464">
        <f>Paper!H37</f>
        <v>0</v>
      </c>
      <c r="O44" s="1461" t="s">
        <v>93</v>
      </c>
      <c r="P44" s="1465">
        <f>Paper!N37</f>
        <v>0</v>
      </c>
      <c r="Q44" s="1465">
        <f>Paper!O37</f>
        <v>0</v>
      </c>
      <c r="R44" s="1465">
        <f>Paper!P37</f>
        <v>0</v>
      </c>
      <c r="S44" s="1465">
        <f>Paper!Q37</f>
        <v>0</v>
      </c>
      <c r="T44" s="1466">
        <f t="shared" si="8"/>
        <v>0</v>
      </c>
      <c r="V44" s="1462">
        <f>Paper!I37</f>
        <v>0</v>
      </c>
      <c r="W44" s="1462">
        <f>Paper!J37</f>
        <v>0</v>
      </c>
      <c r="X44" s="137">
        <f t="shared" si="5"/>
        <v>0</v>
      </c>
      <c r="Y44" s="1432" t="str">
        <f>Paper!AO37</f>
        <v>N</v>
      </c>
      <c r="AS44" s="137" t="str">
        <f t="shared" si="1"/>
        <v>Paper cost</v>
      </c>
      <c r="AT44" s="413">
        <f t="shared" si="2"/>
        <v>0</v>
      </c>
      <c r="AU44" s="136">
        <f ca="1">COUNTIFS(AT$7:$AT44,1)</f>
        <v>1</v>
      </c>
    </row>
    <row r="45" spans="4:47" ht="15" hidden="1" outlineLevel="1">
      <c r="D45" s="1434"/>
      <c r="E45" s="1436"/>
      <c r="F45" s="424"/>
      <c r="I45" s="1463" t="str">
        <f>Paper!A38</f>
        <v>N</v>
      </c>
      <c r="J45" s="2992">
        <f>IF(K45&gt;0,IF(M45=0,MAX(100,$I$5*(1+$K$5)*VLOOKUP(I45,Paper!$A$7:$K$70,11,0)/'Proof cost'!V45),IF($L$2="BOOK",X45,IF($I$6="Offline",IF($V45&gt;0,IF($M45*100&lt;800,800,$M45*100),0),400))),0)</f>
        <v>0</v>
      </c>
      <c r="K45" s="1461">
        <f>Paper!B38</f>
        <v>0</v>
      </c>
      <c r="L45" s="1461">
        <f>Paper!C38</f>
        <v>0</v>
      </c>
      <c r="M45" s="1461">
        <v>0</v>
      </c>
      <c r="N45" s="1464">
        <f>Paper!H38</f>
        <v>0</v>
      </c>
      <c r="O45" s="1461" t="s">
        <v>93</v>
      </c>
      <c r="P45" s="1465">
        <f>Paper!N38</f>
        <v>0</v>
      </c>
      <c r="Q45" s="1465">
        <f>Paper!O38</f>
        <v>0</v>
      </c>
      <c r="R45" s="1465">
        <f>Paper!P38</f>
        <v>0</v>
      </c>
      <c r="S45" s="1465">
        <f>Paper!Q38</f>
        <v>0</v>
      </c>
      <c r="T45" s="1466">
        <f>((K45*R45*S45*J45)/10^9)*N45</f>
        <v>0</v>
      </c>
      <c r="V45" s="1462">
        <f>Paper!I38</f>
        <v>0</v>
      </c>
      <c r="W45" s="1462">
        <f>Paper!J38</f>
        <v>0</v>
      </c>
      <c r="X45" s="137">
        <f t="shared" si="5"/>
        <v>0</v>
      </c>
      <c r="Y45" s="1432" t="str">
        <f>Paper!AO38</f>
        <v>N</v>
      </c>
      <c r="AS45" s="137" t="str">
        <f t="shared" si="1"/>
        <v>Paper cost</v>
      </c>
      <c r="AT45" s="413">
        <f t="shared" si="2"/>
        <v>0</v>
      </c>
      <c r="AU45" s="136">
        <f ca="1">COUNTIFS(AT$7:$AT45,1)</f>
        <v>1</v>
      </c>
    </row>
    <row r="46" spans="4:47" ht="15" hidden="1" outlineLevel="1">
      <c r="D46" s="1434"/>
      <c r="E46" s="1436"/>
      <c r="F46" s="424"/>
      <c r="I46" s="1463" t="str">
        <f>Paper!A39</f>
        <v>N</v>
      </c>
      <c r="J46" s="2992">
        <f>IF(K46&gt;0,IF(M46=0,MAX(100,$I$5*(1+$K$5)*VLOOKUP(I46,Paper!$A$7:$K$70,11,0)/'Proof cost'!V46),IF($L$2="BOOK",X46,IF($I$6="Offline",IF($V46&gt;0,IF($M46*100&lt;800,800,$M46*100),0),400))),0)</f>
        <v>0</v>
      </c>
      <c r="K46" s="1461">
        <f>Paper!B39</f>
        <v>0</v>
      </c>
      <c r="L46" s="1461">
        <f>Paper!C39</f>
        <v>0</v>
      </c>
      <c r="M46" s="1461">
        <v>0</v>
      </c>
      <c r="N46" s="1464">
        <f>Paper!H39</f>
        <v>0</v>
      </c>
      <c r="O46" s="1461" t="s">
        <v>93</v>
      </c>
      <c r="P46" s="1465">
        <f>Paper!N39</f>
        <v>0</v>
      </c>
      <c r="Q46" s="1465">
        <f>Paper!O39</f>
        <v>0</v>
      </c>
      <c r="R46" s="1465">
        <f>Paper!P39</f>
        <v>0</v>
      </c>
      <c r="S46" s="1465">
        <f>Paper!Q39</f>
        <v>0</v>
      </c>
      <c r="T46" s="1466">
        <f>((K46*R46*S46*J46)/10^9)*N46</f>
        <v>0</v>
      </c>
      <c r="V46" s="1462">
        <f>Paper!I39</f>
        <v>0</v>
      </c>
      <c r="W46" s="1462">
        <f>Paper!J39</f>
        <v>0</v>
      </c>
      <c r="X46" s="137">
        <f t="shared" si="5"/>
        <v>0</v>
      </c>
      <c r="Y46" s="1432" t="str">
        <f>Paper!AO39</f>
        <v>N</v>
      </c>
      <c r="AS46" s="137" t="str">
        <f t="shared" si="1"/>
        <v>Paper cost</v>
      </c>
      <c r="AT46" s="413">
        <f t="shared" si="2"/>
        <v>0</v>
      </c>
      <c r="AU46" s="136">
        <f ca="1">COUNTIFS(AT$7:$AT46,1)</f>
        <v>1</v>
      </c>
    </row>
    <row r="47" spans="4:47" ht="15" hidden="1" outlineLevel="1">
      <c r="D47" s="1434"/>
      <c r="E47" s="1436"/>
      <c r="F47" s="424"/>
      <c r="I47" s="1463" t="str">
        <f>Paper!A40</f>
        <v>N</v>
      </c>
      <c r="J47" s="2992">
        <f>IF(K47&gt;0,IF(M47=0,MAX(100,$I$5*(1+$K$5)*VLOOKUP(I47,Paper!$A$7:$K$70,11,0)/'Proof cost'!V47),IF($L$2="BOOK",X47,IF($I$6="Offline",IF($V47&gt;0,IF($M47*100&lt;800,800,$M47*100),0),400))),0)</f>
        <v>0</v>
      </c>
      <c r="K47" s="1461">
        <f>Paper!B40</f>
        <v>0</v>
      </c>
      <c r="L47" s="1461">
        <f>Paper!C40</f>
        <v>0</v>
      </c>
      <c r="M47" s="1461">
        <v>0</v>
      </c>
      <c r="N47" s="1464">
        <f>Paper!H40</f>
        <v>0</v>
      </c>
      <c r="O47" s="1461" t="s">
        <v>93</v>
      </c>
      <c r="P47" s="1465">
        <f>Paper!N40</f>
        <v>0</v>
      </c>
      <c r="Q47" s="1465">
        <f>Paper!O40</f>
        <v>0</v>
      </c>
      <c r="R47" s="1465">
        <f>Paper!P40</f>
        <v>0</v>
      </c>
      <c r="S47" s="1465">
        <f>Paper!Q40</f>
        <v>0</v>
      </c>
      <c r="T47" s="1466">
        <f>((K47*R47*S47*J47)/10^9)*N47</f>
        <v>0</v>
      </c>
      <c r="V47" s="1462">
        <f>Paper!I40</f>
        <v>0</v>
      </c>
      <c r="W47" s="1462">
        <f>Paper!J40</f>
        <v>0</v>
      </c>
      <c r="X47" s="137">
        <f t="shared" si="5"/>
        <v>0</v>
      </c>
      <c r="Y47" s="1432" t="str">
        <f>Paper!AO40</f>
        <v>N</v>
      </c>
      <c r="AS47" s="137" t="str">
        <f t="shared" si="1"/>
        <v>Paper cost</v>
      </c>
      <c r="AT47" s="413">
        <f t="shared" si="2"/>
        <v>0</v>
      </c>
      <c r="AU47" s="136">
        <f ca="1">COUNTIFS(AT$7:$AT47,1)</f>
        <v>1</v>
      </c>
    </row>
    <row r="48" spans="4:47" ht="15" hidden="1" outlineLevel="1">
      <c r="D48" s="1434"/>
      <c r="E48" s="1436"/>
      <c r="F48" s="424"/>
      <c r="I48" s="1463" t="str">
        <f ca="1">Paper!A41</f>
        <v>N</v>
      </c>
      <c r="J48" s="2992">
        <f ca="1">IF(K48&gt;0,IF(M48=0,MAX(100,$I$5*(1+$K$5)*VLOOKUP(I48,Paper!$A$7:$K$70,11,0)/'Proof cost'!V48),IF($L$2="BOOK",X48,IF($I$6="Offline",IF($V48&gt;0,IF($M48*100&lt;800,800,$M48*100),0),400))),0)</f>
        <v>0</v>
      </c>
      <c r="K48" s="1461">
        <f ca="1">Paper!B41</f>
        <v>0</v>
      </c>
      <c r="L48" s="1461">
        <f ca="1">Paper!C41</f>
        <v>0</v>
      </c>
      <c r="M48" s="1461">
        <v>0</v>
      </c>
      <c r="N48" s="1464">
        <f ca="1">Paper!H41</f>
        <v>0</v>
      </c>
      <c r="O48" s="1461" t="s">
        <v>93</v>
      </c>
      <c r="P48" s="1465">
        <f ca="1">Paper!N41</f>
        <v>0</v>
      </c>
      <c r="Q48" s="1465">
        <f ca="1">Paper!O41</f>
        <v>0</v>
      </c>
      <c r="R48" s="1465">
        <f ca="1">Paper!P41</f>
        <v>0</v>
      </c>
      <c r="S48" s="1465">
        <f ca="1">Paper!Q41</f>
        <v>0</v>
      </c>
      <c r="T48" s="1466">
        <f ca="1">((K48*R48*S48*J48)/10^9)*N48</f>
        <v>0</v>
      </c>
      <c r="V48" s="1462">
        <f ca="1">Paper!I41</f>
        <v>0</v>
      </c>
      <c r="W48" s="1462">
        <f ca="1">Paper!J41</f>
        <v>0</v>
      </c>
      <c r="X48" s="137">
        <f t="shared" ca="1" si="5"/>
        <v>0</v>
      </c>
      <c r="Y48" s="1432">
        <f ca="1">Paper!AO41</f>
        <v>0</v>
      </c>
      <c r="AS48" s="137" t="str">
        <f t="shared" si="1"/>
        <v>Paper cost</v>
      </c>
      <c r="AT48" s="413">
        <f t="shared" ca="1" si="2"/>
        <v>0</v>
      </c>
      <c r="AU48" s="136">
        <f ca="1">COUNTIFS(AT$7:$AT48,1)</f>
        <v>1</v>
      </c>
    </row>
    <row r="49" spans="2:47" ht="15" hidden="1" outlineLevel="1">
      <c r="D49" s="1434"/>
      <c r="E49" s="1436"/>
      <c r="F49" s="424"/>
      <c r="I49" s="1463" t="str">
        <f ca="1">Paper!A47</f>
        <v>N</v>
      </c>
      <c r="J49" s="2992">
        <f ca="1">IF(K49&gt;0,IF(M49=0,MAX(100,$I$5*(1+$K$5)*VLOOKUP(I49,Paper!$A$7:$K$70,11,0)/'Proof cost'!V49),IF($L$2="BOOK",X49,IF($I$6="Offline",IF($V49&gt;0,IF($M49*100&lt;800,800,$M49*100),0),400))),0)</f>
        <v>0</v>
      </c>
      <c r="K49" s="1461">
        <f ca="1">Paper!B47</f>
        <v>0</v>
      </c>
      <c r="L49" s="1461">
        <f ca="1">Paper!C47</f>
        <v>0</v>
      </c>
      <c r="M49" s="1461">
        <v>0</v>
      </c>
      <c r="N49" s="1464">
        <f ca="1">Paper!H47</f>
        <v>0</v>
      </c>
      <c r="O49" s="1461" t="s">
        <v>93</v>
      </c>
      <c r="P49" s="1465">
        <f ca="1">Paper!N47</f>
        <v>0</v>
      </c>
      <c r="Q49" s="1465">
        <f ca="1">Paper!O47</f>
        <v>0</v>
      </c>
      <c r="R49" s="1465">
        <f ca="1">Paper!P47</f>
        <v>0</v>
      </c>
      <c r="S49" s="1465">
        <f ca="1">Paper!Q47</f>
        <v>0</v>
      </c>
      <c r="T49" s="1466">
        <f ca="1">((K49*R49*S49*J49)/10^9)*N49</f>
        <v>0</v>
      </c>
      <c r="V49" s="1462">
        <f ca="1">Paper!I47</f>
        <v>0</v>
      </c>
      <c r="W49" s="1462">
        <f ca="1">Paper!J47</f>
        <v>0</v>
      </c>
      <c r="X49" s="137">
        <f t="shared" ca="1" si="5"/>
        <v>0</v>
      </c>
      <c r="Y49" s="1432">
        <f ca="1">Paper!AO47</f>
        <v>0</v>
      </c>
      <c r="AS49" s="137" t="str">
        <f t="shared" si="1"/>
        <v>Paper cost</v>
      </c>
      <c r="AT49" s="413">
        <f t="shared" ca="1" si="2"/>
        <v>0</v>
      </c>
      <c r="AU49" s="136">
        <f ca="1">COUNTIFS(AT$7:$AT49,1)</f>
        <v>1</v>
      </c>
    </row>
    <row r="50" spans="2:47" ht="15" hidden="1" outlineLevel="1">
      <c r="D50" s="1434"/>
      <c r="E50" s="1436"/>
      <c r="F50" s="424"/>
      <c r="I50" s="1463" t="str">
        <f ca="1">Paper!A48</f>
        <v>N</v>
      </c>
      <c r="J50" s="2992">
        <f ca="1">IF(K50&gt;0,IF(M50=0,MAX(100,$I$5*(1+$K$5)*VLOOKUP(I50,Paper!$A$7:$K$70,11,0)/'Proof cost'!V50),IF($L$2="BOOK",X50,IF($I$6="Offline",IF($V50&gt;0,IF($M50*100&lt;800,800,$M50*100),0),400))),0)</f>
        <v>0</v>
      </c>
      <c r="K50" s="1461">
        <f ca="1">Paper!B48</f>
        <v>0</v>
      </c>
      <c r="L50" s="1461">
        <f ca="1">Paper!C48</f>
        <v>0</v>
      </c>
      <c r="M50" s="1461">
        <v>0</v>
      </c>
      <c r="N50" s="1464">
        <f ca="1">Paper!H48</f>
        <v>0</v>
      </c>
      <c r="O50" s="1461" t="s">
        <v>93</v>
      </c>
      <c r="P50" s="1465">
        <f ca="1">Paper!N48</f>
        <v>0</v>
      </c>
      <c r="Q50" s="1465">
        <f ca="1">Paper!O48</f>
        <v>0</v>
      </c>
      <c r="R50" s="1465">
        <f ca="1">Paper!P48</f>
        <v>0</v>
      </c>
      <c r="S50" s="1465">
        <f ca="1">Paper!Q48</f>
        <v>0</v>
      </c>
      <c r="T50" s="1466">
        <f t="shared" ca="1" si="8"/>
        <v>0</v>
      </c>
      <c r="V50" s="1462">
        <f ca="1">Paper!I48</f>
        <v>0</v>
      </c>
      <c r="W50" s="1462">
        <f ca="1">Paper!J48</f>
        <v>0</v>
      </c>
      <c r="X50" s="137">
        <f t="shared" ca="1" si="5"/>
        <v>0</v>
      </c>
      <c r="Y50" s="1432">
        <f ca="1">Paper!AO48</f>
        <v>0</v>
      </c>
      <c r="AS50" s="137" t="str">
        <f t="shared" si="1"/>
        <v>Paper cost</v>
      </c>
      <c r="AT50" s="413">
        <f t="shared" ca="1" si="2"/>
        <v>0</v>
      </c>
      <c r="AU50" s="136">
        <f ca="1">COUNTIFS(AT$7:$AT50,1)</f>
        <v>1</v>
      </c>
    </row>
    <row r="51" spans="2:47" ht="15" hidden="1" outlineLevel="1">
      <c r="D51" s="1434"/>
      <c r="E51" s="1436"/>
      <c r="F51" s="424"/>
      <c r="I51" s="1463" t="str">
        <f>Paper!A53</f>
        <v>E-flute 115/105</v>
      </c>
      <c r="J51" s="2992">
        <f ca="1">IF(K51&gt;0,IF(M51=0,MAX(100,$I$5*(1+$K$5)*VLOOKUP(I51,Paper!$A$7:$K$70,11,0)/'Proof cost'!V51),IF($L$2="BOOK",X51,IF($I$6="Offline",IF($V51&gt;0,IF($M51*100&lt;800,800,$M51*100),0),400))),0)</f>
        <v>180</v>
      </c>
      <c r="K51" s="1461">
        <f>Paper!B53</f>
        <v>249.4</v>
      </c>
      <c r="L51" s="1461" t="str">
        <f>Paper!C53</f>
        <v>E-Flute</v>
      </c>
      <c r="M51" s="1461">
        <v>0</v>
      </c>
      <c r="N51" s="1464">
        <f>Paper!H53</f>
        <v>5100</v>
      </c>
      <c r="O51" s="1461" t="s">
        <v>1174</v>
      </c>
      <c r="P51" s="1465">
        <f ca="1">Paper!N53</f>
        <v>628</v>
      </c>
      <c r="Q51" s="1465">
        <f ca="1">Paper!O53</f>
        <v>397</v>
      </c>
      <c r="R51" s="1465">
        <f ca="1">Paper!P53</f>
        <v>628</v>
      </c>
      <c r="S51" s="1465">
        <f ca="1">Paper!Q53</f>
        <v>397</v>
      </c>
      <c r="T51" s="1466">
        <f ca="1">((J51*R51*S51)/10^6)*N51</f>
        <v>228872.08799999999</v>
      </c>
      <c r="V51" s="1462">
        <f>Paper!I53</f>
        <v>2</v>
      </c>
      <c r="W51" s="1462">
        <f>Paper!J53</f>
        <v>1</v>
      </c>
      <c r="X51" s="137">
        <f t="shared" si="5"/>
        <v>680</v>
      </c>
      <c r="Y51" s="1432" t="str">
        <f>Paper!AO53</f>
        <v>E-flute 115/105</v>
      </c>
      <c r="AS51" s="137" t="str">
        <f t="shared" si="1"/>
        <v>Paper cost</v>
      </c>
      <c r="AT51" s="413">
        <f t="shared" ca="1" si="2"/>
        <v>1</v>
      </c>
      <c r="AU51" s="136">
        <f ca="1">COUNTIFS(AT$7:$AT51,1)</f>
        <v>2</v>
      </c>
    </row>
    <row r="52" spans="2:47" ht="15" hidden="1" outlineLevel="1">
      <c r="D52" s="1434"/>
      <c r="E52" s="1436"/>
      <c r="F52" s="424"/>
      <c r="I52" s="1463" t="str">
        <f>Paper!A54</f>
        <v>N</v>
      </c>
      <c r="J52" s="2992">
        <f>IF(K52&gt;0,IF(M52=0,MAX(100,$I$5*(1+$K$5)*VLOOKUP(I52,Paper!$A$7:$K$70,11,0)/'Proof cost'!V52),IF($L$2="BOOK",X52,IF($I$6="Offline",IF($V52&gt;0,IF($M52*100&lt;800,800,$M52*100),0),400))),0)</f>
        <v>0</v>
      </c>
      <c r="K52" s="1461">
        <f>Paper!B54</f>
        <v>0</v>
      </c>
      <c r="L52" s="1461" t="str">
        <f>Paper!C54</f>
        <v>E-Flute</v>
      </c>
      <c r="M52" s="1461">
        <v>0</v>
      </c>
      <c r="N52" s="1464">
        <f>Paper!H54</f>
        <v>0</v>
      </c>
      <c r="O52" s="1461" t="s">
        <v>1174</v>
      </c>
      <c r="P52" s="1465">
        <f>Paper!N54</f>
        <v>0</v>
      </c>
      <c r="Q52" s="1465">
        <f>Paper!O54</f>
        <v>0</v>
      </c>
      <c r="R52" s="1465">
        <f>Paper!P54</f>
        <v>0</v>
      </c>
      <c r="S52" s="1465">
        <f>Paper!Q54</f>
        <v>0</v>
      </c>
      <c r="T52" s="1466">
        <f>((J52*R52*S52)/10^6)*N52</f>
        <v>0</v>
      </c>
      <c r="V52" s="1462">
        <f>Paper!I54</f>
        <v>0</v>
      </c>
      <c r="W52" s="1462">
        <f>Paper!J54</f>
        <v>0</v>
      </c>
      <c r="X52" s="137">
        <f t="shared" si="5"/>
        <v>0</v>
      </c>
      <c r="Y52" s="1432" t="str">
        <f>Paper!AO54</f>
        <v>N</v>
      </c>
      <c r="AS52" s="137" t="str">
        <f t="shared" si="1"/>
        <v>Paper cost</v>
      </c>
      <c r="AT52" s="413">
        <f t="shared" si="2"/>
        <v>0</v>
      </c>
      <c r="AU52" s="136">
        <f ca="1">COUNTIFS(AT$7:$AT52,1)</f>
        <v>2</v>
      </c>
    </row>
    <row r="53" spans="2:47" ht="15" hidden="1" outlineLevel="1">
      <c r="D53" s="1434"/>
      <c r="E53" s="1436"/>
      <c r="F53" s="424"/>
      <c r="I53" s="1463" t="str">
        <f>Paper!A55</f>
        <v>N</v>
      </c>
      <c r="J53" s="2992">
        <f>IF(K53&gt;0,IF(M53=0,MAX(100,$I$5*(1+$K$5)*VLOOKUP(I53,Paper!$A$7:$K$70,11,0)/'Proof cost'!V53),IF($L$2="BOOK",X53,IF($I$6="Offline",IF($V53&gt;0,IF($M53*100&lt;800,800,$M53*100),0),400))),0)</f>
        <v>0</v>
      </c>
      <c r="K53" s="1461">
        <f>Paper!B55</f>
        <v>0</v>
      </c>
      <c r="L53" s="1461" t="str">
        <f>Paper!C55</f>
        <v>E-Flute</v>
      </c>
      <c r="M53" s="1461">
        <v>0</v>
      </c>
      <c r="N53" s="1464">
        <f>Paper!H55</f>
        <v>0</v>
      </c>
      <c r="O53" s="1461" t="s">
        <v>1174</v>
      </c>
      <c r="P53" s="1465">
        <f>Paper!N55</f>
        <v>0</v>
      </c>
      <c r="Q53" s="1465">
        <f>Paper!O55</f>
        <v>0</v>
      </c>
      <c r="R53" s="1465">
        <f>Paper!P55</f>
        <v>0</v>
      </c>
      <c r="S53" s="1465">
        <f>Paper!Q55</f>
        <v>0</v>
      </c>
      <c r="T53" s="1466">
        <f>((J53*R53*S53)/10^6)*N53</f>
        <v>0</v>
      </c>
      <c r="V53" s="1462">
        <f>Paper!I55</f>
        <v>0</v>
      </c>
      <c r="W53" s="1462">
        <f>Paper!J55</f>
        <v>0</v>
      </c>
      <c r="X53" s="137">
        <f t="shared" si="5"/>
        <v>0</v>
      </c>
      <c r="Y53" s="1432" t="str">
        <f>Paper!AO55</f>
        <v>N</v>
      </c>
      <c r="AS53" s="137" t="str">
        <f t="shared" si="1"/>
        <v>Paper cost</v>
      </c>
      <c r="AT53" s="413">
        <f t="shared" si="2"/>
        <v>0</v>
      </c>
      <c r="AU53" s="136">
        <f ca="1">COUNTIFS(AT$7:$AT53,1)</f>
        <v>2</v>
      </c>
    </row>
    <row r="54" spans="2:47" ht="15" hidden="1" outlineLevel="1">
      <c r="D54" s="1434"/>
      <c r="E54" s="1436"/>
      <c r="F54" s="424"/>
      <c r="I54" s="1463" t="str">
        <f>Paper!A56</f>
        <v>N</v>
      </c>
      <c r="J54" s="2992">
        <f>IF(K54&gt;0,IF(M54=0,MAX(100,$I$5*(1+$K$5)*VLOOKUP(I54,Paper!$A$7:$K$70,11,0)/'Proof cost'!V54),IF($L$2="BOOK",X54,IF($I$6="Offline",IF($V54&gt;0,IF($M54*100&lt;800,800,$M54*100),0),400))),0)</f>
        <v>0</v>
      </c>
      <c r="K54" s="1461">
        <f>Paper!B56</f>
        <v>0</v>
      </c>
      <c r="L54" s="1461" t="str">
        <f>Paper!C56</f>
        <v>E-Flute</v>
      </c>
      <c r="M54" s="1461">
        <v>0</v>
      </c>
      <c r="N54" s="1464">
        <f>Paper!H56</f>
        <v>0</v>
      </c>
      <c r="O54" s="1461" t="s">
        <v>1174</v>
      </c>
      <c r="P54" s="1465">
        <f>Paper!N56</f>
        <v>0</v>
      </c>
      <c r="Q54" s="1465">
        <f>Paper!O56</f>
        <v>0</v>
      </c>
      <c r="R54" s="1465">
        <f>Paper!P56</f>
        <v>0</v>
      </c>
      <c r="S54" s="1465">
        <f>Paper!Q56</f>
        <v>0</v>
      </c>
      <c r="T54" s="1466">
        <f>((J54*R54*S54)/10^6)*N54</f>
        <v>0</v>
      </c>
      <c r="V54" s="1462">
        <f>Paper!I56</f>
        <v>0</v>
      </c>
      <c r="W54" s="1462">
        <f>Paper!J56</f>
        <v>0</v>
      </c>
      <c r="X54" s="137">
        <f t="shared" si="5"/>
        <v>0</v>
      </c>
      <c r="Y54" s="1432" t="str">
        <f>Paper!AO56</f>
        <v>N</v>
      </c>
      <c r="AS54" s="137" t="str">
        <f t="shared" si="1"/>
        <v>Paper cost</v>
      </c>
      <c r="AT54" s="413">
        <f t="shared" si="2"/>
        <v>0</v>
      </c>
      <c r="AU54" s="136">
        <f ca="1">COUNTIFS(AT$7:$AT54,1)</f>
        <v>2</v>
      </c>
    </row>
    <row r="55" spans="2:47" ht="15" hidden="1" outlineLevel="1">
      <c r="D55" s="1434"/>
      <c r="E55" s="1436"/>
      <c r="F55" s="424"/>
      <c r="I55" s="1463" t="str">
        <f>Paper!A57</f>
        <v>N</v>
      </c>
      <c r="J55" s="2992">
        <f>IF(K55&gt;0,IF(M55=0,MAX(100,$I$5*(1+$K$5)*VLOOKUP(I55,Paper!$A$7:$K$70,11,0)/'Proof cost'!V55),IF($L$2="BOOK",X55,IF($I$6="Offline",IF($V55&gt;0,IF($M55*100&lt;800,800,$M55*100),0),400))),0)</f>
        <v>0</v>
      </c>
      <c r="K55" s="1461">
        <f>Paper!B57</f>
        <v>0</v>
      </c>
      <c r="L55" s="1461" t="str">
        <f>Paper!C57</f>
        <v>E-Flute</v>
      </c>
      <c r="M55" s="1461">
        <v>0</v>
      </c>
      <c r="N55" s="1464">
        <f>Paper!H57</f>
        <v>0</v>
      </c>
      <c r="O55" s="1461" t="s">
        <v>1174</v>
      </c>
      <c r="P55" s="1465">
        <f>Paper!N57</f>
        <v>0</v>
      </c>
      <c r="Q55" s="1465">
        <f>Paper!O57</f>
        <v>0</v>
      </c>
      <c r="R55" s="1465">
        <f>Paper!P57</f>
        <v>0</v>
      </c>
      <c r="S55" s="1465">
        <f>Paper!Q57</f>
        <v>0</v>
      </c>
      <c r="T55" s="1466">
        <f>((J55*R55*S55)/10^6)*N55</f>
        <v>0</v>
      </c>
      <c r="V55" s="1462">
        <f>Paper!I57</f>
        <v>0</v>
      </c>
      <c r="W55" s="1462">
        <f>Paper!J57</f>
        <v>0</v>
      </c>
      <c r="X55" s="137">
        <f t="shared" si="5"/>
        <v>0</v>
      </c>
      <c r="Y55" s="1432" t="str">
        <f>Paper!AO57</f>
        <v>N</v>
      </c>
      <c r="AS55" s="137" t="str">
        <f t="shared" si="1"/>
        <v>Paper cost</v>
      </c>
      <c r="AT55" s="413">
        <f t="shared" si="2"/>
        <v>0</v>
      </c>
      <c r="AU55" s="136">
        <f ca="1">COUNTIFS(AT$7:$AT55,1)</f>
        <v>2</v>
      </c>
    </row>
    <row r="56" spans="2:47" ht="15" collapsed="1">
      <c r="E56" s="1439"/>
      <c r="I56" s="1437"/>
      <c r="J56" s="1437"/>
      <c r="Y56" s="316"/>
      <c r="AS56" s="137" t="str">
        <f t="shared" si="1"/>
        <v>Paper cost</v>
      </c>
      <c r="AT56" s="413" t="str">
        <f t="shared" si="2"/>
        <v/>
      </c>
      <c r="AU56" s="136">
        <f ca="1">COUNTIFS(AT$7:$AT56,1)</f>
        <v>2</v>
      </c>
    </row>
    <row r="57" spans="2:47" ht="25.5">
      <c r="B57" s="1440" t="s">
        <v>1286</v>
      </c>
      <c r="C57" s="1440"/>
      <c r="D57" s="1440" t="s">
        <v>93</v>
      </c>
      <c r="E57" s="1441" t="s">
        <v>1287</v>
      </c>
      <c r="F57" s="1442"/>
      <c r="G57" s="248" t="s">
        <v>1288</v>
      </c>
      <c r="I57" s="1036">
        <f ca="1">SUM(T58:T88)</f>
        <v>824670</v>
      </c>
      <c r="J57" s="137" t="s">
        <v>92</v>
      </c>
      <c r="Y57" s="137" t="s">
        <v>2055</v>
      </c>
      <c r="AS57" s="137" t="str">
        <f t="shared" si="1"/>
        <v>Ink cost</v>
      </c>
      <c r="AT57" s="413" t="str">
        <f t="shared" si="2"/>
        <v/>
      </c>
      <c r="AU57" s="136">
        <f ca="1">COUNTIFS(AT$7:$AT57,1)</f>
        <v>2</v>
      </c>
    </row>
    <row r="58" spans="2:47" ht="15">
      <c r="B58" s="137" t="str">
        <f>Data!L912</f>
        <v>None</v>
      </c>
      <c r="D58" s="1432">
        <f>Data!O912</f>
        <v>0</v>
      </c>
      <c r="E58" s="394">
        <f>Data!P912</f>
        <v>0</v>
      </c>
      <c r="F58" s="394"/>
      <c r="I58" s="1467" t="str">
        <f>$I$23</f>
        <v>Box</v>
      </c>
      <c r="J58" s="1450" t="s">
        <v>1104</v>
      </c>
      <c r="K58" s="1468"/>
      <c r="L58" s="4433" t="s">
        <v>1289</v>
      </c>
      <c r="M58" s="4433"/>
      <c r="N58" s="1444"/>
      <c r="O58" s="1444"/>
      <c r="P58" s="1444"/>
      <c r="Q58" s="1444"/>
      <c r="R58" s="1469">
        <f>IF(M23&gt;0,1.5,0)</f>
        <v>1.5</v>
      </c>
      <c r="S58" s="1444" t="s">
        <v>1290</v>
      </c>
      <c r="T58" s="1470">
        <f ca="1">IF(COUNTIFS(Ink!$A$10:$A$258,$I58,Ink!$G$10:$G$258,"&gt;0")=0,0,AVERAGEIFS(Ink!$H$10:$H$258,Ink!$A$10:$A$258,'Proof cost'!$I58,Ink!$G$10:$G$258,"&gt;0")*R58)</f>
        <v>824670</v>
      </c>
      <c r="Y58" s="137" t="str">
        <f t="shared" ref="Y58:Y87" si="9">VLOOKUP($I58,$I$23:$Y$55,17,0)</f>
        <v>Box</v>
      </c>
      <c r="AS58" s="137" t="str">
        <f t="shared" si="1"/>
        <v>Ink cost</v>
      </c>
      <c r="AT58" s="413">
        <f t="shared" ca="1" si="2"/>
        <v>1</v>
      </c>
      <c r="AU58" s="136">
        <f ca="1">COUNTIFS(AT$7:$AT58,1)</f>
        <v>3</v>
      </c>
    </row>
    <row r="59" spans="2:47" ht="15">
      <c r="B59" s="137" t="str">
        <f>Data!L913</f>
        <v>UV Anchor Varnish A</v>
      </c>
      <c r="D59" s="1432">
        <f>Data!O913</f>
        <v>836740</v>
      </c>
      <c r="E59" s="394">
        <f>Data!P913</f>
        <v>2.2392934833707206E-6</v>
      </c>
      <c r="F59" s="394"/>
      <c r="I59" s="1467" t="str">
        <f t="shared" ref="I59:I60" si="10">$I$23</f>
        <v>Box</v>
      </c>
      <c r="J59" s="1450" t="s">
        <v>1105</v>
      </c>
      <c r="K59" s="1468"/>
      <c r="L59" s="1444">
        <f>IF(VLOOKUP(I58,$I$23:$M$55,5,0)-1&gt;0,VLOOKUP(I58,$I$23:$M$55,5,0)-1,0)</f>
        <v>0</v>
      </c>
      <c r="M59" s="1444" t="s">
        <v>1291</v>
      </c>
      <c r="N59" s="1469">
        <f>3/10000*VLOOKUP($I$58,$I$23:$J$55,2,0)</f>
        <v>0.24</v>
      </c>
      <c r="O59" s="1444" t="s">
        <v>1290</v>
      </c>
      <c r="P59" s="1444"/>
      <c r="Q59" s="1444"/>
      <c r="R59" s="1469">
        <f>IF(L59&gt;0,ROUNDUP(N59,1),0)</f>
        <v>0</v>
      </c>
      <c r="S59" s="1444" t="s">
        <v>1290</v>
      </c>
      <c r="T59" s="1470">
        <f ca="1">IF(COUNTIFS(Ink!$A$10:$A$258,$I59,Ink!$G$10:$G$258,"&gt;0")=0,0,AVERAGEIFS(Ink!$H$10:$H$258,Ink!$A$10:$A$258,'Proof cost'!$I59,Ink!$G$10:$G$258,"&gt;0")*R59)*L59</f>
        <v>0</v>
      </c>
      <c r="Y59" s="137" t="str">
        <f t="shared" si="9"/>
        <v>Box</v>
      </c>
      <c r="AS59" s="137" t="str">
        <f t="shared" si="1"/>
        <v>Ink cost</v>
      </c>
      <c r="AT59" s="413">
        <f t="shared" ca="1" si="2"/>
        <v>0</v>
      </c>
      <c r="AU59" s="136">
        <f ca="1">COUNTIFS(AT$7:$AT59,1)</f>
        <v>3</v>
      </c>
    </row>
    <row r="60" spans="2:47" ht="15">
      <c r="B60" s="137" t="str">
        <f>Data!L914</f>
        <v>LW-8</v>
      </c>
      <c r="D60" s="1432">
        <f>Data!O914</f>
        <v>0</v>
      </c>
      <c r="E60" s="394">
        <f>Data!P914</f>
        <v>0</v>
      </c>
      <c r="F60" s="394"/>
      <c r="I60" s="1467" t="str">
        <f t="shared" si="10"/>
        <v>Box</v>
      </c>
      <c r="J60" s="1450" t="s">
        <v>1105</v>
      </c>
      <c r="K60" s="1468"/>
      <c r="L60" s="1444"/>
      <c r="M60" s="1444" t="s">
        <v>1291</v>
      </c>
      <c r="N60" s="1469">
        <f>3/10000*VLOOKUP($I$58,$I$23:$J$55,2,0)</f>
        <v>0.24</v>
      </c>
      <c r="O60" s="1444" t="s">
        <v>1290</v>
      </c>
      <c r="P60" s="1444"/>
      <c r="Q60" s="1444"/>
      <c r="R60" s="1469">
        <f>IF(L60&gt;0,ROUNDUP(N60,1),0)</f>
        <v>0</v>
      </c>
      <c r="S60" s="1444" t="s">
        <v>1290</v>
      </c>
      <c r="T60" s="1470">
        <f ca="1">IF(COUNTIFS(Ink!$A$10:$A$258,$I60,Ink!$G$10:$G$258,"&gt;0")=0,0,AVERAGEIFS(Ink!$H$10:$H$258,Ink!$A$10:$A$258,'Proof cost'!$I60,Ink!$G$10:$G$258,"&gt;0")*R60)*L60</f>
        <v>0</v>
      </c>
      <c r="Y60" s="137" t="str">
        <f t="shared" si="9"/>
        <v>Box</v>
      </c>
      <c r="AS60" s="137" t="str">
        <f t="shared" si="1"/>
        <v>Ink cost</v>
      </c>
      <c r="AT60" s="413">
        <f t="shared" ca="1" si="2"/>
        <v>0</v>
      </c>
      <c r="AU60" s="136">
        <f ca="1">COUNTIFS(AT$7:$AT60,1)</f>
        <v>3</v>
      </c>
    </row>
    <row r="61" spans="2:47" ht="15" hidden="1" outlineLevel="1">
      <c r="B61" s="137" t="str">
        <f>Data!L915</f>
        <v>Blister Johncry HSL-9013</v>
      </c>
      <c r="D61" s="1432">
        <f>Data!O915</f>
        <v>162800</v>
      </c>
      <c r="E61" s="394">
        <f>Data!P915</f>
        <v>4.9687604213599483E-5</v>
      </c>
      <c r="F61" s="394"/>
      <c r="I61" s="1467" t="str">
        <f>$I$24</f>
        <v>N</v>
      </c>
      <c r="J61" s="1450" t="s">
        <v>1105</v>
      </c>
      <c r="K61" s="1468"/>
      <c r="L61" s="4433" t="s">
        <v>1289</v>
      </c>
      <c r="M61" s="4433"/>
      <c r="N61" s="1444"/>
      <c r="O61" s="1444"/>
      <c r="P61" s="1444"/>
      <c r="Q61" s="1444"/>
      <c r="R61" s="1469">
        <f>IF(M24&gt;0,1.5,0)</f>
        <v>0</v>
      </c>
      <c r="S61" s="1444" t="s">
        <v>1290</v>
      </c>
      <c r="T61" s="1470">
        <f ca="1">IF(COUNTIFS(Ink!$A$10:$A$258,$I61,Ink!$G$10:$G$258,"&gt;0")=0,0,AVERAGEIFS(Ink!$H$10:$H$258,Ink!$A$10:$A$258,'Proof cost'!$I61,Ink!$G$10:$G$258,"&gt;0")*R61)</f>
        <v>0</v>
      </c>
      <c r="Y61" s="137" t="str">
        <f t="shared" si="9"/>
        <v>N</v>
      </c>
      <c r="AS61" s="137" t="str">
        <f t="shared" si="1"/>
        <v>Ink cost</v>
      </c>
      <c r="AT61" s="413">
        <f t="shared" ca="1" si="2"/>
        <v>0</v>
      </c>
      <c r="AU61" s="136">
        <f ca="1">COUNTIFS(AT$7:$AT61,1)</f>
        <v>3</v>
      </c>
    </row>
    <row r="62" spans="2:47" ht="15" hidden="1" outlineLevel="1">
      <c r="B62" s="137" t="str">
        <f>Data!L916</f>
        <v>TK 100 Lanxess</v>
      </c>
      <c r="D62" s="1432">
        <f>Data!O916</f>
        <v>623726.04411764711</v>
      </c>
      <c r="E62" s="394">
        <f>Data!P916</f>
        <v>1.8635339176019146E-5</v>
      </c>
      <c r="F62" s="394"/>
      <c r="I62" s="1467" t="str">
        <f t="shared" ref="I62:I63" si="11">$I$24</f>
        <v>N</v>
      </c>
      <c r="J62" s="1450" t="s">
        <v>1105</v>
      </c>
      <c r="K62" s="1468"/>
      <c r="L62" s="1444">
        <f>IF(VLOOKUP(I61,$I$23:$M$55,5,0)-1&gt;0,VLOOKUP(I61,$I$23:$M$55,5,0)-1,0)</f>
        <v>0</v>
      </c>
      <c r="M62" s="1444" t="s">
        <v>1291</v>
      </c>
      <c r="N62" s="1469">
        <f>3/10000*VLOOKUP($I$61,$I$23:$J$55,2,0)</f>
        <v>0</v>
      </c>
      <c r="O62" s="1444" t="s">
        <v>1290</v>
      </c>
      <c r="P62" s="1444"/>
      <c r="Q62" s="1444"/>
      <c r="R62" s="1469">
        <f>IF(L62&gt;0,ROUNDUP(N62,1),0)</f>
        <v>0</v>
      </c>
      <c r="S62" s="1444" t="s">
        <v>1290</v>
      </c>
      <c r="T62" s="1470">
        <f ca="1">IF(COUNTIFS(Ink!$A$10:$A$258,$I62,Ink!$G$10:$G$258,"&gt;0")=0,0,AVERAGEIFS(Ink!$H$10:$H$258,Ink!$A$10:$A$258,'Proof cost'!$I62,Ink!$G$10:$G$258,"&gt;0")*R62)*L62</f>
        <v>0</v>
      </c>
      <c r="Y62" s="137" t="str">
        <f t="shared" si="9"/>
        <v>N</v>
      </c>
      <c r="AS62" s="137" t="str">
        <f t="shared" si="1"/>
        <v>Ink cost</v>
      </c>
      <c r="AT62" s="413">
        <f t="shared" ca="1" si="2"/>
        <v>0</v>
      </c>
      <c r="AU62" s="136">
        <f ca="1">COUNTIFS(AT$7:$AT62,1)</f>
        <v>3</v>
      </c>
    </row>
    <row r="63" spans="2:47" ht="15" hidden="1" outlineLevel="1">
      <c r="B63" s="137" t="str">
        <f>Data!L917</f>
        <v>UV Lụa UVM-207</v>
      </c>
      <c r="D63" s="1432">
        <f>Data!O917</f>
        <v>333894.9375</v>
      </c>
      <c r="E63" s="394">
        <f>Data!P917</f>
        <v>0</v>
      </c>
      <c r="F63" s="394"/>
      <c r="I63" s="1467" t="str">
        <f t="shared" si="11"/>
        <v>N</v>
      </c>
      <c r="J63" s="1450" t="s">
        <v>1105</v>
      </c>
      <c r="K63" s="1468"/>
      <c r="L63" s="1444"/>
      <c r="M63" s="1444" t="s">
        <v>1291</v>
      </c>
      <c r="N63" s="1469">
        <f>3/10000*VLOOKUP($I$61,$I$23:$J$55,2,0)</f>
        <v>0</v>
      </c>
      <c r="O63" s="1444" t="s">
        <v>1290</v>
      </c>
      <c r="P63" s="1444"/>
      <c r="Q63" s="1444"/>
      <c r="R63" s="1469">
        <f>IF(L63&gt;0,ROUNDUP(N63,1),0)</f>
        <v>0</v>
      </c>
      <c r="S63" s="1444" t="s">
        <v>1290</v>
      </c>
      <c r="T63" s="1470">
        <f ca="1">IF(COUNTIFS(Ink!$A$10:$A$258,$I63,Ink!$G$10:$G$258,"&gt;0")=0,0,AVERAGEIFS(Ink!$H$10:$H$258,Ink!$A$10:$A$258,'Proof cost'!$I63,Ink!$G$10:$G$258,"&gt;0")*R63)*L63</f>
        <v>0</v>
      </c>
      <c r="Y63" s="137" t="str">
        <f t="shared" si="9"/>
        <v>N</v>
      </c>
      <c r="AS63" s="137" t="str">
        <f t="shared" si="1"/>
        <v>Ink cost</v>
      </c>
      <c r="AT63" s="413">
        <f t="shared" ca="1" si="2"/>
        <v>0</v>
      </c>
      <c r="AU63" s="136">
        <f ca="1">COUNTIFS(AT$7:$AT63,1)</f>
        <v>3</v>
      </c>
    </row>
    <row r="64" spans="2:47" ht="15" hidden="1" outlineLevel="1">
      <c r="B64" s="137" t="str">
        <f>Data!L918</f>
        <v>ETERCURE 6671GNB</v>
      </c>
      <c r="D64" s="1432">
        <f>Data!O918</f>
        <v>158920.38</v>
      </c>
      <c r="E64" s="394">
        <f>Data!P918</f>
        <v>2.9293249322908922E-5</v>
      </c>
      <c r="F64" s="394"/>
      <c r="I64" s="1467" t="str">
        <f>I25</f>
        <v>N</v>
      </c>
      <c r="J64" s="1450" t="s">
        <v>1105</v>
      </c>
      <c r="K64" s="1468"/>
      <c r="L64" s="4433" t="s">
        <v>1289</v>
      </c>
      <c r="M64" s="4433"/>
      <c r="N64" s="1444"/>
      <c r="O64" s="1444"/>
      <c r="P64" s="1444"/>
      <c r="Q64" s="1444"/>
      <c r="R64" s="1469">
        <f>IF(M25&gt;0,1.5,0)</f>
        <v>0</v>
      </c>
      <c r="S64" s="1444" t="s">
        <v>1290</v>
      </c>
      <c r="T64" s="1470">
        <f ca="1">IF(COUNTIFS(Ink!$A$10:$A$258,$I64,Ink!$G$10:$G$258,"&gt;0")=0,0,AVERAGEIFS(Ink!$H$10:$H$258,Ink!$A$10:$A$258,'Proof cost'!$I64,Ink!$G$10:$G$258,"&gt;0")*R64)</f>
        <v>0</v>
      </c>
      <c r="Y64" s="137" t="str">
        <f t="shared" si="9"/>
        <v>N</v>
      </c>
      <c r="AS64" s="137" t="str">
        <f t="shared" si="1"/>
        <v>Ink cost</v>
      </c>
      <c r="AT64" s="413">
        <f t="shared" ca="1" si="2"/>
        <v>0</v>
      </c>
      <c r="AU64" s="136">
        <f ca="1">COUNTIFS(AT$7:$AT64,1)</f>
        <v>3</v>
      </c>
    </row>
    <row r="65" spans="2:47" ht="15" hidden="1" outlineLevel="1">
      <c r="B65" s="137" t="str">
        <f>Data!L919</f>
        <v>OPV-CX0180 Water Base</v>
      </c>
      <c r="D65" s="1432">
        <f>Data!O919</f>
        <v>74000</v>
      </c>
      <c r="E65" s="394">
        <f>Data!P919</f>
        <v>0</v>
      </c>
      <c r="F65" s="394"/>
      <c r="I65" s="1467" t="str">
        <f>I64</f>
        <v>N</v>
      </c>
      <c r="J65" s="1450" t="s">
        <v>1105</v>
      </c>
      <c r="K65" s="1468"/>
      <c r="L65" s="1444">
        <f>IF(VLOOKUP(I64,$I$23:$M$55,5,0)-1&gt;0,VLOOKUP(I64,$I$23:$M$55,5,0)-1,0)</f>
        <v>0</v>
      </c>
      <c r="M65" s="1444" t="s">
        <v>1291</v>
      </c>
      <c r="N65" s="1469">
        <f>3/10000*VLOOKUP($I$64,$I$23:$J$55,2,0)</f>
        <v>0</v>
      </c>
      <c r="O65" s="1444" t="s">
        <v>1290</v>
      </c>
      <c r="P65" s="1444"/>
      <c r="Q65" s="1444"/>
      <c r="R65" s="1469">
        <f>IF(L65&gt;0,ROUNDUP(N65,1),0)</f>
        <v>0</v>
      </c>
      <c r="S65" s="1444" t="s">
        <v>1290</v>
      </c>
      <c r="T65" s="1470">
        <f ca="1">IF(COUNTIFS(Ink!$A$10:$A$258,$I65,Ink!$G$10:$G$258,"&gt;0")=0,0,AVERAGEIFS(Ink!$H$10:$H$258,Ink!$A$10:$A$258,'Proof cost'!$I65,Ink!$G$10:$G$258,"&gt;0")*R65)*L65</f>
        <v>0</v>
      </c>
      <c r="Y65" s="137" t="str">
        <f t="shared" si="9"/>
        <v>N</v>
      </c>
      <c r="AS65" s="137" t="str">
        <f t="shared" si="1"/>
        <v>Ink cost</v>
      </c>
      <c r="AT65" s="413">
        <f t="shared" ca="1" si="2"/>
        <v>0</v>
      </c>
      <c r="AU65" s="136">
        <f ca="1">COUNTIFS(AT$7:$AT65,1)</f>
        <v>3</v>
      </c>
    </row>
    <row r="66" spans="2:47" ht="15" hidden="1" outlineLevel="1">
      <c r="B66" s="137" t="str">
        <f>Data!L920</f>
        <v>OPV-CX0173 Water Base</v>
      </c>
      <c r="D66" s="1432">
        <f>Data!O920</f>
        <v>105000</v>
      </c>
      <c r="E66" s="394">
        <f>Data!P920</f>
        <v>0</v>
      </c>
      <c r="F66" s="394"/>
      <c r="I66" s="1467" t="str">
        <f>I64</f>
        <v>N</v>
      </c>
      <c r="J66" s="1450" t="s">
        <v>1105</v>
      </c>
      <c r="K66" s="1468"/>
      <c r="L66" s="1444"/>
      <c r="M66" s="1444" t="s">
        <v>1291</v>
      </c>
      <c r="N66" s="1469">
        <f>3/10000*VLOOKUP($I$64,$I$23:$J$55,2,0)</f>
        <v>0</v>
      </c>
      <c r="O66" s="1444" t="s">
        <v>1290</v>
      </c>
      <c r="P66" s="1444"/>
      <c r="Q66" s="1444"/>
      <c r="R66" s="1469">
        <f>IF(L66&gt;0,ROUNDUP(N66,1),0)</f>
        <v>0</v>
      </c>
      <c r="S66" s="1444" t="s">
        <v>1290</v>
      </c>
      <c r="T66" s="1470">
        <f ca="1">IF(COUNTIFS(Ink!$A$10:$A$258,$I66,Ink!$G$10:$G$258,"&gt;0")=0,0,AVERAGEIFS(Ink!$H$10:$H$258,Ink!$A$10:$A$258,'Proof cost'!$I66,Ink!$G$10:$G$258,"&gt;0")*R66)*L66</f>
        <v>0</v>
      </c>
      <c r="Y66" s="137" t="str">
        <f t="shared" si="9"/>
        <v>N</v>
      </c>
      <c r="AS66" s="137" t="str">
        <f t="shared" si="1"/>
        <v>Ink cost</v>
      </c>
      <c r="AT66" s="413">
        <f t="shared" ca="1" si="2"/>
        <v>0</v>
      </c>
      <c r="AU66" s="136">
        <f ca="1">COUNTIFS(AT$7:$AT66,1)</f>
        <v>3</v>
      </c>
    </row>
    <row r="67" spans="2:47" ht="15" hidden="1" outlineLevel="1">
      <c r="B67" s="137" t="str">
        <f>Data!L921</f>
        <v>OPV-CX0189 Water Base</v>
      </c>
      <c r="D67" s="1432">
        <f>Data!O921</f>
        <v>117000</v>
      </c>
      <c r="E67" s="394">
        <f>Data!P921</f>
        <v>4.6490566761302837E-5</v>
      </c>
      <c r="F67" s="394"/>
      <c r="I67" s="1467" t="str">
        <f>I26</f>
        <v>N</v>
      </c>
      <c r="J67" s="1450" t="s">
        <v>1105</v>
      </c>
      <c r="K67" s="1468"/>
      <c r="L67" s="4433" t="s">
        <v>1289</v>
      </c>
      <c r="M67" s="4433"/>
      <c r="N67" s="1444"/>
      <c r="O67" s="1444"/>
      <c r="P67" s="1444"/>
      <c r="Q67" s="1444"/>
      <c r="R67" s="1469">
        <f>IF(M26&gt;0,1.5,0)</f>
        <v>0</v>
      </c>
      <c r="S67" s="1444" t="s">
        <v>1290</v>
      </c>
      <c r="T67" s="1470">
        <f ca="1">IF(COUNTIFS(Ink!$A$10:$A$258,$I67,Ink!$G$10:$G$258,"&gt;0")=0,0,AVERAGEIFS(Ink!$H$10:$H$258,Ink!$A$10:$A$258,'Proof cost'!$I67,Ink!$G$10:$G$258,"&gt;0")*R67)</f>
        <v>0</v>
      </c>
      <c r="Y67" s="137" t="str">
        <f t="shared" si="9"/>
        <v>N</v>
      </c>
      <c r="AS67" s="137" t="str">
        <f t="shared" si="1"/>
        <v>Ink cost</v>
      </c>
      <c r="AT67" s="413">
        <f t="shared" ca="1" si="2"/>
        <v>0</v>
      </c>
      <c r="AU67" s="136">
        <f ca="1">COUNTIFS(AT$7:$AT67,1)</f>
        <v>3</v>
      </c>
    </row>
    <row r="68" spans="2:47" ht="15" hidden="1" outlineLevel="1">
      <c r="B68" s="137" t="str">
        <f>Data!L922</f>
        <v>Gloss Waterbase Megacoat L100</v>
      </c>
      <c r="D68" s="1432">
        <f>Data!O922</f>
        <v>86670</v>
      </c>
      <c r="E68" s="394">
        <f>Data!P922</f>
        <v>4.4679492657725701E-5</v>
      </c>
      <c r="F68" s="394"/>
      <c r="I68" s="1467" t="str">
        <f>I67</f>
        <v>N</v>
      </c>
      <c r="J68" s="1450" t="s">
        <v>1105</v>
      </c>
      <c r="K68" s="1468"/>
      <c r="L68" s="1444">
        <f>IF(VLOOKUP(I67,$I$23:$M$55,5,0)-1&gt;0,VLOOKUP(I67,$I$23:$M$55,5,0)-1,0)</f>
        <v>0</v>
      </c>
      <c r="M68" s="1444" t="s">
        <v>1291</v>
      </c>
      <c r="N68" s="1469">
        <f>3/10000*VLOOKUP($I$67,$I$23:$J$55,2,0)</f>
        <v>0</v>
      </c>
      <c r="O68" s="1444" t="s">
        <v>1290</v>
      </c>
      <c r="P68" s="1444"/>
      <c r="Q68" s="1444"/>
      <c r="R68" s="1469">
        <f>IF(L68&gt;0,ROUNDUP(N68,1),0)</f>
        <v>0</v>
      </c>
      <c r="S68" s="1444" t="s">
        <v>1290</v>
      </c>
      <c r="T68" s="1470">
        <f ca="1">IF(COUNTIFS(Ink!$A$10:$A$258,$I68,Ink!$G$10:$G$258,"&gt;0")=0,0,AVERAGEIFS(Ink!$H$10:$H$258,Ink!$A$10:$A$258,'Proof cost'!$I68,Ink!$G$10:$G$258,"&gt;0")*R68)*L68</f>
        <v>0</v>
      </c>
      <c r="Y68" s="137" t="str">
        <f t="shared" si="9"/>
        <v>N</v>
      </c>
      <c r="AS68" s="137" t="str">
        <f t="shared" si="1"/>
        <v>Ink cost</v>
      </c>
      <c r="AT68" s="413">
        <f t="shared" ca="1" si="2"/>
        <v>0</v>
      </c>
      <c r="AU68" s="136">
        <f ca="1">COUNTIFS(AT$7:$AT68,1)</f>
        <v>3</v>
      </c>
    </row>
    <row r="69" spans="2:47" ht="15" hidden="1" outlineLevel="1">
      <c r="B69" s="137" t="str">
        <f>Data!L923</f>
        <v>Matt Waterbase Megacoat M100</v>
      </c>
      <c r="D69" s="1432">
        <f>Data!O923</f>
        <v>100580</v>
      </c>
      <c r="E69" s="394">
        <f>Data!P923</f>
        <v>5.4061774263648566E-5</v>
      </c>
      <c r="F69" s="394"/>
      <c r="I69" s="1467" t="str">
        <f>I67</f>
        <v>N</v>
      </c>
      <c r="J69" s="1450" t="s">
        <v>1105</v>
      </c>
      <c r="K69" s="1468"/>
      <c r="L69" s="1444"/>
      <c r="M69" s="1444" t="s">
        <v>1291</v>
      </c>
      <c r="N69" s="1469">
        <f>3/10000*VLOOKUP($I$67,$I$23:$J$55,2,0)</f>
        <v>0</v>
      </c>
      <c r="O69" s="1444" t="s">
        <v>1290</v>
      </c>
      <c r="P69" s="1444"/>
      <c r="Q69" s="1444"/>
      <c r="R69" s="1469">
        <f>IF(L69&gt;0,ROUNDUP(N69,1),0)</f>
        <v>0</v>
      </c>
      <c r="S69" s="1444" t="s">
        <v>1290</v>
      </c>
      <c r="T69" s="1470">
        <f ca="1">IF(COUNTIFS(Ink!$A$10:$A$258,$I69,Ink!$G$10:$G$258,"&gt;0")=0,0,AVERAGEIFS(Ink!$H$10:$H$258,Ink!$A$10:$A$258,'Proof cost'!$I69,Ink!$G$10:$G$258,"&gt;0")*R69)*L69</f>
        <v>0</v>
      </c>
      <c r="Y69" s="137" t="str">
        <f t="shared" si="9"/>
        <v>N</v>
      </c>
      <c r="AS69" s="137" t="str">
        <f t="shared" si="1"/>
        <v>Ink cost</v>
      </c>
      <c r="AT69" s="413">
        <f t="shared" ca="1" si="2"/>
        <v>0</v>
      </c>
      <c r="AU69" s="136">
        <f ca="1">COUNTIFS(AT$7:$AT69,1)</f>
        <v>3</v>
      </c>
    </row>
    <row r="70" spans="2:47" ht="15" hidden="1" outlineLevel="1">
      <c r="B70" s="137" t="str">
        <f>Data!L924</f>
        <v>OPV-CX0166 Gloss water base</v>
      </c>
      <c r="D70" s="1432">
        <f>Data!O924</f>
        <v>66000</v>
      </c>
      <c r="E70" s="394">
        <f>Data!P924</f>
        <v>4.7824517822603456E-5</v>
      </c>
      <c r="F70" s="394"/>
      <c r="I70" s="1467" t="str">
        <f>I27</f>
        <v>N</v>
      </c>
      <c r="J70" s="1450" t="s">
        <v>1105</v>
      </c>
      <c r="K70" s="1468"/>
      <c r="L70" s="4433" t="s">
        <v>1289</v>
      </c>
      <c r="M70" s="4433"/>
      <c r="N70" s="1444"/>
      <c r="O70" s="1444"/>
      <c r="P70" s="1444"/>
      <c r="Q70" s="1444"/>
      <c r="R70" s="1469">
        <f>IF(M27&gt;0,1.5,0)</f>
        <v>0</v>
      </c>
      <c r="S70" s="1444" t="s">
        <v>1290</v>
      </c>
      <c r="T70" s="1470">
        <f ca="1">IF(COUNTIFS(Ink!$A$10:$A$258,$I70,Ink!$G$10:$G$258,"&gt;0")=0,0,AVERAGEIFS(Ink!$H$10:$H$258,Ink!$A$10:$A$258,'Proof cost'!$I70,Ink!$G$10:$G$258,"&gt;0")*R70)</f>
        <v>0</v>
      </c>
      <c r="Y70" s="137" t="str">
        <f t="shared" si="9"/>
        <v>N</v>
      </c>
      <c r="AS70" s="137" t="str">
        <f t="shared" si="1"/>
        <v>Ink cost</v>
      </c>
      <c r="AT70" s="413">
        <f t="shared" ca="1" si="2"/>
        <v>0</v>
      </c>
      <c r="AU70" s="136">
        <f ca="1">COUNTIFS(AT$7:$AT70,1)</f>
        <v>3</v>
      </c>
    </row>
    <row r="71" spans="2:47" ht="15" hidden="1" outlineLevel="1">
      <c r="B71" s="137" t="str">
        <f>Data!L925</f>
        <v>OPV-CX0186 Water base</v>
      </c>
      <c r="D71" s="1432">
        <f>Data!O925</f>
        <v>88000</v>
      </c>
      <c r="E71" s="394">
        <f>Data!P925</f>
        <v>5.2007134936194886E-5</v>
      </c>
      <c r="F71" s="394"/>
      <c r="I71" s="1467" t="str">
        <f>I70</f>
        <v>N</v>
      </c>
      <c r="J71" s="1450" t="s">
        <v>1105</v>
      </c>
      <c r="K71" s="1468"/>
      <c r="L71" s="1444">
        <f>IF(VLOOKUP(I70,$I$23:$M$55,5,0)-1&gt;0,VLOOKUP(I70,$I$23:$M$55,5,0)-1,0)</f>
        <v>0</v>
      </c>
      <c r="M71" s="1444" t="s">
        <v>1291</v>
      </c>
      <c r="N71" s="1469">
        <f>3/10000*VLOOKUP($I71,$I$23:$J$55,2,0)</f>
        <v>0</v>
      </c>
      <c r="O71" s="1444" t="s">
        <v>1290</v>
      </c>
      <c r="P71" s="1444"/>
      <c r="Q71" s="1444"/>
      <c r="R71" s="1469">
        <f>IF(L71&gt;0,ROUNDUP(N71,1),0)</f>
        <v>0</v>
      </c>
      <c r="S71" s="1444" t="s">
        <v>1290</v>
      </c>
      <c r="T71" s="1470">
        <f ca="1">IF(COUNTIFS(Ink!$A$10:$A$258,$I71,Ink!$G$10:$G$258,"&gt;0")=0,0,AVERAGEIFS(Ink!$H$10:$H$258,Ink!$A$10:$A$258,'Proof cost'!$I71,Ink!$G$10:$G$258,"&gt;0")*R71)*L71</f>
        <v>0</v>
      </c>
      <c r="Y71" s="137" t="str">
        <f t="shared" si="9"/>
        <v>N</v>
      </c>
      <c r="AS71" s="137" t="str">
        <f t="shared" si="1"/>
        <v>Ink cost</v>
      </c>
      <c r="AT71" s="413">
        <f t="shared" ca="1" si="2"/>
        <v>0</v>
      </c>
      <c r="AU71" s="136">
        <f ca="1">COUNTIFS(AT$7:$AT71,1)</f>
        <v>3</v>
      </c>
    </row>
    <row r="72" spans="2:47" ht="15" hidden="1" outlineLevel="1">
      <c r="B72" s="137" t="str">
        <f>Data!L926</f>
        <v>Offset UV high gloss OPV ( 100 )</v>
      </c>
      <c r="D72" s="1432">
        <f>Data!O926</f>
        <v>801360</v>
      </c>
      <c r="E72" s="394">
        <f>Data!P926</f>
        <v>0</v>
      </c>
      <c r="F72" s="394"/>
      <c r="I72" s="1467" t="str">
        <f>I70</f>
        <v>N</v>
      </c>
      <c r="J72" s="1450" t="s">
        <v>1105</v>
      </c>
      <c r="K72" s="1468"/>
      <c r="L72" s="1444"/>
      <c r="M72" s="1444" t="s">
        <v>1291</v>
      </c>
      <c r="N72" s="1469">
        <f>3/10000*VLOOKUP($I72,$I$23:$J$55,2,0)</f>
        <v>0</v>
      </c>
      <c r="O72" s="1444" t="s">
        <v>1290</v>
      </c>
      <c r="P72" s="1444"/>
      <c r="Q72" s="1444"/>
      <c r="R72" s="1469">
        <f>IF(L72&gt;0,ROUNDUP(N72,1),0)</f>
        <v>0</v>
      </c>
      <c r="S72" s="1444" t="s">
        <v>1290</v>
      </c>
      <c r="T72" s="1470">
        <f ca="1">IF(COUNTIFS(Ink!$A$10:$A$258,$I72,Ink!$G$10:$G$258,"&gt;0")=0,0,AVERAGEIFS(Ink!$H$10:$H$258,Ink!$A$10:$A$258,'Proof cost'!$I72,Ink!$G$10:$G$258,"&gt;0")*R72)*L72</f>
        <v>0</v>
      </c>
      <c r="Y72" s="137" t="str">
        <f t="shared" si="9"/>
        <v>N</v>
      </c>
      <c r="AS72" s="137" t="str">
        <f t="shared" si="1"/>
        <v>Ink cost</v>
      </c>
      <c r="AT72" s="413">
        <f t="shared" ca="1" si="2"/>
        <v>0</v>
      </c>
      <c r="AU72" s="136">
        <f ca="1">COUNTIFS(AT$7:$AT72,1)</f>
        <v>3</v>
      </c>
    </row>
    <row r="73" spans="2:47" ht="15" hidden="1" outlineLevel="1">
      <c r="B73" s="137" t="str">
        <f>Data!L927</f>
        <v>Offset UV high gloss OPV ( 72 )
Matt OPV 75-600992-4.3870 Replace 6C+770-
9600MVN.010ZH ( 20 )
Scratch Resistance Additive (WAX CREAM) ( 4 )
SICURA ADDITIVE SL100 ( 4 )</v>
      </c>
      <c r="D73" s="1432">
        <f>Data!O927</f>
        <v>926629.2</v>
      </c>
      <c r="E73" s="394">
        <f>Data!P927</f>
        <v>0</v>
      </c>
      <c r="F73" s="394"/>
      <c r="I73" s="1467" t="str">
        <f>I28</f>
        <v>N</v>
      </c>
      <c r="J73" s="1450" t="s">
        <v>1105</v>
      </c>
      <c r="K73" s="1468"/>
      <c r="L73" s="4433" t="s">
        <v>1289</v>
      </c>
      <c r="M73" s="4433"/>
      <c r="N73" s="1444"/>
      <c r="O73" s="1444"/>
      <c r="P73" s="1444"/>
      <c r="Q73" s="1444"/>
      <c r="R73" s="1469">
        <f>IF(M28&gt;0,1.5,0)</f>
        <v>0</v>
      </c>
      <c r="S73" s="1444" t="s">
        <v>1290</v>
      </c>
      <c r="T73" s="1470">
        <f ca="1">IF(COUNTIFS(Ink!$A$10:$A$258,$I73,Ink!$G$10:$G$258,"&gt;0")=0,0,AVERAGEIFS(Ink!$H$10:$H$258,Ink!$A$10:$A$258,'Proof cost'!$I73,Ink!$G$10:$G$258,"&gt;0")*R73)</f>
        <v>0</v>
      </c>
      <c r="Y73" s="137" t="str">
        <f t="shared" si="9"/>
        <v>N</v>
      </c>
      <c r="AS73" s="137" t="str">
        <f t="shared" si="1"/>
        <v>Ink cost</v>
      </c>
      <c r="AT73" s="413">
        <f t="shared" ca="1" si="2"/>
        <v>0</v>
      </c>
      <c r="AU73" s="136">
        <f ca="1">COUNTIFS(AT$7:$AT73,1)</f>
        <v>3</v>
      </c>
    </row>
    <row r="74" spans="2:47" ht="15" hidden="1" outlineLevel="1">
      <c r="B74" s="137" t="str">
        <f>Data!L928</f>
        <v>Matt UV 3</v>
      </c>
      <c r="D74" s="1432">
        <f>Data!O928</f>
        <v>0</v>
      </c>
      <c r="E74" s="394">
        <f>Data!P928</f>
        <v>0</v>
      </c>
      <c r="F74" s="394"/>
      <c r="I74" s="1467" t="str">
        <f>I73</f>
        <v>N</v>
      </c>
      <c r="J74" s="1450" t="s">
        <v>1105</v>
      </c>
      <c r="K74" s="1468"/>
      <c r="L74" s="1444">
        <f>IF(VLOOKUP(I73,$I$23:$M$55,5,0)-1&gt;0,VLOOKUP(I73,$I$23:$M$55,5,0)-1,0)</f>
        <v>0</v>
      </c>
      <c r="M74" s="1444" t="s">
        <v>1291</v>
      </c>
      <c r="N74" s="1469">
        <f>3/10000*VLOOKUP($I74,$I$23:$J$55,2,0)</f>
        <v>0</v>
      </c>
      <c r="O74" s="1444" t="s">
        <v>1290</v>
      </c>
      <c r="P74" s="1444"/>
      <c r="Q74" s="1444"/>
      <c r="R74" s="1469">
        <f>IF(L74&gt;0,ROUNDUP(N74,1),0)</f>
        <v>0</v>
      </c>
      <c r="S74" s="1444" t="s">
        <v>1290</v>
      </c>
      <c r="T74" s="1470">
        <f ca="1">IF(COUNTIFS(Ink!$A$10:$A$258,$I74,Ink!$G$10:$G$258,"&gt;0")=0,0,AVERAGEIFS(Ink!$H$10:$H$258,Ink!$A$10:$A$258,'Proof cost'!$I74,Ink!$G$10:$G$258,"&gt;0")*R74)*L74</f>
        <v>0</v>
      </c>
      <c r="Y74" s="137" t="str">
        <f t="shared" si="9"/>
        <v>N</v>
      </c>
      <c r="AS74" s="137" t="str">
        <f t="shared" ref="AS74:AS137" si="12">IF(G74=0,AS73,G74)</f>
        <v>Ink cost</v>
      </c>
      <c r="AT74" s="413">
        <f t="shared" ref="AT74:AT137" ca="1" si="13">IF(ISNUMBER(T74),IF(T74&lt;&gt;0,IF(ISNUMBER(SEARCH("to",GL74)),0,1),0),"")</f>
        <v>0</v>
      </c>
      <c r="AU74" s="136">
        <f ca="1">COUNTIFS(AT$7:$AT74,1)</f>
        <v>3</v>
      </c>
    </row>
    <row r="75" spans="2:47" ht="15" hidden="1" outlineLevel="1">
      <c r="B75" s="137" t="str">
        <f>Data!L929</f>
        <v>Matt UV 4</v>
      </c>
      <c r="D75" s="1432">
        <f>Data!O929</f>
        <v>0</v>
      </c>
      <c r="E75" s="394">
        <f>Data!P929</f>
        <v>0</v>
      </c>
      <c r="F75" s="394"/>
      <c r="I75" s="1467" t="str">
        <f>I73</f>
        <v>N</v>
      </c>
      <c r="J75" s="1450" t="s">
        <v>1105</v>
      </c>
      <c r="K75" s="1468"/>
      <c r="L75" s="1444"/>
      <c r="M75" s="1444" t="s">
        <v>1291</v>
      </c>
      <c r="N75" s="1469">
        <f>3/10000*VLOOKUP($I75,$I$23:$J$55,2,0)</f>
        <v>0</v>
      </c>
      <c r="O75" s="1444" t="s">
        <v>1290</v>
      </c>
      <c r="P75" s="1444"/>
      <c r="Q75" s="1444"/>
      <c r="R75" s="1469">
        <f>IF(L75&gt;0,ROUNDUP(N75,1),0)</f>
        <v>0</v>
      </c>
      <c r="S75" s="1444" t="s">
        <v>1290</v>
      </c>
      <c r="T75" s="1470">
        <f ca="1">IF(COUNTIFS(Ink!$A$10:$A$258,$I75,Ink!$G$10:$G$258,"&gt;0")=0,0,AVERAGEIFS(Ink!$H$10:$H$258,Ink!$A$10:$A$258,'Proof cost'!$I75,Ink!$G$10:$G$258,"&gt;0")*R75)*L75</f>
        <v>0</v>
      </c>
      <c r="Y75" s="137" t="str">
        <f t="shared" si="9"/>
        <v>N</v>
      </c>
      <c r="AS75" s="137" t="str">
        <f t="shared" si="12"/>
        <v>Ink cost</v>
      </c>
      <c r="AT75" s="413">
        <f t="shared" ca="1" si="13"/>
        <v>0</v>
      </c>
      <c r="AU75" s="136">
        <f ca="1">COUNTIFS(AT$7:$AT75,1)</f>
        <v>3</v>
      </c>
    </row>
    <row r="76" spans="2:47" ht="15" hidden="1" outlineLevel="1">
      <c r="B76" s="137" t="str">
        <f>Data!L930</f>
        <v>Matt UV 5</v>
      </c>
      <c r="D76" s="1432">
        <f>Data!O930</f>
        <v>0</v>
      </c>
      <c r="E76" s="394">
        <f>Data!P930</f>
        <v>0</v>
      </c>
      <c r="F76" s="394"/>
      <c r="I76" s="1467" t="str">
        <f>I29</f>
        <v>N</v>
      </c>
      <c r="J76" s="1450" t="s">
        <v>1105</v>
      </c>
      <c r="K76" s="1468"/>
      <c r="L76" s="4433" t="s">
        <v>1289</v>
      </c>
      <c r="M76" s="4433"/>
      <c r="N76" s="1444"/>
      <c r="O76" s="1444"/>
      <c r="P76" s="1444"/>
      <c r="Q76" s="1444"/>
      <c r="R76" s="1469">
        <f>IF(M29&gt;0,1.5,0)</f>
        <v>0</v>
      </c>
      <c r="S76" s="1444" t="s">
        <v>1290</v>
      </c>
      <c r="T76" s="1470">
        <f ca="1">IF(COUNTIFS(Ink!$A$10:$A$258,$I76,Ink!$G$10:$G$258,"&gt;0")=0,0,AVERAGEIFS(Ink!$H$10:$H$258,Ink!$A$10:$A$258,'Proof cost'!$I76,Ink!$G$10:$G$258,"&gt;0")*R76)</f>
        <v>0</v>
      </c>
      <c r="Y76" s="137" t="str">
        <f t="shared" si="9"/>
        <v>N</v>
      </c>
      <c r="AS76" s="137" t="str">
        <f t="shared" si="12"/>
        <v>Ink cost</v>
      </c>
      <c r="AT76" s="413">
        <f t="shared" ca="1" si="13"/>
        <v>0</v>
      </c>
      <c r="AU76" s="136">
        <f ca="1">COUNTIFS(AT$7:$AT76,1)</f>
        <v>3</v>
      </c>
    </row>
    <row r="77" spans="2:47" ht="15" hidden="1" outlineLevel="1">
      <c r="B77" s="137" t="str">
        <f>Data!L931</f>
        <v>UV 663 - Non Metalize</v>
      </c>
      <c r="D77" s="1432">
        <f>Data!O931</f>
        <v>126746.93250000001</v>
      </c>
      <c r="E77" s="394">
        <f>Data!P931</f>
        <v>3.9720526937159717E-5</v>
      </c>
      <c r="F77" s="394"/>
      <c r="I77" s="1467" t="str">
        <f>I76</f>
        <v>N</v>
      </c>
      <c r="J77" s="1450" t="s">
        <v>1105</v>
      </c>
      <c r="K77" s="1468"/>
      <c r="L77" s="1444">
        <f>IF(VLOOKUP(I76,$I$23:$M$55,5,0)-1&gt;0,VLOOKUP(I76,$I$23:$M$55,5,0)-1,0)</f>
        <v>0</v>
      </c>
      <c r="M77" s="1444" t="s">
        <v>1291</v>
      </c>
      <c r="N77" s="1469">
        <f>3/10000*VLOOKUP($I77,$I$23:$J$55,2,0)</f>
        <v>0</v>
      </c>
      <c r="O77" s="1444" t="s">
        <v>1290</v>
      </c>
      <c r="P77" s="1444"/>
      <c r="Q77" s="1444"/>
      <c r="R77" s="1469">
        <f>IF(L77&gt;0,ROUNDUP(N77,1),0)</f>
        <v>0</v>
      </c>
      <c r="S77" s="1444" t="s">
        <v>1290</v>
      </c>
      <c r="T77" s="1470">
        <f ca="1">IF(COUNTIFS(Ink!$A$10:$A$258,$I77,Ink!$G$10:$G$258,"&gt;0")=0,0,AVERAGEIFS(Ink!$H$10:$H$258,Ink!$A$10:$A$258,'Proof cost'!$I77,Ink!$G$10:$G$258,"&gt;0")*R77)*L77</f>
        <v>0</v>
      </c>
      <c r="Y77" s="137" t="str">
        <f t="shared" si="9"/>
        <v>N</v>
      </c>
      <c r="AS77" s="137" t="str">
        <f t="shared" si="12"/>
        <v>Ink cost</v>
      </c>
      <c r="AT77" s="413">
        <f t="shared" ca="1" si="13"/>
        <v>0</v>
      </c>
      <c r="AU77" s="136">
        <f ca="1">COUNTIFS(AT$7:$AT77,1)</f>
        <v>3</v>
      </c>
    </row>
    <row r="78" spans="2:47" ht="15" hidden="1" outlineLevel="1">
      <c r="B78" s="137" t="str">
        <f>Data!L932</f>
        <v>UV 5131 - Metalize</v>
      </c>
      <c r="D78" s="1432">
        <f>Data!O932</f>
        <v>0</v>
      </c>
      <c r="E78" s="394">
        <f>Data!P932</f>
        <v>4.1035589982587371E-5</v>
      </c>
      <c r="F78" s="394"/>
      <c r="I78" s="1467" t="str">
        <f>I76</f>
        <v>N</v>
      </c>
      <c r="J78" s="1450" t="s">
        <v>1105</v>
      </c>
      <c r="K78" s="1468"/>
      <c r="L78" s="1444"/>
      <c r="M78" s="1444" t="s">
        <v>1291</v>
      </c>
      <c r="N78" s="1469">
        <f>3/10000*VLOOKUP($I78,$I$23:$J$55,2,0)</f>
        <v>0</v>
      </c>
      <c r="O78" s="1444" t="s">
        <v>1290</v>
      </c>
      <c r="P78" s="1444"/>
      <c r="Q78" s="1444"/>
      <c r="R78" s="1469">
        <f>IF(L78&gt;0,ROUNDUP(N78,1),0)</f>
        <v>0</v>
      </c>
      <c r="S78" s="1444" t="s">
        <v>1290</v>
      </c>
      <c r="T78" s="1470">
        <f ca="1">IF(COUNTIFS(Ink!$A$10:$A$258,$I78,Ink!$G$10:$G$258,"&gt;0")=0,0,AVERAGEIFS(Ink!$H$10:$H$258,Ink!$A$10:$A$258,'Proof cost'!$I78,Ink!$G$10:$G$258,"&gt;0")*R78)*L78</f>
        <v>0</v>
      </c>
      <c r="Y78" s="137" t="str">
        <f t="shared" si="9"/>
        <v>N</v>
      </c>
      <c r="AS78" s="137" t="str">
        <f t="shared" si="12"/>
        <v>Ink cost</v>
      </c>
      <c r="AT78" s="413">
        <f t="shared" ca="1" si="13"/>
        <v>0</v>
      </c>
      <c r="AU78" s="136">
        <f ca="1">COUNTIFS(AT$7:$AT78,1)</f>
        <v>3</v>
      </c>
    </row>
    <row r="79" spans="2:47" ht="15" hidden="1" outlineLevel="1">
      <c r="B79" s="137" t="str">
        <f>Data!L933</f>
        <v>UV SRU 102 - Non Metalize</v>
      </c>
      <c r="D79" s="1432">
        <f>Data!O933</f>
        <v>188000</v>
      </c>
      <c r="E79" s="394">
        <f>Data!P933</f>
        <v>6.5229999999999997E-5</v>
      </c>
      <c r="F79" s="394"/>
      <c r="I79" s="1467" t="str">
        <f>I30</f>
        <v>N</v>
      </c>
      <c r="J79" s="1450" t="s">
        <v>1105</v>
      </c>
      <c r="K79" s="1468"/>
      <c r="L79" s="4433" t="s">
        <v>1289</v>
      </c>
      <c r="M79" s="4433"/>
      <c r="N79" s="1444"/>
      <c r="O79" s="1444"/>
      <c r="P79" s="1444"/>
      <c r="Q79" s="1444"/>
      <c r="R79" s="1469">
        <f>IF(M30&gt;0,1.5,0)</f>
        <v>0</v>
      </c>
      <c r="S79" s="1444" t="s">
        <v>1290</v>
      </c>
      <c r="T79" s="1470">
        <f ca="1">IF(COUNTIFS(Ink!$A$10:$A$258,$I79,Ink!$G$10:$G$258,"&gt;0")=0,0,AVERAGEIFS(Ink!$H$10:$H$258,Ink!$A$10:$A$258,'Proof cost'!$I79,Ink!$G$10:$G$258,"&gt;0")*R79)</f>
        <v>0</v>
      </c>
      <c r="Y79" s="137" t="str">
        <f t="shared" si="9"/>
        <v>N</v>
      </c>
      <c r="AS79" s="137" t="str">
        <f t="shared" si="12"/>
        <v>Ink cost</v>
      </c>
      <c r="AT79" s="413">
        <f t="shared" ca="1" si="13"/>
        <v>0</v>
      </c>
      <c r="AU79" s="136">
        <f ca="1">COUNTIFS(AT$7:$AT79,1)</f>
        <v>3</v>
      </c>
    </row>
    <row r="80" spans="2:47" ht="15" hidden="1" outlineLevel="1">
      <c r="B80" s="137" t="str">
        <f>Data!L934</f>
        <v>UV 900 - Metalize</v>
      </c>
      <c r="D80" s="1432" t="e">
        <f>Data!O934</f>
        <v>#VALUE!</v>
      </c>
      <c r="E80" s="394">
        <f>Data!P934</f>
        <v>0</v>
      </c>
      <c r="F80" s="394"/>
      <c r="I80" s="1467" t="str">
        <f>I79</f>
        <v>N</v>
      </c>
      <c r="J80" s="1450" t="s">
        <v>1105</v>
      </c>
      <c r="K80" s="1468"/>
      <c r="L80" s="1444">
        <f>IF(VLOOKUP(I79,$I$23:$M$55,5,0)-1&gt;0,VLOOKUP(I79,$I$23:$M$55,5,0)-1,0)</f>
        <v>0</v>
      </c>
      <c r="M80" s="1444" t="s">
        <v>1291</v>
      </c>
      <c r="N80" s="1469">
        <f>3/10000*VLOOKUP($I80,$I$23:$J$55,2,0)</f>
        <v>0</v>
      </c>
      <c r="O80" s="1444" t="s">
        <v>1290</v>
      </c>
      <c r="P80" s="1444"/>
      <c r="Q80" s="1444"/>
      <c r="R80" s="1469">
        <f>IF(L80&gt;0,ROUNDUP(N80,1),0)</f>
        <v>0</v>
      </c>
      <c r="S80" s="1444" t="s">
        <v>1290</v>
      </c>
      <c r="T80" s="1470">
        <f ca="1">IF(COUNTIFS(Ink!$A$10:$A$258,$I80,Ink!$G$10:$G$258,"&gt;0")=0,0,AVERAGEIFS(Ink!$H$10:$H$258,Ink!$A$10:$A$258,'Proof cost'!$I80,Ink!$G$10:$G$258,"&gt;0")*R80)*L80</f>
        <v>0</v>
      </c>
      <c r="Y80" s="137" t="str">
        <f t="shared" si="9"/>
        <v>N</v>
      </c>
      <c r="AS80" s="137" t="str">
        <f t="shared" si="12"/>
        <v>Ink cost</v>
      </c>
      <c r="AT80" s="413">
        <f t="shared" ca="1" si="13"/>
        <v>0</v>
      </c>
      <c r="AU80" s="136">
        <f ca="1">COUNTIFS(AT$7:$AT80,1)</f>
        <v>3</v>
      </c>
    </row>
    <row r="81" spans="2:47" ht="15" hidden="1" outlineLevel="1">
      <c r="B81" s="137" t="str">
        <f>Data!L935</f>
        <v>UV 663 + UV SRU 102 - Metalize</v>
      </c>
      <c r="D81" s="1432">
        <f>Data!O935</f>
        <v>132315.39318181819</v>
      </c>
      <c r="E81" s="394">
        <f>Data!P935</f>
        <v>3.7484963865158636E-5</v>
      </c>
      <c r="F81" s="394"/>
      <c r="I81" s="1467" t="str">
        <f>I79</f>
        <v>N</v>
      </c>
      <c r="J81" s="1450" t="s">
        <v>1105</v>
      </c>
      <c r="K81" s="1468"/>
      <c r="L81" s="1444"/>
      <c r="M81" s="1444" t="s">
        <v>1291</v>
      </c>
      <c r="N81" s="1469">
        <f>3/10000*VLOOKUP($I81,$I$23:$J$55,2,0)</f>
        <v>0</v>
      </c>
      <c r="O81" s="1444" t="s">
        <v>1290</v>
      </c>
      <c r="P81" s="1444"/>
      <c r="Q81" s="1444"/>
      <c r="R81" s="1469">
        <f>IF(L81&gt;0,ROUNDUP(N81,1),0)</f>
        <v>0</v>
      </c>
      <c r="S81" s="1444" t="s">
        <v>1290</v>
      </c>
      <c r="T81" s="1470">
        <f ca="1">IF(COUNTIFS(Ink!$A$10:$A$258,$I81,Ink!$G$10:$G$258,"&gt;0")=0,0,AVERAGEIFS(Ink!$H$10:$H$258,Ink!$A$10:$A$258,'Proof cost'!$I81,Ink!$G$10:$G$258,"&gt;0")*R81)*L81</f>
        <v>0</v>
      </c>
      <c r="Y81" s="137" t="str">
        <f t="shared" si="9"/>
        <v>N</v>
      </c>
      <c r="AS81" s="137" t="str">
        <f t="shared" si="12"/>
        <v>Ink cost</v>
      </c>
      <c r="AT81" s="413">
        <f t="shared" ca="1" si="13"/>
        <v>0</v>
      </c>
      <c r="AU81" s="136">
        <f ca="1">COUNTIFS(AT$7:$AT81,1)</f>
        <v>3</v>
      </c>
    </row>
    <row r="82" spans="2:47" ht="15" hidden="1" outlineLevel="1">
      <c r="B82" s="137" t="str">
        <f>Data!L936</f>
        <v>AV-701P</v>
      </c>
      <c r="D82" s="1432">
        <f>Data!O936</f>
        <v>67000</v>
      </c>
      <c r="E82" s="394">
        <f>Data!P936</f>
        <v>6.3295972120160082E-5</v>
      </c>
      <c r="F82" s="394"/>
      <c r="I82" s="1467" t="str">
        <f>I31</f>
        <v>N</v>
      </c>
      <c r="J82" s="1450" t="s">
        <v>1105</v>
      </c>
      <c r="K82" s="1468"/>
      <c r="L82" s="4433" t="s">
        <v>1289</v>
      </c>
      <c r="M82" s="4433"/>
      <c r="N82" s="1444"/>
      <c r="O82" s="1444"/>
      <c r="P82" s="1444"/>
      <c r="Q82" s="1444"/>
      <c r="R82" s="1469">
        <f>IF(M31&gt;0,1.5,0)</f>
        <v>0</v>
      </c>
      <c r="S82" s="1444" t="s">
        <v>1290</v>
      </c>
      <c r="T82" s="1470">
        <f ca="1">IF(COUNTIFS(Ink!$A$10:$A$258,$I82,Ink!$G$10:$G$258,"&gt;0")=0,0,AVERAGEIFS(Ink!$H$10:$H$258,Ink!$A$10:$A$258,'Proof cost'!$I82,Ink!$G$10:$G$258,"&gt;0")*R82)</f>
        <v>0</v>
      </c>
      <c r="Y82" s="137" t="str">
        <f t="shared" si="9"/>
        <v>N</v>
      </c>
      <c r="AS82" s="137" t="str">
        <f t="shared" si="12"/>
        <v>Ink cost</v>
      </c>
      <c r="AT82" s="413">
        <f t="shared" ca="1" si="13"/>
        <v>0</v>
      </c>
      <c r="AU82" s="136">
        <f ca="1">COUNTIFS(AT$7:$AT82,1)</f>
        <v>3</v>
      </c>
    </row>
    <row r="83" spans="2:47" ht="15" hidden="1" outlineLevel="1">
      <c r="B83" s="137" t="str">
        <f>Data!L937</f>
        <v>UV 661G-1S</v>
      </c>
      <c r="D83" s="1432" t="e">
        <f>Data!O937</f>
        <v>#VALUE!</v>
      </c>
      <c r="E83" s="394">
        <f>Data!P937</f>
        <v>0</v>
      </c>
      <c r="F83" s="394"/>
      <c r="I83" s="1467" t="str">
        <f>I82</f>
        <v>N</v>
      </c>
      <c r="J83" s="1450" t="s">
        <v>1105</v>
      </c>
      <c r="K83" s="1468"/>
      <c r="L83" s="1444">
        <f>IF(VLOOKUP(I82,$I$23:$M$55,5,0)-1&gt;0,VLOOKUP(I82,$I$23:$M$55,5,0)-1,0)</f>
        <v>0</v>
      </c>
      <c r="M83" s="1444" t="s">
        <v>1291</v>
      </c>
      <c r="N83" s="1469">
        <f>3/10000*VLOOKUP($I83,$I$23:$J$55,2,0)</f>
        <v>0</v>
      </c>
      <c r="O83" s="1444" t="s">
        <v>1290</v>
      </c>
      <c r="P83" s="1444"/>
      <c r="Q83" s="1444"/>
      <c r="R83" s="1469">
        <f>IF(L83&gt;0,ROUNDUP(N83,1),0)</f>
        <v>0</v>
      </c>
      <c r="S83" s="1444" t="s">
        <v>1290</v>
      </c>
      <c r="T83" s="1470">
        <f ca="1">IF(COUNTIFS(Ink!$A$10:$A$258,$I83,Ink!$G$10:$G$258,"&gt;0")=0,0,AVERAGEIFS(Ink!$H$10:$H$258,Ink!$A$10:$A$258,'Proof cost'!$I83,Ink!$G$10:$G$258,"&gt;0")*R83)*L83</f>
        <v>0</v>
      </c>
      <c r="Y83" s="137" t="str">
        <f t="shared" si="9"/>
        <v>N</v>
      </c>
      <c r="AS83" s="137" t="str">
        <f t="shared" si="12"/>
        <v>Ink cost</v>
      </c>
      <c r="AT83" s="413">
        <f t="shared" ca="1" si="13"/>
        <v>0</v>
      </c>
      <c r="AU83" s="136">
        <f ca="1">COUNTIFS(AT$7:$AT83,1)</f>
        <v>3</v>
      </c>
    </row>
    <row r="84" spans="2:47" ht="15" hidden="1" outlineLevel="1">
      <c r="B84" s="137" t="str">
        <f>Data!L938</f>
        <v>UV 6165A</v>
      </c>
      <c r="D84" s="1432">
        <f>Data!O938</f>
        <v>300000</v>
      </c>
      <c r="E84" s="394">
        <f>Data!P938</f>
        <v>0</v>
      </c>
      <c r="F84" s="394"/>
      <c r="I84" s="1467" t="str">
        <f>I82</f>
        <v>N</v>
      </c>
      <c r="J84" s="1450" t="s">
        <v>1105</v>
      </c>
      <c r="K84" s="1468"/>
      <c r="L84" s="1444"/>
      <c r="M84" s="1444" t="s">
        <v>1291</v>
      </c>
      <c r="N84" s="1469">
        <f>3/10000*VLOOKUP($I84,$I$23:$J$55,2,0)</f>
        <v>0</v>
      </c>
      <c r="O84" s="1444" t="s">
        <v>1290</v>
      </c>
      <c r="P84" s="1444"/>
      <c r="Q84" s="1444"/>
      <c r="R84" s="1469">
        <f>IF(L84&gt;0,ROUNDUP(N84,1),0)</f>
        <v>0</v>
      </c>
      <c r="S84" s="1444" t="s">
        <v>1290</v>
      </c>
      <c r="T84" s="1470">
        <f ca="1">IF(COUNTIFS(Ink!$A$10:$A$258,$I84,Ink!$G$10:$G$258,"&gt;0")=0,0,AVERAGEIFS(Ink!$H$10:$H$258,Ink!$A$10:$A$258,'Proof cost'!$I84,Ink!$G$10:$G$258,"&gt;0")*R84)*L84</f>
        <v>0</v>
      </c>
      <c r="Y84" s="137" t="str">
        <f t="shared" si="9"/>
        <v>N</v>
      </c>
      <c r="AS84" s="137" t="str">
        <f t="shared" si="12"/>
        <v>Ink cost</v>
      </c>
      <c r="AT84" s="413">
        <f t="shared" ca="1" si="13"/>
        <v>0</v>
      </c>
      <c r="AU84" s="136">
        <f ca="1">COUNTIFS(AT$7:$AT84,1)</f>
        <v>3</v>
      </c>
    </row>
    <row r="85" spans="2:47" ht="15" hidden="1" outlineLevel="1">
      <c r="B85" s="137" t="str">
        <f>Data!L939</f>
        <v xml:space="preserve">UV 662-5A </v>
      </c>
      <c r="D85" s="1432">
        <f>Data!O939</f>
        <v>311576.10000000003</v>
      </c>
      <c r="E85" s="394">
        <f>Data!P939</f>
        <v>1.9219000000000001E-4</v>
      </c>
      <c r="F85" s="394"/>
      <c r="I85" s="1467" t="str">
        <f>I37</f>
        <v>1st</v>
      </c>
      <c r="J85" s="1450" t="s">
        <v>1105</v>
      </c>
      <c r="K85" s="1468"/>
      <c r="L85" s="4433" t="s">
        <v>1289</v>
      </c>
      <c r="M85" s="4433"/>
      <c r="N85" s="1444"/>
      <c r="O85" s="1444"/>
      <c r="P85" s="1444"/>
      <c r="Q85" s="1444"/>
      <c r="R85" s="1469">
        <f>IF(M37&gt;0,1.5,0)</f>
        <v>0</v>
      </c>
      <c r="S85" s="1444" t="s">
        <v>1290</v>
      </c>
      <c r="T85" s="1470">
        <f ca="1">IF(COUNTIFS(Ink!$A$10:$A$258,$I85,Ink!$G$10:$G$258,"&gt;0")=0,0,AVERAGEIFS(Ink!$H$10:$H$258,Ink!$A$10:$A$258,'Proof cost'!$I85,Ink!$G$10:$G$258,"&gt;0")*R85)</f>
        <v>0</v>
      </c>
      <c r="Y85" s="137" t="str">
        <f t="shared" si="9"/>
        <v>N</v>
      </c>
      <c r="AS85" s="137" t="str">
        <f t="shared" si="12"/>
        <v>Ink cost</v>
      </c>
      <c r="AT85" s="413">
        <f t="shared" ca="1" si="13"/>
        <v>0</v>
      </c>
      <c r="AU85" s="136">
        <f ca="1">COUNTIFS(AT$7:$AT85,1)</f>
        <v>3</v>
      </c>
    </row>
    <row r="86" spans="2:47" ht="15" hidden="1" outlineLevel="1">
      <c r="B86" s="137" t="str">
        <f>Data!L940</f>
        <v>UV 662-5A + UV 6165 (6:4)</v>
      </c>
      <c r="D86" s="1432">
        <f>Data!O940</f>
        <v>306945.66000000003</v>
      </c>
      <c r="E86" s="394">
        <f>Data!P940</f>
        <v>1.2340533514222151E-5</v>
      </c>
      <c r="F86" s="394"/>
      <c r="I86" s="1467" t="str">
        <f>I85</f>
        <v>1st</v>
      </c>
      <c r="J86" s="1450" t="s">
        <v>1105</v>
      </c>
      <c r="K86" s="1468"/>
      <c r="L86" s="1444">
        <f>IF(VLOOKUP(I85,$I$23:$M$55,5,0)-1&gt;0,VLOOKUP(I85,$I$23:$M$55,5,0)-1,0)</f>
        <v>0</v>
      </c>
      <c r="M86" s="1444" t="s">
        <v>1291</v>
      </c>
      <c r="N86" s="1469">
        <f>3/10000*VLOOKUP($I86,$I$23:$J$55,2,0)</f>
        <v>0</v>
      </c>
      <c r="O86" s="1444" t="s">
        <v>1290</v>
      </c>
      <c r="P86" s="1444"/>
      <c r="Q86" s="1444"/>
      <c r="R86" s="1469">
        <f>IF(L86&gt;0,ROUNDUP(N86,1),0)</f>
        <v>0</v>
      </c>
      <c r="S86" s="1444" t="s">
        <v>1290</v>
      </c>
      <c r="T86" s="1470">
        <f ca="1">IF(COUNTIFS(Ink!$A$10:$A$258,$I86,Ink!$G$10:$G$258,"&gt;0")=0,0,AVERAGEIFS(Ink!$H$10:$H$258,Ink!$A$10:$A$258,'Proof cost'!$I86,Ink!$G$10:$G$258,"&gt;0")*R86)*L86</f>
        <v>0</v>
      </c>
      <c r="Y86" s="137" t="str">
        <f t="shared" si="9"/>
        <v>N</v>
      </c>
      <c r="AS86" s="137" t="str">
        <f t="shared" si="12"/>
        <v>Ink cost</v>
      </c>
      <c r="AT86" s="413">
        <f t="shared" ca="1" si="13"/>
        <v>0</v>
      </c>
      <c r="AU86" s="136">
        <f ca="1">COUNTIFS(AT$7:$AT86,1)</f>
        <v>3</v>
      </c>
    </row>
    <row r="87" spans="2:47" ht="15" hidden="1" outlineLevel="1">
      <c r="B87" s="137" t="str">
        <f>Data!L941</f>
        <v>OPV Wet Hi-Rub</v>
      </c>
      <c r="D87" s="1432">
        <f>Data!O941</f>
        <v>221490</v>
      </c>
      <c r="E87" s="394">
        <f>Data!P941</f>
        <v>3.9046041830142491E-6</v>
      </c>
      <c r="F87" s="394"/>
      <c r="I87" s="1467" t="str">
        <f>I85</f>
        <v>1st</v>
      </c>
      <c r="J87" s="1450" t="s">
        <v>1105</v>
      </c>
      <c r="K87" s="1468"/>
      <c r="L87" s="1444"/>
      <c r="M87" s="1444" t="s">
        <v>1291</v>
      </c>
      <c r="N87" s="1469">
        <f>3/10000*VLOOKUP($I87,$I$23:$J$55,2,0)</f>
        <v>0</v>
      </c>
      <c r="O87" s="1444" t="s">
        <v>1290</v>
      </c>
      <c r="P87" s="1444"/>
      <c r="Q87" s="1444"/>
      <c r="R87" s="1469">
        <f>IF(L87&gt;0,ROUNDUP(N87,1),0)</f>
        <v>0</v>
      </c>
      <c r="S87" s="1444" t="s">
        <v>1290</v>
      </c>
      <c r="T87" s="1470">
        <f ca="1">IF(COUNTIFS(Ink!$A$10:$A$258,$I87,Ink!$G$10:$G$258,"&gt;0")=0,0,AVERAGEIFS(Ink!$H$10:$H$258,Ink!$A$10:$A$258,'Proof cost'!$I87,Ink!$G$10:$G$258,"&gt;0")*R87)*L87</f>
        <v>0</v>
      </c>
      <c r="Y87" s="137" t="str">
        <f t="shared" si="9"/>
        <v>N</v>
      </c>
      <c r="AS87" s="137" t="str">
        <f t="shared" si="12"/>
        <v>Ink cost</v>
      </c>
      <c r="AT87" s="413">
        <f t="shared" ca="1" si="13"/>
        <v>0</v>
      </c>
      <c r="AU87" s="136">
        <f ca="1">COUNTIFS(AT$7:$AT87,1)</f>
        <v>3</v>
      </c>
    </row>
    <row r="88" spans="2:47" ht="15" collapsed="1">
      <c r="B88" s="137" t="str">
        <f>Data!L942</f>
        <v>TK Matt Varnish 22493</v>
      </c>
      <c r="D88" s="1432">
        <f>Data!O942</f>
        <v>345503</v>
      </c>
      <c r="E88" s="394">
        <f>Data!P942</f>
        <v>1.1259999999999999E-5</v>
      </c>
      <c r="F88" s="394"/>
      <c r="I88" s="1438"/>
      <c r="J88" s="1434"/>
      <c r="K88" s="1440"/>
      <c r="L88" s="1440"/>
      <c r="N88" s="1443"/>
      <c r="R88" s="1443"/>
      <c r="T88" s="1037"/>
      <c r="AS88" s="137" t="str">
        <f t="shared" si="12"/>
        <v>Ink cost</v>
      </c>
      <c r="AT88" s="413" t="str">
        <f t="shared" si="13"/>
        <v/>
      </c>
      <c r="AU88" s="136">
        <f ca="1">COUNTIFS(AT$7:$AT88,1)</f>
        <v>3</v>
      </c>
    </row>
    <row r="89" spans="2:47" ht="15">
      <c r="B89" s="137" t="str">
        <f>Data!L943</f>
        <v>Soft touch matt film LMS-30</v>
      </c>
      <c r="D89" s="1432">
        <f>Data!O943</f>
        <v>10000</v>
      </c>
      <c r="E89" s="394">
        <f>Data!P943</f>
        <v>30</v>
      </c>
      <c r="F89" s="394"/>
      <c r="G89" s="248" t="s">
        <v>140</v>
      </c>
      <c r="H89" s="1471"/>
      <c r="I89" s="1481">
        <f ca="1">SUM(T90:T159)</f>
        <v>176000</v>
      </c>
      <c r="J89" s="1261" t="s">
        <v>92</v>
      </c>
      <c r="L89" s="4439" t="s">
        <v>1071</v>
      </c>
      <c r="M89" s="4439"/>
      <c r="AS89" s="137" t="str">
        <f t="shared" si="12"/>
        <v>Finishing</v>
      </c>
      <c r="AT89" s="413" t="str">
        <f t="shared" si="13"/>
        <v/>
      </c>
      <c r="AU89" s="136">
        <f ca="1">COUNTIFS(AT$7:$AT89,1)</f>
        <v>3</v>
      </c>
    </row>
    <row r="90" spans="2:47" ht="15">
      <c r="B90" s="137" t="str">
        <f>Data!L944</f>
        <v>Thermal Anti Scratch LMHS-30u</v>
      </c>
      <c r="D90" s="1432">
        <f>Data!O944</f>
        <v>12000</v>
      </c>
      <c r="E90" s="394">
        <f>Data!P944</f>
        <v>30</v>
      </c>
      <c r="F90" s="394"/>
      <c r="H90" s="1471" t="s">
        <v>103</v>
      </c>
      <c r="I90" s="2865" t="str">
        <f>I23</f>
        <v>Box</v>
      </c>
      <c r="J90" s="4430" t="str">
        <f ca="1">Coating!D8</f>
        <v>OPV-CX0186 Water base</v>
      </c>
      <c r="K90" s="4430"/>
      <c r="L90" s="1465">
        <f t="shared" ref="L90:L121" si="14">VLOOKUP(I90,$I$23:$Q$55,8,0)</f>
        <v>638</v>
      </c>
      <c r="M90" s="1465">
        <f t="shared" ref="M90:M121" si="15">VLOOKUP(I90,$I$23:$Q$55,9,0)</f>
        <v>407</v>
      </c>
      <c r="N90" s="1473">
        <f ca="1">IF(H90="Y",(INT(VLOOKUP(J90,$B$58:$E$191,4,0)*L90*M90*(VLOOKUP(I90,$I$23:$J$55,2,0)/10000))+1),0)</f>
        <v>2</v>
      </c>
      <c r="O90" s="1474" t="s">
        <v>105</v>
      </c>
      <c r="P90" s="1461"/>
      <c r="Q90" s="1474"/>
      <c r="R90" s="1464">
        <f t="shared" ref="R90:R98" ca="1" si="16">IF(N90&gt;0,VLOOKUP(J90,$B$58:$E$191,3,0),0)</f>
        <v>88000</v>
      </c>
      <c r="S90" s="1461" t="s">
        <v>93</v>
      </c>
      <c r="T90" s="1464">
        <f t="shared" ref="T90:T98" ca="1" si="17">R90*N90</f>
        <v>176000</v>
      </c>
      <c r="Y90" s="137" t="str">
        <f t="shared" ref="Y90:Y121" si="18">VLOOKUP($I90,$I$23:$Y$55,17,0)</f>
        <v>Box</v>
      </c>
      <c r="AS90" s="137" t="str">
        <f t="shared" si="12"/>
        <v>Finishing</v>
      </c>
      <c r="AT90" s="413">
        <f t="shared" ca="1" si="13"/>
        <v>1</v>
      </c>
      <c r="AU90" s="136">
        <f ca="1">COUNTIFS(AT$7:$AT90,1)</f>
        <v>4</v>
      </c>
    </row>
    <row r="91" spans="2:47" ht="15" hidden="1" outlineLevel="1">
      <c r="B91" s="137" t="str">
        <f>Data!L945</f>
        <v>Thermal_Matt_OPP_Local</v>
      </c>
      <c r="D91" s="1432">
        <f>Data!O945</f>
        <v>110000</v>
      </c>
      <c r="E91" s="394">
        <f>Data!P945</f>
        <v>27</v>
      </c>
      <c r="F91" s="394"/>
      <c r="H91" s="1471" t="s">
        <v>103</v>
      </c>
      <c r="I91" s="1472" t="str">
        <f t="shared" ref="I91:I96" si="19">I90</f>
        <v>Box</v>
      </c>
      <c r="J91" s="4430" t="str">
        <f ca="1">Coating!D9</f>
        <v>None</v>
      </c>
      <c r="K91" s="4430"/>
      <c r="L91" s="1465">
        <f t="shared" si="14"/>
        <v>638</v>
      </c>
      <c r="M91" s="1465">
        <f t="shared" si="15"/>
        <v>407</v>
      </c>
      <c r="N91" s="1473">
        <f ca="1">IF(H91="Y",(INT(VLOOKUP(J91,$B$58:$E$191,4,0)*L91*M91*(VLOOKUP(I91,$I$23:$J$55,2,0)/10000))+1),0)</f>
        <v>1</v>
      </c>
      <c r="O91" s="1474" t="s">
        <v>105</v>
      </c>
      <c r="P91" s="1461"/>
      <c r="Q91" s="1474"/>
      <c r="R91" s="1464">
        <f t="shared" ca="1" si="16"/>
        <v>0</v>
      </c>
      <c r="S91" s="1461" t="s">
        <v>93</v>
      </c>
      <c r="T91" s="1464">
        <f t="shared" ca="1" si="17"/>
        <v>0</v>
      </c>
      <c r="Y91" s="137" t="str">
        <f t="shared" si="18"/>
        <v>Box</v>
      </c>
      <c r="AS91" s="137" t="str">
        <f t="shared" si="12"/>
        <v>Finishing</v>
      </c>
      <c r="AT91" s="413">
        <f t="shared" ca="1" si="13"/>
        <v>0</v>
      </c>
      <c r="AU91" s="136">
        <f ca="1">COUNTIFS(AT$7:$AT91,1)</f>
        <v>4</v>
      </c>
    </row>
    <row r="92" spans="2:47" ht="15" hidden="1" outlineLevel="1">
      <c r="B92" s="137" t="str">
        <f>Data!L946</f>
        <v>Thermal_Gloss_OPP_Local</v>
      </c>
      <c r="D92" s="1432">
        <f>Data!O946</f>
        <v>105000</v>
      </c>
      <c r="E92" s="394">
        <f>Data!P946</f>
        <v>25</v>
      </c>
      <c r="F92" s="394"/>
      <c r="H92" s="1471" t="s">
        <v>103</v>
      </c>
      <c r="I92" s="1472" t="str">
        <f t="shared" si="19"/>
        <v>Box</v>
      </c>
      <c r="J92" s="4430" t="str">
        <f ca="1">Coating!D10</f>
        <v>None</v>
      </c>
      <c r="K92" s="4430"/>
      <c r="L92" s="1465">
        <f t="shared" si="14"/>
        <v>638</v>
      </c>
      <c r="M92" s="1465">
        <f t="shared" si="15"/>
        <v>407</v>
      </c>
      <c r="N92" s="1473">
        <f ca="1">IF(H92="Y",(INT(VLOOKUP(J92,$B$58:$E$191,4,0)*L92*M92*(VLOOKUP(I92,$I$23:$J$55,2,0)/10000))+1),0)</f>
        <v>1</v>
      </c>
      <c r="O92" s="1474" t="s">
        <v>105</v>
      </c>
      <c r="P92" s="1461"/>
      <c r="Q92" s="1474"/>
      <c r="R92" s="1464">
        <f t="shared" ca="1" si="16"/>
        <v>0</v>
      </c>
      <c r="S92" s="1461" t="s">
        <v>93</v>
      </c>
      <c r="T92" s="1464">
        <f t="shared" ca="1" si="17"/>
        <v>0</v>
      </c>
      <c r="Y92" s="137" t="str">
        <f t="shared" si="18"/>
        <v>Box</v>
      </c>
      <c r="AS92" s="137" t="str">
        <f t="shared" si="12"/>
        <v>Finishing</v>
      </c>
      <c r="AT92" s="413">
        <f t="shared" ca="1" si="13"/>
        <v>0</v>
      </c>
      <c r="AU92" s="136">
        <f ca="1">COUNTIFS(AT$7:$AT92,1)</f>
        <v>4</v>
      </c>
    </row>
    <row r="93" spans="2:47" ht="15" hidden="1" outlineLevel="1">
      <c r="B93" s="137">
        <f>Data!L947</f>
        <v>0</v>
      </c>
      <c r="D93" s="1432">
        <f>Data!O947</f>
        <v>0</v>
      </c>
      <c r="E93" s="394">
        <f>Data!P947</f>
        <v>0</v>
      </c>
      <c r="F93" s="394"/>
      <c r="H93" s="1471" t="s">
        <v>103</v>
      </c>
      <c r="I93" s="1472" t="str">
        <f t="shared" si="19"/>
        <v>Box</v>
      </c>
      <c r="J93" s="4430" t="str">
        <f ca="1">Coating!D11</f>
        <v>None</v>
      </c>
      <c r="K93" s="4430"/>
      <c r="L93" s="1465">
        <f t="shared" si="14"/>
        <v>638</v>
      </c>
      <c r="M93" s="1465">
        <f t="shared" si="15"/>
        <v>407</v>
      </c>
      <c r="N93" s="1473">
        <f ca="1">IF(H93="Y",(INT(VLOOKUP(J93,$B$58:$E$191,4,0)*L93*M93*(VLOOKUP(I93,$I$23:$J$55,2,0)/10000))+1),0)</f>
        <v>1</v>
      </c>
      <c r="O93" s="1474" t="s">
        <v>105</v>
      </c>
      <c r="P93" s="1461"/>
      <c r="Q93" s="1474"/>
      <c r="R93" s="1464">
        <f t="shared" ca="1" si="16"/>
        <v>0</v>
      </c>
      <c r="S93" s="1461" t="s">
        <v>93</v>
      </c>
      <c r="T93" s="1464">
        <f t="shared" ca="1" si="17"/>
        <v>0</v>
      </c>
      <c r="Y93" s="137" t="str">
        <f t="shared" si="18"/>
        <v>Box</v>
      </c>
      <c r="AS93" s="137" t="str">
        <f t="shared" si="12"/>
        <v>Finishing</v>
      </c>
      <c r="AT93" s="413">
        <f t="shared" ca="1" si="13"/>
        <v>0</v>
      </c>
      <c r="AU93" s="136">
        <f ca="1">COUNTIFS(AT$7:$AT93,1)</f>
        <v>4</v>
      </c>
    </row>
    <row r="94" spans="2:47" ht="15" hidden="1" outlineLevel="1">
      <c r="B94" s="137">
        <f>Data!L948</f>
        <v>0</v>
      </c>
      <c r="D94" s="1432">
        <f>Data!O948</f>
        <v>0</v>
      </c>
      <c r="E94" s="394">
        <f>Data!P948</f>
        <v>0</v>
      </c>
      <c r="F94" s="394"/>
      <c r="H94" s="1471" t="s">
        <v>103</v>
      </c>
      <c r="I94" s="1472" t="str">
        <f t="shared" si="19"/>
        <v>Box</v>
      </c>
      <c r="J94" s="4430" t="str">
        <f ca="1">Coating!D12</f>
        <v>None</v>
      </c>
      <c r="K94" s="4430"/>
      <c r="L94" s="1465">
        <f t="shared" si="14"/>
        <v>638</v>
      </c>
      <c r="M94" s="1465">
        <f t="shared" si="15"/>
        <v>407</v>
      </c>
      <c r="N94" s="1473">
        <f ca="1">IF(H94="Y",(INT(VLOOKUP(J94,$B$58:$E$191,4,0)*L94*M94*(VLOOKUP(I94,$I$23:$J$55,2,0)/10000))+1),0)</f>
        <v>1</v>
      </c>
      <c r="O94" s="1474" t="s">
        <v>105</v>
      </c>
      <c r="P94" s="1461"/>
      <c r="Q94" s="1474"/>
      <c r="R94" s="1464">
        <f t="shared" ca="1" si="16"/>
        <v>0</v>
      </c>
      <c r="S94" s="1461" t="s">
        <v>93</v>
      </c>
      <c r="T94" s="1464">
        <f t="shared" ca="1" si="17"/>
        <v>0</v>
      </c>
      <c r="Y94" s="137" t="str">
        <f t="shared" si="18"/>
        <v>Box</v>
      </c>
      <c r="AS94" s="137" t="str">
        <f t="shared" si="12"/>
        <v>Finishing</v>
      </c>
      <c r="AT94" s="413">
        <f t="shared" ca="1" si="13"/>
        <v>0</v>
      </c>
      <c r="AU94" s="136">
        <f ca="1">COUNTIFS(AT$7:$AT94,1)</f>
        <v>4</v>
      </c>
    </row>
    <row r="95" spans="2:47" ht="15" hidden="1" outlineLevel="1">
      <c r="B95" s="137">
        <f>Data!L949</f>
        <v>0</v>
      </c>
      <c r="D95" s="1432">
        <f>Data!O949</f>
        <v>0</v>
      </c>
      <c r="E95" s="394">
        <f>Data!P949</f>
        <v>0</v>
      </c>
      <c r="F95" s="394"/>
      <c r="H95" s="1471" t="s">
        <v>103</v>
      </c>
      <c r="I95" s="1472" t="str">
        <f t="shared" si="19"/>
        <v>Box</v>
      </c>
      <c r="J95" s="4431" t="str">
        <f ca="1">Coating!D13</f>
        <v>None</v>
      </c>
      <c r="K95" s="4431"/>
      <c r="L95" s="2866">
        <f t="shared" si="14"/>
        <v>638</v>
      </c>
      <c r="M95" s="2866">
        <f t="shared" si="15"/>
        <v>407</v>
      </c>
      <c r="N95" s="2867">
        <f ca="1">IF(H95="Y",IFERROR(ROUNDUP(VLOOKUP(I95,$I$23:$J$55,2,0)*Coating!G13*Coating!J13/Coating!B13,0),0),0)</f>
        <v>0</v>
      </c>
      <c r="O95" s="2868" t="s">
        <v>105</v>
      </c>
      <c r="P95" s="1461"/>
      <c r="Q95" s="1474"/>
      <c r="R95" s="1464">
        <f t="shared" ca="1" si="16"/>
        <v>0</v>
      </c>
      <c r="S95" s="1461" t="s">
        <v>93</v>
      </c>
      <c r="T95" s="1464">
        <f t="shared" ca="1" si="17"/>
        <v>0</v>
      </c>
      <c r="Y95" s="137" t="str">
        <f t="shared" si="18"/>
        <v>Box</v>
      </c>
      <c r="AS95" s="137" t="str">
        <f t="shared" si="12"/>
        <v>Finishing</v>
      </c>
      <c r="AT95" s="413">
        <f t="shared" ca="1" si="13"/>
        <v>0</v>
      </c>
      <c r="AU95" s="136">
        <f ca="1">COUNTIFS(AT$7:$AT95,1)</f>
        <v>4</v>
      </c>
    </row>
    <row r="96" spans="2:47" ht="15" hidden="1" outlineLevel="1">
      <c r="B96" s="137" t="str">
        <f>Data!L950</f>
        <v>Thermal_Matt_OPP_Import</v>
      </c>
      <c r="D96" s="1432">
        <f>Data!O950</f>
        <v>91792.26</v>
      </c>
      <c r="E96" s="394">
        <f>Data!P950</f>
        <v>25</v>
      </c>
      <c r="F96" s="394"/>
      <c r="H96" s="1471" t="s">
        <v>103</v>
      </c>
      <c r="I96" s="1472" t="str">
        <f t="shared" si="19"/>
        <v>Box</v>
      </c>
      <c r="J96" s="4431" t="str">
        <f ca="1">Coating!D15</f>
        <v>None</v>
      </c>
      <c r="K96" s="4431"/>
      <c r="L96" s="2866">
        <f t="shared" si="14"/>
        <v>638</v>
      </c>
      <c r="M96" s="2866">
        <f t="shared" si="15"/>
        <v>407</v>
      </c>
      <c r="N96" s="2867">
        <f ca="1">IF(H96="Y",IFERROR(ROUNDUP(VLOOKUP(I96,$I$23:$J$55,2,0)*Coating!G15*Coating!J15/Coating!B15,0),0),0)</f>
        <v>0</v>
      </c>
      <c r="O96" s="2868" t="s">
        <v>105</v>
      </c>
      <c r="P96" s="1461"/>
      <c r="Q96" s="1474"/>
      <c r="R96" s="1464">
        <f t="shared" ca="1" si="16"/>
        <v>0</v>
      </c>
      <c r="S96" s="1461" t="s">
        <v>93</v>
      </c>
      <c r="T96" s="1464">
        <f t="shared" ca="1" si="17"/>
        <v>0</v>
      </c>
      <c r="Y96" s="137" t="str">
        <f t="shared" si="18"/>
        <v>Box</v>
      </c>
      <c r="AS96" s="137" t="str">
        <f t="shared" si="12"/>
        <v>Finishing</v>
      </c>
      <c r="AT96" s="413">
        <f t="shared" ca="1" si="13"/>
        <v>0</v>
      </c>
      <c r="AU96" s="136">
        <f ca="1">COUNTIFS(AT$7:$AT96,1)</f>
        <v>4</v>
      </c>
    </row>
    <row r="97" spans="2:47" ht="15" hidden="1" outlineLevel="1">
      <c r="B97" s="137" t="str">
        <f>Data!L951</f>
        <v xml:space="preserve">Thermal_Gloss_OPP_Import </v>
      </c>
      <c r="D97" s="1432">
        <f>Data!O951</f>
        <v>89425.26</v>
      </c>
      <c r="E97" s="394">
        <f>Data!P951</f>
        <v>22</v>
      </c>
      <c r="F97" s="394"/>
      <c r="H97" s="1471" t="s">
        <v>103</v>
      </c>
      <c r="I97" s="2865" t="str">
        <f>I24</f>
        <v>N</v>
      </c>
      <c r="J97" s="4430" t="str">
        <f ca="1">Coating!D18</f>
        <v>None</v>
      </c>
      <c r="K97" s="4430"/>
      <c r="L97" s="1465">
        <f t="shared" si="14"/>
        <v>0</v>
      </c>
      <c r="M97" s="1465">
        <f t="shared" si="15"/>
        <v>0</v>
      </c>
      <c r="N97" s="1473">
        <f ca="1">IF(H97="Y",(INT(VLOOKUP(J97,$B$58:$E$191,4,0)*L97*M97*(VLOOKUP(I97,$I$23:$J$55,2,0)/10000))+1),0)</f>
        <v>1</v>
      </c>
      <c r="O97" s="1474" t="s">
        <v>105</v>
      </c>
      <c r="P97" s="1461"/>
      <c r="Q97" s="1474"/>
      <c r="R97" s="1464">
        <f t="shared" ca="1" si="16"/>
        <v>0</v>
      </c>
      <c r="S97" s="1461" t="s">
        <v>93</v>
      </c>
      <c r="T97" s="1464">
        <f t="shared" ca="1" si="17"/>
        <v>0</v>
      </c>
      <c r="Y97" s="137" t="str">
        <f t="shared" si="18"/>
        <v>N</v>
      </c>
      <c r="AS97" s="137" t="str">
        <f t="shared" si="12"/>
        <v>Finishing</v>
      </c>
      <c r="AT97" s="413">
        <f t="shared" ca="1" si="13"/>
        <v>0</v>
      </c>
      <c r="AU97" s="136">
        <f ca="1">COUNTIFS(AT$7:$AT97,1)</f>
        <v>4</v>
      </c>
    </row>
    <row r="98" spans="2:47" ht="15" hidden="1" outlineLevel="1">
      <c r="B98" s="137">
        <f>Data!L952</f>
        <v>0</v>
      </c>
      <c r="D98" s="1432">
        <f>Data!O952</f>
        <v>0</v>
      </c>
      <c r="E98" s="394">
        <f>Data!P952</f>
        <v>20</v>
      </c>
      <c r="F98" s="394"/>
      <c r="H98" s="1471" t="s">
        <v>103</v>
      </c>
      <c r="I98" s="1472" t="str">
        <f t="shared" ref="I98:I103" si="20">I97</f>
        <v>N</v>
      </c>
      <c r="J98" s="4430" t="str">
        <f ca="1">Coating!D19</f>
        <v>None</v>
      </c>
      <c r="K98" s="4430"/>
      <c r="L98" s="1465">
        <f t="shared" si="14"/>
        <v>0</v>
      </c>
      <c r="M98" s="1465">
        <f t="shared" si="15"/>
        <v>0</v>
      </c>
      <c r="N98" s="1473">
        <f ca="1">IF(H98="Y",(INT(VLOOKUP(J98,$B$58:$E$191,4,0)*L98*M98*(VLOOKUP(I98,$I$23:$J$55,2,0)/10000))+1),0)</f>
        <v>1</v>
      </c>
      <c r="O98" s="1474" t="s">
        <v>105</v>
      </c>
      <c r="P98" s="1461"/>
      <c r="Q98" s="1474"/>
      <c r="R98" s="1464">
        <f t="shared" ca="1" si="16"/>
        <v>0</v>
      </c>
      <c r="S98" s="1461" t="s">
        <v>93</v>
      </c>
      <c r="T98" s="1464">
        <f t="shared" ca="1" si="17"/>
        <v>0</v>
      </c>
      <c r="Y98" s="137" t="str">
        <f t="shared" si="18"/>
        <v>N</v>
      </c>
      <c r="AS98" s="137" t="str">
        <f t="shared" si="12"/>
        <v>Finishing</v>
      </c>
      <c r="AT98" s="413">
        <f t="shared" ca="1" si="13"/>
        <v>0</v>
      </c>
      <c r="AU98" s="136">
        <f ca="1">COUNTIFS(AT$7:$AT98,1)</f>
        <v>4</v>
      </c>
    </row>
    <row r="99" spans="2:47" ht="15" hidden="1" outlineLevel="1">
      <c r="B99" s="137">
        <f>Data!L953</f>
        <v>0</v>
      </c>
      <c r="D99" s="1432">
        <f>Data!O953</f>
        <v>0</v>
      </c>
      <c r="E99" s="394">
        <f>Data!P953</f>
        <v>20</v>
      </c>
      <c r="F99" s="394"/>
      <c r="H99" s="1471" t="s">
        <v>103</v>
      </c>
      <c r="I99" s="1472" t="str">
        <f t="shared" si="20"/>
        <v>N</v>
      </c>
      <c r="J99" s="4430" t="str">
        <f ca="1">Coating!D20</f>
        <v>None</v>
      </c>
      <c r="K99" s="4430"/>
      <c r="L99" s="1465">
        <f t="shared" si="14"/>
        <v>0</v>
      </c>
      <c r="M99" s="1465">
        <f t="shared" si="15"/>
        <v>0</v>
      </c>
      <c r="N99" s="1473">
        <f ca="1">IF(H99="Y",(INT(VLOOKUP(J99,$B$58:$E$191,4,0)*L99*M99*(VLOOKUP(I99,$I$23:$J$55,2,0)/10000))+1),0)</f>
        <v>1</v>
      </c>
      <c r="O99" s="1474" t="s">
        <v>105</v>
      </c>
      <c r="P99" s="1461"/>
      <c r="Q99" s="1474"/>
      <c r="R99" s="1464">
        <f t="shared" ref="R99:R159" ca="1" si="21">IF(N99&gt;0,VLOOKUP(J99,$B$58:$E$191,3,0),0)</f>
        <v>0</v>
      </c>
      <c r="S99" s="1461" t="s">
        <v>93</v>
      </c>
      <c r="T99" s="1464">
        <f t="shared" ref="T99:T159" ca="1" si="22">R99*N99</f>
        <v>0</v>
      </c>
      <c r="Y99" s="137" t="str">
        <f t="shared" si="18"/>
        <v>N</v>
      </c>
      <c r="AS99" s="137" t="str">
        <f t="shared" si="12"/>
        <v>Finishing</v>
      </c>
      <c r="AT99" s="413">
        <f t="shared" ca="1" si="13"/>
        <v>0</v>
      </c>
      <c r="AU99" s="136">
        <f ca="1">COUNTIFS(AT$7:$AT99,1)</f>
        <v>4</v>
      </c>
    </row>
    <row r="100" spans="2:47" ht="15" hidden="1" outlineLevel="1">
      <c r="B100" s="137" t="str">
        <f>Data!L954</f>
        <v>Metalize_Non_Thermal_Polyplex</v>
      </c>
      <c r="D100" s="1432">
        <f>Data!O954</f>
        <v>73643.287500000006</v>
      </c>
      <c r="E100" s="394">
        <f>Data!P954</f>
        <v>12</v>
      </c>
      <c r="F100" s="394"/>
      <c r="H100" s="1471" t="s">
        <v>103</v>
      </c>
      <c r="I100" s="1472" t="str">
        <f t="shared" si="20"/>
        <v>N</v>
      </c>
      <c r="J100" s="4430" t="str">
        <f ca="1">Coating!D21</f>
        <v>None</v>
      </c>
      <c r="K100" s="4430"/>
      <c r="L100" s="1465">
        <f t="shared" si="14"/>
        <v>0</v>
      </c>
      <c r="M100" s="1465">
        <f t="shared" si="15"/>
        <v>0</v>
      </c>
      <c r="N100" s="1473">
        <f ca="1">IF(H100="Y",(INT(VLOOKUP(J100,$B$58:$E$191,4,0)*L100*M100*(VLOOKUP(I100,$I$23:$J$55,2,0)/10000))+1),0)</f>
        <v>1</v>
      </c>
      <c r="O100" s="1474" t="s">
        <v>105</v>
      </c>
      <c r="P100" s="1461"/>
      <c r="Q100" s="1474"/>
      <c r="R100" s="1464">
        <f t="shared" ca="1" si="21"/>
        <v>0</v>
      </c>
      <c r="S100" s="1461" t="s">
        <v>93</v>
      </c>
      <c r="T100" s="1464">
        <f t="shared" ca="1" si="22"/>
        <v>0</v>
      </c>
      <c r="Y100" s="137" t="str">
        <f t="shared" si="18"/>
        <v>N</v>
      </c>
      <c r="AS100" s="137" t="str">
        <f t="shared" si="12"/>
        <v>Finishing</v>
      </c>
      <c r="AT100" s="413">
        <f t="shared" ca="1" si="13"/>
        <v>0</v>
      </c>
      <c r="AU100" s="136">
        <f ca="1">COUNTIFS(AT$7:$AT100,1)</f>
        <v>4</v>
      </c>
    </row>
    <row r="101" spans="2:47" ht="15" hidden="1" outlineLevel="1">
      <c r="B101" s="137" t="str">
        <f>Data!L955</f>
        <v>Thermal Gloss OPP Oxo Biodegradble 25u</v>
      </c>
      <c r="D101" s="1432">
        <f>Data!O955</f>
        <v>4800</v>
      </c>
      <c r="E101" s="394">
        <f>Data!P955</f>
        <v>25</v>
      </c>
      <c r="F101" s="394"/>
      <c r="H101" s="1471" t="s">
        <v>103</v>
      </c>
      <c r="I101" s="1472" t="str">
        <f t="shared" si="20"/>
        <v>N</v>
      </c>
      <c r="J101" s="4430" t="str">
        <f ca="1">Coating!D22</f>
        <v>None</v>
      </c>
      <c r="K101" s="4430"/>
      <c r="L101" s="1465">
        <f t="shared" si="14"/>
        <v>0</v>
      </c>
      <c r="M101" s="1465">
        <f t="shared" si="15"/>
        <v>0</v>
      </c>
      <c r="N101" s="1473">
        <f ca="1">IF(H101="Y",(INT(VLOOKUP(J101,$B$58:$E$191,4,0)*L101*M101*(VLOOKUP(I101,$I$23:$J$55,2,0)/10000))+1),0)</f>
        <v>1</v>
      </c>
      <c r="O101" s="1474" t="s">
        <v>105</v>
      </c>
      <c r="P101" s="1461"/>
      <c r="Q101" s="1474"/>
      <c r="R101" s="1464">
        <f t="shared" ca="1" si="21"/>
        <v>0</v>
      </c>
      <c r="S101" s="1461" t="s">
        <v>93</v>
      </c>
      <c r="T101" s="1464">
        <f t="shared" ca="1" si="22"/>
        <v>0</v>
      </c>
      <c r="Y101" s="137" t="str">
        <f t="shared" si="18"/>
        <v>N</v>
      </c>
      <c r="AS101" s="137" t="str">
        <f t="shared" si="12"/>
        <v>Finishing</v>
      </c>
      <c r="AT101" s="413">
        <f t="shared" ca="1" si="13"/>
        <v>0</v>
      </c>
      <c r="AU101" s="136">
        <f ca="1">COUNTIFS(AT$7:$AT101,1)</f>
        <v>4</v>
      </c>
    </row>
    <row r="102" spans="2:47" ht="15" hidden="1" outlineLevel="1">
      <c r="B102" s="137" t="str">
        <f>Data!L956</f>
        <v>Thermal Matt OPP Oxo Biodegradble 26u</v>
      </c>
      <c r="D102" s="1432">
        <f>Data!O956</f>
        <v>5000</v>
      </c>
      <c r="E102" s="394">
        <f>Data!P956</f>
        <v>26</v>
      </c>
      <c r="F102" s="394"/>
      <c r="G102" s="394"/>
      <c r="H102" s="1471" t="s">
        <v>103</v>
      </c>
      <c r="I102" s="1472" t="str">
        <f t="shared" si="20"/>
        <v>N</v>
      </c>
      <c r="J102" s="4431" t="str">
        <f ca="1">Coating!D23</f>
        <v>None</v>
      </c>
      <c r="K102" s="4431"/>
      <c r="L102" s="2866">
        <f t="shared" si="14"/>
        <v>0</v>
      </c>
      <c r="M102" s="2866">
        <f t="shared" si="15"/>
        <v>0</v>
      </c>
      <c r="N102" s="2867">
        <f ca="1">IF(H102="Y",IFERROR(ROUNDUP(VLOOKUP(I102,$I$23:$J$55,2,0)*Coating!G23*Coating!J23/Coating!B23,0),0),0)</f>
        <v>0</v>
      </c>
      <c r="O102" s="2868" t="s">
        <v>105</v>
      </c>
      <c r="P102" s="1461"/>
      <c r="Q102" s="1474"/>
      <c r="R102" s="1464">
        <f t="shared" ca="1" si="21"/>
        <v>0</v>
      </c>
      <c r="S102" s="1461" t="s">
        <v>93</v>
      </c>
      <c r="T102" s="1464">
        <f t="shared" ca="1" si="22"/>
        <v>0</v>
      </c>
      <c r="Y102" s="137" t="str">
        <f t="shared" si="18"/>
        <v>N</v>
      </c>
      <c r="AS102" s="137" t="str">
        <f t="shared" si="12"/>
        <v>Finishing</v>
      </c>
      <c r="AT102" s="413">
        <f t="shared" ca="1" si="13"/>
        <v>0</v>
      </c>
      <c r="AU102" s="136">
        <f ca="1">COUNTIFS(AT$7:$AT102,1)</f>
        <v>4</v>
      </c>
    </row>
    <row r="103" spans="2:47" ht="15" hidden="1" outlineLevel="1">
      <c r="B103" s="137" t="str">
        <f>Data!L957</f>
        <v>Metalize_Thermal_Local</v>
      </c>
      <c r="D103" s="1432">
        <f>Data!O957</f>
        <v>122728</v>
      </c>
      <c r="E103" s="394">
        <f>Data!P957</f>
        <v>22</v>
      </c>
      <c r="F103" s="394"/>
      <c r="G103" s="394"/>
      <c r="H103" s="1471" t="s">
        <v>103</v>
      </c>
      <c r="I103" s="1472" t="str">
        <f t="shared" si="20"/>
        <v>N</v>
      </c>
      <c r="J103" s="4431" t="str">
        <f ca="1">Coating!D25</f>
        <v>None</v>
      </c>
      <c r="K103" s="4431"/>
      <c r="L103" s="2866">
        <f t="shared" si="14"/>
        <v>0</v>
      </c>
      <c r="M103" s="2866">
        <f t="shared" si="15"/>
        <v>0</v>
      </c>
      <c r="N103" s="2867">
        <f ca="1">IF(H103="Y",IFERROR(ROUNDUP(VLOOKUP(I103,$I$23:$J$55,2,0)*Coating!G25*Coating!J25/Coating!B25,0),0),0)</f>
        <v>0</v>
      </c>
      <c r="O103" s="2868" t="s">
        <v>105</v>
      </c>
      <c r="P103" s="1461"/>
      <c r="Q103" s="1474"/>
      <c r="R103" s="1464">
        <f t="shared" ca="1" si="21"/>
        <v>0</v>
      </c>
      <c r="S103" s="1461" t="s">
        <v>93</v>
      </c>
      <c r="T103" s="1464">
        <f t="shared" ca="1" si="22"/>
        <v>0</v>
      </c>
      <c r="Y103" s="137" t="str">
        <f t="shared" si="18"/>
        <v>N</v>
      </c>
      <c r="AS103" s="137" t="str">
        <f t="shared" si="12"/>
        <v>Finishing</v>
      </c>
      <c r="AT103" s="413">
        <f t="shared" ca="1" si="13"/>
        <v>0</v>
      </c>
      <c r="AU103" s="136">
        <f ca="1">COUNTIFS(AT$7:$AT103,1)</f>
        <v>4</v>
      </c>
    </row>
    <row r="104" spans="2:47" ht="15" hidden="1" outlineLevel="1">
      <c r="B104" s="137" t="str">
        <f>Data!L958</f>
        <v>Holographic film 14u</v>
      </c>
      <c r="D104" s="1432">
        <f>Data!O958</f>
        <v>0</v>
      </c>
      <c r="E104" s="394">
        <f>Data!P958</f>
        <v>14</v>
      </c>
      <c r="F104" s="394"/>
      <c r="G104" s="394"/>
      <c r="H104" s="1471" t="s">
        <v>103</v>
      </c>
      <c r="I104" s="2865" t="str">
        <f>I25</f>
        <v>N</v>
      </c>
      <c r="J104" s="4430" t="str">
        <f ca="1">Coating!D28</f>
        <v>None</v>
      </c>
      <c r="K104" s="4430"/>
      <c r="L104" s="1465">
        <f t="shared" si="14"/>
        <v>0</v>
      </c>
      <c r="M104" s="1465">
        <f t="shared" si="15"/>
        <v>0</v>
      </c>
      <c r="N104" s="1473">
        <f ca="1">IF(H104="Y",(INT(VLOOKUP(J104,$B$58:$E$191,4,0)*L104*M104*(VLOOKUP(I104,$I$23:$J$55,2,0)/10000))+1),0)</f>
        <v>1</v>
      </c>
      <c r="O104" s="1474" t="s">
        <v>105</v>
      </c>
      <c r="P104" s="1461"/>
      <c r="Q104" s="1474"/>
      <c r="R104" s="1464">
        <f t="shared" ca="1" si="21"/>
        <v>0</v>
      </c>
      <c r="S104" s="1461" t="s">
        <v>93</v>
      </c>
      <c r="T104" s="1464">
        <f t="shared" ca="1" si="22"/>
        <v>0</v>
      </c>
      <c r="Y104" s="137" t="str">
        <f t="shared" si="18"/>
        <v>N</v>
      </c>
      <c r="AS104" s="137" t="str">
        <f t="shared" si="12"/>
        <v>Finishing</v>
      </c>
      <c r="AT104" s="413">
        <f t="shared" ca="1" si="13"/>
        <v>0</v>
      </c>
      <c r="AU104" s="136">
        <f ca="1">COUNTIFS(AT$7:$AT104,1)</f>
        <v>4</v>
      </c>
    </row>
    <row r="105" spans="2:47" ht="15" hidden="1" outlineLevel="1">
      <c r="B105" s="137" t="str">
        <f>Data!A959</f>
        <v>None</v>
      </c>
      <c r="D105" s="1432">
        <f>Data!D959</f>
        <v>0</v>
      </c>
      <c r="E105" s="394">
        <f>Data!E959</f>
        <v>0</v>
      </c>
      <c r="F105" s="394"/>
      <c r="G105" s="394"/>
      <c r="H105" s="1471" t="s">
        <v>103</v>
      </c>
      <c r="I105" s="1472" t="str">
        <f>I104</f>
        <v>N</v>
      </c>
      <c r="J105" s="4430" t="str">
        <f ca="1">Coating!D29</f>
        <v>None</v>
      </c>
      <c r="K105" s="4430"/>
      <c r="L105" s="1465">
        <f t="shared" si="14"/>
        <v>0</v>
      </c>
      <c r="M105" s="1465">
        <f t="shared" si="15"/>
        <v>0</v>
      </c>
      <c r="N105" s="1473">
        <f ca="1">IF(H105="Y",(INT(VLOOKUP(J105,$B$58:$E$191,4,0)*L105*M105*(VLOOKUP(I105,$I$23:$J$55,2,0)/10000))+1),0)</f>
        <v>1</v>
      </c>
      <c r="O105" s="1474" t="s">
        <v>105</v>
      </c>
      <c r="P105" s="1461"/>
      <c r="Q105" s="1474"/>
      <c r="R105" s="1464">
        <f t="shared" ca="1" si="21"/>
        <v>0</v>
      </c>
      <c r="S105" s="1461" t="s">
        <v>93</v>
      </c>
      <c r="T105" s="1464">
        <f t="shared" ca="1" si="22"/>
        <v>0</v>
      </c>
      <c r="Y105" s="137" t="str">
        <f t="shared" si="18"/>
        <v>N</v>
      </c>
      <c r="AS105" s="137" t="str">
        <f t="shared" si="12"/>
        <v>Finishing</v>
      </c>
      <c r="AT105" s="413">
        <f t="shared" ca="1" si="13"/>
        <v>0</v>
      </c>
      <c r="AU105" s="136">
        <f ca="1">COUNTIFS(AT$7:$AT105,1)</f>
        <v>4</v>
      </c>
    </row>
    <row r="106" spans="2:47" ht="15" hidden="1" outlineLevel="1">
      <c r="D106" s="1432"/>
      <c r="E106" s="394"/>
      <c r="F106" s="394"/>
      <c r="H106" s="1471" t="s">
        <v>103</v>
      </c>
      <c r="I106" s="1472" t="str">
        <f>I105</f>
        <v>N</v>
      </c>
      <c r="J106" s="4430" t="str">
        <f ca="1">Coating!D30</f>
        <v>None</v>
      </c>
      <c r="K106" s="4430"/>
      <c r="L106" s="1465">
        <f t="shared" si="14"/>
        <v>0</v>
      </c>
      <c r="M106" s="1465">
        <f t="shared" si="15"/>
        <v>0</v>
      </c>
      <c r="N106" s="1473">
        <f ca="1">IF(H106="Y",(INT(VLOOKUP(J106,$B$58:$E$191,4,0)*L106*M106*(VLOOKUP(I106,$I$23:$J$55,2,0)/10000))+1),0)</f>
        <v>1</v>
      </c>
      <c r="O106" s="1474" t="s">
        <v>105</v>
      </c>
      <c r="P106" s="1461"/>
      <c r="Q106" s="1474"/>
      <c r="R106" s="1464">
        <f t="shared" ca="1" si="21"/>
        <v>0</v>
      </c>
      <c r="S106" s="1461" t="s">
        <v>93</v>
      </c>
      <c r="T106" s="1464">
        <f t="shared" ca="1" si="22"/>
        <v>0</v>
      </c>
      <c r="Y106" s="137" t="str">
        <f t="shared" si="18"/>
        <v>N</v>
      </c>
      <c r="AS106" s="137" t="str">
        <f t="shared" si="12"/>
        <v>Finishing</v>
      </c>
      <c r="AT106" s="413">
        <f t="shared" ca="1" si="13"/>
        <v>0</v>
      </c>
      <c r="AU106" s="136">
        <f ca="1">COUNTIFS(AT$7:$AT106,1)</f>
        <v>4</v>
      </c>
    </row>
    <row r="107" spans="2:47" ht="15" hidden="1" outlineLevel="1">
      <c r="D107" s="1432"/>
      <c r="E107" s="394"/>
      <c r="F107" s="394"/>
      <c r="H107" s="1471" t="s">
        <v>103</v>
      </c>
      <c r="I107" s="1472" t="str">
        <f>I106</f>
        <v>N</v>
      </c>
      <c r="J107" s="4430" t="str">
        <f ca="1">Coating!D31</f>
        <v>None</v>
      </c>
      <c r="K107" s="4430"/>
      <c r="L107" s="1465">
        <f t="shared" si="14"/>
        <v>0</v>
      </c>
      <c r="M107" s="1465">
        <f t="shared" si="15"/>
        <v>0</v>
      </c>
      <c r="N107" s="1473">
        <f ca="1">IF(H107="Y",(INT(VLOOKUP(J107,$B$58:$E$191,4,0)*L107*M107*(VLOOKUP(I107,$I$23:$J$55,2,0)/10000))+1),0)</f>
        <v>1</v>
      </c>
      <c r="O107" s="1474" t="s">
        <v>105</v>
      </c>
      <c r="P107" s="1461"/>
      <c r="Q107" s="1474"/>
      <c r="R107" s="1464">
        <f t="shared" ca="1" si="21"/>
        <v>0</v>
      </c>
      <c r="S107" s="1461" t="s">
        <v>93</v>
      </c>
      <c r="T107" s="1464">
        <f t="shared" ca="1" si="22"/>
        <v>0</v>
      </c>
      <c r="Y107" s="137" t="str">
        <f t="shared" si="18"/>
        <v>N</v>
      </c>
      <c r="AS107" s="137" t="str">
        <f t="shared" si="12"/>
        <v>Finishing</v>
      </c>
      <c r="AT107" s="413">
        <f t="shared" ca="1" si="13"/>
        <v>0</v>
      </c>
      <c r="AU107" s="136">
        <f ca="1">COUNTIFS(AT$7:$AT107,1)</f>
        <v>4</v>
      </c>
    </row>
    <row r="108" spans="2:47" ht="15" hidden="1" outlineLevel="1">
      <c r="D108" s="1432"/>
      <c r="E108" s="394"/>
      <c r="F108" s="394"/>
      <c r="H108" s="1471" t="s">
        <v>103</v>
      </c>
      <c r="I108" s="1472" t="str">
        <f>I107</f>
        <v>N</v>
      </c>
      <c r="J108" s="4430" t="str">
        <f ca="1">Coating!D32</f>
        <v>None</v>
      </c>
      <c r="K108" s="4430"/>
      <c r="L108" s="1465">
        <f t="shared" si="14"/>
        <v>0</v>
      </c>
      <c r="M108" s="1465">
        <f t="shared" si="15"/>
        <v>0</v>
      </c>
      <c r="N108" s="1473">
        <f ca="1">IF(H108="Y",(INT(VLOOKUP(J108,$B$58:$E$191,4,0)*L108*M108*(VLOOKUP(I108,$I$23:$J$55,2,0)/10000))+1),0)</f>
        <v>1</v>
      </c>
      <c r="O108" s="1474" t="s">
        <v>105</v>
      </c>
      <c r="P108" s="1461"/>
      <c r="Q108" s="1474"/>
      <c r="R108" s="1464">
        <f t="shared" ca="1" si="21"/>
        <v>0</v>
      </c>
      <c r="S108" s="1461" t="s">
        <v>93</v>
      </c>
      <c r="T108" s="1464">
        <f t="shared" ca="1" si="22"/>
        <v>0</v>
      </c>
      <c r="Y108" s="137" t="str">
        <f t="shared" si="18"/>
        <v>N</v>
      </c>
      <c r="AS108" s="137" t="str">
        <f t="shared" si="12"/>
        <v>Finishing</v>
      </c>
      <c r="AT108" s="413">
        <f t="shared" ca="1" si="13"/>
        <v>0</v>
      </c>
      <c r="AU108" s="136">
        <f ca="1">COUNTIFS(AT$7:$AT108,1)</f>
        <v>4</v>
      </c>
    </row>
    <row r="109" spans="2:47" ht="15" hidden="1" outlineLevel="1">
      <c r="D109" s="1432"/>
      <c r="E109" s="394"/>
      <c r="F109" s="394"/>
      <c r="H109" s="1471" t="s">
        <v>103</v>
      </c>
      <c r="I109" s="1472" t="str">
        <f t="shared" ref="I109:I159" si="23">I108</f>
        <v>N</v>
      </c>
      <c r="J109" s="4431" t="str">
        <f ca="1">Coating!D33</f>
        <v>None</v>
      </c>
      <c r="K109" s="4431"/>
      <c r="L109" s="2866">
        <f t="shared" si="14"/>
        <v>0</v>
      </c>
      <c r="M109" s="2866">
        <f t="shared" si="15"/>
        <v>0</v>
      </c>
      <c r="N109" s="2867">
        <f ca="1">IF(H109="Y",IFERROR(ROUNDUP(VLOOKUP(I109,$I$23:$J$55,2,0)*Coating!G33*Coating!J33/Coating!B33,0),0),0)</f>
        <v>0</v>
      </c>
      <c r="O109" s="2868" t="s">
        <v>105</v>
      </c>
      <c r="P109" s="1461"/>
      <c r="Q109" s="1474"/>
      <c r="R109" s="1464">
        <f t="shared" ca="1" si="21"/>
        <v>0</v>
      </c>
      <c r="S109" s="1461" t="s">
        <v>93</v>
      </c>
      <c r="T109" s="1464">
        <f t="shared" ca="1" si="22"/>
        <v>0</v>
      </c>
      <c r="Y109" s="137" t="str">
        <f t="shared" si="18"/>
        <v>N</v>
      </c>
      <c r="AS109" s="137" t="str">
        <f t="shared" si="12"/>
        <v>Finishing</v>
      </c>
      <c r="AT109" s="413">
        <f t="shared" ca="1" si="13"/>
        <v>0</v>
      </c>
      <c r="AU109" s="136">
        <f ca="1">COUNTIFS(AT$7:$AT109,1)</f>
        <v>4</v>
      </c>
    </row>
    <row r="110" spans="2:47" ht="15" hidden="1" outlineLevel="1">
      <c r="D110" s="1432"/>
      <c r="E110" s="394"/>
      <c r="F110" s="394"/>
      <c r="H110" s="1471" t="s">
        <v>103</v>
      </c>
      <c r="I110" s="1472" t="str">
        <f t="shared" si="23"/>
        <v>N</v>
      </c>
      <c r="J110" s="4431" t="str">
        <f ca="1">Coating!D35</f>
        <v>None</v>
      </c>
      <c r="K110" s="4431"/>
      <c r="L110" s="2866">
        <f t="shared" si="14"/>
        <v>0</v>
      </c>
      <c r="M110" s="2866">
        <f t="shared" si="15"/>
        <v>0</v>
      </c>
      <c r="N110" s="2867">
        <f ca="1">IF(H110="Y",IFERROR(ROUNDUP(VLOOKUP(I110,$I$23:$J$55,2,0)*Coating!G35*Coating!J35/Coating!B35,0),0),0)</f>
        <v>0</v>
      </c>
      <c r="O110" s="2868" t="s">
        <v>105</v>
      </c>
      <c r="P110" s="1461"/>
      <c r="Q110" s="1474"/>
      <c r="R110" s="1464">
        <f t="shared" ca="1" si="21"/>
        <v>0</v>
      </c>
      <c r="S110" s="1461" t="s">
        <v>93</v>
      </c>
      <c r="T110" s="1464">
        <f t="shared" ca="1" si="22"/>
        <v>0</v>
      </c>
      <c r="Y110" s="137" t="str">
        <f t="shared" si="18"/>
        <v>N</v>
      </c>
      <c r="AS110" s="137" t="str">
        <f t="shared" si="12"/>
        <v>Finishing</v>
      </c>
      <c r="AT110" s="413">
        <f t="shared" ca="1" si="13"/>
        <v>0</v>
      </c>
      <c r="AU110" s="136">
        <f ca="1">COUNTIFS(AT$7:$AT110,1)</f>
        <v>4</v>
      </c>
    </row>
    <row r="111" spans="2:47" ht="15" hidden="1" outlineLevel="1">
      <c r="D111" s="1432"/>
      <c r="E111" s="394"/>
      <c r="F111" s="394"/>
      <c r="H111" s="1471" t="s">
        <v>103</v>
      </c>
      <c r="I111" s="2865" t="str">
        <f>I26</f>
        <v>N</v>
      </c>
      <c r="J111" s="4430" t="str">
        <f ca="1">Coating!D38</f>
        <v>None</v>
      </c>
      <c r="K111" s="4430"/>
      <c r="L111" s="1465">
        <f t="shared" si="14"/>
        <v>0</v>
      </c>
      <c r="M111" s="1465">
        <f t="shared" si="15"/>
        <v>0</v>
      </c>
      <c r="N111" s="1473">
        <f ca="1">IF(H111="Y",(INT(VLOOKUP(J111,$B$58:$E$191,4,0)*L111*M111*(VLOOKUP(I111,$I$23:$J$55,2,0)/10000))+1),0)</f>
        <v>1</v>
      </c>
      <c r="O111" s="1474" t="s">
        <v>105</v>
      </c>
      <c r="P111" s="1461"/>
      <c r="Q111" s="1474"/>
      <c r="R111" s="1464">
        <f t="shared" ca="1" si="21"/>
        <v>0</v>
      </c>
      <c r="S111" s="1461" t="s">
        <v>93</v>
      </c>
      <c r="T111" s="1464">
        <f t="shared" ca="1" si="22"/>
        <v>0</v>
      </c>
      <c r="Y111" s="137" t="str">
        <f t="shared" si="18"/>
        <v>N</v>
      </c>
      <c r="AS111" s="137" t="str">
        <f t="shared" si="12"/>
        <v>Finishing</v>
      </c>
      <c r="AT111" s="413">
        <f t="shared" ca="1" si="13"/>
        <v>0</v>
      </c>
      <c r="AU111" s="136">
        <f ca="1">COUNTIFS(AT$7:$AT111,1)</f>
        <v>4</v>
      </c>
    </row>
    <row r="112" spans="2:47" ht="15" hidden="1" outlineLevel="1">
      <c r="D112" s="1432"/>
      <c r="E112" s="394"/>
      <c r="F112" s="394"/>
      <c r="H112" s="1471" t="s">
        <v>103</v>
      </c>
      <c r="I112" s="1472" t="str">
        <f t="shared" si="23"/>
        <v>N</v>
      </c>
      <c r="J112" s="4430" t="str">
        <f ca="1">Coating!D39</f>
        <v>None</v>
      </c>
      <c r="K112" s="4430"/>
      <c r="L112" s="1465">
        <f t="shared" si="14"/>
        <v>0</v>
      </c>
      <c r="M112" s="1465">
        <f t="shared" si="15"/>
        <v>0</v>
      </c>
      <c r="N112" s="1473">
        <f ca="1">IF(H112="Y",(INT(VLOOKUP(J112,$B$58:$E$191,4,0)*L112*M112*(VLOOKUP(I112,$I$23:$J$55,2,0)/10000))+1),0)</f>
        <v>1</v>
      </c>
      <c r="O112" s="1474" t="s">
        <v>105</v>
      </c>
      <c r="P112" s="1461"/>
      <c r="Q112" s="1474"/>
      <c r="R112" s="1464">
        <f t="shared" ca="1" si="21"/>
        <v>0</v>
      </c>
      <c r="S112" s="1461" t="s">
        <v>93</v>
      </c>
      <c r="T112" s="1464">
        <f t="shared" ca="1" si="22"/>
        <v>0</v>
      </c>
      <c r="Y112" s="137" t="str">
        <f t="shared" si="18"/>
        <v>N</v>
      </c>
      <c r="AS112" s="137" t="str">
        <f t="shared" si="12"/>
        <v>Finishing</v>
      </c>
      <c r="AT112" s="413">
        <f t="shared" ca="1" si="13"/>
        <v>0</v>
      </c>
      <c r="AU112" s="136">
        <f ca="1">COUNTIFS(AT$7:$AT112,1)</f>
        <v>4</v>
      </c>
    </row>
    <row r="113" spans="4:47" ht="15" hidden="1" outlineLevel="1">
      <c r="D113" s="1432"/>
      <c r="E113" s="394"/>
      <c r="F113" s="394"/>
      <c r="H113" s="1471" t="s">
        <v>103</v>
      </c>
      <c r="I113" s="1472" t="str">
        <f t="shared" si="23"/>
        <v>N</v>
      </c>
      <c r="J113" s="4430" t="str">
        <f ca="1">Coating!D40</f>
        <v>None</v>
      </c>
      <c r="K113" s="4430"/>
      <c r="L113" s="1465">
        <f t="shared" si="14"/>
        <v>0</v>
      </c>
      <c r="M113" s="1465">
        <f t="shared" si="15"/>
        <v>0</v>
      </c>
      <c r="N113" s="1473">
        <f ca="1">IF(H113="Y",(INT(VLOOKUP(J113,$B$58:$E$191,4,0)*L113*M113*(VLOOKUP(I113,$I$23:$J$55,2,0)/10000))+1),0)</f>
        <v>1</v>
      </c>
      <c r="O113" s="1474" t="s">
        <v>105</v>
      </c>
      <c r="P113" s="1461"/>
      <c r="Q113" s="1474"/>
      <c r="R113" s="1464">
        <f t="shared" ca="1" si="21"/>
        <v>0</v>
      </c>
      <c r="S113" s="1461" t="s">
        <v>93</v>
      </c>
      <c r="T113" s="1464">
        <f t="shared" ca="1" si="22"/>
        <v>0</v>
      </c>
      <c r="Y113" s="137" t="str">
        <f t="shared" si="18"/>
        <v>N</v>
      </c>
      <c r="AS113" s="137" t="str">
        <f t="shared" si="12"/>
        <v>Finishing</v>
      </c>
      <c r="AT113" s="413">
        <f t="shared" ca="1" si="13"/>
        <v>0</v>
      </c>
      <c r="AU113" s="136">
        <f ca="1">COUNTIFS(AT$7:$AT113,1)</f>
        <v>4</v>
      </c>
    </row>
    <row r="114" spans="4:47" ht="15" hidden="1" outlineLevel="1">
      <c r="D114" s="1432"/>
      <c r="E114" s="394"/>
      <c r="F114" s="394"/>
      <c r="H114" s="1471" t="s">
        <v>103</v>
      </c>
      <c r="I114" s="1472" t="str">
        <f t="shared" si="23"/>
        <v>N</v>
      </c>
      <c r="J114" s="4430" t="str">
        <f ca="1">Coating!D41</f>
        <v>None</v>
      </c>
      <c r="K114" s="4430"/>
      <c r="L114" s="1465">
        <f t="shared" si="14"/>
        <v>0</v>
      </c>
      <c r="M114" s="1465">
        <f t="shared" si="15"/>
        <v>0</v>
      </c>
      <c r="N114" s="1473">
        <f ca="1">IF(H114="Y",(INT(VLOOKUP(J114,$B$58:$E$191,4,0)*L114*M114*(VLOOKUP(I114,$I$23:$J$55,2,0)/10000))+1),0)</f>
        <v>1</v>
      </c>
      <c r="O114" s="1474" t="s">
        <v>105</v>
      </c>
      <c r="P114" s="1461"/>
      <c r="Q114" s="1474"/>
      <c r="R114" s="1464">
        <f t="shared" ca="1" si="21"/>
        <v>0</v>
      </c>
      <c r="S114" s="1461" t="s">
        <v>93</v>
      </c>
      <c r="T114" s="1464">
        <f t="shared" ca="1" si="22"/>
        <v>0</v>
      </c>
      <c r="Y114" s="137" t="str">
        <f t="shared" si="18"/>
        <v>N</v>
      </c>
      <c r="AS114" s="137" t="str">
        <f t="shared" si="12"/>
        <v>Finishing</v>
      </c>
      <c r="AT114" s="413">
        <f t="shared" ca="1" si="13"/>
        <v>0</v>
      </c>
      <c r="AU114" s="136">
        <f ca="1">COUNTIFS(AT$7:$AT114,1)</f>
        <v>4</v>
      </c>
    </row>
    <row r="115" spans="4:47" ht="15" hidden="1" outlineLevel="1">
      <c r="D115" s="1432"/>
      <c r="E115" s="394"/>
      <c r="F115" s="394"/>
      <c r="H115" s="1471" t="s">
        <v>103</v>
      </c>
      <c r="I115" s="1472" t="str">
        <f t="shared" si="23"/>
        <v>N</v>
      </c>
      <c r="J115" s="4430" t="str">
        <f ca="1">Coating!D42</f>
        <v>None</v>
      </c>
      <c r="K115" s="4430"/>
      <c r="L115" s="1465">
        <f t="shared" si="14"/>
        <v>0</v>
      </c>
      <c r="M115" s="1465">
        <f t="shared" si="15"/>
        <v>0</v>
      </c>
      <c r="N115" s="1473">
        <f ca="1">IF(H115="Y",(INT(VLOOKUP(J115,$B$58:$E$191,4,0)*L115*M115*(VLOOKUP(I115,$I$23:$J$55,2,0)/10000))+1),0)</f>
        <v>1</v>
      </c>
      <c r="O115" s="1474" t="s">
        <v>105</v>
      </c>
      <c r="P115" s="1461"/>
      <c r="Q115" s="1474"/>
      <c r="R115" s="1464">
        <f t="shared" ca="1" si="21"/>
        <v>0</v>
      </c>
      <c r="S115" s="1461" t="s">
        <v>93</v>
      </c>
      <c r="T115" s="1464">
        <f t="shared" ca="1" si="22"/>
        <v>0</v>
      </c>
      <c r="Y115" s="137" t="str">
        <f t="shared" si="18"/>
        <v>N</v>
      </c>
      <c r="AS115" s="137" t="str">
        <f t="shared" si="12"/>
        <v>Finishing</v>
      </c>
      <c r="AT115" s="413">
        <f t="shared" ca="1" si="13"/>
        <v>0</v>
      </c>
      <c r="AU115" s="136">
        <f ca="1">COUNTIFS(AT$7:$AT115,1)</f>
        <v>4</v>
      </c>
    </row>
    <row r="116" spans="4:47" ht="15" hidden="1" outlineLevel="1">
      <c r="D116" s="1432"/>
      <c r="E116" s="394"/>
      <c r="F116" s="394"/>
      <c r="H116" s="1471" t="s">
        <v>103</v>
      </c>
      <c r="I116" s="1472" t="str">
        <f t="shared" si="23"/>
        <v>N</v>
      </c>
      <c r="J116" s="4431" t="str">
        <f ca="1">Coating!D43</f>
        <v>None</v>
      </c>
      <c r="K116" s="4431"/>
      <c r="L116" s="2866">
        <f t="shared" si="14"/>
        <v>0</v>
      </c>
      <c r="M116" s="2866">
        <f t="shared" si="15"/>
        <v>0</v>
      </c>
      <c r="N116" s="2867">
        <f ca="1">IF(H116="Y",IFERROR(ROUNDUP(VLOOKUP(I116,$I$23:$J$55,2,0)*Coating!G43*Coating!J43/Coating!B43,0),0),0)</f>
        <v>0</v>
      </c>
      <c r="O116" s="2868" t="s">
        <v>105</v>
      </c>
      <c r="P116" s="1461"/>
      <c r="Q116" s="1474"/>
      <c r="R116" s="1464">
        <f t="shared" ca="1" si="21"/>
        <v>0</v>
      </c>
      <c r="S116" s="1461" t="s">
        <v>93</v>
      </c>
      <c r="T116" s="1464">
        <f t="shared" ca="1" si="22"/>
        <v>0</v>
      </c>
      <c r="Y116" s="137" t="str">
        <f t="shared" si="18"/>
        <v>N</v>
      </c>
      <c r="AS116" s="137" t="str">
        <f t="shared" si="12"/>
        <v>Finishing</v>
      </c>
      <c r="AT116" s="413">
        <f t="shared" ca="1" si="13"/>
        <v>0</v>
      </c>
      <c r="AU116" s="136">
        <f ca="1">COUNTIFS(AT$7:$AT116,1)</f>
        <v>4</v>
      </c>
    </row>
    <row r="117" spans="4:47" ht="15" hidden="1" outlineLevel="1">
      <c r="D117" s="1432"/>
      <c r="E117" s="394"/>
      <c r="F117" s="394"/>
      <c r="H117" s="1471" t="s">
        <v>103</v>
      </c>
      <c r="I117" s="1472" t="str">
        <f t="shared" si="23"/>
        <v>N</v>
      </c>
      <c r="J117" s="4431" t="str">
        <f ca="1">Coating!D45</f>
        <v>None</v>
      </c>
      <c r="K117" s="4431"/>
      <c r="L117" s="2866">
        <f t="shared" si="14"/>
        <v>0</v>
      </c>
      <c r="M117" s="2866">
        <f t="shared" si="15"/>
        <v>0</v>
      </c>
      <c r="N117" s="2867">
        <f ca="1">IF(H117="Y",IFERROR(ROUNDUP(VLOOKUP(I117,$I$23:$J$55,2,0)*Coating!G45*Coating!J45/Coating!B45,0),0),0)</f>
        <v>0</v>
      </c>
      <c r="O117" s="2868" t="s">
        <v>105</v>
      </c>
      <c r="P117" s="1461"/>
      <c r="Q117" s="1474"/>
      <c r="R117" s="1464">
        <f t="shared" ca="1" si="21"/>
        <v>0</v>
      </c>
      <c r="S117" s="1461" t="s">
        <v>93</v>
      </c>
      <c r="T117" s="1464">
        <f t="shared" ca="1" si="22"/>
        <v>0</v>
      </c>
      <c r="Y117" s="137" t="str">
        <f t="shared" si="18"/>
        <v>N</v>
      </c>
      <c r="AS117" s="137" t="str">
        <f t="shared" si="12"/>
        <v>Finishing</v>
      </c>
      <c r="AT117" s="413">
        <f t="shared" ca="1" si="13"/>
        <v>0</v>
      </c>
      <c r="AU117" s="136">
        <f ca="1">COUNTIFS(AT$7:$AT117,1)</f>
        <v>4</v>
      </c>
    </row>
    <row r="118" spans="4:47" ht="15" hidden="1" outlineLevel="1">
      <c r="D118" s="1432"/>
      <c r="E118" s="394"/>
      <c r="F118" s="394"/>
      <c r="H118" s="1471" t="s">
        <v>103</v>
      </c>
      <c r="I118" s="2865" t="str">
        <f>I27</f>
        <v>N</v>
      </c>
      <c r="J118" s="4430" t="str">
        <f ca="1">Coating!D48</f>
        <v>None</v>
      </c>
      <c r="K118" s="4430"/>
      <c r="L118" s="1465">
        <f t="shared" si="14"/>
        <v>0</v>
      </c>
      <c r="M118" s="1465">
        <f t="shared" si="15"/>
        <v>0</v>
      </c>
      <c r="N118" s="1473">
        <f ca="1">IF(H118="Y",(INT(VLOOKUP(J118,$B$58:$E$191,4,0)*L118*M118*(VLOOKUP(I118,$I$23:$J$55,2,0)/10000))+1),0)</f>
        <v>1</v>
      </c>
      <c r="O118" s="1474" t="s">
        <v>105</v>
      </c>
      <c r="P118" s="1461"/>
      <c r="Q118" s="1474"/>
      <c r="R118" s="1464">
        <f t="shared" ca="1" si="21"/>
        <v>0</v>
      </c>
      <c r="S118" s="1461" t="s">
        <v>93</v>
      </c>
      <c r="T118" s="1464">
        <f t="shared" ca="1" si="22"/>
        <v>0</v>
      </c>
      <c r="Y118" s="137" t="str">
        <f t="shared" si="18"/>
        <v>N</v>
      </c>
      <c r="AS118" s="137" t="str">
        <f t="shared" si="12"/>
        <v>Finishing</v>
      </c>
      <c r="AT118" s="413">
        <f t="shared" ca="1" si="13"/>
        <v>0</v>
      </c>
      <c r="AU118" s="136">
        <f ca="1">COUNTIFS(AT$7:$AT118,1)</f>
        <v>4</v>
      </c>
    </row>
    <row r="119" spans="4:47" ht="15" hidden="1" outlineLevel="1">
      <c r="D119" s="1432"/>
      <c r="E119" s="394"/>
      <c r="F119" s="394"/>
      <c r="H119" s="1471" t="s">
        <v>103</v>
      </c>
      <c r="I119" s="1472" t="str">
        <f t="shared" si="23"/>
        <v>N</v>
      </c>
      <c r="J119" s="4430" t="str">
        <f ca="1">Coating!D49</f>
        <v>None</v>
      </c>
      <c r="K119" s="4430"/>
      <c r="L119" s="1465">
        <f t="shared" si="14"/>
        <v>0</v>
      </c>
      <c r="M119" s="1465">
        <f t="shared" si="15"/>
        <v>0</v>
      </c>
      <c r="N119" s="1473">
        <f ca="1">IF(H119="Y",(INT(VLOOKUP(J119,$B$58:$E$191,4,0)*L119*M119*(VLOOKUP(I119,$I$23:$J$55,2,0)/10000))+1),0)</f>
        <v>1</v>
      </c>
      <c r="O119" s="1474" t="s">
        <v>105</v>
      </c>
      <c r="P119" s="1461"/>
      <c r="Q119" s="1474"/>
      <c r="R119" s="1464">
        <f t="shared" ca="1" si="21"/>
        <v>0</v>
      </c>
      <c r="S119" s="1461" t="s">
        <v>93</v>
      </c>
      <c r="T119" s="1464">
        <f t="shared" ca="1" si="22"/>
        <v>0</v>
      </c>
      <c r="Y119" s="137" t="str">
        <f t="shared" si="18"/>
        <v>N</v>
      </c>
      <c r="AS119" s="137" t="str">
        <f t="shared" si="12"/>
        <v>Finishing</v>
      </c>
      <c r="AT119" s="413">
        <f t="shared" ca="1" si="13"/>
        <v>0</v>
      </c>
      <c r="AU119" s="136">
        <f ca="1">COUNTIFS(AT$7:$AT119,1)</f>
        <v>4</v>
      </c>
    </row>
    <row r="120" spans="4:47" ht="15" hidden="1" outlineLevel="1">
      <c r="D120" s="1432"/>
      <c r="E120" s="394"/>
      <c r="F120" s="394"/>
      <c r="H120" s="1471" t="s">
        <v>103</v>
      </c>
      <c r="I120" s="1472" t="str">
        <f t="shared" si="23"/>
        <v>N</v>
      </c>
      <c r="J120" s="4430" t="str">
        <f ca="1">Coating!D50</f>
        <v>None</v>
      </c>
      <c r="K120" s="4430"/>
      <c r="L120" s="1465">
        <f t="shared" si="14"/>
        <v>0</v>
      </c>
      <c r="M120" s="1465">
        <f t="shared" si="15"/>
        <v>0</v>
      </c>
      <c r="N120" s="1473">
        <f ca="1">IF(H120="Y",(INT(VLOOKUP(J120,$B$58:$E$191,4,0)*L120*M120*(VLOOKUP(I120,$I$23:$J$55,2,0)/10000))+1),0)</f>
        <v>1</v>
      </c>
      <c r="O120" s="1474" t="s">
        <v>105</v>
      </c>
      <c r="P120" s="1461"/>
      <c r="Q120" s="1474"/>
      <c r="R120" s="1464">
        <f t="shared" ca="1" si="21"/>
        <v>0</v>
      </c>
      <c r="S120" s="1461" t="s">
        <v>93</v>
      </c>
      <c r="T120" s="1464">
        <f t="shared" ca="1" si="22"/>
        <v>0</v>
      </c>
      <c r="Y120" s="137" t="str">
        <f t="shared" si="18"/>
        <v>N</v>
      </c>
      <c r="AS120" s="137" t="str">
        <f t="shared" si="12"/>
        <v>Finishing</v>
      </c>
      <c r="AT120" s="413">
        <f t="shared" ca="1" si="13"/>
        <v>0</v>
      </c>
      <c r="AU120" s="136">
        <f ca="1">COUNTIFS(AT$7:$AT120,1)</f>
        <v>4</v>
      </c>
    </row>
    <row r="121" spans="4:47" ht="15" hidden="1" outlineLevel="1">
      <c r="D121" s="1432"/>
      <c r="E121" s="394"/>
      <c r="F121" s="394"/>
      <c r="H121" s="1471" t="s">
        <v>103</v>
      </c>
      <c r="I121" s="1472" t="str">
        <f t="shared" si="23"/>
        <v>N</v>
      </c>
      <c r="J121" s="4430" t="str">
        <f ca="1">Coating!D51</f>
        <v>None</v>
      </c>
      <c r="K121" s="4430"/>
      <c r="L121" s="1465">
        <f t="shared" si="14"/>
        <v>0</v>
      </c>
      <c r="M121" s="1465">
        <f t="shared" si="15"/>
        <v>0</v>
      </c>
      <c r="N121" s="1473">
        <f ca="1">IF(H121="Y",(INT(VLOOKUP(J121,$B$58:$E$191,4,0)*L121*M121*(VLOOKUP(I121,$I$23:$J$55,2,0)/10000))+1),0)</f>
        <v>1</v>
      </c>
      <c r="O121" s="1474" t="s">
        <v>105</v>
      </c>
      <c r="P121" s="1461"/>
      <c r="Q121" s="1474"/>
      <c r="R121" s="1464">
        <f t="shared" ca="1" si="21"/>
        <v>0</v>
      </c>
      <c r="S121" s="1461" t="s">
        <v>93</v>
      </c>
      <c r="T121" s="1464">
        <f t="shared" ca="1" si="22"/>
        <v>0</v>
      </c>
      <c r="Y121" s="137" t="str">
        <f t="shared" si="18"/>
        <v>N</v>
      </c>
      <c r="AS121" s="137" t="str">
        <f t="shared" si="12"/>
        <v>Finishing</v>
      </c>
      <c r="AT121" s="413">
        <f t="shared" ca="1" si="13"/>
        <v>0</v>
      </c>
      <c r="AU121" s="136">
        <f ca="1">COUNTIFS(AT$7:$AT121,1)</f>
        <v>4</v>
      </c>
    </row>
    <row r="122" spans="4:47" ht="15" hidden="1" outlineLevel="1">
      <c r="D122" s="1432"/>
      <c r="E122" s="394"/>
      <c r="F122" s="394"/>
      <c r="H122" s="1471" t="s">
        <v>103</v>
      </c>
      <c r="I122" s="1472" t="str">
        <f t="shared" si="23"/>
        <v>N</v>
      </c>
      <c r="J122" s="4430" t="str">
        <f ca="1">Coating!D52</f>
        <v>None</v>
      </c>
      <c r="K122" s="4430"/>
      <c r="L122" s="1465">
        <f t="shared" ref="L122:L153" si="24">VLOOKUP(I122,$I$23:$Q$55,8,0)</f>
        <v>0</v>
      </c>
      <c r="M122" s="1465">
        <f t="shared" ref="M122:M153" si="25">VLOOKUP(I122,$I$23:$Q$55,9,0)</f>
        <v>0</v>
      </c>
      <c r="N122" s="1473">
        <f ca="1">IF(H122="Y",(INT(VLOOKUP(J122,$B$58:$E$191,4,0)*L122*M122*(VLOOKUP(I122,$I$23:$J$55,2,0)/10000))+1),0)</f>
        <v>1</v>
      </c>
      <c r="O122" s="1474" t="s">
        <v>105</v>
      </c>
      <c r="P122" s="1461"/>
      <c r="Q122" s="1474"/>
      <c r="R122" s="1464">
        <f t="shared" ca="1" si="21"/>
        <v>0</v>
      </c>
      <c r="S122" s="1461" t="s">
        <v>93</v>
      </c>
      <c r="T122" s="1464">
        <f t="shared" ca="1" si="22"/>
        <v>0</v>
      </c>
      <c r="Y122" s="137" t="str">
        <f t="shared" ref="Y122:Y153" si="26">VLOOKUP($I122,$I$23:$Y$55,17,0)</f>
        <v>N</v>
      </c>
      <c r="AS122" s="137" t="str">
        <f t="shared" si="12"/>
        <v>Finishing</v>
      </c>
      <c r="AT122" s="413">
        <f t="shared" ca="1" si="13"/>
        <v>0</v>
      </c>
      <c r="AU122" s="136">
        <f ca="1">COUNTIFS(AT$7:$AT122,1)</f>
        <v>4</v>
      </c>
    </row>
    <row r="123" spans="4:47" ht="15" hidden="1" outlineLevel="1">
      <c r="D123" s="1432"/>
      <c r="E123" s="394"/>
      <c r="F123" s="394"/>
      <c r="H123" s="1471" t="s">
        <v>103</v>
      </c>
      <c r="I123" s="1472" t="str">
        <f t="shared" si="23"/>
        <v>N</v>
      </c>
      <c r="J123" s="4431" t="str">
        <f ca="1">Coating!D53</f>
        <v>None</v>
      </c>
      <c r="K123" s="4431"/>
      <c r="L123" s="2866">
        <f t="shared" si="24"/>
        <v>0</v>
      </c>
      <c r="M123" s="2866">
        <f t="shared" si="25"/>
        <v>0</v>
      </c>
      <c r="N123" s="2867">
        <f ca="1">IF(H123="Y",IFERROR(ROUNDUP(VLOOKUP(I123,$I$23:$J$55,2,0)*Coating!G53*Coating!J53/Coating!B53,0),0),0)</f>
        <v>0</v>
      </c>
      <c r="O123" s="2868" t="s">
        <v>105</v>
      </c>
      <c r="P123" s="1461"/>
      <c r="Q123" s="1474"/>
      <c r="R123" s="1464">
        <f t="shared" ca="1" si="21"/>
        <v>0</v>
      </c>
      <c r="S123" s="1461" t="s">
        <v>93</v>
      </c>
      <c r="T123" s="1464">
        <f t="shared" ca="1" si="22"/>
        <v>0</v>
      </c>
      <c r="Y123" s="137" t="str">
        <f t="shared" si="26"/>
        <v>N</v>
      </c>
      <c r="AS123" s="137" t="str">
        <f t="shared" si="12"/>
        <v>Finishing</v>
      </c>
      <c r="AT123" s="413">
        <f t="shared" ca="1" si="13"/>
        <v>0</v>
      </c>
      <c r="AU123" s="136">
        <f ca="1">COUNTIFS(AT$7:$AT123,1)</f>
        <v>4</v>
      </c>
    </row>
    <row r="124" spans="4:47" ht="15" hidden="1" outlineLevel="1">
      <c r="D124" s="1432"/>
      <c r="E124" s="394"/>
      <c r="F124" s="394"/>
      <c r="H124" s="1471" t="s">
        <v>103</v>
      </c>
      <c r="I124" s="1472" t="str">
        <f t="shared" si="23"/>
        <v>N</v>
      </c>
      <c r="J124" s="4431" t="str">
        <f ca="1">Coating!D55</f>
        <v>None</v>
      </c>
      <c r="K124" s="4431"/>
      <c r="L124" s="2866">
        <f t="shared" si="24"/>
        <v>0</v>
      </c>
      <c r="M124" s="2866">
        <f t="shared" si="25"/>
        <v>0</v>
      </c>
      <c r="N124" s="2867">
        <f ca="1">IF(H124="Y",IFERROR(ROUNDUP(VLOOKUP(I124,$I$23:$J$55,2,0)*Coating!G55*Coating!J55/Coating!B55,0),0),0)</f>
        <v>0</v>
      </c>
      <c r="O124" s="2868" t="s">
        <v>105</v>
      </c>
      <c r="P124" s="1461"/>
      <c r="Q124" s="1474"/>
      <c r="R124" s="1464">
        <f t="shared" ca="1" si="21"/>
        <v>0</v>
      </c>
      <c r="S124" s="1461" t="s">
        <v>93</v>
      </c>
      <c r="T124" s="1464">
        <f t="shared" ca="1" si="22"/>
        <v>0</v>
      </c>
      <c r="Y124" s="137" t="str">
        <f t="shared" si="26"/>
        <v>N</v>
      </c>
      <c r="AS124" s="137" t="str">
        <f t="shared" si="12"/>
        <v>Finishing</v>
      </c>
      <c r="AT124" s="413">
        <f t="shared" ca="1" si="13"/>
        <v>0</v>
      </c>
      <c r="AU124" s="136">
        <f ca="1">COUNTIFS(AT$7:$AT124,1)</f>
        <v>4</v>
      </c>
    </row>
    <row r="125" spans="4:47" ht="15" hidden="1" outlineLevel="1">
      <c r="D125" s="1432"/>
      <c r="E125" s="394"/>
      <c r="F125" s="394"/>
      <c r="H125" s="1471" t="s">
        <v>103</v>
      </c>
      <c r="I125" s="2865" t="str">
        <f>I28</f>
        <v>N</v>
      </c>
      <c r="J125" s="4430" t="str">
        <f ca="1">Coating!D58</f>
        <v>None</v>
      </c>
      <c r="K125" s="4430"/>
      <c r="L125" s="1465">
        <f t="shared" si="24"/>
        <v>0</v>
      </c>
      <c r="M125" s="1465">
        <f t="shared" si="25"/>
        <v>0</v>
      </c>
      <c r="N125" s="1473">
        <f ca="1">IF(H125="Y",(INT(VLOOKUP(J125,$B$58:$E$191,4,0)*L125*M125*(VLOOKUP(I125,$I$23:$J$55,2,0)/10000))+1),0)</f>
        <v>1</v>
      </c>
      <c r="O125" s="1474" t="s">
        <v>105</v>
      </c>
      <c r="P125" s="1461"/>
      <c r="Q125" s="1474"/>
      <c r="R125" s="1464">
        <f t="shared" ca="1" si="21"/>
        <v>0</v>
      </c>
      <c r="S125" s="1461" t="s">
        <v>93</v>
      </c>
      <c r="T125" s="1464">
        <f t="shared" ca="1" si="22"/>
        <v>0</v>
      </c>
      <c r="Y125" s="137" t="str">
        <f t="shared" si="26"/>
        <v>N</v>
      </c>
      <c r="AS125" s="137" t="str">
        <f t="shared" si="12"/>
        <v>Finishing</v>
      </c>
      <c r="AT125" s="413">
        <f t="shared" ca="1" si="13"/>
        <v>0</v>
      </c>
      <c r="AU125" s="136">
        <f ca="1">COUNTIFS(AT$7:$AT125,1)</f>
        <v>4</v>
      </c>
    </row>
    <row r="126" spans="4:47" ht="15" hidden="1" outlineLevel="1">
      <c r="D126" s="1432"/>
      <c r="E126" s="394"/>
      <c r="F126" s="394"/>
      <c r="H126" s="1471" t="s">
        <v>103</v>
      </c>
      <c r="I126" s="1472" t="str">
        <f t="shared" si="23"/>
        <v>N</v>
      </c>
      <c r="J126" s="4430" t="str">
        <f ca="1">Coating!D59</f>
        <v>None</v>
      </c>
      <c r="K126" s="4430"/>
      <c r="L126" s="1465">
        <f t="shared" si="24"/>
        <v>0</v>
      </c>
      <c r="M126" s="1465">
        <f t="shared" si="25"/>
        <v>0</v>
      </c>
      <c r="N126" s="1473">
        <f ca="1">IF(H126="Y",(INT(VLOOKUP(J126,$B$58:$E$191,4,0)*L126*M126*(VLOOKUP(I126,$I$23:$J$55,2,0)/10000))+1),0)</f>
        <v>1</v>
      </c>
      <c r="O126" s="1474" t="s">
        <v>105</v>
      </c>
      <c r="P126" s="1461"/>
      <c r="Q126" s="1474"/>
      <c r="R126" s="1464">
        <f t="shared" ca="1" si="21"/>
        <v>0</v>
      </c>
      <c r="S126" s="1461" t="s">
        <v>93</v>
      </c>
      <c r="T126" s="1464">
        <f t="shared" ca="1" si="22"/>
        <v>0</v>
      </c>
      <c r="Y126" s="137" t="str">
        <f t="shared" si="26"/>
        <v>N</v>
      </c>
      <c r="AS126" s="137" t="str">
        <f t="shared" si="12"/>
        <v>Finishing</v>
      </c>
      <c r="AT126" s="413">
        <f t="shared" ca="1" si="13"/>
        <v>0</v>
      </c>
      <c r="AU126" s="136">
        <f ca="1">COUNTIFS(AT$7:$AT126,1)</f>
        <v>4</v>
      </c>
    </row>
    <row r="127" spans="4:47" ht="15" hidden="1" outlineLevel="1">
      <c r="D127" s="1432"/>
      <c r="E127" s="394"/>
      <c r="F127" s="394"/>
      <c r="H127" s="1471" t="s">
        <v>103</v>
      </c>
      <c r="I127" s="1472" t="str">
        <f t="shared" si="23"/>
        <v>N</v>
      </c>
      <c r="J127" s="4430" t="str">
        <f ca="1">Coating!D60</f>
        <v>None</v>
      </c>
      <c r="K127" s="4430"/>
      <c r="L127" s="1465">
        <f t="shared" si="24"/>
        <v>0</v>
      </c>
      <c r="M127" s="1465">
        <f t="shared" si="25"/>
        <v>0</v>
      </c>
      <c r="N127" s="1473">
        <f ca="1">IF(H127="Y",(INT(VLOOKUP(J127,$B$58:$E$191,4,0)*L127*M127*(VLOOKUP(I127,$I$23:$J$55,2,0)/10000))+1),0)</f>
        <v>1</v>
      </c>
      <c r="O127" s="1474" t="s">
        <v>105</v>
      </c>
      <c r="P127" s="1461"/>
      <c r="Q127" s="1474"/>
      <c r="R127" s="1464">
        <f t="shared" ca="1" si="21"/>
        <v>0</v>
      </c>
      <c r="S127" s="1461" t="s">
        <v>93</v>
      </c>
      <c r="T127" s="1464">
        <f t="shared" ca="1" si="22"/>
        <v>0</v>
      </c>
      <c r="Y127" s="137" t="str">
        <f t="shared" si="26"/>
        <v>N</v>
      </c>
      <c r="AS127" s="137" t="str">
        <f t="shared" si="12"/>
        <v>Finishing</v>
      </c>
      <c r="AT127" s="413">
        <f t="shared" ca="1" si="13"/>
        <v>0</v>
      </c>
      <c r="AU127" s="136">
        <f ca="1">COUNTIFS(AT$7:$AT127,1)</f>
        <v>4</v>
      </c>
    </row>
    <row r="128" spans="4:47" ht="15" hidden="1" outlineLevel="1">
      <c r="D128" s="1432"/>
      <c r="E128" s="394"/>
      <c r="F128" s="394"/>
      <c r="H128" s="1471" t="s">
        <v>103</v>
      </c>
      <c r="I128" s="1472" t="str">
        <f t="shared" si="23"/>
        <v>N</v>
      </c>
      <c r="J128" s="4430" t="str">
        <f ca="1">Coating!D61</f>
        <v>None</v>
      </c>
      <c r="K128" s="4430"/>
      <c r="L128" s="1465">
        <f t="shared" si="24"/>
        <v>0</v>
      </c>
      <c r="M128" s="1465">
        <f t="shared" si="25"/>
        <v>0</v>
      </c>
      <c r="N128" s="1473">
        <f ca="1">IF(H128="Y",(INT(VLOOKUP(J128,$B$58:$E$191,4,0)*L128*M128*(VLOOKUP(I128,$I$23:$J$55,2,0)/10000))+1),0)</f>
        <v>1</v>
      </c>
      <c r="O128" s="1474" t="s">
        <v>105</v>
      </c>
      <c r="P128" s="1461"/>
      <c r="Q128" s="1474"/>
      <c r="R128" s="1464">
        <f t="shared" ca="1" si="21"/>
        <v>0</v>
      </c>
      <c r="S128" s="1461" t="s">
        <v>93</v>
      </c>
      <c r="T128" s="1464">
        <f t="shared" ca="1" si="22"/>
        <v>0</v>
      </c>
      <c r="Y128" s="137" t="str">
        <f t="shared" si="26"/>
        <v>N</v>
      </c>
      <c r="AS128" s="137" t="str">
        <f t="shared" si="12"/>
        <v>Finishing</v>
      </c>
      <c r="AT128" s="413">
        <f t="shared" ca="1" si="13"/>
        <v>0</v>
      </c>
      <c r="AU128" s="136">
        <f ca="1">COUNTIFS(AT$7:$AT128,1)</f>
        <v>4</v>
      </c>
    </row>
    <row r="129" spans="4:47" ht="15" hidden="1" outlineLevel="1">
      <c r="D129" s="1432"/>
      <c r="E129" s="394"/>
      <c r="F129" s="394"/>
      <c r="H129" s="1471" t="s">
        <v>103</v>
      </c>
      <c r="I129" s="1472" t="str">
        <f t="shared" si="23"/>
        <v>N</v>
      </c>
      <c r="J129" s="4430" t="str">
        <f ca="1">Coating!D62</f>
        <v>None</v>
      </c>
      <c r="K129" s="4430"/>
      <c r="L129" s="1465">
        <f t="shared" si="24"/>
        <v>0</v>
      </c>
      <c r="M129" s="1465">
        <f t="shared" si="25"/>
        <v>0</v>
      </c>
      <c r="N129" s="1473">
        <f ca="1">IF(H129="Y",(INT(VLOOKUP(J129,$B$58:$E$191,4,0)*L129*M129*(VLOOKUP(I129,$I$23:$J$55,2,0)/10000))+1),0)</f>
        <v>1</v>
      </c>
      <c r="O129" s="1474" t="s">
        <v>105</v>
      </c>
      <c r="P129" s="1461"/>
      <c r="Q129" s="1474"/>
      <c r="R129" s="1464">
        <f t="shared" ca="1" si="21"/>
        <v>0</v>
      </c>
      <c r="S129" s="1461" t="s">
        <v>93</v>
      </c>
      <c r="T129" s="1464">
        <f t="shared" ca="1" si="22"/>
        <v>0</v>
      </c>
      <c r="Y129" s="137" t="str">
        <f t="shared" si="26"/>
        <v>N</v>
      </c>
      <c r="AS129" s="137" t="str">
        <f t="shared" si="12"/>
        <v>Finishing</v>
      </c>
      <c r="AT129" s="413">
        <f t="shared" ca="1" si="13"/>
        <v>0</v>
      </c>
      <c r="AU129" s="136">
        <f ca="1">COUNTIFS(AT$7:$AT129,1)</f>
        <v>4</v>
      </c>
    </row>
    <row r="130" spans="4:47" ht="15" hidden="1" outlineLevel="1">
      <c r="D130" s="1432"/>
      <c r="E130" s="394"/>
      <c r="F130" s="394"/>
      <c r="H130" s="1471" t="s">
        <v>103</v>
      </c>
      <c r="I130" s="1472" t="str">
        <f t="shared" si="23"/>
        <v>N</v>
      </c>
      <c r="J130" s="4431" t="str">
        <f ca="1">Coating!D63</f>
        <v>None</v>
      </c>
      <c r="K130" s="4431"/>
      <c r="L130" s="2866">
        <f t="shared" si="24"/>
        <v>0</v>
      </c>
      <c r="M130" s="2866">
        <f t="shared" si="25"/>
        <v>0</v>
      </c>
      <c r="N130" s="2867">
        <f ca="1">IF(H130="Y",IFERROR(ROUNDUP(VLOOKUP(I130,$I$23:$J$55,2,0)*Coating!G63*Coating!J63/Coating!B63,0),0),0)</f>
        <v>0</v>
      </c>
      <c r="O130" s="2868" t="s">
        <v>105</v>
      </c>
      <c r="P130" s="1461"/>
      <c r="Q130" s="1474"/>
      <c r="R130" s="1464">
        <f t="shared" ca="1" si="21"/>
        <v>0</v>
      </c>
      <c r="S130" s="1461" t="s">
        <v>93</v>
      </c>
      <c r="T130" s="1464">
        <f t="shared" ca="1" si="22"/>
        <v>0</v>
      </c>
      <c r="Y130" s="137" t="str">
        <f t="shared" si="26"/>
        <v>N</v>
      </c>
      <c r="AS130" s="137" t="str">
        <f t="shared" si="12"/>
        <v>Finishing</v>
      </c>
      <c r="AT130" s="413">
        <f t="shared" ca="1" si="13"/>
        <v>0</v>
      </c>
      <c r="AU130" s="136">
        <f ca="1">COUNTIFS(AT$7:$AT130,1)</f>
        <v>4</v>
      </c>
    </row>
    <row r="131" spans="4:47" ht="15" hidden="1" outlineLevel="1">
      <c r="D131" s="1432"/>
      <c r="E131" s="394"/>
      <c r="F131" s="394"/>
      <c r="H131" s="1471" t="s">
        <v>103</v>
      </c>
      <c r="I131" s="1472" t="str">
        <f t="shared" si="23"/>
        <v>N</v>
      </c>
      <c r="J131" s="4431" t="str">
        <f ca="1">Coating!D65</f>
        <v>None</v>
      </c>
      <c r="K131" s="4431"/>
      <c r="L131" s="2866">
        <f t="shared" si="24"/>
        <v>0</v>
      </c>
      <c r="M131" s="2866">
        <f t="shared" si="25"/>
        <v>0</v>
      </c>
      <c r="N131" s="2867">
        <f ca="1">IF(H131="Y",IFERROR(ROUNDUP(VLOOKUP(I131,$I$23:$J$55,2,0)*Coating!G65*Coating!J65/Coating!B65,0),0),0)</f>
        <v>0</v>
      </c>
      <c r="O131" s="2868" t="s">
        <v>105</v>
      </c>
      <c r="P131" s="1461"/>
      <c r="Q131" s="1474"/>
      <c r="R131" s="1464">
        <f t="shared" ca="1" si="21"/>
        <v>0</v>
      </c>
      <c r="S131" s="1461" t="s">
        <v>93</v>
      </c>
      <c r="T131" s="1464">
        <f t="shared" ca="1" si="22"/>
        <v>0</v>
      </c>
      <c r="Y131" s="137" t="str">
        <f t="shared" si="26"/>
        <v>N</v>
      </c>
      <c r="AS131" s="137" t="str">
        <f t="shared" si="12"/>
        <v>Finishing</v>
      </c>
      <c r="AT131" s="413">
        <f t="shared" ca="1" si="13"/>
        <v>0</v>
      </c>
      <c r="AU131" s="136">
        <f ca="1">COUNTIFS(AT$7:$AT131,1)</f>
        <v>4</v>
      </c>
    </row>
    <row r="132" spans="4:47" ht="15" hidden="1" outlineLevel="1">
      <c r="D132" s="1432"/>
      <c r="E132" s="394"/>
      <c r="F132" s="394"/>
      <c r="H132" s="1471" t="s">
        <v>103</v>
      </c>
      <c r="I132" s="2865" t="str">
        <f>I29</f>
        <v>N</v>
      </c>
      <c r="J132" s="4430" t="str">
        <f ca="1">Coating!D68</f>
        <v>None</v>
      </c>
      <c r="K132" s="4430"/>
      <c r="L132" s="1465">
        <f t="shared" si="24"/>
        <v>0</v>
      </c>
      <c r="M132" s="1465">
        <f t="shared" si="25"/>
        <v>0</v>
      </c>
      <c r="N132" s="1473">
        <f ca="1">IF(H132="Y",(INT(VLOOKUP(J132,$B$58:$E$191,4,0)*L132*M132*(VLOOKUP(I132,$I$23:$J$55,2,0)/10000))+1),0)</f>
        <v>1</v>
      </c>
      <c r="O132" s="1474" t="s">
        <v>105</v>
      </c>
      <c r="P132" s="1461"/>
      <c r="Q132" s="1474"/>
      <c r="R132" s="1464">
        <f t="shared" ca="1" si="21"/>
        <v>0</v>
      </c>
      <c r="S132" s="1461" t="s">
        <v>93</v>
      </c>
      <c r="T132" s="1464">
        <f t="shared" ca="1" si="22"/>
        <v>0</v>
      </c>
      <c r="Y132" s="137" t="str">
        <f t="shared" si="26"/>
        <v>N</v>
      </c>
      <c r="AS132" s="137" t="str">
        <f t="shared" si="12"/>
        <v>Finishing</v>
      </c>
      <c r="AT132" s="413">
        <f t="shared" ca="1" si="13"/>
        <v>0</v>
      </c>
      <c r="AU132" s="136">
        <f ca="1">COUNTIFS(AT$7:$AT132,1)</f>
        <v>4</v>
      </c>
    </row>
    <row r="133" spans="4:47" ht="15" hidden="1" outlineLevel="1">
      <c r="D133" s="1432"/>
      <c r="E133" s="394"/>
      <c r="F133" s="394"/>
      <c r="H133" s="1471" t="s">
        <v>103</v>
      </c>
      <c r="I133" s="1472" t="str">
        <f t="shared" si="23"/>
        <v>N</v>
      </c>
      <c r="J133" s="4430" t="str">
        <f ca="1">Coating!D69</f>
        <v>None</v>
      </c>
      <c r="K133" s="4430"/>
      <c r="L133" s="1465">
        <f t="shared" si="24"/>
        <v>0</v>
      </c>
      <c r="M133" s="1465">
        <f t="shared" si="25"/>
        <v>0</v>
      </c>
      <c r="N133" s="1473">
        <f ca="1">IF(H133="Y",(INT(VLOOKUP(J133,$B$58:$E$191,4,0)*L133*M133*(VLOOKUP(I133,$I$23:$J$55,2,0)/10000))+1),0)</f>
        <v>1</v>
      </c>
      <c r="O133" s="1474" t="s">
        <v>105</v>
      </c>
      <c r="P133" s="1461"/>
      <c r="Q133" s="1474"/>
      <c r="R133" s="1464">
        <f t="shared" ca="1" si="21"/>
        <v>0</v>
      </c>
      <c r="S133" s="1461" t="s">
        <v>93</v>
      </c>
      <c r="T133" s="1464">
        <f t="shared" ca="1" si="22"/>
        <v>0</v>
      </c>
      <c r="Y133" s="137" t="str">
        <f t="shared" si="26"/>
        <v>N</v>
      </c>
      <c r="AS133" s="137" t="str">
        <f t="shared" si="12"/>
        <v>Finishing</v>
      </c>
      <c r="AT133" s="413">
        <f t="shared" ca="1" si="13"/>
        <v>0</v>
      </c>
      <c r="AU133" s="136">
        <f ca="1">COUNTIFS(AT$7:$AT133,1)</f>
        <v>4</v>
      </c>
    </row>
    <row r="134" spans="4:47" ht="15" hidden="1" outlineLevel="1">
      <c r="D134" s="1432"/>
      <c r="E134" s="394"/>
      <c r="F134" s="394"/>
      <c r="H134" s="1471" t="s">
        <v>103</v>
      </c>
      <c r="I134" s="1472" t="str">
        <f t="shared" si="23"/>
        <v>N</v>
      </c>
      <c r="J134" s="4430" t="str">
        <f ca="1">Coating!D70</f>
        <v>None</v>
      </c>
      <c r="K134" s="4430"/>
      <c r="L134" s="1465">
        <f t="shared" si="24"/>
        <v>0</v>
      </c>
      <c r="M134" s="1465">
        <f t="shared" si="25"/>
        <v>0</v>
      </c>
      <c r="N134" s="1473">
        <f ca="1">IF(H134="Y",(INT(VLOOKUP(J134,$B$58:$E$191,4,0)*L134*M134*(VLOOKUP(I134,$I$23:$J$55,2,0)/10000))+1),0)</f>
        <v>1</v>
      </c>
      <c r="O134" s="1474" t="s">
        <v>105</v>
      </c>
      <c r="P134" s="1461"/>
      <c r="Q134" s="1474"/>
      <c r="R134" s="1464">
        <f t="shared" ca="1" si="21"/>
        <v>0</v>
      </c>
      <c r="S134" s="1461" t="s">
        <v>93</v>
      </c>
      <c r="T134" s="1464">
        <f t="shared" ca="1" si="22"/>
        <v>0</v>
      </c>
      <c r="Y134" s="137" t="str">
        <f t="shared" si="26"/>
        <v>N</v>
      </c>
      <c r="AS134" s="137" t="str">
        <f t="shared" si="12"/>
        <v>Finishing</v>
      </c>
      <c r="AT134" s="413">
        <f t="shared" ca="1" si="13"/>
        <v>0</v>
      </c>
      <c r="AU134" s="136">
        <f ca="1">COUNTIFS(AT$7:$AT134,1)</f>
        <v>4</v>
      </c>
    </row>
    <row r="135" spans="4:47" ht="15" hidden="1" outlineLevel="1">
      <c r="D135" s="1432"/>
      <c r="E135" s="394"/>
      <c r="F135" s="394"/>
      <c r="H135" s="1471" t="s">
        <v>103</v>
      </c>
      <c r="I135" s="1472" t="str">
        <f t="shared" si="23"/>
        <v>N</v>
      </c>
      <c r="J135" s="4430" t="str">
        <f ca="1">Coating!D71</f>
        <v>None</v>
      </c>
      <c r="K135" s="4430"/>
      <c r="L135" s="1465">
        <f t="shared" si="24"/>
        <v>0</v>
      </c>
      <c r="M135" s="1465">
        <f t="shared" si="25"/>
        <v>0</v>
      </c>
      <c r="N135" s="1473">
        <f ca="1">IF(H135="Y",(INT(VLOOKUP(J135,$B$58:$E$191,4,0)*L135*M135*(VLOOKUP(I135,$I$23:$J$55,2,0)/10000))+1),0)</f>
        <v>1</v>
      </c>
      <c r="O135" s="1474" t="s">
        <v>105</v>
      </c>
      <c r="P135" s="1461"/>
      <c r="Q135" s="1474"/>
      <c r="R135" s="1464">
        <f t="shared" ca="1" si="21"/>
        <v>0</v>
      </c>
      <c r="S135" s="1461" t="s">
        <v>93</v>
      </c>
      <c r="T135" s="1464">
        <f t="shared" ca="1" si="22"/>
        <v>0</v>
      </c>
      <c r="Y135" s="137" t="str">
        <f t="shared" si="26"/>
        <v>N</v>
      </c>
      <c r="AS135" s="137" t="str">
        <f t="shared" si="12"/>
        <v>Finishing</v>
      </c>
      <c r="AT135" s="413">
        <f t="shared" ca="1" si="13"/>
        <v>0</v>
      </c>
      <c r="AU135" s="136">
        <f ca="1">COUNTIFS(AT$7:$AT135,1)</f>
        <v>4</v>
      </c>
    </row>
    <row r="136" spans="4:47" ht="15" hidden="1" outlineLevel="1">
      <c r="D136" s="1432"/>
      <c r="E136" s="394"/>
      <c r="F136" s="394"/>
      <c r="H136" s="1471" t="s">
        <v>103</v>
      </c>
      <c r="I136" s="1472" t="str">
        <f t="shared" si="23"/>
        <v>N</v>
      </c>
      <c r="J136" s="4430" t="str">
        <f ca="1">Coating!D72</f>
        <v>None</v>
      </c>
      <c r="K136" s="4430"/>
      <c r="L136" s="1465">
        <f t="shared" si="24"/>
        <v>0</v>
      </c>
      <c r="M136" s="1465">
        <f t="shared" si="25"/>
        <v>0</v>
      </c>
      <c r="N136" s="1473">
        <f ca="1">IF(H136="Y",(INT(VLOOKUP(J136,$B$58:$E$191,4,0)*L136*M136*(VLOOKUP(I136,$I$23:$J$55,2,0)/10000))+1),0)</f>
        <v>1</v>
      </c>
      <c r="O136" s="1474" t="s">
        <v>105</v>
      </c>
      <c r="P136" s="1461"/>
      <c r="Q136" s="1474"/>
      <c r="R136" s="1464">
        <f t="shared" ca="1" si="21"/>
        <v>0</v>
      </c>
      <c r="S136" s="1461" t="s">
        <v>93</v>
      </c>
      <c r="T136" s="1464">
        <f t="shared" ca="1" si="22"/>
        <v>0</v>
      </c>
      <c r="Y136" s="137" t="str">
        <f t="shared" si="26"/>
        <v>N</v>
      </c>
      <c r="AS136" s="137" t="str">
        <f t="shared" si="12"/>
        <v>Finishing</v>
      </c>
      <c r="AT136" s="413">
        <f t="shared" ca="1" si="13"/>
        <v>0</v>
      </c>
      <c r="AU136" s="136">
        <f ca="1">COUNTIFS(AT$7:$AT136,1)</f>
        <v>4</v>
      </c>
    </row>
    <row r="137" spans="4:47" ht="15" hidden="1" outlineLevel="1">
      <c r="D137" s="1432"/>
      <c r="E137" s="394"/>
      <c r="F137" s="394"/>
      <c r="H137" s="1471" t="s">
        <v>103</v>
      </c>
      <c r="I137" s="1472" t="str">
        <f t="shared" si="23"/>
        <v>N</v>
      </c>
      <c r="J137" s="4431" t="str">
        <f ca="1">Coating!D73</f>
        <v>None</v>
      </c>
      <c r="K137" s="4431"/>
      <c r="L137" s="2866">
        <f t="shared" si="24"/>
        <v>0</v>
      </c>
      <c r="M137" s="2866">
        <f t="shared" si="25"/>
        <v>0</v>
      </c>
      <c r="N137" s="2867">
        <f ca="1">IF(H137="Y",IFERROR(ROUNDUP(VLOOKUP(I137,$I$23:$J$55,2,0)*Coating!G73*Coating!J73/Coating!B73,0),0),0)</f>
        <v>0</v>
      </c>
      <c r="O137" s="2868" t="s">
        <v>105</v>
      </c>
      <c r="P137" s="1461"/>
      <c r="Q137" s="1474"/>
      <c r="R137" s="1464">
        <f t="shared" ca="1" si="21"/>
        <v>0</v>
      </c>
      <c r="S137" s="1461" t="s">
        <v>93</v>
      </c>
      <c r="T137" s="1464">
        <f t="shared" ca="1" si="22"/>
        <v>0</v>
      </c>
      <c r="Y137" s="137" t="str">
        <f t="shared" si="26"/>
        <v>N</v>
      </c>
      <c r="AS137" s="137" t="str">
        <f t="shared" si="12"/>
        <v>Finishing</v>
      </c>
      <c r="AT137" s="413">
        <f t="shared" ca="1" si="13"/>
        <v>0</v>
      </c>
      <c r="AU137" s="136">
        <f ca="1">COUNTIFS(AT$7:$AT137,1)</f>
        <v>4</v>
      </c>
    </row>
    <row r="138" spans="4:47" ht="15" hidden="1" outlineLevel="1">
      <c r="D138" s="1432"/>
      <c r="E138" s="394"/>
      <c r="F138" s="394"/>
      <c r="H138" s="1471" t="s">
        <v>103</v>
      </c>
      <c r="I138" s="1472" t="str">
        <f t="shared" si="23"/>
        <v>N</v>
      </c>
      <c r="J138" s="4431" t="str">
        <f ca="1">Coating!D75</f>
        <v>None</v>
      </c>
      <c r="K138" s="4431"/>
      <c r="L138" s="2866">
        <f t="shared" si="24"/>
        <v>0</v>
      </c>
      <c r="M138" s="2866">
        <f t="shared" si="25"/>
        <v>0</v>
      </c>
      <c r="N138" s="2867">
        <f ca="1">IF(H138="Y",IFERROR(ROUNDUP(VLOOKUP(I138,$I$23:$J$55,2,0)*Coating!G75*Coating!J75/Coating!B75,0),0),0)</f>
        <v>0</v>
      </c>
      <c r="O138" s="2868" t="s">
        <v>105</v>
      </c>
      <c r="P138" s="1461"/>
      <c r="Q138" s="1474"/>
      <c r="R138" s="1464">
        <f t="shared" ca="1" si="21"/>
        <v>0</v>
      </c>
      <c r="S138" s="1461" t="s">
        <v>93</v>
      </c>
      <c r="T138" s="1464">
        <f t="shared" ca="1" si="22"/>
        <v>0</v>
      </c>
      <c r="Y138" s="137" t="str">
        <f t="shared" si="26"/>
        <v>N</v>
      </c>
      <c r="AS138" s="137" t="str">
        <f t="shared" ref="AS138:AS201" si="27">IF(G138=0,AS137,G138)</f>
        <v>Finishing</v>
      </c>
      <c r="AT138" s="413">
        <f t="shared" ref="AT138:AT201" ca="1" si="28">IF(ISNUMBER(T138),IF(T138&lt;&gt;0,IF(ISNUMBER(SEARCH("to",GL138)),0,1),0),"")</f>
        <v>0</v>
      </c>
      <c r="AU138" s="136">
        <f ca="1">COUNTIFS(AT$7:$AT138,1)</f>
        <v>4</v>
      </c>
    </row>
    <row r="139" spans="4:47" ht="15" hidden="1" outlineLevel="1">
      <c r="D139" s="1432"/>
      <c r="E139" s="394"/>
      <c r="F139" s="394"/>
      <c r="H139" s="1471" t="s">
        <v>103</v>
      </c>
      <c r="I139" s="2865" t="str">
        <f>I30</f>
        <v>N</v>
      </c>
      <c r="J139" s="4430" t="str">
        <f ca="1">Coating!D78</f>
        <v>None</v>
      </c>
      <c r="K139" s="4430"/>
      <c r="L139" s="1465">
        <f t="shared" si="24"/>
        <v>0</v>
      </c>
      <c r="M139" s="1465">
        <f t="shared" si="25"/>
        <v>0</v>
      </c>
      <c r="N139" s="1473">
        <f ca="1">IF(H139="Y",(INT(VLOOKUP(J139,$B$58:$E$191,4,0)*L139*M139*(VLOOKUP(I139,$I$23:$J$55,2,0)/10000))+1),0)</f>
        <v>1</v>
      </c>
      <c r="O139" s="1474" t="s">
        <v>105</v>
      </c>
      <c r="P139" s="1461"/>
      <c r="Q139" s="1474"/>
      <c r="R139" s="1464">
        <f t="shared" ca="1" si="21"/>
        <v>0</v>
      </c>
      <c r="S139" s="1461" t="s">
        <v>93</v>
      </c>
      <c r="T139" s="1464">
        <f t="shared" ca="1" si="22"/>
        <v>0</v>
      </c>
      <c r="Y139" s="137" t="str">
        <f t="shared" si="26"/>
        <v>N</v>
      </c>
      <c r="AS139" s="137" t="str">
        <f t="shared" si="27"/>
        <v>Finishing</v>
      </c>
      <c r="AT139" s="413">
        <f t="shared" ca="1" si="28"/>
        <v>0</v>
      </c>
      <c r="AU139" s="136">
        <f ca="1">COUNTIFS(AT$7:$AT139,1)</f>
        <v>4</v>
      </c>
    </row>
    <row r="140" spans="4:47" ht="15" hidden="1" outlineLevel="1">
      <c r="D140" s="1432"/>
      <c r="E140" s="394"/>
      <c r="F140" s="394"/>
      <c r="H140" s="1471" t="s">
        <v>103</v>
      </c>
      <c r="I140" s="1472" t="str">
        <f t="shared" si="23"/>
        <v>N</v>
      </c>
      <c r="J140" s="4430" t="str">
        <f ca="1">Coating!D79</f>
        <v>None</v>
      </c>
      <c r="K140" s="4430"/>
      <c r="L140" s="1465">
        <f t="shared" si="24"/>
        <v>0</v>
      </c>
      <c r="M140" s="1465">
        <f t="shared" si="25"/>
        <v>0</v>
      </c>
      <c r="N140" s="1473">
        <f ca="1">IF(H140="Y",(INT(VLOOKUP(J140,$B$58:$E$191,4,0)*L140*M140*(VLOOKUP(I140,$I$23:$J$55,2,0)/10000))+1),0)</f>
        <v>1</v>
      </c>
      <c r="O140" s="1474" t="s">
        <v>105</v>
      </c>
      <c r="P140" s="1461"/>
      <c r="Q140" s="1474"/>
      <c r="R140" s="1464">
        <f t="shared" ca="1" si="21"/>
        <v>0</v>
      </c>
      <c r="S140" s="1461" t="s">
        <v>93</v>
      </c>
      <c r="T140" s="1464">
        <f t="shared" ca="1" si="22"/>
        <v>0</v>
      </c>
      <c r="Y140" s="137" t="str">
        <f t="shared" si="26"/>
        <v>N</v>
      </c>
      <c r="AS140" s="137" t="str">
        <f t="shared" si="27"/>
        <v>Finishing</v>
      </c>
      <c r="AT140" s="413">
        <f t="shared" ca="1" si="28"/>
        <v>0</v>
      </c>
      <c r="AU140" s="136">
        <f ca="1">COUNTIFS(AT$7:$AT140,1)</f>
        <v>4</v>
      </c>
    </row>
    <row r="141" spans="4:47" ht="15" hidden="1" outlineLevel="1">
      <c r="D141" s="1432"/>
      <c r="E141" s="394"/>
      <c r="F141" s="394"/>
      <c r="H141" s="1471" t="s">
        <v>103</v>
      </c>
      <c r="I141" s="1472" t="str">
        <f t="shared" si="23"/>
        <v>N</v>
      </c>
      <c r="J141" s="4430" t="str">
        <f ca="1">Coating!D80</f>
        <v>None</v>
      </c>
      <c r="K141" s="4430"/>
      <c r="L141" s="1465">
        <f t="shared" si="24"/>
        <v>0</v>
      </c>
      <c r="M141" s="1465">
        <f t="shared" si="25"/>
        <v>0</v>
      </c>
      <c r="N141" s="1473">
        <f ca="1">IF(H141="Y",(INT(VLOOKUP(J141,$B$58:$E$191,4,0)*L141*M141*(VLOOKUP(I141,$I$23:$J$55,2,0)/10000))+1),0)</f>
        <v>1</v>
      </c>
      <c r="O141" s="1474" t="s">
        <v>105</v>
      </c>
      <c r="P141" s="1461"/>
      <c r="Q141" s="1474"/>
      <c r="R141" s="1464">
        <f t="shared" ca="1" si="21"/>
        <v>0</v>
      </c>
      <c r="S141" s="1461" t="s">
        <v>93</v>
      </c>
      <c r="T141" s="1464">
        <f t="shared" ca="1" si="22"/>
        <v>0</v>
      </c>
      <c r="Y141" s="137" t="str">
        <f t="shared" si="26"/>
        <v>N</v>
      </c>
      <c r="AS141" s="137" t="str">
        <f t="shared" si="27"/>
        <v>Finishing</v>
      </c>
      <c r="AT141" s="413">
        <f t="shared" ca="1" si="28"/>
        <v>0</v>
      </c>
      <c r="AU141" s="136">
        <f ca="1">COUNTIFS(AT$7:$AT141,1)</f>
        <v>4</v>
      </c>
    </row>
    <row r="142" spans="4:47" ht="15" hidden="1" outlineLevel="1">
      <c r="D142" s="1432"/>
      <c r="E142" s="394"/>
      <c r="F142" s="394"/>
      <c r="H142" s="1471" t="s">
        <v>103</v>
      </c>
      <c r="I142" s="1472" t="str">
        <f t="shared" si="23"/>
        <v>N</v>
      </c>
      <c r="J142" s="4430" t="str">
        <f ca="1">Coating!D81</f>
        <v>None</v>
      </c>
      <c r="K142" s="4430"/>
      <c r="L142" s="1465">
        <f t="shared" si="24"/>
        <v>0</v>
      </c>
      <c r="M142" s="1465">
        <f t="shared" si="25"/>
        <v>0</v>
      </c>
      <c r="N142" s="1473">
        <f ca="1">IF(H142="Y",(INT(VLOOKUP(J142,$B$58:$E$191,4,0)*L142*M142*(VLOOKUP(I142,$I$23:$J$55,2,0)/10000))+1),0)</f>
        <v>1</v>
      </c>
      <c r="O142" s="1474" t="s">
        <v>105</v>
      </c>
      <c r="P142" s="1461"/>
      <c r="Q142" s="1474"/>
      <c r="R142" s="1464">
        <f t="shared" ca="1" si="21"/>
        <v>0</v>
      </c>
      <c r="S142" s="1461" t="s">
        <v>93</v>
      </c>
      <c r="T142" s="1464">
        <f t="shared" ca="1" si="22"/>
        <v>0</v>
      </c>
      <c r="Y142" s="137" t="str">
        <f t="shared" si="26"/>
        <v>N</v>
      </c>
      <c r="AS142" s="137" t="str">
        <f t="shared" si="27"/>
        <v>Finishing</v>
      </c>
      <c r="AT142" s="413">
        <f t="shared" ca="1" si="28"/>
        <v>0</v>
      </c>
      <c r="AU142" s="136">
        <f ca="1">COUNTIFS(AT$7:$AT142,1)</f>
        <v>4</v>
      </c>
    </row>
    <row r="143" spans="4:47" ht="15" hidden="1" outlineLevel="1">
      <c r="D143" s="1432"/>
      <c r="E143" s="394"/>
      <c r="F143" s="394"/>
      <c r="H143" s="1471" t="s">
        <v>103</v>
      </c>
      <c r="I143" s="1472" t="str">
        <f t="shared" si="23"/>
        <v>N</v>
      </c>
      <c r="J143" s="4430" t="str">
        <f ca="1">Coating!D82</f>
        <v>None</v>
      </c>
      <c r="K143" s="4430"/>
      <c r="L143" s="1465">
        <f t="shared" si="24"/>
        <v>0</v>
      </c>
      <c r="M143" s="1465">
        <f t="shared" si="25"/>
        <v>0</v>
      </c>
      <c r="N143" s="1473">
        <f ca="1">IF(H143="Y",(INT(VLOOKUP(J143,$B$58:$E$191,4,0)*L143*M143*(VLOOKUP(I143,$I$23:$J$55,2,0)/10000))+1),0)</f>
        <v>1</v>
      </c>
      <c r="O143" s="1474" t="s">
        <v>105</v>
      </c>
      <c r="P143" s="1461"/>
      <c r="Q143" s="1474"/>
      <c r="R143" s="1464">
        <f t="shared" ca="1" si="21"/>
        <v>0</v>
      </c>
      <c r="S143" s="1461" t="s">
        <v>93</v>
      </c>
      <c r="T143" s="1464">
        <f t="shared" ca="1" si="22"/>
        <v>0</v>
      </c>
      <c r="Y143" s="137" t="str">
        <f t="shared" si="26"/>
        <v>N</v>
      </c>
      <c r="AS143" s="137" t="str">
        <f t="shared" si="27"/>
        <v>Finishing</v>
      </c>
      <c r="AT143" s="413">
        <f t="shared" ca="1" si="28"/>
        <v>0</v>
      </c>
      <c r="AU143" s="136">
        <f ca="1">COUNTIFS(AT$7:$AT143,1)</f>
        <v>4</v>
      </c>
    </row>
    <row r="144" spans="4:47" ht="15" hidden="1" outlineLevel="1">
      <c r="D144" s="1432"/>
      <c r="E144" s="394"/>
      <c r="F144" s="394"/>
      <c r="H144" s="1471" t="s">
        <v>103</v>
      </c>
      <c r="I144" s="1472" t="str">
        <f t="shared" si="23"/>
        <v>N</v>
      </c>
      <c r="J144" s="4431" t="str">
        <f ca="1">Coating!D83</f>
        <v>None</v>
      </c>
      <c r="K144" s="4431"/>
      <c r="L144" s="2866">
        <f t="shared" si="24"/>
        <v>0</v>
      </c>
      <c r="M144" s="2866">
        <f t="shared" si="25"/>
        <v>0</v>
      </c>
      <c r="N144" s="2867">
        <f ca="1">IF(H144="Y",IFERROR(ROUNDUP(VLOOKUP(I144,$I$23:$J$55,2,0)*Coating!G83*Coating!J83/Coating!B83,0),0),0)</f>
        <v>0</v>
      </c>
      <c r="O144" s="2868" t="s">
        <v>105</v>
      </c>
      <c r="P144" s="1461"/>
      <c r="Q144" s="1474"/>
      <c r="R144" s="1464">
        <f t="shared" ca="1" si="21"/>
        <v>0</v>
      </c>
      <c r="S144" s="1461" t="s">
        <v>93</v>
      </c>
      <c r="T144" s="1464">
        <f t="shared" ca="1" si="22"/>
        <v>0</v>
      </c>
      <c r="Y144" s="137" t="str">
        <f t="shared" si="26"/>
        <v>N</v>
      </c>
      <c r="AS144" s="137" t="str">
        <f t="shared" si="27"/>
        <v>Finishing</v>
      </c>
      <c r="AT144" s="413">
        <f t="shared" ca="1" si="28"/>
        <v>0</v>
      </c>
      <c r="AU144" s="136">
        <f ca="1">COUNTIFS(AT$7:$AT144,1)</f>
        <v>4</v>
      </c>
    </row>
    <row r="145" spans="4:47" ht="15" hidden="1" outlineLevel="1">
      <c r="D145" s="1432"/>
      <c r="E145" s="394"/>
      <c r="F145" s="394"/>
      <c r="H145" s="1471" t="s">
        <v>103</v>
      </c>
      <c r="I145" s="1472" t="str">
        <f t="shared" si="23"/>
        <v>N</v>
      </c>
      <c r="J145" s="4431" t="str">
        <f ca="1">Coating!D85</f>
        <v>None</v>
      </c>
      <c r="K145" s="4431"/>
      <c r="L145" s="2866">
        <f t="shared" si="24"/>
        <v>0</v>
      </c>
      <c r="M145" s="2866">
        <f t="shared" si="25"/>
        <v>0</v>
      </c>
      <c r="N145" s="2867">
        <f ca="1">IF(H145="Y",IFERROR(ROUNDUP(VLOOKUP(I145,$I$23:$J$55,2,0)*Coating!G85*Coating!J85/Coating!B85,0),0),0)</f>
        <v>0</v>
      </c>
      <c r="O145" s="2868" t="s">
        <v>105</v>
      </c>
      <c r="P145" s="1461"/>
      <c r="Q145" s="1474"/>
      <c r="R145" s="1464">
        <f t="shared" ca="1" si="21"/>
        <v>0</v>
      </c>
      <c r="S145" s="1461" t="s">
        <v>93</v>
      </c>
      <c r="T145" s="1464">
        <f t="shared" ca="1" si="22"/>
        <v>0</v>
      </c>
      <c r="Y145" s="137" t="str">
        <f t="shared" si="26"/>
        <v>N</v>
      </c>
      <c r="AS145" s="137" t="str">
        <f t="shared" si="27"/>
        <v>Finishing</v>
      </c>
      <c r="AT145" s="413">
        <f t="shared" ca="1" si="28"/>
        <v>0</v>
      </c>
      <c r="AU145" s="136">
        <f ca="1">COUNTIFS(AT$7:$AT145,1)</f>
        <v>4</v>
      </c>
    </row>
    <row r="146" spans="4:47" ht="15" hidden="1" outlineLevel="1">
      <c r="D146" s="1432"/>
      <c r="E146" s="394"/>
      <c r="F146" s="394"/>
      <c r="H146" s="1471" t="s">
        <v>103</v>
      </c>
      <c r="I146" s="2865" t="str">
        <f>I31</f>
        <v>N</v>
      </c>
      <c r="J146" s="4430" t="str">
        <f ca="1">Coating!D88</f>
        <v>None</v>
      </c>
      <c r="K146" s="4430"/>
      <c r="L146" s="1465">
        <f t="shared" si="24"/>
        <v>0</v>
      </c>
      <c r="M146" s="1465">
        <f t="shared" si="25"/>
        <v>0</v>
      </c>
      <c r="N146" s="1473">
        <f ca="1">IF(H146="Y",(INT(VLOOKUP(J146,$B$58:$E$191,4,0)*L146*M146*(VLOOKUP(I146,$I$23:$J$55,2,0)/10000))+1),0)</f>
        <v>1</v>
      </c>
      <c r="O146" s="1474" t="s">
        <v>105</v>
      </c>
      <c r="P146" s="1461"/>
      <c r="Q146" s="1474"/>
      <c r="R146" s="1464">
        <f t="shared" ca="1" si="21"/>
        <v>0</v>
      </c>
      <c r="S146" s="1461" t="s">
        <v>93</v>
      </c>
      <c r="T146" s="1464">
        <f t="shared" ca="1" si="22"/>
        <v>0</v>
      </c>
      <c r="Y146" s="137" t="str">
        <f t="shared" si="26"/>
        <v>N</v>
      </c>
      <c r="AS146" s="137" t="str">
        <f t="shared" si="27"/>
        <v>Finishing</v>
      </c>
      <c r="AT146" s="413">
        <f t="shared" ca="1" si="28"/>
        <v>0</v>
      </c>
      <c r="AU146" s="136">
        <f ca="1">COUNTIFS(AT$7:$AT146,1)</f>
        <v>4</v>
      </c>
    </row>
    <row r="147" spans="4:47" ht="15" hidden="1" outlineLevel="1">
      <c r="D147" s="1432"/>
      <c r="E147" s="394"/>
      <c r="F147" s="394"/>
      <c r="H147" s="1471" t="s">
        <v>103</v>
      </c>
      <c r="I147" s="1472" t="str">
        <f t="shared" si="23"/>
        <v>N</v>
      </c>
      <c r="J147" s="4430" t="str">
        <f ca="1">Coating!D89</f>
        <v>None</v>
      </c>
      <c r="K147" s="4430"/>
      <c r="L147" s="1465">
        <f t="shared" si="24"/>
        <v>0</v>
      </c>
      <c r="M147" s="1465">
        <f t="shared" si="25"/>
        <v>0</v>
      </c>
      <c r="N147" s="1473">
        <f ca="1">IF(H147="Y",(INT(VLOOKUP(J147,$B$58:$E$191,4,0)*L147*M147*(VLOOKUP(I147,$I$23:$J$55,2,0)/10000))+1),0)</f>
        <v>1</v>
      </c>
      <c r="O147" s="1474" t="s">
        <v>105</v>
      </c>
      <c r="P147" s="1461"/>
      <c r="Q147" s="1474"/>
      <c r="R147" s="1464">
        <f t="shared" ca="1" si="21"/>
        <v>0</v>
      </c>
      <c r="S147" s="1461" t="s">
        <v>93</v>
      </c>
      <c r="T147" s="1464">
        <f t="shared" ca="1" si="22"/>
        <v>0</v>
      </c>
      <c r="Y147" s="137" t="str">
        <f t="shared" si="26"/>
        <v>N</v>
      </c>
      <c r="AS147" s="137" t="str">
        <f t="shared" si="27"/>
        <v>Finishing</v>
      </c>
      <c r="AT147" s="413">
        <f t="shared" ca="1" si="28"/>
        <v>0</v>
      </c>
      <c r="AU147" s="136">
        <f ca="1">COUNTIFS(AT$7:$AT147,1)</f>
        <v>4</v>
      </c>
    </row>
    <row r="148" spans="4:47" ht="15" hidden="1" outlineLevel="1">
      <c r="D148" s="1432"/>
      <c r="E148" s="394"/>
      <c r="F148" s="394"/>
      <c r="H148" s="1471" t="s">
        <v>103</v>
      </c>
      <c r="I148" s="1472" t="str">
        <f t="shared" si="23"/>
        <v>N</v>
      </c>
      <c r="J148" s="4430" t="str">
        <f ca="1">Coating!D90</f>
        <v>None</v>
      </c>
      <c r="K148" s="4430"/>
      <c r="L148" s="1465">
        <f t="shared" si="24"/>
        <v>0</v>
      </c>
      <c r="M148" s="1465">
        <f t="shared" si="25"/>
        <v>0</v>
      </c>
      <c r="N148" s="1473">
        <f ca="1">IF(H148="Y",(INT(VLOOKUP(J148,$B$58:$E$191,4,0)*L148*M148*(VLOOKUP(I148,$I$23:$J$55,2,0)/10000))+1),0)</f>
        <v>1</v>
      </c>
      <c r="O148" s="1474" t="s">
        <v>105</v>
      </c>
      <c r="P148" s="1461"/>
      <c r="Q148" s="1474"/>
      <c r="R148" s="1464">
        <f t="shared" ca="1" si="21"/>
        <v>0</v>
      </c>
      <c r="S148" s="1461" t="s">
        <v>93</v>
      </c>
      <c r="T148" s="1464">
        <f t="shared" ca="1" si="22"/>
        <v>0</v>
      </c>
      <c r="Y148" s="137" t="str">
        <f t="shared" si="26"/>
        <v>N</v>
      </c>
      <c r="AS148" s="137" t="str">
        <f t="shared" si="27"/>
        <v>Finishing</v>
      </c>
      <c r="AT148" s="413">
        <f t="shared" ca="1" si="28"/>
        <v>0</v>
      </c>
      <c r="AU148" s="136">
        <f ca="1">COUNTIFS(AT$7:$AT148,1)</f>
        <v>4</v>
      </c>
    </row>
    <row r="149" spans="4:47" ht="15" hidden="1" outlineLevel="1">
      <c r="D149" s="1432"/>
      <c r="E149" s="394"/>
      <c r="F149" s="394"/>
      <c r="H149" s="1471" t="s">
        <v>103</v>
      </c>
      <c r="I149" s="1472" t="str">
        <f t="shared" si="23"/>
        <v>N</v>
      </c>
      <c r="J149" s="4430" t="str">
        <f ca="1">Coating!D91</f>
        <v>None</v>
      </c>
      <c r="K149" s="4430"/>
      <c r="L149" s="1465">
        <f t="shared" si="24"/>
        <v>0</v>
      </c>
      <c r="M149" s="1465">
        <f t="shared" si="25"/>
        <v>0</v>
      </c>
      <c r="N149" s="1473">
        <f ca="1">IF(H149="Y",(INT(VLOOKUP(J149,$B$58:$E$191,4,0)*L149*M149*(VLOOKUP(I149,$I$23:$J$55,2,0)/10000))+1),0)</f>
        <v>1</v>
      </c>
      <c r="O149" s="1474" t="s">
        <v>105</v>
      </c>
      <c r="P149" s="1461"/>
      <c r="Q149" s="1474"/>
      <c r="R149" s="1464">
        <f t="shared" ca="1" si="21"/>
        <v>0</v>
      </c>
      <c r="S149" s="1461" t="s">
        <v>93</v>
      </c>
      <c r="T149" s="1464">
        <f t="shared" ca="1" si="22"/>
        <v>0</v>
      </c>
      <c r="Y149" s="137" t="str">
        <f t="shared" si="26"/>
        <v>N</v>
      </c>
      <c r="AS149" s="137" t="str">
        <f t="shared" si="27"/>
        <v>Finishing</v>
      </c>
      <c r="AT149" s="413">
        <f t="shared" ca="1" si="28"/>
        <v>0</v>
      </c>
      <c r="AU149" s="136">
        <f ca="1">COUNTIFS(AT$7:$AT149,1)</f>
        <v>4</v>
      </c>
    </row>
    <row r="150" spans="4:47" ht="15" hidden="1" outlineLevel="1">
      <c r="D150" s="1432"/>
      <c r="E150" s="394"/>
      <c r="F150" s="394"/>
      <c r="H150" s="1471" t="s">
        <v>103</v>
      </c>
      <c r="I150" s="1472" t="str">
        <f t="shared" si="23"/>
        <v>N</v>
      </c>
      <c r="J150" s="4430" t="str">
        <f ca="1">Coating!D92</f>
        <v>None</v>
      </c>
      <c r="K150" s="4430"/>
      <c r="L150" s="1465">
        <f t="shared" si="24"/>
        <v>0</v>
      </c>
      <c r="M150" s="1465">
        <f t="shared" si="25"/>
        <v>0</v>
      </c>
      <c r="N150" s="1473">
        <f ca="1">IF(H150="Y",(INT(VLOOKUP(J150,$B$58:$E$191,4,0)*L150*M150*(VLOOKUP(I150,$I$23:$J$55,2,0)/10000))+1),0)</f>
        <v>1</v>
      </c>
      <c r="O150" s="1474" t="s">
        <v>105</v>
      </c>
      <c r="P150" s="1461"/>
      <c r="Q150" s="1474"/>
      <c r="R150" s="1464">
        <f t="shared" ca="1" si="21"/>
        <v>0</v>
      </c>
      <c r="S150" s="1461" t="s">
        <v>93</v>
      </c>
      <c r="T150" s="1464">
        <f t="shared" ca="1" si="22"/>
        <v>0</v>
      </c>
      <c r="Y150" s="137" t="str">
        <f t="shared" si="26"/>
        <v>N</v>
      </c>
      <c r="AS150" s="137" t="str">
        <f t="shared" si="27"/>
        <v>Finishing</v>
      </c>
      <c r="AT150" s="413">
        <f t="shared" ca="1" si="28"/>
        <v>0</v>
      </c>
      <c r="AU150" s="136">
        <f ca="1">COUNTIFS(AT$7:$AT150,1)</f>
        <v>4</v>
      </c>
    </row>
    <row r="151" spans="4:47" ht="15" hidden="1" outlineLevel="1">
      <c r="D151" s="1432"/>
      <c r="E151" s="394"/>
      <c r="F151" s="394"/>
      <c r="H151" s="1471" t="s">
        <v>103</v>
      </c>
      <c r="I151" s="1472" t="str">
        <f t="shared" si="23"/>
        <v>N</v>
      </c>
      <c r="J151" s="4431" t="str">
        <f ca="1">Coating!D93</f>
        <v>None</v>
      </c>
      <c r="K151" s="4431"/>
      <c r="L151" s="2866">
        <f t="shared" si="24"/>
        <v>0</v>
      </c>
      <c r="M151" s="2866">
        <f t="shared" si="25"/>
        <v>0</v>
      </c>
      <c r="N151" s="2867">
        <f ca="1">IF(H151="Y",IFERROR(ROUNDUP(VLOOKUP(I151,$I$23:$J$55,2,0)*Coating!G93*Coating!J93/Coating!B93,0),0),0)</f>
        <v>0</v>
      </c>
      <c r="O151" s="2868" t="s">
        <v>105</v>
      </c>
      <c r="P151" s="1461"/>
      <c r="Q151" s="1474"/>
      <c r="R151" s="1464">
        <f t="shared" ca="1" si="21"/>
        <v>0</v>
      </c>
      <c r="S151" s="1461" t="s">
        <v>93</v>
      </c>
      <c r="T151" s="1464">
        <f t="shared" ca="1" si="22"/>
        <v>0</v>
      </c>
      <c r="Y151" s="137" t="str">
        <f t="shared" si="26"/>
        <v>N</v>
      </c>
      <c r="AS151" s="137" t="str">
        <f t="shared" si="27"/>
        <v>Finishing</v>
      </c>
      <c r="AT151" s="413">
        <f t="shared" ca="1" si="28"/>
        <v>0</v>
      </c>
      <c r="AU151" s="136">
        <f ca="1">COUNTIFS(AT$7:$AT151,1)</f>
        <v>4</v>
      </c>
    </row>
    <row r="152" spans="4:47" ht="15" hidden="1" outlineLevel="1">
      <c r="D152" s="1432"/>
      <c r="E152" s="394"/>
      <c r="F152" s="394"/>
      <c r="H152" s="1471" t="s">
        <v>103</v>
      </c>
      <c r="I152" s="1472" t="str">
        <f t="shared" si="23"/>
        <v>N</v>
      </c>
      <c r="J152" s="4431" t="str">
        <f ca="1">Coating!D95</f>
        <v>None</v>
      </c>
      <c r="K152" s="4431"/>
      <c r="L152" s="2866">
        <f t="shared" si="24"/>
        <v>0</v>
      </c>
      <c r="M152" s="2866">
        <f t="shared" si="25"/>
        <v>0</v>
      </c>
      <c r="N152" s="2867">
        <f ca="1">IF(H152="Y",IFERROR(ROUNDUP(VLOOKUP(I152,$I$23:$J$55,2,0)*Coating!G95*Coating!J95/Coating!B95,0),0),0)</f>
        <v>0</v>
      </c>
      <c r="O152" s="2868" t="s">
        <v>105</v>
      </c>
      <c r="P152" s="1461"/>
      <c r="Q152" s="1474"/>
      <c r="R152" s="1464">
        <f t="shared" ca="1" si="21"/>
        <v>0</v>
      </c>
      <c r="S152" s="1461" t="s">
        <v>93</v>
      </c>
      <c r="T152" s="1464">
        <f t="shared" ca="1" si="22"/>
        <v>0</v>
      </c>
      <c r="Y152" s="137" t="str">
        <f t="shared" si="26"/>
        <v>N</v>
      </c>
      <c r="AS152" s="137" t="str">
        <f t="shared" si="27"/>
        <v>Finishing</v>
      </c>
      <c r="AT152" s="413">
        <f t="shared" ca="1" si="28"/>
        <v>0</v>
      </c>
      <c r="AU152" s="136">
        <f ca="1">COUNTIFS(AT$7:$AT152,1)</f>
        <v>4</v>
      </c>
    </row>
    <row r="153" spans="4:47" ht="15" hidden="1" outlineLevel="1">
      <c r="D153" s="1432"/>
      <c r="E153" s="394"/>
      <c r="F153" s="394"/>
      <c r="H153" s="1471" t="s">
        <v>103</v>
      </c>
      <c r="I153" s="2865" t="str">
        <f>I37</f>
        <v>1st</v>
      </c>
      <c r="J153" s="4430" t="str">
        <f ca="1">Coating!D98</f>
        <v>None</v>
      </c>
      <c r="K153" s="4430"/>
      <c r="L153" s="1465">
        <f t="shared" si="24"/>
        <v>0</v>
      </c>
      <c r="M153" s="1465">
        <f t="shared" si="25"/>
        <v>0</v>
      </c>
      <c r="N153" s="1473">
        <f ca="1">IF(H153="Y",(INT(VLOOKUP(J153,$B$58:$E$191,4,0)*L153*M153*(VLOOKUP(I153,$I$23:$J$55,2,0)/10000))+1),0)</f>
        <v>1</v>
      </c>
      <c r="O153" s="1474" t="s">
        <v>105</v>
      </c>
      <c r="P153" s="1461"/>
      <c r="Q153" s="1474"/>
      <c r="R153" s="1464">
        <f t="shared" ca="1" si="21"/>
        <v>0</v>
      </c>
      <c r="S153" s="1461" t="s">
        <v>93</v>
      </c>
      <c r="T153" s="1464">
        <f t="shared" ca="1" si="22"/>
        <v>0</v>
      </c>
      <c r="Y153" s="137" t="str">
        <f t="shared" si="26"/>
        <v>N</v>
      </c>
      <c r="AS153" s="137" t="str">
        <f t="shared" si="27"/>
        <v>Finishing</v>
      </c>
      <c r="AT153" s="413">
        <f t="shared" ca="1" si="28"/>
        <v>0</v>
      </c>
      <c r="AU153" s="136">
        <f ca="1">COUNTIFS(AT$7:$AT153,1)</f>
        <v>4</v>
      </c>
    </row>
    <row r="154" spans="4:47" ht="15" hidden="1" outlineLevel="1">
      <c r="D154" s="1432"/>
      <c r="E154" s="394"/>
      <c r="F154" s="394"/>
      <c r="H154" s="1471" t="s">
        <v>103</v>
      </c>
      <c r="I154" s="1472" t="str">
        <f t="shared" si="23"/>
        <v>1st</v>
      </c>
      <c r="J154" s="4430" t="str">
        <f ca="1">Coating!D99</f>
        <v>None</v>
      </c>
      <c r="K154" s="4430"/>
      <c r="L154" s="1465">
        <f t="shared" ref="L154:L159" si="29">VLOOKUP(I154,$I$23:$Q$55,8,0)</f>
        <v>0</v>
      </c>
      <c r="M154" s="1465">
        <f t="shared" ref="M154:M159" si="30">VLOOKUP(I154,$I$23:$Q$55,9,0)</f>
        <v>0</v>
      </c>
      <c r="N154" s="1473">
        <f ca="1">IF(H154="Y",(INT(VLOOKUP(J154,$B$58:$E$191,4,0)*L154*M154*(VLOOKUP(I154,$I$23:$J$55,2,0)/10000))+1),0)</f>
        <v>1</v>
      </c>
      <c r="O154" s="1474" t="s">
        <v>105</v>
      </c>
      <c r="P154" s="1461"/>
      <c r="Q154" s="1474"/>
      <c r="R154" s="1464">
        <f t="shared" ca="1" si="21"/>
        <v>0</v>
      </c>
      <c r="S154" s="1461" t="s">
        <v>93</v>
      </c>
      <c r="T154" s="1464">
        <f t="shared" ca="1" si="22"/>
        <v>0</v>
      </c>
      <c r="Y154" s="137" t="str">
        <f t="shared" ref="Y154:Y159" si="31">VLOOKUP($I154,$I$23:$Y$55,17,0)</f>
        <v>N</v>
      </c>
      <c r="AS154" s="137" t="str">
        <f t="shared" si="27"/>
        <v>Finishing</v>
      </c>
      <c r="AT154" s="413">
        <f t="shared" ca="1" si="28"/>
        <v>0</v>
      </c>
      <c r="AU154" s="136">
        <f ca="1">COUNTIFS(AT$7:$AT154,1)</f>
        <v>4</v>
      </c>
    </row>
    <row r="155" spans="4:47" ht="15" hidden="1" outlineLevel="1">
      <c r="D155" s="1432"/>
      <c r="E155" s="394"/>
      <c r="F155" s="394"/>
      <c r="H155" s="1471" t="s">
        <v>103</v>
      </c>
      <c r="I155" s="1472" t="str">
        <f t="shared" si="23"/>
        <v>1st</v>
      </c>
      <c r="J155" s="4430" t="str">
        <f ca="1">Coating!D100</f>
        <v>None</v>
      </c>
      <c r="K155" s="4430"/>
      <c r="L155" s="1465">
        <f t="shared" si="29"/>
        <v>0</v>
      </c>
      <c r="M155" s="1465">
        <f t="shared" si="30"/>
        <v>0</v>
      </c>
      <c r="N155" s="1473">
        <f ca="1">IF(H155="Y",(INT(VLOOKUP(J155,$B$58:$E$191,4,0)*L155*M155*(VLOOKUP(I155,$I$23:$J$55,2,0)/10000))+1),0)</f>
        <v>1</v>
      </c>
      <c r="O155" s="1474" t="s">
        <v>105</v>
      </c>
      <c r="P155" s="1461"/>
      <c r="Q155" s="1474"/>
      <c r="R155" s="1464">
        <f t="shared" ca="1" si="21"/>
        <v>0</v>
      </c>
      <c r="S155" s="1461" t="s">
        <v>93</v>
      </c>
      <c r="T155" s="1464">
        <f t="shared" ca="1" si="22"/>
        <v>0</v>
      </c>
      <c r="Y155" s="137" t="str">
        <f t="shared" si="31"/>
        <v>N</v>
      </c>
      <c r="AS155" s="137" t="str">
        <f t="shared" si="27"/>
        <v>Finishing</v>
      </c>
      <c r="AT155" s="413">
        <f t="shared" ca="1" si="28"/>
        <v>0</v>
      </c>
      <c r="AU155" s="136">
        <f ca="1">COUNTIFS(AT$7:$AT155,1)</f>
        <v>4</v>
      </c>
    </row>
    <row r="156" spans="4:47" ht="15" hidden="1" outlineLevel="1">
      <c r="D156" s="1432"/>
      <c r="E156" s="394"/>
      <c r="F156" s="394"/>
      <c r="H156" s="1471" t="s">
        <v>103</v>
      </c>
      <c r="I156" s="1472" t="str">
        <f t="shared" si="23"/>
        <v>1st</v>
      </c>
      <c r="J156" s="4430" t="str">
        <f ca="1">Coating!D101</f>
        <v>None</v>
      </c>
      <c r="K156" s="4430"/>
      <c r="L156" s="1465">
        <f t="shared" si="29"/>
        <v>0</v>
      </c>
      <c r="M156" s="1465">
        <f t="shared" si="30"/>
        <v>0</v>
      </c>
      <c r="N156" s="1473">
        <f ca="1">IF(H156="Y",(INT(VLOOKUP(J156,$B$58:$E$191,4,0)*L156*M156*(VLOOKUP(I156,$I$23:$J$55,2,0)/10000))+1),0)</f>
        <v>1</v>
      </c>
      <c r="O156" s="1474" t="s">
        <v>105</v>
      </c>
      <c r="P156" s="1461"/>
      <c r="Q156" s="1474"/>
      <c r="R156" s="1464">
        <f t="shared" ca="1" si="21"/>
        <v>0</v>
      </c>
      <c r="S156" s="1461" t="s">
        <v>93</v>
      </c>
      <c r="T156" s="1464">
        <f t="shared" ca="1" si="22"/>
        <v>0</v>
      </c>
      <c r="Y156" s="137" t="str">
        <f t="shared" si="31"/>
        <v>N</v>
      </c>
      <c r="AS156" s="137" t="str">
        <f t="shared" si="27"/>
        <v>Finishing</v>
      </c>
      <c r="AT156" s="413">
        <f t="shared" ca="1" si="28"/>
        <v>0</v>
      </c>
      <c r="AU156" s="136">
        <f ca="1">COUNTIFS(AT$7:$AT156,1)</f>
        <v>4</v>
      </c>
    </row>
    <row r="157" spans="4:47" ht="15" hidden="1" outlineLevel="1">
      <c r="D157" s="1432"/>
      <c r="E157" s="394"/>
      <c r="F157" s="394"/>
      <c r="H157" s="1471" t="s">
        <v>103</v>
      </c>
      <c r="I157" s="1472" t="str">
        <f t="shared" si="23"/>
        <v>1st</v>
      </c>
      <c r="J157" s="4430" t="str">
        <f ca="1">Coating!D102</f>
        <v>None</v>
      </c>
      <c r="K157" s="4430"/>
      <c r="L157" s="1465">
        <f t="shared" si="29"/>
        <v>0</v>
      </c>
      <c r="M157" s="1465">
        <f t="shared" si="30"/>
        <v>0</v>
      </c>
      <c r="N157" s="1473">
        <f ca="1">IF(H157="Y",(INT(VLOOKUP(J157,$B$58:$E$191,4,0)*L157*M157*(VLOOKUP(I157,$I$23:$J$55,2,0)/10000))+1),0)</f>
        <v>1</v>
      </c>
      <c r="O157" s="1474" t="s">
        <v>105</v>
      </c>
      <c r="P157" s="1461"/>
      <c r="Q157" s="1474"/>
      <c r="R157" s="1464">
        <f t="shared" ca="1" si="21"/>
        <v>0</v>
      </c>
      <c r="S157" s="1461" t="s">
        <v>93</v>
      </c>
      <c r="T157" s="1464">
        <f t="shared" ca="1" si="22"/>
        <v>0</v>
      </c>
      <c r="Y157" s="137" t="str">
        <f t="shared" si="31"/>
        <v>N</v>
      </c>
      <c r="AS157" s="137" t="str">
        <f t="shared" si="27"/>
        <v>Finishing</v>
      </c>
      <c r="AT157" s="413">
        <f t="shared" ca="1" si="28"/>
        <v>0</v>
      </c>
      <c r="AU157" s="136">
        <f ca="1">COUNTIFS(AT$7:$AT157,1)</f>
        <v>4</v>
      </c>
    </row>
    <row r="158" spans="4:47" ht="15" hidden="1" outlineLevel="1">
      <c r="D158" s="1432"/>
      <c r="E158" s="394"/>
      <c r="F158" s="394"/>
      <c r="H158" s="1471" t="s">
        <v>103</v>
      </c>
      <c r="I158" s="1472" t="str">
        <f t="shared" si="23"/>
        <v>1st</v>
      </c>
      <c r="J158" s="4431" t="str">
        <f ca="1">Coating!D103</f>
        <v>None</v>
      </c>
      <c r="K158" s="4431"/>
      <c r="L158" s="2866">
        <f t="shared" si="29"/>
        <v>0</v>
      </c>
      <c r="M158" s="2866">
        <f t="shared" si="30"/>
        <v>0</v>
      </c>
      <c r="N158" s="2867">
        <f ca="1">IF(H158="Y",IFERROR(ROUNDUP(VLOOKUP(I158,$I$23:$J$55,2,0)*Coating!G103*Coating!J103/Coating!B103,0),0),0)</f>
        <v>0</v>
      </c>
      <c r="O158" s="2868" t="s">
        <v>105</v>
      </c>
      <c r="P158" s="1461"/>
      <c r="Q158" s="1474"/>
      <c r="R158" s="1464">
        <f t="shared" ca="1" si="21"/>
        <v>0</v>
      </c>
      <c r="S158" s="1461" t="s">
        <v>93</v>
      </c>
      <c r="T158" s="1464">
        <f t="shared" ca="1" si="22"/>
        <v>0</v>
      </c>
      <c r="Y158" s="137" t="str">
        <f t="shared" si="31"/>
        <v>N</v>
      </c>
      <c r="AS158" s="137" t="str">
        <f t="shared" si="27"/>
        <v>Finishing</v>
      </c>
      <c r="AT158" s="413">
        <f t="shared" ca="1" si="28"/>
        <v>0</v>
      </c>
      <c r="AU158" s="136">
        <f ca="1">COUNTIFS(AT$7:$AT158,1)</f>
        <v>4</v>
      </c>
    </row>
    <row r="159" spans="4:47" ht="15" hidden="1" outlineLevel="1">
      <c r="H159" s="1471" t="s">
        <v>103</v>
      </c>
      <c r="I159" s="1472" t="str">
        <f t="shared" si="23"/>
        <v>1st</v>
      </c>
      <c r="J159" s="4431" t="str">
        <f ca="1">Coating!D105</f>
        <v>None</v>
      </c>
      <c r="K159" s="4431"/>
      <c r="L159" s="2866">
        <f t="shared" si="29"/>
        <v>0</v>
      </c>
      <c r="M159" s="2866">
        <f t="shared" si="30"/>
        <v>0</v>
      </c>
      <c r="N159" s="2867">
        <f ca="1">IF(H159="Y",IFERROR(ROUNDUP(VLOOKUP(I159,$I$23:$J$55,2,0)*Coating!G105*Coating!J105/Coating!B105,0),0),0)</f>
        <v>0</v>
      </c>
      <c r="O159" s="2868" t="s">
        <v>105</v>
      </c>
      <c r="P159" s="1461"/>
      <c r="Q159" s="1474"/>
      <c r="R159" s="1464">
        <f t="shared" ca="1" si="21"/>
        <v>0</v>
      </c>
      <c r="S159" s="1461" t="s">
        <v>93</v>
      </c>
      <c r="T159" s="1464">
        <f t="shared" ca="1" si="22"/>
        <v>0</v>
      </c>
      <c r="Y159" s="137" t="str">
        <f t="shared" si="31"/>
        <v>N</v>
      </c>
      <c r="AS159" s="137" t="str">
        <f t="shared" si="27"/>
        <v>Finishing</v>
      </c>
      <c r="AT159" s="413">
        <f t="shared" ca="1" si="28"/>
        <v>0</v>
      </c>
      <c r="AU159" s="136">
        <f ca="1">COUNTIFS(AT$7:$AT159,1)</f>
        <v>4</v>
      </c>
    </row>
    <row r="160" spans="4:47" ht="15" collapsed="1">
      <c r="I160" s="1445"/>
      <c r="J160" s="1446"/>
      <c r="K160" s="1447"/>
      <c r="L160" s="1448"/>
      <c r="M160" s="991"/>
      <c r="AS160" s="137" t="str">
        <f t="shared" si="27"/>
        <v>Finishing</v>
      </c>
      <c r="AT160" s="413" t="str">
        <f t="shared" si="28"/>
        <v/>
      </c>
      <c r="AU160" s="136">
        <f ca="1">COUNTIFS(AT$7:$AT160,1)</f>
        <v>4</v>
      </c>
    </row>
    <row r="161" spans="2:47" ht="15">
      <c r="G161" s="248" t="s">
        <v>1292</v>
      </c>
      <c r="H161" s="1471" t="s">
        <v>103</v>
      </c>
      <c r="I161" s="1481">
        <f ca="1">IF(H161="Y",SUM(T164:T168)*IF($K$161=$L$2,1,0),0)</f>
        <v>498002.25780756574</v>
      </c>
      <c r="J161" s="1261" t="s">
        <v>92</v>
      </c>
      <c r="K161" s="248" t="s">
        <v>33</v>
      </c>
      <c r="N161" s="1261"/>
      <c r="S161" s="1449"/>
      <c r="T161" s="1449"/>
      <c r="U161" s="1449"/>
      <c r="AS161" s="137" t="str">
        <f t="shared" si="27"/>
        <v>Labour Cost</v>
      </c>
      <c r="AT161" s="413" t="str">
        <f t="shared" si="28"/>
        <v/>
      </c>
      <c r="AU161" s="136">
        <f ca="1">COUNTIFS(AT$7:$AT161,1)</f>
        <v>4</v>
      </c>
    </row>
    <row r="162" spans="2:47" ht="15">
      <c r="H162" s="394"/>
      <c r="I162" s="394"/>
      <c r="J162" s="1434" t="s">
        <v>1293</v>
      </c>
      <c r="K162" s="1434" t="s">
        <v>21</v>
      </c>
      <c r="L162" s="4438" t="s">
        <v>1294</v>
      </c>
      <c r="M162" s="4441" t="s">
        <v>1295</v>
      </c>
      <c r="N162" s="4439" t="s">
        <v>239</v>
      </c>
      <c r="O162" s="4439"/>
      <c r="Q162" s="137" t="s">
        <v>240</v>
      </c>
      <c r="S162" s="1449"/>
      <c r="T162" s="4438" t="s">
        <v>85</v>
      </c>
      <c r="U162" s="1449"/>
      <c r="AS162" s="137" t="str">
        <f t="shared" si="27"/>
        <v>Labour Cost</v>
      </c>
      <c r="AT162" s="413" t="str">
        <f t="shared" si="28"/>
        <v/>
      </c>
      <c r="AU162" s="136">
        <f ca="1">COUNTIFS(AT$7:$AT162,1)</f>
        <v>4</v>
      </c>
    </row>
    <row r="163" spans="2:47" ht="15">
      <c r="H163" s="394"/>
      <c r="I163" s="394"/>
      <c r="J163" s="1434" t="s">
        <v>1296</v>
      </c>
      <c r="K163" s="1434" t="s">
        <v>1291</v>
      </c>
      <c r="L163" s="4438"/>
      <c r="M163" s="4441"/>
      <c r="N163" s="1434" t="s">
        <v>241</v>
      </c>
      <c r="O163" s="1434" t="s">
        <v>169</v>
      </c>
      <c r="Q163" s="1434" t="s">
        <v>168</v>
      </c>
      <c r="R163" s="1434" t="s">
        <v>169</v>
      </c>
      <c r="S163" s="1449"/>
      <c r="T163" s="4438"/>
      <c r="U163" s="1449"/>
      <c r="AS163" s="137" t="str">
        <f t="shared" si="27"/>
        <v>Labour Cost</v>
      </c>
      <c r="AT163" s="413" t="str">
        <f t="shared" si="28"/>
        <v/>
      </c>
      <c r="AU163" s="136">
        <f ca="1">COUNTIFS(AT$7:$AT163,1)</f>
        <v>4</v>
      </c>
    </row>
    <row r="164" spans="2:47" ht="15">
      <c r="H164" s="394"/>
      <c r="I164" s="1463" t="str">
        <f>input!F412</f>
        <v>Box</v>
      </c>
      <c r="J164" s="1475" t="str">
        <f>input!C412</f>
        <v>Komori_L240</v>
      </c>
      <c r="K164" s="1476">
        <f ca="1">input!H412</f>
        <v>1</v>
      </c>
      <c r="L164" s="1462" t="str">
        <f>'Fix Cost'!$N$8</f>
        <v>Regular</v>
      </c>
      <c r="M164" s="1462">
        <f ca="1">IF(K164&gt;0,IF(K164&gt;2,3,2)+VLOOKUP(L164,$B$206:$C$208,2,0),0)</f>
        <v>2</v>
      </c>
      <c r="N164" s="1477">
        <f>VLOOKUP(J164,$B$209:$F$228,4,0)</f>
        <v>0</v>
      </c>
      <c r="O164" s="1462">
        <f>VLOOKUP(J164,$B$209:$C$228,2,0)</f>
        <v>3</v>
      </c>
      <c r="P164" s="1461"/>
      <c r="Q164" s="1474">
        <f>VLOOKUP(J164,$B$209:$F$228,5,0)</f>
        <v>0</v>
      </c>
      <c r="R164" s="1474">
        <f>VLOOKUP(J164,$B$209:$D$228,3,0)</f>
        <v>83000.376301260956</v>
      </c>
      <c r="S164" s="1478"/>
      <c r="T164" s="1478">
        <f ca="1">M164*N164*Q164+M164*O164*R164</f>
        <v>498002.25780756574</v>
      </c>
      <c r="U164" s="1449"/>
      <c r="AS164" s="137" t="str">
        <f t="shared" si="27"/>
        <v>Labour Cost</v>
      </c>
      <c r="AT164" s="413">
        <f t="shared" ca="1" si="28"/>
        <v>1</v>
      </c>
      <c r="AU164" s="136">
        <f ca="1">COUNTIFS(AT$7:$AT164,1)</f>
        <v>5</v>
      </c>
    </row>
    <row r="165" spans="2:47" ht="15" hidden="1" outlineLevel="1">
      <c r="H165" s="394"/>
      <c r="I165" s="1463" t="str">
        <f>input!F413</f>
        <v>N</v>
      </c>
      <c r="J165" s="1475" t="str">
        <f ca="1">input!C413</f>
        <v>KBA</v>
      </c>
      <c r="K165" s="1476">
        <f ca="1">input!H413</f>
        <v>0</v>
      </c>
      <c r="L165" s="1462" t="str">
        <f>'Fix Cost'!$N$8</f>
        <v>Regular</v>
      </c>
      <c r="M165" s="1462">
        <f ca="1">IF(K165&gt;0,IF(K165&gt;2,3,2)+VLOOKUP(L165,$B$206:$C$208,2,0),0)</f>
        <v>0</v>
      </c>
      <c r="N165" s="1477">
        <f ca="1">VLOOKUP(J165,$B$209:$F$228,4,0)</f>
        <v>1</v>
      </c>
      <c r="O165" s="1462">
        <f ca="1">VLOOKUP(J165,$B$209:$C$228,2,0)</f>
        <v>5</v>
      </c>
      <c r="P165" s="1461"/>
      <c r="Q165" s="1474">
        <f ca="1">VLOOKUP(J165,$B$209:$F$228,5,0)</f>
        <v>352574.32240985788</v>
      </c>
      <c r="R165" s="1474">
        <f ca="1">VLOOKUP(J165,$B$209:$D$228,3,0)</f>
        <v>83000.376301260956</v>
      </c>
      <c r="S165" s="1478"/>
      <c r="T165" s="1478">
        <f ca="1">M165*N165*Q165+M165*O165*R165</f>
        <v>0</v>
      </c>
      <c r="U165" s="1449"/>
      <c r="AS165" s="137" t="str">
        <f t="shared" si="27"/>
        <v>Labour Cost</v>
      </c>
      <c r="AT165" s="413">
        <f t="shared" ca="1" si="28"/>
        <v>0</v>
      </c>
      <c r="AU165" s="136">
        <f ca="1">COUNTIFS(AT$7:$AT165,1)</f>
        <v>5</v>
      </c>
    </row>
    <row r="166" spans="2:47" ht="15" hidden="1" outlineLevel="1">
      <c r="D166" s="1432"/>
      <c r="E166" s="394"/>
      <c r="F166" s="394"/>
      <c r="G166" s="394"/>
      <c r="H166" s="394"/>
      <c r="I166" s="1463" t="str">
        <f>input!F414</f>
        <v>N</v>
      </c>
      <c r="J166" s="1475" t="str">
        <f ca="1">input!C414</f>
        <v>KBA</v>
      </c>
      <c r="K166" s="1476">
        <f ca="1">input!H414</f>
        <v>0</v>
      </c>
      <c r="L166" s="1462" t="str">
        <f>'Fix Cost'!$N$8</f>
        <v>Regular</v>
      </c>
      <c r="M166" s="1462">
        <f ca="1">IF(K166&gt;0,IF(K166&gt;2,3,2)+VLOOKUP(L166,$B$206:$C$208,2,0),0)</f>
        <v>0</v>
      </c>
      <c r="N166" s="1477">
        <f ca="1">VLOOKUP(J166,$B$209:$F$228,4,0)</f>
        <v>1</v>
      </c>
      <c r="O166" s="1462">
        <f ca="1">VLOOKUP(J166,$B$209:$C$228,2,0)</f>
        <v>5</v>
      </c>
      <c r="P166" s="1461"/>
      <c r="Q166" s="1474">
        <f ca="1">VLOOKUP(J166,$B$209:$F$228,5,0)</f>
        <v>352574.32240985788</v>
      </c>
      <c r="R166" s="1474">
        <f ca="1">VLOOKUP(J166,$B$209:$D$228,3,0)</f>
        <v>83000.376301260956</v>
      </c>
      <c r="S166" s="1478"/>
      <c r="T166" s="1478">
        <f ca="1">M166*N166*Q166+M166*O166*R166</f>
        <v>0</v>
      </c>
      <c r="U166" s="1449"/>
      <c r="AS166" s="137" t="str">
        <f t="shared" si="27"/>
        <v>Labour Cost</v>
      </c>
      <c r="AT166" s="413">
        <f t="shared" ca="1" si="28"/>
        <v>0</v>
      </c>
      <c r="AU166" s="136">
        <f ca="1">COUNTIFS(AT$7:$AT166,1)</f>
        <v>5</v>
      </c>
    </row>
    <row r="167" spans="2:47" ht="15" hidden="1" outlineLevel="1">
      <c r="D167" s="1432"/>
      <c r="E167" s="394"/>
      <c r="F167" s="394"/>
      <c r="G167" s="394"/>
      <c r="H167" s="394"/>
      <c r="I167" s="1463" t="str">
        <f>input!F415</f>
        <v>N</v>
      </c>
      <c r="J167" s="1475" t="str">
        <f ca="1">input!C415</f>
        <v>KBA</v>
      </c>
      <c r="K167" s="1476">
        <f ca="1">input!H415</f>
        <v>0</v>
      </c>
      <c r="L167" s="1462" t="str">
        <f>'Fix Cost'!$N$8</f>
        <v>Regular</v>
      </c>
      <c r="M167" s="1462">
        <f ca="1">IF(K167&gt;0,IF(K167&gt;2,3,2)+VLOOKUP(L167,$B$206:$C$208,2,0),0)</f>
        <v>0</v>
      </c>
      <c r="N167" s="1477">
        <f ca="1">VLOOKUP(J167,$B$209:$F$228,4,0)</f>
        <v>1</v>
      </c>
      <c r="O167" s="1462">
        <f ca="1">VLOOKUP(J167,$B$209:$C$228,2,0)</f>
        <v>5</v>
      </c>
      <c r="P167" s="1461"/>
      <c r="Q167" s="1474">
        <f ca="1">VLOOKUP(J167,$B$209:$F$228,5,0)</f>
        <v>352574.32240985788</v>
      </c>
      <c r="R167" s="1474">
        <f ca="1">VLOOKUP(J167,$B$209:$D$228,3,0)</f>
        <v>83000.376301260956</v>
      </c>
      <c r="S167" s="1478"/>
      <c r="T167" s="1478">
        <f ca="1">M167*N167*Q167+M167*O167*R167</f>
        <v>0</v>
      </c>
      <c r="AS167" s="137" t="str">
        <f t="shared" si="27"/>
        <v>Labour Cost</v>
      </c>
      <c r="AT167" s="413">
        <f t="shared" ca="1" si="28"/>
        <v>0</v>
      </c>
      <c r="AU167" s="136">
        <f ca="1">COUNTIFS(AT$7:$AT167,1)</f>
        <v>5</v>
      </c>
    </row>
    <row r="168" spans="2:47" s="1451" customFormat="1" ht="15" hidden="1" outlineLevel="1">
      <c r="B168" s="137"/>
      <c r="C168" s="137"/>
      <c r="D168" s="1432"/>
      <c r="E168" s="394"/>
      <c r="F168" s="394"/>
      <c r="G168" s="394"/>
      <c r="H168" s="394"/>
      <c r="I168" s="1463" t="str">
        <f>input!F416</f>
        <v>N</v>
      </c>
      <c r="J168" s="1475" t="str">
        <f ca="1">input!C416</f>
        <v>KBA</v>
      </c>
      <c r="K168" s="1476">
        <f ca="1">input!H416</f>
        <v>0</v>
      </c>
      <c r="L168" s="1462" t="str">
        <f>'Fix Cost'!$N$8</f>
        <v>Regular</v>
      </c>
      <c r="M168" s="1462">
        <f ca="1">IF(K168&gt;0,IF(K168&gt;2,3,2)+VLOOKUP(L168,$B$206:$C$208,2,0),0)</f>
        <v>0</v>
      </c>
      <c r="N168" s="1477">
        <f ca="1">VLOOKUP(J168,$B$209:$F$228,4,0)</f>
        <v>1</v>
      </c>
      <c r="O168" s="1462">
        <f ca="1">VLOOKUP(J168,$B$209:$C$228,2,0)</f>
        <v>5</v>
      </c>
      <c r="P168" s="1479"/>
      <c r="Q168" s="1474">
        <f ca="1">VLOOKUP(J168,$B$209:$F$228,5,0)</f>
        <v>352574.32240985788</v>
      </c>
      <c r="R168" s="1474">
        <f ca="1">VLOOKUP(J168,$B$209:$D$228,3,0)</f>
        <v>83000.376301260956</v>
      </c>
      <c r="S168" s="1478"/>
      <c r="T168" s="1478">
        <f ca="1">M168*N168*Q168+M168*O168*R168</f>
        <v>0</v>
      </c>
      <c r="AS168" s="137" t="str">
        <f t="shared" si="27"/>
        <v>Labour Cost</v>
      </c>
      <c r="AT168" s="413">
        <f t="shared" ca="1" si="28"/>
        <v>0</v>
      </c>
      <c r="AU168" s="136">
        <f ca="1">COUNTIFS(AT$7:$AT168,1)</f>
        <v>5</v>
      </c>
    </row>
    <row r="169" spans="2:47" s="1451" customFormat="1" ht="15" hidden="1" outlineLevel="1">
      <c r="B169" s="137"/>
      <c r="C169" s="137"/>
      <c r="D169" s="1432"/>
      <c r="E169" s="394"/>
      <c r="F169" s="394"/>
      <c r="G169" s="394"/>
      <c r="H169" s="394"/>
      <c r="I169" s="1438"/>
      <c r="J169" s="2147"/>
      <c r="K169" s="2148"/>
      <c r="L169" s="1434"/>
      <c r="M169" s="1434"/>
      <c r="N169" s="2149"/>
      <c r="O169" s="1434"/>
      <c r="Q169" s="991"/>
      <c r="R169" s="991"/>
      <c r="S169" s="1449"/>
      <c r="T169" s="1449"/>
      <c r="AS169" s="137" t="str">
        <f t="shared" si="27"/>
        <v>Labour Cost</v>
      </c>
      <c r="AT169" s="413" t="str">
        <f t="shared" si="28"/>
        <v/>
      </c>
      <c r="AU169" s="136">
        <f ca="1">COUNTIFS(AT$7:$AT169,1)</f>
        <v>5</v>
      </c>
    </row>
    <row r="170" spans="2:47" s="1451" customFormat="1" ht="15" hidden="1" outlineLevel="1">
      <c r="B170" s="137"/>
      <c r="C170" s="137"/>
      <c r="D170" s="1432"/>
      <c r="E170" s="394"/>
      <c r="F170" s="394"/>
      <c r="G170" s="394"/>
      <c r="H170" s="1471" t="s">
        <v>106</v>
      </c>
      <c r="I170" s="1481">
        <f>IF(H170="Y",'Proof - Pro'!$Q$311*IF($K$170=$L$2,1,0),0)</f>
        <v>0</v>
      </c>
      <c r="J170" s="1261" t="s">
        <v>92</v>
      </c>
      <c r="K170" s="248" t="s">
        <v>1068</v>
      </c>
      <c r="L170" s="1434"/>
      <c r="M170" s="1434"/>
      <c r="N170" s="2149"/>
      <c r="O170" s="1434"/>
      <c r="Q170" s="991"/>
      <c r="R170" s="991"/>
      <c r="S170" s="1449"/>
      <c r="T170" s="1449"/>
      <c r="AS170" s="137" t="str">
        <f t="shared" si="27"/>
        <v>Labour Cost</v>
      </c>
      <c r="AT170" s="413" t="str">
        <f t="shared" si="28"/>
        <v/>
      </c>
      <c r="AU170" s="136">
        <f ca="1">COUNTIFS(AT$7:$AT170,1)</f>
        <v>5</v>
      </c>
    </row>
    <row r="171" spans="2:47" s="1451" customFormat="1" ht="15" hidden="1" outlineLevel="1">
      <c r="B171" s="137"/>
      <c r="C171" s="137"/>
      <c r="D171" s="1432"/>
      <c r="E171" s="394"/>
      <c r="F171" s="394"/>
      <c r="G171" s="394"/>
      <c r="H171" s="1440"/>
      <c r="I171" s="319" t="str">
        <f>Y171</f>
        <v>1st</v>
      </c>
      <c r="J171" s="1261"/>
      <c r="K171" s="248"/>
      <c r="L171" s="1434"/>
      <c r="M171" s="1434"/>
      <c r="N171" s="2149"/>
      <c r="O171" s="1434"/>
      <c r="Q171" s="991"/>
      <c r="R171" s="991"/>
      <c r="S171" s="1449"/>
      <c r="T171" s="1449">
        <f>IF($H$170="N",0,SUMIFS('Proof - Pro'!$Q$8:$Q$309,'Proof - Pro'!$T$8:$T$309,$Y171))</f>
        <v>0</v>
      </c>
      <c r="Y171" s="319" t="str">
        <f>'Sumary Crayola'!$Q$6</f>
        <v>1st</v>
      </c>
      <c r="AS171" s="137" t="str">
        <f t="shared" si="27"/>
        <v>Labour Cost</v>
      </c>
      <c r="AT171" s="413">
        <f t="shared" si="28"/>
        <v>0</v>
      </c>
      <c r="AU171" s="136">
        <f ca="1">COUNTIFS(AT$7:$AT171,1)</f>
        <v>5</v>
      </c>
    </row>
    <row r="172" spans="2:47" s="1451" customFormat="1" ht="15" hidden="1" outlineLevel="1">
      <c r="B172" s="137"/>
      <c r="C172" s="137"/>
      <c r="D172" s="1432"/>
      <c r="E172" s="394"/>
      <c r="F172" s="394"/>
      <c r="G172" s="394"/>
      <c r="H172" s="1440"/>
      <c r="I172" s="319">
        <f t="shared" ref="I172:I180" si="32">Y172</f>
        <v>0</v>
      </c>
      <c r="J172" s="1261"/>
      <c r="K172" s="248"/>
      <c r="L172" s="1434"/>
      <c r="M172" s="1434"/>
      <c r="N172" s="2149"/>
      <c r="O172" s="1434"/>
      <c r="Q172" s="991"/>
      <c r="R172" s="991"/>
      <c r="S172" s="1449"/>
      <c r="T172" s="1449">
        <f>IF($H$170="N",0,SUMIFS('Proof - Pro'!$Q$8:$Q$309,'Proof - Pro'!$T$8:$T$309,$Y172))</f>
        <v>0</v>
      </c>
      <c r="Y172" s="319">
        <f>'Sumary Crayola'!$S$6</f>
        <v>0</v>
      </c>
      <c r="AS172" s="137" t="str">
        <f t="shared" si="27"/>
        <v>Labour Cost</v>
      </c>
      <c r="AT172" s="413">
        <f t="shared" si="28"/>
        <v>0</v>
      </c>
      <c r="AU172" s="136">
        <f ca="1">COUNTIFS(AT$7:$AT172,1)</f>
        <v>5</v>
      </c>
    </row>
    <row r="173" spans="2:47" s="1451" customFormat="1" ht="15" hidden="1" outlineLevel="1">
      <c r="B173" s="137"/>
      <c r="C173" s="137"/>
      <c r="D173" s="1432"/>
      <c r="E173" s="394"/>
      <c r="F173" s="394"/>
      <c r="G173" s="394"/>
      <c r="H173" s="1440"/>
      <c r="I173" s="319">
        <f t="shared" si="32"/>
        <v>0</v>
      </c>
      <c r="J173" s="1261"/>
      <c r="K173" s="248"/>
      <c r="L173" s="1434"/>
      <c r="M173" s="1434"/>
      <c r="N173" s="2149"/>
      <c r="O173" s="1434"/>
      <c r="Q173" s="991"/>
      <c r="R173" s="991"/>
      <c r="S173" s="1449"/>
      <c r="T173" s="1449">
        <f>IF($H$170="N",0,SUMIFS('Proof - Pro'!$Q$8:$Q$309,'Proof - Pro'!$T$8:$T$309,$Y173))</f>
        <v>0</v>
      </c>
      <c r="Y173" s="319">
        <f>'Sumary Crayola'!$U$6</f>
        <v>0</v>
      </c>
      <c r="AS173" s="137" t="str">
        <f t="shared" si="27"/>
        <v>Labour Cost</v>
      </c>
      <c r="AT173" s="413">
        <f t="shared" si="28"/>
        <v>0</v>
      </c>
      <c r="AU173" s="136">
        <f ca="1">COUNTIFS(AT$7:$AT173,1)</f>
        <v>5</v>
      </c>
    </row>
    <row r="174" spans="2:47" s="1451" customFormat="1" ht="15" hidden="1" outlineLevel="1">
      <c r="B174" s="137"/>
      <c r="C174" s="137"/>
      <c r="D174" s="1432"/>
      <c r="E174" s="394"/>
      <c r="F174" s="394"/>
      <c r="G174" s="394"/>
      <c r="H174" s="1440"/>
      <c r="I174" s="319">
        <f t="shared" si="32"/>
        <v>0</v>
      </c>
      <c r="J174" s="1261"/>
      <c r="K174" s="248"/>
      <c r="L174" s="1434"/>
      <c r="M174" s="1434"/>
      <c r="N174" s="2149"/>
      <c r="O174" s="1434"/>
      <c r="Q174" s="991"/>
      <c r="R174" s="991"/>
      <c r="S174" s="1449"/>
      <c r="T174" s="1449">
        <f>IF($H$170="N",0,SUMIFS('Proof - Pro'!$Q$8:$Q$309,'Proof - Pro'!$T$8:$T$309,$Y174))</f>
        <v>0</v>
      </c>
      <c r="Y174" s="319">
        <f>'Sumary Crayola'!$W$6</f>
        <v>0</v>
      </c>
      <c r="AS174" s="137" t="str">
        <f t="shared" si="27"/>
        <v>Labour Cost</v>
      </c>
      <c r="AT174" s="413">
        <f t="shared" si="28"/>
        <v>0</v>
      </c>
      <c r="AU174" s="136">
        <f ca="1">COUNTIFS(AT$7:$AT174,1)</f>
        <v>5</v>
      </c>
    </row>
    <row r="175" spans="2:47" s="1451" customFormat="1" ht="15" hidden="1" outlineLevel="1">
      <c r="B175" s="137"/>
      <c r="C175" s="137"/>
      <c r="D175" s="1432"/>
      <c r="E175" s="394"/>
      <c r="F175" s="394"/>
      <c r="G175" s="394"/>
      <c r="H175" s="1440"/>
      <c r="I175" s="319">
        <f t="shared" si="32"/>
        <v>0</v>
      </c>
      <c r="J175" s="1261"/>
      <c r="K175" s="248"/>
      <c r="L175" s="1434"/>
      <c r="M175" s="1434"/>
      <c r="N175" s="2149"/>
      <c r="O175" s="1434"/>
      <c r="Q175" s="991"/>
      <c r="R175" s="991"/>
      <c r="S175" s="1449"/>
      <c r="T175" s="1449">
        <f>IF($H$170="N",0,SUMIFS('Proof - Pro'!$Q$8:$Q$309,'Proof - Pro'!$T$8:$T$309,$Y175))</f>
        <v>0</v>
      </c>
      <c r="Y175" s="319">
        <f>'Sumary Crayola'!$Y$6</f>
        <v>0</v>
      </c>
      <c r="AS175" s="137" t="str">
        <f t="shared" si="27"/>
        <v>Labour Cost</v>
      </c>
      <c r="AT175" s="413">
        <f t="shared" si="28"/>
        <v>0</v>
      </c>
      <c r="AU175" s="136">
        <f ca="1">COUNTIFS(AT$7:$AT175,1)</f>
        <v>5</v>
      </c>
    </row>
    <row r="176" spans="2:47" s="1451" customFormat="1" ht="15" hidden="1" outlineLevel="1">
      <c r="B176" s="137"/>
      <c r="C176" s="137"/>
      <c r="D176" s="1432"/>
      <c r="E176" s="394"/>
      <c r="F176" s="394"/>
      <c r="G176" s="394"/>
      <c r="H176" s="1440"/>
      <c r="I176" s="319">
        <f t="shared" si="32"/>
        <v>0</v>
      </c>
      <c r="J176" s="1261"/>
      <c r="K176" s="248"/>
      <c r="L176" s="1434"/>
      <c r="M176" s="1434"/>
      <c r="N176" s="2149"/>
      <c r="O176" s="1434"/>
      <c r="Q176" s="991"/>
      <c r="R176" s="991"/>
      <c r="S176" s="1449"/>
      <c r="T176" s="1449">
        <f>IF($H$170="N",0,SUMIFS('Proof - Pro'!$Q$8:$Q$309,'Proof - Pro'!$T$8:$T$309,$Y176))</f>
        <v>0</v>
      </c>
      <c r="Y176" s="319">
        <f>'Sumary Crayola'!$AA$6</f>
        <v>0</v>
      </c>
      <c r="AS176" s="137" t="str">
        <f t="shared" si="27"/>
        <v>Labour Cost</v>
      </c>
      <c r="AT176" s="413">
        <f t="shared" si="28"/>
        <v>0</v>
      </c>
      <c r="AU176" s="136">
        <f ca="1">COUNTIFS(AT$7:$AT176,1)</f>
        <v>5</v>
      </c>
    </row>
    <row r="177" spans="2:47" s="1451" customFormat="1" ht="15" hidden="1" outlineLevel="1">
      <c r="B177" s="137"/>
      <c r="C177" s="137"/>
      <c r="D177" s="1432"/>
      <c r="E177" s="394"/>
      <c r="F177" s="394"/>
      <c r="G177" s="394"/>
      <c r="H177" s="1440"/>
      <c r="I177" s="319">
        <f t="shared" si="32"/>
        <v>0</v>
      </c>
      <c r="J177" s="1261"/>
      <c r="K177" s="248"/>
      <c r="L177" s="1434"/>
      <c r="M177" s="1434"/>
      <c r="N177" s="2149"/>
      <c r="O177" s="1434"/>
      <c r="Q177" s="991"/>
      <c r="R177" s="991"/>
      <c r="S177" s="1449"/>
      <c r="T177" s="1449">
        <f>IF($H$170="N",0,SUMIFS('Proof - Pro'!$Q$8:$Q$309,'Proof - Pro'!$T$8:$T$309,$Y177))</f>
        <v>0</v>
      </c>
      <c r="Y177" s="319">
        <f>'Sumary Crayola'!$AC$6</f>
        <v>0</v>
      </c>
      <c r="AS177" s="137" t="str">
        <f t="shared" si="27"/>
        <v>Labour Cost</v>
      </c>
      <c r="AT177" s="413">
        <f t="shared" si="28"/>
        <v>0</v>
      </c>
      <c r="AU177" s="136">
        <f ca="1">COUNTIFS(AT$7:$AT177,1)</f>
        <v>5</v>
      </c>
    </row>
    <row r="178" spans="2:47" s="1451" customFormat="1" ht="15" hidden="1" outlineLevel="1">
      <c r="B178" s="137"/>
      <c r="C178" s="137"/>
      <c r="D178" s="1432"/>
      <c r="E178" s="394"/>
      <c r="F178" s="394"/>
      <c r="G178" s="394"/>
      <c r="H178" s="1440"/>
      <c r="I178" s="319">
        <f t="shared" si="32"/>
        <v>0</v>
      </c>
      <c r="J178" s="1261"/>
      <c r="K178" s="248"/>
      <c r="L178" s="1434"/>
      <c r="M178" s="1434"/>
      <c r="N178" s="2149"/>
      <c r="O178" s="1434"/>
      <c r="Q178" s="991"/>
      <c r="R178" s="991"/>
      <c r="S178" s="1449"/>
      <c r="T178" s="1449">
        <f>IF($H$170="N",0,SUMIFS('Proof - Pro'!$Q$8:$Q$309,'Proof - Pro'!$T$8:$T$309,$Y178))</f>
        <v>0</v>
      </c>
      <c r="Y178" s="319">
        <f>'Sumary Crayola'!$AE$6</f>
        <v>0</v>
      </c>
      <c r="AS178" s="137" t="str">
        <f t="shared" si="27"/>
        <v>Labour Cost</v>
      </c>
      <c r="AT178" s="413">
        <f t="shared" si="28"/>
        <v>0</v>
      </c>
      <c r="AU178" s="136">
        <f ca="1">COUNTIFS(AT$7:$AT178,1)</f>
        <v>5</v>
      </c>
    </row>
    <row r="179" spans="2:47" s="1451" customFormat="1" ht="15" hidden="1" outlineLevel="1">
      <c r="B179" s="137"/>
      <c r="C179" s="137"/>
      <c r="D179" s="1432"/>
      <c r="E179" s="394"/>
      <c r="F179" s="394"/>
      <c r="G179" s="394"/>
      <c r="H179" s="1440"/>
      <c r="I179" s="319">
        <f t="shared" si="32"/>
        <v>0</v>
      </c>
      <c r="J179" s="1261"/>
      <c r="K179" s="248"/>
      <c r="L179" s="1434"/>
      <c r="M179" s="1434"/>
      <c r="N179" s="2149"/>
      <c r="O179" s="1434"/>
      <c r="Q179" s="991"/>
      <c r="R179" s="991"/>
      <c r="S179" s="1449"/>
      <c r="T179" s="1449">
        <f>IF($H$170="N",0,SUMIFS('Proof - Pro'!$Q$8:$Q$309,'Proof - Pro'!$T$8:$T$309,$Y179))</f>
        <v>0</v>
      </c>
      <c r="Y179" s="319">
        <f>'Sumary Crayola'!$AG$6</f>
        <v>0</v>
      </c>
      <c r="AS179" s="137" t="str">
        <f t="shared" si="27"/>
        <v>Labour Cost</v>
      </c>
      <c r="AT179" s="413">
        <f t="shared" si="28"/>
        <v>0</v>
      </c>
      <c r="AU179" s="136">
        <f ca="1">COUNTIFS(AT$7:$AT179,1)</f>
        <v>5</v>
      </c>
    </row>
    <row r="180" spans="2:47" s="1451" customFormat="1" ht="15" hidden="1" outlineLevel="1">
      <c r="B180" s="137"/>
      <c r="C180" s="137"/>
      <c r="D180" s="1432"/>
      <c r="E180" s="394"/>
      <c r="F180" s="394"/>
      <c r="G180" s="394"/>
      <c r="H180" s="1440"/>
      <c r="I180" s="319">
        <f t="shared" si="32"/>
        <v>0</v>
      </c>
      <c r="J180" s="1261"/>
      <c r="K180" s="248"/>
      <c r="L180" s="1434"/>
      <c r="M180" s="1434"/>
      <c r="N180" s="2149"/>
      <c r="O180" s="1434"/>
      <c r="Q180" s="991"/>
      <c r="R180" s="991"/>
      <c r="S180" s="1449"/>
      <c r="T180" s="1449">
        <f>IF($H$170="N",0,SUMIFS('Proof - Pro'!$Q$8:$Q$309,'Proof - Pro'!$T$8:$T$309,$Y180))</f>
        <v>0</v>
      </c>
      <c r="Y180" s="319">
        <f>'Sumary Crayola'!$AI$6</f>
        <v>0</v>
      </c>
      <c r="AS180" s="137" t="str">
        <f t="shared" si="27"/>
        <v>Labour Cost</v>
      </c>
      <c r="AT180" s="413">
        <f t="shared" si="28"/>
        <v>0</v>
      </c>
      <c r="AU180" s="136">
        <f ca="1">COUNTIFS(AT$7:$AT180,1)</f>
        <v>5</v>
      </c>
    </row>
    <row r="181" spans="2:47" s="1451" customFormat="1" ht="15" collapsed="1">
      <c r="B181" s="137"/>
      <c r="C181" s="137"/>
      <c r="D181" s="1432"/>
      <c r="E181" s="394"/>
      <c r="F181" s="394"/>
      <c r="G181" s="394"/>
      <c r="H181" s="394"/>
      <c r="I181" s="1438"/>
      <c r="J181" s="2147"/>
      <c r="K181" s="2148"/>
      <c r="L181" s="1434"/>
      <c r="M181" s="1434"/>
      <c r="N181" s="2149"/>
      <c r="O181" s="1434"/>
      <c r="Q181" s="991"/>
      <c r="R181" s="991"/>
      <c r="S181" s="1449"/>
      <c r="T181" s="1449"/>
      <c r="AS181" s="137" t="str">
        <f t="shared" si="27"/>
        <v>Labour Cost</v>
      </c>
      <c r="AT181" s="413" t="str">
        <f t="shared" si="28"/>
        <v/>
      </c>
      <c r="AU181" s="136">
        <f ca="1">COUNTIFS(AT$7:$AT181,1)</f>
        <v>5</v>
      </c>
    </row>
    <row r="182" spans="2:47" s="1451" customFormat="1" ht="15">
      <c r="B182" s="137"/>
      <c r="C182" s="137"/>
      <c r="D182" s="1432"/>
      <c r="E182" s="394"/>
      <c r="F182" s="394"/>
      <c r="G182" s="248" t="s">
        <v>1301</v>
      </c>
      <c r="H182" s="1480" t="s">
        <v>103</v>
      </c>
      <c r="I182" s="1481">
        <f ca="1">IF(H182="Y",(Glue!L6+'ACC &amp; Other Material '!$I$6+'Packing Materials'!$M$6)*I5,0)+IF($L$2=$K$161,'Production cost'!$R$701*'Proof cost'!$I$5,0)</f>
        <v>110029.46045562089</v>
      </c>
      <c r="J182" s="1261" t="s">
        <v>92</v>
      </c>
      <c r="K182" s="2148"/>
      <c r="L182" s="1434"/>
      <c r="M182" s="1434"/>
      <c r="N182" s="2149"/>
      <c r="O182" s="1434"/>
      <c r="Q182" s="991"/>
      <c r="R182" s="991"/>
      <c r="S182" s="1449"/>
      <c r="T182" s="1449">
        <f ca="1">I182</f>
        <v>110029.46045562089</v>
      </c>
      <c r="Y182" s="2174" t="str">
        <f>'Sumary Crayola'!$Q$6</f>
        <v>1st</v>
      </c>
      <c r="AS182" s="137" t="str">
        <f t="shared" si="27"/>
        <v>Glue, Acc, Labour cost</v>
      </c>
      <c r="AT182" s="413">
        <f t="shared" ca="1" si="28"/>
        <v>1</v>
      </c>
      <c r="AU182" s="136">
        <f ca="1">COUNTIFS(AT$7:$AT182,1)</f>
        <v>6</v>
      </c>
    </row>
    <row r="183" spans="2:47" ht="15">
      <c r="D183" s="1432"/>
      <c r="E183" s="394"/>
      <c r="F183" s="394"/>
      <c r="G183" s="394"/>
      <c r="H183" s="394"/>
      <c r="I183" s="394"/>
      <c r="L183" s="1437"/>
      <c r="AS183" s="137" t="str">
        <f t="shared" si="27"/>
        <v>Glue, Acc, Labour cost</v>
      </c>
      <c r="AT183" s="413" t="str">
        <f t="shared" si="28"/>
        <v/>
      </c>
      <c r="AU183" s="136">
        <f ca="1">COUNTIFS(AT$7:$AT183,1)</f>
        <v>6</v>
      </c>
    </row>
    <row r="184" spans="2:47" ht="15">
      <c r="D184" s="1432"/>
      <c r="E184" s="394"/>
      <c r="F184" s="394"/>
      <c r="G184" s="248" t="s">
        <v>1297</v>
      </c>
      <c r="H184" s="1480" t="s">
        <v>103</v>
      </c>
      <c r="I184" s="1481">
        <f>IF(H184="Y",300000,0)</f>
        <v>300000</v>
      </c>
      <c r="J184" s="1461" t="s">
        <v>92</v>
      </c>
      <c r="L184" s="1437"/>
      <c r="T184" s="1449">
        <f>I184</f>
        <v>300000</v>
      </c>
      <c r="Y184" s="2174" t="str">
        <f>'Sumary Crayola'!$Q$6</f>
        <v>1st</v>
      </c>
      <c r="AS184" s="137" t="str">
        <f t="shared" si="27"/>
        <v>Transportation-Local</v>
      </c>
      <c r="AT184" s="413">
        <f t="shared" si="28"/>
        <v>1</v>
      </c>
      <c r="AU184" s="136">
        <f ca="1">COUNTIFS(AT$7:$AT184,1)</f>
        <v>7</v>
      </c>
    </row>
    <row r="185" spans="2:47" ht="15" hidden="1" outlineLevel="1">
      <c r="D185" s="1432"/>
      <c r="E185" s="394"/>
      <c r="F185" s="394"/>
      <c r="G185" s="248" t="s">
        <v>1298</v>
      </c>
      <c r="H185" s="1480" t="s">
        <v>106</v>
      </c>
      <c r="I185" s="1481">
        <f>IF(H185="Y",SUM(R185:R191),0)</f>
        <v>0</v>
      </c>
      <c r="J185" s="1461" t="s">
        <v>92</v>
      </c>
      <c r="K185" s="2490" t="s">
        <v>378</v>
      </c>
      <c r="L185" s="2490" t="s">
        <v>2356</v>
      </c>
      <c r="M185" s="1471">
        <f ca="1">CEILING(weight!$G$46*$I$5*1.1,0.5)</f>
        <v>14</v>
      </c>
      <c r="N185" s="1482" t="s">
        <v>105</v>
      </c>
      <c r="O185" s="1461" t="s">
        <v>2383</v>
      </c>
      <c r="P185" s="2491">
        <f ca="1">MIN(M185,20.5)</f>
        <v>14</v>
      </c>
      <c r="Q185" s="1544" t="s">
        <v>105</v>
      </c>
      <c r="R185" s="2492">
        <f ca="1">IFERROR(INDEX('Courier charge (Fedex)'!$B$5:$X$48,MATCH($P$185,'Courier charge (Fedex)'!$B$5:$B$48,0),MATCH($L$185,'Courier charge (Fedex)'!$B$6:$X$6,0)),0)</f>
        <v>2063308</v>
      </c>
      <c r="T185" s="1449">
        <f>I185</f>
        <v>0</v>
      </c>
      <c r="Y185" s="2174" t="str">
        <f>'Sumary Crayola'!$Q$6</f>
        <v>1st</v>
      </c>
      <c r="AS185" s="137" t="str">
        <f t="shared" si="27"/>
        <v>Courier-Export</v>
      </c>
      <c r="AT185" s="413">
        <f t="shared" si="28"/>
        <v>0</v>
      </c>
      <c r="AU185" s="136">
        <f ca="1">COUNTIFS(AT$7:$AT185,1)</f>
        <v>7</v>
      </c>
    </row>
    <row r="186" spans="2:47" ht="15" hidden="1" outlineLevel="1">
      <c r="D186" s="1432"/>
      <c r="E186" s="394"/>
      <c r="F186" s="394"/>
      <c r="G186" s="248"/>
      <c r="H186" s="394"/>
      <c r="I186" s="1036"/>
      <c r="K186" s="2493"/>
      <c r="L186" s="1440"/>
      <c r="N186" s="1373"/>
      <c r="O186" s="1461" t="s">
        <v>2384</v>
      </c>
      <c r="P186" s="2494">
        <f ca="1">MIN(IF($M$185&gt;20.5,$M$185-20.5,0),44-20.5)</f>
        <v>0</v>
      </c>
      <c r="Q186" s="1544" t="s">
        <v>105</v>
      </c>
      <c r="R186" s="2492">
        <f ca="1">HLOOKUP($L$185,'Courier charge (Fedex)'!$B$51:$X$59,2,0)*$P$186</f>
        <v>0</v>
      </c>
      <c r="AS186" s="137" t="str">
        <f t="shared" si="27"/>
        <v>Courier-Export</v>
      </c>
      <c r="AT186" s="413" t="str">
        <f t="shared" si="28"/>
        <v/>
      </c>
      <c r="AU186" s="136">
        <f ca="1">COUNTIFS(AT$7:$AT186,1)</f>
        <v>7</v>
      </c>
    </row>
    <row r="187" spans="2:47" ht="15" hidden="1" outlineLevel="1">
      <c r="G187" s="248"/>
      <c r="H187" s="394"/>
      <c r="I187" s="1036"/>
      <c r="K187" s="2493"/>
      <c r="L187" s="1440"/>
      <c r="N187" s="1373"/>
      <c r="O187" s="1461" t="s">
        <v>2385</v>
      </c>
      <c r="P187" s="2494">
        <f ca="1">MIN(IF($M$185&gt;44,$M$185-44,0),70-44)</f>
        <v>0</v>
      </c>
      <c r="Q187" s="1544" t="s">
        <v>105</v>
      </c>
      <c r="R187" s="2492">
        <f ca="1">HLOOKUP($L$185,'Courier charge (Fedex)'!$B$51:$X$59,3,0)*$P$187</f>
        <v>0</v>
      </c>
      <c r="AS187" s="137" t="str">
        <f t="shared" si="27"/>
        <v>Courier-Export</v>
      </c>
      <c r="AT187" s="413" t="str">
        <f t="shared" si="28"/>
        <v/>
      </c>
      <c r="AU187" s="136">
        <f ca="1">COUNTIFS(AT$7:$AT187,1)</f>
        <v>7</v>
      </c>
    </row>
    <row r="188" spans="2:47" ht="15" hidden="1" outlineLevel="1">
      <c r="G188" s="248"/>
      <c r="H188" s="394"/>
      <c r="I188" s="1036"/>
      <c r="K188" s="2493"/>
      <c r="L188" s="1440"/>
      <c r="N188" s="1373"/>
      <c r="O188" s="1461" t="s">
        <v>2386</v>
      </c>
      <c r="P188" s="2494">
        <f ca="1">MIN(IF($M$185&gt;70,$M$185-70,0),99-70)</f>
        <v>0</v>
      </c>
      <c r="Q188" s="1544" t="s">
        <v>105</v>
      </c>
      <c r="R188" s="2492">
        <f ca="1">HLOOKUP($L$185,'Courier charge (Fedex)'!$B$51:$X$59,4,0)*$P$188</f>
        <v>0</v>
      </c>
      <c r="AS188" s="137" t="str">
        <f t="shared" si="27"/>
        <v>Courier-Export</v>
      </c>
      <c r="AT188" s="413" t="str">
        <f t="shared" si="28"/>
        <v/>
      </c>
      <c r="AU188" s="136">
        <f ca="1">COUNTIFS(AT$7:$AT188,1)</f>
        <v>7</v>
      </c>
    </row>
    <row r="189" spans="2:47" ht="15" hidden="1" outlineLevel="1">
      <c r="G189" s="248"/>
      <c r="H189" s="394"/>
      <c r="I189" s="1036"/>
      <c r="K189" s="395"/>
      <c r="L189" s="1440"/>
      <c r="N189" s="1373"/>
      <c r="O189" s="1461" t="s">
        <v>2387</v>
      </c>
      <c r="P189" s="1544">
        <f>'Courier charge (Fedex)'!D65</f>
        <v>23000</v>
      </c>
      <c r="Q189" s="1544" t="s">
        <v>1119</v>
      </c>
      <c r="R189" s="2492">
        <f ca="1">$P$189*$M$185</f>
        <v>322000</v>
      </c>
      <c r="AS189" s="137" t="str">
        <f t="shared" si="27"/>
        <v>Courier-Export</v>
      </c>
      <c r="AT189" s="413" t="str">
        <f t="shared" si="28"/>
        <v/>
      </c>
      <c r="AU189" s="136">
        <f ca="1">COUNTIFS(AT$7:$AT189,1)</f>
        <v>7</v>
      </c>
    </row>
    <row r="190" spans="2:47" ht="15" hidden="1" outlineLevel="1">
      <c r="G190" s="248"/>
      <c r="H190" s="394"/>
      <c r="I190" s="1036"/>
      <c r="K190" s="395"/>
      <c r="L190" s="1440"/>
      <c r="N190" s="1373"/>
      <c r="O190" s="1461" t="s">
        <v>2388</v>
      </c>
      <c r="P190" s="2495">
        <f>'Courier charge (Fedex)'!D63</f>
        <v>0.28499999999999998</v>
      </c>
      <c r="Q190" s="1544"/>
      <c r="R190" s="2492">
        <f ca="1">SUM($R$185:$R$189)*$P$190</f>
        <v>679812.77999999991</v>
      </c>
      <c r="AS190" s="137" t="str">
        <f t="shared" si="27"/>
        <v>Courier-Export</v>
      </c>
      <c r="AT190" s="413" t="str">
        <f t="shared" si="28"/>
        <v/>
      </c>
      <c r="AU190" s="136">
        <f ca="1">COUNTIFS(AT$7:$AT190,1)</f>
        <v>7</v>
      </c>
    </row>
    <row r="191" spans="2:47" ht="15" hidden="1" outlineLevel="1">
      <c r="G191" s="248"/>
      <c r="H191" s="394"/>
      <c r="I191" s="1036"/>
      <c r="K191" s="395"/>
      <c r="L191" s="1440"/>
      <c r="N191" s="1373"/>
      <c r="O191" s="1461" t="s">
        <v>156</v>
      </c>
      <c r="P191" s="2495">
        <f>'Courier charge (Fedex)'!D64</f>
        <v>0.1</v>
      </c>
      <c r="Q191" s="1544"/>
      <c r="R191" s="2492">
        <f ca="1">SUM($R$185:$R$190)*$P$191</f>
        <v>306512.07799999998</v>
      </c>
      <c r="AS191" s="137" t="str">
        <f t="shared" si="27"/>
        <v>Courier-Export</v>
      </c>
      <c r="AT191" s="413" t="str">
        <f t="shared" si="28"/>
        <v/>
      </c>
      <c r="AU191" s="136">
        <f ca="1">COUNTIFS(AT$7:$AT191,1)</f>
        <v>7</v>
      </c>
    </row>
    <row r="192" spans="2:47" ht="15" hidden="1" outlineLevel="1">
      <c r="G192" s="248"/>
      <c r="H192" s="394"/>
      <c r="I192" s="1036"/>
      <c r="K192" s="395"/>
      <c r="L192" s="395"/>
      <c r="M192" s="395"/>
      <c r="N192" s="1373"/>
      <c r="P192" s="1452"/>
      <c r="Q192" s="1452"/>
      <c r="AS192" s="137" t="str">
        <f t="shared" si="27"/>
        <v>Courier-Export</v>
      </c>
      <c r="AT192" s="413" t="str">
        <f t="shared" si="28"/>
        <v/>
      </c>
      <c r="AU192" s="136">
        <f ca="1">COUNTIFS(AT$7:$AT192,1)</f>
        <v>7</v>
      </c>
    </row>
    <row r="193" spans="2:47" ht="15" hidden="1" outlineLevel="1">
      <c r="G193" s="248" t="s">
        <v>1260</v>
      </c>
      <c r="H193" s="1480" t="s">
        <v>106</v>
      </c>
      <c r="I193" s="1490">
        <f>IF(H193="Y",N198,0)</f>
        <v>0</v>
      </c>
      <c r="J193" s="137" t="s">
        <v>92</v>
      </c>
      <c r="P193" s="1452"/>
      <c r="Q193" s="1452"/>
      <c r="T193" s="1449">
        <f>I193</f>
        <v>0</v>
      </c>
      <c r="Y193" s="2174" t="str">
        <f>'Sumary Crayola'!$Q$6</f>
        <v>1st</v>
      </c>
      <c r="AS193" s="137" t="str">
        <f t="shared" si="27"/>
        <v>Hot stamping foils</v>
      </c>
      <c r="AT193" s="413">
        <f t="shared" si="28"/>
        <v>0</v>
      </c>
      <c r="AU193" s="136">
        <f ca="1">COUNTIFS(AT$7:$AT193,1)</f>
        <v>7</v>
      </c>
    </row>
    <row r="194" spans="2:47" ht="15" hidden="1" outlineLevel="1">
      <c r="G194" s="1374" t="s">
        <v>1262</v>
      </c>
      <c r="H194" s="1453"/>
      <c r="I194" s="1491">
        <f>'ACC &amp; Other Material '!D83</f>
        <v>5</v>
      </c>
      <c r="J194" s="1492" t="s">
        <v>15</v>
      </c>
      <c r="K194" s="1491">
        <f>'ACC &amp; Other Material '!F83</f>
        <v>5</v>
      </c>
      <c r="L194" s="1493" t="s">
        <v>10</v>
      </c>
      <c r="M194" s="1495">
        <f>'ACC &amp; Other Material '!H83</f>
        <v>1</v>
      </c>
      <c r="N194" s="1496" t="s">
        <v>440</v>
      </c>
      <c r="P194" s="1452"/>
      <c r="Q194" s="1452"/>
      <c r="AS194" s="137" t="str">
        <f t="shared" si="27"/>
        <v xml:space="preserve">SIZE OF FOIL/LINE </v>
      </c>
      <c r="AT194" s="413" t="str">
        <f t="shared" si="28"/>
        <v/>
      </c>
      <c r="AU194" s="136">
        <f ca="1">COUNTIFS(AT$7:$AT194,1)</f>
        <v>7</v>
      </c>
    </row>
    <row r="195" spans="2:47" ht="15" hidden="1" outlineLevel="1">
      <c r="G195" s="1374" t="s">
        <v>444</v>
      </c>
      <c r="H195" s="1453"/>
      <c r="I195" s="1491">
        <f>'ACC &amp; Other Material '!D84</f>
        <v>640</v>
      </c>
      <c r="J195" s="1492" t="s">
        <v>15</v>
      </c>
      <c r="K195" s="1491">
        <f>'ACC &amp; Other Material '!F84</f>
        <v>120000</v>
      </c>
      <c r="L195" s="1494" t="s">
        <v>10</v>
      </c>
      <c r="M195" s="1453"/>
      <c r="N195" s="1453"/>
      <c r="P195" s="1452"/>
      <c r="Q195" s="1452"/>
      <c r="AS195" s="137" t="str">
        <f t="shared" si="27"/>
        <v>SIZE OF ROLL</v>
      </c>
      <c r="AT195" s="413" t="str">
        <f t="shared" si="28"/>
        <v/>
      </c>
      <c r="AU195" s="136">
        <f ca="1">COUNTIFS(AT$7:$AT195,1)</f>
        <v>7</v>
      </c>
    </row>
    <row r="196" spans="2:47" ht="15" hidden="1" outlineLevel="1">
      <c r="G196" s="1374" t="s">
        <v>445</v>
      </c>
      <c r="H196" s="1458"/>
      <c r="I196" s="1375"/>
      <c r="J196" s="1474">
        <f>'ACC &amp; Other Material '!E85</f>
        <v>0</v>
      </c>
      <c r="K196" s="1376" t="s">
        <v>1263</v>
      </c>
      <c r="L196" s="1375"/>
      <c r="M196" s="1375"/>
      <c r="N196" s="1377"/>
      <c r="P196" s="1452"/>
      <c r="Q196" s="1452"/>
      <c r="AS196" s="137" t="str">
        <f t="shared" si="27"/>
        <v>Price</v>
      </c>
      <c r="AT196" s="413" t="str">
        <f t="shared" si="28"/>
        <v/>
      </c>
      <c r="AU196" s="136">
        <f ca="1">COUNTIFS(AT$7:$AT196,1)</f>
        <v>7</v>
      </c>
    </row>
    <row r="197" spans="2:47" ht="51" hidden="1" outlineLevel="1">
      <c r="G197" s="1497" t="s">
        <v>214</v>
      </c>
      <c r="H197" s="4440" t="s">
        <v>447</v>
      </c>
      <c r="I197" s="4440"/>
      <c r="J197" s="1497" t="s">
        <v>448</v>
      </c>
      <c r="K197" s="1497" t="s">
        <v>449</v>
      </c>
      <c r="L197" s="1497" t="s">
        <v>450</v>
      </c>
      <c r="M197" s="1497" t="s">
        <v>451</v>
      </c>
      <c r="N197" s="1497" t="s">
        <v>92</v>
      </c>
      <c r="P197" s="1452"/>
      <c r="Q197" s="1452"/>
      <c r="AS197" s="137" t="str">
        <f t="shared" si="27"/>
        <v>Total sheets</v>
      </c>
      <c r="AT197" s="413" t="str">
        <f t="shared" si="28"/>
        <v/>
      </c>
      <c r="AU197" s="136">
        <f ca="1">COUNTIFS(AT$7:$AT197,1)</f>
        <v>7</v>
      </c>
    </row>
    <row r="198" spans="2:47" ht="15" hidden="1" outlineLevel="1">
      <c r="G198" s="1498">
        <v>100</v>
      </c>
      <c r="H198" s="1498">
        <f>I194+5</f>
        <v>10</v>
      </c>
      <c r="I198" s="1498">
        <f>K194</f>
        <v>5</v>
      </c>
      <c r="J198" s="1498">
        <f>INT(I195/H198)</f>
        <v>64</v>
      </c>
      <c r="K198" s="1498">
        <f>INT(K195/I198)</f>
        <v>24000</v>
      </c>
      <c r="L198" s="1498">
        <f>ROUNDUP(G198/K198,0)*M194</f>
        <v>1</v>
      </c>
      <c r="M198" s="1499">
        <f>ROUNDUP(L198/J198,1)</f>
        <v>0.1</v>
      </c>
      <c r="N198" s="1500">
        <f>M198*J196</f>
        <v>0</v>
      </c>
      <c r="P198" s="1452"/>
      <c r="Q198" s="1452"/>
      <c r="AS198" s="137">
        <f t="shared" si="27"/>
        <v>100</v>
      </c>
      <c r="AT198" s="413" t="str">
        <f t="shared" si="28"/>
        <v/>
      </c>
      <c r="AU198" s="136">
        <f ca="1">COUNTIFS(AT$7:$AT198,1)</f>
        <v>7</v>
      </c>
    </row>
    <row r="199" spans="2:47" ht="15" collapsed="1">
      <c r="G199" s="248"/>
      <c r="H199" s="394"/>
      <c r="I199" s="1036"/>
      <c r="K199" s="395"/>
      <c r="L199" s="395"/>
      <c r="M199" s="395"/>
      <c r="N199" s="1373"/>
      <c r="P199" s="1452"/>
      <c r="Q199" s="1452"/>
      <c r="AS199" s="137">
        <f t="shared" si="27"/>
        <v>100</v>
      </c>
      <c r="AT199" s="413" t="str">
        <f t="shared" si="28"/>
        <v/>
      </c>
      <c r="AU199" s="136">
        <f ca="1">COUNTIFS(AT$7:$AT199,1)</f>
        <v>7</v>
      </c>
    </row>
    <row r="200" spans="2:47" ht="15" hidden="1" outlineLevel="1">
      <c r="G200" s="248" t="s">
        <v>1299</v>
      </c>
      <c r="H200" s="394"/>
      <c r="I200" s="1481">
        <f>O201+O202+O204+O208</f>
        <v>0</v>
      </c>
      <c r="K200" s="395"/>
      <c r="L200" s="395"/>
      <c r="M200" s="395"/>
      <c r="N200" s="1373"/>
      <c r="P200" s="1452"/>
      <c r="Q200" s="1452"/>
      <c r="T200" s="1449">
        <f>I200</f>
        <v>0</v>
      </c>
      <c r="Y200" s="2174" t="str">
        <f>'Sumary Crayola'!$Q$6</f>
        <v>1st</v>
      </c>
      <c r="AS200" s="137" t="str">
        <f t="shared" si="27"/>
        <v>Mould cost</v>
      </c>
      <c r="AT200" s="413">
        <f t="shared" si="28"/>
        <v>0</v>
      </c>
      <c r="AU200" s="136">
        <f ca="1">COUNTIFS(AT$7:$AT200,1)</f>
        <v>7</v>
      </c>
    </row>
    <row r="201" spans="2:47" ht="15" hidden="1" outlineLevel="1">
      <c r="G201" s="1454" t="s">
        <v>1195</v>
      </c>
      <c r="H201" s="1480" t="s">
        <v>106</v>
      </c>
      <c r="I201" s="137"/>
      <c r="J201" s="1037"/>
      <c r="K201" s="395"/>
      <c r="L201" s="395"/>
      <c r="M201" s="395"/>
      <c r="N201" s="1373"/>
      <c r="O201" s="1464">
        <f>IF(H201="Y",500000,0)</f>
        <v>0</v>
      </c>
      <c r="P201" s="1452"/>
      <c r="Q201" s="1452"/>
      <c r="AS201" s="137" t="str">
        <f t="shared" si="27"/>
        <v>Die-cut mould</v>
      </c>
      <c r="AT201" s="413" t="str">
        <f t="shared" si="28"/>
        <v/>
      </c>
      <c r="AU201" s="136">
        <f ca="1">COUNTIFS(AT$7:$AT201,1)</f>
        <v>7</v>
      </c>
    </row>
    <row r="202" spans="2:47" ht="15" hidden="1" outlineLevel="1">
      <c r="D202" s="1432"/>
      <c r="E202" s="394"/>
      <c r="F202" s="394"/>
      <c r="G202" s="1454" t="s">
        <v>1300</v>
      </c>
      <c r="H202" s="1480" t="s">
        <v>106</v>
      </c>
      <c r="I202" s="137" t="s">
        <v>1182</v>
      </c>
      <c r="K202" s="4434">
        <f>IF(H202="Y",IF(K203*M203&lt;8,45000,IF(K203*M203&lt;13,55000,IF(K203*M203&lt;21,65000,IF(K203*M203&lt;31,75000,IF(K203*M203&lt;51,85000,Data!$M$1043*(K203*M203)))))),0)</f>
        <v>0</v>
      </c>
      <c r="L202" s="4435"/>
      <c r="M202" s="1462">
        <v>1</v>
      </c>
      <c r="N202" s="1462">
        <v>1</v>
      </c>
      <c r="O202" s="4436">
        <f>IF(H202="Y",M202*K202,0)*N202</f>
        <v>0</v>
      </c>
      <c r="P202" s="1459"/>
      <c r="Q202" s="1452"/>
      <c r="AS202" s="137" t="str">
        <f t="shared" ref="AS202:AS224" si="33">IF(G202=0,AS201,G202)</f>
        <v>Hot stamping</v>
      </c>
      <c r="AT202" s="413" t="str">
        <f t="shared" ref="AT202:AT224" si="34">IF(ISNUMBER(T202),IF(T202&lt;&gt;0,IF(ISNUMBER(SEARCH("to",GL202)),0,1),0),"")</f>
        <v/>
      </c>
      <c r="AU202" s="136">
        <f ca="1">COUNTIFS(AT$7:$AT202,1)</f>
        <v>7</v>
      </c>
    </row>
    <row r="203" spans="2:47" ht="15" hidden="1" outlineLevel="1">
      <c r="D203" s="1432"/>
      <c r="E203" s="394"/>
      <c r="F203" s="394"/>
      <c r="G203" s="248"/>
      <c r="H203" s="394"/>
      <c r="I203" s="137" t="s">
        <v>1199</v>
      </c>
      <c r="K203" s="1488"/>
      <c r="L203" s="1489" t="s">
        <v>15</v>
      </c>
      <c r="M203" s="1488"/>
      <c r="O203" s="4437"/>
      <c r="P203" s="1459"/>
      <c r="Q203" s="1452"/>
      <c r="AS203" s="137" t="str">
        <f t="shared" si="33"/>
        <v>Hot stamping</v>
      </c>
      <c r="AT203" s="413" t="str">
        <f t="shared" si="34"/>
        <v/>
      </c>
      <c r="AU203" s="136">
        <f ca="1">COUNTIFS(AT$7:$AT203,1)</f>
        <v>7</v>
      </c>
    </row>
    <row r="204" spans="2:47" ht="15" hidden="1" outlineLevel="1">
      <c r="D204" s="1432"/>
      <c r="E204" s="394"/>
      <c r="F204" s="394"/>
      <c r="G204" s="1454" t="s">
        <v>163</v>
      </c>
      <c r="H204" s="1480" t="s">
        <v>106</v>
      </c>
      <c r="I204" s="137" t="s">
        <v>1180</v>
      </c>
      <c r="K204" s="4434">
        <f>IF(H204="Y",IF(K205*M205&lt;8,45000,IF(K205*M205&lt;13,55000,IF(K205*M205&lt;21,65000,IF(K205*M205&lt;31,75000,IF(K205*M205&lt;51,85000,Data!$M$1042*(K205*M205)))))),0)</f>
        <v>0</v>
      </c>
      <c r="L204" s="4435"/>
      <c r="M204" s="1462">
        <v>2</v>
      </c>
      <c r="N204" s="1462">
        <v>1</v>
      </c>
      <c r="O204" s="4436">
        <f>IF(H204="Y",M204*K204,0)*N204</f>
        <v>0</v>
      </c>
      <c r="P204" s="1452"/>
      <c r="Q204" s="1452"/>
      <c r="AS204" s="137" t="str">
        <f t="shared" si="33"/>
        <v>Embossing</v>
      </c>
      <c r="AT204" s="413" t="str">
        <f t="shared" si="34"/>
        <v/>
      </c>
      <c r="AU204" s="136">
        <f ca="1">COUNTIFS(AT$7:$AT204,1)</f>
        <v>7</v>
      </c>
    </row>
    <row r="205" spans="2:47" ht="15" hidden="1" outlineLevel="1">
      <c r="D205" s="1432"/>
      <c r="E205" s="394"/>
      <c r="F205" s="394"/>
      <c r="G205" s="248"/>
      <c r="H205" s="394"/>
      <c r="I205" s="137" t="s">
        <v>1198</v>
      </c>
      <c r="K205" s="1488"/>
      <c r="L205" s="1489" t="s">
        <v>15</v>
      </c>
      <c r="M205" s="1488"/>
      <c r="O205" s="4437"/>
      <c r="P205" s="1452"/>
      <c r="Q205" s="1452"/>
      <c r="AS205" s="137" t="str">
        <f t="shared" si="33"/>
        <v>Embossing</v>
      </c>
      <c r="AT205" s="413" t="str">
        <f t="shared" si="34"/>
        <v/>
      </c>
      <c r="AU205" s="136">
        <f ca="1">COUNTIFS(AT$7:$AT205,1)</f>
        <v>7</v>
      </c>
    </row>
    <row r="206" spans="2:47" ht="15" hidden="1" outlineLevel="1">
      <c r="B206" s="137" t="s">
        <v>1192</v>
      </c>
      <c r="C206" s="137">
        <v>0</v>
      </c>
      <c r="D206" s="991"/>
      <c r="E206" s="394"/>
      <c r="F206" s="394"/>
      <c r="G206" s="1454" t="s">
        <v>137</v>
      </c>
      <c r="H206" s="1480" t="s">
        <v>106</v>
      </c>
      <c r="I206" s="137" t="s">
        <v>1158</v>
      </c>
      <c r="K206" s="4434">
        <v>580000</v>
      </c>
      <c r="L206" s="4435"/>
      <c r="M206" s="1462">
        <f>IF(H206="Y",1,0)</f>
        <v>0</v>
      </c>
      <c r="N206" s="1434"/>
      <c r="O206" s="1455"/>
      <c r="P206" s="1452"/>
      <c r="Q206" s="1452"/>
      <c r="AS206" s="137" t="str">
        <f t="shared" si="33"/>
        <v>Silkscreen</v>
      </c>
      <c r="AT206" s="413" t="str">
        <f t="shared" si="34"/>
        <v/>
      </c>
      <c r="AU206" s="136">
        <f ca="1">COUNTIFS(AT$7:$AT206,1)</f>
        <v>7</v>
      </c>
    </row>
    <row r="207" spans="2:47" ht="15" hidden="1" outlineLevel="1">
      <c r="B207" s="137" t="s">
        <v>1191</v>
      </c>
      <c r="C207" s="137">
        <v>1</v>
      </c>
      <c r="D207" s="991"/>
      <c r="E207" s="394"/>
      <c r="F207" s="394"/>
      <c r="G207" s="248"/>
      <c r="H207" s="394"/>
      <c r="I207" s="137"/>
      <c r="K207" s="1456"/>
      <c r="L207" s="1434"/>
      <c r="M207" s="1456"/>
      <c r="O207" s="1455"/>
      <c r="P207" s="1452"/>
      <c r="Q207" s="1452"/>
      <c r="AS207" s="137" t="str">
        <f t="shared" si="33"/>
        <v>Silkscreen</v>
      </c>
      <c r="AT207" s="413" t="str">
        <f t="shared" si="34"/>
        <v/>
      </c>
      <c r="AU207" s="136">
        <f ca="1">COUNTIFS(AT$7:$AT207,1)</f>
        <v>7</v>
      </c>
    </row>
    <row r="208" spans="2:47" ht="15" hidden="1" outlineLevel="1">
      <c r="D208" s="991"/>
      <c r="E208" s="394"/>
      <c r="F208" s="394"/>
      <c r="G208" s="1454" t="s">
        <v>1203</v>
      </c>
      <c r="H208" s="1480" t="s">
        <v>106</v>
      </c>
      <c r="I208" s="137" t="s">
        <v>1185</v>
      </c>
      <c r="K208" s="4432">
        <v>1</v>
      </c>
      <c r="L208" s="4432"/>
      <c r="M208" s="1487">
        <f>'Fix Cost'!F122</f>
        <v>0</v>
      </c>
      <c r="N208" s="1487">
        <f>'Fix Cost'!G122</f>
        <v>0</v>
      </c>
      <c r="O208" s="1464">
        <f>IF(H208="Y",Data!$M$1037*K208*M208*N208+300000,0)</f>
        <v>0</v>
      </c>
      <c r="P208" s="1452"/>
      <c r="Q208" s="1452"/>
      <c r="AS208" s="137" t="str">
        <f t="shared" si="33"/>
        <v>Output film</v>
      </c>
      <c r="AT208" s="413" t="str">
        <f t="shared" si="34"/>
        <v/>
      </c>
      <c r="AU208" s="136">
        <f ca="1">COUNTIFS(AT$7:$AT208,1)</f>
        <v>7</v>
      </c>
    </row>
    <row r="209" spans="2:47" ht="15" collapsed="1">
      <c r="B209" s="137" t="str">
        <f>Data!L1140</f>
        <v>Komori_240</v>
      </c>
      <c r="C209" s="424">
        <f>Data!N1140</f>
        <v>3</v>
      </c>
      <c r="D209" s="1432">
        <f>Data!M1140</f>
        <v>83000.376301260956</v>
      </c>
      <c r="E209" s="137">
        <f>Data!S1140</f>
        <v>0</v>
      </c>
      <c r="F209" s="1432">
        <f>Data!R1140</f>
        <v>0</v>
      </c>
      <c r="G209" s="248"/>
      <c r="H209" s="394"/>
      <c r="I209" s="1036"/>
      <c r="K209" s="395"/>
      <c r="L209" s="395"/>
      <c r="M209" s="395"/>
      <c r="N209" s="1373"/>
      <c r="P209" s="1452"/>
      <c r="Q209" s="1452"/>
      <c r="AS209" s="137" t="str">
        <f t="shared" si="33"/>
        <v>Output film</v>
      </c>
      <c r="AT209" s="413" t="str">
        <f t="shared" si="34"/>
        <v/>
      </c>
      <c r="AU209" s="136">
        <f ca="1">COUNTIFS(AT$7:$AT209,1)</f>
        <v>7</v>
      </c>
    </row>
    <row r="210" spans="2:47" ht="15">
      <c r="B210" s="137" t="str">
        <f>Data!L1141</f>
        <v>Komori_L240</v>
      </c>
      <c r="C210" s="424">
        <f>Data!N1141</f>
        <v>3</v>
      </c>
      <c r="D210" s="1432">
        <f>Data!M1141</f>
        <v>83000.376301260956</v>
      </c>
      <c r="E210" s="137">
        <f>Data!S1141</f>
        <v>0</v>
      </c>
      <c r="F210" s="1432">
        <f>Data!R1141</f>
        <v>0</v>
      </c>
      <c r="I210" s="137"/>
      <c r="K210" s="395"/>
      <c r="L210" s="395"/>
      <c r="M210" s="395"/>
      <c r="N210" s="1373"/>
      <c r="P210" s="1452"/>
      <c r="Q210" s="1452"/>
      <c r="AS210" s="137" t="str">
        <f t="shared" si="33"/>
        <v>Output film</v>
      </c>
      <c r="AT210" s="413" t="str">
        <f t="shared" si="34"/>
        <v/>
      </c>
      <c r="AU210" s="136">
        <f ca="1">COUNTIFS(AT$7:$AT210,1)</f>
        <v>7</v>
      </c>
    </row>
    <row r="211" spans="2:47" ht="15">
      <c r="B211" s="137" t="str">
        <f>Data!L1142</f>
        <v>Komori_LS640</v>
      </c>
      <c r="C211" s="424">
        <f>Data!N1142</f>
        <v>5</v>
      </c>
      <c r="D211" s="1432">
        <f>Data!M1142</f>
        <v>83000.376301260956</v>
      </c>
      <c r="E211" s="137">
        <f>Data!S1142</f>
        <v>0.5</v>
      </c>
      <c r="F211" s="1432">
        <f>Data!R1142</f>
        <v>352574.32240985788</v>
      </c>
      <c r="G211" s="248"/>
      <c r="H211" s="394"/>
      <c r="I211" s="1036"/>
      <c r="K211" s="395"/>
      <c r="L211" s="395"/>
      <c r="M211" s="395"/>
      <c r="N211" s="1373"/>
      <c r="P211" s="1452"/>
      <c r="Q211" s="1452"/>
      <c r="AS211" s="137" t="str">
        <f t="shared" si="33"/>
        <v>Output film</v>
      </c>
      <c r="AT211" s="413" t="str">
        <f t="shared" si="34"/>
        <v/>
      </c>
      <c r="AU211" s="136">
        <f ca="1">COUNTIFS(AT$7:$AT211,1)</f>
        <v>7</v>
      </c>
    </row>
    <row r="212" spans="2:47" ht="16.5" hidden="1" outlineLevel="1">
      <c r="B212" s="137" t="str">
        <f>Data!L1143</f>
        <v>Komori_LS740</v>
      </c>
      <c r="C212" s="424">
        <f>Data!N1143</f>
        <v>4</v>
      </c>
      <c r="D212" s="1432">
        <f>Data!M1143</f>
        <v>83000.376301260956</v>
      </c>
      <c r="E212" s="137">
        <f>Data!S1143</f>
        <v>0.5</v>
      </c>
      <c r="F212" s="1432">
        <f>Data!R1143</f>
        <v>352574.32240985788</v>
      </c>
      <c r="G212" s="1378" t="s">
        <v>1583</v>
      </c>
      <c r="H212" s="451"/>
      <c r="I212" s="1484">
        <f ca="1">SUM(J23:J55)</f>
        <v>980</v>
      </c>
      <c r="J212" s="1379" t="s">
        <v>1196</v>
      </c>
      <c r="K212" s="2"/>
      <c r="L212" s="1485">
        <f ca="1">'Fix Cost'!L173/'Fix Cost'!F173*0</f>
        <v>0</v>
      </c>
      <c r="M212" s="1379" t="s">
        <v>1461</v>
      </c>
      <c r="N212" s="1380"/>
      <c r="O212" s="1486">
        <f ca="1">L212*I212*0</f>
        <v>0</v>
      </c>
      <c r="P212" s="1457" t="s">
        <v>92</v>
      </c>
      <c r="Q212" s="1452"/>
      <c r="AS212" s="137" t="str">
        <f t="shared" si="33"/>
        <v>Indirect Manufacturing Cost</v>
      </c>
      <c r="AT212" s="413" t="str">
        <f t="shared" si="34"/>
        <v/>
      </c>
      <c r="AU212" s="136">
        <f ca="1">COUNTIFS(AT$7:$AT212,1)</f>
        <v>7</v>
      </c>
    </row>
    <row r="213" spans="2:47" ht="16.5" hidden="1" outlineLevel="1">
      <c r="C213" s="424"/>
      <c r="D213" s="1432"/>
      <c r="F213" s="1432"/>
      <c r="G213" s="1378"/>
      <c r="H213" s="451"/>
      <c r="I213" s="319" t="str">
        <f>Y213</f>
        <v>1st</v>
      </c>
      <c r="J213" s="1261"/>
      <c r="K213" s="248"/>
      <c r="L213" s="1434"/>
      <c r="M213" s="1434"/>
      <c r="N213" s="2149"/>
      <c r="O213" s="1434"/>
      <c r="P213" s="1451"/>
      <c r="Q213" s="991"/>
      <c r="R213" s="991"/>
      <c r="S213" s="1449"/>
      <c r="T213" s="2175">
        <f t="shared" ref="T213:T222" ca="1" si="35">SUMIFS($J$23:$J$55,$Y$23:$Y$55,$Y213)*$L$212</f>
        <v>0</v>
      </c>
      <c r="U213" s="1451"/>
      <c r="V213" s="1451"/>
      <c r="W213" s="1451"/>
      <c r="X213" s="1451"/>
      <c r="Y213" s="319" t="str">
        <f>'Sumary Crayola'!$Q$6</f>
        <v>1st</v>
      </c>
      <c r="AS213" s="137" t="str">
        <f t="shared" si="33"/>
        <v>Indirect Manufacturing Cost</v>
      </c>
      <c r="AT213" s="413">
        <f t="shared" ca="1" si="34"/>
        <v>0</v>
      </c>
      <c r="AU213" s="136">
        <f ca="1">COUNTIFS(AT$7:$AT213,1)</f>
        <v>7</v>
      </c>
    </row>
    <row r="214" spans="2:47" ht="15" hidden="1" customHeight="1" outlineLevel="1">
      <c r="C214" s="424"/>
      <c r="D214" s="1432"/>
      <c r="F214" s="1432"/>
      <c r="G214" s="1378"/>
      <c r="H214" s="451"/>
      <c r="I214" s="319">
        <f t="shared" ref="I214:I222" si="36">Y214</f>
        <v>0</v>
      </c>
      <c r="J214" s="1261"/>
      <c r="K214" s="248"/>
      <c r="L214" s="1434"/>
      <c r="M214" s="1434"/>
      <c r="N214" s="2149"/>
      <c r="O214" s="1434"/>
      <c r="P214" s="1451"/>
      <c r="Q214" s="991"/>
      <c r="R214" s="991"/>
      <c r="S214" s="1449"/>
      <c r="T214" s="2175">
        <f t="shared" ca="1" si="35"/>
        <v>0</v>
      </c>
      <c r="U214" s="1451"/>
      <c r="V214" s="1451"/>
      <c r="W214" s="1451"/>
      <c r="X214" s="1451"/>
      <c r="Y214" s="319">
        <f>'Sumary Crayola'!$S$6</f>
        <v>0</v>
      </c>
      <c r="AS214" s="137" t="str">
        <f t="shared" si="33"/>
        <v>Indirect Manufacturing Cost</v>
      </c>
      <c r="AT214" s="413">
        <f t="shared" ca="1" si="34"/>
        <v>0</v>
      </c>
      <c r="AU214" s="136">
        <f ca="1">COUNTIFS(AT$7:$AT214,1)</f>
        <v>7</v>
      </c>
    </row>
    <row r="215" spans="2:47" ht="16.5" hidden="1" outlineLevel="1">
      <c r="C215" s="424"/>
      <c r="D215" s="1432"/>
      <c r="F215" s="1432"/>
      <c r="G215" s="1378"/>
      <c r="H215" s="451"/>
      <c r="I215" s="319">
        <f t="shared" si="36"/>
        <v>0</v>
      </c>
      <c r="J215" s="1261"/>
      <c r="K215" s="248"/>
      <c r="L215" s="1434"/>
      <c r="M215" s="1434"/>
      <c r="N215" s="2149"/>
      <c r="O215" s="1434"/>
      <c r="P215" s="1451"/>
      <c r="Q215" s="991"/>
      <c r="R215" s="991"/>
      <c r="S215" s="1449"/>
      <c r="T215" s="2175">
        <f t="shared" ca="1" si="35"/>
        <v>0</v>
      </c>
      <c r="U215" s="1451"/>
      <c r="V215" s="1451"/>
      <c r="W215" s="1451"/>
      <c r="X215" s="1451"/>
      <c r="Y215" s="319">
        <f>'Sumary Crayola'!$U$6</f>
        <v>0</v>
      </c>
      <c r="AS215" s="137" t="str">
        <f t="shared" si="33"/>
        <v>Indirect Manufacturing Cost</v>
      </c>
      <c r="AT215" s="413">
        <f t="shared" ca="1" si="34"/>
        <v>0</v>
      </c>
      <c r="AU215" s="136">
        <f ca="1">COUNTIFS(AT$7:$AT215,1)</f>
        <v>7</v>
      </c>
    </row>
    <row r="216" spans="2:47" ht="16.5" hidden="1" outlineLevel="1">
      <c r="C216" s="424"/>
      <c r="D216" s="1432"/>
      <c r="F216" s="1432"/>
      <c r="G216" s="1378"/>
      <c r="H216" s="451"/>
      <c r="I216" s="319">
        <f t="shared" si="36"/>
        <v>0</v>
      </c>
      <c r="J216" s="1261"/>
      <c r="K216" s="248"/>
      <c r="L216" s="1434"/>
      <c r="M216" s="1434"/>
      <c r="N216" s="2149"/>
      <c r="O216" s="1434"/>
      <c r="P216" s="1451"/>
      <c r="Q216" s="991"/>
      <c r="R216" s="991"/>
      <c r="S216" s="1449"/>
      <c r="T216" s="2175">
        <f t="shared" ca="1" si="35"/>
        <v>0</v>
      </c>
      <c r="U216" s="1451"/>
      <c r="V216" s="1451"/>
      <c r="W216" s="1451"/>
      <c r="X216" s="1451"/>
      <c r="Y216" s="319">
        <f>'Sumary Crayola'!$W$6</f>
        <v>0</v>
      </c>
      <c r="AS216" s="137" t="str">
        <f t="shared" si="33"/>
        <v>Indirect Manufacturing Cost</v>
      </c>
      <c r="AT216" s="413">
        <f t="shared" ca="1" si="34"/>
        <v>0</v>
      </c>
      <c r="AU216" s="136">
        <f ca="1">COUNTIFS(AT$7:$AT216,1)</f>
        <v>7</v>
      </c>
    </row>
    <row r="217" spans="2:47" ht="16.5" hidden="1" outlineLevel="1">
      <c r="C217" s="424"/>
      <c r="D217" s="1432"/>
      <c r="F217" s="1432"/>
      <c r="G217" s="1378"/>
      <c r="H217" s="451"/>
      <c r="I217" s="319">
        <f t="shared" si="36"/>
        <v>0</v>
      </c>
      <c r="J217" s="1261"/>
      <c r="K217" s="248"/>
      <c r="L217" s="1434"/>
      <c r="M217" s="1434"/>
      <c r="N217" s="2149"/>
      <c r="O217" s="1434"/>
      <c r="P217" s="1451"/>
      <c r="Q217" s="991"/>
      <c r="R217" s="991"/>
      <c r="S217" s="1449"/>
      <c r="T217" s="2175">
        <f t="shared" ca="1" si="35"/>
        <v>0</v>
      </c>
      <c r="U217" s="1451"/>
      <c r="V217" s="1451"/>
      <c r="W217" s="1451"/>
      <c r="X217" s="1451"/>
      <c r="Y217" s="319">
        <f>'Sumary Crayola'!$Y$6</f>
        <v>0</v>
      </c>
      <c r="AS217" s="137" t="str">
        <f t="shared" si="33"/>
        <v>Indirect Manufacturing Cost</v>
      </c>
      <c r="AT217" s="413">
        <f t="shared" ca="1" si="34"/>
        <v>0</v>
      </c>
      <c r="AU217" s="136">
        <f ca="1">COUNTIFS(AT$7:$AT217,1)</f>
        <v>7</v>
      </c>
    </row>
    <row r="218" spans="2:47" ht="16.5" hidden="1" outlineLevel="1">
      <c r="C218" s="424"/>
      <c r="D218" s="1432"/>
      <c r="F218" s="1432"/>
      <c r="G218" s="1378"/>
      <c r="H218" s="451"/>
      <c r="I218" s="319">
        <f t="shared" si="36"/>
        <v>0</v>
      </c>
      <c r="J218" s="1261"/>
      <c r="K218" s="248"/>
      <c r="L218" s="1434"/>
      <c r="M218" s="1434"/>
      <c r="N218" s="2149"/>
      <c r="O218" s="1434"/>
      <c r="P218" s="1451"/>
      <c r="Q218" s="991"/>
      <c r="R218" s="991"/>
      <c r="S218" s="1449"/>
      <c r="T218" s="2175">
        <f t="shared" ca="1" si="35"/>
        <v>0</v>
      </c>
      <c r="U218" s="1451"/>
      <c r="V218" s="1451"/>
      <c r="W218" s="1451"/>
      <c r="X218" s="1451"/>
      <c r="Y218" s="319">
        <f>'Sumary Crayola'!$AA$6</f>
        <v>0</v>
      </c>
      <c r="AS218" s="137" t="str">
        <f t="shared" si="33"/>
        <v>Indirect Manufacturing Cost</v>
      </c>
      <c r="AT218" s="413">
        <f t="shared" ca="1" si="34"/>
        <v>0</v>
      </c>
      <c r="AU218" s="136">
        <f ca="1">COUNTIFS(AT$7:$AT218,1)</f>
        <v>7</v>
      </c>
    </row>
    <row r="219" spans="2:47" ht="16.5" hidden="1" outlineLevel="1">
      <c r="C219" s="424"/>
      <c r="D219" s="1432"/>
      <c r="F219" s="1432"/>
      <c r="G219" s="1378"/>
      <c r="H219" s="451"/>
      <c r="I219" s="319">
        <f t="shared" si="36"/>
        <v>0</v>
      </c>
      <c r="J219" s="1261"/>
      <c r="K219" s="248"/>
      <c r="L219" s="1434"/>
      <c r="M219" s="1434"/>
      <c r="N219" s="2149"/>
      <c r="O219" s="1434"/>
      <c r="P219" s="1451"/>
      <c r="Q219" s="991"/>
      <c r="R219" s="991"/>
      <c r="S219" s="1449"/>
      <c r="T219" s="2175">
        <f t="shared" ca="1" si="35"/>
        <v>0</v>
      </c>
      <c r="U219" s="1451"/>
      <c r="V219" s="1451"/>
      <c r="W219" s="1451"/>
      <c r="X219" s="1451"/>
      <c r="Y219" s="319">
        <f>'Sumary Crayola'!$AC$6</f>
        <v>0</v>
      </c>
      <c r="AS219" s="137" t="str">
        <f t="shared" si="33"/>
        <v>Indirect Manufacturing Cost</v>
      </c>
      <c r="AT219" s="413">
        <f t="shared" ca="1" si="34"/>
        <v>0</v>
      </c>
      <c r="AU219" s="136">
        <f ca="1">COUNTIFS(AT$7:$AT219,1)</f>
        <v>7</v>
      </c>
    </row>
    <row r="220" spans="2:47" ht="16.5" hidden="1" outlineLevel="1">
      <c r="C220" s="424"/>
      <c r="D220" s="1432"/>
      <c r="F220" s="1432"/>
      <c r="G220" s="1378"/>
      <c r="H220" s="451"/>
      <c r="I220" s="319">
        <f t="shared" si="36"/>
        <v>0</v>
      </c>
      <c r="J220" s="1261"/>
      <c r="K220" s="248"/>
      <c r="L220" s="1434"/>
      <c r="M220" s="1434"/>
      <c r="N220" s="2149"/>
      <c r="O220" s="1434"/>
      <c r="P220" s="1451"/>
      <c r="Q220" s="991"/>
      <c r="R220" s="991"/>
      <c r="S220" s="1449"/>
      <c r="T220" s="2175">
        <f t="shared" ca="1" si="35"/>
        <v>0</v>
      </c>
      <c r="U220" s="1451"/>
      <c r="V220" s="1451"/>
      <c r="W220" s="1451"/>
      <c r="X220" s="1451"/>
      <c r="Y220" s="319">
        <f>'Sumary Crayola'!$AE$6</f>
        <v>0</v>
      </c>
      <c r="AS220" s="137" t="str">
        <f t="shared" si="33"/>
        <v>Indirect Manufacturing Cost</v>
      </c>
      <c r="AT220" s="413">
        <f t="shared" ca="1" si="34"/>
        <v>0</v>
      </c>
      <c r="AU220" s="136">
        <f ca="1">COUNTIFS(AT$7:$AT220,1)</f>
        <v>7</v>
      </c>
    </row>
    <row r="221" spans="2:47" ht="16.5" hidden="1" outlineLevel="1">
      <c r="C221" s="424"/>
      <c r="D221" s="1432"/>
      <c r="F221" s="1432"/>
      <c r="G221" s="1378"/>
      <c r="H221" s="451"/>
      <c r="I221" s="319">
        <f t="shared" si="36"/>
        <v>0</v>
      </c>
      <c r="J221" s="1261"/>
      <c r="K221" s="248"/>
      <c r="L221" s="1434"/>
      <c r="M221" s="1434"/>
      <c r="N221" s="2149"/>
      <c r="O221" s="1434"/>
      <c r="P221" s="1451"/>
      <c r="Q221" s="991"/>
      <c r="R221" s="991"/>
      <c r="S221" s="1449"/>
      <c r="T221" s="2175">
        <f t="shared" ca="1" si="35"/>
        <v>0</v>
      </c>
      <c r="U221" s="1451"/>
      <c r="V221" s="1451"/>
      <c r="W221" s="1451"/>
      <c r="X221" s="1451"/>
      <c r="Y221" s="319">
        <f>'Sumary Crayola'!$AG$6</f>
        <v>0</v>
      </c>
      <c r="AS221" s="137" t="str">
        <f t="shared" si="33"/>
        <v>Indirect Manufacturing Cost</v>
      </c>
      <c r="AT221" s="413">
        <f t="shared" ca="1" si="34"/>
        <v>0</v>
      </c>
      <c r="AU221" s="136">
        <f ca="1">COUNTIFS(AT$7:$AT221,1)</f>
        <v>7</v>
      </c>
    </row>
    <row r="222" spans="2:47" ht="16.5" hidden="1" outlineLevel="1">
      <c r="C222" s="424"/>
      <c r="D222" s="1432"/>
      <c r="F222" s="1432"/>
      <c r="G222" s="1378"/>
      <c r="H222" s="451"/>
      <c r="I222" s="319">
        <f t="shared" si="36"/>
        <v>0</v>
      </c>
      <c r="J222" s="1261"/>
      <c r="K222" s="248"/>
      <c r="L222" s="1434"/>
      <c r="M222" s="1434"/>
      <c r="N222" s="2149"/>
      <c r="O222" s="1434"/>
      <c r="P222" s="1451"/>
      <c r="Q222" s="991"/>
      <c r="R222" s="991"/>
      <c r="S222" s="1449"/>
      <c r="T222" s="2175">
        <f t="shared" ca="1" si="35"/>
        <v>0</v>
      </c>
      <c r="U222" s="1451"/>
      <c r="V222" s="1451"/>
      <c r="W222" s="1451"/>
      <c r="X222" s="1451"/>
      <c r="Y222" s="319">
        <f>'Sumary Crayola'!$AI$6</f>
        <v>0</v>
      </c>
      <c r="AS222" s="137" t="str">
        <f t="shared" si="33"/>
        <v>Indirect Manufacturing Cost</v>
      </c>
      <c r="AT222" s="413">
        <f t="shared" ca="1" si="34"/>
        <v>0</v>
      </c>
      <c r="AU222" s="136">
        <f ca="1">COUNTIFS(AT$7:$AT222,1)</f>
        <v>7</v>
      </c>
    </row>
    <row r="223" spans="2:47" ht="16.5" collapsed="1">
      <c r="C223" s="424"/>
      <c r="D223" s="1432"/>
      <c r="F223" s="1432"/>
      <c r="G223" s="1378"/>
      <c r="H223" s="451"/>
      <c r="I223" s="2171"/>
      <c r="J223" s="1379"/>
      <c r="K223" s="2"/>
      <c r="L223" s="2172"/>
      <c r="M223" s="1379"/>
      <c r="N223" s="1380"/>
      <c r="O223" s="2173"/>
      <c r="P223" s="1457"/>
      <c r="Q223" s="1452"/>
      <c r="AS223" s="137" t="str">
        <f t="shared" si="33"/>
        <v>Indirect Manufacturing Cost</v>
      </c>
      <c r="AT223" s="413" t="str">
        <f t="shared" si="34"/>
        <v/>
      </c>
      <c r="AU223" s="136">
        <f ca="1">COUNTIFS(AT$7:$AT223,1)</f>
        <v>7</v>
      </c>
    </row>
    <row r="224" spans="2:47" ht="16.5">
      <c r="C224" s="424"/>
      <c r="D224" s="1432"/>
      <c r="F224" s="1432"/>
      <c r="G224" s="1378"/>
      <c r="H224" s="451"/>
      <c r="I224" s="2171"/>
      <c r="J224" s="1379"/>
      <c r="K224" s="2"/>
      <c r="L224" s="2172"/>
      <c r="M224" s="1379"/>
      <c r="N224" s="1380"/>
      <c r="O224" s="2173"/>
      <c r="P224" s="1457"/>
      <c r="Q224" s="1452"/>
      <c r="AS224" s="137" t="str">
        <f t="shared" si="33"/>
        <v>Indirect Manufacturing Cost</v>
      </c>
      <c r="AT224" s="413" t="str">
        <f t="shared" si="34"/>
        <v/>
      </c>
      <c r="AU224" s="136">
        <f ca="1">COUNTIFS(AT$7:$AT224,1)</f>
        <v>7</v>
      </c>
    </row>
    <row r="225" spans="2:20" ht="16.5">
      <c r="C225" s="424"/>
      <c r="D225" s="1432"/>
      <c r="F225" s="1432"/>
      <c r="G225" s="1378"/>
      <c r="H225" s="451"/>
      <c r="I225" s="2171"/>
      <c r="J225" s="1379"/>
      <c r="K225" s="2"/>
      <c r="L225" s="2172"/>
      <c r="M225" s="1379"/>
      <c r="N225" s="1380"/>
      <c r="O225" s="2173"/>
      <c r="P225" s="1457"/>
      <c r="Q225" s="1452"/>
    </row>
    <row r="226" spans="2:20">
      <c r="B226" s="137" t="str">
        <f>Data!L1144</f>
        <v>Komori_LX640</v>
      </c>
      <c r="C226" s="424">
        <f>Data!N1144</f>
        <v>4</v>
      </c>
      <c r="D226" s="1432">
        <f>Data!M1144</f>
        <v>83000.376301260956</v>
      </c>
      <c r="E226" s="137">
        <f>Data!S1144</f>
        <v>0.5</v>
      </c>
      <c r="F226" s="1432">
        <f>Data!R1144</f>
        <v>352574.32240985788</v>
      </c>
      <c r="G226" s="248"/>
      <c r="H226" s="394"/>
      <c r="I226" s="1036"/>
      <c r="K226" s="395"/>
      <c r="L226" s="395"/>
      <c r="M226" s="395"/>
      <c r="N226" s="1373"/>
      <c r="P226" s="1452"/>
      <c r="Q226" s="1452"/>
    </row>
    <row r="227" spans="2:20">
      <c r="B227" s="137" t="str">
        <f>Data!L1145</f>
        <v>KBA</v>
      </c>
      <c r="C227" s="424">
        <f>Data!N1145</f>
        <v>5</v>
      </c>
      <c r="D227" s="1432">
        <f>Data!M1145</f>
        <v>83000.376301260956</v>
      </c>
      <c r="E227" s="137">
        <f>Data!S1145</f>
        <v>1</v>
      </c>
      <c r="F227" s="1432">
        <f>Data!R1145</f>
        <v>352574.32240985788</v>
      </c>
      <c r="G227" s="1434"/>
      <c r="I227" s="137"/>
      <c r="T227" s="1449"/>
    </row>
    <row r="228" spans="2:20">
      <c r="B228" s="137">
        <f>Data!L1146</f>
        <v>0</v>
      </c>
      <c r="C228" s="424">
        <f>Data!N1146</f>
        <v>0</v>
      </c>
      <c r="D228" s="1432">
        <f>Data!M1146</f>
        <v>0</v>
      </c>
      <c r="E228" s="137">
        <f>Data!S1146</f>
        <v>0</v>
      </c>
      <c r="F228" s="1432">
        <f>Data!R1146</f>
        <v>0</v>
      </c>
      <c r="G228" s="1381" t="s">
        <v>85</v>
      </c>
      <c r="I228" s="1483">
        <f ca="1">IFERROR(ROUNDUP((I8+I21+I57+I89+I161+I170+I184+I185+I193+I200+I182+O212),-3),0)</f>
        <v>3052000</v>
      </c>
      <c r="J228" s="1381" t="s">
        <v>92</v>
      </c>
      <c r="K228" s="1451"/>
      <c r="L228" s="1451"/>
      <c r="M228" s="1451"/>
      <c r="N228" s="1451"/>
      <c r="O228" s="1451"/>
      <c r="P228" s="1451"/>
      <c r="Q228" s="1451"/>
      <c r="R228" s="1451"/>
      <c r="S228" s="1451"/>
      <c r="T228" s="1451"/>
    </row>
    <row r="229" spans="2:20">
      <c r="D229" s="1432"/>
      <c r="E229" s="394"/>
      <c r="F229" s="394"/>
      <c r="G229" s="1381" t="s">
        <v>1515</v>
      </c>
      <c r="I229" s="1483">
        <f ca="1">I228/IF(input!$D$1070&gt;0,input!$D$1070,I2)*0</f>
        <v>0</v>
      </c>
      <c r="J229" s="1381" t="s">
        <v>92</v>
      </c>
      <c r="K229" s="137" t="s">
        <v>3974</v>
      </c>
    </row>
    <row r="230" spans="2:20">
      <c r="D230" s="1432"/>
      <c r="E230" s="394"/>
      <c r="F230" s="394"/>
    </row>
    <row r="231" spans="2:20">
      <c r="D231" s="1432"/>
      <c r="E231" s="394"/>
      <c r="F231" s="394"/>
    </row>
    <row r="232" spans="2:20">
      <c r="D232" s="1432"/>
      <c r="E232" s="394"/>
      <c r="F232" s="394"/>
    </row>
    <row r="236" spans="2:20">
      <c r="G236" s="394"/>
      <c r="I236" s="137"/>
      <c r="J236" s="1037"/>
    </row>
    <row r="237" spans="2:20">
      <c r="G237" s="394"/>
      <c r="I237" s="137"/>
      <c r="J237" s="1037"/>
    </row>
    <row r="238" spans="2:20">
      <c r="G238" s="394"/>
      <c r="I238" s="137"/>
      <c r="J238" s="1037"/>
    </row>
    <row r="239" spans="2:20">
      <c r="G239" s="394"/>
      <c r="I239" s="137"/>
      <c r="J239" s="1037"/>
    </row>
    <row r="240" spans="2:20">
      <c r="G240" s="394"/>
      <c r="I240" s="137"/>
      <c r="J240" s="1037"/>
    </row>
    <row r="241" spans="4:10">
      <c r="G241" s="394"/>
      <c r="I241" s="137"/>
      <c r="J241" s="1037"/>
    </row>
    <row r="242" spans="4:10">
      <c r="G242" s="394"/>
      <c r="I242" s="137"/>
      <c r="J242" s="1037"/>
    </row>
    <row r="243" spans="4:10">
      <c r="D243" s="1432"/>
      <c r="E243" s="394"/>
      <c r="F243" s="394"/>
    </row>
    <row r="244" spans="4:10">
      <c r="D244" s="1432"/>
      <c r="E244" s="394"/>
      <c r="F244" s="394"/>
    </row>
  </sheetData>
  <mergeCells count="95">
    <mergeCell ref="J9:K9"/>
    <mergeCell ref="J90:K90"/>
    <mergeCell ref="J91:K91"/>
    <mergeCell ref="J92:K92"/>
    <mergeCell ref="J93:K93"/>
    <mergeCell ref="T162:T163"/>
    <mergeCell ref="L67:M67"/>
    <mergeCell ref="L85:M85"/>
    <mergeCell ref="L89:M89"/>
    <mergeCell ref="H197:I197"/>
    <mergeCell ref="N162:O162"/>
    <mergeCell ref="M162:M163"/>
    <mergeCell ref="L70:M70"/>
    <mergeCell ref="L73:M73"/>
    <mergeCell ref="L76:M76"/>
    <mergeCell ref="L79:M79"/>
    <mergeCell ref="L82:M82"/>
    <mergeCell ref="J159:K159"/>
    <mergeCell ref="J98:K98"/>
    <mergeCell ref="J99:K99"/>
    <mergeCell ref="J100:K100"/>
    <mergeCell ref="K208:L208"/>
    <mergeCell ref="P22:Q22"/>
    <mergeCell ref="R22:S22"/>
    <mergeCell ref="L58:M58"/>
    <mergeCell ref="L61:M61"/>
    <mergeCell ref="J94:K94"/>
    <mergeCell ref="J95:K95"/>
    <mergeCell ref="K202:L202"/>
    <mergeCell ref="O202:O203"/>
    <mergeCell ref="K204:L204"/>
    <mergeCell ref="O204:O205"/>
    <mergeCell ref="K206:L206"/>
    <mergeCell ref="L162:L163"/>
    <mergeCell ref="L64:M64"/>
    <mergeCell ref="J96:K96"/>
    <mergeCell ref="J97:K97"/>
    <mergeCell ref="J101:K101"/>
    <mergeCell ref="J102:K102"/>
    <mergeCell ref="J103:K103"/>
    <mergeCell ref="J104:K104"/>
    <mergeCell ref="J105:K105"/>
    <mergeCell ref="J106:K106"/>
    <mergeCell ref="J107:K107"/>
    <mergeCell ref="J108:K108"/>
    <mergeCell ref="J109:K109"/>
    <mergeCell ref="J110:K110"/>
    <mergeCell ref="J111:K111"/>
    <mergeCell ref="J112:K112"/>
    <mergeCell ref="J113:K113"/>
    <mergeCell ref="J114:K114"/>
    <mergeCell ref="J115:K115"/>
    <mergeCell ref="J116:K116"/>
    <mergeCell ref="J117:K117"/>
    <mergeCell ref="J118:K118"/>
    <mergeCell ref="J119:K119"/>
    <mergeCell ref="J120:K120"/>
    <mergeCell ref="J121:K121"/>
    <mergeCell ref="J122:K122"/>
    <mergeCell ref="J123:K123"/>
    <mergeCell ref="J124:K124"/>
    <mergeCell ref="J125:K125"/>
    <mergeCell ref="J126:K126"/>
    <mergeCell ref="J127:K127"/>
    <mergeCell ref="J128:K128"/>
    <mergeCell ref="J129:K129"/>
    <mergeCell ref="J130:K130"/>
    <mergeCell ref="J131:K131"/>
    <mergeCell ref="J132:K132"/>
    <mergeCell ref="J133:K133"/>
    <mergeCell ref="J134:K134"/>
    <mergeCell ref="J135:K135"/>
    <mergeCell ref="J136:K136"/>
    <mergeCell ref="J137:K137"/>
    <mergeCell ref="J138:K138"/>
    <mergeCell ref="J139:K139"/>
    <mergeCell ref="J140:K140"/>
    <mergeCell ref="J141:K141"/>
    <mergeCell ref="J142:K142"/>
    <mergeCell ref="J143:K143"/>
    <mergeCell ref="J144:K144"/>
    <mergeCell ref="J145:K145"/>
    <mergeCell ref="J146:K146"/>
    <mergeCell ref="J147:K147"/>
    <mergeCell ref="J148:K148"/>
    <mergeCell ref="J149:K149"/>
    <mergeCell ref="J150:K150"/>
    <mergeCell ref="J156:K156"/>
    <mergeCell ref="J157:K157"/>
    <mergeCell ref="J158:K158"/>
    <mergeCell ref="J151:K151"/>
    <mergeCell ref="J152:K152"/>
    <mergeCell ref="J153:K153"/>
    <mergeCell ref="J154:K154"/>
    <mergeCell ref="J155:K155"/>
  </mergeCells>
  <dataValidations count="9">
    <dataValidation type="list" allowBlank="1" showInputMessage="1" showErrorMessage="1" sqref="H184:H185 H193 H201:H202 H204 H206 H208 H182" xr:uid="{00000000-0002-0000-1F00-000000000000}">
      <formula1>"Y,N"</formula1>
    </dataValidation>
    <dataValidation type="list" allowBlank="1" showInputMessage="1" showErrorMessage="1" sqref="J88" xr:uid="{00000000-0002-0000-1F00-000001000000}">
      <formula1>$B$22:$B$24</formula1>
    </dataValidation>
    <dataValidation type="list" allowBlank="1" showInputMessage="1" showErrorMessage="1" sqref="H170:H180 N223:N226 N192 H90:H159 H161 N211:N212 L9" xr:uid="{00000000-0002-0000-1F00-000002000000}">
      <formula1>"Y, N"</formula1>
    </dataValidation>
    <dataValidation type="list" allowBlank="1" showInputMessage="1" showErrorMessage="1" sqref="I90:I159 I79 I76 I70:I73 I82 I85 I67 I58:I64" xr:uid="{00000000-0002-0000-1F00-000003000000}">
      <formula1>$I$23:$I$40</formula1>
    </dataValidation>
    <dataValidation type="list" allowBlank="1" showInputMessage="1" showErrorMessage="1" sqref="J58:J87" xr:uid="{00000000-0002-0000-1F00-000004000000}">
      <formula1>$B$22:$B$25</formula1>
    </dataValidation>
    <dataValidation type="list" allowBlank="1" showInputMessage="1" showErrorMessage="1" sqref="J164:J168" xr:uid="{00000000-0002-0000-1F00-000005000000}">
      <formula1>$B$209:$B$228</formula1>
    </dataValidation>
    <dataValidation type="list" allowBlank="1" showInputMessage="1" showErrorMessage="1" sqref="L164:L168" xr:uid="{00000000-0002-0000-1F00-000006000000}">
      <formula1>$B$206:$B$208</formula1>
    </dataValidation>
    <dataValidation type="list" allowBlank="1" showInputMessage="1" showErrorMessage="1" sqref="J90:K159" xr:uid="{00000000-0002-0000-1F00-000007000000}">
      <formula1>$B$59:$B$232</formula1>
    </dataValidation>
    <dataValidation type="list" allowBlank="1" showInputMessage="1" showErrorMessage="1" sqref="I6" xr:uid="{00000000-0002-0000-1F00-000008000000}">
      <formula1>"Online,Offline"</formula1>
    </dataValidation>
  </dataValidations>
  <pageMargins left="0.75" right="0.75" top="1" bottom="1" header="0.5" footer="0.5"/>
  <pageSetup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F00-00000A000000}">
          <x14:formula1>
            <xm:f>'Courier charge (Fedex)'!$C$6:$X$6</xm:f>
          </x14:formula1>
          <xm:sqref>L185</xm:sqref>
        </x14:dataValidation>
        <x14:dataValidation type="list" allowBlank="1" showInputMessage="1" showErrorMessage="1" xr:uid="{00000000-0002-0000-1F00-000009000000}">
          <x14:formula1>
            <xm:f>weight!$A$6:$A$24</xm:f>
          </x14:formula1>
          <xm:sqref>I164:I168</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
  <dimension ref="B1:AU183"/>
  <sheetViews>
    <sheetView showGridLines="0" topLeftCell="A13" zoomScale="85" zoomScaleNormal="85" workbookViewId="0">
      <selection activeCell="E25" sqref="E25"/>
    </sheetView>
  </sheetViews>
  <sheetFormatPr defaultColWidth="9" defaultRowHeight="24" customHeight="1" outlineLevelRow="1"/>
  <cols>
    <col min="1" max="1" width="9" style="136"/>
    <col min="2" max="2" width="4.85546875" style="136" customWidth="1"/>
    <col min="3" max="3" width="10.42578125" style="136" customWidth="1"/>
    <col min="4" max="4" width="14" style="136" customWidth="1"/>
    <col min="5" max="5" width="15" style="136" customWidth="1"/>
    <col min="6" max="7" width="11" style="136" customWidth="1"/>
    <col min="8" max="8" width="23.42578125" style="136" bestFit="1" customWidth="1"/>
    <col min="9" max="9" width="7" style="136" customWidth="1"/>
    <col min="10" max="10" width="6.7109375" style="136" customWidth="1"/>
    <col min="11" max="11" width="17.85546875" style="136" customWidth="1"/>
    <col min="12" max="12" width="15" style="136" customWidth="1"/>
    <col min="13" max="13" width="13.7109375" style="136" customWidth="1"/>
    <col min="14" max="14" width="8" style="136" bestFit="1" customWidth="1"/>
    <col min="15" max="15" width="10.42578125" style="136" customWidth="1"/>
    <col min="16" max="16" width="8.85546875" style="136" customWidth="1"/>
    <col min="17" max="17" width="9.42578125" style="136" bestFit="1" customWidth="1"/>
    <col min="18" max="18" width="8" style="136" customWidth="1"/>
    <col min="19" max="20" width="8.42578125" style="136" customWidth="1"/>
    <col min="21" max="21" width="6.5703125" style="136" customWidth="1"/>
    <col min="22" max="44" width="7.42578125" style="136" customWidth="1"/>
    <col min="45" max="45" width="9" style="136"/>
    <col min="46" max="47" width="9" style="315"/>
    <col min="48" max="16384" width="9" style="136"/>
  </cols>
  <sheetData>
    <row r="1" spans="2:47" ht="24" customHeight="1" thickBot="1"/>
    <row r="2" spans="2:47" s="359" customFormat="1" ht="21.75" customHeight="1">
      <c r="B2" s="382"/>
      <c r="C2" s="788" t="s">
        <v>77</v>
      </c>
      <c r="D2" s="431"/>
      <c r="E2" s="1726">
        <f>'Cost EST. GM target'!$L$6/(1+$G$3)</f>
        <v>5000</v>
      </c>
      <c r="F2" s="1725" t="s">
        <v>11</v>
      </c>
      <c r="G2" s="431"/>
      <c r="H2" s="432"/>
      <c r="I2" s="791"/>
      <c r="J2" s="319"/>
      <c r="K2" s="403"/>
      <c r="L2" s="136"/>
      <c r="M2" s="136"/>
      <c r="N2" s="319"/>
      <c r="AT2" s="315"/>
      <c r="AU2" s="315"/>
    </row>
    <row r="3" spans="2:47" s="359" customFormat="1" ht="21.75" customHeight="1">
      <c r="B3" s="382"/>
      <c r="C3" s="789" t="s">
        <v>1342</v>
      </c>
      <c r="D3" s="136"/>
      <c r="E3" s="334">
        <f>E2*(1+$G$3)</f>
        <v>5000</v>
      </c>
      <c r="F3" s="791" t="s">
        <v>11</v>
      </c>
      <c r="G3" s="720">
        <f>'Cost EST. GM target'!$N$6</f>
        <v>0</v>
      </c>
      <c r="H3" s="790" t="s">
        <v>1094</v>
      </c>
      <c r="I3" s="319"/>
      <c r="J3" s="319"/>
      <c r="K3" s="791"/>
      <c r="L3" s="136"/>
      <c r="M3" s="136"/>
      <c r="N3" s="319"/>
      <c r="AT3" s="315"/>
      <c r="AU3" s="315"/>
    </row>
    <row r="4" spans="2:47" ht="21.75" customHeight="1" thickBot="1">
      <c r="B4" s="320"/>
      <c r="C4" s="792" t="s">
        <v>1341</v>
      </c>
      <c r="D4" s="793"/>
      <c r="E4" s="794">
        <f>E3*(1+$G$4)</f>
        <v>5225</v>
      </c>
      <c r="F4" s="886" t="s">
        <v>11</v>
      </c>
      <c r="G4" s="795">
        <f>input!$D$4</f>
        <v>4.4999999999999998E-2</v>
      </c>
      <c r="H4" s="796" t="s">
        <v>78</v>
      </c>
      <c r="J4" s="797"/>
      <c r="K4" s="791"/>
      <c r="L4" s="3198" t="s">
        <v>3325</v>
      </c>
      <c r="M4" s="3199">
        <f>IF(input!$F$1=2023,5%,0%)*0</f>
        <v>0</v>
      </c>
    </row>
    <row r="5" spans="2:47" ht="24" customHeight="1">
      <c r="L5" s="319" t="s">
        <v>267</v>
      </c>
      <c r="M5" s="720">
        <f>input!D5</f>
        <v>0</v>
      </c>
    </row>
    <row r="6" spans="2:47" ht="24" customHeight="1">
      <c r="C6" s="798" t="s">
        <v>1514</v>
      </c>
      <c r="D6" s="798"/>
      <c r="E6" s="319"/>
      <c r="F6" s="319"/>
      <c r="I6" s="319"/>
      <c r="J6" s="799" t="s">
        <v>177</v>
      </c>
      <c r="K6" s="800">
        <f ca="1">F29+F53+F77</f>
        <v>625813.09947333345</v>
      </c>
      <c r="L6" s="801" t="s">
        <v>1515</v>
      </c>
      <c r="M6" s="801">
        <f ca="1">K6/E2*(1+$M$5)*(1+$M$4)</f>
        <v>125.16261989466669</v>
      </c>
      <c r="N6" s="800" t="s">
        <v>97</v>
      </c>
    </row>
    <row r="7" spans="2:47" ht="24" customHeight="1" thickBot="1">
      <c r="C7" s="763" t="s">
        <v>1500</v>
      </c>
      <c r="AT7" s="3598" t="s">
        <v>135</v>
      </c>
      <c r="AU7" s="3598"/>
    </row>
    <row r="8" spans="2:47" s="402" customFormat="1" ht="24" customHeight="1" outlineLevel="1" thickBot="1">
      <c r="C8" s="764" t="s">
        <v>162</v>
      </c>
      <c r="D8" s="765" t="str">
        <f>input!B1179</f>
        <v>Y</v>
      </c>
      <c r="E8" s="730" t="str">
        <f>input!C1179</f>
        <v>An Truong Phat</v>
      </c>
      <c r="F8" s="731" t="str">
        <f>input!D1179</f>
        <v>Double Wall</v>
      </c>
      <c r="G8" s="731" t="str">
        <f>input!E1179</f>
        <v>Others</v>
      </c>
      <c r="H8" s="136"/>
      <c r="I8" s="136"/>
      <c r="L8" s="732" t="str">
        <f>E8</f>
        <v>An Truong Phat</v>
      </c>
      <c r="M8" s="732"/>
      <c r="N8" s="732" t="s">
        <v>3314</v>
      </c>
      <c r="O8" s="733"/>
      <c r="AT8" s="3598" t="str">
        <f>IF(ISNUMBER(M8),IF(M8&lt;&gt;0,IF(ISNUMBER(SEARCH("to",J8)),0,1),0),"")</f>
        <v/>
      </c>
      <c r="AU8" s="315"/>
    </row>
    <row r="9" spans="2:47" s="402" customFormat="1" ht="24" customHeight="1" outlineLevel="1" thickBot="1">
      <c r="C9" s="766" t="s">
        <v>107</v>
      </c>
      <c r="D9" s="765" t="str">
        <f>input!B1180</f>
        <v>N</v>
      </c>
      <c r="E9" s="767">
        <f ca="1">input!C1180</f>
        <v>1902</v>
      </c>
      <c r="F9" s="768">
        <f>input!D1180</f>
        <v>529</v>
      </c>
      <c r="G9" s="136"/>
      <c r="H9" s="136"/>
      <c r="I9" s="136"/>
      <c r="L9" s="734" t="s">
        <v>68</v>
      </c>
      <c r="M9" s="2432">
        <f>IF(O11="TT Kinh Do",Data!$R$1069,IF(L8="An Truong Phat",Data!$R$1067,R20))</f>
        <v>13038</v>
      </c>
      <c r="N9" s="404" t="s">
        <v>131</v>
      </c>
      <c r="AT9" s="3598"/>
      <c r="AU9" s="315"/>
    </row>
    <row r="10" spans="2:47" s="402" customFormat="1" ht="24" customHeight="1" outlineLevel="1" thickBot="1">
      <c r="B10" s="403"/>
      <c r="C10" s="769" t="s">
        <v>155</v>
      </c>
      <c r="D10" s="765" t="str">
        <f>input!B1181</f>
        <v>N</v>
      </c>
      <c r="E10" s="136"/>
      <c r="F10" s="375"/>
      <c r="G10" s="375"/>
      <c r="H10" s="136"/>
      <c r="I10" s="136"/>
      <c r="K10" s="770"/>
      <c r="L10" s="735" t="s">
        <v>69</v>
      </c>
      <c r="M10" s="2433">
        <f>IF(L8="An Truong Phat",Data!$R$1064,R19)</f>
        <v>9553</v>
      </c>
      <c r="N10" s="429" t="s">
        <v>131</v>
      </c>
      <c r="AT10" s="3598"/>
      <c r="AU10" s="315"/>
    </row>
    <row r="11" spans="2:47" s="402" customFormat="1" ht="24" customHeight="1" outlineLevel="1">
      <c r="B11" s="403"/>
      <c r="C11" s="319"/>
      <c r="D11" s="333" t="s">
        <v>18</v>
      </c>
      <c r="E11" s="333" t="s">
        <v>19</v>
      </c>
      <c r="F11" s="333" t="s">
        <v>14</v>
      </c>
      <c r="G11" s="322"/>
      <c r="H11" s="136"/>
      <c r="I11" s="136"/>
      <c r="K11" s="409" t="s">
        <v>132</v>
      </c>
      <c r="L11" s="736">
        <f ca="1">input!N1181</f>
        <v>1.2803580000000001</v>
      </c>
      <c r="M11" s="737"/>
      <c r="N11" s="738"/>
      <c r="O11" s="739" t="str">
        <f>G8</f>
        <v>Others</v>
      </c>
      <c r="AT11" s="3598"/>
      <c r="AU11" s="315"/>
    </row>
    <row r="12" spans="2:47" s="319" customFormat="1" ht="24" customHeight="1" outlineLevel="1">
      <c r="C12" s="412" t="s">
        <v>183</v>
      </c>
      <c r="D12" s="740">
        <f>input!B1183</f>
        <v>341</v>
      </c>
      <c r="E12" s="740">
        <f>input!C1183</f>
        <v>6.4</v>
      </c>
      <c r="F12" s="740">
        <f ca="1">input!D1183</f>
        <v>185</v>
      </c>
      <c r="G12" s="404" t="s">
        <v>10</v>
      </c>
      <c r="H12" s="136"/>
      <c r="I12" s="136"/>
      <c r="K12" s="410" t="s">
        <v>1581</v>
      </c>
      <c r="L12" s="741">
        <f ca="1">input!N1182</f>
        <v>0</v>
      </c>
      <c r="M12" s="742">
        <f ca="1">IF(O11="Crayola",N12*S19,L11*M10*N12)</f>
        <v>0</v>
      </c>
      <c r="N12" s="743">
        <f>IF(F8=K12,1,0)</f>
        <v>0</v>
      </c>
      <c r="O12" s="136"/>
      <c r="AT12" s="3598"/>
      <c r="AU12" s="315"/>
    </row>
    <row r="13" spans="2:47" s="402" customFormat="1" ht="24" customHeight="1" outlineLevel="1" thickBot="1">
      <c r="C13" s="412" t="s">
        <v>1479</v>
      </c>
      <c r="D13" s="404">
        <f>input!B1184</f>
        <v>1</v>
      </c>
      <c r="E13" s="404">
        <f>input!C1184</f>
        <v>75</v>
      </c>
      <c r="F13" s="404">
        <f>input!D1184</f>
        <v>2</v>
      </c>
      <c r="G13" s="404" t="s">
        <v>11</v>
      </c>
      <c r="H13" s="426" t="s">
        <v>1503</v>
      </c>
      <c r="I13" s="744">
        <f>input!H1184</f>
        <v>1</v>
      </c>
      <c r="K13" s="411" t="s">
        <v>1582</v>
      </c>
      <c r="L13" s="745">
        <f ca="1">input!N1183</f>
        <v>1.0082819250000001</v>
      </c>
      <c r="M13" s="746">
        <f ca="1">IF(O11="Crayola",N13*S20,L11*M9*N13)</f>
        <v>16693.307604000001</v>
      </c>
      <c r="N13" s="747">
        <f>IF(F8=K13,1,0)</f>
        <v>1</v>
      </c>
      <c r="O13" s="136"/>
      <c r="AT13" s="3598"/>
      <c r="AU13" s="315"/>
    </row>
    <row r="14" spans="2:47" s="402" customFormat="1" ht="24" customHeight="1" outlineLevel="1">
      <c r="C14" s="420" t="s">
        <v>672</v>
      </c>
      <c r="D14" s="421">
        <f>input!B1185</f>
        <v>349</v>
      </c>
      <c r="E14" s="421">
        <f>input!C1185</f>
        <v>488</v>
      </c>
      <c r="F14" s="421">
        <f ca="1">input!D1185</f>
        <v>378</v>
      </c>
      <c r="G14" s="421" t="s">
        <v>10</v>
      </c>
      <c r="H14" s="426" t="s">
        <v>1504</v>
      </c>
      <c r="I14" s="744">
        <f>input!H1185</f>
        <v>150</v>
      </c>
      <c r="K14" s="771" t="s">
        <v>107</v>
      </c>
      <c r="L14" s="772" t="s">
        <v>7</v>
      </c>
      <c r="M14" s="773">
        <f ca="1">E9</f>
        <v>1902</v>
      </c>
      <c r="N14" s="774">
        <f ca="1">IF(AND(M14&gt;1200,M15&gt;1200),ROUNDUP(MAX(M14,M15)/1200,0)*1200,IF(M14&gt;1200,1200/INT(1200/M15),1200/INT(1200/M14)))</f>
        <v>600</v>
      </c>
      <c r="O14" s="136"/>
      <c r="AT14" s="3598"/>
      <c r="AU14" s="315"/>
    </row>
    <row r="15" spans="2:47" s="402" customFormat="1" ht="24" customHeight="1" outlineLevel="1" thickBot="1">
      <c r="C15" s="421" t="s">
        <v>35</v>
      </c>
      <c r="D15" s="421">
        <f>input!B1186</f>
        <v>363</v>
      </c>
      <c r="E15" s="421">
        <f>input!C1186</f>
        <v>502</v>
      </c>
      <c r="F15" s="421">
        <f ca="1">input!D1186</f>
        <v>394</v>
      </c>
      <c r="G15" s="421" t="s">
        <v>10</v>
      </c>
      <c r="H15" s="1" t="s">
        <v>1505</v>
      </c>
      <c r="I15" s="775">
        <f>input!H1186</f>
        <v>35</v>
      </c>
      <c r="K15" s="776" t="str">
        <f>D9</f>
        <v>N</v>
      </c>
      <c r="L15" s="777" t="s">
        <v>9</v>
      </c>
      <c r="M15" s="778">
        <f>F9</f>
        <v>529</v>
      </c>
      <c r="N15" s="779">
        <f ca="1">IF(AND(M14&gt;1200,M15&gt;1200),MIN(M14,M15)*I15,IF(M14&gt;1200,M14*I15,M15*I15))</f>
        <v>66570</v>
      </c>
      <c r="O15" s="136"/>
      <c r="AT15" s="3598"/>
      <c r="AU15" s="315"/>
    </row>
    <row r="16" spans="2:47" s="402" customFormat="1" ht="24" customHeight="1" outlineLevel="1">
      <c r="C16" s="412" t="s">
        <v>36</v>
      </c>
      <c r="D16" s="740">
        <f>input!B1187</f>
        <v>3</v>
      </c>
      <c r="E16" s="740">
        <f>input!C1187</f>
        <v>3</v>
      </c>
      <c r="F16" s="740">
        <f>input!D1187</f>
        <v>3</v>
      </c>
      <c r="G16" s="404"/>
      <c r="H16" s="425" t="s">
        <v>1506</v>
      </c>
      <c r="I16" s="744">
        <f>input!H1187</f>
        <v>27</v>
      </c>
      <c r="K16" s="403" t="s">
        <v>522</v>
      </c>
      <c r="AT16" s="3598"/>
      <c r="AU16" s="315"/>
    </row>
    <row r="17" spans="2:47" ht="24" customHeight="1" outlineLevel="1">
      <c r="C17" s="422" t="s">
        <v>1482</v>
      </c>
      <c r="D17" s="423">
        <f>input!B1188</f>
        <v>116.9</v>
      </c>
      <c r="E17" s="423">
        <f>input!C1188</f>
        <v>158.6</v>
      </c>
      <c r="F17" s="423">
        <f ca="1">input!D1188</f>
        <v>139.69999999999999</v>
      </c>
      <c r="G17" s="404" t="s">
        <v>1458</v>
      </c>
      <c r="H17" s="1" t="s">
        <v>1507</v>
      </c>
      <c r="I17" s="780">
        <f>input!H1188</f>
        <v>0</v>
      </c>
      <c r="K17" s="4446" t="s">
        <v>505</v>
      </c>
      <c r="L17" s="748" t="s">
        <v>506</v>
      </c>
      <c r="M17" s="748" t="s">
        <v>507</v>
      </c>
      <c r="N17" s="749" t="s">
        <v>1416</v>
      </c>
      <c r="O17" s="750"/>
      <c r="P17" s="751"/>
      <c r="Q17" s="752" t="s">
        <v>508</v>
      </c>
      <c r="R17" s="753" t="s">
        <v>509</v>
      </c>
      <c r="S17" s="748" t="s">
        <v>1580</v>
      </c>
      <c r="T17" s="754" t="s">
        <v>510</v>
      </c>
      <c r="AT17" s="3598"/>
    </row>
    <row r="18" spans="2:47" s="402" customFormat="1" ht="24" customHeight="1" outlineLevel="1">
      <c r="B18" s="403"/>
      <c r="C18" s="427" t="s">
        <v>101</v>
      </c>
      <c r="D18" s="2944">
        <f>(((MAX(D15:E15)*1.5)+(MIN(D15:E15)*1.5*2))*2*I15/1000/45)</f>
        <v>2.8653333333333331</v>
      </c>
      <c r="E18" s="2944" t="s">
        <v>104</v>
      </c>
      <c r="F18" s="2944">
        <v>14500</v>
      </c>
      <c r="G18" s="428">
        <f>$D18*F18</f>
        <v>41547.333333333328</v>
      </c>
      <c r="H18" s="781" t="s">
        <v>92</v>
      </c>
      <c r="K18" s="4447"/>
      <c r="L18" s="755"/>
      <c r="M18" s="755"/>
      <c r="N18" s="748" t="s">
        <v>9</v>
      </c>
      <c r="O18" s="748" t="s">
        <v>7</v>
      </c>
      <c r="P18" s="748" t="s">
        <v>291</v>
      </c>
      <c r="Q18" s="756"/>
      <c r="R18" s="757"/>
      <c r="S18" s="755"/>
      <c r="T18" s="754"/>
      <c r="AT18" s="3598"/>
      <c r="AU18" s="315"/>
    </row>
    <row r="19" spans="2:47" s="402" customFormat="1" ht="24" customHeight="1" outlineLevel="1">
      <c r="C19" s="412" t="s">
        <v>188</v>
      </c>
      <c r="D19" s="2945">
        <f>IF(D10="Y",((((2*D15*D16)+(2*E15*E16))*9*I17)/300/1000),0)</f>
        <v>0</v>
      </c>
      <c r="E19" s="2945" t="s">
        <v>104</v>
      </c>
      <c r="F19" s="3140">
        <v>120000</v>
      </c>
      <c r="G19" s="404">
        <f>$D19*F19</f>
        <v>0</v>
      </c>
      <c r="H19" s="326" t="s">
        <v>92</v>
      </c>
      <c r="K19" s="387">
        <v>2</v>
      </c>
      <c r="L19" s="758">
        <v>3</v>
      </c>
      <c r="M19" s="758" t="s">
        <v>962</v>
      </c>
      <c r="N19" s="759">
        <f>MAX(D14:E14)</f>
        <v>488</v>
      </c>
      <c r="O19" s="759">
        <f>MIN(D14:E14)</f>
        <v>349</v>
      </c>
      <c r="P19" s="759">
        <f ca="1">F14</f>
        <v>378</v>
      </c>
      <c r="Q19" s="388">
        <f ca="1">+(N19*2+O19*2+40)* (O19+P19+30)/1000000</f>
        <v>1.297498</v>
      </c>
      <c r="R19" s="2434">
        <f>IF($G8="Crayola",Data!$R$1066,Data!$R$1065)</f>
        <v>10040</v>
      </c>
      <c r="S19" s="782">
        <f ca="1">R19*Q19</f>
        <v>13026.879920000001</v>
      </c>
      <c r="T19" s="760" t="s">
        <v>511</v>
      </c>
      <c r="AT19" s="3598"/>
      <c r="AU19" s="315"/>
    </row>
    <row r="20" spans="2:47" s="402" customFormat="1" ht="39" customHeight="1" outlineLevel="1" thickBot="1">
      <c r="B20" s="403"/>
      <c r="C20" s="412" t="s">
        <v>187</v>
      </c>
      <c r="D20" s="2945">
        <f>IF(D10="Y",((((2*((2*F17)+(2*E17)+10))+(3*((2*F17)+(2*D17)+10)))*I17)/100/(40)),0)</f>
        <v>0</v>
      </c>
      <c r="E20" s="2945" t="s">
        <v>288</v>
      </c>
      <c r="F20" s="3140">
        <v>27500</v>
      </c>
      <c r="G20" s="404">
        <f>$D20*F20</f>
        <v>0</v>
      </c>
      <c r="H20" s="326" t="s">
        <v>92</v>
      </c>
      <c r="I20" s="403"/>
      <c r="K20" s="387">
        <v>3</v>
      </c>
      <c r="L20" s="758">
        <v>5</v>
      </c>
      <c r="M20" s="758" t="s">
        <v>512</v>
      </c>
      <c r="N20" s="759">
        <f>N19</f>
        <v>488</v>
      </c>
      <c r="O20" s="759">
        <f>O19</f>
        <v>349</v>
      </c>
      <c r="P20" s="759">
        <f ca="1">P19</f>
        <v>378</v>
      </c>
      <c r="Q20" s="388">
        <f ca="1">+(N20*2+O20*2+40)* (O20+P20+30)/1000000</f>
        <v>1.297498</v>
      </c>
      <c r="R20" s="2434">
        <f>Data!$R$1068</f>
        <v>14173</v>
      </c>
      <c r="S20" s="782">
        <f ca="1">R20*Q20</f>
        <v>18389.439154</v>
      </c>
      <c r="T20" s="760" t="s">
        <v>513</v>
      </c>
      <c r="AT20" s="3598"/>
      <c r="AU20" s="315"/>
    </row>
    <row r="21" spans="2:47" ht="24" customHeight="1" outlineLevel="1">
      <c r="C21" s="412" t="s">
        <v>102</v>
      </c>
      <c r="D21" s="2945">
        <f>IF(D10="Y",((4*I17)/40),0)</f>
        <v>0</v>
      </c>
      <c r="E21" s="2945" t="s">
        <v>105</v>
      </c>
      <c r="F21" s="3140">
        <v>25000</v>
      </c>
      <c r="G21" s="404">
        <f>$D21*F21</f>
        <v>0</v>
      </c>
      <c r="H21" s="326" t="s">
        <v>92</v>
      </c>
      <c r="I21" s="761"/>
      <c r="J21" s="402"/>
      <c r="K21" s="2934">
        <f>1*1.2*0.2*I17</f>
        <v>0</v>
      </c>
      <c r="L21" s="2935" t="s">
        <v>1051</v>
      </c>
      <c r="M21" s="2936"/>
      <c r="N21" s="2937">
        <f>1*1.2*0.2*I17</f>
        <v>0</v>
      </c>
      <c r="O21" s="4443" t="s">
        <v>1720</v>
      </c>
      <c r="P21" s="4444"/>
      <c r="Q21" s="2938" t="s">
        <v>690</v>
      </c>
      <c r="AT21" s="3598"/>
    </row>
    <row r="22" spans="2:47" ht="24" customHeight="1" outlineLevel="1" thickBot="1">
      <c r="C22" s="412" t="s">
        <v>47</v>
      </c>
      <c r="D22" s="2945">
        <f>IF(D9="Y",MAX('Flute in SPV1'!$I$8:$I$11)*1000,0)</f>
        <v>0</v>
      </c>
      <c r="E22" s="2945" t="s">
        <v>563</v>
      </c>
      <c r="F22" s="2945">
        <f ca="1">N14*N15</f>
        <v>39942000</v>
      </c>
      <c r="G22" s="404">
        <f ca="1">ROUNDUP((150*F22)/10^12,3)*$D22</f>
        <v>0</v>
      </c>
      <c r="H22" s="326" t="s">
        <v>92</v>
      </c>
      <c r="I22" s="320"/>
      <c r="J22" s="402"/>
      <c r="K22" s="2939" t="s">
        <v>1052</v>
      </c>
      <c r="L22" s="2970">
        <v>640000</v>
      </c>
      <c r="M22" s="2940"/>
      <c r="N22" s="2941" t="s">
        <v>1052</v>
      </c>
      <c r="O22" s="4445">
        <v>230000</v>
      </c>
      <c r="P22" s="4445"/>
      <c r="Q22" s="2942">
        <f>'Sum local charge July.19'!$I$103*2</f>
        <v>5756000</v>
      </c>
      <c r="AT22" s="3598"/>
    </row>
    <row r="23" spans="2:47" ht="24" customHeight="1" outlineLevel="1">
      <c r="C23" s="412" t="s">
        <v>1508</v>
      </c>
      <c r="D23" s="2945">
        <f>IF($D9="Y",ROUNDUP(((E9*F9)/10^6)*I15*10%/7.5,2),0)</f>
        <v>0</v>
      </c>
      <c r="E23" s="2945" t="s">
        <v>288</v>
      </c>
      <c r="F23" s="2945">
        <f>Data!$O$965</f>
        <v>14500</v>
      </c>
      <c r="G23" s="404">
        <f>$D23*F23</f>
        <v>0</v>
      </c>
      <c r="H23" s="326" t="s">
        <v>92</v>
      </c>
      <c r="I23" s="320"/>
      <c r="J23" s="402"/>
      <c r="AT23" s="3598"/>
    </row>
    <row r="24" spans="2:47" ht="24" customHeight="1" outlineLevel="1">
      <c r="C24" s="405" t="s">
        <v>45</v>
      </c>
      <c r="D24" s="406"/>
      <c r="E24" s="404">
        <f ca="1">SUM(M12:M13)</f>
        <v>16693.307604000001</v>
      </c>
      <c r="F24" s="404">
        <f ca="1">IF(D8="Y",E24*I15,)</f>
        <v>584265.76614000008</v>
      </c>
      <c r="G24" s="404">
        <f ca="1">IF($E$2&gt;0,F24/$E$2,0)</f>
        <v>116.85315322800001</v>
      </c>
      <c r="I24" s="320"/>
      <c r="J24" s="402"/>
      <c r="K24" s="386"/>
      <c r="L24" s="386"/>
      <c r="M24" s="386"/>
      <c r="AT24" s="3598">
        <f ca="1">IF(ISNUMBER(F24),IF(F24&lt;&gt;0,IF(ISNUMBER(SEARCH("to",J24)),0,1),0),"")</f>
        <v>1</v>
      </c>
      <c r="AU24" s="315">
        <f ca="1">COUNTIFS(AT$7:$AT24,1)</f>
        <v>1</v>
      </c>
    </row>
    <row r="25" spans="2:47" ht="24" customHeight="1" outlineLevel="1">
      <c r="C25" s="405" t="s">
        <v>46</v>
      </c>
      <c r="D25" s="406"/>
      <c r="E25" s="2945">
        <v>380000</v>
      </c>
      <c r="F25" s="404">
        <f>IF(D10="Y",E25*I17,0)</f>
        <v>0</v>
      </c>
      <c r="G25" s="404">
        <f>IF($E$2&gt;0,F25/$E$2,0)</f>
        <v>0</v>
      </c>
      <c r="K25" s="386"/>
      <c r="L25" s="2943"/>
      <c r="M25" s="386"/>
      <c r="AT25" s="3598">
        <f>IF(ISNUMBER(F25),IF(F25&lt;&gt;0,IF(ISNUMBER(SEARCH("to",J25)),0,1),0),"")</f>
        <v>0</v>
      </c>
      <c r="AU25" s="315">
        <f ca="1">COUNTIFS(AT$7:$AT25,1)</f>
        <v>1</v>
      </c>
    </row>
    <row r="26" spans="2:47" ht="24" customHeight="1" outlineLevel="1">
      <c r="C26" s="405" t="s">
        <v>1053</v>
      </c>
      <c r="D26" s="406"/>
      <c r="E26" s="2945">
        <f>L22/20*ROUNDUP(K21,0)</f>
        <v>0</v>
      </c>
      <c r="F26" s="404">
        <f>IF(D10="Y",E26,0)</f>
        <v>0</v>
      </c>
      <c r="G26" s="404">
        <f>IF($E$2&gt;0,F26/$E$2,0)</f>
        <v>0</v>
      </c>
      <c r="H26" s="783"/>
      <c r="I26" s="320"/>
      <c r="K26" s="386"/>
      <c r="L26" s="2943"/>
      <c r="M26" s="386"/>
      <c r="AT26" s="3598">
        <f>IF(ISNUMBER(F26),IF(F26&lt;&gt;0,IF(ISNUMBER(SEARCH("to",J26)),0,1),0),"")</f>
        <v>0</v>
      </c>
      <c r="AU26" s="315">
        <f ca="1">COUNTIFS(AT$7:$AT26,1)</f>
        <v>1</v>
      </c>
    </row>
    <row r="27" spans="2:47" ht="24" customHeight="1" outlineLevel="1">
      <c r="C27" s="724" t="s">
        <v>1720</v>
      </c>
      <c r="D27" s="725"/>
      <c r="E27" s="2945">
        <f>(O22*20+Q22)/20*ROUNDUP(N21,0)</f>
        <v>0</v>
      </c>
      <c r="F27" s="726">
        <f>IF(D10="Y",E27,0)*IF(AND(Freight!$C$62=Freight!$M$89,Freight!$D$77=0,Freight!$D$81=0),0,1)</f>
        <v>0</v>
      </c>
      <c r="G27" s="404">
        <f>IF($E$2&gt;0,F27/$E$2,0)</f>
        <v>0</v>
      </c>
      <c r="H27" s="783"/>
      <c r="I27" s="320"/>
      <c r="K27" s="386"/>
      <c r="L27" s="386"/>
      <c r="M27" s="386"/>
      <c r="AT27" s="3598">
        <f>IF(ISNUMBER(F27),IF(F27&lt;&gt;0,IF(ISNUMBER(SEARCH("to",J27)),0,1),0),"")</f>
        <v>0</v>
      </c>
      <c r="AU27" s="315">
        <f ca="1">COUNTIFS(AT$7:$AT27,1)</f>
        <v>1</v>
      </c>
    </row>
    <row r="28" spans="2:47" s="386" customFormat="1" ht="24" customHeight="1" outlineLevel="1" thickBot="1">
      <c r="C28" s="407" t="s">
        <v>1499</v>
      </c>
      <c r="D28" s="408"/>
      <c r="E28" s="404"/>
      <c r="F28" s="404">
        <f ca="1">SUM(G18:G23)</f>
        <v>41547.333333333328</v>
      </c>
      <c r="G28" s="404">
        <f ca="1">IF($E$2&gt;0,F28/$E$2,0)</f>
        <v>8.3094666666666654</v>
      </c>
      <c r="H28" s="136"/>
      <c r="I28" s="136"/>
      <c r="J28" s="136"/>
      <c r="K28" s="136"/>
      <c r="L28" s="136"/>
      <c r="M28" s="136"/>
      <c r="N28" s="136"/>
      <c r="O28" s="136"/>
      <c r="AT28" s="3598">
        <f ca="1">IF(ISNUMBER(F28),IF(F28&lt;&gt;0,IF(ISNUMBER(SEARCH("to",J28)),0,1),0),"")</f>
        <v>1</v>
      </c>
      <c r="AU28" s="315">
        <f ca="1">COUNTIFS(AT$7:$AT28,1)</f>
        <v>2</v>
      </c>
    </row>
    <row r="29" spans="2:47" s="386" customFormat="1" ht="24" customHeight="1" thickTop="1">
      <c r="C29" s="784" t="s">
        <v>85</v>
      </c>
      <c r="D29" s="785"/>
      <c r="E29" s="785"/>
      <c r="F29" s="786">
        <f ca="1">SUM(F24:F28)</f>
        <v>625813.09947333345</v>
      </c>
      <c r="G29" s="787">
        <f ca="1">SUM(G24:G28)</f>
        <v>125.16261989466668</v>
      </c>
      <c r="W29" s="389"/>
      <c r="AT29" s="3598"/>
      <c r="AU29" s="315">
        <f ca="1">COUNTIFS(AT$7:$AT29,1)</f>
        <v>2</v>
      </c>
    </row>
    <row r="30" spans="2:47" s="386" customFormat="1" ht="24" customHeight="1">
      <c r="H30" s="319"/>
      <c r="W30" s="389"/>
      <c r="AT30" s="3598"/>
      <c r="AU30" s="315">
        <f ca="1">COUNTIFS(AT$7:$AT30,1)</f>
        <v>2</v>
      </c>
    </row>
    <row r="31" spans="2:47" s="386" customFormat="1" ht="24" customHeight="1" thickBot="1">
      <c r="C31" s="763" t="s">
        <v>1509</v>
      </c>
      <c r="D31" s="136"/>
      <c r="E31" s="136"/>
      <c r="F31" s="136"/>
      <c r="G31" s="136"/>
      <c r="H31" s="136"/>
      <c r="I31" s="136"/>
      <c r="J31" s="136"/>
      <c r="K31" s="136"/>
      <c r="L31" s="136"/>
      <c r="M31" s="136"/>
      <c r="N31" s="136"/>
      <c r="O31" s="136"/>
      <c r="P31" s="136"/>
      <c r="Q31" s="136"/>
      <c r="R31" s="136"/>
      <c r="S31" s="136"/>
      <c r="T31" s="136"/>
      <c r="W31" s="389"/>
      <c r="AT31" s="3598"/>
      <c r="AU31" s="315">
        <f ca="1">COUNTIFS(AT$7:$AT31,1)</f>
        <v>2</v>
      </c>
    </row>
    <row r="32" spans="2:47" s="413" customFormat="1" ht="24" hidden="1" customHeight="1" outlineLevel="1" thickBot="1">
      <c r="C32" s="764" t="s">
        <v>162</v>
      </c>
      <c r="D32" s="765" t="str">
        <f>input!B1191</f>
        <v>N</v>
      </c>
      <c r="E32" s="730" t="str">
        <f>input!C1191</f>
        <v>An Truong Phat</v>
      </c>
      <c r="F32" s="731" t="str">
        <f>input!D1191</f>
        <v>Single Wall</v>
      </c>
      <c r="G32" s="731" t="str">
        <f>input!E1191</f>
        <v>Others</v>
      </c>
      <c r="H32" s="136"/>
      <c r="I32" s="136"/>
      <c r="J32" s="402"/>
      <c r="K32" s="402"/>
      <c r="L32" s="732" t="str">
        <f>E32</f>
        <v>An Truong Phat</v>
      </c>
      <c r="M32" s="732"/>
      <c r="N32" s="732"/>
      <c r="O32" s="733"/>
      <c r="P32" s="402"/>
      <c r="Q32" s="402"/>
      <c r="R32" s="402"/>
      <c r="S32" s="402"/>
      <c r="T32" s="402"/>
      <c r="W32" s="414"/>
      <c r="AT32" s="3598"/>
      <c r="AU32" s="315">
        <f ca="1">COUNTIFS(AT$7:$AT32,1)</f>
        <v>2</v>
      </c>
    </row>
    <row r="33" spans="3:47" ht="24" hidden="1" customHeight="1" outlineLevel="1" thickBot="1">
      <c r="C33" s="766" t="s">
        <v>107</v>
      </c>
      <c r="D33" s="765" t="str">
        <f>input!B1192</f>
        <v>N</v>
      </c>
      <c r="E33" s="767">
        <f>input!C1192</f>
        <v>182</v>
      </c>
      <c r="F33" s="768">
        <f>input!D1192</f>
        <v>182</v>
      </c>
      <c r="J33" s="402"/>
      <c r="K33" s="402"/>
      <c r="L33" s="734" t="s">
        <v>68</v>
      </c>
      <c r="M33" s="2432">
        <f>IF(O35="TT Kinh Do",Data!$R$1069,IF(L32="An Truong Phat",Data!$R$1067,R44))</f>
        <v>13038</v>
      </c>
      <c r="N33" s="404" t="s">
        <v>131</v>
      </c>
      <c r="O33" s="402"/>
      <c r="P33" s="402"/>
      <c r="Q33" s="402"/>
      <c r="R33" s="402"/>
      <c r="S33" s="402"/>
      <c r="T33" s="402"/>
      <c r="W33" s="389"/>
      <c r="AT33" s="3598"/>
      <c r="AU33" s="315">
        <f ca="1">COUNTIFS(AT$7:$AT33,1)</f>
        <v>2</v>
      </c>
    </row>
    <row r="34" spans="3:47" ht="24" hidden="1" customHeight="1" outlineLevel="1" thickBot="1">
      <c r="C34" s="769" t="s">
        <v>155</v>
      </c>
      <c r="D34" s="765" t="str">
        <f>input!B1193</f>
        <v>N</v>
      </c>
      <c r="F34" s="375"/>
      <c r="G34" s="375"/>
      <c r="J34" s="402"/>
      <c r="K34" s="770"/>
      <c r="L34" s="735" t="s">
        <v>69</v>
      </c>
      <c r="M34" s="2433">
        <f>IF(L32="An Truong Phat",Data!$R$1064,R43)</f>
        <v>9553</v>
      </c>
      <c r="N34" s="429" t="s">
        <v>131</v>
      </c>
      <c r="O34" s="402"/>
      <c r="P34" s="402"/>
      <c r="Q34" s="402"/>
      <c r="R34" s="402"/>
      <c r="S34" s="402"/>
      <c r="T34" s="402"/>
      <c r="W34" s="389"/>
      <c r="AT34" s="3598"/>
      <c r="AU34" s="315">
        <f ca="1">COUNTIFS(AT$7:$AT34,1)</f>
        <v>2</v>
      </c>
    </row>
    <row r="35" spans="3:47" ht="24" hidden="1" customHeight="1" outlineLevel="1">
      <c r="C35" s="319"/>
      <c r="D35" s="333" t="s">
        <v>18</v>
      </c>
      <c r="E35" s="333" t="s">
        <v>19</v>
      </c>
      <c r="F35" s="333" t="s">
        <v>14</v>
      </c>
      <c r="G35" s="322"/>
      <c r="J35" s="402"/>
      <c r="K35" s="409" t="s">
        <v>132</v>
      </c>
      <c r="L35" s="736">
        <f>input!N1193</f>
        <v>2.5920000000000001E-3</v>
      </c>
      <c r="M35" s="737"/>
      <c r="N35" s="738"/>
      <c r="O35" s="739" t="str">
        <f>G32</f>
        <v>Others</v>
      </c>
      <c r="P35" s="402"/>
      <c r="Q35" s="402"/>
      <c r="R35" s="402"/>
      <c r="S35" s="402"/>
      <c r="T35" s="402"/>
      <c r="W35" s="389"/>
      <c r="AT35" s="3598"/>
      <c r="AU35" s="315">
        <f ca="1">COUNTIFS(AT$7:$AT35,1)</f>
        <v>2</v>
      </c>
    </row>
    <row r="36" spans="3:47" ht="24" hidden="1" customHeight="1" outlineLevel="1">
      <c r="C36" s="412" t="s">
        <v>183</v>
      </c>
      <c r="D36" s="740">
        <f>input!B1195</f>
        <v>0</v>
      </c>
      <c r="E36" s="740">
        <f>input!C1195</f>
        <v>0</v>
      </c>
      <c r="F36" s="740">
        <f>input!D1195</f>
        <v>0</v>
      </c>
      <c r="G36" s="404" t="s">
        <v>10</v>
      </c>
      <c r="J36" s="319"/>
      <c r="K36" s="410" t="s">
        <v>1581</v>
      </c>
      <c r="L36" s="741">
        <f>input!N1194</f>
        <v>1.4709599999999999E-3</v>
      </c>
      <c r="M36" s="742">
        <f>IF(O35="Crayola",N36*S43,L35*M34*N36)</f>
        <v>24.761376000000002</v>
      </c>
      <c r="N36" s="743">
        <f>IF(F32=K36,1,0)</f>
        <v>1</v>
      </c>
      <c r="P36" s="319"/>
      <c r="Q36" s="319"/>
      <c r="R36" s="319"/>
      <c r="S36" s="319"/>
      <c r="T36" s="319"/>
      <c r="W36" s="389"/>
      <c r="AT36" s="3598"/>
      <c r="AU36" s="315">
        <f ca="1">COUNTIFS(AT$7:$AT36,1)</f>
        <v>2</v>
      </c>
    </row>
    <row r="37" spans="3:47" ht="24" hidden="1" customHeight="1" outlineLevel="1" thickBot="1">
      <c r="C37" s="412" t="s">
        <v>1479</v>
      </c>
      <c r="D37" s="404">
        <f>input!B1196</f>
        <v>1</v>
      </c>
      <c r="E37" s="404">
        <f>input!C1196</f>
        <v>2</v>
      </c>
      <c r="F37" s="404">
        <f>input!D1196</f>
        <v>12</v>
      </c>
      <c r="G37" s="404" t="s">
        <v>11</v>
      </c>
      <c r="H37" s="426" t="s">
        <v>1503</v>
      </c>
      <c r="I37" s="744">
        <f>input!H1196</f>
        <v>1</v>
      </c>
      <c r="J37" s="402"/>
      <c r="K37" s="411" t="s">
        <v>1582</v>
      </c>
      <c r="L37" s="745">
        <f>input!N1195</f>
        <v>0</v>
      </c>
      <c r="M37" s="746">
        <f>IF(O35="Crayola",N37*S44,L35*M33*N37)</f>
        <v>0</v>
      </c>
      <c r="N37" s="747">
        <f>IF(F32=K37,1,0)</f>
        <v>0</v>
      </c>
      <c r="P37" s="402"/>
      <c r="Q37" s="402"/>
      <c r="R37" s="402"/>
      <c r="S37" s="402"/>
      <c r="T37" s="402"/>
      <c r="W37" s="389"/>
      <c r="AT37" s="3598"/>
      <c r="AU37" s="315">
        <f ca="1">COUNTIFS(AT$7:$AT37,1)</f>
        <v>2</v>
      </c>
    </row>
    <row r="38" spans="3:47" ht="24" hidden="1" customHeight="1" outlineLevel="1">
      <c r="C38" s="420" t="s">
        <v>672</v>
      </c>
      <c r="D38" s="421">
        <f>input!B1197</f>
        <v>8</v>
      </c>
      <c r="E38" s="421">
        <f>input!C1197</f>
        <v>8</v>
      </c>
      <c r="F38" s="421">
        <f>input!D1197</f>
        <v>8</v>
      </c>
      <c r="G38" s="421" t="s">
        <v>10</v>
      </c>
      <c r="H38" s="426" t="s">
        <v>1504</v>
      </c>
      <c r="I38" s="744">
        <f>input!H1197</f>
        <v>24</v>
      </c>
      <c r="J38" s="402"/>
      <c r="K38" s="771" t="s">
        <v>107</v>
      </c>
      <c r="L38" s="772" t="s">
        <v>7</v>
      </c>
      <c r="M38" s="773">
        <f>E33</f>
        <v>182</v>
      </c>
      <c r="N38" s="774">
        <f>IF(AND(M38&gt;1200,M39&gt;1200),ROUNDUP(MAX(M38,M39)/1200,0)*1200,IF(M38&gt;1200,1200/INT(1200/M39),1200/INT(1200/M38)))</f>
        <v>200</v>
      </c>
      <c r="P38" s="402"/>
      <c r="Q38" s="402"/>
      <c r="R38" s="402"/>
      <c r="S38" s="402"/>
      <c r="T38" s="402"/>
      <c r="W38" s="389"/>
      <c r="AT38" s="3598"/>
      <c r="AU38" s="315">
        <f ca="1">COUNTIFS(AT$7:$AT38,1)</f>
        <v>2</v>
      </c>
    </row>
    <row r="39" spans="3:47" ht="24" hidden="1" customHeight="1" outlineLevel="1" thickBot="1">
      <c r="C39" s="421" t="s">
        <v>35</v>
      </c>
      <c r="D39" s="421">
        <f>input!B1198</f>
        <v>16</v>
      </c>
      <c r="E39" s="421">
        <f>input!C1198</f>
        <v>16</v>
      </c>
      <c r="F39" s="421">
        <f>input!D1198</f>
        <v>20</v>
      </c>
      <c r="G39" s="421" t="s">
        <v>10</v>
      </c>
      <c r="H39" s="1" t="s">
        <v>1505</v>
      </c>
      <c r="I39" s="775">
        <f>input!H1198</f>
        <v>0</v>
      </c>
      <c r="J39" s="402"/>
      <c r="K39" s="776" t="str">
        <f>D33</f>
        <v>N</v>
      </c>
      <c r="L39" s="777" t="s">
        <v>9</v>
      </c>
      <c r="M39" s="778">
        <f>F33</f>
        <v>182</v>
      </c>
      <c r="N39" s="779">
        <f>IF(AND(M38&gt;1200,M39&gt;1200),MIN(M38,M39)*I39,IF(M38&gt;1200,M38*I39,M39*I39))</f>
        <v>0</v>
      </c>
      <c r="P39" s="402"/>
      <c r="Q39" s="402"/>
      <c r="R39" s="402"/>
      <c r="S39" s="402"/>
      <c r="T39" s="402"/>
      <c r="W39" s="389"/>
      <c r="AT39" s="3598"/>
      <c r="AU39" s="315">
        <f ca="1">COUNTIFS(AT$7:$AT39,1)</f>
        <v>2</v>
      </c>
    </row>
    <row r="40" spans="3:47" ht="24" hidden="1" customHeight="1" outlineLevel="1">
      <c r="C40" s="412" t="s">
        <v>36</v>
      </c>
      <c r="D40" s="740">
        <f>input!B1199</f>
        <v>3</v>
      </c>
      <c r="E40" s="740">
        <f>input!C1199</f>
        <v>3</v>
      </c>
      <c r="F40" s="740">
        <f>input!D1199</f>
        <v>3</v>
      </c>
      <c r="G40" s="404"/>
      <c r="H40" s="425" t="s">
        <v>1506</v>
      </c>
      <c r="I40" s="744">
        <f>input!H1199</f>
        <v>27</v>
      </c>
      <c r="J40" s="402"/>
      <c r="K40" s="403" t="s">
        <v>522</v>
      </c>
      <c r="L40" s="402"/>
      <c r="M40" s="402"/>
      <c r="N40" s="402"/>
      <c r="O40" s="402"/>
      <c r="P40" s="402"/>
      <c r="Q40" s="402"/>
      <c r="R40" s="402"/>
      <c r="S40" s="402"/>
      <c r="T40" s="402"/>
      <c r="W40" s="389"/>
      <c r="AT40" s="3598"/>
      <c r="AU40" s="315">
        <f ca="1">COUNTIFS(AT$7:$AT40,1)</f>
        <v>2</v>
      </c>
    </row>
    <row r="41" spans="3:47" ht="24" hidden="1" customHeight="1" outlineLevel="1">
      <c r="C41" s="422" t="s">
        <v>1482</v>
      </c>
      <c r="D41" s="423">
        <f>input!B1200</f>
        <v>10.8</v>
      </c>
      <c r="E41" s="423">
        <f>input!C1200</f>
        <v>10.8</v>
      </c>
      <c r="F41" s="423">
        <f>input!D1200</f>
        <v>27.5</v>
      </c>
      <c r="G41" s="404" t="s">
        <v>1458</v>
      </c>
      <c r="H41" s="1" t="s">
        <v>1507</v>
      </c>
      <c r="I41" s="780">
        <f>input!H1200</f>
        <v>0</v>
      </c>
      <c r="K41" s="4446" t="s">
        <v>505</v>
      </c>
      <c r="L41" s="748" t="s">
        <v>506</v>
      </c>
      <c r="M41" s="748" t="s">
        <v>507</v>
      </c>
      <c r="N41" s="749" t="s">
        <v>1416</v>
      </c>
      <c r="O41" s="750"/>
      <c r="P41" s="751"/>
      <c r="Q41" s="752" t="s">
        <v>508</v>
      </c>
      <c r="R41" s="753" t="s">
        <v>509</v>
      </c>
      <c r="S41" s="748" t="s">
        <v>1580</v>
      </c>
      <c r="T41" s="754" t="s">
        <v>510</v>
      </c>
      <c r="W41" s="389"/>
      <c r="AT41" s="3598"/>
      <c r="AU41" s="315">
        <f ca="1">COUNTIFS(AT$7:$AT41,1)</f>
        <v>2</v>
      </c>
    </row>
    <row r="42" spans="3:47" ht="24" hidden="1" customHeight="1" outlineLevel="1">
      <c r="C42" s="427" t="s">
        <v>101</v>
      </c>
      <c r="D42" s="2944">
        <f>(((MAX(D39:E39)*1.5)+(MIN(D39:E39)*1.5*2))*2*I39/1000/45)</f>
        <v>0</v>
      </c>
      <c r="E42" s="2944" t="s">
        <v>104</v>
      </c>
      <c r="F42" s="2944">
        <v>14500</v>
      </c>
      <c r="G42" s="428">
        <f>$D42*F42</f>
        <v>0</v>
      </c>
      <c r="H42" s="781" t="s">
        <v>92</v>
      </c>
      <c r="I42" s="402"/>
      <c r="J42" s="402"/>
      <c r="K42" s="4447"/>
      <c r="L42" s="755"/>
      <c r="M42" s="755"/>
      <c r="N42" s="748" t="s">
        <v>9</v>
      </c>
      <c r="O42" s="748" t="s">
        <v>7</v>
      </c>
      <c r="P42" s="748" t="s">
        <v>291</v>
      </c>
      <c r="Q42" s="756"/>
      <c r="R42" s="757"/>
      <c r="S42" s="755"/>
      <c r="T42" s="754"/>
      <c r="W42" s="389"/>
      <c r="AT42" s="3598"/>
      <c r="AU42" s="315">
        <f ca="1">COUNTIFS(AT$7:$AT42,1)</f>
        <v>2</v>
      </c>
    </row>
    <row r="43" spans="3:47" ht="24" hidden="1" customHeight="1" outlineLevel="1">
      <c r="C43" s="412" t="s">
        <v>188</v>
      </c>
      <c r="D43" s="2945">
        <f>IF(D34="Y",((((2*D39*D40)+(2*E39*E40))*9*I41)/300/1000),0)</f>
        <v>0</v>
      </c>
      <c r="E43" s="2945" t="s">
        <v>104</v>
      </c>
      <c r="F43" s="3140">
        <v>120000</v>
      </c>
      <c r="G43" s="404">
        <f>$D43*F43</f>
        <v>0</v>
      </c>
      <c r="H43" s="326" t="s">
        <v>92</v>
      </c>
      <c r="I43" s="402"/>
      <c r="J43" s="402"/>
      <c r="K43" s="387">
        <v>2</v>
      </c>
      <c r="L43" s="758">
        <v>3</v>
      </c>
      <c r="M43" s="758" t="s">
        <v>962</v>
      </c>
      <c r="N43" s="759">
        <f>MAX(D38:E38)</f>
        <v>8</v>
      </c>
      <c r="O43" s="759">
        <f>MIN(D38:E38)</f>
        <v>8</v>
      </c>
      <c r="P43" s="759">
        <f>F38</f>
        <v>8</v>
      </c>
      <c r="Q43" s="388">
        <f>+(N43*2+O43*2+40)* (O43+P43+30)/1000000</f>
        <v>3.3119999999999998E-3</v>
      </c>
      <c r="R43" s="2434">
        <f>IF($G32="Crayola",Data!$R$1066,Data!$R$1065)</f>
        <v>10040</v>
      </c>
      <c r="S43" s="782">
        <f>R43*Q43</f>
        <v>33.252479999999998</v>
      </c>
      <c r="T43" s="760" t="s">
        <v>511</v>
      </c>
      <c r="W43" s="389"/>
      <c r="AT43" s="3598"/>
      <c r="AU43" s="315">
        <f ca="1">COUNTIFS(AT$7:$AT43,1)</f>
        <v>2</v>
      </c>
    </row>
    <row r="44" spans="3:47" ht="24" hidden="1" customHeight="1" outlineLevel="1" thickBot="1">
      <c r="C44" s="412" t="s">
        <v>187</v>
      </c>
      <c r="D44" s="2945">
        <f>IF(D34="Y",((((2*((2*F41)+(2*E41)+10))+(3*((2*F41)+(2*D41)+10)))*I41)/100/(40)),0)</f>
        <v>0</v>
      </c>
      <c r="E44" s="2945" t="s">
        <v>288</v>
      </c>
      <c r="F44" s="3140">
        <v>27500</v>
      </c>
      <c r="G44" s="404">
        <f>$D44*F44</f>
        <v>0</v>
      </c>
      <c r="H44" s="326" t="s">
        <v>92</v>
      </c>
      <c r="I44" s="403"/>
      <c r="J44" s="402"/>
      <c r="K44" s="387">
        <v>3</v>
      </c>
      <c r="L44" s="758">
        <v>5</v>
      </c>
      <c r="M44" s="758" t="s">
        <v>512</v>
      </c>
      <c r="N44" s="759">
        <f>N43</f>
        <v>8</v>
      </c>
      <c r="O44" s="759">
        <f>O43</f>
        <v>8</v>
      </c>
      <c r="P44" s="759">
        <f>P43</f>
        <v>8</v>
      </c>
      <c r="Q44" s="388">
        <f>+(N44*2+O44*2+40)* (O44+P44+30)/1000000</f>
        <v>3.3119999999999998E-3</v>
      </c>
      <c r="R44" s="2434">
        <f>Data!$R$1068</f>
        <v>14173</v>
      </c>
      <c r="S44" s="782">
        <f>R44*Q44</f>
        <v>46.940975999999999</v>
      </c>
      <c r="T44" s="760" t="s">
        <v>513</v>
      </c>
      <c r="W44" s="389"/>
      <c r="AT44" s="3598"/>
      <c r="AU44" s="315">
        <f ca="1">COUNTIFS(AT$7:$AT44,1)</f>
        <v>2</v>
      </c>
    </row>
    <row r="45" spans="3:47" ht="24" hidden="1" customHeight="1" outlineLevel="1">
      <c r="C45" s="412" t="s">
        <v>102</v>
      </c>
      <c r="D45" s="2945">
        <f>IF(D34="Y",((4*I41)/40),0)</f>
        <v>0</v>
      </c>
      <c r="E45" s="2945" t="s">
        <v>105</v>
      </c>
      <c r="F45" s="3140">
        <v>25000</v>
      </c>
      <c r="G45" s="404">
        <f>$D45*F45</f>
        <v>0</v>
      </c>
      <c r="H45" s="326" t="s">
        <v>92</v>
      </c>
      <c r="I45" s="761"/>
      <c r="J45" s="402"/>
      <c r="K45" s="2934">
        <f>1*1.2*0.2*I41</f>
        <v>0</v>
      </c>
      <c r="L45" s="2935" t="s">
        <v>1051</v>
      </c>
      <c r="M45" s="2936"/>
      <c r="N45" s="2937">
        <f>1*1.2*0.2*I41</f>
        <v>0</v>
      </c>
      <c r="O45" s="4443" t="s">
        <v>1720</v>
      </c>
      <c r="P45" s="4444"/>
      <c r="Q45" s="2938" t="s">
        <v>690</v>
      </c>
      <c r="W45" s="389"/>
      <c r="AT45" s="3598"/>
      <c r="AU45" s="315">
        <f ca="1">COUNTIFS(AT$7:$AT45,1)</f>
        <v>2</v>
      </c>
    </row>
    <row r="46" spans="3:47" ht="24" hidden="1" customHeight="1" outlineLevel="1" thickBot="1">
      <c r="C46" s="412" t="s">
        <v>47</v>
      </c>
      <c r="D46" s="2945">
        <f>IF(D33="Y",MAX('Flute in SPV1'!$I$8:$I$11)*1000,0)</f>
        <v>0</v>
      </c>
      <c r="E46" s="2945" t="s">
        <v>563</v>
      </c>
      <c r="F46" s="2945">
        <f>N38*N39</f>
        <v>0</v>
      </c>
      <c r="G46" s="404">
        <f>ROUNDUP((150*F46)/10^12,3)*$D46</f>
        <v>0</v>
      </c>
      <c r="H46" s="326" t="s">
        <v>92</v>
      </c>
      <c r="I46" s="320"/>
      <c r="J46" s="402"/>
      <c r="K46" s="2939" t="s">
        <v>1052</v>
      </c>
      <c r="L46" s="2970">
        <v>640000</v>
      </c>
      <c r="M46" s="2940"/>
      <c r="N46" s="2941" t="s">
        <v>1052</v>
      </c>
      <c r="O46" s="4445">
        <v>230000</v>
      </c>
      <c r="P46" s="4445"/>
      <c r="Q46" s="2942">
        <f>'Sum local charge July.19'!$I$103*2</f>
        <v>5756000</v>
      </c>
      <c r="W46" s="389"/>
      <c r="AT46" s="3598"/>
      <c r="AU46" s="315">
        <f ca="1">COUNTIFS(AT$7:$AT46,1)</f>
        <v>2</v>
      </c>
    </row>
    <row r="47" spans="3:47" ht="24" hidden="1" customHeight="1" outlineLevel="1">
      <c r="C47" s="412" t="s">
        <v>1508</v>
      </c>
      <c r="D47" s="2945">
        <f>IF($D33="Y",ROUNDUP(((E33*F33)/10^6)*I39*10%/7.5,2),0)</f>
        <v>0</v>
      </c>
      <c r="E47" s="2945" t="s">
        <v>288</v>
      </c>
      <c r="F47" s="2945">
        <f>Data!$O$965</f>
        <v>14500</v>
      </c>
      <c r="G47" s="404">
        <f>$D47*F47</f>
        <v>0</v>
      </c>
      <c r="H47" s="326" t="s">
        <v>92</v>
      </c>
      <c r="I47" s="320"/>
      <c r="J47" s="402"/>
      <c r="W47" s="389"/>
      <c r="AT47" s="3598"/>
      <c r="AU47" s="315">
        <f ca="1">COUNTIFS(AT$7:$AT47,1)</f>
        <v>2</v>
      </c>
    </row>
    <row r="48" spans="3:47" ht="24" hidden="1" customHeight="1" outlineLevel="1">
      <c r="C48" s="405" t="s">
        <v>45</v>
      </c>
      <c r="D48" s="406"/>
      <c r="E48" s="404">
        <f>SUM(M36:M37)</f>
        <v>24.761376000000002</v>
      </c>
      <c r="F48" s="404">
        <f>IF(D32="Y",E48*I39,)</f>
        <v>0</v>
      </c>
      <c r="G48" s="404">
        <f>IF($E$2&gt;0,F48/$E$2,0)</f>
        <v>0</v>
      </c>
      <c r="I48" s="320"/>
      <c r="J48" s="402"/>
      <c r="K48" s="386"/>
      <c r="L48" s="386"/>
      <c r="M48" s="386"/>
      <c r="W48" s="389"/>
      <c r="AT48" s="3598">
        <f>IF(ISNUMBER(F48),IF(F48&lt;&gt;0,IF(ISNUMBER(SEARCH("to",J48)),0,1),0),"")</f>
        <v>0</v>
      </c>
      <c r="AU48" s="315">
        <f ca="1">COUNTIFS(AT$7:$AT48,1)</f>
        <v>2</v>
      </c>
    </row>
    <row r="49" spans="3:47" ht="24" hidden="1" customHeight="1" outlineLevel="1">
      <c r="C49" s="405" t="s">
        <v>46</v>
      </c>
      <c r="D49" s="406"/>
      <c r="E49" s="2945">
        <v>380000</v>
      </c>
      <c r="F49" s="404">
        <f>IF(D34="Y",E49*I41,0)</f>
        <v>0</v>
      </c>
      <c r="G49" s="404">
        <f>IF($E$2&gt;0,F49/$E$2,0)</f>
        <v>0</v>
      </c>
      <c r="K49" s="386"/>
      <c r="L49" s="2943"/>
      <c r="M49" s="386"/>
      <c r="W49" s="389"/>
      <c r="AT49" s="3598">
        <f>IF(ISNUMBER(F49),IF(F49&lt;&gt;0,IF(ISNUMBER(SEARCH("to",J49)),0,1),0),"")</f>
        <v>0</v>
      </c>
      <c r="AU49" s="315">
        <f ca="1">COUNTIFS(AT$7:$AT49,1)</f>
        <v>2</v>
      </c>
    </row>
    <row r="50" spans="3:47" ht="24" hidden="1" customHeight="1" outlineLevel="1">
      <c r="C50" s="405" t="s">
        <v>1053</v>
      </c>
      <c r="D50" s="406"/>
      <c r="E50" s="2945">
        <f>L46/20*ROUNDUP(K45,0)</f>
        <v>0</v>
      </c>
      <c r="F50" s="404">
        <f>IF(D34="Y",E50,0)</f>
        <v>0</v>
      </c>
      <c r="G50" s="404">
        <f>IF($E$2&gt;0,F50/$E$2,0)</f>
        <v>0</v>
      </c>
      <c r="H50" s="783"/>
      <c r="I50" s="320"/>
      <c r="K50" s="386"/>
      <c r="L50" s="2943"/>
      <c r="M50" s="386"/>
      <c r="W50" s="389"/>
      <c r="AT50" s="3598">
        <f>IF(ISNUMBER(F50),IF(F50&lt;&gt;0,IF(ISNUMBER(SEARCH("to",J50)),0,1),0),"")</f>
        <v>0</v>
      </c>
      <c r="AU50" s="315">
        <f ca="1">COUNTIFS(AT$7:$AT50,1)</f>
        <v>2</v>
      </c>
    </row>
    <row r="51" spans="3:47" ht="24" hidden="1" customHeight="1" outlineLevel="1">
      <c r="C51" s="724" t="s">
        <v>1720</v>
      </c>
      <c r="D51" s="725"/>
      <c r="E51" s="2945">
        <f>(O46*20+Q46)/20*ROUNDUP(N45,0)</f>
        <v>0</v>
      </c>
      <c r="F51" s="726">
        <f>IF(D34="Y",E51,0)*IF(AND(Freight!$C$62=Freight!$M$89,Freight!$D$77=0,Freight!$D$81=0),0,1)</f>
        <v>0</v>
      </c>
      <c r="G51" s="404">
        <f>IF($E$2&gt;0,F51/$E$2,0)</f>
        <v>0</v>
      </c>
      <c r="H51" s="783"/>
      <c r="I51" s="320"/>
      <c r="K51" s="762"/>
      <c r="L51" s="727"/>
      <c r="M51" s="316"/>
      <c r="W51" s="389"/>
      <c r="AT51" s="3598">
        <f>IF(ISNUMBER(F51),IF(F51&lt;&gt;0,IF(ISNUMBER(SEARCH("to",J51)),0,1),0),"")</f>
        <v>0</v>
      </c>
      <c r="AU51" s="315">
        <f ca="1">COUNTIFS(AT$7:$AT51,1)</f>
        <v>2</v>
      </c>
    </row>
    <row r="52" spans="3:47" ht="24" hidden="1" customHeight="1" outlineLevel="1" thickBot="1">
      <c r="C52" s="407" t="s">
        <v>1499</v>
      </c>
      <c r="D52" s="408"/>
      <c r="E52" s="404"/>
      <c r="F52" s="404">
        <f>SUM(G42:G47)</f>
        <v>0</v>
      </c>
      <c r="G52" s="404">
        <f>IF($E$2&gt;0,F52/$E$2,0)</f>
        <v>0</v>
      </c>
      <c r="P52" s="386"/>
      <c r="Q52" s="386"/>
      <c r="R52" s="386"/>
      <c r="S52" s="386"/>
      <c r="T52" s="386"/>
      <c r="W52" s="389"/>
      <c r="AT52" s="3598">
        <f>IF(ISNUMBER(F52),IF(F52&lt;&gt;0,IF(ISNUMBER(SEARCH("to",J52)),0,1),0),"")</f>
        <v>0</v>
      </c>
      <c r="AU52" s="315">
        <f ca="1">COUNTIFS(AT$7:$AT52,1)</f>
        <v>2</v>
      </c>
    </row>
    <row r="53" spans="3:47" ht="24" customHeight="1" collapsed="1" thickTop="1">
      <c r="C53" s="784" t="s">
        <v>85</v>
      </c>
      <c r="D53" s="785"/>
      <c r="E53" s="785"/>
      <c r="F53" s="786">
        <f>SUM(F48:F52)</f>
        <v>0</v>
      </c>
      <c r="G53" s="787">
        <f>SUM(G48:G52)</f>
        <v>0</v>
      </c>
      <c r="H53" s="386"/>
      <c r="I53" s="386"/>
      <c r="J53" s="386"/>
      <c r="K53" s="386"/>
      <c r="L53" s="386"/>
      <c r="M53" s="386"/>
      <c r="N53" s="386"/>
      <c r="O53" s="386"/>
      <c r="P53" s="386"/>
      <c r="Q53" s="386"/>
      <c r="R53" s="386"/>
      <c r="S53" s="386"/>
      <c r="T53" s="386"/>
      <c r="W53" s="389"/>
      <c r="AT53" s="3598"/>
      <c r="AU53" s="315">
        <f ca="1">COUNTIFS(AT$7:$AT53,1)</f>
        <v>2</v>
      </c>
    </row>
    <row r="54" spans="3:47" ht="24" customHeight="1">
      <c r="W54" s="389"/>
      <c r="AT54" s="3598"/>
      <c r="AU54" s="315">
        <f ca="1">COUNTIFS(AT$7:$AT54,1)</f>
        <v>2</v>
      </c>
    </row>
    <row r="55" spans="3:47" ht="24" customHeight="1" thickBot="1">
      <c r="C55" s="763" t="s">
        <v>1510</v>
      </c>
      <c r="W55" s="389"/>
      <c r="AT55" s="3598"/>
      <c r="AU55" s="315">
        <f ca="1">COUNTIFS(AT$7:$AT55,1)</f>
        <v>2</v>
      </c>
    </row>
    <row r="56" spans="3:47" ht="24" hidden="1" customHeight="1" outlineLevel="1" thickBot="1">
      <c r="C56" s="764" t="s">
        <v>162</v>
      </c>
      <c r="D56" s="765" t="str">
        <f>input!B1203</f>
        <v>N</v>
      </c>
      <c r="E56" s="730" t="str">
        <f>input!C1203</f>
        <v>An Truong Phat</v>
      </c>
      <c r="F56" s="731" t="str">
        <f>input!D1203</f>
        <v>Single Wall</v>
      </c>
      <c r="G56" s="731" t="str">
        <f>input!E1203</f>
        <v>Crayola</v>
      </c>
      <c r="J56" s="402"/>
      <c r="K56" s="402"/>
      <c r="L56" s="732" t="str">
        <f>E56</f>
        <v>An Truong Phat</v>
      </c>
      <c r="M56" s="732"/>
      <c r="N56" s="732"/>
      <c r="O56" s="733"/>
      <c r="P56" s="402"/>
      <c r="Q56" s="402"/>
      <c r="R56" s="402"/>
      <c r="S56" s="402"/>
      <c r="T56" s="402"/>
      <c r="W56" s="389"/>
      <c r="AT56" s="3598"/>
      <c r="AU56" s="315">
        <f ca="1">COUNTIFS(AT$7:$AT56,1)</f>
        <v>2</v>
      </c>
    </row>
    <row r="57" spans="3:47" ht="24" hidden="1" customHeight="1" outlineLevel="1" thickBot="1">
      <c r="C57" s="766" t="s">
        <v>107</v>
      </c>
      <c r="D57" s="765" t="str">
        <f>input!B1204</f>
        <v>N</v>
      </c>
      <c r="E57" s="767">
        <f>input!C1204</f>
        <v>182</v>
      </c>
      <c r="F57" s="768">
        <f>input!D1204</f>
        <v>182</v>
      </c>
      <c r="J57" s="402"/>
      <c r="K57" s="402"/>
      <c r="L57" s="734" t="s">
        <v>68</v>
      </c>
      <c r="M57" s="2432">
        <f>IF(O59="TT Kinh Do",Data!$R$1069,IF(L56="An Truong Phat",Data!$R$1067,R68))</f>
        <v>13038</v>
      </c>
      <c r="N57" s="404" t="s">
        <v>131</v>
      </c>
      <c r="O57" s="402"/>
      <c r="P57" s="402"/>
      <c r="Q57" s="402"/>
      <c r="R57" s="402"/>
      <c r="S57" s="402"/>
      <c r="T57" s="402"/>
      <c r="W57" s="389"/>
      <c r="AT57" s="3598"/>
      <c r="AU57" s="315">
        <f ca="1">COUNTIFS(AT$7:$AT57,1)</f>
        <v>2</v>
      </c>
    </row>
    <row r="58" spans="3:47" ht="24" hidden="1" customHeight="1" outlineLevel="1" thickBot="1">
      <c r="C58" s="769" t="s">
        <v>155</v>
      </c>
      <c r="D58" s="765" t="str">
        <f>input!B1205</f>
        <v>N</v>
      </c>
      <c r="F58" s="375"/>
      <c r="G58" s="375"/>
      <c r="J58" s="402"/>
      <c r="K58" s="770"/>
      <c r="L58" s="735" t="s">
        <v>69</v>
      </c>
      <c r="M58" s="2433">
        <f>IF(L56="An Truong Phat",Data!$R$1064,R67)</f>
        <v>9553</v>
      </c>
      <c r="N58" s="429" t="s">
        <v>131</v>
      </c>
      <c r="O58" s="402"/>
      <c r="P58" s="402"/>
      <c r="Q58" s="402"/>
      <c r="R58" s="402"/>
      <c r="S58" s="402"/>
      <c r="T58" s="402"/>
      <c r="W58" s="389"/>
      <c r="AT58" s="3598"/>
      <c r="AU58" s="315">
        <f ca="1">COUNTIFS(AT$7:$AT58,1)</f>
        <v>2</v>
      </c>
    </row>
    <row r="59" spans="3:47" ht="24" hidden="1" customHeight="1" outlineLevel="1">
      <c r="C59" s="319"/>
      <c r="D59" s="333" t="s">
        <v>18</v>
      </c>
      <c r="E59" s="333" t="s">
        <v>19</v>
      </c>
      <c r="F59" s="333" t="s">
        <v>14</v>
      </c>
      <c r="G59" s="322"/>
      <c r="J59" s="402"/>
      <c r="K59" s="409" t="s">
        <v>132</v>
      </c>
      <c r="L59" s="736">
        <f>input!N1205</f>
        <v>2.5920000000000001E-3</v>
      </c>
      <c r="M59" s="737"/>
      <c r="N59" s="738"/>
      <c r="O59" s="739" t="str">
        <f>G56</f>
        <v>Crayola</v>
      </c>
      <c r="P59" s="402"/>
      <c r="Q59" s="402"/>
      <c r="R59" s="402"/>
      <c r="S59" s="402"/>
      <c r="T59" s="402"/>
      <c r="AT59" s="3598"/>
      <c r="AU59" s="315">
        <f ca="1">COUNTIFS(AT$7:$AT59,1)</f>
        <v>2</v>
      </c>
    </row>
    <row r="60" spans="3:47" ht="24" hidden="1" customHeight="1" outlineLevel="1">
      <c r="C60" s="412" t="s">
        <v>183</v>
      </c>
      <c r="D60" s="740">
        <f>input!B1207</f>
        <v>0</v>
      </c>
      <c r="E60" s="740">
        <f>input!C1207</f>
        <v>0</v>
      </c>
      <c r="F60" s="740">
        <f>input!D1207</f>
        <v>0</v>
      </c>
      <c r="G60" s="404" t="s">
        <v>10</v>
      </c>
      <c r="J60" s="319"/>
      <c r="K60" s="410" t="s">
        <v>1581</v>
      </c>
      <c r="L60" s="741">
        <f>input!N1194</f>
        <v>1.4709599999999999E-3</v>
      </c>
      <c r="M60" s="742">
        <f>IF(O59="Crayola",N60*S67,L59*M58*N60)</f>
        <v>39.929471999999997</v>
      </c>
      <c r="N60" s="743">
        <f>IF(F56=K60,1,0)</f>
        <v>1</v>
      </c>
      <c r="P60" s="319"/>
      <c r="Q60" s="319"/>
      <c r="R60" s="319"/>
      <c r="S60" s="319"/>
      <c r="T60" s="319"/>
      <c r="AT60" s="3598"/>
      <c r="AU60" s="315">
        <f ca="1">COUNTIFS(AT$7:$AT60,1)</f>
        <v>2</v>
      </c>
    </row>
    <row r="61" spans="3:47" ht="24" hidden="1" customHeight="1" outlineLevel="1" thickBot="1">
      <c r="C61" s="412" t="s">
        <v>1479</v>
      </c>
      <c r="D61" s="404">
        <f>input!B1208</f>
        <v>1</v>
      </c>
      <c r="E61" s="404">
        <f>input!C1208</f>
        <v>2</v>
      </c>
      <c r="F61" s="404">
        <f>input!D1208</f>
        <v>12</v>
      </c>
      <c r="G61" s="404" t="s">
        <v>11</v>
      </c>
      <c r="H61" s="426" t="s">
        <v>1503</v>
      </c>
      <c r="I61" s="744">
        <f>input!H1208</f>
        <v>1</v>
      </c>
      <c r="J61" s="402"/>
      <c r="K61" s="411" t="s">
        <v>1582</v>
      </c>
      <c r="L61" s="745">
        <f>input!N1207</f>
        <v>0</v>
      </c>
      <c r="M61" s="746">
        <f>IF(O59="Crayola",N61*S68,L59*M57*N61)</f>
        <v>0</v>
      </c>
      <c r="N61" s="747">
        <f>IF(F56=K61,1,0)</f>
        <v>0</v>
      </c>
      <c r="P61" s="402"/>
      <c r="Q61" s="402"/>
      <c r="R61" s="402"/>
      <c r="S61" s="402"/>
      <c r="T61" s="402"/>
      <c r="AT61" s="3598"/>
      <c r="AU61" s="315">
        <f ca="1">COUNTIFS(AT$7:$AT61,1)</f>
        <v>2</v>
      </c>
    </row>
    <row r="62" spans="3:47" ht="24" hidden="1" customHeight="1" outlineLevel="1">
      <c r="C62" s="420" t="s">
        <v>672</v>
      </c>
      <c r="D62" s="421">
        <f>input!B1209</f>
        <v>8</v>
      </c>
      <c r="E62" s="421">
        <f>input!C1209</f>
        <v>8</v>
      </c>
      <c r="F62" s="421">
        <f>input!D1209</f>
        <v>8</v>
      </c>
      <c r="G62" s="421" t="s">
        <v>10</v>
      </c>
      <c r="H62" s="426" t="s">
        <v>1504</v>
      </c>
      <c r="I62" s="744">
        <f>input!H1209</f>
        <v>24</v>
      </c>
      <c r="J62" s="402"/>
      <c r="K62" s="771" t="s">
        <v>107</v>
      </c>
      <c r="L62" s="772" t="s">
        <v>7</v>
      </c>
      <c r="M62" s="773">
        <f>E57</f>
        <v>182</v>
      </c>
      <c r="N62" s="774">
        <f>IF(AND(M62&gt;1200,M63&gt;1200),ROUNDUP(MAX(M62,M63)/1200,0)*1200,IF(M62&gt;1200,1200/INT(1200/M63),1200/INT(1200/M62)))</f>
        <v>200</v>
      </c>
      <c r="P62" s="402"/>
      <c r="Q62" s="402"/>
      <c r="R62" s="402"/>
      <c r="S62" s="402"/>
      <c r="T62" s="402"/>
      <c r="AT62" s="3598"/>
      <c r="AU62" s="315">
        <f ca="1">COUNTIFS(AT$7:$AT62,1)</f>
        <v>2</v>
      </c>
    </row>
    <row r="63" spans="3:47" ht="24" hidden="1" customHeight="1" outlineLevel="1" thickBot="1">
      <c r="C63" s="421" t="s">
        <v>35</v>
      </c>
      <c r="D63" s="421">
        <f>input!B1210</f>
        <v>16</v>
      </c>
      <c r="E63" s="421">
        <f>input!C1210</f>
        <v>16</v>
      </c>
      <c r="F63" s="421">
        <f>input!D1210</f>
        <v>20</v>
      </c>
      <c r="G63" s="421" t="s">
        <v>10</v>
      </c>
      <c r="H63" s="1" t="s">
        <v>1505</v>
      </c>
      <c r="I63" s="775">
        <f>input!H1210</f>
        <v>0</v>
      </c>
      <c r="J63" s="402"/>
      <c r="K63" s="776" t="str">
        <f>D57</f>
        <v>N</v>
      </c>
      <c r="L63" s="777" t="s">
        <v>9</v>
      </c>
      <c r="M63" s="778">
        <f>F57</f>
        <v>182</v>
      </c>
      <c r="N63" s="779">
        <f>IF(AND(M62&gt;1200,M63&gt;1200),MIN(M62,M63)*I63,IF(M62&gt;1200,M62*I63,M63*I63))</f>
        <v>0</v>
      </c>
      <c r="P63" s="402"/>
      <c r="Q63" s="402"/>
      <c r="R63" s="402"/>
      <c r="S63" s="402"/>
      <c r="T63" s="402"/>
      <c r="AT63" s="3598"/>
      <c r="AU63" s="315">
        <f ca="1">COUNTIFS(AT$7:$AT63,1)</f>
        <v>2</v>
      </c>
    </row>
    <row r="64" spans="3:47" ht="24" hidden="1" customHeight="1" outlineLevel="1">
      <c r="C64" s="412" t="s">
        <v>36</v>
      </c>
      <c r="D64" s="740">
        <f>input!B1211</f>
        <v>3</v>
      </c>
      <c r="E64" s="740">
        <f>input!C1211</f>
        <v>3</v>
      </c>
      <c r="F64" s="740">
        <f>input!D1211</f>
        <v>3</v>
      </c>
      <c r="G64" s="404"/>
      <c r="H64" s="425" t="s">
        <v>1506</v>
      </c>
      <c r="I64" s="744">
        <f>input!H1211</f>
        <v>27</v>
      </c>
      <c r="J64" s="402"/>
      <c r="K64" s="403" t="s">
        <v>522</v>
      </c>
      <c r="L64" s="402"/>
      <c r="M64" s="402"/>
      <c r="N64" s="402"/>
      <c r="O64" s="402"/>
      <c r="P64" s="402"/>
      <c r="Q64" s="402"/>
      <c r="R64" s="402"/>
      <c r="S64" s="402"/>
      <c r="T64" s="402"/>
      <c r="AT64" s="3598"/>
      <c r="AU64" s="315">
        <f ca="1">COUNTIFS(AT$7:$AT64,1)</f>
        <v>2</v>
      </c>
    </row>
    <row r="65" spans="3:47" ht="24" hidden="1" customHeight="1" outlineLevel="1">
      <c r="C65" s="422" t="s">
        <v>1482</v>
      </c>
      <c r="D65" s="423">
        <f>input!B1212</f>
        <v>10.8</v>
      </c>
      <c r="E65" s="423">
        <f>input!C1212</f>
        <v>10.8</v>
      </c>
      <c r="F65" s="423">
        <f>input!D1212</f>
        <v>27.5</v>
      </c>
      <c r="G65" s="404" t="s">
        <v>1458</v>
      </c>
      <c r="H65" s="1" t="s">
        <v>1507</v>
      </c>
      <c r="I65" s="780">
        <f>input!H1212</f>
        <v>0</v>
      </c>
      <c r="K65" s="4446" t="s">
        <v>505</v>
      </c>
      <c r="L65" s="748" t="s">
        <v>506</v>
      </c>
      <c r="M65" s="748" t="s">
        <v>507</v>
      </c>
      <c r="N65" s="749" t="s">
        <v>1416</v>
      </c>
      <c r="O65" s="750"/>
      <c r="P65" s="751"/>
      <c r="Q65" s="752" t="s">
        <v>508</v>
      </c>
      <c r="R65" s="753" t="s">
        <v>509</v>
      </c>
      <c r="S65" s="748" t="s">
        <v>1580</v>
      </c>
      <c r="T65" s="754" t="s">
        <v>510</v>
      </c>
      <c r="AT65" s="3598"/>
      <c r="AU65" s="315">
        <f ca="1">COUNTIFS(AT$7:$AT65,1)</f>
        <v>2</v>
      </c>
    </row>
    <row r="66" spans="3:47" ht="24" hidden="1" customHeight="1" outlineLevel="1">
      <c r="C66" s="427" t="s">
        <v>101</v>
      </c>
      <c r="D66" s="2944">
        <f>(((MAX(D63:E63)*1.5)+(MIN(D63:E63)*1.5*2))*2*I63/1000/45)</f>
        <v>0</v>
      </c>
      <c r="E66" s="2944" t="s">
        <v>104</v>
      </c>
      <c r="F66" s="2944">
        <v>14500</v>
      </c>
      <c r="G66" s="428">
        <f>$D66*F66</f>
        <v>0</v>
      </c>
      <c r="H66" s="781" t="s">
        <v>92</v>
      </c>
      <c r="I66" s="402"/>
      <c r="J66" s="402"/>
      <c r="K66" s="4447"/>
      <c r="L66" s="755"/>
      <c r="M66" s="755"/>
      <c r="N66" s="748" t="s">
        <v>9</v>
      </c>
      <c r="O66" s="748" t="s">
        <v>7</v>
      </c>
      <c r="P66" s="748" t="s">
        <v>291</v>
      </c>
      <c r="Q66" s="756"/>
      <c r="R66" s="757"/>
      <c r="S66" s="755"/>
      <c r="T66" s="754"/>
      <c r="AT66" s="3598"/>
      <c r="AU66" s="315">
        <f ca="1">COUNTIFS(AT$7:$AT66,1)</f>
        <v>2</v>
      </c>
    </row>
    <row r="67" spans="3:47" ht="24" hidden="1" customHeight="1" outlineLevel="1">
      <c r="C67" s="412" t="s">
        <v>188</v>
      </c>
      <c r="D67" s="2945">
        <f>IF(D58="Y",((((2*D63*D64)+(2*E63*E64))*9*I65)/300/1000),0)</f>
        <v>0</v>
      </c>
      <c r="E67" s="2945" t="s">
        <v>104</v>
      </c>
      <c r="F67" s="3140">
        <v>120000</v>
      </c>
      <c r="G67" s="404">
        <f>$D67*F67</f>
        <v>0</v>
      </c>
      <c r="H67" s="326" t="s">
        <v>92</v>
      </c>
      <c r="I67" s="402"/>
      <c r="J67" s="402"/>
      <c r="K67" s="387">
        <v>2</v>
      </c>
      <c r="L67" s="758">
        <v>3</v>
      </c>
      <c r="M67" s="758" t="s">
        <v>962</v>
      </c>
      <c r="N67" s="759">
        <f>MAX(D62:E62)</f>
        <v>8</v>
      </c>
      <c r="O67" s="759">
        <f>MIN(D62:E62)</f>
        <v>8</v>
      </c>
      <c r="P67" s="759">
        <f>F62</f>
        <v>8</v>
      </c>
      <c r="Q67" s="388">
        <f>+(N67*2+O67*2+40)* (O67+P67+30)/1000000</f>
        <v>3.3119999999999998E-3</v>
      </c>
      <c r="R67" s="2434">
        <f>IF($G56="Crayola",Data!$R$1066,Data!$R$1065)</f>
        <v>12056</v>
      </c>
      <c r="S67" s="782">
        <f>R67*Q67</f>
        <v>39.929471999999997</v>
      </c>
      <c r="T67" s="760" t="s">
        <v>511</v>
      </c>
      <c r="AT67" s="3598"/>
      <c r="AU67" s="315">
        <f ca="1">COUNTIFS(AT$7:$AT67,1)</f>
        <v>2</v>
      </c>
    </row>
    <row r="68" spans="3:47" ht="24" hidden="1" customHeight="1" outlineLevel="1" thickBot="1">
      <c r="C68" s="412" t="s">
        <v>187</v>
      </c>
      <c r="D68" s="2945">
        <f>IF(D58="Y",((((2*((2*F65)+(2*E65)+10))+(3*((2*F65)+(2*D65)+10)))*I65)/100/(40)),0)</f>
        <v>0</v>
      </c>
      <c r="E68" s="2945" t="s">
        <v>288</v>
      </c>
      <c r="F68" s="3140">
        <v>27500</v>
      </c>
      <c r="G68" s="404">
        <f>$D68*F68</f>
        <v>0</v>
      </c>
      <c r="H68" s="326" t="s">
        <v>92</v>
      </c>
      <c r="I68" s="403"/>
      <c r="J68" s="402"/>
      <c r="K68" s="387">
        <v>3</v>
      </c>
      <c r="L68" s="758">
        <v>5</v>
      </c>
      <c r="M68" s="758" t="s">
        <v>512</v>
      </c>
      <c r="N68" s="759">
        <f>N67</f>
        <v>8</v>
      </c>
      <c r="O68" s="759">
        <f>O67</f>
        <v>8</v>
      </c>
      <c r="P68" s="759">
        <f>P67</f>
        <v>8</v>
      </c>
      <c r="Q68" s="388">
        <f>+(N68*2+O68*2+40)* (O68+P68+30)/1000000</f>
        <v>3.3119999999999998E-3</v>
      </c>
      <c r="R68" s="2434">
        <f>Data!$R$1068</f>
        <v>14173</v>
      </c>
      <c r="S68" s="782">
        <f>R68*Q68</f>
        <v>46.940975999999999</v>
      </c>
      <c r="T68" s="760" t="s">
        <v>513</v>
      </c>
      <c r="AT68" s="3598"/>
      <c r="AU68" s="315">
        <f ca="1">COUNTIFS(AT$7:$AT68,1)</f>
        <v>2</v>
      </c>
    </row>
    <row r="69" spans="3:47" ht="24" hidden="1" customHeight="1" outlineLevel="1">
      <c r="C69" s="412" t="s">
        <v>102</v>
      </c>
      <c r="D69" s="2945">
        <f>IF(D58="Y",((4*I65)/40),0)</f>
        <v>0</v>
      </c>
      <c r="E69" s="2945" t="s">
        <v>105</v>
      </c>
      <c r="F69" s="3140">
        <v>25000</v>
      </c>
      <c r="G69" s="404">
        <f>$D69*F69</f>
        <v>0</v>
      </c>
      <c r="H69" s="326" t="s">
        <v>92</v>
      </c>
      <c r="I69" s="761"/>
      <c r="J69" s="402"/>
      <c r="K69" s="2934">
        <f>1*1.2*0.2*I65</f>
        <v>0</v>
      </c>
      <c r="L69" s="2935" t="s">
        <v>1051</v>
      </c>
      <c r="M69" s="2936"/>
      <c r="N69" s="2937">
        <f>1*1.2*0.2*I65</f>
        <v>0</v>
      </c>
      <c r="O69" s="4443" t="s">
        <v>1720</v>
      </c>
      <c r="P69" s="4444"/>
      <c r="Q69" s="2938" t="s">
        <v>690</v>
      </c>
      <c r="AT69" s="3598"/>
      <c r="AU69" s="315">
        <f ca="1">COUNTIFS(AT$7:$AT69,1)</f>
        <v>2</v>
      </c>
    </row>
    <row r="70" spans="3:47" ht="24" hidden="1" customHeight="1" outlineLevel="1" thickBot="1">
      <c r="C70" s="412" t="s">
        <v>47</v>
      </c>
      <c r="D70" s="2945">
        <f>IF(D57="Y",MAX('Flute in SPV1'!$I$8:$I$11)*1000,0)</f>
        <v>0</v>
      </c>
      <c r="E70" s="2945" t="s">
        <v>563</v>
      </c>
      <c r="F70" s="2945">
        <f>N62*N63</f>
        <v>0</v>
      </c>
      <c r="G70" s="404">
        <f>ROUNDUP((150*F70)/10^12,3)*$D70</f>
        <v>0</v>
      </c>
      <c r="H70" s="326" t="s">
        <v>92</v>
      </c>
      <c r="I70" s="320"/>
      <c r="J70" s="402"/>
      <c r="K70" s="2939" t="s">
        <v>1052</v>
      </c>
      <c r="L70" s="2970">
        <v>640000</v>
      </c>
      <c r="M70" s="2940"/>
      <c r="N70" s="2941" t="s">
        <v>1052</v>
      </c>
      <c r="O70" s="4445">
        <v>230000</v>
      </c>
      <c r="P70" s="4445"/>
      <c r="Q70" s="2942">
        <f>'Sum local charge July.19'!$I$103*2</f>
        <v>5756000</v>
      </c>
      <c r="AT70" s="3598"/>
      <c r="AU70" s="315">
        <f ca="1">COUNTIFS(AT$7:$AT70,1)</f>
        <v>2</v>
      </c>
    </row>
    <row r="71" spans="3:47" ht="24" hidden="1" customHeight="1" outlineLevel="1">
      <c r="C71" s="412" t="s">
        <v>1508</v>
      </c>
      <c r="D71" s="2945">
        <f>IF($D57="Y",ROUNDUP(((E57*F57)/10^6)*I63*10%/7.5,2),0)</f>
        <v>0</v>
      </c>
      <c r="E71" s="2945" t="s">
        <v>288</v>
      </c>
      <c r="F71" s="2945">
        <f>Data!$O$965</f>
        <v>14500</v>
      </c>
      <c r="G71" s="404">
        <f>$D71*F71</f>
        <v>0</v>
      </c>
      <c r="H71" s="326" t="s">
        <v>92</v>
      </c>
      <c r="I71" s="320"/>
      <c r="J71" s="402"/>
      <c r="AT71" s="3598"/>
      <c r="AU71" s="315">
        <f ca="1">COUNTIFS(AT$7:$AT71,1)</f>
        <v>2</v>
      </c>
    </row>
    <row r="72" spans="3:47" ht="24" hidden="1" customHeight="1" outlineLevel="1">
      <c r="C72" s="405" t="s">
        <v>45</v>
      </c>
      <c r="D72" s="406"/>
      <c r="E72" s="404">
        <f>SUM(M60:M61)</f>
        <v>39.929471999999997</v>
      </c>
      <c r="F72" s="404">
        <f>IF(D56="Y",E72*I63,)</f>
        <v>0</v>
      </c>
      <c r="G72" s="404">
        <f>IF($E$2&gt;0,F72/$E$2,0)</f>
        <v>0</v>
      </c>
      <c r="I72" s="320"/>
      <c r="J72" s="402"/>
      <c r="K72" s="386"/>
      <c r="L72" s="386"/>
      <c r="M72" s="386"/>
      <c r="AT72" s="3598">
        <f>IF(ISNUMBER(F72),IF(F72&lt;&gt;0,IF(ISNUMBER(SEARCH("to",J72)),0,1),0),"")</f>
        <v>0</v>
      </c>
      <c r="AU72" s="315">
        <f ca="1">COUNTIFS(AT$7:$AT72,1)</f>
        <v>2</v>
      </c>
    </row>
    <row r="73" spans="3:47" ht="24" hidden="1" customHeight="1" outlineLevel="1">
      <c r="C73" s="405" t="s">
        <v>46</v>
      </c>
      <c r="D73" s="406"/>
      <c r="E73" s="2945">
        <v>380000</v>
      </c>
      <c r="F73" s="404">
        <f>IF(D58="Y",E73*I65,0)</f>
        <v>0</v>
      </c>
      <c r="G73" s="404">
        <f>IF($E$2&gt;0,F73/$E$2,0)</f>
        <v>0</v>
      </c>
      <c r="K73" s="386"/>
      <c r="L73" s="2943"/>
      <c r="M73" s="386"/>
      <c r="AT73" s="3598">
        <f>IF(ISNUMBER(F73),IF(F73&lt;&gt;0,IF(ISNUMBER(SEARCH("to",J73)),0,1),0),"")</f>
        <v>0</v>
      </c>
      <c r="AU73" s="315">
        <f ca="1">COUNTIFS(AT$7:$AT73,1)</f>
        <v>2</v>
      </c>
    </row>
    <row r="74" spans="3:47" ht="24" hidden="1" customHeight="1" outlineLevel="1">
      <c r="C74" s="405" t="s">
        <v>1053</v>
      </c>
      <c r="D74" s="406"/>
      <c r="E74" s="2945">
        <f>L70/20*ROUNDUP(K69,0)</f>
        <v>0</v>
      </c>
      <c r="F74" s="404">
        <f>IF(D58="Y",E74,0)</f>
        <v>0</v>
      </c>
      <c r="G74" s="404">
        <f>IF($E$2&gt;0,F74/$E$2,0)</f>
        <v>0</v>
      </c>
      <c r="H74" s="783"/>
      <c r="I74" s="320"/>
      <c r="K74" s="386"/>
      <c r="L74" s="2943"/>
      <c r="M74" s="386"/>
      <c r="AT74" s="3598">
        <f t="shared" ref="AT74:AT137" si="0">IF(ISNUMBER(F74),IF(F74&lt;&gt;0,IF(ISNUMBER(SEARCH("to",J74)),0,1),0),"")</f>
        <v>0</v>
      </c>
      <c r="AU74" s="315">
        <f ca="1">COUNTIFS(AT$7:$AT74,1)</f>
        <v>2</v>
      </c>
    </row>
    <row r="75" spans="3:47" ht="24" hidden="1" customHeight="1" outlineLevel="1">
      <c r="C75" s="724" t="s">
        <v>1720</v>
      </c>
      <c r="D75" s="725"/>
      <c r="E75" s="2945">
        <f>(O70*20+Q70)/20*ROUNDUP(N69,0)</f>
        <v>0</v>
      </c>
      <c r="F75" s="726">
        <f>IF(D58="Y",E75,0)*IF(AND(Freight!$C$62=Freight!$M$89,Freight!$D$77=0,Freight!$D$81=0),0,1)</f>
        <v>0</v>
      </c>
      <c r="G75" s="404">
        <f>IF($E$2&gt;0,F75/$E$2,0)</f>
        <v>0</v>
      </c>
      <c r="H75" s="783"/>
      <c r="I75" s="320"/>
      <c r="K75" s="762"/>
      <c r="L75" s="727"/>
      <c r="M75" s="316"/>
      <c r="AT75" s="3598">
        <f t="shared" si="0"/>
        <v>0</v>
      </c>
      <c r="AU75" s="315">
        <f ca="1">COUNTIFS(AT$7:$AT75,1)</f>
        <v>2</v>
      </c>
    </row>
    <row r="76" spans="3:47" ht="24" hidden="1" customHeight="1" outlineLevel="1" thickBot="1">
      <c r="C76" s="407" t="s">
        <v>1499</v>
      </c>
      <c r="D76" s="408"/>
      <c r="E76" s="404"/>
      <c r="F76" s="404">
        <f>SUM(G66:G71)</f>
        <v>0</v>
      </c>
      <c r="G76" s="404">
        <f>IF($E$2&gt;0,F76/$E$2,0)</f>
        <v>0</v>
      </c>
      <c r="P76" s="386"/>
      <c r="Q76" s="386"/>
      <c r="R76" s="386"/>
      <c r="S76" s="386"/>
      <c r="T76" s="386"/>
      <c r="AT76" s="3598">
        <f t="shared" si="0"/>
        <v>0</v>
      </c>
      <c r="AU76" s="315">
        <f ca="1">COUNTIFS(AT$7:$AT76,1)</f>
        <v>2</v>
      </c>
    </row>
    <row r="77" spans="3:47" ht="24" customHeight="1" collapsed="1" thickTop="1">
      <c r="C77" s="784" t="s">
        <v>85</v>
      </c>
      <c r="D77" s="785"/>
      <c r="E77" s="785"/>
      <c r="F77" s="786">
        <f>SUM(F72:F76)</f>
        <v>0</v>
      </c>
      <c r="G77" s="787">
        <f>SUM(G72:G76)</f>
        <v>0</v>
      </c>
      <c r="H77" s="386"/>
      <c r="I77" s="386"/>
      <c r="J77" s="386"/>
      <c r="K77" s="386"/>
      <c r="L77" s="386"/>
      <c r="M77" s="386"/>
      <c r="N77" s="386"/>
      <c r="O77" s="386"/>
      <c r="P77" s="386"/>
      <c r="Q77" s="386"/>
      <c r="R77" s="386"/>
      <c r="S77" s="386"/>
      <c r="T77" s="386"/>
      <c r="AT77" s="3598">
        <f t="shared" si="0"/>
        <v>0</v>
      </c>
      <c r="AU77" s="315">
        <f ca="1">COUNTIFS(AT$7:$AT77,1)</f>
        <v>2</v>
      </c>
    </row>
    <row r="78" spans="3:47" ht="24" customHeight="1">
      <c r="AT78" s="3598" t="str">
        <f t="shared" si="0"/>
        <v/>
      </c>
      <c r="AU78" s="315">
        <f ca="1">COUNTIFS(AT$7:$AT78,1)</f>
        <v>2</v>
      </c>
    </row>
    <row r="79" spans="3:47" ht="24" customHeight="1">
      <c r="AT79" s="3598" t="str">
        <f t="shared" si="0"/>
        <v/>
      </c>
      <c r="AU79" s="315">
        <f ca="1">COUNTIFS(AT$7:$AT79,1)</f>
        <v>2</v>
      </c>
    </row>
    <row r="80" spans="3:47" ht="24" customHeight="1">
      <c r="AT80" s="3598" t="str">
        <f t="shared" si="0"/>
        <v/>
      </c>
      <c r="AU80" s="315">
        <f ca="1">COUNTIFS(AT$7:$AT80,1)</f>
        <v>2</v>
      </c>
    </row>
    <row r="81" spans="46:47" ht="24" customHeight="1">
      <c r="AT81" s="3598" t="str">
        <f t="shared" si="0"/>
        <v/>
      </c>
      <c r="AU81" s="315">
        <f ca="1">COUNTIFS(AT$7:$AT81,1)</f>
        <v>2</v>
      </c>
    </row>
    <row r="82" spans="46:47" ht="24" customHeight="1">
      <c r="AT82" s="3598" t="str">
        <f t="shared" si="0"/>
        <v/>
      </c>
      <c r="AU82" s="315">
        <f ca="1">COUNTIFS(AT$7:$AT82,1)</f>
        <v>2</v>
      </c>
    </row>
    <row r="83" spans="46:47" ht="24" customHeight="1">
      <c r="AT83" s="3598" t="str">
        <f t="shared" si="0"/>
        <v/>
      </c>
      <c r="AU83" s="315">
        <f ca="1">COUNTIFS(AT$7:$AT83,1)</f>
        <v>2</v>
      </c>
    </row>
    <row r="84" spans="46:47" ht="24" customHeight="1">
      <c r="AT84" s="3598" t="str">
        <f t="shared" si="0"/>
        <v/>
      </c>
      <c r="AU84" s="315">
        <f ca="1">COUNTIFS(AT$7:$AT84,1)</f>
        <v>2</v>
      </c>
    </row>
    <row r="85" spans="46:47" ht="24" customHeight="1">
      <c r="AT85" s="3598" t="str">
        <f t="shared" si="0"/>
        <v/>
      </c>
      <c r="AU85" s="315">
        <f ca="1">COUNTIFS(AT$7:$AT85,1)</f>
        <v>2</v>
      </c>
    </row>
    <row r="86" spans="46:47" ht="24" customHeight="1">
      <c r="AT86" s="3598" t="str">
        <f t="shared" si="0"/>
        <v/>
      </c>
      <c r="AU86" s="315">
        <f ca="1">COUNTIFS(AT$7:$AT86,1)</f>
        <v>2</v>
      </c>
    </row>
    <row r="87" spans="46:47" ht="24" customHeight="1">
      <c r="AT87" s="3598" t="str">
        <f t="shared" si="0"/>
        <v/>
      </c>
      <c r="AU87" s="315">
        <f ca="1">COUNTIFS(AT$7:$AT87,1)</f>
        <v>2</v>
      </c>
    </row>
    <row r="88" spans="46:47" ht="24" customHeight="1">
      <c r="AT88" s="3598" t="str">
        <f t="shared" si="0"/>
        <v/>
      </c>
      <c r="AU88" s="315">
        <f ca="1">COUNTIFS(AT$7:$AT88,1)</f>
        <v>2</v>
      </c>
    </row>
    <row r="89" spans="46:47" ht="24" customHeight="1">
      <c r="AT89" s="3598" t="str">
        <f t="shared" si="0"/>
        <v/>
      </c>
      <c r="AU89" s="315">
        <f ca="1">COUNTIFS(AT$7:$AT89,1)</f>
        <v>2</v>
      </c>
    </row>
    <row r="90" spans="46:47" ht="24" customHeight="1">
      <c r="AT90" s="3598" t="str">
        <f t="shared" si="0"/>
        <v/>
      </c>
      <c r="AU90" s="315">
        <f ca="1">COUNTIFS(AT$7:$AT90,1)</f>
        <v>2</v>
      </c>
    </row>
    <row r="91" spans="46:47" ht="24" customHeight="1">
      <c r="AT91" s="3598" t="str">
        <f t="shared" si="0"/>
        <v/>
      </c>
      <c r="AU91" s="315">
        <f ca="1">COUNTIFS(AT$7:$AT91,1)</f>
        <v>2</v>
      </c>
    </row>
    <row r="92" spans="46:47" ht="24" customHeight="1">
      <c r="AT92" s="3598" t="str">
        <f t="shared" si="0"/>
        <v/>
      </c>
      <c r="AU92" s="315">
        <f ca="1">COUNTIFS(AT$7:$AT92,1)</f>
        <v>2</v>
      </c>
    </row>
    <row r="93" spans="46:47" ht="24" customHeight="1">
      <c r="AT93" s="3598" t="str">
        <f t="shared" si="0"/>
        <v/>
      </c>
      <c r="AU93" s="315">
        <f ca="1">COUNTIFS(AT$7:$AT93,1)</f>
        <v>2</v>
      </c>
    </row>
    <row r="94" spans="46:47" ht="24" customHeight="1">
      <c r="AT94" s="3598" t="str">
        <f t="shared" si="0"/>
        <v/>
      </c>
      <c r="AU94" s="315">
        <f ca="1">COUNTIFS(AT$7:$AT94,1)</f>
        <v>2</v>
      </c>
    </row>
    <row r="95" spans="46:47" ht="24" customHeight="1">
      <c r="AT95" s="3598" t="str">
        <f t="shared" si="0"/>
        <v/>
      </c>
      <c r="AU95" s="315">
        <f ca="1">COUNTIFS(AT$7:$AT95,1)</f>
        <v>2</v>
      </c>
    </row>
    <row r="96" spans="46:47" ht="24" customHeight="1">
      <c r="AT96" s="3598" t="str">
        <f t="shared" si="0"/>
        <v/>
      </c>
      <c r="AU96" s="315">
        <f ca="1">COUNTIFS(AT$7:$AT96,1)</f>
        <v>2</v>
      </c>
    </row>
    <row r="97" spans="46:47" ht="24" customHeight="1">
      <c r="AT97" s="3598" t="str">
        <f t="shared" si="0"/>
        <v/>
      </c>
      <c r="AU97" s="315">
        <f ca="1">COUNTIFS(AT$7:$AT97,1)</f>
        <v>2</v>
      </c>
    </row>
    <row r="98" spans="46:47" ht="24" customHeight="1">
      <c r="AT98" s="3598" t="str">
        <f t="shared" si="0"/>
        <v/>
      </c>
      <c r="AU98" s="315">
        <f ca="1">COUNTIFS(AT$7:$AT98,1)</f>
        <v>2</v>
      </c>
    </row>
    <row r="99" spans="46:47" ht="24" customHeight="1">
      <c r="AT99" s="3598" t="str">
        <f t="shared" si="0"/>
        <v/>
      </c>
      <c r="AU99" s="315">
        <f ca="1">COUNTIFS(AT$7:$AT99,1)</f>
        <v>2</v>
      </c>
    </row>
    <row r="100" spans="46:47" ht="24" customHeight="1">
      <c r="AT100" s="3598" t="str">
        <f t="shared" si="0"/>
        <v/>
      </c>
      <c r="AU100" s="315">
        <f ca="1">COUNTIFS(AT$7:$AT100,1)</f>
        <v>2</v>
      </c>
    </row>
    <row r="101" spans="46:47" ht="24" customHeight="1">
      <c r="AT101" s="3598" t="str">
        <f t="shared" si="0"/>
        <v/>
      </c>
      <c r="AU101" s="315">
        <f ca="1">COUNTIFS(AT$7:$AT101,1)</f>
        <v>2</v>
      </c>
    </row>
    <row r="102" spans="46:47" ht="24" customHeight="1">
      <c r="AT102" s="3598" t="str">
        <f t="shared" si="0"/>
        <v/>
      </c>
      <c r="AU102" s="315">
        <f ca="1">COUNTIFS(AT$7:$AT102,1)</f>
        <v>2</v>
      </c>
    </row>
    <row r="103" spans="46:47" ht="24" customHeight="1">
      <c r="AT103" s="3598" t="str">
        <f t="shared" si="0"/>
        <v/>
      </c>
      <c r="AU103" s="315">
        <f ca="1">COUNTIFS(AT$7:$AT103,1)</f>
        <v>2</v>
      </c>
    </row>
    <row r="104" spans="46:47" ht="24" customHeight="1">
      <c r="AT104" s="3598" t="str">
        <f t="shared" si="0"/>
        <v/>
      </c>
      <c r="AU104" s="315">
        <f ca="1">COUNTIFS(AT$7:$AT104,1)</f>
        <v>2</v>
      </c>
    </row>
    <row r="105" spans="46:47" ht="24" customHeight="1">
      <c r="AT105" s="3598" t="str">
        <f t="shared" si="0"/>
        <v/>
      </c>
      <c r="AU105" s="315">
        <f ca="1">COUNTIFS(AT$7:$AT105,1)</f>
        <v>2</v>
      </c>
    </row>
    <row r="106" spans="46:47" ht="24" customHeight="1">
      <c r="AT106" s="3598" t="str">
        <f t="shared" si="0"/>
        <v/>
      </c>
      <c r="AU106" s="315">
        <f ca="1">COUNTIFS(AT$7:$AT106,1)</f>
        <v>2</v>
      </c>
    </row>
    <row r="107" spans="46:47" ht="24" customHeight="1">
      <c r="AT107" s="3598" t="str">
        <f t="shared" si="0"/>
        <v/>
      </c>
      <c r="AU107" s="315">
        <f ca="1">COUNTIFS(AT$7:$AT107,1)</f>
        <v>2</v>
      </c>
    </row>
    <row r="108" spans="46:47" ht="24" customHeight="1">
      <c r="AT108" s="3598" t="str">
        <f t="shared" si="0"/>
        <v/>
      </c>
      <c r="AU108" s="315">
        <f ca="1">COUNTIFS(AT$7:$AT108,1)</f>
        <v>2</v>
      </c>
    </row>
    <row r="109" spans="46:47" ht="24" customHeight="1">
      <c r="AT109" s="3598" t="str">
        <f t="shared" si="0"/>
        <v/>
      </c>
      <c r="AU109" s="315">
        <f ca="1">COUNTIFS(AT$7:$AT109,1)</f>
        <v>2</v>
      </c>
    </row>
    <row r="110" spans="46:47" ht="24" customHeight="1">
      <c r="AT110" s="3598" t="str">
        <f t="shared" si="0"/>
        <v/>
      </c>
      <c r="AU110" s="315">
        <f ca="1">COUNTIFS(AT$7:$AT110,1)</f>
        <v>2</v>
      </c>
    </row>
    <row r="111" spans="46:47" ht="24" customHeight="1">
      <c r="AT111" s="3598" t="str">
        <f t="shared" si="0"/>
        <v/>
      </c>
      <c r="AU111" s="315">
        <f ca="1">COUNTIFS(AT$7:$AT111,1)</f>
        <v>2</v>
      </c>
    </row>
    <row r="112" spans="46:47" ht="24" customHeight="1">
      <c r="AT112" s="3598" t="str">
        <f t="shared" si="0"/>
        <v/>
      </c>
      <c r="AU112" s="315">
        <f ca="1">COUNTIFS(AT$7:$AT112,1)</f>
        <v>2</v>
      </c>
    </row>
    <row r="113" spans="46:47" ht="24" customHeight="1">
      <c r="AT113" s="3598" t="str">
        <f t="shared" si="0"/>
        <v/>
      </c>
      <c r="AU113" s="315">
        <f ca="1">COUNTIFS(AT$7:$AT113,1)</f>
        <v>2</v>
      </c>
    </row>
    <row r="114" spans="46:47" ht="24" customHeight="1">
      <c r="AT114" s="3598" t="str">
        <f t="shared" si="0"/>
        <v/>
      </c>
      <c r="AU114" s="315">
        <f ca="1">COUNTIFS(AT$7:$AT114,1)</f>
        <v>2</v>
      </c>
    </row>
    <row r="115" spans="46:47" ht="24" customHeight="1">
      <c r="AT115" s="3598" t="str">
        <f t="shared" si="0"/>
        <v/>
      </c>
      <c r="AU115" s="315">
        <f ca="1">COUNTIFS(AT$7:$AT115,1)</f>
        <v>2</v>
      </c>
    </row>
    <row r="116" spans="46:47" ht="24" customHeight="1">
      <c r="AT116" s="3598" t="str">
        <f t="shared" si="0"/>
        <v/>
      </c>
      <c r="AU116" s="315">
        <f ca="1">COUNTIFS(AT$7:$AT116,1)</f>
        <v>2</v>
      </c>
    </row>
    <row r="117" spans="46:47" ht="24" customHeight="1">
      <c r="AT117" s="3598" t="str">
        <f t="shared" si="0"/>
        <v/>
      </c>
      <c r="AU117" s="315">
        <f ca="1">COUNTIFS(AT$7:$AT117,1)</f>
        <v>2</v>
      </c>
    </row>
    <row r="118" spans="46:47" ht="24" customHeight="1">
      <c r="AT118" s="3598" t="str">
        <f t="shared" si="0"/>
        <v/>
      </c>
      <c r="AU118" s="315">
        <f ca="1">COUNTIFS(AT$7:$AT118,1)</f>
        <v>2</v>
      </c>
    </row>
    <row r="119" spans="46:47" ht="24" customHeight="1">
      <c r="AT119" s="3598" t="str">
        <f t="shared" si="0"/>
        <v/>
      </c>
      <c r="AU119" s="315">
        <f ca="1">COUNTIFS(AT$7:$AT119,1)</f>
        <v>2</v>
      </c>
    </row>
    <row r="120" spans="46:47" ht="24" customHeight="1">
      <c r="AT120" s="3598" t="str">
        <f t="shared" si="0"/>
        <v/>
      </c>
      <c r="AU120" s="315">
        <f ca="1">COUNTIFS(AT$7:$AT120,1)</f>
        <v>2</v>
      </c>
    </row>
    <row r="121" spans="46:47" ht="24" customHeight="1">
      <c r="AT121" s="3598" t="str">
        <f t="shared" si="0"/>
        <v/>
      </c>
      <c r="AU121" s="315">
        <f ca="1">COUNTIFS(AT$7:$AT121,1)</f>
        <v>2</v>
      </c>
    </row>
    <row r="122" spans="46:47" ht="24" customHeight="1">
      <c r="AT122" s="3598" t="str">
        <f t="shared" si="0"/>
        <v/>
      </c>
      <c r="AU122" s="315">
        <f ca="1">COUNTIFS(AT$7:$AT122,1)</f>
        <v>2</v>
      </c>
    </row>
    <row r="123" spans="46:47" ht="24" customHeight="1">
      <c r="AT123" s="3598" t="str">
        <f t="shared" si="0"/>
        <v/>
      </c>
      <c r="AU123" s="315">
        <f ca="1">COUNTIFS(AT$7:$AT123,1)</f>
        <v>2</v>
      </c>
    </row>
    <row r="124" spans="46:47" ht="24" customHeight="1">
      <c r="AT124" s="3598" t="str">
        <f t="shared" si="0"/>
        <v/>
      </c>
      <c r="AU124" s="315">
        <f ca="1">COUNTIFS(AT$7:$AT124,1)</f>
        <v>2</v>
      </c>
    </row>
    <row r="125" spans="46:47" ht="24" customHeight="1">
      <c r="AT125" s="3598" t="str">
        <f t="shared" si="0"/>
        <v/>
      </c>
      <c r="AU125" s="315">
        <f ca="1">COUNTIFS(AT$7:$AT125,1)</f>
        <v>2</v>
      </c>
    </row>
    <row r="126" spans="46:47" ht="24" customHeight="1">
      <c r="AT126" s="3598" t="str">
        <f t="shared" si="0"/>
        <v/>
      </c>
      <c r="AU126" s="315">
        <f ca="1">COUNTIFS(AT$7:$AT126,1)</f>
        <v>2</v>
      </c>
    </row>
    <row r="127" spans="46:47" ht="24" customHeight="1">
      <c r="AT127" s="3598" t="str">
        <f t="shared" si="0"/>
        <v/>
      </c>
      <c r="AU127" s="315">
        <f ca="1">COUNTIFS(AT$7:$AT127,1)</f>
        <v>2</v>
      </c>
    </row>
    <row r="128" spans="46:47" ht="24" customHeight="1">
      <c r="AT128" s="3598" t="str">
        <f t="shared" si="0"/>
        <v/>
      </c>
      <c r="AU128" s="315">
        <f ca="1">COUNTIFS(AT$7:$AT128,1)</f>
        <v>2</v>
      </c>
    </row>
    <row r="129" spans="46:47" ht="24" customHeight="1">
      <c r="AT129" s="3598" t="str">
        <f t="shared" si="0"/>
        <v/>
      </c>
      <c r="AU129" s="315">
        <f ca="1">COUNTIFS(AT$7:$AT129,1)</f>
        <v>2</v>
      </c>
    </row>
    <row r="130" spans="46:47" ht="24" customHeight="1">
      <c r="AT130" s="3598" t="str">
        <f t="shared" si="0"/>
        <v/>
      </c>
      <c r="AU130" s="315">
        <f ca="1">COUNTIFS(AT$7:$AT130,1)</f>
        <v>2</v>
      </c>
    </row>
    <row r="131" spans="46:47" ht="24" customHeight="1">
      <c r="AT131" s="3598" t="str">
        <f t="shared" si="0"/>
        <v/>
      </c>
      <c r="AU131" s="315">
        <f ca="1">COUNTIFS(AT$7:$AT131,1)</f>
        <v>2</v>
      </c>
    </row>
    <row r="132" spans="46:47" ht="24" customHeight="1">
      <c r="AT132" s="3598" t="str">
        <f t="shared" si="0"/>
        <v/>
      </c>
      <c r="AU132" s="315">
        <f ca="1">COUNTIFS(AT$7:$AT132,1)</f>
        <v>2</v>
      </c>
    </row>
    <row r="133" spans="46:47" ht="24" customHeight="1">
      <c r="AT133" s="3598" t="str">
        <f t="shared" si="0"/>
        <v/>
      </c>
      <c r="AU133" s="315">
        <f ca="1">COUNTIFS(AT$7:$AT133,1)</f>
        <v>2</v>
      </c>
    </row>
    <row r="134" spans="46:47" ht="24" customHeight="1">
      <c r="AT134" s="3598" t="str">
        <f t="shared" si="0"/>
        <v/>
      </c>
      <c r="AU134" s="315">
        <f ca="1">COUNTIFS(AT$7:$AT134,1)</f>
        <v>2</v>
      </c>
    </row>
    <row r="135" spans="46:47" ht="24" customHeight="1">
      <c r="AT135" s="3598" t="str">
        <f t="shared" si="0"/>
        <v/>
      </c>
      <c r="AU135" s="315">
        <f ca="1">COUNTIFS(AT$7:$AT135,1)</f>
        <v>2</v>
      </c>
    </row>
    <row r="136" spans="46:47" ht="24" customHeight="1">
      <c r="AT136" s="3598" t="str">
        <f t="shared" si="0"/>
        <v/>
      </c>
      <c r="AU136" s="315">
        <f ca="1">COUNTIFS(AT$7:$AT136,1)</f>
        <v>2</v>
      </c>
    </row>
    <row r="137" spans="46:47" ht="24" customHeight="1">
      <c r="AT137" s="3598" t="str">
        <f t="shared" si="0"/>
        <v/>
      </c>
      <c r="AU137" s="315">
        <f ca="1">COUNTIFS(AT$7:$AT137,1)</f>
        <v>2</v>
      </c>
    </row>
    <row r="138" spans="46:47" ht="24" customHeight="1">
      <c r="AT138" s="3598" t="str">
        <f t="shared" ref="AT138:AT183" si="1">IF(ISNUMBER(F138),IF(F138&lt;&gt;0,IF(ISNUMBER(SEARCH("to",J138)),0,1),0),"")</f>
        <v/>
      </c>
      <c r="AU138" s="315">
        <f ca="1">COUNTIFS(AT$7:$AT138,1)</f>
        <v>2</v>
      </c>
    </row>
    <row r="139" spans="46:47" ht="24" customHeight="1">
      <c r="AT139" s="3598" t="str">
        <f t="shared" si="1"/>
        <v/>
      </c>
      <c r="AU139" s="315">
        <f ca="1">COUNTIFS(AT$7:$AT139,1)</f>
        <v>2</v>
      </c>
    </row>
    <row r="140" spans="46:47" ht="24" customHeight="1">
      <c r="AT140" s="3598" t="str">
        <f t="shared" si="1"/>
        <v/>
      </c>
      <c r="AU140" s="315">
        <f ca="1">COUNTIFS(AT$7:$AT140,1)</f>
        <v>2</v>
      </c>
    </row>
    <row r="141" spans="46:47" ht="24" customHeight="1">
      <c r="AT141" s="3598" t="str">
        <f t="shared" si="1"/>
        <v/>
      </c>
      <c r="AU141" s="315">
        <f ca="1">COUNTIFS(AT$7:$AT141,1)</f>
        <v>2</v>
      </c>
    </row>
    <row r="142" spans="46:47" ht="24" customHeight="1">
      <c r="AT142" s="3598" t="str">
        <f t="shared" si="1"/>
        <v/>
      </c>
      <c r="AU142" s="315">
        <f ca="1">COUNTIFS(AT$7:$AT142,1)</f>
        <v>2</v>
      </c>
    </row>
    <row r="143" spans="46:47" ht="24" customHeight="1">
      <c r="AT143" s="3598" t="str">
        <f t="shared" si="1"/>
        <v/>
      </c>
      <c r="AU143" s="315">
        <f ca="1">COUNTIFS(AT$7:$AT143,1)</f>
        <v>2</v>
      </c>
    </row>
    <row r="144" spans="46:47" ht="24" customHeight="1">
      <c r="AT144" s="3598" t="str">
        <f t="shared" si="1"/>
        <v/>
      </c>
      <c r="AU144" s="315">
        <f ca="1">COUNTIFS(AT$7:$AT144,1)</f>
        <v>2</v>
      </c>
    </row>
    <row r="145" spans="46:47" ht="24" customHeight="1">
      <c r="AT145" s="3598" t="str">
        <f t="shared" si="1"/>
        <v/>
      </c>
      <c r="AU145" s="315">
        <f ca="1">COUNTIFS(AT$7:$AT145,1)</f>
        <v>2</v>
      </c>
    </row>
    <row r="146" spans="46:47" ht="24" customHeight="1">
      <c r="AT146" s="3598" t="str">
        <f t="shared" si="1"/>
        <v/>
      </c>
      <c r="AU146" s="315">
        <f ca="1">COUNTIFS(AT$7:$AT146,1)</f>
        <v>2</v>
      </c>
    </row>
    <row r="147" spans="46:47" ht="24" customHeight="1">
      <c r="AT147" s="3598" t="str">
        <f t="shared" si="1"/>
        <v/>
      </c>
      <c r="AU147" s="315">
        <f ca="1">COUNTIFS(AT$7:$AT147,1)</f>
        <v>2</v>
      </c>
    </row>
    <row r="148" spans="46:47" ht="24" customHeight="1">
      <c r="AT148" s="3598" t="str">
        <f t="shared" si="1"/>
        <v/>
      </c>
      <c r="AU148" s="315">
        <f ca="1">COUNTIFS(AT$7:$AT148,1)</f>
        <v>2</v>
      </c>
    </row>
    <row r="149" spans="46:47" ht="24" customHeight="1">
      <c r="AT149" s="3598" t="str">
        <f t="shared" si="1"/>
        <v/>
      </c>
      <c r="AU149" s="315">
        <f ca="1">COUNTIFS(AT$7:$AT149,1)</f>
        <v>2</v>
      </c>
    </row>
    <row r="150" spans="46:47" ht="24" customHeight="1">
      <c r="AT150" s="3598" t="str">
        <f t="shared" si="1"/>
        <v/>
      </c>
      <c r="AU150" s="315">
        <f ca="1">COUNTIFS(AT$7:$AT150,1)</f>
        <v>2</v>
      </c>
    </row>
    <row r="151" spans="46:47" ht="24" customHeight="1">
      <c r="AT151" s="3598" t="str">
        <f t="shared" si="1"/>
        <v/>
      </c>
      <c r="AU151" s="315">
        <f ca="1">COUNTIFS(AT$7:$AT151,1)</f>
        <v>2</v>
      </c>
    </row>
    <row r="152" spans="46:47" ht="24" customHeight="1">
      <c r="AT152" s="3598" t="str">
        <f t="shared" si="1"/>
        <v/>
      </c>
      <c r="AU152" s="315">
        <f ca="1">COUNTIFS(AT$7:$AT152,1)</f>
        <v>2</v>
      </c>
    </row>
    <row r="153" spans="46:47" ht="24" customHeight="1">
      <c r="AT153" s="3598" t="str">
        <f t="shared" si="1"/>
        <v/>
      </c>
      <c r="AU153" s="315">
        <f ca="1">COUNTIFS(AT$7:$AT153,1)</f>
        <v>2</v>
      </c>
    </row>
    <row r="154" spans="46:47" ht="24" customHeight="1">
      <c r="AT154" s="3598" t="str">
        <f t="shared" si="1"/>
        <v/>
      </c>
      <c r="AU154" s="315">
        <f ca="1">COUNTIFS(AT$7:$AT154,1)</f>
        <v>2</v>
      </c>
    </row>
    <row r="155" spans="46:47" ht="24" customHeight="1">
      <c r="AT155" s="3598" t="str">
        <f t="shared" si="1"/>
        <v/>
      </c>
      <c r="AU155" s="315">
        <f ca="1">COUNTIFS(AT$7:$AT155,1)</f>
        <v>2</v>
      </c>
    </row>
    <row r="156" spans="46:47" ht="24" customHeight="1">
      <c r="AT156" s="3598" t="str">
        <f t="shared" si="1"/>
        <v/>
      </c>
      <c r="AU156" s="315">
        <f ca="1">COUNTIFS(AT$7:$AT156,1)</f>
        <v>2</v>
      </c>
    </row>
    <row r="157" spans="46:47" ht="24" customHeight="1">
      <c r="AT157" s="3598" t="str">
        <f t="shared" si="1"/>
        <v/>
      </c>
      <c r="AU157" s="315">
        <f ca="1">COUNTIFS(AT$7:$AT157,1)</f>
        <v>2</v>
      </c>
    </row>
    <row r="158" spans="46:47" ht="24" customHeight="1">
      <c r="AT158" s="3598" t="str">
        <f t="shared" si="1"/>
        <v/>
      </c>
      <c r="AU158" s="315">
        <f ca="1">COUNTIFS(AT$7:$AT158,1)</f>
        <v>2</v>
      </c>
    </row>
    <row r="159" spans="46:47" ht="24" customHeight="1">
      <c r="AT159" s="3598" t="str">
        <f t="shared" si="1"/>
        <v/>
      </c>
      <c r="AU159" s="315">
        <f ca="1">COUNTIFS(AT$7:$AT159,1)</f>
        <v>2</v>
      </c>
    </row>
    <row r="160" spans="46:47" ht="24" customHeight="1">
      <c r="AT160" s="3598" t="str">
        <f t="shared" si="1"/>
        <v/>
      </c>
      <c r="AU160" s="315">
        <f ca="1">COUNTIFS(AT$7:$AT160,1)</f>
        <v>2</v>
      </c>
    </row>
    <row r="161" spans="46:47" ht="24" customHeight="1">
      <c r="AT161" s="3598" t="str">
        <f t="shared" si="1"/>
        <v/>
      </c>
      <c r="AU161" s="315">
        <f ca="1">COUNTIFS(AT$7:$AT161,1)</f>
        <v>2</v>
      </c>
    </row>
    <row r="162" spans="46:47" ht="24" customHeight="1">
      <c r="AT162" s="3598" t="str">
        <f t="shared" si="1"/>
        <v/>
      </c>
      <c r="AU162" s="315">
        <f ca="1">COUNTIFS(AT$7:$AT162,1)</f>
        <v>2</v>
      </c>
    </row>
    <row r="163" spans="46:47" ht="24" customHeight="1">
      <c r="AT163" s="3598" t="str">
        <f t="shared" si="1"/>
        <v/>
      </c>
      <c r="AU163" s="315">
        <f ca="1">COUNTIFS(AT$7:$AT163,1)</f>
        <v>2</v>
      </c>
    </row>
    <row r="164" spans="46:47" ht="24" customHeight="1">
      <c r="AT164" s="3598" t="str">
        <f t="shared" si="1"/>
        <v/>
      </c>
      <c r="AU164" s="315">
        <f ca="1">COUNTIFS(AT$7:$AT164,1)</f>
        <v>2</v>
      </c>
    </row>
    <row r="165" spans="46:47" ht="24" customHeight="1">
      <c r="AT165" s="3598" t="str">
        <f t="shared" si="1"/>
        <v/>
      </c>
      <c r="AU165" s="315">
        <f ca="1">COUNTIFS(AT$7:$AT165,1)</f>
        <v>2</v>
      </c>
    </row>
    <row r="166" spans="46:47" ht="24" customHeight="1">
      <c r="AT166" s="3598" t="str">
        <f t="shared" si="1"/>
        <v/>
      </c>
      <c r="AU166" s="315">
        <f ca="1">COUNTIFS(AT$7:$AT166,1)</f>
        <v>2</v>
      </c>
    </row>
    <row r="167" spans="46:47" ht="24" customHeight="1">
      <c r="AT167" s="3598" t="str">
        <f t="shared" si="1"/>
        <v/>
      </c>
      <c r="AU167" s="315">
        <f ca="1">COUNTIFS(AT$7:$AT167,1)</f>
        <v>2</v>
      </c>
    </row>
    <row r="168" spans="46:47" ht="24" customHeight="1">
      <c r="AT168" s="3598" t="str">
        <f t="shared" si="1"/>
        <v/>
      </c>
      <c r="AU168" s="315">
        <f ca="1">COUNTIFS(AT$7:$AT168,1)</f>
        <v>2</v>
      </c>
    </row>
    <row r="169" spans="46:47" ht="24" customHeight="1">
      <c r="AT169" s="3598" t="str">
        <f t="shared" si="1"/>
        <v/>
      </c>
      <c r="AU169" s="315">
        <f ca="1">COUNTIFS(AT$7:$AT169,1)</f>
        <v>2</v>
      </c>
    </row>
    <row r="170" spans="46:47" ht="24" customHeight="1">
      <c r="AT170" s="3598" t="str">
        <f t="shared" si="1"/>
        <v/>
      </c>
      <c r="AU170" s="315">
        <f ca="1">COUNTIFS(AT$7:$AT170,1)</f>
        <v>2</v>
      </c>
    </row>
    <row r="171" spans="46:47" ht="24" customHeight="1">
      <c r="AT171" s="3598" t="str">
        <f t="shared" si="1"/>
        <v/>
      </c>
      <c r="AU171" s="315">
        <f ca="1">COUNTIFS(AT$7:$AT171,1)</f>
        <v>2</v>
      </c>
    </row>
    <row r="172" spans="46:47" ht="24" customHeight="1">
      <c r="AT172" s="3598" t="str">
        <f t="shared" si="1"/>
        <v/>
      </c>
      <c r="AU172" s="315">
        <f ca="1">COUNTIFS(AT$7:$AT172,1)</f>
        <v>2</v>
      </c>
    </row>
    <row r="173" spans="46:47" ht="24" customHeight="1">
      <c r="AT173" s="3598" t="str">
        <f t="shared" si="1"/>
        <v/>
      </c>
      <c r="AU173" s="315">
        <f ca="1">COUNTIFS(AT$7:$AT173,1)</f>
        <v>2</v>
      </c>
    </row>
    <row r="174" spans="46:47" ht="24" customHeight="1">
      <c r="AT174" s="3598" t="str">
        <f t="shared" si="1"/>
        <v/>
      </c>
      <c r="AU174" s="315">
        <f ca="1">COUNTIFS(AT$7:$AT174,1)</f>
        <v>2</v>
      </c>
    </row>
    <row r="175" spans="46:47" ht="24" customHeight="1">
      <c r="AT175" s="3598" t="str">
        <f t="shared" si="1"/>
        <v/>
      </c>
      <c r="AU175" s="315">
        <f ca="1">COUNTIFS(AT$7:$AT175,1)</f>
        <v>2</v>
      </c>
    </row>
    <row r="176" spans="46:47" ht="24" customHeight="1">
      <c r="AT176" s="3598" t="str">
        <f t="shared" si="1"/>
        <v/>
      </c>
      <c r="AU176" s="315">
        <f ca="1">COUNTIFS(AT$7:$AT176,1)</f>
        <v>2</v>
      </c>
    </row>
    <row r="177" spans="46:47" ht="24" customHeight="1">
      <c r="AT177" s="3598" t="str">
        <f t="shared" si="1"/>
        <v/>
      </c>
      <c r="AU177" s="315">
        <f ca="1">COUNTIFS(AT$7:$AT177,1)</f>
        <v>2</v>
      </c>
    </row>
    <row r="178" spans="46:47" ht="24" customHeight="1">
      <c r="AT178" s="3598" t="str">
        <f t="shared" si="1"/>
        <v/>
      </c>
      <c r="AU178" s="315">
        <f ca="1">COUNTIFS(AT$7:$AT178,1)</f>
        <v>2</v>
      </c>
    </row>
    <row r="179" spans="46:47" ht="24" customHeight="1">
      <c r="AT179" s="3598" t="str">
        <f t="shared" si="1"/>
        <v/>
      </c>
      <c r="AU179" s="315">
        <f ca="1">COUNTIFS(AT$7:$AT179,1)</f>
        <v>2</v>
      </c>
    </row>
    <row r="180" spans="46:47" ht="24" customHeight="1">
      <c r="AT180" s="3598" t="str">
        <f t="shared" si="1"/>
        <v/>
      </c>
      <c r="AU180" s="315">
        <f ca="1">COUNTIFS(AT$7:$AT180,1)</f>
        <v>2</v>
      </c>
    </row>
    <row r="181" spans="46:47" ht="24" customHeight="1">
      <c r="AT181" s="3598" t="str">
        <f t="shared" si="1"/>
        <v/>
      </c>
      <c r="AU181" s="315">
        <f ca="1">COUNTIFS(AT$7:$AT181,1)</f>
        <v>2</v>
      </c>
    </row>
    <row r="182" spans="46:47" ht="24" customHeight="1">
      <c r="AT182" s="3598" t="str">
        <f t="shared" si="1"/>
        <v/>
      </c>
      <c r="AU182" s="315">
        <f ca="1">COUNTIFS(AT$7:$AT182,1)</f>
        <v>2</v>
      </c>
    </row>
    <row r="183" spans="46:47" ht="24" customHeight="1">
      <c r="AT183" s="3598" t="str">
        <f t="shared" si="1"/>
        <v/>
      </c>
      <c r="AU183" s="315">
        <f ca="1">COUNTIFS(AT$7:$AT183,1)</f>
        <v>2</v>
      </c>
    </row>
  </sheetData>
  <dataConsolidate link="1"/>
  <mergeCells count="9">
    <mergeCell ref="O69:P69"/>
    <mergeCell ref="O70:P70"/>
    <mergeCell ref="K41:K42"/>
    <mergeCell ref="K65:K66"/>
    <mergeCell ref="K17:K18"/>
    <mergeCell ref="O21:P21"/>
    <mergeCell ref="O22:P22"/>
    <mergeCell ref="O45:P45"/>
    <mergeCell ref="O46:P46"/>
  </mergeCells>
  <phoneticPr fontId="0" type="noConversion"/>
  <conditionalFormatting sqref="M9">
    <cfRule type="cellIs" dxfId="0" priority="1" operator="equal">
      <formula>0</formula>
    </cfRule>
  </conditionalFormatting>
  <pageMargins left="0.39370078740157483" right="0.11811023622047245" top="0.59055118110236227" bottom="0.39370078740157483" header="0.51181102362204722" footer="0.51181102362204722"/>
  <pageSetup paperSize="9" scale="80" orientation="portrait" horizontalDpi="300" verticalDpi="300" r:id="rId1"/>
  <headerFooter alignWithMargins="0"/>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1">
    <tabColor rgb="FFFF9900"/>
  </sheetPr>
  <dimension ref="A1:AN271"/>
  <sheetViews>
    <sheetView showGridLines="0" zoomScale="85" zoomScaleNormal="85" workbookViewId="0">
      <selection activeCell="K83" sqref="K83"/>
    </sheetView>
  </sheetViews>
  <sheetFormatPr defaultColWidth="8.85546875" defaultRowHeight="12.75" outlineLevelRow="1"/>
  <cols>
    <col min="1" max="1" width="7.85546875" style="136" customWidth="1"/>
    <col min="2" max="2" width="27.85546875" style="136" customWidth="1"/>
    <col min="3" max="3" width="10.42578125" style="136" customWidth="1"/>
    <col min="4" max="4" width="10.85546875" style="136" customWidth="1"/>
    <col min="5" max="5" width="10.85546875" style="189" customWidth="1"/>
    <col min="6" max="6" width="9.28515625" style="189" customWidth="1"/>
    <col min="7" max="7" width="13.7109375" style="189" customWidth="1"/>
    <col min="8" max="8" width="9" style="189" customWidth="1"/>
    <col min="9" max="9" width="10.42578125" style="136" customWidth="1"/>
    <col min="10" max="10" width="7.42578125" style="136" customWidth="1"/>
    <col min="11" max="11" width="11.42578125" style="136" customWidth="1"/>
    <col min="12" max="12" width="10.42578125" style="136" customWidth="1"/>
    <col min="13" max="13" width="7.42578125" style="136" customWidth="1"/>
    <col min="14" max="14" width="11.85546875" style="136" customWidth="1"/>
    <col min="15" max="15" width="9" style="136" customWidth="1"/>
    <col min="16" max="18" width="7.42578125" style="136" customWidth="1"/>
    <col min="19" max="20" width="2.7109375" style="136" customWidth="1"/>
    <col min="21" max="21" width="2.7109375" style="314" customWidth="1"/>
    <col min="22" max="22" width="12" style="136" customWidth="1"/>
    <col min="23" max="23" width="8" style="136" customWidth="1"/>
    <col min="24" max="24" width="2.42578125" style="136" customWidth="1"/>
    <col min="25" max="25" width="8" style="136" customWidth="1"/>
    <col min="26" max="26" width="2.42578125" style="136" customWidth="1"/>
    <col min="27" max="27" width="8" style="136" customWidth="1"/>
    <col min="28" max="28" width="2.42578125" style="136" customWidth="1"/>
    <col min="29" max="29" width="8" style="136" customWidth="1"/>
    <col min="30" max="30" width="8.85546875" style="136"/>
    <col min="31" max="31" width="12.5703125" style="136" customWidth="1"/>
    <col min="32" max="16384" width="8.85546875" style="136"/>
  </cols>
  <sheetData>
    <row r="1" spans="2:40" ht="13.5" thickBot="1"/>
    <row r="2" spans="2:40" ht="18" customHeight="1">
      <c r="B2" s="788" t="str">
        <f>input!B3</f>
        <v>PACK</v>
      </c>
      <c r="C2" s="323"/>
      <c r="D2" s="323"/>
      <c r="E2" s="323"/>
      <c r="F2" s="323"/>
      <c r="G2" s="328"/>
      <c r="H2" s="136"/>
    </row>
    <row r="3" spans="2:40" s="359" customFormat="1" ht="18" customHeight="1">
      <c r="B3" s="789" t="s">
        <v>77</v>
      </c>
      <c r="C3" s="319"/>
      <c r="D3" s="883">
        <f>'Cost EST. GM target'!$L$6/(1+$F$4)</f>
        <v>5000</v>
      </c>
      <c r="E3" s="791" t="s">
        <v>11</v>
      </c>
      <c r="F3" s="827" t="str">
        <f>input!B1215</f>
        <v>Local</v>
      </c>
      <c r="G3" s="828"/>
      <c r="H3" s="791"/>
      <c r="I3" s="791"/>
      <c r="J3" s="319"/>
      <c r="K3" s="791"/>
      <c r="L3" s="791"/>
      <c r="M3" s="791"/>
      <c r="N3" s="791"/>
      <c r="O3" s="791"/>
      <c r="P3" s="791"/>
      <c r="Q3" s="791"/>
      <c r="R3" s="791"/>
      <c r="S3" s="319"/>
      <c r="T3" s="319"/>
      <c r="U3" s="319"/>
      <c r="V3" s="319"/>
      <c r="W3" s="319"/>
      <c r="X3" s="319"/>
      <c r="Y3" s="319"/>
      <c r="Z3" s="319"/>
      <c r="AA3" s="319"/>
      <c r="AB3" s="319"/>
      <c r="AC3" s="319"/>
      <c r="AD3" s="319"/>
      <c r="AE3" s="319"/>
      <c r="AF3" s="319"/>
      <c r="AG3" s="319"/>
      <c r="AH3" s="319"/>
      <c r="AI3" s="319"/>
      <c r="AJ3" s="319"/>
      <c r="AK3" s="319"/>
      <c r="AL3" s="319"/>
      <c r="AM3" s="319"/>
      <c r="AN3" s="319"/>
    </row>
    <row r="4" spans="2:40" s="359" customFormat="1" ht="18" customHeight="1">
      <c r="B4" s="789" t="s">
        <v>1342</v>
      </c>
      <c r="C4" s="136"/>
      <c r="D4" s="334">
        <f>D3*(1+$F$4)</f>
        <v>5000</v>
      </c>
      <c r="E4" s="791" t="s">
        <v>11</v>
      </c>
      <c r="F4" s="720">
        <f>'Cost EST. GM target'!$N$6</f>
        <v>0</v>
      </c>
      <c r="G4" s="790" t="s">
        <v>1094</v>
      </c>
      <c r="H4" s="319"/>
      <c r="I4" s="791"/>
      <c r="J4" s="319"/>
      <c r="K4" s="791"/>
      <c r="L4" s="791"/>
      <c r="M4" s="791"/>
      <c r="N4" s="791"/>
      <c r="O4" s="791"/>
      <c r="P4" s="791"/>
      <c r="Q4" s="791"/>
      <c r="R4" s="791"/>
      <c r="S4" s="319"/>
      <c r="T4" s="319"/>
      <c r="U4" s="319"/>
      <c r="V4" s="319"/>
      <c r="W4" s="319"/>
      <c r="X4" s="319"/>
      <c r="Y4" s="319"/>
      <c r="Z4" s="319"/>
      <c r="AA4" s="319"/>
      <c r="AB4" s="319"/>
      <c r="AC4" s="319"/>
      <c r="AD4" s="319"/>
      <c r="AE4" s="319"/>
      <c r="AF4" s="319"/>
      <c r="AG4" s="319"/>
      <c r="AH4" s="319"/>
      <c r="AI4" s="319"/>
      <c r="AJ4" s="319"/>
      <c r="AK4" s="319"/>
      <c r="AL4" s="319"/>
      <c r="AM4" s="319"/>
      <c r="AN4" s="319"/>
    </row>
    <row r="5" spans="2:40" s="359" customFormat="1" ht="18" customHeight="1" thickBot="1">
      <c r="B5" s="792" t="s">
        <v>1341</v>
      </c>
      <c r="C5" s="793"/>
      <c r="D5" s="794">
        <f>D4*(1+$F$5)</f>
        <v>5225</v>
      </c>
      <c r="E5" s="886" t="s">
        <v>11</v>
      </c>
      <c r="F5" s="795">
        <f>input!$D$4</f>
        <v>4.4999999999999998E-2</v>
      </c>
      <c r="G5" s="796" t="s">
        <v>78</v>
      </c>
      <c r="H5" s="319"/>
      <c r="I5" s="791"/>
      <c r="J5" s="791"/>
      <c r="K5" s="319"/>
      <c r="L5" s="791"/>
      <c r="M5" s="791"/>
      <c r="N5" s="791"/>
      <c r="O5" s="791"/>
      <c r="P5" s="791"/>
      <c r="Q5" s="791"/>
      <c r="R5" s="791"/>
      <c r="S5" s="319"/>
      <c r="T5" s="319"/>
      <c r="U5" s="319"/>
      <c r="V5" s="319"/>
      <c r="W5" s="319"/>
      <c r="X5" s="319"/>
      <c r="Y5" s="319"/>
      <c r="Z5" s="319"/>
      <c r="AA5" s="319"/>
      <c r="AB5" s="319"/>
      <c r="AC5" s="319"/>
      <c r="AD5" s="319"/>
      <c r="AE5" s="319"/>
      <c r="AF5" s="319"/>
      <c r="AG5" s="319"/>
      <c r="AH5" s="319"/>
      <c r="AI5" s="319"/>
      <c r="AJ5" s="319"/>
      <c r="AK5" s="319"/>
      <c r="AL5" s="319"/>
      <c r="AM5" s="319"/>
      <c r="AN5" s="319"/>
    </row>
    <row r="6" spans="2:40" s="359" customFormat="1" ht="18" customHeight="1">
      <c r="B6" s="319"/>
      <c r="C6" s="319"/>
      <c r="D6" s="334"/>
      <c r="E6" s="319"/>
      <c r="F6" s="720"/>
      <c r="G6" s="319"/>
      <c r="H6" s="3198" t="s">
        <v>3325</v>
      </c>
      <c r="I6" s="3199">
        <f>IF(input!$F$1=2023,5%,0%)*0</f>
        <v>0</v>
      </c>
      <c r="J6" s="791"/>
      <c r="K6" s="319"/>
      <c r="L6" s="791"/>
      <c r="M6" s="791"/>
      <c r="N6" s="791"/>
      <c r="O6" s="791"/>
      <c r="P6" s="791"/>
      <c r="Q6" s="791"/>
      <c r="R6" s="791"/>
      <c r="S6" s="319"/>
      <c r="T6" s="319"/>
      <c r="U6" s="319"/>
      <c r="V6" s="319"/>
      <c r="W6" s="319"/>
      <c r="X6" s="319"/>
      <c r="Y6" s="319"/>
      <c r="Z6" s="319"/>
      <c r="AA6" s="319"/>
      <c r="AB6" s="319"/>
      <c r="AC6" s="319"/>
      <c r="AD6" s="319"/>
      <c r="AE6" s="319"/>
      <c r="AF6" s="319"/>
      <c r="AG6" s="319"/>
      <c r="AH6" s="319"/>
      <c r="AI6" s="319"/>
      <c r="AJ6" s="319"/>
      <c r="AK6" s="319"/>
      <c r="AL6" s="319"/>
      <c r="AM6" s="319"/>
      <c r="AN6" s="319"/>
    </row>
    <row r="7" spans="2:40" s="396" customFormat="1" ht="18" customHeight="1">
      <c r="B7" s="333"/>
      <c r="C7" s="333"/>
      <c r="D7" s="802"/>
      <c r="E7" s="333"/>
      <c r="F7" s="803"/>
      <c r="G7" s="333"/>
      <c r="H7" s="333" t="s">
        <v>85</v>
      </c>
      <c r="I7" s="333" t="s">
        <v>762</v>
      </c>
      <c r="J7" s="804"/>
      <c r="K7" s="333"/>
      <c r="L7" s="804"/>
      <c r="M7" s="804"/>
      <c r="N7" s="804"/>
      <c r="O7" s="804"/>
      <c r="P7" s="804"/>
      <c r="Q7" s="804"/>
      <c r="R7" s="804"/>
      <c r="S7" s="333"/>
      <c r="T7" s="333"/>
      <c r="U7" s="333"/>
      <c r="V7" s="333"/>
      <c r="W7" s="333"/>
      <c r="X7" s="333"/>
      <c r="Y7" s="333"/>
      <c r="Z7" s="333"/>
      <c r="AA7" s="333"/>
      <c r="AB7" s="333"/>
      <c r="AC7" s="333"/>
      <c r="AD7" s="333"/>
      <c r="AE7" s="333"/>
      <c r="AF7" s="333"/>
      <c r="AG7" s="333"/>
      <c r="AH7" s="333"/>
      <c r="AI7" s="333"/>
      <c r="AJ7" s="333"/>
      <c r="AK7" s="333"/>
      <c r="AL7" s="333"/>
      <c r="AM7" s="333"/>
      <c r="AN7" s="333"/>
    </row>
    <row r="8" spans="2:40" s="416" customFormat="1" ht="18" customHeight="1">
      <c r="B8" s="805" t="s">
        <v>1325</v>
      </c>
      <c r="C8" s="805" t="str">
        <f>input!C1215</f>
        <v>KCN Biên Hòa</v>
      </c>
      <c r="D8" s="805">
        <f>input!D1215</f>
        <v>0</v>
      </c>
      <c r="E8" s="805"/>
      <c r="F8" s="805"/>
      <c r="G8" s="805"/>
      <c r="H8" s="805">
        <f ca="1">IF(F3=B19,G26,K83)</f>
        <v>602000</v>
      </c>
      <c r="I8" s="800">
        <f ca="1">IF(F3=$B$19,$I$26,$L$83)*(1+$I$6)</f>
        <v>120.4</v>
      </c>
      <c r="J8" s="791"/>
      <c r="K8" s="319"/>
      <c r="L8" s="791"/>
      <c r="M8" s="791"/>
      <c r="N8" s="791"/>
      <c r="O8" s="791"/>
      <c r="P8" s="791"/>
      <c r="Q8" s="791"/>
      <c r="R8" s="791"/>
      <c r="S8" s="319"/>
      <c r="T8" s="319"/>
      <c r="U8" s="319"/>
      <c r="V8" s="319"/>
      <c r="W8" s="319"/>
      <c r="X8" s="319"/>
      <c r="Y8" s="319"/>
      <c r="Z8" s="319"/>
      <c r="AA8" s="319"/>
      <c r="AB8" s="319"/>
      <c r="AC8" s="319"/>
      <c r="AD8" s="319"/>
      <c r="AE8" s="319"/>
      <c r="AF8" s="319"/>
      <c r="AG8" s="319"/>
      <c r="AH8" s="319"/>
      <c r="AI8" s="319"/>
      <c r="AJ8" s="319"/>
      <c r="AK8" s="319"/>
      <c r="AL8" s="319"/>
      <c r="AM8" s="319"/>
      <c r="AN8" s="319"/>
    </row>
    <row r="9" spans="2:40" s="416" customFormat="1" ht="18" customHeight="1">
      <c r="B9" s="322" t="str">
        <f>input!B1217</f>
        <v>KCN Biên Hòa</v>
      </c>
      <c r="C9" s="402"/>
      <c r="D9" s="376"/>
      <c r="E9" s="805"/>
      <c r="F9" s="805"/>
      <c r="G9" s="805"/>
      <c r="H9" s="805"/>
      <c r="I9" s="800"/>
      <c r="J9" s="791"/>
      <c r="K9" s="319"/>
      <c r="L9" s="791"/>
      <c r="M9" s="791"/>
      <c r="N9" s="791"/>
      <c r="O9" s="791"/>
      <c r="P9" s="791"/>
      <c r="Q9" s="791"/>
      <c r="R9" s="791"/>
      <c r="S9" s="319"/>
      <c r="T9" s="319"/>
      <c r="U9" s="319"/>
      <c r="V9" s="319"/>
      <c r="W9" s="319"/>
      <c r="X9" s="319"/>
      <c r="Y9" s="319"/>
      <c r="Z9" s="319"/>
      <c r="AA9" s="319"/>
      <c r="AB9" s="319"/>
      <c r="AC9" s="319"/>
      <c r="AD9" s="319"/>
      <c r="AE9" s="319"/>
      <c r="AF9" s="319"/>
      <c r="AG9" s="319"/>
      <c r="AH9" s="319"/>
      <c r="AI9" s="319"/>
      <c r="AJ9" s="319"/>
      <c r="AK9" s="319"/>
      <c r="AL9" s="319"/>
      <c r="AM9" s="319"/>
      <c r="AN9" s="319"/>
    </row>
    <row r="10" spans="2:40" s="416" customFormat="1" ht="18" customHeight="1">
      <c r="B10" s="985" t="s">
        <v>1878</v>
      </c>
      <c r="C10" s="985">
        <f>input!$E$1217</f>
        <v>0</v>
      </c>
      <c r="D10" s="985" t="s">
        <v>1259</v>
      </c>
      <c r="E10" s="805"/>
      <c r="F10" s="805"/>
      <c r="G10" s="805"/>
      <c r="H10" s="805"/>
      <c r="I10" s="800"/>
      <c r="J10" s="791"/>
      <c r="K10" s="319"/>
      <c r="L10" s="791"/>
      <c r="M10" s="791"/>
      <c r="N10" s="791"/>
      <c r="O10" s="791"/>
      <c r="P10" s="791"/>
      <c r="Q10" s="791"/>
      <c r="R10" s="791"/>
      <c r="S10" s="319"/>
      <c r="T10" s="319"/>
      <c r="U10" s="319"/>
      <c r="V10" s="319"/>
      <c r="W10" s="319"/>
      <c r="X10" s="319"/>
      <c r="Y10" s="319"/>
      <c r="Z10" s="319"/>
      <c r="AA10" s="319"/>
      <c r="AB10" s="319"/>
      <c r="AC10" s="319"/>
      <c r="AD10" s="319"/>
      <c r="AE10" s="319"/>
      <c r="AF10" s="319"/>
      <c r="AG10" s="319"/>
      <c r="AH10" s="319"/>
      <c r="AI10" s="319"/>
      <c r="AJ10" s="319"/>
      <c r="AK10" s="319"/>
      <c r="AL10" s="319"/>
      <c r="AM10" s="319"/>
      <c r="AN10" s="319"/>
    </row>
    <row r="11" spans="2:40" s="416" customFormat="1" ht="18" customHeight="1">
      <c r="B11" s="806" t="s">
        <v>1336</v>
      </c>
      <c r="C11" s="734">
        <f>input!B1218</f>
        <v>36.299999999999997</v>
      </c>
      <c r="D11" s="734">
        <f>input!C1218</f>
        <v>50.2</v>
      </c>
      <c r="E11" s="734">
        <f ca="1">input!D1218</f>
        <v>39.4</v>
      </c>
      <c r="F11" s="734" t="s">
        <v>1458</v>
      </c>
      <c r="G11" s="807"/>
      <c r="H11" s="791"/>
      <c r="I11" s="319"/>
      <c r="J11" s="791"/>
      <c r="K11" s="319"/>
      <c r="L11" s="791"/>
      <c r="M11" s="791"/>
      <c r="N11" s="791"/>
      <c r="O11" s="791"/>
      <c r="P11" s="791"/>
      <c r="Q11" s="791"/>
      <c r="R11" s="791"/>
      <c r="S11" s="319"/>
      <c r="T11" s="319"/>
      <c r="U11" s="319"/>
      <c r="V11" s="319"/>
      <c r="W11" s="319"/>
      <c r="X11" s="319"/>
      <c r="Y11" s="319"/>
      <c r="Z11" s="319"/>
      <c r="AA11" s="319"/>
      <c r="AB11" s="319"/>
      <c r="AC11" s="319"/>
      <c r="AD11" s="319"/>
      <c r="AE11" s="319"/>
      <c r="AF11" s="319"/>
      <c r="AG11" s="319"/>
      <c r="AH11" s="319"/>
      <c r="AI11" s="319"/>
      <c r="AJ11" s="319"/>
      <c r="AK11" s="319"/>
      <c r="AL11" s="319"/>
      <c r="AM11" s="319"/>
      <c r="AN11" s="319"/>
    </row>
    <row r="12" spans="2:40" s="416" customFormat="1" ht="18" customHeight="1">
      <c r="B12" s="806" t="s">
        <v>1337</v>
      </c>
      <c r="C12" s="808">
        <f>input!B1219</f>
        <v>116.9</v>
      </c>
      <c r="D12" s="808">
        <f>input!C1219</f>
        <v>158.6</v>
      </c>
      <c r="E12" s="808">
        <f ca="1">input!D1219</f>
        <v>139.69999999999999</v>
      </c>
      <c r="F12" s="734" t="s">
        <v>1458</v>
      </c>
      <c r="G12" s="807"/>
      <c r="H12" s="791"/>
      <c r="I12" s="319"/>
      <c r="J12" s="791"/>
      <c r="K12" s="319"/>
      <c r="L12" s="791"/>
      <c r="M12" s="791"/>
      <c r="N12" s="791"/>
      <c r="O12" s="791"/>
      <c r="P12" s="791"/>
      <c r="Q12" s="791"/>
      <c r="R12" s="791"/>
      <c r="S12" s="319"/>
      <c r="T12" s="319"/>
      <c r="U12" s="319"/>
      <c r="V12" s="319"/>
      <c r="W12" s="319"/>
      <c r="X12" s="319"/>
      <c r="Y12" s="319"/>
      <c r="Z12" s="319"/>
      <c r="AA12" s="319"/>
      <c r="AB12" s="319"/>
      <c r="AC12" s="319"/>
      <c r="AD12" s="319"/>
      <c r="AE12" s="319"/>
      <c r="AF12" s="319"/>
      <c r="AG12" s="319"/>
      <c r="AH12" s="319"/>
      <c r="AI12" s="319"/>
      <c r="AJ12" s="319"/>
      <c r="AK12" s="319"/>
      <c r="AL12" s="319"/>
      <c r="AM12" s="319"/>
      <c r="AN12" s="319"/>
    </row>
    <row r="13" spans="2:40" s="416" customFormat="1" ht="18" customHeight="1">
      <c r="B13" s="809" t="s">
        <v>52</v>
      </c>
      <c r="C13" s="829">
        <f ca="1">input!F1220</f>
        <v>11.514222705</v>
      </c>
      <c r="D13" s="319"/>
      <c r="E13" s="810" t="s">
        <v>54</v>
      </c>
      <c r="F13" s="830">
        <f ca="1">input!D1220</f>
        <v>7.179704399999999E-2</v>
      </c>
      <c r="G13" s="319"/>
      <c r="H13" s="319"/>
      <c r="I13" s="319"/>
      <c r="J13" s="319"/>
      <c r="K13" s="319"/>
      <c r="L13" s="791"/>
      <c r="M13" s="791"/>
      <c r="N13" s="791"/>
      <c r="O13" s="791"/>
      <c r="P13" s="791"/>
      <c r="Q13" s="791"/>
      <c r="R13" s="791"/>
      <c r="S13" s="319"/>
      <c r="T13" s="319"/>
      <c r="U13" s="319"/>
      <c r="V13" s="319"/>
      <c r="W13" s="319"/>
      <c r="X13" s="319"/>
      <c r="Y13" s="319"/>
      <c r="Z13" s="319"/>
      <c r="AA13" s="319"/>
      <c r="AB13" s="319"/>
      <c r="AC13" s="319"/>
      <c r="AD13" s="319"/>
      <c r="AE13" s="319"/>
      <c r="AF13" s="319"/>
      <c r="AG13" s="319"/>
      <c r="AH13" s="319"/>
      <c r="AI13" s="319"/>
      <c r="AJ13" s="319"/>
      <c r="AK13" s="319"/>
      <c r="AL13" s="319"/>
      <c r="AM13" s="319"/>
      <c r="AN13" s="319"/>
    </row>
    <row r="14" spans="2:40" s="416" customFormat="1" ht="18" customHeight="1">
      <c r="B14" s="809" t="s">
        <v>53</v>
      </c>
      <c r="C14" s="829">
        <f>input!F1221</f>
        <v>0</v>
      </c>
      <c r="D14" s="319"/>
      <c r="E14" s="810" t="s">
        <v>57</v>
      </c>
      <c r="F14" s="830">
        <f ca="1">input!D1221</f>
        <v>2.5900854979999997</v>
      </c>
      <c r="G14" s="319"/>
      <c r="H14" s="319"/>
      <c r="I14" s="319"/>
      <c r="J14" s="319"/>
      <c r="K14" s="319"/>
      <c r="L14" s="791"/>
      <c r="M14" s="791"/>
      <c r="N14" s="791"/>
      <c r="O14" s="791"/>
      <c r="P14" s="791"/>
      <c r="Q14" s="791"/>
      <c r="R14" s="791"/>
      <c r="S14" s="319"/>
      <c r="T14" s="319"/>
      <c r="U14" s="319"/>
      <c r="V14" s="319"/>
      <c r="W14" s="319"/>
      <c r="X14" s="319"/>
      <c r="Y14" s="319"/>
      <c r="Z14" s="319"/>
      <c r="AA14" s="319"/>
      <c r="AB14" s="319"/>
      <c r="AC14" s="319"/>
      <c r="AD14" s="319"/>
      <c r="AE14" s="319"/>
      <c r="AF14" s="319"/>
      <c r="AG14" s="319"/>
      <c r="AH14" s="319"/>
      <c r="AI14" s="319"/>
      <c r="AJ14" s="319"/>
      <c r="AK14" s="319"/>
      <c r="AL14" s="319"/>
      <c r="AM14" s="319"/>
      <c r="AN14" s="319"/>
    </row>
    <row r="15" spans="2:40" s="416" customFormat="1" ht="18" customHeight="1">
      <c r="B15" s="806" t="s">
        <v>1326</v>
      </c>
      <c r="C15" s="734">
        <f>input!B1220</f>
        <v>34</v>
      </c>
      <c r="D15" s="809" t="s">
        <v>162</v>
      </c>
      <c r="E15" s="811"/>
      <c r="F15" s="734"/>
      <c r="G15" s="807"/>
      <c r="H15" s="791"/>
      <c r="I15" s="319"/>
      <c r="J15" s="791"/>
      <c r="K15" s="319"/>
      <c r="L15" s="791"/>
      <c r="M15" s="791"/>
      <c r="N15" s="791"/>
      <c r="O15" s="791"/>
      <c r="P15" s="791"/>
      <c r="Q15" s="791"/>
      <c r="R15" s="791"/>
      <c r="S15" s="319"/>
      <c r="T15" s="319"/>
      <c r="U15" s="319"/>
      <c r="V15" s="319"/>
      <c r="W15" s="319"/>
      <c r="X15" s="319"/>
      <c r="Y15" s="319"/>
      <c r="Z15" s="319"/>
      <c r="AA15" s="319"/>
      <c r="AB15" s="319"/>
      <c r="AC15" s="319"/>
      <c r="AD15" s="319"/>
      <c r="AE15" s="319"/>
      <c r="AF15" s="319"/>
      <c r="AG15" s="319"/>
      <c r="AH15" s="319"/>
      <c r="AI15" s="319"/>
      <c r="AJ15" s="319"/>
      <c r="AK15" s="319"/>
      <c r="AL15" s="319"/>
      <c r="AM15" s="319"/>
      <c r="AN15" s="319"/>
    </row>
    <row r="16" spans="2:40" s="416" customFormat="1" ht="18" customHeight="1">
      <c r="B16" s="806" t="s">
        <v>1327</v>
      </c>
      <c r="C16" s="734">
        <f>input!B1221</f>
        <v>0</v>
      </c>
      <c r="D16" s="809" t="s">
        <v>155</v>
      </c>
      <c r="E16" s="811"/>
      <c r="F16" s="734"/>
      <c r="G16" s="807"/>
      <c r="H16" s="791"/>
      <c r="I16" s="319"/>
      <c r="J16" s="791"/>
      <c r="K16" s="319"/>
      <c r="L16" s="791"/>
      <c r="M16" s="791"/>
      <c r="N16" s="791"/>
      <c r="O16" s="791"/>
      <c r="P16" s="791"/>
      <c r="Q16" s="791"/>
      <c r="R16" s="791"/>
      <c r="S16" s="319"/>
      <c r="T16" s="319"/>
      <c r="U16" s="319"/>
      <c r="V16" s="319"/>
      <c r="W16" s="319"/>
      <c r="X16" s="319"/>
      <c r="Y16" s="319"/>
      <c r="Z16" s="319"/>
      <c r="AA16" s="319"/>
      <c r="AB16" s="319"/>
      <c r="AC16" s="319"/>
      <c r="AD16" s="319"/>
      <c r="AE16" s="319"/>
      <c r="AF16" s="319"/>
      <c r="AG16" s="319"/>
      <c r="AH16" s="319"/>
      <c r="AI16" s="319"/>
      <c r="AJ16" s="319"/>
      <c r="AK16" s="319"/>
      <c r="AL16" s="319"/>
      <c r="AM16" s="319"/>
      <c r="AN16" s="319"/>
    </row>
    <row r="17" spans="2:40" s="416" customFormat="1" ht="18" customHeight="1">
      <c r="B17" s="806" t="s">
        <v>1328</v>
      </c>
      <c r="C17" s="831">
        <f ca="1">input!B1222</f>
        <v>0.39148357197</v>
      </c>
      <c r="D17" s="809" t="s">
        <v>563</v>
      </c>
      <c r="E17" s="811"/>
      <c r="F17" s="734"/>
      <c r="G17" s="807"/>
      <c r="H17" s="791"/>
      <c r="I17" s="319"/>
      <c r="J17" s="791"/>
      <c r="K17" s="319"/>
      <c r="L17" s="791"/>
      <c r="M17" s="791"/>
      <c r="N17" s="791"/>
      <c r="O17" s="791"/>
      <c r="P17" s="791"/>
      <c r="Q17" s="791"/>
      <c r="R17" s="791"/>
      <c r="S17" s="319"/>
      <c r="T17" s="319"/>
      <c r="U17" s="319"/>
      <c r="V17" s="319"/>
      <c r="W17" s="319"/>
      <c r="X17" s="319"/>
      <c r="Y17" s="319"/>
      <c r="Z17" s="319"/>
      <c r="AA17" s="319"/>
      <c r="AB17" s="319"/>
      <c r="AC17" s="319"/>
      <c r="AD17" s="319"/>
      <c r="AE17" s="319"/>
      <c r="AF17" s="319"/>
      <c r="AG17" s="319"/>
      <c r="AH17" s="319"/>
      <c r="AI17" s="319"/>
      <c r="AJ17" s="319"/>
      <c r="AK17" s="319"/>
      <c r="AL17" s="319"/>
      <c r="AM17" s="319"/>
      <c r="AN17" s="319"/>
    </row>
    <row r="18" spans="2:40" s="359" customFormat="1" ht="18" customHeight="1">
      <c r="B18" s="319"/>
      <c r="C18" s="791"/>
      <c r="D18" s="812"/>
      <c r="E18" s="812"/>
      <c r="F18" s="807"/>
      <c r="G18" s="807"/>
      <c r="H18" s="791"/>
      <c r="I18" s="319"/>
      <c r="J18" s="791"/>
      <c r="K18" s="319"/>
      <c r="L18" s="791"/>
      <c r="M18" s="791"/>
      <c r="N18" s="791"/>
      <c r="O18" s="791"/>
      <c r="P18" s="791"/>
      <c r="Q18" s="791"/>
      <c r="R18" s="791"/>
      <c r="S18" s="319"/>
      <c r="T18" s="319"/>
      <c r="U18" s="319"/>
      <c r="V18" s="319"/>
      <c r="W18" s="319"/>
      <c r="X18" s="319"/>
      <c r="Y18" s="319"/>
      <c r="Z18" s="319"/>
      <c r="AA18" s="319"/>
      <c r="AB18" s="319"/>
      <c r="AC18" s="319"/>
      <c r="AD18" s="319"/>
      <c r="AE18" s="319"/>
      <c r="AF18" s="319"/>
      <c r="AG18" s="319"/>
      <c r="AH18" s="319"/>
      <c r="AI18" s="319"/>
      <c r="AJ18" s="319"/>
      <c r="AK18" s="319"/>
      <c r="AL18" s="319"/>
      <c r="AM18" s="319"/>
      <c r="AN18" s="319"/>
    </row>
    <row r="19" spans="2:40" s="359" customFormat="1" ht="18" customHeight="1">
      <c r="B19" s="813" t="s">
        <v>1516</v>
      </c>
      <c r="C19" s="791"/>
      <c r="D19" s="812"/>
      <c r="E19" s="812"/>
      <c r="F19" s="807"/>
      <c r="G19" s="807"/>
      <c r="H19" s="791"/>
      <c r="I19" s="319"/>
      <c r="J19" s="791"/>
      <c r="K19" s="319"/>
      <c r="L19" s="791"/>
      <c r="M19" s="791"/>
      <c r="N19" s="791"/>
      <c r="O19" s="791"/>
      <c r="P19" s="791"/>
      <c r="Q19" s="791"/>
      <c r="R19" s="791"/>
      <c r="S19" s="319"/>
      <c r="T19" s="319"/>
      <c r="U19" s="319"/>
      <c r="V19" s="319"/>
      <c r="W19" s="319"/>
      <c r="X19" s="319"/>
      <c r="Y19" s="319"/>
      <c r="Z19" s="319"/>
      <c r="AA19" s="319"/>
      <c r="AB19" s="319"/>
      <c r="AC19" s="319"/>
      <c r="AD19" s="319"/>
      <c r="AE19" s="319"/>
      <c r="AF19" s="319"/>
      <c r="AG19" s="319"/>
      <c r="AH19" s="319"/>
      <c r="AI19" s="319"/>
      <c r="AJ19" s="319"/>
      <c r="AK19" s="319"/>
      <c r="AL19" s="319"/>
      <c r="AM19" s="319"/>
      <c r="AN19" s="319"/>
    </row>
    <row r="20" spans="2:40" s="415" customFormat="1" ht="18" customHeight="1">
      <c r="B20" s="832" t="s">
        <v>1329</v>
      </c>
      <c r="C20" s="402"/>
      <c r="D20" s="146"/>
      <c r="E20" s="403"/>
      <c r="F20" s="403"/>
      <c r="G20" s="403"/>
      <c r="H20" s="402"/>
      <c r="I20" s="403"/>
      <c r="J20" s="403"/>
      <c r="K20" s="403"/>
      <c r="L20" s="402"/>
      <c r="M20" s="402"/>
      <c r="N20" s="402"/>
      <c r="O20" s="402"/>
      <c r="P20" s="402"/>
      <c r="Q20" s="402"/>
      <c r="R20" s="814"/>
      <c r="S20" s="403"/>
      <c r="T20" s="403"/>
      <c r="U20" s="403"/>
      <c r="V20" s="403"/>
      <c r="W20" s="403"/>
      <c r="X20" s="403"/>
      <c r="Y20" s="403"/>
      <c r="Z20" s="403"/>
      <c r="AA20" s="403"/>
      <c r="AB20" s="403"/>
      <c r="AC20" s="403"/>
      <c r="AD20" s="403"/>
      <c r="AE20" s="403"/>
      <c r="AF20" s="403"/>
      <c r="AG20" s="403"/>
      <c r="AH20" s="403"/>
      <c r="AI20" s="403"/>
      <c r="AJ20" s="403"/>
      <c r="AK20" s="403"/>
      <c r="AL20" s="403"/>
      <c r="AM20" s="403"/>
      <c r="AN20" s="403"/>
    </row>
    <row r="21" spans="2:40" s="359" customFormat="1" ht="18" customHeight="1">
      <c r="B21" s="146" t="s">
        <v>1055</v>
      </c>
      <c r="C21" s="146"/>
      <c r="D21" s="146" t="str">
        <f>B22&amp;"/Truck"</f>
        <v>Cartons/Truck</v>
      </c>
      <c r="E21" s="146" t="s">
        <v>968</v>
      </c>
      <c r="F21" s="146" t="s">
        <v>1330</v>
      </c>
      <c r="G21" s="403" t="s">
        <v>1267</v>
      </c>
      <c r="H21" s="319"/>
      <c r="I21" s="319"/>
      <c r="J21" s="319"/>
      <c r="K21" s="319"/>
      <c r="L21" s="833"/>
      <c r="M21" s="833"/>
      <c r="N21" s="136"/>
      <c r="O21" s="136"/>
      <c r="P21" s="136"/>
      <c r="Q21" s="314"/>
      <c r="R21" s="791"/>
      <c r="S21" s="319"/>
      <c r="T21" s="319"/>
      <c r="U21" s="319"/>
      <c r="V21" s="319"/>
      <c r="W21" s="319"/>
      <c r="X21" s="319"/>
      <c r="Y21" s="319"/>
      <c r="Z21" s="319"/>
      <c r="AA21" s="319"/>
      <c r="AB21" s="319"/>
      <c r="AC21" s="319"/>
      <c r="AD21" s="319"/>
      <c r="AE21" s="319"/>
      <c r="AF21" s="319"/>
      <c r="AG21" s="319"/>
      <c r="AH21" s="319"/>
      <c r="AI21" s="319"/>
      <c r="AJ21" s="319"/>
      <c r="AK21" s="319"/>
      <c r="AL21" s="319"/>
      <c r="AM21" s="319"/>
      <c r="AN21" s="319"/>
    </row>
    <row r="22" spans="2:40" s="416" customFormat="1" ht="18" customHeight="1">
      <c r="B22" s="806" t="str">
        <f>input!A1225</f>
        <v>Cartons</v>
      </c>
      <c r="C22" s="806" t="str">
        <f>input!B1225</f>
        <v>Y</v>
      </c>
      <c r="D22" s="734">
        <f ca="1">input!C1225</f>
        <v>54</v>
      </c>
      <c r="E22" s="834" t="str">
        <f ca="1">input!D1225</f>
        <v>1.1T</v>
      </c>
      <c r="F22" s="734">
        <f ca="1">input!E1225</f>
        <v>1</v>
      </c>
      <c r="G22" s="734">
        <f ca="1">input!F1225</f>
        <v>602000</v>
      </c>
      <c r="H22" s="319"/>
      <c r="I22" s="319"/>
      <c r="J22" s="319"/>
      <c r="K22" s="319"/>
      <c r="L22" s="320"/>
      <c r="M22" s="320"/>
      <c r="N22" s="136"/>
      <c r="O22" s="136"/>
      <c r="P22" s="136"/>
      <c r="Q22" s="833"/>
      <c r="R22" s="791"/>
      <c r="S22" s="319"/>
      <c r="T22" s="319"/>
      <c r="U22" s="319"/>
      <c r="V22" s="319"/>
      <c r="W22" s="319"/>
      <c r="X22" s="319"/>
      <c r="Y22" s="319"/>
      <c r="Z22" s="319"/>
      <c r="AA22" s="319"/>
      <c r="AB22" s="319"/>
      <c r="AC22" s="319"/>
      <c r="AD22" s="319"/>
      <c r="AE22" s="319"/>
      <c r="AF22" s="319"/>
      <c r="AG22" s="319"/>
      <c r="AH22" s="319"/>
      <c r="AI22" s="319"/>
      <c r="AJ22" s="319"/>
      <c r="AK22" s="319"/>
      <c r="AL22" s="319"/>
      <c r="AM22" s="319"/>
      <c r="AN22" s="319"/>
    </row>
    <row r="23" spans="2:40" s="416" customFormat="1" ht="18" customHeight="1">
      <c r="B23" s="806" t="str">
        <f>input!A1226</f>
        <v>Cartons</v>
      </c>
      <c r="C23" s="806" t="str">
        <f>input!B1226</f>
        <v>Y</v>
      </c>
      <c r="D23" s="734">
        <f ca="1">input!C1226</f>
        <v>54</v>
      </c>
      <c r="E23" s="834" t="str">
        <f ca="1">input!D1226</f>
        <v>1.1T</v>
      </c>
      <c r="F23" s="734">
        <f>input!E1226</f>
        <v>0</v>
      </c>
      <c r="G23" s="734">
        <f ca="1">input!F1226</f>
        <v>602000</v>
      </c>
      <c r="H23" s="319"/>
      <c r="I23" s="319"/>
      <c r="J23" s="319"/>
      <c r="K23" s="319"/>
      <c r="L23" s="791"/>
      <c r="M23" s="791"/>
      <c r="N23" s="791"/>
      <c r="O23" s="791"/>
      <c r="P23" s="791"/>
      <c r="Q23" s="791"/>
      <c r="R23" s="791"/>
      <c r="S23" s="319"/>
      <c r="T23" s="319"/>
      <c r="U23" s="319"/>
      <c r="V23" s="319"/>
      <c r="W23" s="319"/>
      <c r="X23" s="319"/>
      <c r="Y23" s="319"/>
      <c r="Z23" s="319"/>
      <c r="AA23" s="319"/>
      <c r="AB23" s="319"/>
      <c r="AC23" s="319"/>
      <c r="AD23" s="319"/>
      <c r="AE23" s="319"/>
      <c r="AF23" s="319"/>
      <c r="AG23" s="319"/>
      <c r="AH23" s="319"/>
      <c r="AI23" s="319"/>
      <c r="AJ23" s="319"/>
      <c r="AK23" s="319"/>
      <c r="AL23" s="319"/>
      <c r="AM23" s="319"/>
      <c r="AN23" s="319"/>
    </row>
    <row r="24" spans="2:40" s="416" customFormat="1" ht="18" customHeight="1">
      <c r="B24" s="806" t="str">
        <f>input!A1227</f>
        <v>Cartons</v>
      </c>
      <c r="C24" s="806" t="str">
        <f>input!B1227</f>
        <v>N</v>
      </c>
      <c r="D24" s="734">
        <f ca="1">input!C1227</f>
        <v>54</v>
      </c>
      <c r="E24" s="834" t="str">
        <f>input!D1227</f>
        <v>1.1T</v>
      </c>
      <c r="F24" s="734">
        <f>input!E1227</f>
        <v>0</v>
      </c>
      <c r="G24" s="734">
        <f>input!F1227</f>
        <v>0</v>
      </c>
      <c r="H24" s="319"/>
      <c r="I24" s="319"/>
      <c r="J24" s="319"/>
      <c r="K24" s="319"/>
      <c r="L24" s="791"/>
      <c r="M24" s="791"/>
      <c r="N24" s="791"/>
      <c r="O24" s="791"/>
      <c r="P24" s="791"/>
      <c r="Q24" s="791"/>
      <c r="R24" s="791"/>
      <c r="S24" s="319"/>
      <c r="T24" s="319"/>
      <c r="U24" s="319"/>
      <c r="V24" s="319"/>
      <c r="W24" s="319"/>
      <c r="X24" s="319"/>
      <c r="Y24" s="319"/>
      <c r="Z24" s="319"/>
      <c r="AA24" s="319"/>
      <c r="AB24" s="319"/>
      <c r="AC24" s="319"/>
      <c r="AD24" s="319"/>
      <c r="AE24" s="319"/>
      <c r="AF24" s="319"/>
      <c r="AG24" s="319"/>
      <c r="AH24" s="319"/>
      <c r="AI24" s="319"/>
      <c r="AJ24" s="319"/>
      <c r="AK24" s="319"/>
      <c r="AL24" s="319"/>
      <c r="AM24" s="319"/>
      <c r="AN24" s="319"/>
    </row>
    <row r="25" spans="2:40" s="416" customFormat="1" ht="18" customHeight="1">
      <c r="B25" s="806" t="str">
        <f>input!A1228</f>
        <v>Cartons</v>
      </c>
      <c r="C25" s="806" t="str">
        <f>input!B1228</f>
        <v>N</v>
      </c>
      <c r="D25" s="734">
        <f ca="1">input!C1228</f>
        <v>54</v>
      </c>
      <c r="E25" s="834" t="str">
        <f>input!D1228</f>
        <v>1.1T</v>
      </c>
      <c r="F25" s="734">
        <f>input!E1228</f>
        <v>0</v>
      </c>
      <c r="G25" s="734">
        <f>input!F1228</f>
        <v>0</v>
      </c>
      <c r="H25" s="319"/>
      <c r="I25" s="319"/>
      <c r="J25" s="319"/>
      <c r="K25" s="319"/>
      <c r="L25" s="791"/>
      <c r="M25" s="791"/>
      <c r="N25" s="791"/>
      <c r="O25" s="791"/>
      <c r="P25" s="791"/>
      <c r="Q25" s="791"/>
      <c r="R25" s="791"/>
      <c r="S25" s="319"/>
      <c r="T25" s="319"/>
      <c r="U25" s="319"/>
      <c r="V25" s="319"/>
      <c r="W25" s="319"/>
      <c r="X25" s="319"/>
      <c r="Y25" s="319"/>
      <c r="Z25" s="319"/>
      <c r="AA25" s="319"/>
      <c r="AB25" s="319"/>
      <c r="AC25" s="319"/>
      <c r="AD25" s="319"/>
      <c r="AE25" s="319"/>
      <c r="AF25" s="319"/>
      <c r="AG25" s="319"/>
      <c r="AH25" s="319"/>
      <c r="AI25" s="319"/>
      <c r="AJ25" s="319"/>
      <c r="AK25" s="319"/>
      <c r="AL25" s="319"/>
      <c r="AM25" s="319"/>
      <c r="AN25" s="319"/>
    </row>
    <row r="26" spans="2:40" s="417" customFormat="1" ht="18" customHeight="1">
      <c r="B26" s="403"/>
      <c r="C26" s="403"/>
      <c r="D26" s="403"/>
      <c r="E26" s="403"/>
      <c r="F26" s="835" t="s">
        <v>1406</v>
      </c>
      <c r="G26" s="3337">
        <f ca="1">(F22*G22+F23*G23+F24*G24+F25*G25)+SUM(input!I1225:I1226)</f>
        <v>602000</v>
      </c>
      <c r="H26" s="402" t="s">
        <v>92</v>
      </c>
      <c r="I26" s="836">
        <f ca="1">G26/IF($C$10&gt;0,$C$10,$D$3)</f>
        <v>120.4</v>
      </c>
      <c r="J26" s="402" t="s">
        <v>92</v>
      </c>
      <c r="K26" s="403"/>
      <c r="L26" s="814"/>
      <c r="M26" s="814"/>
      <c r="N26" s="814"/>
      <c r="O26" s="814"/>
      <c r="P26" s="814"/>
      <c r="Q26" s="814"/>
      <c r="R26" s="814"/>
      <c r="S26" s="403"/>
      <c r="T26" s="403"/>
      <c r="U26" s="403"/>
      <c r="V26" s="403"/>
      <c r="W26" s="403"/>
      <c r="X26" s="403"/>
      <c r="Y26" s="403"/>
      <c r="Z26" s="403"/>
      <c r="AA26" s="403"/>
      <c r="AB26" s="403"/>
      <c r="AC26" s="403"/>
      <c r="AD26" s="403"/>
      <c r="AE26" s="403"/>
      <c r="AF26" s="403"/>
      <c r="AG26" s="403"/>
      <c r="AH26" s="403"/>
      <c r="AI26" s="403"/>
      <c r="AJ26" s="403"/>
      <c r="AK26" s="403"/>
      <c r="AL26" s="403"/>
      <c r="AM26" s="403"/>
      <c r="AN26" s="403"/>
    </row>
    <row r="27" spans="2:40" s="359" customFormat="1" ht="18" customHeight="1">
      <c r="B27" s="815"/>
      <c r="C27" s="791"/>
      <c r="D27" s="812"/>
      <c r="E27" s="812"/>
      <c r="F27" s="807"/>
      <c r="G27" s="807"/>
      <c r="H27" s="319"/>
      <c r="I27" s="807"/>
      <c r="J27" s="791"/>
      <c r="K27" s="319"/>
      <c r="L27" s="319"/>
      <c r="M27" s="319"/>
      <c r="N27" s="319"/>
      <c r="O27" s="319"/>
      <c r="P27" s="319"/>
      <c r="Q27" s="319"/>
      <c r="R27" s="319"/>
      <c r="S27" s="319"/>
      <c r="T27" s="319"/>
      <c r="U27" s="319"/>
      <c r="V27" s="319"/>
      <c r="W27" s="319"/>
      <c r="X27" s="319"/>
      <c r="Y27" s="319"/>
      <c r="Z27" s="319"/>
      <c r="AA27" s="319"/>
      <c r="AB27" s="319"/>
      <c r="AC27" s="319"/>
      <c r="AD27" s="319"/>
      <c r="AE27" s="319"/>
      <c r="AF27" s="319"/>
      <c r="AG27" s="319"/>
      <c r="AH27" s="319"/>
      <c r="AI27" s="319"/>
      <c r="AJ27" s="319"/>
      <c r="AK27" s="319"/>
      <c r="AL27" s="319"/>
      <c r="AM27" s="319"/>
      <c r="AN27" s="319"/>
    </row>
    <row r="28" spans="2:40" s="359" customFormat="1" ht="18" customHeight="1">
      <c r="B28" s="319"/>
      <c r="C28" s="319"/>
      <c r="D28" s="319"/>
      <c r="E28" s="319"/>
      <c r="F28" s="319"/>
      <c r="G28" s="319"/>
      <c r="H28" s="319"/>
      <c r="I28" s="319"/>
      <c r="J28" s="319"/>
      <c r="K28" s="319"/>
      <c r="L28" s="319"/>
      <c r="M28" s="319"/>
      <c r="N28" s="319"/>
      <c r="O28" s="319"/>
      <c r="P28" s="319"/>
      <c r="Q28" s="319"/>
      <c r="R28" s="319"/>
      <c r="S28" s="319"/>
      <c r="T28" s="319"/>
      <c r="U28" s="319"/>
      <c r="V28" s="319"/>
      <c r="W28" s="319"/>
      <c r="X28" s="319"/>
      <c r="Y28" s="319"/>
      <c r="Z28" s="319"/>
      <c r="AA28" s="319"/>
      <c r="AB28" s="319"/>
      <c r="AC28" s="319"/>
      <c r="AD28" s="319"/>
      <c r="AE28" s="319"/>
      <c r="AF28" s="319"/>
      <c r="AG28" s="319"/>
      <c r="AH28" s="319"/>
      <c r="AI28" s="319"/>
      <c r="AJ28" s="319"/>
      <c r="AK28" s="319"/>
      <c r="AL28" s="319"/>
      <c r="AM28" s="319"/>
      <c r="AN28" s="319"/>
    </row>
    <row r="29" spans="2:40" s="359" customFormat="1" ht="18" hidden="1" customHeight="1">
      <c r="B29" s="319"/>
      <c r="C29" s="319"/>
      <c r="D29" s="319"/>
      <c r="E29" s="319"/>
      <c r="F29" s="319"/>
      <c r="G29" s="319"/>
      <c r="H29" s="319"/>
      <c r="I29" s="319"/>
      <c r="J29" s="319"/>
      <c r="K29" s="319"/>
      <c r="L29" s="319"/>
      <c r="M29" s="319"/>
      <c r="N29" s="319"/>
      <c r="O29" s="319"/>
      <c r="P29" s="319"/>
      <c r="Q29" s="319"/>
      <c r="R29" s="319"/>
      <c r="S29" s="319"/>
      <c r="T29" s="319"/>
      <c r="U29" s="319"/>
      <c r="V29" s="319"/>
      <c r="W29" s="319"/>
      <c r="X29" s="319"/>
      <c r="Y29" s="319"/>
      <c r="Z29" s="319"/>
      <c r="AA29" s="319"/>
      <c r="AB29" s="319"/>
      <c r="AC29" s="319"/>
      <c r="AD29" s="319"/>
      <c r="AE29" s="319"/>
      <c r="AF29" s="319"/>
      <c r="AG29" s="319"/>
      <c r="AH29" s="319"/>
      <c r="AI29" s="319"/>
      <c r="AJ29" s="319"/>
      <c r="AK29" s="319"/>
      <c r="AL29" s="319"/>
      <c r="AM29" s="319"/>
      <c r="AN29" s="319"/>
    </row>
    <row r="30" spans="2:40" s="359" customFormat="1" ht="18" hidden="1" customHeight="1">
      <c r="B30" s="319"/>
      <c r="C30" s="319"/>
      <c r="D30" s="319"/>
      <c r="E30" s="319"/>
      <c r="F30" s="319"/>
      <c r="G30" s="319"/>
      <c r="H30" s="319"/>
      <c r="I30" s="319"/>
      <c r="J30" s="319"/>
      <c r="K30" s="319"/>
      <c r="L30" s="319"/>
      <c r="M30" s="319"/>
      <c r="N30" s="319"/>
      <c r="O30" s="319"/>
      <c r="P30" s="319"/>
      <c r="Q30" s="319"/>
      <c r="R30" s="319"/>
      <c r="S30" s="319"/>
      <c r="T30" s="319"/>
      <c r="U30" s="319"/>
      <c r="V30" s="319"/>
      <c r="W30" s="319"/>
      <c r="X30" s="319"/>
      <c r="Y30" s="319"/>
      <c r="Z30" s="319"/>
      <c r="AA30" s="319"/>
      <c r="AB30" s="319"/>
      <c r="AC30" s="319"/>
      <c r="AD30" s="319"/>
      <c r="AE30" s="319"/>
      <c r="AF30" s="319"/>
      <c r="AG30" s="319"/>
      <c r="AH30" s="319"/>
      <c r="AI30" s="319"/>
      <c r="AJ30" s="319"/>
      <c r="AK30" s="319"/>
      <c r="AL30" s="319"/>
      <c r="AM30" s="319"/>
      <c r="AN30" s="319"/>
    </row>
    <row r="31" spans="2:40" s="359" customFormat="1" ht="18" hidden="1" customHeight="1">
      <c r="B31" s="319"/>
      <c r="C31" s="319"/>
      <c r="D31" s="319"/>
      <c r="E31" s="319"/>
      <c r="F31" s="319"/>
      <c r="G31" s="319"/>
      <c r="H31" s="319"/>
      <c r="I31" s="319"/>
      <c r="J31" s="319"/>
      <c r="K31" s="319"/>
      <c r="L31" s="319"/>
      <c r="M31" s="319"/>
      <c r="N31" s="319"/>
      <c r="O31" s="319"/>
      <c r="P31" s="319"/>
      <c r="Q31" s="319"/>
      <c r="R31" s="319"/>
      <c r="S31" s="319"/>
      <c r="T31" s="319"/>
      <c r="U31" s="319"/>
      <c r="V31" s="319"/>
      <c r="W31" s="319"/>
      <c r="X31" s="319"/>
      <c r="Y31" s="319"/>
      <c r="Z31" s="319"/>
      <c r="AA31" s="319"/>
      <c r="AB31" s="319"/>
      <c r="AC31" s="319"/>
      <c r="AD31" s="319"/>
      <c r="AE31" s="319"/>
      <c r="AF31" s="319"/>
      <c r="AG31" s="319"/>
      <c r="AH31" s="319"/>
      <c r="AI31" s="319"/>
      <c r="AJ31" s="319"/>
      <c r="AK31" s="319"/>
      <c r="AL31" s="319"/>
      <c r="AM31" s="319"/>
      <c r="AN31" s="319"/>
    </row>
    <row r="32" spans="2:40" s="359" customFormat="1" ht="18" hidden="1" customHeight="1">
      <c r="B32" s="319"/>
      <c r="C32" s="319"/>
      <c r="D32" s="319"/>
      <c r="E32" s="319"/>
      <c r="F32" s="319"/>
      <c r="G32" s="319"/>
      <c r="H32" s="319"/>
      <c r="I32" s="319"/>
      <c r="J32" s="319"/>
      <c r="K32" s="319"/>
      <c r="L32" s="319"/>
      <c r="M32" s="319"/>
      <c r="N32" s="319"/>
      <c r="O32" s="319"/>
      <c r="P32" s="319"/>
      <c r="Q32" s="319"/>
      <c r="R32" s="319"/>
      <c r="S32" s="319"/>
      <c r="T32" s="319"/>
      <c r="U32" s="319"/>
      <c r="V32" s="319"/>
      <c r="W32" s="319"/>
      <c r="X32" s="319"/>
      <c r="Y32" s="319"/>
      <c r="Z32" s="319"/>
      <c r="AA32" s="319"/>
      <c r="AB32" s="319"/>
      <c r="AC32" s="319"/>
      <c r="AD32" s="319"/>
      <c r="AE32" s="319"/>
      <c r="AF32" s="319"/>
      <c r="AG32" s="319"/>
      <c r="AH32" s="319"/>
      <c r="AI32" s="319"/>
      <c r="AJ32" s="319"/>
      <c r="AK32" s="319"/>
      <c r="AL32" s="319"/>
      <c r="AM32" s="319"/>
      <c r="AN32" s="319"/>
    </row>
    <row r="33" spans="1:40" s="359" customFormat="1" ht="18" hidden="1" customHeight="1">
      <c r="B33" s="319"/>
      <c r="C33" s="319"/>
      <c r="D33" s="319"/>
      <c r="E33" s="319"/>
      <c r="F33" s="319"/>
      <c r="G33" s="319"/>
      <c r="H33" s="319"/>
      <c r="I33" s="319"/>
      <c r="J33" s="319"/>
      <c r="K33" s="319"/>
      <c r="L33" s="319"/>
      <c r="M33" s="319"/>
      <c r="N33" s="319"/>
      <c r="O33" s="319"/>
      <c r="P33" s="319"/>
      <c r="Q33" s="319"/>
      <c r="R33" s="319"/>
      <c r="S33" s="319"/>
      <c r="T33" s="319"/>
      <c r="U33" s="319"/>
      <c r="V33" s="319"/>
      <c r="W33" s="319"/>
      <c r="X33" s="319"/>
      <c r="Y33" s="319"/>
      <c r="Z33" s="319"/>
      <c r="AA33" s="319"/>
      <c r="AB33" s="319"/>
      <c r="AC33" s="319"/>
      <c r="AD33" s="319"/>
      <c r="AE33" s="319"/>
      <c r="AF33" s="319"/>
      <c r="AG33" s="319"/>
      <c r="AH33" s="319"/>
      <c r="AI33" s="319"/>
      <c r="AJ33" s="319"/>
      <c r="AK33" s="319"/>
      <c r="AL33" s="319"/>
      <c r="AM33" s="319"/>
      <c r="AN33" s="319"/>
    </row>
    <row r="34" spans="1:40" s="359" customFormat="1" ht="18" hidden="1" customHeight="1">
      <c r="B34" s="319"/>
      <c r="C34" s="319"/>
      <c r="D34" s="319"/>
      <c r="E34" s="319"/>
      <c r="F34" s="319"/>
      <c r="G34" s="319"/>
      <c r="H34" s="319"/>
      <c r="I34" s="319"/>
      <c r="J34" s="319"/>
      <c r="K34" s="319"/>
      <c r="L34" s="319"/>
      <c r="M34" s="319"/>
      <c r="N34" s="319"/>
      <c r="O34" s="319"/>
      <c r="P34" s="319"/>
      <c r="Q34" s="319"/>
      <c r="R34" s="319"/>
      <c r="S34" s="319"/>
      <c r="T34" s="319"/>
      <c r="U34" s="319"/>
      <c r="V34" s="319"/>
      <c r="W34" s="319"/>
      <c r="X34" s="319"/>
      <c r="Y34" s="319"/>
      <c r="Z34" s="319"/>
      <c r="AA34" s="319"/>
      <c r="AB34" s="319"/>
      <c r="AC34" s="319"/>
      <c r="AD34" s="319"/>
      <c r="AE34" s="319"/>
      <c r="AF34" s="319"/>
      <c r="AG34" s="319"/>
      <c r="AH34" s="319"/>
      <c r="AI34" s="319"/>
      <c r="AJ34" s="319"/>
      <c r="AK34" s="319"/>
      <c r="AL34" s="319"/>
      <c r="AM34" s="319"/>
      <c r="AN34" s="319"/>
    </row>
    <row r="35" spans="1:40" s="359" customFormat="1" ht="18" hidden="1" customHeight="1">
      <c r="B35" s="791"/>
      <c r="C35" s="791"/>
      <c r="D35" s="812"/>
      <c r="E35" s="812"/>
      <c r="F35" s="807"/>
      <c r="G35" s="807"/>
      <c r="H35" s="807"/>
      <c r="I35" s="791"/>
      <c r="J35" s="319"/>
      <c r="K35" s="791"/>
      <c r="L35" s="791"/>
      <c r="M35" s="791"/>
      <c r="N35" s="791"/>
      <c r="O35" s="791"/>
      <c r="P35" s="791"/>
      <c r="Q35" s="791"/>
      <c r="R35" s="791"/>
      <c r="S35" s="319"/>
      <c r="T35" s="319"/>
      <c r="U35" s="319"/>
      <c r="V35" s="319"/>
      <c r="W35" s="319"/>
      <c r="X35" s="319"/>
      <c r="Y35" s="319"/>
      <c r="Z35" s="319"/>
      <c r="AA35" s="319"/>
      <c r="AB35" s="319"/>
      <c r="AC35" s="319"/>
      <c r="AD35" s="319"/>
      <c r="AE35" s="319"/>
      <c r="AF35" s="319"/>
      <c r="AG35" s="319"/>
      <c r="AH35" s="319"/>
      <c r="AI35" s="319"/>
      <c r="AJ35" s="319"/>
      <c r="AK35" s="319"/>
      <c r="AL35" s="319"/>
      <c r="AM35" s="319"/>
      <c r="AN35" s="319"/>
    </row>
    <row r="36" spans="1:40" s="359" customFormat="1" ht="18" customHeight="1">
      <c r="B36" s="791"/>
      <c r="C36" s="791"/>
      <c r="D36" s="812"/>
      <c r="E36" s="812"/>
      <c r="F36" s="807"/>
      <c r="G36" s="807"/>
      <c r="H36" s="807"/>
      <c r="I36" s="791"/>
      <c r="J36" s="319"/>
      <c r="K36" s="791"/>
      <c r="L36" s="791"/>
      <c r="M36" s="791"/>
      <c r="N36" s="791"/>
      <c r="O36" s="791"/>
      <c r="P36" s="791"/>
      <c r="Q36" s="791"/>
      <c r="R36" s="791"/>
      <c r="S36" s="319"/>
      <c r="T36" s="319"/>
      <c r="U36" s="319"/>
      <c r="V36" s="319"/>
      <c r="W36" s="319"/>
      <c r="X36" s="319"/>
      <c r="Y36" s="319"/>
      <c r="Z36" s="319"/>
      <c r="AA36" s="319"/>
      <c r="AB36" s="319"/>
      <c r="AC36" s="319"/>
      <c r="AD36" s="319"/>
      <c r="AE36" s="319"/>
      <c r="AF36" s="319"/>
      <c r="AG36" s="319"/>
      <c r="AH36" s="319"/>
      <c r="AI36" s="319"/>
      <c r="AJ36" s="319"/>
      <c r="AK36" s="319"/>
      <c r="AL36" s="319"/>
      <c r="AM36" s="319"/>
      <c r="AN36" s="319"/>
    </row>
    <row r="37" spans="1:40" s="359" customFormat="1" ht="18" customHeight="1">
      <c r="B37" s="813" t="s">
        <v>1517</v>
      </c>
      <c r="C37" s="791"/>
      <c r="D37" s="812"/>
      <c r="E37" s="812"/>
      <c r="F37" s="807"/>
      <c r="G37" s="807"/>
      <c r="H37" s="807"/>
      <c r="I37" s="791"/>
      <c r="J37" s="319"/>
      <c r="K37" s="791"/>
      <c r="L37" s="791"/>
      <c r="M37" s="791"/>
      <c r="N37" s="791"/>
      <c r="O37" s="791"/>
      <c r="P37" s="791"/>
      <c r="Q37" s="791"/>
      <c r="R37" s="791"/>
      <c r="S37" s="319"/>
      <c r="T37" s="319"/>
      <c r="U37" s="319"/>
      <c r="V37" s="319"/>
      <c r="W37" s="319"/>
      <c r="X37" s="319"/>
      <c r="Y37" s="319"/>
      <c r="Z37" s="319"/>
      <c r="AA37" s="319"/>
      <c r="AB37" s="319"/>
      <c r="AC37" s="319"/>
      <c r="AD37" s="319"/>
      <c r="AE37" s="319"/>
      <c r="AF37" s="319"/>
      <c r="AG37" s="319"/>
      <c r="AH37" s="319"/>
      <c r="AI37" s="319"/>
      <c r="AJ37" s="319"/>
      <c r="AK37" s="319"/>
      <c r="AL37" s="319"/>
      <c r="AM37" s="319"/>
      <c r="AN37" s="319"/>
    </row>
    <row r="38" spans="1:40" ht="18" customHeight="1" thickBot="1">
      <c r="B38" s="791" t="str">
        <f>IF($C$16&gt;0,"-","Floor Loaded")</f>
        <v>Floor Loaded</v>
      </c>
      <c r="J38" s="365"/>
      <c r="K38" s="365"/>
      <c r="U38" s="136"/>
    </row>
    <row r="39" spans="1:40" ht="16.5" customHeight="1" outlineLevel="1" thickTop="1" thickBot="1">
      <c r="A39" s="319"/>
      <c r="B39" s="319"/>
      <c r="C39" s="322">
        <f>V40</f>
        <v>0</v>
      </c>
      <c r="D39" s="322">
        <f>V41</f>
        <v>0</v>
      </c>
      <c r="E39" s="816">
        <f>V42</f>
        <v>0</v>
      </c>
      <c r="F39" s="816">
        <f>V43</f>
        <v>0</v>
      </c>
      <c r="G39" s="816">
        <f>V44</f>
        <v>0</v>
      </c>
      <c r="H39" s="816">
        <f>V45</f>
        <v>0</v>
      </c>
      <c r="I39" s="816">
        <f>V46</f>
        <v>0</v>
      </c>
      <c r="J39" s="816">
        <f>V47</f>
        <v>0</v>
      </c>
      <c r="K39" s="816">
        <f>V48</f>
        <v>0</v>
      </c>
      <c r="L39" s="816">
        <f>V49</f>
        <v>0</v>
      </c>
      <c r="M39" s="816">
        <f>V50</f>
        <v>0</v>
      </c>
      <c r="N39" s="816">
        <f>V55</f>
        <v>0</v>
      </c>
      <c r="O39" s="816">
        <f>W55</f>
        <v>0</v>
      </c>
      <c r="P39" s="816">
        <f>X55</f>
        <v>0</v>
      </c>
      <c r="Q39" s="816">
        <f ca="1">Y55</f>
        <v>0</v>
      </c>
      <c r="R39" s="816">
        <f ca="1">Z55</f>
        <v>0</v>
      </c>
      <c r="T39" s="817"/>
      <c r="U39" s="818"/>
      <c r="V39" s="819" t="s">
        <v>40</v>
      </c>
      <c r="W39" s="819" t="s">
        <v>70</v>
      </c>
      <c r="X39" s="819" t="s">
        <v>41</v>
      </c>
      <c r="Y39" s="819" t="s">
        <v>41</v>
      </c>
      <c r="Z39" s="819"/>
      <c r="AA39" s="819" t="s">
        <v>66</v>
      </c>
      <c r="AB39" s="819"/>
      <c r="AC39" s="819" t="s">
        <v>67</v>
      </c>
      <c r="AD39" s="837" t="s">
        <v>1904</v>
      </c>
      <c r="AE39" s="838" t="s">
        <v>1620</v>
      </c>
      <c r="AF39" s="839" t="s">
        <v>1619</v>
      </c>
      <c r="AG39" s="839" t="s">
        <v>1621</v>
      </c>
      <c r="AH39" s="840" t="s">
        <v>1515</v>
      </c>
    </row>
    <row r="40" spans="1:40" s="333" customFormat="1" ht="16.5" customHeight="1" outlineLevel="1" thickTop="1">
      <c r="B40" s="841"/>
      <c r="C40" s="842">
        <v>1</v>
      </c>
      <c r="D40" s="842">
        <v>2</v>
      </c>
      <c r="E40" s="843">
        <v>3</v>
      </c>
      <c r="F40" s="843">
        <v>4</v>
      </c>
      <c r="G40" s="843">
        <v>5</v>
      </c>
      <c r="H40" s="843">
        <v>6</v>
      </c>
      <c r="I40" s="843">
        <v>7</v>
      </c>
      <c r="J40" s="843">
        <v>8</v>
      </c>
      <c r="K40" s="843">
        <v>9</v>
      </c>
      <c r="L40" s="843">
        <v>10</v>
      </c>
      <c r="M40" s="843">
        <v>11</v>
      </c>
      <c r="N40" s="843">
        <v>12</v>
      </c>
      <c r="O40" s="843">
        <v>13</v>
      </c>
      <c r="P40" s="843">
        <v>14</v>
      </c>
      <c r="Q40" s="843">
        <v>15</v>
      </c>
      <c r="R40" s="844">
        <v>16</v>
      </c>
      <c r="T40" s="371">
        <f>input!B1231</f>
        <v>1</v>
      </c>
      <c r="U40" s="330">
        <v>1</v>
      </c>
      <c r="V40" s="319">
        <f>input!B1238</f>
        <v>0</v>
      </c>
      <c r="W40" s="189">
        <f>C46</f>
        <v>5000</v>
      </c>
      <c r="X40" s="313">
        <f ca="1">IF($C$48&gt;0,1,0)</f>
        <v>1</v>
      </c>
      <c r="Y40" s="372">
        <f ca="1">C52*C41*X40</f>
        <v>0</v>
      </c>
      <c r="Z40" s="313">
        <f ca="1">IF($C$49&gt;0,1,0)</f>
        <v>0</v>
      </c>
      <c r="AA40" s="372">
        <f ca="1">C49*C42*Z40</f>
        <v>0</v>
      </c>
      <c r="AB40" s="313">
        <f ca="1">IF($C$50&gt;0,1,0)</f>
        <v>0</v>
      </c>
      <c r="AC40" s="372">
        <f ca="1">(C43*C50)*AB40</f>
        <v>0</v>
      </c>
      <c r="AD40" s="820">
        <f ca="1">IF(AND(T40&gt;0,W40&gt;0),(Y40+AA40+AC40)/W40,0)</f>
        <v>0</v>
      </c>
      <c r="AE40" s="845">
        <f t="shared" ref="AE40:AE55" ca="1" si="0">AD40*1.1*0.065%*1.1</f>
        <v>0</v>
      </c>
      <c r="AF40" s="820">
        <f ca="1">(AD40+AE40)*0%</f>
        <v>0</v>
      </c>
      <c r="AG40" s="820">
        <f ca="1">IF($AD40=0,0,ROUNDUP((IF($W40*(SUM('Cost EST. GM target'!$J$16,'Cost EST. GM target'!$J$26,'Cost EST. GM target'!$J$28,'Cost EST. GM target'!$J$30,'Cost EST. GM target'!$J$33)/(1-'Cost EST. GM target'!$J$35)+SUM('Cost EST. GM target'!$J$16,'Cost EST. GM target'!$J$26,'Cost EST. GM target'!$J$28,'Cost EST. GM target'!$J$30,'Cost EST. GM target'!$J$33)*'Cost EST. GM target'!$J$37+SUM($AD40:$AF40))*1.1*0.065%*1.1&lt;300000,300000,$W40*(SUM('Cost EST. GM target'!$J$16,'Cost EST. GM target'!$J$26,'Cost EST. GM target'!$J$28,'Cost EST. GM target'!$J$30,'Cost EST. GM target'!$J$33)/(1-'Cost EST. GM target'!$J$35)+SUM('Cost EST. GM target'!$J$16,'Cost EST. GM target'!$J$26,'Cost EST. GM target'!$J$28,'Cost EST. GM target'!$J$30,'Cost EST. GM target'!$J$33)*'Cost EST. GM target'!$J$37+SUM($AD40:$AF40))*1.1*0.065%*1.1))/$W40,2))</f>
        <v>0</v>
      </c>
      <c r="AH40" s="846">
        <f ca="1">SUM(AD40:AG40)</f>
        <v>0</v>
      </c>
    </row>
    <row r="41" spans="1:40" ht="16.5" customHeight="1" outlineLevel="1">
      <c r="A41" s="319"/>
      <c r="B41" s="847" t="s">
        <v>41</v>
      </c>
      <c r="C41" s="848">
        <f>input!B1240*$D$87</f>
        <v>0</v>
      </c>
      <c r="D41" s="848">
        <f>input!C1240*$D$87</f>
        <v>0</v>
      </c>
      <c r="E41" s="848">
        <f>input!D1240*$D$87</f>
        <v>0</v>
      </c>
      <c r="F41" s="848">
        <f>input!E1240*$D$87</f>
        <v>0</v>
      </c>
      <c r="G41" s="848">
        <f>input!F1240*$D$87</f>
        <v>0</v>
      </c>
      <c r="H41" s="848">
        <f>input!G1240*$D$87</f>
        <v>0</v>
      </c>
      <c r="I41" s="848">
        <f>input!H1240*$D$87</f>
        <v>0</v>
      </c>
      <c r="J41" s="848">
        <f>input!I1240*$D$87</f>
        <v>0</v>
      </c>
      <c r="K41" s="848">
        <f>input!J1240*$D$87</f>
        <v>0</v>
      </c>
      <c r="L41" s="848">
        <f>input!K1240*$D$87</f>
        <v>0</v>
      </c>
      <c r="M41" s="848">
        <f>input!L1240*$D$87</f>
        <v>0</v>
      </c>
      <c r="N41" s="848">
        <f>input!M1240*$D$87</f>
        <v>0</v>
      </c>
      <c r="O41" s="848">
        <f>input!N1240*$D$87</f>
        <v>0</v>
      </c>
      <c r="P41" s="848">
        <f>input!O1240*$D$87</f>
        <v>0</v>
      </c>
      <c r="Q41" s="848">
        <f>input!P1240*$D$87</f>
        <v>0</v>
      </c>
      <c r="R41" s="848">
        <f>input!Q1240*$D$87</f>
        <v>0</v>
      </c>
      <c r="T41" s="371">
        <f>input!C1231</f>
        <v>0</v>
      </c>
      <c r="U41" s="330">
        <v>2</v>
      </c>
      <c r="V41" s="319">
        <f>input!C1238</f>
        <v>0</v>
      </c>
      <c r="W41" s="189">
        <f>D46</f>
        <v>0</v>
      </c>
      <c r="X41" s="313">
        <f>IF($D$48&gt;0,1,0)</f>
        <v>0</v>
      </c>
      <c r="Y41" s="372">
        <f ca="1">D52*D41*X41</f>
        <v>0</v>
      </c>
      <c r="Z41" s="313">
        <f ca="1">IF($D$49&gt;0,1,0)</f>
        <v>0</v>
      </c>
      <c r="AA41" s="372">
        <f ca="1">D49*D42*Z41</f>
        <v>0</v>
      </c>
      <c r="AB41" s="313">
        <f ca="1">IF($D$50&gt;0,1,0)</f>
        <v>0</v>
      </c>
      <c r="AC41" s="372">
        <f ca="1">(D43*D50)*AB41</f>
        <v>0</v>
      </c>
      <c r="AD41" s="820">
        <f t="shared" ref="AD41:AD55" si="1">IF(T41&gt;0,(Y41+AA41+AC41)/W41,0)</f>
        <v>0</v>
      </c>
      <c r="AE41" s="845">
        <f t="shared" si="0"/>
        <v>0</v>
      </c>
      <c r="AF41" s="820">
        <f t="shared" ref="AF41:AF55" si="2">(AD41+AE41)*0%</f>
        <v>0</v>
      </c>
      <c r="AG41" s="820">
        <f>IF($AD41=0,0,ROUNDUP((IF($W41*(SUM('Cost EST. GM target'!$J$16,'Cost EST. GM target'!$J$26,'Cost EST. GM target'!$J$28,'Cost EST. GM target'!$J$30,'Cost EST. GM target'!$J$33)/(1-'Cost EST. GM target'!$J$35)+SUM('Cost EST. GM target'!$J$16,'Cost EST. GM target'!$J$26,'Cost EST. GM target'!$J$28,'Cost EST. GM target'!$J$30,'Cost EST. GM target'!$J$33)*'Cost EST. GM target'!$J$37+SUM($AD41:$AF41))*1.1*0.065%*1.1&lt;300000,300000,$W41*(SUM('Cost EST. GM target'!$J$16,'Cost EST. GM target'!$J$26,'Cost EST. GM target'!$J$28,'Cost EST. GM target'!$J$30,'Cost EST. GM target'!$J$33)/(1-'Cost EST. GM target'!$J$35)+SUM('Cost EST. GM target'!$J$16,'Cost EST. GM target'!$J$26,'Cost EST. GM target'!$J$28,'Cost EST. GM target'!$J$30,'Cost EST. GM target'!$J$33)*'Cost EST. GM target'!$J$37+SUM($AD41:$AF41))*1.1*0.065%*1.1))/$W41,2))</f>
        <v>0</v>
      </c>
      <c r="AH41" s="846">
        <f t="shared" ref="AH41:AH55" si="3">SUM(AD41:AG41)</f>
        <v>0</v>
      </c>
    </row>
    <row r="42" spans="1:40" ht="16.5" customHeight="1" outlineLevel="1">
      <c r="A42" s="319"/>
      <c r="B42" s="847" t="s">
        <v>49</v>
      </c>
      <c r="C42" s="848">
        <f>input!B1241*$D$87</f>
        <v>0</v>
      </c>
      <c r="D42" s="848">
        <f>input!C1241*$D$87</f>
        <v>0</v>
      </c>
      <c r="E42" s="848">
        <f>input!D1241*$D$87</f>
        <v>0</v>
      </c>
      <c r="F42" s="848">
        <f>input!E1241*$D$87</f>
        <v>0</v>
      </c>
      <c r="G42" s="848">
        <f>input!F1241*$D$87</f>
        <v>0</v>
      </c>
      <c r="H42" s="848">
        <f>input!G1241*$D$87</f>
        <v>0</v>
      </c>
      <c r="I42" s="848">
        <f>input!H1241*$D$87</f>
        <v>0</v>
      </c>
      <c r="J42" s="848">
        <f>input!I1241*$D$87</f>
        <v>0</v>
      </c>
      <c r="K42" s="848">
        <f>input!J1241*$D$87</f>
        <v>0</v>
      </c>
      <c r="L42" s="848">
        <f>input!K1241*$D$87</f>
        <v>0</v>
      </c>
      <c r="M42" s="848">
        <f>input!L1241*$D$87</f>
        <v>0</v>
      </c>
      <c r="N42" s="848">
        <f>input!M1241*$D$87</f>
        <v>0</v>
      </c>
      <c r="O42" s="848">
        <f>input!N1241*$D$87</f>
        <v>0</v>
      </c>
      <c r="P42" s="848">
        <f>input!O1241*$D$87</f>
        <v>0</v>
      </c>
      <c r="Q42" s="848">
        <f>input!P1241*$D$87</f>
        <v>0</v>
      </c>
      <c r="R42" s="848">
        <f>input!Q1241*$D$87</f>
        <v>0</v>
      </c>
      <c r="T42" s="371">
        <f>input!D1231</f>
        <v>0</v>
      </c>
      <c r="U42" s="330">
        <v>3</v>
      </c>
      <c r="V42" s="347">
        <f>input!D1238</f>
        <v>0</v>
      </c>
      <c r="W42" s="189">
        <f>E46</f>
        <v>0</v>
      </c>
      <c r="X42" s="313">
        <f>IF($E$48&gt;0,1,0)</f>
        <v>0</v>
      </c>
      <c r="Y42" s="372">
        <f ca="1">E52*E41*X42</f>
        <v>0</v>
      </c>
      <c r="Z42" s="313">
        <f ca="1">IF($E$49&gt;0,1,0)</f>
        <v>0</v>
      </c>
      <c r="AA42" s="372">
        <f ca="1">E49*E42*Z42</f>
        <v>0</v>
      </c>
      <c r="AB42" s="313">
        <f ca="1">IF($E$50&gt;0,1,0)</f>
        <v>0</v>
      </c>
      <c r="AC42" s="372">
        <f ca="1">(E43*E50)*AB42</f>
        <v>0</v>
      </c>
      <c r="AD42" s="820">
        <f t="shared" si="1"/>
        <v>0</v>
      </c>
      <c r="AE42" s="845">
        <f t="shared" si="0"/>
        <v>0</v>
      </c>
      <c r="AF42" s="820">
        <f t="shared" si="2"/>
        <v>0</v>
      </c>
      <c r="AG42" s="820">
        <f>IF($AD42=0,0,ROUNDUP((IF($W42*(SUM('Cost EST. GM target'!$J$16,'Cost EST. GM target'!$J$26,'Cost EST. GM target'!$J$28,'Cost EST. GM target'!$J$30,'Cost EST. GM target'!$J$33)/(1-'Cost EST. GM target'!$J$35)+SUM('Cost EST. GM target'!$J$16,'Cost EST. GM target'!$J$26,'Cost EST. GM target'!$J$28,'Cost EST. GM target'!$J$30,'Cost EST. GM target'!$J$33)*'Cost EST. GM target'!$J$37+SUM($AD42:$AF42))*1.1*0.065%*1.1&lt;300000,300000,$W42*(SUM('Cost EST. GM target'!$J$16,'Cost EST. GM target'!$J$26,'Cost EST. GM target'!$J$28,'Cost EST. GM target'!$J$30,'Cost EST. GM target'!$J$33)/(1-'Cost EST. GM target'!$J$35)+SUM('Cost EST. GM target'!$J$16,'Cost EST. GM target'!$J$26,'Cost EST. GM target'!$J$28,'Cost EST. GM target'!$J$30,'Cost EST. GM target'!$J$33)*'Cost EST. GM target'!$J$37+SUM($AD42:$AF42))*1.1*0.065%*1.1))/$W42,2))</f>
        <v>0</v>
      </c>
      <c r="AH42" s="846">
        <f t="shared" si="3"/>
        <v>0</v>
      </c>
    </row>
    <row r="43" spans="1:40" ht="16.5" customHeight="1" outlineLevel="1">
      <c r="A43" s="319"/>
      <c r="B43" s="849" t="s">
        <v>50</v>
      </c>
      <c r="C43" s="850">
        <f>input!B1242*$D$87</f>
        <v>0</v>
      </c>
      <c r="D43" s="850">
        <f>input!C1242*$D$87</f>
        <v>0</v>
      </c>
      <c r="E43" s="850">
        <f>input!D1242*$D$87</f>
        <v>0</v>
      </c>
      <c r="F43" s="850">
        <f>input!E1242*$D$87</f>
        <v>0</v>
      </c>
      <c r="G43" s="850">
        <f>input!F1242*$D$87</f>
        <v>0</v>
      </c>
      <c r="H43" s="850">
        <f>input!G1242*$D$87</f>
        <v>0</v>
      </c>
      <c r="I43" s="850">
        <f>input!H1242*$D$87</f>
        <v>0</v>
      </c>
      <c r="J43" s="850">
        <f>input!I1242*$D$87</f>
        <v>0</v>
      </c>
      <c r="K43" s="850">
        <f>input!J1242*$D$87</f>
        <v>0</v>
      </c>
      <c r="L43" s="850">
        <f>input!K1242*$D$87</f>
        <v>0</v>
      </c>
      <c r="M43" s="850">
        <f>input!L1242*$D$87</f>
        <v>0</v>
      </c>
      <c r="N43" s="850">
        <f>input!M1242*$D$87</f>
        <v>0</v>
      </c>
      <c r="O43" s="850">
        <f>input!N1242*$D$87</f>
        <v>0</v>
      </c>
      <c r="P43" s="850">
        <f>input!O1242*$D$87</f>
        <v>0</v>
      </c>
      <c r="Q43" s="850">
        <f>input!P1242*$D$87</f>
        <v>0</v>
      </c>
      <c r="R43" s="850">
        <f>input!Q1242*$D$87</f>
        <v>0</v>
      </c>
      <c r="T43" s="371">
        <f>input!E1231</f>
        <v>0</v>
      </c>
      <c r="U43" s="330">
        <v>4</v>
      </c>
      <c r="V43" s="347">
        <f>input!E1238</f>
        <v>0</v>
      </c>
      <c r="W43" s="189">
        <f>F46</f>
        <v>0</v>
      </c>
      <c r="X43" s="313">
        <f>IF($F$48&gt;0,1,0)</f>
        <v>0</v>
      </c>
      <c r="Y43" s="372">
        <f ca="1">F52*F41*X43</f>
        <v>0</v>
      </c>
      <c r="Z43" s="313">
        <f ca="1">IF($F$49&gt;0,1,0)</f>
        <v>0</v>
      </c>
      <c r="AA43" s="372">
        <f ca="1">F49*F42*Z43</f>
        <v>0</v>
      </c>
      <c r="AB43" s="313">
        <f ca="1">IF($F$50&gt;0,1,0)</f>
        <v>0</v>
      </c>
      <c r="AC43" s="372">
        <f ca="1">(F43*F50)*AB43</f>
        <v>0</v>
      </c>
      <c r="AD43" s="820">
        <f t="shared" si="1"/>
        <v>0</v>
      </c>
      <c r="AE43" s="845">
        <f t="shared" si="0"/>
        <v>0</v>
      </c>
      <c r="AF43" s="820">
        <f t="shared" si="2"/>
        <v>0</v>
      </c>
      <c r="AG43" s="820">
        <f>IF($AD43=0,0,ROUNDUP((IF($W43*(SUM('Cost EST. GM target'!$J$16,'Cost EST. GM target'!$J$26,'Cost EST. GM target'!$J$28,'Cost EST. GM target'!$J$30,'Cost EST. GM target'!$J$33)/(1-'Cost EST. GM target'!$J$35)+SUM('Cost EST. GM target'!$J$16,'Cost EST. GM target'!$J$26,'Cost EST. GM target'!$J$28,'Cost EST. GM target'!$J$30,'Cost EST. GM target'!$J$33)*'Cost EST. GM target'!$J$37+SUM($AD43:$AF43))*1.1*0.065%*1.1&lt;300000,300000,$W43*(SUM('Cost EST. GM target'!$J$16,'Cost EST. GM target'!$J$26,'Cost EST. GM target'!$J$28,'Cost EST. GM target'!$J$30,'Cost EST. GM target'!$J$33)/(1-'Cost EST. GM target'!$J$35)+SUM('Cost EST. GM target'!$J$16,'Cost EST. GM target'!$J$26,'Cost EST. GM target'!$J$28,'Cost EST. GM target'!$J$30,'Cost EST. GM target'!$J$33)*'Cost EST. GM target'!$J$37+SUM($AD43:$AF43))*1.1*0.065%*1.1))/$W43,2))</f>
        <v>0</v>
      </c>
      <c r="AH43" s="846">
        <f t="shared" si="3"/>
        <v>0</v>
      </c>
    </row>
    <row r="44" spans="1:40" ht="16.5" customHeight="1" outlineLevel="1">
      <c r="B44" s="333"/>
      <c r="C44" s="375"/>
      <c r="D44" s="375"/>
      <c r="E44" s="375"/>
      <c r="F44" s="375"/>
      <c r="G44" s="375"/>
      <c r="H44" s="375"/>
      <c r="I44" s="375"/>
      <c r="J44" s="375"/>
      <c r="K44" s="375"/>
      <c r="L44" s="375"/>
      <c r="M44" s="375"/>
      <c r="N44" s="375"/>
      <c r="O44" s="375"/>
      <c r="P44" s="375"/>
      <c r="Q44" s="375"/>
      <c r="R44" s="375"/>
      <c r="T44" s="371">
        <f>input!F1231</f>
        <v>0</v>
      </c>
      <c r="U44" s="330">
        <v>5</v>
      </c>
      <c r="V44" s="347">
        <f>input!F1238</f>
        <v>0</v>
      </c>
      <c r="W44" s="189">
        <f>G46</f>
        <v>0</v>
      </c>
      <c r="X44" s="313">
        <f>IF($G$48&gt;0,1,0)</f>
        <v>0</v>
      </c>
      <c r="Y44" s="372">
        <f ca="1">G52*G41*X44</f>
        <v>0</v>
      </c>
      <c r="Z44" s="313">
        <f ca="1">IF($G$49&gt;0,1,0)</f>
        <v>0</v>
      </c>
      <c r="AA44" s="372">
        <f ca="1">G49*G42*Z44</f>
        <v>0</v>
      </c>
      <c r="AB44" s="313">
        <f ca="1">IF($G$50&gt;0,1,0)</f>
        <v>0</v>
      </c>
      <c r="AC44" s="372">
        <f ca="1">(G43*G50)*AB44</f>
        <v>0</v>
      </c>
      <c r="AD44" s="820">
        <f t="shared" si="1"/>
        <v>0</v>
      </c>
      <c r="AE44" s="845">
        <f t="shared" si="0"/>
        <v>0</v>
      </c>
      <c r="AF44" s="820">
        <f t="shared" si="2"/>
        <v>0</v>
      </c>
      <c r="AG44" s="820">
        <f>IF($AD44=0,0,ROUNDUP((IF($W44*(SUM('Cost EST. GM target'!$J$16,'Cost EST. GM target'!$J$26,'Cost EST. GM target'!$J$28,'Cost EST. GM target'!$J$30,'Cost EST. GM target'!$J$33)/(1-'Cost EST. GM target'!$J$35)+SUM('Cost EST. GM target'!$J$16,'Cost EST. GM target'!$J$26,'Cost EST. GM target'!$J$28,'Cost EST. GM target'!$J$30,'Cost EST. GM target'!$J$33)*'Cost EST. GM target'!$J$37+SUM($AD44:$AF44))*1.1*0.065%*1.1&lt;300000,300000,$W44*(SUM('Cost EST. GM target'!$J$16,'Cost EST. GM target'!$J$26,'Cost EST. GM target'!$J$28,'Cost EST. GM target'!$J$30,'Cost EST. GM target'!$J$33)/(1-'Cost EST. GM target'!$J$35)+SUM('Cost EST. GM target'!$J$16,'Cost EST. GM target'!$J$26,'Cost EST. GM target'!$J$28,'Cost EST. GM target'!$J$30,'Cost EST. GM target'!$J$33)*'Cost EST. GM target'!$J$37+SUM($AD44:$AF44))*1.1*0.065%*1.1))/$W44,2))</f>
        <v>0</v>
      </c>
      <c r="AH44" s="846">
        <f t="shared" si="3"/>
        <v>0</v>
      </c>
    </row>
    <row r="45" spans="1:40" s="146" customFormat="1" ht="16.5" customHeight="1" outlineLevel="1">
      <c r="C45" s="146">
        <f>input!B1231</f>
        <v>1</v>
      </c>
      <c r="D45" s="146">
        <f>input!C1231</f>
        <v>0</v>
      </c>
      <c r="E45" s="146">
        <f>input!D1231</f>
        <v>0</v>
      </c>
      <c r="F45" s="146">
        <f>input!E1231</f>
        <v>0</v>
      </c>
      <c r="G45" s="146">
        <f>input!F1231</f>
        <v>0</v>
      </c>
      <c r="H45" s="146">
        <f>input!G1231</f>
        <v>0</v>
      </c>
      <c r="I45" s="146">
        <f>input!H1231</f>
        <v>0</v>
      </c>
      <c r="J45" s="146">
        <f>input!I1231</f>
        <v>0</v>
      </c>
      <c r="K45" s="146">
        <f>input!J1231</f>
        <v>0</v>
      </c>
      <c r="L45" s="146">
        <f>input!K1231</f>
        <v>0</v>
      </c>
      <c r="M45" s="146">
        <f>input!L1231</f>
        <v>0</v>
      </c>
      <c r="N45" s="146">
        <f>input!M1231</f>
        <v>0</v>
      </c>
      <c r="O45" s="146">
        <f>input!N1231</f>
        <v>0</v>
      </c>
      <c r="P45" s="146">
        <f>input!O1231</f>
        <v>0</v>
      </c>
      <c r="Q45" s="146">
        <f>input!P1231</f>
        <v>0</v>
      </c>
      <c r="R45" s="146">
        <f>input!Q1231</f>
        <v>0</v>
      </c>
      <c r="T45" s="371">
        <f>input!G1231</f>
        <v>0</v>
      </c>
      <c r="U45" s="330">
        <v>6</v>
      </c>
      <c r="V45" s="347">
        <f>input!G1238</f>
        <v>0</v>
      </c>
      <c r="W45" s="189">
        <f>H46</f>
        <v>0</v>
      </c>
      <c r="X45" s="313">
        <f>IF($H$48&gt;0,1,0)</f>
        <v>0</v>
      </c>
      <c r="Y45" s="372">
        <f ca="1">H52*H41*X45</f>
        <v>0</v>
      </c>
      <c r="Z45" s="313">
        <f ca="1">IF($H$49&gt;0,1,0)</f>
        <v>0</v>
      </c>
      <c r="AA45" s="372">
        <f ca="1">H49*H42*Z45</f>
        <v>0</v>
      </c>
      <c r="AB45" s="313">
        <f ca="1">IF($H$50&gt;0,1,0)</f>
        <v>0</v>
      </c>
      <c r="AC45" s="372">
        <f ca="1">(H43*H50)*AB45</f>
        <v>0</v>
      </c>
      <c r="AD45" s="820">
        <f t="shared" si="1"/>
        <v>0</v>
      </c>
      <c r="AE45" s="845">
        <f t="shared" si="0"/>
        <v>0</v>
      </c>
      <c r="AF45" s="820">
        <f t="shared" si="2"/>
        <v>0</v>
      </c>
      <c r="AG45" s="820">
        <f>IF($AD45=0,0,ROUNDUP((IF($W45*(SUM('Cost EST. GM target'!$J$16,'Cost EST. GM target'!$J$26,'Cost EST. GM target'!$J$28,'Cost EST. GM target'!$J$30,'Cost EST. GM target'!$J$33)/(1-'Cost EST. GM target'!$J$35)+SUM('Cost EST. GM target'!$J$16,'Cost EST. GM target'!$J$26,'Cost EST. GM target'!$J$28,'Cost EST. GM target'!$J$30,'Cost EST. GM target'!$J$33)*'Cost EST. GM target'!$J$37+SUM($AD45:$AF45))*1.1*0.065%*1.1&lt;300000,300000,$W45*(SUM('Cost EST. GM target'!$J$16,'Cost EST. GM target'!$J$26,'Cost EST. GM target'!$J$28,'Cost EST. GM target'!$J$30,'Cost EST. GM target'!$J$33)/(1-'Cost EST. GM target'!$J$35)+SUM('Cost EST. GM target'!$J$16,'Cost EST. GM target'!$J$26,'Cost EST. GM target'!$J$28,'Cost EST. GM target'!$J$30,'Cost EST. GM target'!$J$33)*'Cost EST. GM target'!$J$37+SUM($AD45:$AF45))*1.1*0.065%*1.1))/$W45,2))</f>
        <v>0</v>
      </c>
      <c r="AH45" s="846">
        <f t="shared" si="3"/>
        <v>0</v>
      </c>
    </row>
    <row r="46" spans="1:40" ht="16.5" customHeight="1" outlineLevel="1">
      <c r="A46" s="373">
        <f>SUM(C46:L46)</f>
        <v>5000</v>
      </c>
      <c r="B46" s="821" t="s">
        <v>11</v>
      </c>
      <c r="C46" s="851">
        <f>input!B1232</f>
        <v>5000</v>
      </c>
      <c r="D46" s="851">
        <f>input!C1232</f>
        <v>0</v>
      </c>
      <c r="E46" s="851">
        <f>input!D1232</f>
        <v>0</v>
      </c>
      <c r="F46" s="851">
        <f>input!E1232</f>
        <v>0</v>
      </c>
      <c r="G46" s="851">
        <f>input!F1232</f>
        <v>0</v>
      </c>
      <c r="H46" s="851">
        <f>input!G1232</f>
        <v>0</v>
      </c>
      <c r="I46" s="851">
        <f>input!H1232</f>
        <v>0</v>
      </c>
      <c r="J46" s="851">
        <f>input!I1232</f>
        <v>0</v>
      </c>
      <c r="K46" s="851">
        <f>input!J1232</f>
        <v>0</v>
      </c>
      <c r="L46" s="851">
        <f>input!K1232</f>
        <v>0</v>
      </c>
      <c r="M46" s="851">
        <f>input!L1232</f>
        <v>0</v>
      </c>
      <c r="N46" s="851">
        <f>input!M1232</f>
        <v>0</v>
      </c>
      <c r="O46" s="851">
        <f>input!N1232</f>
        <v>0</v>
      </c>
      <c r="P46" s="851">
        <f>input!O1232</f>
        <v>0</v>
      </c>
      <c r="Q46" s="851">
        <f>input!P1232</f>
        <v>0</v>
      </c>
      <c r="R46" s="2412">
        <f>input!Q1232</f>
        <v>0</v>
      </c>
      <c r="T46" s="371">
        <f>input!H1231</f>
        <v>0</v>
      </c>
      <c r="U46" s="330">
        <v>7</v>
      </c>
      <c r="V46" s="347">
        <f>input!H1238</f>
        <v>0</v>
      </c>
      <c r="W46" s="189">
        <f>I46</f>
        <v>0</v>
      </c>
      <c r="X46" s="313">
        <f>IF($I$48&gt;0,1,0)</f>
        <v>0</v>
      </c>
      <c r="Y46" s="372">
        <f ca="1">I52*I41*X46</f>
        <v>0</v>
      </c>
      <c r="Z46" s="313">
        <f ca="1">IF($I$49&gt;0,1,0)</f>
        <v>0</v>
      </c>
      <c r="AA46" s="372">
        <f ca="1">I49*I42*Z46</f>
        <v>0</v>
      </c>
      <c r="AB46" s="313">
        <f ca="1">IF($I$50&gt;0,1,0)</f>
        <v>0</v>
      </c>
      <c r="AC46" s="372">
        <f ca="1">(I43*I50)*AB46</f>
        <v>0</v>
      </c>
      <c r="AD46" s="820">
        <f t="shared" si="1"/>
        <v>0</v>
      </c>
      <c r="AE46" s="845">
        <f t="shared" si="0"/>
        <v>0</v>
      </c>
      <c r="AF46" s="820">
        <f t="shared" si="2"/>
        <v>0</v>
      </c>
      <c r="AG46" s="820">
        <f>IF($AD46=0,0,ROUNDUP((IF($W46*(SUM('Cost EST. GM target'!$J$16,'Cost EST. GM target'!$J$26,'Cost EST. GM target'!$J$28,'Cost EST. GM target'!$J$30,'Cost EST. GM target'!$J$33)/(1-'Cost EST. GM target'!$J$35)+SUM('Cost EST. GM target'!$J$16,'Cost EST. GM target'!$J$26,'Cost EST. GM target'!$J$28,'Cost EST. GM target'!$J$30,'Cost EST. GM target'!$J$33)*'Cost EST. GM target'!$J$37+SUM($AD46:$AF46))*1.1*0.065%*1.1&lt;300000,300000,$W46*(SUM('Cost EST. GM target'!$J$16,'Cost EST. GM target'!$J$26,'Cost EST. GM target'!$J$28,'Cost EST. GM target'!$J$30,'Cost EST. GM target'!$J$33)/(1-'Cost EST. GM target'!$J$35)+SUM('Cost EST. GM target'!$J$16,'Cost EST. GM target'!$J$26,'Cost EST. GM target'!$J$28,'Cost EST. GM target'!$J$30,'Cost EST. GM target'!$J$33)*'Cost EST. GM target'!$J$37+SUM($AD46:$AF46))*1.1*0.065%*1.1))/$W46,2))</f>
        <v>0</v>
      </c>
      <c r="AH46" s="846">
        <f t="shared" si="3"/>
        <v>0</v>
      </c>
    </row>
    <row r="47" spans="1:40" ht="16.5" customHeight="1" outlineLevel="1">
      <c r="B47" s="822" t="s">
        <v>51</v>
      </c>
      <c r="C47" s="852">
        <f>input!B1233</f>
        <v>34</v>
      </c>
      <c r="D47" s="852">
        <f>input!C1233</f>
        <v>0</v>
      </c>
      <c r="E47" s="852">
        <f>input!D1233</f>
        <v>0</v>
      </c>
      <c r="F47" s="852">
        <f>input!E1233</f>
        <v>0</v>
      </c>
      <c r="G47" s="852">
        <f>input!F1233</f>
        <v>0</v>
      </c>
      <c r="H47" s="852">
        <f>input!G1233</f>
        <v>0</v>
      </c>
      <c r="I47" s="852">
        <f>input!H1233</f>
        <v>0</v>
      </c>
      <c r="J47" s="852">
        <f>input!I1233</f>
        <v>0</v>
      </c>
      <c r="K47" s="852">
        <f>input!J1233</f>
        <v>0</v>
      </c>
      <c r="L47" s="852">
        <f>input!K1233</f>
        <v>0</v>
      </c>
      <c r="M47" s="852">
        <f>input!L1233</f>
        <v>0</v>
      </c>
      <c r="N47" s="852">
        <f>input!M1233</f>
        <v>0</v>
      </c>
      <c r="O47" s="852">
        <f>input!N1233</f>
        <v>0</v>
      </c>
      <c r="P47" s="852">
        <f>input!O1233</f>
        <v>0</v>
      </c>
      <c r="Q47" s="852">
        <f>input!P1233</f>
        <v>0</v>
      </c>
      <c r="R47" s="2413">
        <f>input!Q1233</f>
        <v>0</v>
      </c>
      <c r="T47" s="371">
        <f>input!I1231</f>
        <v>0</v>
      </c>
      <c r="U47" s="330">
        <v>8</v>
      </c>
      <c r="V47" s="347">
        <f>input!I1238</f>
        <v>0</v>
      </c>
      <c r="W47" s="189">
        <f>J46</f>
        <v>0</v>
      </c>
      <c r="X47" s="313">
        <f>IF($J$48&gt;0,1,0)</f>
        <v>0</v>
      </c>
      <c r="Y47" s="372">
        <f ca="1">J52*J41*X47</f>
        <v>0</v>
      </c>
      <c r="Z47" s="313">
        <f ca="1">IF($J$49&gt;0,1,0)</f>
        <v>0</v>
      </c>
      <c r="AA47" s="372">
        <f ca="1">J49*J42*Z47</f>
        <v>0</v>
      </c>
      <c r="AB47" s="313">
        <f ca="1">IF($J$50&gt;0,1,0)</f>
        <v>0</v>
      </c>
      <c r="AC47" s="372">
        <f ca="1">(J43*J50)*AB47</f>
        <v>0</v>
      </c>
      <c r="AD47" s="820">
        <f t="shared" si="1"/>
        <v>0</v>
      </c>
      <c r="AE47" s="845">
        <f t="shared" si="0"/>
        <v>0</v>
      </c>
      <c r="AF47" s="820">
        <f t="shared" si="2"/>
        <v>0</v>
      </c>
      <c r="AG47" s="820">
        <f>IF($AD47=0,0,ROUNDUP((IF($W47*(SUM('Cost EST. GM target'!$J$16,'Cost EST. GM target'!$J$26,'Cost EST. GM target'!$J$28,'Cost EST. GM target'!$J$30,'Cost EST. GM target'!$J$33)/(1-'Cost EST. GM target'!$J$35)+SUM('Cost EST. GM target'!$J$16,'Cost EST. GM target'!$J$26,'Cost EST. GM target'!$J$28,'Cost EST. GM target'!$J$30,'Cost EST. GM target'!$J$33)*'Cost EST. GM target'!$J$37+SUM($AD47:$AF47))*1.1*0.065%*1.1&lt;300000,300000,$W47*(SUM('Cost EST. GM target'!$J$16,'Cost EST. GM target'!$J$26,'Cost EST. GM target'!$J$28,'Cost EST. GM target'!$J$30,'Cost EST. GM target'!$J$33)/(1-'Cost EST. GM target'!$J$35)+SUM('Cost EST. GM target'!$J$16,'Cost EST. GM target'!$J$26,'Cost EST. GM target'!$J$28,'Cost EST. GM target'!$J$30,'Cost EST. GM target'!$J$33)*'Cost EST. GM target'!$J$37+SUM($AD47:$AF47))*1.1*0.065%*1.1))/$W47,2))</f>
        <v>0</v>
      </c>
      <c r="AH47" s="846">
        <f t="shared" si="3"/>
        <v>0</v>
      </c>
    </row>
    <row r="48" spans="1:40" ht="16.5" customHeight="1" outlineLevel="1">
      <c r="B48" s="822" t="str">
        <f>input!A1234</f>
        <v>Cartons</v>
      </c>
      <c r="C48" s="853">
        <f ca="1">input!B1234</f>
        <v>34</v>
      </c>
      <c r="D48" s="853">
        <f>input!C1234</f>
        <v>0</v>
      </c>
      <c r="E48" s="853">
        <f>input!D1234</f>
        <v>0</v>
      </c>
      <c r="F48" s="853">
        <f>input!E1234</f>
        <v>0</v>
      </c>
      <c r="G48" s="853">
        <f>input!F1234</f>
        <v>0</v>
      </c>
      <c r="H48" s="853">
        <f>input!G1234</f>
        <v>0</v>
      </c>
      <c r="I48" s="853">
        <f>input!H1234</f>
        <v>0</v>
      </c>
      <c r="J48" s="853">
        <f>input!I1234</f>
        <v>0</v>
      </c>
      <c r="K48" s="853">
        <f>input!J1234</f>
        <v>0</v>
      </c>
      <c r="L48" s="853">
        <f>input!K1234</f>
        <v>0</v>
      </c>
      <c r="M48" s="853">
        <f>input!L1234</f>
        <v>0</v>
      </c>
      <c r="N48" s="853">
        <f>input!M1234</f>
        <v>0</v>
      </c>
      <c r="O48" s="853">
        <f>input!N1234</f>
        <v>0</v>
      </c>
      <c r="P48" s="853">
        <f>input!O1234</f>
        <v>0</v>
      </c>
      <c r="Q48" s="853">
        <f>input!P1234</f>
        <v>0</v>
      </c>
      <c r="R48" s="2414">
        <f>input!Q1234</f>
        <v>0</v>
      </c>
      <c r="S48" s="854"/>
      <c r="T48" s="371">
        <f>input!J1231</f>
        <v>0</v>
      </c>
      <c r="U48" s="330">
        <v>9</v>
      </c>
      <c r="V48" s="347">
        <f>input!J1238</f>
        <v>0</v>
      </c>
      <c r="W48" s="189">
        <f>K46</f>
        <v>0</v>
      </c>
      <c r="X48" s="313">
        <f>IF($K$48&gt;0,1,0)</f>
        <v>0</v>
      </c>
      <c r="Y48" s="372">
        <f ca="1">K52*K41*X48</f>
        <v>0</v>
      </c>
      <c r="Z48" s="313">
        <f ca="1">IF($K$49&gt;0,1,0)</f>
        <v>0</v>
      </c>
      <c r="AA48" s="372">
        <f ca="1">K49*K42*Z48</f>
        <v>0</v>
      </c>
      <c r="AB48" s="313">
        <f ca="1">IF($K$50&gt;0,1,0)</f>
        <v>0</v>
      </c>
      <c r="AC48" s="372">
        <f ca="1">(K43*K50)*AB48</f>
        <v>0</v>
      </c>
      <c r="AD48" s="820">
        <f t="shared" si="1"/>
        <v>0</v>
      </c>
      <c r="AE48" s="845">
        <f t="shared" si="0"/>
        <v>0</v>
      </c>
      <c r="AF48" s="820">
        <f t="shared" si="2"/>
        <v>0</v>
      </c>
      <c r="AG48" s="820">
        <f>IF($AD48=0,0,ROUNDUP((IF($W48*(SUM('Cost EST. GM target'!$J$16,'Cost EST. GM target'!$J$26,'Cost EST. GM target'!$J$28,'Cost EST. GM target'!$J$30,'Cost EST. GM target'!$J$33)/(1-'Cost EST. GM target'!$J$35)+SUM('Cost EST. GM target'!$J$16,'Cost EST. GM target'!$J$26,'Cost EST. GM target'!$J$28,'Cost EST. GM target'!$J$30,'Cost EST. GM target'!$J$33)*'Cost EST. GM target'!$J$37+SUM($AD48:$AF48))*1.1*0.065%*1.1&lt;300000,300000,$W48*(SUM('Cost EST. GM target'!$J$16,'Cost EST. GM target'!$J$26,'Cost EST. GM target'!$J$28,'Cost EST. GM target'!$J$30,'Cost EST. GM target'!$J$33)/(1-'Cost EST. GM target'!$J$35)+SUM('Cost EST. GM target'!$J$16,'Cost EST. GM target'!$J$26,'Cost EST. GM target'!$J$28,'Cost EST. GM target'!$J$30,'Cost EST. GM target'!$J$33)*'Cost EST. GM target'!$J$37+SUM($AD48:$AF48))*1.1*0.065%*1.1))/$W48,2))</f>
        <v>0</v>
      </c>
      <c r="AH48" s="846">
        <f t="shared" si="3"/>
        <v>0</v>
      </c>
    </row>
    <row r="49" spans="1:34" ht="16.5" customHeight="1" outlineLevel="1">
      <c r="A49" s="374">
        <f ca="1">input!L1221</f>
        <v>330</v>
      </c>
      <c r="B49" s="822" t="s">
        <v>37</v>
      </c>
      <c r="C49" s="853">
        <f ca="1">input!B1235</f>
        <v>0</v>
      </c>
      <c r="D49" s="853">
        <f ca="1">input!C1235</f>
        <v>0</v>
      </c>
      <c r="E49" s="853">
        <f ca="1">input!D1235</f>
        <v>0</v>
      </c>
      <c r="F49" s="853">
        <f ca="1">input!E1235</f>
        <v>0</v>
      </c>
      <c r="G49" s="853">
        <f ca="1">input!F1235</f>
        <v>0</v>
      </c>
      <c r="H49" s="853">
        <f ca="1">input!G1235</f>
        <v>0</v>
      </c>
      <c r="I49" s="853">
        <f ca="1">input!H1235</f>
        <v>0</v>
      </c>
      <c r="J49" s="853">
        <f ca="1">input!I1235</f>
        <v>0</v>
      </c>
      <c r="K49" s="853">
        <f ca="1">input!J1235</f>
        <v>0</v>
      </c>
      <c r="L49" s="853">
        <f ca="1">input!K1235</f>
        <v>0</v>
      </c>
      <c r="M49" s="853">
        <f ca="1">input!L1235</f>
        <v>0</v>
      </c>
      <c r="N49" s="853">
        <f ca="1">input!M1235</f>
        <v>0</v>
      </c>
      <c r="O49" s="853">
        <f ca="1">input!N1235</f>
        <v>0</v>
      </c>
      <c r="P49" s="853">
        <f ca="1">input!O1235</f>
        <v>0</v>
      </c>
      <c r="Q49" s="853">
        <f ca="1">input!P1235</f>
        <v>0</v>
      </c>
      <c r="R49" s="2414">
        <f ca="1">input!Q1235</f>
        <v>0</v>
      </c>
      <c r="S49" s="854"/>
      <c r="T49" s="371">
        <f>input!K1231</f>
        <v>0</v>
      </c>
      <c r="U49" s="330">
        <v>10</v>
      </c>
      <c r="V49" s="347">
        <f>input!K1238</f>
        <v>0</v>
      </c>
      <c r="W49" s="189">
        <f>L46</f>
        <v>0</v>
      </c>
      <c r="X49" s="313">
        <f>IF($L$48&gt;0,1,0)</f>
        <v>0</v>
      </c>
      <c r="Y49" s="372">
        <f ca="1">L52*L41*X49</f>
        <v>0</v>
      </c>
      <c r="Z49" s="313">
        <f ca="1">IF($L$49&gt;0,1,0)</f>
        <v>0</v>
      </c>
      <c r="AA49" s="372">
        <f ca="1">L49*L42*Z49</f>
        <v>0</v>
      </c>
      <c r="AB49" s="313">
        <f ca="1">IF($L$50&gt;0,1,0)</f>
        <v>0</v>
      </c>
      <c r="AC49" s="372">
        <f ca="1">(L43*L50)*AB49</f>
        <v>0</v>
      </c>
      <c r="AD49" s="820">
        <f t="shared" si="1"/>
        <v>0</v>
      </c>
      <c r="AE49" s="845">
        <f t="shared" si="0"/>
        <v>0</v>
      </c>
      <c r="AF49" s="820">
        <f t="shared" si="2"/>
        <v>0</v>
      </c>
      <c r="AG49" s="820">
        <f>IF($AD49=0,0,ROUNDUP((IF($W49*(SUM('Cost EST. GM target'!$J$16,'Cost EST. GM target'!$J$26,'Cost EST. GM target'!$J$28,'Cost EST. GM target'!$J$30,'Cost EST. GM target'!$J$33)/(1-'Cost EST. GM target'!$J$35)+SUM('Cost EST. GM target'!$J$16,'Cost EST. GM target'!$J$26,'Cost EST. GM target'!$J$28,'Cost EST. GM target'!$J$30,'Cost EST. GM target'!$J$33)*'Cost EST. GM target'!$J$37+SUM($AD49:$AF49))*1.1*0.065%*1.1&lt;300000,300000,$W49*(SUM('Cost EST. GM target'!$J$16,'Cost EST. GM target'!$J$26,'Cost EST. GM target'!$J$28,'Cost EST. GM target'!$J$30,'Cost EST. GM target'!$J$33)/(1-'Cost EST. GM target'!$J$35)+SUM('Cost EST. GM target'!$J$16,'Cost EST. GM target'!$J$26,'Cost EST. GM target'!$J$28,'Cost EST. GM target'!$J$30,'Cost EST. GM target'!$J$33)*'Cost EST. GM target'!$J$37+SUM($AD49:$AF49))*1.1*0.065%*1.1))/$W49,2))</f>
        <v>0</v>
      </c>
      <c r="AH49" s="846">
        <f t="shared" si="3"/>
        <v>0</v>
      </c>
    </row>
    <row r="50" spans="1:34" ht="16.5" customHeight="1" outlineLevel="1">
      <c r="A50" s="374">
        <f ca="1">input!L1223</f>
        <v>690</v>
      </c>
      <c r="B50" s="822" t="s">
        <v>39</v>
      </c>
      <c r="C50" s="853">
        <f ca="1">input!B1236</f>
        <v>0</v>
      </c>
      <c r="D50" s="853">
        <f ca="1">input!C1236</f>
        <v>0</v>
      </c>
      <c r="E50" s="853">
        <f ca="1">input!D1236</f>
        <v>0</v>
      </c>
      <c r="F50" s="853">
        <f ca="1">input!E1236</f>
        <v>0</v>
      </c>
      <c r="G50" s="853">
        <f ca="1">input!F1236</f>
        <v>0</v>
      </c>
      <c r="H50" s="853">
        <f ca="1">input!G1236</f>
        <v>0</v>
      </c>
      <c r="I50" s="853">
        <f ca="1">input!H1236</f>
        <v>0</v>
      </c>
      <c r="J50" s="853">
        <f ca="1">input!I1236</f>
        <v>0</v>
      </c>
      <c r="K50" s="853">
        <f ca="1">input!J1236</f>
        <v>0</v>
      </c>
      <c r="L50" s="853">
        <f ca="1">input!K1236</f>
        <v>0</v>
      </c>
      <c r="M50" s="853">
        <f ca="1">input!L1236</f>
        <v>0</v>
      </c>
      <c r="N50" s="853">
        <f ca="1">input!M1236</f>
        <v>0</v>
      </c>
      <c r="O50" s="853">
        <f ca="1">input!N1236</f>
        <v>0</v>
      </c>
      <c r="P50" s="853">
        <f ca="1">input!O1236</f>
        <v>0</v>
      </c>
      <c r="Q50" s="853">
        <f ca="1">input!P1236</f>
        <v>0</v>
      </c>
      <c r="R50" s="2414">
        <f ca="1">input!Q1236</f>
        <v>0</v>
      </c>
      <c r="S50" s="854"/>
      <c r="T50" s="371">
        <f>input!L1231</f>
        <v>0</v>
      </c>
      <c r="U50" s="330">
        <v>11</v>
      </c>
      <c r="V50" s="347">
        <f>input!L1238</f>
        <v>0</v>
      </c>
      <c r="W50" s="189">
        <f>M46</f>
        <v>0</v>
      </c>
      <c r="X50" s="313">
        <f>IF($M$48&gt;0,1,0)</f>
        <v>0</v>
      </c>
      <c r="Y50" s="372">
        <f ca="1">M52*M41*X50</f>
        <v>0</v>
      </c>
      <c r="Z50" s="313">
        <f ca="1">IF($M$49&gt;0,1,0)</f>
        <v>0</v>
      </c>
      <c r="AA50" s="372">
        <f ca="1">M49*M42*Z50</f>
        <v>0</v>
      </c>
      <c r="AB50" s="313">
        <f ca="1">IF($M$50&gt;0,1,0)</f>
        <v>0</v>
      </c>
      <c r="AC50" s="372">
        <f ca="1">(M43*M50)*AB50</f>
        <v>0</v>
      </c>
      <c r="AD50" s="820">
        <f t="shared" si="1"/>
        <v>0</v>
      </c>
      <c r="AE50" s="845">
        <f t="shared" si="0"/>
        <v>0</v>
      </c>
      <c r="AF50" s="820">
        <f t="shared" si="2"/>
        <v>0</v>
      </c>
      <c r="AG50" s="820">
        <f>IF($AD50=0,0,ROUNDUP((IF($W50*(SUM('Cost EST. GM target'!$J$16,'Cost EST. GM target'!$J$26,'Cost EST. GM target'!$J$28,'Cost EST. GM target'!$J$30,'Cost EST. GM target'!$J$33)/(1-'Cost EST. GM target'!$J$35)+SUM('Cost EST. GM target'!$J$16,'Cost EST. GM target'!$J$26,'Cost EST. GM target'!$J$28,'Cost EST. GM target'!$J$30,'Cost EST. GM target'!$J$33)*'Cost EST. GM target'!$J$37+SUM($AD50:$AF50))*1.1*0.065%*1.1&lt;300000,300000,$W50*(SUM('Cost EST. GM target'!$J$16,'Cost EST. GM target'!$J$26,'Cost EST. GM target'!$J$28,'Cost EST. GM target'!$J$30,'Cost EST. GM target'!$J$33)/(1-'Cost EST. GM target'!$J$35)+SUM('Cost EST. GM target'!$J$16,'Cost EST. GM target'!$J$26,'Cost EST. GM target'!$J$28,'Cost EST. GM target'!$J$30,'Cost EST. GM target'!$J$33)*'Cost EST. GM target'!$J$37+SUM($AD50:$AF50))*1.1*0.065%*1.1))/$W50,2))</f>
        <v>0</v>
      </c>
      <c r="AH50" s="846">
        <f t="shared" si="3"/>
        <v>0</v>
      </c>
    </row>
    <row r="51" spans="1:34" ht="16.5" customHeight="1" outlineLevel="1">
      <c r="B51" s="822" t="s">
        <v>55</v>
      </c>
      <c r="C51" s="855">
        <f t="shared" ref="C51:R51" ca="1" si="4">IF($C$16&gt;0,ROUNDUP(C48*$C$14,1),ROUNDUP(C48*$C$13,1))/1000</f>
        <v>0.39150000000000001</v>
      </c>
      <c r="D51" s="855">
        <f t="shared" ca="1" si="4"/>
        <v>0</v>
      </c>
      <c r="E51" s="855">
        <f t="shared" ca="1" si="4"/>
        <v>0</v>
      </c>
      <c r="F51" s="855">
        <f t="shared" ca="1" si="4"/>
        <v>0</v>
      </c>
      <c r="G51" s="855">
        <f t="shared" ca="1" si="4"/>
        <v>0</v>
      </c>
      <c r="H51" s="855">
        <f t="shared" ca="1" si="4"/>
        <v>0</v>
      </c>
      <c r="I51" s="855">
        <f t="shared" ca="1" si="4"/>
        <v>0</v>
      </c>
      <c r="J51" s="855">
        <f t="shared" ca="1" si="4"/>
        <v>0</v>
      </c>
      <c r="K51" s="855">
        <f t="shared" ca="1" si="4"/>
        <v>0</v>
      </c>
      <c r="L51" s="855">
        <f t="shared" ca="1" si="4"/>
        <v>0</v>
      </c>
      <c r="M51" s="855">
        <f t="shared" ca="1" si="4"/>
        <v>0</v>
      </c>
      <c r="N51" s="855">
        <f t="shared" ca="1" si="4"/>
        <v>0</v>
      </c>
      <c r="O51" s="855">
        <f t="shared" ca="1" si="4"/>
        <v>0</v>
      </c>
      <c r="P51" s="855">
        <f t="shared" ca="1" si="4"/>
        <v>0</v>
      </c>
      <c r="Q51" s="855">
        <f t="shared" ca="1" si="4"/>
        <v>0</v>
      </c>
      <c r="R51" s="2415">
        <f t="shared" ca="1" si="4"/>
        <v>0</v>
      </c>
      <c r="T51" s="371">
        <f>input!M1231</f>
        <v>0</v>
      </c>
      <c r="U51" s="330">
        <v>12</v>
      </c>
      <c r="V51" s="347">
        <f>input!M1238</f>
        <v>0</v>
      </c>
      <c r="W51" s="189">
        <f>N46</f>
        <v>0</v>
      </c>
      <c r="X51" s="313">
        <f>IF($N$48&gt;0,1,0)</f>
        <v>0</v>
      </c>
      <c r="Y51" s="372">
        <f ca="1">N52*N41*X51</f>
        <v>0</v>
      </c>
      <c r="Z51" s="313">
        <f ca="1">IF($N$49&gt;0,1,0)</f>
        <v>0</v>
      </c>
      <c r="AA51" s="372">
        <f ca="1">N49*N42*Z51</f>
        <v>0</v>
      </c>
      <c r="AB51" s="313">
        <f ca="1">IF($N$50&gt;0,1,0)</f>
        <v>0</v>
      </c>
      <c r="AC51" s="372">
        <f ca="1">(N43*N50)*AB51</f>
        <v>0</v>
      </c>
      <c r="AD51" s="820">
        <f t="shared" si="1"/>
        <v>0</v>
      </c>
      <c r="AE51" s="845">
        <f t="shared" si="0"/>
        <v>0</v>
      </c>
      <c r="AF51" s="820">
        <f t="shared" si="2"/>
        <v>0</v>
      </c>
      <c r="AG51" s="820">
        <f>IF($AD51=0,0,ROUNDUP((IF($W51*(SUM('Cost EST. GM target'!$J$16,'Cost EST. GM target'!$J$26,'Cost EST. GM target'!$J$28,'Cost EST. GM target'!$J$30,'Cost EST. GM target'!$J$33)/(1-'Cost EST. GM target'!$J$35)+SUM('Cost EST. GM target'!$J$16,'Cost EST. GM target'!$J$26,'Cost EST. GM target'!$J$28,'Cost EST. GM target'!$J$30,'Cost EST. GM target'!$J$33)*'Cost EST. GM target'!$J$37+SUM($AD51:$AF51))*1.1*0.065%*1.1&lt;300000,300000,$W51*(SUM('Cost EST. GM target'!$J$16,'Cost EST. GM target'!$J$26,'Cost EST. GM target'!$J$28,'Cost EST. GM target'!$J$30,'Cost EST. GM target'!$J$33)/(1-'Cost EST. GM target'!$J$35)+SUM('Cost EST. GM target'!$J$16,'Cost EST. GM target'!$J$26,'Cost EST. GM target'!$J$28,'Cost EST. GM target'!$J$30,'Cost EST. GM target'!$J$33)*'Cost EST. GM target'!$J$37+SUM($AD51:$AF51))*1.1*0.065%*1.1))/$W51,2))</f>
        <v>0</v>
      </c>
      <c r="AH51" s="846">
        <f t="shared" si="3"/>
        <v>0</v>
      </c>
    </row>
    <row r="52" spans="1:34" ht="16.5" customHeight="1" outlineLevel="1">
      <c r="B52" s="822" t="s">
        <v>56</v>
      </c>
      <c r="C52" s="855">
        <f ca="1">IF($C$16&gt;0,ROUNDUP(C48*$F$14,1),ROUNDUP(C48*$F$13,1))</f>
        <v>2.5</v>
      </c>
      <c r="D52" s="855">
        <f t="shared" ref="D52:R52" ca="1" si="5">IF($C$16&gt;0,ROUNDUP(D48*$F$14,1),ROUNDUP(D48*$F$13,1))</f>
        <v>0</v>
      </c>
      <c r="E52" s="855">
        <f t="shared" ca="1" si="5"/>
        <v>0</v>
      </c>
      <c r="F52" s="855">
        <f t="shared" ca="1" si="5"/>
        <v>0</v>
      </c>
      <c r="G52" s="855">
        <f t="shared" ca="1" si="5"/>
        <v>0</v>
      </c>
      <c r="H52" s="855">
        <f t="shared" ca="1" si="5"/>
        <v>0</v>
      </c>
      <c r="I52" s="855">
        <f t="shared" ca="1" si="5"/>
        <v>0</v>
      </c>
      <c r="J52" s="855">
        <f t="shared" ca="1" si="5"/>
        <v>0</v>
      </c>
      <c r="K52" s="855">
        <f t="shared" ca="1" si="5"/>
        <v>0</v>
      </c>
      <c r="L52" s="855">
        <f t="shared" ca="1" si="5"/>
        <v>0</v>
      </c>
      <c r="M52" s="855">
        <f t="shared" ca="1" si="5"/>
        <v>0</v>
      </c>
      <c r="N52" s="855">
        <f t="shared" ca="1" si="5"/>
        <v>0</v>
      </c>
      <c r="O52" s="855">
        <f t="shared" ca="1" si="5"/>
        <v>0</v>
      </c>
      <c r="P52" s="855">
        <f t="shared" ca="1" si="5"/>
        <v>0</v>
      </c>
      <c r="Q52" s="855">
        <f t="shared" ca="1" si="5"/>
        <v>0</v>
      </c>
      <c r="R52" s="2415">
        <f t="shared" ca="1" si="5"/>
        <v>0</v>
      </c>
      <c r="T52" s="371">
        <f>input!N1231</f>
        <v>0</v>
      </c>
      <c r="U52" s="330">
        <v>13</v>
      </c>
      <c r="V52" s="347">
        <f>input!N1238</f>
        <v>0</v>
      </c>
      <c r="W52" s="189">
        <f>O46</f>
        <v>0</v>
      </c>
      <c r="X52" s="313">
        <f>IF($O$48&gt;0,1,0)</f>
        <v>0</v>
      </c>
      <c r="Y52" s="372">
        <f ca="1">O52*O41*X52</f>
        <v>0</v>
      </c>
      <c r="Z52" s="313">
        <f ca="1">IF($O$49&gt;0,1,0)</f>
        <v>0</v>
      </c>
      <c r="AA52" s="372">
        <f ca="1">O49*O42*Z52</f>
        <v>0</v>
      </c>
      <c r="AB52" s="313">
        <f ca="1">IF($O$50&gt;0,1,0)</f>
        <v>0</v>
      </c>
      <c r="AC52" s="372">
        <f ca="1">(O43*O50)*AB52</f>
        <v>0</v>
      </c>
      <c r="AD52" s="820">
        <f t="shared" si="1"/>
        <v>0</v>
      </c>
      <c r="AE52" s="845">
        <f t="shared" si="0"/>
        <v>0</v>
      </c>
      <c r="AF52" s="820">
        <f t="shared" si="2"/>
        <v>0</v>
      </c>
      <c r="AG52" s="820">
        <f>IF($AD52=0,0,ROUNDUP((IF($W52*(SUM('Cost EST. GM target'!$J$16,'Cost EST. GM target'!$J$26,'Cost EST. GM target'!$J$28,'Cost EST. GM target'!$J$30,'Cost EST. GM target'!$J$33)/(1-'Cost EST. GM target'!$J$35)+SUM('Cost EST. GM target'!$J$16,'Cost EST. GM target'!$J$26,'Cost EST. GM target'!$J$28,'Cost EST. GM target'!$J$30,'Cost EST. GM target'!$J$33)*'Cost EST. GM target'!$J$37+SUM($AD52:$AF52))*1.1*0.065%*1.1&lt;300000,300000,$W52*(SUM('Cost EST. GM target'!$J$16,'Cost EST. GM target'!$J$26,'Cost EST. GM target'!$J$28,'Cost EST. GM target'!$J$30,'Cost EST. GM target'!$J$33)/(1-'Cost EST. GM target'!$J$35)+SUM('Cost EST. GM target'!$J$16,'Cost EST. GM target'!$J$26,'Cost EST. GM target'!$J$28,'Cost EST. GM target'!$J$30,'Cost EST. GM target'!$J$33)*'Cost EST. GM target'!$J$37+SUM($AD52:$AF52))*1.1*0.065%*1.1))/$W52,2))</f>
        <v>0</v>
      </c>
      <c r="AH52" s="846">
        <f t="shared" si="3"/>
        <v>0</v>
      </c>
    </row>
    <row r="53" spans="1:34" ht="16.5" customHeight="1" outlineLevel="1">
      <c r="B53" s="822" t="s">
        <v>2296</v>
      </c>
      <c r="C53" s="856">
        <v>1</v>
      </c>
      <c r="D53" s="856">
        <v>2</v>
      </c>
      <c r="E53" s="856">
        <v>3.5</v>
      </c>
      <c r="F53" s="856">
        <v>5</v>
      </c>
      <c r="G53" s="856">
        <v>8</v>
      </c>
      <c r="H53" s="823"/>
      <c r="I53" s="857"/>
      <c r="J53" s="858"/>
      <c r="K53" s="858"/>
      <c r="L53" s="858"/>
      <c r="M53" s="858"/>
      <c r="N53" s="858"/>
      <c r="O53" s="858"/>
      <c r="P53" s="858"/>
      <c r="Q53" s="858"/>
      <c r="R53" s="859"/>
      <c r="T53" s="371">
        <f>input!O1231</f>
        <v>0</v>
      </c>
      <c r="U53" s="330">
        <v>14</v>
      </c>
      <c r="V53" s="347">
        <f>input!O1238</f>
        <v>0</v>
      </c>
      <c r="W53" s="189">
        <f>P46</f>
        <v>0</v>
      </c>
      <c r="X53" s="313">
        <f>IF($P$48&gt;0,1,0)</f>
        <v>0</v>
      </c>
      <c r="Y53" s="372">
        <f ca="1">P52*P41*X53</f>
        <v>0</v>
      </c>
      <c r="Z53" s="313">
        <f ca="1">IF($P$49&gt;0,1,0)</f>
        <v>0</v>
      </c>
      <c r="AA53" s="372">
        <f ca="1">P49*P42*Z53</f>
        <v>0</v>
      </c>
      <c r="AB53" s="313">
        <f ca="1">IF($P$50&gt;0,1,0)</f>
        <v>0</v>
      </c>
      <c r="AC53" s="372">
        <f ca="1">(P43*P50)*AB53</f>
        <v>0</v>
      </c>
      <c r="AD53" s="820">
        <f t="shared" si="1"/>
        <v>0</v>
      </c>
      <c r="AE53" s="845">
        <f t="shared" si="0"/>
        <v>0</v>
      </c>
      <c r="AF53" s="820">
        <f t="shared" si="2"/>
        <v>0</v>
      </c>
      <c r="AG53" s="820">
        <f>IF($AD53=0,0,ROUNDUP((IF($W53*(SUM('Cost EST. GM target'!$J$16,'Cost EST. GM target'!$J$26,'Cost EST. GM target'!$J$28,'Cost EST. GM target'!$J$30,'Cost EST. GM target'!$J$33)/(1-'Cost EST. GM target'!$J$35)+SUM('Cost EST. GM target'!$J$16,'Cost EST. GM target'!$J$26,'Cost EST. GM target'!$J$28,'Cost EST. GM target'!$J$30,'Cost EST. GM target'!$J$33)*'Cost EST. GM target'!$J$37+SUM($AD53:$AF53))*1.1*0.065%*1.1&lt;300000,300000,$W53*(SUM('Cost EST. GM target'!$J$16,'Cost EST. GM target'!$J$26,'Cost EST. GM target'!$J$28,'Cost EST. GM target'!$J$30,'Cost EST. GM target'!$J$33)/(1-'Cost EST. GM target'!$J$35)+SUM('Cost EST. GM target'!$J$16,'Cost EST. GM target'!$J$26,'Cost EST. GM target'!$J$28,'Cost EST. GM target'!$J$30,'Cost EST. GM target'!$J$33)*'Cost EST. GM target'!$J$37+SUM($AD53:$AF53))*1.1*0.065%*1.1))/$W53,2))</f>
        <v>0</v>
      </c>
      <c r="AH53" s="846">
        <f t="shared" si="3"/>
        <v>0</v>
      </c>
    </row>
    <row r="54" spans="1:34" ht="16.5" customHeight="1" outlineLevel="1">
      <c r="B54" s="822" t="s">
        <v>2295</v>
      </c>
      <c r="C54" s="856">
        <f>3*1.5*1.5</f>
        <v>6.75</v>
      </c>
      <c r="D54" s="856">
        <f>3.4*1.7*1.8</f>
        <v>10.404</v>
      </c>
      <c r="E54" s="856">
        <f>5.1*1.8*1.9</f>
        <v>17.442</v>
      </c>
      <c r="F54" s="856">
        <f>6*2.05*2.05</f>
        <v>25.214999999999996</v>
      </c>
      <c r="G54" s="856">
        <f>7*2.2*2.2</f>
        <v>33.88000000000001</v>
      </c>
      <c r="H54" s="823"/>
      <c r="I54" s="857"/>
      <c r="J54" s="858"/>
      <c r="K54" s="858"/>
      <c r="L54" s="858"/>
      <c r="M54" s="858"/>
      <c r="N54" s="858"/>
      <c r="O54" s="858"/>
      <c r="P54" s="858"/>
      <c r="Q54" s="858"/>
      <c r="R54" s="859"/>
      <c r="T54" s="371">
        <f>input!P1231</f>
        <v>0</v>
      </c>
      <c r="U54" s="330">
        <v>15</v>
      </c>
      <c r="V54" s="347">
        <f>input!P1238</f>
        <v>0</v>
      </c>
      <c r="W54" s="189">
        <f>Q46</f>
        <v>0</v>
      </c>
      <c r="X54" s="313">
        <f>IF($Q$48&gt;0,1,0)</f>
        <v>0</v>
      </c>
      <c r="Y54" s="372">
        <f ca="1">X54*Q41*Q52</f>
        <v>0</v>
      </c>
      <c r="Z54" s="313">
        <f ca="1">IF($Q$49&gt;0,1,0)</f>
        <v>0</v>
      </c>
      <c r="AA54" s="372">
        <f ca="1">Q49*Q42*Z54</f>
        <v>0</v>
      </c>
      <c r="AB54" s="313">
        <f ca="1">IF($Q$50&gt;0,1,0)</f>
        <v>0</v>
      </c>
      <c r="AC54" s="372">
        <f ca="1">(Q43*Q50)*AB54</f>
        <v>0</v>
      </c>
      <c r="AD54" s="820">
        <f t="shared" si="1"/>
        <v>0</v>
      </c>
      <c r="AE54" s="845">
        <f t="shared" si="0"/>
        <v>0</v>
      </c>
      <c r="AF54" s="820">
        <f t="shared" si="2"/>
        <v>0</v>
      </c>
      <c r="AG54" s="820">
        <f>IF($AD54=0,0,ROUNDUP((IF($W54*(SUM('Cost EST. GM target'!$J$16,'Cost EST. GM target'!$J$26,'Cost EST. GM target'!$J$28,'Cost EST. GM target'!$J$30,'Cost EST. GM target'!$J$33)/(1-'Cost EST. GM target'!$J$35)+SUM('Cost EST. GM target'!$J$16,'Cost EST. GM target'!$J$26,'Cost EST. GM target'!$J$28,'Cost EST. GM target'!$J$30,'Cost EST. GM target'!$J$33)*'Cost EST. GM target'!$J$37+SUM($AD54:$AF54))*1.1*0.065%*1.1&lt;300000,300000,$W54*(SUM('Cost EST. GM target'!$J$16,'Cost EST. GM target'!$J$26,'Cost EST. GM target'!$J$28,'Cost EST. GM target'!$J$30,'Cost EST. GM target'!$J$33)/(1-'Cost EST. GM target'!$J$35)+SUM('Cost EST. GM target'!$J$16,'Cost EST. GM target'!$J$26,'Cost EST. GM target'!$J$28,'Cost EST. GM target'!$J$30,'Cost EST. GM target'!$J$33)*'Cost EST. GM target'!$J$37+SUM($AD54:$AF54))*1.1*0.065%*1.1))/$W54,2))</f>
        <v>0</v>
      </c>
      <c r="AH54" s="846">
        <f t="shared" si="3"/>
        <v>0</v>
      </c>
    </row>
    <row r="55" spans="1:34" ht="16.5" customHeight="1" outlineLevel="1" thickBot="1">
      <c r="B55" s="822" t="s">
        <v>2297</v>
      </c>
      <c r="C55" s="2979">
        <v>1060000</v>
      </c>
      <c r="D55" s="2979">
        <v>1160000</v>
      </c>
      <c r="E55" s="2979">
        <v>1370000</v>
      </c>
      <c r="F55" s="2979">
        <v>1690000</v>
      </c>
      <c r="G55" s="2979">
        <v>2005000</v>
      </c>
      <c r="H55" s="861"/>
      <c r="I55" s="860"/>
      <c r="J55" s="862"/>
      <c r="K55" s="858"/>
      <c r="L55" s="858"/>
      <c r="M55" s="858"/>
      <c r="N55" s="858"/>
      <c r="O55" s="858"/>
      <c r="P55" s="858"/>
      <c r="Q55" s="858"/>
      <c r="R55" s="859"/>
      <c r="T55" s="371">
        <f>input!Q1231</f>
        <v>0</v>
      </c>
      <c r="U55" s="330">
        <v>16</v>
      </c>
      <c r="V55" s="347">
        <f>input!Q1238</f>
        <v>0</v>
      </c>
      <c r="W55" s="189">
        <f>R46</f>
        <v>0</v>
      </c>
      <c r="X55" s="313">
        <f>IF($R$48&gt;0,1,0)</f>
        <v>0</v>
      </c>
      <c r="Y55" s="372">
        <f ca="1">R52*R41*X55</f>
        <v>0</v>
      </c>
      <c r="Z55" s="313">
        <f ca="1">IF($R$49&gt;0,1,0)</f>
        <v>0</v>
      </c>
      <c r="AA55" s="372">
        <f ca="1">R49*R42*Z55</f>
        <v>0</v>
      </c>
      <c r="AB55" s="313">
        <f ca="1">IF($R$50&gt;0,1,0)</f>
        <v>0</v>
      </c>
      <c r="AC55" s="372">
        <f ca="1">(R43*R50)*AB55</f>
        <v>0</v>
      </c>
      <c r="AD55" s="820">
        <f t="shared" si="1"/>
        <v>0</v>
      </c>
      <c r="AE55" s="845">
        <f t="shared" si="0"/>
        <v>0</v>
      </c>
      <c r="AF55" s="820">
        <f t="shared" si="2"/>
        <v>0</v>
      </c>
      <c r="AG55" s="820">
        <f>IF($AD55=0,0,ROUNDUP((IF($W55*(SUM('Cost EST. GM target'!$J$16,'Cost EST. GM target'!$J$26,'Cost EST. GM target'!$J$28,'Cost EST. GM target'!$J$30,'Cost EST. GM target'!$J$33)/(1-'Cost EST. GM target'!$J$35)+SUM('Cost EST. GM target'!$J$16,'Cost EST. GM target'!$J$26,'Cost EST. GM target'!$J$28,'Cost EST. GM target'!$J$30,'Cost EST. GM target'!$J$33)*'Cost EST. GM target'!$J$37+SUM($AD55:$AF55))*1.1*0.065%*1.1&lt;300000,300000,$W55*(SUM('Cost EST. GM target'!$J$16,'Cost EST. GM target'!$J$26,'Cost EST. GM target'!$J$28,'Cost EST. GM target'!$J$30,'Cost EST. GM target'!$J$33)/(1-'Cost EST. GM target'!$J$35)+SUM('Cost EST. GM target'!$J$16,'Cost EST. GM target'!$J$26,'Cost EST. GM target'!$J$28,'Cost EST. GM target'!$J$30,'Cost EST. GM target'!$J$33)*'Cost EST. GM target'!$J$37+SUM($AD55:$AF55))*1.1*0.065%*1.1))/$W55,2))</f>
        <v>0</v>
      </c>
      <c r="AH55" s="846">
        <f t="shared" si="3"/>
        <v>0</v>
      </c>
    </row>
    <row r="56" spans="1:34" ht="16.5" customHeight="1" outlineLevel="1" thickTop="1" thickBot="1">
      <c r="B56" s="824" t="s">
        <v>2298</v>
      </c>
      <c r="C56" s="825">
        <f ca="1">MAX(IF(C51&lt;=$C$53,$C$55,IF(C51&lt;=$D$53,$D$55,IF(C51&lt;=$E$53,$E$55,IF(C51&lt;=$F$53,$F$55,IF(C51&lt;=$G$53,$G$55,$G$55*ROUNDUP($C$51/$G$53,0)))))),IF(C52&lt;=$C$54,$C$55,IF(C52&lt;=$D$54,$D$55,IF(C52&lt;=$E$54,$E$55,IF(C52&lt;=$F$54,$F$55,IF(C52&lt;=$G$54,$G$55,$G$55*ROUNDUP($C$52/$G$54,0)))))))*X40</f>
        <v>1060000</v>
      </c>
      <c r="D56" s="825">
        <f ca="1">MAX(IF(D51&lt;=$C$53,$C$55,IF(D51&lt;=$D$53,$D$55,IF(D51&lt;=$E$53,$E$55,IF(D51&lt;=$F$53,$F$55,IF(D51&lt;=$G$53,$G$55,$G$55*ROUNDUP($D$51/$G$53,0)))))),IF(D52&lt;=$C$54,$C$55,IF(D52&lt;=$D$54,$D$55,IF(D52&lt;=$E$54,$E$55,IF(D52&lt;=$F$54,$F$55,IF(D52&lt;=$G$54,$G$55,$G$55*ROUNDUP($D$52/$G$54,0)))))))*X41</f>
        <v>0</v>
      </c>
      <c r="E56" s="825">
        <f ca="1">MAX(IF(E51&lt;=$C$53,$C$55,IF(E51&lt;=$D$53,$D$55,IF(E51&lt;=$E$53,$E$55,IF(E51&lt;=$F$53,$F$55,IF(E51&lt;=$G$53,$G$55,$G$55*ROUNDUP($E$51/$G$53,0)))))),IF(E52&lt;=$C$54,$C$55,IF(E52&lt;=$D$54,$D$55,IF(E52&lt;=$E$54,$E$55,IF(E52&lt;=$F$54,$F$55,IF(E52&lt;=$G$54,$G$55,$G$55*ROUNDUP($E$52/$G$54,0)))))))*X42</f>
        <v>0</v>
      </c>
      <c r="F56" s="825">
        <f ca="1">MAX(IF(F51&lt;=$C$53,$C$55,IF(F51&lt;=$D$53,$D$55,IF(F51&lt;=$E$53,$E$55,IF(F51&lt;=$F$53,$F$55,IF(F51&lt;=$G$53,$G$55,$G$55*ROUNDUP($F$51/$G$53,0)))))),IF(F52&lt;=$C$54,$C$55,IF(F52&lt;=$D$54,$D$55,IF(F52&lt;=$E$54,$E$55,IF(F52&lt;=$F$54,$F$55,IF(F52&lt;=$G$54,$G$55,$G$55*ROUNDUP($F$52/$G$54,0)))))))*X43</f>
        <v>0</v>
      </c>
      <c r="G56" s="825">
        <f ca="1">MAX(IF(G51&lt;=$C$53,$C$55,IF(G51&lt;=$D$53,$D$55,IF(G51&lt;=$E$53,$E$55,IF(G51&lt;=$F$53,$F$55,IF(G51&lt;=$G$53,$G$55,$G$55*ROUNDUP($G$51/$G$53,0)))))),IF(G52&lt;=$C$54,$C$55,IF(G52&lt;=$D$54,$D$55,IF(G52&lt;=$E$54,$E$55,IF(G52&lt;=$F$54,$F$55,IF(G52&lt;=$G$54,$G$55,$G$55*ROUNDUP($G$52/$G$54,0)))))))*X44</f>
        <v>0</v>
      </c>
      <c r="H56" s="825">
        <f ca="1">MAX(IF(H51&lt;=$C$53,$C$55,IF(H51&lt;=$D$53,$D$55,IF(H51&lt;=$E$53,$E$55,IF(H51&lt;=$F$53,$F$55,IF(H51&lt;=$G$53,$G$55,$G$55*ROUNDUP($H$51/$G$53,0)))))),IF(H52&lt;=$C$54,$C$55,IF(H52&lt;=$D$54,$D$55,IF(H52&lt;=$E$54,$E$55,IF(H52&lt;=$F$54,$F$55,IF(H52&lt;=$G$54,$G$55,$G$55*ROUNDUP($H$52/$G$54,0)))))))*X45</f>
        <v>0</v>
      </c>
      <c r="I56" s="825">
        <f ca="1">MAX(IF(I51&lt;=$C$53,$C$55,IF(I51&lt;=$D$53,$D$55,IF(I51&lt;=$E$53,$E$55,IF(I51&lt;=$F$53,$F$55,IF(I51&lt;=$G$53,$G$55,$G$55*ROUNDUP($I$51/$G$53,0)))))),IF(I52&lt;=$C$54,$C$55,IF(I52&lt;=$D$54,$D$55,IF(I52&lt;=$E$54,$E$55,IF(I52&lt;=$F$54,$F$55,IF(I52&lt;=$G$54,$G$55,$G$55*ROUNDUP($I$52/$G$54,0)))))))*X46</f>
        <v>0</v>
      </c>
      <c r="J56" s="825">
        <f ca="1">MAX(IF(J51&lt;=$C$53,$C$55,IF(J51&lt;=$D$53,$D$55,IF(J51&lt;=$E$53,$E$55,IF(J51&lt;=$F$53,$F$55,IF(J51&lt;=$G$53,$G$55,$G$55*ROUNDUP($J$51/$G$53,0)))))),IF(J52&lt;=$C$54,$C$55,IF(J52&lt;=$D$54,$D$55,IF(J52&lt;=$E$54,$E$55,IF(J52&lt;=$F$54,$F$55,IF(J52&lt;=$G$54,$G$55,$G$55*ROUNDUP($J$52/$G$54,0)))))))*X47</f>
        <v>0</v>
      </c>
      <c r="K56" s="825">
        <f ca="1">MAX(IF(K51&lt;=$C$53,$C$55,IF(K51&lt;=$D$53,$D$55,IF(K51&lt;=$E$53,$E$55,IF(K51&lt;=$F$53,$F$55,IF(K51&lt;=$G$53,$G$55,$G$55*ROUNDUP($K$51/$G$53,0)))))),IF(K52&lt;=$C$54,$C$55,IF(K52&lt;=$D$54,$D$55,IF(K52&lt;=$E$54,$E$55,IF(K52&lt;=$F$54,$F$55,IF(K52&lt;=$G$54,$G$55,$G$55*ROUNDUP($K$52/$G$54,0)))))))*X48</f>
        <v>0</v>
      </c>
      <c r="L56" s="825">
        <f ca="1">MAX(IF(L51&lt;=$C$53,$C$55,IF(L51&lt;=$D$53,$D$55,IF(L51&lt;=$E$53,$E$55,IF(L51&lt;=$F$53,$F$55,IF(L51&lt;=$G$53,$G$55,$G$55*ROUNDUP($L$51/$G$53,0)))))),IF(L52&lt;=$C$54,$C$55,IF(L52&lt;=$D$54,$D$55,IF(L52&lt;=$E$54,$E$55,IF(L52&lt;=$F$54,$F$55,IF(L52&lt;=$G$54,$G$55,$G$55*ROUNDUP($L$52/$G$54,0)))))))*X49</f>
        <v>0</v>
      </c>
      <c r="M56" s="825">
        <f ca="1">MAX(IF(M51&lt;=$C$53,$C$55,IF(M51&lt;=$D$53,$D$55,IF(M51&lt;=$E$53,$E$55,IF(M51&lt;=$F$53,$F$55,IF(M51&lt;=$G$53,$G$55,$G$55*ROUNDUP($M$51/$G$53,0)))))),IF(M52&lt;=$C$54,$C$55,IF(M52&lt;=$D$54,$D$55,IF(M52&lt;=$E$54,$E$55,IF(M52&lt;=$F$54,$F$55,IF(M52&lt;=$G$54,$G$55,$G$55*ROUNDUP($M$52/$G$54,0)))))))*X50</f>
        <v>0</v>
      </c>
      <c r="N56" s="825">
        <f ca="1">MAX(IF(N51&lt;=$C$53,$C$55,IF(N51&lt;=$D$53,$D$55,IF(N51&lt;=$E$53,$E$55,IF(N51&lt;=$F$53,$F$55,IF(N51&lt;=$G$53,$G$55,$G$55*ROUNDUP($N$51/$G$53,0)))))),IF(N52&lt;=$C$54,$C$55,IF(N52&lt;=$D$54,$D$55,IF(N52&lt;=$E$54,$E$55,IF(N52&lt;=$F$54,$F$55,IF(N52&lt;=$G$54,$G$55,$G$55*ROUNDUP($N$52/$G$54,0)))))))*X51</f>
        <v>0</v>
      </c>
      <c r="O56" s="825">
        <f ca="1">MAX(IF(O51&lt;=$C$53,$C$55,IF(O51&lt;=$D$53,$D$55,IF(O51&lt;=$E$53,$E$55,IF(O51&lt;=$F$53,$F$55,IF(O51&lt;=$G$53,$G$55,$G$55*ROUNDUP($O$51/$G$53,0)))))),IF(O52&lt;=$C$54,$C$55,IF(O52&lt;=$D$54,$D$55,IF(O52&lt;=$E$54,$E$55,IF(O52&lt;=$F$54,$F$55,IF(O52&lt;=$G$54,$G$55,$G$55*ROUNDUP($O$52/$G$54,0)))))))*X52</f>
        <v>0</v>
      </c>
      <c r="P56" s="825">
        <f ca="1">MAX(IF(P51&lt;=$C$53,$C$55,IF(P51&lt;=$D$53,$D$55,IF(P51&lt;=$E$53,$E$55,IF(P51&lt;=$F$53,$F$55,IF(P51&lt;=$G$53,$G$55,$G$55*ROUNDUP($P$51/$G$53,0)))))),IF(P52&lt;=$C$54,$C$55,IF(P52&lt;=$D$54,$D$55,IF(P52&lt;=$E$54,$E$55,IF(P52&lt;=$F$54,$F$55,IF(P52&lt;=$G$54,$G$55,$G$55*ROUNDUP($P$52/$G$54,0)))))))*X53</f>
        <v>0</v>
      </c>
      <c r="Q56" s="825">
        <f ca="1">MAX(IF(Q51&lt;=$C$53,$C$55,IF(Q51&lt;=$D$53,$D$55,IF(Q51&lt;=$E$53,$E$55,IF(Q51&lt;=$F$53,$F$55,IF(Q51&lt;=$G$53,$G$55,$G$55*ROUNDUP($Q$51/$G$53,0)))))),IF(Q52&lt;=$C$54,$C$55,IF(Q52&lt;=$D$54,$D$55,IF(Q52&lt;=$E$54,$E$55,IF(Q52&lt;=$F$54,$F$55,IF(Q52&lt;=$G$54,$G$55,$G$55*ROUNDUP($Q$52/$G$54,0)))))))*X54</f>
        <v>0</v>
      </c>
      <c r="R56" s="2425">
        <f ca="1">MAX(IF(R51&lt;=$C$53,$C$55,IF(R51&lt;=$D$53,$D$55,IF(R51&lt;=$E$53,$E$55,IF(R51&lt;=$F$53,$F$55,IF(R51&lt;=$G$53,$G$55,$G$55*ROUNDUP($R$51/$G$53,0)))))),IF(R52&lt;=$C$54,$C$55,IF(R52&lt;=$D$54,$D$55,IF(R52&lt;=$E$54,$E$55,IF(R52&lt;=$F$54,$F$55,IF(R52&lt;=$G$54,$G$55,$G$55*ROUNDUP($R$52/$G$54,0)))))))*X55</f>
        <v>0</v>
      </c>
      <c r="T56" s="366">
        <f>SUM(T40:T55)</f>
        <v>1</v>
      </c>
      <c r="U56" s="367"/>
      <c r="V56" s="368"/>
      <c r="W56" s="863">
        <f>SUM(W40:W55)</f>
        <v>5000</v>
      </c>
      <c r="X56" s="863">
        <f ca="1">SUM(X40:X55)</f>
        <v>1</v>
      </c>
      <c r="Y56" s="369"/>
      <c r="Z56" s="369"/>
      <c r="AA56" s="370"/>
      <c r="AB56" s="370"/>
      <c r="AC56" s="370"/>
      <c r="AD56" s="660"/>
      <c r="AE56" s="660"/>
      <c r="AF56" s="660"/>
      <c r="AG56" s="660"/>
      <c r="AH56" s="864"/>
    </row>
    <row r="57" spans="1:34" ht="15" customHeight="1" outlineLevel="1" thickTop="1"/>
    <row r="58" spans="1:34" ht="20.25" customHeight="1" outlineLevel="1">
      <c r="B58" s="320"/>
      <c r="C58" s="865"/>
      <c r="E58" s="734">
        <f ca="1">X56</f>
        <v>1</v>
      </c>
      <c r="F58" s="149"/>
      <c r="G58" s="2424">
        <f ca="1">(C49*Z40)+(Z41*D49)+(E49*Z42)+(Z43*F49)+(Z44*G49)+(Z45*H49)+(Z46*I49)+(Z47*J49)+(K49*Z48)+(Z49*L49)+(M49*Z50)+(N49*Z51)+(O49*Z52)+(P49*Z53)+(Q49*Z54)+(R49*Z55)</f>
        <v>0</v>
      </c>
      <c r="H58" s="149"/>
      <c r="I58" s="866">
        <f ca="1">(C50*AB40)+(AB41*D50)+(AB42*E50)+(AB43*F50)+(G50*AB44)+(AB45*H50)+(I50*AB46)+(AB47*J50)+(AB48*K50)+(L50*AB49)+(M50*AB50)+(N50*AB51)+(O50*AB52)+(P50*AB53)+(Q50*AB54)+(R50*AB55)</f>
        <v>0</v>
      </c>
      <c r="J58" s="146"/>
      <c r="K58" s="2403">
        <f ca="1">T56*MAX(ROUNDUP((G58+I58)/4,0),1)</f>
        <v>1</v>
      </c>
      <c r="L58" s="319" t="s">
        <v>2240</v>
      </c>
    </row>
    <row r="59" spans="1:34" ht="9.75" customHeight="1" outlineLevel="1" thickBot="1">
      <c r="B59" s="319"/>
      <c r="E59" s="375"/>
      <c r="F59" s="375"/>
      <c r="G59" s="375"/>
      <c r="H59" s="375"/>
      <c r="I59" s="376"/>
      <c r="J59" s="376"/>
      <c r="K59" s="376"/>
    </row>
    <row r="60" spans="1:34" ht="17.25" customHeight="1" outlineLevel="1" thickTop="1" thickBot="1">
      <c r="B60" s="377" t="s">
        <v>58</v>
      </c>
      <c r="C60" s="867"/>
      <c r="D60" s="867"/>
      <c r="E60" s="868" t="s">
        <v>41</v>
      </c>
      <c r="F60" s="868"/>
      <c r="G60" s="868" t="s">
        <v>37</v>
      </c>
      <c r="H60" s="868"/>
      <c r="I60" s="819" t="s">
        <v>39</v>
      </c>
      <c r="J60" s="819"/>
      <c r="K60" s="819"/>
      <c r="U60" s="189"/>
    </row>
    <row r="61" spans="1:34" ht="8.25" customHeight="1" outlineLevel="1" thickTop="1"/>
    <row r="62" spans="1:34" ht="16.5" customHeight="1" outlineLevel="1">
      <c r="A62" s="136">
        <v>1</v>
      </c>
      <c r="B62" s="2399" t="s">
        <v>569</v>
      </c>
      <c r="C62" s="869" t="str">
        <f>input!C1230</f>
        <v>JANSY</v>
      </c>
      <c r="D62" s="381"/>
      <c r="E62" s="2980">
        <f ca="1">700000*$X$56+SUM(C56:R56)</f>
        <v>1760000</v>
      </c>
      <c r="F62" s="378"/>
      <c r="G62" s="2981">
        <v>5050000</v>
      </c>
      <c r="H62" s="2972"/>
      <c r="I62" s="2981">
        <v>6410000</v>
      </c>
      <c r="J62" s="378"/>
      <c r="K62" s="378"/>
      <c r="L62" s="380"/>
    </row>
    <row r="63" spans="1:34" ht="16.5" customHeight="1" outlineLevel="1" collapsed="1">
      <c r="A63" s="136">
        <v>2</v>
      </c>
      <c r="B63" s="2399" t="s">
        <v>312</v>
      </c>
      <c r="C63" s="869" t="str">
        <f t="shared" ref="C63:C81" si="6">$C$62</f>
        <v>JANSY</v>
      </c>
      <c r="D63" s="2400"/>
      <c r="E63" s="2401"/>
      <c r="F63" s="2396"/>
      <c r="G63" s="2396"/>
      <c r="H63" s="2396"/>
      <c r="I63" s="2396"/>
      <c r="J63" s="2396"/>
      <c r="K63" s="2396">
        <f>'Sum local charge July.19'!$O$5</f>
        <v>500000</v>
      </c>
      <c r="L63" s="380"/>
      <c r="N63" s="313"/>
      <c r="O63" s="313"/>
      <c r="P63" s="313"/>
      <c r="Q63" s="313"/>
      <c r="R63" s="313"/>
    </row>
    <row r="64" spans="1:34" ht="16.5" customHeight="1" outlineLevel="1">
      <c r="A64" s="136">
        <v>3</v>
      </c>
      <c r="B64" s="2399" t="s">
        <v>311</v>
      </c>
      <c r="C64" s="869" t="str">
        <f t="shared" si="6"/>
        <v>JANSY</v>
      </c>
      <c r="D64" s="2400"/>
      <c r="E64" s="2401"/>
      <c r="F64" s="2396"/>
      <c r="G64" s="2401"/>
      <c r="H64" s="2396"/>
      <c r="I64" s="2401"/>
      <c r="J64" s="2396"/>
      <c r="K64" s="2396">
        <f>'Sum local charge July.19'!$O$6</f>
        <v>20000</v>
      </c>
      <c r="L64" s="380"/>
      <c r="N64" s="313"/>
      <c r="O64" s="313"/>
      <c r="P64" s="313"/>
      <c r="Q64" s="313"/>
      <c r="R64" s="313"/>
      <c r="U64" s="326"/>
      <c r="V64" s="326"/>
      <c r="Y64" s="326"/>
    </row>
    <row r="65" spans="1:25" ht="16.5" customHeight="1" outlineLevel="1" collapsed="1">
      <c r="A65" s="136">
        <v>4</v>
      </c>
      <c r="B65" s="2399" t="s">
        <v>568</v>
      </c>
      <c r="C65" s="869" t="str">
        <f t="shared" si="6"/>
        <v>JANSY</v>
      </c>
      <c r="D65" s="2400"/>
      <c r="E65" s="2401"/>
      <c r="F65" s="2396"/>
      <c r="G65" s="2401"/>
      <c r="H65" s="2396"/>
      <c r="I65" s="2401"/>
      <c r="J65" s="2396"/>
      <c r="K65" s="2396">
        <f>'Sum local charge July.19'!$O$7</f>
        <v>150000</v>
      </c>
      <c r="L65" s="379"/>
      <c r="U65" s="326"/>
      <c r="V65" s="326"/>
      <c r="Y65" s="326"/>
    </row>
    <row r="66" spans="1:25" ht="16.5" customHeight="1" outlineLevel="1">
      <c r="A66" s="136">
        <v>5</v>
      </c>
      <c r="B66" s="2399" t="s">
        <v>2299</v>
      </c>
      <c r="C66" s="869" t="str">
        <f t="shared" si="6"/>
        <v>JANSY</v>
      </c>
      <c r="D66" s="2402"/>
      <c r="E66" s="2401"/>
      <c r="F66" s="2396"/>
      <c r="G66" s="2401"/>
      <c r="H66" s="2396"/>
      <c r="I66" s="2401"/>
      <c r="J66" s="2396"/>
      <c r="K66" s="2396">
        <f ca="1">HLOOKUP($C66,'Sum local charge July.19'!$A$2:$P$68,7,0)*IF($E$58&gt;0,1,0)</f>
        <v>1200500</v>
      </c>
      <c r="L66" s="379"/>
      <c r="U66" s="326"/>
      <c r="V66" s="326"/>
      <c r="Y66" s="326"/>
    </row>
    <row r="67" spans="1:25" ht="16.5" customHeight="1" outlineLevel="1" collapsed="1">
      <c r="A67" s="136">
        <v>6</v>
      </c>
      <c r="B67" s="2399" t="s">
        <v>2300</v>
      </c>
      <c r="C67" s="869" t="str">
        <f t="shared" si="6"/>
        <v>JANSY</v>
      </c>
      <c r="D67" s="2402"/>
      <c r="E67" s="2982">
        <f ca="1">(($C$52*$X$40)+($D$52*$X$41)+($E$52*$X$42)+($F$52*$X$43)+($G$52*$X$44)+($H$52*$X$45)+($I$52*$X$46)+($J$52*$X$47)+($K$52*$X$48)+($L$52*$X$49)+($M$52*$X$50)+($N$52*$X$51)+($O$52*$X$52)+($P$52*$X$53)+($Q$52*$X$54)+($R$52*$X$55))*HLOOKUP($C67,'Sum local charge July.19'!A2:P68,8,0)+IF(E58&gt;0,(ROUNDUP(($C$51*$X$40),0)+ROUNDUP(($D$51*$X$41),0)+ROUNDUP(($E$51*$X$42),0)+ROUNDUP(($F$51*$X$43),0)+ROUNDUP(($G$51*$X$44),0)+ROUNDUP(($H$51*$X$45),0)+ROUNDUP(($I$51*$X$46),0)+ROUNDUP(($J$51*$X$47),0)+ROUNDUP(($K$51*$X$48),0)+ROUNDUP(($L$51*$X$49),0)+ROUNDUP(($M$51*$X$50),0)+ROUNDUP(($N$51*$X$51),0)+ROUNDUP(($O$51*$X$52),0)+ROUNDUP(($P$51*$X$53),0)+ROUNDUP(($Q$51*$X$54),0)+ROUNDUP(($R$51*$X$55),0))*50000,0)</f>
        <v>3321362.5</v>
      </c>
      <c r="F67" s="2396"/>
      <c r="G67" s="2396">
        <f>HLOOKUP($C67,'Sum local charge July.19'!$A$2:$P$68,30,0)</f>
        <v>7731220</v>
      </c>
      <c r="H67" s="2396"/>
      <c r="I67" s="2396">
        <f>HLOOKUP($C67,'Sum local charge July.19'!$A$2:$P$68,53,0)</f>
        <v>9411920</v>
      </c>
      <c r="J67" s="2396"/>
      <c r="K67" s="2396"/>
      <c r="L67" s="380"/>
      <c r="N67" s="2983"/>
      <c r="O67" s="383"/>
      <c r="U67" s="326"/>
      <c r="V67" s="326"/>
      <c r="Y67" s="326"/>
    </row>
    <row r="68" spans="1:25" ht="16.5" customHeight="1" outlineLevel="1">
      <c r="A68" s="136">
        <v>7</v>
      </c>
      <c r="B68" s="2399" t="s">
        <v>2301</v>
      </c>
      <c r="C68" s="869" t="str">
        <f t="shared" si="6"/>
        <v>JANSY</v>
      </c>
      <c r="D68" s="2402"/>
      <c r="E68" s="2396"/>
      <c r="F68" s="2396"/>
      <c r="G68" s="2396"/>
      <c r="H68" s="2396"/>
      <c r="I68" s="2396"/>
      <c r="J68" s="2396"/>
      <c r="K68" s="2396">
        <f ca="1">HLOOKUP($C68,'Sum local charge July.19'!$A$2:$P$68,IF(G58+I58&gt;0,31,9),0)</f>
        <v>1200500</v>
      </c>
      <c r="L68" s="1213"/>
      <c r="U68" s="326"/>
      <c r="V68" s="326"/>
      <c r="Y68" s="326"/>
    </row>
    <row r="69" spans="1:25" ht="16.5" customHeight="1" outlineLevel="1">
      <c r="A69" s="136">
        <v>8</v>
      </c>
      <c r="B69" s="2399" t="s">
        <v>2302</v>
      </c>
      <c r="C69" s="869" t="str">
        <f t="shared" si="6"/>
        <v>JANSY</v>
      </c>
      <c r="D69" s="2402"/>
      <c r="E69" s="2396"/>
      <c r="F69" s="2396"/>
      <c r="G69" s="2396"/>
      <c r="H69" s="2396"/>
      <c r="I69" s="2396"/>
      <c r="J69" s="2396"/>
      <c r="K69" s="2396">
        <f>'Sum local charge July.19'!$O$11</f>
        <v>0</v>
      </c>
      <c r="L69" s="1213"/>
      <c r="U69" s="326"/>
      <c r="V69" s="326"/>
      <c r="Y69" s="326"/>
    </row>
    <row r="70" spans="1:25" ht="16.5" customHeight="1" outlineLevel="1">
      <c r="A70" s="136">
        <v>9</v>
      </c>
      <c r="B70" s="2399" t="s">
        <v>2303</v>
      </c>
      <c r="C70" s="869" t="str">
        <f t="shared" si="6"/>
        <v>JANSY</v>
      </c>
      <c r="D70" s="2402"/>
      <c r="E70" s="2396"/>
      <c r="F70" s="2396"/>
      <c r="G70" s="2396">
        <f>HLOOKUP($C70,'Sum local charge July.19'!$A$2:$P$68,33,0)</f>
        <v>0</v>
      </c>
      <c r="H70" s="2396"/>
      <c r="I70" s="2396">
        <f>HLOOKUP($C70,'Sum local charge July.19'!$A$2:$P$68,56,0)</f>
        <v>0</v>
      </c>
      <c r="J70" s="2396"/>
      <c r="K70" s="2396">
        <f ca="1">HLOOKUP($C70,'Sum local charge July.19'!$A$2:$P$68,11,0)*IF(E58&gt;0,1,0)</f>
        <v>0</v>
      </c>
      <c r="L70" s="1213"/>
      <c r="U70" s="326"/>
      <c r="V70" s="326"/>
      <c r="Y70" s="326"/>
    </row>
    <row r="71" spans="1:25" ht="16.5" customHeight="1" outlineLevel="1">
      <c r="A71" s="136">
        <v>10</v>
      </c>
      <c r="B71" s="2399" t="s">
        <v>2304</v>
      </c>
      <c r="C71" s="869" t="str">
        <f t="shared" si="6"/>
        <v>JANSY</v>
      </c>
      <c r="D71" s="2402"/>
      <c r="E71" s="2396">
        <f ca="1">(($C$52*$X$40)+($D$52*$X$41)+($E$52*$X$42)+($F$52*$X$43)+($G$52*$X$44)+($H$52*$X$45)+($I$52*$X$46)+($J$52*$X$47)+($K$52*$X$48)+($L$52*$X$49)+($M$52*$X$50)+($N$52*$X$51)+($O$52*$X$52)+($P$52*$X$53)+($Q$52*$X$54)+($R$52*$X$55))*HLOOKUP($C71,'Sum local charge July.19'!$A$2:$P$68,12,0)</f>
        <v>0</v>
      </c>
      <c r="F71" s="2396"/>
      <c r="G71" s="2396">
        <f>HLOOKUP($C71,'Sum local charge July.19'!$A$2:$P$68,34,0)</f>
        <v>0</v>
      </c>
      <c r="H71" s="2396"/>
      <c r="I71" s="2396">
        <f>HLOOKUP($C71,'Sum local charge July.19'!$A$2:$P$68,57,0)</f>
        <v>0</v>
      </c>
      <c r="J71" s="2396"/>
      <c r="K71" s="2396"/>
      <c r="L71" s="1213"/>
      <c r="N71" s="2983"/>
      <c r="U71" s="326"/>
      <c r="V71" s="326"/>
      <c r="Y71" s="326"/>
    </row>
    <row r="72" spans="1:25" ht="16.5" customHeight="1" outlineLevel="1">
      <c r="A72" s="136">
        <v>11</v>
      </c>
      <c r="B72" s="2399" t="s">
        <v>2305</v>
      </c>
      <c r="C72" s="869" t="str">
        <f t="shared" si="6"/>
        <v>JANSY</v>
      </c>
      <c r="D72" s="2402"/>
      <c r="E72" s="2396">
        <f ca="1">(($C$52*$X$40)+($D$52*$X$41)+($E$52*$X$42)+($F$52*$X$43)+($G$52*$X$44)+($H$52*$X$45)+($I$52*$X$46)+($J$52*$X$47)+($K$52*$X$48)+($L$52*$X$49)+($M$52*$X$50)+($N$52*$X$51)+($O$52*$X$52)+($P$52*$X$53)+($Q$52*$X$54)+($R$52*$X$55))*HLOOKUP($C72,'Sum local charge July.19'!$A$2:$P$68,13,0)</f>
        <v>0</v>
      </c>
      <c r="F72" s="2396"/>
      <c r="G72" s="2396">
        <f>HLOOKUP($C72,'Sum local charge July.19'!$A$2:$P$68,35,0)</f>
        <v>0</v>
      </c>
      <c r="H72" s="2396"/>
      <c r="I72" s="2396">
        <f>HLOOKUP($C72,'Sum local charge July.19'!$A$2:$P$68,58,0)</f>
        <v>0</v>
      </c>
      <c r="J72" s="2396"/>
      <c r="K72" s="2396"/>
      <c r="L72" s="1213"/>
      <c r="N72" s="2983"/>
      <c r="U72" s="326"/>
      <c r="V72" s="326"/>
      <c r="Y72" s="326"/>
    </row>
    <row r="73" spans="1:25" ht="16.5" customHeight="1" outlineLevel="1">
      <c r="A73" s="136">
        <v>12</v>
      </c>
      <c r="B73" s="2399" t="s">
        <v>2306</v>
      </c>
      <c r="C73" s="869" t="str">
        <f t="shared" si="6"/>
        <v>JANSY</v>
      </c>
      <c r="D73" s="2402"/>
      <c r="E73" s="2396">
        <f ca="1">(($C$52*$X$40)+($D$52*$X$41)+($E$52*$X$42)+($F$52*$X$43)+($G$52*$X$44)+($H$52*$X$45)+($I$52*$X$46)+($J$52*$X$47)+($K$52*$X$48)+($L$52*$X$49)+($M$52*$X$50)+($N$52*$X$51)+($O$52*$X$52)+($P$52*$X$53)+($Q$52*$X$54)+($R$52*$X$55))*HLOOKUP($C73,'Sum local charge July.19'!$A$2:$P$68,14,0)</f>
        <v>0</v>
      </c>
      <c r="F73" s="2396"/>
      <c r="G73" s="2396">
        <f>HLOOKUP($C73,'Sum local charge July.19'!$A$2:$P$68,36,0)</f>
        <v>0</v>
      </c>
      <c r="H73" s="2396"/>
      <c r="I73" s="2396">
        <f>HLOOKUP($C73,'Sum local charge July.19'!$A$2:$P$68,59,0)</f>
        <v>0</v>
      </c>
      <c r="J73" s="2396"/>
      <c r="K73" s="2396"/>
      <c r="L73" s="1213"/>
      <c r="N73" s="2983"/>
      <c r="U73" s="326"/>
      <c r="V73" s="326"/>
      <c r="Y73" s="326"/>
    </row>
    <row r="74" spans="1:25" ht="16.5" customHeight="1" outlineLevel="1">
      <c r="A74" s="136">
        <v>13</v>
      </c>
      <c r="B74" s="2399" t="s">
        <v>2307</v>
      </c>
      <c r="C74" s="869" t="str">
        <f t="shared" si="6"/>
        <v>JANSY</v>
      </c>
      <c r="D74" s="2402"/>
      <c r="E74" s="2396">
        <f ca="1">(($C$52*$X$40)+($D$52*$X$41)+($E$52*$X$42)+($F$52*$X$43)+($G$52*$X$44)+($H$52*$X$45)+($I$52*$X$46)+($J$52*$X$47)+($K$52*$X$48)+($L$52*$X$49)+($M$52*$X$50)+($N$52*$X$51)+($O$52*$X$52)+($P$52*$X$53)+($Q$52*$X$54)+($R$52*$X$55))*HLOOKUP($C74,'Sum local charge July.19'!$A$2:$P$68,15,0)</f>
        <v>0</v>
      </c>
      <c r="F74" s="2396"/>
      <c r="G74" s="2396">
        <f>HLOOKUP($C74,'Sum local charge July.19'!$A$2:$P$68,37,0)</f>
        <v>0</v>
      </c>
      <c r="H74" s="2396"/>
      <c r="I74" s="2396">
        <f>HLOOKUP($C74,'Sum local charge July.19'!$A$2:$P$68,60,0)</f>
        <v>0</v>
      </c>
      <c r="J74" s="2396"/>
      <c r="K74" s="2396"/>
      <c r="L74" s="1213"/>
      <c r="N74" s="2983"/>
      <c r="U74" s="326"/>
      <c r="V74" s="326"/>
      <c r="Y74" s="326"/>
    </row>
    <row r="75" spans="1:25" ht="16.5" customHeight="1" outlineLevel="1">
      <c r="A75" s="136">
        <v>14</v>
      </c>
      <c r="B75" s="2399" t="s">
        <v>2308</v>
      </c>
      <c r="C75" s="869" t="str">
        <f t="shared" si="6"/>
        <v>JANSY</v>
      </c>
      <c r="D75" s="2402"/>
      <c r="E75" s="2396">
        <f ca="1">(($C$52*$X$40)+($D$52*$X$41)+($E$52*$X$42)+($F$52*$X$43)+($G$52*$X$44)+($H$52*$X$45)+($I$52*$X$46)+($J$52*$X$47)+($K$52*$X$48)+($L$52*$X$49)+($M$52*$X$50)+($N$52*$X$51)+($O$52*$X$52)+($P$52*$X$53)+($Q$52*$X$54)+($R$52*$X$55))*HLOOKUP($C75,'Sum local charge July.19'!$A$2:$P$68,16,0)</f>
        <v>0</v>
      </c>
      <c r="F75" s="2396"/>
      <c r="G75" s="2396">
        <f>HLOOKUP($C75,'Sum local charge July.19'!$A$2:$P$68,38,0)</f>
        <v>0</v>
      </c>
      <c r="H75" s="2396"/>
      <c r="I75" s="2396">
        <f>HLOOKUP($C75,'Sum local charge July.19'!$A$2:$P$68,61,0)</f>
        <v>0</v>
      </c>
      <c r="J75" s="2396"/>
      <c r="K75" s="2396"/>
      <c r="L75" s="1213"/>
      <c r="N75" s="2983"/>
      <c r="U75" s="326"/>
      <c r="V75" s="326"/>
      <c r="Y75" s="326"/>
    </row>
    <row r="76" spans="1:25" ht="16.5" customHeight="1" outlineLevel="1" collapsed="1">
      <c r="A76" s="136">
        <v>15</v>
      </c>
      <c r="B76" s="2399" t="s">
        <v>2231</v>
      </c>
      <c r="C76" s="869" t="str">
        <f t="shared" si="6"/>
        <v>JANSY</v>
      </c>
      <c r="D76" s="2400">
        <f>IF(input!$D$1230="US",1,0)</f>
        <v>1</v>
      </c>
      <c r="E76" s="2396"/>
      <c r="F76" s="2396"/>
      <c r="G76" s="2396"/>
      <c r="H76" s="2396"/>
      <c r="I76" s="2396"/>
      <c r="J76" s="2396"/>
      <c r="K76" s="2396">
        <f>HLOOKUP($C76,'Sum local charge July.19'!$A$2:$P$68,17,0)*$D76</f>
        <v>960400</v>
      </c>
      <c r="L76" s="380"/>
      <c r="V76" s="326"/>
      <c r="Y76" s="326"/>
    </row>
    <row r="77" spans="1:25" ht="16.5" customHeight="1" outlineLevel="1" collapsed="1">
      <c r="A77" s="136">
        <v>16</v>
      </c>
      <c r="B77" s="2399" t="s">
        <v>2233</v>
      </c>
      <c r="C77" s="869" t="str">
        <f t="shared" si="6"/>
        <v>JANSY</v>
      </c>
      <c r="D77" s="2400">
        <f>IF(input!$D$1230="EU",1,0)</f>
        <v>0</v>
      </c>
      <c r="E77" s="2396"/>
      <c r="F77" s="2396"/>
      <c r="G77" s="2396"/>
      <c r="H77" s="2396"/>
      <c r="I77" s="2396"/>
      <c r="J77" s="2396"/>
      <c r="K77" s="2396">
        <f>HLOOKUP($C77,'Sum local charge July.19'!$A$2:$P$68,18,0)*$D77</f>
        <v>0</v>
      </c>
      <c r="L77" s="380"/>
      <c r="V77" s="326"/>
      <c r="Y77" s="326"/>
    </row>
    <row r="78" spans="1:25" ht="16.5" customHeight="1" outlineLevel="1" collapsed="1">
      <c r="A78" s="136">
        <v>17</v>
      </c>
      <c r="B78" s="2399" t="s">
        <v>2235</v>
      </c>
      <c r="C78" s="869" t="str">
        <f t="shared" si="6"/>
        <v>JANSY</v>
      </c>
      <c r="D78" s="2400">
        <f>IF(input!$D$1230="JAPAN",1,0)</f>
        <v>0</v>
      </c>
      <c r="E78" s="2396"/>
      <c r="F78" s="2396"/>
      <c r="G78" s="2396"/>
      <c r="H78" s="2396"/>
      <c r="I78" s="2396"/>
      <c r="J78" s="2396"/>
      <c r="K78" s="2396">
        <f>HLOOKUP($C78,'Sum local charge July.19'!$A$2:$P$68,19,0)*$D78</f>
        <v>0</v>
      </c>
      <c r="L78" s="380"/>
      <c r="V78" s="326"/>
      <c r="Y78" s="326"/>
    </row>
    <row r="79" spans="1:25" ht="16.5" customHeight="1" outlineLevel="1" collapsed="1">
      <c r="A79" s="136">
        <v>18</v>
      </c>
      <c r="B79" s="3193" t="s">
        <v>3321</v>
      </c>
      <c r="C79" s="3194" t="str">
        <f t="shared" si="6"/>
        <v>JANSY</v>
      </c>
      <c r="D79" s="3195"/>
      <c r="E79" s="3195"/>
      <c r="F79" s="3195"/>
      <c r="G79" s="3196">
        <f>IF(C16&gt;0,0,HLOOKUP(C79,'Sum local charge July.19'!$C$2:$P$43,42,0))</f>
        <v>1090000</v>
      </c>
      <c r="H79" s="3195"/>
      <c r="I79" s="3196">
        <f>IF(C16&gt;0,0,HLOOKUP(C79,'Sum local charge July.19'!$C$2:$P$66,65,0))</f>
        <v>1090000</v>
      </c>
      <c r="J79" s="3195"/>
      <c r="K79" s="3195"/>
      <c r="L79" s="3197"/>
      <c r="V79" s="326"/>
      <c r="Y79" s="326"/>
    </row>
    <row r="80" spans="1:25" ht="16.5" customHeight="1" outlineLevel="1" collapsed="1">
      <c r="A80" s="136">
        <v>19</v>
      </c>
      <c r="B80" s="2399" t="s">
        <v>2237</v>
      </c>
      <c r="C80" s="869" t="str">
        <f t="shared" si="6"/>
        <v>JANSY</v>
      </c>
      <c r="D80" s="2400">
        <f>IF(input!$D$1230="CHINA",1,0)</f>
        <v>0</v>
      </c>
      <c r="E80" s="2401"/>
      <c r="F80" s="2396"/>
      <c r="G80" s="2401"/>
      <c r="H80" s="2396"/>
      <c r="I80" s="2401"/>
      <c r="J80" s="2396"/>
      <c r="K80" s="2396">
        <f>HLOOKUP($C80,'Sum local charge July.19'!$A$2:$P$68,19,0)*$D80</f>
        <v>0</v>
      </c>
      <c r="L80" s="380"/>
      <c r="V80" s="189"/>
      <c r="Y80" s="326"/>
    </row>
    <row r="81" spans="1:18" ht="16.5" customHeight="1" outlineLevel="1">
      <c r="A81" s="136">
        <v>20</v>
      </c>
      <c r="B81" s="3243" t="s">
        <v>677</v>
      </c>
      <c r="C81" s="869" t="str">
        <f t="shared" si="6"/>
        <v>JANSY</v>
      </c>
      <c r="D81" s="2400">
        <v>0</v>
      </c>
      <c r="E81" s="2401"/>
      <c r="F81" s="2396"/>
      <c r="G81" s="2396">
        <f>IF(D81=1,3600000,HLOOKUP($C81,'Sum local charge July.19'!$A$2:$P$68,44,0))*IF($B$22="Cartons",0,1)</f>
        <v>0</v>
      </c>
      <c r="H81" s="2396"/>
      <c r="I81" s="2396">
        <f>IF(D81=1,3900000,HLOOKUP($C81,'Sum local charge July.19'!$A$2:$P$68,67,0))*IF($B$22="Cartons",0,1)</f>
        <v>0</v>
      </c>
      <c r="J81" s="2396"/>
      <c r="K81" s="2396"/>
      <c r="L81" s="380"/>
    </row>
    <row r="82" spans="1:18" ht="19.5" customHeight="1" thickBot="1">
      <c r="B82" s="871"/>
      <c r="C82" s="871"/>
      <c r="D82" s="871"/>
      <c r="E82" s="826">
        <f ca="1">SUM(E62:E81)</f>
        <v>5081362.5</v>
      </c>
      <c r="F82" s="872"/>
      <c r="G82" s="826">
        <f ca="1">SUM(G62:G81)*G58</f>
        <v>0</v>
      </c>
      <c r="H82" s="872"/>
      <c r="I82" s="826">
        <f ca="1">SUM(I62:I81)*I58</f>
        <v>0</v>
      </c>
      <c r="J82" s="872"/>
      <c r="K82" s="826">
        <f ca="1">SUM(K62:K81)*$K$58</f>
        <v>4031400</v>
      </c>
      <c r="L82" s="873"/>
      <c r="O82" s="877"/>
      <c r="P82" s="877"/>
      <c r="Q82" s="877"/>
      <c r="R82" s="877"/>
    </row>
    <row r="83" spans="1:18" ht="16.5" customHeight="1" thickTop="1" thickBot="1">
      <c r="B83" s="867" t="s">
        <v>60</v>
      </c>
      <c r="C83" s="874"/>
      <c r="D83" s="874"/>
      <c r="E83" s="875">
        <f ca="1">E82</f>
        <v>5081362.5</v>
      </c>
      <c r="F83" s="874"/>
      <c r="G83" s="875">
        <f ca="1">G82</f>
        <v>0</v>
      </c>
      <c r="H83" s="874"/>
      <c r="I83" s="875">
        <f ca="1">I82</f>
        <v>0</v>
      </c>
      <c r="J83" s="874"/>
      <c r="K83" s="4014">
        <f ca="1">(SUM(E83:I83)+IF(SUM(E58:I58)&gt;0,K82,0))*(1+8%)</f>
        <v>9841783.5</v>
      </c>
      <c r="L83" s="876">
        <f ca="1">IF($D$3&gt;0,K83/SUM($C$46:$R$46),0)</f>
        <v>1968.3567</v>
      </c>
      <c r="M83" s="877"/>
      <c r="N83" s="877"/>
    </row>
    <row r="84" spans="1:18" ht="16.5" customHeight="1" outlineLevel="1" thickTop="1">
      <c r="G84" s="878"/>
      <c r="I84" s="353"/>
    </row>
    <row r="85" spans="1:18" ht="16.5" customHeight="1" outlineLevel="1">
      <c r="B85" s="319" t="s">
        <v>0</v>
      </c>
      <c r="D85" s="333" t="str">
        <f>input!I2</f>
        <v>USD</v>
      </c>
      <c r="E85" s="333" t="str">
        <f>input!J2</f>
        <v>GBP</v>
      </c>
      <c r="F85" s="333" t="str">
        <f>input!K2</f>
        <v>EUR</v>
      </c>
      <c r="G85" s="333" t="str">
        <f>input!L2</f>
        <v>BAHT</v>
      </c>
      <c r="H85" s="194"/>
    </row>
    <row r="86" spans="1:18" ht="16.5" customHeight="1" outlineLevel="1">
      <c r="B86" s="319" t="s">
        <v>4</v>
      </c>
      <c r="C86" s="136" t="s">
        <v>64</v>
      </c>
      <c r="D86" s="879">
        <f>input!I4</f>
        <v>23670</v>
      </c>
      <c r="E86" s="879">
        <f>input!J4</f>
        <v>29756.98</v>
      </c>
      <c r="F86" s="879">
        <f>input!K4</f>
        <v>25594.1</v>
      </c>
      <c r="G86" s="879">
        <f>input!L4</f>
        <v>663.52</v>
      </c>
      <c r="H86" s="194"/>
    </row>
    <row r="87" spans="1:18" ht="16.5" customHeight="1" outlineLevel="1">
      <c r="B87" s="880" t="s">
        <v>62</v>
      </c>
      <c r="C87" s="136" t="s">
        <v>63</v>
      </c>
      <c r="D87" s="879">
        <f>input!I5</f>
        <v>24010</v>
      </c>
      <c r="E87" s="879">
        <f>input!J5</f>
        <v>30727.67</v>
      </c>
      <c r="F87" s="879">
        <f>input!K5</f>
        <v>26767.49</v>
      </c>
      <c r="G87" s="879">
        <f>input!L5</f>
        <v>689.29</v>
      </c>
      <c r="H87" s="194"/>
    </row>
    <row r="88" spans="1:18" ht="16.5" customHeight="1" outlineLevel="1"/>
    <row r="89" spans="1:18" ht="16.5" customHeight="1">
      <c r="B89" s="881" t="str">
        <f>'Sum local charge July.19'!C2</f>
        <v>CRAYOLA AUSTRALIA</v>
      </c>
      <c r="C89" s="881" t="str">
        <f>'Sum local charge July.19'!D2</f>
        <v>CRAYOLA AMAZON</v>
      </c>
      <c r="D89" s="881" t="str">
        <f>'Sum local charge July.19'!E2</f>
        <v>CRAYOLA NZL</v>
      </c>
      <c r="E89" s="881" t="str">
        <f>'Sum local charge July.19'!F2</f>
        <v>CRAYOLA US</v>
      </c>
      <c r="F89" s="881" t="str">
        <f>'Sum local charge July.19'!G2</f>
        <v>CRAYOLA WALLMART</v>
      </c>
      <c r="G89" s="881" t="str">
        <f>'Sum local charge July.19'!H2</f>
        <v>CRAYOLA TARGET</v>
      </c>
      <c r="H89" s="881" t="str">
        <f>'Sum local charge July.19'!I2</f>
        <v>CRAYOLA CANADA</v>
      </c>
      <c r="I89" s="881" t="str">
        <f>'Sum local charge July.19'!J2</f>
        <v>CRAYOLA ITALY</v>
      </c>
      <c r="J89" s="881" t="str">
        <f>'Sum local charge July.19'!K2</f>
        <v>CRAYOLA UK</v>
      </c>
      <c r="K89" s="881" t="str">
        <f>'Sum local charge July.19'!L2</f>
        <v>SALDANA</v>
      </c>
      <c r="L89" s="881" t="str">
        <f>'Sum local charge July.19'!M2</f>
        <v>CARSON</v>
      </c>
      <c r="M89" s="881" t="str">
        <f>'Sum local charge July.19'!N2</f>
        <v>JANSY</v>
      </c>
      <c r="N89" s="881" t="str">
        <f>'Sum local charge July.19'!O2</f>
        <v>OTHERS</v>
      </c>
      <c r="O89" s="881" t="str">
        <f>'Sum local charge July.19'!P2</f>
        <v>ECONOPACK</v>
      </c>
    </row>
    <row r="90" spans="1:18" ht="16.5" customHeight="1">
      <c r="B90" s="2405" t="s">
        <v>2244</v>
      </c>
    </row>
    <row r="91" spans="1:18" ht="16.5" customHeight="1">
      <c r="B91" s="2405" t="s">
        <v>2245</v>
      </c>
    </row>
    <row r="92" spans="1:18" ht="16.5" customHeight="1">
      <c r="B92" s="2405" t="s">
        <v>2246</v>
      </c>
    </row>
    <row r="93" spans="1:18" ht="16.5" customHeight="1">
      <c r="B93" s="2405" t="s">
        <v>2247</v>
      </c>
    </row>
    <row r="94" spans="1:18" ht="16.5" customHeight="1">
      <c r="B94" s="2405" t="s">
        <v>2248</v>
      </c>
    </row>
    <row r="95" spans="1:18" ht="16.5" customHeight="1">
      <c r="B95" s="2406" t="s">
        <v>2249</v>
      </c>
    </row>
    <row r="96" spans="1:18" ht="16.5" customHeight="1">
      <c r="B96" s="2407" t="s">
        <v>2250</v>
      </c>
    </row>
    <row r="97" spans="2:2" ht="16.5" customHeight="1">
      <c r="B97" s="2407" t="s">
        <v>2251</v>
      </c>
    </row>
    <row r="98" spans="2:2" ht="16.5" customHeight="1"/>
    <row r="99" spans="2:2" ht="16.5" customHeight="1"/>
    <row r="100" spans="2:2" ht="16.5" customHeight="1"/>
    <row r="101" spans="2:2" ht="16.5" customHeight="1"/>
    <row r="102" spans="2:2" ht="16.5" customHeight="1"/>
    <row r="103" spans="2:2" ht="16.5" customHeight="1"/>
    <row r="104" spans="2:2" ht="16.5" customHeight="1"/>
    <row r="105" spans="2:2" ht="16.5" customHeight="1"/>
    <row r="106" spans="2:2" ht="16.5" customHeight="1"/>
    <row r="107" spans="2:2" ht="16.5" customHeight="1"/>
    <row r="108" spans="2:2" ht="16.5" customHeight="1"/>
    <row r="109" spans="2:2" ht="16.5" customHeight="1"/>
    <row r="110" spans="2:2" ht="16.5" customHeight="1"/>
    <row r="111" spans="2:2" ht="16.5" customHeight="1"/>
    <row r="112" spans="2: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sheetData>
  <phoneticPr fontId="0" type="noConversion"/>
  <pageMargins left="0.39370078740157483" right="3.937007874015748E-2" top="0.19685039370078741" bottom="0.19685039370078741" header="0.51181102362204722" footer="0.51181102362204722"/>
  <pageSetup paperSize="9" scale="90" orientation="landscape" horizontalDpi="300" verticalDpi="300" r:id="rId1"/>
  <headerFooter alignWithMargins="0"/>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0"/>
  <dimension ref="A2:Q49"/>
  <sheetViews>
    <sheetView topLeftCell="C1" workbookViewId="0">
      <selection activeCell="F34" sqref="F34"/>
    </sheetView>
  </sheetViews>
  <sheetFormatPr defaultColWidth="9" defaultRowHeight="12.75" outlineLevelRow="1"/>
  <cols>
    <col min="1" max="1" width="22" style="137" customWidth="1"/>
    <col min="2" max="2" width="16.140625" style="137" customWidth="1"/>
    <col min="3" max="3" width="13" style="137" customWidth="1"/>
    <col min="4" max="4" width="16.140625" style="137" customWidth="1"/>
    <col min="5" max="5" width="11" style="137" customWidth="1"/>
    <col min="6" max="6" width="16.5703125" style="137" customWidth="1"/>
    <col min="7" max="7" width="12.28515625" style="137" customWidth="1"/>
    <col min="8" max="16384" width="9" style="137"/>
  </cols>
  <sheetData>
    <row r="2" spans="1:7" ht="20.25" hidden="1" customHeight="1" outlineLevel="1">
      <c r="A2" s="195" t="s">
        <v>791</v>
      </c>
    </row>
    <row r="3" spans="1:7" ht="20.45" hidden="1" customHeight="1" outlineLevel="1">
      <c r="C3" s="138" t="s">
        <v>570</v>
      </c>
      <c r="D3" s="138" t="s">
        <v>571</v>
      </c>
      <c r="E3" s="138" t="s">
        <v>572</v>
      </c>
      <c r="F3" s="138" t="s">
        <v>186</v>
      </c>
    </row>
    <row r="4" spans="1:7" ht="19.5" hidden="1" customHeight="1" outlineLevel="1">
      <c r="A4" s="4454" t="s">
        <v>573</v>
      </c>
      <c r="B4" s="4455"/>
      <c r="C4" s="139" t="s">
        <v>374</v>
      </c>
      <c r="D4" s="139">
        <v>3000</v>
      </c>
      <c r="E4" s="140">
        <v>17.5</v>
      </c>
      <c r="F4" s="140">
        <v>0.03</v>
      </c>
    </row>
    <row r="5" spans="1:7" ht="16.5" hidden="1" customHeight="1" outlineLevel="1">
      <c r="A5" s="4456" t="s">
        <v>574</v>
      </c>
      <c r="B5" s="140" t="s">
        <v>575</v>
      </c>
      <c r="C5" s="139" t="s">
        <v>576</v>
      </c>
      <c r="D5" s="139">
        <v>1000</v>
      </c>
      <c r="E5" s="140">
        <v>5.9</v>
      </c>
      <c r="F5" s="140">
        <v>1.4999999999999999E-2</v>
      </c>
    </row>
    <row r="6" spans="1:7" ht="16.5" hidden="1" customHeight="1" outlineLevel="1">
      <c r="A6" s="4457"/>
      <c r="B6" s="140" t="s">
        <v>577</v>
      </c>
      <c r="C6" s="139" t="s">
        <v>578</v>
      </c>
      <c r="D6" s="139">
        <v>2000</v>
      </c>
      <c r="E6" s="140">
        <v>11.5</v>
      </c>
      <c r="F6" s="140">
        <v>2.5999999999999999E-2</v>
      </c>
    </row>
    <row r="7" spans="1:7" ht="16.5" hidden="1" customHeight="1" outlineLevel="1">
      <c r="A7" s="4458"/>
      <c r="B7" s="140" t="s">
        <v>579</v>
      </c>
      <c r="C7" s="139" t="s">
        <v>578</v>
      </c>
      <c r="D7" s="139">
        <v>2000</v>
      </c>
      <c r="E7" s="141">
        <v>11.5</v>
      </c>
      <c r="F7" s="141">
        <v>2.5999999999999999E-2</v>
      </c>
    </row>
    <row r="8" spans="1:7" ht="20.25" hidden="1" customHeight="1" outlineLevel="1">
      <c r="A8" s="4456" t="s">
        <v>580</v>
      </c>
      <c r="B8" s="140" t="s">
        <v>581</v>
      </c>
      <c r="C8" s="139" t="s">
        <v>576</v>
      </c>
      <c r="D8" s="139">
        <v>1300</v>
      </c>
      <c r="E8" s="140">
        <v>11.5</v>
      </c>
      <c r="F8" s="140">
        <v>3.4000000000000002E-2</v>
      </c>
    </row>
    <row r="9" spans="1:7" ht="20.25" hidden="1" customHeight="1" outlineLevel="1">
      <c r="A9" s="4457"/>
      <c r="B9" s="140" t="s">
        <v>582</v>
      </c>
      <c r="C9" s="139" t="s">
        <v>578</v>
      </c>
      <c r="D9" s="139">
        <v>1300</v>
      </c>
      <c r="E9" s="140">
        <v>11.5</v>
      </c>
      <c r="F9" s="140">
        <v>3.4000000000000002E-2</v>
      </c>
    </row>
    <row r="10" spans="1:7" ht="20.25" hidden="1" customHeight="1" outlineLevel="1">
      <c r="A10" s="4454" t="s">
        <v>583</v>
      </c>
      <c r="B10" s="4455"/>
      <c r="C10" s="139" t="s">
        <v>584</v>
      </c>
      <c r="D10" s="139">
        <v>3456</v>
      </c>
      <c r="E10" s="140">
        <v>10</v>
      </c>
      <c r="F10" s="140">
        <v>2.5000000000000001E-2</v>
      </c>
    </row>
    <row r="11" spans="1:7" ht="20.25" hidden="1" customHeight="1" outlineLevel="1">
      <c r="A11" s="4452" t="s">
        <v>585</v>
      </c>
      <c r="B11" s="4453"/>
      <c r="C11" s="139" t="s">
        <v>584</v>
      </c>
      <c r="D11" s="139">
        <v>1728</v>
      </c>
      <c r="E11" s="140">
        <v>10.6</v>
      </c>
      <c r="F11" s="140">
        <v>2.1100000000000001E-2</v>
      </c>
    </row>
    <row r="12" spans="1:7" ht="20.25" hidden="1" customHeight="1" outlineLevel="1">
      <c r="A12" s="4452" t="s">
        <v>586</v>
      </c>
      <c r="B12" s="4453"/>
      <c r="C12" s="139" t="s">
        <v>578</v>
      </c>
      <c r="D12" s="139">
        <v>1000</v>
      </c>
      <c r="E12" s="140">
        <v>7.2</v>
      </c>
      <c r="F12" s="140">
        <v>1.9E-2</v>
      </c>
    </row>
    <row r="13" spans="1:7" ht="20.25" hidden="1" customHeight="1" outlineLevel="1">
      <c r="A13" s="4452" t="s">
        <v>587</v>
      </c>
      <c r="B13" s="4453"/>
      <c r="C13" s="139" t="s">
        <v>578</v>
      </c>
      <c r="D13" s="139">
        <v>1000</v>
      </c>
      <c r="E13" s="140">
        <v>7.2</v>
      </c>
      <c r="F13" s="140">
        <v>1.7999999999999999E-2</v>
      </c>
    </row>
    <row r="14" spans="1:7" ht="20.25" hidden="1" customHeight="1" outlineLevel="1">
      <c r="A14" s="4452" t="s">
        <v>588</v>
      </c>
      <c r="B14" s="4453"/>
      <c r="C14" s="139" t="s">
        <v>584</v>
      </c>
      <c r="D14" s="139">
        <v>2500</v>
      </c>
      <c r="E14" s="140">
        <v>6.5</v>
      </c>
      <c r="F14" s="140">
        <v>2.4E-2</v>
      </c>
    </row>
    <row r="15" spans="1:7" ht="20.25" hidden="1" customHeight="1" outlineLevel="1">
      <c r="A15" s="4454" t="s">
        <v>589</v>
      </c>
      <c r="B15" s="4455"/>
      <c r="C15" s="139" t="s">
        <v>578</v>
      </c>
      <c r="D15" s="139">
        <v>1300</v>
      </c>
      <c r="E15" s="140">
        <v>11.5</v>
      </c>
      <c r="F15" s="140">
        <v>3.4000000000000002E-2</v>
      </c>
      <c r="G15" s="137" t="s">
        <v>590</v>
      </c>
    </row>
    <row r="16" spans="1:7" collapsed="1">
      <c r="A16" s="137">
        <v>1</v>
      </c>
      <c r="B16" s="137">
        <v>2</v>
      </c>
      <c r="C16" s="137">
        <v>3</v>
      </c>
      <c r="D16" s="137">
        <v>4</v>
      </c>
      <c r="E16" s="137">
        <v>5</v>
      </c>
      <c r="F16" s="137">
        <v>6</v>
      </c>
      <c r="G16" s="137">
        <v>7</v>
      </c>
    </row>
    <row r="17" spans="1:17">
      <c r="A17" s="195" t="s">
        <v>743</v>
      </c>
    </row>
    <row r="18" spans="1:17" ht="28.5">
      <c r="A18" s="4448" t="s">
        <v>742</v>
      </c>
      <c r="B18" s="243" t="s">
        <v>764</v>
      </c>
      <c r="C18" s="243" t="s">
        <v>764</v>
      </c>
      <c r="D18" s="4449" t="s">
        <v>765</v>
      </c>
      <c r="E18" s="4448" t="s">
        <v>766</v>
      </c>
      <c r="F18" s="244" t="s">
        <v>767</v>
      </c>
      <c r="G18" s="4449" t="s">
        <v>744</v>
      </c>
      <c r="H18" s="137" t="s">
        <v>3750</v>
      </c>
      <c r="I18" s="137" t="s">
        <v>3750</v>
      </c>
      <c r="J18" s="137" t="s">
        <v>3750</v>
      </c>
      <c r="K18" s="137" t="s">
        <v>3750</v>
      </c>
      <c r="L18" s="137" t="s">
        <v>3750</v>
      </c>
      <c r="M18" s="137" t="s">
        <v>3750</v>
      </c>
      <c r="N18" s="137" t="s">
        <v>3750</v>
      </c>
      <c r="O18" s="137" t="s">
        <v>3750</v>
      </c>
      <c r="P18" s="137" t="s">
        <v>3750</v>
      </c>
      <c r="Q18" s="137" t="s">
        <v>3750</v>
      </c>
    </row>
    <row r="19" spans="1:17" ht="14.25">
      <c r="A19" s="4448"/>
      <c r="B19" s="243" t="s">
        <v>3749</v>
      </c>
      <c r="C19" s="243" t="s">
        <v>768</v>
      </c>
      <c r="D19" s="4450"/>
      <c r="E19" s="4448"/>
      <c r="F19" s="244" t="s">
        <v>769</v>
      </c>
      <c r="G19" s="4451"/>
      <c r="H19" s="137" t="str">
        <f>A37</f>
        <v>1.1T</v>
      </c>
      <c r="I19" s="137" t="str">
        <f t="shared" ref="I19:P19" si="0">B37</f>
        <v>1.8T</v>
      </c>
      <c r="J19" s="137" t="str">
        <f t="shared" si="0"/>
        <v>2.3T</v>
      </c>
      <c r="K19" s="137" t="str">
        <f t="shared" si="0"/>
        <v>3.5T</v>
      </c>
      <c r="L19" s="137" t="str">
        <f t="shared" si="0"/>
        <v>4.8T</v>
      </c>
      <c r="M19" s="137" t="s">
        <v>681</v>
      </c>
      <c r="N19" s="137" t="str">
        <f t="shared" si="0"/>
        <v>8T</v>
      </c>
      <c r="O19" s="137" t="str">
        <f t="shared" si="0"/>
        <v>10T</v>
      </c>
      <c r="P19" s="137" t="str">
        <f t="shared" si="0"/>
        <v>12T</v>
      </c>
      <c r="Q19" s="137" t="s">
        <v>683</v>
      </c>
    </row>
    <row r="20" spans="1:17" ht="18.75">
      <c r="A20" s="245" t="s">
        <v>770</v>
      </c>
      <c r="B20" s="247">
        <v>3000</v>
      </c>
      <c r="C20" s="241">
        <v>18</v>
      </c>
      <c r="D20" s="241">
        <v>40</v>
      </c>
      <c r="E20" s="241" t="s">
        <v>771</v>
      </c>
      <c r="F20" s="241" t="s">
        <v>772</v>
      </c>
      <c r="G20" s="249">
        <f>(40.5*35.5*21)/10^6</f>
        <v>3.0192750000000001E-2</v>
      </c>
      <c r="H20" s="137">
        <f>INT(A$38*A$39*A$40/10^6/$G20)</f>
        <v>227</v>
      </c>
      <c r="I20" s="137">
        <f t="shared" ref="I20:Q27" si="1">INT(B$38*B$39*B$40/10^6/$G20)</f>
        <v>384</v>
      </c>
      <c r="J20" s="137">
        <f t="shared" si="1"/>
        <v>321</v>
      </c>
      <c r="K20" s="137">
        <f t="shared" si="1"/>
        <v>467</v>
      </c>
      <c r="L20" s="137">
        <f t="shared" si="1"/>
        <v>763</v>
      </c>
      <c r="M20" s="137">
        <f t="shared" si="1"/>
        <v>891</v>
      </c>
      <c r="N20" s="137">
        <f t="shared" si="1"/>
        <v>1165</v>
      </c>
      <c r="O20" s="137">
        <f t="shared" si="1"/>
        <v>1234</v>
      </c>
      <c r="P20" s="137">
        <f t="shared" si="1"/>
        <v>1439</v>
      </c>
      <c r="Q20" s="137">
        <f t="shared" si="1"/>
        <v>1463</v>
      </c>
    </row>
    <row r="21" spans="1:17" ht="18.75">
      <c r="A21" s="245" t="s">
        <v>773</v>
      </c>
      <c r="B21" s="247">
        <v>3456</v>
      </c>
      <c r="C21" s="241">
        <v>10</v>
      </c>
      <c r="D21" s="241">
        <v>56</v>
      </c>
      <c r="E21" s="241" t="s">
        <v>771</v>
      </c>
      <c r="F21" s="241" t="s">
        <v>774</v>
      </c>
      <c r="G21" s="249">
        <f>(35.5*22.5*13.5)/10^6</f>
        <v>1.0783124999999999E-2</v>
      </c>
      <c r="H21" s="137">
        <f t="shared" ref="H21:H27" si="2">INT(A$38*A$39*A$40/10^6/$G21)</f>
        <v>636</v>
      </c>
      <c r="I21" s="137">
        <f t="shared" si="1"/>
        <v>1076</v>
      </c>
      <c r="J21" s="137">
        <f t="shared" si="1"/>
        <v>901</v>
      </c>
      <c r="K21" s="137">
        <f t="shared" si="1"/>
        <v>1308</v>
      </c>
      <c r="L21" s="137">
        <f t="shared" si="1"/>
        <v>2138</v>
      </c>
      <c r="M21" s="137">
        <f t="shared" si="1"/>
        <v>2495</v>
      </c>
      <c r="N21" s="137">
        <f t="shared" si="1"/>
        <v>3263</v>
      </c>
      <c r="O21" s="137">
        <f t="shared" si="1"/>
        <v>3455</v>
      </c>
      <c r="P21" s="137">
        <f t="shared" si="1"/>
        <v>4031</v>
      </c>
      <c r="Q21" s="137">
        <f t="shared" si="1"/>
        <v>4098</v>
      </c>
    </row>
    <row r="22" spans="1:17" s="248" customFormat="1" ht="18.75">
      <c r="A22" s="245" t="s">
        <v>775</v>
      </c>
      <c r="B22" s="247">
        <v>1000</v>
      </c>
      <c r="C22" s="241">
        <v>6</v>
      </c>
      <c r="D22" s="241">
        <v>80</v>
      </c>
      <c r="E22" s="241" t="s">
        <v>771</v>
      </c>
      <c r="F22" s="241" t="s">
        <v>776</v>
      </c>
      <c r="G22" s="249">
        <f>(29.5*25.5*23.5)/10^6</f>
        <v>1.7677874999999999E-2</v>
      </c>
      <c r="H22" s="137">
        <f t="shared" si="2"/>
        <v>388</v>
      </c>
      <c r="I22" s="137">
        <f t="shared" si="1"/>
        <v>656</v>
      </c>
      <c r="J22" s="137">
        <f t="shared" si="1"/>
        <v>549</v>
      </c>
      <c r="K22" s="137">
        <f t="shared" si="1"/>
        <v>798</v>
      </c>
      <c r="L22" s="137">
        <f t="shared" si="1"/>
        <v>1304</v>
      </c>
      <c r="M22" s="137">
        <f>INT(F$38*F$39*F$40/10^6/$G22)</f>
        <v>1522</v>
      </c>
      <c r="N22" s="137">
        <f t="shared" si="1"/>
        <v>1990</v>
      </c>
      <c r="O22" s="137">
        <f t="shared" si="1"/>
        <v>2107</v>
      </c>
      <c r="P22" s="137">
        <f t="shared" si="1"/>
        <v>2459</v>
      </c>
      <c r="Q22" s="137">
        <f t="shared" si="1"/>
        <v>2499</v>
      </c>
    </row>
    <row r="23" spans="1:17" ht="18.75" hidden="1" outlineLevel="1">
      <c r="A23" s="245" t="s">
        <v>777</v>
      </c>
      <c r="B23" s="247">
        <v>1000</v>
      </c>
      <c r="C23" s="241">
        <v>12.5</v>
      </c>
      <c r="D23" s="241">
        <v>20</v>
      </c>
      <c r="E23" s="241" t="s">
        <v>771</v>
      </c>
      <c r="F23" s="241" t="s">
        <v>778</v>
      </c>
      <c r="G23" s="241"/>
      <c r="H23" s="137" t="e">
        <f t="shared" si="2"/>
        <v>#DIV/0!</v>
      </c>
      <c r="I23" s="137" t="e">
        <f t="shared" si="1"/>
        <v>#DIV/0!</v>
      </c>
      <c r="J23" s="137" t="e">
        <f t="shared" si="1"/>
        <v>#DIV/0!</v>
      </c>
      <c r="K23" s="137" t="e">
        <f t="shared" si="1"/>
        <v>#DIV/0!</v>
      </c>
      <c r="L23" s="137" t="e">
        <f t="shared" si="1"/>
        <v>#DIV/0!</v>
      </c>
      <c r="M23" s="137" t="e">
        <f t="shared" si="1"/>
        <v>#DIV/0!</v>
      </c>
      <c r="N23" s="137" t="e">
        <f t="shared" si="1"/>
        <v>#DIV/0!</v>
      </c>
      <c r="O23" s="137" t="e">
        <f t="shared" si="1"/>
        <v>#DIV/0!</v>
      </c>
      <c r="P23" s="137" t="e">
        <f t="shared" si="1"/>
        <v>#DIV/0!</v>
      </c>
      <c r="Q23" s="137" t="e">
        <f t="shared" si="1"/>
        <v>#DIV/0!</v>
      </c>
    </row>
    <row r="24" spans="1:17" ht="18.75" hidden="1" outlineLevel="1">
      <c r="A24" s="245" t="s">
        <v>779</v>
      </c>
      <c r="B24" s="247">
        <v>1000</v>
      </c>
      <c r="C24" s="241">
        <v>7</v>
      </c>
      <c r="D24" s="241">
        <v>80</v>
      </c>
      <c r="E24" s="241" t="s">
        <v>771</v>
      </c>
      <c r="F24" s="241" t="s">
        <v>780</v>
      </c>
      <c r="G24" s="241"/>
      <c r="H24" s="137" t="e">
        <f t="shared" si="2"/>
        <v>#DIV/0!</v>
      </c>
      <c r="I24" s="137" t="e">
        <f t="shared" si="1"/>
        <v>#DIV/0!</v>
      </c>
      <c r="J24" s="137" t="e">
        <f t="shared" si="1"/>
        <v>#DIV/0!</v>
      </c>
      <c r="K24" s="137" t="e">
        <f t="shared" si="1"/>
        <v>#DIV/0!</v>
      </c>
      <c r="L24" s="137" t="e">
        <f t="shared" si="1"/>
        <v>#DIV/0!</v>
      </c>
      <c r="M24" s="137" t="e">
        <f t="shared" si="1"/>
        <v>#DIV/0!</v>
      </c>
      <c r="N24" s="137" t="e">
        <f t="shared" si="1"/>
        <v>#DIV/0!</v>
      </c>
      <c r="O24" s="137" t="e">
        <f t="shared" si="1"/>
        <v>#DIV/0!</v>
      </c>
      <c r="P24" s="137" t="e">
        <f t="shared" si="1"/>
        <v>#DIV/0!</v>
      </c>
      <c r="Q24" s="137" t="e">
        <f t="shared" si="1"/>
        <v>#DIV/0!</v>
      </c>
    </row>
    <row r="25" spans="1:17" s="248" customFormat="1" ht="18.75" collapsed="1">
      <c r="A25" s="245" t="s">
        <v>781</v>
      </c>
      <c r="B25" s="247">
        <v>1300</v>
      </c>
      <c r="C25" s="241">
        <v>11</v>
      </c>
      <c r="D25" s="241">
        <v>32</v>
      </c>
      <c r="E25" s="241" t="s">
        <v>771</v>
      </c>
      <c r="F25" s="241" t="s">
        <v>782</v>
      </c>
      <c r="G25" s="249">
        <f>(39*35.5*27)/10^6</f>
        <v>3.7381499999999998E-2</v>
      </c>
      <c r="H25" s="137">
        <f t="shared" si="2"/>
        <v>183</v>
      </c>
      <c r="I25" s="137">
        <f t="shared" si="1"/>
        <v>310</v>
      </c>
      <c r="J25" s="137">
        <f t="shared" si="1"/>
        <v>260</v>
      </c>
      <c r="K25" s="137">
        <f t="shared" si="1"/>
        <v>377</v>
      </c>
      <c r="L25" s="137">
        <f t="shared" si="1"/>
        <v>616</v>
      </c>
      <c r="M25" s="137">
        <f t="shared" si="1"/>
        <v>719</v>
      </c>
      <c r="N25" s="137">
        <f t="shared" si="1"/>
        <v>941</v>
      </c>
      <c r="O25" s="137">
        <f t="shared" si="1"/>
        <v>996</v>
      </c>
      <c r="P25" s="137">
        <f t="shared" si="1"/>
        <v>1162</v>
      </c>
      <c r="Q25" s="137">
        <f t="shared" si="1"/>
        <v>1182</v>
      </c>
    </row>
    <row r="26" spans="1:17" ht="18.75" hidden="1" outlineLevel="1">
      <c r="A26" s="245" t="s">
        <v>783</v>
      </c>
      <c r="B26" s="247">
        <v>1300</v>
      </c>
      <c r="C26" s="241">
        <v>11</v>
      </c>
      <c r="D26" s="241">
        <v>30</v>
      </c>
      <c r="E26" s="241" t="s">
        <v>771</v>
      </c>
      <c r="F26" s="241" t="s">
        <v>784</v>
      </c>
      <c r="G26" s="241"/>
      <c r="H26" s="137" t="e">
        <f t="shared" si="2"/>
        <v>#DIV/0!</v>
      </c>
      <c r="I26" s="137" t="e">
        <f t="shared" si="1"/>
        <v>#DIV/0!</v>
      </c>
      <c r="J26" s="137" t="e">
        <f t="shared" si="1"/>
        <v>#DIV/0!</v>
      </c>
      <c r="K26" s="137" t="e">
        <f t="shared" si="1"/>
        <v>#DIV/0!</v>
      </c>
      <c r="L26" s="137" t="e">
        <f t="shared" si="1"/>
        <v>#DIV/0!</v>
      </c>
      <c r="M26" s="137" t="e">
        <f t="shared" si="1"/>
        <v>#DIV/0!</v>
      </c>
      <c r="N26" s="137" t="e">
        <f t="shared" si="1"/>
        <v>#DIV/0!</v>
      </c>
      <c r="O26" s="137" t="e">
        <f t="shared" si="1"/>
        <v>#DIV/0!</v>
      </c>
      <c r="P26" s="137" t="e">
        <f t="shared" si="1"/>
        <v>#DIV/0!</v>
      </c>
      <c r="Q26" s="137" t="e">
        <f t="shared" si="1"/>
        <v>#DIV/0!</v>
      </c>
    </row>
    <row r="27" spans="1:17" ht="18.75" collapsed="1">
      <c r="A27" s="245" t="s">
        <v>785</v>
      </c>
      <c r="B27" s="247">
        <v>1300</v>
      </c>
      <c r="C27" s="241">
        <v>9</v>
      </c>
      <c r="D27" s="241">
        <v>32</v>
      </c>
      <c r="E27" s="241" t="s">
        <v>771</v>
      </c>
      <c r="F27" s="241" t="s">
        <v>786</v>
      </c>
      <c r="G27" s="249">
        <f>(37*34.5*24)/10^6</f>
        <v>3.0636E-2</v>
      </c>
      <c r="H27" s="137">
        <f t="shared" si="2"/>
        <v>224</v>
      </c>
      <c r="I27" s="137">
        <f t="shared" si="1"/>
        <v>378</v>
      </c>
      <c r="J27" s="137">
        <f t="shared" si="1"/>
        <v>317</v>
      </c>
      <c r="K27" s="137">
        <f t="shared" si="1"/>
        <v>460</v>
      </c>
      <c r="L27" s="137">
        <f t="shared" si="1"/>
        <v>752</v>
      </c>
      <c r="M27" s="137">
        <f t="shared" si="1"/>
        <v>878</v>
      </c>
      <c r="N27" s="137">
        <f t="shared" si="1"/>
        <v>1148</v>
      </c>
      <c r="O27" s="137">
        <f t="shared" si="1"/>
        <v>1216</v>
      </c>
      <c r="P27" s="137">
        <f t="shared" si="1"/>
        <v>1418</v>
      </c>
      <c r="Q27" s="137">
        <f t="shared" si="1"/>
        <v>1442</v>
      </c>
    </row>
    <row r="28" spans="1:17" ht="18.75" hidden="1" outlineLevel="1">
      <c r="A28" s="246" t="s">
        <v>787</v>
      </c>
      <c r="B28" s="247">
        <v>3456</v>
      </c>
      <c r="C28" s="242">
        <v>10</v>
      </c>
      <c r="D28" s="242">
        <v>56</v>
      </c>
      <c r="E28" s="241" t="s">
        <v>771</v>
      </c>
      <c r="F28" s="241" t="s">
        <v>774</v>
      </c>
    </row>
    <row r="29" spans="1:17" ht="18.75" hidden="1" outlineLevel="1">
      <c r="A29" s="246" t="s">
        <v>788</v>
      </c>
      <c r="B29" s="247">
        <v>3456</v>
      </c>
      <c r="C29" s="242">
        <v>10</v>
      </c>
      <c r="D29" s="242">
        <v>56</v>
      </c>
      <c r="E29" s="241" t="s">
        <v>771</v>
      </c>
      <c r="F29" s="241" t="s">
        <v>774</v>
      </c>
    </row>
    <row r="30" spans="1:17" ht="18.75" hidden="1" outlineLevel="1">
      <c r="A30" s="246" t="s">
        <v>789</v>
      </c>
      <c r="B30" s="247">
        <v>3456</v>
      </c>
      <c r="C30" s="242">
        <v>10</v>
      </c>
      <c r="D30" s="242">
        <v>56</v>
      </c>
      <c r="E30" s="241" t="s">
        <v>771</v>
      </c>
      <c r="F30" s="241" t="s">
        <v>774</v>
      </c>
    </row>
    <row r="31" spans="1:17" ht="18.75" hidden="1" outlineLevel="1">
      <c r="A31" s="246" t="s">
        <v>790</v>
      </c>
      <c r="B31" s="247">
        <v>3456</v>
      </c>
      <c r="C31" s="242">
        <v>10</v>
      </c>
      <c r="D31" s="242">
        <v>56</v>
      </c>
      <c r="E31" s="241" t="s">
        <v>771</v>
      </c>
      <c r="F31" s="241" t="s">
        <v>774</v>
      </c>
    </row>
    <row r="32" spans="1:17" collapsed="1">
      <c r="F32" s="137" t="s">
        <v>2243</v>
      </c>
      <c r="G32" s="137" t="s">
        <v>3753</v>
      </c>
      <c r="H32" s="137">
        <v>459000</v>
      </c>
      <c r="I32" s="137">
        <v>510000</v>
      </c>
      <c r="J32" s="137">
        <v>582000</v>
      </c>
      <c r="K32" s="137">
        <v>713000</v>
      </c>
      <c r="L32" s="137">
        <v>764000</v>
      </c>
      <c r="M32" s="137">
        <v>823000</v>
      </c>
      <c r="N32" s="137">
        <v>1019000</v>
      </c>
      <c r="Q32" s="137">
        <v>1273000</v>
      </c>
    </row>
    <row r="33" spans="1:17">
      <c r="F33" s="137" t="s">
        <v>3751</v>
      </c>
      <c r="G33" s="137" t="s">
        <v>3754</v>
      </c>
      <c r="H33" s="137">
        <v>540000</v>
      </c>
      <c r="I33" s="137">
        <v>615000</v>
      </c>
      <c r="J33" s="137">
        <v>720000</v>
      </c>
      <c r="K33" s="137">
        <v>950000</v>
      </c>
      <c r="L33" s="137">
        <v>1044000</v>
      </c>
      <c r="M33" s="137">
        <v>1120000</v>
      </c>
      <c r="N33" s="137">
        <v>1500000</v>
      </c>
      <c r="Q33" s="137">
        <v>1900000</v>
      </c>
    </row>
    <row r="36" spans="1:17">
      <c r="A36" s="3929" t="s">
        <v>3578</v>
      </c>
      <c r="B36" s="3929"/>
      <c r="C36" s="3929"/>
      <c r="D36" s="3929"/>
      <c r="E36" s="3929"/>
      <c r="F36" s="3929"/>
      <c r="G36" s="3929"/>
      <c r="H36" s="3929"/>
      <c r="I36" s="3929"/>
      <c r="J36" s="3929"/>
    </row>
    <row r="37" spans="1:17">
      <c r="A37" s="3929" t="str">
        <f>'Data transport'!P5</f>
        <v>1.1T</v>
      </c>
      <c r="B37" s="3929" t="str">
        <f>'Data transport'!Q5</f>
        <v>1.8T</v>
      </c>
      <c r="C37" s="3929" t="str">
        <f>'Data transport'!R5</f>
        <v>2.3T</v>
      </c>
      <c r="D37" s="3929" t="str">
        <f>'Data transport'!S5</f>
        <v>3.5T</v>
      </c>
      <c r="E37" s="3929" t="str">
        <f>'Data transport'!T5</f>
        <v>4.8T</v>
      </c>
      <c r="F37" s="3929" t="str">
        <f>'Data transport'!U5</f>
        <v>5.7T</v>
      </c>
      <c r="G37" s="3929" t="str">
        <f>'Data transport'!V5</f>
        <v>8T</v>
      </c>
      <c r="H37" s="3929" t="str">
        <f>'Data transport'!W5</f>
        <v>10T</v>
      </c>
      <c r="I37" s="3929" t="str">
        <f>'Data transport'!X5</f>
        <v>12T</v>
      </c>
      <c r="J37" s="3929" t="str">
        <f>'Data transport'!Y5</f>
        <v>14T</v>
      </c>
    </row>
    <row r="38" spans="1:17">
      <c r="A38" s="3929">
        <f>'Data transport'!P6</f>
        <v>160</v>
      </c>
      <c r="B38" s="3929">
        <f>'Data transport'!Q6</f>
        <v>180</v>
      </c>
      <c r="C38" s="3929">
        <f>'Data transport'!R6</f>
        <v>180</v>
      </c>
      <c r="D38" s="3929">
        <f>'Data transport'!S6</f>
        <v>180</v>
      </c>
      <c r="E38" s="3929">
        <f>'Data transport'!T6</f>
        <v>210</v>
      </c>
      <c r="F38" s="3929">
        <f>'Data transport'!U6</f>
        <v>230</v>
      </c>
      <c r="G38" s="3929">
        <f>'Data transport'!V6</f>
        <v>230</v>
      </c>
      <c r="H38" s="3929">
        <f>'Data transport'!W6</f>
        <v>230</v>
      </c>
      <c r="I38" s="3929">
        <f>'Data transport'!X6</f>
        <v>230</v>
      </c>
      <c r="J38" s="3929">
        <f>'Data transport'!Y6</f>
        <v>230</v>
      </c>
    </row>
    <row r="39" spans="1:17">
      <c r="A39" s="3929">
        <f>'Data transport'!P7</f>
        <v>330</v>
      </c>
      <c r="B39" s="3929">
        <f>'Data transport'!Q7</f>
        <v>430</v>
      </c>
      <c r="C39" s="3929">
        <f>'Data transport'!R7</f>
        <v>360</v>
      </c>
      <c r="D39" s="3929">
        <f>'Data transport'!S7</f>
        <v>490</v>
      </c>
      <c r="E39" s="3929">
        <f>'Data transport'!T7</f>
        <v>610</v>
      </c>
      <c r="F39" s="3929">
        <f>'Data transport'!U7</f>
        <v>650</v>
      </c>
      <c r="G39" s="3929">
        <f>'Data transport'!V7</f>
        <v>850</v>
      </c>
      <c r="H39" s="3929">
        <f>'Data transport'!W7</f>
        <v>900</v>
      </c>
      <c r="I39" s="3929">
        <f>'Data transport'!X7</f>
        <v>900</v>
      </c>
      <c r="J39" s="3929">
        <f>'Data transport'!Y7</f>
        <v>915</v>
      </c>
    </row>
    <row r="40" spans="1:17">
      <c r="A40" s="3929">
        <f>'Data transport'!P8</f>
        <v>130</v>
      </c>
      <c r="B40" s="3929">
        <f>'Data transport'!Q8</f>
        <v>150</v>
      </c>
      <c r="C40" s="3929">
        <f>'Data transport'!R8</f>
        <v>150</v>
      </c>
      <c r="D40" s="3929">
        <f>'Data transport'!S8</f>
        <v>160</v>
      </c>
      <c r="E40" s="3929">
        <f>'Data transport'!T8</f>
        <v>180</v>
      </c>
      <c r="F40" s="3929">
        <f>'Data transport'!U8</f>
        <v>180</v>
      </c>
      <c r="G40" s="3929">
        <f>'Data transport'!V8</f>
        <v>180</v>
      </c>
      <c r="H40" s="3929">
        <f>'Data transport'!W8</f>
        <v>180</v>
      </c>
      <c r="I40" s="3929">
        <f>'Data transport'!X8</f>
        <v>210</v>
      </c>
      <c r="J40" s="3929">
        <f>'Data transport'!Y8</f>
        <v>210</v>
      </c>
    </row>
    <row r="41" spans="1:17">
      <c r="A41" s="137" t="s">
        <v>2243</v>
      </c>
    </row>
    <row r="42" spans="1:17">
      <c r="A42" s="137">
        <v>459000</v>
      </c>
    </row>
    <row r="43" spans="1:17">
      <c r="A43" s="137">
        <v>510000</v>
      </c>
    </row>
    <row r="44" spans="1:17">
      <c r="A44" s="137">
        <v>582000</v>
      </c>
    </row>
    <row r="45" spans="1:17">
      <c r="A45" s="137">
        <v>713000</v>
      </c>
    </row>
    <row r="46" spans="1:17">
      <c r="A46" s="137">
        <v>764000</v>
      </c>
    </row>
    <row r="47" spans="1:17">
      <c r="A47" s="137">
        <v>823000</v>
      </c>
    </row>
    <row r="48" spans="1:17">
      <c r="A48" s="137">
        <v>1019000</v>
      </c>
    </row>
    <row r="49" spans="1:1">
      <c r="A49" s="137">
        <v>1273000</v>
      </c>
    </row>
  </sheetData>
  <mergeCells count="13">
    <mergeCell ref="A12:B12"/>
    <mergeCell ref="A4:B4"/>
    <mergeCell ref="A5:A7"/>
    <mergeCell ref="A8:A9"/>
    <mergeCell ref="A10:B10"/>
    <mergeCell ref="A11:B11"/>
    <mergeCell ref="A18:A19"/>
    <mergeCell ref="D18:D19"/>
    <mergeCell ref="E18:E19"/>
    <mergeCell ref="G18:G19"/>
    <mergeCell ref="A13:B13"/>
    <mergeCell ref="A14:B14"/>
    <mergeCell ref="A15:B15"/>
  </mergeCells>
  <pageMargins left="0.75" right="0.75" top="1" bottom="1" header="0.5" footer="0.5"/>
  <pageSetup orientation="portrait" r:id="rId1"/>
  <headerFooter alignWithMargins="0"/>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9"/>
  <dimension ref="A1:AA345"/>
  <sheetViews>
    <sheetView zoomScale="70" zoomScaleNormal="70" workbookViewId="0">
      <selection activeCell="K169" sqref="K169"/>
    </sheetView>
  </sheetViews>
  <sheetFormatPr defaultColWidth="8.7109375" defaultRowHeight="12.75" outlineLevelRow="2"/>
  <cols>
    <col min="1" max="1" width="15.140625" style="136" customWidth="1"/>
    <col min="2" max="2" width="11" style="136" customWidth="1"/>
    <col min="3" max="3" width="11.7109375" style="136" customWidth="1"/>
    <col min="4" max="4" width="13.42578125" style="136" customWidth="1"/>
    <col min="5" max="5" width="8" style="136" customWidth="1"/>
    <col min="6" max="6" width="10.42578125" style="136" customWidth="1"/>
    <col min="7" max="7" width="11" style="136" customWidth="1"/>
    <col min="8" max="8" width="11.85546875" style="136" customWidth="1"/>
    <col min="9" max="10" width="8" style="136" customWidth="1"/>
    <col min="11" max="11" width="10" style="136" customWidth="1"/>
    <col min="12" max="12" width="9" style="136" customWidth="1"/>
    <col min="13" max="13" width="13" style="136" bestFit="1" customWidth="1"/>
    <col min="14" max="19" width="9" style="136" customWidth="1"/>
    <col min="20" max="20" width="8" style="136" customWidth="1"/>
    <col min="21" max="21" width="16.42578125" style="136" customWidth="1"/>
    <col min="22" max="22" width="11" style="136" bestFit="1" customWidth="1"/>
    <col min="23" max="23" width="12.28515625" style="136" customWidth="1"/>
    <col min="24" max="24" width="12.85546875" style="136" customWidth="1"/>
    <col min="25" max="25" width="10.28515625" style="136" bestFit="1" customWidth="1"/>
    <col min="26" max="26" width="14" style="136" bestFit="1" customWidth="1"/>
    <col min="27" max="27" width="10.5703125" style="136" bestFit="1" customWidth="1"/>
    <col min="28" max="16384" width="8.7109375" style="136"/>
  </cols>
  <sheetData>
    <row r="1" spans="1:21" ht="19.5" customHeight="1">
      <c r="A1" s="340" t="s">
        <v>42</v>
      </c>
      <c r="B1" s="1310">
        <f>'Cost EST. GM target'!$L$5</f>
        <v>5000</v>
      </c>
      <c r="C1" s="338" t="s">
        <v>15</v>
      </c>
      <c r="D1" s="1310">
        <f>'Cost EST. GM target'!$N$5</f>
        <v>1</v>
      </c>
      <c r="E1" s="340" t="s">
        <v>433</v>
      </c>
      <c r="F1" s="1288">
        <f>B1*D1</f>
        <v>5000</v>
      </c>
      <c r="G1" s="338" t="s">
        <v>31</v>
      </c>
      <c r="H1" s="1288">
        <f>F1*(1+$B$2)*(1+$D$2)</f>
        <v>5150</v>
      </c>
      <c r="I1" s="1311" t="s">
        <v>111</v>
      </c>
    </row>
    <row r="2" spans="1:21" ht="19.5" customHeight="1">
      <c r="A2" s="340" t="s">
        <v>434</v>
      </c>
      <c r="B2" s="1312">
        <v>0.03</v>
      </c>
      <c r="C2" s="340" t="s">
        <v>1303</v>
      </c>
      <c r="D2" s="1312">
        <f>'Cost EST. GM target'!$N$6</f>
        <v>0</v>
      </c>
      <c r="E2" s="340"/>
      <c r="F2" s="340"/>
      <c r="G2" s="340"/>
      <c r="H2" s="340"/>
    </row>
    <row r="3" spans="1:21" hidden="1" outlineLevel="1">
      <c r="A3" s="1313" t="s">
        <v>479</v>
      </c>
      <c r="B3" s="319"/>
    </row>
    <row r="4" spans="1:21" hidden="1" outlineLevel="2">
      <c r="B4" s="320"/>
      <c r="C4" s="320"/>
      <c r="D4" s="320" t="s">
        <v>152</v>
      </c>
      <c r="E4" s="320" t="s">
        <v>435</v>
      </c>
      <c r="F4" s="320" t="s">
        <v>436</v>
      </c>
      <c r="G4" s="320"/>
      <c r="H4" s="320"/>
      <c r="I4" s="335"/>
    </row>
    <row r="5" spans="1:21" hidden="1" outlineLevel="2">
      <c r="B5" s="314"/>
      <c r="C5" s="314" t="s">
        <v>437</v>
      </c>
      <c r="D5" s="330"/>
      <c r="E5" s="330"/>
      <c r="F5" s="330"/>
      <c r="G5" s="320"/>
      <c r="H5" s="320"/>
      <c r="I5" s="320"/>
    </row>
    <row r="6" spans="1:21" hidden="1" outlineLevel="2">
      <c r="B6" s="314"/>
      <c r="C6" s="314" t="s">
        <v>437</v>
      </c>
      <c r="D6" s="330"/>
      <c r="E6" s="330"/>
      <c r="F6" s="330"/>
      <c r="G6" s="335"/>
      <c r="H6" s="335"/>
      <c r="I6" s="335"/>
    </row>
    <row r="7" spans="1:21" hidden="1" outlineLevel="2">
      <c r="B7" s="314"/>
      <c r="C7" s="314" t="s">
        <v>438</v>
      </c>
      <c r="D7" s="330"/>
      <c r="E7" s="330"/>
      <c r="F7" s="330"/>
      <c r="G7" s="335"/>
      <c r="H7" s="335"/>
      <c r="I7" s="335"/>
    </row>
    <row r="8" spans="1:21" hidden="1" outlineLevel="2">
      <c r="B8" s="314"/>
      <c r="C8" s="314" t="s">
        <v>438</v>
      </c>
      <c r="D8" s="330"/>
      <c r="E8" s="330"/>
      <c r="F8" s="330"/>
      <c r="G8" s="335"/>
      <c r="H8" s="335"/>
      <c r="I8" s="335"/>
    </row>
    <row r="9" spans="1:21" hidden="1" outlineLevel="2">
      <c r="B9" s="314"/>
      <c r="C9" s="320"/>
      <c r="D9" s="336"/>
      <c r="E9" s="1314" t="s">
        <v>439</v>
      </c>
      <c r="F9" s="320"/>
      <c r="G9" s="352"/>
      <c r="H9" s="352"/>
      <c r="I9" s="320"/>
    </row>
    <row r="10" spans="1:21" hidden="1" outlineLevel="2">
      <c r="B10" s="314"/>
      <c r="C10" s="320"/>
      <c r="D10" s="985"/>
      <c r="E10" s="320"/>
      <c r="F10" s="314"/>
      <c r="G10" s="320"/>
      <c r="H10" s="985"/>
      <c r="I10" s="320"/>
    </row>
    <row r="11" spans="1:21" hidden="1" outlineLevel="2">
      <c r="B11" s="337"/>
      <c r="C11" s="336"/>
      <c r="D11" s="336"/>
      <c r="E11" s="337" t="s">
        <v>440</v>
      </c>
      <c r="F11" s="336"/>
      <c r="G11" s="337" t="s">
        <v>441</v>
      </c>
      <c r="H11" s="336"/>
      <c r="I11" s="337" t="s">
        <v>442</v>
      </c>
      <c r="J11" s="337"/>
      <c r="K11" s="251"/>
      <c r="L11" s="340"/>
      <c r="M11" s="340"/>
      <c r="N11" s="340"/>
      <c r="O11" s="340"/>
      <c r="P11" s="340"/>
      <c r="Q11" s="340"/>
      <c r="R11" s="340"/>
      <c r="S11" s="340"/>
      <c r="T11" s="341"/>
      <c r="U11" s="320"/>
    </row>
    <row r="12" spans="1:21" hidden="1" outlineLevel="2">
      <c r="B12" s="339" t="s">
        <v>443</v>
      </c>
      <c r="C12" s="340"/>
      <c r="D12" s="338"/>
      <c r="E12" s="338" t="s">
        <v>15</v>
      </c>
      <c r="F12" s="338"/>
      <c r="G12" s="340" t="s">
        <v>10</v>
      </c>
      <c r="H12" s="340"/>
      <c r="I12" s="340"/>
      <c r="J12" s="340"/>
      <c r="K12" s="251"/>
      <c r="L12" s="340"/>
      <c r="M12" s="340"/>
      <c r="N12" s="340"/>
      <c r="O12" s="340"/>
      <c r="P12" s="340"/>
      <c r="Q12" s="340"/>
      <c r="R12" s="340"/>
      <c r="S12" s="340"/>
      <c r="T12" s="340"/>
      <c r="U12" s="320"/>
    </row>
    <row r="13" spans="1:21" hidden="1" outlineLevel="2">
      <c r="B13" s="339" t="s">
        <v>444</v>
      </c>
      <c r="C13" s="340"/>
      <c r="D13" s="338">
        <v>640</v>
      </c>
      <c r="E13" s="338" t="s">
        <v>15</v>
      </c>
      <c r="F13" s="338">
        <v>120000</v>
      </c>
      <c r="G13" s="340" t="s">
        <v>10</v>
      </c>
      <c r="H13" s="341"/>
      <c r="I13" s="340"/>
      <c r="J13" s="340"/>
      <c r="K13" s="251"/>
      <c r="L13" s="340"/>
      <c r="M13" s="340"/>
      <c r="N13" s="340"/>
      <c r="O13" s="340"/>
      <c r="P13" s="340"/>
      <c r="Q13" s="340"/>
      <c r="R13" s="340"/>
      <c r="S13" s="340"/>
      <c r="T13" s="340"/>
      <c r="U13" s="320"/>
    </row>
    <row r="14" spans="1:21" hidden="1" outlineLevel="2">
      <c r="B14" s="339" t="s">
        <v>445</v>
      </c>
      <c r="C14" s="339"/>
      <c r="D14" s="340"/>
      <c r="E14" s="338"/>
      <c r="F14" s="340" t="s">
        <v>446</v>
      </c>
      <c r="G14" s="1282"/>
      <c r="H14" s="340"/>
      <c r="I14" s="1282"/>
      <c r="J14" s="340"/>
      <c r="K14" s="251"/>
      <c r="L14" s="251"/>
      <c r="M14" s="251"/>
      <c r="N14" s="251"/>
      <c r="O14" s="251"/>
      <c r="P14" s="251"/>
      <c r="Q14" s="251"/>
      <c r="R14" s="251"/>
      <c r="S14" s="251"/>
      <c r="T14" s="251"/>
      <c r="U14" s="320"/>
    </row>
    <row r="15" spans="1:21" hidden="1" outlineLevel="2">
      <c r="B15" s="339"/>
      <c r="C15" s="340"/>
      <c r="D15" s="338"/>
      <c r="E15" s="340"/>
      <c r="F15" s="340"/>
      <c r="G15" s="340"/>
      <c r="H15" s="340"/>
      <c r="I15" s="340"/>
      <c r="J15" s="340"/>
      <c r="K15" s="251"/>
      <c r="L15" s="251"/>
      <c r="M15" s="251"/>
      <c r="N15" s="251"/>
      <c r="O15" s="251"/>
      <c r="P15" s="251"/>
      <c r="Q15" s="251"/>
      <c r="R15" s="251"/>
      <c r="S15" s="251"/>
      <c r="T15" s="251"/>
      <c r="U15" s="320"/>
    </row>
    <row r="16" spans="1:21" ht="51" hidden="1" outlineLevel="2">
      <c r="B16" s="1283" t="s">
        <v>214</v>
      </c>
      <c r="C16" s="4469" t="s">
        <v>447</v>
      </c>
      <c r="D16" s="4470"/>
      <c r="E16" s="1284" t="s">
        <v>448</v>
      </c>
      <c r="F16" s="1283" t="s">
        <v>449</v>
      </c>
      <c r="G16" s="1283" t="s">
        <v>450</v>
      </c>
      <c r="H16" s="1283" t="s">
        <v>451</v>
      </c>
      <c r="I16" s="1283" t="s">
        <v>452</v>
      </c>
      <c r="J16" s="1283" t="s">
        <v>453</v>
      </c>
      <c r="K16" s="251"/>
      <c r="L16" s="251"/>
      <c r="M16" s="251"/>
      <c r="N16" s="251"/>
      <c r="O16" s="251"/>
      <c r="P16" s="251"/>
      <c r="Q16" s="251"/>
      <c r="R16" s="251"/>
      <c r="S16" s="251"/>
      <c r="T16" s="251"/>
      <c r="U16" s="320"/>
    </row>
    <row r="17" spans="1:21" hidden="1" outlineLevel="2">
      <c r="B17" s="342">
        <f>D9</f>
        <v>0</v>
      </c>
      <c r="C17" s="342">
        <f>D12+5*2+5</f>
        <v>15</v>
      </c>
      <c r="D17" s="342">
        <f>F12+5*2</f>
        <v>10</v>
      </c>
      <c r="E17" s="342">
        <f>INT(D13/C17)</f>
        <v>42</v>
      </c>
      <c r="F17" s="342">
        <f>INT(F13/D17)</f>
        <v>12000</v>
      </c>
      <c r="G17" s="342">
        <f>(ROUNDUP(B17/F17,0)*D11+D11)*F11*H11</f>
        <v>0</v>
      </c>
      <c r="H17" s="1285">
        <f>ROUNDUP(G17/E17,0)</f>
        <v>0</v>
      </c>
      <c r="I17" s="343">
        <f>H17*E14</f>
        <v>0</v>
      </c>
      <c r="J17" s="1315">
        <f>I17/$F$1</f>
        <v>0</v>
      </c>
      <c r="K17" s="251"/>
      <c r="L17" s="251"/>
      <c r="M17" s="251"/>
      <c r="N17" s="251"/>
      <c r="O17" s="251"/>
      <c r="P17" s="251"/>
      <c r="Q17" s="251"/>
      <c r="R17" s="251"/>
      <c r="S17" s="251"/>
      <c r="T17" s="251"/>
      <c r="U17" s="320"/>
    </row>
    <row r="18" spans="1:21" hidden="1" outlineLevel="2">
      <c r="B18" s="251"/>
      <c r="C18" s="251"/>
      <c r="D18" s="251"/>
      <c r="E18" s="251"/>
      <c r="F18" s="251"/>
      <c r="G18" s="251"/>
      <c r="H18" s="251"/>
      <c r="I18" s="251"/>
      <c r="J18" s="251"/>
      <c r="K18" s="251"/>
      <c r="L18" s="251"/>
      <c r="M18" s="251"/>
      <c r="N18" s="251"/>
      <c r="O18" s="251"/>
      <c r="P18" s="251"/>
      <c r="Q18" s="251"/>
      <c r="R18" s="251"/>
      <c r="S18" s="251"/>
      <c r="T18" s="251"/>
      <c r="U18" s="320"/>
    </row>
    <row r="19" spans="1:21" hidden="1" outlineLevel="2">
      <c r="B19" s="1286" t="s">
        <v>454</v>
      </c>
      <c r="C19" s="1254">
        <v>1450</v>
      </c>
      <c r="D19" s="1287" t="s">
        <v>99</v>
      </c>
      <c r="E19" s="1288"/>
      <c r="F19" s="1287" t="s">
        <v>25</v>
      </c>
      <c r="G19" s="1289">
        <f>+IF(C20*D20&lt;8,45000,IF(C20*D20&lt;13,55000,IF(C20*D20&lt;21,65000,IF(C20*D20&lt;31,75000,IF(C20*D20&lt;51,85000,C20*D20*C19)))))*E19</f>
        <v>0</v>
      </c>
      <c r="H19" s="1290"/>
      <c r="I19" s="251"/>
      <c r="J19" s="251"/>
      <c r="K19" s="251"/>
      <c r="L19" s="251"/>
      <c r="M19" s="251"/>
      <c r="N19" s="251"/>
      <c r="O19" s="251"/>
      <c r="P19" s="251"/>
      <c r="Q19" s="251"/>
      <c r="R19" s="251"/>
      <c r="S19" s="251"/>
      <c r="T19" s="251"/>
    </row>
    <row r="20" spans="1:21" hidden="1" outlineLevel="2">
      <c r="B20" s="1287" t="s">
        <v>455</v>
      </c>
      <c r="C20" s="1287">
        <f>(D12+10*2)/10</f>
        <v>2</v>
      </c>
      <c r="D20" s="1287">
        <f>(F12+10*2)/10</f>
        <v>2</v>
      </c>
      <c r="E20" s="1287"/>
      <c r="F20" s="1291"/>
      <c r="G20" s="1316">
        <f>G19/$F$1</f>
        <v>0</v>
      </c>
      <c r="H20" s="1317" t="s">
        <v>97</v>
      </c>
      <c r="I20" s="251"/>
      <c r="J20" s="251"/>
      <c r="K20" s="251"/>
      <c r="L20" s="251"/>
      <c r="M20" s="251"/>
      <c r="N20" s="251"/>
      <c r="O20" s="251"/>
      <c r="P20" s="251"/>
      <c r="Q20" s="251"/>
      <c r="R20" s="251"/>
      <c r="S20" s="251"/>
      <c r="T20" s="251"/>
    </row>
    <row r="21" spans="1:21" hidden="1" outlineLevel="2">
      <c r="B21" s="251"/>
      <c r="C21" s="251"/>
      <c r="D21" s="251"/>
      <c r="E21" s="251"/>
      <c r="F21" s="251"/>
      <c r="G21" s="251"/>
      <c r="H21" s="251"/>
      <c r="I21" s="251"/>
      <c r="J21" s="251"/>
      <c r="K21" s="251"/>
      <c r="L21" s="251"/>
      <c r="M21" s="251"/>
      <c r="N21" s="251"/>
      <c r="O21" s="251"/>
      <c r="P21" s="251"/>
      <c r="Q21" s="251"/>
      <c r="R21" s="251"/>
      <c r="S21" s="251"/>
      <c r="T21" s="251"/>
    </row>
    <row r="22" spans="1:21" hidden="1" outlineLevel="2">
      <c r="B22" s="344" t="s">
        <v>310</v>
      </c>
      <c r="C22" s="1254">
        <v>33</v>
      </c>
      <c r="D22" s="344" t="s">
        <v>99</v>
      </c>
      <c r="E22" s="982"/>
      <c r="F22" s="344" t="s">
        <v>12</v>
      </c>
      <c r="G22" s="1292">
        <f>(E22*C22*C23*D23+IF(E22&gt;0,300000,0))</f>
        <v>0</v>
      </c>
      <c r="H22" s="1316">
        <f>G22/$F$1</f>
        <v>0</v>
      </c>
      <c r="I22" s="1317" t="s">
        <v>97</v>
      </c>
      <c r="J22" s="251"/>
      <c r="K22" s="251"/>
      <c r="L22" s="251"/>
      <c r="M22" s="251"/>
      <c r="N22" s="251"/>
      <c r="O22" s="251"/>
      <c r="P22" s="251"/>
      <c r="Q22" s="251"/>
      <c r="R22" s="251"/>
      <c r="S22" s="251"/>
      <c r="T22" s="251"/>
    </row>
    <row r="23" spans="1:21" hidden="1" outlineLevel="2">
      <c r="B23" s="327"/>
      <c r="C23" s="344"/>
      <c r="D23" s="1293"/>
      <c r="E23" s="1294"/>
      <c r="F23" s="1295"/>
      <c r="G23" s="1296"/>
      <c r="H23" s="1297"/>
      <c r="I23" s="1298"/>
      <c r="J23" s="251"/>
      <c r="K23" s="251"/>
      <c r="L23" s="251"/>
      <c r="M23" s="251"/>
      <c r="N23" s="251"/>
      <c r="O23" s="251"/>
      <c r="P23" s="251"/>
      <c r="Q23" s="251"/>
      <c r="R23" s="251"/>
      <c r="S23" s="251"/>
      <c r="T23" s="251"/>
    </row>
    <row r="24" spans="1:21" hidden="1" outlineLevel="2">
      <c r="B24" s="251"/>
      <c r="C24" s="251"/>
      <c r="D24" s="251"/>
      <c r="E24" s="251"/>
      <c r="F24" s="251"/>
      <c r="G24" s="251"/>
      <c r="H24" s="251"/>
      <c r="I24" s="251"/>
      <c r="J24" s="251"/>
      <c r="K24" s="251"/>
      <c r="L24" s="251"/>
      <c r="M24" s="251"/>
      <c r="N24" s="251"/>
      <c r="O24" s="251"/>
      <c r="P24" s="251"/>
      <c r="Q24" s="251"/>
      <c r="R24" s="251"/>
      <c r="S24" s="251"/>
      <c r="T24" s="251"/>
    </row>
    <row r="25" spans="1:21" hidden="1" outlineLevel="2">
      <c r="B25" s="339" t="s">
        <v>456</v>
      </c>
      <c r="C25" s="340"/>
      <c r="D25" s="340"/>
      <c r="E25" s="340"/>
      <c r="F25" s="340"/>
      <c r="G25" s="340"/>
      <c r="H25" s="340"/>
      <c r="I25" s="1318">
        <v>0.9</v>
      </c>
      <c r="J25" s="1319" t="s">
        <v>165</v>
      </c>
      <c r="K25" s="340"/>
      <c r="L25" s="340"/>
      <c r="M25" s="340"/>
      <c r="N25" s="340"/>
      <c r="O25" s="340"/>
      <c r="P25" s="340"/>
      <c r="Q25" s="340"/>
      <c r="R25" s="340"/>
      <c r="S25" s="340"/>
      <c r="T25" s="340"/>
    </row>
    <row r="26" spans="1:21" hidden="1" outlineLevel="2">
      <c r="B26" s="4459" t="s">
        <v>457</v>
      </c>
      <c r="C26" s="4461" t="s">
        <v>166</v>
      </c>
      <c r="D26" s="4463" t="s">
        <v>165</v>
      </c>
      <c r="E26" s="4464"/>
      <c r="F26" s="1320" t="s">
        <v>167</v>
      </c>
      <c r="G26" s="1320"/>
      <c r="H26" s="4459" t="s">
        <v>20</v>
      </c>
      <c r="I26" s="4461" t="s">
        <v>170</v>
      </c>
      <c r="J26" s="4474" t="s">
        <v>94</v>
      </c>
      <c r="K26" s="4474"/>
      <c r="L26" s="4473" t="s">
        <v>85</v>
      </c>
      <c r="M26" s="3958"/>
      <c r="N26" s="3958"/>
      <c r="O26" s="3958"/>
      <c r="P26" s="3958"/>
      <c r="Q26" s="3958"/>
      <c r="R26" s="3958"/>
      <c r="S26" s="3958"/>
      <c r="T26" s="4471" t="s">
        <v>182</v>
      </c>
    </row>
    <row r="27" spans="1:21" hidden="1" outlineLevel="2">
      <c r="B27" s="4460"/>
      <c r="C27" s="4462"/>
      <c r="D27" s="345" t="s">
        <v>180</v>
      </c>
      <c r="E27" s="345" t="s">
        <v>181</v>
      </c>
      <c r="F27" s="345" t="s">
        <v>168</v>
      </c>
      <c r="G27" s="345" t="s">
        <v>169</v>
      </c>
      <c r="H27" s="4460"/>
      <c r="I27" s="4462"/>
      <c r="J27" s="345" t="s">
        <v>168</v>
      </c>
      <c r="K27" s="345" t="s">
        <v>169</v>
      </c>
      <c r="L27" s="4473"/>
      <c r="M27" s="3959"/>
      <c r="N27" s="3959"/>
      <c r="O27" s="3959"/>
      <c r="P27" s="3959"/>
      <c r="Q27" s="3959"/>
      <c r="R27" s="3959"/>
      <c r="S27" s="3959"/>
      <c r="T27" s="4472"/>
    </row>
    <row r="28" spans="1:21" hidden="1" outlineLevel="2">
      <c r="B28" s="1299" t="s">
        <v>158</v>
      </c>
      <c r="C28" s="345">
        <f>D9*F11*H11</f>
        <v>0</v>
      </c>
      <c r="D28" s="345">
        <v>500</v>
      </c>
      <c r="E28" s="345" t="s">
        <v>5</v>
      </c>
      <c r="F28" s="345">
        <v>0</v>
      </c>
      <c r="G28" s="345">
        <v>2</v>
      </c>
      <c r="H28" s="345">
        <f>IF(C28&gt;0,90/60,0)*F11*H11</f>
        <v>0</v>
      </c>
      <c r="I28" s="1300">
        <f>IF(C28&gt;0,ROUNDUP(((C28/D28)/I25+H28),1),0)</f>
        <v>0</v>
      </c>
      <c r="J28" s="345"/>
      <c r="K28" s="345">
        <v>45985</v>
      </c>
      <c r="L28" s="345">
        <f>(I28*J28*F28+I28*K28*G28)*(1+'Production cost'!$R$702)</f>
        <v>0</v>
      </c>
      <c r="M28" s="3960"/>
      <c r="N28" s="3960"/>
      <c r="O28" s="3960"/>
      <c r="P28" s="3960"/>
      <c r="Q28" s="3960"/>
      <c r="R28" s="3960"/>
      <c r="S28" s="3960"/>
      <c r="T28" s="1316">
        <f>(L28/$F$1)</f>
        <v>0</v>
      </c>
    </row>
    <row r="29" spans="1:21" hidden="1" outlineLevel="1">
      <c r="A29" s="136" t="s">
        <v>135</v>
      </c>
      <c r="B29" s="1321" t="s">
        <v>458</v>
      </c>
      <c r="C29" s="1321"/>
      <c r="D29" s="1322">
        <f>J17</f>
        <v>0</v>
      </c>
      <c r="E29" s="1321" t="s">
        <v>97</v>
      </c>
      <c r="F29" s="251"/>
      <c r="G29" s="251"/>
      <c r="H29" s="251"/>
      <c r="I29" s="251"/>
      <c r="J29" s="251"/>
      <c r="K29" s="251"/>
      <c r="L29" s="251"/>
      <c r="M29" s="251"/>
      <c r="N29" s="251"/>
      <c r="O29" s="251"/>
      <c r="P29" s="251"/>
      <c r="Q29" s="251"/>
      <c r="R29" s="251"/>
      <c r="S29" s="251"/>
      <c r="T29" s="251"/>
    </row>
    <row r="30" spans="1:21" hidden="1" outlineLevel="1">
      <c r="B30" s="1321" t="s">
        <v>459</v>
      </c>
      <c r="C30" s="292"/>
      <c r="D30" s="1323">
        <v>0.05</v>
      </c>
      <c r="E30" s="292"/>
      <c r="F30" s="251"/>
      <c r="G30" s="251"/>
      <c r="H30" s="251"/>
      <c r="I30" s="251"/>
      <c r="J30" s="251"/>
      <c r="K30" s="251"/>
      <c r="L30" s="251"/>
      <c r="M30" s="251"/>
      <c r="N30" s="251"/>
      <c r="O30" s="251"/>
      <c r="P30" s="251"/>
      <c r="Q30" s="251"/>
      <c r="R30" s="251"/>
      <c r="S30" s="251"/>
      <c r="T30" s="251"/>
    </row>
    <row r="31" spans="1:21" hidden="1" outlineLevel="1">
      <c r="B31" s="1321" t="s">
        <v>460</v>
      </c>
      <c r="C31" s="1321"/>
      <c r="D31" s="1322">
        <f>T28</f>
        <v>0</v>
      </c>
      <c r="E31" s="1321" t="s">
        <v>97</v>
      </c>
      <c r="F31" s="251"/>
      <c r="G31" s="251"/>
      <c r="H31" s="251"/>
      <c r="I31" s="251"/>
      <c r="J31" s="251"/>
      <c r="K31" s="251"/>
      <c r="L31" s="251"/>
      <c r="M31" s="251"/>
      <c r="N31" s="251"/>
      <c r="O31" s="251"/>
      <c r="P31" s="251"/>
      <c r="Q31" s="251"/>
      <c r="R31" s="251"/>
      <c r="S31" s="251"/>
      <c r="T31" s="251"/>
    </row>
    <row r="32" spans="1:21" hidden="1" outlineLevel="1">
      <c r="B32" s="1321" t="s">
        <v>461</v>
      </c>
      <c r="C32" s="1321"/>
      <c r="D32" s="1322">
        <f>G20+H22</f>
        <v>0</v>
      </c>
      <c r="E32" s="1321" t="s">
        <v>97</v>
      </c>
      <c r="F32" s="251"/>
      <c r="G32" s="251"/>
      <c r="H32" s="251"/>
      <c r="I32" s="251"/>
      <c r="J32" s="251"/>
      <c r="K32" s="251"/>
      <c r="L32" s="251"/>
      <c r="M32" s="251"/>
      <c r="N32" s="251"/>
      <c r="O32" s="251"/>
      <c r="P32" s="251"/>
      <c r="Q32" s="251"/>
      <c r="R32" s="251"/>
      <c r="S32" s="251"/>
      <c r="T32" s="251"/>
    </row>
    <row r="33" spans="1:21" hidden="1" outlineLevel="1">
      <c r="B33" s="1321" t="s">
        <v>125</v>
      </c>
      <c r="C33" s="1324"/>
      <c r="D33" s="1325">
        <f>D29*(1+D30)+D31+D32</f>
        <v>0</v>
      </c>
      <c r="E33" s="1321" t="s">
        <v>97</v>
      </c>
      <c r="F33" s="251"/>
      <c r="G33" s="251"/>
      <c r="H33" s="251"/>
      <c r="I33" s="1301"/>
      <c r="J33" s="251"/>
      <c r="K33" s="251"/>
      <c r="L33" s="251"/>
      <c r="M33" s="251"/>
      <c r="N33" s="251"/>
      <c r="O33" s="251"/>
      <c r="P33" s="251"/>
      <c r="Q33" s="251"/>
      <c r="R33" s="251"/>
      <c r="S33" s="251"/>
      <c r="T33" s="251"/>
    </row>
    <row r="34" spans="1:21" ht="17.25" hidden="1" customHeight="1" outlineLevel="1">
      <c r="C34" s="346"/>
      <c r="D34" s="1223"/>
      <c r="E34" s="1326"/>
    </row>
    <row r="35" spans="1:21" hidden="1" outlineLevel="1">
      <c r="A35" s="1313" t="s">
        <v>635</v>
      </c>
      <c r="B35" s="319"/>
    </row>
    <row r="36" spans="1:21" hidden="1" outlineLevel="2">
      <c r="B36" s="320"/>
      <c r="C36" s="320"/>
      <c r="D36" s="320" t="s">
        <v>152</v>
      </c>
      <c r="E36" s="320" t="s">
        <v>435</v>
      </c>
      <c r="F36" s="320" t="s">
        <v>436</v>
      </c>
      <c r="G36" s="320"/>
      <c r="H36" s="320"/>
      <c r="I36" s="335"/>
    </row>
    <row r="37" spans="1:21" hidden="1" outlineLevel="2">
      <c r="B37" s="314"/>
      <c r="C37" s="314" t="s">
        <v>437</v>
      </c>
      <c r="D37" s="330"/>
      <c r="E37" s="330"/>
      <c r="F37" s="330"/>
      <c r="G37" s="320"/>
      <c r="H37" s="320"/>
      <c r="I37" s="320"/>
    </row>
    <row r="38" spans="1:21" hidden="1" outlineLevel="2">
      <c r="B38" s="314"/>
      <c r="C38" s="314" t="s">
        <v>437</v>
      </c>
      <c r="D38" s="330"/>
      <c r="E38" s="330"/>
      <c r="F38" s="330"/>
      <c r="G38" s="335"/>
      <c r="H38" s="335"/>
      <c r="I38" s="335"/>
    </row>
    <row r="39" spans="1:21" hidden="1" outlineLevel="2">
      <c r="B39" s="314"/>
      <c r="C39" s="314" t="s">
        <v>438</v>
      </c>
      <c r="D39" s="330"/>
      <c r="E39" s="330"/>
      <c r="F39" s="330"/>
      <c r="G39" s="335"/>
      <c r="H39" s="335"/>
      <c r="I39" s="335"/>
    </row>
    <row r="40" spans="1:21" hidden="1" outlineLevel="2">
      <c r="B40" s="314"/>
      <c r="C40" s="314" t="s">
        <v>438</v>
      </c>
      <c r="D40" s="330"/>
      <c r="E40" s="330"/>
      <c r="F40" s="330"/>
      <c r="G40" s="335"/>
      <c r="H40" s="335"/>
      <c r="I40" s="335"/>
    </row>
    <row r="41" spans="1:21" hidden="1" outlineLevel="2">
      <c r="B41" s="314"/>
      <c r="C41" s="320"/>
      <c r="D41" s="1327"/>
      <c r="E41" s="1314" t="s">
        <v>439</v>
      </c>
      <c r="F41" s="320"/>
      <c r="G41" s="352"/>
      <c r="H41" s="352"/>
      <c r="I41" s="320"/>
    </row>
    <row r="42" spans="1:21" hidden="1" outlineLevel="2">
      <c r="B42" s="314"/>
      <c r="C42" s="320"/>
      <c r="D42" s="985"/>
      <c r="E42" s="320"/>
      <c r="F42" s="314"/>
      <c r="G42" s="320"/>
      <c r="H42" s="985"/>
      <c r="I42" s="320"/>
    </row>
    <row r="43" spans="1:21" hidden="1" outlineLevel="2">
      <c r="B43" s="337"/>
      <c r="C43" s="336"/>
      <c r="D43" s="336"/>
      <c r="E43" s="337" t="s">
        <v>440</v>
      </c>
      <c r="F43" s="336"/>
      <c r="G43" s="337" t="s">
        <v>441</v>
      </c>
      <c r="H43" s="336"/>
      <c r="I43" s="337" t="s">
        <v>442</v>
      </c>
      <c r="J43" s="337"/>
      <c r="K43" s="251"/>
      <c r="L43" s="340"/>
      <c r="M43" s="340"/>
      <c r="N43" s="340"/>
      <c r="O43" s="340"/>
      <c r="P43" s="340"/>
      <c r="Q43" s="340"/>
      <c r="R43" s="340"/>
      <c r="S43" s="340"/>
      <c r="T43" s="341"/>
      <c r="U43" s="320"/>
    </row>
    <row r="44" spans="1:21" hidden="1" outlineLevel="2">
      <c r="B44" s="339" t="s">
        <v>636</v>
      </c>
      <c r="C44" s="340"/>
      <c r="D44" s="338"/>
      <c r="E44" s="338" t="s">
        <v>15</v>
      </c>
      <c r="F44" s="338"/>
      <c r="G44" s="340" t="s">
        <v>10</v>
      </c>
      <c r="H44" s="340"/>
      <c r="I44" s="340"/>
      <c r="J44" s="340"/>
      <c r="K44" s="251"/>
      <c r="L44" s="340"/>
      <c r="M44" s="340"/>
      <c r="N44" s="340"/>
      <c r="O44" s="340"/>
      <c r="P44" s="340"/>
      <c r="Q44" s="340"/>
      <c r="R44" s="340"/>
      <c r="S44" s="340"/>
      <c r="T44" s="340"/>
      <c r="U44" s="320"/>
    </row>
    <row r="45" spans="1:21" hidden="1" outlineLevel="2">
      <c r="B45" s="251"/>
      <c r="C45" s="251"/>
      <c r="D45" s="251"/>
      <c r="E45" s="251"/>
      <c r="F45" s="251"/>
      <c r="G45" s="251"/>
      <c r="H45" s="251"/>
      <c r="I45" s="251"/>
      <c r="J45" s="251"/>
      <c r="K45" s="251"/>
      <c r="L45" s="251"/>
      <c r="M45" s="251"/>
      <c r="N45" s="251"/>
      <c r="O45" s="251"/>
      <c r="P45" s="251"/>
      <c r="Q45" s="251"/>
      <c r="R45" s="251"/>
      <c r="S45" s="251"/>
      <c r="T45" s="251"/>
      <c r="U45" s="320"/>
    </row>
    <row r="46" spans="1:21" hidden="1" outlineLevel="2">
      <c r="B46" s="1286" t="s">
        <v>669</v>
      </c>
      <c r="C46" s="1254">
        <v>1450</v>
      </c>
      <c r="D46" s="1287" t="s">
        <v>99</v>
      </c>
      <c r="E46" s="1288"/>
      <c r="F46" s="1287" t="s">
        <v>25</v>
      </c>
      <c r="G46" s="1289">
        <f>+IF(C47*D47&lt;8,45000,IF(C47*D47&lt;13,55000,IF(C47*D47&lt;21,65000,IF(C47*D47&lt;31,75000,IF(C47*D47&lt;51,85000,C47*D47*C46)))))*E46</f>
        <v>0</v>
      </c>
      <c r="H46" s="1290"/>
      <c r="I46" s="251"/>
      <c r="J46" s="251"/>
      <c r="K46" s="251"/>
      <c r="L46" s="251"/>
      <c r="M46" s="251"/>
      <c r="N46" s="251"/>
      <c r="O46" s="251"/>
      <c r="P46" s="251"/>
      <c r="Q46" s="251"/>
      <c r="R46" s="251"/>
      <c r="S46" s="251"/>
      <c r="T46" s="251"/>
    </row>
    <row r="47" spans="1:21" hidden="1" outlineLevel="2">
      <c r="B47" s="1287" t="s">
        <v>670</v>
      </c>
      <c r="C47" s="1287">
        <f>(D44+10*2)/10</f>
        <v>2</v>
      </c>
      <c r="D47" s="1287">
        <f>(F44+10*2)/10</f>
        <v>2</v>
      </c>
      <c r="E47" s="1287"/>
      <c r="F47" s="1291"/>
      <c r="G47" s="1328">
        <f>G46/$F$1</f>
        <v>0</v>
      </c>
      <c r="H47" s="1317" t="s">
        <v>97</v>
      </c>
      <c r="I47" s="251"/>
      <c r="J47" s="251"/>
      <c r="K47" s="251"/>
      <c r="L47" s="251"/>
      <c r="M47" s="251"/>
      <c r="N47" s="251"/>
      <c r="O47" s="251"/>
      <c r="P47" s="251"/>
      <c r="Q47" s="251"/>
      <c r="R47" s="251"/>
      <c r="S47" s="251"/>
      <c r="T47" s="251"/>
    </row>
    <row r="48" spans="1:21" hidden="1" outlineLevel="2">
      <c r="B48" s="251"/>
      <c r="C48" s="251"/>
      <c r="D48" s="251"/>
      <c r="E48" s="251"/>
      <c r="F48" s="251"/>
      <c r="G48" s="251"/>
      <c r="H48" s="251"/>
      <c r="I48" s="251"/>
      <c r="J48" s="251"/>
      <c r="K48" s="251"/>
      <c r="L48" s="251"/>
      <c r="M48" s="251"/>
      <c r="N48" s="251"/>
      <c r="O48" s="251"/>
      <c r="P48" s="251"/>
      <c r="Q48" s="251"/>
      <c r="R48" s="251"/>
      <c r="S48" s="251"/>
      <c r="T48" s="251"/>
    </row>
    <row r="49" spans="1:20" hidden="1" outlineLevel="2">
      <c r="B49" s="344" t="s">
        <v>310</v>
      </c>
      <c r="C49" s="1254">
        <v>33</v>
      </c>
      <c r="D49" s="344" t="s">
        <v>99</v>
      </c>
      <c r="E49" s="982"/>
      <c r="F49" s="344" t="s">
        <v>12</v>
      </c>
      <c r="G49" s="1292">
        <f>(E49*C49*C50*D50+IF(E49&gt;0,300000,0))</f>
        <v>0</v>
      </c>
      <c r="H49" s="1316">
        <f>G49/$F$1</f>
        <v>0</v>
      </c>
      <c r="I49" s="1317" t="s">
        <v>97</v>
      </c>
      <c r="J49" s="251"/>
      <c r="K49" s="251"/>
      <c r="L49" s="251"/>
      <c r="M49" s="251"/>
      <c r="N49" s="251"/>
      <c r="O49" s="251"/>
      <c r="P49" s="251"/>
      <c r="Q49" s="251"/>
      <c r="R49" s="251"/>
      <c r="S49" s="251"/>
      <c r="T49" s="251"/>
    </row>
    <row r="50" spans="1:20" hidden="1" outlineLevel="2">
      <c r="B50" s="327"/>
      <c r="C50" s="344"/>
      <c r="D50" s="1293"/>
      <c r="E50" s="1294"/>
      <c r="F50" s="1295"/>
      <c r="G50" s="1296"/>
      <c r="H50" s="1297"/>
      <c r="I50" s="1298"/>
      <c r="J50" s="251"/>
      <c r="K50" s="251"/>
      <c r="L50" s="251"/>
      <c r="M50" s="251"/>
      <c r="N50" s="251"/>
      <c r="O50" s="251"/>
      <c r="P50" s="251"/>
      <c r="Q50" s="251"/>
      <c r="R50" s="251"/>
      <c r="S50" s="251"/>
      <c r="T50" s="251"/>
    </row>
    <row r="51" spans="1:20" hidden="1" outlineLevel="2">
      <c r="B51" s="251"/>
      <c r="C51" s="251"/>
      <c r="D51" s="251"/>
      <c r="E51" s="251"/>
      <c r="F51" s="251"/>
      <c r="G51" s="251"/>
      <c r="H51" s="251"/>
      <c r="I51" s="251"/>
      <c r="J51" s="251"/>
      <c r="K51" s="251"/>
      <c r="L51" s="251"/>
      <c r="M51" s="251"/>
      <c r="N51" s="251"/>
      <c r="O51" s="251"/>
      <c r="P51" s="251"/>
      <c r="Q51" s="251"/>
      <c r="R51" s="251"/>
      <c r="S51" s="251"/>
      <c r="T51" s="251"/>
    </row>
    <row r="52" spans="1:20" hidden="1" outlineLevel="2">
      <c r="B52" s="339" t="s">
        <v>671</v>
      </c>
      <c r="C52" s="340"/>
      <c r="D52" s="340"/>
      <c r="E52" s="340"/>
      <c r="F52" s="340"/>
      <c r="G52" s="340"/>
      <c r="H52" s="340"/>
      <c r="I52" s="1318">
        <v>0.9</v>
      </c>
      <c r="J52" s="1319" t="s">
        <v>165</v>
      </c>
      <c r="K52" s="340"/>
      <c r="L52" s="340"/>
      <c r="M52" s="340"/>
      <c r="N52" s="340"/>
      <c r="O52" s="340"/>
      <c r="P52" s="340"/>
      <c r="Q52" s="340"/>
      <c r="R52" s="340"/>
      <c r="S52" s="340"/>
      <c r="T52" s="340"/>
    </row>
    <row r="53" spans="1:20" hidden="1" outlineLevel="2">
      <c r="B53" s="4459" t="s">
        <v>457</v>
      </c>
      <c r="C53" s="4461" t="s">
        <v>166</v>
      </c>
      <c r="D53" s="4463" t="s">
        <v>165</v>
      </c>
      <c r="E53" s="4464"/>
      <c r="F53" s="1320" t="s">
        <v>167</v>
      </c>
      <c r="G53" s="1320"/>
      <c r="H53" s="4459" t="s">
        <v>20</v>
      </c>
      <c r="I53" s="4461" t="s">
        <v>170</v>
      </c>
      <c r="J53" s="4474" t="s">
        <v>94</v>
      </c>
      <c r="K53" s="4474"/>
      <c r="L53" s="4473" t="s">
        <v>85</v>
      </c>
      <c r="M53" s="3958"/>
      <c r="N53" s="3958"/>
      <c r="O53" s="3958"/>
      <c r="P53" s="3958"/>
      <c r="Q53" s="3958"/>
      <c r="R53" s="3958"/>
      <c r="S53" s="3958"/>
      <c r="T53" s="4471" t="s">
        <v>182</v>
      </c>
    </row>
    <row r="54" spans="1:20" hidden="1" outlineLevel="2">
      <c r="B54" s="4460"/>
      <c r="C54" s="4462"/>
      <c r="D54" s="345" t="s">
        <v>180</v>
      </c>
      <c r="E54" s="345" t="s">
        <v>181</v>
      </c>
      <c r="F54" s="345" t="s">
        <v>168</v>
      </c>
      <c r="G54" s="345" t="s">
        <v>169</v>
      </c>
      <c r="H54" s="4460"/>
      <c r="I54" s="4462"/>
      <c r="J54" s="345" t="s">
        <v>168</v>
      </c>
      <c r="K54" s="345" t="s">
        <v>169</v>
      </c>
      <c r="L54" s="4473"/>
      <c r="M54" s="3959"/>
      <c r="N54" s="3959"/>
      <c r="O54" s="3959"/>
      <c r="P54" s="3959"/>
      <c r="Q54" s="3959"/>
      <c r="R54" s="3959"/>
      <c r="S54" s="3959"/>
      <c r="T54" s="4472"/>
    </row>
    <row r="55" spans="1:20" hidden="1" outlineLevel="2">
      <c r="B55" s="1299" t="s">
        <v>163</v>
      </c>
      <c r="C55" s="345">
        <f>D41*F43*H43</f>
        <v>0</v>
      </c>
      <c r="D55" s="345">
        <v>500</v>
      </c>
      <c r="E55" s="345" t="s">
        <v>5</v>
      </c>
      <c r="F55" s="345">
        <v>0</v>
      </c>
      <c r="G55" s="345">
        <v>2</v>
      </c>
      <c r="H55" s="345">
        <f>IF(C55&gt;0,90/60,0)*F43*H43</f>
        <v>0</v>
      </c>
      <c r="I55" s="1300">
        <f>IF(C55&gt;0,ROUNDUP(((C55/D55)/I52+H55),1),0)</f>
        <v>0</v>
      </c>
      <c r="J55" s="345"/>
      <c r="K55" s="345">
        <v>45985</v>
      </c>
      <c r="L55" s="345">
        <f>(I55*J55*F55+I55*K55*G55)*(1+'Production cost'!$R$702)</f>
        <v>0</v>
      </c>
      <c r="M55" s="3960"/>
      <c r="N55" s="3960"/>
      <c r="O55" s="3960"/>
      <c r="P55" s="3960"/>
      <c r="Q55" s="3960"/>
      <c r="R55" s="3960"/>
      <c r="S55" s="3960"/>
      <c r="T55" s="1316">
        <f>(L55/$F$1)</f>
        <v>0</v>
      </c>
    </row>
    <row r="56" spans="1:20" hidden="1" outlineLevel="1">
      <c r="B56" s="1321" t="s">
        <v>460</v>
      </c>
      <c r="C56" s="1321"/>
      <c r="D56" s="1322">
        <f>T55</f>
        <v>0</v>
      </c>
      <c r="E56" s="1321" t="s">
        <v>97</v>
      </c>
      <c r="F56" s="251"/>
      <c r="G56" s="251"/>
      <c r="H56" s="251"/>
      <c r="I56" s="251"/>
      <c r="J56" s="251"/>
      <c r="K56" s="251"/>
      <c r="L56" s="251"/>
      <c r="M56" s="251"/>
      <c r="N56" s="251"/>
      <c r="O56" s="251"/>
      <c r="P56" s="251"/>
      <c r="Q56" s="251"/>
      <c r="R56" s="251"/>
      <c r="S56" s="251"/>
      <c r="T56" s="251"/>
    </row>
    <row r="57" spans="1:20" hidden="1" outlineLevel="1">
      <c r="B57" s="1321" t="s">
        <v>461</v>
      </c>
      <c r="C57" s="1321"/>
      <c r="D57" s="1322">
        <f>G47+H49</f>
        <v>0</v>
      </c>
      <c r="E57" s="1321" t="s">
        <v>97</v>
      </c>
      <c r="F57" s="251"/>
      <c r="G57" s="251"/>
      <c r="H57" s="251"/>
      <c r="I57" s="251"/>
      <c r="J57" s="251"/>
      <c r="K57" s="251"/>
      <c r="L57" s="251"/>
      <c r="M57" s="251"/>
      <c r="N57" s="251"/>
      <c r="O57" s="251"/>
      <c r="P57" s="251"/>
      <c r="Q57" s="251"/>
      <c r="R57" s="251"/>
      <c r="S57" s="251"/>
      <c r="T57" s="251"/>
    </row>
    <row r="58" spans="1:20" hidden="1" outlineLevel="1">
      <c r="B58" s="1321" t="s">
        <v>125</v>
      </c>
      <c r="C58" s="1324"/>
      <c r="D58" s="1325">
        <f>D56+D57</f>
        <v>0</v>
      </c>
      <c r="E58" s="1321" t="s">
        <v>97</v>
      </c>
      <c r="F58" s="251"/>
      <c r="G58" s="251"/>
      <c r="H58" s="251"/>
      <c r="I58" s="251"/>
      <c r="J58" s="251"/>
      <c r="K58" s="251"/>
      <c r="L58" s="251"/>
      <c r="M58" s="251"/>
      <c r="N58" s="251"/>
      <c r="O58" s="251"/>
      <c r="P58" s="251"/>
      <c r="Q58" s="251"/>
      <c r="R58" s="251"/>
      <c r="S58" s="251"/>
      <c r="T58" s="251"/>
    </row>
    <row r="59" spans="1:20" ht="17.25" hidden="1" customHeight="1" outlineLevel="1">
      <c r="C59" s="346"/>
      <c r="D59" s="1223"/>
      <c r="E59" s="1326"/>
    </row>
    <row r="60" spans="1:20" hidden="1" outlineLevel="1">
      <c r="A60" s="1313" t="s">
        <v>480</v>
      </c>
      <c r="B60" s="319"/>
    </row>
    <row r="61" spans="1:20" hidden="1" outlineLevel="2">
      <c r="B61" s="320"/>
      <c r="C61" s="320" t="s">
        <v>152</v>
      </c>
      <c r="D61" s="320" t="s">
        <v>435</v>
      </c>
      <c r="E61" s="320" t="s">
        <v>436</v>
      </c>
      <c r="G61" s="320" t="s">
        <v>463</v>
      </c>
      <c r="H61" s="320"/>
    </row>
    <row r="62" spans="1:20" hidden="1" outlineLevel="2">
      <c r="B62" s="314" t="s">
        <v>437</v>
      </c>
      <c r="C62" s="330"/>
      <c r="D62" s="330"/>
      <c r="E62" s="330"/>
      <c r="F62" s="320"/>
      <c r="G62" s="320"/>
    </row>
    <row r="63" spans="1:20" hidden="1" outlineLevel="2">
      <c r="B63" s="314" t="s">
        <v>437</v>
      </c>
      <c r="C63" s="330"/>
      <c r="D63" s="330"/>
      <c r="E63" s="330"/>
      <c r="F63" s="320"/>
      <c r="G63" s="320"/>
    </row>
    <row r="64" spans="1:20" hidden="1" outlineLevel="2">
      <c r="B64" s="314" t="s">
        <v>438</v>
      </c>
      <c r="C64" s="330"/>
      <c r="D64" s="330"/>
      <c r="E64" s="330"/>
      <c r="F64" s="320"/>
      <c r="G64" s="320"/>
    </row>
    <row r="65" spans="1:22" hidden="1" outlineLevel="2">
      <c r="B65" s="314" t="s">
        <v>438</v>
      </c>
      <c r="C65" s="330"/>
      <c r="D65" s="330"/>
      <c r="E65" s="330"/>
      <c r="F65" s="320"/>
      <c r="G65" s="320"/>
    </row>
    <row r="66" spans="1:22" ht="17.25" hidden="1" customHeight="1" outlineLevel="2">
      <c r="B66" s="346"/>
      <c r="C66" s="1327"/>
      <c r="D66" s="1314" t="s">
        <v>439</v>
      </c>
      <c r="E66" s="252"/>
      <c r="F66" s="346"/>
      <c r="G66" s="1327"/>
    </row>
    <row r="67" spans="1:22" ht="17.25" hidden="1" customHeight="1" outlineLevel="2">
      <c r="A67" s="136" t="s">
        <v>464</v>
      </c>
      <c r="F67" s="136" t="s">
        <v>10</v>
      </c>
      <c r="G67" s="1266">
        <v>0</v>
      </c>
      <c r="H67" s="320"/>
      <c r="I67" s="320"/>
      <c r="J67" s="320"/>
      <c r="K67" s="322" t="s">
        <v>496</v>
      </c>
      <c r="V67" s="319"/>
    </row>
    <row r="68" spans="1:22" ht="17.25" hidden="1" customHeight="1" outlineLevel="2">
      <c r="A68" s="1329"/>
      <c r="B68" s="1329" t="s">
        <v>2134</v>
      </c>
      <c r="C68" s="1330">
        <f>Data!$O$938</f>
        <v>300000</v>
      </c>
      <c r="D68" s="1329" t="s">
        <v>290</v>
      </c>
      <c r="E68" s="1331">
        <f>(1/12.058)*70%</f>
        <v>5.8052745065516664E-2</v>
      </c>
      <c r="F68" s="136" t="s">
        <v>465</v>
      </c>
      <c r="G68" s="1332">
        <f>ROUNDUP(E68*D71,0)</f>
        <v>0</v>
      </c>
      <c r="H68" s="1329" t="s">
        <v>288</v>
      </c>
      <c r="I68" s="320"/>
      <c r="J68" s="320"/>
      <c r="K68" s="320" t="s">
        <v>497</v>
      </c>
      <c r="L68" s="1333">
        <v>12.31</v>
      </c>
      <c r="M68" s="1333"/>
      <c r="N68" s="1333"/>
      <c r="O68" s="1333"/>
      <c r="P68" s="1333"/>
      <c r="Q68" s="1333"/>
      <c r="R68" s="1333"/>
      <c r="S68" s="1333"/>
      <c r="T68" s="320" t="s">
        <v>366</v>
      </c>
      <c r="U68" s="326" t="s">
        <v>498</v>
      </c>
      <c r="V68" s="319"/>
    </row>
    <row r="69" spans="1:22" ht="17.25" hidden="1" customHeight="1" outlineLevel="2">
      <c r="A69" s="1329"/>
      <c r="B69" s="1329" t="s">
        <v>466</v>
      </c>
      <c r="C69" s="1330" t="e">
        <f>L77</f>
        <v>#VALUE!</v>
      </c>
      <c r="D69" s="1329" t="s">
        <v>290</v>
      </c>
      <c r="E69" s="1331">
        <f>(1/12.058)*30%</f>
        <v>2.4879747885221428E-2</v>
      </c>
      <c r="F69" s="136" t="s">
        <v>465</v>
      </c>
      <c r="G69" s="1332">
        <f>ROUNDUP(E69*D71,0)</f>
        <v>0</v>
      </c>
      <c r="H69" s="1329" t="s">
        <v>288</v>
      </c>
      <c r="I69" s="320"/>
      <c r="J69" s="320"/>
      <c r="L69" s="1334">
        <v>0.05</v>
      </c>
      <c r="M69" s="1334"/>
      <c r="N69" s="1334"/>
      <c r="O69" s="1334"/>
      <c r="P69" s="1334"/>
      <c r="Q69" s="1334"/>
      <c r="R69" s="1334"/>
      <c r="S69" s="1334"/>
      <c r="T69" s="320" t="s">
        <v>204</v>
      </c>
      <c r="U69" s="326" t="s">
        <v>472</v>
      </c>
      <c r="V69" s="319"/>
    </row>
    <row r="70" spans="1:22" ht="24" hidden="1" customHeight="1" outlineLevel="2">
      <c r="A70" s="326"/>
      <c r="B70" s="1335" t="s">
        <v>467</v>
      </c>
      <c r="C70" s="1335" t="s">
        <v>468</v>
      </c>
      <c r="D70" s="1335" t="s">
        <v>469</v>
      </c>
      <c r="E70" s="1335" t="s">
        <v>470</v>
      </c>
      <c r="F70" s="1335" t="s">
        <v>471</v>
      </c>
      <c r="G70" s="1335" t="s">
        <v>85</v>
      </c>
      <c r="H70" s="1335" t="s">
        <v>97</v>
      </c>
      <c r="I70" s="320"/>
      <c r="J70" s="320"/>
      <c r="K70" s="320" t="s">
        <v>499</v>
      </c>
      <c r="L70" s="1336">
        <v>20</v>
      </c>
      <c r="M70" s="1336"/>
      <c r="N70" s="1336"/>
      <c r="O70" s="1336"/>
      <c r="P70" s="1336"/>
      <c r="Q70" s="1336"/>
      <c r="R70" s="1336"/>
      <c r="S70" s="1336"/>
      <c r="T70" s="320" t="s">
        <v>500</v>
      </c>
      <c r="U70" s="320"/>
      <c r="V70" s="319"/>
    </row>
    <row r="71" spans="1:22" ht="17.25" hidden="1" customHeight="1" outlineLevel="2">
      <c r="A71" s="1337" t="s">
        <v>73</v>
      </c>
      <c r="B71" s="1338">
        <f>$H$1</f>
        <v>5150</v>
      </c>
      <c r="C71" s="1339">
        <f>ROUNDUP((D67/1000)*(E67/1000)*G67,3)</f>
        <v>0</v>
      </c>
      <c r="D71" s="1338">
        <f>ROUNDUP(B71*C71,0)</f>
        <v>0</v>
      </c>
      <c r="E71" s="1338">
        <f>C68*G68</f>
        <v>0</v>
      </c>
      <c r="F71" s="1338" t="e">
        <f>C69*G69</f>
        <v>#VALUE!</v>
      </c>
      <c r="G71" s="1338" t="e">
        <f>E71+F71</f>
        <v>#VALUE!</v>
      </c>
      <c r="H71" s="1340" t="e">
        <f>ROUNDUP(G71/$F$1,0)</f>
        <v>#VALUE!</v>
      </c>
      <c r="I71" s="320"/>
      <c r="J71" s="320"/>
      <c r="K71" s="320" t="s">
        <v>501</v>
      </c>
      <c r="L71" s="1336">
        <v>22</v>
      </c>
      <c r="M71" s="1336"/>
      <c r="N71" s="1336"/>
      <c r="O71" s="1336"/>
      <c r="P71" s="1336"/>
      <c r="Q71" s="1336"/>
      <c r="R71" s="1336"/>
      <c r="S71" s="1336"/>
      <c r="T71" s="320" t="s">
        <v>288</v>
      </c>
      <c r="U71" s="320"/>
      <c r="V71" s="319"/>
    </row>
    <row r="72" spans="1:22" ht="17.25" hidden="1" customHeight="1" outlineLevel="2">
      <c r="I72" s="320"/>
      <c r="J72" s="320"/>
      <c r="K72" s="320" t="s">
        <v>591</v>
      </c>
      <c r="L72" s="976">
        <f>8*L71</f>
        <v>176</v>
      </c>
      <c r="M72" s="976"/>
      <c r="N72" s="976"/>
      <c r="O72" s="976"/>
      <c r="P72" s="976"/>
      <c r="Q72" s="976"/>
      <c r="R72" s="976"/>
      <c r="S72" s="976"/>
      <c r="T72" s="326" t="s">
        <v>87</v>
      </c>
      <c r="U72" s="320"/>
      <c r="V72" s="319"/>
    </row>
    <row r="73" spans="1:22" ht="17.25" hidden="1" customHeight="1" outlineLevel="2">
      <c r="A73" s="136" t="s">
        <v>473</v>
      </c>
      <c r="B73" s="347">
        <v>580000</v>
      </c>
      <c r="C73" s="136" t="s">
        <v>92</v>
      </c>
      <c r="D73" s="136" t="s">
        <v>80</v>
      </c>
      <c r="E73" s="320">
        <f>F61</f>
        <v>0</v>
      </c>
      <c r="F73" s="136" t="s">
        <v>81</v>
      </c>
      <c r="G73" s="316">
        <f>E73*B73</f>
        <v>0</v>
      </c>
      <c r="H73" s="313" t="s">
        <v>92</v>
      </c>
      <c r="J73" s="320"/>
      <c r="K73" s="320" t="s">
        <v>502</v>
      </c>
      <c r="L73" s="1336">
        <f>L70*L68</f>
        <v>246.20000000000002</v>
      </c>
      <c r="M73" s="1336"/>
      <c r="N73" s="1336"/>
      <c r="O73" s="1336"/>
      <c r="P73" s="1336"/>
      <c r="Q73" s="1336"/>
      <c r="R73" s="1336"/>
      <c r="S73" s="1336"/>
      <c r="T73" s="326" t="s">
        <v>87</v>
      </c>
      <c r="U73" s="320"/>
      <c r="V73" s="319"/>
    </row>
    <row r="74" spans="1:22" ht="17.25" hidden="1" customHeight="1" outlineLevel="2">
      <c r="A74" s="327" t="s">
        <v>474</v>
      </c>
      <c r="B74" s="347">
        <v>320000</v>
      </c>
      <c r="C74" s="327" t="s">
        <v>92</v>
      </c>
      <c r="D74" s="327" t="s">
        <v>80</v>
      </c>
      <c r="E74" s="332">
        <f>ROUNDUP(C66/15000,0)*F61-E73</f>
        <v>0</v>
      </c>
      <c r="F74" s="327" t="s">
        <v>81</v>
      </c>
      <c r="G74" s="327">
        <f>E74*B74</f>
        <v>0</v>
      </c>
      <c r="H74" s="313" t="s">
        <v>92</v>
      </c>
      <c r="I74" s="251"/>
      <c r="J74" s="320"/>
      <c r="K74" s="320" t="s">
        <v>503</v>
      </c>
      <c r="L74" s="1336">
        <f>183*0</f>
        <v>0</v>
      </c>
      <c r="M74" s="1336"/>
      <c r="N74" s="1336"/>
      <c r="O74" s="1336"/>
      <c r="P74" s="1336"/>
      <c r="Q74" s="1336"/>
      <c r="R74" s="1336"/>
      <c r="S74" s="1336"/>
      <c r="T74" s="326" t="s">
        <v>87</v>
      </c>
      <c r="U74" s="320"/>
      <c r="V74" s="319"/>
    </row>
    <row r="75" spans="1:22" hidden="1" outlineLevel="2">
      <c r="A75" s="327"/>
      <c r="B75" s="347"/>
      <c r="C75" s="327"/>
      <c r="D75" s="327"/>
      <c r="E75" s="332"/>
      <c r="F75" s="327"/>
      <c r="G75" s="189">
        <f>G73+G74</f>
        <v>0</v>
      </c>
      <c r="H75" s="1316">
        <f>G75/$F$1</f>
        <v>0</v>
      </c>
      <c r="I75" s="1317" t="s">
        <v>97</v>
      </c>
      <c r="J75" s="320"/>
      <c r="K75" s="320" t="s">
        <v>504</v>
      </c>
      <c r="L75" s="1336">
        <f>SUM(L72:L74)*(1+L69)</f>
        <v>443.31000000000006</v>
      </c>
      <c r="M75" s="1336"/>
      <c r="N75" s="1336"/>
      <c r="O75" s="1336"/>
      <c r="P75" s="1336"/>
      <c r="Q75" s="1336"/>
      <c r="R75" s="1336"/>
      <c r="S75" s="1336"/>
      <c r="T75" s="326" t="s">
        <v>87</v>
      </c>
      <c r="U75" s="320"/>
      <c r="V75" s="319"/>
    </row>
    <row r="76" spans="1:22" ht="16.5" hidden="1" customHeight="1" outlineLevel="2">
      <c r="B76" s="251"/>
      <c r="C76" s="251"/>
      <c r="D76" s="251"/>
      <c r="E76" s="251"/>
      <c r="F76" s="251"/>
      <c r="G76" s="251"/>
      <c r="H76" s="251"/>
      <c r="I76" s="251"/>
      <c r="K76" s="320" t="s">
        <v>367</v>
      </c>
      <c r="L76" s="1336">
        <f>ROUNDUP(L75/L70,0)</f>
        <v>23</v>
      </c>
      <c r="M76" s="1336"/>
      <c r="N76" s="1336"/>
      <c r="O76" s="1336"/>
      <c r="P76" s="1336"/>
      <c r="Q76" s="1336"/>
      <c r="R76" s="1336"/>
      <c r="S76" s="1336"/>
      <c r="T76" s="326" t="s">
        <v>366</v>
      </c>
      <c r="U76" s="320"/>
      <c r="V76" s="319"/>
    </row>
    <row r="77" spans="1:22" ht="16.5" hidden="1" customHeight="1" outlineLevel="2">
      <c r="B77" s="344" t="s">
        <v>475</v>
      </c>
      <c r="C77" s="1046">
        <v>33</v>
      </c>
      <c r="D77" s="344" t="s">
        <v>99</v>
      </c>
      <c r="E77" s="330">
        <f>F61</f>
        <v>0</v>
      </c>
      <c r="F77" s="344" t="s">
        <v>12</v>
      </c>
      <c r="G77" s="1292">
        <f>(E77*C77*C78*D78+IF(E77&gt;0,300000,0))</f>
        <v>0</v>
      </c>
      <c r="H77" s="1316">
        <f>G77/$F$1</f>
        <v>0</v>
      </c>
      <c r="I77" s="1317" t="s">
        <v>97</v>
      </c>
      <c r="J77" s="251"/>
      <c r="K77" s="320"/>
      <c r="L77" s="1307" t="e">
        <f>ROUNDUP(L76*Paper!O2,-4)</f>
        <v>#VALUE!</v>
      </c>
      <c r="M77" s="1307"/>
      <c r="N77" s="1307"/>
      <c r="O77" s="1307"/>
      <c r="P77" s="1307"/>
      <c r="Q77" s="1307"/>
      <c r="R77" s="1307"/>
      <c r="S77" s="1307"/>
      <c r="T77" s="326" t="s">
        <v>290</v>
      </c>
      <c r="U77" s="320"/>
      <c r="V77" s="319"/>
    </row>
    <row r="78" spans="1:22" ht="16.5" hidden="1" customHeight="1" outlineLevel="2">
      <c r="B78" s="327"/>
      <c r="C78" s="344"/>
      <c r="D78" s="1293"/>
      <c r="E78" s="1294"/>
      <c r="F78" s="1295"/>
      <c r="G78" s="1296"/>
      <c r="H78" s="1297"/>
      <c r="I78" s="1298"/>
      <c r="J78" s="251"/>
      <c r="K78" s="251"/>
      <c r="L78" s="251"/>
      <c r="M78" s="251"/>
      <c r="N78" s="251"/>
      <c r="O78" s="251"/>
      <c r="P78" s="251"/>
      <c r="Q78" s="251"/>
      <c r="R78" s="251"/>
      <c r="S78" s="251"/>
      <c r="T78" s="251"/>
    </row>
    <row r="79" spans="1:22" hidden="1" outlineLevel="2">
      <c r="J79" s="251"/>
      <c r="K79" s="251"/>
      <c r="L79" s="251"/>
      <c r="M79" s="251"/>
      <c r="N79" s="251"/>
      <c r="O79" s="251"/>
      <c r="P79" s="251"/>
      <c r="Q79" s="251"/>
      <c r="R79" s="251"/>
      <c r="S79" s="251"/>
      <c r="T79" s="251"/>
    </row>
    <row r="80" spans="1:22" hidden="1" outlineLevel="2">
      <c r="B80" s="339" t="s">
        <v>481</v>
      </c>
      <c r="C80" s="340"/>
      <c r="D80" s="340"/>
      <c r="E80" s="340"/>
      <c r="F80" s="340"/>
      <c r="G80" s="340"/>
      <c r="H80" s="340"/>
      <c r="I80" s="1318">
        <v>0.9</v>
      </c>
      <c r="J80" s="1319" t="s">
        <v>165</v>
      </c>
      <c r="K80" s="340"/>
      <c r="L80" s="340"/>
      <c r="M80" s="340"/>
      <c r="N80" s="340"/>
      <c r="O80" s="340"/>
      <c r="P80" s="340"/>
      <c r="Q80" s="340"/>
      <c r="R80" s="340"/>
      <c r="S80" s="340"/>
      <c r="T80" s="340"/>
    </row>
    <row r="81" spans="1:20" hidden="1" outlineLevel="2">
      <c r="B81" s="4459" t="s">
        <v>457</v>
      </c>
      <c r="C81" s="4461" t="s">
        <v>166</v>
      </c>
      <c r="D81" s="4463" t="s">
        <v>165</v>
      </c>
      <c r="E81" s="4464"/>
      <c r="F81" s="1320" t="s">
        <v>167</v>
      </c>
      <c r="G81" s="1320"/>
      <c r="H81" s="4459" t="s">
        <v>20</v>
      </c>
      <c r="I81" s="4461" t="s">
        <v>170</v>
      </c>
      <c r="J81" s="4474" t="s">
        <v>94</v>
      </c>
      <c r="K81" s="4474"/>
      <c r="L81" s="4473" t="s">
        <v>85</v>
      </c>
      <c r="M81" s="3958"/>
      <c r="N81" s="3958"/>
      <c r="O81" s="3958"/>
      <c r="P81" s="3958"/>
      <c r="Q81" s="3958"/>
      <c r="R81" s="3958"/>
      <c r="S81" s="3958"/>
      <c r="T81" s="4471" t="s">
        <v>182</v>
      </c>
    </row>
    <row r="82" spans="1:20" hidden="1" outlineLevel="2">
      <c r="B82" s="4460"/>
      <c r="C82" s="4462"/>
      <c r="D82" s="345" t="s">
        <v>180</v>
      </c>
      <c r="E82" s="345" t="s">
        <v>181</v>
      </c>
      <c r="F82" s="345" t="s">
        <v>168</v>
      </c>
      <c r="G82" s="345" t="s">
        <v>169</v>
      </c>
      <c r="H82" s="4460"/>
      <c r="I82" s="4462"/>
      <c r="J82" s="345" t="s">
        <v>168</v>
      </c>
      <c r="K82" s="345" t="s">
        <v>169</v>
      </c>
      <c r="L82" s="4473"/>
      <c r="M82" s="3959"/>
      <c r="N82" s="3959"/>
      <c r="O82" s="3959"/>
      <c r="P82" s="3959"/>
      <c r="Q82" s="3959"/>
      <c r="R82" s="3959"/>
      <c r="S82" s="3959"/>
      <c r="T82" s="4472"/>
    </row>
    <row r="83" spans="1:20" hidden="1" outlineLevel="2">
      <c r="B83" s="1299" t="s">
        <v>477</v>
      </c>
      <c r="C83" s="345"/>
      <c r="D83" s="345">
        <v>1500</v>
      </c>
      <c r="E83" s="345" t="s">
        <v>5</v>
      </c>
      <c r="F83" s="345">
        <v>0</v>
      </c>
      <c r="G83" s="345">
        <v>3</v>
      </c>
      <c r="H83" s="345">
        <f>IF(C83&gt;0,30/60,0)*F61</f>
        <v>0</v>
      </c>
      <c r="I83" s="1300">
        <f>IF(C83&gt;0,ROUNDUP(((C83/D83)/I80+H83),1),0)</f>
        <v>0</v>
      </c>
      <c r="J83" s="345"/>
      <c r="K83" s="345">
        <v>60010</v>
      </c>
      <c r="L83" s="345">
        <f>(I83*J83*F83+I83*K83*G83)*(1+'Production cost'!$R$702)</f>
        <v>0</v>
      </c>
      <c r="M83" s="3960"/>
      <c r="N83" s="3960"/>
      <c r="O83" s="3960"/>
      <c r="P83" s="3960"/>
      <c r="Q83" s="3960"/>
      <c r="R83" s="3960"/>
      <c r="S83" s="3960"/>
      <c r="T83" s="1316">
        <f>(L83/$F$1)</f>
        <v>0</v>
      </c>
    </row>
    <row r="84" spans="1:20" hidden="1" outlineLevel="1">
      <c r="B84" s="1321" t="s">
        <v>478</v>
      </c>
      <c r="C84" s="1321"/>
      <c r="D84" s="1322" t="e">
        <f>H71</f>
        <v>#VALUE!</v>
      </c>
      <c r="E84" s="1321" t="s">
        <v>97</v>
      </c>
      <c r="F84" s="292"/>
      <c r="G84" s="292"/>
      <c r="H84" s="292"/>
      <c r="I84" s="292"/>
      <c r="J84" s="292"/>
      <c r="K84" s="292"/>
      <c r="L84" s="292"/>
      <c r="M84" s="292"/>
      <c r="N84" s="292"/>
      <c r="O84" s="292"/>
      <c r="P84" s="292"/>
      <c r="Q84" s="292"/>
      <c r="R84" s="292"/>
      <c r="S84" s="292"/>
      <c r="T84" s="1225"/>
    </row>
    <row r="85" spans="1:20" hidden="1" outlineLevel="1">
      <c r="B85" s="1321" t="s">
        <v>459</v>
      </c>
      <c r="C85" s="292"/>
      <c r="D85" s="1323">
        <f>input!$D$5</f>
        <v>0</v>
      </c>
      <c r="E85" s="292"/>
      <c r="F85" s="292"/>
      <c r="G85" s="292"/>
      <c r="H85" s="292"/>
      <c r="I85" s="292"/>
      <c r="J85" s="292"/>
      <c r="K85" s="292"/>
      <c r="L85" s="292"/>
      <c r="M85" s="292"/>
      <c r="N85" s="292"/>
      <c r="O85" s="292"/>
      <c r="P85" s="292"/>
      <c r="Q85" s="292"/>
      <c r="R85" s="292"/>
      <c r="S85" s="292"/>
      <c r="T85" s="1225"/>
    </row>
    <row r="86" spans="1:20" hidden="1" outlineLevel="1">
      <c r="B86" s="1321" t="s">
        <v>460</v>
      </c>
      <c r="C86" s="1321"/>
      <c r="D86" s="1325">
        <f>T83</f>
        <v>0</v>
      </c>
      <c r="E86" s="1321" t="s">
        <v>97</v>
      </c>
      <c r="F86" s="251"/>
      <c r="G86" s="251"/>
      <c r="H86" s="251"/>
      <c r="I86" s="251"/>
      <c r="J86" s="251"/>
      <c r="K86" s="251"/>
      <c r="L86" s="251"/>
      <c r="M86" s="251"/>
      <c r="N86" s="251"/>
      <c r="O86" s="251"/>
      <c r="P86" s="251"/>
      <c r="Q86" s="251"/>
      <c r="R86" s="251"/>
      <c r="S86" s="251"/>
      <c r="T86" s="251"/>
    </row>
    <row r="87" spans="1:20" hidden="1" outlineLevel="1">
      <c r="B87" s="1321" t="s">
        <v>461</v>
      </c>
      <c r="C87" s="1321"/>
      <c r="D87" s="1325">
        <f>H75+H77</f>
        <v>0</v>
      </c>
      <c r="E87" s="1321" t="s">
        <v>97</v>
      </c>
      <c r="F87" s="251"/>
      <c r="G87" s="251"/>
      <c r="H87" s="251"/>
      <c r="I87" s="251"/>
      <c r="J87" s="251"/>
      <c r="K87" s="251"/>
      <c r="L87" s="251"/>
      <c r="M87" s="251"/>
      <c r="N87" s="251"/>
      <c r="O87" s="251"/>
      <c r="P87" s="251"/>
      <c r="Q87" s="251"/>
      <c r="R87" s="251"/>
      <c r="S87" s="251"/>
      <c r="T87" s="251"/>
    </row>
    <row r="88" spans="1:20" hidden="1" outlineLevel="1">
      <c r="B88" s="1321" t="s">
        <v>125</v>
      </c>
      <c r="C88" s="1324"/>
      <c r="D88" s="1325" t="e">
        <f>D84*(1+D85)+D86+D87</f>
        <v>#VALUE!</v>
      </c>
      <c r="E88" s="1321" t="s">
        <v>97</v>
      </c>
      <c r="F88" s="251"/>
      <c r="G88" s="251"/>
      <c r="H88" s="251"/>
      <c r="I88" s="251"/>
      <c r="J88" s="251"/>
      <c r="K88" s="251"/>
      <c r="L88" s="251"/>
      <c r="M88" s="251"/>
      <c r="N88" s="251"/>
      <c r="O88" s="251"/>
      <c r="P88" s="251"/>
      <c r="Q88" s="251"/>
      <c r="R88" s="251"/>
      <c r="S88" s="251"/>
      <c r="T88" s="251"/>
    </row>
    <row r="89" spans="1:20" hidden="1" outlineLevel="1"/>
    <row r="90" spans="1:20" hidden="1" outlineLevel="1">
      <c r="A90" s="1313" t="s">
        <v>492</v>
      </c>
      <c r="B90" s="319"/>
    </row>
    <row r="91" spans="1:20" hidden="1" outlineLevel="2">
      <c r="B91" s="320"/>
      <c r="C91" s="1264" t="s">
        <v>152</v>
      </c>
      <c r="D91" s="320"/>
      <c r="E91" s="320"/>
      <c r="G91" s="320"/>
    </row>
    <row r="92" spans="1:20" hidden="1" outlineLevel="2">
      <c r="B92" s="314" t="s">
        <v>437</v>
      </c>
      <c r="C92" s="330"/>
      <c r="D92" s="320"/>
      <c r="E92" s="320"/>
      <c r="F92" s="320"/>
      <c r="G92" s="320"/>
    </row>
    <row r="93" spans="1:20" hidden="1" outlineLevel="2">
      <c r="B93" s="314" t="s">
        <v>437</v>
      </c>
      <c r="C93" s="330"/>
      <c r="D93" s="320"/>
      <c r="E93" s="320"/>
      <c r="F93" s="320"/>
      <c r="G93" s="320"/>
    </row>
    <row r="94" spans="1:20" hidden="1" outlineLevel="2">
      <c r="B94" s="314" t="s">
        <v>437</v>
      </c>
      <c r="C94" s="330"/>
      <c r="D94" s="320"/>
      <c r="E94" s="320"/>
      <c r="F94" s="320"/>
      <c r="G94" s="320"/>
      <c r="I94" s="353"/>
    </row>
    <row r="95" spans="1:20" hidden="1" outlineLevel="2">
      <c r="B95" s="314" t="s">
        <v>437</v>
      </c>
      <c r="C95" s="330"/>
      <c r="D95" s="320"/>
      <c r="E95" s="320"/>
      <c r="F95" s="320"/>
      <c r="G95" s="320"/>
    </row>
    <row r="96" spans="1:20" hidden="1" outlineLevel="2">
      <c r="B96" s="346"/>
      <c r="C96" s="1327"/>
      <c r="D96" s="1314" t="s">
        <v>439</v>
      </c>
      <c r="E96" s="252"/>
      <c r="F96" s="346"/>
      <c r="G96" s="1327"/>
    </row>
    <row r="97" spans="1:20" hidden="1" outlineLevel="2">
      <c r="A97" s="326" t="s">
        <v>482</v>
      </c>
      <c r="B97" s="320"/>
      <c r="C97" s="332"/>
      <c r="D97" s="320" t="s">
        <v>10</v>
      </c>
      <c r="E97" s="1302">
        <v>0</v>
      </c>
      <c r="F97" s="320" t="s">
        <v>483</v>
      </c>
      <c r="G97" s="320"/>
      <c r="H97" s="326"/>
      <c r="I97" s="320"/>
      <c r="J97" s="320"/>
    </row>
    <row r="98" spans="1:20" hidden="1" outlineLevel="2">
      <c r="A98" s="326" t="s">
        <v>484</v>
      </c>
      <c r="B98" s="320">
        <f>ROUNDUP((B97/1000)*(C97/1000)*E97*$H$1,0)</f>
        <v>0</v>
      </c>
      <c r="C98" s="326" t="s">
        <v>206</v>
      </c>
      <c r="D98" s="320"/>
      <c r="E98" s="320"/>
      <c r="F98" s="320"/>
      <c r="G98" s="320"/>
      <c r="H98" s="320"/>
      <c r="I98" s="320"/>
      <c r="J98" s="320"/>
    </row>
    <row r="99" spans="1:20" hidden="1" outlineLevel="2">
      <c r="A99" s="326" t="s">
        <v>485</v>
      </c>
      <c r="B99" s="314">
        <v>1</v>
      </c>
      <c r="C99" s="326" t="s">
        <v>486</v>
      </c>
      <c r="D99" s="320">
        <v>18.5</v>
      </c>
      <c r="E99" s="320" t="s">
        <v>206</v>
      </c>
      <c r="F99" s="320"/>
      <c r="G99" s="320"/>
      <c r="H99" s="320"/>
      <c r="I99" s="320"/>
      <c r="J99" s="320"/>
    </row>
    <row r="100" spans="1:20" hidden="1" outlineLevel="2">
      <c r="A100" s="326"/>
      <c r="B100" s="314">
        <f>ROUNDUP(B98/D99,0)</f>
        <v>0</v>
      </c>
      <c r="C100" s="326" t="s">
        <v>288</v>
      </c>
      <c r="D100" s="320"/>
      <c r="E100" s="320"/>
      <c r="F100" s="320"/>
      <c r="G100" s="320"/>
      <c r="H100" s="320"/>
      <c r="I100" s="320"/>
      <c r="J100" s="320"/>
    </row>
    <row r="101" spans="1:20" hidden="1" outlineLevel="2">
      <c r="A101" s="326" t="s">
        <v>487</v>
      </c>
      <c r="B101" s="761">
        <f>100%/D99</f>
        <v>5.4054054054054057E-2</v>
      </c>
      <c r="C101" s="326" t="s">
        <v>488</v>
      </c>
      <c r="D101" s="324">
        <f>Data!$O$939</f>
        <v>311576.10000000003</v>
      </c>
      <c r="E101" s="326" t="s">
        <v>290</v>
      </c>
      <c r="F101" s="320">
        <f>ROUNDUP(B98*B101,0)</f>
        <v>0</v>
      </c>
      <c r="G101" s="326" t="s">
        <v>288</v>
      </c>
      <c r="H101" s="1225"/>
      <c r="I101" s="339"/>
      <c r="J101" s="320"/>
    </row>
    <row r="102" spans="1:20" hidden="1" outlineLevel="2">
      <c r="A102" s="322" t="s">
        <v>489</v>
      </c>
      <c r="B102" s="333"/>
      <c r="C102" s="333">
        <f>ROUNDUP(F101*D101/$F$1,0)</f>
        <v>0</v>
      </c>
      <c r="D102" s="333" t="s">
        <v>97</v>
      </c>
      <c r="E102" s="320"/>
      <c r="F102" s="320"/>
      <c r="G102" s="320"/>
      <c r="H102" s="320"/>
      <c r="I102" s="320"/>
      <c r="J102" s="320"/>
    </row>
    <row r="103" spans="1:20" hidden="1" outlineLevel="2">
      <c r="A103" s="136" t="s">
        <v>473</v>
      </c>
      <c r="B103" s="347">
        <v>740000</v>
      </c>
      <c r="C103" s="136" t="s">
        <v>92</v>
      </c>
      <c r="D103" s="136" t="s">
        <v>80</v>
      </c>
      <c r="E103" s="320"/>
      <c r="F103" s="136" t="s">
        <v>81</v>
      </c>
      <c r="G103" s="316">
        <f>E103*B103</f>
        <v>0</v>
      </c>
      <c r="H103" s="313" t="s">
        <v>92</v>
      </c>
    </row>
    <row r="104" spans="1:20" hidden="1" outlineLevel="2">
      <c r="A104" s="327" t="s">
        <v>474</v>
      </c>
      <c r="B104" s="347">
        <v>390000</v>
      </c>
      <c r="C104" s="327" t="s">
        <v>92</v>
      </c>
      <c r="D104" s="327" t="s">
        <v>80</v>
      </c>
      <c r="E104" s="332">
        <f>ROUNDUP(C96/30000,0)-E103</f>
        <v>0</v>
      </c>
      <c r="F104" s="327" t="s">
        <v>81</v>
      </c>
      <c r="G104" s="327">
        <f>E104*B104</f>
        <v>0</v>
      </c>
      <c r="H104" s="313" t="s">
        <v>92</v>
      </c>
      <c r="I104" s="251"/>
      <c r="J104" s="251"/>
      <c r="K104" s="251"/>
      <c r="L104" s="251"/>
      <c r="M104" s="251"/>
      <c r="N104" s="251"/>
      <c r="O104" s="251"/>
      <c r="P104" s="251"/>
      <c r="Q104" s="251"/>
      <c r="R104" s="251"/>
      <c r="S104" s="251"/>
      <c r="T104" s="251"/>
    </row>
    <row r="105" spans="1:20" hidden="1" outlineLevel="2">
      <c r="A105" s="327"/>
      <c r="B105" s="347"/>
      <c r="C105" s="327"/>
      <c r="D105" s="327"/>
      <c r="E105" s="332"/>
      <c r="F105" s="327"/>
      <c r="G105" s="189">
        <f>G103+G104</f>
        <v>0</v>
      </c>
      <c r="H105" s="1316">
        <f>G105/$F$1</f>
        <v>0</v>
      </c>
      <c r="I105" s="1317" t="s">
        <v>97</v>
      </c>
      <c r="J105" s="251"/>
      <c r="K105" s="251"/>
      <c r="L105" s="251"/>
      <c r="M105" s="251"/>
      <c r="N105" s="251"/>
      <c r="O105" s="251"/>
      <c r="P105" s="251"/>
      <c r="Q105" s="251"/>
      <c r="R105" s="251"/>
      <c r="S105" s="251"/>
      <c r="T105" s="251"/>
    </row>
    <row r="106" spans="1:20" hidden="1" outlineLevel="2">
      <c r="B106" s="251"/>
      <c r="C106" s="251"/>
      <c r="D106" s="251"/>
      <c r="E106" s="251"/>
      <c r="F106" s="251"/>
      <c r="G106" s="251"/>
      <c r="H106" s="251"/>
      <c r="I106" s="251"/>
      <c r="J106" s="251"/>
      <c r="K106" s="251"/>
      <c r="L106" s="251"/>
      <c r="M106" s="251"/>
      <c r="N106" s="251"/>
      <c r="O106" s="251"/>
      <c r="P106" s="251"/>
      <c r="Q106" s="251"/>
      <c r="R106" s="251"/>
      <c r="S106" s="251"/>
      <c r="T106" s="251"/>
    </row>
    <row r="107" spans="1:20" hidden="1" outlineLevel="2">
      <c r="B107" s="344" t="s">
        <v>490</v>
      </c>
      <c r="C107" s="1046">
        <v>33</v>
      </c>
      <c r="D107" s="344" t="s">
        <v>99</v>
      </c>
      <c r="E107" s="330">
        <v>1</v>
      </c>
      <c r="F107" s="344" t="s">
        <v>12</v>
      </c>
      <c r="G107" s="1292">
        <f>(E107*C107*C108*D108+IF(E107&gt;0,300000,0))</f>
        <v>300000</v>
      </c>
      <c r="H107" s="1328">
        <f>G107/$F$1</f>
        <v>60</v>
      </c>
      <c r="I107" s="1317" t="s">
        <v>97</v>
      </c>
      <c r="J107" s="251"/>
      <c r="K107" s="251"/>
      <c r="L107" s="251"/>
      <c r="M107" s="251"/>
      <c r="N107" s="251"/>
      <c r="O107" s="251"/>
      <c r="P107" s="251"/>
      <c r="Q107" s="251"/>
      <c r="R107" s="251"/>
      <c r="S107" s="251"/>
      <c r="T107" s="251"/>
    </row>
    <row r="108" spans="1:20" hidden="1" outlineLevel="2">
      <c r="B108" s="327"/>
      <c r="C108" s="344"/>
      <c r="D108" s="1293"/>
      <c r="E108" s="1294"/>
      <c r="F108" s="1295"/>
      <c r="G108" s="1296"/>
      <c r="H108" s="1297"/>
      <c r="I108" s="1298"/>
      <c r="J108" s="251"/>
      <c r="K108" s="251"/>
      <c r="L108" s="251"/>
      <c r="M108" s="251"/>
      <c r="N108" s="251"/>
      <c r="O108" s="251"/>
      <c r="P108" s="251"/>
      <c r="Q108" s="251"/>
      <c r="R108" s="251"/>
      <c r="S108" s="251"/>
      <c r="T108" s="251"/>
    </row>
    <row r="109" spans="1:20" hidden="1" outlineLevel="2">
      <c r="B109" s="251"/>
      <c r="C109" s="251"/>
      <c r="D109" s="251"/>
      <c r="E109" s="251"/>
      <c r="F109" s="251"/>
      <c r="G109" s="251"/>
      <c r="H109" s="251"/>
      <c r="I109" s="251"/>
      <c r="J109" s="251"/>
      <c r="K109" s="251"/>
      <c r="L109" s="251"/>
      <c r="M109" s="251"/>
      <c r="N109" s="251"/>
      <c r="O109" s="251"/>
      <c r="P109" s="251"/>
      <c r="Q109" s="251"/>
      <c r="R109" s="251"/>
      <c r="S109" s="251"/>
      <c r="T109" s="251"/>
    </row>
    <row r="110" spans="1:20" hidden="1" outlineLevel="2">
      <c r="B110" s="339" t="s">
        <v>476</v>
      </c>
      <c r="C110" s="340"/>
      <c r="D110" s="340"/>
      <c r="E110" s="340"/>
      <c r="F110" s="340"/>
      <c r="G110" s="340"/>
      <c r="H110" s="340"/>
      <c r="I110" s="1318">
        <v>0.9</v>
      </c>
      <c r="J110" s="1319" t="s">
        <v>165</v>
      </c>
      <c r="K110" s="340"/>
      <c r="L110" s="340"/>
      <c r="M110" s="340"/>
      <c r="N110" s="340"/>
      <c r="O110" s="340"/>
      <c r="P110" s="340"/>
      <c r="Q110" s="340"/>
      <c r="R110" s="340"/>
      <c r="S110" s="340"/>
      <c r="T110" s="340"/>
    </row>
    <row r="111" spans="1:20" hidden="1" outlineLevel="2">
      <c r="B111" s="4459" t="s">
        <v>457</v>
      </c>
      <c r="C111" s="4461" t="s">
        <v>166</v>
      </c>
      <c r="D111" s="4463" t="s">
        <v>165</v>
      </c>
      <c r="E111" s="4464"/>
      <c r="F111" s="1320" t="s">
        <v>167</v>
      </c>
      <c r="G111" s="1320"/>
      <c r="H111" s="4459" t="s">
        <v>20</v>
      </c>
      <c r="I111" s="4461" t="s">
        <v>170</v>
      </c>
      <c r="J111" s="4474" t="s">
        <v>94</v>
      </c>
      <c r="K111" s="4474"/>
      <c r="L111" s="4473" t="s">
        <v>85</v>
      </c>
      <c r="M111" s="3958"/>
      <c r="N111" s="3958"/>
      <c r="O111" s="3958"/>
      <c r="P111" s="3958"/>
      <c r="Q111" s="3958"/>
      <c r="R111" s="3958"/>
      <c r="S111" s="3958"/>
      <c r="T111" s="4471" t="s">
        <v>182</v>
      </c>
    </row>
    <row r="112" spans="1:20" hidden="1" outlineLevel="2">
      <c r="B112" s="4460"/>
      <c r="C112" s="4462"/>
      <c r="D112" s="345" t="s">
        <v>180</v>
      </c>
      <c r="E112" s="345" t="s">
        <v>181</v>
      </c>
      <c r="F112" s="345" t="s">
        <v>168</v>
      </c>
      <c r="G112" s="345" t="s">
        <v>169</v>
      </c>
      <c r="H112" s="4460"/>
      <c r="I112" s="4462"/>
      <c r="J112" s="345" t="s">
        <v>168</v>
      </c>
      <c r="K112" s="345" t="s">
        <v>169</v>
      </c>
      <c r="L112" s="4473"/>
      <c r="M112" s="3959"/>
      <c r="N112" s="3959"/>
      <c r="O112" s="3959"/>
      <c r="P112" s="3959"/>
      <c r="Q112" s="3959"/>
      <c r="R112" s="3959"/>
      <c r="S112" s="3959"/>
      <c r="T112" s="4472"/>
    </row>
    <row r="113" spans="1:26" hidden="1" outlineLevel="2">
      <c r="B113" s="1299" t="s">
        <v>491</v>
      </c>
      <c r="C113" s="345">
        <f>C96</f>
        <v>0</v>
      </c>
      <c r="D113" s="345">
        <v>1500</v>
      </c>
      <c r="E113" s="345" t="s">
        <v>5</v>
      </c>
      <c r="F113" s="345">
        <v>0</v>
      </c>
      <c r="G113" s="345">
        <v>3</v>
      </c>
      <c r="H113" s="345">
        <f>IF(C113&gt;0,30/60,0)</f>
        <v>0</v>
      </c>
      <c r="I113" s="1300">
        <f>IF(C113&gt;0,ROUNDUP(((C113/D113)/I110+H113),1),0)</f>
        <v>0</v>
      </c>
      <c r="J113" s="345"/>
      <c r="K113" s="345">
        <v>60010</v>
      </c>
      <c r="L113" s="345">
        <f>(I113*J113*F113+I113*K113*G113)*(1+'Production cost'!$R$702)</f>
        <v>0</v>
      </c>
      <c r="M113" s="3960"/>
      <c r="N113" s="3960"/>
      <c r="O113" s="3960"/>
      <c r="P113" s="3960"/>
      <c r="Q113" s="3960"/>
      <c r="R113" s="3960"/>
      <c r="S113" s="3960"/>
      <c r="T113" s="1316">
        <f>(L113/$F$1)</f>
        <v>0</v>
      </c>
    </row>
    <row r="114" spans="1:26" hidden="1" outlineLevel="1">
      <c r="B114" s="1321" t="s">
        <v>478</v>
      </c>
      <c r="C114" s="1321"/>
      <c r="D114" s="1322">
        <f>C102</f>
        <v>0</v>
      </c>
      <c r="E114" s="1321" t="s">
        <v>97</v>
      </c>
      <c r="F114" s="292"/>
      <c r="G114" s="292"/>
      <c r="H114" s="292"/>
      <c r="I114" s="292"/>
      <c r="J114" s="292"/>
      <c r="K114" s="292"/>
      <c r="L114" s="292"/>
      <c r="M114" s="292"/>
      <c r="N114" s="292"/>
      <c r="O114" s="292"/>
      <c r="P114" s="292"/>
      <c r="Q114" s="292"/>
      <c r="R114" s="292"/>
      <c r="S114" s="292"/>
      <c r="T114" s="1225"/>
    </row>
    <row r="115" spans="1:26" hidden="1" outlineLevel="1">
      <c r="B115" s="1321" t="s">
        <v>459</v>
      </c>
      <c r="C115" s="292"/>
      <c r="D115" s="1323">
        <f>input!$D$5</f>
        <v>0</v>
      </c>
      <c r="E115" s="292"/>
      <c r="F115" s="292"/>
      <c r="G115" s="292"/>
      <c r="H115" s="292"/>
      <c r="I115" s="292"/>
      <c r="J115" s="292"/>
      <c r="K115" s="292"/>
      <c r="L115" s="292"/>
      <c r="M115" s="292"/>
      <c r="N115" s="292"/>
      <c r="O115" s="292"/>
      <c r="P115" s="292"/>
      <c r="Q115" s="292"/>
      <c r="R115" s="292"/>
      <c r="S115" s="292"/>
      <c r="T115" s="1225"/>
    </row>
    <row r="116" spans="1:26" hidden="1" outlineLevel="1">
      <c r="B116" s="1321" t="s">
        <v>460</v>
      </c>
      <c r="C116" s="1321"/>
      <c r="D116" s="1322">
        <f>T113</f>
        <v>0</v>
      </c>
      <c r="E116" s="1321" t="s">
        <v>97</v>
      </c>
      <c r="F116" s="251"/>
      <c r="G116" s="251"/>
      <c r="H116" s="251"/>
      <c r="I116" s="251"/>
      <c r="J116" s="251"/>
      <c r="K116" s="251"/>
      <c r="L116" s="251"/>
      <c r="M116" s="251"/>
      <c r="N116" s="251"/>
      <c r="O116" s="251"/>
      <c r="P116" s="251"/>
      <c r="Q116" s="251"/>
      <c r="R116" s="251"/>
      <c r="S116" s="251"/>
      <c r="T116" s="251"/>
    </row>
    <row r="117" spans="1:26" hidden="1" outlineLevel="1">
      <c r="B117" s="1321" t="s">
        <v>461</v>
      </c>
      <c r="C117" s="1321"/>
      <c r="D117" s="1322">
        <f>H105+H107</f>
        <v>60</v>
      </c>
      <c r="E117" s="1321" t="s">
        <v>97</v>
      </c>
      <c r="F117" s="251"/>
      <c r="G117" s="251"/>
      <c r="H117" s="251"/>
      <c r="I117" s="251"/>
      <c r="J117" s="251"/>
      <c r="K117" s="251"/>
      <c r="L117" s="251"/>
      <c r="M117" s="251"/>
      <c r="N117" s="251"/>
      <c r="O117" s="251"/>
      <c r="P117" s="251"/>
      <c r="Q117" s="251"/>
      <c r="R117" s="251"/>
      <c r="S117" s="251"/>
      <c r="T117" s="251"/>
    </row>
    <row r="118" spans="1:26" hidden="1" outlineLevel="1">
      <c r="B118" s="1321" t="s">
        <v>125</v>
      </c>
      <c r="C118" s="1324"/>
      <c r="D118" s="1325">
        <f>D114*(1+D115)+D116+D117</f>
        <v>60</v>
      </c>
      <c r="E118" s="1321" t="s">
        <v>97</v>
      </c>
      <c r="F118" s="251"/>
      <c r="G118" s="251"/>
      <c r="H118" s="251"/>
      <c r="I118" s="251"/>
      <c r="J118" s="251"/>
      <c r="K118" s="251"/>
      <c r="L118" s="251"/>
      <c r="M118" s="251"/>
      <c r="N118" s="251"/>
      <c r="O118" s="251"/>
      <c r="P118" s="251"/>
      <c r="Q118" s="251"/>
      <c r="R118" s="251"/>
      <c r="S118" s="251"/>
      <c r="T118" s="251"/>
    </row>
    <row r="119" spans="1:26" collapsed="1"/>
    <row r="120" spans="1:26" outlineLevel="1">
      <c r="A120" s="1313" t="s">
        <v>1721</v>
      </c>
      <c r="B120" s="319"/>
    </row>
    <row r="121" spans="1:26" outlineLevel="1">
      <c r="A121" s="320" t="s">
        <v>78</v>
      </c>
      <c r="B121" s="1341">
        <v>0.02</v>
      </c>
      <c r="E121" s="330"/>
      <c r="F121" s="326" t="s">
        <v>524</v>
      </c>
      <c r="G121" s="189" t="s">
        <v>528</v>
      </c>
      <c r="H121" s="982"/>
      <c r="I121" s="982"/>
      <c r="J121" s="982"/>
      <c r="K121" s="189" t="s">
        <v>10</v>
      </c>
      <c r="U121" s="2984" t="s">
        <v>2296</v>
      </c>
      <c r="V121" s="2985">
        <f>Freight!$C$53</f>
        <v>1</v>
      </c>
      <c r="W121" s="2985">
        <f>Freight!$D$53</f>
        <v>2</v>
      </c>
      <c r="X121" s="2985">
        <f>Freight!$E$53</f>
        <v>3.5</v>
      </c>
      <c r="Y121" s="2985">
        <f>Freight!$F$53</f>
        <v>5</v>
      </c>
      <c r="Z121" s="2986">
        <f>Freight!$G$53</f>
        <v>8</v>
      </c>
    </row>
    <row r="122" spans="1:26" outlineLevel="1">
      <c r="A122" s="320" t="s">
        <v>529</v>
      </c>
      <c r="B122" s="335">
        <f>$F$1*(1+B121)*E121</f>
        <v>0</v>
      </c>
      <c r="C122" s="320" t="s">
        <v>287</v>
      </c>
      <c r="G122" s="189" t="s">
        <v>530</v>
      </c>
      <c r="H122" s="982"/>
      <c r="I122" s="189" t="s">
        <v>531</v>
      </c>
      <c r="J122" s="983">
        <f>H121*I121*J121/10^9</f>
        <v>0</v>
      </c>
      <c r="K122" s="189" t="s">
        <v>532</v>
      </c>
      <c r="L122" s="983">
        <v>0</v>
      </c>
      <c r="M122" s="983"/>
      <c r="N122" s="983"/>
      <c r="O122" s="983"/>
      <c r="P122" s="983"/>
      <c r="Q122" s="983"/>
      <c r="R122" s="983"/>
      <c r="S122" s="983"/>
      <c r="T122" s="136" t="s">
        <v>1488</v>
      </c>
      <c r="U122" s="2416" t="s">
        <v>2295</v>
      </c>
      <c r="V122" s="2417">
        <f>Freight!$C$54</f>
        <v>6.75</v>
      </c>
      <c r="W122" s="2417">
        <f>Freight!$D$54</f>
        <v>10.404</v>
      </c>
      <c r="X122" s="2417">
        <f>Freight!$E$54</f>
        <v>17.442</v>
      </c>
      <c r="Y122" s="2417">
        <f>Freight!$F$54</f>
        <v>25.214999999999996</v>
      </c>
      <c r="Z122" s="2418">
        <f>Freight!$G$54</f>
        <v>33.88000000000001</v>
      </c>
    </row>
    <row r="123" spans="1:26" outlineLevel="1">
      <c r="A123" s="320" t="s">
        <v>445</v>
      </c>
      <c r="B123" s="1303"/>
      <c r="C123" s="326" t="s">
        <v>547</v>
      </c>
      <c r="D123" s="136" t="s">
        <v>548</v>
      </c>
      <c r="G123" s="189" t="s">
        <v>533</v>
      </c>
      <c r="H123" s="194" t="e">
        <f>ROUNDUP(B122/H122,0)</f>
        <v>#DIV/0!</v>
      </c>
      <c r="I123" s="189" t="s">
        <v>534</v>
      </c>
      <c r="J123" s="189"/>
      <c r="K123" s="189"/>
      <c r="U123" s="2987" t="s">
        <v>2297</v>
      </c>
      <c r="V123" s="2988">
        <f>Freight!$C$55</f>
        <v>1060000</v>
      </c>
      <c r="W123" s="2988">
        <f>Freight!$D$55</f>
        <v>1160000</v>
      </c>
      <c r="X123" s="2988">
        <f>Freight!$E$55</f>
        <v>1370000</v>
      </c>
      <c r="Y123" s="2988">
        <f>Freight!$F$55</f>
        <v>1690000</v>
      </c>
      <c r="Z123" s="2989">
        <f>Freight!$G$55</f>
        <v>2005000</v>
      </c>
    </row>
    <row r="124" spans="1:26" outlineLevel="1">
      <c r="A124" s="320"/>
      <c r="B124" s="1323"/>
      <c r="G124" s="320" t="s">
        <v>535</v>
      </c>
      <c r="H124" s="1342" t="e">
        <f>ROUNDUP(J122*H123,0)</f>
        <v>#DIV/0!</v>
      </c>
      <c r="I124" s="189" t="s">
        <v>563</v>
      </c>
      <c r="J124" s="983" t="e">
        <f>H123*L122/1000</f>
        <v>#DIV/0!</v>
      </c>
      <c r="K124" s="189"/>
    </row>
    <row r="125" spans="1:26" ht="13.5" outlineLevel="1" thickBot="1">
      <c r="A125" s="320" t="s">
        <v>21</v>
      </c>
      <c r="B125" s="348">
        <f>B123*B122</f>
        <v>0</v>
      </c>
      <c r="C125" s="320" t="s">
        <v>87</v>
      </c>
      <c r="D125" s="136" t="str">
        <f>D123</f>
        <v>FOB……</v>
      </c>
      <c r="I125" s="189"/>
      <c r="J125" s="349"/>
      <c r="K125" s="189"/>
    </row>
    <row r="126" spans="1:26" outlineLevel="1">
      <c r="A126" s="788" t="s">
        <v>41</v>
      </c>
      <c r="B126" s="323"/>
      <c r="C126" s="323"/>
      <c r="D126" s="323"/>
      <c r="E126" s="323"/>
      <c r="F126" s="328"/>
      <c r="G126" s="788" t="s">
        <v>549</v>
      </c>
      <c r="H126" s="397" t="s">
        <v>552</v>
      </c>
      <c r="I126" s="397" t="s">
        <v>553</v>
      </c>
      <c r="J126" s="323"/>
      <c r="K126" s="1304">
        <v>0</v>
      </c>
      <c r="L126" s="1305">
        <v>0</v>
      </c>
      <c r="M126" s="3961"/>
      <c r="N126" s="3961"/>
      <c r="O126" s="3961"/>
      <c r="P126" s="3961"/>
      <c r="Q126" s="3961"/>
      <c r="R126" s="3961"/>
      <c r="S126" s="3961"/>
      <c r="T126" s="323"/>
      <c r="U126" s="328"/>
    </row>
    <row r="127" spans="1:26" outlineLevel="1">
      <c r="A127" s="1343" t="s">
        <v>536</v>
      </c>
      <c r="B127" s="194"/>
      <c r="C127" s="189" t="s">
        <v>550</v>
      </c>
      <c r="D127" s="982" t="e">
        <f>B127*H124</f>
        <v>#DIV/0!</v>
      </c>
      <c r="E127" s="1344" t="s">
        <v>87</v>
      </c>
      <c r="F127" s="325"/>
      <c r="G127" s="1343" t="s">
        <v>536</v>
      </c>
      <c r="H127" s="194"/>
      <c r="I127" s="194"/>
      <c r="J127" s="189" t="s">
        <v>551</v>
      </c>
      <c r="K127" s="982">
        <f>H127*K126</f>
        <v>0</v>
      </c>
      <c r="L127" s="982">
        <f>I127*L126</f>
        <v>0</v>
      </c>
      <c r="M127" s="194"/>
      <c r="N127" s="194"/>
      <c r="O127" s="194"/>
      <c r="P127" s="194"/>
      <c r="Q127" s="194"/>
      <c r="R127" s="194"/>
      <c r="S127" s="194"/>
      <c r="T127" s="1344" t="s">
        <v>87</v>
      </c>
      <c r="U127" s="325"/>
    </row>
    <row r="128" spans="1:26" outlineLevel="1">
      <c r="A128" s="1343" t="s">
        <v>537</v>
      </c>
      <c r="B128" s="194"/>
      <c r="C128" s="189"/>
      <c r="D128" s="982" t="e">
        <f>IF(H124&gt;0,IF((B125+D127)*1.1*0.065%&lt;(300000/input!$I$4),(300000/input!$I$4),(B125+D127)*1.1*0.065%),0)</f>
        <v>#DIV/0!</v>
      </c>
      <c r="E128" s="1344" t="s">
        <v>87</v>
      </c>
      <c r="F128" s="325"/>
      <c r="G128" s="1343" t="s">
        <v>537</v>
      </c>
      <c r="H128" s="194"/>
      <c r="I128" s="194"/>
      <c r="J128" s="189"/>
      <c r="K128" s="4466">
        <f>IF((K126+L126)&gt;0,IF((B125+K127+L127)*1.1*0.065%&lt;(300000/input!$I$5),(300000/input!$I$5),(B125+K127+L127)*1.1*0.065%),0)</f>
        <v>0</v>
      </c>
      <c r="L128" s="4467"/>
      <c r="M128" s="194"/>
      <c r="N128" s="194"/>
      <c r="O128" s="194"/>
      <c r="P128" s="194"/>
      <c r="Q128" s="194"/>
      <c r="R128" s="194"/>
      <c r="S128" s="194"/>
      <c r="T128" s="1344" t="s">
        <v>87</v>
      </c>
      <c r="U128" s="325"/>
    </row>
    <row r="129" spans="1:21" outlineLevel="1">
      <c r="A129" s="1343" t="s">
        <v>538</v>
      </c>
      <c r="B129" s="194"/>
      <c r="C129" s="194"/>
      <c r="D129" s="321"/>
      <c r="F129" s="325"/>
      <c r="G129" s="1343" t="s">
        <v>538</v>
      </c>
      <c r="H129" s="194"/>
      <c r="I129" s="194"/>
      <c r="J129" s="194"/>
      <c r="K129" s="1345"/>
      <c r="L129" s="1306"/>
      <c r="U129" s="325"/>
    </row>
    <row r="130" spans="1:21" outlineLevel="1">
      <c r="A130" s="1346" t="s">
        <v>2306</v>
      </c>
      <c r="B130" s="194">
        <v>10</v>
      </c>
      <c r="C130" s="189" t="s">
        <v>540</v>
      </c>
      <c r="D130" s="723" t="e">
        <f>B130*H124</f>
        <v>#DIV/0!</v>
      </c>
      <c r="E130" s="1344" t="s">
        <v>87</v>
      </c>
      <c r="F130" s="325"/>
      <c r="G130" s="1346" t="s">
        <v>1901</v>
      </c>
      <c r="H130" s="194">
        <v>25</v>
      </c>
      <c r="I130" s="194">
        <v>50</v>
      </c>
      <c r="J130" s="189" t="s">
        <v>554</v>
      </c>
      <c r="K130" s="723">
        <f>H130*K126</f>
        <v>0</v>
      </c>
      <c r="L130" s="723">
        <f>I130*L126</f>
        <v>0</v>
      </c>
      <c r="M130" s="194"/>
      <c r="N130" s="194"/>
      <c r="O130" s="194"/>
      <c r="P130" s="194"/>
      <c r="Q130" s="194"/>
      <c r="R130" s="194"/>
      <c r="S130" s="194"/>
      <c r="T130" s="1344" t="s">
        <v>87</v>
      </c>
      <c r="U130" s="325"/>
    </row>
    <row r="131" spans="1:21" outlineLevel="1">
      <c r="A131" s="1346" t="s">
        <v>539</v>
      </c>
      <c r="B131" s="3019">
        <v>8</v>
      </c>
      <c r="C131" s="189" t="s">
        <v>540</v>
      </c>
      <c r="D131" s="982" t="e">
        <f>B131*H124</f>
        <v>#DIV/0!</v>
      </c>
      <c r="E131" s="1344" t="s">
        <v>87</v>
      </c>
      <c r="F131" s="325"/>
      <c r="G131" s="1346" t="s">
        <v>741</v>
      </c>
      <c r="H131" s="194">
        <v>130</v>
      </c>
      <c r="I131" s="194">
        <v>190</v>
      </c>
      <c r="J131" s="189" t="s">
        <v>554</v>
      </c>
      <c r="K131" s="982">
        <f>H131*K126</f>
        <v>0</v>
      </c>
      <c r="L131" s="982">
        <f>I131*L126</f>
        <v>0</v>
      </c>
      <c r="M131" s="194"/>
      <c r="N131" s="194"/>
      <c r="O131" s="194"/>
      <c r="P131" s="194"/>
      <c r="Q131" s="194"/>
      <c r="R131" s="194"/>
      <c r="S131" s="194"/>
      <c r="T131" s="1344" t="s">
        <v>87</v>
      </c>
      <c r="U131" s="325"/>
    </row>
    <row r="132" spans="1:21" outlineLevel="1">
      <c r="A132" s="1346" t="s">
        <v>541</v>
      </c>
      <c r="B132" s="3019">
        <f>40+20</f>
        <v>60</v>
      </c>
      <c r="C132" s="189" t="s">
        <v>542</v>
      </c>
      <c r="D132" s="982" t="e">
        <f>IF(H124&gt;0,B132,0)</f>
        <v>#DIV/0!</v>
      </c>
      <c r="E132" s="1344" t="s">
        <v>87</v>
      </c>
      <c r="F132" s="325"/>
      <c r="G132" s="1346" t="s">
        <v>541</v>
      </c>
      <c r="H132" s="4465">
        <f>20+40</f>
        <v>60</v>
      </c>
      <c r="I132" s="4465"/>
      <c r="J132" s="189" t="s">
        <v>542</v>
      </c>
      <c r="K132" s="4466">
        <f>IF((K126+L126)&gt;0,H132,0)</f>
        <v>0</v>
      </c>
      <c r="L132" s="4467"/>
      <c r="M132" s="194"/>
      <c r="N132" s="194"/>
      <c r="O132" s="194"/>
      <c r="P132" s="194"/>
      <c r="Q132" s="194"/>
      <c r="R132" s="194"/>
      <c r="S132" s="194"/>
      <c r="T132" s="1344" t="s">
        <v>87</v>
      </c>
      <c r="U132" s="325"/>
    </row>
    <row r="133" spans="1:21" outlineLevel="1">
      <c r="A133" s="1346" t="s">
        <v>543</v>
      </c>
      <c r="B133" s="194">
        <v>4</v>
      </c>
      <c r="C133" s="189" t="s">
        <v>540</v>
      </c>
      <c r="D133" s="982" t="e">
        <f>B133*H124</f>
        <v>#DIV/0!</v>
      </c>
      <c r="E133" s="1344" t="s">
        <v>87</v>
      </c>
      <c r="F133" s="325"/>
      <c r="G133" s="1346" t="s">
        <v>740</v>
      </c>
      <c r="H133" s="194">
        <v>50</v>
      </c>
      <c r="I133" s="194">
        <v>100</v>
      </c>
      <c r="J133" s="189" t="s">
        <v>554</v>
      </c>
      <c r="K133" s="982">
        <f>H133*K126</f>
        <v>0</v>
      </c>
      <c r="L133" s="982">
        <f>I133*L126</f>
        <v>0</v>
      </c>
      <c r="M133" s="194"/>
      <c r="N133" s="194"/>
      <c r="O133" s="194"/>
      <c r="P133" s="194"/>
      <c r="Q133" s="194"/>
      <c r="R133" s="194"/>
      <c r="S133" s="194"/>
      <c r="T133" s="1344" t="s">
        <v>87</v>
      </c>
      <c r="U133" s="325"/>
    </row>
    <row r="134" spans="1:21" outlineLevel="1">
      <c r="A134" s="1346" t="s">
        <v>544</v>
      </c>
      <c r="B134" s="3019">
        <v>18</v>
      </c>
      <c r="C134" s="189" t="s">
        <v>540</v>
      </c>
      <c r="D134" s="982" t="e">
        <f>B134*H124</f>
        <v>#DIV/0!</v>
      </c>
      <c r="E134" s="1344" t="s">
        <v>87</v>
      </c>
      <c r="F134" s="325"/>
      <c r="G134" s="1346" t="s">
        <v>727</v>
      </c>
      <c r="H134" s="194">
        <v>15</v>
      </c>
      <c r="I134" s="194">
        <v>15</v>
      </c>
      <c r="J134" s="189" t="s">
        <v>554</v>
      </c>
      <c r="K134" s="2619">
        <f>H134*K126</f>
        <v>0</v>
      </c>
      <c r="L134" s="2619">
        <f>I134*L126</f>
        <v>0</v>
      </c>
      <c r="M134" s="194"/>
      <c r="N134" s="194"/>
      <c r="O134" s="194"/>
      <c r="P134" s="194"/>
      <c r="Q134" s="194"/>
      <c r="R134" s="194"/>
      <c r="S134" s="194"/>
      <c r="T134" s="1344" t="s">
        <v>87</v>
      </c>
      <c r="U134" s="325"/>
    </row>
    <row r="135" spans="1:21" outlineLevel="1">
      <c r="A135" s="1346" t="s">
        <v>545</v>
      </c>
      <c r="B135" s="194">
        <v>0</v>
      </c>
      <c r="C135" s="189" t="s">
        <v>540</v>
      </c>
      <c r="D135" s="982" t="e">
        <f>B135*H124</f>
        <v>#DIV/0!</v>
      </c>
      <c r="E135" s="1344" t="s">
        <v>87</v>
      </c>
      <c r="F135" s="325"/>
      <c r="G135" s="1346" t="s">
        <v>557</v>
      </c>
      <c r="H135" s="194">
        <v>12</v>
      </c>
      <c r="I135" s="194">
        <v>12</v>
      </c>
      <c r="J135" s="189" t="s">
        <v>554</v>
      </c>
      <c r="K135" s="982">
        <f>H135*K126</f>
        <v>0</v>
      </c>
      <c r="L135" s="982">
        <f>I135*L126</f>
        <v>0</v>
      </c>
      <c r="M135" s="194"/>
      <c r="N135" s="194"/>
      <c r="O135" s="194"/>
      <c r="P135" s="194"/>
      <c r="Q135" s="194"/>
      <c r="R135" s="194"/>
      <c r="S135" s="194"/>
      <c r="T135" s="1344" t="s">
        <v>87</v>
      </c>
      <c r="U135" s="325"/>
    </row>
    <row r="136" spans="1:21" outlineLevel="1">
      <c r="A136" s="1346" t="s">
        <v>729</v>
      </c>
      <c r="B136" s="189"/>
      <c r="C136" s="189"/>
      <c r="D136" s="2420" t="e">
        <f>(IF(H123&gt;0,MAX(IF(H124&lt;=V122,V123,IF(H124&lt;=W122,W123,IF(H124&lt;=X122,X123,IF(H124&lt;=Y122,Y123,IF(H124&lt;=Z122,Z123,0))))),IF(J124&lt;=V121,V123,IF(J124&lt;=W121,W123,IF(J124&lt;=X121,X123,IF(J124&lt;=Y121,Y123,IF(J124&lt;=Z121,Z123,0)))))),0)+700000)/input!$I$4</f>
        <v>#DIV/0!</v>
      </c>
      <c r="E136" s="1344" t="s">
        <v>87</v>
      </c>
      <c r="F136" s="325"/>
      <c r="G136" s="1346" t="s">
        <v>728</v>
      </c>
      <c r="H136" s="194">
        <f>Freight!$G$62/input!$I$4</f>
        <v>213.3502323616392</v>
      </c>
      <c r="I136" s="194">
        <f>Freight!$I$62/input!$I$4</f>
        <v>270.80692860160542</v>
      </c>
      <c r="J136" s="189" t="s">
        <v>554</v>
      </c>
      <c r="K136" s="982">
        <f>H136*K126</f>
        <v>0</v>
      </c>
      <c r="L136" s="982">
        <f>I136*L126</f>
        <v>0</v>
      </c>
      <c r="M136" s="194"/>
      <c r="N136" s="194"/>
      <c r="O136" s="194"/>
      <c r="P136" s="194"/>
      <c r="Q136" s="194"/>
      <c r="R136" s="194"/>
      <c r="S136" s="194"/>
      <c r="T136" s="1344" t="s">
        <v>87</v>
      </c>
      <c r="U136" s="325"/>
    </row>
    <row r="137" spans="1:21" outlineLevel="1">
      <c r="A137" s="1346" t="s">
        <v>558</v>
      </c>
      <c r="B137" s="194">
        <f>150000/input!$I$4</f>
        <v>6.3371356147021549</v>
      </c>
      <c r="C137" s="189" t="s">
        <v>542</v>
      </c>
      <c r="D137" s="982" t="e">
        <f>IF(H124&gt;0,B137,0)</f>
        <v>#DIV/0!</v>
      </c>
      <c r="E137" s="1344" t="s">
        <v>87</v>
      </c>
      <c r="F137" s="325"/>
      <c r="G137" s="1346" t="s">
        <v>558</v>
      </c>
      <c r="H137" s="4468">
        <f>150000/input!$I$4</f>
        <v>6.3371356147021549</v>
      </c>
      <c r="I137" s="4468"/>
      <c r="J137" s="189" t="s">
        <v>542</v>
      </c>
      <c r="K137" s="2394">
        <f>IF((K126+L126)&gt;0,H137,0)</f>
        <v>0</v>
      </c>
      <c r="L137" s="2395"/>
      <c r="M137" s="189"/>
      <c r="N137" s="189"/>
      <c r="O137" s="189"/>
      <c r="P137" s="189"/>
      <c r="Q137" s="189"/>
      <c r="R137" s="189"/>
      <c r="S137" s="189"/>
      <c r="T137" s="1344" t="s">
        <v>87</v>
      </c>
      <c r="U137" s="325"/>
    </row>
    <row r="138" spans="1:21" outlineLevel="1">
      <c r="A138" s="1346" t="s">
        <v>3012</v>
      </c>
      <c r="B138" s="194">
        <f>50000/input!$I$4</f>
        <v>2.1123785382340516</v>
      </c>
      <c r="C138" s="189" t="s">
        <v>3013</v>
      </c>
      <c r="D138" s="982" t="e">
        <f>IF(J124&gt;0,MAX(B138,B138*ROUNDUP(J124,0)),0)</f>
        <v>#DIV/0!</v>
      </c>
      <c r="E138" s="1344" t="s">
        <v>87</v>
      </c>
      <c r="F138" s="325"/>
      <c r="G138" s="1346" t="s">
        <v>3012</v>
      </c>
      <c r="H138" s="194">
        <f>500000/input!$I$4</f>
        <v>21.123785382340515</v>
      </c>
      <c r="I138" s="194">
        <f>1000000/input!$I$4</f>
        <v>42.247570764681029</v>
      </c>
      <c r="J138" s="189" t="s">
        <v>554</v>
      </c>
      <c r="K138" s="2619">
        <f>H138*K126</f>
        <v>0</v>
      </c>
      <c r="L138" s="2619">
        <f>I138*L126</f>
        <v>0</v>
      </c>
      <c r="M138" s="194"/>
      <c r="N138" s="194"/>
      <c r="O138" s="194"/>
      <c r="P138" s="194"/>
      <c r="Q138" s="194"/>
      <c r="R138" s="194"/>
      <c r="S138" s="194"/>
      <c r="T138" s="1344" t="s">
        <v>87</v>
      </c>
      <c r="U138" s="325"/>
    </row>
    <row r="139" spans="1:21" outlineLevel="1">
      <c r="A139" s="1346"/>
      <c r="B139" s="194"/>
      <c r="C139" s="189"/>
      <c r="D139" s="194"/>
      <c r="E139" s="1344"/>
      <c r="F139" s="325"/>
      <c r="U139" s="325"/>
    </row>
    <row r="140" spans="1:21" outlineLevel="1">
      <c r="A140" s="350"/>
      <c r="B140" s="320"/>
      <c r="C140" s="314" t="s">
        <v>2212</v>
      </c>
      <c r="D140" s="321" t="e">
        <f>SUM($D127:$D128)+SUM($D130:$D138)*(1+8%)</f>
        <v>#DIV/0!</v>
      </c>
      <c r="E140" s="1344" t="s">
        <v>87</v>
      </c>
      <c r="F140" s="325"/>
      <c r="G140" s="350"/>
      <c r="H140" s="320"/>
      <c r="J140" s="314" t="s">
        <v>2212</v>
      </c>
      <c r="K140" s="347">
        <f>SUM($K127:$L128)+SUM($K130:$L138)*(1+8%)</f>
        <v>0</v>
      </c>
      <c r="L140" s="347"/>
      <c r="M140" s="347"/>
      <c r="N140" s="347"/>
      <c r="O140" s="347"/>
      <c r="P140" s="347"/>
      <c r="Q140" s="347"/>
      <c r="R140" s="347"/>
      <c r="S140" s="347"/>
      <c r="T140" s="1344" t="s">
        <v>87</v>
      </c>
      <c r="U140" s="325"/>
    </row>
    <row r="141" spans="1:21" outlineLevel="1">
      <c r="A141" s="3078"/>
      <c r="B141" s="320"/>
      <c r="C141" s="314" t="s">
        <v>2918</v>
      </c>
      <c r="D141" s="3404">
        <v>0.05</v>
      </c>
      <c r="E141" s="1344"/>
      <c r="F141" s="3075"/>
      <c r="G141" s="3078"/>
      <c r="H141" s="320"/>
      <c r="J141" s="314" t="s">
        <v>2918</v>
      </c>
      <c r="K141" s="3404">
        <v>0.05</v>
      </c>
      <c r="L141" s="347"/>
      <c r="M141" s="347"/>
      <c r="N141" s="347"/>
      <c r="O141" s="347"/>
      <c r="P141" s="347"/>
      <c r="Q141" s="347"/>
      <c r="R141" s="347"/>
      <c r="S141" s="347"/>
      <c r="T141" s="1344"/>
      <c r="U141" s="3075"/>
    </row>
    <row r="142" spans="1:21" outlineLevel="1">
      <c r="A142" s="3078"/>
      <c r="B142" s="320"/>
      <c r="C142" s="314" t="s">
        <v>3074</v>
      </c>
      <c r="D142" s="3405" t="e">
        <f>B125+SUM(B125,D127:D128)*D141+D140</f>
        <v>#DIV/0!</v>
      </c>
      <c r="E142" s="1344"/>
      <c r="F142" s="3075"/>
      <c r="G142" s="3078"/>
      <c r="H142" s="320"/>
      <c r="J142" s="314" t="s">
        <v>3074</v>
      </c>
      <c r="K142" s="347">
        <f>B125+SUM(B125,K127:L128)*K141+K140</f>
        <v>0</v>
      </c>
      <c r="L142" s="347"/>
      <c r="M142" s="347"/>
      <c r="N142" s="347"/>
      <c r="O142" s="347"/>
      <c r="P142" s="347"/>
      <c r="Q142" s="347"/>
      <c r="R142" s="347"/>
      <c r="S142" s="347"/>
      <c r="T142" s="1344"/>
      <c r="U142" s="3075"/>
    </row>
    <row r="143" spans="1:21" outlineLevel="1">
      <c r="A143" s="350"/>
      <c r="B143" s="320"/>
      <c r="C143" s="320"/>
      <c r="D143" s="321" t="e">
        <f>D142*input!$I$5</f>
        <v>#DIV/0!</v>
      </c>
      <c r="E143" s="1344" t="s">
        <v>92</v>
      </c>
      <c r="F143" s="325"/>
      <c r="G143" s="350"/>
      <c r="H143" s="320"/>
      <c r="J143" s="320"/>
      <c r="K143" s="347">
        <f>K142*input!$I$5</f>
        <v>0</v>
      </c>
      <c r="L143" s="347"/>
      <c r="M143" s="347"/>
      <c r="N143" s="347"/>
      <c r="O143" s="347"/>
      <c r="P143" s="347"/>
      <c r="Q143" s="347"/>
      <c r="R143" s="347"/>
      <c r="S143" s="347"/>
      <c r="T143" s="1344" t="s">
        <v>92</v>
      </c>
      <c r="U143" s="325"/>
    </row>
    <row r="144" spans="1:21" outlineLevel="1">
      <c r="A144" s="329"/>
      <c r="D144" s="1347" t="e">
        <f>D143/$F$1</f>
        <v>#DIV/0!</v>
      </c>
      <c r="E144" s="1344" t="s">
        <v>92</v>
      </c>
      <c r="F144" s="1348" t="s">
        <v>792</v>
      </c>
      <c r="G144" s="329"/>
      <c r="K144" s="1349">
        <f>K143/$F$1</f>
        <v>0</v>
      </c>
      <c r="L144" s="1349"/>
      <c r="M144" s="1349"/>
      <c r="N144" s="1349"/>
      <c r="O144" s="1349"/>
      <c r="P144" s="1349"/>
      <c r="Q144" s="1349"/>
      <c r="R144" s="1349"/>
      <c r="S144" s="1349"/>
      <c r="T144" s="1344" t="s">
        <v>92</v>
      </c>
      <c r="U144" s="1348" t="s">
        <v>792</v>
      </c>
    </row>
    <row r="145" spans="1:26" outlineLevel="1">
      <c r="A145" s="3080"/>
      <c r="C145" s="320" t="s">
        <v>459</v>
      </c>
      <c r="D145" s="1323">
        <f>input!$D$5</f>
        <v>0</v>
      </c>
      <c r="E145" s="1344"/>
      <c r="F145" s="1344"/>
      <c r="G145" s="3080"/>
      <c r="J145" s="320" t="s">
        <v>459</v>
      </c>
      <c r="K145" s="1323">
        <f>input!$D$5</f>
        <v>0</v>
      </c>
      <c r="L145" s="1351"/>
      <c r="M145" s="1351"/>
      <c r="N145" s="1351"/>
      <c r="O145" s="1351"/>
      <c r="P145" s="1351"/>
      <c r="Q145" s="1351"/>
      <c r="R145" s="1351"/>
      <c r="S145" s="1351"/>
      <c r="T145" s="1344"/>
      <c r="U145" s="3081"/>
    </row>
    <row r="146" spans="1:26" outlineLevel="1">
      <c r="A146" s="329"/>
      <c r="C146" s="346" t="s">
        <v>546</v>
      </c>
      <c r="D146" s="1350" t="e">
        <f>D144*(1+D145)</f>
        <v>#DIV/0!</v>
      </c>
      <c r="E146" s="1344" t="s">
        <v>92</v>
      </c>
      <c r="F146" s="1344" t="s">
        <v>792</v>
      </c>
      <c r="G146" s="329"/>
      <c r="J146" s="346" t="s">
        <v>546</v>
      </c>
      <c r="K146" s="1352">
        <f>K144*(1+K145)</f>
        <v>0</v>
      </c>
      <c r="L146" s="1352"/>
      <c r="M146" s="1352"/>
      <c r="N146" s="1352"/>
      <c r="O146" s="1352"/>
      <c r="P146" s="1352"/>
      <c r="Q146" s="1352"/>
      <c r="R146" s="1352"/>
      <c r="S146" s="1352"/>
      <c r="T146" s="1344" t="s">
        <v>92</v>
      </c>
      <c r="U146" s="1348" t="s">
        <v>792</v>
      </c>
    </row>
    <row r="147" spans="1:26" outlineLevel="1"/>
    <row r="148" spans="1:26" outlineLevel="1">
      <c r="A148" s="1313" t="s">
        <v>1722</v>
      </c>
      <c r="B148" s="319"/>
    </row>
    <row r="149" spans="1:26" outlineLevel="1">
      <c r="A149" s="320" t="s">
        <v>78</v>
      </c>
      <c r="B149" s="1341">
        <v>0.02</v>
      </c>
      <c r="E149" s="330"/>
      <c r="F149" s="326" t="s">
        <v>524</v>
      </c>
      <c r="G149" s="189" t="s">
        <v>528</v>
      </c>
      <c r="H149" s="982"/>
      <c r="I149" s="982"/>
      <c r="J149" s="982"/>
      <c r="K149" s="189" t="s">
        <v>10</v>
      </c>
      <c r="U149" s="2984" t="s">
        <v>2296</v>
      </c>
      <c r="V149" s="2985">
        <f>Freight!$C$53</f>
        <v>1</v>
      </c>
      <c r="W149" s="2985">
        <f>Freight!$D$53</f>
        <v>2</v>
      </c>
      <c r="X149" s="2985">
        <f>Freight!$E$53</f>
        <v>3.5</v>
      </c>
      <c r="Y149" s="2985">
        <f>Freight!$F$53</f>
        <v>5</v>
      </c>
      <c r="Z149" s="2986">
        <f>Freight!$G$53</f>
        <v>8</v>
      </c>
    </row>
    <row r="150" spans="1:26" outlineLevel="1">
      <c r="A150" s="320" t="s">
        <v>529</v>
      </c>
      <c r="B150" s="335">
        <f>$F$1*(1+B149)*E149</f>
        <v>0</v>
      </c>
      <c r="C150" s="320" t="s">
        <v>287</v>
      </c>
      <c r="G150" s="189" t="s">
        <v>530</v>
      </c>
      <c r="H150" s="982">
        <v>0</v>
      </c>
      <c r="I150" s="189" t="s">
        <v>531</v>
      </c>
      <c r="J150" s="983">
        <f>H149*I149*J149/10^9</f>
        <v>0</v>
      </c>
      <c r="K150" s="189" t="s">
        <v>532</v>
      </c>
      <c r="L150" s="983">
        <v>0</v>
      </c>
      <c r="M150" s="983"/>
      <c r="N150" s="983"/>
      <c r="O150" s="983"/>
      <c r="P150" s="983"/>
      <c r="Q150" s="983"/>
      <c r="R150" s="983"/>
      <c r="S150" s="983"/>
      <c r="T150" s="136" t="s">
        <v>1488</v>
      </c>
      <c r="U150" s="2416" t="s">
        <v>2295</v>
      </c>
      <c r="V150" s="2417">
        <f>Freight!$C$54</f>
        <v>6.75</v>
      </c>
      <c r="W150" s="2417">
        <f>Freight!$D$54</f>
        <v>10.404</v>
      </c>
      <c r="X150" s="2417">
        <f>Freight!$E$54</f>
        <v>17.442</v>
      </c>
      <c r="Y150" s="2417">
        <f>Freight!$F$54</f>
        <v>25.214999999999996</v>
      </c>
      <c r="Z150" s="2418">
        <f>Freight!$G$54</f>
        <v>33.88000000000001</v>
      </c>
    </row>
    <row r="151" spans="1:26" outlineLevel="1">
      <c r="A151" s="320" t="s">
        <v>445</v>
      </c>
      <c r="B151" s="1303"/>
      <c r="C151" s="326" t="s">
        <v>547</v>
      </c>
      <c r="D151" s="136" t="s">
        <v>730</v>
      </c>
      <c r="G151" s="189" t="s">
        <v>533</v>
      </c>
      <c r="H151" s="194" t="e">
        <f>ROUNDUP(B150/H150,0)</f>
        <v>#DIV/0!</v>
      </c>
      <c r="I151" s="189" t="s">
        <v>534</v>
      </c>
      <c r="J151" s="189"/>
      <c r="K151" s="189"/>
      <c r="U151" s="2987" t="s">
        <v>2297</v>
      </c>
      <c r="V151" s="2988">
        <f>Freight!$C$55</f>
        <v>1060000</v>
      </c>
      <c r="W151" s="2988">
        <f>Freight!$D$55</f>
        <v>1160000</v>
      </c>
      <c r="X151" s="2988">
        <f>Freight!$E$55</f>
        <v>1370000</v>
      </c>
      <c r="Y151" s="2988">
        <f>Freight!$F$55</f>
        <v>1690000</v>
      </c>
      <c r="Z151" s="2989">
        <f>Freight!$G$55</f>
        <v>2005000</v>
      </c>
    </row>
    <row r="152" spans="1:26" outlineLevel="1">
      <c r="A152" s="320" t="s">
        <v>204</v>
      </c>
      <c r="B152" s="1323">
        <v>0</v>
      </c>
      <c r="C152" s="326"/>
      <c r="G152" s="320" t="s">
        <v>535</v>
      </c>
      <c r="H152" s="1342" t="e">
        <f>ROUNDUP(J150*H151,0)</f>
        <v>#DIV/0!</v>
      </c>
      <c r="I152" s="189" t="s">
        <v>563</v>
      </c>
      <c r="J152" s="983" t="e">
        <f>H151*L150/1000</f>
        <v>#DIV/0!</v>
      </c>
      <c r="K152" s="189"/>
    </row>
    <row r="153" spans="1:26" ht="13.5" outlineLevel="1" thickBot="1">
      <c r="A153" s="320" t="s">
        <v>21</v>
      </c>
      <c r="B153" s="348">
        <f>B151*B150*(1+B152)</f>
        <v>0</v>
      </c>
      <c r="C153" s="320" t="s">
        <v>87</v>
      </c>
      <c r="D153" s="136" t="str">
        <f>D151</f>
        <v>CIF……</v>
      </c>
      <c r="I153" s="189"/>
      <c r="J153" s="349"/>
      <c r="K153" s="189"/>
    </row>
    <row r="154" spans="1:26" outlineLevel="1">
      <c r="A154" s="788" t="s">
        <v>41</v>
      </c>
      <c r="B154" s="323"/>
      <c r="C154" s="323"/>
      <c r="D154" s="323"/>
      <c r="E154" s="323"/>
      <c r="F154" s="328"/>
      <c r="G154" s="788" t="s">
        <v>549</v>
      </c>
      <c r="H154" s="397" t="s">
        <v>552</v>
      </c>
      <c r="I154" s="397" t="s">
        <v>553</v>
      </c>
      <c r="J154" s="323"/>
      <c r="K154" s="1304">
        <v>0</v>
      </c>
      <c r="L154" s="1305">
        <v>0</v>
      </c>
      <c r="M154" s="3961"/>
      <c r="N154" s="3961"/>
      <c r="O154" s="3961"/>
      <c r="P154" s="3961"/>
      <c r="Q154" s="3961"/>
      <c r="R154" s="3961"/>
      <c r="S154" s="3961"/>
      <c r="T154" s="323"/>
      <c r="U154" s="328"/>
    </row>
    <row r="155" spans="1:26" outlineLevel="1">
      <c r="A155" s="1343" t="s">
        <v>536</v>
      </c>
      <c r="B155" s="194"/>
      <c r="C155" s="189" t="s">
        <v>550</v>
      </c>
      <c r="D155" s="982" t="e">
        <f>B155*H152</f>
        <v>#DIV/0!</v>
      </c>
      <c r="E155" s="1344" t="s">
        <v>87</v>
      </c>
      <c r="F155" s="325"/>
      <c r="G155" s="1343" t="s">
        <v>536</v>
      </c>
      <c r="H155" s="194"/>
      <c r="I155" s="194"/>
      <c r="J155" s="189" t="s">
        <v>551</v>
      </c>
      <c r="K155" s="982">
        <f>H155*K154</f>
        <v>0</v>
      </c>
      <c r="L155" s="982">
        <f>I155*L154</f>
        <v>0</v>
      </c>
      <c r="M155" s="194"/>
      <c r="N155" s="194"/>
      <c r="O155" s="194"/>
      <c r="P155" s="194"/>
      <c r="Q155" s="194"/>
      <c r="R155" s="194"/>
      <c r="S155" s="194"/>
      <c r="T155" s="1344" t="s">
        <v>87</v>
      </c>
      <c r="U155" s="325"/>
    </row>
    <row r="156" spans="1:26" outlineLevel="1">
      <c r="A156" s="1343" t="s">
        <v>537</v>
      </c>
      <c r="B156" s="194"/>
      <c r="C156" s="189"/>
      <c r="D156" s="982" t="e">
        <f>IF(H152&gt;0,IF((B153+D155)*1.1*0.065%&lt;(300000/input!$I$4),(300000/input!$I$4),(B153+D155)*1.1*0.065%),0)</f>
        <v>#DIV/0!</v>
      </c>
      <c r="E156" s="1344" t="s">
        <v>87</v>
      </c>
      <c r="F156" s="325"/>
      <c r="G156" s="1343" t="s">
        <v>537</v>
      </c>
      <c r="H156" s="194"/>
      <c r="I156" s="194"/>
      <c r="J156" s="189"/>
      <c r="K156" s="4466">
        <f>IF((K154+L154)&gt;0,IF((B153+K155+L155)*1.1*0.065%&lt;(300000/input!$I$5),(300000/input!$I$5),(B153+K155+L155)*1.1*0.065%),0)</f>
        <v>0</v>
      </c>
      <c r="L156" s="4467"/>
      <c r="M156" s="194"/>
      <c r="N156" s="194"/>
      <c r="O156" s="194"/>
      <c r="P156" s="194"/>
      <c r="Q156" s="194"/>
      <c r="R156" s="194"/>
      <c r="S156" s="194"/>
      <c r="T156" s="1344" t="s">
        <v>87</v>
      </c>
      <c r="U156" s="325"/>
    </row>
    <row r="157" spans="1:26" outlineLevel="1">
      <c r="A157" s="1343" t="s">
        <v>538</v>
      </c>
      <c r="B157" s="194"/>
      <c r="C157" s="194"/>
      <c r="D157" s="321"/>
      <c r="F157" s="325"/>
      <c r="G157" s="1343" t="s">
        <v>538</v>
      </c>
      <c r="H157" s="194"/>
      <c r="I157" s="194"/>
      <c r="J157" s="194"/>
      <c r="K157" s="1345"/>
      <c r="L157" s="1306"/>
      <c r="U157" s="325"/>
    </row>
    <row r="158" spans="1:26" outlineLevel="1">
      <c r="A158" s="1346" t="s">
        <v>2306</v>
      </c>
      <c r="B158" s="194">
        <v>10</v>
      </c>
      <c r="C158" s="189" t="s">
        <v>540</v>
      </c>
      <c r="D158" s="723" t="e">
        <f>B158*H152</f>
        <v>#DIV/0!</v>
      </c>
      <c r="E158" s="1344" t="s">
        <v>87</v>
      </c>
      <c r="F158" s="325"/>
      <c r="G158" s="1346" t="s">
        <v>1901</v>
      </c>
      <c r="H158" s="194">
        <v>25</v>
      </c>
      <c r="I158" s="194">
        <v>50</v>
      </c>
      <c r="J158" s="189" t="s">
        <v>554</v>
      </c>
      <c r="K158" s="723">
        <f>H158*K154</f>
        <v>0</v>
      </c>
      <c r="L158" s="723">
        <f>I158*L154</f>
        <v>0</v>
      </c>
      <c r="M158" s="194"/>
      <c r="N158" s="194"/>
      <c r="O158" s="194"/>
      <c r="P158" s="194"/>
      <c r="Q158" s="194"/>
      <c r="R158" s="194"/>
      <c r="S158" s="194"/>
      <c r="T158" s="1344" t="s">
        <v>87</v>
      </c>
      <c r="U158" s="325"/>
    </row>
    <row r="159" spans="1:26" outlineLevel="1">
      <c r="A159" s="1346" t="s">
        <v>539</v>
      </c>
      <c r="B159" s="3019">
        <v>8</v>
      </c>
      <c r="C159" s="189" t="s">
        <v>540</v>
      </c>
      <c r="D159" s="982" t="e">
        <f>B159*H152</f>
        <v>#DIV/0!</v>
      </c>
      <c r="E159" s="1344" t="s">
        <v>87</v>
      </c>
      <c r="F159" s="325"/>
      <c r="G159" s="1346" t="s">
        <v>741</v>
      </c>
      <c r="H159" s="194">
        <v>130</v>
      </c>
      <c r="I159" s="194">
        <v>190</v>
      </c>
      <c r="J159" s="189" t="s">
        <v>554</v>
      </c>
      <c r="K159" s="982">
        <f>H159*K154</f>
        <v>0</v>
      </c>
      <c r="L159" s="982">
        <f>I159*L154</f>
        <v>0</v>
      </c>
      <c r="M159" s="194"/>
      <c r="N159" s="194"/>
      <c r="O159" s="194"/>
      <c r="P159" s="194"/>
      <c r="Q159" s="194"/>
      <c r="R159" s="194"/>
      <c r="S159" s="194"/>
      <c r="T159" s="1344" t="s">
        <v>87</v>
      </c>
      <c r="U159" s="325"/>
    </row>
    <row r="160" spans="1:26" outlineLevel="1">
      <c r="A160" s="1346" t="s">
        <v>541</v>
      </c>
      <c r="B160" s="3019">
        <f>40+20</f>
        <v>60</v>
      </c>
      <c r="C160" s="189" t="s">
        <v>542</v>
      </c>
      <c r="D160" s="982" t="e">
        <f>IF(H152&gt;0,B160,0)</f>
        <v>#DIV/0!</v>
      </c>
      <c r="E160" s="1344" t="s">
        <v>87</v>
      </c>
      <c r="F160" s="325"/>
      <c r="G160" s="1346" t="s">
        <v>541</v>
      </c>
      <c r="H160" s="4465">
        <f>20+40</f>
        <v>60</v>
      </c>
      <c r="I160" s="4465"/>
      <c r="J160" s="189" t="s">
        <v>542</v>
      </c>
      <c r="K160" s="4466">
        <f>IF((K154+L154)&gt;0,H160,0)</f>
        <v>0</v>
      </c>
      <c r="L160" s="4467"/>
      <c r="M160" s="194"/>
      <c r="N160" s="194"/>
      <c r="O160" s="194"/>
      <c r="P160" s="194"/>
      <c r="Q160" s="194"/>
      <c r="R160" s="194"/>
      <c r="S160" s="194"/>
      <c r="T160" s="1344" t="s">
        <v>87</v>
      </c>
      <c r="U160" s="325"/>
    </row>
    <row r="161" spans="1:26" outlineLevel="1">
      <c r="A161" s="1346" t="s">
        <v>543</v>
      </c>
      <c r="B161" s="194">
        <v>4</v>
      </c>
      <c r="C161" s="189" t="s">
        <v>540</v>
      </c>
      <c r="D161" s="982" t="e">
        <f>B161*H152</f>
        <v>#DIV/0!</v>
      </c>
      <c r="E161" s="1344" t="s">
        <v>87</v>
      </c>
      <c r="F161" s="325"/>
      <c r="G161" s="1346" t="s">
        <v>740</v>
      </c>
      <c r="H161" s="194">
        <v>50</v>
      </c>
      <c r="I161" s="194">
        <v>100</v>
      </c>
      <c r="J161" s="189" t="s">
        <v>554</v>
      </c>
      <c r="K161" s="982">
        <f>H161*K154</f>
        <v>0</v>
      </c>
      <c r="L161" s="982">
        <f>I161*L154</f>
        <v>0</v>
      </c>
      <c r="M161" s="194"/>
      <c r="N161" s="194"/>
      <c r="O161" s="194"/>
      <c r="P161" s="194"/>
      <c r="Q161" s="194"/>
      <c r="R161" s="194"/>
      <c r="S161" s="194"/>
      <c r="T161" s="1344" t="s">
        <v>87</v>
      </c>
      <c r="U161" s="325"/>
    </row>
    <row r="162" spans="1:26" outlineLevel="1">
      <c r="A162" s="1346" t="s">
        <v>544</v>
      </c>
      <c r="B162" s="3019">
        <v>18</v>
      </c>
      <c r="C162" s="189" t="s">
        <v>540</v>
      </c>
      <c r="D162" s="982" t="e">
        <f>B162*H152</f>
        <v>#DIV/0!</v>
      </c>
      <c r="E162" s="1344" t="s">
        <v>87</v>
      </c>
      <c r="F162" s="325"/>
      <c r="G162" s="1346" t="s">
        <v>727</v>
      </c>
      <c r="H162" s="194">
        <v>15</v>
      </c>
      <c r="I162" s="194">
        <v>15</v>
      </c>
      <c r="J162" s="189" t="s">
        <v>554</v>
      </c>
      <c r="K162" s="2619">
        <f>H162*K154</f>
        <v>0</v>
      </c>
      <c r="L162" s="2619">
        <f>I162*L154</f>
        <v>0</v>
      </c>
      <c r="M162" s="194"/>
      <c r="N162" s="194"/>
      <c r="O162" s="194"/>
      <c r="P162" s="194"/>
      <c r="Q162" s="194"/>
      <c r="R162" s="194"/>
      <c r="S162" s="194"/>
      <c r="T162" s="1344" t="s">
        <v>87</v>
      </c>
      <c r="U162" s="325"/>
    </row>
    <row r="163" spans="1:26" outlineLevel="1">
      <c r="A163" s="1346" t="s">
        <v>545</v>
      </c>
      <c r="B163" s="194">
        <v>0</v>
      </c>
      <c r="C163" s="189" t="s">
        <v>540</v>
      </c>
      <c r="D163" s="982" t="e">
        <f>B163*H152</f>
        <v>#DIV/0!</v>
      </c>
      <c r="E163" s="1344" t="s">
        <v>87</v>
      </c>
      <c r="F163" s="325"/>
      <c r="G163" s="1346" t="s">
        <v>557</v>
      </c>
      <c r="H163" s="194">
        <v>12</v>
      </c>
      <c r="I163" s="194">
        <v>12</v>
      </c>
      <c r="J163" s="189" t="s">
        <v>554</v>
      </c>
      <c r="K163" s="982">
        <f>H163*K154</f>
        <v>0</v>
      </c>
      <c r="L163" s="982">
        <f>I163*L154</f>
        <v>0</v>
      </c>
      <c r="M163" s="194"/>
      <c r="N163" s="194"/>
      <c r="O163" s="194"/>
      <c r="P163" s="194"/>
      <c r="Q163" s="194"/>
      <c r="R163" s="194"/>
      <c r="S163" s="194"/>
      <c r="T163" s="1344" t="s">
        <v>87</v>
      </c>
      <c r="U163" s="325"/>
    </row>
    <row r="164" spans="1:26" outlineLevel="1">
      <c r="A164" s="1346" t="s">
        <v>729</v>
      </c>
      <c r="B164" s="189"/>
      <c r="C164" s="189"/>
      <c r="D164" s="2420" t="e">
        <f>(IF(H151&gt;0,MAX(IF(H152&lt;=V150,V151,IF(H152&lt;=W150,W151,IF(H152&lt;=X150,X151,IF(H152&lt;=Y150,Y151,IF(H152&lt;=Z150,Z151,0))))),IF(J152&lt;=V149,V151,IF(J152&lt;=W149,W151,IF(J152&lt;=X149,X151,IF(J152&lt;=Y149,Y151,IF(J152&lt;=Z149,Z151,0)))))),0)+700000)/input!$I$4</f>
        <v>#DIV/0!</v>
      </c>
      <c r="E164" s="1344" t="s">
        <v>87</v>
      </c>
      <c r="F164" s="325"/>
      <c r="G164" s="1346" t="s">
        <v>728</v>
      </c>
      <c r="H164" s="194">
        <f>Freight!$G$62/input!$I$4</f>
        <v>213.3502323616392</v>
      </c>
      <c r="I164" s="194">
        <f>Freight!$I$62/input!$I$4</f>
        <v>270.80692860160542</v>
      </c>
      <c r="J164" s="189" t="s">
        <v>554</v>
      </c>
      <c r="K164" s="982">
        <f>H164*K154</f>
        <v>0</v>
      </c>
      <c r="L164" s="982">
        <f>I164*L154</f>
        <v>0</v>
      </c>
      <c r="M164" s="194"/>
      <c r="N164" s="194"/>
      <c r="O164" s="194"/>
      <c r="P164" s="194"/>
      <c r="Q164" s="194"/>
      <c r="R164" s="194"/>
      <c r="S164" s="194"/>
      <c r="T164" s="1344" t="s">
        <v>87</v>
      </c>
      <c r="U164" s="325"/>
    </row>
    <row r="165" spans="1:26" outlineLevel="1">
      <c r="A165" s="1346" t="s">
        <v>558</v>
      </c>
      <c r="B165" s="194">
        <f>150000/input!$I$4</f>
        <v>6.3371356147021549</v>
      </c>
      <c r="C165" s="189" t="s">
        <v>542</v>
      </c>
      <c r="D165" s="982" t="e">
        <f>IF(H152&gt;0,B165,0)</f>
        <v>#DIV/0!</v>
      </c>
      <c r="E165" s="1344" t="s">
        <v>87</v>
      </c>
      <c r="F165" s="325"/>
      <c r="G165" s="1346" t="s">
        <v>558</v>
      </c>
      <c r="H165" s="4468">
        <f>150000/input!$I$4</f>
        <v>6.3371356147021549</v>
      </c>
      <c r="I165" s="4468"/>
      <c r="J165" s="189" t="s">
        <v>542</v>
      </c>
      <c r="K165" s="2394">
        <f>IF((K154+L154)&gt;0,H165,0)</f>
        <v>0</v>
      </c>
      <c r="L165" s="2395"/>
      <c r="M165" s="189"/>
      <c r="N165" s="189"/>
      <c r="O165" s="189"/>
      <c r="P165" s="189"/>
      <c r="Q165" s="189"/>
      <c r="R165" s="189"/>
      <c r="S165" s="189"/>
      <c r="T165" s="1344" t="s">
        <v>87</v>
      </c>
      <c r="U165" s="325"/>
    </row>
    <row r="166" spans="1:26" outlineLevel="1">
      <c r="A166" s="1346" t="s">
        <v>3012</v>
      </c>
      <c r="B166" s="194">
        <f>50000/input!$I$4</f>
        <v>2.1123785382340516</v>
      </c>
      <c r="C166" s="189" t="s">
        <v>3013</v>
      </c>
      <c r="D166" s="982" t="e">
        <f>IF(J152&gt;0,MAX(B166,B166*ROUNDUP(J152,0)),0)</f>
        <v>#DIV/0!</v>
      </c>
      <c r="E166" s="1344" t="s">
        <v>87</v>
      </c>
      <c r="F166" s="325"/>
      <c r="G166" s="1346" t="s">
        <v>3012</v>
      </c>
      <c r="H166" s="194">
        <f>500000/input!$I$4</f>
        <v>21.123785382340515</v>
      </c>
      <c r="I166" s="194">
        <f>1000000/input!$I$4</f>
        <v>42.247570764681029</v>
      </c>
      <c r="J166" s="189" t="s">
        <v>554</v>
      </c>
      <c r="K166" s="2619">
        <f>H166*K154</f>
        <v>0</v>
      </c>
      <c r="L166" s="2619">
        <f>I166*L154</f>
        <v>0</v>
      </c>
      <c r="M166" s="194"/>
      <c r="N166" s="194"/>
      <c r="O166" s="194"/>
      <c r="P166" s="194"/>
      <c r="Q166" s="194"/>
      <c r="R166" s="194"/>
      <c r="S166" s="194"/>
      <c r="T166" s="1344" t="s">
        <v>87</v>
      </c>
      <c r="U166" s="325"/>
    </row>
    <row r="167" spans="1:26" outlineLevel="1">
      <c r="A167" s="1346"/>
      <c r="B167" s="194"/>
      <c r="C167" s="189"/>
      <c r="D167" s="194"/>
      <c r="E167" s="1344"/>
      <c r="F167" s="325"/>
      <c r="U167" s="325"/>
    </row>
    <row r="168" spans="1:26" outlineLevel="1">
      <c r="A168" s="350"/>
      <c r="B168" s="320"/>
      <c r="C168" s="314" t="s">
        <v>2212</v>
      </c>
      <c r="D168" s="321" t="e">
        <f>SUM($D155:$D156)+SUM($D158:$D166)*(1+8%)</f>
        <v>#DIV/0!</v>
      </c>
      <c r="E168" s="1344" t="s">
        <v>87</v>
      </c>
      <c r="F168" s="325"/>
      <c r="G168" s="350"/>
      <c r="H168" s="320"/>
      <c r="J168" s="314" t="s">
        <v>2212</v>
      </c>
      <c r="K168" s="347">
        <f>SUM($K155:$L156)+SUM($K158:$L166)*(1+8%)</f>
        <v>0</v>
      </c>
      <c r="L168" s="347"/>
      <c r="M168" s="347"/>
      <c r="N168" s="347"/>
      <c r="O168" s="347"/>
      <c r="P168" s="347"/>
      <c r="Q168" s="347"/>
      <c r="R168" s="347"/>
      <c r="S168" s="347"/>
      <c r="T168" s="1344" t="s">
        <v>87</v>
      </c>
      <c r="U168" s="325"/>
    </row>
    <row r="169" spans="1:26" outlineLevel="1">
      <c r="A169" s="350"/>
      <c r="B169" s="320"/>
      <c r="C169" s="320"/>
      <c r="D169" s="321" t="e">
        <f>D168*input!$I$5</f>
        <v>#DIV/0!</v>
      </c>
      <c r="E169" s="1344" t="s">
        <v>92</v>
      </c>
      <c r="F169" s="325"/>
      <c r="G169" s="350"/>
      <c r="H169" s="320"/>
      <c r="J169" s="320"/>
      <c r="K169" s="347">
        <f>K168*input!$I$5</f>
        <v>0</v>
      </c>
      <c r="L169" s="347"/>
      <c r="M169" s="347"/>
      <c r="N169" s="347"/>
      <c r="O169" s="347"/>
      <c r="P169" s="347"/>
      <c r="Q169" s="347"/>
      <c r="R169" s="347"/>
      <c r="S169" s="347"/>
      <c r="T169" s="1344" t="s">
        <v>92</v>
      </c>
      <c r="U169" s="325"/>
    </row>
    <row r="170" spans="1:26" outlineLevel="1">
      <c r="A170" s="329"/>
      <c r="D170" s="1347" t="e">
        <f>D169/$F$1</f>
        <v>#DIV/0!</v>
      </c>
      <c r="E170" s="1344" t="s">
        <v>92</v>
      </c>
      <c r="F170" s="1348" t="s">
        <v>792</v>
      </c>
      <c r="G170" s="329"/>
      <c r="K170" s="1349">
        <f>K169/$F$1</f>
        <v>0</v>
      </c>
      <c r="L170" s="1349"/>
      <c r="M170" s="1349"/>
      <c r="N170" s="1349"/>
      <c r="O170" s="1349"/>
      <c r="P170" s="1349"/>
      <c r="Q170" s="1349"/>
      <c r="R170" s="1349"/>
      <c r="S170" s="1349"/>
      <c r="T170" s="1344" t="s">
        <v>92</v>
      </c>
      <c r="U170" s="1348" t="s">
        <v>792</v>
      </c>
    </row>
    <row r="171" spans="1:26" outlineLevel="1">
      <c r="A171" s="3080"/>
      <c r="C171" s="320" t="s">
        <v>459</v>
      </c>
      <c r="D171" s="1323">
        <f>input!$D$5</f>
        <v>0</v>
      </c>
      <c r="E171" s="1344"/>
      <c r="F171" s="1344"/>
      <c r="G171" s="3080"/>
      <c r="J171" s="320" t="s">
        <v>459</v>
      </c>
      <c r="K171" s="1323">
        <f>input!$D$5</f>
        <v>0</v>
      </c>
      <c r="L171" s="1351"/>
      <c r="M171" s="1351"/>
      <c r="N171" s="1351"/>
      <c r="O171" s="1351"/>
      <c r="P171" s="1351"/>
      <c r="Q171" s="1351"/>
      <c r="R171" s="1351"/>
      <c r="S171" s="1351"/>
      <c r="T171" s="1344"/>
      <c r="U171" s="3081"/>
    </row>
    <row r="172" spans="1:26">
      <c r="A172" s="329"/>
      <c r="C172" s="346" t="s">
        <v>546</v>
      </c>
      <c r="D172" s="1350" t="e">
        <f>D170*(1+D171)</f>
        <v>#DIV/0!</v>
      </c>
      <c r="E172" s="1344" t="s">
        <v>92</v>
      </c>
      <c r="F172" s="1344" t="s">
        <v>792</v>
      </c>
      <c r="G172" s="329"/>
      <c r="J172" s="346" t="s">
        <v>546</v>
      </c>
      <c r="K172" s="1352">
        <f>K170*(1+K171)</f>
        <v>0</v>
      </c>
      <c r="L172" s="1352"/>
      <c r="M172" s="1352"/>
      <c r="N172" s="1352"/>
      <c r="O172" s="1352"/>
      <c r="P172" s="1352"/>
      <c r="Q172" s="1352"/>
      <c r="R172" s="1352"/>
      <c r="S172" s="1352"/>
      <c r="T172" s="1344" t="s">
        <v>92</v>
      </c>
      <c r="U172" s="1348" t="s">
        <v>792</v>
      </c>
    </row>
    <row r="173" spans="1:26" outlineLevel="1"/>
    <row r="174" spans="1:26" outlineLevel="1" collapsed="1">
      <c r="A174" s="1313" t="s">
        <v>1723</v>
      </c>
      <c r="B174" s="319"/>
      <c r="V174" s="3989"/>
    </row>
    <row r="175" spans="1:26" outlineLevel="1">
      <c r="A175" s="2122" t="s">
        <v>3252</v>
      </c>
      <c r="B175" s="2122"/>
      <c r="C175" s="2122"/>
      <c r="D175" s="2122"/>
      <c r="E175" s="2122"/>
      <c r="F175" s="2122"/>
      <c r="G175" s="3993" t="s">
        <v>2243</v>
      </c>
      <c r="H175" s="2122"/>
      <c r="V175" s="316"/>
      <c r="W175" s="3990"/>
      <c r="X175" s="316"/>
      <c r="Y175" s="981"/>
      <c r="Z175" s="316"/>
    </row>
    <row r="176" spans="1:26" outlineLevel="1">
      <c r="A176" s="1313" t="str">
        <f>'STD packing nominate acc'!A20</f>
        <v> Crayon </v>
      </c>
      <c r="G176" s="1307">
        <v>5</v>
      </c>
      <c r="H176" s="322" t="s">
        <v>524</v>
      </c>
      <c r="I176" s="189"/>
      <c r="J176" s="189"/>
      <c r="V176" s="316"/>
      <c r="W176" s="383"/>
    </row>
    <row r="177" spans="1:27" outlineLevel="1">
      <c r="B177" s="320" t="s">
        <v>529</v>
      </c>
      <c r="C177" s="335">
        <f>$H$1*G176</f>
        <v>25750</v>
      </c>
      <c r="D177" s="320" t="s">
        <v>287</v>
      </c>
      <c r="G177" s="189" t="s">
        <v>530</v>
      </c>
      <c r="H177" s="189">
        <f>VLOOKUP(A176,'STD packing nominate acc'!$A$20:$G$27,2,0)</f>
        <v>3000</v>
      </c>
      <c r="I177" s="189" t="s">
        <v>531</v>
      </c>
      <c r="J177" s="1308">
        <f>VLOOKUP(A176,'STD packing nominate acc'!$A$20:$G$27,7,0)</f>
        <v>3.0192750000000001E-2</v>
      </c>
      <c r="K177" s="189" t="s">
        <v>532</v>
      </c>
      <c r="V177" s="316"/>
    </row>
    <row r="178" spans="1:27" outlineLevel="1">
      <c r="B178" s="320" t="s">
        <v>445</v>
      </c>
      <c r="C178" s="1303"/>
      <c r="D178" s="326" t="s">
        <v>561</v>
      </c>
      <c r="G178" s="189" t="s">
        <v>533</v>
      </c>
      <c r="H178" s="189">
        <f>ROUNDUP(C177/H177,0)</f>
        <v>9</v>
      </c>
      <c r="I178" s="189" t="s">
        <v>534</v>
      </c>
      <c r="J178" s="1309">
        <f>VLOOKUP(A176,'STD packing nominate acc'!$A$20:$G$27,3,0)</f>
        <v>18</v>
      </c>
      <c r="K178" s="189" t="s">
        <v>562</v>
      </c>
    </row>
    <row r="179" spans="1:27" outlineLevel="1">
      <c r="B179" s="320" t="s">
        <v>21</v>
      </c>
      <c r="C179" s="348">
        <f>C178*C177</f>
        <v>0</v>
      </c>
      <c r="D179" s="320" t="s">
        <v>87</v>
      </c>
      <c r="G179" s="320" t="s">
        <v>260</v>
      </c>
      <c r="H179" s="3252">
        <f>ROUNDUP(H178*J178/1000,1)</f>
        <v>0.2</v>
      </c>
      <c r="I179" s="189" t="s">
        <v>563</v>
      </c>
      <c r="J179" s="189">
        <f>VLOOKUP(A176,'STD packing nominate acc'!$A$20:$G$27,4,0)</f>
        <v>40</v>
      </c>
      <c r="K179" s="136" t="s">
        <v>2242</v>
      </c>
      <c r="P179" s="3972"/>
      <c r="Q179" s="3973"/>
      <c r="R179" s="3973"/>
      <c r="S179" s="3973"/>
      <c r="T179" s="3973"/>
      <c r="U179" s="3991" t="s">
        <v>3484</v>
      </c>
      <c r="V179" s="3974">
        <f>IFERROR(IF(VLOOKUP(H179,R181:R186,1,0)&gt;0,H179,LOOKUP(H179,Q181:Q187,R181:R187)),LOOKUP(H179,Q181:Q187,R181:R187))</f>
        <v>1.1000000000000001</v>
      </c>
      <c r="W179" s="3974">
        <f>IFERROR(IF(VLOOKUP(J180,I181:I186,1,0)&gt;0,J180,LOOKUP(J180,P181:P187,I181:I187)),LOOKUP(J180,P181:P187,I181:I187))</f>
        <v>2</v>
      </c>
      <c r="X179" s="3973"/>
      <c r="Y179" s="3973"/>
      <c r="Z179" s="3975"/>
    </row>
    <row r="180" spans="1:27" outlineLevel="1">
      <c r="A180" s="320"/>
      <c r="B180" s="314" t="s">
        <v>564</v>
      </c>
      <c r="C180" s="3466">
        <f>IFERROR(INDEX(H181:H186,MATCH(V181,T181:T186,0),1),X185)</f>
        <v>459000</v>
      </c>
      <c r="D180" s="326" t="s">
        <v>92</v>
      </c>
      <c r="G180" s="3468" t="s">
        <v>968</v>
      </c>
      <c r="H180" s="2622" t="s">
        <v>2243</v>
      </c>
      <c r="I180" s="3473" t="s">
        <v>970</v>
      </c>
      <c r="J180" s="3474">
        <f>IF(G175="pallet",ROUNDUP(H178/J179,0),H178)</f>
        <v>1</v>
      </c>
      <c r="K180" s="136" t="str">
        <f>IF(G175="Pallet","Pallet","CTN")</f>
        <v>Pallet</v>
      </c>
      <c r="P180" s="3976" t="s">
        <v>3744</v>
      </c>
      <c r="Q180" s="3450" t="s">
        <v>3745</v>
      </c>
      <c r="R180" s="3450" t="s">
        <v>3746</v>
      </c>
      <c r="S180" s="3450" t="str">
        <f>K180</f>
        <v>Pallet</v>
      </c>
      <c r="T180" s="3463" t="s">
        <v>3594</v>
      </c>
      <c r="U180" s="3992" t="s">
        <v>3485</v>
      </c>
      <c r="V180" s="3962">
        <f>VLOOKUP(V179,R181:T187,3,0)</f>
        <v>1</v>
      </c>
      <c r="W180" s="3962">
        <f>VLOOKUP(W179,I181:T187,4,0)</f>
        <v>0</v>
      </c>
      <c r="Z180" s="3977"/>
    </row>
    <row r="181" spans="1:27" outlineLevel="1">
      <c r="B181" s="314" t="s">
        <v>634</v>
      </c>
      <c r="C181" s="348">
        <v>600000</v>
      </c>
      <c r="D181" s="326" t="s">
        <v>92</v>
      </c>
      <c r="G181" s="3467" t="s">
        <v>2053</v>
      </c>
      <c r="H181" s="2623">
        <f>INDEX('STD packing nominate acc'!$H$32:$Q$33,MATCH($G$175,'STD packing nominate acc'!$F$32:$F$33,0),MATCH(G181,'STD packing nominate acc'!$H$19:$Q$19,0))</f>
        <v>459000</v>
      </c>
      <c r="I181" s="3469">
        <v>2</v>
      </c>
      <c r="P181" s="3976">
        <v>0</v>
      </c>
      <c r="Q181" s="3450">
        <v>0</v>
      </c>
      <c r="R181" s="3470">
        <v>1.1000000000000001</v>
      </c>
      <c r="S181" s="3957">
        <f>IF($G$175="Pallet",I181,INDEX('STD packing nominate acc'!$H$20:$Q$27,MATCH($A$176,'STD packing nominate acc'!$A$20:$A$27,0),MATCH($G181,'STD packing nominate acc'!$H$19:$Q$19,0)))</f>
        <v>2</v>
      </c>
      <c r="T181" s="3463">
        <v>1</v>
      </c>
      <c r="U181" s="3992" t="s">
        <v>3486</v>
      </c>
      <c r="V181" s="3962">
        <f>MAX(V180:W180)</f>
        <v>1</v>
      </c>
      <c r="W181" s="3962"/>
      <c r="X181" s="136" t="s">
        <v>3747</v>
      </c>
      <c r="Z181" s="3977"/>
    </row>
    <row r="182" spans="1:27" outlineLevel="1">
      <c r="B182" s="314"/>
      <c r="C182" s="348"/>
      <c r="D182" s="326"/>
      <c r="G182" s="3954" t="s">
        <v>565</v>
      </c>
      <c r="H182" s="2623">
        <f>INDEX('STD packing nominate acc'!$H$32:$Q$33,MATCH($G$175,'STD packing nominate acc'!$F$32:$F$33,0),MATCH(G182,'STD packing nominate acc'!$H$19:$Q$19,0))</f>
        <v>510000</v>
      </c>
      <c r="I182" s="3955">
        <v>3</v>
      </c>
      <c r="P182" s="3978">
        <f t="shared" ref="P182:P187" si="0">S181</f>
        <v>2</v>
      </c>
      <c r="Q182" s="3450">
        <v>1.1000000000000001</v>
      </c>
      <c r="R182" s="3470">
        <v>1.8</v>
      </c>
      <c r="S182" s="3957">
        <f>IF($G$175="Pallet",I182,INDEX('STD packing nominate acc'!$H$20:$Q$27,MATCH($A$176,'STD packing nominate acc'!$A$20:$A$27,0),MATCH($G182,'STD packing nominate acc'!$H$19:$Q$19,0)))</f>
        <v>3</v>
      </c>
      <c r="T182" s="3463">
        <f t="shared" ref="T182:T187" si="1">T181+1</f>
        <v>2</v>
      </c>
      <c r="U182" s="3956"/>
      <c r="V182" s="3956"/>
      <c r="W182" s="3956"/>
      <c r="X182" s="136" t="s">
        <v>3748</v>
      </c>
      <c r="Z182" s="3977"/>
    </row>
    <row r="183" spans="1:27" outlineLevel="1">
      <c r="B183" s="314" t="s">
        <v>2241</v>
      </c>
      <c r="C183" s="2404">
        <f>IF(G175="pallet",IF(150000/20*J180&lt;150000,150000,150000/20*J180),0)</f>
        <v>150000</v>
      </c>
      <c r="D183" s="326" t="s">
        <v>92</v>
      </c>
      <c r="G183" s="3467" t="s">
        <v>633</v>
      </c>
      <c r="H183" s="2623">
        <f>INDEX('STD packing nominate acc'!$H$32:$Q$33,MATCH($G$175,'STD packing nominate acc'!$F$32:$F$33,0),MATCH(G183,'STD packing nominate acc'!$H$19:$Q$19,0))</f>
        <v>764000</v>
      </c>
      <c r="I183" s="3469">
        <v>8</v>
      </c>
      <c r="P183" s="3976">
        <f t="shared" si="0"/>
        <v>3</v>
      </c>
      <c r="Q183" s="3450">
        <v>1.8</v>
      </c>
      <c r="R183" s="3470">
        <v>4.8000000000000007</v>
      </c>
      <c r="S183" s="3957">
        <f>IF($G$175="Pallet",I183,INDEX('STD packing nominate acc'!$H$20:$Q$27,MATCH($A$176,'STD packing nominate acc'!$A$20:$A$27,0),MATCH($G183,'STD packing nominate acc'!$H$19:$Q$19,0)))</f>
        <v>8</v>
      </c>
      <c r="T183" s="3463">
        <f t="shared" si="1"/>
        <v>3</v>
      </c>
      <c r="Z183" s="3977"/>
    </row>
    <row r="184" spans="1:27" outlineLevel="1">
      <c r="B184" s="314" t="s">
        <v>566</v>
      </c>
      <c r="C184" s="348">
        <f>SUM(C180:C183)</f>
        <v>1209000</v>
      </c>
      <c r="D184" s="136" t="s">
        <v>92</v>
      </c>
      <c r="G184" s="3467" t="s">
        <v>681</v>
      </c>
      <c r="H184" s="2623">
        <f>INDEX('STD packing nominate acc'!$H$32:$Q$33,MATCH($G$175,'STD packing nominate acc'!$F$32:$F$33,0),MATCH(G184,'STD packing nominate acc'!$H$19:$Q$19,0))</f>
        <v>823000</v>
      </c>
      <c r="I184" s="3469">
        <v>10</v>
      </c>
      <c r="P184" s="3976">
        <f t="shared" si="0"/>
        <v>8</v>
      </c>
      <c r="Q184" s="3450">
        <v>4.8</v>
      </c>
      <c r="R184" s="3470">
        <v>6</v>
      </c>
      <c r="S184" s="3957">
        <f>IF($G$175="Pallet",I184,INDEX('STD packing nominate acc'!$H$20:$Q$27,MATCH($A$176,'STD packing nominate acc'!$A$20:$A$27,0),MATCH($G184,'STD packing nominate acc'!$H$19:$Q$19,0)))</f>
        <v>10</v>
      </c>
      <c r="T184" s="3463">
        <f t="shared" si="1"/>
        <v>4</v>
      </c>
      <c r="Z184" s="3977"/>
    </row>
    <row r="185" spans="1:27" outlineLevel="1">
      <c r="B185" s="314" t="s">
        <v>567</v>
      </c>
      <c r="C185" s="333">
        <f>C184/$F$1</f>
        <v>241.8</v>
      </c>
      <c r="D185" s="1344" t="str">
        <f>D184</f>
        <v>VND</v>
      </c>
      <c r="G185" s="3467" t="s">
        <v>682</v>
      </c>
      <c r="H185" s="2623">
        <f>INDEX('STD packing nominate acc'!$H$32:$Q$33,MATCH($G$175,'STD packing nominate acc'!$F$32:$F$33,0),MATCH(G185,'STD packing nominate acc'!$H$19:$Q$19,0))</f>
        <v>1019000</v>
      </c>
      <c r="I185" s="3469">
        <v>12</v>
      </c>
      <c r="P185" s="3979">
        <f t="shared" si="0"/>
        <v>10</v>
      </c>
      <c r="Q185" s="3450">
        <v>6</v>
      </c>
      <c r="R185" s="3470">
        <v>8</v>
      </c>
      <c r="S185" s="3957">
        <f>IF($G$175="Pallet",I185,INDEX('STD packing nominate acc'!$H$20:$Q$27,MATCH($A$176,'STD packing nominate acc'!$A$20:$A$27,0),MATCH($G185,'STD packing nominate acc'!$H$19:$Q$19,0)))</f>
        <v>12</v>
      </c>
      <c r="T185" s="3463">
        <f t="shared" si="1"/>
        <v>5</v>
      </c>
      <c r="X185" s="3963">
        <f>VLOOKUP("đúng",Y186:Z189,2,0)</f>
        <v>459000</v>
      </c>
      <c r="Z185" s="3977"/>
    </row>
    <row r="186" spans="1:27" outlineLevel="1">
      <c r="B186" s="314"/>
      <c r="C186" s="333"/>
      <c r="D186" s="1344"/>
      <c r="G186" s="3471" t="s">
        <v>683</v>
      </c>
      <c r="H186" s="2623">
        <f>INDEX('STD packing nominate acc'!$H$32:$Q$33,MATCH($G$175,'STD packing nominate acc'!$F$32:$F$33,0),MATCH(G186,'STD packing nominate acc'!$H$19:$Q$19,0))</f>
        <v>1273000</v>
      </c>
      <c r="I186" s="3472">
        <v>14</v>
      </c>
      <c r="P186" s="3979">
        <f t="shared" si="0"/>
        <v>12</v>
      </c>
      <c r="Q186" s="3450">
        <v>8</v>
      </c>
      <c r="R186" s="3470">
        <v>15</v>
      </c>
      <c r="S186" s="3957">
        <f>IF($G$175="Pallet",I186,INDEX('STD packing nominate acc'!$H$20:$Q$27,MATCH($A$176,'STD packing nominate acc'!$A$20:$A$27,0),MATCH($G186,'STD packing nominate acc'!$H$19:$Q$19,0)))</f>
        <v>14</v>
      </c>
      <c r="T186" s="3463">
        <f t="shared" si="1"/>
        <v>6</v>
      </c>
      <c r="U186" s="136" t="s">
        <v>3489</v>
      </c>
      <c r="V186" s="3964">
        <f>ROUNDDOWN(H179/Q187,0)</f>
        <v>0</v>
      </c>
      <c r="W186" s="3965">
        <f>S186</f>
        <v>14</v>
      </c>
      <c r="X186" s="981"/>
      <c r="Y186" s="3966" t="str">
        <f>IF(J180&gt;(W186*V186+W188),"sai","đúng")</f>
        <v>đúng</v>
      </c>
      <c r="Z186" s="3980">
        <f>INDEX(H181:H186,MATCH(V188,R181:R186,0),1)+H186*V186</f>
        <v>459000</v>
      </c>
      <c r="AA186" s="2178" t="s">
        <v>3752</v>
      </c>
    </row>
    <row r="187" spans="1:27" outlineLevel="1">
      <c r="G187" s="3450"/>
      <c r="H187" s="3450"/>
      <c r="I187" s="3463" t="s">
        <v>3487</v>
      </c>
      <c r="P187" s="3976">
        <f t="shared" si="0"/>
        <v>14</v>
      </c>
      <c r="Q187" s="3450">
        <v>15</v>
      </c>
      <c r="R187" s="3450" t="s">
        <v>3487</v>
      </c>
      <c r="S187" s="3450"/>
      <c r="T187" s="3463">
        <f t="shared" si="1"/>
        <v>7</v>
      </c>
      <c r="U187" s="136" t="s">
        <v>3488</v>
      </c>
      <c r="V187" s="3967">
        <f>H179-V186*Q187</f>
        <v>0.2</v>
      </c>
      <c r="W187" s="3965"/>
      <c r="Y187" s="3565"/>
      <c r="Z187" s="3981"/>
    </row>
    <row r="188" spans="1:27" outlineLevel="1">
      <c r="P188" s="3982"/>
      <c r="U188" s="136" t="s">
        <v>3490</v>
      </c>
      <c r="V188" s="3967">
        <f>IFERROR(IF(VLOOKUP(V187,R181:R186,1,0)&gt;0,V187,LOOKUP(V187,Q181:Q187,R181:R187)),LOOKUP(V187,Q181:Q187,R181:R187))</f>
        <v>1.1000000000000001</v>
      </c>
      <c r="W188" s="3641">
        <f>VLOOKUP(V188,R181:S186,2,0)</f>
        <v>2</v>
      </c>
      <c r="Y188" s="3565"/>
      <c r="Z188" s="3981"/>
    </row>
    <row r="189" spans="1:27" outlineLevel="1">
      <c r="P189" s="3982"/>
      <c r="U189" s="136" t="s">
        <v>3489</v>
      </c>
      <c r="V189" s="3968">
        <f>Q187</f>
        <v>15</v>
      </c>
      <c r="W189" s="3969">
        <f>ROUNDDOWN(J180/S186,0)</f>
        <v>0</v>
      </c>
      <c r="X189" s="3970"/>
      <c r="Y189" s="3966" t="str">
        <f>IF(H179&gt;(V189*W189+V191),"sai","đúng")</f>
        <v>đúng</v>
      </c>
      <c r="Z189" s="3983">
        <f>INDEX(H181:H186,MATCH(W191,S181:S186,0),1)+H186*W189</f>
        <v>459000</v>
      </c>
    </row>
    <row r="190" spans="1:27" outlineLevel="1">
      <c r="P190" s="3982"/>
      <c r="U190" s="136" t="s">
        <v>3491</v>
      </c>
      <c r="V190" s="3968"/>
      <c r="W190" s="3971">
        <f>J180-W189*S186</f>
        <v>1</v>
      </c>
      <c r="Z190" s="3977"/>
    </row>
    <row r="191" spans="1:27" outlineLevel="1">
      <c r="P191" s="3984"/>
      <c r="Q191" s="3985"/>
      <c r="R191" s="3985"/>
      <c r="S191" s="3985"/>
      <c r="T191" s="3985"/>
      <c r="U191" s="3985" t="s">
        <v>3490</v>
      </c>
      <c r="V191" s="3986">
        <f>INDEX($R181:$R187,MATCH(W191,$S181:$S187,0),1)</f>
        <v>1.1000000000000001</v>
      </c>
      <c r="W191" s="3987">
        <f>IFERROR(IF(VLOOKUP(W190,S181:S186,1,0)&gt;0,W190,LOOKUP(W190,P181:P187,S181:S187)),LOOKUP(W190,P181:P187,S181:S187))</f>
        <v>2</v>
      </c>
      <c r="X191" s="3985"/>
      <c r="Y191" s="3985"/>
      <c r="Z191" s="3988"/>
    </row>
    <row r="192" spans="1:27" outlineLevel="1">
      <c r="A192" s="1313" t="s">
        <v>1723</v>
      </c>
      <c r="B192" s="319"/>
    </row>
    <row r="193" spans="1:26" outlineLevel="1">
      <c r="A193" s="2122" t="s">
        <v>3252</v>
      </c>
      <c r="B193" s="2122"/>
      <c r="C193" s="2122"/>
      <c r="D193" s="2122"/>
      <c r="E193" s="2122"/>
      <c r="F193" s="2122"/>
      <c r="G193" s="3993" t="s">
        <v>2243</v>
      </c>
    </row>
    <row r="194" spans="1:26" outlineLevel="1">
      <c r="A194" s="1313" t="str">
        <f>'STD packing nominate acc'!A21</f>
        <v> Short Pencil </v>
      </c>
      <c r="G194" s="1307">
        <v>100</v>
      </c>
      <c r="H194" s="322" t="s">
        <v>524</v>
      </c>
      <c r="I194" s="189"/>
      <c r="J194" s="189"/>
    </row>
    <row r="195" spans="1:26" outlineLevel="1">
      <c r="B195" s="320" t="s">
        <v>529</v>
      </c>
      <c r="C195" s="335">
        <f>$H$1*G194</f>
        <v>515000</v>
      </c>
      <c r="D195" s="320" t="s">
        <v>287</v>
      </c>
      <c r="G195" s="189" t="s">
        <v>530</v>
      </c>
      <c r="H195" s="189">
        <f>VLOOKUP(A194,'STD packing nominate acc'!$A$20:$G$27,2,0)</f>
        <v>3456</v>
      </c>
      <c r="I195" s="189" t="s">
        <v>531</v>
      </c>
      <c r="J195" s="1308">
        <f>VLOOKUP(A194,'STD packing nominate acc'!$A$20:$G$27,7,0)</f>
        <v>1.0783124999999999E-2</v>
      </c>
      <c r="K195" s="189" t="s">
        <v>532</v>
      </c>
    </row>
    <row r="196" spans="1:26" outlineLevel="1">
      <c r="B196" s="320" t="s">
        <v>445</v>
      </c>
      <c r="C196" s="1303"/>
      <c r="D196" s="326" t="s">
        <v>561</v>
      </c>
      <c r="G196" s="189" t="s">
        <v>533</v>
      </c>
      <c r="H196" s="189">
        <f>ROUNDUP(C195/H195,0)</f>
        <v>150</v>
      </c>
      <c r="I196" s="189" t="s">
        <v>534</v>
      </c>
      <c r="J196" s="1309">
        <f>VLOOKUP(A194,'STD packing nominate acc'!$A$20:$G$27,3,0)</f>
        <v>10</v>
      </c>
      <c r="K196" s="189" t="s">
        <v>562</v>
      </c>
    </row>
    <row r="197" spans="1:26" outlineLevel="1">
      <c r="B197" s="320" t="s">
        <v>21</v>
      </c>
      <c r="C197" s="348">
        <f>C196*C195</f>
        <v>0</v>
      </c>
      <c r="D197" s="320" t="s">
        <v>87</v>
      </c>
      <c r="G197" s="320" t="s">
        <v>260</v>
      </c>
      <c r="H197" s="136">
        <f>ROUNDUP(H196*J196/1000,1)</f>
        <v>1.5</v>
      </c>
      <c r="I197" s="189" t="s">
        <v>563</v>
      </c>
      <c r="J197" s="189">
        <f>VLOOKUP(A194,'STD packing nominate acc'!$A$20:$G$27,4,0)</f>
        <v>56</v>
      </c>
      <c r="K197" s="136" t="s">
        <v>2242</v>
      </c>
      <c r="P197" s="3972"/>
      <c r="Q197" s="3973"/>
      <c r="R197" s="3973"/>
      <c r="S197" s="3973"/>
      <c r="T197" s="3973"/>
      <c r="U197" s="3991" t="s">
        <v>3484</v>
      </c>
      <c r="V197" s="3974">
        <f>IFERROR(IF(VLOOKUP(H197,R199:R204,1,0)&gt;0,H197,LOOKUP(H197,Q199:Q205,R199:R205)),LOOKUP(H197,Q199:Q205,R199:R205))</f>
        <v>1.8</v>
      </c>
      <c r="W197" s="3974">
        <f>IFERROR(IF(VLOOKUP(J198,I199:I204,1,0)&gt;0,J198,LOOKUP(J198,P199:P205,I199:I205)),LOOKUP(J198,P199:P205,I199:I205))</f>
        <v>2</v>
      </c>
      <c r="X197" s="3973"/>
      <c r="Y197" s="3973"/>
      <c r="Z197" s="3975"/>
    </row>
    <row r="198" spans="1:26" outlineLevel="1">
      <c r="A198" s="320"/>
      <c r="B198" s="314" t="s">
        <v>564</v>
      </c>
      <c r="C198" s="3466">
        <f>IFERROR(INDEX(H199:H204,MATCH(V199,L199:L204,0),1),X203)</f>
        <v>510000</v>
      </c>
      <c r="D198" s="326" t="s">
        <v>92</v>
      </c>
      <c r="G198" s="2622" t="s">
        <v>968</v>
      </c>
      <c r="H198" s="2622" t="s">
        <v>969</v>
      </c>
      <c r="I198" s="2622" t="s">
        <v>970</v>
      </c>
      <c r="J198" s="3474">
        <f>IF(G193="pallet",ROUNDUP(H196/J197,0),H196)*0+1</f>
        <v>1</v>
      </c>
      <c r="K198" s="136" t="str">
        <f>IF(G193="Pallet","Pallet","CTN")</f>
        <v>Pallet</v>
      </c>
      <c r="P198" s="3976" t="s">
        <v>3744</v>
      </c>
      <c r="Q198" s="3450" t="s">
        <v>3745</v>
      </c>
      <c r="R198" s="3450" t="s">
        <v>3746</v>
      </c>
      <c r="S198" s="3450" t="str">
        <f>K198</f>
        <v>Pallet</v>
      </c>
      <c r="T198" s="3463" t="s">
        <v>3594</v>
      </c>
      <c r="U198" s="3992" t="s">
        <v>3485</v>
      </c>
      <c r="V198" s="3962">
        <f>VLOOKUP(V197,R199:T205,3,0)</f>
        <v>2</v>
      </c>
      <c r="W198" s="3962">
        <f>VLOOKUP(W197,I199:T205,4,0)</f>
        <v>1</v>
      </c>
      <c r="Z198" s="3977"/>
    </row>
    <row r="199" spans="1:26" outlineLevel="1">
      <c r="B199" s="314" t="s">
        <v>634</v>
      </c>
      <c r="C199" s="348">
        <v>600000</v>
      </c>
      <c r="D199" s="326" t="s">
        <v>92</v>
      </c>
      <c r="E199" s="136">
        <f>P181</f>
        <v>0</v>
      </c>
      <c r="F199" s="136">
        <f>Q181</f>
        <v>0</v>
      </c>
      <c r="G199" s="3467" t="s">
        <v>2053</v>
      </c>
      <c r="H199" s="2623">
        <f>INDEX('STD packing nominate acc'!$H$32:$Q$33,MATCH($G$175,'STD packing nominate acc'!$F$32:$F$33,0),MATCH(G199,'STD packing nominate acc'!$H$19:$Q$19,0))</f>
        <v>459000</v>
      </c>
      <c r="I199" s="3469">
        <v>2</v>
      </c>
      <c r="J199" s="189">
        <f>R181</f>
        <v>1.1000000000000001</v>
      </c>
      <c r="K199" s="136">
        <f>S181</f>
        <v>2</v>
      </c>
      <c r="L199" s="136">
        <f>T181</f>
        <v>1</v>
      </c>
      <c r="P199" s="3976">
        <v>0</v>
      </c>
      <c r="Q199" s="3450">
        <v>0</v>
      </c>
      <c r="R199" s="3470">
        <v>1.1000000000000001</v>
      </c>
      <c r="S199" s="3957">
        <f>IF($G$193="Pallet",I199,INDEX('STD packing nominate acc'!$H$20:$Q$27,MATCH($A$176,'STD packing nominate acc'!$A$20:$A$27,0),MATCH($G199,'STD packing nominate acc'!$H$19:$Q$19,0)))</f>
        <v>2</v>
      </c>
      <c r="T199" s="3463">
        <v>1</v>
      </c>
      <c r="U199" s="3992" t="s">
        <v>3486</v>
      </c>
      <c r="V199" s="3962">
        <f>MAX(V198:W198)</f>
        <v>2</v>
      </c>
      <c r="W199" s="3962"/>
      <c r="X199" s="136" t="s">
        <v>3747</v>
      </c>
      <c r="Z199" s="3977"/>
    </row>
    <row r="200" spans="1:26" outlineLevel="1">
      <c r="B200" s="314"/>
      <c r="C200" s="348"/>
      <c r="D200" s="326"/>
      <c r="G200" s="3954" t="s">
        <v>565</v>
      </c>
      <c r="H200" s="2623">
        <f>INDEX('STD packing nominate acc'!$H$32:$Q$33,MATCH($G$175,'STD packing nominate acc'!$F$32:$F$33,0),MATCH(G200,'STD packing nominate acc'!$H$19:$Q$19,0))</f>
        <v>510000</v>
      </c>
      <c r="I200" s="3955">
        <v>3</v>
      </c>
      <c r="J200" s="189"/>
      <c r="P200" s="3978">
        <f t="shared" ref="P200:P205" si="2">S199</f>
        <v>2</v>
      </c>
      <c r="Q200" s="3450">
        <v>1.1000000000000001</v>
      </c>
      <c r="R200" s="3470">
        <v>1.8</v>
      </c>
      <c r="S200" s="3957">
        <f>IF($G$193="Pallet",I200,INDEX('STD packing nominate acc'!$H$20:$Q$27,MATCH($A$176,'STD packing nominate acc'!$A$20:$A$27,0),MATCH($G200,'STD packing nominate acc'!$H$19:$Q$19,0)))</f>
        <v>3</v>
      </c>
      <c r="T200" s="3463">
        <f t="shared" ref="T200:T205" si="3">T199+1</f>
        <v>2</v>
      </c>
      <c r="U200" s="3956"/>
      <c r="V200" s="3956"/>
      <c r="W200" s="3956"/>
      <c r="X200" s="136" t="s">
        <v>3748</v>
      </c>
      <c r="Z200" s="3977"/>
    </row>
    <row r="201" spans="1:26" outlineLevel="1">
      <c r="B201" s="314" t="s">
        <v>2241</v>
      </c>
      <c r="C201" s="2404">
        <f>IF(G193="pallet",IF(150000/20*J198&lt;150000,150000,150000/20*J198),0)</f>
        <v>150000</v>
      </c>
      <c r="D201" s="326" t="s">
        <v>92</v>
      </c>
      <c r="E201" s="136">
        <f t="shared" ref="E201:F205" si="4">P183</f>
        <v>3</v>
      </c>
      <c r="F201" s="136">
        <f t="shared" si="4"/>
        <v>1.8</v>
      </c>
      <c r="G201" s="3467" t="s">
        <v>633</v>
      </c>
      <c r="H201" s="2623">
        <f>INDEX('STD packing nominate acc'!$H$32:$Q$33,MATCH($G$175,'STD packing nominate acc'!$F$32:$F$33,0),MATCH(G201,'STD packing nominate acc'!$H$19:$Q$19,0))</f>
        <v>764000</v>
      </c>
      <c r="I201" s="3469">
        <v>8</v>
      </c>
      <c r="J201" s="189">
        <f t="shared" ref="J201:L205" si="5">R183</f>
        <v>4.8000000000000007</v>
      </c>
      <c r="K201" s="136">
        <f t="shared" si="5"/>
        <v>8</v>
      </c>
      <c r="L201" s="136">
        <f t="shared" si="5"/>
        <v>3</v>
      </c>
      <c r="P201" s="3976">
        <f t="shared" si="2"/>
        <v>3</v>
      </c>
      <c r="Q201" s="3450">
        <v>1.8</v>
      </c>
      <c r="R201" s="3470">
        <v>4.8000000000000007</v>
      </c>
      <c r="S201" s="3957">
        <f>IF($G$193="Pallet",I201,INDEX('STD packing nominate acc'!$H$20:$Q$27,MATCH($A$176,'STD packing nominate acc'!$A$20:$A$27,0),MATCH($G201,'STD packing nominate acc'!$H$19:$Q$19,0)))</f>
        <v>8</v>
      </c>
      <c r="T201" s="3463">
        <f t="shared" si="3"/>
        <v>3</v>
      </c>
      <c r="Z201" s="3977"/>
    </row>
    <row r="202" spans="1:26" outlineLevel="1">
      <c r="B202" s="314" t="s">
        <v>566</v>
      </c>
      <c r="C202" s="348">
        <f>SUM(C198:C201)</f>
        <v>1260000</v>
      </c>
      <c r="D202" s="136" t="s">
        <v>92</v>
      </c>
      <c r="E202" s="136">
        <f t="shared" si="4"/>
        <v>8</v>
      </c>
      <c r="F202" s="136">
        <f t="shared" si="4"/>
        <v>4.8</v>
      </c>
      <c r="G202" s="3467" t="s">
        <v>681</v>
      </c>
      <c r="H202" s="2623">
        <f>INDEX('STD packing nominate acc'!$H$32:$Q$33,MATCH($G$175,'STD packing nominate acc'!$F$32:$F$33,0),MATCH(G202,'STD packing nominate acc'!$H$19:$Q$19,0))</f>
        <v>823000</v>
      </c>
      <c r="I202" s="3469">
        <v>10</v>
      </c>
      <c r="J202" s="136">
        <f t="shared" si="5"/>
        <v>6</v>
      </c>
      <c r="K202" s="136">
        <f t="shared" si="5"/>
        <v>10</v>
      </c>
      <c r="L202" s="136">
        <f t="shared" si="5"/>
        <v>4</v>
      </c>
      <c r="P202" s="3976">
        <f t="shared" si="2"/>
        <v>8</v>
      </c>
      <c r="Q202" s="3450">
        <v>4.8</v>
      </c>
      <c r="R202" s="3470">
        <v>6</v>
      </c>
      <c r="S202" s="3957">
        <f>IF($G$193="Pallet",I202,INDEX('STD packing nominate acc'!$H$20:$Q$27,MATCH($A$176,'STD packing nominate acc'!$A$20:$A$27,0),MATCH($G202,'STD packing nominate acc'!$H$19:$Q$19,0)))</f>
        <v>10</v>
      </c>
      <c r="T202" s="3463">
        <f t="shared" si="3"/>
        <v>4</v>
      </c>
      <c r="Z202" s="3977"/>
    </row>
    <row r="203" spans="1:26" outlineLevel="1">
      <c r="B203" s="314" t="s">
        <v>567</v>
      </c>
      <c r="C203" s="333">
        <f>C202/$F$1</f>
        <v>252</v>
      </c>
      <c r="D203" s="1344" t="str">
        <f>D202</f>
        <v>VND</v>
      </c>
      <c r="E203" s="136">
        <f t="shared" si="4"/>
        <v>10</v>
      </c>
      <c r="F203" s="136">
        <f t="shared" si="4"/>
        <v>6</v>
      </c>
      <c r="G203" s="3467" t="s">
        <v>682</v>
      </c>
      <c r="H203" s="2623">
        <f>INDEX('STD packing nominate acc'!$H$32:$Q$33,MATCH($G$175,'STD packing nominate acc'!$F$32:$F$33,0),MATCH(G203,'STD packing nominate acc'!$H$19:$Q$19,0))</f>
        <v>1019000</v>
      </c>
      <c r="I203" s="3469">
        <v>12</v>
      </c>
      <c r="J203" s="136">
        <f t="shared" si="5"/>
        <v>8</v>
      </c>
      <c r="K203" s="136">
        <f t="shared" si="5"/>
        <v>12</v>
      </c>
      <c r="L203" s="136">
        <f t="shared" si="5"/>
        <v>5</v>
      </c>
      <c r="P203" s="3979">
        <f t="shared" si="2"/>
        <v>10</v>
      </c>
      <c r="Q203" s="3450">
        <v>6</v>
      </c>
      <c r="R203" s="3470">
        <v>8</v>
      </c>
      <c r="S203" s="3957">
        <f>IF($G$193="Pallet",I203,INDEX('STD packing nominate acc'!$H$20:$Q$27,MATCH($A$176,'STD packing nominate acc'!$A$20:$A$27,0),MATCH($G203,'STD packing nominate acc'!$H$19:$Q$19,0)))</f>
        <v>12</v>
      </c>
      <c r="T203" s="3463">
        <f t="shared" si="3"/>
        <v>5</v>
      </c>
      <c r="X203" s="3963">
        <f>VLOOKUP("đúng",Y204:Z207,2,0)</f>
        <v>510000</v>
      </c>
      <c r="Z203" s="3977"/>
    </row>
    <row r="204" spans="1:26" outlineLevel="1">
      <c r="B204" s="314"/>
      <c r="C204" s="333"/>
      <c r="D204" s="1344"/>
      <c r="E204" s="136">
        <f t="shared" si="4"/>
        <v>12</v>
      </c>
      <c r="F204" s="136">
        <f t="shared" si="4"/>
        <v>8</v>
      </c>
      <c r="G204" s="3471" t="s">
        <v>683</v>
      </c>
      <c r="H204" s="2623">
        <f>INDEX('STD packing nominate acc'!$H$32:$Q$33,MATCH($G$175,'STD packing nominate acc'!$F$32:$F$33,0),MATCH(G204,'STD packing nominate acc'!$H$19:$Q$19,0))</f>
        <v>1273000</v>
      </c>
      <c r="I204" s="3472">
        <v>14</v>
      </c>
      <c r="J204" s="136">
        <f t="shared" si="5"/>
        <v>15</v>
      </c>
      <c r="K204" s="136">
        <f t="shared" si="5"/>
        <v>14</v>
      </c>
      <c r="L204" s="136">
        <f t="shared" si="5"/>
        <v>6</v>
      </c>
      <c r="P204" s="3979">
        <f t="shared" si="2"/>
        <v>12</v>
      </c>
      <c r="Q204" s="3450">
        <v>8</v>
      </c>
      <c r="R204" s="3470">
        <v>15</v>
      </c>
      <c r="S204" s="3957">
        <f>IF($G$193="Pallet",I204,INDEX('STD packing nominate acc'!$H$20:$Q$27,MATCH($A$176,'STD packing nominate acc'!$A$20:$A$27,0),MATCH($G204,'STD packing nominate acc'!$H$19:$Q$19,0)))</f>
        <v>14</v>
      </c>
      <c r="T204" s="3463">
        <f t="shared" si="3"/>
        <v>6</v>
      </c>
      <c r="U204" s="136" t="s">
        <v>3489</v>
      </c>
      <c r="V204" s="3964">
        <f>ROUNDDOWN(H197/Q205,0)</f>
        <v>0</v>
      </c>
      <c r="W204" s="3965">
        <f>S204</f>
        <v>14</v>
      </c>
      <c r="X204" s="981"/>
      <c r="Y204" s="3966" t="str">
        <f>IF(J198&gt;(W204*V204+W206),"sai","đúng")</f>
        <v>đúng</v>
      </c>
      <c r="Z204" s="3980">
        <f>INDEX(H199:H204,MATCH(V206,R199:R204,0),1)+H204*V204</f>
        <v>510000</v>
      </c>
    </row>
    <row r="205" spans="1:26" outlineLevel="1">
      <c r="E205" s="136">
        <f t="shared" si="4"/>
        <v>14</v>
      </c>
      <c r="F205" s="136">
        <f t="shared" si="4"/>
        <v>15</v>
      </c>
      <c r="I205" s="136" t="str">
        <f>I187</f>
        <v>lố</v>
      </c>
      <c r="J205" s="136" t="str">
        <f t="shared" si="5"/>
        <v>lố</v>
      </c>
      <c r="K205" s="136">
        <f t="shared" si="5"/>
        <v>0</v>
      </c>
      <c r="L205" s="136">
        <f t="shared" si="5"/>
        <v>7</v>
      </c>
      <c r="P205" s="3976">
        <f t="shared" si="2"/>
        <v>14</v>
      </c>
      <c r="Q205" s="3450">
        <v>15</v>
      </c>
      <c r="R205" s="3450" t="s">
        <v>3487</v>
      </c>
      <c r="S205" s="3450"/>
      <c r="T205" s="3463">
        <f t="shared" si="3"/>
        <v>7</v>
      </c>
      <c r="U205" s="136" t="s">
        <v>3488</v>
      </c>
      <c r="V205" s="3967">
        <f>H197-V204*Q205</f>
        <v>1.5</v>
      </c>
      <c r="W205" s="3965"/>
      <c r="Y205" s="3565"/>
      <c r="Z205" s="3981"/>
    </row>
    <row r="206" spans="1:26" outlineLevel="1">
      <c r="P206" s="3982"/>
      <c r="U206" s="136" t="s">
        <v>3490</v>
      </c>
      <c r="V206" s="3967">
        <f>IFERROR(IF(VLOOKUP(V205,R199:R204,1,0)&gt;0,V205,LOOKUP(V205,Q199:Q205,R199:R205)),LOOKUP(V205,Q199:Q205,R199:R205))</f>
        <v>1.8</v>
      </c>
      <c r="W206" s="3641">
        <f>VLOOKUP(V206,R199:S204,2,0)</f>
        <v>3</v>
      </c>
      <c r="Y206" s="3565"/>
      <c r="Z206" s="3981"/>
    </row>
    <row r="207" spans="1:26" outlineLevel="1">
      <c r="P207" s="3982"/>
      <c r="U207" s="136" t="s">
        <v>3489</v>
      </c>
      <c r="V207" s="3968">
        <f>Q205</f>
        <v>15</v>
      </c>
      <c r="W207" s="3969">
        <f>ROUNDDOWN(J198/S204,0)</f>
        <v>0</v>
      </c>
      <c r="X207" s="3970"/>
      <c r="Y207" s="3966" t="str">
        <f>IF(H197&gt;(V207*W207+V209),"sai","đúng")</f>
        <v>sai</v>
      </c>
      <c r="Z207" s="3983">
        <f>INDEX(H199:H204,MATCH(W209,S199:S204,0),1)+H204*W207</f>
        <v>459000</v>
      </c>
    </row>
    <row r="208" spans="1:26" outlineLevel="1">
      <c r="P208" s="3982"/>
      <c r="U208" s="136" t="s">
        <v>3491</v>
      </c>
      <c r="V208" s="3968"/>
      <c r="W208" s="3971">
        <f>J198-W207*S204</f>
        <v>1</v>
      </c>
      <c r="Z208" s="3977"/>
    </row>
    <row r="209" spans="1:26" outlineLevel="1">
      <c r="M209" s="383"/>
      <c r="P209" s="3984"/>
      <c r="Q209" s="3985"/>
      <c r="R209" s="3985"/>
      <c r="S209" s="3985"/>
      <c r="T209" s="3985"/>
      <c r="U209" s="3985" t="s">
        <v>3490</v>
      </c>
      <c r="V209" s="3986">
        <f>INDEX($R199:$R205,MATCH(W209,$S199:$S205,0),1)</f>
        <v>1.1000000000000001</v>
      </c>
      <c r="W209" s="3987">
        <f>IFERROR(IF(VLOOKUP(W208,S199:S204,1,0)&gt;0,W208,LOOKUP(W208,P199:P205,S199:S205)),LOOKUP(W208,P199:P205,S199:S205))</f>
        <v>2</v>
      </c>
      <c r="X209" s="3985"/>
      <c r="Y209" s="3985"/>
      <c r="Z209" s="3988"/>
    </row>
    <row r="210" spans="1:26" outlineLevel="1">
      <c r="A210" s="1313" t="s">
        <v>1723</v>
      </c>
      <c r="B210" s="319"/>
    </row>
    <row r="211" spans="1:26" outlineLevel="1">
      <c r="A211" s="2122" t="s">
        <v>3252</v>
      </c>
      <c r="B211" s="2122"/>
      <c r="C211" s="2122"/>
      <c r="D211" s="2122"/>
      <c r="E211" s="2122"/>
      <c r="F211" s="2122"/>
      <c r="G211" s="3993" t="s">
        <v>2243</v>
      </c>
    </row>
    <row r="212" spans="1:26" outlineLevel="1">
      <c r="A212" s="1313" t="str">
        <f>'STD packing nominate acc'!A22</f>
        <v> Skinny Marker (58PSFLxxx)</v>
      </c>
      <c r="G212" s="1307"/>
      <c r="H212" s="322" t="s">
        <v>524</v>
      </c>
      <c r="I212" s="189"/>
      <c r="J212" s="189"/>
    </row>
    <row r="213" spans="1:26" outlineLevel="1">
      <c r="B213" s="320" t="s">
        <v>529</v>
      </c>
      <c r="C213" s="335">
        <f>$H$1*G212</f>
        <v>0</v>
      </c>
      <c r="D213" s="320" t="s">
        <v>287</v>
      </c>
      <c r="G213" s="189" t="s">
        <v>530</v>
      </c>
      <c r="H213" s="189">
        <f>VLOOKUP(A212,'STD packing nominate acc'!$A$20:$G$27,2,0)</f>
        <v>1000</v>
      </c>
      <c r="I213" s="189" t="s">
        <v>531</v>
      </c>
      <c r="J213" s="1308">
        <f>VLOOKUP(A212,'STD packing nominate acc'!$A$20:$G$27,7,0)</f>
        <v>1.7677874999999999E-2</v>
      </c>
      <c r="K213" s="189" t="s">
        <v>532</v>
      </c>
    </row>
    <row r="214" spans="1:26" outlineLevel="1">
      <c r="B214" s="320" t="s">
        <v>445</v>
      </c>
      <c r="C214" s="1303"/>
      <c r="D214" s="326" t="s">
        <v>561</v>
      </c>
      <c r="G214" s="189" t="s">
        <v>533</v>
      </c>
      <c r="H214" s="189">
        <f>ROUNDUP(C213/H213,0)</f>
        <v>0</v>
      </c>
      <c r="I214" s="189" t="s">
        <v>534</v>
      </c>
      <c r="J214" s="1309">
        <f>VLOOKUP(A212,'STD packing nominate acc'!$A$20:$G$27,3,0)</f>
        <v>6</v>
      </c>
      <c r="K214" s="189" t="s">
        <v>562</v>
      </c>
    </row>
    <row r="215" spans="1:26" outlineLevel="1">
      <c r="B215" s="320" t="s">
        <v>21</v>
      </c>
      <c r="C215" s="348">
        <f>C214*C213</f>
        <v>0</v>
      </c>
      <c r="D215" s="320" t="s">
        <v>87</v>
      </c>
      <c r="G215" s="320" t="s">
        <v>260</v>
      </c>
      <c r="H215" s="136">
        <f>ROUNDUP(H214*J214/1000,1)</f>
        <v>0</v>
      </c>
      <c r="I215" s="189" t="s">
        <v>563</v>
      </c>
      <c r="J215" s="189">
        <f>VLOOKUP(A212,'STD packing nominate acc'!$A$20:$G$27,4,0)</f>
        <v>80</v>
      </c>
      <c r="K215" s="136" t="s">
        <v>2242</v>
      </c>
      <c r="P215" s="3972"/>
      <c r="Q215" s="3973"/>
      <c r="R215" s="3973"/>
      <c r="S215" s="3973"/>
      <c r="T215" s="3973"/>
      <c r="U215" s="3991" t="s">
        <v>3484</v>
      </c>
      <c r="V215" s="3974">
        <f>IFERROR(IF(VLOOKUP(H215,R217:R222,1,0)&gt;0,H215,LOOKUP(H215,Q217:Q223,R217:R223)),LOOKUP(H215,Q217:Q223,R217:R223))</f>
        <v>1.1000000000000001</v>
      </c>
      <c r="W215" s="3974">
        <f>IFERROR(IF(VLOOKUP(J216,I217:I222,1,0)&gt;0,J216,LOOKUP(J216,P217:P223,I217:I223)),LOOKUP(J216,P217:P223,I217:I223))</f>
        <v>2</v>
      </c>
      <c r="X215" s="3973"/>
      <c r="Y215" s="3973"/>
      <c r="Z215" s="3975"/>
    </row>
    <row r="216" spans="1:26" outlineLevel="1">
      <c r="A216" s="320"/>
      <c r="B216" s="314" t="s">
        <v>564</v>
      </c>
      <c r="C216" s="3466">
        <f>IFERROR(INDEX(H217:H222,MATCH(V217,L217:L222,0),1),X221)</f>
        <v>459000</v>
      </c>
      <c r="D216" s="326" t="s">
        <v>92</v>
      </c>
      <c r="G216" s="2622" t="s">
        <v>968</v>
      </c>
      <c r="H216" s="2622" t="s">
        <v>969</v>
      </c>
      <c r="I216" s="2622" t="s">
        <v>970</v>
      </c>
      <c r="J216" s="3474">
        <f>IF(G211="pallet",ROUNDUP(H214/J215,0),H214)</f>
        <v>0</v>
      </c>
      <c r="K216" s="136" t="str">
        <f>IF(G211="Pallet","Pallet","CTN")</f>
        <v>Pallet</v>
      </c>
      <c r="P216" s="3976" t="s">
        <v>3744</v>
      </c>
      <c r="Q216" s="3450" t="s">
        <v>3745</v>
      </c>
      <c r="R216" s="3450" t="s">
        <v>3746</v>
      </c>
      <c r="S216" s="3450" t="str">
        <f>K216</f>
        <v>Pallet</v>
      </c>
      <c r="T216" s="3463" t="s">
        <v>3594</v>
      </c>
      <c r="U216" s="3992" t="s">
        <v>3485</v>
      </c>
      <c r="V216" s="3962">
        <f>VLOOKUP(V215,R217:T223,3,0)</f>
        <v>1</v>
      </c>
      <c r="W216" s="3962">
        <f>VLOOKUP(W215,I217:T223,4,0)</f>
        <v>1</v>
      </c>
      <c r="Z216" s="3977"/>
    </row>
    <row r="217" spans="1:26" outlineLevel="1">
      <c r="B217" s="314" t="s">
        <v>634</v>
      </c>
      <c r="C217" s="348">
        <v>600000</v>
      </c>
      <c r="D217" s="326" t="s">
        <v>92</v>
      </c>
      <c r="E217" s="136">
        <f>E199</f>
        <v>0</v>
      </c>
      <c r="F217" s="136">
        <f>F199</f>
        <v>0</v>
      </c>
      <c r="G217" s="3467" t="s">
        <v>2053</v>
      </c>
      <c r="H217" s="2623">
        <f>INDEX('STD packing nominate acc'!$H$32:$Q$33,MATCH($G$175,'STD packing nominate acc'!$F$32:$F$33,0),MATCH(G217,'STD packing nominate acc'!$H$19:$Q$19,0))</f>
        <v>459000</v>
      </c>
      <c r="I217" s="3469">
        <v>2</v>
      </c>
      <c r="J217" s="189">
        <f t="shared" ref="J217:L217" si="6">J199</f>
        <v>1.1000000000000001</v>
      </c>
      <c r="K217" s="136">
        <f t="shared" si="6"/>
        <v>2</v>
      </c>
      <c r="L217" s="136">
        <f t="shared" si="6"/>
        <v>1</v>
      </c>
      <c r="P217" s="3976">
        <v>0</v>
      </c>
      <c r="Q217" s="3450">
        <v>0</v>
      </c>
      <c r="R217" s="3470">
        <v>1.1000000000000001</v>
      </c>
      <c r="S217" s="3957">
        <f>IF($G$211="Pallet",I217,INDEX('STD packing nominate acc'!$H$20:$Q$27,MATCH($A$176,'STD packing nominate acc'!$A$20:$A$27,0),MATCH($G217,'STD packing nominate acc'!$H$19:$Q$19,0)))</f>
        <v>2</v>
      </c>
      <c r="T217" s="3463">
        <v>1</v>
      </c>
      <c r="U217" s="3992" t="s">
        <v>3486</v>
      </c>
      <c r="V217" s="3962">
        <f>MAX(V216:W216)</f>
        <v>1</v>
      </c>
      <c r="W217" s="3962"/>
      <c r="X217" s="136" t="s">
        <v>3747</v>
      </c>
      <c r="Z217" s="3977"/>
    </row>
    <row r="218" spans="1:26" outlineLevel="1">
      <c r="B218" s="314"/>
      <c r="C218" s="348"/>
      <c r="D218" s="326"/>
      <c r="G218" s="3954" t="s">
        <v>565</v>
      </c>
      <c r="H218" s="2623">
        <f>INDEX('STD packing nominate acc'!$H$32:$Q$33,MATCH($G$175,'STD packing nominate acc'!$F$32:$F$33,0),MATCH(G218,'STD packing nominate acc'!$H$19:$Q$19,0))</f>
        <v>510000</v>
      </c>
      <c r="I218" s="3955">
        <v>3</v>
      </c>
      <c r="J218" s="189"/>
      <c r="P218" s="3978">
        <f t="shared" ref="P218:P223" si="7">S217</f>
        <v>2</v>
      </c>
      <c r="Q218" s="3450">
        <v>1.1000000000000001</v>
      </c>
      <c r="R218" s="3470">
        <v>1.8</v>
      </c>
      <c r="S218" s="3957">
        <f>IF($G$211="Pallet",I218,INDEX('STD packing nominate acc'!$H$20:$Q$27,MATCH($A$176,'STD packing nominate acc'!$A$20:$A$27,0),MATCH($G218,'STD packing nominate acc'!$H$19:$Q$19,0)))</f>
        <v>3</v>
      </c>
      <c r="T218" s="3463">
        <f t="shared" ref="T218:T223" si="8">T217+1</f>
        <v>2</v>
      </c>
      <c r="U218" s="3956"/>
      <c r="V218" s="3956"/>
      <c r="W218" s="3956"/>
      <c r="X218" s="136" t="s">
        <v>3748</v>
      </c>
      <c r="Z218" s="3977"/>
    </row>
    <row r="219" spans="1:26" outlineLevel="1">
      <c r="B219" s="314" t="s">
        <v>2241</v>
      </c>
      <c r="C219" s="2404">
        <f>IF(G211="pallet",IF(150000/20*J216&lt;150000,150000,150000/20*J216),0)</f>
        <v>150000</v>
      </c>
      <c r="D219" s="326" t="s">
        <v>92</v>
      </c>
      <c r="E219" s="136">
        <f t="shared" ref="E219" si="9">E201</f>
        <v>3</v>
      </c>
      <c r="F219" s="136">
        <f>F201</f>
        <v>1.8</v>
      </c>
      <c r="G219" s="3467" t="s">
        <v>633</v>
      </c>
      <c r="H219" s="2623">
        <f>INDEX('STD packing nominate acc'!$H$32:$Q$33,MATCH($G$175,'STD packing nominate acc'!$F$32:$F$33,0),MATCH(G219,'STD packing nominate acc'!$H$19:$Q$19,0))</f>
        <v>764000</v>
      </c>
      <c r="I219" s="3469">
        <v>8</v>
      </c>
      <c r="J219" s="189">
        <f t="shared" ref="J219:L219" si="10">J201</f>
        <v>4.8000000000000007</v>
      </c>
      <c r="K219" s="136">
        <f t="shared" si="10"/>
        <v>8</v>
      </c>
      <c r="L219" s="136">
        <f t="shared" si="10"/>
        <v>3</v>
      </c>
      <c r="P219" s="3976">
        <f t="shared" si="7"/>
        <v>3</v>
      </c>
      <c r="Q219" s="3450">
        <v>1.8</v>
      </c>
      <c r="R219" s="3470">
        <v>4.8000000000000007</v>
      </c>
      <c r="S219" s="3957">
        <f>IF($G$211="Pallet",I219,INDEX('STD packing nominate acc'!$H$20:$Q$27,MATCH($A$176,'STD packing nominate acc'!$A$20:$A$27,0),MATCH($G219,'STD packing nominate acc'!$H$19:$Q$19,0)))</f>
        <v>8</v>
      </c>
      <c r="T219" s="3463">
        <f t="shared" si="8"/>
        <v>3</v>
      </c>
      <c r="Z219" s="3977"/>
    </row>
    <row r="220" spans="1:26" outlineLevel="1">
      <c r="B220" s="314" t="s">
        <v>566</v>
      </c>
      <c r="C220" s="348">
        <f>SUM(C216:C219)</f>
        <v>1209000</v>
      </c>
      <c r="D220" s="136" t="s">
        <v>92</v>
      </c>
      <c r="E220" s="136">
        <f t="shared" ref="E220" si="11">E202</f>
        <v>8</v>
      </c>
      <c r="F220" s="136">
        <f>F202</f>
        <v>4.8</v>
      </c>
      <c r="G220" s="3467" t="s">
        <v>681</v>
      </c>
      <c r="H220" s="2623">
        <f>INDEX('STD packing nominate acc'!$H$32:$Q$33,MATCH($G$175,'STD packing nominate acc'!$F$32:$F$33,0),MATCH(G220,'STD packing nominate acc'!$H$19:$Q$19,0))</f>
        <v>823000</v>
      </c>
      <c r="I220" s="3469">
        <v>10</v>
      </c>
      <c r="J220" s="136">
        <f t="shared" ref="J220:L220" si="12">J202</f>
        <v>6</v>
      </c>
      <c r="K220" s="136">
        <f t="shared" si="12"/>
        <v>10</v>
      </c>
      <c r="L220" s="136">
        <f t="shared" si="12"/>
        <v>4</v>
      </c>
      <c r="P220" s="3976">
        <f t="shared" si="7"/>
        <v>8</v>
      </c>
      <c r="Q220" s="3450">
        <v>4.8</v>
      </c>
      <c r="R220" s="3470">
        <v>6</v>
      </c>
      <c r="S220" s="3957">
        <f>IF($G$211="Pallet",I220,INDEX('STD packing nominate acc'!$H$20:$Q$27,MATCH($A$176,'STD packing nominate acc'!$A$20:$A$27,0),MATCH($G220,'STD packing nominate acc'!$H$19:$Q$19,0)))</f>
        <v>10</v>
      </c>
      <c r="T220" s="3463">
        <f t="shared" si="8"/>
        <v>4</v>
      </c>
      <c r="Z220" s="3977"/>
    </row>
    <row r="221" spans="1:26" outlineLevel="1">
      <c r="B221" s="314" t="s">
        <v>567</v>
      </c>
      <c r="C221" s="333">
        <f>C220/$F$1</f>
        <v>241.8</v>
      </c>
      <c r="D221" s="1344" t="str">
        <f>D220</f>
        <v>VND</v>
      </c>
      <c r="E221" s="1344">
        <f t="shared" ref="E221" si="13">E203</f>
        <v>10</v>
      </c>
      <c r="F221" s="136">
        <f>F203</f>
        <v>6</v>
      </c>
      <c r="G221" s="3467" t="s">
        <v>682</v>
      </c>
      <c r="H221" s="2623">
        <f>INDEX('STD packing nominate acc'!$H$32:$Q$33,MATCH($G$175,'STD packing nominate acc'!$F$32:$F$33,0),MATCH(G221,'STD packing nominate acc'!$H$19:$Q$19,0))</f>
        <v>1019000</v>
      </c>
      <c r="I221" s="3469">
        <v>12</v>
      </c>
      <c r="J221" s="136">
        <f t="shared" ref="J221:L221" si="14">J203</f>
        <v>8</v>
      </c>
      <c r="K221" s="136">
        <f t="shared" si="14"/>
        <v>12</v>
      </c>
      <c r="L221" s="136">
        <f t="shared" si="14"/>
        <v>5</v>
      </c>
      <c r="P221" s="3979">
        <f t="shared" si="7"/>
        <v>10</v>
      </c>
      <c r="Q221" s="3450">
        <v>6</v>
      </c>
      <c r="R221" s="3470">
        <v>8</v>
      </c>
      <c r="S221" s="3957">
        <f>IF($G$211="Pallet",I221,INDEX('STD packing nominate acc'!$H$20:$Q$27,MATCH($A$176,'STD packing nominate acc'!$A$20:$A$27,0),MATCH($G221,'STD packing nominate acc'!$H$19:$Q$19,0)))</f>
        <v>12</v>
      </c>
      <c r="T221" s="3463">
        <f t="shared" si="8"/>
        <v>5</v>
      </c>
      <c r="X221" s="3963">
        <f>VLOOKUP("đúng",Y222:Z225,2,0)</f>
        <v>459000</v>
      </c>
      <c r="Z221" s="3977"/>
    </row>
    <row r="222" spans="1:26" outlineLevel="1">
      <c r="B222" s="314"/>
      <c r="C222" s="333"/>
      <c r="D222" s="1344"/>
      <c r="E222" s="1344">
        <f t="shared" ref="E222" si="15">E204</f>
        <v>12</v>
      </c>
      <c r="F222" s="136">
        <f>F204</f>
        <v>8</v>
      </c>
      <c r="G222" s="3471" t="s">
        <v>683</v>
      </c>
      <c r="H222" s="2623">
        <f>INDEX('STD packing nominate acc'!$H$32:$Q$33,MATCH($G$175,'STD packing nominate acc'!$F$32:$F$33,0),MATCH(G222,'STD packing nominate acc'!$H$19:$Q$19,0))</f>
        <v>1273000</v>
      </c>
      <c r="I222" s="3472">
        <v>14</v>
      </c>
      <c r="J222" s="136">
        <f t="shared" ref="J222:L222" si="16">J204</f>
        <v>15</v>
      </c>
      <c r="K222" s="136">
        <f t="shared" si="16"/>
        <v>14</v>
      </c>
      <c r="L222" s="136">
        <f t="shared" si="16"/>
        <v>6</v>
      </c>
      <c r="P222" s="3979">
        <f t="shared" si="7"/>
        <v>12</v>
      </c>
      <c r="Q222" s="3450">
        <v>8</v>
      </c>
      <c r="R222" s="3470">
        <v>15</v>
      </c>
      <c r="S222" s="3957">
        <f>IF($G$211="Pallet",I222,INDEX('STD packing nominate acc'!$H$20:$Q$27,MATCH($A$176,'STD packing nominate acc'!$A$20:$A$27,0),MATCH($G222,'STD packing nominate acc'!$H$19:$Q$19,0)))</f>
        <v>14</v>
      </c>
      <c r="T222" s="3463">
        <f t="shared" si="8"/>
        <v>6</v>
      </c>
      <c r="U222" s="136" t="s">
        <v>3489</v>
      </c>
      <c r="V222" s="3964">
        <f>ROUNDDOWN(H215/Q223,0)</f>
        <v>0</v>
      </c>
      <c r="W222" s="3965">
        <f>S222</f>
        <v>14</v>
      </c>
      <c r="X222" s="981"/>
      <c r="Y222" s="3966" t="str">
        <f>IF(J216&gt;(W222*V222+W224),"sai","đúng")</f>
        <v>đúng</v>
      </c>
      <c r="Z222" s="3980">
        <f>INDEX(H217:H222,MATCH(V224,R217:R222,0),1)+H222*V222</f>
        <v>459000</v>
      </c>
    </row>
    <row r="223" spans="1:26" outlineLevel="1">
      <c r="E223" s="136">
        <f t="shared" ref="E223" si="17">E205</f>
        <v>14</v>
      </c>
      <c r="F223" s="136">
        <f>F205</f>
        <v>15</v>
      </c>
      <c r="I223" s="136" t="str">
        <f t="shared" ref="I223:L223" si="18">I205</f>
        <v>lố</v>
      </c>
      <c r="J223" s="136" t="str">
        <f t="shared" si="18"/>
        <v>lố</v>
      </c>
      <c r="K223" s="136">
        <f t="shared" si="18"/>
        <v>0</v>
      </c>
      <c r="L223" s="136">
        <f t="shared" si="18"/>
        <v>7</v>
      </c>
      <c r="P223" s="3976">
        <f t="shared" si="7"/>
        <v>14</v>
      </c>
      <c r="Q223" s="3450">
        <v>15</v>
      </c>
      <c r="R223" s="3450" t="s">
        <v>3487</v>
      </c>
      <c r="S223" s="3450"/>
      <c r="T223" s="3463">
        <f t="shared" si="8"/>
        <v>7</v>
      </c>
      <c r="U223" s="136" t="s">
        <v>3488</v>
      </c>
      <c r="V223" s="3967">
        <f>H215-V222*Q223</f>
        <v>0</v>
      </c>
      <c r="W223" s="3965"/>
      <c r="Y223" s="3565"/>
      <c r="Z223" s="3981"/>
    </row>
    <row r="224" spans="1:26" outlineLevel="1">
      <c r="P224" s="3982"/>
      <c r="U224" s="136" t="s">
        <v>3490</v>
      </c>
      <c r="V224" s="3967">
        <f>IFERROR(IF(VLOOKUP(V223,R217:R222,1,0)&gt;0,V223,LOOKUP(V223,Q217:Q223,R217:R223)),LOOKUP(V223,Q217:Q223,R217:R223))</f>
        <v>1.1000000000000001</v>
      </c>
      <c r="W224" s="3641">
        <f>VLOOKUP(V224,R217:S222,2,0)</f>
        <v>2</v>
      </c>
      <c r="Y224" s="3565"/>
      <c r="Z224" s="3981"/>
    </row>
    <row r="225" spans="1:26" outlineLevel="1">
      <c r="P225" s="3982"/>
      <c r="U225" s="136" t="s">
        <v>3489</v>
      </c>
      <c r="V225" s="3968">
        <f>Q223</f>
        <v>15</v>
      </c>
      <c r="W225" s="3969">
        <f>ROUNDDOWN(J216/S222,0)</f>
        <v>0</v>
      </c>
      <c r="X225" s="3970"/>
      <c r="Y225" s="3966" t="str">
        <f>IF(H215&gt;(V225*W225+V227),"sai","đúng")</f>
        <v>đúng</v>
      </c>
      <c r="Z225" s="3983">
        <f>INDEX(H217:H222,MATCH(W227,S217:S222,0),1)+H222*W225</f>
        <v>459000</v>
      </c>
    </row>
    <row r="226" spans="1:26" outlineLevel="1">
      <c r="P226" s="3982"/>
      <c r="U226" s="136" t="s">
        <v>3491</v>
      </c>
      <c r="V226" s="3968"/>
      <c r="W226" s="3971">
        <f>J216-W225*S222</f>
        <v>0</v>
      </c>
      <c r="Z226" s="3977"/>
    </row>
    <row r="227" spans="1:26" outlineLevel="1">
      <c r="P227" s="3984"/>
      <c r="Q227" s="3985"/>
      <c r="R227" s="3985"/>
      <c r="S227" s="3985"/>
      <c r="T227" s="3985"/>
      <c r="U227" s="3985" t="s">
        <v>3490</v>
      </c>
      <c r="V227" s="3986">
        <f>INDEX($R217:$R223,MATCH(W227,$S217:$S223,0),1)</f>
        <v>1.1000000000000001</v>
      </c>
      <c r="W227" s="3987">
        <f>IFERROR(IF(VLOOKUP(W226,S217:S222,1,0)&gt;0,W226,LOOKUP(W226,P217:P223,S217:S223)),LOOKUP(W226,P217:P223,S217:S223))</f>
        <v>2</v>
      </c>
      <c r="X227" s="3985"/>
      <c r="Y227" s="3985"/>
      <c r="Z227" s="3988"/>
    </row>
    <row r="228" spans="1:26" outlineLevel="1">
      <c r="A228" s="1313" t="s">
        <v>1723</v>
      </c>
      <c r="B228" s="319"/>
    </row>
    <row r="229" spans="1:26" outlineLevel="1">
      <c r="A229" s="2122" t="s">
        <v>3252</v>
      </c>
      <c r="B229" s="2122"/>
      <c r="C229" s="2122"/>
      <c r="D229" s="2122"/>
      <c r="E229" s="2122"/>
      <c r="F229" s="2122"/>
      <c r="G229" s="3993" t="s">
        <v>2243</v>
      </c>
    </row>
    <row r="230" spans="1:26" outlineLevel="1">
      <c r="A230" s="1313" t="str">
        <f>'STD packing nominate acc'!A25</f>
        <v> Super Tips (585070xxx)</v>
      </c>
      <c r="G230" s="1307"/>
      <c r="H230" s="322" t="s">
        <v>524</v>
      </c>
      <c r="I230" s="189"/>
      <c r="J230" s="189"/>
    </row>
    <row r="231" spans="1:26" outlineLevel="1">
      <c r="B231" s="320" t="s">
        <v>529</v>
      </c>
      <c r="C231" s="335">
        <f>$H$1*G230</f>
        <v>0</v>
      </c>
      <c r="D231" s="320" t="s">
        <v>287</v>
      </c>
      <c r="G231" s="189" t="s">
        <v>530</v>
      </c>
      <c r="H231" s="189">
        <f>VLOOKUP(A230,'STD packing nominate acc'!$A$20:$G$27,2,0)</f>
        <v>1300</v>
      </c>
      <c r="I231" s="189" t="s">
        <v>531</v>
      </c>
      <c r="J231" s="1308">
        <f>VLOOKUP(A230,'STD packing nominate acc'!$A$20:$G$27,7,0)</f>
        <v>3.7381499999999998E-2</v>
      </c>
      <c r="K231" s="189" t="s">
        <v>532</v>
      </c>
    </row>
    <row r="232" spans="1:26" outlineLevel="1">
      <c r="B232" s="320" t="s">
        <v>445</v>
      </c>
      <c r="C232" s="1303"/>
      <c r="D232" s="326" t="s">
        <v>561</v>
      </c>
      <c r="G232" s="189" t="s">
        <v>533</v>
      </c>
      <c r="H232" s="189">
        <f>ROUNDUP(C231/H231,0)</f>
        <v>0</v>
      </c>
      <c r="I232" s="189" t="s">
        <v>534</v>
      </c>
      <c r="J232" s="1309">
        <f>VLOOKUP(A230,'STD packing nominate acc'!$A$20:$G$27,3,0)</f>
        <v>11</v>
      </c>
      <c r="K232" s="189" t="s">
        <v>562</v>
      </c>
    </row>
    <row r="233" spans="1:26" outlineLevel="1">
      <c r="B233" s="320" t="s">
        <v>21</v>
      </c>
      <c r="C233" s="348">
        <f>C232*C231</f>
        <v>0</v>
      </c>
      <c r="D233" s="320" t="s">
        <v>87</v>
      </c>
      <c r="G233" s="320" t="s">
        <v>260</v>
      </c>
      <c r="H233" s="136">
        <f>ROUNDUP(H232*J232/1000,1)</f>
        <v>0</v>
      </c>
      <c r="I233" s="189" t="s">
        <v>563</v>
      </c>
      <c r="J233" s="189">
        <f>VLOOKUP(A230,'STD packing nominate acc'!$A$20:$G$27,4,0)</f>
        <v>32</v>
      </c>
      <c r="K233" s="136" t="s">
        <v>2242</v>
      </c>
      <c r="P233" s="3972"/>
      <c r="Q233" s="3973"/>
      <c r="R233" s="3973"/>
      <c r="S233" s="3973"/>
      <c r="T233" s="3973"/>
      <c r="U233" s="3991" t="s">
        <v>3484</v>
      </c>
      <c r="V233" s="3974">
        <f>IFERROR(IF(VLOOKUP(H233,R235:R240,1,0)&gt;0,H233,LOOKUP(H233,Q235:Q241,R235:R241)),LOOKUP(H233,Q235:Q241,R235:R241))</f>
        <v>1.1000000000000001</v>
      </c>
      <c r="W233" s="3974">
        <f>IFERROR(IF(VLOOKUP(J234,I235:I240,1,0)&gt;0,J234,LOOKUP(J234,P235:P241,I235:I241)),LOOKUP(J234,P235:P241,I235:I241))</f>
        <v>2</v>
      </c>
      <c r="X233" s="3973"/>
      <c r="Y233" s="3973"/>
      <c r="Z233" s="3975"/>
    </row>
    <row r="234" spans="1:26" outlineLevel="1">
      <c r="A234" s="320"/>
      <c r="B234" s="314" t="s">
        <v>564</v>
      </c>
      <c r="C234" s="3466">
        <f>IFERROR(INDEX(H235:H240,MATCH(V235,L235:L240,0),1),X239)</f>
        <v>459000</v>
      </c>
      <c r="D234" s="326" t="s">
        <v>92</v>
      </c>
      <c r="G234" s="2622" t="s">
        <v>968</v>
      </c>
      <c r="H234" s="2622" t="s">
        <v>969</v>
      </c>
      <c r="I234" s="2622" t="s">
        <v>970</v>
      </c>
      <c r="J234" s="3474">
        <f>IF(G229="pallet",ROUNDUP(H232/J233,0),H232)</f>
        <v>0</v>
      </c>
      <c r="K234" s="136" t="str">
        <f>IF(G229="Pallet","Pallet","CTN")</f>
        <v>Pallet</v>
      </c>
      <c r="P234" s="3976" t="s">
        <v>3744</v>
      </c>
      <c r="Q234" s="3450" t="s">
        <v>3745</v>
      </c>
      <c r="R234" s="3450" t="s">
        <v>3746</v>
      </c>
      <c r="S234" s="3450" t="str">
        <f>K234</f>
        <v>Pallet</v>
      </c>
      <c r="T234" s="3463" t="s">
        <v>3594</v>
      </c>
      <c r="U234" s="3992" t="s">
        <v>3485</v>
      </c>
      <c r="V234" s="3962">
        <f>VLOOKUP(V233,R235:T241,3,0)</f>
        <v>1</v>
      </c>
      <c r="W234" s="3962">
        <f>VLOOKUP(W233,I235:T241,4,0)</f>
        <v>1</v>
      </c>
      <c r="Z234" s="3977"/>
    </row>
    <row r="235" spans="1:26" outlineLevel="1">
      <c r="B235" s="314" t="s">
        <v>634</v>
      </c>
      <c r="C235" s="348">
        <v>600000</v>
      </c>
      <c r="D235" s="326" t="s">
        <v>92</v>
      </c>
      <c r="E235" s="136">
        <f>E217</f>
        <v>0</v>
      </c>
      <c r="F235" s="136">
        <f>F217</f>
        <v>0</v>
      </c>
      <c r="G235" s="3467" t="s">
        <v>2053</v>
      </c>
      <c r="H235" s="2623">
        <f>INDEX('STD packing nominate acc'!$H$32:$Q$33,MATCH($G$175,'STD packing nominate acc'!$F$32:$F$33,0),MATCH(G235,'STD packing nominate acc'!$H$19:$Q$19,0))</f>
        <v>459000</v>
      </c>
      <c r="I235" s="3469">
        <v>2</v>
      </c>
      <c r="J235" s="189">
        <f t="shared" ref="J235:L235" si="19">J217</f>
        <v>1.1000000000000001</v>
      </c>
      <c r="K235" s="136">
        <f t="shared" si="19"/>
        <v>2</v>
      </c>
      <c r="L235" s="136">
        <f t="shared" si="19"/>
        <v>1</v>
      </c>
      <c r="P235" s="3976">
        <v>0</v>
      </c>
      <c r="Q235" s="3450">
        <v>0</v>
      </c>
      <c r="R235" s="3470">
        <v>1.1000000000000001</v>
      </c>
      <c r="S235" s="3957">
        <f>IF($G$229="Pallet",I235,INDEX('STD packing nominate acc'!$H$20:$Q$27,MATCH($A$176,'STD packing nominate acc'!$A$20:$A$27,0),MATCH($G235,'STD packing nominate acc'!$H$19:$Q$19,0)))</f>
        <v>2</v>
      </c>
      <c r="T235" s="3463">
        <v>1</v>
      </c>
      <c r="U235" s="3992" t="s">
        <v>3486</v>
      </c>
      <c r="V235" s="3962">
        <f>MAX(V234:W234)</f>
        <v>1</v>
      </c>
      <c r="W235" s="3962"/>
      <c r="X235" s="136" t="s">
        <v>3747</v>
      </c>
      <c r="Z235" s="3977"/>
    </row>
    <row r="236" spans="1:26" outlineLevel="1">
      <c r="B236" s="314"/>
      <c r="C236" s="348"/>
      <c r="D236" s="326"/>
      <c r="G236" s="3954" t="s">
        <v>565</v>
      </c>
      <c r="H236" s="2623">
        <f>INDEX('STD packing nominate acc'!$H$32:$Q$33,MATCH($G$175,'STD packing nominate acc'!$F$32:$F$33,0),MATCH(G236,'STD packing nominate acc'!$H$19:$Q$19,0))</f>
        <v>510000</v>
      </c>
      <c r="I236" s="3955">
        <v>3</v>
      </c>
      <c r="J236" s="189"/>
      <c r="P236" s="3978">
        <f t="shared" ref="P236:P241" si="20">S235</f>
        <v>2</v>
      </c>
      <c r="Q236" s="3450">
        <v>1.1000000000000001</v>
      </c>
      <c r="R236" s="3470">
        <v>1.8</v>
      </c>
      <c r="S236" s="3957">
        <f>IF($G$229="Pallet",I236,INDEX('STD packing nominate acc'!$H$20:$Q$27,MATCH($A$176,'STD packing nominate acc'!$A$20:$A$27,0),MATCH($G236,'STD packing nominate acc'!$H$19:$Q$19,0)))</f>
        <v>3</v>
      </c>
      <c r="T236" s="3463">
        <f t="shared" ref="T236:T241" si="21">T235+1</f>
        <v>2</v>
      </c>
      <c r="U236" s="3956"/>
      <c r="V236" s="3956"/>
      <c r="W236" s="3956"/>
      <c r="X236" s="136" t="s">
        <v>3748</v>
      </c>
      <c r="Z236" s="3977"/>
    </row>
    <row r="237" spans="1:26" outlineLevel="1">
      <c r="B237" s="314" t="s">
        <v>2241</v>
      </c>
      <c r="C237" s="2404">
        <f>IF(G229="pallet",IF(150000/20*J234&lt;150000,150000,150000/20*J234),0)</f>
        <v>150000</v>
      </c>
      <c r="D237" s="326" t="s">
        <v>92</v>
      </c>
      <c r="E237" s="136">
        <f t="shared" ref="E237" si="22">E219</f>
        <v>3</v>
      </c>
      <c r="F237" s="136">
        <f>F219</f>
        <v>1.8</v>
      </c>
      <c r="G237" s="3467" t="s">
        <v>633</v>
      </c>
      <c r="H237" s="2623">
        <f>INDEX('STD packing nominate acc'!$H$32:$Q$33,MATCH($G$175,'STD packing nominate acc'!$F$32:$F$33,0),MATCH(G237,'STD packing nominate acc'!$H$19:$Q$19,0))</f>
        <v>764000</v>
      </c>
      <c r="I237" s="3469">
        <v>8</v>
      </c>
      <c r="J237" s="189">
        <f t="shared" ref="J237:L237" si="23">J219</f>
        <v>4.8000000000000007</v>
      </c>
      <c r="K237" s="136">
        <f t="shared" si="23"/>
        <v>8</v>
      </c>
      <c r="L237" s="136">
        <f t="shared" si="23"/>
        <v>3</v>
      </c>
      <c r="P237" s="3976">
        <f t="shared" si="20"/>
        <v>3</v>
      </c>
      <c r="Q237" s="3450">
        <v>1.8</v>
      </c>
      <c r="R237" s="3470">
        <v>4.8000000000000007</v>
      </c>
      <c r="S237" s="3957">
        <f>IF($G$229="Pallet",I237,INDEX('STD packing nominate acc'!$H$20:$Q$27,MATCH($A$176,'STD packing nominate acc'!$A$20:$A$27,0),MATCH($G237,'STD packing nominate acc'!$H$19:$Q$19,0)))</f>
        <v>8</v>
      </c>
      <c r="T237" s="3463">
        <f t="shared" si="21"/>
        <v>3</v>
      </c>
      <c r="Z237" s="3977"/>
    </row>
    <row r="238" spans="1:26" outlineLevel="1">
      <c r="B238" s="314" t="s">
        <v>566</v>
      </c>
      <c r="C238" s="348">
        <f>SUM(C234:C237)</f>
        <v>1209000</v>
      </c>
      <c r="D238" s="136" t="s">
        <v>92</v>
      </c>
      <c r="E238" s="136">
        <f t="shared" ref="E238" si="24">E220</f>
        <v>8</v>
      </c>
      <c r="F238" s="136">
        <f>F220</f>
        <v>4.8</v>
      </c>
      <c r="G238" s="3467" t="s">
        <v>681</v>
      </c>
      <c r="H238" s="2623">
        <f>INDEX('STD packing nominate acc'!$H$32:$Q$33,MATCH($G$175,'STD packing nominate acc'!$F$32:$F$33,0),MATCH(G238,'STD packing nominate acc'!$H$19:$Q$19,0))</f>
        <v>823000</v>
      </c>
      <c r="I238" s="3469">
        <v>10</v>
      </c>
      <c r="J238" s="136">
        <f t="shared" ref="J238:L238" si="25">J220</f>
        <v>6</v>
      </c>
      <c r="K238" s="136">
        <f t="shared" si="25"/>
        <v>10</v>
      </c>
      <c r="L238" s="136">
        <f t="shared" si="25"/>
        <v>4</v>
      </c>
      <c r="P238" s="3976">
        <f t="shared" si="20"/>
        <v>8</v>
      </c>
      <c r="Q238" s="3450">
        <v>4.8</v>
      </c>
      <c r="R238" s="3470">
        <v>6</v>
      </c>
      <c r="S238" s="3957">
        <f>IF($G$229="Pallet",I238,INDEX('STD packing nominate acc'!$H$20:$Q$27,MATCH($A$176,'STD packing nominate acc'!$A$20:$A$27,0),MATCH($G238,'STD packing nominate acc'!$H$19:$Q$19,0)))</f>
        <v>10</v>
      </c>
      <c r="T238" s="3463">
        <f t="shared" si="21"/>
        <v>4</v>
      </c>
      <c r="Z238" s="3977"/>
    </row>
    <row r="239" spans="1:26" outlineLevel="1">
      <c r="B239" s="314" t="s">
        <v>567</v>
      </c>
      <c r="C239" s="333">
        <f>C238/$F$1</f>
        <v>241.8</v>
      </c>
      <c r="D239" s="1344" t="str">
        <f>D238</f>
        <v>VND</v>
      </c>
      <c r="E239" s="1344">
        <f t="shared" ref="E239" si="26">E221</f>
        <v>10</v>
      </c>
      <c r="F239" s="136">
        <f>F221</f>
        <v>6</v>
      </c>
      <c r="G239" s="3467" t="s">
        <v>682</v>
      </c>
      <c r="H239" s="2623">
        <f>INDEX('STD packing nominate acc'!$H$32:$Q$33,MATCH($G$175,'STD packing nominate acc'!$F$32:$F$33,0),MATCH(G239,'STD packing nominate acc'!$H$19:$Q$19,0))</f>
        <v>1019000</v>
      </c>
      <c r="I239" s="3469">
        <v>12</v>
      </c>
      <c r="J239" s="136">
        <f t="shared" ref="J239:L239" si="27">J221</f>
        <v>8</v>
      </c>
      <c r="K239" s="136">
        <f t="shared" si="27"/>
        <v>12</v>
      </c>
      <c r="L239" s="136">
        <f t="shared" si="27"/>
        <v>5</v>
      </c>
      <c r="P239" s="3979">
        <f t="shared" si="20"/>
        <v>10</v>
      </c>
      <c r="Q239" s="3450">
        <v>6</v>
      </c>
      <c r="R239" s="3470">
        <v>8</v>
      </c>
      <c r="S239" s="3957">
        <f>IF($G$229="Pallet",I239,INDEX('STD packing nominate acc'!$H$20:$Q$27,MATCH($A$176,'STD packing nominate acc'!$A$20:$A$27,0),MATCH($G239,'STD packing nominate acc'!$H$19:$Q$19,0)))</f>
        <v>12</v>
      </c>
      <c r="T239" s="3463">
        <f t="shared" si="21"/>
        <v>5</v>
      </c>
      <c r="X239" s="3963">
        <f>VLOOKUP("đúng",Y240:Z243,2,0)</f>
        <v>459000</v>
      </c>
      <c r="Z239" s="3977"/>
    </row>
    <row r="240" spans="1:26" outlineLevel="1">
      <c r="B240" s="314"/>
      <c r="C240" s="333"/>
      <c r="D240" s="1344"/>
      <c r="E240" s="1344">
        <f t="shared" ref="E240" si="28">E222</f>
        <v>12</v>
      </c>
      <c r="F240" s="136">
        <f>F222</f>
        <v>8</v>
      </c>
      <c r="G240" s="3471" t="s">
        <v>683</v>
      </c>
      <c r="H240" s="2623">
        <f>INDEX('STD packing nominate acc'!$H$32:$Q$33,MATCH($G$175,'STD packing nominate acc'!$F$32:$F$33,0),MATCH(G240,'STD packing nominate acc'!$H$19:$Q$19,0))</f>
        <v>1273000</v>
      </c>
      <c r="I240" s="3472">
        <v>14</v>
      </c>
      <c r="J240" s="136">
        <f t="shared" ref="J240:L240" si="29">J222</f>
        <v>15</v>
      </c>
      <c r="K240" s="136">
        <f t="shared" si="29"/>
        <v>14</v>
      </c>
      <c r="L240" s="136">
        <f t="shared" si="29"/>
        <v>6</v>
      </c>
      <c r="P240" s="3979">
        <f t="shared" si="20"/>
        <v>12</v>
      </c>
      <c r="Q240" s="3450">
        <v>8</v>
      </c>
      <c r="R240" s="3470">
        <v>15</v>
      </c>
      <c r="S240" s="3957">
        <f>IF($G$229="Pallet",I240,INDEX('STD packing nominate acc'!$H$20:$Q$27,MATCH($A$176,'STD packing nominate acc'!$A$20:$A$27,0),MATCH($G240,'STD packing nominate acc'!$H$19:$Q$19,0)))</f>
        <v>14</v>
      </c>
      <c r="T240" s="3463">
        <f t="shared" si="21"/>
        <v>6</v>
      </c>
      <c r="U240" s="136" t="s">
        <v>3489</v>
      </c>
      <c r="V240" s="3964">
        <f>ROUNDDOWN(H233/Q241,0)</f>
        <v>0</v>
      </c>
      <c r="W240" s="3965">
        <f>S240</f>
        <v>14</v>
      </c>
      <c r="X240" s="981"/>
      <c r="Y240" s="3966" t="str">
        <f>IF(J234&gt;(W240*V240+W242),"sai","đúng")</f>
        <v>đúng</v>
      </c>
      <c r="Z240" s="3980">
        <f>INDEX(H235:H240,MATCH(V242,R235:R240,0),1)+H240*V240</f>
        <v>459000</v>
      </c>
    </row>
    <row r="241" spans="1:26" outlineLevel="1">
      <c r="E241" s="136">
        <f t="shared" ref="E241" si="30">E223</f>
        <v>14</v>
      </c>
      <c r="F241" s="136">
        <f>F223</f>
        <v>15</v>
      </c>
      <c r="I241" s="136" t="str">
        <f t="shared" ref="I241" si="31">I223</f>
        <v>lố</v>
      </c>
      <c r="J241" s="136" t="str">
        <f t="shared" ref="J241:L241" si="32">J223</f>
        <v>lố</v>
      </c>
      <c r="K241" s="136">
        <f t="shared" si="32"/>
        <v>0</v>
      </c>
      <c r="L241" s="136">
        <f t="shared" si="32"/>
        <v>7</v>
      </c>
      <c r="P241" s="3976">
        <f t="shared" si="20"/>
        <v>14</v>
      </c>
      <c r="Q241" s="3450">
        <v>15</v>
      </c>
      <c r="R241" s="3450" t="s">
        <v>3487</v>
      </c>
      <c r="S241" s="3450"/>
      <c r="T241" s="3463">
        <f t="shared" si="21"/>
        <v>7</v>
      </c>
      <c r="U241" s="136" t="s">
        <v>3488</v>
      </c>
      <c r="V241" s="3967">
        <f>H233-V240*Q241</f>
        <v>0</v>
      </c>
      <c r="W241" s="3965"/>
      <c r="Y241" s="3565"/>
      <c r="Z241" s="3981"/>
    </row>
    <row r="242" spans="1:26" outlineLevel="1">
      <c r="P242" s="3982"/>
      <c r="U242" s="136" t="s">
        <v>3490</v>
      </c>
      <c r="V242" s="3967">
        <f>IFERROR(IF(VLOOKUP(V241,R235:R240,1,0)&gt;0,V241,LOOKUP(V241,Q235:Q241,R235:R241)),LOOKUP(V241,Q235:Q241,R235:R241))</f>
        <v>1.1000000000000001</v>
      </c>
      <c r="W242" s="3641">
        <f>VLOOKUP(V242,R235:S240,2,0)</f>
        <v>2</v>
      </c>
      <c r="Y242" s="3565"/>
      <c r="Z242" s="3981"/>
    </row>
    <row r="243" spans="1:26" outlineLevel="1">
      <c r="P243" s="3982"/>
      <c r="U243" s="136" t="s">
        <v>3489</v>
      </c>
      <c r="V243" s="3968">
        <f>Q241</f>
        <v>15</v>
      </c>
      <c r="W243" s="3969">
        <f>ROUNDDOWN(J234/S240,0)</f>
        <v>0</v>
      </c>
      <c r="X243" s="3970"/>
      <c r="Y243" s="3966" t="str">
        <f>IF(H233&gt;(V243*W243+V245),"sai","đúng")</f>
        <v>đúng</v>
      </c>
      <c r="Z243" s="3983">
        <f>INDEX(H235:H240,MATCH(W245,S235:S240,0),1)+H240*W243</f>
        <v>459000</v>
      </c>
    </row>
    <row r="244" spans="1:26" outlineLevel="1">
      <c r="P244" s="3982"/>
      <c r="U244" s="136" t="s">
        <v>3491</v>
      </c>
      <c r="V244" s="3968"/>
      <c r="W244" s="3971">
        <f>J234-W243*S240</f>
        <v>0</v>
      </c>
      <c r="Z244" s="3977"/>
    </row>
    <row r="245" spans="1:26" outlineLevel="1">
      <c r="P245" s="3984"/>
      <c r="Q245" s="3985"/>
      <c r="R245" s="3985"/>
      <c r="S245" s="3985"/>
      <c r="T245" s="3985"/>
      <c r="U245" s="3985" t="s">
        <v>3490</v>
      </c>
      <c r="V245" s="3986">
        <f>INDEX($R235:$R241,MATCH(W245,$S235:$S241,0),1)</f>
        <v>1.1000000000000001</v>
      </c>
      <c r="W245" s="3987">
        <f>IFERROR(IF(VLOOKUP(W244,S235:S240,1,0)&gt;0,W244,LOOKUP(W244,P235:P241,S235:S241)),LOOKUP(W244,P235:P241,S235:S241))</f>
        <v>2</v>
      </c>
      <c r="X245" s="3985"/>
      <c r="Y245" s="3985"/>
      <c r="Z245" s="3988"/>
    </row>
    <row r="246" spans="1:26" outlineLevel="1">
      <c r="A246" s="1313" t="s">
        <v>1723</v>
      </c>
      <c r="B246" s="319"/>
    </row>
    <row r="247" spans="1:26" outlineLevel="1">
      <c r="A247" s="2122" t="s">
        <v>3252</v>
      </c>
      <c r="B247" s="2122"/>
      <c r="C247" s="2122"/>
      <c r="D247" s="2122"/>
      <c r="E247" s="2122"/>
      <c r="F247" s="2122"/>
      <c r="G247" s="3993" t="s">
        <v>2243</v>
      </c>
    </row>
    <row r="248" spans="1:26" outlineLevel="1">
      <c r="A248" s="1313" t="str">
        <f>'STD packing nominate acc'!A27</f>
        <v>Fineline Marker (5899Sxxx)</v>
      </c>
      <c r="G248" s="1307"/>
      <c r="H248" s="322" t="s">
        <v>524</v>
      </c>
      <c r="I248" s="189"/>
      <c r="J248" s="189"/>
    </row>
    <row r="249" spans="1:26" outlineLevel="1">
      <c r="B249" s="320" t="s">
        <v>529</v>
      </c>
      <c r="C249" s="335">
        <f>$H$1*G248</f>
        <v>0</v>
      </c>
      <c r="D249" s="320" t="s">
        <v>287</v>
      </c>
      <c r="G249" s="189" t="s">
        <v>530</v>
      </c>
      <c r="H249" s="189">
        <f>VLOOKUP(A248,'STD packing nominate acc'!$A$20:$G$27,2,0)</f>
        <v>1300</v>
      </c>
      <c r="I249" s="189" t="s">
        <v>531</v>
      </c>
      <c r="J249" s="1308">
        <f>VLOOKUP(A248,'STD packing nominate acc'!$A$20:$G$27,7,0)</f>
        <v>3.0636E-2</v>
      </c>
      <c r="K249" s="189" t="s">
        <v>532</v>
      </c>
    </row>
    <row r="250" spans="1:26" outlineLevel="1">
      <c r="B250" s="320" t="s">
        <v>445</v>
      </c>
      <c r="C250" s="1303"/>
      <c r="D250" s="326" t="s">
        <v>561</v>
      </c>
      <c r="G250" s="189" t="s">
        <v>533</v>
      </c>
      <c r="H250" s="189">
        <f>ROUNDUP(C249/H249,0)</f>
        <v>0</v>
      </c>
      <c r="I250" s="189" t="s">
        <v>534</v>
      </c>
      <c r="J250" s="1309">
        <f>VLOOKUP(A248,'STD packing nominate acc'!$A$20:$G$27,3,0)</f>
        <v>9</v>
      </c>
      <c r="K250" s="189" t="s">
        <v>562</v>
      </c>
    </row>
    <row r="251" spans="1:26" outlineLevel="1">
      <c r="B251" s="320" t="s">
        <v>21</v>
      </c>
      <c r="C251" s="348">
        <f>C250*C249</f>
        <v>0</v>
      </c>
      <c r="D251" s="320" t="s">
        <v>87</v>
      </c>
      <c r="G251" s="320" t="s">
        <v>260</v>
      </c>
      <c r="H251" s="136">
        <f>ROUNDUP(H250*J250/1000,1)</f>
        <v>0</v>
      </c>
      <c r="I251" s="189" t="s">
        <v>563</v>
      </c>
      <c r="J251" s="189">
        <f>VLOOKUP(A248,'STD packing nominate acc'!$A$20:$G$27,4,0)</f>
        <v>32</v>
      </c>
      <c r="K251" s="136" t="s">
        <v>2242</v>
      </c>
      <c r="P251" s="3972"/>
      <c r="Q251" s="3973"/>
      <c r="R251" s="3973"/>
      <c r="S251" s="3973"/>
      <c r="T251" s="3973"/>
      <c r="U251" s="3991" t="s">
        <v>3484</v>
      </c>
      <c r="V251" s="3974">
        <f>IFERROR(IF(VLOOKUP(H251,R253:R258,1,0)&gt;0,H251,LOOKUP(H251,Q253:Q259,R253:R259)),LOOKUP(H251,Q253:Q259,R253:R259))</f>
        <v>1.1000000000000001</v>
      </c>
      <c r="W251" s="3974">
        <f>IFERROR(IF(VLOOKUP(J252,I253:I258,1,0)&gt;0,J252,LOOKUP(J252,P253:P259,I253:I259)),LOOKUP(J252,P253:P259,I253:I259))</f>
        <v>2</v>
      </c>
      <c r="X251" s="3973"/>
      <c r="Y251" s="3973"/>
      <c r="Z251" s="3975"/>
    </row>
    <row r="252" spans="1:26" outlineLevel="1">
      <c r="A252" s="320"/>
      <c r="B252" s="314" t="s">
        <v>564</v>
      </c>
      <c r="C252" s="3466">
        <f>IFERROR(INDEX(H253:H258,MATCH(V253,L253:L258,0),1),X257)</f>
        <v>459000</v>
      </c>
      <c r="D252" s="326" t="s">
        <v>92</v>
      </c>
      <c r="G252" s="2622" t="s">
        <v>968</v>
      </c>
      <c r="H252" s="2622" t="s">
        <v>969</v>
      </c>
      <c r="I252" s="2622" t="s">
        <v>970</v>
      </c>
      <c r="J252" s="3474">
        <f>IF(G247="pallet",ROUNDUP(H250/J251,0),H250)</f>
        <v>0</v>
      </c>
      <c r="K252" s="136" t="str">
        <f>IF(G247="Pallet","Pallet","CTN")</f>
        <v>Pallet</v>
      </c>
      <c r="P252" s="3976" t="s">
        <v>3744</v>
      </c>
      <c r="Q252" s="3450" t="s">
        <v>3745</v>
      </c>
      <c r="R252" s="3450" t="s">
        <v>3746</v>
      </c>
      <c r="S252" s="3450" t="str">
        <f>K252</f>
        <v>Pallet</v>
      </c>
      <c r="T252" s="3463" t="s">
        <v>3594</v>
      </c>
      <c r="U252" s="3992" t="s">
        <v>3485</v>
      </c>
      <c r="V252" s="3962">
        <f>VLOOKUP(V251,R253:T259,3,0)</f>
        <v>1</v>
      </c>
      <c r="W252" s="3962">
        <f>VLOOKUP(W251,I253:T259,4,0)</f>
        <v>1</v>
      </c>
      <c r="Z252" s="3977"/>
    </row>
    <row r="253" spans="1:26" outlineLevel="1">
      <c r="B253" s="314" t="s">
        <v>634</v>
      </c>
      <c r="C253" s="348">
        <v>600000</v>
      </c>
      <c r="D253" s="326" t="s">
        <v>92</v>
      </c>
      <c r="E253" s="136">
        <f>E235</f>
        <v>0</v>
      </c>
      <c r="F253" s="136">
        <f>F235</f>
        <v>0</v>
      </c>
      <c r="G253" s="3467" t="s">
        <v>2053</v>
      </c>
      <c r="H253" s="2623">
        <f>INDEX('STD packing nominate acc'!$H$32:$Q$33,MATCH($G$175,'STD packing nominate acc'!$F$32:$F$33,0),MATCH(G253,'STD packing nominate acc'!$H$19:$Q$19,0))</f>
        <v>459000</v>
      </c>
      <c r="I253" s="3469">
        <v>2</v>
      </c>
      <c r="J253" s="189">
        <f t="shared" ref="J253:L253" si="33">J235</f>
        <v>1.1000000000000001</v>
      </c>
      <c r="K253" s="136">
        <f t="shared" si="33"/>
        <v>2</v>
      </c>
      <c r="L253" s="136">
        <f t="shared" si="33"/>
        <v>1</v>
      </c>
      <c r="P253" s="3976">
        <v>0</v>
      </c>
      <c r="Q253" s="3450">
        <v>0</v>
      </c>
      <c r="R253" s="3470">
        <v>1.1000000000000001</v>
      </c>
      <c r="S253" s="3957">
        <f>IF($G$247="Pallet",I253,INDEX('STD packing nominate acc'!$H$20:$Q$27,MATCH($A$176,'STD packing nominate acc'!$A$20:$A$27,0),MATCH($G253,'STD packing nominate acc'!$H$19:$Q$19,0)))</f>
        <v>2</v>
      </c>
      <c r="T253" s="3463">
        <v>1</v>
      </c>
      <c r="U253" s="3992" t="s">
        <v>3486</v>
      </c>
      <c r="V253" s="3962">
        <f>MAX(V252:W252)</f>
        <v>1</v>
      </c>
      <c r="W253" s="3962"/>
      <c r="X253" s="136" t="s">
        <v>3747</v>
      </c>
      <c r="Z253" s="3977"/>
    </row>
    <row r="254" spans="1:26" outlineLevel="1">
      <c r="B254" s="314"/>
      <c r="C254" s="348"/>
      <c r="D254" s="326"/>
      <c r="G254" s="3954" t="s">
        <v>565</v>
      </c>
      <c r="H254" s="2623">
        <f>INDEX('STD packing nominate acc'!$H$32:$Q$33,MATCH($G$175,'STD packing nominate acc'!$F$32:$F$33,0),MATCH(G254,'STD packing nominate acc'!$H$19:$Q$19,0))</f>
        <v>510000</v>
      </c>
      <c r="I254" s="3955">
        <v>3</v>
      </c>
      <c r="J254" s="189"/>
      <c r="P254" s="3978">
        <f t="shared" ref="P254:P259" si="34">S253</f>
        <v>2</v>
      </c>
      <c r="Q254" s="3450">
        <v>1.1000000000000001</v>
      </c>
      <c r="R254" s="3470">
        <v>1.8</v>
      </c>
      <c r="S254" s="3957">
        <f>IF($G$247="Pallet",I254,INDEX('STD packing nominate acc'!$H$20:$Q$27,MATCH($A$176,'STD packing nominate acc'!$A$20:$A$27,0),MATCH($G254,'STD packing nominate acc'!$H$19:$Q$19,0)))</f>
        <v>3</v>
      </c>
      <c r="T254" s="3463">
        <f t="shared" ref="T254:T259" si="35">T253+1</f>
        <v>2</v>
      </c>
      <c r="U254" s="3956"/>
      <c r="V254" s="3956"/>
      <c r="W254" s="3956"/>
      <c r="X254" s="136" t="s">
        <v>3748</v>
      </c>
      <c r="Z254" s="3977"/>
    </row>
    <row r="255" spans="1:26" outlineLevel="1">
      <c r="B255" s="314" t="s">
        <v>2241</v>
      </c>
      <c r="C255" s="2404">
        <f>IF(G247="pallet",IF(150000/20*J252&lt;150000,150000,150000/20*J252),0)</f>
        <v>150000</v>
      </c>
      <c r="D255" s="326" t="s">
        <v>92</v>
      </c>
      <c r="E255" s="136">
        <f t="shared" ref="E255" si="36">E237</f>
        <v>3</v>
      </c>
      <c r="F255" s="136">
        <f t="shared" ref="F255:F259" si="37">F237</f>
        <v>1.8</v>
      </c>
      <c r="G255" s="3467" t="s">
        <v>633</v>
      </c>
      <c r="H255" s="2623">
        <f>INDEX('STD packing nominate acc'!$H$32:$Q$33,MATCH($G$175,'STD packing nominate acc'!$F$32:$F$33,0),MATCH(G255,'STD packing nominate acc'!$H$19:$Q$19,0))</f>
        <v>764000</v>
      </c>
      <c r="I255" s="3469">
        <v>8</v>
      </c>
      <c r="J255" s="189">
        <f t="shared" ref="J255:L255" si="38">J237</f>
        <v>4.8000000000000007</v>
      </c>
      <c r="K255" s="136">
        <f t="shared" si="38"/>
        <v>8</v>
      </c>
      <c r="L255" s="136">
        <f t="shared" si="38"/>
        <v>3</v>
      </c>
      <c r="P255" s="3976">
        <f t="shared" si="34"/>
        <v>3</v>
      </c>
      <c r="Q255" s="3450">
        <v>1.8</v>
      </c>
      <c r="R255" s="3470">
        <v>4.8000000000000007</v>
      </c>
      <c r="S255" s="3957">
        <f>IF($G$247="Pallet",I255,INDEX('STD packing nominate acc'!$H$20:$Q$27,MATCH($A$176,'STD packing nominate acc'!$A$20:$A$27,0),MATCH($G255,'STD packing nominate acc'!$H$19:$Q$19,0)))</f>
        <v>8</v>
      </c>
      <c r="T255" s="3463">
        <f t="shared" si="35"/>
        <v>3</v>
      </c>
      <c r="Z255" s="3977"/>
    </row>
    <row r="256" spans="1:26" outlineLevel="1">
      <c r="B256" s="314" t="s">
        <v>566</v>
      </c>
      <c r="C256" s="348">
        <f>SUM(C252:C255)</f>
        <v>1209000</v>
      </c>
      <c r="D256" s="136" t="s">
        <v>92</v>
      </c>
      <c r="E256" s="136">
        <f t="shared" ref="E256" si="39">E238</f>
        <v>8</v>
      </c>
      <c r="F256" s="136">
        <f t="shared" si="37"/>
        <v>4.8</v>
      </c>
      <c r="G256" s="3467" t="s">
        <v>681</v>
      </c>
      <c r="H256" s="2623">
        <f>INDEX('STD packing nominate acc'!$H$32:$Q$33,MATCH($G$175,'STD packing nominate acc'!$F$32:$F$33,0),MATCH(G256,'STD packing nominate acc'!$H$19:$Q$19,0))</f>
        <v>823000</v>
      </c>
      <c r="I256" s="3469">
        <v>10</v>
      </c>
      <c r="J256" s="136">
        <f t="shared" ref="J256:L256" si="40">J238</f>
        <v>6</v>
      </c>
      <c r="K256" s="136">
        <f t="shared" si="40"/>
        <v>10</v>
      </c>
      <c r="L256" s="136">
        <f t="shared" si="40"/>
        <v>4</v>
      </c>
      <c r="P256" s="3976">
        <f t="shared" si="34"/>
        <v>8</v>
      </c>
      <c r="Q256" s="3450">
        <v>4.8</v>
      </c>
      <c r="R256" s="3470">
        <v>6</v>
      </c>
      <c r="S256" s="3957">
        <f>IF($G$247="Pallet",I256,INDEX('STD packing nominate acc'!$H$20:$Q$27,MATCH($A$176,'STD packing nominate acc'!$A$20:$A$27,0),MATCH($G256,'STD packing nominate acc'!$H$19:$Q$19,0)))</f>
        <v>10</v>
      </c>
      <c r="T256" s="3463">
        <f t="shared" si="35"/>
        <v>4</v>
      </c>
      <c r="Z256" s="3977"/>
    </row>
    <row r="257" spans="1:26" outlineLevel="1">
      <c r="B257" s="314" t="s">
        <v>567</v>
      </c>
      <c r="C257" s="333">
        <f>C256/$F$1</f>
        <v>241.8</v>
      </c>
      <c r="D257" s="1344" t="str">
        <f>D256</f>
        <v>VND</v>
      </c>
      <c r="E257" s="1344">
        <f t="shared" ref="E257" si="41">E239</f>
        <v>10</v>
      </c>
      <c r="F257" s="136">
        <f t="shared" si="37"/>
        <v>6</v>
      </c>
      <c r="G257" s="3467" t="s">
        <v>682</v>
      </c>
      <c r="H257" s="2623">
        <f>INDEX('STD packing nominate acc'!$H$32:$Q$33,MATCH($G$175,'STD packing nominate acc'!$F$32:$F$33,0),MATCH(G257,'STD packing nominate acc'!$H$19:$Q$19,0))</f>
        <v>1019000</v>
      </c>
      <c r="I257" s="3469">
        <v>12</v>
      </c>
      <c r="J257" s="136">
        <f t="shared" ref="J257:L257" si="42">J239</f>
        <v>8</v>
      </c>
      <c r="K257" s="136">
        <f t="shared" si="42"/>
        <v>12</v>
      </c>
      <c r="L257" s="136">
        <f t="shared" si="42"/>
        <v>5</v>
      </c>
      <c r="P257" s="3979">
        <f t="shared" si="34"/>
        <v>10</v>
      </c>
      <c r="Q257" s="3450">
        <v>6</v>
      </c>
      <c r="R257" s="3470">
        <v>8</v>
      </c>
      <c r="S257" s="3957">
        <f>IF($G$247="Pallet",I257,INDEX('STD packing nominate acc'!$H$20:$Q$27,MATCH($A$176,'STD packing nominate acc'!$A$20:$A$27,0),MATCH($G257,'STD packing nominate acc'!$H$19:$Q$19,0)))</f>
        <v>12</v>
      </c>
      <c r="T257" s="3463">
        <f t="shared" si="35"/>
        <v>5</v>
      </c>
      <c r="X257" s="3963">
        <f>VLOOKUP("đúng",Y258:Z261,2,0)</f>
        <v>459000</v>
      </c>
      <c r="Z257" s="3977"/>
    </row>
    <row r="258" spans="1:26" outlineLevel="1">
      <c r="B258" s="314"/>
      <c r="C258" s="333"/>
      <c r="D258" s="1344"/>
      <c r="E258" s="1344">
        <f t="shared" ref="E258" si="43">E240</f>
        <v>12</v>
      </c>
      <c r="F258" s="136">
        <f t="shared" si="37"/>
        <v>8</v>
      </c>
      <c r="G258" s="3471" t="s">
        <v>683</v>
      </c>
      <c r="H258" s="2623">
        <f>INDEX('STD packing nominate acc'!$H$32:$Q$33,MATCH($G$175,'STD packing nominate acc'!$F$32:$F$33,0),MATCH(G258,'STD packing nominate acc'!$H$19:$Q$19,0))</f>
        <v>1273000</v>
      </c>
      <c r="I258" s="3472">
        <v>14</v>
      </c>
      <c r="J258" s="136">
        <f t="shared" ref="J258:L258" si="44">J240</f>
        <v>15</v>
      </c>
      <c r="K258" s="136">
        <f t="shared" si="44"/>
        <v>14</v>
      </c>
      <c r="L258" s="136">
        <f t="shared" si="44"/>
        <v>6</v>
      </c>
      <c r="P258" s="3979">
        <f t="shared" si="34"/>
        <v>12</v>
      </c>
      <c r="Q258" s="3450">
        <v>8</v>
      </c>
      <c r="R258" s="3470">
        <v>15</v>
      </c>
      <c r="S258" s="3957">
        <f>IF($G$247="Pallet",I258,INDEX('STD packing nominate acc'!$H$20:$Q$27,MATCH($A$176,'STD packing nominate acc'!$A$20:$A$27,0),MATCH($G258,'STD packing nominate acc'!$H$19:$Q$19,0)))</f>
        <v>14</v>
      </c>
      <c r="T258" s="3463">
        <f t="shared" si="35"/>
        <v>6</v>
      </c>
      <c r="U258" s="136" t="s">
        <v>3489</v>
      </c>
      <c r="V258" s="3964">
        <f>ROUNDDOWN(H251/Q259,0)</f>
        <v>0</v>
      </c>
      <c r="W258" s="3965">
        <f>S258</f>
        <v>14</v>
      </c>
      <c r="X258" s="981"/>
      <c r="Y258" s="3966" t="str">
        <f>IF(J252&gt;(W258*V258+W260),"sai","đúng")</f>
        <v>đúng</v>
      </c>
      <c r="Z258" s="3980">
        <f>INDEX(H253:H258,MATCH(V260,R253:R258,0),1)+H258*V258</f>
        <v>459000</v>
      </c>
    </row>
    <row r="259" spans="1:26" outlineLevel="1">
      <c r="E259" s="136">
        <f t="shared" ref="E259" si="45">E241</f>
        <v>14</v>
      </c>
      <c r="F259" s="136">
        <f t="shared" si="37"/>
        <v>15</v>
      </c>
      <c r="I259" s="136" t="str">
        <f t="shared" ref="I259" si="46">I241</f>
        <v>lố</v>
      </c>
      <c r="J259" s="136" t="str">
        <f t="shared" ref="J259:L259" si="47">J241</f>
        <v>lố</v>
      </c>
      <c r="K259" s="136">
        <f t="shared" si="47"/>
        <v>0</v>
      </c>
      <c r="L259" s="136">
        <f t="shared" si="47"/>
        <v>7</v>
      </c>
      <c r="P259" s="3976">
        <f t="shared" si="34"/>
        <v>14</v>
      </c>
      <c r="Q259" s="3450">
        <v>15</v>
      </c>
      <c r="R259" s="3450" t="s">
        <v>3487</v>
      </c>
      <c r="S259" s="3450"/>
      <c r="T259" s="3463">
        <f t="shared" si="35"/>
        <v>7</v>
      </c>
      <c r="U259" s="136" t="s">
        <v>3488</v>
      </c>
      <c r="V259" s="3967">
        <f>H251-V258*Q259</f>
        <v>0</v>
      </c>
      <c r="W259" s="3965"/>
      <c r="Y259" s="3565"/>
      <c r="Z259" s="3981"/>
    </row>
    <row r="260" spans="1:26" outlineLevel="1">
      <c r="P260" s="3982"/>
      <c r="U260" s="136" t="s">
        <v>3490</v>
      </c>
      <c r="V260" s="3967">
        <f>IFERROR(IF(VLOOKUP(V259,R253:R258,1,0)&gt;0,V259,LOOKUP(V259,Q253:Q259,R253:R259)),LOOKUP(V259,Q253:Q259,R253:R259))</f>
        <v>1.1000000000000001</v>
      </c>
      <c r="W260" s="3641">
        <f>VLOOKUP(V260,R253:S258,2,0)</f>
        <v>2</v>
      </c>
      <c r="Y260" s="3565"/>
      <c r="Z260" s="3981"/>
    </row>
    <row r="261" spans="1:26" outlineLevel="1">
      <c r="P261" s="3982"/>
      <c r="U261" s="136" t="s">
        <v>3489</v>
      </c>
      <c r="V261" s="3968">
        <f>Q259</f>
        <v>15</v>
      </c>
      <c r="W261" s="3969">
        <f>ROUNDDOWN(J252/S258,0)</f>
        <v>0</v>
      </c>
      <c r="X261" s="3970"/>
      <c r="Y261" s="3966" t="str">
        <f>IF(H251&gt;(V261*W261+V263),"sai","đúng")</f>
        <v>đúng</v>
      </c>
      <c r="Z261" s="3983">
        <f>INDEX(H253:H258,MATCH(W263,S253:S258,0),1)+H258*W261</f>
        <v>459000</v>
      </c>
    </row>
    <row r="262" spans="1:26" outlineLevel="1">
      <c r="P262" s="3982"/>
      <c r="U262" s="136" t="s">
        <v>3491</v>
      </c>
      <c r="V262" s="3968"/>
      <c r="W262" s="3971">
        <f>J252-W261*S258</f>
        <v>0</v>
      </c>
      <c r="Z262" s="3977"/>
    </row>
    <row r="263" spans="1:26" outlineLevel="1">
      <c r="P263" s="3984"/>
      <c r="Q263" s="3985"/>
      <c r="R263" s="3985"/>
      <c r="S263" s="3985"/>
      <c r="T263" s="3985"/>
      <c r="U263" s="3985" t="s">
        <v>3490</v>
      </c>
      <c r="V263" s="3986">
        <f>INDEX($R253:$R259,MATCH(W263,$S253:$S259,0),1)</f>
        <v>1.1000000000000001</v>
      </c>
      <c r="W263" s="3987">
        <f>IFERROR(IF(VLOOKUP(W262,S253:S258,1,0)&gt;0,W262,LOOKUP(W262,P253:P259,S253:S259)),LOOKUP(W262,P253:P259,S253:S259))</f>
        <v>2</v>
      </c>
      <c r="X263" s="3985"/>
      <c r="Y263" s="3985"/>
      <c r="Z263" s="3988"/>
    </row>
    <row r="264" spans="1:26" outlineLevel="1">
      <c r="A264" s="2132" t="s">
        <v>3257</v>
      </c>
      <c r="B264" s="2133"/>
      <c r="C264" s="2134"/>
      <c r="D264" s="2134"/>
      <c r="E264" s="2134"/>
      <c r="F264" s="2134"/>
      <c r="G264" s="2134"/>
      <c r="H264" s="2134"/>
      <c r="I264" s="2134" t="s">
        <v>524</v>
      </c>
    </row>
    <row r="265" spans="1:26" outlineLevel="1">
      <c r="B265" s="136" t="s">
        <v>529</v>
      </c>
      <c r="C265" s="353">
        <f>H264*$F$1*(1+2%)</f>
        <v>0</v>
      </c>
      <c r="D265" s="136" t="s">
        <v>287</v>
      </c>
    </row>
    <row r="266" spans="1:26" outlineLevel="1">
      <c r="C266" s="353">
        <v>50</v>
      </c>
      <c r="D266" s="136" t="s">
        <v>3253</v>
      </c>
    </row>
    <row r="267" spans="1:26" outlineLevel="1">
      <c r="C267" s="353">
        <f>45*1000</f>
        <v>45000</v>
      </c>
      <c r="D267" s="136" t="s">
        <v>3254</v>
      </c>
    </row>
    <row r="268" spans="1:26" outlineLevel="1">
      <c r="C268" s="353">
        <f>INT(C267/C266)</f>
        <v>900</v>
      </c>
      <c r="D268" s="136" t="s">
        <v>3255</v>
      </c>
    </row>
    <row r="269" spans="1:26" outlineLevel="1">
      <c r="C269" s="353">
        <f>ROUNDUP(C265/C268,0)</f>
        <v>0</v>
      </c>
      <c r="D269" s="136" t="s">
        <v>104</v>
      </c>
    </row>
    <row r="270" spans="1:26" outlineLevel="1">
      <c r="B270" s="136" t="s">
        <v>445</v>
      </c>
      <c r="C270" s="353">
        <v>5900</v>
      </c>
      <c r="D270" s="136" t="s">
        <v>1263</v>
      </c>
    </row>
    <row r="271" spans="1:26" outlineLevel="1">
      <c r="B271" s="136" t="s">
        <v>85</v>
      </c>
      <c r="C271" s="353">
        <f>C269*C270</f>
        <v>0</v>
      </c>
      <c r="D271" s="136" t="s">
        <v>92</v>
      </c>
    </row>
    <row r="272" spans="1:26" outlineLevel="1">
      <c r="B272" s="136" t="s">
        <v>3256</v>
      </c>
      <c r="C272" s="1039">
        <v>0.05</v>
      </c>
    </row>
    <row r="273" spans="1:26" outlineLevel="1">
      <c r="B273" s="3141" t="s">
        <v>762</v>
      </c>
      <c r="C273" s="3141">
        <f>C271*(1+C272)/$F$1</f>
        <v>0</v>
      </c>
      <c r="D273" s="3141" t="s">
        <v>97</v>
      </c>
    </row>
    <row r="274" spans="1:26" outlineLevel="1"/>
    <row r="275" spans="1:26" outlineLevel="1">
      <c r="A275" s="2132"/>
      <c r="B275" s="2133"/>
      <c r="C275" s="2134"/>
      <c r="D275" s="2134"/>
      <c r="E275" s="2134"/>
      <c r="F275" s="2134"/>
      <c r="G275" s="2134"/>
      <c r="H275" s="2134"/>
      <c r="I275" s="2134" t="s">
        <v>524</v>
      </c>
    </row>
    <row r="276" spans="1:26" outlineLevel="1">
      <c r="B276" s="136" t="s">
        <v>529</v>
      </c>
      <c r="C276" s="353">
        <f>$F$1*(1+2%)*H275</f>
        <v>0</v>
      </c>
      <c r="D276" s="136" t="s">
        <v>287</v>
      </c>
    </row>
    <row r="277" spans="1:26" outlineLevel="1">
      <c r="B277" s="136" t="s">
        <v>445</v>
      </c>
      <c r="C277" s="353"/>
      <c r="D277" s="136" t="s">
        <v>3057</v>
      </c>
    </row>
    <row r="278" spans="1:26" outlineLevel="1">
      <c r="B278" s="136" t="s">
        <v>61</v>
      </c>
      <c r="C278" s="353"/>
      <c r="D278" s="136" t="s">
        <v>92</v>
      </c>
    </row>
    <row r="279" spans="1:26" outlineLevel="1">
      <c r="B279" s="136" t="s">
        <v>85</v>
      </c>
      <c r="C279" s="353">
        <f>C276*C277+C278</f>
        <v>0</v>
      </c>
      <c r="D279" s="136" t="s">
        <v>92</v>
      </c>
    </row>
    <row r="280" spans="1:26" outlineLevel="1">
      <c r="B280" s="136" t="s">
        <v>3256</v>
      </c>
      <c r="C280" s="1039">
        <v>0.05</v>
      </c>
    </row>
    <row r="281" spans="1:26" outlineLevel="1">
      <c r="B281" s="3141" t="s">
        <v>762</v>
      </c>
      <c r="C281" s="3343">
        <f>C279*(1+C280)/$F$1</f>
        <v>0</v>
      </c>
      <c r="D281" s="3141" t="s">
        <v>97</v>
      </c>
    </row>
    <row r="282" spans="1:26" outlineLevel="1"/>
    <row r="283" spans="1:26" outlineLevel="1">
      <c r="A283" s="1313" t="s">
        <v>3441</v>
      </c>
      <c r="B283" s="319"/>
    </row>
    <row r="284" spans="1:26" ht="13.5" outlineLevel="1">
      <c r="A284" s="3344" t="s">
        <v>3442</v>
      </c>
      <c r="B284" s="3346">
        <f>151</f>
        <v>151</v>
      </c>
      <c r="C284" s="3346">
        <v>108</v>
      </c>
      <c r="D284" s="3345" t="s">
        <v>10</v>
      </c>
    </row>
    <row r="285" spans="1:26" ht="13.5" outlineLevel="1">
      <c r="A285" s="3344" t="s">
        <v>3443</v>
      </c>
      <c r="B285" s="3344">
        <v>484</v>
      </c>
      <c r="C285" s="3344">
        <v>460</v>
      </c>
      <c r="D285" s="3345" t="s">
        <v>10</v>
      </c>
      <c r="E285" s="136">
        <f>INT(B285/B284)*INT(C285/C284)</f>
        <v>12</v>
      </c>
    </row>
    <row r="286" spans="1:26" outlineLevel="1">
      <c r="A286" s="320" t="s">
        <v>78</v>
      </c>
      <c r="B286" s="1341">
        <f>input!$D$4</f>
        <v>4.4999999999999998E-2</v>
      </c>
      <c r="E286" s="330"/>
      <c r="F286" s="326" t="s">
        <v>524</v>
      </c>
      <c r="G286" s="189" t="s">
        <v>528</v>
      </c>
      <c r="H286" s="982"/>
      <c r="I286" s="982"/>
      <c r="J286" s="982"/>
      <c r="K286" s="189" t="s">
        <v>10</v>
      </c>
      <c r="U286" s="2984" t="s">
        <v>2296</v>
      </c>
      <c r="V286" s="2985">
        <f>Freight!$C$53</f>
        <v>1</v>
      </c>
      <c r="W286" s="2985">
        <f>Freight!$D$53</f>
        <v>2</v>
      </c>
      <c r="X286" s="2985">
        <f>Freight!$E$53</f>
        <v>3.5</v>
      </c>
      <c r="Y286" s="2985">
        <f>Freight!$F$53</f>
        <v>5</v>
      </c>
      <c r="Z286" s="2986">
        <f>Freight!$G$53</f>
        <v>8</v>
      </c>
    </row>
    <row r="287" spans="1:26" outlineLevel="1">
      <c r="A287" s="3347" t="s">
        <v>533</v>
      </c>
      <c r="B287" s="3349"/>
      <c r="C287" s="3347" t="s">
        <v>190</v>
      </c>
      <c r="G287" s="189" t="s">
        <v>530</v>
      </c>
      <c r="H287" s="982"/>
      <c r="I287" s="189" t="s">
        <v>531</v>
      </c>
      <c r="J287" s="983">
        <f>H286*I286*J286/10^9</f>
        <v>0</v>
      </c>
      <c r="K287" s="189" t="s">
        <v>532</v>
      </c>
      <c r="L287" s="983">
        <v>0</v>
      </c>
      <c r="M287" s="983"/>
      <c r="N287" s="983"/>
      <c r="O287" s="983"/>
      <c r="P287" s="983"/>
      <c r="Q287" s="983"/>
      <c r="R287" s="983"/>
      <c r="S287" s="983"/>
      <c r="T287" s="136" t="s">
        <v>1488</v>
      </c>
      <c r="U287" s="2416" t="s">
        <v>2295</v>
      </c>
      <c r="V287" s="2417">
        <f>Freight!$C$54</f>
        <v>6.75</v>
      </c>
      <c r="W287" s="2417">
        <f>Freight!$D$54</f>
        <v>10.404</v>
      </c>
      <c r="X287" s="2417">
        <f>Freight!$E$54</f>
        <v>17.442</v>
      </c>
      <c r="Y287" s="2417">
        <f>Freight!$F$54</f>
        <v>25.214999999999996</v>
      </c>
      <c r="Z287" s="2418">
        <f>Freight!$G$54</f>
        <v>33.88000000000001</v>
      </c>
    </row>
    <row r="288" spans="1:26" outlineLevel="1">
      <c r="A288" s="3347" t="s">
        <v>1924</v>
      </c>
      <c r="B288" s="3348">
        <v>4600</v>
      </c>
      <c r="C288" s="3347" t="str">
        <f>C287</f>
        <v>sheets</v>
      </c>
      <c r="G288" s="189"/>
      <c r="H288" s="194"/>
      <c r="I288" s="189"/>
      <c r="J288" s="983"/>
      <c r="K288" s="189"/>
      <c r="L288" s="983"/>
      <c r="M288" s="983"/>
      <c r="N288" s="983"/>
      <c r="O288" s="983"/>
      <c r="P288" s="983"/>
      <c r="Q288" s="983"/>
      <c r="R288" s="983"/>
      <c r="S288" s="983"/>
      <c r="U288" s="2817"/>
      <c r="V288" s="2417"/>
      <c r="W288" s="2417"/>
      <c r="X288" s="2417"/>
      <c r="Y288" s="2417"/>
      <c r="Z288" s="2418"/>
    </row>
    <row r="289" spans="1:26" outlineLevel="1">
      <c r="A289" s="320" t="s">
        <v>529</v>
      </c>
      <c r="B289" s="3032">
        <f>ROUNDUP(B285*C285/10^6*MAX(B287,B288),0)</f>
        <v>1025</v>
      </c>
      <c r="C289" s="320" t="s">
        <v>206</v>
      </c>
      <c r="G289" s="189"/>
      <c r="H289" s="194"/>
      <c r="I289" s="189"/>
      <c r="J289" s="983"/>
      <c r="K289" s="189"/>
      <c r="L289" s="983"/>
      <c r="M289" s="983"/>
      <c r="N289" s="983"/>
      <c r="O289" s="983"/>
      <c r="P289" s="983"/>
      <c r="Q289" s="983"/>
      <c r="R289" s="983"/>
      <c r="S289" s="983"/>
      <c r="U289" s="2817"/>
      <c r="V289" s="2417"/>
      <c r="W289" s="2417"/>
      <c r="X289" s="2417"/>
      <c r="Y289" s="2417"/>
      <c r="Z289" s="2418"/>
    </row>
    <row r="290" spans="1:26" outlineLevel="1">
      <c r="A290" s="320" t="s">
        <v>445</v>
      </c>
      <c r="B290" s="3350">
        <f>IF(MAX(B287:B288)&lt;15000,J293,J294)</f>
        <v>1</v>
      </c>
      <c r="C290" s="326" t="s">
        <v>3439</v>
      </c>
      <c r="D290" s="136" t="str">
        <f>IF(MAX(B287:B288)&lt;15000,I293,I294)</f>
        <v>EXW WANCHAI HK, CHINA</v>
      </c>
      <c r="G290" s="189" t="s">
        <v>533</v>
      </c>
      <c r="H290" s="194" t="e">
        <f>ROUNDUP(B287/H287,0)</f>
        <v>#DIV/0!</v>
      </c>
      <c r="I290" s="189" t="s">
        <v>534</v>
      </c>
      <c r="J290" s="189"/>
      <c r="K290" s="189"/>
      <c r="U290" s="2987" t="s">
        <v>2297</v>
      </c>
      <c r="V290" s="2988">
        <f>Freight!$C$55</f>
        <v>1060000</v>
      </c>
      <c r="W290" s="2988">
        <f>Freight!$D$55</f>
        <v>1160000</v>
      </c>
      <c r="X290" s="2988">
        <f>Freight!$E$55</f>
        <v>1370000</v>
      </c>
      <c r="Y290" s="2988">
        <f>Freight!$F$55</f>
        <v>1690000</v>
      </c>
      <c r="Z290" s="2989">
        <f>Freight!$G$55</f>
        <v>2005000</v>
      </c>
    </row>
    <row r="291" spans="1:26" outlineLevel="1">
      <c r="A291" s="320" t="s">
        <v>204</v>
      </c>
      <c r="B291" s="1323">
        <v>0</v>
      </c>
      <c r="G291" s="320" t="s">
        <v>535</v>
      </c>
      <c r="H291" s="1342" t="e">
        <f>ROUNDUP(J287*H290,0)</f>
        <v>#DIV/0!</v>
      </c>
      <c r="I291" s="189" t="s">
        <v>563</v>
      </c>
      <c r="J291" s="983" t="e">
        <f>H290*L287/1000</f>
        <v>#DIV/0!</v>
      </c>
      <c r="K291" s="189"/>
    </row>
    <row r="292" spans="1:26" ht="13.5" outlineLevel="1" thickBot="1">
      <c r="A292" s="320" t="s">
        <v>21</v>
      </c>
      <c r="B292" s="348">
        <f>B289*B290*(1+B291)</f>
        <v>1025</v>
      </c>
      <c r="C292" s="320" t="s">
        <v>87</v>
      </c>
      <c r="D292" s="136" t="str">
        <f>D290</f>
        <v>EXW WANCHAI HK, CHINA</v>
      </c>
      <c r="I292" s="189"/>
      <c r="J292" s="349"/>
      <c r="K292" s="189"/>
    </row>
    <row r="293" spans="1:26" outlineLevel="1">
      <c r="A293" s="3071" t="s">
        <v>41</v>
      </c>
      <c r="B293" s="3072"/>
      <c r="C293" s="3072"/>
      <c r="D293" s="3072"/>
      <c r="E293" s="3072"/>
      <c r="F293" s="3073"/>
      <c r="H293" s="136" t="s">
        <v>3445</v>
      </c>
      <c r="I293" s="136" t="s">
        <v>3440</v>
      </c>
      <c r="J293" s="3351">
        <v>1</v>
      </c>
      <c r="K293" s="189"/>
    </row>
    <row r="294" spans="1:26" outlineLevel="1">
      <c r="A294" s="3074" t="s">
        <v>536</v>
      </c>
      <c r="B294" s="3244"/>
      <c r="C294" s="189" t="s">
        <v>550</v>
      </c>
      <c r="D294" s="3352" t="e">
        <f>B294*H291</f>
        <v>#DIV/0!</v>
      </c>
      <c r="E294" s="1344" t="s">
        <v>87</v>
      </c>
      <c r="F294" s="3075"/>
      <c r="H294" s="136" t="s">
        <v>3446</v>
      </c>
      <c r="I294" s="136" t="s">
        <v>3444</v>
      </c>
      <c r="J294" s="3351">
        <v>0.87</v>
      </c>
      <c r="K294" s="189"/>
    </row>
    <row r="295" spans="1:26" outlineLevel="1">
      <c r="A295" s="3074" t="s">
        <v>537</v>
      </c>
      <c r="B295" s="194"/>
      <c r="C295" s="189"/>
      <c r="D295" s="2976" t="e">
        <f>IF(H291&gt;0,IF((B292+D294)*1.1*0.065%&lt;(300000/input!$I$4),(300000/input!$I$4),(B292+D294)*1.1*0.065%),0)</f>
        <v>#DIV/0!</v>
      </c>
      <c r="E295" s="1344" t="s">
        <v>87</v>
      </c>
      <c r="F295" s="3075"/>
      <c r="I295" s="189"/>
      <c r="J295" s="349"/>
      <c r="K295" s="189"/>
    </row>
    <row r="296" spans="1:26" outlineLevel="1">
      <c r="A296" s="3074" t="s">
        <v>538</v>
      </c>
      <c r="B296" s="194"/>
      <c r="C296" s="194"/>
      <c r="D296" s="321"/>
      <c r="F296" s="3075"/>
      <c r="I296" s="189"/>
      <c r="J296" s="349"/>
      <c r="K296" s="189"/>
    </row>
    <row r="297" spans="1:26" outlineLevel="1">
      <c r="A297" s="3076" t="s">
        <v>2306</v>
      </c>
      <c r="B297" s="194">
        <v>10</v>
      </c>
      <c r="C297" s="189" t="s">
        <v>540</v>
      </c>
      <c r="D297" s="2976" t="e">
        <f>B297*H291</f>
        <v>#DIV/0!</v>
      </c>
      <c r="E297" s="1344" t="s">
        <v>87</v>
      </c>
      <c r="F297" s="3075"/>
      <c r="I297" s="189"/>
      <c r="J297" s="349"/>
      <c r="K297" s="189"/>
    </row>
    <row r="298" spans="1:26" outlineLevel="1">
      <c r="A298" s="3076" t="s">
        <v>539</v>
      </c>
      <c r="B298" s="3019">
        <v>8</v>
      </c>
      <c r="C298" s="189" t="s">
        <v>540</v>
      </c>
      <c r="D298" s="2976" t="e">
        <f>B298*H291</f>
        <v>#DIV/0!</v>
      </c>
      <c r="E298" s="1344" t="s">
        <v>87</v>
      </c>
      <c r="F298" s="3075"/>
      <c r="I298" s="189"/>
      <c r="J298" s="349"/>
      <c r="K298" s="189"/>
    </row>
    <row r="299" spans="1:26" outlineLevel="1">
      <c r="A299" s="3076" t="s">
        <v>541</v>
      </c>
      <c r="B299" s="3019">
        <f>40+20</f>
        <v>60</v>
      </c>
      <c r="C299" s="189" t="s">
        <v>542</v>
      </c>
      <c r="D299" s="2976" t="e">
        <f>IF(H291&gt;0,B299,0)</f>
        <v>#DIV/0!</v>
      </c>
      <c r="E299" s="1344" t="s">
        <v>87</v>
      </c>
      <c r="F299" s="3075"/>
      <c r="I299" s="189"/>
      <c r="J299" s="349"/>
      <c r="K299" s="189"/>
    </row>
    <row r="300" spans="1:26" outlineLevel="1">
      <c r="A300" s="3076" t="s">
        <v>543</v>
      </c>
      <c r="B300" s="194">
        <v>4</v>
      </c>
      <c r="C300" s="189" t="s">
        <v>540</v>
      </c>
      <c r="D300" s="2976" t="e">
        <f>B300*H291</f>
        <v>#DIV/0!</v>
      </c>
      <c r="E300" s="1344" t="s">
        <v>87</v>
      </c>
      <c r="F300" s="3075"/>
      <c r="I300" s="189"/>
      <c r="J300" s="349"/>
      <c r="K300" s="189"/>
    </row>
    <row r="301" spans="1:26" outlineLevel="1">
      <c r="A301" s="3076" t="s">
        <v>544</v>
      </c>
      <c r="B301" s="3019">
        <v>18</v>
      </c>
      <c r="C301" s="189" t="s">
        <v>540</v>
      </c>
      <c r="D301" s="2976" t="e">
        <f>B301*H291</f>
        <v>#DIV/0!</v>
      </c>
      <c r="E301" s="1344" t="s">
        <v>87</v>
      </c>
      <c r="F301" s="3075"/>
      <c r="I301" s="189"/>
      <c r="J301" s="349"/>
      <c r="K301" s="189"/>
    </row>
    <row r="302" spans="1:26" outlineLevel="1">
      <c r="A302" s="3076" t="s">
        <v>545</v>
      </c>
      <c r="B302" s="194">
        <v>0</v>
      </c>
      <c r="C302" s="189" t="s">
        <v>540</v>
      </c>
      <c r="D302" s="2976" t="e">
        <f>B302*H291</f>
        <v>#DIV/0!</v>
      </c>
      <c r="E302" s="1344" t="s">
        <v>87</v>
      </c>
      <c r="F302" s="3075"/>
      <c r="I302" s="189"/>
      <c r="J302" s="349"/>
      <c r="K302" s="189"/>
    </row>
    <row r="303" spans="1:26" outlineLevel="1">
      <c r="A303" s="3076" t="s">
        <v>729</v>
      </c>
      <c r="B303" s="189"/>
      <c r="C303" s="189"/>
      <c r="D303" s="3077" t="e">
        <f>(IF(H290&gt;0,MAX(IF(H291&lt;=V287,V290,IF(H291&lt;=W287,W290,IF(H291&lt;=X287,X290,IF(H291&lt;=Y287,Y290,IF(H291&lt;=Z287,Z290,0))))),IF(J291&lt;=V286,V290,IF(J291&lt;=W286,W290,IF(J291&lt;=X286,X290,IF(J291&lt;=Y286,Y290,IF(J291&lt;=Z286,Z290,0)))))),0)+700000)/input!$I$4</f>
        <v>#DIV/0!</v>
      </c>
      <c r="E303" s="1344" t="s">
        <v>87</v>
      </c>
      <c r="F303" s="3075"/>
      <c r="I303" s="189"/>
      <c r="J303" s="349"/>
      <c r="K303" s="189"/>
    </row>
    <row r="304" spans="1:26" outlineLevel="1">
      <c r="A304" s="3076" t="s">
        <v>558</v>
      </c>
      <c r="B304" s="194">
        <f>150000/input!$I$4</f>
        <v>6.3371356147021549</v>
      </c>
      <c r="C304" s="189" t="s">
        <v>542</v>
      </c>
      <c r="D304" s="2976" t="e">
        <f>IF(H291&gt;0,B304,0)</f>
        <v>#DIV/0!</v>
      </c>
      <c r="E304" s="1344" t="s">
        <v>87</v>
      </c>
      <c r="F304" s="3075"/>
      <c r="I304" s="189"/>
      <c r="J304" s="349"/>
      <c r="K304" s="189"/>
    </row>
    <row r="305" spans="1:26" outlineLevel="1">
      <c r="A305" s="3076" t="s">
        <v>3012</v>
      </c>
      <c r="B305" s="194">
        <f>50000/input!$I$4</f>
        <v>2.1123785382340516</v>
      </c>
      <c r="C305" s="189" t="s">
        <v>3013</v>
      </c>
      <c r="D305" s="2976" t="e">
        <f>IF(J291&gt;0,MAX(B305,B305*ROUNDUP(J291,0)),0)</f>
        <v>#DIV/0!</v>
      </c>
      <c r="E305" s="1344" t="s">
        <v>87</v>
      </c>
      <c r="F305" s="3075"/>
      <c r="I305" s="189"/>
      <c r="J305" s="349"/>
      <c r="K305" s="189"/>
    </row>
    <row r="306" spans="1:26" outlineLevel="1">
      <c r="A306" s="3076" t="s">
        <v>3447</v>
      </c>
      <c r="B306" s="194">
        <f>IF(B292&lt;3000,300,0)</f>
        <v>300</v>
      </c>
      <c r="C306" s="189" t="s">
        <v>542</v>
      </c>
      <c r="D306" s="2976">
        <f>B306</f>
        <v>300</v>
      </c>
      <c r="E306" s="1344" t="s">
        <v>87</v>
      </c>
      <c r="F306" s="3075"/>
      <c r="I306" s="189"/>
      <c r="J306" s="349"/>
      <c r="K306" s="189"/>
    </row>
    <row r="307" spans="1:26" outlineLevel="1">
      <c r="A307" s="3078"/>
      <c r="B307" s="320"/>
      <c r="C307" s="314" t="s">
        <v>2212</v>
      </c>
      <c r="D307" s="321" t="e">
        <f>SUM($D294:$D295)+SUM($D297:$D305)*(1+10%)</f>
        <v>#DIV/0!</v>
      </c>
      <c r="E307" s="1344" t="s">
        <v>87</v>
      </c>
      <c r="F307" s="3075"/>
      <c r="I307" s="189"/>
      <c r="J307" s="349"/>
      <c r="K307" s="189"/>
    </row>
    <row r="308" spans="1:26" outlineLevel="1">
      <c r="A308" s="3078"/>
      <c r="B308" s="320"/>
      <c r="C308" s="314" t="s">
        <v>3448</v>
      </c>
      <c r="D308" s="321" t="e">
        <f>SUM(D306:D307,B292)*input!$I$5</f>
        <v>#DIV/0!</v>
      </c>
      <c r="E308" s="1344" t="s">
        <v>92</v>
      </c>
      <c r="F308" s="3075"/>
      <c r="I308" s="189"/>
      <c r="J308" s="349"/>
      <c r="K308" s="189"/>
    </row>
    <row r="309" spans="1:26" outlineLevel="1">
      <c r="A309" s="3080"/>
      <c r="C309" s="314" t="s">
        <v>3449</v>
      </c>
      <c r="D309" s="333" t="e">
        <f>D308/B289</f>
        <v>#DIV/0!</v>
      </c>
      <c r="E309" s="1344" t="s">
        <v>92</v>
      </c>
      <c r="F309" s="3081" t="s">
        <v>3450</v>
      </c>
      <c r="I309" s="189"/>
      <c r="J309" s="349"/>
      <c r="K309" s="189"/>
    </row>
    <row r="310" spans="1:26" outlineLevel="1">
      <c r="A310" s="3080"/>
      <c r="C310" s="320" t="s">
        <v>459</v>
      </c>
      <c r="D310" s="3353">
        <f>input!$D$5</f>
        <v>0</v>
      </c>
      <c r="E310" s="1344"/>
      <c r="F310" s="3081"/>
      <c r="I310" s="189"/>
      <c r="J310" s="349"/>
      <c r="K310" s="189"/>
    </row>
    <row r="311" spans="1:26" ht="13.5" outlineLevel="1" thickBot="1">
      <c r="A311" s="3188"/>
      <c r="B311" s="3189"/>
      <c r="C311" s="3354" t="s">
        <v>546</v>
      </c>
      <c r="D311" s="3355" t="e">
        <f>D309*(1+D310)</f>
        <v>#DIV/0!</v>
      </c>
      <c r="E311" s="3356" t="s">
        <v>92</v>
      </c>
      <c r="F311" s="3357" t="str">
        <f>F309</f>
        <v>/m2</v>
      </c>
      <c r="I311" s="189"/>
      <c r="J311" s="349"/>
      <c r="K311" s="189"/>
    </row>
    <row r="312" spans="1:26" outlineLevel="1">
      <c r="I312" s="189"/>
      <c r="J312" s="349"/>
      <c r="K312" s="189"/>
    </row>
    <row r="313" spans="1:26" outlineLevel="1">
      <c r="A313" s="2132" t="s">
        <v>3756</v>
      </c>
      <c r="B313" s="2132"/>
      <c r="C313" s="2132"/>
      <c r="D313" s="2132"/>
      <c r="E313" s="2132"/>
      <c r="F313" s="2132"/>
      <c r="G313" s="2132"/>
      <c r="H313" s="2132"/>
      <c r="I313" s="2132"/>
    </row>
    <row r="314" spans="1:26" outlineLevel="1">
      <c r="A314" s="320" t="s">
        <v>78</v>
      </c>
      <c r="B314" s="3012">
        <v>0.02</v>
      </c>
      <c r="E314" s="3381">
        <v>1</v>
      </c>
      <c r="F314" s="326" t="s">
        <v>524</v>
      </c>
      <c r="G314" s="189" t="s">
        <v>528</v>
      </c>
      <c r="H314" s="2976">
        <v>370</v>
      </c>
      <c r="I314" s="2976">
        <v>370</v>
      </c>
      <c r="J314" s="2976">
        <v>210</v>
      </c>
      <c r="K314" s="189" t="s">
        <v>10</v>
      </c>
      <c r="U314" s="2984" t="s">
        <v>2296</v>
      </c>
      <c r="V314" s="2985">
        <f>Freight!$C$53</f>
        <v>1</v>
      </c>
      <c r="W314" s="2985">
        <f>Freight!$D$53</f>
        <v>2</v>
      </c>
      <c r="X314" s="2985">
        <f>Freight!$E$53</f>
        <v>3.5</v>
      </c>
      <c r="Y314" s="2985">
        <f>Freight!$F$53</f>
        <v>5</v>
      </c>
      <c r="Z314" s="2986">
        <f>Freight!$G$53</f>
        <v>8</v>
      </c>
    </row>
    <row r="315" spans="1:26" outlineLevel="1">
      <c r="A315" s="320" t="s">
        <v>529</v>
      </c>
      <c r="B315" s="335">
        <f>$F$1*(1+B314)*E314</f>
        <v>5100</v>
      </c>
      <c r="C315" s="320" t="s">
        <v>287</v>
      </c>
      <c r="G315" s="189" t="s">
        <v>530</v>
      </c>
      <c r="H315" s="2976">
        <f>D319</f>
        <v>40</v>
      </c>
      <c r="I315" s="189" t="s">
        <v>531</v>
      </c>
      <c r="J315" s="983">
        <f>H314*I314*J314/10^9</f>
        <v>2.8749E-2</v>
      </c>
      <c r="K315" s="189" t="s">
        <v>532</v>
      </c>
      <c r="L315" s="983">
        <v>12</v>
      </c>
      <c r="M315" s="983"/>
      <c r="N315" s="983"/>
      <c r="O315" s="983"/>
      <c r="P315" s="983"/>
      <c r="Q315" s="983"/>
      <c r="R315" s="983"/>
      <c r="S315" s="983"/>
      <c r="T315" s="136" t="s">
        <v>1488</v>
      </c>
      <c r="U315" s="2416" t="s">
        <v>2295</v>
      </c>
      <c r="V315" s="2417">
        <f>Freight!$C$54</f>
        <v>6.75</v>
      </c>
      <c r="W315" s="2417">
        <f>Freight!$D$54</f>
        <v>10.404</v>
      </c>
      <c r="X315" s="2417">
        <f>Freight!$E$54</f>
        <v>17.442</v>
      </c>
      <c r="Y315" s="2417">
        <f>Freight!$F$54</f>
        <v>25.214999999999996</v>
      </c>
      <c r="Z315" s="2418">
        <f>Freight!$G$54</f>
        <v>33.88000000000001</v>
      </c>
    </row>
    <row r="316" spans="1:26" outlineLevel="1">
      <c r="A316" s="320"/>
      <c r="B316" s="3384">
        <v>335</v>
      </c>
      <c r="C316" s="136" t="s">
        <v>3253</v>
      </c>
      <c r="G316" s="189"/>
      <c r="H316" s="194"/>
      <c r="I316" s="189"/>
      <c r="J316" s="983"/>
      <c r="K316" s="189"/>
      <c r="L316" s="983"/>
      <c r="M316" s="983"/>
      <c r="N316" s="983"/>
      <c r="O316" s="983"/>
      <c r="P316" s="983"/>
      <c r="Q316" s="983"/>
      <c r="R316" s="983"/>
      <c r="S316" s="983"/>
      <c r="U316" s="2817"/>
      <c r="V316" s="2417"/>
      <c r="W316" s="2417"/>
      <c r="X316" s="2417"/>
      <c r="Y316" s="2417"/>
      <c r="Z316" s="2418"/>
    </row>
    <row r="317" spans="1:26" outlineLevel="1">
      <c r="A317" s="320"/>
      <c r="B317" s="353">
        <v>150000</v>
      </c>
      <c r="C317" s="136" t="s">
        <v>3254</v>
      </c>
      <c r="G317" s="189"/>
      <c r="H317" s="194"/>
      <c r="I317" s="189"/>
      <c r="J317" s="983"/>
      <c r="K317" s="189"/>
      <c r="L317" s="983"/>
      <c r="M317" s="983"/>
      <c r="N317" s="983"/>
      <c r="O317" s="983"/>
      <c r="P317" s="983"/>
      <c r="Q317" s="983"/>
      <c r="R317" s="983"/>
      <c r="S317" s="983"/>
      <c r="U317" s="2817"/>
      <c r="V317" s="2417"/>
      <c r="W317" s="2417"/>
      <c r="X317" s="2417"/>
      <c r="Y317" s="2417"/>
      <c r="Z317" s="2418"/>
    </row>
    <row r="318" spans="1:26" outlineLevel="1">
      <c r="A318" s="320"/>
      <c r="B318" s="353">
        <f>INT(B317/B316)</f>
        <v>447</v>
      </c>
      <c r="C318" s="136" t="s">
        <v>3255</v>
      </c>
      <c r="G318" s="189"/>
      <c r="H318" s="194"/>
      <c r="I318" s="189"/>
      <c r="J318" s="983"/>
      <c r="K318" s="189"/>
      <c r="L318" s="983"/>
      <c r="M318" s="983"/>
      <c r="N318" s="983"/>
      <c r="O318" s="983"/>
      <c r="P318" s="983"/>
      <c r="Q318" s="983"/>
      <c r="R318" s="983"/>
      <c r="S318" s="983"/>
      <c r="U318" s="2817"/>
      <c r="V318" s="2417"/>
      <c r="W318" s="2417"/>
      <c r="X318" s="2417"/>
      <c r="Y318" s="2417"/>
      <c r="Z318" s="2418"/>
    </row>
    <row r="319" spans="1:26" outlineLevel="1">
      <c r="A319" s="3347" t="s">
        <v>3464</v>
      </c>
      <c r="B319" s="3376">
        <f>ROUNDUP(B315/B318,0)</f>
        <v>12</v>
      </c>
      <c r="C319" s="2993" t="s">
        <v>104</v>
      </c>
      <c r="D319" s="335">
        <v>40</v>
      </c>
      <c r="E319" s="136" t="s">
        <v>3468</v>
      </c>
      <c r="G319" s="189"/>
      <c r="H319" s="194"/>
      <c r="I319" s="189"/>
      <c r="J319" s="983"/>
      <c r="K319" s="189"/>
      <c r="L319" s="983"/>
      <c r="M319" s="983"/>
      <c r="N319" s="983"/>
      <c r="O319" s="983"/>
      <c r="P319" s="983"/>
      <c r="Q319" s="983"/>
      <c r="R319" s="983"/>
      <c r="S319" s="983"/>
      <c r="U319" s="2817"/>
      <c r="V319" s="2417"/>
      <c r="W319" s="2417"/>
      <c r="X319" s="2417"/>
      <c r="Y319" s="2417"/>
      <c r="Z319" s="2418"/>
    </row>
    <row r="320" spans="1:26" outlineLevel="1">
      <c r="A320" s="3347" t="s">
        <v>1344</v>
      </c>
      <c r="B320" s="3348">
        <f>5*D319</f>
        <v>200</v>
      </c>
      <c r="C320" s="2993" t="s">
        <v>3465</v>
      </c>
      <c r="D320" s="2993">
        <f>B320/D319</f>
        <v>5</v>
      </c>
      <c r="E320" s="2993" t="s">
        <v>3469</v>
      </c>
      <c r="G320" s="189"/>
      <c r="H320" s="194"/>
      <c r="I320" s="189"/>
      <c r="J320" s="983"/>
      <c r="K320" s="189"/>
      <c r="L320" s="983"/>
      <c r="M320" s="983"/>
      <c r="N320" s="983"/>
      <c r="O320" s="983"/>
      <c r="P320" s="983"/>
      <c r="Q320" s="983"/>
      <c r="R320" s="983"/>
      <c r="S320" s="983"/>
      <c r="U320" s="2817"/>
      <c r="V320" s="2417"/>
      <c r="W320" s="2417"/>
      <c r="X320" s="2417"/>
      <c r="Y320" s="2417"/>
      <c r="Z320" s="2418"/>
    </row>
    <row r="321" spans="1:26" outlineLevel="1">
      <c r="A321" s="3377" t="s">
        <v>445</v>
      </c>
      <c r="B321" s="3378">
        <v>70</v>
      </c>
      <c r="C321" s="3379" t="s">
        <v>3466</v>
      </c>
      <c r="D321" s="136" t="s">
        <v>3467</v>
      </c>
      <c r="G321" s="189" t="s">
        <v>533</v>
      </c>
      <c r="H321" s="194">
        <f>ROUNDUP(MAX(B319:B320)/H315,0)</f>
        <v>5</v>
      </c>
      <c r="I321" s="189" t="s">
        <v>534</v>
      </c>
      <c r="J321" s="189"/>
      <c r="K321" s="189"/>
      <c r="U321" s="2987" t="s">
        <v>2297</v>
      </c>
      <c r="V321" s="2988">
        <f>Freight!$C$55</f>
        <v>1060000</v>
      </c>
      <c r="W321" s="2988">
        <f>Freight!$D$55</f>
        <v>1160000</v>
      </c>
      <c r="X321" s="2988">
        <f>Freight!$E$55</f>
        <v>1370000</v>
      </c>
      <c r="Y321" s="2988">
        <f>Freight!$F$55</f>
        <v>1690000</v>
      </c>
      <c r="Z321" s="2989">
        <f>Freight!$G$55</f>
        <v>2005000</v>
      </c>
    </row>
    <row r="322" spans="1:26" outlineLevel="1">
      <c r="A322" s="320" t="s">
        <v>204</v>
      </c>
      <c r="B322" s="3015">
        <v>0.15</v>
      </c>
      <c r="G322" s="320" t="s">
        <v>535</v>
      </c>
      <c r="H322" s="1342">
        <f>ROUNDUP(J315*H321,1)</f>
        <v>0.2</v>
      </c>
      <c r="I322" s="189" t="s">
        <v>563</v>
      </c>
      <c r="J322" s="983">
        <f>H321*L315/1000</f>
        <v>0.06</v>
      </c>
      <c r="K322" s="189"/>
    </row>
    <row r="323" spans="1:26" outlineLevel="1">
      <c r="A323" s="320" t="s">
        <v>3291</v>
      </c>
      <c r="B323" s="3380">
        <v>50</v>
      </c>
      <c r="C323" s="136" t="s">
        <v>87</v>
      </c>
      <c r="D323" s="383"/>
      <c r="G323" s="320"/>
      <c r="H323" s="1342"/>
      <c r="I323" s="189"/>
      <c r="J323" s="983"/>
      <c r="K323" s="189"/>
    </row>
    <row r="324" spans="1:26" ht="13.5" outlineLevel="1" thickBot="1">
      <c r="A324" s="320" t="s">
        <v>21</v>
      </c>
      <c r="B324" s="348">
        <f>MAX(B319:B320)/D319*B321*(1+B322)+B323</f>
        <v>452.49999999999994</v>
      </c>
      <c r="C324" s="320" t="s">
        <v>87</v>
      </c>
      <c r="D324" s="136" t="str">
        <f>D321</f>
        <v>EXW RUIAN, ZHEJIANG PRO, CHINA</v>
      </c>
      <c r="I324" s="189"/>
      <c r="J324" s="349"/>
      <c r="K324" s="189"/>
    </row>
    <row r="325" spans="1:26" ht="15" outlineLevel="1">
      <c r="A325" s="3071" t="s">
        <v>41</v>
      </c>
      <c r="B325" s="3072"/>
      <c r="C325" s="3072"/>
      <c r="D325" s="3072"/>
      <c r="E325" s="3072"/>
      <c r="F325" s="3073"/>
      <c r="H325" s="2405" t="s">
        <v>3453</v>
      </c>
      <c r="I325" s="189"/>
      <c r="J325" s="349"/>
      <c r="K325" s="189"/>
    </row>
    <row r="326" spans="1:26" ht="15" outlineLevel="1">
      <c r="A326" s="3074" t="s">
        <v>536</v>
      </c>
      <c r="B326" s="3383">
        <f>250+20*H322</f>
        <v>254</v>
      </c>
      <c r="C326" s="189" t="s">
        <v>3470</v>
      </c>
      <c r="D326" s="2976">
        <f>B326</f>
        <v>254</v>
      </c>
      <c r="E326" s="1344" t="s">
        <v>87</v>
      </c>
      <c r="F326" s="3075"/>
      <c r="H326" s="2405" t="s">
        <v>3454</v>
      </c>
      <c r="I326" s="189"/>
      <c r="J326" s="349"/>
      <c r="K326" s="189"/>
    </row>
    <row r="327" spans="1:26" ht="15" outlineLevel="1">
      <c r="A327" s="3074" t="s">
        <v>537</v>
      </c>
      <c r="B327" s="194"/>
      <c r="C327" s="189"/>
      <c r="D327" s="2976">
        <f>IF(H322&gt;0,IF((B324+D326)*1.1*0.065%&lt;(300000/input!$I$4),(300000/input!$I$4),(B324+D326)*1.1*0.065%),0)</f>
        <v>12.67427122940431</v>
      </c>
      <c r="E327" s="1344" t="s">
        <v>87</v>
      </c>
      <c r="F327" s="3075"/>
      <c r="H327" s="2405" t="s">
        <v>3455</v>
      </c>
      <c r="I327" s="189"/>
      <c r="J327" s="349"/>
      <c r="K327" s="189"/>
    </row>
    <row r="328" spans="1:26" ht="15" outlineLevel="1">
      <c r="A328" s="3074" t="s">
        <v>538</v>
      </c>
      <c r="B328" s="194"/>
      <c r="C328" s="194"/>
      <c r="D328" s="321"/>
      <c r="F328" s="3075"/>
      <c r="H328" s="2405" t="s">
        <v>3456</v>
      </c>
      <c r="I328" s="189"/>
      <c r="J328" s="349"/>
      <c r="K328" s="189"/>
    </row>
    <row r="329" spans="1:26" ht="15" outlineLevel="1">
      <c r="A329" s="3076" t="s">
        <v>2306</v>
      </c>
      <c r="B329" s="194">
        <v>10</v>
      </c>
      <c r="C329" s="189" t="s">
        <v>540</v>
      </c>
      <c r="D329" s="2976">
        <f>B329*H322</f>
        <v>2</v>
      </c>
      <c r="E329" s="1344" t="s">
        <v>87</v>
      </c>
      <c r="F329" s="3075"/>
      <c r="H329" s="2405" t="s">
        <v>3457</v>
      </c>
      <c r="I329" s="189"/>
      <c r="J329" s="349"/>
      <c r="K329" s="189"/>
    </row>
    <row r="330" spans="1:26" ht="15" outlineLevel="1">
      <c r="A330" s="3076" t="s">
        <v>539</v>
      </c>
      <c r="B330" s="3019">
        <v>8</v>
      </c>
      <c r="C330" s="189" t="s">
        <v>540</v>
      </c>
      <c r="D330" s="2976">
        <f>B330*H322</f>
        <v>1.6</v>
      </c>
      <c r="E330" s="1344" t="s">
        <v>87</v>
      </c>
      <c r="F330" s="3075"/>
      <c r="H330" s="2887"/>
      <c r="I330" s="189"/>
      <c r="J330" s="349"/>
      <c r="K330" s="189"/>
    </row>
    <row r="331" spans="1:26" ht="15.75" outlineLevel="1">
      <c r="A331" s="3076" t="s">
        <v>541</v>
      </c>
      <c r="B331" s="3019">
        <f>40+20</f>
        <v>60</v>
      </c>
      <c r="C331" s="189" t="s">
        <v>542</v>
      </c>
      <c r="D331" s="2976">
        <f>IF(H322&gt;0,B331,0)</f>
        <v>60</v>
      </c>
      <c r="E331" s="1344" t="s">
        <v>87</v>
      </c>
      <c r="F331" s="3075"/>
      <c r="H331" s="3374" t="s">
        <v>3458</v>
      </c>
      <c r="I331" s="189"/>
      <c r="J331" s="349"/>
      <c r="K331" s="189"/>
    </row>
    <row r="332" spans="1:26" ht="15.75" outlineLevel="1">
      <c r="A332" s="3076" t="s">
        <v>543</v>
      </c>
      <c r="B332" s="194">
        <v>4</v>
      </c>
      <c r="C332" s="189" t="s">
        <v>540</v>
      </c>
      <c r="D332" s="2976">
        <f>B332*H322</f>
        <v>0.8</v>
      </c>
      <c r="E332" s="1344" t="s">
        <v>87</v>
      </c>
      <c r="F332" s="3075"/>
      <c r="H332" s="3374" t="s">
        <v>3459</v>
      </c>
      <c r="I332" s="189"/>
      <c r="J332" s="349"/>
      <c r="K332" s="189"/>
    </row>
    <row r="333" spans="1:26" ht="15.75" outlineLevel="1">
      <c r="A333" s="3076" t="s">
        <v>544</v>
      </c>
      <c r="B333" s="3019">
        <v>18</v>
      </c>
      <c r="C333" s="189" t="s">
        <v>540</v>
      </c>
      <c r="D333" s="2976">
        <f>B333*H322</f>
        <v>3.6</v>
      </c>
      <c r="E333" s="1344" t="s">
        <v>87</v>
      </c>
      <c r="F333" s="3075"/>
      <c r="H333" s="3374"/>
      <c r="I333" s="189"/>
      <c r="J333" s="349"/>
      <c r="K333" s="189"/>
    </row>
    <row r="334" spans="1:26" ht="15" outlineLevel="1">
      <c r="A334" s="3076" t="s">
        <v>545</v>
      </c>
      <c r="B334" s="194">
        <v>0</v>
      </c>
      <c r="C334" s="189" t="s">
        <v>540</v>
      </c>
      <c r="D334" s="2976">
        <f>B334*H322</f>
        <v>0</v>
      </c>
      <c r="E334" s="1344" t="s">
        <v>87</v>
      </c>
      <c r="F334" s="3075"/>
      <c r="H334" s="3375" t="s">
        <v>3460</v>
      </c>
      <c r="I334" s="189"/>
      <c r="J334" s="349"/>
      <c r="K334" s="189"/>
    </row>
    <row r="335" spans="1:26" ht="15" outlineLevel="1">
      <c r="A335" s="3076" t="s">
        <v>729</v>
      </c>
      <c r="B335" s="189"/>
      <c r="C335" s="189"/>
      <c r="D335" s="3077">
        <f>(IF(H321&gt;0,MAX(IF(H322&lt;=V315,V321,IF(H322&lt;=W315,W321,IF(H322&lt;=X315,X321,IF(H322&lt;=Y315,Y321,IF(H322&lt;=Z315,Z321,0))))),IF(J322&lt;=V314,V321,IF(J322&lt;=W314,W321,IF(J322&lt;=X314,X321,IF(J322&lt;=Y314,Y321,IF(J322&lt;=Z314,Z321,0)))))),0)+700000)/input!$I$4</f>
        <v>74.355724545838612</v>
      </c>
      <c r="E335" s="1344" t="s">
        <v>87</v>
      </c>
      <c r="F335" s="3075"/>
      <c r="H335" s="3375"/>
      <c r="I335" s="189"/>
      <c r="J335" s="349"/>
      <c r="K335" s="189"/>
    </row>
    <row r="336" spans="1:26" ht="15" outlineLevel="1">
      <c r="A336" s="3076" t="s">
        <v>558</v>
      </c>
      <c r="B336" s="194">
        <f>150000/input!$I$4*0</f>
        <v>0</v>
      </c>
      <c r="C336" s="189" t="s">
        <v>542</v>
      </c>
      <c r="D336" s="2976">
        <f>IF(H322&gt;0,B336,0)</f>
        <v>0</v>
      </c>
      <c r="E336" s="1344" t="s">
        <v>87</v>
      </c>
      <c r="F336" s="3075"/>
      <c r="H336" s="3375" t="s">
        <v>3461</v>
      </c>
      <c r="I336" s="189"/>
      <c r="J336" s="349"/>
      <c r="K336" s="189"/>
    </row>
    <row r="337" spans="1:11" ht="15" outlineLevel="1">
      <c r="A337" s="3076" t="s">
        <v>3012</v>
      </c>
      <c r="B337" s="194">
        <f>50000/input!$I$4</f>
        <v>2.1123785382340516</v>
      </c>
      <c r="C337" s="189" t="s">
        <v>3013</v>
      </c>
      <c r="D337" s="2976">
        <f>IF(J322&gt;0,MAX(B337,B337*ROUNDUP(J322,0)),0)</f>
        <v>2.1123785382340516</v>
      </c>
      <c r="E337" s="1344" t="s">
        <v>87</v>
      </c>
      <c r="F337" s="3075"/>
      <c r="H337" s="3375"/>
      <c r="I337" s="189"/>
      <c r="J337" s="349"/>
      <c r="K337" s="189"/>
    </row>
    <row r="338" spans="1:11" ht="15" outlineLevel="1">
      <c r="A338" s="3076"/>
      <c r="B338" s="194"/>
      <c r="C338" s="189"/>
      <c r="D338" s="194"/>
      <c r="E338" s="1344"/>
      <c r="F338" s="3075"/>
      <c r="H338" s="3375" t="s">
        <v>3462</v>
      </c>
      <c r="I338" s="189"/>
      <c r="J338" s="349"/>
      <c r="K338" s="189"/>
    </row>
    <row r="339" spans="1:11" ht="15" outlineLevel="1">
      <c r="A339" s="3078"/>
      <c r="B339" s="320"/>
      <c r="C339" s="314" t="s">
        <v>2212</v>
      </c>
      <c r="D339" s="321">
        <f>SUM($D326:$D327)+SUM($D329:$D337)*(1+10%)</f>
        <v>425.58918462188421</v>
      </c>
      <c r="E339" s="1344" t="s">
        <v>87</v>
      </c>
      <c r="F339" s="3075"/>
      <c r="H339" s="3375"/>
      <c r="I339" s="189"/>
      <c r="J339" s="349"/>
      <c r="K339" s="189"/>
    </row>
    <row r="340" spans="1:11" ht="15" outlineLevel="1">
      <c r="A340" s="3078"/>
      <c r="B340" s="320"/>
      <c r="C340" s="320"/>
      <c r="D340" s="321">
        <f>SUM(B324,D339)*input!$I$5</f>
        <v>21082921.322771441</v>
      </c>
      <c r="E340" s="1344" t="s">
        <v>92</v>
      </c>
      <c r="F340" s="3075"/>
      <c r="H340" s="3375" t="s">
        <v>3463</v>
      </c>
      <c r="I340" s="189"/>
      <c r="J340" s="349"/>
      <c r="K340" s="189"/>
    </row>
    <row r="341" spans="1:11" outlineLevel="1">
      <c r="A341" s="3080"/>
      <c r="D341" s="3382">
        <f>D340/MAX(B319:B320)*B319/$F$1</f>
        <v>252.99505587325729</v>
      </c>
      <c r="E341" s="1344" t="s">
        <v>92</v>
      </c>
      <c r="F341" s="3081" t="s">
        <v>792</v>
      </c>
      <c r="I341" s="189"/>
      <c r="J341" s="349"/>
      <c r="K341" s="189"/>
    </row>
    <row r="342" spans="1:11" outlineLevel="1">
      <c r="A342" s="3080"/>
      <c r="C342" s="320" t="s">
        <v>459</v>
      </c>
      <c r="D342" s="3353">
        <f>input!$D$5</f>
        <v>0</v>
      </c>
      <c r="E342" s="1344"/>
      <c r="F342" s="3081"/>
      <c r="I342" s="189"/>
      <c r="J342" s="349"/>
      <c r="K342" s="189"/>
    </row>
    <row r="343" spans="1:11" ht="13.5" outlineLevel="1" thickBot="1">
      <c r="A343" s="3188"/>
      <c r="B343" s="3189"/>
      <c r="C343" s="3354" t="s">
        <v>546</v>
      </c>
      <c r="D343" s="3355">
        <f>D341*(1+D342)</f>
        <v>252.99505587325729</v>
      </c>
      <c r="E343" s="3356" t="s">
        <v>92</v>
      </c>
      <c r="F343" s="3357" t="s">
        <v>792</v>
      </c>
      <c r="I343" s="189"/>
      <c r="J343" s="349"/>
      <c r="K343" s="189"/>
    </row>
    <row r="344" spans="1:11">
      <c r="I344" s="189"/>
      <c r="J344" s="349"/>
      <c r="K344" s="189"/>
    </row>
    <row r="345" spans="1:11">
      <c r="I345" s="189"/>
      <c r="J345" s="349"/>
      <c r="K345" s="189"/>
    </row>
  </sheetData>
  <mergeCells count="41">
    <mergeCell ref="B26:B27"/>
    <mergeCell ref="C26:C27"/>
    <mergeCell ref="D26:E26"/>
    <mergeCell ref="H26:H27"/>
    <mergeCell ref="J26:K26"/>
    <mergeCell ref="B81:B82"/>
    <mergeCell ref="C81:C82"/>
    <mergeCell ref="D81:E81"/>
    <mergeCell ref="H81:H82"/>
    <mergeCell ref="I81:I82"/>
    <mergeCell ref="H165:I165"/>
    <mergeCell ref="K160:L160"/>
    <mergeCell ref="C16:D16"/>
    <mergeCell ref="I26:I27"/>
    <mergeCell ref="T81:T82"/>
    <mergeCell ref="L81:L82"/>
    <mergeCell ref="L26:L27"/>
    <mergeCell ref="J81:K81"/>
    <mergeCell ref="T26:T27"/>
    <mergeCell ref="L53:L54"/>
    <mergeCell ref="L111:L112"/>
    <mergeCell ref="T111:T112"/>
    <mergeCell ref="J111:K111"/>
    <mergeCell ref="T53:T54"/>
    <mergeCell ref="J53:K53"/>
    <mergeCell ref="K132:L132"/>
    <mergeCell ref="H132:I132"/>
    <mergeCell ref="H160:I160"/>
    <mergeCell ref="K128:L128"/>
    <mergeCell ref="K156:L156"/>
    <mergeCell ref="H137:I137"/>
    <mergeCell ref="B111:B112"/>
    <mergeCell ref="C111:C112"/>
    <mergeCell ref="D111:E111"/>
    <mergeCell ref="H111:H112"/>
    <mergeCell ref="I111:I112"/>
    <mergeCell ref="B53:B54"/>
    <mergeCell ref="C53:C54"/>
    <mergeCell ref="D53:E53"/>
    <mergeCell ref="H53:H54"/>
    <mergeCell ref="I53:I54"/>
  </mergeCells>
  <phoneticPr fontId="0" type="noConversion"/>
  <dataValidations disablePrompts="1" count="1">
    <dataValidation type="list" allowBlank="1" showInputMessage="1" showErrorMessage="1" sqref="G175 G193 G211 G229 G247" xr:uid="{9C5EC31B-2976-41C5-AA7C-A3A3DF630B13}">
      <formula1>"Floor load,Pallet"</formula1>
    </dataValidation>
  </dataValidations>
  <pageMargins left="0.7" right="0.7" top="0.75" bottom="0.75" header="0.3" footer="0.3"/>
  <pageSetup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4"/>
  <dimension ref="A1:M133"/>
  <sheetViews>
    <sheetView topLeftCell="A72" workbookViewId="0">
      <selection activeCell="C15" sqref="C15"/>
    </sheetView>
  </sheetViews>
  <sheetFormatPr defaultColWidth="8.7109375" defaultRowHeight="12.75" outlineLevelRow="1"/>
  <cols>
    <col min="1" max="1" width="10" style="136" customWidth="1"/>
    <col min="2" max="2" width="11" style="136" customWidth="1"/>
    <col min="3" max="3" width="10.85546875" style="136" customWidth="1"/>
    <col min="4" max="4" width="10" style="136" customWidth="1"/>
    <col min="5" max="5" width="8" style="136" customWidth="1"/>
    <col min="6" max="6" width="10.42578125" style="136" customWidth="1"/>
    <col min="7" max="7" width="8" style="136" customWidth="1"/>
    <col min="8" max="8" width="10" style="136" bestFit="1" customWidth="1"/>
    <col min="9" max="9" width="8" style="136" customWidth="1"/>
    <col min="10" max="13" width="8" style="301" customWidth="1"/>
    <col min="14" max="16384" width="8.7109375" style="301"/>
  </cols>
  <sheetData>
    <row r="1" spans="1:13" ht="19.5" customHeight="1">
      <c r="A1" s="2113" t="s">
        <v>42</v>
      </c>
      <c r="B1" s="2127">
        <f>'Cost EST. GM target'!L5</f>
        <v>5000</v>
      </c>
      <c r="C1" s="2128" t="s">
        <v>15</v>
      </c>
      <c r="D1" s="2127">
        <f>'Cost EST. GM target'!N5</f>
        <v>1</v>
      </c>
      <c r="E1" s="2113" t="s">
        <v>433</v>
      </c>
      <c r="F1" s="2129">
        <f>B1*D1</f>
        <v>5000</v>
      </c>
      <c r="G1" s="2128" t="s">
        <v>31</v>
      </c>
      <c r="H1" s="2129">
        <f>F1*(1+B2)*(1+$D$2)</f>
        <v>5150</v>
      </c>
      <c r="I1" s="2130" t="s">
        <v>111</v>
      </c>
    </row>
    <row r="2" spans="1:13" ht="19.5" customHeight="1">
      <c r="A2" s="2113" t="s">
        <v>434</v>
      </c>
      <c r="B2" s="2131">
        <v>0.03</v>
      </c>
      <c r="C2" s="2113" t="s">
        <v>1303</v>
      </c>
      <c r="D2" s="2131">
        <f>'Cost EST. GM target'!$N$6</f>
        <v>0</v>
      </c>
      <c r="E2" s="2113"/>
      <c r="F2" s="2113"/>
      <c r="G2" s="2113"/>
      <c r="H2" s="2113"/>
    </row>
    <row r="3" spans="1:13" ht="17.25" customHeight="1">
      <c r="C3" s="2116"/>
      <c r="D3" s="2120"/>
      <c r="E3" s="2121"/>
    </row>
    <row r="4" spans="1:13">
      <c r="A4" s="2132" t="s">
        <v>2030</v>
      </c>
      <c r="B4" s="2133"/>
      <c r="C4" s="2134"/>
      <c r="D4" s="2134"/>
      <c r="E4" s="2134"/>
      <c r="F4" s="2134"/>
      <c r="G4" s="2134" t="s">
        <v>1343</v>
      </c>
      <c r="H4" s="2134"/>
      <c r="I4" s="2134" t="s">
        <v>2031</v>
      </c>
    </row>
    <row r="5" spans="1:13">
      <c r="B5" s="2110" t="s">
        <v>125</v>
      </c>
      <c r="C5" s="2111"/>
      <c r="D5" s="2112"/>
      <c r="E5" s="2110" t="s">
        <v>97</v>
      </c>
      <c r="F5" s="251"/>
      <c r="G5" s="251"/>
      <c r="H5" s="251"/>
      <c r="I5" s="251"/>
      <c r="J5" s="2926"/>
      <c r="K5" s="2926"/>
      <c r="L5" s="2926"/>
      <c r="M5" s="2926"/>
    </row>
    <row r="6" spans="1:13">
      <c r="C6" s="2113"/>
      <c r="D6" s="2114">
        <f>D5/'Cost EST. GM target'!$L$4</f>
        <v>0</v>
      </c>
      <c r="E6" s="2115" t="str">
        <f>'Cost EST. GM target'!$M$4</f>
        <v>VND</v>
      </c>
      <c r="F6" s="2115" t="s">
        <v>792</v>
      </c>
    </row>
    <row r="7" spans="1:13">
      <c r="C7" s="2116" t="s">
        <v>157</v>
      </c>
      <c r="D7" s="2188">
        <f ca="1">'Cost EST. GM target'!$J$73</f>
        <v>0.45002378881461591</v>
      </c>
      <c r="E7" s="2117"/>
    </row>
    <row r="8" spans="1:13">
      <c r="C8" s="2116" t="s">
        <v>1583</v>
      </c>
      <c r="D8" s="2189"/>
      <c r="E8" s="2117"/>
    </row>
    <row r="9" spans="1:13">
      <c r="C9" s="2116" t="s">
        <v>75</v>
      </c>
      <c r="D9" s="2190">
        <f>'Cost EST. GM target'!$J$37</f>
        <v>2.2499999999999999E-2</v>
      </c>
      <c r="E9" s="2117"/>
    </row>
    <row r="10" spans="1:13">
      <c r="C10" s="2116" t="s">
        <v>1609</v>
      </c>
      <c r="D10" s="2859" t="e">
        <f ca="1">1-(D6+D8)/(D11-(D6+D8)*D9)</f>
        <v>#DIV/0!</v>
      </c>
      <c r="E10" s="2117"/>
    </row>
    <row r="11" spans="1:13">
      <c r="C11" s="2116" t="s">
        <v>462</v>
      </c>
      <c r="D11" s="2928">
        <f ca="1">D6/(1-D7)+D8+(D6+D8)*D9</f>
        <v>0</v>
      </c>
      <c r="E11" s="2118" t="str">
        <f>E6</f>
        <v>VND</v>
      </c>
      <c r="F11" s="2119" t="s">
        <v>792</v>
      </c>
    </row>
    <row r="13" spans="1:13">
      <c r="A13" s="2132" t="s">
        <v>3376</v>
      </c>
      <c r="B13" s="2133"/>
      <c r="C13" s="2134"/>
      <c r="D13" s="2134"/>
      <c r="E13" s="2134"/>
      <c r="F13" s="2134">
        <f>1/'Shrinkwraped (Auto)'!$N$14</f>
        <v>1</v>
      </c>
      <c r="G13" s="2134" t="s">
        <v>1343</v>
      </c>
      <c r="H13" s="2134"/>
      <c r="I13" s="2134" t="s">
        <v>2032</v>
      </c>
    </row>
    <row r="14" spans="1:13">
      <c r="B14" s="2110" t="s">
        <v>125</v>
      </c>
      <c r="C14" s="2111"/>
      <c r="D14" s="2112">
        <f>'Shrinkwraped (Auto)'!$O$21*F13</f>
        <v>298</v>
      </c>
      <c r="E14" s="2110" t="s">
        <v>97</v>
      </c>
      <c r="F14" s="251"/>
      <c r="G14" s="251"/>
      <c r="H14" s="251"/>
      <c r="I14" s="251"/>
      <c r="J14" s="2926"/>
      <c r="K14" s="2926"/>
      <c r="L14" s="2926"/>
      <c r="M14" s="2926"/>
    </row>
    <row r="15" spans="1:13">
      <c r="C15" s="2113"/>
      <c r="D15" s="2114">
        <f>D14/'Cost EST. GM target'!$L$4</f>
        <v>298</v>
      </c>
      <c r="E15" s="2115" t="str">
        <f>'Cost EST. GM target'!$M$4</f>
        <v>VND</v>
      </c>
      <c r="F15" s="2115" t="s">
        <v>792</v>
      </c>
    </row>
    <row r="16" spans="1:13">
      <c r="C16" s="2116" t="s">
        <v>157</v>
      </c>
      <c r="D16" s="2188">
        <f ca="1">'Cost EST. GM target'!$J$73</f>
        <v>0.45002378881461591</v>
      </c>
      <c r="E16" s="2117"/>
    </row>
    <row r="17" spans="1:9">
      <c r="C17" s="2116" t="s">
        <v>1583</v>
      </c>
      <c r="D17" s="2189"/>
      <c r="E17" s="2117"/>
    </row>
    <row r="18" spans="1:9">
      <c r="C18" s="2116" t="s">
        <v>75</v>
      </c>
      <c r="D18" s="2190">
        <f>'Cost EST. GM target'!$J$37</f>
        <v>2.2499999999999999E-2</v>
      </c>
      <c r="E18" s="2117"/>
    </row>
    <row r="19" spans="1:9">
      <c r="C19" s="2116" t="s">
        <v>1609</v>
      </c>
      <c r="D19" s="2859">
        <f ca="1">1-(D15+D17)/(D20-(D15+D17)*D18)</f>
        <v>0.45002378881461591</v>
      </c>
      <c r="E19" s="2117"/>
    </row>
    <row r="20" spans="1:9">
      <c r="C20" s="2116" t="s">
        <v>462</v>
      </c>
      <c r="D20" s="2928">
        <f ca="1">D15/(1-D16)+D17+(D15+D17)*D18</f>
        <v>548.54661776326577</v>
      </c>
      <c r="E20" s="2118" t="str">
        <f>E15</f>
        <v>VND</v>
      </c>
      <c r="F20" s="2119" t="s">
        <v>792</v>
      </c>
    </row>
    <row r="22" spans="1:9">
      <c r="A22" s="2132"/>
      <c r="B22" s="2133"/>
      <c r="C22" s="2134"/>
      <c r="D22" s="2134"/>
      <c r="E22" s="2134"/>
      <c r="F22" s="2134"/>
      <c r="G22" s="2134" t="s">
        <v>1343</v>
      </c>
      <c r="H22" s="2134"/>
      <c r="I22" s="2134" t="s">
        <v>2033</v>
      </c>
    </row>
    <row r="23" spans="1:9">
      <c r="B23" s="2110" t="s">
        <v>125</v>
      </c>
      <c r="C23" s="2111"/>
      <c r="D23" s="2112"/>
      <c r="E23" s="2110" t="s">
        <v>97</v>
      </c>
      <c r="F23" s="251"/>
      <c r="G23" s="251"/>
      <c r="H23" s="251"/>
      <c r="I23" s="251"/>
    </row>
    <row r="24" spans="1:9">
      <c r="C24" s="2113"/>
      <c r="D24" s="2114">
        <f>D23/'Cost EST. GM target'!$L$4</f>
        <v>0</v>
      </c>
      <c r="E24" s="2115" t="str">
        <f>'Cost EST. GM target'!$M$4</f>
        <v>VND</v>
      </c>
      <c r="F24" s="2115" t="s">
        <v>792</v>
      </c>
    </row>
    <row r="25" spans="1:9">
      <c r="C25" s="2116" t="s">
        <v>157</v>
      </c>
      <c r="D25" s="2188">
        <f ca="1">'Cost EST. GM target'!$J$73</f>
        <v>0.45002378881461591</v>
      </c>
      <c r="E25" s="2117"/>
    </row>
    <row r="26" spans="1:9">
      <c r="C26" s="2116" t="s">
        <v>1583</v>
      </c>
      <c r="D26" s="2189"/>
      <c r="E26" s="2117"/>
    </row>
    <row r="27" spans="1:9">
      <c r="C27" s="2116" t="s">
        <v>75</v>
      </c>
      <c r="D27" s="2190">
        <f>'Cost EST. GM target'!$J$37</f>
        <v>2.2499999999999999E-2</v>
      </c>
      <c r="E27" s="2117"/>
    </row>
    <row r="28" spans="1:9">
      <c r="C28" s="2116" t="s">
        <v>1609</v>
      </c>
      <c r="D28" s="2859" t="e">
        <f ca="1">1-(D24+D26)/(D29-(D24+D26)*D27)</f>
        <v>#DIV/0!</v>
      </c>
      <c r="E28" s="2117"/>
    </row>
    <row r="29" spans="1:9">
      <c r="C29" s="2116" t="s">
        <v>462</v>
      </c>
      <c r="D29" s="2928">
        <f ca="1">D24/(1-D25)+D26+(D24+D26)*D27</f>
        <v>0</v>
      </c>
      <c r="E29" s="2118" t="str">
        <f>E24</f>
        <v>VND</v>
      </c>
      <c r="F29" s="2119" t="s">
        <v>792</v>
      </c>
    </row>
    <row r="31" spans="1:9">
      <c r="A31" s="2132"/>
      <c r="B31" s="2133"/>
      <c r="C31" s="2134"/>
      <c r="D31" s="2134"/>
      <c r="E31" s="2134"/>
      <c r="F31" s="2134"/>
      <c r="G31" s="2134" t="s">
        <v>1343</v>
      </c>
      <c r="H31" s="2134"/>
      <c r="I31" s="2134" t="s">
        <v>2034</v>
      </c>
    </row>
    <row r="32" spans="1:9">
      <c r="B32" s="2110" t="s">
        <v>125</v>
      </c>
      <c r="C32" s="2111"/>
      <c r="D32" s="2112"/>
      <c r="E32" s="2110" t="s">
        <v>97</v>
      </c>
      <c r="F32" s="251"/>
      <c r="G32" s="251"/>
      <c r="H32" s="251"/>
      <c r="I32" s="251"/>
    </row>
    <row r="33" spans="1:9">
      <c r="C33" s="2113"/>
      <c r="D33" s="2114">
        <f>D32/'Cost EST. GM target'!$L$4</f>
        <v>0</v>
      </c>
      <c r="E33" s="2115" t="str">
        <f>'Cost EST. GM target'!$M$4</f>
        <v>VND</v>
      </c>
      <c r="F33" s="2115" t="s">
        <v>792</v>
      </c>
    </row>
    <row r="34" spans="1:9">
      <c r="C34" s="2116" t="s">
        <v>157</v>
      </c>
      <c r="D34" s="2188">
        <f ca="1">'Cost EST. GM target'!$J$73</f>
        <v>0.45002378881461591</v>
      </c>
      <c r="E34" s="2117"/>
    </row>
    <row r="35" spans="1:9">
      <c r="C35" s="2116" t="s">
        <v>1583</v>
      </c>
      <c r="D35" s="2189"/>
      <c r="E35" s="2117"/>
    </row>
    <row r="36" spans="1:9">
      <c r="C36" s="2116" t="s">
        <v>75</v>
      </c>
      <c r="D36" s="2190">
        <f>'Cost EST. GM target'!$J$37</f>
        <v>2.2499999999999999E-2</v>
      </c>
      <c r="E36" s="2117"/>
    </row>
    <row r="37" spans="1:9">
      <c r="C37" s="2116" t="s">
        <v>1609</v>
      </c>
      <c r="D37" s="2859" t="e">
        <f ca="1">1-(D33+D35)/(D38-(D33+D35)*D36)</f>
        <v>#DIV/0!</v>
      </c>
      <c r="E37" s="2117"/>
    </row>
    <row r="38" spans="1:9">
      <c r="C38" s="2116" t="s">
        <v>462</v>
      </c>
      <c r="D38" s="2928">
        <f ca="1">D33/(1-D34)+D35+(D33+D35)*D36</f>
        <v>0</v>
      </c>
      <c r="E38" s="2118" t="str">
        <f>E33</f>
        <v>VND</v>
      </c>
      <c r="F38" s="2119" t="s">
        <v>792</v>
      </c>
    </row>
    <row r="39" spans="1:9">
      <c r="A39" s="2137" t="s">
        <v>2035</v>
      </c>
    </row>
    <row r="40" spans="1:9">
      <c r="A40" s="2132"/>
      <c r="B40" s="2133"/>
      <c r="C40" s="2134"/>
      <c r="D40" s="2134"/>
      <c r="E40" s="2134"/>
      <c r="F40" s="2134"/>
      <c r="G40" s="2134" t="s">
        <v>1343</v>
      </c>
      <c r="H40" s="2134"/>
      <c r="I40" s="2134" t="s">
        <v>2023</v>
      </c>
    </row>
    <row r="41" spans="1:9">
      <c r="B41" s="2110" t="s">
        <v>125</v>
      </c>
      <c r="C41" s="2111"/>
      <c r="D41" s="2112"/>
      <c r="E41" s="2110" t="s">
        <v>97</v>
      </c>
      <c r="F41" s="251"/>
      <c r="G41" s="251"/>
      <c r="H41" s="251"/>
      <c r="I41" s="251"/>
    </row>
    <row r="42" spans="1:9">
      <c r="C42" s="2113"/>
      <c r="D42" s="2114">
        <f>D41/'Cost EST. GM target'!$L$4</f>
        <v>0</v>
      </c>
      <c r="E42" s="2115" t="str">
        <f>'Cost EST. GM target'!$M$4</f>
        <v>VND</v>
      </c>
      <c r="F42" s="2115" t="s">
        <v>792</v>
      </c>
    </row>
    <row r="43" spans="1:9">
      <c r="C43" s="2116" t="s">
        <v>157</v>
      </c>
      <c r="D43" s="2188">
        <f ca="1">'Cost EST. GM target'!$J$73</f>
        <v>0.45002378881461591</v>
      </c>
      <c r="E43" s="2117"/>
    </row>
    <row r="44" spans="1:9">
      <c r="C44" s="2116" t="s">
        <v>1583</v>
      </c>
      <c r="D44" s="2189"/>
      <c r="E44" s="2117"/>
    </row>
    <row r="45" spans="1:9">
      <c r="C45" s="2116" t="s">
        <v>75</v>
      </c>
      <c r="D45" s="2190">
        <f>'Cost EST. GM target'!$J$37</f>
        <v>2.2499999999999999E-2</v>
      </c>
      <c r="E45" s="2117"/>
    </row>
    <row r="46" spans="1:9">
      <c r="C46" s="2116" t="s">
        <v>1609</v>
      </c>
      <c r="D46" s="2859" t="e">
        <f ca="1">1-(D42+D44)/(D47-(D42+D44)*D45)</f>
        <v>#DIV/0!</v>
      </c>
      <c r="E46" s="2117"/>
    </row>
    <row r="47" spans="1:9">
      <c r="C47" s="2116" t="s">
        <v>462</v>
      </c>
      <c r="D47" s="2928">
        <f ca="1">D42/(1-D43)+D44+(D42+D44)*D45</f>
        <v>0</v>
      </c>
      <c r="E47" s="2118" t="str">
        <f>E42</f>
        <v>VND</v>
      </c>
      <c r="F47" s="2119" t="s">
        <v>792</v>
      </c>
    </row>
    <row r="48" spans="1:9">
      <c r="C48" s="2116"/>
      <c r="D48" s="2120"/>
      <c r="E48" s="2118"/>
      <c r="F48" s="2119"/>
    </row>
    <row r="49" spans="1:9">
      <c r="A49" s="2132"/>
      <c r="B49" s="2133"/>
      <c r="C49" s="2134"/>
      <c r="D49" s="2134"/>
      <c r="E49" s="2134"/>
      <c r="F49" s="2134"/>
      <c r="G49" s="2134" t="s">
        <v>1343</v>
      </c>
      <c r="H49" s="2134"/>
      <c r="I49" s="2134" t="s">
        <v>2024</v>
      </c>
    </row>
    <row r="50" spans="1:9">
      <c r="B50" s="2110" t="s">
        <v>125</v>
      </c>
      <c r="C50" s="2111"/>
      <c r="D50" s="2112"/>
      <c r="E50" s="2110" t="s">
        <v>97</v>
      </c>
      <c r="F50" s="251"/>
      <c r="G50" s="251"/>
      <c r="H50" s="251"/>
      <c r="I50" s="251"/>
    </row>
    <row r="51" spans="1:9">
      <c r="C51" s="2113"/>
      <c r="D51" s="2114">
        <f>D50/'Cost EST. GM target'!$L$4</f>
        <v>0</v>
      </c>
      <c r="E51" s="2115" t="str">
        <f>'Cost EST. GM target'!$M$4</f>
        <v>VND</v>
      </c>
      <c r="F51" s="2115" t="s">
        <v>792</v>
      </c>
    </row>
    <row r="52" spans="1:9">
      <c r="C52" s="2116" t="s">
        <v>157</v>
      </c>
      <c r="D52" s="2188">
        <f ca="1">'Cost EST. GM target'!$J$73</f>
        <v>0.45002378881461591</v>
      </c>
      <c r="E52" s="2117"/>
    </row>
    <row r="53" spans="1:9">
      <c r="C53" s="2116" t="s">
        <v>1583</v>
      </c>
      <c r="D53" s="2189"/>
      <c r="E53" s="2117"/>
    </row>
    <row r="54" spans="1:9">
      <c r="C54" s="2116" t="s">
        <v>75</v>
      </c>
      <c r="D54" s="2190">
        <f>'Cost EST. GM target'!$J$37</f>
        <v>2.2499999999999999E-2</v>
      </c>
      <c r="E54" s="2117"/>
    </row>
    <row r="55" spans="1:9">
      <c r="C55" s="2116" t="s">
        <v>1609</v>
      </c>
      <c r="D55" s="2859" t="e">
        <f ca="1">1-(D51+D53)/(D56-(D51+D53)*D54)</f>
        <v>#DIV/0!</v>
      </c>
      <c r="E55" s="2117"/>
    </row>
    <row r="56" spans="1:9">
      <c r="C56" s="2116" t="s">
        <v>462</v>
      </c>
      <c r="D56" s="2928">
        <f ca="1">D51/(1-D52)+D53+(D51+D53)*D54</f>
        <v>0</v>
      </c>
      <c r="E56" s="2118" t="str">
        <f>E51</f>
        <v>VND</v>
      </c>
      <c r="F56" s="2119" t="s">
        <v>792</v>
      </c>
    </row>
    <row r="58" spans="1:9">
      <c r="A58" s="2132"/>
      <c r="B58" s="2133"/>
      <c r="C58" s="2134"/>
      <c r="D58" s="2134"/>
      <c r="E58" s="2134"/>
      <c r="F58" s="2134"/>
      <c r="G58" s="2134" t="s">
        <v>1343</v>
      </c>
      <c r="H58" s="2134"/>
      <c r="I58" s="2134" t="s">
        <v>2025</v>
      </c>
    </row>
    <row r="59" spans="1:9">
      <c r="B59" s="2110" t="s">
        <v>125</v>
      </c>
      <c r="C59" s="2111"/>
      <c r="D59" s="2112"/>
      <c r="E59" s="2110" t="s">
        <v>97</v>
      </c>
      <c r="F59" s="251"/>
      <c r="G59" s="251"/>
      <c r="H59" s="251"/>
      <c r="I59" s="251"/>
    </row>
    <row r="60" spans="1:9">
      <c r="C60" s="2113"/>
      <c r="D60" s="2114">
        <f>D59/'Cost EST. GM target'!$L$4</f>
        <v>0</v>
      </c>
      <c r="E60" s="2115" t="str">
        <f>'Cost EST. GM target'!$M$4</f>
        <v>VND</v>
      </c>
      <c r="F60" s="2115" t="s">
        <v>792</v>
      </c>
    </row>
    <row r="61" spans="1:9">
      <c r="C61" s="2116" t="s">
        <v>157</v>
      </c>
      <c r="D61" s="2188">
        <f ca="1">'Cost EST. GM target'!$J$73</f>
        <v>0.45002378881461591</v>
      </c>
      <c r="E61" s="2117"/>
    </row>
    <row r="62" spans="1:9">
      <c r="C62" s="2116" t="s">
        <v>1583</v>
      </c>
      <c r="D62" s="2189"/>
      <c r="E62" s="2117"/>
    </row>
    <row r="63" spans="1:9">
      <c r="C63" s="2116" t="s">
        <v>75</v>
      </c>
      <c r="D63" s="2190">
        <f>'Cost EST. GM target'!$J$37</f>
        <v>2.2499999999999999E-2</v>
      </c>
      <c r="E63" s="2117"/>
    </row>
    <row r="64" spans="1:9">
      <c r="C64" s="2116" t="s">
        <v>1609</v>
      </c>
      <c r="D64" s="2859" t="e">
        <f ca="1">1-(D60+D62)/(D65-(D60+D62)*D63)</f>
        <v>#DIV/0!</v>
      </c>
      <c r="E64" s="2117"/>
    </row>
    <row r="65" spans="1:9">
      <c r="C65" s="2116" t="s">
        <v>462</v>
      </c>
      <c r="D65" s="2928">
        <f ca="1">D60/(1-D61)+D62+(D60+D62)*D63</f>
        <v>0</v>
      </c>
      <c r="E65" s="2118" t="str">
        <f>E60</f>
        <v>VND</v>
      </c>
      <c r="F65" s="2119" t="s">
        <v>792</v>
      </c>
    </row>
    <row r="66" spans="1:9">
      <c r="C66" s="2116"/>
      <c r="D66" s="2120"/>
      <c r="E66" s="2118"/>
      <c r="F66" s="2119"/>
    </row>
    <row r="67" spans="1:9">
      <c r="A67" s="2132"/>
      <c r="B67" s="2133"/>
      <c r="C67" s="2134"/>
      <c r="D67" s="2134"/>
      <c r="E67" s="2134"/>
      <c r="F67" s="2134"/>
      <c r="G67" s="2134" t="s">
        <v>1343</v>
      </c>
      <c r="H67" s="2134"/>
      <c r="I67" s="2134" t="s">
        <v>2026</v>
      </c>
    </row>
    <row r="68" spans="1:9">
      <c r="B68" s="2110" t="s">
        <v>125</v>
      </c>
      <c r="C68" s="2111"/>
      <c r="D68" s="2112"/>
      <c r="E68" s="2110" t="s">
        <v>97</v>
      </c>
      <c r="F68" s="251"/>
      <c r="G68" s="251"/>
      <c r="H68" s="251"/>
      <c r="I68" s="251"/>
    </row>
    <row r="69" spans="1:9">
      <c r="C69" s="2113"/>
      <c r="D69" s="2114">
        <f>D68/'Cost EST. GM target'!$L$4</f>
        <v>0</v>
      </c>
      <c r="E69" s="2115" t="str">
        <f>'Cost EST. GM target'!$M$4</f>
        <v>VND</v>
      </c>
      <c r="F69" s="2115" t="s">
        <v>792</v>
      </c>
    </row>
    <row r="70" spans="1:9">
      <c r="C70" s="2116" t="s">
        <v>157</v>
      </c>
      <c r="D70" s="2188">
        <f ca="1">'Cost EST. GM target'!$J$73</f>
        <v>0.45002378881461591</v>
      </c>
      <c r="E70" s="2117"/>
    </row>
    <row r="71" spans="1:9">
      <c r="C71" s="2116" t="s">
        <v>1583</v>
      </c>
      <c r="D71" s="2189"/>
      <c r="E71" s="2117"/>
    </row>
    <row r="72" spans="1:9">
      <c r="C72" s="2116" t="s">
        <v>75</v>
      </c>
      <c r="D72" s="2190">
        <f>'Cost EST. GM target'!$J$37</f>
        <v>2.2499999999999999E-2</v>
      </c>
      <c r="E72" s="2117"/>
    </row>
    <row r="73" spans="1:9">
      <c r="C73" s="2116" t="s">
        <v>1609</v>
      </c>
      <c r="D73" s="2859" t="e">
        <f ca="1">1-(D69+D71)/(D74-(D69+D71)*D72)</f>
        <v>#DIV/0!</v>
      </c>
      <c r="E73" s="2117"/>
    </row>
    <row r="74" spans="1:9">
      <c r="C74" s="2116" t="s">
        <v>462</v>
      </c>
      <c r="D74" s="2928">
        <f ca="1">D69/(1-D70)+D71+(D69+D71)*D72</f>
        <v>0</v>
      </c>
      <c r="E74" s="2118" t="str">
        <f>E69</f>
        <v>VND</v>
      </c>
      <c r="F74" s="2119" t="s">
        <v>792</v>
      </c>
    </row>
    <row r="76" spans="1:9">
      <c r="A76" s="2132"/>
      <c r="B76" s="2133"/>
      <c r="C76" s="2134"/>
      <c r="D76" s="2134"/>
      <c r="E76" s="2134"/>
      <c r="F76" s="2134"/>
      <c r="G76" s="2134" t="s">
        <v>1343</v>
      </c>
      <c r="H76" s="2134"/>
      <c r="I76" s="2134" t="s">
        <v>2027</v>
      </c>
    </row>
    <row r="77" spans="1:9">
      <c r="B77" s="2110" t="s">
        <v>125</v>
      </c>
      <c r="C77" s="2111"/>
      <c r="D77" s="2112"/>
      <c r="E77" s="2110" t="s">
        <v>97</v>
      </c>
      <c r="F77" s="251"/>
      <c r="G77" s="251"/>
      <c r="H77" s="251"/>
      <c r="I77" s="251"/>
    </row>
    <row r="78" spans="1:9">
      <c r="C78" s="2113"/>
      <c r="D78" s="2114">
        <f>D77/'Cost EST. GM target'!$L$4</f>
        <v>0</v>
      </c>
      <c r="E78" s="2115" t="str">
        <f>'Cost EST. GM target'!$M$4</f>
        <v>VND</v>
      </c>
      <c r="F78" s="2115" t="s">
        <v>792</v>
      </c>
    </row>
    <row r="79" spans="1:9">
      <c r="C79" s="2116" t="s">
        <v>157</v>
      </c>
      <c r="D79" s="2188">
        <f ca="1">'Cost EST. GM target'!$J$73</f>
        <v>0.45002378881461591</v>
      </c>
      <c r="E79" s="2117"/>
    </row>
    <row r="80" spans="1:9">
      <c r="C80" s="2116" t="s">
        <v>1583</v>
      </c>
      <c r="D80" s="2189"/>
      <c r="E80" s="2117"/>
    </row>
    <row r="81" spans="1:10">
      <c r="C81" s="2116" t="s">
        <v>75</v>
      </c>
      <c r="D81" s="2190">
        <f>'Cost EST. GM target'!$J$37</f>
        <v>2.2499999999999999E-2</v>
      </c>
      <c r="E81" s="2117"/>
    </row>
    <row r="82" spans="1:10">
      <c r="C82" s="2116" t="s">
        <v>1609</v>
      </c>
      <c r="D82" s="2859" t="e">
        <f ca="1">1-(D78+D80)/(D83-(D78+D80)*D81)</f>
        <v>#DIV/0!</v>
      </c>
      <c r="E82" s="2117"/>
    </row>
    <row r="83" spans="1:10">
      <c r="C83" s="2116"/>
      <c r="D83" s="2928">
        <f ca="1">D78/(1-D79)+D80+(D78+D80)*D81</f>
        <v>0</v>
      </c>
      <c r="E83" s="2118"/>
      <c r="F83" s="2119"/>
    </row>
    <row r="85" spans="1:10">
      <c r="A85" s="2132" t="s">
        <v>2029</v>
      </c>
      <c r="B85" s="2133"/>
      <c r="C85" s="2134"/>
      <c r="D85" s="2134"/>
      <c r="E85" s="2134"/>
      <c r="F85" s="2134"/>
      <c r="G85" s="2134"/>
      <c r="H85" s="2134"/>
      <c r="I85" s="2134" t="s">
        <v>2028</v>
      </c>
    </row>
    <row r="86" spans="1:10">
      <c r="A86" s="2122" t="str">
        <f>'Data Extra cost'!A175</f>
        <v>Item name</v>
      </c>
      <c r="G86" s="2123">
        <f>'Data Extra cost'!G176</f>
        <v>5</v>
      </c>
      <c r="H86" s="2124" t="s">
        <v>524</v>
      </c>
      <c r="I86" s="189"/>
      <c r="J86" s="2927"/>
    </row>
    <row r="87" spans="1:10">
      <c r="C87" s="314" t="s">
        <v>567</v>
      </c>
      <c r="D87" s="2125">
        <f>'Data Extra cost'!C185</f>
        <v>241.8</v>
      </c>
      <c r="E87" s="2110" t="s">
        <v>97</v>
      </c>
      <c r="F87" s="2126"/>
      <c r="G87" s="2135"/>
      <c r="H87" s="2135"/>
      <c r="I87" s="2136"/>
    </row>
    <row r="88" spans="1:10">
      <c r="C88" s="2113"/>
      <c r="D88" s="2114">
        <f>D87/'Cost EST. GM target'!$L$4</f>
        <v>241.8</v>
      </c>
      <c r="E88" s="2115" t="str">
        <f>'Cost EST. GM target'!$M$4</f>
        <v>VND</v>
      </c>
      <c r="F88" s="2115" t="s">
        <v>792</v>
      </c>
      <c r="G88" s="2135"/>
      <c r="H88" s="2135"/>
      <c r="I88" s="2136"/>
    </row>
    <row r="89" spans="1:10">
      <c r="C89" s="2116" t="s">
        <v>157</v>
      </c>
      <c r="D89" s="2188">
        <f ca="1">'Cost EST. GM target'!$J$73</f>
        <v>0.45002378881461591</v>
      </c>
      <c r="E89" s="2117"/>
      <c r="G89" s="2135"/>
      <c r="H89" s="2135"/>
      <c r="I89" s="2136"/>
    </row>
    <row r="90" spans="1:10">
      <c r="C90" s="2116" t="s">
        <v>1583</v>
      </c>
      <c r="D90" s="2189"/>
      <c r="E90" s="2117"/>
    </row>
    <row r="91" spans="1:10">
      <c r="C91" s="2116" t="s">
        <v>75</v>
      </c>
      <c r="D91" s="2190">
        <f>'Cost EST. GM target'!$J$37</f>
        <v>2.2499999999999999E-2</v>
      </c>
      <c r="E91" s="2117"/>
    </row>
    <row r="92" spans="1:10" ht="13.5" customHeight="1">
      <c r="C92" s="2116" t="s">
        <v>1609</v>
      </c>
      <c r="D92" s="2859">
        <f ca="1">1-(D88+D90)/(D93-(D88+D90)*D91)</f>
        <v>0.45002378881461591</v>
      </c>
      <c r="E92" s="2117"/>
    </row>
    <row r="93" spans="1:10">
      <c r="C93" s="2116" t="s">
        <v>462</v>
      </c>
      <c r="D93" s="2928">
        <f ca="1">D88/(1-D89)+D90+(D88+D90)*D91</f>
        <v>445.09587978240825</v>
      </c>
      <c r="E93" s="2118" t="str">
        <f>E88</f>
        <v>VND</v>
      </c>
      <c r="F93" s="2119" t="s">
        <v>792</v>
      </c>
    </row>
    <row r="95" spans="1:10" outlineLevel="1">
      <c r="A95" s="2132" t="s">
        <v>2029</v>
      </c>
      <c r="B95" s="2133"/>
      <c r="C95" s="2134"/>
      <c r="D95" s="2134"/>
      <c r="E95" s="2134"/>
      <c r="F95" s="2134"/>
      <c r="G95" s="2134"/>
      <c r="H95" s="2134"/>
      <c r="I95" s="2134" t="s">
        <v>2028</v>
      </c>
    </row>
    <row r="96" spans="1:10" outlineLevel="1">
      <c r="A96" s="2122" t="str">
        <f>'Data Extra cost'!A193</f>
        <v>Item name</v>
      </c>
      <c r="G96" s="2123">
        <f>'Data Extra cost'!G194</f>
        <v>100</v>
      </c>
      <c r="H96" s="2124" t="s">
        <v>524</v>
      </c>
      <c r="I96" s="189"/>
    </row>
    <row r="97" spans="1:9" outlineLevel="1">
      <c r="C97" s="314" t="s">
        <v>567</v>
      </c>
      <c r="D97" s="2125">
        <f>'Data Extra cost'!C203</f>
        <v>252</v>
      </c>
      <c r="E97" s="2110" t="s">
        <v>97</v>
      </c>
      <c r="F97" s="2126"/>
      <c r="G97" s="2135"/>
      <c r="H97" s="2135"/>
      <c r="I97" s="2136"/>
    </row>
    <row r="98" spans="1:9" outlineLevel="1">
      <c r="C98" s="2113"/>
      <c r="D98" s="2114">
        <f>D97/'Cost EST. GM target'!$L$4</f>
        <v>252</v>
      </c>
      <c r="E98" s="2115" t="str">
        <f>'Cost EST. GM target'!$M$4</f>
        <v>VND</v>
      </c>
      <c r="F98" s="2115" t="s">
        <v>792</v>
      </c>
      <c r="G98" s="2135"/>
      <c r="H98" s="2135"/>
      <c r="I98" s="2136"/>
    </row>
    <row r="99" spans="1:9" outlineLevel="1">
      <c r="C99" s="2116" t="s">
        <v>157</v>
      </c>
      <c r="D99" s="2188">
        <f ca="1">'Cost EST. GM target'!$J$73</f>
        <v>0.45002378881461591</v>
      </c>
      <c r="E99" s="2117"/>
      <c r="G99" s="2135"/>
      <c r="H99" s="2135"/>
      <c r="I99" s="2136"/>
    </row>
    <row r="100" spans="1:9" outlineLevel="1">
      <c r="C100" s="2116" t="s">
        <v>1583</v>
      </c>
      <c r="D100" s="2189"/>
      <c r="E100" s="2117"/>
    </row>
    <row r="101" spans="1:9" outlineLevel="1">
      <c r="C101" s="2116" t="s">
        <v>75</v>
      </c>
      <c r="D101" s="2190">
        <f>'Cost EST. GM target'!$J$37</f>
        <v>2.2499999999999999E-2</v>
      </c>
      <c r="E101" s="2117"/>
    </row>
    <row r="102" spans="1:9" outlineLevel="1">
      <c r="C102" s="2116" t="s">
        <v>1609</v>
      </c>
      <c r="D102" s="2859">
        <f ca="1">1-(D98+D100)/(D103-(D98+D100)*D101)</f>
        <v>0.45002378881461591</v>
      </c>
      <c r="E102" s="2117"/>
    </row>
    <row r="103" spans="1:9" outlineLevel="1">
      <c r="C103" s="2116" t="s">
        <v>462</v>
      </c>
      <c r="D103" s="2928">
        <f ca="1">D98/(1-D99)+D100+(D98+D100)*D101</f>
        <v>463.87163649779518</v>
      </c>
      <c r="E103" s="2118" t="str">
        <f>E98</f>
        <v>VND</v>
      </c>
      <c r="F103" s="2119" t="s">
        <v>792</v>
      </c>
    </row>
    <row r="104" spans="1:9" outlineLevel="1"/>
    <row r="105" spans="1:9" outlineLevel="1">
      <c r="A105" s="2132" t="s">
        <v>2029</v>
      </c>
      <c r="B105" s="2133"/>
      <c r="C105" s="2134"/>
      <c r="D105" s="2134"/>
      <c r="E105" s="2134"/>
      <c r="F105" s="2134"/>
      <c r="G105" s="2134"/>
      <c r="H105" s="2134"/>
      <c r="I105" s="2134" t="s">
        <v>2028</v>
      </c>
    </row>
    <row r="106" spans="1:9" outlineLevel="1">
      <c r="A106" s="2122" t="str">
        <f>'Data Extra cost'!A211</f>
        <v>Item name</v>
      </c>
      <c r="G106" s="2123">
        <f>'Data Extra cost'!G212</f>
        <v>0</v>
      </c>
      <c r="H106" s="2124" t="s">
        <v>524</v>
      </c>
      <c r="I106" s="189"/>
    </row>
    <row r="107" spans="1:9" outlineLevel="1">
      <c r="C107" s="314" t="s">
        <v>567</v>
      </c>
      <c r="D107" s="2125">
        <f>'Data Extra cost'!C221</f>
        <v>241.8</v>
      </c>
      <c r="E107" s="2110" t="s">
        <v>97</v>
      </c>
      <c r="F107" s="2126"/>
      <c r="G107" s="2135"/>
      <c r="H107" s="2135"/>
      <c r="I107" s="2136"/>
    </row>
    <row r="108" spans="1:9" outlineLevel="1">
      <c r="C108" s="2113"/>
      <c r="D108" s="2114">
        <f>D107/'Cost EST. GM target'!$L$4</f>
        <v>241.8</v>
      </c>
      <c r="E108" s="2115" t="str">
        <f>'Cost EST. GM target'!$M$4</f>
        <v>VND</v>
      </c>
      <c r="F108" s="2115" t="s">
        <v>792</v>
      </c>
      <c r="G108" s="2135"/>
      <c r="H108" s="2135"/>
      <c r="I108" s="2136"/>
    </row>
    <row r="109" spans="1:9" outlineLevel="1">
      <c r="C109" s="2116" t="s">
        <v>157</v>
      </c>
      <c r="D109" s="2188">
        <f ca="1">'Cost EST. GM target'!$J$73</f>
        <v>0.45002378881461591</v>
      </c>
      <c r="E109" s="2117"/>
      <c r="G109" s="2135"/>
      <c r="H109" s="2135"/>
      <c r="I109" s="2136"/>
    </row>
    <row r="110" spans="1:9" outlineLevel="1">
      <c r="C110" s="2116" t="s">
        <v>1583</v>
      </c>
      <c r="D110" s="2189"/>
      <c r="E110" s="2117"/>
    </row>
    <row r="111" spans="1:9" outlineLevel="1">
      <c r="C111" s="2116" t="s">
        <v>75</v>
      </c>
      <c r="D111" s="2190">
        <f>'Cost EST. GM target'!$J$37</f>
        <v>2.2499999999999999E-2</v>
      </c>
      <c r="E111" s="2117"/>
    </row>
    <row r="112" spans="1:9" outlineLevel="1">
      <c r="C112" s="2116" t="s">
        <v>1609</v>
      </c>
      <c r="D112" s="2859">
        <f ca="1">1-(D108+D110)/(D113-(D108+D110)*D111)</f>
        <v>0.45002378881461591</v>
      </c>
      <c r="E112" s="2117"/>
    </row>
    <row r="113" spans="1:9" outlineLevel="1">
      <c r="C113" s="2116" t="s">
        <v>462</v>
      </c>
      <c r="D113" s="2928">
        <f ca="1">D108/(1-D109)+D110+(D108+D110)*D111</f>
        <v>445.09587978240825</v>
      </c>
      <c r="E113" s="2118" t="str">
        <f>E108</f>
        <v>VND</v>
      </c>
      <c r="F113" s="2119" t="s">
        <v>792</v>
      </c>
    </row>
    <row r="114" spans="1:9" outlineLevel="1"/>
    <row r="115" spans="1:9" outlineLevel="1">
      <c r="A115" s="2132" t="s">
        <v>2029</v>
      </c>
      <c r="B115" s="2133"/>
      <c r="C115" s="2134"/>
      <c r="D115" s="2134"/>
      <c r="E115" s="2134"/>
      <c r="F115" s="2134"/>
      <c r="G115" s="2134"/>
      <c r="H115" s="2134"/>
      <c r="I115" s="2134" t="s">
        <v>2028</v>
      </c>
    </row>
    <row r="116" spans="1:9" outlineLevel="1">
      <c r="A116" s="2122" t="str">
        <f>'Data Extra cost'!A229</f>
        <v>Item name</v>
      </c>
      <c r="G116" s="2123">
        <f>'Data Extra cost'!G230</f>
        <v>0</v>
      </c>
      <c r="H116" s="2124" t="s">
        <v>524</v>
      </c>
      <c r="I116" s="189"/>
    </row>
    <row r="117" spans="1:9" outlineLevel="1">
      <c r="C117" s="314" t="s">
        <v>567</v>
      </c>
      <c r="D117" s="2125">
        <f>'Data Extra cost'!C239</f>
        <v>241.8</v>
      </c>
      <c r="E117" s="2110" t="s">
        <v>97</v>
      </c>
      <c r="F117" s="2126"/>
      <c r="G117" s="2135"/>
      <c r="H117" s="2135"/>
      <c r="I117" s="2136"/>
    </row>
    <row r="118" spans="1:9" outlineLevel="1">
      <c r="C118" s="2113"/>
      <c r="D118" s="2114">
        <f>D117/'Cost EST. GM target'!$L$4</f>
        <v>241.8</v>
      </c>
      <c r="E118" s="2115" t="str">
        <f>'Cost EST. GM target'!$M$4</f>
        <v>VND</v>
      </c>
      <c r="F118" s="2115" t="s">
        <v>792</v>
      </c>
      <c r="G118" s="2135"/>
      <c r="H118" s="2135"/>
      <c r="I118" s="2136"/>
    </row>
    <row r="119" spans="1:9" outlineLevel="1">
      <c r="C119" s="2116" t="s">
        <v>157</v>
      </c>
      <c r="D119" s="2188">
        <f ca="1">'Cost EST. GM target'!$J$73</f>
        <v>0.45002378881461591</v>
      </c>
      <c r="E119" s="2117"/>
      <c r="G119" s="2135"/>
      <c r="H119" s="2135"/>
      <c r="I119" s="2136"/>
    </row>
    <row r="120" spans="1:9" outlineLevel="1">
      <c r="C120" s="2116" t="s">
        <v>1583</v>
      </c>
      <c r="D120" s="2189"/>
      <c r="E120" s="2117"/>
    </row>
    <row r="121" spans="1:9" outlineLevel="1">
      <c r="C121" s="2116" t="s">
        <v>75</v>
      </c>
      <c r="D121" s="2190">
        <f>'Cost EST. GM target'!$J$37</f>
        <v>2.2499999999999999E-2</v>
      </c>
      <c r="E121" s="2117"/>
    </row>
    <row r="122" spans="1:9" outlineLevel="1">
      <c r="C122" s="2116" t="s">
        <v>1609</v>
      </c>
      <c r="D122" s="2859">
        <f ca="1">1-(D118+D120)/(D123-(D118+D120)*D121)</f>
        <v>0.45002378881461591</v>
      </c>
      <c r="E122" s="2117"/>
    </row>
    <row r="123" spans="1:9" outlineLevel="1">
      <c r="C123" s="2116" t="s">
        <v>462</v>
      </c>
      <c r="D123" s="2928">
        <f ca="1">D118/(1-D119)+D120+(D118+D120)*D121</f>
        <v>445.09587978240825</v>
      </c>
      <c r="E123" s="2118" t="str">
        <f>E118</f>
        <v>VND</v>
      </c>
      <c r="F123" s="2119" t="s">
        <v>792</v>
      </c>
    </row>
    <row r="124" spans="1:9" outlineLevel="1"/>
    <row r="125" spans="1:9" outlineLevel="1">
      <c r="A125" s="2132" t="s">
        <v>2029</v>
      </c>
      <c r="B125" s="2133"/>
      <c r="C125" s="2134"/>
      <c r="D125" s="2134"/>
      <c r="E125" s="2134"/>
      <c r="F125" s="2134"/>
      <c r="G125" s="2134"/>
      <c r="H125" s="2134"/>
      <c r="I125" s="2134" t="s">
        <v>2028</v>
      </c>
    </row>
    <row r="126" spans="1:9" outlineLevel="1">
      <c r="A126" s="2122" t="str">
        <f>'Data Extra cost'!A247</f>
        <v>Item name</v>
      </c>
      <c r="G126" s="2123">
        <f>'Data Extra cost'!G248</f>
        <v>0</v>
      </c>
      <c r="H126" s="2124" t="s">
        <v>524</v>
      </c>
      <c r="I126" s="189"/>
    </row>
    <row r="127" spans="1:9" outlineLevel="1">
      <c r="C127" s="314" t="s">
        <v>567</v>
      </c>
      <c r="D127" s="2125">
        <f>'Data Extra cost'!C257</f>
        <v>241.8</v>
      </c>
      <c r="E127" s="2110" t="s">
        <v>97</v>
      </c>
      <c r="F127" s="2126"/>
      <c r="G127" s="2135"/>
      <c r="H127" s="2135"/>
      <c r="I127" s="2136"/>
    </row>
    <row r="128" spans="1:9" outlineLevel="1">
      <c r="C128" s="2113"/>
      <c r="D128" s="2114">
        <f>D127/'Cost EST. GM target'!$L$4</f>
        <v>241.8</v>
      </c>
      <c r="E128" s="2115" t="str">
        <f>'Cost EST. GM target'!$M$4</f>
        <v>VND</v>
      </c>
      <c r="F128" s="2115" t="s">
        <v>792</v>
      </c>
      <c r="G128" s="2135"/>
      <c r="H128" s="2135"/>
      <c r="I128" s="2136"/>
    </row>
    <row r="129" spans="3:9" outlineLevel="1">
      <c r="C129" s="2116" t="s">
        <v>157</v>
      </c>
      <c r="D129" s="2188">
        <f ca="1">'Cost EST. GM target'!$J$73</f>
        <v>0.45002378881461591</v>
      </c>
      <c r="E129" s="2117"/>
      <c r="G129" s="2135"/>
      <c r="H129" s="2135"/>
      <c r="I129" s="2136"/>
    </row>
    <row r="130" spans="3:9" outlineLevel="1">
      <c r="C130" s="2116" t="s">
        <v>1583</v>
      </c>
      <c r="D130" s="2189"/>
      <c r="E130" s="2117"/>
    </row>
    <row r="131" spans="3:9" outlineLevel="1">
      <c r="C131" s="2116" t="s">
        <v>75</v>
      </c>
      <c r="D131" s="2190">
        <f>'Cost EST. GM target'!$J$37</f>
        <v>2.2499999999999999E-2</v>
      </c>
      <c r="E131" s="2117"/>
    </row>
    <row r="132" spans="3:9" outlineLevel="1">
      <c r="C132" s="2116" t="s">
        <v>1609</v>
      </c>
      <c r="D132" s="2859">
        <f ca="1">1-(D128+D130)/(D133-(D128+D130)*D131)</f>
        <v>0.45002378881461591</v>
      </c>
      <c r="E132" s="2117"/>
    </row>
    <row r="133" spans="3:9" outlineLevel="1">
      <c r="C133" s="2116" t="s">
        <v>462</v>
      </c>
      <c r="D133" s="2928">
        <f ca="1">D128/(1-D129)+D130+(D128+D130)*D131</f>
        <v>445.09587978240825</v>
      </c>
      <c r="E133" s="2118" t="str">
        <f>E128</f>
        <v>VND</v>
      </c>
      <c r="F133" s="2119" t="s">
        <v>792</v>
      </c>
    </row>
  </sheetData>
  <sheetProtection formatCells="0" formatColumns="0" formatRows="0"/>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4"/>
  <dimension ref="A1:AU326"/>
  <sheetViews>
    <sheetView showGridLines="0" topLeftCell="A286" zoomScale="85" zoomScaleNormal="85" workbookViewId="0">
      <selection activeCell="E249" sqref="E249"/>
    </sheetView>
  </sheetViews>
  <sheetFormatPr defaultColWidth="8.85546875" defaultRowHeight="12.75" outlineLevelRow="2"/>
  <cols>
    <col min="1" max="1" width="5" style="136" customWidth="1"/>
    <col min="2" max="2" width="9" style="136" bestFit="1" customWidth="1"/>
    <col min="3" max="3" width="13.85546875" style="136" bestFit="1" customWidth="1"/>
    <col min="4" max="4" width="9" style="136" bestFit="1" customWidth="1"/>
    <col min="5" max="5" width="11.7109375" style="136" bestFit="1" customWidth="1"/>
    <col min="6" max="6" width="16" style="136" bestFit="1" customWidth="1"/>
    <col min="7" max="7" width="19.42578125" style="136" bestFit="1" customWidth="1"/>
    <col min="8" max="8" width="27.42578125" style="136" customWidth="1"/>
    <col min="9" max="9" width="23.5703125" style="136" customWidth="1"/>
    <col min="10" max="10" width="21.28515625" style="136" customWidth="1"/>
    <col min="11" max="11" width="16.5703125" style="136" customWidth="1"/>
    <col min="12" max="12" width="10.5703125" style="136" bestFit="1" customWidth="1"/>
    <col min="13" max="14" width="8.85546875" style="136"/>
    <col min="15" max="15" width="9" style="136" bestFit="1" customWidth="1"/>
    <col min="16" max="45" width="8.85546875" style="136"/>
    <col min="46" max="47" width="8.85546875" style="315"/>
    <col min="48" max="16384" width="8.85546875" style="136"/>
  </cols>
  <sheetData>
    <row r="1" spans="2:47" ht="13.5" thickBot="1"/>
    <row r="2" spans="2:47">
      <c r="B2" s="333"/>
      <c r="C2" s="1724" t="s">
        <v>77</v>
      </c>
      <c r="D2" s="1725"/>
      <c r="E2" s="1726">
        <f>'Cost EST. GM target'!$L$6/(1+$G$3)</f>
        <v>5000</v>
      </c>
      <c r="F2" s="1725" t="s">
        <v>11</v>
      </c>
      <c r="G2" s="1725"/>
      <c r="H2" s="432"/>
      <c r="I2" s="791"/>
      <c r="J2" s="319"/>
      <c r="K2" s="791"/>
      <c r="L2" s="791"/>
      <c r="M2" s="319"/>
    </row>
    <row r="3" spans="2:47">
      <c r="B3" s="333"/>
      <c r="C3" s="882" t="s">
        <v>1342</v>
      </c>
      <c r="E3" s="883">
        <f>E2*(1+$G$3)</f>
        <v>5000</v>
      </c>
      <c r="F3" s="791" t="s">
        <v>11</v>
      </c>
      <c r="G3" s="797">
        <f>'Cost EST. GM target'!$N$6</f>
        <v>0</v>
      </c>
      <c r="H3" s="884" t="s">
        <v>1094</v>
      </c>
      <c r="I3" s="791"/>
      <c r="J3" s="319"/>
      <c r="K3" s="791"/>
      <c r="L3" s="791"/>
      <c r="M3" s="319"/>
    </row>
    <row r="4" spans="2:47" ht="13.5" thickBot="1">
      <c r="B4" s="320"/>
      <c r="C4" s="885" t="s">
        <v>1341</v>
      </c>
      <c r="D4" s="886"/>
      <c r="E4" s="887">
        <f>E3*(1+$G$4)</f>
        <v>5225</v>
      </c>
      <c r="F4" s="886" t="s">
        <v>11</v>
      </c>
      <c r="G4" s="888">
        <f>input!$D$4</f>
        <v>4.4999999999999998E-2</v>
      </c>
      <c r="H4" s="889" t="s">
        <v>78</v>
      </c>
      <c r="I4" s="3198" t="s">
        <v>3325</v>
      </c>
      <c r="J4" s="3199">
        <f>IF(input!$F$1=2023,5%,0%)*0</f>
        <v>0</v>
      </c>
      <c r="K4" s="791"/>
    </row>
    <row r="5" spans="2:47">
      <c r="B5" s="320"/>
      <c r="H5" s="136" t="s">
        <v>267</v>
      </c>
      <c r="I5" s="1266">
        <f>input!$D$5</f>
        <v>0</v>
      </c>
    </row>
    <row r="6" spans="2:47" ht="15">
      <c r="B6" s="798" t="s">
        <v>1604</v>
      </c>
      <c r="C6" s="798"/>
      <c r="D6" s="798"/>
      <c r="H6" s="801">
        <f>SUM(H8:H22)</f>
        <v>0</v>
      </c>
      <c r="I6" s="800">
        <f>SUM(I8:I22)*(1+$J$4)</f>
        <v>0</v>
      </c>
    </row>
    <row r="7" spans="2:47" s="319" customFormat="1" ht="15">
      <c r="B7" s="1503"/>
      <c r="C7" s="319" t="s">
        <v>701</v>
      </c>
      <c r="D7" s="333" t="s">
        <v>1636</v>
      </c>
      <c r="E7" s="333" t="s">
        <v>146</v>
      </c>
      <c r="F7" s="319" t="s">
        <v>130</v>
      </c>
      <c r="G7" s="319" t="s">
        <v>2063</v>
      </c>
      <c r="H7" s="319" t="s">
        <v>85</v>
      </c>
      <c r="I7" s="319" t="s">
        <v>1412</v>
      </c>
      <c r="J7" s="136"/>
      <c r="AT7" s="3598" t="s">
        <v>135</v>
      </c>
      <c r="AU7" s="3598"/>
    </row>
    <row r="8" spans="2:47" ht="15">
      <c r="B8" s="1504">
        <v>1</v>
      </c>
      <c r="C8" s="1505" t="s">
        <v>3730</v>
      </c>
      <c r="D8" s="1506">
        <v>0</v>
      </c>
      <c r="E8" s="1507"/>
      <c r="F8" s="1508"/>
      <c r="G8" s="2195">
        <f>'Cost EST. GM target'!H126</f>
        <v>0</v>
      </c>
      <c r="H8" s="1509">
        <f>L118*(1+$G8)</f>
        <v>0</v>
      </c>
      <c r="I8" s="1509">
        <f t="shared" ref="I8:I22" si="0">IF($E$2&gt;0,H8/$E$2,0)*(1+$I$5)</f>
        <v>0</v>
      </c>
      <c r="M8" s="1510"/>
      <c r="AT8" s="3598">
        <f>IF(ISNUMBER(I8),IF(I8&lt;&gt;0,IF(ISNUMBER(SEARCH("to",J8)),0,1),0),"")</f>
        <v>0</v>
      </c>
      <c r="AU8" s="315">
        <f>COUNTIFS(AT$7:$AT8,1)</f>
        <v>0</v>
      </c>
    </row>
    <row r="9" spans="2:47" ht="15" outlineLevel="1">
      <c r="B9" s="1504">
        <v>2</v>
      </c>
      <c r="C9" s="1505" t="s">
        <v>1698</v>
      </c>
      <c r="D9" s="1506">
        <v>0</v>
      </c>
      <c r="E9" s="1507"/>
      <c r="F9" s="1508"/>
      <c r="G9" s="2195">
        <f>'Cost EST. GM target'!H127</f>
        <v>0</v>
      </c>
      <c r="H9" s="1509">
        <f t="shared" ref="H9:H22" si="1">(F9*E9*($E$2)*(1+D9))*(1+$G9)</f>
        <v>0</v>
      </c>
      <c r="I9" s="1509">
        <f t="shared" si="0"/>
        <v>0</v>
      </c>
      <c r="M9" s="1510"/>
      <c r="AT9" s="3598">
        <f t="shared" ref="AT9:AT62" si="2">IF(ISNUMBER(I9),IF(I9&lt;&gt;0,IF(ISNUMBER(SEARCH("to",J9)),0,1),0),"")</f>
        <v>0</v>
      </c>
      <c r="AU9" s="315">
        <f>COUNTIFS(AT$7:$AT9,1)</f>
        <v>0</v>
      </c>
    </row>
    <row r="10" spans="2:47" ht="15" outlineLevel="1">
      <c r="B10" s="1504">
        <v>3</v>
      </c>
      <c r="C10" s="1505" t="s">
        <v>1699</v>
      </c>
      <c r="D10" s="1506">
        <v>0</v>
      </c>
      <c r="E10" s="1507"/>
      <c r="F10" s="1508"/>
      <c r="G10" s="2195">
        <f>'Cost EST. GM target'!H128</f>
        <v>0</v>
      </c>
      <c r="H10" s="1509">
        <f t="shared" si="1"/>
        <v>0</v>
      </c>
      <c r="I10" s="1509">
        <f t="shared" si="0"/>
        <v>0</v>
      </c>
      <c r="M10" s="1510"/>
      <c r="AT10" s="3598">
        <f t="shared" si="2"/>
        <v>0</v>
      </c>
      <c r="AU10" s="315">
        <f>COUNTIFS(AT$7:$AT10,1)</f>
        <v>0</v>
      </c>
    </row>
    <row r="11" spans="2:47" ht="15" outlineLevel="1">
      <c r="B11" s="1504">
        <v>4</v>
      </c>
      <c r="C11" s="1505" t="s">
        <v>1700</v>
      </c>
      <c r="D11" s="1506">
        <v>0</v>
      </c>
      <c r="E11" s="1507"/>
      <c r="F11" s="1508"/>
      <c r="G11" s="2195">
        <f>'Cost EST. GM target'!H129</f>
        <v>0</v>
      </c>
      <c r="H11" s="1509">
        <f t="shared" si="1"/>
        <v>0</v>
      </c>
      <c r="I11" s="1509">
        <f t="shared" si="0"/>
        <v>0</v>
      </c>
      <c r="M11" s="1510"/>
      <c r="AT11" s="3598">
        <f t="shared" si="2"/>
        <v>0</v>
      </c>
      <c r="AU11" s="315">
        <f>COUNTIFS(AT$7:$AT11,1)</f>
        <v>0</v>
      </c>
    </row>
    <row r="12" spans="2:47" ht="15" outlineLevel="1">
      <c r="B12" s="1504">
        <v>5</v>
      </c>
      <c r="C12" s="1505" t="s">
        <v>1701</v>
      </c>
      <c r="D12" s="1506">
        <v>0</v>
      </c>
      <c r="E12" s="1507"/>
      <c r="F12" s="1508"/>
      <c r="G12" s="2195">
        <f>'Cost EST. GM target'!H130</f>
        <v>0</v>
      </c>
      <c r="H12" s="1509">
        <f t="shared" si="1"/>
        <v>0</v>
      </c>
      <c r="I12" s="1509">
        <f t="shared" si="0"/>
        <v>0</v>
      </c>
      <c r="M12" s="1510"/>
      <c r="AT12" s="3598">
        <f t="shared" si="2"/>
        <v>0</v>
      </c>
      <c r="AU12" s="315">
        <f>COUNTIFS(AT$7:$AT12,1)</f>
        <v>0</v>
      </c>
    </row>
    <row r="13" spans="2:47" ht="15" outlineLevel="1">
      <c r="B13" s="1504">
        <v>6</v>
      </c>
      <c r="C13" s="1505" t="s">
        <v>1702</v>
      </c>
      <c r="D13" s="1506">
        <v>0</v>
      </c>
      <c r="E13" s="1507"/>
      <c r="F13" s="1508"/>
      <c r="G13" s="2195">
        <f>'Cost EST. GM target'!H131</f>
        <v>0</v>
      </c>
      <c r="H13" s="1509">
        <f t="shared" si="1"/>
        <v>0</v>
      </c>
      <c r="I13" s="1509">
        <f t="shared" si="0"/>
        <v>0</v>
      </c>
      <c r="M13" s="1510"/>
      <c r="AT13" s="3598">
        <f t="shared" si="2"/>
        <v>0</v>
      </c>
      <c r="AU13" s="315">
        <f>COUNTIFS(AT$7:$AT13,1)</f>
        <v>0</v>
      </c>
    </row>
    <row r="14" spans="2:47" ht="15" outlineLevel="1">
      <c r="B14" s="1504">
        <v>7</v>
      </c>
      <c r="C14" s="1505" t="s">
        <v>1703</v>
      </c>
      <c r="D14" s="1506">
        <v>0</v>
      </c>
      <c r="E14" s="1507"/>
      <c r="F14" s="1508"/>
      <c r="G14" s="2195">
        <f>'Cost EST. GM target'!H132</f>
        <v>0</v>
      </c>
      <c r="H14" s="1509">
        <f t="shared" si="1"/>
        <v>0</v>
      </c>
      <c r="I14" s="1509">
        <f t="shared" si="0"/>
        <v>0</v>
      </c>
      <c r="M14" s="1510"/>
      <c r="AT14" s="3598">
        <f t="shared" si="2"/>
        <v>0</v>
      </c>
      <c r="AU14" s="315">
        <f>COUNTIFS(AT$7:$AT14,1)</f>
        <v>0</v>
      </c>
    </row>
    <row r="15" spans="2:47" ht="15" outlineLevel="1">
      <c r="B15" s="1504">
        <v>8</v>
      </c>
      <c r="C15" s="1505" t="s">
        <v>1704</v>
      </c>
      <c r="D15" s="1506">
        <v>0</v>
      </c>
      <c r="E15" s="1507"/>
      <c r="F15" s="1508"/>
      <c r="G15" s="2195">
        <f>'Cost EST. GM target'!H133</f>
        <v>0</v>
      </c>
      <c r="H15" s="1509">
        <f t="shared" si="1"/>
        <v>0</v>
      </c>
      <c r="I15" s="1509">
        <f t="shared" si="0"/>
        <v>0</v>
      </c>
      <c r="M15" s="1510"/>
      <c r="AT15" s="3598">
        <f t="shared" si="2"/>
        <v>0</v>
      </c>
      <c r="AU15" s="315">
        <f>COUNTIFS(AT$7:$AT15,1)</f>
        <v>0</v>
      </c>
    </row>
    <row r="16" spans="2:47" ht="15" outlineLevel="1">
      <c r="B16" s="1504">
        <v>9</v>
      </c>
      <c r="C16" s="1505" t="s">
        <v>1705</v>
      </c>
      <c r="D16" s="1506">
        <v>0</v>
      </c>
      <c r="E16" s="1507"/>
      <c r="F16" s="1508"/>
      <c r="G16" s="2195">
        <f>'Cost EST. GM target'!H134</f>
        <v>0</v>
      </c>
      <c r="H16" s="1509">
        <f t="shared" si="1"/>
        <v>0</v>
      </c>
      <c r="I16" s="1509">
        <f t="shared" si="0"/>
        <v>0</v>
      </c>
      <c r="M16" s="1510"/>
      <c r="AT16" s="3598">
        <f t="shared" si="2"/>
        <v>0</v>
      </c>
      <c r="AU16" s="315">
        <f>COUNTIFS(AT$7:$AT16,1)</f>
        <v>0</v>
      </c>
    </row>
    <row r="17" spans="2:47" ht="15" outlineLevel="1">
      <c r="B17" s="1504">
        <v>10</v>
      </c>
      <c r="C17" s="1505" t="s">
        <v>1706</v>
      </c>
      <c r="D17" s="1506">
        <v>0</v>
      </c>
      <c r="E17" s="1507"/>
      <c r="F17" s="1508"/>
      <c r="G17" s="2195">
        <f>'Cost EST. GM target'!H135</f>
        <v>0</v>
      </c>
      <c r="H17" s="1509">
        <f t="shared" si="1"/>
        <v>0</v>
      </c>
      <c r="I17" s="1509">
        <f t="shared" si="0"/>
        <v>0</v>
      </c>
      <c r="M17" s="1510"/>
      <c r="AT17" s="3598">
        <f t="shared" si="2"/>
        <v>0</v>
      </c>
      <c r="AU17" s="315">
        <f>COUNTIFS(AT$7:$AT17,1)</f>
        <v>0</v>
      </c>
    </row>
    <row r="18" spans="2:47" ht="15" outlineLevel="1">
      <c r="B18" s="1504">
        <v>11</v>
      </c>
      <c r="C18" s="1505" t="s">
        <v>1707</v>
      </c>
      <c r="D18" s="1506">
        <v>0</v>
      </c>
      <c r="E18" s="1507"/>
      <c r="F18" s="1508"/>
      <c r="G18" s="2195">
        <f>'Cost EST. GM target'!H136</f>
        <v>0</v>
      </c>
      <c r="H18" s="1509">
        <f t="shared" si="1"/>
        <v>0</v>
      </c>
      <c r="I18" s="1509">
        <f t="shared" si="0"/>
        <v>0</v>
      </c>
      <c r="M18" s="1510"/>
      <c r="AT18" s="3598">
        <f t="shared" si="2"/>
        <v>0</v>
      </c>
      <c r="AU18" s="315">
        <f>COUNTIFS(AT$7:$AT18,1)</f>
        <v>0</v>
      </c>
    </row>
    <row r="19" spans="2:47" ht="15" outlineLevel="1">
      <c r="B19" s="1504">
        <v>12</v>
      </c>
      <c r="C19" s="1505" t="s">
        <v>1708</v>
      </c>
      <c r="D19" s="1506">
        <v>0</v>
      </c>
      <c r="E19" s="1507"/>
      <c r="F19" s="1508"/>
      <c r="G19" s="2195">
        <f>'Cost EST. GM target'!H137</f>
        <v>0</v>
      </c>
      <c r="H19" s="1509">
        <f t="shared" si="1"/>
        <v>0</v>
      </c>
      <c r="I19" s="1509">
        <f t="shared" si="0"/>
        <v>0</v>
      </c>
      <c r="M19" s="1510"/>
      <c r="AT19" s="3598">
        <f t="shared" si="2"/>
        <v>0</v>
      </c>
      <c r="AU19" s="315">
        <f>COUNTIFS(AT$7:$AT19,1)</f>
        <v>0</v>
      </c>
    </row>
    <row r="20" spans="2:47" ht="15" outlineLevel="1">
      <c r="B20" s="1504">
        <v>13</v>
      </c>
      <c r="C20" s="1505" t="s">
        <v>1709</v>
      </c>
      <c r="D20" s="1506">
        <v>0</v>
      </c>
      <c r="E20" s="1507"/>
      <c r="F20" s="1508"/>
      <c r="G20" s="2195">
        <f>'Cost EST. GM target'!H138</f>
        <v>0</v>
      </c>
      <c r="H20" s="1509">
        <f t="shared" si="1"/>
        <v>0</v>
      </c>
      <c r="I20" s="1509">
        <f t="shared" si="0"/>
        <v>0</v>
      </c>
      <c r="M20" s="1510"/>
      <c r="AT20" s="3598">
        <f t="shared" si="2"/>
        <v>0</v>
      </c>
      <c r="AU20" s="315">
        <f>COUNTIFS(AT$7:$AT20,1)</f>
        <v>0</v>
      </c>
    </row>
    <row r="21" spans="2:47" ht="15" outlineLevel="1">
      <c r="B21" s="1504">
        <v>14</v>
      </c>
      <c r="C21" s="1505" t="s">
        <v>1710</v>
      </c>
      <c r="D21" s="1506">
        <v>0</v>
      </c>
      <c r="E21" s="1507"/>
      <c r="F21" s="1508"/>
      <c r="G21" s="2195">
        <f>'Cost EST. GM target'!H139</f>
        <v>0</v>
      </c>
      <c r="H21" s="1509">
        <f t="shared" si="1"/>
        <v>0</v>
      </c>
      <c r="I21" s="1509">
        <f t="shared" si="0"/>
        <v>0</v>
      </c>
      <c r="M21" s="1510"/>
      <c r="AT21" s="3598">
        <f t="shared" si="2"/>
        <v>0</v>
      </c>
      <c r="AU21" s="315">
        <f>COUNTIFS(AT$7:$AT21,1)</f>
        <v>0</v>
      </c>
    </row>
    <row r="22" spans="2:47" ht="15" outlineLevel="1">
      <c r="B22" s="1504">
        <v>15</v>
      </c>
      <c r="C22" s="1505" t="s">
        <v>1711</v>
      </c>
      <c r="D22" s="1506">
        <v>0</v>
      </c>
      <c r="E22" s="1507"/>
      <c r="F22" s="1508"/>
      <c r="G22" s="2195">
        <f>'Cost EST. GM target'!H140</f>
        <v>0</v>
      </c>
      <c r="H22" s="1509">
        <f t="shared" si="1"/>
        <v>0</v>
      </c>
      <c r="I22" s="1509">
        <f t="shared" si="0"/>
        <v>0</v>
      </c>
      <c r="M22" s="1510"/>
      <c r="AT22" s="3598">
        <f t="shared" si="2"/>
        <v>0</v>
      </c>
      <c r="AU22" s="315">
        <f>COUNTIFS(AT$7:$AT22,1)</f>
        <v>0</v>
      </c>
    </row>
    <row r="23" spans="2:47" ht="15" outlineLevel="1">
      <c r="AT23" s="3598" t="str">
        <f t="shared" si="2"/>
        <v/>
      </c>
      <c r="AU23" s="315">
        <f>COUNTIFS(AT$7:$AT23,1)</f>
        <v>0</v>
      </c>
    </row>
    <row r="24" spans="2:47" ht="15" outlineLevel="1">
      <c r="AT24" s="3598" t="str">
        <f t="shared" si="2"/>
        <v/>
      </c>
      <c r="AU24" s="315">
        <f>COUNTIFS(AT$7:$AT24,1)</f>
        <v>0</v>
      </c>
    </row>
    <row r="25" spans="2:47" ht="17.25" outlineLevel="1">
      <c r="B25" s="798" t="s">
        <v>1606</v>
      </c>
      <c r="C25" s="798"/>
      <c r="D25" s="798"/>
      <c r="H25" s="801">
        <f>SUM(H27:H41)</f>
        <v>0</v>
      </c>
      <c r="I25" s="800">
        <f>SUM(I27:I41)</f>
        <v>0</v>
      </c>
      <c r="AT25" s="3598">
        <f t="shared" si="2"/>
        <v>0</v>
      </c>
      <c r="AU25" s="315">
        <f>COUNTIFS(AT$7:$AT25,1)</f>
        <v>0</v>
      </c>
    </row>
    <row r="26" spans="2:47" ht="15" outlineLevel="1">
      <c r="B26" s="1503"/>
      <c r="C26" s="319" t="s">
        <v>701</v>
      </c>
      <c r="D26" s="333" t="s">
        <v>1636</v>
      </c>
      <c r="E26" s="333" t="s">
        <v>146</v>
      </c>
      <c r="F26" s="319" t="s">
        <v>130</v>
      </c>
      <c r="G26" s="319" t="s">
        <v>2063</v>
      </c>
      <c r="H26" s="319" t="s">
        <v>85</v>
      </c>
      <c r="I26" s="319" t="s">
        <v>1412</v>
      </c>
      <c r="AT26" s="3598" t="str">
        <f t="shared" si="2"/>
        <v/>
      </c>
      <c r="AU26" s="315">
        <f>COUNTIFS(AT$7:$AT26,1)</f>
        <v>0</v>
      </c>
    </row>
    <row r="27" spans="2:47" ht="15" outlineLevel="1">
      <c r="B27" s="1504">
        <v>1</v>
      </c>
      <c r="C27" s="1505"/>
      <c r="D27" s="1506">
        <v>0</v>
      </c>
      <c r="E27" s="1507"/>
      <c r="F27" s="1508"/>
      <c r="G27" s="2194">
        <v>0</v>
      </c>
      <c r="H27" s="1509">
        <f>(F27*E27*($E$2)*(1+D27))*(1+$G27)</f>
        <v>0</v>
      </c>
      <c r="I27" s="1509">
        <f t="shared" ref="I27:I41" si="3">IF($E$2&gt;0,H27/$E$2,0)*(1+$I$5)</f>
        <v>0</v>
      </c>
      <c r="AT27" s="3598">
        <f t="shared" si="2"/>
        <v>0</v>
      </c>
      <c r="AU27" s="315">
        <f>COUNTIFS(AT$7:$AT27,1)</f>
        <v>0</v>
      </c>
    </row>
    <row r="28" spans="2:47" ht="15" outlineLevel="1">
      <c r="B28" s="1504">
        <v>2</v>
      </c>
      <c r="C28" s="1505"/>
      <c r="D28" s="1506">
        <v>0</v>
      </c>
      <c r="E28" s="1507"/>
      <c r="F28" s="1508"/>
      <c r="G28" s="2194">
        <v>0</v>
      </c>
      <c r="H28" s="1509">
        <f t="shared" ref="H28:H41" si="4">(F28*E28*($E$2)*(1+D28))*(1+$G28)</f>
        <v>0</v>
      </c>
      <c r="I28" s="1509">
        <f t="shared" si="3"/>
        <v>0</v>
      </c>
      <c r="AT28" s="3598">
        <f t="shared" si="2"/>
        <v>0</v>
      </c>
      <c r="AU28" s="315">
        <f>COUNTIFS(AT$7:$AT28,1)</f>
        <v>0</v>
      </c>
    </row>
    <row r="29" spans="2:47" ht="15" outlineLevel="1">
      <c r="B29" s="1504">
        <v>3</v>
      </c>
      <c r="C29" s="1505"/>
      <c r="D29" s="1506">
        <v>0</v>
      </c>
      <c r="E29" s="1507"/>
      <c r="F29" s="1508"/>
      <c r="G29" s="2194">
        <v>0</v>
      </c>
      <c r="H29" s="1509">
        <f t="shared" si="4"/>
        <v>0</v>
      </c>
      <c r="I29" s="1509">
        <f t="shared" si="3"/>
        <v>0</v>
      </c>
      <c r="AT29" s="3598">
        <f t="shared" si="2"/>
        <v>0</v>
      </c>
      <c r="AU29" s="315">
        <f>COUNTIFS(AT$7:$AT29,1)</f>
        <v>0</v>
      </c>
    </row>
    <row r="30" spans="2:47" ht="15" outlineLevel="1">
      <c r="B30" s="1504">
        <v>4</v>
      </c>
      <c r="C30" s="1505"/>
      <c r="D30" s="1506">
        <v>0</v>
      </c>
      <c r="E30" s="1507"/>
      <c r="F30" s="1508"/>
      <c r="G30" s="2194">
        <v>0</v>
      </c>
      <c r="H30" s="1509">
        <f t="shared" si="4"/>
        <v>0</v>
      </c>
      <c r="I30" s="1509">
        <f t="shared" si="3"/>
        <v>0</v>
      </c>
      <c r="AT30" s="3598">
        <f t="shared" si="2"/>
        <v>0</v>
      </c>
      <c r="AU30" s="315">
        <f>COUNTIFS(AT$7:$AT30,1)</f>
        <v>0</v>
      </c>
    </row>
    <row r="31" spans="2:47" ht="15" outlineLevel="1">
      <c r="B31" s="1504">
        <v>5</v>
      </c>
      <c r="C31" s="1505"/>
      <c r="D31" s="1506">
        <v>0</v>
      </c>
      <c r="E31" s="1507"/>
      <c r="F31" s="1508"/>
      <c r="G31" s="2194">
        <v>0</v>
      </c>
      <c r="H31" s="1509">
        <f t="shared" si="4"/>
        <v>0</v>
      </c>
      <c r="I31" s="1509">
        <f t="shared" si="3"/>
        <v>0</v>
      </c>
      <c r="AT31" s="3598">
        <f t="shared" si="2"/>
        <v>0</v>
      </c>
      <c r="AU31" s="315">
        <f>COUNTIFS(AT$7:$AT31,1)</f>
        <v>0</v>
      </c>
    </row>
    <row r="32" spans="2:47" ht="15" outlineLevel="1">
      <c r="B32" s="1504">
        <v>6</v>
      </c>
      <c r="C32" s="1505"/>
      <c r="D32" s="1506">
        <v>0</v>
      </c>
      <c r="E32" s="1507"/>
      <c r="F32" s="1508"/>
      <c r="G32" s="2194">
        <v>0</v>
      </c>
      <c r="H32" s="1509">
        <f t="shared" si="4"/>
        <v>0</v>
      </c>
      <c r="I32" s="1509">
        <f t="shared" si="3"/>
        <v>0</v>
      </c>
      <c r="AT32" s="3598">
        <f t="shared" si="2"/>
        <v>0</v>
      </c>
      <c r="AU32" s="315">
        <f>COUNTIFS(AT$7:$AT32,1)</f>
        <v>0</v>
      </c>
    </row>
    <row r="33" spans="2:47" ht="15" outlineLevel="1">
      <c r="B33" s="1504">
        <v>7</v>
      </c>
      <c r="C33" s="1505"/>
      <c r="D33" s="1506">
        <v>0</v>
      </c>
      <c r="E33" s="1507"/>
      <c r="F33" s="1508"/>
      <c r="G33" s="2194">
        <v>0</v>
      </c>
      <c r="H33" s="1509">
        <f t="shared" si="4"/>
        <v>0</v>
      </c>
      <c r="I33" s="1509">
        <f t="shared" si="3"/>
        <v>0</v>
      </c>
      <c r="AT33" s="3598">
        <f t="shared" si="2"/>
        <v>0</v>
      </c>
      <c r="AU33" s="315">
        <f>COUNTIFS(AT$7:$AT33,1)</f>
        <v>0</v>
      </c>
    </row>
    <row r="34" spans="2:47" ht="15" outlineLevel="1">
      <c r="B34" s="1504">
        <v>8</v>
      </c>
      <c r="C34" s="1505"/>
      <c r="D34" s="1506">
        <v>0</v>
      </c>
      <c r="E34" s="1507"/>
      <c r="F34" s="1508"/>
      <c r="G34" s="2194">
        <v>0</v>
      </c>
      <c r="H34" s="1509">
        <f t="shared" si="4"/>
        <v>0</v>
      </c>
      <c r="I34" s="1509">
        <f t="shared" si="3"/>
        <v>0</v>
      </c>
      <c r="AT34" s="3598">
        <f t="shared" si="2"/>
        <v>0</v>
      </c>
      <c r="AU34" s="315">
        <f>COUNTIFS(AT$7:$AT34,1)</f>
        <v>0</v>
      </c>
    </row>
    <row r="35" spans="2:47" ht="15" outlineLevel="1">
      <c r="B35" s="1504">
        <v>9</v>
      </c>
      <c r="C35" s="1505"/>
      <c r="D35" s="1506">
        <v>0</v>
      </c>
      <c r="E35" s="1507"/>
      <c r="F35" s="1508"/>
      <c r="G35" s="2194">
        <v>0</v>
      </c>
      <c r="H35" s="1509">
        <f t="shared" si="4"/>
        <v>0</v>
      </c>
      <c r="I35" s="1509">
        <f t="shared" si="3"/>
        <v>0</v>
      </c>
      <c r="AT35" s="3598">
        <f t="shared" si="2"/>
        <v>0</v>
      </c>
      <c r="AU35" s="315">
        <f>COUNTIFS(AT$7:$AT35,1)</f>
        <v>0</v>
      </c>
    </row>
    <row r="36" spans="2:47" ht="15" outlineLevel="1">
      <c r="B36" s="1504">
        <v>10</v>
      </c>
      <c r="C36" s="1505"/>
      <c r="D36" s="1506">
        <v>0</v>
      </c>
      <c r="E36" s="1507"/>
      <c r="F36" s="1508"/>
      <c r="G36" s="2194">
        <v>0</v>
      </c>
      <c r="H36" s="1509">
        <f t="shared" si="4"/>
        <v>0</v>
      </c>
      <c r="I36" s="1509">
        <f t="shared" si="3"/>
        <v>0</v>
      </c>
      <c r="AT36" s="3598">
        <f t="shared" si="2"/>
        <v>0</v>
      </c>
      <c r="AU36" s="315">
        <f>COUNTIFS(AT$7:$AT36,1)</f>
        <v>0</v>
      </c>
    </row>
    <row r="37" spans="2:47" ht="15" outlineLevel="1">
      <c r="B37" s="1504">
        <v>11</v>
      </c>
      <c r="C37" s="1505"/>
      <c r="D37" s="1506">
        <v>0</v>
      </c>
      <c r="E37" s="1507"/>
      <c r="F37" s="1508"/>
      <c r="G37" s="2194">
        <v>0</v>
      </c>
      <c r="H37" s="1509">
        <f t="shared" si="4"/>
        <v>0</v>
      </c>
      <c r="I37" s="1509">
        <f t="shared" si="3"/>
        <v>0</v>
      </c>
      <c r="AT37" s="3598">
        <f t="shared" si="2"/>
        <v>0</v>
      </c>
      <c r="AU37" s="315">
        <f>COUNTIFS(AT$7:$AT37,1)</f>
        <v>0</v>
      </c>
    </row>
    <row r="38" spans="2:47" ht="15" outlineLevel="1">
      <c r="B38" s="1504">
        <v>12</v>
      </c>
      <c r="C38" s="1505"/>
      <c r="D38" s="1506">
        <v>0</v>
      </c>
      <c r="E38" s="1507"/>
      <c r="F38" s="1508"/>
      <c r="G38" s="2194">
        <v>0</v>
      </c>
      <c r="H38" s="1509">
        <f t="shared" si="4"/>
        <v>0</v>
      </c>
      <c r="I38" s="1509">
        <f t="shared" si="3"/>
        <v>0</v>
      </c>
      <c r="AT38" s="3598">
        <f t="shared" si="2"/>
        <v>0</v>
      </c>
      <c r="AU38" s="315">
        <f>COUNTIFS(AT$7:$AT38,1)</f>
        <v>0</v>
      </c>
    </row>
    <row r="39" spans="2:47" ht="15" outlineLevel="1">
      <c r="B39" s="1504">
        <v>13</v>
      </c>
      <c r="C39" s="1505"/>
      <c r="D39" s="1506">
        <v>0</v>
      </c>
      <c r="E39" s="1507"/>
      <c r="F39" s="1508"/>
      <c r="G39" s="2194">
        <v>0</v>
      </c>
      <c r="H39" s="1509">
        <f t="shared" si="4"/>
        <v>0</v>
      </c>
      <c r="I39" s="1509">
        <f t="shared" si="3"/>
        <v>0</v>
      </c>
      <c r="AT39" s="3598">
        <f t="shared" si="2"/>
        <v>0</v>
      </c>
      <c r="AU39" s="315">
        <f>COUNTIFS(AT$7:$AT39,1)</f>
        <v>0</v>
      </c>
    </row>
    <row r="40" spans="2:47" ht="15" outlineLevel="1">
      <c r="B40" s="1504">
        <v>14</v>
      </c>
      <c r="C40" s="1505"/>
      <c r="D40" s="1506">
        <v>0</v>
      </c>
      <c r="E40" s="1507"/>
      <c r="F40" s="1508"/>
      <c r="G40" s="2194">
        <v>0</v>
      </c>
      <c r="H40" s="1509">
        <f t="shared" si="4"/>
        <v>0</v>
      </c>
      <c r="I40" s="1509">
        <f t="shared" si="3"/>
        <v>0</v>
      </c>
      <c r="AT40" s="3598">
        <f t="shared" si="2"/>
        <v>0</v>
      </c>
      <c r="AU40" s="315">
        <f>COUNTIFS(AT$7:$AT40,1)</f>
        <v>0</v>
      </c>
    </row>
    <row r="41" spans="2:47" ht="15" outlineLevel="1">
      <c r="B41" s="1504">
        <v>15</v>
      </c>
      <c r="C41" s="1505"/>
      <c r="D41" s="1506">
        <v>0</v>
      </c>
      <c r="E41" s="1507"/>
      <c r="F41" s="1508"/>
      <c r="G41" s="2194">
        <v>0</v>
      </c>
      <c r="H41" s="1509">
        <f t="shared" si="4"/>
        <v>0</v>
      </c>
      <c r="I41" s="1509">
        <f t="shared" si="3"/>
        <v>0</v>
      </c>
      <c r="AT41" s="3598">
        <f t="shared" si="2"/>
        <v>0</v>
      </c>
      <c r="AU41" s="315">
        <f>COUNTIFS(AT$7:$AT41,1)</f>
        <v>0</v>
      </c>
    </row>
    <row r="42" spans="2:47" ht="15" outlineLevel="1">
      <c r="AT42" s="3598" t="str">
        <f t="shared" si="2"/>
        <v/>
      </c>
      <c r="AU42" s="315">
        <f>COUNTIFS(AT$7:$AT42,1)</f>
        <v>0</v>
      </c>
    </row>
    <row r="43" spans="2:47" ht="15" outlineLevel="1">
      <c r="AT43" s="3598" t="str">
        <f t="shared" si="2"/>
        <v/>
      </c>
      <c r="AU43" s="315">
        <f>COUNTIFS(AT$7:$AT43,1)</f>
        <v>0</v>
      </c>
    </row>
    <row r="44" spans="2:47" ht="15" outlineLevel="1">
      <c r="AT44" s="3598" t="str">
        <f t="shared" si="2"/>
        <v/>
      </c>
      <c r="AU44" s="315">
        <f>COUNTIFS(AT$7:$AT44,1)</f>
        <v>0</v>
      </c>
    </row>
    <row r="45" spans="2:47" ht="15" outlineLevel="1">
      <c r="AT45" s="3598" t="str">
        <f t="shared" si="2"/>
        <v/>
      </c>
      <c r="AU45" s="315">
        <f>COUNTIFS(AT$7:$AT45,1)</f>
        <v>0</v>
      </c>
    </row>
    <row r="46" spans="2:47" ht="15" outlineLevel="1">
      <c r="AT46" s="3598" t="str">
        <f t="shared" si="2"/>
        <v/>
      </c>
      <c r="AU46" s="315">
        <f>COUNTIFS(AT$7:$AT46,1)</f>
        <v>0</v>
      </c>
    </row>
    <row r="47" spans="2:47" ht="15" outlineLevel="1">
      <c r="AT47" s="3598" t="str">
        <f t="shared" si="2"/>
        <v/>
      </c>
      <c r="AU47" s="315">
        <f>COUNTIFS(AT$7:$AT47,1)</f>
        <v>0</v>
      </c>
    </row>
    <row r="48" spans="2:47" ht="17.25" outlineLevel="1">
      <c r="B48" s="1501" t="s">
        <v>1608</v>
      </c>
      <c r="C48" s="1501" t="s">
        <v>1417</v>
      </c>
      <c r="D48" s="1501"/>
      <c r="E48" s="1501"/>
      <c r="F48" s="1501"/>
      <c r="G48" s="1501"/>
      <c r="H48" s="1501">
        <f>SUM(H52:H62)</f>
        <v>0</v>
      </c>
      <c r="I48" s="1502">
        <f>SUM(I52:I62)</f>
        <v>0</v>
      </c>
      <c r="AT48" s="3598">
        <f t="shared" si="2"/>
        <v>0</v>
      </c>
      <c r="AU48" s="315">
        <f>COUNTIFS(AT$7:$AT48,1)</f>
        <v>0</v>
      </c>
    </row>
    <row r="49" spans="2:47" ht="15" outlineLevel="1">
      <c r="B49" s="319"/>
      <c r="C49" s="319"/>
      <c r="D49" s="322"/>
      <c r="E49" s="319"/>
      <c r="F49" s="319"/>
      <c r="H49" s="319"/>
      <c r="I49" s="319"/>
      <c r="J49" s="319"/>
      <c r="AT49" s="3598" t="str">
        <f t="shared" si="2"/>
        <v/>
      </c>
      <c r="AU49" s="315">
        <f>COUNTIFS(AT$7:$AT49,1)</f>
        <v>0</v>
      </c>
    </row>
    <row r="50" spans="2:47" ht="15" outlineLevel="1">
      <c r="B50" s="412" t="s">
        <v>268</v>
      </c>
      <c r="C50" s="1053" t="str">
        <f>input!B1247</f>
        <v>N</v>
      </c>
      <c r="D50" s="1053">
        <f>input!C1247*'Cost EST. GM target'!$N$5</f>
        <v>0</v>
      </c>
      <c r="E50" s="1542">
        <f>IF(C50="Y",CEILING(weight!$G$46*$D$50*1.1,0.5),0)</f>
        <v>0</v>
      </c>
      <c r="F50" s="1543" t="str">
        <f>input!E1247</f>
        <v>A</v>
      </c>
      <c r="H50" s="319"/>
      <c r="I50" s="319"/>
      <c r="J50" s="319"/>
      <c r="AT50" s="3598" t="str">
        <f t="shared" si="2"/>
        <v/>
      </c>
      <c r="AU50" s="315">
        <f>COUNTIFS(AT$7:$AT50,1)</f>
        <v>0</v>
      </c>
    </row>
    <row r="51" spans="2:47" ht="15" outlineLevel="1">
      <c r="B51" s="314"/>
      <c r="E51" s="324"/>
      <c r="F51" s="324"/>
      <c r="H51" s="324"/>
      <c r="I51" s="324"/>
      <c r="AT51" s="3598" t="str">
        <f t="shared" si="2"/>
        <v/>
      </c>
      <c r="AU51" s="315">
        <f>COUNTIFS(AT$7:$AT51,1)</f>
        <v>0</v>
      </c>
    </row>
    <row r="52" spans="2:47" ht="15" outlineLevel="1">
      <c r="B52" s="412" t="s">
        <v>269</v>
      </c>
      <c r="C52" s="1053" t="s">
        <v>2383</v>
      </c>
      <c r="D52" s="2491">
        <f>MIN(E50,20.5)</f>
        <v>0</v>
      </c>
      <c r="E52" s="1544" t="s">
        <v>105</v>
      </c>
      <c r="F52" s="1544"/>
      <c r="G52" s="1544"/>
      <c r="H52" s="1544">
        <f>IFERROR(INDEX('Courier charge (Fedex)'!$B$5:$X$48,MATCH($D$52,'Courier charge (Fedex)'!$B$5:$B$48,0),MATCH($F$50,'Courier charge (Fedex)'!$B$6:$X$6,0)),0)</f>
        <v>0</v>
      </c>
      <c r="I52" s="1545">
        <f t="shared" ref="I52:I58" si="5">IF($E$2&gt;0,H52/$E$2,0)</f>
        <v>0</v>
      </c>
      <c r="AT52" s="3598">
        <f t="shared" si="2"/>
        <v>0</v>
      </c>
      <c r="AU52" s="315">
        <f>COUNTIFS(AT$7:$AT52,1)</f>
        <v>0</v>
      </c>
    </row>
    <row r="53" spans="2:47" ht="15" outlineLevel="1">
      <c r="B53" s="314"/>
      <c r="C53" s="1053" t="s">
        <v>2384</v>
      </c>
      <c r="D53" s="2494">
        <f>MIN(IF($E$50&gt;20.5,$E$50-20.5,0),44-20.5)</f>
        <v>0</v>
      </c>
      <c r="E53" s="1544" t="s">
        <v>105</v>
      </c>
      <c r="F53" s="1544"/>
      <c r="G53" s="1544"/>
      <c r="H53" s="1544">
        <f>HLOOKUP($F$50,'Courier charge (Fedex)'!$B$51:$X$59,2,0)*$D53</f>
        <v>0</v>
      </c>
      <c r="I53" s="1545">
        <f t="shared" si="5"/>
        <v>0</v>
      </c>
      <c r="AT53" s="3598">
        <f t="shared" si="2"/>
        <v>0</v>
      </c>
      <c r="AU53" s="315">
        <f>COUNTIFS(AT$7:$AT53,1)</f>
        <v>0</v>
      </c>
    </row>
    <row r="54" spans="2:47" ht="15" outlineLevel="1">
      <c r="B54" s="314"/>
      <c r="C54" s="1053" t="s">
        <v>2385</v>
      </c>
      <c r="D54" s="2494">
        <f>MIN(IF($E$50&gt;44,$E$50-44,0),70-44)</f>
        <v>0</v>
      </c>
      <c r="E54" s="1544" t="s">
        <v>105</v>
      </c>
      <c r="F54" s="1544"/>
      <c r="G54" s="1544"/>
      <c r="H54" s="1544">
        <f>HLOOKUP($F$50,'Courier charge (Fedex)'!$B$51:$X$59,3,0)*$D54</f>
        <v>0</v>
      </c>
      <c r="I54" s="1545">
        <f t="shared" si="5"/>
        <v>0</v>
      </c>
      <c r="AT54" s="3598">
        <f t="shared" si="2"/>
        <v>0</v>
      </c>
      <c r="AU54" s="315">
        <f>COUNTIFS(AT$7:$AT54,1)</f>
        <v>0</v>
      </c>
    </row>
    <row r="55" spans="2:47" ht="15" outlineLevel="1">
      <c r="B55" s="314"/>
      <c r="C55" s="1053" t="s">
        <v>2386</v>
      </c>
      <c r="D55" s="2494">
        <f>MIN(IF($E$50&gt;70,$E$50-70,0),99-70)</f>
        <v>0</v>
      </c>
      <c r="E55" s="1544" t="s">
        <v>105</v>
      </c>
      <c r="F55" s="1544"/>
      <c r="G55" s="1544"/>
      <c r="H55" s="1544">
        <f>HLOOKUP($F$50,'Courier charge (Fedex)'!$B$51:$X$59,4,0)*$D55</f>
        <v>0</v>
      </c>
      <c r="I55" s="1545">
        <f t="shared" si="5"/>
        <v>0</v>
      </c>
      <c r="AT55" s="3598">
        <f t="shared" si="2"/>
        <v>0</v>
      </c>
      <c r="AU55" s="315">
        <f>COUNTIFS(AT$7:$AT55,1)</f>
        <v>0</v>
      </c>
    </row>
    <row r="56" spans="2:47" ht="15" outlineLevel="1">
      <c r="B56" s="314"/>
      <c r="C56" s="1053" t="s">
        <v>2387</v>
      </c>
      <c r="D56" s="1544">
        <f>'Courier charge (Fedex)'!D65</f>
        <v>23000</v>
      </c>
      <c r="E56" s="1544" t="s">
        <v>1119</v>
      </c>
      <c r="F56" s="1544"/>
      <c r="G56" s="1544"/>
      <c r="H56" s="1544">
        <f>$D$56*$E$50</f>
        <v>0</v>
      </c>
      <c r="I56" s="1545">
        <f t="shared" si="5"/>
        <v>0</v>
      </c>
      <c r="AT56" s="3598">
        <f t="shared" si="2"/>
        <v>0</v>
      </c>
      <c r="AU56" s="315">
        <f>COUNTIFS(AT$7:$AT56,1)</f>
        <v>0</v>
      </c>
    </row>
    <row r="57" spans="2:47" ht="15" outlineLevel="1">
      <c r="B57" s="314"/>
      <c r="C57" s="1053" t="s">
        <v>2388</v>
      </c>
      <c r="D57" s="2495">
        <f>'Courier charge (Fedex)'!D63</f>
        <v>0.28499999999999998</v>
      </c>
      <c r="E57" s="1544"/>
      <c r="F57" s="1544"/>
      <c r="G57" s="1544"/>
      <c r="H57" s="1544">
        <f>SUM($H$52:$H$56)*$D$57</f>
        <v>0</v>
      </c>
      <c r="I57" s="1545">
        <f t="shared" si="5"/>
        <v>0</v>
      </c>
      <c r="AT57" s="3598">
        <f t="shared" si="2"/>
        <v>0</v>
      </c>
      <c r="AU57" s="315">
        <f>COUNTIFS(AT$7:$AT57,1)</f>
        <v>0</v>
      </c>
    </row>
    <row r="58" spans="2:47" ht="15" outlineLevel="1">
      <c r="B58" s="314"/>
      <c r="C58" s="1053" t="s">
        <v>156</v>
      </c>
      <c r="D58" s="2495">
        <f>'Courier charge (Fedex)'!D64</f>
        <v>0.1</v>
      </c>
      <c r="E58" s="1544"/>
      <c r="F58" s="1544"/>
      <c r="G58" s="1544"/>
      <c r="H58" s="1544">
        <f>SUM($H$52:$H$57)*$D$58</f>
        <v>0</v>
      </c>
      <c r="I58" s="1545">
        <f t="shared" si="5"/>
        <v>0</v>
      </c>
      <c r="AT58" s="3598">
        <f t="shared" si="2"/>
        <v>0</v>
      </c>
      <c r="AU58" s="315">
        <f>COUNTIFS(AT$7:$AT58,1)</f>
        <v>0</v>
      </c>
    </row>
    <row r="59" spans="2:47" ht="15" outlineLevel="1">
      <c r="B59" s="314"/>
      <c r="E59" s="320"/>
      <c r="H59" s="995"/>
      <c r="I59" s="924"/>
      <c r="AT59" s="3598" t="str">
        <f t="shared" si="2"/>
        <v/>
      </c>
      <c r="AU59" s="315">
        <f>COUNTIFS(AT$7:$AT59,1)</f>
        <v>0</v>
      </c>
    </row>
    <row r="60" spans="2:47" ht="15" outlineLevel="1">
      <c r="B60" s="412" t="s">
        <v>270</v>
      </c>
      <c r="C60" s="1053" t="str">
        <f>input!H1247</f>
        <v>N</v>
      </c>
      <c r="D60" s="1544"/>
      <c r="E60" s="1544">
        <v>60</v>
      </c>
      <c r="F60" s="1544" t="s">
        <v>271</v>
      </c>
      <c r="G60" s="1544"/>
      <c r="H60" s="1544">
        <f>IF(C60="Y",E60*input!#REF!,0)</f>
        <v>0</v>
      </c>
      <c r="I60" s="1545">
        <f>IF($E$2&gt;0,H60/$E$2,0)</f>
        <v>0</v>
      </c>
      <c r="AT60" s="3598">
        <f t="shared" si="2"/>
        <v>0</v>
      </c>
      <c r="AU60" s="315">
        <f>COUNTIFS(AT$7:$AT60,1)</f>
        <v>0</v>
      </c>
    </row>
    <row r="61" spans="2:47" ht="15" outlineLevel="1">
      <c r="B61" s="314"/>
      <c r="I61" s="924"/>
      <c r="AT61" s="3598" t="str">
        <f t="shared" si="2"/>
        <v/>
      </c>
      <c r="AU61" s="315">
        <f>COUNTIFS(AT$7:$AT61,1)</f>
        <v>0</v>
      </c>
    </row>
    <row r="62" spans="2:47" ht="15" outlineLevel="1">
      <c r="B62" s="412" t="s">
        <v>200</v>
      </c>
      <c r="C62" s="1053" t="str">
        <f>input!K1247</f>
        <v>N</v>
      </c>
      <c r="D62" s="1544"/>
      <c r="E62" s="1544">
        <f>1000000</f>
        <v>1000000</v>
      </c>
      <c r="F62" s="1544" t="s">
        <v>201</v>
      </c>
      <c r="G62" s="1544"/>
      <c r="H62" s="1544">
        <f>IF(C62="Y",E62,0)</f>
        <v>0</v>
      </c>
      <c r="I62" s="1545">
        <f>IF($E$2&gt;0,H62/$E$2,0)</f>
        <v>0</v>
      </c>
      <c r="AT62" s="3598">
        <f t="shared" si="2"/>
        <v>0</v>
      </c>
      <c r="AU62" s="315">
        <f>COUNTIFS(AT$7:$AT62,1)</f>
        <v>0</v>
      </c>
    </row>
    <row r="63" spans="2:47" ht="15" outlineLevel="1">
      <c r="AT63" s="3598"/>
    </row>
    <row r="64" spans="2:47" ht="15" outlineLevel="1">
      <c r="AT64" s="3598"/>
    </row>
    <row r="65" spans="1:46" ht="15" outlineLevel="1">
      <c r="AT65" s="3598"/>
    </row>
    <row r="66" spans="1:46" ht="15" outlineLevel="1">
      <c r="B66" s="319" t="s">
        <v>1260</v>
      </c>
      <c r="AT66" s="3598"/>
    </row>
    <row r="67" spans="1:46" ht="15" outlineLevel="1">
      <c r="B67" s="319" t="s">
        <v>1261</v>
      </c>
      <c r="AT67" s="3598"/>
    </row>
    <row r="68" spans="1:46" ht="15" outlineLevel="2">
      <c r="B68" s="1374" t="s">
        <v>1262</v>
      </c>
      <c r="C68" s="1453"/>
      <c r="D68" s="1546">
        <v>5</v>
      </c>
      <c r="E68" s="1398" t="s">
        <v>15</v>
      </c>
      <c r="F68" s="1546">
        <v>10</v>
      </c>
      <c r="G68" s="1547" t="s">
        <v>10</v>
      </c>
      <c r="H68" s="1495">
        <v>1</v>
      </c>
      <c r="I68" s="1496" t="s">
        <v>440</v>
      </c>
      <c r="AT68" s="3598"/>
    </row>
    <row r="69" spans="1:46" ht="15" outlineLevel="2">
      <c r="B69" s="1374" t="s">
        <v>444</v>
      </c>
      <c r="C69" s="1453"/>
      <c r="D69" s="1546">
        <v>640</v>
      </c>
      <c r="E69" s="1546" t="s">
        <v>15</v>
      </c>
      <c r="F69" s="1398">
        <v>120000</v>
      </c>
      <c r="G69" s="1547" t="s">
        <v>10</v>
      </c>
      <c r="H69" s="1453"/>
      <c r="I69" s="1453"/>
      <c r="AT69" s="3598"/>
    </row>
    <row r="70" spans="1:46" ht="15" outlineLevel="2">
      <c r="B70" s="1374" t="s">
        <v>445</v>
      </c>
      <c r="C70" s="347"/>
      <c r="D70" s="1375"/>
      <c r="E70" s="991"/>
      <c r="F70" s="1376" t="s">
        <v>1263</v>
      </c>
      <c r="G70" s="1375"/>
      <c r="H70" s="1375"/>
      <c r="I70" s="1377"/>
      <c r="AT70" s="3598"/>
    </row>
    <row r="71" spans="1:46" ht="25.5" outlineLevel="2">
      <c r="B71" s="1511" t="s">
        <v>214</v>
      </c>
      <c r="C71" s="4475" t="s">
        <v>447</v>
      </c>
      <c r="D71" s="4476"/>
      <c r="E71" s="1512" t="s">
        <v>448</v>
      </c>
      <c r="F71" s="1511" t="s">
        <v>1264</v>
      </c>
      <c r="G71" s="1511" t="s">
        <v>450</v>
      </c>
      <c r="H71" s="1511" t="s">
        <v>451</v>
      </c>
      <c r="I71" s="1511" t="s">
        <v>92</v>
      </c>
      <c r="AT71" s="3598"/>
    </row>
    <row r="72" spans="1:46" ht="15" outlineLevel="2">
      <c r="A72" s="384" t="s">
        <v>609</v>
      </c>
      <c r="B72" s="1513">
        <f>SUMIFS(Paper!$AC$7:$AC$30,Paper!$A$7:$A$30,$A72)</f>
        <v>0</v>
      </c>
      <c r="C72" s="344">
        <f>D68+5</f>
        <v>10</v>
      </c>
      <c r="D72" s="344">
        <f>F68</f>
        <v>10</v>
      </c>
      <c r="E72" s="344">
        <f>INT(D69/C72)</f>
        <v>64</v>
      </c>
      <c r="F72" s="1514"/>
      <c r="G72" s="1515">
        <f>ROUNDUP(B72*F72/10000,0)</f>
        <v>0</v>
      </c>
      <c r="H72" s="330">
        <f>ROUNDUP(G72/E72,0)</f>
        <v>0</v>
      </c>
      <c r="I72" s="1516">
        <f>H72*E70</f>
        <v>0</v>
      </c>
      <c r="AT72" s="3598"/>
    </row>
    <row r="73" spans="1:46" ht="15" outlineLevel="2">
      <c r="AT73" s="3598"/>
    </row>
    <row r="74" spans="1:46" ht="15" outlineLevel="2">
      <c r="B74" s="319" t="s">
        <v>1261</v>
      </c>
      <c r="AT74" s="3598"/>
    </row>
    <row r="75" spans="1:46" ht="15" outlineLevel="2">
      <c r="B75" s="1374" t="s">
        <v>1262</v>
      </c>
      <c r="C75" s="1453"/>
      <c r="D75" s="1546">
        <v>5</v>
      </c>
      <c r="E75" s="1398" t="s">
        <v>15</v>
      </c>
      <c r="F75" s="1546">
        <v>10</v>
      </c>
      <c r="G75" s="1547" t="s">
        <v>10</v>
      </c>
      <c r="H75" s="1495">
        <v>1</v>
      </c>
      <c r="I75" s="1496" t="s">
        <v>440</v>
      </c>
      <c r="AT75" s="3598"/>
    </row>
    <row r="76" spans="1:46" ht="15" outlineLevel="2">
      <c r="B76" s="1374" t="s">
        <v>444</v>
      </c>
      <c r="C76" s="1453"/>
      <c r="D76" s="1546">
        <v>640</v>
      </c>
      <c r="E76" s="1546" t="s">
        <v>15</v>
      </c>
      <c r="F76" s="1398">
        <v>120000</v>
      </c>
      <c r="G76" s="1547" t="s">
        <v>10</v>
      </c>
      <c r="H76" s="1453"/>
      <c r="I76" s="1453"/>
      <c r="AT76" s="3598"/>
    </row>
    <row r="77" spans="1:46" ht="15" outlineLevel="2">
      <c r="B77" s="1374" t="s">
        <v>445</v>
      </c>
      <c r="C77" s="347"/>
      <c r="D77" s="1375"/>
      <c r="E77" s="991"/>
      <c r="F77" s="1376" t="s">
        <v>1263</v>
      </c>
      <c r="G77" s="1375"/>
      <c r="H77" s="1375"/>
      <c r="I77" s="1377"/>
      <c r="AT77" s="3598"/>
    </row>
    <row r="78" spans="1:46" ht="25.5" outlineLevel="2">
      <c r="B78" s="1511" t="s">
        <v>214</v>
      </c>
      <c r="C78" s="4475" t="s">
        <v>447</v>
      </c>
      <c r="D78" s="4476"/>
      <c r="E78" s="1512" t="s">
        <v>448</v>
      </c>
      <c r="F78" s="1511" t="s">
        <v>1264</v>
      </c>
      <c r="G78" s="1511" t="s">
        <v>450</v>
      </c>
      <c r="H78" s="1511" t="s">
        <v>451</v>
      </c>
      <c r="I78" s="1511" t="s">
        <v>92</v>
      </c>
      <c r="AT78" s="3598"/>
    </row>
    <row r="79" spans="1:46" ht="15" outlineLevel="2">
      <c r="A79" s="384" t="s">
        <v>609</v>
      </c>
      <c r="B79" s="1513">
        <f>SUMIFS(Paper!$AC$7:$AC$30,Paper!$A$7:$A$30,$A79)</f>
        <v>0</v>
      </c>
      <c r="C79" s="344">
        <f>D75+5</f>
        <v>10</v>
      </c>
      <c r="D79" s="344">
        <f>F75</f>
        <v>10</v>
      </c>
      <c r="E79" s="344">
        <f>INT(D76/C79)</f>
        <v>64</v>
      </c>
      <c r="F79" s="1514"/>
      <c r="G79" s="1515">
        <f>ROUNDUP(B79*F79/10000,0)</f>
        <v>0</v>
      </c>
      <c r="H79" s="330">
        <f>ROUNDUP(G79/E79,0)</f>
        <v>0</v>
      </c>
      <c r="I79" s="1516">
        <f>H79*E77</f>
        <v>0</v>
      </c>
      <c r="AT79" s="3598"/>
    </row>
    <row r="80" spans="1:46" ht="15" outlineLevel="2">
      <c r="AT80" s="3598"/>
    </row>
    <row r="81" spans="1:46" ht="15" outlineLevel="2">
      <c r="AT81" s="3598"/>
    </row>
    <row r="82" spans="1:46" ht="15">
      <c r="B82" s="319" t="s">
        <v>1265</v>
      </c>
      <c r="AT82" s="3598"/>
    </row>
    <row r="83" spans="1:46" ht="15">
      <c r="B83" s="347" t="s">
        <v>443</v>
      </c>
      <c r="C83" s="189"/>
      <c r="D83" s="1546">
        <v>5</v>
      </c>
      <c r="E83" s="1398" t="s">
        <v>15</v>
      </c>
      <c r="F83" s="1546">
        <v>5</v>
      </c>
      <c r="G83" s="1547" t="s">
        <v>10</v>
      </c>
      <c r="H83" s="1495">
        <v>1</v>
      </c>
      <c r="I83" s="1496" t="s">
        <v>440</v>
      </c>
      <c r="AT83" s="3598"/>
    </row>
    <row r="84" spans="1:46" ht="15">
      <c r="B84" s="347" t="s">
        <v>444</v>
      </c>
      <c r="C84" s="189"/>
      <c r="D84" s="1546">
        <v>640</v>
      </c>
      <c r="E84" s="1546" t="s">
        <v>15</v>
      </c>
      <c r="F84" s="1398">
        <v>120000</v>
      </c>
      <c r="G84" s="1547" t="s">
        <v>10</v>
      </c>
      <c r="H84" s="1453"/>
      <c r="I84" s="1453"/>
      <c r="AT84" s="3598"/>
    </row>
    <row r="85" spans="1:46" ht="15">
      <c r="B85" s="347" t="s">
        <v>445</v>
      </c>
      <c r="C85" s="347"/>
      <c r="D85" s="189"/>
      <c r="E85" s="194"/>
      <c r="F85" s="189" t="s">
        <v>1263</v>
      </c>
      <c r="G85" s="189"/>
      <c r="H85" s="189"/>
      <c r="I85" s="1517"/>
      <c r="AT85" s="3598"/>
    </row>
    <row r="86" spans="1:46" ht="25.5">
      <c r="B86" s="1518" t="s">
        <v>214</v>
      </c>
      <c r="C86" s="4477" t="s">
        <v>447</v>
      </c>
      <c r="D86" s="4478"/>
      <c r="E86" s="1519" t="s">
        <v>448</v>
      </c>
      <c r="F86" s="1518" t="s">
        <v>449</v>
      </c>
      <c r="G86" s="1518" t="s">
        <v>450</v>
      </c>
      <c r="H86" s="1518" t="s">
        <v>451</v>
      </c>
      <c r="I86" s="1518" t="s">
        <v>92</v>
      </c>
      <c r="J86" s="333"/>
      <c r="AT86" s="3598"/>
    </row>
    <row r="87" spans="1:46" ht="15">
      <c r="A87" s="384" t="s">
        <v>608</v>
      </c>
      <c r="B87" s="1513">
        <f>SUMIFS(Paper!$AC$7:$AC$30,Paper!$A$7:$A$30,$A87)</f>
        <v>0</v>
      </c>
      <c r="C87" s="1515">
        <f>D83+5</f>
        <v>10</v>
      </c>
      <c r="D87" s="1515">
        <f>F83</f>
        <v>5</v>
      </c>
      <c r="E87" s="1515">
        <f>INT(D84/C87)</f>
        <v>64</v>
      </c>
      <c r="F87" s="1515">
        <f>INT(F84/D87)</f>
        <v>24000</v>
      </c>
      <c r="G87" s="1515">
        <f>ROUNDUP(B87/F87,0)*H83+H83</f>
        <v>1</v>
      </c>
      <c r="H87" s="1520">
        <f>ROUNDUP(G87/E87,0)</f>
        <v>1</v>
      </c>
      <c r="I87" s="1521">
        <f>H87*E85</f>
        <v>0</v>
      </c>
      <c r="J87" s="333"/>
      <c r="AT87" s="3598"/>
    </row>
    <row r="88" spans="1:46" ht="15">
      <c r="A88" s="384"/>
      <c r="B88" s="375"/>
      <c r="C88" s="375"/>
      <c r="D88" s="375"/>
      <c r="E88" s="375"/>
      <c r="F88" s="375"/>
      <c r="G88" s="375"/>
      <c r="H88" s="1522"/>
      <c r="I88" s="1523"/>
      <c r="J88" s="333"/>
      <c r="AT88" s="3598"/>
    </row>
    <row r="89" spans="1:46" ht="15" outlineLevel="2">
      <c r="B89" s="319" t="s">
        <v>1265</v>
      </c>
      <c r="J89" s="333"/>
      <c r="AT89" s="3598"/>
    </row>
    <row r="90" spans="1:46" ht="15" outlineLevel="2">
      <c r="B90" s="347" t="s">
        <v>443</v>
      </c>
      <c r="C90" s="189"/>
      <c r="D90" s="1546">
        <v>5</v>
      </c>
      <c r="E90" s="1398" t="s">
        <v>15</v>
      </c>
      <c r="F90" s="1546">
        <v>10</v>
      </c>
      <c r="G90" s="1547" t="s">
        <v>10</v>
      </c>
      <c r="H90" s="1495">
        <v>1</v>
      </c>
      <c r="I90" s="1496" t="s">
        <v>440</v>
      </c>
      <c r="J90" s="333"/>
      <c r="AT90" s="3598"/>
    </row>
    <row r="91" spans="1:46" ht="15" outlineLevel="2">
      <c r="B91" s="347" t="s">
        <v>444</v>
      </c>
      <c r="C91" s="189"/>
      <c r="D91" s="1546">
        <v>640</v>
      </c>
      <c r="E91" s="1546" t="s">
        <v>15</v>
      </c>
      <c r="F91" s="1398">
        <v>120000</v>
      </c>
      <c r="G91" s="1547" t="s">
        <v>10</v>
      </c>
      <c r="H91" s="1453"/>
      <c r="I91" s="1453"/>
      <c r="J91" s="333"/>
      <c r="AT91" s="3598"/>
    </row>
    <row r="92" spans="1:46" ht="15" outlineLevel="2">
      <c r="B92" s="347" t="s">
        <v>445</v>
      </c>
      <c r="C92" s="347"/>
      <c r="D92" s="189"/>
      <c r="E92" s="194"/>
      <c r="F92" s="189" t="s">
        <v>1263</v>
      </c>
      <c r="G92" s="189"/>
      <c r="H92" s="189"/>
      <c r="I92" s="1517"/>
      <c r="J92" s="333"/>
      <c r="AT92" s="3598"/>
    </row>
    <row r="93" spans="1:46" ht="25.5" outlineLevel="2">
      <c r="B93" s="1518" t="s">
        <v>214</v>
      </c>
      <c r="C93" s="4477" t="s">
        <v>447</v>
      </c>
      <c r="D93" s="4478"/>
      <c r="E93" s="1519" t="s">
        <v>448</v>
      </c>
      <c r="F93" s="1518" t="s">
        <v>449</v>
      </c>
      <c r="G93" s="1518" t="s">
        <v>450</v>
      </c>
      <c r="H93" s="1518" t="s">
        <v>451</v>
      </c>
      <c r="I93" s="1518" t="s">
        <v>92</v>
      </c>
      <c r="J93" s="333"/>
      <c r="AT93" s="3598"/>
    </row>
    <row r="94" spans="1:46" ht="15" outlineLevel="2">
      <c r="A94" s="384" t="s">
        <v>106</v>
      </c>
      <c r="B94" s="1513">
        <f>SUMIFS(Paper!$AC$7:$AC$30,Paper!$A$7:$A$30,$A94)</f>
        <v>0</v>
      </c>
      <c r="C94" s="1515">
        <f>D90+5</f>
        <v>10</v>
      </c>
      <c r="D94" s="1515">
        <f>F90</f>
        <v>10</v>
      </c>
      <c r="E94" s="1515">
        <f>INT(D91/C94)</f>
        <v>64</v>
      </c>
      <c r="F94" s="1515">
        <f>INT(F91/D94)</f>
        <v>12000</v>
      </c>
      <c r="G94" s="1515">
        <f>ROUNDUP(B94/F94,0)*H90+H90</f>
        <v>1</v>
      </c>
      <c r="H94" s="1520">
        <f>ROUNDUP(G94/E94,0)</f>
        <v>1</v>
      </c>
      <c r="I94" s="1521">
        <f>H94*E92</f>
        <v>0</v>
      </c>
      <c r="J94" s="333"/>
      <c r="AT94" s="3598"/>
    </row>
    <row r="95" spans="1:46" ht="15" outlineLevel="1">
      <c r="A95" s="384"/>
      <c r="B95" s="375"/>
      <c r="C95" s="375"/>
      <c r="D95" s="375"/>
      <c r="E95" s="375"/>
      <c r="F95" s="375"/>
      <c r="G95" s="375"/>
      <c r="H95" s="1522"/>
      <c r="I95" s="1523"/>
      <c r="J95" s="333"/>
      <c r="AT95" s="3598"/>
    </row>
    <row r="96" spans="1:46" ht="15" outlineLevel="1">
      <c r="A96" s="384"/>
      <c r="B96" s="2428" t="s">
        <v>2322</v>
      </c>
      <c r="C96" s="2429"/>
      <c r="D96" s="375"/>
      <c r="E96" s="2777" t="s">
        <v>2894</v>
      </c>
      <c r="F96" s="375"/>
      <c r="G96" s="375">
        <f>45375*1.05</f>
        <v>47643.75</v>
      </c>
      <c r="H96" s="1522" t="s">
        <v>1119</v>
      </c>
      <c r="I96" s="1523"/>
      <c r="J96" s="320" t="s">
        <v>2895</v>
      </c>
      <c r="L96" s="136" t="s">
        <v>1344</v>
      </c>
      <c r="M96" s="353">
        <v>2000</v>
      </c>
      <c r="N96" s="136" t="s">
        <v>105</v>
      </c>
      <c r="AT96" s="3598"/>
    </row>
    <row r="97" spans="1:46" ht="15" outlineLevel="1">
      <c r="A97" s="384"/>
      <c r="B97" s="2430" t="s">
        <v>2323</v>
      </c>
      <c r="C97" s="2431">
        <v>0.1</v>
      </c>
      <c r="D97" s="375"/>
      <c r="E97" s="2777" t="s">
        <v>2896</v>
      </c>
      <c r="F97" s="375"/>
      <c r="G97" s="375"/>
      <c r="H97" s="1522" t="s">
        <v>1119</v>
      </c>
      <c r="I97" s="1523"/>
      <c r="J97" s="320" t="s">
        <v>2895</v>
      </c>
      <c r="L97" s="136" t="s">
        <v>1344</v>
      </c>
      <c r="M97" s="353">
        <v>2000</v>
      </c>
      <c r="N97" s="136" t="s">
        <v>105</v>
      </c>
      <c r="AT97" s="3598"/>
    </row>
    <row r="98" spans="1:46" ht="15" outlineLevel="1">
      <c r="A98" s="384"/>
      <c r="B98" s="2430" t="s">
        <v>2324</v>
      </c>
      <c r="C98" s="2431">
        <v>0.1</v>
      </c>
      <c r="D98" s="375"/>
      <c r="E98" s="2777" t="s">
        <v>2897</v>
      </c>
      <c r="F98" s="375"/>
      <c r="G98" s="375">
        <f>47795*1.05</f>
        <v>50184.75</v>
      </c>
      <c r="H98" s="1522" t="s">
        <v>1119</v>
      </c>
      <c r="I98" s="1523"/>
      <c r="J98" s="320" t="s">
        <v>2895</v>
      </c>
      <c r="L98" s="136" t="s">
        <v>1344</v>
      </c>
      <c r="M98" s="353">
        <v>5000</v>
      </c>
      <c r="N98" s="136" t="s">
        <v>105</v>
      </c>
      <c r="AT98" s="3598"/>
    </row>
    <row r="99" spans="1:46" ht="15" outlineLevel="1">
      <c r="A99" s="384"/>
      <c r="B99" s="2430" t="s">
        <v>2325</v>
      </c>
      <c r="C99" s="2431">
        <v>0.12</v>
      </c>
      <c r="D99" s="375"/>
      <c r="E99" s="2777" t="s">
        <v>2898</v>
      </c>
      <c r="F99" s="375"/>
      <c r="G99" s="375">
        <f>46585*1.05</f>
        <v>48914.25</v>
      </c>
      <c r="H99" s="1522" t="s">
        <v>1119</v>
      </c>
      <c r="I99" s="1523"/>
      <c r="J99" s="320" t="s">
        <v>2895</v>
      </c>
      <c r="L99" s="136" t="s">
        <v>1344</v>
      </c>
      <c r="M99" s="353">
        <v>5000</v>
      </c>
      <c r="N99" s="136" t="s">
        <v>105</v>
      </c>
      <c r="AT99" s="3598"/>
    </row>
    <row r="100" spans="1:46" ht="15" outlineLevel="1">
      <c r="A100" s="384"/>
      <c r="B100" s="2430" t="s">
        <v>2326</v>
      </c>
      <c r="C100" s="2431">
        <v>0.15</v>
      </c>
      <c r="D100" s="375"/>
      <c r="E100" s="375"/>
      <c r="F100" s="375"/>
      <c r="G100" s="375"/>
      <c r="H100" s="1522"/>
      <c r="I100" s="1523"/>
      <c r="J100" s="333"/>
      <c r="AT100" s="3598"/>
    </row>
    <row r="101" spans="1:46" ht="15" outlineLevel="1">
      <c r="A101" s="384"/>
      <c r="B101" s="2430" t="s">
        <v>2327</v>
      </c>
      <c r="C101" s="2431">
        <v>0.05</v>
      </c>
      <c r="D101" s="375"/>
      <c r="E101" s="375"/>
      <c r="F101" s="375"/>
      <c r="G101" s="375"/>
      <c r="H101" s="1522"/>
      <c r="I101" s="1523"/>
      <c r="J101" s="333"/>
      <c r="AT101" s="3598"/>
    </row>
    <row r="102" spans="1:46" ht="15" outlineLevel="1">
      <c r="A102" s="384"/>
      <c r="B102" s="2430" t="s">
        <v>2328</v>
      </c>
      <c r="C102" s="2431">
        <v>0.03</v>
      </c>
      <c r="D102" s="375"/>
      <c r="E102" s="375"/>
      <c r="F102" s="375"/>
      <c r="G102" s="375"/>
      <c r="H102" s="1522"/>
      <c r="I102" s="1523"/>
      <c r="J102" s="333"/>
      <c r="AT102" s="3598"/>
    </row>
    <row r="103" spans="1:46" ht="23.25" customHeight="1" outlineLevel="1">
      <c r="B103" s="1263" t="s">
        <v>1607</v>
      </c>
      <c r="AT103" s="3598"/>
    </row>
    <row r="104" spans="1:46" ht="15" outlineLevel="1">
      <c r="B104" s="319" t="s">
        <v>1274</v>
      </c>
      <c r="AT104" s="3598"/>
    </row>
    <row r="105" spans="1:46" ht="15" outlineLevel="1">
      <c r="B105" s="2993" t="s">
        <v>3604</v>
      </c>
      <c r="C105" s="2994" t="s">
        <v>3018</v>
      </c>
      <c r="D105" s="2995">
        <v>541</v>
      </c>
      <c r="E105" s="2995">
        <v>475</v>
      </c>
      <c r="F105" s="2996">
        <v>1</v>
      </c>
      <c r="G105" s="2997">
        <v>6</v>
      </c>
      <c r="H105" s="2998">
        <f>ROUNDUP($E$3*(1+C100)*F105/G105,0)</f>
        <v>959</v>
      </c>
      <c r="I105" s="2999">
        <v>1</v>
      </c>
      <c r="J105" s="3000">
        <f>ROUNDUP(H105/I105,0)</f>
        <v>959</v>
      </c>
      <c r="K105" s="3001">
        <v>5500</v>
      </c>
      <c r="L105" s="1000">
        <f>J105*K105</f>
        <v>5274500</v>
      </c>
      <c r="AT105" s="3598"/>
    </row>
    <row r="106" spans="1:46" ht="15" outlineLevel="1">
      <c r="B106" s="136" t="s">
        <v>1276</v>
      </c>
      <c r="C106" s="380" t="s">
        <v>1269</v>
      </c>
      <c r="D106" s="1524">
        <v>290</v>
      </c>
      <c r="E106" s="1524">
        <v>290</v>
      </c>
      <c r="F106" s="1525">
        <v>1</v>
      </c>
      <c r="G106" s="1526">
        <v>24</v>
      </c>
      <c r="H106" s="2455">
        <f>ROUNDUP($E$3*(1+$C$100)*F106/G106,0)</f>
        <v>240</v>
      </c>
      <c r="I106" s="2456">
        <v>1</v>
      </c>
      <c r="J106" s="2457">
        <f t="shared" ref="J106:J113" si="6">ROUNDUP(H106/I106,0)</f>
        <v>240</v>
      </c>
      <c r="K106" s="1813">
        <v>0</v>
      </c>
      <c r="L106" s="1000">
        <f>J106*K106</f>
        <v>0</v>
      </c>
      <c r="AT106" s="3598"/>
    </row>
    <row r="107" spans="1:46" ht="15" outlineLevel="1">
      <c r="B107" s="136" t="s">
        <v>1532</v>
      </c>
      <c r="C107" s="380" t="s">
        <v>1269</v>
      </c>
      <c r="D107" s="1524">
        <v>290</v>
      </c>
      <c r="E107" s="1524">
        <v>290</v>
      </c>
      <c r="F107" s="1525">
        <v>1</v>
      </c>
      <c r="G107" s="1526">
        <v>24</v>
      </c>
      <c r="H107" s="2455">
        <f>ROUNDUP($E$3*(1+$C$100)*F107/G107,0)</f>
        <v>240</v>
      </c>
      <c r="I107" s="2456">
        <v>1</v>
      </c>
      <c r="J107" s="2457">
        <f t="shared" si="6"/>
        <v>240</v>
      </c>
      <c r="K107" s="1813">
        <v>0</v>
      </c>
      <c r="L107" s="1000">
        <f>J107*K107</f>
        <v>0</v>
      </c>
      <c r="AT107" s="3598"/>
    </row>
    <row r="108" spans="1:46" ht="15" outlineLevel="1">
      <c r="B108" s="136" t="s">
        <v>1533</v>
      </c>
      <c r="C108" s="380" t="s">
        <v>1269</v>
      </c>
      <c r="D108" s="1524">
        <v>290</v>
      </c>
      <c r="E108" s="1524">
        <v>290</v>
      </c>
      <c r="F108" s="1525">
        <v>1</v>
      </c>
      <c r="G108" s="1526">
        <v>24</v>
      </c>
      <c r="H108" s="2455">
        <f>ROUNDUP($E$3*(1+$C$100)*F108/G108,0)</f>
        <v>240</v>
      </c>
      <c r="I108" s="2456">
        <v>1</v>
      </c>
      <c r="J108" s="2457">
        <f t="shared" si="6"/>
        <v>240</v>
      </c>
      <c r="K108" s="1813">
        <v>0</v>
      </c>
      <c r="L108" s="1000">
        <f>J108*K108</f>
        <v>0</v>
      </c>
      <c r="AT108" s="3598"/>
    </row>
    <row r="109" spans="1:46" ht="15" outlineLevel="1">
      <c r="B109" s="319" t="s">
        <v>1275</v>
      </c>
      <c r="AT109" s="3598"/>
    </row>
    <row r="110" spans="1:46" ht="15" outlineLevel="1">
      <c r="B110" s="136" t="s">
        <v>1277</v>
      </c>
      <c r="C110" s="380" t="s">
        <v>1269</v>
      </c>
      <c r="D110" s="1524">
        <v>290</v>
      </c>
      <c r="E110" s="1524">
        <v>290</v>
      </c>
      <c r="F110" s="1525">
        <v>1</v>
      </c>
      <c r="G110" s="1526">
        <v>24</v>
      </c>
      <c r="H110" s="2455">
        <f>ROUNDUP($E$3*(1+5%)*F110/G110,0)</f>
        <v>219</v>
      </c>
      <c r="I110" s="2456">
        <v>1</v>
      </c>
      <c r="J110" s="2457">
        <f t="shared" si="6"/>
        <v>219</v>
      </c>
      <c r="K110" s="1813">
        <v>0</v>
      </c>
      <c r="L110" s="1000">
        <f>J110*K110</f>
        <v>0</v>
      </c>
      <c r="AT110" s="3598"/>
    </row>
    <row r="111" spans="1:46" ht="15" outlineLevel="1">
      <c r="B111" s="136" t="s">
        <v>1278</v>
      </c>
      <c r="C111" s="380" t="s">
        <v>1269</v>
      </c>
      <c r="D111" s="1524">
        <v>290</v>
      </c>
      <c r="E111" s="1524">
        <v>290</v>
      </c>
      <c r="F111" s="1525">
        <v>1</v>
      </c>
      <c r="G111" s="1526">
        <v>24</v>
      </c>
      <c r="H111" s="2455">
        <f>ROUNDUP($E$3*(1+5%)*F111/G111,0)</f>
        <v>219</v>
      </c>
      <c r="I111" s="2456">
        <v>1</v>
      </c>
      <c r="J111" s="2457">
        <f t="shared" si="6"/>
        <v>219</v>
      </c>
      <c r="K111" s="1813">
        <v>0</v>
      </c>
      <c r="L111" s="1000">
        <f>J111*K111</f>
        <v>0</v>
      </c>
      <c r="AT111" s="3598"/>
    </row>
    <row r="112" spans="1:46" ht="15" outlineLevel="1">
      <c r="B112" s="136" t="s">
        <v>1534</v>
      </c>
      <c r="C112" s="380" t="s">
        <v>1269</v>
      </c>
      <c r="D112" s="1524">
        <v>290</v>
      </c>
      <c r="E112" s="1524">
        <v>290</v>
      </c>
      <c r="F112" s="1525">
        <v>1</v>
      </c>
      <c r="G112" s="1526">
        <v>24</v>
      </c>
      <c r="H112" s="2455">
        <f>ROUNDUP($E$3*(1+5%)*F112/G112,0)</f>
        <v>219</v>
      </c>
      <c r="I112" s="2456">
        <v>1</v>
      </c>
      <c r="J112" s="2457">
        <f t="shared" si="6"/>
        <v>219</v>
      </c>
      <c r="K112" s="1813">
        <v>0</v>
      </c>
      <c r="L112" s="1000">
        <f>J112*K112</f>
        <v>0</v>
      </c>
      <c r="AT112" s="3598"/>
    </row>
    <row r="113" spans="2:47" ht="15" outlineLevel="1">
      <c r="B113" s="136" t="s">
        <v>1535</v>
      </c>
      <c r="C113" s="380" t="s">
        <v>1269</v>
      </c>
      <c r="D113" s="1524">
        <v>290</v>
      </c>
      <c r="E113" s="1524">
        <v>290</v>
      </c>
      <c r="F113" s="1525">
        <v>1</v>
      </c>
      <c r="G113" s="1526">
        <v>24</v>
      </c>
      <c r="H113" s="2455">
        <f>ROUNDUP($E$3*(1+5%)*F113/G113,0)</f>
        <v>219</v>
      </c>
      <c r="I113" s="2456">
        <v>1</v>
      </c>
      <c r="J113" s="2457">
        <f t="shared" si="6"/>
        <v>219</v>
      </c>
      <c r="K113" s="1813">
        <v>0</v>
      </c>
      <c r="L113" s="1000">
        <f>J113*K113</f>
        <v>0</v>
      </c>
      <c r="AT113" s="3598"/>
    </row>
    <row r="114" spans="2:47" ht="15" outlineLevel="1">
      <c r="B114" s="136" t="s">
        <v>106</v>
      </c>
      <c r="AT114" s="3598"/>
    </row>
    <row r="115" spans="2:47" ht="15" outlineLevel="1">
      <c r="B115" s="136" t="s">
        <v>1259</v>
      </c>
      <c r="AT115" s="3598"/>
    </row>
    <row r="116" spans="2:47" ht="15" outlineLevel="1">
      <c r="AT116" s="3598"/>
    </row>
    <row r="117" spans="2:47" s="319" customFormat="1" ht="15">
      <c r="B117" s="333"/>
      <c r="C117" s="946" t="s">
        <v>1605</v>
      </c>
      <c r="F117" s="950"/>
      <c r="G117" s="1527" t="s">
        <v>78</v>
      </c>
      <c r="H117" s="803">
        <v>0.02</v>
      </c>
      <c r="J117" s="333" t="s">
        <v>1266</v>
      </c>
      <c r="K117" s="319" t="s">
        <v>1267</v>
      </c>
      <c r="L117" s="319" t="s">
        <v>232</v>
      </c>
      <c r="AT117" s="3598"/>
      <c r="AU117" s="315"/>
    </row>
    <row r="118" spans="2:47" ht="15">
      <c r="B118" s="1528" t="s">
        <v>1729</v>
      </c>
      <c r="C118" s="380" t="s">
        <v>3731</v>
      </c>
      <c r="D118" s="1529"/>
      <c r="E118" s="1529"/>
      <c r="F118" s="380"/>
      <c r="G118" s="380"/>
      <c r="H118" s="380"/>
      <c r="I118" s="380"/>
      <c r="J118" s="1530"/>
      <c r="K118" s="1531">
        <f>E85</f>
        <v>0</v>
      </c>
      <c r="L118" s="1000">
        <f>J118*K118</f>
        <v>0</v>
      </c>
      <c r="N118" s="1000"/>
      <c r="AT118" s="3598"/>
    </row>
    <row r="119" spans="2:47" ht="15" outlineLevel="1">
      <c r="B119" s="1528" t="s">
        <v>1730</v>
      </c>
      <c r="C119" s="3043" t="s">
        <v>2885</v>
      </c>
      <c r="D119" s="3062">
        <v>20</v>
      </c>
      <c r="E119" s="3063">
        <v>260</v>
      </c>
      <c r="F119" s="3046">
        <v>1</v>
      </c>
      <c r="G119" s="3058">
        <v>45</v>
      </c>
      <c r="H119" s="3059">
        <f>INT(G119*1000/E119)</f>
        <v>173</v>
      </c>
      <c r="I119" s="3043"/>
      <c r="J119" s="3064">
        <f>ROUNDUP($E$2*(1+$H$117)*F119/H119,1)</f>
        <v>29.5</v>
      </c>
      <c r="K119" s="3060">
        <v>6000</v>
      </c>
      <c r="L119" s="1000">
        <f t="shared" ref="L119:L130" si="7">J119*K119</f>
        <v>177000</v>
      </c>
      <c r="N119" s="1000"/>
      <c r="AT119" s="3598"/>
    </row>
    <row r="120" spans="2:47" ht="15" outlineLevel="1">
      <c r="B120" s="1528" t="s">
        <v>1731</v>
      </c>
      <c r="C120" s="3184" t="s">
        <v>3316</v>
      </c>
      <c r="D120" s="3062">
        <v>19</v>
      </c>
      <c r="E120" s="3063">
        <v>260</v>
      </c>
      <c r="F120" s="3046">
        <v>2</v>
      </c>
      <c r="G120" s="3058">
        <f>260</f>
        <v>260</v>
      </c>
      <c r="H120" s="3059">
        <f>INT(G120*1000/E120)</f>
        <v>1000</v>
      </c>
      <c r="I120" s="3043"/>
      <c r="J120" s="3064">
        <f>ROUNDUP($E$2*(1+$H$117)*F120/H120,1)</f>
        <v>10.199999999999999</v>
      </c>
      <c r="K120" s="3060">
        <v>100000</v>
      </c>
      <c r="L120" s="1000">
        <f t="shared" si="7"/>
        <v>1019999.9999999999</v>
      </c>
      <c r="N120" s="1000"/>
      <c r="AT120" s="3598"/>
    </row>
    <row r="121" spans="2:47" ht="15" outlineLevel="1">
      <c r="B121" s="1528" t="s">
        <v>1731</v>
      </c>
      <c r="C121" s="3184" t="s">
        <v>3315</v>
      </c>
      <c r="D121" s="3062">
        <v>19</v>
      </c>
      <c r="E121" s="3063">
        <v>260</v>
      </c>
      <c r="F121" s="3046">
        <v>2</v>
      </c>
      <c r="G121" s="3058">
        <v>220</v>
      </c>
      <c r="H121" s="3059">
        <f>INT(G121*1000/E121)</f>
        <v>846</v>
      </c>
      <c r="I121" s="3043"/>
      <c r="J121" s="3064">
        <f>ROUNDUP($E$2*(1+$H$117)*F121/H121,1)</f>
        <v>12.1</v>
      </c>
      <c r="K121" s="3060">
        <f>C300</f>
        <v>107000</v>
      </c>
      <c r="L121" s="1000">
        <f>J121*K121</f>
        <v>1294700</v>
      </c>
      <c r="N121" s="1000"/>
      <c r="AT121" s="3598"/>
    </row>
    <row r="122" spans="2:47" ht="15" outlineLevel="1">
      <c r="B122" s="1528" t="s">
        <v>1732</v>
      </c>
      <c r="C122" s="3043" t="s">
        <v>1268</v>
      </c>
      <c r="D122" s="3045">
        <v>24</v>
      </c>
      <c r="E122" s="3045">
        <v>200</v>
      </c>
      <c r="F122" s="3065">
        <v>1</v>
      </c>
      <c r="G122" s="3058">
        <v>14</v>
      </c>
      <c r="H122" s="3059">
        <f>INT(G122*1000/E122)</f>
        <v>70</v>
      </c>
      <c r="I122" s="3043"/>
      <c r="J122" s="3064">
        <f>ROUNDUP($E$2*F122*(1+$H$117)/H122,1)</f>
        <v>72.899999999999991</v>
      </c>
      <c r="K122" s="3061">
        <v>6500</v>
      </c>
      <c r="L122" s="1000">
        <f t="shared" si="7"/>
        <v>473849.99999999994</v>
      </c>
      <c r="N122" s="1000"/>
      <c r="AT122" s="3598"/>
    </row>
    <row r="123" spans="2:47" ht="15" outlineLevel="1">
      <c r="B123" s="1196" t="s">
        <v>1733</v>
      </c>
      <c r="C123" s="2458" t="s">
        <v>2339</v>
      </c>
      <c r="D123" s="2459">
        <v>70</v>
      </c>
      <c r="E123" s="2459">
        <v>100</v>
      </c>
      <c r="F123" s="2460">
        <v>1</v>
      </c>
      <c r="G123" s="2461">
        <f>ROUNDUP($E$2*(1+C100),0)</f>
        <v>5750</v>
      </c>
      <c r="H123" s="2462">
        <f>ROUNDUP(G123/F124/G124,1)</f>
        <v>0.30000000000000004</v>
      </c>
      <c r="I123" s="2458"/>
      <c r="J123" s="2463">
        <f>H123*H124</f>
        <v>18.000000000000004</v>
      </c>
      <c r="K123" s="2464">
        <v>41250</v>
      </c>
      <c r="L123" s="2465">
        <f t="shared" si="7"/>
        <v>742500.00000000012</v>
      </c>
      <c r="N123" s="1000"/>
      <c r="AT123" s="3598"/>
    </row>
    <row r="124" spans="2:47" ht="15" outlineLevel="1">
      <c r="B124" s="1196" t="s">
        <v>1733</v>
      </c>
      <c r="C124" s="2458" t="s">
        <v>2340</v>
      </c>
      <c r="D124" s="2459">
        <v>400</v>
      </c>
      <c r="E124" s="2466">
        <f>+S136</f>
        <v>531.71641791044772</v>
      </c>
      <c r="F124" s="2467">
        <f>INT(D124/D123)</f>
        <v>5</v>
      </c>
      <c r="G124" s="2468">
        <f>INT(E124/E123*1000)</f>
        <v>5317</v>
      </c>
      <c r="H124" s="2469">
        <v>60</v>
      </c>
      <c r="I124" s="1582"/>
      <c r="J124" s="2470">
        <f>H123*(F124-1)*ROUNDUP(E124/900,1)*1+20/60</f>
        <v>1.0533333333333335</v>
      </c>
      <c r="K124" s="2471">
        <f>'Production cost'!$P$260*2</f>
        <v>129186.48170866667</v>
      </c>
      <c r="L124" s="2465">
        <f t="shared" si="7"/>
        <v>136076.42739979559</v>
      </c>
      <c r="N124" s="1000"/>
      <c r="AT124" s="3598"/>
    </row>
    <row r="125" spans="2:47" ht="15" outlineLevel="1">
      <c r="B125" s="1196" t="s">
        <v>1734</v>
      </c>
      <c r="C125" s="1213" t="s">
        <v>2892</v>
      </c>
      <c r="D125" s="2748">
        <v>25</v>
      </c>
      <c r="E125" s="2748">
        <v>200</v>
      </c>
      <c r="F125" s="2749">
        <v>1</v>
      </c>
      <c r="G125" s="3058">
        <v>45</v>
      </c>
      <c r="H125" s="3059">
        <f>INT(G125*1000/E125)</f>
        <v>225</v>
      </c>
      <c r="I125" s="1213"/>
      <c r="J125" s="2750">
        <f>ROUNDUP($E$2*F125*(1+$H$117)/H125,1)</f>
        <v>22.700000000000003</v>
      </c>
      <c r="K125" s="2751">
        <v>184275</v>
      </c>
      <c r="L125" s="1000">
        <f t="shared" si="7"/>
        <v>4183042.5000000005</v>
      </c>
      <c r="N125" s="1000"/>
      <c r="O125" s="3334"/>
      <c r="AT125" s="3598"/>
    </row>
    <row r="126" spans="2:47" ht="15" outlineLevel="1">
      <c r="B126" s="1196" t="s">
        <v>1735</v>
      </c>
      <c r="C126" s="3184" t="s">
        <v>3452</v>
      </c>
      <c r="D126" s="3360"/>
      <c r="E126" s="3358"/>
      <c r="F126" s="3359"/>
      <c r="G126" s="3361"/>
      <c r="H126" s="3362">
        <v>0.75</v>
      </c>
      <c r="I126" s="3363">
        <v>10000</v>
      </c>
      <c r="J126" s="3364">
        <f>ROUNDUP($E$3*(1+$H$117)*H126/I126,1)</f>
        <v>0.4</v>
      </c>
      <c r="K126" s="3365">
        <v>1780000</v>
      </c>
      <c r="L126" s="1000">
        <f>J126*K126+300000</f>
        <v>1012000</v>
      </c>
      <c r="N126" s="1000"/>
      <c r="O126" s="3334"/>
      <c r="AT126" s="3598"/>
    </row>
    <row r="127" spans="2:47" ht="15" outlineLevel="1">
      <c r="B127" s="1196" t="s">
        <v>1736</v>
      </c>
      <c r="C127" s="3043" t="s">
        <v>3059</v>
      </c>
      <c r="D127" s="3044"/>
      <c r="E127" s="3045"/>
      <c r="F127" s="3046">
        <v>1</v>
      </c>
      <c r="G127" s="3047"/>
      <c r="H127" s="3043"/>
      <c r="I127" s="3043"/>
      <c r="J127" s="3048">
        <f>ROUNDUP($E$3*F127*(1+$H$117),0)</f>
        <v>5100</v>
      </c>
      <c r="K127" s="3049"/>
      <c r="L127" s="1000">
        <f>J127*K127</f>
        <v>0</v>
      </c>
      <c r="N127" s="1000"/>
      <c r="AT127" s="3598"/>
    </row>
    <row r="128" spans="2:47" ht="15" outlineLevel="1">
      <c r="B128" s="1196" t="s">
        <v>1737</v>
      </c>
      <c r="C128" s="3043" t="s">
        <v>3058</v>
      </c>
      <c r="D128" s="3044"/>
      <c r="E128" s="3045"/>
      <c r="F128" s="3046">
        <v>1</v>
      </c>
      <c r="G128" s="3050">
        <v>1000</v>
      </c>
      <c r="H128" s="3048"/>
      <c r="I128" s="3048">
        <f>ROUNDUP($E$3*F128*(1+$H$117),0)</f>
        <v>5100</v>
      </c>
      <c r="J128" s="3051">
        <f>ROUNDUP(I128/G128,0)</f>
        <v>6</v>
      </c>
      <c r="K128" s="3052"/>
      <c r="L128" s="1000">
        <f>J128*K128</f>
        <v>0</v>
      </c>
      <c r="N128" s="1000"/>
      <c r="AT128" s="3598"/>
    </row>
    <row r="129" spans="2:46" ht="15" outlineLevel="1">
      <c r="B129" s="1196" t="s">
        <v>1738</v>
      </c>
      <c r="C129" s="3043" t="s">
        <v>3354</v>
      </c>
      <c r="D129" s="3053">
        <v>5</v>
      </c>
      <c r="E129" s="3045"/>
      <c r="F129" s="3054">
        <v>25</v>
      </c>
      <c r="G129" s="3050">
        <v>170</v>
      </c>
      <c r="H129" s="3055">
        <v>1</v>
      </c>
      <c r="I129" s="3056">
        <f>ROUNDUP(J129/F129,0)*F129</f>
        <v>50</v>
      </c>
      <c r="J129" s="3051">
        <f>ROUNDUP($E$3*H129*(1+$H$117)/G129,0)</f>
        <v>30</v>
      </c>
      <c r="K129" s="3057">
        <v>57700</v>
      </c>
      <c r="L129" s="1000">
        <f>J129*K129</f>
        <v>1731000</v>
      </c>
      <c r="N129" s="1000"/>
      <c r="AT129" s="3598"/>
    </row>
    <row r="130" spans="2:46" ht="15" outlineLevel="1">
      <c r="B130" s="1196" t="s">
        <v>1739</v>
      </c>
      <c r="C130" s="380"/>
      <c r="D130" s="1533"/>
      <c r="E130" s="1534"/>
      <c r="F130" s="1535"/>
      <c r="G130" s="1532"/>
      <c r="H130" s="1536"/>
      <c r="I130" s="1536"/>
      <c r="J130" s="1537"/>
      <c r="K130" s="1538"/>
      <c r="L130" s="1000">
        <f t="shared" si="7"/>
        <v>0</v>
      </c>
      <c r="N130" s="1000"/>
      <c r="AT130" s="3598"/>
    </row>
    <row r="131" spans="2:46" ht="15" outlineLevel="1">
      <c r="B131" s="1196" t="s">
        <v>1740</v>
      </c>
      <c r="C131" s="380"/>
      <c r="D131" s="1539"/>
      <c r="E131" s="1529"/>
      <c r="F131" s="1539"/>
      <c r="G131" s="1540"/>
      <c r="H131" s="380"/>
      <c r="I131" s="380"/>
      <c r="J131" s="1537"/>
      <c r="K131" s="1541"/>
      <c r="AT131" s="3598"/>
    </row>
    <row r="132" spans="2:46" ht="15" outlineLevel="1">
      <c r="B132" s="1196" t="s">
        <v>1887</v>
      </c>
      <c r="C132" s="1213" t="s">
        <v>2933</v>
      </c>
      <c r="D132" s="1835"/>
      <c r="E132" s="1836"/>
      <c r="F132" s="1837"/>
      <c r="G132" s="1838"/>
      <c r="H132" s="1839"/>
      <c r="I132" s="1213"/>
      <c r="J132" s="1840">
        <f>E139</f>
        <v>3.2730750000000003E-3</v>
      </c>
      <c r="K132" s="1841">
        <f>AVERAGEIF(Data!U20:U24,"&gt;0")*1000</f>
        <v>15514107.744107744</v>
      </c>
      <c r="AT132" s="3598"/>
    </row>
    <row r="133" spans="2:46" ht="15" outlineLevel="1">
      <c r="B133" s="1196" t="s">
        <v>3451</v>
      </c>
      <c r="C133" s="1213" t="s">
        <v>2932</v>
      </c>
      <c r="D133" s="1835"/>
      <c r="E133" s="1836"/>
      <c r="F133" s="1837"/>
      <c r="G133" s="1838"/>
      <c r="H133" s="1839"/>
      <c r="I133" s="1213"/>
      <c r="J133" s="1840">
        <f>J139+J144+J149</f>
        <v>6.5336476799999987E-2</v>
      </c>
      <c r="K133" s="1841">
        <f>AVERAGEIF(Data!$U$761:$U$767,"&gt;0")*1000</f>
        <v>24523367.003367003</v>
      </c>
      <c r="AT133" s="3598"/>
    </row>
    <row r="134" spans="2:46" ht="15" outlineLevel="1">
      <c r="AT134" s="3598"/>
    </row>
    <row r="135" spans="2:46" ht="15.75" outlineLevel="2">
      <c r="B135" s="1821" t="s">
        <v>1880</v>
      </c>
      <c r="C135" s="1217"/>
      <c r="D135" s="1822">
        <v>250</v>
      </c>
      <c r="E135" s="1823">
        <f>'Packing Materials'!F13+1</f>
        <v>3</v>
      </c>
      <c r="F135" s="1824"/>
      <c r="G135" s="1821" t="s">
        <v>1881</v>
      </c>
      <c r="H135" s="1217"/>
      <c r="I135" s="1822">
        <f>65+15</f>
        <v>80</v>
      </c>
      <c r="J135" s="1823">
        <f>('Packing Materials'!$D$13-1)*'Packing Materials'!$F$13</f>
        <v>0</v>
      </c>
      <c r="K135" s="1824"/>
      <c r="M135" s="3331" t="s">
        <v>3403</v>
      </c>
      <c r="N135" s="3331" t="s">
        <v>3404</v>
      </c>
      <c r="O135" s="4479" t="s">
        <v>3405</v>
      </c>
      <c r="P135" s="4480"/>
      <c r="Q135" s="3331" t="s">
        <v>3406</v>
      </c>
      <c r="R135" s="3332" t="s">
        <v>3301</v>
      </c>
      <c r="S135" s="3333" t="s">
        <v>3407</v>
      </c>
      <c r="AT135" s="3598"/>
    </row>
    <row r="136" spans="2:46" ht="15.75" outlineLevel="2">
      <c r="B136" s="1825" t="s">
        <v>1882</v>
      </c>
      <c r="C136" s="1826">
        <f>'Packing Materials'!D15</f>
        <v>363</v>
      </c>
      <c r="D136" s="1826">
        <f>'Packing Materials'!E15</f>
        <v>502</v>
      </c>
      <c r="E136" s="1827">
        <f>ROUNDUP(E135*'Packing Materials'!$I$15*(1+2%),0)</f>
        <v>108</v>
      </c>
      <c r="F136" s="1828" t="s">
        <v>287</v>
      </c>
      <c r="G136" s="1825" t="s">
        <v>1882</v>
      </c>
      <c r="H136" s="1826">
        <f>'Packing Materials'!$E$15</f>
        <v>502</v>
      </c>
      <c r="I136" s="1826">
        <f ca="1">'Packing Materials'!$F$15/'Packing Materials'!$F$13</f>
        <v>197</v>
      </c>
      <c r="J136" s="1827">
        <f>ROUNDUP(J135*'Packing Materials'!$I$15*(1+2%),0)</f>
        <v>0</v>
      </c>
      <c r="K136" s="1828" t="s">
        <v>287</v>
      </c>
      <c r="M136" s="3327">
        <v>1.34</v>
      </c>
      <c r="N136" s="3328">
        <v>0.2</v>
      </c>
      <c r="O136" s="3328">
        <f>+D124/1000</f>
        <v>0.4</v>
      </c>
      <c r="P136" s="3327">
        <f>+M136*N136*O136</f>
        <v>0.10720000000000002</v>
      </c>
      <c r="Q136" s="3328">
        <v>60</v>
      </c>
      <c r="R136" s="3329">
        <f>+Q136/P136</f>
        <v>559.70149253731336</v>
      </c>
      <c r="S136" s="3330">
        <f>+R136*95%</f>
        <v>531.71641791044772</v>
      </c>
      <c r="AT136" s="3598"/>
    </row>
    <row r="137" spans="2:46" ht="15" outlineLevel="2">
      <c r="B137" s="1825" t="s">
        <v>118</v>
      </c>
      <c r="C137" s="320">
        <v>1</v>
      </c>
      <c r="D137" s="320">
        <v>2</v>
      </c>
      <c r="E137" s="1828"/>
      <c r="F137" s="1828"/>
      <c r="G137" s="1825" t="s">
        <v>118</v>
      </c>
      <c r="H137" s="320">
        <v>3</v>
      </c>
      <c r="I137" s="320">
        <v>2</v>
      </c>
      <c r="J137" s="1828"/>
      <c r="K137" s="1828"/>
      <c r="AT137" s="3598"/>
    </row>
    <row r="138" spans="2:46" ht="15" outlineLevel="2">
      <c r="B138" s="1829" t="s">
        <v>1883</v>
      </c>
      <c r="C138" s="1826">
        <f>C136*C137+10</f>
        <v>373</v>
      </c>
      <c r="D138" s="1826">
        <f>D136*D137+10</f>
        <v>1014</v>
      </c>
      <c r="E138" s="1827">
        <f>ROUNDUP(E136/(C137*D137),0)</f>
        <v>54</v>
      </c>
      <c r="F138" s="1828" t="s">
        <v>439</v>
      </c>
      <c r="G138" s="1829" t="s">
        <v>1883</v>
      </c>
      <c r="H138" s="1826">
        <f>H136*H137+10</f>
        <v>1516</v>
      </c>
      <c r="I138" s="1826">
        <f ca="1">I136*I137+10</f>
        <v>404</v>
      </c>
      <c r="J138" s="1827">
        <f>ROUNDUP(J136/(H137*I137),0)</f>
        <v>0</v>
      </c>
      <c r="K138" s="1828" t="s">
        <v>439</v>
      </c>
      <c r="AT138" s="3598"/>
    </row>
    <row r="139" spans="2:46" ht="15" outlineLevel="2">
      <c r="B139" s="1830" t="s">
        <v>1884</v>
      </c>
      <c r="C139" s="1831">
        <v>650</v>
      </c>
      <c r="D139" s="1832"/>
      <c r="E139" s="1833">
        <f>((D135*C139*C138)/10^12)*E138</f>
        <v>3.2730750000000003E-3</v>
      </c>
      <c r="F139" s="1834" t="s">
        <v>6</v>
      </c>
      <c r="G139" s="1825" t="s">
        <v>1884</v>
      </c>
      <c r="H139" s="1826">
        <v>840</v>
      </c>
      <c r="I139" s="1832"/>
      <c r="J139" s="1833">
        <f>((I135*H139*H138)/10^12)*J138</f>
        <v>0</v>
      </c>
      <c r="K139" s="1834" t="s">
        <v>6</v>
      </c>
      <c r="AT139" s="3598"/>
    </row>
    <row r="140" spans="2:46" ht="15" outlineLevel="2">
      <c r="G140" s="1821" t="s">
        <v>1885</v>
      </c>
      <c r="H140" s="1217"/>
      <c r="I140" s="1822">
        <f>I135</f>
        <v>80</v>
      </c>
      <c r="J140" s="1823">
        <f>('Packing Materials'!$E$13-1)*'Packing Materials'!$D$13*'Packing Materials'!$F$13</f>
        <v>148</v>
      </c>
      <c r="K140" s="1824"/>
      <c r="AT140" s="3598"/>
    </row>
    <row r="141" spans="2:46" ht="15" outlineLevel="2">
      <c r="G141" s="1825" t="s">
        <v>1882</v>
      </c>
      <c r="H141" s="1826">
        <f>'Packing Materials'!$D$15/'Packing Materials'!$D$13</f>
        <v>363</v>
      </c>
      <c r="I141" s="1826">
        <f ca="1">'Packing Materials'!$F$15/'Packing Materials'!$F$13</f>
        <v>197</v>
      </c>
      <c r="J141" s="1827">
        <f>ROUNDUP(J140*'Packing Materials'!$I$15*(1+2%),0)</f>
        <v>5284</v>
      </c>
      <c r="K141" s="1828" t="s">
        <v>287</v>
      </c>
      <c r="AT141" s="3598"/>
    </row>
    <row r="142" spans="2:46" ht="15" outlineLevel="2">
      <c r="G142" s="1825" t="s">
        <v>118</v>
      </c>
      <c r="H142" s="320">
        <v>3</v>
      </c>
      <c r="I142" s="320">
        <v>2</v>
      </c>
      <c r="J142" s="1828"/>
      <c r="K142" s="1828"/>
      <c r="AT142" s="3598"/>
    </row>
    <row r="143" spans="2:46" ht="15" outlineLevel="2">
      <c r="G143" s="1829" t="s">
        <v>1883</v>
      </c>
      <c r="H143" s="1826">
        <f>H141*H142+10</f>
        <v>1099</v>
      </c>
      <c r="I143" s="1826">
        <f ca="1">I141*I142+10</f>
        <v>404</v>
      </c>
      <c r="J143" s="1827">
        <f>ROUNDUP(J141/(H142*I142),0)</f>
        <v>881</v>
      </c>
      <c r="K143" s="1828" t="s">
        <v>439</v>
      </c>
      <c r="AT143" s="3598"/>
    </row>
    <row r="144" spans="2:46" ht="15" outlineLevel="2">
      <c r="G144" s="1825" t="s">
        <v>1884</v>
      </c>
      <c r="H144" s="1826">
        <v>840</v>
      </c>
      <c r="I144" s="1832"/>
      <c r="J144" s="1833">
        <f>((I140*H144*H143)/10^12)*J143</f>
        <v>6.5064316799999994E-2</v>
      </c>
      <c r="K144" s="1834" t="s">
        <v>6</v>
      </c>
      <c r="AT144" s="3598"/>
    </row>
    <row r="145" spans="2:46" ht="15" outlineLevel="2">
      <c r="G145" s="1821" t="s">
        <v>1886</v>
      </c>
      <c r="H145" s="1217"/>
      <c r="I145" s="1822">
        <f>I135</f>
        <v>80</v>
      </c>
      <c r="J145" s="1823">
        <f>'Packing Materials'!$D$13</f>
        <v>1</v>
      </c>
      <c r="K145" s="1824"/>
      <c r="AT145" s="3598"/>
    </row>
    <row r="146" spans="2:46" ht="15" outlineLevel="2">
      <c r="G146" s="1825" t="s">
        <v>1882</v>
      </c>
      <c r="H146" s="1826">
        <v>100</v>
      </c>
      <c r="I146" s="1826">
        <f ca="1">'Packing Materials'!$F$12*2+'Packing Materials'!$E$12+100</f>
        <v>476.4</v>
      </c>
      <c r="J146" s="1827">
        <f>ROUNDUP(J145*'Packing Materials'!$I$15*(1+2%),0)</f>
        <v>36</v>
      </c>
      <c r="K146" s="1828" t="s">
        <v>287</v>
      </c>
      <c r="AT146" s="3598"/>
    </row>
    <row r="147" spans="2:46" ht="15" outlineLevel="2">
      <c r="G147" s="1825" t="s">
        <v>118</v>
      </c>
      <c r="H147" s="320">
        <v>8</v>
      </c>
      <c r="I147" s="320">
        <v>1</v>
      </c>
      <c r="J147" s="1828"/>
      <c r="K147" s="1828"/>
      <c r="AT147" s="3598"/>
    </row>
    <row r="148" spans="2:46" ht="15" outlineLevel="2">
      <c r="G148" s="1829" t="s">
        <v>1883</v>
      </c>
      <c r="H148" s="1826">
        <f>H146*H147+10</f>
        <v>810</v>
      </c>
      <c r="I148" s="1826">
        <f ca="1">I146*I147+10</f>
        <v>486.4</v>
      </c>
      <c r="J148" s="1827">
        <f>ROUNDUP(J146/(H147*I147),0)</f>
        <v>5</v>
      </c>
      <c r="K148" s="1828" t="s">
        <v>439</v>
      </c>
      <c r="AT148" s="3598"/>
    </row>
    <row r="149" spans="2:46" ht="15" outlineLevel="2">
      <c r="G149" s="1830" t="s">
        <v>1884</v>
      </c>
      <c r="H149" s="1831">
        <v>840</v>
      </c>
      <c r="I149" s="1832"/>
      <c r="J149" s="1833">
        <f>((I145*H149*H148)/10^12)*J148</f>
        <v>2.7216000000000002E-4</v>
      </c>
      <c r="K149" s="1834" t="s">
        <v>6</v>
      </c>
      <c r="AT149" s="3598"/>
    </row>
    <row r="150" spans="2:46" ht="15" outlineLevel="2">
      <c r="AT150" s="3598"/>
    </row>
    <row r="151" spans="2:46" ht="15" outlineLevel="2">
      <c r="B151" s="3002" t="s">
        <v>3019</v>
      </c>
      <c r="C151" s="319"/>
      <c r="AT151" s="3598"/>
    </row>
    <row r="152" spans="2:46" ht="15" outlineLevel="2">
      <c r="B152" s="3003" t="s">
        <v>3020</v>
      </c>
      <c r="C152" s="3004"/>
      <c r="D152" s="3004"/>
      <c r="E152" s="3004" t="s">
        <v>10</v>
      </c>
      <c r="F152" s="3005"/>
      <c r="G152" s="1435" t="s">
        <v>3021</v>
      </c>
      <c r="H152" s="1434"/>
      <c r="I152" s="1434"/>
      <c r="J152" s="1434"/>
      <c r="K152" s="1434"/>
      <c r="AT152" s="3598"/>
    </row>
    <row r="153" spans="2:46" ht="15" outlineLevel="2">
      <c r="B153" s="3003" t="s">
        <v>3022</v>
      </c>
      <c r="C153" s="3004">
        <v>250</v>
      </c>
      <c r="D153" s="3006">
        <f>200*1000</f>
        <v>200000</v>
      </c>
      <c r="E153" s="3004" t="s">
        <v>10</v>
      </c>
      <c r="F153" s="3005" t="e">
        <f>INT(C153/C152)*INT(D153/D152)</f>
        <v>#DIV/0!</v>
      </c>
      <c r="G153" s="1435" t="s">
        <v>3023</v>
      </c>
      <c r="H153" s="1434"/>
      <c r="I153" s="1434"/>
      <c r="J153" s="3007" t="e">
        <f>ROUNDUP(E3*(1+C156)*F156/F152,0)</f>
        <v>#DIV/0!</v>
      </c>
      <c r="K153" s="1435" t="s">
        <v>3024</v>
      </c>
      <c r="AT153" s="3598"/>
    </row>
    <row r="154" spans="2:46" ht="15" outlineLevel="2">
      <c r="B154" s="137"/>
      <c r="C154" s="137"/>
      <c r="D154" s="137"/>
      <c r="E154" s="137"/>
      <c r="F154" s="3008"/>
      <c r="G154" s="1435"/>
      <c r="H154" s="1434"/>
      <c r="I154" s="1440" t="s">
        <v>3025</v>
      </c>
      <c r="J154" s="3009" t="e">
        <f>ROUNDUP(J153/F153,0)</f>
        <v>#DIV/0!</v>
      </c>
      <c r="K154" s="3010" t="s">
        <v>3026</v>
      </c>
      <c r="AT154" s="3598"/>
    </row>
    <row r="155" spans="2:46" ht="15.75" outlineLevel="2">
      <c r="B155" s="3011"/>
      <c r="C155" s="319"/>
      <c r="F155" s="3008"/>
      <c r="G155" s="1435"/>
      <c r="AT155" s="3598"/>
    </row>
    <row r="156" spans="2:46" ht="15" outlineLevel="2">
      <c r="B156" s="320" t="s">
        <v>78</v>
      </c>
      <c r="C156" s="3012">
        <f>G4</f>
        <v>4.4999999999999998E-2</v>
      </c>
      <c r="F156" s="3013"/>
      <c r="G156" s="326" t="s">
        <v>524</v>
      </c>
      <c r="H156" s="189" t="s">
        <v>528</v>
      </c>
      <c r="I156" s="2930"/>
      <c r="J156" s="2930"/>
      <c r="K156" s="2930"/>
      <c r="L156" s="189" t="s">
        <v>10</v>
      </c>
      <c r="O156" s="2984" t="s">
        <v>2296</v>
      </c>
      <c r="P156" s="2985">
        <f>Freight!$C$53</f>
        <v>1</v>
      </c>
      <c r="Q156" s="2985">
        <f>Freight!$D$53</f>
        <v>2</v>
      </c>
      <c r="R156" s="2985">
        <f>Freight!$E$53</f>
        <v>3.5</v>
      </c>
      <c r="S156" s="2985">
        <f>Freight!$F$53</f>
        <v>5</v>
      </c>
      <c r="T156" s="2986">
        <f>Freight!$G$53</f>
        <v>8</v>
      </c>
      <c r="AT156" s="3598"/>
    </row>
    <row r="157" spans="2:46" ht="15" outlineLevel="2">
      <c r="B157" s="320" t="s">
        <v>1344</v>
      </c>
      <c r="C157" s="335" t="e">
        <f>ROUNDUP(J154/20,0)*20</f>
        <v>#DIV/0!</v>
      </c>
      <c r="D157" s="136" t="s">
        <v>104</v>
      </c>
      <c r="F157" s="320"/>
      <c r="G157" s="326"/>
      <c r="H157" s="189" t="s">
        <v>530</v>
      </c>
      <c r="I157" s="2930">
        <v>20</v>
      </c>
      <c r="J157" s="189" t="s">
        <v>3027</v>
      </c>
      <c r="K157" s="372">
        <v>0.96599999999999997</v>
      </c>
      <c r="L157" s="189" t="s">
        <v>1486</v>
      </c>
      <c r="M157" s="983">
        <v>335</v>
      </c>
      <c r="N157" s="136" t="s">
        <v>1489</v>
      </c>
      <c r="O157" s="2416" t="s">
        <v>2295</v>
      </c>
      <c r="P157" s="2417">
        <f>Freight!$C$54</f>
        <v>6.75</v>
      </c>
      <c r="Q157" s="2417">
        <f>Freight!$D$54</f>
        <v>10.404</v>
      </c>
      <c r="R157" s="2417">
        <f>Freight!$E$54</f>
        <v>17.442</v>
      </c>
      <c r="S157" s="2417">
        <f>Freight!$F$54</f>
        <v>25.214999999999996</v>
      </c>
      <c r="T157" s="2418">
        <f>Freight!$G$54</f>
        <v>33.88000000000001</v>
      </c>
      <c r="AT157" s="3598"/>
    </row>
    <row r="158" spans="2:46" ht="15" outlineLevel="2">
      <c r="B158" s="320" t="s">
        <v>529</v>
      </c>
      <c r="C158" s="335" t="e">
        <f>J154</f>
        <v>#DIV/0!</v>
      </c>
      <c r="D158" s="326" t="s">
        <v>104</v>
      </c>
      <c r="H158" s="189" t="s">
        <v>533</v>
      </c>
      <c r="I158" s="194" t="e">
        <f>ROUNDUP(MAX(C157:C158)/I157,0)</f>
        <v>#DIV/0!</v>
      </c>
      <c r="J158" s="189" t="s">
        <v>3028</v>
      </c>
      <c r="K158" s="189"/>
      <c r="L158" s="189"/>
      <c r="O158" s="2987" t="s">
        <v>2297</v>
      </c>
      <c r="P158" s="2988">
        <f>Freight!$C$55</f>
        <v>1060000</v>
      </c>
      <c r="Q158" s="2988">
        <f>Freight!$D$55</f>
        <v>1160000</v>
      </c>
      <c r="R158" s="2988">
        <f>Freight!$E$55</f>
        <v>1370000</v>
      </c>
      <c r="S158" s="2988">
        <f>Freight!$F$55</f>
        <v>1690000</v>
      </c>
      <c r="T158" s="2989">
        <f>Freight!$G$55</f>
        <v>2005000</v>
      </c>
      <c r="AT158" s="3598"/>
    </row>
    <row r="159" spans="2:46" ht="15" outlineLevel="2">
      <c r="B159" s="320" t="s">
        <v>445</v>
      </c>
      <c r="C159" s="3014">
        <v>66.5</v>
      </c>
      <c r="D159" s="326" t="s">
        <v>3029</v>
      </c>
      <c r="E159" s="136" t="s">
        <v>3030</v>
      </c>
      <c r="H159" s="320" t="s">
        <v>535</v>
      </c>
      <c r="I159" s="1342" t="e">
        <f>ROUNDUP(K157*I158,0)</f>
        <v>#DIV/0!</v>
      </c>
      <c r="K159" s="983" t="e">
        <f>I158*M157/1000</f>
        <v>#DIV/0!</v>
      </c>
      <c r="L159" s="189" t="s">
        <v>563</v>
      </c>
      <c r="AT159" s="3598"/>
    </row>
    <row r="160" spans="2:46" ht="15" outlineLevel="2">
      <c r="B160" s="320" t="s">
        <v>204</v>
      </c>
      <c r="C160" s="3015">
        <f>15%</f>
        <v>0.15</v>
      </c>
      <c r="AT160" s="3598"/>
    </row>
    <row r="161" spans="2:46" ht="15" outlineLevel="2">
      <c r="B161" s="320" t="s">
        <v>3031</v>
      </c>
      <c r="C161" s="3016">
        <f>(480+120)*0</f>
        <v>0</v>
      </c>
      <c r="D161" s="320" t="s">
        <v>87</v>
      </c>
      <c r="AT161" s="3598"/>
    </row>
    <row r="162" spans="2:46" ht="15.75" outlineLevel="2" thickBot="1">
      <c r="B162" s="320" t="s">
        <v>21</v>
      </c>
      <c r="C162" s="348" t="e">
        <f>C159*MAX(C157:C158)*(1+C160)+C161</f>
        <v>#DIV/0!</v>
      </c>
      <c r="D162" s="320" t="s">
        <v>87</v>
      </c>
      <c r="E162" s="136" t="str">
        <f>E159</f>
        <v>Exw Xingsha, Hunan, China</v>
      </c>
      <c r="J162" s="189"/>
      <c r="K162" s="349"/>
      <c r="L162" s="189"/>
      <c r="AT162" s="3598"/>
    </row>
    <row r="163" spans="2:46" ht="15" outlineLevel="2">
      <c r="B163" s="788" t="s">
        <v>41</v>
      </c>
      <c r="C163" s="323"/>
      <c r="D163" s="323"/>
      <c r="E163" s="323"/>
      <c r="F163" s="323"/>
      <c r="G163" s="328"/>
      <c r="H163" s="2132" t="s">
        <v>3032</v>
      </c>
      <c r="I163" s="2132"/>
      <c r="AT163" s="3598"/>
    </row>
    <row r="164" spans="2:46" ht="15" outlineLevel="2">
      <c r="B164" s="1343" t="s">
        <v>3033</v>
      </c>
      <c r="C164" s="3017" t="e">
        <f>IF(I159&lt;3.1,280,IF(I159&lt;5.1,330,IF(I159&lt;8.1,400,450)))+20*I159</f>
        <v>#DIV/0!</v>
      </c>
      <c r="D164" s="189" t="s">
        <v>87</v>
      </c>
      <c r="E164" s="2930" t="e">
        <f>C164*I159</f>
        <v>#DIV/0!</v>
      </c>
      <c r="F164" s="1344" t="s">
        <v>87</v>
      </c>
      <c r="G164" s="325"/>
      <c r="H164" s="314" t="s">
        <v>3034</v>
      </c>
      <c r="I164" s="981" t="e">
        <f>C158</f>
        <v>#DIV/0!</v>
      </c>
      <c r="J164" s="136" t="s">
        <v>104</v>
      </c>
      <c r="K164" s="136">
        <v>20</v>
      </c>
      <c r="L164" s="136" t="s">
        <v>3035</v>
      </c>
      <c r="M164" s="136">
        <v>335</v>
      </c>
      <c r="N164" s="136" t="s">
        <v>486</v>
      </c>
      <c r="AT164" s="3598"/>
    </row>
    <row r="165" spans="2:46" ht="15" outlineLevel="2">
      <c r="B165" s="1343" t="s">
        <v>537</v>
      </c>
      <c r="C165" s="194"/>
      <c r="D165" s="189"/>
      <c r="E165" s="2930" t="e">
        <f>IF(I159&gt;0,IF((C162+E164)*1.1*0.065%&lt;(300000/input!$I$4),(300000/input!$I$4),(C162+E164)*1.1*0.065%),0)</f>
        <v>#DIV/0!</v>
      </c>
      <c r="F165" s="1344" t="s">
        <v>87</v>
      </c>
      <c r="G165" s="325"/>
      <c r="H165" s="314" t="s">
        <v>445</v>
      </c>
      <c r="I165" s="3341">
        <v>180000</v>
      </c>
      <c r="J165" s="136" t="s">
        <v>3036</v>
      </c>
      <c r="K165" s="136">
        <v>1</v>
      </c>
      <c r="L165" s="136" t="s">
        <v>3035</v>
      </c>
      <c r="M165" s="136">
        <f>M164/K164</f>
        <v>16.75</v>
      </c>
      <c r="N165" s="136" t="s">
        <v>486</v>
      </c>
      <c r="AT165" s="3598"/>
    </row>
    <row r="166" spans="2:46" ht="15" outlineLevel="2">
      <c r="B166" s="1343" t="s">
        <v>538</v>
      </c>
      <c r="C166" s="194"/>
      <c r="D166" s="194"/>
      <c r="E166" s="321"/>
      <c r="G166" s="325"/>
      <c r="H166" s="314" t="s">
        <v>3037</v>
      </c>
      <c r="I166" s="3018" t="e">
        <f>I164*M165/1000</f>
        <v>#DIV/0!</v>
      </c>
      <c r="J166" s="136" t="s">
        <v>3038</v>
      </c>
      <c r="AT166" s="3598"/>
    </row>
    <row r="167" spans="2:46" ht="15" outlineLevel="2">
      <c r="B167" s="1346" t="s">
        <v>2306</v>
      </c>
      <c r="C167" s="194">
        <v>10</v>
      </c>
      <c r="D167" s="189" t="s">
        <v>540</v>
      </c>
      <c r="E167" s="2930" t="e">
        <f>C167*I159</f>
        <v>#DIV/0!</v>
      </c>
      <c r="F167" s="1344" t="s">
        <v>87</v>
      </c>
      <c r="G167" s="325"/>
      <c r="H167" s="314" t="s">
        <v>3039</v>
      </c>
      <c r="I167" s="833" t="e">
        <f>HLOOKUP(VLOOKUP($E$3,$L$168:$N$176,2,0),'Sum local charge July.19'!$B$76:$G$98,22,0)*VLOOKUP($E$3,$L$168:$N$176,3,0)</f>
        <v>#DIV/0!</v>
      </c>
      <c r="L167" s="3013" t="s">
        <v>1596</v>
      </c>
      <c r="M167" s="3013" t="s">
        <v>3040</v>
      </c>
      <c r="N167" s="3013" t="s">
        <v>3041</v>
      </c>
      <c r="AT167" s="3598"/>
    </row>
    <row r="168" spans="2:46" ht="15" outlineLevel="2">
      <c r="B168" s="1346" t="s">
        <v>539</v>
      </c>
      <c r="C168" s="3019">
        <v>8</v>
      </c>
      <c r="D168" s="189" t="s">
        <v>540</v>
      </c>
      <c r="E168" s="2930" t="e">
        <f>C168*I159</f>
        <v>#DIV/0!</v>
      </c>
      <c r="F168" s="1344" t="s">
        <v>87</v>
      </c>
      <c r="G168" s="325"/>
      <c r="H168" s="314" t="s">
        <v>85</v>
      </c>
      <c r="I168" s="315" t="e">
        <f>I165*I164+I167*2</f>
        <v>#DIV/0!</v>
      </c>
      <c r="J168" s="136" t="s">
        <v>92</v>
      </c>
      <c r="L168" s="3020">
        <f>input!B$7</f>
        <v>1000</v>
      </c>
      <c r="M168" s="3013" t="e">
        <f t="shared" ref="M168:M176" si="8">IF($I$166&lt;1.1,"1.1T","2.0T")</f>
        <v>#DIV/0!</v>
      </c>
      <c r="N168" s="2929" t="e">
        <f>ROUNDUP($I$166/2,0)</f>
        <v>#DIV/0!</v>
      </c>
      <c r="AT168" s="3598"/>
    </row>
    <row r="169" spans="2:46" ht="15" outlineLevel="2">
      <c r="B169" s="1346" t="s">
        <v>541</v>
      </c>
      <c r="C169" s="3019">
        <f>40+20</f>
        <v>60</v>
      </c>
      <c r="D169" s="189" t="s">
        <v>542</v>
      </c>
      <c r="E169" s="2930" t="e">
        <f>IF(I159&gt;0,C169,0)</f>
        <v>#DIV/0!</v>
      </c>
      <c r="F169" s="1344" t="s">
        <v>87</v>
      </c>
      <c r="G169" s="325"/>
      <c r="H169" s="3021" t="s">
        <v>546</v>
      </c>
      <c r="I169" s="3022" t="e">
        <f>ROUNDUP(I168/I164,0)</f>
        <v>#DIV/0!</v>
      </c>
      <c r="J169" s="816" t="s">
        <v>1263</v>
      </c>
      <c r="L169" s="3020">
        <f>input!C$7</f>
        <v>2000</v>
      </c>
      <c r="M169" s="3013" t="e">
        <f t="shared" si="8"/>
        <v>#DIV/0!</v>
      </c>
      <c r="N169" s="2929" t="e">
        <f t="shared" ref="N169:N176" si="9">ROUNDUP($I$166/2,0)</f>
        <v>#DIV/0!</v>
      </c>
      <c r="AT169" s="3598"/>
    </row>
    <row r="170" spans="2:46" ht="15" outlineLevel="2">
      <c r="B170" s="1346" t="s">
        <v>543</v>
      </c>
      <c r="C170" s="194">
        <v>4</v>
      </c>
      <c r="D170" s="189" t="s">
        <v>540</v>
      </c>
      <c r="E170" s="2930" t="e">
        <f>C170*I159</f>
        <v>#DIV/0!</v>
      </c>
      <c r="F170" s="1344" t="s">
        <v>87</v>
      </c>
      <c r="G170" s="325"/>
      <c r="L170" s="3020">
        <f>input!D$7</f>
        <v>10000</v>
      </c>
      <c r="M170" s="3013" t="e">
        <f t="shared" si="8"/>
        <v>#DIV/0!</v>
      </c>
      <c r="N170" s="2929" t="e">
        <f t="shared" si="9"/>
        <v>#DIV/0!</v>
      </c>
      <c r="AT170" s="3598"/>
    </row>
    <row r="171" spans="2:46" ht="15" outlineLevel="2">
      <c r="B171" s="1346" t="s">
        <v>544</v>
      </c>
      <c r="C171" s="3019">
        <v>18</v>
      </c>
      <c r="D171" s="189" t="s">
        <v>540</v>
      </c>
      <c r="E171" s="2930" t="e">
        <f>C171*I159</f>
        <v>#DIV/0!</v>
      </c>
      <c r="F171" s="1344" t="s">
        <v>87</v>
      </c>
      <c r="G171" s="325"/>
      <c r="H171" s="320" t="s">
        <v>3436</v>
      </c>
      <c r="I171" s="2993" t="s">
        <v>3438</v>
      </c>
      <c r="K171" s="3342">
        <v>150000</v>
      </c>
      <c r="L171" s="3020">
        <f>input!E$7</f>
        <v>30000</v>
      </c>
      <c r="M171" s="3013" t="e">
        <f t="shared" si="8"/>
        <v>#DIV/0!</v>
      </c>
      <c r="N171" s="2929" t="e">
        <f t="shared" si="9"/>
        <v>#DIV/0!</v>
      </c>
      <c r="AT171" s="3598"/>
    </row>
    <row r="172" spans="2:46" ht="15" outlineLevel="2">
      <c r="B172" s="1346" t="s">
        <v>545</v>
      </c>
      <c r="C172" s="194">
        <v>0</v>
      </c>
      <c r="D172" s="189" t="s">
        <v>540</v>
      </c>
      <c r="E172" s="2930" t="e">
        <f>C172*I159</f>
        <v>#DIV/0!</v>
      </c>
      <c r="F172" s="1344" t="s">
        <v>87</v>
      </c>
      <c r="G172" s="325"/>
      <c r="I172" s="2993" t="s">
        <v>3437</v>
      </c>
      <c r="K172" s="3342">
        <v>180000</v>
      </c>
      <c r="L172" s="3020">
        <f>input!F$7</f>
        <v>50000</v>
      </c>
      <c r="M172" s="3013" t="e">
        <f t="shared" si="8"/>
        <v>#DIV/0!</v>
      </c>
      <c r="N172" s="2929" t="e">
        <f t="shared" si="9"/>
        <v>#DIV/0!</v>
      </c>
      <c r="AT172" s="3598"/>
    </row>
    <row r="173" spans="2:46" ht="15" outlineLevel="2">
      <c r="B173" s="1346" t="s">
        <v>729</v>
      </c>
      <c r="C173" s="189"/>
      <c r="D173" s="189"/>
      <c r="E173" s="3023" t="e">
        <f>(IF(I158&gt;0,MAX(IF(I159&lt;=P157,P158,IF(I159&lt;=Q157,Q158,IF(I159&lt;=R157,R158,IF(I159&lt;=S157,S158,IF(I159&lt;=T157,T158,0))))),IF(K159&lt;=P156,P158,IF(K159&lt;=Q156,Q158,IF(K159&lt;=R156,R158,IF(K159&lt;=S156,S158,IF(K159&lt;=T156,T158,0)))))),0)+700000)/input!$I$4</f>
        <v>#DIV/0!</v>
      </c>
      <c r="F173" s="1344" t="s">
        <v>87</v>
      </c>
      <c r="G173" s="325"/>
      <c r="L173" s="3020">
        <f>input!G$7</f>
        <v>3000</v>
      </c>
      <c r="M173" s="3013" t="e">
        <f t="shared" si="8"/>
        <v>#DIV/0!</v>
      </c>
      <c r="N173" s="2929" t="e">
        <f t="shared" si="9"/>
        <v>#DIV/0!</v>
      </c>
      <c r="AT173" s="3598"/>
    </row>
    <row r="174" spans="2:46" ht="15" outlineLevel="2">
      <c r="B174" s="1346"/>
      <c r="C174" s="194"/>
      <c r="D174" s="189"/>
      <c r="E174" s="189"/>
      <c r="F174" s="1344"/>
      <c r="G174" s="325"/>
      <c r="J174" s="189"/>
      <c r="K174" s="349"/>
      <c r="L174" s="3020">
        <f>input!H$7</f>
        <v>5000</v>
      </c>
      <c r="M174" s="3013" t="e">
        <f t="shared" si="8"/>
        <v>#DIV/0!</v>
      </c>
      <c r="N174" s="2929" t="e">
        <f t="shared" si="9"/>
        <v>#DIV/0!</v>
      </c>
      <c r="AT174" s="3598"/>
    </row>
    <row r="175" spans="2:46" ht="15" outlineLevel="2">
      <c r="B175" s="1346" t="s">
        <v>558</v>
      </c>
      <c r="C175" s="194">
        <f>150000/input!$I$4</f>
        <v>6.3371356147021549</v>
      </c>
      <c r="D175" s="189" t="s">
        <v>542</v>
      </c>
      <c r="E175" s="2930" t="e">
        <f>IF(I159&gt;0,C175,0)</f>
        <v>#DIV/0!</v>
      </c>
      <c r="F175" s="1344" t="s">
        <v>87</v>
      </c>
      <c r="G175" s="325"/>
      <c r="J175" s="189"/>
      <c r="K175" s="349"/>
      <c r="L175" s="3020">
        <f>input!I$7</f>
        <v>0</v>
      </c>
      <c r="M175" s="3013" t="e">
        <f t="shared" si="8"/>
        <v>#DIV/0!</v>
      </c>
      <c r="N175" s="2929" t="e">
        <f t="shared" si="9"/>
        <v>#DIV/0!</v>
      </c>
      <c r="AT175" s="3598"/>
    </row>
    <row r="176" spans="2:46" ht="15" outlineLevel="2">
      <c r="B176" s="1346" t="s">
        <v>3012</v>
      </c>
      <c r="C176" s="194">
        <f>50000/input!$I$4</f>
        <v>2.1123785382340516</v>
      </c>
      <c r="D176" s="189" t="s">
        <v>3013</v>
      </c>
      <c r="E176" s="2930" t="e">
        <f>IF(K159&gt;0,C176*ROUNDUP(K159,0),0)</f>
        <v>#DIV/0!</v>
      </c>
      <c r="F176" s="1344" t="s">
        <v>87</v>
      </c>
      <c r="G176" s="325"/>
      <c r="J176" s="189"/>
      <c r="K176" s="349"/>
      <c r="L176" s="3020">
        <f>input!J$7</f>
        <v>0</v>
      </c>
      <c r="M176" s="3013" t="e">
        <f t="shared" si="8"/>
        <v>#DIV/0!</v>
      </c>
      <c r="N176" s="2929" t="e">
        <f t="shared" si="9"/>
        <v>#DIV/0!</v>
      </c>
      <c r="AT176" s="3598"/>
    </row>
    <row r="177" spans="2:46" ht="15" outlineLevel="2">
      <c r="B177" s="1346"/>
      <c r="C177" s="194"/>
      <c r="D177" s="189"/>
      <c r="E177" s="194"/>
      <c r="F177" s="1344"/>
      <c r="G177" s="325"/>
      <c r="J177" s="189"/>
      <c r="K177" s="349"/>
      <c r="L177" s="189"/>
      <c r="AT177" s="3598"/>
    </row>
    <row r="178" spans="2:46" ht="15" outlineLevel="2">
      <c r="B178" s="350"/>
      <c r="C178" s="320"/>
      <c r="D178" s="314" t="s">
        <v>2212</v>
      </c>
      <c r="E178" s="321" t="e">
        <f>SUM($E164:$E165)+SUM($E167:$E176)*(1+8%)</f>
        <v>#DIV/0!</v>
      </c>
      <c r="F178" s="1344" t="s">
        <v>87</v>
      </c>
      <c r="G178" s="325"/>
      <c r="J178" s="189"/>
      <c r="K178" s="349"/>
      <c r="L178" s="189"/>
      <c r="AT178" s="3598"/>
    </row>
    <row r="179" spans="2:46" ht="15" outlineLevel="2">
      <c r="B179" s="350"/>
      <c r="C179" s="320"/>
      <c r="D179" s="314" t="s">
        <v>1317</v>
      </c>
      <c r="E179" s="333" t="e">
        <f>E178+C162</f>
        <v>#DIV/0!</v>
      </c>
      <c r="F179" s="1344" t="s">
        <v>87</v>
      </c>
      <c r="G179" s="325"/>
      <c r="J179" s="189"/>
      <c r="K179" s="349"/>
      <c r="L179" s="189"/>
      <c r="AT179" s="3598"/>
    </row>
    <row r="180" spans="2:46" ht="15" outlineLevel="2">
      <c r="B180" s="350"/>
      <c r="C180" s="320"/>
      <c r="D180" s="320"/>
      <c r="E180" s="321" t="e">
        <f>E179*input!I5</f>
        <v>#DIV/0!</v>
      </c>
      <c r="F180" s="1344" t="s">
        <v>92</v>
      </c>
      <c r="G180" s="325"/>
      <c r="J180" s="189"/>
      <c r="K180" s="349"/>
      <c r="L180" s="189"/>
      <c r="AT180" s="3598"/>
    </row>
    <row r="181" spans="2:46" ht="15" outlineLevel="2">
      <c r="B181" s="329"/>
      <c r="D181" s="3021" t="s">
        <v>546</v>
      </c>
      <c r="E181" s="3022" t="e">
        <f>ROUNDUP(E180/MAX(C157:C158),0)</f>
        <v>#DIV/0!</v>
      </c>
      <c r="F181" s="816" t="s">
        <v>1263</v>
      </c>
      <c r="G181" s="1348"/>
      <c r="J181" s="189"/>
      <c r="K181" s="349"/>
      <c r="L181" s="189"/>
      <c r="AT181" s="3598"/>
    </row>
    <row r="182" spans="2:46" ht="15" outlineLevel="2">
      <c r="AT182" s="3598"/>
    </row>
    <row r="183" spans="2:46" ht="15" outlineLevel="2">
      <c r="AT183" s="3598"/>
    </row>
    <row r="184" spans="2:46" ht="15" outlineLevel="2">
      <c r="B184" s="3002" t="s">
        <v>3042</v>
      </c>
      <c r="C184" s="319"/>
      <c r="AT184" s="3598"/>
    </row>
    <row r="185" spans="2:46" ht="15" outlineLevel="2">
      <c r="B185" s="320" t="s">
        <v>78</v>
      </c>
      <c r="C185" s="3012">
        <f>$H$117</f>
        <v>0.02</v>
      </c>
      <c r="F185" s="3024">
        <v>1</v>
      </c>
      <c r="G185" s="326"/>
      <c r="H185" s="189" t="s">
        <v>528</v>
      </c>
      <c r="I185" s="2930"/>
      <c r="J185" s="2930"/>
      <c r="K185" s="2930"/>
      <c r="L185" s="189" t="s">
        <v>10</v>
      </c>
      <c r="AT185" s="3598"/>
    </row>
    <row r="186" spans="2:46" ht="15" outlineLevel="2">
      <c r="B186" s="320" t="s">
        <v>529</v>
      </c>
      <c r="C186" s="335">
        <f>ROUNDUP($E$3*F185*(1+C185),0)</f>
        <v>5100</v>
      </c>
      <c r="D186" s="320" t="s">
        <v>287</v>
      </c>
      <c r="H186" s="189" t="s">
        <v>530</v>
      </c>
      <c r="I186" s="2930"/>
      <c r="J186" s="189" t="s">
        <v>531</v>
      </c>
      <c r="K186" s="983">
        <f>I185*J185*K185/10^9</f>
        <v>0</v>
      </c>
      <c r="L186" s="189" t="s">
        <v>532</v>
      </c>
      <c r="M186" s="983">
        <v>0</v>
      </c>
      <c r="N186" s="136" t="s">
        <v>1488</v>
      </c>
      <c r="AT186" s="3598"/>
    </row>
    <row r="187" spans="2:46" ht="15" outlineLevel="2">
      <c r="B187" s="320" t="s">
        <v>445</v>
      </c>
      <c r="C187" s="3025"/>
      <c r="D187" s="326" t="s">
        <v>547</v>
      </c>
      <c r="E187" s="136" t="s">
        <v>3043</v>
      </c>
      <c r="H187" s="189" t="s">
        <v>533</v>
      </c>
      <c r="I187" s="194" t="e">
        <f>ROUNDUP(C186/I186,0)</f>
        <v>#DIV/0!</v>
      </c>
      <c r="J187" s="189" t="s">
        <v>534</v>
      </c>
      <c r="K187" s="189"/>
      <c r="L187" s="189"/>
      <c r="AT187" s="3598"/>
    </row>
    <row r="188" spans="2:46" ht="15" outlineLevel="2">
      <c r="B188" s="320" t="s">
        <v>204</v>
      </c>
      <c r="C188" s="3015">
        <f>12%*IF(input!B2="Oversea Client",0,1)</f>
        <v>0.12</v>
      </c>
      <c r="D188" s="136" t="s">
        <v>3044</v>
      </c>
      <c r="H188" s="320" t="s">
        <v>535</v>
      </c>
      <c r="I188" s="3026" t="e">
        <f>ROUNDUP(K186*I187,1)</f>
        <v>#DIV/0!</v>
      </c>
      <c r="J188" s="189" t="s">
        <v>563</v>
      </c>
      <c r="K188" s="983" t="e">
        <f>I187*M186/1000</f>
        <v>#DIV/0!</v>
      </c>
      <c r="L188" s="189"/>
      <c r="AT188" s="3598"/>
    </row>
    <row r="189" spans="2:46" ht="15" outlineLevel="2">
      <c r="B189" s="320" t="s">
        <v>21</v>
      </c>
      <c r="C189" s="348">
        <f>C186*C187</f>
        <v>0</v>
      </c>
      <c r="D189" s="320" t="s">
        <v>87</v>
      </c>
      <c r="E189" s="136" t="str">
        <f>E187</f>
        <v>EXW Ningbo, P.R. CHINA 315412</v>
      </c>
      <c r="J189" s="189"/>
      <c r="K189" s="349"/>
      <c r="L189" s="189"/>
      <c r="AT189" s="3598"/>
    </row>
    <row r="190" spans="2:46" ht="15" outlineLevel="2">
      <c r="AT190" s="3598"/>
    </row>
    <row r="191" spans="2:46" ht="15" outlineLevel="2">
      <c r="B191" s="3002" t="s">
        <v>3045</v>
      </c>
      <c r="C191" s="319"/>
      <c r="AT191" s="3598"/>
    </row>
    <row r="192" spans="2:46" ht="15" outlineLevel="2">
      <c r="B192" s="320" t="s">
        <v>78</v>
      </c>
      <c r="C192" s="3012">
        <f>$H$117</f>
        <v>0.02</v>
      </c>
      <c r="F192" s="3024">
        <v>1</v>
      </c>
      <c r="G192" s="326"/>
      <c r="H192" s="189" t="s">
        <v>528</v>
      </c>
      <c r="I192" s="2930"/>
      <c r="J192" s="2930"/>
      <c r="K192" s="2930"/>
      <c r="L192" s="189" t="s">
        <v>10</v>
      </c>
      <c r="O192" s="2984" t="s">
        <v>2296</v>
      </c>
      <c r="P192" s="2985">
        <f>Freight!$C$53</f>
        <v>1</v>
      </c>
      <c r="Q192" s="2985">
        <f>Freight!$D$53</f>
        <v>2</v>
      </c>
      <c r="R192" s="2985">
        <f>Freight!$E$53</f>
        <v>3.5</v>
      </c>
      <c r="S192" s="2985">
        <f>Freight!$F$53</f>
        <v>5</v>
      </c>
      <c r="T192" s="2986">
        <f>Freight!$G$53</f>
        <v>8</v>
      </c>
      <c r="AT192" s="3598"/>
    </row>
    <row r="193" spans="2:46" ht="15" outlineLevel="2">
      <c r="B193" s="320" t="s">
        <v>529</v>
      </c>
      <c r="C193" s="335">
        <f>ROUNDUP($E$3*F192*(1+C192),0)</f>
        <v>5100</v>
      </c>
      <c r="D193" s="320" t="s">
        <v>287</v>
      </c>
      <c r="H193" s="189" t="s">
        <v>530</v>
      </c>
      <c r="I193" s="2930"/>
      <c r="J193" s="189" t="s">
        <v>531</v>
      </c>
      <c r="K193" s="983">
        <f>I192*J192*K192/10^9</f>
        <v>0</v>
      </c>
      <c r="L193" s="189" t="s">
        <v>532</v>
      </c>
      <c r="M193" s="983">
        <v>0</v>
      </c>
      <c r="N193" s="136" t="s">
        <v>1488</v>
      </c>
      <c r="O193" s="2416" t="s">
        <v>2295</v>
      </c>
      <c r="P193" s="2417">
        <f>Freight!$C$54</f>
        <v>6.75</v>
      </c>
      <c r="Q193" s="2417">
        <f>Freight!$D$54</f>
        <v>10.404</v>
      </c>
      <c r="R193" s="2417">
        <f>Freight!$E$54</f>
        <v>17.442</v>
      </c>
      <c r="S193" s="2417">
        <f>Freight!$F$54</f>
        <v>25.214999999999996</v>
      </c>
      <c r="T193" s="2418">
        <f>Freight!$G$54</f>
        <v>33.88000000000001</v>
      </c>
      <c r="AT193" s="3598"/>
    </row>
    <row r="194" spans="2:46" ht="15" outlineLevel="2">
      <c r="B194" s="320" t="s">
        <v>445</v>
      </c>
      <c r="C194" s="3025"/>
      <c r="D194" s="326" t="s">
        <v>547</v>
      </c>
      <c r="E194" s="136" t="s">
        <v>3043</v>
      </c>
      <c r="H194" s="189" t="s">
        <v>533</v>
      </c>
      <c r="I194" s="194" t="e">
        <f>ROUNDUP(C193/I193,0)</f>
        <v>#DIV/0!</v>
      </c>
      <c r="J194" s="189" t="s">
        <v>534</v>
      </c>
      <c r="K194" s="189"/>
      <c r="L194" s="189"/>
      <c r="O194" s="2987" t="s">
        <v>2297</v>
      </c>
      <c r="P194" s="2988">
        <f>Freight!$C$55</f>
        <v>1060000</v>
      </c>
      <c r="Q194" s="2988">
        <f>Freight!$D$55</f>
        <v>1160000</v>
      </c>
      <c r="R194" s="2988">
        <f>Freight!$E$55</f>
        <v>1370000</v>
      </c>
      <c r="S194" s="2988">
        <f>Freight!$F$55</f>
        <v>1690000</v>
      </c>
      <c r="T194" s="2989">
        <f>Freight!$G$55</f>
        <v>2005000</v>
      </c>
      <c r="AT194" s="3598"/>
    </row>
    <row r="195" spans="2:46" ht="15" outlineLevel="2">
      <c r="B195" s="320" t="s">
        <v>204</v>
      </c>
      <c r="C195" s="3015">
        <f>0%*IF(input!B2="Oversea Client",0,1)</f>
        <v>0</v>
      </c>
      <c r="D195" s="136" t="s">
        <v>3044</v>
      </c>
      <c r="H195" s="320" t="s">
        <v>535</v>
      </c>
      <c r="I195" s="3026" t="e">
        <f>ROUNDUP(K193*I194,1)</f>
        <v>#DIV/0!</v>
      </c>
      <c r="J195" s="189" t="s">
        <v>563</v>
      </c>
      <c r="K195" s="983" t="e">
        <f>I194*M193/1000</f>
        <v>#DIV/0!</v>
      </c>
      <c r="L195" s="189"/>
      <c r="AT195" s="3598"/>
    </row>
    <row r="196" spans="2:46" ht="15" outlineLevel="2">
      <c r="B196" s="320" t="s">
        <v>21</v>
      </c>
      <c r="C196" s="348">
        <f>C193*C194</f>
        <v>0</v>
      </c>
      <c r="D196" s="320" t="s">
        <v>87</v>
      </c>
      <c r="H196" s="320"/>
      <c r="I196" s="1342"/>
      <c r="J196" s="189"/>
      <c r="K196" s="983"/>
      <c r="L196" s="189"/>
      <c r="AT196" s="3598"/>
    </row>
    <row r="197" spans="2:46" ht="15.75" outlineLevel="2" thickBot="1">
      <c r="B197" s="320" t="s">
        <v>85</v>
      </c>
      <c r="C197" s="348">
        <f>SUM(C189,C196)</f>
        <v>0</v>
      </c>
      <c r="D197" s="320" t="s">
        <v>87</v>
      </c>
      <c r="E197" s="136" t="str">
        <f>E194</f>
        <v>EXW Ningbo, P.R. CHINA 315412</v>
      </c>
      <c r="H197" s="3027" t="s">
        <v>3046</v>
      </c>
      <c r="I197" s="3028" t="e">
        <f>ROUNDUP(I195+I188,0)</f>
        <v>#DIV/0!</v>
      </c>
      <c r="J197" s="189"/>
      <c r="K197" s="349"/>
      <c r="L197" s="189"/>
      <c r="AT197" s="3598"/>
    </row>
    <row r="198" spans="2:46" ht="15" outlineLevel="2">
      <c r="B198" s="788" t="s">
        <v>41</v>
      </c>
      <c r="C198" s="323"/>
      <c r="D198" s="323"/>
      <c r="E198" s="323"/>
      <c r="F198" s="323"/>
      <c r="G198" s="328"/>
      <c r="AT198" s="3598"/>
    </row>
    <row r="199" spans="2:46" ht="15" outlineLevel="2">
      <c r="B199" s="1343" t="s">
        <v>3047</v>
      </c>
      <c r="C199" s="3029" t="e">
        <f>250+20*I197</f>
        <v>#DIV/0!</v>
      </c>
      <c r="D199" s="189" t="s">
        <v>3048</v>
      </c>
      <c r="E199" s="2930" t="e">
        <f>C199</f>
        <v>#DIV/0!</v>
      </c>
      <c r="F199" s="1344" t="s">
        <v>87</v>
      </c>
      <c r="G199" s="325"/>
      <c r="AT199" s="3598"/>
    </row>
    <row r="200" spans="2:46" ht="15" outlineLevel="2">
      <c r="B200" s="1343" t="s">
        <v>537</v>
      </c>
      <c r="C200" s="194"/>
      <c r="D200" s="189"/>
      <c r="E200" s="2930" t="e">
        <f>IF(I197&gt;0,IF((C197+E199)*1.1*0.065%&lt;(300000/input!$I$4),(300000/input!$I$4),(C197+E199)*1.1*0.065%),0)</f>
        <v>#DIV/0!</v>
      </c>
      <c r="F200" s="1344" t="s">
        <v>87</v>
      </c>
      <c r="G200" s="325"/>
      <c r="AT200" s="3598"/>
    </row>
    <row r="201" spans="2:46" ht="15" outlineLevel="2">
      <c r="B201" s="1343" t="s">
        <v>538</v>
      </c>
      <c r="C201" s="194"/>
      <c r="D201" s="194"/>
      <c r="E201" s="321"/>
      <c r="G201" s="325"/>
      <c r="AT201" s="3598"/>
    </row>
    <row r="202" spans="2:46" ht="15" outlineLevel="2">
      <c r="B202" s="1346" t="s">
        <v>2306</v>
      </c>
      <c r="C202" s="194">
        <v>10</v>
      </c>
      <c r="D202" s="189" t="s">
        <v>540</v>
      </c>
      <c r="E202" s="2930" t="e">
        <f>C202*I197</f>
        <v>#DIV/0!</v>
      </c>
      <c r="F202" s="1344" t="s">
        <v>87</v>
      </c>
      <c r="G202" s="325"/>
      <c r="AT202" s="3598"/>
    </row>
    <row r="203" spans="2:46" ht="15" outlineLevel="2">
      <c r="B203" s="1346" t="s">
        <v>539</v>
      </c>
      <c r="C203" s="3019">
        <v>8</v>
      </c>
      <c r="D203" s="189" t="s">
        <v>540</v>
      </c>
      <c r="E203" s="2930" t="e">
        <f>C203*I197</f>
        <v>#DIV/0!</v>
      </c>
      <c r="F203" s="1344" t="s">
        <v>87</v>
      </c>
      <c r="G203" s="325"/>
      <c r="AT203" s="3598"/>
    </row>
    <row r="204" spans="2:46" ht="15" outlineLevel="2">
      <c r="B204" s="1346" t="s">
        <v>541</v>
      </c>
      <c r="C204" s="3019">
        <f>40+20</f>
        <v>60</v>
      </c>
      <c r="D204" s="189" t="s">
        <v>542</v>
      </c>
      <c r="E204" s="2930" t="e">
        <f>IF(I197&gt;0,C204,0)</f>
        <v>#DIV/0!</v>
      </c>
      <c r="F204" s="1344" t="s">
        <v>87</v>
      </c>
      <c r="G204" s="325"/>
      <c r="AT204" s="3598"/>
    </row>
    <row r="205" spans="2:46" ht="15" outlineLevel="2">
      <c r="B205" s="1346" t="s">
        <v>543</v>
      </c>
      <c r="C205" s="194">
        <v>4</v>
      </c>
      <c r="D205" s="189" t="s">
        <v>540</v>
      </c>
      <c r="E205" s="2930" t="e">
        <f>C205*I197</f>
        <v>#DIV/0!</v>
      </c>
      <c r="F205" s="1344" t="s">
        <v>87</v>
      </c>
      <c r="G205" s="325"/>
      <c r="AT205" s="3598"/>
    </row>
    <row r="206" spans="2:46" ht="15" outlineLevel="2">
      <c r="B206" s="1346" t="s">
        <v>544</v>
      </c>
      <c r="C206" s="3019">
        <v>18</v>
      </c>
      <c r="D206" s="189" t="s">
        <v>540</v>
      </c>
      <c r="E206" s="2930" t="e">
        <f>C206*I197</f>
        <v>#DIV/0!</v>
      </c>
      <c r="F206" s="1344" t="s">
        <v>87</v>
      </c>
      <c r="G206" s="325"/>
      <c r="AT206" s="3598"/>
    </row>
    <row r="207" spans="2:46" ht="15" outlineLevel="2">
      <c r="B207" s="1346" t="s">
        <v>545</v>
      </c>
      <c r="C207" s="194">
        <v>0</v>
      </c>
      <c r="D207" s="189" t="s">
        <v>540</v>
      </c>
      <c r="E207" s="2930" t="e">
        <f>C207*I197</f>
        <v>#DIV/0!</v>
      </c>
      <c r="F207" s="1344" t="s">
        <v>87</v>
      </c>
      <c r="G207" s="325"/>
      <c r="AT207" s="3598"/>
    </row>
    <row r="208" spans="2:46" ht="15" outlineLevel="2">
      <c r="B208" s="1346" t="s">
        <v>729</v>
      </c>
      <c r="C208" s="189"/>
      <c r="D208" s="189"/>
      <c r="E208" s="3023" t="e">
        <f>(IF(I194&gt;0,MAX(IF(I197&lt;=P193,P194,IF(I197&lt;=Q193,Q194,IF(I197&lt;=R193,R194,IF(I197&lt;=S193,S194,IF(I197&lt;=T193,T194,0))))),IF(K195&lt;=P192,P194,IF(K195&lt;=Q192,Q194,IF(K195&lt;=R192,R194,IF(K195&lt;=S192,S194,IF(K195&lt;=T192,T194,0)))))),0)+700000)/input!$I$4</f>
        <v>#DIV/0!</v>
      </c>
      <c r="F208" s="1344" t="s">
        <v>87</v>
      </c>
      <c r="G208" s="325"/>
      <c r="AT208" s="3598"/>
    </row>
    <row r="209" spans="2:46" ht="15" outlineLevel="2">
      <c r="B209" s="1346" t="s">
        <v>558</v>
      </c>
      <c r="C209" s="194">
        <f>150000/input!$I$4*IF(input!$B$2="Oversea Client",1,0)</f>
        <v>0</v>
      </c>
      <c r="D209" s="189" t="s">
        <v>542</v>
      </c>
      <c r="E209" s="2930" t="e">
        <f>IF(I197&gt;0,C209,0)</f>
        <v>#DIV/0!</v>
      </c>
      <c r="F209" s="1344" t="s">
        <v>87</v>
      </c>
      <c r="G209" s="325"/>
      <c r="AT209" s="3598"/>
    </row>
    <row r="210" spans="2:46" ht="15" outlineLevel="2">
      <c r="B210" s="1346" t="s">
        <v>3012</v>
      </c>
      <c r="C210" s="194">
        <f>50000/input!$I$4</f>
        <v>2.1123785382340516</v>
      </c>
      <c r="D210" s="189" t="s">
        <v>3013</v>
      </c>
      <c r="E210" s="2930" t="e">
        <f>IF(K195&gt;0,C210*ROUNDUP(K195+K188,0),0)</f>
        <v>#DIV/0!</v>
      </c>
      <c r="F210" s="1344" t="s">
        <v>87</v>
      </c>
      <c r="G210" s="325"/>
      <c r="AT210" s="3598"/>
    </row>
    <row r="211" spans="2:46" ht="15" outlineLevel="2">
      <c r="B211" s="1346"/>
      <c r="C211" s="194"/>
      <c r="D211" s="189"/>
      <c r="E211" s="194"/>
      <c r="F211" s="1344"/>
      <c r="G211" s="325"/>
      <c r="AT211" s="3598"/>
    </row>
    <row r="212" spans="2:46" ht="15" outlineLevel="2">
      <c r="B212" s="350"/>
      <c r="C212" s="320"/>
      <c r="D212" s="314" t="s">
        <v>2212</v>
      </c>
      <c r="E212" s="321" t="e">
        <f>SUM($E199:$E200)+SUM($E202:$E210)*(1+8%)</f>
        <v>#DIV/0!</v>
      </c>
      <c r="F212" s="1344" t="s">
        <v>87</v>
      </c>
      <c r="G212" s="325"/>
      <c r="AT212" s="3598"/>
    </row>
    <row r="213" spans="2:46" ht="15" outlineLevel="2">
      <c r="B213" s="350"/>
      <c r="C213" s="320"/>
      <c r="H213" s="383"/>
      <c r="AT213" s="3598"/>
    </row>
    <row r="214" spans="2:46" ht="15" outlineLevel="2">
      <c r="B214" s="329"/>
      <c r="D214" s="3030" t="str">
        <f>B191</f>
        <v>Magnet (N38) dia 18mm x 1mm thickness</v>
      </c>
      <c r="H214" s="3018"/>
      <c r="I214" s="3031"/>
      <c r="AT214" s="3598"/>
    </row>
    <row r="215" spans="2:46" ht="15" outlineLevel="2">
      <c r="B215" s="329"/>
      <c r="D215" s="320" t="s">
        <v>538</v>
      </c>
      <c r="E215" s="194" t="e">
        <f>E212*I195/SUM(I188,I195)</f>
        <v>#DIV/0!</v>
      </c>
      <c r="F215" s="1344" t="s">
        <v>92</v>
      </c>
      <c r="AT215" s="3598"/>
    </row>
    <row r="216" spans="2:46" ht="15" outlineLevel="2">
      <c r="E216" s="3032" t="e">
        <f>(E215+C196)*input!I5/C193</f>
        <v>#DIV/0!</v>
      </c>
      <c r="F216" s="1344" t="s">
        <v>3049</v>
      </c>
      <c r="AT216" s="3598"/>
    </row>
    <row r="217" spans="2:46" ht="15" outlineLevel="2">
      <c r="D217" s="3021" t="s">
        <v>546</v>
      </c>
      <c r="E217" s="3033" t="e">
        <f>ROUNDUP(E216,0)</f>
        <v>#DIV/0!</v>
      </c>
      <c r="F217" s="816" t="str">
        <f>F216</f>
        <v>VND/pc (exc.waste)</v>
      </c>
      <c r="AT217" s="3598"/>
    </row>
    <row r="218" spans="2:46" ht="15" outlineLevel="2">
      <c r="AT218" s="3598"/>
    </row>
    <row r="219" spans="2:46" ht="15" outlineLevel="2">
      <c r="D219" s="3030" t="str">
        <f>B184</f>
        <v>Metal plate dia 20mm x 0.5mm thickness</v>
      </c>
      <c r="AT219" s="3598"/>
    </row>
    <row r="220" spans="2:46" ht="15" outlineLevel="2">
      <c r="D220" s="320" t="s">
        <v>538</v>
      </c>
      <c r="E220" s="194" t="e">
        <f>E212*I188/SUM(I188,I195)</f>
        <v>#DIV/0!</v>
      </c>
      <c r="F220" s="1344" t="s">
        <v>92</v>
      </c>
      <c r="AT220" s="3598"/>
    </row>
    <row r="221" spans="2:46" ht="15" outlineLevel="2">
      <c r="E221" s="320" t="e">
        <f>(E220+C189)*input!I5/C186</f>
        <v>#DIV/0!</v>
      </c>
      <c r="F221" s="1344" t="s">
        <v>3049</v>
      </c>
      <c r="AT221" s="3598"/>
    </row>
    <row r="222" spans="2:46" ht="15" outlineLevel="2">
      <c r="D222" s="3021" t="s">
        <v>546</v>
      </c>
      <c r="E222" s="3033" t="e">
        <f>ROUNDUP(E221,0)</f>
        <v>#DIV/0!</v>
      </c>
      <c r="F222" s="816" t="str">
        <f>F221</f>
        <v>VND/pc (exc.waste)</v>
      </c>
      <c r="AT222" s="3598"/>
    </row>
    <row r="223" spans="2:46" ht="15" outlineLevel="2">
      <c r="AT223" s="3598"/>
    </row>
    <row r="224" spans="2:46" ht="15" outlineLevel="2">
      <c r="AT224" s="3598"/>
    </row>
    <row r="225" spans="2:46" ht="15" outlineLevel="2">
      <c r="B225" s="3002" t="s">
        <v>3050</v>
      </c>
      <c r="C225" s="319"/>
      <c r="AT225" s="3598"/>
    </row>
    <row r="226" spans="2:46" ht="15" outlineLevel="2">
      <c r="B226" s="3034"/>
      <c r="C226" s="3035">
        <v>300</v>
      </c>
      <c r="D226" s="3036">
        <v>100</v>
      </c>
      <c r="E226" s="3037">
        <f>INT(D226*914.4/C226)</f>
        <v>304</v>
      </c>
      <c r="F226" s="3038"/>
      <c r="G226" s="3038"/>
      <c r="H226" s="3038"/>
      <c r="I226" s="3038"/>
      <c r="J226" s="3038"/>
      <c r="K226" s="3038"/>
      <c r="L226" s="3038"/>
      <c r="M226" s="3038"/>
      <c r="N226" s="3038"/>
      <c r="O226" s="3038"/>
      <c r="P226" s="3038"/>
      <c r="Q226" s="3038"/>
      <c r="R226" s="3038"/>
      <c r="S226" s="3038"/>
      <c r="T226" s="3038"/>
      <c r="AT226" s="3598"/>
    </row>
    <row r="227" spans="2:46" ht="15" outlineLevel="2">
      <c r="B227" s="320" t="s">
        <v>78</v>
      </c>
      <c r="C227" s="3012">
        <v>0.05</v>
      </c>
      <c r="F227" s="3013">
        <v>1</v>
      </c>
      <c r="G227" s="326" t="s">
        <v>524</v>
      </c>
      <c r="H227" s="189" t="s">
        <v>528</v>
      </c>
      <c r="I227" s="2930"/>
      <c r="J227" s="2930"/>
      <c r="K227" s="2930"/>
      <c r="L227" s="189" t="s">
        <v>10</v>
      </c>
      <c r="O227" s="2984" t="s">
        <v>2296</v>
      </c>
      <c r="P227" s="2985">
        <f>Freight!$C$53</f>
        <v>1</v>
      </c>
      <c r="Q227" s="2985">
        <f>Freight!$D$53</f>
        <v>2</v>
      </c>
      <c r="R227" s="2985">
        <f>Freight!$E$53</f>
        <v>3.5</v>
      </c>
      <c r="S227" s="2985">
        <f>Freight!$F$53</f>
        <v>5</v>
      </c>
      <c r="T227" s="2986">
        <f>Freight!$G$53</f>
        <v>8</v>
      </c>
      <c r="AT227" s="3598"/>
    </row>
    <row r="228" spans="2:46" ht="15" outlineLevel="2">
      <c r="B228" s="320" t="s">
        <v>529</v>
      </c>
      <c r="C228" s="335">
        <f>ROUNDUP($E$3*F227*(1+C227),0)</f>
        <v>5250</v>
      </c>
      <c r="D228" s="320" t="s">
        <v>287</v>
      </c>
      <c r="H228" s="189" t="s">
        <v>530</v>
      </c>
      <c r="I228" s="2930"/>
      <c r="J228" s="189" t="s">
        <v>3051</v>
      </c>
      <c r="K228" s="983">
        <f>I227*J227*K227/10^9</f>
        <v>0</v>
      </c>
      <c r="L228" s="189" t="s">
        <v>532</v>
      </c>
      <c r="M228" s="983"/>
      <c r="N228" s="136" t="s">
        <v>1488</v>
      </c>
      <c r="O228" s="2416" t="s">
        <v>2295</v>
      </c>
      <c r="P228" s="2417">
        <f>Freight!$C$54</f>
        <v>6.75</v>
      </c>
      <c r="Q228" s="2417">
        <f>Freight!$D$54</f>
        <v>10.404</v>
      </c>
      <c r="R228" s="2417">
        <f>Freight!$E$54</f>
        <v>17.442</v>
      </c>
      <c r="S228" s="2417">
        <f>Freight!$F$54</f>
        <v>25.214999999999996</v>
      </c>
      <c r="T228" s="2418">
        <f>Freight!$G$54</f>
        <v>33.88000000000001</v>
      </c>
      <c r="AT228" s="3598"/>
    </row>
    <row r="229" spans="2:46" ht="15" outlineLevel="2">
      <c r="B229" s="320"/>
      <c r="C229" s="335">
        <f>ROUNDUP(C228/E226,0)</f>
        <v>18</v>
      </c>
      <c r="D229" s="320" t="s">
        <v>104</v>
      </c>
      <c r="H229" s="189" t="s">
        <v>533</v>
      </c>
      <c r="I229" s="335" t="e">
        <f>ROUNDUP(C229/I228,0)</f>
        <v>#DIV/0!</v>
      </c>
      <c r="J229" s="189" t="s">
        <v>534</v>
      </c>
      <c r="K229" s="189"/>
      <c r="L229" s="189"/>
      <c r="O229" s="2987" t="s">
        <v>2297</v>
      </c>
      <c r="P229" s="2988">
        <f>Freight!$C$55</f>
        <v>1060000</v>
      </c>
      <c r="Q229" s="2988">
        <f>Freight!$D$55</f>
        <v>1160000</v>
      </c>
      <c r="R229" s="2988">
        <f>Freight!$E$55</f>
        <v>1370000</v>
      </c>
      <c r="S229" s="2988">
        <f>Freight!$F$55</f>
        <v>1690000</v>
      </c>
      <c r="T229" s="2989">
        <f>Freight!$G$55</f>
        <v>2005000</v>
      </c>
      <c r="AT229" s="3598"/>
    </row>
    <row r="230" spans="2:46" ht="15" outlineLevel="2">
      <c r="B230" s="320" t="s">
        <v>3052</v>
      </c>
      <c r="C230" s="335">
        <f>C229*D226</f>
        <v>1800</v>
      </c>
      <c r="D230" s="320" t="s">
        <v>3053</v>
      </c>
      <c r="H230" s="320" t="s">
        <v>535</v>
      </c>
      <c r="I230" s="1342" t="e">
        <f>ROUNDUP(K228*I229,0)</f>
        <v>#DIV/0!</v>
      </c>
      <c r="J230" s="189" t="s">
        <v>563</v>
      </c>
      <c r="K230" s="983" t="e">
        <f>I229*M228/1000</f>
        <v>#DIV/0!</v>
      </c>
      <c r="L230" s="189"/>
      <c r="AT230" s="3598"/>
    </row>
    <row r="231" spans="2:46" ht="15" outlineLevel="2">
      <c r="B231" s="320" t="s">
        <v>445</v>
      </c>
      <c r="C231" s="3025"/>
      <c r="D231" s="326" t="s">
        <v>3054</v>
      </c>
      <c r="E231" s="136" t="s">
        <v>3055</v>
      </c>
      <c r="J231" s="189"/>
      <c r="K231" s="349"/>
      <c r="L231" s="189"/>
      <c r="AT231" s="3598"/>
    </row>
    <row r="232" spans="2:46" ht="15" outlineLevel="2">
      <c r="B232" s="320" t="s">
        <v>204</v>
      </c>
      <c r="C232" s="3012">
        <f>12%*IF(input!$B$2="Oversea Client",0,1)</f>
        <v>0.12</v>
      </c>
      <c r="D232" s="136" t="s">
        <v>3044</v>
      </c>
      <c r="AT232" s="3598"/>
    </row>
    <row r="233" spans="2:46" ht="15.75" outlineLevel="2" thickBot="1">
      <c r="B233" s="320" t="s">
        <v>21</v>
      </c>
      <c r="C233" s="348">
        <f>C230*C231*(1+C232)</f>
        <v>0</v>
      </c>
      <c r="D233" s="320" t="s">
        <v>87</v>
      </c>
      <c r="E233" s="136" t="str">
        <f>E231</f>
        <v>EXW…</v>
      </c>
      <c r="AT233" s="3598"/>
    </row>
    <row r="234" spans="2:46" ht="15" outlineLevel="2">
      <c r="B234" s="788" t="s">
        <v>41</v>
      </c>
      <c r="C234" s="323"/>
      <c r="D234" s="323"/>
      <c r="E234" s="323"/>
      <c r="F234" s="323"/>
      <c r="G234" s="328"/>
      <c r="AT234" s="3598"/>
    </row>
    <row r="235" spans="2:46" ht="15" outlineLevel="2">
      <c r="B235" s="1343" t="s">
        <v>3056</v>
      </c>
      <c r="C235" s="194" t="e">
        <f>250+20*I230</f>
        <v>#DIV/0!</v>
      </c>
      <c r="D235" s="189" t="s">
        <v>3048</v>
      </c>
      <c r="E235" s="2930" t="e">
        <f>C235</f>
        <v>#DIV/0!</v>
      </c>
      <c r="F235" s="1344" t="s">
        <v>87</v>
      </c>
      <c r="G235" s="325"/>
      <c r="AT235" s="3598"/>
    </row>
    <row r="236" spans="2:46" ht="15" outlineLevel="2">
      <c r="B236" s="1343" t="s">
        <v>537</v>
      </c>
      <c r="C236" s="194"/>
      <c r="D236" s="189"/>
      <c r="E236" s="2930" t="e">
        <f>IF(I230&gt;0,IF((C233+E235)*1.1*0.065%&lt;(300000/input!$I$4),(300000/input!$I$4),(C233+E235)*1.1*0.065%),0)</f>
        <v>#DIV/0!</v>
      </c>
      <c r="F236" s="1344" t="s">
        <v>87</v>
      </c>
      <c r="G236" s="325"/>
      <c r="AT236" s="3598"/>
    </row>
    <row r="237" spans="2:46" ht="15" outlineLevel="2">
      <c r="B237" s="1343" t="s">
        <v>538</v>
      </c>
      <c r="C237" s="194"/>
      <c r="D237" s="194"/>
      <c r="E237" s="321"/>
      <c r="G237" s="325"/>
      <c r="AT237" s="3598"/>
    </row>
    <row r="238" spans="2:46" ht="15" outlineLevel="2">
      <c r="B238" s="1346" t="s">
        <v>2306</v>
      </c>
      <c r="C238" s="194">
        <v>10</v>
      </c>
      <c r="D238" s="189" t="s">
        <v>540</v>
      </c>
      <c r="E238" s="2930" t="e">
        <f>C238*I230</f>
        <v>#DIV/0!</v>
      </c>
      <c r="F238" s="1344" t="s">
        <v>87</v>
      </c>
      <c r="G238" s="325"/>
      <c r="H238" s="3039"/>
      <c r="AT238" s="3598"/>
    </row>
    <row r="239" spans="2:46" ht="15" outlineLevel="2">
      <c r="B239" s="1346" t="s">
        <v>539</v>
      </c>
      <c r="C239" s="3019">
        <v>8</v>
      </c>
      <c r="D239" s="189" t="s">
        <v>540</v>
      </c>
      <c r="E239" s="2930" t="e">
        <f>C239*I230</f>
        <v>#DIV/0!</v>
      </c>
      <c r="F239" s="1344" t="s">
        <v>87</v>
      </c>
      <c r="G239" s="325"/>
      <c r="H239" s="383"/>
      <c r="I239" s="383"/>
      <c r="AT239" s="3598"/>
    </row>
    <row r="240" spans="2:46" ht="15" outlineLevel="2">
      <c r="B240" s="1346" t="s">
        <v>541</v>
      </c>
      <c r="C240" s="3019">
        <f>40+20</f>
        <v>60</v>
      </c>
      <c r="D240" s="189" t="s">
        <v>542</v>
      </c>
      <c r="E240" s="2930" t="e">
        <f>IF(I230&gt;0,C240,0)</f>
        <v>#DIV/0!</v>
      </c>
      <c r="F240" s="1344" t="s">
        <v>87</v>
      </c>
      <c r="G240" s="325"/>
      <c r="H240" s="383"/>
      <c r="I240" s="383"/>
      <c r="AT240" s="3598"/>
    </row>
    <row r="241" spans="2:46" ht="15" outlineLevel="2">
      <c r="B241" s="1346" t="s">
        <v>543</v>
      </c>
      <c r="C241" s="194">
        <v>4</v>
      </c>
      <c r="D241" s="189" t="s">
        <v>540</v>
      </c>
      <c r="E241" s="2930" t="e">
        <f>C241*I230</f>
        <v>#DIV/0!</v>
      </c>
      <c r="F241" s="1344" t="s">
        <v>87</v>
      </c>
      <c r="G241" s="325"/>
      <c r="H241" s="383"/>
      <c r="I241" s="383"/>
      <c r="J241" s="383"/>
      <c r="K241" s="383"/>
      <c r="L241" s="383"/>
      <c r="M241" s="383"/>
      <c r="N241" s="383"/>
      <c r="AT241" s="3598"/>
    </row>
    <row r="242" spans="2:46" ht="15" outlineLevel="2">
      <c r="B242" s="1346" t="s">
        <v>544</v>
      </c>
      <c r="C242" s="3019">
        <v>18</v>
      </c>
      <c r="D242" s="189" t="s">
        <v>540</v>
      </c>
      <c r="E242" s="2930" t="e">
        <f>C242*I230</f>
        <v>#DIV/0!</v>
      </c>
      <c r="F242" s="1344" t="s">
        <v>87</v>
      </c>
      <c r="G242" s="325"/>
      <c r="I242" s="383"/>
      <c r="AT242" s="3598"/>
    </row>
    <row r="243" spans="2:46" ht="15" outlineLevel="2">
      <c r="B243" s="1346" t="s">
        <v>545</v>
      </c>
      <c r="C243" s="194">
        <v>0</v>
      </c>
      <c r="D243" s="189" t="s">
        <v>540</v>
      </c>
      <c r="E243" s="2930" t="e">
        <f>C243*I230</f>
        <v>#DIV/0!</v>
      </c>
      <c r="F243" s="1344" t="s">
        <v>87</v>
      </c>
      <c r="G243" s="325"/>
      <c r="AT243" s="3598"/>
    </row>
    <row r="244" spans="2:46" ht="15" outlineLevel="2">
      <c r="B244" s="1346" t="s">
        <v>729</v>
      </c>
      <c r="C244" s="189"/>
      <c r="D244" s="189"/>
      <c r="E244" s="3023" t="e">
        <f>(IF(I229&gt;0,MAX(IF(I230&lt;=P228,P229,IF(I230&lt;=Q228,Q229,IF(I230&lt;=R228,R229,IF(I230&lt;=S228,S229,IF(I230&lt;=T228,T229,0))))),IF(K230&lt;=P227,P229,IF(K230&lt;=Q227,Q229,IF(K230&lt;=R227,R229,IF(K230&lt;=S227,S229,IF(K230&lt;=T227,T229,0)))))),0)+700000)/input!$I$4</f>
        <v>#DIV/0!</v>
      </c>
      <c r="F244" s="1344" t="s">
        <v>87</v>
      </c>
      <c r="G244" s="325"/>
      <c r="AT244" s="3598"/>
    </row>
    <row r="245" spans="2:46" ht="15" outlineLevel="2">
      <c r="B245" s="1346" t="s">
        <v>558</v>
      </c>
      <c r="C245" s="194">
        <f>150000/input!$I$4*IF(input!$B$2="Oversea Client",1,0)</f>
        <v>0</v>
      </c>
      <c r="D245" s="189" t="s">
        <v>542</v>
      </c>
      <c r="E245" s="2930" t="e">
        <f>IF(I230&gt;0,C245,0)</f>
        <v>#DIV/0!</v>
      </c>
      <c r="F245" s="1344" t="s">
        <v>87</v>
      </c>
      <c r="G245" s="325"/>
      <c r="AT245" s="3598"/>
    </row>
    <row r="246" spans="2:46" ht="15" outlineLevel="2">
      <c r="B246" s="1346" t="s">
        <v>3012</v>
      </c>
      <c r="C246" s="194">
        <f>50000/input!$I$4</f>
        <v>2.1123785382340516</v>
      </c>
      <c r="D246" s="189" t="s">
        <v>3013</v>
      </c>
      <c r="E246" s="2930" t="e">
        <f>IF(K230&gt;0,C246*ROUNDUP(K230,0),0)</f>
        <v>#DIV/0!</v>
      </c>
      <c r="F246" s="1344" t="s">
        <v>87</v>
      </c>
      <c r="G246" s="325"/>
      <c r="AT246" s="3598"/>
    </row>
    <row r="247" spans="2:46" ht="15" outlineLevel="2">
      <c r="B247" s="1346"/>
      <c r="C247" s="194"/>
      <c r="D247" s="189"/>
      <c r="E247" s="194"/>
      <c r="F247" s="1344"/>
      <c r="G247" s="325"/>
      <c r="AT247" s="3598"/>
    </row>
    <row r="248" spans="2:46" ht="15" outlineLevel="2">
      <c r="B248" s="350"/>
      <c r="C248" s="320"/>
      <c r="D248" s="314" t="s">
        <v>2212</v>
      </c>
      <c r="E248" s="194" t="e">
        <f>SUM(E235:E236)+SUM(E238:E246)*(1+8%)</f>
        <v>#DIV/0!</v>
      </c>
      <c r="F248" s="1344" t="s">
        <v>87</v>
      </c>
      <c r="G248" s="325"/>
      <c r="AT248" s="3598"/>
    </row>
    <row r="249" spans="2:46" ht="15" outlineLevel="2">
      <c r="B249" s="350"/>
      <c r="C249" s="320"/>
      <c r="D249" s="320"/>
      <c r="E249" s="320" t="e">
        <f>(E248+C233)*input!I5</f>
        <v>#DIV/0!</v>
      </c>
      <c r="F249" s="1344" t="s">
        <v>92</v>
      </c>
      <c r="G249" s="325"/>
      <c r="AT249" s="3598"/>
    </row>
    <row r="250" spans="2:46" ht="15" outlineLevel="2">
      <c r="B250" s="329"/>
      <c r="E250" s="320" t="e">
        <f>E249/C228</f>
        <v>#DIV/0!</v>
      </c>
      <c r="F250" s="1344" t="s">
        <v>3057</v>
      </c>
      <c r="G250" s="325"/>
      <c r="AT250" s="3598"/>
    </row>
    <row r="251" spans="2:46" ht="15" outlineLevel="2">
      <c r="B251" s="329"/>
      <c r="D251" s="3040" t="s">
        <v>546</v>
      </c>
      <c r="E251" s="3041" t="e">
        <f>ROUNDUP(E250,0)</f>
        <v>#DIV/0!</v>
      </c>
      <c r="F251" s="3042" t="str">
        <f>F250</f>
        <v>VND/pc</v>
      </c>
      <c r="G251" s="325"/>
      <c r="AT251" s="3598"/>
    </row>
    <row r="252" spans="2:46" ht="16.5" outlineLevel="1">
      <c r="B252" s="3171" t="s">
        <v>3318</v>
      </c>
      <c r="C252" s="3172"/>
      <c r="D252" s="3172" t="s">
        <v>516</v>
      </c>
      <c r="E252" s="3173">
        <f>35000*(1+20%)</f>
        <v>42000</v>
      </c>
      <c r="F252" s="3172" t="s">
        <v>446</v>
      </c>
      <c r="G252" s="3174">
        <v>1500</v>
      </c>
      <c r="H252" s="3175" t="s">
        <v>3301</v>
      </c>
      <c r="AT252" s="3598"/>
    </row>
    <row r="253" spans="2:46" ht="16.5" outlineLevel="1">
      <c r="B253" s="3176" t="s">
        <v>3302</v>
      </c>
      <c r="C253" s="3180">
        <v>720</v>
      </c>
      <c r="D253" s="3176" t="s">
        <v>3303</v>
      </c>
      <c r="E253" s="3181">
        <v>0.2</v>
      </c>
      <c r="F253" s="3176"/>
      <c r="G253" s="3177">
        <f>INT(G252*1000/(C253*(1+E253)))</f>
        <v>1736</v>
      </c>
      <c r="H253" s="3177" t="s">
        <v>3304</v>
      </c>
      <c r="AT253" s="3598"/>
    </row>
    <row r="254" spans="2:46" ht="16.5" outlineLevel="1">
      <c r="B254" s="3176" t="s">
        <v>3305</v>
      </c>
      <c r="C254" s="3177">
        <f>$E$4</f>
        <v>5225</v>
      </c>
      <c r="D254" s="3176" t="s">
        <v>31</v>
      </c>
      <c r="E254" s="3176"/>
      <c r="F254" s="3176"/>
      <c r="G254" s="3176"/>
      <c r="H254" s="3177"/>
      <c r="AT254" s="3598"/>
    </row>
    <row r="255" spans="2:46" ht="16.5" outlineLevel="1">
      <c r="B255" s="3176"/>
      <c r="C255" s="3177">
        <f>ROUNDUP(C254/G253,0)</f>
        <v>4</v>
      </c>
      <c r="D255" s="3176" t="s">
        <v>104</v>
      </c>
      <c r="E255" s="3176"/>
      <c r="F255" s="3176"/>
      <c r="G255" s="3176"/>
      <c r="H255" s="3177"/>
      <c r="AT255" s="3598"/>
    </row>
    <row r="256" spans="2:46" ht="16.5" outlineLevel="1">
      <c r="B256" s="3178" t="s">
        <v>546</v>
      </c>
      <c r="C256" s="3179">
        <f>ROUNDUP(C255*E252/C254,0)</f>
        <v>33</v>
      </c>
      <c r="D256" s="3178" t="s">
        <v>3306</v>
      </c>
      <c r="E256" s="3176"/>
      <c r="F256" s="3176"/>
      <c r="G256" s="3176"/>
      <c r="H256" s="3177"/>
      <c r="AT256" s="3598"/>
    </row>
    <row r="257" spans="2:46" ht="15" outlineLevel="1">
      <c r="AT257" s="3598"/>
    </row>
    <row r="258" spans="2:46" ht="18" outlineLevel="1">
      <c r="B258" s="3171" t="s">
        <v>3317</v>
      </c>
      <c r="C258" s="3143"/>
      <c r="D258" s="3143"/>
      <c r="E258" s="3143"/>
      <c r="F258" s="3143"/>
      <c r="G258" s="3143"/>
      <c r="J258" s="3143"/>
      <c r="K258" s="3143"/>
      <c r="L258" s="3143"/>
      <c r="M258" s="3143"/>
      <c r="N258" s="3143"/>
      <c r="AT258" s="3598"/>
    </row>
    <row r="259" spans="2:46" ht="9.75" customHeight="1" outlineLevel="1">
      <c r="B259" s="3161"/>
      <c r="C259" s="3143"/>
      <c r="D259" s="3143"/>
      <c r="E259" s="3143"/>
      <c r="F259" s="3143"/>
      <c r="G259" s="3143"/>
      <c r="J259" s="3159" t="s">
        <v>3275</v>
      </c>
      <c r="K259" s="3143"/>
      <c r="L259" s="3143"/>
      <c r="M259" s="3143"/>
      <c r="N259" s="3143"/>
      <c r="AT259" s="3598"/>
    </row>
    <row r="260" spans="2:46" ht="21" outlineLevel="1">
      <c r="B260" s="3142" t="s">
        <v>567</v>
      </c>
      <c r="C260" s="3143">
        <v>3.3</v>
      </c>
      <c r="D260" s="3143" t="s">
        <v>366</v>
      </c>
      <c r="E260" s="3143"/>
      <c r="F260" s="3143"/>
      <c r="G260" s="3143"/>
      <c r="J260" s="2405" t="s">
        <v>3276</v>
      </c>
      <c r="K260" s="3143"/>
      <c r="L260" s="3143"/>
      <c r="M260" s="3143"/>
      <c r="N260" s="3143"/>
      <c r="AT260" s="3598"/>
    </row>
    <row r="261" spans="2:46" ht="21" outlineLevel="1">
      <c r="B261" s="3142" t="s">
        <v>1924</v>
      </c>
      <c r="C261" s="3143">
        <v>120</v>
      </c>
      <c r="D261" s="3143" t="s">
        <v>288</v>
      </c>
      <c r="E261" s="3143"/>
      <c r="F261" s="3143"/>
      <c r="G261" s="3143"/>
      <c r="J261" s="3159" t="s">
        <v>3277</v>
      </c>
      <c r="K261" s="3143"/>
      <c r="L261" s="3143"/>
      <c r="M261" s="3143"/>
      <c r="N261" s="3143"/>
      <c r="AT261" s="3598"/>
    </row>
    <row r="262" spans="2:46" ht="21.75" outlineLevel="1" thickBot="1">
      <c r="B262" s="3142" t="s">
        <v>3258</v>
      </c>
      <c r="C262" s="3143">
        <v>35</v>
      </c>
      <c r="D262" s="3143" t="s">
        <v>87</v>
      </c>
      <c r="E262" s="3143"/>
      <c r="F262" s="3143"/>
      <c r="G262" s="3143"/>
      <c r="J262" s="2405" t="s">
        <v>3278</v>
      </c>
      <c r="K262" s="3143"/>
      <c r="L262" s="3143"/>
      <c r="M262" s="3143"/>
      <c r="N262" s="3143"/>
      <c r="AT262" s="3598"/>
    </row>
    <row r="263" spans="2:46" ht="21.75" outlineLevel="1" thickBot="1">
      <c r="B263" s="3145" t="s">
        <v>538</v>
      </c>
      <c r="C263" s="3146">
        <f>SUM(C264:C268)</f>
        <v>309.89999999999998</v>
      </c>
      <c r="D263" s="3143" t="s">
        <v>87</v>
      </c>
      <c r="E263" s="3143"/>
      <c r="F263" s="3143"/>
      <c r="G263" s="3143"/>
      <c r="J263" s="2405" t="s">
        <v>3279</v>
      </c>
      <c r="K263" s="3143"/>
      <c r="L263" s="3143"/>
      <c r="M263" s="3143"/>
      <c r="N263" s="3143"/>
      <c r="AT263" s="3598"/>
    </row>
    <row r="264" spans="2:46" ht="18" outlineLevel="1">
      <c r="B264" s="3147" t="s">
        <v>3259</v>
      </c>
      <c r="C264" s="3148">
        <v>245</v>
      </c>
      <c r="D264" s="3143"/>
      <c r="E264" s="3143"/>
      <c r="F264" s="3143"/>
      <c r="G264" s="3143"/>
      <c r="J264" s="2887"/>
      <c r="K264" s="3143"/>
      <c r="L264" s="3143"/>
      <c r="M264" s="3143"/>
      <c r="N264" s="3143"/>
      <c r="AT264" s="3598"/>
    </row>
    <row r="265" spans="2:46" ht="18" outlineLevel="1">
      <c r="B265" s="3150" t="s">
        <v>3260</v>
      </c>
      <c r="C265" s="3151">
        <v>10</v>
      </c>
      <c r="D265" s="3143"/>
      <c r="E265" s="3143"/>
      <c r="F265" s="3143"/>
      <c r="G265" s="3143"/>
      <c r="J265" s="2888" t="s">
        <v>3280</v>
      </c>
      <c r="K265" s="3143"/>
      <c r="L265" s="3143"/>
      <c r="M265" s="3143"/>
      <c r="N265" s="3143"/>
      <c r="AT265" s="3598"/>
    </row>
    <row r="266" spans="2:46" ht="18" outlineLevel="1">
      <c r="B266" s="3150" t="s">
        <v>3261</v>
      </c>
      <c r="C266" s="3151">
        <v>25</v>
      </c>
      <c r="D266" s="3143"/>
      <c r="E266" s="3143"/>
      <c r="F266" s="3143"/>
      <c r="G266" s="3143"/>
      <c r="J266" s="2888"/>
      <c r="K266" s="3143"/>
      <c r="L266" s="3143"/>
      <c r="M266" s="3143"/>
      <c r="N266" s="3143"/>
      <c r="AT266" s="3598"/>
    </row>
    <row r="267" spans="2:46" ht="18" outlineLevel="1">
      <c r="B267" s="3150" t="s">
        <v>2925</v>
      </c>
      <c r="C267" s="3151">
        <v>24</v>
      </c>
      <c r="D267" s="3143"/>
      <c r="E267" s="3143"/>
      <c r="F267" s="3143"/>
      <c r="G267" s="3143"/>
      <c r="J267" s="2888" t="s">
        <v>3281</v>
      </c>
      <c r="K267" s="3143"/>
      <c r="L267" s="3143"/>
      <c r="M267" s="3143"/>
      <c r="N267" s="3143"/>
      <c r="AT267" s="3598"/>
    </row>
    <row r="268" spans="2:46" ht="18" outlineLevel="1">
      <c r="B268" s="3150" t="s">
        <v>3262</v>
      </c>
      <c r="C268" s="3151">
        <f>SUM(C265:C267)*10%</f>
        <v>5.9</v>
      </c>
      <c r="D268" s="3143"/>
      <c r="E268" s="3143"/>
      <c r="F268" s="3143"/>
      <c r="G268" s="3143"/>
      <c r="J268" s="2888"/>
      <c r="K268" s="3143"/>
      <c r="L268" s="3143"/>
      <c r="M268" s="3143"/>
      <c r="N268" s="3143"/>
      <c r="AT268" s="3598"/>
    </row>
    <row r="269" spans="2:46" ht="21.75" outlineLevel="1">
      <c r="B269" s="3142" t="s">
        <v>537</v>
      </c>
      <c r="C269" s="3153">
        <f>300000</f>
        <v>300000</v>
      </c>
      <c r="D269" s="3143" t="s">
        <v>92</v>
      </c>
      <c r="E269" s="3143"/>
      <c r="F269" s="3143"/>
      <c r="G269" s="3143"/>
      <c r="J269" s="2888"/>
      <c r="K269" s="3143"/>
      <c r="L269" s="3143"/>
      <c r="M269" s="3143"/>
      <c r="N269" s="3143"/>
      <c r="AT269" s="3598"/>
    </row>
    <row r="270" spans="2:46" ht="21.75" outlineLevel="1">
      <c r="B270" s="3142" t="s">
        <v>3263</v>
      </c>
      <c r="C270" s="3153">
        <v>1400000</v>
      </c>
      <c r="D270" s="3143" t="s">
        <v>92</v>
      </c>
      <c r="E270" s="3143"/>
      <c r="F270" s="3143"/>
      <c r="G270" s="3143"/>
      <c r="J270" s="3160" t="s">
        <v>3282</v>
      </c>
      <c r="K270" s="3143"/>
      <c r="L270" s="3143"/>
      <c r="M270" s="3143"/>
      <c r="N270" s="3143"/>
      <c r="AT270" s="3598"/>
    </row>
    <row r="271" spans="2:46" ht="21.75" outlineLevel="1">
      <c r="B271" s="3142" t="s">
        <v>3274</v>
      </c>
      <c r="C271" s="3153">
        <f>300000</f>
        <v>300000</v>
      </c>
      <c r="D271" s="3143" t="s">
        <v>92</v>
      </c>
      <c r="E271" s="3143"/>
      <c r="F271" s="3143"/>
      <c r="G271" s="3143"/>
      <c r="J271" s="3152"/>
      <c r="K271" s="3143"/>
      <c r="L271" s="3143"/>
      <c r="M271" s="3143"/>
      <c r="N271" s="3143"/>
      <c r="AT271" s="3598"/>
    </row>
    <row r="272" spans="2:46" ht="21" outlineLevel="1">
      <c r="B272" s="3142" t="s">
        <v>3264</v>
      </c>
      <c r="C272" s="3154">
        <f>(C261*C260+SUM(C262:C263)+SUM(C269:C271)/input!$I$4)*input!I5</f>
        <v>19817737.348119982</v>
      </c>
      <c r="D272" s="3154" t="s">
        <v>92</v>
      </c>
      <c r="E272" s="3154"/>
      <c r="F272" s="3154"/>
      <c r="G272" s="3143"/>
      <c r="J272" s="3144" t="s">
        <v>3265</v>
      </c>
      <c r="K272" s="3143"/>
      <c r="L272" s="3143"/>
      <c r="M272" s="3143"/>
      <c r="N272" s="3143"/>
      <c r="AT272" s="3598"/>
    </row>
    <row r="273" spans="2:46" ht="21" outlineLevel="1">
      <c r="B273" s="3155" t="s">
        <v>567</v>
      </c>
      <c r="C273" s="3156">
        <f>ROUNDUP(C272/C261,0)</f>
        <v>165148</v>
      </c>
      <c r="D273" s="3157" t="s">
        <v>93</v>
      </c>
      <c r="E273" s="3143"/>
      <c r="F273" s="3143"/>
      <c r="G273" s="3143"/>
      <c r="J273" s="3144" t="s">
        <v>3266</v>
      </c>
      <c r="K273" s="3143"/>
      <c r="L273" s="3143"/>
      <c r="M273" s="3143"/>
      <c r="N273" s="3143"/>
      <c r="AT273" s="3598"/>
    </row>
    <row r="274" spans="2:46" ht="18" outlineLevel="1">
      <c r="J274" s="3144" t="s">
        <v>3267</v>
      </c>
      <c r="K274" s="3143"/>
      <c r="L274" s="3143"/>
      <c r="M274" s="3143"/>
      <c r="N274" s="3143"/>
      <c r="AT274" s="3598"/>
    </row>
    <row r="275" spans="2:46" ht="18.75" outlineLevel="1">
      <c r="B275" s="3318"/>
      <c r="C275" s="3319"/>
      <c r="D275" s="3319"/>
      <c r="E275" s="3172">
        <v>2</v>
      </c>
      <c r="F275" s="3172" t="s">
        <v>524</v>
      </c>
      <c r="J275" s="3144" t="s">
        <v>3268</v>
      </c>
      <c r="K275" s="3143"/>
      <c r="L275" s="3143"/>
      <c r="M275" s="3143"/>
      <c r="N275" s="3143"/>
      <c r="AT275" s="3598"/>
    </row>
    <row r="276" spans="2:46" ht="18.75" outlineLevel="1">
      <c r="B276" s="3320" t="s">
        <v>516</v>
      </c>
      <c r="C276" s="3321">
        <f>+C273</f>
        <v>165148</v>
      </c>
      <c r="D276" s="3320" t="s">
        <v>290</v>
      </c>
      <c r="E276" s="3320"/>
      <c r="F276" s="3320"/>
      <c r="J276" s="3144" t="s">
        <v>3269</v>
      </c>
      <c r="K276" s="3143"/>
      <c r="L276" s="3143"/>
      <c r="M276" s="3143"/>
      <c r="N276" s="3143"/>
      <c r="AT276" s="3598"/>
    </row>
    <row r="277" spans="2:46" ht="18.75" outlineLevel="1">
      <c r="B277" s="3320"/>
      <c r="C277" s="3320">
        <v>620</v>
      </c>
      <c r="D277" s="3322" t="s">
        <v>3399</v>
      </c>
      <c r="E277" s="3320"/>
      <c r="F277" s="3320"/>
      <c r="J277" s="3149"/>
      <c r="K277" s="3143"/>
      <c r="L277" s="3143"/>
      <c r="M277" s="3143"/>
      <c r="N277" s="3143"/>
      <c r="AT277" s="3598"/>
    </row>
    <row r="278" spans="2:46" ht="18.75" outlineLevel="1">
      <c r="B278" s="3320"/>
      <c r="C278" s="3320">
        <f>ROUNDUP(30*1.2,-1)</f>
        <v>40</v>
      </c>
      <c r="D278" s="3322" t="s">
        <v>3400</v>
      </c>
      <c r="E278" s="3320"/>
      <c r="F278" s="3320"/>
      <c r="J278" s="3158" t="s">
        <v>3270</v>
      </c>
      <c r="K278" s="3143"/>
      <c r="L278" s="3143"/>
      <c r="M278" s="3143"/>
      <c r="N278" s="3143"/>
      <c r="AT278" s="3598"/>
    </row>
    <row r="279" spans="2:46" ht="18.75" outlineLevel="1">
      <c r="B279" s="3320"/>
      <c r="C279" s="3320">
        <f>INT(C277*1000/C278)</f>
        <v>15500</v>
      </c>
      <c r="D279" s="3322" t="s">
        <v>285</v>
      </c>
      <c r="E279" s="3320"/>
      <c r="F279" s="3320"/>
      <c r="J279" s="3158"/>
      <c r="K279" s="3143"/>
      <c r="L279" s="3143"/>
      <c r="M279" s="3143"/>
      <c r="N279" s="3143"/>
      <c r="AT279" s="3598"/>
    </row>
    <row r="280" spans="2:46" ht="18.75" outlineLevel="1">
      <c r="B280" s="3320" t="s">
        <v>533</v>
      </c>
      <c r="C280" s="3320">
        <f>E275*$E$3*(1+2%)</f>
        <v>10200</v>
      </c>
      <c r="D280" s="3322" t="s">
        <v>287</v>
      </c>
      <c r="E280" s="3320"/>
      <c r="F280" s="3320"/>
      <c r="J280" s="3158" t="s">
        <v>3271</v>
      </c>
      <c r="K280" s="3143"/>
      <c r="L280" s="3143"/>
      <c r="M280" s="3143"/>
      <c r="N280" s="3143"/>
      <c r="AT280" s="3598"/>
    </row>
    <row r="281" spans="2:46" ht="18.75" outlineLevel="1">
      <c r="B281" s="3320"/>
      <c r="C281" s="3323">
        <f>ROUNDUP(C280/C279,1)</f>
        <v>0.7</v>
      </c>
      <c r="D281" s="3322" t="s">
        <v>288</v>
      </c>
      <c r="E281" s="3320"/>
      <c r="F281" s="3320"/>
      <c r="J281" s="3158"/>
      <c r="K281" s="3143"/>
      <c r="L281" s="3143"/>
      <c r="M281" s="3143"/>
      <c r="N281" s="3143"/>
      <c r="AT281" s="3598"/>
    </row>
    <row r="282" spans="2:46" ht="18.75" outlineLevel="1">
      <c r="B282" s="3320" t="s">
        <v>3074</v>
      </c>
      <c r="C282" s="3320">
        <f>C281*C276</f>
        <v>115603.59999999999</v>
      </c>
      <c r="D282" s="3322" t="s">
        <v>92</v>
      </c>
      <c r="E282" s="3320"/>
      <c r="F282" s="3324"/>
      <c r="J282" s="3158" t="s">
        <v>3272</v>
      </c>
      <c r="K282" s="3143"/>
      <c r="L282" s="3143"/>
      <c r="M282" s="3143"/>
      <c r="N282" s="3143"/>
      <c r="AT282" s="3598"/>
    </row>
    <row r="283" spans="2:46" ht="18.75" outlineLevel="1">
      <c r="B283" s="136" t="s">
        <v>3256</v>
      </c>
      <c r="C283" s="1266">
        <v>0</v>
      </c>
      <c r="E283" s="3320"/>
      <c r="F283" s="3320"/>
      <c r="J283" s="3158"/>
      <c r="K283" s="3143"/>
      <c r="L283" s="3143"/>
      <c r="M283" s="3143"/>
      <c r="N283" s="3143"/>
      <c r="AT283" s="3598"/>
    </row>
    <row r="284" spans="2:46" ht="18" outlineLevel="1">
      <c r="B284" s="136" t="s">
        <v>762</v>
      </c>
      <c r="C284" s="854">
        <f>ROUNDUP(C282*(1+C283)/E3,0)</f>
        <v>24</v>
      </c>
      <c r="D284" s="136" t="s">
        <v>97</v>
      </c>
      <c r="J284" s="3158"/>
      <c r="K284" s="3143"/>
      <c r="L284" s="3143"/>
      <c r="M284" s="3143"/>
      <c r="N284" s="3143"/>
      <c r="AT284" s="3598"/>
    </row>
    <row r="285" spans="2:46" ht="18" outlineLevel="1">
      <c r="J285" s="3158" t="s">
        <v>3273</v>
      </c>
      <c r="K285" s="3143"/>
      <c r="L285" s="3143"/>
      <c r="M285" s="3143"/>
      <c r="N285" s="3143"/>
      <c r="AT285" s="3598"/>
    </row>
    <row r="286" spans="2:46" ht="18" outlineLevel="1">
      <c r="J286" s="3143"/>
      <c r="K286" s="3143"/>
      <c r="L286" s="3143"/>
      <c r="M286" s="3143"/>
      <c r="N286" s="3143"/>
      <c r="AT286" s="3598"/>
    </row>
    <row r="287" spans="2:46" ht="15" outlineLevel="1">
      <c r="AT287" s="3598"/>
    </row>
    <row r="288" spans="2:46" ht="18" outlineLevel="1">
      <c r="B288" s="3171" t="s">
        <v>3319</v>
      </c>
      <c r="C288" s="3162"/>
      <c r="D288" s="3162"/>
      <c r="E288" s="3162"/>
      <c r="F288" s="3162"/>
      <c r="G288" s="3143"/>
      <c r="J288" s="3144" t="s">
        <v>3283</v>
      </c>
      <c r="K288" s="3143"/>
      <c r="L288" s="3143"/>
      <c r="M288" s="3143"/>
      <c r="AT288" s="3598"/>
    </row>
    <row r="289" spans="2:46" ht="18" outlineLevel="1">
      <c r="B289" s="3162"/>
      <c r="C289" s="3162"/>
      <c r="D289" s="3162"/>
      <c r="E289" s="3162"/>
      <c r="F289" s="3162"/>
      <c r="G289" s="3143"/>
      <c r="J289" s="3144" t="s">
        <v>3284</v>
      </c>
      <c r="K289" s="3143"/>
      <c r="L289" s="3143"/>
      <c r="M289" s="3143"/>
      <c r="AT289" s="3598"/>
    </row>
    <row r="290" spans="2:46" ht="18" outlineLevel="1">
      <c r="B290" s="3161"/>
      <c r="C290" s="3163">
        <v>24</v>
      </c>
      <c r="D290" s="3164" t="s">
        <v>3051</v>
      </c>
      <c r="E290" s="3165"/>
      <c r="F290" s="3162"/>
      <c r="G290" s="3143"/>
      <c r="J290" s="3144" t="s">
        <v>3285</v>
      </c>
      <c r="K290" s="3143"/>
      <c r="L290" s="3143"/>
      <c r="M290" s="3143"/>
      <c r="AT290" s="3598"/>
    </row>
    <row r="291" spans="2:46" ht="18" outlineLevel="1">
      <c r="B291" s="3161"/>
      <c r="C291" s="3163">
        <v>12</v>
      </c>
      <c r="D291" s="3164" t="s">
        <v>534</v>
      </c>
      <c r="E291" s="3166"/>
      <c r="F291" s="3162"/>
      <c r="G291" s="3143"/>
      <c r="J291" s="3144" t="s">
        <v>3286</v>
      </c>
      <c r="K291" s="3143"/>
      <c r="L291" s="3143"/>
      <c r="M291" s="3143"/>
      <c r="AT291" s="3598"/>
    </row>
    <row r="292" spans="2:46" ht="18" outlineLevel="1">
      <c r="B292" s="3161" t="s">
        <v>21</v>
      </c>
      <c r="C292" s="3161">
        <f>C291*C290</f>
        <v>288</v>
      </c>
      <c r="D292" s="3164" t="s">
        <v>104</v>
      </c>
      <c r="E292" s="3161"/>
      <c r="F292" s="3162"/>
      <c r="G292" s="3143"/>
      <c r="J292" s="3144" t="s">
        <v>3287</v>
      </c>
      <c r="K292" s="3143"/>
      <c r="L292" s="3143"/>
      <c r="M292" s="3143"/>
      <c r="AT292" s="3598"/>
    </row>
    <row r="293" spans="2:46" ht="18" outlineLevel="1">
      <c r="B293" s="3161" t="s">
        <v>2938</v>
      </c>
      <c r="C293" s="3161">
        <v>65</v>
      </c>
      <c r="D293" s="3164" t="s">
        <v>3288</v>
      </c>
      <c r="E293" s="3161"/>
      <c r="F293" s="3162"/>
      <c r="G293" s="3143"/>
      <c r="J293" s="3149"/>
      <c r="K293" s="3143"/>
      <c r="L293" s="3143"/>
      <c r="M293" s="3143"/>
      <c r="AT293" s="3598"/>
    </row>
    <row r="294" spans="2:46" ht="18" outlineLevel="1">
      <c r="B294" s="3161" t="s">
        <v>3289</v>
      </c>
      <c r="C294" s="3161">
        <f>C293*C291</f>
        <v>780</v>
      </c>
      <c r="D294" s="3164"/>
      <c r="E294" s="3161"/>
      <c r="F294" s="3162"/>
      <c r="G294" s="3143"/>
      <c r="J294" s="3158" t="s">
        <v>3290</v>
      </c>
      <c r="K294" s="3143"/>
      <c r="L294" s="3143"/>
      <c r="M294" s="3143"/>
      <c r="AT294" s="3598"/>
    </row>
    <row r="295" spans="2:46" ht="18" outlineLevel="1">
      <c r="B295" s="3161" t="s">
        <v>3291</v>
      </c>
      <c r="C295" s="3161">
        <v>50</v>
      </c>
      <c r="D295" s="3164"/>
      <c r="E295" s="3161"/>
      <c r="F295" s="3162"/>
      <c r="G295" s="3143"/>
      <c r="J295" s="3158"/>
      <c r="K295" s="3143"/>
      <c r="L295" s="3143"/>
      <c r="M295" s="3143"/>
      <c r="AT295" s="3598"/>
    </row>
    <row r="296" spans="2:46" ht="18" outlineLevel="1">
      <c r="B296" s="3167" t="s">
        <v>3289</v>
      </c>
      <c r="C296" s="3167">
        <f>SUM(C294:C295)</f>
        <v>830</v>
      </c>
      <c r="D296" s="3167" t="s">
        <v>87</v>
      </c>
      <c r="E296" s="3161"/>
      <c r="F296" s="3162"/>
      <c r="G296" s="3143"/>
      <c r="J296" s="3158" t="s">
        <v>3292</v>
      </c>
      <c r="K296" s="3143"/>
      <c r="L296" s="3143"/>
      <c r="M296" s="3143"/>
      <c r="AT296" s="3598"/>
    </row>
    <row r="297" spans="2:46" ht="18" outlineLevel="1">
      <c r="B297" s="3167" t="s">
        <v>3293</v>
      </c>
      <c r="C297" s="3167">
        <f>(235+25+24+15+70)*(1+8%)</f>
        <v>398.52000000000004</v>
      </c>
      <c r="D297" s="3167" t="s">
        <v>87</v>
      </c>
      <c r="E297" s="3162"/>
      <c r="F297" s="3162"/>
      <c r="G297" s="3143"/>
      <c r="J297" s="3158"/>
      <c r="K297" s="3143"/>
      <c r="L297" s="3143"/>
      <c r="M297" s="3143"/>
      <c r="AT297" s="3598"/>
    </row>
    <row r="298" spans="2:46" ht="18" outlineLevel="1">
      <c r="B298" s="3167" t="s">
        <v>3294</v>
      </c>
      <c r="C298" s="3167">
        <f>ROUNDUP('Data Extra cost'!$V$123/input!$I$4,0)</f>
        <v>45</v>
      </c>
      <c r="D298" s="3167" t="s">
        <v>87</v>
      </c>
      <c r="E298" s="3162"/>
      <c r="F298" s="3162"/>
      <c r="G298" s="3143"/>
      <c r="J298" s="3158" t="s">
        <v>3295</v>
      </c>
      <c r="K298" s="3143"/>
      <c r="L298" s="3143"/>
      <c r="M298" s="3143"/>
      <c r="AT298" s="3598"/>
    </row>
    <row r="299" spans="2:46" ht="18" outlineLevel="1">
      <c r="B299" s="3168" t="s">
        <v>85</v>
      </c>
      <c r="C299" s="3168">
        <f>SUM(C296:C298)</f>
        <v>1273.52</v>
      </c>
      <c r="D299" s="3168" t="s">
        <v>87</v>
      </c>
      <c r="E299" s="3162"/>
      <c r="F299" s="3162"/>
      <c r="G299" s="3143"/>
      <c r="J299" s="3149" t="s">
        <v>3296</v>
      </c>
      <c r="K299" s="3143"/>
      <c r="L299" s="3143"/>
      <c r="M299" s="3143"/>
      <c r="AT299" s="3598"/>
    </row>
    <row r="300" spans="2:46" ht="18" outlineLevel="1">
      <c r="B300" s="3169" t="s">
        <v>762</v>
      </c>
      <c r="C300" s="3170">
        <f>ROUNDUP(C299/C292*input!I5,-3)</f>
        <v>107000</v>
      </c>
      <c r="D300" s="3169" t="s">
        <v>1263</v>
      </c>
      <c r="E300" s="3162"/>
      <c r="F300" s="3162"/>
      <c r="G300" s="3143"/>
      <c r="J300" s="3149" t="s">
        <v>3297</v>
      </c>
      <c r="K300" s="3143"/>
      <c r="L300" s="3143"/>
      <c r="M300" s="3143"/>
      <c r="AT300" s="3598"/>
    </row>
    <row r="301" spans="2:46" ht="18" outlineLevel="1">
      <c r="J301" s="3149" t="s">
        <v>3298</v>
      </c>
      <c r="K301" s="3143"/>
      <c r="L301" s="3143"/>
      <c r="M301" s="3143"/>
      <c r="AT301" s="3598"/>
    </row>
    <row r="302" spans="2:46" ht="18" outlineLevel="1">
      <c r="J302" s="3149" t="s">
        <v>3299</v>
      </c>
      <c r="K302" s="3143"/>
      <c r="L302" s="3143"/>
      <c r="M302" s="3143"/>
      <c r="AT302" s="3598"/>
    </row>
    <row r="303" spans="2:46" ht="18" outlineLevel="1">
      <c r="J303" s="3158"/>
      <c r="K303" s="3143"/>
      <c r="L303" s="3143"/>
      <c r="M303" s="3143"/>
      <c r="AT303" s="3598"/>
    </row>
    <row r="304" spans="2:46" ht="18" outlineLevel="1">
      <c r="J304" s="3158" t="s">
        <v>3300</v>
      </c>
      <c r="K304" s="3143"/>
      <c r="L304" s="3143"/>
      <c r="M304" s="3143"/>
      <c r="AT304" s="3598"/>
    </row>
    <row r="305" spans="46:46" ht="15" outlineLevel="1">
      <c r="AT305" s="3598"/>
    </row>
    <row r="306" spans="46:46" ht="15" outlineLevel="1">
      <c r="AT306" s="3598"/>
    </row>
    <row r="307" spans="46:46" ht="15" outlineLevel="1">
      <c r="AT307" s="3598"/>
    </row>
    <row r="308" spans="46:46" ht="15" outlineLevel="1">
      <c r="AT308" s="3598"/>
    </row>
    <row r="309" spans="46:46" ht="15" outlineLevel="1">
      <c r="AT309" s="3598"/>
    </row>
    <row r="310" spans="46:46" ht="15" outlineLevel="1">
      <c r="AT310" s="3598"/>
    </row>
    <row r="311" spans="46:46" ht="15" outlineLevel="1">
      <c r="AT311" s="3598"/>
    </row>
    <row r="312" spans="46:46" ht="15" outlineLevel="1">
      <c r="AT312" s="3598"/>
    </row>
    <row r="313" spans="46:46" ht="15" outlineLevel="1">
      <c r="AT313" s="3598"/>
    </row>
    <row r="314" spans="46:46" ht="15" outlineLevel="1">
      <c r="AT314" s="3598"/>
    </row>
    <row r="315" spans="46:46" ht="15" outlineLevel="1">
      <c r="AT315" s="3598"/>
    </row>
    <row r="316" spans="46:46" ht="15" outlineLevel="1">
      <c r="AT316" s="3598"/>
    </row>
    <row r="317" spans="46:46" ht="15" outlineLevel="1">
      <c r="AT317" s="3598"/>
    </row>
    <row r="318" spans="46:46" ht="15" outlineLevel="1">
      <c r="AT318" s="3598"/>
    </row>
    <row r="319" spans="46:46" ht="15" outlineLevel="1">
      <c r="AT319" s="3598"/>
    </row>
    <row r="320" spans="46:46" ht="15" outlineLevel="1">
      <c r="AT320" s="3598"/>
    </row>
    <row r="321" spans="46:46" ht="15" outlineLevel="1">
      <c r="AT321" s="3598"/>
    </row>
    <row r="322" spans="46:46" ht="15" outlineLevel="1">
      <c r="AT322" s="3598"/>
    </row>
    <row r="323" spans="46:46" ht="15">
      <c r="AT323" s="3598"/>
    </row>
    <row r="324" spans="46:46" ht="15">
      <c r="AT324" s="3598"/>
    </row>
    <row r="325" spans="46:46" ht="15">
      <c r="AT325" s="3598"/>
    </row>
    <row r="326" spans="46:46" ht="15">
      <c r="AT326" s="3598"/>
    </row>
  </sheetData>
  <mergeCells count="5">
    <mergeCell ref="C71:D71"/>
    <mergeCell ref="C86:D86"/>
    <mergeCell ref="C78:D78"/>
    <mergeCell ref="C93:D93"/>
    <mergeCell ref="O135:P135"/>
  </mergeCells>
  <dataValidations count="1">
    <dataValidation type="list" allowBlank="1" showInputMessage="1" showErrorMessage="1" sqref="I165" xr:uid="{00000000-0002-0000-2700-000000000000}">
      <formula1>$K$171:$K$172</formula1>
    </dataValidation>
  </dataValidations>
  <hyperlinks>
    <hyperlink ref="J259" r:id="rId1" display="mailto:ngoc.nguyenhong@starprintvn.com" xr:uid="{00000000-0004-0000-2700-000000000000}"/>
    <hyperlink ref="J261" r:id="rId2" display="mailto:est@starprintvn.com" xr:uid="{00000000-0004-0000-2700-000001000000}"/>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1000000}">
          <x14:formula1>
            <xm:f>weight!$A$5:$A$39</xm:f>
          </x14:formula1>
          <xm:sqref>A72 A94:A102 A87:A88 A79</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tabColor rgb="FFFF0000"/>
  </sheetPr>
  <dimension ref="A1:K18"/>
  <sheetViews>
    <sheetView workbookViewId="0">
      <selection activeCell="B15" sqref="B15"/>
    </sheetView>
  </sheetViews>
  <sheetFormatPr defaultColWidth="8.7109375" defaultRowHeight="18.75"/>
  <cols>
    <col min="1" max="1" width="8.7109375" style="199" customWidth="1"/>
    <col min="2" max="2" width="12.85546875" style="199" customWidth="1"/>
    <col min="3" max="3" width="11" style="199" customWidth="1"/>
    <col min="4" max="4" width="15" style="198" customWidth="1"/>
    <col min="5" max="5" width="16" style="198" customWidth="1"/>
    <col min="6" max="6" width="8.85546875" style="198" customWidth="1"/>
    <col min="7" max="7" width="11.5703125" style="198" customWidth="1"/>
    <col min="8" max="8" width="9.42578125" style="198" customWidth="1"/>
    <col min="9" max="9" width="9" style="198" customWidth="1"/>
    <col min="10" max="10" width="10.7109375" style="198" customWidth="1"/>
    <col min="11" max="16384" width="8.7109375" style="199"/>
  </cols>
  <sheetData>
    <row r="1" spans="1:11">
      <c r="A1" s="196"/>
      <c r="B1" s="197" t="s">
        <v>746</v>
      </c>
      <c r="C1" s="197" t="s">
        <v>457</v>
      </c>
    </row>
    <row r="2" spans="1:11">
      <c r="A2" s="196"/>
      <c r="B2" s="200"/>
      <c r="C2" s="201"/>
      <c r="E2" s="202">
        <v>0</v>
      </c>
    </row>
    <row r="3" spans="1:11">
      <c r="A3" s="196" t="s">
        <v>747</v>
      </c>
      <c r="B3" s="203">
        <v>0</v>
      </c>
      <c r="C3" s="196" t="s">
        <v>439</v>
      </c>
      <c r="D3" s="204" t="s">
        <v>748</v>
      </c>
      <c r="E3" s="205">
        <v>0</v>
      </c>
      <c r="F3" s="205">
        <v>0</v>
      </c>
      <c r="H3" s="206" t="s">
        <v>749</v>
      </c>
    </row>
    <row r="4" spans="1:11">
      <c r="A4" s="207" t="s">
        <v>750</v>
      </c>
      <c r="B4" s="208">
        <f>(B3*E2*E4*F4*G4)/10^9</f>
        <v>0</v>
      </c>
      <c r="C4" s="209" t="s">
        <v>92</v>
      </c>
      <c r="D4" s="204" t="s">
        <v>751</v>
      </c>
      <c r="E4" s="205">
        <v>0</v>
      </c>
      <c r="F4" s="205">
        <v>0</v>
      </c>
      <c r="G4" s="210">
        <v>0</v>
      </c>
      <c r="H4" s="211"/>
    </row>
    <row r="5" spans="1:11">
      <c r="A5" s="212" t="s">
        <v>213</v>
      </c>
      <c r="B5" s="213" t="e">
        <f>B3*E3*F3*D5*G5+H5</f>
        <v>#REF!</v>
      </c>
      <c r="C5" s="214" t="s">
        <v>92</v>
      </c>
      <c r="D5" s="215" t="e">
        <f>'Production cost'!#REF!</f>
        <v>#REF!</v>
      </c>
      <c r="E5" s="216" t="e">
        <f>'Production cost'!#REF!</f>
        <v>#REF!</v>
      </c>
      <c r="F5" s="217">
        <v>0</v>
      </c>
      <c r="G5" s="218">
        <v>0</v>
      </c>
      <c r="H5" s="211">
        <f>IF(G5&gt;0,0.2*G5*E5,0)</f>
        <v>0</v>
      </c>
    </row>
    <row r="6" spans="1:11">
      <c r="A6" s="219"/>
      <c r="B6" s="220" t="e">
        <f>B3*E3*F3*D6*G6+H6</f>
        <v>#REF!</v>
      </c>
      <c r="C6" s="221" t="s">
        <v>92</v>
      </c>
      <c r="D6" s="215" t="e">
        <f>'Production cost'!#REF!</f>
        <v>#REF!</v>
      </c>
      <c r="E6" s="222" t="e">
        <f>'Production cost'!#REF!</f>
        <v>#REF!</v>
      </c>
      <c r="F6" s="217">
        <v>0</v>
      </c>
      <c r="G6" s="218">
        <v>0</v>
      </c>
      <c r="H6" s="211">
        <f>IF(G6&gt;0,0.2*G6*E6,0)</f>
        <v>0</v>
      </c>
    </row>
    <row r="7" spans="1:11">
      <c r="A7" s="207" t="s">
        <v>140</v>
      </c>
      <c r="B7" s="208" t="e">
        <f>(B3*E3*F3*D7*F7)+H7</f>
        <v>#REF!</v>
      </c>
      <c r="C7" s="209" t="s">
        <v>92</v>
      </c>
      <c r="D7" s="223" t="e">
        <f>VLOOKUP(G7,#REF!,5,0)</f>
        <v>#REF!</v>
      </c>
      <c r="E7" s="224" t="e">
        <f>VLOOKUP(G7,#REF!,4,0)</f>
        <v>#REF!</v>
      </c>
      <c r="F7" s="225">
        <v>1</v>
      </c>
      <c r="G7" s="226" t="s">
        <v>127</v>
      </c>
      <c r="H7" s="211">
        <f>IF(G7="None",0,1*E7)</f>
        <v>0</v>
      </c>
    </row>
    <row r="8" spans="1:11">
      <c r="A8" s="207" t="s">
        <v>215</v>
      </c>
      <c r="B8" s="208" t="e">
        <f>(B3*E3*F3*D8)*I8+H8</f>
        <v>#REF!</v>
      </c>
      <c r="C8" s="209" t="s">
        <v>92</v>
      </c>
      <c r="D8" s="223" t="e">
        <f>VLOOKUP(G8,#REF!,5,0)</f>
        <v>#REF!</v>
      </c>
      <c r="E8" s="224" t="e">
        <f>VLOOKUP(G8,#REF!,4,0)</f>
        <v>#REF!</v>
      </c>
      <c r="F8" s="206" t="e">
        <f>VLOOKUP(G8,#REF!,2,0)</f>
        <v>#REF!</v>
      </c>
      <c r="G8" s="227" t="s">
        <v>127</v>
      </c>
      <c r="H8" s="211">
        <f>IF(I8&gt;0%,1*E8,0)</f>
        <v>0</v>
      </c>
      <c r="I8" s="228">
        <v>0</v>
      </c>
    </row>
    <row r="9" spans="1:11">
      <c r="A9" s="207" t="s">
        <v>151</v>
      </c>
      <c r="B9" s="208" t="e">
        <f>E9*(G5+G6)</f>
        <v>#REF!</v>
      </c>
      <c r="C9" s="229" t="s">
        <v>92</v>
      </c>
      <c r="E9" s="230" t="e">
        <f>'Fix Cost'!#REF!</f>
        <v>#REF!</v>
      </c>
      <c r="H9" s="211"/>
      <c r="I9" s="231" t="s">
        <v>752</v>
      </c>
      <c r="J9" s="232" t="s">
        <v>753</v>
      </c>
    </row>
    <row r="10" spans="1:11">
      <c r="A10" s="212" t="s">
        <v>719</v>
      </c>
      <c r="B10" s="213">
        <f>IF(E10&gt;0,E10/F10*B3+H10,0)</f>
        <v>0</v>
      </c>
      <c r="C10" s="214" t="s">
        <v>92</v>
      </c>
      <c r="D10" s="232" t="s">
        <v>754</v>
      </c>
      <c r="E10" s="233">
        <v>0</v>
      </c>
      <c r="F10" s="234">
        <v>0</v>
      </c>
      <c r="H10" s="211">
        <f t="shared" ref="H10:H16" ca="1" si="0">(I10/60)*J10</f>
        <v>28777.332328303906</v>
      </c>
      <c r="I10" s="235">
        <v>10</v>
      </c>
      <c r="J10" s="236">
        <f ca="1">'Production cost'!S8</f>
        <v>172663.99396982344</v>
      </c>
      <c r="K10" s="198"/>
    </row>
    <row r="11" spans="1:11">
      <c r="A11" s="237"/>
      <c r="B11" s="238">
        <f>IF(E11&gt;0,E11/F11*B3*F5+H11,0)</f>
        <v>0</v>
      </c>
      <c r="C11" s="196" t="s">
        <v>92</v>
      </c>
      <c r="D11" s="232" t="s">
        <v>755</v>
      </c>
      <c r="E11" s="233">
        <v>0</v>
      </c>
      <c r="F11" s="234">
        <v>0</v>
      </c>
      <c r="H11" s="211" t="e">
        <f t="shared" si="0"/>
        <v>#REF!</v>
      </c>
      <c r="I11" s="235">
        <v>90</v>
      </c>
      <c r="J11" s="236" t="e">
        <f>'Production cost'!#REF!</f>
        <v>#REF!</v>
      </c>
      <c r="K11" s="198"/>
    </row>
    <row r="12" spans="1:11">
      <c r="A12" s="237"/>
      <c r="B12" s="238">
        <f>IF(E12&gt;0,E12/F12*B3*F7+H12,0)</f>
        <v>0</v>
      </c>
      <c r="C12" s="196" t="s">
        <v>92</v>
      </c>
      <c r="D12" s="232" t="s">
        <v>756</v>
      </c>
      <c r="E12" s="233">
        <v>0</v>
      </c>
      <c r="F12" s="234">
        <v>0</v>
      </c>
      <c r="H12" s="211">
        <f t="shared" ca="1" si="0"/>
        <v>0</v>
      </c>
      <c r="I12" s="235">
        <v>30</v>
      </c>
      <c r="J12" s="236">
        <f ca="1">'Production cost'!S188</f>
        <v>0</v>
      </c>
      <c r="K12" s="198"/>
    </row>
    <row r="13" spans="1:11">
      <c r="A13" s="237"/>
      <c r="B13" s="238">
        <f>IF(E13&gt;0,E13/F13*B3+H13,0)</f>
        <v>0</v>
      </c>
      <c r="C13" s="196" t="s">
        <v>92</v>
      </c>
      <c r="D13" s="232" t="s">
        <v>757</v>
      </c>
      <c r="E13" s="233">
        <v>0</v>
      </c>
      <c r="F13" s="234">
        <v>0</v>
      </c>
      <c r="H13" s="211">
        <f t="shared" ca="1" si="0"/>
        <v>0</v>
      </c>
      <c r="I13" s="235">
        <v>30</v>
      </c>
      <c r="J13" s="236">
        <f ca="1">'Production cost'!S198</f>
        <v>0</v>
      </c>
      <c r="K13" s="198"/>
    </row>
    <row r="14" spans="1:11">
      <c r="A14" s="237"/>
      <c r="B14" s="238">
        <f>IF(E14&gt;0,E14/F14*B4+H14,0)</f>
        <v>0</v>
      </c>
      <c r="C14" s="196" t="s">
        <v>92</v>
      </c>
      <c r="D14" s="232" t="s">
        <v>758</v>
      </c>
      <c r="E14" s="233">
        <v>0</v>
      </c>
      <c r="F14" s="234">
        <v>0</v>
      </c>
      <c r="H14" s="211">
        <f t="shared" ca="1" si="0"/>
        <v>325995.09346669674</v>
      </c>
      <c r="I14" s="235">
        <v>90</v>
      </c>
      <c r="J14" s="236">
        <f ca="1">'Production cost'!S260</f>
        <v>217330.06231113116</v>
      </c>
      <c r="K14" s="198"/>
    </row>
    <row r="15" spans="1:11">
      <c r="A15" s="237"/>
      <c r="B15" s="238">
        <f>IF(E15&gt;0,E15/F15*B5+H15,0)</f>
        <v>0</v>
      </c>
      <c r="C15" s="196" t="s">
        <v>92</v>
      </c>
      <c r="D15" s="232" t="s">
        <v>759</v>
      </c>
      <c r="E15" s="233">
        <v>0</v>
      </c>
      <c r="F15" s="234">
        <v>0</v>
      </c>
      <c r="H15" s="211">
        <f t="shared" si="0"/>
        <v>0</v>
      </c>
      <c r="I15" s="235">
        <v>0</v>
      </c>
      <c r="J15" s="236"/>
      <c r="K15" s="198"/>
    </row>
    <row r="16" spans="1:11">
      <c r="A16" s="219"/>
      <c r="B16" s="220">
        <f>IF(E16&gt;0,E16/F16*B3+H16,0)</f>
        <v>0</v>
      </c>
      <c r="C16" s="221" t="s">
        <v>92</v>
      </c>
      <c r="D16" s="232" t="s">
        <v>760</v>
      </c>
      <c r="E16" s="233">
        <v>0</v>
      </c>
      <c r="F16" s="234">
        <v>0</v>
      </c>
      <c r="H16" s="211">
        <f t="shared" ca="1" si="0"/>
        <v>0</v>
      </c>
      <c r="I16" s="235">
        <v>30</v>
      </c>
      <c r="J16" s="236">
        <f ca="1">'Production cost'!S535</f>
        <v>0</v>
      </c>
      <c r="K16" s="198"/>
    </row>
    <row r="17" spans="1:9">
      <c r="A17" s="207" t="s">
        <v>761</v>
      </c>
      <c r="B17" s="239" t="e">
        <f>SUM(B4:B16)</f>
        <v>#REF!</v>
      </c>
      <c r="C17" s="229" t="s">
        <v>92</v>
      </c>
      <c r="I17" s="240"/>
    </row>
    <row r="18" spans="1:9">
      <c r="A18" s="207" t="s">
        <v>762</v>
      </c>
      <c r="B18" s="239" t="e">
        <f>B17/B3</f>
        <v>#REF!</v>
      </c>
      <c r="C18" s="229" t="s">
        <v>763</v>
      </c>
    </row>
  </sheetData>
  <dataValidations count="1">
    <dataValidation type="list" allowBlank="1" showInputMessage="1" showErrorMessage="1" sqref="G7:G8" xr:uid="{00000000-0002-0000-2800-000000000000}">
      <formula1>#REF!</formula1>
    </dataValidation>
  </dataValidations>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19</vt:i4>
      </vt:variant>
    </vt:vector>
  </HeadingPairs>
  <TitlesOfParts>
    <vt:vector size="64" baseType="lpstr">
      <vt:lpstr>Extra cost (Courier)</vt:lpstr>
      <vt:lpstr>Quote-P</vt:lpstr>
      <vt:lpstr>Cost EST. GM target</vt:lpstr>
      <vt:lpstr>Testing</vt:lpstr>
      <vt:lpstr>Fix Cost</vt:lpstr>
      <vt:lpstr>Data</vt:lpstr>
      <vt:lpstr>Balance</vt:lpstr>
      <vt:lpstr>Extra cost balance</vt:lpstr>
      <vt:lpstr>Shrinkwraped (Auto)</vt:lpstr>
      <vt:lpstr>Flute in SPV1</vt:lpstr>
      <vt:lpstr>Flute in SPV2</vt:lpstr>
      <vt:lpstr>Data coating</vt:lpstr>
      <vt:lpstr>input</vt:lpstr>
      <vt:lpstr>Data transport</vt:lpstr>
      <vt:lpstr>Sum local charge July.19</vt:lpstr>
      <vt:lpstr>Coating</vt:lpstr>
      <vt:lpstr>Paper</vt:lpstr>
      <vt:lpstr>FC</vt:lpstr>
      <vt:lpstr>Droplist</vt:lpstr>
      <vt:lpstr>CR</vt:lpstr>
      <vt:lpstr>Summary Data</vt:lpstr>
      <vt:lpstr>Production cost</vt:lpstr>
      <vt:lpstr>CBD Colgate</vt:lpstr>
      <vt:lpstr>Sumary Crayola</vt:lpstr>
      <vt:lpstr>crayola temp</vt:lpstr>
      <vt:lpstr>CBD KinhDo</vt:lpstr>
      <vt:lpstr>Report</vt:lpstr>
      <vt:lpstr>Proof - Pro</vt:lpstr>
      <vt:lpstr>Other</vt:lpstr>
      <vt:lpstr>Ink</vt:lpstr>
      <vt:lpstr>Glue</vt:lpstr>
      <vt:lpstr>PO Check</vt:lpstr>
      <vt:lpstr>Data Plate change &amp; Proof SPV</vt:lpstr>
      <vt:lpstr>Courier charge (DHL)</vt:lpstr>
      <vt:lpstr>Extra cost Tray</vt:lpstr>
      <vt:lpstr>weight</vt:lpstr>
      <vt:lpstr>Courier charge (Fedex)</vt:lpstr>
      <vt:lpstr>Proof cost</vt:lpstr>
      <vt:lpstr>Packing Materials</vt:lpstr>
      <vt:lpstr>Freight</vt:lpstr>
      <vt:lpstr>STD packing nominate acc</vt:lpstr>
      <vt:lpstr>Data Extra cost</vt:lpstr>
      <vt:lpstr>Extra cost</vt:lpstr>
      <vt:lpstr>ACC &amp; Other Material </vt:lpstr>
      <vt:lpstr>REWORK</vt:lpstr>
      <vt:lpstr>Dong</vt:lpstr>
      <vt:lpstr>Hologram_K228</vt:lpstr>
      <vt:lpstr>KBA</vt:lpstr>
      <vt:lpstr>Kem</vt:lpstr>
      <vt:lpstr>Komori_240</vt:lpstr>
      <vt:lpstr>Komori_L240</vt:lpstr>
      <vt:lpstr>Komori_LS640</vt:lpstr>
      <vt:lpstr>Komori_LS740</vt:lpstr>
      <vt:lpstr>Komori_LX640</vt:lpstr>
      <vt:lpstr>Metalize_Non_Thermal_Polyplex</vt:lpstr>
      <vt:lpstr>Mitsubishi</vt:lpstr>
      <vt:lpstr>'Cost EST. GM target'!Print_Area</vt:lpstr>
      <vt:lpstr>'crayola temp'!Print_Area</vt:lpstr>
      <vt:lpstr>'Extra cost Tray'!Print_Area</vt:lpstr>
      <vt:lpstr>'PO Check'!Print_Area</vt:lpstr>
      <vt:lpstr>Promotion</vt:lpstr>
      <vt:lpstr>Regular</vt:lpstr>
      <vt:lpstr>Thermal_Gloss_OPP_Import</vt:lpstr>
      <vt:lpstr>Thermal_Matt_OPP_Import</vt:lpstr>
    </vt:vector>
  </TitlesOfParts>
  <Company>Starprint Vietnam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Truong Thi Quynh Chau</dc:creator>
  <cp:lastModifiedBy>Pham Thuy Nhu Huynh</cp:lastModifiedBy>
  <cp:lastPrinted>2020-05-05T09:37:46Z</cp:lastPrinted>
  <dcterms:created xsi:type="dcterms:W3CDTF">2002-06-12T04:14:58Z</dcterms:created>
  <dcterms:modified xsi:type="dcterms:W3CDTF">2023-08-18T07:38:11Z</dcterms:modified>
</cp:coreProperties>
</file>